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9.xml"/>
  <Override ContentType="application/vnd.openxmlformats-officedocument.spreadsheetml.table+xml" PartName="/xl/tables/table11.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efintions" sheetId="1" r:id="rId4"/>
    <sheet state="visible" name="H2 projects" sheetId="2" r:id="rId5"/>
    <sheet state="visible" name="Hydrogen infrastructure May2024" sheetId="3" r:id="rId6"/>
    <sheet state="visible" name="Sheet4" sheetId="4" r:id="rId7"/>
    <sheet state="visible" name="Sheet5" sheetId="5" r:id="rId8"/>
    <sheet state="visible" name="solar_location" sheetId="6" r:id="rId9"/>
    <sheet state="visible" name="IEA_H2" sheetId="7" r:id="rId10"/>
    <sheet state="visible" name="wind_location" sheetId="8" r:id="rId11"/>
    <sheet state="visible" name="Notes" sheetId="9" r:id="rId12"/>
    <sheet state="visible" name="Definitions and assumptions" sheetId="10" r:id="rId13"/>
    <sheet state="visible" name="Projects" sheetId="11" r:id="rId14"/>
    <sheet state="visible" name="References" sheetId="12" r:id="rId15"/>
    <sheet state="hidden" name="Lists" sheetId="13" r:id="rId16"/>
    <sheet state="hidden" name="Countries" sheetId="14" r:id="rId17"/>
    <sheet state="visible" name="Notes (1)" sheetId="15" r:id="rId18"/>
    <sheet state="visible" name="Definitions and assumptions (1)" sheetId="16" r:id="rId19"/>
    <sheet state="visible" name="CCUS Projects Database" sheetId="17" r:id="rId20"/>
    <sheet state="visible" name="Notes (2)" sheetId="18" r:id="rId21"/>
    <sheet state="visible" name="Definitions and assumptions (2)" sheetId="19" r:id="rId22"/>
    <sheet state="visible" name="Country Codes" sheetId="20" r:id="rId23"/>
    <sheet state="visible" name="H2_Pipelines" sheetId="21" r:id="rId24"/>
    <sheet state="visible" name="H2_Blending" sheetId="22" r:id="rId25"/>
    <sheet state="visible" name="UGS" sheetId="23" r:id="rId26"/>
    <sheet state="visible" name="H2_Ports" sheetId="24" r:id="rId27"/>
    <sheet state="visible" name="NH3_Ports" sheetId="25" r:id="rId28"/>
    <sheet state="visible" name="NH3_Cracking" sheetId="26" r:id="rId29"/>
    <sheet state="visible" name="MetOH_Ports" sheetId="27" r:id="rId30"/>
  </sheets>
  <definedNames>
    <definedName name="ElectrolysisConvF">#REF!</definedName>
    <definedName localSheetId="18" name="ElectrolysisConvF">#REF!</definedName>
    <definedName localSheetId="17" name="ElectrolysisConvF">#REF!</definedName>
    <definedName hidden="1" localSheetId="11" name="_xlnm._FilterDatabase">References!$A$1:$B$2915</definedName>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B2003">
      <text>
        <t xml:space="preserve">======
ID#AAABk3RDl6I
tc={2B48DF4D-7FE4-49E4-846E-1643C97CA64C}    (2025-06-26 08:39:46)
[Threaded comment]
Your version of Excel allows you to read this threaded comment; however, any edits to it will get removed if the file is opened in a newer version of Excel. Learn more: https://go.microsoft.com/fwlink/?linkid=870924
Comment:
    Duplicate of REF 1686</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T105">
      <text>
        <t xml:space="preserve">======
ID#AAABk3RDo5w
Author    (2025-06-26 08:39:46)
Assumed equal to H2 as in the model this is reported under LH2</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J243">
      <text>
        <t xml:space="preserve">======
ID#AAABmaecG6Q
FAJARDY Mathilde, IEA/STO/ETP/CCUS    (2025-06-26 09:01:19)
Project completed construction in 2024 and should receive first shipment of CO2 in 2025</t>
      </text>
    </comment>
    <comment authorId="0" ref="M286">
      <text>
        <t xml:space="preserve">======
ID#AAABmahtx7w
FAJARDY Mathilde, IEA/STO/ETP/CCUS    (2025-06-26 09:01:19)
Also includes Ravenna phase 1 which started capturing and storing around 25 000 tCO2/yr in 2024.</t>
      </text>
    </comment>
    <comment authorId="0" ref="M292">
      <text>
        <t xml:space="preserve">======
ID#AAABmaecG6I
FAJARDY Mathilde, IEA/STO/ETP/CCUS    (2025-06-26 09:01:19)
Also includes Ravenna phase 1 which started capturing and storing 25000 tCO2/yr in 2024.</t>
      </text>
    </comment>
    <comment authorId="0" ref="H403">
      <text>
        <t xml:space="preserve">======
ID#AAABmaecG6E
FAJARDY Mathilde, IEA/STO/ETP/CCUS    (2025-06-26 09:01:19)
Before 2030</t>
      </text>
    </comment>
    <comment authorId="0" ref="J447">
      <text>
        <t xml:space="preserve">======
ID#AAABmahtx70
FAJARDY Mathilde, IEA/STO/ETP/CCUS    (2025-06-26 09:01:19)
Construction was completed at the end of 2024 and first shipment of CO2 should be received in 2025.</t>
      </text>
    </comment>
    <comment authorId="0" ref="H469">
      <text>
        <t xml:space="preserve">======
ID#AAABmaecG6M
FAJARDY Mathilde, IEA/STO/ETP/CCUS    (2025-06-26 09:01:19)
Before 2030</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B77">
      <text>
        <t xml:space="preserve">======
ID#AAABmamIPUE
tc={F859C14D-7241-496E-B159-3205A77DE857}    (2025-06-26 09:01:35)
[Threaded comment]
Your version of Excel allows you to read this threaded comment; however, any edits to it will get removed if the file is opened in a newer version of Excel. Learn more: https://go.microsoft.com/fwlink/?linkid=870924
Comment:
    Potential overlap with other projects in the UK</t>
      </text>
    </comment>
    <comment authorId="0" ref="J108">
      <text>
        <t xml:space="preserve">======
ID#AAABmamIPT0
tc={F7D1E1CF-795D-4803-B194-61EF103DBAE8}    (2025-06-26 09:01:35)
[Threaded comment]
Your version of Excel allows you to read this threaded comment; however, any edits to it will get removed if the file is opened in a newer version of Excel. Learn more: https://go.microsoft.com/fwlink/?linkid=870924
Comment:
    To be specific, from 2027 the H2 conversion of the pipeline will begin (theoretically)</t>
      </text>
    </comment>
  </commentLi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Z30">
      <text>
        <t xml:space="preserve">======
ID#AAABmamIPT4
tc={ACF84A93-C59F-4E9F-B675-E563D1FDC262}    (2025-06-26 09:01:35)
[Threaded comment]
Your version of Excel allows you to read this threaded comment; however, any edits to it will get removed if the file is opened in a newer version of Excel. Learn more: https://go.microsoft.com/fwlink/?linkid=870924
Comment:
    Link not working</t>
      </text>
    </comment>
    <comment authorId="0" ref="B41">
      <text>
        <t xml:space="preserve">======
ID#AAABmamIPUI
tc={9D33AED4-68D6-45D6-BCA7-28DB41E37F20}    (2025-06-26 09:01:35)
[Threaded comment]
Your version of Excel allows you to read this threaded comment; however, any edits to it will get removed if the file is opened in a newer version of Excel. Learn more: https://go.microsoft.com/fwlink/?linkid=870924
Comment:
    No news</t>
      </text>
    </comment>
    <comment authorId="0" ref="B42">
      <text>
        <t xml:space="preserve">======
ID#AAABmamIPTw
tc={9D3A9AA9-1504-4926-868B-A5119A379CD2}    (2025-06-26 09:01:35)
[Threaded comment]
Your version of Excel allows you to read this threaded comment; however, any edits to it will get removed if the file is opened in a newer version of Excel. Learn more: https://go.microsoft.com/fwlink/?linkid=870924
Comment:
    Theres no phase 2 announcement</t>
      </text>
    </comment>
    <comment authorId="0" ref="G45">
      <text>
        <t xml:space="preserve">======
ID#AAABmamIPTo
tc={28A929E2-14C1-45B3-AAFB-6086B7C6BDF4}    (2025-06-26 09:01:35)
[Threaded comment]
Your version of Excel allows you to read this threaded comment; however, any edits to it will get removed if the file is opened in a newer version of Excel. Learn more: https://go.microsoft.com/fwlink/?linkid=870924
Comment:
    2032, link 5 
Reply:
    https://energynews.biz/hemmingstedts-ambitious-green-hydrogen-project-hits-roadblock/</t>
      </text>
    </comment>
    <comment authorId="0" ref="Y45">
      <text>
        <t xml:space="preserve">======
ID#AAABmamIPT8
tc={7746C37F-C278-46D8-B1E4-17FC6CEF7E09}    (2025-06-26 09:01:35)
[Threaded comment]
Your version of Excel allows you to read this threaded comment; however, any edits to it will get removed if the file is opened in a newer version of Excel. Learn more: https://go.microsoft.com/fwlink/?linkid=870924
Comment:
    It is likely it's gonna increase</t>
      </text>
    </comment>
    <comment authorId="0" ref="Z46">
      <text>
        <t xml:space="preserve">======
ID#AAABmamIPTs
tc={C9203125-F811-472B-B6E3-1EAB01B8CC6B}    (2025-06-26 09:01:35)
[Threaded comment]
Your version of Excel allows you to read this threaded comment; however, any edits to it will get removed if the file is opened in a newer version of Excel. Learn more: https://go.microsoft.com/fwlink/?linkid=870924
Comment:
    Outdated</t>
      </text>
    </comment>
    <comment authorId="0" ref="Z54">
      <text>
        <t xml:space="preserve">======
ID#AAABmamIPUA
tc={90E169AA-E159-417E-AB9C-B9C30FE0541E}    (2025-06-26 09:01:35)
[Threaded comment]
Your version of Excel allows you to read this threaded comment; however, any edits to it will get removed if the file is opened in a newer version of Excel. Learn more: https://go.microsoft.com/fwlink/?linkid=870924
Comment:
    No news as of June 2024</t>
      </text>
    </comment>
  </commentList>
</comments>
</file>

<file path=xl/sharedStrings.xml><?xml version="1.0" encoding="utf-8"?>
<sst xmlns="http://schemas.openxmlformats.org/spreadsheetml/2006/main" count="85851" uniqueCount="23893">
  <si>
    <t>Sectors</t>
  </si>
  <si>
    <t>Concept / Differences</t>
  </si>
  <si>
    <t>Producer</t>
  </si>
  <si>
    <t>Storage</t>
  </si>
  <si>
    <t>Cracker</t>
  </si>
  <si>
    <t>CCUS</t>
  </si>
  <si>
    <t>Infrastructure</t>
  </si>
  <si>
    <t>Hubs</t>
  </si>
  <si>
    <t>Offtaker</t>
  </si>
  <si>
    <t>Project Type</t>
  </si>
  <si>
    <t xml:space="preserve">Hydrogen
Ammonia
Methanol
SAF
Biofuel
e-NG
e-fuel
</t>
  </si>
  <si>
    <t>Underground Storage
Above-Ground Gaseous Storage
Solid-State Storage
Chemical Storage</t>
  </si>
  <si>
    <t>Cracker (hard coded)</t>
  </si>
  <si>
    <t>Full chain
Capture
Transport
Storage
T&amp;S
CCU</t>
  </si>
  <si>
    <t>Onshore 
Offshore</t>
  </si>
  <si>
    <r>
      <rPr>
        <rFont val="Times New Roman"/>
        <color theme="1"/>
        <sz val="12.0"/>
      </rPr>
      <t xml:space="preserve">1. Economic &amp; Trade Hubs
</t>
    </r>
    <r>
      <rPr>
        <rFont val="Times New Roman"/>
        <color theme="1"/>
        <sz val="12.0"/>
      </rPr>
      <t xml:space="preserve">- </t>
    </r>
    <r>
      <rPr>
        <rFont val="Times New Roman"/>
        <color theme="1"/>
        <sz val="12.0"/>
      </rPr>
      <t xml:space="preserve">Freeports or special economic zones 
</t>
    </r>
    <r>
      <rPr>
        <rFont val="Times New Roman"/>
        <color theme="1"/>
        <sz val="12.0"/>
      </rPr>
      <t xml:space="preserve">- </t>
    </r>
    <r>
      <rPr>
        <rFont val="Times New Roman"/>
        <color theme="1"/>
        <sz val="12.0"/>
      </rPr>
      <t xml:space="preserve">Multi-modal logistics zones at majors ports
</t>
    </r>
    <r>
      <rPr>
        <rFont val="Times New Roman"/>
        <color theme="1"/>
        <sz val="12.0"/>
      </rPr>
      <t xml:space="preserve">- </t>
    </r>
    <r>
      <rPr>
        <rFont val="Times New Roman"/>
        <color theme="1"/>
        <sz val="12.0"/>
      </rPr>
      <t xml:space="preserve">Others
2. Energy hubs
</t>
    </r>
    <r>
      <rPr>
        <rFont val="Times New Roman"/>
        <color theme="1"/>
        <sz val="12.0"/>
      </rPr>
      <t>-</t>
    </r>
    <r>
      <rPr>
        <rFont val="Times New Roman"/>
        <color theme="1"/>
        <sz val="12.0"/>
      </rPr>
      <t xml:space="preserve"> LNG terminals
</t>
    </r>
    <r>
      <rPr>
        <rFont val="Times New Roman"/>
        <color theme="1"/>
        <sz val="12.0"/>
      </rPr>
      <t xml:space="preserve">- </t>
    </r>
    <r>
      <rPr>
        <rFont val="Times New Roman"/>
        <color theme="1"/>
        <sz val="12.0"/>
      </rPr>
      <t xml:space="preserve">Hydrogen import export ports
</t>
    </r>
    <r>
      <rPr>
        <rFont val="Times New Roman"/>
        <color theme="1"/>
        <sz val="12.0"/>
      </rPr>
      <t>-</t>
    </r>
    <r>
      <rPr>
        <rFont val="Times New Roman"/>
        <color theme="1"/>
        <sz val="12.0"/>
      </rPr>
      <t xml:space="preserve"> Ammonia export/import ports
</t>
    </r>
    <r>
      <rPr>
        <rFont val="Times New Roman"/>
        <color theme="1"/>
        <sz val="12.0"/>
      </rPr>
      <t xml:space="preserve">- </t>
    </r>
    <r>
      <rPr>
        <rFont val="Times New Roman"/>
        <color theme="1"/>
        <sz val="12.0"/>
      </rPr>
      <t xml:space="preserve">Methanol export/import ports
3. Transport &amp; Logistics Hubs
</t>
    </r>
    <r>
      <rPr>
        <rFont val="Times New Roman"/>
        <color theme="1"/>
        <sz val="12.0"/>
      </rPr>
      <t xml:space="preserve">- </t>
    </r>
    <r>
      <rPr>
        <rFont val="Times New Roman"/>
        <color theme="1"/>
        <sz val="12.0"/>
      </rPr>
      <t xml:space="preserve">Water Hubs
</t>
    </r>
    <r>
      <rPr>
        <rFont val="Times New Roman"/>
        <color theme="1"/>
        <sz val="12.0"/>
      </rPr>
      <t xml:space="preserve">- </t>
    </r>
    <r>
      <rPr>
        <rFont val="Times New Roman"/>
        <color theme="1"/>
        <sz val="12.0"/>
      </rPr>
      <t xml:space="preserve">Airports
</t>
    </r>
    <r>
      <rPr>
        <rFont val="Times New Roman"/>
        <color theme="1"/>
        <sz val="12.0"/>
      </rPr>
      <t xml:space="preserve">- </t>
    </r>
    <r>
      <rPr>
        <rFont val="Times New Roman"/>
        <color theme="1"/>
        <sz val="12.0"/>
      </rPr>
      <t>Rail yards / Inland container depots</t>
    </r>
  </si>
  <si>
    <t xml:space="preserve">Refineries
Chemical Manufacturers
Steel Industry
Glass Industry
Electronics and Semiconductor Industry
Heavy Duty Transport
Aviation
Automotive Industry
Power Plants
Energy Storage and Grid Balancing
Natural Gas Infrastructure
Public Sector Infrastructure
Fertilizer Producers
Agricultural Industry
Shipping Industry
Methanol Producers
Petrochemical Industry
Pharmaceuticals and Cosmetics
Marine Shipping
Automotive Industry
Cogeneration Plants
Fuel Retailers
Regulatory Bodies
Government and Municipal Offtakers
Public Sector Fleets
Power Generation
Gas Utilities
Industrial Heat Applications
Maritime Shipping
Gas Suppliers and Retailers
Energy Utilities
Private Jet Operators
Cargo Airlines
Airport Operators
Aviation Fuel Suppliers
Methanol-Based Fuel Cell Developers
E-fuel Production Companies
Heavy Duty Transport Manufacturers
International Shipping Organizations
Renewable Energy
</t>
  </si>
  <si>
    <t>End Use
PS: Referred as sector for CCUS</t>
  </si>
  <si>
    <t>Refining 
Ammonia 
Methanol
Iron&amp;Steel
Other Ind
Mobility
Power
Grid inj.
CHP
Domestic heat
Biofuels
Synfuels
CH4 grid inj.
CH4 mobility</t>
  </si>
  <si>
    <t>NA</t>
  </si>
  <si>
    <t>Power and heat
Natural gas processing/LNG
Biofuels
Hydrogen/ammonia
Other fuel transformation
Cement
Iron and steel
Chemicals
Other industry
DAC
Transport
Storage
T&amp;S</t>
  </si>
  <si>
    <t>Capacity = size</t>
  </si>
  <si>
    <t>Production capacity MW/MWel
MWel        Nm³ H₂/h        kt H2/y        t CO₂ captured/y</t>
  </si>
  <si>
    <t>Storage Capacity (Million Nm3 H₂ / PJ / GWh H2 / kt H2)</t>
  </si>
  <si>
    <t>ton/year</t>
  </si>
  <si>
    <t>(Mt CO2/yr)</t>
  </si>
  <si>
    <t>Tonnes or m3</t>
  </si>
  <si>
    <t>Demand</t>
  </si>
  <si>
    <t>Product 
PS: Primary &amp; Secondary product for producer</t>
  </si>
  <si>
    <t>Hydrogen
Ammonia
Methanol
SAF
Biofuel
e-NG</t>
  </si>
  <si>
    <t>H2</t>
  </si>
  <si>
    <t>Technology Used
PS: Referred as Fate of Carbon for CCUS</t>
  </si>
  <si>
    <t>Water electrolysis (ALK, PEM, SOEC, Unkown PtX)
Fossil fuel with CO2 capture (Coal w CCUS, NG w CCUS, Oil w CCUS)
Bimass
Other</t>
  </si>
  <si>
    <t>Aquifer
Depleted gas
Salt caverns
Hard rock cavern</t>
  </si>
  <si>
    <t>Dedicated storage
EOR
Use
Vented
Unknown/unspecified</t>
  </si>
  <si>
    <t>Undefined
LOHC Hydrogenation
Regasification
Liquefaction
Compressed Ship
CH2 Storage</t>
  </si>
  <si>
    <t>Status</t>
  </si>
  <si>
    <t>Project initiation (Before Pre-FEED)
Project Foundation- Pre-FEED
FEED
Pre-FID
FID
EPC contracted
Pre-Commissioning &amp; Commissioning
Initial Production (COD)</t>
  </si>
  <si>
    <t>Name</t>
  </si>
  <si>
    <t>City</t>
  </si>
  <si>
    <t>Country</t>
  </si>
  <si>
    <t>Start year</t>
  </si>
  <si>
    <t>Production capacity MW/MWel</t>
  </si>
  <si>
    <t>Production process</t>
  </si>
  <si>
    <t>End-use</t>
  </si>
  <si>
    <t>Consumption capacity (tonnes/year)</t>
  </si>
  <si>
    <t>Latitude</t>
  </si>
  <si>
    <t>Longitude</t>
  </si>
  <si>
    <t>Project stage</t>
  </si>
  <si>
    <t>Oskarshamn electrolyser</t>
  </si>
  <si>
    <t>Oskarshamn</t>
  </si>
  <si>
    <t>Sweden</t>
  </si>
  <si>
    <t>Water electrolysis</t>
  </si>
  <si>
    <t>Mobility</t>
  </si>
  <si>
    <t>Operation</t>
  </si>
  <si>
    <t>Hamburg Hafen City HRS</t>
  </si>
  <si>
    <t>Hamburg</t>
  </si>
  <si>
    <t>Germany</t>
  </si>
  <si>
    <t>Hybridkraftwerk Prenzlau - Hybrid Power Plant Enertrag, Prenzlau</t>
  </si>
  <si>
    <t>Prenzlau</t>
  </si>
  <si>
    <t>Power generation</t>
  </si>
  <si>
    <t>George Olah CO2 to methanol plant</t>
  </si>
  <si>
    <t>Grindavik</t>
  </si>
  <si>
    <t>Iceland</t>
  </si>
  <si>
    <t>Methanol</t>
  </si>
  <si>
    <t>Sandviken ely</t>
  </si>
  <si>
    <t>Sandviken</t>
  </si>
  <si>
    <t>Werlte eMethane</t>
  </si>
  <si>
    <t>Werlte</t>
  </si>
  <si>
    <t>E-fuels</t>
  </si>
  <si>
    <t>WindGas Falkenhagen</t>
  </si>
  <si>
    <t>Falkenhagen</t>
  </si>
  <si>
    <t>Blending</t>
  </si>
  <si>
    <t>Woikoski - Kokkola</t>
  </si>
  <si>
    <t>Kokkola</t>
  </si>
  <si>
    <t>Finland</t>
  </si>
  <si>
    <t>Bolzano HRS</t>
  </si>
  <si>
    <t>Bolzano-Bozen</t>
  </si>
  <si>
    <t>Italy</t>
  </si>
  <si>
    <t>H2BER (Berlin airport)</t>
  </si>
  <si>
    <t>Berlin</t>
  </si>
  <si>
    <t>Aberdeen Kittybrewster HRS</t>
  </si>
  <si>
    <t>Aberdeen</t>
  </si>
  <si>
    <t>United Kingdom</t>
  </si>
  <si>
    <t>Strandmøllen A/S - Ejby</t>
  </si>
  <si>
    <t>Ejby</t>
  </si>
  <si>
    <t>Denmark</t>
  </si>
  <si>
    <t>Windgas Hasfurt (Haßfurt)</t>
  </si>
  <si>
    <t>Haßfurt</t>
  </si>
  <si>
    <t>INGRID</t>
  </si>
  <si>
    <t>Troia</t>
  </si>
  <si>
    <t>Energiepark Mainz</t>
  </si>
  <si>
    <t>Mainz</t>
  </si>
  <si>
    <t>H&amp;R Ölwerke Schindler Hamburg-Neuhof</t>
  </si>
  <si>
    <t>Hamburg-Neuhof</t>
  </si>
  <si>
    <t>Refining</t>
  </si>
  <si>
    <t>ASKO Midt-Norge HRS</t>
  </si>
  <si>
    <t>Trondheim</t>
  </si>
  <si>
    <t>Norway</t>
  </si>
  <si>
    <t>Surf'n'Turf</t>
  </si>
  <si>
    <t>Eday</t>
  </si>
  <si>
    <t>Carbon2Chem</t>
  </si>
  <si>
    <t>Duisburg</t>
  </si>
  <si>
    <t>Other industry</t>
  </si>
  <si>
    <t>Hellisheidi ON Power ely</t>
  </si>
  <si>
    <t>Hellisheidi</t>
  </si>
  <si>
    <t>Underground Sun Conversion</t>
  </si>
  <si>
    <t>Pilsbach</t>
  </si>
  <si>
    <t>Austria</t>
  </si>
  <si>
    <t>H2FUTURE</t>
  </si>
  <si>
    <t>Linz</t>
  </si>
  <si>
    <t>Industrial heat</t>
  </si>
  <si>
    <t>Energiepark Pirmasens-Winzeln</t>
  </si>
  <si>
    <t>Pirmasens</t>
  </si>
  <si>
    <t>Wind to Gas Sudermarsch</t>
  </si>
  <si>
    <t>Brunsbuttel (Brunsbüttel)</t>
  </si>
  <si>
    <t>H2-Wyhlen (Phase 1) - (Power-to-Gas Baden-Württemberg)</t>
  </si>
  <si>
    <t>Grenzach-Wyhlen</t>
  </si>
  <si>
    <t>Syndicat mixte des transports Artois-Gohelle (SMT AG)</t>
  </si>
  <si>
    <t>Bethune</t>
  </si>
  <si>
    <t>France</t>
  </si>
  <si>
    <t>Pau HRS</t>
  </si>
  <si>
    <t>Pau</t>
  </si>
  <si>
    <t>H2W - Wasserstoffmobilität für Wuppertal</t>
  </si>
  <si>
    <t>Wuppertal</t>
  </si>
  <si>
    <t>Hydrospider Gösgen (Phase 1)</t>
  </si>
  <si>
    <t>Niedergösgen</t>
  </si>
  <si>
    <t>Switzerland</t>
  </si>
  <si>
    <t>HyBALANCE</t>
  </si>
  <si>
    <t>Hobro</t>
  </si>
  <si>
    <t>Windgas Haurup</t>
  </si>
  <si>
    <t>Haurup</t>
  </si>
  <si>
    <t>Residential heat</t>
  </si>
  <si>
    <t>H2orizon</t>
  </si>
  <si>
    <t>Lampoldshausen</t>
  </si>
  <si>
    <t>GrInHy2.0</t>
  </si>
  <si>
    <t>Salzgitter</t>
  </si>
  <si>
    <t>Steel</t>
  </si>
  <si>
    <t>STR Tecoil​ - Hamina (Phase 1)</t>
  </si>
  <si>
    <t>Hamina</t>
  </si>
  <si>
    <t>HyDeploy</t>
  </si>
  <si>
    <t>Keele</t>
  </si>
  <si>
    <t>Jupiter 1000 (ALK)</t>
  </si>
  <si>
    <t>Fos sur Mer</t>
  </si>
  <si>
    <t>Jupiter 1000 (PEM)</t>
  </si>
  <si>
    <t>REFHYNE (Phase 1)</t>
  </si>
  <si>
    <t>Wesseling</t>
  </si>
  <si>
    <t>HYBRIT pilot (Phase 1)</t>
  </si>
  <si>
    <t>Lulea</t>
  </si>
  <si>
    <t>Birmingham Tyseley Energy Park HRS</t>
  </si>
  <si>
    <t>Birmingham</t>
  </si>
  <si>
    <t>WindH2 Windwasserstoff Salzgitter</t>
  </si>
  <si>
    <t>APEX - Laage (Phase 1) - doing hydrogen APEX</t>
  </si>
  <si>
    <t>Laage</t>
  </si>
  <si>
    <t>Fairfuel Atmosfair – PtL in Werlte</t>
  </si>
  <si>
    <t>AuxHyGen/Auxr H2 (Phase 1)</t>
  </si>
  <si>
    <t>Auxerre</t>
  </si>
  <si>
    <t>Green Hydrogen Esslingen (P2G2P)</t>
  </si>
  <si>
    <t>Esslingen</t>
  </si>
  <si>
    <t>HRS Compagnie Maritime Belge</t>
  </si>
  <si>
    <t>Antwerp</t>
  </si>
  <si>
    <t>Belgium</t>
  </si>
  <si>
    <t>Hystock</t>
  </si>
  <si>
    <t>Veendam</t>
  </si>
  <si>
    <t>Netherlands</t>
  </si>
  <si>
    <t>E-CO2MET</t>
  </si>
  <si>
    <t>Leuna</t>
  </si>
  <si>
    <t>Hycaunais</t>
  </si>
  <si>
    <t>Saint-Florentin</t>
  </si>
  <si>
    <t>Lhyfe Bouin (Phase 1)</t>
  </si>
  <si>
    <t>Bouin</t>
  </si>
  <si>
    <t>H2F (Phase 1)</t>
  </si>
  <si>
    <t>Puertollano</t>
  </si>
  <si>
    <t>Spain</t>
  </si>
  <si>
    <t>Ammonia</t>
  </si>
  <si>
    <t>WUN H2 - Energy Park Wunsiedel</t>
  </si>
  <si>
    <t>Wunsiedel</t>
  </si>
  <si>
    <t>Heroya Industrial Park</t>
  </si>
  <si>
    <t>Porsgrunn</t>
  </si>
  <si>
    <t>HRS Bremervörde - trains</t>
  </si>
  <si>
    <t>Bremervorde (Bremervörde)</t>
  </si>
  <si>
    <t>Zona Franca de Barcelona (HRS) (Phase 1)</t>
  </si>
  <si>
    <t>Barcelona</t>
  </si>
  <si>
    <t>Green Hysland/Power to Green Hydrogen Mallorca (Phase 1)</t>
  </si>
  <si>
    <t>Lloseta</t>
  </si>
  <si>
    <t>PtG Switzerland Dietikon</t>
  </si>
  <si>
    <t>Dietikon</t>
  </si>
  <si>
    <t>Green H2 hub Haren</t>
  </si>
  <si>
    <t>Haren</t>
  </si>
  <si>
    <t>H2RES</t>
  </si>
  <si>
    <t>Avedore</t>
  </si>
  <si>
    <t>Wasserstoffproduktion Ostschweiz AG</t>
  </si>
  <si>
    <t>St. Gallen</t>
  </si>
  <si>
    <t>Hydrogenpilot Oosterwolde (SinneWetterstof Hydrogen Pilot Project)</t>
  </si>
  <si>
    <t>Oosterwolde</t>
  </si>
  <si>
    <t>Linde Mandra</t>
  </si>
  <si>
    <t>Mandra</t>
  </si>
  <si>
    <t>Greece</t>
  </si>
  <si>
    <t>SEALHYFE</t>
  </si>
  <si>
    <t>Le Croisic</t>
  </si>
  <si>
    <t>Cranfield Airport Octopus Energy</t>
  </si>
  <si>
    <t>Cranfield</t>
  </si>
  <si>
    <t>H2 for Ovako steel mill</t>
  </si>
  <si>
    <t>Hofors</t>
  </si>
  <si>
    <t>Lhyfe - Schwaebisch - HyFIVE</t>
  </si>
  <si>
    <t>Schwaebisch</t>
  </si>
  <si>
    <t>Pamesa - eCombustible</t>
  </si>
  <si>
    <t>Castellon</t>
  </si>
  <si>
    <t>GreenHy Scale (Phase 1) GHS test</t>
  </si>
  <si>
    <t>Spoettrup (Spøttrup)</t>
  </si>
  <si>
    <t>Nature Energy Glansanger</t>
  </si>
  <si>
    <t>Glansager</t>
  </si>
  <si>
    <t>Lhyfe Buleon Brittany</t>
  </si>
  <si>
    <t>Buleon</t>
  </si>
  <si>
    <t>Lhyfe Occitanie</t>
  </si>
  <si>
    <t>Bessieres</t>
  </si>
  <si>
    <t>MPREIS Hydrogen (within "Demo4Grid")</t>
  </si>
  <si>
    <t>Völs</t>
  </si>
  <si>
    <t>H2Move - Cuxhaven</t>
  </si>
  <si>
    <t>Cuxhaven</t>
  </si>
  <si>
    <t>Basque Hydrogen Corridor/BH2C - Muskiz refinery (Phase 1)</t>
  </si>
  <si>
    <t>Muskiz</t>
  </si>
  <si>
    <t>HAEOLUS</t>
  </si>
  <si>
    <t>Berlevag</t>
  </si>
  <si>
    <t>MultiPLHY Demonstrator</t>
  </si>
  <si>
    <t>Maasvlakte (Rotterdam)</t>
  </si>
  <si>
    <t>SymphonHy</t>
  </si>
  <si>
    <t>Saint Fons</t>
  </si>
  <si>
    <t>Groupe E Schiffenen</t>
  </si>
  <si>
    <t>Schiffenen</t>
  </si>
  <si>
    <t>Green Gas for Bremerhaven (Phase 1)</t>
  </si>
  <si>
    <t>Bremerhaven</t>
  </si>
  <si>
    <t>Aquamarine</t>
  </si>
  <si>
    <t>Kardoskut</t>
  </si>
  <si>
    <t>Hungary</t>
  </si>
  <si>
    <t>Underground Sun Storage 2030</t>
  </si>
  <si>
    <t>Gampern</t>
  </si>
  <si>
    <t>Renewable Gasfield</t>
  </si>
  <si>
    <t>Gabersdorf</t>
  </si>
  <si>
    <t>County Antrim  PtH</t>
  </si>
  <si>
    <t>Dunloy</t>
  </si>
  <si>
    <t>Intelligent Energies - Demo</t>
  </si>
  <si>
    <t>Loughborough</t>
  </si>
  <si>
    <t>HyPSTER</t>
  </si>
  <si>
    <t>Bresse Vallons</t>
  </si>
  <si>
    <t>ELY at Bioenergiepark</t>
  </si>
  <si>
    <t>Saerbeck</t>
  </si>
  <si>
    <t>Stord Hydrogen</t>
  </si>
  <si>
    <t>Stord</t>
  </si>
  <si>
    <t>Dorset Green H2</t>
  </si>
  <si>
    <t>Poole</t>
  </si>
  <si>
    <t>Hyport - Toulouse airport</t>
  </si>
  <si>
    <t>Toulouse</t>
  </si>
  <si>
    <t>Gaznat Innovation Lab</t>
  </si>
  <si>
    <t>Aigle</t>
  </si>
  <si>
    <t>eFarm Nordfriesland</t>
  </si>
  <si>
    <t>Bosbull</t>
  </si>
  <si>
    <t>Exolum HRS</t>
  </si>
  <si>
    <t>Torrejon de Ardoz</t>
  </si>
  <si>
    <t>European Energy - Kassø (phase 1)</t>
  </si>
  <si>
    <t>Aabenraa</t>
  </si>
  <si>
    <t>Construction</t>
  </si>
  <si>
    <t>SKREI/HEGRA (Herøya Green Ammonia) (Phase 1)</t>
  </si>
  <si>
    <t>Linde at Leuna Chemical Complex</t>
  </si>
  <si>
    <t>Trailblazer (Phase 1)</t>
  </si>
  <si>
    <t>Oberhausen</t>
  </si>
  <si>
    <t>HySynergy (Phase 1)</t>
  </si>
  <si>
    <t>Fredericia</t>
  </si>
  <si>
    <t>P2X Harjavalta (Phase 1)</t>
  </si>
  <si>
    <t>Harjavalta</t>
  </si>
  <si>
    <t>Hycamite Kokkola</t>
  </si>
  <si>
    <t>Methane splitting</t>
  </si>
  <si>
    <t>GET H2 Nukleus (Pilot - ALK)</t>
  </si>
  <si>
    <t>Lingen</t>
  </si>
  <si>
    <t>Reddap (REnewable Distributed &amp; Dynamic Ammonia Plant)</t>
  </si>
  <si>
    <t>Lemwig</t>
  </si>
  <si>
    <t>MOL Szazhalombatta</t>
  </si>
  <si>
    <t>Százhalombatta</t>
  </si>
  <si>
    <t>Vitale</t>
  </si>
  <si>
    <t>Alcazar de San Juan</t>
  </si>
  <si>
    <t>Schwäbisch Gmünd (HyFive)</t>
  </si>
  <si>
    <t>Schwäbisch Gmünd</t>
  </si>
  <si>
    <t>UpHy I and II (Phase 1)</t>
  </si>
  <si>
    <t>Schwechat</t>
  </si>
  <si>
    <t>Enertrag Magdeburg</t>
  </si>
  <si>
    <t>Magdeburg</t>
  </si>
  <si>
    <t>PtL Ineratec Frankfurt</t>
  </si>
  <si>
    <t>Frankfurt</t>
  </si>
  <si>
    <t>Kragerup Gods PtX</t>
  </si>
  <si>
    <t>Ruds-Vedby</t>
  </si>
  <si>
    <t>Gaj Olawski HRS</t>
  </si>
  <si>
    <t>Gaj Olawski</t>
  </si>
  <si>
    <t>Poland</t>
  </si>
  <si>
    <t>Gron Brint</t>
  </si>
  <si>
    <t>Hjørring</t>
  </si>
  <si>
    <t>Hy2B Hydrogen Pfeffenhausen - Green Hydrogen from Bavaria</t>
  </si>
  <si>
    <t>Pfeffenhausen</t>
  </si>
  <si>
    <t>GET H2 Nukleus (Phase 0) (PEM) - HyIron</t>
  </si>
  <si>
    <t>European Energy - Maade/Måde/Esbjerg (Phase 1)</t>
  </si>
  <si>
    <t>Maade/Måde/Esbjerg</t>
  </si>
  <si>
    <t>Hellesylt Hydrogen Hub</t>
  </si>
  <si>
    <t>Hellesylt</t>
  </si>
  <si>
    <t>HZI PtH Buchs</t>
  </si>
  <si>
    <t>Buchs</t>
  </si>
  <si>
    <t>Strandmollen Ljungby</t>
  </si>
  <si>
    <t>Ljungby</t>
  </si>
  <si>
    <t>Wien Energie -  Simmering</t>
  </si>
  <si>
    <t>Vienna</t>
  </si>
  <si>
    <t>HySolar HRS</t>
  </si>
  <si>
    <t>Nieuwegein</t>
  </si>
  <si>
    <t>Axpo Green Hydrogen Domat/Ems/Reichenau</t>
  </si>
  <si>
    <t>Domat/Ems</t>
  </si>
  <si>
    <t>Protium Project Pioneer 2</t>
  </si>
  <si>
    <t>Toledo Fusion Fuel - TOLSA H2 GREEN</t>
  </si>
  <si>
    <t>Toledo</t>
  </si>
  <si>
    <t>ESTECH Odense</t>
  </si>
  <si>
    <t>Sonderso</t>
  </si>
  <si>
    <t>H2 Pioneer - Villach</t>
  </si>
  <si>
    <t>Villach</t>
  </si>
  <si>
    <t>HY City Bremerhaven (HRS) (part of the eFarm network)</t>
  </si>
  <si>
    <t>Conseil 1</t>
  </si>
  <si>
    <t>Klimaneutrale Wasserstoffmobilität in Nienburg - Climate neutral hzdrogen mobility in Nieburg</t>
  </si>
  <si>
    <t>Nieburg</t>
  </si>
  <si>
    <t>Turn2x</t>
  </si>
  <si>
    <t>Miajadas</t>
  </si>
  <si>
    <t>VHyGO (Brest)</t>
  </si>
  <si>
    <t>Brest</t>
  </si>
  <si>
    <t>VHyGO (Saint-Nazaire)</t>
  </si>
  <si>
    <t>Saint-Nazaire</t>
  </si>
  <si>
    <t>KRUH2 ("Krummhoern H2" or "Realbetrieb KRUH2")</t>
  </si>
  <si>
    <t>Krummhorn</t>
  </si>
  <si>
    <t>BUKKABRÁNY PtG</t>
  </si>
  <si>
    <t>Bukkábrányi</t>
  </si>
  <si>
    <t>Dijon Metropole Smart Energy Nord</t>
  </si>
  <si>
    <t>Dijon</t>
  </si>
  <si>
    <t>Smart Quart (Kaisersesch)</t>
  </si>
  <si>
    <t>Kaisersesch</t>
  </si>
  <si>
    <t>FLEXnCONFU (Ribatejo)</t>
  </si>
  <si>
    <t>Carregado</t>
  </si>
  <si>
    <t>Portugal</t>
  </si>
  <si>
    <t>Glencore Nikkelverk</t>
  </si>
  <si>
    <t>Kristiansand</t>
  </si>
  <si>
    <t>Braunschweig Research Airport</t>
  </si>
  <si>
    <t>Braunschweig</t>
  </si>
  <si>
    <t>Green Hydrogen for mobility EMPARK</t>
  </si>
  <si>
    <t>Jaslovske Bohunice</t>
  </si>
  <si>
    <t>Slovakia</t>
  </si>
  <si>
    <t>HRS El Cisne Zaragoza</t>
  </si>
  <si>
    <t>Zaragoza</t>
  </si>
  <si>
    <t>Mobility of the Future (within "Innovation Liquid Energy")</t>
  </si>
  <si>
    <t>Graz</t>
  </si>
  <si>
    <t>PosHYdon</t>
  </si>
  <si>
    <t>H2 NFC / H2NFC</t>
  </si>
  <si>
    <t>Danjoutin</t>
  </si>
  <si>
    <t>Utilitas ELY (Phase 1)</t>
  </si>
  <si>
    <t>Talinn</t>
  </si>
  <si>
    <t>Estonia</t>
  </si>
  <si>
    <t>H2goesRail ely pilot</t>
  </si>
  <si>
    <t>Tubingen</t>
  </si>
  <si>
    <t>Hygo Vannes</t>
  </si>
  <si>
    <t>Vannes</t>
  </si>
  <si>
    <t>Hypilot Hystar</t>
  </si>
  <si>
    <t>Rogaland</t>
  </si>
  <si>
    <t>Kaupanes Hydrogen, Dalane at Egersund</t>
  </si>
  <si>
    <t>Egersund</t>
  </si>
  <si>
    <t>Arbikie Distillery</t>
  </si>
  <si>
    <t>Montrose</t>
  </si>
  <si>
    <t>VHyGO (Dieppe)</t>
  </si>
  <si>
    <t>Dieppe</t>
  </si>
  <si>
    <t>Solar foods (Phase 0)</t>
  </si>
  <si>
    <t>Lappeenranta</t>
  </si>
  <si>
    <t>Yara Sluiskil CCS</t>
  </si>
  <si>
    <t>Sluiskil</t>
  </si>
  <si>
    <t>SMR+CCS</t>
  </si>
  <si>
    <t>Holland Hydrogen (Phase 1)</t>
  </si>
  <si>
    <t>GALP Sines/Grey2Green I (Phase 1)</t>
  </si>
  <si>
    <t>Sines</t>
  </si>
  <si>
    <t>GET H2 Nukleus (Phase 1)</t>
  </si>
  <si>
    <t>Hy4Chem</t>
  </si>
  <si>
    <t>Ludwigshafen</t>
  </si>
  <si>
    <t>Bad Lauchstädt energy park</t>
  </si>
  <si>
    <t>Bad Lauchstadt</t>
  </si>
  <si>
    <t>Hyd'Occ - Port-La-nouvelle (Phase 1)</t>
  </si>
  <si>
    <t>Port-La-Nouvelle</t>
  </si>
  <si>
    <t>Hydrogen Hub Agder (Phase 1)</t>
  </si>
  <si>
    <t>Green Hydrogen 1/HyRo Scotland</t>
  </si>
  <si>
    <t>Lanark</t>
  </si>
  <si>
    <t>Lhyfe Le Cheylas</t>
  </si>
  <si>
    <t>Le Cheylas</t>
  </si>
  <si>
    <t>Lhyfe - Brake</t>
  </si>
  <si>
    <t>Brake</t>
  </si>
  <si>
    <t>HyBit</t>
  </si>
  <si>
    <t>Bremen-Mittelsburen</t>
  </si>
  <si>
    <t>Hunfeld-Michelsrombach Project (Phase 1)</t>
  </si>
  <si>
    <t>Hunfeld</t>
  </si>
  <si>
    <t>AmpHytrite</t>
  </si>
  <si>
    <t>H100 Fife Project - Levenmouth</t>
  </si>
  <si>
    <t>Methil</t>
  </si>
  <si>
    <t>Hydrogen Höfe Freienbach (Phase 1)</t>
  </si>
  <si>
    <t>Freienbach</t>
  </si>
  <si>
    <t>H2-Wyhlen (Phase 2)</t>
  </si>
  <si>
    <t>Hy’Touraine</t>
  </si>
  <si>
    <t>Sorigny</t>
  </si>
  <si>
    <t>Luckau ELY</t>
  </si>
  <si>
    <t>Luckau</t>
  </si>
  <si>
    <t>Lhyfe Croixrault</t>
  </si>
  <si>
    <t>Croixrault</t>
  </si>
  <si>
    <t>Nervia</t>
  </si>
  <si>
    <t>Turda</t>
  </si>
  <si>
    <t>Romania</t>
  </si>
  <si>
    <t>Decentralized energy supply for Lubesse</t>
  </si>
  <si>
    <t>Lubesse</t>
  </si>
  <si>
    <t>Redexis - Soria (H2 Duero)</t>
  </si>
  <si>
    <t>Soria</t>
  </si>
  <si>
    <t>KGH2P (Knockshinnoch Green Hydrogen Hub Project)</t>
  </si>
  <si>
    <t>New Cumnock</t>
  </si>
  <si>
    <t>Duwaal Initiative (Wind to Wheel/Hydrogen Mill)</t>
  </si>
  <si>
    <t>Wieringerwerf</t>
  </si>
  <si>
    <t>H2 Creteil</t>
  </si>
  <si>
    <t>Creteil</t>
  </si>
  <si>
    <t>Hollandse Kust Noord-Offshore</t>
  </si>
  <si>
    <t>ZE PAK Konin (Phase 1)</t>
  </si>
  <si>
    <t>Konin</t>
  </si>
  <si>
    <t>Terranova hydrogen project (Phase 1)</t>
  </si>
  <si>
    <t>Zelzate</t>
  </si>
  <si>
    <t>Lowestoft PowerPark hydrogen</t>
  </si>
  <si>
    <t>Lowestoft</t>
  </si>
  <si>
    <t>Gruyere H2 Power Bulle</t>
  </si>
  <si>
    <t>Bulle</t>
  </si>
  <si>
    <t>Fraunhofer Hydrogen Lab Gorlitz (Görlitz)</t>
  </si>
  <si>
    <t>Gorlitz (Görlitz)</t>
  </si>
  <si>
    <t>Hy.Waiblingen (part of the efarm / H2RIVERS project)</t>
  </si>
  <si>
    <t>Waiblingen</t>
  </si>
  <si>
    <t>Farma Trojmezi Energo Park</t>
  </si>
  <si>
    <t>Hranice</t>
  </si>
  <si>
    <t>Czechia</t>
  </si>
  <si>
    <t>Biofractory Pau</t>
  </si>
  <si>
    <t>Lescar</t>
  </si>
  <si>
    <t>Keme Energy - Sines (Phase 1)</t>
  </si>
  <si>
    <t>Fortum Loviisa</t>
  </si>
  <si>
    <t>Loviisa</t>
  </si>
  <si>
    <t>H2 Green Steel (H2GS)  (Phase 1)</t>
  </si>
  <si>
    <t>Boden</t>
  </si>
  <si>
    <t>Air Products  Rotterdam</t>
  </si>
  <si>
    <t>Rotterdam</t>
  </si>
  <si>
    <t>Air Liquide  Rotterdam</t>
  </si>
  <si>
    <t>Normand'Hy</t>
  </si>
  <si>
    <t>Port-Jerome</t>
  </si>
  <si>
    <t>Salzgitter Low CO2 Steelmaking (SALCOS)</t>
  </si>
  <si>
    <t>GET H2 Nukleus (Phase 2)</t>
  </si>
  <si>
    <t>Hyoffwind (Phase 1)</t>
  </si>
  <si>
    <t>Zeebrugge</t>
  </si>
  <si>
    <t>Castellon gH2</t>
  </si>
  <si>
    <t>Castellón de la Plana</t>
  </si>
  <si>
    <t>Centrale Électrique de l’Ouest Guyanais (CEOG)</t>
  </si>
  <si>
    <t>French Guiana</t>
  </si>
  <si>
    <t>3H2 – Helsinki Hydrogen Hub</t>
  </si>
  <si>
    <t>Vuossari</t>
  </si>
  <si>
    <t>Aberdeen Hydrogen Hub (Phase 1)</t>
  </si>
  <si>
    <t>Klaipeda HRS</t>
  </si>
  <si>
    <t>Klaipeda</t>
  </si>
  <si>
    <t>Lithuania</t>
  </si>
  <si>
    <t>Electrolysis plant Ljublana</t>
  </si>
  <si>
    <t>Ljublana</t>
  </si>
  <si>
    <t>Slovenia</t>
  </si>
  <si>
    <t>PRF/Cascais Proxima</t>
  </si>
  <si>
    <t>Cascais</t>
  </si>
  <si>
    <t>Clean Hydrogen Coastline - EWE East Frisia</t>
  </si>
  <si>
    <t>Emden</t>
  </si>
  <si>
    <t>GET H2 Nukleus (Phase 3)</t>
  </si>
  <si>
    <t>REFHYNE (Phase 2)</t>
  </si>
  <si>
    <t>Neptun Glomfjord Green Ammonia</t>
  </si>
  <si>
    <t>Glomfjord</t>
  </si>
  <si>
    <t>Pipeline nr.</t>
  </si>
  <si>
    <t>Segment</t>
  </si>
  <si>
    <t>Start</t>
  </si>
  <si>
    <t>Stop</t>
  </si>
  <si>
    <t>Approx location Start</t>
  </si>
  <si>
    <t>Approx location Stop</t>
  </si>
  <si>
    <t>A</t>
  </si>
  <si>
    <t>51.97126, 4.09208</t>
  </si>
  <si>
    <t>51.89378, 4.25756</t>
  </si>
  <si>
    <t>51.78012, 4.60214</t>
  </si>
  <si>
    <t>51.7104, 4.63922</t>
  </si>
  <si>
    <t>Dordrecht</t>
  </si>
  <si>
    <t>51.502, 4.31924</t>
  </si>
  <si>
    <t>Berg op Zoom</t>
  </si>
  <si>
    <t>51.20354, 4.40164</t>
  </si>
  <si>
    <t>Antwerpen</t>
  </si>
  <si>
    <t>51.12644, 4.21291</t>
  </si>
  <si>
    <t>Saint-Nicolas</t>
  </si>
  <si>
    <t>B</t>
  </si>
  <si>
    <t>51.07171, 4.72574</t>
  </si>
  <si>
    <t>Heist op den Berg</t>
  </si>
  <si>
    <t>51.0678, 4.88719</t>
  </si>
  <si>
    <t>Herselt</t>
  </si>
  <si>
    <t>C</t>
  </si>
  <si>
    <t>51.20096, 4.8356</t>
  </si>
  <si>
    <t>Herentals</t>
  </si>
  <si>
    <t>51.26975, 5.0773</t>
  </si>
  <si>
    <t>Rentie</t>
  </si>
  <si>
    <t>D</t>
  </si>
  <si>
    <t>51.11656, 3.76718</t>
  </si>
  <si>
    <t>Evergem</t>
  </si>
  <si>
    <t>E</t>
  </si>
  <si>
    <t>51.33157, 3.80838</t>
  </si>
  <si>
    <t>Terneuzen</t>
  </si>
  <si>
    <t>F</t>
  </si>
  <si>
    <t>51.04236, 3.72324</t>
  </si>
  <si>
    <t>Ghent</t>
  </si>
  <si>
    <t>G</t>
  </si>
  <si>
    <t>50.92732, 3.01243</t>
  </si>
  <si>
    <t>Routers</t>
  </si>
  <si>
    <t>51.32765, 3.20537</t>
  </si>
  <si>
    <t>Zeebruge</t>
  </si>
  <si>
    <t>H</t>
  </si>
  <si>
    <t>50.64459, 2.50903</t>
  </si>
  <si>
    <t>Morbecque</t>
  </si>
  <si>
    <t>50.60393, 2.2673</t>
  </si>
  <si>
    <t>Thérouanne</t>
  </si>
  <si>
    <t>I</t>
  </si>
  <si>
    <t>50.55043, 2.99738</t>
  </si>
  <si>
    <t>Séclin</t>
  </si>
  <si>
    <t>50.51553, 3.13525</t>
  </si>
  <si>
    <t>Ennevelin</t>
  </si>
  <si>
    <t>50.38061, 3.10139</t>
  </si>
  <si>
    <t>Waziers</t>
  </si>
  <si>
    <t>J</t>
  </si>
  <si>
    <t>50.43685, 2.83258</t>
  </si>
  <si>
    <t>Lens</t>
  </si>
  <si>
    <t>50.41761, 2.72134</t>
  </si>
  <si>
    <t>Aix-Noulette</t>
  </si>
  <si>
    <t>K</t>
  </si>
  <si>
    <t>50.86802, 4.23763</t>
  </si>
  <si>
    <t>Brussels</t>
  </si>
  <si>
    <t>50.55936, 4.21998</t>
  </si>
  <si>
    <t>Nivelles</t>
  </si>
  <si>
    <t>50.5341, 4.16782</t>
  </si>
  <si>
    <t>Mignaut</t>
  </si>
  <si>
    <t>50.49655, 4.0456</t>
  </si>
  <si>
    <t>Gottinies</t>
  </si>
  <si>
    <t>50.32852, 4.10877</t>
  </si>
  <si>
    <t>Erquelinnes</t>
  </si>
  <si>
    <t>50.27677, 3.96732</t>
  </si>
  <si>
    <t>Maubeuge</t>
  </si>
  <si>
    <t>L</t>
  </si>
  <si>
    <t>50.38722, 4.22413</t>
  </si>
  <si>
    <t>Buvrinnes</t>
  </si>
  <si>
    <t>50.34693, 4.39167</t>
  </si>
  <si>
    <t>Bomerée</t>
  </si>
  <si>
    <t>50.41147, 4.52871</t>
  </si>
  <si>
    <t>Chatelet</t>
  </si>
  <si>
    <t>51.04271, 7.00776</t>
  </si>
  <si>
    <t>51.28441, 6.8297</t>
  </si>
  <si>
    <t>Leverkusen</t>
  </si>
  <si>
    <t>Rath</t>
  </si>
  <si>
    <t>51.23671, 6.77683</t>
  </si>
  <si>
    <t>Dusseldorf</t>
  </si>
  <si>
    <t>51.3133, 6.84913</t>
  </si>
  <si>
    <t>Ratingen</t>
  </si>
  <si>
    <t>51.34185, 6.84834</t>
  </si>
  <si>
    <t>Lintorf</t>
  </si>
  <si>
    <t>51.33842, 6.59463</t>
  </si>
  <si>
    <t>Krefeld</t>
  </si>
  <si>
    <t>51.32426, 6.60459</t>
  </si>
  <si>
    <t>Krefeld S</t>
  </si>
  <si>
    <t>51.35579, 6.59772</t>
  </si>
  <si>
    <t>Krefeld N</t>
  </si>
  <si>
    <t>51.44619, 6.89264</t>
  </si>
  <si>
    <t>Essen</t>
  </si>
  <si>
    <t>51.43592, 6.76114</t>
  </si>
  <si>
    <t>Duisbourg</t>
  </si>
  <si>
    <t>51.56757, 6.98224</t>
  </si>
  <si>
    <t>Gladbeck</t>
  </si>
  <si>
    <t>51.57555, 7.02841</t>
  </si>
  <si>
    <t>Buer</t>
  </si>
  <si>
    <t>51.57499, 7.12272</t>
  </si>
  <si>
    <t>Resse</t>
  </si>
  <si>
    <t>51.54044, 7.19836</t>
  </si>
  <si>
    <t>Herne</t>
  </si>
  <si>
    <t>51.50519, 7.25535</t>
  </si>
  <si>
    <t>Bochum</t>
  </si>
  <si>
    <t>51.65744, 7.10167</t>
  </si>
  <si>
    <t>Marle</t>
  </si>
  <si>
    <t>51.56299, 7.30389</t>
  </si>
  <si>
    <t>Castrop Rauxel</t>
  </si>
  <si>
    <t>51.0181, 2.27423</t>
  </si>
  <si>
    <t>51.02591, 2.21837</t>
  </si>
  <si>
    <t>Dunkerque</t>
  </si>
  <si>
    <t>49.15149, 6.72629</t>
  </si>
  <si>
    <t>48.93934, 7.08824</t>
  </si>
  <si>
    <t>Carling</t>
  </si>
  <si>
    <t>Sarre-Union</t>
  </si>
  <si>
    <t>45.67302, 4.86024</t>
  </si>
  <si>
    <t>45.37397, 4.8112</t>
  </si>
  <si>
    <t>Feyzin</t>
  </si>
  <si>
    <t>Rousillon</t>
  </si>
  <si>
    <t>43.38807, 5.03056</t>
  </si>
  <si>
    <t>43.43788, 4.94571</t>
  </si>
  <si>
    <t>Lavera</t>
  </si>
  <si>
    <t>Fos sur mer</t>
  </si>
  <si>
    <t>49.47942, 0.54735</t>
  </si>
  <si>
    <t>49.49655, 0.52586</t>
  </si>
  <si>
    <t>46.25201, 6.94708</t>
  </si>
  <si>
    <t>46.24269, 6.98897</t>
  </si>
  <si>
    <t>Monthey</t>
  </si>
  <si>
    <t>Massongex</t>
  </si>
  <si>
    <t>37.13516, 15.20703</t>
  </si>
  <si>
    <t>37.17105, 15.18422</t>
  </si>
  <si>
    <t>Priolo S</t>
  </si>
  <si>
    <t>Priolo N</t>
  </si>
  <si>
    <t>51.04633, 12.14045</t>
  </si>
  <si>
    <t>51.20069, 12.38703</t>
  </si>
  <si>
    <t>Zeitz</t>
  </si>
  <si>
    <t>Boehlen</t>
  </si>
  <si>
    <t>51.25329, 11.95075</t>
  </si>
  <si>
    <t>Reichardtswerben</t>
  </si>
  <si>
    <t>51.32326, 12.02422</t>
  </si>
  <si>
    <t>51.39007, 11.98515</t>
  </si>
  <si>
    <t>Schkopau</t>
  </si>
  <si>
    <t>51.62653, 12.3133</t>
  </si>
  <si>
    <t>Bitterfeld</t>
  </si>
  <si>
    <t>51.89618, 12.20278</t>
  </si>
  <si>
    <t>Rodleben</t>
  </si>
  <si>
    <t>54.58488, -1.11819</t>
  </si>
  <si>
    <t>54.6122, -1.18004</t>
  </si>
  <si>
    <t>Lazenby</t>
  </si>
  <si>
    <t>Seal sands</t>
  </si>
  <si>
    <t>54.61297, -1.26455</t>
  </si>
  <si>
    <t>Billingham</t>
  </si>
  <si>
    <t>54.57798, -1.12085</t>
  </si>
  <si>
    <t>54.59628, -1.1902</t>
  </si>
  <si>
    <t>54.58831, -1.21452</t>
  </si>
  <si>
    <t>54.59726, -1.25417</t>
  </si>
  <si>
    <t>54.59368, -1.28216</t>
  </si>
  <si>
    <t>51.95502, 4.10166</t>
  </si>
  <si>
    <t>51.95163, 4.13634</t>
  </si>
  <si>
    <t>Europoort</t>
  </si>
  <si>
    <t>Brielle</t>
  </si>
  <si>
    <t>51.93385, 4.18166</t>
  </si>
  <si>
    <t>Wezerhaven</t>
  </si>
  <si>
    <t>51.89171, 4.25822</t>
  </si>
  <si>
    <t>Rozenburg</t>
  </si>
  <si>
    <t>51.85652, 4.38078</t>
  </si>
  <si>
    <t>Portugaal</t>
  </si>
  <si>
    <t>51.87739, 4.46936</t>
  </si>
  <si>
    <t>Charlois</t>
  </si>
  <si>
    <t>51.8371, 4.54249</t>
  </si>
  <si>
    <t>Heerjansdam</t>
  </si>
  <si>
    <t>51.82136, 4.65502</t>
  </si>
  <si>
    <t>Zwijndrecht</t>
  </si>
  <si>
    <t>45.42855, 12.2489</t>
  </si>
  <si>
    <t>45.43482, 12.2301</t>
  </si>
  <si>
    <t>Porto Marghera</t>
  </si>
  <si>
    <t>58.07973, 11.81399</t>
  </si>
  <si>
    <t>58.09074, 11.83176</t>
  </si>
  <si>
    <t>Stenungsund</t>
  </si>
  <si>
    <t>53.56546, 8.1209</t>
  </si>
  <si>
    <t>53.62373, 8.05622</t>
  </si>
  <si>
    <t>Wilhemshaven</t>
  </si>
  <si>
    <t>Wilhemshaven N</t>
  </si>
  <si>
    <t>51.33843, 3.77992</t>
  </si>
  <si>
    <t>51.27261, 3.84979</t>
  </si>
  <si>
    <t>Reference</t>
  </si>
  <si>
    <t>Owner</t>
  </si>
  <si>
    <t>End-users</t>
  </si>
  <si>
    <t>Length</t>
  </si>
  <si>
    <t>Capacity</t>
  </si>
  <si>
    <t>Diameter</t>
  </si>
  <si>
    <t>Pressure</t>
  </si>
  <si>
    <t>km</t>
  </si>
  <si>
    <t>m3/h</t>
  </si>
  <si>
    <t>mm</t>
  </si>
  <si>
    <t>bar</t>
  </si>
  <si>
    <t>Air Liquide</t>
  </si>
  <si>
    <t>Chemicals, Petrochmicals</t>
  </si>
  <si>
    <t>In operation</t>
  </si>
  <si>
    <t>Chemicals</t>
  </si>
  <si>
    <t>Chemicals, Petrochemicals</t>
  </si>
  <si>
    <t>Petrochemicals</t>
  </si>
  <si>
    <t>Linde</t>
  </si>
  <si>
    <t>Chemicals,Petrochemicals</t>
  </si>
  <si>
    <t>Air Products</t>
  </si>
  <si>
    <t>Borealis</t>
  </si>
  <si>
    <t>50-250</t>
  </si>
  <si>
    <t>Ineos</t>
  </si>
  <si>
    <t>Gasunie</t>
  </si>
  <si>
    <t>Project name</t>
  </si>
  <si>
    <t>Technology</t>
  </si>
  <si>
    <t>Location</t>
  </si>
  <si>
    <t>Salt caverns</t>
  </si>
  <si>
    <t>Etrez</t>
  </si>
  <si>
    <t>HYBRIT</t>
  </si>
  <si>
    <t>Hard rock cavern</t>
  </si>
  <si>
    <t>Svartöberget</t>
  </si>
  <si>
    <t>HyCAVmobil</t>
  </si>
  <si>
    <t>Rüdersdorf</t>
  </si>
  <si>
    <t>Underground Sun Storage</t>
  </si>
  <si>
    <t>Depleted gas field</t>
  </si>
  <si>
    <t>Gampern </t>
  </si>
  <si>
    <t>Date Last Researched</t>
  </si>
  <si>
    <t>project_name</t>
  </si>
  <si>
    <t>Capacity_mw</t>
  </si>
  <si>
    <t>start_year</t>
  </si>
  <si>
    <t>lat</t>
  </si>
  <si>
    <t>lon</t>
  </si>
  <si>
    <t>Waldpolenz solar farm</t>
  </si>
  <si>
    <t>operating</t>
  </si>
  <si>
    <t>Finsterwalde Solarpark</t>
  </si>
  <si>
    <t>Mulfingen Solarpark</t>
  </si>
  <si>
    <t>Turnow-Preilack Solarpark</t>
  </si>
  <si>
    <t>Mengkofen Solarpark</t>
  </si>
  <si>
    <t>21,7</t>
  </si>
  <si>
    <t>Rothenburg solar farm</t>
  </si>
  <si>
    <t>20,5</t>
  </si>
  <si>
    <t>Strasskirchen solar farm</t>
  </si>
  <si>
    <t>54,3</t>
  </si>
  <si>
    <t>Ernsthof Solar Power Plant</t>
  </si>
  <si>
    <t>Reckahn Solar Power Plant</t>
  </si>
  <si>
    <t>Tutow Solarpark</t>
  </si>
  <si>
    <t>25,5</t>
  </si>
  <si>
    <t>Eiche solar farm</t>
  </si>
  <si>
    <t>Finow Solarpark</t>
  </si>
  <si>
    <t>24,2</t>
  </si>
  <si>
    <t>Alt Daber solar farm</t>
  </si>
  <si>
    <t>Brandenburg-Briest Solar Power Plant</t>
  </si>
  <si>
    <t>Briest - Havelsee solar farm</t>
  </si>
  <si>
    <t>Drewitz Solarpark</t>
  </si>
  <si>
    <t>Eggebek Solar Power Plant</t>
  </si>
  <si>
    <t>Furstenwalde Solarpark</t>
  </si>
  <si>
    <t>Gahro Solar Power Plant</t>
  </si>
  <si>
    <t>Hyperion Solarpark</t>
  </si>
  <si>
    <t>Jura Solarpark</t>
  </si>
  <si>
    <t>Luckau Solar Power Plant</t>
  </si>
  <si>
    <t>Lönnewitz Solarpark</t>
  </si>
  <si>
    <t>Senftenberg Joule solar farm</t>
  </si>
  <si>
    <t>Torno solar farm</t>
  </si>
  <si>
    <t>Ammerland Solarpark</t>
  </si>
  <si>
    <t>20,8</t>
  </si>
  <si>
    <t>Dallgow-Doberitz solar farm</t>
  </si>
  <si>
    <t>Elsterheide solar farm</t>
  </si>
  <si>
    <t>Georgsdorf Solar</t>
  </si>
  <si>
    <t>24,7</t>
  </si>
  <si>
    <t>Senftenberg Saferay solar farm</t>
  </si>
  <si>
    <t>23,6</t>
  </si>
  <si>
    <t>Amsdorf solar farm</t>
  </si>
  <si>
    <t>25,2</t>
  </si>
  <si>
    <t>Barth Solarpark</t>
  </si>
  <si>
    <t>Bochow solar farm</t>
  </si>
  <si>
    <t>Büttel Solar Power Plant</t>
  </si>
  <si>
    <t>Delitzsch solar farm</t>
  </si>
  <si>
    <t>Elmenhorst Solarpark</t>
  </si>
  <si>
    <t>Gustrow Wirsol solar farm</t>
  </si>
  <si>
    <t>Köthen Solar Power Plant</t>
  </si>
  <si>
    <t>43,7</t>
  </si>
  <si>
    <t>Litten solar farm</t>
  </si>
  <si>
    <t>Neuhardenberg solar farm</t>
  </si>
  <si>
    <t>Perleberg Solar</t>
  </si>
  <si>
    <t>Templin Solarpark</t>
  </si>
  <si>
    <t>Walddrehna solar farm</t>
  </si>
  <si>
    <t>Pferdsfeld solar farm</t>
  </si>
  <si>
    <t>Neiße-Malxetal (Green Tower) Solarpark</t>
  </si>
  <si>
    <t>Krughütte solar farm</t>
  </si>
  <si>
    <t>Ahlhorn Solar Power Plant</t>
  </si>
  <si>
    <t>Eggersdorf solar farm</t>
  </si>
  <si>
    <t>Jannersdorf Solarpark South</t>
  </si>
  <si>
    <t>25,6</t>
  </si>
  <si>
    <t>Krempendorf Solarpark</t>
  </si>
  <si>
    <t>24,3</t>
  </si>
  <si>
    <t>Neiße-Malxetal Solarpark</t>
  </si>
  <si>
    <t>Pugnitz solar farm</t>
  </si>
  <si>
    <t>21,3</t>
  </si>
  <si>
    <t>Amberg-Unterallgäu solar farm</t>
  </si>
  <si>
    <t>Maßbach solar farm</t>
  </si>
  <si>
    <t>Zeithain solar farm</t>
  </si>
  <si>
    <t>Ganzlin Solar Park</t>
  </si>
  <si>
    <t>Parsberg Eichensee 2 solar farm</t>
  </si>
  <si>
    <t>20,6</t>
  </si>
  <si>
    <t>Schornhof solar farm</t>
  </si>
  <si>
    <t>20,4</t>
  </si>
  <si>
    <t>Weesow-Willmersdorf solar farm</t>
  </si>
  <si>
    <t>62,1</t>
  </si>
  <si>
    <t>61,8</t>
  </si>
  <si>
    <t>Leizen solar farm</t>
  </si>
  <si>
    <t>20,9</t>
  </si>
  <si>
    <t>Zietlitz solar farm</t>
  </si>
  <si>
    <t>Merkur solar farm</t>
  </si>
  <si>
    <t>Ebern Heubach solar farm</t>
  </si>
  <si>
    <t>Alsweiler solar farm</t>
  </si>
  <si>
    <t>Draisdorf-Eggenbach solar farm</t>
  </si>
  <si>
    <t>Burgstall West solar farm</t>
  </si>
  <si>
    <t>25,1</t>
  </si>
  <si>
    <t>Gaarz Sunnic solar farm</t>
  </si>
  <si>
    <t>70,9</t>
  </si>
  <si>
    <t>Groß Behnitz solar farm</t>
  </si>
  <si>
    <t>25,3</t>
  </si>
  <si>
    <t>Laubsdorf solar farm</t>
  </si>
  <si>
    <t>Schkölen 1.1 solar farm</t>
  </si>
  <si>
    <t>28,2</t>
  </si>
  <si>
    <t>21,8</t>
  </si>
  <si>
    <t>63,1</t>
  </si>
  <si>
    <t>Alttrebin Solarpark</t>
  </si>
  <si>
    <t>Gottesgabe Solar</t>
  </si>
  <si>
    <t>Klettwitz Solar Park</t>
  </si>
  <si>
    <t>Tramm Göthen solar farm</t>
  </si>
  <si>
    <t>Saturn solar farm</t>
  </si>
  <si>
    <t>21,6</t>
  </si>
  <si>
    <t>Lauterbach solar farm</t>
  </si>
  <si>
    <t>Hartungshof solar farm</t>
  </si>
  <si>
    <t>Bad Liebenwerda solar farm</t>
  </si>
  <si>
    <t>21,1</t>
  </si>
  <si>
    <t>Burghaslach solar farm</t>
  </si>
  <si>
    <t>Frestedt solar farm</t>
  </si>
  <si>
    <t>30,1</t>
  </si>
  <si>
    <t>Kemmen solar farm</t>
  </si>
  <si>
    <t>Kulmbach solar farm</t>
  </si>
  <si>
    <t>Schwarzheide solar farm</t>
  </si>
  <si>
    <t>Sonnenberg Issidau solar farm</t>
  </si>
  <si>
    <t>Strasen solar farm</t>
  </si>
  <si>
    <t>31,3</t>
  </si>
  <si>
    <t>Büttel solar farm</t>
  </si>
  <si>
    <t>Brunnen solar project</t>
  </si>
  <si>
    <t>82,3</t>
  </si>
  <si>
    <t>Klosterdorf solar project</t>
  </si>
  <si>
    <t>61,1</t>
  </si>
  <si>
    <t>Boitzenburger Land solar farm</t>
  </si>
  <si>
    <t>Bundorf Solar Park</t>
  </si>
  <si>
    <t>Döllen solar farm</t>
  </si>
  <si>
    <t>Quedlinburg solar farm</t>
  </si>
  <si>
    <t>Wasbek solar farm</t>
  </si>
  <si>
    <t>Wasbek 2.1 solar farm</t>
  </si>
  <si>
    <t>40,7</t>
  </si>
  <si>
    <t>Buch solar farm</t>
  </si>
  <si>
    <t>Eggebek 2.1 solar farm</t>
  </si>
  <si>
    <t>26,9</t>
  </si>
  <si>
    <t>Ehingen solar farm</t>
  </si>
  <si>
    <t>37,7</t>
  </si>
  <si>
    <t>Forsthof solar farm</t>
  </si>
  <si>
    <t>Gerdshagen solar project</t>
  </si>
  <si>
    <t>23,2</t>
  </si>
  <si>
    <t>Karlshausen-Bauabschnitt solar project</t>
  </si>
  <si>
    <t>Karrenzin solar farm</t>
  </si>
  <si>
    <t>27,1</t>
  </si>
  <si>
    <t>Külsheim solar farm</t>
  </si>
  <si>
    <t>29,7</t>
  </si>
  <si>
    <t>Küpfendorf solar farm</t>
  </si>
  <si>
    <t>24,5</t>
  </si>
  <si>
    <t>Lärz-Rechlin solar farm</t>
  </si>
  <si>
    <t>Merseburg solar farm</t>
  </si>
  <si>
    <t>Neef solar farm</t>
  </si>
  <si>
    <t>Peres solar farm</t>
  </si>
  <si>
    <t>37,4</t>
  </si>
  <si>
    <t>Poxstall solar project</t>
  </si>
  <si>
    <t>Rain-Atting-Straubing solar project</t>
  </si>
  <si>
    <t>Tarzow solar farm</t>
  </si>
  <si>
    <t>Teilbauabschnitt solar farm</t>
  </si>
  <si>
    <t>38,3</t>
  </si>
  <si>
    <t>Thüngen II solar farm</t>
  </si>
  <si>
    <t>22,5</t>
  </si>
  <si>
    <t>Witznitz solar farm</t>
  </si>
  <si>
    <t>415,3</t>
  </si>
  <si>
    <t>Schiebsdorf solar farm</t>
  </si>
  <si>
    <t>102,6</t>
  </si>
  <si>
    <t>Anlage Bauabschnitt 6 solar farm</t>
  </si>
  <si>
    <t>21,2</t>
  </si>
  <si>
    <t>Briedel solar farm</t>
  </si>
  <si>
    <t>37,9</t>
  </si>
  <si>
    <t>Emkendorf Nord 1.1 solar farm</t>
  </si>
  <si>
    <t>36,8</t>
  </si>
  <si>
    <t>FFPVA Calvörde Ost 20,914 MWp solar farm</t>
  </si>
  <si>
    <t>FFPVA Calvörde Ost solar farm</t>
  </si>
  <si>
    <t>Kleinschirma 1 solar farm</t>
  </si>
  <si>
    <t>Kleinschirma 2 solar farm</t>
  </si>
  <si>
    <t>PV Bedburg solar farm</t>
  </si>
  <si>
    <t>PV Hardheim-Erfeld solar farm</t>
  </si>
  <si>
    <t>PV Schwarzer Kamp 1 solar farm</t>
  </si>
  <si>
    <t>24,6</t>
  </si>
  <si>
    <t>PV-Anlage Lisberg solar farm</t>
  </si>
  <si>
    <t>PV-Anlage Wunsiedel West solar farm</t>
  </si>
  <si>
    <t>PV-Freilandanlage Deiderode solar farm</t>
  </si>
  <si>
    <t>31,6</t>
  </si>
  <si>
    <t>PVA Borrentin Nord solar farm</t>
  </si>
  <si>
    <t>59,2</t>
  </si>
  <si>
    <t>PVA Borrentin Süd solar farm</t>
  </si>
  <si>
    <t>PVA Georgental 1 Falkenhagen Solar UW Jacobsdorf solar project</t>
  </si>
  <si>
    <t>24,1</t>
  </si>
  <si>
    <t>PVA Georgental 2 Falkenhagen Solar UW Sieversdorf solar project</t>
  </si>
  <si>
    <t>24,8</t>
  </si>
  <si>
    <t>PVA Georgental 3 Falkenhagen Solar UW Sieversdorf solar project</t>
  </si>
  <si>
    <t>PVA Görlsdorf solar farm</t>
  </si>
  <si>
    <t>PVA Habscheid solar farm</t>
  </si>
  <si>
    <t>PVA Kalsow solar farm</t>
  </si>
  <si>
    <t>PVA Kleibrok solar farm</t>
  </si>
  <si>
    <t>39,1</t>
  </si>
  <si>
    <t>PVA Klosterheide TA I solar farm</t>
  </si>
  <si>
    <t>22,8</t>
  </si>
  <si>
    <t>PVA Wiesenhagen_EEG 2 solar farm</t>
  </si>
  <si>
    <t>58,6</t>
  </si>
  <si>
    <t>PVA Wuschewier solar farm</t>
  </si>
  <si>
    <t>Qair Solarpark Perleberg solar project</t>
  </si>
  <si>
    <t>22,1</t>
  </si>
  <si>
    <t>RWE Neuland I Solarpark solar project</t>
  </si>
  <si>
    <t>SE_2024_3617_Reisbach solar farm</t>
  </si>
  <si>
    <t>SE_Minderlittgen_WIL solar farm</t>
  </si>
  <si>
    <t>SW-SP-KLS20 solar farm</t>
  </si>
  <si>
    <t>Schönermark Tr. 101 solar farm</t>
  </si>
  <si>
    <t>Schönermark Tr. 102 solar farm</t>
  </si>
  <si>
    <t>26,7</t>
  </si>
  <si>
    <t>Solar Niederer Fläming solar project</t>
  </si>
  <si>
    <t>65,4</t>
  </si>
  <si>
    <t>Solarpark Jerchel West - Teilanlage 1 solar project</t>
  </si>
  <si>
    <t>Solarpark Schmachtenhagen-Wensickendorf solar project</t>
  </si>
  <si>
    <t>32,4</t>
  </si>
  <si>
    <t>Solarpark Schrobenhausen - Sandizell II - P21-010 Teil 1 solar project</t>
  </si>
  <si>
    <t>Solarpark Somborn solar project</t>
  </si>
  <si>
    <t>Solarpark in Erbach solar project</t>
  </si>
  <si>
    <t>26,5</t>
  </si>
  <si>
    <t>ABR966098019341 solar farm</t>
  </si>
  <si>
    <t>20,2</t>
  </si>
  <si>
    <t>Agethorst solar farm</t>
  </si>
  <si>
    <t>38,8</t>
  </si>
  <si>
    <t>Beilrode solar farm</t>
  </si>
  <si>
    <t>Bürgersolar Lerchenleite solar project</t>
  </si>
  <si>
    <t>Deubach solar farm</t>
  </si>
  <si>
    <t>48,4</t>
  </si>
  <si>
    <t>Friesen Elektra PV Sande I solar farm</t>
  </si>
  <si>
    <t>82,7</t>
  </si>
  <si>
    <t>Fuchsstadt Abschnitt 2 solar farm</t>
  </si>
  <si>
    <t>Gickelfeld solar project</t>
  </si>
  <si>
    <t>37,8</t>
  </si>
  <si>
    <t>Haidemühl solar farm</t>
  </si>
  <si>
    <t>21,9</t>
  </si>
  <si>
    <t>Letschin solar farm</t>
  </si>
  <si>
    <t>Neu Duvenstedt solar farm</t>
  </si>
  <si>
    <t>PV Großbardorf solar farm</t>
  </si>
  <si>
    <t>30,3</t>
  </si>
  <si>
    <t>PV Wolfsgarten solar farm</t>
  </si>
  <si>
    <t>42,7</t>
  </si>
  <si>
    <t>PVA KW Boxberg solar farm</t>
  </si>
  <si>
    <t>PV-Anlage B-Hallen - Messe München solar farm</t>
  </si>
  <si>
    <t>Solarpark Atzenhof solar project</t>
  </si>
  <si>
    <t>040 - Bürstadt BA I solar farm</t>
  </si>
  <si>
    <t>1,2</t>
  </si>
  <si>
    <t>040 - Bürstadt BA II solar farm</t>
  </si>
  <si>
    <t>040 - Bürstadt BA III solar farm</t>
  </si>
  <si>
    <t>040 - Bürstadt BA IV solar farm</t>
  </si>
  <si>
    <t>1,3</t>
  </si>
  <si>
    <t>Aufdachanlage MH DF 10/04 solar farm</t>
  </si>
  <si>
    <t>1,4</t>
  </si>
  <si>
    <t>Buttenwiesen I solar project</t>
  </si>
  <si>
    <t>Dingolfing solar farm</t>
  </si>
  <si>
    <t>1,7</t>
  </si>
  <si>
    <t>Erste Solarkraftwerk Saarbrücken GmbH &amp; CO. KG solar farm</t>
  </si>
  <si>
    <t>Espenhain-Mölbis 1 solar farm</t>
  </si>
  <si>
    <t>Espenhain-Mölbis 2 solar farm</t>
  </si>
  <si>
    <t>Espenhain-Mölbis 3 solar farm</t>
  </si>
  <si>
    <t>Espenhain-Mölbis 4 solar farm</t>
  </si>
  <si>
    <t>Geiseltalsee solar farm</t>
  </si>
  <si>
    <t>Lubmin solar farm</t>
  </si>
  <si>
    <t>1,8</t>
  </si>
  <si>
    <t>SP Günching solar farm</t>
  </si>
  <si>
    <t>1,9</t>
  </si>
  <si>
    <t>SP Höslwang solar farm</t>
  </si>
  <si>
    <t>SP Minihof solar farm</t>
  </si>
  <si>
    <t>SP Mühlhausen solar farm</t>
  </si>
  <si>
    <t>6,3</t>
  </si>
  <si>
    <t>Solarpark I solar farm</t>
  </si>
  <si>
    <t>mothballed</t>
  </si>
  <si>
    <t>Solarpark Meerane I solar farm</t>
  </si>
  <si>
    <t>1,1</t>
  </si>
  <si>
    <t>Voltwerk Solarpark 16 GmbH &amp; Co. KG Homburg solar farm</t>
  </si>
  <si>
    <t>2,6</t>
  </si>
  <si>
    <t>Voltwerk Solarpark 16 GmbH &amp; Co. KG Landau solar farm</t>
  </si>
  <si>
    <t>Voltwerk Solarpark 17 GmbH &amp; Co. KG Göttelborn solar farm</t>
  </si>
  <si>
    <t>4 1 solar project</t>
  </si>
  <si>
    <t>Acrona Photovoltaik -Pocking solar farm</t>
  </si>
  <si>
    <t>Anlage2 Freiland solar project</t>
  </si>
  <si>
    <t>Bad Grönenbach solar farm</t>
  </si>
  <si>
    <t>2,3</t>
  </si>
  <si>
    <t>Berngau solar farm</t>
  </si>
  <si>
    <t>Erstes Bürgersolarkraftwerk Großbardorf GmbH ＆ Co. KG Siedlerstr. 31 solar project</t>
  </si>
  <si>
    <t>Hallendächer solar farm</t>
  </si>
  <si>
    <t>3,7</t>
  </si>
  <si>
    <t>LBC-Würth 1 solar farm</t>
  </si>
  <si>
    <t>3,1</t>
  </si>
  <si>
    <t>Ochsenhof, 87657 Görisried solar farm</t>
  </si>
  <si>
    <t>PV 1 Solarpark S-E-M solar farm</t>
  </si>
  <si>
    <t>PV 2 Solarpark S-E-M solar farm</t>
  </si>
  <si>
    <t>PV Anlage Herrenwald solar farm</t>
  </si>
  <si>
    <t>PVA Borna solar farm</t>
  </si>
  <si>
    <t>3,5</t>
  </si>
  <si>
    <t>SP Straßkirchen solar farm</t>
  </si>
  <si>
    <t>SSKW Kappel-Grafenhausen solar farm</t>
  </si>
  <si>
    <t>SSS 05-001 solar farm</t>
  </si>
  <si>
    <t>Sinning solar farm</t>
  </si>
  <si>
    <t>Sinzheim solar farm</t>
  </si>
  <si>
    <t>Solarpark Aidenbach solar farm</t>
  </si>
  <si>
    <t>Solarpark Ballstadt I solar farm</t>
  </si>
  <si>
    <t>Solarpark GP I AE solar project</t>
  </si>
  <si>
    <t>Solarpark Hofkirchen 01 solar farm</t>
  </si>
  <si>
    <t>Solarpark Hofkirchen 02 solar farm</t>
  </si>
  <si>
    <t>Solarpark Miegersbach solar farm</t>
  </si>
  <si>
    <t>5,3</t>
  </si>
  <si>
    <t>Solarpark Penzing solar farm</t>
  </si>
  <si>
    <t>3,6</t>
  </si>
  <si>
    <t>Solarpark Raßbach 30.12.2005 solar farm</t>
  </si>
  <si>
    <t>Voltwerk Solarpark 12 GmbH &amp; Co. KG Jengen solar farm</t>
  </si>
  <si>
    <t>2,4</t>
  </si>
  <si>
    <t>Voltwerk Solarpark 12 GmbH &amp; Co. KG Rasch solar farm</t>
  </si>
  <si>
    <t>Voltwerk Solarpark 7 GmbH &amp; Co. KG Saarbrücken solar farm</t>
  </si>
  <si>
    <t>094a - Hartmann Halle 1-3 solar farm</t>
  </si>
  <si>
    <t>3,8</t>
  </si>
  <si>
    <t>3_2 solar farm</t>
  </si>
  <si>
    <t>3_4 solar farm</t>
  </si>
  <si>
    <t>83001 - Reithalle Würzburg solar farm</t>
  </si>
  <si>
    <t>83050 - Golfplatz Fürth 1, 2, 3 solar farm</t>
  </si>
  <si>
    <t>Aldi Rastatt solar farm</t>
  </si>
  <si>
    <t>Alto Solar solar farm</t>
  </si>
  <si>
    <t>Am Heigl-Weiher, Haimhausen 1 solar farm</t>
  </si>
  <si>
    <t>Assento Photovoltaik. GmbH&amp; Co. KG solar farm</t>
  </si>
  <si>
    <t>Eging am See solar farm</t>
  </si>
  <si>
    <t>Erstes Bürgersolarkraftwerk Fünfstetten GmbH &amp; Co. KG solar farm</t>
  </si>
  <si>
    <t>Freiflächenanlage Hettenleidelheim solar farm</t>
  </si>
  <si>
    <t>Heretsried solar farm</t>
  </si>
  <si>
    <t>Mering solar farm</t>
  </si>
  <si>
    <t>PV 3 Solarpark S-E-M solar farm</t>
  </si>
  <si>
    <t>PV Logport solar farm</t>
  </si>
  <si>
    <t>PV-Anlage Baltringen solar farm</t>
  </si>
  <si>
    <t>PV-Greding solar farm</t>
  </si>
  <si>
    <t>PV-Malgersdorf solar farm</t>
  </si>
  <si>
    <t>PV-Salching solar farm</t>
  </si>
  <si>
    <t>PVA Konz I solar farm</t>
  </si>
  <si>
    <t>Pfarrkirchen solar farm</t>
  </si>
  <si>
    <t>Rote Jahne 1/Inbetriebnahmeblock 1 solar farm</t>
  </si>
  <si>
    <t>3,2</t>
  </si>
  <si>
    <t>SharpScheuten 2006 solar farm</t>
  </si>
  <si>
    <t>Solarpark Althegnenberg solar farm</t>
  </si>
  <si>
    <t>2,2</t>
  </si>
  <si>
    <t>Solarpark Buchheim solar farm</t>
  </si>
  <si>
    <t>2,1</t>
  </si>
  <si>
    <t>Solarpark I II solar farm</t>
  </si>
  <si>
    <t>Solarpark Mahlberg GmbH ＆ Co. KG solar project</t>
  </si>
  <si>
    <t>Solarpark Montabaur GmbH &amp;Co. KG solar farm</t>
  </si>
  <si>
    <t>Solarpark Waldstetten GmbH &amp; Co. KG solar farm</t>
  </si>
  <si>
    <t>Standort Haunsfeld solar farm</t>
  </si>
  <si>
    <t>179001 - Göttelborn 2 solar farm</t>
  </si>
  <si>
    <t>4,4</t>
  </si>
  <si>
    <t>6_1 solar farm</t>
  </si>
  <si>
    <t>84107 - A94 Tögging Lärmschutzwand solar farm</t>
  </si>
  <si>
    <t>ArteM 2007 solar project</t>
  </si>
  <si>
    <t>Betriebsgesellschaft Gundelfingen 1 solar farm</t>
  </si>
  <si>
    <t>2,7</t>
  </si>
  <si>
    <t>Carpevigo Beteiligungs GmbH &amp; Co. Plattling KG solar farm</t>
  </si>
  <si>
    <t>DE-S-MUGGEN-IHL solar farm</t>
  </si>
  <si>
    <t>Dachanlage Aldi Ilmendorf 1 solar farm</t>
  </si>
  <si>
    <t>1,5</t>
  </si>
  <si>
    <t>Darast solar farm</t>
  </si>
  <si>
    <t>Deponiefläche solar farm</t>
  </si>
  <si>
    <t>Droyßig solar farm</t>
  </si>
  <si>
    <t>1,6</t>
  </si>
  <si>
    <t>Freifeldanlage solar farm</t>
  </si>
  <si>
    <t>Freifläche 1. Bauphase Südteil solar farm</t>
  </si>
  <si>
    <t>Freifläche Eppenschlag solar farm</t>
  </si>
  <si>
    <t>Freiflächenanlage MPV10 MZ 12/07 solar farm</t>
  </si>
  <si>
    <t>Freiflächenanlage MPV11 BB 12/07 solar farm</t>
  </si>
  <si>
    <t>Grans1613 solar farm</t>
  </si>
  <si>
    <t>Greding 1 solar farm</t>
  </si>
  <si>
    <t>Hiendorf solar farm</t>
  </si>
  <si>
    <t>IBC Solarfonds 2007 GmbH ＆ Co. KG Standort Hafenpreppach solar project</t>
  </si>
  <si>
    <t>KORDA Mobiliengesellschaft mbH &amp; Co. KG solar farm</t>
  </si>
  <si>
    <t>Karlstadt Laudenbach solar farm</t>
  </si>
  <si>
    <t>Kettershausen solar farm</t>
  </si>
  <si>
    <t>Kissing solar farm</t>
  </si>
  <si>
    <t>Longuich solar farm</t>
  </si>
  <si>
    <t>Michelin Anlage 1 solar farm</t>
  </si>
  <si>
    <t>Moorenweis Anlage I solar farm</t>
  </si>
  <si>
    <t>NIBRA solar farm</t>
  </si>
  <si>
    <t>Oberhörbach solar farm</t>
  </si>
  <si>
    <t>PAM 1 solar farm</t>
  </si>
  <si>
    <t>PAM 2 solar farm</t>
  </si>
  <si>
    <t>4,8</t>
  </si>
  <si>
    <t>PAM 3 solar farm</t>
  </si>
  <si>
    <t>PV Chemnitz - Blankenburgstraße solar farm</t>
  </si>
  <si>
    <t>PV Markt Bibart solar farm</t>
  </si>
  <si>
    <t>PV Mehring solar farm</t>
  </si>
  <si>
    <t>3,4</t>
  </si>
  <si>
    <t>PV Oberrieden solar farm</t>
  </si>
  <si>
    <t>PV Schneebergerhof Freifläche solar farm</t>
  </si>
  <si>
    <t>PV Weichering solar farm</t>
  </si>
  <si>
    <t>PV-Park In der Kultur solar farm</t>
  </si>
  <si>
    <t>3,3</t>
  </si>
  <si>
    <t>PV-Park Pfenninghof solar farm</t>
  </si>
  <si>
    <t>PV-Park Polditz solar farm</t>
  </si>
  <si>
    <t>PVA Kleinaitingen I solar farm</t>
  </si>
  <si>
    <t>5,1</t>
  </si>
  <si>
    <t>PVA Oberottmarshausen solar farm</t>
  </si>
  <si>
    <t>5,6</t>
  </si>
  <si>
    <t>PVA Röllbach solar project</t>
  </si>
  <si>
    <t>PVF Hurlach solar farm</t>
  </si>
  <si>
    <t>4,3</t>
  </si>
  <si>
    <t>Ramstein solar farm</t>
  </si>
  <si>
    <t>2,5</t>
  </si>
  <si>
    <t>Repo Solar Beteiligungs GmbH &amp; Co. Ampfing KG solar farm</t>
  </si>
  <si>
    <t>Rote Jahne 1/Inbetriebnahmeblock 2 solar farm</t>
  </si>
  <si>
    <t>Rote Jahne solar project</t>
  </si>
  <si>
    <t>SKH III Salmdorf solar project</t>
  </si>
  <si>
    <t>Salching solar farm</t>
  </si>
  <si>
    <t>Seefeld solar farm</t>
  </si>
  <si>
    <t>Solaris Zweite GmbH solar farm</t>
  </si>
  <si>
    <t>Solarkraftwerk Fitten solar farm</t>
  </si>
  <si>
    <t>Solarkraftwerk Gnodstadt solar farm</t>
  </si>
  <si>
    <t>Solarpark Adelsdorf GmbH &amp; Co. KG solar farm</t>
  </si>
  <si>
    <t>Solarpark Asperg Erste BA 1 solar farm</t>
  </si>
  <si>
    <t>Solarpark Bingen1 GmbH &amp; Co. KG solar farm</t>
  </si>
  <si>
    <t>Solarpark Bruhrain 2 solar farm</t>
  </si>
  <si>
    <t>Solarpark GP I SMA solar farm</t>
  </si>
  <si>
    <t>Solarpark Hettenkofen solar farm</t>
  </si>
  <si>
    <t>Solarpark II solar farm</t>
  </si>
  <si>
    <t>Solarpark III solar farm</t>
  </si>
  <si>
    <t>Solarpark Kleinaitingen GmbH &amp; Co. KG solar farm</t>
  </si>
  <si>
    <t>Solarpark Königsbrück I solar farm</t>
  </si>
  <si>
    <t>Solarpark Nord solar farm</t>
  </si>
  <si>
    <t>Solarpark Rickelshausen 1 solar farm</t>
  </si>
  <si>
    <t>Solarpark Roth GmbH &amp; Co. KG solar farm</t>
  </si>
  <si>
    <t>Solarpark Vestenbergsgreuth I solar farm</t>
  </si>
  <si>
    <t>Solarpark Victorbur solar farm</t>
  </si>
  <si>
    <t>Thierhaupten solar farm</t>
  </si>
  <si>
    <t>Wiesenbach solar farm</t>
  </si>
  <si>
    <t>mac 600 solar farm</t>
  </si>
  <si>
    <t>1.100 solar farm</t>
  </si>
  <si>
    <t>11_1 solar farm</t>
  </si>
  <si>
    <t>127 - Sturm Alte BSH solar farm</t>
  </si>
  <si>
    <t>136 - Metro solar farm</t>
  </si>
  <si>
    <t>Anlage Hechingen solar farm</t>
  </si>
  <si>
    <t>Dach Kraftwerk I solar farm</t>
  </si>
  <si>
    <t>Dahlen solar farm</t>
  </si>
  <si>
    <t>ESA Teil 2 solar farm</t>
  </si>
  <si>
    <t>Eco Invest Ergoldsbach Ziegelstraße solar project</t>
  </si>
  <si>
    <t>Freiberg Halde Saxonia 1 solar farm</t>
  </si>
  <si>
    <t>Grubhof I solar farm</t>
  </si>
  <si>
    <t>Gundelfingen 1 solar farm</t>
  </si>
  <si>
    <t>Hallendach I solar farm</t>
  </si>
  <si>
    <t>Haßleben BA 1-3 solar farm</t>
  </si>
  <si>
    <t>Haßleben BA 4 solar farm</t>
  </si>
  <si>
    <t>Helmeringen I solar farm</t>
  </si>
  <si>
    <t>IBC Solarfonds 2008 GmbH &amp; Co. KG solar farm</t>
  </si>
  <si>
    <t>Igling-Buchloe solar farm</t>
  </si>
  <si>
    <t>5,8</t>
  </si>
  <si>
    <t>KENRIC Mobilien Verwaltungsgesellschaft mbH 1 solar farm</t>
  </si>
  <si>
    <t>5,7</t>
  </si>
  <si>
    <t>Kinderbeuern Solar GmbH &amp; Co. KG solar farm</t>
  </si>
  <si>
    <t>Neuhaus-Stetten solar farm</t>
  </si>
  <si>
    <t>Oschersleben1 solar project</t>
  </si>
  <si>
    <t>PV Anlage Blumroda solar project</t>
  </si>
  <si>
    <t>PV Anlage EvoBus solar farm</t>
  </si>
  <si>
    <t>PV Aufroth- Süd solar farm</t>
  </si>
  <si>
    <t>PV Eitting 1 solar farm</t>
  </si>
  <si>
    <t>PV Freifläche Hettenkofen II solar farm</t>
  </si>
  <si>
    <t>PV Riol solar farm</t>
  </si>
  <si>
    <t>PV Rüsseina solar farm</t>
  </si>
  <si>
    <t>PV-Park I solar farm</t>
  </si>
  <si>
    <t>PV-Vilshofen 2 solar farm</t>
  </si>
  <si>
    <t>PV1 I solar farm</t>
  </si>
  <si>
    <t>PVA Ehekirchen solar farm</t>
  </si>
  <si>
    <t>PVA Hegnenbach solar farm</t>
  </si>
  <si>
    <t>PVA Hettenkofen solar farm</t>
  </si>
  <si>
    <t>PVA Lauingen solar farm</t>
  </si>
  <si>
    <t>2,9</t>
  </si>
  <si>
    <t>PVA SPI solar farm</t>
  </si>
  <si>
    <t>PVF Eckolstädt solar farm</t>
  </si>
  <si>
    <t>8,8</t>
  </si>
  <si>
    <t>PVF Froschham solar farm</t>
  </si>
  <si>
    <t>4,2</t>
  </si>
  <si>
    <t>Pflugdorf solar farm</t>
  </si>
  <si>
    <t>Photovoltaikpark Markt Indersdorf solar farm</t>
  </si>
  <si>
    <t>Photovoltaikpark Unterliezheim solar farm</t>
  </si>
  <si>
    <t>Riedstadt Leeheim FFA solar farm</t>
  </si>
  <si>
    <t>SP Wörr PV Wörr 10019 999001 solar project</t>
  </si>
  <si>
    <t>SP Wörr PV Wörr solar farm</t>
  </si>
  <si>
    <t>Seefeld 2008 solar farm</t>
  </si>
  <si>
    <t>Solarkraftwerk IRT solar farm</t>
  </si>
  <si>
    <t>8,5</t>
  </si>
  <si>
    <t>Solarkraftwerk Kolitzheim solar farm</t>
  </si>
  <si>
    <t>Solarpark 1 Zandtmühle solar farm</t>
  </si>
  <si>
    <t>Solarpark Asperg Erste BA 2 - WR4 solar farm</t>
  </si>
  <si>
    <t>Solarpark Asperg Erste BA 2 - WR5 solar farm</t>
  </si>
  <si>
    <t>Solarpark Asperg Erste BA 2 - WR6 solar farm</t>
  </si>
  <si>
    <t>Solarpark Asperg Sechste TF 1 - 1E01/02 solar farm</t>
  </si>
  <si>
    <t>Solarpark Asperg Sechste TF 1 - 1E03/04 solar farm</t>
  </si>
  <si>
    <t>Solarpark Asperg Sechste TF 1 - 1E05/06 solar farm</t>
  </si>
  <si>
    <t>Solarpark Asperg Sechste TF 1 - 1E07/08 solar farm</t>
  </si>
  <si>
    <t>Solarpark Asperg Sechste solar farm</t>
  </si>
  <si>
    <t>Solarpark Buttenwiesen II solar farm</t>
  </si>
  <si>
    <t>Solarpark Haunsfeld solar farm</t>
  </si>
  <si>
    <t>Solarpark Helmstadt GmbH &amp; Co. KG solar farm</t>
  </si>
  <si>
    <t>Solarpark Högel I GmbH &amp; Co. KG solar farm</t>
  </si>
  <si>
    <t>Solarpark IV solar farm</t>
  </si>
  <si>
    <t>Solarpark Kammerberg solar farm</t>
  </si>
  <si>
    <t>Solarpark Koppenzell solar farm</t>
  </si>
  <si>
    <t>Solarpark Lobstädt solar farm</t>
  </si>
  <si>
    <t>Solarpark Murr 1 GmbH &amp; Co. KG solar farm</t>
  </si>
  <si>
    <t>Solarpark Oberrüsselbach 2 solar farm</t>
  </si>
  <si>
    <t>Solarpark Pfeffenhausen-Egglhausen solar farm</t>
  </si>
  <si>
    <t>4,6</t>
  </si>
  <si>
    <t>Solarpark Schneeweiderhof solar farm</t>
  </si>
  <si>
    <t>Solarpark Teisendorf solar farm</t>
  </si>
  <si>
    <t>Solarpark Walldorf solar farm</t>
  </si>
  <si>
    <t>Solarpark Workerszell solar farm</t>
  </si>
  <si>
    <t>Stockstadt solar farm</t>
  </si>
  <si>
    <t>TSM Solarmodule solar project</t>
  </si>
  <si>
    <t>VW WOB H55 solar farm</t>
  </si>
  <si>
    <t>Waldalgesheim solar farm</t>
  </si>
  <si>
    <t>Wolfsburg solar project</t>
  </si>
  <si>
    <t>Zahna 1107 kWp solar farm</t>
  </si>
  <si>
    <t>Zeithain 1 solar farm</t>
  </si>
  <si>
    <t>3,9</t>
  </si>
  <si>
    <t>DE S TURNOW PRE solar project</t>
  </si>
  <si>
    <t>Repo Solar Beteiligungs GmbH &amp; Co. Liepolding KG II solar farm</t>
  </si>
  <si>
    <t>PVA Kottenheim, Markt Nordheim solar project II</t>
  </si>
  <si>
    <t>16 PVA Viernau solar farm</t>
  </si>
  <si>
    <t>84801 - Breitenau solar farm</t>
  </si>
  <si>
    <t>ABR 986908160933 solar farm</t>
  </si>
  <si>
    <t>Allmannshofen solar farm</t>
  </si>
  <si>
    <t>Aurich solar farm</t>
  </si>
  <si>
    <t>BGHW Gbr solar project</t>
  </si>
  <si>
    <t>Bischwind AL solar farm</t>
  </si>
  <si>
    <t>Blankenberg solar farm</t>
  </si>
  <si>
    <t>Burk solar farm</t>
  </si>
  <si>
    <t>Bürgersolarkraftwerk Hofbieber-Traisbach GmbH &amp; Co. KG solar farm</t>
  </si>
  <si>
    <t>Bürgersolarkraftwerk Rhön-Grabfeld ; Höchstadt solar farm</t>
  </si>
  <si>
    <t>Bürgersolarpark Wolfhagen GmbH &amp; Co. KG solar farm</t>
  </si>
  <si>
    <t>Cabrera solar farm</t>
  </si>
  <si>
    <t>Crimmitschau FrFl1 solar farm</t>
  </si>
  <si>
    <t>DPG Hollenbach solar farm</t>
  </si>
  <si>
    <t>Demsin solar farm</t>
  </si>
  <si>
    <t>Deuba solar farm</t>
  </si>
  <si>
    <t>Döbern VB1 Solar 2BA solar farm</t>
  </si>
  <si>
    <t>EZV Dep. Schippach solar farm</t>
  </si>
  <si>
    <t>EZV Dep. Wörth solar farm</t>
  </si>
  <si>
    <t>Effeldorf Solar GmbH &amp; Co. KG solar farm</t>
  </si>
  <si>
    <t>Egweil solar farm</t>
  </si>
  <si>
    <t>Elobau Solarpark Fraureuth solar farm</t>
  </si>
  <si>
    <t>Emlichheim solar farm</t>
  </si>
  <si>
    <t>Energiepark Neusaß solar farm</t>
  </si>
  <si>
    <t>FSF solar farm</t>
  </si>
  <si>
    <t>Fangana Mobilien Verwaltungsgesellschaft mbH Teil 1 solar farm</t>
  </si>
  <si>
    <t>Freifläche Eberting solar farm</t>
  </si>
  <si>
    <t>Freifläche I solar farm</t>
  </si>
  <si>
    <t>Freifläche Lohnacker solar farm</t>
  </si>
  <si>
    <t>Freiflächenanlage 3MH HF 12/09 solar farm</t>
  </si>
  <si>
    <t>Freiflächenanlage PV Thannhausen solar farm</t>
  </si>
  <si>
    <t>Fünfleiten solar farm</t>
  </si>
  <si>
    <t>G1 I solar farm</t>
  </si>
  <si>
    <t>G1 II solar farm</t>
  </si>
  <si>
    <t>G1 III solar farm</t>
  </si>
  <si>
    <t>G1 IV solar farm</t>
  </si>
  <si>
    <t>G1 V solar farm</t>
  </si>
  <si>
    <t>G1 VI solar farm</t>
  </si>
  <si>
    <t>GW Am Lachen 1 solar farm</t>
  </si>
  <si>
    <t>Glauchau I solar farm</t>
  </si>
  <si>
    <t>Green City Solarpark Pfalz GmbH ＆ Co. KG ImHorst18 solar project</t>
  </si>
  <si>
    <t>Gulben solar farm</t>
  </si>
  <si>
    <t>Halle solar farm</t>
  </si>
  <si>
    <t>Haßleben BA 5 solar farm</t>
  </si>
  <si>
    <t>Heimpersdorf solar farm</t>
  </si>
  <si>
    <t>Hildburghausen solar project</t>
  </si>
  <si>
    <t>Hohenberg solar farm</t>
  </si>
  <si>
    <t>2,8</t>
  </si>
  <si>
    <t>Hohenzell solar farm</t>
  </si>
  <si>
    <t>Hürbel SN 2009 solar farm</t>
  </si>
  <si>
    <t>Hüttelsgrün solar farm</t>
  </si>
  <si>
    <t>IBC Projekt 2009 GmbH &amp; Co. KG - Standort Neustrelitz solar farm</t>
  </si>
  <si>
    <t>IBC Projekt 2009 GmbH &amp;Co. KG - Standort Maroldsweisach solar farm</t>
  </si>
  <si>
    <t>IBC Solarfonds 2009 GmbH ＆ Co. KG Standort: Neustrelitz solar project</t>
  </si>
  <si>
    <t>KCH Sangerhausen solar project</t>
  </si>
  <si>
    <t>Kollmann Photovoltaik GbR solar project</t>
  </si>
  <si>
    <t>LHI Solar Deutschland GmbH &amp; Co. KG solar farm</t>
  </si>
  <si>
    <t>7,3</t>
  </si>
  <si>
    <t>Langenamming solar farm</t>
  </si>
  <si>
    <t>Lechner Solar solar farm</t>
  </si>
  <si>
    <t>MEL solar farm</t>
  </si>
  <si>
    <t>MONDAS Grundstücks-Verwaltungsgesellschaft mbH solar farm</t>
  </si>
  <si>
    <t>4,7</t>
  </si>
  <si>
    <t>Mieke solar project</t>
  </si>
  <si>
    <t>Möckern I solar project</t>
  </si>
  <si>
    <t>NDHE Bleicherode solar farm</t>
  </si>
  <si>
    <t>Nesserdeich 3 - S.A.T. 6 Hallen solar farm</t>
  </si>
  <si>
    <t>Neuburg I solar farm</t>
  </si>
  <si>
    <t>Niederarnbach ESP1 solar farm</t>
  </si>
  <si>
    <t>Niederarnbach ESP2 solar farm</t>
  </si>
  <si>
    <t>Nordendorf Ost solar farm</t>
  </si>
  <si>
    <t>Nordendorf West solar farm</t>
  </si>
  <si>
    <t>Oberostendorf I solar farm</t>
  </si>
  <si>
    <t>Oberostendorf II solar farm</t>
  </si>
  <si>
    <t>P08468 Ulm LN solar farm</t>
  </si>
  <si>
    <t>PV Aldersbach solar project</t>
  </si>
  <si>
    <t>PV Anlage 2009 solar farm</t>
  </si>
  <si>
    <t>PV Anlage Castrop Rauxel I solar project</t>
  </si>
  <si>
    <t>PV Anlage Leutkirch solar farm</t>
  </si>
  <si>
    <t>PV Anlage auf der Eselsbach solar farm</t>
  </si>
  <si>
    <t>PV BKS 1290 solar farm</t>
  </si>
  <si>
    <t>PV Dachanlage, Spitzwasen 12, Marktbreit solar project</t>
  </si>
  <si>
    <t>PV Dellbrück solar farm</t>
  </si>
  <si>
    <t>PV Ettersdorf solar project</t>
  </si>
  <si>
    <t>PV Freifläche Nindorf Teil I solar farm</t>
  </si>
  <si>
    <t>PV Hengersberg 2010 GmbH &amp; Co. KG solar farm</t>
  </si>
  <si>
    <t>PV Hochwang solar farm</t>
  </si>
  <si>
    <t>PV Holzgünz solar farm</t>
  </si>
  <si>
    <t>PV Kleinaitingen 2 solar farm</t>
  </si>
  <si>
    <t>PV Kraftwerk Königsbrück solar farm</t>
  </si>
  <si>
    <t>4,9</t>
  </si>
  <si>
    <t>PV Leibertingen solar farm</t>
  </si>
  <si>
    <t>PV Neukirchen I solar farm</t>
  </si>
  <si>
    <t>PV Oberkastl solar farm</t>
  </si>
  <si>
    <t>PV Park Bruck solar farm</t>
  </si>
  <si>
    <t>PV Sachsenham 2010 GmbH &amp; Co. KG solar farm</t>
  </si>
  <si>
    <t>PV Windpark solar farm</t>
  </si>
  <si>
    <t>PV-Anlage Gertrudenweg solar farm</t>
  </si>
  <si>
    <t>PV-Anlage IA solar farm</t>
  </si>
  <si>
    <t>PV-Anlage Riesa solar farm</t>
  </si>
  <si>
    <t>PV-Anlage-Postbauer-Heng solar farm</t>
  </si>
  <si>
    <t>PV-Freifläche solar farm</t>
  </si>
  <si>
    <t>PV-Freiflächenanlage Solarpark Pocking 2_WRH1 solar farm</t>
  </si>
  <si>
    <t>PV-Freiflächenanlage Solarpark Pocking 2_WRH2 solar farm</t>
  </si>
  <si>
    <t>PV-Freiflächenanlage Solarpark Pocking 2_WRH3 solar farm</t>
  </si>
  <si>
    <t>PV-Freiflächenanlage Solarpark Pocking 2_WRH4 solar farm</t>
  </si>
  <si>
    <t>PV-Freiflächenanlage Solarpark Pocking 2_WRH5 solar farm</t>
  </si>
  <si>
    <t>PV-Freiflächenanlage Solarpark Pocking 2_WRH6 solar farm</t>
  </si>
  <si>
    <t>PV-Freiflächenanlage Solarpark Pocking 2_WRH7 solar farm</t>
  </si>
  <si>
    <t>PV-Freiflächenanlage Solarpark Pocking 2_WRH8 solar farm</t>
  </si>
  <si>
    <t>PV-Freiflächenanlage Solarpark Pocking 2_WRH9 solar farm</t>
  </si>
  <si>
    <t>PV-Park Bachhagel solar farm</t>
  </si>
  <si>
    <t>PV-Park Schönanger solar farm</t>
  </si>
  <si>
    <t>PV2 (Friedeburg) solar project</t>
  </si>
  <si>
    <t>PVA Bissingen solar farm</t>
  </si>
  <si>
    <t>PVA Bitterfeld - Thor 3 solar farm</t>
  </si>
  <si>
    <t>PVA Bodenbach solar project</t>
  </si>
  <si>
    <t>PVA Fahrenzhausen-Viehbach solar farm</t>
  </si>
  <si>
    <t>PVA GVZ I solar farm</t>
  </si>
  <si>
    <t>PVA Kottenheim, Markt Nordheim solar project I</t>
  </si>
  <si>
    <t>PVA Oettingen solar farm</t>
  </si>
  <si>
    <t>6,1</t>
  </si>
  <si>
    <t>PVA Pähl solar farm</t>
  </si>
  <si>
    <t>PVA Ronneburg I solar farm</t>
  </si>
  <si>
    <t>PVA SPII solar farm</t>
  </si>
  <si>
    <t>PVA Schiltberg solar farm</t>
  </si>
  <si>
    <t>PVA Selterhof II solar farm</t>
  </si>
  <si>
    <t>PVA Tröglitz Stocksdorf 903001R solar project</t>
  </si>
  <si>
    <t>PVA Weiden Freifläche solar farm</t>
  </si>
  <si>
    <t>PVF Haag Gutestetten solar farm</t>
  </si>
  <si>
    <t>P_A solar farm</t>
  </si>
  <si>
    <t>5,5</t>
  </si>
  <si>
    <t>Photovoltaik Wendlinghausen solar farm</t>
  </si>
  <si>
    <t>Photovoltaik-Freiflächenanlage Solarpark Börrstadt solar farm</t>
  </si>
  <si>
    <t>Photovoltaikanlage Riegel solar farm</t>
  </si>
  <si>
    <t>Photovoltaikpark Deisenhofen solar farm</t>
  </si>
  <si>
    <t>Photovoltaikpark Gallmersgarten solar farm</t>
  </si>
  <si>
    <t>Photovoltaikpark Gerwisch solar farm</t>
  </si>
  <si>
    <t>8,6</t>
  </si>
  <si>
    <t>Photovoltaikpark Unterhaselbach solar farm</t>
  </si>
  <si>
    <t>Photovoltaikpark Wiedergeltingen solar farm</t>
  </si>
  <si>
    <t>RAI1.1 solar farm</t>
  </si>
  <si>
    <t>Repo Solar Beteiligungs GmbH &amp; Co. Hutthurm KG solar farm</t>
  </si>
  <si>
    <t>Repo Solar Beteiligungs GmbH &amp; Co. Liepolding KG I solar farm</t>
  </si>
  <si>
    <t>Repo Solar Beteiligungs GmbH &amp; Co. Osterhofen KG solar farm</t>
  </si>
  <si>
    <t>Reuden solar project</t>
  </si>
  <si>
    <t>Rieger Freifläche 1 solar farm</t>
  </si>
  <si>
    <t>Rohde Solar Solarfeld GbR solar farm</t>
  </si>
  <si>
    <t>SADAK Mobilien Verwaltungsgesellschaft mbH 2 solar farm</t>
  </si>
  <si>
    <t>SP Burgtonna solar farm</t>
  </si>
  <si>
    <t>SP NG solar farm</t>
  </si>
  <si>
    <t>Schöneiche solar farm</t>
  </si>
  <si>
    <t>Sohren I solar farm</t>
  </si>
  <si>
    <t>Sol Schwarzhof 1 &amp; 2 solar farm</t>
  </si>
  <si>
    <t>6,4</t>
  </si>
  <si>
    <t>Solar Hohberg solar farm</t>
  </si>
  <si>
    <t>Solar Tower - Schwaighausen solar farm</t>
  </si>
  <si>
    <t>Solar Wendlinghausen solar project</t>
  </si>
  <si>
    <t>Solaranlage Göddeldorf solar farm</t>
  </si>
  <si>
    <t>Solarenergie Sendenhorst GmbH &amp; Co. KG solar farm</t>
  </si>
  <si>
    <t>Solarfeld I solar farm</t>
  </si>
  <si>
    <t>Solarkraftrwerk Schwarzach GmbH &amp; Co. KG solar farm</t>
  </si>
  <si>
    <t>Solarkraftwerk Finsterwalde GmbH &amp; Co. KG solar farm</t>
  </si>
  <si>
    <t>Solarkraftwerk Gottmannsdorf GmbH &amp; Co. KG solar farm</t>
  </si>
  <si>
    <t>8,2</t>
  </si>
  <si>
    <t>Solarkraftwerk Großhaslach GmbH &amp; Co. KG solar farm</t>
  </si>
  <si>
    <t>6,9</t>
  </si>
  <si>
    <t>Solarkraftwerk Höttingen GmbH &amp; Co. KG solar farm</t>
  </si>
  <si>
    <t>Solarkraftwerk Jessen GmbH &amp; Co. KG solar farm</t>
  </si>
  <si>
    <t>Solarkraftwerk Kenn solar farm</t>
  </si>
  <si>
    <t>Solarkraftwerk Müncherlbach solar farm</t>
  </si>
  <si>
    <t>Solarkraftwerk Neuhöflein GmbH &amp; Co. KG solar farm</t>
  </si>
  <si>
    <t>Solarkraftwerk Repperndorf GmbH &amp; Co. KG solar farm</t>
  </si>
  <si>
    <t>8,3</t>
  </si>
  <si>
    <t>Solarkraftwerk Thiersheim solar farm</t>
  </si>
  <si>
    <t>Solarkraftwerk solar farm</t>
  </si>
  <si>
    <t>Solarpark "Am Hauptbühl" solar farm</t>
  </si>
  <si>
    <t>Solarpark 1166, 1167 solar farm</t>
  </si>
  <si>
    <t>Solarpark Allmannshofen 1 solar farm</t>
  </si>
  <si>
    <t>7,1</t>
  </si>
  <si>
    <t>Solarpark Am Wartturm solar farm</t>
  </si>
  <si>
    <t>Solarpark Asperg Fünfte solar farm</t>
  </si>
  <si>
    <t>9,1</t>
  </si>
  <si>
    <t>Solarpark Asperg Zweite solar farm</t>
  </si>
  <si>
    <t>Solarpark Bellenberg 1 solar farm</t>
  </si>
  <si>
    <t>Solarpark Bernsdorf solar farm</t>
  </si>
  <si>
    <t>Solarpark Biederbach solar farm</t>
  </si>
  <si>
    <t>Solarpark Bolzhausen solar farm</t>
  </si>
  <si>
    <t>Solarpark Bordelumer Koog solar farm</t>
  </si>
  <si>
    <t>Solarpark Buch am Wald solar farm</t>
  </si>
  <si>
    <t>Solarpark Butzbach GmbH &amp; Co. KG I solar farm</t>
  </si>
  <si>
    <t>Solarpark Cismar solar farm</t>
  </si>
  <si>
    <t>Solarpark Dettenhofen solar farm</t>
  </si>
  <si>
    <t>Solarpark Dormagen GmbH &amp; Co. KG solar farm</t>
  </si>
  <si>
    <t>Solarpark Dülmen solar farm</t>
  </si>
  <si>
    <t>Solarpark Eckendorf solar farm</t>
  </si>
  <si>
    <t>Solarpark Eging solar farm</t>
  </si>
  <si>
    <t>Solarpark Fritz-Erler Gut Eichenberg solar farm</t>
  </si>
  <si>
    <t>Solarpark Fritz-Erler Petersweg solar farm</t>
  </si>
  <si>
    <t>Solarpark Greding 2 solar farm</t>
  </si>
  <si>
    <t>Solarpark Greding I solar farm</t>
  </si>
  <si>
    <t>Solarpark Greding II solar farm</t>
  </si>
  <si>
    <t>Solarpark Guggenberger Betonwerk solar farm</t>
  </si>
  <si>
    <t>Solarpark Hadersbach solar farm</t>
  </si>
  <si>
    <t>Solarpark Hungen solar farm</t>
  </si>
  <si>
    <t>Solarpark Höheinöd solar farm</t>
  </si>
  <si>
    <t>Solarpark Kehlmünz solar farm</t>
  </si>
  <si>
    <t>Solarpark Kirchheim GmbH &amp; Co. KG solar farm</t>
  </si>
  <si>
    <t>Solarpark Krumbach I solar farm</t>
  </si>
  <si>
    <t>Solarpark Krumbach II solar farm</t>
  </si>
  <si>
    <t>Solarpark Köching solar farm</t>
  </si>
  <si>
    <t>Solarpark Lauingen solar farm</t>
  </si>
  <si>
    <t>9,4</t>
  </si>
  <si>
    <t>Solarpark Leiwen solar farm</t>
  </si>
  <si>
    <t>Solarpark Leo solar farm</t>
  </si>
  <si>
    <t>Solarpark Miesberg solar farm</t>
  </si>
  <si>
    <t>4,1</t>
  </si>
  <si>
    <t>Solarpark Nuppling solar farm</t>
  </si>
  <si>
    <t>Solarpark Obergimpern solar farm</t>
  </si>
  <si>
    <t>Solarpark Obernzenn solar farm</t>
  </si>
  <si>
    <t>Solarpark Pfeffenhausen-Egglhausen OST solar farm</t>
  </si>
  <si>
    <t>Solarpark Radelstetten B1 solar farm</t>
  </si>
  <si>
    <t>Solarpark Rotthalmünster solar farm</t>
  </si>
  <si>
    <t>Solarpark Sankt Augustin GmbH &amp; Co. KG solar farm</t>
  </si>
  <si>
    <t>Solarpark Schnaittenbach solar farm</t>
  </si>
  <si>
    <t>Solarpark Sturm Schwinneck solar farm</t>
  </si>
  <si>
    <t>Solarpark Thießen solar farm</t>
  </si>
  <si>
    <t>Solarpark V solar farm</t>
  </si>
  <si>
    <t>Solarpark VI solar farm</t>
  </si>
  <si>
    <t>Solarpark Windorf solar farm</t>
  </si>
  <si>
    <t>Solarpark Winisau Aufgeständerte Anlage solar farm</t>
  </si>
  <si>
    <t>Solarpark Zachow solar farm</t>
  </si>
  <si>
    <t>TEN Schwege solar farm</t>
  </si>
  <si>
    <t>Tutow I Solarpark Freiflächenanlage solar farm</t>
  </si>
  <si>
    <t>6,8</t>
  </si>
  <si>
    <t>Türkenfeld solar farm</t>
  </si>
  <si>
    <t>Udestedt solar farm</t>
  </si>
  <si>
    <t>VW Kassel solar farm</t>
  </si>
  <si>
    <t>Windischeschenbach solar farm</t>
  </si>
  <si>
    <t>Zahna 1533,72 kWp solar farm</t>
  </si>
  <si>
    <t>Zeithain 2 solar farm</t>
  </si>
  <si>
    <t>8,1</t>
  </si>
  <si>
    <t>frontier BS Eins solar project</t>
  </si>
  <si>
    <t>provent Rüdersdorf solar farm</t>
  </si>
  <si>
    <t>Freiflächen PV Anlage Honerdingen solar farm</t>
  </si>
  <si>
    <t>0294 - Porsche Sachsenheim solar farm</t>
  </si>
  <si>
    <t>045-Hontheim solar farm</t>
  </si>
  <si>
    <t>10125 SP Watzmannsberg AT-1 solar farm</t>
  </si>
  <si>
    <t>10222 SP Pöffelkofen solar farm</t>
  </si>
  <si>
    <t>149752 solar project</t>
  </si>
  <si>
    <t>21_1 solar farm</t>
  </si>
  <si>
    <t>22 Deponie Brombachtal solar farm</t>
  </si>
  <si>
    <t>25 Freifläche Beerfelden solar farm</t>
  </si>
  <si>
    <t>56509 solar project</t>
  </si>
  <si>
    <t>8001 - ERGOldsbach solar farm</t>
  </si>
  <si>
    <t>5,2</t>
  </si>
  <si>
    <t>9001 Solarpark Hundertjauchert solar farm</t>
  </si>
  <si>
    <t>92046-Rommersheim solar farm</t>
  </si>
  <si>
    <t>ABR 925712775063 solar farm</t>
  </si>
  <si>
    <t>ABR927414903843 solar farm</t>
  </si>
  <si>
    <t>ABR979332184545 I solar farm</t>
  </si>
  <si>
    <t>ABR983733596074 solar farm</t>
  </si>
  <si>
    <t>AGM Energie solar farm</t>
  </si>
  <si>
    <t>Aachen Nerscheider Weg 170 No 27 solar farm</t>
  </si>
  <si>
    <t>Abtswind GbR solar farm</t>
  </si>
  <si>
    <t>Altdöbern solar farm</t>
  </si>
  <si>
    <t>Am Heigl-Weiher, Haimhausen 2 solar farm</t>
  </si>
  <si>
    <t>Anlage 1 Ehem. BW-Schießgelände solar farm</t>
  </si>
  <si>
    <t>Anlage 5 (14569) solar farm</t>
  </si>
  <si>
    <t>Anlage Ketzin solar farm</t>
  </si>
  <si>
    <t>Anlage_6_Freifeld solar farm</t>
  </si>
  <si>
    <t>Asch Park solar farm</t>
  </si>
  <si>
    <t>Aschendorf HN 68 solar farm</t>
  </si>
  <si>
    <t>Aurach-Wahrberg-Solar GmbH solar farm</t>
  </si>
  <si>
    <t>BA Frei solar farm</t>
  </si>
  <si>
    <t>BA1 I solar farm</t>
  </si>
  <si>
    <t>BS 1 solar farm</t>
  </si>
  <si>
    <t>BSKWN PV-Freifläche solar farm</t>
  </si>
  <si>
    <t>Bahnweg solar farm</t>
  </si>
  <si>
    <t>Baumgärtner Solarpark solar farm</t>
  </si>
  <si>
    <t>Bavaria Sun Park Dobenreuth solar farm</t>
  </si>
  <si>
    <t>Birkenbusch Freilandsolar solar farm</t>
  </si>
  <si>
    <t>Bürger-Solarpark Bohmstedt solar farm</t>
  </si>
  <si>
    <t>Bürgersolarkraftwerk Haag GmbH &amp; Co KG solar farm</t>
  </si>
  <si>
    <t>Bürgersolarpark Bad Emstal GmbH &amp; Co. KG solar farm</t>
  </si>
  <si>
    <t>Bürgersolarpark Grebenstein GmbH &amp; Co. KG solar farm</t>
  </si>
  <si>
    <t>Bürgersolarpark Viöl GmbH &amp; Co. KG solar farm</t>
  </si>
  <si>
    <t>Bürgersolarpark Volkmarsen GmbH &amp; Co. KG solar farm</t>
  </si>
  <si>
    <t>Calbe solar farm</t>
  </si>
  <si>
    <t>Carolinensiel solar farm</t>
  </si>
  <si>
    <t>DE-S-ANTDOR-FRE solar farm</t>
  </si>
  <si>
    <t>DE28.003 Solarpark Crailsheim-Maulach solar farm</t>
  </si>
  <si>
    <t>DGP_Marktheidenfeld solar farm</t>
  </si>
  <si>
    <t>DGP_Sonnewalde solar farm</t>
  </si>
  <si>
    <t>DSP solar farm</t>
  </si>
  <si>
    <t>Dachanlage Derching solar farm</t>
  </si>
  <si>
    <t>Darast Nord solar farm</t>
  </si>
  <si>
    <t>Delitzsch Dach solar project</t>
  </si>
  <si>
    <t>Denkendorf solar farm</t>
  </si>
  <si>
    <t>Drasberger Weg Brodersby Einsp solar farm</t>
  </si>
  <si>
    <t>ENEG 2 UG solar farm</t>
  </si>
  <si>
    <t>EPC 17 solar farm</t>
  </si>
  <si>
    <t>EPC 26 solar farm</t>
  </si>
  <si>
    <t>EPC 7 solar farm</t>
  </si>
  <si>
    <t>EPD Abschnitt 1 solar farm</t>
  </si>
  <si>
    <t>EPD Abschnitt 2 solar farm</t>
  </si>
  <si>
    <t>EPD Abschnitt 3 solar project</t>
  </si>
  <si>
    <t>EPE 2 solar farm</t>
  </si>
  <si>
    <t>EVO Obergimpern solar farm</t>
  </si>
  <si>
    <t>Enex II /III Solea solar farm</t>
  </si>
  <si>
    <t>Ernsthof Ost solar farm</t>
  </si>
  <si>
    <t>FFA Waldböckelheim 2 solar farm</t>
  </si>
  <si>
    <t>FFA Waldböckelheim solar farm</t>
  </si>
  <si>
    <t>FIWA 12 solar project</t>
  </si>
  <si>
    <t>FR10 solar farm</t>
  </si>
  <si>
    <t>FRA1 solar farm</t>
  </si>
  <si>
    <t>Falken-Solar Freifläche solar farm</t>
  </si>
  <si>
    <t>Fangana Mobilien Verwaltungsgesellschaft mbH Teil 2 solar farm</t>
  </si>
  <si>
    <t>Feldanlage HN Solar solar farm</t>
  </si>
  <si>
    <t>Felix-Wankel-Straße solar farm</t>
  </si>
  <si>
    <t>Frankfurt DB Regio solar project</t>
  </si>
  <si>
    <t>Freienbrink solar farm</t>
  </si>
  <si>
    <t>Freifläche ABR984585948998 solar farm</t>
  </si>
  <si>
    <t>Freifläche Attenkirchen solar farm</t>
  </si>
  <si>
    <t>Freifläche Bad Wörishofen solar farm</t>
  </si>
  <si>
    <t>Freifläche II solar farm</t>
  </si>
  <si>
    <t>Freifläche III solar farm</t>
  </si>
  <si>
    <t>Freifläche IV solar farm</t>
  </si>
  <si>
    <t>Freifläche Laudenbach solar farm</t>
  </si>
  <si>
    <t>Freifläche Parnkofen solar farm</t>
  </si>
  <si>
    <t>Freifläche Stadum solar farm</t>
  </si>
  <si>
    <t>Freifläche V solar farm</t>
  </si>
  <si>
    <t>Freifläche VI solar farm</t>
  </si>
  <si>
    <t>Freifläche VII solar farm</t>
  </si>
  <si>
    <t>Freifläche VIII solar farm</t>
  </si>
  <si>
    <t>Freiflächen PV-Anlage Salgen solar farm</t>
  </si>
  <si>
    <t>Freiflächenanlage 2MH ST 06/10 solar farm</t>
  </si>
  <si>
    <t>Freiflächenanlage Busenwurth Stadtwerke Glückstadt solar project</t>
  </si>
  <si>
    <t>Freiflächenfotovoltaikanlage solar farm</t>
  </si>
  <si>
    <t>Freiflächensolaranlage Kluiser Dreieck 2010 solar farm</t>
  </si>
  <si>
    <t>Freilandanlage Lauta solar farm</t>
  </si>
  <si>
    <t>Freilandanlage, Gersheim solar farm</t>
  </si>
  <si>
    <t>Fuchsmühl solar farm</t>
  </si>
  <si>
    <t>G1 VII solar farm</t>
  </si>
  <si>
    <t>G1 VIII solar farm</t>
  </si>
  <si>
    <t>GER solar farm</t>
  </si>
  <si>
    <t>GE_A solar farm</t>
  </si>
  <si>
    <t>GHNS Photovoltaik GmbH &amp; Co. Vetschau KG solar farm</t>
  </si>
  <si>
    <t>GWG 8 solar farm</t>
  </si>
  <si>
    <t>Gerhausen-Park solar farm</t>
  </si>
  <si>
    <t>Glasewitz solar farm</t>
  </si>
  <si>
    <t>Grafentraubach FF solar farm</t>
  </si>
  <si>
    <t>Green-Solar Eisleben GmbH &amp; Co. KG solar farm</t>
  </si>
  <si>
    <t>Großmehring solar farm</t>
  </si>
  <si>
    <t>HEB FF solar farm</t>
  </si>
  <si>
    <t>Halle WaBu solar farm</t>
  </si>
  <si>
    <t>Hallendach II solar farm</t>
  </si>
  <si>
    <t>Hasselbach I solar farm</t>
  </si>
  <si>
    <t>Haßleben BA 6 solar farm</t>
  </si>
  <si>
    <t>Hebertsfelden 1 solar farm</t>
  </si>
  <si>
    <t>Helbra solar farm</t>
  </si>
  <si>
    <t>11,5</t>
  </si>
  <si>
    <t>Herzberg KAN139557 solar farm</t>
  </si>
  <si>
    <t>Herzberg KAN166119 solar farm</t>
  </si>
  <si>
    <t>Herzberg KAN166120 solar farm</t>
  </si>
  <si>
    <t>Herzberg KAN166586 solar farm</t>
  </si>
  <si>
    <t>Herzberg KAN166588 solar farm</t>
  </si>
  <si>
    <t>Herzberg KAN166608 solar farm</t>
  </si>
  <si>
    <t>Herzberg KAN166609 solar farm</t>
  </si>
  <si>
    <t>Herzberg KAN166611 solar farm</t>
  </si>
  <si>
    <t>Hettenkofen (Niederbayern) solar farm</t>
  </si>
  <si>
    <t>Hohenwulsch solar project</t>
  </si>
  <si>
    <t>Homburg solar project</t>
  </si>
  <si>
    <t>Horgau solar farm</t>
  </si>
  <si>
    <t>Humptrup solar farm</t>
  </si>
  <si>
    <t>Hörlkofen solar farm</t>
  </si>
  <si>
    <t>IBC Projekt Grimmen GmbH &amp; Co. KG solar farm</t>
  </si>
  <si>
    <t>IBC Projekt Gut Leimershof GmbH &amp; Co. KG solar farm</t>
  </si>
  <si>
    <t>7,2</t>
  </si>
  <si>
    <t>Ideemasun EP 16_SP Buchhofen 1 solar farm</t>
  </si>
  <si>
    <t>InEL Wietmarschen solar farm</t>
  </si>
  <si>
    <t>InfraClass Energie 7 Ost solar farm</t>
  </si>
  <si>
    <t>InfraClass Energie 7 West solar farm</t>
  </si>
  <si>
    <t>Jatzke solar farm</t>
  </si>
  <si>
    <t>KOE solar farm</t>
  </si>
  <si>
    <t>KOE2 solar project</t>
  </si>
  <si>
    <t>KW_SP_Ibb solar farm</t>
  </si>
  <si>
    <t>Kirchenpingarten_PV-Anlage_Freifläche solar farm</t>
  </si>
  <si>
    <t>Klanxbüller Energiepark GmbH&amp;Co. KG solar farm</t>
  </si>
  <si>
    <t>5,4</t>
  </si>
  <si>
    <t>Klimaschutzprojekt solar farm</t>
  </si>
  <si>
    <t>Kommunalunternehmen Vierkirchen GmbH Freiflächenfotovotaikanlage solar farm</t>
  </si>
  <si>
    <t>Kraftfeld S1S2 solar farm</t>
  </si>
  <si>
    <t>K＆H Solar GbR solar project</t>
  </si>
  <si>
    <t>LHI Solar Deutschland II GmbH &amp; Co. KG (PVA Kinderbeuern) I solar farm</t>
  </si>
  <si>
    <t>LHI Solar Deutschland II GmbH &amp; Co. KG (PVA Kinderbeuern) II solar farm</t>
  </si>
  <si>
    <t>LHI Solar Deutschland II GmbH &amp; Co. KG (PVA Mulfingen) solar farm</t>
  </si>
  <si>
    <t>Lindenau solar farm</t>
  </si>
  <si>
    <t>Lindenhof solar farm</t>
  </si>
  <si>
    <t>Lorsch solar project</t>
  </si>
  <si>
    <t>Losten solar farm</t>
  </si>
  <si>
    <t>Luckenwalde 1 solar farm</t>
  </si>
  <si>
    <t>Lö I A4 solar project</t>
  </si>
  <si>
    <t>Löbnitz solar farm</t>
  </si>
  <si>
    <t>MEL2 solar farm</t>
  </si>
  <si>
    <t>Magdala I solar farm</t>
  </si>
  <si>
    <t>Malsch Greentec solar project</t>
  </si>
  <si>
    <t>Mittelberg solar farm</t>
  </si>
  <si>
    <t>Mittelwasungen GbR solar farm</t>
  </si>
  <si>
    <t>NMB Star Asset Sun Velden BA1 solar farm</t>
  </si>
  <si>
    <t>NSA Nohra Solar solar farm</t>
  </si>
  <si>
    <t>Neudorf solar farm</t>
  </si>
  <si>
    <t>ONB GmbH ＆ co Solar KG solar project</t>
  </si>
  <si>
    <t>Oebisfelde 1 solar farm</t>
  </si>
  <si>
    <t>Olmscheid Freifläche solar farm</t>
  </si>
  <si>
    <t>Opel Kaiserslautern II / Dessau solar project</t>
  </si>
  <si>
    <t>Opel Rüsselsheim K170 solar farm</t>
  </si>
  <si>
    <t>Osteel Solar solar farm</t>
  </si>
  <si>
    <t>P001 Freiflächenanlage Grabigter Weg solar farm</t>
  </si>
  <si>
    <t>P003 Neumünster Oderstraße solar project</t>
  </si>
  <si>
    <t>P09358 solar farm</t>
  </si>
  <si>
    <t>P09643 1 solar project</t>
  </si>
  <si>
    <t>PAM 4 GmbH &amp; Co. KG solar farm</t>
  </si>
  <si>
    <t>PAM 5 GmbH &amp; Co. KG solar farm</t>
  </si>
  <si>
    <t>PAM 6 GmbH &amp; Co. KG solar farm</t>
  </si>
  <si>
    <t>PAM 7 GmbH &amp; Co. KG solar farm</t>
  </si>
  <si>
    <t>PV - Anlage I solar farm</t>
  </si>
  <si>
    <t>PV Aicha solar farm</t>
  </si>
  <si>
    <t>PV Anlage 2010 1007,76kWp solar project</t>
  </si>
  <si>
    <t>PV Anlage I solar farm</t>
  </si>
  <si>
    <t>PV Anlage Linden solar project</t>
  </si>
  <si>
    <t>PV Anlage Sonnefeld solar farm</t>
  </si>
  <si>
    <t>PV Beilingen solar farm</t>
  </si>
  <si>
    <t>PV Bubesheim solar farm</t>
  </si>
  <si>
    <t>PV Burgweisach solar farm</t>
  </si>
  <si>
    <t>PV Busenwurth solar project</t>
  </si>
  <si>
    <t>PV Calbe solar farm</t>
  </si>
  <si>
    <t>PV Deponie Bautzen-Nadelwitz solar farm</t>
  </si>
  <si>
    <t>PV Dinkelscherben 1/1 solar farm</t>
  </si>
  <si>
    <t>PV Freifläche I solar farm</t>
  </si>
  <si>
    <t>PV Freifläche Langenamming Süd (II) 997,76 kWp solar project</t>
  </si>
  <si>
    <t>PV Gelbelsee solar farm</t>
  </si>
  <si>
    <t>PV Gnötzheim I solar project</t>
  </si>
  <si>
    <t>PV Hörselgau DEPV008 solar project</t>
  </si>
  <si>
    <t>PV Höschläcker solar farm</t>
  </si>
  <si>
    <t>PV Jatzke I solar farm</t>
  </si>
  <si>
    <t>PV Neustetten solar farm</t>
  </si>
  <si>
    <t>PV Park Honerdingen solar farm</t>
  </si>
  <si>
    <t>PV Preist solar farm</t>
  </si>
  <si>
    <t>PV Projekt Stuttgart solar project</t>
  </si>
  <si>
    <t>PV Rosefeld solar farm</t>
  </si>
  <si>
    <t>PV Traunreuth solar farm</t>
  </si>
  <si>
    <t>PV Uchte solar farm</t>
  </si>
  <si>
    <t>PV Verwaltung solar farm</t>
  </si>
  <si>
    <t>PV Weisachgrund solar farm</t>
  </si>
  <si>
    <t>PV Weng solar project</t>
  </si>
  <si>
    <t>PV groß 2010 solar farm</t>
  </si>
  <si>
    <t>PV- Freiflächenanlage 25719 Busenwurth solar farm</t>
  </si>
  <si>
    <t>PV-06_2010 solar farm</t>
  </si>
  <si>
    <t>PV-36-01 solar farm</t>
  </si>
  <si>
    <t>PV-Anlage 2010 solar farm</t>
  </si>
  <si>
    <t>PV-Anlage Bretten solar farm</t>
  </si>
  <si>
    <t>PV-Anlage Dielmissen solar farm</t>
  </si>
  <si>
    <t>PV-Anlage FKS solar farm</t>
  </si>
  <si>
    <t>PV-Anlage Hedersleben Bestand solar farm</t>
  </si>
  <si>
    <t>PV-Anlage Leipheim solar farm</t>
  </si>
  <si>
    <t>PV-Anlage Menghäm solar farm</t>
  </si>
  <si>
    <t>PV-Anlage Philippsburg 1 solar farm</t>
  </si>
  <si>
    <t>PV-Anlage Philippsburg 2 solar farm</t>
  </si>
  <si>
    <t>PV-Anlage Wittenberg solar farm</t>
  </si>
  <si>
    <t>6,6</t>
  </si>
  <si>
    <t>PV-Anlage-Prünthal solar farm</t>
  </si>
  <si>
    <t>PV-Freifläche Barbaraberg I solar farm</t>
  </si>
  <si>
    <t>PV-Freifläche Döllnitz I solar farm</t>
  </si>
  <si>
    <t>PV-Freifläche Oberaign solar farm</t>
  </si>
  <si>
    <t>PV-Freiflächenanlage Arenborn solar farm</t>
  </si>
  <si>
    <t>PV-Freiflächenanlage Deubach solar farm</t>
  </si>
  <si>
    <t>PV-Freiflächenanlage Harthausen solar farm</t>
  </si>
  <si>
    <t>PV-Freiflächenanlage Neunkirchen I solar farm</t>
  </si>
  <si>
    <t>PV-Freiflächenanlage Türkheim solar farm</t>
  </si>
  <si>
    <t>PV-Obernbreit solar farm</t>
  </si>
  <si>
    <t>PV-Park II solar farm</t>
  </si>
  <si>
    <t>PV-Park an der Küste solar farm</t>
  </si>
  <si>
    <t>PV-Petersaurach solar farm</t>
  </si>
  <si>
    <t>PV-Ziegelscheune solar farm</t>
  </si>
  <si>
    <t>PV1089 Mauth solar farm</t>
  </si>
  <si>
    <t>PV24048 solar farm</t>
  </si>
  <si>
    <t>PVA Aldersbach solar farm</t>
  </si>
  <si>
    <t>PVA Angermünde solar farm</t>
  </si>
  <si>
    <t>PVA Berga II solar farm</t>
  </si>
  <si>
    <t>PVA Berga solar farm</t>
  </si>
  <si>
    <t>PVA Dingolfing Carport solar farm</t>
  </si>
  <si>
    <t>PVA Dingolfing Dynamikzentrum solar farm</t>
  </si>
  <si>
    <t>PVA Duben solar farm</t>
  </si>
  <si>
    <t>PVA Elsnig FF solar farm</t>
  </si>
  <si>
    <t>PVA Frankenberg solar farm</t>
  </si>
  <si>
    <t>PVA Groß Schwaß solar project</t>
  </si>
  <si>
    <t>PVA Großengottern solar farm</t>
  </si>
  <si>
    <t>PVA Großenhain solar farm</t>
  </si>
  <si>
    <t>PVA Guben solar farm</t>
  </si>
  <si>
    <t>9,9</t>
  </si>
  <si>
    <t>PVA Hahnbach solar farm</t>
  </si>
  <si>
    <t>PVA Halle solar farm</t>
  </si>
  <si>
    <t>PVA Hasselberg solar farm</t>
  </si>
  <si>
    <t>PVA Heinersdorf 1 solar farm</t>
  </si>
  <si>
    <t>PVA Heinersdorf 2.1 solar farm</t>
  </si>
  <si>
    <t>PVA Heinersdorf 2.2 solar farm</t>
  </si>
  <si>
    <t>PVA Hemau 1 solar farm</t>
  </si>
  <si>
    <t>PVA Hemau 2 solar project</t>
  </si>
  <si>
    <t>PVA Humfeld solar farm</t>
  </si>
  <si>
    <t>PVA Katharinenrieth 1 solar farm</t>
  </si>
  <si>
    <t>PVA Katharinenrieth 2 solar farm</t>
  </si>
  <si>
    <t>PVA Kleinaitingen II solar farm</t>
  </si>
  <si>
    <t>PVA Klettbach solar farm</t>
  </si>
  <si>
    <t>PVA Koppelberg solar project</t>
  </si>
  <si>
    <t>PVA Lauingen II solar farm</t>
  </si>
  <si>
    <t>PVA Münchberg I solar farm</t>
  </si>
  <si>
    <t>PVA Nauen I solar farm</t>
  </si>
  <si>
    <t>PVA Olching 1 solar farm</t>
  </si>
  <si>
    <t>PVA RLI Solar solar project</t>
  </si>
  <si>
    <t>PVA Rotthof solar farm</t>
  </si>
  <si>
    <t>PVA Sietzsch solar farm</t>
  </si>
  <si>
    <t>11,9</t>
  </si>
  <si>
    <t>PVA Stalldorf solar farm</t>
  </si>
  <si>
    <t>PVA Ulm-Eggingen - Solarpark solar farm</t>
  </si>
  <si>
    <t>6,5</t>
  </si>
  <si>
    <t>PVA VisSolis solar farm</t>
  </si>
  <si>
    <t>PVA Watzmannsberg AT2 solar farm</t>
  </si>
  <si>
    <t>PVA Werkstr groß solar project</t>
  </si>
  <si>
    <t>PVA Westerheim solar farm</t>
  </si>
  <si>
    <t>PVA Zuckerfabrik I solar farm</t>
  </si>
  <si>
    <t>7,6</t>
  </si>
  <si>
    <t>PVA01 solar farm</t>
  </si>
  <si>
    <t>PVA_Alpha solar farm</t>
  </si>
  <si>
    <t>PVF Ebern Heubach solar farm</t>
  </si>
  <si>
    <t>PVF Haidenaab solar farm</t>
  </si>
  <si>
    <t>PVF Missen solar farm</t>
  </si>
  <si>
    <t>10,1</t>
  </si>
  <si>
    <t>PVF Neufahrn solar farm</t>
  </si>
  <si>
    <t>PVF Richelbach solar farm</t>
  </si>
  <si>
    <t>PV_Weitin_1007kW solar farm</t>
  </si>
  <si>
    <t>Park Eurishofen Nord solar farm</t>
  </si>
  <si>
    <t>Park1 solar farm</t>
  </si>
  <si>
    <t>Parts Europe solar project</t>
  </si>
  <si>
    <t>Photovoltaik Lothe solar farm</t>
  </si>
  <si>
    <t>Photovoltaik Ohrdruf Dach solar farm</t>
  </si>
  <si>
    <t>Photovoltaikpark Bohnhorst solar farm</t>
  </si>
  <si>
    <t>Photovoltaikpark Oranienbaum solar farm</t>
  </si>
  <si>
    <t>Proj. 13411 solar farm</t>
  </si>
  <si>
    <t>RAGNA Mobilien Verwaltungsgesellschaft mbH Ost solar farm</t>
  </si>
  <si>
    <t>RAGNA Mobilien Verwaltungsgesellschaft mbH West solar farm</t>
  </si>
  <si>
    <t>4,5</t>
  </si>
  <si>
    <t>RCP Solarpark Laudenbach I solar farm</t>
  </si>
  <si>
    <t>6,7</t>
  </si>
  <si>
    <t>RCP Solarpark Laudenbach II solar farm</t>
  </si>
  <si>
    <t>ROS solar farm</t>
  </si>
  <si>
    <t>RS Solarpark Halle GmbH &amp; Co. KG solar farm</t>
  </si>
  <si>
    <t>13,3</t>
  </si>
  <si>
    <t>Rennbahn solar farm</t>
  </si>
  <si>
    <t>Repo Solar Beteiligungs GmbH &amp; Co. Gergweis KG solar farm</t>
  </si>
  <si>
    <t>SADAK Mobilien Verwaltungsgesellschaft mbH 1 solar farm</t>
  </si>
  <si>
    <t>SBA Cham solar farm</t>
  </si>
  <si>
    <t>SE 5 solar farm</t>
  </si>
  <si>
    <t>SI Solar Park Idenheim solar farm</t>
  </si>
  <si>
    <t>SKV Lauta solar farm</t>
  </si>
  <si>
    <t>SKW Laubusch BA1 solar farm</t>
  </si>
  <si>
    <t>SKW Listerfehrda solar farm</t>
  </si>
  <si>
    <t>SKW LüptitzII BA1 solar farm</t>
  </si>
  <si>
    <t>SKW OBW solar farm</t>
  </si>
  <si>
    <t>SKW Rossau BA1 solar farm</t>
  </si>
  <si>
    <t>SKW Solarkraftwerk Lüptitz solar farm</t>
  </si>
  <si>
    <t>SKW Solarkraftwerk Wallhausen I solar farm</t>
  </si>
  <si>
    <t>SKW Solarkraftwerk Wallhausen II solar farm</t>
  </si>
  <si>
    <t>SKW Somaka Sol Schnackenwerth solar farm</t>
  </si>
  <si>
    <t>SP Albersreuth GmbH &amp; Co. KG solar farm</t>
  </si>
  <si>
    <t>SP Bogel solar farm</t>
  </si>
  <si>
    <t>SP Christianskoog KG solar farm</t>
  </si>
  <si>
    <t>SP Christianskoog West solar farm</t>
  </si>
  <si>
    <t>SP Coburg I solar farm</t>
  </si>
  <si>
    <t>SP Coburg II solar farm</t>
  </si>
  <si>
    <t>SP Ellighofen solar farm</t>
  </si>
  <si>
    <t>SP Grabow solar farm</t>
  </si>
  <si>
    <t>SP Klixbüll solar farm</t>
  </si>
  <si>
    <t>SP Leipzig solar farm</t>
  </si>
  <si>
    <t>SP Mehring II 10020 solar farm</t>
  </si>
  <si>
    <t>SP Mietraching solar farm</t>
  </si>
  <si>
    <t>SP Puderbach solar farm</t>
  </si>
  <si>
    <t>SP Sonnenfeld Weihersberg GmbH &amp; Co. KG solar farm</t>
  </si>
  <si>
    <t>SP Spaichingen solar farm</t>
  </si>
  <si>
    <t>SP Wolpertstetten solar farm</t>
  </si>
  <si>
    <t>SPE Erbach solar farm</t>
  </si>
  <si>
    <t>SPH Freiflächenanlage-1 solar farm</t>
  </si>
  <si>
    <t>SPH I solar farm</t>
  </si>
  <si>
    <t>SPRO-WR1 solar farm</t>
  </si>
  <si>
    <t>SPRO-WR2 solar farm</t>
  </si>
  <si>
    <t>Salzfurtkapelle solar project</t>
  </si>
  <si>
    <t>Sandbeiendorf PV solar farm</t>
  </si>
  <si>
    <t>Sankt Nikolaus BA 1 solar farm</t>
  </si>
  <si>
    <t>Sankt Nikolaus BA 2 solar farm</t>
  </si>
  <si>
    <t>Schmid Sonnenacker GmbH&amp;Co.KG solar farm</t>
  </si>
  <si>
    <t>SoLei 1 solar farm</t>
  </si>
  <si>
    <t>Sol Lönnewitz I-VI solar farm</t>
  </si>
  <si>
    <t>Solar 2 Bergrheinfeld solar farm</t>
  </si>
  <si>
    <t>Solar 2 Pressathsolar farm</t>
  </si>
  <si>
    <t>Solar 2 Werdau solar farm</t>
  </si>
  <si>
    <t>Solar Energie solar farm</t>
  </si>
  <si>
    <t>Solar Freifläche solar farm</t>
  </si>
  <si>
    <t>Solar-Park Nordharz Flach solar farm</t>
  </si>
  <si>
    <t>SolarPark A31 solar farm</t>
  </si>
  <si>
    <t>SolarVest Witten I GmbH und Co.KG solar farm</t>
  </si>
  <si>
    <t>Solaranlage Chüttlitz solar farm</t>
  </si>
  <si>
    <t>Solaranlage Deponie Friesenheimer Insel Mannheim solar farm</t>
  </si>
  <si>
    <t>Solaranlage Einsiedlerhof Keiper solar project</t>
  </si>
  <si>
    <t>Solaranlage Warenshof 1 solar farm</t>
  </si>
  <si>
    <t>Solarfeld 3 solar farm</t>
  </si>
  <si>
    <t>Solarfeld Dörndorf solar farm</t>
  </si>
  <si>
    <t>Solarfeld Niederneuching solar farm</t>
  </si>
  <si>
    <t>Solarfeld Rosenau solar farm</t>
  </si>
  <si>
    <t>Solarfeld Winterbach solar project</t>
  </si>
  <si>
    <t>Solarkraftwerk Absberg GmbH &amp; Co. KG solar farm</t>
  </si>
  <si>
    <t>Solarkraftwerk Ahorn Nord solar farm</t>
  </si>
  <si>
    <t>Solarkraftwerk Ahorn Süd solar farm</t>
  </si>
  <si>
    <t>Solarkraftwerk Altentreptow TA1 solar farm</t>
  </si>
  <si>
    <t>Solarkraftwerk Bad Kissingen GmbH &amp; Co. KG solar farm</t>
  </si>
  <si>
    <t>Solarkraftwerk Bitburg-Irsch solar farm</t>
  </si>
  <si>
    <t>Solarkraftwerk Dienheim solar farm</t>
  </si>
  <si>
    <t>Solarkraftwerk Fell solar farm</t>
  </si>
  <si>
    <t>Solarkraftwerk Großhabersdorf solar farm</t>
  </si>
  <si>
    <t>Solarkraftwerk Obernbreit GmbH &amp; Co. KG solar farm</t>
  </si>
  <si>
    <t>Solarkraftwerk Rentweinsdorf GmbH &amp; Co. KG solar farm</t>
  </si>
  <si>
    <t>12,6</t>
  </si>
  <si>
    <t>Solarkraftwerk Riedenheim GmbH &amp; Co KG solar farm</t>
  </si>
  <si>
    <t>Solarkraftwerk Veitshöchheim GmbH &amp; Co. KG solar farm</t>
  </si>
  <si>
    <t>Solarkraftwerk Zapfendorf GmbH &amp; Co. KG solar farm</t>
  </si>
  <si>
    <t>Solarpark Allmannshofen 1-1 solar farm</t>
  </si>
  <si>
    <t>Solarpark Altenhammer solar farm</t>
  </si>
  <si>
    <t>Solarpark Asenham solar farm</t>
  </si>
  <si>
    <t>Solarpark Attenkirchen GmbH &amp; Co. KG solar farm</t>
  </si>
  <si>
    <t>Solarpark Aurachtal 1 solar farm</t>
  </si>
  <si>
    <t>Solarpark Bachhausen solar farm</t>
  </si>
  <si>
    <t>Solarpark Bad Dribug Teil 1 solar farm</t>
  </si>
  <si>
    <t>Solarpark Badem solar farm</t>
  </si>
  <si>
    <t>Solarpark Ballstadt II solar farm</t>
  </si>
  <si>
    <t>Solarpark Bauabschnitt I solar farm</t>
  </si>
  <si>
    <t>Solarpark Berg GbR solar farm</t>
  </si>
  <si>
    <t>Solarpark Bergheim solar farm</t>
  </si>
  <si>
    <t>Solarpark Bockelwitz solar farm</t>
  </si>
  <si>
    <t>Solarpark Borkum solar farm</t>
  </si>
  <si>
    <t>Solarpark Brandenburg (Havel) solar farm</t>
  </si>
  <si>
    <t>18,6</t>
  </si>
  <si>
    <t>Solarpark Breitenbronn solar farm</t>
  </si>
  <si>
    <t>Solarpark Breitfeld solar farm</t>
  </si>
  <si>
    <t>Solarpark Brenz solar farm</t>
  </si>
  <si>
    <t>7,8</t>
  </si>
  <si>
    <t>Solarpark Busenwurth solar farm</t>
  </si>
  <si>
    <t>Solarpark Bäbelitz GmbH &amp; Co. KG solar farm</t>
  </si>
  <si>
    <t>Solarpark Bärnau solar farm</t>
  </si>
  <si>
    <t>Solarpark Büsche GmbH u. Co. KG solar farm</t>
  </si>
  <si>
    <t>Solarpark Dachsbach solar farm</t>
  </si>
  <si>
    <t>Solarpark Dünzlhof solar farm</t>
  </si>
  <si>
    <t>Solarpark Eichelleite solar farm</t>
  </si>
  <si>
    <t>Solarpark Eichendorf solar farm</t>
  </si>
  <si>
    <t>Solarpark Engstingen-Haid solar farm</t>
  </si>
  <si>
    <t>Solarpark Falkenhain solar farm</t>
  </si>
  <si>
    <t>Solarpark Fattendorf solar farm</t>
  </si>
  <si>
    <t>Solarpark Fischbach I solar farm</t>
  </si>
  <si>
    <t>Solarpark Floß solar farm</t>
  </si>
  <si>
    <t>Solarpark Freianlage solar farm</t>
  </si>
  <si>
    <t>Solarpark Fritz-Erler HaMü I solar farm</t>
  </si>
  <si>
    <t>Solarpark Fritz-Erler HaMü II solar farm</t>
  </si>
  <si>
    <t>Solarpark Fritz-Erler HaMü III solar farm</t>
  </si>
  <si>
    <t>Solarpark Fritz-Erler Mündener Straße solar farm</t>
  </si>
  <si>
    <t>Solarpark Gersthofen solar farm</t>
  </si>
  <si>
    <t>Solarpark Glandorf Feld 3 solar farm</t>
  </si>
  <si>
    <t>Solarpark Gnannweiler solar farm</t>
  </si>
  <si>
    <t>Solarpark Hasselberg solar farm</t>
  </si>
  <si>
    <t>Solarpark Hellingen II solar farm</t>
  </si>
  <si>
    <t>Solarpark Helmeringen solar farm</t>
  </si>
  <si>
    <t>Solarpark Hildburghausen I solar farm</t>
  </si>
  <si>
    <t>Solarpark Hinzerath, Zum Dickesloch, 54497 Morbach Hinzerath solar farm</t>
  </si>
  <si>
    <t>Solarpark Hütting solar farm</t>
  </si>
  <si>
    <t>Solarpark IX solar farm</t>
  </si>
  <si>
    <t>Solarpark Jahrstorfer solar farm</t>
  </si>
  <si>
    <t>Solarpark Jesserndorf solar farm</t>
  </si>
  <si>
    <t>Solarpark KG solar farm</t>
  </si>
  <si>
    <t>Solarpark Kell am See GmbH solar farm</t>
  </si>
  <si>
    <t>Solarpark Klosterfelde solar farm</t>
  </si>
  <si>
    <t>Solarpark Langenisarhofen solar farm</t>
  </si>
  <si>
    <t>Solarpark Lechtal Solar solar farm</t>
  </si>
  <si>
    <t>Solarpark Lochau solar farm</t>
  </si>
  <si>
    <t>Solarpark Lüptitz 1a solar farm</t>
  </si>
  <si>
    <t>Solarpark Lüptitz 2 solar farm</t>
  </si>
  <si>
    <t>Solarpark Mastershausen solar farm</t>
  </si>
  <si>
    <t>Solarpark Mausloch solar farm</t>
  </si>
  <si>
    <t>Solarpark Norstedt GmbH &amp; Co KG solar farm</t>
  </si>
  <si>
    <t>Solarpark Oberach solar farm</t>
  </si>
  <si>
    <t>Solarpark Oberhinkofen solar farm</t>
  </si>
  <si>
    <t>Solarpark Ortenburg GmbH &amp; CoKG solar farm</t>
  </si>
  <si>
    <t>Solarpark Othfresen solar farm</t>
  </si>
  <si>
    <t>Solarpark Otterberg solar farm</t>
  </si>
  <si>
    <t>Solarpark Pasewalk solar farm</t>
  </si>
  <si>
    <t>Solarpark Pasing GmbH &amp; Co. KG solar farm</t>
  </si>
  <si>
    <t>Solarpark Petzenbach solar farm</t>
  </si>
  <si>
    <t>Solarpark Pfettrach solar farm</t>
  </si>
  <si>
    <t>Solarpark Pocking Prenzing II solar project</t>
  </si>
  <si>
    <t>Solarpark Pr. Oldendorf solar project</t>
  </si>
  <si>
    <t>Solarpark Pöfersdorf GmbH &amp; Co. KG - BA 2 solar farm</t>
  </si>
  <si>
    <t>Solarpark Richelbach solar farm</t>
  </si>
  <si>
    <t>Solarpark Rietschen solar farm</t>
  </si>
  <si>
    <t>Solarpark Rockenhausen solar farm</t>
  </si>
  <si>
    <t>Solarpark Rüdersdorf I solar farm</t>
  </si>
  <si>
    <t>7,4</t>
  </si>
  <si>
    <t>Solarpark Schelklingen solar farm</t>
  </si>
  <si>
    <t>Solarpark Scheuring solar farm</t>
  </si>
  <si>
    <t>Solarpark Schlettach II solar farm</t>
  </si>
  <si>
    <t>Solarpark Sonnenberg solar farm</t>
  </si>
  <si>
    <t>Solarpark Spangdahlem solar farm</t>
  </si>
  <si>
    <t>Solarpark Staig solar farm</t>
  </si>
  <si>
    <t>Solarpark Strüth solar farm</t>
  </si>
  <si>
    <t>Solarpark Suxdorf solar farm</t>
  </si>
  <si>
    <t>Solarpark Süderlügum solar farm</t>
  </si>
  <si>
    <t>Solarpark Tarp solar farm</t>
  </si>
  <si>
    <t>Solarpark Tivoli - 2010 solar farm</t>
  </si>
  <si>
    <t>Solarpark Uhsmannsdorf 1 solar farm</t>
  </si>
  <si>
    <t>Solarpark VII solar farm</t>
  </si>
  <si>
    <t>Solarpark VIII solar farm</t>
  </si>
  <si>
    <t>Solarpark Vehlefanz solar farm</t>
  </si>
  <si>
    <t>Solarpark Vestenbergsgreuth II solar farm</t>
  </si>
  <si>
    <t>Solarpark Vilseck solar farm</t>
  </si>
  <si>
    <t>Solarpark Waldstetten solar farm</t>
  </si>
  <si>
    <t>Solarpark Weilerbach solar farm</t>
  </si>
  <si>
    <t>Solarpark Wisselsing GmbH solar farm</t>
  </si>
  <si>
    <t>Solarpark Wittibreut solar farm</t>
  </si>
  <si>
    <t>Solarpark Wortelstetten solar farm</t>
  </si>
  <si>
    <t>Solarpark Wülknitz solar farm</t>
  </si>
  <si>
    <t>11,2</t>
  </si>
  <si>
    <t>Solarpark X solar farm</t>
  </si>
  <si>
    <t>Solarpark XI solar farm</t>
  </si>
  <si>
    <t>Solarpark XII solar farm</t>
  </si>
  <si>
    <t>Solarpark XIII solar farm</t>
  </si>
  <si>
    <t>Solarpark XIV solar farm</t>
  </si>
  <si>
    <t>Solarpark XV solar farm</t>
  </si>
  <si>
    <t>Solarpark Zachow Teilabschnitt II solar farm</t>
  </si>
  <si>
    <t>Solarpark Zachow Teilabschnitt III solar farm</t>
  </si>
  <si>
    <t>Solarpark Ziegelscheune 2 solar farm</t>
  </si>
  <si>
    <t>Solarpark1 solar farm</t>
  </si>
  <si>
    <t>Solarpark_Inzigkofen solar farm</t>
  </si>
  <si>
    <t>Solea Park solar farm</t>
  </si>
  <si>
    <t>Sonnenfeld I solar farm</t>
  </si>
  <si>
    <t>Sonnengarten solar farm</t>
  </si>
  <si>
    <t>Sonnenhof Gut Leimershof GmbH &amp; Co. KG solar farm</t>
  </si>
  <si>
    <t>Speichersdorf solar project</t>
  </si>
  <si>
    <t>Spremberg solar farm</t>
  </si>
  <si>
    <t>Sunalu solar farm</t>
  </si>
  <si>
    <t>Suntrust GmbH&amp;Co. KG solar farm</t>
  </si>
  <si>
    <t>TRKH solar farm</t>
  </si>
  <si>
    <t>TWH solar farm</t>
  </si>
  <si>
    <t>Thundorf solar farm</t>
  </si>
  <si>
    <t>Thüngen solar farm</t>
  </si>
  <si>
    <t>18,7</t>
  </si>
  <si>
    <t>Tiefenbach Solar GmbH solar farm</t>
  </si>
  <si>
    <t>Trebsen solar farm</t>
  </si>
  <si>
    <t>Treia Solar solar farm</t>
  </si>
  <si>
    <t>UK 18 ZPV Worms solar project</t>
  </si>
  <si>
    <t>UPC solar farm</t>
  </si>
  <si>
    <t>WHT solar farm</t>
  </si>
  <si>
    <t>Weiden-EBC-Freifläche solar farm</t>
  </si>
  <si>
    <t>Wolfsgrube BA 1 solar farm</t>
  </si>
  <si>
    <t>Wählitz solar farm</t>
  </si>
  <si>
    <t>Zerre IV solar project</t>
  </si>
  <si>
    <t>Zerre SP 2 solar project</t>
  </si>
  <si>
    <t>Zerre VII solar farm</t>
  </si>
  <si>
    <t>Zultenberg solar farm</t>
  </si>
  <si>
    <t>Zweimen solar farm</t>
  </si>
  <si>
    <t>alte Hühnerfarm solar project</t>
  </si>
  <si>
    <t>ebc Dachanlage solar project</t>
  </si>
  <si>
    <t>ges Eiche 6.1 solar farm</t>
  </si>
  <si>
    <t>pv 9 Freifläche solar farm</t>
  </si>
  <si>
    <t>sHild - PV Hildburghausen solar farm</t>
  </si>
  <si>
    <t>solarpark Horstedt solar farm</t>
  </si>
  <si>
    <t>PVA Seefichten solar farm</t>
  </si>
  <si>
    <t>SP Achsheim solar farm</t>
  </si>
  <si>
    <t>PV Solarpark Lahde Erweiterung solar project</t>
  </si>
  <si>
    <t>1,333 MWp solar farm</t>
  </si>
  <si>
    <t>2011 Schumacher EWE solar farm</t>
  </si>
  <si>
    <t>32020 solar farm</t>
  </si>
  <si>
    <t>4,4 MW solar farm</t>
  </si>
  <si>
    <t>9004 Solarpark Mooshof solar farm</t>
  </si>
  <si>
    <t>95 EEG 054 solar project</t>
  </si>
  <si>
    <t>ABR9274036917685 solar project</t>
  </si>
  <si>
    <t>ABR979332184545 II solar farm</t>
  </si>
  <si>
    <t>ABR979332184545 III solar farm</t>
  </si>
  <si>
    <t>ABR990635486907 solar farm</t>
  </si>
  <si>
    <t>ASF Eichelbuck 1 solar farm</t>
  </si>
  <si>
    <t>ASO-417118-11 solar farm</t>
  </si>
  <si>
    <t>ASO-560750-11 solar farm</t>
  </si>
  <si>
    <t>ASO-581280-11 solar farm</t>
  </si>
  <si>
    <t>14,9</t>
  </si>
  <si>
    <t>ASO-631618-11 solar farm</t>
  </si>
  <si>
    <t>ASO-875422-11 solar farm</t>
  </si>
  <si>
    <t>Alte Ziegelei 2011 solar project</t>
  </si>
  <si>
    <t>Alte Ziegelei, Utscheid solar farm</t>
  </si>
  <si>
    <t>Anlage 2 Ehem. BW Schießgelände solar farm</t>
  </si>
  <si>
    <t>Apolda 2 solar farm</t>
  </si>
  <si>
    <t>Arzfeld, Solarpark solar farm</t>
  </si>
  <si>
    <t>Aschheim 1 Freifläche solar farm</t>
  </si>
  <si>
    <t>Bad Salzungen Kloster solar farm</t>
  </si>
  <si>
    <t>Banane solar farm</t>
  </si>
  <si>
    <t>Barby solar farm</t>
  </si>
  <si>
    <t>Baum, Coswig 2 solar project</t>
  </si>
  <si>
    <t>BeBa Solarpark Ostseeblick - Berndshof solar farm</t>
  </si>
  <si>
    <t>Beuna solar farm</t>
  </si>
  <si>
    <t>Brandis 4 EP Leulitz 2 solar farm</t>
  </si>
  <si>
    <t>Brandis 4 EP Leulitz solar farm</t>
  </si>
  <si>
    <t>Brandis 4 EP Polenz solar farm</t>
  </si>
  <si>
    <t>Bredenborn Solarpark solar farm</t>
  </si>
  <si>
    <t>BsP Süderende solar farm</t>
  </si>
  <si>
    <t>Buchbühl solar farm</t>
  </si>
  <si>
    <t>Bürgerfotovoltaik Bogen GmbH &amp; Co.KG solar farm</t>
  </si>
  <si>
    <t>Bürgersolar Holzkirchhausen GmbH &amp; Co. KG solar farm</t>
  </si>
  <si>
    <t>Bürgersolarpark Grevesmühlen GmbH &amp; Co. KG solar farm</t>
  </si>
  <si>
    <t>Camp Astrid solar farm</t>
  </si>
  <si>
    <t>D&amp;FG Solar 1 GmbH ＆ Co. Solar 1911 KG solar farm</t>
  </si>
  <si>
    <t>DE-S-BADHES-WST solar farm</t>
  </si>
  <si>
    <t>DV Deponie Dörentrup I solar farm</t>
  </si>
  <si>
    <t>Dach Halle A solar project</t>
  </si>
  <si>
    <t>Dedelow solar farm</t>
  </si>
  <si>
    <t>Deponie Mathiasgrube solar farm</t>
  </si>
  <si>
    <t>Deponiepark Brandholz PV Freiflächenanlage solar farm</t>
  </si>
  <si>
    <t>Dächer Anlage solar farm</t>
  </si>
  <si>
    <t>EA-181770 solar farm</t>
  </si>
  <si>
    <t>EB EEE Solarpark Bollberg GmbH &amp; Co. KG solar farm</t>
  </si>
  <si>
    <t>EGPD - PV Dach solar farm</t>
  </si>
  <si>
    <t>EGPD - PVII solar farm</t>
  </si>
  <si>
    <t>EK1.241,00 solar farm</t>
  </si>
  <si>
    <t>EPC 13 solar farm</t>
  </si>
  <si>
    <t>EPC 19 - Freiland Barnstädt solar farm</t>
  </si>
  <si>
    <t>EPC 28 - FL Nohra solar farm</t>
  </si>
  <si>
    <t>Ecovision Solarscharen Drei solar farm</t>
  </si>
  <si>
    <t>Ecovision Solarscharen Vier solar farm</t>
  </si>
  <si>
    <t>Egg I solar farm</t>
  </si>
  <si>
    <t>Egg II solar farm</t>
  </si>
  <si>
    <t>Egg III solar farm</t>
  </si>
  <si>
    <t>Egg IV solar farm</t>
  </si>
  <si>
    <t>Egg IX solar farm</t>
  </si>
  <si>
    <t>Egg V solar farm</t>
  </si>
  <si>
    <t>Egg VI solar farm</t>
  </si>
  <si>
    <t>Egg VII solar farm</t>
  </si>
  <si>
    <t>Egg VIII solar farm</t>
  </si>
  <si>
    <t>Egg X solar farm</t>
  </si>
  <si>
    <t>Egg XI solar farm</t>
  </si>
  <si>
    <t>Egg XII solar farm</t>
  </si>
  <si>
    <t>Ellingen 1 solar farm</t>
  </si>
  <si>
    <t>Ellrich solar farm</t>
  </si>
  <si>
    <t>Energiepark Grünberg solar farm</t>
  </si>
  <si>
    <t>Energiepark Herste 1 solar farm</t>
  </si>
  <si>
    <t>FHDÜ solar farm</t>
  </si>
  <si>
    <t>FR11 solar farm</t>
  </si>
  <si>
    <t>FRA BA2 solar farm</t>
  </si>
  <si>
    <t>Fischbach 2 Neufeld Friedhofstraße solar project</t>
  </si>
  <si>
    <t>Freifeld-Kraftwerk solar farm</t>
  </si>
  <si>
    <t>Freifläche Fürstenberg E.DIS solar farm</t>
  </si>
  <si>
    <t>Freifläche IX solar farm</t>
  </si>
  <si>
    <t>Freifläche Magdeburg 2 MW solar farm</t>
  </si>
  <si>
    <t>Freifläche Stadtilm solar farm</t>
  </si>
  <si>
    <t>Freifläche Thaining solar farm</t>
  </si>
  <si>
    <t>Freifläche X solar farm</t>
  </si>
  <si>
    <t>Freifläche XI solar farm</t>
  </si>
  <si>
    <t>Freiflächen PV - Anlage solar farm</t>
  </si>
  <si>
    <t>Freiflächen PV Heidenau solar farm</t>
  </si>
  <si>
    <t>Freiflächen-Solarpark solar farm</t>
  </si>
  <si>
    <t>Freiflächenanlage Clausen solar farm</t>
  </si>
  <si>
    <t>Freiflächenanlage Dorotheenhof solar farm</t>
  </si>
  <si>
    <t>Freilandanlage I solar farm</t>
  </si>
  <si>
    <t>Friedland Schwarzer Weg 1 solar farm</t>
  </si>
  <si>
    <t>G1 IX solar farm</t>
  </si>
  <si>
    <t>GBZ Solarpark Hornberg solar farm</t>
  </si>
  <si>
    <t>Gie Met Freiland 12 2011 solar project</t>
  </si>
  <si>
    <t>Giebelstadt solar farm</t>
  </si>
  <si>
    <t>13,4</t>
  </si>
  <si>
    <t>Green City Energy Service GmbH &amp; Co. Solarpark Eisenberg Borgfeldstrasse solar farm</t>
  </si>
  <si>
    <t>Green City Energy Service GmbH &amp; Co. Solarpark Wachstedt KG Runde Wiese solar farm</t>
  </si>
  <si>
    <t>Green City Energy Service GmbH &amp; Co. Solarpark Weißenfels KG Posendorfer Berg solar farm</t>
  </si>
  <si>
    <t>Gundelshausen 1 solar farm</t>
  </si>
  <si>
    <t>HAL solar farm</t>
  </si>
  <si>
    <t>HER H solar farm</t>
  </si>
  <si>
    <t>HW NO SB Dach solar farm</t>
  </si>
  <si>
    <t>Hannoversche Str. 34 solar farm</t>
  </si>
  <si>
    <t>Hardegsen Hevensen solar farm</t>
  </si>
  <si>
    <t>Hebertsfelden 2 solar farm</t>
  </si>
  <si>
    <t>Heilsbronn solar farm</t>
  </si>
  <si>
    <t>Heliodor Gerhausen GmbH &amp; Co. KG solar farm</t>
  </si>
  <si>
    <t>Hermeskeil, Dachanlage solar project</t>
  </si>
  <si>
    <t>Hertefeld solar project</t>
  </si>
  <si>
    <t>Horka Solarpark T2 solar farm</t>
  </si>
  <si>
    <t>Humlangen solar farm</t>
  </si>
  <si>
    <t>Höchheimer Weg solar farm</t>
  </si>
  <si>
    <t>IBC Projekt Grimmen GmbH &amp; Co. KG, 2 solar farm</t>
  </si>
  <si>
    <t>IFE Solarpark Fliegerhorst Oldenburg solar farm</t>
  </si>
  <si>
    <t>13,9</t>
  </si>
  <si>
    <t>Ilfeld Schott FFA solar farm</t>
  </si>
  <si>
    <t>Irlbach solar farm</t>
  </si>
  <si>
    <t>Jarmen I solar farm</t>
  </si>
  <si>
    <t>K40 solar farm</t>
  </si>
  <si>
    <t>K65 solar farm</t>
  </si>
  <si>
    <t>KAN118435 solar farm</t>
  </si>
  <si>
    <t>KAN170824 solar farm</t>
  </si>
  <si>
    <t>KAN170827 solar farm</t>
  </si>
  <si>
    <t>KAN176054 solar farm</t>
  </si>
  <si>
    <t>KAN176056 solar farm</t>
  </si>
  <si>
    <t>KAN176057 solar farm</t>
  </si>
  <si>
    <t>KAN176058 solar farm</t>
  </si>
  <si>
    <t>KAN176059 solar farm</t>
  </si>
  <si>
    <t>KAN176060 solar farm</t>
  </si>
  <si>
    <t>KAN176061 solar farm</t>
  </si>
  <si>
    <t>KGW RD 2 Dach solar farm</t>
  </si>
  <si>
    <t>KL solar farm</t>
  </si>
  <si>
    <t>KWB Brandrübel solar farm</t>
  </si>
  <si>
    <t>Kemating solar farm</t>
  </si>
  <si>
    <t>Kernberg solar farm</t>
  </si>
  <si>
    <t>Kodersdorf solar project</t>
  </si>
  <si>
    <t>Krannich Solarpark 15 Niepars solar farm</t>
  </si>
  <si>
    <t>Kuppenheim Solar solar project</t>
  </si>
  <si>
    <t>Köln P＆G solar project</t>
  </si>
  <si>
    <t>Künzelsau solar farm</t>
  </si>
  <si>
    <t>LHI Solar Deutschland V GmbH &amp; Co. KG I solar farm</t>
  </si>
  <si>
    <t>LHI Solar Deutschland V GmbH &amp; Co. KG II solar farm</t>
  </si>
  <si>
    <t>7,9</t>
  </si>
  <si>
    <t>LHI Solar Deutschland VI GmbH &amp; Co. KG (PVA Welzow) I solar farm</t>
  </si>
  <si>
    <t>LHI Solar Deutschland VI GmbH &amp; Co. KG (PVA Welzow) II solar farm</t>
  </si>
  <si>
    <t>10,2</t>
  </si>
  <si>
    <t>LHI Solar Deutschland VI GmbH &amp; Co. KG (PVA Welzow) III solar farm</t>
  </si>
  <si>
    <t>LHI Solar Prenzlau GmbH &amp; Co. KG solar farm</t>
  </si>
  <si>
    <t>15,7</t>
  </si>
  <si>
    <t>Labömitz solar farm</t>
  </si>
  <si>
    <t>Langenzenn solar farm</t>
  </si>
  <si>
    <t>Lauffenmühle Hauptwerk solar farm</t>
  </si>
  <si>
    <t>Laussig Dach Ost1 solar project</t>
  </si>
  <si>
    <t>Lehma solar farm</t>
  </si>
  <si>
    <t>Licht3 solar farm</t>
  </si>
  <si>
    <t>Lindenhof I solar farm</t>
  </si>
  <si>
    <t>Lindenhof II solar farm</t>
  </si>
  <si>
    <t>Lipprandis solar farm</t>
  </si>
  <si>
    <t>Luckau I solar farm</t>
  </si>
  <si>
    <t>Luckau II solar farm</t>
  </si>
  <si>
    <t>Luckenwalde 2 solar farm</t>
  </si>
  <si>
    <t>Lö I B1 solar farm</t>
  </si>
  <si>
    <t>Lö IV 4MW solar farm</t>
  </si>
  <si>
    <t>MAPV 2 MW solar farm</t>
  </si>
  <si>
    <t>MUL K solar farm</t>
  </si>
  <si>
    <t>MUL M solar farm</t>
  </si>
  <si>
    <t>Malsert I solar project</t>
  </si>
  <si>
    <t>Mantel solar farm</t>
  </si>
  <si>
    <t>Muldenstein solar farm</t>
  </si>
  <si>
    <t>Möhnesee solar farm</t>
  </si>
  <si>
    <t>Mühlhausen solar farm</t>
  </si>
  <si>
    <t>NB2 solar farm</t>
  </si>
  <si>
    <t>NMB Star Asset Sun Beuna solar farm</t>
  </si>
  <si>
    <t>NMB Star Asset Sun LUEPTITZ solar project</t>
  </si>
  <si>
    <t>NMB Star Asset Sun Stollberg solar farm</t>
  </si>
  <si>
    <t>NMB Star Asset Sun Thonhausen solar farm</t>
  </si>
  <si>
    <t>Naunhof Süd solar farm</t>
  </si>
  <si>
    <t>Neuhausen solar farm</t>
  </si>
  <si>
    <t>Neuhausen-Süd solar farm</t>
  </si>
  <si>
    <t>10,6</t>
  </si>
  <si>
    <t>Neuland solar farm</t>
  </si>
  <si>
    <t>Neustadt a.d. Weinstraße Freifläche solar farm</t>
  </si>
  <si>
    <t>Nobitz solar farm</t>
  </si>
  <si>
    <t>Oberneukirchen solar farm</t>
  </si>
  <si>
    <t>Obing 2 solar project</t>
  </si>
  <si>
    <t>Ofenhallendamm Freifläche solar farm</t>
  </si>
  <si>
    <t>Opel M55 solar farm</t>
  </si>
  <si>
    <t>Oranienbaum solar farm</t>
  </si>
  <si>
    <t>Osten1 solar project</t>
  </si>
  <si>
    <t>Osterhofen solar project</t>
  </si>
  <si>
    <t>P017 Solarpark Waldsolms solar farm</t>
  </si>
  <si>
    <t>PR1021,90 solar farm</t>
  </si>
  <si>
    <t>PV - Anlage II solar farm</t>
  </si>
  <si>
    <t>PV - Anlage III solar farm</t>
  </si>
  <si>
    <t>PV 2011 - Park 1 Rahden solar farm</t>
  </si>
  <si>
    <t>PV 2011 - Park 2 Rahden solar farm</t>
  </si>
  <si>
    <t>PV Anlage (Dresden) solar project</t>
  </si>
  <si>
    <t>PV Anlage 1.442,74 kWp solar farm</t>
  </si>
  <si>
    <t>PV Anlage Anlage 1 solar farm</t>
  </si>
  <si>
    <t>PV Anlage Anlage 2 solar farm</t>
  </si>
  <si>
    <t>PV Anlage Avantis 2 solar project</t>
  </si>
  <si>
    <t>PV Anlage Herste 2 solar farm</t>
  </si>
  <si>
    <t>PV Anlage Kreismülldeponie solar farm</t>
  </si>
  <si>
    <t>PV Anlage Rottehalle solar project</t>
  </si>
  <si>
    <t>PV Anlage Sülzfeld solar farm</t>
  </si>
  <si>
    <t>PV Anlage Trebsen, Seelingstädt solar farm</t>
  </si>
  <si>
    <t>PV Appenweier solar farm</t>
  </si>
  <si>
    <t>PV Auerbach solar farm</t>
  </si>
  <si>
    <t>PV Bandenitz solar farm</t>
  </si>
  <si>
    <t>PV Beeskow solar project</t>
  </si>
  <si>
    <t>PV Bernburg solar farm</t>
  </si>
  <si>
    <t>PV Bonnhof solar farm</t>
  </si>
  <si>
    <t>PV Dachanlage Gröbitz solar project</t>
  </si>
  <si>
    <t>PV Dachanlage solar project</t>
  </si>
  <si>
    <t>PV Edenbergen solar farm</t>
  </si>
  <si>
    <t>PV Eisfeld I solar farm</t>
  </si>
  <si>
    <t>PV Ergolding solar farm</t>
  </si>
  <si>
    <t>PV Freiflächenanlage FT solar project</t>
  </si>
  <si>
    <t>PV Freilandeanlage auf Deponie solar farm</t>
  </si>
  <si>
    <t>PV Gnötzheim II 1 solar project</t>
  </si>
  <si>
    <t>PV Gnötzheim II solar project</t>
  </si>
  <si>
    <t>PV Hessisch-Lichtenau solar farm</t>
  </si>
  <si>
    <t>PV Hohburg solar farm</t>
  </si>
  <si>
    <t>PV Im Gewerbepark 1 Dachanlagen Großanlage solar farm</t>
  </si>
  <si>
    <t>PV Jettingen solar farm</t>
  </si>
  <si>
    <t>PV KMD Böblingen Deponie Freifläche solar project</t>
  </si>
  <si>
    <t>PV Mahdau 1. BA solar farm</t>
  </si>
  <si>
    <t>PV Mallersdorf solar farm</t>
  </si>
  <si>
    <t>PV Melle solar farm</t>
  </si>
  <si>
    <t>PV Neukalen solar project</t>
  </si>
  <si>
    <t>PV Niederdorf solar farm</t>
  </si>
  <si>
    <t>PV Regen solar project</t>
  </si>
  <si>
    <t>PV Rehren solar farm</t>
  </si>
  <si>
    <t>PV Saarlouis 1 solar farm</t>
  </si>
  <si>
    <t>PV Seitendorf solar farm</t>
  </si>
  <si>
    <t>PV Solarpark Bücken solar project</t>
  </si>
  <si>
    <t>PV Solarpark Lahde solar project</t>
  </si>
  <si>
    <t>PV Solarpark Warmsen solar farm</t>
  </si>
  <si>
    <t>PV Staßfurt solar farm</t>
  </si>
  <si>
    <t>PV THD solar project</t>
  </si>
  <si>
    <t>PV Taufkirchen II solar project</t>
  </si>
  <si>
    <t>PV Voigtstedt I solar farm</t>
  </si>
  <si>
    <t>PV Weißenbronn solar farm</t>
  </si>
  <si>
    <t>PV Westeregln solar farm</t>
  </si>
  <si>
    <t>PV Westerscheps solar project</t>
  </si>
  <si>
    <t>PV Wonfurt I solar farm</t>
  </si>
  <si>
    <t>PV Wustermark solar farm</t>
  </si>
  <si>
    <t>PV alpincenter solar farm</t>
  </si>
  <si>
    <t>PV groß 2011 solar farm</t>
  </si>
  <si>
    <t>PV-46-01 solar farm</t>
  </si>
  <si>
    <t>PV-Anlage Burkhardtsdorf solar farm</t>
  </si>
  <si>
    <t>PV-Anlage Chammünster neu solar farm</t>
  </si>
  <si>
    <t>PV-Anlage Ellersleben solar farm</t>
  </si>
  <si>
    <t>PV-Anlage Flamschen I solar farm</t>
  </si>
  <si>
    <t>PV-Anlage FlstNr590 solar farm</t>
  </si>
  <si>
    <t>PV-Anlage Gaswerkstraße solar farm</t>
  </si>
  <si>
    <t>PV-Anlage Großrudestedt solar farm</t>
  </si>
  <si>
    <t>PV-Anlage Halde Oberabtei solar farm</t>
  </si>
  <si>
    <t>PV-Anlage IB solar farm</t>
  </si>
  <si>
    <t>PV-Anlage JR1 solar farm</t>
  </si>
  <si>
    <t>PV-Anlage S.0029.14 solar farm</t>
  </si>
  <si>
    <t>PV-Anlage Sietzsch solar farm</t>
  </si>
  <si>
    <t>PV-Anlage Straubing Dach 8 solar farm</t>
  </si>
  <si>
    <t>PV-Anlage-Mekra Lang solar farm</t>
  </si>
  <si>
    <t>PV-Apfelborn solar farm</t>
  </si>
  <si>
    <t>PV-Deponie solar farm</t>
  </si>
  <si>
    <t>PV-Freiflächenanlage Barbaraberg II solar farm</t>
  </si>
  <si>
    <t>PV-Freiflächenanlage Gebenbach West Hagen Bahn 1 solar farm</t>
  </si>
  <si>
    <t>PV-Freiflächenanlage Kleinlangheim solar farm</t>
  </si>
  <si>
    <t>PV-Freiflächenanlage Niedereulenbach solar farm</t>
  </si>
  <si>
    <t>PV-Freiflächenanlage Nordhausen solar farm</t>
  </si>
  <si>
    <t>PV-Freiflächenanlage Walbeck solar farm</t>
  </si>
  <si>
    <t>PV-Freiland Bad Dürrheim solar farm</t>
  </si>
  <si>
    <t>PV-Park Gera I solar farm</t>
  </si>
  <si>
    <t>PV-Park Gera II solar farm</t>
  </si>
  <si>
    <t>PV4 Logistikzentrum solar farm</t>
  </si>
  <si>
    <t>PVA Althen solar farm</t>
  </si>
  <si>
    <t>PVA Bad Lausick I solar farm</t>
  </si>
  <si>
    <t>PVA Batteriespeicher solar farm</t>
  </si>
  <si>
    <t>PVA Braschwitz 1 solar farm</t>
  </si>
  <si>
    <t>PVA Breitenfeld 1 solar farm</t>
  </si>
  <si>
    <t>PVA Brüsewitz solar project</t>
  </si>
  <si>
    <t>PVA Coesfeld solar farm</t>
  </si>
  <si>
    <t>PVA Cottbus solar farm</t>
  </si>
  <si>
    <t>PVA Dessau solar farm</t>
  </si>
  <si>
    <t>PVA Doberlug solar project</t>
  </si>
  <si>
    <t>PVA Dohma DeSanto solar project</t>
  </si>
  <si>
    <t>PVA Ebersbach 1 solar farm</t>
  </si>
  <si>
    <t>PVA Freiflächenanlage Farnstädt solar farm</t>
  </si>
  <si>
    <t>PVA Fürstenwalde I solar farm</t>
  </si>
  <si>
    <t>PVA GVZ II &amp; IV solar farm</t>
  </si>
  <si>
    <t>PVA GVZ III solar farm</t>
  </si>
  <si>
    <t>PVA Gerstungen solar farm</t>
  </si>
  <si>
    <t>PVA Gottmadingen 312 solar farm</t>
  </si>
  <si>
    <t>PVA Greußen solar farm</t>
  </si>
  <si>
    <t>PVA Gröben solar farm</t>
  </si>
  <si>
    <t>PVA Harbke 1 solar farm</t>
  </si>
  <si>
    <t>PVA Heidelberg Grenzhof solar farm</t>
  </si>
  <si>
    <t>PVA Inden Solarpark solar farm</t>
  </si>
  <si>
    <t>PVA Klein Bölkow solar farm</t>
  </si>
  <si>
    <t>PVA Kodersdorf solar farm</t>
  </si>
  <si>
    <t>PVA Leutkirch I solar farm</t>
  </si>
  <si>
    <t>PVA Ludwigsburg 1 (LC6) solar project</t>
  </si>
  <si>
    <t>PVA Lunzenau solar farm</t>
  </si>
  <si>
    <t>PVA Mahlwinkel I solar farm</t>
  </si>
  <si>
    <t>PVA Meineweh Kuhlede solar farm</t>
  </si>
  <si>
    <t>PVA Meißen solar project</t>
  </si>
  <si>
    <t>PVA Märkische Allee 4 10 solar project</t>
  </si>
  <si>
    <t>PVA Oberempfenbach I 1703,610 kWp solar farm</t>
  </si>
  <si>
    <t>PVA Oberröblingen I solar farm</t>
  </si>
  <si>
    <t>PVA Oderwitz solar farm</t>
  </si>
  <si>
    <t>PVA Olching 2 solar farm</t>
  </si>
  <si>
    <t>PVA Oppin solar farm</t>
  </si>
  <si>
    <t>PVA Oranienbaum solar farm</t>
  </si>
  <si>
    <t>PVA Panitzsch 2 solar farm</t>
  </si>
  <si>
    <t>PVA Redekin solar farm</t>
  </si>
  <si>
    <t>PVA Riethnordhausen solar farm</t>
  </si>
  <si>
    <t>PVA Rätzlingen 1 solar farm</t>
  </si>
  <si>
    <t>PVA Schlettau solar project</t>
  </si>
  <si>
    <t>PVA Sietzsch 1 solar farm</t>
  </si>
  <si>
    <t>PVA Sietzsch 2 solar farm</t>
  </si>
  <si>
    <t>PVA Sietzsch 3 solar farm</t>
  </si>
  <si>
    <t>PVA Tessin solar farm</t>
  </si>
  <si>
    <t>PVA Türkheim solar farm</t>
  </si>
  <si>
    <t>PVA VEXX 3 Halle solar farm</t>
  </si>
  <si>
    <t>PVA Verkehrslandeplatz solar farm</t>
  </si>
  <si>
    <t>8,7</t>
  </si>
  <si>
    <t>PVA Wandersleben solar farm</t>
  </si>
  <si>
    <t>PVA Winterhafen solar farm</t>
  </si>
  <si>
    <t>PVA Wismar solar farm</t>
  </si>
  <si>
    <t>PVA Wittenberge solar farm</t>
  </si>
  <si>
    <t>PVA Woringen solar farm</t>
  </si>
  <si>
    <t>PVA Worms 1 solar farm</t>
  </si>
  <si>
    <t>PVF Birkig solar farm</t>
  </si>
  <si>
    <t>PVF Ebern TUP solar farm</t>
  </si>
  <si>
    <t>PVF Forst solar farm</t>
  </si>
  <si>
    <t>PVF Gotha solar farm</t>
  </si>
  <si>
    <t>11,8</t>
  </si>
  <si>
    <t>PVF Rohr Teilanlage 1 solar farm</t>
  </si>
  <si>
    <t>PVStrom Solarpark Bad Rappenau GmbH &amp; Co. KG solar farm</t>
  </si>
  <si>
    <t>Parsau solar farm</t>
  </si>
  <si>
    <t>Pfeffenhausen solar farm</t>
  </si>
  <si>
    <t>Photovoltaik Freilandanlage Illingen solar farm</t>
  </si>
  <si>
    <t>Photovoltaikkraftwerk Gräfenhainichen GmbH &amp; Co. KG solar farm</t>
  </si>
  <si>
    <t>Photovoltaikkraftwerk Laucha solar farm</t>
  </si>
  <si>
    <t>Photovoltaikkraftwerk Markranstädt GmbH &amp; Co. KG solar farm</t>
  </si>
  <si>
    <t>Photovoltaikkraftwerk Queis solar farm</t>
  </si>
  <si>
    <t>Photovoltaikkraftwerk Reckahn III solar farm</t>
  </si>
  <si>
    <t>Photovoltaikkraftwerk Trebbin solar farm</t>
  </si>
  <si>
    <t>Photovoltaikkraftwerk Töpchin GmbH &amp; Co. KG solar farm</t>
  </si>
  <si>
    <t>Photovoltaikkraftwerk Wünsdorf GmbH &amp; Co. KG solar farm</t>
  </si>
  <si>
    <t>Photovoltaikpark 17 solar farm</t>
  </si>
  <si>
    <t>Porphyrstraße solar farm</t>
  </si>
  <si>
    <t>Projekt 077-10 solar farm</t>
  </si>
  <si>
    <t>Puchheim solar farm</t>
  </si>
  <si>
    <t>Pv Anlage Algermissen solar farm</t>
  </si>
  <si>
    <t>RCP Solarpark Allstedt I solar farm</t>
  </si>
  <si>
    <t>RCP Solarpark Allstedt II solar farm</t>
  </si>
  <si>
    <t>RCP Solarpark Allstedt III solar farm</t>
  </si>
  <si>
    <t>RCP Solarpark Allstedt IV solar farm</t>
  </si>
  <si>
    <t>RCP Solarpark Drewitz GmbH &amp; Co. KG IV solar farm</t>
  </si>
  <si>
    <t>RCP Solarpark Fürstenwalde solar farm</t>
  </si>
  <si>
    <t>RCP Solarpark Werneuchen I solar farm</t>
  </si>
  <si>
    <t>RCP Solarpark Werneuchen II solar farm</t>
  </si>
  <si>
    <t>RCP Solarpark Werneuchen III solar farm</t>
  </si>
  <si>
    <t>RCP Solarpark Werneuchen IV solar farm</t>
  </si>
  <si>
    <t>RMS Rhein Main Solarpark GmbH solar farm</t>
  </si>
  <si>
    <t>Rackwitz Freilandanlage solar farm</t>
  </si>
  <si>
    <t>Radolfzell solar farm</t>
  </si>
  <si>
    <t>Rannungen I solar farm</t>
  </si>
  <si>
    <t>Rathenow FFA solar farm</t>
  </si>
  <si>
    <t>Relzow Dach NEU solar farm</t>
  </si>
  <si>
    <t>Relzow solar farm</t>
  </si>
  <si>
    <t>Richter-PV-Lindlar solar farm</t>
  </si>
  <si>
    <t>Rossberg Energie solar farm</t>
  </si>
  <si>
    <t>Rothenburg I solar farm</t>
  </si>
  <si>
    <t>RusolarI solar farm</t>
  </si>
  <si>
    <t>S23372 solar farm</t>
  </si>
  <si>
    <t>SEE911563425585 DW2 solar farm</t>
  </si>
  <si>
    <t>SK Solarpark Kempfeld solar farm</t>
  </si>
  <si>
    <t>SKV Lübben solar farm</t>
  </si>
  <si>
    <t>SKW GTT 1 solar farm</t>
  </si>
  <si>
    <t>SKW KRN solar farm</t>
  </si>
  <si>
    <t>SKW Nauen solar farm</t>
  </si>
  <si>
    <t>SKW Solarkraftwerk Eberswalde solar farm</t>
  </si>
  <si>
    <t>SKW Sonneberg solar farm</t>
  </si>
  <si>
    <t>SKW Vockerode solar farm</t>
  </si>
  <si>
    <t>9,5</t>
  </si>
  <si>
    <t>SMA_G58_EQ17886 solar farm</t>
  </si>
  <si>
    <t>SP 1/1 Eigenbetrieb Gemeinde Lübesse solar farm</t>
  </si>
  <si>
    <t>SP Baddeckenstedt solar farm</t>
  </si>
  <si>
    <t>SP Bockelwitz solar farm</t>
  </si>
  <si>
    <t>SP Elsteraue Basis solar farm</t>
  </si>
  <si>
    <t>SP Grabsleben solar farm</t>
  </si>
  <si>
    <t>SP Laudenbach II solar farm</t>
  </si>
  <si>
    <t>SP Sontra solar farm</t>
  </si>
  <si>
    <t>SP Steffin solar farm</t>
  </si>
  <si>
    <t>SP Torgelow solar farm</t>
  </si>
  <si>
    <t>SP Tutow V solar farm</t>
  </si>
  <si>
    <t>7,7</t>
  </si>
  <si>
    <t>SP Zwickau solar farm</t>
  </si>
  <si>
    <t>SPH2 solar farm</t>
  </si>
  <si>
    <t>SPK Freiflächenanlage solar farm</t>
  </si>
  <si>
    <t>SPSH Solarpark Schmidtheim solar farm</t>
  </si>
  <si>
    <t>SSW Solar solar farm</t>
  </si>
  <si>
    <t>STEI GmbH &amp; Co. Solar KG solar farm</t>
  </si>
  <si>
    <t>Sachsenhagen I solar project</t>
  </si>
  <si>
    <t>Sandersdorf solar farm</t>
  </si>
  <si>
    <t>Scheibenberg I solar farm</t>
  </si>
  <si>
    <t>Scheibenberg II solar farm</t>
  </si>
  <si>
    <t>Schleiz-Oschitz solar farm</t>
  </si>
  <si>
    <t>Schönewalde solar farm</t>
  </si>
  <si>
    <t>So ne Freude solar farm</t>
  </si>
  <si>
    <t>So.fue.pa solar farm</t>
  </si>
  <si>
    <t>Solar Breitenbach solar farm</t>
  </si>
  <si>
    <t>Solar Meuro I solar farm</t>
  </si>
  <si>
    <t>17,2</t>
  </si>
  <si>
    <t>Solar Tower - Urbach solar farm</t>
  </si>
  <si>
    <t>Solar Vierte solar farm</t>
  </si>
  <si>
    <t>SolarPark Riedsee GbR solar farm</t>
  </si>
  <si>
    <t>Solaranlage Freihung solar farm</t>
  </si>
  <si>
    <t>Solaranlage Guben solar farm</t>
  </si>
  <si>
    <t>Solardach Herrenberg solar farm</t>
  </si>
  <si>
    <t>Solarfreifläche 1 Industriestraße solar farm</t>
  </si>
  <si>
    <t>Solarfreifläche 2 Industriestraße solar project</t>
  </si>
  <si>
    <t>Solargemeinschaft BDM Bredenborn solar farm</t>
  </si>
  <si>
    <t>Solargemeinschaft BDM Herste solar farm</t>
  </si>
  <si>
    <t>Solarkraftwerk Borna solar farm</t>
  </si>
  <si>
    <t>Solarkraftwerk Brimingen solar farm</t>
  </si>
  <si>
    <t>Solarkraftwerk Frauental solar farm</t>
  </si>
  <si>
    <t>Solarkraftwerk Haidt solar farm</t>
  </si>
  <si>
    <t>Solarkraftwerk Mehring III solar farm</t>
  </si>
  <si>
    <t>Solarpark (Postbauer-Heng) solar project</t>
  </si>
  <si>
    <t>Solarpark 1, Lösau solar farm</t>
  </si>
  <si>
    <t>Solarpark A3 GmbH &amp; Co. KG solar farm</t>
  </si>
  <si>
    <t>Solarpark Alsenz solar farm</t>
  </si>
  <si>
    <t>Solarpark Bad Endbach solar farm</t>
  </si>
  <si>
    <t>Solarpark Barby solar farm</t>
  </si>
  <si>
    <t>Solarpark Basepohl I solar farm</t>
  </si>
  <si>
    <t>Solarpark Beckenghau solar farm</t>
  </si>
  <si>
    <t>Solarpark Billerbeck-Hamern GmbH &amp; Co. KG solar farm</t>
  </si>
  <si>
    <t>Solarpark Bitterfeld I solar farm</t>
  </si>
  <si>
    <t>Solarpark Bitterfeld II solar farm</t>
  </si>
  <si>
    <t>Solarpark Burgheim solar farm</t>
  </si>
  <si>
    <t>Solarpark Coswig Süd solar farm</t>
  </si>
  <si>
    <t>Solarpark Denkingen Teil 1 solar farm</t>
  </si>
  <si>
    <t>Solarpark Deponie "Ober der Brück" solar project</t>
  </si>
  <si>
    <t>Solarpark Diemelsee GmbH ＆ Co. KG solar project</t>
  </si>
  <si>
    <t>Solarpark Dissenchen Süd solar farm</t>
  </si>
  <si>
    <t>Solarpark Dittwar solar farm</t>
  </si>
  <si>
    <t>Solarpark Eiterfeld solar project</t>
  </si>
  <si>
    <t>Solarpark Engelbrechtsmünster solar farm</t>
  </si>
  <si>
    <t>5,9</t>
  </si>
  <si>
    <t>Solarpark Freden I solar farm</t>
  </si>
  <si>
    <t>Solarpark Fritz-Erler HaMü IV solar farm</t>
  </si>
  <si>
    <t>Solarpark Galgenberg solar farm</t>
  </si>
  <si>
    <t>Solarpark Gardelegen solar farm</t>
  </si>
  <si>
    <t>Solarpark Garz solar farm</t>
  </si>
  <si>
    <t>Solarpark Grimmen solar farm</t>
  </si>
  <si>
    <t>Solarpark Haida solar farm</t>
  </si>
  <si>
    <t>Solarpark Heckfeld solar farm</t>
  </si>
  <si>
    <t>Solarpark Hecklingen I solar farm</t>
  </si>
  <si>
    <t>Solarpark Heidenheim solar farm</t>
  </si>
  <si>
    <t>Solarpark Hohenahr GbR solar farm</t>
  </si>
  <si>
    <t>Solarpark Homberg Efze solar farm</t>
  </si>
  <si>
    <t>Solarpark Horka T1 solar farm</t>
  </si>
  <si>
    <t>Solarpark I III solar farm</t>
  </si>
  <si>
    <t>Solarpark Iffezheim solar farm</t>
  </si>
  <si>
    <t>Solarpark Kirchberg I solar farm</t>
  </si>
  <si>
    <t>Solarpark Klettgau solar farm</t>
  </si>
  <si>
    <t>Solarpark Kläden 1 solar farm</t>
  </si>
  <si>
    <t>Solarpark Kobre solar farm</t>
  </si>
  <si>
    <t>Solarpark Kritzkow solar farm</t>
  </si>
  <si>
    <t>Solarpark Langenisarhofen 2 solar farm</t>
  </si>
  <si>
    <t>Solarpark Langweid - Achsheim solar farm</t>
  </si>
  <si>
    <t>Solarpark Linden I solar farm</t>
  </si>
  <si>
    <t>Solarpark Magdeburg solar farm</t>
  </si>
  <si>
    <t>Solarpark Meißen solar farm</t>
  </si>
  <si>
    <t>Solarpark Merseburg GmbH solar farm</t>
  </si>
  <si>
    <t>Solarpark Mittich solar farm</t>
  </si>
  <si>
    <t>Solarpark Nannhofen solar farm</t>
  </si>
  <si>
    <t>Solarpark Nauroth 1 solar farm</t>
  </si>
  <si>
    <t>Solarpark Nauroth 2 solar farm</t>
  </si>
  <si>
    <t>Solarpark Nauroth 3 solar farm</t>
  </si>
  <si>
    <t>Solarpark Neuenhagen solar farm</t>
  </si>
  <si>
    <t>Solarpark Nußloch solar farm</t>
  </si>
  <si>
    <t>Solarpark Oranienburg 10587 solar farm</t>
  </si>
  <si>
    <t>Solarpark Oranienburg 10588 solar farm</t>
  </si>
  <si>
    <t>Solarpark Osterwieck solar farm</t>
  </si>
  <si>
    <t>Solarpark Piratella solar farm</t>
  </si>
  <si>
    <t>Solarpark Polch Ost solar farm</t>
  </si>
  <si>
    <t>Solarpark Polch West solar farm</t>
  </si>
  <si>
    <t>Solarpark Rapshagen solar farm</t>
  </si>
  <si>
    <t>9,7</t>
  </si>
  <si>
    <t>Solarpark Rassnitz solar farm</t>
  </si>
  <si>
    <t>Solarpark Reding solar farm</t>
  </si>
  <si>
    <t>Solarpark Rohrbach 1 solar farm</t>
  </si>
  <si>
    <t>Solarpark Roitzsch solar farm</t>
  </si>
  <si>
    <t>Solarpark Rosenmühlweg solar farm</t>
  </si>
  <si>
    <t>Solarpark Ruttersdorf GmbH &amp; Co.KG solar farm</t>
  </si>
  <si>
    <t>Solarpark Rüdersdorf II solar farm</t>
  </si>
  <si>
    <t>Solarpark Rügen GmbH solar farm</t>
  </si>
  <si>
    <t>Solarpark Sandersdorf GmbH &amp; Co. KG solar farm</t>
  </si>
  <si>
    <t>Solarpark Sassenburg solar farm</t>
  </si>
  <si>
    <t>Solarpark Schachtner Loiching solar farm</t>
  </si>
  <si>
    <t>Solarpark Spreewitz solar farm</t>
  </si>
  <si>
    <t>Solarpark Spremberg solar farm</t>
  </si>
  <si>
    <t>Solarpark St. Wendel Freiflächenanlage solar farm</t>
  </si>
  <si>
    <t>Solarpark Stelzlhof solar farm</t>
  </si>
  <si>
    <t>Solarpark Stoltera Ia solar farm</t>
  </si>
  <si>
    <t>Solarpark Stoltera Ib solar farm</t>
  </si>
  <si>
    <t>Solarpark Sukow GmbH &amp; Co. KG solar farm</t>
  </si>
  <si>
    <t>10,3</t>
  </si>
  <si>
    <t>Solarpark Südergotteskoog solar farm</t>
  </si>
  <si>
    <t>Solarpark Teutschenthal solar farm</t>
  </si>
  <si>
    <t>Solarpark Unterdinkelhof solar farm</t>
  </si>
  <si>
    <t>Solarpark Waldbrunn solar farm</t>
  </si>
  <si>
    <t>Solarpark Weddingstedt solar farm</t>
  </si>
  <si>
    <t>Solarpark Weeze solar farm</t>
  </si>
  <si>
    <t>14,1</t>
  </si>
  <si>
    <t>Solarpark Wolferstedt - Ehemalige Hühnerfarm solar farm</t>
  </si>
  <si>
    <t>Solarpark XVI solar farm</t>
  </si>
  <si>
    <t>Solarpark Zorbau solar farm</t>
  </si>
  <si>
    <t>Solarpark am Bicklingsbach solar farm</t>
  </si>
  <si>
    <t>Solarpark am Haff solar farm</t>
  </si>
  <si>
    <t>Solarpark2 solar farm</t>
  </si>
  <si>
    <t>Sonneninvest Kamenz solar project</t>
  </si>
  <si>
    <t>Sonnenpark Tännesberg solar farm</t>
  </si>
  <si>
    <t>Sun Collect Vario Fonds Thale GmbH solar farm</t>
  </si>
  <si>
    <t>Sunna-Wint Stelle-Wittenwurth GmbH &amp; Co. KG solar farm</t>
  </si>
  <si>
    <t>TSP Tweelbäke Solarpark GmbH &amp; Co. KG solar farm</t>
  </si>
  <si>
    <t>Troisdorf solar farm</t>
  </si>
  <si>
    <t>Ulrichshof solar farm</t>
  </si>
  <si>
    <t>Vanselow solar project</t>
  </si>
  <si>
    <t>Vollersode solar farm</t>
  </si>
  <si>
    <t>WB Bad Eilsen solar project</t>
  </si>
  <si>
    <t>Westerhausen solar farm</t>
  </si>
  <si>
    <t>Westerholz 19 solar farm</t>
  </si>
  <si>
    <t>Wustrau solar project</t>
  </si>
  <si>
    <t>Zerbst 1 solar farm</t>
  </si>
  <si>
    <t>Zerbst 2 solar farm</t>
  </si>
  <si>
    <t>12,2</t>
  </si>
  <si>
    <t>Zerbst 3 PV solar farm</t>
  </si>
  <si>
    <t>Zerbst 4 solar farm</t>
  </si>
  <si>
    <t>Zerbst 5 solar farm</t>
  </si>
  <si>
    <t>zum Schacht solar project</t>
  </si>
  <si>
    <t>PV Freifläche Thannet I solar farm</t>
  </si>
  <si>
    <t>PV Lüptitz F1 solar farm</t>
  </si>
  <si>
    <t>SEE920109032095 solar project</t>
  </si>
  <si>
    <t>0372 - Ketzerbachtal solar farm</t>
  </si>
  <si>
    <t>12 03 Bürgeranlage Fertig Buchen solar project</t>
  </si>
  <si>
    <t>12167 SP Oberehring T2 und T3 solar farm</t>
  </si>
  <si>
    <t>189 - Freifläche Homberg solar farm</t>
  </si>
  <si>
    <t>2016-09ASS007 PV-Anlage Werdau Freifläche solar farm</t>
  </si>
  <si>
    <t>27 FFA Eham solar farm</t>
  </si>
  <si>
    <t>31514 Teil 2 solar farm</t>
  </si>
  <si>
    <t>4 solar farm</t>
  </si>
  <si>
    <t>8. Solarpark Seinsheim GmbH &amp; Co. KG solar farm</t>
  </si>
  <si>
    <t>ABR979332184545 IV solar farm</t>
  </si>
  <si>
    <t>ABR979332184545 V solar farm</t>
  </si>
  <si>
    <t>ABR997682387256 solar farm</t>
  </si>
  <si>
    <t>AML Varlheide solar farm</t>
  </si>
  <si>
    <t>ARID 4149 So.Leu.Pa. solar farm</t>
  </si>
  <si>
    <t>ASO-350289-12 solar farm</t>
  </si>
  <si>
    <t>ASO-877073-12 solar farm</t>
  </si>
  <si>
    <t>ASO-878992-12 solar farm</t>
  </si>
  <si>
    <t>ATON KNI solar farm</t>
  </si>
  <si>
    <t>Achsheim-Langweid solar farm</t>
  </si>
  <si>
    <t>Agrardächer SF12 PFA solar project</t>
  </si>
  <si>
    <t>Agrardächer SF12 ROT solar project</t>
  </si>
  <si>
    <t>Agrardächer SF12 solar project</t>
  </si>
  <si>
    <t>Ajax - Naunhof solar farm</t>
  </si>
  <si>
    <t>Ajax - Parthenstein (EEA1) solar farm</t>
  </si>
  <si>
    <t>Alf Golm solar farm</t>
  </si>
  <si>
    <t>Altenburg Flughafen solar farm</t>
  </si>
  <si>
    <t>12,1</t>
  </si>
  <si>
    <t>Altenpleen-Nisdorf solar farm</t>
  </si>
  <si>
    <t>Altwriezen Solar GbR solar farm</t>
  </si>
  <si>
    <t>Am Silbersee BA3-4 solar farm</t>
  </si>
  <si>
    <t>Anlage 1 Werk puris solar project</t>
  </si>
  <si>
    <t>Anlage II solar farm</t>
  </si>
  <si>
    <t>Ansbach solar farm</t>
  </si>
  <si>
    <t>Artern solar farm</t>
  </si>
  <si>
    <t>B-Lager solar farm</t>
  </si>
  <si>
    <t>BA I solar farm</t>
  </si>
  <si>
    <t>BA1 II solar farm</t>
  </si>
  <si>
    <t>BA2 solar farm</t>
  </si>
  <si>
    <t>BGT Alexanderstr. 2 solar farm</t>
  </si>
  <si>
    <t>Bad Essen solar project</t>
  </si>
  <si>
    <t>Bad Gandersheim Solarpark solar farm</t>
  </si>
  <si>
    <t>Badbergen solar farm</t>
  </si>
  <si>
    <t>Bahnhof 1 solar farm</t>
  </si>
  <si>
    <t>BeBa Solarpark Strasburg solar farm</t>
  </si>
  <si>
    <t>Beerwalde III solar farm</t>
  </si>
  <si>
    <t>Berlin solar farm</t>
  </si>
  <si>
    <t>Bernsdorf (Cölbe Solaracker) solar farm</t>
  </si>
  <si>
    <t>Bielefeld solar farm</t>
  </si>
  <si>
    <t>Bissel solar farm</t>
  </si>
  <si>
    <t>Breitenfeld solar farm</t>
  </si>
  <si>
    <t>Böblingen TWS KG solar farm</t>
  </si>
  <si>
    <t>Bürger Solarpark Elfershausen solar farm</t>
  </si>
  <si>
    <t>Bürger Solarpark Unterhaid solar farm</t>
  </si>
  <si>
    <t>BürgerEnergie HoSchMi solar farm</t>
  </si>
  <si>
    <t>BürgerSOLAR Arnsberg solar farm</t>
  </si>
  <si>
    <t>Bürgersolarpark Bülten GmbH &amp; Co. KG solar farm</t>
  </si>
  <si>
    <t>Bürgersolarpark Leesau GmbH &amp; Co. KG solar farm</t>
  </si>
  <si>
    <t>Bürgersolarpark Metelsdorf GmbH &amp; Co. KG solar farm</t>
  </si>
  <si>
    <t>Bürgersolarpark Schandelah GmbH &amp; Co. KG solar farm</t>
  </si>
  <si>
    <t>Bürgersolarpark Schauenburg GmbH &amp; Co. KG solar farm</t>
  </si>
  <si>
    <t>Bürgersolarpark Wolfhagerland GmbH &amp; Co. KG solar farm</t>
  </si>
  <si>
    <t>C-PV-3 solar farm</t>
  </si>
  <si>
    <t>C.A.P. Isabell Solar GmbH ＆ Co. KG solar project</t>
  </si>
  <si>
    <t>CCB Energy GbR solar farm</t>
  </si>
  <si>
    <t>CPV Leer Freiflächenanlage solar farm</t>
  </si>
  <si>
    <t>Calau Solar solar farm</t>
  </si>
  <si>
    <t>Calvörde Schott FFA Freiflächenanlage solar farm</t>
  </si>
  <si>
    <t>Carport Wolnzach solar farm</t>
  </si>
  <si>
    <t>Chausseestr. Gribow solar project</t>
  </si>
  <si>
    <t>Climagy PV Stromanlage1 solar farm</t>
  </si>
  <si>
    <t>Clingen,Blue.Gree,Orange,Turqouise solar farm</t>
  </si>
  <si>
    <t>Cloppenburg Freiland solar farm</t>
  </si>
  <si>
    <t>Consilium Solarpark Heimsheim solar farm</t>
  </si>
  <si>
    <t>DE28.002 Solarkraftwerk Colditz solar farm</t>
  </si>
  <si>
    <t>Dach PV Stöckel Anlagen GmbH &amp; Co KG solar farm</t>
  </si>
  <si>
    <t>Dachfläche solar farm</t>
  </si>
  <si>
    <t>Debstedt solar farm</t>
  </si>
  <si>
    <t>Deersheim solar farm</t>
  </si>
  <si>
    <t>Delitzscher Strasse solar project</t>
  </si>
  <si>
    <t>Deponie Üttingen solar farm</t>
  </si>
  <si>
    <t>Dornstadt solar project</t>
  </si>
  <si>
    <t>EDEKA Logistikzentrum Landsberg am Lech Anlage 1 solar farm</t>
  </si>
  <si>
    <t>EK1876,70 solar farm</t>
  </si>
  <si>
    <t>EPL solar farm</t>
  </si>
  <si>
    <t>Eckl Solarpark A92 solar farm</t>
  </si>
  <si>
    <t>Ecklak Solar solar farm</t>
  </si>
  <si>
    <t>Egreno_PV_1 solar farm</t>
  </si>
  <si>
    <t>Eilsleben solar farm</t>
  </si>
  <si>
    <t>Elster/Elster solar farm</t>
  </si>
  <si>
    <t>Elter Iserbebeka solar farm</t>
  </si>
  <si>
    <t>Energie Park Kirchdorf solar farm</t>
  </si>
  <si>
    <t>Energiepark Gillenfeld/Ellscheid solar farm</t>
  </si>
  <si>
    <t>Energiepark Walkenstetten solar farm</t>
  </si>
  <si>
    <t>Ermlitz Mitte solar farm</t>
  </si>
  <si>
    <t>Ermlitz Nord solar farm</t>
  </si>
  <si>
    <t>FF Teichröda solar farm</t>
  </si>
  <si>
    <t>FF-PV solar farm</t>
  </si>
  <si>
    <t>FFA Freisen solar farm</t>
  </si>
  <si>
    <t>FFA Nohfelden Eisen solar farm</t>
  </si>
  <si>
    <t>FREICHFLÄCHE solar farm</t>
  </si>
  <si>
    <t>FWR Solaranlage Atzhausen 001 solar farm</t>
  </si>
  <si>
    <t>Falkenstein solar farm</t>
  </si>
  <si>
    <t>Finsterwalde solar farm</t>
  </si>
  <si>
    <t>Fischbeck Solarpark solar farm</t>
  </si>
  <si>
    <t>Flugplatz Schacksdorf solar farm</t>
  </si>
  <si>
    <t>Franz-Sigel-Str. 9999, Waghäusel solar farm</t>
  </si>
  <si>
    <t>Freifläche Diefflen Teil 1 solar farm</t>
  </si>
  <si>
    <t>Freifläche Freudenholm solar farm</t>
  </si>
  <si>
    <t>Freifläche Gröbitz solar farm</t>
  </si>
  <si>
    <t>Freifläche Industriestraße Runkel solar farm</t>
  </si>
  <si>
    <t>Freifläche Unterhart 2012 - Teil 1 solar farm</t>
  </si>
  <si>
    <t>Freifläche Unterhart 2012 - Teil 2 solar farm</t>
  </si>
  <si>
    <t>Freifläche Wiesenfeld solar farm</t>
  </si>
  <si>
    <t>Freifläche XII solar farm</t>
  </si>
  <si>
    <t>8,9</t>
  </si>
  <si>
    <t>Freifläche XIII solar farm</t>
  </si>
  <si>
    <t>Freifläche XIV solar farm</t>
  </si>
  <si>
    <t>Freifläche1091 solar project</t>
  </si>
  <si>
    <t>Freiflächen-PV-Anlage solar farm</t>
  </si>
  <si>
    <t>Freiflächenanlage I solar farm</t>
  </si>
  <si>
    <t>Freiflächenanlage II solar farm</t>
  </si>
  <si>
    <t>Freiflächenanlage-1334,760 kWp solar farm</t>
  </si>
  <si>
    <t>Freiflächenphotovoltaikanlage Sohlgraben solar farm</t>
  </si>
  <si>
    <t>Freilandanlage II solar farm</t>
  </si>
  <si>
    <t>Freilandfläche Hellmitzheim solar farm</t>
  </si>
  <si>
    <t>Friedland Datze 1 solar farm</t>
  </si>
  <si>
    <t>Friedland Datze 2a (Kleinbahn) solar farm</t>
  </si>
  <si>
    <t>Friedland Schwarzer Weg 2 solar farm</t>
  </si>
  <si>
    <t>Frischenmoor solar farm</t>
  </si>
  <si>
    <t>G&amp;S Photovoltaik GbR solar farm</t>
  </si>
  <si>
    <t>G-S-K solar farm</t>
  </si>
  <si>
    <t>Gau Algesheim SB Weisel solar project</t>
  </si>
  <si>
    <t>Geschellenberg I solar farm</t>
  </si>
  <si>
    <t>Geusa solar farm</t>
  </si>
  <si>
    <t>Gewerbepark solar project</t>
  </si>
  <si>
    <t>Gollhofen solar farm</t>
  </si>
  <si>
    <t>Golpa I solar farm</t>
  </si>
  <si>
    <t>Gramkow E22132 solar project</t>
  </si>
  <si>
    <t>Greiz-Gommla solar farm</t>
  </si>
  <si>
    <t>Gross-Wülknitz solar farm</t>
  </si>
  <si>
    <t>Großenhain I solar farm</t>
  </si>
  <si>
    <t>Grube Warndt FF solar farm</t>
  </si>
  <si>
    <t>Grumbachaue BA1 solar farm</t>
  </si>
  <si>
    <t>Gröbitz Anlage 1 solar farm</t>
  </si>
  <si>
    <t>Gunzenhausen Stetten 8910 PV Freifläche solar farm</t>
  </si>
  <si>
    <t>Gut Werchau solar farm</t>
  </si>
  <si>
    <t>Göllingen solar farm</t>
  </si>
  <si>
    <t>HLP Herbrechtingen solar farm</t>
  </si>
  <si>
    <t>Hagen II Hagenstr. 999 solar farm</t>
  </si>
  <si>
    <t>Halle Solarpark solar farm</t>
  </si>
  <si>
    <t>Hallendach solar project I</t>
  </si>
  <si>
    <t>Heisterholz Los 1 solar project</t>
  </si>
  <si>
    <t>Heisterholz Los 2 solar farm</t>
  </si>
  <si>
    <t>Herrieden Regmannsdorf 8903 PV-Freifläche 2.721,6 solar farm</t>
  </si>
  <si>
    <t>Hieringer PV-Park GbR solar farm</t>
  </si>
  <si>
    <t>Hirschberg solar farm</t>
  </si>
  <si>
    <t>Hohne I solar farm</t>
  </si>
  <si>
    <t>Humptrup Süderwang solar farm</t>
  </si>
  <si>
    <t>Hänchenstall groß solar project</t>
  </si>
  <si>
    <t>Hölzlein PV solar farm</t>
  </si>
  <si>
    <t>IEE Institut solar farm</t>
  </si>
  <si>
    <t>Ideemasun EP 14_SP Dietersburg I solar farm</t>
  </si>
  <si>
    <t>Ideemasun EP 14_SP Dietersburg II solar farm</t>
  </si>
  <si>
    <t>JX II solar farm</t>
  </si>
  <si>
    <t>Jocksdorf Schott FFA Freiflächenanlage solar farm</t>
  </si>
  <si>
    <t>Jüterbog solar farm</t>
  </si>
  <si>
    <t>KAN193172 solar farm</t>
  </si>
  <si>
    <t>Kalbe solar project</t>
  </si>
  <si>
    <t>Kaserne Rendsburg solar farm</t>
  </si>
  <si>
    <t>Kirchfembach-Langenzenn solar farm</t>
  </si>
  <si>
    <t>Kirchwalsede1 solar project</t>
  </si>
  <si>
    <t>Klaus Scheffler Solarpark GmbH solar farm</t>
  </si>
  <si>
    <t>Klausheide solar farm</t>
  </si>
  <si>
    <t>Klockenhagen solar farm</t>
  </si>
  <si>
    <t>Kohlelager solar farm</t>
  </si>
  <si>
    <t>Kompostwerk Hellefelder Höhe solar project</t>
  </si>
  <si>
    <t>Krannich Solarpark 20 Kliestow solar farm</t>
  </si>
  <si>
    <t>Krannich Solarpark 22 Malchin solar farm</t>
  </si>
  <si>
    <t>Kürnach 8900 PV-Freifläche solar farm</t>
  </si>
  <si>
    <t>LH PV 1 solar farm</t>
  </si>
  <si>
    <t>LH PV 1A solar farm</t>
  </si>
  <si>
    <t>LHI Green Infrastructure Solar Deutschland I GmbH &amp; Co. KG solar farm</t>
  </si>
  <si>
    <t>19,7</t>
  </si>
  <si>
    <t>LHI Solar Deutschland VIII GmbH &amp; Co. KG (PVA Auw) solar farm</t>
  </si>
  <si>
    <t>LHI Solar Deutschland VIII GmbH &amp; Co. KG (PVA Gerdshagen) solar farm</t>
  </si>
  <si>
    <t>LHI Solar Deutschland VIII GmbH &amp; Co. KG (PVA Wanzleben) solar farm</t>
  </si>
  <si>
    <t>LHI SolarWind Bitterfeld GmbH &amp; Co. KG solar farm</t>
  </si>
  <si>
    <t>LPB-Solarpark Bärenbach solar farm</t>
  </si>
  <si>
    <t>Laudenbach solar project</t>
  </si>
  <si>
    <t>Laupheimer Straße solar farm</t>
  </si>
  <si>
    <t>Lauta solar farm</t>
  </si>
  <si>
    <t>Lebbin Solarstrom solar farm</t>
  </si>
  <si>
    <t>Leipzig Freifläche solar farm</t>
  </si>
  <si>
    <t>Letzpark solar farm</t>
  </si>
  <si>
    <t>Leussin 1 solar farm</t>
  </si>
  <si>
    <t>Lichtenau Oberrammersdorf 8908 PV-Freifläche 1642,2 solar farm</t>
  </si>
  <si>
    <t>Lichtenau Oberrammersdorf 8909 PV-Freifläche 1047,2 solar farm</t>
  </si>
  <si>
    <t>Lohwiesen Solarpark solar farm</t>
  </si>
  <si>
    <t>Lokisa Solar Rheinbach 1 solar farm</t>
  </si>
  <si>
    <t>Lützelbach solar farm</t>
  </si>
  <si>
    <t>Lützen solar farm</t>
  </si>
  <si>
    <t>MAHLWINKEL solar farm</t>
  </si>
  <si>
    <t>18,8</t>
  </si>
  <si>
    <t>MS1300 solar farm</t>
  </si>
  <si>
    <t>Magdala II solar farm</t>
  </si>
  <si>
    <t>Marksuhl solar farm</t>
  </si>
  <si>
    <t>Meerbrede 2 6 solar project</t>
  </si>
  <si>
    <t>Metzlesdorf solar farm</t>
  </si>
  <si>
    <t>Milzau solar farm</t>
  </si>
  <si>
    <t>Mühlberg I solar farm</t>
  </si>
  <si>
    <t>NB1 solar project</t>
  </si>
  <si>
    <t>NMB Star Asset Sun Dessau solar farm</t>
  </si>
  <si>
    <t>NMB Star Asset Sun Gauting solar farm</t>
  </si>
  <si>
    <t>NMB Star Asset Sun Hartmannsdorf solar farm</t>
  </si>
  <si>
    <t>Neuburxdorf solar farm</t>
  </si>
  <si>
    <t>Nivelstein solar farm</t>
  </si>
  <si>
    <t>10,5</t>
  </si>
  <si>
    <t>Nörten Hardenberg solar farm</t>
  </si>
  <si>
    <t>OEKOGENO SF8-OFII solar farm</t>
  </si>
  <si>
    <t>OEKOGENO SF9/OFIV solar farm</t>
  </si>
  <si>
    <t>OFW solar farm</t>
  </si>
  <si>
    <t>OLB solar farm</t>
  </si>
  <si>
    <t>Ober solar project</t>
  </si>
  <si>
    <t>Offenbach Altdeponie Grix PV Freiflächenanlage solar farm</t>
  </si>
  <si>
    <t>Ok-Solar UG(hb.) &amp;Co.KG-Flächenphotovoltaik solar farm</t>
  </si>
  <si>
    <t>Osterode Bergstraße solar farm</t>
  </si>
  <si>
    <t>P010 - Kargow solar farm</t>
  </si>
  <si>
    <t>P036 Kandelin solar project</t>
  </si>
  <si>
    <t>P11590 solar farm</t>
  </si>
  <si>
    <t>P19225 solar farm</t>
  </si>
  <si>
    <t>PCVA KWD solar farm</t>
  </si>
  <si>
    <t>PJP-20 solar farm</t>
  </si>
  <si>
    <t>PRE1565kWp solar farm</t>
  </si>
  <si>
    <t>PV - Anlage IV solar farm</t>
  </si>
  <si>
    <t>PV 2012 - Park 3 Rahden solar farm</t>
  </si>
  <si>
    <t>PV 2012 Freiensteinau Ober-Moos solar farm</t>
  </si>
  <si>
    <t>PV Anlage 1.068 kWp solar project</t>
  </si>
  <si>
    <t>PV Anlage 2012 1017,15KW solar project</t>
  </si>
  <si>
    <t>PV Anlage Büren solar farm</t>
  </si>
  <si>
    <t>PV Anlage Deponie Weißer Stein solar farm</t>
  </si>
  <si>
    <t>PV Anlage Golzow solar project</t>
  </si>
  <si>
    <t>PV Anlage P,Q solar project</t>
  </si>
  <si>
    <t>PV Anlage zur Volleinspeisung solar farm</t>
  </si>
  <si>
    <t>PV Artern solar farm</t>
  </si>
  <si>
    <t>PV BSP II solar farm</t>
  </si>
  <si>
    <t>PV Badeleben solar farm</t>
  </si>
  <si>
    <t>PV Berghausen 1 solar farm</t>
  </si>
  <si>
    <t>PV Bromskirchen solar farm</t>
  </si>
  <si>
    <t>PV Deponie Freifläche Teil 1 solar farm</t>
  </si>
  <si>
    <t>PV Ekern solar farm</t>
  </si>
  <si>
    <t>PV Ellingen II solar farm</t>
  </si>
  <si>
    <t>PV Emmerich Netterdensche solar project</t>
  </si>
  <si>
    <t>PV Etzdorf solar project</t>
  </si>
  <si>
    <t>PV Feld solar farm</t>
  </si>
  <si>
    <t>PV Freifläche II solar farm</t>
  </si>
  <si>
    <t>PV Freifläche Otzing I solar farm</t>
  </si>
  <si>
    <t>PV Freifläche Thannet I 1000,80kWp (von 2.928,96kWp) solar project</t>
  </si>
  <si>
    <t>PV Freifläche Thannet I 1283,04kWp (von 2.928,96kWp) solar project</t>
  </si>
  <si>
    <t>PV Gorspen - Vahlsen I solar farm</t>
  </si>
  <si>
    <t>PV Gorspen - Vahlsen II solar farm</t>
  </si>
  <si>
    <t>PV Gross Munzel solar farm</t>
  </si>
  <si>
    <t>PV Großmarkt solar project</t>
  </si>
  <si>
    <t>PV Großmühlingen Nord solar project</t>
  </si>
  <si>
    <t>PV Gröden solar farm</t>
  </si>
  <si>
    <t>PV Haingrün solar farm</t>
  </si>
  <si>
    <t>PV Halle 4 solar farm</t>
  </si>
  <si>
    <t>PV Hambergen solar farm</t>
  </si>
  <si>
    <t>9,6</t>
  </si>
  <si>
    <t>PV Herbstein Bonnerod solar farm</t>
  </si>
  <si>
    <t>PV Herzberg I solar farm</t>
  </si>
  <si>
    <t>PV Hohenfels GmbH &amp; Co. KG solar farm</t>
  </si>
  <si>
    <t>PV Humptrup solar farm</t>
  </si>
  <si>
    <t>PV Lingen solar farm</t>
  </si>
  <si>
    <t>PV Lüptitz F2 solar farm</t>
  </si>
  <si>
    <t>PV Nobitz Freiland solar farm</t>
  </si>
  <si>
    <t>PV Oberehring 1 solar farm</t>
  </si>
  <si>
    <t>PV Ovi Freifläche 2350,8 solar farm</t>
  </si>
  <si>
    <t>PV Park Freden III solar farm</t>
  </si>
  <si>
    <t>PV Park Niederraunau 1 solar farm</t>
  </si>
  <si>
    <t>PV Park VS Freifläche groß solar farm</t>
  </si>
  <si>
    <t>PV Park2 solar farm</t>
  </si>
  <si>
    <t>PV Reichersdorf solar farm</t>
  </si>
  <si>
    <t>PV Rothenburg IV GmbH &amp; Co. KG solar farm</t>
  </si>
  <si>
    <t>15,2</t>
  </si>
  <si>
    <t>PV Saarlouis 2 solar farm</t>
  </si>
  <si>
    <t>PV Schweinfurt solar farm</t>
  </si>
  <si>
    <t>PV Skihalle solar farm</t>
  </si>
  <si>
    <t>PV Stephansposching-Freundorf solar farm</t>
  </si>
  <si>
    <t>PV Südheide solar farm</t>
  </si>
  <si>
    <t>PV Vierlinden solar farm</t>
  </si>
  <si>
    <t>PV Voigtstedt II solar farm</t>
  </si>
  <si>
    <t>PV Wünschendorf solar farm</t>
  </si>
  <si>
    <t>PV- Anlage Müggenburg solar farm</t>
  </si>
  <si>
    <t>PV- Freifläche solar farm</t>
  </si>
  <si>
    <t>PV-Anlage - Freiflächenanlage, Blankenrath solar farm</t>
  </si>
  <si>
    <t>PV-Anlage 1 solar farm</t>
  </si>
  <si>
    <t>PV-Anlage Deponie Dammheim solar farm</t>
  </si>
  <si>
    <t>PV-Anlage Dessau FF solar farm</t>
  </si>
  <si>
    <t>PV-Anlage Dormagen solar farm</t>
  </si>
  <si>
    <t>PV-Anlage Drage solar farm</t>
  </si>
  <si>
    <t>PV-Anlage Freifläche Verwaltung La-Hü solar farm</t>
  </si>
  <si>
    <t>PV-Anlage Gnölbzig solar farm</t>
  </si>
  <si>
    <t>PV-Anlage Großköllnbach solar farm</t>
  </si>
  <si>
    <t>PV-Anlage Grüner Weg solar farm</t>
  </si>
  <si>
    <t>PV-Anlage Halbs solar farm</t>
  </si>
  <si>
    <t>PV-Anlage Hergenroth solar farm</t>
  </si>
  <si>
    <t>PV-Anlage KSJ Ilmnitz, Jena Musäusring solar farm</t>
  </si>
  <si>
    <t>PV-Anlage Leinefelde-Worbis solar farm</t>
  </si>
  <si>
    <t>PV-Anlage Loitsche solar farm</t>
  </si>
  <si>
    <t>PV-Anlage MP Wall2Ost, Wall3, Wall4 solar farm</t>
  </si>
  <si>
    <t>PV-Anlage Markoldendorf solar farm</t>
  </si>
  <si>
    <t>PV-Anlage Meppen solar farm</t>
  </si>
  <si>
    <t>PV-Anlage Schwedt solar farm</t>
  </si>
  <si>
    <t>PV-Anlage Spitzlberg solar farm</t>
  </si>
  <si>
    <t>PV-Anlage WWI solar farm</t>
  </si>
  <si>
    <t>PV-Anlage in Pähl solar farm</t>
  </si>
  <si>
    <t>PV-Freiflächenanlage Hol solar farm</t>
  </si>
  <si>
    <t>PV-Freiflächenanlage Meuselwitz solar farm</t>
  </si>
  <si>
    <t>PV-Freiflächenanlage THA 2012 solar farm</t>
  </si>
  <si>
    <t>PV-II solar farm</t>
  </si>
  <si>
    <t>PV-Köthen, Anhaltinische Straße solar farm</t>
  </si>
  <si>
    <t>PV-Park Westerndorf, Perach solar farm</t>
  </si>
  <si>
    <t>PV-RÖ-1449 solar farm</t>
  </si>
  <si>
    <t>PV-Selmsdorf solar farm</t>
  </si>
  <si>
    <t>PV-Solar solar farm</t>
  </si>
  <si>
    <t>PV-Zwieselsberg-Solarpark solar farm</t>
  </si>
  <si>
    <t>PV3 solar farm</t>
  </si>
  <si>
    <t>PVA AWAS-Solar GmbH 2012 solar farm</t>
  </si>
  <si>
    <t>PVA Aitrach - Solarpark solar farm</t>
  </si>
  <si>
    <t>PVA Alte Kläranlage solar farm</t>
  </si>
  <si>
    <t>PVA Altenburg solar farm</t>
  </si>
  <si>
    <t>PVA AnP AnP SEDE EEG solar farm</t>
  </si>
  <si>
    <t>PVA Atzendorf solar farm</t>
  </si>
  <si>
    <t>PVA Bennungen solar farm</t>
  </si>
  <si>
    <t>PVA Bernburg solar farm</t>
  </si>
  <si>
    <t>PVA Blumenthal 1 solar farm</t>
  </si>
  <si>
    <t>PVA Bodenheim Unit 1&amp;2 solar project</t>
  </si>
  <si>
    <t>PVA Breitenfeld 2 solar farm</t>
  </si>
  <si>
    <t>PVA Bronkow solar farm</t>
  </si>
  <si>
    <t>11,4</t>
  </si>
  <si>
    <t>PVA Burg Stargard solar farm</t>
  </si>
  <si>
    <t>PVA Burgstädt solar farm</t>
  </si>
  <si>
    <t>PVA Bützow, Freiland solar farm</t>
  </si>
  <si>
    <t>PVA Chemnitz I solar farm</t>
  </si>
  <si>
    <t>PVA Chemnitz II solar farm</t>
  </si>
  <si>
    <t>PVA Daßlitz solar farm</t>
  </si>
  <si>
    <t>PVA Deponie Zeitz-Aue solar farm</t>
  </si>
  <si>
    <t>PVA Dornheim 1 solar farm</t>
  </si>
  <si>
    <t>PVA Droyssig solar farm</t>
  </si>
  <si>
    <t>PVA Eggesin solar farm</t>
  </si>
  <si>
    <t>PVA Eichow -1 solar farm</t>
  </si>
  <si>
    <t>PVA Eichow -2 solar farm</t>
  </si>
  <si>
    <t>PVA Fiebing solar farm</t>
  </si>
  <si>
    <t>PVA Ford1 solar farm</t>
  </si>
  <si>
    <t>PVA Friedland II - Teil 1 solar farm</t>
  </si>
  <si>
    <t>PVA Gefell solar farm</t>
  </si>
  <si>
    <t>PVA Gerstungen II solar farm</t>
  </si>
  <si>
    <t>PVA Glesien solar farm</t>
  </si>
  <si>
    <t>PVA Gotha Kindleber Str. solar farm</t>
  </si>
  <si>
    <t>PVA Grüneberg 1 solar farm</t>
  </si>
  <si>
    <t>PVA Hagenwerder I solar farm</t>
  </si>
  <si>
    <t>PVA Hamburg, Großhansdorf solar farm</t>
  </si>
  <si>
    <t>PVA Hannover solar farm</t>
  </si>
  <si>
    <t>PVA Hohen Wangelin 2 solar farm</t>
  </si>
  <si>
    <t>PVA Hohen Wangelin solar farm</t>
  </si>
  <si>
    <t>PVA Hohenthurm solar farm</t>
  </si>
  <si>
    <t>PVA Horka solar farm</t>
  </si>
  <si>
    <t>PVA Jatznick solar farm</t>
  </si>
  <si>
    <t>PVA Jüterbog solar farm</t>
  </si>
  <si>
    <t>PVA Kamenz Biehla solar farm</t>
  </si>
  <si>
    <t>PVA Kiesgrube Unterempfenbach solar farm</t>
  </si>
  <si>
    <t>PVA Kröpelin solar farm</t>
  </si>
  <si>
    <t>PVA Kummerow I solar farm</t>
  </si>
  <si>
    <t>PVA Kühlhaus Demmin solar farm</t>
  </si>
  <si>
    <t>PVA Langeln solar project</t>
  </si>
  <si>
    <t>PVA Loitz 1 solar farm</t>
  </si>
  <si>
    <t>PVA Loitz 2 solar farm</t>
  </si>
  <si>
    <t>PVA Ludwig-Jahn-Strasse solar farm</t>
  </si>
  <si>
    <t>PVA Lüderitz solar project</t>
  </si>
  <si>
    <t>PVA Lüneburg solar farm</t>
  </si>
  <si>
    <t>PVA Malchin solar farm</t>
  </si>
  <si>
    <t>PVA Mauna 2 solar farm</t>
  </si>
  <si>
    <t>PVA Mockern I solar farm</t>
  </si>
  <si>
    <t>PVA Mockritz 1 solar farm</t>
  </si>
  <si>
    <t>PVA Mockritz 2 solar farm</t>
  </si>
  <si>
    <t>PVA Müssentin solar farm</t>
  </si>
  <si>
    <t>PVA Neinstedt Freiland A solar farm</t>
  </si>
  <si>
    <t>PVA Neuenhagen solar farm</t>
  </si>
  <si>
    <t>PVA Neuhardenberg Kaserne I solar farm</t>
  </si>
  <si>
    <t>PVA Neuruppin 1 solar farm</t>
  </si>
  <si>
    <t>PVA Neuruppin 3 solar farm</t>
  </si>
  <si>
    <t>PVA Neuruppin 4 solar farm</t>
  </si>
  <si>
    <t>PVA Neuruppin 5 solar farm</t>
  </si>
  <si>
    <t>PVA Obernkirchen solar farm</t>
  </si>
  <si>
    <t>PVA Oberrossau 1 solar project</t>
  </si>
  <si>
    <t>PVA Oberrossau 2 solar farm</t>
  </si>
  <si>
    <t>PVA Ormesheim solar farm</t>
  </si>
  <si>
    <t>PVA Osterweddingen solar farm</t>
  </si>
  <si>
    <t>PVA Pakendorf I solar farm</t>
  </si>
  <si>
    <t>PVA Pilkington II&amp;III solar farm</t>
  </si>
  <si>
    <t>PVA Rackwitz 1 solar farm</t>
  </si>
  <si>
    <t>PVA Rackwitz 2 solar farm</t>
  </si>
  <si>
    <t>PVA ReiCo Nunsdorf solar farm</t>
  </si>
  <si>
    <t>PVA Rohrberg solar project</t>
  </si>
  <si>
    <t>PVA Ronneburg 1 solar farm</t>
  </si>
  <si>
    <t>PVA Ronneburg 3 solar farm</t>
  </si>
  <si>
    <t>PVA Roßleben solar farm</t>
  </si>
  <si>
    <t>PVA Rätzlingen 3 solar farm</t>
  </si>
  <si>
    <t>PVA SPIII A solar farm</t>
  </si>
  <si>
    <t>PVA SPIV 1 solar farm</t>
  </si>
  <si>
    <t>PVA Schrenz West solar farm</t>
  </si>
  <si>
    <t>PVA Schwarzheide I solar farm</t>
  </si>
  <si>
    <t>PVA Sengkofen 4 solar farm</t>
  </si>
  <si>
    <t>PVA Stellenmoos solar farm</t>
  </si>
  <si>
    <t>PVA Stendal I solar farm</t>
  </si>
  <si>
    <t>PVA Sülte solar farm</t>
  </si>
  <si>
    <t>PVA Taucha 1 solar farm</t>
  </si>
  <si>
    <t>PVA Taucha 2 solar farm</t>
  </si>
  <si>
    <t>PVA Tautenhain solar farm</t>
  </si>
  <si>
    <t>PVA Thürkow solar farm</t>
  </si>
  <si>
    <t>PVA Torgau solar farm</t>
  </si>
  <si>
    <t>PVA Uckro solar project</t>
  </si>
  <si>
    <t>PVA Unterbrücklein solar farm</t>
  </si>
  <si>
    <t>PVA Upstallstr. 8 solar project</t>
  </si>
  <si>
    <t>PVA Vahldorf I solar farm</t>
  </si>
  <si>
    <t>PVA Voigtstedt solar farm</t>
  </si>
  <si>
    <t>PVA Walddrehna 1 solar farm</t>
  </si>
  <si>
    <t>PVA Zarnewanz solar farm</t>
  </si>
  <si>
    <t>PVA Zerbst solar farm</t>
  </si>
  <si>
    <t>PVA Zimmritz solar project</t>
  </si>
  <si>
    <t>PVA Zwinge solar farm</t>
  </si>
  <si>
    <t>PVA3 Freifläche solar farm</t>
  </si>
  <si>
    <t>PVF Halberstadt Teilanlage 1 solar farm</t>
  </si>
  <si>
    <t>PVF Halberstadt Teilanlage 2 solar farm</t>
  </si>
  <si>
    <t>14,6</t>
  </si>
  <si>
    <t>PVF Stendal solar farm</t>
  </si>
  <si>
    <t>13,5</t>
  </si>
  <si>
    <t>PVStrom Solarpark Oberfranken III GmbH &amp; Co. KG solar farm</t>
  </si>
  <si>
    <t>PV_Rendsburg_Freiland solar farm</t>
  </si>
  <si>
    <t>Parkstr. Bexbach (Freiland) solar farm</t>
  </si>
  <si>
    <t>Perkam I solar farm</t>
  </si>
  <si>
    <t>Perkam II solar farm</t>
  </si>
  <si>
    <t>Perkam solar farm</t>
  </si>
  <si>
    <t>Peterhof solar farm</t>
  </si>
  <si>
    <t>Photovoltaik-Freiflächenanlage A63 Münchweiler solar farm</t>
  </si>
  <si>
    <t>Photovoltaikanlage Epfenhausen solar farm</t>
  </si>
  <si>
    <t>Photovoltaikanlage MAD solar farm</t>
  </si>
  <si>
    <t>Photovoltaikanlage Pölling-Bühl solar farm</t>
  </si>
  <si>
    <t>Photovoltaikanlage Schmalenbach solar farm</t>
  </si>
  <si>
    <t>Photovoltaikkraftwerk Brodswinden solar farm</t>
  </si>
  <si>
    <t>Photovoltaikkraftwerk Goldbeck solar farm</t>
  </si>
  <si>
    <t>Photovoltaikkraftwerk Römerhügel solar farm</t>
  </si>
  <si>
    <t>Photovoltaikkraftwerk Selb solar farm</t>
  </si>
  <si>
    <t>Photovoltaikkraftwerk Winterschneidbach solar project</t>
  </si>
  <si>
    <t>Photovoltaikpark 21 solar farm</t>
  </si>
  <si>
    <t>PiG Naundorf 1(2) solar farm</t>
  </si>
  <si>
    <t>PiG Solar Projekt D2 solar farm</t>
  </si>
  <si>
    <t>Pleinfeld solar farm</t>
  </si>
  <si>
    <t>Power Capital Markgröningen solar project</t>
  </si>
  <si>
    <t>Quellenreuth solar farm</t>
  </si>
  <si>
    <t>ROB 1 solar project</t>
  </si>
  <si>
    <t>Rauher Busch solar farm</t>
  </si>
  <si>
    <t>Rehburg solar farm</t>
  </si>
  <si>
    <t>Reifehalle solar farm</t>
  </si>
  <si>
    <t>Remptendorf solar farm</t>
  </si>
  <si>
    <t>Rhe Altdeponie solar farm</t>
  </si>
  <si>
    <t>Rohde Energiepark GbR solar farm</t>
  </si>
  <si>
    <t>Ronneburg solar farm</t>
  </si>
  <si>
    <t>19,9</t>
  </si>
  <si>
    <t>Roßleben Süd solar farm</t>
  </si>
  <si>
    <t>S.Dechering Solarpark Hohen Sprenz GmbH &amp; Co.KG solar farm</t>
  </si>
  <si>
    <t>SKW LIP solar farm</t>
  </si>
  <si>
    <t>SKW Mainzweiler solar farm</t>
  </si>
  <si>
    <t>SKW Meschede-Stockhausen solar farm</t>
  </si>
  <si>
    <t>SKW Somaka Sunshine Waigolshausen solar farm</t>
  </si>
  <si>
    <t>SKW Thunpadel 1 solar farm</t>
  </si>
  <si>
    <t>SKW Thunpadel 2 solar farm</t>
  </si>
  <si>
    <t>SKWQ solar farm</t>
  </si>
  <si>
    <t>SN5 solar farm</t>
  </si>
  <si>
    <t>SP 1/2 Eigenbetrieb Gemeinde Lübesse solar project</t>
  </si>
  <si>
    <t>SP 1433,25 KW solar farm</t>
  </si>
  <si>
    <t>SP Bodenbach solar farm</t>
  </si>
  <si>
    <t>SP Breitungen Grumbachaue solar farm</t>
  </si>
  <si>
    <t>SP Döbern solar farm</t>
  </si>
  <si>
    <t>SP Flusi solar farm</t>
  </si>
  <si>
    <t>SP Gablingen solar farm</t>
  </si>
  <si>
    <t>SP Gnoien solar farm</t>
  </si>
  <si>
    <t>SP Großbeeren solar farm</t>
  </si>
  <si>
    <t>SP Gückelsberg solar farm</t>
  </si>
  <si>
    <t>SP Lommatzsch solar farm</t>
  </si>
  <si>
    <t>SP Nordstrasse solar farm</t>
  </si>
  <si>
    <t>SP Oberempfenbach 3 solar farm</t>
  </si>
  <si>
    <t>SP Rüther solar farm</t>
  </si>
  <si>
    <t>SP Schleizer Dreieck solar farm</t>
  </si>
  <si>
    <t>11,1</t>
  </si>
  <si>
    <t>SP Solarpark Driedorf GmbH &amp; Co. KG solar farm</t>
  </si>
  <si>
    <t>SP Solarpark Kaisersesch solar farm</t>
  </si>
  <si>
    <t>SP Solarpark Langenhahn GmbH &amp; Co. KG I solar farm</t>
  </si>
  <si>
    <t>SP Staßfurt solar farm</t>
  </si>
  <si>
    <t>SP Sulzbach solar farm</t>
  </si>
  <si>
    <t>SP Talstrasse solar farm</t>
  </si>
  <si>
    <t>SP2-Parkstraße-Eigenbetrieb Lübesse solar farm</t>
  </si>
  <si>
    <t>SPG Solarpark Niederorschel Grundstücks GmbH &amp; Co. KG solar farm</t>
  </si>
  <si>
    <t>SPK GmbH &amp; CoKG solar farm</t>
  </si>
  <si>
    <t>SPR Solarpark Reurieth solar farm</t>
  </si>
  <si>
    <t>SPT solar farm</t>
  </si>
  <si>
    <t>SSG Freifläche solar farm</t>
  </si>
  <si>
    <t>SSKW Erfurt solar farm</t>
  </si>
  <si>
    <t>ST Solar solar farm</t>
  </si>
  <si>
    <t>Sabrodt I solar farm</t>
  </si>
  <si>
    <t>Sachsen Steinhof 8909 PV-Freifläche solar farm</t>
  </si>
  <si>
    <t>Schafmeisters Kamp, Solarpark Schäferhof, Photovoltaikanlage solar farm</t>
  </si>
  <si>
    <t>Schießtrath solar farm</t>
  </si>
  <si>
    <t>Schnelldorf 8910 PV-Freifläche solar farm</t>
  </si>
  <si>
    <t>Schwaighausen solar farm</t>
  </si>
  <si>
    <t>Schwanebeck I solar farm</t>
  </si>
  <si>
    <t>Schwester 58 solar farm</t>
  </si>
  <si>
    <t>Schönebeck solar farm</t>
  </si>
  <si>
    <t>Seesen solar farm</t>
  </si>
  <si>
    <t>Skadow solar farm</t>
  </si>
  <si>
    <t>So.ro.pa wörnitz solar farm</t>
  </si>
  <si>
    <t>Solar Derenburg Freifläche solar farm</t>
  </si>
  <si>
    <t>Solar Park TKC Einspeise 2 solar farm</t>
  </si>
  <si>
    <t>Solar Park TKC Einspeise 3 solar farm</t>
  </si>
  <si>
    <t>Solar Reber Park solar farm</t>
  </si>
  <si>
    <t>Solar Wolfhagen GmbH solar farm</t>
  </si>
  <si>
    <t>Solaranlage Deponie solar farm</t>
  </si>
  <si>
    <t>Solaranlage Grischow solar farm</t>
  </si>
  <si>
    <t>Solaranlage Sassnitz solar farm</t>
  </si>
  <si>
    <t>Solaranlage Warenshof 2 solar farm</t>
  </si>
  <si>
    <t>Solaranlage ÄS Riesa solar farm</t>
  </si>
  <si>
    <t>Solardach Köthen solar farm</t>
  </si>
  <si>
    <t>9,3</t>
  </si>
  <si>
    <t>Solare Strahlungsenergie- Freifläche solar farm</t>
  </si>
  <si>
    <t>Solarkraft Horhausen 2012 solar farm</t>
  </si>
  <si>
    <t>Solarkraftwerk Barderup solar farm</t>
  </si>
  <si>
    <t>Solarkraftwerk Handewitt solar farm</t>
  </si>
  <si>
    <t>Solarkraftwerk Mehring IV solar farm</t>
  </si>
  <si>
    <t>Solarkraftwerk Niederöfflingen III solar farm</t>
  </si>
  <si>
    <t>Solarkraftwerk No 4 solar farm</t>
  </si>
  <si>
    <t>Solarkraftwerk Steinberg-Deckenhardt solar farm</t>
  </si>
  <si>
    <t>Solarpark 1 Hessisch Oldendorf solar farm</t>
  </si>
  <si>
    <t>Solarpark 2 Hessisch Oldendorf solar farm</t>
  </si>
  <si>
    <t>Solarpark 2012 solar farm</t>
  </si>
  <si>
    <t>Solarpark Alburg solar farm</t>
  </si>
  <si>
    <t>Solarpark Allstedt-Birkenhof GmbH &amp; Co. KG solar farm</t>
  </si>
  <si>
    <t>Solarpark Alt Tellin solar farm</t>
  </si>
  <si>
    <t>Solarpark Annahütte GmbH solar farm</t>
  </si>
  <si>
    <t>Solarpark Anröchte Nord solar project</t>
  </si>
  <si>
    <t>Solarpark Anton-Saefkow-Allee solar farm</t>
  </si>
  <si>
    <t>Solarpark BKR solar farm</t>
  </si>
  <si>
    <t>Solarpark Bad Harzburg solar farm</t>
  </si>
  <si>
    <t>Solarpark Bahn solar farm</t>
  </si>
  <si>
    <t>Solarpark Barth solar farm</t>
  </si>
  <si>
    <t>Solarpark Blankenburg solar farm</t>
  </si>
  <si>
    <t>Solarpark Boizenburg I solar farm</t>
  </si>
  <si>
    <t>Solarpark Boizenburg II solar farm</t>
  </si>
  <si>
    <t>Solarpark Bredelar solar project</t>
  </si>
  <si>
    <t>Solarpark Buchenberg solar farm</t>
  </si>
  <si>
    <t>Solarpark Carpin solar farm</t>
  </si>
  <si>
    <t>Solarpark Dalliendorf Anlagenteil 1 solar farm</t>
  </si>
  <si>
    <t>Solarpark Damsdorf solar farm</t>
  </si>
  <si>
    <t>Solarpark Dissenchen Nord solar farm</t>
  </si>
  <si>
    <t>Solarpark Edersleben Tongrube solar farm</t>
  </si>
  <si>
    <t>Solarpark Edersleben solar farm</t>
  </si>
  <si>
    <t>Solarpark Eichelfeld solar farm</t>
  </si>
  <si>
    <t>Solarpark Eickendorf solar farm</t>
  </si>
  <si>
    <t>Solarpark Eisleben BA 1 solar farm</t>
  </si>
  <si>
    <t>Solarpark Eisleben BA 2 solar farm</t>
  </si>
  <si>
    <t>Solarpark Elsnigk solar farm</t>
  </si>
  <si>
    <t>Solarpark Eltheim 1 solar farm</t>
  </si>
  <si>
    <t>Solarpark Eltheim 2 solar farm</t>
  </si>
  <si>
    <t>Solarpark Erdmannsdorf solar farm</t>
  </si>
  <si>
    <t>Solarpark Fischbach II solar farm</t>
  </si>
  <si>
    <t>Solarpark Flieden solar farm</t>
  </si>
  <si>
    <t>Solarpark Forstinning solar farm</t>
  </si>
  <si>
    <t>Solarpark Fürstenau solar farm</t>
  </si>
  <si>
    <t>Solarpark GBS Gerolsheim solar farm</t>
  </si>
  <si>
    <t>Solarpark Getmold 2012 solar farm</t>
  </si>
  <si>
    <t>Solarpark Glebitzsch solar farm</t>
  </si>
  <si>
    <t>Solarpark Grimmen GmbH &amp; Co. KG solar farm</t>
  </si>
  <si>
    <t>Solarpark Groß Neuendorf solar farm</t>
  </si>
  <si>
    <t>Solarpark Gut Hahn solar farm</t>
  </si>
  <si>
    <t>Solarpark Haberskirch solar farm</t>
  </si>
  <si>
    <t>Solarpark Haidlfing solar farm</t>
  </si>
  <si>
    <t>Solarpark Hainspitz solar farm</t>
  </si>
  <si>
    <t>Solarpark Hardtberg1 solar farm</t>
  </si>
  <si>
    <t>Solarpark Hartmannsdorf solar farm</t>
  </si>
  <si>
    <t>Solarpark Haselbach solar farm</t>
  </si>
  <si>
    <t>Solarpark Hattenhofen solar farm</t>
  </si>
  <si>
    <t>Solarpark Hellmannsberg BA 1 solar farm</t>
  </si>
  <si>
    <t>Solarpark Helmstadt Nord GmbH &amp; Co. KG solar farm</t>
  </si>
  <si>
    <t>Solarpark Helmstadt Süd GmbH &amp; Co. KG solar farm</t>
  </si>
  <si>
    <t>Solarpark Holzhausen solar farm</t>
  </si>
  <si>
    <t>Solarpark Humptrup Ost solar farm</t>
  </si>
  <si>
    <t>Solarpark I, Anl.-Nr. 408586652 solar farm</t>
  </si>
  <si>
    <t>Solarpark Jatznick Teil 1 solar farm</t>
  </si>
  <si>
    <t>Solarpark Jerstedt solar farm</t>
  </si>
  <si>
    <t>Solarpark Jännersdorf Nord solar farm</t>
  </si>
  <si>
    <t>Solarpark Kabelgemeinschaft solar farm</t>
  </si>
  <si>
    <t>Solarpark Kaserne Wurzen solar farm</t>
  </si>
  <si>
    <t>Solarpark Kausen solar farm</t>
  </si>
  <si>
    <t>Solarpark Kläden 2 solar farm</t>
  </si>
  <si>
    <t>Solarpark Krakow solar farm</t>
  </si>
  <si>
    <t>Solarpark Kremmen solar farm</t>
  </si>
  <si>
    <t>Solarpark Kyritz solar farm</t>
  </si>
  <si>
    <t>Solarpark Königsbrück II solar farm</t>
  </si>
  <si>
    <t>Solarpark Körlitz solar farm</t>
  </si>
  <si>
    <t>Solarpark LH 2012 solar farm</t>
  </si>
  <si>
    <t>Solarpark Lahhof solar farm</t>
  </si>
  <si>
    <t>Solarpark Leizen 1071 kWp solar project</t>
  </si>
  <si>
    <t>Solarpark Lettewitz solar farm</t>
  </si>
  <si>
    <t>Solarpark Lichtenberg 1536,15 solar farm</t>
  </si>
  <si>
    <t>Solarpark Linden II solar farm</t>
  </si>
  <si>
    <t>Solarpark Linslerhof GmbH &amp; Co KG solar farm</t>
  </si>
  <si>
    <t>10,4</t>
  </si>
  <si>
    <t>Solarpark Lynx solar farm</t>
  </si>
  <si>
    <t>Solarpark Lüptitz 3b solar farm</t>
  </si>
  <si>
    <t>Solarpark Lüptitz 4a solar farm</t>
  </si>
  <si>
    <t>Solarpark Magdeburg BC solar farm</t>
  </si>
  <si>
    <t>Solarpark Magdeburg SBW solar farm</t>
  </si>
  <si>
    <t>Solarpark Mederns solar farm</t>
  </si>
  <si>
    <t>Solarpark Mellin 1 solar farm</t>
  </si>
  <si>
    <t>Solarpark Merxleben solar farm</t>
  </si>
  <si>
    <t>Solarpark Mitterfeld solar farm</t>
  </si>
  <si>
    <t>Solarpark Nentmannsdorf solar farm</t>
  </si>
  <si>
    <t>Solarpark Neu Anspach Ost solar farm</t>
  </si>
  <si>
    <t>Solarpark Neuheilenbach_Teil 1 solar farm</t>
  </si>
  <si>
    <t>Solarpark Neukirchen / Erzgebirge solar farm</t>
  </si>
  <si>
    <t>Solarpark Niedergörsdorf 1 solar farm</t>
  </si>
  <si>
    <t>Solarpark Niedergörsdorf 2 solar farm</t>
  </si>
  <si>
    <t>Solarpark Niedergörsdorf 3 solar farm</t>
  </si>
  <si>
    <t>Solarpark Nienburg solar farm</t>
  </si>
  <si>
    <t>Solarpark Oberlaimbach solar farm</t>
  </si>
  <si>
    <t>Solarpark PIT solar farm</t>
  </si>
  <si>
    <t>Solarpark Peitz KG solar farm</t>
  </si>
  <si>
    <t>Solarpark Pfaffenbühl solar farm</t>
  </si>
  <si>
    <t>Solarpark Plau am See solar farm</t>
  </si>
  <si>
    <t>Solarpark Plauen solar farm</t>
  </si>
  <si>
    <t>Solarpark Pritzwalk solar farm</t>
  </si>
  <si>
    <t>Solarpark Rauenberg solar farm</t>
  </si>
  <si>
    <t>Solarpark Reimesheide solar farm</t>
  </si>
  <si>
    <t>Solarpark Rettersheim GmbH &amp; Co. KG solar farm</t>
  </si>
  <si>
    <t>Solarpark Reute solar farm</t>
  </si>
  <si>
    <t>Solarpark Riedberg solar project</t>
  </si>
  <si>
    <t>Solarpark Rothenschirmbach solar farm</t>
  </si>
  <si>
    <t>Solarpark Ruhland solar farm</t>
  </si>
  <si>
    <t>Solarpark Rußdorf solar farm</t>
  </si>
  <si>
    <t>Solarpark SO36 Teuchern solar farm</t>
  </si>
  <si>
    <t>Solarpark Saalhaupt solar farm</t>
  </si>
  <si>
    <t>Solarpark Saerbeck solar farm</t>
  </si>
  <si>
    <t>Solarpark Schependorf Ia solar farm</t>
  </si>
  <si>
    <t>11,3</t>
  </si>
  <si>
    <t>Solarpark Schependorf Ib solar farm</t>
  </si>
  <si>
    <t>Solarpark Schillwitzried solar farm</t>
  </si>
  <si>
    <t>Solarpark Schongauer Norden Ostseite solar farm</t>
  </si>
  <si>
    <t>Solarpark Schongauer Norden solar farm</t>
  </si>
  <si>
    <t>Solarpark Schwendelgraben solar farm</t>
  </si>
  <si>
    <t>Solarpark Seebach solar farm</t>
  </si>
  <si>
    <t>Solarpark Seyfriedsheim solar farm</t>
  </si>
  <si>
    <t>Solarpark Siglhof GmbH solar farm</t>
  </si>
  <si>
    <t>Solarpark Starkenberg 1 BA 1 solar farm</t>
  </si>
  <si>
    <t>Solarpark Starkenberg 2 BA 1 solar farm</t>
  </si>
  <si>
    <t>Solarpark Stemwede solar project</t>
  </si>
  <si>
    <t>Solarpark Ströhen solar farm</t>
  </si>
  <si>
    <t>Solarpark Stulln solar farm</t>
  </si>
  <si>
    <t>Solarpark Stutensee solar farm</t>
  </si>
  <si>
    <t>Solarpark TIP solar farm</t>
  </si>
  <si>
    <t>Solarpark Tagewerben solar farm</t>
  </si>
  <si>
    <t>10,7</t>
  </si>
  <si>
    <t>Solarpark Thurow 1 solar farm</t>
  </si>
  <si>
    <t>Solarpark Tietelsen solar farm</t>
  </si>
  <si>
    <t>Solarpark Trennfeld GmbH &amp; Co. KG solar farm</t>
  </si>
  <si>
    <t>Solarpark Uphusum solar farm</t>
  </si>
  <si>
    <t>Solarpark Vilsbiburg solar farm</t>
  </si>
  <si>
    <t>Solarpark Vossberg 1 solar farm</t>
  </si>
  <si>
    <t>Solarpark Wagenfeld solar farm</t>
  </si>
  <si>
    <t>Solarpark Wagenfeld, Bahnhofstraße solar farm</t>
  </si>
  <si>
    <t>Solarpark Waldbrunn GmbH &amp;Co. KG solar farm</t>
  </si>
  <si>
    <t>Solarpark Walsleben solar farm</t>
  </si>
  <si>
    <t>Solarpark Warrenzin solar farm</t>
  </si>
  <si>
    <t>Solarpark Werneuchen solar farm</t>
  </si>
  <si>
    <t>Solarpark Worpswede solar farm</t>
  </si>
  <si>
    <t>Solarpark Wulften GmbH &amp; Co. KG solar farm</t>
  </si>
  <si>
    <t>Solarpark Wölfersheim solar farm</t>
  </si>
  <si>
    <t>Solarpark XIX solar farm</t>
  </si>
  <si>
    <t>Solarpark XVII solar farm</t>
  </si>
  <si>
    <t>Solarpark XVIII solar farm</t>
  </si>
  <si>
    <t>Solarpark-Gallinchen solar farm</t>
  </si>
  <si>
    <t>Solarpark3 solar farm</t>
  </si>
  <si>
    <t>Solarpark4 solar farm</t>
  </si>
  <si>
    <t>Solarrente 5 - Höngeda solar farm</t>
  </si>
  <si>
    <t>Solea 17 solar farm</t>
  </si>
  <si>
    <t>Sonnenkraftwerk Wiefels solar farm</t>
  </si>
  <si>
    <t>Sonnenpark Hütten solar farm</t>
  </si>
  <si>
    <t>Sonnenstrom Hellmitzheim solar farm</t>
  </si>
  <si>
    <t>Sontra I solar farm</t>
  </si>
  <si>
    <t>Stromerzeugung Großtreben solar farm</t>
  </si>
  <si>
    <t>SunCollectVario Fonds Schenklengsfeld GmbH &amp; Co. KG solar farm</t>
  </si>
  <si>
    <t>Sömmerda solar farm</t>
  </si>
  <si>
    <t>TWS PV Anlage Boms solar farm</t>
  </si>
  <si>
    <t>Tagebau Hambach solar farm</t>
  </si>
  <si>
    <t>Tangermünde solar farm</t>
  </si>
  <si>
    <t>Tanna solar farm</t>
  </si>
  <si>
    <t>Thansüß solar farm</t>
  </si>
  <si>
    <t>Tilleda Solarstrom solar farm</t>
  </si>
  <si>
    <t>TrampeSolar solar farm</t>
  </si>
  <si>
    <t>Trebbichau solar farm</t>
  </si>
  <si>
    <t>UCK solar farm</t>
  </si>
  <si>
    <t>Ueckermünde solar farm</t>
  </si>
  <si>
    <t>Uli Hiemer Sonnenstrom solar farm</t>
  </si>
  <si>
    <t>Vahldorf solar farm</t>
  </si>
  <si>
    <t>Vogelsbüsch Freiland solar farm</t>
  </si>
  <si>
    <t>WB Bad Nenndorf solar farm</t>
  </si>
  <si>
    <t>Warin solar farm</t>
  </si>
  <si>
    <t>Wassermungenau solar farm</t>
  </si>
  <si>
    <t>Wasserturm solar farm</t>
  </si>
  <si>
    <t>Weilheim Solarstrom solar farm</t>
  </si>
  <si>
    <t>Wiesenberg, Alsleben solar farm</t>
  </si>
  <si>
    <t>Wilburgstetten Karl-Ruf-Str. 8903 PV Fertigungshal solar farm</t>
  </si>
  <si>
    <t>Wolfshain solar farm</t>
  </si>
  <si>
    <t>Wolmirstedt solar project</t>
  </si>
  <si>
    <t>Wulfen Schott FFA Freiflächenanlage solar farm</t>
  </si>
  <si>
    <t>Zschornewitz Solar I solar farm</t>
  </si>
  <si>
    <t>Zur Sternkoppel solar farm</t>
  </si>
  <si>
    <t>Zweite Solarkraftwerk FHD GmbH solar farm</t>
  </si>
  <si>
    <t>Zweiter Solarpark Stadelhofen OHG solar farm</t>
  </si>
  <si>
    <t>Zwenkau solar farm</t>
  </si>
  <si>
    <t>Zündholzwerk Coswig solar farm</t>
  </si>
  <si>
    <t>Solaranlage Trunkelsberg solar farm</t>
  </si>
  <si>
    <t>0003AI01 PV-Anlage Sondershausen III solar farm</t>
  </si>
  <si>
    <t>03 BBW St. Franziskus Abensberg Regensburger Str. 60 PV solar project</t>
  </si>
  <si>
    <t>13116 SP Hohenried solar farm</t>
  </si>
  <si>
    <t>13141 SP Großräschen Glaswerk solar farm</t>
  </si>
  <si>
    <t>190 - Opel solar farm</t>
  </si>
  <si>
    <t>2012_063 solar farm</t>
  </si>
  <si>
    <t>29 FFA Laufen VRE solar farm</t>
  </si>
  <si>
    <t>37319 solar farm</t>
  </si>
  <si>
    <t>ABR951735791988 Aurora solar farm</t>
  </si>
  <si>
    <t>ABR979332184545 VI solar farm</t>
  </si>
  <si>
    <t>ADSOBA, Gengenbach solar farm</t>
  </si>
  <si>
    <t>AWG Solaranlage Deponie OH solar farm</t>
  </si>
  <si>
    <t>Aachener Straße 900 Z, EA-1179936 (Solarpark) solar farm</t>
  </si>
  <si>
    <t>Achsheim solar farm</t>
  </si>
  <si>
    <t>Albertshausen solar farm</t>
  </si>
  <si>
    <t>Alkersleben solar farm</t>
  </si>
  <si>
    <t>Alpincenter Wittenburg solar farm</t>
  </si>
  <si>
    <t>Altmannshausen 8919 PV Freifläche solar farm</t>
  </si>
  <si>
    <t>Amstetten solar farm</t>
  </si>
  <si>
    <t>Anlage 1 I solar farm</t>
  </si>
  <si>
    <t>Anlage 1 II solar farm</t>
  </si>
  <si>
    <t>Anlage 2-1 solar project</t>
  </si>
  <si>
    <t>Anlage 3 I solar farm</t>
  </si>
  <si>
    <t>Anlagenteil_1 solar farm</t>
  </si>
  <si>
    <t>Autenried solar farm</t>
  </si>
  <si>
    <t>B P Grundbesitzgesellschaft mbH solar farm</t>
  </si>
  <si>
    <t>BG Solar solar farm</t>
  </si>
  <si>
    <t>BRA01 solar project</t>
  </si>
  <si>
    <t>Bad Wildungen solar farm</t>
  </si>
  <si>
    <t>Ballenstedt I solar farm</t>
  </si>
  <si>
    <t>Bannemin solar farm</t>
  </si>
  <si>
    <t>Beeskow solar project</t>
  </si>
  <si>
    <t>Beukenhorst solar farm</t>
  </si>
  <si>
    <t>Britz solar farm</t>
  </si>
  <si>
    <t>Buxheim Feld 2 solar farm</t>
  </si>
  <si>
    <t>Buxheim Feld 4 solar farm</t>
  </si>
  <si>
    <t>Buxheim_Feld I solar farm</t>
  </si>
  <si>
    <t>Bürger Solarpark Marktrodach solar farm</t>
  </si>
  <si>
    <t>Bürgersolarpark Lübtheen GmbH &amp; Co. KG solar farm</t>
  </si>
  <si>
    <t>CAL01 solar project</t>
  </si>
  <si>
    <t>CC EHS solar project</t>
  </si>
  <si>
    <t>Cahnsdorf 4 Umzug Delitzsch solar farm</t>
  </si>
  <si>
    <t>Car1/2 solar farm</t>
  </si>
  <si>
    <t>Ceva TNT2 solar project</t>
  </si>
  <si>
    <t>DUI01 solar farm</t>
  </si>
  <si>
    <t>Dach Firmengebäude Benzstr.7, Ergoldsbach solar project</t>
  </si>
  <si>
    <t>DickenbergBA2 solar farm</t>
  </si>
  <si>
    <t>Divitz solar farm</t>
  </si>
  <si>
    <t>EP Steyerberg II solar farm</t>
  </si>
  <si>
    <t>EP Steyerberg III solar farm</t>
  </si>
  <si>
    <t>EP Steyerberg solar farm</t>
  </si>
  <si>
    <t>Eisenhüttenstadt Landweg solar farm</t>
  </si>
  <si>
    <t>Elastoform solar project</t>
  </si>
  <si>
    <t>Elsterwerda I solar farm</t>
  </si>
  <si>
    <t>Elsterwerda II solar farm</t>
  </si>
  <si>
    <t>Energiegemeinschaft Paukert-Deutsch GbR solar farm</t>
  </si>
  <si>
    <t>Energiegenossenschaft Wielenbach Pählerstraße solar farm</t>
  </si>
  <si>
    <t>Energiepark Barenburg solar farm</t>
  </si>
  <si>
    <t>Ergoldsbach solar farm</t>
  </si>
  <si>
    <t>F&amp;S Solarpark Winsen solar farm</t>
  </si>
  <si>
    <t>FFA Hölzengraben solar farm</t>
  </si>
  <si>
    <t>FFA Nohfelden Sötern solar farm</t>
  </si>
  <si>
    <t>FL Lieg I solar farm</t>
  </si>
  <si>
    <t>FVA Fließem solar farm</t>
  </si>
  <si>
    <t>FWKK1 solar farm</t>
  </si>
  <si>
    <t>Fleisnitz solar farm</t>
  </si>
  <si>
    <t>Flensburg solar farm</t>
  </si>
  <si>
    <t>Forst solar farm</t>
  </si>
  <si>
    <t>Freifläche Fechsen solar farm</t>
  </si>
  <si>
    <t>Freifläche XV solar farm</t>
  </si>
  <si>
    <t>Freiflächen PV-Anlage A73 Hirschaid (Maximilianstr.) solar farm</t>
  </si>
  <si>
    <t>Freiflächen-Anlage 1 solar farm</t>
  </si>
  <si>
    <t>Freiflächenanlage 1 solar farm</t>
  </si>
  <si>
    <t>Freiflächenanlage III solar farm</t>
  </si>
  <si>
    <t>Freiflächenanlage Johanngeorgenstadt solar farm</t>
  </si>
  <si>
    <t>Freiflächenanlage Staudach 2013 solar farm</t>
  </si>
  <si>
    <t>Freilandanlage Waldkirchen solar farm</t>
  </si>
  <si>
    <t>GCMSolar2 solar farm</t>
  </si>
  <si>
    <t>Gewerbepark II solar farm</t>
  </si>
  <si>
    <t>Gottrupel solar farm</t>
  </si>
  <si>
    <t>Green Power Ziesar solar farm</t>
  </si>
  <si>
    <t>Grieben - Tangerhütte solar farm</t>
  </si>
  <si>
    <t>Gundelshausen 2 solar farm</t>
  </si>
  <si>
    <t>Guttenthau solar farm</t>
  </si>
  <si>
    <t>Halle 1 19 solar project</t>
  </si>
  <si>
    <t>Hallendach.P300 solar farm</t>
  </si>
  <si>
    <t>Hamm solar project</t>
  </si>
  <si>
    <t>Hettstedt solar farm</t>
  </si>
  <si>
    <t>Heuchelheim solar farm</t>
  </si>
  <si>
    <t>Hof Welterstein, Alpenrod solar farm</t>
  </si>
  <si>
    <t>Hohenwart-2013 solar farm</t>
  </si>
  <si>
    <t>Hoyerswerda I solar farm</t>
  </si>
  <si>
    <t>Hoyerswerda II solar farm</t>
  </si>
  <si>
    <t>Höheischweiler solar farm</t>
  </si>
  <si>
    <t>Hühnerfarm solar farm</t>
  </si>
  <si>
    <t>Hüttigweiler solar farm</t>
  </si>
  <si>
    <t>Irisingen Solarstrom solar farm</t>
  </si>
  <si>
    <t>Krannich Solarpark 27 Gütersloh solar farm</t>
  </si>
  <si>
    <t>LAWO solar farm</t>
  </si>
  <si>
    <t>Lachendorf solar farm</t>
  </si>
  <si>
    <t>Lauchhammer solar farm</t>
  </si>
  <si>
    <t>Lehnerwiese PV-Park solar farm</t>
  </si>
  <si>
    <t>Leutershausen Büchelberg 8903 PV-Anlage solar farm</t>
  </si>
  <si>
    <t>Lichtblick I solar project</t>
  </si>
  <si>
    <t>Lübesse solar farm</t>
  </si>
  <si>
    <t>Maisach solar project</t>
  </si>
  <si>
    <t>Markt Bibart 8910 PV Freifläche solar farm</t>
  </si>
  <si>
    <t>Martinsheim solar farm</t>
  </si>
  <si>
    <t>Mellin III solar farm</t>
  </si>
  <si>
    <t>Milmersdorf solar farm</t>
  </si>
  <si>
    <t>N1010 solar farm</t>
  </si>
  <si>
    <t>Naunhof Nord solar farm</t>
  </si>
  <si>
    <t>Neuenbrook 1/3 solar farm</t>
  </si>
  <si>
    <t>Neuenbrook 2/3 solar farm</t>
  </si>
  <si>
    <t>Nünschweiler solar farm</t>
  </si>
  <si>
    <t>P0016_CWS-Schönebeck solar farm</t>
  </si>
  <si>
    <t>P13 Peritz solar farm</t>
  </si>
  <si>
    <t>P13254 solar project</t>
  </si>
  <si>
    <t>PBG solar farm</t>
  </si>
  <si>
    <t>PV 1 I solar farm</t>
  </si>
  <si>
    <t>PV 1 Wsthm solar farm</t>
  </si>
  <si>
    <t>PV 4 Solarpark S-E-M solar farm</t>
  </si>
  <si>
    <t>PV 7 solar farm</t>
  </si>
  <si>
    <t>PV 9 solar farm</t>
  </si>
  <si>
    <t>PV A Pankelow solar project</t>
  </si>
  <si>
    <t>PV Anlage Deponie solar farm</t>
  </si>
  <si>
    <t>PV Anlage Michelin Landau solar project</t>
  </si>
  <si>
    <t>PV Anlage Usingen Nord solar farm</t>
  </si>
  <si>
    <t>PV Deponie Dörentrup II.2 solar farm</t>
  </si>
  <si>
    <t>PV Deponie Gröbern solar project</t>
  </si>
  <si>
    <t>PV Dillstädt P23584 solar project</t>
  </si>
  <si>
    <t>PV Duingen solar farm</t>
  </si>
  <si>
    <t>PV ECHTE solar farm</t>
  </si>
  <si>
    <t>PV Eckstedt solar farm</t>
  </si>
  <si>
    <t>PV Ering I solar farm</t>
  </si>
  <si>
    <t>PV Erlengrund solar project</t>
  </si>
  <si>
    <t>PV Ermetzhofen (Teil 2) solar farm</t>
  </si>
  <si>
    <t>PV Ermetzhofen (Teil 3) solar farm</t>
  </si>
  <si>
    <t>PV Ermetzhofen solar farm</t>
  </si>
  <si>
    <t>PV Erste und Zweite Pahlen solar farm</t>
  </si>
  <si>
    <t>PV Flensburg solar project</t>
  </si>
  <si>
    <t>PV Freifläche Eußenheim solar farm</t>
  </si>
  <si>
    <t>PV Freifläche solar farm</t>
  </si>
  <si>
    <t>PV Galenbeck P28232 solar project</t>
  </si>
  <si>
    <t>PV Griesstätt solar farm</t>
  </si>
  <si>
    <t>PV Hürth solar farm</t>
  </si>
  <si>
    <t>PV LSP solar farm</t>
  </si>
  <si>
    <t>PV Leutershausen solar farm</t>
  </si>
  <si>
    <t>PV Loßnitz AGG solar farm</t>
  </si>
  <si>
    <t>PV Luxa Park solar farm</t>
  </si>
  <si>
    <t>PV Matzerath solar farm</t>
  </si>
  <si>
    <t>PV Muck 2013 solar project</t>
  </si>
  <si>
    <t>PV Multipark I Gewerbering 10 solar project</t>
  </si>
  <si>
    <t>PV Park Bobingen 1 solar farm</t>
  </si>
  <si>
    <t>PV Park Bobingen 2 solar farm</t>
  </si>
  <si>
    <t>PV Park Niederraunau 2 solar farm</t>
  </si>
  <si>
    <t>PV Park Obergriesbach solar farm</t>
  </si>
  <si>
    <t>PV Park1 solar farm</t>
  </si>
  <si>
    <t>PV Prettin solar project</t>
  </si>
  <si>
    <t>PV Rinteln solar farm</t>
  </si>
  <si>
    <t>PV Strausberg solar farm</t>
  </si>
  <si>
    <t>PV Waigolshausen solar farm</t>
  </si>
  <si>
    <t>PV Wiedenzhausen solar farm</t>
  </si>
  <si>
    <t>PV Wiepkenhagen solar farm</t>
  </si>
  <si>
    <t>PV-Anlage Dechen solar farm</t>
  </si>
  <si>
    <t>PV-Anlage Deponie Feilheck Sandhausen solar farm</t>
  </si>
  <si>
    <t>PV-Anlage GEPÖ Freifläche solar farm</t>
  </si>
  <si>
    <t>PV-Anlage II solar farm</t>
  </si>
  <si>
    <t>PV-Anlage Krebsweg solar farm</t>
  </si>
  <si>
    <t>PV-Anlage Nordhalle solar farm</t>
  </si>
  <si>
    <t>PV-Anlage Südhalle solar farm</t>
  </si>
  <si>
    <t>PV-Anlage-Pölling Süd solar farm</t>
  </si>
  <si>
    <t>PV-Anlage-Pölling Süd-2 solar farm</t>
  </si>
  <si>
    <t>PV-FA Deponie Stralendorf solar farm</t>
  </si>
  <si>
    <t>PV-Güsten solar farm</t>
  </si>
  <si>
    <t>PV-Niederviehbach Lichtenseermoos solar farm</t>
  </si>
  <si>
    <t>PV-Park Bollersen solar farm</t>
  </si>
  <si>
    <t>PV-Park III solar farm</t>
  </si>
  <si>
    <t>PV-Park Reichersdorf solar farm</t>
  </si>
  <si>
    <t>PV-Park Schierling solar farm</t>
  </si>
  <si>
    <t>PV1 Gutenborn GmbH &amp; Co. KG_Teilanlage 1 solar farm</t>
  </si>
  <si>
    <t>PV1 Gutenborn GmbH &amp; Co. KG_Teilanlage 2 solar farm</t>
  </si>
  <si>
    <t>PV1 II solar farm</t>
  </si>
  <si>
    <t>PVA Aschersleben solar project</t>
  </si>
  <si>
    <t>PVA Bernburg 1.1 solar farm</t>
  </si>
  <si>
    <t>PVA Bernburg 1.2 solar farm</t>
  </si>
  <si>
    <t>PVA Biehla solar farm</t>
  </si>
  <si>
    <t>PVA Brandenburg solar farm</t>
  </si>
  <si>
    <t>PVA Burow-Weltzin solar farm</t>
  </si>
  <si>
    <t>PVA Colbitz solar farm</t>
  </si>
  <si>
    <t>PVA Delitzsch Ziehwerk solar farm</t>
  </si>
  <si>
    <t>PVA Demmin solar farm</t>
  </si>
  <si>
    <t>PVA Dietlas BA2 solar farm</t>
  </si>
  <si>
    <t>PVA Durach solar farm</t>
  </si>
  <si>
    <t>PVA Dölzig 1 solar farm</t>
  </si>
  <si>
    <t>PVA Dölzig 2 solar farm</t>
  </si>
  <si>
    <t>PVA Dürröhrsdorf solar farm</t>
  </si>
  <si>
    <t>PVA Eckolstädt solar farm</t>
  </si>
  <si>
    <t>PVA Eisenach solar farm</t>
  </si>
  <si>
    <t>PVA Eldena solar farm</t>
  </si>
  <si>
    <t>PVA Erfurter Kreuz 1 solar farm</t>
  </si>
  <si>
    <t>PVA Fränkenau 1 solar farm</t>
  </si>
  <si>
    <t>PVA Fränkenau 2 solar farm</t>
  </si>
  <si>
    <t>PVA Gattendorf 1.1 solar farm</t>
  </si>
  <si>
    <t>PVA Gattendorf 1.2 solar farm</t>
  </si>
  <si>
    <t>PVA Geo. solar farm</t>
  </si>
  <si>
    <t>PVA Glau solar farm</t>
  </si>
  <si>
    <t>PVA Gotha Oststr. solar farm</t>
  </si>
  <si>
    <t>PVA Görlitz 1 solar farm</t>
  </si>
  <si>
    <t>PVA Güstrow solar farm</t>
  </si>
  <si>
    <t>PVA Hellfeld Trollenhagen solar farm</t>
  </si>
  <si>
    <t>PVA Hohenerxleben solar farm</t>
  </si>
  <si>
    <t>PVA Hundeluft solar project</t>
  </si>
  <si>
    <t>PVA Immenreuth 1 solar farm</t>
  </si>
  <si>
    <t>PVA Kessin I solar farm</t>
  </si>
  <si>
    <t>PVA Konstanz solar farm</t>
  </si>
  <si>
    <t>PVA Krauthausen solar farm</t>
  </si>
  <si>
    <t>PVA Krieschow solar farm</t>
  </si>
  <si>
    <t>PVA Ky solar farm</t>
  </si>
  <si>
    <t>PVA Linthe solar farm</t>
  </si>
  <si>
    <t>PVA Löbnitz solar farm</t>
  </si>
  <si>
    <t>9,8</t>
  </si>
  <si>
    <t>PVA Malsch I solar farm</t>
  </si>
  <si>
    <t>PVA Meißen solar farm</t>
  </si>
  <si>
    <t>PVA Mockern II solar farm</t>
  </si>
  <si>
    <t>PVA Mösthinsdorf 1 solar farm</t>
  </si>
  <si>
    <t>PVA Mösthinsdorf 2 solar farm</t>
  </si>
  <si>
    <t>PVA Nardt solar farm</t>
  </si>
  <si>
    <t>PVA Neubrandenburg solar farm</t>
  </si>
  <si>
    <t>PVA Neustadt I solar farm</t>
  </si>
  <si>
    <t>PVA Neustadt II solar farm</t>
  </si>
  <si>
    <t>PVA Nordhausen 1 solar farm</t>
  </si>
  <si>
    <t>PVA Nordhausen 2 solar farm</t>
  </si>
  <si>
    <t>PVA Oberseifersdorf 1 I solar farm</t>
  </si>
  <si>
    <t>PVA Oschatz 1.1 solar farm</t>
  </si>
  <si>
    <t>PVA Pettstädt solar farm</t>
  </si>
  <si>
    <t>PVA Pleystein solar farm</t>
  </si>
  <si>
    <t>PVA Rempesgrün solar farm</t>
  </si>
  <si>
    <t>PVA Roßwein FL solar farm</t>
  </si>
  <si>
    <t>PVA Schipkau I solar farm</t>
  </si>
  <si>
    <t>PVA Schlechtenberg solar farm</t>
  </si>
  <si>
    <t>PVA Schrattenbach solar farm</t>
  </si>
  <si>
    <t>PVA Sennewitz 1 solar farm</t>
  </si>
  <si>
    <t>PVA Sollstedt solar farm</t>
  </si>
  <si>
    <t>PVA Taucha solar farm</t>
  </si>
  <si>
    <t>PVA Tewswoos solar project</t>
  </si>
  <si>
    <t>PVA Thießen Luko solar project</t>
  </si>
  <si>
    <t>PVA Uetteroda solar farm</t>
  </si>
  <si>
    <t>PVA Untersteinach solar farm</t>
  </si>
  <si>
    <t>PVA Unterwengen solar farm</t>
  </si>
  <si>
    <t>PVA Vierow solar farm</t>
  </si>
  <si>
    <t>PVA Wegeleben solar farm</t>
  </si>
  <si>
    <t>PVA Werneuchen 1 solar project</t>
  </si>
  <si>
    <t>PVA Wiesenena solar farm</t>
  </si>
  <si>
    <t>PVA Zwochau solar farm</t>
  </si>
  <si>
    <t>PVF Freimersheim solar farm</t>
  </si>
  <si>
    <t>PVF Kalbe solar farm</t>
  </si>
  <si>
    <t>PVStrom Solarpark Oberfranken IX GmbH &amp; Co. KG solar farm</t>
  </si>
  <si>
    <t>PVStrom Solarpark Oberfranken VI GmbH &amp; Co. KG solar farm</t>
  </si>
  <si>
    <t>PVStrom Solarpark Oberfranken VII GmbH &amp; Co. KG solar farm</t>
  </si>
  <si>
    <t>PVStrom Solarpark Oberfranken VIII GmbH ＆ Co. KG solar project</t>
  </si>
  <si>
    <t>PV_FFT solar farm</t>
  </si>
  <si>
    <t>Perschen Solarpark solar farm</t>
  </si>
  <si>
    <t>Pfalzsolar Solarpark VI (Dargun) 2(2) solar farm</t>
  </si>
  <si>
    <t>Pfalzsolar Solarpark VII (Rothenschirmbach) solar farm</t>
  </si>
  <si>
    <t>Photovoltaikkraftwerk Quedlinburg solar farm</t>
  </si>
  <si>
    <t>Pvpark Weissenthurm solar farm</t>
  </si>
  <si>
    <t>Quesitz solar farm</t>
  </si>
  <si>
    <t>ROS_PV_170 solar farm</t>
  </si>
  <si>
    <t>Reesen Halle 1 2013 solar farm</t>
  </si>
  <si>
    <t>Rietz solar project</t>
  </si>
  <si>
    <t>Rippien solar farm</t>
  </si>
  <si>
    <t>Rohde Solar Ecklak GbR 3 solar farm</t>
  </si>
  <si>
    <t>Rohde Solar Peissen 1 solar farm</t>
  </si>
  <si>
    <t>Röbling am See Solarstrom GmbH &amp; Co. KG solar farm</t>
  </si>
  <si>
    <t>Rüthener Bürgerenergie eG solar farm</t>
  </si>
  <si>
    <t>S15068 solar project</t>
  </si>
  <si>
    <t>SA Ditfurt Unter der Krähenhütte solar farm</t>
  </si>
  <si>
    <t>SA Trunkelsberg solar farm</t>
  </si>
  <si>
    <t>SBA Nordenham solar farm</t>
  </si>
  <si>
    <t>SKW solar farm</t>
  </si>
  <si>
    <t>SKWW solar project</t>
  </si>
  <si>
    <t>SOL 012.2 RLM solar project</t>
  </si>
  <si>
    <t>SOMAKA Solarkraftwerk Alitzheim GmbH &amp; Co KG solar farm</t>
  </si>
  <si>
    <t>SP Alsleben solar farm</t>
  </si>
  <si>
    <t>SP Helmsdorf solar farm</t>
  </si>
  <si>
    <t>SP Heuchelheim solar farm</t>
  </si>
  <si>
    <t>SP Hornstorf solar farm</t>
  </si>
  <si>
    <t>SP Krakow am See solar farm</t>
  </si>
  <si>
    <t>SP Krakow am See solar project</t>
  </si>
  <si>
    <t>retired</t>
  </si>
  <si>
    <t>SP Merkendorf 1 solar farm</t>
  </si>
  <si>
    <t>SP Neuenstein solar farm</t>
  </si>
  <si>
    <t>SP Ruhland solar farm</t>
  </si>
  <si>
    <t>SP Solarpark Langenhahn GmbH &amp; Co. KG II solar farm</t>
  </si>
  <si>
    <t>Sabrodt II solar farm</t>
  </si>
  <si>
    <t>Schierling I solar farm</t>
  </si>
  <si>
    <t>Schierling II solar farm</t>
  </si>
  <si>
    <t>Schmelze solar farm</t>
  </si>
  <si>
    <t>Sennewitz solar farm</t>
  </si>
  <si>
    <t>So.lie.pa solar farm</t>
  </si>
  <si>
    <t>Solar A1 solar farm</t>
  </si>
  <si>
    <t>Solaranlage I solar farm</t>
  </si>
  <si>
    <t>Solaranlage Züsow solar project</t>
  </si>
  <si>
    <t>Solarkraftwerk Deesen solar farm</t>
  </si>
  <si>
    <t>Solarkraftwerk Langsur solar farm</t>
  </si>
  <si>
    <t>Solarkraftwerk Püttlingen solar farm</t>
  </si>
  <si>
    <t>Solarpark "Aspenäcker" solar farm</t>
  </si>
  <si>
    <t>Solarpark 2 solar farm</t>
  </si>
  <si>
    <t>Solarpark Adelschlag Ost 1 solar farm</t>
  </si>
  <si>
    <t>Solarpark Adelschlag Ost 2a solar farm</t>
  </si>
  <si>
    <t>Solarpark Adelschlag Ost 2b solar project</t>
  </si>
  <si>
    <t>Solarpark Ahrenshagen-Daskow GmbH solar farm</t>
  </si>
  <si>
    <t>Solarpark Alhena Mirow solar farm</t>
  </si>
  <si>
    <t>Solarpark Alitzheim Süd solar farm</t>
  </si>
  <si>
    <t>Solarpark Altfeld GmbH &amp; Co. KG solar farm</t>
  </si>
  <si>
    <t>Solarpark Apollo solar project</t>
  </si>
  <si>
    <t>Solarpark Bad Liebenstein solar farm</t>
  </si>
  <si>
    <t>Solarpark Boden 1 solar farm</t>
  </si>
  <si>
    <t>Solarpark Boden 2 solar project</t>
  </si>
  <si>
    <t>Solarpark Brandscheid I solar farm</t>
  </si>
  <si>
    <t>Solarpark Brodberg I GmbH ＆ Co. KG solar project</t>
  </si>
  <si>
    <t>Solarpark Burg solar farm</t>
  </si>
  <si>
    <t>Solarpark Buschwiesen solar farm</t>
  </si>
  <si>
    <t>Solarpark Damm solar farm</t>
  </si>
  <si>
    <t>Solarpark Diedrichshagen solar farm</t>
  </si>
  <si>
    <t>Solarpark Domsühl solar farm</t>
  </si>
  <si>
    <t>Solarpark Fernwald solar farm</t>
  </si>
  <si>
    <t>Solarpark Friedenstraße solar farm</t>
  </si>
  <si>
    <t>Solarpark Gera Green Power GmbH solar farm</t>
  </si>
  <si>
    <t>Solarpark Griesborn solar farm</t>
  </si>
  <si>
    <t>Solarpark Grimmen 3 GmbH &amp;Co. KG solar farm</t>
  </si>
  <si>
    <t>Solarpark Groß Stieten solar farm</t>
  </si>
  <si>
    <t>Solarpark Großenhain solar farm</t>
  </si>
  <si>
    <t>Solarpark Görgeshausen I solar farm</t>
  </si>
  <si>
    <t>Solarpark Günzburg solar farm</t>
  </si>
  <si>
    <t>Solarpark Hoyerswerda GmbH &amp; Co. KG solar farm</t>
  </si>
  <si>
    <t>Solarpark Husum Ost solar farm</t>
  </si>
  <si>
    <t>Solarpark Husum West solar farm</t>
  </si>
  <si>
    <t>Solarpark Hölzengraben I solar farm</t>
  </si>
  <si>
    <t>Solarpark I IV solar farm</t>
  </si>
  <si>
    <t>Solarpark Ilmendorf solar farm</t>
  </si>
  <si>
    <t>Solarpark Jungferweiher solar farm</t>
  </si>
  <si>
    <t>Solarpark Kaifenheim GmbH solar farm</t>
  </si>
  <si>
    <t>Solarpark Klostermansfeld solar farm</t>
  </si>
  <si>
    <t>Solarpark Krassow I solar farm</t>
  </si>
  <si>
    <t>Solarpark Krassow II solar project</t>
  </si>
  <si>
    <t>Solarpark LH 2013 solar farm</t>
  </si>
  <si>
    <t>Solarpark Laage solar farm</t>
  </si>
  <si>
    <t>Solarpark Lampertsweiler solar farm</t>
  </si>
  <si>
    <t>Solarpark Lobbach solar farm</t>
  </si>
  <si>
    <t>Solarpark Lupburg solar farm</t>
  </si>
  <si>
    <t>Solarpark Löbichau Zweite solar farm</t>
  </si>
  <si>
    <t>Solarpark Mellin 2 solar farm</t>
  </si>
  <si>
    <t>Solarpark Meschede-Enste solar farm</t>
  </si>
  <si>
    <t>Solarpark Michelrieth GmbH &amp; Co. KG solar farm</t>
  </si>
  <si>
    <t>Solarpark Mirsdorf solar farm</t>
  </si>
  <si>
    <t>Solarpark Mutlanger Heide solar farm</t>
  </si>
  <si>
    <t>Solarpark Mühlenfeld solar farm</t>
  </si>
  <si>
    <t>Solarpark Münchnerau I solar farm</t>
  </si>
  <si>
    <t>Solarpark Münchnerau II solar project</t>
  </si>
  <si>
    <t>Solarpark Neudietendorf solar farm</t>
  </si>
  <si>
    <t>Solarpark Neuheilenbach_Teil 2 solar farm</t>
  </si>
  <si>
    <t>Solarpark Neuheilenbach_Teil 4 solar farm</t>
  </si>
  <si>
    <t>Solarpark Neustadt-Bahn solar farm</t>
  </si>
  <si>
    <t>Solarpark Nordband solar farm</t>
  </si>
  <si>
    <t>Solarpark Oberasphe solar farm</t>
  </si>
  <si>
    <t>Solarpark Oberlauda solar farm</t>
  </si>
  <si>
    <t>Solarpark Offleben solar farm</t>
  </si>
  <si>
    <t>Solarpark Pinnow solar farm</t>
  </si>
  <si>
    <t>Solarpark Pöhl solar farm</t>
  </si>
  <si>
    <t>Solarpark Ramin Nord solar farm</t>
  </si>
  <si>
    <t>Solarpark Ramin Süd solar farm</t>
  </si>
  <si>
    <t>Solarpark Rittersdorf 1 solar farm</t>
  </si>
  <si>
    <t>Solarpark Schinne solar farm</t>
  </si>
  <si>
    <t>Solarpark Schweiger solar farm</t>
  </si>
  <si>
    <t>Solarpark Seehof GmbH &amp; Co. KG solar farm</t>
  </si>
  <si>
    <t>Solarpark Seelow Teilanlage 1 solar farm</t>
  </si>
  <si>
    <t>Solarpark Seelow Teilanlage 2 solar farm</t>
  </si>
  <si>
    <t>Solarpark Seesen solar farm</t>
  </si>
  <si>
    <t>Solarpark Thanner Feld solar farm</t>
  </si>
  <si>
    <t>Solarpark Tribsees solar farm</t>
  </si>
  <si>
    <t>Solarpark Trollenhagen solar farm</t>
  </si>
  <si>
    <t>Solarpark Vatersdorf solar farm</t>
  </si>
  <si>
    <t>Solarpark Velsen solar farm</t>
  </si>
  <si>
    <t>Solarpark Vilsbiburg Erw. solar farm</t>
  </si>
  <si>
    <t>Solarpark Vogtsburg solar farm</t>
  </si>
  <si>
    <t>Solarpark Vossberg 2 solar project</t>
  </si>
  <si>
    <t>Solarpark Wiffertshausen solar farm</t>
  </si>
  <si>
    <t>Solarpark XX solar farm</t>
  </si>
  <si>
    <t>Solarpark5 solar farm</t>
  </si>
  <si>
    <t>Solvinto solar farm</t>
  </si>
  <si>
    <t>Sonnenenergie-Park 1 GmbH solar farm</t>
  </si>
  <si>
    <t>Sonnenenergie-Park 2 GmbH solar farm</t>
  </si>
  <si>
    <t>Sonnenenergie-Park 3 GmbH solar farm</t>
  </si>
  <si>
    <t>Sonnenenergie-Park 5 GmbH solar farm</t>
  </si>
  <si>
    <t>Sonnenenergie-Park 6 GmbH solar farm</t>
  </si>
  <si>
    <t>Sontra II solar farm</t>
  </si>
  <si>
    <t>Speelbrink2013 solar farm</t>
  </si>
  <si>
    <t>Stendal Solarstrom solar farm</t>
  </si>
  <si>
    <t>Sulzfeld PV Freifläche solar farm</t>
  </si>
  <si>
    <t>TOR solar farm</t>
  </si>
  <si>
    <t>Tastungen solar project</t>
  </si>
  <si>
    <t>Thöringswerder Ost solar farm</t>
  </si>
  <si>
    <t>Thöringswerder West I solar farm</t>
  </si>
  <si>
    <t>Thöringswerder West II solar farm</t>
  </si>
  <si>
    <t>U. H Solarpark Gützkow GmbH &amp; Co. KG solar farm</t>
  </si>
  <si>
    <t>Völmeder Sprink solar project</t>
  </si>
  <si>
    <t>W-von-Siemens-Allee solar farm</t>
  </si>
  <si>
    <t>WKA Röchling solar project</t>
  </si>
  <si>
    <t>Wetschhausen solar farm</t>
  </si>
  <si>
    <t>Wilster Solar (GmbH &amp; Co.KG) solar farm</t>
  </si>
  <si>
    <t>Wintershof 1 solar project</t>
  </si>
  <si>
    <t>Wipperdorf II solar farm</t>
  </si>
  <si>
    <t>Wipperdorf solar farm</t>
  </si>
  <si>
    <t>Wittenberge solar farm</t>
  </si>
  <si>
    <t>Wolgast solar farm</t>
  </si>
  <si>
    <t>Zweite Solarpark Peitz UG &amp; Co. KG solar farm</t>
  </si>
  <si>
    <t>enercity PV "Netrada" Teil2 solar project</t>
  </si>
  <si>
    <t>kloeckner-ribnitz-solar solar farm</t>
  </si>
  <si>
    <t>0050AI01 PV-Anlage Großbodungen solar farm</t>
  </si>
  <si>
    <t>1001/2014 solar project</t>
  </si>
  <si>
    <t>9002 Solarpark Rickelshausen BA V solar farm</t>
  </si>
  <si>
    <t>ABR992853501066 solar project</t>
  </si>
  <si>
    <t>AMB01 solar farm</t>
  </si>
  <si>
    <t>AZU01 solar project</t>
  </si>
  <si>
    <t>Agrar Dargun solar project</t>
  </si>
  <si>
    <t>Bannberscheid I solar project</t>
  </si>
  <si>
    <t>Bannberscheid II solar project</t>
  </si>
  <si>
    <t>Bordeauxstraße 11 solar farm</t>
  </si>
  <si>
    <t>CTV PV10-2 Zangenberg Kurt Lange Strasse solar farm</t>
  </si>
  <si>
    <t>CTV PV13 Auerstedt Bahnhofstr.129 solar project</t>
  </si>
  <si>
    <t>CW Solerpark Bindfelde 1 solar farm</t>
  </si>
  <si>
    <t>CYA01 solar project</t>
  </si>
  <si>
    <t>Carport TSG Besitzgesellschaft mbH ＆ Co. KG solar project</t>
  </si>
  <si>
    <t>Consilium Solardach Dahlen solar project</t>
  </si>
  <si>
    <t>DB Regio Nbg solar project</t>
  </si>
  <si>
    <t>DE28.001 Hirschfeld solar farm</t>
  </si>
  <si>
    <t>Deponie Bergen-Enthal solar farm</t>
  </si>
  <si>
    <t>Derching solar farm</t>
  </si>
  <si>
    <t>Erbach solar farm</t>
  </si>
  <si>
    <t>FFA Osterode solar farm</t>
  </si>
  <si>
    <t>Freifläche XVI solar farm</t>
  </si>
  <si>
    <t>Freiflächenanlage Hermeskeil Am Dörrenbach solar farm</t>
  </si>
  <si>
    <t>Groß Nemerow solar project</t>
  </si>
  <si>
    <t>Herrenleite solar farm</t>
  </si>
  <si>
    <t>IdeemaSun solar farm</t>
  </si>
  <si>
    <t>Kritzow - Zweihausen - Obstplantage BA I solar farm</t>
  </si>
  <si>
    <t>Köhlstr. 8 Köln solar project</t>
  </si>
  <si>
    <t>LOSCON PV-Beeskow solar farm</t>
  </si>
  <si>
    <t>LUK PV I solar farm</t>
  </si>
  <si>
    <t>MINOLA-Solarenergie solar farm</t>
  </si>
  <si>
    <t>MR3W Solarpark Leipzig solar farm</t>
  </si>
  <si>
    <t>Mando 73 - PVA Altreetz solar farm</t>
  </si>
  <si>
    <t>Mando 73 - PVA Wriezen solar farm</t>
  </si>
  <si>
    <t>Moosthenning PV solar project</t>
  </si>
  <si>
    <t>NEO PV-2 solar farm</t>
  </si>
  <si>
    <t>Neuburg II solar farm</t>
  </si>
  <si>
    <t>Neuenbrook 3/3 solar farm</t>
  </si>
  <si>
    <t>Nohra solar farm</t>
  </si>
  <si>
    <t>Obernzell 1 solar farm</t>
  </si>
  <si>
    <t>P12133 solar farm</t>
  </si>
  <si>
    <t>PB PV 8 solar farm</t>
  </si>
  <si>
    <t>PUR01 solar project</t>
  </si>
  <si>
    <t>PV - Anlage V solar farm</t>
  </si>
  <si>
    <t>PV - Anlage VI solar farm</t>
  </si>
  <si>
    <t>PV 1.331 kW solar farm</t>
  </si>
  <si>
    <t>PV Anlage 1094KWp Dedesdorfer Straße solar project</t>
  </si>
  <si>
    <t>PV Anlage 2014 HW01/02/07/10/11/12/WL06 solar project</t>
  </si>
  <si>
    <t>PV Anlage I,J,H solar project</t>
  </si>
  <si>
    <t>PV Anlage ULN I solar project</t>
  </si>
  <si>
    <t>PV Anlage Werk Reetz solar project</t>
  </si>
  <si>
    <t>PV Boxbrunn solar farm</t>
  </si>
  <si>
    <t>PV Brekendorf 1 solar farm</t>
  </si>
  <si>
    <t>PV Brekendorf2 solar farm</t>
  </si>
  <si>
    <t>PV CHEMNITZ 7861 solar farm</t>
  </si>
  <si>
    <t>PV Deponie Litzlwalchen solar project</t>
  </si>
  <si>
    <t>PV Finowfurt solar farm</t>
  </si>
  <si>
    <t>PV Freifläche 1 solar project</t>
  </si>
  <si>
    <t>PV Jarmen solar farm</t>
  </si>
  <si>
    <t>PV Kitzingen I_1 solar farm</t>
  </si>
  <si>
    <t>PV Kitzingen I_2 solar farm</t>
  </si>
  <si>
    <t>PV Neu Isenburg solar project</t>
  </si>
  <si>
    <t>PV Rückersdorf solar farm</t>
  </si>
  <si>
    <t>PV Seitendorf 2 solar farm</t>
  </si>
  <si>
    <t>PV Weiterstadt solar project</t>
  </si>
  <si>
    <t>PV Wendlmuth solar farm</t>
  </si>
  <si>
    <t>PV Wulften 2 solar project</t>
  </si>
  <si>
    <t>PV-EZK-FFA solar farm</t>
  </si>
  <si>
    <t>PV-Freifläche Bad Frankenhausen solar farm</t>
  </si>
  <si>
    <t>PV-Freifläche Peising solar farm</t>
  </si>
  <si>
    <t>PV-Freifläche Speichersdorf solar farm</t>
  </si>
  <si>
    <t>PV-G01 solar farm</t>
  </si>
  <si>
    <t>PV-Palling solar farm</t>
  </si>
  <si>
    <t>PV-Park Hambuch solar farm</t>
  </si>
  <si>
    <t>PV-Wulften 1 solar farm</t>
  </si>
  <si>
    <t>PVA 02152 solar farm</t>
  </si>
  <si>
    <t>PVA 2 solar project</t>
  </si>
  <si>
    <t>PVA 4 Leutkirch II solar farm</t>
  </si>
  <si>
    <t>PVA Bitterfeld 1 solar farm</t>
  </si>
  <si>
    <t>PVA Bitterfeld 2 solar farm</t>
  </si>
  <si>
    <t>PVA Cottbus solar project</t>
  </si>
  <si>
    <t>PVA Dahme solar farm</t>
  </si>
  <si>
    <t>PVA Darrweg (Friedrich-List-Straße) solar farm</t>
  </si>
  <si>
    <t>PVA Delitzsch solar farm</t>
  </si>
  <si>
    <t>PVA Dresden Gorbitz I solar project</t>
  </si>
  <si>
    <t>PVA Emden solar farm</t>
  </si>
  <si>
    <t>PVA Erfurter Kreuz 2 solar farm</t>
  </si>
  <si>
    <t>PVA Erfurter Kreuz 3 solar farm</t>
  </si>
  <si>
    <t>PVA Fürstenwalde II solar farm</t>
  </si>
  <si>
    <t>PVA Gnölbzig 1 solar farm</t>
  </si>
  <si>
    <t>PVA Goltewitz I solar farm</t>
  </si>
  <si>
    <t>PVA Grimmen I solar farm</t>
  </si>
  <si>
    <t>PVA Hildebrandshagen solar farm</t>
  </si>
  <si>
    <t>PVA Hillersleben 1 solar farm</t>
  </si>
  <si>
    <t>PVA Hohengöhren 1 solar farm</t>
  </si>
  <si>
    <t>PVA Klapfenberg solar farm</t>
  </si>
  <si>
    <t>PVA Kleinlangheim solar farm</t>
  </si>
  <si>
    <t>PVA Kleinwusterwitz 1 solar farm</t>
  </si>
  <si>
    <t>PVA Kleinwusterwitz 2 solar farm</t>
  </si>
  <si>
    <t>PVA Kyritz solar farm</t>
  </si>
  <si>
    <t>PVA Langenbogen solar farm</t>
  </si>
  <si>
    <t>PVA Lauta 1 solar farm</t>
  </si>
  <si>
    <t>PVA Löcknitz solar farm</t>
  </si>
  <si>
    <t>PVA Meuselwitz solar farm</t>
  </si>
  <si>
    <t>PVA Nemsdorf 1.1 solar farm</t>
  </si>
  <si>
    <t>PVA Nemsdorf 1.2 solar farm</t>
  </si>
  <si>
    <t>PVA Neuhardenberg Kaserne II solar farm</t>
  </si>
  <si>
    <t>PVA Nordholz solar farm</t>
  </si>
  <si>
    <t>PVA Parsberg solar farm</t>
  </si>
  <si>
    <t>PVA Pasewalk solar farm</t>
  </si>
  <si>
    <t>PVA Pölzig 1 solar farm</t>
  </si>
  <si>
    <t>PVA Roitzsch 2 solar farm</t>
  </si>
  <si>
    <t>9,2</t>
  </si>
  <si>
    <t>PVA Ronneburg 4.1 solar farm</t>
  </si>
  <si>
    <t>PVA Ronneburg 4.2 solar project</t>
  </si>
  <si>
    <t>PVA Ronneburg Ost 2 solar farm</t>
  </si>
  <si>
    <t>PVA Rosswein solar farm</t>
  </si>
  <si>
    <t>PVA SC THA BA1 solar farm</t>
  </si>
  <si>
    <t>PVA Sandau solar farm</t>
  </si>
  <si>
    <t>PVA Schwabstadl BA1 solar farm</t>
  </si>
  <si>
    <t>PVA Schwabstadl BA2 solar farm</t>
  </si>
  <si>
    <t>PVA Seelow solar farm</t>
  </si>
  <si>
    <t>PVA Serbitz solar farm</t>
  </si>
  <si>
    <t>PVA St. Gangloff solar farm</t>
  </si>
  <si>
    <t>PVA Töpchin solar farm</t>
  </si>
  <si>
    <t>PVA Wartenburg solar project</t>
  </si>
  <si>
    <t>PVA Wendorf solar farm</t>
  </si>
  <si>
    <t>PVA Werneuchen 2 solar farm</t>
  </si>
  <si>
    <t>PVA Witzleshofen solar farm</t>
  </si>
  <si>
    <t>PVA Zwintschöna solar farm</t>
  </si>
  <si>
    <t>PVA Zörbig I solar farm</t>
  </si>
  <si>
    <t>PVA Zühlsdorf 2014 solar project</t>
  </si>
  <si>
    <t>PVA im Farchet solar farm</t>
  </si>
  <si>
    <t>Perdöhl II solar farm</t>
  </si>
  <si>
    <t>Perdöhl solar farm</t>
  </si>
  <si>
    <t>Pfalzsolar Solarpark IX (Dinkelsbühl) solar farm</t>
  </si>
  <si>
    <t>Pfalzsolar Solarpark VIII (Hassloch) solar farm</t>
  </si>
  <si>
    <t>Pfalzsolar Solarpark X (Matzerath) solar farm</t>
  </si>
  <si>
    <t>Pfalzsolar Solarpark XI (Heinrichshöh) solar farm</t>
  </si>
  <si>
    <t>Pfalzsolar Solarpark XII (Nessa) solar project</t>
  </si>
  <si>
    <t>Pfalzsolar Solarpark XIII (Dreissigacker) solar farm</t>
  </si>
  <si>
    <t>QEG Solar-Park Nalbach 1 solar farm</t>
  </si>
  <si>
    <t>RED01 solar project</t>
  </si>
  <si>
    <t>Radertshausen solar project</t>
  </si>
  <si>
    <t>Rohde Solar Peissen 2 solar farm</t>
  </si>
  <si>
    <t>Rückersdorf Süd solar farm</t>
  </si>
  <si>
    <t>Rückersdorf solar farm</t>
  </si>
  <si>
    <t>SB PV 5 solar farm</t>
  </si>
  <si>
    <t>SBA Atzendorf solar farm</t>
  </si>
  <si>
    <t>SBA Ilfeld solar project</t>
  </si>
  <si>
    <t>SBA Reddeber solar farm</t>
  </si>
  <si>
    <t>SBA Werneuchen Seefeld 1 solar farm</t>
  </si>
  <si>
    <t>SKWS solar project</t>
  </si>
  <si>
    <t>SMA_C72_EQ17879 solar farm</t>
  </si>
  <si>
    <t>SP Brück 1 solar farm</t>
  </si>
  <si>
    <t>SP Haselberg solar farm</t>
  </si>
  <si>
    <t>SP Sprengersfelde solar farm</t>
  </si>
  <si>
    <t>SP Wiegeleben solar farm</t>
  </si>
  <si>
    <t>SPM solar project</t>
  </si>
  <si>
    <t>Seegrund Freifläche 2014 solar farm</t>
  </si>
  <si>
    <t>So.stei.pa solar farm</t>
  </si>
  <si>
    <t>Solaranlage Am Laug I solar farm</t>
  </si>
  <si>
    <t>Solarkraftwerk Neumagen-Dhron solar farm</t>
  </si>
  <si>
    <t>Solarkraftwerk Saarburg solar farm</t>
  </si>
  <si>
    <t>Solarkraftwerk Schweizer Berg solar farm</t>
  </si>
  <si>
    <t>Solarpark Amberg solar farm</t>
  </si>
  <si>
    <t>Solarpark Bad Dribug Teil 2 solar farm</t>
  </si>
  <si>
    <t>Solarpark Brönnchesthal solar farm</t>
  </si>
  <si>
    <t>Solarpark Bubach solar farm</t>
  </si>
  <si>
    <t>Solarpark Ebersdorf solar farm</t>
  </si>
  <si>
    <t>Solarpark Eslarn solar project</t>
  </si>
  <si>
    <t>Solarpark Falkenstein 2 (BA 01) solar farm</t>
  </si>
  <si>
    <t>Solarpark Falkenstein 2 (BA 03) solar farm</t>
  </si>
  <si>
    <t>Solarpark Felgentreu/Zinnaer Straße GmbH solar farm</t>
  </si>
  <si>
    <t>Solarpark Friesendorf solar farm</t>
  </si>
  <si>
    <t>Solarpark Gottrupel solar farm</t>
  </si>
  <si>
    <t>Solarpark Hohberg I solar farm</t>
  </si>
  <si>
    <t>Solarpark Höhn solar farm</t>
  </si>
  <si>
    <t>Solarpark Königsbronn solar farm</t>
  </si>
  <si>
    <t>Solarpark Laisa solar farm</t>
  </si>
  <si>
    <t>Solarpark Neureetz solar farm</t>
  </si>
  <si>
    <t>Solarpark Neustadt-Dosse solar farm</t>
  </si>
  <si>
    <t>Solarpark Niederkail GbR solar farm</t>
  </si>
  <si>
    <t>Solarpark Ost I solar farm</t>
  </si>
  <si>
    <t>Solarpark Plessa I solar farm</t>
  </si>
  <si>
    <t>Solarpark Plessa II solar farm</t>
  </si>
  <si>
    <t>Solarpark Rastatt solar farm</t>
  </si>
  <si>
    <t>Solarpark Rohrbuckel solar project</t>
  </si>
  <si>
    <t>Solarpark S.1 solar farm</t>
  </si>
  <si>
    <t>Solarpark Schutterwald solar farm</t>
  </si>
  <si>
    <t>Solarpark Schächerlache solar farm</t>
  </si>
  <si>
    <t>Solarpark Schönhausen Teil 2 solar farm</t>
  </si>
  <si>
    <t>Solarpark Simondys solar farm</t>
  </si>
  <si>
    <t>Solarpark Steinhöfel UG &amp; Co.KG solar farm</t>
  </si>
  <si>
    <t>Solarpark Stendal II solar farm</t>
  </si>
  <si>
    <t>Solarpark Storkow solar farm</t>
  </si>
  <si>
    <t>Solarpark Twist solar farm</t>
  </si>
  <si>
    <t>Solarpark Uttenreuth 1 solar farm</t>
  </si>
  <si>
    <t>Solarpark Vorbeck BA 1 solar farm</t>
  </si>
  <si>
    <t>Stendal solar farm</t>
  </si>
  <si>
    <t>Stralsund_2 solar farm</t>
  </si>
  <si>
    <t>Subzin solar farm</t>
  </si>
  <si>
    <t>Taubenhörnchen solar farm</t>
  </si>
  <si>
    <t>Thaldorf EP17 solar farm</t>
  </si>
  <si>
    <t>Thaleischweiler solar farm</t>
  </si>
  <si>
    <t>YEL01 solar project</t>
  </si>
  <si>
    <t>Zweites Solarkraftwerk Schirradorf GmbH &amp; Co. KG solar farm</t>
  </si>
  <si>
    <t>PV Göritz solar farm</t>
  </si>
  <si>
    <t>0009AI01 PV-Anlage Wipperdorf solar farm</t>
  </si>
  <si>
    <t>15101 SP Heudeber solar farm</t>
  </si>
  <si>
    <t>15103 SP Marienteichkippe BA1 solar farm</t>
  </si>
  <si>
    <t>15103 SP Marienteichkippe BA2 solar farm</t>
  </si>
  <si>
    <t>15111 SP Freienhufen Kieswerk solar farm</t>
  </si>
  <si>
    <t>BEE Großbeeren GmbH &amp; Co. KG solar farm</t>
  </si>
  <si>
    <t>Bad Rothenfelde solar farm</t>
  </si>
  <si>
    <t>Bellin solar farm</t>
  </si>
  <si>
    <t>Bergholz solar farm</t>
  </si>
  <si>
    <t>Bürger Solarpark Thumsenreuth solar farm</t>
  </si>
  <si>
    <t>Bürgersolarkraftwerk Wallmersbach GmbH &amp; Co KG solar farm</t>
  </si>
  <si>
    <t>CW Solerpark Bindfelde 2 solar farm</t>
  </si>
  <si>
    <t>Calbe FF solar farm</t>
  </si>
  <si>
    <t>Consilium Solarpark Bassow solar farm</t>
  </si>
  <si>
    <t>Dahlia Neuenhofen solar farm</t>
  </si>
  <si>
    <t>Dallgow solar farm</t>
  </si>
  <si>
    <t>Deponie Siegelsdorf-Veitsbronn solar farm</t>
  </si>
  <si>
    <t>Deponie solar farm</t>
  </si>
  <si>
    <t>Ehoch4 solar farm</t>
  </si>
  <si>
    <t>Eisenstorf Nord I solar farm</t>
  </si>
  <si>
    <t>FFA Flur 5 solar project</t>
  </si>
  <si>
    <t>FL Ulmen Am Weiher solar farm</t>
  </si>
  <si>
    <t>FL Ulmen Kaserne solar farm</t>
  </si>
  <si>
    <t>FUR01 solar farm</t>
  </si>
  <si>
    <t>Freifläche Empfenbach solar project</t>
  </si>
  <si>
    <t>Freifläche XVII solar farm</t>
  </si>
  <si>
    <t>Freiland Mieste Siemserstr.1 solar farm</t>
  </si>
  <si>
    <t>Freilandanlage 4402 solar farm</t>
  </si>
  <si>
    <t>Freilandanlage solar project</t>
  </si>
  <si>
    <t>Friedland Pleetzer Weg solar farm</t>
  </si>
  <si>
    <t>Friedland Schwarzer Weg 3 solar farm</t>
  </si>
  <si>
    <t>Golpa II solar farm</t>
  </si>
  <si>
    <t>Green City Solarpark Schwerin GmbH &amp; Co. KG I solar farm</t>
  </si>
  <si>
    <t>Green City Solarpark Schwerin GmbH &amp; Co. KG II solar farm</t>
  </si>
  <si>
    <t>Göritz Risen solar farm</t>
  </si>
  <si>
    <t>HH-PV-Zellereinöde solar farm</t>
  </si>
  <si>
    <t>Hettstadt AT 2, 1034,28 kWp solar project</t>
  </si>
  <si>
    <t>Hettstadt Anlage 1 solar project</t>
  </si>
  <si>
    <t>Hohenthurm BA 1 solar farm</t>
  </si>
  <si>
    <t>Jens Rosnerski Solar II Königslutter solar farm</t>
  </si>
  <si>
    <t>KRA_Was_1 solar farm</t>
  </si>
  <si>
    <t>Kirchardt 1 solar farm</t>
  </si>
  <si>
    <t>Kirchardt 3 solar farm</t>
  </si>
  <si>
    <t>LH PV 2 solar farm</t>
  </si>
  <si>
    <t>LHI Green Infrastructure Solar Deutschland II GmbH &amp; Co. KG solar farm</t>
  </si>
  <si>
    <t>LUK PV II solar farm</t>
  </si>
  <si>
    <t>Neuburxdorf Teil West solar farm</t>
  </si>
  <si>
    <t>Oberempfenbach III solar farm</t>
  </si>
  <si>
    <t>Offingen I solar farm</t>
  </si>
  <si>
    <t>P34311 solar farm</t>
  </si>
  <si>
    <t>PI Burg Stargard solar project</t>
  </si>
  <si>
    <t>PV - Anlage VII solar farm</t>
  </si>
  <si>
    <t>PV 10 solar farm</t>
  </si>
  <si>
    <t>PV Anlage Schwabhausen Teil 1 solar farm</t>
  </si>
  <si>
    <t>PV Dahlia - Leisenau solar farm</t>
  </si>
  <si>
    <t>PV Freifläche III solar farm</t>
  </si>
  <si>
    <t>PV Krugsdorf 1/1 solar farm</t>
  </si>
  <si>
    <t>PV Meerane solar farm</t>
  </si>
  <si>
    <t>PV Neukalen solar farm</t>
  </si>
  <si>
    <t>PV Park Neuberg solar farm</t>
  </si>
  <si>
    <t>PV Wachenbrunn solar farm</t>
  </si>
  <si>
    <t>PV Wintersdorf Nord solar farm</t>
  </si>
  <si>
    <t>PV Wintersdorf Süd solar farm</t>
  </si>
  <si>
    <t>PV Woldegk P37725 solar project</t>
  </si>
  <si>
    <t>PV-Anlage Treben solar farm</t>
  </si>
  <si>
    <t>PV-HL-3-4032 solar farm</t>
  </si>
  <si>
    <t>PV-IG Ost solar farm</t>
  </si>
  <si>
    <t>PV-Park Dessau-Süd solar farm</t>
  </si>
  <si>
    <t>PV2015 solar project</t>
  </si>
  <si>
    <t>PVA Anklam solar farm</t>
  </si>
  <si>
    <t>PVA B B 41 solar farm</t>
  </si>
  <si>
    <t>PVA Boxberg solar farm</t>
  </si>
  <si>
    <t>PVA Ditfurt solar farm</t>
  </si>
  <si>
    <t>PVA Ermlitz 1 solar farm</t>
  </si>
  <si>
    <t>PVA Gardelegen solar farm</t>
  </si>
  <si>
    <t>PVA Glasin Fuchsberg solar farm</t>
  </si>
  <si>
    <t>PVA Görlitz 3 solar farm</t>
  </si>
  <si>
    <t>PVA Güsten solar farm</t>
  </si>
  <si>
    <t>PVA Hagenwerder II solar farm</t>
  </si>
  <si>
    <t>PVA Halberstadt solar project</t>
  </si>
  <si>
    <t>PVA Hesserode solar farm</t>
  </si>
  <si>
    <t>PVA Hohengöhren 3 solar farm</t>
  </si>
  <si>
    <t>PVA Hollsteitzer Grund solar farm</t>
  </si>
  <si>
    <t>PVA Hörselberg Hainich solar farm</t>
  </si>
  <si>
    <t>PVA Kläden solar farm</t>
  </si>
  <si>
    <t>PVA Liebersee solar farm</t>
  </si>
  <si>
    <t>PVA Nauen II solar farm</t>
  </si>
  <si>
    <t>PVA Naumburg solar farm</t>
  </si>
  <si>
    <t>PVA Neustadt Dosse 2015 solar project</t>
  </si>
  <si>
    <t>PVA Norden solar farm</t>
  </si>
  <si>
    <t>PVA Oberröblingen II solar farm</t>
  </si>
  <si>
    <t>PVA Oberseifersdorf 1 II solar farm</t>
  </si>
  <si>
    <t>PVA Reichenbach solar farm</t>
  </si>
  <si>
    <t>PVA SC THA BA2 solar project</t>
  </si>
  <si>
    <t>PVA SC THA BA3 solar project</t>
  </si>
  <si>
    <t>PVA Selb BA1 solar farm</t>
  </si>
  <si>
    <t>PVA Staßfurt solar farm</t>
  </si>
  <si>
    <t>PVA Stedebergen in Behren Lübchin Greifensolar solar farm</t>
  </si>
  <si>
    <t>PVA Stendal III solar farm</t>
  </si>
  <si>
    <t>PVA Trogen solar farm</t>
  </si>
  <si>
    <t>PVA Vahldorf II solar farm</t>
  </si>
  <si>
    <t>PVA Vetschau Mitte solar farm</t>
  </si>
  <si>
    <t>PVA Walkenried I solar farm</t>
  </si>
  <si>
    <t>PVA Weferlingen solar farm</t>
  </si>
  <si>
    <t>PVA Weira solar farm</t>
  </si>
  <si>
    <t>PVA Werneuchen 3 solar farm</t>
  </si>
  <si>
    <t>PVA Woggersin solar farm</t>
  </si>
  <si>
    <t>PVWA (W2) I solar farm</t>
  </si>
  <si>
    <t>PVWA (W2) II solar farm</t>
  </si>
  <si>
    <t>Pfalzsolar Solarpark XIV (Woldegk) 1(2) solar farm</t>
  </si>
  <si>
    <t>Pfalzsolar Solarpark XIV (Woldegk) 2(2) solar farm</t>
  </si>
  <si>
    <t>Pfalzsolar Solarpark XV (Ribnitz) solar farm</t>
  </si>
  <si>
    <t>Photovoltaikkraftwerk Kalbsrieth solar farm</t>
  </si>
  <si>
    <t>Pritzen solar farm</t>
  </si>
  <si>
    <t>Projekt 030 14 solar project</t>
  </si>
  <si>
    <t>Projekt 032-14 solar farm</t>
  </si>
  <si>
    <t>ROB 2 solar project</t>
  </si>
  <si>
    <t>Reichenbach, Solarpark zum Sachsenwald solar project</t>
  </si>
  <si>
    <t>Reinberg solar farm</t>
  </si>
  <si>
    <t>SA Oberweiling solar farm</t>
  </si>
  <si>
    <t>SBA Morbach 1 solar farm</t>
  </si>
  <si>
    <t>SBA Werneuchen Deponie 1 solar farm</t>
  </si>
  <si>
    <t>SBA Werneuchen Deponie 2 solar farm</t>
  </si>
  <si>
    <t>SKW 23 BG solar farm</t>
  </si>
  <si>
    <t>SKW Dörverden solar farm</t>
  </si>
  <si>
    <t>SP OE1 1015,74 kWp solar project</t>
  </si>
  <si>
    <t>SP Pritzen 2005KW solar farm</t>
  </si>
  <si>
    <t>SP Vetschau Nord solar farm</t>
  </si>
  <si>
    <t>SP Wolgast solar farm</t>
  </si>
  <si>
    <t>Schlömen solar farm</t>
  </si>
  <si>
    <t>Schwarzheide II solar farm</t>
  </si>
  <si>
    <t>SeE Hettstadt Trafo3 solar farm</t>
  </si>
  <si>
    <t>Solar Park II solar farm</t>
  </si>
  <si>
    <t>Solar Roßleben GmbH &amp; Co. KG solar farm</t>
  </si>
  <si>
    <t>Solaranlage Lynow solar farm</t>
  </si>
  <si>
    <t>Solarkraftwerk Kröv solar farm</t>
  </si>
  <si>
    <t>Solarpark Arendsee solar farm</t>
  </si>
  <si>
    <t>Solarpark Bellersdorf solar farm</t>
  </si>
  <si>
    <t>Solarpark Butzbach GmbH &amp; Co. KG II solar farm</t>
  </si>
  <si>
    <t>Solarpark Cossen solar farm</t>
  </si>
  <si>
    <t>Solarpark Denkendorf solar farm</t>
  </si>
  <si>
    <t>Solarpark Deponie Kröv solar farm</t>
  </si>
  <si>
    <t>Solarpark Friedland III solar farm</t>
  </si>
  <si>
    <t>Solarpark Fronlach solar farm</t>
  </si>
  <si>
    <t>Solarpark Greifenstein solar farm</t>
  </si>
  <si>
    <t>Solarpark Hachenburg solar farm</t>
  </si>
  <si>
    <t>Solarpark Hohenfels2 solar farm</t>
  </si>
  <si>
    <t>Solarpark Klein Rheide solar farm</t>
  </si>
  <si>
    <t>Solarpark Krempendorf II solar farm</t>
  </si>
  <si>
    <t>Solarpark Körbelitz solar farm</t>
  </si>
  <si>
    <t>Solarpark Lauterbach solar farm</t>
  </si>
  <si>
    <t>6,2</t>
  </si>
  <si>
    <t>Solarpark Lutstrut solar farm</t>
  </si>
  <si>
    <t>Solarpark Lüdershagen solar farm</t>
  </si>
  <si>
    <t>Solarpark Mahlwinkel solar farm</t>
  </si>
  <si>
    <t>Solarpark Marktheidenfeld GmbH &amp; Co. KG solar farm</t>
  </si>
  <si>
    <t>Solarpark Marktheidenfeld Süd GmbH &amp; Co. KG solar farm</t>
  </si>
  <si>
    <t>Solarpark Mönchberg GmbH &amp; Co. KG solar farm</t>
  </si>
  <si>
    <t>Solarpark Neverin solar farm</t>
  </si>
  <si>
    <t>Solarpark Obergambach solar farm</t>
  </si>
  <si>
    <t>Solarpark Oelde - 2015 solar farm</t>
  </si>
  <si>
    <t>Solarpark Plessa III solar farm</t>
  </si>
  <si>
    <t>Solarpark Plütscheid solar farm</t>
  </si>
  <si>
    <t>Solarpark Schöllkrippen GmbH &amp; Co. KG solar farm</t>
  </si>
  <si>
    <t>Solarpark Schönefeld solar farm</t>
  </si>
  <si>
    <t>Solarpark Stockhausen solar farm</t>
  </si>
  <si>
    <t>Solarpark Vetschau-Süd solar farm</t>
  </si>
  <si>
    <t>Solarpark Wasserleben solar farm</t>
  </si>
  <si>
    <t>Solarpark Wellesweiler solar farm</t>
  </si>
  <si>
    <t>Solpark Aosta solar farm</t>
  </si>
  <si>
    <t>Techentin solar project</t>
  </si>
  <si>
    <t>Wanzleben solar farm</t>
  </si>
  <si>
    <t>Waschow solar farm</t>
  </si>
  <si>
    <t>Weikersheim solar farm</t>
  </si>
  <si>
    <t>Wernersreuth solar farm</t>
  </si>
  <si>
    <t>Wipperoda solar farm</t>
  </si>
  <si>
    <t>Wolfen 1 solar farm</t>
  </si>
  <si>
    <t>Zörbig I solar farm</t>
  </si>
  <si>
    <t>ges Eiche 2.0 solar farm</t>
  </si>
  <si>
    <t>ValBR solar farm</t>
  </si>
  <si>
    <t>ValBR solar project</t>
  </si>
  <si>
    <t>006-Wartenburg solar farm</t>
  </si>
  <si>
    <t>16112 SP Stapelburg solar farm</t>
  </si>
  <si>
    <t>16116 Solarpark Donauwörth solar farm</t>
  </si>
  <si>
    <t>16157 SP Freienhufen - Deponie solar farm</t>
  </si>
  <si>
    <t>9007 Solarpark Rickelshausen BA VI solar farm</t>
  </si>
  <si>
    <t>ABR939298673941 solar farm</t>
  </si>
  <si>
    <t>Anlage_Geb.31 solar farm</t>
  </si>
  <si>
    <t>Aufdachanlage Echnaton solar project</t>
  </si>
  <si>
    <t>BEE Schiersfeld GmbH &amp; Co. KG solar farm</t>
  </si>
  <si>
    <t>BUC solar farm</t>
  </si>
  <si>
    <t>Bad Salzungen Deponie 2 solar farm</t>
  </si>
  <si>
    <t>Ballenstedt II solar farm</t>
  </si>
  <si>
    <t>Barth III solar farm</t>
  </si>
  <si>
    <t>Bilzingsleben solar farm</t>
  </si>
  <si>
    <t>Brandensteinsebene, Coburg, PV CEB solar farm</t>
  </si>
  <si>
    <t>Brandholz Freifläche solar farm</t>
  </si>
  <si>
    <t>Consilium Solardach Bad Kreuznach solar farm</t>
  </si>
  <si>
    <t>Consilium Solardach Hallstadt solar farm</t>
  </si>
  <si>
    <t>Consilium Solardach Kirkel solar farm</t>
  </si>
  <si>
    <t>Consilium Solardach Müncheberg solar farm</t>
  </si>
  <si>
    <t>Consilium Solardach Rietz solar farm</t>
  </si>
  <si>
    <t>Consilium Solardach Wormsdorf solar farm</t>
  </si>
  <si>
    <t>Deponie Glaubitz solar farm</t>
  </si>
  <si>
    <t>Deponie Pö solar farm</t>
  </si>
  <si>
    <t>EA-1206176 solar farm</t>
  </si>
  <si>
    <t>ECO solar farm</t>
  </si>
  <si>
    <t>ENTEGRO Solarpark Grevel solar farm</t>
  </si>
  <si>
    <t>Egeln solar farm</t>
  </si>
  <si>
    <t>EhP II solar farm</t>
  </si>
  <si>
    <t>Einspeisung 1 Anklam UG solar farm</t>
  </si>
  <si>
    <t>Einspeisung 2 Anklam UG solar farm</t>
  </si>
  <si>
    <t>Evd Solarpark Gohr Anlage I solar farm</t>
  </si>
  <si>
    <t>Fahrenholz solar farm</t>
  </si>
  <si>
    <t>Falkensee Deponie solar farm</t>
  </si>
  <si>
    <t>Freifläche 2,4MW solar farm</t>
  </si>
  <si>
    <t>Fürstenwalde Nord (IV) solar farm</t>
  </si>
  <si>
    <t>Fürstenwalde Süd (V) solar farm</t>
  </si>
  <si>
    <t>Goldberg I solar farm</t>
  </si>
  <si>
    <t>Grassau solar farm</t>
  </si>
  <si>
    <t>Groß Behnitz 1 solar farm</t>
  </si>
  <si>
    <t>Großenhain II solar farm</t>
  </si>
  <si>
    <t>Hangelsberg solar farm</t>
  </si>
  <si>
    <t>Hellsiek 2 solar farm</t>
  </si>
  <si>
    <t>Hellsiek_I solar farm</t>
  </si>
  <si>
    <t>Hennickendorf 1 solar farm</t>
  </si>
  <si>
    <t>Hochfeld solar farm</t>
  </si>
  <si>
    <t>Hohe Warte solar project</t>
  </si>
  <si>
    <t>Hoyerwerda Nordkomplex solar farm</t>
  </si>
  <si>
    <t>Hoyerwerda Südkomplex solar farm</t>
  </si>
  <si>
    <t>Hörsel solar farm</t>
  </si>
  <si>
    <t>Kodersdorf solar farm</t>
  </si>
  <si>
    <t>Krakow am See solar farm</t>
  </si>
  <si>
    <t>Langengrassau solar farm</t>
  </si>
  <si>
    <t>Leipzig solar farm</t>
  </si>
  <si>
    <t>Lintig solar farm</t>
  </si>
  <si>
    <t>Ludwigsfelde I solar project</t>
  </si>
  <si>
    <t>Lö IV Erweiterung solar farm</t>
  </si>
  <si>
    <t>MES Solar XV GmbH &amp; Co.KG solar farm</t>
  </si>
  <si>
    <t>Mando 38 - PVA Vahldorf solar farm</t>
  </si>
  <si>
    <t>Mando 40 - PVA Bellingen solar farm</t>
  </si>
  <si>
    <t>Mando 50 - PVA Topfstedt (Freifläche) solar farm</t>
  </si>
  <si>
    <t>Mando 54 - PVA Wiesenau 2. BA solar farm</t>
  </si>
  <si>
    <t>Mando 62 - PVA Löcknitz 2. BA solar farm</t>
  </si>
  <si>
    <t>Mando 62 PVA Weichensdorf 1. BA solar project</t>
  </si>
  <si>
    <t>Mühlenbeck Deponie solar farm</t>
  </si>
  <si>
    <t>Nauen solar farm</t>
  </si>
  <si>
    <t>Niedertrebra solar farm</t>
  </si>
  <si>
    <t>Oberwellenborn solar farm</t>
  </si>
  <si>
    <t>Obhausen solar farm</t>
  </si>
  <si>
    <t>P12345 solar farm</t>
  </si>
  <si>
    <t>P16312 solar farm</t>
  </si>
  <si>
    <t>PV - Anlage IX solar farm</t>
  </si>
  <si>
    <t>PV - Anlage VIII solar farm</t>
  </si>
  <si>
    <t>PV 1 II solar farm</t>
  </si>
  <si>
    <t>PV 11 solar farm</t>
  </si>
  <si>
    <t>PV Anlage Deponie Hellssiek III solar project</t>
  </si>
  <si>
    <t>PV Anlage Impuls Küchen GmbH solar farm</t>
  </si>
  <si>
    <t>PV Anlage Pulheim 2 solar farm</t>
  </si>
  <si>
    <t>PV Brekendorf 3 solar farm</t>
  </si>
  <si>
    <t>PV Frankenthal solar farm</t>
  </si>
  <si>
    <t>PV Freiflächenanlage Körbelitz solar farm</t>
  </si>
  <si>
    <t>PV Hahn BA-I (2) Bärenbach/Lautzenhausen solar farm</t>
  </si>
  <si>
    <t>PV Hahn BA-I Bärenbach/Lautzenhausen solar farm</t>
  </si>
  <si>
    <t>PV Herzberg II solar farm</t>
  </si>
  <si>
    <t>PV Kenzingen solar farm</t>
  </si>
  <si>
    <t>PV Klausa Freiland solar farm</t>
  </si>
  <si>
    <t>PV Kohlenmischhalle Dinslaken Lohberg solar farm</t>
  </si>
  <si>
    <t>PV Leipzig DEPV009 solar farm</t>
  </si>
  <si>
    <t>PV Meyenburg solar farm</t>
  </si>
  <si>
    <t>PV Munitionsdepot Waltersweier solar project</t>
  </si>
  <si>
    <t>PV Neubrandenburg solar farm</t>
  </si>
  <si>
    <t>PV Possenhain solar farm</t>
  </si>
  <si>
    <t>PV Pulheim solar project</t>
  </si>
  <si>
    <t>PV-Anlage Delmenhorst solar farm</t>
  </si>
  <si>
    <t>PV-Anlage Deponie Hellssiek IV solar farm</t>
  </si>
  <si>
    <t>PV-Anlage Elst Dep Sue solar farm</t>
  </si>
  <si>
    <t>PV-Anlage H8 solar farm</t>
  </si>
  <si>
    <t>PV-Anlage III solar farm</t>
  </si>
  <si>
    <t>PV-Burg solar farm</t>
  </si>
  <si>
    <t>PV-Dachanlage Rössuln solar farm</t>
  </si>
  <si>
    <t>PV-Lina BA2 2016 solar farm</t>
  </si>
  <si>
    <t>PVA Allerstedt solar farm</t>
  </si>
  <si>
    <t>PVA Andisleben solar farm</t>
  </si>
  <si>
    <t>PVA Augsdorf solar farm</t>
  </si>
  <si>
    <t>PVA Battin solar farm</t>
  </si>
  <si>
    <t>PVA Belgern I solar farm</t>
  </si>
  <si>
    <t>PVA Berg solar farm</t>
  </si>
  <si>
    <t>PVA Bernburg 2 solar farm</t>
  </si>
  <si>
    <t>PVA Beuna solar farm</t>
  </si>
  <si>
    <t>PVA Bienstädt 1 solar farm</t>
  </si>
  <si>
    <t>PVA Bienstädt 2 solar farm</t>
  </si>
  <si>
    <t>PVA Billroda solar farm</t>
  </si>
  <si>
    <t>PVA Bobritzsch solar farm</t>
  </si>
  <si>
    <t>PVA Bremsdorf solar farm</t>
  </si>
  <si>
    <t>PVA Brüsewitz solar farm</t>
  </si>
  <si>
    <t>PVA Cahnsdorf 1 solar farm</t>
  </si>
  <si>
    <t>PVA Cahnsdorf 2 solar farm</t>
  </si>
  <si>
    <t>PVA Dohna II solar farm</t>
  </si>
  <si>
    <t>PVA Döllnitz solar farm</t>
  </si>
  <si>
    <t>PVA Eberswalde solar farm</t>
  </si>
  <si>
    <t>PVA Edersleben Am Pfarrberg solar farm</t>
  </si>
  <si>
    <t>PVA Gattendorf 2 solar farm</t>
  </si>
  <si>
    <t>PVA Gebstedt solar farm</t>
  </si>
  <si>
    <t>PVA Gehren BA1 solar farm</t>
  </si>
  <si>
    <t>PVA Glücksburg solar farm</t>
  </si>
  <si>
    <t>PVA Goltewitz II solar farm</t>
  </si>
  <si>
    <t>PVA Grabow solar farm</t>
  </si>
  <si>
    <t>PVA Groß Roge solar farm</t>
  </si>
  <si>
    <t>PVA Großörner solar farm</t>
  </si>
  <si>
    <t>PVA Guben Nord solar farm</t>
  </si>
  <si>
    <t>PVA Hermsdorf solar farm</t>
  </si>
  <si>
    <t>PVA Hettstedt solar farm</t>
  </si>
  <si>
    <t>PVA Hohenfels solar farm</t>
  </si>
  <si>
    <t>PVA Irsingen solar farm</t>
  </si>
  <si>
    <t>PVA Kahlwinkel solar farm</t>
  </si>
  <si>
    <t>PVA Keula solar farm</t>
  </si>
  <si>
    <t>PVA Kröchlendorff solar farm</t>
  </si>
  <si>
    <t>PVA Kummerow II solar farm</t>
  </si>
  <si>
    <t>PVA Lupburg Dettenhofen solar farm</t>
  </si>
  <si>
    <t>PVA Lupburg Hüttberg solar farm</t>
  </si>
  <si>
    <t>PVA Lübben solar farm</t>
  </si>
  <si>
    <t>PVA Malliß solar farm</t>
  </si>
  <si>
    <t>PVA Malsch II solar farm</t>
  </si>
  <si>
    <t>PVA Mittersberg M1 solar farm</t>
  </si>
  <si>
    <t>PVA Nemsdorf 2 solar farm</t>
  </si>
  <si>
    <t>PVA Neppermin 2016 solar farm</t>
  </si>
  <si>
    <t>PVA Peickwitz solar farm</t>
  </si>
  <si>
    <t>PVA Prießen II solar farm</t>
  </si>
  <si>
    <t>PVA Ramelow 1 solar farm</t>
  </si>
  <si>
    <t>PVA Regis Breitingen solar farm</t>
  </si>
  <si>
    <t>PVA Salzwedel Chüden Erweiterung solar farm</t>
  </si>
  <si>
    <t>PVA Salzwedel Chüden solar farm</t>
  </si>
  <si>
    <t>PVA Salzwedel Fuchsberg 1 solar farm</t>
  </si>
  <si>
    <t>PVA Sangerhausen solar farm</t>
  </si>
  <si>
    <t>PVA Tauhardt solar farm</t>
  </si>
  <si>
    <t>PVA Thalbach Wang solar farm</t>
  </si>
  <si>
    <t>PVA Werneuchen Deponie solar farm</t>
  </si>
  <si>
    <t>PVA Wieglitz solar farm</t>
  </si>
  <si>
    <t>PVA Wittchendorf solar farm</t>
  </si>
  <si>
    <t>PVA Zeithain BA1 solar farm</t>
  </si>
  <si>
    <t>PVA Zimmritz solar farm</t>
  </si>
  <si>
    <t>PVA-Abtsbessingen solar farm</t>
  </si>
  <si>
    <t>PV_HoP_PVA Freiland solar farm</t>
  </si>
  <si>
    <t>Radeberg solar farm</t>
  </si>
  <si>
    <t>Rastow solar farm</t>
  </si>
  <si>
    <t>Regis solar farm</t>
  </si>
  <si>
    <t>Reimershagen solar farm</t>
  </si>
  <si>
    <t>Roßleben solar farm</t>
  </si>
  <si>
    <t>SBA Altenburg solar farm</t>
  </si>
  <si>
    <t>SKW Holzweißig BA1 solar farm</t>
  </si>
  <si>
    <t>SKW Klüsserath solar farm</t>
  </si>
  <si>
    <t>SP Boock solar farm</t>
  </si>
  <si>
    <t>SP Flechtdorf 1 solar farm</t>
  </si>
  <si>
    <t>SP Greifenhain 1 solar farm</t>
  </si>
  <si>
    <t>SP Greifenhain 2 solar farm</t>
  </si>
  <si>
    <t>SP Kiesgrube Untermepfenbach solar farm</t>
  </si>
  <si>
    <t>SP Kutenholz GmbH &amp; Co KG solar farm</t>
  </si>
  <si>
    <t>SP Möhnesee II solar farm</t>
  </si>
  <si>
    <t>SP Neuwied solar farm</t>
  </si>
  <si>
    <t>SP Rathenow I solar farm</t>
  </si>
  <si>
    <t>SP Rathenow II solar farm</t>
  </si>
  <si>
    <t>SP Wagenfeld solar farm</t>
  </si>
  <si>
    <t>SP Woltorf solar farm</t>
  </si>
  <si>
    <t>Schipkau solar farm</t>
  </si>
  <si>
    <t>Schuon Solarpark Nord GmbH solar farm</t>
  </si>
  <si>
    <t>Seelow Deponie solar farm</t>
  </si>
  <si>
    <t>Sesslach (FFAV) solar farm</t>
  </si>
  <si>
    <t>Sesslach solar farm</t>
  </si>
  <si>
    <t>Solar Carports Airport solar farm</t>
  </si>
  <si>
    <t>Solar Draschwitz GmbH &amp; Co. KG solar farm</t>
  </si>
  <si>
    <t>Solarkraftwerk Niersbach solar farm</t>
  </si>
  <si>
    <t>Solarpark Arnstedt solar farm</t>
  </si>
  <si>
    <t>Solarpark Bruchköbel solar farm</t>
  </si>
  <si>
    <t>Solarpark Deusenberg solar farm</t>
  </si>
  <si>
    <t>Solarpark Edersleben An der B86 solar farm</t>
  </si>
  <si>
    <t>Solarpark Fahlhorst solar farm</t>
  </si>
  <si>
    <t>Solarpark Freienhufen-Süd solar farm</t>
  </si>
  <si>
    <t>Solarpark Jerchel solar farm</t>
  </si>
  <si>
    <t>Solarpark MSP 2_1 GmbH &amp; Co. KG solar farm</t>
  </si>
  <si>
    <t>Solarpark Nadrensee solar farm</t>
  </si>
  <si>
    <t>Solarpark Reichenberg GmbH &amp; Co. KG solar farm</t>
  </si>
  <si>
    <t>Solarpark Schafflund solar farm</t>
  </si>
  <si>
    <t>Solarpark Siershahn I solar farm</t>
  </si>
  <si>
    <t>Solarpark Siershahn II solar farm</t>
  </si>
  <si>
    <t>Solarpark Siershahn III solar farm</t>
  </si>
  <si>
    <t>Solarpark Silbersee solar farm</t>
  </si>
  <si>
    <t>Solarpark am Rhein bei Herten/Rheinfelden solar farm</t>
  </si>
  <si>
    <t>Solpark Tango (Saltlake) solar farm</t>
  </si>
  <si>
    <t>Timmenrode solar farm</t>
  </si>
  <si>
    <t>Uchtdorf solar farm</t>
  </si>
  <si>
    <t>VPG Bobenheim-Roxheim solar farm</t>
  </si>
  <si>
    <t>Volleinspeisung Mamming EG I 1.200,80 kWp solar project</t>
  </si>
  <si>
    <t>Vollmer-Solar2016 solar farm</t>
  </si>
  <si>
    <t>Waltershausen solar farm</t>
  </si>
  <si>
    <t>Walzbachtal Opterra solar farm</t>
  </si>
  <si>
    <t>Wegeleben solar farm</t>
  </si>
  <si>
    <t>Weißer Weg solar farm</t>
  </si>
  <si>
    <t>Wriezen solar farm</t>
  </si>
  <si>
    <t>Zörbig II solar farm</t>
  </si>
  <si>
    <t>spremberg solar project</t>
  </si>
  <si>
    <t>050-3-Bantikow 3 solar farm</t>
  </si>
  <si>
    <t>056-2-Ingolstadt (Ausschreibung) solar farm</t>
  </si>
  <si>
    <t>17125 SP Niederreith Teil B1 solar farm</t>
  </si>
  <si>
    <t>17125 SP Niederreith Teil B2 solar farm</t>
  </si>
  <si>
    <t>17125 SP Niederreith Teil C.2 solar farm</t>
  </si>
  <si>
    <t>DE41.002 Solarpark Bliesdorf T1 solar farm</t>
  </si>
  <si>
    <t>DE41.002 Solarpark Bliesdorf T2 solar farm</t>
  </si>
  <si>
    <t>DE41.003 Solarpark Metzdorf I solar farm</t>
  </si>
  <si>
    <t>DE41.003 Solarpark Metzdorf II solar farm</t>
  </si>
  <si>
    <t>DE41.004 Solarpark Kunersdorf solar farm</t>
  </si>
  <si>
    <t>DE41.005 Solarpark Möglin solar farm</t>
  </si>
  <si>
    <t>Düssin solar farm</t>
  </si>
  <si>
    <t>FFA Werneuchen solar farm</t>
  </si>
  <si>
    <t>Freiflächenanlage Birkig solar farm</t>
  </si>
  <si>
    <t>Freiflächenanlage Küps solar farm</t>
  </si>
  <si>
    <t>Fürstenwalde 2 solar farm</t>
  </si>
  <si>
    <t>Fürstenwalde 3 solar farm</t>
  </si>
  <si>
    <t>Grabowhöfe solar farm</t>
  </si>
  <si>
    <t>Großfurra solar farm</t>
  </si>
  <si>
    <t>Hallertauer Handelshaus GmbH Feld E10a solar farm</t>
  </si>
  <si>
    <t>Hassel, BA Ib solar farm</t>
  </si>
  <si>
    <t>Melkof solar farm</t>
  </si>
  <si>
    <t>PV 1 Berghülen solar farm</t>
  </si>
  <si>
    <t>PV 13 solar farm</t>
  </si>
  <si>
    <t>PV 6/2017 solar farm</t>
  </si>
  <si>
    <t>PV Butz BA2 solar farm</t>
  </si>
  <si>
    <t>PV Hahn BA II Bärenbach/Lautzenhausen solar project</t>
  </si>
  <si>
    <t>PV Kemating 1 solar farm</t>
  </si>
  <si>
    <t>PV Wermutshausen solar farm</t>
  </si>
  <si>
    <t>PV Wonfurt II solar farm</t>
  </si>
  <si>
    <t>PV Zwiefaltendorf solar farm</t>
  </si>
  <si>
    <t>PV-Anlage Aislingen solar farm</t>
  </si>
  <si>
    <t>PV-Anlage Frauendorf solar farm</t>
  </si>
  <si>
    <t>PV-Anlage IV solar farm</t>
  </si>
  <si>
    <t>PV-Anlage Kahsel solar farm</t>
  </si>
  <si>
    <t>PV-Anlage Sergen I solar farm</t>
  </si>
  <si>
    <t>PV-FFAV-Marburg-Gisselberg solar farm</t>
  </si>
  <si>
    <t>PV-Freifläche Kastl-Unterbruck solar farm</t>
  </si>
  <si>
    <t>PV2 Eggesin solar farm</t>
  </si>
  <si>
    <t>PVA Alsleben 1.BA solar farm</t>
  </si>
  <si>
    <t>PVA Alt Daber 2 solar farm</t>
  </si>
  <si>
    <t>PVA BT310 solar farm</t>
  </si>
  <si>
    <t>PVA Bickendorf solar farm</t>
  </si>
  <si>
    <t>PVA Bresewitz solar farm</t>
  </si>
  <si>
    <t>7,5</t>
  </si>
  <si>
    <t>PVA Bubenreuth BA1 solar farm</t>
  </si>
  <si>
    <t>PVA Cammin solar farm</t>
  </si>
  <si>
    <t>PVA Drochtersen solar farm</t>
  </si>
  <si>
    <t>PVA Ferchland solar farm</t>
  </si>
  <si>
    <t>PVA Groß Bölkow solar farm</t>
  </si>
  <si>
    <t>PVA Hohenmin solar farm</t>
  </si>
  <si>
    <t>PVA Jocksdorf I solar farm</t>
  </si>
  <si>
    <t>PVA Landsberg BA 2 solar farm</t>
  </si>
  <si>
    <t>PVA Landsberg BA 3 solar farm</t>
  </si>
  <si>
    <t>PVA Lausitzring solar farm</t>
  </si>
  <si>
    <t>PVA Offensen Nord solar farm</t>
  </si>
  <si>
    <t>PVA Ramelow BA 2 solar farm</t>
  </si>
  <si>
    <t>PVA Rückweiler solar farm</t>
  </si>
  <si>
    <t>PVA Schipkau II solar farm</t>
  </si>
  <si>
    <t>PVA Schwabstadl 3 solar farm</t>
  </si>
  <si>
    <t>PVA Schönbek solar farm</t>
  </si>
  <si>
    <t>PVA Silmersdorf solar farm</t>
  </si>
  <si>
    <t>PVA Tuningen - Solarpark solar farm</t>
  </si>
  <si>
    <t>PVA Weiskirchen solar farm</t>
  </si>
  <si>
    <t>PVA Wiesenburg solar farm</t>
  </si>
  <si>
    <t>PVA Zeithain II solar farm</t>
  </si>
  <si>
    <t>PVTS (W3) solar farm</t>
  </si>
  <si>
    <t>SKW Laubusch BA3 solar farm</t>
  </si>
  <si>
    <t>SP Bomlitz solar farm</t>
  </si>
  <si>
    <t>SP Donauwörth FF1 solar farm</t>
  </si>
  <si>
    <t>SP Donauwörth FF2 solar farm</t>
  </si>
  <si>
    <t>SP Projekt NeuenB solar farm</t>
  </si>
  <si>
    <t>SP Salmtal B2 solar farm</t>
  </si>
  <si>
    <t>SP Salmtal R2 solar farm</t>
  </si>
  <si>
    <t>Solarpark Angermünde solar farm</t>
  </si>
  <si>
    <t>Solarpark Bruhrain Erweiterung 1 solar farm</t>
  </si>
  <si>
    <t>Solarpark Dahlhausen Ost BA 1 solar farm</t>
  </si>
  <si>
    <t>Solarpark Dahlhausen Ost BA 2 solar farm</t>
  </si>
  <si>
    <t>Solarpark Denkendorf Süd solar farm</t>
  </si>
  <si>
    <t>Solarpark Ebrantshausen GmbH Feld E10b solar farm</t>
  </si>
  <si>
    <t>Solarpark Euerwang I solar farm</t>
  </si>
  <si>
    <t>Solarpark Euerwang II solar farm</t>
  </si>
  <si>
    <t>Solarpark Fronberg BA 1 solar farm</t>
  </si>
  <si>
    <t>Solarpark Gasseltshausen Feld G6b solar farm</t>
  </si>
  <si>
    <t>Solarpark Gasseltshausen GmbH Feld G5b solar farm</t>
  </si>
  <si>
    <t>Solarpark Gasseltshausen GmbH Feld G5c solar farm</t>
  </si>
  <si>
    <t>Solarpark Großhöbing solar farm</t>
  </si>
  <si>
    <t>Solarpark Haupersweiler 'Alter Bahnhof 2' solar farm</t>
  </si>
  <si>
    <t>Solarpark Haupersweiler 2 solar farm</t>
  </si>
  <si>
    <t>Solarpark Jessnitz Teil 1 solar farm</t>
  </si>
  <si>
    <t>Solarpark Krempendorf III (Bassenheim) solar farm</t>
  </si>
  <si>
    <t>Solarpark Krempendorf III (Enkenbach) solar farm</t>
  </si>
  <si>
    <t>Solarpark Letzlingen I solar farm</t>
  </si>
  <si>
    <t>Solarpark MSP1 GmbH &amp; Co. KG solar farm</t>
  </si>
  <si>
    <t>Solarpark Sontheim solar farm</t>
  </si>
  <si>
    <t>Solarpark Tutow solar farm</t>
  </si>
  <si>
    <t>Solarpark Untermässing solar farm</t>
  </si>
  <si>
    <t>Solarpark Waldbrunn West 1 GmbH &amp; Co. KG solar farm</t>
  </si>
  <si>
    <t>Tangerhütte I solar farm</t>
  </si>
  <si>
    <t>18106 SP Kreypau Teil A solar farm</t>
  </si>
  <si>
    <t>18107 SP Nienhagen Teil A solar farm</t>
  </si>
  <si>
    <t>18110 SP Lauchhammer West 2018-AT2 solar farm</t>
  </si>
  <si>
    <t>18121 SP Oberviecht A solar farm</t>
  </si>
  <si>
    <t>18121 SP Oberviecht B solar farm</t>
  </si>
  <si>
    <t>18121 SP Oberviecht C solar farm</t>
  </si>
  <si>
    <t>18123 SP Gammelsdorf AT-A solar farm</t>
  </si>
  <si>
    <t>18123 SP Gammelsdorf AT-B solar farm</t>
  </si>
  <si>
    <t>2 MW 2 solar project</t>
  </si>
  <si>
    <t>Aich solar farm</t>
  </si>
  <si>
    <t>Altofing solar farm</t>
  </si>
  <si>
    <t>Bitterfeld II solar farm</t>
  </si>
  <si>
    <t>Bollingstedt 1.2 solar farm</t>
  </si>
  <si>
    <t>Cahnsdorf BA2A solar project</t>
  </si>
  <si>
    <t>DE49.001 Vetschau BA 2 solar farm</t>
  </si>
  <si>
    <t>DE49.002 Kunersdorf 2 BA II solar farm</t>
  </si>
  <si>
    <t>DE49.003 Frankenfelde BA II solar farm</t>
  </si>
  <si>
    <t>DÜR I - 1 solar farm</t>
  </si>
  <si>
    <t>DÜR I - 2 solar farm</t>
  </si>
  <si>
    <t>Einheit PVA Marnitz - Anlagenteil S.-B. solar farm</t>
  </si>
  <si>
    <t>Energiepark Wolpertshausen FFA solar farm</t>
  </si>
  <si>
    <t>Felde 1.2 solar farm</t>
  </si>
  <si>
    <t>Feuchtwangen solar farm</t>
  </si>
  <si>
    <t>Hassel, BAII solar farm</t>
  </si>
  <si>
    <t>Hohenfels Effenricht solar farm</t>
  </si>
  <si>
    <t>Hohenfels Fichten solar farm</t>
  </si>
  <si>
    <t>Hohenkirchen 1.1 solar farm</t>
  </si>
  <si>
    <t>Hohenkirchen 1.3 solar farm</t>
  </si>
  <si>
    <t>Lürschau 1.2 solar farm</t>
  </si>
  <si>
    <t>Lüttow Valluhn 2 solar farm</t>
  </si>
  <si>
    <t>Milmesberg (FFAV) solar farm</t>
  </si>
  <si>
    <t>Niederbergkirchen - Aiching solar farm</t>
  </si>
  <si>
    <t>Niederbergkirchen - Stützing solar farm</t>
  </si>
  <si>
    <t>Nohra 2 solar farm</t>
  </si>
  <si>
    <t>Oberrimbach 1.233,375 kWp solar project</t>
  </si>
  <si>
    <t>PV Aichen solar farm</t>
  </si>
  <si>
    <t>PV Aidhausen solar farm</t>
  </si>
  <si>
    <t>PV Bonnhof Ost solar farm</t>
  </si>
  <si>
    <t>PV Dieburg BA II solar farm</t>
  </si>
  <si>
    <t>PV Ingoldingen b solar farm</t>
  </si>
  <si>
    <t>PV Messehalle 12 MF solar farm</t>
  </si>
  <si>
    <t>PV Poxdorf solar farm</t>
  </si>
  <si>
    <t>PV Rietzneuendorf solar farm</t>
  </si>
  <si>
    <t>PV Torgau 2 solar farm</t>
  </si>
  <si>
    <t>PV Torgau 4 solar farm</t>
  </si>
  <si>
    <t>PV-Anlage Gablenz solar farm</t>
  </si>
  <si>
    <t>PV-Anlage Laubsdorf 1.BA I solar farm</t>
  </si>
  <si>
    <t>PV-Anlage Sergen II solar farm</t>
  </si>
  <si>
    <t>PV-Anlage Sergen III solar farm</t>
  </si>
  <si>
    <t>PV-Park Allendorf solar farm</t>
  </si>
  <si>
    <t>PVA 2- Müssentin solar farm</t>
  </si>
  <si>
    <t>PVA 2_ Löffingen solar farm</t>
  </si>
  <si>
    <t>PVA Alt Daber 1 Bauliche Anlage solar farm</t>
  </si>
  <si>
    <t>PVA Blankensee 2 solar farm</t>
  </si>
  <si>
    <t>PVA Cahnsdorf 3 solar farm</t>
  </si>
  <si>
    <t>PVA Cahnsdorf BA2B solar farm</t>
  </si>
  <si>
    <t>PVA Demsin 2 solar project</t>
  </si>
  <si>
    <t>PVA Drechow 1 solar farm</t>
  </si>
  <si>
    <t>PVA Ellerdorf ESI 110 solar farm</t>
  </si>
  <si>
    <t>PVA Emkendorf solar farm</t>
  </si>
  <si>
    <t>PVA Ermlitz Ost solar farm</t>
  </si>
  <si>
    <t>PVA Eschenlohe II solar farm</t>
  </si>
  <si>
    <t>PVA Fincken solar farm</t>
  </si>
  <si>
    <t>PVA Garzau-Garzin solar farm</t>
  </si>
  <si>
    <t>PVA Gattendorf 3.1 solar farm</t>
  </si>
  <si>
    <t>PVA Gattendorf 3.2 solar farm</t>
  </si>
  <si>
    <t>PVA Gattendorf 3.3 solar farm</t>
  </si>
  <si>
    <t>PVA Gattendorf 3.4 solar farm</t>
  </si>
  <si>
    <t>PVA Helpt 1 solar farm</t>
  </si>
  <si>
    <t>PVA Kammin solar farm</t>
  </si>
  <si>
    <t>PVA Kröchlendorff 2 solar farm</t>
  </si>
  <si>
    <t>PVA Köditz solar farm</t>
  </si>
  <si>
    <t>PVA Letschin solar farm</t>
  </si>
  <si>
    <t>PVA Marnitz - Anlagenteil S.-B. solar farm</t>
  </si>
  <si>
    <t>PVA Milkersdorf 2 solar farm</t>
  </si>
  <si>
    <t>PVA Mindorf solar farm</t>
  </si>
  <si>
    <t>PVA Mohrkirch solar farm</t>
  </si>
  <si>
    <t>PVA Oschatz 2 solar farm</t>
  </si>
  <si>
    <t>PVA Penig 2 solar farm</t>
  </si>
  <si>
    <t>PVA Prenzlau BA 1 solar farm</t>
  </si>
  <si>
    <t>PVA Ramelow BA 3 solar farm</t>
  </si>
  <si>
    <t>PVA Salzwedel 2 solar farm</t>
  </si>
  <si>
    <t>PVA Sörup solar farm</t>
  </si>
  <si>
    <t>PVA Völpke 2 solar farm</t>
  </si>
  <si>
    <t>PVA Werdau 1.2 solar farm</t>
  </si>
  <si>
    <t>PVA Wittstock 2 solar farm</t>
  </si>
  <si>
    <t>PVA Wusseken1 solar farm</t>
  </si>
  <si>
    <t>PVA Zeithain BA2 solar farm</t>
  </si>
  <si>
    <t>PVA Zeithain BA3 solar farm</t>
  </si>
  <si>
    <t>Photovoltaikanlage Neudorf-Dietenhofen solar farm</t>
  </si>
  <si>
    <t>SKW Laubusch BA4 solar farm</t>
  </si>
  <si>
    <t>Schweighausen solar farm</t>
  </si>
  <si>
    <t>Seßlach II solar farm</t>
  </si>
  <si>
    <t>Solarpark Atting 2018 solar farm</t>
  </si>
  <si>
    <t>Solarpark Binsham solar farm</t>
  </si>
  <si>
    <t>Solarpark Dahlhausen West BA 1 solar farm</t>
  </si>
  <si>
    <t>Solarpark Domsühl II 3269,50 solar project</t>
  </si>
  <si>
    <t>Solarpark Domsühl II solar farm</t>
  </si>
  <si>
    <t>Solarpark Ebrantshausen GmbH Feld E13a solar project</t>
  </si>
  <si>
    <t>Solarpark Finsterwalde I BA 2 solar farm</t>
  </si>
  <si>
    <t>Solarpark Fronberg BA 2 solar farm</t>
  </si>
  <si>
    <t>Solarpark Gardelegen - Anlagenteil 2 solar farm</t>
  </si>
  <si>
    <t>Solarpark Granheim solar farm</t>
  </si>
  <si>
    <t>Solarpark HP 2 - Am Burggut solar farm</t>
  </si>
  <si>
    <t>Solarpark Haldensleben - Teilanlage 2 solar farm</t>
  </si>
  <si>
    <t>Solarpark Jerichow BA02 solar farm</t>
  </si>
  <si>
    <t>Solarpark Klein Rheide IIb solar farm</t>
  </si>
  <si>
    <t>Solarpark Klein Rheide IIc1 solar project</t>
  </si>
  <si>
    <t>Solarpark Maulbeerwalde I solar farm</t>
  </si>
  <si>
    <t>Solarpark Rennertshofen - P12-025 solar farm</t>
  </si>
  <si>
    <t>Solarpark Schependorf IIb solar farm</t>
  </si>
  <si>
    <t>Solarpark Schutzendorf solar farm</t>
  </si>
  <si>
    <t>Solarpark Unterrottmannsdorf solar farm</t>
  </si>
  <si>
    <t>Solarpark Weinsfeld solar farm</t>
  </si>
  <si>
    <t>Solarpark Wörnitzhofen solar farm</t>
  </si>
  <si>
    <t>Trogen 1.3 solar farm</t>
  </si>
  <si>
    <t>Wiesa solar farm</t>
  </si>
  <si>
    <t>Zabakuck 2 solar farm</t>
  </si>
  <si>
    <t>Zabakuck 3 solar farm</t>
  </si>
  <si>
    <t>Zeithain BA4 solar farm</t>
  </si>
  <si>
    <t>8,4</t>
  </si>
  <si>
    <t>Zschornewitz II solar farm</t>
  </si>
  <si>
    <t>18134 SP Nordhausen B solar project</t>
  </si>
  <si>
    <t>19100 Solarpark Oberreith AT B solar farm</t>
  </si>
  <si>
    <t>19145 Solarpark Stapelburg Burgbreite Teil B solar farm</t>
  </si>
  <si>
    <t>19210 SP Schkeitbar Anlagenteil 1 (PVA1) solar farm</t>
  </si>
  <si>
    <t>Alt Daber 3 solar farm</t>
  </si>
  <si>
    <t>Alt Daber 4.2 solar farm</t>
  </si>
  <si>
    <t>Altenberg 1.1.A solar farm</t>
  </si>
  <si>
    <t>Altenberg 1.3.B solar farm</t>
  </si>
  <si>
    <t>Amatec PV 30 GmbH &amp; Co. KG solar farm</t>
  </si>
  <si>
    <t>Angersdorf 1.2.A solar project</t>
  </si>
  <si>
    <t>Angersdorf 1.3.A solar farm</t>
  </si>
  <si>
    <t>Baalberge solar farm</t>
  </si>
  <si>
    <t>Barth IV solar farm</t>
  </si>
  <si>
    <t>Barth V solar farm</t>
  </si>
  <si>
    <t>Bredenbek 1.2 solar farm</t>
  </si>
  <si>
    <t>Cahnsdorf 4 solar farm</t>
  </si>
  <si>
    <t>DE49.004 Herzhorn BA2 solar farm</t>
  </si>
  <si>
    <t>DE49.005 Wriezen BA II solar farm</t>
  </si>
  <si>
    <t>Döhlau 1.1 solar farm</t>
  </si>
  <si>
    <t>Döhlau 1.2 solar farm</t>
  </si>
  <si>
    <t>Döhlau 1.3 solar farm</t>
  </si>
  <si>
    <t>Döhlau 2.2 solar farm</t>
  </si>
  <si>
    <t>Döhlau 2.3 solar farm</t>
  </si>
  <si>
    <t>Ebern Fischbach 1.1 solar farm</t>
  </si>
  <si>
    <t>Ellingen IV solar farm</t>
  </si>
  <si>
    <t>Engerhafe 1.2 solar farm</t>
  </si>
  <si>
    <t>FF Barlt 1 solar project</t>
  </si>
  <si>
    <t>FF-Barlt 3N solar farm</t>
  </si>
  <si>
    <t>FF-Barlt 3S solar farm</t>
  </si>
  <si>
    <t>Felde 1.3 solar farm</t>
  </si>
  <si>
    <t>Ferchland 2 3 solar project</t>
  </si>
  <si>
    <t>Friesen solar farm</t>
  </si>
  <si>
    <t>Gornau 1.2 solar project</t>
  </si>
  <si>
    <t>Grotenheid solar farm</t>
  </si>
  <si>
    <t>Großörner Deponie 1.2 solar farm</t>
  </si>
  <si>
    <t>Großörner Hüttenberg 1.2 solar farm</t>
  </si>
  <si>
    <t>Heilgersdorf solar farm</t>
  </si>
  <si>
    <t>Hillersleben 2.2.A solar farm</t>
  </si>
  <si>
    <t>Hintere Halde 2 solar project</t>
  </si>
  <si>
    <t>Hochstadt Obersdorf 1 solar farm</t>
  </si>
  <si>
    <t>Hochstadt Wolfsloch solar farm</t>
  </si>
  <si>
    <t>Horstmar 1.2 solar farm</t>
  </si>
  <si>
    <t>Husby 1.2 solar farm</t>
  </si>
  <si>
    <t>KLA PV solar farm</t>
  </si>
  <si>
    <t>Kallmünz 1.1 solar farm</t>
  </si>
  <si>
    <t>Kallmünz 1.2 solar farm</t>
  </si>
  <si>
    <t>Kallmünz 1.3 solar farm</t>
  </si>
  <si>
    <t>Krogaspe 1.2 solar farm</t>
  </si>
  <si>
    <t>Kupferberg solar farm</t>
  </si>
  <si>
    <t>Lüttow Valluhn 3 solar farm</t>
  </si>
  <si>
    <t>Mansfeld Siebigröder Straße solar farm</t>
  </si>
  <si>
    <t>Mansfeld Vatteröder Straße 1.2 solar farm</t>
  </si>
  <si>
    <t>Mühbrook 1.2 solar farm</t>
  </si>
  <si>
    <t>Neustrelitz 1.2 solar farm</t>
  </si>
  <si>
    <t>Nohra 3 solar project</t>
  </si>
  <si>
    <t>Oberwesterwaldbahn Elbtal BA2 solar farm</t>
  </si>
  <si>
    <t>Osterburg (FFAV) solar farm</t>
  </si>
  <si>
    <t>PV Anlage Besucherparkplatz Rulantica solar project</t>
  </si>
  <si>
    <t>PV Cronheim solar farm</t>
  </si>
  <si>
    <t>PV Eggenfelden Freifläche Zainach solar farm</t>
  </si>
  <si>
    <t>PV Inzigkofen-Engelswies A solar farm</t>
  </si>
  <si>
    <t>PV Inzigkofen-Engelswies B solar farm</t>
  </si>
  <si>
    <t>PV Leibertingen 2 solar farm</t>
  </si>
  <si>
    <t>PV Lindendorf b solar farm</t>
  </si>
  <si>
    <t>PV Unterdietfurt solar farm</t>
  </si>
  <si>
    <t>PV-Anlage Laubsdorf 1.BA II solar farm</t>
  </si>
  <si>
    <t>PV-Anlage P51 solar farm</t>
  </si>
  <si>
    <t>PVA Fensterbach solar farm</t>
  </si>
  <si>
    <t>PVA Helbra3 Hohenthalschachtring solar farm</t>
  </si>
  <si>
    <t>PVA Krummes Moor 2 solar farm</t>
  </si>
  <si>
    <t>PVA Mehrstedt 2 solar farm</t>
  </si>
  <si>
    <t>PVA Menteroda 2 solar farm</t>
  </si>
  <si>
    <t>PVA Sengkofen 5 solar farm</t>
  </si>
  <si>
    <t>PVA Welzow III solar farm</t>
  </si>
  <si>
    <t>PVWS (W4) I solar farm</t>
  </si>
  <si>
    <t>12,8</t>
  </si>
  <si>
    <t>PVWS (W4) II solar farm</t>
  </si>
  <si>
    <t>Parsberg Eichensee 1 solar farm</t>
  </si>
  <si>
    <t>Parsberg Kühnhausen 1.1 solar farm</t>
  </si>
  <si>
    <t>Parsberg Kühnhausen 1.2 solar farm</t>
  </si>
  <si>
    <t>Pfarrweisach Herbelsdorf 1.1 solar farm</t>
  </si>
  <si>
    <t>Phönix - Petersberg 2 solar farm</t>
  </si>
  <si>
    <t>SKW LüptitzII BA3 solar farm</t>
  </si>
  <si>
    <t>SKW LüptitzII BA4 solar farm</t>
  </si>
  <si>
    <t>SP Absberg solar farm</t>
  </si>
  <si>
    <t>SP Attenhausen II solar project</t>
  </si>
  <si>
    <t>SP Pöffelkofen II solar farm</t>
  </si>
  <si>
    <t>Solarfeld Aichner 2 Vertragskonto solar farm</t>
  </si>
  <si>
    <t>Solarkraftwerk IRT II solar farm</t>
  </si>
  <si>
    <t>Solarkraftwerk Kenn II solar farm</t>
  </si>
  <si>
    <t>Solarpark Angermünde BA 2 solar farm</t>
  </si>
  <si>
    <t>Solarpark Aschersleben BAII solar farm</t>
  </si>
  <si>
    <t>Solarpark Beetzendorf Teilanlage Lopuszno 1 solar farm</t>
  </si>
  <si>
    <t>Solarpark Birkenfeld solar farm</t>
  </si>
  <si>
    <t>Solarpark Dahlhausen West BA 2b solar project</t>
  </si>
  <si>
    <t>Solarpark Dürrenried II solar farm</t>
  </si>
  <si>
    <t>Solarpark Friedmannsdorf II solar farm</t>
  </si>
  <si>
    <t>Solarpark Friedmannsdorf solar farm</t>
  </si>
  <si>
    <t>Solarpark Gut Leimershof II solar farm</t>
  </si>
  <si>
    <t>Solarpark Hafenlohr solar farm</t>
  </si>
  <si>
    <t>Solarpark Horst BA 1 solar farm</t>
  </si>
  <si>
    <t>Solarpark Jocksdorf IVb solar farm</t>
  </si>
  <si>
    <t>Solarpark Mahlwinkel IIb solar farm</t>
  </si>
  <si>
    <t>Solarpark Mörlach 2 solar farm</t>
  </si>
  <si>
    <t>Solarpark Neuburg-Steinhausen Ib solar farm</t>
  </si>
  <si>
    <t>Solarpark Neustadt Dosse IIB solar project</t>
  </si>
  <si>
    <t>Solarpark Rottenbach 2 Teilanlage solar farm</t>
  </si>
  <si>
    <t>Solarpark Sachsenried solar farm</t>
  </si>
  <si>
    <t>Solarpark Seckach solar farm</t>
  </si>
  <si>
    <t>Solarpark Seifertshofen solar farm</t>
  </si>
  <si>
    <t>Solarpark Tutow IIB solar farm</t>
  </si>
  <si>
    <t>Solarpark Uttenreuth 3 solar farm</t>
  </si>
  <si>
    <t>Solarpark Vinn (3.044) solar farm</t>
  </si>
  <si>
    <t>Solarpark Walkersbrunn P13-017 solar farm</t>
  </si>
  <si>
    <t>Solarpark Wattenbach solar farm</t>
  </si>
  <si>
    <t>Trogen 1.7 solar farm</t>
  </si>
  <si>
    <t>Velburg Hollerstetten solar farm</t>
  </si>
  <si>
    <t>Velburg Mantlach 1 solar farm</t>
  </si>
  <si>
    <t>Vetschau BA3 solar farm</t>
  </si>
  <si>
    <t>Wusseken 2 solar farm</t>
  </si>
  <si>
    <t>Wusseken 3A solar farm</t>
  </si>
  <si>
    <t>Wusseken 3B solar farm</t>
  </si>
  <si>
    <t>Zabakuck 4 solar farm</t>
  </si>
  <si>
    <t>Zeithain 6.2 solar farm</t>
  </si>
  <si>
    <t>Zeithain 6.3 solar farm</t>
  </si>
  <si>
    <t>Zeithain 6.4 solar farm</t>
  </si>
  <si>
    <t>machdasmalanders solar farm</t>
  </si>
  <si>
    <t>PV-Freiflächenanlage Kemnath-Höflas solar farm</t>
  </si>
  <si>
    <t>Solarpark Roßfeld BA 3 solar farm</t>
  </si>
  <si>
    <t>SOLAR 1 solar project</t>
  </si>
  <si>
    <t>SP Z III solar project</t>
  </si>
  <si>
    <t>049-Kersch3 solar farm</t>
  </si>
  <si>
    <t>068 Emersleben solar project</t>
  </si>
  <si>
    <t>20119 Solarpark Enhofen PVA2 solar farm</t>
  </si>
  <si>
    <t>20157 SP Mittling 2 PVA2 solar farm</t>
  </si>
  <si>
    <t>20216 SP Höflas PVA2 solar farm</t>
  </si>
  <si>
    <t>Anlage 1 III solar farm</t>
  </si>
  <si>
    <t>Anlage 1 IV solar farm</t>
  </si>
  <si>
    <t>Anlage 2 I solar farm</t>
  </si>
  <si>
    <t>Balder A01 - 9999 solar farm</t>
  </si>
  <si>
    <t>Balder A03 solar farm</t>
  </si>
  <si>
    <t>Bokel 1.2 solar farm</t>
  </si>
  <si>
    <t>Borken 1.1 solar farm</t>
  </si>
  <si>
    <t>Brücklesgasse solar farm</t>
  </si>
  <si>
    <t>Böhlendorf 1.2 solar farm</t>
  </si>
  <si>
    <t>Bürgersolar Hasloch GmbH ＆ Co. KG solar project</t>
  </si>
  <si>
    <t>Deponie Chüttlitz 3.419 solar farm</t>
  </si>
  <si>
    <t>Dornstedt 2.1 solar project</t>
  </si>
  <si>
    <t>Döhlau 3 solar farm</t>
  </si>
  <si>
    <t>EhP III solar farm</t>
  </si>
  <si>
    <t>EhP IV solar farm</t>
  </si>
  <si>
    <t>Eslarn solar farm</t>
  </si>
  <si>
    <t>Freifläche Kaibitz 1100 KWp solar project</t>
  </si>
  <si>
    <t>Freifläche Poign Sued solar farm</t>
  </si>
  <si>
    <t>Freiflächenanlage Peisinger Höhen solar farm</t>
  </si>
  <si>
    <t>Gokels 1.2 solar farm</t>
  </si>
  <si>
    <t>Groß Siemz II solar farm</t>
  </si>
  <si>
    <t>Gölzau 1.2 solar farm</t>
  </si>
  <si>
    <t>Halberstadt solar farm</t>
  </si>
  <si>
    <t>Heimberg Nordfeld solar farm</t>
  </si>
  <si>
    <t>Hilpoltstein Nord solar farm</t>
  </si>
  <si>
    <t>Hilpoltstein Süd solar farm</t>
  </si>
  <si>
    <t>Hohenfels Effenricht 2 solar farm</t>
  </si>
  <si>
    <t>Hohenfels Fichten 2 solar farm</t>
  </si>
  <si>
    <t>Horstmar 1.3 solar farm</t>
  </si>
  <si>
    <t>Im Oberen Weidig 3 Messung 2 solar farm</t>
  </si>
  <si>
    <t>Industriehalle Marklkofen solar farm</t>
  </si>
  <si>
    <t>JS Energiepark Groß Godems GmbH &amp; Co. KG I solar farm</t>
  </si>
  <si>
    <t>JS Energiepark Groß Godems GmbH &amp; Co. KG II solar farm</t>
  </si>
  <si>
    <t>Jarmen II solar farm</t>
  </si>
  <si>
    <t>Kösten (FFAV) solar farm</t>
  </si>
  <si>
    <t>LHI SolarWind Euerwang GmbH &amp; Co. KG (Erweiterung) solar farm</t>
  </si>
  <si>
    <t>Landsberg 3.2 solar farm</t>
  </si>
  <si>
    <t>Letschin 2.2 solar farm</t>
  </si>
  <si>
    <t>MFS PV solar farm</t>
  </si>
  <si>
    <t>Mercedes-Benz Werk Sindelfingen PV Anlage Bau 56 solar farm</t>
  </si>
  <si>
    <t>Oberwesterwaldbahn (Dornburg) solar farm</t>
  </si>
  <si>
    <t>PLAT solar farm</t>
  </si>
  <si>
    <t>PV Anlage Bahnlinie Regensburg Passau V 2 solar farm</t>
  </si>
  <si>
    <t>PV Anlage RM 02 1080 solar project</t>
  </si>
  <si>
    <t>PV Burhafe solar farm</t>
  </si>
  <si>
    <t>PV Dachanlage SA BOT BA2 solar project</t>
  </si>
  <si>
    <t>PV ED Ulrichstein solar farm</t>
  </si>
  <si>
    <t>PV Espich A9_I solar farm</t>
  </si>
  <si>
    <t>PV Freifläche Ortlesbrunn solar farm</t>
  </si>
  <si>
    <t>PV Freiflächenanlage Kuffing 7.983,36 kWp solar project</t>
  </si>
  <si>
    <t>PV Görike Ball solar farm</t>
  </si>
  <si>
    <t>PV Kahla solar project</t>
  </si>
  <si>
    <t>PV Maiersberg Nord solar farm</t>
  </si>
  <si>
    <t>PV Maiersberg Süd solar farm</t>
  </si>
  <si>
    <t>PV Mainbernheim II solar farm</t>
  </si>
  <si>
    <t>PV S.2 solar farm</t>
  </si>
  <si>
    <t>PV Vohenstrauß solar farm</t>
  </si>
  <si>
    <t>PV Welgesheim b (Hauptanlage) solar farm</t>
  </si>
  <si>
    <t>PV-Freifläche SHPE Nord solar farm</t>
  </si>
  <si>
    <t>PV-Freiflächenanlage BOT 2020 - BA2 solar farm</t>
  </si>
  <si>
    <t>PV-Neustadt-Glewe 3 solar farm</t>
  </si>
  <si>
    <t>PVA Altendorfer Str.94 Chemnitz III solar farm</t>
  </si>
  <si>
    <t>PVA BAD II solar farm</t>
  </si>
  <si>
    <t>PVA Dossow I solar farm</t>
  </si>
  <si>
    <t>PVA Elsnigk solar farm</t>
  </si>
  <si>
    <t>PVA FFA Emmerke Teil II solar farm</t>
  </si>
  <si>
    <t>PVA Falkenwalde solar farm</t>
  </si>
  <si>
    <t>PVA Gewerbegebiet Schachdorf Ströbeck solar farm</t>
  </si>
  <si>
    <t>PVA Hardheim Nord solar farm</t>
  </si>
  <si>
    <t>PVA Hardheim Süd solar project</t>
  </si>
  <si>
    <t>PVA Höttingen solar farm</t>
  </si>
  <si>
    <t>PVA Karstädt 1 solar farm</t>
  </si>
  <si>
    <t>PVA Kavelstorf Teil 2 solar farm</t>
  </si>
  <si>
    <t>PVA Kentzlin Teil 2 solar farm</t>
  </si>
  <si>
    <t>PVA Kotzen solar farm</t>
  </si>
  <si>
    <t>PVA Luckenau III solar farm</t>
  </si>
  <si>
    <t>PVA Lutheran solar farm</t>
  </si>
  <si>
    <t>PVA Malliß 2.BA solar farm</t>
  </si>
  <si>
    <t>PVA Menteroda 2. BA solar farm</t>
  </si>
  <si>
    <t>PVA Reppichau 1 solar farm</t>
  </si>
  <si>
    <t>PVA Reppichau 2 solar farm</t>
  </si>
  <si>
    <t>PVA Ruthen solar farm</t>
  </si>
  <si>
    <t>PVA RuthenDeponie solar farm</t>
  </si>
  <si>
    <t>PVA SP Dedendorf Teil 2 solar farm</t>
  </si>
  <si>
    <t>PVA Thedinghausen 1 solar farm</t>
  </si>
  <si>
    <t>PVA Thedinghausen 2 solar farm</t>
  </si>
  <si>
    <t>PVA Thjissen Tierzucht GmbH BA 2 solar farm</t>
  </si>
  <si>
    <t>PVA Werder 7,1 solar farm</t>
  </si>
  <si>
    <t>PVA Wilhelmshöhe Teil 2 solar farm</t>
  </si>
  <si>
    <t>PVA-Geb. 544 solar farm</t>
  </si>
  <si>
    <t>PVFF-Johanneck Ausschreibung solar farm</t>
  </si>
  <si>
    <t>PV_DIT solar farm</t>
  </si>
  <si>
    <t>PV_Ziegerlauch-I solar farm</t>
  </si>
  <si>
    <t>PV_Ziegerlauch-II solar farm</t>
  </si>
  <si>
    <t>Parkhaus VIB solar farm</t>
  </si>
  <si>
    <t>Parsberg Hörmannsdorf 1.2 solar farm</t>
  </si>
  <si>
    <t>Parsberg Hörmannsdorf 2 solar farm</t>
  </si>
  <si>
    <t>Parsberg Kühnhausen 2 solar farm</t>
  </si>
  <si>
    <t>Pentling 1.2 solar farm</t>
  </si>
  <si>
    <t>Phönix - Halle (Saale) 2 solar farm</t>
  </si>
  <si>
    <t>Ramsberg BA II, 1001,35 kWp solar project</t>
  </si>
  <si>
    <t>SCW-WN-Photovoltaik solar farm</t>
  </si>
  <si>
    <t>SKW II Behringen solar project</t>
  </si>
  <si>
    <t>SKW Krames Klausen 4 / BA 2 solar farm</t>
  </si>
  <si>
    <t>SKW Pölich solar farm</t>
  </si>
  <si>
    <t>SP Gefrees solar farm</t>
  </si>
  <si>
    <t>SP Solarprojekte 5 solar farm</t>
  </si>
  <si>
    <t>SP Solarprojekte 6 solar farm</t>
  </si>
  <si>
    <t>SP Sophienhof solar farm</t>
  </si>
  <si>
    <t>SP Steinrain Teil 2 solar farm</t>
  </si>
  <si>
    <t>SP Ulrichshof (Hauptanlage) solar farm</t>
  </si>
  <si>
    <t>SP Weiherhäuser Teil 2 solar farm</t>
  </si>
  <si>
    <t>SPR 3a solar farm</t>
  </si>
  <si>
    <t>Solaranlage Hinterste Plan II solar farm</t>
  </si>
  <si>
    <t>13,8</t>
  </si>
  <si>
    <t>Solaranlage Tambach EEG solar farm</t>
  </si>
  <si>
    <t>Solaranlage Tambach PPA solar farm</t>
  </si>
  <si>
    <t>Solaranlage Telzer Plan II solar farm</t>
  </si>
  <si>
    <t>10,8</t>
  </si>
  <si>
    <t>Solarpark Aurachtal 2 solar farm</t>
  </si>
  <si>
    <t>Solarpark Beetzendorf Teilanlage (GE032) 3 solar project</t>
  </si>
  <si>
    <t>Solarpark Beetzendorf Teilanlage 4 solar project</t>
  </si>
  <si>
    <t>Solarpark Beetzendorf Teilanlage Lopuszno 2 solar farm</t>
  </si>
  <si>
    <t>Solarpark Berching-Schweigersdorf (Wallnsdorf) solar farm</t>
  </si>
  <si>
    <t>Solarpark Bogen 1 Erw. Ausschr. solar farm</t>
  </si>
  <si>
    <t>Solarpark Bonnhof-West solar farm</t>
  </si>
  <si>
    <t>Solarpark Bornitz BA 2 solar farm</t>
  </si>
  <si>
    <t>Solarpark Brunnau solar farm</t>
  </si>
  <si>
    <t>Solarpark Brunnen IV - P17-018 solar farm</t>
  </si>
  <si>
    <t>Solarpark Burgwindheim solar farm</t>
  </si>
  <si>
    <t>Solarpark Büschelbach BA 1 solar farm</t>
  </si>
  <si>
    <t>Solarpark Dietersdorf solar farm</t>
  </si>
  <si>
    <t>Solarpark Donaueschingen-Aasen III solar farm</t>
  </si>
  <si>
    <t>Solarpark Elchingen BA 1 solar farm</t>
  </si>
  <si>
    <t>Solarpark Finsterwalde II BA 2a solar farm</t>
  </si>
  <si>
    <t>Solarpark Finsterwalde II BA 2b solar farm</t>
  </si>
  <si>
    <t>Solarpark Freirachdorf solar farm</t>
  </si>
  <si>
    <t>Solarpark Großentaft solar farm</t>
  </si>
  <si>
    <t>Solarpark Großhabersdorf solar farm</t>
  </si>
  <si>
    <t>Solarpark Gunzenhausen - P19-012 solar farm</t>
  </si>
  <si>
    <t>Solarpark Hasloch GmbH &amp; Co. KG solar farm</t>
  </si>
  <si>
    <t>Solarpark Heilsbronn-Trachenhöfstatt Nord solar farm</t>
  </si>
  <si>
    <t>Solarpark Heilsbronn-Trachenhöfstatt Süd solar farm</t>
  </si>
  <si>
    <t>Solarpark Karrenzin GmbH &amp; Co. KG solar farm</t>
  </si>
  <si>
    <t>Solarpark Karstädt 2 solar farm</t>
  </si>
  <si>
    <t>Solarpark Kipfenberg - P18-060 solar farm</t>
  </si>
  <si>
    <t>Solarpark Klein Rheide III solar farm</t>
  </si>
  <si>
    <t>Solarpark Kreina BA 2 solar farm</t>
  </si>
  <si>
    <t>Solarpark Lohne solar farm</t>
  </si>
  <si>
    <t>Solarpark Münchberg II solar farm</t>
  </si>
  <si>
    <t>Solarpark Nabburg (FFAV) solar farm</t>
  </si>
  <si>
    <t>Solarpark Neuenkirchen Ib solar farm</t>
  </si>
  <si>
    <t>Solarpark Neunburg solar farm</t>
  </si>
  <si>
    <t>Solarpark Rossow solar farm</t>
  </si>
  <si>
    <t>Solarpark Scheßlitz TA 3 solar farm</t>
  </si>
  <si>
    <t>Solarpark Schierling - P18-019 solar farm</t>
  </si>
  <si>
    <t>Solarpark Schnaittach Hedersdorf solar farm</t>
  </si>
  <si>
    <t>Solarpark Seckach I - P17-030 solar farm</t>
  </si>
  <si>
    <t>Solarpark Seinsheim Winkelhof-Nordwest solar farm</t>
  </si>
  <si>
    <t>Solarpark Stadelhofen TA 3 solar farm</t>
  </si>
  <si>
    <t>Solarpark Tating solar farm</t>
  </si>
  <si>
    <t>Solarpark Trottenreuth solar farm</t>
  </si>
  <si>
    <t>Solarpark Unterulsenbach-Wilhermsdorf solar farm</t>
  </si>
  <si>
    <t>Solarpark Veitsbronn/Bernbach solar farm</t>
  </si>
  <si>
    <t>Solarpark Weiskirchen 2 solar farm</t>
  </si>
  <si>
    <t>Solarpark in Laufach solar farm</t>
  </si>
  <si>
    <t>Solarpark Übermatzhofen BA 1 solar farm</t>
  </si>
  <si>
    <t>Solarparkanlage Kathlow 1.750 kWp solar farm</t>
  </si>
  <si>
    <t>Stedebergen 1 solar farm</t>
  </si>
  <si>
    <t>Steißlingen solar farm</t>
  </si>
  <si>
    <t>Treben 1 solar farm</t>
  </si>
  <si>
    <t>Velburg Mantlach 2 solar farm</t>
  </si>
  <si>
    <t>Werneuchen 4.2 solar farm</t>
  </si>
  <si>
    <t>Wilster 1.2 solar farm</t>
  </si>
  <si>
    <t>Zahna 8888,515 kWp ppa solar farm</t>
  </si>
  <si>
    <t>Zeithain 7 solar farm</t>
  </si>
  <si>
    <t>Wormstedt, BA 2b-d solar farm</t>
  </si>
  <si>
    <t>3W Invest GbR - Wormstedt solar project</t>
  </si>
  <si>
    <t>071-2-Voigtstedt 1.2 solar farm</t>
  </si>
  <si>
    <t>079-Linthe solar farm</t>
  </si>
  <si>
    <t>10500 Sipplingen Filterhalle solar farm</t>
  </si>
  <si>
    <t>20112 Solarpark Hunderdorf solar farm</t>
  </si>
  <si>
    <t>20368 SP Mahlpfuhl PVA2 solar project</t>
  </si>
  <si>
    <t>21144 SP Barbing PVA2 solar project</t>
  </si>
  <si>
    <t>21156 SP Unteremmerting solar farm</t>
  </si>
  <si>
    <t>21209 SP Kothingbuchbach 2. BA solar farm</t>
  </si>
  <si>
    <t>6908 Kaufland Dortmund solar farm</t>
  </si>
  <si>
    <t>APEX PV-Park Kritzkow solar farm</t>
  </si>
  <si>
    <t>Altmannstein 1.BA solar farm</t>
  </si>
  <si>
    <t>Anlage 1 V solar farm</t>
  </si>
  <si>
    <t>Anlage 1 VI solar farm</t>
  </si>
  <si>
    <t>Anlage 2 II solar farm</t>
  </si>
  <si>
    <t>Anlage 3 II solar farm</t>
  </si>
  <si>
    <t>Anlage 4 solar farm</t>
  </si>
  <si>
    <t>Arnhofen 2 solar project</t>
  </si>
  <si>
    <t>BS 5 solar farm</t>
  </si>
  <si>
    <t>Balder A02 - Bereich I solar farm</t>
  </si>
  <si>
    <t>Balder A02 - Bereich II solar farm</t>
  </si>
  <si>
    <t>Balder A07 solar farm</t>
  </si>
  <si>
    <t>Balder A08 solar farm</t>
  </si>
  <si>
    <t>15,1</t>
  </si>
  <si>
    <t>Bernsdorf Freifläche solar farm</t>
  </si>
  <si>
    <t>Bliesdorf 042 solar project</t>
  </si>
  <si>
    <t>Bliesdorf 070 solar farm</t>
  </si>
  <si>
    <t>Bliesdorf 083 solar farm</t>
  </si>
  <si>
    <t>Brenz 1.1 solar project</t>
  </si>
  <si>
    <t>Brickeln 1.1 solar farm</t>
  </si>
  <si>
    <t>Brickeln 1.3 solar farm</t>
  </si>
  <si>
    <t>Buch 3716,5 kWp solar farm</t>
  </si>
  <si>
    <t>Büdingen 1.1 solar farm</t>
  </si>
  <si>
    <t>Bürger-Solarpark Roden 2 solar farm</t>
  </si>
  <si>
    <t>CAD solar farm</t>
  </si>
  <si>
    <t>Chemnitz Deponie solar farm</t>
  </si>
  <si>
    <t>Clausthal-Zellerfeld 1.2 solar farm</t>
  </si>
  <si>
    <t>Clausthal-Zellerfeld 1.3 und Clausthal-Zellerfeld 1.4 solar farm</t>
  </si>
  <si>
    <t>Dankmarshausen 1,3 MW solar project</t>
  </si>
  <si>
    <t>Dätgen 1.1 solar farm</t>
  </si>
  <si>
    <t>ESB PV2 SBW solar farm</t>
  </si>
  <si>
    <t>Ebern Fischbach 1.2 solar farm</t>
  </si>
  <si>
    <t>Energiepark Weßling solar farm</t>
  </si>
  <si>
    <t>Engerhafe 2 solar farm</t>
  </si>
  <si>
    <t>Ermetzhofen 3 solar farm</t>
  </si>
  <si>
    <t>Erw. Burgstall Ost solar farm</t>
  </si>
  <si>
    <t>FFA Werneuchen 2 solar farm</t>
  </si>
  <si>
    <t>FPV Michelbach/Bilz Hundsäcker solar farm</t>
  </si>
  <si>
    <t>Fehrbellin 2.BA solar farm</t>
  </si>
  <si>
    <t>Fischbeck solar farm</t>
  </si>
  <si>
    <t>Flützholm 1.1 (Süderlügum 1) solar farm</t>
  </si>
  <si>
    <t>Flützholm 1.2 (Humptrup) solar farm</t>
  </si>
  <si>
    <t>Frankfurt-Oder FPV 2 solar farm</t>
  </si>
  <si>
    <t>Frankleben 2 solar farm</t>
  </si>
  <si>
    <t>Freifläche A solar farm</t>
  </si>
  <si>
    <t>Freifläche Denklingen Egart solar farm</t>
  </si>
  <si>
    <t>Freifläche Hart solar farm</t>
  </si>
  <si>
    <t>Freiflächen PV - Anlage Ernsbach solar farm</t>
  </si>
  <si>
    <t>Freiflächenanlage Grasbrunn PPA 06/21 solar farm</t>
  </si>
  <si>
    <t>Freiflächenanlage Obertrennbach I solar farm</t>
  </si>
  <si>
    <t>Freiflächenanlage Obertrennbach II solar farm</t>
  </si>
  <si>
    <t>Freiflächenanlage Stallwang solar farm</t>
  </si>
  <si>
    <t>Freiflächenanlage Weiherfeld Süd solar farm</t>
  </si>
  <si>
    <t>Freiflächenanlage am Dornbichlweg (Peißenberg) solar farm</t>
  </si>
  <si>
    <t>Förderstedt 1.1 solar farm</t>
  </si>
  <si>
    <t>Gaarz 1.1 solar farm</t>
  </si>
  <si>
    <t>Gaarz 1.3 solar farm</t>
  </si>
  <si>
    <t>Germag solar farm</t>
  </si>
  <si>
    <t>Gokels 2 solar farm</t>
  </si>
  <si>
    <t>Greatview Aseptic Packaging Manufacturing GmbH PV Anlage Dach solar farm</t>
  </si>
  <si>
    <t>Grotenheid 2.2 solar farm</t>
  </si>
  <si>
    <t>Grünberg 1.1 solar farm</t>
  </si>
  <si>
    <t>Gö II solar farm</t>
  </si>
  <si>
    <t>Halle 8 Dach solar farm</t>
  </si>
  <si>
    <t>Hans-Seidel-Schacht solar farm</t>
  </si>
  <si>
    <t>Heimberg Mitte solar farm</t>
  </si>
  <si>
    <t>Henschleben TA 1500 solar farm</t>
  </si>
  <si>
    <t>Henschleben TA 3000 solar farm</t>
  </si>
  <si>
    <t>Henschleben TA 3035 solar farm</t>
  </si>
  <si>
    <t>Hochstadt Obersdorf 2 solar farm</t>
  </si>
  <si>
    <t>Höchster Berg Solar solar farm</t>
  </si>
  <si>
    <t>Kade solar farm</t>
  </si>
  <si>
    <t>Kallmünz 2 solar farm</t>
  </si>
  <si>
    <t>Kell am See I solar farm</t>
  </si>
  <si>
    <t>Kell am See II solar farm</t>
  </si>
  <si>
    <t>Kicherer Parkdeck solar project</t>
  </si>
  <si>
    <t>Kienberg II solar farm</t>
  </si>
  <si>
    <t>Körprich solar farm</t>
  </si>
  <si>
    <t>L028_Lidl_Erlensee solar farm</t>
  </si>
  <si>
    <t>Landscheid-Burg Salm solar farm</t>
  </si>
  <si>
    <t>Lauperath 1. Bauabschnitt solar farm</t>
  </si>
  <si>
    <t>Lauperath 2. Bauabschnitt solar farm</t>
  </si>
  <si>
    <t>Libri GmbH solar farm</t>
  </si>
  <si>
    <t>Ludwigslust 1.1 solar farm</t>
  </si>
  <si>
    <t>Main Spessart-Solarprojekt GmbH solar farm</t>
  </si>
  <si>
    <t>Malchin Reifenlager solar farm</t>
  </si>
  <si>
    <t>Markersbach Damm solar farm</t>
  </si>
  <si>
    <t>Maßbach Poppenlauer 1 solar farm</t>
  </si>
  <si>
    <t>Maßbach Poppenlauer 2 solar farm</t>
  </si>
  <si>
    <t>Metzdorf II solar farm</t>
  </si>
  <si>
    <t>Möbelhaus Küchenstudio und Lager solar farm</t>
  </si>
  <si>
    <t>Neustadt Dosse Ost solar project</t>
  </si>
  <si>
    <t>Neustadt Dosse West solar project</t>
  </si>
  <si>
    <t>Neutz 2 solar farm</t>
  </si>
  <si>
    <t>Oberreith solar farm</t>
  </si>
  <si>
    <t>Oettelin 1.1 solar farm</t>
  </si>
  <si>
    <t>Oettelin 1.2 solar farm</t>
  </si>
  <si>
    <t>PV - Anlage X solar farm</t>
  </si>
  <si>
    <t>PV Altendorf solar farm</t>
  </si>
  <si>
    <t>PV Anlage Freiland Langer Weg 51 in Stendal solar farm</t>
  </si>
  <si>
    <t>PV Anlage MS Powertrain solar farm</t>
  </si>
  <si>
    <t>PV Anlage auf HRL und Flachdach solar farm</t>
  </si>
  <si>
    <t>PV Anlagenpark Wölbattendorf solar project</t>
  </si>
  <si>
    <t>PV Eddelak solar farm</t>
  </si>
  <si>
    <t>PV Eppenreuth solar farm</t>
  </si>
  <si>
    <t>PV Freiflächanlage 1.138kWp solar project</t>
  </si>
  <si>
    <t>PV Freiflächanlage 1.249,65kWp (Pilling) solar farm</t>
  </si>
  <si>
    <t>PV Freiflächanlage 1.249,65kWp (Pilling-Neukirchen) solar farm</t>
  </si>
  <si>
    <t>PV Freiflächanlage 1.380,26kWp solar farm</t>
  </si>
  <si>
    <t>PV Freiflächanlage 1.595,72kWp solar farm</t>
  </si>
  <si>
    <t>PV Freiflächanlage 1.749,88kWp solar farm</t>
  </si>
  <si>
    <t>PV Freifläche Ledering solar farm</t>
  </si>
  <si>
    <t>PV Freiflächenanlage Engelhardt solar farm</t>
  </si>
  <si>
    <t>PV Gewerbepark BA1 solar farm</t>
  </si>
  <si>
    <t>PV Gewerbepark BA3 solar farm</t>
  </si>
  <si>
    <t>PV Grabenstätt solar farm</t>
  </si>
  <si>
    <t>PV Halle 30 solar project</t>
  </si>
  <si>
    <t>PV LaBru solar farm</t>
  </si>
  <si>
    <t>PV Mappenberg Sued solar farm</t>
  </si>
  <si>
    <t>PV NGL Bochum Nord solar farm</t>
  </si>
  <si>
    <t>PV NGL Bochum Süd solar farm</t>
  </si>
  <si>
    <t>PV Pentling Anlage solar farm</t>
  </si>
  <si>
    <t>PV Rottendorf solar farm</t>
  </si>
  <si>
    <t>PV Struth II Ulrichstein solar farm</t>
  </si>
  <si>
    <t>PV Trübenbacher Str. BA2 solar farm</t>
  </si>
  <si>
    <t>PV Weisen 2 solar farm</t>
  </si>
  <si>
    <t>PV Wässerndorf solar farm</t>
  </si>
  <si>
    <t>PV at Geesthacht Damm solar farm</t>
  </si>
  <si>
    <t>PV-Anlage Geslau 2021 solar farm</t>
  </si>
  <si>
    <t>PV-Anlage Werk 1 solar farm</t>
  </si>
  <si>
    <t>PV-Anlage Werk 4 solar farm</t>
  </si>
  <si>
    <t>PV-Anlage Werk2 solar farm</t>
  </si>
  <si>
    <t>PV-Anlage solar farm</t>
  </si>
  <si>
    <t>PV-Anlagenpark Wölbattendorf PVA 3 solar farm</t>
  </si>
  <si>
    <t>PV-Ausschreibungsanlage solar farm</t>
  </si>
  <si>
    <t>PV-Freifläche Bergtheim Ost solar farm</t>
  </si>
  <si>
    <t>PV-Freifläche Bergtheim West solar farm</t>
  </si>
  <si>
    <t>PV-Freiflächenanlage 2021 Geslau solar farm</t>
  </si>
  <si>
    <t>PV-Freiflächenanlage Bad Langensalza 1 solar farm</t>
  </si>
  <si>
    <t>PV-Freiflächenanlage Bad Langensalza 2 - 1.BA solar farm</t>
  </si>
  <si>
    <t>PV-Freiflächenanlage Ziegendorf solar farm</t>
  </si>
  <si>
    <t>PV-Nortorf II solar farm</t>
  </si>
  <si>
    <t>PV-Park KLW 2 Stufe 1 solar farm</t>
  </si>
  <si>
    <t>PV-Park Mappenberg Nord solar farm</t>
  </si>
  <si>
    <t>PV-Park Nonnenau solar farm</t>
  </si>
  <si>
    <t>PV-Park-Stetten-Teil1 solar farm</t>
  </si>
  <si>
    <t>PV-Stelle&amp;Weddingstedt solar farm</t>
  </si>
  <si>
    <t>PV-Uppenborn-1 solar farm</t>
  </si>
  <si>
    <t>PVA 25 Rammelsbach solar farm</t>
  </si>
  <si>
    <t>PVA 3242,87 kWp solar farm</t>
  </si>
  <si>
    <t>PVA Bachtal II solar farm</t>
  </si>
  <si>
    <t>PVA Bad Bodenteich 2.1 solar farm</t>
  </si>
  <si>
    <t>PVA Burwinkel 2 solar farm</t>
  </si>
  <si>
    <t>PVA Buschmühl 2021 Ausschreibung solar farm</t>
  </si>
  <si>
    <t>PVA Dennheritz Seiferitzer 6 BA 5 solar project</t>
  </si>
  <si>
    <t>PVA Dossow II solar farm</t>
  </si>
  <si>
    <t>PVA Drosa I solar farm</t>
  </si>
  <si>
    <t>PVA Drosa II solar farm</t>
  </si>
  <si>
    <t>PVA Edderitz BA2 solar farm</t>
  </si>
  <si>
    <t>PVA Erkelenz SF II solar farm</t>
  </si>
  <si>
    <t>PVA Gerlebogk BA2 solar farm</t>
  </si>
  <si>
    <t>PVA Groß Wahrberg 2 solar farm</t>
  </si>
  <si>
    <t>PVA Grüssow I solar farm</t>
  </si>
  <si>
    <t>PVA Hessisch Lichtenau TA II solar farm</t>
  </si>
  <si>
    <t>PVA Holzweißig BRIFA 3 solar project</t>
  </si>
  <si>
    <t>PVA Icking solar farm</t>
  </si>
  <si>
    <t>PVA Kelbra solar farm</t>
  </si>
  <si>
    <t>PVA Lübars 1 solar farm</t>
  </si>
  <si>
    <t>PVA Nauen III solar farm</t>
  </si>
  <si>
    <t>PVA Neugattersleben - Am Sportplatz - BA II solar farm</t>
  </si>
  <si>
    <t>PVA Niederorschel 2.BA solar farm</t>
  </si>
  <si>
    <t>PVA Oberrohrbach solar farm</t>
  </si>
  <si>
    <t>PVA Osterburg solar project</t>
  </si>
  <si>
    <t>PVA Ostingersleben 2 solar farm</t>
  </si>
  <si>
    <t>PVA Reichenberg Albertshausen 2 solar farm</t>
  </si>
  <si>
    <t>PVA Rheinberg solar farm</t>
  </si>
  <si>
    <t>PVA Riggau solar farm</t>
  </si>
  <si>
    <t>PVA Roith solar farm</t>
  </si>
  <si>
    <t>PVA Schleich solar farm</t>
  </si>
  <si>
    <t>PVA Schönfeld solar farm</t>
  </si>
  <si>
    <t>PVA Solpke 2-2 solar farm</t>
  </si>
  <si>
    <t>PVA Tangermünde - Teil 2 solar farm</t>
  </si>
  <si>
    <t>PVA Thalheim 4 solar project</t>
  </si>
  <si>
    <t>PVA Theilenhofen Ost solar farm</t>
  </si>
  <si>
    <t>PVA Waltershausen 2 solar project</t>
  </si>
  <si>
    <t>PVA Winkelstedt 2-2 solar farm</t>
  </si>
  <si>
    <t>PVA Wittenberge I solar farm</t>
  </si>
  <si>
    <t>PVA Wolfsbuch solar farm</t>
  </si>
  <si>
    <t>PVA Wriezen II solar farm</t>
  </si>
  <si>
    <t>PVA Zachow solar farm</t>
  </si>
  <si>
    <t>PVA Zschornewitz solar farm</t>
  </si>
  <si>
    <t>PV_NBO solar farm</t>
  </si>
  <si>
    <t>Passow solar farm</t>
  </si>
  <si>
    <t>Pfarrweisach Herbelsdorf 1.2 solar farm</t>
  </si>
  <si>
    <t>Pfarrweisach Herbelsdorf 1.3 solar farm</t>
  </si>
  <si>
    <t>Photovoltaikanlage Abenberg Bechhofen BA IV solar farm</t>
  </si>
  <si>
    <t>Photovoltaikanlage Perschen solar farm</t>
  </si>
  <si>
    <t>Prettin 7 Am Heizhaus solar project</t>
  </si>
  <si>
    <t>Purkshof 1.1 solar farm</t>
  </si>
  <si>
    <t>Rothauser Wiese solar farm</t>
  </si>
  <si>
    <t>SE 2021 955 Neidenbach solar project</t>
  </si>
  <si>
    <t>SKW II Niederröblingen solar farm</t>
  </si>
  <si>
    <t>SKW IRT III solar farm</t>
  </si>
  <si>
    <t>SKW Klüsserath II solar farm</t>
  </si>
  <si>
    <t>SKW Oldisleben II solar farm</t>
  </si>
  <si>
    <t>SKW Pölich II solar farm</t>
  </si>
  <si>
    <t>SP A93 Feld B7 solar farm</t>
  </si>
  <si>
    <t>SP A93 Feld B8 solar farm</t>
  </si>
  <si>
    <t>SP A93 Feld L10 solar farm</t>
  </si>
  <si>
    <t>SP Ahornstraße solar farm</t>
  </si>
  <si>
    <t>SP Degelhof solar farm</t>
  </si>
  <si>
    <t>SP Groß Schlamin solar farm</t>
  </si>
  <si>
    <t>SP Königstein solar farm</t>
  </si>
  <si>
    <t>SP Münchnerau SW II solar farm</t>
  </si>
  <si>
    <t>SP Neufahrn 4 MW solar farm</t>
  </si>
  <si>
    <t>SP Neufahrn 6 MW solar farm</t>
  </si>
  <si>
    <t>SP Pfeffenhausen solar farm</t>
  </si>
  <si>
    <t>SP Reith I solar farm</t>
  </si>
  <si>
    <t>SP Reith II solar farm</t>
  </si>
  <si>
    <t>SP Rothenstadt solar farm</t>
  </si>
  <si>
    <t>SP Schacht 3 Westfalen, Ahlen solar farm</t>
  </si>
  <si>
    <t>SP Stopfenheim solar farm</t>
  </si>
  <si>
    <t>SP Viecht II solar farm</t>
  </si>
  <si>
    <t>SP Vilseck I solar farm</t>
  </si>
  <si>
    <t>SP Vilseck II solar farm</t>
  </si>
  <si>
    <t>Schkölen 1.2 solar farm</t>
  </si>
  <si>
    <t>Schkölen 1.3 solar farm</t>
  </si>
  <si>
    <t>Schönbek 2.2 solar farm</t>
  </si>
  <si>
    <t>Solar Park, Peigen West solar farm</t>
  </si>
  <si>
    <t>Solaranlage Altenschwand solar farm</t>
  </si>
  <si>
    <t>Solaranlage Handenberg-Pescheid solar farm</t>
  </si>
  <si>
    <t>Solaranlage Lockweiler solar farm</t>
  </si>
  <si>
    <t>Solarkraftwerk Affler solar farm</t>
  </si>
  <si>
    <t>Solarkraftwerk II solar farm</t>
  </si>
  <si>
    <t>Solarpark Aichach - P18-064 I solar farm</t>
  </si>
  <si>
    <t>Solarpark Aichach - P18-064 II solar farm</t>
  </si>
  <si>
    <t>Solarpark Beutelsbach solar farm</t>
  </si>
  <si>
    <t>Solarpark Bischbrunn GmbH &amp; Co. KG solar farm</t>
  </si>
  <si>
    <t>Solarpark Brunnen VIII - P20-007 solar farm</t>
  </si>
  <si>
    <t>Solarpark Dennheritz solar farm</t>
  </si>
  <si>
    <t>Solarpark Eigentshofen solar farm</t>
  </si>
  <si>
    <t>Solarpark Elchingen BA 2 solar farm</t>
  </si>
  <si>
    <t>Solarpark Falkenstein III Teil B solar farm</t>
  </si>
  <si>
    <t>Solarpark Fattendorf II solar farm</t>
  </si>
  <si>
    <t>Solarpark Frauendorf - Nachbau solar farm</t>
  </si>
  <si>
    <t>Solarpark Gerolfingen/Aufkirchen solar farm</t>
  </si>
  <si>
    <t>Solarpark Hellingen III solar farm</t>
  </si>
  <si>
    <t>Solarpark Herlheim solar farm</t>
  </si>
  <si>
    <t>Solarpark Heudorf Teil B solar farm</t>
  </si>
  <si>
    <t>Solarpark Heudorf solar farm</t>
  </si>
  <si>
    <t>Solarpark Hintersteinau solar farm</t>
  </si>
  <si>
    <t>Solarpark Justingen solar farm</t>
  </si>
  <si>
    <t>Solarpark Lauerbach solar farm</t>
  </si>
  <si>
    <t>Solarpark Leiwen-Sonnenberg solar farm</t>
  </si>
  <si>
    <t>Solarpark Leuchtenberg - P21-049 solar farm</t>
  </si>
  <si>
    <t>Solarpark Lottorf solar farm</t>
  </si>
  <si>
    <t>Solarpark MBW Süd IIa Teil 1 solar farm</t>
  </si>
  <si>
    <t>Solarpark MBW Süd IIa Teil 2 solar farm</t>
  </si>
  <si>
    <t>Solarpark Marktheidenfeld Erweiterung solar farm</t>
  </si>
  <si>
    <t>Solarpark Neusitz solar farm</t>
  </si>
  <si>
    <t>Solarpark Oberaich solar farm</t>
  </si>
  <si>
    <t>Solarpark Obersteinbach solar farm</t>
  </si>
  <si>
    <t>Solarpark Polzow Ib solar farm</t>
  </si>
  <si>
    <t>Solarpark Ramsthal solar farm</t>
  </si>
  <si>
    <t>Solarpark Reuth GmbH &amp; Co. KG 110 Meter solar farm</t>
  </si>
  <si>
    <t>Solarpark Reuth GmbH &amp; Co. KG Benachteiligtes Gebiet solar farm</t>
  </si>
  <si>
    <t>Solarpark Ringleben BA2 solar farm</t>
  </si>
  <si>
    <t>Solarpark Rödental solar farm</t>
  </si>
  <si>
    <t>Solarpark Schambach BA II solar farm</t>
  </si>
  <si>
    <t>Solarpark Seckach 2b P20 114 solar project</t>
  </si>
  <si>
    <t>Solarpark Sergen - Nachbau solar farm</t>
  </si>
  <si>
    <t>Solarpark Stierbaum solar farm</t>
  </si>
  <si>
    <t>Solarpark Theilenhofen solar farm</t>
  </si>
  <si>
    <t>Solarpark Weidenwang solar farm</t>
  </si>
  <si>
    <t>Solarpark Xanten solar farm</t>
  </si>
  <si>
    <t>Solarpark Öhringen Friedrichsruher Strasse_FB solar farm</t>
  </si>
  <si>
    <t>Sonnenfeld II solar farm</t>
  </si>
  <si>
    <t>Spören 1.2 solar farm</t>
  </si>
  <si>
    <t>Teutschenthal 1.1 solar farm</t>
  </si>
  <si>
    <t>16,4</t>
  </si>
  <si>
    <t>Teutschenthal 1.3 solar farm</t>
  </si>
  <si>
    <t>Teutschenthal 1.4 solar farm</t>
  </si>
  <si>
    <t>16,9</t>
  </si>
  <si>
    <t>Teutschenthal 3.2 solar farm</t>
  </si>
  <si>
    <t>Trogen 2.1 solar farm</t>
  </si>
  <si>
    <t>Trogen 3.1 solar farm</t>
  </si>
  <si>
    <t>Trogen 3.2 solar farm</t>
  </si>
  <si>
    <t>Uhsmannsdorf Ausschreibung solar farm</t>
  </si>
  <si>
    <t>Werneuchen 5 solar farm</t>
  </si>
  <si>
    <t>Westertimke 1.1 solar farm</t>
  </si>
  <si>
    <t>Weyer 2 solar farm</t>
  </si>
  <si>
    <t>Weyer I, 1032 kWp solar project</t>
  </si>
  <si>
    <t>Wiesau 1 Fürstenhof solar farm</t>
  </si>
  <si>
    <t>Wiesau 3 Schönhaid solar farm</t>
  </si>
  <si>
    <t>Wilhelmshaven 1.2 solar farm</t>
  </si>
  <si>
    <t>Wilhelmshaven 1.3 solar farm</t>
  </si>
  <si>
    <t>Woggersin 2 solar farm</t>
  </si>
  <si>
    <t>Wormstedt, BA 2a solar farm</t>
  </si>
  <si>
    <t>CATT G2 - Gebäude B01 solar farm</t>
  </si>
  <si>
    <t>PV Freiflächanlage 7.806,24kWp solar farm</t>
  </si>
  <si>
    <t>PV Freiflächanlage Ruhmannsdorf solar farm</t>
  </si>
  <si>
    <t>PVA Borau BA II solar farm</t>
  </si>
  <si>
    <t>SEE954735134120 solar farm</t>
  </si>
  <si>
    <t>CATT G2 Gebäude B01 solar project</t>
  </si>
  <si>
    <t>FREILAND BREITENMOOS - WINDACH 1a solar project</t>
  </si>
  <si>
    <t>FREILAND BREITENMOOS - WINDACH 1b solar project</t>
  </si>
  <si>
    <t>FREILAND BREITENMOOS - WINDACH 2b solar project</t>
  </si>
  <si>
    <t>Hallendach solar project III</t>
  </si>
  <si>
    <t>LNE Zuschlag 2 solar project</t>
  </si>
  <si>
    <t>PV Borna A72 Süd 2 solar project</t>
  </si>
  <si>
    <t>Solaranlage Saarhof II solar project</t>
  </si>
  <si>
    <t>064-1-Nordhausen solar farm</t>
  </si>
  <si>
    <t>078-Eltersdorf solar farm</t>
  </si>
  <si>
    <t>102-Beilingen solar farm</t>
  </si>
  <si>
    <t>10561 Stockach ETO solar project</t>
  </si>
  <si>
    <t>108-1 Zülpich 1.1 solar farm</t>
  </si>
  <si>
    <t>108-2 Zülpich 1.2 solar farm</t>
  </si>
  <si>
    <t>109-Lütgenrode 2.1 solar farm</t>
  </si>
  <si>
    <t>121-1-Mülsen 1.1.1 solar farm</t>
  </si>
  <si>
    <t>123-Gengenbach solar farm</t>
  </si>
  <si>
    <t>124-Kerpen solar farm</t>
  </si>
  <si>
    <t>131 3 Beesenlaublingen 1.3 solar project</t>
  </si>
  <si>
    <t>131-1-Beesenlaublingen 1.1 solar farm</t>
  </si>
  <si>
    <t>132-Bodenwerder solar farm</t>
  </si>
  <si>
    <t>135-Herzberg 2.2 solar farm</t>
  </si>
  <si>
    <t>136-1-Golbitz solar farm</t>
  </si>
  <si>
    <t>2 MW-Anlage Rohrberg 2022 solar farm</t>
  </si>
  <si>
    <t>22119 SP Gigglberg PVA2 solar project</t>
  </si>
  <si>
    <t>221207_GERLAA_A&amp;B_KMT solar farm</t>
  </si>
  <si>
    <t>26_LIDL_St. Ingbert solar farm</t>
  </si>
  <si>
    <t>447 LDE Augsburg Graben solar project</t>
  </si>
  <si>
    <t>4896kWp FFA Gescher HJ Projekt solar farm</t>
  </si>
  <si>
    <t>5_Lidl_Hüfingen solar farm</t>
  </si>
  <si>
    <t>9024 SP Tengen Berghof I solar farm</t>
  </si>
  <si>
    <t>9024 SP Tengen Berghof II solar farm</t>
  </si>
  <si>
    <t>9025 SP Deißlingen Nord solar farm</t>
  </si>
  <si>
    <t>9025 SP Deißlingen Süd solar farm</t>
  </si>
  <si>
    <t>Altenstadt solar farm</t>
  </si>
  <si>
    <t>19,5</t>
  </si>
  <si>
    <t>Anlage 1 VII solar farm</t>
  </si>
  <si>
    <t>14,3</t>
  </si>
  <si>
    <t>Anlage NOH solar farm</t>
  </si>
  <si>
    <t>Auf dem Strang solar farm</t>
  </si>
  <si>
    <t>Aussiedlerhof solar farm</t>
  </si>
  <si>
    <t>BA II - Ausschreibung solar farm</t>
  </si>
  <si>
    <t>BLN P26 PV Anlage solar farm</t>
  </si>
  <si>
    <t>Bahnacker 2 solar farm</t>
  </si>
  <si>
    <t>Bakum 2.0 solar project</t>
  </si>
  <si>
    <t>Balder A09 - Bereich I solar farm</t>
  </si>
  <si>
    <t>17,1</t>
  </si>
  <si>
    <t>Balder A09 - Bereich III Teil 1 solar farm</t>
  </si>
  <si>
    <t>Balder A09 - Bereich III Teil 2 solar farm</t>
  </si>
  <si>
    <t>Balder A09 - Bereich IV solar farm</t>
  </si>
  <si>
    <t>Balder A09 Bereich II solar project</t>
  </si>
  <si>
    <t>Bimöhlen 1.1 solar farm</t>
  </si>
  <si>
    <t>Bimöhlen 1.2 solar farm</t>
  </si>
  <si>
    <t>Bobingen 2 solar farm</t>
  </si>
  <si>
    <t>Briesen solar farm</t>
  </si>
  <si>
    <t>Brück GmbH H21H22H29 ABR926297178188 solar project</t>
  </si>
  <si>
    <t>Bürger-Solaranlage CE2 solar farm</t>
  </si>
  <si>
    <t>BürgerSolarpark Hopfenspirg 1 solar farm</t>
  </si>
  <si>
    <t>Bürgersolaranlage Heiligenhäusle solar farm</t>
  </si>
  <si>
    <t>Bürgersolaranlage Mittleres und Langes Gewand solar farm</t>
  </si>
  <si>
    <t>CC Vertriebscenter (WW III) solar farm</t>
  </si>
  <si>
    <t>Calbe IPC solar farm</t>
  </si>
  <si>
    <t>Consilium Solardach Klein Wesenberg III solar farm</t>
  </si>
  <si>
    <t>DAH FFPVA Brenz solar farm</t>
  </si>
  <si>
    <t>Danstedt 1 solar farm</t>
  </si>
  <si>
    <t>DepVoe_BNetzA_2 solar farm</t>
  </si>
  <si>
    <t>Dettingen BA solar farm</t>
  </si>
  <si>
    <t>Dreyer-Bantin. Gbr. solar farm</t>
  </si>
  <si>
    <t>Düren 2.1 solar farm</t>
  </si>
  <si>
    <t>Düren 2.2 solar farm</t>
  </si>
  <si>
    <t>Düren solar farm</t>
  </si>
  <si>
    <t>14,4</t>
  </si>
  <si>
    <t>E.ON Solarpark Hepberg GmbH &amp; Co. KG solar farm</t>
  </si>
  <si>
    <t>ENV22019 Lasalle Euskirchen solar project</t>
  </si>
  <si>
    <t>Eggebek 1.1 solar farm</t>
  </si>
  <si>
    <t>Eggebek 1.2 solar farm</t>
  </si>
  <si>
    <t>Eggesin 1.1 solar farm</t>
  </si>
  <si>
    <t>Eggesin 1.2 solar farm</t>
  </si>
  <si>
    <t>Eggesin 3 solar farm</t>
  </si>
  <si>
    <t>Emsflower Solardach Verladehalle 2022 solar farm</t>
  </si>
  <si>
    <t>Energiepark 2.845 kWp solar farm</t>
  </si>
  <si>
    <t>Energiepark am Vogelherd solar farm</t>
  </si>
  <si>
    <t>Erfurt Ilversgehofen 1 solar farm</t>
  </si>
  <si>
    <t>Esterwegen solar farm</t>
  </si>
  <si>
    <t>FF 2,26 MWp Moosanger 2022 solar farm</t>
  </si>
  <si>
    <t>FF-PV-Anlage Wappersdorf 1 solar farm</t>
  </si>
  <si>
    <t>FF-PV-Anlage Wappersdorf 2 solar farm</t>
  </si>
  <si>
    <t>FFA Anklam solar farm</t>
  </si>
  <si>
    <t>FFA Philippsthal BA 1 solar farm</t>
  </si>
  <si>
    <t>FFA Philippsthal BA 2 solar farm</t>
  </si>
  <si>
    <t>FL 2 FlSt 56/ PVA 3 solar farm</t>
  </si>
  <si>
    <t>FLA Maxhütte, Calvarienberg solar farm</t>
  </si>
  <si>
    <t>Floating-PV-HAL 1 solar farm</t>
  </si>
  <si>
    <t>Flützholm 1.3 (Süderlügum 2) solar farm</t>
  </si>
  <si>
    <t>Fredlmeier PVA1 solar farm</t>
  </si>
  <si>
    <t>Freifeldanlage solar project</t>
  </si>
  <si>
    <t>Freifläche 1 solar farm</t>
  </si>
  <si>
    <t>Freifläche 1560 KWp solar farm</t>
  </si>
  <si>
    <t>Freifläche Langenschwarz solar farm</t>
  </si>
  <si>
    <t>Freifläche Poign solar farm</t>
  </si>
  <si>
    <t>Freifläche Seedorf solar farm</t>
  </si>
  <si>
    <t>Freifläche Ödsbach solar farm</t>
  </si>
  <si>
    <t>Freiflächenanlage Meyenburger Möbel solar farm</t>
  </si>
  <si>
    <t>Freiflächenanlage V solar farm</t>
  </si>
  <si>
    <t>Freiland solar farm</t>
  </si>
  <si>
    <t>Friedland Datze 1 Ausschreibung solar project</t>
  </si>
  <si>
    <t>Friedland Datze 2 Ausschreibung solar farm</t>
  </si>
  <si>
    <t>Friedland Pleetzer Weg 1 Ausschreibung solar farm</t>
  </si>
  <si>
    <t>Friedland Schwarzer Weg 1 Ausschreibung solar farm</t>
  </si>
  <si>
    <t>Friedland Schwarzer Weg 2-3 Ausschreibung solar farm</t>
  </si>
  <si>
    <t>Friedrich-Wilhelm Raiffeisen Energie e.G. Münnerstadt solar farm</t>
  </si>
  <si>
    <t>Fuchshub 1 solar farm</t>
  </si>
  <si>
    <t>Fuchshub 2 solar farm</t>
  </si>
  <si>
    <t>Fuchsloch EEG solar farm</t>
  </si>
  <si>
    <t>Fuchsloch PPA solar farm</t>
  </si>
  <si>
    <t>Gardelegen 1 solar farm</t>
  </si>
  <si>
    <t>Geref solar farm</t>
  </si>
  <si>
    <t>Gergoe solar farm</t>
  </si>
  <si>
    <t>Germagf solar farm</t>
  </si>
  <si>
    <t>Gersol solar farm</t>
  </si>
  <si>
    <t>Gigglberg PVA1 solar farm</t>
  </si>
  <si>
    <t>Goodyear BA 2 solar farm</t>
  </si>
  <si>
    <t>Grambs BAIII Erweiterung solar farm</t>
  </si>
  <si>
    <t>Greatview Aseptic Packaging Manufacturing GmbH PV Anlage Feld solar farm</t>
  </si>
  <si>
    <t>Green City Solarpark Doberlug GmbH &amp; Co. KG PV-Freifläche solar farm</t>
  </si>
  <si>
    <t>Green City Solarpark Schnabelwaid Nord GmbH &amp; Co KG Nord solar farm</t>
  </si>
  <si>
    <t>Green City Solarpark Schnabelwaid Nord GmbH &amp; Co KG Süd solar farm</t>
  </si>
  <si>
    <t>Greenpower5000 solar farm</t>
  </si>
  <si>
    <t>Großrinderfeld Nöllenhöhe solar farm</t>
  </si>
  <si>
    <t>Großwoltersdorf 1.1 solar farm</t>
  </si>
  <si>
    <t>Gundelshausen 3 Anlage 1.196,58 kWp solar project</t>
  </si>
  <si>
    <t>Gößnitz solar farm</t>
  </si>
  <si>
    <t>Halle (Parsdorf) solar farm</t>
  </si>
  <si>
    <t>Halle C/D solar farm</t>
  </si>
  <si>
    <t>Harsdorf solar farm</t>
  </si>
  <si>
    <t>Heidenfeld solar farm</t>
  </si>
  <si>
    <t>Heinsberg Ausschreibung solar farm</t>
  </si>
  <si>
    <t>Hh-PV_Hauptparkplatz_1034 solar farm</t>
  </si>
  <si>
    <t>Hirsch Solarpark solar farm</t>
  </si>
  <si>
    <t>Höpfl PV-Freifläche solar farm</t>
  </si>
  <si>
    <t>IP PV Anlage Gochsheim solar project</t>
  </si>
  <si>
    <t>Kemnitz 1.1 solar farm</t>
  </si>
  <si>
    <t>Keniastr. 28-38 solar farm</t>
  </si>
  <si>
    <t>Kerpen HBS 19a solar farm</t>
  </si>
  <si>
    <t>Kleinlangheim solar farm</t>
  </si>
  <si>
    <t>Knobloch PVA4 solar farm</t>
  </si>
  <si>
    <t>Kreuzbergfeld solar farm</t>
  </si>
  <si>
    <t>Kunersdorf III Ausschreibung solar farm</t>
  </si>
  <si>
    <t>Lauchhammer Ost solar farm</t>
  </si>
  <si>
    <t>Leussin Nordmodule Ausschreibung solar farm</t>
  </si>
  <si>
    <t>Logistikzentrum solar farm</t>
  </si>
  <si>
    <t>Lüderitz 4.BA solar farm</t>
  </si>
  <si>
    <t>M7 solar project</t>
  </si>
  <si>
    <t>MEE-Projektgesellschaft 1 GmbH &amp; Co. KG Priestewitz EEG solar farm</t>
  </si>
  <si>
    <t>MEE-Projektgesellschaft 1 GmbH &amp; Co. KG Priestewitz Inno solar farm</t>
  </si>
  <si>
    <t>Mainbach solar farm</t>
  </si>
  <si>
    <t>Mando PVA Neutrebbin, Wriezener Str.39a solar project</t>
  </si>
  <si>
    <t>Neu Stuer 1.2 solar farm</t>
  </si>
  <si>
    <t>Neuburg III solar farm</t>
  </si>
  <si>
    <t>Neustadt Hinter der Struth solar farm</t>
  </si>
  <si>
    <t>Neustadt Süd 1.1 Gem solar farm</t>
  </si>
  <si>
    <t>Neustadt Süd 1.1 SOL solar farm</t>
  </si>
  <si>
    <t>Neustadt Süd 2.1 solar farm</t>
  </si>
  <si>
    <t>Niederlehme BA1 solar farm</t>
  </si>
  <si>
    <t>Niederlehme BA2 solar farm</t>
  </si>
  <si>
    <t>Niederviehbach 2 solar farm</t>
  </si>
  <si>
    <t>Nobitz solar project</t>
  </si>
  <si>
    <t>Oberflächenzentrum solar project</t>
  </si>
  <si>
    <t>Olching 3-1 (EEG) solar farm</t>
  </si>
  <si>
    <t>Olching 3-2 (PPA) solar farm</t>
  </si>
  <si>
    <t>Osterwald 1.2 solar farm</t>
  </si>
  <si>
    <t>Ottmarsfeld 5 MW solar farm</t>
  </si>
  <si>
    <t>P302 solar farm</t>
  </si>
  <si>
    <t>PV Anlage (21426 P) solar project</t>
  </si>
  <si>
    <t>PV Anlage (Grafschaft) solar project</t>
  </si>
  <si>
    <t>PV Anlage Baggersee solar farm</t>
  </si>
  <si>
    <t>PV Anlage Breddin solar farm</t>
  </si>
  <si>
    <t>PV Anlage Gudensberg V solar farm</t>
  </si>
  <si>
    <t>PV Anlage Halle 18 solar farm</t>
  </si>
  <si>
    <t>PV Anlage Halle 19 solar farm</t>
  </si>
  <si>
    <t>PV Anlage Hardegsen solar farm</t>
  </si>
  <si>
    <t>11,7</t>
  </si>
  <si>
    <t>PV Anlage Schrobenhausen solar farm</t>
  </si>
  <si>
    <t>PV BACH 2 4085 solar project</t>
  </si>
  <si>
    <t>PV BAT Fehrbellin solar farm</t>
  </si>
  <si>
    <t>PV BE W1 solar farm</t>
  </si>
  <si>
    <t>PV BMFG solar farm</t>
  </si>
  <si>
    <t>PV Bad Camberg solar farm</t>
  </si>
  <si>
    <t>PV Birkenfeld 20220128 solar farm</t>
  </si>
  <si>
    <t>PV Borna A72 Nord solar farm</t>
  </si>
  <si>
    <t>PV Borna A72 Süd solar farm</t>
  </si>
  <si>
    <t>PV Conti Geb. 31, 40, 61 und KA1 solar farm</t>
  </si>
  <si>
    <t>PV Dannemann solar farm</t>
  </si>
  <si>
    <t>PV Deponie Weißes Tor Nutha solar farm</t>
  </si>
  <si>
    <t>PV Espenhain solar farm</t>
  </si>
  <si>
    <t>PV Espich A9_II solar farm</t>
  </si>
  <si>
    <t>PV Fahrsilo solar farm</t>
  </si>
  <si>
    <t>PV Freiflächanlage 1.499,40kWp solar farm</t>
  </si>
  <si>
    <t>PV Freiflächanlage 2.099,70kWp solar farm</t>
  </si>
  <si>
    <t>PV Freiflächanlage 2.259,90kWp solar farm</t>
  </si>
  <si>
    <t>PV Freiflächanlage 4.264,84kWp solar farm</t>
  </si>
  <si>
    <t>PV Freiflächanlage 6.000kWp solar farm</t>
  </si>
  <si>
    <t>PV Freiflächanlage Viechtach-Schönau solar farm</t>
  </si>
  <si>
    <t>PV Freifläche Bad Grönenbach 2022 solar farm</t>
  </si>
  <si>
    <t>PV Freiflächeanlage Ruhmannsdorf solar farm</t>
  </si>
  <si>
    <t>PV Freiflächenanlage 1.039,950kWp solar project</t>
  </si>
  <si>
    <t>PV Fünfleiten Sillaching solar farm</t>
  </si>
  <si>
    <t>PV Haag b. Schwarzhofen solar farm</t>
  </si>
  <si>
    <t>PV Heppenrod II solar farm</t>
  </si>
  <si>
    <t>PV Hof Anlage 1 4000 solar farm</t>
  </si>
  <si>
    <t>PV Hänner solar farm</t>
  </si>
  <si>
    <t>PV KUHN RADE solar farm</t>
  </si>
  <si>
    <t>PV KZM 2022 solar farm</t>
  </si>
  <si>
    <t>PV Kirchenlamitz solar farm</t>
  </si>
  <si>
    <t>PV Kottgeisering II solar farm</t>
  </si>
  <si>
    <t>PV Krücklham II solar farm</t>
  </si>
  <si>
    <t>PV Köthener Str./Heizwerk Alten (Freifläche) solar farm</t>
  </si>
  <si>
    <t>PV LWD Solar Freifläche Teil 2 solar farm</t>
  </si>
  <si>
    <t>PV Lübesse solar farm</t>
  </si>
  <si>
    <t>PV Lüchow solar farm</t>
  </si>
  <si>
    <t>PV Mainfrucht solar project</t>
  </si>
  <si>
    <t>PV Mittergars solar farm</t>
  </si>
  <si>
    <t>PV Mühlhausen-Ehingen solar farm</t>
  </si>
  <si>
    <t>PV Oberfeld GbR solar farm</t>
  </si>
  <si>
    <t>PV Park Brunnen solar farm</t>
  </si>
  <si>
    <t>PV Park Flottkamp solar farm</t>
  </si>
  <si>
    <t>PV Park Osterzhausen solar farm</t>
  </si>
  <si>
    <t>PV Park Riedheim solar farm</t>
  </si>
  <si>
    <t>PV Park Schnellmannskreuth solar farm</t>
  </si>
  <si>
    <t>PV RAS 4055 solar project</t>
  </si>
  <si>
    <t>PV Reckertshausen Hassberge solar farm</t>
  </si>
  <si>
    <t>PV Reckertshausen Hühnerellern solar farm</t>
  </si>
  <si>
    <t>PV Rees3 solar project</t>
  </si>
  <si>
    <t>PV Reuden Süd 1 BA1 solar farm</t>
  </si>
  <si>
    <t>PV Riedenburg - Anlage 2 solar farm</t>
  </si>
  <si>
    <t>PV Riedenburg- Anlage 1 solar farm</t>
  </si>
  <si>
    <t>PV Schönfeld MEE1 110m solar farm</t>
  </si>
  <si>
    <t>PV Seiferitzer Allee solar farm</t>
  </si>
  <si>
    <t>PV Sz Sz800 SzPF01 solar farm</t>
  </si>
  <si>
    <t>PV Unterspiesheim solar farm</t>
  </si>
  <si>
    <t>PV Verdion solar farm</t>
  </si>
  <si>
    <t>PV WO (W5) solar farm</t>
  </si>
  <si>
    <t>PV Wichernweg solar project</t>
  </si>
  <si>
    <t>PV Windach solar farm</t>
  </si>
  <si>
    <t>PV-Anlage 2 Haupt-Werk 3 - BA1 solar farm</t>
  </si>
  <si>
    <t>PV-Anlage 2022 1,5 MWp solar farm</t>
  </si>
  <si>
    <t>PV-Anlage 2022 Herrieden solar farm</t>
  </si>
  <si>
    <t>PV-Anlage Etzenbach solar farm</t>
  </si>
  <si>
    <t>PV-Anlage Freifläche II solar farm</t>
  </si>
  <si>
    <t>PV-Anlage Runtestraße 56 solar farm</t>
  </si>
  <si>
    <t>PV-Anlage Salzbödetal MachWas Energie eG solar farm</t>
  </si>
  <si>
    <t>PV-Anlage VI solar farm</t>
  </si>
  <si>
    <t>PV-Anlage ZF Laage solar farm</t>
  </si>
  <si>
    <t>PV-Anlage auf Lager Jungbunzlauer Ladenburg solar farm</t>
  </si>
  <si>
    <t>PV-Anlage_Tierproduktion_Bauabschnitt 2 solar farm</t>
  </si>
  <si>
    <t>PV-Ausschreibungsanlage 2022 solar farm</t>
  </si>
  <si>
    <t>PV-DS-4065 solar farm</t>
  </si>
  <si>
    <t>PV-Dachanlage Südhalle Industriepark Mamming solar farm</t>
  </si>
  <si>
    <t>PV-FF-VOH-D solar farm</t>
  </si>
  <si>
    <t>PV-Freiflächenanlage 2022 Ausschreibung solar farm</t>
  </si>
  <si>
    <t>PV-Freiflächenanlage 2022 I solar farm</t>
  </si>
  <si>
    <t>PV-Freiflächenanlage 2022 II solar farm</t>
  </si>
  <si>
    <t>PV-Freiflächenanlage 2022 III solar farm</t>
  </si>
  <si>
    <t>PV-Freiflächenanlage 2022 IV solar farm</t>
  </si>
  <si>
    <t>PV-Freiflächenanlage Ballmannshof Gebot 1 solar farm</t>
  </si>
  <si>
    <t>PV-Freiflächenanlage Ballmannshof Gebot 2 solar farm</t>
  </si>
  <si>
    <t>PV-Freiflächenanlage Biederbach 2022 solar farm</t>
  </si>
  <si>
    <t>PV-Freiflächenanlage Neudorf solar farm</t>
  </si>
  <si>
    <t>PV-Freiflächenanlage Neunkirchen II solar farm</t>
  </si>
  <si>
    <t>PV-Freiflächenanlage PD-Gebäude OHR solar farm</t>
  </si>
  <si>
    <t>PV-Freiflächenanlage Roigheim solar farm</t>
  </si>
  <si>
    <t>PV-Freiflächenanlage am Schlackenberg Amberg Opf. solar farm</t>
  </si>
  <si>
    <t>PV-KHZ2 solar farm</t>
  </si>
  <si>
    <t>PV-Niederhummel solar farm</t>
  </si>
  <si>
    <t>PV-Park 1 solar farm</t>
  </si>
  <si>
    <t>PV-Park Neubrunn solar farm</t>
  </si>
  <si>
    <t>PV-Park Sprela solar farm</t>
  </si>
  <si>
    <t>PV-Park-Stetten-Teil2 solar farm</t>
  </si>
  <si>
    <t>PV-Projekt Ballersdorf 1 solar farm</t>
  </si>
  <si>
    <t>PV-Quanten Geiersthal solar farm</t>
  </si>
  <si>
    <t>PV01a und PV02 Halle 2 8 1399,68kW solar project</t>
  </si>
  <si>
    <t>PV2 SC-Stadion solar farm</t>
  </si>
  <si>
    <t>PVA 1 Klosterlangheim solar farm</t>
  </si>
  <si>
    <t>PVA 1 Traitsching Süd solar farm</t>
  </si>
  <si>
    <t>PVA 1 solar farm</t>
  </si>
  <si>
    <t>PVA 2 Traitsching Nord solar farm</t>
  </si>
  <si>
    <t>PVA Altgolßen solar farm</t>
  </si>
  <si>
    <t>PVA Arenrath 5847 solar farm</t>
  </si>
  <si>
    <t>PVA Aulendorf solar farm</t>
  </si>
  <si>
    <t>PVA BAD IV GE solar farm</t>
  </si>
  <si>
    <t>PVA BT 350 solar farm</t>
  </si>
  <si>
    <t>PVA Bechhofen-Großenried solar farm</t>
  </si>
  <si>
    <t>PVA Bettingen 1 solar farm</t>
  </si>
  <si>
    <t>PVA Bettingen 2 solar farm</t>
  </si>
  <si>
    <t>PVA Beuren solar project</t>
  </si>
  <si>
    <t>PVA Bobitz 2 solar project</t>
  </si>
  <si>
    <t>PVA Borau BA I.2 solar farm</t>
  </si>
  <si>
    <t>PVA Borau BA II solar project</t>
  </si>
  <si>
    <t>PVA Breitenworbis Deponie solar farm</t>
  </si>
  <si>
    <t>PVA Burscheid solar farm</t>
  </si>
  <si>
    <t>PVA Celle solar farm</t>
  </si>
  <si>
    <t>PVA Einhausen 2 solar project</t>
  </si>
  <si>
    <t>PVA Einöllen solar farm</t>
  </si>
  <si>
    <t>PVA Freifläche Lang Vilshofen Schlehberg 1 solar farm</t>
  </si>
  <si>
    <t>PVA Gauern II solar farm</t>
  </si>
  <si>
    <t>PVA Gelände JVA Uelzen solar farm</t>
  </si>
  <si>
    <t>PVA Gewerbering 32 solar farm</t>
  </si>
  <si>
    <t>PVA Gransdorf Bauabschnitt 1 solar farm</t>
  </si>
  <si>
    <t>PVA Gransdorf Bauabschnitt 2 solar farm</t>
  </si>
  <si>
    <t>PVA Gransdorf Bauabschnitt solar project</t>
  </si>
  <si>
    <t>PVA Grossbeeren-GB 7 solar farm</t>
  </si>
  <si>
    <t>PVA Gröben II solar farm</t>
  </si>
  <si>
    <t>PVA Guben Nord II solar farm</t>
  </si>
  <si>
    <t>PVA Hagelstadt 2 solar farm</t>
  </si>
  <si>
    <t>PVA Harsum solar farm</t>
  </si>
  <si>
    <t>PVA Hessisch Lichtenau solar farm</t>
  </si>
  <si>
    <t>PVA Hodenhagen solar farm</t>
  </si>
  <si>
    <t>PVA Hofheim Lendershausen solar farm</t>
  </si>
  <si>
    <t>PVA Irchenrieth I solar farm</t>
  </si>
  <si>
    <t>PVA Jördenstorf OT Klenz solar project</t>
  </si>
  <si>
    <t>PVA Karstädt 2 EEG solar farm</t>
  </si>
  <si>
    <t>PVA Kessin II solar farm</t>
  </si>
  <si>
    <t>PVA Klessing solar farm</t>
  </si>
  <si>
    <t>PVA Klötze solar farm</t>
  </si>
  <si>
    <t>PVA Krölpa solar farm</t>
  </si>
  <si>
    <t>PVA Langenhagen 1.650 kWp solar farm</t>
  </si>
  <si>
    <t>PVA Langensalzwedel solar farm</t>
  </si>
  <si>
    <t>PVA Lindstedt II solar farm</t>
  </si>
  <si>
    <t>PVA Magdeburg solar farm</t>
  </si>
  <si>
    <t>PVA Mehrum solar farm</t>
  </si>
  <si>
    <t>PVA Meinheim solar farm</t>
  </si>
  <si>
    <t>PVA Moosbach Scheibe solar farm</t>
  </si>
  <si>
    <t>PVA Mossautal solar farm</t>
  </si>
  <si>
    <t>PVA Mühlenberge solar farm</t>
  </si>
  <si>
    <t>PVA Nebelin solar farm</t>
  </si>
  <si>
    <t>PVA Neska Ladenburg 1 solar farm</t>
  </si>
  <si>
    <t>PVA Neuburxdorf 2.BA solar farm</t>
  </si>
  <si>
    <t>PVA Neuburxdorf 3.BA solar farm</t>
  </si>
  <si>
    <t>PVA Neuburxdorf 4.BA solar farm</t>
  </si>
  <si>
    <t>PVA Neukirchen solar farm</t>
  </si>
  <si>
    <t>PVA Neulögow solar farm</t>
  </si>
  <si>
    <t>PVA Niederlinxweiler 018 solar farm</t>
  </si>
  <si>
    <t>PVA Niederlinxweiler 026 solar farm</t>
  </si>
  <si>
    <t>PVA Oberriegl II solar farm</t>
  </si>
  <si>
    <t>PVA Oberriegl III solar project</t>
  </si>
  <si>
    <t>PVA Oberthambach II solar farm</t>
  </si>
  <si>
    <t>PVA Orsfeld 1 solar farm</t>
  </si>
  <si>
    <t>PVA Orsfeld 1b solar project</t>
  </si>
  <si>
    <t>PVA Orsfeld 2 solar farm</t>
  </si>
  <si>
    <t>PVA Osnabrück 2BA solar farm</t>
  </si>
  <si>
    <t>PVA Ottweiler solar farm</t>
  </si>
  <si>
    <t>PVA Pfaffenweiler/Spitalhöfe solar farm</t>
  </si>
  <si>
    <t>PVA Pilsting Rossweide solar farm</t>
  </si>
  <si>
    <t>PVA Pirmasens solar farm</t>
  </si>
  <si>
    <t>PVA RAWA I solar project</t>
  </si>
  <si>
    <t>PVA RAWA II solar farm</t>
  </si>
  <si>
    <t>PVA Retschow TG 2 solar farm</t>
  </si>
  <si>
    <t>PVA Rudolf-Diesel-Str. 23a Halle solar farm</t>
  </si>
  <si>
    <t>PVA Röckingen - Teil A solar farm</t>
  </si>
  <si>
    <t>PVA Röckingen - Teil B solar farm</t>
  </si>
  <si>
    <t>PVA Schmiedeköpfe solar farm</t>
  </si>
  <si>
    <t>PVA Schneeberg / Volleinspeisung EKW solar farm</t>
  </si>
  <si>
    <t>PVA Schwindebeck A2 solar farm</t>
  </si>
  <si>
    <t>PVA Seesbach 2 solar farm</t>
  </si>
  <si>
    <t>PVA Sergen West I solar farm</t>
  </si>
  <si>
    <t>15,3</t>
  </si>
  <si>
    <t>PVA Spreewaldbank eG (erbaut von Renoc Alternative) Schönwalde 3 solar project</t>
  </si>
  <si>
    <t>PVA Theinfeld I solar farm</t>
  </si>
  <si>
    <t>PVA Theinfeld II solar farm</t>
  </si>
  <si>
    <t>PVA Trusetal solar farm</t>
  </si>
  <si>
    <t>PVA Träglhof solar farm</t>
  </si>
  <si>
    <t>PVA Wahlheim solar farm</t>
  </si>
  <si>
    <t>PVA Walhausen II.2 solar farm</t>
  </si>
  <si>
    <t>PVA Walsrode solar farm</t>
  </si>
  <si>
    <t>PVA Weinbergstraße solar farm</t>
  </si>
  <si>
    <t>PVA Werne H3 solar farm</t>
  </si>
  <si>
    <t>PVA Werne H4 solar farm</t>
  </si>
  <si>
    <t>PVA Wildeck solar farm</t>
  </si>
  <si>
    <t>PVA Wulkau solar farm</t>
  </si>
  <si>
    <t>PVA Wöhrhof solar project</t>
  </si>
  <si>
    <t>Peenemünde Polder 1 und 2 solar farm</t>
  </si>
  <si>
    <t>Penig Flender Ausschreibung solar farm</t>
  </si>
  <si>
    <t>Pfenning Monsheim BA 2 solar farm</t>
  </si>
  <si>
    <t>Pfenning Monsheim BA 3 solar project</t>
  </si>
  <si>
    <t>Photovoltaik 2 RMHH solar project</t>
  </si>
  <si>
    <t>Photovoltaikanlage Halle 2, 7, 8, 9, CNC und Werkzeughalle solar project</t>
  </si>
  <si>
    <t>Quarnstedt 1.1 solar farm</t>
  </si>
  <si>
    <t>Quarnstedt 1.3 solar farm</t>
  </si>
  <si>
    <t>RE Vogl solar farm</t>
  </si>
  <si>
    <t>Rackwitz 5.0 solar farm</t>
  </si>
  <si>
    <t>Rackwitz 5.1 solar farm</t>
  </si>
  <si>
    <t>Rheinberg 1 solar farm</t>
  </si>
  <si>
    <t>Riesa Wasserweg 4 solar farm</t>
  </si>
  <si>
    <t>Rossgraben EEG solar farm</t>
  </si>
  <si>
    <t>Rossgraben PPA solar farm</t>
  </si>
  <si>
    <t>RothdachEnergieFPVHerretshofen solar farm</t>
  </si>
  <si>
    <t>S1820 Gilching solar farm</t>
  </si>
  <si>
    <t>16,2</t>
  </si>
  <si>
    <t>SBA Reinsdorf Dach Ausschreibung1990 solar farm</t>
  </si>
  <si>
    <t>SBA Reinsdorf Freiland Ost1725 solar farm</t>
  </si>
  <si>
    <t>SE 2022 1816 Lünen solar project</t>
  </si>
  <si>
    <t>SIG Wittenberg - PW5 solar farm</t>
  </si>
  <si>
    <t>SIH solar project</t>
  </si>
  <si>
    <t>SKW Weimar II solar farm</t>
  </si>
  <si>
    <t>SKW Weitin solar farm</t>
  </si>
  <si>
    <t>SP Airischwand I solar farm</t>
  </si>
  <si>
    <t>SP Airischwand II solar farm</t>
  </si>
  <si>
    <t>SP Ammersberg solar farm</t>
  </si>
  <si>
    <t>SP Boselfeld solar farm</t>
  </si>
  <si>
    <t>SP Gabelsberg III solar farm</t>
  </si>
  <si>
    <t>SP Glöttweng solar farm</t>
  </si>
  <si>
    <t>SP Großschwaiba solar farm</t>
  </si>
  <si>
    <t>SP Henschleben 2 solar farm</t>
  </si>
  <si>
    <t>SP Hirschau Nord solar farm</t>
  </si>
  <si>
    <t>SP Hirschau Süd solar farm</t>
  </si>
  <si>
    <t>SP MBE N2 solar farm</t>
  </si>
  <si>
    <t>SP Ostergaden solar farm</t>
  </si>
  <si>
    <t>SP Tegernbach I solar farm</t>
  </si>
  <si>
    <t>SP Tegernbach II solar farm</t>
  </si>
  <si>
    <t>SP Wernberg solar farm</t>
  </si>
  <si>
    <t>Sackstetten Gangkofen solar farm</t>
  </si>
  <si>
    <t>Salzbödetal 2. Bauabschnitt solar farm</t>
  </si>
  <si>
    <t>Salzwedel Erweiterung solar farm</t>
  </si>
  <si>
    <t>Saustrup 1.1 solar farm</t>
  </si>
  <si>
    <t>Saustrup 1.2 solar project</t>
  </si>
  <si>
    <t>Scheiffele Schmiederer KG Gundremmingen 2 solar project</t>
  </si>
  <si>
    <t>Scheiffele Schmiederer KG Gundremmingen solar project</t>
  </si>
  <si>
    <t>Schwanebeck II solar farm</t>
  </si>
  <si>
    <t>Schöli solar farm</t>
  </si>
  <si>
    <t>Singkofer, Haidlfing II solar farm</t>
  </si>
  <si>
    <t>Solaranlage Altentreptow II solar farm</t>
  </si>
  <si>
    <t>Solaranlage CES. solar farm</t>
  </si>
  <si>
    <t>Solaranlage Gelsenkirchen HA21 - P21-035 solar farm</t>
  </si>
  <si>
    <t>Solaranlage Gelsenkirchen HA23 - P21-035 solar farm</t>
  </si>
  <si>
    <t>Solaranlage Handenberg-West solar farm</t>
  </si>
  <si>
    <t>Solaranlage Kösching - P21-160 solar farm</t>
  </si>
  <si>
    <t>Solaranlage Saarhof GmbH &amp; Co. KG solar farm</t>
  </si>
  <si>
    <t>Solaranlage Schwarzenbruck II - P21-161 solar farm</t>
  </si>
  <si>
    <t>Solaranlage WW Tettau solar farm</t>
  </si>
  <si>
    <t>Solarfeld Ihlenfeld solar farm</t>
  </si>
  <si>
    <t>Solarpark - Grohe AG Standort Hemer solar farm</t>
  </si>
  <si>
    <t>Solarpark Aichen BA 1 solar farm</t>
  </si>
  <si>
    <t>Solarpark Altenschwand solar farm</t>
  </si>
  <si>
    <t>Solarpark Anger solar farm</t>
  </si>
  <si>
    <t>Solarpark Arzberg EEG Ackerland solar farm</t>
  </si>
  <si>
    <t>Solarpark Arzberg EEG Grünland solar farm</t>
  </si>
  <si>
    <t>Solarpark Auhof solar farm</t>
  </si>
  <si>
    <t>Solarpark Bad Steben - P21-512 solar farm</t>
  </si>
  <si>
    <t>Solarpark Baiersdorf I solar farm</t>
  </si>
  <si>
    <t>Solarpark Beilngries - P18-011 I solar farm</t>
  </si>
  <si>
    <t>Solarpark Beilngries - P18-011 II solar farm</t>
  </si>
  <si>
    <t>Solarpark Berga ehemalige LPG solar farm</t>
  </si>
  <si>
    <t>Solarpark Bernburg solar farm</t>
  </si>
  <si>
    <t>Solarpark Brandscheid II solar farm</t>
  </si>
  <si>
    <t>Solarpark Bruhrain 3 BA2 solar farm</t>
  </si>
  <si>
    <t>Solarpark Bruhrain 3 BA3 solar farm</t>
  </si>
  <si>
    <t>Solarpark Bründlberg solar farm</t>
  </si>
  <si>
    <t>Solarpark Burgstall BA 1 solar farm</t>
  </si>
  <si>
    <t>Solarpark Degelhof Erw. solar farm</t>
  </si>
  <si>
    <t>Solarpark Dillingen GbR solar farm</t>
  </si>
  <si>
    <t>Solarpark Ebensfeld-Kleukheim solar farm</t>
  </si>
  <si>
    <t>Solarpark Esbach solar farm</t>
  </si>
  <si>
    <t>Solarpark Finsterwalde III solar farm</t>
  </si>
  <si>
    <t>Solarpark Freimersheim solar farm</t>
  </si>
  <si>
    <t>Solarpark GS I solar farm</t>
  </si>
  <si>
    <t>Solarpark Garzau-Garzin 2 (UW-Heidkrug) solar farm</t>
  </si>
  <si>
    <t>Solarpark Granheim II BA 1 solar farm</t>
  </si>
  <si>
    <t>Solarpark Granheim II BA 2 solar farm</t>
  </si>
  <si>
    <t>Solarpark Grimmen Ib solar farm</t>
  </si>
  <si>
    <t>Solarpark Heiligenhafen Ia solar farm</t>
  </si>
  <si>
    <t>Solarpark Heiligenhafen Ib solar farm</t>
  </si>
  <si>
    <t>Solarpark Hellingen IV solar farm</t>
  </si>
  <si>
    <t>Solarpark Hemau 1 solar farm</t>
  </si>
  <si>
    <t>Solarpark Hemau 2 solar farm</t>
  </si>
  <si>
    <t>Solarpark Heuhof solar farm</t>
  </si>
  <si>
    <t>16,5</t>
  </si>
  <si>
    <t>Solarpark Hiersdorf BA 1 solar farm</t>
  </si>
  <si>
    <t>Solarpark Hiersdorf BA 2 solar farm</t>
  </si>
  <si>
    <t>Solarpark Hochholz BA 1 solar farm</t>
  </si>
  <si>
    <t>Solarpark Hochholz BA 2 solar farm</t>
  </si>
  <si>
    <t>Solarpark Hofdorf III solar farm</t>
  </si>
  <si>
    <t>Solarpark Hohenzant I BA 1 solar farm</t>
  </si>
  <si>
    <t>Solarpark Hohenzant II BA 2 solar farm</t>
  </si>
  <si>
    <t>Solarpark Hohenzant II BA1 solar farm</t>
  </si>
  <si>
    <t>Solarpark Holzheim am Forst solar farm</t>
  </si>
  <si>
    <t>Solarpark Hubelschwaige solar farm</t>
  </si>
  <si>
    <t>Solarpark IIIB solar farm</t>
  </si>
  <si>
    <t>Solarpark Immelstetten BA 1 solar farm</t>
  </si>
  <si>
    <t>Solarpark Irschenberg 2 solar project</t>
  </si>
  <si>
    <t>Solarpark Junkersdorf I solar farm</t>
  </si>
  <si>
    <t>Solarpark Jülich Merscher Höhe solar farm</t>
  </si>
  <si>
    <t>Solarpark KZW GmbH &amp; Co. KG solar farm</t>
  </si>
  <si>
    <t>Solarpark KZW II GmbH &amp; Co. KG solar farm</t>
  </si>
  <si>
    <t>Solarpark Kammerstein solar farm</t>
  </si>
  <si>
    <t>Solarpark Kammerstein-Unterreichenbach solar farm</t>
  </si>
  <si>
    <t>Solarpark Kirchheim (Derndorf) - P18-018 solar farm</t>
  </si>
  <si>
    <t>Solarpark Leiwen Sonnenberg 1,3 solar project</t>
  </si>
  <si>
    <t>Solarpark Leiwen-Sonnenberg 2. Bauabschnitt solar farm</t>
  </si>
  <si>
    <t>Solarpark Lenting II solar farm</t>
  </si>
  <si>
    <t>Solarpark Lustnauer Ohren solar project</t>
  </si>
  <si>
    <t>Solarpark Lüttow-Valluhn solar farm</t>
  </si>
  <si>
    <t>Solarpark Nessa GWG Elmeweg solar farm</t>
  </si>
  <si>
    <t>Solarpark Niederfüllbach solar farm</t>
  </si>
  <si>
    <t>Solarpark Nochten EEG solar farm</t>
  </si>
  <si>
    <t>12,5</t>
  </si>
  <si>
    <t>Solarpark Nochten PPA solar farm</t>
  </si>
  <si>
    <t>Solarpark Obersteinbach II solar farm</t>
  </si>
  <si>
    <t>Solarpark Oberstreu solar farm</t>
  </si>
  <si>
    <t>Solarpark Oberviechtach I solar farm</t>
  </si>
  <si>
    <t>Solarpark Oberviechtach II BA 2 solar farm</t>
  </si>
  <si>
    <t>Solarpark Oening - Abschnitt 1 solar farm</t>
  </si>
  <si>
    <t>13,1</t>
  </si>
  <si>
    <t>Solarpark Oening - Abschnitt 2 solar farm</t>
  </si>
  <si>
    <t>Solarpark Oschersleben solar farm</t>
  </si>
  <si>
    <t>Solarpark Ottmarsfeld Nord solar farm</t>
  </si>
  <si>
    <t>Solarpark Parkentin 2 solar farm</t>
  </si>
  <si>
    <t>Solarpark Pasewalk 1 solar farm</t>
  </si>
  <si>
    <t>Solarpark Pasewalk 2 solar farm</t>
  </si>
  <si>
    <t>Solarpark Pfannenstiel solar farm</t>
  </si>
  <si>
    <t>Solarpark Pichl solar farm</t>
  </si>
  <si>
    <t>Solarpark Prebitz-Preußling solar farm</t>
  </si>
  <si>
    <t>Solarpark Raderstetten solar farm</t>
  </si>
  <si>
    <t>Solarpark Ramsthal II solar farm</t>
  </si>
  <si>
    <t>Solarpark Reichersdorf II solar farm</t>
  </si>
  <si>
    <t>Solarpark Reusch Kloha-Zink solar farm</t>
  </si>
  <si>
    <t>Solarpark Ringleben BA3 solar farm</t>
  </si>
  <si>
    <t>Solarpark Rudersberg BA 1 solar farm</t>
  </si>
  <si>
    <t>Solarpark Röbersdorf solar farm</t>
  </si>
  <si>
    <t>Solarpark Salmünster 1 (2.Teil) solar farm</t>
  </si>
  <si>
    <t>Solarpark Salmünster 1 solar farm</t>
  </si>
  <si>
    <t>Solarpark Scheinfeld 2 solar farm</t>
  </si>
  <si>
    <t>Solarpark Simmelsdorf-Judenhof solar farm</t>
  </si>
  <si>
    <t>Solarpark Stolpe solar farm</t>
  </si>
  <si>
    <t>Solarpark Straubing BB II solar farm</t>
  </si>
  <si>
    <t>Solarpark Taiting BA 1 solar farm</t>
  </si>
  <si>
    <t>Solarpark Taiting BA 2 solar farm</t>
  </si>
  <si>
    <t>Solarpark Untersiemau II solar farm</t>
  </si>
  <si>
    <t>Solarpark Ursensollen-Wappersdorf Nord solar farm</t>
  </si>
  <si>
    <t>Solarpark Ursensollen-Wappersdorf Süd solar farm</t>
  </si>
  <si>
    <t>Solarpark Veynau solar farm</t>
  </si>
  <si>
    <t>Solarpark Völkersleier solar farm</t>
  </si>
  <si>
    <t>Solarpark Wackerow I solar farm</t>
  </si>
  <si>
    <t>Solarpark Walkersbrunn P18-113 solar farm</t>
  </si>
  <si>
    <t>Solarpark Walkersbrunn P19-083 solar farm</t>
  </si>
  <si>
    <t>Solarpark Wiggensbach solar farm</t>
  </si>
  <si>
    <t>Solarpark Willingrade solar farm</t>
  </si>
  <si>
    <t>Solarpark Winterbach - P19-151 solar farm</t>
  </si>
  <si>
    <t>Solarpark Wolfegg P18 069 Teil 2 solar project</t>
  </si>
  <si>
    <t>Solarpark Zernitz solar farm</t>
  </si>
  <si>
    <t>Solarpark am Gewerbegebiet West solar project</t>
  </si>
  <si>
    <t>Solarpark Übermatzhofen II BA 1 solar farm</t>
  </si>
  <si>
    <t>Sonnenpark Tännesberg 2 solar farm</t>
  </si>
  <si>
    <t>Stadtallendorf 1.2 solar farm</t>
  </si>
  <si>
    <t>Stavenhagen 2 solar farm</t>
  </si>
  <si>
    <t>Steinacker Vogelherd solar farm</t>
  </si>
  <si>
    <t>Strukdorf 1 solar farm</t>
  </si>
  <si>
    <t>Taubenried solar farm</t>
  </si>
  <si>
    <t>Uckro 1.1 solar farm</t>
  </si>
  <si>
    <t>Unit 1&amp;3 solar farm</t>
  </si>
  <si>
    <t>Unterbruck II PVA1 solar farm</t>
  </si>
  <si>
    <t>Untersteinach 2.1 solar farm</t>
  </si>
  <si>
    <t>VERAVIS Energy PV2 Wunstorf 3 solar project</t>
  </si>
  <si>
    <t>VenSol Bürgersolarpark Illertissen GmbH &amp; Co. KG I solar farm</t>
  </si>
  <si>
    <t>VenSol Bürgersolarpark Illertissen GmbH &amp; Co. KG II solar farm</t>
  </si>
  <si>
    <t>VenSol Solarpark Schwaighausen GmbH &amp; Co. KG solar farm</t>
  </si>
  <si>
    <t>Wagner Dießlings I solar farm</t>
  </si>
  <si>
    <t>Waltershausen Gummideponie solar farm</t>
  </si>
  <si>
    <t>Wasbek 1.1 solar farm</t>
  </si>
  <si>
    <t>Ziegler GmbH solar farm</t>
  </si>
  <si>
    <t>Zum Wasserwerk 9 (PV Freifläche WW Thiene) solar farm</t>
  </si>
  <si>
    <t>Zwickau Gärtnerei solar farm</t>
  </si>
  <si>
    <t>allvac Folien Waltenhofen solar farm</t>
  </si>
  <si>
    <t>Dorfstr. solar project</t>
  </si>
  <si>
    <t>PV Anlage Sägehalle Rückseite solar project</t>
  </si>
  <si>
    <t>PVA Harsleben Teil solar project</t>
  </si>
  <si>
    <t>Richard Neumayer GmbH solar project</t>
  </si>
  <si>
    <t>SEE910003300444 solar project</t>
  </si>
  <si>
    <t>SEE949590893930 solar project</t>
  </si>
  <si>
    <t>SEE973495438231 solar project</t>
  </si>
  <si>
    <t>Solarpark Oberpfalz II solar project</t>
  </si>
  <si>
    <t>Solarpark Oberpfalz III solar project</t>
  </si>
  <si>
    <t>Tränkhalle solar project</t>
  </si>
  <si>
    <t>Dach Sievert solar project</t>
  </si>
  <si>
    <t>Erzeugungsanlage Dachfläche/Produktionshallen solar project</t>
  </si>
  <si>
    <t>Hallendach solar project II</t>
  </si>
  <si>
    <t>Krempe 2-2_13,375 MW_Ost solar project</t>
  </si>
  <si>
    <t>MAIS001 (Möckmühl) Halle F solar project</t>
  </si>
  <si>
    <t>Mittelstrimmig 1.1 solar project</t>
  </si>
  <si>
    <t>PV Anlage - Logistikzentrum Damco GmbH Duisburg solar project</t>
  </si>
  <si>
    <t>PV Anlage Werk 2A, Werk 7 und Betonwerk solar project</t>
  </si>
  <si>
    <t>PV Bork solar project</t>
  </si>
  <si>
    <t>PV Dachfläche Neufahrn 1. BA solar project</t>
  </si>
  <si>
    <t>PV Zwischen- und Reinwasserbehaelter SB solar project</t>
  </si>
  <si>
    <t>PV-Anlage 1 auf Hallen 1 und 2 solar project</t>
  </si>
  <si>
    <t>PV-Anlage 2023 solar project</t>
  </si>
  <si>
    <t>PV-Dachanlage TCA solar project</t>
  </si>
  <si>
    <t>PVA Arnstadt solar project</t>
  </si>
  <si>
    <t>PVA IAA Böhlen_PPA solar project</t>
  </si>
  <si>
    <t>PVA Perleberg 1.460,76 solar project</t>
  </si>
  <si>
    <t>PVA Woldegk Master solar project</t>
  </si>
  <si>
    <t>Schaeffler Automotive Buehl GmbH ＆ Co. KG solar project</t>
  </si>
  <si>
    <t>Solaranlage Ingolstadt-Steinheilstraße - P21-522 solar project</t>
  </si>
  <si>
    <t>Solarpark Diepoldshofen 2 solar project</t>
  </si>
  <si>
    <t>Solarpark Ergoldsbach-Mallersdorf - P19-048 solar project</t>
  </si>
  <si>
    <t>080-Riesa solar farm</t>
  </si>
  <si>
    <t>105 Roda solar project</t>
  </si>
  <si>
    <t>114-Ziegelroda solar farm</t>
  </si>
  <si>
    <t>129 Oberkrämer solar project</t>
  </si>
  <si>
    <t>1394 solar farm</t>
  </si>
  <si>
    <t>145 Rottenburg solar project</t>
  </si>
  <si>
    <t>151 2 Oberdreis 1.2.2 solar project</t>
  </si>
  <si>
    <t>2 MW Steigfeld solar project</t>
  </si>
  <si>
    <t>22154 SP Hengersberg solar project</t>
  </si>
  <si>
    <t>230728 PV GAFB Rhe 2399kWp solar project</t>
  </si>
  <si>
    <t>230907 PV W＆K KIT CON 1594,08kWp solar project</t>
  </si>
  <si>
    <t>23101 SP Schkeitbar Anlagenteil 5 (PVA5) solar project</t>
  </si>
  <si>
    <t>231023 GERGAF A 7770kWp solar project</t>
  </si>
  <si>
    <t>23116 SP Maxhütte solar project</t>
  </si>
  <si>
    <t>23136 SP Lindacher Feld solar project</t>
  </si>
  <si>
    <t>23141 SP Wallersdorf solar project</t>
  </si>
  <si>
    <t>23142 SP Zeilarn solar project</t>
  </si>
  <si>
    <t>23143 SP Maierhof PVA3 solar project</t>
  </si>
  <si>
    <t>23143 SP Maierhof PVA6 solar project</t>
  </si>
  <si>
    <t>23143 SP Maierhof PVA7 solar project</t>
  </si>
  <si>
    <t>23144 SP Wimmer PVA1 solar project</t>
  </si>
  <si>
    <t>23184 SP Möringen BA1 PVA2 solar project</t>
  </si>
  <si>
    <t>23184 SP Möringen BA1 PVA3 solar project</t>
  </si>
  <si>
    <t>23198 SP Dingstetten solar project</t>
  </si>
  <si>
    <t>23251 SP Niederbergkirchen PVA1 solar project</t>
  </si>
  <si>
    <t>6903 Kaufland Lübbenau / Spreewald solar project</t>
  </si>
  <si>
    <t>9023 SP Münsingen solar project</t>
  </si>
  <si>
    <t>9031 Empfingen Gfrörer solar project</t>
  </si>
  <si>
    <t>A3_GPG solar farm</t>
  </si>
  <si>
    <t>ABO Wind PV Weichenried solar farm</t>
  </si>
  <si>
    <t>ABO Wind PV Zerf solar farm</t>
  </si>
  <si>
    <t>ABO Wind PVA Leutershausen solar farm</t>
  </si>
  <si>
    <t>ABR947717752986 solar project</t>
  </si>
  <si>
    <t>ANGUS 1 solar project</t>
  </si>
  <si>
    <t>ANGUS 2 solar project</t>
  </si>
  <si>
    <t>Agri PV Bedburg solar project</t>
  </si>
  <si>
    <t>Allrounder Mountain Resort GmbH ＆ Co. KG Südfläche solar project</t>
  </si>
  <si>
    <t>Altmühl Solarenergie GmbH ＆Co.KG solar project</t>
  </si>
  <si>
    <t>Alu Richter BA2 solar project</t>
  </si>
  <si>
    <t>Am Weiher solar project</t>
  </si>
  <si>
    <t>Anlage 1 solar project</t>
  </si>
  <si>
    <t>Anlage 2023 solar project</t>
  </si>
  <si>
    <t>Anlage Garnholt solar project</t>
  </si>
  <si>
    <t>B1 solar project</t>
  </si>
  <si>
    <t>B2 solar farm</t>
  </si>
  <si>
    <t>BAVARIA solar project</t>
  </si>
  <si>
    <t>BER 1 solar project</t>
  </si>
  <si>
    <t>BERG004 (Bremen) solar project</t>
  </si>
  <si>
    <t>BERSN01 solar project</t>
  </si>
  <si>
    <t>BSG PV LoRi solar project</t>
  </si>
  <si>
    <t>Bachfeld solar project</t>
  </si>
  <si>
    <t>Bachwiese Sonnenenergie solar project</t>
  </si>
  <si>
    <t>Balder A09 - Bereich X solar farm</t>
  </si>
  <si>
    <t>Beckmann PV 1 solar farm</t>
  </si>
  <si>
    <t>Beckum LCB Energie solar project</t>
  </si>
  <si>
    <t>Birkig II Optimierung/Verdichtung solar project</t>
  </si>
  <si>
    <t>Bitterfeld 1 2,5 MW solar project</t>
  </si>
  <si>
    <t>Bitterfeld 2 2,5 MW solar project</t>
  </si>
  <si>
    <t>Boehringer Ingelheim - Flur 10 220/1 BA1 - PV solar farm</t>
  </si>
  <si>
    <t>Boll ＆ Kirch Filterbau Siemensstr solar project</t>
  </si>
  <si>
    <t>Brake Hallen solar project</t>
  </si>
  <si>
    <t>Buchhausen 267 PV 1001,22 kW solar project</t>
  </si>
  <si>
    <t>Buchhausen 267 PV 1863,84 kW solar project</t>
  </si>
  <si>
    <t>Bullay 1.2 solar project</t>
  </si>
  <si>
    <t>Burghart Trafo 2 solar project</t>
  </si>
  <si>
    <t>Burghart Trafo 3 solar project</t>
  </si>
  <si>
    <t>Burghart solar farm</t>
  </si>
  <si>
    <t>Burgpreppach solar farm</t>
  </si>
  <si>
    <t>Bönebüttel solar project</t>
  </si>
  <si>
    <t>Bürgersolar Neuendettelsau 2023 solar project</t>
  </si>
  <si>
    <t>C2_GPG solar farm</t>
  </si>
  <si>
    <t>Christian Freiherr von Landsberg Velen 1278,79 kWp solar project</t>
  </si>
  <si>
    <t>DE003000 Zentrallager Stelle solar project</t>
  </si>
  <si>
    <t>DULM001 (Dorsten) solar project</t>
  </si>
  <si>
    <t>Dach-PV-Anlage Hecklinger Straße, Gr. Börnecke solar farm</t>
  </si>
  <si>
    <t>Dachanlage HAGE solar project</t>
  </si>
  <si>
    <t>Dachanlage HD solar project</t>
  </si>
  <si>
    <t>Dachanlage Spedition Logistikhalle 1 3 solar project</t>
  </si>
  <si>
    <t>Diederichs 2 solar project</t>
  </si>
  <si>
    <t>Dießlings II solar project</t>
  </si>
  <si>
    <t>DoMu PV Anlage solar project</t>
  </si>
  <si>
    <t>Dorfborn solar project</t>
  </si>
  <si>
    <t>Dortmund DC2 (SolarSmart) solar project</t>
  </si>
  <si>
    <t>Dortmund DC2 (SolarX) solar project</t>
  </si>
  <si>
    <t>Driverspark III solar project</t>
  </si>
  <si>
    <t>Düren 2.3 solar farm</t>
  </si>
  <si>
    <t>Dürrenhofe 2 solar project</t>
  </si>
  <si>
    <t>ENV20020 PV Bahlingen solar project</t>
  </si>
  <si>
    <t>ENV23023 Aventos solar project</t>
  </si>
  <si>
    <t>EP ID 1142598 solar project</t>
  </si>
  <si>
    <t>Eggebek 2.2 solar project</t>
  </si>
  <si>
    <t>Ehndorf 1.1 solar project</t>
  </si>
  <si>
    <t>14,2</t>
  </si>
  <si>
    <t>Ehndorf 1.2 solar project</t>
  </si>
  <si>
    <t>Enge Sande 1.1 solar project</t>
  </si>
  <si>
    <t>Ernsthof Süd solar project</t>
  </si>
  <si>
    <t>Erweiterung Cloppenburg solar project</t>
  </si>
  <si>
    <t>Erzeugungsanlage Dach/Freilandfläche solar farm</t>
  </si>
  <si>
    <t>FF Löhlein solar project</t>
  </si>
  <si>
    <t>FFA Sonnenhang solar project</t>
  </si>
  <si>
    <t>FFPV Hinterösch solar project</t>
  </si>
  <si>
    <t>Flachdach solar project</t>
  </si>
  <si>
    <t>Flurnummer 416 solar farm</t>
  </si>
  <si>
    <t>Freifläche Dorf solar project</t>
  </si>
  <si>
    <t>Freifläche HG Solar solar farm</t>
  </si>
  <si>
    <t>Freifläche Kaibitz solar farm</t>
  </si>
  <si>
    <t>Freifläche Seedorf 1999kWp solar project</t>
  </si>
  <si>
    <t>Freifläche, 2749,365 kWp solar project</t>
  </si>
  <si>
    <t>Freiflächen Anlage am Kohweidsweg solar project</t>
  </si>
  <si>
    <t>Freiflächen PV Rehau solar project</t>
  </si>
  <si>
    <t>Freiflächenanlage 09/23 solar project</t>
  </si>
  <si>
    <t>Freiflächenanlage 1599,75kWp solar project</t>
  </si>
  <si>
    <t>Freiflächenanlage 5MH NT1 10/23 AS solar project</t>
  </si>
  <si>
    <t>Freiflächenanlage 6MH BB 12/23 AS solar project</t>
  </si>
  <si>
    <t>Freiflächenanlage 6MH LKB2 10/23 AS solar project</t>
  </si>
  <si>
    <t>Freiflächenanlage 7MH LKB3 10/23 AS solar project</t>
  </si>
  <si>
    <t>Freiflächenanlage 7MH WR1 10/23 AS solar project</t>
  </si>
  <si>
    <t>Freiflächenanlage 8MH NT3 10/23 AS solar project</t>
  </si>
  <si>
    <t>Freiflächenanlage Appolding solar farm</t>
  </si>
  <si>
    <t>Freiflächenanlage Grasbrunn 1558 04/23 solar project</t>
  </si>
  <si>
    <t>Freiflächenanlage I (V) solar farm</t>
  </si>
  <si>
    <t>Freiflächenanlage IV solar farm</t>
  </si>
  <si>
    <t>Freiflächenanlage Niemegk solar project</t>
  </si>
  <si>
    <t>Freiflächenanlage Staudach Nord II 2023 solar project</t>
  </si>
  <si>
    <t>Freiflächenanlage VM LKB2 10/23 AS solar project</t>
  </si>
  <si>
    <t>Freiflächenphotovoltaik "Gut Geratshof" solar project I</t>
  </si>
  <si>
    <t>Freilandanlage Schwarze Pumpe Schäfereistraße PPA Anlage solar project</t>
  </si>
  <si>
    <t>Frische und Logistikzentrum Senden solar project</t>
  </si>
  <si>
    <t>Fuchsstadt Abschnitt 1 solar project</t>
  </si>
  <si>
    <t>16,6</t>
  </si>
  <si>
    <t>GERERF3 solar project</t>
  </si>
  <si>
    <t>GE_Nord_14.2023 solar farm</t>
  </si>
  <si>
    <t>GG BA II 50 MW solar project</t>
  </si>
  <si>
    <t>13,2</t>
  </si>
  <si>
    <t>Ganacker solar farm</t>
  </si>
  <si>
    <t>Garzweiler solar farm</t>
  </si>
  <si>
    <t>19,4</t>
  </si>
  <si>
    <t>Gehr solar project</t>
  </si>
  <si>
    <t>Grenderich 1.2 solar project</t>
  </si>
  <si>
    <t>Groß Siemz III solar project</t>
  </si>
  <si>
    <t>Große PV Anlage solar project</t>
  </si>
  <si>
    <t>Großheirath solar project</t>
  </si>
  <si>
    <t>Grubo BA2 solar project</t>
  </si>
  <si>
    <t>Grün Strom Kraftwerk GmbH ＆ Co.KG solar project</t>
  </si>
  <si>
    <t>GrünerMerklingen Dach solar project</t>
  </si>
  <si>
    <t>Gutex Max Immelmann Allee 3 Eschbach 1.000,5 kWp solar project</t>
  </si>
  <si>
    <t>HELM010 (Altenstadt) solar project</t>
  </si>
  <si>
    <t>Halle C solar project</t>
  </si>
  <si>
    <t>Hamm DC1 solar project</t>
  </si>
  <si>
    <t>Hannover Airport DC3 solar project</t>
  </si>
  <si>
    <t>Haserich 1.1 solar project</t>
  </si>
  <si>
    <t>Hasselbach III solar project</t>
  </si>
  <si>
    <t>Haupt PV Eigendach 1229,67kWp solar project</t>
  </si>
  <si>
    <t>Henningsleben 1 solar project</t>
  </si>
  <si>
    <t>Henschleben II, Feld 5.1 solar project</t>
  </si>
  <si>
    <t>Henschleben III, Feld 5.2 solar project</t>
  </si>
  <si>
    <t>Hochstätt Schechen BNetzA solar farm</t>
  </si>
  <si>
    <t>Höhr Grenzhausen solar project</t>
  </si>
  <si>
    <t>IBC Solarpark Projekt 2022/01 GmbH ＆ Co. KG solar project</t>
  </si>
  <si>
    <t>IBC Solarpark Sand am Main GUT GmbH ＆ Co. KG Teil 1 solar project</t>
  </si>
  <si>
    <t>IBC Solarpark Sand am Main GUT GmbH ＆ Co. KG Teil 2 (benachteiligtes Gebiet) solar project</t>
  </si>
  <si>
    <t>Industriestraße 10, 12, 16 solar farm</t>
  </si>
  <si>
    <t>Irlach solar farm</t>
  </si>
  <si>
    <t>Jackerath solar farm</t>
  </si>
  <si>
    <t>John Deere 110 112 solar project</t>
  </si>
  <si>
    <t>KIN MUEM Mühlheim Kärlich solar project</t>
  </si>
  <si>
    <t>KS1 Kreuz Uckermark S1_1. BA solar farm</t>
  </si>
  <si>
    <t>KS1 Kreuz Uckermark S1_2. BA solar farm</t>
  </si>
  <si>
    <t>KTO Koblenz solar project</t>
  </si>
  <si>
    <t>Kaltenkrichen 1,9 MWp solar project</t>
  </si>
  <si>
    <t>Kaltner Bioenergie Kirchberg 1010kWp solar project</t>
  </si>
  <si>
    <t>Karrenzin BA II 10 MW solar project</t>
  </si>
  <si>
    <t>Kassel solar project</t>
  </si>
  <si>
    <t>Kettelhack Rheine solar project</t>
  </si>
  <si>
    <t>Kirchheim Station 4 solar project</t>
  </si>
  <si>
    <t>Kirchheim Stationen 1 3 solar project</t>
  </si>
  <si>
    <t>Kraiburg BU 6,8 MW solar project</t>
  </si>
  <si>
    <t>Kraiburg RA 6,2 MW solar project</t>
  </si>
  <si>
    <t>Krempe 1 7,6 MW solar project</t>
  </si>
  <si>
    <t>Krempe 3 9,4 MW solar project</t>
  </si>
  <si>
    <t>Krempe solar farm</t>
  </si>
  <si>
    <t>LPC 2_PVS126-128 solar farm</t>
  </si>
  <si>
    <t>Lemwerder 1 solar project</t>
  </si>
  <si>
    <t>Liebigstraße 3 Distributionszentrum solar project</t>
  </si>
  <si>
    <t>Liesenich 1 solar project</t>
  </si>
  <si>
    <t>Logicor Deutschland PV Anlage Lahr solar project</t>
  </si>
  <si>
    <t>MAIS001 (Möckmühl) solar project</t>
  </si>
  <si>
    <t>Mannheim 2 1,6 solar project</t>
  </si>
  <si>
    <t>Mannheim BA1 3,3 MW solar project</t>
  </si>
  <si>
    <t>Marbach 1 solar project</t>
  </si>
  <si>
    <t>13,7</t>
  </si>
  <si>
    <t>Marl I solar project</t>
  </si>
  <si>
    <t>Memmendorf MVA PH3 solar project</t>
  </si>
  <si>
    <t>Moosanger II solar project</t>
  </si>
  <si>
    <t>NF Duisburg PV solar farm</t>
  </si>
  <si>
    <t>NOR FLAGBALG solar project</t>
  </si>
  <si>
    <t>Neufahrn Werk 2 1 solar project</t>
  </si>
  <si>
    <t>Neufeld solar project</t>
  </si>
  <si>
    <t>Niedersachsenpark H1 4,3 MW solar project</t>
  </si>
  <si>
    <t>Niedersachsenpark H2 2,04 MW solar project</t>
  </si>
  <si>
    <t>Niedersachsenpark H3 1,5 MW solar project</t>
  </si>
  <si>
    <t>Nienbüttel solar project</t>
  </si>
  <si>
    <t>Nienhagen solar project</t>
  </si>
  <si>
    <t>Nuveen, GLOF, Greven solar project</t>
  </si>
  <si>
    <t>OTTO006 (Unna) solar project</t>
  </si>
  <si>
    <t>Oberhamberg Ausschreibung solar project</t>
  </si>
  <si>
    <t>Oberrammersdorf solar project</t>
  </si>
  <si>
    <t>Ovelgünne solar project</t>
  </si>
  <si>
    <t>P347 Hakenberg solar project</t>
  </si>
  <si>
    <t>PB PV 10 solar project</t>
  </si>
  <si>
    <t>PB PV 11 solar project</t>
  </si>
  <si>
    <t>PV 1 MVA Pfiffelbach solar project</t>
  </si>
  <si>
    <t>PV 1.344,60 kW Freifläche solar project</t>
  </si>
  <si>
    <t>PV 202-458 EEG21 solar farm</t>
  </si>
  <si>
    <t>PV 202-458 EEG23 solar farm</t>
  </si>
  <si>
    <t>PV 6 Freifläche 2 Eisenstorf solar project</t>
  </si>
  <si>
    <t>PV Anlage 1 (Heinsberg) solar project</t>
  </si>
  <si>
    <t>PV Anlage 1 (Vellberg) solar project</t>
  </si>
  <si>
    <t>PV Anlage 1001 kW solar project</t>
  </si>
  <si>
    <t>PV Anlage 1263 kW solar project</t>
  </si>
  <si>
    <t>PV Anlage 2022 solar project</t>
  </si>
  <si>
    <t>PV Anlage 2023 (Rüthen) solar project</t>
  </si>
  <si>
    <t>PV Anlage 2023 (Schernfeld) solar project</t>
  </si>
  <si>
    <t>PV Anlage 2023 (Weißenburg) solar project</t>
  </si>
  <si>
    <t>PV Anlage 2023 Ost West Anlage solar project</t>
  </si>
  <si>
    <t>PV Anlage 2023 Südanlage solar project</t>
  </si>
  <si>
    <t>PV Anlage 3 solar project</t>
  </si>
  <si>
    <t>PV Anlage Allfein Dannenberg solar project</t>
  </si>
  <si>
    <t>PV Anlage Am Tower 8 solar project</t>
  </si>
  <si>
    <t>PV Anlage Bruchsal-Untergrombach solar farm</t>
  </si>
  <si>
    <t>PV Anlage Deckel Maho Pfronten solar project</t>
  </si>
  <si>
    <t>PV Anlage Eichenzell solar project</t>
  </si>
  <si>
    <t>PV Anlage Freifläche III solar project</t>
  </si>
  <si>
    <t>PV Anlage Freifläche MS Powertrain solar project</t>
  </si>
  <si>
    <t>PV Anlage G60 (Dach) solar project</t>
  </si>
  <si>
    <t>PV Anlage Halle Kühlauflieger solar project</t>
  </si>
  <si>
    <t>PV Anlage Industriedach Bauabschnitt 1 solar project</t>
  </si>
  <si>
    <t>PV Anlage LGZ Wesel solar project</t>
  </si>
  <si>
    <t>PV Anlage Lager Eichhof BA1 solar project</t>
  </si>
  <si>
    <t>PV Anlage Laubsdorf 2.BA solar project</t>
  </si>
  <si>
    <t>PV Anlage Layher Werk 1 solar project</t>
  </si>
  <si>
    <t>PV Anlage Layher Werk 3 solar project</t>
  </si>
  <si>
    <t>PV Anlage MEGA Tierernährung 1,1 solar project</t>
  </si>
  <si>
    <t>PV Anlage Metallkompetenz Zentrum (MKZ 1) solar project</t>
  </si>
  <si>
    <t>PV Anlage Neuried solar project</t>
  </si>
  <si>
    <t>PV Anlage Nordhausener Eschweg solar project</t>
  </si>
  <si>
    <t>PV Anlage Oberhof solar project</t>
  </si>
  <si>
    <t>PV Anlage Ostendorf Werk 2 solar project</t>
  </si>
  <si>
    <t>PV Anlage Polch solar project</t>
  </si>
  <si>
    <t>PV Anlage Rudersberg solar project</t>
  </si>
  <si>
    <t>PV Anlage Seelze 2700kWp solar project</t>
  </si>
  <si>
    <t>PV Anlage Standort Berlin solar project</t>
  </si>
  <si>
    <t>PV Anlage Werk 4 Flachdächer solar project</t>
  </si>
  <si>
    <t>PV Anlage Werk 5000 solar project</t>
  </si>
  <si>
    <t>PV Anlage Werk 7 solar farm</t>
  </si>
  <si>
    <t>PV Anlage, Ferdinand Braun Straße solar project</t>
  </si>
  <si>
    <t>PV Anlage; Hallendach Betriebsstätte Petersbuch solar project</t>
  </si>
  <si>
    <t>PV Auerbach Am Kohlweg solar project</t>
  </si>
  <si>
    <t>PV Ausschreibungsanlage 2 2023 solar project</t>
  </si>
  <si>
    <t>PV BAT Mehltheuer solar project</t>
  </si>
  <si>
    <t>PV BAT Parchim solar project</t>
  </si>
  <si>
    <t>PV BKW Beerfelde solar project</t>
  </si>
  <si>
    <t>PV Baiershofen West solar project</t>
  </si>
  <si>
    <t>PV Baiershofen solar farm</t>
  </si>
  <si>
    <t>PV Beckum solar project</t>
  </si>
  <si>
    <t>PV Bilster Berg solar project</t>
  </si>
  <si>
    <t>PV Chemnitz 12400 solar project</t>
  </si>
  <si>
    <t>12,4</t>
  </si>
  <si>
    <t>PV Dachanlage (Aschersleben) solar project</t>
  </si>
  <si>
    <t>PV Dachanlage (Kirchbrak) solar project</t>
  </si>
  <si>
    <t>PV Dachanlage (Minden) solar project</t>
  </si>
  <si>
    <t>PV Dachanlage (Mülheim-Kärlich) solar project</t>
  </si>
  <si>
    <t>PV Dachanlage Herknerstraße solar project</t>
  </si>
  <si>
    <t>PV Dachanlage Welzin solar project</t>
  </si>
  <si>
    <t>PV Denklingen solar farm</t>
  </si>
  <si>
    <t>PV Donaueschingen solar farm</t>
  </si>
  <si>
    <t>PV Dorfen Unterschiltern solar project</t>
  </si>
  <si>
    <t>PV Dächer solar project</t>
  </si>
  <si>
    <t>PV Eisenhüttenstadt solar project</t>
  </si>
  <si>
    <t>PV Epfach BNetzA solar farm</t>
  </si>
  <si>
    <t>PV Espich A9 III solar project</t>
  </si>
  <si>
    <t>PV FF Anlage Dietenhofen 2023 solar project</t>
  </si>
  <si>
    <t>PV FFA Döggingen II solar project</t>
  </si>
  <si>
    <t>PV Fernwärme Bundorf solar project</t>
  </si>
  <si>
    <t>PV Frankenhain Volleinspeisung solar project</t>
  </si>
  <si>
    <t>PV Freiflächanlage 1.532,68kWp solar farm</t>
  </si>
  <si>
    <t>PV Freiflächanlage 1.579,50kWp solar project</t>
  </si>
  <si>
    <t>PV Freiflächanlage 1.776,00kWp solar project</t>
  </si>
  <si>
    <t>PV Freiflächanlage 2.679,75kWp solar farm</t>
  </si>
  <si>
    <t>PV Freiflächanlage 3.049,65kWp solar project</t>
  </si>
  <si>
    <t>PV Freiflächanlage 3.183,60 kWp solar project</t>
  </si>
  <si>
    <t>PV Freiflächanlage Hauzenberg 3.517,43kWp solar project</t>
  </si>
  <si>
    <t>PV Freiflächanlage Waldkirchen Resch solar project</t>
  </si>
  <si>
    <t>PV Freifläche (Meßkirch) solar project</t>
  </si>
  <si>
    <t>PV Freifläche 1.238,40kWp solar project</t>
  </si>
  <si>
    <t>PV Freifläche 1.999,80 kWp solar project</t>
  </si>
  <si>
    <t>PV Freifläche 2.565,27kWp solar project</t>
  </si>
  <si>
    <t>PV Freifläche 2.866,05kWp solar project</t>
  </si>
  <si>
    <t>PV Freifläche DAII SNH solar farm</t>
  </si>
  <si>
    <t>PV Freiflächenanlage 30/8 Hornberger solar project</t>
  </si>
  <si>
    <t>PV Freiflächenanlage Schumacher Packaging GmbH ＆ Co.KG solar project</t>
  </si>
  <si>
    <t>PV Freifächenanlage Grünmettstetterstraße solar project</t>
  </si>
  <si>
    <t>PV Freiland Atesteo solar project</t>
  </si>
  <si>
    <t>PV Freudenberg solar project</t>
  </si>
  <si>
    <t>PV Glittenberg FFA solar project</t>
  </si>
  <si>
    <t>PV H18 solar project</t>
  </si>
  <si>
    <t>PV H2 Tankstelle solar project</t>
  </si>
  <si>
    <t>PV HAWE Kaufbeuren H1 H2 H3 1320,485 kWp solar project</t>
  </si>
  <si>
    <t>PV Halle Neu solar project</t>
  </si>
  <si>
    <t>PV Hambach I solar farm</t>
  </si>
  <si>
    <t>PV Hasengrund solar project</t>
  </si>
  <si>
    <t>PV Heidenheim an der Brenz solar project</t>
  </si>
  <si>
    <t>PV KH solar project</t>
  </si>
  <si>
    <t>PV Kronberg im Holzland solar project</t>
  </si>
  <si>
    <t>PV Kümmersbruck Anlage 1 8,7 MW solar project</t>
  </si>
  <si>
    <t>PV Langenaltheim solar project</t>
  </si>
  <si>
    <t>PV Lehe I Teil 2 solar project</t>
  </si>
  <si>
    <t>PV Lehe solar farm</t>
  </si>
  <si>
    <t>PV Mamming Rosenau solar project</t>
  </si>
  <si>
    <t>PV NGL Buxheim solar farm</t>
  </si>
  <si>
    <t>PV Naturenergie Hitzacker solar project</t>
  </si>
  <si>
    <t>PV Park "Solla" solar project</t>
  </si>
  <si>
    <t>PV Park Arnetsried solar project</t>
  </si>
  <si>
    <t>PV Queckbronn 03 solar project</t>
  </si>
  <si>
    <t>PV Reisbach GmbH solar project</t>
  </si>
  <si>
    <t>PV Schwalbach Dach I bis III ( EEG 82, 83, 84) solar project</t>
  </si>
  <si>
    <t>PV Si 540 solar project</t>
  </si>
  <si>
    <t>PV Speichersdorf solar farm</t>
  </si>
  <si>
    <t>17,3</t>
  </si>
  <si>
    <t>PV Sulzbach solar project</t>
  </si>
  <si>
    <t>PV Sz Sz800 SzPF02 solar farm</t>
  </si>
  <si>
    <t>PV Trautenberg II Pleisdorf solar project</t>
  </si>
  <si>
    <t>PV Vellberg Projekt I GmbH ＆ Co. KG solar project</t>
  </si>
  <si>
    <t>PV Vellberg Projekt II GmbH ＆ Co. KG solar project</t>
  </si>
  <si>
    <t>PV Wachow solar project</t>
  </si>
  <si>
    <t>PV Walshausen Solarpark Innovationsausschreibung solar project</t>
  </si>
  <si>
    <t>PV Wernau2 solar project</t>
  </si>
  <si>
    <t>PV Ziegelei Feldhaus 3.343,96 kWp solar project</t>
  </si>
  <si>
    <t>PV Ziegelei Feldhaus 6851,51 kWp solar project</t>
  </si>
  <si>
    <t>PV Zieger solar project</t>
  </si>
  <si>
    <t>PV solar project</t>
  </si>
  <si>
    <t>PV Ö 2,1 solar farm</t>
  </si>
  <si>
    <t>PV- Anlage MEGA Tierernährung solar farm</t>
  </si>
  <si>
    <t>PV-Anlage 4 Restfläche Haupt-Werk 3 - BA3 solar farm</t>
  </si>
  <si>
    <t>PV-Anlage Barleben OTT3 solar farm</t>
  </si>
  <si>
    <t>PV-Anlage Emmerich RAW8 solar farm</t>
  </si>
  <si>
    <t>PV-Anlage Halle 2 solar farm</t>
  </si>
  <si>
    <t>PV-Anlage Herzlake / Halle 19, 17 und 16 solar farm</t>
  </si>
  <si>
    <t>PV-Anlage Mosberg-Richweiler solar farm</t>
  </si>
  <si>
    <t>PV-Anlage Nunkirchen solar farm</t>
  </si>
  <si>
    <t>PV-FW-4037 solar farm</t>
  </si>
  <si>
    <t>17,7</t>
  </si>
  <si>
    <t>PV-Freiflächenanlage 2023 solar farm</t>
  </si>
  <si>
    <t>PV-Irlberg Betreiber SOWI KG solar farm</t>
  </si>
  <si>
    <t>PV-Park 1 Tüschenbek solar farm</t>
  </si>
  <si>
    <t>PV-Park 2 solar farm</t>
  </si>
  <si>
    <t>PV03_H3_MWZ solar farm</t>
  </si>
  <si>
    <t>PV1 solar project</t>
  </si>
  <si>
    <t>PV3 2070,36 kWp solar project</t>
  </si>
  <si>
    <t>PVA Allmendingen solar farm</t>
  </si>
  <si>
    <t>12,9</t>
  </si>
  <si>
    <t>PVA Ammerland solar farm</t>
  </si>
  <si>
    <t>PVA Amstetten Mechanik solar project</t>
  </si>
  <si>
    <t>PVA Badem solar project</t>
  </si>
  <si>
    <t>PVA Beesenlaublingen BNA solar project</t>
  </si>
  <si>
    <t>PVA Boizenburg solar project</t>
  </si>
  <si>
    <t>PVA Boxbrunn Nord solar project</t>
  </si>
  <si>
    <t>PVA Boxbrunn Süd solar project</t>
  </si>
  <si>
    <t>PVA Brusow solar project</t>
  </si>
  <si>
    <t>PVA Brück 1 3 (GvBR 1) Ausschreibung solar project</t>
  </si>
  <si>
    <t>PVA Calbe solar farm</t>
  </si>
  <si>
    <t>PVA Dahrenstedt VE solar project</t>
  </si>
  <si>
    <t>PVA Dallgow Döberitz solar project</t>
  </si>
  <si>
    <t>PVA Danna 1 solar project</t>
  </si>
  <si>
    <t>PVA Dep. Biesenthal solar project</t>
  </si>
  <si>
    <t>PVA Dep. Ruhlsdorf solar project</t>
  </si>
  <si>
    <t>PVA Dürrenhofe solar project</t>
  </si>
  <si>
    <t>PVA Eisenberg Freifläche solar project</t>
  </si>
  <si>
    <t>PVA Emmingen Liptingen solar project</t>
  </si>
  <si>
    <t>PVA Etzleben solar project</t>
  </si>
  <si>
    <t>PVA FF Haselbach 2023 solar project</t>
  </si>
  <si>
    <t>PVA FF Wittenhagen Park 2 solar project</t>
  </si>
  <si>
    <t>PVA FFA Eberswalde Deponie Ostend BA4 solar project</t>
  </si>
  <si>
    <t>PVA FFA Eberswalde Deponie Ostend BA5 solar project</t>
  </si>
  <si>
    <t>PVA Farnham Teil 1 solar project</t>
  </si>
  <si>
    <t>PVA Farnham Teil 2 solar project</t>
  </si>
  <si>
    <t>PVA Frauental solar project</t>
  </si>
  <si>
    <t>PVA Fretthold Volleinspeisung solar project</t>
  </si>
  <si>
    <t>PVA Gerflor solar farm</t>
  </si>
  <si>
    <t>PVA Gewerbepark Brackwede Ausschreibung solar project</t>
  </si>
  <si>
    <t>PVA Gieboldehausen solar project</t>
  </si>
  <si>
    <t>PVA Gindorf 1.2 solar project</t>
  </si>
  <si>
    <t>PVA Gittelde II solar project</t>
  </si>
  <si>
    <t>PVA Gottberg West solar project</t>
  </si>
  <si>
    <t>PVA Gransee solar project</t>
  </si>
  <si>
    <t>PVA Groß Döbbern solar project</t>
  </si>
  <si>
    <t>PVA Guben II Teil Ausschreibung solar project</t>
  </si>
  <si>
    <t>PVA Gumpen solar project</t>
  </si>
  <si>
    <t>PVA HM Heizkörper solar project</t>
  </si>
  <si>
    <t>PVA Hammer solar project</t>
  </si>
  <si>
    <t>PVA Hella Recklinghausen solar farm</t>
  </si>
  <si>
    <t>PVA Hennickendorf 3 BNA solar project</t>
  </si>
  <si>
    <t>PVA Hillmersdorf II solar farm</t>
  </si>
  <si>
    <t>PVA Hosena I solar project</t>
  </si>
  <si>
    <t>PVA Hunold Leinefelde 1554 kWp solar project</t>
  </si>
  <si>
    <t>PVA IAA Böhlen solar farm</t>
  </si>
  <si>
    <t>14,8</t>
  </si>
  <si>
    <t>PVA II solar farm</t>
  </si>
  <si>
    <t>18,2</t>
  </si>
  <si>
    <t>PVA III solar farm</t>
  </si>
  <si>
    <t>15,8</t>
  </si>
  <si>
    <t>PVA Karstädt 2 PPA solar farm</t>
  </si>
  <si>
    <t>PVA Klaustorf solar farm</t>
  </si>
  <si>
    <t>PVA Lahr solar farm</t>
  </si>
  <si>
    <t>PVA Lalendorf solar project</t>
  </si>
  <si>
    <t>PVA Lauchhammer RSB solar project</t>
  </si>
  <si>
    <t>PVA Lauingen solar project</t>
  </si>
  <si>
    <t>PVA Maisach solar farm</t>
  </si>
  <si>
    <t>PVA Merkendorf-Großbreitenbronn solar farm</t>
  </si>
  <si>
    <t>PVA Milchwerke Mittelelbe Stendal solar project</t>
  </si>
  <si>
    <t>PVA Morbach Repowering solar project</t>
  </si>
  <si>
    <t>PVA Neupetershain solar project</t>
  </si>
  <si>
    <t>PVA Niederkirchen solar project</t>
  </si>
  <si>
    <t>PVA Nunkirchen 1 solar farm</t>
  </si>
  <si>
    <t>PVA Nunkirchen 2 solar farm</t>
  </si>
  <si>
    <t>PVA Olfry Teil 2 solar project</t>
  </si>
  <si>
    <t>PVA Paetrow solar project</t>
  </si>
  <si>
    <t>PVA Pinnow solar project</t>
  </si>
  <si>
    <t>PVA Pommerndreieck Klevenow S＆ZFF2017 solar project</t>
  </si>
  <si>
    <t>PVA Reinholdshain Selectrona solar project</t>
  </si>
  <si>
    <t>PVA Rethwisch solar project</t>
  </si>
  <si>
    <t>PVA Rothaus solar project</t>
  </si>
  <si>
    <t>PVA SFHD solar project</t>
  </si>
  <si>
    <t>PVA Schellerten solar project</t>
  </si>
  <si>
    <t>PVA Sergen West II (J04) solar farm</t>
  </si>
  <si>
    <t>PVA Siewisch I solar project</t>
  </si>
  <si>
    <t>PVA Stocken solar project</t>
  </si>
  <si>
    <t>PVA Stresow solar farm</t>
  </si>
  <si>
    <t>PVA Syrgenstein solar project</t>
  </si>
  <si>
    <t>PVA Südeifel Solar Facility</t>
  </si>
  <si>
    <t>PVA TC Weißensee solar project</t>
  </si>
  <si>
    <t>PVA Trebbus 1 solar project</t>
  </si>
  <si>
    <t>PVA Trockenwerk Selbelang solar project</t>
  </si>
  <si>
    <t>PVA Utzedel solar project</t>
  </si>
  <si>
    <t>PVA Wriezen Plateau BNA solar project</t>
  </si>
  <si>
    <t>PVA Zahna 1. BA solar project</t>
  </si>
  <si>
    <t>PVA Zeithain III solar project</t>
  </si>
  <si>
    <t>PVA Zootzen Frei solar project</t>
  </si>
  <si>
    <t>PVA dennree Halle T solar project</t>
  </si>
  <si>
    <t>PVA dennree Töpen 1,6MWp solar project</t>
  </si>
  <si>
    <t>PVAG2 solar project</t>
  </si>
  <si>
    <t>PVA_G9 solar farm</t>
  </si>
  <si>
    <t>PVDLBOVI solar project</t>
  </si>
  <si>
    <t>PVFA Emmerheim solar project</t>
  </si>
  <si>
    <t>Parkallee solar project</t>
  </si>
  <si>
    <t>Perforator PV Wiese Walkenried solar project</t>
  </si>
  <si>
    <t>Pforzheim I solar project</t>
  </si>
  <si>
    <t>Photovoltaik I solar project</t>
  </si>
  <si>
    <t>Photovoltaikanlage Gebäude 26 solar project</t>
  </si>
  <si>
    <t>Pignet solar farm</t>
  </si>
  <si>
    <t>Poltnitz BA II 50 MW solar project</t>
  </si>
  <si>
    <t>Prießnitz 1b solar project</t>
  </si>
  <si>
    <t>Prießnitz solar project</t>
  </si>
  <si>
    <t>Pulheim DC1 solar project</t>
  </si>
  <si>
    <t>Pv Anlage3 2023 solar project</t>
  </si>
  <si>
    <t>RE. source Bremen Sen Mester BA2 solar project</t>
  </si>
  <si>
    <t>RE. source Leipzig DC1 Teil 1 solar project</t>
  </si>
  <si>
    <t>RE. source Leipzig DC1 Teil 2 solar project</t>
  </si>
  <si>
    <t>RE.source Barleben 1 solar project</t>
  </si>
  <si>
    <t>RE.source Barleben 2 solar project</t>
  </si>
  <si>
    <t>RE.source Bremen Sen. Mester BA3 solar project</t>
  </si>
  <si>
    <t>RE.source Bremen Senator Mester Str. BA1 3 solar project</t>
  </si>
  <si>
    <t>RE.source Leipzig DC2 solar project</t>
  </si>
  <si>
    <t>Rackwitz 3.0 Erweiterung solar project</t>
  </si>
  <si>
    <t>Rackwitz 3.0 solar project</t>
  </si>
  <si>
    <t>Rackwitz 5.4.1 solar project</t>
  </si>
  <si>
    <t>18,4</t>
  </si>
  <si>
    <t>Reddehausen solar project</t>
  </si>
  <si>
    <t>Regattastraße solar project</t>
  </si>
  <si>
    <t>Rhenus Hamburg B1 solar project</t>
  </si>
  <si>
    <t>SA0 Solarpark Naundorf solar project</t>
  </si>
  <si>
    <t>SA1 Solarpark Naundorf solar project</t>
  </si>
  <si>
    <t>SA2 Solarpark Naundorf solar project</t>
  </si>
  <si>
    <t>SA3 Solarpark Naundorf solar project</t>
  </si>
  <si>
    <t>SA4 Solarpark Naundorf solar project</t>
  </si>
  <si>
    <t>SBA Reinsdorf Freiland West2779 solar farm</t>
  </si>
  <si>
    <t>SE 2023 1059 Tübingen solar project</t>
  </si>
  <si>
    <t>SE 2023 1990 Föhren solar project</t>
  </si>
  <si>
    <t>SE 2023 2053 Erwitte solar project</t>
  </si>
  <si>
    <t>SE 2023 2154 Dargun Produktion solar project</t>
  </si>
  <si>
    <t>SE 2023 2618 Gremsdorf solar project</t>
  </si>
  <si>
    <t>SE 2023 2619 Schweinberg solar project</t>
  </si>
  <si>
    <t>SE 2023 3262 Mammendorf solar project</t>
  </si>
  <si>
    <t>SE 2023 3320 Erfurt solar project</t>
  </si>
  <si>
    <t>SEG PV solar project</t>
  </si>
  <si>
    <t>SIG Buschweg PV 3 FF solar farm</t>
  </si>
  <si>
    <t>SIG Wittenberg - PW4 solar farm</t>
  </si>
  <si>
    <t>SKW Daßlitz II AUS solar project</t>
  </si>
  <si>
    <t>SKW Elxleben solar project</t>
  </si>
  <si>
    <t>SKW Haldensleben solar farm</t>
  </si>
  <si>
    <t>SKW Kenn III solar farm</t>
  </si>
  <si>
    <t>SKW Mehring V solar project</t>
  </si>
  <si>
    <t>SKW Tannroda solar project</t>
  </si>
  <si>
    <t>SOL21-2/203 Am Liweringsberg solar farm</t>
  </si>
  <si>
    <t>13,6</t>
  </si>
  <si>
    <t>SP Alpincenter Wittenburg solar farm</t>
  </si>
  <si>
    <t>SP FLI solar project</t>
  </si>
  <si>
    <t>SP Kiemertshofen solar project</t>
  </si>
  <si>
    <t>SP MAR solar project</t>
  </si>
  <si>
    <t>SP Mappach solar project</t>
  </si>
  <si>
    <t>SP OED solar project</t>
  </si>
  <si>
    <t>SP Pfaffenhofen Wollomoos solar project</t>
  </si>
  <si>
    <t>SP Richthof solar farm</t>
  </si>
  <si>
    <t>SP Roding solar project</t>
  </si>
  <si>
    <t>SP SW BA 1 (1) solar project</t>
  </si>
  <si>
    <t>SP SW BA2 solar project</t>
  </si>
  <si>
    <t>SP Silberberg solar project</t>
  </si>
  <si>
    <t>SP TON solar project</t>
  </si>
  <si>
    <t>SP Wellingen Ost Agri PV solar project</t>
  </si>
  <si>
    <t>STI Corrugated, Alsfeld solar project</t>
  </si>
  <si>
    <t>SWW EE Unit 1/2 solar project</t>
  </si>
  <si>
    <t>SWW EE Unit 3/4 solar project</t>
  </si>
  <si>
    <t>Salutas - Barleben solar farm</t>
  </si>
  <si>
    <t>Schossfeld Illereichen solar farm</t>
  </si>
  <si>
    <t>Schwarzheide Köhnlein solar project</t>
  </si>
  <si>
    <t>Segro Alzenau solar project</t>
  </si>
  <si>
    <t>Segro Krefeld BA3 solar project</t>
  </si>
  <si>
    <t>Segro Leipzig RD solar project</t>
  </si>
  <si>
    <t>Segro Oberhausen solar project</t>
  </si>
  <si>
    <t>Sergen West solar farm</t>
  </si>
  <si>
    <t>Skihalle Neuss Gipfelgrundstück solar project</t>
  </si>
  <si>
    <t>Solar Schönermark Zisterne solar project</t>
  </si>
  <si>
    <t>Solaranlage Krettnich solar farm</t>
  </si>
  <si>
    <t>Solaranlage Vaihingen Enz P21 478 solar project</t>
  </si>
  <si>
    <t>Solardach Lagerhalle solar project</t>
  </si>
  <si>
    <t>Solarenergieanlage Bibergau Am Obstgarten solar project</t>
  </si>
  <si>
    <t>Solarfeld Kneiting solar project</t>
  </si>
  <si>
    <t>Solarkraftwerk Affler BA 2 solar farm</t>
  </si>
  <si>
    <t>Solarkraftwerk Dortmund solar project</t>
  </si>
  <si>
    <t>Solarkraftwerk Herbstmühle 1. Bauabschnitt solar farm</t>
  </si>
  <si>
    <t>Solarkraftwerk Herbstmühle 2. Bauabschnitt solar project</t>
  </si>
  <si>
    <t>Solarkraftwerk Herbstmühle solar farm</t>
  </si>
  <si>
    <t>Solarkraftwerk Koxhausen 1. Bauabschnitt solar project</t>
  </si>
  <si>
    <t>Solarkraftwerk Koxhausen solar farm</t>
  </si>
  <si>
    <t>Solarkraftwerk Niederraden 1. Bauabschnitt solar project</t>
  </si>
  <si>
    <t>Solarkraftwerk Niederraden solar farm</t>
  </si>
  <si>
    <t>Solarkraftwerk Scheitenkorb 1. Bauabschnitt solar project</t>
  </si>
  <si>
    <t>Solarkraftwerk Scheitenkorb 2. Bauabschnitt solar project</t>
  </si>
  <si>
    <t>Solarkraftwerk Sevenig solar farm</t>
  </si>
  <si>
    <t>Solarkraftwerk Weidingen 1. Bauabschnitt solar project</t>
  </si>
  <si>
    <t>Solarpark Aichkirchen BA 1 solar project</t>
  </si>
  <si>
    <t>Solarpark Aichkirchen BA 2 solar project</t>
  </si>
  <si>
    <t>Solarpark Albertshausen solar project</t>
  </si>
  <si>
    <t>Solarpark Alteglofsheim solar project</t>
  </si>
  <si>
    <t>Solarpark BA1 solar farm</t>
  </si>
  <si>
    <t>Solarpark BA2 solar project</t>
  </si>
  <si>
    <t>Solarpark Baar-Ebenhausen 4.176 kWp solar farm</t>
  </si>
  <si>
    <t>Solarpark Baiersdorf 3 solar farm</t>
  </si>
  <si>
    <t>Solarpark Bingen solar project</t>
  </si>
  <si>
    <t>Solarpark Blankenhof Bplan8 solar farm</t>
  </si>
  <si>
    <t>Solarpark Bobingen 3 solar farm</t>
  </si>
  <si>
    <t>Solarpark Brunnen VII P19 168 Teil 1 solar project</t>
  </si>
  <si>
    <t>Solarpark Bräuningshof solar farm</t>
  </si>
  <si>
    <t>Solarpark Diepoldshofen solar project</t>
  </si>
  <si>
    <t>Solarpark Eichkreith BA 1 solar project</t>
  </si>
  <si>
    <t>Solarpark Eichkreith BA 2 solar project</t>
  </si>
  <si>
    <t>Solarpark Eigentshofen GmbH ＆ Co. KG 2 solar project</t>
  </si>
  <si>
    <t>Solarpark FLN solar project</t>
  </si>
  <si>
    <t>Solarpark Freudenberg solar farm</t>
  </si>
  <si>
    <t>Solarpark Friesendorf PVA3 solar project</t>
  </si>
  <si>
    <t>Solarpark Gossenberg solar project</t>
  </si>
  <si>
    <t>Solarpark Granheim II BA 3 solar project</t>
  </si>
  <si>
    <t>Solarpark Greiling An der Mühlleiten solar project</t>
  </si>
  <si>
    <t>Solarpark Greßmühle GmbH &amp; Co. KG solar farm</t>
  </si>
  <si>
    <t>Solarpark Gudendorf-West solar farm</t>
  </si>
  <si>
    <t>Solarpark Göhlsdorf 04/21 solar farm</t>
  </si>
  <si>
    <t>Solarpark Gümmer solar project</t>
  </si>
  <si>
    <t>Solarpark Haid solar project</t>
  </si>
  <si>
    <t>19,8</t>
  </si>
  <si>
    <t>Solarpark Hasborn Rosenberg solar project</t>
  </si>
  <si>
    <t>Solarpark Hedemünden solar project</t>
  </si>
  <si>
    <t>Solarpark Hetzlos I solar project</t>
  </si>
  <si>
    <t>Solarpark Heusweiler solar project</t>
  </si>
  <si>
    <t>Solarpark Hiersdorf BA 3 solar farm</t>
  </si>
  <si>
    <t>Solarpark Hirschenberg solar project</t>
  </si>
  <si>
    <t>Solarpark Hohenzant III solar farm</t>
  </si>
  <si>
    <t>Solarpark Kirchberg II solar farm</t>
  </si>
  <si>
    <t>Solarpark Kirchberg im Wald solar farm</t>
  </si>
  <si>
    <t>Solarpark Kreimbach solar farm</t>
  </si>
  <si>
    <t>Solarpark Kronskamp solar project</t>
  </si>
  <si>
    <t>Solarpark Kropp GmbH ＆ Co. KG solar project</t>
  </si>
  <si>
    <t>Solarpark Köfering solar project</t>
  </si>
  <si>
    <t>Solarpark LIP solar farm</t>
  </si>
  <si>
    <t>Solarpark Lachendorf P19 155 Teil 1 solar project</t>
  </si>
  <si>
    <t>Solarpark Lachendorf P19 155 Teil 2 solar project</t>
  </si>
  <si>
    <t>Solarpark Landstuhl P16 021 solar project</t>
  </si>
  <si>
    <t>Solarpark Langensendelbach solar farm</t>
  </si>
  <si>
    <t>Solarpark Leiwen Sonnenberg Süd 1. Bauabschnitt solar project</t>
  </si>
  <si>
    <t>Solarpark Letschin 04/21 solar farm</t>
  </si>
  <si>
    <t>Solarpark Lottorf IIc solar project</t>
  </si>
  <si>
    <t>Solarpark MBW IV solar farm</t>
  </si>
  <si>
    <t>Solarpark MSP 5 solar project</t>
  </si>
  <si>
    <t>Solarpark Maisach III 3694 kWp solar project</t>
  </si>
  <si>
    <t>Solarpark Mantel solar farm</t>
  </si>
  <si>
    <t>Solarpark Meilenhausen 2 M1 solar farm</t>
  </si>
  <si>
    <t>Solarpark Meilenhausen 2 M2 solar farm</t>
  </si>
  <si>
    <t>Solarpark Mitterteich solar farm</t>
  </si>
  <si>
    <t>Solarpark Munningen solar farm</t>
  </si>
  <si>
    <t>Solarpark Neuenhaßlau solar project</t>
  </si>
  <si>
    <t>Solarpark Neuenkirchen II solar project</t>
  </si>
  <si>
    <t>Solarpark Niedermittlau solar project</t>
  </si>
  <si>
    <t>Solarpark Niedermurach Rottendorf solar farm</t>
  </si>
  <si>
    <t>Solarpark Niedermurach Wagnern solar farm</t>
  </si>
  <si>
    <t>Solarpark Oberhausen 2 solar farm</t>
  </si>
  <si>
    <t>Solarpark Oberpfalz I solar project</t>
  </si>
  <si>
    <t>Solarpark Oschersleben solar project</t>
  </si>
  <si>
    <t>Solarpark Püchersreuth solar farm</t>
  </si>
  <si>
    <t>Solarpark Ratzing solar project</t>
  </si>
  <si>
    <t>Solarpark Reinsbüttel solar project</t>
  </si>
  <si>
    <t>Solarpark Roitzsch II solar farm</t>
  </si>
  <si>
    <t>Solarpark Sauldorf P18 124 solar project</t>
  </si>
  <si>
    <t>Solarpark Scheinfeld II P19 063 Teil 3 solar project</t>
  </si>
  <si>
    <t>Solarpark Schmelchen solar farm</t>
  </si>
  <si>
    <t>Solarpark Schnaid solar project</t>
  </si>
  <si>
    <t>Solarpark Schnaittenbach II solar farm</t>
  </si>
  <si>
    <t>Solarpark Seckach solar project</t>
  </si>
  <si>
    <t>Solarpark Sontheim 2023 solar project</t>
  </si>
  <si>
    <t>Solarpark Steinach PR P21 527 solar project</t>
  </si>
  <si>
    <t>Solarpark Steinbergener Brüche 2 solar project</t>
  </si>
  <si>
    <t>Solarpark Stolzenbach solar project</t>
  </si>
  <si>
    <t>Solarpark Sunlight GmbH - Feld G11 solar farm</t>
  </si>
  <si>
    <t>Solarpark Sunlight GmbH - Feld G12 solar farm</t>
  </si>
  <si>
    <t>Solarpark Sunlight GmbH - Feld G13 solar farm</t>
  </si>
  <si>
    <t>Solarpark Sunlight GmbH - Feld G15 solar farm</t>
  </si>
  <si>
    <t>Solarpark Sunlight GmbH Feld G14 solar project</t>
  </si>
  <si>
    <t>Solarpark Südheide 1 solar project</t>
  </si>
  <si>
    <t>Solarpark Südheide 2 solar project</t>
  </si>
  <si>
    <t>Solarpark Tannenberg1 solar farm</t>
  </si>
  <si>
    <t>Solarpark Thaldorf P17 052 solar project</t>
  </si>
  <si>
    <t>Solarpark Thannhausen BÜSO 2/2 solar project</t>
  </si>
  <si>
    <t>Solarpark Theißing Südost solar project</t>
  </si>
  <si>
    <t>Solarpark Treuchtlingen P18 031 Teil 1 solar project</t>
  </si>
  <si>
    <t>Solarpark Treuchtlingen P18 031 Teil 2 solar project</t>
  </si>
  <si>
    <t>Solarpark Treuchtlingen P18 031 Teil 3 solar project</t>
  </si>
  <si>
    <t>Solarpark Ulmbach III P22 146 solar project</t>
  </si>
  <si>
    <t>Solarpark Unterbinnwang B Netz A Teil solar project</t>
  </si>
  <si>
    <t>Solarpark Ursensollen solar farm</t>
  </si>
  <si>
    <t>Solarpark Vordere Hart solar farm</t>
  </si>
  <si>
    <t>Solarpark Waldeck solar farm</t>
  </si>
  <si>
    <t>Solarpark Wasmuthhausen P19 060 Teil 1 solar project</t>
  </si>
  <si>
    <t>Solarpark Wasmuthhausen P19 060 Teil 2 solar project</t>
  </si>
  <si>
    <t>Solarpark Weikerstetten BA 1 solar project</t>
  </si>
  <si>
    <t>Solarpark Weikerstetten BA 2 solar project</t>
  </si>
  <si>
    <t>Solarpark Wenzenbach solar project</t>
  </si>
  <si>
    <t>Solarpark Werneck Bauabschnitt 1 solar farm</t>
  </si>
  <si>
    <t>Solarpark Westheim solar project</t>
  </si>
  <si>
    <t>Solarpark Winden P21 139 solar project</t>
  </si>
  <si>
    <t>Solarpark Winterbach II P21 474 Teil 1 solar project</t>
  </si>
  <si>
    <t>Solarpark XXI solar farm</t>
  </si>
  <si>
    <t>Solarpark Übermatzhofen II BA 2 solar farm</t>
  </si>
  <si>
    <t>Solnhofen solar project</t>
  </si>
  <si>
    <t>Sonnenfarm Heidi 2 solar farm</t>
  </si>
  <si>
    <t>Sonnenstrom Kleinwerther solar project</t>
  </si>
  <si>
    <t>Sonnenwende Langwedel solar farm</t>
  </si>
  <si>
    <t>St. Aldegund 1.1 solar project</t>
  </si>
  <si>
    <t>Stelter Zahnradfabrik PV Anlage 1 solar project</t>
  </si>
  <si>
    <t>Stendal 1 solar project</t>
  </si>
  <si>
    <t>Südpark 1 solar project</t>
  </si>
  <si>
    <t>TBB 1 solar project</t>
  </si>
  <si>
    <t>Theilheim solar farm</t>
  </si>
  <si>
    <t>Todtenberg 4103,20 kWp solar project</t>
  </si>
  <si>
    <t>Untersiemau solar project</t>
  </si>
  <si>
    <t>Unterthingau Kunststofftechnik Mayr solar project</t>
  </si>
  <si>
    <t>VECHTA solar project</t>
  </si>
  <si>
    <t>VERAVIS Energy PV2 Ascherleben BA1 solar farm</t>
  </si>
  <si>
    <t>VERAVIS Energy PV3 Gerbstedt BA1 solar project</t>
  </si>
  <si>
    <t>VenSol Solarpark Benningen GmbH ＆ Co. KG Teil I solar project</t>
  </si>
  <si>
    <t>VenSol Solarpark Benningen GmbH ＆ Co. KG Teil II solar project</t>
  </si>
  <si>
    <t>VenSol Solarpark Günzburg Infrastruktur GmbH ＆ Co. KG solar project</t>
  </si>
  <si>
    <t>VenSol Solarpark Oberschönegg GmbH ＆ Co. KG solar project</t>
  </si>
  <si>
    <t>Versandhalle Ostercappeln solar farm</t>
  </si>
  <si>
    <t>Vikat GmbH solar project</t>
  </si>
  <si>
    <t>W050 TS Mercedes Benz Werk Sindelfingen Parkhaus 301 solar project</t>
  </si>
  <si>
    <t>W054 TS Mercedes Benz Werk Rastatt Bau 2 solar project</t>
  </si>
  <si>
    <t>Walp PV Teil 1 solar project</t>
  </si>
  <si>
    <t>Wasbek 1.2 solar project</t>
  </si>
  <si>
    <t>12,3</t>
  </si>
  <si>
    <t>Werk Hilden - Photovoltaik solar farm</t>
  </si>
  <si>
    <t>Westermann 1000 KW solar project</t>
  </si>
  <si>
    <t>Wichmannsdorf West solar project</t>
  </si>
  <si>
    <t>Wilsecker 2 solar project</t>
  </si>
  <si>
    <t>Wpd Solarpark Wiernsheim Ortental solar farm</t>
  </si>
  <si>
    <t>Zeithain 8 solar project</t>
  </si>
  <si>
    <t>Zentrallager Freifläche 2 solar project</t>
  </si>
  <si>
    <t>Zentrallager solar project</t>
  </si>
  <si>
    <t>Zobes solar farm</t>
  </si>
  <si>
    <t>Zwickau 2.1 solar project</t>
  </si>
  <si>
    <t>19,6</t>
  </si>
  <si>
    <t>bekuplast GmbH 2234,91 kWp solar project</t>
  </si>
  <si>
    <t>sBat1 Seubersdorf Batzhausen 1 solar project</t>
  </si>
  <si>
    <t>sMit1 Deining Mittersthal 1 solar project</t>
  </si>
  <si>
    <t>sUnb1 Deining Unterbuchfeld 1 solar project</t>
  </si>
  <si>
    <t>005 - Soltau, LZ, PV-2 solar project</t>
  </si>
  <si>
    <t>1023,77kWp PV-Anlage Becorit solar project</t>
  </si>
  <si>
    <t>118-2 Kröv 1.2 solar project</t>
  </si>
  <si>
    <t>138-Kitzingen 2 solar project</t>
  </si>
  <si>
    <t>146-Meppen solar project</t>
  </si>
  <si>
    <t>148-Minderlittgen solar project</t>
  </si>
  <si>
    <t>154-2-Flechtdorf 2.1.2 solar project</t>
  </si>
  <si>
    <t>155-2-Freckleben 1.2 solar project</t>
  </si>
  <si>
    <t>156-2-Autobahn Ost solar project</t>
  </si>
  <si>
    <t>157-2-Flugfeld West solar project</t>
  </si>
  <si>
    <t>161-Segendorf solar project</t>
  </si>
  <si>
    <t>2 MW-Anlage Rohrberg 2024 solar project</t>
  </si>
  <si>
    <t>2022-02_Langwedel solar project</t>
  </si>
  <si>
    <t>22009 Mlode solar project</t>
  </si>
  <si>
    <t>231583 HCP Wittenburg solar project</t>
  </si>
  <si>
    <t>231641 Lasalle Heppenheim solar project</t>
  </si>
  <si>
    <t>23245 SP Schnaitt solar project</t>
  </si>
  <si>
    <t>240311_PV_VGP_GERHOH_1116,5kWp solar project</t>
  </si>
  <si>
    <t>240611_GERBER_M_GVZ solar project</t>
  </si>
  <si>
    <t>240710_VGPGERMAG_D solar project</t>
  </si>
  <si>
    <t>240715_Ff-Tr-Pf-Bie_5.648,5kWp solar project</t>
  </si>
  <si>
    <t>240808_GERHAL_2A solar project</t>
  </si>
  <si>
    <t>240831_PV_SG_Energy_Trierweiler solar project</t>
  </si>
  <si>
    <t>241001_VGPGERHDW_C solar project</t>
  </si>
  <si>
    <t>241004_PV_SHA_GÜN_5MWp solar project</t>
  </si>
  <si>
    <t>24117 SP Ritzing solar project</t>
  </si>
  <si>
    <t>24118 SP Erharting PVA3 solar project</t>
  </si>
  <si>
    <t>24132 SP Kirchberg solar project</t>
  </si>
  <si>
    <t>24135 SP Barbing III PVA2 solar project</t>
  </si>
  <si>
    <t>24203 SP Passow II Weisin PVA1 solar project</t>
  </si>
  <si>
    <t>24203 SP Passow II Weisin PVA2 solar project</t>
  </si>
  <si>
    <t>4. Bauabschnitt solar project</t>
  </si>
  <si>
    <t>64319 Pfungstadt I solar project</t>
  </si>
  <si>
    <t>6903_Kaufland_Lübbenau-Spreewald solar project</t>
  </si>
  <si>
    <t>6906_KLAND_VZ_Möckmühl solar project</t>
  </si>
  <si>
    <t>9035 Solarpark Frankenreute GbR solar project</t>
  </si>
  <si>
    <t>ABO Wind PVA Rehau solar project</t>
  </si>
  <si>
    <t>ABR902879139020 solar project</t>
  </si>
  <si>
    <t>ABR983491337544 solar project</t>
  </si>
  <si>
    <t>ABR990936020633 solar project</t>
  </si>
  <si>
    <t>AIdhausen - Teil 1 - 12,4 MW solar project</t>
  </si>
  <si>
    <t>ALTE000 (Wittenburg) solar project</t>
  </si>
  <si>
    <t>ASE Gorgast-Bahn solar project</t>
  </si>
  <si>
    <t>AVG Raudsepp Obernburger Straße solar project</t>
  </si>
  <si>
    <t>Agravis Ost Fürstenwalde Dach solar project</t>
  </si>
  <si>
    <t>Agravis Ost Fürstenwalde Freifläche solar project</t>
  </si>
  <si>
    <t>Agravis Ost Querfurt Freifläche solar project</t>
  </si>
  <si>
    <t>Agravis Ost Schwedt solar project</t>
  </si>
  <si>
    <t>Agri-PV Anlage Fendt 5992 kWp solar project</t>
  </si>
  <si>
    <t>Agri-PV Anlage Ohlstadt 2586 kWp solar project</t>
  </si>
  <si>
    <t>Agri-PV Anlage Roßlaich 4364 kWp solar project</t>
  </si>
  <si>
    <t>Agri-PV Anlage Schongau 5992 kWp solar project</t>
  </si>
  <si>
    <t>Agri-PV Anlage Strallen 5875 kWp solar project</t>
  </si>
  <si>
    <t>Agri-Photovoltaik Epfendorf BA EEG solar project</t>
  </si>
  <si>
    <t>Aidhausen - Teil 2 - 5,9 MW solar project</t>
  </si>
  <si>
    <t>Altenhagen Dieckmann BNA 1 solar project</t>
  </si>
  <si>
    <t>Am Arrabach Erweiterung solar project</t>
  </si>
  <si>
    <t>Am Stocket solar project</t>
  </si>
  <si>
    <t>Anlage 2-2 solar project</t>
  </si>
  <si>
    <t>Anlage 2024 solar project I</t>
  </si>
  <si>
    <t>Anlage 2024 solar project II</t>
  </si>
  <si>
    <t>Anlage Bad Kreuznach solar project</t>
  </si>
  <si>
    <t>Anlage2024 solar project</t>
  </si>
  <si>
    <t>Anlagenteil Ost solar project</t>
  </si>
  <si>
    <t>Anlagenteil West solar project</t>
  </si>
  <si>
    <t>Antruper Esch Werk 4 solar project</t>
  </si>
  <si>
    <t>Anumar Solarpark Schweitenkirchen - P22-472 - Teil 3 solar project</t>
  </si>
  <si>
    <t>Attenweiler solar project</t>
  </si>
  <si>
    <t>Audi Zentrum Eching solar project</t>
  </si>
  <si>
    <t>Audi Zentum Eching Erweiterung solar project</t>
  </si>
  <si>
    <t>Aufdach PV Halle 6 bis 8 solar project</t>
  </si>
  <si>
    <t>Aufdach PVA Eberswalde Werk Timpla solar project</t>
  </si>
  <si>
    <t>Aufdachanlage 45279 solar project</t>
  </si>
  <si>
    <t>Austrotherm PVA solar project</t>
  </si>
  <si>
    <t>B201, Norderfeld -14 solar project</t>
  </si>
  <si>
    <t>BEBLL01 solar project</t>
  </si>
  <si>
    <t>BEBRN03 solar project</t>
  </si>
  <si>
    <t>BSB II Teil 2 solar project</t>
  </si>
  <si>
    <t>BSG - PV MO Agri PV o. SP solar project</t>
  </si>
  <si>
    <t>Beesewege Bahnlinie solar project</t>
  </si>
  <si>
    <t>Beiersdorf Leipzig Freiflächenanlage 1 solar project</t>
  </si>
  <si>
    <t>Benno Messingschlager solar project</t>
  </si>
  <si>
    <t>Berkhof, Wieckenberger Straße 20-22 solar project</t>
  </si>
  <si>
    <t>Blefa-PV-Anlage solar project</t>
  </si>
  <si>
    <t>Blinksteige BA 2 solar project</t>
  </si>
  <si>
    <t>Bootslager Marina Lubmin solar project</t>
  </si>
  <si>
    <t>Bovenau Osterrade 1.1 solar project</t>
  </si>
  <si>
    <t>Bovenau Osterrade 1.2 solar project</t>
  </si>
  <si>
    <t>Bovenau Osterrade 1.3 solar project</t>
  </si>
  <si>
    <t>Bunkerdachanlage Clausen solar project</t>
  </si>
  <si>
    <t>Bürger-Solarpark Mäderhof solar project</t>
  </si>
  <si>
    <t>Bürgersolar Kilianstraße, Nürnberg solar project</t>
  </si>
  <si>
    <t>Bürgersolarpark Wörthsee solar project</t>
  </si>
  <si>
    <t>C.HAFNER Freiflächenanlage solar project</t>
  </si>
  <si>
    <t>CDTI / Faber Invest-PVA Schloß Holte solar project</t>
  </si>
  <si>
    <t>Christian Endres, Ausschreibungs-Anlage, Solarpark Rohrbach solar project</t>
  </si>
  <si>
    <t>Cologne Niehl DC2 solar project</t>
  </si>
  <si>
    <t>DAH FF PVA Putlitz_2120,4 solar project</t>
  </si>
  <si>
    <t>DAH FF PVA Putlitz_6429,6 solar project</t>
  </si>
  <si>
    <t>Dach PV - Staitz solar project</t>
  </si>
  <si>
    <t>Dachanlage Tubex Rangendingen solar project</t>
  </si>
  <si>
    <t>Dachanlagen Paul＆Co solar project</t>
  </si>
  <si>
    <t>Dachfläche Produktion solar project</t>
  </si>
  <si>
    <t>Demmin Meyenkrebs solar project</t>
  </si>
  <si>
    <t>Denklingen solar project</t>
  </si>
  <si>
    <t>Deutgen Kunststofftechnik GmbH, Hermannsburg solar project</t>
  </si>
  <si>
    <t>Diehl Aviation Laupheim PV Gebäude 25 solar project</t>
  </si>
  <si>
    <t>Drense 1 solar project</t>
  </si>
  <si>
    <t>Dürhus Solar Humptrup II solar project</t>
  </si>
  <si>
    <t>E.ON Solarpark Giengen GmbH ＆ Co. KG solar project</t>
  </si>
  <si>
    <t>ENV22022 Doege solar project</t>
  </si>
  <si>
    <t>ERF1 - Amazon Erfurt GmbH solar project</t>
  </si>
  <si>
    <t>Ebenried 03 PV2 solar project</t>
  </si>
  <si>
    <t>Eggebek 3.1a solar project</t>
  </si>
  <si>
    <t>Eggebek 3.1b solar project</t>
  </si>
  <si>
    <t>Eggebek 3.3 solar project</t>
  </si>
  <si>
    <t>Egling24 solar project</t>
  </si>
  <si>
    <t>Eiche 3 solar project</t>
  </si>
  <si>
    <t>Eichendorffstrasse 62 (P-78393) solar project</t>
  </si>
  <si>
    <t>EisenSchmitt_KA solar project</t>
  </si>
  <si>
    <t>Ellzee GmbH-Hausen 2 solar project</t>
  </si>
  <si>
    <t>Energie Biba GmbH ＆ Co. KG solar project</t>
  </si>
  <si>
    <t>Erlus Linie 6 Teil 2, 1763KWh solar project</t>
  </si>
  <si>
    <t>Ernsthof Süd-Ost solar project</t>
  </si>
  <si>
    <t>F1 solar project</t>
  </si>
  <si>
    <t>FF-PV-Anlage Bauhofstraße - Teil 2 solar project</t>
  </si>
  <si>
    <t>FF-PVA BEG Pfaffenhofen solar project</t>
  </si>
  <si>
    <t>FF-PVA Falkenberg Investestanlage solar project</t>
  </si>
  <si>
    <t>FFA Moringen solar project</t>
  </si>
  <si>
    <t>FFA Wedemark Süd solar project</t>
  </si>
  <si>
    <t>FFPV Mantlach 10 solar project</t>
  </si>
  <si>
    <t>FFPV Mantlach 2,17 solar project</t>
  </si>
  <si>
    <t>FFPVA Calvörde Ost2 solar project</t>
  </si>
  <si>
    <t>FPV Philipp See 1 solar project</t>
  </si>
  <si>
    <t>Floating PV Hoym solar project</t>
  </si>
  <si>
    <t>Floating PV Wyhl-Ort solar project</t>
  </si>
  <si>
    <t>Floating PV solar project</t>
  </si>
  <si>
    <t>Forstwalder Hof PV solar project</t>
  </si>
  <si>
    <t>Frankenried 2 (4313) solar project</t>
  </si>
  <si>
    <t>Freifläche 2024, 2371,000 kWp solar project</t>
  </si>
  <si>
    <t>Freifläche Sunzendorf solar project</t>
  </si>
  <si>
    <t>Freifläche Truchtlaching solar project</t>
  </si>
  <si>
    <t>Freifläche Verrenberg 1 WE solar project</t>
  </si>
  <si>
    <t>Freifläche solar project</t>
  </si>
  <si>
    <t>Freifläche-Degerndorf 2 solar project</t>
  </si>
  <si>
    <t>Freifläche_ZK4 solar project</t>
  </si>
  <si>
    <t>Freiflächen PV Anlage Ettenberg solar project</t>
  </si>
  <si>
    <t>Freiflächen-PV Ameisenbrücke solar project</t>
  </si>
  <si>
    <t>Freiflächen-PV Deponie solar project</t>
  </si>
  <si>
    <t>Freiflächenanlage 05/24 solar project</t>
  </si>
  <si>
    <t>Freiflächenanlage 5MH OT1 10/24 AS solar project</t>
  </si>
  <si>
    <t>Freiflächenanlage 6MH LKB1 04/24 AS solar project</t>
  </si>
  <si>
    <t>Freiflächenanlage 6MH LKB2 Erweiterung 04/24 AS_2 solar project</t>
  </si>
  <si>
    <t>Freiflächenanlage 9MH OT3 12/24 AS solar project</t>
  </si>
  <si>
    <t>Freiflächenanlage Steinlebach solar project</t>
  </si>
  <si>
    <t>Freiflächenanlage VM LKB2 04/24 AS_2 solar project</t>
  </si>
  <si>
    <t>Freiflächenanlage_1 Wilhelm Reuss GmbH ＆ Co. KG Winsen solar project</t>
  </si>
  <si>
    <t>Freiflächenphotovoltaik "Gut Geratshof" solar project II</t>
  </si>
  <si>
    <t>Freiflächenphotovoltaik "Gut Geratshof" solar project III</t>
  </si>
  <si>
    <t>Freiflächensolaranlage 1 solar project</t>
  </si>
  <si>
    <t>GRA-13-PVA solar project</t>
  </si>
  <si>
    <t>Gaisbergsolar solar project</t>
  </si>
  <si>
    <t>Ganzlin Gewerbegebiet solar project</t>
  </si>
  <si>
    <t>Gardner Denver Deutschland GmbH - NES-PV1125 solar project</t>
  </si>
  <si>
    <t>Geestland2605 solar project</t>
  </si>
  <si>
    <t>Gemünden Harrbach - Röder Solarpark solar project</t>
  </si>
  <si>
    <t>Gottberg Ost solar project</t>
  </si>
  <si>
    <t>Gottlob-Bauknecht-Str. 11 Schorndorf solar project</t>
  </si>
  <si>
    <t>Greenotaurus Lehrte MS solar project</t>
  </si>
  <si>
    <t>Greenotaurus Schkeuditz solar project</t>
  </si>
  <si>
    <t>Grenderich 1.1 solar project</t>
  </si>
  <si>
    <t>Grenderich 1.3 solar project</t>
  </si>
  <si>
    <t>Greven, Reckenfelder Straße 60 solar project</t>
  </si>
  <si>
    <t>Groß Vollstedt solar project</t>
  </si>
  <si>
    <t>16,8</t>
  </si>
  <si>
    <t>Großheirath 2 solar project</t>
  </si>
  <si>
    <t>10,9</t>
  </si>
  <si>
    <t>HIH - KRI solar project</t>
  </si>
  <si>
    <t>HN Sonne GmbH - PV-Kempten solar project</t>
  </si>
  <si>
    <t>Hafenpreppach solar project</t>
  </si>
  <si>
    <t>17,6</t>
  </si>
  <si>
    <t>Halle 11 solar project</t>
  </si>
  <si>
    <t>Halle 6-11 solar project</t>
  </si>
  <si>
    <t>Haserich 1.2 solar project</t>
  </si>
  <si>
    <t>18,9</t>
  </si>
  <si>
    <t>Hechthausen Bahntrasse solar project</t>
  </si>
  <si>
    <t>Heimatenergie Burgebarch solar project</t>
  </si>
  <si>
    <t>Herbertingen Obere Bergenstraße solar project</t>
  </si>
  <si>
    <t>Herzo-PV Burgstall Süd01 GmbH ＆ Co. KG solar project</t>
  </si>
  <si>
    <t>Hierbühl II PV solar project</t>
  </si>
  <si>
    <t>Hillwood Emmerich solar project</t>
  </si>
  <si>
    <t>Hillwood Schwelm solar project</t>
  </si>
  <si>
    <t>Hillwood Titz solar project</t>
  </si>
  <si>
    <t>Hilpoltstein Solar solar project</t>
  </si>
  <si>
    <t>Holzland Becker Offenbach solar project</t>
  </si>
  <si>
    <t>Hörmann KG Brockhagen PV1 solar project</t>
  </si>
  <si>
    <t>ILE Solarpark Rothtal solar project</t>
  </si>
  <si>
    <t>Idstein Zuschlag solar project</t>
  </si>
  <si>
    <t>Imkensweg solar project</t>
  </si>
  <si>
    <t>Immo_Ellzee-Hausen 1 solar project</t>
  </si>
  <si>
    <t>Irlham Solar Ko 2 solar project</t>
  </si>
  <si>
    <t>Jahrstorfer EW Petzenbach solar project</t>
  </si>
  <si>
    <t>Jünkerath Zuschlag2 solar project</t>
  </si>
  <si>
    <t>KKF Fels Dachanlage solar project</t>
  </si>
  <si>
    <t>KUHG mbH solar project</t>
  </si>
  <si>
    <t>Kammerwetzdorf BA II solar project</t>
  </si>
  <si>
    <t>14,5</t>
  </si>
  <si>
    <t>Kassel PV Anlage solar project</t>
  </si>
  <si>
    <t>Kelchham solar project</t>
  </si>
  <si>
    <t>Kleinschirma 3 solar project</t>
  </si>
  <si>
    <t>Kochstraße_Selm solar project</t>
  </si>
  <si>
    <t>Kogel West Zubau II solar project</t>
  </si>
  <si>
    <t>Kohlenbek solar project</t>
  </si>
  <si>
    <t>L010_Lidl_Grevenbroich_II solar project</t>
  </si>
  <si>
    <t>LH Weg 2,5 solar project</t>
  </si>
  <si>
    <t>Lager- und Aufbereitungshalle Beelitz solar project</t>
  </si>
  <si>
    <t>Laucherthal-Zollern GmbH＆Co.KG solar project</t>
  </si>
  <si>
    <t>Legehennenställe Tannenweg solar project</t>
  </si>
  <si>
    <t>Lensahn solar project</t>
  </si>
  <si>
    <t>Lichte Platte Bürgerenergie solar project</t>
  </si>
  <si>
    <t>LuK Freifläche Ottengrüner Einzel 2 solar project</t>
  </si>
  <si>
    <t>Lubolz Ost solar project</t>
  </si>
  <si>
    <t>Lönnewitz Solarpark 2 solar project</t>
  </si>
  <si>
    <t>MWZ_PV-Anlage solar project</t>
  </si>
  <si>
    <t>Martin Herrmann, Ausschreibungs-Anlage, Solarpark Rohrbach solar project</t>
  </si>
  <si>
    <t>NE Lubolz III solar project</t>
  </si>
  <si>
    <t>NE Lubolz IV solar project</t>
  </si>
  <si>
    <t>NF Herne PV solar project</t>
  </si>
  <si>
    <t>NLG PV-6 solar project</t>
  </si>
  <si>
    <t>NM Parkhaus solar project</t>
  </si>
  <si>
    <t>NOE01-OVMS016 (Odelzhausen) solar project</t>
  </si>
  <si>
    <t>Neu Duvenstedt 1.2 solar project</t>
  </si>
  <si>
    <t>Neu Wulmstorf DC2 solar project</t>
  </si>
  <si>
    <t>Oberhaid 3 MW solar project</t>
  </si>
  <si>
    <t>Oberhamberg BA II solar project</t>
  </si>
  <si>
    <t>Oberurbach, BA 2 solar project</t>
  </si>
  <si>
    <t>Orlenbach Nord und Süd solar project</t>
  </si>
  <si>
    <t>Ostergaden 2 solar project</t>
  </si>
  <si>
    <t>P3 Straubing 1550 kWp solar project</t>
  </si>
  <si>
    <t>P325 solar project</t>
  </si>
  <si>
    <t>P364 Linum solar project</t>
  </si>
  <si>
    <t>P372 solar project</t>
  </si>
  <si>
    <t>PAD2-Amazon Horn-Bad Meinberg solar project</t>
  </si>
  <si>
    <t>PKV Intralogistikport 1 solar project</t>
  </si>
  <si>
    <t>PV - Dachanlage solar project</t>
  </si>
  <si>
    <t>PV 2024 I solar project</t>
  </si>
  <si>
    <t>PV 6 Überschusseinspeisung solar project</t>
  </si>
  <si>
    <t>PV Altdorf BA 1 8MW solar project</t>
  </si>
  <si>
    <t>PV Altdorf BA 2 3MW solar project</t>
  </si>
  <si>
    <t>PV Anlage 2024 Anlagenteil 2 Ausschreibung solar project</t>
  </si>
  <si>
    <t>PV Anlage 2024 Anlagenteil 4 Ausschreibung solar project</t>
  </si>
  <si>
    <t>PV Anlage Am Annaberg 1,44 MWp solar project</t>
  </si>
  <si>
    <t>PV Anlage BRE2 Großenkneten solar project</t>
  </si>
  <si>
    <t>PV Anlage Barbing BA 1 6 MW solar project</t>
  </si>
  <si>
    <t>PV Anlage Forchheim An der Lände 9, HEP solar project</t>
  </si>
  <si>
    <t>PV Anlage KD G108 und G509 solar project</t>
  </si>
  <si>
    <t>PV Anlage Logistik Nottuln solar project</t>
  </si>
  <si>
    <t>PV Anlage MST2 solar project</t>
  </si>
  <si>
    <t>PV Anlage Mamming Westerweiterung solar project</t>
  </si>
  <si>
    <t>PV Anlage Neu 1,454 solar project</t>
  </si>
  <si>
    <t>PV Anlage Packners solar project</t>
  </si>
  <si>
    <t>PV Anlage Ravenna Park solar project</t>
  </si>
  <si>
    <t>PV Anlage Steinhilben solar project</t>
  </si>
  <si>
    <t>PV Anlage ULN II (4500 kWp) solar project</t>
  </si>
  <si>
    <t>PV Anlage solar project</t>
  </si>
  <si>
    <t>PV BZ Germering (WE 424297) solar project</t>
  </si>
  <si>
    <t>PV Barbing BA 2 3MW solar project</t>
  </si>
  <si>
    <t>PV Bonifatius Hospital Lingen gGmbH - Dachflächen Bonifatius Hospital, Wilhelmsstr. 13, 49808 Lingen solar project</t>
  </si>
  <si>
    <t>PV Dachanlage 2024 solar project</t>
  </si>
  <si>
    <t>PV Dachanlage ArcelorMittal solar project</t>
  </si>
  <si>
    <t>PV Dachsklinge SW Sindelfingen - Anlage 3 ~1,4MW solar project</t>
  </si>
  <si>
    <t>PV Edewecht solar project</t>
  </si>
  <si>
    <t>PV Energiebetrieb solar project</t>
  </si>
  <si>
    <t>PV FFA Davids GK solar project</t>
  </si>
  <si>
    <t>PV Freiflächanlage  1.510,80kWp solar project</t>
  </si>
  <si>
    <t>PV Freiflächanlage 1.000,80kWp (Ausschreibung) solar project</t>
  </si>
  <si>
    <t>PV Freiflächanlage 1.243kWp (Unterhöhenstetten 67,68) solar project</t>
  </si>
  <si>
    <t>PV Freiflächanlage 1.411,30kWp solar project</t>
  </si>
  <si>
    <t>PV Freiflächanlage 1.492,80kWp solar project</t>
  </si>
  <si>
    <t>PV Freiflächanlage 1.497,02kWp solar project</t>
  </si>
  <si>
    <t>PV Freiflächanlage 1.839,74 kWp solar project</t>
  </si>
  <si>
    <t>PV Freiflächanlage 1.999,20kWp (Karlsbach) solar project</t>
  </si>
  <si>
    <t>PV Freiflächanlage 11.214,86kWp solar project</t>
  </si>
  <si>
    <t>PV Freiflächanlage 2.120,58kWp solar project</t>
  </si>
  <si>
    <t>PV Freiflächanlage 2.182,80kWp (Buchhausen) solar project</t>
  </si>
  <si>
    <t>PV Freiflächanlage 2.318,40kWp solar project</t>
  </si>
  <si>
    <t>PV Freiflächanlage 2.924,80kWp (Zaitzkofen-Schierling 1b) solar project</t>
  </si>
  <si>
    <t>PV Freiflächanlage 3.145kWp Tittling solar project</t>
  </si>
  <si>
    <t>PV Freiflächanlage 3.619,20kWp solar project</t>
  </si>
  <si>
    <t>PV Freiflächanlage 4.531,20 kWp solar project</t>
  </si>
  <si>
    <t>PV Freiflächanlage 5.197,92kWp (Kumhausen) solar project</t>
  </si>
  <si>
    <t>PV Freiflächanlage solar project</t>
  </si>
  <si>
    <t>PV Freifläche 2024 solar project</t>
  </si>
  <si>
    <t>PV Freifläche Anlage 2 mit Zuschlag solar project</t>
  </si>
  <si>
    <t>PV Freifläche Bergstraßer Weg solar project</t>
  </si>
  <si>
    <t>PV Freifläche solar project</t>
  </si>
  <si>
    <t>PV Freiflächenanlage Schwarze Pumpe Ausschreibung solar project</t>
  </si>
  <si>
    <t>PV Freilandanlage Strohmaier Huglfing solar project</t>
  </si>
  <si>
    <t>PV Geseke solar project</t>
  </si>
  <si>
    <t>PV Gleisdreieck Mindelheim solar project</t>
  </si>
  <si>
    <t>PV Gschaidmaier solar project</t>
  </si>
  <si>
    <t>PV Hallen solar project</t>
  </si>
  <si>
    <t>PV Hornsberrg solar project</t>
  </si>
  <si>
    <t>PV Hüll H5 solar project</t>
  </si>
  <si>
    <t>PV Isenbüttel solar project</t>
  </si>
  <si>
    <t>PV KH2 solar project</t>
  </si>
  <si>
    <t>PV Kirchheimbolanden solar project</t>
  </si>
  <si>
    <t>PV LOG RE Henstedt Ulzburg solar project</t>
  </si>
  <si>
    <t>PV Lettweiler solar project</t>
  </si>
  <si>
    <t>PV Lohbruck solar project</t>
  </si>
  <si>
    <t>PV MVA Niederpöllnitz solar project</t>
  </si>
  <si>
    <t>PV Mantel Turnhallensiedlung solar project</t>
  </si>
  <si>
    <t>PV MvAA Backnang solar project</t>
  </si>
  <si>
    <t>PV NGL Schweitenkirchen-TK solar project</t>
  </si>
  <si>
    <t>PV Park Kirchhaslach Hörlis II solar project</t>
  </si>
  <si>
    <t>PV Park Neukirchen solar project</t>
  </si>
  <si>
    <t>PV Park Oberwittelsbach solar project</t>
  </si>
  <si>
    <t>PV Park Wiernsheim-Zwergberg solar project</t>
  </si>
  <si>
    <t>PV Parkplatz solar project</t>
  </si>
  <si>
    <t>PV Projekt 23 solar project</t>
  </si>
  <si>
    <t>PV Rottweil solar project</t>
  </si>
  <si>
    <t>PV Ruhstorf Eden/Steinwies solar project</t>
  </si>
  <si>
    <t>PV Ruhstorf Grund solar project</t>
  </si>
  <si>
    <t>PV Ruhstorf Maierhof solar project</t>
  </si>
  <si>
    <t>PV SIEGENIA AUBI solar project</t>
  </si>
  <si>
    <t>PV Schrobenhausen 2 solar project</t>
  </si>
  <si>
    <t>PV Schörghuber solar project</t>
  </si>
  <si>
    <t>PV Siemensstraße 17a solar project</t>
  </si>
  <si>
    <t>PV Solarpark Herborn solar project</t>
  </si>
  <si>
    <t>PV Stein solar project</t>
  </si>
  <si>
    <t>PV Stopfenheim solar project</t>
  </si>
  <si>
    <t>PV Strasburg Exergy T1 solar project</t>
  </si>
  <si>
    <t>PV Straubenhardt 20241113 solar project</t>
  </si>
  <si>
    <t>PV Vivendi II GmbH u. Co. KG solar project</t>
  </si>
  <si>
    <t>PV Weiden - Dürre Wiesen (Neunkirchen) II solar project</t>
  </si>
  <si>
    <t>PV Wislhub solar project</t>
  </si>
  <si>
    <t>PV Zimmern I solar project</t>
  </si>
  <si>
    <t>PV Zimmern II solar project</t>
  </si>
  <si>
    <t>PV- Anlage 1200KWp solar project</t>
  </si>
  <si>
    <t>PV- Park Aus solar project</t>
  </si>
  <si>
    <t>PV-30-4 solar project</t>
  </si>
  <si>
    <t>PV-5 solar project</t>
  </si>
  <si>
    <t>PV-Anlage 1108,8kWp solar project</t>
  </si>
  <si>
    <t>PV-Anlage 2 A.L.S. Logistikzentrum solar project</t>
  </si>
  <si>
    <t>PV-Anlage 2 auf Hallen 3 und 4 solar project</t>
  </si>
  <si>
    <t>PV-Anlage 2024 2,266 MWp solar project</t>
  </si>
  <si>
    <t>PV-Anlage 2024 Dachfläche solar project</t>
  </si>
  <si>
    <t>PV-Anlage A143747 - Hohenhameln - Mehrum - Ackerköpfe 28 solar project</t>
  </si>
  <si>
    <t>PV-Anlage Aufdachanlagen Werk BGH solar project</t>
  </si>
  <si>
    <t>PV-Anlage Birkenstock Injections solar project</t>
  </si>
  <si>
    <t>PV-Anlage Fischbach solar project</t>
  </si>
  <si>
    <t>15,6</t>
  </si>
  <si>
    <t>PV-Anlage Freifläche solar project</t>
  </si>
  <si>
    <t>PV-Anlage Geb.73b solar project</t>
  </si>
  <si>
    <t>PV-Anlage Heilbronn 1 solar project</t>
  </si>
  <si>
    <t>PV-Anlage Karlstein Unit 1-3 solar project</t>
  </si>
  <si>
    <t>PV-Anlage NH 2284,8 kW solar project</t>
  </si>
  <si>
    <t>PV-Anlage Neubau solar project</t>
  </si>
  <si>
    <t>PV-Anlage Parkhaus P43 solar project</t>
  </si>
  <si>
    <t>PV-Anlage Parkhaus P44 solar project</t>
  </si>
  <si>
    <t>PV-Anlage Sanner GmbH solar project</t>
  </si>
  <si>
    <t>PV-Anlage Standort Gransee solar project</t>
  </si>
  <si>
    <t>PV-Anlage Trebesberg solar project</t>
  </si>
  <si>
    <t>PV-Anlage Trostberg Alz solar project</t>
  </si>
  <si>
    <t>PV-Anlage Wanzl Werk 4 solar project</t>
  </si>
  <si>
    <t>PV-Anlage Warendorfer Straße solar project</t>
  </si>
  <si>
    <t>PV-Anlage Werk 1 Halle A bis C solar project</t>
  </si>
  <si>
    <t>PV-Anlage Werk 3 solar project I</t>
  </si>
  <si>
    <t>PV-Anlage Werk 3 solar project II</t>
  </si>
  <si>
    <t>PV-Anlage Werk Neurath solar project</t>
  </si>
  <si>
    <t>PV-Anlage Wunsiedel Ost solar project</t>
  </si>
  <si>
    <t>PV-Anlage gesamte Dachfläche Zollhausstr. solar project</t>
  </si>
  <si>
    <t>PV-Anlage solar project I</t>
  </si>
  <si>
    <t>PV-Anlage solar project II</t>
  </si>
  <si>
    <t>PV-Anlage-HE-Nord solar project</t>
  </si>
  <si>
    <t>PV-Anlage-Halle36 solar project</t>
  </si>
  <si>
    <t>PV-Anlage_Seebach_Schock solar project</t>
  </si>
  <si>
    <t>PV-Dachanlage Baarentelgen solar project</t>
  </si>
  <si>
    <t>PV-Dachanlage solar project I</t>
  </si>
  <si>
    <t>PV-Dachanlage solar project II</t>
  </si>
  <si>
    <t>PV-Dachanlage solar project III</t>
  </si>
  <si>
    <t>PV-Dachanlage solar project IV</t>
  </si>
  <si>
    <t>PV-FFA WW GUNT solar project</t>
  </si>
  <si>
    <t>PV-Freifläche Hattrop 8,414 MWp solar project</t>
  </si>
  <si>
    <t>PV-Freifläche bei Abwasserbehandlung solar project</t>
  </si>
  <si>
    <t>PV-Freifläche bei Werk 1 solar project</t>
  </si>
  <si>
    <t>PV-Freifläche solar project</t>
  </si>
  <si>
    <t>PV-Freiflächenanlage Enetsfeld Aichstetten solar project</t>
  </si>
  <si>
    <t>PV-Freiflächenanlage Poxdorf-West solar project</t>
  </si>
  <si>
    <t>PV-Freiflächenanlage solar project</t>
  </si>
  <si>
    <t>PV-FriZ-BA2 solar project</t>
  </si>
  <si>
    <t>PV-Gewächshaus 2024 solar project</t>
  </si>
  <si>
    <t>PV-Halle14 solar project</t>
  </si>
  <si>
    <t>PV-Hubing Süd solar project</t>
  </si>
  <si>
    <t>PV-Park Kirrweiler TR01 solar project</t>
  </si>
  <si>
    <t>PV-Park Kirrweiler TR02 solar project</t>
  </si>
  <si>
    <t>PV-Park Olching Bahnstrecke 2 (3993kWp) solar project</t>
  </si>
  <si>
    <t>PV-Pondorf Süd-Ost BA1.1 solar project</t>
  </si>
  <si>
    <t>PV-Wernau 1 solar project</t>
  </si>
  <si>
    <t>PV01_DET_2MWp solar project</t>
  </si>
  <si>
    <t>PVA  Rodgauer Baustoffwerke GmbH ＆ Co. KG solar project</t>
  </si>
  <si>
    <t>PVA -FF Veilsdorf solar project</t>
  </si>
  <si>
    <t>PVA 1 greenarea Heimertingen solar project</t>
  </si>
  <si>
    <t>PVA 18 solar project</t>
  </si>
  <si>
    <t>PVA 2 greenarea Heimertingen solar project</t>
  </si>
  <si>
    <t>PVA 20 solar project</t>
  </si>
  <si>
    <t>PVA 2686_GFLE BA1 solar project</t>
  </si>
  <si>
    <t>PVA Allna solar project</t>
  </si>
  <si>
    <t>PVA Altdorf-Rieden solar project</t>
  </si>
  <si>
    <t>PVA Ardey Quelle MtS solar project</t>
  </si>
  <si>
    <t>PVA Badeleben solar project</t>
  </si>
  <si>
    <t>PVA Badewannengießerei - FIMA Invest XI solar project</t>
  </si>
  <si>
    <t>PVA Badewannengießerei - MKLHK solar project</t>
  </si>
  <si>
    <t>PVA Biene solar project</t>
  </si>
  <si>
    <t>PVA Böhmreut Teil 2 solar project</t>
  </si>
  <si>
    <t>PVA Carsdorf Freilandanlage solar project</t>
  </si>
  <si>
    <t>PVA Charlottenhof II solar project</t>
  </si>
  <si>
    <t>PVA Clausnitz 1-2 solar project</t>
  </si>
  <si>
    <t>PVA Dallgow-Döberitz Teil II solar project</t>
  </si>
  <si>
    <t>PVA Deponie 1 Jänschwalde Nord solar project</t>
  </si>
  <si>
    <t>PVA Deponie Senzig IV solar project</t>
  </si>
  <si>
    <t>PVA Dohndorf solar project</t>
  </si>
  <si>
    <t>PVA Dommitzsch solar project</t>
  </si>
  <si>
    <t>PVA Duben II VOG100-154 solar project</t>
  </si>
  <si>
    <t>PVA Eglfing 2833/2834 Teil 2 solar project</t>
  </si>
  <si>
    <t>PVA Eglfing 894 solar project</t>
  </si>
  <si>
    <t>PVA Ensthof Teilfläche 1 solar project</t>
  </si>
  <si>
    <t>PVA Eslarn Teil 2 solar project</t>
  </si>
  <si>
    <t>PVA Garham Nord Teil 2 solar project</t>
  </si>
  <si>
    <t>PVA Germendorf solar project</t>
  </si>
  <si>
    <t>PVA Gertevitz solar project</t>
  </si>
  <si>
    <t>PVA Hammerallee Ausschreibung solar project</t>
  </si>
  <si>
    <t>PVA ILM I solar project</t>
  </si>
  <si>
    <t>PVA Kahren solar project</t>
  </si>
  <si>
    <t>PVA Karwill solar project</t>
  </si>
  <si>
    <t>PVA Kauernhofen 240,241 solar project</t>
  </si>
  <si>
    <t>PVA Kirchensittenbach solar project</t>
  </si>
  <si>
    <t>PVA Klosterheide TA II solar project</t>
  </si>
  <si>
    <t>PVA LPZ I solar project</t>
  </si>
  <si>
    <t>PVA LPZ II solar project</t>
  </si>
  <si>
    <t>PVA Liepen solar project</t>
  </si>
  <si>
    <t>PVA MTD PV GmbH solar project</t>
  </si>
  <si>
    <t>PVA Megapark solar project</t>
  </si>
  <si>
    <t>PVA Milkersdorf solar project</t>
  </si>
  <si>
    <t>PVA NOVO-TECH Zentrale Siemensstraße solar project</t>
  </si>
  <si>
    <t>PVA Oranienbaum - Neuanlage solar project</t>
  </si>
  <si>
    <t>PVA Reinstedt solar project</t>
  </si>
  <si>
    <t>PVA Riekofen Teil 2 solar project</t>
  </si>
  <si>
    <t>PVA Schlagenthin solar project</t>
  </si>
  <si>
    <t>PVA Schleich II solar project</t>
  </si>
  <si>
    <t>PVA Schleife - Volleinspeisung solar project</t>
  </si>
  <si>
    <t>PVA Sehnde 3321 kWp solar project</t>
  </si>
  <si>
    <t>PVA Simbach Anlagenteil 1 solar project</t>
  </si>
  <si>
    <t>PVA Simbach Anlagenteil 2 solar project</t>
  </si>
  <si>
    <t>PVA Uhrsleben - 12,3 MW solar project</t>
  </si>
  <si>
    <t>PVA Uhrsleben - 2,6 MW solar project</t>
  </si>
  <si>
    <t>PVA Unterpreppach solar project</t>
  </si>
  <si>
    <t>PVA Wedern solar project</t>
  </si>
  <si>
    <t>PVA Werben solar project</t>
  </si>
  <si>
    <t>PVA Werk III solar project</t>
  </si>
  <si>
    <t>PVA Wiegand Großbreitenbach 7932,760 kWp solar project</t>
  </si>
  <si>
    <t>PVA Wiesenhagen_EEG 1 solar project</t>
  </si>
  <si>
    <t>PVA-Weinhausen 1 solar project</t>
  </si>
  <si>
    <t>PVA_P33 solar project</t>
  </si>
  <si>
    <t>PVA_P33_Teil 2 solar project</t>
  </si>
  <si>
    <t>PVA_PD-0160-01_Zieglerstraße 6 solar project</t>
  </si>
  <si>
    <t>PVFF Birkigt solar project</t>
  </si>
  <si>
    <t>PV_FFA_Mon solar project</t>
  </si>
  <si>
    <t>PV_Stein_Flurnummer 650 solar project</t>
  </si>
  <si>
    <t>Park 2024 solar project</t>
  </si>
  <si>
    <t>Pecheigen - BA II Ausschreibung solar project</t>
  </si>
  <si>
    <t>Pentling 2 solar project</t>
  </si>
  <si>
    <t>Pfalzmarkt solar project</t>
  </si>
  <si>
    <t>Photovoltaik 2024 solar project</t>
  </si>
  <si>
    <t>Photovoltaik Schwindegg solar project</t>
  </si>
  <si>
    <t>Photovoltaik-Anlage Oktober 2024 - Biopilz Wulfers solar project</t>
  </si>
  <si>
    <t>Photovoltaikanlage Carpenter GmbH solar project</t>
  </si>
  <si>
    <t>Photovoltaikanlage Riegel II Teil 1 solar project</t>
  </si>
  <si>
    <t>Photovoltaikanlage Riegel II Teil 2 solar project</t>
  </si>
  <si>
    <t>Photovoltaikanlage Riegel II Teil 3 solar project</t>
  </si>
  <si>
    <t>Photovoltaikanlage solar project</t>
  </si>
  <si>
    <t>Pilsting Bauteil D solar project</t>
  </si>
  <si>
    <t>Plauen - Reichenbacher Straße solar project</t>
  </si>
  <si>
    <t>Qair SP Jacobsdorf I solar project</t>
  </si>
  <si>
    <t>Qair SP Volkertshausen solar project</t>
  </si>
  <si>
    <t>Quedlinburg BNA_160 solar project</t>
  </si>
  <si>
    <t>RE. source Stoberg solar project</t>
  </si>
  <si>
    <t>RH11 Randowhöhe 11 solar project</t>
  </si>
  <si>
    <t>RWE Neuland 1 Erweiterung Solarpark solar project</t>
  </si>
  <si>
    <t>Rappenhof solar project</t>
  </si>
  <si>
    <t>Reidenhausen 1.1 solar project</t>
  </si>
  <si>
    <t>Reutfeld 1 PV 2 solar project</t>
  </si>
  <si>
    <t>Rossittis / Faber Invest-PVA Holzwickede solar project</t>
  </si>
  <si>
    <t>Rossittis / Faber Invest-PVA Weyhe solar project</t>
  </si>
  <si>
    <t>SBA Wieskau BA 2 solar project</t>
  </si>
  <si>
    <t>SEB solar project</t>
  </si>
  <si>
    <t>SEGRO Krefeld DSV solar project</t>
  </si>
  <si>
    <t>SE_2024_2916_Illertissen-Jedesheim solar project</t>
  </si>
  <si>
    <t>SE_2024_3491_Wittlich_F solar project</t>
  </si>
  <si>
    <t>SE_2024_4081_Illertissen_Ahornweg solar project</t>
  </si>
  <si>
    <t>SE_2024_4081_Illertissen_Ahornweg_CVB_EEG solar project</t>
  </si>
  <si>
    <t>SE_2024_4216_Gusterath solar project</t>
  </si>
  <si>
    <t>SE_2024_4436.1_Eyendorf solar project</t>
  </si>
  <si>
    <t>SE_2024_BDE (664,684) solar project</t>
  </si>
  <si>
    <t>SE_2024_Saulgau_K solar project</t>
  </si>
  <si>
    <t>SIMA.Energie GmbH solar project</t>
  </si>
  <si>
    <t>14,7</t>
  </si>
  <si>
    <t>SKW Eimersleben II AUS solar project</t>
  </si>
  <si>
    <t>SKW Roßleben II - AUS solar project</t>
  </si>
  <si>
    <t>SKW con-pearl Geismar solar project</t>
  </si>
  <si>
    <t>SMA Gebäude 74 solar project</t>
  </si>
  <si>
    <t>SP Altzirkendorf solar project</t>
  </si>
  <si>
    <t>SP Auenhain solar project</t>
  </si>
  <si>
    <t>SP BRG B3 solar project</t>
  </si>
  <si>
    <t>SP Freystadt-Mörsdorf PVA2 solar project</t>
  </si>
  <si>
    <t>SP Hagenohe solar project</t>
  </si>
  <si>
    <t>SP Hochstraßfeld solar project</t>
  </si>
  <si>
    <t>SP Höflas 1 solar project</t>
  </si>
  <si>
    <t>SP Hüll H6 solar project</t>
  </si>
  <si>
    <t>SP Ortlesbrunn solar project</t>
  </si>
  <si>
    <t>SP Ranzenthal solar project</t>
  </si>
  <si>
    <t>SP SW - BA 2-2 solar project</t>
  </si>
  <si>
    <t>SP Schwendelgraben Erweiterung Fl.Nr. 187 solar project</t>
  </si>
  <si>
    <t>SP Seukendorf (Seukendorf 11) solar project</t>
  </si>
  <si>
    <t>SP Seukendorf (Seukendorf 12) solar project</t>
  </si>
  <si>
    <t>SP Steenfeld - Ost solar project</t>
  </si>
  <si>
    <t>SP Steenfeld - West solar project</t>
  </si>
  <si>
    <t>SP ZWE solar project</t>
  </si>
  <si>
    <t>SP Zeitlberg solar project</t>
  </si>
  <si>
    <t>SP-SWK14.8 solar project</t>
  </si>
  <si>
    <t>SUAG Pilkington III solar project</t>
  </si>
  <si>
    <t>SV Darmstadt 98 Stadion GmbH solar project</t>
  </si>
  <si>
    <t>Salzwedel 3.2 solar project</t>
  </si>
  <si>
    <t>Schammach 1 solar project</t>
  </si>
  <si>
    <t>Schammach 2, BA 2 solar project</t>
  </si>
  <si>
    <t>Schanzendrift II 2024 solar project</t>
  </si>
  <si>
    <t>Scharenstetten_3,3MWp solar project</t>
  </si>
  <si>
    <t>Schierling solar project</t>
  </si>
  <si>
    <t>Schiffdorf Wehden solar project</t>
  </si>
  <si>
    <t>Schuby solar project</t>
  </si>
  <si>
    <t>Schwaiger Solar Anlage Nr. 3 solar project</t>
  </si>
  <si>
    <t>Schweighof II solar project</t>
  </si>
  <si>
    <t>Schweineprojekt Hedersleben eGbR - PV solar project</t>
  </si>
  <si>
    <t>Schöli Erweiterung 2 MW solar project</t>
  </si>
  <si>
    <t>Schönermark Stallanlagen solar project</t>
  </si>
  <si>
    <t>Schönermark Tr. 102 PPA solar project</t>
  </si>
  <si>
    <t>15,9</t>
  </si>
  <si>
    <t>Schönhagen solar project</t>
  </si>
  <si>
    <t>Segro Bischofsheim solar project</t>
  </si>
  <si>
    <t>Solar 1 solar project</t>
  </si>
  <si>
    <t>Solar Power 1 GmbH solar project</t>
  </si>
  <si>
    <t>SolarPark-Stockwiesen solar project</t>
  </si>
  <si>
    <t>Solaranlage BMW Werk Leipzig VZ 3 Nord solar project</t>
  </si>
  <si>
    <t>Solaranlage Titz solar project</t>
  </si>
  <si>
    <t>Solaranlage Werk A solar project</t>
  </si>
  <si>
    <t>Solaranlage Werk D solar project</t>
  </si>
  <si>
    <t>Solarcarport Fürth solar project</t>
  </si>
  <si>
    <t>Solarfarm Lemmie EEG solar project</t>
  </si>
  <si>
    <t>Solarkraftwerk Bauler I 1. Bauabschnitt solar project</t>
  </si>
  <si>
    <t>Solarkraftwerk Bauler II 1. Bauabschnitt solar project</t>
  </si>
  <si>
    <t>Solarkraftwerk Dauwelshausen 1. Bauabschnitt solar project</t>
  </si>
  <si>
    <t>Solarkraftwerk Feld Meggle Bakery GmbH solar project</t>
  </si>
  <si>
    <t>Solarkraftwerk Gebrüder Colsman solar project</t>
  </si>
  <si>
    <t>Solarkraftwerk Rodershausen II solar project</t>
  </si>
  <si>
    <t>Solarkraftwerk Wolframs-Eschenbach Biederbach solar project</t>
  </si>
  <si>
    <t>Solarkraftwerk Wolframs-Eschenbach solar project</t>
  </si>
  <si>
    <t>Solarpark 2 - Ausschreibung solar project</t>
  </si>
  <si>
    <t>Solarpark Aicher Weg solar project</t>
  </si>
  <si>
    <t>Solarpark Am Steinacker solar project</t>
  </si>
  <si>
    <t>Solarpark Amberg Süd solar project</t>
  </si>
  <si>
    <t>Solarpark Augrub-Regen PVA2 solar project</t>
  </si>
  <si>
    <t>Solarpark Barbing 2 solar project</t>
  </si>
  <si>
    <t>Solarpark Barbing solar project</t>
  </si>
  <si>
    <t>Solarpark Beilrode I - Teilanlage 2 solar project</t>
  </si>
  <si>
    <t>Solarpark Beilrode I - Teilanlage 3 solar project</t>
  </si>
  <si>
    <t>Solarpark Beilrode I - Teilanlage 4 solar project</t>
  </si>
  <si>
    <t>Solarpark Bremelau solar project</t>
  </si>
  <si>
    <t>Solarpark Buch Süd II solar project</t>
  </si>
  <si>
    <t>Solarpark Burgbernheim Rettenmeier solar project</t>
  </si>
  <si>
    <t>Solarpark CAL solar project</t>
  </si>
  <si>
    <t>Solarpark Dietfurt Hainsberg West 2333,0kWp solar project</t>
  </si>
  <si>
    <t>Solarpark Dietfurt Hainsberg West 2767,0kWp solar project</t>
  </si>
  <si>
    <t>Solarpark Döggingen 1 solar project</t>
  </si>
  <si>
    <t>Solarpark Eiderstede solar project</t>
  </si>
  <si>
    <t>Solarpark Englberg solar project</t>
  </si>
  <si>
    <t>Solarpark Epenwöhrden Ia solar project</t>
  </si>
  <si>
    <t>Solarpark Epenwöhrden Ib solar project</t>
  </si>
  <si>
    <t>Solarpark Geiselwind Puma solar project</t>
  </si>
  <si>
    <t>Solarpark Grub - NVP 1 solar project</t>
  </si>
  <si>
    <t>Solarpark Grub - NVP 2 solar project</t>
  </si>
  <si>
    <t>Solarpark Grub - NVP 3 solar project</t>
  </si>
  <si>
    <t>Solarpark Gröninger Feld Schechingen solar project</t>
  </si>
  <si>
    <t>Solarpark Gutenzell-Hürbel PVA Nord solar project</t>
  </si>
  <si>
    <t>Solarpark Gutenzell-Hürbel PVA Süd solar project</t>
  </si>
  <si>
    <t>Solarpark HZW solar project</t>
  </si>
  <si>
    <t>Solarpark Hagbruch Anlage 2 solar project</t>
  </si>
  <si>
    <t>Solarpark Hagbruch Anlage 3 solar project</t>
  </si>
  <si>
    <t>Solarpark Haiterbach Unterschwandorf 2 solar project</t>
  </si>
  <si>
    <t>Solarpark Hammerbuck solar project</t>
  </si>
  <si>
    <t>Solarpark Hattstedt Op de Heid solar project</t>
  </si>
  <si>
    <t>Solarpark Hedemünden 2 solar project</t>
  </si>
  <si>
    <t>Solarpark Hieringer Feld solar project</t>
  </si>
  <si>
    <t>Solarpark Hitzelsberg Teil 2 solar project</t>
  </si>
  <si>
    <t>Solarpark Hofdorf VI solar project</t>
  </si>
  <si>
    <t>Solarpark Hofdorf VII solar project</t>
  </si>
  <si>
    <t>Solarpark Hohenmühle 2 solar project</t>
  </si>
  <si>
    <t>Solarpark Huisheim GmbH ＆ Co.KG Anlage 1 solar project</t>
  </si>
  <si>
    <t>Solarpark Huisheim GmbH ＆ Co.KG Anlage 2 solar project</t>
  </si>
  <si>
    <t>Solarpark Imming GmbH ＆ Co.KG Teil 2 _ kleiner 6,191 MW solar project</t>
  </si>
  <si>
    <t>Solarpark Jerchel West - Teilanlage 2 solar project</t>
  </si>
  <si>
    <t>Solarpark Jerchel West - Teilanlage 3 solar project</t>
  </si>
  <si>
    <t>Solarpark Jerchel West - Teilanlage 4 solar project</t>
  </si>
  <si>
    <t>Solarpark Kalteneber solar project</t>
  </si>
  <si>
    <t>Solarpark Kellerflur solar project</t>
  </si>
  <si>
    <t>Solarpark Kiesgrube Stich ＆ Schäller solar project</t>
  </si>
  <si>
    <t>Solarpark Kinateder GbR solar project</t>
  </si>
  <si>
    <t>Solarpark Königsberg - 16.964 kWp solar project</t>
  </si>
  <si>
    <t>Solarpark Kümmersbruck 2 -2,3 MWp solar project</t>
  </si>
  <si>
    <t>Solarpark LAMP 2 - Im Bruch solar project</t>
  </si>
  <si>
    <t>Solarpark Laimerstadt - P21-038 solar project</t>
  </si>
  <si>
    <t>Solarpark Lichte Platte solar project</t>
  </si>
  <si>
    <t>Solarpark Lonnerstadt solar project</t>
  </si>
  <si>
    <t>Solarpark Maiszell solar project</t>
  </si>
  <si>
    <t>Solarpark Marbach solar project</t>
  </si>
  <si>
    <t>Solarpark Marborn solar project</t>
  </si>
  <si>
    <t>Solarpark Meeder - P18-123 Teil 1 solar project</t>
  </si>
  <si>
    <t>Solarpark Mitterschida solar project</t>
  </si>
  <si>
    <t>Solarpark Mühlhausen 2 solar project</t>
  </si>
  <si>
    <t>Solarpark Mühlhausen 3 solar project</t>
  </si>
  <si>
    <t>Solarpark Neuendorf A - P20-074 Teil 1 solar project</t>
  </si>
  <si>
    <t>Solarpark Neuendorf A - P20-074 Teil 2 solar project</t>
  </si>
  <si>
    <t>Solarpark Nieheim GmbH ＆ Co. KG_Himmighausen_Nord solar project</t>
  </si>
  <si>
    <t>Solarpark Nieheim GmbH ＆ Co. KG_Himmighausen_Süd solar project</t>
  </si>
  <si>
    <t>Solarpark Oberdeggenbach solar project</t>
  </si>
  <si>
    <t>Solarpark Obermenach MS solar project</t>
  </si>
  <si>
    <t>Solarpark Obermenach UW solar project</t>
  </si>
  <si>
    <t>Solarpark Obertraubling solar project</t>
  </si>
  <si>
    <t>Solarpark Osterburken solar project</t>
  </si>
  <si>
    <t>Solarpark Pfaffenhausen solar project</t>
  </si>
  <si>
    <t>Solarpark Pielweichs II solar project</t>
  </si>
  <si>
    <t>Solarpark Puch - P22-082 solar project</t>
  </si>
  <si>
    <t>Solarpark Rain/Atting/Straubing BA 1 - Straubing BF 5 Erweiterung solar project</t>
  </si>
  <si>
    <t>Solarpark SIMA solar project</t>
  </si>
  <si>
    <t>Solarpark Salmünster 2 solar project</t>
  </si>
  <si>
    <t>Solarpark Schiefe Breede Bielefeld solar project</t>
  </si>
  <si>
    <t>Solarpark Schrobenhausen - Sandizell II - P21-010 Teil 2 solar project</t>
  </si>
  <si>
    <t>Solarpark Schwaigern solar project</t>
  </si>
  <si>
    <t>Solarpark Sontheim (5032,995 kWp) solar project</t>
  </si>
  <si>
    <t>Solarpark Sontheim II 2024 solar project</t>
  </si>
  <si>
    <t>Solarpark Sophienhof 2 solar project</t>
  </si>
  <si>
    <t>Solarpark Splietsdorf B solar project</t>
  </si>
  <si>
    <t>Solarpark Stopfenheim II solar project</t>
  </si>
  <si>
    <t>Solarpark Theile solar project II</t>
  </si>
  <si>
    <t>Solarpark Traufwiesen solar project</t>
  </si>
  <si>
    <t>Solarpark Unsleben 2 solar project</t>
  </si>
  <si>
    <t>Solarpark Vilsbiburg IV solar project</t>
  </si>
  <si>
    <t>Solarpark Vilsbiburg V solar project</t>
  </si>
  <si>
    <t>Solarpark Vorbachzimmern solar project</t>
  </si>
  <si>
    <t>Solarpark Wackersdorf solar project</t>
  </si>
  <si>
    <t>Solarpark Werneck BA 2 - 1252 kWp solar project</t>
  </si>
  <si>
    <t>Solarpark Werneck BA 2 - 6796 kWp solar project</t>
  </si>
  <si>
    <t>Solarpark Werneck BA 2 - Zuschlag 5839 kWp solar project</t>
  </si>
  <si>
    <t>Solarpark Westerhausen - P20-101 Teil 1 solar project</t>
  </si>
  <si>
    <t>Solarpark Westerhausen - P20-101 Teil 2 solar project</t>
  </si>
  <si>
    <t>Solarpark Westerhausen - P20-101 Teil 3 solar project</t>
  </si>
  <si>
    <t>Solarpark Westerhausen - P20-101 Teil 4 solar project</t>
  </si>
  <si>
    <t>Solarpark Wolpertstetten II solar project</t>
  </si>
  <si>
    <t>Solarpark Zehdenick-Badingen - HarNES ID E107173 Energieparknummer 72259 solar project</t>
  </si>
  <si>
    <t>Solarpark-im-OY solar project</t>
  </si>
  <si>
    <t>Sottrum_H1-H4_SM_Anlage solar project</t>
  </si>
  <si>
    <t>St. Aldegund 1.2 solar project</t>
  </si>
  <si>
    <t>System 001 Helioflux solar project</t>
  </si>
  <si>
    <t>Sülte 1 EEG solar project</t>
  </si>
  <si>
    <t>TKF solar project</t>
  </si>
  <si>
    <t>TRIA003 (Hamm I) solar project</t>
  </si>
  <si>
    <t>TUI CAMPUS PV-Anlage solar project</t>
  </si>
  <si>
    <t>TWS-Halle solar project</t>
  </si>
  <si>
    <t>Tellig solar project</t>
  </si>
  <si>
    <t>Temming 73 solar project</t>
  </si>
  <si>
    <t>Tenn Solarpark solar project</t>
  </si>
  <si>
    <t>Treier Solar Erweiterung solar project</t>
  </si>
  <si>
    <t>Unilever Mannheim solar project</t>
  </si>
  <si>
    <t>Unilux solar project</t>
  </si>
  <si>
    <t>Uthmöden1439 solar project</t>
  </si>
  <si>
    <t>VOCO PV-Freiflächenanlage solar project</t>
  </si>
  <si>
    <t>Veitsbronn Raindorf solar project</t>
  </si>
  <si>
    <t>VenSol Solarpark Rothtal I GmbH ＆ Co. KG solar project</t>
  </si>
  <si>
    <t>VenSol Solarpark Rothtal II GmbH ＆ Co. KG solar project</t>
  </si>
  <si>
    <t>VenSol Solarpark Rothtal III GmbH ＆ Co. KG solar project</t>
  </si>
  <si>
    <t>19,2</t>
  </si>
  <si>
    <t>Voerde Halle 2, EB solar project</t>
  </si>
  <si>
    <t>Voerde Halle 2, VE solar project</t>
  </si>
  <si>
    <t>WIST Green PV 1 solar project</t>
  </si>
  <si>
    <t>Waldböckelheim Repowering 3,3 solar project</t>
  </si>
  <si>
    <t>Walp PV Teil 2 solar project</t>
  </si>
  <si>
    <t>Weede 1.1 solar project</t>
  </si>
  <si>
    <t>Werk 2, Liebigstraße 1 solar project</t>
  </si>
  <si>
    <t>Westhoff Energy GmbH solar project</t>
  </si>
  <si>
    <t>Witzleben_Volleinspeisung solar project</t>
  </si>
  <si>
    <t>W＆L PV VI GbR Wietmarschen solar project</t>
  </si>
  <si>
    <t>Zuschlags Anlage 2024 solar project</t>
  </si>
  <si>
    <t>wpd Solarpark Lautlingen Süd GmbH ＆ Co KG solar project</t>
  </si>
  <si>
    <t>Deponie Jänschwalde solar farm</t>
  </si>
  <si>
    <t>117 2 Lampertheim 1.1.2 solar project</t>
  </si>
  <si>
    <t>9030 SP Brandbühl solar project</t>
  </si>
  <si>
    <t>9038 SP Allensbach Lärmschutzwall solar project</t>
  </si>
  <si>
    <t>ABO Wind PV Euskirchen solar farm</t>
  </si>
  <si>
    <t>ABO Wind PV Wald-Michelbach solar farm</t>
  </si>
  <si>
    <t>ABO Wind Solarpark Eft Hellendorf solar project</t>
  </si>
  <si>
    <t>ABO Wind Solarpark Hörzhausen solar project</t>
  </si>
  <si>
    <t>ABO Wind Solarpark Sandharlanden solar project</t>
  </si>
  <si>
    <t>AV Ost Baro solar project</t>
  </si>
  <si>
    <t>Agethorst solar project</t>
  </si>
  <si>
    <t>Agri-Photovoltaik Epfendorf BA Inno solar farm</t>
  </si>
  <si>
    <t>Agri-Photovoltaik Krauscha BA Inno solar farm</t>
  </si>
  <si>
    <t>Agri-Solarpark Löffingen BA Inno solar farm</t>
  </si>
  <si>
    <t>BENO Energy Dortmund I solar project</t>
  </si>
  <si>
    <t>BRED034 (Hamburg Billbrook) solar project</t>
  </si>
  <si>
    <t>BSG -PV MO solar farm</t>
  </si>
  <si>
    <t>BSG PB Mo Inno solar project</t>
  </si>
  <si>
    <t>Berlin2977 solar project</t>
  </si>
  <si>
    <t>Blackriver Solarpark solar project</t>
  </si>
  <si>
    <t>Bodenheim 1.4 MW solar project</t>
  </si>
  <si>
    <t>Bogen solar farm</t>
  </si>
  <si>
    <t>Burgwindheim II solar project</t>
  </si>
  <si>
    <t>Bürgersolarpark Lautertal/Unterlauter solar project</t>
  </si>
  <si>
    <t>Carl Spaeter GmbH, Duisburg solar project</t>
  </si>
  <si>
    <t>Datteln DC1 solar project</t>
  </si>
  <si>
    <t>Ditfurt 2 solar project</t>
  </si>
  <si>
    <t>Dortmund I 1,1 solar project</t>
  </si>
  <si>
    <t>Eckl_LTEC-AGRI-PV solar farm</t>
  </si>
  <si>
    <t>Ehndorf PVA solar farm</t>
  </si>
  <si>
    <t>Energiepark Schipkau solar project</t>
  </si>
  <si>
    <t>Eratsrain PV BA2 solar project</t>
  </si>
  <si>
    <t>Eratsrain PV solar farm</t>
  </si>
  <si>
    <t>Erweiterung PV solar farm</t>
  </si>
  <si>
    <t>FFPV Winnberg solar project</t>
  </si>
  <si>
    <t>FPV Hirtenäcker, Sulzdorf solar farm</t>
  </si>
  <si>
    <t>Fensterbach 2 solar project</t>
  </si>
  <si>
    <t>Flechtorf BA2 solar farm</t>
  </si>
  <si>
    <t>Freifeldanlage Meeder 1500 solar farm</t>
  </si>
  <si>
    <t>Freiflächen Photovoltaikanlage solar project</t>
  </si>
  <si>
    <t>GE PV 02 solar project</t>
  </si>
  <si>
    <t>Giessener Dämmstoffe PV 2023 solar project</t>
  </si>
  <si>
    <t>Grau Green Energy Osterrönfeld solar project</t>
  </si>
  <si>
    <t>Grolsheim DC2 solar project</t>
  </si>
  <si>
    <t>Halle 1 4 solar project</t>
  </si>
  <si>
    <t>Hierlacker PV solar farm</t>
  </si>
  <si>
    <t>Hubert Gauggel solar project</t>
  </si>
  <si>
    <t>Industriegebiet solar project</t>
  </si>
  <si>
    <t>JUST003 (Polch) solar project</t>
  </si>
  <si>
    <t>KPAR015 (Hamm II) solar project</t>
  </si>
  <si>
    <t>Kerpen DC1 (SolarX) solar project</t>
  </si>
  <si>
    <t>Kieswerk Ellerdonk solar project</t>
  </si>
  <si>
    <t>Kümmersbruck solar farm</t>
  </si>
  <si>
    <t>Leideneck III solar project</t>
  </si>
  <si>
    <t>Lemwerder PVA solar farm</t>
  </si>
  <si>
    <t>Marl II solar project</t>
  </si>
  <si>
    <t>Mav Krefeld GmbH solar farm</t>
  </si>
  <si>
    <t>Michelsrombach PV solar project</t>
  </si>
  <si>
    <t>Milchwerke Schwaben eG Photovoltaik Anlage solar project</t>
  </si>
  <si>
    <t>Neustadt Nord 1 solar project</t>
  </si>
  <si>
    <t>Nohra BA2 1,5 MW solar project</t>
  </si>
  <si>
    <t>Nustrow 1.1 solar project</t>
  </si>
  <si>
    <t>Oberhaid Staffelbach solar project</t>
  </si>
  <si>
    <t>Oldenburger Geflügelspezialitäten Lohne Dach solar project</t>
  </si>
  <si>
    <t>P326 solar project</t>
  </si>
  <si>
    <t>PV Anlage 1.240,92 kWp solar project</t>
  </si>
  <si>
    <t>PV Anlage 1361,36 kWp solar project</t>
  </si>
  <si>
    <t>PV Anlage Allfein Laage solar project</t>
  </si>
  <si>
    <t>PV Anlage DELO Bestandsgebäude solar project</t>
  </si>
  <si>
    <t>PV Anlage Diephaus Vechta solar project</t>
  </si>
  <si>
    <t>PV Anlage GVZ P71098 solar project</t>
  </si>
  <si>
    <t>PV Anlage Hellingen 2 solar project</t>
  </si>
  <si>
    <t>PV Anlage Peine LEH88 1.000 kWp solar project</t>
  </si>
  <si>
    <t>PV Anlage Peine LEH88 2.000 kWp solar project</t>
  </si>
  <si>
    <t>PV Anlage Pfenning Mecklar solar project</t>
  </si>
  <si>
    <t>PV Anlage Werk Korbach solar project</t>
  </si>
  <si>
    <t>PV Apfeldorf solar farm</t>
  </si>
  <si>
    <t>PV BAT Gnoien solar project</t>
  </si>
  <si>
    <t>PV Bundesautobahn A 44 Ost solar project</t>
  </si>
  <si>
    <t>PV Bundesautobahn A 44 West solar project</t>
  </si>
  <si>
    <t>PV DF Kronospan solar project</t>
  </si>
  <si>
    <t>PV Dachanlage 2.456,16kWp Plattling solar project</t>
  </si>
  <si>
    <t>PV Düllstadt solar project</t>
  </si>
  <si>
    <t>PV FLB 4030 solar project</t>
  </si>
  <si>
    <t>PV FRI 07 solar project</t>
  </si>
  <si>
    <t>PV Freiflächanlage 3.326,40kWp solar project</t>
  </si>
  <si>
    <t>PV Freifläche Friedheim solar project</t>
  </si>
  <si>
    <t>PV Freifläche Puschkinpark solar project</t>
  </si>
  <si>
    <t>PV Freiflächenanlage Jessen solar project</t>
  </si>
  <si>
    <t>PV Freiflächenanlage Lay solar project</t>
  </si>
  <si>
    <t>PV Güsten 12 MW solar project</t>
  </si>
  <si>
    <t>PV HS Timber solar project</t>
  </si>
  <si>
    <t>PV Karl Binder Brautlach solar project</t>
  </si>
  <si>
    <t>PV Kümmersbruck Anlage 2 3,3MW solar project</t>
  </si>
  <si>
    <t>PV Mainsondheim solar project</t>
  </si>
  <si>
    <t>PV Neuötting Inn GmbH ＆ Co. KG solar project</t>
  </si>
  <si>
    <t>PV Niederaula I solar project</t>
  </si>
  <si>
    <t>PV Niederaula II solar project</t>
  </si>
  <si>
    <t>PV Ottenbüttel solar farm</t>
  </si>
  <si>
    <t>PV ReisserBB2024 solar project</t>
  </si>
  <si>
    <t>PV Remmesweiler solar project</t>
  </si>
  <si>
    <t>PV Rote Jahne - 5,8 MW solar farm</t>
  </si>
  <si>
    <t>PV Rudolzhofen solar project</t>
  </si>
  <si>
    <t>PV SIT solar project</t>
  </si>
  <si>
    <t>PV Sonneberg solar farm</t>
  </si>
  <si>
    <t>PV Vienenburg solar project</t>
  </si>
  <si>
    <t>PV Ötigheim solar project</t>
  </si>
  <si>
    <t>PV-Anlage Braunsbedra solar farm</t>
  </si>
  <si>
    <t>PV-NIEMO-4076 solar farm</t>
  </si>
  <si>
    <t>PV-PIT-4104 solar farm</t>
  </si>
  <si>
    <t>PV2 (Grünheide) solar project</t>
  </si>
  <si>
    <t>PV3 solar project</t>
  </si>
  <si>
    <t>PV4 solar project</t>
  </si>
  <si>
    <t>PVA Alberdingk Boley Leuna GmbH solar project</t>
  </si>
  <si>
    <t>PVA Antdorf solar farm</t>
  </si>
  <si>
    <t>PVA Deponie Luckenwalde solar project</t>
  </si>
  <si>
    <t>PVA Dortmund 1.37 kWp solar project</t>
  </si>
  <si>
    <t>PVA Egling solar farm</t>
  </si>
  <si>
    <t>PVA Freifläche solar project</t>
  </si>
  <si>
    <t>PVA Gardessen solar farm</t>
  </si>
  <si>
    <t>PVA Gladbeck LPG solar project</t>
  </si>
  <si>
    <t>PVA Göhlsdorf EEG Teil solar project</t>
  </si>
  <si>
    <t>PVA Güsten solar project</t>
  </si>
  <si>
    <t>PVA Harsleben solar project</t>
  </si>
  <si>
    <t>PVA Hella Hamm I solar project</t>
  </si>
  <si>
    <t>PVA Hodenhagen solar project I</t>
  </si>
  <si>
    <t>PVA Holzheizkraftwerk Hövelhof GmbH solar project</t>
  </si>
  <si>
    <t>PVA Hoya solar project</t>
  </si>
  <si>
    <t>PVA Obersöchering solar farm</t>
  </si>
  <si>
    <t>PVA Rhinsmühlen solar farm</t>
  </si>
  <si>
    <t>PVA Zwickau solar project</t>
  </si>
  <si>
    <t>PVA egeplast Greven solar project</t>
  </si>
  <si>
    <t>Plastic Omnium Reinsdorf 3,3 MWp solar project</t>
  </si>
  <si>
    <t>Pocking II solar project</t>
  </si>
  <si>
    <t>QW FRE Freiflächen PV solar project</t>
  </si>
  <si>
    <t>QWB COE Floating PV solar project</t>
  </si>
  <si>
    <t>RaiBa Bürgersolarpark Nordhalben solar project</t>
  </si>
  <si>
    <t>Richlisreute PV BA2 solar project</t>
  </si>
  <si>
    <t>Richlisreute PV solar farm</t>
  </si>
  <si>
    <t>Rothe Erde Solaranlage Halle 8 &amp; 9 solar project</t>
  </si>
  <si>
    <t>Rothenstadt II.2 solar project</t>
  </si>
  <si>
    <t>SE 2023 3094 Rostock solar project</t>
  </si>
  <si>
    <t>SKE PV FFA HS solar project</t>
  </si>
  <si>
    <t>SKW Tambach Dietharz solar project</t>
  </si>
  <si>
    <t>SP Wellingen BA Inno solar project</t>
  </si>
  <si>
    <t>SWE PV Freifläche Fährstraße I solar project</t>
  </si>
  <si>
    <t>Salz Str III 3MW solar project</t>
  </si>
  <si>
    <t>Salzwedel 3.1 solar project</t>
  </si>
  <si>
    <t>Seehafen Wismar solar project</t>
  </si>
  <si>
    <t>Solaranlage solar project</t>
  </si>
  <si>
    <t>Solarkraftwerk Rodershausen 1. Bauabschnitt solar project</t>
  </si>
  <si>
    <t>16,7</t>
  </si>
  <si>
    <t>Solarpark (Eichendorf) solar project</t>
  </si>
  <si>
    <t>Solarpark Ammerfeld solar project</t>
  </si>
  <si>
    <t>Solarpark Bogen-Degernbach solar farm</t>
  </si>
  <si>
    <t>Solarpark Bogen-Hörabach solar farm</t>
  </si>
  <si>
    <t>Solarpark Boms solar project</t>
  </si>
  <si>
    <t>Solarpark Breites Feld in Priegendorf solar farm</t>
  </si>
  <si>
    <t>Solarpark Briest V EDIS Anlage solar project</t>
  </si>
  <si>
    <t>Solarpark Briest V STWB Anlage solar project</t>
  </si>
  <si>
    <t>Solarpark Dietersheim-Oberroßbach solar farm</t>
  </si>
  <si>
    <t>Solarpark Dörnten solar project</t>
  </si>
  <si>
    <t>Solarpark Eitensheim solar farm</t>
  </si>
  <si>
    <t>Solarpark Friedberg 2 solar project</t>
  </si>
  <si>
    <t>Solarpark Fürth Burgfarrnbach 1030,82 kWp solar project</t>
  </si>
  <si>
    <t>Solarpark Gammertingen 04/21 solar farm</t>
  </si>
  <si>
    <t>Solarpark Gammertingen EEG Teil solar project</t>
  </si>
  <si>
    <t>Solarpark Haiterbach Blätschenschneider solar project</t>
  </si>
  <si>
    <t>Solarpark Haiterbach Unterschwandorf 1 solar project</t>
  </si>
  <si>
    <t>Solarpark Hallenhausen solar farm</t>
  </si>
  <si>
    <t>Solarpark Heiligenfelde solar farm</t>
  </si>
  <si>
    <t>Solarpark Hellingen V solar project</t>
  </si>
  <si>
    <t>Solarpark Herrnneuses solar farm</t>
  </si>
  <si>
    <t>Solarpark Hohberg I.2 solar project</t>
  </si>
  <si>
    <t>Solarpark Hohberg II.3 solar project</t>
  </si>
  <si>
    <t>Solarpark Hohenau solar farm</t>
  </si>
  <si>
    <t>Solarpark Höchheim solar farm</t>
  </si>
  <si>
    <t>Solarpark Illesheim solar project</t>
  </si>
  <si>
    <t>Solarpark Junkerdorf II solar project</t>
  </si>
  <si>
    <t>Solarpark Jünkerath solar farm</t>
  </si>
  <si>
    <t>Solarpark Liebenburg solar project</t>
  </si>
  <si>
    <t>Solarpark Lipporn solar project</t>
  </si>
  <si>
    <t>Solarpark Lärz Rechlin Nord solar project</t>
  </si>
  <si>
    <t>Solarpark Lübars 2 solar farm</t>
  </si>
  <si>
    <t>Solarpark Moosbach solar farm</t>
  </si>
  <si>
    <t>Solarpark Mühlbuck solar farm</t>
  </si>
  <si>
    <t>Solarpark Neusitz 1980 kW solar project</t>
  </si>
  <si>
    <t>Solarpark Oberroßbach 2 solar project</t>
  </si>
  <si>
    <t>Solarpark Obertrubach solar farm</t>
  </si>
  <si>
    <t>Solarpark Oeversee solar project</t>
  </si>
  <si>
    <t>Solarpark Osterberg solar farm</t>
  </si>
  <si>
    <t>Solarpark Otterzhofen Süd solar farm</t>
  </si>
  <si>
    <t>Solarpark Otterzhofen West solar farm</t>
  </si>
  <si>
    <t>Solarpark Ottmarsfeld Nord BA 2 solar project</t>
  </si>
  <si>
    <t>Solarpark Raitenbuch solar project</t>
  </si>
  <si>
    <t>Solarpark Ramsthal IIIa solar project</t>
  </si>
  <si>
    <t>Solarpark Ramsthal IIIb solar project</t>
  </si>
  <si>
    <t>Solarpark Rot an der Rot solar project</t>
  </si>
  <si>
    <t>Solarpark Rögen 1 solar project</t>
  </si>
  <si>
    <t>Solarpark Seibersdorf solar project</t>
  </si>
  <si>
    <t>Solarpark Unsleben (BSE) solar project</t>
  </si>
  <si>
    <t>Solarpark Unterschlauersbach solar farm</t>
  </si>
  <si>
    <t>Solarpark Veitswend solar farm</t>
  </si>
  <si>
    <t>Solarpark Volkershausen II solar farm</t>
  </si>
  <si>
    <t>Solarpark Welbhausen solar project</t>
  </si>
  <si>
    <t>Sülte 2.2 EEG solar project</t>
  </si>
  <si>
    <t>Theilheim BA II, 1668 kWp solar project</t>
  </si>
  <si>
    <t>ValBR2 solar project</t>
  </si>
  <si>
    <t>Vensol Solarpark Schwaighausen Bauabschnitt 2 Teil 1 Ausschreibung solar project</t>
  </si>
  <si>
    <t>Vensol Solarpark Thannhausen GmbH ＆ Co. KG solar project</t>
  </si>
  <si>
    <t>W067 TS Mercedes Benz Werk Bremen Bau 70 solar project</t>
  </si>
  <si>
    <t>Weinmann ＆ Schanz, BA I solar project</t>
  </si>
  <si>
    <t>Weinmann ＆ Schanz, BA II solar project</t>
  </si>
  <si>
    <t>Werk Kempten Photovoltaik solar project</t>
  </si>
  <si>
    <t>Werk Pfullendorf solar project</t>
  </si>
  <si>
    <t>Werk Reichertshofen Produktion solar project</t>
  </si>
  <si>
    <t>Wetzisreute PV solar farm</t>
  </si>
  <si>
    <t>Zeithain 9 solar project</t>
  </si>
  <si>
    <t>Zwickau 2.3 solar project</t>
  </si>
  <si>
    <t>wpd Solarpark Amstetten solar project</t>
  </si>
  <si>
    <t>Sülte 1 PPA solar project</t>
  </si>
  <si>
    <t>pre-construction</t>
  </si>
  <si>
    <t>22. Solarpark Deutschland solar project</t>
  </si>
  <si>
    <t>23141 solar project</t>
  </si>
  <si>
    <t>24196 SP Möringen III solar project</t>
  </si>
  <si>
    <t>24203 SP Passow II solar project</t>
  </si>
  <si>
    <t>9034 SP Rengetsweiler-Löffler solar project</t>
  </si>
  <si>
    <t>ABO Energy Solarpark Rottenacker solar project</t>
  </si>
  <si>
    <t>ABO Energy Solarpark Seckmauern solar project</t>
  </si>
  <si>
    <t>ABR933879950025 solar project</t>
  </si>
  <si>
    <t>AMLI006 (Großbeeren) Neubau solar project</t>
  </si>
  <si>
    <t>AMLI014 (Großbeeren) Bestand solar project</t>
  </si>
  <si>
    <t>AMTO011 (Bitburg) solar project</t>
  </si>
  <si>
    <t>AMWE008 (Nordenham) solar project</t>
  </si>
  <si>
    <t>Agravis Ost Mehltheuer solar project</t>
  </si>
  <si>
    <t>Agravis Ost Riesa solar project</t>
  </si>
  <si>
    <t>Agri PV Kruse Energie gr. 6,6 MW solar project</t>
  </si>
  <si>
    <t>Agri PV Kruse Energie kl. 3,3 MW solar project</t>
  </si>
  <si>
    <t>Agri PV Kryxenberg solar project</t>
  </si>
  <si>
    <t>Agri PV solar project</t>
  </si>
  <si>
    <t>Agri- PV Scheventorf solar project</t>
  </si>
  <si>
    <t>Agri-PV Johanniskirchen solar project</t>
  </si>
  <si>
    <t>Agri-PV-Freiflächen-Anlage solar project</t>
  </si>
  <si>
    <t>AgriPV - Vittenhag - 1274 solar project</t>
  </si>
  <si>
    <t>Aicha Solar solar project</t>
  </si>
  <si>
    <t>Am Bahnweg 3 InnAus PV solar project</t>
  </si>
  <si>
    <t>Anlage 3750 solar project</t>
  </si>
  <si>
    <t>Anlage BJ 2025 solar project</t>
  </si>
  <si>
    <t>A＆O Lohberg PV GbR solar project</t>
  </si>
  <si>
    <t>BREN000 (Delmenhorst) solar project</t>
  </si>
  <si>
    <t>BSS-PV solar project</t>
  </si>
  <si>
    <t>Badberger 2000 KW solar project</t>
  </si>
  <si>
    <t>Bakum I solar project</t>
  </si>
  <si>
    <t>Basepohl Inno solar project</t>
  </si>
  <si>
    <t>Bereich Nord PVA solar project</t>
  </si>
  <si>
    <t>Bereich Rest PVA solar project</t>
  </si>
  <si>
    <t>Bereich Süd PVA solar project</t>
  </si>
  <si>
    <t>Beselin I solar project</t>
  </si>
  <si>
    <t>Bottrop DC1 solar project</t>
  </si>
  <si>
    <t>Bottrop DC2 solar project</t>
  </si>
  <si>
    <t>BrEiSch Beerbach GmbH ＆ Co. KG solar project</t>
  </si>
  <si>
    <t>Bremen DC3 solar project</t>
  </si>
  <si>
    <t>Bretthauer Solarenergiepark Tongrube solar project</t>
  </si>
  <si>
    <t>Buchar I solar project</t>
  </si>
  <si>
    <t>16,1</t>
  </si>
  <si>
    <t>Buchenau solar project</t>
  </si>
  <si>
    <t>Bürgersolarpark Göritzberg solar project</t>
  </si>
  <si>
    <t>Bürgersolarpark Högenau solar project</t>
  </si>
  <si>
    <t>Bürgerverein Beuren - Agri-PV Aufgehnder solar project</t>
  </si>
  <si>
    <t>Duisburg DC1 solar project</t>
  </si>
  <si>
    <t>Eigenbedarf PV solar project</t>
  </si>
  <si>
    <t>Energiepark Brandl eGbR solar project</t>
  </si>
  <si>
    <t>Energiepark Eggesin solar project</t>
  </si>
  <si>
    <t>Erweiterung 2024 Solarpark Nindorf solar project</t>
  </si>
  <si>
    <t>FEETT Brendlorenzen solar project</t>
  </si>
  <si>
    <t>FEETT Lebenhan solar project</t>
  </si>
  <si>
    <t>FF-PV-Anlage solar project</t>
  </si>
  <si>
    <t>FFPV-Anlage BWH Stockhausen solar project</t>
  </si>
  <si>
    <t>FFPV-Anlage HBM Lüptitz solar project</t>
  </si>
  <si>
    <t>FFPVA Schlee 3 solar project</t>
  </si>
  <si>
    <t>FPV Fasanenmühle, Waldenburg solar project</t>
  </si>
  <si>
    <t>FPV Kesseläcker, Erlach solar project</t>
  </si>
  <si>
    <t>FPV Steinäcker, Sulzdorf solar project</t>
  </si>
  <si>
    <t>Fredenbeck5473 solar project</t>
  </si>
  <si>
    <t>Fredenbeck5880 solar project</t>
  </si>
  <si>
    <t>Freifläche - Großauheim solar project</t>
  </si>
  <si>
    <t>Freifläche-PV-Nord solar project</t>
  </si>
  <si>
    <t>Freiflächen PV Autobahn solar project</t>
  </si>
  <si>
    <t>Freiflächen-PV-Anlage-Seißen solar project</t>
  </si>
  <si>
    <t>Freiflächenanlage GE 25 solar project I</t>
  </si>
  <si>
    <t>Freiflächenanlage GE 25 solar project II</t>
  </si>
  <si>
    <t>Freiflächenanlage – Bad Orb solar project</t>
  </si>
  <si>
    <t>Freiflächensolaranlage 2 solar project</t>
  </si>
  <si>
    <t>Fuchsmühl 2 solar project</t>
  </si>
  <si>
    <t>GG III 18.709,92 (Teil 2) solar project</t>
  </si>
  <si>
    <t>GG III 8.111,04 kWp (Teil I) solar project</t>
  </si>
  <si>
    <t>GSI - Polch 1 solar project</t>
  </si>
  <si>
    <t>GUST005 (Bielefeld) solar project</t>
  </si>
  <si>
    <t>Geiger - Buchloe - PV solar project</t>
  </si>
  <si>
    <t>Gotha-Hans-C.-Wirz-Straße 4 solar project</t>
  </si>
  <si>
    <t>GreEn Solar I solar project</t>
  </si>
  <si>
    <t>Greenotaurus Pfaffenhofen solar project</t>
  </si>
  <si>
    <t>HERB001 (Regensburg) solar project</t>
  </si>
  <si>
    <t>HFST003 - Düren solar project</t>
  </si>
  <si>
    <t>HK20 Heidekrautbahn 20 solar project</t>
  </si>
  <si>
    <t>HU WRS Freifläche solar project</t>
  </si>
  <si>
    <t>Halle 11-12 solar project</t>
  </si>
  <si>
    <t>Hallen Am Tannenberg 5 Am Tannenberg 3c solar project</t>
  </si>
  <si>
    <t>Hamburg Hausbruch DC3 Exp. solar project</t>
  </si>
  <si>
    <t>Handewitt 2024 Eigenbedarf PV solar project</t>
  </si>
  <si>
    <t>Henke-Siekmannstraße-Dach solar project</t>
  </si>
  <si>
    <t>Herzo-PV Burgstall Süd01 GmbH ＆ Co. KG - Abschnitt Süd solar project</t>
  </si>
  <si>
    <t>Hillwood Borsdorf solar project</t>
  </si>
  <si>
    <t>Hillwood Braunschweig 1.095,59 kWp solar project</t>
  </si>
  <si>
    <t>Hillwood Falkensee solar project</t>
  </si>
  <si>
    <t>Hillwood Gifhorn solar project</t>
  </si>
  <si>
    <t>Hillwood Möckern solar project</t>
  </si>
  <si>
    <t>Hillwood Wörth am Rhein 1.201,50 kWp solar project</t>
  </si>
  <si>
    <t>Höllfeld Solarpark Eppishausen solar project</t>
  </si>
  <si>
    <t>IMGE014 (Friedewald) solar project</t>
  </si>
  <si>
    <t>Inno PV Brunnthal solar project</t>
  </si>
  <si>
    <t>Inno PV Gilching solar project</t>
  </si>
  <si>
    <t>Inno PV Hallbergmoos solar project</t>
  </si>
  <si>
    <t>Inno PV Maisach West solar project</t>
  </si>
  <si>
    <t>KPN PV Hartha solar project</t>
  </si>
  <si>
    <t>Kleinwusterwitz KS-Werk solar project</t>
  </si>
  <si>
    <t>Kohlberg solar project</t>
  </si>
  <si>
    <t>Kutenholz2730 solar project</t>
  </si>
  <si>
    <t>KÖSCH solar project</t>
  </si>
  <si>
    <t>Laresta_PV-Anlage_1836,5kWp solar project</t>
  </si>
  <si>
    <t>Linthe 2024 solar project</t>
  </si>
  <si>
    <t>Lübbenau - Solar solar project</t>
  </si>
  <si>
    <t>MARZ021 (Berlin) solar project</t>
  </si>
  <si>
    <t>MERC001 (Rastatt) solar project</t>
  </si>
  <si>
    <t>Mönchsroth solar project</t>
  </si>
  <si>
    <t>Mühlgebreite solar project</t>
  </si>
  <si>
    <t>NUV02-AMLU004 (Wunstorf) solar project</t>
  </si>
  <si>
    <t>NUV08-NORD001 (Kamp-Lintfort) solar project</t>
  </si>
  <si>
    <t>P20-119 Solarpark Seckach III solar project</t>
  </si>
  <si>
    <t>P22-218 Solarpark Beilngries-Arnbuch solar project</t>
  </si>
  <si>
    <t>P22-504 Anumar Solarpark Beilngries-Kirchbuch GmbH ＆ Co. KG solar project</t>
  </si>
  <si>
    <t>P22-617 Solarpark Altmannstein-Winden solar project</t>
  </si>
  <si>
    <t>P23-018 Solarpark Gachenbach solar project</t>
  </si>
  <si>
    <t>P23-087 Solarpark Meeder II solar project</t>
  </si>
  <si>
    <t>P23-328 Solarpark Karlskron IV solar project</t>
  </si>
  <si>
    <t>P23-408 Solarpark Parsberg V solar project</t>
  </si>
  <si>
    <t>P23-567 Solarpark Sparneck solar project</t>
  </si>
  <si>
    <t>PAT01-WALD051 (Bellheim) solar project</t>
  </si>
  <si>
    <t>PAT09-ADEM025 (Krefeld) solar project</t>
  </si>
  <si>
    <t>PV 2024 II solar project</t>
  </si>
  <si>
    <t>PV 3 solar project</t>
  </si>
  <si>
    <t>PV Anlage BioFrost Friedrichsgabekoog Dach solar project</t>
  </si>
  <si>
    <t>PV Anlage Oerlinghausen solar project</t>
  </si>
  <si>
    <t>PV Bürgersolarpark Ainring solar project</t>
  </si>
  <si>
    <t>PV Bürgersolarpark Pattenham solar project</t>
  </si>
  <si>
    <t>PV Freiflächanlage 2.334,78kWp solar project</t>
  </si>
  <si>
    <t>PV Freiflächanlage Kösching solar project</t>
  </si>
  <si>
    <t>PV Haselbach 1 Süd solar project</t>
  </si>
  <si>
    <t>PV Haselbach Nord solar project</t>
  </si>
  <si>
    <t>PV Keller Roschberg solar project</t>
  </si>
  <si>
    <t>PV Kirchheimbolanden 2 solar project</t>
  </si>
  <si>
    <t>PV Laudenbach (GGEW) solar project</t>
  </si>
  <si>
    <t>PV Lawitz solar project</t>
  </si>
  <si>
    <t>PV Maisachtal 2 solar project</t>
  </si>
  <si>
    <t>PV Meylberghof GbR solar project</t>
  </si>
  <si>
    <t>PV Otterzhofen NordOst solar project</t>
  </si>
  <si>
    <t>PV Owschlag solar project</t>
  </si>
  <si>
    <t>PV Park Salzwedel solar project</t>
  </si>
  <si>
    <t>PV Sangerhausen West solar project</t>
  </si>
  <si>
    <t>PV-2654,  RNE Dieselstr.98, Wülfrath solar project</t>
  </si>
  <si>
    <t>PV-Anlage Darast-Ost solar project</t>
  </si>
  <si>
    <t>PV-Anlage Freifläche Maschweg 8 solar project</t>
  </si>
  <si>
    <t>PV-Anlage Freiland BAFI-Halle solar project</t>
  </si>
  <si>
    <t>PV-Anlage Greven CBS19 - 2.000 kWp solar project</t>
  </si>
  <si>
    <t>PV-Anlage Halberstadt Halle A - BA1 solar project</t>
  </si>
  <si>
    <t>PV-Anlage Halberstadt Halle A - BA2 solar project</t>
  </si>
  <si>
    <t>PV-Anlage Halberstadt Halle A - BA3 solar project</t>
  </si>
  <si>
    <t>PV-Anlage Halberstadt Halle B - BA1 solar project</t>
  </si>
  <si>
    <t>PV-Anlage Halberstadt Halle B - BA2 solar project</t>
  </si>
  <si>
    <t>PV-Anlage Halberstadt Halle B - BA3 solar project</t>
  </si>
  <si>
    <t>PV-Anlage Tenowo Reichenbach GmbH solar project</t>
  </si>
  <si>
    <t>PV-Anlage ZNE Nord 1060,02 kW solar project</t>
  </si>
  <si>
    <t>PV-Freifläche 2,2 solar project</t>
  </si>
  <si>
    <t>PV-Freiflächenanlage Overath 1 solar project</t>
  </si>
  <si>
    <t>PV-HUNG-4151 solar project</t>
  </si>
  <si>
    <t>PV-Heiligenstedten (EEG) solar project</t>
  </si>
  <si>
    <t>PV-Heiligenstedten (Moor-PV) solar project</t>
  </si>
  <si>
    <t>PV-Leimersdorf solar project</t>
  </si>
  <si>
    <t>15,4</t>
  </si>
  <si>
    <t>PV-Park A30 solar project</t>
  </si>
  <si>
    <t>PV-Park Fuchsgrube solar project</t>
  </si>
  <si>
    <t>PV-Park Munzingen 1 solar project</t>
  </si>
  <si>
    <t>PV-Park Rehfeld solar project</t>
  </si>
  <si>
    <t>PV-Park Unterwendling solar project</t>
  </si>
  <si>
    <t>PV-Vogelherd solar project</t>
  </si>
  <si>
    <t>PVA Bad Zwischenahn_Grotewisch solar project</t>
  </si>
  <si>
    <t>PVA Bruchweiler solar project</t>
  </si>
  <si>
    <t>PVA Deponie Edesheim solar project</t>
  </si>
  <si>
    <t>PVA Ennigerloh-Oelde_In der Hoest solar project</t>
  </si>
  <si>
    <t>PVA Euskirchen_Umspannwerk solar project</t>
  </si>
  <si>
    <t>PVA Fischerhof solar project</t>
  </si>
  <si>
    <t>PVA Gardessen II solar project</t>
  </si>
  <si>
    <t>PVA Hardheim solar project</t>
  </si>
  <si>
    <t>PVA Hodenhagen solar project II</t>
  </si>
  <si>
    <t>PVA Pappelau_Hühnerberg solar project</t>
  </si>
  <si>
    <t>PVA Rauenberg solar project</t>
  </si>
  <si>
    <t>PVA Reichertshofen - InnoAus solar project</t>
  </si>
  <si>
    <t>PVA Rosenberg solar project</t>
  </si>
  <si>
    <t>PVA Sachsenkam - InnoAus solar project</t>
  </si>
  <si>
    <t>PVA Veilsdorf solar project</t>
  </si>
  <si>
    <t>PVA Wiesenau 2. BA solar project</t>
  </si>
  <si>
    <t>PVA Witten 2,0MW solar project</t>
  </si>
  <si>
    <t>PVA solar project</t>
  </si>
  <si>
    <t>PVA_SCN2_Radeburg solar project</t>
  </si>
  <si>
    <t>PVA_SCN2_Ronneburg solar project</t>
  </si>
  <si>
    <t>PVSM_Monsheim_Roche_V solar project</t>
  </si>
  <si>
    <t>PVSM_Worms_AGB1_REWEgr solar project</t>
  </si>
  <si>
    <t>PVSM_Worms_PDS_Halle3 solar project</t>
  </si>
  <si>
    <t>Parador solar project</t>
  </si>
  <si>
    <t>Pfingstfleck solar project</t>
  </si>
  <si>
    <t>Photovoltaikanlage Weimar solar project</t>
  </si>
  <si>
    <t>Pirk solar project</t>
  </si>
  <si>
    <t>Poltnitz III Teil 1 13.734,24 kWp solar project</t>
  </si>
  <si>
    <t>Poltnitz III Teil 2 10.462,56 kWp solar project</t>
  </si>
  <si>
    <t>RUDO000 (Schwäbisch Gmünd) solar project</t>
  </si>
  <si>
    <t>Repo - Schönebeck solar project</t>
  </si>
  <si>
    <t>Reuth solar project</t>
  </si>
  <si>
    <t>Rossmann EcoPower AGRI PV BG1 Finkental Aufzucht (Dorfstr.) solar project</t>
  </si>
  <si>
    <t>Rossmann EcoPower AGRI PV BG4 Bresewitz 1 solar project</t>
  </si>
  <si>
    <t>Rötz V solar project</t>
  </si>
  <si>
    <t>SKW Krakow am See solar project</t>
  </si>
  <si>
    <t>SP Glasewitz solar project</t>
  </si>
  <si>
    <t>SP Königsfeld solar project</t>
  </si>
  <si>
    <t>SP Rottweil solar project</t>
  </si>
  <si>
    <t>SP Zeitlarn II solar project</t>
  </si>
  <si>
    <t>STL Parensen PV-Park 1 solar project</t>
  </si>
  <si>
    <t>STL Parensen PV-Park 2 solar project</t>
  </si>
  <si>
    <t>Sinzheim-Waldhof solar project</t>
  </si>
  <si>
    <t>Solaranlage Adorf solar project</t>
  </si>
  <si>
    <t>Solaranlage BMW Werk Berlin solar project I</t>
  </si>
  <si>
    <t>Solarpark 2 "Am Letterchen" solar project</t>
  </si>
  <si>
    <t>Solarpark Berg Hausheim 3,5 MWp solar project</t>
  </si>
  <si>
    <t>Solarpark Berg-Häuselstein 2372 kWp solar project</t>
  </si>
  <si>
    <t>Solarpark Berngau PVA2 solar project</t>
  </si>
  <si>
    <t>Solarpark Brandenberger Feld solar project</t>
  </si>
  <si>
    <t>Solarpark Hausdülmen GbR solar project</t>
  </si>
  <si>
    <t>Solarpark Hetzenfeld Ausschreibungsteil solar project</t>
  </si>
  <si>
    <t>Solarpark Hetzlos solar project</t>
  </si>
  <si>
    <t>Solarpark Hirschbach 5 MWp solar project</t>
  </si>
  <si>
    <t>Solarpark Hirschhalde solar project</t>
  </si>
  <si>
    <t>Solarpark Holzheim GmbH ＆ Co. KG solar project</t>
  </si>
  <si>
    <t>Solarpark Hörbach Falteräcker solar project</t>
  </si>
  <si>
    <t>Solarpark Hörbach solar project</t>
  </si>
  <si>
    <t>Solarpark Leer solar project</t>
  </si>
  <si>
    <t>Solarpark Lottorf - P24-095 solar project</t>
  </si>
  <si>
    <t>Solarpark Lützelburg solar project</t>
  </si>
  <si>
    <t>Solarpark Mittelbiberach solar project</t>
  </si>
  <si>
    <t>Solarpark Münchham 51 GmbH solar project</t>
  </si>
  <si>
    <t>18,1</t>
  </si>
  <si>
    <t>Solarpark Neuendorf A - P20-074 Teil 3 solar project</t>
  </si>
  <si>
    <t>Solarpark Neuendorf A - P20-074 Teil 4 solar project</t>
  </si>
  <si>
    <t>Solarpark Niedereisenbach solar project</t>
  </si>
  <si>
    <t>Solarpark Oberrot solar project</t>
  </si>
  <si>
    <t>Solarpark Otterzhofen West - Teilanlage 2 solar project</t>
  </si>
  <si>
    <t>Solarpark Ottowind solar project</t>
  </si>
  <si>
    <t>Solarpark Pirna solar project</t>
  </si>
  <si>
    <t>Solarpark Reutlweg solar project</t>
  </si>
  <si>
    <t>Solarpark Riedenheim solar project</t>
  </si>
  <si>
    <t>Solarpark Schernikau 15 GmbH solar project</t>
  </si>
  <si>
    <t>Solarpark Sengenthal 8192 kWp solar project</t>
  </si>
  <si>
    <t>Solarpark Soest-Ampen solar project</t>
  </si>
  <si>
    <t>Solarpark Teunz - 3.144  kWp solar project</t>
  </si>
  <si>
    <t>Solarpark Türkenfeld solar project</t>
  </si>
  <si>
    <t>Solarpark Ulmbach - P21-097 Teil 1 solar project</t>
  </si>
  <si>
    <t>Solarpark Ulrichsberg solar project</t>
  </si>
  <si>
    <t>Solarpark Via Claudia Abschnitt 4 solar project</t>
  </si>
  <si>
    <t>Solarpark Waffenbrunn 3130 kWp solar project</t>
  </si>
  <si>
    <t>Solarpark Wernberg-Köblitz II solar project</t>
  </si>
  <si>
    <t>Solarpark Öhningen solar project</t>
  </si>
  <si>
    <t>Solarpark Öhringen solar project</t>
  </si>
  <si>
    <t>Solventus PV Schönwohld 1. BA solar project</t>
  </si>
  <si>
    <t>Sturmwind 1 solar project</t>
  </si>
  <si>
    <t>Sturmwind 2 solar project</t>
  </si>
  <si>
    <t>TEP Flora GmbH ＆ Co KG (PV) solar project</t>
  </si>
  <si>
    <t>Theilheim, BA III 7177,56 kWp Ino solar project</t>
  </si>
  <si>
    <t>Thoeringswerder_NW solar project</t>
  </si>
  <si>
    <t>URENCO-Solarpark solar project</t>
  </si>
  <si>
    <t>Unterpleichfeld PVA solar project</t>
  </si>
  <si>
    <t>Voerde Halle 1 solar project</t>
  </si>
  <si>
    <t>Vogelherd-BNetzA solar project</t>
  </si>
  <si>
    <t>Volleinspeiser-Anlage Hitzenhofen solar project</t>
  </si>
  <si>
    <t>W20_B56_PV_Parkhaus solar project</t>
  </si>
  <si>
    <t>Wack015 (Reichertshofen) solar project</t>
  </si>
  <si>
    <t>Waldsachsener Weg 26 Aufdachanlage solar project</t>
  </si>
  <si>
    <t>Werk solar project</t>
  </si>
  <si>
    <t>ZUMF134 (Erlensee) solar project</t>
  </si>
  <si>
    <t>area766 solar project</t>
  </si>
  <si>
    <t>von Aschenbach ＆ Voss GmbH, Krefeld solar project</t>
  </si>
  <si>
    <t>wpd Solarpark Veringenstadt solar project</t>
  </si>
  <si>
    <t>AKW SCH Freilächen PV solar project</t>
  </si>
  <si>
    <t>BELA012 (Sindelfingen 48/1) solar project</t>
  </si>
  <si>
    <t>BELA013 (Sindelfingen 56) solar project</t>
  </si>
  <si>
    <t>BLZH-FF-3147 solar farm</t>
  </si>
  <si>
    <t>Crinitz 1.1 solar project</t>
  </si>
  <si>
    <t>Dolgelin 1.1 solar project</t>
  </si>
  <si>
    <t>Gatersleben Autobahn solar project</t>
  </si>
  <si>
    <t>KH PV Ostfläche 1 solar farm</t>
  </si>
  <si>
    <t>PCA PV Anlage 1 solar project</t>
  </si>
  <si>
    <t>PV Anlage Viereth Trunstadt solar project</t>
  </si>
  <si>
    <t>PV Anlage für Wärmenetz Tomderdingen solar project</t>
  </si>
  <si>
    <t>PV Carports Hodenhagen solar project</t>
  </si>
  <si>
    <t>PV Carports Riedstadt solar project</t>
  </si>
  <si>
    <t>PV Neubau AMG Haustechnik KG Düren solar farm</t>
  </si>
  <si>
    <t>PV Solarpark Schwebheim III solar project</t>
  </si>
  <si>
    <t>PV Unterdießen solar farm</t>
  </si>
  <si>
    <t>PVA Skandikai Logistikhalle 1 solar project</t>
  </si>
  <si>
    <t>PVA Skandikai Logistikhalle 2 solar project</t>
  </si>
  <si>
    <t>PVA Solarpark Erftstadt Gertrudenhof solar project</t>
  </si>
  <si>
    <t>Photovoltaikanlage 2024 solar project</t>
  </si>
  <si>
    <t>Solarpark Adelsheim P21 096 solar project</t>
  </si>
  <si>
    <t>Solarpark Altdorf bei Nürnberg II P23 349 solar project</t>
  </si>
  <si>
    <t>Solarpark Bad Feilnbach solar project</t>
  </si>
  <si>
    <t>Solarpark Bakum P23 151 solar project</t>
  </si>
  <si>
    <t>Solarpark Beratzhausen III P23 025 solar project</t>
  </si>
  <si>
    <t>Solarpark Colbitz II P23 206 solar project</t>
  </si>
  <si>
    <t>Solarpark Denkendorf V P23 354 solar project</t>
  </si>
  <si>
    <t>Solarpark Dinkelscherben P22 217 solar project</t>
  </si>
  <si>
    <t>Solarpark Gelpertsricht solar project</t>
  </si>
  <si>
    <t>Solarpark Hambergen P21 149 solar project</t>
  </si>
  <si>
    <t>Solarpark Hinterer Grieß solar project</t>
  </si>
  <si>
    <t>Solarpark Martinsheim P23 148 solar project</t>
  </si>
  <si>
    <t>Solarpark Meeder III P23 270 solar project</t>
  </si>
  <si>
    <t>Solarpark Mosbach P18 016 solar project</t>
  </si>
  <si>
    <t>Solarpark Prosselsheim P23 089 solar project</t>
  </si>
  <si>
    <t>Solarpark Reutern solar project</t>
  </si>
  <si>
    <t>Solarpark Rötenbach solar project</t>
  </si>
  <si>
    <t>Solarpark Schernfeld P22 271 solar project</t>
  </si>
  <si>
    <t>Solarpark Schweinberg solar project</t>
  </si>
  <si>
    <t>Solarpark Schweitenkirchen P22 472 solar project</t>
  </si>
  <si>
    <t>Solarpark Seetz P22 360 solar project</t>
  </si>
  <si>
    <t>Solarpark Stamsried P22 221 solar project</t>
  </si>
  <si>
    <t>Solarpark Walsleben P21 275 solar project</t>
  </si>
  <si>
    <t>Solarpark Weinheim P23 055 solar project</t>
  </si>
  <si>
    <t>Solarpark Wolfratshausen II P23 197 solar project</t>
  </si>
  <si>
    <t>Solarpark Wölfersheim P23 039 solar project</t>
  </si>
  <si>
    <t>Wiemersdorf A7 solar project</t>
  </si>
  <si>
    <t>Wittefeld Solar solar project</t>
  </si>
  <si>
    <t>BS-PV Brüssower See -PV solar project</t>
  </si>
  <si>
    <t>Brickeln 2.1 solar project</t>
  </si>
  <si>
    <t>Elmenhorst solar project</t>
  </si>
  <si>
    <t>Frankfurt/Oder West 1.1 solar project</t>
  </si>
  <si>
    <t>Freifläche PV-Krukum solar project</t>
  </si>
  <si>
    <t>Freiflächenanlage 10MH BG1 solar project</t>
  </si>
  <si>
    <t>Freiflächenanlage 10MH BG2 solar project</t>
  </si>
  <si>
    <t>Geschendorf solar project</t>
  </si>
  <si>
    <t>Hemhofen solar project</t>
  </si>
  <si>
    <t>Hohwacht Schmiedendorf solar project</t>
  </si>
  <si>
    <t>Klein Schönwalde solar project</t>
  </si>
  <si>
    <t>Langendorf solar project</t>
  </si>
  <si>
    <t>Lensahn 1 solar project</t>
  </si>
  <si>
    <t>PV Kunzbauern-Feld solar project</t>
  </si>
  <si>
    <t>PV-Bennien solar project</t>
  </si>
  <si>
    <t>PV-Park Brönnhof solar project</t>
  </si>
  <si>
    <t>PVA Schmidthachenbach solar project</t>
  </si>
  <si>
    <t>PVA Schönfeld solar project</t>
  </si>
  <si>
    <t>Panzweiler solar project</t>
  </si>
  <si>
    <t>Photovoltaik-Kraftwerk Waizendorf solar project</t>
  </si>
  <si>
    <t>Photovoltaikanlage Sasbach 2024 solar project</t>
  </si>
  <si>
    <t>Schafstedt solar project</t>
  </si>
  <si>
    <t>Schauren solar project</t>
  </si>
  <si>
    <t>Schmid PV1 solar project</t>
  </si>
  <si>
    <t>Schülldorf solar project</t>
  </si>
  <si>
    <t>Solar Elsterheide solar project</t>
  </si>
  <si>
    <t>Solar Laubst AK 1 solar project</t>
  </si>
  <si>
    <t>Solar Laubst AK 2 solar project</t>
  </si>
  <si>
    <t>Solar Lübbenau AK 2 solar project</t>
  </si>
  <si>
    <t>Solar Lübbenau AK 3 solar project</t>
  </si>
  <si>
    <t>Solarkraftwerk Gutengermendorf I solar project</t>
  </si>
  <si>
    <t>Solarkraftwerk Gutengermendorf II solar project</t>
  </si>
  <si>
    <t>Solarpark Allershausen - P23-268 solar project</t>
  </si>
  <si>
    <t>Solarpark Altenschwand solar project</t>
  </si>
  <si>
    <t>Solarpark Arnsdorf solar project</t>
  </si>
  <si>
    <t>Solarpark Bad Bentheim solar project</t>
  </si>
  <si>
    <t>Solarpark Bann (RLP) - P23-283 solar project</t>
  </si>
  <si>
    <t>Solarpark Beilrode Inn24-1-047 solar project</t>
  </si>
  <si>
    <t>Solarpark Beratzhausen VI - P24-216 solar project</t>
  </si>
  <si>
    <t>Solarpark Burkau - P23-574 solar project</t>
  </si>
  <si>
    <t>Solarpark Camberg - P22-234 solar project</t>
  </si>
  <si>
    <t>Solarpark Dasing P24-137/P24-147 solar project</t>
  </si>
  <si>
    <t>Solarpark Dettenschwang solar project</t>
  </si>
  <si>
    <t>Solarpark Eching - P23-052 solar project</t>
  </si>
  <si>
    <t>Solarpark Feuchtwangen solar project</t>
  </si>
  <si>
    <t>Solarpark Freystadt - P23-131 solar project</t>
  </si>
  <si>
    <t>Solarpark Großrinderfeld III - P23-444 solar project</t>
  </si>
  <si>
    <t>Solarpark Hungerwiesen - Rauenberg solar project</t>
  </si>
  <si>
    <t>Solarpark Ingolstadt II - P22-622 solar project</t>
  </si>
  <si>
    <t>Solarpark Kirchhaslach - P24-123 solar project</t>
  </si>
  <si>
    <t>Solarpark Lenting VI - P22-362 solar project</t>
  </si>
  <si>
    <t>Solarpark Mallersdorf-Pfaffenberg II - P23-120 solar project</t>
  </si>
  <si>
    <t>Solarpark Meeder IV - P23-507 solar project</t>
  </si>
  <si>
    <t>Solarpark Petersberg III - P23-429 solar project</t>
  </si>
  <si>
    <t>Solarpark Pondorf PR - P23-595 solar project</t>
  </si>
  <si>
    <t>Solarpark Reichertshofen IV - P22-230 solar project</t>
  </si>
  <si>
    <t>Solarpark Reichertshofen XIII - P23-524 solar project</t>
  </si>
  <si>
    <t>Solarpark Schnelldorf - P24-198 solar project</t>
  </si>
  <si>
    <t>Solarpark Schrobenhausen IX - P22-591 solar project</t>
  </si>
  <si>
    <t>Solarpark Schrobenhausen-Sandizell I - P20-105 solar project</t>
  </si>
  <si>
    <t>Solarpark Schweitenkirchen II - P23-538 solar project</t>
  </si>
  <si>
    <t>Solarpark Seubersdorf V - P23-554 solar project</t>
  </si>
  <si>
    <t>Solarpark Siglohe - P24-035 solar project</t>
  </si>
  <si>
    <t>Solarpark Vierkirchen - P23-105 solar project</t>
  </si>
  <si>
    <t>Solarpark Wangen im Allgäu solar project</t>
  </si>
  <si>
    <t>Solarpark Weil III  - P23-508 solar project</t>
  </si>
  <si>
    <t>Solarpark Wernberg-Köblitz II - P24-130 solar project</t>
  </si>
  <si>
    <t>Solarpark Werne - P23-335 solar project</t>
  </si>
  <si>
    <t>Solarpark Wolnzach VI - P23-548 solar project</t>
  </si>
  <si>
    <t>Sonnenwende Busdorf solar project</t>
  </si>
  <si>
    <t>VENDO SOLAR Park Salzbergen 1 solar project</t>
  </si>
  <si>
    <t>Walle solar project</t>
  </si>
  <si>
    <t>Wallerfangen Antonkreuz solar project</t>
  </si>
  <si>
    <t>Wallerfangen Drei Kapuziner solar project</t>
  </si>
  <si>
    <t>Weede solar project</t>
  </si>
  <si>
    <t>PV Anlage Haßlach solar project</t>
  </si>
  <si>
    <t>PV-Anlage Steinkreuz solar farm</t>
  </si>
  <si>
    <t>PVA Kieswerk solar project</t>
  </si>
  <si>
    <t>PVA Nova Park 2 solar project</t>
  </si>
  <si>
    <t>PVA Nova Park solar project</t>
  </si>
  <si>
    <t>PVA Reppichau solar project</t>
  </si>
  <si>
    <t>Solarpark Lindach solar project</t>
  </si>
  <si>
    <t>Solarpark Seibersdorf solar farm</t>
  </si>
  <si>
    <t>Solarpark Volkershausen I solar farm</t>
  </si>
  <si>
    <t>Gebot 3 solar project</t>
  </si>
  <si>
    <t>Gebot 4 solar project</t>
  </si>
  <si>
    <t>Solarpark Beilrode Nord Inn24-2-147 solar project</t>
  </si>
  <si>
    <t>17,5</t>
  </si>
  <si>
    <t>Solarpark Beilrode Süd II solar project</t>
  </si>
  <si>
    <t>Solarpark Beilrode Süd Inn24-2-150 solar project</t>
  </si>
  <si>
    <t>Solarpark Lohrmannshof Inn24-2-152 solar project</t>
  </si>
  <si>
    <t>Spoitgendorf I solar project</t>
  </si>
  <si>
    <t>Spoitgendorf II solar project</t>
  </si>
  <si>
    <t>Solarpark Ramsthal III solar farm</t>
  </si>
  <si>
    <t>Balkonkraftwerk solar farm</t>
  </si>
  <si>
    <t>KVH-Halle solar farm</t>
  </si>
  <si>
    <t>PV 1.3 MW solar farm</t>
  </si>
  <si>
    <t>PV Altdorf Anlage 1 8 MWp solar project</t>
  </si>
  <si>
    <t>PV Altdorf Anlage 2 3 MWp solar project</t>
  </si>
  <si>
    <t>PV Anlage II solar farm</t>
  </si>
  <si>
    <t>PVA Intralogistikport solar farm</t>
  </si>
  <si>
    <t>Silodach solar farm</t>
  </si>
  <si>
    <t>2023-02_One Box, Bremen solar project</t>
  </si>
  <si>
    <t>2023-03_ROSA, Rinteln solar project</t>
  </si>
  <si>
    <t>41179 Mönchengladbach I solar project</t>
  </si>
  <si>
    <t>ANDE104 (Hannover) solar project</t>
  </si>
  <si>
    <t>Agri PV Dettenberg solar project</t>
  </si>
  <si>
    <t>Agri-Solarpark Löffingen EEG I solar project</t>
  </si>
  <si>
    <t>AgriPV2 solar project</t>
  </si>
  <si>
    <t>Anlage 1725 solar project</t>
  </si>
  <si>
    <t>Anlage 1875 solar project</t>
  </si>
  <si>
    <t>Anlage1500 solar project</t>
  </si>
  <si>
    <t>Aufdach 2576kW solar project</t>
  </si>
  <si>
    <t>BED Tomerdingen GmbH solar project</t>
  </si>
  <si>
    <t>BRE4 PV-Anlage solar project</t>
  </si>
  <si>
    <t>Behr Thieshope solar project</t>
  </si>
  <si>
    <t>Bürgerenergie Eitzing GmbH ＆ Co. KG solar project</t>
  </si>
  <si>
    <t>Bürgersolaranlage Röttenbach GmbH ＆ Co. KG 2 solar project</t>
  </si>
  <si>
    <t>Dorfenergiegenossenschaft Mellen - Auf dem Stücke - solar project</t>
  </si>
  <si>
    <t>FRIE006 Neuruppin ueberschuss solar project</t>
  </si>
  <si>
    <t>Freifläche Lettgenbrunn solar project</t>
  </si>
  <si>
    <t>Freifläche Lindberg solar project</t>
  </si>
  <si>
    <t>Freiflächenanlage 08/24 solar project</t>
  </si>
  <si>
    <t>HAU2 solar project</t>
  </si>
  <si>
    <t>Halle solar project</t>
  </si>
  <si>
    <t>Hörselberg - 3,2 MWp solar project</t>
  </si>
  <si>
    <t>IMKO002 (Düren) solar project</t>
  </si>
  <si>
    <t>Kieswerk Illingen solar project</t>
  </si>
  <si>
    <t>Laage 9MW solar project</t>
  </si>
  <si>
    <t>Landsbergerstr Steiger solar project</t>
  </si>
  <si>
    <t>MJ 13. Solarpark Zubau solar project</t>
  </si>
  <si>
    <t>MJ 6. Solarpark Zubau solar project</t>
  </si>
  <si>
    <t>Neue Energie Markt Flachslanden solar project I</t>
  </si>
  <si>
    <t>12,7</t>
  </si>
  <si>
    <t>Neue Energie Markt Flachslanden solar project II</t>
  </si>
  <si>
    <t>OSTS073 (Norderstedt) solar project</t>
  </si>
  <si>
    <t>PAT22-LOMB001 (Germersheim) solar project</t>
  </si>
  <si>
    <t>PV 1.025 kWp Halle 1 solar project</t>
  </si>
  <si>
    <t>PV Anlage - Regionale Energiewende Beteiligung Freyung solar project</t>
  </si>
  <si>
    <t>PV Anlage 2 solar project</t>
  </si>
  <si>
    <t>PV Erwitte Anröchte solar project</t>
  </si>
  <si>
    <t>PV Freiflächanlage 2.660,00kWp solar project</t>
  </si>
  <si>
    <t>PV Freiflächanlage 6.090kWp solar project</t>
  </si>
  <si>
    <t>PV Freifläche 3.600kWp solar project</t>
  </si>
  <si>
    <t>PV Idstein solar project</t>
  </si>
  <si>
    <t>PV Koll solar project</t>
  </si>
  <si>
    <t>PV Peres West I_A solar project</t>
  </si>
  <si>
    <t>PV Peres West I_B solar project</t>
  </si>
  <si>
    <t>PV Peres West I_C solar project</t>
  </si>
  <si>
    <t>PV UW Homfeld solar project</t>
  </si>
  <si>
    <t>PV-Anlage - Eigenversorgung WI solar project</t>
  </si>
  <si>
    <t>PV-Anlage Eisenach Am Goldberg solar project</t>
  </si>
  <si>
    <t>PV-Anlage Liebigstr. GbR Liebigstr. 40 solar project</t>
  </si>
  <si>
    <t>PV-Anlage Parkhaus P22 solar project</t>
  </si>
  <si>
    <t>PV-Anlage Standort Coesfeld solar project</t>
  </si>
  <si>
    <t>PVA FF Dingelstedt solar project</t>
  </si>
  <si>
    <t>PVA Hella Erwitte - Dachanlage solar project</t>
  </si>
  <si>
    <t>PVA Hella Erwitte - Freifläche solar project</t>
  </si>
  <si>
    <t>PVA Neuses 1 solar project</t>
  </si>
  <si>
    <t>PVA Schlierstadt solar project</t>
  </si>
  <si>
    <t>PVA Weddelbrook 1.091,4 solar project</t>
  </si>
  <si>
    <t>PVA-PTFE Nünchritz solar project</t>
  </si>
  <si>
    <t>PV_Anlage-Freifläche-Obertraubling solar project</t>
  </si>
  <si>
    <t>PV_Freifläche_Nord_1 solar project</t>
  </si>
  <si>
    <t>PV_Freifläche_West solar project</t>
  </si>
  <si>
    <t>Pv-Anlage Oschatz Gebäude solar project</t>
  </si>
  <si>
    <t>RH20 Randowhöhe 20 solar project</t>
  </si>
  <si>
    <t>Ruhr Park 2,5,6 solar project</t>
  </si>
  <si>
    <t>SB-PV-1.5MW-H4-2024 solar project</t>
  </si>
  <si>
    <t>SE_2025_3896_Utting solar project</t>
  </si>
  <si>
    <t>SP AEN solar project</t>
  </si>
  <si>
    <t>SP Sassenreuth solar project</t>
  </si>
  <si>
    <t>SP Voßberg solar project</t>
  </si>
  <si>
    <t>SUAG Stich III solar project</t>
  </si>
  <si>
    <t>Segro Ingolstadt solar project</t>
  </si>
  <si>
    <t>Solar Wilhelm7 solar project</t>
  </si>
  <si>
    <t>Solaranlage BMW Werk Berlin solar project II</t>
  </si>
  <si>
    <t>Solaranlage Haiming - P22-383 - Teil 2 solar project</t>
  </si>
  <si>
    <t>Solaranlage Meitingen - P21-456 solar project</t>
  </si>
  <si>
    <t>Solarpark Aach solar project</t>
  </si>
  <si>
    <t>Solarpark Am Hart solar project</t>
  </si>
  <si>
    <t>Solarpark Böhmreut solar project</t>
  </si>
  <si>
    <t>Solarpark Dielkirchen - P19-028 - Teil 1 solar project</t>
  </si>
  <si>
    <t>Solarpark Dielkirchen - P19-028 - Teil 2 solar project</t>
  </si>
  <si>
    <t>Solarpark Fröhnd solar project</t>
  </si>
  <si>
    <t>Solarpark Geldermannstrasse solar project</t>
  </si>
  <si>
    <t>Solarpark Hattorf solar project</t>
  </si>
  <si>
    <t>Solarpark Petershagen Inno PV solar project</t>
  </si>
  <si>
    <t>Solarpark Pförring - P20-010 solar project</t>
  </si>
  <si>
    <t>Solarpark Pförring IX - P24-139 solar project</t>
  </si>
  <si>
    <t>Solarpark Salzweg BA2 2401kWp solar project</t>
  </si>
  <si>
    <t>Solarpark Steingaden - Ausschreibung solar project</t>
  </si>
  <si>
    <t>Solarpark Theile solar project I</t>
  </si>
  <si>
    <t>VenSol Solarpark Balzhausen GmbH ＆ Co. KG solar project</t>
  </si>
  <si>
    <t>Volleinspeisung Hof Tramm solar project</t>
  </si>
  <si>
    <t>Werk 1, Otto Meister Straße 2 solar project</t>
  </si>
  <si>
    <t>067 Treuenbrietzen solar project</t>
  </si>
  <si>
    <t>ABO Wind PV Weilerswist solar farm</t>
  </si>
  <si>
    <t>AgriPV_SZS_2021 solar farm</t>
  </si>
  <si>
    <t>Anlage 2006,775kWp solar project</t>
  </si>
  <si>
    <t>Autobahn 9 MW solar project</t>
  </si>
  <si>
    <t>BA1 Harnes ID E124678 H3/4 Westseite solar project</t>
  </si>
  <si>
    <t>BA2 Harnes ID E124680 H3/4 Ostseite solar project</t>
  </si>
  <si>
    <t>BA3 Harnes ID H0.2/ 0.3 solar project</t>
  </si>
  <si>
    <t>Bobitz solar project</t>
  </si>
  <si>
    <t>Büren KW solar project</t>
  </si>
  <si>
    <t>CE Vertriebsgesellschaft UG (haftungsbeschränkt) solar farm</t>
  </si>
  <si>
    <t>Coswig solar farm</t>
  </si>
  <si>
    <t>Dachanlage Lager Halle7 1060,74kWp solar project</t>
  </si>
  <si>
    <t>Eigenheim/Strasenseite solar project</t>
  </si>
  <si>
    <t>Green Factory 01 solar project</t>
  </si>
  <si>
    <t>HAU solar project</t>
  </si>
  <si>
    <t>HMM 2022 005 1 Langhagen solar project</t>
  </si>
  <si>
    <t>HMM 2022 036 Zurow solar project</t>
  </si>
  <si>
    <t>KS3 Kreuz Uckermark S3 solar farm</t>
  </si>
  <si>
    <t>KS4 Kreuz Uckermark S4 solar farm</t>
  </si>
  <si>
    <t>MJ 12. Solarpark solar project</t>
  </si>
  <si>
    <t>Oberkrämer 2,6 MW solar project</t>
  </si>
  <si>
    <t>PB PV 12 solar project</t>
  </si>
  <si>
    <t>PS1 Petersruh Solar 1 solar farm</t>
  </si>
  <si>
    <t>PV Anlage (Groß Miltzow) solar project</t>
  </si>
  <si>
    <t>PV Anlage 4 solar project</t>
  </si>
  <si>
    <t>PV Eggesin Batteriespeicher solar farm</t>
  </si>
  <si>
    <t>PV Eggesin solar farm</t>
  </si>
  <si>
    <t>PV FFA Benhof solar project</t>
  </si>
  <si>
    <t>PV Freiflächanlage 2.522,40kWp solar project</t>
  </si>
  <si>
    <t>PV Freifläche (Neumünster) solar project</t>
  </si>
  <si>
    <t>PV Querfurt solar project</t>
  </si>
  <si>
    <t>PV Schürenstätte Logistikhalle solar project</t>
  </si>
  <si>
    <t>PV-Freiflächenanlage am Schlackenberg Amberg solar farm</t>
  </si>
  <si>
    <t>PV-Rudolzhofen solar farm</t>
  </si>
  <si>
    <t>PVA Grebenhain solar project</t>
  </si>
  <si>
    <t>PVA Güttin solar farm</t>
  </si>
  <si>
    <t>PVA Nossen solar project</t>
  </si>
  <si>
    <t>PVA Schönberg solar farm</t>
  </si>
  <si>
    <t>PVA Solarpark Gürzenich Alter Sportplatz solar project</t>
  </si>
  <si>
    <t>Platz solar farm</t>
  </si>
  <si>
    <t>Solarpark Dorfen solar project</t>
  </si>
  <si>
    <t>Solarpark H solar farm</t>
  </si>
  <si>
    <t>Solarpark Laaber P23 003 solar project</t>
  </si>
  <si>
    <t>Solarpark Silberberg, Daaden solar project</t>
  </si>
  <si>
    <t>Weilandt, Bosenholz AgriPV solar farm</t>
  </si>
  <si>
    <t>1MW PV Freifläche an Biogasanlage solar project</t>
  </si>
  <si>
    <t>2022 02 Langwedel solar project</t>
  </si>
  <si>
    <t>Babsi solar project</t>
  </si>
  <si>
    <t>Bürgersolarpark Schwebheim solar project</t>
  </si>
  <si>
    <t>Dachkraftwerk (Steimbke) solar project</t>
  </si>
  <si>
    <t>Freifläche Waldratz 1000,05 solar project</t>
  </si>
  <si>
    <t>PV J.W.O solar project</t>
  </si>
  <si>
    <t>PVA Groß Lubolz solar project</t>
  </si>
  <si>
    <t>H2GO Energy Park Oude-Tonge - 1st phase</t>
  </si>
  <si>
    <t>NLD</t>
  </si>
  <si>
    <t>H2GO Energy Park Oude-Tonge - 2nd phase</t>
  </si>
  <si>
    <t>NortH2, phase 1</t>
  </si>
  <si>
    <t>Norsk e-Fuel Phase 1</t>
  </si>
  <si>
    <t>NOR</t>
  </si>
  <si>
    <t>Norsk e-Fuel Phase 2</t>
  </si>
  <si>
    <t>HYBRIT pilot</t>
  </si>
  <si>
    <t>SWE</t>
  </si>
  <si>
    <t>HYBRIT demo</t>
  </si>
  <si>
    <t>Iberdrola - Puertollano I</t>
  </si>
  <si>
    <t>ESP</t>
  </si>
  <si>
    <t>Green Hysland Mallorca - Phase 1</t>
  </si>
  <si>
    <t>CRI project in Norway (Circlenergy)</t>
  </si>
  <si>
    <t>ARIES project</t>
  </si>
  <si>
    <t>USA</t>
  </si>
  <si>
    <t>Fukushima Hydrogen Energy Research Field</t>
  </si>
  <si>
    <t>JPN</t>
  </si>
  <si>
    <t>Hydrospider - St Gallen</t>
  </si>
  <si>
    <t>CHE</t>
  </si>
  <si>
    <t>Apex Energy, Rostock-Laage</t>
  </si>
  <si>
    <t>DEU</t>
  </si>
  <si>
    <t>Leuchtturmprojekt Power-to-Gas Baden-Württemberg</t>
  </si>
  <si>
    <t>eFarm (5 production sites in North Frisia)</t>
  </si>
  <si>
    <t>Hydrogen plant - Orkney Islands - BIG HIT 2n phase</t>
  </si>
  <si>
    <t>GBR</t>
  </si>
  <si>
    <t>Wyhlen hydroelectric power plant</t>
  </si>
  <si>
    <t>Power2Met</t>
  </si>
  <si>
    <t>DNK</t>
  </si>
  <si>
    <t>REMOTE - Norway</t>
  </si>
  <si>
    <t>H2One - Toranomon Hills Business Tower</t>
  </si>
  <si>
    <t xml:space="preserve">H2One - Toyama City Environment Center </t>
  </si>
  <si>
    <t>H2One - Tsuruga City</t>
  </si>
  <si>
    <t>AUT</t>
  </si>
  <si>
    <t>Guangdong Synergy Hydrogen Power Technology Co. 1st phase</t>
  </si>
  <si>
    <t>CHN</t>
  </si>
  <si>
    <t>Markham Energy Storage, Ontario</t>
  </si>
  <si>
    <t>CAN</t>
  </si>
  <si>
    <t>PFI - Pirmasens-Winzeln</t>
  </si>
  <si>
    <t>MEFCO2</t>
  </si>
  <si>
    <t>Windgas Haurup, 2nd phase</t>
  </si>
  <si>
    <t>Parnu refuelling station</t>
  </si>
  <si>
    <t>EST</t>
  </si>
  <si>
    <t>H2Nodes, Riga</t>
  </si>
  <si>
    <t>Houdain bus station HRS (TADAO/Bulle 6 SMTAG)</t>
  </si>
  <si>
    <t>FRA</t>
  </si>
  <si>
    <t>Quebec Great Toronto Area East</t>
  </si>
  <si>
    <t>Fébus Pau bus station HRS</t>
  </si>
  <si>
    <t>Solothurn, STORE&amp;GO</t>
  </si>
  <si>
    <t>Sarawak Energy</t>
  </si>
  <si>
    <t>MYS</t>
  </si>
  <si>
    <t>Vårgårda Bostäder housing complex</t>
  </si>
  <si>
    <t>SoCalGas-NREL</t>
  </si>
  <si>
    <t>Stromlückenfüller 2nd phase</t>
  </si>
  <si>
    <t>ATCO clean energy innovation hub</t>
  </si>
  <si>
    <t>AUS</t>
  </si>
  <si>
    <t>Tauron CO2-SNG</t>
  </si>
  <si>
    <t>POL</t>
  </si>
  <si>
    <t>Methane Synthesis test facility in Koshijihara Plant of INPEX’s - Nagaoa</t>
  </si>
  <si>
    <t>VTT Bio economy+</t>
  </si>
  <si>
    <t>FIN</t>
  </si>
  <si>
    <t>Kopernikus</t>
  </si>
  <si>
    <t>Rozenburg Power2Gas Phase 2</t>
  </si>
  <si>
    <t>Balance project</t>
  </si>
  <si>
    <t>H2One - SP Group</t>
  </si>
  <si>
    <t>SGP</t>
  </si>
  <si>
    <t>Falkenhagen STORE&amp;GO</t>
  </si>
  <si>
    <t>NEDO kofu city, Yamanashi Prefecture</t>
  </si>
  <si>
    <t>Semakau island microgrid Engie (SPORE)</t>
  </si>
  <si>
    <t>H2PLAZA - Toyota Industries Corporation’s Takahama</t>
  </si>
  <si>
    <t>Localhy</t>
  </si>
  <si>
    <t>Wind to Gas Südermarsch</t>
  </si>
  <si>
    <t>SunLine Transit Agency</t>
  </si>
  <si>
    <t>Aberdeen Conference Center</t>
  </si>
  <si>
    <t>Lam Takhong Wind Hydrogen Hybrid Project- EGAT</t>
  </si>
  <si>
    <t>THA</t>
  </si>
  <si>
    <t>H2ORIZON</t>
  </si>
  <si>
    <t>ASKO Midt-Norge</t>
  </si>
  <si>
    <t>Hydrogen plant - Orkney Islands - BIG HIT 1st phase</t>
  </si>
  <si>
    <t>Windgas Haurup, 1st phase</t>
  </si>
  <si>
    <t>Troia,  STORE&amp;GO</t>
  </si>
  <si>
    <t>ITA</t>
  </si>
  <si>
    <t xml:space="preserve">GNVert H2 </t>
  </si>
  <si>
    <t>Tongji solar hybrid hydrogen refueling station</t>
  </si>
  <si>
    <t>Methanation at Eichhof</t>
  </si>
  <si>
    <t>CoSin: Synthetic Natural Gas from Sewage, Barcelona</t>
  </si>
  <si>
    <t>REFLEX</t>
  </si>
  <si>
    <t>Sendai City</t>
  </si>
  <si>
    <t>Rostock, Exytron Demonstrationsanlage</t>
  </si>
  <si>
    <t>Tokyu Construction Institute of Technology</t>
  </si>
  <si>
    <t>Rakuten Seimei Park Miyagi</t>
  </si>
  <si>
    <t>MicroPyros, Altenstant</t>
  </si>
  <si>
    <t>Oxelösund Forklifts</t>
  </si>
  <si>
    <t>H21 Leeds City Gate - Teesside hydrogen</t>
  </si>
  <si>
    <t>Hynet Northwest, phase 1 (Essar Stanlow refinery)</t>
  </si>
  <si>
    <t>Baicheng, Jilin wind-solar project</t>
  </si>
  <si>
    <t>Alzey, Exytron Null-E</t>
  </si>
  <si>
    <t>Energy observer</t>
  </si>
  <si>
    <t>Haldor Topsoe - El-Opgraderet Biogas II</t>
  </si>
  <si>
    <t>Musashi-Mizonokuchi Station</t>
  </si>
  <si>
    <t>H2One - Hydrogen Application Center, Fuchu Complex</t>
  </si>
  <si>
    <t>H2One - Asahi Breweries in Ibaraki</t>
  </si>
  <si>
    <t>Costa Rica Transportation Ecosystem Project</t>
  </si>
  <si>
    <t>CRI</t>
  </si>
  <si>
    <t>Cerro Pabellón Microgrid 450 kWh Hydrogen ESS</t>
  </si>
  <si>
    <t>CHL</t>
  </si>
  <si>
    <t>Energy in the Container, Fraunhofer IISB, Erlangen, Leistungszentren Elektroniksysteme (LZE)</t>
  </si>
  <si>
    <t>Hassfurt</t>
  </si>
  <si>
    <t>GreenHydroChem Central German Chemical Triangle</t>
  </si>
  <si>
    <t>HPEM2GAS (R&amp;D)</t>
  </si>
  <si>
    <t>Hamburg - Schnackenburgallee</t>
  </si>
  <si>
    <t>smart grid solar - arzberg</t>
  </si>
  <si>
    <t>Naval Facilities Engineering Command, Engineering and Expeditionary Warfare Center</t>
  </si>
  <si>
    <t>Laboratory System at IFE Kjeller Pahse 2</t>
  </si>
  <si>
    <t>H2One - Kyushu Resort Hotel,  Huis Ten Bosch</t>
  </si>
  <si>
    <t>H2One - Yokohama Cargo Center</t>
  </si>
  <si>
    <t>WindGas Hamburg-Reitbrook</t>
  </si>
  <si>
    <t>RH2 Grapzow, Mecklenburg Vorpommern</t>
  </si>
  <si>
    <t>P2G-Biocat - Continued (Ref 508)</t>
  </si>
  <si>
    <t>Raglan Nickel mine</t>
  </si>
  <si>
    <t>Don Quichote</t>
  </si>
  <si>
    <t>BEL</t>
  </si>
  <si>
    <t>Regio Energie Solothurn/Aarmat hybrid plant</t>
  </si>
  <si>
    <t>RWE PtG plant Ibbenbüren</t>
  </si>
  <si>
    <t>DemoSNG</t>
  </si>
  <si>
    <t>Stromlückenfüller 1st phase</t>
  </si>
  <si>
    <t>Higashi-Ogishima-Naga-Park</t>
  </si>
  <si>
    <t>Emden II Upscaling</t>
  </si>
  <si>
    <t>SYNFUEL</t>
  </si>
  <si>
    <t>Hydrogen Valley South Tyrol - Bolzano, CHIC</t>
  </si>
  <si>
    <t>Hanau, Wolfgang Industrial Park</t>
  </si>
  <si>
    <t>MicroPyros, Staubing</t>
  </si>
  <si>
    <t>ETOGAS, Solar Fuel Beta-plant AUDI, Werlte (Audi e-gas)</t>
  </si>
  <si>
    <t>H2 Logic HRS with onsite electrolysis Aalborg</t>
  </si>
  <si>
    <t>P2G plant Erdgas Schwaben</t>
  </si>
  <si>
    <t>Oslo, CHIC</t>
  </si>
  <si>
    <t>HySynergy, phase 1</t>
  </si>
  <si>
    <t>CO2RRECT-Niederaussem</t>
  </si>
  <si>
    <t>Sir Samuel building Griffith Center, Brisbane, Australia</t>
  </si>
  <si>
    <t>MicrobEnergy GmbH, Schwandorf</t>
  </si>
  <si>
    <t>H2Move, Fraunhofer ISE</t>
  </si>
  <si>
    <t>Hazira, Reliance, back-up hydrogen supply</t>
  </si>
  <si>
    <t>IND</t>
  </si>
  <si>
    <t>El Tubo - ACTA EL500</t>
  </si>
  <si>
    <t>Refhyne</t>
  </si>
  <si>
    <t>H&amp;R Ölwerke Hamburg-Neuhof</t>
  </si>
  <si>
    <t>H2Herten</t>
  </si>
  <si>
    <t>H2 research center BTU Cottbus</t>
  </si>
  <si>
    <t>Cotbus</t>
  </si>
  <si>
    <t>Eucolino Schwandorf</t>
  </si>
  <si>
    <t>Agios Efstratios</t>
  </si>
  <si>
    <t>GRC</t>
  </si>
  <si>
    <t>Hydrogen mini grid system Yorkshire (Rotherham)</t>
  </si>
  <si>
    <t>Fronius Energy Cell, self-sufficient house</t>
  </si>
  <si>
    <t>Hitachi Zosen - PTTEP CO2 Conversion to Methane Project R&amp;D)</t>
  </si>
  <si>
    <t>Commercial Plant Svartsengi/George Olah plant</t>
  </si>
  <si>
    <t>ISL</t>
  </si>
  <si>
    <t>Hamburg Hafen City, CEP</t>
  </si>
  <si>
    <t>Hybrid Power Plant Enertrag, Prenzlau</t>
  </si>
  <si>
    <t>EnBW H2 station, Stuttgart</t>
  </si>
  <si>
    <t>Ramea Wind-Hydrogen-Diesel Project</t>
  </si>
  <si>
    <t>Hydrogen Island Bozcaada</t>
  </si>
  <si>
    <t>TUR</t>
  </si>
  <si>
    <t>DNV Kema/DNV GL</t>
  </si>
  <si>
    <t>HARP System, Bella Coola</t>
  </si>
  <si>
    <t>H2KT - Hydrogen Energy Storage in Nuuk</t>
  </si>
  <si>
    <t>ITHER</t>
  </si>
  <si>
    <t>H2SusBuild</t>
  </si>
  <si>
    <t>Hybrid energy storage system NFCRC, California</t>
  </si>
  <si>
    <t>Nukissiorfiit Nuuk Hydrogen Plant</t>
  </si>
  <si>
    <t>Centre of Fuel Cell Technology, Chennai</t>
  </si>
  <si>
    <t>Hychico, Comodoro Rivadavia</t>
  </si>
  <si>
    <t>ARG</t>
  </si>
  <si>
    <t>Taleghan solar hydrogen energy system</t>
  </si>
  <si>
    <t>IRN</t>
  </si>
  <si>
    <t>Istanbul</t>
  </si>
  <si>
    <t>AltHytude</t>
  </si>
  <si>
    <t>Regenerativer Energipark Ostfalia/hybrid renewable energy park (HREP)</t>
  </si>
  <si>
    <t>DRI CO2 recycling</t>
  </si>
  <si>
    <t>Neo Olvio of Xanthi</t>
  </si>
  <si>
    <t>HYLINK Totara</t>
  </si>
  <si>
    <t>NZL</t>
  </si>
  <si>
    <t>Baglan Energy Park Wales</t>
  </si>
  <si>
    <t>Synthetic Energy, Idaho</t>
  </si>
  <si>
    <t>Hydepark</t>
  </si>
  <si>
    <t>Stand-alone power system, Neo Olvio of Xanthi</t>
  </si>
  <si>
    <t>HYLINK, Totara Valley</t>
  </si>
  <si>
    <t>RES2H2 Gran Canaria</t>
  </si>
  <si>
    <t>H2 from the sun, Brunate</t>
  </si>
  <si>
    <t>CEC Denizli Turkey</t>
  </si>
  <si>
    <t>CUTE and HyFLEET:CUTE, Barcelona</t>
  </si>
  <si>
    <t>Savli wind-hydrogen demo project</t>
  </si>
  <si>
    <t>Dahej, Reliance, back-up hydrogen supply</t>
  </si>
  <si>
    <t>HARI project, West Beacon Farm</t>
  </si>
  <si>
    <t>Porto, CUTE</t>
  </si>
  <si>
    <t>PRT</t>
  </si>
  <si>
    <t>Tohoku pilot plant in 2003</t>
  </si>
  <si>
    <t>Gwalpahari Solar-Hydrogen demonstration</t>
  </si>
  <si>
    <t xml:space="preserve">Solar Energy Centre SmartFuel hydrogen station </t>
  </si>
  <si>
    <t>FaHyence</t>
  </si>
  <si>
    <t>CPI Zaoquan thermal power plant in China's Ningxia region</t>
  </si>
  <si>
    <t>Laboratory Plant HRI Quebec</t>
  </si>
  <si>
    <t>Power plant in Lebanon for a Power Plant Cooling application</t>
  </si>
  <si>
    <t>LBN</t>
  </si>
  <si>
    <t>Minatec's semiconductor labs in Grenoble</t>
  </si>
  <si>
    <t>Grimstad Renewable Energy Park</t>
  </si>
  <si>
    <t>Hypos - Sunfire</t>
  </si>
  <si>
    <t>Electrochaea: Biological methanation in Avedøre</t>
  </si>
  <si>
    <t>REMOTE - Agkistro (Greece</t>
  </si>
  <si>
    <t>REMOTE - Spain, Canary Islands</t>
  </si>
  <si>
    <t>Aman - Green Hydrogen Project - phase 1</t>
  </si>
  <si>
    <t>MRT</t>
  </si>
  <si>
    <t>HRS CMB Port of Antwerp</t>
  </si>
  <si>
    <t>Haldor Topsoe - El-Opgraderet Biogas I</t>
  </si>
  <si>
    <t>H2 Logic HRS with onsite electrolysis in Vejle</t>
  </si>
  <si>
    <t>H2 Logic HRS with onsite electrolysis Holstebro</t>
  </si>
  <si>
    <t>H2 Logic 3 HRS with onsite electrolysis in Copenhagen</t>
  </si>
  <si>
    <t>Iberdrola - Puertollano II (extension from Ref10)</t>
  </si>
  <si>
    <t>Hyoffwind Zeebrugge, expansion</t>
  </si>
  <si>
    <t>Hyoffwind Zeebrugge</t>
  </si>
  <si>
    <t>"Waste-to-wheels" Charleroi</t>
  </si>
  <si>
    <t>Green Fuels for Denmark - Phase 1</t>
  </si>
  <si>
    <t>Hystock (EnergyStock)</t>
  </si>
  <si>
    <t>FUTURECEM</t>
  </si>
  <si>
    <t>Primolyzer (R&amp;D)</t>
  </si>
  <si>
    <t>PROCON (R&amp;D)</t>
  </si>
  <si>
    <t>Foulum Demonstration plant</t>
  </si>
  <si>
    <t>Green Natural Gas</t>
  </si>
  <si>
    <t>“Towards the Methane Society”</t>
  </si>
  <si>
    <t>MEDLYS, Medium temperature water electrolysis (R&amp;D)</t>
  </si>
  <si>
    <t>MeGa-stoRE</t>
  </si>
  <si>
    <t>MeGa-stoRE Optimising and Upscaling</t>
  </si>
  <si>
    <t>Vestenskov/ Nakskov Industrial and Environmental Park, Lolland</t>
  </si>
  <si>
    <t>H2RES - Orsted offshore wind</t>
  </si>
  <si>
    <t>Samsø</t>
  </si>
  <si>
    <t>Høst - Esbjerg green ammonia plant</t>
  </si>
  <si>
    <t>HRS Aalborg</t>
  </si>
  <si>
    <t>eSMR Methanol demo plant in Aarhus University</t>
  </si>
  <si>
    <t>HyCycle - Center for renewable H2 (R&amp;D)</t>
  </si>
  <si>
    <t>NEXPEL (R&amp;D)</t>
  </si>
  <si>
    <t>Glomfjord Hydrogen AS</t>
  </si>
  <si>
    <t>HyNor Lillestrøm, Akershus Energy Park</t>
  </si>
  <si>
    <t>Statkraft-CELSA-Mo green H2 for steel production</t>
  </si>
  <si>
    <t>Utsira Island</t>
  </si>
  <si>
    <t>Acorn H2</t>
  </si>
  <si>
    <t>Laboratory System at IFE Kjeller Phase 1</t>
  </si>
  <si>
    <t>Green fertilizer project Porsgrunn-Heroya, phase 1 - SKREI</t>
  </si>
  <si>
    <t>Gigastack-Hornsea 2, phase I</t>
  </si>
  <si>
    <t>The Hydrogen office</t>
  </si>
  <si>
    <t>RABH2</t>
  </si>
  <si>
    <t>Air Fuel Synthesis pilot plant</t>
  </si>
  <si>
    <t>Aberdeen Kittybrewster, Hydrogen bus project</t>
  </si>
  <si>
    <t>Fife, Levenmouth Community Energy Project</t>
  </si>
  <si>
    <t>PURE Project, Unst</t>
  </si>
  <si>
    <t>Tyseley Energy Park refuelling hub Birmingham</t>
  </si>
  <si>
    <t>H2H Saltend, phase 1</t>
  </si>
  <si>
    <t>Green Fuels for Denmark - Phase 2</t>
  </si>
  <si>
    <t>Green Fuels for Denmark - Phase 3</t>
  </si>
  <si>
    <t>Whitelee Green Hydrogen Facility- Green Hydrogen for Glasgow (Phase 1)</t>
  </si>
  <si>
    <t>CF Industries - Donaldsonville Nitrogen Complex</t>
  </si>
  <si>
    <t>Linde - Ontario (California)</t>
  </si>
  <si>
    <t>Westkuste 100 (Phase 2)</t>
  </si>
  <si>
    <t>H2 Pilotanlage Lingen, phase 1</t>
  </si>
  <si>
    <t>HySynGas</t>
  </si>
  <si>
    <t>Northern Irish hydrogen project - Ballymena Hydrogen</t>
  </si>
  <si>
    <t>Eyre Peninsula Gateway Hydrogen Project, phase 1</t>
  </si>
  <si>
    <t>North CCU HUB, phase 1. North C Hydrogen</t>
  </si>
  <si>
    <t>Centurion</t>
  </si>
  <si>
    <t>Asian Renewable Energy Hub, first phase</t>
  </si>
  <si>
    <t>IPCEI SilverFrog</t>
  </si>
  <si>
    <t>IPCEI New Green Flamingo</t>
  </si>
  <si>
    <t>PRT
ESP</t>
  </si>
  <si>
    <t>Murchison</t>
  </si>
  <si>
    <t>NEOM Green Hydrogen Project</t>
  </si>
  <si>
    <t>SAU</t>
  </si>
  <si>
    <t>IPCEI Blue Danube</t>
  </si>
  <si>
    <t>ROM
DEU
AUT</t>
  </si>
  <si>
    <t>Project GERI</t>
  </si>
  <si>
    <t>IPCEI Black Horse (40 electrolysis production sites)</t>
  </si>
  <si>
    <t>POL
CZE
SVK
HUN</t>
  </si>
  <si>
    <t>Project NEO</t>
  </si>
  <si>
    <t>HyEx - phase 1</t>
  </si>
  <si>
    <t>HyEx - phase 2</t>
  </si>
  <si>
    <t>HyNetherlands, 1st phase</t>
  </si>
  <si>
    <t>HyNetherlands 2nd phase</t>
  </si>
  <si>
    <t>HyGreen Provence</t>
  </si>
  <si>
    <t>Sundance Hydrogen</t>
  </si>
  <si>
    <t>Port of Rotterdam BP refinery - H2-Fifty</t>
  </si>
  <si>
    <t>Hysencia, Phase I</t>
  </si>
  <si>
    <t>Ningxia Solar Hydrogen Project, Phase 1</t>
  </si>
  <si>
    <t>Dyno Nobel Renewable Hydrogen Project</t>
  </si>
  <si>
    <t>Green Crane Pais Vasco Hub</t>
  </si>
  <si>
    <t>Green Crane - La Robla</t>
  </si>
  <si>
    <t>Green Crane, Aragon Hub</t>
  </si>
  <si>
    <t>Hydrogen Plant for Westereems Wind Farm (RWE Eemshydrogen)</t>
  </si>
  <si>
    <t>Queensland Nitrates Renewable Hydrogen and Ammonia</t>
  </si>
  <si>
    <t>Hemweg hub Amsterdam - Hy4Am</t>
  </si>
  <si>
    <t>Weifang Binhai Photovoltaic 100MW Hydrogen Generation Project</t>
  </si>
  <si>
    <t>GreenH2UB (10 hubs of 3-10MW, the first one Ref786)</t>
  </si>
  <si>
    <t>Vallée Hydrogène Grand Ouest (VHyGO) - H2 Ouest (Phase 1)</t>
  </si>
  <si>
    <t>Vallée Hydrogène Grand Ouest (VHyGO) - EffiH2</t>
  </si>
  <si>
    <t>H2SusBuild / RES-H2</t>
  </si>
  <si>
    <t>Ferrolterra plant, pahse 1</t>
  </si>
  <si>
    <t>ELYGRID (R&amp;D)</t>
  </si>
  <si>
    <t>Aviation synfuels</t>
  </si>
  <si>
    <t xml:space="preserve">Tapada do Outeiro natural gas power plant </t>
  </si>
  <si>
    <t>Lingen Green Hydrogen (LGH2) Phase 1</t>
  </si>
  <si>
    <t>Wunsiedel Energy Park (Phase 1)</t>
  </si>
  <si>
    <t>Wunsiedel Energy Park (Phase 2)</t>
  </si>
  <si>
    <t>Hydrogen Island Aitutaki</t>
  </si>
  <si>
    <t>COK</t>
  </si>
  <si>
    <t>E-Thor</t>
  </si>
  <si>
    <t>H₂ Air Base Leeuwarden</t>
  </si>
  <si>
    <t>SEE / Storage of electric energy</t>
  </si>
  <si>
    <t>New zealand Matiu/Somes Island</t>
  </si>
  <si>
    <t>Vendée hydrogène</t>
  </si>
  <si>
    <t>RESelyser (R&amp;D)</t>
  </si>
  <si>
    <t>DVGW-EBI KIT - Demo-SNG</t>
  </si>
  <si>
    <t>Multiphly</t>
  </si>
  <si>
    <t>PostBus Hydrogen bus, Brugg, aargau CHIC</t>
  </si>
  <si>
    <t>Emden I Biogas upgrading</t>
  </si>
  <si>
    <t>PtG Switzerland</t>
  </si>
  <si>
    <t>MYRTE</t>
  </si>
  <si>
    <t>H2OzBus Project</t>
  </si>
  <si>
    <t>Sunfire PtL demo "Fuel1"</t>
  </si>
  <si>
    <t>Hyport - Toulouse-Blagnac Airport</t>
  </si>
  <si>
    <t>DEMETER</t>
  </si>
  <si>
    <t>Ekolyser (R&amp;D)</t>
  </si>
  <si>
    <t>LastEISys (R&amp;D)</t>
  </si>
  <si>
    <t>PtG-Elektrolyse im MW-Maßstab (R&amp;D)</t>
  </si>
  <si>
    <t>BioPower2Gas, Allendorf, Eder</t>
  </si>
  <si>
    <t>Rozenburg Power2Gas Phase 1</t>
  </si>
  <si>
    <t>Greenhouse heating, solar-H2</t>
  </si>
  <si>
    <t>EE-Methan aus CO2 (R&amp;D)</t>
  </si>
  <si>
    <t>OptFuel (R&amp;D)</t>
  </si>
  <si>
    <t>Thüga PtG plant Frankfurt/Main</t>
  </si>
  <si>
    <t>RENOVAGAS</t>
  </si>
  <si>
    <t>HyFLEET:CUTE, Hamburg</t>
  </si>
  <si>
    <t>Reduction and Reuse of CO2: Renewable Fuels for Electricity Production- ZHAW</t>
  </si>
  <si>
    <t>CHOCHCO</t>
  </si>
  <si>
    <t>Hydrogen Wind Farm Sotavento</t>
  </si>
  <si>
    <t>CUTE, Stockholm</t>
  </si>
  <si>
    <t>HyFLEET:CUTE, Amesterdam</t>
  </si>
  <si>
    <t>Wind2Hydrogen, HyCentA</t>
  </si>
  <si>
    <t>BOEING (rSOC Demonstrator)</t>
  </si>
  <si>
    <t>Pilot &amp; Demo PtM HSR</t>
  </si>
  <si>
    <t>Dresden</t>
  </si>
  <si>
    <t>Rapperswil</t>
  </si>
  <si>
    <t>RegEnKibo, Kirchheimbolanden (R&amp;D)</t>
  </si>
  <si>
    <t>ECTOS</t>
  </si>
  <si>
    <t>ETOGAS, Solar Fuel Alpha-plant 250 kW, ZSW</t>
  </si>
  <si>
    <t>Shoro Dam in Shiranuka-cho, Shiranuka-gun, Hokkaido</t>
  </si>
  <si>
    <t>SoCalGas and University of California Irvine 1</t>
  </si>
  <si>
    <t>HELMETH (R&amp;D)</t>
  </si>
  <si>
    <t>SoCalGas and University of California Irvine 2</t>
  </si>
  <si>
    <t>Tomakomai</t>
  </si>
  <si>
    <t>GrInHy</t>
  </si>
  <si>
    <t>Tomamae Town, Hokkaido</t>
  </si>
  <si>
    <t>Yokohama City Wind Power Plant (Hama Wing)</t>
  </si>
  <si>
    <t>GRHYD</t>
  </si>
  <si>
    <t>ELY4OFF</t>
  </si>
  <si>
    <t>Hidrolica, Tahivilla</t>
  </si>
  <si>
    <t>GenHyPEM (R&amp;D)</t>
  </si>
  <si>
    <t>Jupiter 1000</t>
  </si>
  <si>
    <t>Hawaii Hydrogen Power Park (phase 2)</t>
  </si>
  <si>
    <t>PVFCSYS Sophia Antipolis</t>
  </si>
  <si>
    <t>PVFCSYS Agrate</t>
  </si>
  <si>
    <t>THEUS H2 Energy Storage, Takasago (R&amp;D)</t>
  </si>
  <si>
    <t>Aeropila</t>
  </si>
  <si>
    <t>FIRST - Showcase II</t>
  </si>
  <si>
    <t>IHAVU</t>
  </si>
  <si>
    <t>WELTEMP, Water electrolysis at elevated temperature</t>
  </si>
  <si>
    <t>Ameland</t>
  </si>
  <si>
    <t>Wind-H2 Village Prince Edward Island</t>
  </si>
  <si>
    <t>DTE Energy Hydrogen Technoly Park, Southfield Michigan</t>
  </si>
  <si>
    <t>Wind2H2 Project NREL</t>
  </si>
  <si>
    <t>Small Scale Renewable Power System DRI (Desert Research Institute)</t>
  </si>
  <si>
    <t>IRENE System</t>
  </si>
  <si>
    <t>Bio SNG Güssing</t>
  </si>
  <si>
    <t>Fine Chemical Industry Park of Lanzhou</t>
  </si>
  <si>
    <t>GldH2</t>
  </si>
  <si>
    <t>P2P IPKW</t>
  </si>
  <si>
    <t>AuxHYGen (Phase 1)</t>
  </si>
  <si>
    <t>MethFuel</t>
  </si>
  <si>
    <t>Coffeyville fertilizer plant</t>
  </si>
  <si>
    <t>PCS Nitrogen-Geismar plant (LA)</t>
  </si>
  <si>
    <t>Port Arthur</t>
  </si>
  <si>
    <t>MCRC bio-hydrogen facility Chennai</t>
  </si>
  <si>
    <t>Port Jerome</t>
  </si>
  <si>
    <t>Quest</t>
  </si>
  <si>
    <t>ElectroHgena</t>
  </si>
  <si>
    <t>Power to flex (several pilot projects)</t>
  </si>
  <si>
    <t>Minerve, Nantes</t>
  </si>
  <si>
    <t>HYPOS (several projects)</t>
  </si>
  <si>
    <t>Air Liquide Becancour</t>
  </si>
  <si>
    <t>Hebei Jiantou Guyuan wind project - 2nd phase</t>
  </si>
  <si>
    <t>Blue but better (ALB) (Canada Net-zero Hydrogen Energy Complex), phase 1</t>
  </si>
  <si>
    <t>Hyper Hydrogen Energy Zhangjiakou Wind Power Hebei - first phase</t>
  </si>
  <si>
    <t>Anglo-American Mogalakwena mine</t>
  </si>
  <si>
    <t>ZAF</t>
  </si>
  <si>
    <t>Wally - Walmart Quilicura forklifts</t>
  </si>
  <si>
    <t>Wuppertal refuelling station</t>
  </si>
  <si>
    <t>SALCOS - WindH2 Windwasserstoff Salzgitter</t>
  </si>
  <si>
    <t>Hebei Jiantou Guyuan wind project - 1st phase</t>
  </si>
  <si>
    <t>Green hydrogen Project, Mohammad Bin Rashid Solar Park</t>
  </si>
  <si>
    <t>ARE</t>
  </si>
  <si>
    <t>Hydrogen Park South Australia - HyPSA</t>
  </si>
  <si>
    <t>NEL-Champaign-Urbana Mass Transit District</t>
  </si>
  <si>
    <t>Cyrus Smith</t>
  </si>
  <si>
    <t>Jemena Western Sydney - H2GO project</t>
  </si>
  <si>
    <t>Queensland Government HRS</t>
  </si>
  <si>
    <t>Seafuel project</t>
  </si>
  <si>
    <t>Obayashi geothermal hydrogen</t>
  </si>
  <si>
    <t>Hydrogen village Burgenland</t>
  </si>
  <si>
    <t>Unisa, Mawson Lakes campus</t>
  </si>
  <si>
    <t>North West Sturgeon refinery</t>
  </si>
  <si>
    <t>WCS Redwater CO2 Recovery Unit (formerly nutrien) (ACTL) (ALB) phase 1</t>
  </si>
  <si>
    <t>Kidman Park in Adelaide depot</t>
  </si>
  <si>
    <t>SPHYNX, R&amp;D</t>
  </si>
  <si>
    <t>Fronius HyLOG-Fleet (Hydrogen powered Logistic System)</t>
  </si>
  <si>
    <t>HyWindBalance, Oldenburg</t>
  </si>
  <si>
    <t>Hyport@Duqm, phase 1</t>
  </si>
  <si>
    <t>OMN</t>
  </si>
  <si>
    <t>Engie - Yara Pilbara test, phase I (project Yuri)</t>
  </si>
  <si>
    <t>Hyper Hydrogen Energy Zhangjiakou Wind Power Hebei - second phase</t>
  </si>
  <si>
    <t>Crystal Brook Energy Park, South Australia</t>
  </si>
  <si>
    <t>Origin Energy - Kawasaki Heavy Industries Townsville project</t>
  </si>
  <si>
    <t>H2-hub Gladstone (Queensland) - phase 1</t>
  </si>
  <si>
    <t>Demonstration plant Kuala Terengganu, Malaysia</t>
  </si>
  <si>
    <t>Demo Plant Agricultural University Athens</t>
  </si>
  <si>
    <t>The Hydrogen house</t>
  </si>
  <si>
    <t>Fenosa Canberra hydrogen demo project</t>
  </si>
  <si>
    <t>Alliander Oosterwolde - solar park of GroenLeven</t>
  </si>
  <si>
    <t>Siemens Energy and Beijing Green Hydrogen Technology Development HRS</t>
  </si>
  <si>
    <t xml:space="preserve">Ribatejo natural gas power plant (FLEXnCONFU) </t>
  </si>
  <si>
    <t>Air Liquide liquid hydrogen production plant</t>
  </si>
  <si>
    <t>Haru Oni, phase 1</t>
  </si>
  <si>
    <t>Holland Hydrogen - phase 1</t>
  </si>
  <si>
    <t>Sun Metals Zinc Refinery, phase I</t>
  </si>
  <si>
    <t>HRS TMB Zona Franca de Barcelona</t>
  </si>
  <si>
    <t>HRS Charleroi</t>
  </si>
  <si>
    <t>HRS CNH2 Puertollano</t>
  </si>
  <si>
    <t>Iberdrola - Palos de la Frontera I</t>
  </si>
  <si>
    <t>Hyflexpower</t>
  </si>
  <si>
    <t>HydroHub-Fenne</t>
  </si>
  <si>
    <t>Solena Group Plasma enhanced gasification</t>
  </si>
  <si>
    <t>H24U project (former Proyecto Verne)</t>
  </si>
  <si>
    <t>URY</t>
  </si>
  <si>
    <t>Olive Creek 1</t>
  </si>
  <si>
    <t>Olive Creek 2</t>
  </si>
  <si>
    <t>Iberdrola - Palos de la Frontera II</t>
  </si>
  <si>
    <t>Douglas County PUD - industrial area north of East Wenatchee</t>
  </si>
  <si>
    <t>Chongli wind-solar Hydrogen Project - first phase</t>
  </si>
  <si>
    <t>GreenH2UB (1st hub, Noord Brabant)</t>
  </si>
  <si>
    <t>Duwaal</t>
  </si>
  <si>
    <t>Chongli wind-solar Hydrogen Project - second phase</t>
  </si>
  <si>
    <t>Hysolar Green on Road - Nieuwegein</t>
  </si>
  <si>
    <t>Halcyon Power</t>
  </si>
  <si>
    <t>Hydrogenpilot Oosterwolde</t>
  </si>
  <si>
    <t>Kopernikus 2.0</t>
  </si>
  <si>
    <t>E-CO2MET Raffinerie Mitteldeutschland</t>
  </si>
  <si>
    <t>HySTRA- HESC</t>
  </si>
  <si>
    <t>H-Vision (phase 1)</t>
  </si>
  <si>
    <t>Preem CCS at Lysekil refinery</t>
  </si>
  <si>
    <t>METHYCENTRE</t>
  </si>
  <si>
    <t>Hydrogen Park Gladstone</t>
  </si>
  <si>
    <t>Toyota Hydrogen Centre, Altona, Victoria</t>
  </si>
  <si>
    <t>GZI Next</t>
  </si>
  <si>
    <t>Yanchang Integrated Carbon Capture and Storage Demonstration</t>
  </si>
  <si>
    <t>Hazer group CH4 pyrolysis</t>
  </si>
  <si>
    <t>ECB Omega Green biofuel project</t>
  </si>
  <si>
    <t>PRY</t>
  </si>
  <si>
    <t xml:space="preserve">Normand’Hy - Air Liquide </t>
  </si>
  <si>
    <t>H2V 59, 1st phase</t>
  </si>
  <si>
    <t>Arrowsmith Hydrogen Project, phase 1</t>
  </si>
  <si>
    <t>DJEWELS Chemiepark - Delfzijl, Phase 1</t>
  </si>
  <si>
    <t>UpHy</t>
  </si>
  <si>
    <t>Lake Charles Methanol</t>
  </si>
  <si>
    <t>DJEWELS Chemiepark - Delfzijl, Phase 2</t>
  </si>
  <si>
    <t>H2ermes</t>
  </si>
  <si>
    <t>H2V 59, 2nd phase</t>
  </si>
  <si>
    <t>Hydrogen 2 Magnum (H2M)</t>
  </si>
  <si>
    <t xml:space="preserve">Wabash Valley Resources </t>
  </si>
  <si>
    <t>Etzel, Salt caverns</t>
  </si>
  <si>
    <t>Shell heavy residue gasification CCU - Pernis refinery (in 2024, the CCU project will become CCUS - ref1323 - once Porthos project is available)</t>
  </si>
  <si>
    <t>Bio Energy Netherlands</t>
  </si>
  <si>
    <t>Blue Hydrogen Den Helder</t>
  </si>
  <si>
    <t>Nemo Hydrogen Project</t>
  </si>
  <si>
    <t>Baicheng City Bus Company - Songyuan City</t>
  </si>
  <si>
    <t>Repsol Cartagena, phase 1</t>
  </si>
  <si>
    <t>H2-based residential area in Van der Veen</t>
  </si>
  <si>
    <t>H2Gas</t>
  </si>
  <si>
    <t>Long Beach Fuel Cell plant</t>
  </si>
  <si>
    <t>Producing Hydrogen by Gasification of Biomass in 'het Groene Hart' - GH2</t>
  </si>
  <si>
    <t>Ramboll study for an e-fuel plant in Greenland</t>
  </si>
  <si>
    <t>Armor Hydrogène</t>
  </si>
  <si>
    <t>Giner ELX, H2@Scale (Florida)</t>
  </si>
  <si>
    <t>Frontier Energy, H2@Scale - electrolysis</t>
  </si>
  <si>
    <t>DJEWELS Chemiepark - Delfzijl, Phase 3</t>
  </si>
  <si>
    <t>Curthyl</t>
  </si>
  <si>
    <t>Deltaurus 1</t>
  </si>
  <si>
    <t>Deltaurus 3</t>
  </si>
  <si>
    <t>North CCU HUB, phase 3 (Deltaurus 4)</t>
  </si>
  <si>
    <t>Vlissingen - VoltH2 - phase I</t>
  </si>
  <si>
    <t>HySynergy, phase 2</t>
  </si>
  <si>
    <t>Green lab skive (Phase I)</t>
  </si>
  <si>
    <t>Shell China - Zhangjiakou Transportation Investment, phase 1</t>
  </si>
  <si>
    <t>Aberdeen Hydrogen Hub, phase I</t>
  </si>
  <si>
    <t>Fortescue Metals Group - Bell Bay, Tasmania</t>
  </si>
  <si>
    <t>H2HUB</t>
  </si>
  <si>
    <t>Meirama plant, phase 1</t>
  </si>
  <si>
    <t>EMEC tidal-battery-hydrogen demo</t>
  </si>
  <si>
    <t>Orange-BAT Puerto Valencia</t>
  </si>
  <si>
    <t>Huaneng electrolysis plant in Western Sichuan</t>
  </si>
  <si>
    <t>HaYrport</t>
  </si>
  <si>
    <t>IPCEI Green Crane, Italy Hubs</t>
  </si>
  <si>
    <t>North CCU HUB, phase 2. North-C -full scale</t>
  </si>
  <si>
    <t>HRS Halle (Continued as Ref148)</t>
  </si>
  <si>
    <t>Origin Energy Tasmania’s Bell Bay</t>
  </si>
  <si>
    <t>H2One Multistation- Tsuruga City</t>
  </si>
  <si>
    <t>H100 Fife Project, Levenmouth</t>
  </si>
  <si>
    <t>Steag-Thyssenkrupp Duisburg steel plant (HydrOxy Hub Walsum)- Phase 1</t>
  </si>
  <si>
    <t>Gela refinery</t>
  </si>
  <si>
    <t>Taranto Sustainable Refinery</t>
  </si>
  <si>
    <t>BENORTH2 (Amorebieta-Boroa power plant), phase 1</t>
  </si>
  <si>
    <t>BENORTH2 (Amorebieta-Boroa power plant), phase 2</t>
  </si>
  <si>
    <t>Camberra HRS</t>
  </si>
  <si>
    <t>Recycle Carbone Varennes biofuels plant</t>
  </si>
  <si>
    <t>Beijing Jingneng Power Company</t>
  </si>
  <si>
    <t>REDDAP - REnewable Distributed &amp; Dynamic Ammonia Plant</t>
  </si>
  <si>
    <t>Wallonia e-methane project</t>
  </si>
  <si>
    <t>GET H2 Nukleus, phase 2</t>
  </si>
  <si>
    <t>NortH2, phase 2</t>
  </si>
  <si>
    <t>AquaPrimus (AquaVentus, phase 1), Heligoland</t>
  </si>
  <si>
    <t>H2-hub Gladstone (Queensland) - phases 2-3</t>
  </si>
  <si>
    <t>Brande Hydrogen project</t>
  </si>
  <si>
    <t xml:space="preserve">Horizeo project </t>
  </si>
  <si>
    <t>Deep Purple</t>
  </si>
  <si>
    <t>Pinto waste water plant</t>
  </si>
  <si>
    <t>Linde Leuna Chemical Complex</t>
  </si>
  <si>
    <t>Project Haber, phase 1</t>
  </si>
  <si>
    <t>Grupa Lotos refinery</t>
  </si>
  <si>
    <t>Hamburg Green Hydrogen Hub (HGHH) project - old Moorburg plant</t>
  </si>
  <si>
    <t>Sumitomo Queensland</t>
  </si>
  <si>
    <t>Sumitomo Oman</t>
  </si>
  <si>
    <t>Sumitomo Malaysia- H2ornbill</t>
  </si>
  <si>
    <t>As Pontes power plant</t>
  </si>
  <si>
    <t>Huelva - Endesa</t>
  </si>
  <si>
    <t>Hidrogeno El Cierzo</t>
  </si>
  <si>
    <t>Teruel - Endesa</t>
  </si>
  <si>
    <t>Almeria - Endesa</t>
  </si>
  <si>
    <t>Barranco de Tirajana - Endesa</t>
  </si>
  <si>
    <t>Granadilla - Endesa</t>
  </si>
  <si>
    <t>Green Crane, Asturias Hub, Phase I</t>
  </si>
  <si>
    <t>Green Crane, Asturias Hub, Phase II</t>
  </si>
  <si>
    <t>Hynet Northwest, phase 3</t>
  </si>
  <si>
    <t>Zero Emission Valley (ZEV) - Clermont Ferrand</t>
  </si>
  <si>
    <t>Bahia H2 Offshore</t>
  </si>
  <si>
    <t>KOGAN HYDROGEN DEMONSTRATION PROJECT</t>
  </si>
  <si>
    <t>Masdar City green H2</t>
  </si>
  <si>
    <t>Lysekil refinery (phase 1)</t>
  </si>
  <si>
    <t>Uniper Maasvlakte, phase I</t>
  </si>
  <si>
    <t>Uniper Maasvlakte, phase II</t>
  </si>
  <si>
    <t>Hydrogen Park Murray Valley, Victoria</t>
  </si>
  <si>
    <t>ORANGE.BAT Castellon</t>
  </si>
  <si>
    <t>Saras Sardinia refinery - IPCEI</t>
  </si>
  <si>
    <t>SunLine Palms Springs</t>
  </si>
  <si>
    <t>H2 Green Steel (H2GS)  - phase 1</t>
  </si>
  <si>
    <t>New York Science, Technology and Advanced Manufacturing Park</t>
  </si>
  <si>
    <t>Abanto Technology Park</t>
  </si>
  <si>
    <t>HyDeal Ambition</t>
  </si>
  <si>
    <t>ESP
FRA</t>
  </si>
  <si>
    <t>Boryeong LNG Terminal</t>
  </si>
  <si>
    <t>KOR</t>
  </si>
  <si>
    <t xml:space="preserve">Cavendish NextGen Hydrogen Hub </t>
  </si>
  <si>
    <t>Refhyne II</t>
  </si>
  <si>
    <t>H2-Login</t>
  </si>
  <si>
    <t>Gyeongnam Changwon Green Energy Center</t>
  </si>
  <si>
    <t>Wilhelmshaven , phase 1</t>
  </si>
  <si>
    <t>Sinopec Qilu Petrochemical CCS</t>
  </si>
  <si>
    <t>Karamay Dunhua Oil Technology CCUS EOR Project</t>
  </si>
  <si>
    <t>Great Plains Synfuel Plant and Weyburn-Midale</t>
  </si>
  <si>
    <t>Abu Dhabi CCS Phase 1: Emirates Steel Industries - Al Reyadah CCUS</t>
  </si>
  <si>
    <t>Leeds Bradford Airport hub</t>
  </si>
  <si>
    <t>Northwest Natural Holding synthetic methane plant</t>
  </si>
  <si>
    <t>Centre Point Energy Minnesota</t>
  </si>
  <si>
    <t>New Jersey Resources Howell</t>
  </si>
  <si>
    <t>Vantaa-Wartsila methanation</t>
  </si>
  <si>
    <t>AES Andes Power to Ammonia project</t>
  </si>
  <si>
    <t>Huaneng Qingneng Institute demo plant</t>
  </si>
  <si>
    <t>CNNC HTGR P2G demo</t>
  </si>
  <si>
    <t>CNNC 600MW HTGR P2G for steel</t>
  </si>
  <si>
    <t>Datong City solar plant, phase 1</t>
  </si>
  <si>
    <t>Eco Energy World Quensland project</t>
  </si>
  <si>
    <t>Puglia green hydro-gen valley - Taranto plant</t>
  </si>
  <si>
    <t>Saipem and Alboran Hydrogen (1 plant)</t>
  </si>
  <si>
    <t>MAR</t>
  </si>
  <si>
    <t>ALB</t>
  </si>
  <si>
    <t>Optimal-ITM agreement</t>
  </si>
  <si>
    <t>Giga Stack - Green Hydrogen for Humberside</t>
  </si>
  <si>
    <t>HRS Gatwick airport</t>
  </si>
  <si>
    <t>4 projects of ITM in Australia</t>
  </si>
  <si>
    <t>HRS Swindon</t>
  </si>
  <si>
    <t>HRS Beaconsfield</t>
  </si>
  <si>
    <t>QEM Julia Creek - Queensland</t>
  </si>
  <si>
    <t>Rafnes chemical plants (Aquarius)</t>
  </si>
  <si>
    <t>Synkero synfuels project</t>
  </si>
  <si>
    <t>Zenid Initiative</t>
  </si>
  <si>
    <t>H2Teesside 1st phase</t>
  </si>
  <si>
    <t>H2Teesside 2nd phase</t>
  </si>
  <si>
    <t>ITM-Sumitomo Coorp</t>
  </si>
  <si>
    <t>PT Panca Amara Utama (PAU) Banggai ammonia plant, Luwuk Central Sulawesi</t>
  </si>
  <si>
    <t>IDN</t>
  </si>
  <si>
    <t>Barents Blue ammonia plant, phase 1</t>
  </si>
  <si>
    <t>Hysencia, Phase II</t>
  </si>
  <si>
    <t>Renewstable</t>
  </si>
  <si>
    <t>BRB</t>
  </si>
  <si>
    <t>Centrale Electrique de l’Ouest Guyanais (CEOG)</t>
  </si>
  <si>
    <t>NewGen</t>
  </si>
  <si>
    <t>TTO</t>
  </si>
  <si>
    <t>Evolugen H2 injection project</t>
  </si>
  <si>
    <t>Bangladesh Council of Scientific and Industrial Research demo</t>
  </si>
  <si>
    <t>BGD</t>
  </si>
  <si>
    <t>Port of Pecem - Base One</t>
  </si>
  <si>
    <t>BRA</t>
  </si>
  <si>
    <t>HUN</t>
  </si>
  <si>
    <t>Prince George refinery</t>
  </si>
  <si>
    <t>Science Parks of Tainan and Hsinchu</t>
  </si>
  <si>
    <t>TWN</t>
  </si>
  <si>
    <t>SeaH2Land</t>
  </si>
  <si>
    <t>ArcelorMittal Bremen - HyBit</t>
  </si>
  <si>
    <t>Rossello paper factory</t>
  </si>
  <si>
    <t>DG Fuels</t>
  </si>
  <si>
    <t>Energía Los Cabos</t>
  </si>
  <si>
    <t>MEX</t>
  </si>
  <si>
    <t>GICON - Vietnam Petroleum Institute MoU</t>
  </si>
  <si>
    <t>VNM</t>
  </si>
  <si>
    <t>Heritage Gas - Ottawa</t>
  </si>
  <si>
    <t>RHYME</t>
  </si>
  <si>
    <t>Yanqing Hydrogen Energy Industrial Park</t>
  </si>
  <si>
    <t>Cangzhou Bohai New District Hydrogen</t>
  </si>
  <si>
    <t>Hydrogen Energy Equipment Industrial Cluster Project in Handan Economic and Technological Development Zone</t>
  </si>
  <si>
    <t>Zhangjiakou Yangyuan Jingxi New Energy Base Project</t>
  </si>
  <si>
    <t>CGN Baicheng Hydrogen Production Project - Jilin</t>
  </si>
  <si>
    <t>Datong City solar plant, phase 2</t>
  </si>
  <si>
    <t>H2Pioneer - H2 Carinthia</t>
  </si>
  <si>
    <t>WIVA P&amp;G Hydrogen Region</t>
  </si>
  <si>
    <t>Matra power pant</t>
  </si>
  <si>
    <t>Konin Power Plant, phase 1 - ZE PAK</t>
  </si>
  <si>
    <t>Project AIR (Perstorp - Stenungsund)</t>
  </si>
  <si>
    <t>Reichenau power plant</t>
  </si>
  <si>
    <t>Steklarna Hrastnik glass manufactuing plant</t>
  </si>
  <si>
    <t>SVN</t>
  </si>
  <si>
    <t>Solar Global group headquarters</t>
  </si>
  <si>
    <t>CZE</t>
  </si>
  <si>
    <t>Greening of Gas (GoG) - Net4Gas DEMO</t>
  </si>
  <si>
    <t>Lingen Green Hydrogen (LGH2) Phase 2</t>
  </si>
  <si>
    <t>HyMAT SH</t>
  </si>
  <si>
    <t>We-4-PUR</t>
  </si>
  <si>
    <t>H2 in the Ketzin energy transition laborator</t>
  </si>
  <si>
    <t>Green Energy Hub Helmstedt</t>
  </si>
  <si>
    <t>Speicherstadt Kerpen</t>
  </si>
  <si>
    <t>SLOP2G Project</t>
  </si>
  <si>
    <t>Thermal Power Plant Sostanj</t>
  </si>
  <si>
    <t>TPJ Jesenice</t>
  </si>
  <si>
    <t>H2MUCTYNIC (Confidential data from H2 Europe)</t>
  </si>
  <si>
    <t>SVK</t>
  </si>
  <si>
    <t>Dolphyn 1, phase 1</t>
  </si>
  <si>
    <t>Dolphyn 1, phase 2</t>
  </si>
  <si>
    <t>PTG Bilsthorpe, Nottinghamshire</t>
  </si>
  <si>
    <t>Uniper Killingholme site</t>
  </si>
  <si>
    <t>North Sea Wind Power Hub</t>
  </si>
  <si>
    <t>P2G Velke Kapusany</t>
  </si>
  <si>
    <t>Element One (Element Eins), phase 3</t>
  </si>
  <si>
    <t>Green Hydrogen Hub, phase 1</t>
  </si>
  <si>
    <t>DEU
DNK</t>
  </si>
  <si>
    <t>Green Hydrogen Hub, phase 2</t>
  </si>
  <si>
    <t>HyGéo</t>
  </si>
  <si>
    <t>Pegasus</t>
  </si>
  <si>
    <t>Electrolyzers with "network related function" in Apulia - Phase 1</t>
  </si>
  <si>
    <t>Hydrogen injection into the gas network in Lithuania</t>
  </si>
  <si>
    <t>LTU</t>
  </si>
  <si>
    <t>Power to Gas Production with infrastructure building/enhacement in Latvia</t>
  </si>
  <si>
    <t>LVA</t>
  </si>
  <si>
    <t>G2F - Gas to Future, phase 1</t>
  </si>
  <si>
    <t>G2F - Gas to Future, phase 2</t>
  </si>
  <si>
    <t>Herten HRS</t>
  </si>
  <si>
    <t>Vallée Hydrogène Grand Ouest (VHyGO) - Saint-Nazaire</t>
  </si>
  <si>
    <t>Vallée Hydrogène Grand Ouest (VHyGO) - Dieppe</t>
  </si>
  <si>
    <t>NEL-Lhyfe Agreement</t>
  </si>
  <si>
    <t>McDermott - CB&amp;I 2nd project</t>
  </si>
  <si>
    <t>Hy-Fi</t>
  </si>
  <si>
    <t>HYBAYERN</t>
  </si>
  <si>
    <t>Hyways for future, total</t>
  </si>
  <si>
    <t>Norddeutsches Reallabor - Living Lab Northern Germany</t>
  </si>
  <si>
    <t>Haru Oni, phase 2</t>
  </si>
  <si>
    <t>Haru Oni, phase 3</t>
  </si>
  <si>
    <t>Hydrogen Fuels Australia Truganina refuelling station - H2FA</t>
  </si>
  <si>
    <t>Pertamina Ulubelu geothermal plant</t>
  </si>
  <si>
    <t>P2X Harjavalta project</t>
  </si>
  <si>
    <t>Ercros - Sabinanigo</t>
  </si>
  <si>
    <t>OMNI CT - California</t>
  </si>
  <si>
    <t>Sapio - Mantova</t>
  </si>
  <si>
    <t>Woikoski Kokkola H2 plant</t>
  </si>
  <si>
    <t>HyEnergy Zero Carbon Hydrogen</t>
  </si>
  <si>
    <t>Yellow Sea</t>
  </si>
  <si>
    <t>HNH</t>
  </si>
  <si>
    <t>Rostock - RWE - (HyTechHafen-Rostock)</t>
  </si>
  <si>
    <t>CRS4-Italgas Sardinia</t>
  </si>
  <si>
    <t>BP Castellon refinery, phase 1 (HyVal)</t>
  </si>
  <si>
    <t xml:space="preserve">SmartQuart project - Kaisersesch </t>
  </si>
  <si>
    <t>Canary Islands Hub, phase 1</t>
  </si>
  <si>
    <t>Canary Islands Hub, phase 2</t>
  </si>
  <si>
    <t>Suncor Edmonton Refinery - Heartland hydrogen hub (ALB)</t>
  </si>
  <si>
    <t>Donghae 1 offshore wind plant</t>
  </si>
  <si>
    <t>Turquoise Hydrogen</t>
  </si>
  <si>
    <t>BayoTech - St Louis Hub</t>
  </si>
  <si>
    <t>ZEHUS</t>
  </si>
  <si>
    <t>Roadrunner</t>
  </si>
  <si>
    <t>Green Energy Oman (GEO), phase 1 (former Oman-Al Wusta green H2 project)</t>
  </si>
  <si>
    <t>Plug Power - Fort Worth</t>
  </si>
  <si>
    <t>HyDeal LA</t>
  </si>
  <si>
    <t>Energiepark Eemshaven West (phase I)</t>
  </si>
  <si>
    <t>Energiepark Eemshaven West (phase II)</t>
  </si>
  <si>
    <t>ELYgator</t>
  </si>
  <si>
    <t>Central Queensland Hydrogen CQ-H2, phase 1</t>
  </si>
  <si>
    <t>Zeeland Refinery - H2ero</t>
  </si>
  <si>
    <t>FUREC</t>
  </si>
  <si>
    <t>BrigH2</t>
  </si>
  <si>
    <t>Hydrogen Wind Turbine in Wieringerwerf</t>
  </si>
  <si>
    <t>H2-gateway</t>
  </si>
  <si>
    <t>Sinopec Star Corp Ordos Green Power-to-Gas Demonstration (or: Uxin Banner Wind-Solar Integrated Green Hydrogen Petrochemical Refinery Demo) Phase 1</t>
  </si>
  <si>
    <t>Sinopec - Kuqa</t>
  </si>
  <si>
    <t>Pecos County Ultra Clean Fuels Refining (TX)</t>
  </si>
  <si>
    <t>GreenHyScale</t>
  </si>
  <si>
    <t>EI-H2 - Aghada (phase 1)</t>
  </si>
  <si>
    <t>IRL</t>
  </si>
  <si>
    <t>Green lab skive (Phase II)</t>
  </si>
  <si>
    <t>Khalifa Industrial Zone Abu Dhabi (KIZAD) Helios Industry- phase 1</t>
  </si>
  <si>
    <t>HySynergy, phase 3</t>
  </si>
  <si>
    <t>Kapuni Green Hydrogen Project - Taranaki</t>
  </si>
  <si>
    <t>Horizon H2 capture tailings CCS (ALB)</t>
  </si>
  <si>
    <t>Hyundai Oilbank - Blue H2 Ecosystem</t>
  </si>
  <si>
    <t>Forestal del Atlántico - Triskelion</t>
  </si>
  <si>
    <t>SoHyCal</t>
  </si>
  <si>
    <t>Bee’ah waste-to-hydrogen</t>
  </si>
  <si>
    <t>Industrial Cachimayo</t>
  </si>
  <si>
    <t>PER</t>
  </si>
  <si>
    <t>Dos Bocas refinery</t>
  </si>
  <si>
    <t>Sirea - Castres site</t>
  </si>
  <si>
    <t>Rostock - RWE (future phases)</t>
  </si>
  <si>
    <t>Hy4Chem - BASF Ludwigshafen</t>
  </si>
  <si>
    <t>Davis-Besse Nuclear Power Station</t>
  </si>
  <si>
    <t>Prairie Island</t>
  </si>
  <si>
    <t>Bruce Nuclear Generating Station</t>
  </si>
  <si>
    <t>Heysham demonstrator 1</t>
  </si>
  <si>
    <t>Kola Nuclear Power Plant demo</t>
  </si>
  <si>
    <t>RUS</t>
  </si>
  <si>
    <t>Hydrogen Lab Bremerhaven (phase 1)</t>
  </si>
  <si>
    <t>Hydrogen Lab Bremerhaven (phase 2)</t>
  </si>
  <si>
    <t>Hydrogen Lab Leuna (phase 1)</t>
  </si>
  <si>
    <t>Hydrogen Lab Leuna (phase 2)</t>
  </si>
  <si>
    <t>Hydrogen Lab Gorlitz</t>
  </si>
  <si>
    <t>Hydrogen Eagle (various hubs)</t>
  </si>
  <si>
    <t>Hydrogen Eagle (Litvínov)</t>
  </si>
  <si>
    <t>Hydrogen Eagle (Spolana)</t>
  </si>
  <si>
    <t>Hydrogen Eagle (Spolana), phase 1</t>
  </si>
  <si>
    <t>GreenH2Atlantic</t>
  </si>
  <si>
    <t>Porto do Acu Fortescue Ammonia Project</t>
  </si>
  <si>
    <t>Hoasis (TCP Gecomp)</t>
  </si>
  <si>
    <t>Ecopetrol 50kW electrolyser</t>
  </si>
  <si>
    <t>COL</t>
  </si>
  <si>
    <t>HValleSur</t>
  </si>
  <si>
    <t>METH2 Atacama</t>
  </si>
  <si>
    <t xml:space="preserve">Villa Lisa </t>
  </si>
  <si>
    <t xml:space="preserve">Ciudad del Este </t>
  </si>
  <si>
    <t xml:space="preserve">Encarnacion </t>
  </si>
  <si>
    <t>TA’ZIZ blue ammonia</t>
  </si>
  <si>
    <t xml:space="preserve">BHP Nickel West Green Hydrogen </t>
  </si>
  <si>
    <t>Dawson Mine</t>
  </si>
  <si>
    <t>Camden County (GA), green power plant</t>
  </si>
  <si>
    <t>Pego coal plant transition</t>
  </si>
  <si>
    <t>Sealhyfe</t>
  </si>
  <si>
    <t>Rajasthan pilot plant</t>
  </si>
  <si>
    <t>OCP Group demo project</t>
  </si>
  <si>
    <t>Hofors rolling project</t>
  </si>
  <si>
    <t>Hyrasia one</t>
  </si>
  <si>
    <t>KAZ</t>
  </si>
  <si>
    <t>Manilla Solar &amp; Renewable Energy Storage Project</t>
  </si>
  <si>
    <t>Green Hydrogen Oman (GEO), phase 2 (former Oman-Al Wusta green H2 project)</t>
  </si>
  <si>
    <t>AquaVentus (completion)</t>
  </si>
  <si>
    <t>EI-H2 - Aghada (phase 2)</t>
  </si>
  <si>
    <t>EI-H2 - Aghada (phase 3)</t>
  </si>
  <si>
    <t>New Jersey Offshore Wind plant</t>
  </si>
  <si>
    <t>Delicias Solar</t>
  </si>
  <si>
    <t>Pico Truncado</t>
  </si>
  <si>
    <t xml:space="preserve">Dhamma Energy Guanajuato </t>
  </si>
  <si>
    <t>Mexican Green Hydrogen Hub, phase 1</t>
  </si>
  <si>
    <t>Algeciras Bay</t>
  </si>
  <si>
    <t>Gazifere grid injection</t>
  </si>
  <si>
    <t>GREEN H2 Langosteira</t>
  </si>
  <si>
    <t>Pouakai - Taranaki - NH3</t>
  </si>
  <si>
    <t>Pouakai - Taranaki - H2</t>
  </si>
  <si>
    <t xml:space="preserve">Jintongling Biomass Gasification </t>
  </si>
  <si>
    <t>Khalifa Industrial Zone Abu Dhabi (KIZAD) Helios Industry- phase 2</t>
  </si>
  <si>
    <t>Veolia wastewater sludge plant</t>
  </si>
  <si>
    <t>IPCEI Blue Danube - first project</t>
  </si>
  <si>
    <t>Bay.H2 Project - Bayern Oil Refinery</t>
  </si>
  <si>
    <t>Enid fertiliser</t>
  </si>
  <si>
    <t>Ervia CCS - Irving refinery</t>
  </si>
  <si>
    <t>Energean Prinos oil field</t>
  </si>
  <si>
    <t>Sinopec Zhongyuan Oilfield EOR</t>
  </si>
  <si>
    <t>Changqing Oil Field EOR</t>
  </si>
  <si>
    <t>Fortescue Future Industries - Port of Pecem  (Phase I and II)</t>
  </si>
  <si>
    <t>Marítimo Dragão - Qair</t>
  </si>
  <si>
    <t>RIST Hydrogen Research Centre - nuclear Hydrogen project</t>
  </si>
  <si>
    <t xml:space="preserve">Rhode Green Energy Park </t>
  </si>
  <si>
    <t>Lysekil refinery (phase 2)</t>
  </si>
  <si>
    <t>KIMA - Aswan electrolyser</t>
  </si>
  <si>
    <t>EGY</t>
  </si>
  <si>
    <t>Zimbabwe NH3 plant</t>
  </si>
  <si>
    <t>ZWE</t>
  </si>
  <si>
    <t>APEX-Plug Power H2 plamt</t>
  </si>
  <si>
    <t>3 x 1250 kW projects in USA</t>
  </si>
  <si>
    <t>1 x 500 kW projects in USA</t>
  </si>
  <si>
    <t>18x180 kW projects in USA</t>
  </si>
  <si>
    <t>12 x 120 kW projects in USA</t>
  </si>
  <si>
    <t>Frontier Energy, H2@Scale - gasification</t>
  </si>
  <si>
    <t>Iberdrola-Foresa Green Methanol (phase 1)</t>
  </si>
  <si>
    <t>Iberdrola-Foresa Green Methanol (phase 2)</t>
  </si>
  <si>
    <t>Danskammer Energy - Newburgh</t>
  </si>
  <si>
    <t>Balico - Virginia</t>
  </si>
  <si>
    <t>Harrison Power Project in Cadiz, Ohio</t>
  </si>
  <si>
    <t>Western Green Energy Hub</t>
  </si>
  <si>
    <t>APA Renewable Methane Demonstration Project</t>
  </si>
  <si>
    <t>Bio-Hydrogen Demonstration Plant</t>
  </si>
  <si>
    <t>Bundaberg Hydrogen Hub</t>
  </si>
  <si>
    <t>Daintree Microgrid Project</t>
  </si>
  <si>
    <t>Christmas Creek Renewable Hydrogen Mobility Project</t>
  </si>
  <si>
    <t>ABEL Energy Bell Bay Powerfuels Project - phase 1</t>
  </si>
  <si>
    <t>Grange Resources Renewable Hydrogen</t>
  </si>
  <si>
    <t>Melbourne Hydrogen Hub</t>
  </si>
  <si>
    <t>Portland Renewable Hydrogen Project</t>
  </si>
  <si>
    <t>Swinburne University of Technology Victorian Hydrogen Hub – CSIRO Hydrogen Refuelling Station</t>
  </si>
  <si>
    <t>Agnes Energy Hub</t>
  </si>
  <si>
    <t>Konin Power Plant, phase 2 - ZE PAK</t>
  </si>
  <si>
    <t>Konin Power Plant, phase 3</t>
  </si>
  <si>
    <t>AquaSector</t>
  </si>
  <si>
    <t>H2Mare</t>
  </si>
  <si>
    <t>Meirama plant, phase 2</t>
  </si>
  <si>
    <t>Freienbach plant</t>
  </si>
  <si>
    <t>Trailblazer - Siemens-Air Liquide Oberhausen, Phase 1</t>
  </si>
  <si>
    <t>Trailblazer - Siemens-Air Liquide Oberhausen, Phase 2</t>
  </si>
  <si>
    <t>Trafford Low Carbon Energy Park - phase 1</t>
  </si>
  <si>
    <t>Hidrógeno Verde Bahía Quintero</t>
  </si>
  <si>
    <t>Wintershall Dea - VNG Turquoise H2 project</t>
  </si>
  <si>
    <t>Yarwun alumina refinery</t>
  </si>
  <si>
    <t>Hydrogen Generation Unit  - H2V Las Tortolas</t>
  </si>
  <si>
    <t>Sonam Nurboo Memorial Hopsital</t>
  </si>
  <si>
    <t>Hokkaido green hydrogen plant</t>
  </si>
  <si>
    <t>MMEX - Pecos, Texas</t>
  </si>
  <si>
    <t>Energy-Norweigian Catapult Centre</t>
  </si>
  <si>
    <t>Raven - Republic Services H2 from waste plant</t>
  </si>
  <si>
    <t>Javelina refinery</t>
  </si>
  <si>
    <t>Cromarty Green Hydrogen Facility</t>
  </si>
  <si>
    <t>North Dakota Hydrogen Hub (former Great Plains Synfuel Plant)</t>
  </si>
  <si>
    <t>Octopus Hydrogen - MIRA Technology Park</t>
  </si>
  <si>
    <t>HEVO-Sul</t>
  </si>
  <si>
    <t>HYVALUE</t>
  </si>
  <si>
    <t>H2 Valcamonica,</t>
  </si>
  <si>
    <t>H2 Évora - GreenGas I</t>
  </si>
  <si>
    <t>H2 Évora - GreenGas II</t>
  </si>
  <si>
    <t>PRIO ENERGY</t>
  </si>
  <si>
    <t>KEME ENERGY</t>
  </si>
  <si>
    <t>HEVO Sines (Phase 2)</t>
  </si>
  <si>
    <t>HEVO-Morocco</t>
  </si>
  <si>
    <t>OceanH2</t>
  </si>
  <si>
    <t>TAQA-Emirates Steel Green H2</t>
  </si>
  <si>
    <t>Salamander</t>
  </si>
  <si>
    <t>Votalia - Taqa Arabia -phase 1</t>
  </si>
  <si>
    <t>Tokyo Sewage-to-H2 plant</t>
  </si>
  <si>
    <t>Inner Mongolia green hydrogen</t>
  </si>
  <si>
    <t>H2 Energy Europe Esbjerg green hydrogen</t>
  </si>
  <si>
    <t>HBIS DRI in Zhangxuan Technology of Hesteel Group</t>
  </si>
  <si>
    <t>Itochu/Petronas ammonia project</t>
  </si>
  <si>
    <t>Prax Lindsey Oil Refinery Phase 1</t>
  </si>
  <si>
    <t>ArcelorMittal Hamburg</t>
  </si>
  <si>
    <t>H2GN - Power-to-gas Coquimbo</t>
  </si>
  <si>
    <t xml:space="preserve">Shell heavy residue gasification CCUS - Pernis refinery </t>
  </si>
  <si>
    <t>Southland green hydrogen project</t>
  </si>
  <si>
    <t>Gonfreville Raffinerie</t>
  </si>
  <si>
    <t>Vlissingen - VoltH2 - phase II</t>
  </si>
  <si>
    <t>Terneuzen - VoltH2 - phase I</t>
  </si>
  <si>
    <t>Green Wolverine</t>
  </si>
  <si>
    <t>Fairfuel Atmosfair</t>
  </si>
  <si>
    <t>PYROCO2</t>
  </si>
  <si>
    <t>Wartsila - Vaasan</t>
  </si>
  <si>
    <t>Project Nour - Phase 1</t>
  </si>
  <si>
    <t>Concrete Chemicals - I</t>
  </si>
  <si>
    <t>Concrete Chemicals - II</t>
  </si>
  <si>
    <t>H2Perth electrolysis - I</t>
  </si>
  <si>
    <t>H2Perth electrolysis - II</t>
  </si>
  <si>
    <t>H2Perth NG with CCUS - I</t>
  </si>
  <si>
    <t>Flotta Hydrogen Hub</t>
  </si>
  <si>
    <t xml:space="preserve">Eastern Louisiana Clean Hydrogen Complex (LA) </t>
  </si>
  <si>
    <t>Hypster</t>
  </si>
  <si>
    <t>Hyphen Hydrogen Energy - phase I</t>
  </si>
  <si>
    <t>NAM</t>
  </si>
  <si>
    <t>Hyphen Hydrogen Energy - phase II</t>
  </si>
  <si>
    <t>H2TAS - phase I</t>
  </si>
  <si>
    <t>H2TAS - phase II</t>
  </si>
  <si>
    <t>Hynovi - Vicat Montalieu-Vercieu cement plant</t>
  </si>
  <si>
    <t>Axpo Brugg</t>
  </si>
  <si>
    <t>H2 Green - Shoreham port - phase I</t>
  </si>
  <si>
    <t>H2 Green - Shoreham port - phase II</t>
  </si>
  <si>
    <t>Port of Gothenburg - Statkraft</t>
  </si>
  <si>
    <t>H2opZee</t>
  </si>
  <si>
    <t>SK Ulsan Complex</t>
  </si>
  <si>
    <t>Edmonton Blue Hydrogen plant (ALB) (Shell Polaris)</t>
  </si>
  <si>
    <t>Northern Horizons wind project</t>
  </si>
  <si>
    <t>Terneuzen - VoltH2 - phase II</t>
  </si>
  <si>
    <t>Atome - Itaipu</t>
  </si>
  <si>
    <t>Green Fuel Iceland - phase I</t>
  </si>
  <si>
    <t>Green Fuel Iceland - phase II</t>
  </si>
  <si>
    <t>Kenya Private Sector Alliance - FFI MoU, phase 1</t>
  </si>
  <si>
    <t>KEN</t>
  </si>
  <si>
    <t>EBIC - Ammonia plant -phase 1</t>
  </si>
  <si>
    <t>E.ON H2.Ruhr wind exports from Italy</t>
  </si>
  <si>
    <t>Sun Metals Zinc Refinery, phase II</t>
  </si>
  <si>
    <t>HyGreen Teesside, phase I</t>
  </si>
  <si>
    <t>HyGreen Teesside, phase II</t>
  </si>
  <si>
    <t>Gigastack-Hornsea 2, phase II</t>
  </si>
  <si>
    <t>Lesedi Power Project</t>
  </si>
  <si>
    <t>BWA</t>
  </si>
  <si>
    <t>Sinopec - Zhangzhou</t>
  </si>
  <si>
    <t>Port of Newcastle</t>
  </si>
  <si>
    <t>Yosemite Clean Energy - Oroville</t>
  </si>
  <si>
    <t>KazMunayGas - Linde MoU</t>
  </si>
  <si>
    <t>Fortescue Metals - Rio Negro, phase I</t>
  </si>
  <si>
    <t>Fortescue Metals - Rio Negro, phase II</t>
  </si>
  <si>
    <t>Fortescue Metals - Rio Negro, phase III</t>
  </si>
  <si>
    <t>Tiwi Islands Green Hydrogen Project, phase I</t>
  </si>
  <si>
    <t>Tiwi Islands Green Hydrogen Project, phase II</t>
  </si>
  <si>
    <t>Steinbeis Innovation Center Braunschweig</t>
  </si>
  <si>
    <t>Aberdeen Hydrogen Hub, phase II</t>
  </si>
  <si>
    <t>INEOS Köln site</t>
  </si>
  <si>
    <t>Plug Power - Fresno County, California</t>
  </si>
  <si>
    <t>Oracle Power - Power China International MoU, Sindh</t>
  </si>
  <si>
    <t>PAK</t>
  </si>
  <si>
    <t>Carlentini Energy park (Sicily)</t>
  </si>
  <si>
    <t>Herne Bay, Kent</t>
  </si>
  <si>
    <t>Iberdrola - H2 Green Steel</t>
  </si>
  <si>
    <t>H2PiyR Pamiers</t>
  </si>
  <si>
    <t>Engie - Yara Pilbara test, phase II (project Yuri)</t>
  </si>
  <si>
    <t>H2 Magallanes - Phase 1</t>
  </si>
  <si>
    <t>Central Queensland Hydrogen CQ-H2, phase 2</t>
  </si>
  <si>
    <t>Mathura refinery</t>
  </si>
  <si>
    <t>Panipat refinery</t>
  </si>
  <si>
    <t>AuxHYGen (Phase 2)</t>
  </si>
  <si>
    <t>Port of Auckland HRS</t>
  </si>
  <si>
    <t>Budweiser - Protium Wales brewery</t>
  </si>
  <si>
    <t>Mississippi Clean Hydrogen Hub</t>
  </si>
  <si>
    <t>Tent Mountain</t>
  </si>
  <si>
    <t>Protium - Wilton Universal Group Teeside (Phase 2)</t>
  </si>
  <si>
    <t>Puglia green hydro-gen valley - Brindisi plant</t>
  </si>
  <si>
    <t>Linde Niagara Falls</t>
  </si>
  <si>
    <t>Doosan Changwon City</t>
  </si>
  <si>
    <t>Sweetman Hunter Valley</t>
  </si>
  <si>
    <t>Wilhelmshaven , phase 2</t>
  </si>
  <si>
    <t>HySkies</t>
  </si>
  <si>
    <t>SalalaH2</t>
  </si>
  <si>
    <t>Project Cavendish, phase1</t>
  </si>
  <si>
    <t>NTPC-Technip-L&amp;T MeOH project, Vindhyachal</t>
  </si>
  <si>
    <t>Arrowsmith Hydrogen Project, phase 2</t>
  </si>
  <si>
    <t>BlueScope’s Port Kembla Steelworks, Illawarra</t>
  </si>
  <si>
    <t>Project Haber, phase 2</t>
  </si>
  <si>
    <t>Mid West Clean Energy Project (MWCEP)</t>
  </si>
  <si>
    <t>South West Blue Hydrogen</t>
  </si>
  <si>
    <t>INEOS / Petroineos Grangemouth chemicals complex</t>
  </si>
  <si>
    <t>Air Liquide Botlek Rotterdam refinery (Porthos CCS)</t>
  </si>
  <si>
    <t>Air Products Botlek Rotterdam refinery (Porthos CCS)</t>
  </si>
  <si>
    <t>Boegoebaai green hydrogen</t>
  </si>
  <si>
    <t>H2Oman (Dhofar)</t>
  </si>
  <si>
    <t>Fawley refinery</t>
  </si>
  <si>
    <t>Nyrstar Port Pirie, phase 1</t>
  </si>
  <si>
    <t>Nyrstar Port Pirie, phase 2</t>
  </si>
  <si>
    <t>GET H2 Nukleus, phase 3</t>
  </si>
  <si>
    <t>Wasserstoffpark Lingen</t>
  </si>
  <si>
    <t>KeyState Natural Gas Synthesis &amp; CCUS</t>
  </si>
  <si>
    <t>Desert Bloom, phase 1</t>
  </si>
  <si>
    <t>Desert Bloom, phase 2</t>
  </si>
  <si>
    <t>Hunter Energy Hub</t>
  </si>
  <si>
    <t>Monolith Materials demo plant</t>
  </si>
  <si>
    <t>Coega, Nelson Mandela Bay green ammonia plant, phase 1</t>
  </si>
  <si>
    <t>Uljin County nuclear plant</t>
  </si>
  <si>
    <t>Tamil Nadu project</t>
  </si>
  <si>
    <t>NTPC green hydrogen mobiity project - Ladakh</t>
  </si>
  <si>
    <t>H2BE</t>
  </si>
  <si>
    <t>Ningxia Solar Hydrogen Project, Phase 2</t>
  </si>
  <si>
    <t>Coega, Nelson Mandela Bay green ammonia plant, phase 2</t>
  </si>
  <si>
    <t>Mote biomass-to-hydrogen plant (CA)</t>
  </si>
  <si>
    <t xml:space="preserve">8Rivers - Wyoming </t>
  </si>
  <si>
    <t>Project Phoenix</t>
  </si>
  <si>
    <t>Sasolburg green hydrogen project (existing electrolysers to be powered with renewable electricity)</t>
  </si>
  <si>
    <t>Masen - KfW</t>
  </si>
  <si>
    <t>Secunda SAF Project - Phase I</t>
  </si>
  <si>
    <t>Secunda SAF Project - Phase II</t>
  </si>
  <si>
    <t>Ra Green Ammonia project</t>
  </si>
  <si>
    <t>Planta de Combustibles Carbono Neutral Cabo Negro - Parque Eólico Faro del Sur</t>
  </si>
  <si>
    <t>HyPro Aconcagua</t>
  </si>
  <si>
    <t>Antofagasta Mining Energy Renewable -AMER H2</t>
  </si>
  <si>
    <t>Green Steel - H2V CAP</t>
  </si>
  <si>
    <t>Los Barrios coal plant, Cadiz, phase 1</t>
  </si>
  <si>
    <t>Grand Inga hydroelectric power project</t>
  </si>
  <si>
    <t>COD</t>
  </si>
  <si>
    <t>Shell China - Zhangjiakou, phase 2</t>
  </si>
  <si>
    <t>H2biscus, phase 1</t>
  </si>
  <si>
    <t>H2biscus, phase 2</t>
  </si>
  <si>
    <t>H2biscus, phase 3</t>
  </si>
  <si>
    <t>Engie - Masdar - Fertiglobe Abu Dhabi</t>
  </si>
  <si>
    <t>Oskarshamn nuclear plant</t>
  </si>
  <si>
    <t>H2V Marseille - Fos (Phase 1)</t>
  </si>
  <si>
    <t>H2V Marseille - Fos (Phase 6, final)</t>
  </si>
  <si>
    <t>NFC Belfort (Phase 1)</t>
  </si>
  <si>
    <t>SoCalGaS - Kore demo facility</t>
  </si>
  <si>
    <t>Port of Hanstholm - hydrogen</t>
  </si>
  <si>
    <t>Port of Hanstholm - methanol</t>
  </si>
  <si>
    <t>Lhyfe-Enerparc Luckau project</t>
  </si>
  <si>
    <t>Ande - Fortescue Future Industries MoU</t>
  </si>
  <si>
    <t>Ande - Maire Tecnimont - FerSam</t>
  </si>
  <si>
    <t>Ande - Neogreen Hydrogen, phase 1</t>
  </si>
  <si>
    <t>Ande - Neogreen Hydrogen, phase 2</t>
  </si>
  <si>
    <t>Dorset Green H2 Project</t>
  </si>
  <si>
    <t>Catalina Project, Phase 1</t>
  </si>
  <si>
    <t>Trzebinia refinery</t>
  </si>
  <si>
    <t>Baltic Power wind project</t>
  </si>
  <si>
    <t>Pembroke power station - Pembroke Green Hydrogen/Net Zero Centre (Phase 1)</t>
  </si>
  <si>
    <t>Geelong Hydrogen Hub</t>
  </si>
  <si>
    <t>H2Enable (Phase 1)</t>
  </si>
  <si>
    <t>Hy2gen Sauda project</t>
  </si>
  <si>
    <t>Firlough project</t>
  </si>
  <si>
    <t>Alcázar de San Juan - pHYnix</t>
  </si>
  <si>
    <t>Sojitz Queensland project</t>
  </si>
  <si>
    <t>Green CCU Hub Aalborg</t>
  </si>
  <si>
    <t>Blue Seal</t>
  </si>
  <si>
    <t>Green lab skive (Phase III)</t>
  </si>
  <si>
    <t>European Energy, phase I</t>
  </si>
  <si>
    <t>European Energy, phase II</t>
  </si>
  <si>
    <t>Eurowind Mariagerfjord, phase 1</t>
  </si>
  <si>
    <t>Eurowind Mariagerfjord, phase 2</t>
  </si>
  <si>
    <t>Port of Aabenraa</t>
  </si>
  <si>
    <t>Port of Aabenraa Methanol</t>
  </si>
  <si>
    <t>Vordingborg biofuels</t>
  </si>
  <si>
    <t>Aalborg MeOH project</t>
  </si>
  <si>
    <t>CCU biogas (11x36MW)</t>
  </si>
  <si>
    <t>Fortescue Future Industries - Incitec Pivot MoU</t>
  </si>
  <si>
    <t>Fortescue Future Industries - Refining NZ MoU</t>
  </si>
  <si>
    <t>Enagas - CEAR MoU</t>
  </si>
  <si>
    <t>Sun Brilliance West Australia Project, phase 1</t>
  </si>
  <si>
    <t>Sun Brilliance West Australia Project, phase 2</t>
  </si>
  <si>
    <t>Borealis-Hynamic MoU Green Ammonia</t>
  </si>
  <si>
    <t>Montana Renewables</t>
  </si>
  <si>
    <t>Fortescue Future Industries Gull Island</t>
  </si>
  <si>
    <t>Port of South Louisiana</t>
  </si>
  <si>
    <t>Hive Energy green ammonia plant</t>
  </si>
  <si>
    <t>Cactus Energia Verde Port of Pecem</t>
  </si>
  <si>
    <t>Ingenostrum - Total Eren MoU</t>
  </si>
  <si>
    <t>Reuze</t>
  </si>
  <si>
    <t>Octopus Hydrogen - BayWa MoU</t>
  </si>
  <si>
    <t>Atacama Hydrogen Hub, phase 1</t>
  </si>
  <si>
    <t>Atacama Hydrogen Hub, phase 2</t>
  </si>
  <si>
    <t>Faraday - ACH-MRP</t>
  </si>
  <si>
    <t>H1 Magallanes</t>
  </si>
  <si>
    <t>Selknam</t>
  </si>
  <si>
    <t>Aker - Berlevag</t>
  </si>
  <si>
    <t>Aker - Rjukan, phase 1</t>
  </si>
  <si>
    <t>Aker - Rjukan, phase 2</t>
  </si>
  <si>
    <t>Heliogen Arizona green H2</t>
  </si>
  <si>
    <t>BP Castellon refinery, phase 2 (HyVal)</t>
  </si>
  <si>
    <t>Wilhelmshaven , phase 3</t>
  </si>
  <si>
    <t>China Coal Ordos Energy and Chemical</t>
  </si>
  <si>
    <t>Nazare Green Hydrogen Valley, phase 1</t>
  </si>
  <si>
    <t>Nazare Green Hydrogen Valley, phase 2</t>
  </si>
  <si>
    <t>Sinopec Yanshan Petrochemical</t>
  </si>
  <si>
    <t>Green Crane, Murcia (part of Green Crane Gigafactory)</t>
  </si>
  <si>
    <t>Lacq Hydrogen</t>
  </si>
  <si>
    <t>First HyDeal hub, phase 1</t>
  </si>
  <si>
    <t>First HyDeal hub, completion</t>
  </si>
  <si>
    <t>Origin Hunter Valley hydrogen hub</t>
  </si>
  <si>
    <t>O&amp;L group - CMB.TECH hydrogen hub</t>
  </si>
  <si>
    <t>White Martins - Rio Grande do Su MoU</t>
  </si>
  <si>
    <t>Hazer-Suncor-FortisBC MoU</t>
  </si>
  <si>
    <t>Ballylumford energy storage demo project</t>
  </si>
  <si>
    <t>Freeport East Hydrogen Hub</t>
  </si>
  <si>
    <t>Bell Bay smelter</t>
  </si>
  <si>
    <t>Raahe hub</t>
  </si>
  <si>
    <t>ExxonMobil Baytown petrochemical site</t>
  </si>
  <si>
    <t>New Fortress Energy green hydrogen US gulf, phase 1</t>
  </si>
  <si>
    <t>New Fortress Energy green hydrogen US gulf, phase 2</t>
  </si>
  <si>
    <t>Norsk e-Fuel Phase 3</t>
  </si>
  <si>
    <t>Air Liquide Dunkirk</t>
  </si>
  <si>
    <t>Renewstable Swakopmund</t>
  </si>
  <si>
    <t>Sonangol</t>
  </si>
  <si>
    <t>AGO</t>
  </si>
  <si>
    <t>Petronas-ENEOS MoU</t>
  </si>
  <si>
    <t>Green Hydrogen and Chemicals SPC, phase I (former ACME-Scatec Oman)</t>
  </si>
  <si>
    <t>Green Hydrogen and Chemicals SPC, phase II (former ACME-Scatec Oman)</t>
  </si>
  <si>
    <t>H2ercules</t>
  </si>
  <si>
    <t>Promigas</t>
  </si>
  <si>
    <t>Air Products Arizona</t>
  </si>
  <si>
    <t>H2UDF, phase I</t>
  </si>
  <si>
    <t>Hidroversol Castilla y León</t>
  </si>
  <si>
    <t>H2UDF, phase II</t>
  </si>
  <si>
    <t>AsturiasH2Valley, Abono</t>
  </si>
  <si>
    <t>Inspira Madrid</t>
  </si>
  <si>
    <t>SolarHy Cordoba</t>
  </si>
  <si>
    <t>Waste to hydrogen Boson Energy (H2-BEAM)</t>
  </si>
  <si>
    <t>Green Hydrogen Kherson region, phase 1</t>
  </si>
  <si>
    <t>UKR</t>
  </si>
  <si>
    <t>Green Hydrogen Kherson region, phase 2</t>
  </si>
  <si>
    <t>Green Hydrogen Kherson region, phase 3</t>
  </si>
  <si>
    <t>Waste to hydrogen Boson Energy (BEH2X NO1)</t>
  </si>
  <si>
    <t>Ruse project
(part of Green Hydrogen @ Blue Danube IPCEI)</t>
  </si>
  <si>
    <t>BGR</t>
  </si>
  <si>
    <t>Emil'Hy- (Phase 1)</t>
  </si>
  <si>
    <t>Emil'Hy- (Phase 2)</t>
  </si>
  <si>
    <t>H2 Pierre-Bénite (Phase 1)</t>
  </si>
  <si>
    <t>CorrHyd'Occ (Occitanie H2 Corridor)</t>
  </si>
  <si>
    <t>Val d'Hygo (Occitanie H2 Corridor)</t>
  </si>
  <si>
    <t>H2 Pilotanlage Lingen, phase 2</t>
  </si>
  <si>
    <t>GET H2 Nukleus, phase 1</t>
  </si>
  <si>
    <t>Green Hydrogen for the City of Cockburn, phase 1</t>
  </si>
  <si>
    <t>Green Hydrogen for the City of Cockburn, phase 2</t>
  </si>
  <si>
    <t>Green Hydrogen for the City of Cockburn, phase 3</t>
  </si>
  <si>
    <t>Green Shepherd</t>
  </si>
  <si>
    <t>H2Kwinana</t>
  </si>
  <si>
    <t>Kwinana Energy Transformation Hub (KETH)</t>
  </si>
  <si>
    <t>Edify Green Hydrogen Project, Lansdown Precint</t>
  </si>
  <si>
    <t>Teesside Hydrogen CO2 Capture/H2NorthEast Phase 1</t>
  </si>
  <si>
    <t>Teesside Hydrogen CO2 Capture/H2NorthEast Phase 2</t>
  </si>
  <si>
    <t>Shell Uniper Humber Hub Blue North Killingholme</t>
  </si>
  <si>
    <t>Wilheimshaven Energy Hub BlueHyNow</t>
  </si>
  <si>
    <t>HydrGEN I</t>
  </si>
  <si>
    <t>EnZaH2</t>
  </si>
  <si>
    <t>HH2 Europe</t>
  </si>
  <si>
    <t>Goßschwechten</t>
  </si>
  <si>
    <t>DUSEDAU</t>
  </si>
  <si>
    <t>GreenMotionSteel</t>
  </si>
  <si>
    <t>CHESS</t>
  </si>
  <si>
    <t>PROMETHEAN</t>
  </si>
  <si>
    <t>HyKero</t>
  </si>
  <si>
    <t>H2Agrar</t>
  </si>
  <si>
    <t>Flughafen Rostock-Laage PtX</t>
  </si>
  <si>
    <t>Waste to hydrogen Boson Energy (BEH2X Wood SWG)</t>
  </si>
  <si>
    <t>Waste to hydrogen Boson Energy (BEH2X DE)</t>
  </si>
  <si>
    <t>HEAL - Hydrogen-based Energy Systems for Arctic Logistics</t>
  </si>
  <si>
    <t>Vätgas Ljungby</t>
  </si>
  <si>
    <t>Barsebäck Hydrogen Hub</t>
  </si>
  <si>
    <t>BotnialänkenH2</t>
  </si>
  <si>
    <t>Rabbalshede Krafts</t>
  </si>
  <si>
    <t>Waste to hydrogen Boson Energy (BEH2X SE)</t>
  </si>
  <si>
    <t>Power2AX</t>
  </si>
  <si>
    <t>SHARC - Sustainable Hydrogen and Recovery of Carbon (phase 1)</t>
  </si>
  <si>
    <t>SHARC - Sustainable Hydrogen and Recovery of Carbon (phase 2)</t>
  </si>
  <si>
    <t>SHARC - Sustainable Hydrogen and Recovery of Carbon (phase 3)</t>
  </si>
  <si>
    <t>H2UDF, phase III</t>
  </si>
  <si>
    <t>Fronius Solhub - SAN Group Herzogenburg</t>
  </si>
  <si>
    <t>Waste to hydrogen Boson Energy (BEH2X PLGM)</t>
  </si>
  <si>
    <t>Waste to hydrogen Boson Energy (BEH2X PLRE)</t>
  </si>
  <si>
    <t>NeptHyne, phase 1</t>
  </si>
  <si>
    <t>NeptHyne, phase 2</t>
  </si>
  <si>
    <t>Dalrymple Bay</t>
  </si>
  <si>
    <t>Santos Port Botany, New South Wales</t>
  </si>
  <si>
    <t>South Australia renewable hydrogen hub</t>
  </si>
  <si>
    <t>AMpHytrite demonstrator, Port of Rotterdam, phase 1</t>
  </si>
  <si>
    <t xml:space="preserve">Svante capture Linde SMR plant (TX) </t>
  </si>
  <si>
    <t>Ain Sokhna plant, Suez Canal Economic Zone (SCZone), phase 1</t>
  </si>
  <si>
    <t>Ain Sokhna plant, Suez Canal Economic Zone (SCZone), phase 2</t>
  </si>
  <si>
    <t>VISION 2025</t>
  </si>
  <si>
    <t>BLUE MED plan- EPHYRA Project</t>
  </si>
  <si>
    <t>Zero Emission Mobility Corridor</t>
  </si>
  <si>
    <t>EHYTRANSP - TS Laevad &amp; H2</t>
  </si>
  <si>
    <t xml:space="preserve"> HYEELIWTS - terminal of Muuga</t>
  </si>
  <si>
    <t>Waste to hydrogen Boson Energy (BEH2X LUX)</t>
  </si>
  <si>
    <t>LUX</t>
  </si>
  <si>
    <t>AM Gent H2 consumption Hub</t>
  </si>
  <si>
    <t>Waste to hydrogen Boson Energy (BEH2X LAVNT)</t>
  </si>
  <si>
    <t>Dimdini H2 ecosystem</t>
  </si>
  <si>
    <t>Hyperion H2 Alandroal- Phase 1</t>
  </si>
  <si>
    <t>Green H2 Setúbal Project</t>
  </si>
  <si>
    <t>Flavian superhybrid</t>
  </si>
  <si>
    <t xml:space="preserve">Advanced Clean Energy Storage (ACES) </t>
  </si>
  <si>
    <t>Plug Power Olin green hydrogen Louisiana</t>
  </si>
  <si>
    <t>Szazhalombatta refinery</t>
  </si>
  <si>
    <t>Ain Sokhna ammonia project - Phase I</t>
  </si>
  <si>
    <t>Masdar Hassan Allam green hydrogen, phase 1</t>
  </si>
  <si>
    <t>Masdar Hassan Allam green hydrogen, phase 2</t>
  </si>
  <si>
    <t>LSB Industries - Pryor green ammonia project, Phase 1</t>
  </si>
  <si>
    <t>Repsol Bilbao port synfuels project</t>
  </si>
  <si>
    <t>Tra Vinh Green hydrogen project, phase 1</t>
  </si>
  <si>
    <t>Tra Vinh Green hydrogen project, phase 2</t>
  </si>
  <si>
    <t>Project Blue (AR)</t>
  </si>
  <si>
    <t>Ferrolterra plant</t>
  </si>
  <si>
    <t>Hydrogen Eagle (Spolana), phase 2</t>
  </si>
  <si>
    <t>Hyways for future, 1st hub</t>
  </si>
  <si>
    <t>Waste-to-hydrogen East Port Said</t>
  </si>
  <si>
    <t>H2 Emden Electrolyzer, phase 1</t>
  </si>
  <si>
    <t>Referenzkraftwerk Lausitz</t>
  </si>
  <si>
    <t>Wenger Engineering Bremerhaven</t>
  </si>
  <si>
    <t xml:space="preserve">Hidroelectrica Ostrovu Mare </t>
  </si>
  <si>
    <t>ROU</t>
  </si>
  <si>
    <t>KEME Energy Sines</t>
  </si>
  <si>
    <t>Hyundai Heavy Industries - HHI East Sea - Phase I</t>
  </si>
  <si>
    <t>Hyundai Heavy Industries - HHI East Sea- Phase II</t>
  </si>
  <si>
    <t>Gron Fuel Renewable Energy Complex</t>
  </si>
  <si>
    <t>Woodside H2OK</t>
  </si>
  <si>
    <t>Avangrid Connecticut project</t>
  </si>
  <si>
    <t>Avangrid Oregon project</t>
  </si>
  <si>
    <t>GH2 Ambès (Phase 1)</t>
  </si>
  <si>
    <t>GH2 Ambès (Phase 2, final)</t>
  </si>
  <si>
    <t>Masshylia</t>
  </si>
  <si>
    <t>H2 Loire Vallée (H2LV)</t>
  </si>
  <si>
    <t>Dijon Métropole Smart EnergHy (DMSE) - Station 1</t>
  </si>
  <si>
    <t>H-Awel</t>
  </si>
  <si>
    <t>Mayflower Hydrogen project</t>
  </si>
  <si>
    <t>Eneus Energy Hammars Hill</t>
  </si>
  <si>
    <t>Tarragona Green Chenical complex, phase 1</t>
  </si>
  <si>
    <t>Tarragona Green Chenical complex, phase 2</t>
  </si>
  <si>
    <t>Tarragona Green Chenical complex, phase 3</t>
  </si>
  <si>
    <t>GAIL Vijaipur project</t>
  </si>
  <si>
    <t>Huadian Baotou City Damaoqi Hydrogen Production Electrolysis Project</t>
  </si>
  <si>
    <t>PetroChina Yumen Oilfield - Phase 1</t>
  </si>
  <si>
    <t>Shandong Weifang Economic Development Zone</t>
  </si>
  <si>
    <t>Anil urea plant</t>
  </si>
  <si>
    <t>HH2E - Met Northeast Germany, phase 1</t>
  </si>
  <si>
    <t>HH2E - Met Northeast Germany, phase 2</t>
  </si>
  <si>
    <t xml:space="preserve">Ferrosilva fossil-free DRI </t>
  </si>
  <si>
    <t>Porte de St Cloud HRS station</t>
  </si>
  <si>
    <t>Zhongyuan Oil Field MW-Scale Renewable P2G, phase 1</t>
  </si>
  <si>
    <t>Zhongyuan Oil Field MW-Scale Renewable P2G, phase 2</t>
  </si>
  <si>
    <t>Da'an Jilin Power Wind-Solar-
Hydrogen-Ammonia Integration Project</t>
  </si>
  <si>
    <t>Chicheng Wind-Hydrogen-Storage Energy Integration Demonstration stage 1</t>
  </si>
  <si>
    <t>Barents Blue ammonia plant, phase 2</t>
  </si>
  <si>
    <t>Barents Blue ammonia plant, phase 3</t>
  </si>
  <si>
    <t xml:space="preserve"> Liquid Wind, FlagshipTWO</t>
  </si>
  <si>
    <t>SALCOS - first expansion - phase 1</t>
  </si>
  <si>
    <t>Nordsee Two Offshore Wind Farm</t>
  </si>
  <si>
    <t>Holland Hydrogen - phase 2</t>
  </si>
  <si>
    <t>H2era</t>
  </si>
  <si>
    <t>Unigel, phase I</t>
  </si>
  <si>
    <t>Unigel, phase II</t>
  </si>
  <si>
    <t>Mmex Resources Corporation</t>
  </si>
  <si>
    <t>Tees Green Hydrogen, phase 1</t>
  </si>
  <si>
    <t>Tees Green Hydrogen, phase 2</t>
  </si>
  <si>
    <t>GravitHy</t>
  </si>
  <si>
    <t>VoltH2 - Delfzijl</t>
  </si>
  <si>
    <t>Navigator - P2X-Europe JV</t>
  </si>
  <si>
    <t>SkyFuelH2</t>
  </si>
  <si>
    <t>C-Zero San Antonio project</t>
  </si>
  <si>
    <t>Viva Energy HRS</t>
  </si>
  <si>
    <t>ReNew Power - Egypt MoU, Hydrogen, phase 1</t>
  </si>
  <si>
    <t>ReNew Power - Egypt MoU, Hydrogen, phase 2</t>
  </si>
  <si>
    <t>ReNew Power - Egypt MoU, Ammonia phase 1</t>
  </si>
  <si>
    <t>ReNew Power - Egypt MoU, Ammonia phase 2</t>
  </si>
  <si>
    <t>Felixstowe Green Hydrogen</t>
  </si>
  <si>
    <t>PanHy, phase 1</t>
  </si>
  <si>
    <t>PanHy, phase 2</t>
  </si>
  <si>
    <t>Marubeni methanation project</t>
  </si>
  <si>
    <t>Saint John, New Brunswick refinery</t>
  </si>
  <si>
    <t>Plug Power Port of Antwerp-Bruges</t>
  </si>
  <si>
    <t>Ineratec PtX plant in Frankfurt</t>
  </si>
  <si>
    <t>Hydrogen City, phase 1</t>
  </si>
  <si>
    <t>Hydrogen City, phase 2</t>
  </si>
  <si>
    <t>Spirit of Scotia Green Hydrogen Production Hub</t>
  </si>
  <si>
    <t>Fleur-de-lys Green Hydrogen Production Hub</t>
  </si>
  <si>
    <t>Pau-Lescar Biofactory</t>
  </si>
  <si>
    <t>MoU Sri Lanka-Greenstat</t>
  </si>
  <si>
    <t>LKA</t>
  </si>
  <si>
    <t>RENEWSTABLE SARDIDROGENO</t>
  </si>
  <si>
    <t>CAGOU – New Caledonia</t>
  </si>
  <si>
    <t>RENEWSTABLE SUMBA</t>
  </si>
  <si>
    <t>Dylan, phase 1</t>
  </si>
  <si>
    <t>Dylan, phase 2</t>
  </si>
  <si>
    <t>WAviatER</t>
  </si>
  <si>
    <t>MoU GGGI, Samsung and Hyundai</t>
  </si>
  <si>
    <t>MoU EEC-Niger</t>
  </si>
  <si>
    <t>NER</t>
  </si>
  <si>
    <t>AGL Energy Torrens Island</t>
  </si>
  <si>
    <t>Tambor Green Hydrogen Hub project</t>
  </si>
  <si>
    <t>MoU Ieasa and Fraunhofer Institute</t>
  </si>
  <si>
    <t>MoU Shell - Acu Port, phase 1</t>
  </si>
  <si>
    <t>MoU Shell - Acu Port, phase 2</t>
  </si>
  <si>
    <t>TAQA &amp; Abu Dhabi Ports</t>
  </si>
  <si>
    <t>Carlton Power hydrogen hub</t>
  </si>
  <si>
    <t>Sun-to-Liquid</t>
  </si>
  <si>
    <t>Synhelion</t>
  </si>
  <si>
    <t>MoU TOYO-Pupuk Indonesia Holding Company</t>
  </si>
  <si>
    <t>ACME Tamil Nadu plant - Chidambaranar port</t>
  </si>
  <si>
    <t>EDP Pecem pilot</t>
  </si>
  <si>
    <t>First Ammonia plant in Brunsbüttel</t>
  </si>
  <si>
    <t>Aeropuerto de Santiago</t>
  </si>
  <si>
    <t>CenterPoint Minneapolis grren hydrogen</t>
  </si>
  <si>
    <t xml:space="preserve">Nesbruket Gen2 plant 1, Mosjøen   </t>
  </si>
  <si>
    <t xml:space="preserve">Gen2 Energy, Åfjord </t>
  </si>
  <si>
    <t xml:space="preserve">Gen2 Energy, Meråker    </t>
  </si>
  <si>
    <t>HTEC Burnaby plant</t>
  </si>
  <si>
    <t>Lion Energy HRS</t>
  </si>
  <si>
    <t>Norwegian Hydrogen, Hellesylt Hydrogen Hub 1st project</t>
  </si>
  <si>
    <t>RIC Energy Valladolid -phase 1</t>
  </si>
  <si>
    <t>Ansasol - Castilla y León</t>
  </si>
  <si>
    <t>Cartagena refinery</t>
  </si>
  <si>
    <t>Barrancabermeja refinery</t>
  </si>
  <si>
    <t>Grey2Green (Phase I)</t>
  </si>
  <si>
    <t>BrintØ - Hydrogen Island</t>
  </si>
  <si>
    <t>University of New South Wales biomass demo</t>
  </si>
  <si>
    <t>Fortescue Future Industries -  Industrial Park at TransAlta coal mine conversion</t>
  </si>
  <si>
    <t>MadoquaPower2X - Sines - phase 1</t>
  </si>
  <si>
    <t>River Wind Ukraine, phase1</t>
  </si>
  <si>
    <t>River Wind Ukraine, phase 2</t>
  </si>
  <si>
    <t>River Wind Ukraine, phase 3</t>
  </si>
  <si>
    <t>Jangada</t>
  </si>
  <si>
    <t>Iverson e-fuels</t>
  </si>
  <si>
    <t>Sunrhyse</t>
  </si>
  <si>
    <t>HYNOVERA (Phase 1)</t>
  </si>
  <si>
    <t>HIF USA</t>
  </si>
  <si>
    <t>HIF Asia Pacific</t>
  </si>
  <si>
    <t xml:space="preserve">Great Southern Project </t>
  </si>
  <si>
    <t>MoU Lhyfe-wpd</t>
  </si>
  <si>
    <t xml:space="preserve">Kogas plant in Haengwon </t>
  </si>
  <si>
    <t>MoU Fortescue Future Industries-Djibouti</t>
  </si>
  <si>
    <t>DJI</t>
  </si>
  <si>
    <t>Niagara Hydrogen Centre (NHC)</t>
  </si>
  <si>
    <t>E-methanol plant in Singapore</t>
  </si>
  <si>
    <t>Eyre Peninsula Gateway Hydrogen Project, phase 2</t>
  </si>
  <si>
    <t>H2U Offshore ANCAP</t>
  </si>
  <si>
    <t>Hyport@Duqm, phase 2</t>
  </si>
  <si>
    <t>CF Industries blue ammonia Blue Point (LA)</t>
  </si>
  <si>
    <t>P2X Europe - Nordic Electrofuel Porsgrunn project, phase 1</t>
  </si>
  <si>
    <t>TAZIZ project, MoU ADNOC, ENEOS, Mitsui, phase 1</t>
  </si>
  <si>
    <t>TAZIZ project, MoU ADNOC, ENEOS, Mitsui, phase 2</t>
  </si>
  <si>
    <t>MoU Shell - Mitsubishi, phase1</t>
  </si>
  <si>
    <t>MoU Shell - Mitsubishi, phase2</t>
  </si>
  <si>
    <t>Liberty Biomass to ammonia (western Australia)</t>
  </si>
  <si>
    <t>MEPAU Mid West CCUS hub</t>
  </si>
  <si>
    <t>H2 Industries waste to hydrogen plant</t>
  </si>
  <si>
    <t>Amun, phase 1</t>
  </si>
  <si>
    <t>First Hydrogen - Liverpool</t>
  </si>
  <si>
    <t>First Hydrogen - Manchester</t>
  </si>
  <si>
    <t>First Hydrogen - London</t>
  </si>
  <si>
    <t>First Hydrogen - Thames Estuary</t>
  </si>
  <si>
    <t>H2 hub Darwin</t>
  </si>
  <si>
    <t>Hydrogen Energy Metallurgical Chemical Demonstration Zone, 1</t>
  </si>
  <si>
    <t>Hydrogen Energy Metallurgical Chemical Demonstration Zone, 2</t>
  </si>
  <si>
    <t>Prieska ammonia project, phase 1</t>
  </si>
  <si>
    <t>Prieska ammonia project, phase 2</t>
  </si>
  <si>
    <t>Ammonia Iowa project</t>
  </si>
  <si>
    <t>Inverness hydrogen hub - Phase 1</t>
  </si>
  <si>
    <t>Sohar Port, Steel Industry, phase 1</t>
  </si>
  <si>
    <t>Sohar Port, Steel Industry, phase 2</t>
  </si>
  <si>
    <t>ACME Odisha Plant</t>
  </si>
  <si>
    <t>Energy Hub at MIRA Technology Park.</t>
  </si>
  <si>
    <t>CF Industries and Mitsui Blue ammonia complex (LA)</t>
  </si>
  <si>
    <t>Asahi Kasei pilot</t>
  </si>
  <si>
    <t>Linde Hellas - Mandra</t>
  </si>
  <si>
    <t>White Martins Pernambuco</t>
  </si>
  <si>
    <t>Denham Hydrogen Demonstration Plant</t>
  </si>
  <si>
    <t>Estación Andes</t>
  </si>
  <si>
    <t>Vallée Hydrogène Grand Ouest (VHyGO) - H2 Ouest (Phase 2)</t>
  </si>
  <si>
    <t>Lhyfe Bretagne - Buléon</t>
  </si>
  <si>
    <t>PetroChina Yumen Oilfield - Phase 2</t>
  </si>
  <si>
    <t>Azolla Hydrogen - Cal State demonstration</t>
  </si>
  <si>
    <t>H2 Green City, phase 1</t>
  </si>
  <si>
    <t>H2 Green City, phase 2</t>
  </si>
  <si>
    <t>Jeju demostration project</t>
  </si>
  <si>
    <t>Kashiwazaki Clean Hydrogen/Ammonia Project Niigata demonstration</t>
  </si>
  <si>
    <t>Grandpuits biorefinery</t>
  </si>
  <si>
    <t>Sur hydrogen cluster</t>
  </si>
  <si>
    <t>BP Alternative Energy Investments project, Duqm</t>
  </si>
  <si>
    <t>BP Alternative Energy Investments projects, Dhofar</t>
  </si>
  <si>
    <t>Plug Power Charleston, Tenesse (former United Hydrogen)</t>
  </si>
  <si>
    <t>Plug Power Charleston, Tenesse (former United Hydrogen), expansion 1</t>
  </si>
  <si>
    <t>Plug Power Charleston, Tenesse (former United Hydrogen), expansion 2</t>
  </si>
  <si>
    <t>Sany Heavy Energy Wind, Solar, Hydrogen, storage and Ammonia Integrated Demostration Project</t>
  </si>
  <si>
    <t>China Nuclear Wind Storage Hydrogen and Ammonia Demostration Project</t>
  </si>
  <si>
    <t>Chifeng Energy Internet of Things Zero Carbon Hydrogen Ammonia Demostration Project- Phase 1</t>
  </si>
  <si>
    <t xml:space="preserve">China Power Construction Chifeng Hydrogen Demonstration Project </t>
  </si>
  <si>
    <t>Shengyuan Energy wind-solar hydrogen production and station project</t>
  </si>
  <si>
    <t>Tengger Wind-solar Hydrogen Production Demostration Project</t>
  </si>
  <si>
    <t>Ordos Kubuqi Wind and Solar Hydrogen Production Demostration Project</t>
  </si>
  <si>
    <t>New energy hydrogen production and co-production carbon-free fuel demostration project</t>
  </si>
  <si>
    <t>Ulanqab Wind Solar Hydrogen and Ammonia Integrated Demostration project</t>
  </si>
  <si>
    <t>Trafford Low Carbon Energy Park  - phase 2</t>
  </si>
  <si>
    <t>NTPC Green Hydrogen Blending Project (Kawas, Surat)</t>
  </si>
  <si>
    <t>NTPC Green Hydrogen Mobility Project - Delhi</t>
  </si>
  <si>
    <t>Wyhlen hydroelectric power plant, expansion</t>
  </si>
  <si>
    <t>Wilhelmshaven - VoltH2</t>
  </si>
  <si>
    <t>Prince George HRS</t>
  </si>
  <si>
    <t>Flins Plant - HYVIA</t>
  </si>
  <si>
    <t>Hynoca Alkmaar</t>
  </si>
  <si>
    <t>H2UB Laren</t>
  </si>
  <si>
    <t>Cleanup Gas</t>
  </si>
  <si>
    <t>GROHW</t>
  </si>
  <si>
    <t>NASA’s Ames Research Center</t>
  </si>
  <si>
    <t>H2Stroom</t>
  </si>
  <si>
    <t>H2Agro</t>
  </si>
  <si>
    <t>H2ARVESTER</t>
  </si>
  <si>
    <t>Narvik - Ammonia project- Phase 1</t>
  </si>
  <si>
    <t>Constellation - Nine Mile Point Nuclear Plant</t>
  </si>
  <si>
    <t>Green Marlin</t>
  </si>
  <si>
    <t>Project Iracema - Ammonia project in Port of Pecem</t>
  </si>
  <si>
    <t>Amun, phase 2</t>
  </si>
  <si>
    <t>Collinsvile Energy hub - Han Ho</t>
  </si>
  <si>
    <t>Synthetic methane Cameron terminal to Japan</t>
  </si>
  <si>
    <t>Pauna Greener Future - NH3 (phase 2)</t>
  </si>
  <si>
    <t>Cepsa San Roque Energy Park (Algeciras) - Andalucian Green Hydrogen Valley
Carteia Project - Phase 1</t>
  </si>
  <si>
    <t>Cepsa La Rábida Energy Park (Huelva) - phase 1 - Andalucian Green Hydrogen Valley
Onuba Project (Together with THARSIS: LUXIA project)</t>
  </si>
  <si>
    <t>Scatec e-Methanol - first project</t>
  </si>
  <si>
    <t>Danish nuclear in Indonesia</t>
  </si>
  <si>
    <t>Petrobrazi Refinery - Green H2</t>
  </si>
  <si>
    <t>ACWA Power - Green H2 - Phase 1</t>
  </si>
  <si>
    <t>UZB</t>
  </si>
  <si>
    <t>ACWA Power - Green H2 - Phase 2</t>
  </si>
  <si>
    <t>Hellenic Hydrogen in  Western Macedonia</t>
  </si>
  <si>
    <t>Hycamite CSF Plant</t>
  </si>
  <si>
    <t>MEG HP1</t>
  </si>
  <si>
    <t>Arrowsmith Hydrogen Project, phase 3</t>
  </si>
  <si>
    <t>Arrowsmith Hydrogen Project, phase 4</t>
  </si>
  <si>
    <t>Valle Peligna Green Hydrogen Project</t>
  </si>
  <si>
    <t>Port Taranaki - Infinite Green Energy</t>
  </si>
  <si>
    <t>Petrofac Ain Sokhna Ammonia project</t>
  </si>
  <si>
    <t>Proton Energy DEMO in Saskatchewan</t>
  </si>
  <si>
    <t>Proton Energy Commercial stage in Saskatchewan</t>
  </si>
  <si>
    <t>Plug Power Kokkola plant</t>
  </si>
  <si>
    <t>Plug Power Kristinestad plant</t>
  </si>
  <si>
    <t>Plug Power Porvoo plant</t>
  </si>
  <si>
    <t>GH2SOTO, phase 1</t>
  </si>
  <si>
    <t>GH2SOTO, phase 2</t>
  </si>
  <si>
    <t>AIRA H2</t>
  </si>
  <si>
    <t>H2BCNHUB</t>
  </si>
  <si>
    <t>Industrias Quimicas Del Oxido De Etileno</t>
  </si>
  <si>
    <t>Green HyChemical Huelva</t>
  </si>
  <si>
    <t>H2 PILLAR</t>
  </si>
  <si>
    <t>Green hydrogen Projecte Alperujo/Jaen</t>
  </si>
  <si>
    <t>Tree Energy Solutions (TES) - TotalEnergies TX plant (Live Oak)</t>
  </si>
  <si>
    <t>Energie Steiermark plant in Styria</t>
  </si>
  <si>
    <t>Energie Steiermark plant in Styrua, expansion</t>
  </si>
  <si>
    <t>Tierra del Fuego green hydrogen project</t>
  </si>
  <si>
    <t>Point Tupper green hydrogen project, phase 1</t>
  </si>
  <si>
    <t>Greenb2e - Valencia</t>
  </si>
  <si>
    <t>Besaya H2</t>
  </si>
  <si>
    <t>Castellon Port</t>
  </si>
  <si>
    <t>BotH2nia - Flexens Kokkola</t>
  </si>
  <si>
    <t>Ord Hydrogen Project</t>
  </si>
  <si>
    <t>WAH2 Blue  Ammonia Project - phase 1</t>
  </si>
  <si>
    <t>WAH2 Blue  Ammonia Project - phase 2</t>
  </si>
  <si>
    <t>Asian Renewable Energy Hub, completion</t>
  </si>
  <si>
    <t>MoU China General Nuclear Power Group - Quinto Energy</t>
  </si>
  <si>
    <t>Ineratec Port of Amsterdam</t>
  </si>
  <si>
    <t>Point Tupper green hydrogen project, phase 2</t>
  </si>
  <si>
    <t>ACWA Power - Large scale H2 project</t>
  </si>
  <si>
    <t>Adelaida project</t>
  </si>
  <si>
    <t>H2 plant Wilbarger County</t>
  </si>
  <si>
    <t>Hydrogen Power South Australia</t>
  </si>
  <si>
    <t>Bristol Springs Solar Hydrogen Project</t>
  </si>
  <si>
    <t>Xcel Energy's Minnesota nuclear plant</t>
  </si>
  <si>
    <t>Porto Central</t>
  </si>
  <si>
    <t>Unigel, phase III</t>
  </si>
  <si>
    <t>Pembina low carbon complex</t>
  </si>
  <si>
    <t>Cepsa La Rábida Energy Park (Huelva) - phase 3 - Andalusian Green Hydrogen Valley
ONUBA II Project</t>
  </si>
  <si>
    <t>Evergreen Project</t>
  </si>
  <si>
    <t>TES- Green Energy Hub - Wilhelmshaven Port</t>
  </si>
  <si>
    <t>Guelmim-Oued Noun - Chbika project - phase 1</t>
  </si>
  <si>
    <t>Madoqua E-methanol</t>
  </si>
  <si>
    <t>Paysandu green hydrogen project</t>
  </si>
  <si>
    <t xml:space="preserve">Iberdrola - Trammo green hydrogen </t>
  </si>
  <si>
    <t>H2HubNS</t>
  </si>
  <si>
    <t>Hygenco Demonstration Plant</t>
  </si>
  <si>
    <t>Hygenco JSL Plant</t>
  </si>
  <si>
    <t>Exxonmobil Antwerp Refinery CCS</t>
  </si>
  <si>
    <t>CNPC China Northwest (Xinjiang) hub refinery hydrogen</t>
  </si>
  <si>
    <t>H2GE Rostock</t>
  </si>
  <si>
    <t>Prax Lindsey Oil Refinery Phase 2</t>
  </si>
  <si>
    <t>Project Cavendish, phase2</t>
  </si>
  <si>
    <t>Centrica Equinor hydrogen hub Easington collaboration</t>
  </si>
  <si>
    <t>Balikpapan Refinery</t>
  </si>
  <si>
    <t>Dalstur Energy Coal India coal hydrogen</t>
  </si>
  <si>
    <t>Indian Oil Corporation Koyali refinery</t>
  </si>
  <si>
    <t>ENI Venice bio-refinery Porto Marghera (Ravenna phase 2)</t>
  </si>
  <si>
    <t>Yara Sluiskil fertiliser</t>
  </si>
  <si>
    <t>Omifco ammonia capture</t>
  </si>
  <si>
    <t>Enbridge Ingleside Energy Center Low carbon ammonia (TX)</t>
  </si>
  <si>
    <t>Northern Plains Nitrogen Blue ammonia (ND)</t>
  </si>
  <si>
    <t>Linde hydrogen plant for OCI fertilizer blue ammonia Beaumont (Texas)</t>
  </si>
  <si>
    <t>CF Industries blue ammonia Yazoo (LA)</t>
  </si>
  <si>
    <t>Ascension Clean Energy (ACE) complex (LA)</t>
  </si>
  <si>
    <t>OCI Fertilizer plant phase 1 (IA)</t>
  </si>
  <si>
    <t>OCI Fertilizer plant phase 2 (IA)</t>
  </si>
  <si>
    <t>Lone Cypress Hydrogen project (CA)</t>
  </si>
  <si>
    <t>Integratred clean ammonia production, Port of Corpus Christi (TX) phase 1</t>
  </si>
  <si>
    <t>Integratred clean ammonia production, Port of Corpus Christi (TX) phase 2</t>
  </si>
  <si>
    <t>Advanced CO2 Capture from Hydrogen Production Unit at Phillips 66 Rodeo Refinery (CA)</t>
  </si>
  <si>
    <t>Linde-BASF capture SMR plant Covent (LA)</t>
  </si>
  <si>
    <t>Blue Biston ATR advanced CCUS system (WY)</t>
  </si>
  <si>
    <t>Carbon Capture on Air Liquide US Gulf Coast Steam Methane Reformer Using the CryocapTM FG Process (TX)</t>
  </si>
  <si>
    <t>Combined Carbon Capture Solution on Air Liquide Northern California Steam Methane Reformer (CA)</t>
  </si>
  <si>
    <t>Jindal - Suez Canal Economic Zone authority  green steel project</t>
  </si>
  <si>
    <t>Atome - La Villeta</t>
  </si>
  <si>
    <t>Langage Energy Park - Carlton Power</t>
  </si>
  <si>
    <t>Pamesa - eCombustible, full replacement of natural gas</t>
  </si>
  <si>
    <t>Freedom Pines Fuels</t>
  </si>
  <si>
    <t>Fortescue Future Industries - Egypt</t>
  </si>
  <si>
    <t>First Ammonia Port of Victoria</t>
  </si>
  <si>
    <t>Hy2B plant in Pfeffenhausen</t>
  </si>
  <si>
    <t>POSCO green ammonia plant</t>
  </si>
  <si>
    <t>BLUE SKY 300</t>
  </si>
  <si>
    <t>Kenya Electricity Generating Company pilot shceme</t>
  </si>
  <si>
    <t xml:space="preserve">MoU CWP - Ministry of Energy and Natural Resources </t>
  </si>
  <si>
    <t>Mexican Green Hydrogen Hub, phase 2</t>
  </si>
  <si>
    <t>HyMed</t>
  </si>
  <si>
    <t>NWTN - CMEC Middle East green hydrogen plant</t>
  </si>
  <si>
    <t>Plant Zero.1</t>
  </si>
  <si>
    <t xml:space="preserve">Trecwn Green Energy Hub </t>
  </si>
  <si>
    <t>Icarus</t>
  </si>
  <si>
    <t>Julio Verne project</t>
  </si>
  <si>
    <t>Lhyfe Delfzijl</t>
  </si>
  <si>
    <t>SGP BioEnergy biorefiney</t>
  </si>
  <si>
    <t>PAN</t>
  </si>
  <si>
    <t>Smartenergy Porto Torres, phase 1</t>
  </si>
  <si>
    <t>Smartenergy Porto Torres, phase 3</t>
  </si>
  <si>
    <t>Statkraft-Foresight Cheshire</t>
  </si>
  <si>
    <t>Cobra Castellón</t>
  </si>
  <si>
    <t>Cobra Cartagena</t>
  </si>
  <si>
    <t>Gente Grande project - TEG Chile Magallanes</t>
  </si>
  <si>
    <t>Jingneng Coal-to-Chemical Renewable Green Hydrogen Alternative Demostration Project</t>
  </si>
  <si>
    <t>Jingneng Chagannur Wind Poer Hydrogen Production Project</t>
  </si>
  <si>
    <t>China Energy Construction Green Power Hydrogen Production and Ammonia Demostration Project</t>
  </si>
  <si>
    <t>China Datang wind-solar hydrogen production demostration project</t>
  </si>
  <si>
    <t>CHN Energy Wind-solar hydrogen ammonia  + Low-carbon parkdemostration Project</t>
  </si>
  <si>
    <t>Green Ammonia Linz – Decarbonizing Chemical Processes with Water Electrolysis (Gramli)</t>
  </si>
  <si>
    <t>AES Brazil - Port of Pecem</t>
  </si>
  <si>
    <t>Yeosu Blue Hydrogen Project</t>
  </si>
  <si>
    <t>H2 - Jurong Island</t>
  </si>
  <si>
    <t>Carbon Governance  green hydrogen project, phase 1</t>
  </si>
  <si>
    <t>Carbon Governance  green hydrogen project, phase 2</t>
  </si>
  <si>
    <t>Carbon Governance  green hydrogen project, phase 3</t>
  </si>
  <si>
    <t>MoU IHI-Enoc</t>
  </si>
  <si>
    <t>Fortescue Future Industries - Windlab - Queensland hub, phase 1</t>
  </si>
  <si>
    <t>HDF MSR-Zimbawe (Manicaland)</t>
  </si>
  <si>
    <t>KEPCO, Korea Southern Power, KNOC, Samsun, Posco</t>
  </si>
  <si>
    <t>ReNu - Countrywide Hydrogen - Anantara Energy Holdings MoU</t>
  </si>
  <si>
    <t>PTT - Egat - ACWA MoU</t>
  </si>
  <si>
    <t>Clean Energy Holdings - Clear Fork, phase 1</t>
  </si>
  <si>
    <t>Electus Energy - Bakersfield</t>
  </si>
  <si>
    <t>MercurHy, phase 1</t>
  </si>
  <si>
    <t>MercurHy, phase 2</t>
  </si>
  <si>
    <t>MercurHy, phase 3</t>
  </si>
  <si>
    <t>Orsted - Skovgaard Energy project in western Denmark</t>
  </si>
  <si>
    <t>Meirama, phase 2</t>
  </si>
  <si>
    <t>First Hydrogen - Shawinigan</t>
  </si>
  <si>
    <t>Blastr Green Steel - Inkoo</t>
  </si>
  <si>
    <t xml:space="preserve"> Liquid Wind, Flagship 3rd plant</t>
  </si>
  <si>
    <t xml:space="preserve">Greenko ZeroC - Kakinada city </t>
  </si>
  <si>
    <t>Enap - Cabo Negro</t>
  </si>
  <si>
    <t>Hydrogen Offshore Production Europe (HOPE)</t>
  </si>
  <si>
    <t xml:space="preserve">Linde - Fort Saskatchewan </t>
  </si>
  <si>
    <t>Yara-BASF Gulf Coast</t>
  </si>
  <si>
    <t>SSE Aldbrough storage site</t>
  </si>
  <si>
    <t>Kintore Scotland Hydrogen project - phase 1</t>
  </si>
  <si>
    <t>Kintore Scotland Hydrogen project - phase 2</t>
  </si>
  <si>
    <t>Rosedale Green Hydrogen project</t>
  </si>
  <si>
    <t>Mauritania - Green Ammonia project - phase 1</t>
  </si>
  <si>
    <t>Mauritania - Green Ammonia project - phase 2</t>
  </si>
  <si>
    <t>Rio Grande do Sul</t>
  </si>
  <si>
    <t>Alesund green hydrogen project - phase 1 - FjordH2</t>
  </si>
  <si>
    <t>Alesund green hydrogen project - phase 2 - FjordH2</t>
  </si>
  <si>
    <t>EWE - Clean Hydrogen Coastline, project Bremen</t>
  </si>
  <si>
    <t>Valle H2 Navarra project</t>
  </si>
  <si>
    <t>Saltend Chemicals Park - Hull</t>
  </si>
  <si>
    <t>Liquid Organic Hydrogen Carrier (LOHC) for Hydrogen Transport from Scotland (LHyTS)</t>
  </si>
  <si>
    <t>Kunming Engineering Corporation - Fengzhen (Ulanbaq)</t>
  </si>
  <si>
    <t>Borna Hydrogen Plant, phase 1</t>
  </si>
  <si>
    <t>Borna Hydrogen Plant, phase 2</t>
  </si>
  <si>
    <t>Hybla Project</t>
  </si>
  <si>
    <t xml:space="preserve">Votalia - Taqa Arabia -phase 2 </t>
  </si>
  <si>
    <t>Nujio'qonik Green Hydrogen -phase 1</t>
  </si>
  <si>
    <t>RIC Energy Valladolidm -phase 2</t>
  </si>
  <si>
    <t>Puertollano HydRIC project Phase II</t>
  </si>
  <si>
    <t>Ground Investment Corp (GIC) - green hydrogen project</t>
  </si>
  <si>
    <t>Nascar</t>
  </si>
  <si>
    <t>Vientos Magallanicos</t>
  </si>
  <si>
    <t>Dow Stade</t>
  </si>
  <si>
    <t>Swiss Liquid Future - Elkem, methanol plant</t>
  </si>
  <si>
    <t>Eastern Cape MeOH plant</t>
  </si>
  <si>
    <t>Maersk - Ørsted methanol Gulf plant</t>
  </si>
  <si>
    <t>Maersk - Carbon Sink methanol plant</t>
  </si>
  <si>
    <t>H2 Emden Electrolyzer, phase 2</t>
  </si>
  <si>
    <t>GreenGo Tarm plant (Megaton)</t>
  </si>
  <si>
    <t>Element Resources - Lancaster</t>
  </si>
  <si>
    <t>Solar methanol</t>
  </si>
  <si>
    <t>ScaleH2</t>
  </si>
  <si>
    <t>Omnia - WKN Windcurrent  green ammonia plant</t>
  </si>
  <si>
    <t xml:space="preserve">Brooge Renewable Energy's (BRE) renewable ammonia plant </t>
  </si>
  <si>
    <t>Pronghorn H2</t>
  </si>
  <si>
    <t>Gobi H2</t>
  </si>
  <si>
    <t>MNG</t>
  </si>
  <si>
    <t>Sustainable Fuels Group - CIP Carbon reduced Ammonia plant St Rose (LA)</t>
  </si>
  <si>
    <t xml:space="preserve">China State Shipbuilding (CSSC) green hydrogen project in Tong Liao </t>
  </si>
  <si>
    <t>Hy2gen Yucatan Marengo project,  1</t>
  </si>
  <si>
    <t>Hy2gen Yucatan Marengo project,  2</t>
  </si>
  <si>
    <t>JGC - Asahi Kasei demo ammonia plant</t>
  </si>
  <si>
    <t>GuofuHee - CMEC - Longyuan Power grren H2 plant in Inner Mongolia</t>
  </si>
  <si>
    <t>Lhyfe Bade-Würtemberg</t>
  </si>
  <si>
    <t>Fiume Santo, demo plant</t>
  </si>
  <si>
    <t>Fiume Santo, comercial plant</t>
  </si>
  <si>
    <t>OX2 Neptunus Hub</t>
  </si>
  <si>
    <t>Urbaser methanol plant, phase 1</t>
  </si>
  <si>
    <t>Urbaser methanol plant, phase 2</t>
  </si>
  <si>
    <t>Los Barrios coal plant, Cadiz, phase 2</t>
  </si>
  <si>
    <t>Los Barrios coal plant, Cadiz, phase 3</t>
  </si>
  <si>
    <t>Hydrogen Utopia waste-to-plastic plant</t>
  </si>
  <si>
    <t>Come By Chance refinery</t>
  </si>
  <si>
    <t>Holmaneset Project (GAP FFI Holmaneset)</t>
  </si>
  <si>
    <t>Onyx plant - Port of Rotterdam</t>
  </si>
  <si>
    <t>Ecopetrol green methanol and biofuel project</t>
  </si>
  <si>
    <t>Chubu Electric Power - Chiyoda - Hazer, phase 1</t>
  </si>
  <si>
    <t>Chubu Electric Power - Chiyoda - Hazer, phase 2</t>
  </si>
  <si>
    <t>Adams Fork Energy (WV)</t>
  </si>
  <si>
    <t>Horizonte de Verano - Summer Horizon - phase 1</t>
  </si>
  <si>
    <t>Pampas</t>
  </si>
  <si>
    <t>Bear Head Energy - Nova Scotia project</t>
  </si>
  <si>
    <t>Hive H2 Albamed, phase 1</t>
  </si>
  <si>
    <t>Hive H2 Albamed, phase 2</t>
  </si>
  <si>
    <t>Achema - green hydrogen plant</t>
  </si>
  <si>
    <t>CF's Verdigris Complex (OK)</t>
  </si>
  <si>
    <t>Dominica Geothermal Development Company - Kenesjay green hydrogen plant</t>
  </si>
  <si>
    <t>DMA</t>
  </si>
  <si>
    <t>ErasmoPower2X</t>
  </si>
  <si>
    <t>Electrolysis Corridor East Germany (H2 Corridor)</t>
  </si>
  <si>
    <t>Green Pegasus</t>
  </si>
  <si>
    <t>H2Montoir</t>
  </si>
  <si>
    <t xml:space="preserve">JSW Steel </t>
  </si>
  <si>
    <t>Idemitsu Refinery - H2 from municipal waste</t>
  </si>
  <si>
    <t>Port of Argentia</t>
  </si>
  <si>
    <t>Solatio - Ammonia project state of Piaui (phase I)</t>
  </si>
  <si>
    <t>Solatio - Ammonia project Parnaiba export zone (phases II to VI)</t>
  </si>
  <si>
    <t>Koping - Waste-to-Hydrogen</t>
  </si>
  <si>
    <t>Hydrogen for self-sufficiency</t>
  </si>
  <si>
    <t xml:space="preserve">H2 production for a H2 Fuell station </t>
  </si>
  <si>
    <t>Hydrogen for fuel cell testing and heat recovery</t>
  </si>
  <si>
    <t>Repsol Tarragona, phase 1</t>
  </si>
  <si>
    <t>Breogan project</t>
  </si>
  <si>
    <t>BalticSeaH2</t>
  </si>
  <si>
    <t>Puertollano HydRIC project Phase I</t>
  </si>
  <si>
    <t>Calix green steel plant</t>
  </si>
  <si>
    <t>HYRO  3 Northfleet- Kimberly-Clark project (2 pamts)</t>
  </si>
  <si>
    <t>IAM Caecius</t>
  </si>
  <si>
    <t>Green Port Langosteira</t>
  </si>
  <si>
    <t>Raven Iberia Zaragoza waste-to-hydrogen plant</t>
  </si>
  <si>
    <t>Invenergy Port of Grays Harbor</t>
  </si>
  <si>
    <t>Lhyfe - Schaeffler Group plant in Herzogenaurach</t>
  </si>
  <si>
    <t>Sungas first green methanol facility</t>
  </si>
  <si>
    <t>Barataria - pHYnix</t>
  </si>
  <si>
    <t>RDSF - Metacon MoU</t>
  </si>
  <si>
    <t>Bradford Low Carbon Hydrogen</t>
  </si>
  <si>
    <t>Cromarty Hydrogen Project - phase 1</t>
  </si>
  <si>
    <t>H2 Production Plant at High Marnham</t>
  </si>
  <si>
    <t>HyBont</t>
  </si>
  <si>
    <t>Quill 2</t>
  </si>
  <si>
    <t>West South Wales Hydrogen Project</t>
  </si>
  <si>
    <t>Suntory Hakushu Distillery and Suntory Minami Alps Hakushu Water Plant</t>
  </si>
  <si>
    <t>Biomass-to-Hydrogen project</t>
  </si>
  <si>
    <t>OCP Group Ammonia project</t>
  </si>
  <si>
    <t>Methanol Plant - Puglia</t>
  </si>
  <si>
    <t>Hydrogen from Biomass</t>
  </si>
  <si>
    <t>Hydrogen Micro Hub</t>
  </si>
  <si>
    <t>Navarra hydrogen project</t>
  </si>
  <si>
    <t>Indaver</t>
  </si>
  <si>
    <t>Bord Na Mona &amp; BOC hydrogen project</t>
  </si>
  <si>
    <t>Mercury Renewables H2 Project</t>
  </si>
  <si>
    <t>Green Atlantic at Moneypoint project</t>
  </si>
  <si>
    <t>EI-H2 project</t>
  </si>
  <si>
    <t>Duisburg Harbor</t>
  </si>
  <si>
    <t>Ammonia project Jordan</t>
  </si>
  <si>
    <t>JOR</t>
  </si>
  <si>
    <t>FertigHy second plant</t>
  </si>
  <si>
    <t>Daystar Energy - Columboola Renewable Energy Hub (CREH)</t>
  </si>
  <si>
    <t>Kumbarilla Renewable Energy Park (K-REP) - phase 1</t>
  </si>
  <si>
    <t>Kumbarilla Renewable Energy Park (K-REP)- phase 2</t>
  </si>
  <si>
    <t xml:space="preserve">Three Gorges Corp.'s Inner Mongolia project </t>
  </si>
  <si>
    <t>Twelve Moses Lake SAF project</t>
  </si>
  <si>
    <t>Nujio'qonik Green Hydrogen -phase 2</t>
  </si>
  <si>
    <t>Shanghai Chemical Industry Park</t>
  </si>
  <si>
    <t>Terranova Hydrogen</t>
  </si>
  <si>
    <t>Denain - Phase I</t>
  </si>
  <si>
    <t>Denain - Phase II</t>
  </si>
  <si>
    <t>CarlHYng</t>
  </si>
  <si>
    <t>Alp’Hyne</t>
  </si>
  <si>
    <t>H2BYCOL</t>
  </si>
  <si>
    <t>Angeles Link</t>
  </si>
  <si>
    <t>ACME SCZONE Green Ammonia Plant</t>
  </si>
  <si>
    <t>Globeleq green hydrogen project, phase 1</t>
  </si>
  <si>
    <t>Globeleq green hydrogen project, phase 2</t>
  </si>
  <si>
    <t>Daures Green Hydrogen Village, phase 1</t>
  </si>
  <si>
    <t>Daures Green Hydrogen Village, phase 2</t>
  </si>
  <si>
    <t>Daures Green Hydrogen Village, phase 3</t>
  </si>
  <si>
    <t>Daures Green Hydrogen Village, phase 4</t>
  </si>
  <si>
    <t>Hynamics Dunkirk</t>
  </si>
  <si>
    <t>Hynamics Martres-Tolosane</t>
  </si>
  <si>
    <t>Vitry H2</t>
  </si>
  <si>
    <t>Hynamics LH2</t>
  </si>
  <si>
    <t>Hynamics VSGP</t>
  </si>
  <si>
    <t>Hynamics Cannes</t>
  </si>
  <si>
    <t>Hynamics Hydom</t>
  </si>
  <si>
    <t>Take Kair</t>
  </si>
  <si>
    <t>Holyhead Hub</t>
  </si>
  <si>
    <t>Stanwell Power Station - Hysata DEMO</t>
  </si>
  <si>
    <t>Eni Sannazzaro Waste to Methanol/H2</t>
  </si>
  <si>
    <t>H2H Saltend, phase 2</t>
  </si>
  <si>
    <t>Sines Repsol, phase 1</t>
  </si>
  <si>
    <t>Electrolyzers with "network related function" in Apulia - Phase 2</t>
  </si>
  <si>
    <t>Electrolyzers with "network related function" in Sicily - Phase 1</t>
  </si>
  <si>
    <t>Electrolyzers with "network related function" in Sicily - Phase 2</t>
  </si>
  <si>
    <t>IdrogeMO</t>
  </si>
  <si>
    <t>H2@Hydro</t>
  </si>
  <si>
    <t>Pauna Greener Future - H2 (phase 1)</t>
  </si>
  <si>
    <t>Kalisaya - stage 1</t>
  </si>
  <si>
    <t>Kalisaya - stage 2</t>
  </si>
  <si>
    <t>Kalisaya - stage 3</t>
  </si>
  <si>
    <t>Zorzal Project</t>
  </si>
  <si>
    <t>Renewastable Kosten Aike</t>
  </si>
  <si>
    <t>H2 Genesis Project</t>
  </si>
  <si>
    <t>San Pedro Mining Project</t>
  </si>
  <si>
    <t>Pionero Project</t>
  </si>
  <si>
    <t>Biomethane and hydrogen production from biomass</t>
  </si>
  <si>
    <t>Green Urea production in Colombia</t>
  </si>
  <si>
    <t>Prothium</t>
  </si>
  <si>
    <t>Deuterium</t>
  </si>
  <si>
    <t>Sumitomo Corporation Mobility</t>
  </si>
  <si>
    <t>TW Solar Sucre</t>
  </si>
  <si>
    <t>TGI LOHC</t>
  </si>
  <si>
    <t>AES Colombia</t>
  </si>
  <si>
    <t>HRS hydrogen refueling station</t>
  </si>
  <si>
    <t>HUB hidrogeno Atlántico II</t>
  </si>
  <si>
    <t>HUB hidrogeno verde Cartagena</t>
  </si>
  <si>
    <t>HUB Barranquilla</t>
  </si>
  <si>
    <t xml:space="preserve">Optimization of a multifluid system for parallel generation and sale of electricity and green hydrogen and associated services for industrial customers </t>
  </si>
  <si>
    <t>BEAUTY AMMONIA</t>
  </si>
  <si>
    <t>SITP Hydrogen Bus</t>
  </si>
  <si>
    <t>Cerro Dominador - H2 CSP +PV project</t>
  </si>
  <si>
    <t>H2 Solar Project</t>
  </si>
  <si>
    <t>HYDRA project</t>
  </si>
  <si>
    <t>UCSC project</t>
  </si>
  <si>
    <t>Cabeza de Mar</t>
  </si>
  <si>
    <t>Tango project</t>
  </si>
  <si>
    <t>ARICHILE project</t>
  </si>
  <si>
    <t>Hydrogen train</t>
  </si>
  <si>
    <t>MowiUACH</t>
  </si>
  <si>
    <t>Planta Piloto Móvil de H2V</t>
  </si>
  <si>
    <t>Volta project</t>
  </si>
  <si>
    <t>Llaquedona green hydrogen</t>
  </si>
  <si>
    <t>Tecoil</t>
  </si>
  <si>
    <t>BÜKKABRÁNY PtG</t>
  </si>
  <si>
    <t>H2 for Ovako steel mill in Smedjebacken</t>
  </si>
  <si>
    <t>Hitachi Zosen Inova HZI PtH Buchs</t>
  </si>
  <si>
    <t>Blue Hydrogen</t>
  </si>
  <si>
    <t>Green Ammonia</t>
  </si>
  <si>
    <t>Hydrogen for heavy duty transport</t>
  </si>
  <si>
    <t>Green Hydrogen</t>
  </si>
  <si>
    <t>Green hydrogen for national industry and derivatives for export</t>
  </si>
  <si>
    <t>H2V Marseille - Fos (Phase 2)</t>
  </si>
  <si>
    <t>H2V Marseille - Fos (Phase 3)</t>
  </si>
  <si>
    <t>H2V Marseille - Fos (Phase 4)</t>
  </si>
  <si>
    <t>H2V Marseille - Fos (Phase 5)</t>
  </si>
  <si>
    <t>H2 Pierre-Bénite (Phase 2, final)</t>
  </si>
  <si>
    <t>Dijon Métropole Smart EnergHy (DMSE) - Station 2</t>
  </si>
  <si>
    <t>NFC Belfort (Phase 2)</t>
  </si>
  <si>
    <t>EcoH2 Breizh1</t>
  </si>
  <si>
    <t>EcoH2 Breizh2</t>
  </si>
  <si>
    <t>HyCOR</t>
  </si>
  <si>
    <t>DépHy2A Ajaccio</t>
  </si>
  <si>
    <t>DépHy2B Bastia</t>
  </si>
  <si>
    <t>Vhya Lorraine</t>
  </si>
  <si>
    <t>H2V Thionville P1</t>
  </si>
  <si>
    <t>H2V Thionville P2</t>
  </si>
  <si>
    <t>H2V Valenciennes P1</t>
  </si>
  <si>
    <t>H2V Valenciennes P2</t>
  </si>
  <si>
    <t>EcoH2</t>
  </si>
  <si>
    <t>HyLan</t>
  </si>
  <si>
    <t>HyVENCE</t>
  </si>
  <si>
    <t>Usine Trangé</t>
  </si>
  <si>
    <t>H24FP Paris P1</t>
  </si>
  <si>
    <t>H24FP Paris P2</t>
  </si>
  <si>
    <t>eM-Lacq (part of E-CHO)</t>
  </si>
  <si>
    <t>H2 Bordeaux</t>
  </si>
  <si>
    <t>BioTJet (part of E-CHO)</t>
  </si>
  <si>
    <t xml:space="preserve">Hydrogen Energy Storage System at Borrego Springs </t>
  </si>
  <si>
    <t>Waterfront Maritime Hydrogen Demonstration Project</t>
  </si>
  <si>
    <t>Solid Oxide Electrolysis System Demonstration</t>
  </si>
  <si>
    <t>TIWAG Power2X (Phase 2) (within "Power2X Kufstein")</t>
  </si>
  <si>
    <t>Plansee Group - Breitenwang</t>
  </si>
  <si>
    <t>TIWAG Power2X (Phase 1) (within "Power2X Kufstein")</t>
  </si>
  <si>
    <t>HySnowGroomer (within HyWest)</t>
  </si>
  <si>
    <t>Hotflex</t>
  </si>
  <si>
    <t>H2Value - Tartu</t>
  </si>
  <si>
    <t>Green Port Paldiski</t>
  </si>
  <si>
    <t>Utilitas ELY</t>
  </si>
  <si>
    <t>Narva power plant ELY</t>
  </si>
  <si>
    <t>Koppo Energy Cluster</t>
  </si>
  <si>
    <t>Green NortH2 Energy Kemi</t>
  </si>
  <si>
    <t>Lappeenranta e-Methanol</t>
  </si>
  <si>
    <t>Ren-Gas  P2X Kotka</t>
  </si>
  <si>
    <t>Ren-Gas  P2X Lahti</t>
  </si>
  <si>
    <t>Ren-Gas  P2X Tampere</t>
  </si>
  <si>
    <t>P2X Solutions Joensuu</t>
  </si>
  <si>
    <t>Ren-Gas  P2X Mikkeli</t>
  </si>
  <si>
    <t>Ren-Gas  P2X Pori</t>
  </si>
  <si>
    <t>UPM Kymmene Biorefinery Green Hydrogen production​</t>
  </si>
  <si>
    <t>H-FLEX-E​</t>
  </si>
  <si>
    <t>Flexens Lempäälä</t>
  </si>
  <si>
    <t>3H2 - Helsinki Hydrogen Hub</t>
  </si>
  <si>
    <t>Hidroelectrica - Sona</t>
  </si>
  <si>
    <t>Sines GH2 Solar</t>
  </si>
  <si>
    <t>HEVO-Industria</t>
  </si>
  <si>
    <t>Hydrogen Based Microgrid at NETRA</t>
  </si>
  <si>
    <t>Chusul Project</t>
  </si>
  <si>
    <t>Apex Lubmin</t>
  </si>
  <si>
    <t>Mote biomass-to-hydrogen plant, 2nd facility (CA)</t>
  </si>
  <si>
    <t>Babcock &amp; Wilcox’s - Louisiana</t>
  </si>
  <si>
    <t>Convion SOE R&amp;D ELY</t>
  </si>
  <si>
    <t>ABC Cleantech H2</t>
  </si>
  <si>
    <t>Adani H2</t>
  </si>
  <si>
    <t>Aranayak Mirzapur H2</t>
  </si>
  <si>
    <t>Badarpur New Delhi H2</t>
  </si>
  <si>
    <t>Bellary-Nellore H2</t>
  </si>
  <si>
    <t>Bina Refinery</t>
  </si>
  <si>
    <t>Chamba H2</t>
  </si>
  <si>
    <t>Chitrakoot H2</t>
  </si>
  <si>
    <t>Greenko green ammonia project</t>
  </si>
  <si>
    <t>Hydreen HLC Green Energy Himachal Pradesh H2</t>
  </si>
  <si>
    <t>HPCL Vizag Refinery H2</t>
  </si>
  <si>
    <t>Indore Waste to H2</t>
  </si>
  <si>
    <t>Jindal Hygenco India</t>
  </si>
  <si>
    <t>Jorhat H2</t>
  </si>
  <si>
    <t>JSW green hydrogen</t>
  </si>
  <si>
    <t>JSW Karnataka H2</t>
  </si>
  <si>
    <t>Karnataka Acme H2</t>
  </si>
  <si>
    <t>Kochi Green Hydrogen (KGH2) Hub</t>
  </si>
  <si>
    <t>Larsen &amp; Toubro/ReNew Power Project</t>
  </si>
  <si>
    <t>Leh H2</t>
  </si>
  <si>
    <t>L&amp;T Hazira Phase II</t>
  </si>
  <si>
    <t>Madhya Pradesh H2</t>
  </si>
  <si>
    <t>MAHAPREIT</t>
  </si>
  <si>
    <t>Maharashtra H2</t>
  </si>
  <si>
    <t>NMC Green Hydrogen</t>
  </si>
  <si>
    <t>NTPC Anakapalli H2</t>
  </si>
  <si>
    <t>NTPC NETRA Campus</t>
  </si>
  <si>
    <t>Numaligarh Refinery Green H2</t>
  </si>
  <si>
    <t>Ocior Energy Andhra Pradesh H2</t>
  </si>
  <si>
    <t>Ocior Energy Gujarat H2</t>
  </si>
  <si>
    <t>PMC Waste to H2 Phase I</t>
  </si>
  <si>
    <t>POSCO H2</t>
  </si>
  <si>
    <t>Pune-Mumbai</t>
  </si>
  <si>
    <t>Renew Efuels Odisha Green H2</t>
  </si>
  <si>
    <t>SOEC demonstrator Bangalore</t>
  </si>
  <si>
    <t>Swaraj Green Power H2</t>
  </si>
  <si>
    <t>Visakhapatnam H2</t>
  </si>
  <si>
    <t>Waaree Renewable Technologies H2</t>
  </si>
  <si>
    <t>WBPDCL Durgapur H2</t>
  </si>
  <si>
    <t>Hidrogen from bioethanol , phase 1</t>
  </si>
  <si>
    <t>Hidrogen from bioethanol , phase 2</t>
  </si>
  <si>
    <t>Morro Pintado project</t>
  </si>
  <si>
    <t xml:space="preserve">Horizons Clean Hydrogen Hub </t>
  </si>
  <si>
    <t>Tallgras-Kowepo MoU</t>
  </si>
  <si>
    <t>Lhyfe, Perl</t>
  </si>
  <si>
    <t xml:space="preserve">Enertrag - Prignitz-Falkenhagen industrial park </t>
  </si>
  <si>
    <t>Huaneng Inner Mongolia East Energy - Xing'an League project</t>
  </si>
  <si>
    <t>Vanadis Fuels - Phase 1</t>
  </si>
  <si>
    <t>Acme - Port of Victoria</t>
  </si>
  <si>
    <t>Gaznat methanation project</t>
  </si>
  <si>
    <t>HYBRIT expansion</t>
  </si>
  <si>
    <t>H2 Green Steel (H2GS) - phase 2</t>
  </si>
  <si>
    <t>Aboriginal Ammonia project - East Kimberley Clean Energy project</t>
  </si>
  <si>
    <t>Amp Energy project</t>
  </si>
  <si>
    <t>Hydrogen project - Oaxaca</t>
  </si>
  <si>
    <t>Hydrogen project Duqm area</t>
  </si>
  <si>
    <t>Amea Power - Ammonia project</t>
  </si>
  <si>
    <t xml:space="preserve">H2 project - Port of Mombasa </t>
  </si>
  <si>
    <t>e-SAF France Kereauzen project</t>
  </si>
  <si>
    <t>E-fuels project in South Africa</t>
  </si>
  <si>
    <t>H2 project - Profen mine</t>
  </si>
  <si>
    <t>Good Earth Green Hydrogen and Ammonia Project</t>
  </si>
  <si>
    <t>e-SAF plant</t>
  </si>
  <si>
    <t>Ammonia project Avaada Odisha</t>
  </si>
  <si>
    <t>ACWA Power - Garuda Hidrogen Hijau (GH2)</t>
  </si>
  <si>
    <t>H2 project Ascension Parish Louisiana</t>
  </si>
  <si>
    <t>Hydrogen project in Cadiz</t>
  </si>
  <si>
    <t>Solar-to-hydrogen Inhambane province</t>
  </si>
  <si>
    <t>MOZ</t>
  </si>
  <si>
    <t>Ratcliffe power station - H2 project - phase 1</t>
  </si>
  <si>
    <t>Ratcliffe power station - H2 project - phase 2</t>
  </si>
  <si>
    <t>H2 project Lubmin - Deutsche ReGas - phase 1</t>
  </si>
  <si>
    <t>H2 project Lubmin - Deutsche ReGas - phase 2</t>
  </si>
  <si>
    <t>H2 plant Data center</t>
  </si>
  <si>
    <t>H2 project Narngulu industrial estate</t>
  </si>
  <si>
    <t>Floating Green Hydrogen &amp; Ammonia project</t>
  </si>
  <si>
    <t>Los Amigos del Verano - phase 1</t>
  </si>
  <si>
    <t>Los Amigos del Verano - phase 2</t>
  </si>
  <si>
    <t>Los Amigos del Verano - phase 3</t>
  </si>
  <si>
    <t>Los Amigos del Verano - phase 4</t>
  </si>
  <si>
    <t>CEEC Songyuan Hydrogen Energy Industrial Park (Green H2-NH3 Integration) Phase 1</t>
  </si>
  <si>
    <t>Skipavika Green Ammonia - SkiGA</t>
  </si>
  <si>
    <t>Mauritania &amp; BP- Nassim project</t>
  </si>
  <si>
    <t>Hydrogen, ammonia project - Tecnicas Reunidas</t>
  </si>
  <si>
    <t xml:space="preserve"> GET H2 TransHyDE hydrogen project - Lingen</t>
  </si>
  <si>
    <t>NeoGreen Portugal - Sines projetc</t>
  </si>
  <si>
    <t>Indian Oil Corporation IOCL refinery</t>
  </si>
  <si>
    <t>Chennai Petroleum Corporation (CPCL) - phase 1</t>
  </si>
  <si>
    <t>Chennai Petroleum Corporation (CPCL) - phase 2</t>
  </si>
  <si>
    <t>MRPL Mangalore Refinery - phase 1</t>
  </si>
  <si>
    <t>MRPL Mangalore Refinery - phase 2</t>
  </si>
  <si>
    <t>H2 plant - St Lawrence Hydro Production</t>
  </si>
  <si>
    <t>Hydrogen plant - August Global Investment</t>
  </si>
  <si>
    <t>HyNQ – North Queensland Clean Energy Project</t>
  </si>
  <si>
    <t>Knockshinnoch hydrogen production facility - Scotland</t>
  </si>
  <si>
    <t>EWE - Clean Hydrogen Coastline, project Emdem</t>
  </si>
  <si>
    <t xml:space="preserve">HyPilot project </t>
  </si>
  <si>
    <t>Aman - Green Hydrogen Project - phase 2</t>
  </si>
  <si>
    <t>Ammonia project - Houston Ship Channel</t>
  </si>
  <si>
    <t>Shanghai Electric -Taonan Wind Power with Biomass for Green Methanol</t>
  </si>
  <si>
    <t>Nitrogen fertelizer plant Uberaba</t>
  </si>
  <si>
    <t>Atlas' Pacific Green Fertilizer project</t>
  </si>
  <si>
    <t>Cleanergy Solutions Namibia HRS</t>
  </si>
  <si>
    <t>Arcadia eFuels</t>
  </si>
  <si>
    <t>Gibson Island Project</t>
  </si>
  <si>
    <t>Phoenix Hydrogen Hub (PHH) project</t>
  </si>
  <si>
    <t>Green Energy Park (GEP) phases I to VI</t>
  </si>
  <si>
    <t>Green Steel Plant Quebec</t>
  </si>
  <si>
    <t>Green Hydrogen Plant (GHP)</t>
  </si>
  <si>
    <t>Hynet Northwest, phase 2 (Essar Stanlow refinery)</t>
  </si>
  <si>
    <t>MadoquaPower2X - Sines - phase 2</t>
  </si>
  <si>
    <t>Renewable hydrogen project Western Australia</t>
  </si>
  <si>
    <t>ZEG H1 plant in CCB Energy Park - Northern Lights onshore CO₂ terminal</t>
  </si>
  <si>
    <t>Ammonia project on the Gulf Coast</t>
  </si>
  <si>
    <t>Ammonia plant Deendayal Port - Site Kandla in Gujarat</t>
  </si>
  <si>
    <t>Ammonia plant Kota - Rajasthan state - phase 1</t>
  </si>
  <si>
    <t>Low-carbon hydrogen plant at Shaybah natural gas liquids facility</t>
  </si>
  <si>
    <t>Suez Green Ammonia site</t>
  </si>
  <si>
    <t xml:space="preserve">Hunfeld project </t>
  </si>
  <si>
    <t>Western Sahara hydrogen project</t>
  </si>
  <si>
    <t>Offshore floating  wind-hydrogen project</t>
  </si>
  <si>
    <t>Indonesia-Singapore hydrogen project</t>
  </si>
  <si>
    <t>Coyote Hydrogen Project</t>
  </si>
  <si>
    <t>Hydrogen plant - Environmental Business Park (PEMA)</t>
  </si>
  <si>
    <t>Langnas: Mega Green Harbour (Aland Islands)</t>
  </si>
  <si>
    <t>H2 plant at Ironveld’s Rustenburg smelter</t>
  </si>
  <si>
    <t>H2 project - AEM Flex electrolyser</t>
  </si>
  <si>
    <t>Mühlenerft Industrial Park - Refuelling station</t>
  </si>
  <si>
    <t>H2CRETE Valley</t>
  </si>
  <si>
    <t>Oosterhorn Hydrogen project - Chemie Park Delfzijl</t>
  </si>
  <si>
    <t>Deep Sky Alpha pilot facility</t>
  </si>
  <si>
    <t>Zero Emission Valley (ZEV) - Le Cheylas</t>
  </si>
  <si>
    <t>Oshivela DRI project, phase 1</t>
  </si>
  <si>
    <t>Oshivela DRI project, phase 2</t>
  </si>
  <si>
    <t>HySCALE 100 - IPCEI project Heide refinery</t>
  </si>
  <si>
    <t>Green Energy Manufacturing Centre (GEM) -Gladstone -phase 1</t>
  </si>
  <si>
    <t>Green Iron Trial Commercial Plant - Christmas Creek</t>
  </si>
  <si>
    <t>EBIC - Ammonia plant - phase 2</t>
  </si>
  <si>
    <t>Green Energy Manufacturing Centre (GEM) -Gladstone -phase 2</t>
  </si>
  <si>
    <t>Eneco H2 project Rotterdam port area</t>
  </si>
  <si>
    <t>White Dunes - Western Sahara hydrogen project -phase 1</t>
  </si>
  <si>
    <t>White Dunes - Western Sahara hydrogen project -phase 2</t>
  </si>
  <si>
    <t>Leuna 100</t>
  </si>
  <si>
    <t>Goldwind e-methanol project</t>
  </si>
  <si>
    <t>Scatec e-Methanol - second project</t>
  </si>
  <si>
    <t>Hydrogen Park Takasago</t>
  </si>
  <si>
    <t>H2eron</t>
  </si>
  <si>
    <t>ACWA Power - Green Hydrogen Project</t>
  </si>
  <si>
    <t>Cormorant Clean Energy Project</t>
  </si>
  <si>
    <t>Project Mauricie</t>
  </si>
  <si>
    <t>Cepsa la Rábida Energy Park (Huelva) - phase 2- Andalusian Green Hydrogen Valley THARSIS Project 
Together with ONUBA: LUXIA project)</t>
  </si>
  <si>
    <t>Megaton Moon</t>
  </si>
  <si>
    <t>C2X Green Methanol Plant</t>
  </si>
  <si>
    <t>Hydrogen Project - La Romana</t>
  </si>
  <si>
    <t>DOM</t>
  </si>
  <si>
    <t>QAFCO ammonia project</t>
  </si>
  <si>
    <t>QAT</t>
  </si>
  <si>
    <t>Brightloop TM - CCS Demostration Plant: Converting Wyoming PRB Coal to Hydrogen</t>
  </si>
  <si>
    <t>Integration of Produced Water Thermal Desalination and Steam Methane Reforming for Efficient Hydrogen Production</t>
  </si>
  <si>
    <t>Green Hydrogen Production Facility</t>
  </si>
  <si>
    <t>AEM Nexus 1000 - Saerbeck</t>
  </si>
  <si>
    <t>Keravan Energia (Kerava)</t>
  </si>
  <si>
    <t>Tarastenjärvi power (Tampere)</t>
  </si>
  <si>
    <t>Kymijärvi power (Lahti)</t>
  </si>
  <si>
    <t>Kotka power (Kotka)</t>
  </si>
  <si>
    <t>Mikkeli plant</t>
  </si>
  <si>
    <t>Aittaluoto power (Pori)</t>
  </si>
  <si>
    <t>CEEC Songyuan Hydrogen Energy Industrial Park (Green H2-NH3 Integration) Phase 2</t>
  </si>
  <si>
    <t>Sinopec Star Corp Ordos Green Power-to-Gas Demonstration (or: Uxin Banner Wind-Solar Integrated Green Hydrogen Petrochemical Refinery Demo) Phase 2</t>
  </si>
  <si>
    <t xml:space="preserve">GrandBlue Environment Renewable (Biogas) Hydrogen Production and Refuelling Primary Station </t>
  </si>
  <si>
    <t>Qitai Smart Energy Equipment Industrial Park - 50,000 Ton Green Hydrogen and Green Methanol Project (Phase 1)</t>
  </si>
  <si>
    <t>Zheneng-DSIC 10K Ton-Scale Green Methanol Project</t>
  </si>
  <si>
    <t>Qitai Smart Energy Equipment Industrial Park - 50,000 Ton Green Hydrogen and Green Methanol Project (Phase 2)</t>
  </si>
  <si>
    <t>Qitai Smart Energy Equipment Industrial Park - 50,000 Ton Green Hydrogen and Green Methanol Project (Phase 3)</t>
  </si>
  <si>
    <t>Proyecto Fenix</t>
  </si>
  <si>
    <t>Solarbelt Fairfuel kerosene DEMO plant</t>
  </si>
  <si>
    <t>The Hydrogen Plant at Tse'khene Energy Transition Hub (TETH)</t>
  </si>
  <si>
    <t>Masdar green hydrogen project</t>
  </si>
  <si>
    <t>Aqua Saudi Arabia green ammonia project</t>
  </si>
  <si>
    <t>KEPCO -Xenel green ammonia project</t>
  </si>
  <si>
    <t>Ocior Energy green ammonia project -Phase 1</t>
  </si>
  <si>
    <t>Ocior Energy green ammonia project -Phase 2</t>
  </si>
  <si>
    <t>Catalyst green ammonia project</t>
  </si>
  <si>
    <t>Kawar Energy green ammonia project</t>
  </si>
  <si>
    <t>Philadelphia solar green ammonia project</t>
  </si>
  <si>
    <t>Enertag green ammonia project</t>
  </si>
  <si>
    <t>Amarenco green ammonia project</t>
  </si>
  <si>
    <t>Mass Group Holdings green ammonia project</t>
  </si>
  <si>
    <t>Zijing Mining Renewable energy project</t>
  </si>
  <si>
    <t>SRB</t>
  </si>
  <si>
    <t>Picea systems installed at multiple residential households (500 2.4 kW)</t>
  </si>
  <si>
    <t>AEM Nexus for Metal Hardening Process</t>
  </si>
  <si>
    <t>AEM Nexus for Fuel Cell factory FAT process</t>
  </si>
  <si>
    <t>AEM Nexus for Unigranit</t>
  </si>
  <si>
    <t>Multiple AEM Nexus in China</t>
  </si>
  <si>
    <t>Zella-Mehlis waste incineration site methanol production</t>
  </si>
  <si>
    <t>eM-Rhone</t>
  </si>
  <si>
    <t>Nautilus</t>
  </si>
  <si>
    <t>HS Orka-H2V green methanol plant</t>
  </si>
  <si>
    <t>Cromarty Clean Fuels Project</t>
  </si>
  <si>
    <t>SolWinHy Cádiz</t>
  </si>
  <si>
    <t>eM-Iberica</t>
  </si>
  <si>
    <t>Hydrogen Hub Agder Phase 1</t>
  </si>
  <si>
    <t>Hydrogen Hub Agder Phase 2</t>
  </si>
  <si>
    <t>SoutH2Port</t>
  </si>
  <si>
    <t>Lhyfe - Brake green hydrogen plant</t>
  </si>
  <si>
    <t>Shandong Green Methanol Plant</t>
  </si>
  <si>
    <t>GACL-NTPC REL ammonia methanol plant</t>
  </si>
  <si>
    <t xml:space="preserve">Umwelt e-fuels plant </t>
  </si>
  <si>
    <t>ReNew E-Fuels Private Limited green methanol plant - Malkangiri</t>
  </si>
  <si>
    <t>ReNew E-Fuels Private Limited green methanol plant - Rayagada</t>
  </si>
  <si>
    <t xml:space="preserve">Padborg PtX </t>
  </si>
  <si>
    <t>IBCLNG hydrogen plant</t>
  </si>
  <si>
    <t>SAF+Consortium SAF plant</t>
  </si>
  <si>
    <t>SPIC SAF facility - Qiqihaer - Phase 1</t>
  </si>
  <si>
    <t>SPIC SAF facility - Qiqihaer - Phase 2</t>
  </si>
  <si>
    <t>Baden-Württemberg SAF Demo plant</t>
  </si>
  <si>
    <t>The Next Gate - P2X -Europe</t>
  </si>
  <si>
    <t>IdunnH2 SAF plant</t>
  </si>
  <si>
    <t>Swedish Biofuels/COWI SAF plant</t>
  </si>
  <si>
    <t>Carbonshift PtL SAF refinery</t>
  </si>
  <si>
    <t>NABOO</t>
  </si>
  <si>
    <t>Oxefuel Biogenic</t>
  </si>
  <si>
    <t>Advancing Sustainable Aviation via PtL and Direct Air Capture (ASAP-DAC)  project</t>
  </si>
  <si>
    <t>Nujio'qonik Green Hydrogen -phase 3</t>
  </si>
  <si>
    <t>Semarak Renewable Energy hydrogen project in Perak</t>
  </si>
  <si>
    <t>Renewstable Mpumalanga</t>
  </si>
  <si>
    <t>Renewstable Olutanga</t>
  </si>
  <si>
    <t>PHL</t>
  </si>
  <si>
    <t>Renewstable Vitilevu</t>
  </si>
  <si>
    <t>FJI</t>
  </si>
  <si>
    <t>LH2 Europe Project</t>
  </si>
  <si>
    <t>Uganda H2-based fertiliser project</t>
  </si>
  <si>
    <t>UGA</t>
  </si>
  <si>
    <t>e-methanol plant in Port of Victoria</t>
  </si>
  <si>
    <t>Oulu Energy Hydrogen Plant</t>
  </si>
  <si>
    <t xml:space="preserve">Stirling Green Hydrogen </t>
  </si>
  <si>
    <t>Wigan Green Hydrogen</t>
  </si>
  <si>
    <t>H2Nord Gmbh&amp;Co.</t>
  </si>
  <si>
    <t>HY.Waiblingen</t>
  </si>
  <si>
    <t>HY.City.Bremerhaven</t>
  </si>
  <si>
    <t>H2Rivers</t>
  </si>
  <si>
    <t>Santos-Tokyo Gas e-methane plant</t>
  </si>
  <si>
    <t>Fulcrum Centerpoint</t>
  </si>
  <si>
    <t>Bayou Fuels</t>
  </si>
  <si>
    <t>Net-Zero 1</t>
  </si>
  <si>
    <t>Aemetis SAF plant</t>
  </si>
  <si>
    <t>USA BioEnergy biorefinery Bon Wier</t>
  </si>
  <si>
    <t>Hynfra-MGA Ammonia plant</t>
  </si>
  <si>
    <t>Eletrobras - Paul Wurth green hydrogen</t>
  </si>
  <si>
    <t>Grenzland Energie Kompakt</t>
  </si>
  <si>
    <t>Pathfinder</t>
  </si>
  <si>
    <t>Green H2 Hub Neumünster</t>
  </si>
  <si>
    <t>Hapora Project</t>
  </si>
  <si>
    <t>Lhyfe- Nantes Saint-Nazaire hydrogen plant</t>
  </si>
  <si>
    <t>HEVO- Aveiro</t>
  </si>
  <si>
    <t>Wilton International Industrial Zone green hydrogen (Wilton Green Hydrogen)</t>
  </si>
  <si>
    <t>Undergorund Sun Storage 2030</t>
  </si>
  <si>
    <t>CEIC  Cangzhou Green Ammonia project</t>
  </si>
  <si>
    <t>Renewstable Kwale Kenya (RKK)</t>
  </si>
  <si>
    <t xml:space="preserve">Cyprus Renewstable 1 </t>
  </si>
  <si>
    <t>CYP</t>
  </si>
  <si>
    <t xml:space="preserve">Renewstable WM1 </t>
  </si>
  <si>
    <t>Axpo-ENEGO green hydrogen</t>
  </si>
  <si>
    <t>Chevron Hydrogen Project</t>
  </si>
  <si>
    <t>Numantia SAF</t>
  </si>
  <si>
    <t>Port of Antwerp-Bruges AEM electrolyser</t>
  </si>
  <si>
    <t>H2tALENT DEMO project</t>
  </si>
  <si>
    <t>White Martins Jacareí, São Paulo</t>
  </si>
  <si>
    <t>Emil'Hy - pilot</t>
  </si>
  <si>
    <t>EnrHy4</t>
  </si>
  <si>
    <t>TES-Vig'Hy</t>
  </si>
  <si>
    <t>Hytouraine</t>
  </si>
  <si>
    <t>China Tianying Inc. Solar &amp; Wind Power to Green Methanol Project</t>
  </si>
  <si>
    <t>L&amp;T Hazira Phase I</t>
  </si>
  <si>
    <t>Atome - Costa Rica project</t>
  </si>
  <si>
    <t xml:space="preserve">Rijeka oil refinery </t>
  </si>
  <si>
    <t>HRV</t>
  </si>
  <si>
    <t>Rompetrol Refinery</t>
  </si>
  <si>
    <t>Chifeng Energy Internet of Things Zero Carbon Hydrogen Ammonia Demostration Project- Phase 2</t>
  </si>
  <si>
    <t>Goondiwindi Hydrogen- Phase I</t>
  </si>
  <si>
    <t>Goondiwindi Hydrogen- Phase II</t>
  </si>
  <si>
    <t>EnergHys</t>
  </si>
  <si>
    <t>Rilland Oost hydrogen plant</t>
  </si>
  <si>
    <t>Hydrogen Windfarm Van Pallandt</t>
  </si>
  <si>
    <t>InnovaHub</t>
  </si>
  <si>
    <t>HyDeer</t>
  </si>
  <si>
    <t>H2 Park Zeewolde</t>
  </si>
  <si>
    <t>Holthausen Energy Point Amsterdam</t>
  </si>
  <si>
    <t>Hydrogen production De Liede</t>
  </si>
  <si>
    <t>Hydrogen factory NLR Marknesse</t>
  </si>
  <si>
    <t>H2Hollandia</t>
  </si>
  <si>
    <t>Bay Hydrogen Hub</t>
  </si>
  <si>
    <t>OX2 Aurora</t>
  </si>
  <si>
    <t>Great Plains Synfuel Plant to sequestration (ND)</t>
  </si>
  <si>
    <t>Yanchang Integrated Carbon Capture and Storage Demonstration, phase 2</t>
  </si>
  <si>
    <t>Yanchang Integrated Carbon Capture and Storage Demonstration, phase 3</t>
  </si>
  <si>
    <t>K+S Potash CCS</t>
  </si>
  <si>
    <t>Kutina Petrokemija ammonia</t>
  </si>
  <si>
    <t>Cerilon gas-to-liquids complex (ND)</t>
  </si>
  <si>
    <t>Lake Charles low carbon ammonia (LA)</t>
  </si>
  <si>
    <t>Yara Pilbara ammonia</t>
  </si>
  <si>
    <t>Gulf Coast Hydrogen Hub HyVelocity (TX)</t>
  </si>
  <si>
    <t>Gwangyang LNG terminal blue hydrogen</t>
  </si>
  <si>
    <t>H2Notos- Phase 1</t>
  </si>
  <si>
    <t>TUN</t>
  </si>
  <si>
    <t>H2Notos- Phase 2</t>
  </si>
  <si>
    <t>Rijeka Refinery Hydrogen Project</t>
  </si>
  <si>
    <t>J-Power Sumitomo joint feasibility clean hydrogen Latrobe Valley (VI)</t>
  </si>
  <si>
    <t>Mountaineer Gigasystem (WV) Phase 1</t>
  </si>
  <si>
    <t>Mountaineer Gigasystem (WV) Phase 2</t>
  </si>
  <si>
    <t>Mountaineer Gigasystem (WV) Phase 3</t>
  </si>
  <si>
    <t>Mountaineer Gigasystem (WV) Phase 4</t>
  </si>
  <si>
    <t>Scotford refinery and chemicals complex (Shell's Polaris Carbon Capture project Shell hub) (ALB)</t>
  </si>
  <si>
    <t>Equinor Mongstad refinery</t>
  </si>
  <si>
    <t>Gila Hydrogen Facility</t>
  </si>
  <si>
    <t>SALCOS - Andritz green steel at Salzgitter Flachstahl plant</t>
  </si>
  <si>
    <t>Hyundai Hydrogen Project at Buan Renewable Energy Theme Park</t>
  </si>
  <si>
    <t>Brindisi Green Hydrogen</t>
  </si>
  <si>
    <t>La Zaida Green Hydrogen Project</t>
  </si>
  <si>
    <t>Musel GreenMet</t>
  </si>
  <si>
    <t>Unamed Walia-Green Capital project</t>
  </si>
  <si>
    <t>GP H2 As Pontes</t>
  </si>
  <si>
    <t>H2-Vallmoll</t>
  </si>
  <si>
    <t>HyBizkaia EFuels and Mobility at Basque Hydrogen Corridor</t>
  </si>
  <si>
    <t>Hystone</t>
  </si>
  <si>
    <t>H2OSSA</t>
  </si>
  <si>
    <t>H2 Alcarria</t>
  </si>
  <si>
    <t>Hy Stor</t>
  </si>
  <si>
    <t>J Westling</t>
  </si>
  <si>
    <t>Essar-Gujarat MoU</t>
  </si>
  <si>
    <t>Calama Mining District, phase 1</t>
  </si>
  <si>
    <t>Calama Mining District, phase 2</t>
  </si>
  <si>
    <t>Calama Mining District, phase 3</t>
  </si>
  <si>
    <t>Infinuim Mo Industrial Park</t>
  </si>
  <si>
    <t>Industrial Promotion Services-Uganda MoU</t>
  </si>
  <si>
    <t xml:space="preserve">Lhyfe Wallsend </t>
  </si>
  <si>
    <t>Kolya-PNE Albacete</t>
  </si>
  <si>
    <t>HydrOxy Hub Walsum- Phase 2-3</t>
  </si>
  <si>
    <t>Green Hydrogen Almazan</t>
  </si>
  <si>
    <t xml:space="preserve">Tees Valley Hydrogen Vehicle Ecosystem- Riverside terminal </t>
  </si>
  <si>
    <t>ACWA-Tunisia MoU green hydrogen project, phase 1</t>
  </si>
  <si>
    <t>ACWA-Tunisia MoU green hydrogen project, phases 2-3</t>
  </si>
  <si>
    <t>NW Natural - Modern Hydrogen pyrolysis pilot</t>
  </si>
  <si>
    <t>PetroChina Qinghai</t>
  </si>
  <si>
    <t>EDF - J-POWER - Yamna Dhofar</t>
  </si>
  <si>
    <t>Actis - Fortescue</t>
  </si>
  <si>
    <t>FertigHy first plant</t>
  </si>
  <si>
    <t>Shanxi International Energy Group SAF project, phasse 1</t>
  </si>
  <si>
    <t>Phelan Green Energy - Peru</t>
  </si>
  <si>
    <t>PV2Fuel</t>
  </si>
  <si>
    <t>P2XFloater and Oksefjorden wind farm
+
P2XFloater and Rubbedalshøgda wind farm</t>
  </si>
  <si>
    <t>MetGreenPort</t>
  </si>
  <si>
    <t>Go Energy Group - Gibraleon</t>
  </si>
  <si>
    <t>Go Energy Group - San Juan del Puerto</t>
  </si>
  <si>
    <t>Alfanar Energía España</t>
  </si>
  <si>
    <t>Sonatrach - Oran</t>
  </si>
  <si>
    <t>DZA</t>
  </si>
  <si>
    <t>Chochin Airport Hydrogen project</t>
  </si>
  <si>
    <t>Pudimadaka Green Hydrogen hub</t>
  </si>
  <si>
    <t>Shandong green methanol project- China Hydrogen</t>
  </si>
  <si>
    <t>CGN Xinggan League Methanol Production Project</t>
  </si>
  <si>
    <t>CGN Chifeng City Balinzuo Banner</t>
  </si>
  <si>
    <t>H2-MeOH production and heavy truck integrated technology park in Zhenyuan</t>
  </si>
  <si>
    <t xml:space="preserve">Inner Mongolia Zhongsheng Tech. Group low-carbon methanol </t>
  </si>
  <si>
    <t>Eneco Diamond Hydrogen</t>
  </si>
  <si>
    <t>Chevron solar-to-Hydrogen California</t>
  </si>
  <si>
    <t>Waaree Odisha plant</t>
  </si>
  <si>
    <t>EG Solwin Hybrid - Enfinity Global ammonia plant in  Tata Steel Special Economic Zone</t>
  </si>
  <si>
    <t>Sembcorp Gopalpur project</t>
  </si>
  <si>
    <t>Tango Solar Sinaloa plant</t>
  </si>
  <si>
    <t>Huadian Group - Minh Quang, Quang Tri province project</t>
  </si>
  <si>
    <t>H2 Era Green Valley</t>
  </si>
  <si>
    <t>ReNew-Jera plant in Odisha</t>
  </si>
  <si>
    <t>Hygenco Gopalpur GNH3 Plant- Tata Steel Special Economic Zone MoU, phase 1</t>
  </si>
  <si>
    <t>Hygenco Gopalpur GNH3 Plant - Tata Steel Special Economic Zone MoU, phase 2</t>
  </si>
  <si>
    <t>ReNew Power Kerala plant, phase 1</t>
  </si>
  <si>
    <t>ReNew Power Kerala plant, phase 2</t>
  </si>
  <si>
    <t>ReNew Power Kerala plant, phase 3</t>
  </si>
  <si>
    <t>Mitsubishi - Pupuk Indonesia, Bluen NH3 Sumatra-Java</t>
  </si>
  <si>
    <t>Sumatra Clean H2 Cluster - Geothermal</t>
  </si>
  <si>
    <t>Clean H2 Cluster Batam Bintan</t>
  </si>
  <si>
    <t>North Sulawesi Green NH3 Cluster</t>
  </si>
  <si>
    <t>Cilegon Clean H2 Cluster</t>
  </si>
  <si>
    <t>Sapio - Mantova green hydrogen</t>
  </si>
  <si>
    <t>Sapio - Porto Marghera green hydrogen</t>
  </si>
  <si>
    <t>Sangraf Italy graphite plant</t>
  </si>
  <si>
    <t>SIRAM green hydrogen plant in Termoli</t>
  </si>
  <si>
    <t>TH2ICINO valley</t>
  </si>
  <si>
    <t>H2Iseo valley</t>
  </si>
  <si>
    <t>INOX Air Products - Maharashtra government MoU</t>
  </si>
  <si>
    <t>North Ammonia Eydehavn plant</t>
  </si>
  <si>
    <t>Slagen terminal</t>
  </si>
  <si>
    <t>Voltalia plant at Pecem Industrial complex - Phase 1</t>
  </si>
  <si>
    <t>Vena Energy Queensland project, phase 1</t>
  </si>
  <si>
    <t>Vena Energy Queensland project, phase 2</t>
  </si>
  <si>
    <t>China Energy Engineering - Jiangsu institute - Nova RE Suria MoU</t>
  </si>
  <si>
    <t>DLZ Costa Ric ammonia plant</t>
  </si>
  <si>
    <t>European Energy  Pernambuco MeOH plant</t>
  </si>
  <si>
    <t>Power2X Parnu facility</t>
  </si>
  <si>
    <t xml:space="preserve">Energia Verde Austral </t>
  </si>
  <si>
    <t xml:space="preserve">Punta Delgada </t>
  </si>
  <si>
    <t>Desierto verde</t>
  </si>
  <si>
    <t>FRV-X Pecem industrial complex plant, phase 1</t>
  </si>
  <si>
    <t>Green Ammonia Express Sines</t>
  </si>
  <si>
    <t>Eletrobras - Port of Acu</t>
  </si>
  <si>
    <t>Cement Australia - Mitsubishi Gas Chemical Company Green Methanol in Gladstone</t>
  </si>
  <si>
    <t>Zheneng-DSIC 500K Ton-Scale Green Methanol Project</t>
  </si>
  <si>
    <t>Teal Sept-Îles</t>
  </si>
  <si>
    <t>Mingyang Smart Energy Chifeng e-methanol project, phase 1</t>
  </si>
  <si>
    <t>Mingyang Smart Energy Chifeng e-methanol project, phase 2</t>
  </si>
  <si>
    <t>Yuanbao Energy Inner Mongolia e-methanol project, phase 1</t>
  </si>
  <si>
    <t>Jidao Energy Ordos e-methanol project</t>
  </si>
  <si>
    <t>Liquid Sunshine Energy Technology Alxa League Methanol project, phase 1</t>
  </si>
  <si>
    <t>Liquid Sunshine Energy Technology Alxa League Methanol project, phase 2</t>
  </si>
  <si>
    <t>Liquid Wind Haapavesi project</t>
  </si>
  <si>
    <t>Pacífico Mexinol - Transition Industries Sinaloa methanol project</t>
  </si>
  <si>
    <t>ENOWA-Aramco MeOH demo plant</t>
  </si>
  <si>
    <t xml:space="preserve">NorthStarH2 </t>
  </si>
  <si>
    <t>FRV-X Pecem industrial complex plant, phase 2</t>
  </si>
  <si>
    <t>Ammonia project - Antofagasta -phase 1</t>
  </si>
  <si>
    <t>Ammonia project - Antofagasta -phase 2</t>
  </si>
  <si>
    <t>Horizonte de Verano - Summer Horizon - phase 2</t>
  </si>
  <si>
    <t>Helax Istmo</t>
  </si>
  <si>
    <t>Port of Santos</t>
  </si>
  <si>
    <t>EPM Hydrogen project</t>
  </si>
  <si>
    <t>EPM Hydrogen project - Espiritu Santo power plant</t>
  </si>
  <si>
    <t>Eletronuclear hydrogen project - Angra nuclear power plant (I e II)</t>
  </si>
  <si>
    <t xml:space="preserve">Ammonia project - Araucania </t>
  </si>
  <si>
    <t>CIPP (Ceara’s Pecem Industrial Port Complex) Hydrogen project</t>
  </si>
  <si>
    <t>Leuna refinery</t>
  </si>
  <si>
    <t>Siziwang Banner project</t>
  </si>
  <si>
    <t>H2V Frontera Project</t>
  </si>
  <si>
    <t>Turn2X - Extremadura</t>
  </si>
  <si>
    <t>Iqoxe</t>
  </si>
  <si>
    <t>AEM Nexus for H2 Fuel station</t>
  </si>
  <si>
    <t>AEM Nexus for H2 Refueling Station</t>
  </si>
  <si>
    <t>AEM Nexus 500 for SAF and supply of internal hydrogen lines</t>
  </si>
  <si>
    <t>Hygenco Sterlite GH2 Plant</t>
  </si>
  <si>
    <t>Green hydrogen for fragrance industry</t>
  </si>
  <si>
    <t>Green hydrogen for oil industry</t>
  </si>
  <si>
    <t>Sustainable Energy Authority project</t>
  </si>
  <si>
    <t>BHR</t>
  </si>
  <si>
    <t>HYPORT Gargoub project</t>
  </si>
  <si>
    <t>Alfanar Egypt</t>
  </si>
  <si>
    <t>Actis project</t>
  </si>
  <si>
    <t>Armonia Green Sevilla phase I</t>
  </si>
  <si>
    <t>Armonia Green Sevilla phase II</t>
  </si>
  <si>
    <t>Armonia Green Sevilla phase III</t>
  </si>
  <si>
    <t>Atlanthia Green Hydrogen</t>
  </si>
  <si>
    <t xml:space="preserve">Capanda Green Ammonia </t>
  </si>
  <si>
    <t xml:space="preserve">Port of Brownsville Refinery </t>
  </si>
  <si>
    <t>Power2Earth</t>
  </si>
  <si>
    <t>Nuclear Hydrogen Project</t>
  </si>
  <si>
    <t>Frigg</t>
  </si>
  <si>
    <t>Aslan Net-zero Energy Mexico (ANEM) - Phase I</t>
  </si>
  <si>
    <t>Aslan Net-zero Energy Mexico (ANEM) - Phase II</t>
  </si>
  <si>
    <t>Xuchang LONGi Bioenergy Green Methanol Project</t>
  </si>
  <si>
    <t>Hydrogen Energy Comprehensive Utilization Project</t>
  </si>
  <si>
    <t>Xinjiang Qitai Intelligent Energy Equipment Industrial Park Project</t>
  </si>
  <si>
    <t>Multi-complementary Hydroalcohol Integragtion Project</t>
  </si>
  <si>
    <t>700 MW Wind Power + Hydrogen + Green Methanol Integration Project</t>
  </si>
  <si>
    <t>Sinoneng Chifeng Wind-scope Hydrogen and Alcohol Integration and Hydrogen Energy Supporting Industry Project</t>
  </si>
  <si>
    <t>Annual output of 5 million tons of alcohol and hdrogen clean fuel industry project</t>
  </si>
  <si>
    <t>Lanze Energy 300,000 tons per year green methanol project</t>
  </si>
  <si>
    <t>Green Technology Bank's 380,000 tons per year green methanol project</t>
  </si>
  <si>
    <t>Jidian corporation Yancheng 300,000 tons green methanol project</t>
  </si>
  <si>
    <t>Qair-SUAPE</t>
  </si>
  <si>
    <t>Handan one million tons green methanol preparation demonstration area project</t>
  </si>
  <si>
    <t>Research project on the topic of biomass gasification and green electricity to hydrogen synthesis of green methanol</t>
  </si>
  <si>
    <t>Guoneng Zhongdian Group Guzhou Green Methanol Project</t>
  </si>
  <si>
    <t>Sinochem Baicheng Renewable Green Energy Project</t>
  </si>
  <si>
    <t>Zhongneng Construction Heilongjiang Million-ton Green Hydrogen to Green Methanol Production Project</t>
  </si>
  <si>
    <t>Wind power coupled biomass green methanol integration Project  - Phase I</t>
  </si>
  <si>
    <t>Debt Bio Ruichang World's First 150,000-ton Biomass Gasification Project for Green Methanol Preparation</t>
  </si>
  <si>
    <t>300,000 tons of biomass methanol project by Chifeng Green Hydrogen Chain Technology</t>
  </si>
  <si>
    <t>Vision Tongliao Wind-Solar Power to Hydrogen-Ammonia-Methanol Integration Project</t>
  </si>
  <si>
    <t>Shenghong Petrochemical 100,00 tons/year Carbon Dioxide to Green Methanol Project</t>
  </si>
  <si>
    <t>Yuanli Energy 700,000 tons/year Green methanol Demonstration Project</t>
  </si>
  <si>
    <t>Jilin Changling Wind-Solar-Hydrogen-Ammonia Digital Demonstration Project</t>
  </si>
  <si>
    <t>Diaobingshan Off-grid wind power to hydrogen coupled green ammonia-methanol Integration Demonstration Project</t>
  </si>
  <si>
    <t>CNOOC 150,000 tons Biomass gasification to Green Methanol Project</t>
  </si>
  <si>
    <t>China Tiancheng wind-solar-storage-hydrogen-ammonia-methanol integration project</t>
  </si>
  <si>
    <t>Huadian Keyouqianqi 50,000 kW wind power to hydrogen to green methanol integrated project</t>
  </si>
  <si>
    <t>Wind-solar Energy coupled biomass to green methanol project</t>
  </si>
  <si>
    <t>Sinochem Yueda 1,000,000 tons/year Green Methanol Project</t>
  </si>
  <si>
    <t>Dorlun County 200,000 tons green methanol project</t>
  </si>
  <si>
    <t>1.6GW Wind power grid-load-storage to green methanol project</t>
  </si>
  <si>
    <t>Lishu Wind Power to green hydrogen, biomass coupling green biomass carbonization, biomass coal, and mature coal gasification to methanol project</t>
  </si>
  <si>
    <t>Shuifa energy Qianguoer county source-grid-load-storage-hydrogen-ammonia-methanol integration project</t>
  </si>
  <si>
    <t>Yushu 150,000 tons green hydrogen coupled biomass to methanol project</t>
  </si>
  <si>
    <t>Fortescue Future Industries - Port of Pecem (Phase III)</t>
  </si>
  <si>
    <t xml:space="preserve">COPPE/UFRJ pilot plant </t>
  </si>
  <si>
    <t xml:space="preserve">QAIR fraternité </t>
  </si>
  <si>
    <t>ArcelorMittal -Florange steel plant</t>
  </si>
  <si>
    <t>Villarasa hydrogen project</t>
  </si>
  <si>
    <t>Oranjewind hydrogen production</t>
  </si>
  <si>
    <t>North Atlantic Green Energy Hub</t>
  </si>
  <si>
    <t>Grey2Green (Phase II)</t>
  </si>
  <si>
    <t>Grey2Green (Phase III</t>
  </si>
  <si>
    <t>Chifeng Energy Internet of Things Zero Carbon Hydrogen Ammonia Demostration Project- Phase 3</t>
  </si>
  <si>
    <t>Armonia Green Castellon Phase I</t>
  </si>
  <si>
    <t>Armonia Green Castellon Phase II</t>
  </si>
  <si>
    <t>Armonia Green Castellon Phase III</t>
  </si>
  <si>
    <t>Armonia Green Galicia Phase I</t>
  </si>
  <si>
    <t>Armonia Green Galicia Phase II</t>
  </si>
  <si>
    <t>Armonia Green Galicia Phase III</t>
  </si>
  <si>
    <t>LONGi Urad Rear Banner Integrated wind and solar hydrogen production project</t>
  </si>
  <si>
    <t>Cepsa San Roque Energy Park (Algeciras) - Andalusian Green Hydrogen Valley - Phase 2
CARTEIA Project</t>
  </si>
  <si>
    <t>CF Industries Donaldsonville Blue Ammonia (LA)</t>
  </si>
  <si>
    <t>Ain Sokhna ammonia project - Phase II</t>
  </si>
  <si>
    <t>Phelan Green Energy - Egypt</t>
  </si>
  <si>
    <t>Smartenergy Green H2 Project</t>
  </si>
  <si>
    <t>SK Ecoplant-CSCEC Consortium Green H2 project</t>
  </si>
  <si>
    <t>Abu Qir Fertilizers Green Ammonia Project</t>
  </si>
  <si>
    <t>Kibbuts Yotvata Hydrogen Valley</t>
  </si>
  <si>
    <t>ISR</t>
  </si>
  <si>
    <t>Gaia-H2Pro Project</t>
  </si>
  <si>
    <t>Gaia-Ajlan Bros Green H2 Project</t>
  </si>
  <si>
    <t>Dakhla-Atlantic International Green Moleucle Hub</t>
  </si>
  <si>
    <t>S2H2+Bm Green H2 Project - Phase I</t>
  </si>
  <si>
    <t>S2H2+Bm Green H2 Project - Phase II</t>
  </si>
  <si>
    <t>Oman Shell’s Blue Hydrogen &amp; Ammonia project</t>
  </si>
  <si>
    <t>Uniper Masdar Hydrogen Solar PV Park</t>
  </si>
  <si>
    <t>Green Hydrogen and Ammonia Production Project, - Abu Dhabi</t>
  </si>
  <si>
    <t>Prumo-Fuella ammonia plant</t>
  </si>
  <si>
    <t> Hydrogen and Innovative Energy Park in Marghera</t>
  </si>
  <si>
    <t>New Horizon</t>
  </si>
  <si>
    <t>Olga</t>
  </si>
  <si>
    <t>TES Tree Energy Solutions - UAE Project</t>
  </si>
  <si>
    <t>TES Tree Energy Solutions - Oman Project</t>
  </si>
  <si>
    <t>Project Nour - Phase 2</t>
  </si>
  <si>
    <t>H2 Magallanes - Phase 2</t>
  </si>
  <si>
    <t>Vanadis Fuels - Phase 2</t>
  </si>
  <si>
    <t>Voltalia plant at Pecem Industrial complex - Phase 2</t>
  </si>
  <si>
    <t>Narvik - Ammonia project- Phase 2</t>
  </si>
  <si>
    <t xml:space="preserve">Innio Jenbach - H2 Ready </t>
  </si>
  <si>
    <t>Campbeltown Hydrogen SIU</t>
  </si>
  <si>
    <t>Cromarty Hydrogen Project - phase 2</t>
  </si>
  <si>
    <t>Didcot Green Hydrogen Electrolyser</t>
  </si>
  <si>
    <t>Markinch Green Hydrogen</t>
  </si>
  <si>
    <t>Oban Hydrogen SIU</t>
  </si>
  <si>
    <t>Pembroke power station - Pembroke Green Hydrogen/Net Zero Centre (Phase 2)</t>
  </si>
  <si>
    <t>Port of Tilbury Green Hydrogen (Phase 1)</t>
  </si>
  <si>
    <t>Port of Tilbury Green Hydrogen (Phase 2)</t>
  </si>
  <si>
    <t>RWE Grangemouth</t>
  </si>
  <si>
    <t>Stornoway Hydrogen SIU</t>
  </si>
  <si>
    <t>Thurso Hydrogen SIU</t>
  </si>
  <si>
    <t>Wick Hydrogen SIU</t>
  </si>
  <si>
    <t>Dolphyn 1, phase 3</t>
  </si>
  <si>
    <t>Kimberly-Clark Coleshill/HyRo 2</t>
  </si>
  <si>
    <t>Whitelee Green Hydrogen Facility- Green Hydrogen for Glasgow (Phase 2)</t>
  </si>
  <si>
    <t>Grenian Hydrogen - Middlewich</t>
  </si>
  <si>
    <t>Grenian Hydrogen - Speke</t>
  </si>
  <si>
    <t>Grenian Hydrogen - St Helens</t>
  </si>
  <si>
    <t>Grenian Hydrogen - Stretford</t>
  </si>
  <si>
    <t>Grenian Hydrogen - Winnington</t>
  </si>
  <si>
    <t>Grenian Hydrogen - Wrexham</t>
  </si>
  <si>
    <t>H2H/Easington Hydrogen Production Green</t>
  </si>
  <si>
    <t>Humber H2ub (Green)</t>
  </si>
  <si>
    <t>HyMarnham</t>
  </si>
  <si>
    <t>Inverness hydrogen hub - Phase 2</t>
  </si>
  <si>
    <t>trans</t>
  </si>
  <si>
    <t>Meld Energy Green Hydrogen Hub</t>
  </si>
  <si>
    <t>Net Zero Hub - West Isles</t>
  </si>
  <si>
    <t>Protium - Wilton Universal Group Teeside (Phase 1)</t>
  </si>
  <si>
    <t>Tees Green Methanol</t>
  </si>
  <si>
    <t>Suffolk Hydrogen</t>
  </si>
  <si>
    <t>Sullom Voe Terminal Hydrogen Project (Phase 1)</t>
  </si>
  <si>
    <t>Sullom Voe Terminal Hydrogen Project (Phase 2)</t>
  </si>
  <si>
    <t>Tees Valley Hydrogen Vehicle Ecosystem (HYVE)</t>
  </si>
  <si>
    <t>Tees Valley Transport Hub</t>
  </si>
  <si>
    <t>Kvinesdal Ammonia A Energi</t>
  </si>
  <si>
    <t>Hyperion H2 Alandroal- Phase 2</t>
  </si>
  <si>
    <t>Hyperion H2 Alandroal- Phase 3</t>
  </si>
  <si>
    <t>EDP Ribatejo - ALHIVE Alenquer</t>
  </si>
  <si>
    <t>Energi Hub Kjerlingland</t>
  </si>
  <si>
    <t>ET Fuels - Ranua</t>
  </si>
  <si>
    <t xml:space="preserve">EuroWind Energy  Monte Das Areias </t>
  </si>
  <si>
    <t>Galway Green Hydrogen Hub</t>
  </si>
  <si>
    <t>Green ammonia Plant in Korgen</t>
  </si>
  <si>
    <t>Green NortH2 Energy Naantali</t>
  </si>
  <si>
    <t>Green NortH2 Energy Pori</t>
  </si>
  <si>
    <t>GreenH Bodo</t>
  </si>
  <si>
    <t>GreenH Kristiansund</t>
  </si>
  <si>
    <t>GreenH Sandnessjøen</t>
  </si>
  <si>
    <t>H2 Solar Rodao</t>
  </si>
  <si>
    <t>H2Enable (Phase 2)</t>
  </si>
  <si>
    <t>H2Enable (Phase 3)</t>
  </si>
  <si>
    <t>H2Enable (Phase 4)</t>
  </si>
  <si>
    <t>H2Hub HyChem</t>
  </si>
  <si>
    <t>Hardanger Hydrogen Hub</t>
  </si>
  <si>
    <t>Hemnes project Fortescue</t>
  </si>
  <si>
    <t>HEVO Sines (Phase 1)</t>
  </si>
  <si>
    <t>HEVO Sines (Phase 3)</t>
  </si>
  <si>
    <t>HTWO-Fuel Lutelandet</t>
  </si>
  <si>
    <t>HyFuel Floro/ Fjord base</t>
  </si>
  <si>
    <t>HyHubMo/Hydrogen Hub Mo</t>
  </si>
  <si>
    <t>Kvina Energy Park</t>
  </si>
  <si>
    <t>Landsvirkjun - Ljósifoss Hydropower Station</t>
  </si>
  <si>
    <t>Neptun Tromso</t>
  </si>
  <si>
    <t>Nesbruket Gen2 plant 2</t>
  </si>
  <si>
    <t>Norwegian Hydrogen - Tau</t>
  </si>
  <si>
    <t>Rorvik hydrogen hub</t>
  </si>
  <si>
    <t>WinPower - PtX Sines project</t>
  </si>
  <si>
    <t>Waawaata Green Hydrogen</t>
  </si>
  <si>
    <t>Sumitomo Hydrogen Cluster</t>
  </si>
  <si>
    <t>EPM Ammonia Project</t>
  </si>
  <si>
    <t>e-Colibrí 1</t>
  </si>
  <si>
    <t>e-Colibrí 2</t>
  </si>
  <si>
    <t>Andes Energy</t>
  </si>
  <si>
    <t>Lhyfe Lubmin</t>
  </si>
  <si>
    <t>Haapavesi biorefinery facility</t>
  </si>
  <si>
    <t>H2 Puerto Sevilla</t>
  </si>
  <si>
    <t>NeoGreen Portugal - Palmela projetc</t>
  </si>
  <si>
    <t>AMEA- Mauritania project</t>
  </si>
  <si>
    <t>Green Springs</t>
  </si>
  <si>
    <t>Hydro Havrand - Hoyanger</t>
  </si>
  <si>
    <t>RVO- Holland coast project 1</t>
  </si>
  <si>
    <t>RVO- Holland coast project 2</t>
  </si>
  <si>
    <t xml:space="preserve">ESA green steel </t>
  </si>
  <si>
    <t>Liberty Steel green steel</t>
  </si>
  <si>
    <t>Meraker</t>
  </si>
  <si>
    <t>Masdar - Castilla La Mancha</t>
  </si>
  <si>
    <t>Viker/Borg Hydrogen</t>
  </si>
  <si>
    <t>Raahen Monivoima Kokkola</t>
  </si>
  <si>
    <t>GreenH2CY</t>
  </si>
  <si>
    <t>Solvay - Kouvola</t>
  </si>
  <si>
    <t>SK Hydrogen-Ammonia plant</t>
  </si>
  <si>
    <t>H2 Triangle</t>
  </si>
  <si>
    <t>Zephyros project</t>
  </si>
  <si>
    <t>Torrent ammonia plant</t>
  </si>
  <si>
    <t>H2M Eemshaven</t>
  </si>
  <si>
    <t>Liepaja Special Economic Zone (SEZ)</t>
  </si>
  <si>
    <t>MoU Lhyfe and SAF+</t>
  </si>
  <si>
    <t>H2 project Coesfeld area</t>
  </si>
  <si>
    <t>H2 project US Gulf coast</t>
  </si>
  <si>
    <t xml:space="preserve">E-methane pilot project </t>
  </si>
  <si>
    <t>Eneos project</t>
  </si>
  <si>
    <t>Sakhalin hydrogen cluster</t>
  </si>
  <si>
    <t>Welspun ammonia project</t>
  </si>
  <si>
    <t xml:space="preserve"> Blue Point complex  Louisiana</t>
  </si>
  <si>
    <t xml:space="preserve">Ammonia project Baytown complex </t>
  </si>
  <si>
    <t xml:space="preserve">IHI - ISCE2 SAF project </t>
  </si>
  <si>
    <t xml:space="preserve">H2 hub Bintulu Sarawak </t>
  </si>
  <si>
    <t>Nujio'qonik Green Hydrogen -phase 4</t>
  </si>
  <si>
    <t>Green Hydrogen Hub Stuttgart (GH2S)</t>
  </si>
  <si>
    <t>Installation Type</t>
  </si>
  <si>
    <t>Bad Lauchstädt wind farm</t>
  </si>
  <si>
    <t>Onshore</t>
  </si>
  <si>
    <t>Aachen wind farm</t>
  </si>
  <si>
    <t>Abens-Nord wind farm</t>
  </si>
  <si>
    <t>Ablaß wind farm</t>
  </si>
  <si>
    <t>Achmer Vinte Renditefonds wind farm</t>
  </si>
  <si>
    <t>Achtelsbach wind farm</t>
  </si>
  <si>
    <t>Ackendorf-Gutenswegen wind farm</t>
  </si>
  <si>
    <t>Adlerhorst wind farm</t>
  </si>
  <si>
    <t>Adorf wind farm</t>
  </si>
  <si>
    <t>Ahaus Quantwick wind farm</t>
  </si>
  <si>
    <t>Ahlen wind farm</t>
  </si>
  <si>
    <t>Ahlerstedt wind farm</t>
  </si>
  <si>
    <t>Ahorn-Buch wind farm</t>
  </si>
  <si>
    <t>Ahorn-Schillingstadt wind farm</t>
  </si>
  <si>
    <t>Ahrensfeld wind farm</t>
  </si>
  <si>
    <t>Ahrenviöl wind farm</t>
  </si>
  <si>
    <t>Ahrenviölfeld wind farm</t>
  </si>
  <si>
    <t>Albatros wind farm</t>
  </si>
  <si>
    <t>Offshore hard mount</t>
  </si>
  <si>
    <t>Albersdorf wind farm</t>
  </si>
  <si>
    <t>Albertshof wind farm</t>
  </si>
  <si>
    <t>Albringhausen wind farm</t>
  </si>
  <si>
    <t>Aldenhoven Nord wind farm</t>
  </si>
  <si>
    <t>Alfstedt wind farm</t>
  </si>
  <si>
    <t>Aller-Leine-Tal wind farm</t>
  </si>
  <si>
    <t>Alpenrod wind farm</t>
  </si>
  <si>
    <t>Alpha Ventus wind farm</t>
  </si>
  <si>
    <t>Alsleben wind farm</t>
  </si>
  <si>
    <t>Alt Zachun wind farm</t>
  </si>
  <si>
    <t>Alt-Bennebek wind farm</t>
  </si>
  <si>
    <t>Alte Höhe wind farm</t>
  </si>
  <si>
    <t>Altenau wind farm</t>
  </si>
  <si>
    <t>Altenbruch wind farm</t>
  </si>
  <si>
    <t>Altenmedingen wind farm</t>
  </si>
  <si>
    <t>Altenrheine wind farm</t>
  </si>
  <si>
    <t>Altentreptow West wind farm</t>
  </si>
  <si>
    <t>Altentreptow wind farm</t>
  </si>
  <si>
    <t>Alterkulz-Spesenroth wind farm</t>
  </si>
  <si>
    <t>Altes Lager wind farm</t>
  </si>
  <si>
    <t>Altlandsberg wind farm</t>
  </si>
  <si>
    <t>Altmark Dk wind farm</t>
  </si>
  <si>
    <t>Altmark wind farm</t>
  </si>
  <si>
    <t>Alzey-Heimersheim wind farm</t>
  </si>
  <si>
    <t>Am Ranzenkopf wind farm</t>
  </si>
  <si>
    <t>Amalienhof wind farm</t>
  </si>
  <si>
    <t>Amesdorf wind farm</t>
  </si>
  <si>
    <t>Amöneburg-Roßkopf wind farm</t>
  </si>
  <si>
    <t>Amrumbank West wind farm</t>
  </si>
  <si>
    <t>Amtenhauser Berg wind farm</t>
  </si>
  <si>
    <t>Anemolter-Steyerberg wind farm</t>
  </si>
  <si>
    <t>Angeltürn wind farm</t>
  </si>
  <si>
    <t>Ansbach Lichtenau wind farm</t>
  </si>
  <si>
    <t>Antrup wind farm</t>
  </si>
  <si>
    <t>Anzetel Wehlens wind farm</t>
  </si>
  <si>
    <t>Apensen wind farm</t>
  </si>
  <si>
    <t>Appeln wind farm</t>
  </si>
  <si>
    <t>Arcadis Ost wind farm</t>
  </si>
  <si>
    <t>Arfeld wind farm</t>
  </si>
  <si>
    <t>Arkona Becken SüDost wind farm</t>
  </si>
  <si>
    <t>Arneburg wind farm</t>
  </si>
  <si>
    <t>Artern wind farm</t>
  </si>
  <si>
    <t>Arzfeld wind farm</t>
  </si>
  <si>
    <t>Arzfeld-Ost (ABO) wind farm</t>
  </si>
  <si>
    <t>Arzfeld-Ost (Blue Pearl) wind farm</t>
  </si>
  <si>
    <t>Aschersleben wind farm</t>
  </si>
  <si>
    <t>Aschersleben-Nauen wind farm</t>
  </si>
  <si>
    <t>Asendorfer Kippe wind farm</t>
  </si>
  <si>
    <t>Asselner wind farm</t>
  </si>
  <si>
    <t>Aßlar wind farm</t>
  </si>
  <si>
    <t>Auf der weißen Trisch wind farm</t>
  </si>
  <si>
    <t>Aukrug wind farm</t>
  </si>
  <si>
    <t>Auras wind farm</t>
  </si>
  <si>
    <t>Ausleben wind farm</t>
  </si>
  <si>
    <t>AWOMO wind farm</t>
  </si>
  <si>
    <t>Bad Bentheim wind farm</t>
  </si>
  <si>
    <t>Bad Emstal wind farm</t>
  </si>
  <si>
    <t>Bad Hersfeld Wehneberg wind farm</t>
  </si>
  <si>
    <t>Bad Laasphe wind farm</t>
  </si>
  <si>
    <t>Bad Langensalza wind farm</t>
  </si>
  <si>
    <t>Bad Saulgau wind farm</t>
  </si>
  <si>
    <t>Bad Tennstedt wind farm</t>
  </si>
  <si>
    <t>Badbergen wind farm</t>
  </si>
  <si>
    <t>Badel wind farm</t>
  </si>
  <si>
    <t>Badeleben wind farm</t>
  </si>
  <si>
    <t>Badow wind farm</t>
  </si>
  <si>
    <t>Baesweiler wind farm</t>
  </si>
  <si>
    <t>Bagband wind farm</t>
  </si>
  <si>
    <t>Bakum wind farm</t>
  </si>
  <si>
    <t>Balkum-Thiene wind farm</t>
  </si>
  <si>
    <t>Baltic Eagle wind farm</t>
  </si>
  <si>
    <t>Bankewitz wind farm</t>
  </si>
  <si>
    <t>Barbecke (RWE) wind farm</t>
  </si>
  <si>
    <t>BARD Offshore wind farm</t>
  </si>
  <si>
    <t>Bardenfleth wind farm</t>
  </si>
  <si>
    <t>Bardowick wind farm</t>
  </si>
  <si>
    <t>Bärfang (Brandenburg) wind farm</t>
  </si>
  <si>
    <t>Bärfang (Schleswig-Holstein) wind farm</t>
  </si>
  <si>
    <t>Barg-Schwensby wind farm</t>
  </si>
  <si>
    <t>Barkow wind farm</t>
  </si>
  <si>
    <t>Barlt Ost wind farm</t>
  </si>
  <si>
    <t>Barlt West wind farm</t>
  </si>
  <si>
    <t>Bartelsdorf wind farm</t>
  </si>
  <si>
    <t>Bartow wind farm</t>
  </si>
  <si>
    <t>Barver Süd wind farm</t>
  </si>
  <si>
    <t>Basedow wind farm</t>
  </si>
  <si>
    <t>Bassens wind farm</t>
  </si>
  <si>
    <t>Bawöste wind farm</t>
  </si>
  <si>
    <t>Bayerischer Odenwald wind farm</t>
  </si>
  <si>
    <t>Bb wind farm</t>
  </si>
  <si>
    <t>Bbe wind farm</t>
  </si>
  <si>
    <t>Beckum wind farm</t>
  </si>
  <si>
    <t>Bedburg (ABO) wind farm</t>
  </si>
  <si>
    <t>Bedburg (RWE) wind farm</t>
  </si>
  <si>
    <t>Beedenbostel wind farm</t>
  </si>
  <si>
    <t>Beerfelde wind farm</t>
  </si>
  <si>
    <t>Beesenberg wind farm</t>
  </si>
  <si>
    <t>Beesenstedt wind farm</t>
  </si>
  <si>
    <t>Beeskow-Hufenfeld wind farm</t>
  </si>
  <si>
    <t>Beeskow-Neuendorf wind farm</t>
  </si>
  <si>
    <t>Beggerow-Borrentin wind farm</t>
  </si>
  <si>
    <t>Behrendorf wind farm</t>
  </si>
  <si>
    <t>Beidenfleth wind farm</t>
  </si>
  <si>
    <t>Beiersdorf wind farm</t>
  </si>
  <si>
    <t>Beiersdorf-Freudenberg wind farm</t>
  </si>
  <si>
    <t>Belle wind farm</t>
  </si>
  <si>
    <t>Beltheim II wind farm</t>
  </si>
  <si>
    <t>Belum wind farm</t>
  </si>
  <si>
    <t>Bendorf wind farm</t>
  </si>
  <si>
    <t>Bendorf-Oersdorf wind farm</t>
  </si>
  <si>
    <t>Bendorf-Ost wind farm</t>
  </si>
  <si>
    <t>Bentstreek wind farm</t>
  </si>
  <si>
    <t>Benzweiler wind farm</t>
  </si>
  <si>
    <t>Beppener Bruch wind farm</t>
  </si>
  <si>
    <t>Berching wind farm</t>
  </si>
  <si>
    <t>Berg wind farm (Germany)</t>
  </si>
  <si>
    <t>Berge-Kleeste wind farm</t>
  </si>
  <si>
    <t>Berge-Lietzow-Nauen wind farm</t>
  </si>
  <si>
    <t>Bergheim Wiedenfelder Höhe wind farm</t>
  </si>
  <si>
    <t>Bergheim wind farm</t>
  </si>
  <si>
    <t>Bergholz wind farm</t>
  </si>
  <si>
    <t>Berglicht wind farm</t>
  </si>
  <si>
    <t>Berglichter wind farm</t>
  </si>
  <si>
    <t>Berne wind farm</t>
  </si>
  <si>
    <t>Berngerode wind farm</t>
  </si>
  <si>
    <t>Bernitt wind farm</t>
  </si>
  <si>
    <t>Bernsdorf-Gersdorf wind farm</t>
  </si>
  <si>
    <t>Bernstadt wind farm</t>
  </si>
  <si>
    <t>Bertikow wind farm</t>
  </si>
  <si>
    <t>Bertkow wind farm</t>
  </si>
  <si>
    <t>Bescheid Süd wind farm</t>
  </si>
  <si>
    <t>Bettenfeld wind farm</t>
  </si>
  <si>
    <t>Beuren wind farm</t>
  </si>
  <si>
    <t>Bevensen-Masendorf wind farm</t>
  </si>
  <si>
    <t>Bgp Rakow wind farm</t>
  </si>
  <si>
    <t>Bickenbach wind farm</t>
  </si>
  <si>
    <t>Biebelnheim-Gabsheim wind farm</t>
  </si>
  <si>
    <t>Biebersdorf wind farm</t>
  </si>
  <si>
    <t>Biegen (NOTUS) wind farm</t>
  </si>
  <si>
    <t>Biegen wind farm</t>
  </si>
  <si>
    <t>Biere (Lorica) wind farm</t>
  </si>
  <si>
    <t>Biere (WPD) wind farm</t>
  </si>
  <si>
    <t>Bietikow wind farm</t>
  </si>
  <si>
    <t>Billertshausen wind farm</t>
  </si>
  <si>
    <t>Bimolten wind farm</t>
  </si>
  <si>
    <t>Bippen wind farm</t>
  </si>
  <si>
    <t>Birkenfels wind farm</t>
  </si>
  <si>
    <t>Blaue Warthe II wind farm</t>
  </si>
  <si>
    <t>Blaufelden wind farm</t>
  </si>
  <si>
    <t>Blender-Hustedt wind farm</t>
  </si>
  <si>
    <t>Bliesdorf wind farm</t>
  </si>
  <si>
    <t>Blumberg wind farm</t>
  </si>
  <si>
    <t>Blumenthal wind farm</t>
  </si>
  <si>
    <t>Blye wind farm</t>
  </si>
  <si>
    <t>Bmw Leipzig wind farm</t>
  </si>
  <si>
    <t>Bobritzsch-Schmohlhöhe wind farm</t>
  </si>
  <si>
    <t>Bobstadt wind farm</t>
  </si>
  <si>
    <t>Bockelwitz wind farm</t>
  </si>
  <si>
    <t>Bockhorn wind farm</t>
  </si>
  <si>
    <t>Bohmstedt wind farm</t>
  </si>
  <si>
    <t>Bohmte wind farm</t>
  </si>
  <si>
    <t>Boitzenhagen wind farm</t>
  </si>
  <si>
    <t>Bokel wind farm</t>
  </si>
  <si>
    <t>Bokel-Ellerdorf wind farm</t>
  </si>
  <si>
    <t>Bökingharder wind farm</t>
  </si>
  <si>
    <t>Boldecker Land wind farm</t>
  </si>
  <si>
    <t>Bollenhagen wind farm</t>
  </si>
  <si>
    <t>Bondenschiften wind farm</t>
  </si>
  <si>
    <t>Borchen wind farm</t>
  </si>
  <si>
    <t>Borchen-Etteln wind farm</t>
  </si>
  <si>
    <t>Bordelum wind farm</t>
  </si>
  <si>
    <t>Börger-Ohe wind farm</t>
  </si>
  <si>
    <t>Borkum Riffgrund 1 wind farm</t>
  </si>
  <si>
    <t>Borkum Riffgrund 2 wind farm</t>
  </si>
  <si>
    <t>Borne (MDP) wind farm</t>
  </si>
  <si>
    <t>Borne (WPD) wind farm</t>
  </si>
  <si>
    <t>Bornhausen wind farm</t>
  </si>
  <si>
    <t>Bornstedt-Holdenstedt wind farm</t>
  </si>
  <si>
    <t>Bornstedt-Rottmersleben wind farm</t>
  </si>
  <si>
    <t>Borringhauser Moor wind farm</t>
  </si>
  <si>
    <t>Borssum wind farm</t>
  </si>
  <si>
    <t>Borwede wind farm</t>
  </si>
  <si>
    <t>Bösel wind farm</t>
  </si>
  <si>
    <t>Bösel-Kündelmoor wind farm</t>
  </si>
  <si>
    <t>Bostelwiebeck wind farm</t>
  </si>
  <si>
    <t>Boxberg wind farm</t>
  </si>
  <si>
    <t>Brachttal-Spielberg wind farm</t>
  </si>
  <si>
    <t>Braderup wind farm</t>
  </si>
  <si>
    <t>Braderup-Kilxbull wind farm</t>
  </si>
  <si>
    <t>Braderup-Tinningstedt wind farm</t>
  </si>
  <si>
    <t>Bramstedtlund wind farm</t>
  </si>
  <si>
    <t>Brauerschwend-Lauterbach wind farm</t>
  </si>
  <si>
    <t>Braunsbach wind farm</t>
  </si>
  <si>
    <t>Brebek wind farm</t>
  </si>
  <si>
    <t>Breberen wind farm</t>
  </si>
  <si>
    <t>Brechte wind farm</t>
  </si>
  <si>
    <t>Brechtefeld wind farm</t>
  </si>
  <si>
    <t>Bredenborn Holzhausen wind farm</t>
  </si>
  <si>
    <t>Bredenborn wind farm</t>
  </si>
  <si>
    <t>Bredentin wind farm</t>
  </si>
  <si>
    <t>Bredow Zeestow wind farm</t>
  </si>
  <si>
    <t>Bredstedt-Land wind farm</t>
  </si>
  <si>
    <t>Breesen wind farm</t>
  </si>
  <si>
    <t>Breesen-Teetzleben wind farm</t>
  </si>
  <si>
    <t>Breit wind farm</t>
  </si>
  <si>
    <t>Breitenbach wind farm</t>
  </si>
  <si>
    <t>Breklum wind farm</t>
  </si>
  <si>
    <t>Bremen Mahndorf wind farm</t>
  </si>
  <si>
    <t>Bremerhaven-Lehe-Thebushelmde wind farm</t>
  </si>
  <si>
    <t>Brest wind farm</t>
  </si>
  <si>
    <t>Bretzfeld-Obersulm wind farm</t>
  </si>
  <si>
    <t>Breydin wind farm</t>
  </si>
  <si>
    <t>Briesensee wind farm</t>
  </si>
  <si>
    <t>Brilon (Alme) wind farm</t>
  </si>
  <si>
    <t>Brilon (Auf'm Mühlstein) wind farm</t>
  </si>
  <si>
    <t>Bröckel-Eicklingen wind farm</t>
  </si>
  <si>
    <t>Brockoh wind farm</t>
  </si>
  <si>
    <t>Bruchhagen wind farm</t>
  </si>
  <si>
    <t>Bruchhausen-Vilsen wind farm</t>
  </si>
  <si>
    <t>Brugger wind farm</t>
  </si>
  <si>
    <t>Brünnstadt wind farm</t>
  </si>
  <si>
    <t>Brunsbüttel wind farm</t>
  </si>
  <si>
    <t>Brunsbüttel-West wind farm</t>
  </si>
  <si>
    <t>Bucha II wind farm</t>
  </si>
  <si>
    <t>Buchau wind farm</t>
  </si>
  <si>
    <t>Buchenau (Thüga And Rhön) wind farm</t>
  </si>
  <si>
    <t>Buchenau wind farm</t>
  </si>
  <si>
    <t>Büchenbach wind farm</t>
  </si>
  <si>
    <t>Buchhain (Buchhainer Heide) wind farm</t>
  </si>
  <si>
    <t>Buchhain wind farm</t>
  </si>
  <si>
    <t>Buchhainer Heide wind farm</t>
  </si>
  <si>
    <t>Buchholz wind farm</t>
  </si>
  <si>
    <t>Buchonia wind farm</t>
  </si>
  <si>
    <t>Buckow-Birkholz wind farm</t>
  </si>
  <si>
    <t>Bückwitz II wind farm</t>
  </si>
  <si>
    <t>Bühlertann wind farm</t>
  </si>
  <si>
    <t>Bullenberg wind farm</t>
  </si>
  <si>
    <t>Bunderhee wind farm</t>
  </si>
  <si>
    <t>Büren wind farm</t>
  </si>
  <si>
    <t>Büren-Haabusch wind farm</t>
  </si>
  <si>
    <t>Burg (EVV Renewable Energy) wind farm</t>
  </si>
  <si>
    <t>Burg (NOTUS) wind farm</t>
  </si>
  <si>
    <t>Burgholz wind farm</t>
  </si>
  <si>
    <t>Burlage wind farm</t>
  </si>
  <si>
    <t>Butendiek wind farm</t>
  </si>
  <si>
    <t>Bütow wind farm</t>
  </si>
  <si>
    <t>Büttel wind farm</t>
  </si>
  <si>
    <t>Büttler Balje wind farm</t>
  </si>
  <si>
    <t>Buttstädt wind farm</t>
  </si>
  <si>
    <t>Büttstedt wind farm</t>
  </si>
  <si>
    <t>C-Forst wind farm</t>
  </si>
  <si>
    <t>Calau wind farm</t>
  </si>
  <si>
    <t>Calau-Schadewitz wind farm</t>
  </si>
  <si>
    <t>Cashagen wind farm</t>
  </si>
  <si>
    <t>Cheinitz-Zethlingen wind farm</t>
  </si>
  <si>
    <t>Chransdorf wind farm</t>
  </si>
  <si>
    <t>Christinendorf wind farm</t>
  </si>
  <si>
    <t>Clauen wind farm</t>
  </si>
  <si>
    <t>Clenze wind farm</t>
  </si>
  <si>
    <t>Coesfeld wind farm</t>
  </si>
  <si>
    <t>Constantia-Forst wind farm</t>
  </si>
  <si>
    <t>Coppanz wind farm</t>
  </si>
  <si>
    <t>Coppenbrügge Hohnsen wind farm</t>
  </si>
  <si>
    <t>Coppenbrügge wind farm</t>
  </si>
  <si>
    <t>Cottbuser Halde wind farm</t>
  </si>
  <si>
    <t>Cottbuser See wind farm</t>
  </si>
  <si>
    <t>Crussow wind farm</t>
  </si>
  <si>
    <t>Curslack wind farm</t>
  </si>
  <si>
    <t>Dachsberg wind farm</t>
  </si>
  <si>
    <t>Dagebüll wind farm</t>
  </si>
  <si>
    <t>Dahl Ost wind farm</t>
  </si>
  <si>
    <t>Dahl wind farm</t>
  </si>
  <si>
    <t>Dahle wind farm</t>
  </si>
  <si>
    <t>Dahlem wind farm</t>
  </si>
  <si>
    <t>Dahlem-Baasemer wind farm</t>
  </si>
  <si>
    <t>Dahlenburg wind farm</t>
  </si>
  <si>
    <t>Dahme wind farm</t>
  </si>
  <si>
    <t>Dalldorf-Grabau wind farm</t>
  </si>
  <si>
    <t>Dalwitz wind farm</t>
  </si>
  <si>
    <t>Damme wind farm</t>
  </si>
  <si>
    <t>Dammfleth-Hochfeld wind farm</t>
  </si>
  <si>
    <t>Danna (Brandenburg) wind farm</t>
  </si>
  <si>
    <t>Danna (Sachsen-Anhalt) wind farm</t>
  </si>
  <si>
    <t>Dantysk wind farm</t>
  </si>
  <si>
    <t>Dargelütz (E.ON) wind farm</t>
  </si>
  <si>
    <t>Dargelütz (WPD) wind farm</t>
  </si>
  <si>
    <t>Daseburg wind farm</t>
  </si>
  <si>
    <t>Deblinghausen wind farm</t>
  </si>
  <si>
    <t>Debstedt wind farm</t>
  </si>
  <si>
    <t>Deinste wind farm</t>
  </si>
  <si>
    <t>Denkendorf wind farm</t>
  </si>
  <si>
    <t>Dennin wind farm</t>
  </si>
  <si>
    <t>Dersekow wind farm</t>
  </si>
  <si>
    <t>Detern wind farm</t>
  </si>
  <si>
    <t>Deutsche Bucht wind farm</t>
  </si>
  <si>
    <t>Die Gleiche wind farm</t>
  </si>
  <si>
    <t>Diedersbüll wind farm</t>
  </si>
  <si>
    <t>Diekhusen-Fahrstedt Windpark</t>
  </si>
  <si>
    <t>Diemelsee wind farm</t>
  </si>
  <si>
    <t>Diepenau wind farm</t>
  </si>
  <si>
    <t>Dietrichsfeld wind farm</t>
  </si>
  <si>
    <t>Dingen wind farm</t>
  </si>
  <si>
    <t>Dinkelsbühl-Wilburgstetten wind farm</t>
  </si>
  <si>
    <t>Dinklage Hone wind farm</t>
  </si>
  <si>
    <t>Dirlammen wind farm</t>
  </si>
  <si>
    <t>Dissau wind farm</t>
  </si>
  <si>
    <t>Dittelsheim-Heßloch wind farm</t>
  </si>
  <si>
    <t>Dobberkau Erweiterung wind farm</t>
  </si>
  <si>
    <t>Dobberkau wind farm</t>
  </si>
  <si>
    <t>Dolgelin wind farm</t>
  </si>
  <si>
    <t>Dolleruper wind farm</t>
  </si>
  <si>
    <t>Domnitz wind farm</t>
  </si>
  <si>
    <t>Domsdorf wind farm</t>
  </si>
  <si>
    <t>Dörentrup wind farm</t>
  </si>
  <si>
    <t>Dörmte wind farm</t>
  </si>
  <si>
    <t>Dorn-Dürkheim wind farm</t>
  </si>
  <si>
    <t>Dorna wind farm</t>
  </si>
  <si>
    <t>Dornbock wind farm</t>
  </si>
  <si>
    <t>Dornstedt wind farm</t>
  </si>
  <si>
    <t>Dörnthal Am Saidenberg wind farm</t>
  </si>
  <si>
    <t>Dornum wind farm</t>
  </si>
  <si>
    <t>Dörpen wind farm</t>
  </si>
  <si>
    <t>Dörrwalde-Allmosen wind farm</t>
  </si>
  <si>
    <t>Dortmund Horst wind farm</t>
  </si>
  <si>
    <t>Dötlingen wind farm</t>
  </si>
  <si>
    <t>Dree Meeden wind farm</t>
  </si>
  <si>
    <t>Drehnow wind farm</t>
  </si>
  <si>
    <t>Dreiberg wind farm</t>
  </si>
  <si>
    <t>Dretzen wind farm</t>
  </si>
  <si>
    <t>Drochtersen wind farm</t>
  </si>
  <si>
    <t>Drohndorf wind farm</t>
  </si>
  <si>
    <t>Drostenplatz wind farm</t>
  </si>
  <si>
    <t>Druiberg wind farm</t>
  </si>
  <si>
    <t>Druxberge wind farm</t>
  </si>
  <si>
    <t>Duben Süd wind farm</t>
  </si>
  <si>
    <t>Duben wind farm</t>
  </si>
  <si>
    <t>Dubener Platte (BKW) wind farm</t>
  </si>
  <si>
    <t>Dubener Platte (DGE) wind farm</t>
  </si>
  <si>
    <t>Düngstrup wind farm</t>
  </si>
  <si>
    <t>Dünsbach wind farm</t>
  </si>
  <si>
    <t>Düren wind farm</t>
  </si>
  <si>
    <t>Düsedau wind farm</t>
  </si>
  <si>
    <t>Düshorner Heide wind farm</t>
  </si>
  <si>
    <t>Düste wind farm</t>
  </si>
  <si>
    <t>Dwarstief wind farm</t>
  </si>
  <si>
    <t>Ebenheim wind farm</t>
  </si>
  <si>
    <t>Ebersdorf wind farm</t>
  </si>
  <si>
    <t>Eckolstädt wind farm</t>
  </si>
  <si>
    <t>Edersleben wind farm</t>
  </si>
  <si>
    <t>Egeln Nord wind farm</t>
  </si>
  <si>
    <t>Egge wind farm</t>
  </si>
  <si>
    <t>Eggstedt-Suderhastedt wind farm</t>
  </si>
  <si>
    <t>Ehlbeck wind farm</t>
  </si>
  <si>
    <t>Ehra-Lessien wind farm</t>
  </si>
  <si>
    <t>Eichenhof wind farm</t>
  </si>
  <si>
    <t>Eichower Wald wind farm</t>
  </si>
  <si>
    <t>Eidelweg wind farm</t>
  </si>
  <si>
    <t>Eider wind farm</t>
  </si>
  <si>
    <t>Eiderland wind farm</t>
  </si>
  <si>
    <t>Eifel wind farm</t>
  </si>
  <si>
    <t>Eilerberg wind farm</t>
  </si>
  <si>
    <t>Eilsleben wind farm</t>
  </si>
  <si>
    <t>Eimsheim wind farm</t>
  </si>
  <si>
    <t>Einöllen wind farm</t>
  </si>
  <si>
    <t>Einzingen wind farm</t>
  </si>
  <si>
    <t>Eisenach wind farm</t>
  </si>
  <si>
    <t>Eixen wind farm</t>
  </si>
  <si>
    <t>Elbaue-Fläming wind farm</t>
  </si>
  <si>
    <t>Elbe-Steinlah wind farm</t>
  </si>
  <si>
    <t>Elbenrod wind farm</t>
  </si>
  <si>
    <t>Elfershausen wind farm</t>
  </si>
  <si>
    <t>Elisenhof wind farm</t>
  </si>
  <si>
    <t>Ellenserdamm wind farm</t>
  </si>
  <si>
    <t>Ellern (Verbund) wind farm</t>
  </si>
  <si>
    <t>Ellerode wind farm</t>
  </si>
  <si>
    <t>Ellhöft-Westre wind farm</t>
  </si>
  <si>
    <t>Ellwanger Berge wind farm</t>
  </si>
  <si>
    <t>Elsdorf wind farm</t>
  </si>
  <si>
    <t>Elsterheide wind farm</t>
  </si>
  <si>
    <t>Elsterwerda wind farm</t>
  </si>
  <si>
    <t>Elzer Berg wind farm</t>
  </si>
  <si>
    <t>Emlichheim wind farm</t>
  </si>
  <si>
    <t>Emlichheim-Nord wind farm</t>
  </si>
  <si>
    <t>Emmelsbüll-Horsbüll wind farm</t>
  </si>
  <si>
    <t>Emmendorf wind farm</t>
  </si>
  <si>
    <t>Emsdetten - Veltrup wind farm</t>
  </si>
  <si>
    <t>Enbw Baltic wind farm</t>
  </si>
  <si>
    <t>Engelschoff wind farm</t>
  </si>
  <si>
    <t>Englmannsberg wind farm</t>
  </si>
  <si>
    <t>Ennigerloh wind farm</t>
  </si>
  <si>
    <t>Erbes-Büdesheim wind farm</t>
  </si>
  <si>
    <t>Erftstadt wind farm</t>
  </si>
  <si>
    <t>Erfurt-Schwerborn wind farm</t>
  </si>
  <si>
    <t>Erwitte-Völlinghausen wind farm</t>
  </si>
  <si>
    <t>Esche Nord wind farm</t>
  </si>
  <si>
    <t>Escherwind wind farm</t>
  </si>
  <si>
    <t>Eschweiler wind farm</t>
  </si>
  <si>
    <t>Esperstedt wind farm</t>
  </si>
  <si>
    <t>Esperstedt-Obhausen wind farm</t>
  </si>
  <si>
    <t>Esperstoft wind farm</t>
  </si>
  <si>
    <t>Etteln A33 wind farm</t>
  </si>
  <si>
    <t>Etzin wind farm</t>
  </si>
  <si>
    <t>Evendorf wind farm</t>
  </si>
  <si>
    <t>Everswinkel wind farm</t>
  </si>
  <si>
    <t>Fahlen Knüven Windpark</t>
  </si>
  <si>
    <t>Fahrenwalde wind farm</t>
  </si>
  <si>
    <t>Fahretoft wind farm</t>
  </si>
  <si>
    <t>Falkenhöhe wind farm</t>
  </si>
  <si>
    <t>Falkenstein-Harz-Ermsleben wind farm</t>
  </si>
  <si>
    <t>Falkenthal wind farm</t>
  </si>
  <si>
    <t>Falkenwalde (Bürgerwind Mattheshöhe) wind farm</t>
  </si>
  <si>
    <t>Falkenwalde (Theolia Naturenergien) wind farm</t>
  </si>
  <si>
    <t>Farnstädt wind farm</t>
  </si>
  <si>
    <t>Farvewind wind farm</t>
  </si>
  <si>
    <t>Fasanerie wind farm</t>
  </si>
  <si>
    <t>Fehmarn Mitte wind farm</t>
  </si>
  <si>
    <t>Fehmarn Nordwest wind farm</t>
  </si>
  <si>
    <t>Fehndorf-Lindloh wind farm</t>
  </si>
  <si>
    <t>Fehnland wind farm</t>
  </si>
  <si>
    <t>Feistelberg wind farm</t>
  </si>
  <si>
    <t>Felde Windpark</t>
  </si>
  <si>
    <t>Feldheim wind farm</t>
  </si>
  <si>
    <t>Felsberg Green Energy wind farm</t>
  </si>
  <si>
    <t>Fichtenau wind farm</t>
  </si>
  <si>
    <t>Fiebing wind farm</t>
  </si>
  <si>
    <t>Finkenbach-Gersweiler wind farm</t>
  </si>
  <si>
    <t>Fischbeck (Encavis) wind farm</t>
  </si>
  <si>
    <t>Fischbeck (Enercity) wind farm</t>
  </si>
  <si>
    <t>Flamschen wind farm</t>
  </si>
  <si>
    <t>Fleetmark wind farm</t>
  </si>
  <si>
    <t>Flinten wind farm</t>
  </si>
  <si>
    <t>Floethe wind farm</t>
  </si>
  <si>
    <t>Flomborn-Stetten wind farm</t>
  </si>
  <si>
    <t>Flörsbachtal-Roßkopf wind farm</t>
  </si>
  <si>
    <t>Föhr wind farm</t>
  </si>
  <si>
    <t>Fohren-Linden wind farm</t>
  </si>
  <si>
    <t>Fohren-Linden/Eckersweiler wind farm</t>
  </si>
  <si>
    <t>Forst Briesnig wind farm</t>
  </si>
  <si>
    <t>Framersheim wind farm</t>
  </si>
  <si>
    <t>Frauenhagen wind farm</t>
  </si>
  <si>
    <t>Freckenfeld wind farm</t>
  </si>
  <si>
    <t>Freiensteinau wind farm</t>
  </si>
  <si>
    <t>Freiheit wind farm</t>
  </si>
  <si>
    <t>Freimersheim wind farm</t>
  </si>
  <si>
    <t>Freren wind farm</t>
  </si>
  <si>
    <t>Freudenberg wind farm</t>
  </si>
  <si>
    <t>Freudenburg-Brieske wind farm</t>
  </si>
  <si>
    <t>Freyenstein-Halenbeck wind farm</t>
  </si>
  <si>
    <t>Friedeholzheide wind farm</t>
  </si>
  <si>
    <t>Friedland Stadt wind farm</t>
  </si>
  <si>
    <t>Frieschenmoor wind farm</t>
  </si>
  <si>
    <t>Friesoythe wind farm</t>
  </si>
  <si>
    <t>Fuchsberg wind farm</t>
  </si>
  <si>
    <t>Fuchsstadt wind farm</t>
  </si>
  <si>
    <t>Fuchstal Gemeindewald wind farm</t>
  </si>
  <si>
    <t>Fuchstal wind farm</t>
  </si>
  <si>
    <t>Fücht wind farm</t>
  </si>
  <si>
    <t>Füchtorf wind farm</t>
  </si>
  <si>
    <t>Fürfeld wind farm</t>
  </si>
  <si>
    <t>Fürstenau Mühlenbach wind farm</t>
  </si>
  <si>
    <t>Fürstenau Neu wind farm</t>
  </si>
  <si>
    <t>Fürth wind farm</t>
  </si>
  <si>
    <t>Gabsheim wind farm</t>
  </si>
  <si>
    <t>Gadegast wind farm</t>
  </si>
  <si>
    <t>Gagel wind farm</t>
  </si>
  <si>
    <t>Gägelow wind farm</t>
  </si>
  <si>
    <t>Gaildorf wind farm</t>
  </si>
  <si>
    <t>Gaishecke wind farm</t>
  </si>
  <si>
    <t>Galgenberg wind farm</t>
  </si>
  <si>
    <t>Galgenhöh wind farm</t>
  </si>
  <si>
    <t>Gallun wind farm</t>
  </si>
  <si>
    <t>Gangloffsömmern wind farm</t>
  </si>
  <si>
    <t>Ganzer wind farm</t>
  </si>
  <si>
    <t>Garlipp wind farm</t>
  </si>
  <si>
    <t>Gau-Bickelheim wind farm</t>
  </si>
  <si>
    <t>Gaugshausen wind farm</t>
  </si>
  <si>
    <t>Gebersreuth wind farm</t>
  </si>
  <si>
    <t>Gebhardshain wind farm</t>
  </si>
  <si>
    <t>Geeste (Cuxhaven) wind farm</t>
  </si>
  <si>
    <t>Geeste (Emsland) wind farm</t>
  </si>
  <si>
    <t>Gefell wind farm</t>
  </si>
  <si>
    <t>Gehlenberg wind farm</t>
  </si>
  <si>
    <t>Gehrde wind farm</t>
  </si>
  <si>
    <t>Gehrden wind farm</t>
  </si>
  <si>
    <t>Geilenkirchen Lindern wind farm</t>
  </si>
  <si>
    <t>Geisberg wind farm</t>
  </si>
  <si>
    <t>Gemünden wind farm</t>
  </si>
  <si>
    <t>Georgsfeld wind farm</t>
  </si>
  <si>
    <t>Gerbstedt-Ihlewitz wind farm</t>
  </si>
  <si>
    <t>Gerdau-Schwienau wind farm</t>
  </si>
  <si>
    <t>Gerdshagen wind farm</t>
  </si>
  <si>
    <t>Gerdshagen-Rapshagen wind farm</t>
  </si>
  <si>
    <t>Gerichtstetten wind farm</t>
  </si>
  <si>
    <t>Gesater Wald wind farm</t>
  </si>
  <si>
    <t>Gescher TP Süd wind farm</t>
  </si>
  <si>
    <t>Gescherwind wind farm</t>
  </si>
  <si>
    <t>Gevensleben (Landwind) wind farm</t>
  </si>
  <si>
    <t>Gevensleben-Winnigstedt wind farm</t>
  </si>
  <si>
    <t>Gieboldehausen wind farm</t>
  </si>
  <si>
    <t>Gielert wind farm</t>
  </si>
  <si>
    <t>Giersleben wind farm</t>
  </si>
  <si>
    <t>Gilmerdingen wind farm</t>
  </si>
  <si>
    <t>Glandorf wind farm</t>
  </si>
  <si>
    <t>Glane wind farm</t>
  </si>
  <si>
    <t>Glasewitz wind farm</t>
  </si>
  <si>
    <t>Glienicke wind farm</t>
  </si>
  <si>
    <t>Global Tech wind farm</t>
  </si>
  <si>
    <t>Gnannenweiler Windnetz wind farm</t>
  </si>
  <si>
    <t>Gode wind farm</t>
  </si>
  <si>
    <t>Gohlocher Wald wind farm</t>
  </si>
  <si>
    <t>Goldbach wind farm</t>
  </si>
  <si>
    <t>Gölenkamp-Haftenkamp wind farm</t>
  </si>
  <si>
    <t>Gölenkamp-Wilsum wind farm</t>
  </si>
  <si>
    <t>Gollenberg wind farm</t>
  </si>
  <si>
    <t>Göllheimer Wald wind farm</t>
  </si>
  <si>
    <t>Gollhofen-Rodheim wind farm</t>
  </si>
  <si>
    <t>Gollmitz wind farm</t>
  </si>
  <si>
    <t>Gollmitz-Schönermark wind farm</t>
  </si>
  <si>
    <t>Göllnitz wind farm</t>
  </si>
  <si>
    <t>Göllnitz-Lieskau-Rehain wind farm</t>
  </si>
  <si>
    <t>Göllnitz-West wind farm</t>
  </si>
  <si>
    <t>Golzow wind farm</t>
  </si>
  <si>
    <t>Golzwarden wind farm</t>
  </si>
  <si>
    <t>Gommern wind farm</t>
  </si>
  <si>
    <t>Görike wind farm</t>
  </si>
  <si>
    <t>Görike-Schönhagen wind farm</t>
  </si>
  <si>
    <t>Görike-Söllenthin wind farm</t>
  </si>
  <si>
    <t>Görrisau wind farm</t>
  </si>
  <si>
    <t>Görzig Ost wind farm</t>
  </si>
  <si>
    <t>Grabow-Reesen wind farm</t>
  </si>
  <si>
    <t>Gramzow wind farm</t>
  </si>
  <si>
    <t>Gransee wind farm</t>
  </si>
  <si>
    <t>Grapzow wind farm</t>
  </si>
  <si>
    <t>Grassau wind farm</t>
  </si>
  <si>
    <t>Grebbin Süd wind farm</t>
  </si>
  <si>
    <t>Grebenau wind farm</t>
  </si>
  <si>
    <t>Greifenhain wind farm</t>
  </si>
  <si>
    <t>Greiner Eck wind farm</t>
  </si>
  <si>
    <t>Gremersdorf wind farm</t>
  </si>
  <si>
    <t>Greußen wind farm</t>
  </si>
  <si>
    <t>Grevenbroich wind farm</t>
  </si>
  <si>
    <t>Grevenkop West wind farm</t>
  </si>
  <si>
    <t>Grevenkop wind farm</t>
  </si>
  <si>
    <t>Grimburg wind farm</t>
  </si>
  <si>
    <t>Grimmen-Grellenberg wind farm</t>
  </si>
  <si>
    <t>Grohnde-Kirchohsen wind farm</t>
  </si>
  <si>
    <t>Grömitz wind farm</t>
  </si>
  <si>
    <t>Gronau Epe wind farm</t>
  </si>
  <si>
    <t>Gröningen wind farm</t>
  </si>
  <si>
    <t>Groß Bisdorf wind farm</t>
  </si>
  <si>
    <t>Groß Buchwald-Negenharrie wind farm</t>
  </si>
  <si>
    <t>Groß Chüden wind farm</t>
  </si>
  <si>
    <t>Groß Eilstorf wind farm</t>
  </si>
  <si>
    <t>Groß Ippener wind farm</t>
  </si>
  <si>
    <t>Groß Leine-Klein Leine wind farm</t>
  </si>
  <si>
    <t>Groß Niendorf wind farm</t>
  </si>
  <si>
    <t>Groß Oesingen wind farm</t>
  </si>
  <si>
    <t>Groß Pankow wind farm</t>
  </si>
  <si>
    <t>Groß Pinnow wind farm</t>
  </si>
  <si>
    <t>Groß Santersleben Süd wind farm</t>
  </si>
  <si>
    <t>Groß Welle (Helvetic) wind farm</t>
  </si>
  <si>
    <t>Groß Welle wind farm</t>
  </si>
  <si>
    <t>Groß-Ziescht wind farm</t>
  </si>
  <si>
    <t>Großbardorf-Sulzfeld wind farm</t>
  </si>
  <si>
    <t>Großberndten wind farm</t>
  </si>
  <si>
    <t>Große Schanze wind farm</t>
  </si>
  <si>
    <t>Großenaspe wind farm</t>
  </si>
  <si>
    <t>Großenehrich wind farm</t>
  </si>
  <si>
    <t>Großenwede wind farm</t>
  </si>
  <si>
    <t>Großenwiehe wind farm</t>
  </si>
  <si>
    <t>Großer Wald wind farm</t>
  </si>
  <si>
    <t>Großvargula wind farm</t>
  </si>
  <si>
    <t>Grünberg wind farm</t>
  </si>
  <si>
    <t>Grünow wind farm</t>
  </si>
  <si>
    <t>Grüppenbühren wind farm</t>
  </si>
  <si>
    <t>Gudendorf wind farm</t>
  </si>
  <si>
    <t>Gundersheim-Bermersheim wind farm</t>
  </si>
  <si>
    <t>Günthersdorf wind farm</t>
  </si>
  <si>
    <t>Gunzenhausen wind farm</t>
  </si>
  <si>
    <t>Gusenburg Süd wind farm</t>
  </si>
  <si>
    <t>Gussenstadt wind farm</t>
  </si>
  <si>
    <t>Güstow wind farm</t>
  </si>
  <si>
    <t>Gut Priesholz wind farm</t>
  </si>
  <si>
    <t>H &amp; N Bürgerwind wind farm</t>
  </si>
  <si>
    <t>Haaren-Leiberg wind farm</t>
  </si>
  <si>
    <t>Häcklingen-Melbeck wind farm</t>
  </si>
  <si>
    <t>Hademarschen-Steenfeld wind farm</t>
  </si>
  <si>
    <t>Hagenkamp wind farm</t>
  </si>
  <si>
    <t>Haiger wind farm</t>
  </si>
  <si>
    <t>Hain-Ost wind farm</t>
  </si>
  <si>
    <t>Hainleite wind farm</t>
  </si>
  <si>
    <t>Hainstadt-Buchen wind farm</t>
  </si>
  <si>
    <t>Hakenberg wind farm</t>
  </si>
  <si>
    <t>Hakenstedt Energieq wind farm</t>
  </si>
  <si>
    <t>Hakenstedt wind farm</t>
  </si>
  <si>
    <t>Halenbeck 1 wind farm</t>
  </si>
  <si>
    <t>Halenbeck 2 wind farm</t>
  </si>
  <si>
    <t>Halsdorf wind farm</t>
  </si>
  <si>
    <t>Haltern Ennenberg wind farm</t>
  </si>
  <si>
    <t>Hambergen wind farm</t>
  </si>
  <si>
    <t>Hamburg wind farm</t>
  </si>
  <si>
    <t>Hämelhausen wind farm</t>
  </si>
  <si>
    <t>Hamer-Steenfeld wind farm</t>
  </si>
  <si>
    <t>Hamersen wind farm</t>
  </si>
  <si>
    <t>Hamm-Stemmel wind farm</t>
  </si>
  <si>
    <t>Hammelwarder Moor wind farm</t>
  </si>
  <si>
    <t>Hamswehrum-Groothusen wind farm</t>
  </si>
  <si>
    <t>Hamwarde wind farm</t>
  </si>
  <si>
    <t>Hamwiede wind farm</t>
  </si>
  <si>
    <t>Handewitt wind farm</t>
  </si>
  <si>
    <t>Handewitt-West wind farm</t>
  </si>
  <si>
    <t>Handrup wind farm</t>
  </si>
  <si>
    <t>Hangelberg wind farm</t>
  </si>
  <si>
    <t>Hangen-Weisheim wind farm</t>
  </si>
  <si>
    <t>Hanstedt II wind farm</t>
  </si>
  <si>
    <t>Hanstedt wind farm</t>
  </si>
  <si>
    <t>Hanstedt-Wriedel wind farm</t>
  </si>
  <si>
    <t>Harkebrügge wind farm</t>
  </si>
  <si>
    <t>Harlingerland wind farm</t>
  </si>
  <si>
    <t>Harsahl wind farm</t>
  </si>
  <si>
    <t>Harsum-Schellerten wind farm</t>
  </si>
  <si>
    <t>Hartenfelser Kopf wind farm</t>
  </si>
  <si>
    <t>Harthäuser Wald wind farm</t>
  </si>
  <si>
    <t>Harzkopf wind farm</t>
  </si>
  <si>
    <t>Hasel wind farm</t>
  </si>
  <si>
    <t>Haselünne wind farm</t>
  </si>
  <si>
    <t>Hasenkrug-Hardebek wind farm</t>
  </si>
  <si>
    <t>Hassel wind farm</t>
  </si>
  <si>
    <t>Hassenhausen wind farm</t>
  </si>
  <si>
    <t>Haßmoor wind farm</t>
  </si>
  <si>
    <t>Hatten wind farm</t>
  </si>
  <si>
    <t>Hattorfer Berg wind farm</t>
  </si>
  <si>
    <t>Hatzenbühl wind farm</t>
  </si>
  <si>
    <t>Hauenhorst wind farm</t>
  </si>
  <si>
    <t>Haunetal wind farm</t>
  </si>
  <si>
    <t>Haupersweiler wind farm</t>
  </si>
  <si>
    <t>Hausfirste wind farm</t>
  </si>
  <si>
    <t>Heckelberg wind farm</t>
  </si>
  <si>
    <t>Heddinghäuser Haar wind farm</t>
  </si>
  <si>
    <t>Hedwigenkoog wind farm</t>
  </si>
  <si>
    <t>Heede wind farm</t>
  </si>
  <si>
    <t>Heerenweg wind farm</t>
  </si>
  <si>
    <t>Heidehof wind farm</t>
  </si>
  <si>
    <t>Heidelheim wind farm</t>
  </si>
  <si>
    <t>Heidenau wind farm</t>
  </si>
  <si>
    <t>Heidenrod wind farm</t>
  </si>
  <si>
    <t>Heidmoor wind farm</t>
  </si>
  <si>
    <t>Heimbach-Vlatten wind farm</t>
  </si>
  <si>
    <t>Heinersdorf wind farm</t>
  </si>
  <si>
    <t>Heinsberg wind farm</t>
  </si>
  <si>
    <t>Helenenberg wind farm</t>
  </si>
  <si>
    <t>Hellberge Renergys wind farm</t>
  </si>
  <si>
    <t>Hellberge wind farm</t>
  </si>
  <si>
    <t>Helligbek wind farm</t>
  </si>
  <si>
    <t>Hellschen-Heringsand-Unterschaar wind farm</t>
  </si>
  <si>
    <t>Helmshagen wind farm</t>
  </si>
  <si>
    <t>Helmstadt wind farm</t>
  </si>
  <si>
    <t>Helmstedt-Treue wind farm</t>
  </si>
  <si>
    <t>Hemme Moorweg wind farm</t>
  </si>
  <si>
    <t>Hemme Weisses Moor wind farm</t>
  </si>
  <si>
    <t>Hemme wind farm</t>
  </si>
  <si>
    <t>Hengeler-Wendfeld wind farm</t>
  </si>
  <si>
    <t>Hengsterholz wind farm</t>
  </si>
  <si>
    <t>Herbrum wind farm</t>
  </si>
  <si>
    <t>Herbsleben wind farm</t>
  </si>
  <si>
    <t>Heringen wind farm</t>
  </si>
  <si>
    <t>Heringen-Philippsthal wind farm</t>
  </si>
  <si>
    <t>Heringen-Waltersberg wind farm</t>
  </si>
  <si>
    <t>Herkentrup wind farm</t>
  </si>
  <si>
    <t>Hermannsburg (EOS) wind farm</t>
  </si>
  <si>
    <t>Hermannsburg (ERG) wind farm</t>
  </si>
  <si>
    <t>Herrenmoor wind farm</t>
  </si>
  <si>
    <t>Herrnsheimer Höhe wind farm</t>
  </si>
  <si>
    <t>Hetendorf wind farm</t>
  </si>
  <si>
    <t>Hettersroth wind farm</t>
  </si>
  <si>
    <t>Heubusch Sintfeld wind farm</t>
  </si>
  <si>
    <t>Heyen wind farm</t>
  </si>
  <si>
    <t>Heynitz wind farm</t>
  </si>
  <si>
    <t>Hiddels wind farm</t>
  </si>
  <si>
    <t>Hilchenbach wind farm</t>
  </si>
  <si>
    <t>Hillgroven wind farm</t>
  </si>
  <si>
    <t>Hilsberg wind farm</t>
  </si>
  <si>
    <t>Himmelreich (Barlt) wind farm</t>
  </si>
  <si>
    <t>Himmelwald wind farm</t>
  </si>
  <si>
    <t>Hinte wind farm</t>
  </si>
  <si>
    <t>Hintersteinau wind farm</t>
  </si>
  <si>
    <t>Hocheifel wind farm</t>
  </si>
  <si>
    <t>Hochfranken wind farm</t>
  </si>
  <si>
    <t>Hochheim wind farm</t>
  </si>
  <si>
    <t>Hof (Trasse Münchberg) wind farm</t>
  </si>
  <si>
    <t>Höfen wind farm</t>
  </si>
  <si>
    <t>Hohe Heide wind farm</t>
  </si>
  <si>
    <t>Hohe See wind farm</t>
  </si>
  <si>
    <t>Hohe Wuhne wind farm</t>
  </si>
  <si>
    <t>Hohegaste wind farm</t>
  </si>
  <si>
    <t>Hohen Luckow wind farm</t>
  </si>
  <si>
    <t>Hohen Pritz wind farm</t>
  </si>
  <si>
    <t>Hohenahr wind farm</t>
  </si>
  <si>
    <t>Hohenfelde wind farm</t>
  </si>
  <si>
    <t>Hohengüstow wind farm</t>
  </si>
  <si>
    <t>Hohenlochen wind farm</t>
  </si>
  <si>
    <t>Hohenmölsen wind farm</t>
  </si>
  <si>
    <t>Hohenroda-Mansbach wind farm</t>
  </si>
  <si>
    <t>Hohenseefeld wind farm</t>
  </si>
  <si>
    <t>Hohenwalde wind farm</t>
  </si>
  <si>
    <t>Hohenzellig wind farm</t>
  </si>
  <si>
    <t>Hoher Fläming (Nichel) wind farm</t>
  </si>
  <si>
    <t>Hoher Fläming wind farm</t>
  </si>
  <si>
    <t>Hoherberg wind farm</t>
  </si>
  <si>
    <t>Holle wind farm</t>
  </si>
  <si>
    <t>Holleben wind farm</t>
  </si>
  <si>
    <t>Hollenstede wind farm</t>
  </si>
  <si>
    <t>Hollenstedt wind farm</t>
  </si>
  <si>
    <t>Hollich Sellen wind farm</t>
  </si>
  <si>
    <t>Hollich wind farm</t>
  </si>
  <si>
    <t>Hollige wind farm</t>
  </si>
  <si>
    <t>Hollwedel wind farm</t>
  </si>
  <si>
    <t>Holßel wind farm</t>
  </si>
  <si>
    <t>Holste-Ringstedt wind farm</t>
  </si>
  <si>
    <t>Holstenniendorf wind farm</t>
  </si>
  <si>
    <t>Holstentor wind farm</t>
  </si>
  <si>
    <t>Holt Nord wind farm</t>
  </si>
  <si>
    <t>Holt Süd wind farm</t>
  </si>
  <si>
    <t>Holtensen-Hullersen wind farm</t>
  </si>
  <si>
    <t>Holtgaste wind farm</t>
  </si>
  <si>
    <t>Holtriem wind farm</t>
  </si>
  <si>
    <t>Holtsee-Altenhof wind farm</t>
  </si>
  <si>
    <t>Holtwicker Mark wind farm</t>
  </si>
  <si>
    <t>Holzacker-Knorburg wind farm</t>
  </si>
  <si>
    <t>Holzhausen wind farm</t>
  </si>
  <si>
    <t>Holzthalben wind farm</t>
  </si>
  <si>
    <t>Homberg wind farm</t>
  </si>
  <si>
    <t>Hoort wind farm</t>
  </si>
  <si>
    <t>Hoppenrade (Brandenburg) wind farm</t>
  </si>
  <si>
    <t>Hoppenrade (Mecklenburg-Vorpommern) wind farm</t>
  </si>
  <si>
    <t>Hopsten wind farm</t>
  </si>
  <si>
    <t>Horath I wind farm</t>
  </si>
  <si>
    <t>Horbach wind farm</t>
  </si>
  <si>
    <t>Hornberg wind farm</t>
  </si>
  <si>
    <t>Hornsömmern wind farm</t>
  </si>
  <si>
    <t>Hornstorf wind farm</t>
  </si>
  <si>
    <t>Horst wind farm</t>
  </si>
  <si>
    <t>Hoyerhagen wind farm</t>
  </si>
  <si>
    <t>Hude-Hatten wind farm</t>
  </si>
  <si>
    <t>Huje-Nutteln wind farm</t>
  </si>
  <si>
    <t>Hummelsweiler wind farm</t>
  </si>
  <si>
    <t>Hümmling Energy Park wind farm</t>
  </si>
  <si>
    <t>Hünfeldener Wald wind farm</t>
  </si>
  <si>
    <t>Hungerberg-Albisheim wind farm</t>
  </si>
  <si>
    <t>Huntorf wind farm</t>
  </si>
  <si>
    <t>Hünxer Heide wind farm</t>
  </si>
  <si>
    <t>Hürtgenwald wind farm</t>
  </si>
  <si>
    <t>Hüselitz wind farm</t>
  </si>
  <si>
    <t>Huser Klee wind farm</t>
  </si>
  <si>
    <t>Ihlow wind farm</t>
  </si>
  <si>
    <t>Illmersdorf wind farm</t>
  </si>
  <si>
    <t>Illmersdorf-Hohenseefeld wind farm</t>
  </si>
  <si>
    <t>Illschwang wind farm</t>
  </si>
  <si>
    <t>Immenberg wind farm</t>
  </si>
  <si>
    <t>Islek wind farm</t>
  </si>
  <si>
    <t>Iversacker wind farm</t>
  </si>
  <si>
    <t>Jacobsdorf wind farm</t>
  </si>
  <si>
    <t>Jalm wind farm</t>
  </si>
  <si>
    <t>Jänickendorfer Heide wind farm</t>
  </si>
  <si>
    <t>Jänschwalde wind farm</t>
  </si>
  <si>
    <t>Jatzke wind farm</t>
  </si>
  <si>
    <t>Jeetze wind farm</t>
  </si>
  <si>
    <t>Jennelt 2 wind farm</t>
  </si>
  <si>
    <t>Jerrishoe wind farm</t>
  </si>
  <si>
    <t>Jeßnitz wind farm</t>
  </si>
  <si>
    <t>Jettingen-Scheppach-Zusmarshausen wind farm</t>
  </si>
  <si>
    <t>Jever Nord wind farm</t>
  </si>
  <si>
    <t>Jörl wind farm</t>
  </si>
  <si>
    <t>Jörl-Stieglund wind farm</t>
  </si>
  <si>
    <t>Jüchen wind farm</t>
  </si>
  <si>
    <t>Jülich Bourheim wind farm</t>
  </si>
  <si>
    <t>Jülich wind farm</t>
  </si>
  <si>
    <t>Jülich-Barmen-Merzenhausen wind farm</t>
  </si>
  <si>
    <t>Jülicher Börde wind farm</t>
  </si>
  <si>
    <t>Junge Donau wind farm</t>
  </si>
  <si>
    <t>Jürgenshagen wind farm</t>
  </si>
  <si>
    <t>Jüterbog wind farm</t>
  </si>
  <si>
    <t>Kaarst wind farm</t>
  </si>
  <si>
    <t>Kahlberg wind farm</t>
  </si>
  <si>
    <t>Kahlenberg wind farm</t>
  </si>
  <si>
    <t>Kaifenheim wind farm</t>
  </si>
  <si>
    <t>Kajedeich wind farm</t>
  </si>
  <si>
    <t>Kalbe wind farm</t>
  </si>
  <si>
    <t>Kalbeck wind farm</t>
  </si>
  <si>
    <t>Kalkriese wind farm</t>
  </si>
  <si>
    <t>Kambacher Eck wind farm</t>
  </si>
  <si>
    <t>Kambs wind farm</t>
  </si>
  <si>
    <t>Kampen wind farm</t>
  </si>
  <si>
    <t>Kandelin-Poggendorf wind farm</t>
  </si>
  <si>
    <t>Kandrich wind farm</t>
  </si>
  <si>
    <t>Kantow wind farm</t>
  </si>
  <si>
    <t>Kanzlei wind farm</t>
  </si>
  <si>
    <t>Kappel wind farm</t>
  </si>
  <si>
    <t>Kappel-Faas wind farm</t>
  </si>
  <si>
    <t>Karolinenkoog wind farm</t>
  </si>
  <si>
    <t>Karstadt wind farm</t>
  </si>
  <si>
    <t>Karstädt wind farm</t>
  </si>
  <si>
    <t>Karstädt-Blüthen wind farm</t>
  </si>
  <si>
    <t>Karstädt-Waterloo wind farm</t>
  </si>
  <si>
    <t>Kasendorf-Weismain wind farm</t>
  </si>
  <si>
    <t>Kaskasi wind farm</t>
  </si>
  <si>
    <t>Kassieck-Lindstedt wind farm</t>
  </si>
  <si>
    <t>Kastorf wind farm</t>
  </si>
  <si>
    <t>Kattrepel wind farm</t>
  </si>
  <si>
    <t>Kattrepel-Nord wind farm</t>
  </si>
  <si>
    <t>Katzenberg wind farm</t>
  </si>
  <si>
    <t>Kaufunger-Stiftswald wind farm</t>
  </si>
  <si>
    <t>Kauxdorf wind farm</t>
  </si>
  <si>
    <t>Kefenrod wind farm</t>
  </si>
  <si>
    <t>Kemberg wind farm</t>
  </si>
  <si>
    <t>Kemnitz wind farm</t>
  </si>
  <si>
    <t>Kerken-Eyll wind farm</t>
  </si>
  <si>
    <t>Kerkow-Welsow wind farm</t>
  </si>
  <si>
    <t>Kesdorf wind farm</t>
  </si>
  <si>
    <t>Kesfeld wind farm</t>
  </si>
  <si>
    <t>Ketzin wind farm</t>
  </si>
  <si>
    <t>Keula wind farm</t>
  </si>
  <si>
    <t>Kirchberg 2 wind farm</t>
  </si>
  <si>
    <t>Kirchberg-Faas wind farm</t>
  </si>
  <si>
    <t>Kirchengel wind farm</t>
  </si>
  <si>
    <t>Kirchheilingen wind farm</t>
  </si>
  <si>
    <t>Kirchheim wind farm</t>
  </si>
  <si>
    <t>Kirchspiel Medelby wind farm</t>
  </si>
  <si>
    <t>Kirchwistedt wind farm</t>
  </si>
  <si>
    <t>Kisselbach wind farm</t>
  </si>
  <si>
    <t>Kisselheide wind farm</t>
  </si>
  <si>
    <t>Kittlitz wind farm</t>
  </si>
  <si>
    <t>Kladrum wind farm</t>
  </si>
  <si>
    <t>Klanxbüll-Wisch wind farm</t>
  </si>
  <si>
    <t>Klein Bünzow wind farm</t>
  </si>
  <si>
    <t>Klein Leine wind farm</t>
  </si>
  <si>
    <t>Kleinbrembach wind farm</t>
  </si>
  <si>
    <t>Kleinpaschleben wind farm</t>
  </si>
  <si>
    <t>Kleisthöhe wind farm</t>
  </si>
  <si>
    <t>Klettwitz wind farm</t>
  </si>
  <si>
    <t>Kletzin wind farm</t>
  </si>
  <si>
    <t>Kletzke wind farm</t>
  </si>
  <si>
    <t>Klingenberg (Energiequelle) wind farm</t>
  </si>
  <si>
    <t>Klingenberg (Fehmarn) wind farm</t>
  </si>
  <si>
    <t>Klobbicke wind farm</t>
  </si>
  <si>
    <t>Klockow wind farm</t>
  </si>
  <si>
    <t>Kloster Wulfshagen wind farm</t>
  </si>
  <si>
    <t>Klosterkumbd wind farm</t>
  </si>
  <si>
    <t>Klostermoor wind farm</t>
  </si>
  <si>
    <t>Klosterwald-Creglingen wind farm</t>
  </si>
  <si>
    <t>Kniphagen wind farm</t>
  </si>
  <si>
    <t>Knoten wind farm</t>
  </si>
  <si>
    <t>Kohldamm wind farm</t>
  </si>
  <si>
    <t>Köhlen wind farm</t>
  </si>
  <si>
    <t>Kohlenbek wind farm</t>
  </si>
  <si>
    <t>Kohlenstraße wind farm</t>
  </si>
  <si>
    <t>Kolbenstein wind farm</t>
  </si>
  <si>
    <t>Kölsa wind farm</t>
  </si>
  <si>
    <t>Könau-Ostedt-Suhlendorf wind farm</t>
  </si>
  <si>
    <t>Königshovener Höhe wind farm</t>
  </si>
  <si>
    <t>Königsmoor wind farm</t>
  </si>
  <si>
    <t>Könnern wind farm</t>
  </si>
  <si>
    <t>Koogwind wind farm</t>
  </si>
  <si>
    <t>Körbelitz (EEV) wind farm</t>
  </si>
  <si>
    <t>Körbelitz (Enertrag) wind farm</t>
  </si>
  <si>
    <t>Korbersdorf-Seußen wind farm</t>
  </si>
  <si>
    <t>Koßdorf wind farm</t>
  </si>
  <si>
    <t>Kostebrau wind farm</t>
  </si>
  <si>
    <t>Köthen wind farm</t>
  </si>
  <si>
    <t>Kötzlin-Barenthin wind farm</t>
  </si>
  <si>
    <t>Krackow wind farm</t>
  </si>
  <si>
    <t>Krackow-Glasow wind farm</t>
  </si>
  <si>
    <t>Kräft wind farm</t>
  </si>
  <si>
    <t>Krampfer wind farm</t>
  </si>
  <si>
    <t>Krampfer-Reckenthin (Groß Pankow) wind farm</t>
  </si>
  <si>
    <t>Krampfer-Reckenthin wind farm</t>
  </si>
  <si>
    <t>Krastel-Leideneck wind farm</t>
  </si>
  <si>
    <t>Krauschwitz wind farm</t>
  </si>
  <si>
    <t>Krautheim-Eckigbreit wind farm</t>
  </si>
  <si>
    <t>Kreepen wind farm</t>
  </si>
  <si>
    <t>Krempdorf wind farm</t>
  </si>
  <si>
    <t>Krempel wind farm</t>
  </si>
  <si>
    <t>Kremsdorf wind farm</t>
  </si>
  <si>
    <t>Kreuzstein wind farm</t>
  </si>
  <si>
    <t>Krevese wind farm</t>
  </si>
  <si>
    <t>Kribbe wind farm</t>
  </si>
  <si>
    <t>Kronprinzenkoog wind farm</t>
  </si>
  <si>
    <t>Kronsberge wind farm</t>
  </si>
  <si>
    <t>Krumme Fohre wind farm</t>
  </si>
  <si>
    <t>Krumstedter Viert wind farm</t>
  </si>
  <si>
    <t>Krusemark (GE Energy) wind farm</t>
  </si>
  <si>
    <t>Krusemark (RWE) wind farm</t>
  </si>
  <si>
    <t>Kublank wind farm</t>
  </si>
  <si>
    <t>Kuhbett wind farm</t>
  </si>
  <si>
    <t>Kuhfelde wind farm</t>
  </si>
  <si>
    <t>Kuhlrade wind farm</t>
  </si>
  <si>
    <t>Kührstedt/Alfstedt wind farm</t>
  </si>
  <si>
    <t>Kuhstedt wind farm</t>
  </si>
  <si>
    <t>Külsheim wind farm</t>
  </si>
  <si>
    <t>Külz wind farm</t>
  </si>
  <si>
    <t>Kümper wind farm</t>
  </si>
  <si>
    <t>Kürrenberg wind farm</t>
  </si>
  <si>
    <t>Kurzen Trechow wind farm</t>
  </si>
  <si>
    <t>Kusey wind farm</t>
  </si>
  <si>
    <t>Kutenholz wind farm</t>
  </si>
  <si>
    <t>Kutzleben wind farm</t>
  </si>
  <si>
    <t>Kyritz wind farm</t>
  </si>
  <si>
    <t>Lachemer Forst wind farm</t>
  </si>
  <si>
    <t>Laderholz wind farm</t>
  </si>
  <si>
    <t>Laer wind farm</t>
  </si>
  <si>
    <t>Lager Feld wind farm</t>
  </si>
  <si>
    <t>Lahn Energy wind farm</t>
  </si>
  <si>
    <t>Lahn wind farm</t>
  </si>
  <si>
    <t>Lahn-Dill-Bergland wind farm</t>
  </si>
  <si>
    <t>Lahstedt wind farm</t>
  </si>
  <si>
    <t>Lambsborn-Martinshöhe wind farm</t>
  </si>
  <si>
    <t>Lammersdorf wind farm</t>
  </si>
  <si>
    <t>Lamstedt wind farm</t>
  </si>
  <si>
    <t>Lange Heide wind farm</t>
  </si>
  <si>
    <t>Langen-Debstedt wind farm</t>
  </si>
  <si>
    <t>Langenbach wind farm</t>
  </si>
  <si>
    <t>Langenburg wind farm</t>
  </si>
  <si>
    <t>Langendorf wind farm</t>
  </si>
  <si>
    <t>Langenhorn wind farm</t>
  </si>
  <si>
    <t>Langenrieth wind farm</t>
  </si>
  <si>
    <t>Langenzenn wind farm</t>
  </si>
  <si>
    <t>Langes Schiff wind farm</t>
  </si>
  <si>
    <t>Langwedel (Lerak) wind farm</t>
  </si>
  <si>
    <t>Langwedel-Giersberg wind farm</t>
  </si>
  <si>
    <t>Langwieden wind farm</t>
  </si>
  <si>
    <t>Lasbek wind farm</t>
  </si>
  <si>
    <t>Lausitz-Kauxdorf wind farm</t>
  </si>
  <si>
    <t>Lautenbach wind farm</t>
  </si>
  <si>
    <t>Lauterburg wind farm</t>
  </si>
  <si>
    <t>Lauterstein wind farm</t>
  </si>
  <si>
    <t>Lavesum-Sythen wind farm</t>
  </si>
  <si>
    <t>Leckeng wind farm</t>
  </si>
  <si>
    <t>Leddin wind farm</t>
  </si>
  <si>
    <t>Lehe wind farm</t>
  </si>
  <si>
    <t>Lehrte (Eurowind) wind farm</t>
  </si>
  <si>
    <t>Lehrte (Windstrom) wind farm</t>
  </si>
  <si>
    <t>Leissberg Windpark</t>
  </si>
  <si>
    <t>Lemförde wind farm</t>
  </si>
  <si>
    <t>Lengerich wind farm</t>
  </si>
  <si>
    <t>Lentföhrden wind farm</t>
  </si>
  <si>
    <t>Lesse wind farm</t>
  </si>
  <si>
    <t>Letter Görd wind farm</t>
  </si>
  <si>
    <t>Lettweiler Höhe Windpark</t>
  </si>
  <si>
    <t>Lichtenau wind farm</t>
  </si>
  <si>
    <t>Lieger Wald wind farm</t>
  </si>
  <si>
    <t>Lieskau wind farm</t>
  </si>
  <si>
    <t>Liesten wind farm</t>
  </si>
  <si>
    <t>Limbergen wind farm</t>
  </si>
  <si>
    <t>Linda wind farm</t>
  </si>
  <si>
    <t>Lindau wind farm</t>
  </si>
  <si>
    <t>Lindenberg (Blue Elephant Energy) wind farm</t>
  </si>
  <si>
    <t>Lindern wind farm</t>
  </si>
  <si>
    <t>Lindtorf wind farm</t>
  </si>
  <si>
    <t>Lingelbach wind farm</t>
  </si>
  <si>
    <t>Lingen Ochsenbruch wind farm</t>
  </si>
  <si>
    <t>Linnau wind farm</t>
  </si>
  <si>
    <t>Linnich 1 wind farm</t>
  </si>
  <si>
    <t>Linnich 2 wind farm</t>
  </si>
  <si>
    <t>Linnich Boslar wind farm</t>
  </si>
  <si>
    <t>Linnich-Gereonsweiler wind farm</t>
  </si>
  <si>
    <t>Littdorf wind farm</t>
  </si>
  <si>
    <t>Lobendorfer Forsten wind farm</t>
  </si>
  <si>
    <t>Lockstedt wind farm</t>
  </si>
  <si>
    <t>Lohe wind farm</t>
  </si>
  <si>
    <t>Lohkamp wind farm</t>
  </si>
  <si>
    <t>Löningen wind farm</t>
  </si>
  <si>
    <t>Lonnerstadt wind farm</t>
  </si>
  <si>
    <t>Looft wind farm</t>
  </si>
  <si>
    <t>Lorup wind farm</t>
  </si>
  <si>
    <t>Losten wind farm</t>
  </si>
  <si>
    <t>Lövenich Neu wind farm</t>
  </si>
  <si>
    <t>Lövenich wind farm</t>
  </si>
  <si>
    <t>Löwenstedt wind farm</t>
  </si>
  <si>
    <t>Lübbenau wind farm</t>
  </si>
  <si>
    <t>Lübbenow wind farm</t>
  </si>
  <si>
    <t>Lübbow-Bösel wind farm</t>
  </si>
  <si>
    <t>Lübke-Koog wind farm</t>
  </si>
  <si>
    <t>Luckow-Petershagen wind farm</t>
  </si>
  <si>
    <t>Lüdersdorf wind farm</t>
  </si>
  <si>
    <t>Lüdersdorf-Trebbin wind farm</t>
  </si>
  <si>
    <t>Ludwigsau wind farm</t>
  </si>
  <si>
    <t>Ludwigsdorf wind farm</t>
  </si>
  <si>
    <t>Lühlerheim wind farm</t>
  </si>
  <si>
    <t>Luko wind farm</t>
  </si>
  <si>
    <t>Lunestedt-Heerstedt wind farm</t>
  </si>
  <si>
    <t>Lüngholm wind farm</t>
  </si>
  <si>
    <t>Lütjenholm wind farm</t>
  </si>
  <si>
    <t>Madfeld-Bleiwäsche wind farm</t>
  </si>
  <si>
    <t>Madfeld-Radlinghausen wind farm</t>
  </si>
  <si>
    <t>Mahlwinkel-Nord wind farm</t>
  </si>
  <si>
    <t>Mahlwinkel-Süd wind farm</t>
  </si>
  <si>
    <t>Mainhardt wind farm</t>
  </si>
  <si>
    <t>Mainova Kirchhain wind farm</t>
  </si>
  <si>
    <t>Mallnow wind farm</t>
  </si>
  <si>
    <t>Malterhausen wind farm</t>
  </si>
  <si>
    <t>Mandelsloh wind farm</t>
  </si>
  <si>
    <t>Mangelsdorf (Envia) wind farm</t>
  </si>
  <si>
    <t>Mangelsdorf (PNE) wind farm</t>
  </si>
  <si>
    <t>Mangelsdorf wind farm</t>
  </si>
  <si>
    <t>Mannhagen wind farm</t>
  </si>
  <si>
    <t>Mannhagen-Bälau wind farm</t>
  </si>
  <si>
    <t>Mansfeld-Südharz wind farm</t>
  </si>
  <si>
    <t>Mariengarten wind farm</t>
  </si>
  <si>
    <t>Mark Landin wind farm</t>
  </si>
  <si>
    <t>Markee wind farm</t>
  </si>
  <si>
    <t>Märkisch Linden wind farm</t>
  </si>
  <si>
    <t>Märkische Heide wind farm</t>
  </si>
  <si>
    <t>Markt Taschendorf wind farm</t>
  </si>
  <si>
    <t>Martenberg wind farm</t>
  </si>
  <si>
    <t>Martfeld wind farm</t>
  </si>
  <si>
    <t>Maßbach wind farm</t>
  </si>
  <si>
    <t>Masterhausen wind farm</t>
  </si>
  <si>
    <t>Mastershausen wind farm</t>
  </si>
  <si>
    <t>Matteshöhe wind farm</t>
  </si>
  <si>
    <t>Mattheshöhe wind farm</t>
  </si>
  <si>
    <t>Mautitz Süd wind farm</t>
  </si>
  <si>
    <t>Mautitz wind farm</t>
  </si>
  <si>
    <t>Meckel-Gilzem wind farm</t>
  </si>
  <si>
    <t>Medow wind farm</t>
  </si>
  <si>
    <t>Meerhof wind farm</t>
  </si>
  <si>
    <t>Meerwind Süd Ost wind farm</t>
  </si>
  <si>
    <t>Mehringer Höhe wind farm</t>
  </si>
  <si>
    <t>Mehrum-Schwicheldt wind farm</t>
  </si>
  <si>
    <t>Mengeringhausen wind farm</t>
  </si>
  <si>
    <t>Mensinghausen I wind farm</t>
  </si>
  <si>
    <t>Menslage wind farm</t>
  </si>
  <si>
    <t>Meppen Helte wind farm</t>
  </si>
  <si>
    <t>Meppen Teglingen wind farm</t>
  </si>
  <si>
    <t>Merkur wind farm</t>
  </si>
  <si>
    <t>Mertensdorf wind farm</t>
  </si>
  <si>
    <t>Metzenhausen wind farm</t>
  </si>
  <si>
    <t>Meyenburg wind farm</t>
  </si>
  <si>
    <t>Meyn wind farm</t>
  </si>
  <si>
    <t>Midlum wind farm (Germany)</t>
  </si>
  <si>
    <t>Mihla wind farm</t>
  </si>
  <si>
    <t>Mildenberg wind farm</t>
  </si>
  <si>
    <t>Milow (Neag) wind farm</t>
  </si>
  <si>
    <t>Milow (NOTUS) wind farm</t>
  </si>
  <si>
    <t>Miltzow wind farm</t>
  </si>
  <si>
    <t>Mistorf-Groß Schwiesow wind farm</t>
  </si>
  <si>
    <t>Mittelberg (Nordrhein-Westfalen) wind farm</t>
  </si>
  <si>
    <t>Mittelberg Energy Park wind farm</t>
  </si>
  <si>
    <t>Mittelort wind farm</t>
  </si>
  <si>
    <t>Mittelstenahe wind farm</t>
  </si>
  <si>
    <t>Möbisburg wind farm</t>
  </si>
  <si>
    <t>Möglenz wind farm</t>
  </si>
  <si>
    <t>Mohlis wind farm</t>
  </si>
  <si>
    <t>Molau-Leislau wind farm</t>
  </si>
  <si>
    <t>Molauer Platte wind farm</t>
  </si>
  <si>
    <t>Monschau wind farm</t>
  </si>
  <si>
    <t>Monschau-Höfener Wald wind farm</t>
  </si>
  <si>
    <t>Moorhusen wind farm</t>
  </si>
  <si>
    <t>Moosmoor wind farm</t>
  </si>
  <si>
    <t>Morbach wind farm</t>
  </si>
  <si>
    <t>Mörsdorf Nord wind farm</t>
  </si>
  <si>
    <t>Mosel wind farm</t>
  </si>
  <si>
    <t>Mosela Zweite wind farm</t>
  </si>
  <si>
    <t>Möthlitz wind farm</t>
  </si>
  <si>
    <t>Mucke Feldatal wind farm</t>
  </si>
  <si>
    <t>Mücklingen wind farm</t>
  </si>
  <si>
    <t>Müggenburg-Panschow wind farm</t>
  </si>
  <si>
    <t>Mühlanger wind farm</t>
  </si>
  <si>
    <t>Mühlhausen wind farm</t>
  </si>
  <si>
    <t>Mulsum wind farm</t>
  </si>
  <si>
    <t>Münstedt wind farm</t>
  </si>
  <si>
    <t>Münsterwald wind farm</t>
  </si>
  <si>
    <t>Müssingen wind farm</t>
  </si>
  <si>
    <t>Nadrensee wind farm</t>
  </si>
  <si>
    <t>Nateln wind farm</t>
  </si>
  <si>
    <t>Nattheim wind farm</t>
  </si>
  <si>
    <t>Nauen wind farm</t>
  </si>
  <si>
    <t>Naundorf wind farm</t>
  </si>
  <si>
    <t>Nechlin wind farm</t>
  </si>
  <si>
    <t>Neetzow-Liepen wind farm</t>
  </si>
  <si>
    <t>Nentershausen wind farm</t>
  </si>
  <si>
    <t>Nentzelsrode wind farm</t>
  </si>
  <si>
    <t>Nessa wind farm</t>
  </si>
  <si>
    <t>Neu Guthendorf wind farm</t>
  </si>
  <si>
    <t>Neu Kosenow wind farm</t>
  </si>
  <si>
    <t>Neu Zauche Nord 2 wind farm</t>
  </si>
  <si>
    <t>Neudersum wind farm</t>
  </si>
  <si>
    <t>Neuenbrook wind farm</t>
  </si>
  <si>
    <t>Neuendorf Kakerbeck wind farm</t>
  </si>
  <si>
    <t>Neuenfeld wind farm</t>
  </si>
  <si>
    <t>Neuengörs-Weede wind farm</t>
  </si>
  <si>
    <t>Neuenkirchen (Niedersachsen) wind farm</t>
  </si>
  <si>
    <t>Neuenkirchen (Nordrhein-Westfalen) wind farm</t>
  </si>
  <si>
    <t>Neuenkirchen (Schleswig-Holstein) wind farm</t>
  </si>
  <si>
    <t>Neuenrade wind farm</t>
  </si>
  <si>
    <t>Neuerkirch wind farm</t>
  </si>
  <si>
    <t>Neuharlingersiel-Werdum wind farm</t>
  </si>
  <si>
    <t>Neukirchen (WKT) wind farm</t>
  </si>
  <si>
    <t>Neukrichen (UDI) wind farm</t>
  </si>
  <si>
    <t>Neuruppin wind farm</t>
  </si>
  <si>
    <t>Neuschoo wind farm</t>
  </si>
  <si>
    <t>Neustadt-Dosse wind farm</t>
  </si>
  <si>
    <t>Neusustrum wind farm</t>
  </si>
  <si>
    <t>Neutz wind farm</t>
  </si>
  <si>
    <t>Niebüll wind farm</t>
  </si>
  <si>
    <t>Niedere Börde wind farm</t>
  </si>
  <si>
    <t>Niederhambach wind farm</t>
  </si>
  <si>
    <t>Niederhausen wind farm</t>
  </si>
  <si>
    <t>Niederheide wind farm</t>
  </si>
  <si>
    <t>Niederkirchen wind farm</t>
  </si>
  <si>
    <t>Niederkrüchten wind farm</t>
  </si>
  <si>
    <t>Niedernstöcken wind farm</t>
  </si>
  <si>
    <t>Niederöfflingen wind farm</t>
  </si>
  <si>
    <t>Niederrhein wind farm</t>
  </si>
  <si>
    <t>Niederwerbig wind farm</t>
  </si>
  <si>
    <t>Nielebock wind farm</t>
  </si>
  <si>
    <t>Nielitz wind farm</t>
  </si>
  <si>
    <t>Niemegk-Haseloff wind farm</t>
  </si>
  <si>
    <t>NOBO wind farm</t>
  </si>
  <si>
    <t>Nonnenholz (ABO) wind farm</t>
  </si>
  <si>
    <t>Nonnenholz (UHL) wind farm</t>
  </si>
  <si>
    <t>Nonnweiler wind farm</t>
  </si>
  <si>
    <t>Nord-Ostsee wind farm</t>
  </si>
  <si>
    <t>Norden wind farm</t>
  </si>
  <si>
    <t>Nordergründe wind farm</t>
  </si>
  <si>
    <t>Norderheistedt wind farm</t>
  </si>
  <si>
    <t>Norderhof wind farm</t>
  </si>
  <si>
    <t>Norderland wind farm</t>
  </si>
  <si>
    <t>Nordermeldorf wind farm</t>
  </si>
  <si>
    <t>Norderwöhrden wind farm</t>
  </si>
  <si>
    <t>Nordgermersleben wind farm</t>
  </si>
  <si>
    <t>Nordleda wind farm</t>
  </si>
  <si>
    <t>Nordschwarzwald wind farm</t>
  </si>
  <si>
    <t>Nordsee One wind farm</t>
  </si>
  <si>
    <t>Nordsee Ost wind farm</t>
  </si>
  <si>
    <t>Nordstrand wind farm</t>
  </si>
  <si>
    <t>Nordwaldeck wind farm</t>
  </si>
  <si>
    <t>Norrdeich wind farm</t>
  </si>
  <si>
    <t>Norstedt-Wind</t>
  </si>
  <si>
    <t>North Leesweg wind farm</t>
  </si>
  <si>
    <t>Nortorf 2 wind farm</t>
  </si>
  <si>
    <t>Nortorf West wind farm</t>
  </si>
  <si>
    <t>Nusbaum wind farm</t>
  </si>
  <si>
    <t>Obbach wind farm</t>
  </si>
  <si>
    <t>Ober-Flörsheim wind farm</t>
  </si>
  <si>
    <t>Obere Arlau wind farm</t>
  </si>
  <si>
    <t>Obere Kyll wind farm</t>
  </si>
  <si>
    <t>Obergeckler wind farm</t>
  </si>
  <si>
    <t>Oberkochen wind farm</t>
  </si>
  <si>
    <t>Oberland wind farm</t>
  </si>
  <si>
    <t>Oberlausitz wind farm</t>
  </si>
  <si>
    <t>Oberndorf wind farm</t>
  </si>
  <si>
    <t>Obernwohlde wind farm</t>
  </si>
  <si>
    <t>Oberwesel wind farm</t>
  </si>
  <si>
    <t>Obhausen (MBBF) wind farm</t>
  </si>
  <si>
    <t>Obhausen-Nemsdorf wind farm</t>
  </si>
  <si>
    <t>Ochsenberg wind farm</t>
  </si>
  <si>
    <t>Ochtersum wind farm</t>
  </si>
  <si>
    <t>Ochtmersleben wind farm</t>
  </si>
  <si>
    <t>Odisheim wind farm</t>
  </si>
  <si>
    <t>Oederquart wind farm</t>
  </si>
  <si>
    <t>Oelerse wind farm</t>
  </si>
  <si>
    <t>Oerel wind farm</t>
  </si>
  <si>
    <t>Oettelin wind farm</t>
  </si>
  <si>
    <t>Offenbach Queich wind farm</t>
  </si>
  <si>
    <t>Offenhausen wind farm</t>
  </si>
  <si>
    <t>Offtec Field wind farm</t>
  </si>
  <si>
    <t>Ohlendorf wind farm</t>
  </si>
  <si>
    <t>Ohmenheim wind farm</t>
  </si>
  <si>
    <t>Ohne wind farm</t>
  </si>
  <si>
    <t>Ohrberg wind farm</t>
  </si>
  <si>
    <t>Ohrensen wind farm</t>
  </si>
  <si>
    <t>Ohrtermersch wind farm</t>
  </si>
  <si>
    <t>Okeler Bruch wind farm</t>
  </si>
  <si>
    <t>Olbersleben wind farm</t>
  </si>
  <si>
    <t>Olbersleben-Ostramondra wind farm</t>
  </si>
  <si>
    <t>Oldenborstel wind farm</t>
  </si>
  <si>
    <t>Oldenbroker Feld wind farm</t>
  </si>
  <si>
    <t>Oldenburg wind farm</t>
  </si>
  <si>
    <t>Oldendorf wind farm</t>
  </si>
  <si>
    <t>Oldendorf-Kuhla wind farm</t>
  </si>
  <si>
    <t>Oldenswort Moordeich wind farm</t>
  </si>
  <si>
    <t>Oldenswort wind farm</t>
  </si>
  <si>
    <t>Olsberg-Mannstein wind farm</t>
  </si>
  <si>
    <t>Ormont-Stadtkyll wind farm</t>
  </si>
  <si>
    <t>Oschersleben wind farm</t>
  </si>
  <si>
    <t>Ostenfeld wind farm</t>
  </si>
  <si>
    <t>Osterbelmhusen wind farm</t>
  </si>
  <si>
    <t>Osterbruch wind farm</t>
  </si>
  <si>
    <t>Osterburg wind farm</t>
  </si>
  <si>
    <t>Ostercappeln wind farm</t>
  </si>
  <si>
    <t>Osterholz wind farm</t>
  </si>
  <si>
    <t>Ostermarsch wind farm</t>
  </si>
  <si>
    <t>Osterrade wind farm</t>
  </si>
  <si>
    <t>Osterstedt wind farm</t>
  </si>
  <si>
    <t>Ostwestfalen wind farm</t>
  </si>
  <si>
    <t>Ottelin wind farm</t>
  </si>
  <si>
    <t>Ottenhausen wind farm</t>
  </si>
  <si>
    <t>Ottweiler-Höcherberg wind farm</t>
  </si>
  <si>
    <t>Owschlag wind farm</t>
  </si>
  <si>
    <t>Oyle-Bühren wind farm</t>
  </si>
  <si>
    <t>Paderborn wind farm</t>
  </si>
  <si>
    <t>Pamina wind farm</t>
  </si>
  <si>
    <t>Pamsendorf wind farm</t>
  </si>
  <si>
    <t>Päpsen wind farm</t>
  </si>
  <si>
    <t>Parchim Ost wind farm</t>
  </si>
  <si>
    <t>Parchim wind farm</t>
  </si>
  <si>
    <t>Parey wind farm</t>
  </si>
  <si>
    <t>Parstein-Lüdersdorf wind farm</t>
  </si>
  <si>
    <t>Pellingen wind farm</t>
  </si>
  <si>
    <t>Perl-Borg wind farm</t>
  </si>
  <si>
    <t>Perleberg wind farm</t>
  </si>
  <si>
    <t>Petjenburg wind farm</t>
  </si>
  <si>
    <t>Petkus wind farm</t>
  </si>
  <si>
    <t>Pferdsfeld wind farm</t>
  </si>
  <si>
    <t>Pfullendorf-Denkingen wind farm</t>
  </si>
  <si>
    <t>Pinnow (Joule) wind farm</t>
  </si>
  <si>
    <t>Pinnow (Teut) wind farm</t>
  </si>
  <si>
    <t>Pirow wind farm</t>
  </si>
  <si>
    <t>Plauerhagen wind farm</t>
  </si>
  <si>
    <t>Plötzkau wind farm</t>
  </si>
  <si>
    <t>Podelzig-Lebus wind farm</t>
  </si>
  <si>
    <t>Polch wind farm</t>
  </si>
  <si>
    <t>Prechtaler Schanze wind farm</t>
  </si>
  <si>
    <t>Premslin wind farm</t>
  </si>
  <si>
    <t>Premslin-Schönfeld wind farm</t>
  </si>
  <si>
    <t>Prenzlau wind farm</t>
  </si>
  <si>
    <t>Presen wind farm</t>
  </si>
  <si>
    <t>Prettin wind farm</t>
  </si>
  <si>
    <t>Prignitz wind farm</t>
  </si>
  <si>
    <t>Prinzhöfte wind farm</t>
  </si>
  <si>
    <t>Pritzwalk wind farm</t>
  </si>
  <si>
    <t>Profen wind farm</t>
  </si>
  <si>
    <t>Pronstorf wind farm</t>
  </si>
  <si>
    <t>Proschim wind farm</t>
  </si>
  <si>
    <t>Pröttlin wind farm</t>
  </si>
  <si>
    <t>Prötzel wind farm</t>
  </si>
  <si>
    <t>Prützke wind farm</t>
  </si>
  <si>
    <t>Puls wind farm</t>
  </si>
  <si>
    <t>Puschwitz wind farm</t>
  </si>
  <si>
    <t>Putlitz Süd wind farm</t>
  </si>
  <si>
    <t>Putlitz wind farm</t>
  </si>
  <si>
    <t>Quantwick wind farm</t>
  </si>
  <si>
    <t>Quarnstedt-Störkathen wind farm</t>
  </si>
  <si>
    <t>Queis wind farm</t>
  </si>
  <si>
    <t>Quellendorf wind farm</t>
  </si>
  <si>
    <t>Quenstedt wind farm</t>
  </si>
  <si>
    <t>Querstedt wind farm</t>
  </si>
  <si>
    <t>Quitzow wind farm</t>
  </si>
  <si>
    <t>Raa-Besenbek wind farm</t>
  </si>
  <si>
    <t>Rabenau Energy Park wind farm</t>
  </si>
  <si>
    <t>Radegast wind farm</t>
  </si>
  <si>
    <t>Radlinghausen wind farm</t>
  </si>
  <si>
    <t>Rakow wind farm</t>
  </si>
  <si>
    <t>Randerath wind farm</t>
  </si>
  <si>
    <t>Randowhöhe wind farm</t>
  </si>
  <si>
    <t>Rantrum wind farm</t>
  </si>
  <si>
    <t>Rapshagen wind farm</t>
  </si>
  <si>
    <t>Rascheid wind farm</t>
  </si>
  <si>
    <t>Rastenberg wind farm</t>
  </si>
  <si>
    <t>Rastenburg Olbersleben wind farm</t>
  </si>
  <si>
    <t>Rauhkasten-Steinfirst wind farm</t>
  </si>
  <si>
    <t>Rauschenberg wind farm</t>
  </si>
  <si>
    <t>Ravensburg (WPD) wind farm</t>
  </si>
  <si>
    <t>Ravenstein wind farm</t>
  </si>
  <si>
    <t>Rayerschied wind farm</t>
  </si>
  <si>
    <t>Redekin-Genthin wind farm</t>
  </si>
  <si>
    <t>Redlin wind farm</t>
  </si>
  <si>
    <t>Regesbostel wind farm</t>
  </si>
  <si>
    <t>Reher wind farm</t>
  </si>
  <si>
    <t>Rehfeld wind farm</t>
  </si>
  <si>
    <t>Reichenbach-Steegen wind farm</t>
  </si>
  <si>
    <t>Reichertshüll wind farm</t>
  </si>
  <si>
    <t>Reinsfeld wind farm</t>
  </si>
  <si>
    <t>Reinstedt wind farm</t>
  </si>
  <si>
    <t>Remlingen (Bavaria) wind farm</t>
  </si>
  <si>
    <t>Remlingen (Lower Saxony) wind farm</t>
  </si>
  <si>
    <t>Remmels wind farm</t>
  </si>
  <si>
    <t>Renkenberge wind farm</t>
  </si>
  <si>
    <t>Rethwisch wind farm</t>
  </si>
  <si>
    <t>Retzstadt wind farm</t>
  </si>
  <si>
    <t>Reudelsterz wind farm</t>
  </si>
  <si>
    <t>Reußen wind farm</t>
  </si>
  <si>
    <t>Reußenköge wind farm</t>
  </si>
  <si>
    <t>Reuth wind farm</t>
  </si>
  <si>
    <t>Rhede wind farm</t>
  </si>
  <si>
    <t>Rheine wind farm</t>
  </si>
  <si>
    <t>Rheinland wind farm</t>
  </si>
  <si>
    <t>Riede wind farm</t>
  </si>
  <si>
    <t>Riegenroth wind farm</t>
  </si>
  <si>
    <t>Rieps wind farm</t>
  </si>
  <si>
    <t>Riepsdorf wind farm</t>
  </si>
  <si>
    <t>Rieste wind farm</t>
  </si>
  <si>
    <t>Riethnordhausen wind farm</t>
  </si>
  <si>
    <t>Rietz wind farm</t>
  </si>
  <si>
    <t>Riffgat wind farm</t>
  </si>
  <si>
    <t>Ringstedt II wind farm</t>
  </si>
  <si>
    <t>Rippachtal wind farm</t>
  </si>
  <si>
    <t>Rödeser Berg wind farm</t>
  </si>
  <si>
    <t>Roge wind farm</t>
  </si>
  <si>
    <t>Rohlstorf wind farm</t>
  </si>
  <si>
    <t>Rohr-Reetz wind farm</t>
  </si>
  <si>
    <t>Rohrberg wind farm</t>
  </si>
  <si>
    <t>Rohrenkopf wind farm</t>
  </si>
  <si>
    <t>Roldisleben wind farm</t>
  </si>
  <si>
    <t>Rollwitz wind farm</t>
  </si>
  <si>
    <t>Rosendahl wind farm</t>
  </si>
  <si>
    <t>Rosengarten wind farm</t>
  </si>
  <si>
    <t>Rosenthal wind farm</t>
  </si>
  <si>
    <t>Rositz wind farm</t>
  </si>
  <si>
    <t>Rossau wind farm</t>
  </si>
  <si>
    <t>Rot am See wind farm</t>
  </si>
  <si>
    <t>Roteberg wind farm</t>
  </si>
  <si>
    <t>Roter Berg wind farm</t>
  </si>
  <si>
    <t>Rotmainquelle wind farm</t>
  </si>
  <si>
    <t>Rottelsdorf wind farm</t>
  </si>
  <si>
    <t>Rugendorf wind farm</t>
  </si>
  <si>
    <t>Ruhlsdorf wind farm</t>
  </si>
  <si>
    <t>Rukieten wind farm</t>
  </si>
  <si>
    <t>Rütenmoor wind farm</t>
  </si>
  <si>
    <t>Rysumer Nacken wind farm</t>
  </si>
  <si>
    <t>Saar wind farm</t>
  </si>
  <si>
    <t>Sachsendingen wind farm</t>
  </si>
  <si>
    <t>Saerbeck wind farm</t>
  </si>
  <si>
    <t>Saidenberg wind farm</t>
  </si>
  <si>
    <t>Sailershäuser Wald wind farm</t>
  </si>
  <si>
    <t>Sallgast Süd wind farm</t>
  </si>
  <si>
    <t>Salzgitter wind farm</t>
  </si>
  <si>
    <t>Salzhemmendorf wind farm</t>
  </si>
  <si>
    <t>Sandbank wind farm</t>
  </si>
  <si>
    <t>Sandbostel wind farm</t>
  </si>
  <si>
    <t>Sandbostel-Bevern wind farm</t>
  </si>
  <si>
    <t>Sande wind farm</t>
  </si>
  <si>
    <t>Sandstruth wind farm</t>
  </si>
  <si>
    <t>Sankt Arnold wind farm</t>
  </si>
  <si>
    <t>Sarmersbach wind farm</t>
  </si>
  <si>
    <t>Sarow wind farm</t>
  </si>
  <si>
    <t>Sassenberg wind farm</t>
  </si>
  <si>
    <t>Saterland wind farm</t>
  </si>
  <si>
    <t>Saubusch wind farm</t>
  </si>
  <si>
    <t>Schacht Konrad wind farm</t>
  </si>
  <si>
    <t>Schadehorn-Havighorst wind farm</t>
  </si>
  <si>
    <t>Schafflundfeld wind farm</t>
  </si>
  <si>
    <t>Scharmbeck wind farm</t>
  </si>
  <si>
    <t>Scharrel wind farm</t>
  </si>
  <si>
    <t>Scheibe-Trattendorf wind farm</t>
  </si>
  <si>
    <t>Schenkendöbern 1 wind farm</t>
  </si>
  <si>
    <t>Schenkendöbern 2 wind farm</t>
  </si>
  <si>
    <t>Schenklengsfeld wind farm</t>
  </si>
  <si>
    <t>Schermen wind farm</t>
  </si>
  <si>
    <t>Schieder wind farm</t>
  </si>
  <si>
    <t>Schiffweiler wind farm</t>
  </si>
  <si>
    <t>Schimmendorf wind farm</t>
  </si>
  <si>
    <t>Schinne wind farm</t>
  </si>
  <si>
    <t>Schipkau wind farm</t>
  </si>
  <si>
    <t>Schkortleben wind farm</t>
  </si>
  <si>
    <t>Schlalach wind farm</t>
  </si>
  <si>
    <t>Schlei-Ostsee wind farm</t>
  </si>
  <si>
    <t>Schleiden wind farm</t>
  </si>
  <si>
    <t>Schleiden-Gemünd wind farm</t>
  </si>
  <si>
    <t>Schlieben-Wehrhain wind farm</t>
  </si>
  <si>
    <t>Schloßvippach wind farm</t>
  </si>
  <si>
    <t>Schlüchtern wind farm</t>
  </si>
  <si>
    <t>Schlüchtern-Elm wind farm</t>
  </si>
  <si>
    <t>Schlüchtern-Wallroth wind farm</t>
  </si>
  <si>
    <t>Schlüsselburg wind farm</t>
  </si>
  <si>
    <t>Schmarloh wind farm</t>
  </si>
  <si>
    <t>Schmölln wind farm</t>
  </si>
  <si>
    <t>Schnatebüll wind farm</t>
  </si>
  <si>
    <t>Schneebergerhof wind farm</t>
  </si>
  <si>
    <t>Schnellin wind farm</t>
  </si>
  <si>
    <t>Schnellwettern wind farm</t>
  </si>
  <si>
    <t>Schoenermark wind farm</t>
  </si>
  <si>
    <t>Scholen wind farm</t>
  </si>
  <si>
    <t>Schönberg wind farm</t>
  </si>
  <si>
    <t>Schönefeld wind farm</t>
  </si>
  <si>
    <t>Schönenhagen wind farm</t>
  </si>
  <si>
    <t>Schönfeld wind farm</t>
  </si>
  <si>
    <t>Schonungen wind farm</t>
  </si>
  <si>
    <t>Schönwalde wind farm</t>
  </si>
  <si>
    <t>Schönwalde-Altenkrempe wind farm</t>
  </si>
  <si>
    <t>Schöppingen Haverbeck wind farm</t>
  </si>
  <si>
    <t>Schöppingen Horstmar wind farm</t>
  </si>
  <si>
    <t>Schöppingen wind farm</t>
  </si>
  <si>
    <t>Schöppinger Berg wind farm</t>
  </si>
  <si>
    <t>Schortewitz wind farm</t>
  </si>
  <si>
    <t>Schrepkow (Denker &amp; Wulf) wind farm</t>
  </si>
  <si>
    <t>Schrepkow (RS) wind farm</t>
  </si>
  <si>
    <t>Schuby (EFI) wind farm</t>
  </si>
  <si>
    <t>Schuby (Energy Farming) wind farm</t>
  </si>
  <si>
    <t>Schulenburg wind farm</t>
  </si>
  <si>
    <t>Schülp Bei Nortorf wind farm</t>
  </si>
  <si>
    <t>Schülp wind farm</t>
  </si>
  <si>
    <t>Schütting wind farm</t>
  </si>
  <si>
    <t>Schwaförden wind farm</t>
  </si>
  <si>
    <t>Schwalbach wind farm</t>
  </si>
  <si>
    <t>Schwalmstadt wind farm</t>
  </si>
  <si>
    <t>Schwanebeck wind farm</t>
  </si>
  <si>
    <t>Schwanfeld wind farm</t>
  </si>
  <si>
    <t>Schwarme wind farm</t>
  </si>
  <si>
    <t>Schwarzenberg wind farm</t>
  </si>
  <si>
    <t>Schwedt wind farm</t>
  </si>
  <si>
    <t>Schwegenheim wind farm</t>
  </si>
  <si>
    <t>Schweiz wind farm</t>
  </si>
  <si>
    <t>Schweringhausen wind farm</t>
  </si>
  <si>
    <t>Schwesing wind farm</t>
  </si>
  <si>
    <t>Schweskau wind farm</t>
  </si>
  <si>
    <t>Schwiegershausen wind farm</t>
  </si>
  <si>
    <t>Schwienau wind farm</t>
  </si>
  <si>
    <t>Schwochel-Wulfsdorf wind farm</t>
  </si>
  <si>
    <t>Seefeld-Gokels wind farm</t>
  </si>
  <si>
    <t>Seelow wind farm</t>
  </si>
  <si>
    <t>Sefferweich wind farm</t>
  </si>
  <si>
    <t>Sehestedt wind farm</t>
  </si>
  <si>
    <t>Sehnde Lehrte wind farm</t>
  </si>
  <si>
    <t>Seibersbach-Dörrebach wind farm</t>
  </si>
  <si>
    <t>Sellberg-Utdrift wind farm</t>
  </si>
  <si>
    <t>Selmsdorf wind farm</t>
  </si>
  <si>
    <t>Sembten wind farm</t>
  </si>
  <si>
    <t>Sendenhorst wind farm</t>
  </si>
  <si>
    <t>Settrup wind farm</t>
  </si>
  <si>
    <t>Sichau wind farm</t>
  </si>
  <si>
    <t>Siedenbrünzow wind farm</t>
  </si>
  <si>
    <t>Siegfriedeiche wind farm</t>
  </si>
  <si>
    <t>Siestedt wind farm</t>
  </si>
  <si>
    <t>Sievern wind farm</t>
  </si>
  <si>
    <t>Silberstedt wind farm</t>
  </si>
  <si>
    <t>Silberstedt-Hochmoor wind farm</t>
  </si>
  <si>
    <t>Silmersdorf wind farm</t>
  </si>
  <si>
    <t>Simmerath wind farm</t>
  </si>
  <si>
    <t>Simonsberg wind farm</t>
  </si>
  <si>
    <t>Sintfeld wind farm</t>
  </si>
  <si>
    <t>Sipsdorf wind farm</t>
  </si>
  <si>
    <t>Sitten wind farm</t>
  </si>
  <si>
    <t>Sl Baumberge wind farm</t>
  </si>
  <si>
    <t>Sögel wind farm</t>
  </si>
  <si>
    <t>Söhrewald wind farm</t>
  </si>
  <si>
    <t>Söllingen wind farm</t>
  </si>
  <si>
    <t>Sollwitt wind farm</t>
  </si>
  <si>
    <t>Solschen wind farm</t>
  </si>
  <si>
    <t>Soltau wind farm</t>
  </si>
  <si>
    <t>Sonnefeld wind farm</t>
  </si>
  <si>
    <t>Sonnenberg wind farm</t>
  </si>
  <si>
    <t>Sontra wind farm</t>
  </si>
  <si>
    <t>Sörup wind farm</t>
  </si>
  <si>
    <t>Sötern-Bosen wind farm</t>
  </si>
  <si>
    <t>Spahnharrenstätte wind farm</t>
  </si>
  <si>
    <t>Speckberg wind farm</t>
  </si>
  <si>
    <t>Spessart wind farm</t>
  </si>
  <si>
    <t>Spitzer Berg wind farm</t>
  </si>
  <si>
    <t>Sprakebüll wind farm</t>
  </si>
  <si>
    <t>Spreeau wind farm</t>
  </si>
  <si>
    <t>Spremberg wind farm</t>
  </si>
  <si>
    <t>Springberg wind farm</t>
  </si>
  <si>
    <t>Springe-Bennigsen wind farm</t>
  </si>
  <si>
    <t>Sprüng wind farm</t>
  </si>
  <si>
    <t>Stäbelow (E.N.O) wind farm</t>
  </si>
  <si>
    <t>Stäbelow (Neag) wind farm</t>
  </si>
  <si>
    <t>Stadtlohn Hundewick wind farm</t>
  </si>
  <si>
    <t>Staffelstein wind farm</t>
  </si>
  <si>
    <t>Stammbach wind farm</t>
  </si>
  <si>
    <t>Staufenberg wind farm</t>
  </si>
  <si>
    <t>Stedesdorf wind farm</t>
  </si>
  <si>
    <t>Stegelitz wind farm</t>
  </si>
  <si>
    <t>Steglitz wind farm</t>
  </si>
  <si>
    <t>Steinburg wind farm</t>
  </si>
  <si>
    <t>Steinheimer Becken wind farm</t>
  </si>
  <si>
    <t>Stendal wind farm</t>
  </si>
  <si>
    <t>Stepratherheide wind farm</t>
  </si>
  <si>
    <t>Steyerberg wind farm</t>
  </si>
  <si>
    <t>Stockelsdorf-Pronstorf wind farm</t>
  </si>
  <si>
    <t>Stocksdorf wind farm</t>
  </si>
  <si>
    <t>Stoffeng Nord wind farm</t>
  </si>
  <si>
    <t>Stollhamm wind farm</t>
  </si>
  <si>
    <t>Storbeck wind farm</t>
  </si>
  <si>
    <t>Stößen wind farm</t>
  </si>
  <si>
    <t>Straach wind farm</t>
  </si>
  <si>
    <t>Straguth-Zerbst wind farm</t>
  </si>
  <si>
    <t>Strassen wind farm</t>
  </si>
  <si>
    <t>Straubenhardt wind farm</t>
  </si>
  <si>
    <t>Strauch-Michelshof wind farm</t>
  </si>
  <si>
    <t>Streu-Saale wind farm</t>
  </si>
  <si>
    <t>Streumen wind farm</t>
  </si>
  <si>
    <t>Strönfeld wind farm</t>
  </si>
  <si>
    <t>Strübbel wind farm</t>
  </si>
  <si>
    <t>Strückhausen wind farm</t>
  </si>
  <si>
    <t>Stüdenitz wind farm</t>
  </si>
  <si>
    <t>Stuvenborn wind farm</t>
  </si>
  <si>
    <t>Suckow wind farm</t>
  </si>
  <si>
    <t>Süderau wind farm</t>
  </si>
  <si>
    <t>Süderauerdorf wind farm</t>
  </si>
  <si>
    <t>Suderbruch wind farm</t>
  </si>
  <si>
    <t>Süderland wind farm</t>
  </si>
  <si>
    <t>Süderlügum wind farm</t>
  </si>
  <si>
    <t>Südliche Ortenau wind farm</t>
  </si>
  <si>
    <t>Sulinger Bruch wind farm</t>
  </si>
  <si>
    <t>Sulzbach-Laufen wind farm</t>
  </si>
  <si>
    <t>Swatte Poele wind farm</t>
  </si>
  <si>
    <t>Sylda wind farm</t>
  </si>
  <si>
    <t>Tanna-Seubtendorf wind farm</t>
  </si>
  <si>
    <t>Tannberg Lindenhardt wind farm</t>
  </si>
  <si>
    <t>Tantow wind farm</t>
  </si>
  <si>
    <t>Tarnow wind farm</t>
  </si>
  <si>
    <t>Tasdorf wind farm</t>
  </si>
  <si>
    <t>Tating wind farm</t>
  </si>
  <si>
    <t>Tellmer wind farm</t>
  </si>
  <si>
    <t>Teltow wind farm</t>
  </si>
  <si>
    <t>Tempelfelde wind farm</t>
  </si>
  <si>
    <t>Teutleben wind farm</t>
  </si>
  <si>
    <t>Tewel wind farm</t>
  </si>
  <si>
    <t>Thaden wind farm</t>
  </si>
  <si>
    <t>Thalmässing wind farm</t>
  </si>
  <si>
    <t>Thedinghausen wind farm</t>
  </si>
  <si>
    <t>Thomasburg wind farm</t>
  </si>
  <si>
    <t>Thonberg wind farm</t>
  </si>
  <si>
    <t>Thransheide wind farm</t>
  </si>
  <si>
    <t>Thüle wind farm</t>
  </si>
  <si>
    <t>Thüler Straße Nord wind farm</t>
  </si>
  <si>
    <t>Thum Windpark</t>
  </si>
  <si>
    <t>Thurauer Berg wind farm</t>
  </si>
  <si>
    <t>Thurland wind farm</t>
  </si>
  <si>
    <t>Thurnau wind farm</t>
  </si>
  <si>
    <t>Tiebensee wind farm</t>
  </si>
  <si>
    <t>Tiefenbach wind farm</t>
  </si>
  <si>
    <t>Timmaspe wind farm</t>
  </si>
  <si>
    <t>Timpberg wind farm</t>
  </si>
  <si>
    <t>Titting wind farm</t>
  </si>
  <si>
    <t>Titz Nord wind farm</t>
  </si>
  <si>
    <t>Titz wind farm</t>
  </si>
  <si>
    <t>Tödienwisch wind farm</t>
  </si>
  <si>
    <t>Tonna wind farm</t>
  </si>
  <si>
    <t>Töpen wind farm</t>
  </si>
  <si>
    <t>Tornow wind farm</t>
  </si>
  <si>
    <t>Trappenberg wind farm</t>
  </si>
  <si>
    <t>Trebbichau wind farm</t>
  </si>
  <si>
    <t>Trebitz wind farm</t>
  </si>
  <si>
    <t>Treia-Ipland wind farm</t>
  </si>
  <si>
    <t>Treis-Karden wind farm</t>
  </si>
  <si>
    <t>Trendelburg wind farm</t>
  </si>
  <si>
    <t>Treplin wind farm</t>
  </si>
  <si>
    <t>Trianel Bad Gandersheim wind farm</t>
  </si>
  <si>
    <t>Trianel Borkum wind farm</t>
  </si>
  <si>
    <t>Trianel Creußen wind farm</t>
  </si>
  <si>
    <t>Trianel Eisleben wind farm</t>
  </si>
  <si>
    <t>Trianel Uckley Nord wind farm</t>
  </si>
  <si>
    <t>Trianel Vogelherd wind farm</t>
  </si>
  <si>
    <t>Tribsees wind farm</t>
  </si>
  <si>
    <t>Trinwillershagen wind farm</t>
  </si>
  <si>
    <t>Tüchen wind farm</t>
  </si>
  <si>
    <t>Tüngeda wind farm</t>
  </si>
  <si>
    <t>Tungerloh-Pröbsting wind farm</t>
  </si>
  <si>
    <t>Twedt wind farm</t>
  </si>
  <si>
    <t>Twist (Wea) wind farm</t>
  </si>
  <si>
    <t>Twist (WT) wind farm</t>
  </si>
  <si>
    <t>Twistringen (RWE) wind farm</t>
  </si>
  <si>
    <t>Twistringen-Scharrendorf wind farm</t>
  </si>
  <si>
    <t>Uckermark wind farm</t>
  </si>
  <si>
    <t>Uckermark-Dauer wind farm</t>
  </si>
  <si>
    <t>Uckley Nord wind farm</t>
  </si>
  <si>
    <t>Uebigau Fünf wind farm</t>
  </si>
  <si>
    <t>Uebigau wind farm</t>
  </si>
  <si>
    <t>Uehrde wind farm</t>
  </si>
  <si>
    <t>Uelitz wind farm</t>
  </si>
  <si>
    <t>Uelvesbüll wind farm</t>
  </si>
  <si>
    <t>Uetze wind farm</t>
  </si>
  <si>
    <t>Uhrsleben wind farm</t>
  </si>
  <si>
    <t>Ullersdorf wind farm</t>
  </si>
  <si>
    <t>Ulrichstein-Platte wind farm</t>
  </si>
  <si>
    <t>Unger wind farm</t>
  </si>
  <si>
    <t>Unseburg wind farm</t>
  </si>
  <si>
    <t>Unzenberg wind farm</t>
  </si>
  <si>
    <t>Utgast (CPC Germania) wind farm</t>
  </si>
  <si>
    <t>Utgast (Ostwind) wind farm</t>
  </si>
  <si>
    <t>Uthlede Süd wind farm</t>
  </si>
  <si>
    <t>Uthuisen wind farm</t>
  </si>
  <si>
    <t>Vaale-Wacken wind farm</t>
  </si>
  <si>
    <t>Varel wind farm</t>
  </si>
  <si>
    <t>Veer Dörper wind farm</t>
  </si>
  <si>
    <t>Veja Mate wind farm</t>
  </si>
  <si>
    <t>Velburg wind farm</t>
  </si>
  <si>
    <t>Veldenz-Gornhausen-Monzelfeld wind farm</t>
  </si>
  <si>
    <t>Vetschau wind farm</t>
  </si>
  <si>
    <t>Vettenbüttel wind farm</t>
  </si>
  <si>
    <t>Vier Berge wind farm</t>
  </si>
  <si>
    <t>Vierschau wind farm</t>
  </si>
  <si>
    <t>Viersen Boisheimer Nette wind farm</t>
  </si>
  <si>
    <t>Viertkamp wind farm</t>
  </si>
  <si>
    <t>Vockenrod wind farm</t>
  </si>
  <si>
    <t>Vogelsberg (BOREAS) wind farm</t>
  </si>
  <si>
    <t>Vogelsberg wind farm</t>
  </si>
  <si>
    <t>Völkersen wind farm</t>
  </si>
  <si>
    <t>Volkmarsdorf wind farm</t>
  </si>
  <si>
    <t>Völschow wind farm</t>
  </si>
  <si>
    <t>Voltlage-Höckel wind farm</t>
  </si>
  <si>
    <t>Vörden wind farm</t>
  </si>
  <si>
    <t>Vormark wind farm</t>
  </si>
  <si>
    <t>Vreden Ammeloe wind farm</t>
  </si>
  <si>
    <t>Vreden Dömern wind farm</t>
  </si>
  <si>
    <t>Waabs-Loose wind farm</t>
  </si>
  <si>
    <t>Wachenheim wind farm</t>
  </si>
  <si>
    <t>Wadern-Felsenberg wind farm</t>
  </si>
  <si>
    <t>Wadern-Wenzelstein wind farm</t>
  </si>
  <si>
    <t>Wadlhauser Gräben wind farm</t>
  </si>
  <si>
    <t>Wahlbach wind farm</t>
  </si>
  <si>
    <t>Wahlsdorf wind farm</t>
  </si>
  <si>
    <t>Waigandshain-Homberg wind farm</t>
  </si>
  <si>
    <t>Walchum wind farm</t>
  </si>
  <si>
    <t>Waldfeucht Energy Park wind farm</t>
  </si>
  <si>
    <t>Waldfeucht wind farm</t>
  </si>
  <si>
    <t>Waldfeucht-Obspringen wind farm</t>
  </si>
  <si>
    <t>Waldhausen wind farm</t>
  </si>
  <si>
    <t>Waldow wind farm</t>
  </si>
  <si>
    <t>Walle wind farm</t>
  </si>
  <si>
    <t>Wallmersbach wind farm</t>
  </si>
  <si>
    <t>Walsleben-Goldbeck wind farm</t>
  </si>
  <si>
    <t>Waltersdorf wind farm</t>
  </si>
  <si>
    <t>Wanderup Erweiterung wind farm</t>
  </si>
  <si>
    <t>Wanderup Testanlagen wind farm</t>
  </si>
  <si>
    <t>Wanderup West wind farm</t>
  </si>
  <si>
    <t>Wanderup wind farm</t>
  </si>
  <si>
    <t>Wangelau wind farm</t>
  </si>
  <si>
    <t>Wangerland wind farm</t>
  </si>
  <si>
    <t>Wansleben (Neag) wind farm</t>
  </si>
  <si>
    <t>Wansleben (Ostwind) wind farm</t>
  </si>
  <si>
    <t>Warendorf Gronhorst wind farm</t>
  </si>
  <si>
    <t>Warnsdorf wind farm</t>
  </si>
  <si>
    <t>Wartenberg wind farm</t>
  </si>
  <si>
    <t>Wasserstrasse wind farm</t>
  </si>
  <si>
    <t>Waterloo wind farm (Germany)</t>
  </si>
  <si>
    <t>Wattendorf wind farm</t>
  </si>
  <si>
    <t>Watzerath wind farm</t>
  </si>
  <si>
    <t>Wawern wind farm</t>
  </si>
  <si>
    <t>Weenermoor wind farm</t>
  </si>
  <si>
    <t>Wegeleben wind farm</t>
  </si>
  <si>
    <t>Wehren wind farm</t>
  </si>
  <si>
    <t>Weiberg wind farm</t>
  </si>
  <si>
    <t>Weibern-Rieden wind farm</t>
  </si>
  <si>
    <t>Weidehof wind farm</t>
  </si>
  <si>
    <t>Weilrod wind farm</t>
  </si>
  <si>
    <t>Weimar wind farm</t>
  </si>
  <si>
    <t>Weischlitz Windpark</t>
  </si>
  <si>
    <t>Weiskirchen wind farm</t>
  </si>
  <si>
    <t>Weißbach wind farm</t>
  </si>
  <si>
    <t>Weißenberg wind farm</t>
  </si>
  <si>
    <t>Weißer Turm wind farm</t>
  </si>
  <si>
    <t>Wenddorf wind farm</t>
  </si>
  <si>
    <t>Wendhausen wind farm</t>
  </si>
  <si>
    <t>Werbach-Wenkheim wind farm</t>
  </si>
  <si>
    <t>Werbig wind farm</t>
  </si>
  <si>
    <t>Werder / Kessin wind farm</t>
  </si>
  <si>
    <t>Werder Zinndorf wind farm</t>
  </si>
  <si>
    <t>Werder-Ruthen-Lutheran wind farm</t>
  </si>
  <si>
    <t>Wernikow wind farm</t>
  </si>
  <si>
    <t>Wernitz wind farm</t>
  </si>
  <si>
    <t>Wertheim wind farm</t>
  </si>
  <si>
    <t>Weserwind</t>
  </si>
  <si>
    <t>Weserwind wind farm</t>
  </si>
  <si>
    <t>Wesselburener Deichhausen wind farm</t>
  </si>
  <si>
    <t>Wesselburenerkoog wind farm</t>
  </si>
  <si>
    <t>Westerbelmhusen wind farm</t>
  </si>
  <si>
    <t>Westerberg (Windstrom) wind farm</t>
  </si>
  <si>
    <t>Westerburg (MMJ) wind farm</t>
  </si>
  <si>
    <t>Westerbüttel wind farm</t>
  </si>
  <si>
    <t>Westeregeln wind farm</t>
  </si>
  <si>
    <t>Westerengel wind farm</t>
  </si>
  <si>
    <t>Westerhausen wind farm</t>
  </si>
  <si>
    <t>Westerwald wind farm</t>
  </si>
  <si>
    <t>Westfehmarn wind farm</t>
  </si>
  <si>
    <t>Westoverledingen wind farm</t>
  </si>
  <si>
    <t>Wetscher Bruch wind farm</t>
  </si>
  <si>
    <t>Wettendorf-Bottendorf wind farm</t>
  </si>
  <si>
    <t>Wettringen-Bilk wind farm</t>
  </si>
  <si>
    <t>Wetzdorf (Meridian) wind farm</t>
  </si>
  <si>
    <t>Wetzdorf wind farm</t>
  </si>
  <si>
    <t>Wetzen wind farm</t>
  </si>
  <si>
    <t>Wewelsburg wind farm</t>
  </si>
  <si>
    <t>Wiemersdorf wind farm</t>
  </si>
  <si>
    <t>Wiemersdorf-Wiesental wind farm</t>
  </si>
  <si>
    <t>Wiemerstedt wind farm</t>
  </si>
  <si>
    <t>Wiesmoor (KE) wind farm</t>
  </si>
  <si>
    <t>Wiesmoor (UWM) wind farm</t>
  </si>
  <si>
    <t>Wikinger wind farm</t>
  </si>
  <si>
    <t>Wildau-Wentdorf wind farm</t>
  </si>
  <si>
    <t>Wildberg wind farm</t>
  </si>
  <si>
    <t>Wilhelmshöhe wind farm</t>
  </si>
  <si>
    <t>Willenscharen-Brokstedt wind farm</t>
  </si>
  <si>
    <t>Willerswalde wind farm</t>
  </si>
  <si>
    <t>Wilmersdorf wind farm</t>
  </si>
  <si>
    <t>Wilsickow wind farm</t>
  </si>
  <si>
    <t>Wilstedt wind farm</t>
  </si>
  <si>
    <t>Wimmelburg wind farm</t>
  </si>
  <si>
    <t>Windenergie Norderhamme wind farm</t>
  </si>
  <si>
    <t>Windenergiefonds Westküste wind farm</t>
  </si>
  <si>
    <t>Windheim wind farm</t>
  </si>
  <si>
    <t>Windhübel wind farm</t>
  </si>
  <si>
    <t>Windpark Schafflundfeld</t>
  </si>
  <si>
    <t>Windwald Blaues Eck wind farm</t>
  </si>
  <si>
    <t>Winkelsett wind farm</t>
  </si>
  <si>
    <t>Winnigstedt Ost wind farm</t>
  </si>
  <si>
    <t>Winsen wind farm</t>
  </si>
  <si>
    <t>Winsen-Pattensen wind farm</t>
  </si>
  <si>
    <t>Winterbach wind farm</t>
  </si>
  <si>
    <t>Wintersheim wind farm</t>
  </si>
  <si>
    <t>Winterspelt wind farm</t>
  </si>
  <si>
    <t>Wintersteinchen wind farm</t>
  </si>
  <si>
    <t>Wipperdorf wind farm</t>
  </si>
  <si>
    <t>Wirfus wind farm</t>
  </si>
  <si>
    <t>Wittbek wind farm</t>
  </si>
  <si>
    <t>Wittefeld wind farm</t>
  </si>
  <si>
    <t>Wittstedt wind farm</t>
  </si>
  <si>
    <t>Wohlbedacht wind farm</t>
  </si>
  <si>
    <t>Wohlsdorf wind farm</t>
  </si>
  <si>
    <t>Wohnste wind farm</t>
  </si>
  <si>
    <t>Wöhrden wind farm</t>
  </si>
  <si>
    <t>Wolfen wind farm</t>
  </si>
  <si>
    <t>Wolfsmoor wind farm</t>
  </si>
  <si>
    <t>Wolgast wind farm</t>
  </si>
  <si>
    <t>Wölkisch wind farm</t>
  </si>
  <si>
    <t>Wölsickendorf wind farm</t>
  </si>
  <si>
    <t>Wölsickendorf-Wollenberg wind farm</t>
  </si>
  <si>
    <t>Wörbzig wind farm</t>
  </si>
  <si>
    <t>Workerszeller Forst wind farm</t>
  </si>
  <si>
    <t>Worms wind farm</t>
  </si>
  <si>
    <t>Wormsdorf wind farm</t>
  </si>
  <si>
    <t>Wörrstadt wind farm</t>
  </si>
  <si>
    <t>Wörrstadt-Ost wind farm</t>
  </si>
  <si>
    <t>Wöstenwind wind farm</t>
  </si>
  <si>
    <t>Wremen wind farm</t>
  </si>
  <si>
    <t>Wriezener Höhe wind farm</t>
  </si>
  <si>
    <t>Wrohm-Osterrade wind farm</t>
  </si>
  <si>
    <t>Wulfelade wind farm</t>
  </si>
  <si>
    <t>Wulfen wind farm</t>
  </si>
  <si>
    <t>Wulfshagen wind farm</t>
  </si>
  <si>
    <t>Wulfstorf wind farm</t>
  </si>
  <si>
    <t>Wulkow wind farm</t>
  </si>
  <si>
    <t>Wulkow-Trebnitz wind farm</t>
  </si>
  <si>
    <t>Wunderburg wind farm</t>
  </si>
  <si>
    <t>Wundersleben wind farm</t>
  </si>
  <si>
    <t>Würzburg (Retzstadt) wind farm</t>
  </si>
  <si>
    <t>Wusterhusen wind farm</t>
  </si>
  <si>
    <t>Wutike wind farm</t>
  </si>
  <si>
    <t>Wybelsumer wind farm</t>
  </si>
  <si>
    <t>Zagelsdorf wind farm</t>
  </si>
  <si>
    <t>Zahrenholz wind farm</t>
  </si>
  <si>
    <t>Zedtwitz wind farm</t>
  </si>
  <si>
    <t>Zernitz wind farm</t>
  </si>
  <si>
    <t>Zerre wind farm</t>
  </si>
  <si>
    <t>Zettingen wind farm</t>
  </si>
  <si>
    <t>Zieger wind farm</t>
  </si>
  <si>
    <t>Ziepel wind farm</t>
  </si>
  <si>
    <t>Zinndorf wind farm</t>
  </si>
  <si>
    <t>Zitz-Warchau wind farm</t>
  </si>
  <si>
    <t>Zodel wind farm</t>
  </si>
  <si>
    <t>Zölkow wind farm</t>
  </si>
  <si>
    <t>Zöschingen wind farm</t>
  </si>
  <si>
    <t>Zschöpel wind farm</t>
  </si>
  <si>
    <t>Zülpich wind farm</t>
  </si>
  <si>
    <t>Zultenberg wind farm</t>
  </si>
  <si>
    <t>Züsedom wind farm</t>
  </si>
  <si>
    <t>Zweite Klixbüll wind farm</t>
  </si>
  <si>
    <t>Zwischenbergen wind farm</t>
  </si>
  <si>
    <t xml:space="preserve">Hydrogen supply technologies
</t>
  </si>
  <si>
    <t>ALK</t>
  </si>
  <si>
    <t>Alkaline electrolysis</t>
  </si>
  <si>
    <t>PEM</t>
  </si>
  <si>
    <t>Proton exchange membrane electrolysis</t>
  </si>
  <si>
    <t>SOEC</t>
  </si>
  <si>
    <t>Solid oxide electrolysis cells</t>
  </si>
  <si>
    <t>Unknown PtX</t>
  </si>
  <si>
    <t>Undisclosed electrolysis type</t>
  </si>
  <si>
    <r>
      <rPr>
        <rFont val="Corbel"/>
        <color rgb="FF004BFF"/>
        <sz val="11.0"/>
      </rPr>
      <t>Fossil fuel with CO</t>
    </r>
    <r>
      <rPr>
        <rFont val="Corbel"/>
        <color rgb="FF004BFF"/>
        <sz val="11.0"/>
        <vertAlign val="subscript"/>
      </rPr>
      <t>2</t>
    </r>
    <r>
      <rPr>
        <rFont val="Corbel"/>
        <color rgb="FF004BFF"/>
        <sz val="11.0"/>
      </rPr>
      <t xml:space="preserve"> capture </t>
    </r>
  </si>
  <si>
    <t>Coal w CCUS</t>
  </si>
  <si>
    <r>
      <rPr>
        <rFont val="Corbel"/>
        <color rgb="FF808080"/>
        <sz val="11.0"/>
      </rPr>
      <t>Hydrogen production from coal gasification (all types of coals and derivatives) coupled with CO</t>
    </r>
    <r>
      <rPr>
        <rFont val="Corbel"/>
        <color rgb="FF808080"/>
        <sz val="11.0"/>
        <vertAlign val="subscript"/>
      </rPr>
      <t>2</t>
    </r>
    <r>
      <rPr>
        <rFont val="Corbel"/>
        <color rgb="FF808080"/>
        <sz val="11.0"/>
      </rPr>
      <t xml:space="preserve"> capture, utilisation and storage.</t>
    </r>
  </si>
  <si>
    <t>NG w CCUS</t>
  </si>
  <si>
    <r>
      <rPr>
        <rFont val="Corbel"/>
        <color rgb="FF808080"/>
        <sz val="11.0"/>
      </rPr>
      <t>Hydrogen production from natural gas reforming (steam reforming, autothermal reforming or other advanced reforming technologies) coupled with CO</t>
    </r>
    <r>
      <rPr>
        <rFont val="Corbel"/>
        <color rgb="FF808080"/>
        <sz val="11.0"/>
        <vertAlign val="subscript"/>
      </rPr>
      <t>2</t>
    </r>
    <r>
      <rPr>
        <rFont val="Corbel"/>
        <color rgb="FF808080"/>
        <sz val="11.0"/>
      </rPr>
      <t xml:space="preserve"> capture, utilisation and storage.</t>
    </r>
  </si>
  <si>
    <t>Oil w CCUS</t>
  </si>
  <si>
    <r>
      <rPr>
        <rFont val="Corbel"/>
        <color rgb="FF808080"/>
        <sz val="11.0"/>
      </rPr>
      <t>Hydrogen production from oil-based processes (reforming, cracking or gasification of oil products) coupled with CO</t>
    </r>
    <r>
      <rPr>
        <rFont val="Corbel"/>
        <color rgb="FF808080"/>
        <sz val="11.0"/>
        <vertAlign val="subscript"/>
      </rPr>
      <t xml:space="preserve">2 </t>
    </r>
    <r>
      <rPr>
        <rFont val="Corbel"/>
        <color rgb="FF808080"/>
        <sz val="11.0"/>
      </rPr>
      <t>capture, utilisation and storage.</t>
    </r>
  </si>
  <si>
    <t>Biomass</t>
  </si>
  <si>
    <t>This category contains biomass-based technologies such as biomass or waste gasification, biogas pyrolysis, biogas reforming or membrane separation.</t>
  </si>
  <si>
    <t>Other</t>
  </si>
  <si>
    <t>This category contains technologies different to those previously described, such as membrane separation from industrial residual gaseous streams.</t>
  </si>
  <si>
    <t>Hydrogen demand</t>
  </si>
  <si>
    <t>End-use product</t>
  </si>
  <si>
    <r>
      <rPr>
        <rFont val="Corbel"/>
        <color rgb="FF808080"/>
        <sz val="11.0"/>
      </rPr>
      <t>CH</t>
    </r>
    <r>
      <rPr>
        <rFont val="Corbel"/>
        <color rgb="FF808080"/>
        <sz val="11.0"/>
        <vertAlign val="subscript"/>
      </rPr>
      <t>4</t>
    </r>
    <r>
      <rPr>
        <rFont val="Corbel"/>
        <color rgb="FF808080"/>
        <sz val="11.0"/>
      </rPr>
      <t> </t>
    </r>
  </si>
  <si>
    <t>Synthetic methane</t>
  </si>
  <si>
    <r>
      <rPr>
        <rFont val="Corbel"/>
        <color rgb="FF808080"/>
        <sz val="11.0"/>
      </rPr>
      <t>H</t>
    </r>
    <r>
      <rPr>
        <rFont val="Corbel"/>
        <color rgb="FF808080"/>
        <sz val="11.0"/>
        <vertAlign val="subscript"/>
      </rPr>
      <t>2</t>
    </r>
  </si>
  <si>
    <t>Hydrogen in molecular form</t>
  </si>
  <si>
    <t>LOHC</t>
  </si>
  <si>
    <t>Liquid organic hydrogen carriers</t>
  </si>
  <si>
    <t>Synfuels</t>
  </si>
  <si>
    <t>Synthetic liquid fuels (e.g. gasoline, diesel, jetfuel equivalent).</t>
  </si>
  <si>
    <t>End-use sector</t>
  </si>
  <si>
    <t>Use of hydrogen in refining of oil products.</t>
  </si>
  <si>
    <t>Use of hydrogen in ammonia production (includes ammonia as a chemical feedstock or as a fuel).</t>
  </si>
  <si>
    <t>Use of hydrogen in methanol production (includes methanol as a chemical feedstock or as a fuel).</t>
  </si>
  <si>
    <t>Iron &amp;Steel</t>
  </si>
  <si>
    <t>Use of hydrogen in steelmaking (direct reduced iron, injection in blast furnaces, hot finishing and other high-temperature processes).</t>
  </si>
  <si>
    <t>Other Ind</t>
  </si>
  <si>
    <t>Use of hydrogen in high-temperature heat (excluding oil refining, ammonia production, methanol production and steelmaking).</t>
  </si>
  <si>
    <t>Use of hydrogen in vehicles (road, off-road, rail, maritime or aviation).</t>
  </si>
  <si>
    <t>Power</t>
  </si>
  <si>
    <t>Use of hydrogen in the supply of electricity to the electricity grid with gas turbines, reciprocating engines or fuel cells.</t>
  </si>
  <si>
    <t>Grid inj.</t>
  </si>
  <si>
    <t>Injection of hydrogen in the natural gas grid. </t>
  </si>
  <si>
    <t>CHP</t>
  </si>
  <si>
    <t>Use of hydrogen in heat and power via CHPs, for example in fuel cells or turbines.</t>
  </si>
  <si>
    <t>Domestic heat</t>
  </si>
  <si>
    <t>Direct use of hydrogen in buildings for water and space heating.</t>
  </si>
  <si>
    <t>Biofuels</t>
  </si>
  <si>
    <t>Use of hydrogen in biofuels production.</t>
  </si>
  <si>
    <t>Production of synthetic liquid fuels (excluding methanol).</t>
  </si>
  <si>
    <r>
      <rPr>
        <rFont val="Corbel"/>
        <color rgb="FF808080"/>
        <sz val="11.0"/>
      </rPr>
      <t>CH</t>
    </r>
    <r>
      <rPr>
        <rFont val="Corbel"/>
        <color rgb="FF808080"/>
        <sz val="11.0"/>
        <vertAlign val="subscript"/>
      </rPr>
      <t>4</t>
    </r>
    <r>
      <rPr>
        <rFont val="Corbel"/>
        <color rgb="FF808080"/>
        <sz val="11.0"/>
      </rPr>
      <t xml:space="preserve"> grid inj.</t>
    </r>
  </si>
  <si>
    <t>Injection of synthetic methane in the natural gas grid.</t>
  </si>
  <si>
    <r>
      <rPr>
        <rFont val="Corbel"/>
        <color rgb="FF808080"/>
        <sz val="11.0"/>
      </rPr>
      <t>CH</t>
    </r>
    <r>
      <rPr>
        <rFont val="Corbel"/>
        <color rgb="FF808080"/>
        <sz val="11.0"/>
        <vertAlign val="subscript"/>
      </rPr>
      <t>4</t>
    </r>
    <r>
      <rPr>
        <rFont val="Corbel"/>
        <color rgb="FF808080"/>
        <sz val="11.0"/>
      </rPr>
      <t xml:space="preserve"> mobility</t>
    </r>
  </si>
  <si>
    <t>.</t>
  </si>
  <si>
    <t>Use of synthetic methane in vehicles.</t>
  </si>
  <si>
    <t>Estimated normalised capacity</t>
  </si>
  <si>
    <t xml:space="preserve">For ease of comparison, estimated normalised hydrogen production capacity in MW H₂ output (LHV) is included for all Power-to-X (PtX) projects. </t>
  </si>
  <si>
    <t>Where available, production capacity in Nm³ H₂/hour as quoted by the project is used. If not specified, for PtX projects this is estimated using electrolyser power ratings. The assumed conversion factors are:</t>
  </si>
  <si>
    <t>ALK: 0.0046 MW/Nm³ H₂/hour</t>
  </si>
  <si>
    <t>PEM: 0.0052 MW/Nm³ H₂/hour</t>
  </si>
  <si>
    <t>SOEC: 0.0038 MW/Nm³ H₂/hour</t>
  </si>
  <si>
    <t xml:space="preserve">Unknown PtX: 0.0045 MW/Nm³ H₂/hour (equivalent to 50 kWh/kg H₂). </t>
  </si>
  <si>
    <t>For projects in which size has been announced as production output, the capacity has been estimated assuming the following capacity factors:</t>
  </si>
  <si>
    <t>Grid electricity</t>
  </si>
  <si>
    <t>Other/Unknown</t>
  </si>
  <si>
    <t>Nuclear</t>
  </si>
  <si>
    <t>N/A</t>
  </si>
  <si>
    <t>Dedicated renewables</t>
  </si>
  <si>
    <t>Solar PV</t>
  </si>
  <si>
    <t>Onshore wind</t>
  </si>
  <si>
    <t>Offshore wind</t>
  </si>
  <si>
    <t>Hydropower</t>
  </si>
  <si>
    <t>Others/Various</t>
  </si>
  <si>
    <t>Unknown</t>
  </si>
  <si>
    <r>
      <rPr>
        <rFont val="Corbel"/>
        <color rgb="FF808080"/>
        <sz val="11.0"/>
      </rPr>
      <t>For production from fossil fuels with CO₂ capture, an estimate of the amount of "zero carbon" hydrogen capacity is derived for simplicity. This is equivalent to the hydrogen production capacity multiplied by the CO</t>
    </r>
    <r>
      <rPr>
        <rFont val="Corbel"/>
        <color rgb="FF808080"/>
        <sz val="11.0"/>
        <vertAlign val="subscript"/>
      </rPr>
      <t>2</t>
    </r>
    <r>
      <rPr>
        <rFont val="Corbel"/>
        <color rgb="FF808080"/>
        <sz val="11.0"/>
      </rPr>
      <t xml:space="preserve"> capture rate for the whole facility. For example, a steam methane reformer (SMR) with a capacity of 100 ktH</t>
    </r>
    <r>
      <rPr>
        <rFont val="Corbel"/>
        <color rgb="FF808080"/>
        <sz val="11.0"/>
        <vertAlign val="subscript"/>
      </rPr>
      <t>2</t>
    </r>
    <r>
      <rPr>
        <rFont val="Corbel"/>
        <color rgb="FF808080"/>
        <sz val="11.0"/>
      </rPr>
      <t>/yr and CO</t>
    </r>
    <r>
      <rPr>
        <rFont val="Corbel"/>
        <color rgb="FF808080"/>
        <sz val="11.0"/>
        <vertAlign val="subscript"/>
      </rPr>
      <t>2</t>
    </r>
    <r>
      <rPr>
        <rFont val="Corbel"/>
        <color rgb="FF808080"/>
        <sz val="11.0"/>
      </rPr>
      <t xml:space="preserve"> capture capacity equal to 60% of the CO</t>
    </r>
    <r>
      <rPr>
        <rFont val="Corbel"/>
        <color rgb="FF808080"/>
        <sz val="11.0"/>
        <vertAlign val="subscript"/>
      </rPr>
      <t>2</t>
    </r>
    <r>
      <rPr>
        <rFont val="Corbel"/>
        <color rgb="FF808080"/>
        <sz val="11.0"/>
      </rPr>
      <t xml:space="preserve"> output of the SMR would be considered to have capacity to produce 60 ktH</t>
    </r>
    <r>
      <rPr>
        <rFont val="Corbel"/>
        <color rgb="FF808080"/>
        <sz val="11.0"/>
        <vertAlign val="subscript"/>
      </rPr>
      <t>2</t>
    </r>
    <r>
      <rPr>
        <rFont val="Corbel"/>
        <color rgb="FF808080"/>
        <sz val="11.0"/>
      </rPr>
      <t>/yr of zero carbon hydrogen and 40 ktH</t>
    </r>
    <r>
      <rPr>
        <rFont val="Corbel"/>
        <color rgb="FF808080"/>
        <sz val="11.0"/>
        <vertAlign val="subscript"/>
      </rPr>
      <t>2</t>
    </r>
    <r>
      <rPr>
        <rFont val="Corbel"/>
        <color rgb="FF808080"/>
        <sz val="11.0"/>
      </rPr>
      <t>/yr of hydrogen with the CO</t>
    </r>
    <r>
      <rPr>
        <rFont val="Corbel"/>
        <color rgb="FF808080"/>
        <sz val="11.0"/>
        <vertAlign val="subscript"/>
      </rPr>
      <t>2</t>
    </r>
    <r>
      <rPr>
        <rFont val="Corbel"/>
        <color rgb="FF808080"/>
        <sz val="11.0"/>
      </rPr>
      <t xml:space="preserve"> intensity of the SMR without CO</t>
    </r>
    <r>
      <rPr>
        <rFont val="Corbel"/>
        <color rgb="FF808080"/>
        <sz val="11.0"/>
        <vertAlign val="subscript"/>
      </rPr>
      <t>2</t>
    </r>
    <r>
      <rPr>
        <rFont val="Corbel"/>
        <color rgb="FF808080"/>
        <sz val="11.0"/>
      </rPr>
      <t xml:space="preserve"> capture.The assumptions for specific emissions are:</t>
    </r>
  </si>
  <si>
    <t>a) Natural gas fuelled plants: 0.9105 kg CO₂/Nm³ H₂  and continuous operation (capacity factor of 1). Source: California Air Resources Board, 2018.</t>
  </si>
  <si>
    <t>b) Coal fuelled plants: 1.9075 kg CO₂/nm³ H₂ and continuous operation (capacity factor of 1). Source: Orhan and Alper, 2014; adjusted for hydrogen production only.</t>
  </si>
  <si>
    <r>
      <rPr>
        <rFont val="Corbel"/>
        <color rgb="FF808080"/>
        <sz val="11.0"/>
      </rPr>
      <t>It has not been possible to make definitive judgements of the sources of electricity or the fate of captured CO</t>
    </r>
    <r>
      <rPr>
        <rFont val="Corbel"/>
        <color rgb="FF808080"/>
        <sz val="11.0"/>
        <vertAlign val="subscript"/>
      </rPr>
      <t>2</t>
    </r>
    <r>
      <rPr>
        <rFont val="Corbel"/>
        <color rgb="FF808080"/>
        <sz val="11.0"/>
      </rPr>
      <t xml:space="preserve"> for all of the projects (i.e. whether or not it is all permanently geologically stored or equivalent). While they are likely to have widely varying CO</t>
    </r>
    <r>
      <rPr>
        <rFont val="Corbel"/>
        <color rgb="FF808080"/>
        <sz val="11.0"/>
        <vertAlign val="subscript"/>
      </rPr>
      <t>2</t>
    </r>
    <r>
      <rPr>
        <rFont val="Corbel"/>
        <color rgb="FF808080"/>
        <sz val="11.0"/>
      </rPr>
      <t xml:space="preserve"> intensities across their supply chains in practice, all have the potential to be low-carbon.</t>
    </r>
    <r>
      <rPr>
        <rFont val="Corbel"/>
        <color rgb="FF000000"/>
        <sz val="11.0"/>
      </rPr>
      <t xml:space="preserve"> </t>
    </r>
  </si>
  <si>
    <t>Conversions</t>
  </si>
  <si>
    <r>
      <rPr>
        <rFont val="Corbel"/>
        <color rgb="FF808080"/>
        <sz val="11.0"/>
      </rPr>
      <t>Specific H</t>
    </r>
    <r>
      <rPr>
        <rFont val="Corbel"/>
        <color rgb="FF808080"/>
        <sz val="11.0"/>
        <vertAlign val="subscript"/>
      </rPr>
      <t>2</t>
    </r>
    <r>
      <rPr>
        <rFont val="Corbel"/>
        <color rgb="FF808080"/>
        <sz val="11.0"/>
      </rPr>
      <t xml:space="preserve"> requirement for ammonia (t/t): 0.180072; Conversion losses 2%.</t>
    </r>
  </si>
  <si>
    <r>
      <rPr>
        <rFont val="Corbel"/>
        <color rgb="FF808080"/>
        <sz val="11.0"/>
      </rPr>
      <t>Specific H</t>
    </r>
    <r>
      <rPr>
        <rFont val="Corbel"/>
        <color rgb="FF808080"/>
        <sz val="11.0"/>
        <vertAlign val="subscript"/>
      </rPr>
      <t>2</t>
    </r>
    <r>
      <rPr>
        <rFont val="Corbel"/>
        <color rgb="FF808080"/>
        <sz val="11.0"/>
      </rPr>
      <t xml:space="preserve"> requirement for synthetic methanol (t/t) 0.191327; Conversion losses 2%.</t>
    </r>
  </si>
  <si>
    <r>
      <rPr>
        <rFont val="Corbel"/>
        <color rgb="FF808080"/>
        <sz val="11.0"/>
      </rPr>
      <t>Specific H</t>
    </r>
    <r>
      <rPr>
        <rFont val="Corbel"/>
        <color rgb="FF808080"/>
        <sz val="11.0"/>
        <vertAlign val="subscript"/>
      </rPr>
      <t>2</t>
    </r>
    <r>
      <rPr>
        <rFont val="Corbel"/>
        <color rgb="FF808080"/>
        <sz val="11.0"/>
      </rPr>
      <t xml:space="preserve"> requirement for fossil methanol (t/t) 0.127551; Conversion losses 2%.</t>
    </r>
  </si>
  <si>
    <t>Fischer-Tropsch efficiency for liquid fuels: 73%.</t>
  </si>
  <si>
    <t>Methanation efficiency: 77%.</t>
  </si>
  <si>
    <r>
      <rPr>
        <rFont val="Corbel"/>
        <color rgb="FF808080"/>
        <sz val="11.0"/>
      </rPr>
      <t>Specific H</t>
    </r>
    <r>
      <rPr>
        <rFont val="Corbel"/>
        <color rgb="FF808080"/>
        <sz val="11.0"/>
        <vertAlign val="subscript"/>
      </rPr>
      <t>2</t>
    </r>
    <r>
      <rPr>
        <rFont val="Corbel"/>
        <color rgb="FF808080"/>
        <sz val="11.0"/>
      </rPr>
      <t xml:space="preserve"> requirement for DRI: 0.06277 t H</t>
    </r>
    <r>
      <rPr>
        <rFont val="Corbel"/>
        <color rgb="FF808080"/>
        <sz val="11.0"/>
        <vertAlign val="subscript"/>
      </rPr>
      <t>2</t>
    </r>
    <r>
      <rPr>
        <rFont val="Corbel"/>
        <color rgb="FF808080"/>
        <sz val="11.0"/>
      </rPr>
      <t>/t crude steel.</t>
    </r>
  </si>
  <si>
    <r>
      <rPr>
        <rFont val="Corbel"/>
        <color rgb="FF808080"/>
        <sz val="11.0"/>
      </rPr>
      <t>Specific H</t>
    </r>
    <r>
      <rPr>
        <rFont val="Corbel"/>
        <color rgb="FF808080"/>
        <sz val="11.0"/>
        <vertAlign val="subscript"/>
      </rPr>
      <t>2</t>
    </r>
    <r>
      <rPr>
        <rFont val="Corbel"/>
        <color rgb="FF808080"/>
        <sz val="11.0"/>
      </rPr>
      <t xml:space="preserve"> requirement for HVO diesel: 12.4 MJ H</t>
    </r>
    <r>
      <rPr>
        <rFont val="Corbel"/>
        <color rgb="FF808080"/>
        <sz val="11.0"/>
        <vertAlign val="subscript"/>
      </rPr>
      <t>2</t>
    </r>
    <r>
      <rPr>
        <rFont val="Corbel"/>
        <color rgb="FF808080"/>
        <sz val="11.0"/>
      </rPr>
      <t>/MJ HVO.</t>
    </r>
  </si>
  <si>
    <r>
      <rPr>
        <rFont val="Corbel"/>
        <color rgb="FF808080"/>
        <sz val="11.0"/>
      </rPr>
      <t>Specific H</t>
    </r>
    <r>
      <rPr>
        <rFont val="Corbel"/>
        <color rgb="FF808080"/>
        <sz val="11.0"/>
        <vertAlign val="subscript"/>
      </rPr>
      <t>2</t>
    </r>
    <r>
      <rPr>
        <rFont val="Corbel"/>
        <color rgb="FF808080"/>
        <sz val="11.0"/>
      </rPr>
      <t xml:space="preserve"> requirement for HEFA jet: 15.0 MJ H</t>
    </r>
    <r>
      <rPr>
        <rFont val="Corbel"/>
        <color rgb="FF808080"/>
        <sz val="11.0"/>
        <vertAlign val="subscript"/>
      </rPr>
      <t>2</t>
    </r>
    <r>
      <rPr>
        <rFont val="Corbel"/>
        <color rgb="FF808080"/>
        <sz val="11.0"/>
      </rPr>
      <t>/MJ HEFA.</t>
    </r>
  </si>
  <si>
    <r>
      <rPr>
        <rFont val="Corbel"/>
        <color rgb="FF808080"/>
        <sz val="11.0"/>
      </rPr>
      <t>H</t>
    </r>
    <r>
      <rPr>
        <rFont val="Corbel"/>
        <color rgb="FF808080"/>
        <sz val="11.0"/>
        <vertAlign val="subscript"/>
      </rPr>
      <t>2</t>
    </r>
    <r>
      <rPr>
        <rFont val="Corbel"/>
        <color rgb="FF808080"/>
        <sz val="11.0"/>
      </rPr>
      <t xml:space="preserve"> lower heating value: 0.12 PJ/kt.</t>
    </r>
  </si>
  <si>
    <r>
      <rPr>
        <rFont val="Corbel"/>
        <color rgb="FF808080"/>
        <sz val="11.0"/>
      </rPr>
      <t>H</t>
    </r>
    <r>
      <rPr>
        <rFont val="Corbel"/>
        <color rgb="FF808080"/>
        <sz val="11.0"/>
        <vertAlign val="subscript"/>
      </rPr>
      <t>2</t>
    </r>
    <r>
      <rPr>
        <rFont val="Corbel"/>
        <color rgb="FF808080"/>
        <sz val="11.0"/>
      </rPr>
      <t xml:space="preserve"> density in standard conditions: 0.089 kg/m</t>
    </r>
    <r>
      <rPr>
        <rFont val="Corbel"/>
        <color rgb="FF808080"/>
        <sz val="11.0"/>
        <vertAlign val="superscript"/>
      </rPr>
      <t>3</t>
    </r>
    <r>
      <rPr>
        <rFont val="Corbel"/>
        <color rgb="FF808080"/>
        <sz val="11.0"/>
      </rPr>
      <t>.</t>
    </r>
  </si>
  <si>
    <t>Ammonia lower heating value: 0.019 PJ/kt.</t>
  </si>
  <si>
    <t>Methanol lower heating value: 0.020 PJ/kt.</t>
  </si>
  <si>
    <t>Methanol density: 792 kg/m³.</t>
  </si>
  <si>
    <t>Kerosene lower heating value: 0.045 PJ/kt.</t>
  </si>
  <si>
    <r>
      <rPr>
        <rFont val="Corbel"/>
        <color rgb="FF808080"/>
        <sz val="11.0"/>
      </rPr>
      <t>Kerosene density: 803 kg/m</t>
    </r>
    <r>
      <rPr>
        <rFont val="Corbel"/>
        <color rgb="FF808080"/>
        <sz val="11.0"/>
        <vertAlign val="superscript"/>
      </rPr>
      <t>3</t>
    </r>
    <r>
      <rPr>
        <rFont val="Corbel"/>
        <color rgb="FF808080"/>
        <sz val="11.0"/>
      </rPr>
      <t>.</t>
    </r>
  </si>
  <si>
    <t>Diesel lower heating value: 0.043 PJ/kt.</t>
  </si>
  <si>
    <r>
      <rPr>
        <rFont val="Corbel"/>
        <color rgb="FF808080"/>
        <sz val="11.0"/>
      </rPr>
      <t>Diesel density: 844 kg/m</t>
    </r>
    <r>
      <rPr>
        <rFont val="Corbel"/>
        <color rgb="FF808080"/>
        <sz val="11.0"/>
        <vertAlign val="superscript"/>
      </rPr>
      <t>3</t>
    </r>
    <r>
      <rPr>
        <rFont val="Corbel"/>
        <color rgb="FF808080"/>
        <sz val="11.0"/>
      </rPr>
      <t>.</t>
    </r>
  </si>
  <si>
    <t>HEFA/HVO lower heating value: 0.044PJ/kt.</t>
  </si>
  <si>
    <t>Methane lower heating value: 0.050 PJ/kt.</t>
  </si>
  <si>
    <t>When projects are divided into several phases, the total announced capacity is cited. However, for calculating  the normalised capacity, the installed capacity of each phase is reduced by the capacity of the precedent phase(s) to avoid double counting.</t>
  </si>
  <si>
    <t>Colour code for projects</t>
  </si>
  <si>
    <t>Confidential projects</t>
  </si>
  <si>
    <t>Non-energy related projects</t>
  </si>
  <si>
    <t>Individual projects</t>
  </si>
  <si>
    <t>National project bringing together several projects together</t>
  </si>
  <si>
    <t>Multi-project initiatives that may contain other individual projects of the list</t>
  </si>
  <si>
    <t>DATABASE</t>
  </si>
  <si>
    <t>Ref</t>
  </si>
  <si>
    <t>Date online</t>
  </si>
  <si>
    <t>Decomission date</t>
  </si>
  <si>
    <t>Product</t>
  </si>
  <si>
    <t>End use</t>
  </si>
  <si>
    <t>Announced Size</t>
  </si>
  <si>
    <t>Normalised capacity</t>
  </si>
  <si>
    <t>IEA zero-carbon estimated normalised capacity
[Nm³ H₂/hour]</t>
  </si>
  <si>
    <t>Refs</t>
  </si>
  <si>
    <t>Technology Comments</t>
  </si>
  <si>
    <t>Type of electricity (for electrolysis projects)</t>
  </si>
  <si>
    <t>If dedicated renewables, type of renewable</t>
  </si>
  <si>
    <t>Iron&amp;Steel</t>
  </si>
  <si>
    <t>CH4 grid inj.</t>
  </si>
  <si>
    <t>CH4 mobility</t>
  </si>
  <si>
    <t>MWel</t>
  </si>
  <si>
    <t>Nm³ H₂/h</t>
  </si>
  <si>
    <t>kt H2/y</t>
  </si>
  <si>
    <t>t CO₂ captured/y</t>
  </si>
  <si>
    <t>Geographical details
Decimal Degrees
(Lat. N is positive, Long. E is positive)</t>
  </si>
  <si>
    <t>Technology_aggregate</t>
  </si>
  <si>
    <t>Capacity factor</t>
  </si>
  <si>
    <t>Technology_details</t>
  </si>
  <si>
    <t>Technology_electricity</t>
  </si>
  <si>
    <t>Technology_electricity_details</t>
  </si>
  <si>
    <t>EndUse_Refining</t>
  </si>
  <si>
    <t>EndUse_Ammonia</t>
  </si>
  <si>
    <t>EndUse_Methanol</t>
  </si>
  <si>
    <t>EndUse_Iron&amp;Steel</t>
  </si>
  <si>
    <t>EndUse_Other Ind</t>
  </si>
  <si>
    <t>EndUse_Mobility</t>
  </si>
  <si>
    <t>EndUse_Power</t>
  </si>
  <si>
    <t>EndUse_Grid inj.</t>
  </si>
  <si>
    <t>EndUse_CHP</t>
  </si>
  <si>
    <t>EndUse_Domestic heat</t>
  </si>
  <si>
    <t>EndUse_Biofuels</t>
  </si>
  <si>
    <t>EndUse_Synfuels</t>
  </si>
  <si>
    <t>EndUse_CH4 grid inj.</t>
  </si>
  <si>
    <t>EndUse_CH4 mobility</t>
  </si>
  <si>
    <t>Capacity_MWel</t>
  </si>
  <si>
    <t>Capacity_Nm³ H₂/h</t>
  </si>
  <si>
    <t>Capacity_kt H2/y</t>
  </si>
  <si>
    <t>Capacity_t CO₂ captured/y</t>
  </si>
  <si>
    <t>IEA zero-carbon estimated normalized capacity [Nm³ H₂/hour]</t>
  </si>
  <si>
    <t>References</t>
  </si>
  <si>
    <t>Dummy_1</t>
  </si>
  <si>
    <t>LOWE_CF</t>
  </si>
  <si>
    <t>Other projects from confidential sources (post-2024)</t>
  </si>
  <si>
    <t>2756 kt H2/y</t>
  </si>
  <si>
    <t>Fossil fuels with CCUS</t>
  </si>
  <si>
    <t>Various types</t>
  </si>
  <si>
    <t>488 kt H2/y</t>
  </si>
  <si>
    <t>Other Electrolysis</t>
  </si>
  <si>
    <t>17.4GW</t>
  </si>
  <si>
    <t>Electrolysis</t>
  </si>
  <si>
    <t>Other projects from confidential sources (2000-2024)</t>
  </si>
  <si>
    <t>Operational</t>
  </si>
  <si>
    <t>7MW</t>
  </si>
  <si>
    <t>141.7MW</t>
  </si>
  <si>
    <t>Non-energy related projects (2000-2024)</t>
  </si>
  <si>
    <t>ALK &amp; PEM</t>
  </si>
  <si>
    <t>78MW</t>
  </si>
  <si>
    <t>Non-energy related projects (post-2024)</t>
  </si>
  <si>
    <t>46MW</t>
  </si>
  <si>
    <t>FID/Construction</t>
  </si>
  <si>
    <t>Dedicated renewable</t>
  </si>
  <si>
    <t>2.5MW</t>
  </si>
  <si>
    <t>[503][630][609]</t>
  </si>
  <si>
    <t>Concept</t>
  </si>
  <si>
    <t>26MW</t>
  </si>
  <si>
    <t>Feasibility study</t>
  </si>
  <si>
    <t>4GW</t>
  </si>
  <si>
    <t>[379]</t>
  </si>
  <si>
    <t>12.5 million litres of synthetic kerosene per year production</t>
  </si>
  <si>
    <t>[414] [521][1288][1449] [1693]</t>
  </si>
  <si>
    <t>25 million litres of synthetic kerosene per year production</t>
  </si>
  <si>
    <t>[414] [521][1288]</t>
  </si>
  <si>
    <t>Grid</t>
  </si>
  <si>
    <t>4.5MW</t>
  </si>
  <si>
    <t>[299] [340] [434] [576] [2224]</t>
  </si>
  <si>
    <t>500 MW - 1.3 Mt DRI</t>
  </si>
  <si>
    <t>[299] [340][1108]</t>
  </si>
  <si>
    <t>20 MW</t>
  </si>
  <si>
    <t>[567] [572][620][631]</t>
  </si>
  <si>
    <t>2.5 MW</t>
  </si>
  <si>
    <t>[317] [319] [594] [682] [691] [692][1239]</t>
  </si>
  <si>
    <t>MeOH</t>
  </si>
  <si>
    <t>110 MW</t>
  </si>
  <si>
    <t>[413]</t>
  </si>
  <si>
    <t>DEMO</t>
  </si>
  <si>
    <t>Other/unknown</t>
  </si>
  <si>
    <t>1 MW</t>
  </si>
  <si>
    <t>[613] [614] [1618]</t>
  </si>
  <si>
    <t>10 MW</t>
  </si>
  <si>
    <t>[58] [135] [326] [327] [328]</t>
  </si>
  <si>
    <t>2 MW</t>
  </si>
  <si>
    <t>[239] [354] [546]</t>
  </si>
  <si>
    <t>[577][578]</t>
  </si>
  <si>
    <t>1.3 MW</t>
  </si>
  <si>
    <t>[435] [545] [2225]</t>
  </si>
  <si>
    <t>1.125 MW</t>
  </si>
  <si>
    <t>[236] [355][585]</t>
  </si>
  <si>
    <t>[383] [547]</t>
  </si>
  <si>
    <t>[239] [354] [546] [737]</t>
  </si>
  <si>
    <t>0.7 MW - 200 Nm3 H2/h</t>
  </si>
  <si>
    <t>[298] [333] [586] [672] [2082]</t>
  </si>
  <si>
    <t>0.25 MW - 50 Nm3 H2/h</t>
  </si>
  <si>
    <t>[565]</t>
  </si>
  <si>
    <t>Decommisioned</t>
  </si>
  <si>
    <t>50 kW</t>
  </si>
  <si>
    <t>[423]</t>
  </si>
  <si>
    <t>1 Nm3/h</t>
  </si>
  <si>
    <t>[548]</t>
  </si>
  <si>
    <t>[549]</t>
  </si>
  <si>
    <t>[550]</t>
  </si>
  <si>
    <t>6 MW</t>
  </si>
  <si>
    <t>[342]</t>
  </si>
  <si>
    <t>4 MW</t>
  </si>
  <si>
    <t>[352]</t>
  </si>
  <si>
    <t>[394]</t>
  </si>
  <si>
    <t>CH4</t>
  </si>
  <si>
    <t>[604]</t>
  </si>
  <si>
    <r>
      <rPr>
        <rFont val="Corbel"/>
        <color theme="1"/>
        <sz val="10.0"/>
      </rPr>
      <t>1 MW - 200 Nm</t>
    </r>
    <r>
      <rPr>
        <rFont val="Corbel"/>
        <color theme="1"/>
        <sz val="7.0"/>
        <vertAlign val="superscript"/>
      </rPr>
      <t>3</t>
    </r>
    <r>
      <rPr>
        <rFont val="Corbel"/>
        <color theme="1"/>
        <sz val="7.0"/>
      </rPr>
      <t xml:space="preserve"> H</t>
    </r>
    <r>
      <rPr>
        <rFont val="Corbel"/>
        <color theme="1"/>
        <sz val="7.0"/>
        <vertAlign val="subscript"/>
      </rPr>
      <t>2</t>
    </r>
    <r>
      <rPr>
        <rFont val="Corbel"/>
        <color theme="1"/>
        <sz val="10.0"/>
      </rPr>
      <t>/h - 1t MeOH/d</t>
    </r>
  </si>
  <si>
    <t>[2], [4], [8], [50], [51] [408]</t>
  </si>
  <si>
    <t>[440] [737][1002][1198]</t>
  </si>
  <si>
    <r>
      <rPr>
        <rFont val="Corbel"/>
        <color theme="1"/>
        <sz val="10.0"/>
      </rPr>
      <t>1 MW - 200m</t>
    </r>
    <r>
      <rPr>
        <rFont val="Corbel"/>
        <color theme="1"/>
        <sz val="7.0"/>
        <vertAlign val="superscript"/>
      </rPr>
      <t>3</t>
    </r>
    <r>
      <rPr>
        <rFont val="Corbel"/>
        <color theme="1"/>
        <sz val="7.0"/>
      </rPr>
      <t xml:space="preserve"> H</t>
    </r>
    <r>
      <rPr>
        <rFont val="Corbel"/>
        <color theme="1"/>
        <sz val="7.0"/>
        <vertAlign val="subscript"/>
      </rPr>
      <t>2</t>
    </r>
    <r>
      <rPr>
        <rFont val="Corbel"/>
        <color theme="1"/>
        <sz val="10.0"/>
      </rPr>
      <t>/h</t>
    </r>
  </si>
  <si>
    <t>140 Nm3 H2/h</t>
  </si>
  <si>
    <t>[390] [391] [437]</t>
  </si>
  <si>
    <t>0.5 MW</t>
  </si>
  <si>
    <t>[269] [302] [436]</t>
  </si>
  <si>
    <r>
      <rPr>
        <rFont val="Corbel"/>
        <color theme="1"/>
        <sz val="10.0"/>
      </rPr>
      <t>0.5 MW - 100m</t>
    </r>
    <r>
      <rPr>
        <rFont val="Corbel"/>
        <color theme="1"/>
        <sz val="7.0"/>
        <vertAlign val="superscript"/>
      </rPr>
      <t>3</t>
    </r>
    <r>
      <rPr>
        <rFont val="Corbel"/>
        <color theme="1"/>
        <sz val="7.0"/>
      </rPr>
      <t xml:space="preserve"> H</t>
    </r>
    <r>
      <rPr>
        <rFont val="Corbel"/>
        <color theme="1"/>
        <sz val="7.0"/>
        <vertAlign val="subscript"/>
      </rPr>
      <t>2</t>
    </r>
    <r>
      <rPr>
        <rFont val="Corbel"/>
        <color theme="1"/>
        <sz val="10.0"/>
      </rPr>
      <t>/h</t>
    </r>
  </si>
  <si>
    <t>[458]</t>
  </si>
  <si>
    <t>0.75 MW</t>
  </si>
  <si>
    <t>[547]</t>
  </si>
  <si>
    <t>0.35 MW</t>
  </si>
  <si>
    <t>[372]</t>
  </si>
  <si>
    <t>60 Nm3/h</t>
  </si>
  <si>
    <t>[240] [357]</t>
  </si>
  <si>
    <t>0.25 MW</t>
  </si>
  <si>
    <t>[3] [109]</t>
  </si>
  <si>
    <t>0.2 MW</t>
  </si>
  <si>
    <t>[427]</t>
  </si>
  <si>
    <t>0.15MW</t>
  </si>
  <si>
    <t>[306] [307]</t>
  </si>
  <si>
    <t>18 Nm3/h</t>
  </si>
  <si>
    <t>[3], [92], [93]</t>
  </si>
  <si>
    <t>0.025MW</t>
  </si>
  <si>
    <t>[234] [389]</t>
  </si>
  <si>
    <t>0.01 MW - 10m3 H2/h</t>
  </si>
  <si>
    <t>[445]</t>
  </si>
  <si>
    <t>0.007 MW</t>
  </si>
  <si>
    <t>[7], [9], [148] [464]</t>
  </si>
  <si>
    <t>Various</t>
  </si>
  <si>
    <t>0.006MW</t>
  </si>
  <si>
    <t>[215]</t>
  </si>
  <si>
    <t>1 Nm3 H2/h</t>
  </si>
  <si>
    <t>[556]</t>
  </si>
  <si>
    <t>1 MW - 180 Nm3 H2/h</t>
  </si>
  <si>
    <t>[372] [737]</t>
  </si>
  <si>
    <t>1.5 MW</t>
  </si>
  <si>
    <t>[109], [201], [705]</t>
  </si>
  <si>
    <t>[244], [707]</t>
  </si>
  <si>
    <t>10 Nm³ H₂/h</t>
  </si>
  <si>
    <t>[554], [708]</t>
  </si>
  <si>
    <t>[601][602]</t>
  </si>
  <si>
    <t>2.4 MW - 450m3 H2/h</t>
  </si>
  <si>
    <t>[222] [431] [737]</t>
  </si>
  <si>
    <t>[459]</t>
  </si>
  <si>
    <t>1.5MW</t>
  </si>
  <si>
    <t>[405]</t>
  </si>
  <si>
    <t>[2], [4], [8], [48], [49]</t>
  </si>
  <si>
    <t>1MW - 200m3 H2/h</t>
  </si>
  <si>
    <t>[460]</t>
  </si>
  <si>
    <t>[407]</t>
  </si>
  <si>
    <t>0.8 MW</t>
  </si>
  <si>
    <t>[31], [137], [138] [409]</t>
  </si>
  <si>
    <t>0.7Mw or 150m3 H2/h</t>
  </si>
  <si>
    <t>[476]</t>
  </si>
  <si>
    <t>0.6MW</t>
  </si>
  <si>
    <t>[399]</t>
  </si>
  <si>
    <t>0.7 MW</t>
  </si>
  <si>
    <t>[371] [383]</t>
  </si>
  <si>
    <t>0.225 MW</t>
  </si>
  <si>
    <t>[440]</t>
  </si>
  <si>
    <t>0.2MW</t>
  </si>
  <si>
    <t>37 Nm3 H2/h</t>
  </si>
  <si>
    <t>[392]</t>
  </si>
  <si>
    <t>25 Nm3 H2/h</t>
  </si>
  <si>
    <t>0.05 MW</t>
  </si>
  <si>
    <t>20m3 CH4/h</t>
  </si>
  <si>
    <t>[120], [202], [203] [402]</t>
  </si>
  <si>
    <t>10 Nm3 H2/h</t>
  </si>
  <si>
    <t>[401]</t>
  </si>
  <si>
    <t>[403]</t>
  </si>
  <si>
    <t>4 Nm3 H2/h</t>
  </si>
  <si>
    <t>[2], [165] [373]</t>
  </si>
  <si>
    <t>[543]</t>
  </si>
  <si>
    <t>0.25 Nm3 H2/h</t>
  </si>
  <si>
    <t>[384]</t>
  </si>
  <si>
    <t>[404]</t>
  </si>
  <si>
    <t>ATR+CCUS</t>
  </si>
  <si>
    <t>1GW H2 - 1.5Mt CO2/y</t>
  </si>
  <si>
    <t>[269] [302] [1121]</t>
  </si>
  <si>
    <t>3 TWh H2/y - 0.65Mt CO2/y</t>
  </si>
  <si>
    <t>[300], [709]</t>
  </si>
  <si>
    <t>1 Mt H2/y production</t>
  </si>
  <si>
    <t>[773]</t>
  </si>
  <si>
    <t>0.0625MW</t>
  </si>
  <si>
    <t>[2], [166], [167] [409]</t>
  </si>
  <si>
    <t>9 Nm3/h</t>
  </si>
  <si>
    <t>[250] [365]</t>
  </si>
  <si>
    <t>10 Nm3/h</t>
  </si>
  <si>
    <t>[126]</t>
  </si>
  <si>
    <t>[282]</t>
  </si>
  <si>
    <t>[553]</t>
  </si>
  <si>
    <t>[555]</t>
  </si>
  <si>
    <t>[108], [199] [410]</t>
  </si>
  <si>
    <t>1.25MW</t>
  </si>
  <si>
    <t>[2] [7] [380] [737]</t>
  </si>
  <si>
    <t>120MW</t>
  </si>
  <si>
    <t>[473]</t>
  </si>
  <si>
    <t>[119][200]</t>
  </si>
  <si>
    <t>0.185 MW</t>
  </si>
  <si>
    <t>[2][7][45]</t>
  </si>
  <si>
    <t>0.075MW</t>
  </si>
  <si>
    <t>[242]</t>
  </si>
  <si>
    <t>0.05MW</t>
  </si>
  <si>
    <t>[477]</t>
  </si>
  <si>
    <t>2 Nm3 H2/h</t>
  </si>
  <si>
    <t>[1], [5] [468]</t>
  </si>
  <si>
    <t>[551]</t>
  </si>
  <si>
    <t>[552]</t>
  </si>
  <si>
    <t>[1] [2] [4] [7] [8] [9] [34]</t>
  </si>
  <si>
    <t>1MW - 200 Nm3 H2/h</t>
  </si>
  <si>
    <t>[386] [737]</t>
  </si>
  <si>
    <t>0.5 MW - 100 Nm3H2/h</t>
  </si>
  <si>
    <t>[3] [4] [7]</t>
  </si>
  <si>
    <t>[4], [109], [214]</t>
  </si>
  <si>
    <t>0.3 MW - 60 Nm3 H2/h</t>
  </si>
  <si>
    <t>[4] [388]</t>
  </si>
  <si>
    <t>0.7MW - 60m3 H2/h</t>
  </si>
  <si>
    <t>[2], [109], [110] [469]</t>
  </si>
  <si>
    <t>[1], [2], [7], [9], [82] [385]</t>
  </si>
  <si>
    <t>28 Nm3/h</t>
  </si>
  <si>
    <t>[387]</t>
  </si>
  <si>
    <t>0.02MW</t>
  </si>
  <si>
    <t>[280]</t>
  </si>
  <si>
    <t>[2] [3] [121]</t>
  </si>
  <si>
    <t>[3] [192]</t>
  </si>
  <si>
    <t>1.5MW - 180 Nm3 H2/h</t>
  </si>
  <si>
    <t>[864] [865]</t>
  </si>
  <si>
    <t>[2], [7], [97] [409]</t>
  </si>
  <si>
    <t>[2], [177], [178]</t>
  </si>
  <si>
    <t>[7] [143] [144]</t>
  </si>
  <si>
    <t>6.3 MW</t>
  </si>
  <si>
    <t>[1] [3] [5] [7] [9] [737]</t>
  </si>
  <si>
    <t>200 kg H2/d</t>
  </si>
  <si>
    <t>[484]</t>
  </si>
  <si>
    <t>[1]</t>
  </si>
  <si>
    <t>0.6MW - 120 Nm3 H2/h</t>
  </si>
  <si>
    <t>20MW</t>
  </si>
  <si>
    <t>[288] [331]</t>
  </si>
  <si>
    <t>50 Nm3 H2/h</t>
  </si>
  <si>
    <t>[1], [2], [7], [12], [18], [122], [123]</t>
  </si>
  <si>
    <t>0.2MW - 30 Nm3 H2/h</t>
  </si>
  <si>
    <t>[5] [179] [180]</t>
  </si>
  <si>
    <t>0.18 MW</t>
  </si>
  <si>
    <t>[2] [3] [7] [94]</t>
  </si>
  <si>
    <t>0.04MW</t>
  </si>
  <si>
    <t>[1], [2], [7], [59]</t>
  </si>
  <si>
    <t>[248] [485] [710]</t>
  </si>
  <si>
    <t>0.6 Nm3 H2/h</t>
  </si>
  <si>
    <t>[7], [185], [186] [465]</t>
  </si>
  <si>
    <t>[76] [104] [129]</t>
  </si>
  <si>
    <t>5 MW</t>
  </si>
  <si>
    <t>[229] [737]</t>
  </si>
  <si>
    <t>0.165MW</t>
  </si>
  <si>
    <t>[1] [2] [5] [7] [41]</t>
  </si>
  <si>
    <t>0.14MW</t>
  </si>
  <si>
    <t>[1], [2], [5], [7], [46]</t>
  </si>
  <si>
    <t>0.12 MW - 30 Nm3 H2/h</t>
  </si>
  <si>
    <t>24 Nm3 H2/h</t>
  </si>
  <si>
    <t>[1], [2], [3], [9], [36]</t>
  </si>
  <si>
    <t>0.1MW</t>
  </si>
  <si>
    <t>[409]</t>
  </si>
  <si>
    <t>0.03MW</t>
  </si>
  <si>
    <t>[1], [2], [5], [7]</t>
  </si>
  <si>
    <t>1.7 Nm3 H2/h</t>
  </si>
  <si>
    <t>[1], [5], [39]</t>
  </si>
  <si>
    <t>[3], [196]</t>
  </si>
  <si>
    <t>6MW - 1200m3 H2/h</t>
  </si>
  <si>
    <t>[1] [5] [7] [11] [19] [20]</t>
  </si>
  <si>
    <t>[1], [7], [65], [66]</t>
  </si>
  <si>
    <t>0.5MW - 120 Nm3 H2/h</t>
  </si>
  <si>
    <t>[1], [2], [5], [7], [9], [71] [526]</t>
  </si>
  <si>
    <t>0.3MW - 60 Nm3 H2/h</t>
  </si>
  <si>
    <t>[1], [2]</t>
  </si>
  <si>
    <t>27 Nm3 H2/h</t>
  </si>
  <si>
    <t>[1], [5], [160]</t>
  </si>
  <si>
    <t>11 Nm3 H2/h</t>
  </si>
  <si>
    <t>0.01MW</t>
  </si>
  <si>
    <t>[1], [3],[22]</t>
  </si>
  <si>
    <t>[1], [5], [69]</t>
  </si>
  <si>
    <t>19 Nm3 H2/h</t>
  </si>
  <si>
    <t>[1], [5] [409]</t>
  </si>
  <si>
    <t>0.065MW</t>
  </si>
  <si>
    <t>[1] [2] [7] [64]</t>
  </si>
  <si>
    <t>0.022MW</t>
  </si>
  <si>
    <t>[461]</t>
  </si>
  <si>
    <t>0.007MW</t>
  </si>
  <si>
    <t>[1], [5], [70]</t>
  </si>
  <si>
    <t>2 Nm3/h</t>
  </si>
  <si>
    <t>[247][488]</t>
  </si>
  <si>
    <t>120+60 Nm3 H2/h</t>
  </si>
  <si>
    <t>[1] [5] [7] [9] [47]</t>
  </si>
  <si>
    <t>[485] [486]</t>
  </si>
  <si>
    <t>0.16MW - 30 Nm3 H2/h</t>
  </si>
  <si>
    <t>0.08MW</t>
  </si>
  <si>
    <t>[1], [161], [162]</t>
  </si>
  <si>
    <t>0.005MW</t>
  </si>
  <si>
    <t>[3], [193]</t>
  </si>
  <si>
    <t>0.004MW</t>
  </si>
  <si>
    <t>[462]</t>
  </si>
  <si>
    <t>0.0025MW</t>
  </si>
  <si>
    <t>[471]</t>
  </si>
  <si>
    <t>[1], [5], [17]</t>
  </si>
  <si>
    <t>7 Nm3 H2/h</t>
  </si>
  <si>
    <t>[1], [5], [54]</t>
  </si>
  <si>
    <t>0.7 Nm3 H2/h</t>
  </si>
  <si>
    <t>[1], [5], [171]</t>
  </si>
  <si>
    <t>0.09 Nm3 H2/h</t>
  </si>
  <si>
    <t>[1], [5], [7], [55], [63]</t>
  </si>
  <si>
    <t>0.055MW</t>
  </si>
  <si>
    <t>[1], [5], [55], [62]</t>
  </si>
  <si>
    <t>[1], [5], [55], [56]</t>
  </si>
  <si>
    <t>[87] [409]</t>
  </si>
  <si>
    <t>[7], [133]</t>
  </si>
  <si>
    <t>444 Nm3 H2/h</t>
  </si>
  <si>
    <t>[483]</t>
  </si>
  <si>
    <t>0.034MW</t>
  </si>
  <si>
    <t>[1], [2], [5], [7], [67], [68]</t>
  </si>
  <si>
    <t>[2] [7] [11] [42] [381] [737]</t>
  </si>
  <si>
    <t>1.2 MW</t>
  </si>
  <si>
    <t>[509]</t>
  </si>
  <si>
    <t>4m3 H2/h</t>
  </si>
  <si>
    <t>[3] [7]</t>
  </si>
  <si>
    <t>0.12MW</t>
  </si>
  <si>
    <t>[249] [409]</t>
  </si>
  <si>
    <t>30 Nm3/h</t>
  </si>
  <si>
    <t>[411]</t>
  </si>
  <si>
    <t>20 Nm3/h</t>
  </si>
  <si>
    <t>0.005MW - 1 Nm3 H2/h</t>
  </si>
  <si>
    <t xml:space="preserve"> [1], [5], [87], [89], [90]</t>
  </si>
  <si>
    <t>0.114MW</t>
  </si>
  <si>
    <t>12 Nm3 H2/h</t>
  </si>
  <si>
    <t xml:space="preserve"> [1], [5], [53]</t>
  </si>
  <si>
    <t>0.18MW - 50 Nm3 H2/h</t>
  </si>
  <si>
    <t>[448]</t>
  </si>
  <si>
    <t>1.2MW - 2000 Nm3 H2/h</t>
  </si>
  <si>
    <t>[491]</t>
  </si>
  <si>
    <t>[615] [730]</t>
  </si>
  <si>
    <t>0.080MW</t>
  </si>
  <si>
    <t>2.5GW</t>
  </si>
  <si>
    <t>[929][980][1001][1120][1205][2232]</t>
  </si>
  <si>
    <t>[616] [829][966]</t>
  </si>
  <si>
    <t>[2], [3], [9], [125]</t>
  </si>
  <si>
    <t>3x200 kg H2/d</t>
  </si>
  <si>
    <t>210MW (in addition to the 20MW included in Ref 10)</t>
  </si>
  <si>
    <t>[620][631]</t>
  </si>
  <si>
    <t>100MW</t>
  </si>
  <si>
    <t>[2625]</t>
  </si>
  <si>
    <t>25MW</t>
  </si>
  <si>
    <t>[2601][2625]</t>
  </si>
  <si>
    <t>[530][656][1616]</t>
  </si>
  <si>
    <t>10MW</t>
  </si>
  <si>
    <t>[512] [515][1258]</t>
  </si>
  <si>
    <r>
      <rPr>
        <rFont val="Corbel"/>
        <color theme="1"/>
        <sz val="10.0"/>
      </rPr>
      <t>1 MW - 220m</t>
    </r>
    <r>
      <rPr>
        <rFont val="Corbel"/>
        <color theme="1"/>
        <sz val="7.0"/>
        <vertAlign val="superscript"/>
      </rPr>
      <t>3</t>
    </r>
    <r>
      <rPr>
        <rFont val="Corbel"/>
        <color theme="1"/>
        <sz val="7.0"/>
      </rPr>
      <t xml:space="preserve"> H</t>
    </r>
    <r>
      <rPr>
        <rFont val="Corbel"/>
        <color theme="1"/>
        <sz val="7.0"/>
        <vertAlign val="subscript"/>
      </rPr>
      <t>2</t>
    </r>
    <r>
      <rPr>
        <rFont val="Corbel"/>
        <color theme="1"/>
        <sz val="10.0"/>
      </rPr>
      <t>/h</t>
    </r>
  </si>
  <si>
    <t>[2], [7], [103], [127] [395] [396] [547] [784]</t>
  </si>
  <si>
    <t>2.5MW - 500m3 H2/h</t>
  </si>
  <si>
    <t>[369]</t>
  </si>
  <si>
    <t>100 MW</t>
  </si>
  <si>
    <t>[1], [155]</t>
  </si>
  <si>
    <t>[1], [2], [3], [7], [9], [38]</t>
  </si>
  <si>
    <t>[438]</t>
  </si>
  <si>
    <t>[3], [9]</t>
  </si>
  <si>
    <t>1.4 Nm3 H2/h</t>
  </si>
  <si>
    <t>[3], [7], [9], [98] [478]</t>
  </si>
  <si>
    <t>0.25MW</t>
  </si>
  <si>
    <t>[3], [7], [9], [98]</t>
  </si>
  <si>
    <t>16 Nm3 H2/h</t>
  </si>
  <si>
    <t>[1], [2], [5], [7], [9], [55], [57] [409[</t>
  </si>
  <si>
    <t>2MW</t>
  </si>
  <si>
    <t>[696] [918] [919][1248]</t>
  </si>
  <si>
    <t>[2]</t>
  </si>
  <si>
    <t>1GW</t>
  </si>
  <si>
    <t>[734]</t>
  </si>
  <si>
    <t>0.25MW - 60m3 H2/h</t>
  </si>
  <si>
    <t>[583]</t>
  </si>
  <si>
    <t>10kg MeOH/h</t>
  </si>
  <si>
    <t>[490] [1617]</t>
  </si>
  <si>
    <t>[1], [152], [153]</t>
  </si>
  <si>
    <t>[496]</t>
  </si>
  <si>
    <t>10m3 H2/h</t>
  </si>
  <si>
    <t>40-50MW</t>
  </si>
  <si>
    <t>[527][619]</t>
  </si>
  <si>
    <t>0.048MW - 10 Nm3 H2/h</t>
  </si>
  <si>
    <t>[1], [2], [5], [7], [87], [88]</t>
  </si>
  <si>
    <t>200MW - 0.4Mt CO2/y</t>
  </si>
  <si>
    <t>[475] [721]</t>
  </si>
  <si>
    <t>[1], [5]</t>
  </si>
  <si>
    <t>24MW</t>
  </si>
  <si>
    <t>[415][664][1197][1215]</t>
  </si>
  <si>
    <t>[492][1124]</t>
  </si>
  <si>
    <t>5.3 Nm3 H2/h</t>
  </si>
  <si>
    <t>[1], [5], [173], [174]</t>
  </si>
  <si>
    <t>[1], [5], [136]</t>
  </si>
  <si>
    <t>[1], [5], [15]</t>
  </si>
  <si>
    <t>1MW - 180 Nm3 H2/h</t>
  </si>
  <si>
    <t>[2], [4], [187], [188]</t>
  </si>
  <si>
    <t>0.37MW</t>
  </si>
  <si>
    <t>[2], [4], [189], [190], [191] [409]</t>
  </si>
  <si>
    <t>0.015MW</t>
  </si>
  <si>
    <t>[1], [5], [86], [87]</t>
  </si>
  <si>
    <t>3MW</t>
  </si>
  <si>
    <t>[592] [593][1199]</t>
  </si>
  <si>
    <t>0.89Mt CO2/y - 600 MW H2</t>
  </si>
  <si>
    <t>[540] [541]</t>
  </si>
  <si>
    <t>250 MW</t>
  </si>
  <si>
    <t>[512] [515][725][1258]</t>
  </si>
  <si>
    <t>1300 MW</t>
  </si>
  <si>
    <t>Grid+Renewables</t>
  </si>
  <si>
    <t>7.1MW</t>
  </si>
  <si>
    <t>[581] [854][1514]</t>
  </si>
  <si>
    <t xml:space="preserve">20MW - 20 kt NH3/y </t>
  </si>
  <si>
    <t>[621] [622] [884] [885] [1672] [2376]</t>
  </si>
  <si>
    <t>[623] [1836]</t>
  </si>
  <si>
    <t>700MW</t>
  </si>
  <si>
    <t>[580]</t>
  </si>
  <si>
    <t>[314][945][1180][1212] [1551] [2624]</t>
  </si>
  <si>
    <t>50MW</t>
  </si>
  <si>
    <t>[264] [473]</t>
  </si>
  <si>
    <t>[624][625]</t>
  </si>
  <si>
    <t>100 MW - 15 kt H2/y, 40 kt NH3/y</t>
  </si>
  <si>
    <t>[628][658][1533]</t>
  </si>
  <si>
    <t>65MW-45kt MeOH</t>
  </si>
  <si>
    <t>[444] [654]</t>
  </si>
  <si>
    <t>[232] [473]</t>
  </si>
  <si>
    <t>[493][618][660][889][2199]</t>
  </si>
  <si>
    <t>1000MW</t>
  </si>
  <si>
    <t>[419]</t>
  </si>
  <si>
    <t>5000MW</t>
  </si>
  <si>
    <t>[416]</t>
  </si>
  <si>
    <t>3000MW</t>
  </si>
  <si>
    <t>[291] [377] [494] [520] [660] [676][889]</t>
  </si>
  <si>
    <t>2.2GW - 650t H2/d - 1.2Mt NH3/y</t>
  </si>
  <si>
    <t>[562][1186] [1297] [1666]</t>
  </si>
  <si>
    <t>1500-2115MW</t>
  </si>
  <si>
    <t>[1026]</t>
  </si>
  <si>
    <t>320 t H2/d</t>
  </si>
  <si>
    <t>[520]</t>
  </si>
  <si>
    <t>[537] [579][892][1044][1210]</t>
  </si>
  <si>
    <t>2000MW</t>
  </si>
  <si>
    <t>[537] [579][995][1044][1210]</t>
  </si>
  <si>
    <t>[275] [630] [920] [1662][2398]</t>
  </si>
  <si>
    <t>[275] [630]</t>
  </si>
  <si>
    <t>350MW</t>
  </si>
  <si>
    <t>[337] [338]</t>
  </si>
  <si>
    <t>60t H2/d production</t>
  </si>
  <si>
    <t>[522] [523]</t>
  </si>
  <si>
    <t>250MW</t>
  </si>
  <si>
    <t>[266][630]</t>
  </si>
  <si>
    <t>40 MW</t>
  </si>
  <si>
    <t>[560] [800] [2377] [2628]</t>
  </si>
  <si>
    <t>30MW</t>
  </si>
  <si>
    <t>[479] [830][1244]</t>
  </si>
  <si>
    <t>160MW</t>
  </si>
  <si>
    <t>[287]</t>
  </si>
  <si>
    <t>150MW</t>
  </si>
  <si>
    <t>[319]</t>
  </si>
  <si>
    <t>280MW</t>
  </si>
  <si>
    <t>[286] [503][630][920] [1662]</t>
  </si>
  <si>
    <t>[376]</t>
  </si>
  <si>
    <t>[503][630] [1662] [2435]</t>
  </si>
  <si>
    <t>[595] [769]</t>
  </si>
  <si>
    <t>[503][630]</t>
  </si>
  <si>
    <t>750kW - 300kg H2/d</t>
  </si>
  <si>
    <t>[857] [858][1014], Platts European Gas Daily 08-09-2021</t>
  </si>
  <si>
    <t>1MW or 300 kg H2/d</t>
  </si>
  <si>
    <t>[857] [858] [1609] [1610]</t>
  </si>
  <si>
    <t xml:space="preserve"> [1], [60], [61]</t>
  </si>
  <si>
    <t>[598][1398][2380]</t>
  </si>
  <si>
    <t>2.6MW</t>
  </si>
  <si>
    <t>[1], [29] [409]</t>
  </si>
  <si>
    <t>10000t synthetic kerosene/y production</t>
  </si>
  <si>
    <t>[534]</t>
  </si>
  <si>
    <t>15MW</t>
  </si>
  <si>
    <t>[534] [2379]</t>
  </si>
  <si>
    <t>[272][638]</t>
  </si>
  <si>
    <t>8.8MW</t>
  </si>
  <si>
    <t>[582][1022][1593]</t>
  </si>
  <si>
    <t>2kt H2/y production</t>
  </si>
  <si>
    <t>[582]</t>
  </si>
  <si>
    <t>16m3 H2/h</t>
  </si>
  <si>
    <t>[489]</t>
  </si>
  <si>
    <t>[1], [5], [72], [73] [409]</t>
  </si>
  <si>
    <t>[1], [5], [72], [73]</t>
  </si>
  <si>
    <t>5MW</t>
  </si>
  <si>
    <t>[503][630] [630]</t>
  </si>
  <si>
    <t>[503][630] [630][1662]</t>
  </si>
  <si>
    <t>[1] [3]</t>
  </si>
  <si>
    <t>0.0012MW</t>
  </si>
  <si>
    <t>[63]</t>
  </si>
  <si>
    <t>3.4MW</t>
  </si>
  <si>
    <t>0.001MW</t>
  </si>
  <si>
    <t>[1], [158], [159], [206]</t>
  </si>
  <si>
    <t>[3], [194]</t>
  </si>
  <si>
    <t>[1669]</t>
  </si>
  <si>
    <t>[244]</t>
  </si>
  <si>
    <t>60m3 H2/h</t>
  </si>
  <si>
    <t>[2], [149], [150]</t>
  </si>
  <si>
    <t>0.312MW</t>
  </si>
  <si>
    <t>[2], [3] [409]</t>
  </si>
  <si>
    <t>[425][1591]</t>
  </si>
  <si>
    <t>0.11MW</t>
  </si>
  <si>
    <t>[1], [2], [5], [7], [9], [83] [466]</t>
  </si>
  <si>
    <t>[514]</t>
  </si>
  <si>
    <t>[7], [211]</t>
  </si>
  <si>
    <t>[528] [754][1200][1611]</t>
  </si>
  <si>
    <t xml:space="preserve"> [7], [181]</t>
  </si>
  <si>
    <t xml:space="preserve"> [1], [27], [28]</t>
  </si>
  <si>
    <t xml:space="preserve"> [1], [116]</t>
  </si>
  <si>
    <t>0.3MW</t>
  </si>
  <si>
    <t xml:space="preserve"> [1], [156], [157</t>
  </si>
  <si>
    <t>60 Nm3 H2/h</t>
  </si>
  <si>
    <t xml:space="preserve"> [2], [3], [7]</t>
  </si>
  <si>
    <t xml:space="preserve"> [100], [198]</t>
  </si>
  <si>
    <t xml:space="preserve"> [1], [3]</t>
  </si>
  <si>
    <t xml:space="preserve"> [1], [3], [117]</t>
  </si>
  <si>
    <t>[1], [2], [7], [9], [81]  [470]</t>
  </si>
  <si>
    <t>[207] [323]</t>
  </si>
  <si>
    <t xml:space="preserve"> [7], [133]</t>
  </si>
  <si>
    <t>0.3 Nm3 H2/h</t>
  </si>
  <si>
    <t xml:space="preserve"> [141], [142]</t>
  </si>
  <si>
    <t>0.3MW - 60m3 H2/h</t>
  </si>
  <si>
    <t xml:space="preserve"> [1], [2], [5], [7], [9], [52]</t>
  </si>
  <si>
    <t>[113], [114], [213] [456] [481]</t>
  </si>
  <si>
    <t xml:space="preserve"> [3]</t>
  </si>
  <si>
    <t xml:space="preserve"> [7], [151]</t>
  </si>
  <si>
    <t xml:space="preserve"> [2], [163]</t>
  </si>
  <si>
    <t>[7] [182] [183] [184]</t>
  </si>
  <si>
    <t xml:space="preserve"> [1], [2], [3], [5], [7], [9]</t>
  </si>
  <si>
    <t>35 Nm3 H2/h</t>
  </si>
  <si>
    <t>[281]</t>
  </si>
  <si>
    <t>13 Nm3 H2/h</t>
  </si>
  <si>
    <t>[480]</t>
  </si>
  <si>
    <t xml:space="preserve"> [3], [124]</t>
  </si>
  <si>
    <t>SMR+CCUS</t>
  </si>
  <si>
    <t>100kt CO2/y</t>
  </si>
  <si>
    <t>[279]</t>
  </si>
  <si>
    <t>0.15MW - 37.5m3 H2/h</t>
  </si>
  <si>
    <t>[298]</t>
  </si>
  <si>
    <t>0.135MW</t>
  </si>
  <si>
    <t>[278]</t>
  </si>
  <si>
    <t>[362]</t>
  </si>
  <si>
    <t>[1] [7] [9] [99]</t>
  </si>
  <si>
    <t>[510}</t>
  </si>
  <si>
    <t>0.041MW</t>
  </si>
  <si>
    <t xml:space="preserve"> [1], [2], [5], [7], [64]</t>
  </si>
  <si>
    <t>6.3 Nm3 H2/h</t>
  </si>
  <si>
    <t>[1] [5] [463]</t>
  </si>
  <si>
    <t>[370]</t>
  </si>
  <si>
    <t xml:space="preserve"> [1], [5], [87], [111], [112]</t>
  </si>
  <si>
    <t>0.0036MW</t>
  </si>
  <si>
    <t xml:space="preserve"> [1], [5], [85], [86], [87]</t>
  </si>
  <si>
    <t>0.0034MW</t>
  </si>
  <si>
    <t xml:space="preserve"> [1], [5], [86], [87]</t>
  </si>
  <si>
    <t xml:space="preserve"> [1], [5], [106]</t>
  </si>
  <si>
    <t>0.5 Nm3 H2/h</t>
  </si>
  <si>
    <t xml:space="preserve"> [1], [14]</t>
  </si>
  <si>
    <t>1MW</t>
  </si>
  <si>
    <t>[500] [501][2390]</t>
  </si>
  <si>
    <t xml:space="preserve"> [1], [5], [37], [106]</t>
  </si>
  <si>
    <t>0.05m3 H2/h</t>
  </si>
  <si>
    <t>[472]</t>
  </si>
  <si>
    <t>[1], [102]</t>
  </si>
  <si>
    <t xml:space="preserve"> [7], [9], [147]</t>
  </si>
  <si>
    <t xml:space="preserve"> [1], [5], [164]</t>
  </si>
  <si>
    <t>0.099MW</t>
  </si>
  <si>
    <t xml:space="preserve"> [1], [5], [25], [26]</t>
  </si>
  <si>
    <t xml:space="preserve"> [1], [5], [7], [87]</t>
  </si>
  <si>
    <t>0.0065MW</t>
  </si>
  <si>
    <t xml:space="preserve"> [1], [5], [169], [170]</t>
  </si>
  <si>
    <t xml:space="preserve"> [1], [5], [79]</t>
  </si>
  <si>
    <t xml:space="preserve"> [1], [9], [23], [24]</t>
  </si>
  <si>
    <t>1000 Nm3 H2/h - 1440t MeOH</t>
  </si>
  <si>
    <t>[361] [768]</t>
  </si>
  <si>
    <t>[503][630][920][1662]</t>
  </si>
  <si>
    <t>1-10MW</t>
  </si>
  <si>
    <t>[570]</t>
  </si>
  <si>
    <t>[605]</t>
  </si>
  <si>
    <t>Coke gasification with CCUS</t>
  </si>
  <si>
    <t>900000 t CO2/y</t>
  </si>
  <si>
    <t>200000-300000 t CO2/y</t>
  </si>
  <si>
    <t>900000t CO2/y - 151000m3 H2/h</t>
  </si>
  <si>
    <t>[345]</t>
  </si>
  <si>
    <t>Microbial fermentation</t>
  </si>
  <si>
    <t>12m3 H2/h</t>
  </si>
  <si>
    <t>[487]</t>
  </si>
  <si>
    <t>100000t CO2/y - 4500kg H2/h</t>
  </si>
  <si>
    <t>[335] [336]</t>
  </si>
  <si>
    <t>1100000t CO2/y - 300 kt H2/y</t>
  </si>
  <si>
    <t>[349] [703]</t>
  </si>
  <si>
    <t>[9], Cap. network</t>
  </si>
  <si>
    <t>[118], [205]</t>
  </si>
  <si>
    <t>[7], [9], [139] [467]</t>
  </si>
  <si>
    <t>PEM+ALK+SOEC</t>
  </si>
  <si>
    <t>1.3MW</t>
  </si>
  <si>
    <t>[2], [7], [95], [96]</t>
  </si>
  <si>
    <t>20MW - 8t H2/d</t>
  </si>
  <si>
    <t>[241][665]</t>
  </si>
  <si>
    <t>[360][587] [771]</t>
  </si>
  <si>
    <t>140kt H2/y - 0.77 Mt CO2/y</t>
  </si>
  <si>
    <t>[947][1993]</t>
  </si>
  <si>
    <t>4.3 t H2/d</t>
  </si>
  <si>
    <t>[360]</t>
  </si>
  <si>
    <t>3.1MW</t>
  </si>
  <si>
    <t>[216][1242] [2226]</t>
  </si>
  <si>
    <t>3.5MW</t>
  </si>
  <si>
    <t>[452]</t>
  </si>
  <si>
    <t xml:space="preserve">600kW - 56t H2/y </t>
  </si>
  <si>
    <t>[958] [1322] [1976]</t>
  </si>
  <si>
    <t>[231] [356] [732]</t>
  </si>
  <si>
    <t>2 x 1.25MW - 450m3 H2/h</t>
  </si>
  <si>
    <t>[294][672] [774]</t>
  </si>
  <si>
    <t>4MW</t>
  </si>
  <si>
    <t>[360] [771]</t>
  </si>
  <si>
    <t>[339][921]</t>
  </si>
  <si>
    <t>[296] [311]</t>
  </si>
  <si>
    <t>[329][1020]</t>
  </si>
  <si>
    <t>0.5MW</t>
  </si>
  <si>
    <t xml:space="preserve"> [224] [308][1227]</t>
  </si>
  <si>
    <t>0.22MW</t>
  </si>
  <si>
    <t>[535] [1612]</t>
  </si>
  <si>
    <t>12kg H2/d</t>
  </si>
  <si>
    <t>[511] [1699] [1701]</t>
  </si>
  <si>
    <t>[566]</t>
  </si>
  <si>
    <t>[1], [115] [456]</t>
  </si>
  <si>
    <t>[323]</t>
  </si>
  <si>
    <t>Bitumen gasification+CCUS</t>
  </si>
  <si>
    <t>1300000t CO2/y</t>
  </si>
  <si>
    <t>[348] [544]</t>
  </si>
  <si>
    <t>300000t CO2/y</t>
  </si>
  <si>
    <t>[346] [347] [544]</t>
  </si>
  <si>
    <t>[221]</t>
  </si>
  <si>
    <t>[140], [208] [393]</t>
  </si>
  <si>
    <t>[1] [5] [87] [89] [90]</t>
  </si>
  <si>
    <t>500MW, 330 kt NH3/y</t>
  </si>
  <si>
    <t>[359], [1527]</t>
  </si>
  <si>
    <t>[266] [309] [310] [664] [882] [910] [1679]</t>
  </si>
  <si>
    <t>10 kt H2/y - production</t>
  </si>
  <si>
    <t>[360] [771][2073]</t>
  </si>
  <si>
    <t>[232] [322] [606] [860]</t>
  </si>
  <si>
    <t>300MW</t>
  </si>
  <si>
    <t>[873]</t>
  </si>
  <si>
    <t>[679] [680][1033]</t>
  </si>
  <si>
    <t>[5], [105]</t>
  </si>
  <si>
    <t>[1], [5], [21]</t>
  </si>
  <si>
    <t>[1], [5], [172]</t>
  </si>
  <si>
    <t>1.4MW</t>
  </si>
  <si>
    <t>[591][597] [1613]</t>
  </si>
  <si>
    <t>[575]</t>
  </si>
  <si>
    <t>[533][1125] [1619]</t>
  </si>
  <si>
    <t>Biogas reforming</t>
  </si>
  <si>
    <t>30t H2/d (only part from biogas, but at least 1/3)</t>
  </si>
  <si>
    <t>[559] [561][639]</t>
  </si>
  <si>
    <t>1 MW - 750000 l MeOH/y</t>
  </si>
  <si>
    <t>[589][645] [870] [871] [1076] [1078][1518] [1597]</t>
  </si>
  <si>
    <t>200MW</t>
  </si>
  <si>
    <t>[505][920][968][1219][1435][1437]</t>
  </si>
  <si>
    <t>[538] [539][1038][1336][1620]</t>
  </si>
  <si>
    <t>[563] [1323]</t>
  </si>
  <si>
    <t>[564]</t>
  </si>
  <si>
    <t>0.06MW</t>
  </si>
  <si>
    <t>[588][620][631]</t>
  </si>
  <si>
    <t>1.6 MW - 185 Nm3/h</t>
  </si>
  <si>
    <t>[518] [519] [557][1621]</t>
  </si>
  <si>
    <t>53 MW</t>
  </si>
  <si>
    <t>[600] [1347] [1348]</t>
  </si>
  <si>
    <t>Biomass plasma-enhanced gasification</t>
  </si>
  <si>
    <t>12000kg H2/d</t>
  </si>
  <si>
    <t>[513] [1694] [2381]</t>
  </si>
  <si>
    <t>[610]</t>
  </si>
  <si>
    <t>Methane pyrolysis</t>
  </si>
  <si>
    <t>5kt H2/y</t>
  </si>
  <si>
    <t>[611][1189]</t>
  </si>
  <si>
    <t>275kt NH3/y</t>
  </si>
  <si>
    <t>360MW (in addition to the 230MW included in Ref 776)</t>
  </si>
  <si>
    <t>[502], [596], [667] [1324] [1603]</t>
  </si>
  <si>
    <t>1.7t H2/d</t>
  </si>
  <si>
    <t>5-10MW</t>
  </si>
  <si>
    <t>[503][630] [504] [920] [1662]</t>
  </si>
  <si>
    <t>[242] [353] [503][630] [508][1662] [2382]</t>
  </si>
  <si>
    <t xml:space="preserve">1475 t/yr H2 </t>
  </si>
  <si>
    <t>[771] [1707] [1708]</t>
  </si>
  <si>
    <t>[499][1154] [1604] [1662]</t>
  </si>
  <si>
    <t>1.5MW - 250m3 H2/h</t>
  </si>
  <si>
    <t>[529][1226]</t>
  </si>
  <si>
    <t>[503][630] [1325] [2227]</t>
  </si>
  <si>
    <t>[445][599]</t>
  </si>
  <si>
    <t>[290] [446][1024]</t>
  </si>
  <si>
    <t>Coal gasification with CCUS</t>
  </si>
  <si>
    <t>4.39 Mt CO2/y - 770 tH2/d</t>
  </si>
  <si>
    <t>[297]</t>
  </si>
  <si>
    <t>1300000t CO2/y - 100 kt H2/y</t>
  </si>
  <si>
    <t>[268]</t>
  </si>
  <si>
    <t>600000t CO2/y</t>
  </si>
  <si>
    <t>[516][517]</t>
  </si>
  <si>
    <t>[103] [130]</t>
  </si>
  <si>
    <t>0.175MW</t>
  </si>
  <si>
    <t>[375]</t>
  </si>
  <si>
    <t>[261] [262] [264] [321][358][632][786] [809]</t>
  </si>
  <si>
    <t>[421]</t>
  </si>
  <si>
    <t>[334]</t>
  </si>
  <si>
    <t>100t H2/y</t>
  </si>
  <si>
    <t>[324] [325] [574] [946][1037] [1605] [2266]</t>
  </si>
  <si>
    <t>310MW</t>
  </si>
  <si>
    <t>[259] [474] [880] [2383]</t>
  </si>
  <si>
    <t>[1668]</t>
  </si>
  <si>
    <t>[304]  [131] [715] [1315]</t>
  </si>
  <si>
    <t>23t H2/d - 55MW</t>
  </si>
  <si>
    <t>[497][1035][1169][1170][1728]</t>
  </si>
  <si>
    <t>[318] [853] [1354], Platts European Gas Daily 10-09-2021</t>
  </si>
  <si>
    <t>[378] [397] [422] [457] [853] [1606]</t>
  </si>
  <si>
    <t>[424] [1607] [2025]</t>
  </si>
  <si>
    <t>Petroleum coke+CCUS</t>
  </si>
  <si>
    <t>4200000t CO2/y</t>
  </si>
  <si>
    <t>[273] [350]</t>
  </si>
  <si>
    <t>60MW</t>
  </si>
  <si>
    <t>[630] [853]</t>
  </si>
  <si>
    <t>[226] [366]</t>
  </si>
  <si>
    <t>500MW</t>
  </si>
  <si>
    <t>[305]  [131] [1315]</t>
  </si>
  <si>
    <t>[283]</t>
  </si>
  <si>
    <t>Petcoke+biomass gasification with CCUS</t>
  </si>
  <si>
    <t>1650000t CO2/y - 336 tH2/d</t>
  </si>
  <si>
    <t>[277] [341] [863]</t>
  </si>
  <si>
    <t>[2] [175] [209]</t>
  </si>
  <si>
    <t>Heavy oil residue gasification+CCUS</t>
  </si>
  <si>
    <t>1000000t CO2/y - 100 kt/y</t>
  </si>
  <si>
    <t>[343] [344]</t>
  </si>
  <si>
    <t>Biomass gasification</t>
  </si>
  <si>
    <t>2- 6 MW reactors</t>
  </si>
  <si>
    <t>Combination of electrolysis and NG w CCUS</t>
  </si>
  <si>
    <t>ALK+PEM</t>
  </si>
  <si>
    <t>6 MW, 1000 Nm3/h ALK + 200 Nm3/h PEM</t>
  </si>
  <si>
    <t>[831]</t>
  </si>
  <si>
    <t>[617]</t>
  </si>
  <si>
    <t>[312]</t>
  </si>
  <si>
    <t>15kW</t>
  </si>
  <si>
    <t>[316]</t>
  </si>
  <si>
    <t>1.2 kg H2/d</t>
  </si>
  <si>
    <t>[320]</t>
  </si>
  <si>
    <t>1.2MW</t>
  </si>
  <si>
    <t>[503][630] [1662]</t>
  </si>
  <si>
    <t>[313]</t>
  </si>
  <si>
    <t>[633] [1689]</t>
  </si>
  <si>
    <t>[1020][1021]</t>
  </si>
  <si>
    <t>20kg H2/d</t>
  </si>
  <si>
    <t>[636][637][1021]</t>
  </si>
  <si>
    <t>40MW</t>
  </si>
  <si>
    <t>[630] [1662] [2435]</t>
  </si>
  <si>
    <t>150MW - 1GW</t>
  </si>
  <si>
    <t>[640]</t>
  </si>
  <si>
    <t>600MW</t>
  </si>
  <si>
    <t>[653][1083] [1671] [1662]</t>
  </si>
  <si>
    <t>300 MW</t>
  </si>
  <si>
    <t>[288] [331][930]</t>
  </si>
  <si>
    <t>6MW</t>
  </si>
  <si>
    <t>[641][924][926][1249]</t>
  </si>
  <si>
    <t>[642] [772][1216]</t>
  </si>
  <si>
    <t>1.63MW</t>
  </si>
  <si>
    <t>[644][979],  Platts European Gas Daily 27-10-2021</t>
  </si>
  <si>
    <t>250MW - 250kt NH3/y</t>
  </si>
  <si>
    <t>[646]</t>
  </si>
  <si>
    <t>[647]</t>
  </si>
  <si>
    <t>[648], Platts European Gas Daily 29-07-2021
[1847]</t>
  </si>
  <si>
    <t>0.67MW</t>
  </si>
  <si>
    <t>[649], Platts European Gas Daily 15-07-2021</t>
  </si>
  <si>
    <t>[651] [1309]</t>
  </si>
  <si>
    <t>6000m3 H2/h</t>
  </si>
  <si>
    <t>[650] [772]</t>
  </si>
  <si>
    <t>0.75MW</t>
  </si>
  <si>
    <t>[652] [897] [1622]</t>
  </si>
  <si>
    <t>769MW</t>
  </si>
  <si>
    <t>[655]</t>
  </si>
  <si>
    <t>500MW-420 ktnNH3/y</t>
  </si>
  <si>
    <t>[657][1034]</t>
  </si>
  <si>
    <t>[659]</t>
  </si>
  <si>
    <t>[1079] [1080]</t>
  </si>
  <si>
    <t>157 MW</t>
  </si>
  <si>
    <t>[661] [779] [2489]</t>
  </si>
  <si>
    <t xml:space="preserve">20 MW - 1.1 kt H2/y </t>
  </si>
  <si>
    <t>[662] [1675]</t>
  </si>
  <si>
    <t>10MW - 0.6 kt H2/y</t>
  </si>
  <si>
    <t>[666] [690]</t>
  </si>
  <si>
    <t>[810] [811]</t>
  </si>
  <si>
    <t>90 MW</t>
  </si>
  <si>
    <t>[668] [669] [695]</t>
  </si>
  <si>
    <t>500kt H2/y</t>
  </si>
  <si>
    <t>[670]</t>
  </si>
  <si>
    <t>[671][982][1249][1455] [1678][2682]</t>
  </si>
  <si>
    <t>75MW</t>
  </si>
  <si>
    <t>[673]</t>
  </si>
  <si>
    <t>200 MW</t>
  </si>
  <si>
    <t>[674] [675][1212]</t>
  </si>
  <si>
    <t>10GW</t>
  </si>
  <si>
    <t>28MW</t>
  </si>
  <si>
    <t>[677][945][980]</t>
  </si>
  <si>
    <t>3GW</t>
  </si>
  <si>
    <t>0.4MW</t>
  </si>
  <si>
    <t>[681] [689]</t>
  </si>
  <si>
    <t>[684]</t>
  </si>
  <si>
    <t>[685] [686] [687]</t>
  </si>
  <si>
    <t>80t H2/y</t>
  </si>
  <si>
    <t>[688] [748][1738]</t>
  </si>
  <si>
    <t>[693]</t>
  </si>
  <si>
    <t>[695][1172][1173]</t>
  </si>
  <si>
    <t>[698]</t>
  </si>
  <si>
    <t>[699] [2141] Data from Platts S&amp;P Global Hydrogen Daily 21/09/2023</t>
  </si>
  <si>
    <t>2.5 MW - 0.25-0.3 kt H2/y</t>
  </si>
  <si>
    <t>[701][1167]</t>
  </si>
  <si>
    <t>Unknown technology</t>
  </si>
  <si>
    <t>0.3-0.4 kt H2/y</t>
  </si>
  <si>
    <t>[701] [912]</t>
  </si>
  <si>
    <t xml:space="preserve">90 kt H2/y production </t>
  </si>
  <si>
    <t>[701] [2513]</t>
  </si>
  <si>
    <t>[706]</t>
  </si>
  <si>
    <t>[711] [712] [1326]</t>
  </si>
  <si>
    <t>[713] [714]</t>
  </si>
  <si>
    <t>7.2MW</t>
  </si>
  <si>
    <t>15 MW</t>
  </si>
  <si>
    <t>50M W</t>
  </si>
  <si>
    <t>[319] [715] [729]</t>
  </si>
  <si>
    <t>105MW</t>
  </si>
  <si>
    <t>30 TWh H2/y - 8.1Mt CO2/y</t>
  </si>
  <si>
    <t>[716] [866] [1690]</t>
  </si>
  <si>
    <t>[717]</t>
  </si>
  <si>
    <t>[719] [2208]</t>
  </si>
  <si>
    <t>1000t H2/y</t>
  </si>
  <si>
    <t>[720] [903]</t>
  </si>
  <si>
    <t>[723][2385]</t>
  </si>
  <si>
    <t>[723] [1662][2385]</t>
  </si>
  <si>
    <t>[724] [910]</t>
  </si>
  <si>
    <t>[726]</t>
  </si>
  <si>
    <t>[727] [1676]</t>
  </si>
  <si>
    <t>[728]</t>
  </si>
  <si>
    <t>[73]</t>
  </si>
  <si>
    <t>800MW - 2.5 Mt steel</t>
  </si>
  <si>
    <t>[735] [736][1400][1439] [2100]</t>
  </si>
  <si>
    <t>[738][1020][1136] [2229]</t>
  </si>
  <si>
    <t>[739] [757]</t>
  </si>
  <si>
    <t>67GW</t>
  </si>
  <si>
    <t>[758]</t>
  </si>
  <si>
    <t>250 kt H2/y - 0.15 Mt CO2/</t>
  </si>
  <si>
    <t>[741] [742]</t>
  </si>
  <si>
    <t>[743]</t>
  </si>
  <si>
    <t>[745] [746] [2290] [2602]</t>
  </si>
  <si>
    <t>6 kg H2/d</t>
  </si>
  <si>
    <t>[747] [1328][1583]</t>
  </si>
  <si>
    <t>125 KW</t>
  </si>
  <si>
    <t>[749]</t>
  </si>
  <si>
    <t>70MW</t>
  </si>
  <si>
    <t>[750], [1270]</t>
  </si>
  <si>
    <t>1000kt CO2/y</t>
  </si>
  <si>
    <t>[753] [953][998] [1327]</t>
  </si>
  <si>
    <t>100000t CO2/y</t>
  </si>
  <si>
    <t>[751]</t>
  </si>
  <si>
    <t>3000000 t CO2/y</t>
  </si>
  <si>
    <t>[753][1059]</t>
  </si>
  <si>
    <t>800000 t CO2/y</t>
  </si>
  <si>
    <t>[752]</t>
  </si>
  <si>
    <t>[756]</t>
  </si>
  <si>
    <t>2-10MW</t>
  </si>
  <si>
    <t>[759]</t>
  </si>
  <si>
    <t>[760]</t>
  </si>
  <si>
    <t>175 kW</t>
  </si>
  <si>
    <t>[761] [859] [1329]</t>
  </si>
  <si>
    <t>[762] [763]</t>
  </si>
  <si>
    <t>50kt H2/y production</t>
  </si>
  <si>
    <t>[764] [954][1266]</t>
  </si>
  <si>
    <t>[767]</t>
  </si>
  <si>
    <t>0.1 Nm3 H2/h</t>
  </si>
  <si>
    <t>[769]</t>
  </si>
  <si>
    <t>50000m3 H2/h</t>
  </si>
  <si>
    <t>[770] [836]</t>
  </si>
  <si>
    <t>[775] [1696]</t>
  </si>
  <si>
    <t>[778], Platts European Gas Daily 16-09-2021 [2535][2536] [2584]</t>
  </si>
  <si>
    <t>[778]</t>
  </si>
  <si>
    <t>0.7MW</t>
  </si>
  <si>
    <t>[780]</t>
  </si>
  <si>
    <t>[782]</t>
  </si>
  <si>
    <t>[783]</t>
  </si>
  <si>
    <t>4 x 0.25MW</t>
  </si>
  <si>
    <t>[785] [786]</t>
  </si>
  <si>
    <t>[787]</t>
  </si>
  <si>
    <t>[788]</t>
  </si>
  <si>
    <t>[789]</t>
  </si>
  <si>
    <t>[790][1152]</t>
  </si>
  <si>
    <t>[791][1448]</t>
  </si>
  <si>
    <t>280 t synfuels/y capacity</t>
  </si>
  <si>
    <t>[791]</t>
  </si>
  <si>
    <t>GHR-ATR</t>
  </si>
  <si>
    <t>600MW - 1 million t CO2/y</t>
  </si>
  <si>
    <t>[792] [1390]</t>
  </si>
  <si>
    <t>1.2GW - 2 million t CO2/y</t>
  </si>
  <si>
    <t>[793] [1330] [2384]</t>
  </si>
  <si>
    <t>660kt NH3</t>
  </si>
  <si>
    <t>[794]</t>
  </si>
  <si>
    <t>1Mt NH3/y - 2 Mt CO2/y</t>
  </si>
  <si>
    <t>[797][798][799][944][1100], Platts European Gas Daily 17-08-2021 [2352]</t>
  </si>
  <si>
    <t>[560] [800]</t>
  </si>
  <si>
    <t>[1290] [2294]</t>
  </si>
  <si>
    <t>16MW</t>
  </si>
  <si>
    <t>[862][1089][1153], Platts European Gas Daily 01-10-2021</t>
  </si>
  <si>
    <t>140MW</t>
  </si>
  <si>
    <t>[806]</t>
  </si>
  <si>
    <t>[803]</t>
  </si>
  <si>
    <t>[804]</t>
  </si>
  <si>
    <t>600 kt H2/y capacity</t>
  </si>
  <si>
    <t>[805]</t>
  </si>
  <si>
    <t>[807] [1685]</t>
  </si>
  <si>
    <t>10 million cubic feet H2/d</t>
  </si>
  <si>
    <t>[818][2230] [2339]</t>
  </si>
  <si>
    <t>[819][1594]</t>
  </si>
  <si>
    <t>[820] [1662]</t>
  </si>
  <si>
    <t>1.6 t H2/d</t>
  </si>
  <si>
    <t>[821] [1608]</t>
  </si>
  <si>
    <t>[822][1742]</t>
  </si>
  <si>
    <t>[823]</t>
  </si>
  <si>
    <t>839 MW</t>
  </si>
  <si>
    <t>[824][2405]</t>
  </si>
  <si>
    <t>[915]</t>
  </si>
  <si>
    <t>[825]</t>
  </si>
  <si>
    <t>[826]</t>
  </si>
  <si>
    <t>20MW - 15kt MeOH/y</t>
  </si>
  <si>
    <t>[828] [1344] [1345]</t>
  </si>
  <si>
    <t>2.8t H2/d</t>
  </si>
  <si>
    <t>[874] [875] [876] [1634] [1698]</t>
  </si>
  <si>
    <t>[832]</t>
  </si>
  <si>
    <t>[837][1061]</t>
  </si>
  <si>
    <t>PEM &amp; SOEC</t>
  </si>
  <si>
    <t>10t H2/d</t>
  </si>
  <si>
    <t>[838]</t>
  </si>
  <si>
    <t>[845]</t>
  </si>
  <si>
    <t>[846], Platts European Gas Daily 23-07-2021, [1635]</t>
  </si>
  <si>
    <t>30 MW - 50kt MeOH/y</t>
  </si>
  <si>
    <t>[847] [1363][1437][1899]</t>
  </si>
  <si>
    <t>[1645][2413]</t>
  </si>
  <si>
    <t>[848]</t>
  </si>
  <si>
    <t>[842]</t>
  </si>
  <si>
    <t>50m3 CH4/h</t>
  </si>
  <si>
    <t>[843] [853]</t>
  </si>
  <si>
    <t>[272][638], Platts European Gas Daily 08-12-2021</t>
  </si>
  <si>
    <t>[844] [2399]</t>
  </si>
  <si>
    <t>[844]</t>
  </si>
  <si>
    <t>[849]</t>
  </si>
  <si>
    <t>0.35MW</t>
  </si>
  <si>
    <t>[2401]</t>
  </si>
  <si>
    <t>[850] [2366]</t>
  </si>
  <si>
    <t>[851]</t>
  </si>
  <si>
    <t>[852]</t>
  </si>
  <si>
    <t>30 GWh H2/d</t>
  </si>
  <si>
    <t>[853]</t>
  </si>
  <si>
    <t>1.8 GWh H2/d production</t>
  </si>
  <si>
    <t>[382]</t>
  </si>
  <si>
    <t>23MW</t>
  </si>
  <si>
    <t>[853] [855]</t>
  </si>
  <si>
    <t>90MW</t>
  </si>
  <si>
    <t>[853], Data from Snam</t>
  </si>
  <si>
    <t>[853][1003]</t>
  </si>
  <si>
    <t>84MW</t>
  </si>
  <si>
    <t>332MW</t>
  </si>
  <si>
    <t>0.44kt H2/y</t>
  </si>
  <si>
    <t>[856] [869]</t>
  </si>
  <si>
    <t>[857] [858] [1628]</t>
  </si>
  <si>
    <t>[857] [858]</t>
  </si>
  <si>
    <t>[761] [859]</t>
  </si>
  <si>
    <t>650t H2/d production</t>
  </si>
  <si>
    <t>[861]</t>
  </si>
  <si>
    <t>1.18t H2/d</t>
  </si>
  <si>
    <t>[867]</t>
  </si>
  <si>
    <t>3t H2/d</t>
  </si>
  <si>
    <t>[868]</t>
  </si>
  <si>
    <t>10t H2/d production</t>
  </si>
  <si>
    <t>75 million liter synfuel/y production</t>
  </si>
  <si>
    <t>[589][645] [870] [871] [1078][1518]</t>
  </si>
  <si>
    <t>2 GW - 550 million liter synfuel/y</t>
  </si>
  <si>
    <t>[589][645] [870] [871] [1078]</t>
  </si>
  <si>
    <t>432kW or 60-90kg H2/d production</t>
  </si>
  <si>
    <t>[872][2267]</t>
  </si>
  <si>
    <t>100 kg H2/d - 0.5MW</t>
  </si>
  <si>
    <t>[878] [879] [1332] [1636]</t>
  </si>
  <si>
    <t>[881][1228][1475] [1614]</t>
  </si>
  <si>
    <t>0.9MW</t>
  </si>
  <si>
    <t>[882][1644][2386]</t>
  </si>
  <si>
    <t>Waste gasification</t>
  </si>
  <si>
    <t>[886]</t>
  </si>
  <si>
    <t>1500 Nm3 H2/h</t>
  </si>
  <si>
    <t>9MW</t>
  </si>
  <si>
    <t>[888]</t>
  </si>
  <si>
    <t>8000MW</t>
  </si>
  <si>
    <t>[889][890][1202][1468]</t>
  </si>
  <si>
    <t>[889]</t>
  </si>
  <si>
    <t>3 GW</t>
  </si>
  <si>
    <t>[889][891][1220] [2713]</t>
  </si>
  <si>
    <t>[889][945][1988]</t>
  </si>
  <si>
    <t>[893]</t>
  </si>
  <si>
    <t>25 MW</t>
  </si>
  <si>
    <t>[895] [2603] [2604]</t>
  </si>
  <si>
    <t>[896] [1343] [1688][2268]</t>
  </si>
  <si>
    <t>1kt H2/y</t>
  </si>
  <si>
    <t>[900]</t>
  </si>
  <si>
    <t>300 kt H2/y - 2Mt CO2/y</t>
  </si>
  <si>
    <t>[901]</t>
  </si>
  <si>
    <t>[904] [2402]</t>
  </si>
  <si>
    <t>150 kg H2/d</t>
  </si>
  <si>
    <t>[906][907][2234]</t>
  </si>
  <si>
    <t>350t H2/y</t>
  </si>
  <si>
    <t>[908][1652] [2201]</t>
  </si>
  <si>
    <t>14 kt synfuels/y capacity</t>
  </si>
  <si>
    <t>[2335]</t>
  </si>
  <si>
    <t>150 kt H2/y production</t>
  </si>
  <si>
    <t>[913] [928][980]</t>
  </si>
  <si>
    <t>45 t H2/d production</t>
  </si>
  <si>
    <t>[914][1663] [2229]</t>
  </si>
  <si>
    <t>[917]</t>
  </si>
  <si>
    <t>[920] [1662]</t>
  </si>
  <si>
    <t>[920] [1437] [1662]</t>
  </si>
  <si>
    <t>640 MW or 200 t H2/d production</t>
  </si>
  <si>
    <t>[969][970][1146][1165] [2244]</t>
  </si>
  <si>
    <t>[920]</t>
  </si>
  <si>
    <t>54 kt H2/y</t>
  </si>
  <si>
    <t>50MW H2</t>
  </si>
  <si>
    <t>[920] [1662] [2316]</t>
  </si>
  <si>
    <t>Unknown Technology</t>
  </si>
  <si>
    <t>0.2Mt H2/y</t>
  </si>
  <si>
    <t>[920] [1662] [2435]</t>
  </si>
  <si>
    <t>10kt H2/y capacity</t>
  </si>
  <si>
    <t>[922] [972] [1302][1653][1857]</t>
  </si>
  <si>
    <t>260MW</t>
  </si>
  <si>
    <t>[922][972][1148][1876][1990]</t>
  </si>
  <si>
    <t>[923]</t>
  </si>
  <si>
    <t>[924][1101][1231]</t>
  </si>
  <si>
    <t>[925][981]</t>
  </si>
  <si>
    <t>35kt NH3/y production</t>
  </si>
  <si>
    <t>[927]</t>
  </si>
  <si>
    <t>1000W</t>
  </si>
  <si>
    <t>2t H2/d</t>
  </si>
  <si>
    <t>[932]</t>
  </si>
  <si>
    <t>438000t CO2/y</t>
  </si>
  <si>
    <t>[933-934]</t>
  </si>
  <si>
    <t>100kt H2/y</t>
  </si>
  <si>
    <t>[937]</t>
  </si>
  <si>
    <t>40 kt MeOH/y production</t>
  </si>
  <si>
    <t>[938] [2490]</t>
  </si>
  <si>
    <t>7.5MW</t>
  </si>
  <si>
    <t>[939][940][2192]</t>
  </si>
  <si>
    <t>[941]</t>
  </si>
  <si>
    <t>25MW or 50t NH3/d</t>
  </si>
  <si>
    <t>[942]</t>
  </si>
  <si>
    <t>0.43MW</t>
  </si>
  <si>
    <t>[943]</t>
  </si>
  <si>
    <t>[889][945][1998]</t>
  </si>
  <si>
    <t>54MW</t>
  </si>
  <si>
    <t>[945][2223]</t>
  </si>
  <si>
    <t>200kW</t>
  </si>
  <si>
    <t>1-5MW</t>
  </si>
  <si>
    <t>[1598-1599]</t>
  </si>
  <si>
    <t>ME450</t>
  </si>
  <si>
    <t>[948][949] [2215]</t>
  </si>
  <si>
    <t>[948][949]</t>
  </si>
  <si>
    <t>[948][949][950]</t>
  </si>
  <si>
    <t>[951]</t>
  </si>
  <si>
    <t>15kt H2/y</t>
  </si>
  <si>
    <t>18MW</t>
  </si>
  <si>
    <t>[952] [2117]</t>
  </si>
  <si>
    <t>[955] [956]</t>
  </si>
  <si>
    <t>2100MW or 102 kt H2/y production</t>
  </si>
  <si>
    <t>[959]</t>
  </si>
  <si>
    <t>50kW</t>
  </si>
  <si>
    <t>[960][1299]</t>
  </si>
  <si>
    <t>[961]</t>
  </si>
  <si>
    <t>200kgH2/day</t>
  </si>
  <si>
    <t>[962][963][964]</t>
  </si>
  <si>
    <t>[963]</t>
  </si>
  <si>
    <t>1000 kt NH3/y</t>
  </si>
  <si>
    <t>[965]</t>
  </si>
  <si>
    <t>[967]</t>
  </si>
  <si>
    <t>40 Mwel -15 t H2/d production</t>
  </si>
  <si>
    <t>[971] [2229] [2286]</t>
  </si>
  <si>
    <t>0.5MW or 1.5t H2/y</t>
  </si>
  <si>
    <t>[973]</t>
  </si>
  <si>
    <t>1MW, 400 kg H2/d</t>
  </si>
  <si>
    <t>[974],[1584]</t>
  </si>
  <si>
    <t>5t NH3/day - 2.1MW</t>
  </si>
  <si>
    <t>[975][1196]</t>
  </si>
  <si>
    <t>4t NH3/day production</t>
  </si>
  <si>
    <t>[976][994][1126]</t>
  </si>
  <si>
    <t>17MW</t>
  </si>
  <si>
    <t>[978][1118] [1677] [1999] [2081]</t>
  </si>
  <si>
    <t>20GW</t>
  </si>
  <si>
    <t>[980][990] [1088][1484][1804] [2142] [2196]</t>
  </si>
  <si>
    <t>[1030] [1637]</t>
  </si>
  <si>
    <t>14GW</t>
  </si>
  <si>
    <t>[677] [980]</t>
  </si>
  <si>
    <t>2.7GW</t>
  </si>
  <si>
    <t>[981]</t>
  </si>
  <si>
    <t>[984]</t>
  </si>
  <si>
    <t>35MW</t>
  </si>
  <si>
    <t>[985]</t>
  </si>
  <si>
    <t>[986]</t>
  </si>
  <si>
    <t>69MW</t>
  </si>
  <si>
    <t>[987][1817]</t>
  </si>
  <si>
    <t>237MW</t>
  </si>
  <si>
    <t>[988][991]</t>
  </si>
  <si>
    <t>[989]</t>
  </si>
  <si>
    <t>[992]</t>
  </si>
  <si>
    <t>Allam Cycle</t>
  </si>
  <si>
    <t>3400t NH3/d - 0.5 Mt CO2/y</t>
  </si>
  <si>
    <t>[996][997]</t>
  </si>
  <si>
    <t>600t H2/d - 0.5 Mt CO2/y</t>
  </si>
  <si>
    <t>200 million Nm3 H2/y</t>
  </si>
  <si>
    <t>200kt NH3/y production</t>
  </si>
  <si>
    <t>[999]</t>
  </si>
  <si>
    <t>[1004]</t>
  </si>
  <si>
    <t>0.68 Mt CO2/y</t>
  </si>
  <si>
    <t>[1005]</t>
  </si>
  <si>
    <t>[1006]</t>
  </si>
  <si>
    <t>2.5 Mt CO2/y</t>
  </si>
  <si>
    <t>[1007]</t>
  </si>
  <si>
    <t>50kt CO2/y</t>
  </si>
  <si>
    <t xml:space="preserve">174.3 kt H2/y </t>
  </si>
  <si>
    <t>[1010][1011][2094][2105][2626]</t>
  </si>
  <si>
    <t>1216  MW - 296 kt H2/y</t>
  </si>
  <si>
    <t>[1010][1011][2156]</t>
  </si>
  <si>
    <t>[1012]</t>
  </si>
  <si>
    <t>[1013]</t>
  </si>
  <si>
    <t>200-500MW</t>
  </si>
  <si>
    <t>[722]</t>
  </si>
  <si>
    <t>165MW</t>
  </si>
  <si>
    <t>[1015][1016]</t>
  </si>
  <si>
    <t>[1015]</t>
  </si>
  <si>
    <t>30 t H2/d production</t>
  </si>
  <si>
    <t>[1019]</t>
  </si>
  <si>
    <t>3 x 1250kw</t>
  </si>
  <si>
    <t>[1020]</t>
  </si>
  <si>
    <t>500kw</t>
  </si>
  <si>
    <t>18x180kw</t>
  </si>
  <si>
    <t>12x120kw</t>
  </si>
  <si>
    <t>75kg H2/d</t>
  </si>
  <si>
    <t>[1023]</t>
  </si>
  <si>
    <t>[1025]</t>
  </si>
  <si>
    <t>20Mt NH3/y production</t>
  </si>
  <si>
    <t>[1027]</t>
  </si>
  <si>
    <t>[1029]</t>
  </si>
  <si>
    <t>Waste gases from biofuels production</t>
  </si>
  <si>
    <t>200-400kW</t>
  </si>
  <si>
    <t>[1028]</t>
  </si>
  <si>
    <t>80MW</t>
  </si>
  <si>
    <t>[1031]</t>
  </si>
  <si>
    <t>[1032]</t>
  </si>
  <si>
    <t>two 0.7MW</t>
  </si>
  <si>
    <t>[1036] [2637]</t>
  </si>
  <si>
    <t>260 MW - 300kt MeOH/y production</t>
  </si>
  <si>
    <t>[1039][1765][2582]</t>
  </si>
  <si>
    <t>90-100MW</t>
  </si>
  <si>
    <t>[1040]</t>
  </si>
  <si>
    <t>[1041]</t>
  </si>
  <si>
    <t>[1042]</t>
  </si>
  <si>
    <t>20 kg H2/d</t>
  </si>
  <si>
    <t>[1043] [1639] [2274]</t>
  </si>
  <si>
    <t>[1556]</t>
  </si>
  <si>
    <t>Platts European Gas Daily 26-07-2021</t>
  </si>
  <si>
    <t>14MW</t>
  </si>
  <si>
    <t>[1046], Platts European Gas Daily 26-07-2021</t>
  </si>
  <si>
    <t>[648], Platts European Gas Daily 29-07-2021</t>
  </si>
  <si>
    <t>[1559]</t>
  </si>
  <si>
    <t>[1560] [2725]</t>
  </si>
  <si>
    <t>[1560]</t>
  </si>
  <si>
    <t>10.5MW</t>
  </si>
  <si>
    <t>[1561][1562] [2345]</t>
  </si>
  <si>
    <t>[1563]</t>
  </si>
  <si>
    <t>400kg H2/d</t>
  </si>
  <si>
    <t>[1564]</t>
  </si>
  <si>
    <t>[1047]</t>
  </si>
  <si>
    <t>2kg H2/d</t>
  </si>
  <si>
    <t>[1048[]1049]</t>
  </si>
  <si>
    <t>[1050]</t>
  </si>
  <si>
    <t>550 t H2/y</t>
  </si>
  <si>
    <t>[1052]</t>
  </si>
  <si>
    <t>50t H2/d production</t>
  </si>
  <si>
    <t>[1054]</t>
  </si>
  <si>
    <t>[1055] [1629]</t>
  </si>
  <si>
    <t>Waste gasification CCUS</t>
  </si>
  <si>
    <t>2kt H2/y</t>
  </si>
  <si>
    <t>[1056] [1638]</t>
  </si>
  <si>
    <t>[1058]</t>
  </si>
  <si>
    <t>[1059][1547][1858]</t>
  </si>
  <si>
    <t>310000t H2/y</t>
  </si>
  <si>
    <t>[1059]</t>
  </si>
  <si>
    <t>[1660]</t>
  </si>
  <si>
    <t>4.3 MW or 418 t H2/y</t>
  </si>
  <si>
    <t>[1063] [1064]</t>
  </si>
  <si>
    <t>1600 t H2/y</t>
  </si>
  <si>
    <t>[1626]</t>
  </si>
  <si>
    <t>[1627]</t>
  </si>
  <si>
    <t>15t H2/y</t>
  </si>
  <si>
    <t>[1064][1587]</t>
  </si>
  <si>
    <t>60t H2/y</t>
  </si>
  <si>
    <t>[1064] [1640]</t>
  </si>
  <si>
    <t>140t H2/y</t>
  </si>
  <si>
    <t>[1064]</t>
  </si>
  <si>
    <t>101MW</t>
  </si>
  <si>
    <t>[1064][2696][2697]</t>
  </si>
  <si>
    <t xml:space="preserve">31kt H2/y production,  183 kt NH3/y </t>
  </si>
  <si>
    <t>[1064][1163]</t>
  </si>
  <si>
    <t>[1065]</t>
  </si>
  <si>
    <t>[1066]</t>
  </si>
  <si>
    <t>[1067]</t>
  </si>
  <si>
    <t>[1872] [2591]</t>
  </si>
  <si>
    <t>40-50 kg H2/d</t>
  </si>
  <si>
    <t>[1070]</t>
  </si>
  <si>
    <t>&gt;465MW - 66.9 kt H2/y (production)</t>
  </si>
  <si>
    <t>[1071]</t>
  </si>
  <si>
    <t>5.5 MW or 1100 Nm3 H2/hour</t>
  </si>
  <si>
    <t>[1568][1569]</t>
  </si>
  <si>
    <t>[1249][1510]</t>
  </si>
  <si>
    <t>1.2Mt steel</t>
  </si>
  <si>
    <t>[1073]</t>
  </si>
  <si>
    <t>1Mt NH3/y</t>
  </si>
  <si>
    <t>[1074]</t>
  </si>
  <si>
    <t>0.55Mt CO2/y</t>
  </si>
  <si>
    <t>[1570]</t>
  </si>
  <si>
    <t>Platts European Gas Daily 08-09-2021</t>
  </si>
  <si>
    <t>150kW</t>
  </si>
  <si>
    <t>[1075] [1630]</t>
  </si>
  <si>
    <t>[1081][1287]</t>
  </si>
  <si>
    <t>255 tH2/d - 650 ktCO2/y by 2030</t>
  </si>
  <si>
    <t>[1082]</t>
  </si>
  <si>
    <t>[1083] [1662]</t>
  </si>
  <si>
    <t>[1083] [1115] [1671]</t>
  </si>
  <si>
    <t>[1084]</t>
  </si>
  <si>
    <t>]1085][1086][1585]</t>
  </si>
  <si>
    <t>9100 t acetone/y</t>
  </si>
  <si>
    <t>[1087]</t>
  </si>
  <si>
    <t>[1090] [2026]</t>
  </si>
  <si>
    <t>1650 Mwel - 150 kt H2/y production</t>
  </si>
  <si>
    <t>[1091] [2102][2668]</t>
  </si>
  <si>
    <t>12 t H2/d production</t>
  </si>
  <si>
    <t xml:space="preserve">[1092] </t>
  </si>
  <si>
    <t>[1092]</t>
  </si>
  <si>
    <t>[1093]</t>
  </si>
  <si>
    <t>40TJ of natural gas/day</t>
  </si>
  <si>
    <t>[1095], Platts European Gas Daily 13-10-2021</t>
  </si>
  <si>
    <t>5 Mt CO2/y - 750 millin scfd</t>
  </si>
  <si>
    <t>[1097][1098]</t>
  </si>
  <si>
    <t>[1102] [2101]</t>
  </si>
  <si>
    <t>0.7 Mt NH3/y - 120 kt H2/y - 1 GW</t>
  </si>
  <si>
    <t>[1104][1206][1525]</t>
  </si>
  <si>
    <t>2 Mt NH3/y - 350 kt H2/y - 3GW</t>
  </si>
  <si>
    <t>350 MW</t>
  </si>
  <si>
    <t>[1106] [1680]</t>
  </si>
  <si>
    <t>750MW</t>
  </si>
  <si>
    <t>330 MWel - 200 kt MeOH/y production</t>
  </si>
  <si>
    <t>[1107]</t>
  </si>
  <si>
    <t>[1571]</t>
  </si>
  <si>
    <t>[1572]</t>
  </si>
  <si>
    <t>15 t H2/d production</t>
  </si>
  <si>
    <t>[1109]</t>
  </si>
  <si>
    <t>[1267]</t>
  </si>
  <si>
    <t>400 kt CO2/y</t>
  </si>
  <si>
    <t>165 kt H2/y</t>
  </si>
  <si>
    <t>[1112]</t>
  </si>
  <si>
    <t>[1114]</t>
  </si>
  <si>
    <t>[1115]</t>
  </si>
  <si>
    <t>[1433]</t>
  </si>
  <si>
    <t>[1573]</t>
  </si>
  <si>
    <t>[1116]</t>
  </si>
  <si>
    <t>[1117][1123] [2216]</t>
  </si>
  <si>
    <t>[1574]</t>
  </si>
  <si>
    <t>[1122] [1390]</t>
  </si>
  <si>
    <t>500 MW</t>
  </si>
  <si>
    <t>1 GW</t>
  </si>
  <si>
    <t>[1124]</t>
  </si>
  <si>
    <t>[1127]</t>
  </si>
  <si>
    <t>100kt H2/y production</t>
  </si>
  <si>
    <t>[1128]</t>
  </si>
  <si>
    <t>[1129] [2487] [2488]</t>
  </si>
  <si>
    <t>12.2 t H2/d</t>
  </si>
  <si>
    <t>[1130][2417]</t>
  </si>
  <si>
    <t>Unknown green/blue hydrogen</t>
  </si>
  <si>
    <t>[1131]</t>
  </si>
  <si>
    <t>[1132]</t>
  </si>
  <si>
    <t>2GW</t>
  </si>
  <si>
    <t>15GW</t>
  </si>
  <si>
    <t>About a quarter of full capacity</t>
  </si>
  <si>
    <t>[1133] [1709]</t>
  </si>
  <si>
    <t>2x745 MW electrolyser, 2.8 GW PV</t>
  </si>
  <si>
    <t>[1133] [1709][2091]</t>
  </si>
  <si>
    <t>AEM</t>
  </si>
  <si>
    <t>[1134][1731]</t>
  </si>
  <si>
    <t>[1135][1152]</t>
  </si>
  <si>
    <t>[1137][2086]</t>
  </si>
  <si>
    <t>400MW - 150t H/d</t>
  </si>
  <si>
    <t>[1138]</t>
  </si>
  <si>
    <t>[1139]</t>
  </si>
  <si>
    <t>8-9t H2/d production</t>
  </si>
  <si>
    <t>[1141] [1673]</t>
  </si>
  <si>
    <t>800MW</t>
  </si>
  <si>
    <t>[1142]</t>
  </si>
  <si>
    <t>[1143]</t>
  </si>
  <si>
    <t>66MW</t>
  </si>
  <si>
    <t>[266] [309] [310] [664] [882] [910][1144]</t>
  </si>
  <si>
    <t>3.6 Gwel</t>
  </si>
  <si>
    <t>[1145][2590]</t>
  </si>
  <si>
    <t>5 kt H2/y</t>
  </si>
  <si>
    <t>[1147]</t>
  </si>
  <si>
    <t>10 kt H2/y production</t>
  </si>
  <si>
    <t>[1147][1992][2670]</t>
  </si>
  <si>
    <t>450 kg H2/d</t>
  </si>
  <si>
    <t>[1150]</t>
  </si>
  <si>
    <t>[1151]</t>
  </si>
  <si>
    <t>110 kt H2/y</t>
  </si>
  <si>
    <t>[1155][1156][2410]</t>
  </si>
  <si>
    <t>[1157]</t>
  </si>
  <si>
    <t>68.8MW</t>
  </si>
  <si>
    <t>[1575]</t>
  </si>
  <si>
    <t>[778], Platts European Gas Daily 16-09-2021  [2535][2536][2584]</t>
  </si>
  <si>
    <t>35 MW</t>
  </si>
  <si>
    <t>[1158] [1159]</t>
  </si>
  <si>
    <t>5t H2/d - 48t CO2/d</t>
  </si>
  <si>
    <t>[1160][2468]</t>
  </si>
  <si>
    <t>[1161]</t>
  </si>
  <si>
    <t>410MW</t>
  </si>
  <si>
    <t>82kt synthetic kerosene/y production</t>
  </si>
  <si>
    <t>[1162] [1437]</t>
  </si>
  <si>
    <t>400MW</t>
  </si>
  <si>
    <t>[1164]</t>
  </si>
  <si>
    <t>700MW-1.2 Mt CO2/y</t>
  </si>
  <si>
    <t>[1577]</t>
  </si>
  <si>
    <t>[1167][2097]</t>
  </si>
  <si>
    <t>42t H2/d - 45 MW</t>
  </si>
  <si>
    <t>[1171]</t>
  </si>
  <si>
    <t>1.2 Mt NH3/y or 220 kt H2/y</t>
  </si>
  <si>
    <t>[1175] [1760]</t>
  </si>
  <si>
    <t>[1175]</t>
  </si>
  <si>
    <t>190 kt H2/y - 1000000 t CO2/y</t>
  </si>
  <si>
    <t>[1176][1214]</t>
  </si>
  <si>
    <t>130 000 Nm3 H2/h - 0.5Mt CO2/y</t>
  </si>
  <si>
    <t>[2163] [2169]</t>
  </si>
  <si>
    <t>300 t H2/d - 1 Mt CO2/y</t>
  </si>
  <si>
    <t>[2163] [2169][2238]</t>
  </si>
  <si>
    <t>400kt H2/y capacity</t>
  </si>
  <si>
    <t>[1178] [2605]</t>
  </si>
  <si>
    <t>1 Mt NH3/y production</t>
  </si>
  <si>
    <t>[1555]</t>
  </si>
  <si>
    <t>4.3 TWh H2/y - 2Mt CO2/y</t>
  </si>
  <si>
    <t>[1578]</t>
  </si>
  <si>
    <t>85MW</t>
  </si>
  <si>
    <t>[1179][1218]</t>
  </si>
  <si>
    <t>440MW</t>
  </si>
  <si>
    <t>[314][945][1180][1212], Platts European Gas Daily 08-12-2021, Platts European Gas Daily 21-12-2021</t>
  </si>
  <si>
    <t>1.5 GW</t>
  </si>
  <si>
    <t>[314][945][1180], Platts European Gas Daily 08-12-2021</t>
  </si>
  <si>
    <t>0.5 Mt CO2/y</t>
  </si>
  <si>
    <t>[1183][1432][2236]</t>
  </si>
  <si>
    <t>400Mw</t>
  </si>
  <si>
    <t>[1184][1667][2518]</t>
  </si>
  <si>
    <t>8GW</t>
  </si>
  <si>
    <t>[1184][2518]</t>
  </si>
  <si>
    <t>150-2000MW</t>
  </si>
  <si>
    <t>[1185][1481]</t>
  </si>
  <si>
    <t>200t H2/y</t>
  </si>
  <si>
    <t>[1188]</t>
  </si>
  <si>
    <t>156kt NH3/y production</t>
  </si>
  <si>
    <t>[1191] [1201]</t>
  </si>
  <si>
    <t>[1579]</t>
  </si>
  <si>
    <t>[1192]</t>
  </si>
  <si>
    <t>0.8MW</t>
  </si>
  <si>
    <t>[1195]</t>
  </si>
  <si>
    <t>1 GW H2 - 1.8 Gt CO2</t>
  </si>
  <si>
    <t>[1580][1651]</t>
  </si>
  <si>
    <t>780kt NH3/y production</t>
  </si>
  <si>
    <t>Biomass w CCUS</t>
  </si>
  <si>
    <t>7 ktH2/y - 140 kt CO2/y</t>
  </si>
  <si>
    <t>[1203]</t>
  </si>
  <si>
    <t>100 mmscf H2/d</t>
  </si>
  <si>
    <t>[1204]</t>
  </si>
  <si>
    <t>[1207] [1780]</t>
  </si>
  <si>
    <t>[1208]</t>
  </si>
  <si>
    <t>15000 t synfuels/y production</t>
  </si>
  <si>
    <t>[1207] [1769]</t>
  </si>
  <si>
    <t>2.5 Mt synfuels/y production</t>
  </si>
  <si>
    <t>100-200 MW</t>
  </si>
  <si>
    <t>[1209] [2592]</t>
  </si>
  <si>
    <t>240MW</t>
  </si>
  <si>
    <t>[1210]</t>
  </si>
  <si>
    <t>12MW</t>
  </si>
  <si>
    <t>[1210][1267]</t>
  </si>
  <si>
    <t>[1211] [2162]</t>
  </si>
  <si>
    <t>[1213]</t>
  </si>
  <si>
    <t>[1216]</t>
  </si>
  <si>
    <t>7 kt H2/y production</t>
  </si>
  <si>
    <t>[1217] [1428] [2477]</t>
  </si>
  <si>
    <t>630 kt NH3/y production</t>
  </si>
  <si>
    <t>460 kt MeOH/y production</t>
  </si>
  <si>
    <t>[720] [903][1488]</t>
  </si>
  <si>
    <t>0.7MW or 12 kg H2/h</t>
  </si>
  <si>
    <t>[1221]</t>
  </si>
  <si>
    <t>[1222] [1316]</t>
  </si>
  <si>
    <t>1 MW, 400 kg H2/d</t>
  </si>
  <si>
    <t>[1223]</t>
  </si>
  <si>
    <t>Waste pyrolysis</t>
  </si>
  <si>
    <t>1t H2/d</t>
  </si>
  <si>
    <t>[1224]</t>
  </si>
  <si>
    <t>[1225]</t>
  </si>
  <si>
    <t>[1581]</t>
  </si>
  <si>
    <t>[1235]</t>
  </si>
  <si>
    <t>[1236]</t>
  </si>
  <si>
    <t>75 MW</t>
  </si>
  <si>
    <t>[1234]</t>
  </si>
  <si>
    <t>[1229]</t>
  </si>
  <si>
    <t>500MW - 40 kt H2/y</t>
  </si>
  <si>
    <t>[1232] [1703]</t>
  </si>
  <si>
    <t>350 t H2/y</t>
  </si>
  <si>
    <t>[1446][1452]</t>
  </si>
  <si>
    <t>110MW</t>
  </si>
  <si>
    <t>[1582]</t>
  </si>
  <si>
    <t>170t H2/d production</t>
  </si>
  <si>
    <t>[1240]</t>
  </si>
  <si>
    <t>[1241] [2027]</t>
  </si>
  <si>
    <t>[1243][1499]</t>
  </si>
  <si>
    <t>45 MW</t>
  </si>
  <si>
    <t>[1245]</t>
  </si>
  <si>
    <t>10 MW - 1.45 kt H2/y</t>
  </si>
  <si>
    <t>[1246]</t>
  </si>
  <si>
    <t>[1247]</t>
  </si>
  <si>
    <t>120 MW</t>
  </si>
  <si>
    <t>[1249]</t>
  </si>
  <si>
    <t>[1249] [1684]</t>
  </si>
  <si>
    <t>35-50MW</t>
  </si>
  <si>
    <t>42 kt MeOH/y - 60MW</t>
  </si>
  <si>
    <t>[1249][1683][2262]</t>
  </si>
  <si>
    <t>100 kt MeOH/y production</t>
  </si>
  <si>
    <t>300-400MW</t>
  </si>
  <si>
    <t>11x36MW</t>
  </si>
  <si>
    <t>50 kt H2/y production</t>
  </si>
  <si>
    <t>[1250]</t>
  </si>
  <si>
    <t>[1251][2068]</t>
  </si>
  <si>
    <t>[1252]</t>
  </si>
  <si>
    <t>800 kt NH3/y production</t>
  </si>
  <si>
    <t>[1253]</t>
  </si>
  <si>
    <t>310 kt H2/y production</t>
  </si>
  <si>
    <t>[1254]</t>
  </si>
  <si>
    <t>[1255][1256]</t>
  </si>
  <si>
    <t>[1259]</t>
  </si>
  <si>
    <t>4kt NH3/d production</t>
  </si>
  <si>
    <t>[1260]</t>
  </si>
  <si>
    <t>7.5kt H2/y capacity</t>
  </si>
  <si>
    <t>[1261]</t>
  </si>
  <si>
    <t>1.12 GW</t>
  </si>
  <si>
    <t>[1262] [2195]</t>
  </si>
  <si>
    <t>[1263]</t>
  </si>
  <si>
    <t>[1264]</t>
  </si>
  <si>
    <t xml:space="preserve">[1265] [1660] [1674] </t>
  </si>
  <si>
    <t>[1266]</t>
  </si>
  <si>
    <t>2000MW or 110kt H2/y production</t>
  </si>
  <si>
    <t>2000MW or 180kt H2/y production</t>
  </si>
  <si>
    <t>170kt H2/y capacity</t>
  </si>
  <si>
    <t>85kt H2/y</t>
  </si>
  <si>
    <t>[1553]</t>
  </si>
  <si>
    <t>[1554]</t>
  </si>
  <si>
    <t>20kt H2/y production</t>
  </si>
  <si>
    <t>[1268]</t>
  </si>
  <si>
    <t>2 GW</t>
  </si>
  <si>
    <t>[1269] [2603] [2604]</t>
  </si>
  <si>
    <t>46 200 Nm3/h - 100 kt MeOH/y production</t>
  </si>
  <si>
    <t>[1271]</t>
  </si>
  <si>
    <t>[1272][2205]</t>
  </si>
  <si>
    <t>[1272]</t>
  </si>
  <si>
    <t>250 Nm3 H2/h - 1.25 MW</t>
  </si>
  <si>
    <t>[1273] [1631]</t>
  </si>
  <si>
    <t>25 kt H2/y</t>
  </si>
  <si>
    <t>1000 kt H2/y capacity</t>
  </si>
  <si>
    <t>[2665]</t>
  </si>
  <si>
    <t>3.3 GW</t>
  </si>
  <si>
    <t>[1274] [1772] [2098]</t>
  </si>
  <si>
    <t>7.4 GW</t>
  </si>
  <si>
    <t>[1274] [2098]</t>
  </si>
  <si>
    <t>55MW</t>
  </si>
  <si>
    <t>[1275] [2134] [2519]</t>
  </si>
  <si>
    <t>[1276][2263]</t>
  </si>
  <si>
    <t>[1277]</t>
  </si>
  <si>
    <t>2.5 kt H2/y - 9 kt carbon</t>
  </si>
  <si>
    <t>[1278]</t>
  </si>
  <si>
    <t>[1279] [1280]</t>
  </si>
  <si>
    <t>[1283]</t>
  </si>
  <si>
    <t>[1284]</t>
  </si>
  <si>
    <t>[1285]</t>
  </si>
  <si>
    <t>1 BCF H2/d - 7 Mt CO2/y</t>
  </si>
  <si>
    <t>[1286]</t>
  </si>
  <si>
    <t>[1459] [2110]</t>
  </si>
  <si>
    <t>100 million litres of synthetic kerosene per year production</t>
  </si>
  <si>
    <t>[1291]</t>
  </si>
  <si>
    <t>[1292] [1293]</t>
  </si>
  <si>
    <t>400MW or 280 kt Nh3/y capacity</t>
  </si>
  <si>
    <t>[1294] [1427] [2419]</t>
  </si>
  <si>
    <t>50 Kt H2/y capacity</t>
  </si>
  <si>
    <t>[1295]</t>
  </si>
  <si>
    <t>320MW, 0.1 kt NH3/y</t>
  </si>
  <si>
    <t>[1296][1451][1972] [2080][2593]</t>
  </si>
  <si>
    <t>3.5GW, 1.2Mt NH3/y production</t>
  </si>
  <si>
    <t>[1296][1451][2593]</t>
  </si>
  <si>
    <t>[1298] [1301]</t>
  </si>
  <si>
    <t>22kW</t>
  </si>
  <si>
    <t>[1299]</t>
  </si>
  <si>
    <t>[1300]</t>
  </si>
  <si>
    <t>[1303] [1682]</t>
  </si>
  <si>
    <t>[1304]</t>
  </si>
  <si>
    <t>[1303]</t>
  </si>
  <si>
    <t>150 MW</t>
  </si>
  <si>
    <t>[1305] [1306]</t>
  </si>
  <si>
    <t>[1307]</t>
  </si>
  <si>
    <t>55 MW</t>
  </si>
  <si>
    <t>[1308]</t>
  </si>
  <si>
    <t>15 kt H2/y</t>
  </si>
  <si>
    <t>[1310]</t>
  </si>
  <si>
    <t>46 MW - 29.9 kt NH3/y</t>
  </si>
  <si>
    <t>[1311]</t>
  </si>
  <si>
    <t>92 MW - 75 kt NH3/y</t>
  </si>
  <si>
    <t>201 MW - 184.4 kt NH3/y</t>
  </si>
  <si>
    <t>3.5 kt H2/y</t>
  </si>
  <si>
    <t>[1312] [1313] [1314]</t>
  </si>
  <si>
    <t>200 MW - 28 kt H2/y production</t>
  </si>
  <si>
    <t>[1317] [2679]</t>
  </si>
  <si>
    <t>400 MW - 56 kt H2/y production</t>
  </si>
  <si>
    <t>[1319]</t>
  </si>
  <si>
    <t>[1320]</t>
  </si>
  <si>
    <t>[1320][2233]</t>
  </si>
  <si>
    <t>[1615] [2624]</t>
  </si>
  <si>
    <t>[1615]</t>
  </si>
  <si>
    <t>1.25 MW</t>
  </si>
  <si>
    <t>[1334] [1335]</t>
  </si>
  <si>
    <t>[1336]</t>
  </si>
  <si>
    <t>105 MW</t>
  </si>
  <si>
    <t>[1337] [2199] [2487]</t>
  </si>
  <si>
    <t>[1338]</t>
  </si>
  <si>
    <t>17.5MW</t>
  </si>
  <si>
    <t>[1339][1889]</t>
  </si>
  <si>
    <t>355 MW - 0.9 Mt CO2/y</t>
  </si>
  <si>
    <t>[1340][2237]</t>
  </si>
  <si>
    <t>1GW - 1.6 Mt CO2/y</t>
  </si>
  <si>
    <t>720MW - 1.6 Mt CO2/y</t>
  </si>
  <si>
    <t>[1341]</t>
  </si>
  <si>
    <t>200k cubic m H2/h - 1.3 Mt CO2/y</t>
  </si>
  <si>
    <t>[1342]</t>
  </si>
  <si>
    <t>[1346]</t>
  </si>
  <si>
    <t>[1349]</t>
  </si>
  <si>
    <t>[1351]</t>
  </si>
  <si>
    <t>30 MW</t>
  </si>
  <si>
    <t>24 MW</t>
  </si>
  <si>
    <t>[1352] [1642]</t>
  </si>
  <si>
    <t>[1353]</t>
  </si>
  <si>
    <t>54 MW</t>
  </si>
  <si>
    <t>50kt synthetic kerosene/y production</t>
  </si>
  <si>
    <t>[1355] [2288]</t>
  </si>
  <si>
    <t>[1357]</t>
  </si>
  <si>
    <t>[1358]</t>
  </si>
  <si>
    <t>800 t H2/y</t>
  </si>
  <si>
    <t>10 kt H2/y</t>
  </si>
  <si>
    <t>[1359]</t>
  </si>
  <si>
    <t>[1360] [1686] [2426]</t>
  </si>
  <si>
    <t>[1361]</t>
  </si>
  <si>
    <t>50 MW</t>
  </si>
  <si>
    <t>[1362]</t>
  </si>
  <si>
    <t>4.5 kt H2/y</t>
  </si>
  <si>
    <t>225 t H2/y</t>
  </si>
  <si>
    <t>[1364]</t>
  </si>
  <si>
    <t>[1365]</t>
  </si>
  <si>
    <t>[1365][1875][2170]</t>
  </si>
  <si>
    <t>270 MW</t>
  </si>
  <si>
    <t xml:space="preserve">0.7 MW or 100 kg H2/d </t>
  </si>
  <si>
    <t>[1366] [2074] [2278]</t>
  </si>
  <si>
    <t>32 MW</t>
  </si>
  <si>
    <t>[1367]</t>
  </si>
  <si>
    <t>[1368]</t>
  </si>
  <si>
    <t>[1369]</t>
  </si>
  <si>
    <t>2 PJ H2/y - 0.15Mt CO2y</t>
  </si>
  <si>
    <t>[1370][1789]</t>
  </si>
  <si>
    <t>[1371]</t>
  </si>
  <si>
    <t>[1372]</t>
  </si>
  <si>
    <t>1.1Mt CO2/y</t>
  </si>
  <si>
    <t>[1373]</t>
  </si>
  <si>
    <t>140kt NH3/y using 25kt H2/y production</t>
  </si>
  <si>
    <t>[1374]</t>
  </si>
  <si>
    <t>350kt NH3/y production</t>
  </si>
  <si>
    <t>[1375]</t>
  </si>
  <si>
    <t>600kt CO2/y</t>
  </si>
  <si>
    <t>[1376] [2420]</t>
  </si>
  <si>
    <t>34 Mw</t>
  </si>
  <si>
    <t>[1377] [2421]</t>
  </si>
  <si>
    <t>[1378]</t>
  </si>
  <si>
    <t>[1380]</t>
  </si>
  <si>
    <t>90 kt H2/year</t>
  </si>
  <si>
    <t>[1381]</t>
  </si>
  <si>
    <t>0.640 ktH2/y</t>
  </si>
  <si>
    <t>[1382]</t>
  </si>
  <si>
    <t>7.5 MW</t>
  </si>
  <si>
    <t>[1383]</t>
  </si>
  <si>
    <t>300 MW - 24 kt H2/y</t>
  </si>
  <si>
    <t>[1384]</t>
  </si>
  <si>
    <t>220 MW</t>
  </si>
  <si>
    <t>[1385][1440] [2140][2731]</t>
  </si>
  <si>
    <t>15 t H2/d capacity</t>
  </si>
  <si>
    <t>[1386] [2229]</t>
  </si>
  <si>
    <t>[1387]</t>
  </si>
  <si>
    <t>[1388] [2108] [2648]</t>
  </si>
  <si>
    <t>[1389]</t>
  </si>
  <si>
    <t>4GW electrolysis, 2.3 Mt NH3/y, 0.48 Mt H2/y</t>
  </si>
  <si>
    <t>[1391]</t>
  </si>
  <si>
    <t>[531] [532] [739] [757][1392]</t>
  </si>
  <si>
    <t>24 kt H2/y, 150 kt NH3/y, 195 kt O2/y production</t>
  </si>
  <si>
    <t>[1395]</t>
  </si>
  <si>
    <t>60 kt H2/y, 375 kt NH3/y, 490 kt O2/y production</t>
  </si>
  <si>
    <t>0.375 Mt NH3 - 450 kt CO2</t>
  </si>
  <si>
    <t>[1396]</t>
  </si>
  <si>
    <t>[598][1398]</t>
  </si>
  <si>
    <t>36 MW</t>
  </si>
  <si>
    <t>Argus newsletter 01/06/2022 [2400]</t>
  </si>
  <si>
    <t>Waste thermolysis</t>
  </si>
  <si>
    <t>300 kt H2/y</t>
  </si>
  <si>
    <t>[1401] [1402]</t>
  </si>
  <si>
    <t>[1886]</t>
  </si>
  <si>
    <t>1000 t/y</t>
  </si>
  <si>
    <t>[1404]</t>
  </si>
  <si>
    <t>[1405]</t>
  </si>
  <si>
    <t>[1407]</t>
  </si>
  <si>
    <t>2.52MW</t>
  </si>
  <si>
    <t>[1408]</t>
  </si>
  <si>
    <t>[1409]</t>
  </si>
  <si>
    <t>1200 MW</t>
  </si>
  <si>
    <t>60,000 bpd low-carbon renewable diesel - 1000 MW equivalnet</t>
  </si>
  <si>
    <t>[1410]</t>
  </si>
  <si>
    <t>290 MW</t>
  </si>
  <si>
    <t>[1411]</t>
  </si>
  <si>
    <t>[1412] [1413]</t>
  </si>
  <si>
    <t>[1416]</t>
  </si>
  <si>
    <t>[1415]</t>
  </si>
  <si>
    <t>[1417]</t>
  </si>
  <si>
    <t>[1646]</t>
  </si>
  <si>
    <t>[1418] [1419] [2005] [2579]</t>
  </si>
  <si>
    <t>[1420]</t>
  </si>
  <si>
    <t>[1421]</t>
  </si>
  <si>
    <t>12.9 MW</t>
  </si>
  <si>
    <t>[1422] [2680]</t>
  </si>
  <si>
    <t>[1423]</t>
  </si>
  <si>
    <t>70 MW</t>
  </si>
  <si>
    <t>[1424] [2429]</t>
  </si>
  <si>
    <t>60 MW -12 000 Nm3 H2/h capacity</t>
  </si>
  <si>
    <t>2100 t H2/y capacity</t>
  </si>
  <si>
    <t>[1647]</t>
  </si>
  <si>
    <t>[1426]</t>
  </si>
  <si>
    <t>50 kt DRI/y</t>
  </si>
  <si>
    <t>[2095]</t>
  </si>
  <si>
    <t>[1429]</t>
  </si>
  <si>
    <t>4080000 Nm3/y</t>
  </si>
  <si>
    <t>[1430] [1596]</t>
  </si>
  <si>
    <t>53000000 Nm3/y</t>
  </si>
  <si>
    <t>[1430]</t>
  </si>
  <si>
    <t>46000 Nm3/h capacity</t>
  </si>
  <si>
    <t>[1968]</t>
  </si>
  <si>
    <t>2000 Nm3/h</t>
  </si>
  <si>
    <t>[1632]</t>
  </si>
  <si>
    <t>2Mt NH3/y - 4 Mt CO2/y</t>
  </si>
  <si>
    <t>[797][798][799][944][1100], Platts European Gas Daily 17-08-2021</t>
  </si>
  <si>
    <t>3Mt NH3/y - 6 Mt CO2/y</t>
  </si>
  <si>
    <t>130 kt MeOH/y production</t>
  </si>
  <si>
    <t>[450] [2745]</t>
  </si>
  <si>
    <t>[1436] [1720]</t>
  </si>
  <si>
    <t>[1437] [2431]</t>
  </si>
  <si>
    <t>[1437]</t>
  </si>
  <si>
    <t>[1438]</t>
  </si>
  <si>
    <t>[1441][1442]</t>
  </si>
  <si>
    <t>55t H2/d capacity</t>
  </si>
  <si>
    <t>[1443]</t>
  </si>
  <si>
    <t>[1444]</t>
  </si>
  <si>
    <t>207.5 MW</t>
  </si>
  <si>
    <t>700MW - 2 Mt DRI</t>
  </si>
  <si>
    <t>[1445]</t>
  </si>
  <si>
    <t>[1447] [1671]</t>
  </si>
  <si>
    <t>40 kt Synthetic kerosene/y production</t>
  </si>
  <si>
    <t>[2075] [2076]</t>
  </si>
  <si>
    <t>[1452] [2126]</t>
  </si>
  <si>
    <t>400 kg H2/d</t>
  </si>
  <si>
    <t>[1453] [1695][2270]</t>
  </si>
  <si>
    <t>[1454][2264]</t>
  </si>
  <si>
    <t>20 t H2/y production</t>
  </si>
  <si>
    <t>[1456] [2594]</t>
  </si>
  <si>
    <t>200 kt H2/y production</t>
  </si>
  <si>
    <t>100 kt NH3/y production</t>
  </si>
  <si>
    <t>1.1 Mt NH3/y production</t>
  </si>
  <si>
    <t>[1457]</t>
  </si>
  <si>
    <t xml:space="preserve"> 60MW or 9kt H2/y</t>
  </si>
  <si>
    <t>[1458] [2077] [2278]</t>
  </si>
  <si>
    <t>300MW or 40kt H2/y</t>
  </si>
  <si>
    <t>[1458] [2077]</t>
  </si>
  <si>
    <t>450MW -60 kt e- CH4/y</t>
  </si>
  <si>
    <t>[1459] [2138]</t>
  </si>
  <si>
    <t>[1460]</t>
  </si>
  <si>
    <t>[1463]</t>
  </si>
  <si>
    <t>2 500 t synfuel/y production</t>
  </si>
  <si>
    <t>[1461][1462][2271]</t>
  </si>
  <si>
    <t>[1464] [2368]</t>
  </si>
  <si>
    <t>3 Mt H2/y</t>
  </si>
  <si>
    <t>[1464]</t>
  </si>
  <si>
    <t>43 Mt H2/y capacity</t>
  </si>
  <si>
    <t>[1465]</t>
  </si>
  <si>
    <t>[1466]</t>
  </si>
  <si>
    <t>1MW electrolyzer, 13000MWh CH4/y</t>
  </si>
  <si>
    <t>[1467]</t>
  </si>
  <si>
    <t>[1469]</t>
  </si>
  <si>
    <t>16 MW</t>
  </si>
  <si>
    <t>[1470] [2337]</t>
  </si>
  <si>
    <t>2.8 kt H2/y production</t>
  </si>
  <si>
    <t>[1471] [2336]</t>
  </si>
  <si>
    <t xml:space="preserve">300 t H2/y production </t>
  </si>
  <si>
    <t>[1472] [2336]</t>
  </si>
  <si>
    <t>[1476][1477]</t>
  </si>
  <si>
    <t>[1488]</t>
  </si>
  <si>
    <t>[1479]</t>
  </si>
  <si>
    <t>[1480]</t>
  </si>
  <si>
    <t>[1483]</t>
  </si>
  <si>
    <t>15 kt H2/y production</t>
  </si>
  <si>
    <t>[1485]</t>
  </si>
  <si>
    <t>[1486]</t>
  </si>
  <si>
    <t>[1487]</t>
  </si>
  <si>
    <t>100kt H2/y capacity</t>
  </si>
  <si>
    <t>[1489] [2345]</t>
  </si>
  <si>
    <t>Concentrated solar synfuels production</t>
  </si>
  <si>
    <t>[1490]</t>
  </si>
  <si>
    <t>[1491]</t>
  </si>
  <si>
    <t>1.5GW - 3300 t NH3/d</t>
  </si>
  <si>
    <t>[1492] [2119]</t>
  </si>
  <si>
    <t>[1493]</t>
  </si>
  <si>
    <t>400-1000MW</t>
  </si>
  <si>
    <t>[1494]</t>
  </si>
  <si>
    <t>[1497]</t>
  </si>
  <si>
    <t>[1498] [1633]</t>
  </si>
  <si>
    <t>[1500][2749]</t>
  </si>
  <si>
    <t>135MW</t>
  </si>
  <si>
    <t>[1500]</t>
  </si>
  <si>
    <t>[1501]</t>
  </si>
  <si>
    <t>[1502][2540]</t>
  </si>
  <si>
    <t>[1503][2272]</t>
  </si>
  <si>
    <t>[1505] [1874]</t>
  </si>
  <si>
    <t>440 MW</t>
  </si>
  <si>
    <t>[1506]</t>
  </si>
  <si>
    <t>60MWel</t>
  </si>
  <si>
    <t>[1507][2393]</t>
  </si>
  <si>
    <t>[952]</t>
  </si>
  <si>
    <t>1Mt H2/y production</t>
  </si>
  <si>
    <t>[1508]</t>
  </si>
  <si>
    <t>[1509]</t>
  </si>
  <si>
    <t>[1511]</t>
  </si>
  <si>
    <t>[1512] [2078] Data from Platts S&amp;P Global Hydrogen Daily 27/09/2023 [2176] Data from Platts S&amp;P Global Hydrogen Daily 13/10/2023</t>
  </si>
  <si>
    <t>[1515]</t>
  </si>
  <si>
    <t>1700MW</t>
  </si>
  <si>
    <t>[1516] [2288]</t>
  </si>
  <si>
    <t>[1516]</t>
  </si>
  <si>
    <t>[1516] [2004] [2308]</t>
  </si>
  <si>
    <t>1.8GW</t>
  </si>
  <si>
    <t>[1518]</t>
  </si>
  <si>
    <t>7.6MW</t>
  </si>
  <si>
    <t>[1519]</t>
  </si>
  <si>
    <t>[1520]</t>
  </si>
  <si>
    <t>[1521]</t>
  </si>
  <si>
    <t>[1522]</t>
  </si>
  <si>
    <t>[1523][1588] [1704]</t>
  </si>
  <si>
    <t>50kt MeOH/y production</t>
  </si>
  <si>
    <t>[1524]</t>
  </si>
  <si>
    <t>1.5 GW - 300 kt H2/y, 800 kt NH3/y</t>
  </si>
  <si>
    <t>[1533]</t>
  </si>
  <si>
    <t>[1526]</t>
  </si>
  <si>
    <t>1.5GW, 650 kt NH3/y at full capacity</t>
  </si>
  <si>
    <t>[1527]</t>
  </si>
  <si>
    <t>1.4Mt NH3/y - 2 MT CO2</t>
  </si>
  <si>
    <t>[1528]</t>
  </si>
  <si>
    <t>8kt synfuels/y production</t>
  </si>
  <si>
    <t>[1531]</t>
  </si>
  <si>
    <t>800kt synfuels/y production</t>
  </si>
  <si>
    <t>50kt H2/y</t>
  </si>
  <si>
    <t>[1532]</t>
  </si>
  <si>
    <t>200kt H2/y - 0.46 Mt CO2</t>
  </si>
  <si>
    <t>400 kt H2/y production</t>
  </si>
  <si>
    <t>[1534]</t>
  </si>
  <si>
    <t>100 kt NH3/y</t>
  </si>
  <si>
    <t>[1535]</t>
  </si>
  <si>
    <t>1 Mt NH3/y</t>
  </si>
  <si>
    <t>[1536]</t>
  </si>
  <si>
    <t>67 kt H2/y</t>
  </si>
  <si>
    <t>[1537]</t>
  </si>
  <si>
    <t>[1538] [1539]</t>
  </si>
  <si>
    <t>[1540]</t>
  </si>
  <si>
    <t>[1540] [1541]</t>
  </si>
  <si>
    <t>1000 MW</t>
  </si>
  <si>
    <t>[1542]</t>
  </si>
  <si>
    <t>270 kNm3 H2/h capacity</t>
  </si>
  <si>
    <t>[1543]</t>
  </si>
  <si>
    <t>30 kNm3 H2/h capacity</t>
  </si>
  <si>
    <t>[1543][1727]</t>
  </si>
  <si>
    <t>72 kt NH3/y - 12.9 kt H2/y production</t>
  </si>
  <si>
    <t>[1544]</t>
  </si>
  <si>
    <t>500 kt NH3/y production</t>
  </si>
  <si>
    <t>450 t NH3/d production</t>
  </si>
  <si>
    <t>[1545]</t>
  </si>
  <si>
    <t>[1546]</t>
  </si>
  <si>
    <t>[1548]</t>
  </si>
  <si>
    <t>[1549][2522]</t>
  </si>
  <si>
    <t>[1550]</t>
  </si>
  <si>
    <t>ATR</t>
  </si>
  <si>
    <t>1-1.4 Mt NH3/y</t>
  </si>
  <si>
    <t>[1552]</t>
  </si>
  <si>
    <t>3.2MW</t>
  </si>
  <si>
    <t>[1586]</t>
  </si>
  <si>
    <t>[1589]</t>
  </si>
  <si>
    <t>156 t/y</t>
  </si>
  <si>
    <t>[1600]</t>
  </si>
  <si>
    <t>0.348MW</t>
  </si>
  <si>
    <t>[1601]</t>
  </si>
  <si>
    <t>4 kg H2/d</t>
  </si>
  <si>
    <t>[1624] [1625]</t>
  </si>
  <si>
    <t>[1643]</t>
  </si>
  <si>
    <t>5MW, 2t H2/d</t>
  </si>
  <si>
    <t>7000 t H2/y capacity</t>
  </si>
  <si>
    <t>Biomethanol steam reforming</t>
  </si>
  <si>
    <t>225 kg H2/d</t>
  </si>
  <si>
    <t>[1648]</t>
  </si>
  <si>
    <t>[1649]</t>
  </si>
  <si>
    <t>[1650]</t>
  </si>
  <si>
    <t>[1654]</t>
  </si>
  <si>
    <t>700 t H2/y</t>
  </si>
  <si>
    <t>[1655]</t>
  </si>
  <si>
    <t>Mix of natural gas and biogas</t>
  </si>
  <si>
    <t>20 kt H2/y - 0.11Mt CO2/y</t>
  </si>
  <si>
    <t>[1656]</t>
  </si>
  <si>
    <t>1.3GW</t>
  </si>
  <si>
    <t>[1657]</t>
  </si>
  <si>
    <t>6.5 t H2/d</t>
  </si>
  <si>
    <t>[1665]</t>
  </si>
  <si>
    <t>10 t H2/d</t>
  </si>
  <si>
    <t>[1664]</t>
  </si>
  <si>
    <t>[1663] [2229]</t>
  </si>
  <si>
    <t>36000 t H2/y</t>
  </si>
  <si>
    <t>[1830]</t>
  </si>
  <si>
    <t>21600 t H2/y</t>
  </si>
  <si>
    <t>320 kt NH3/y production</t>
  </si>
  <si>
    <t>[1830] [2632]</t>
  </si>
  <si>
    <t>18600 t H2/y</t>
  </si>
  <si>
    <t>5445 t H2/y</t>
  </si>
  <si>
    <t>20827 t H2/y</t>
  </si>
  <si>
    <t>15460 t H2/y</t>
  </si>
  <si>
    <t>28000 t H2/y</t>
  </si>
  <si>
    <t>25700 t H2/y</t>
  </si>
  <si>
    <t xml:space="preserve">190.5MW </t>
  </si>
  <si>
    <t>6.5 kW</t>
  </si>
  <si>
    <t>1.6 MW</t>
  </si>
  <si>
    <t>720 t H2/y</t>
  </si>
  <si>
    <t>[1670]</t>
  </si>
  <si>
    <t>[1671]</t>
  </si>
  <si>
    <t>2 x 5MW</t>
  </si>
  <si>
    <t>[1691] [1692]</t>
  </si>
  <si>
    <t>[1697]</t>
  </si>
  <si>
    <t>240 - 2300 t H2/year</t>
  </si>
  <si>
    <t>[1662]</t>
  </si>
  <si>
    <t>15 kg H2/hour</t>
  </si>
  <si>
    <t>Supercritical water gasification (SCW) plant</t>
  </si>
  <si>
    <t>18.6 MW</t>
  </si>
  <si>
    <t>[1662] [1700]</t>
  </si>
  <si>
    <t>[1702]</t>
  </si>
  <si>
    <t>[1705] [2194]</t>
  </si>
  <si>
    <t>[1706]</t>
  </si>
  <si>
    <t>3.2 GW</t>
  </si>
  <si>
    <t>[1710] [1711]</t>
  </si>
  <si>
    <t>2.4 GW</t>
  </si>
  <si>
    <t>[1712] [2562]</t>
  </si>
  <si>
    <t>1.8 Mtpa NH3 production</t>
  </si>
  <si>
    <t>[1713]</t>
  </si>
  <si>
    <t>Production of 130 kt e-CH4/y</t>
  </si>
  <si>
    <t>[1715]</t>
  </si>
  <si>
    <t>400 MW</t>
  </si>
  <si>
    <t>[1716]</t>
  </si>
  <si>
    <t xml:space="preserve">500 MW </t>
  </si>
  <si>
    <t>[1717] [1764]</t>
  </si>
  <si>
    <t>[1718] [2583]</t>
  </si>
  <si>
    <t>60 MW electrolyser - 40 kt MeOH/y</t>
  </si>
  <si>
    <t>[1719]</t>
  </si>
  <si>
    <t>[1721]</t>
  </si>
  <si>
    <t>[1722][2551]</t>
  </si>
  <si>
    <t>[1723][2232] [2242]</t>
  </si>
  <si>
    <t>500kt NH3/y production</t>
  </si>
  <si>
    <t>[1724]</t>
  </si>
  <si>
    <t>2 kt H2/y</t>
  </si>
  <si>
    <t>[1725][2277]</t>
  </si>
  <si>
    <t>10MW - 4.6 million litres synthetic kerosene per year</t>
  </si>
  <si>
    <t>[1728]</t>
  </si>
  <si>
    <t xml:space="preserve"> 300MW - 125t H2/d </t>
  </si>
  <si>
    <t>[1728] [2172]</t>
  </si>
  <si>
    <t xml:space="preserve">600MW - 250t H2/d </t>
  </si>
  <si>
    <t>125 kt NH3/y production</t>
  </si>
  <si>
    <t>[1729]</t>
  </si>
  <si>
    <t>Underground Partial Oxidation</t>
  </si>
  <si>
    <t>[1730]</t>
  </si>
  <si>
    <t>500t H2/d</t>
  </si>
  <si>
    <t>[1732]</t>
  </si>
  <si>
    <t>[1736]</t>
  </si>
  <si>
    <t>[1733]</t>
  </si>
  <si>
    <t>[1734]</t>
  </si>
  <si>
    <t>20mw</t>
  </si>
  <si>
    <t>[1735]</t>
  </si>
  <si>
    <t>[1737]</t>
  </si>
  <si>
    <t>[1739]</t>
  </si>
  <si>
    <t>55 t H2/d production</t>
  </si>
  <si>
    <t>[1740]</t>
  </si>
  <si>
    <t>0.2 Mt NH3/y production</t>
  </si>
  <si>
    <t>[1741] [1752] [1753] [2112]</t>
  </si>
  <si>
    <t>13-15 kt H2/y</t>
  </si>
  <si>
    <t>[1743]</t>
  </si>
  <si>
    <t>[1744]</t>
  </si>
  <si>
    <t>850kt NH3/y production</t>
  </si>
  <si>
    <t>[1745]</t>
  </si>
  <si>
    <t>[1747]</t>
  </si>
  <si>
    <t>15-25 MW</t>
  </si>
  <si>
    <t>[1748]</t>
  </si>
  <si>
    <t>250 kt NH3/y</t>
  </si>
  <si>
    <t>[1749]</t>
  </si>
  <si>
    <t>800 kt NH3/y</t>
  </si>
  <si>
    <t>14000MW</t>
  </si>
  <si>
    <t>[493][618][660][889]</t>
  </si>
  <si>
    <t>5.4GW</t>
  </si>
  <si>
    <t>[1750]</t>
  </si>
  <si>
    <t>35 kt e-fuels (part of hydrogen supply, impoted)</t>
  </si>
  <si>
    <t>[1751]</t>
  </si>
  <si>
    <t>[1741] [1752] [1753] [2112] [2123]</t>
  </si>
  <si>
    <t>5GW</t>
  </si>
  <si>
    <t>[1755]</t>
  </si>
  <si>
    <t xml:space="preserve">3MW or 1,000kg H2 /d </t>
  </si>
  <si>
    <t>[1756]</t>
  </si>
  <si>
    <t>200t H2/day production</t>
  </si>
  <si>
    <t>[1757] [2369]</t>
  </si>
  <si>
    <t>[1758] [2183] Data from Platts S&amp;P Global Hydrogen Daily 23/10/2023</t>
  </si>
  <si>
    <t>[1759]</t>
  </si>
  <si>
    <t>240 kW</t>
  </si>
  <si>
    <t>[1761]</t>
  </si>
  <si>
    <t>300 t H2/y + 1700 t NH3/y</t>
  </si>
  <si>
    <t>[1762]</t>
  </si>
  <si>
    <t>[1763]</t>
  </si>
  <si>
    <t>[1766] [2422]</t>
  </si>
  <si>
    <t>400 MW additional</t>
  </si>
  <si>
    <t>[1718]</t>
  </si>
  <si>
    <t>7GW</t>
  </si>
  <si>
    <t>[1767]</t>
  </si>
  <si>
    <t>[1768]</t>
  </si>
  <si>
    <t>400 Mwel</t>
  </si>
  <si>
    <t>[1770]</t>
  </si>
  <si>
    <t>500 MW - 260 ktpa e-methanol</t>
  </si>
  <si>
    <t>[1771] [2133]</t>
  </si>
  <si>
    <t>1774][1775]</t>
  </si>
  <si>
    <t>140MW or 100 kt NH3/y</t>
  </si>
  <si>
    <t>[1776]</t>
  </si>
  <si>
    <t>[1777]</t>
  </si>
  <si>
    <t>100kW</t>
  </si>
  <si>
    <t>[1778]</t>
  </si>
  <si>
    <t>1.8 Mwel -78 t H2/y production</t>
  </si>
  <si>
    <t>[1779] [2358] [2363]</t>
  </si>
  <si>
    <t>[1781]</t>
  </si>
  <si>
    <t>1Mt CO2 captured</t>
  </si>
  <si>
    <t>[1782]</t>
  </si>
  <si>
    <t>1.05MW-1.8 Mt CO2/y</t>
  </si>
  <si>
    <t>NG w CCUS+Electrolysis</t>
  </si>
  <si>
    <t>[1784] [2458]</t>
  </si>
  <si>
    <t>1.4 Mt CO2/y</t>
  </si>
  <si>
    <t>[1786]</t>
  </si>
  <si>
    <t>[1787]</t>
  </si>
  <si>
    <t>0.7Mt CO2/y (part for CCU)</t>
  </si>
  <si>
    <t>[1788]</t>
  </si>
  <si>
    <t>0.15 - 0.2Mt CO2/y - 30000 Nm3 H2/h</t>
  </si>
  <si>
    <t>[1790]</t>
  </si>
  <si>
    <t>0.8Mt CO2/y</t>
  </si>
  <si>
    <t>[1791]</t>
  </si>
  <si>
    <t>3500t NH3/d</t>
  </si>
  <si>
    <t>[1792]</t>
  </si>
  <si>
    <t>1.2-1.4 Mt NH3/y</t>
  </si>
  <si>
    <t>[1793]</t>
  </si>
  <si>
    <t>0.5Mt CO2/y</t>
  </si>
  <si>
    <t>[1794]</t>
  </si>
  <si>
    <t>1.7Mt CO2/y - 1.1 Mt NH3/y</t>
  </si>
  <si>
    <t>[1795] [1834]</t>
  </si>
  <si>
    <t>[1796]</t>
  </si>
  <si>
    <t>12Mt CO2/y - 7.2 Mt NH3/y</t>
  </si>
  <si>
    <t>[1797]</t>
  </si>
  <si>
    <t>0.45Mt CO2/y - 0.6Mt NH3/y</t>
  </si>
  <si>
    <t>[1798]</t>
  </si>
  <si>
    <t>0.25Mt CO2/y - 0.4 Mt NH3/y</t>
  </si>
  <si>
    <t>0.1Mt CO2/y - 65 t H2/d production</t>
  </si>
  <si>
    <t>[1799] [2432]</t>
  </si>
  <si>
    <t>[1800]</t>
  </si>
  <si>
    <t>10Mt CO2/y</t>
  </si>
  <si>
    <t>[1801]</t>
  </si>
  <si>
    <t>1.4Mt CO2/y</t>
  </si>
  <si>
    <t>[1802]</t>
  </si>
  <si>
    <t>1.66Mt CO2/y</t>
  </si>
  <si>
    <t>[1803]</t>
  </si>
  <si>
    <t>5 Mt steel/y (production)</t>
  </si>
  <si>
    <t>145MW</t>
  </si>
  <si>
    <t>[1805]</t>
  </si>
  <si>
    <t>[1806] [2345]</t>
  </si>
  <si>
    <t>8MW</t>
  </si>
  <si>
    <t>[1807][1808]</t>
  </si>
  <si>
    <t>2.5MW -  29 kt synfuel/y capacity</t>
  </si>
  <si>
    <t>[1810]</t>
  </si>
  <si>
    <t>2.98 GW,330 kt H2/y and 1550kt NH3/y</t>
  </si>
  <si>
    <t>[1811]</t>
  </si>
  <si>
    <t>[1812] [2197]</t>
  </si>
  <si>
    <t>5MWor 1.2t H2/d (production)</t>
  </si>
  <si>
    <t>[1813][2273] [2427]</t>
  </si>
  <si>
    <t>220kt H2/y (production)</t>
  </si>
  <si>
    <t>[1814]</t>
  </si>
  <si>
    <t>[1815]</t>
  </si>
  <si>
    <t>[1816]</t>
  </si>
  <si>
    <t>343MW</t>
  </si>
  <si>
    <t>[1817]</t>
  </si>
  <si>
    <t>[1818]</t>
  </si>
  <si>
    <t>[1819]</t>
  </si>
  <si>
    <t>[1820][1821]</t>
  </si>
  <si>
    <t>[1822][1949]</t>
  </si>
  <si>
    <t>[1823]</t>
  </si>
  <si>
    <t>[1824]</t>
  </si>
  <si>
    <t>405 kt H2/y (production)</t>
  </si>
  <si>
    <t>[1825] [2589]</t>
  </si>
  <si>
    <t>[1826]</t>
  </si>
  <si>
    <t>[1827]</t>
  </si>
  <si>
    <t>[1828]</t>
  </si>
  <si>
    <t>115MW</t>
  </si>
  <si>
    <t>1.3-1.5 Mt NH3/y (production)</t>
  </si>
  <si>
    <t>[1829] [1992]</t>
  </si>
  <si>
    <t>26816 t H2/y</t>
  </si>
  <si>
    <t>384 t H2/y</t>
  </si>
  <si>
    <t>10000 t H2/y</t>
  </si>
  <si>
    <t>19000 t H2/y</t>
  </si>
  <si>
    <t>[1831] [2076] [2278] [2279]</t>
  </si>
  <si>
    <t>800 kt NH3/y (production)</t>
  </si>
  <si>
    <t>[1832] [2562]</t>
  </si>
  <si>
    <t>8000 t H2/y, capacity</t>
  </si>
  <si>
    <t>[1833]</t>
  </si>
  <si>
    <t>[1835]</t>
  </si>
  <si>
    <t>30 t H2/d (production)</t>
  </si>
  <si>
    <t>[1837]</t>
  </si>
  <si>
    <t>60 t H2/d (production)</t>
  </si>
  <si>
    <t>115 t H2/d (production)</t>
  </si>
  <si>
    <t>200kt NH3/d (production)</t>
  </si>
  <si>
    <t>[1838]</t>
  </si>
  <si>
    <t>[1839]</t>
  </si>
  <si>
    <t>1.15 kt H2/y production</t>
  </si>
  <si>
    <t>[1840] [2336]</t>
  </si>
  <si>
    <t>1.2Mt NH3/d (production)</t>
  </si>
  <si>
    <t>[1841]</t>
  </si>
  <si>
    <t>[1842]</t>
  </si>
  <si>
    <t>1.2 Mt NH3/y (production)</t>
  </si>
  <si>
    <t>[1843]</t>
  </si>
  <si>
    <t>[1844]</t>
  </si>
  <si>
    <t>[1845]</t>
  </si>
  <si>
    <t>[1846]</t>
  </si>
  <si>
    <t>[1847] [2295]</t>
  </si>
  <si>
    <t xml:space="preserve">[1847] </t>
  </si>
  <si>
    <t>[1848]</t>
  </si>
  <si>
    <t>800 MW</t>
  </si>
  <si>
    <t>[1849]</t>
  </si>
  <si>
    <t>100kt MeOH/y production</t>
  </si>
  <si>
    <t>[1850]</t>
  </si>
  <si>
    <t>[1851] [2683]</t>
  </si>
  <si>
    <t>[1852][2389]</t>
  </si>
  <si>
    <t>[1853] [2440]</t>
  </si>
  <si>
    <t>1000 kt H2/y</t>
  </si>
  <si>
    <t>[1854][2245]</t>
  </si>
  <si>
    <t>[1855]</t>
  </si>
  <si>
    <t>[1856]</t>
  </si>
  <si>
    <t>[1859]</t>
  </si>
  <si>
    <t>560MW</t>
  </si>
  <si>
    <t>[1860]</t>
  </si>
  <si>
    <t>400MW or 0,28-0,3 Mt NH3 production</t>
  </si>
  <si>
    <t>[1861]</t>
  </si>
  <si>
    <t>10GW or 8 Mt NH3 production</t>
  </si>
  <si>
    <t>300MW or 240,000 t/yr NH3</t>
  </si>
  <si>
    <t>[1862]</t>
  </si>
  <si>
    <t>[1863]</t>
  </si>
  <si>
    <t>270MW</t>
  </si>
  <si>
    <t>[1864][1865][2588]</t>
  </si>
  <si>
    <t xml:space="preserve">25MW, 5x5MW modular </t>
  </si>
  <si>
    <t>[1866]</t>
  </si>
  <si>
    <t>[1867]</t>
  </si>
  <si>
    <t>[1868]</t>
  </si>
  <si>
    <t>[1869]</t>
  </si>
  <si>
    <t>[1870]</t>
  </si>
  <si>
    <t>80 MW</t>
  </si>
  <si>
    <t>[1871]</t>
  </si>
  <si>
    <t>650 MW - 400 kt ammonia/y production</t>
  </si>
  <si>
    <t>[1873][1975]</t>
  </si>
  <si>
    <t>[1874]</t>
  </si>
  <si>
    <t>[1877]</t>
  </si>
  <si>
    <t>7.2 kt H2/y (production)</t>
  </si>
  <si>
    <t>[1878]</t>
  </si>
  <si>
    <t>840MW</t>
  </si>
  <si>
    <t>[1880] [2125]</t>
  </si>
  <si>
    <t>200kt MeOH/y</t>
  </si>
  <si>
    <t>[1881]</t>
  </si>
  <si>
    <t>100 million litres of mthanol/y (production)</t>
  </si>
  <si>
    <t>[1882]</t>
  </si>
  <si>
    <t>[1883]</t>
  </si>
  <si>
    <t>675MW</t>
  </si>
  <si>
    <t>[1884]</t>
  </si>
  <si>
    <t>100kt MeOH/y</t>
  </si>
  <si>
    <t>[1885]</t>
  </si>
  <si>
    <t>[1887]</t>
  </si>
  <si>
    <t>[1888]</t>
  </si>
  <si>
    <t>[1889]</t>
  </si>
  <si>
    <t>[1890]</t>
  </si>
  <si>
    <t>600 kt NH3/y production</t>
  </si>
  <si>
    <t>[1891]</t>
  </si>
  <si>
    <t>[1892]</t>
  </si>
  <si>
    <t>[1893]</t>
  </si>
  <si>
    <t>4 kt NH3/d (production)</t>
  </si>
  <si>
    <t>[1894]</t>
  </si>
  <si>
    <t>320 kt MeOH/y capacity</t>
  </si>
  <si>
    <t>[1895][2553] [2614]</t>
  </si>
  <si>
    <t>[1896]</t>
  </si>
  <si>
    <t>1.46 kt NH3/y production</t>
  </si>
  <si>
    <t>[1897]</t>
  </si>
  <si>
    <t>3.3 kt H2/y (production)</t>
  </si>
  <si>
    <t>[1898]</t>
  </si>
  <si>
    <t>[1900]</t>
  </si>
  <si>
    <t>[1901]</t>
  </si>
  <si>
    <t>225 kt H2/y (production)</t>
  </si>
  <si>
    <t>[1902]</t>
  </si>
  <si>
    <t>66 kt MeOH/y (production)</t>
  </si>
  <si>
    <t>[1903]</t>
  </si>
  <si>
    <t>70 kt MeOH/y (production)</t>
  </si>
  <si>
    <t>130MW</t>
  </si>
  <si>
    <t>[1904]</t>
  </si>
  <si>
    <t>[1905]</t>
  </si>
  <si>
    <t>35 kt H2/y (production)</t>
  </si>
  <si>
    <t>[1906] [2123]</t>
  </si>
  <si>
    <t>[1907]</t>
  </si>
  <si>
    <t>300kt H2/y</t>
  </si>
  <si>
    <t>[1908]</t>
  </si>
  <si>
    <t>18 kt H2/y (production)</t>
  </si>
  <si>
    <t>[1909]</t>
  </si>
  <si>
    <t>2.5-10 kt H2/y</t>
  </si>
  <si>
    <t>[1910]</t>
  </si>
  <si>
    <t>50-100 kt H2/y</t>
  </si>
  <si>
    <t>6kt NH3/d - 3.6 Mt CO2/y</t>
  </si>
  <si>
    <t>[1911]</t>
  </si>
  <si>
    <t>0.42 Mt NH3/y , production</t>
  </si>
  <si>
    <t>[1912] [2565]</t>
  </si>
  <si>
    <t>[1913]</t>
  </si>
  <si>
    <t>2 Mt NH3/y (Production)</t>
  </si>
  <si>
    <t>[1914]</t>
  </si>
  <si>
    <t>[1915]</t>
  </si>
  <si>
    <t>171 MW</t>
  </si>
  <si>
    <t>[1916] [2629]</t>
  </si>
  <si>
    <t>[1917]</t>
  </si>
  <si>
    <t>27-30 Kt H2/y (production)</t>
  </si>
  <si>
    <t>[1918]</t>
  </si>
  <si>
    <t>[1919] Data from Platts S&amp;P Global Hydrogen Daily 27/09/2023</t>
  </si>
  <si>
    <t>210MW</t>
  </si>
  <si>
    <t>[1920]</t>
  </si>
  <si>
    <t xml:space="preserve"> 459000 t NH3/y production</t>
  </si>
  <si>
    <t>[1921]</t>
  </si>
  <si>
    <t>2500 t H2/yr production</t>
  </si>
  <si>
    <t>[1922]</t>
  </si>
  <si>
    <t>[1924][1973]</t>
  </si>
  <si>
    <t>[1924]</t>
  </si>
  <si>
    <t>[1925]</t>
  </si>
  <si>
    <t>1.9GW or 283 kton H2 1.6MtNH3/y production</t>
  </si>
  <si>
    <t>[1926] [2638]</t>
  </si>
  <si>
    <t>9.5GW or 1.42 Mton H2 8MtNH3/y production</t>
  </si>
  <si>
    <t>12 kt H2/y production</t>
  </si>
  <si>
    <t>[1927]</t>
  </si>
  <si>
    <t>[1928]</t>
  </si>
  <si>
    <t>[1929]</t>
  </si>
  <si>
    <t>[1930]</t>
  </si>
  <si>
    <t>[1932]</t>
  </si>
  <si>
    <t>10 kt H2/y (production)</t>
  </si>
  <si>
    <t>[1934]</t>
  </si>
  <si>
    <t>100 kt H2/y (production)</t>
  </si>
  <si>
    <t>[1936]</t>
  </si>
  <si>
    <t>[1937]</t>
  </si>
  <si>
    <t>30 kt DRI</t>
  </si>
  <si>
    <t>[1938]</t>
  </si>
  <si>
    <t>17 MW</t>
  </si>
  <si>
    <t>[1939]</t>
  </si>
  <si>
    <t>[1940]</t>
  </si>
  <si>
    <t>150 kt NH3/y (Production)</t>
  </si>
  <si>
    <t>[1941]</t>
  </si>
  <si>
    <t>1.6 kt H2/y</t>
  </si>
  <si>
    <t>[1942]</t>
  </si>
  <si>
    <t>45t H2/d</t>
  </si>
  <si>
    <t>[1943]</t>
  </si>
  <si>
    <t>[1944]</t>
  </si>
  <si>
    <t>390kt MeOH/y</t>
  </si>
  <si>
    <t>[1945]</t>
  </si>
  <si>
    <t>[1946]</t>
  </si>
  <si>
    <t>[1947]</t>
  </si>
  <si>
    <t>24.5 MW</t>
  </si>
  <si>
    <t>[1948]</t>
  </si>
  <si>
    <t>10.6 MW</t>
  </si>
  <si>
    <t>[1948], Data from the UK Government</t>
  </si>
  <si>
    <t>5.2MW</t>
  </si>
  <si>
    <t>8 MW</t>
  </si>
  <si>
    <t>[1948] [2175]</t>
  </si>
  <si>
    <t>[1950]</t>
  </si>
  <si>
    <t>BrightLoop technology</t>
  </si>
  <si>
    <t>[1951]</t>
  </si>
  <si>
    <t>[1952]</t>
  </si>
  <si>
    <t>[1953]</t>
  </si>
  <si>
    <t>[1954]</t>
  </si>
  <si>
    <t>225 t H2/y production</t>
  </si>
  <si>
    <t>[1955]</t>
  </si>
  <si>
    <t>[1956]</t>
  </si>
  <si>
    <t>400kW</t>
  </si>
  <si>
    <t>[1957]</t>
  </si>
  <si>
    <t>[1958]</t>
  </si>
  <si>
    <t>[1959]</t>
  </si>
  <si>
    <t>[1960]</t>
  </si>
  <si>
    <t>[1961]</t>
  </si>
  <si>
    <t>[1962]</t>
  </si>
  <si>
    <t>[1963]</t>
  </si>
  <si>
    <t>100-200k t NH3/year production</t>
  </si>
  <si>
    <t>[1964] [2296]</t>
  </si>
  <si>
    <t>[1965][2500]</t>
  </si>
  <si>
    <t>[1966]</t>
  </si>
  <si>
    <t>250kW</t>
  </si>
  <si>
    <t>[1967]</t>
  </si>
  <si>
    <t>10 kt H2/y production - 15x1000 Nm3/h units</t>
  </si>
  <si>
    <t>[1969] [1989]</t>
  </si>
  <si>
    <t>40000 gallons/y (production)</t>
  </si>
  <si>
    <t>[1970]</t>
  </si>
  <si>
    <t>1.300GW</t>
  </si>
  <si>
    <t>70,000 Nm3/h</t>
  </si>
  <si>
    <t>[1977] [2239]</t>
  </si>
  <si>
    <t>Belgium Hydrogen Council</t>
  </si>
  <si>
    <t>10-20GW</t>
  </si>
  <si>
    <t>[1979]</t>
  </si>
  <si>
    <t>2.2 Mt H2/y (production)</t>
  </si>
  <si>
    <t>[1980]</t>
  </si>
  <si>
    <t xml:space="preserve">100 kt NH3/y </t>
  </si>
  <si>
    <t>[1981]</t>
  </si>
  <si>
    <t>3.6GW</t>
  </si>
  <si>
    <t>0.25 MW - 18 t h2/y - 100 t NH3/y capacity</t>
  </si>
  <si>
    <t>[1982] [2374]</t>
  </si>
  <si>
    <t>5 MW - .62 kt H2/y - 35 kt NH3/y capacity</t>
  </si>
  <si>
    <t>420 MW- 121 kt H2/y - 352 kt NH3/y capacity</t>
  </si>
  <si>
    <t>840MW - 240 kt H2/y - 700 kt NH3/y capacity</t>
  </si>
  <si>
    <t>Data from EDF</t>
  </si>
  <si>
    <t>[2006] + Data from EDF</t>
  </si>
  <si>
    <t>200MW, 50 kt e-kerosene/y capacity</t>
  </si>
  <si>
    <t>[1983] [2666][2742]</t>
  </si>
  <si>
    <t>[1984]</t>
  </si>
  <si>
    <t>Hysata capillary design</t>
  </si>
  <si>
    <t>[1985]</t>
  </si>
  <si>
    <t>2000 Nm3 H2/h</t>
  </si>
  <si>
    <t>Data from ENI</t>
  </si>
  <si>
    <t>1200MW - 1 Mt CO2/y</t>
  </si>
  <si>
    <t>Data from Equinor</t>
  </si>
  <si>
    <t>Data from Repsol</t>
  </si>
  <si>
    <t>Data from Snam</t>
  </si>
  <si>
    <t>Data from RWE</t>
  </si>
  <si>
    <t>[1991]</t>
  </si>
  <si>
    <t>300 Kg H2/d production</t>
  </si>
  <si>
    <t>[1992]</t>
  </si>
  <si>
    <t>900 t H2/y production</t>
  </si>
  <si>
    <t>700 kt NH3/y production</t>
  </si>
  <si>
    <t>47 Nm3H2/h</t>
  </si>
  <si>
    <t>Colombian Hydrogen Association</t>
  </si>
  <si>
    <t>30MW - 100 ton urea/ day</t>
  </si>
  <si>
    <t>2,3 MW</t>
  </si>
  <si>
    <t>27814 Nm3H2/h</t>
  </si>
  <si>
    <t>212766 Nm2H2/h</t>
  </si>
  <si>
    <t>234043 Nm3H2/h</t>
  </si>
  <si>
    <t>1,2 MW</t>
  </si>
  <si>
    <t>165 kW</t>
  </si>
  <si>
    <t>48 t H2/y production</t>
  </si>
  <si>
    <t>1 t H2/d production</t>
  </si>
  <si>
    <t>25kW</t>
  </si>
  <si>
    <t>750 kt NH3/y production</t>
  </si>
  <si>
    <t>172 kt NH3/y production</t>
  </si>
  <si>
    <t>[1994]</t>
  </si>
  <si>
    <t>[1995]</t>
  </si>
  <si>
    <t>[1996]</t>
  </si>
  <si>
    <t>[1997]</t>
  </si>
  <si>
    <t>290 kt NH3/y production</t>
  </si>
  <si>
    <t>[1998]</t>
  </si>
  <si>
    <t>[2235]</t>
  </si>
  <si>
    <t>[1999]</t>
  </si>
  <si>
    <t>[2001]</t>
  </si>
  <si>
    <t>2.3 MW</t>
  </si>
  <si>
    <t>[2002]</t>
  </si>
  <si>
    <t>[2003]</t>
  </si>
  <si>
    <t>Not defined</t>
  </si>
  <si>
    <t>245293 Nm3/h</t>
  </si>
  <si>
    <t>3500 MW</t>
  </si>
  <si>
    <t>7607 Nm3/h</t>
  </si>
  <si>
    <t>2300 MW</t>
  </si>
  <si>
    <t>[2005]</t>
  </si>
  <si>
    <t>[2008]</t>
  </si>
  <si>
    <t>[2009]</t>
  </si>
  <si>
    <t>[2010]</t>
  </si>
  <si>
    <t>[2011]</t>
  </si>
  <si>
    <t>[2012]</t>
  </si>
  <si>
    <t>[2013]</t>
  </si>
  <si>
    <t>[2014]</t>
  </si>
  <si>
    <t>[2015]</t>
  </si>
  <si>
    <t>[2016]</t>
  </si>
  <si>
    <t>[2017]</t>
  </si>
  <si>
    <t>[2018]</t>
  </si>
  <si>
    <t>5MW or 110 t H2/y production</t>
  </si>
  <si>
    <t>[2019][2265]</t>
  </si>
  <si>
    <t>[2021]</t>
  </si>
  <si>
    <t>260 Mwel - 200 kt MeOH/y prouction</t>
  </si>
  <si>
    <t>[2022] [2307]</t>
  </si>
  <si>
    <t>3000 t H2/y production</t>
  </si>
  <si>
    <t>[2023]</t>
  </si>
  <si>
    <t>260 MW</t>
  </si>
  <si>
    <t>[2024]</t>
  </si>
  <si>
    <t>[2028]</t>
  </si>
  <si>
    <t>[2029]</t>
  </si>
  <si>
    <t>[2030]</t>
  </si>
  <si>
    <t>[2031] [2034] [2278]</t>
  </si>
  <si>
    <t>[2035] [2278]</t>
  </si>
  <si>
    <t>3 MW</t>
  </si>
  <si>
    <t>[2036] [2037] [2278]</t>
  </si>
  <si>
    <t>300 t H2/ y</t>
  </si>
  <si>
    <t>[2038] [2039]</t>
  </si>
  <si>
    <t>[2040] [2041] [2042] [2278]</t>
  </si>
  <si>
    <t>[2043] [2278]</t>
  </si>
  <si>
    <t>[2044]</t>
  </si>
  <si>
    <t>[2045] [2046]</t>
  </si>
  <si>
    <t>36 t H2/y capacity</t>
  </si>
  <si>
    <t>[2049]</t>
  </si>
  <si>
    <t>25 t H2/y capacity</t>
  </si>
  <si>
    <t>[2047] [2048]</t>
  </si>
  <si>
    <t>[2050][2071]</t>
  </si>
  <si>
    <t>[2051][2686]</t>
  </si>
  <si>
    <t>17 MW or 25kt MeOH/y</t>
  </si>
  <si>
    <t>[2052] [2055] [2217][2553]</t>
  </si>
  <si>
    <t>40 MW or 35 kt e-CH4/y</t>
  </si>
  <si>
    <t>[2053] [2055]</t>
  </si>
  <si>
    <t>[2054] [2055]</t>
  </si>
  <si>
    <t>[2055]</t>
  </si>
  <si>
    <t>[2056]</t>
  </si>
  <si>
    <t>[2057] [2055]</t>
  </si>
  <si>
    <t>[2058] [2055]</t>
  </si>
  <si>
    <t>[2060]</t>
  </si>
  <si>
    <t>[2059]</t>
  </si>
  <si>
    <t>[2060] [2387]</t>
  </si>
  <si>
    <t>[2061]</t>
  </si>
  <si>
    <t>[2062] [2063]</t>
  </si>
  <si>
    <t>[2065] [2423]</t>
  </si>
  <si>
    <t>6.6 MW</t>
  </si>
  <si>
    <t>[2066]</t>
  </si>
  <si>
    <t>0.34 MW</t>
  </si>
  <si>
    <t>Data from NTPC</t>
  </si>
  <si>
    <t>[2069]</t>
  </si>
  <si>
    <t>21 ktH2/y - 450 kt CO2/y</t>
  </si>
  <si>
    <t>[2070]</t>
  </si>
  <si>
    <t>[2072]</t>
  </si>
  <si>
    <t>Data from Hydrogen Europe</t>
  </si>
  <si>
    <t>0.125MW</t>
  </si>
  <si>
    <t>Data from Hydrogen Europe
[2428]</t>
  </si>
  <si>
    <t>1275MW</t>
  </si>
  <si>
    <t>Data from Indian Industry Association [2495]</t>
  </si>
  <si>
    <t>1000 kt H2/y production</t>
  </si>
  <si>
    <t>Data from Indian Industry Association</t>
  </si>
  <si>
    <t>365 t H2/y production</t>
  </si>
  <si>
    <t>94.9 t H2/y production</t>
  </si>
  <si>
    <t>5 kt H2/y production</t>
  </si>
  <si>
    <t>3232.47 t H2/y production</t>
  </si>
  <si>
    <t>7.3 t H2/y production</t>
  </si>
  <si>
    <t>129.3 kt H2/y production</t>
  </si>
  <si>
    <t>3440MW</t>
  </si>
  <si>
    <t>19.4 t H2/y production</t>
  </si>
  <si>
    <t>300 kt H2/y production</t>
  </si>
  <si>
    <t>2.4MW</t>
  </si>
  <si>
    <t>Data from Indian Industry Association, [2495]</t>
  </si>
  <si>
    <t>52.56 kt H2/y production</t>
  </si>
  <si>
    <t>1.8 MW</t>
  </si>
  <si>
    <t>75 t H2/y production</t>
  </si>
  <si>
    <t>3.65 t H2/y production</t>
  </si>
  <si>
    <t>3.8 kt H2/y production</t>
  </si>
  <si>
    <t>0.73 t H2/y production</t>
  </si>
  <si>
    <t>21.9 kt H2/y production</t>
  </si>
  <si>
    <t>[2414]</t>
  </si>
  <si>
    <t>16.43 t H2/y production</t>
  </si>
  <si>
    <t>64.02 t H2/y production</t>
  </si>
  <si>
    <t>808.12 t H2/y production</t>
  </si>
  <si>
    <t>547.5 kt H2/y production</t>
  </si>
  <si>
    <t>[2671]</t>
  </si>
  <si>
    <t>46.68 t H2/y production</t>
  </si>
  <si>
    <t>2628  t H2/y production</t>
  </si>
  <si>
    <t>2 kt H2/y production</t>
  </si>
  <si>
    <t>10 t H2/y production</t>
  </si>
  <si>
    <t>3650 t H2/y production</t>
  </si>
  <si>
    <t>0.85 t H2/y production</t>
  </si>
  <si>
    <t>36.5 t H2/y production</t>
  </si>
  <si>
    <t>1569 t H2/y production</t>
  </si>
  <si>
    <t>720 t H2/y production</t>
  </si>
  <si>
    <t>4 kt H2/y production</t>
  </si>
  <si>
    <t>Ethanol reforming</t>
  </si>
  <si>
    <t>4.5kg/h</t>
  </si>
  <si>
    <t>[2083]</t>
  </si>
  <si>
    <t>45.5kg/h</t>
  </si>
  <si>
    <t>52kt H2/y</t>
  </si>
  <si>
    <t>[2084]</t>
  </si>
  <si>
    <t>1200MW</t>
  </si>
  <si>
    <t>[2085][2086]</t>
  </si>
  <si>
    <t>[2087]</t>
  </si>
  <si>
    <t>[2088]</t>
  </si>
  <si>
    <t>[2089]</t>
  </si>
  <si>
    <t>[2090]</t>
  </si>
  <si>
    <t>280kt MeOH/y</t>
  </si>
  <si>
    <t>[2092]</t>
  </si>
  <si>
    <t>1.2Mt NH3/y (production)</t>
  </si>
  <si>
    <t>[2093]</t>
  </si>
  <si>
    <t>[2096]</t>
  </si>
  <si>
    <t>Other electrolysis</t>
  </si>
  <si>
    <t>2.7 Mt DRI</t>
  </si>
  <si>
    <t>[2099]</t>
  </si>
  <si>
    <t>5Mt Steel</t>
  </si>
  <si>
    <t>[2100]</t>
  </si>
  <si>
    <t>250 kt NH3 production</t>
  </si>
  <si>
    <t>[2103]</t>
  </si>
  <si>
    <t>[2104]</t>
  </si>
  <si>
    <t>[2106]</t>
  </si>
  <si>
    <t>[2107]</t>
  </si>
  <si>
    <t>1 GW or 700 kt NH3/y</t>
  </si>
  <si>
    <t>[2109]</t>
  </si>
  <si>
    <t>255MW or 70 kt synfuels/y capacity</t>
  </si>
  <si>
    <t>[2111], Platts European Gas Daily 25-09-2023</t>
  </si>
  <si>
    <t xml:space="preserve">1GW or 500 kt synfuels/y </t>
  </si>
  <si>
    <t>[2113]</t>
  </si>
  <si>
    <t>[2114]</t>
  </si>
  <si>
    <t>[2115] [2116]</t>
  </si>
  <si>
    <t xml:space="preserve">1GW or 200 kt synfuels/y </t>
  </si>
  <si>
    <t>[2118]</t>
  </si>
  <si>
    <t>[2120]</t>
  </si>
  <si>
    <t>30 kt H2/y or 120 kt NH3/y capacity</t>
  </si>
  <si>
    <t>[2121]</t>
  </si>
  <si>
    <t>44kt H2/y</t>
  </si>
  <si>
    <t>[2122]</t>
  </si>
  <si>
    <t>352MW</t>
  </si>
  <si>
    <t>[2124]</t>
  </si>
  <si>
    <t>4kt H2/d</t>
  </si>
  <si>
    <t>[2128]</t>
  </si>
  <si>
    <t>[2129]</t>
  </si>
  <si>
    <t>[2130]</t>
  </si>
  <si>
    <t>[2131]</t>
  </si>
  <si>
    <t>[2132]</t>
  </si>
  <si>
    <t>[2135]</t>
  </si>
  <si>
    <t>2x2.5GW</t>
  </si>
  <si>
    <t>[2136]</t>
  </si>
  <si>
    <t>4x2.5GW</t>
  </si>
  <si>
    <t>45 kt H2/y + 200 kt NH3/y + 20 kt MeOH/y - 640 MW</t>
  </si>
  <si>
    <t>[2137] [2139] [2553]</t>
  </si>
  <si>
    <t>Platts European Gas Daily 29-08-2023</t>
  </si>
  <si>
    <t>10 Mt NH3 production</t>
  </si>
  <si>
    <t>[2143] [2144]</t>
  </si>
  <si>
    <t>912,5 kt NH3/y</t>
  </si>
  <si>
    <t>[2145] [2472]</t>
  </si>
  <si>
    <t>Data from Platts S&amp;P Global Hydrogen Daily 27/09/2023</t>
  </si>
  <si>
    <t>330MW</t>
  </si>
  <si>
    <t>[2146] Data from Platts S&amp;P Global Hydrogen Daily 27/09/2023 [2708]</t>
  </si>
  <si>
    <t>350 kt  H2/y production</t>
  </si>
  <si>
    <t>[2147]</t>
  </si>
  <si>
    <t>1 kt  H2/y production</t>
  </si>
  <si>
    <t>5 kt  H2/y production</t>
  </si>
  <si>
    <t>0.5 kt  H2/y production</t>
  </si>
  <si>
    <t>35t H2/day production</t>
  </si>
  <si>
    <t>[2148]</t>
  </si>
  <si>
    <t>35 kt H2/y  - 300MW</t>
  </si>
  <si>
    <t>[2149]</t>
  </si>
  <si>
    <t>[2151]</t>
  </si>
  <si>
    <t>[2152]</t>
  </si>
  <si>
    <t>[2588],[2600]</t>
  </si>
  <si>
    <t>[2154]</t>
  </si>
  <si>
    <t>[2155]</t>
  </si>
  <si>
    <t>250 kt MeOH/y (production) or 50 kt H2/y (production)</t>
  </si>
  <si>
    <t>[2412]</t>
  </si>
  <si>
    <t>500 kt nitrate fertilizers/y</t>
  </si>
  <si>
    <t>[2157]</t>
  </si>
  <si>
    <t>700 kt nitrate fertilizers/y</t>
  </si>
  <si>
    <t>[2157] [2159]</t>
  </si>
  <si>
    <t>[2158][2415]</t>
  </si>
  <si>
    <t xml:space="preserve">68 kt synfuels/y </t>
  </si>
  <si>
    <t>[2161]</t>
  </si>
  <si>
    <t>550MW or 385 kt NH3/y production</t>
  </si>
  <si>
    <t>[2164] [2189]</t>
  </si>
  <si>
    <t>[2165] [2213]</t>
  </si>
  <si>
    <t>2.8 Mt H2/y 15 Mton NH3/y</t>
  </si>
  <si>
    <t>[2166] [2167] [2570]</t>
  </si>
  <si>
    <t>[2168]</t>
  </si>
  <si>
    <t>51 t H2/y</t>
  </si>
  <si>
    <t>[2173]</t>
  </si>
  <si>
    <t>1.9 Mt/year CO2 - 230 kt H2/y capacity</t>
  </si>
  <si>
    <t>[2174] [2367]</t>
  </si>
  <si>
    <t>1.2GW</t>
  </si>
  <si>
    <t>[2176] Data from Platts S&amp;P Global Hydrogen Daily 13/10/2023</t>
  </si>
  <si>
    <t>1000 t H2/y</t>
  </si>
  <si>
    <t>[2177]</t>
  </si>
  <si>
    <t>[2178]</t>
  </si>
  <si>
    <t>2 Mt NH3/y production</t>
  </si>
  <si>
    <t>[2179]</t>
  </si>
  <si>
    <t>133 kt NH3/y production</t>
  </si>
  <si>
    <t>[2180] Data from Platts S&amp;P Global Hydrogen Daily 20/10/2023</t>
  </si>
  <si>
    <t>15 kt NH3/y capacity</t>
  </si>
  <si>
    <t>[2181] Data from Platts S&amp;P Global Hydrogen Daily 20/10/2023</t>
  </si>
  <si>
    <t>eREACT technology</t>
  </si>
  <si>
    <t>6 t H2/d capacity</t>
  </si>
  <si>
    <t>[2182] Data from Platts S&amp;P Global Hydrogen Daily 11/10/2023</t>
  </si>
  <si>
    <t>[2184]</t>
  </si>
  <si>
    <t>[2185]</t>
  </si>
  <si>
    <t>[2186]</t>
  </si>
  <si>
    <t>[2187]</t>
  </si>
  <si>
    <t>100 kt H2/y capacity</t>
  </si>
  <si>
    <t>[2188]</t>
  </si>
  <si>
    <t>1000MW or 700 kt NH3/y production</t>
  </si>
  <si>
    <t>[2190] [2191]</t>
  </si>
  <si>
    <t>[2193]</t>
  </si>
  <si>
    <t>[2198]</t>
  </si>
  <si>
    <t>5kg H2/h</t>
  </si>
  <si>
    <t>[2200] Data from Platts S&amp;P Global Hydrogen Daily 1/11/2023</t>
  </si>
  <si>
    <t>120kW</t>
  </si>
  <si>
    <t>[2202]</t>
  </si>
  <si>
    <t>[2203]</t>
  </si>
  <si>
    <t>13.5kt H2/y</t>
  </si>
  <si>
    <t>[2204]</t>
  </si>
  <si>
    <t>[2206]</t>
  </si>
  <si>
    <t>[2207]</t>
  </si>
  <si>
    <t>5MW or 2 t H2/d capacity</t>
  </si>
  <si>
    <t>[2209]</t>
  </si>
  <si>
    <t>15 kt DRI/y (production)</t>
  </si>
  <si>
    <t>[2210]</t>
  </si>
  <si>
    <t>[2212]</t>
  </si>
  <si>
    <t>[2213] [2214] [2215] Data from Platts S&amp;P Global Hydrogen Daily 21/11/2023</t>
  </si>
  <si>
    <t>1.5 kt H2/y</t>
  </si>
  <si>
    <t>[2213] [2214]</t>
  </si>
  <si>
    <t>[1117][1123] [2216] [2478]</t>
  </si>
  <si>
    <t>200 - 250 MW el</t>
  </si>
  <si>
    <t>[2218] [2354]</t>
  </si>
  <si>
    <t>[2219]</t>
  </si>
  <si>
    <t>[2220] [2221]</t>
  </si>
  <si>
    <t>500kt MeOH/y</t>
  </si>
  <si>
    <t>[2222][2411]</t>
  </si>
  <si>
    <t>190MW - 100 kt MeOH/y production</t>
  </si>
  <si>
    <t>[2228]</t>
  </si>
  <si>
    <t>1100Nm3/h</t>
  </si>
  <si>
    <t>[2231]</t>
  </si>
  <si>
    <t>[2240][2241]</t>
  </si>
  <si>
    <t>600 kt NH3/y capacity</t>
  </si>
  <si>
    <t>[2242] [2243]</t>
  </si>
  <si>
    <t>CO2 convective reformer (CCR)</t>
  </si>
  <si>
    <t>880 kt NH3/y capacity - 1.4 Mt CO2/y</t>
  </si>
  <si>
    <t>[2247]</t>
  </si>
  <si>
    <t>[2250]</t>
  </si>
  <si>
    <t>300 kt MeOH/y capacity</t>
  </si>
  <si>
    <t>[2251] [2252]</t>
  </si>
  <si>
    <t>35 GWel capacity</t>
  </si>
  <si>
    <t>[2253]</t>
  </si>
  <si>
    <t>300 kt MeOH/y production</t>
  </si>
  <si>
    <t>[2251] [2254]</t>
  </si>
  <si>
    <t>350 MWel - 46 kt H2/y production</t>
  </si>
  <si>
    <t>[2255]</t>
  </si>
  <si>
    <t>1.2 Mt NH3/y (capacity) - 1.5 Mt CO2/y</t>
  </si>
  <si>
    <t>[2275][2276]</t>
  </si>
  <si>
    <t>2 Mwel</t>
  </si>
  <si>
    <t>[2278] [2280]</t>
  </si>
  <si>
    <t>15 tH2/d production</t>
  </si>
  <si>
    <t>[2281] [2282]</t>
  </si>
  <si>
    <t>1 tH2/d production</t>
  </si>
  <si>
    <t xml:space="preserve">[2281] [2283] </t>
  </si>
  <si>
    <t>0.6 tH2/d production</t>
  </si>
  <si>
    <t>[2284]</t>
  </si>
  <si>
    <t>~1 MW - 450 Kg H2/d</t>
  </si>
  <si>
    <t>[2285]</t>
  </si>
  <si>
    <t>50MW , 12 kt CH4/y production</t>
  </si>
  <si>
    <t>[2256]</t>
  </si>
  <si>
    <t>150MW , 35 kt CH4/y production</t>
  </si>
  <si>
    <t>[2257]</t>
  </si>
  <si>
    <t>100MW , 24 kt CH4/y production</t>
  </si>
  <si>
    <t>[2258]</t>
  </si>
  <si>
    <t>[2259]</t>
  </si>
  <si>
    <t>[2260]</t>
  </si>
  <si>
    <t xml:space="preserve">12 kt H2/ycapacity - 24 kt CH4/y </t>
  </si>
  <si>
    <t>[2261] [2723]</t>
  </si>
  <si>
    <t>110 kt H2,y + 600 kt NH3/y + 20 kt MeOH/y</t>
  </si>
  <si>
    <t>[2139]</t>
  </si>
  <si>
    <t>30kt H2/y capacity</t>
  </si>
  <si>
    <t>[1857]</t>
  </si>
  <si>
    <t>3000 Nm3/h capacity</t>
  </si>
  <si>
    <t>[2751]</t>
  </si>
  <si>
    <t>50 kt/ MeOH</t>
  </si>
  <si>
    <t>[2553]</t>
  </si>
  <si>
    <t>10 kt MeOH/y capacity</t>
  </si>
  <si>
    <t>100 kt/ MeOH</t>
  </si>
  <si>
    <t>300 kt/ MeOH</t>
  </si>
  <si>
    <t xml:space="preserve">8 000 Nm3/y </t>
  </si>
  <si>
    <t>[2287]</t>
  </si>
  <si>
    <t>360 t kerosene/y capacity</t>
  </si>
  <si>
    <t>[2288] [2289]</t>
  </si>
  <si>
    <t>398 ktH2/y</t>
  </si>
  <si>
    <t>[2292] [2293]</t>
  </si>
  <si>
    <t>[2297]</t>
  </si>
  <si>
    <t>100 - 150 kt NH3/y capacity</t>
  </si>
  <si>
    <t>up to 1 ooo kt NH3/y capacity</t>
  </si>
  <si>
    <t>100 kt NH3/y capacity</t>
  </si>
  <si>
    <t>1 000 kt NH3/y capacity</t>
  </si>
  <si>
    <t>150 kt NH3/y capacity</t>
  </si>
  <si>
    <t>[2298]</t>
  </si>
  <si>
    <t>100 - 200 kt NH3/y capacity</t>
  </si>
  <si>
    <t>200 kt NH3/y capacity</t>
  </si>
  <si>
    <t>180 kt NH3/y capacity</t>
  </si>
  <si>
    <t>[2299]</t>
  </si>
  <si>
    <t>30 kt H2/y production</t>
  </si>
  <si>
    <t>[2300] [2301]</t>
  </si>
  <si>
    <t>1.354 Mwel</t>
  </si>
  <si>
    <t>[2302]</t>
  </si>
  <si>
    <t>1 Mwel</t>
  </si>
  <si>
    <t>[2303]</t>
  </si>
  <si>
    <t>[2304]</t>
  </si>
  <si>
    <t>0.5 Mwel</t>
  </si>
  <si>
    <t>[2305]</t>
  </si>
  <si>
    <t>.5 Mwel</t>
  </si>
  <si>
    <t>[2306]</t>
  </si>
  <si>
    <t>[2310]</t>
  </si>
  <si>
    <t>150 kt MeOH/y production</t>
  </si>
  <si>
    <t>[2307]</t>
  </si>
  <si>
    <t>85 Mwel - 60 kt MeOH/y production</t>
  </si>
  <si>
    <t>[2309]</t>
  </si>
  <si>
    <t>60 Mwel</t>
  </si>
  <si>
    <t>[2311]</t>
  </si>
  <si>
    <t>20 kt MeOH/y production</t>
  </si>
  <si>
    <t>[2312]</t>
  </si>
  <si>
    <t>31.5 kt MeOH/y production</t>
  </si>
  <si>
    <t>[2313] [2314]</t>
  </si>
  <si>
    <t>1 000 kt MeOH/y production</t>
  </si>
  <si>
    <t>20 MW - 8 t H2/d production</t>
  </si>
  <si>
    <t>[2317] [2424]</t>
  </si>
  <si>
    <t>60 MW</t>
  </si>
  <si>
    <t>[2317]</t>
  </si>
  <si>
    <t>600MW -240t H2/d production</t>
  </si>
  <si>
    <t>[1746]</t>
  </si>
  <si>
    <t>10 MW - 4 t H2/d capacity</t>
  </si>
  <si>
    <t>[2318]</t>
  </si>
  <si>
    <t>100 kt MeOH/y</t>
  </si>
  <si>
    <t>27 kt MeOH/y + 35 t NH3/d production</t>
  </si>
  <si>
    <t>[2321]</t>
  </si>
  <si>
    <t>[2322]</t>
  </si>
  <si>
    <t>500 kt MeOH/y production</t>
  </si>
  <si>
    <t>[2323]</t>
  </si>
  <si>
    <t xml:space="preserve">150 MW - 90 kt MeOH/y </t>
  </si>
  <si>
    <t>[2324]</t>
  </si>
  <si>
    <t>[2325]</t>
  </si>
  <si>
    <t>23 kt kerosene/y capacity</t>
  </si>
  <si>
    <t>10 kt SAF/y capacity</t>
  </si>
  <si>
    <t>[2326]</t>
  </si>
  <si>
    <t>164 kt H2/y capacity</t>
  </si>
  <si>
    <t>50 kt synfuels/y capacity</t>
  </si>
  <si>
    <t>[2327]</t>
  </si>
  <si>
    <t xml:space="preserve">200 t synfuels/year capacity </t>
  </si>
  <si>
    <t>[2328]</t>
  </si>
  <si>
    <t>65 kt synfuel/y capacity</t>
  </si>
  <si>
    <t>[2329]</t>
  </si>
  <si>
    <t>20 kt synfuels/y capacity</t>
  </si>
  <si>
    <t>[2330]</t>
  </si>
  <si>
    <t>14 kt synfules/y capacity</t>
  </si>
  <si>
    <t>[2331]</t>
  </si>
  <si>
    <t>80 kt synfules/y capacity</t>
  </si>
  <si>
    <t>[2332]</t>
  </si>
  <si>
    <t>7.4 kt synfules/y capacity</t>
  </si>
  <si>
    <t>[2333]</t>
  </si>
  <si>
    <t>600 t synfuel/y production</t>
  </si>
  <si>
    <t>[2334]</t>
  </si>
  <si>
    <t>1.950 GW</t>
  </si>
  <si>
    <t>[2338]</t>
  </si>
  <si>
    <t xml:space="preserve">18 kt H2/y production </t>
  </si>
  <si>
    <t>[2336]</t>
  </si>
  <si>
    <t>1.4 - 2 kt H2/y production</t>
  </si>
  <si>
    <t>400 t H2/y production</t>
  </si>
  <si>
    <t>360 MW el</t>
  </si>
  <si>
    <t>[2341]</t>
  </si>
  <si>
    <t xml:space="preserve">11.4 kt H2/y production </t>
  </si>
  <si>
    <t>[2342]</t>
  </si>
  <si>
    <t xml:space="preserve">[2343] </t>
  </si>
  <si>
    <t>100 MW el</t>
  </si>
  <si>
    <t>[2344]</t>
  </si>
  <si>
    <t>10 MW - 3 kt/y H2 capacity</t>
  </si>
  <si>
    <t>[2345] [2346]</t>
  </si>
  <si>
    <t>[2345] [2347]</t>
  </si>
  <si>
    <t>[2348]</t>
  </si>
  <si>
    <t>[2349]</t>
  </si>
  <si>
    <t>[2350]</t>
  </si>
  <si>
    <t>700 t H2/y prodcution</t>
  </si>
  <si>
    <t>[2351]</t>
  </si>
  <si>
    <t>[2353] [2729]</t>
  </si>
  <si>
    <t>89 kt synfuel/y capacity</t>
  </si>
  <si>
    <t>[2355]</t>
  </si>
  <si>
    <t>25 million gallons synfuel/y capacity</t>
  </si>
  <si>
    <t>[2356]</t>
  </si>
  <si>
    <t>65 million gallons synfuel /y capacity</t>
  </si>
  <si>
    <t>[2357]</t>
  </si>
  <si>
    <t>90 million gallons synfuel/y capacity</t>
  </si>
  <si>
    <t>[2359]</t>
  </si>
  <si>
    <t>34 million gallons synfuel/y capacity</t>
  </si>
  <si>
    <t>[2360]</t>
  </si>
  <si>
    <t xml:space="preserve">120-200 MWel - 100 kt NH3/y </t>
  </si>
  <si>
    <t>[2364]</t>
  </si>
  <si>
    <t>[2365]</t>
  </si>
  <si>
    <t>4 Mwel - 1.8 t H2/d capacity</t>
  </si>
  <si>
    <t>[2367]</t>
  </si>
  <si>
    <t>[2370]</t>
  </si>
  <si>
    <t>50 Mwel - 5 kt H2/y production</t>
  </si>
  <si>
    <t>[2371][2750]</t>
  </si>
  <si>
    <t>350 Mwel - 50 kt H2/y production</t>
  </si>
  <si>
    <t>[2372]</t>
  </si>
  <si>
    <t>200 Mwel - 30 kt H2/y capacity</t>
  </si>
  <si>
    <t>[2373]</t>
  </si>
  <si>
    <t>25 MW - 2.1 kt H2/y production</t>
  </si>
  <si>
    <t>[2375]</t>
  </si>
  <si>
    <t>[2378]</t>
  </si>
  <si>
    <t>[2278]</t>
  </si>
  <si>
    <t>150MW - 100 kt NH3/y (production)</t>
  </si>
  <si>
    <t>[2391]</t>
  </si>
  <si>
    <t>64MW</t>
  </si>
  <si>
    <t>[2394]</t>
  </si>
  <si>
    <t>[2395]</t>
  </si>
  <si>
    <t xml:space="preserve">[2396] </t>
  </si>
  <si>
    <t xml:space="preserve">18 kt H2/y - 60 kt SAF/yr production </t>
  </si>
  <si>
    <t>[2397]</t>
  </si>
  <si>
    <t>[2403]</t>
  </si>
  <si>
    <t>11 MW - 500 t H2/y production</t>
  </si>
  <si>
    <t>[2404]</t>
  </si>
  <si>
    <t>[2406] [2639]</t>
  </si>
  <si>
    <t>1 - 2 MW</t>
  </si>
  <si>
    <t>[2407]</t>
  </si>
  <si>
    <t>5 MW - 2 t H2/d production</t>
  </si>
  <si>
    <t>[2408]</t>
  </si>
  <si>
    <t>[2412] [2614]</t>
  </si>
  <si>
    <t>Data from Atome</t>
  </si>
  <si>
    <t>[2416]</t>
  </si>
  <si>
    <t>[2418]</t>
  </si>
  <si>
    <t>11 kt H2/y capacity</t>
  </si>
  <si>
    <t>[2425]</t>
  </si>
  <si>
    <t xml:space="preserve">620 kt NH3/y production </t>
  </si>
  <si>
    <t>[2632]</t>
  </si>
  <si>
    <t>2 MW - 300 t H2/y capacity</t>
  </si>
  <si>
    <t>[2430]</t>
  </si>
  <si>
    <t>50 MW - 8 ktH2/y capacity</t>
  </si>
  <si>
    <t>300 MW - 22 kt/H2/y production</t>
  </si>
  <si>
    <t>[2435]</t>
  </si>
  <si>
    <t>50-70 MW</t>
  </si>
  <si>
    <t>30 Enapter AEM Electrolysers EL 2.1 w/ production rate 500 NL/hr</t>
  </si>
  <si>
    <t>1.25 kt H2/y production</t>
  </si>
  <si>
    <t>[2435] [2437]</t>
  </si>
  <si>
    <t xml:space="preserve">.25 MW </t>
  </si>
  <si>
    <t>[2435] [2438]</t>
  </si>
  <si>
    <t>5 MW (2x2.5MW)</t>
  </si>
  <si>
    <t>[2439]</t>
  </si>
  <si>
    <t>[2441]</t>
  </si>
  <si>
    <t>1.5 Mt CO2</t>
  </si>
  <si>
    <t>[2442][2443]</t>
  </si>
  <si>
    <t>2.4 Mt CO2</t>
  </si>
  <si>
    <t>[2444][2445]</t>
  </si>
  <si>
    <t>2.3 Mt CO2</t>
  </si>
  <si>
    <t>[2446][2447][2448]</t>
  </si>
  <si>
    <t>0.19 Mt CO2</t>
  </si>
  <si>
    <t>[2449][2450]</t>
  </si>
  <si>
    <t>2 Mt CO2</t>
  </si>
  <si>
    <t>[2451][2452]</t>
  </si>
  <si>
    <t>[2453]</t>
  </si>
  <si>
    <t>[2454] [2724]</t>
  </si>
  <si>
    <t>[2455][2456]</t>
  </si>
  <si>
    <t>[2457]</t>
  </si>
  <si>
    <t>2 GW - 200 kt H2/y production</t>
  </si>
  <si>
    <t>[2458]</t>
  </si>
  <si>
    <t>10 GW</t>
  </si>
  <si>
    <t>[2459]</t>
  </si>
  <si>
    <t>[2460]</t>
  </si>
  <si>
    <t>500 t H2/d - 1.7 Mt CO2/y</t>
  </si>
  <si>
    <t>[2461][2462]</t>
  </si>
  <si>
    <t>0.65 Mt CO2/y</t>
  </si>
  <si>
    <t>[2463][2464][2669]</t>
  </si>
  <si>
    <t>[2466]</t>
  </si>
  <si>
    <t>120 t H2/d</t>
  </si>
  <si>
    <t>[2469]</t>
  </si>
  <si>
    <t>100 MW - 9 kt H2/y production</t>
  </si>
  <si>
    <t>[2470]</t>
  </si>
  <si>
    <t xml:space="preserve">2.5 MW - 1 t H2/d </t>
  </si>
  <si>
    <t>[2471]</t>
  </si>
  <si>
    <t>[2473]</t>
  </si>
  <si>
    <t>[2473] [2474]</t>
  </si>
  <si>
    <t>15 MW - 5 t H2/d production</t>
  </si>
  <si>
    <t>[2473] [2475]</t>
  </si>
  <si>
    <t>[2473][2553]</t>
  </si>
  <si>
    <t>[2473] [2476]</t>
  </si>
  <si>
    <t>ALK + PEM</t>
  </si>
  <si>
    <t>2.2 GW</t>
  </si>
  <si>
    <t>[2479]</t>
  </si>
  <si>
    <t>[2480]</t>
  </si>
  <si>
    <t>[2481][2485][2572]</t>
  </si>
  <si>
    <t>[2481] [2572]</t>
  </si>
  <si>
    <t>34 MW , 2000 bdp of e-fuels</t>
  </si>
  <si>
    <t>[2482]</t>
  </si>
  <si>
    <t>[2483][2484]</t>
  </si>
  <si>
    <t>[2485]</t>
  </si>
  <si>
    <t>[2486]</t>
  </si>
  <si>
    <t>520 MW</t>
  </si>
  <si>
    <t>[2489]</t>
  </si>
  <si>
    <t>300 MW- 139 kt MeOH/y - 37.5 kt H2/y production</t>
  </si>
  <si>
    <t>[2491]</t>
  </si>
  <si>
    <t>1.5 tH2/d capacity</t>
  </si>
  <si>
    <t>[2492]</t>
  </si>
  <si>
    <t>[2493][2494]</t>
  </si>
  <si>
    <t>4 GW - 400 kt H2/y production</t>
  </si>
  <si>
    <t>[2496]</t>
  </si>
  <si>
    <t>[2497]</t>
  </si>
  <si>
    <t>[2498]</t>
  </si>
  <si>
    <t>200 Mwel - 30 kt H2/y - 170 kt NH3/y</t>
  </si>
  <si>
    <t>[2500]</t>
  </si>
  <si>
    <t>100 kt kerosene/y capacity</t>
  </si>
  <si>
    <t>[2501]</t>
  </si>
  <si>
    <t>300 kt kerosene/y capacity</t>
  </si>
  <si>
    <t>80kt H2/y (production)</t>
  </si>
  <si>
    <t>[2502]</t>
  </si>
  <si>
    <t>250kt NH3/y production</t>
  </si>
  <si>
    <t>[2503]</t>
  </si>
  <si>
    <t>[2504][2505][2506]</t>
  </si>
  <si>
    <t>[2507]</t>
  </si>
  <si>
    <t>[2508]</t>
  </si>
  <si>
    <t>[2509]</t>
  </si>
  <si>
    <t>[2510]</t>
  </si>
  <si>
    <t>1000 kW</t>
  </si>
  <si>
    <t>[2511]</t>
  </si>
  <si>
    <t>1.2 kt H2/d production</t>
  </si>
  <si>
    <t>[2512]</t>
  </si>
  <si>
    <t>100 kt MeOH/y capacity</t>
  </si>
  <si>
    <t>[2514] [2614]</t>
  </si>
  <si>
    <t>400 kt MeOH/y capacity</t>
  </si>
  <si>
    <t>[2514]</t>
  </si>
  <si>
    <t>200 kt MeOH/y capacity</t>
  </si>
  <si>
    <t>30 kt MeOH/y</t>
  </si>
  <si>
    <t>[2514][2553]</t>
  </si>
  <si>
    <t>20 kt MeOH/y capacity</t>
  </si>
  <si>
    <t>80 kt H2/y production</t>
  </si>
  <si>
    <t>[2520]</t>
  </si>
  <si>
    <t>[2521]</t>
  </si>
  <si>
    <t>1.2Mt NH3/y production</t>
  </si>
  <si>
    <t>[2522]</t>
  </si>
  <si>
    <t>300kt NH3/y production</t>
  </si>
  <si>
    <t>720kt NH3/y production</t>
  </si>
  <si>
    <t>[2522][2523]</t>
  </si>
  <si>
    <t>42 kt H2/y production</t>
  </si>
  <si>
    <t>[2524]</t>
  </si>
  <si>
    <t>60 kt H2/y production</t>
  </si>
  <si>
    <t>[2525][2526]</t>
  </si>
  <si>
    <t>10-20MW</t>
  </si>
  <si>
    <t>[2527]</t>
  </si>
  <si>
    <t>100kt NH3/y production</t>
  </si>
  <si>
    <t>[2528][2529][2530]</t>
  </si>
  <si>
    <t>600 t NH3/day production</t>
  </si>
  <si>
    <t>[2531][2532]</t>
  </si>
  <si>
    <t>3.2 kt NH3/day production</t>
  </si>
  <si>
    <t>[2533]</t>
  </si>
  <si>
    <t>730kt NH3/y production</t>
  </si>
  <si>
    <t>[2534]</t>
  </si>
  <si>
    <t>500kt NH3/y capacity</t>
  </si>
  <si>
    <t>9.18MW</t>
  </si>
  <si>
    <t>[2535]</t>
  </si>
  <si>
    <t>[2535] [2585]</t>
  </si>
  <si>
    <t>[2535] [2586]</t>
  </si>
  <si>
    <t>[2535] [2587]</t>
  </si>
  <si>
    <t>[2537][2538]</t>
  </si>
  <si>
    <t>171 Mwel - 145kt NH3/y capacity</t>
  </si>
  <si>
    <t>[2539]</t>
  </si>
  <si>
    <t>[2540]</t>
  </si>
  <si>
    <t>[2541] [2640]</t>
  </si>
  <si>
    <t>[2542]</t>
  </si>
  <si>
    <t>[2543]</t>
  </si>
  <si>
    <t>[2544]</t>
  </si>
  <si>
    <t>[2545] [2641]</t>
  </si>
  <si>
    <t>[2546]</t>
  </si>
  <si>
    <t>[2547]</t>
  </si>
  <si>
    <t>1.5GW</t>
  </si>
  <si>
    <t>1.44GW</t>
  </si>
  <si>
    <t>[2548]</t>
  </si>
  <si>
    <t>500MW , 400 Kt NH3/y capacity</t>
  </si>
  <si>
    <t>[2548] [2562] [2642]</t>
  </si>
  <si>
    <t>137MW</t>
  </si>
  <si>
    <t>[2549]</t>
  </si>
  <si>
    <t>[2563]</t>
  </si>
  <si>
    <t>100 kt MeOH/y (production)</t>
  </si>
  <si>
    <t>[2252][2253]</t>
  </si>
  <si>
    <t>500 kt MeOH/y capacity</t>
  </si>
  <si>
    <t>400kt NH3/y production</t>
  </si>
  <si>
    <t>[2291][2554]</t>
  </si>
  <si>
    <t>600 kt MeOH/y capacity</t>
  </si>
  <si>
    <t>[2553][2555]</t>
  </si>
  <si>
    <t>700 kt MeOH/y capacity</t>
  </si>
  <si>
    <t>337.5 kt MeOH/y capacity</t>
  </si>
  <si>
    <t>(2553][2556]</t>
  </si>
  <si>
    <t>[2553][2557]</t>
  </si>
  <si>
    <t>5 Mt MeOH/y capacity</t>
  </si>
  <si>
    <t>[2557]</t>
  </si>
  <si>
    <t>[2558] [2710]</t>
  </si>
  <si>
    <t>[2553][2559]</t>
  </si>
  <si>
    <t>12 t MeOH/d</t>
  </si>
  <si>
    <t>[2560]</t>
  </si>
  <si>
    <t>[2553][2561]</t>
  </si>
  <si>
    <t>2 GW -  1.6Mt NH3/y capacity</t>
  </si>
  <si>
    <t>[2562]</t>
  </si>
  <si>
    <t>300 kt NH3/y, production</t>
  </si>
  <si>
    <t>[2564]</t>
  </si>
  <si>
    <t>600 kt NH3/y, production</t>
  </si>
  <si>
    <t>1.65 Mt NH3/y , production</t>
  </si>
  <si>
    <t>[2565]</t>
  </si>
  <si>
    <t>[2566]</t>
  </si>
  <si>
    <t>[2567]</t>
  </si>
  <si>
    <t>100 t H2/y</t>
  </si>
  <si>
    <t>[2568]</t>
  </si>
  <si>
    <t>400 t H2/y</t>
  </si>
  <si>
    <t>0,1kt H2/y</t>
  </si>
  <si>
    <t>[2569] [2644]</t>
  </si>
  <si>
    <t>[2571]</t>
  </si>
  <si>
    <t>1.2 Mt H2/y, capacity</t>
  </si>
  <si>
    <t>[2573]</t>
  </si>
  <si>
    <t>[2574]</t>
  </si>
  <si>
    <t>[2575]</t>
  </si>
  <si>
    <t>227MW</t>
  </si>
  <si>
    <t>[2576]</t>
  </si>
  <si>
    <t>[2577][2578]</t>
  </si>
  <si>
    <t>4 Mwel</t>
  </si>
  <si>
    <t>[2580]</t>
  </si>
  <si>
    <t>3 Mwel</t>
  </si>
  <si>
    <t>[2581]</t>
  </si>
  <si>
    <t>1.8 Mwel</t>
  </si>
  <si>
    <t>[2595]</t>
  </si>
  <si>
    <t xml:space="preserve">500MW </t>
  </si>
  <si>
    <t>[2596]</t>
  </si>
  <si>
    <t>500 kt NH3/y, production</t>
  </si>
  <si>
    <t>[2597]</t>
  </si>
  <si>
    <t>200 kt NH3/y, production</t>
  </si>
  <si>
    <t>[2598]</t>
  </si>
  <si>
    <t>287 kt NH3/y, capacity</t>
  </si>
  <si>
    <t>[2599]</t>
  </si>
  <si>
    <t>574 kt NH3/y, capacity</t>
  </si>
  <si>
    <t>861 kt NH3/y, capacity</t>
  </si>
  <si>
    <t>44 MW el - 7 kt H2/y</t>
  </si>
  <si>
    <t>[2605]</t>
  </si>
  <si>
    <t>112 kt NH3/y production</t>
  </si>
  <si>
    <t>[2607]</t>
  </si>
  <si>
    <t>[2606]</t>
  </si>
  <si>
    <t>1000 kt  fertiliser capacity</t>
  </si>
  <si>
    <t>[2608]</t>
  </si>
  <si>
    <t>[2609]</t>
  </si>
  <si>
    <t>[2610]</t>
  </si>
  <si>
    <t>[2611]</t>
  </si>
  <si>
    <t>1200 kt NH3/y production</t>
  </si>
  <si>
    <t>120 kt MeOH/y capacity</t>
  </si>
  <si>
    <t>[2612] [2613]</t>
  </si>
  <si>
    <t>210 kt MeOH/y capacity</t>
  </si>
  <si>
    <t>[2614]</t>
  </si>
  <si>
    <t>450 kt MeOH/y capacity</t>
  </si>
  <si>
    <t>180 kt MeOH/y capacity</t>
  </si>
  <si>
    <t>5000 kt MeOH/y capacity</t>
  </si>
  <si>
    <t>380 kt MeOH/y capacity</t>
  </si>
  <si>
    <t>[2614] [2615]</t>
  </si>
  <si>
    <t>140 MW</t>
  </si>
  <si>
    <t>[2643]</t>
  </si>
  <si>
    <t>1000 kt MeOH/y capacity</t>
  </si>
  <si>
    <t>160 kt MeOH/y capacity</t>
  </si>
  <si>
    <t>150 kt MeOH/y capacity</t>
  </si>
  <si>
    <t>[2614] [2616]</t>
  </si>
  <si>
    <t>[2614] [2617]</t>
  </si>
  <si>
    <t>[2614] [2618]</t>
  </si>
  <si>
    <t>[2614] [2619]</t>
  </si>
  <si>
    <t>327 kt MeOH/y capacity</t>
  </si>
  <si>
    <t>[2614] [2620]</t>
  </si>
  <si>
    <t>[2614] [2621]</t>
  </si>
  <si>
    <t>800 kt MeOH/y capacity</t>
  </si>
  <si>
    <t>[2614] [2622]</t>
  </si>
  <si>
    <t xml:space="preserve">305kt H2/y </t>
  </si>
  <si>
    <t>[2626]</t>
  </si>
  <si>
    <t>0,003kt H2/y</t>
  </si>
  <si>
    <t>[2645]</t>
  </si>
  <si>
    <t>42 ktH2/y</t>
  </si>
  <si>
    <t>[2646] [2647]</t>
  </si>
  <si>
    <t>[2627]</t>
  </si>
  <si>
    <t>812 t H2/y production</t>
  </si>
  <si>
    <t>[2630]</t>
  </si>
  <si>
    <t>350 MW - 40 kt H2/y production</t>
  </si>
  <si>
    <t>100 kt H2/y production</t>
  </si>
  <si>
    <t>[2631]</t>
  </si>
  <si>
    <t>310 MW</t>
  </si>
  <si>
    <t>510 MW</t>
  </si>
  <si>
    <t>900 kt NH3/y production</t>
  </si>
  <si>
    <t>283 kt NH3/y, capacity</t>
  </si>
  <si>
    <t>[2633]</t>
  </si>
  <si>
    <t>567 kt NH3/y, capacity</t>
  </si>
  <si>
    <t>850 kt NH3/y, capacity</t>
  </si>
  <si>
    <t>[2634]</t>
  </si>
  <si>
    <t>600 MW</t>
  </si>
  <si>
    <t xml:space="preserve">1000 MW </t>
  </si>
  <si>
    <t>54 kt H2/y capacity</t>
  </si>
  <si>
    <t>[2635]</t>
  </si>
  <si>
    <t>2 MT CO2/y</t>
  </si>
  <si>
    <t>1 GW - 800 kt NH3/y production</t>
  </si>
  <si>
    <t>2500 kt NH3/y capacity</t>
  </si>
  <si>
    <t>[2649]</t>
  </si>
  <si>
    <t>1 GW - 150 kt H2/y - 830 kt NH3/y</t>
  </si>
  <si>
    <t>[2650]</t>
  </si>
  <si>
    <t>250MW  or  50 kt H2/y converted to 250 kt NH3/y capacity</t>
  </si>
  <si>
    <t>[2651] [2728]</t>
  </si>
  <si>
    <t>2.4 kt NH3/d capacity</t>
  </si>
  <si>
    <t>[2652]</t>
  </si>
  <si>
    <t>E-TAC</t>
  </si>
  <si>
    <t>30 Mwel 
(inlcuding 0.4 MW from pilot phase)</t>
  </si>
  <si>
    <t>[2653] [2654]</t>
  </si>
  <si>
    <t>10- 20 MW</t>
  </si>
  <si>
    <t>[2655]</t>
  </si>
  <si>
    <t>320 kt H2/y - 1400 kt NH3/y capacity</t>
  </si>
  <si>
    <t>[2656]</t>
  </si>
  <si>
    <t>[2657] [2658]</t>
  </si>
  <si>
    <t>3.1 MW</t>
  </si>
  <si>
    <t>[2659]</t>
  </si>
  <si>
    <t>500 kt H2/y capacity</t>
  </si>
  <si>
    <t>3 kt NH3/d capacity</t>
  </si>
  <si>
    <t>[2660] [2661]</t>
  </si>
  <si>
    <t>[2662]</t>
  </si>
  <si>
    <t>[2663]</t>
  </si>
  <si>
    <t>520 MW - 400 kt NH3/y</t>
  </si>
  <si>
    <t>8 MW - 1.7 t H2/d</t>
  </si>
  <si>
    <t>[2664]</t>
  </si>
  <si>
    <t>[2667]</t>
  </si>
  <si>
    <t>8.5 Gwel additional</t>
  </si>
  <si>
    <t>[2668]</t>
  </si>
  <si>
    <t>3.7 Gwel</t>
  </si>
  <si>
    <t>800 Mwel additional</t>
  </si>
  <si>
    <t>120kt MeOH/y</t>
  </si>
  <si>
    <t>280.6 MW</t>
  </si>
  <si>
    <t>[2672]</t>
  </si>
  <si>
    <t>4000MW</t>
  </si>
  <si>
    <t>11MW</t>
  </si>
  <si>
    <t xml:space="preserve">20.1 MW </t>
  </si>
  <si>
    <t>[2673]</t>
  </si>
  <si>
    <t>[2674]</t>
  </si>
  <si>
    <t>9.3MW</t>
  </si>
  <si>
    <t xml:space="preserve">2 MW </t>
  </si>
  <si>
    <t xml:space="preserve">5 MW </t>
  </si>
  <si>
    <t>[2675]</t>
  </si>
  <si>
    <t xml:space="preserve">100 MW </t>
  </si>
  <si>
    <t>[2676]</t>
  </si>
  <si>
    <t xml:space="preserve">50 MW </t>
  </si>
  <si>
    <t>17.2 MW</t>
  </si>
  <si>
    <t>[2677]</t>
  </si>
  <si>
    <t xml:space="preserve">200 MW </t>
  </si>
  <si>
    <t>[2678]</t>
  </si>
  <si>
    <t xml:space="preserve">10 MW </t>
  </si>
  <si>
    <t xml:space="preserve">26 MW </t>
  </si>
  <si>
    <t>[2681]</t>
  </si>
  <si>
    <t>[2684]</t>
  </si>
  <si>
    <t>[2685][2686]</t>
  </si>
  <si>
    <t>[2686] [2687]</t>
  </si>
  <si>
    <t>[2688]</t>
  </si>
  <si>
    <t>[2689]</t>
  </si>
  <si>
    <t>[2690]</t>
  </si>
  <si>
    <t>[2691]</t>
  </si>
  <si>
    <t>[2692]</t>
  </si>
  <si>
    <t>910 MW</t>
  </si>
  <si>
    <t>1510 MW</t>
  </si>
  <si>
    <t>[2693]</t>
  </si>
  <si>
    <t>[2694]</t>
  </si>
  <si>
    <t>[2695]</t>
  </si>
  <si>
    <t>[2696][2697]</t>
  </si>
  <si>
    <t>631MW</t>
  </si>
  <si>
    <t>[2698]</t>
  </si>
  <si>
    <t>[2699]</t>
  </si>
  <si>
    <t>[2701]</t>
  </si>
  <si>
    <t>[2702]</t>
  </si>
  <si>
    <t>[2703]</t>
  </si>
  <si>
    <t>[2704]</t>
  </si>
  <si>
    <t>[2705]</t>
  </si>
  <si>
    <t>[2706]</t>
  </si>
  <si>
    <t>160 MW</t>
  </si>
  <si>
    <t>[2707]</t>
  </si>
  <si>
    <t>1400 MW</t>
  </si>
  <si>
    <t>330 kt NH3/y capacity</t>
  </si>
  <si>
    <t>100 MW - 5 kt synfuel/y capacity</t>
  </si>
  <si>
    <t>45 MW - 2.2 kt synfule/y capacity</t>
  </si>
  <si>
    <t>28 MW - 75 kt MeOH/y capacity</t>
  </si>
  <si>
    <t>[2700]</t>
  </si>
  <si>
    <t>[2711]</t>
  </si>
  <si>
    <t>9.1 MW</t>
  </si>
  <si>
    <t>[2709]</t>
  </si>
  <si>
    <t>[2712]</t>
  </si>
  <si>
    <t>[2714]</t>
  </si>
  <si>
    <t>&lt;100 MW</t>
  </si>
  <si>
    <t>[2715}</t>
  </si>
  <si>
    <t>[2716]</t>
  </si>
  <si>
    <t>[2717]</t>
  </si>
  <si>
    <t>5.7 MW</t>
  </si>
  <si>
    <t>[2718]</t>
  </si>
  <si>
    <t>[2719]</t>
  </si>
  <si>
    <t>[2720]</t>
  </si>
  <si>
    <t>250 ktNH3/y capacity</t>
  </si>
  <si>
    <t>[2721]</t>
  </si>
  <si>
    <t>[2722]</t>
  </si>
  <si>
    <t>[2727]</t>
  </si>
  <si>
    <t>[2726]</t>
  </si>
  <si>
    <t>210 kt H2/y capacity</t>
  </si>
  <si>
    <t>[2730]</t>
  </si>
  <si>
    <t>[2732]</t>
  </si>
  <si>
    <t>[2733]</t>
  </si>
  <si>
    <t>[2734]</t>
  </si>
  <si>
    <t>[2735]</t>
  </si>
  <si>
    <t>Production of 7.1 kt e-CH4/y</t>
  </si>
  <si>
    <t>[2736]</t>
  </si>
  <si>
    <t>220 kt H2/y production</t>
  </si>
  <si>
    <t>[2738]</t>
  </si>
  <si>
    <t>[2737]</t>
  </si>
  <si>
    <t>170 kt H2/y production - 1000 kt NH3/y</t>
  </si>
  <si>
    <t>[2739]</t>
  </si>
  <si>
    <t>[2740]</t>
  </si>
  <si>
    <t>1Mt NH3/y production</t>
  </si>
  <si>
    <t>[2741]</t>
  </si>
  <si>
    <t>10 kgH2/d for 5Kg SAF/d, capacity</t>
  </si>
  <si>
    <t>[2743]</t>
  </si>
  <si>
    <t>[2744]</t>
  </si>
  <si>
    <t>2.600 GW</t>
  </si>
  <si>
    <t>Data from World Energy GH2</t>
  </si>
  <si>
    <t>[2746]</t>
  </si>
  <si>
    <t>Number</t>
  </si>
  <si>
    <t xml:space="preserve">Energieinstitut an der Johannes Kepler Universität Linz. Power to Gas – eine Systemanalyse. Markt- und Technologiescouting und –analyse. Endbericht. 2014. https://www.ea.tuwien.ac.at/fileadmin/t/ea/projekte/PtG/Endbericht_-_Power_to_Gas_-_eine_Systemanalyse_-_2014.pdf </t>
  </si>
  <si>
    <t>European Power-to-Gas platform - Power-to-Gas demo database</t>
  </si>
  <si>
    <t>Bailera et al., 2017. Power to Gas projects review: Lab, pilot and demo plants for storing renewable energy and CO2. Renewable and Sustainable Energy Reviews 69 (2017) 292-312</t>
  </si>
  <si>
    <t>F. Smeets and D. Thomas, 2017, HyBALANCE : state-of-the-art PEM electrolysis paving the way to multi-MW renewable energy systems. HyBlance Inauguration Ceremony, Oevel, Belgium, 13 Feb. 2017.</t>
  </si>
  <si>
    <t>G. Gahleitner, 2013. Hydrogen from renewable electricity: an international review of power-to-gas pilot plants for stationary applications</t>
  </si>
  <si>
    <t>M. Gotz et al, 2015. Renewable Power-to-Gas: A technological and economic review</t>
  </si>
  <si>
    <t>Master’s Thesis - Vesa Vartiainen, 2016. SCREENING OF POWER TO GAS PROJECTS</t>
  </si>
  <si>
    <t>Alkaline vs PEM electrolysers: lessons learnt from Falkenhagen and WindGas Hamburg By Denis Thomas, Hydrogenics 2016</t>
  </si>
  <si>
    <t>Global screening of projects and technologies for Power-to-Gas and Bio-SNG, Henrik Iskov, Niels Bjarne Rasmussen, 2013</t>
  </si>
  <si>
    <t>Energiepark Mainz: Technical and economic analysis of the worldwide largest Power-to-Gas plant with PEM electrolysis, M.Kopp, 2016</t>
  </si>
  <si>
    <t>CO2-to-methanol: Nordic technology with global application, Benedikt Stefansson</t>
  </si>
  <si>
    <t>European Power-to-Gas website: http://www.europeanpowertogas.com/index</t>
  </si>
  <si>
    <t>Energy Storage Innovation in Europe: A mapping exercise, F. Geth et al, 2013</t>
  </si>
  <si>
    <t>Aeropila references file</t>
  </si>
  <si>
    <t>Air fuel synthesis pilot plant file</t>
  </si>
  <si>
    <t>Akershus energy park - HyNor lillestrom file</t>
  </si>
  <si>
    <t>Baglan Energy Park Wales file</t>
  </si>
  <si>
    <t>CO2RRECT: Storing electricity while simultaneously capturing CO2, 2013: http://kraftwerkforschung.info/en/co2rrect-storing-electricity-while-simultaneously-capturing-co2/page/0/</t>
  </si>
  <si>
    <t>George Olah Renewable Methanol Plant, https://web.archive.org/web/20130703233732/http://cri.is/index.php?option=com_content&amp;view=article&amp;id=14&amp;Itemid=8&amp;lang=en</t>
  </si>
  <si>
    <t>Carbon Recycling International Inc., https://en.wikipedia.org/wiki/Carbon_Recycling_International#cite_note-13</t>
  </si>
  <si>
    <t>Handbook of Clean Energy Systems, 6 Volume Set, Volume 5, edited by Jinyue Yan</t>
  </si>
  <si>
    <t>TECHNICAL ASSUMPTIONS, TECHNOLOGY DEMONSTRATION AND RESULTS P2G PROJECT Power-to-Gas project in Rozenburg, DNV GL</t>
  </si>
  <si>
    <t>Bio-SNG Güssing file</t>
  </si>
  <si>
    <t>http://www.repotec.at/index.php/95.html</t>
  </si>
  <si>
    <t>DTE Energy Hydrogen Technology Park, 2005 DOE Program Review</t>
  </si>
  <si>
    <t>DTE Energy Hydrogen Technology Park report</t>
  </si>
  <si>
    <t>Sustainability-report_2012_13 Julich forschungszentrum</t>
  </si>
  <si>
    <t>http://forschung-energiespeicher.info/en/wind-to-hydrogen/project-list/project-details//Neue_Materialien_senken_Kosten_bei_PEM_Elektrolyse/</t>
  </si>
  <si>
    <t>Elygrid Project, Dr. Luis Correas, Foundation for the Development of New Hydrogen Technologies in Aragon (Spain)</t>
  </si>
  <si>
    <t>http://www.itm-power.com/news-item/1mw-sale-to-zeag-energie-ag</t>
  </si>
  <si>
    <t>http://www.dlr.de/ra/en/desktopdefault.aspx/tabid-4058/6636_read-48445/</t>
  </si>
  <si>
    <t>http://www.powertogas.info/power-to-gas/pilotprojekte-im-ueberblick/windgas-falkenhagen/</t>
  </si>
  <si>
    <t>https://www.storeandgo.info/demonstration-sites/germany/</t>
  </si>
  <si>
    <t>Experience with the E.ON Power to Gas demo plant-Germany</t>
  </si>
  <si>
    <t>https://de.wikipedia.org/wiki/Power-to-Gas</t>
  </si>
  <si>
    <t>Bioenergy RES Hybrids in Germany, IEA Bioenergy, 2016</t>
  </si>
  <si>
    <t>FUEL CELL INNOVATIVE REMOTE ENERGY SYSTEM FOR TELECOM (FIRST), Maria del Pilar Argumosa, INTA, Thomas H. Schucan, IEA Hydrogen Implementing Agreement</t>
  </si>
  <si>
    <t>Biological methanation processes, Electrochaea 2016</t>
  </si>
  <si>
    <t>Fronius Energy Cell, self-sufficient house file</t>
  </si>
  <si>
    <t>GenHyPEM file</t>
  </si>
  <si>
    <t>H2herten Wasserstoffbasiertes Energiekomplementärsystem für die regenerative Vollversorgung des H2-Anwenderzentrums h2herten dena Jahreskonferenz Power to Gas Berlin, 18. Juni 2013, Karl H. Klug, D. Kwapis</t>
  </si>
  <si>
    <t>http://www.energiepark-mainz.de/en/technology/technical-data/</t>
  </si>
  <si>
    <t>https://www.chalmers.se/SiteCollectionDocuments/SEE/News/Popularreport_GoBiGas_results_highres.pdf</t>
  </si>
  <si>
    <t>https://www.h-tec-systems.com/en/projects/power-gap-filler/</t>
  </si>
  <si>
    <t>https://www.now-gmbh.de/en/national-innovation-programme/projektfinder/verkehr/h2-tankstelle-schnackenburgallee-hamburg</t>
  </si>
  <si>
    <t>http://www.powertogas.info/power-to-gas/pilotprojekte-im-ueberblick/h2-forschungszentrum-der-btu-cottbus/</t>
  </si>
  <si>
    <t>http://www.hychico.com.ar/eng/hydrogen-plant.html</t>
  </si>
  <si>
    <t>http://www.fch.europa.eu/project/hybalance</t>
  </si>
  <si>
    <t>http://hybalance.eu/</t>
  </si>
  <si>
    <t>mefco2-teaser</t>
  </si>
  <si>
    <t>https://cordis.europa.eu/result/rcn/190432_en.html</t>
  </si>
  <si>
    <t>H2 Production in Sotavento Wind Farm,M. Rey Porto</t>
  </si>
  <si>
    <t>GRIMSTAD RENEWABLE ENERGY PARK, Torstein Våland</t>
  </si>
  <si>
    <t>A Renewable Energy Based Hydrogen Demonstration Park in Turkey - HYDEPARK, N.Ilhan, A. Ersöz, M. Çubukçu</t>
  </si>
  <si>
    <t>EVALUATIONS OF HYDROGEN DEMONSTRATION PROJECTS, Maria del Pilar Argumosa, IEA HIA Task 38, 2010</t>
  </si>
  <si>
    <t>Fuel cells as distributed generation, A Cruden, 2008</t>
  </si>
  <si>
    <t>Lolland Case Study: Micro CHP with integrated electrolyser and gas storage 2005-2007, IEAHIA Task 18 Integrated systems, Henrik Iskov</t>
  </si>
  <si>
    <t>Fukushima Power-to-gas Hydrogen Project, Toshiba presentation (P.26)</t>
  </si>
  <si>
    <t>https://www.h2move.de/technik-spezifikationen</t>
  </si>
  <si>
    <t>H2SusBuild brochure</t>
  </si>
  <si>
    <t>http://www.h2susbuild.ntua.gr/objectives.aspx</t>
  </si>
  <si>
    <t>RES2H2 Spanish Site, Maria P. Argumosa, 2009</t>
  </si>
  <si>
    <t>DEPLOYMENT OF HYDROGEN TECHNOLOGIES IN NEW ZEALAND, Jonathan D. Leaver</t>
  </si>
  <si>
    <t>Task 24:  Wind Energy and Hydrogen Integration , L. Correas, I. Aso, 2010</t>
  </si>
  <si>
    <t>HafenCity hydrogen station</t>
  </si>
  <si>
    <t>Hydrogen Refuelling Station Hamburg HafenCity</t>
  </si>
  <si>
    <t>HARI project presentation, Gammon</t>
  </si>
  <si>
    <t>Thesis-2006-Gammon</t>
  </si>
  <si>
    <t>Hydrogen Assisted Renewable Power (HARP) Project in British Columbia, Allan Grant</t>
  </si>
  <si>
    <t>Experimental results for hybrid energy storage systems coupled to photovoltaic generation in residential applications, MacLay, 2011</t>
  </si>
  <si>
    <t>ENERTRAG- Hybrid Power Plant brochure</t>
  </si>
  <si>
    <t>Bozcaada - Aitutaki</t>
  </si>
  <si>
    <t>Hydrogen Powered Fuel Cell Forklifts – Demonstration of Green Warehouse Logistics, Beermann Martin, 2013</t>
  </si>
  <si>
    <t>Storing solar energy as hydrogen, Fronius Energy Cell</t>
  </si>
  <si>
    <t>European Developments in Electrolyser Technology, Technical and Economic Outlook, N. Lymperopoulos, 2018</t>
  </si>
  <si>
    <t>Hydrogen as a means of controlling and integrating wind power into electricity grids, the HyWindBalance project, Klaus Stolzenburg</t>
  </si>
  <si>
    <t>Power-to-Gas in Italy: INGRID and STORE&amp;GO projects, Massimo Bertoncini, 2018</t>
  </si>
  <si>
    <t>Integration and Dynamics of a Renewable Regenerative Hydrogen Fuel Cell System, Alvin Peter Bergen, 2008</t>
  </si>
  <si>
    <t>A Feasibility Study of a Wind/Hydrogen System for Martha’s Vineyard, Massachusetts, T. Geer 2005</t>
  </si>
  <si>
    <t>http://www.itm-power.com/news-item/injection-of-hydrogen-into-the-german-gas-distribution-grid</t>
  </si>
  <si>
    <t>Power-to-Gas in Germany and North-Rhine Westphalia (NRW)</t>
  </si>
  <si>
    <t>MYRTE, France</t>
  </si>
  <si>
    <t>Power-to-Gas demonstration plant Ibbenbüren</t>
  </si>
  <si>
    <t>Étude d’un système autonome de production d’énergie couplant un champ photovoltaïque, un électrolyseur et une pile à combustible : réalisation d’un banc d’essai et modélisation, Séverine Busquet</t>
  </si>
  <si>
    <t>HYDROGEN PRODUCTION FROM RENEWABLES, Dr. N. Lymberopoulos</t>
  </si>
  <si>
    <t>Thèse, doctorat de l'université de Toulouse, Frédéric Gailly, 2011</t>
  </si>
  <si>
    <t>Utsira - Demonstrating the renewable hydrogen society, Torgeir Nakken, 2006</t>
  </si>
  <si>
    <t>A Feasibility Study of a Wind/Hydrogen System for Martha’s Vineyard, Massachusetts, T.geer, 2005</t>
  </si>
  <si>
    <t>STAND-ALONE RENEWABLE ENERGY SYSTEM BASED ON HYDROGEN PRODUCTION, Tapan K. Bose</t>
  </si>
  <si>
    <t>THE SOLAR-HYDROGEN SAPHYS PROJECT : OPERATING RESULTS, S. Galli</t>
  </si>
  <si>
    <t>Tauron CO2-SNG/Polygen</t>
  </si>
  <si>
    <t>http://www.innoenergy.com/innovationproject/our-innovation-projects/co2-sng/</t>
  </si>
  <si>
    <t>Power-to-Gas – A technical review, G. Benjaminsson, 2013</t>
  </si>
  <si>
    <t>https://www.h2-international.com/2017/12/01/hypos-from-storage-to-distribution/</t>
  </si>
  <si>
    <t>http://www.hypos-eastgermany.de/en/</t>
  </si>
  <si>
    <t>Innovative H2 Solutions to Move Towards Clean &amp; Smart Territories European Commission JRC S3P Energy: Smart Mediterraneo Bari, 23-24 June 2016</t>
  </si>
  <si>
    <t>MeGa-stoRE final report</t>
  </si>
  <si>
    <t>https://hydrogentoday.info/news/4350</t>
  </si>
  <si>
    <t>Hydrogen and renewable energy sources integrated system for greenhouse heating</t>
  </si>
  <si>
    <t>Demonstration project of the solar hydrogen energy system located on Taleghan-Iran: Technical-economic assessments</t>
  </si>
  <si>
    <t>WELTEMP Water electrolysis at elevated temperatures</t>
  </si>
  <si>
    <t xml:space="preserve">Power to Gas projects </t>
  </si>
  <si>
    <t>https://refhyne.eu/about/</t>
  </si>
  <si>
    <t>Review on Hydrogen production technologies in Malaysia, Z. Khan</t>
  </si>
  <si>
    <t>Hydrogen Demonstration Project Evaluations, Øystein Ulleberg</t>
  </si>
  <si>
    <t>http://energystorageexchange.org/projects/1447</t>
  </si>
  <si>
    <t>http://energystorageexchange.org/projects/2349</t>
  </si>
  <si>
    <t>https://books.google.fr/books?id=3ZNdDwAAQBAJ&amp;pg=SA7-PA40&amp;lpg=SA7 PA40&amp;dq=Raglan+Nickel+mine+canada+power+to+gas+hydrogen+electrolyzer&amp;source=bl&amp;ots=jVKl__oP3w&amp;sig=Nco6uJDGomFyhk0ZIIVb1JReULY&amp;hl=fr&amp;sa=X&amp;ved=0ahUKEwjy5ZnZy6jcAhUDgVwKHTTWCmwQ6AEIYDAK#v=onepage&amp;q=Raglan%20Nickel%20mine%20canada%20power%20to%20gas%20hydrogen%20electrolyzer&amp;f=false</t>
  </si>
  <si>
    <t>https://www.storeandgo.info/demonstration-sites/switzerland/</t>
  </si>
  <si>
    <t>Case Study: The Hawaii Hydrogen Power Park Demonstration at Kahua Ranch, Andy Lutz, 2010</t>
  </si>
  <si>
    <t>Final Technical Report: Hawaii Hydrogen Center for Development and Deployment of Distributed Energy Systems, University of Hawaii, 2008</t>
  </si>
  <si>
    <t>http://www.hycenta.at/projekte/w2h/</t>
  </si>
  <si>
    <t>Hydrogen and fuel cell technology in the energy and transport systems of the future</t>
  </si>
  <si>
    <t>Hydrogen village burgenland</t>
  </si>
  <si>
    <t>https://www.enargus.de/pub/bscw.cgi/?op=enargus.eps2&amp;q=0325440&amp;v=10&amp;id=2984084</t>
  </si>
  <si>
    <t>Research Studio Austria OptFuel 2-stage anaerobic digestion of biowaste combined with power-to-gas</t>
  </si>
  <si>
    <t>http://oldweb.hs-emden-leer.de/forschung-transfer/institute/eutec/arbeitsgruppe-umweltverfahrenstechnik/projekte-in-der-ag-umweltverfahrenstechnik/power-to-flex.html</t>
  </si>
  <si>
    <t>http://hpem2gas.eu/results/#WP5</t>
  </si>
  <si>
    <t>https://www.azocleantech.com/news.aspx?newsID=25653</t>
  </si>
  <si>
    <t>Sizing and operating power-to-gas systems to absorb excess renewable electricity, B. Simonis, 2017</t>
  </si>
  <si>
    <t>http://www.powertogas.info/power-to-gas/pilotprojekte-im-ueberblick/co2rrect/</t>
  </si>
  <si>
    <t>https://www.siemens.com/innovation/en/home/pictures-of-the-future/energy-and-efficiency/smart-grids-and-energy-storage-electrolyzers-energy-storage-for-the-future.html</t>
  </si>
  <si>
    <t>http://www.helmeth.eu/index.php/project</t>
  </si>
  <si>
    <t>https://energiforskning.dk/en/node/7155</t>
  </si>
  <si>
    <t>https://energiteknologi.dk/node/9160</t>
  </si>
  <si>
    <t>https://www.nvnom.com/homepage/power-gas-plant-delfzijl/</t>
  </si>
  <si>
    <t>https://books.google.fr/books?id=CKfnCAAAQBAJ&amp;pg=PA476&amp;lpg=PA476&amp;dq=NEMO+project+finland+hydrogen&amp;source=bl&amp;ots=BDZBIevcyo&amp;sig=YQjG3gev_i-RL2ezD-48wRSMQjY&amp;hl=fr&amp;sa=X&amp;ved=0ahUKEwiKtvXM67ncAhXKxoUKHRnMCLYQ6AEIQjAG#v=onepage&amp;q=NEMO%20project%20finland%20hydrogen&amp;f=false</t>
  </si>
  <si>
    <t>http://www.fch.europa.eu/project/clean-refinery-hydrogen-europe</t>
  </si>
  <si>
    <t>https://methycentre.eu/</t>
  </si>
  <si>
    <t>http://news.cision.com/nel-asa/r/nel-asa--enters-into-exclusive-nok-450-million-industrial-scale-power-to-gas-framework-agreement-wit,c2286835</t>
  </si>
  <si>
    <t>Nel ASA port jérome</t>
  </si>
  <si>
    <t>https://www.global-hydrogen-bus-platform.com/Home.html</t>
  </si>
  <si>
    <t>https://mcphy.com/fr/mclive/communiques/power_to_gas_mcphy_hebei_livraison/</t>
  </si>
  <si>
    <t>http://www.ammoniaenergy.org/renewable-hydrogen-in-fukushima-and-a-bridge-to-the-future/</t>
  </si>
  <si>
    <t>http://rehydrogen.com/OLD2/electrolysers.html</t>
  </si>
  <si>
    <t>https://www.h2orizon.de/</t>
  </si>
  <si>
    <t>https://event.dlr.de/en/hmi2018/h2orizon/</t>
  </si>
  <si>
    <t>https://www.lemoniteur.fr/article/un-demonstrateur-power-to-gas-en-service-a-nantes.1949184</t>
  </si>
  <si>
    <t>https://www.engie.com/wp-content/uploads/2018/05/tap_engie.pdf</t>
  </si>
  <si>
    <t>CHOCHCO_Résumé</t>
  </si>
  <si>
    <t>https://chochco.fr/</t>
  </si>
  <si>
    <t>https://www.energie-innovativ.de/service-events/messetour/gestalter-der-energiewende/gestalter-nach-regierungsbezirken/gestalter-in-niederbayern/gestalter-in-niederbayern/gestalter/Gestalter/show/micropyros-gmbh/</t>
  </si>
  <si>
    <t>https://www.micropyros.de/</t>
  </si>
  <si>
    <t>The world’s most efficient and reliable electrolyser</t>
  </si>
  <si>
    <t xml:space="preserve">LARGE SCALE HYDROGEN PRODUCTION, Henning G. Langås </t>
  </si>
  <si>
    <t>Pilot project on Hydrogen injection in natural gas on island of ameland in the netherlands, M.J. Kippers, 2011</t>
  </si>
  <si>
    <t>Power-to-Gas Demonstration Project Rozenburg, Harm Vlap, 2014</t>
  </si>
  <si>
    <t>CHIC-Emerging-Conclusions__short_June2016</t>
  </si>
  <si>
    <t>http://chic-project.eu/demonstration-sites/aargau</t>
  </si>
  <si>
    <t>https://www.iet.hsr.ch/index.php?id=13510</t>
  </si>
  <si>
    <t>https://hydrogeneurope.eu/project/nexpel</t>
  </si>
  <si>
    <t>https://www.sintef.no/projectweb/nexpel/</t>
  </si>
  <si>
    <t>https://cordis.europa.eu/project/rcn/94279_fr.html</t>
  </si>
  <si>
    <t>PROCON questionnaire</t>
  </si>
  <si>
    <t>http://forschung-energiespeicher.info/projektschau/gesamtliste/projekt-einzelansicht/95/Wasserstoff_Herstellung_im_Megawatt_Massstab/</t>
  </si>
  <si>
    <t>https://www.enargus.de/pub/bscw.cgi/?op=enargus.eps2&amp;v=10&amp;id=2989658&amp;q=0325524</t>
  </si>
  <si>
    <t>http://www.reselyser.eu/index.html</t>
  </si>
  <si>
    <t>https://cordis.europa.eu/result/rcn/176817_en.html</t>
  </si>
  <si>
    <t>Wind-Hydrogen-Diesel Energy Project, Greg Jones, 2010</t>
  </si>
  <si>
    <t>https://www.theseus.fi/bitstream/handle/10024/150448/Fait_Catherine.pdf?sequence=1&amp;isAllowed=y</t>
  </si>
  <si>
    <t>https://www.ostfalia.de/export/sites/default/de/v/fakultaet/institute-labore/eos/eletrotechnik_regenerative_energietechnik/Flyer_E_Park.pdf</t>
  </si>
  <si>
    <t>http://www.kit.edu/kit/english/pi_2015_regional-generation-use-and-storage-of-power.php</t>
  </si>
  <si>
    <t>PEI Wind-Hydrogen Village Project</t>
  </si>
  <si>
    <t>http://www.powertogas.info/power-to-gas/pilotprojekte-im-ueberblick/exytron-demonstrationsanlage/</t>
  </si>
  <si>
    <t>http://www.powertogas.info/power-to-gas/pilotprojekte-im-ueberblick/extyron-zero-emission-wohnpark/</t>
  </si>
  <si>
    <t>Une vision devient réalité : Le premier quartier résidentiel ZÉRO ÉMISSION au monde</t>
  </si>
  <si>
    <t>Das Micro Smart Grid als Baustein einer zukunftsfähigen Energieversorgung</t>
  </si>
  <si>
    <t>Small Scale Renewable Energy Power System with Hydrogen Combustion</t>
  </si>
  <si>
    <t>http://www.dri.edu/editor/rec-projects/213-renewable-energy-hydrogen-based-system-for-off-grid-applications</t>
  </si>
  <si>
    <t>Energy management in a stand-alone power system for the production of electrical energy with long term hydrogen storage, D. Ipsakis, 2008</t>
  </si>
  <si>
    <t>http://hydrogenhouseproject.org/the-hydrogen-house.html</t>
  </si>
  <si>
    <t>https://www.brightgreenhydrogen.org.uk/hydrogen-office-project/</t>
  </si>
  <si>
    <t>The Hydrogen Office, Energy Park Fife</t>
  </si>
  <si>
    <t>Energy storage in salt domes</t>
  </si>
  <si>
    <t>https://www.lemoniteur.fr/article/batiment-tertiaire-un-siege-social-autonome-en-energie.509739</t>
  </si>
  <si>
    <t>https://www.energie-und-management.de/nachrichten/detail/gruener-wasserstoff-fuer-hanauer-industriepark-108526</t>
  </si>
  <si>
    <t>https://www.h2bz-hessen.de/elektrolyseur</t>
  </si>
  <si>
    <t>Clean Energy Storage : Power-to-Gas</t>
  </si>
  <si>
    <t>The Hydrogen Shift is Here</t>
  </si>
  <si>
    <t>http://www.agence-nationale-recherche.fr/Project-ANR-11-SEED-0005</t>
  </si>
  <si>
    <t>http://www.newenergy.is/en/projects/research_and_demonstration_projects/ectos/</t>
  </si>
  <si>
    <t>The Hydrogen Fuelling Station</t>
  </si>
  <si>
    <t>http://www.actaspa.com/hydrogen-generator-demonstrated-by-abengoa/</t>
  </si>
  <si>
    <t>http://www.actaspa.com/wp-content/uploads/2013/08/EL250-500-10001.pdf</t>
  </si>
  <si>
    <t>Aberdeen Hydrogen Bus Project</t>
  </si>
  <si>
    <t>http://hyer.eu/best-practices/hydrogen-bus-project/</t>
  </si>
  <si>
    <t>https://www.brightgreenhydrogen.org.uk/levenmouth-community-energy-project/</t>
  </si>
  <si>
    <t>Levenmouth Community Energy Project</t>
  </si>
  <si>
    <t>Levenmouth Community Energy Project, Project update</t>
  </si>
  <si>
    <t>http://www.synfuel.dk/about-the-project</t>
  </si>
  <si>
    <t>CO2 recycling by reaction with renewably-generated hydrogen, S. Kent Hoekman, 2010</t>
  </si>
  <si>
    <t>http://www.kit.edu/kit/english/pi_2014_16120.php</t>
  </si>
  <si>
    <t>http://www.hz-inova.com/cms/en/home?p=6276</t>
  </si>
  <si>
    <t>CO2 Conversion to Methane Project-Hitachi Zosen</t>
  </si>
  <si>
    <t>https://www.focus.de/wissen/technik/mobilitaet/antriebe/tid-23218/wunderkraftstoff-schadstofffrei-in-die-zukunft_aid_652598.html</t>
  </si>
  <si>
    <t>Electrolyzer Performance Analysis of an Integrated Hydrogen Power System for Greenhouse Heating.</t>
  </si>
  <si>
    <t>http://www.electropowersystems.com/portfolio-item/1mwh-with-h2-microgrid-in-the-atacama-desert-chile/</t>
  </si>
  <si>
    <t>http://hpem2gas.eu/download/project_flyer/UNIRESEARCH_HPEM2GAS_flyer_1718_web.pdf</t>
  </si>
  <si>
    <t>https://fuelcellsworks.com/news/prefecture-firms-tie-up-on-solar-derived-hydrogen</t>
  </si>
  <si>
    <t>http://www.prensa.naturgy.com/en/gas-natural-fenosa-launches-pilot-project-to-produce-renewable-gas-in-catalonia/</t>
  </si>
  <si>
    <t>http://programme.exordo.com/icren2018/delegates/presentation/38/</t>
  </si>
  <si>
    <t>https://www.balance-project.org/projects/</t>
  </si>
  <si>
    <t>https://www.powertoflex.eu/en/</t>
  </si>
  <si>
    <t>https://www.fch.europa.eu/project/hydrogen-res-pressurised-alkaline-electrolyser-high-efficiency-and-wide-operating-range</t>
  </si>
  <si>
    <t>RENOVAGAS Project: Power to Methane</t>
  </si>
  <si>
    <t>L’hydrogène, ACCÉLÉRATEUR DE LA TRANSITION ÉNERGÉTIQUE</t>
  </si>
  <si>
    <t>http://www.energy-oil-gas.com/2016/07/15/storag-etzel-gmbh/</t>
  </si>
  <si>
    <t>https://books.google.fr/books?id=O5-wDQAAQBAJ&amp;pg=PA192&amp;lpg=PA192&amp;dq=taleghan+hydrogen+project+start+date&amp;source=bl&amp;ots=EiQ2Luu9nS&amp;sig=g80ec_e5-B51sQal8qf0PhmzNS4&amp;hl=fr&amp;sa=X&amp;ved=2ahUKEwivwLrbg5LdAhWLxIUKHX_fAVYQ6AEwAnoECAgQAQ#v=onepage&amp;q=taleghan%20hydrogen%20project%20start%20date&amp;f=false</t>
  </si>
  <si>
    <t>https://www.umweltbundesamt.de/sites/default/files/medien/377/dokumente/19_session_i_5_becker.pdf</t>
  </si>
  <si>
    <t>BALANCE Deliverable D5.1</t>
  </si>
  <si>
    <t>wind2hydrogen- HycentA</t>
  </si>
  <si>
    <t>https://www.nrcan.gc.ca/energy/funding/current-funding-programs/eii/16662</t>
  </si>
  <si>
    <t>https://www.vtt.fi/sites/bioeconomyplus/en/contacts</t>
  </si>
  <si>
    <t>https://www.demo4grid.eu/project/</t>
  </si>
  <si>
    <t>DEMO4GRID presentation</t>
  </si>
  <si>
    <t xml:space="preserve">THE SELF-SUFFICIENT SOLAR HOUSE IN FREIBURG </t>
  </si>
  <si>
    <t>https://www.lngworldnews.com/gasunie-greenpeace-energy-choose-suderburg-as-windgas-location-germany/</t>
  </si>
  <si>
    <t>https://www.greenpeace-energy.de/presse/artikel/neuer-schwung-fuer-die-energiewende-windgas-made-in-suderburg.html</t>
  </si>
  <si>
    <t>http://www.abc.net.au/news/2017-08-08/trial-to-inject-hydrogen-into-gas-lines/8782956</t>
  </si>
  <si>
    <t>https://new4-0.erneuerbare-energien-hamburg.de/de/new-40-blog/details/wind-to-gas-energy-bau-der-power-to-heat-anlage-ist-gestartet.html</t>
  </si>
  <si>
    <t>https://reneweconomy.com.au/s-a-to-host-australias-first-green-hydrogen-power-plant-89447/</t>
  </si>
  <si>
    <t>https://jemena.com.au/about/innovation/power-to-gas-trial</t>
  </si>
  <si>
    <t>https://www.gasunie.nl/nieuws/gasunie-en-engie-gaan-samenwerken-om-groene-waterstof-op-grote-sc</t>
  </si>
  <si>
    <t>https://www.tennet.eu/news/detail/gasunie-tennet-and-thyssengas-reveal-detailed-green-sector-coupling-plans-using-power-to-gas-tec/</t>
  </si>
  <si>
    <t>https://www.portofamsterdam.com/en/press-release/nouryon-tata-steel-and-port-amsterdam-partner-develop-largest-green-hydrogen-cluster</t>
  </si>
  <si>
    <t>https://www.hybridge.net/index-2.html</t>
  </si>
  <si>
    <t>https://www.thechemicalengineer.com/news/world-s-largest-dynamic-hydrogen-electrolysis-plant-inaugurated/</t>
  </si>
  <si>
    <t>https://www.hydrogenics.com/2018/07/16/north-americas-first-multi-megawatt-power-to-gas-facility-begins-operations/</t>
  </si>
  <si>
    <t>https://www.hydrogenics.com/2018/10/15/hydrogenics-to-supply-large-scale-pem-electrolyzer-for-hydrogen-fueling-station-in-europe/</t>
  </si>
  <si>
    <t>https://reneweconomy.com.au/neoen-plans-worlds-biggest-solar-wind-powered-hydrogen-hub-in-s-a-53674/</t>
  </si>
  <si>
    <t>http://www.itm-power.com/news-item/100mw-power-to-gas-p2g-energy-storage-feasibility-study</t>
  </si>
  <si>
    <t>https://www.energate-messenger.de/news/186936/reallabor-fuer-wasserstoff-grossprojekt</t>
  </si>
  <si>
    <t>https://www.sciencedirect.com/science/article/pii/S1464285919300239</t>
  </si>
  <si>
    <t>https://www.sciencedirect.com/science/article/pii/S1464285919300227</t>
  </si>
  <si>
    <t>https://www.sciencedirect.com/science/article/pii/S1464285918304681</t>
  </si>
  <si>
    <t>https://www.toshiba-energy.com/en/info/info2018_0809.htm</t>
  </si>
  <si>
    <t>https://h2energy.ch/en/nel-asa-awarded-purchase-order-for-a-2-mw-pem-electrolyzer-in-switzerland-and-enters-a-30-mw-framework-contract/</t>
  </si>
  <si>
    <t>https://www.sarawakenergy.com/media-info/media-releases/2018/sarawak-energy-pilots-hydrogen-production-plant-refuelling-station-for-transportation-sector</t>
  </si>
  <si>
    <t>https://industry.airliquide.ca/air-liquide-invests-worlds-largest-membrane-based-electrolyzer-develop-its-carbon-free-hydrogen</t>
  </si>
  <si>
    <t>https://hy-gro.net/en/duwaal</t>
  </si>
  <si>
    <t>http://www.framatome.com/EN/businessnews-1204/germany-solutions-for-energy-storage-and-hydrogen-fueling-stations.html</t>
  </si>
  <si>
    <t>https://www.poerner.at/en/media/pressemitteilung/news/e-crude-klimaneutraler-erdoelersatz-aus-co2-wasser-und-oekostrom/?tx_news_pi1%5Bcontroller%5D=News&amp;tx_news_pi1%5Baction%5D=detail&amp;cHash=685eb0b65e1ede82f72fca3fd907fe90</t>
  </si>
  <si>
    <t>https://www.engie.com/en/news/using-hydrogen-to-reach-self-sufficiency/</t>
  </si>
  <si>
    <t>https://www.sciencedirect.com/science/article/pii/0360319992901702</t>
  </si>
  <si>
    <t>https://www.business-standard.com/content/b2b-chemicals/air-products-opens-india-s-first-solar-powered-hydrogen-fuelling-station-115061501023_1.html</t>
  </si>
  <si>
    <t>https://www.eqmagpro.com/wp-content/uploads/2016/10/Annexure-IV-Report-on-Hydrogen-Production.pdf</t>
  </si>
  <si>
    <t>https://mnre.gov.in/sites/default/files/uploads/Shrinet-ERDA.pdf</t>
  </si>
  <si>
    <t>http://www.energy-observer.org/en/#bateau</t>
  </si>
  <si>
    <t>https://www.businesswire.com/news/home/20161220005202/en/Proton-OnSite-Awarded-13-Megawatt-Electrolyzers</t>
  </si>
  <si>
    <t>https://www.nrel.gov/docs/fy19osti/73025.pdf</t>
  </si>
  <si>
    <t>http://www.hydrogenics.com/2016/12/29/hydrogenics-chosen-for-fuel-cell-award-in-china/</t>
  </si>
  <si>
    <t>https://www.hamburg-news.hamburg/en/renewable-energy/hydrogen-becoming-technology-future/</t>
  </si>
  <si>
    <t>https://www.postauto.ch/en/news/five-years-hydrogen-powered-travel</t>
  </si>
  <si>
    <t>http://www.ihfca.org.cn/a1949.html</t>
  </si>
  <si>
    <t>https://www.ecbgroup.com.br/en/news/24/in-an-unprecedented-initiative-in-the-southern-hemisphere-ecb-group-and-the-government-of-paraguay-come-together-to-produce-advanced-biofuels</t>
  </si>
  <si>
    <t>https://www.gasworld.com/toyota-to-build-74m-hydrogen-hub/2016842.article</t>
  </si>
  <si>
    <t>https://www.sharecast.com/news/aim-bulletin/itm-power-sells-electrolyser-to-toyota-australia--3798013.html</t>
  </si>
  <si>
    <t>https://www.energymatters.com.au/renewable-news/hydrogen-from-solar-power/</t>
  </si>
  <si>
    <t>http://www.renewablessa.sa.gov.au/content/uploads/2019/01/hydrogen-rd-in-sa-report-nov2018.pdf</t>
  </si>
  <si>
    <t>https://www.hysyngas.de/#powertogas</t>
  </si>
  <si>
    <t>https://thewest.com.au/business/energy/yara-aims-to-move-wa-into-green-hydrogen-ng-b881106808z</t>
  </si>
  <si>
    <t>https://www.nouryon.com/news-and-events/news-overview/2019/bp-nouryon-and-port-of-rotterdam-partner-on-green-hydrogen-study/</t>
  </si>
  <si>
    <t>https://www.deltalinqs.nl/h-vision-en</t>
  </si>
  <si>
    <t>https://www.northerngasnetworks.co.uk/event/h21-launches-national/</t>
  </si>
  <si>
    <t>https://nelhydrogen.com/press-release/nel-asa-awarded-multi-billion-nok-electrolyzer-and-fueling-station-contract-by-nikola/</t>
  </si>
  <si>
    <t>http://www.teessidecollective.co.uk/wp-content/uploads/2015/06/Teesside-Collective-Executive-Summary.pdf</t>
  </si>
  <si>
    <t>https://www.google.com/url?sa=t&amp;rct=j&amp;q=&amp;esrc=s&amp;source=web&amp;cd=1&amp;cad=rja&amp;uact=8&amp;ved=2ahUKEwjE9qOVw_fhAhWD4YUKHXbAA1EQFjAAegQIAhAC&amp;url=https%3A%2F%2Fwww.uniper.energy%2Fnews%2Fdownload%2F702078%2F20190425-jointpressrelease-uniper-realworld-laboratory-lingen-en-980949.pdf&amp;usg=AOvVaw3QdBzSn7YcCG2garMnL725</t>
  </si>
  <si>
    <t>https://www.lakecharlesmethanol.com/</t>
  </si>
  <si>
    <t>https://skynrg.com/press-releases/klm-skynrg-and-shv-energy-announce-project-first-european-plant-for-sustainable-aviation-fuel/</t>
  </si>
  <si>
    <t>https://www.e-bridge.com/wp-content/uploads/2019/04/reNEWS_April-2019.pdf</t>
  </si>
  <si>
    <t>https://www.drax.com/press_release/energy-companies-announce-new-zero-carbon-uk-partnership-ccus-hydrogen-beccs-humber-equinor-national-grid/</t>
  </si>
  <si>
    <t>https://www.wvresc.com/</t>
  </si>
  <si>
    <t>https://www.toyota-tsusho.com/english/press/detail/170929_004155.html</t>
  </si>
  <si>
    <t>https://www.japanccs.com/en/</t>
  </si>
  <si>
    <t>https://www.toshiba.co.jp/about/press/2015_04/pr2001.htm</t>
  </si>
  <si>
    <t>https://www.toshiba.co.jp/about/press/2016_07/pr1401.htm</t>
  </si>
  <si>
    <t>https://www.toshiba.co.jp/about/press/2016_03/pr2403.htm</t>
  </si>
  <si>
    <t>https://www.equinor.com/en/news/evaluating-conversion-natural-gas-hydrogen.html</t>
  </si>
  <si>
    <t>https://www.open-grid-europe.com/cps/rde/oge-internet/hs.xsl/H2morrow-3571.htm</t>
  </si>
  <si>
    <t>https://www.norled.no/en/news/partners-receive-pilot-e-support-to-develop-liquid-hydrogen-supply-chain-for-maritime-applications-in-norway/</t>
  </si>
  <si>
    <t>https://news.rwe.com/en/rwe-and-innogy-investigate-production-of-green-hydrogen-in-the-netherlands/</t>
  </si>
  <si>
    <t>https://arena.gov.au/news/renewable-hydrogen-could-power-moranbah-ammonia-facility/</t>
  </si>
  <si>
    <t>https://bioenergyinternational.com/storage-logistics/everfuel-and-shell-enter-into-strategic-collaboration-on-a-large-scale-hydrogen-plant</t>
  </si>
  <si>
    <t>https://www.refiningandpetrochemicalsme.com/products-services/26715-air-liquide-signs-long-term-deal-to-provide-hydrogen-to-pilipinas-shells-tabangao-refinery</t>
  </si>
  <si>
    <t>http://www.carboncapturejournal.com/ViewNews.aspx?NewsID=4220</t>
  </si>
  <si>
    <t>https://www.bloomberg.com/news/articles/2019-10-08/siemens-backs-mega-green-power-hydrogen-project-in-australia</t>
  </si>
  <si>
    <t>https://hydeploy.co.uk/</t>
  </si>
  <si>
    <t>https://www.powerengineeringint.com/2020/01/28/hyport-ostend-green-hydrogen-to-advance-belgian-energy-transition/</t>
  </si>
  <si>
    <t>https://press.siemens.com/global/en/pressrelease/siemens-delivers-pem-electrolyzer-salzgitter-ag</t>
  </si>
  <si>
    <t>http://www.renewablessa.sa.gov.au/topic/hydrogen/hydrogen-projects</t>
  </si>
  <si>
    <t>http://www.renewablessa.sa.gov.au/topic/hydrogen/hydrogen-projects/hydrogen-park-south-australia</t>
  </si>
  <si>
    <t>https://hydrogenenergysupplychain.com/</t>
  </si>
  <si>
    <t>https://www.green-industrial-hydrogen.com/</t>
  </si>
  <si>
    <t>http://www.hybritdevelopment.com/articles/three-hybrit-pilot-projects</t>
  </si>
  <si>
    <t>https://hynet.co.uk/</t>
  </si>
  <si>
    <t>https://fuelcellsworks.com/news/hydrogen-pilot-project-h2morrow-to-support-deep-decarbonization-of-german-industry/</t>
  </si>
  <si>
    <t>https://www.h21.green/projects/h21-north-of-england/</t>
  </si>
  <si>
    <t>2019 Global Status of CCS report, https://www.globalccsinstitute.com/resources/global-status-report/</t>
  </si>
  <si>
    <t>http://h2vnormandy-concertation.net/comprendre-projet/</t>
  </si>
  <si>
    <t>http://h2v59-concertation.net/comprendre-projet/</t>
  </si>
  <si>
    <t>https://arena.gov.au/projects/atco-hydrogen-microgrid/</t>
  </si>
  <si>
    <t>https://www.atco.com/en-au/projects/clean-energy-innovation-hub.html</t>
  </si>
  <si>
    <t>https://arena.gov.au/news/hydrogen-to-be-trialled-in-nsw-gas-networks/</t>
  </si>
  <si>
    <t>https://www.yara.com/news-and-media/news/archive/2019/yara-and-engie-to-test-green-hydrogen-technology-in-fertilizer-production/</t>
  </si>
  <si>
    <t>Innovation Insights Brief, 2019. New Hydrogen Economy - Hope or Hype? - World Energy Council</t>
  </si>
  <si>
    <t>https://www.agig.com.au/pioneering-sa-hydrogen-facility</t>
  </si>
  <si>
    <t>https://fuelcellsworks.com/news/arcadis-hoogeveen-and-livefree-realize-the-first-hydrogen-based-residential-area-in-the-netherlands/</t>
  </si>
  <si>
    <t>https://ramboll.com/media/rgr/carbon-capture-and-e-fuel-production-in-greenland</t>
  </si>
  <si>
    <t>https://www.get-h2.de/en/project-lingen/</t>
  </si>
  <si>
    <t>https://fuelcellsworks.com/news/1-28m-arena-backing-for-agn-to-establish-the-australian-hydrogen-centre/</t>
  </si>
  <si>
    <t>https://www.pv-magazine.com/2020/03/02/hydrogen-production-coupled-to-solar-and-storage-to-debut-in-spain/</t>
  </si>
  <si>
    <t>https://www.entsog.eu/power-green-hydrogen-mallorca</t>
  </si>
  <si>
    <t>https://energiepark-bad-lauchstaedt.de/#reallabor-zur-intelligenten-erzeugung-speicherung-transport-und-nutzung-von-gruenem-wasserstoff</t>
  </si>
  <si>
    <t>https://static1.squarespace.com/static/5d3f0387728026000121b2a2/t/5d9f24f459c7f056aca5a74f/1570710781671/4.A+Green+Spider+project.pdf</t>
  </si>
  <si>
    <t>https://investor.fce.com/press-releases/press-release-details/2023/FuelCell-Energy-and-Toyota-Announce-Completion-of-Worlds-First-Tri-gen-Production-System/default.aspx</t>
  </si>
  <si>
    <t>https://crystalbrookenergypark.com.au/</t>
  </si>
  <si>
    <t>https://thewest.com.au/business/energy/hazer-group-wants-to-make-clean-hydrogen-from-perth-sewerage-ng-b881217005z</t>
  </si>
  <si>
    <t>https://www.csiro.au/en/Do-business/Futures/Reports/Hydrogen-Roadmap</t>
  </si>
  <si>
    <t>https://www.greencarcongress.com/2020/03/20200308-fh2r.html</t>
  </si>
  <si>
    <t>https://www.sciencedirect.com/science/article/pii/S1464285918303328</t>
  </si>
  <si>
    <t>https://www.ammoniaenergy.org/articles/renewable-hydrogen-in-fukushima-and-a-bridge-to-the-future/</t>
  </si>
  <si>
    <t>https://nelhydrogen.com/press-release/nel-asa-received-purchase-order-for-a-1-mw-containerized-pem-electrolyzer-in-the-us/</t>
  </si>
  <si>
    <t>https://nelhydrogen.com/press-release/nel-asa-receives-purchase-order-for-h2station-fueling-station-solution-for-taxis-in-copenhagen/</t>
  </si>
  <si>
    <t>https://nelhydrogen.com/press-release/press-release-everfuel-awarded-grant-for-the-establishment-of-a-large-scale-hydrogen-production-facility-in-denmark/</t>
  </si>
  <si>
    <t>https://www.sunfire.de/en/company/news/detail/first-commercial-plant-for-the-production-of-blue-crude-planned-in-norway</t>
  </si>
  <si>
    <t>https://www.supergen-bioenergy.net/wp-content/uploads/2019/06/Bioenergy-and-waste-gasification-report-2019.pdf</t>
  </si>
  <si>
    <t>https://www.certifhy.eu/project-description/pilot-projects.html</t>
  </si>
  <si>
    <t>https://fr.media.airliquide.com/actualites/premiere-mondiale-air-liquide-inaugure-cryocaptm-une-technologie-de-captage-de-co2-par-le-froid-aadd-1ba6d.html</t>
  </si>
  <si>
    <t>https://www.smart-energy.com/renewable-energy/engie-signs-cooperation-deal-to-participate-in-hygreen-provence-project-air-liquede/</t>
  </si>
  <si>
    <t>https://www.engie.com/business-case/engie-x-hygreen</t>
  </si>
  <si>
    <t>https://new.siemens.com/mea/en/company/stories/energy/a-trailblazer-of-green-hydrogen.html</t>
  </si>
  <si>
    <t>https://group.vattenfall.com/press-and-media/news--press-releases/pressreleases/2019/hybrit-sek-200-million-invested-in-pilot-plant-for-storage-of-fossil-free-hydrogen-in-lulea</t>
  </si>
  <si>
    <t>https://netl.doe.gov/sites/default/files/netl-file/1130-Wabash-CarbonSAFE-Christopher-Korose-Weds-1130am.pdf</t>
  </si>
  <si>
    <t>https://www.h2future-project.eu/</t>
  </si>
  <si>
    <t>https://www.ocap.nl/nl/</t>
  </si>
  <si>
    <t>https://www.ocap.nl/nl/images/OCAP_Factsheet_English_tcm978-561158.pdf</t>
  </si>
  <si>
    <t>http://documents.ieaghg.org/index.php/s/4hyafrmhu2bobOs/download</t>
  </si>
  <si>
    <t>https://www.hydrogen.energy.gov/pdfs/htac_dec18_05_brown.pdf</t>
  </si>
  <si>
    <t>https://actl.ca/</t>
  </si>
  <si>
    <t>https://nwrsturgeonrefinery.com/</t>
  </si>
  <si>
    <t>https://sequestration.mit.edu/tools/projects/quest.html</t>
  </si>
  <si>
    <t>https://www.energy.gov/sites/prod/files/2015/01/f19/EIS-0464-FEIS-Volume-1-2013.pdf</t>
  </si>
  <si>
    <t>https://www.moreland.vic.gov.au/about-us/projects/environmental-projects/renewable-hydrogen-waste-truck/</t>
  </si>
  <si>
    <t>https://www.nederlandwereldwijd.nl/binaries/nederlandwereldwijd/documenten/publicaties/2019/03/01/waterstof-in-china/Holland+Innovation+Network+in+China+-+Hydrogen+developments.+January+2019.pdf</t>
  </si>
  <si>
    <t>https://hy-gro.net/en/newsitem/stadsdistributie-op-waterstof-stap-dichterbij-door-bouw-tankstation-in-alkmaar</t>
  </si>
  <si>
    <t>https://hydrospider.ch/en/production_niedergoesgen/</t>
  </si>
  <si>
    <t>https://www.gp-joule.de/referenzen/efarm</t>
  </si>
  <si>
    <t>https://fuelcellsworks.com/news/first-hydrogen-bus-arrives-in-wuppertal-hydrogen-plant-completed-in-february-2020/</t>
  </si>
  <si>
    <t>https://www.sarawakenergy.com/media-info/media-releases/2019/sarawak-launches-south-east-asias-first-integrated-hydrogen-production-plant-and-refueling-station-unveils-hydrogen-buses</t>
  </si>
  <si>
    <t>https://arena.gov.au/news/hydrogen-gives-new-life-to-toyotas-altona-car-manufacturing-plant/</t>
  </si>
  <si>
    <t>https://www.deme-group.com/news/deme-and-partners-present-hyportrduqm-large-scale-green-hydrogen-project-oman-1</t>
  </si>
  <si>
    <t>http://chuneng.bjx.com.cn/news/20200310/1052255.shtml</t>
  </si>
  <si>
    <t>https://www.cenews.com.cn/company/201912/t20191227_923699.html</t>
  </si>
  <si>
    <t>https://global.toyota/en/detail/17737009/?_ga=2.49045219.475090875.1584111475-24855421.1580488882</t>
  </si>
  <si>
    <t>https://www.cpuc.ca.gov/uploadedFiles/CPUC_Website/Content/Utilities_and_Industries/Energy/Energy_Programs/Gas/Natural_Gas_Market/Nov13LADWP.pdf</t>
  </si>
  <si>
    <t>https://www.spglobal.com/platts/en/market-insights/latest-news/coal/031020-cea-led-consortium-launches-26-mw-rotterdam-green-h2-project</t>
  </si>
  <si>
    <t>https://energyobserver.sharepoint.com/sites/energy-observer/Dpartement%20communication/Forms/AllItems.aspx?id=%2Fsites%2Fenergy%2Dobserver%2FDpartement%20communication%2FCREATION%2FBILAN%20ENERGETIQUE%202018%2FElectrolyser%2Epdf&amp;parent=%2Fsites%2Fenergy%2Dobserver%2FDpartement%20communication%2FCREATION%2FBILAN%20ENERGETIQUE%202018&amp;p=true&amp;originalPath=aHR0cHM6Ly9lbmVyZ3lvYnNlcnZlci5zaGFyZXBvaW50LmNvbS86Yjovcy9lbmVyZ3ktb2JzZXJ2ZXIvRVFYSG9seWZaVGRGbWw3VVgzV0tfUG9CQk9XQ3AxYjlncDJ3aHhxdEZVdEpYZz9ydGltZT03QkpVR1lySjEwZw</t>
  </si>
  <si>
    <t>https://www.deme-group.com/news/hyportr-green-hydrogen-plant-ostend</t>
  </si>
  <si>
    <t>http://www.act-ccs.eu/elegancy</t>
  </si>
  <si>
    <t>https://www.haeolus.eu/?page_id=531</t>
  </si>
  <si>
    <t>https://www.jupiter1000.eu/english</t>
  </si>
  <si>
    <t>https://cordis.europa.eu/project/id/700092</t>
  </si>
  <si>
    <t>https://www.storeandgo.info/about-the-project/</t>
  </si>
  <si>
    <t>https://exytron.online/en/news/</t>
  </si>
  <si>
    <t>https://www.balance-project.org/projects</t>
  </si>
  <si>
    <t>https://www.australiangasnetworks.com.au/our-business/about-us/media-releases/gas-groups-hydrogen-push-moves-into-queensland</t>
  </si>
  <si>
    <t>https://research.csiro.au/hyresource/queensland-nitrates-renewable-hydrogen-and-ammonia-project/</t>
  </si>
  <si>
    <t>https://new.siemens.com/au/en/company/press-centre/2019/murchison-renewable-hydrogen-project.html</t>
  </si>
  <si>
    <t>https://www.klimaatakkoord.nl/documenten/publicaties/2019/06/28/national-climate-agreement-the-netherlands</t>
  </si>
  <si>
    <t>https://www.gasunie.nl/en/news/europes-largest-green-hydrogen-project-starts-in-groningen</t>
  </si>
  <si>
    <t>https://www.next-kraftwerke.com/company/case-studies/electrolysis-hydrogen-with-excess-renewables</t>
  </si>
  <si>
    <t>https://www.energiepark-mainz.de/artikel-detailseite/article/langfristige-zukunft-fuer-den-energiepark-mainz/</t>
  </si>
  <si>
    <t>http://www.surfnturf.org.uk/page/hydrogen</t>
  </si>
  <si>
    <t>https://www.energate-messenger.de/news/200507/power-to-gas-micro-pyros-geht-in-die-insolvenz</t>
  </si>
  <si>
    <t>http://www.renewableenergyfocus.com/view/42805/rwe-starts-up-power-to-gas-plant-in-germany-featuring-itm-power-electrolyser/</t>
  </si>
  <si>
    <t>https://www.rh2-wka.de/chronik.html</t>
  </si>
  <si>
    <t>https://www.sciencedaily.com/releases/2015/01/150109045544.htm</t>
  </si>
  <si>
    <t>http://www.don-quichote.eu/</t>
  </si>
  <si>
    <t>http://h2b2.es/h2b2-has-finished-the-delivery-and-commissioning-of-an-electrolyser-system-to-vtt-technical-research-centre-of-finland-ltd/</t>
  </si>
  <si>
    <t>https://www.hytep.cz/projects/visegrad/images/news/hydrogen-mobility-in-visegrad-countries/H2nodes_Riga_transport_CZ_workshop_23_september_2019.pdf</t>
  </si>
  <si>
    <t>https://www.h2nodes.eu/</t>
  </si>
  <si>
    <t>https://www.engie.com/en/journalists/press-releases/largest-hydrogen-utility-fleet-alternative-multi-fuel-station</t>
  </si>
  <si>
    <t>http://www.afhypac.org/documents/divers/AFHYPAC_H2regions_2017-06-09_web.pdf</t>
  </si>
  <si>
    <t>https://p2gconference.com/news/north-america%E2%80%99s-first-power-to-gas-energy-storage-facility-using-hydrogen.html</t>
  </si>
  <si>
    <t>https://www.energystock.com/about-energystock/the-hydrogen-project-hystock</t>
  </si>
  <si>
    <t>https://www.proactiveinvestors.co.uk/companies/news/222913/itm-power-announces-opening-of-gasunies-hystock-green-hydrogen-plant-222913.html</t>
  </si>
  <si>
    <t>https://www.spglobal.com/platts/es/market-insights/latest-news/electric-power/012420-dutch-20-mw-green-hydrogen-electrolyzer-project-secures-eu-funding</t>
  </si>
  <si>
    <t>https://bioenergyinternational.com/storage-logistics/gasunie-invest-first-1-mw-power-gas-installation-netherlands</t>
  </si>
  <si>
    <t>https://www.underground-sun-storage.at/en.html</t>
  </si>
  <si>
    <t>https://mcphy.com/en/press-releases/power_plant_cooling_on_site_hydrogen_production/</t>
  </si>
  <si>
    <t>https://www.reflex-energy.eu/</t>
  </si>
  <si>
    <t>https://www.naturgy.com/conocenos/innovacion_y_futuro/plan_de_innovacion_tecnologica/ris3cat_cosin_combustibles_sinteticos</t>
  </si>
  <si>
    <t>https://www.ademe.fr/sites/default/files/assets/documents/02_the_japanese_policy-t_nagai.pdf</t>
  </si>
  <si>
    <t>https://www.sciencedirect.com/science/article/pii/S1464285918300506</t>
  </si>
  <si>
    <t>https://www.hydrogenics.com/2017/04/21/hydrogenics-selected-as-technology-provider-for-sunline-transit-agency/</t>
  </si>
  <si>
    <t>https://www.hydrogenics.com/2016/11/01/hydrogenics-enters-into-strategic-collaboration-with-stratosfuel-for-2-5-mw-power-to-gas-project-in-california/</t>
  </si>
  <si>
    <t>https://etipwind.eu/wp-content/uploads/A2-Hydrogenics_v2.pdf</t>
  </si>
  <si>
    <t>http://www.mefco2.eu/mefco2.php</t>
  </si>
  <si>
    <t>https://public.tableau.com/views/HydrogenPowerProjects/Dashboard1?:embed=y&amp;:display_count=yes&amp;publish=yes&amp;:origin=viz_share_link&amp;:showVizHome=no</t>
  </si>
  <si>
    <t>https://energyandmines.com/2017/06/worlds-first-247-solar-hydrogen-lithium-energy-storage-microgrid-comes-online/</t>
  </si>
  <si>
    <t>https://mcphy.com/fr/realisations/fahyence/</t>
  </si>
  <si>
    <t>https://www.engie-cofely.fr/publications/hydrogene-renouvelable-cea-grenoble/</t>
  </si>
  <si>
    <t>https://www.co2value.eu/wp-content/uploads/2019/09/2.-CRI.pdf</t>
  </si>
  <si>
    <t>https://www.dena.de/fileadmin/dena/Dokumente/Veranstaltungen/PtG-Dialogforum_III/Praesentationen/6_Karl_Hauptmeier_sunfire_GmbH.pdf</t>
  </si>
  <si>
    <t>https://www.yara.com/news-and-media/news/archive/2019/yara-and-nel-carbon-free-hydrogen-for-fertilizer-production/</t>
  </si>
  <si>
    <t>https://static1.squarespace.com/static/5d3f0387728026000121b2a2/t/5e2061aff0b63e06cfe3bfa5/1579180467000/13_200115_GreenFlamingo_IPCEI+Workshop+15+Jan20+V7.1.pdf</t>
  </si>
  <si>
    <t>https://cordis.europa.eu/project/id/779430</t>
  </si>
  <si>
    <t>https://cordis.europa.eu/project/id/875123/pl</t>
  </si>
  <si>
    <t>https://www.hydrogen4climateaction.eu/programme</t>
  </si>
  <si>
    <t>https://newenergycoalition.org/en/gzi-next-plan-for-construction-of-hydrogen-plant-in-emmen-parties-sign-letter-of-intent/</t>
  </si>
  <si>
    <t>https://cordis.europa.eu/project/id/826089</t>
  </si>
  <si>
    <t>https://www.remote-euproject.eu/remote-project/</t>
  </si>
  <si>
    <t>https://www.umweltfoerderung.at/fileadmin/user_upload/pics/allgemein/News/Innovation_Fund_092019/7_Langhammer_D_OMV_UpHy.pdf</t>
  </si>
  <si>
    <t>https://www.solarserver.de/2020/02/05/industrielle-power-to-gas-anlage-in-der-schweiz/</t>
  </si>
  <si>
    <t>https://www.erneuerbareenergien.de/1-spatenstich-fuer-buergerwindpark-mit-speicherloesung</t>
  </si>
  <si>
    <t>https://www.h-tec.com/anwendungen/stromlueckenfueller/</t>
  </si>
  <si>
    <t>https://www.hydrogendays.cz/2016/admin/scripts/source/presentations/PL%2005_%20Denis%20Thomas_HDs2016.pdf</t>
  </si>
  <si>
    <t>https://www.portofantwerp.com/en/news/port-antwerp-brings-different-players-together-produce-sustainable-methanol</t>
  </si>
  <si>
    <t>https://hydrogeneurope.eu/sites/default/files/2019-09/2019Q3_HYDROGENICS_Renewable%20Hydrogen-compressed.pdf</t>
  </si>
  <si>
    <t>https://www.portofoostende.be/sites/default/files/PPT-Facts%26Myths-2019_09_17-02_Dennis-Thomas_Hydrogenics.pdf</t>
  </si>
  <si>
    <t>https://static1.squarespace.com/static/5d3f0387728026000121b2a2/t/5e2063e74301a9378dc8b111/1579181032322/06_200113_VNG_CoverAndSlides+VNG+Pitch+%28ID+7818800%29.pdf</t>
  </si>
  <si>
    <t>https://group.vattenfall.com/press-and-media/news--press-releases/pressreleases/2019/hybrit-orders-norwegain-electrolyzers-for-fossil-free-steel-production-in-lulea</t>
  </si>
  <si>
    <t>http://www.ptg-bw.de/</t>
  </si>
  <si>
    <t>http://www.ieabioenergy.com/wp-content/uploads/2017/10/4_Hybridwerk_Aarmatt_A.Lochbrunner.pdf</t>
  </si>
  <si>
    <t>http://h2est.ee/wp-content/uploads/2017/09/H2Nodes-NT-Bene-Raigo-Pert.pdf</t>
  </si>
  <si>
    <t>https://www.lemvigbiogas.com/MeGa-stoREfinalreport.pdf</t>
  </si>
  <si>
    <t>https://oge.net/en/us/projects/westkueste-100</t>
  </si>
  <si>
    <t>https://www.hzwei.info/blog/2019/04/15/energiewende-als-gemeinschaftsprojekt/</t>
  </si>
  <si>
    <t>https://cordis.europa.eu/project/id/875090/pl</t>
  </si>
  <si>
    <t>https://www.efzn.de/fileadmin/documents/Niedersaechsische_Energietage/Vortr%C3%A4ge/2019/NET2019_FF4_04_Veldkamp.pdf</t>
  </si>
  <si>
    <t>https://opwegmetwaterstof.nl/wp-content/uploads/2019/12/NEC_Hydrogen-Valley-Noord-Nederland.pdf</t>
  </si>
  <si>
    <t>https://stad.gent/sites/default/files/media/documents/20191106_PU_CCUhub_Rapport%20A4%20EN.pdf</t>
  </si>
  <si>
    <t>https://www.kopernikus-projekte.de/projekte/p2x</t>
  </si>
  <si>
    <t>https://www.sunfire.de/en/company/news/detail/sunfire-partners-with-total-on-highly-efficient-hydrogen-technology</t>
  </si>
  <si>
    <t>https://www.sunfire.de/en/company/news/detail/multiplhy-green-hydrogen-for-renewable-products-refinery-in-rotterdam</t>
  </si>
  <si>
    <t>https://www.sunfire.de/de/unternehmen/news/detail/naechste-generation-der-hochtemperatur-elektrolyse-gestartet</t>
  </si>
  <si>
    <t>https://meltwater.pressify.io/publication/5e79bf403083780004d7cb4c/5df7589de3f2f21000aa4852?&amp;sh=false</t>
  </si>
  <si>
    <t>https://www.liquidwind.se/</t>
  </si>
  <si>
    <t>https://www.fluxys.com/en/press-releases/fluxys-group/2020/200227_press_hyoffwind_installation</t>
  </si>
  <si>
    <t>https://nelhydrogen.com/press-release/press-release-nel-receives-purchase-order-for-a-3-5-mw-electrolyser-from-engie/</t>
  </si>
  <si>
    <t>www.westkueste100.de</t>
  </si>
  <si>
    <t>https://www.uniper.energy/storage/what-we-do/power-to-gas</t>
  </si>
  <si>
    <t>https://zenodo.org/record/3464775#.Xo96YMgzY2z</t>
  </si>
  <si>
    <t>https://mcphy.com/fr/communiques/hydrogene-industriel-projet-20-mw-aux-pays-bas/</t>
  </si>
  <si>
    <t>https://www.hydrogenics.com/2017/04/06/hydrogenics-awarded-funding-to-build-two-hydrogen-fueling-stations-for-the-greater-toronto-area-gta/</t>
  </si>
  <si>
    <t>https://engineered.thyssenkrupp.com/en/climateprotection-carbon2chem-when-emissions-become-valuable-substances/</t>
  </si>
  <si>
    <t>https://www.hydrogenics.com/2017/03/23/hydrogenics-awarded-contract-to-provide-electrolyzers-to-doosan-babcock-for-aberdeen-exhibition-conference-centre/</t>
  </si>
  <si>
    <t>http://www.h2susbuild.ntua.gr/Default.aspx</t>
  </si>
  <si>
    <t>https://www.sciencedirect.com/science/article/pii/S0360319908007027</t>
  </si>
  <si>
    <t>https://www.sciencedirect.com/science/article/pii/S0360319908015619#sec4</t>
  </si>
  <si>
    <t>https://www.dnvgl.com/oilgas/perspectives/heating-dutch-homes-with-hydrogen.html</t>
  </si>
  <si>
    <t>https://www.actaspa.com/projects/hydrogen-generator-demonstrated-by-abengoa/</t>
  </si>
  <si>
    <t>https://www.universita.corsica/en/research/myrte/</t>
  </si>
  <si>
    <t>https://polytech.univ-nantes.fr/une-ecole-sur-3-campus/actualites/le-demonstrateur-power-to-gas-entre-en-service-sur-le-site-de-la-chantrerie--2180311.kjsp</t>
  </si>
  <si>
    <t>https://ife.no/en/laboratory/n-fch-systems-laboratory/</t>
  </si>
  <si>
    <t>https://diamondlite.com/wp-content/uploads/2017/06/EFCF-2015_Paper_B1505_Hybrid-plant-Aarmatt-a-novel-concept-applying-PEM-electrolysis_Rindlisbacher_Marcel_01.pdf</t>
  </si>
  <si>
    <t>http://www.afhypac.org/documents/tout-savoir/Fiche%209.5%20-%20Power-to-gas%20-%20rev%20mars2017%20ThA.pdf</t>
  </si>
  <si>
    <t>https://slideplayer.com/slide/4218317/</t>
  </si>
  <si>
    <t>http://www.labtech-hydrogen.com/index.php?page=IHAVU</t>
  </si>
  <si>
    <t>BNEF - Hydrogen Economy Outlook</t>
  </si>
  <si>
    <t>http://www.teessidecollective.co.uk/project/what-we-do/</t>
  </si>
  <si>
    <t>https://pale-blu.com/acorn/</t>
  </si>
  <si>
    <t>https://nelhydrogen.com/press-release/nel-asa-awarded-contract-with-asko-for-hydrogen-production-and-fueling-solution-in-trondheim/</t>
  </si>
  <si>
    <t>https://www.navy.mil/submit/display.asp?story_id=92948</t>
  </si>
  <si>
    <t>https://news.bloombergenvironment.com/environment-and-energy/chinas-ningxia-plans-198-million-solar-hydrogen-project</t>
  </si>
  <si>
    <t>https://www.sciencedirect.com/science/article/pii/S1464285915301243</t>
  </si>
  <si>
    <t>https://windeurope.org/wp-content/uploads/files/misc/20190130-p2g-workshop/190129-4-Wind2hydrogen-OMV.pdf</t>
  </si>
  <si>
    <t>https://www.zerocarbonhumber.co.uk/wp-content/uploads/2019/11/HUMBER-DIGITAL-V4.6-reduced.pdf</t>
  </si>
  <si>
    <t>http://www.rtsafrica.co.za/Documents/NEL%20Hydrogen%20Brochure.pdf</t>
  </si>
  <si>
    <t>https://www.greencarcongress.com/2016/03/20160304-h2logic.html</t>
  </si>
  <si>
    <t>http://www.lifesciencesite.com/lsj/life0904/028_10515life0904_191_196.pdf</t>
  </si>
  <si>
    <t>https://www.worldenergy.org/assets/downloads/1Hydrogen-an-enabler-of-the-Grand-Transition_FEL_WEC_2018_Final.pdf</t>
  </si>
  <si>
    <t>http://www.amm-mcrc.org/Download/source/MCRCBrouchure.pdf</t>
  </si>
  <si>
    <t>https://www.arci.res.in/facilities-cfct#302</t>
  </si>
  <si>
    <t>https://www.hitachizosen.co.jp/english/news/2019/10/003405.html</t>
  </si>
  <si>
    <t>https://blog.topsoe.com/topsoe-to-build-demonstration-plant-to-produce-cost-competitive-co2-neutral-methanol-from-biogas-and-green-electricity</t>
  </si>
  <si>
    <t>https://futuregas.dk/wp-content/uploads/2018/06/FutureGas-WP1-Deliverable-1.1.1.-Technologies-and-status-of-methanation-of-biogas-2017_Final.pdf</t>
  </si>
  <si>
    <t>https://www.greencarcongress.com/2020/02/20200219-gigastack.html</t>
  </si>
  <si>
    <t>https://asianrehub.com/about/</t>
  </si>
  <si>
    <t>https://www.pv-magazine.com/2019/10/08/siemens-backs-5-gw-green-hydrogen-plan-for-australia/</t>
  </si>
  <si>
    <t>https://www.rechargenews.com/transition/portugal-plans-5bn-green-hydrogen-plant-to-lead-covid-fightback-report/2-1-801284</t>
  </si>
  <si>
    <t>http://www.haeolus.eu/wp-content/uploads/2020/04/SINTEF-2020-00179.pdf</t>
  </si>
  <si>
    <t>https://ijglobal.com/articles/147180/western-australia-green-hydrogen-project-progressing</t>
  </si>
  <si>
    <t>https://www.pv-magazine.com/2020/04/30/chinese-coal-miner-starts-work-on-worlds-biggest-green-hydrogen-facility/</t>
  </si>
  <si>
    <t>https://allesoverwaterstof.nl/mega-waterstofproject-opgestart-in-nieuwegein/</t>
  </si>
  <si>
    <t>https://allesoverwaterstof.nl/film-nederlands-offshore-waterstofinstallatie-poshydon/</t>
  </si>
  <si>
    <t>https://www.ogauthority.co.uk/media/6220/ogauthoritysharepointcom-ssl-davwwwroot-sites-ecm-tbw3-documents-files-exchange-malcolm-workshop-slides-301019-neptune.pdf</t>
  </si>
  <si>
    <t>https://douglaspud.org/Pages/Bid-Document.aspx?biddocumentnumber=20-08-D</t>
  </si>
  <si>
    <t>Slidepack from TKI Nieuw Gas</t>
  </si>
  <si>
    <t>https://energiewerkplaatsbrabant.nl/nieuws+pnb/energiefestival+hoofdpagina/energiefestival+2019+-+presentaties/energiefestival+documenten+en+verslagen/handlerdownloadfiles.ashx?idnv=1492307</t>
  </si>
  <si>
    <t>https://www.h2-view.com/story/shell-wants-to-create-a-green-hydrogen-hub-in-the-port-of-rotterdam/</t>
  </si>
  <si>
    <t>https://www.bp.com/en/global/corporate/news-and-insights/press-releases/bp-australia-announces-feasibility-study-into-hydrogen-energy-production-facility.html</t>
  </si>
  <si>
    <t>https://www.chemengonline.com/new-power-to-methanol-project-announced-by-inovyn/?printmode=1</t>
  </si>
  <si>
    <t>https://hy-gro.net/en/newsitem/press-release-hydrogen-turbine-construction-starts?</t>
  </si>
  <si>
    <t>https://fuelcellsworks.com/news/poland-pgnig-launches-new-hydrogen-program/</t>
  </si>
  <si>
    <t>http://ely4off.eu/wp-content/uploads/2019/12/prd20191_ely4off.pdf</t>
  </si>
  <si>
    <t>http://www.seafuel.eu/es/inicio/</t>
  </si>
  <si>
    <t>https://www.ft.com/content/6d2c8d8a-a767-4e41-b0f9-3237dd711597?accessToken=zwAAAXJQhZAwkc9tLI2Kp2dOQdOw-TI33XEVlw.MEQCIFbbu4ednBgMr7ty8-leTb2ABXr6ZWZO8f7qIQdh2DBuAiArmcOs7I_iwQsuldRZyPtKHW3QuEPTIdd6OeJ-6prMfQ&amp;sharetype=gift?token=ceb073f4-fef6-4d9f-8f7c-555db5cefb96</t>
  </si>
  <si>
    <t>https://www.environmentalleader.com/2020/05/lancaster-renewable-hydrogen-project/</t>
  </si>
  <si>
    <t>https://www.h2-view.com/story/new-project-to-deploy-100-hydrogen-buses-in-australian-cities/</t>
  </si>
  <si>
    <t>https://www.greentechmedia.com/articles/read/orsted-to-power-decarbonization-hub-for-land-sea-and-air-transport?utm_medium=email&amp;utm_source=Daily&amp;utm_campaign=GTMDaily</t>
  </si>
  <si>
    <t>https://www.akersolutions.com/news/news-archive/2020/aker-solutions-starts-ccs-test-program-at-preem-refinery-in-sweden/</t>
  </si>
  <si>
    <t>https://www.prnewswire.co.uk/news-releases/launch-of-sweden-s-largest-carbon-capture-and-storage-plant-801623131.html</t>
  </si>
  <si>
    <t>https://fuelcellsworks.com/news/hyflexpower-the-worlds-first-integrated-power-to-x-to-power-hydrogen-gas-turbine-demonstrator/</t>
  </si>
  <si>
    <t>https://cordis.europa.eu/project/id/884229/es</t>
  </si>
  <si>
    <t>https://reneweconomy.com.au/massive-1000mw-baseload-wind-solar-and-hydrogen-plant-pitched-for-nsw-16049/</t>
  </si>
  <si>
    <t>https://www.norsk-e-fuel.com/en/</t>
  </si>
  <si>
    <t>http://www.renewableh2canada.ca/</t>
  </si>
  <si>
    <t>https://fuelcellsworks.com/news/canada-macquarie-capital-to-finance-new-200-plus-million-renewable-hydrogen-plant-in-chetwynd/</t>
  </si>
  <si>
    <t>https://fuelcellsworks.com/news/swedish-housing-powered-100-percent-by-sun-and-hydrogen/</t>
  </si>
  <si>
    <t>https://www.linkedin.com/pulse/swedish-public-housing-project-goes-off-grid-solar-h2-michael-jensen/</t>
  </si>
  <si>
    <t>https://www.thyssenkrupp.com/en/newsroom/press-releases/pressdetailpage/green-hydrogen-for-steel-production--rwe-and-thyssenkrupp-plan-partnership-82841</t>
  </si>
  <si>
    <t>https://www.statkraft.com/newsroom/news-and-stories/archive/2020/hydrogen-og-stal/</t>
  </si>
  <si>
    <t>https://www.engie-solutions.com/fr/actualites/station-hyport-toulouse-blagnac</t>
  </si>
  <si>
    <t>https://www.hydrogenics.com/2019/04/09/hydrogenics-to-deliver-first-green-hydrogen-production-station-to-new-zealand/</t>
  </si>
  <si>
    <t>https://www.lavenir.net/cnt/dmf20200529_01478987/feu-vert-de-l-executif-regional-pour-une-station-d-hydrogene</t>
  </si>
  <si>
    <t>https://www.h2-view.com/story/repsol-unveils-green-hydrogen-project/</t>
  </si>
  <si>
    <t>https://www.caranddriver.com/es/coches/planeta-motor/a32864845/combustible-sintetico-repsol/</t>
  </si>
  <si>
    <t>https://expresso.pt/economia/2019-12-11-EDP-avanca-com-dois-projetos-inovadores-para-produzir-hidrogenio</t>
  </si>
  <si>
    <t>Portuguese Hydrogen Strategy</t>
  </si>
  <si>
    <t>Australia's National Hydrogen Strategy</t>
  </si>
  <si>
    <t>https://www.fluxys.com/en/news/fluxys-belgium/2020/200422_news_gas_for_climate_study</t>
  </si>
  <si>
    <t>https://www.engie.cl/enaex-engie-la-transicion-hacia-el-cero-carbono-en-la-mineria-chilena/</t>
  </si>
  <si>
    <t>https://fuelcellsworks.com/news/sun-metals-to-build-queensland-first-renewable-hydrogen-plant/</t>
  </si>
  <si>
    <t>https://www.h2-view.com/story/plans-unveiled-for-north-queenslands-first-renewable-hydrogen-facility/</t>
  </si>
  <si>
    <t>https://www.equinor.com/en/what-we-do/h2hsaltend.html</t>
  </si>
  <si>
    <t>https://www.equinor.com/content/dam/statoil/image/equinor-images/h2h-saltend/equinor-H2H-saltend-brochure-2020.pdf</t>
  </si>
  <si>
    <t>https://en.media.airliquide.com/news/air-liquide-will-build-the-first-high-pressure-hydrogen-refueling-station-for-long-haul-trucks-in-europe-803c-56033.html</t>
  </si>
  <si>
    <t>https://www.toshiba-energy.com/en/hydrogen/results/index.htm</t>
  </si>
  <si>
    <t>https://www.thechemicalengineer.com/news/two-new-large-scale-ccus-facilities-now-in-operation/</t>
  </si>
  <si>
    <t>http://www.ptg-bw.de/presse/aktuelles/detailansicht.html?tx_news_pi1%5Bnews%5D=58&amp;tx_news_pi1%5Bcontroller%5D=News&amp;tx_news_pi1%5Baction%5D=detail&amp;cHash=37b9fda8cd1d5bfae6899a13f7064801</t>
  </si>
  <si>
    <t>https://www.spglobal.com/platts/en/market-insights/latest-news/electric-power/062620-swiss-based-hydrospider-goes-operational-for-mobility-sector</t>
  </si>
  <si>
    <t>https://www.h2-view.com/story/itm-power-provides-trading-update/</t>
  </si>
  <si>
    <t>https://www.toshiba-energy.com/en/info/info2020_0610.htm</t>
  </si>
  <si>
    <t>https://www.toshiba-energy.com/en/info/info2020_0123.htm</t>
  </si>
  <si>
    <t>https://www.toshiba-energy.com/en/info/info2019_1226.htm</t>
  </si>
  <si>
    <t>https://www.toshiba.co.jp/about/press/2016_03/pr1402.htm</t>
  </si>
  <si>
    <t>https://www.toshiba.co.jp/about/press/2016_04/pr2101.htm</t>
  </si>
  <si>
    <t>https://www.toshiba.co.jp/about/press/2017_07/pr1301.htm</t>
  </si>
  <si>
    <t>https://www.toshiba-energy.com/en/info/info2019_0322.htm</t>
  </si>
  <si>
    <t>https://www.toshiba-energy.com/en/info/info2019_0614.htm</t>
  </si>
  <si>
    <t>https://www.toshiba-energy.com/en/info/info2019_1030.htm</t>
  </si>
  <si>
    <t>https://www.powermag.com/worlds-first-integrated-hydrogen-power-to-power-demonstration-launched/</t>
  </si>
  <si>
    <t>https://www.engie-solutions.com/fr/actualites/hydrogene-michelin-morbihan</t>
  </si>
  <si>
    <t>https://energies.airliquide.com/air-liquide-build-first-world-scale-liquid-hydrogen-production-plant-dedicated-supply-hydrogen</t>
  </si>
  <si>
    <t>https://www.heraldo.es/noticias/aragon/2020/07/05/tren-hidrogeno-plasencia-del-monte-planta-energias-renivables-1384258.html?utm_source=twitter.com&amp;utm_medium=socialshare&amp;utm_campaign=desktop</t>
  </si>
  <si>
    <t>https://www.airliquide.com/united-states-america/air-liquide-committed-producing-renewable-hydrogen-west-coast-mobility-market</t>
  </si>
  <si>
    <t>https://newsroom.neom.com/air-products-acwa-power-and-neom-sign-agreement-for-5-billion-production-facility-in-neom-powered-by-renewable-energy-for-production-and-export-of-green-hydrogen-to-global-markets-321553#</t>
  </si>
  <si>
    <t>https://www.electrive.com/2020/06/17/barcelona-releases-tender-for-8-hydrogen-buses/</t>
  </si>
  <si>
    <t>https://www.7sur7.be/ecologie/des-bus-du-tec-charleroi-vont-rouler-a-l-hydrogene~aacd0a8a/</t>
  </si>
  <si>
    <t>https://www.idag.dk/article/view/726710/fra_ptxide_til_virkelighed_danmarks_forste_emethanolanlaeg_producerer_flydende_el</t>
  </si>
  <si>
    <t>https://www.obayashi.co.jp/news/detail/news20200709_1.html</t>
  </si>
  <si>
    <t>https://www.ft.com/content/19d3e1ff-748b-4e86-957a-8fe018f64b9b</t>
  </si>
  <si>
    <t>https://www.theguardian.com/environment/2020/jul/19/can-a-hydrogen-boom-fuel-a-green-recovery-for-britain</t>
  </si>
  <si>
    <t>https://fuelcellsworks.com/news/enagas-receives-eu-support-for-the-development-of-hydrogen-station-in-madrid/</t>
  </si>
  <si>
    <t>https://fuelcellsworks.com/news/mcphy-selected-to-equip-a-new-zero-carbon-hydrogen-station/</t>
  </si>
  <si>
    <t>https://www.h2-view.com/story/avias-first-hydrogen-station-opens-in-switzerland/</t>
  </si>
  <si>
    <t>https://renews.biz/61966/iberdrola-unveils-green-hydrogen-partnership/</t>
  </si>
  <si>
    <t>https://www.reuters.com/article/us-germany-hydrogen-heide/german-oil-refinery-to-build-30-mw-hydrogen-electrolysis-plant-idUSKBN24Z1FO</t>
  </si>
  <si>
    <t>https://www.rechargenews.com/transition/world-s-first-carbon-negative-hydrogen-project-gets-green-light/2-1-850916</t>
  </si>
  <si>
    <t>https://www.worldoil.com/news/2020/8/19/siemens-energy-launches-its-first-megawatt-green-hydrogen-production-project-in-china</t>
  </si>
  <si>
    <t>https://www.reuters.com/article/us-sweden-steel-hydrogen/swedens-hybrit-starts-operations-at-pilot-plant-for-fossil-free-steel-idUSKBN25R1PI</t>
  </si>
  <si>
    <t>https://cadenaser.com/ser/2020/09/02/ciencia/1599038500_420120.html</t>
  </si>
  <si>
    <t>https://www.reuters.com/article/germany-hydrogen-apex/germanys-apex-energy-launches-hydrogen-plant-near-rostock-idUSL8N2DP3WV</t>
  </si>
  <si>
    <t>https://www.eugcc-cleanergy.net/sites/default/files/3._session_1_damien_sage_engie.pdf</t>
  </si>
  <si>
    <t>Presentation Thyssen</t>
  </si>
  <si>
    <t>https://www.itm-power.com/news/first-project-to-deliver-a-10mw-electrolyser-to-glasgow-facility</t>
  </si>
  <si>
    <t>https://fuelcellsworks.com/news/siemens-to-build-large-co2-free-hydrogen-production-plant-in-southern-germany/</t>
  </si>
  <si>
    <t>https://greenhydrogen.dk/danish-minister-for-transport-officially-opens-ghs-hydrogen-refueling-station/</t>
  </si>
  <si>
    <t>https://www.greentechmedia.com/articles/read/shell-jv-wins-dutch-offshore-wind-tender-with-continuous-power-hybrid-project?utm_medium=email&amp;utm_source=Daily&amp;utm_campaign=GTMDaily</t>
  </si>
  <si>
    <t>https://www.topagrar.com/energie/news/neue-elektrolyse-eingeweiht-12107191.html</t>
  </si>
  <si>
    <t>https://www.green-industrial-hydrogen.com/project/news/sunfire-delivers-the-worlds-largest-high-temperatur-electrolyzer-to-salzgitter-flachstahl</t>
  </si>
  <si>
    <t>https://www.spglobal.com/platts/en/market-insights/latest-news/metals/061120-n-china-hydrogen-push-led-by-hydrogen-as-by-product-renewables</t>
  </si>
  <si>
    <t>https://sevilla.abc.es/economia/sevi-iberdrola-invertira-1000-millones-huelva-planta-hidrogeno-202009301424_noticia.html</t>
  </si>
  <si>
    <t>https://www.df.cl/noticias/empresas/energia/ame-y-enel-lanzan-proyecto-que-apostara-por-el-hidrogeno-verde-en-magallanes/2020-10-02/104647.html</t>
  </si>
  <si>
    <t>https://orsted.com/en/media/newsroom/news/2020/10/143404185982536</t>
  </si>
  <si>
    <t>https://www.alliander.com/nl/nieuws/deense-elektrolyser-maakt-waterstof-in-oosterwolde/</t>
  </si>
  <si>
    <t>https://www.h2-view.com/story/birmingham-orders-20-hydrogen-buses-to-kick-start-hydrogen-market/</t>
  </si>
  <si>
    <t>https://www.tyseleyenergy.co.uk/tyseley-refuelling-hub/</t>
  </si>
  <si>
    <t>https://www.miteco.gob.es/images/es/hojarutadelhidrogeno_tcm30-513830.pdf</t>
  </si>
  <si>
    <t>https://m.solarbe.com/21-0-330298-1.html?utm_campaign=China%20Clean%20Energy%20Syndicate%20&amp;utm_medium=email&amp;utm_source=Revue%20newsletter</t>
  </si>
  <si>
    <t>https://dieselprogress.com/cummins-to-supply-5-mw-hydrogen-electrolyzer-34112/</t>
  </si>
  <si>
    <t>https://www.h2-view.com/story/ghs-to-supply-electrolyser-to-p2x-project/</t>
  </si>
  <si>
    <t>https://fuelcellsworks.com/news/spain-reganosa-edp-renovaveis-investment-of-780-million-in-galicia-includes-a-100-mw-electrolysis-hydrogen-h2-production-plant/</t>
  </si>
  <si>
    <t>http://www.kit.edu/kit/pi_2019_107_kohlendioxidneutrale-kraftstoffe-aus-luft-und-strom.php</t>
  </si>
  <si>
    <t>https://fuelcellsworks.com/news/wind-and-solar-energy-hydrogen-hydrohub-fenne-to-become-a-real-world-laboratory/</t>
  </si>
  <si>
    <t>https://fuelcellsworks.com/news/zsw-green-hydrogen-production-at-power-to-gas-plant-in-grenzach-wyhlen-working-reliably/</t>
  </si>
  <si>
    <t>https://localhy.de/#intro</t>
  </si>
  <si>
    <t>https://www.uni-weimar.de/en/civil-engineering/chairs/energy-systems/research/current-projects/localhy/</t>
  </si>
  <si>
    <t>https://www.foederal-erneuerbar.de/best-practice-detailseite/items/power-to-gas-anlage-speist-biomethan-ins-erdgasnetz</t>
  </si>
  <si>
    <t>https://www.methquest.de/ueber-methquest/methfuel/</t>
  </si>
  <si>
    <t>https://www.energias-renovables.com/eolica/como-producir-hidrogeno-con-energia-eolica-20200417</t>
  </si>
  <si>
    <t>https://participa.pt/pt/consulta/en-h2-estrategia-nacional-para-o-hidrogenio</t>
  </si>
  <si>
    <t>https://www.pv-magazine.com/2020/07/30/portuguese-consortium-plans-1-gw-green-hydrogen-cluster/</t>
  </si>
  <si>
    <t>https://www.goeree-overflakkee.nl/duurzaam-go/waterstof_46733/item/h2go-programma_232204.html</t>
  </si>
  <si>
    <t>https://www.energiaestrategica.com/el-primer-proyecto-piloto-de-hidrogeno-verde-de-uruguay-podria-estar-operativo-en-2025/</t>
  </si>
  <si>
    <t>https://monolithmaterials.com/news/monolith-materials-carbon-free-ammonia-plant</t>
  </si>
  <si>
    <t>https://www.fch.europa.eu/press-releases/green-hysland-mallorca-first-green-hydrogen-project-mediterranean-country-due-get</t>
  </si>
  <si>
    <t>https://www.nrel.gov/aries/</t>
  </si>
  <si>
    <t>https://nelhydrogen.com/press-release/nel-asa-receives-purchase-order-for-a-1-25-mw-containerized-pem-electrolyser-from-nrel/</t>
  </si>
  <si>
    <t>https://engie-eps.com/corporate/engie-eps-hydrogen-technology-proven-to-make-microgrids-100-green-once-again/</t>
  </si>
  <si>
    <t>https://www.h2-view.com/story/construction-begins-on-antwerps-first-hydrogen-station/</t>
  </si>
  <si>
    <t>https://www.repsol.com/en/press-room/press-releases/2020/repsol-to-build-spains-first-advanced-biofuels-plant-in-cartagena.cshtml</t>
  </si>
  <si>
    <t>https://fuelcellsworks.com/news/australia-government-fast-tracking-worlds-largest-green-hydrogen-facility/?utm_source=FuelCellsWorks+Newsletter&amp;utm_campaign=4d9b91b692-NEWSLETTER_ISSUE_16&amp;utm_medium=email&amp;utm_term=0_b0517d6085-4d9b91b692-406702557&amp;mc_cid=4d9b91b692&amp;mc_eid=da4624d261</t>
  </si>
  <si>
    <t>https://news.cision.com/nel-asa/r/nel-signs-loi-with-statkraft-for-a-green-hydrogen-project-with-up-to-50mw-of-electrolyser-capacity,c3228323</t>
  </si>
  <si>
    <t>https://www.iberdrola.com/press-room/news/detail/iberdrola-fertiberia-place-spain-forefront-green-hydrogen-europe-with-1-8-billion-investment-projected-2027</t>
  </si>
  <si>
    <t>https://www.cfindustries.com/newsroom/2020/commitment-to-clean-energy-economy</t>
  </si>
  <si>
    <t>https://www.h2-view.com/story/cf-industries-to-construct-green-hydrogen-based-ammonia-facility-in-louisiana/</t>
  </si>
  <si>
    <t>https://www.linde.com/news-media/press-releases/2020/linde-to-produce-green-hydrogen-for-mobility-market-in-california</t>
  </si>
  <si>
    <t>https://www.irishtimes.com/business/ireland-s-first-green-hydrogen-project-to-come-on-stream-in-weeks-1.4399291</t>
  </si>
  <si>
    <t>https://www.h2-view.com/story/logan-energy-playing-a-major-role-in-northern-irelands-hydrogen-economy/</t>
  </si>
  <si>
    <t>https://www.liquidwind.se/flagships</t>
  </si>
  <si>
    <t>https://nelhydrogen.com/wp-content/uploads/2019/10/nel-q3-2014-presentation.pdf</t>
  </si>
  <si>
    <t>https://www.h2-view.com/story/south-australia-backs-240m-green-hydrogen-project/</t>
  </si>
  <si>
    <t>https://www.topsectorenergie.nl/sites/default/files/uploads/TKI%20Gas/nieuws/Overview%20of%20Hydrogen%20project%20in%20the%20Netherlands.pdf</t>
  </si>
  <si>
    <t>Presentation of Iberdola in the Chilean Hydrogen Summit, 4 Nov 2020</t>
  </si>
  <si>
    <t>https://www.youtube.com/watch?v=m4FtRIrtK9g&amp;utm_source=FuelCellsWorks+Newsletter&amp;utm_campaign=bb4c942689-NEWSLETTER_ISSUE_18&amp;utm_medium=email&amp;utm_term=0_b0517d6085-bb4c942689-406702557&amp;mc_cid=bb4c942689&amp;mc_eid=da4624d261</t>
  </si>
  <si>
    <t>https://www.h2-mobile.fr/actus/bretagne-mobilite-hydrogene-vert-2023-saint-brieuc/</t>
  </si>
  <si>
    <t>https://www.hydrogen.energy.gov/pdfs/review20/ta030_hamdan_2020_p.pdf</t>
  </si>
  <si>
    <t>https://www.energy.gov/sites/prod/files/2019/12/f69/fcto-fcs-h2-scale-2019-workshop-4-otgonbaatar_0.pdf</t>
  </si>
  <si>
    <t>https://electricenergyonline.com/article/energy/category/biofuel/83/854940/h2-scale-project-launched-in-texas.html</t>
  </si>
  <si>
    <t>https://www.energy.gov/sites/prod/files/2019/12/f69/fcto-fcs-h2-scale-2019-workshop-5-bouwkamp.pdf</t>
  </si>
  <si>
    <t>https://www.wsj.com/articles/bp-steps-up-green-drive-with-hydrogen-deal-11605009520#:~:text=Under%20the%20deal%20announced%20Tuesday,Lingen%20refinery%20in%20northwest%20Germany.&amp;text=Royal%20Dutch%20Shell%20PLC%20plans,refinery%20in%20Germany%20by%202030.</t>
  </si>
  <si>
    <t>https://www.nytimes.com/2020/11/11/business/hydrogen-fuel-california.html</t>
  </si>
  <si>
    <t>https://www.klimaatakkoord.nl/binaries/klimaatakkoord/documenten/publicaties/2020/10/22/koplopersprogramma-cluster-smart-delta/SDR-Regioplan+2030-2050.pdf</t>
  </si>
  <si>
    <t>https://fuelcellsworks.com/news/danish-company-greenlab-to-create-worlds-largest-scale-production-facility-for-green-hydrogen/</t>
  </si>
  <si>
    <t>https://www.greentechmedia.com/articles/read/china-can-help-supersize-global-hydrogen-economy-says-shell?utm_medium=email&amp;utm_source=Daily&amp;utm_campaign=GTMDaily</t>
  </si>
  <si>
    <t>https://www.agerpres.ro/english/2020/11/12/romgaz-petrom-set-to-produce-hydrogen-at-wind-farm-in-dobrogea--608063</t>
  </si>
  <si>
    <t>https://scottishconstructionnow.com/article/new-hub-to-lay-foundations-for-aberdeen-s-future-hydrogen-investment</t>
  </si>
  <si>
    <t>https://www.revistaei.cl/2020/11/20/proyecto-de-hidrogeno-verde-para-desarrollarse-en-punta-arenas-ingreso-a-tramitacion-ambiental/</t>
  </si>
  <si>
    <t>https://fuelcellsworks.com/news/fortescue-announces-development-study-into-green-ammonia-plant-in-tasmania-as-part-of-250mw-green-hydrogen-project/?utm_source=FuelCellsWorks+Newsletter&amp;utm_campaign=3a7ba6cc2e-NEWSLETTER_ISSUE_20&amp;utm_medium=email&amp;utm_term=0_b0517d6085-3a7ba6cc2e-406702557&amp;mc_cid=3a7ba6cc2e&amp;mc_eid=da4624d261</t>
  </si>
  <si>
    <t>https://assets.ey.com/content/dam/ey-sites/ey-com/it_it/news/2020/ey-summary-report-green-recovery-v2.pdf</t>
  </si>
  <si>
    <t>https://www.eleconomista.es/empresas-finanzas/noticias/10896511/11/20/Repsol-invertira-hasta-2900-millones-en-hidrogeno-en-cinco-anos-.html</t>
  </si>
  <si>
    <t>https://fuelcellsworks.com/news/a-world-first-project-will-combine-flow-battery-technology-with-tidal-power-to-produce-continuous-green-hydrogen/</t>
  </si>
  <si>
    <t>https://www.chemnews.com.cn/c/2020-11-18/667602.shtml?utm_campaign=China%20Clean%20Energy%20Syndicate%20&amp;utm_medium=email&amp;utm_source=Revue%20newsletter</t>
  </si>
  <si>
    <t>https://www.hispanidad.com/semana-empresarial/repsol-endesa-iberdrola-naturgy-enagas-apuestan-por-hidrogeno-verde-alternativa-avanzar-en-descarbonizacion_12022082_102.html</t>
  </si>
  <si>
    <t>https://www.afhypac.org/presse/hayrport-liege-airport-et-cmi-planchent-sur-une-solution-hydrogene-pour-une-mobilite-propre-1269/</t>
  </si>
  <si>
    <t>https://www.volth2.com/</t>
  </si>
  <si>
    <t>https://northccuhub.eu/about-us/#Mission_%E2%80%93_Vision_%E2%80%93_Roadmap</t>
  </si>
  <si>
    <t>https://www.waterstofnet.eu/_asset/_public/Waterstofregio20/5-Presentatie-Colruyt-Group.pdf</t>
  </si>
  <si>
    <t>https://fuelcellsworks.com/news/belgium-green-light-for-a-hydrogen-production-and-distribution-station-in-charleroi/</t>
  </si>
  <si>
    <t>https://www.originenergy.com.au/about/investors-media/media-centre/origin_to_investigate_export_scale_green_hydrogen_project_in_tasmania.html</t>
  </si>
  <si>
    <t>https://fuelcellsworks.com/news/mhi-to-invest-in-green-hydrogen-green-ammonia-in-south-australia/?utm_source=FuelCellsWorks+Newsletter&amp;utm_campaign=eda0f36ba5-NEWSLETTER_ISSUE_21&amp;utm_medium=email&amp;utm_term=0_b0517d6085-eda0f36ba5-406702557&amp;mc_cid=eda0f36ba5&amp;mc_eid=da4624d261</t>
  </si>
  <si>
    <t>https://www.toshiba-energy.com/en/info/info2020_1105.htm</t>
  </si>
  <si>
    <t>https://www.pv-magazine.com/2020/11/17/danish-investment-fund-backs-5-gw-australian-renewable-hydrogen-project/</t>
  </si>
  <si>
    <t>https://www.steag.com/en/press-release/03-12-2020-green-hydrogen-for-green-steel-made-in-duisburg</t>
  </si>
  <si>
    <t>https://www.eni.com/en-IT/media/press-release/2020/12/enel-and-eni-jointly-develop-hydrogen-projects.html</t>
  </si>
  <si>
    <t>https://renewablesnow.com/news/plug-power-to-produce-green-hydrogen-with-power-from-brookfield-renewable-715248/</t>
  </si>
  <si>
    <t>https://www.deraktionaer.de/artikel/mobilitaet-oel-energie/nel-partner-yara-will-mit-wasserstoff-hoch-hinaus-20221908.html</t>
  </si>
  <si>
    <t>https://thecanadian.news/2020/12/08/air-liquide-has-started-industrial-production-of-green-hydrogen-in-becancour/</t>
  </si>
  <si>
    <t>https://elperiodicodelaenergia.com/amorebieta-el-primer-ciclo-combinado-que-producira-energia-a-partir-de-hidrogeno-verde-en-espana/?__cf_chl_captcha_tk__=8039d19212f3462381df127b8a9cc3e053c1550f-1607517109-0-AYCZX-eMzYJn6vnXMGB6-bFp7IDv48P0KN3HQjXP0uU5GOfHNHtl8qXtYfHetBgLaNp3tph6XikqOD5cmxoR-Rr0Pf8bIi6RJYBrccUvdEfwvCE1ykpfBxOjGo59vI-N521zFmTL6W51lo6RUqxFb9WiGNaFyGKXhdmE7m8JZkF6dCvoAxv1SKFgMJ-OzOFKQAzma8ellPKOQMLRiCJzTLpTnunCROhEdkyP9NKjj1lkhz1bjN0CLfFFVexDkumAkbzgCbDNYJMB4HweyY2gkxdsdOW1ipXhrrF2jHWhV3fQxOBTOysX5x6fwutoo1NWrcP2dq932bNhp4K7jqUJ78p4rT2gE9hf0qxnNmG3w6pLmrhBtQECDtQXdD_3wKUR8rmyzWF8LlMCqBoFl2jFDdxCFbcaLxpYJSYMk_Ta6fyHtDjEPeKXrXPtVF1opwJlX_jH36-deMi0RePUJjQvk6Z_AseQHCYrHcME5ppXdi7b_SGEwMwMJULYy3AbWnxXgK7eQHiHuivYKmTaXJHQErOdpEpjscZJFmWWoGEDjBb4W0DLpnfxlC1ozJb-UZ65v9LgDeQIXGNkLWAmLubINgT5fudTjQzGpAqsr9tRscq9-KKf6Q1k33NE99mG4lI5RhX1tt8yY-2s52ym-UCQS9U</t>
  </si>
  <si>
    <t>http://www.automotores-rev.com/estrategias-de-cummins-para-producir-hidrogeno-y-celdas-de-combustible/</t>
  </si>
  <si>
    <t>http://news.hydroquebec.com/en/news/229/developing-green-hydrogen-in-quebec-an-important-step-toward-a-carbon-free-economy/</t>
  </si>
  <si>
    <t>https://globalnews.ca/news/7508377/biofuel-plant-varennes-quebec/</t>
  </si>
  <si>
    <t>https://www.reuters.com/article/idUSL4N2IO1KX</t>
  </si>
  <si>
    <t>https://blog.topsoe.com/danish-partnership-sets-out-to-build-worlds-first-commercial-scale-green-ammonia-plant?utm_medium=email&amp;_hsmi=102353050&amp;_hsenc=p2ANqtz-8nRYYTKzEq3lRGKAsHTYG2RVNcEVT6qSj7jvef_4f15aTB252c35aNOmdoIeLONeMp3wnF9GZBRkeCw40IK7Yccjah4g&amp;utm_content=102353050&amp;utm_source=hs_email</t>
  </si>
  <si>
    <t>https://www.salzgitter-ag.com/en/newsroom/press-releases/details/-14588.html</t>
  </si>
  <si>
    <t>https://johncockerill.com/app/uploads/2020/12/201210-Joint-Development-Agreement-Carmeuse-ENGIE-and-John-Cockerill-ENG.pdf</t>
  </si>
  <si>
    <t>https://www.get-h2.de/en/get-h2-nukleus/</t>
  </si>
  <si>
    <t>https://www.get-h2.de/wp-content/uploads/geth2-nukleus_praesentation_en_201127.pdf</t>
  </si>
  <si>
    <t>https://www.rechargenews.com/transition/gigawatt-scale-the-worlds-13-largest-green-hydrogen-projects/2-1-933755?s=03</t>
  </si>
  <si>
    <t>https://www.aquaventus.org/#section-2</t>
  </si>
  <si>
    <t>https://ah2.com.au/</t>
  </si>
  <si>
    <t>https://www.ammoniaenergy.org/articles/h2u-moves-forward-with-3-gw-green-ammonia-export-plant/</t>
  </si>
  <si>
    <t>https://renewablesnow.com/news/queensland-gears-to-become-domestic-green-hydrogen-hub-688909/</t>
  </si>
  <si>
    <t>https://www.windtech-international.com/projects-and-contracts/siemens-gamesa-develops-hydrogen-pilot-project-in-brande-denmark</t>
  </si>
  <si>
    <t>https://www.h2-view.com/story/power-to-green-hydrogen-mallorca-project-progresses/</t>
  </si>
  <si>
    <t>https://www.snam.it/en/Media/Press-releases/2021/Tenaris_Edison_Snam_trial_steelmaking_green_hydrogen_Dalmine_Italy.html</t>
  </si>
  <si>
    <t>https://www.greentechmedia.com/articles/read/engie-and-neoen-to-build-1gw-solar-battery-and-hydrogen-project?utm_medium=email&amp;utm_source=Daily&amp;utm_campaign=GTMDaily</t>
  </si>
  <si>
    <t>https://www.technipfmc.com/en/what-we-do/subsea/energy-transition-deep-purple/</t>
  </si>
  <si>
    <t>https://www.rechargenews.com/wind/deep-purple-seabed-hydrogen-storage-for-offshore-wind-plan/2-1-617947</t>
  </si>
  <si>
    <t>https://www.expansion.com/empresas/energia/2021/01/10/5ffada9f468aebdd0a8b4611.html</t>
  </si>
  <si>
    <t>https://www.lavanguardia.com/vida/20201210/6109974/comunidad-madrid-construira-planta-hidrogeno-verde.html</t>
  </si>
  <si>
    <t>https://www.siemensgamesa.com/es-es/-/media/siemensgamesa/downloads/es/newsroom/2020/12/siemens-gamesa-press-release-hydrogen-pilot-project-es.pdf</t>
  </si>
  <si>
    <t>https://www.eleconomista.es/pais_vasco/noticias/10923476/12/20/La-primera-planta-de-hidrogeno-verde-estara-operativa-en-Amorebieta-en-2022.html</t>
  </si>
  <si>
    <t>https://elperiodicodelaenergia.com/enagas-y-acciona-lanzan-su-planta-de-hidrogeno-verde-de-mallorca/?__cf_chl_captcha_tk__=9a2f97659e1b03545142ab0966c4b28b2b4372ca-1610529524-0-AT_X3LCaGQO3NNk8ZEU76soJKnR9nGRYEKBWZ5khIOVsXGd684mX5qEXg_uvW9wM9b6WOM4Wky2v9jcCoKshgvjYdjlaqwAvWSIef5mST8JJ2i-FSBVZo3tyHPNTDygWVHvOCbvQyvou8onePa0PyEaecxEwn0sCVFOLaJrO6Scp21P12WEas-7zLIHT0ECFttxRakTTXgqpoY_uT-9GpDpRTTLgwdKEa5Hk5I1NEvC-dvxFTns0lGovodf-tuMD6NNgSgf8oks2p0ULlbfgD0w1FOjhMBZGd8uteJ62FTbO4rzkusFI5m1lvcu3lwf9sivZdVKGX4VSRbtxccQKcil7bqKJbK3_K9D4vBv_dSkgf7TTuiEy9bmr5OzB6eF4pRKq68BE-uaF1L8mLz2AJ-I2MoYFTCafPYD9F8R8NrpLnIj-q2GMopoFaPpMRqNLvlj07rjjG-3B1aefVgXPUoxbPczCRd5mv0JCrGNna92jz3ZIvWzYHREfAflDrhhle4Yss3klHp1m5SsheFfMjsinoJJMhommIeD3P0qxLgWiSZUovqmcd67zoU3cjTHcs3GyDaBmnIAzhfXoTpYEsmQW1Q7j4NprkjaDczJ_GfMQ</t>
  </si>
  <si>
    <t>https://www.enagas.es/stfls/ENAGAS/Notas%20de%20prensa/20201229%20Proyecto%20hidr%C3%B3geno%20verde.pdf</t>
  </si>
  <si>
    <t>https://www.rechargenews.com/transition/linde-to-build-world-s-largest-electrolyser-to-produce-green-hydrogen/2-1-944080?utm_source=emailsharing</t>
  </si>
  <si>
    <t>IJGlobal - Strike Energy launches A$2bn urea
project</t>
  </si>
  <si>
    <t>https://www.thyssenkrupp.com/en/newsroom/press-releases/pressdetailpage/first-green-hydrogen-project-becomes-reality--thyssenkrupp-to-install-88-megawatt-water-electrolysis-plant-for-hydro-quebec-in-canada-93778</t>
  </si>
  <si>
    <t xml:space="preserve">https://www.energyvoice.com/renewables-energy-transition/hydrogen/europe-hydrogen/292648/orsted-fid-green-hydrogen/#:~:text=Sign%20Up-,%C3%98rsted%20has%20taken%20a%20final%20investment%20decision%20(FID)%20on%20its,energy%20to%20produce%20green%20hydrogen. </t>
  </si>
  <si>
    <t>https://www.naturgy.com/enagas_y_naturgy_impulsan_en_leon_la_mayor_planta_de__hidrogeno_verde_de_espana</t>
  </si>
  <si>
    <t>https://www.spglobal.com/marketintelligence/en/news-insights/latest-news-headlines/poland-s-hydrogen-strategy-aims-for-2-gw-of-electrolysis-by-2030-61971797</t>
  </si>
  <si>
    <t>https://fuelcellsworks.com/news/mitsubishi-heavy-industries-shell-vattenfall-and-warme-hamburg-sign-letter-of-intent-for-100-mw-hydrogen-project-at-moorburg-in-hamburg/?mc_cid=fa471ff86a&amp;mc_eid=da4624d261</t>
  </si>
  <si>
    <t>https://fuelcellsworks.com/news/woodside-signs-hydrogen-mou-with-tasmanian-government-on-renewable-hydrogen-production-facility/</t>
  </si>
  <si>
    <t>https://www.pv-magazine.com/2021/01/26/sumitomo-reveals-hydrogen-plans-in-australia-oman/</t>
  </si>
  <si>
    <t>https://www.spglobal.com/platts/en/market-insights/latest-news/electric-power/012221-japans-sumitomo-eyes-green-hydrogen-output-in-australias-gladstone-in-2023</t>
  </si>
  <si>
    <t xml:space="preserve">https://open.alberta.ca/dataset/f74375f3-3c73-4b9c-af2b-ef44e59b7890/resource/ff260985-e616-4d2e-92e0-9b91f5590136/download/energy-quest-annual-summary-alberta-department-of-energy-2019.pdf </t>
  </si>
  <si>
    <t>https://www.repsol.com/en/press-room/press-releases/2021/repsol-joins-international-consortium-to-develop-cutting-edge-renewable-hydrogen-technology.cshtml</t>
  </si>
  <si>
    <t>https://www.eu-japan.eu/sites/default/files/publications/docs/hydrogen_and_fuel_cells_in_japan.pdf</t>
  </si>
  <si>
    <t>https://www.lavozdegalicia.es/noticia/ferrol/as-pontes-de-garcia-rodriguez/2021/01/28/endesa-invertira-cien-millones-planta-hidrogeno-as-pontes/00031611865046071316641.htm</t>
  </si>
  <si>
    <t xml:space="preserve">https://www.siew.gov.sg/docs/default-source/default-document-library/siew-energy-insights/the-reids-spore-platform-by-loic-villocel-and-dr-peng-xiaoyang.pdf?sfvrsn=2 </t>
  </si>
  <si>
    <t>https://www.hydrogenfuelnews.com/fuel-cell-forklifts-powered-in-japan-with-solar-hydrogen-energy/8537581/</t>
  </si>
  <si>
    <t>https://hynet.co.uk/app/uploads/2020/10/HyNet_NW-Vision-Document-2020_FINAL.pdf</t>
  </si>
  <si>
    <t>https://projektinfos.energiewendebauen.de/en/research-in-dialogue/news-from-research/detail/esslingen-district-setting-up-its-own-hydrogen-production/</t>
  </si>
  <si>
    <t>https://www.linkedin.com/feed/update/urn:li:activity:6760234702914772992/</t>
  </si>
  <si>
    <t>https://cincodias.elpais.com/cincodias/2021/01/29/companias/1611950644_648508.html?id_externo_rsoc=TW_CC</t>
  </si>
  <si>
    <t>https://www.endesa.com/es/prensa/sala-de-prensa/noticias/transicion-energetica/endesa-contempla-desarrollo-23-proyectos-hidrogeno-verde-espana</t>
  </si>
  <si>
    <t>https://fuelcellsworks.com/news/green-hydrogen-air-liquide-electrolysis-with-h2v/?mc_cid=97c6cd5d96&amp;mc_eid=da4624d261</t>
  </si>
  <si>
    <t>https://mcphy.com/fr/communiques/zero-emission-valley-2/?cn-reloaded=1</t>
  </si>
  <si>
    <t>https://bahiah2.com/</t>
  </si>
  <si>
    <t>https://ijglobal.com/articles/153070/jv-inks-terms-on-oz-hydrogen</t>
  </si>
  <si>
    <t>https://www.csenergy.com.au/news/queensland-collaborates-with-japan-on-green-hydrogen-plant</t>
  </si>
  <si>
    <t>https://www.pv-magazine.com/2021/01/29/solar-powered-hydrogen-for-masdar-city/</t>
  </si>
  <si>
    <t>https://www.energyvoice.com/renewables-energy-transition/ccs/uk-ccs/294427/storegga-geotechnologies-acorn-project-fid/</t>
  </si>
  <si>
    <t>https://group.vattenfall.com/press-and-media/pressreleases/2021/vattenfall-and-preem-look-into-large-scale-production-of-fossil-free-hydrogen-in-lysekil</t>
  </si>
  <si>
    <t>https://www.uniper.energy/news/uniper-and-port-of-rotterdam-authority-start-feasibility-study-for-green-hydrogen-plant-at-maasvlakte</t>
  </si>
  <si>
    <t>https://fuelcellsworks.com/news/australian-gas-infrastructure-group-agig-partners-on-two-renewable-hydrogen-project/</t>
  </si>
  <si>
    <t>https://www.upstreamonline.com/energy-transition/px-group-confident-in-bid-to-kick-start-humber-blue-hydrogen-scheme/2-1-958419</t>
  </si>
  <si>
    <t>https://www.smartenergy.net/100mw-green-hydrogen-project-to-decarbonize-the-full-value-chain-of-one-of-the-major-european-ceramic-clusters/</t>
  </si>
  <si>
    <t>https://ijglobal.com/articles/153317/enel-and-saras-to-develop-hydrogen-project-in-italy</t>
  </si>
  <si>
    <t>https://www.h2-view.com/story/plans-unveiled-for-green-hydrogen-site-at-french-energy-from-waste-unit/</t>
  </si>
  <si>
    <t>https://renewablesnow.com/news/naturgy-enagas-to-go-for-h2-from-350-mw-of-onshore-floating-wind-in-spain-729879/</t>
  </si>
  <si>
    <t>https://fuelcellsworks.com/news/green-energy-for-isolated-areas-with-hydrogen-technology/</t>
  </si>
  <si>
    <t>https://www.nellionaire.com/sunline/</t>
  </si>
  <si>
    <t>https://www.cewep.eu/wuppteral-hydrogen-buses/</t>
  </si>
  <si>
    <t>https://nelhydrogen.com/wp-content/uploads/2021/02/Nel_2020_Q4_Presentation.pdf</t>
  </si>
  <si>
    <t>https://renews.biz/66655/cip-unveils-plans-for-esbjerg-green-ammonia-plant/</t>
  </si>
  <si>
    <t>https://www.rechargenews.com/markets/worlds-largest-green-steel-from-hydrogen-plan-backed-by-spotify-billionaire-ek/2-1-968432</t>
  </si>
  <si>
    <t>https://www.barrons.com/news/investment-firm-pans-hydrogen-powered-steel-plant-in-sweden-01614087012?tesla=y#:~:text=Long%20Read-,Investment%20Firm%20Plans%20Hydrogen%20Powered%20Steel%20Plant%20In%20Sweden,a%20pioneer%20in%20the%20field.</t>
  </si>
  <si>
    <t>https://www.th-energy.net/english/platform-hydrogen-applications/flagship-projects-generation-electrolyzers/</t>
  </si>
  <si>
    <t>https://www.ir.plugpower.com/Press-Releases/Press-Release-Details/2021/Plug-Power-to-Build-North-Americas-Largest-Green-Hydrogen-Production-Facility-in-Western-New-York/default.aspx</t>
  </si>
  <si>
    <t>https://fuelcellsworks.com/news/basque-hydrogen-corridor-unveiled-a-e1-3billion-hydrogen-project/</t>
  </si>
  <si>
    <t>https://mcphy.com/en/news/hydeal-ambition/</t>
  </si>
  <si>
    <t>https://asia.nikkei.com/Business/Companies/South-Korea-s-SK-bets-16bn-on-hydrogen-Five-things-to-know</t>
  </si>
  <si>
    <t>https://www.donga.com/en/article/all/20201202/2258721/1/SK-Holdings-announces-plans-to-enter-hydrogen-industry</t>
  </si>
  <si>
    <t>https://fuelcellsworks.com/news/floridas-first-of-its-kind-clean-hydrogen-project-reaches-historic-milestone/</t>
  </si>
  <si>
    <t>https://www.h2-view.com/story/siemens-energy-and-intermountain-power-agency-join-forces-on-utility-scale-hydrogen-pilot-project/</t>
  </si>
  <si>
    <t>https://www.h2-view.com/story/shell-to-upgrade-existing-hydrogen-facility-to-develop-sustainable-aviation-fuels/</t>
  </si>
  <si>
    <t>https://www.globalbankingandfinance.com/shell-in-germany-seeks-to-speed-up-drive-to-go-green/</t>
  </si>
  <si>
    <t>https://noticiaslogisticaytransporte.com/nuevas-tendencias/01/03/2021/fm-logistic-y-h2b2-podran-en-marcha-una-estacion-de-servicio-de-hidrogeno/163313.html</t>
  </si>
  <si>
    <t>https://www.ayto-pinto.es/actualidad/-/publicador/noticias-la-primera-planta-de-hidrogeno-verde-con-agua-regenerada-de-espana-se-construira-en-pinto/iF3JwwrCWEmd?p_p_auth=xm9zsaFN</t>
  </si>
  <si>
    <t>https://www.bloomenergy.com/newsroom/press-releases/bloom-energy-and-sk-ec-win-competitive-bid#:~:text=Bloom%20Energy%20will%20supply%201.8,from%20late%202021%20into%202022.&amp;text=In%20addition%2C%20Bloom%20Energy%20intends,to%20the%20site%20in%202022.</t>
  </si>
  <si>
    <t>http://www.finanztreff.de/news/uniper-plant-anlandeterminal-fuer-gruenes-ammoniak-in-wilhemshaven/23760196</t>
  </si>
  <si>
    <t>https://realiseccus.eu/news/blog-chinese-case-study-set-deliver-co2-capture-insights</t>
  </si>
  <si>
    <t>https://www.cslforum.org/cslf/sites/default/files/documents/AbuDhabi2017/AbuDhabi17-TW-Sakaria-Session2.pdf</t>
  </si>
  <si>
    <t>https://co2re.co/FacilityData</t>
  </si>
  <si>
    <t>https://www.h2-mobile.fr/actus/hydrogene-hyport-choisit-mcphy-transdev-future-station-h2-toulouse/</t>
  </si>
  <si>
    <t>https://www.insidermedia.com/news/yorkshire/hydrogen-vehicle-hub-proposed-for-leeds-bradford-airport?utm_source=emailmarketing&amp;utm_medium=email&amp;utm_campaign=itm_power_march_newsletter_2021&amp;utm_content=2021-03-08&amp;cid=bsGOwMCjwXdNb7Cu3LMITCTY6dtO-RORvEv4-adY_uE6Pe0RIOWl0KoYqR_e_uhaA98I6nsfdqFKHlA5WvKQfQ..</t>
  </si>
  <si>
    <t>https://www.europapress.es/economia/noticia-repsol-impulsa-apuesta-liderar-carrera-hidrogeno-verde-espana-primer-electrolizador-20231009104256.html</t>
  </si>
  <si>
    <t>https://www.pv-magazine.com/2021/02/12/new-european-project-to-drive-95-gw-of-solar-and-67-gw-of-hydrogen/</t>
  </si>
  <si>
    <t>https://www.spglobal.com/marketintelligence/en/news-insights/latest-news-headlines/northwest-natural-aims-to-develop-large-scale-ore-green-hydrogen-project-60697835</t>
  </si>
  <si>
    <t>https://environmental-initiative.org/news/centerpoint-energy-pursuing-a-clean-energy-future/</t>
  </si>
  <si>
    <t>https://www.spglobal.com/marketintelligence/en/news-insights/latest-news-headlines/new-jersey-resources-plots-new-strategy-focused-on-renewable-energy-61510875</t>
  </si>
  <si>
    <t>https://cache.webcasts.com/content/read001/1434093/content/991885ffeedbb065f596f2a0ac6f40ac078995f3/pdf/Wartsila_Slide_Deck_3.9.21.pdf</t>
  </si>
  <si>
    <t>https://www.wartsila.com/media/news/18-05-2020-wartsila-and-vantaa-energy-ltd-to-cooperate-on-a-carbon-neutral-synthetic-biogas-production-project-in-finland-2709538</t>
  </si>
  <si>
    <t>https://www.df.cl/noticias/empresas/energia/aes-gener-da-primer-paso-en-chile-para-desarrollar-proyecto-en-base-a/2021-03-03/200353.html</t>
  </si>
  <si>
    <t>https://www.saudigulfprojects.com/2021/02/omans-pdo-awards-green-hydrogen-study-projects/</t>
  </si>
  <si>
    <t>https://www.rechargenews.com/transition/siemens-energy-and-spic-in-green-hydrogen-deal-for-major-sports-event-in-china/2-1-860294</t>
  </si>
  <si>
    <t>https://www.tuvsud.cn/zh-cn/press-and-media/2020/september/completed-wind-power-dynamic-electrolysis-hydrogen-production-system-operation-test?utm_campaign=China%20Clean%20Energy%20Syndicate%20&amp;utm_medium=email&amp;utm_source=Revue%20newsletter</t>
  </si>
  <si>
    <t>http://chuneng.bjx.com.cn/news/20201015/1109864.shtml?utm_campaign=China%20Clean%20Energy%20Syndicate%20&amp;utm_medium=email&amp;utm_source=Revue%20newsletter</t>
  </si>
  <si>
    <t>https://energyiceberg.com/ten-chinese-green-hydrogen-companies/</t>
  </si>
  <si>
    <t>https://energyiceberg.com/china-renewable-green-hydrogen/</t>
  </si>
  <si>
    <t>https://mcphy.com/en/press-releases/power_to_gas_mcphy_hebei_delivery/?cn-reloaded=1</t>
  </si>
  <si>
    <t>https://energyiceberg.com/the-final-sprints-to-subsidy-china-clean-energy-syndicate/</t>
  </si>
  <si>
    <t>https://www.evwind.es/2019/07/20/goldwind-joins-20gw-hydrogen-plan-in-china/68122</t>
  </si>
  <si>
    <t>https://www.salzgitter-ag.com/de/newsroom/pressemeldungen/details/windwasserstoff-salzgitter-windh2-ein-wichtiger-schritt-auf-dem-weg-zur-dekarbonisierung-der-stahlindustrie-14823.html</t>
  </si>
  <si>
    <t>https://renewablesnow.com/news/eew-unveils-massive-green-hydrogen-solar-project-in-australia-734022/</t>
  </si>
  <si>
    <t>https://www.power-eng.com/gas/national-grid-in-jv-to-build-new-york-green-hydrogen-storage-delivery-project/</t>
  </si>
  <si>
    <t>https://fuelcellsworks.com/news/the-port-of-malaga-is-committed-to-green-hydrogen-with-the-digital-h2-green-project/</t>
  </si>
  <si>
    <t>https://www.h2-view.com/story/five-hydrogen-plants-planned-for-italy-and-the-mediterranean-basis/</t>
  </si>
  <si>
    <t>https://ijglobal.com/articles/153847/thyssenkrupp-and-steag-to-build-500mw-green-hydrogen-plant</t>
  </si>
  <si>
    <t>https://ir.q4europe.com/Tools/newsArticleHTML.aspx?solutionID=3512&amp;customerKey=itmpower&amp;storyID=14931292&amp;language=en</t>
  </si>
  <si>
    <t>https://ir.q4europe.com/Tools/newsArticleHTML.aspx?solutionID=3512&amp;customerKey=itmpower&amp;storyID=14682293&amp;language=en</t>
  </si>
  <si>
    <t>https://ir.q4europe.com/Tools/newsArticleHTML.aspx?solutionID=3512&amp;customerKey=itmpower&amp;storyID=14667777&amp;language=en</t>
  </si>
  <si>
    <t>https://ir.q4europe.com/Tools/newsArticleHTML.aspx?solutionID=3512&amp;customerKey=itmpower&amp;storyID=14489824&amp;language=en</t>
  </si>
  <si>
    <t>https://ir.q4europe.com/Tools/newsArticleHTML.aspx?solutionID=3512&amp;customerKey=itmpower&amp;storyID=14360203&amp;language=en</t>
  </si>
  <si>
    <t>https://ir.q4europe.com/Tools/newsArticleHTML.aspx?solutionID=3512&amp;customerKey=itmpower&amp;storyID=14184657&amp;language=en</t>
  </si>
  <si>
    <t>https://ir.q4europe.com/Tools/newsArticleHTML.aspx?solutionID=3512&amp;customerKey=itmpower&amp;storyID=14252224&amp;language=en</t>
  </si>
  <si>
    <t>https://ir.q4europe.com/Tools/newsArticleHTML.aspx?solutionID=3512&amp;customerKey=itmpower&amp;storyID=14068801&amp;language=en</t>
  </si>
  <si>
    <t>https://ir.q4europe.com/Tools/newsArticleHTML.aspx?solutionID=3512&amp;customerKey=itmpower&amp;storyID=13861111&amp;language=en</t>
  </si>
  <si>
    <t>https://www.h2-view.com/story/qem-looks-to-produce-green-hydrogen-at-julia-creek/</t>
  </si>
  <si>
    <t>https://chemengonline.com/inovyn-plans-20-mw-green-hydrogen-project-in-norway/</t>
  </si>
  <si>
    <t>https://news.klm.com/world-first-in-the-netherlands-by-klm-shell-and-dutch-ministry-for-infrastructure-and-water-management-first-passenger-flight-performed-with-sustainable-synthetic-kerosene/</t>
  </si>
  <si>
    <t>https://www.bp.com/en/global/corporate/news-and-insights/press-releases/bp-plans-uks-largest-hydrogen-project.html</t>
  </si>
  <si>
    <t>https://www.h2-view.com/story/itm-power-makes-first-sale-in-japan-sells-1-4mw-electrolyser-to-sumitomo-corp/</t>
  </si>
  <si>
    <t>https://www.mitsubishicorp.com/jp/en/pr/archive/2021/html/0000046720.html</t>
  </si>
  <si>
    <t>https://www.spglobal.com/platts/en/market-insights/latest-news/oil/110420-analysis-refinery-closures-in-southeast-asia-oceania-to-open-new-outlets-for-gasoline-exporters</t>
  </si>
  <si>
    <t>https://www.omv.com/en/news/210215-omv-and-kommunalkredit-invest-in-green-hydrogen-production</t>
  </si>
  <si>
    <t>https://www.h2-view.com/story/norwegian-barents-blue-project-to-be-considered-for-ipcei/</t>
  </si>
  <si>
    <t>https://www.offshore-energy.biz/saga-pure-takes-stake-in-blue-ammonia-company/</t>
  </si>
  <si>
    <t>https://www.horisontenergi.no/haldor-topsoe-selected-as-technology-licensor-for-the-barents-blue-ammonia-plant/</t>
  </si>
  <si>
    <t>Presentation from World Hydrogen Iberia 2021</t>
  </si>
  <si>
    <t>https://www.prnewswire.com/news-releases/nauticol-energy-and-enhance-energy-partner-to-capture-up-to-one-million-tonnes-of-co2-annually-from-blue-methanol-production-and-distribution-business-301253245.html</t>
  </si>
  <si>
    <t>https://globalnews.ca/news/7714950/proposed-alberta-methanol-project-carbon-capture/</t>
  </si>
  <si>
    <t>https://evolugen.com/news-releases/</t>
  </si>
  <si>
    <t>https://www.pv-magazine.com/2021/01/22/bangladesh-joins-hydrogen-energy-race/</t>
  </si>
  <si>
    <t>https://fuelcellsworks.com/news/enegix-energy-partners-with-black-veatch-on-green-hydrogen-plant-in-ceara-brazil/?mc_cid=fbb2a1bb9c&amp;mc_eid=da4624d261</t>
  </si>
  <si>
    <t>https://energynow.tt/blog/newgen-hydrogen-project-update</t>
  </si>
  <si>
    <t>https://ceenergynews.com/hydrogen/hungarian-gas-storages-aquamarine-project-to-play-an-active-role-in-the-decarbonisation-process/</t>
  </si>
  <si>
    <t>https://www.swb.de/ueber-swb/unternehmen/nachhaltigkeit/wasserstoff/clean-hydrogen-coastline</t>
  </si>
  <si>
    <t>https://fuelcellsworks.com/news/toyota-unveils-victorias-first-commercial-hydrogen-production-and-re-fuelling-facility-at-centre-of-excellence/</t>
  </si>
  <si>
    <t>https://engv.com.au/hydrogen-refuelling-station-actewagl-canberra/</t>
  </si>
  <si>
    <t>https://fuelcellsworks.com/news/australias-first-public-hydrogen-refuelling-station-opens-in-canberra/?mc_cid=cebb9719c0&amp;mc_eid=da4624d261</t>
  </si>
  <si>
    <t>https://aspens.de/aspens-baut-grosse-elektrolyseanlage-in-hannover/</t>
  </si>
  <si>
    <t>https://fuelcellsworks.com/news/india-acme-signs-us-2-5-billion-investment-deal-in-oman-with-tatweer-to-set-up-green-hydrogen-ammonia-plant/?mc_cid=cebb9719c0&amp;mc_eid=da4624d261</t>
  </si>
  <si>
    <t>https://www.rechargenews.com/transition/worlds-first-commercial-green-hydrogen-project-using-high-temperature-electrolysis-announced/2-1-773486</t>
  </si>
  <si>
    <t>https://www.iberdrola.com/sala-comunicacion/noticias/detalle/iberdrola-moviliza-primer-proyecto-para-generacion-hidrogeno-verde-aragon</t>
  </si>
  <si>
    <t>https://www.pv-magazine.es/2021/03/22/iberdrola-planea-un-corredor-de-hidrogeno-verde-en-la-comunidad-valenciana/</t>
  </si>
  <si>
    <t>https://www.ir.plugpower.com/Press-Releases/Press-Release-Details/2021/Plug-Power-and-Brookfield-Renewable-Move-Forward-with-Green-Hydrogen-Plant-in-South-Central-Pennsylvania/default.aspx</t>
  </si>
  <si>
    <t>https://renewablesnow.com/news/bc-govt-supports-tidewater-midstreams-renewable-diesel-hydrogen-plan-734165/</t>
  </si>
  <si>
    <t>https://www.gasworld.com/air-liquide-celebrates-hydrogen-milestone-in-taiwan/2020650.article</t>
  </si>
  <si>
    <t>https://seah2land.nl/</t>
  </si>
  <si>
    <t>https://www.linde.com/news-media/press-releases/2020/linde-to-build-and-operate-world-s-first-hydrogen-refueling-station-for-passenger-trains</t>
  </si>
  <si>
    <t>https://corporate.arcelormittal.com/media/news-articles/arcelormittal-europe-to-produce-green-steel-starting-in-2020</t>
  </si>
  <si>
    <t>https://www.segre.com/es/noticias/comarcas/2021/03/21/impulsan_una_planta_pionera_lleida_para_obtener_hidrogeno_usarlo_como_combustible_129129_1091.html?</t>
  </si>
  <si>
    <t>https://hydrogen-pro.com/wp-content/uploads/2021/02/HydrogenPro-Q4-2020-Report-and-Company-update-22FEB21.pdf</t>
  </si>
  <si>
    <t>https://www.gicon.de/en/aktuelles/nachrichtenliste-aktuell/newsdetails/archive/2021/march/29/article/giconR-and-vietnam-petroleum-institute-sign-mou.html</t>
  </si>
  <si>
    <t>https://www.cbc.ca/news/canada/nova-scotia/nova-scotia-hub-green-hydrogen-1.5973355</t>
  </si>
  <si>
    <t>https://www.planetaryhydrogen.com/news/</t>
  </si>
  <si>
    <t>https://www.wacker.com/cms/en-ca/about-wacker/research-and-development/rhyme-bavaria/detail.html</t>
  </si>
  <si>
    <t>https://fuelcellsworks.com/news/world-first-hydrogen-distribution-station-in-the-port-of-antwerp-functionally-operational/</t>
  </si>
  <si>
    <t>https://chuneng.bjx.com.cn/news/20210326/1144111.shtml</t>
  </si>
  <si>
    <t>https://chuneng.bjx.com.cn/news/20201015/1110001.shtml</t>
  </si>
  <si>
    <t>https://chuneng.bjx.com.cn/news/20210316/1141882.shtml</t>
  </si>
  <si>
    <t>https://www.sohu.com/a/421783419_703050</t>
  </si>
  <si>
    <t>https://www.china5e.com/news/news-1107445-1.html</t>
  </si>
  <si>
    <t>http://www3.weforum.org/docs/WEF_System_Value_China_Market_Analysis_2020.pdf</t>
  </si>
  <si>
    <t>https://news.solarbe.com/202001/08/319050.html</t>
  </si>
  <si>
    <t>https://www.wiva.at/v2/portfolio-item/h2pioneer-pave-the-way-for-green-hydrogen-for-early-adopters-in-the-light-industry/?lang=en</t>
  </si>
  <si>
    <t>https://www.h2v.eu/hydrogen-valleys/wiva-pg-wasserstoffinitiative-vorzeigeregion-austria-power-gas</t>
  </si>
  <si>
    <t>https://www.chemengonline.com/austrian-consortium-unveils-major-decarbonization-project-focused-on-co2-capture-green-hydrogen/</t>
  </si>
  <si>
    <t>https://www.entsog.eu/sites/default/files/2020-11/ENTSOG_TYNDP_2020_Annex_A_Projects_Details.pdf</t>
  </si>
  <si>
    <t>https://www.iwb.ch/Ueber-uns/Newsroom/Medienmitteilungen/Klimafreundlicher-Wasserstoff-aus-Birsfelden.html</t>
  </si>
  <si>
    <t>https://www.e15.cz/byznys/prumysl-a-energetika/skupina-solar-global-spusti-vyrobu-prvniho-zeleneho-vodiku-v-cesku-1379128</t>
  </si>
  <si>
    <t>https://www.gie.eu/index.php/events-diary/workshops/2019-workshops/gie-gaz-system-joint-workshop-on-the-energy-transition-in-the-cee-region/27870-09-michal-slaby-net4gas/file</t>
  </si>
  <si>
    <t>https://www.eon.com/en/business-customers/hydrogen-rediscovery-of-the-oldest-element.html</t>
  </si>
  <si>
    <t>https://hungarianinsider.com/matra-power-plant-now-has-a-long-term-strategy-7020/</t>
  </si>
  <si>
    <t>https://www.zepak.com.pl/en/clean-poland/hydrogen-production-at-ze-pak-sa.html</t>
  </si>
  <si>
    <t>https://ilbioeconomista.com/2020/11/30/perstorp-aims-at-reducing-carbon-emission-by-producing-sustainable-methanol/</t>
  </si>
  <si>
    <t>https://fuelcellsworks.com/news/slovenian-glass-manufacturer-to-use-solar-power-plant-to-create-green-hydrogen/</t>
  </si>
  <si>
    <t>https://www.eles.si/en/news/ArticleID/16904/Slovenia%E2%80%99s-Green-Hydrogen-and-the-Coalition-of-Electricity-and-Gas-Sectors-within-the-SLOP2G-Project</t>
  </si>
  <si>
    <t>https://www.erm.com/news/erm-gets-go-ahead-to-develop-green-hydrogen-at-scale-from-offshore-wind/</t>
  </si>
  <si>
    <t>https://www.nottinghampost.com/news/local-news/new-innovative-hydrogen-power-plant-4527703</t>
  </si>
  <si>
    <t>https://www.uniper.energy/news/unipers-killingholme-the-right-place-the-right-time-the-right-plans</t>
  </si>
  <si>
    <t>https://renews.biz/67813/scottishpower-files-to-build-whitelee-electrolyser/</t>
  </si>
  <si>
    <t>https://www.gasdottitalia.it/it/content/progetto-pegasus</t>
  </si>
  <si>
    <t>https://www.now-gmbh.de/en/news/pressreleases/circular-economy-in-action/</t>
  </si>
  <si>
    <t>https://www.h2-mobile.fr/actus/hygo-station-hydrogene-vannes-ouvrira-octobre-2021/</t>
  </si>
  <si>
    <t>https://fuelcellsworks.com/news/in-france-the-vhygo-project-grand-ouest-hydrogen-valley-will-deploy-green-hydrogen-in-three-different-regions/?mc_cid=4101eb9ee9&amp;mc_eid=da4624d261</t>
  </si>
  <si>
    <t>https://www.h2-view.com/story/50mw-green-hydrogen-facility-one-step-closer-to-completion/</t>
  </si>
  <si>
    <t>https://www.h2v.eu/hydrogen-valleys/crystal-brook-hydrogen-superhub</t>
  </si>
  <si>
    <t>https://www.h2v.eu/hydrogen-valleys/hy-fi-hydrogen-facility-initiative</t>
  </si>
  <si>
    <t>https://www.h2v.eu/hydrogen-valleys/ceog-centrale-electrique-de-louest-guyanais</t>
  </si>
  <si>
    <t>https://www.h2-view.com/story/leading-us-carbon-capture-project-set-to-produce-clean-hydrogen/</t>
  </si>
  <si>
    <t>https://www.h2v.eu/hydrogen-valleys/hydrogen-valley-south-tyrol</t>
  </si>
  <si>
    <t>https://www.h2-suedtirol.com/de/das-wasserstoffzentrum-bozen</t>
  </si>
  <si>
    <t>https://www.h2v.eu/hydrogen-valleys/zev-zero-emission-valley</t>
  </si>
  <si>
    <t>https://www.h2v.eu/hydrogen-valleys/hybayern</t>
  </si>
  <si>
    <t>https://www.h2v.eu/hydrogen-valleys/hyways-future</t>
  </si>
  <si>
    <t>https://fuelcellsworks.com/news/agr-and-linde-engineering-work-together-on-a-green-hydrogen-project/</t>
  </si>
  <si>
    <t>https://www.siemens-energy.com/global/en/offerings/renewable-energy/hydrogen-solutions/haru-oni.html</t>
  </si>
  <si>
    <t>https://hydrogen-central.com/johnson-matthey-chile-methanol-green-hydrogen-project/</t>
  </si>
  <si>
    <t>https://www.h2-view.com/story/australian-project-to-produce-green-hydrogen-by-2022-powered-by-green-hydrogen-systems-technology/</t>
  </si>
  <si>
    <t>https://www.energyvoice.com/renewables-energy-transition/314698/origin-signs-pact-for-australian-green-hydrogen-export-project/</t>
  </si>
  <si>
    <t>https://news.bjx.com.cn/html/20190618/986800.shtml</t>
  </si>
  <si>
    <t>http://www.beijing.gov.cn/ywdt/zwzt/dah/bxyw/202104/t20210411_2351644.html</t>
  </si>
  <si>
    <t>https://fuelcellsworks.com/news/phase-ii-of-the-beijing-2022-hydrogen-industrial-park-construction-begins/?mc_cid=71b74cd7fd&amp;mc_eid=da4624d261</t>
  </si>
  <si>
    <t>https://fuelcellsworks.com/news/hydrogen-expansion-in-switzerland/?mc_cid=71b74cd7fd&amp;mc_eid=da4624d261</t>
  </si>
  <si>
    <t>https://www.pertamina.com/id/news-room/energia-news/pertamina-optimalkan-manfaat-geotermal</t>
  </si>
  <si>
    <t>https://www.youtube.com/watch?v=wGF_m7rXvzY</t>
  </si>
  <si>
    <t>https://www.biofuelsdigest.com/bdigest/2020/09/16/ecb-signs-contract-with-government-for-paraguayan-omega-green-project/</t>
  </si>
  <si>
    <t>https://p2x.fi/en/hitachi-abb-power-grids-and-p2x-solutions-sign-partnership-agreement-on-electrification-of-finlands-first-industrial-scale-green-hydrogen-production-plant-2/</t>
  </si>
  <si>
    <t>https://reneweconomy.com.au/solar-powered-green-ammonia-plans-in-pilbara-submitted-to-state-epa/</t>
  </si>
  <si>
    <t>https://www.elperiodicodearagon.com/noticias/economia/ercros-invertira-22-millones-planta-sabinanigo-2025_1464594.html</t>
  </si>
  <si>
    <t>https://www.thyssenkrupp-industrial-solutions.com/en/media/press-releases/press-detail/kick-off-to-decarbonizing-ammonia-production--thyssenkrupp-awarded-green-hydrogen-plant-by-cf-industries-98980</t>
  </si>
  <si>
    <t>https://www.cfindustries.com/newsroom/2021/donaldsonville-electrolyzer</t>
  </si>
  <si>
    <t>https://www.businesswire.com/news/home/20210421006131/en/</t>
  </si>
  <si>
    <t>https://www.aramis.admin.ch/Default?DocumentID=46495&amp;Load=true</t>
  </si>
  <si>
    <t>https://www.h2euro.org/whats-h2appening/hannover-2015-finlands-first-in-large-scale-hydrogen-plants/</t>
  </si>
  <si>
    <t>https://www.rechargenews.com/energy-transition/growing-ambition-the-worlds-20-largest-green-hydrogen-projects/2-1-933755</t>
  </si>
  <si>
    <t>https://www.h2-view.com/story/australia-total-eren-and-province-resources-ink-mou-for-potential-8gw-hydrogen-project/</t>
  </si>
  <si>
    <t>https://www.rechargenews.com/energy-transition/oil-companies-and-major-utilities-mulling-purchase-of-1-4gw-green-hydrogen-project-in-chile/2-1-999868</t>
  </si>
  <si>
    <t>As reported by price reporting agency Argus Media: https://www.argusmedia.com/en/news/2203821-engie-ushering-green-h2-into-chiles-mining-patch?amp=1&amp;__twitter_impression=true&amp;s=03</t>
  </si>
  <si>
    <t>https://www.italgas.it/en/press-release/Protocollo-dintesa-tra-CRS4-e-Italgas-per-la-realizzazione-di-un-impianto-per-la-produzione-di-idrogeno-in-Sardegna/</t>
  </si>
  <si>
    <t>https://www.hydroreview.com/business-finance/vitol-acquires-stake-in-hydrogen-company-gen2-energy-that-uses-hydropower/#gref</t>
  </si>
  <si>
    <t>https://cincodias.elpais.com/cincodias/2021/04/28/companias/1619600656_589151.html</t>
  </si>
  <si>
    <t>https://gtt.fr/news/elogen-selected-equip-smartquart-project-led-eon-germany</t>
  </si>
  <si>
    <t>https://h2.johncockerill.com/en/feu-vert-pour-hayrport-le-projet-decomobilite-100-propre-de-john-cockerill-et-liege-airport/</t>
  </si>
  <si>
    <t>https://fuelcellsworks.com/news/hexagon-energy-and-air-products-team-up-on-blue-hydrogen-project-in-australia/?mc_cid=0dec0e5c1a&amp;mc_eid=da4624d261</t>
  </si>
  <si>
    <t>https://news.cision.com/nel-asa/r/nel-asa--receives-purchase-order-for-2-mw-pem-electrolyser,c3339141</t>
  </si>
  <si>
    <t>https://www.enagas.es/enagas/es/Comunicacion/NotasPrensa/27_04_21_NP_Proyecto_DISA_h2_verde_en_Canarias</t>
  </si>
  <si>
    <t>https://www.cbc.ca/news/canada/calgary/suncor-atco-hydrogen-project-alberta-1.6021796</t>
  </si>
  <si>
    <t>https://hexagonresources.com/wp-content/uploads/2021/03/HXG4335_Draft4_Roadshow-Presentation_FINAL-LGv2_full-version.pdf</t>
  </si>
  <si>
    <t>https://www.spglobal.com/platts/en/market-insights/latest-news/electric-power/050621-siemens-energy-masdar-to-build-pilot-uae-hydrogen-plant-by-2022-with-focus-on-saf</t>
  </si>
  <si>
    <t>https://www.maritime-executive.com/article/korea-adds-hydrogen-plant-as-it-approves-giant-floating-wind-farm-plan</t>
  </si>
  <si>
    <t>https://www.h2-view.com/story/pure-hydrogen-targets-port-anthony-victoria-for-hydrogen-hub/</t>
  </si>
  <si>
    <t>https://www.greenport.com/news101/australasia/hydrogen-project-planned-for-port-anthony</t>
  </si>
  <si>
    <t>https://www.h2-view.com/story/pure-hydrogens-plans-to-produce-400-tonnes-of-hydrogen-daily-in-gladstone-australia-progress/</t>
  </si>
  <si>
    <t>https://www.globalcement.com/news/item/12369-carbon-clean-partners-with-bayotech-for-carbon-capture-and-storage-from-hydrogen-production</t>
  </si>
  <si>
    <t>https://www.bayotech.us/news/bayotech-partners-with-carbon-clean</t>
  </si>
  <si>
    <t>https://www.energymagazine.com.au/100-million-for-large-scale-hydrogen-plants/</t>
  </si>
  <si>
    <t>https://www.iberdrola.com/press-room/news/detail/iberdrola-porcelanosa-launch-their-first-project-electrify-ceramic-production-combining-renewables-green-hydrogen-heat-pump-technology</t>
  </si>
  <si>
    <t>https://fuelcellsworks.com/news/in-oman-a-unique-h2-project-is-being-developed-by-ara-petroleum-and-sumitomo-corporation/</t>
  </si>
  <si>
    <t>https://www.h2-view.com/story/25gw-hydrogen-mega-project-set-for-oman/</t>
  </si>
  <si>
    <t>https://www.bloomberg.com/news/articles/2021-05-14/plug-power-to-bring-wind-powered-hydrogen-plant-to-fort-worth</t>
  </si>
  <si>
    <t>https://www.energia-loscabos.com/tecnologia</t>
  </si>
  <si>
    <t>https://www.group.rwe/en/our-portfolio/innovation-and-technology/project-proposals/offshore-to-x</t>
  </si>
  <si>
    <t>https://www.environmentalleader.com/2021/05/ladwp-joins-hydeal-la-to-scale-green-hydrogen/</t>
  </si>
  <si>
    <t>https://www.h2-view.com/story/green-hydrogen-systems-technology-selected-for-wind-to-hydrogen-demo/</t>
  </si>
  <si>
    <t>https://www.h2-view.com/story/orsted-begins-construction-of-1000kg-of-hydrogen-a-day-h2res-project/</t>
  </si>
  <si>
    <t>https://www.topsectorenergie.nl/sites/default/files/uploads/TKI Gas/publicaties/Overview Hydrogen projects in the Netherlands - version 18 May 2021.pdf</t>
  </si>
  <si>
    <t>https://www.prnewswire.com/ae/news-releases/dubai-inaugurates-green-hydrogen-project-first-of-its-kind-in-mena-301295800.html</t>
  </si>
  <si>
    <t>https://fuelcellsworks.com/news/sinopec-to-launch-first-green-hydrogen-project-in-2022/</t>
  </si>
  <si>
    <t>https://www.h2-view.com/story/mmex-signs-new-agreement-to-advance-its-first-hydrogen-project-in-texas/</t>
  </si>
  <si>
    <t>https://www.greenlab.dk/knowledge/greenhyscale-project-enter-grant-agreement-preparation-phase/</t>
  </si>
  <si>
    <t>https://www.renews.biz/69799/irish-start-up-unveils-plans-for-green-hydrogen-in-cork/</t>
  </si>
  <si>
    <t>https://www.h2-view.com/story/new-24mw-electrolysis-plant-set-for-large-scale-green-hydrogen-production/</t>
  </si>
  <si>
    <t>https://www.h2-view.com/story/1bn-abu-dhabi-project-will-produce-200000-tonnes-of-green-ammonia-from-hydrogen/</t>
  </si>
  <si>
    <t>https://www.theguardian.com/world/2021/may/27/oman-plans-to-build-worlds-largest-green-hydrogen-plant</t>
  </si>
  <si>
    <t>https://fuelcellsworks.com/news/mauritania-signs-agreement-to-develop-green-hydrogen-production-plant/</t>
  </si>
  <si>
    <t>https://fuelcellsworks.com/news/everfuel-plans-300mw-hysynergy-phase-ii-electrolyser-in-fredericia/?mc_cid=5381e371d3&amp;mc_eid=da4624d261</t>
  </si>
  <si>
    <t>https://www.greenhydrogennz.com/</t>
  </si>
  <si>
    <t>https://www.cnrl.com/corporate-responsibility/advancements-in-technology/managing-tailings.html</t>
  </si>
  <si>
    <t>http://webadmin.cnrl.com/upload/media_element/1129/04/2020-technology-and-innovation-case-studies.pdf</t>
  </si>
  <si>
    <t>https://www.h2-view.com/story/10bn-hydrogen-and-floating-wind-mega-project-to-be-developed-for-uk-north-sea/</t>
  </si>
  <si>
    <t>https://www.h2-view.com/story/the-e8bn-white-dragon-project-could-produce-250000-tonnes-of-green-hydrogen-annually/</t>
  </si>
  <si>
    <t>http://m.koreaherald.com/view.php?ud=20210531000636</t>
  </si>
  <si>
    <t>https://elperiodicodelaenergia.com/galicia-acoge-un-proyecto-para-producir-combustibles-cero-emisiones-netas-a-partir-de-co2-e-hidrogeno-verde/</t>
  </si>
  <si>
    <t>https://sevilla.abc.es/economia/sevi-h2b2-producira-hidrogeno-para-automoviles-california-202105080733_noticia.html</t>
  </si>
  <si>
    <t>https://www.h2b2.es/project/solar-pv-hydrogen-production-plant-in-central-california/</t>
  </si>
  <si>
    <t>https://www.h2-view.com/story/beeah-to-construct-the-uaes-first-waste-to-hydrogen-facility/</t>
  </si>
  <si>
    <t>https://www.lenergygroup.com/adjudican-licitacion-internacional-para-epc-de-electrolizadores-de-hidrogeno-verde-en-peru/</t>
  </si>
  <si>
    <t>https://www.sireagroup.com/en/2021/03/22/green-hydrogen-photovoltaics/</t>
  </si>
  <si>
    <t>https://www.horisontenergi.no/horisont-energi-chooses-hammerfest-norway-to-build-europes-first-large-scale-carbon-neutral-ammonia-plant/</t>
  </si>
  <si>
    <t>https://www.spglobal.com/platts/en/market-insights/latest-news/electric-power/052821-germany-shortlists-62-hydrogen-projects-with-2-gw-capacity-for-ipcei-state-aid</t>
  </si>
  <si>
    <t>https://hazergroup.com.au/wp-content/uploads/2021/03/210315-Commencement-of-site-works-and-project-update-FINAL.pdf</t>
  </si>
  <si>
    <t>https://www.airproducts.com/news-center/2021/06/0609-air-products-net-zero-hydrogen-energy-complex-in-edmonton-alberta-canada</t>
  </si>
  <si>
    <t>https://hydrogen-central.com/hydrogen-lab-leuna-starts-operations-germany/</t>
  </si>
  <si>
    <t>https://www.awi.de/en/about-us/service/press/single-view/co2-neutral-auf-der-nordsee.html</t>
  </si>
  <si>
    <t>https://www.hydrogen-lab.de/</t>
  </si>
  <si>
    <t>https://www.orlen.pl/EN/PressOffice/Pages/ORLEN-Group-to-launch-international-hydrogen-program.aspx</t>
  </si>
  <si>
    <t>https://www.reuters.com/business/energy/portugals-galp-moves-green-hydrogen-refinery-eyes-12-bln-investment-2021-06-14/</t>
  </si>
  <si>
    <t>https://baijiahao.baidu.com/s?id=1704431415159222866&amp;wfr=spider&amp;for=pc</t>
  </si>
  <si>
    <t>https://www.terram.cl/2021/03/aes-gener-da-primer-paso-en-chile-para-desarrollar-proyecto-en-base-a-hidrogeno-verde/</t>
  </si>
  <si>
    <t>https://www.spglobal.com/marketintelligence/en/news-insights/latest-news-headlines/fortescue-seeks-to-build-green-hydrogen-plant-in-brazil-8211-reuters-63181918</t>
  </si>
  <si>
    <t>https://portodoacu.com.br/en/fortescue-future-industries%E2%80%AFand-port-of-acu%E2%80%AFjoin-forces-to-develop-green-hydrogen-plant-in%E2%80%AFbrazil/</t>
  </si>
  <si>
    <t>https://www.capitalenergetico.cl/wp-content/uploads/2021/03/La-Economia-Verde-Final-Plug-Power.pdf</t>
  </si>
  <si>
    <t>https://www.energiaestrategica.com/tci-gecomp-apuesta-fuerte-en-latinoamerica-con-el-proyecto-hoasis/</t>
  </si>
  <si>
    <t>https://www.ecopetrol.com.co/wps/wcm/connect/b01bdd8a-5f4e-4e23-bab4-53bc536071fe/4May21+Reporte+1T21+ESPA%C3%91OL.PDF?MOD=AJPERES&amp;attachment=false&amp;id=1620164477387</t>
  </si>
  <si>
    <t>https://www.energiaestrategica.com/estos-son-los-siete-proyectos-clave-en-hidrogeno-verde-del-sector-privado-en-chile/</t>
  </si>
  <si>
    <t>https://www.ssme.gov.py/vmme/index.php?option=com_content&amp;view=article&amp;id=2020:proyecto-qla-ruta-del-hidrogeno-h2-en-paraguay&amp;catid=96:sample-news&amp;Itemid=552</t>
  </si>
  <si>
    <t>https://infonegocios.com.py/nota-principal/us-10-millones-para-la-produccion-de-hidrogeno-estado-construira-tres-plantas-para-trabajar-en-la-descarbonizacion-del-transporte</t>
  </si>
  <si>
    <t>https://www.icex.es/icex/es/navegacion-principal/todos-nuestros-servicios/informacion-de-mercados/paises/navegacion-principal/noticias/paraguay-plantas-hidrogeno-new2021880982.html?idPais=PY</t>
  </si>
  <si>
    <t>https://adnoc.ae/en/news-and-media/press-releases/2021/adnoc-to-build-world-scale-blue-ammonia-project</t>
  </si>
  <si>
    <t>https://www.h2-view.com/story/cmb-tech-opens-antwerps-first-multimodal-hydrogen-station-launches-new-hydrogen-truck/</t>
  </si>
  <si>
    <t>https://arena.gov.au/news/seven-shortlisted-for-70-million-hydrogen-funding-round/#funding-applicants</t>
  </si>
  <si>
    <t>https://www.worley.com/news-and-media/2021/contract-to-help-create-green-hydrogen-factory</t>
  </si>
  <si>
    <t>https://www.h2-view.com/story/land-secured-for-3000mw-green-hydrogen-electrolysis-facility-in-australia/</t>
  </si>
  <si>
    <t>https://reneweconomy.com.au/stanwell-partners-with-japans-iwatani-to-develop-gladstone-green-hydrogen-export-hub-24485/</t>
  </si>
  <si>
    <t>https://www.axios.com/2022/03/10/plug-power-taps-abb-for-300m-hydrogen-plants</t>
  </si>
  <si>
    <t>https://www.reuters.com/business/sustainable-business/chinas-sinopec-targets-500000-t-green-hydrogen-capacity-by-2025-2021-06-09/</t>
  </si>
  <si>
    <t>https://www.endesa.com/es/prensa/sala-de-prensa/noticias/transicion-energetica/inversion-600-millones-proyecto-futuro-renovable-sostenible-central-pego-portugal</t>
  </si>
  <si>
    <t>https://www.azocleantech.com/article.aspx?ArticleID=1254</t>
  </si>
  <si>
    <t>https://energy-utilities.com/debt-raising-process-started-for-2-5bn-oman-green-news112760.html</t>
  </si>
  <si>
    <t>https://www.zawya.com/mena/en/business/story/Moroccos_first_green_hydrogen_project_to_start_production_in_2025-ZAWYA20210524060307/</t>
  </si>
  <si>
    <t>https://www.energy-storage.news/news/developers-of-utah-green-hydrogen-storage-hub-invited-to-apply-for-us-depar</t>
  </si>
  <si>
    <t>https://renewablesnow.com/news/swedish-steel-mill-to-install-17-mw-hydrogen-plant-745424/</t>
  </si>
  <si>
    <t>https://www.h2-view.com/story/aberdeen-city-council-wants-to-start-developing-aberdeens-hydrogen-hub-search-for-a-joint-venture-partner-begins/</t>
  </si>
  <si>
    <t>https://www.rechargenews.com/energy-transition/global-green-hydrogen-pipeline-exceeds-200gw-heres-the-25-largest-gigawatt-scale-projects/2-1-933755</t>
  </si>
  <si>
    <t>https://www.independent.ie/business/irish/ei-h2-and-zenith-announce-plans-for-green-hydrogen-plant-in-bantry-bay-40623074.html</t>
  </si>
  <si>
    <t>https://blog.topsoe.com/danish-partnership-receives-support-from-the-danish-energy-technology-development-and-demonstration-program-eudp-for-worlds-first-industrial-dynamic-green-ammoni-1624599909696?utm_content=170812983&amp;utm_medium=social&amp;utm_source=twitter&amp;hss_channel=tw-2233307129</t>
  </si>
  <si>
    <t>https://www.equinor.com/en/news/20210408-sse-thermal-hydrogen-ccs-humber.html</t>
  </si>
  <si>
    <t>https://www.offshorewind.biz/2020/12/16/atlantic-shores-partners-up-with-sji-for-green-hydrogen-pilot/</t>
  </si>
  <si>
    <t>https://apps1.semarnat.gob.mx:8443/dgiraDocs/documentos/gto/estudios/2020/11GU2020E0092.pdf</t>
  </si>
  <si>
    <t>https://www.revistapetroquimica.com/quieren-reactivar-la-planta-de-hidrogeno-de-pico-truncado/</t>
  </si>
  <si>
    <t>https://www.mexicangreenhydrogen.com/</t>
  </si>
  <si>
    <t>https://www.h2-view.com/story/new-237mw-green-hydrogen-plant-set-for-the-spanish-bay-of-algeciras/</t>
  </si>
  <si>
    <t>https://www.gazifere.com/wp-content/uploads/2021/02/Communiqu%C3%A9-de-presse_Evolugen-X-Gazif%C3%A8re_20210225_EN-1.pdf</t>
  </si>
  <si>
    <t>https://svevind.se/en/2021/06/23/svevind-and-kazakh-invest-national-company-jsc-sign-a-memorandum-of-understanding/</t>
  </si>
  <si>
    <t>https://www.enagas.es/enagas/es/Comunicacion/NotasPrensa/21_06_2021_NP_Proyecto_hidr%C3%B3geno_verde_Algeciras_Fisterra_y_White_Summit</t>
  </si>
  <si>
    <t>https://www.elecnor.com/noticias/enerfin-construira-una-planta-de-hidrogeno-verde-en-el-puerto-exterior-de-a-coruna</t>
  </si>
  <si>
    <t>https://www.offshore-energy.biz/port-of-immingham-hydrogen-supply-bid-submitted/</t>
  </si>
  <si>
    <t>https://www.energie.fraunhofer.de/en/press-media/press-release/press-releases-2020/PI-200729-fraunhofer-igb-Fraunhofer-research-for-German-Moroccan-hydrogen-initiative.html</t>
  </si>
  <si>
    <t>https://www.youtube.com/watch?v=DQpdXEgREBk</t>
  </si>
  <si>
    <t>https://www.stuff.co.nz/taranaki-daily-news/news/113558410/34b-taranaki-energy-centre-could-be-up-and-running-in-2024</t>
  </si>
  <si>
    <t>https://www.globalccsinstitute.com/wp-content/uploads/2019/10/Lee_Hydrogen_Innovation_leadership.pdf</t>
  </si>
  <si>
    <t>https://www.reuters.com/world/china/sinopec-starts-building-carbon-capture-project-east-china-2021-07-05/</t>
  </si>
  <si>
    <t>https://www.youtube.com/watch?v=ma_6qiEXWU8</t>
  </si>
  <si>
    <t>https://www.arabnews.com/node/1876061/business-economy</t>
  </si>
  <si>
    <t>https://fuelcellsworks.com/news/mauritania-signs-agreement-to-develop-green-hydrogen-production-plant/?mc_cid=670c7701d2&amp;mc_eid=da4624d261</t>
  </si>
  <si>
    <t>https://fuelcellsworks.com/news/aeg-power-solutions-supplying-power-to-h-tec-electrolysers-at-haurup-wind-power-site/?mc_cid=670c7701d2&amp;mc_eid=da4624d261</t>
  </si>
  <si>
    <t>https://fuelcellsworks.com/news/amber-grid-the-first-green-hydrogen-production-project-is-launched-in-lithuania/?mc_cid=fdae331992&amp;mc_eid=da4624d261</t>
  </si>
  <si>
    <t>https://www.spglobal.com/platts/en/market-insights/latest-news/electric-power/061521-bavarias-six-ipcei-shortlisted-hydrogen-projects-may-get-eur1-billion</t>
  </si>
  <si>
    <t>https://sequestration.mit.edu/tools/projects/enid_fertilizer.html</t>
  </si>
  <si>
    <t>https://www.gasnetworks.ie/corporate/gas-regulation/service-for-suppliers/code-of-operations/code-modifications/code-modification-forum-meetings/2019_cmf_meetings/20190612_Cod_Mod_Forum_CCS__H2-Slide-Presentation.pdf</t>
  </si>
  <si>
    <t>https://www.bloomberg.com/news/articles/2021-02-25/energean-plans-500-million-greek-carbon-storage-and-h2-facility</t>
  </si>
  <si>
    <t>https://corporate.arcelormittal.com/media/news-articles/air-liquide-and-arcelormittal-join-forces-to-accelerate-the-decarbonisation-of-steel-production-in-the-dunkirk-industrial-basin</t>
  </si>
  <si>
    <t>https://www.cffertilisers.co.uk/media-centre/news/cf-fertilisers-welcomes-carbon-capture-and-storage-ccs-funding-related-to-hynet-north-west-project/</t>
  </si>
  <si>
    <t>https://www.windpowermonthly.com/article/1721806/huge-offshore-wind-farm-power-green-hydrogen-brazil</t>
  </si>
  <si>
    <t>https://renewablesnow.com/news/fortescue-plans-usd-6bn-green-hydrogen-project-at-brazils-pecem-port-746992/</t>
  </si>
  <si>
    <t>https://www.youtube.com/watch?v=0XGGMELbQHQ</t>
  </si>
  <si>
    <t>https://www.youtube.com/watch?v=oNYekd5IzbI</t>
  </si>
  <si>
    <t>https://www.youtube.com/watch?v=ofjObCUg6xQ&amp;t=2s</t>
  </si>
  <si>
    <t>http://www.elygrid.com/wp-content/uploads/2015/09/HE8-Zhaoquing-China-022014-Empa-Vg-ex.pdf</t>
  </si>
  <si>
    <t>http://41.222.168.85/NewsDetails.aspx?id=34</t>
  </si>
  <si>
    <t>https://www.upstreamonline.com/energy-transition/shell-unveils-plans-for-giant-canadian-carbon-capture-and-storage-project/2-1-1039795</t>
  </si>
  <si>
    <t>https://energy.economictimes.indiatimes.com/news/oil-and-gas/shell-to-join-clean-hydrogen-project-in-norway/84342116</t>
  </si>
  <si>
    <t>https://www.ir.plugpower.com/Press-Releases/Press-Release-Details/2021/Apex-Clean-Energy-and-Plug-Power-Partner-on-Largest-Green-Hydrogen-Power-Purchase-Agreement-in-the-United-States/default.aspx</t>
  </si>
  <si>
    <t>https://www.energy.gov/eere/fuelcells/articles/us-hydrogen-electrolyzer-locations-and-capacity</t>
  </si>
  <si>
    <t>https://www.energy.gov/sites/prod/files/2020/10/f79/h2iq_10082020_h2scale.pdf</t>
  </si>
  <si>
    <t>https://www.h2-view.com/story/siemens-unveils-plans-for-one-of-germanys-largest-hydrogen-production-plants/</t>
  </si>
  <si>
    <t>https://www.iberdrola.com/sala-comunicacion/noticias/detalle/iberdrola-foresa-proyectan-inversiones-hidrogeno-renovable-para-produccion-metanol-verde-galicia</t>
  </si>
  <si>
    <t>https://www.sunfire.de/en/news/detail/totalenergies-sunfire-and-fraunhofer-give-the-go-ahead-for-green-methanol-in-leuna</t>
  </si>
  <si>
    <t>https://www.world-energy.org/article/12157.html</t>
  </si>
  <si>
    <t>https://www.bp.com/en_au/australia/home/who-we-are/reimagining-energy/low-carbon-technology/geraldton-export-scale-renewable-investment.html</t>
  </si>
  <si>
    <t>https://intercontinentalenergy.com/western-green-energy-hub</t>
  </si>
  <si>
    <t>https://research.csiro.au/hyresource/bio-hydrogen-demonstration-plant/</t>
  </si>
  <si>
    <t>https://research.csiro.au/hyresource/apa-renewable-methane-demonstration-project/</t>
  </si>
  <si>
    <t>https://research.csiro.au/hyresource/manilla-solar-project/</t>
  </si>
  <si>
    <t>https://research.csiro.au/hyresource/bundaberg-hydrogen-hub/</t>
  </si>
  <si>
    <t>https://research.csiro.au/hyresource/daintree-microgrid-project/</t>
  </si>
  <si>
    <t>https://research.csiro.au/hyresource/h2-hub-gladstone/</t>
  </si>
  <si>
    <t>https://research.csiro.au/hyresource/origin-green-hydrogen-and-ammonia-plant/</t>
  </si>
  <si>
    <t>https://research.csiro.au/hyresource/arrowsmith-hydrogen-project/</t>
  </si>
  <si>
    <t>https://research.csiro.au/hyresource/christmas-creek-renewable-hydrogen-mobility-project/</t>
  </si>
  <si>
    <t>https://research.csiro.au/hyresource/hazer-commercial-demonstration-plant/</t>
  </si>
  <si>
    <t>https://research.csiro.au/hyresource/sun-metals-hydrogen-queensland-sunhq-project/</t>
  </si>
  <si>
    <t>https://research.csiro.au/hyresource/abel-energy-bell-bay-powerfuels-project/</t>
  </si>
  <si>
    <t>https://research.csiro.au/hyresource/grange-resources-renewable-hydrogen-study/</t>
  </si>
  <si>
    <t>https://research.csiro.au/hyresource/melbourne-hydrogen-hub/</t>
  </si>
  <si>
    <t>https://research.csiro.au/hyresource/portland-renewable-hydrogen-project/</t>
  </si>
  <si>
    <t>https://research.csiro.au/hyresource/swinburne-university-of-technology-victorian-hydrogen-hub-csiro-hydrogen-refuelling-station/</t>
  </si>
  <si>
    <t>https://www.pv-tech.org/acme-to-set-up-3-5gw-green-hydrogen-facility-in-oman-in-us3-5bn-deal/</t>
  </si>
  <si>
    <t>https://www.h2-view.com/story/e100m-awarded-to-german-offshore-wind-to-green-hydrogen-project/</t>
  </si>
  <si>
    <t>https://www.h2-view.com/story/rio-tinto-looks-to-decarbonise-operations-with-hydrogen/</t>
  </si>
  <si>
    <t>https://www.rumbominero.com/noticias/internacionales/chile-produce-su-primera-molecula-de-hidrogeno-verde-para-mineria/</t>
  </si>
  <si>
    <t>https://fuelcellsworks.com/news/anglo-american-opens-first-green-hydrogen-station-for-zero-carbon-mining-vehicles-in-chile/</t>
  </si>
  <si>
    <t>https://ijglobal.com/articles/157261/india-to-pilot-green-hydrogen-at-hospital</t>
  </si>
  <si>
    <t>https://www.pv-magazine-australia.com/press-releases/fortescue-future-industries-signs-collaboration-agreement-regarding-a-potential-large-scale-renewable-green-hydrogen-plant-in-new-zealand/#:~:text=Fortescue%20Future%20Industries%20(FFI)%20has,project%20in%20Southland%2C%20New%20Zealand.</t>
  </si>
  <si>
    <t>https://www.iene.eu/japans-largest-green-hydrogen-plant-powered-by-wind-set-to-open-in-2024-p6361.html</t>
  </si>
  <si>
    <t>As reported by price reporting agency Argus Media: https://www.argusmedia.com/en/news/2242438-trinidad-lays-groundwork-for-green-ammonia</t>
  </si>
  <si>
    <t>https://fuelcellsworks.com/news/mmex-resources-corp-advances-planned-solar-powered-green-hydrogen-project-in-pecos-county-texas/?mc_cid=796d0f825a&amp;mc_eid=da4624d261</t>
  </si>
  <si>
    <t>https://fuelcellsworks.com/news/green-hydrogen-systems-signs-the-first-purchase-order-of-electrolysers-in-norway/?mc_cid=796d0f825a&amp;mc_eid=da4624d261</t>
  </si>
  <si>
    <t>https://fuelcellsworks.com/news/raven-sr-partners-with-republic-services-to-produce-commercial-green-hydrogen-in-northern-california-starting-summer-2022/?mc_cid=796d0f825a&amp;mc_eid=da4624d261</t>
  </si>
  <si>
    <t>https://www.spglobal.com/platts/en/market-insights/latest-news/oil/082521-exxonmobils-imperial-oil-plans-canadian-renewable-diesel-project</t>
  </si>
  <si>
    <t>https://www.gasworld.com/hydrogen-and-ccs-developments-planned-for-the-port-of-corpus-christi/2021509.article</t>
  </si>
  <si>
    <t>https://www.greencarcongress.com/2021/08/20210819-bakken.html</t>
  </si>
  <si>
    <t>https://fuelcellsworks.com/news/green-hydrogen-systems-electrolysers-chosen-by-octopus-hydrogen-for-a-project-in-the-uk/?mc_cid=e5c7eff1d8&amp;mc_eid=da4624d261</t>
  </si>
  <si>
    <t>https://fuelcellsworks.com/news/linde-signs-long-term-agreement-with-infineon-technologies-for-on-site-green-hydrogen-production/?mc_cid=e5c7eff1d8&amp;mc_eid=da4624d261</t>
  </si>
  <si>
    <t>https://mb.cision.com/Main/115/3399294/1455892.pdf</t>
  </si>
  <si>
    <t>https://www.fusion-fuel.eu/projects/europe-middle-east-africa/portugal/hevo-sul/</t>
  </si>
  <si>
    <t>https://ir.fusion-fuel.eu/static-files/1992cf1f-fe4e-4479-8ac4-e62b81eda238</t>
  </si>
  <si>
    <t>https://www.rechargenews.com/transition/acciona-leads-plan-to-build-worlds-first-floating-wind-and-solar-hydrogen-complex/2-1-946028?hs=</t>
  </si>
  <si>
    <t>https://fuelcellsworks.com/news/taqa-group-emirates-steel-to-enable-the-regions-first-green-steel-manufacturing-using-green-hydrogen/?mc_cid=17d3840ce5&amp;mc_eid=da4624d261</t>
  </si>
  <si>
    <t>https://fuelcellsworks.com/news/scottish-floating-wind-project-forms-green-hydrogen-tie-up/?mc_cid=17d3840ce5&amp;mc_eid=da4624d261</t>
  </si>
  <si>
    <t>https://www.man-es.com/company/press-releases/press-details/2021/08/12/taqa-arabia-signs-mou-with-man-energy-solutions-for-egyptian-green-hydrogen-project</t>
  </si>
  <si>
    <t>https://murciaeconomia.com/art/78343/iberdrola-contempla-construir-en-murcia-una-hidrogenera-de-5-megavatios</t>
  </si>
  <si>
    <t>https://www.chemengonline.com/sewage-to-hydrogen-plant-reaches-completion-in-tokyo/</t>
  </si>
  <si>
    <t>https://www.straitstimes.com/business/economy/china-approves-renewable-mega-project-for-green-hydrogen</t>
  </si>
  <si>
    <t>https://www.vitol.com/phillips-66-uniper-and-vitols-vpi-immingham-enter-mou-to-develop-decarbonisation-project-humber-zero/</t>
  </si>
  <si>
    <t>http://www.asianmetal.com/news/data/1649670/7/HBIS%20to%20put%20hydrogen-based%20DRI%20plant%20phase%20I%20into%20operation%20by%20late%202021</t>
  </si>
  <si>
    <t>https://asia.nikkei.com/Business/Energy/Itochu-s-blue-ammonia-from-Canada-to-power-Japan-s-green-future</t>
  </si>
  <si>
    <t>https://www.latercera.com/pulso/noticia/gasvalpo-lanza-proyecto-piloto-para-distribucion-de-hidrogeno-verde-a-hogares/ZD23RJY7TRELTGKDOB5VGHEVHU/</t>
  </si>
  <si>
    <t>https://www.enelgreenpower.com/media/press/2021/09/groundbreaking-ceremony-first-green-hydrogen-pilot-plant-magallanes-chile</t>
  </si>
  <si>
    <t>https://www.h2-view.com/story/repsol-to-develop-new-2-5mw-electrolyser-in-basque-country-spain/</t>
  </si>
  <si>
    <t>https://www.zukunftsheizen.de/fileadmin/user_upload/Downloads/BET_2021_Vortrag_Tremel_Siemens_Chiles_wind_to_Europe.pdf</t>
  </si>
  <si>
    <t>https://www.sgn.co.uk/H100Fife</t>
  </si>
  <si>
    <t>https://mp.weixin.qq.com/s/p1Pvn5fE_3jCuxldncD49A</t>
  </si>
  <si>
    <t>https://www.southerngreenhydrogen.co.nz/articles/huge-interest-in-southland-green-hydrogen-project</t>
  </si>
  <si>
    <t>https://totalenergies.com/media/news/press-releases/totalenergies-and-air-liquide-partner-develop-low-carbon-hydrogen</t>
  </si>
  <si>
    <t>https://volth2.com/projects/</t>
  </si>
  <si>
    <t>https://www.grupofertiberia.com/media/605649/20211015-np-planta-fertiberia-suecia_def_en-1.pdf</t>
  </si>
  <si>
    <t>https://fairfuel.atmosfair.de/wp-content/uploads/2021/10/Short-description_atmosfair_E-Kerosene-plant_EN_092021.pdf</t>
  </si>
  <si>
    <t>https://www.dw.com/en/sustainable-aviation-fuel-power-to-liquid/a-59398405?maca=en-Twitter-sharing</t>
  </si>
  <si>
    <t>https://cordis.europa.eu/project/id/101037009</t>
  </si>
  <si>
    <t>https://svevind.se/en/2021/10/10/roadmap-signed-or-30-gw-green-hydrogen-developments-in-kazakhstan/</t>
  </si>
  <si>
    <t>https://www.actusnews.com/fr/hdf-energy/cp/2021/09/29/hdf-energy-breaks-ground-on-world_s-largest-green-hydrogen-power-project</t>
  </si>
  <si>
    <t>https://www.wartsila.com/media/news/15-01-2021-wartsila-plus-venture-partners-in-vaasa-to-cooperate-in-wind-power-to-hydrogen-to-electricity-project-2845339</t>
  </si>
  <si>
    <t>https://www.rechargenews.com/energy-transition/new-10gw-green-hydrogen-project-in-mauritania-could-include-africas-first-offshore-wind-farm/2-1-1074316</t>
  </si>
  <si>
    <t>https://www.concrete-chemicals.eu/project</t>
  </si>
  <si>
    <t>https://files.woodside/docs/default-source/media-releases/woodside%27s-h2perth-to-make-western-australia-a-hydrogen-powerhouse.pdf?sfvrsn=3857b154_2</t>
  </si>
  <si>
    <t>https://www.h2-view.com/story/neptune-energy-and-partners-to-develop-blue-hydrogen-plant-in-the-uk/</t>
  </si>
  <si>
    <t>https://private.cedigaz.org/newsreport_pdf/61766c96eb575_CNR60-21.pdf</t>
  </si>
  <si>
    <t>https://renewablesnow.com/news/maersk-vessel-to-run-on-green-methanol-from-european-energy-751353/</t>
  </si>
  <si>
    <t>https://www.airproducts.com/campaigns/la-blue-hydrogen-project#/</t>
  </si>
  <si>
    <t>https://gov.louisiana.gov/index.cfm/newsroom/detail/3421</t>
  </si>
  <si>
    <t>https://www.world-nuclear-news.org/Articles/US-DOE-funds-hydrogen-production-from-nuclear-powe</t>
  </si>
  <si>
    <t>https://www.horisontenergi.no/horisont-energi-equinor-and-var-energi-enter-cooperation-agreement-for-barents-blue-ammonia-plant/</t>
  </si>
  <si>
    <t>https://www.greenlab.dk/knowledge/greenhyscale-project-official-kick-off/</t>
  </si>
  <si>
    <t>https://www.h2-view.com/story/france-hypster-project-to-produce-400kg-of-green-hydrogen-daily/</t>
  </si>
  <si>
    <t>https://hydrogen-pro.com/2021/10/29/hydrogenpro-as-ose-hypro-hydrogenpro-joins-key-suppliers-and-investors-in-providing-convertible-loan-to-dg-fuels-sustainable-aviation-fuel-facility-in-louisiana/</t>
  </si>
  <si>
    <t>https://www.h2-view.com/story/9-4bn-hydrogen-megaproject-set-for-namibia/</t>
  </si>
  <si>
    <t>https://www.itm-power.com/news/12mw-electrolyser-sale</t>
  </si>
  <si>
    <t>https://www.h2-view.com/story/tasmania-targets-1-7gw-hydrogen-production-with-new-woodside-project/</t>
  </si>
  <si>
    <t>https://www.constructioncayola.com/batiment/article/2021/09/09/136025/vicat-hynamics-edf-partenariat-dans-sens-neutralite-carbone</t>
  </si>
  <si>
    <t>https://ec.europa.eu/clima/system/files/2021-11/policy_funding_innovation-fund_large-scale_successful_projects_en.pdf</t>
  </si>
  <si>
    <t>https://www.goteborgshamn.se/press/pressmeddelanden/anlaggning-for-vatgasproduktion-planeras-i-goteborgs-hamn/</t>
  </si>
  <si>
    <t>https://www.icis.com/explore/resources/news/2021/08/04/10670520/uk-cluster-sequencing-could-support-8gw-of-hydrogen-capacity</t>
  </si>
  <si>
    <t>https://pmt.honeywell.com/us/en/about-pmt/newsroom/press-release/2021/11/sk-innovation-to-use-honeywell-technology-for-carbon-capture-and-sequestration-feasibility-study-in-korea?utm_medium=social&amp;utm_source=everyonesocial&amp;es_id=41eb30e602</t>
  </si>
  <si>
    <t>https://www.mitsubishicorp.com/jp/en/pr/archive/2021/html/0000047710.html</t>
  </si>
  <si>
    <t>https://hydrogen-central.com/shell-largest-green-hydrogen-factory-maasvlakte-2-kraaijvanger-netherlands/</t>
  </si>
  <si>
    <t>https://www.akerhorizons.com/news/northern-horizons-a-pathway-for-scotland-to-become-a-clean-energy-exporter</t>
  </si>
  <si>
    <t>https://www.h2-view.com/story/75mw-green-hydrogen-project-gets-greenlight-for-development-in-the-netherlands/</t>
  </si>
  <si>
    <t>https://africa-energy-portal.org/news/kepsa-signs-large-scale-green-energy-projects-mou-kenya</t>
  </si>
  <si>
    <t>https://www.ir.plugpower.com/Press-Releases/Press-Release-Details/2021/Plug-Power-Selected-by-Fertiglobes-Green-Hydrogen-Consortium-to-Deliver-100MW-Electrolyzer-for-Green-Ammonia/default.aspx?&amp;utm_source=organic-social-pr&amp;utm_medium=twitter&amp;utm_campaign=oci-egypt-release&amp;utm_term=APR</t>
  </si>
  <si>
    <t>https://news.cision.com/nel-asa/r/nel-asa--receives-purchase-order-for-20mw-alkaline-electrolyser-from-ovako,c3460492</t>
  </si>
  <si>
    <t>https://www.pv-magazine.com/2021/11/22/giant-green-hydrogen-project-powered-by-6-gw-of-off-grid-solar-and-wind-proposed-for-south-australia/</t>
  </si>
  <si>
    <t>https://www.ammoniaenergy.org/articles/mauritania-ammonia-mega-project-enters-next-phase/</t>
  </si>
  <si>
    <t xml:space="preserve">https://www.northerngasnetworks.co.uk/wp-content/uploads/2018/11/H21-Meeting-UK-Climate-Change-Obligations.pdf </t>
  </si>
  <si>
    <t>https://www.spglobal.com/platts/es/products-services/metals/market-data-metals</t>
  </si>
  <si>
    <t>https://fuelcellsworks.com/news/scatecs-green-hydrogen-consortium-in-egypt-selects-plug-power-for-delivery-of-100-mw-electrolyser/?mc_cid=01cbc66a8c&amp;mc_eid=da4624d261</t>
  </si>
  <si>
    <t>https://fuelcellsworks.com/news/humber-green-hydrogen-gigastack-project-one-step-closer-to-renewable-hydrogen-at-industrial-scale-as-phase-2-concludes/?mc_cid=57729a593d&amp;mc_eid=da4624d261</t>
  </si>
  <si>
    <t>https://flexnconfu.eu/demonstration/</t>
  </si>
  <si>
    <t>https://www.lavieeco.com/economie/lhydrogene-vert-sera-bientot-produit-au-maroc/</t>
  </si>
  <si>
    <t>https://energynews.biz/tlou-energy-and-synergen-met-partner-on-green-hydrogen-project-in-botswana/</t>
  </si>
  <si>
    <t>As reported by price reporting agency Argus Media: https://www.argusmedia.com/en/news/2272275-chinas-sinopec-to-launch-qingdao-hydrogen-facility</t>
  </si>
  <si>
    <t>https://www.energy.gov.au/news-media/news/funding-renewable-hydrogen-projects</t>
  </si>
  <si>
    <t>https://www.h2-view.com/story/californian-plant-to-produce-12200kg-of-green-hydrogen-daily/</t>
  </si>
  <si>
    <t>https://www.h2-view.com/story/green-hydrogen-and-ammonia-project-planned-for-kazakhstan/</t>
  </si>
  <si>
    <t>As reported by price reporting agency Argus Media: https://www.argusmedia.com/en/news/2270376-fortescue-plans-argentina-green-hydrogen-project</t>
  </si>
  <si>
    <t>https://fuelcellsworks.com/news/gev-to-develop-2-8-gw-green-hydrogen-export-project-tiwi-islands-australia/</t>
  </si>
  <si>
    <t>https://fuelcellsworks.com/news/first-order-placed-for-enapters-aem-multicore-megawatt-class-electrolyser-system/?mc_cid=9ed68568bf&amp;mc_eid=da4624d261</t>
  </si>
  <si>
    <t>https://www.ineos.com/news/ineos-group/ineos-green-hydrogen-project-accelerates-towards-net-zero-future-in-germany-by-2045/</t>
  </si>
  <si>
    <t>https://www.governor.ny.gov/news/governor-hochul-announces-construction-start-largest-green-hydrogen-plant-north-america</t>
  </si>
  <si>
    <t>https://www.ir.plugpower.com/Press-Releases/Press-Release-Details/2021/Plug-Power-to-Build-Largest-Green-Hydrogen-Production-Facility-on-the-West-Coast/default.aspx</t>
  </si>
  <si>
    <t>https://www.dawn.com/news/1653735</t>
  </si>
  <si>
    <t>https://mcphy.com/en/press-releases/cooperation-agreement-with-enel-green-power/?cn-reloaded=1&amp;cn-reloaded=1</t>
  </si>
  <si>
    <t>https://www.rtbf.be/info/belgique/detail_cop26-la-belgique-importera-de-l-hydrogene-vert-produit-en-namibie?id=10873065</t>
  </si>
  <si>
    <t>https://www.woodplc.com/news/latest-press-releases/2021/Wood-and-HYGEN-Energy-to-accelerate-green-hydrogen-production-in-the-UK</t>
  </si>
  <si>
    <t>https://www.h2greensteel.com/h2-green-steel-and-iberdrola-announce-23-billion-green-hydrogen-venture</t>
  </si>
  <si>
    <t>http://h2piyr.eu/es/los-socios-del-proyecto-h2piyr-inauguran-la-hidrogenera-de-pamiers/</t>
  </si>
  <si>
    <t>https://reneweconomy.com.au/solar-powered-green-ammonia-plans-in-pilbara-submitted-to-state-epa/amp/</t>
  </si>
  <si>
    <t>https://www.total-eren.com/wp-content/uploads/2021/12/PR-Chile_H2_02122021_EN_FINAL-TC_pp_V2.pdf</t>
  </si>
  <si>
    <t>https://www.power-technology.com/news/acciona-energia-australia-hydrogen/</t>
  </si>
  <si>
    <t>https://www.pv-magazine.com/2021/11/22/indian-oil-launches-tender-for-green-hydrogen-generation-units/</t>
  </si>
  <si>
    <t>World’s Largest Green Hydrogen Project Begins Construction - BNEF</t>
  </si>
  <si>
    <t>https://fuelcellsworks.com/news/france-auxerois-inagurates-largest-hydrogen-production-and-distribution-site-in-france/?mc_cid=8a8bc1ef04&amp;mc_eid=da4624d261</t>
  </si>
  <si>
    <t>https://www.youtube.com/watch?v=Hkub341JQxA</t>
  </si>
  <si>
    <t>https://fuelcellsworks.com/news/budweiser-brewing-group-protium-go-green-with-hydrogen-at-wales-brewery/?mc_cid=8a8bc1ef04&amp;mc_eid=da4624d261</t>
  </si>
  <si>
    <t>https://fuelcellsworks.com/news/ineos-announces-over-e2-billion-investment-in-green-hydrogen-production/?mc_cid=8a8bc1ef04&amp;mc_eid=da4624d261</t>
  </si>
  <si>
    <t>https://fuelcellsworks.com/news/dnv-provides-technical-services-on-solar-and-green-hydrogen-plant-in-western-french-guiana/?mc_cid=8a8bc1ef04&amp;mc_eid=da4624d261</t>
  </si>
  <si>
    <t>https://fuelcellsworks.com/news/hysolar-electrolyser-on-kwr-site-will-supply-yearly-250-tons-of-green-hydrogen/?mc_cid=8a8bc1ef04&amp;mc_eid=da4624d261</t>
  </si>
  <si>
    <t>https://fuelcellsworks.com/news/hy-stor-energy-developing-first-ever-u-s-zero-carbon-green-hydrogen-storage-hub/?mc_cid=8a8bc1ef04&amp;mc_eid=da4624d261</t>
  </si>
  <si>
    <t>https://www.businesswire.com/news/home/20211019005429/en/Hy-Stor-Energy-Developing-First-Ever-U.S.-Zero-Carbon-Green-Hydrogen-Storage-Hub</t>
  </si>
  <si>
    <t>https://www.cbc.ca/news/canada/calgary/montem-tent-mountain-green-energy-complex-1.6218293</t>
  </si>
  <si>
    <t>https://fuelcellsworks.com/news/empire-state-development-announces-linde-to-invest-17-million-in-first-north-american-pem-electrolyzer-plant-in-new-york-state/?mc_cid=77e2194253&amp;mc_eid=da4624d261</t>
  </si>
  <si>
    <t>https://www.linde.com/news-media/press-releases/2022/linde-to-increase-green-hydrogen-production-in-the-united-states</t>
  </si>
  <si>
    <t>https://energynews.biz/production-of-blue-hydrogen-begins-in-changwon-city/?utm_source=rss&amp;utm_medium=rss&amp;utm_campaign=production-of-blue-hydrogen-begins-in-changwon-city</t>
  </si>
  <si>
    <t>https://fuelcellsworks.com/news/sweetman-renewables-signs-15m-joint-venture-to-create-new-hydrogen-hub/?mc_cid=77e2194253&amp;mc_eid=da4624d261</t>
  </si>
  <si>
    <t>https://www.sasgroup.net/newsroom/press-releases/2021/sas-vattenfall-shell-and-lanzatech-to-explore-synthetic-sustainable-aviation-fuel-production/</t>
  </si>
  <si>
    <t>Middle East Petroleum and Economic Publications - Weekly Energy, Economic &amp; Geopolitical Outlook Vol. 64. No. 39, 1.October.2021.</t>
  </si>
  <si>
    <t>https://energy-utilities.com/international-firms-sign-agreement-with-oman-for-news114757.html</t>
  </si>
  <si>
    <t>https://www.h2-view.com/story/australia-to-gain-hydrogen-production-project-with-a-900-tonne-per-day-capacity-by-2031/</t>
  </si>
  <si>
    <t>https://www.h2-view.com/story/russias-novatek-set-to-supply-blue-hydrogen-to-rwe/</t>
  </si>
  <si>
    <t>https://fuelcellsworks.com/news/technip-energies-awarded-indias-largest-pem-based-hydrogen-project-by-ntpc/?mc_cid=7a16b6dbf6&amp;mc_eid=da4624d261</t>
  </si>
  <si>
    <t>https://www.mitsubishicorp.com/jp/en/pr/archive/2021/html/0000047790.html</t>
  </si>
  <si>
    <t>https://www.infiniteblueenergy.com/projects/arrowsmith-hydrogen-plant-stage-1/</t>
  </si>
  <si>
    <t>https://fuelcellsworks.com/news/infinite-blue-energy-signs-mou-with-strike-energys-project-haber/?mc_cid=e014ff7079&amp;mc_eid=da4624d261</t>
  </si>
  <si>
    <t>https://www.bluescope.com/bluescope-news/2021/12/bluescope-and-shell-sign-mou/</t>
  </si>
  <si>
    <t>https://strikeenergy.com.au/project-haber/</t>
  </si>
  <si>
    <t>https://renewablesnow.com/news/edp-to-pour-eur-550m-to-revamp-spanish-coal-fired-plant-into-green-h2-facility-754051/</t>
  </si>
  <si>
    <t>https://www.pilotenergy.com.au/sites/pilotenergy.com.au/files/asx-announcements/61045427.pdf</t>
  </si>
  <si>
    <t>https://www.ineos.com/news/shared-news/ineos-grangemouth-moves-forward-on-the-next-phase-of-its-journey-to-reduce-greenhouse-gas-emissions-to-net-zero-by-2045-with-further-investment-in-excess-of-1-billion/</t>
  </si>
  <si>
    <t>https://www.engineering-airliquide.com/air-liquide-engineering-construction-supports-decarbonization-zeeland-refinery</t>
  </si>
  <si>
    <t>https://www.sasol.com/media-centre/media-releases/sasol-announces-lead-role-feasibility-study-boegoebaai-green-hydrogen</t>
  </si>
  <si>
    <t>https://renews.biz/74222/south-australia-unveils-plans-for-440mw-electrolyser/</t>
  </si>
  <si>
    <t>https://global.kawasaki.com/news_211209-2e.pdf</t>
  </si>
  <si>
    <t>https://www.upstreamonline.com/energy-transition/novatek-speeds-up-hydrogen-and-ccs-preparations/2-1-1046544</t>
  </si>
  <si>
    <t>https://www.upstreamonline.com/lng/novatek-hunting-partners-for-obsky-hydrogen-and-ammonia-facility-in-west-siberia/2-1-1030940</t>
  </si>
  <si>
    <t>https://environmental.pasenategop.com/wp-content/uploads/sites/34/2021/03/03.10.2021-Babb-Perry-KeyState-Senate-Energy-Comm.-Hearing-3.10.21.pdf</t>
  </si>
  <si>
    <t>https://reneweconomy.com.au/massive-15bn-desert-bloom-green-hydrogen-project-gets-planning-fast-track/</t>
  </si>
  <si>
    <t>https://fuelcellsworks.com/news/agl-and-fortescue-to-explore-green-hydrogen-for-hunter-energy-hub/?mc_cid=6524044ca7&amp;mc_eid=da4624d261</t>
  </si>
  <si>
    <t>https://www.prnewswire.com/news-releases/one-of-the-largest-green-hydrogen-projects-in-the-world-thyssenkrupp-signs-contract-to-install-over-2gw-electrolysis-plant-for-air-products-in-neom-301443003.html</t>
  </si>
  <si>
    <t>https://www.ammoniaenergy.org/articles/saudi-arabia-ships-low-carbon-ammonia-to-japan/</t>
  </si>
  <si>
    <t>https://www.ammoniaenergy.org/wp-content/uploads/2019/08/20191113.0935-Hanson_2019_AIChE_Ammonia-Synthesis_Pyrolysis.pdf</t>
  </si>
  <si>
    <t>https://arpa-e.energy.gov/sites/default/files/2021-01/08%20OK%20-Monolith_ARPAE_MethanePyrolysis2021_v3.pdf</t>
  </si>
  <si>
    <t>https://www.ntpc.co.in/en/media/press-releases/details/ntpc-awards-india%E2%80%99s-first-green-hydrogen-microgrid-project</t>
  </si>
  <si>
    <t>https://www.h2-view.com/story/linde-africa-hive-hydrogen-to-develop-4-6bn-green-ammonia-production-project-in-south-africa/</t>
  </si>
  <si>
    <t>https://www.greenhydrogen-india.com/projects-in-india/7929ac33-daa1-4cc3-8dcf-e8d7da6716a7/</t>
  </si>
  <si>
    <t>https://psuwatch.com/ntpc-larsen-and-toubro-co2-to-methanol-plants</t>
  </si>
  <si>
    <t>https://investors.technipenergies.com/news-releases/news-release-details/technip-energies-awarded-indias-largest-pem-based-hydrogen</t>
  </si>
  <si>
    <t>https://www.ntpc.co.in/en/media/press-releases/details/ntpc-invites-tender-set-india%E2%80%99s-first-green-hydrogen-fuelling-station-leh</t>
  </si>
  <si>
    <t>https://www.acme.in/green_hydrogen</t>
  </si>
  <si>
    <t>https://www.yara.com/corporate-releases/yara-begins-electrifying-the-factory-at-heroya/</t>
  </si>
  <si>
    <t>https://green-planet-energy.de/presse/artikel/neuer-windgas-elektrolyseur-in-haurup-nimmt-regelbetrieb-auf.html</t>
  </si>
  <si>
    <t>https://www.thebusinessdesk.com/westmidlands/news/2058416-all-aboard-the-hydrogen-bus</t>
  </si>
  <si>
    <t>https://www.ladepeche.fr/2021/11/03/toulouse-hyport-la-premiere-unite-au-monde-de-production-dhydrogene-vert-installee-a-laeroport-9906959.php</t>
  </si>
  <si>
    <t>https://ijglobal.com/articles/160627/nelson-mandela-bay-green-ammonia-plant-announced</t>
  </si>
  <si>
    <t>https://www.h2-view.com/story/8gw-hydrogen-production-project-in-australia-receives-lead-agency-status/</t>
  </si>
  <si>
    <t>https://www.biofuelsdigest.com/bdigest/2021/12/15/wood-waste-to-hydrogen-motes-h2-gambit-in-california-announced/</t>
  </si>
  <si>
    <t>https://www.wyoenergy.org/wp-content/uploads/2022/01/2022-01-20-CCUS-RFP-PR-Final.pdf</t>
  </si>
  <si>
    <t>https://hyphenafrica.com/news/namibia-announces-hyphen-as-preferred-bidder-to-implement-us9-4bn-green-hydrogen-project/</t>
  </si>
  <si>
    <t>Africa Green Hydrogen Forum, November 22-23 2021, Online event</t>
  </si>
  <si>
    <t>https://www.masen.ma/fr/actualites-masen/masen-prepare-un-mega-projet-dans-lhydrogene-vert-une-1ere-en-afrique</t>
  </si>
  <si>
    <t>https://press.siemens-energy.com/mea/en/pressrelease/siemens-energy-supports-egypt-develop-green-hydrogen-industry</t>
  </si>
  <si>
    <t>https://www.corfo.cl/sites/cpp/sala_de_prensa/nacional/27_12_2021_ganadores_hidrogeno_verde;jsessionid=AtmVall_qC_xbEQ78caDTJmM19RoKSj2ln2G-JlYRLnD1fSNOPDM!1252277378!-615728055</t>
  </si>
  <si>
    <t>https://www.elconfidencial.com/espana/andalucia/2022-01-23/primera-planta-comercial-hidrogeno-verde-algeciras_3362444/</t>
  </si>
  <si>
    <t>https://www.rwe.com/en/press/rwe-generation/2021-12-20-rwe-working-with-linde-to-develop-electrolyser-plant-in-lingen</t>
  </si>
  <si>
    <t>https://www.reuters.com/business/energy/australias-fortescue-talks-worlds-biggest-hydropower-project-congo-2021-06-15/</t>
  </si>
  <si>
    <t>https://www.spglobal.com/platts/en/market-insights/latest-news/electric-power/092221-ineos-to-invest-14-bil-in-blue-hydrogen-production-at-grangemouth-refinery</t>
  </si>
  <si>
    <t>https://www.spglobal.com/platts/es/market-insights/latest-news/electric-power/012822-linde-engineering-wins-24-mw-electrolyzer-order-from-yara-norge</t>
  </si>
  <si>
    <t>https://www.shell.com/media/news-and-media-releases/2022/shell-starts-up-hydrogen-electrolyser-in-china-with-20mw-product.html</t>
  </si>
  <si>
    <t>https://www.spglobal.com/platts/en/market-insights/podcasts/oil/012722-good-bad-ugly-asian-oil-markets-2022-gasoline-gasoil-jet-fuel</t>
  </si>
  <si>
    <t>https://www.ammoniaenergy.org/articles/trafigura-plans-new-green-export-project-in-south-australia/</t>
  </si>
  <si>
    <t>https://www.ijglobal.com/articles/161019/shells-mandates-for-dutch-electrolyser</t>
  </si>
  <si>
    <t>https://fuelcellsworks.com/news/copenhagen-infrastructure-partners-announce-partnership-with-austriaenergy-and-oekowind-on-hnh-project-the-green-hydrogen-project-under-development-in-chile/</t>
  </si>
  <si>
    <t>https://www.world-nuclear-news.org/Articles/OKG-signs-hydrogen-supply-contract</t>
  </si>
  <si>
    <t>https://www.marseille-port.fr/sites/default/files/2022-01/20220117CPGPMM_H2V_VF.pdf</t>
  </si>
  <si>
    <t>https://fuelcellsworks.com/news/mcphy-to-install-a-1-mw-electrolyzer-and-a-refueling-station-in-belfort-to-provide-hydrogen-for-a-fleet-of-buses/</t>
  </si>
  <si>
    <t>https://koreinfrastructure.com/projects/</t>
  </si>
  <si>
    <t>https://stateofgreen.com/en/partners/state-of-green/news/danish-port-aims-to-become-europes-first-co2-neutral-fishing-port/</t>
  </si>
  <si>
    <t>https://www.thinkgeoenergy.com/first-green-hydrogen-plant-in-new-zealand-starts-operations/</t>
  </si>
  <si>
    <t>https://jemena.com.au/about/newsroom/media-release/2021/first-green-hydrogen-for-new-south-wales-homes-and</t>
  </si>
  <si>
    <t>https://p2x.fi/en/p2x-solutions-has-made-an-investment-decision-to-construct-finlands-first-green-hydrogen-production-plant-in-harjavalta/</t>
  </si>
  <si>
    <t>https://www.dorsetlep.co.uk/dorset-green-h2</t>
  </si>
  <si>
    <t>https://mcphy.com/en/press-releases/greenh2atlantic-project/?cn-reloaded=1</t>
  </si>
  <si>
    <t>https://ec.europa.eu/info/funding-tenders/opportunities/portal/screen/opportunities/topic-details/lc-gd-2-2-2020;callCode=H2020-LC-GD-2020;freeTextSearchKeyword=;matchWholeText=true;typeCodes=1;statusCodes=31094501,31094502,31094503;programmePeriod=null;programCcm2Id=null;programDivisionCode=null;focusAreaCode=null;destination=null;mission=null;geographicalZonesCode=null;programmeDivisionProspect=null;startDateLte=null;startDateGte=null;crossCuttingPriorityCode=null;cpvCode=null;performanceOfDelivery=null;sortQuery=sortStatus;orderBy=asc;onlyTenders=false;topicListKey=callTopicSearchTableState</t>
  </si>
  <si>
    <t>https://www.eleconomista.es/energia/noticias/11594929/02/22/El-fondo-de-Copenhague-lanza-un-megaproyecto-de-hidrogeno-con-Naturgy-Enagas-Fertiberia-y-Vestas.html</t>
  </si>
  <si>
    <t>https://www.ogci.com/action-and-engagement/removing-carbon-dioxide-ccus/our-kickstarter-hubs/#hub4</t>
  </si>
  <si>
    <t>https://www.lexlatin.com/noticias/paraguay-planta-hidrogeno-amoniaco-verde-NeoGreen-Hydrogen</t>
  </si>
  <si>
    <t>https://www.abc.com.py/nacionales/2021/11/12/fortescue-de-australia-manifesto-su-interes-en-producir-amoniaco-e-hidrogeno-verde-en-paraguay/</t>
  </si>
  <si>
    <t>https://www.abc.com.py/nacionales/2021/11/18/interes-italiano-en-producir-hidrogeno-verde-pondra-a-prueba-a-itaipu/</t>
  </si>
  <si>
    <t>https://www.lukoil.com/PressCenter/Pressreleases/Pressrelease?rid=570986</t>
  </si>
  <si>
    <t>https://www.lightsourcebp.com/2021/12/introducing-our-green-hydrogen-partnership-with-portugals-dourogas/</t>
  </si>
  <si>
    <t>https://www.energias-renovables.com/hidrogeno/mallorca-comienza-a-producir-hidrogeno-renovable-20211223</t>
  </si>
  <si>
    <t>https://engage.geelongport.com.au/geelonghydrogenhub</t>
  </si>
  <si>
    <t>https://www.bondalti.com/en/multimedia/news/bondalti-fosters-hydrogen-strategy/</t>
  </si>
  <si>
    <t>https://www.demo4grid.eu/wp-content/uploads/2021/12/Demo4Grid-Project-Partners-Successfully-Install-a-3.2-MW-Pressurized-Alkaline-Electrolyzer-Sunfire.pdf</t>
  </si>
  <si>
    <t>https://www.trafigura.com/press-releases/green-ammonia-production-facility-planned-in-norway-s-municipality-of-sauda-feed-study-underway/</t>
  </si>
  <si>
    <t>https://www.upstreamonline.com/hydrogen/baofeng-energy-brings-worlds-largest-green-hydrogen-project-on-line-in-china/2-1-1161221</t>
  </si>
  <si>
    <t>https://www.rte.ie/news/business/2021/1210/1266080-new-green-hydrogen-production-plant-planned-for-mayo/</t>
  </si>
  <si>
    <t>https://phynix-energy.eu/phynix-selecciona-a-duro-felguera-green-tech-para-el-contrato-epcde-su-planta-de-produccion-de-hidrogeno-renovable-vitale-de-10mw/</t>
  </si>
  <si>
    <t>https://www.reuters.com/business/energy/japans-sojitz-provide-green-hydrogen-made-australia-palau-2022-01-12/#:~:text=Sojitz%2C%20along%20with%20Australian%20power,backing%20from%20Japan's%20environment%20ministry.</t>
  </si>
  <si>
    <t>https://balticwind.eu/orsted-to-launch-h2res-electrolyzer-demonstrator-in-the-first-half-of-2022/</t>
  </si>
  <si>
    <t>https://ens.dk/sites/ens.dk/files/ptx/strategy_ptx.pdf</t>
  </si>
  <si>
    <t>https://fuelcellsworks.com/news/first-milestone-reached-for-fortescue-future-industries-and-incitec-pivots-green-ammonia-hydrogen-collaboration-in-queensland/?mc_cid=768757ae05&amp;mc_eid=da4624d261</t>
  </si>
  <si>
    <t>https://fuelcellsworks.com/news/fortescue-future-industries-may-convert-rnz-marsden-point-oil-refinery-to-produce-green-hydrogen-and-green-hydrogen-products/?mc_cid=768757ae05&amp;mc_eid=da4624d261</t>
  </si>
  <si>
    <t>https://fuelcellsworks.com/news/spain-enagas-and-cear-sign-agreement-for-the-development-of-a-300mw-green-hydrogen-plant-in-aragon/?mc_cid=c129b2caa7&amp;mc_eid=da4624d261</t>
  </si>
  <si>
    <t>https://fuelcellsworks.com/news/clough-and-tsk-working-to-develop-green-hydrogen-and-green-ammonia-plants-for-sun-brilliance/?mc_cid=768757ae05&amp;mc_eid=da4624d261</t>
  </si>
  <si>
    <t>https://fuelcellsworks.com/news/borealis-and-hynamics-jointly-work-on-project-to-produce-low-carbon-ammonia/?mc_cid=c129b2caa7&amp;mc_eid=da4624d261</t>
  </si>
  <si>
    <t>https://renewablesnow.com/news/calumet-unit-secures-usd-50m-for-renewable-hydrogen-project-in-montana-768025/</t>
  </si>
  <si>
    <t>http://calumetspecialty.investorroom.com/download/CLMT+-+Corp+Pres+2022.01.04+vFINAL.pdf</t>
  </si>
  <si>
    <t>https://www.businesswire.com/news/home/20220203005153/en/Leading-Companies-Launch-Initiative-to-Support-Low-Carbon-and-Hydrogen-Industrial-Hub-in-Ohio-Pennsylvania-and-West-Virginia</t>
  </si>
  <si>
    <t>https://fuelcellsworks.com/news/partnership-behind-green-fuels-for-denmark-accelerates-project-and-investigates-production-of-green-jet-fuel-by-2025/?mc_cid=d03ba51fd9&amp;mc_eid=da4624d261</t>
  </si>
  <si>
    <t>https://fuelcellsworks.com/news/australian-company-signs-mou-with-innu-nation-to-look-at-feasbility-of-green-hydrogen-at-gull-island/?mc_cid=d03ba51fd9&amp;mc_eid=da4624d261</t>
  </si>
  <si>
    <t>https://fuelcellsworks.com/news/ammpower-to-work-with-port-of-south-louisiana-to-develop-a-green-hydrogen-ammonia-production-facility-for-shipping-fuel-energy-transfer/?mc_cid=d03ba51fd9&amp;mc_eid=da4624d261</t>
  </si>
  <si>
    <t>https://ir.fusion-fuel.eu/news-releases/news-release-details/fusion-fuel-supply-hevo-solar-technology-hive-energy-green</t>
  </si>
  <si>
    <t>https://renewablesnow.com/news/brazils-cactus-energia-signs-h2-mou-in-ceara-backed-by-36-gw-of-solar-offshore-wind-772305/</t>
  </si>
  <si>
    <t>https://renewablesnow.com/news/brazilian-state-ceara-inks-mous-for-green-h2-2-gw-of-solar-projects-764979/</t>
  </si>
  <si>
    <t>https://www.engie.com/en/journalists/press-releases/engie-and-infinium-unveil-a-partnership-to-develop-an-industrial-hub-on-an-european-scale-to-produce-synthetic-fuel-in-dunkirk</t>
  </si>
  <si>
    <t>https://www.ijglobal.com/articles/161943/octopus-hydrogen-baywa-re-shake-on-hydrogen</t>
  </si>
  <si>
    <t>https://energia.gob.cl/sites/default/files/documentos/green_h2_strategy_chile.pdf</t>
  </si>
  <si>
    <t>https://www.reuters.com/business/energy/rwe-neptune-energy-join-forces-dutch-north-sea-green-hydrogen-plan-2022-02-15/#:~:text=OSLO%2FFRANKFURT%2C%20Feb%2015%20(,Dutch%20North%20Sea%20by%202030.</t>
  </si>
  <si>
    <t>https://renewablesnow.com/news/heliogen-to-build-20000-tonne-green-hydrogen-plant-on-blm-land-in-arizona-772506/</t>
  </si>
  <si>
    <t>https://www.enagas.es/stfls/ENAGAS/Notas%20de%20prensa/Nota%20de%20prensa%20conjunta%20MoU%20H2%20(bp%20Iberdrola%20Enagas)%2028042021_EN_pr.pdf</t>
  </si>
  <si>
    <t>https://www.rechargenews.com/energy-transition/germany-s-first-major-hydrogen-hub-uniper-to-supply-salzgitter-steel-plant-with-green-h2/2-1-1171937</t>
  </si>
  <si>
    <t>https://mp.weixin.qq.com/s?__biz=MzA5NzMwODcyMA%3D%3D&amp;chksm=88af2b44bfd8a252ea2b5c809564e7bf9d7c6d83277987e6a65b844961ea1acc7e888d1039c7&amp;idx=2&amp;mid=2650362395&amp;sn=90e7f1668bc1b59024bdd7d327e689ee&amp;utm_campaign=China%20Clean%20Energy%20Syndicate%20&amp;utm_medium=email&amp;utm_source=Revue%20newsletter#rd</t>
  </si>
  <si>
    <t>https://www.reuters.com/business/environment/portugals-top-cement-glass-makers-join-new-consortium-green-hydrogen-plant-2022-02-22/#:~:text=LISBON%2C%20Feb%2022%20(Reuters),launch%20a%20green%20hydrogen%20plant.</t>
  </si>
  <si>
    <t>https://tanknewsinternational.com/sinopecs-first-pem-hydrogen-production-demonstration-station-begins-operations/</t>
  </si>
  <si>
    <t>https://www.enagas.es/enagas/es/Comunicacion/NotasPrensa/15_02_2022_NP_HyDeal_Espan%CC%83a</t>
  </si>
  <si>
    <t>https://reneweconomy.com.au/origin-teams-with-orica-to-propose-hunter-green-hydrogen-hub/</t>
  </si>
  <si>
    <t>https://cmb.tech/news/the-ohlthaver-list-o-l-group-and-cmb-tech-launch-namibias-first-green-hydrogen-production-plant</t>
  </si>
  <si>
    <t>https://renewablesnow.com/news/white-martins-signs-pact-for-green-h2-project-in-rio-grande-do-sul-765821/</t>
  </si>
  <si>
    <t>https://fuelcellsworks.com/news/hazer-group-enters-mou-for-developing-hydrogen-production-facility-in-canada/?mc_cid=8d7926e8c4&amp;mc_eid=da4624d261</t>
  </si>
  <si>
    <t>https://www.ogv.energy/news-item/ballylumford-power-to-x-project-to-accelerate-the-commercialisation-of-first-of-a-kind-longer-duration-energy-storage</t>
  </si>
  <si>
    <t>https://www.gov.uk/government/news/government-boost-for-new-renewable-energy-storage-technologies</t>
  </si>
  <si>
    <t>https://fuelcellsworks.com/news/petrofac-to-evaluate-green-hydrogen-development-on-sakhalin-island/?mc_cid=8d7926e8c4&amp;mc_eid=da4624d261</t>
  </si>
  <si>
    <t>Russian Atlas of Low-Carbon and Carbon-Free Hydrogen and Ammonia Production Projects - Ministry of Industry and Trade of Russia</t>
  </si>
  <si>
    <t>https://www.freeporteast.com/hydrogen</t>
  </si>
  <si>
    <t>https://reneweconomy.com.au/rio-tinto-looks-to-hydrogen-electrolysers-to-support-bell-bay-smelter-and-tasmanian-renewables/</t>
  </si>
  <si>
    <t>https://www.h2-view.com/story/finnish-city-bets-big-on-hydrogen-with-multiple-production-plans/</t>
  </si>
  <si>
    <t>https://www.h2-view.com/story/exxonmobil-unveils-ambitious-blue-hydrogen-targets-for-integrated-refining-and-petrochemical-site/</t>
  </si>
  <si>
    <t>https://www.woodside.com/docs/default-source/media-releases/meridian's-southern-green-hydrogen-project-selects-woodside-energy-as-preferred-partner.pdf?sfvrsn=ae69d7a1_3</t>
  </si>
  <si>
    <t>https://www.norsk-e-fuel.com/about-us</t>
  </si>
  <si>
    <t>https://fuelcellsworks.com/news/rubis-invests-in-the-largest-green-hydrogen-power-plant-in-the-caribbean/?mc_cid=fdcdedc4cd&amp;mc_eid=da4624d261</t>
  </si>
  <si>
    <t>https://www.h2-mobile.fr/actus/piiec-hydrogene-15-projets-francais-presentes-europe/</t>
  </si>
  <si>
    <t>https://www.hdf-energy.com/en/references/</t>
  </si>
  <si>
    <t>https://cdn.slrconsulting.com/uploads/2022-02/22-02-2022%20HDF%20Energy%20Renewstable%20Swakopmund%20BID_Final_V1.pdf</t>
  </si>
  <si>
    <t>https://www.oilreviewafrica.com/exploration/industry/sonangol-works-on-producing-green-hydrogen</t>
  </si>
  <si>
    <t>https://fuelcellsworks.com/news/petronas-partners-eneos-for-first-commercial-scale-hydrogen-to-mch-project/?mc_cid=07efbb08b8&amp;mc_eid=da4624d261</t>
  </si>
  <si>
    <t>https://fuelcellsworks.com/news/scatec-partners-with-acme-group-to-develop-a-large-scale-green-ammonia-facility-in-oman/?mc_cid=07efbb08b8&amp;mc_eid=da4624d261</t>
  </si>
  <si>
    <t>https://www.bloomberg.com/news/articles/2022-03-17/saudi-arabia-to-start-building-green-hydrogen-plant-in-neom</t>
  </si>
  <si>
    <t>https://www.h2-view.com/story/e3-5bn-project-to-create-1500km-hydrogen-backbone-pipeline-for-germany/</t>
  </si>
  <si>
    <t>https://www.elcolombiano.com/negocios/colombia-pone-en-marcha-dos-pilotos-de-hidrogeno-DJ16974623</t>
  </si>
  <si>
    <t>https://www.thyssenkrupp.com/en/newsroom/press-releases/pressdetailpage/second-joint-project-under-strategic-partnership-agreement--thyssenkrupp-nucera-to-deliver-electrolyzers-for-air-products-hydrogen-facility-in-arizona--usa-130204</t>
  </si>
  <si>
    <t>https://www.rwe.com/en/press/rwe-ag/2022-03-24-oge-and-rwe-present-national-infrastructure-concept--h2ercules</t>
  </si>
  <si>
    <t>https://www.power-technology.com/marketdata/sinopec-ordos-solar-pv-park-china/</t>
  </si>
  <si>
    <t>https://www.durofelguera.com/index.asp?MP=11&amp;MS=36&amp;TR=A&amp;IDR=19&amp;tipo=2&amp;id=519&amp;fecha=20/01/2021</t>
  </si>
  <si>
    <t>https://esenergia.es/planta-de-hidrogeno-verde/</t>
  </si>
  <si>
    <t>https://www.lavozdeasturias.es/noticia/asturias/2021/10/14/edppretende-crear-valle-hidrogeno-asturias/00031634225270324999555.htm</t>
  </si>
  <si>
    <t>https://espana.edp.com/en/news/2021/05/21/edp-presents-its-energy-transition-projects-asturias-offshore-wind-farm-and</t>
  </si>
  <si>
    <t>https://fptaximadrid.es/la-fptm-impulsa-el-mayor-proyecto-de-movilidad-publica-con-hidrogeno-verde/</t>
  </si>
  <si>
    <t>https://elvagonpurpura.com/heilbronn-quiere-enviar-trenes-llenos-de-hidrogeno-verde-a-karlsruhe/</t>
  </si>
  <si>
    <t>https://cincodias.elpais.com/cincodias/2021/02/05/companias/1612525996_216085.html</t>
  </si>
  <si>
    <t>https://www.rechargenews.com/energy-transition/-we-will-produce-carbon-negative-green-hydrogen-from-non-recyclable-waste-at-zero-or-below-zero-cost-/2-1-1162744</t>
  </si>
  <si>
    <t>https://h2argus.com/assets/p1-ponyativka-green-hydrogen_ammonia-pv-wind-hydro_whiter.pdf</t>
  </si>
  <si>
    <t>https://www.adodunav.org/en/news/vodorodniiat-proiekt-v-rusie-prieminava-km-faza-na-osshchiestviavanie</t>
  </si>
  <si>
    <t>https://portodeaveiro.pt/webinar-decarbonising-small-medium-ports/pdfs/session-two/8-Bulgarian-Romanian-Cooperation-Maria-Tzancova-&amp;-Forin-Nemtanu.pdf</t>
  </si>
  <si>
    <t>https://balkanengineer.com/news/bulgarian-city-builds-charging-station-green-hydrogen</t>
  </si>
  <si>
    <t>https://h2v.net/projet/projet-h2v-59/</t>
  </si>
  <si>
    <t>https://h2v.net/projet/projet-h2v-marseille-fos/</t>
  </si>
  <si>
    <t>https://grande-region-hydrogen.eu/en/projects/h2v-warndt-naborien-h2v-wn/</t>
  </si>
  <si>
    <t>https://h2v.net/projet/projet-h2v-idf/</t>
  </si>
  <si>
    <t>https://vighy.france-hydrogene.org/projets/projet-h2-pierre-benite/</t>
  </si>
  <si>
    <t>https://www.qair.energy/renewable-hydrogen-launch-of-construction-of-hydocc-the-50-mw-green-hydrogen-production-unit/</t>
  </si>
  <si>
    <t>https://www.usinenouvelle.com/article/h2v-produira-de-l-hydrogene-vert-sur-le-site-de-l-ancienne-acierie-de-gandrange.N1073449</t>
  </si>
  <si>
    <t>https://ax.legal/2021/12/07/chiles-hydrogen-project-pipeline/</t>
  </si>
  <si>
    <t>https://www.sustainable-bus.com/fuel-cell-bus/tmb-barcelona-hydrogen-bus-on-the-road/</t>
  </si>
  <si>
    <t>https://renewablesnow.com/news/douglas-county-pud-launches-5-mw-green-hydrogen-pilot-in-washington-state-734291/</t>
  </si>
  <si>
    <t>https://hydrogen-central.com/alliander-groenleven-solar-rays-hydrogen-netherlands/</t>
  </si>
  <si>
    <t>https://fuelcellsworks.com/news/germany-city-of-esslingen-inaugurates-green-hydrogen-lighthouse-project/</t>
  </si>
  <si>
    <t>https://www.indrastra.com/2022/01/china-completes-first-megaton-scale-ccs.html</t>
  </si>
  <si>
    <t>https://fuelcellsworks.com/news/fm-logistic-completes-successful-test-of-hydrogen-generator/</t>
  </si>
  <si>
    <t>https://www.spglobal.com/marketintelligence/en/news-insights/latest-news-headlines/new-jersey-resources-starts-up-1st-east-coast-green-hydrogen-blending-project-67570888</t>
  </si>
  <si>
    <t>http://www.eog-asia.com/sumitomo-starts-hydrogen-demonstration-experiment-using-megawatt-class-water-electrolyser/</t>
  </si>
  <si>
    <t>https://sghydrogen.com/#about</t>
  </si>
  <si>
    <t>https://www.pertamina.com/en/news-room/news-release/supports-the-government.s-energy-transition-plan-this-is-pertamina.s-clean-energy-project</t>
  </si>
  <si>
    <t>https://www.exeloncorp.com/newsroom/Pages/DOE-Grant-to-Support-Hydrogen-Production-Project-at-Nine-Mile-Point.aspx</t>
  </si>
  <si>
    <t>https://research.csiro.au/hyresource/green-hydrogen-for-city-of-cockburn/</t>
  </si>
  <si>
    <t>https://www.wa.gov.au/system/files/2022-04/City%20of%20Cockburn%20-%20Green%20Hydrogen%20-%20Final%20Knowledge%20Sharing%20Report.pdf</t>
  </si>
  <si>
    <t>https://www.hoganlovells.com/-/media/hogan-lovells/global/knowledge/publications/files/2020/australian-hydrogen-projects-paper.pdf</t>
  </si>
  <si>
    <t>https://research.csiro.au/hyresource/h2kwinana/</t>
  </si>
  <si>
    <t>https://cooperativeresearch.org.au/ceo-appointed-to-lead-the-kwinana-energy-transformation-hub-keth/</t>
  </si>
  <si>
    <t>https://research.csiro.au/hyresource/edify-green-hydrogen-project/#:~:text=Project%20description,tender%20application%20in%20June%202020.</t>
  </si>
  <si>
    <t>https://www.kellasmidstream.com/news-kellas/kellas-announces-the-development-of-h2northeast-a-low-carbon-blue-hydrogen-production-site-in-teesside-uk#:~:text=H2%20NorthEast%20is%20being%20developed,blue%20hydrogen%20capacity%20by%202030</t>
  </si>
  <si>
    <t>https://www.business-live.co.uk/manufacturing/energy-giants-uniper-shell-unite-23666723</t>
  </si>
  <si>
    <t>https://wintershalldea.com/en/newsroom/wintershall-dea-helps-shape-wilhelmshaven-energy-hub</t>
  </si>
  <si>
    <t>https://www.viessmann.family/en/what-we-offer/climate-solutions/hydrogen/smartquart-a-complete-hydrogen-infrastructure-is-being-built-in-kaisersesch</t>
  </si>
  <si>
    <t>https://www.wacker.com/cms/en-us/about-wacker/research-and-development/rhyme-bavaria/detail.html</t>
  </si>
  <si>
    <t>https://www.h2bulletin.com/wacker-linde-project-rhyme-bavaria-advances-to-the-next-stage-of-funding/</t>
  </si>
  <si>
    <t>https://blog.topsoe.com/haldor-topsoe-and-aquamarine-enters-into-a-memorandum-of-understanding-with-the-purpose-of-building-a-green-ammonia-facility-based-on-soec-electrolysis?hsLang=en-us</t>
  </si>
  <si>
    <t>https://grande-region-hydrogen.eu/en/projects/hydrohub-fenne/</t>
  </si>
  <si>
    <t>https://www.steag.com/de/steag-news-ausgabe-4-2019/hydrohub-fenne-mit-wasserstoff-die-energiewende-gestalten</t>
  </si>
  <si>
    <t>https://caphenia.tech/en/caphenia-produces-e-fuels-in-lower-saxony/</t>
  </si>
  <si>
    <t>https://report.basf.com/2021/en/shareholders/basf-on-the-capital-market/methane-pyrolysis.html</t>
  </si>
  <si>
    <t>https://www.erneuerbare-energien-hamburg.de/en/about-us/cluster-members/member-companies/details/hh2e-ag.html</t>
  </si>
  <si>
    <t>https://www.klimaschutz.nrw.de/aktuelles/detail/europas-wasserstoffwirtschaft-nimmt-fahrt-auf-nordrhein-westfalen-beteiligt-sich-mit-zehn-projekten-am-groessten-wasserstoff-verbundvorhaben-in-der-eu</t>
  </si>
  <si>
    <t>https://www.uniper.energy/de/medien/projekte/projekt-chess</t>
  </si>
  <si>
    <t>https://energiepark-bad-lauchstaedt.de/</t>
  </si>
  <si>
    <t>https://xfuels.de/hykero/</t>
  </si>
  <si>
    <t>https://www.powerfuels.org/fileadmin/powerfuels.org/Dokumente/Presentations_Annual_Conference_2021/S5-01_Schmidt_Hydrogenious.pdf</t>
  </si>
  <si>
    <t>https://h2agrar-niedersachsen.de/projektziele/</t>
  </si>
  <si>
    <t>https://www.energy-saxony.net/fileadmin/Inhalte/Downloads/Veranstaltungen/2022/SUMMIT22/20220119_energy_saxony_EDL_HyKero_Praesentation_de_final.pdf</t>
  </si>
  <si>
    <t>https://ihubssweden.se/article/norra-sverige-satsar-pa-vatgas/</t>
  </si>
  <si>
    <t>https://vatgas.se/2021/09/07/strandmollen-ab-far-investeringsstod-fran-klimatklivet-for-vatgasproduktion/</t>
  </si>
  <si>
    <t>https://www.uniper.energy/sv/sverige/om-uniper-i-sverige/vatgas-i-sverige</t>
  </si>
  <si>
    <t>https://www.rabbalshedekraft.com/en/green-hydrogen/</t>
  </si>
  <si>
    <t>https://www.mynewsdesk.com/se/uniper/news/uniper-aer-med-och-bygger-en-vaetgashubb-i-luleaa-429036</t>
  </si>
  <si>
    <t>https://flexens.com/hydrogen-ferries-might-soon-traffic-the-baltic-sea/</t>
  </si>
  <si>
    <t>https://www.greencarcongress.com/2021/11/20211118-neste.html</t>
  </si>
  <si>
    <t>https://www.fronius.com/en/solar-energy/about-us/news/solhub-san-venture-reference-11062021</t>
  </si>
  <si>
    <t>https://news.cision.com/se/sustainable-energy-solutions-sweden-holding-ab/r/sens-tecknar-ett-joint-venture-avtal-med-boson-for-att-utveckla-projekt-i-polen,c3408502</t>
  </si>
  <si>
    <t>http://h2est.ee/wp-content/uploads/2021/07/8_NeptHyne_from-Innovation-to-International-Cooperation_Tomasz-Pelc.pdf</t>
  </si>
  <si>
    <t>https://energynews.biz/funding-secured-for-dalrymple-bay-hydrogen-project-feasibility-studies/</t>
  </si>
  <si>
    <t>https://www.upstreamonline.com/hydrogen/santos-looking-to-supply-blue-hydrogen-to-new-south-wales-in-study-with-qenos/2-1-1093360</t>
  </si>
  <si>
    <t>https://reneweconomy.com.au/south-australia-renewable-hydrogen-export-plan-wins-japanese-backing/#:~:text=South%20Australia%20renewable%20hydrogen%20hub%20wins%20Japanese%20backing,-Sophie%20Vorrath%2015&amp;text=Plans%20to%20export%20renewable%20hydrogen,for%20the%20zero%20emissions%20fuel.</t>
  </si>
  <si>
    <t>https://www.offshorewind.biz/2022/05/17/sif-ge-and-pondera-team-up-on-off-grid-offshore-wind-to-hydrogen-project/</t>
  </si>
  <si>
    <t>https://www.bp.com/en/global/corporate/news-and-insights/press-releases/bp-and-linde-plan-major-ccs-project-to-advance-decarbonization-efforts-across-texas-gulf-coast.html</t>
  </si>
  <si>
    <t>https://www.rystadenergy.com/newsevents/news/press-releases/COP27-host-Egypt-commits-40bn-to-green-hydrogen-economy-to-attract-foreign-investment/</t>
  </si>
  <si>
    <t>http://pseep.gr/wp-content/uploads/2021/05/%CE%95%CE%9B%CE%A0%CE%95-%CE%9F%CE%B9-%CE%B5%CF%80%CE%B5%CE%BD%CE%B4%CF%8D%CF%83%CE%B5%CE%B9%CF%82-%CF%83%CE%B5-%CE%BC%CF%80%CE%BB%CE%B5-%CF%80%CF%81%CE%AC%CF%83%CE%B9%CE%BD%CE%BF-%CF%85%CE%B4%CF%81%CE%BF%CE%B3%CF%8C%CE%BD%CE%BF-%CE%9C%CF%8C%CE%BD%CE%B5%CF%82-%CF%84%CE%BF%CF%85%CF%82-%CE%BF%CE%B9-%CE%91%CE%A0%CE%95-%CE%B4%CE%B5%CE%BD-%CE%B1%CF%81%CE%BA%CE%BF%CF%8D%CE%BD.pdf</t>
  </si>
  <si>
    <t>https://fuelcellsworks.com/news/hydrogen-greek-companies-participating-in-the-5-major-eu-projects-get-greek-govt-approval/</t>
  </si>
  <si>
    <t>https://ecubes.si/zero-emission-mobility-corridor-project-in-slovenia/</t>
  </si>
  <si>
    <t>http://h2est.ee/wp-content/uploads/2021/07/7_Port_of_Tallinn_Hydrogen_Week_Hele-Mai-Metsal.pdf</t>
  </si>
  <si>
    <t>https://www.hdf-cyprus.com/technology</t>
  </si>
  <si>
    <t>https://www.linkedin.com/pulse/boson-energy-ready-step-gas-green-hydrogen-bosonenergy</t>
  </si>
  <si>
    <t>https://corporate.arcelormittal.com/media/press-releases/arcelormittal-signs-letter-of-intent-with-the-governments-of-belgium-and-flanders-supporting-1-1-billion-investment-in-decarbonisation-technologies-at-its-flagship-gent-plant#</t>
  </si>
  <si>
    <t>https://newsbeezer.com/portugaleng/producing-hydrogen-at-alandroal-this-can-be-possible-after-an-investment-of-more-than-e-300-million/</t>
  </si>
  <si>
    <t>https://www.pv-magazine.es/2021/09/17/hyperion-renewables-construira-en-portugal-una-planta-de-produccion-de-hidrogeno-verde-alimentada-por-fotovoltaica/</t>
  </si>
  <si>
    <t>https://reneweconomy.com.au/world-first-super-hybrid-wind-hydro-and-hydrogen-project-planned-for-queensland/</t>
  </si>
  <si>
    <t>https://www.canarymedia.com/articles/hydrogen/massive-green-hydrogen-hub-in-utah-wins-504m-federal-loan-guarantee</t>
  </si>
  <si>
    <t>https://renewablesnow.com/news/plug-power-to-create-green-hydrogen-jv-with-olin-build-plant-in-louisiana-782996/</t>
  </si>
  <si>
    <t>https://www.ir.plugpower.com/press-releases/news-details/2022/MOL-GROUP-Launches-Green-Hydrogen-Production-Using-Plug-Electrolyzers/default.aspx</t>
  </si>
  <si>
    <t>chrome-extension://efaidnbmnnnibpcajpcglclefindmkaj/https://www.h2nodes.eu/images/M2_Parnu_FIN_V3.pdf</t>
  </si>
  <si>
    <t>https://www.afrik21.africa/en/egypt-with-hassan-allam-masdar-wants-to-convert-4-gw-of-electricity-into-hydrogen/</t>
  </si>
  <si>
    <t>https://www.bp.com/en/global/corporate/news-and-insights/press-releases/abu-dhabis-adnoc-and-masdar-to-join-bps-uk-hydrogen-projects.html</t>
  </si>
  <si>
    <t>https://www.bloomberg.com/press-releases/2022-05-25/lsb-industries-launches-green-ammonia-project-l3lmwsiu</t>
  </si>
  <si>
    <t>https://www.chemengonline.com/repsol-to-begin-operating-2-5-mw-electrolyzer-at-petronor-refinery/?printmode=1</t>
  </si>
  <si>
    <t>https://energyegypt.net/total-eren-enara-capital-to-build-green-ammonia-facility-in-egypts-sczone/</t>
  </si>
  <si>
    <t>https://www.reuters.com/world/middle-east/egypt-agrees-5-bln-deal-with-norways-scatec-green-ammonia-project-2022-03-10/</t>
  </si>
  <si>
    <t>https://www.reuters.com/markets/commodities/vietnam-company-invest-840-mln-countrys-first-green-hydrogen-plant-2022-05-25/</t>
  </si>
  <si>
    <t>https://lapisenergy.com/lapis-energy-to-develop-carbon-capture-sequestration-project-with-lsb-industries/</t>
  </si>
  <si>
    <t>https://energynews.biz/uk-oil-gas-announces-future-hydrogen-ready-energy-storage-project/?utm_source=rss&amp;utm_medium=rss&amp;utm_campaign=uk-oil-gas-announces-future-hydrogen-ready-energy-storage-project</t>
  </si>
  <si>
    <t>https://www.reganosa.com/es/la-primera-gran-planta-de-hidr%C3%B3geno-verde-de-galicia-inicia-su-tramitaci%C3%B3n</t>
  </si>
  <si>
    <t>https://news.cision.com/nel-asa/r/nel-asa--receives-purchase-order-for-an-alkaline-electrolyser-system-from-glencore-nikkelverk,c3576789</t>
  </si>
  <si>
    <t>https://w3.windfair.net/wind-energy/pr/41036-statkraft-h2-green-steel-renewables-electricity-sweden-price-hydropower-green-steel-production-industry</t>
  </si>
  <si>
    <t>https://energycapitalpower.com/h2-industries-receives-preliminary-approval-for-3-billion-waste-to-hydrogen-plant-in-egypt/</t>
  </si>
  <si>
    <t>https://h2-industries.com/en/waste-to-energy/</t>
  </si>
  <si>
    <t>https://energynews.biz/energypark-emden-enters-the-second-stage/</t>
  </si>
  <si>
    <t>https://www.dena.de/en/newsroom/news/2019-1/global-alliance-powerfuels-partners-are-advancing-the-market-development-of-powerfuels-in-german-regulatory-sandboxes-of-energiewende/</t>
  </si>
  <si>
    <t>https://energynews.biz/green-hydrogen-systems-electrolysers-chosen-for-green-hydrogen-project-in-germany/</t>
  </si>
  <si>
    <t>https://www.ise.fraunhofer.de/en/research-projects/lighthouse-project-power-to-gas.html</t>
  </si>
  <si>
    <t>https://fuelcellsworks.com/news/romanias-hidroelectrica-plans-green-hydrogen-production-on-the-danube/</t>
  </si>
  <si>
    <t>https://hydrogen-central.com/portugal-keme-energy-green-hydrogen-plant-sines-5-million-euros-investment/</t>
  </si>
  <si>
    <t>https://energynews.biz/hhi-to-build-pilot-green-hydrogen-production-plant/</t>
  </si>
  <si>
    <t>https://www.kochprojectsolutions.com/news/2021/louisiana-to-get-9-2-billion-renewables-complex-after-koch-fidelis-infrastructure-deal</t>
  </si>
  <si>
    <t>https://www.offshore-energy.biz/woodside-starts-engineering-activities-on-h2ok-hydrogen-project/</t>
  </si>
  <si>
    <t>https://renewablesnow.com/news/avangrid-has-green-hydrogen-plans-ready-for-doe-rfi-747452/</t>
  </si>
  <si>
    <t>https://www.bloomberg.com/press-releases/2021-07-08/avangrid-poised-to-build-green-hydrogen-future</t>
  </si>
  <si>
    <t>https://libertysteelgroup.com/news/liberty-develop-hydrogen-steel-making-plant/</t>
  </si>
  <si>
    <t>https://gh2.eu/news/gh2-increases-the-capacity-of-its-green-hydrogen-based-efuel-production-plant-project-in-the-port-of</t>
  </si>
  <si>
    <t>https://hydrogen-central.com/gh2-port-bordeaux-largest-hydrogen-production-unit-project/</t>
  </si>
  <si>
    <t>https://totalenergies.com/media/news/press-releases/total-and-engie-to-develop-france-s-largest-site-of-green-hydrogen#:~:text=Paris%2C%20January%2013%2C%202021%20%E2%80%93,C%C3%B4te%20d%27Azur%20South%20region.</t>
  </si>
  <si>
    <t>https://mcphy.com/en/achievements/hydrogen-mobility-en/dijon-metropole-smart-energhy-dmse/?cn-reloaded=1</t>
  </si>
  <si>
    <t>https://www.metropole-dijon.fr/Actualites/Production-d-hydrogene2</t>
  </si>
  <si>
    <t>https://www.ofgem.gov.uk/sites/default/files/docs/2019/04/nic_isp_vattenfall_ng.pdf</t>
  </si>
  <si>
    <t>As reported by price reporting agency Argus Media: https://www.argusmedia.com/en/news/2254679-uniper-targets-green-hydrogen-production-in-uk</t>
  </si>
  <si>
    <t>https://hammarshillenergy.co.uk/type-news/media-release/</t>
  </si>
  <si>
    <t>https://press.siemens-energy.com/eu/en/pressrelease/siemens-energy-and-messer-group-cooperate-hydrogen-electrolysis-integrated-hub-concept</t>
  </si>
  <si>
    <t>https://economictimes.indiatimes.com/industry/renewables/gail-to-set-up-green-hydrogen-plant-at-guna-in-mp/articleshow/91517347.cms</t>
  </si>
  <si>
    <t>https://www.theedgemarkets.com/article/petronas-unit-collaborate-itochu-inter-pipeline-construct-blue-ammonia-methanol-plants</t>
  </si>
  <si>
    <t>https://hh2e.de/en/news/hh2e-and-met-group-establish-a-joint-project-company-to-develop-one-of-europes-largest-green-hydrogen-production-plants-in-lubmin-germany/</t>
  </si>
  <si>
    <t>https://www.rystadenergy.com/news/africa-and-europe-set-to-be-the-dynamos-for-the-global-green-hydrogen-economy</t>
  </si>
  <si>
    <t>https://hydrogen-central.com/h2biscus-project-samsung-lotte-posco-hydrogen-plant-malaysia/</t>
  </si>
  <si>
    <t>https://www.cummins.com/news/releases/2022/04/04/worlds-largest-hydrogen-taxi-fleet-be-powered-cummins-electrolyzer?utm_campaign=606db7a3f585320001a13d30&amp;utm_content=624afb9efcfe5e00018d9901&amp;utm_medium=smarpshare&amp;utm_source=linkedin</t>
  </si>
  <si>
    <t>https://www.seetao.com/details/111344.html</t>
  </si>
  <si>
    <t>http://mecc.sinosteel.com/En/news_content.aspx?id=3778</t>
  </si>
  <si>
    <t>https://www.atomeplc.com/operations/paraguay/</t>
  </si>
  <si>
    <t>https://www.ammoniaenergy.org/articles/maire-tecnimont-plans-million-tonne-per-year-blue-ammonia-plant-in-the-us/</t>
  </si>
  <si>
    <t>https://www.shell.nl/media/nieuwsberichten/2022/holland-hydrogen-1.html</t>
  </si>
  <si>
    <t>https://www.salzgitter-ag.com/en/newsroom/press-releases/details/green-light-for-green-steel-19904.html</t>
  </si>
  <si>
    <t>https://ec.europa.eu/clima/document/75e0ade9-12f3-435a-8875-f5afd9b92ed8_en</t>
  </si>
  <si>
    <t>https://www.hycc.com/en/projects/h2era</t>
  </si>
  <si>
    <t>https://twitter.com/H2GreenSteel/status/1548942476026822656?s=20&amp;t=gLuxq_kzs2E6wDNArSo1YQ</t>
  </si>
  <si>
    <t>https://hydrogen-pro.com/2022/06/30/504-million-loan-guarantee-granted-worlds-largest-renewable-hydrogen-energy-project/</t>
  </si>
  <si>
    <t>https://www.unigel.com.br/unigel-fecha-contrato-com-a-thyssenkrupp-nucera-e-investe-us-120-milhoes-na-primeira-fabrica-de-hidrogenio-verde-do-brasil/</t>
  </si>
  <si>
    <t>https://thyssenkrupp-nucera.com/2022/07/26/unigel-installs-the-first-industrial-scale-green-hydrogen-production-site-in-brazil-using-thyssenkrupp-nucera-technology/</t>
  </si>
  <si>
    <t>https://h2lac.org/h2lac-review/peru-tendra-su-primer-proyecto-de-hidrogeno-verde-con-energia-solar-y-eolica/</t>
  </si>
  <si>
    <t>https://www.edfenergy.com/media-centre/news-releases/new-green-hydrogen-project-edf-renewables-uk-and-hynamics-teeside</t>
  </si>
  <si>
    <t>https://gravithy.eu/#press-release</t>
  </si>
  <si>
    <t>https://www.orlenpoludnie.pl/EN/Media/News/Pages/Hydrogen-fuel-from-ORLEN-Group-to-power-public-transport-in-Krak%c3%b3w.aspx</t>
  </si>
  <si>
    <t>https://www.volth2.com/persbericht-delfzijl-2-juni-2022/</t>
  </si>
  <si>
    <t>https://skynrg.com/producing-saf/saf-production-plant-in-the-port-of-amsterdam/</t>
  </si>
  <si>
    <t>https://www.norsk-e-fuel.com/articles/coming-soon-green-jet-fuel-from-mosjoen</t>
  </si>
  <si>
    <t>https://www.green-fuels-hamburg.de/</t>
  </si>
  <si>
    <t>https://www.yara.com/news-and-media/news/archive/news-2022/yara-acme-and-scatec-sign-term-sheet-for-sale-of-green-ammonia-from-oman/</t>
  </si>
  <si>
    <t>https://www.orlenpoludnie.pl/EN/Media/News/Pages/ORLEN-Po%c5%82udnie-launches-production-of-eco-friendly,-green-glycol.aspx</t>
  </si>
  <si>
    <t>https://www.czero.energy/post/c-zero-closes-34-million-financing-round-led-by-sk-gas-to-build-natural-gas-decarbonization-pilot</t>
  </si>
  <si>
    <t>https://news.cision.com/nel-asa/r/nel-asa--receives-purchase-order-for-a-containerized-pem-water-electrolyser-in-australia,c3600097</t>
  </si>
  <si>
    <t>https://news.cision.com/nel-asa/r/nel-asa--receives-purchase-order-for-an-alkaline-electrolyser-system-from-skovgaard-energy,c3599098</t>
  </si>
  <si>
    <t>https://www.reuters.com/business/sustainable-business/egypt-india-sign-mou-build-green-hydrogen-factory-worth-8-bln-2022-07-27/</t>
  </si>
  <si>
    <t>https://www.scottishpower.com/news/pages/scottishpower_vision_for_green_hydrogen_fuels_hub_at_port_of_felixstowe.aspx</t>
  </si>
  <si>
    <t>https://renews.biz/79315/verbund-unveils-austrian-green-hydrogen-project/</t>
  </si>
  <si>
    <t>https://www.ir.plugpower.com/press-releases/news-details/2022/Plug-Selected-by-New-Fortress-Energy-for-120-MW-Green-Hydrogen-Plant-on-Gulf-Coast/default.aspx</t>
  </si>
  <si>
    <t>https://www.ir.plugpower.com/press-releases/news-details/2022/Plug-Secures-5-MW-Electrolyzer-Sale-to-Leading-Canadian-Energy-Company-Irving-Oil/default.aspx</t>
  </si>
  <si>
    <t>https://ineratec.de/en/e-fuel-pioneer-plant-in-germany/</t>
  </si>
  <si>
    <t>https://ineratec.de/en/become-a-pioneer/</t>
  </si>
  <si>
    <t>https://www.ir.plugpower.com/press-releases/news-details/2022/Plug-to-Build-Large-Scale-Green-Hydrogen-Generation-Plant-in-Europe-at-Port-of-Antwerp-Bruges/default.aspx</t>
  </si>
  <si>
    <t>https://www.ghi-corp.com/projects/hydrogen-city</t>
  </si>
  <si>
    <t>https://www.ghi-corp.com/projects/nova-scotia</t>
  </si>
  <si>
    <t>https://www.ghi-corp.com/projects/fleur-de-lys</t>
  </si>
  <si>
    <t>https://hydrogen-central.com/storengy-chooses-man-energy-solutions-methanation-reactor-produce-syngas-french-wastewater-treatment-plant/</t>
  </si>
  <si>
    <t>https://wcsecure.weblink.com.au/pdf/PV1/02553645.pdf</t>
  </si>
  <si>
    <t>https://fuelcellsworks.com/news/greenstat-hydrogen-india-to-start-a-green-hydrogen-generating-project-in-sri-lanka/?mc_cid=fdcdedc4cd&amp;mc_eid=da4624d261</t>
  </si>
  <si>
    <t>https://www.sardidrogeno.com/en</t>
  </si>
  <si>
    <t>https://www.cagou-energies.com/</t>
  </si>
  <si>
    <t>https://www.renewstable-sumba.com/</t>
  </si>
  <si>
    <t>https://news.cision.com/nel-asa/r/nel-asa--nel-to-supply-an-alkaline-electrolyser-system-for-solar-foods,c3526086</t>
  </si>
  <si>
    <t>https://www.cape-york-renewstable.com/</t>
  </si>
  <si>
    <t>https://www.h2-tech.com/news/2022/03-2022/finland-s-first-green-h2-plant-to-run-on-sunfire-s-electrolysis-technology/</t>
  </si>
  <si>
    <t>https://www.erm.com/news/source-energie-developing-green-hydrogen-from-gw-scale-floating-offshore-wind-projects-in-celtic-sea/</t>
  </si>
  <si>
    <t>https://sourceenergie.com/erm-dolphyn-and-source-energie/</t>
  </si>
  <si>
    <t>https://fuelcellsworks.com/news/electrolyzer-at-dutch-eelde-airport-will-produce-green-hydrogen-for-large-scale-use/?mc_cid=633e3dfbca&amp;mc_eid=da4624d261</t>
  </si>
  <si>
    <t>https://fuelcellsworks.com/news/gggi-samsung-hyundai-to-join-1-2-bn-green-hydrogen-project-in-indonesia/?mc_cid=633e3dfbca&amp;mc_eid=da4624d261</t>
  </si>
  <si>
    <t>http://renewafrica.biz/green-hydrogen/germanys-emerging-energy-to-develop-green-hydrogen-projects-in-niger/</t>
  </si>
  <si>
    <t>https://www.rechargenews.com/energy-transition/indian-energy-giants-plan-1-3gw-green-hydrogen-project-powered-by-24-7-renewables-in-6bn-deal/2-1-1268621</t>
  </si>
  <si>
    <t>https://www.h2-view.com/story/study-to-explore-up-to-2gw-of-green-hydrogen-production-in-nsw-australia-launched/</t>
  </si>
  <si>
    <t>https://www.energymagazine.com.au/study-to-turn-torrens-island-into-a-green-hydrogen-energy-hub/</t>
  </si>
  <si>
    <t>https://energynews.biz/svevind-to-build-20gw-green-hydrogen-plant/</t>
  </si>
  <si>
    <t>https://enertrag.com/en/news-german/etail/enertrag-plans-green-hydrogen-project-in-the-tacuarembo-region-of-uruguay</t>
  </si>
  <si>
    <t>https://www.h2bulletin.com/ieasa-and-fraunhofer-institute-to-develop-hydrogen-project-in-buenos-aires/</t>
  </si>
  <si>
    <t>https://www.upstreamonline.com/energy-transition/shell-signs-agreement-for-green-hydrogen-project-with-brazil-s-acu-port/2-1-1222807</t>
  </si>
  <si>
    <t>https://www.qamarenergy.com/sites/default/files/The%20UAE%27s%20Role%20in%20the%20Global%20Hydrogen%20Economy.pdf</t>
  </si>
  <si>
    <t>https://www.edie.net/plans-unveiled-for-cumbrias-first-low-carbon-hydrogen-hub/</t>
  </si>
  <si>
    <t>https://www.chemistryworld.com/news/solar-jet-fuel-production-from-co2-and-water-scaled-up-in-field-demo/4016002.article?utm_campaign=cw_shared&amp;utm_medium=social&amp;utm_source=twitter</t>
  </si>
  <si>
    <t>https://www.toyo-eng.com/jp/en/company/news/?n=626</t>
  </si>
  <si>
    <t>https://www.pv-magazine-india.com/2022/07/05/acme-announces-1-5-gw-green-hydrogen-project-in-tamil-nadu/#:~:text=Indian%20developer%20Acme%20will%20set,a%205%20GW%20solar%20plant.</t>
  </si>
  <si>
    <t>https://www.portofrotterdam.com/en/news-and-press-releases/edp-will-construct-a-green-hydrogen-pilot-plant-in-pecem-industrial-and</t>
  </si>
  <si>
    <t>https://www.euractiv.com/section/energy/opinion/why-green-ammonia-will-be-the-workhorse-of-eus-future-hydrogen-economy/</t>
  </si>
  <si>
    <t>https://www.bbc.com/news/uk-scotland-scotland-business-61758782</t>
  </si>
  <si>
    <t>Non clean 1</t>
  </si>
  <si>
    <t>https://hydrogen-central.com/developers-behind-controversial-hydrogen-plant-set-clydebank-waterfront-explained-the-reason-for-withdrawing-their-controversial-plans/</t>
  </si>
  <si>
    <t>https://www.afr.com/companies/energy/apa-woodside-drop-wa-hydrogen-project-20210510-p57qdm</t>
  </si>
  <si>
    <t>https://www.revistaei.cl/2022/06/07/aeropuerto-de-santiago-lanza-plan-para-operar-con-hidrogeno-verde/?utm_source=Newsletter+Grupo+Editorial+EDITEC&amp;utm_campaign=2dfbde4f4b-EMAIL_CAMPAIGN_2022_06_07_08_37&amp;utm_medium=email&amp;utm_term=0_24864427d2-2dfbde4f4b-69501833#</t>
  </si>
  <si>
    <t>https://fuelcellsworks.com/news/centerpoint-energy-launches-green-hydrogen-project-in-minnesota/?mc_cid=790c1a9648&amp;mc_eid=da4624d261</t>
  </si>
  <si>
    <t>https://fuelcellsworks.com/news/technip-energies-selected-by-iverson-efuels-for-a-green-ammonia-production-project/?mc_cid=790c1a9648&amp;mc_eid=da4624d261</t>
  </si>
  <si>
    <t>https://gen2energy.com/projects/production-sites/</t>
  </si>
  <si>
    <t>https://www.htec.ca/htec-hosts-ground-breaking-ceremony-for-its-low-carbon-hydrogen-production-facility-in-burnaby/</t>
  </si>
  <si>
    <t>https://fuelcellsworks.com/news/lion-appoints-wasco-to-undertake-feed-for-its-first-green-hydrogen-production-refueling-station/?mc_cid=790c1a9648&amp;mc_eid=da4624d261</t>
  </si>
  <si>
    <t>https://fuelcellsworks.com/news/norwegian-hydrogen-as-is-moving-forward-with-its-project-to-establish-green-hydrogen-production-at-hellesylt-within-q4-2023/?mc_cid=790c1a9648&amp;mc_eid=da4624d261</t>
  </si>
  <si>
    <t>https://www.aa.com.tr/en/economy/adnoc-bp-masdar-ink-deal-for-clean-hydrogen-development/2596124</t>
  </si>
  <si>
    <t>https://hidrogeno-verde.es/ric-energy-desarrolla-una-planta-de-hidrogeno-verde-en-valladolid/</t>
  </si>
  <si>
    <t>https://www.energias-renovables.com/hidrogeno/ansasol-elige-castilla-y-leon-para-desarrollar-20220408</t>
  </si>
  <si>
    <t>https://www.pv-magazine-latam.com/2022/05/24/la-petrolera-colombiana-ecopetrol-sella-alianza-con-seis-empresas-internacionales-para-desarrollo-de-hidrogeno/</t>
  </si>
  <si>
    <t>https://hydrogenisland.dk/en#vision</t>
  </si>
  <si>
    <t>https://arena.gov.au/projects/waste-biomass-to-renewable-hydrogen/</t>
  </si>
  <si>
    <t>https://www.ir.plugpower.com/press-releases/news-details/2022/Plug-Lands-1-GW-Electrolyzer-Order-with-H2-Energy-Europe/default.aspx</t>
  </si>
  <si>
    <t>https://ffi.com.au/news/centralia/</t>
  </si>
  <si>
    <t>https://cipartners.dk/2022/04/20/european-consortium-madoquapower2x-announces-industrial-scale-power-to-green-hydrogen-and-ammonia-project-in-sines-portugal/#:~:text=Copenhagen%20Infrastructure%20Partners-,European%20consortium%20MadoquaPower2X%20announces%20industrial-scale%20power%20to%20green%20hydrogen,ammonia%20project%20in%20Sines%2C%20Portugal&amp;text=Total%20investment%20of%20%E2%82%AC1,creating%20more%20than%20200%20jobs</t>
  </si>
  <si>
    <t>https://ausfutureenergy.com/project/gladstone-energy-and-ammonia-project/</t>
  </si>
  <si>
    <t>https://www.offshore-energy.biz/getech-starts-work-at-scottish-green-hydrogen-hub-in-inverness/</t>
  </si>
  <si>
    <t>https://river-wind.com/presentation.pdf</t>
  </si>
  <si>
    <t>https://hy2gen.com/</t>
  </si>
  <si>
    <t>https://www.h2-view.com/story/sse-siemens-partner-to-convert-100mw-of-scottish-wind-energy-into-green-hydrogen/</t>
  </si>
  <si>
    <t>https://www.hifglobal.com/</t>
  </si>
  <si>
    <t>https://fuelcellsworks.com/news/line-hydrogen-announces-first-commercial-scale-green-hydrogen-plant-in-tasmania/</t>
  </si>
  <si>
    <t>https://www.lhyfe.com/press/lhyfe-and-wpd-for-production-of-green-hydrogen-in-connection-with-offshore-wind-farm-in-sweden/</t>
  </si>
  <si>
    <t>As reported by price reporting agency Argus Media: https://www.argusmedia.com/en/news/2337598-sk-es-plug-power-aim-to-grow-h2-business-supply-asia</t>
  </si>
  <si>
    <t>https://www.fmgl.com.au/in-the-news/media-releases/2022/07/05/fortescue-future-industries-partners-with-government-of-the-republic-of-djibouti-on-green-hydrogen#:~:text=The%20Framework%20Agreement%20signed%20by,leader%20in%20renewable%20energy%20production.&amp;text=%E2%80%9CThis%20project%20has%20the%20potential,in%20terms%20of%20job%20creation.%E2%80%9D</t>
  </si>
  <si>
    <t>https://aturapower.com/about-hydrogen/#:~:text=Niagara%20Hydrogen%20Centre%20(NHC),funding%20decisions%20expected%20Spring%202022.</t>
  </si>
  <si>
    <t>As reported by price reporting agency Argus Media: https://www.argusmedia.com/en/news/2319726-multinational-group-plan-singapore-green-methanol-plant</t>
  </si>
  <si>
    <t>https://hyphenafrica.com/news/hyphen-hydrogen-energy-progresses-its-planned-us10-bn-namibian-green-hydrogen-project/</t>
  </si>
  <si>
    <t>https://exploracionyproduccion.ancap.com.uy/innovaportal/file/14868/1/energy-opportunities-offshore-uruguay---s-ferro-image-2022-houston.pdf</t>
  </si>
  <si>
    <t>https://www.zawya.com/en/business/hyport-duqm-project-eyes-1mln-mtpa-of-green-ammonia-at-full-capacity-rkpnzt5c</t>
  </si>
  <si>
    <t>https://cen.acs.org/business/Chemical-makers-plan-blue-ammonia/100/i16</t>
  </si>
  <si>
    <t>https://www.worldfertilizer.com/project-news/20052022/nutrien-announces-intention-to-build-worlds-largest-clean-ammonia-production-facility/</t>
  </si>
  <si>
    <t>https://www.maersk.com/news/articles/2022/03/28/maersk-explores-new-ways-to-accelerate-green-fuel-production</t>
  </si>
  <si>
    <t>https://www.mabanaft.com/en/news-info/current-news-and-press-releases/news-detail/products-for-the-future-p2x-europe-and-nordic-electrofuel-cooperate-on-ptl-products/</t>
  </si>
  <si>
    <t>https://www.offshore-energy.biz/adnoc-eneos-mitsui-to-look-into-clean-hydrogen-supply-chain-between-uae-and-japan/</t>
  </si>
  <si>
    <t>https://www.energymining.sa.gov.au/industry/modern-energy/hydrogen-in-south-australia/the-hydrogen-utility-h2u-eyre-peninsula-gateway</t>
  </si>
  <si>
    <t>https://www.japantimes.co.jp/news/2022/04/07/business/corporate-business/mitsubishi-shell-green-hydrogen/</t>
  </si>
  <si>
    <t>https://libertyhydrogen.com.au/liberty-hydrogen-launches-today/</t>
  </si>
  <si>
    <t>https://www.watoday.com.au/politics/western-australia/wesfarmers-and-mitsui-look-at-1-billion-plus-wa-low-carbon-ammonia-export-20211003-p58wsn.html</t>
  </si>
  <si>
    <t>https://renewablesnow.com/news/h2-industries-plans-usd-14bn-waste-to-hydrogen-facility-in-oman-781651/</t>
  </si>
  <si>
    <t>https://www.ammoniaenergy.org/articles/cwp-global-taps-bechtel-to-help-develop-african-ammonia-projects/</t>
  </si>
  <si>
    <t>https://energycapitalpower.com/cwp-massive-renewables-projects-in-africa/</t>
  </si>
  <si>
    <t>https://resourceworld.com/first-hydrogen-identifies-four-u-k-sites-for-hydrogen-projects/</t>
  </si>
  <si>
    <t>https://renewablesnow.com/news/first-hydrogen-seeks-uk-govt-grants-for-80-mw-of-hydrogen-projects-790594/</t>
  </si>
  <si>
    <t>https://www.rechargenews.com/energy-transition/another-aussie-green-hydrogen-hub-in-the-works-as-total-eren-eyes-1gw-darwin-project/2-1-1278144</t>
  </si>
  <si>
    <t>https://news.bjx.com.cn/html/20220526/1228289.shtml?utm_campaign=China%20Clean%20Energy%20Syndicate%20&amp;utm_medium=email&amp;utm_source=Revue%20newsletter</t>
  </si>
  <si>
    <t>https://www.news24.com/fin24/economy/prieska-green-hydrogen-project-gets-funding-boost-20220614</t>
  </si>
  <si>
    <t>https://www.mairetecnimont.com/en/media/press-releases/maire-tecnimont-group-reaches-agreement-greenfield-nitrogen-llc-development-green-ammonia-plant</t>
  </si>
  <si>
    <t>https://www.storegga.earth/news/2022/press-releases/scottishpower-and-storegga-form-green-hydrogen-partnership-to-transform-industry-in-the-highlands/</t>
  </si>
  <si>
    <t>https://www.omanobserver.om/article/1117255/business/energy/agreement-for-first-green-hydrogen-plant-at-sohar</t>
  </si>
  <si>
    <t>https://www.acme.in/media-release/160/acme-group-and-govt-of-karnataka-sign-mou-to-invest-rs-52000-crore-for-green-hydrogen-project</t>
  </si>
  <si>
    <t>https://www.h2-view.com/story/octopus-hydrogen-granted-environmental-permit-for-green-hydrogen-production/</t>
  </si>
  <si>
    <t>https://www.sunfire.de/en/news/detail/rwe-realizes-electrolysis-project-with-sunfire</t>
  </si>
  <si>
    <t>https://www.reuters.com/business/cf-industries-sees-roughly-2-bln-price-tag-us-blue-ammonia-facility-2022-05-05/</t>
  </si>
  <si>
    <t>https://news.cision.com/aker-clean-hydrogen/r/berlevag-project-to-decarbonize-arctic-shipping-forges-ahead,c3382425</t>
  </si>
  <si>
    <t>https://energynews.biz/aker-clean-hydrogen-to-build-hydrogen-factory-in-rjukan/</t>
  </si>
  <si>
    <t>https://www.power-technology.com/comment/dhofar-green-hydrogen-scheme/</t>
  </si>
  <si>
    <t>https://www.agnespower.com/en/progetto-adriatico/</t>
  </si>
  <si>
    <t>https://aquaventus.org/en/press-releases/aquasector-study-examines-potential-for-first-large-scale-offshore-hydrogen-park-in-german-north-sea/</t>
  </si>
  <si>
    <t>https://www.mukran-port.de/en/press/lesen/cooperation-launched-in-hydrogen-region.html</t>
  </si>
  <si>
    <t>https://www.alpiq.com/power-generation/hydrogen-production/news/green-hydrogen-ew-hoefe-alpiq-and-socar-energy-switzerland-mark-a-new-milestone</t>
  </si>
  <si>
    <t>https://www.airliquide.com/group/press-releases-news/2021-07-29/air-liquide-transforms-its-network-germany-connecting-large-electrolyzer-producing-renewable</t>
  </si>
  <si>
    <t>https://www.traffordgreenhydrogen.co.uk/theproject</t>
  </si>
  <si>
    <t>https://www.traffordgreenhydrogen.co.uk/news/carlton-power-secures-government-backing-to-develop-trafford-green-hydrogen-project</t>
  </si>
  <si>
    <t>https://www.acciona.cl/actualidad/noticias/acciona-energia-desarrollara-proyecto-hidrogeno-verde-bahia-quintero/?_adin=02021864894</t>
  </si>
  <si>
    <t>https://wintershalldea.com/en/newsroom/wintershall-dea-and-vng-jointly-invest-hydrogen-pilot-project</t>
  </si>
  <si>
    <t>https://www.yara.com/corporate-releases/yara-and-linde-engineering-agree-to-build-a-24-mw-green-hydrogen-demonstration-plant-in-norway.-both-companies-aim-to-achieve-a-significant-carbon-dioxide-reduction-in-the-production-of-fertilizers-in-norway/</t>
  </si>
  <si>
    <t>https://eng.heroya-industripark.no/latest-news/first-step-towards-full-decarbonisation-of-the-ammonia-plant-at-heroeya</t>
  </si>
  <si>
    <t>https://www.st1.com/st1-and-horisont-energi-to-collaborate-on-green-ammonia-production-in-finnmark</t>
  </si>
  <si>
    <t>https://eng.heroya-industripark.no/latest-news/another-green-hydrogen-investment-for-heroeya-this-could-be-big</t>
  </si>
  <si>
    <t>https://www.pv-magazine.com/2022/09/13/the-hydrogen-stream-worlds-largest-electrolyzer-to-be-deployed-in-norway/</t>
  </si>
  <si>
    <t>https://prax.com/prax-lindsey-oil-refinery-joins-v-net-zero-humber-cluster/</t>
  </si>
  <si>
    <t xml:space="preserve">https://www.axpo.com/pl/en/media-releases.detail.html/media-releases/2022/hydrogen-production-facility-at-the-wildegg-brugg-hydropower-pla.html </t>
  </si>
  <si>
    <t>https://www.spglobal.com/commodityinsights/en/market-insights/latest-news/electric-power/111521-h2-green-to-develop-hydrogen-and-ammonia-hub-in-shoreham-uk-to-decarbonize-port</t>
  </si>
  <si>
    <t>https://www.atomeplc.com/projects/iceland/</t>
  </si>
  <si>
    <t>https://www.powerengineeringint.com/hydrogen/e-on-enel-and-iberdrola-partner-to-meet-growing-hydrogen-demand-in-germany/</t>
  </si>
  <si>
    <t>https://www.wiltonengineering.co.uk/protium-to-build-40mw-flagship-green-hydrogen-project-at-wilton-universal-group-facility/</t>
  </si>
  <si>
    <t>https://fuelcellsworks.com/news/adx-signs-moa-with-leading-renewable-wind-power-provider-for-vienna-basin-green-hydrogen-h2-project/</t>
  </si>
  <si>
    <t>https://www.projectcavendish.com/</t>
  </si>
  <si>
    <t xml:space="preserve">https://www.spglobal.com/marketintelligence/en/news-insights/latest-news-headlines/exxon-affiliate-to-explore-hydrogen-carbon-capture-to-curb-emissions-in-uk-68024118 </t>
  </si>
  <si>
    <t xml:space="preserve">https://energynews.biz/elcogen-provides-electrolysis-tech-for-nuclear-hydrogen-in-korea/ </t>
  </si>
  <si>
    <t xml:space="preserve">https://www.equinor.com/news/archive/20211215-launch-h2be-project-hydrogen-belgium </t>
  </si>
  <si>
    <t xml:space="preserve">https://www.lhyfe.com/press/lhyfe-and-enerparc-join-forces-to-produce-renewable-hydrogen-from-solar-energy/ </t>
  </si>
  <si>
    <t xml:space="preserve">https://renewablesnow.com/news/rwe-to-study-gigawatt-scale-green-hydrogen-production-in-wales-766409/ </t>
  </si>
  <si>
    <t>https://hidrogeno-verde.es/primera-planta-de-hidrogeno-en-un-almacen-logistico-en-espana/</t>
  </si>
  <si>
    <t>https://www.h2-mobile.fr/actus/sealhyfe-premier-electrolyseur-offshore-monde-entre-services/</t>
  </si>
  <si>
    <t>https://assets.siemens-energy.com/siemens/assets/api/uuid:34bec577-f25a-48cd-8618-6dd848b38515/FactsheetWerlteEN.pdf</t>
  </si>
  <si>
    <t>https://fuelcellsworks.com/news/asahi-kasei-starts-construction-of-alkaline-water-electrolysis-pilot-test-plant-for-hydrogen-production-in-kawasaki-japan/?mc_cid=47fbff2b40&amp;mc_eid=da4624d261</t>
  </si>
  <si>
    <t>https://fuelcellsworks.com/news/fusion-fuel-and-ballard-power-commission-h2evora-green-hydrogen-plant/?mc_cid=47fbff2b40&amp;mc_eid=da4624d261</t>
  </si>
  <si>
    <t>https://fuelcellsworks.com/news/cummins-technology-to-help-power-ontarios-first-green-hydrogen-facility/?mc_cid=47fbff2b40&amp;mc_eid=da4624d261</t>
  </si>
  <si>
    <t>https://renewablesnow.com/news/linde-switches-on-1-mw-green-hydrogen-production-plant-in-greece-805750/</t>
  </si>
  <si>
    <t>https://www.powertogas.ch/anlage/einweihung/</t>
  </si>
  <si>
    <t>https://news.cision.com/everfuel-a-s/r/first-hydrogen-produced-at-europe-s-largest-electrolyser--hysynergy,c3684967</t>
  </si>
  <si>
    <t>https://energynews.biz/wunsiedler-energiepark-starts-operation/</t>
  </si>
  <si>
    <t>http://www.energyglobalnews.com/taiwan-air-liquide-far-eastern-opens-new-hydrogen-plant-in-tainan/</t>
  </si>
  <si>
    <t>https://www.liquidwind.se/news/liquid-wind-announces-full-ownership-transition-to-orsted-of-flagshipone</t>
  </si>
  <si>
    <t xml:space="preserve">http://www.fuelcellchina.com/Industry_information_details/130.html </t>
  </si>
  <si>
    <t>https://tass.com/economy/1556129</t>
  </si>
  <si>
    <t>https://thebarentsobserver.com/en/industry-and-energy/2021/07/kola-npp-builds-test-facility-hydrogen</t>
  </si>
  <si>
    <t>https://www.h2bulletin.com/white-martins-produces-the-first-certified-green-hydrogen-in-brazil/</t>
  </si>
  <si>
    <t>https://www.pv-magazine-australia.com/2022/11/15/australian-first-green-hydrogen-microgrid-powers-up-in-wa/</t>
  </si>
  <si>
    <t>https://multiplhy-project.eu/Pages/Latest-News.aspx</t>
  </si>
  <si>
    <t>https://energynews.biz/douglas-county-pud-proceeding-with-construction-of-hydrogen-plant/</t>
  </si>
  <si>
    <t>https://www.hysolar.nl/nieuws/groene-waterstof-krijgt-vaart/</t>
  </si>
  <si>
    <t>https://research.csiro.au/hyresource/hazer-commercial-demonstration-plant/ , https://hazergroup.com.au/wp-content/uploads/2022/07/220721-CDP-Schedule-Delay-FINAL.pdf</t>
  </si>
  <si>
    <t>https://djewels.eu/final-permit-for-pioneering-green-hydrogen-project-djewels/</t>
  </si>
  <si>
    <t>https://www.wiva.at/project/uphy-i-ii/?lang=en</t>
  </si>
  <si>
    <t>https://www.linde.com/news-media/press-releases/2022/linde-inaugurates-world-s-first-hydrogen-refueling-system-for-passenger-trains</t>
  </si>
  <si>
    <t>https://www.bdi.fr/en/hygo-the-renewable-hydrogen-production-project-on-the-michelin-site-in-vannes-has-been-launched/</t>
  </si>
  <si>
    <t>https://vighy.france-hydrogene.org/projets/effi-h2-vannes/</t>
  </si>
  <si>
    <t>https://www.regionalgateway.net/airbus-and-hyport-to-advance-green-hydrogen-availability-at-airports/</t>
  </si>
  <si>
    <t>https://research.csiro.au/hyresource/renewable-hydrogen-production-and-refuelling-project/</t>
  </si>
  <si>
    <t>https://p2x.fi/en/the-foundation-stone-of-p2x-solutions-green-hydrogen-production-plant-was-laid-in-harjavalta/</t>
  </si>
  <si>
    <t>https://oge.net/en/sustainable/projects/our-hydrogen-projects/get-h2-nukleus#:~:text=The%20GET%20H2%20Nukleus%20project,discriminatory%20access%20and%20transparent%20prices.</t>
  </si>
  <si>
    <t>https://www.brusselstimes.com/149604/charleroi-hydrogen-bus-project-postponed-due-to-lack-of-funding-waste-to-wheels-jumet-philippe-henry</t>
  </si>
  <si>
    <t>https://blog.topsoe.com/topsoe-puts-a-demonstration-plant-into-operation-for-production-of-sustainable-methanol-from-biogas-significant-global-carbon-emission-reduction-potential</t>
  </si>
  <si>
    <t>https://www.nrel.gov/aries/annual-report-2021/index.html</t>
  </si>
  <si>
    <t>https://www.edp.com/en/innovation/flexnconfu-power-to-increase-the-flexibility-of-thermal-plants</t>
  </si>
  <si>
    <t>https://arkenergy.com.au/news/2023/11/1/364-ark-energy-breaks-ground-for-sunhq/</t>
  </si>
  <si>
    <t>https://www.hyflexpower.eu/</t>
  </si>
  <si>
    <t>https://www.dhnet.be/regions/liege/2022/02/19/production-dhydrogene-a-liege-airport-en-2023-QJZNVKUWPNFMHP7N6W2QIPRM7E/</t>
  </si>
  <si>
    <t>https://energynews.biz/race-to-lead-in-hydrogen-technology-has-intensified/</t>
  </si>
  <si>
    <t>https://www.h2stations.org/station/?id=2531</t>
  </si>
  <si>
    <t>https://forbes.co/2022/05/31/editors-picks/asi-es-el-primer-carro-de-hidrogeno-que-circula-por-las-calles-de-colombia</t>
  </si>
  <si>
    <t>https://www.h2bulletin.com/eu-approves-e122-million-for-decarbonisation-projects-including-hydrogen/</t>
  </si>
  <si>
    <t>https://climate.ec.europa.eu/system/files/2022-07/if_pf_2021_h2valcamonica_en.pdf</t>
  </si>
  <si>
    <t xml:space="preserve">https://www.offshore-energy.biz/worlds-first-offshore-green-hydrogen-production-platform-inaugurated-france/ </t>
  </si>
  <si>
    <t>https://hydrogensolutions.no/en/starter-gronn-hydrogenproduksjon-vestlandet/</t>
  </si>
  <si>
    <t>https://www.marubeni.com/en/news/2022/info/00025.html</t>
  </si>
  <si>
    <t xml:space="preserve">https://tanknewsinternational.com/sinopecs-first-pem-hydrogen-production-demonstration-station-begins-operations/  </t>
  </si>
  <si>
    <t>https://www.gprectifier.com/news/2000nm3-h-green-power-intelligent-rectifier-h-63514189.html</t>
  </si>
  <si>
    <t>https://www.centerpointenergy.com/en-us/business/services/clean-energy-innovation/renewable-hydrogen?sa=tx#:~:text=Minnesota%20Demonstration%20Project,our%20local%20natural%20gas%20supply.</t>
  </si>
  <si>
    <t>http://www.chinapower.hk/en/media/news-p210412a.php</t>
  </si>
  <si>
    <t>https://www.zepak.com.pl/en/about-us/press-office/news/12534-green-hydrogen-in-zepak.html</t>
  </si>
  <si>
    <t>https://www.pertamina.com/en/news-room/news-release/pertamina-nre-krakatau-steel-and-raja-collaborate-to-develop-hydrogen-pipelines</t>
  </si>
  <si>
    <t>https://research.csiro.au/hyresource/manilla-solar-phase-2-hydrogen-energy-storage-system/</t>
  </si>
  <si>
    <t>https://www.businesswire.com/news/home/20220811005309/en/INNIO-to-Power-Raven-SR%E2%80%99s-First-Waste-to-Hydrogen-Plant-With-100-Renewable-Energy</t>
  </si>
  <si>
    <t>https://hydrogen-central.com/fusion-fuel-signs-green-hydrogen-offtake-agreement-portuguese-gas-utility-dourogas/</t>
  </si>
  <si>
    <t>https://energynews.biz/hydrogen-utopia-in-waste-plastic-to-hydrogen-project-in-poland/</t>
  </si>
  <si>
    <t>https://www.wirtschaft.nrw/pressemitteilung/europas-wasserstoffwirtschaft-nimmt-fahrt-auf-nordrhein-westfalen-beteiligt-sich</t>
  </si>
  <si>
    <t>https://fuelcellsworks.com/news/lhyfe-highlights-and-business-update-of-the-2nd-half-of-2022-commercial-pipeline-at-the-end-of-2022-9-8-gw-of-total-installed-production-capacity/?mc_cid=6e3fa770f1&amp;mc_eid=da4624d261</t>
  </si>
  <si>
    <t>https://fuelcellsworks.com/news/green-hydrogen-systems-signs-new-order-with-spanish-customer/?mc_cid=6e3fa770f1&amp;mc_eid=da4624d261</t>
  </si>
  <si>
    <t>https://www.world-energy.org/article/29081.html</t>
  </si>
  <si>
    <t>https://www.latribune.fr/entreprises-finance/transitions-ecologiques/hydrogene-les-dix-travaux-d-h2-loire-vallee-881643.html</t>
  </si>
  <si>
    <t>As reported by price reporting agency Argus Media: https://direct.argusmedia.com/newsandanalysis/Article/2486874</t>
  </si>
  <si>
    <t>https://www.azollahydrogen.com/news/az225-unit-commission</t>
  </si>
  <si>
    <t>https://energetica21.com/noticia/sevilla-tendra-su-primera-planta-comercial-de-hidrogeno-verde</t>
  </si>
  <si>
    <t>https://www.enapter.com/newsroom/enapter-ag-wins-major-order-from-south-korea</t>
  </si>
  <si>
    <t>https://fuelcellsworks.com/news/engie-and-equinor-provide-update-on-h2be-hydrogen-project-in-belgium/?mc_cid=49fd008c93&amp;mc_eid=da4624d261</t>
  </si>
  <si>
    <t>https://bayotech.us/bayotech-partners-with-ranken-technical-college/</t>
  </si>
  <si>
    <t>https://www.chinadaily.com.cn/a/202302/17/WS63ef4bcea31057c47ebaf741.html</t>
  </si>
  <si>
    <t>https://www.publicpower.org/periodical/article/douglas-county-pud-moves-phase-two-green-hydrogen-project?s=03</t>
  </si>
  <si>
    <t>https://www.airliquide.com/group/press-releases-news/2023-01-10/air-liquide-autothermal-reforming-technology-selected-first-low-carbon-hydrogen-and-ammonia</t>
  </si>
  <si>
    <t>https://www.airliquide.com/group/press-releases-news/2022-11-22/circular-economy-air-liquide-and-totalenergies-innovate-produce-renewable-and-low-carbon-hydrogen</t>
  </si>
  <si>
    <t>https://www.meed.com/oman-plans-sur-hydrogen-cluster</t>
  </si>
  <si>
    <t>https://www.sciencedirect.com/science/article/abs/pii/S1464285921005733</t>
  </si>
  <si>
    <t>https://www.constellationenergy.com/newsroom/2023/Constellation-Starts-Production-at-Nations-First-One-Megawatt-Demonstration-Scale-Nuclear-Powered-Clean-Hydrogen-Facility.html</t>
  </si>
  <si>
    <t>https://www.spglobal.com/commodityinsights/en/market-insights/latest-news/electric-power/020123-interview-uks-octopus-hydrogen-seeks-to-unseat-conventional-production-diesel-in-transport</t>
  </si>
  <si>
    <t>https://www.reflau.com/projekt</t>
  </si>
  <si>
    <t>https://topsectorenergie.nl/documents/99/TKI_Nieuw_Gas-Overview_Hydrogen_projects_in_the_Netherlands_-_version_-_220627.pdf</t>
  </si>
  <si>
    <t>https://s29.q4cdn.com/600973483/files/doc_financials/2022/q4/PLUG-4Q22-Investor-Letter-FINAL.pdf</t>
  </si>
  <si>
    <t>https://www.linkedin.com/posts/plug-power_charleston-hydrogen-plant-activity-6963178206698897408-oZa-/?trk=public_profile_like_view</t>
  </si>
  <si>
    <t>https://www.globenewswire.com/en/news-release/2019/09/18/1917255/9619/en/Plug-Power-Expands-Hydrogen-Supply-Chain-Partner-Network-with-United-Hydrogen.html</t>
  </si>
  <si>
    <t>https://www.energyintel.com/00000186-b241-dc3c-a9b6-fb5361720000</t>
  </si>
  <si>
    <t>https://research.csiro.au/hyresource/desert-bloom-hydrogen/</t>
  </si>
  <si>
    <t>https://www.airliquide.com/stories/hydrogen/building-future-renewable-hydrogen-normandhy</t>
  </si>
  <si>
    <t>https://www.offshore-energy.biz/multiplhy-project-sunfire-installs-worlds-largest-soec-electrolyser/</t>
  </si>
  <si>
    <t>https://www.enbw.com/company/press/enbw-starts-marketing-green-hydrogen.html</t>
  </si>
  <si>
    <t>https://www.spglobal.com/commodityinsights/en/market-insights/latest-news/electric-power/030623-volth2-targets-mid-sized-green-hydrogen-projects-to-optimize-offshore-wind</t>
  </si>
  <si>
    <t>https://hydrogen-central.com/cf-industries-signs-mou-jera-supply-500000-metric-tonnes-per-year-clean-ammonia/</t>
  </si>
  <si>
    <t>https://carboncopy.eco/initiatives/herne-bay-green-hydrogen-production-plant</t>
  </si>
  <si>
    <t>https://www.octohydrogen.com/press-releases/octopus-hydrogen-wins-net-zero-hydrogen-funding-for-15-mw-scotland-electrolysis-project</t>
  </si>
  <si>
    <t>https://www.eni.com/en-IT/media/press-release/2022/10/green-hydrogen-projects-gela-taranto.html</t>
  </si>
  <si>
    <t>https://www.enelgreenpower.com/media/press/2022/09/egp-saras-green-hydrogen-ipcei-hy2use</t>
  </si>
  <si>
    <t>https://hydrogen-central.com/environmental-permit-given-ovako-hydrogen-plant-steel-production/</t>
  </si>
  <si>
    <t>https://h2-tech.com/news/2022/10-2022/danish-power-to-x-partnership-breaks-ground-on-first-of-its-kind-green-ammonia-project/</t>
  </si>
  <si>
    <t>https://en.newsroom.engie.com/news/engie-has-reached-an-important-milestone-in-the-australian-renewable-hydrogen-project-with-yara-8e5c-314df.html</t>
  </si>
  <si>
    <t>https://infrastructurepipeline.org/project/h2tas-bell-bay-hydrogen-plant</t>
  </si>
  <si>
    <t>https://research.csiro.au/hyresource/clean-energy-innovation-park/</t>
  </si>
  <si>
    <t>https://time.news/asturias-receives-39-million-eu-funds-to-promote-3-hydrogen-projects/</t>
  </si>
  <si>
    <t>https://maritime-executive.com/editorials/e-methanol-and-the-future-of-marine</t>
  </si>
  <si>
    <t>https://europeanenergy.com/2023/03/27/european-energy-orders-electrolyzer-from-stiesdal/</t>
  </si>
  <si>
    <t>https://mfgt.hu/en/Akvamarin</t>
  </si>
  <si>
    <t>https://www.mynewsdesk.com/se/strandmoellen-ab/pressreleases/strandmoellen-ab-has-placed-a-purchase-order-for-a-3mw-electrolyser-from-fest-gmbh-3172967</t>
  </si>
  <si>
    <t>https://www.group.sener/project/electrolyzer-petronor-refinery-muskiz/?lang=en</t>
  </si>
  <si>
    <t>https://www.kaisersesch.de/aktuelles/presse-und-oeffentlichkeitsarbeit/pressemitteilungen/2022/november/12-wasserstofftagung-in-kaisersesch-war-ein-voller-erfolg/2022-11-11-dialogforum-smartquart-kaisersesch.pdf?cid=mcs</t>
  </si>
  <si>
    <t>https://assets.ctfassets.net/ztehsn2qe34u/3m5XSgBaBPkbfBQVoJWmd5/fee525778dc177352b9b1831bfa3db0a/Communique-de-presse-terega-solutions-hydrogene.pdf</t>
  </si>
  <si>
    <t>https://mcphy.com/en/achievements/hydrogen-mobility-en/zero-emission-valley-zev/</t>
  </si>
  <si>
    <t>https://www.princegeorgecitizen.com/local-news/prince-george-breaks-ground-on-worlds-largest-hydrogen-refuelling-station-5848061</t>
  </si>
  <si>
    <t>https://www.castanet.net/news/BC/416117/Hydra-Energys-62M-hydrogen-production-plant-approved-in-Prince-George</t>
  </si>
  <si>
    <t>https://www.norsk-e-fuel.com/articles/partnership_with_norwegian</t>
  </si>
  <si>
    <t>https://fuelcellsworks.com/news/sgh2-greener-than-green-hydrogen-plant-gets-green-light/</t>
  </si>
  <si>
    <t>https://www.rechargenews.com/energy-transition/us-start-up-to-build-turquoise-hydrogen-pilot-plant-after-securing-funding-from-major-energy-players/2-1-1240970</t>
  </si>
  <si>
    <t>https://statements.qld.gov.au/statements/97085</t>
  </si>
  <si>
    <t>https://fuelcellsworks.com/news/hyvia-installs-first-electrolyzer-in-flins-plant-accelerating-hydrogen-mobility-ecosystem/?mc_cid=12e0faa137&amp;mc_eid=da4624d261</t>
  </si>
  <si>
    <t>http://www.rmlt.com.cn/2022/0424/645540.shtml</t>
  </si>
  <si>
    <t>https://www.canarygreen.org/seafuels-refuelling-station/</t>
  </si>
  <si>
    <t>https://www.gasunie.nl/en/projects/supercritical-water-gasification</t>
  </si>
  <si>
    <t>https://www.seafuel.eu/h2-station/</t>
  </si>
  <si>
    <t>https://newsroom.bloomenergy.com/news/bloom-energy-demonstrates-hydrogen-production-with-the-worlds-largest-and-most-efficient-solid-oxide-electrolyzer</t>
  </si>
  <si>
    <t>https://catalinaptx.com/</t>
  </si>
  <si>
    <t>https://h2-international.com/2023/02/14/cummins-engine-harnessing-the-power-of-niagara-falls-for-hydrogen/</t>
  </si>
  <si>
    <t>https://news.cision.com/aker-horizons/r/aker-horizons-and-vng-sign-letter-of-intent-to-supply-green-ammonia-from-norway-to-germany,c3765868</t>
  </si>
  <si>
    <t>https://www.gg-fc.com/art-43029.html</t>
  </si>
  <si>
    <t>https://news.bjx.com.cn/html/20220120/1200663.shtml</t>
  </si>
  <si>
    <t>https://ntepa.nt.gov.au/__data/assets/pdf_file/0018/1122741/provaris-tiwi-h2-project-referral.pdf</t>
  </si>
  <si>
    <t>https://www.rechargenews.com/energy-transition/enterprize-plans-4gw-offshore-wind-farm-off-ireland-to-power-3-2gw-green-hydrogen-project/2-1-1104575</t>
  </si>
  <si>
    <t>https://www.hydrogenfuelnews.com/green-hydrogen-production-ireland/8550229/</t>
  </si>
  <si>
    <t>https://www.ammoniaenergy.org/articles/ammonia-exports-from-brazil-taking-shape/</t>
  </si>
  <si>
    <t>https://www.world-energy.org/article/34543.html</t>
  </si>
  <si>
    <t>As reported by price reporting agency Argus Media: https://www.argusmedia.com/en/news/2426650-osaka-gas-santos-eye-emethane-production-in-australia</t>
  </si>
  <si>
    <t>https://www.offshore-energy.biz/japanese-looking-to-produce-e-methane-utilising-cameron-lng/</t>
  </si>
  <si>
    <t>https://renewablesnow.com/news/statkraft-awarded-funds-to-study-green-h2-ammonia-production-at-chilean-solar-farm-756144/</t>
  </si>
  <si>
    <t>https://www.cepsa.com/en/press/first-green-hydrogen-corridor</t>
  </si>
  <si>
    <t>https://www.offshore-energy.biz/cepsa-and-getec-sign-green-hydrogen-agreement/#:~:text=Energy%20companies%20Cepsa%20and%20GETEC,part%20of%20their%20decarbonisation%20goals.</t>
  </si>
  <si>
    <t>https://www.globalconstructionreview.com/norways-scatec-to-build-450m-green-fuel-plant-in-egypt/</t>
  </si>
  <si>
    <t>https://ec.europa.eu/commission/presscorner/detail/en/ip_22_5968</t>
  </si>
  <si>
    <t>https://www.nucnet.org/news/danish-companies-sign-agreement-for-usd4-billion-thorium-smr-in-borneo-5-1-2023</t>
  </si>
  <si>
    <t>https://energyindustryreview.com/renewables/omv-petrom-gets-financing-to-produce-green-h2-at-the-petrobrazi-refinery/</t>
  </si>
  <si>
    <t>https://www.acwapower.com/news/acwa-power-to-develop-uzbekistans-first-green-hydrogen-and-green-ammonia-projects/</t>
  </si>
  <si>
    <t>https://balkangreenenergynews.com/hellenic-hydrogen-to-install-electrolyzer-of-up-to-100-mw-in-greeces-coal-region/</t>
  </si>
  <si>
    <t>https://hycamite.com/</t>
  </si>
  <si>
    <t>https://hydronews.it/a2a-installera-a-brescia-6mw-di-elettrolisi-per-alimentare-i-treni-a-idrogeno-della-valcamonica/</t>
  </si>
  <si>
    <t>https://www.unido.org/news/demonstration-project-production-green-hydrogen-and-ammonia-underway-baotou-china</t>
  </si>
  <si>
    <t>https://igeh2.com/</t>
  </si>
  <si>
    <t>https://www.petrofac.com/media/news/petrofac-to-explore-feasibility-of-green-hydrogen-to-ammonia-facility-in-egypt/</t>
  </si>
  <si>
    <t>https://proton.energy/</t>
  </si>
  <si>
    <t>https://www.linkedin.com/feed/update/urn:li:activity:7069579117104418816/</t>
  </si>
  <si>
    <t>https://www.ir.plugpower.com/press-releases/news-details/2023/Plug-Power-Makes-Major-Strategic-Move-into-Finlands-Green-Hydrogen-Economy-with-its-Proven-PEM-Electrolyzer-and-Liquefaction-Technology/default.aspx</t>
  </si>
  <si>
    <t>https://www.linkedin.com/feed/update/urn:li:activity:7046839934464274432/</t>
  </si>
  <si>
    <t>https://synerhy.com/project/green-hychemical-huelva/</t>
  </si>
  <si>
    <t>https://www.boa.aragon.es/cgi-bin/EBOA/BRSCGI?CMD=VEROBJ&amp;MLKOB=1275215020404</t>
  </si>
  <si>
    <t>https://energiaestrategica.es/19-empresas-recibiran-ayudas-para-proyectos-de-hidrogeno-edp-la-gran-ganadora/</t>
  </si>
  <si>
    <t>https://energynews.biz/totalenergies-and-tes-forge-alliance-for-large-scale-renewable-hydrogen-gas-project/</t>
  </si>
  <si>
    <t>https://elperiodicodelaenergia.com/pinto-acogera-primera-planta-espana-hidrogeno-verde-partir-agua/</t>
  </si>
  <si>
    <t>https://renewablesnow.com/news/austrias-first-green-hydrogen-production-plant-goes-live-822650/</t>
  </si>
  <si>
    <t>https://www.h2bulletin.com/mmex-resources-corp-to-produce-green-hydrogen-in-rio-grande-argentina/</t>
  </si>
  <si>
    <t>https://nelhydrogen.com/press-release/nel-asa-everwind-fuels-has-elected-nel-to-participate-in-the-feed-study-for-the-point-tupper-project/</t>
  </si>
  <si>
    <t>https://hydrogen-central.com/rostock-based-apex-group-project-partners-lay-foundation-stone-10-mw-hybit-electrolysis-plant-for-the-arcelormittal-steelworks-in-bremen/</t>
  </si>
  <si>
    <t>https://www.energynews.es/lliria-planta-hidrogeno-verde-greenb2e/#:~:text=Se%20estima%20una%20producci%C3%B3n%20de,trabajo%20directos%20y%20400%20indirectos</t>
  </si>
  <si>
    <t>https://www.energynews.es/torrelavega-besaya-2-copsesa-y-ric-energy/</t>
  </si>
  <si>
    <t>https://ignis.es/en/green-ammonia-project-ignis/</t>
  </si>
  <si>
    <t>https://hidrogeno-verde.es/el-nuevo-proyecto-de-hidrogeno-verde-en-aguas-de-suecia/</t>
  </si>
  <si>
    <t>https://flexens.com/finlands-largest-hydrogen-plant-planned-in-kokkola/</t>
  </si>
  <si>
    <t>https://research.csiro.au/hyresource/ord-hydrogen/</t>
  </si>
  <si>
    <t>https://hxgenergymaterials.com.au/wp-content/uploads/2022/03/Hexagons-West-Australian-Blue-Ammonia-Project.pdf</t>
  </si>
  <si>
    <t>https://www.h2-view.com/story/chinas-cgn-and-quinto-energy-plan-14gw-brazilian-renewables-project-for-green-hydrogen/?utm_source=dlvr.it&amp;utm_medium=linkedin&amp;utm_campaign=rss</t>
  </si>
  <si>
    <t>https://www.ineratec.de/en/news/ineratec-and-zenith-work-commercial-scale-e-fuel-plant-port-amsterdam</t>
  </si>
  <si>
    <t>https://everwindfuels.com/projects/point_tupper</t>
  </si>
  <si>
    <t>https://www.offshore-energy.biz/everwind-fuels-receives-environmental-approval-for-point-tupper-project/</t>
  </si>
  <si>
    <t>https://energynews.biz/ssab-and-fortum-explore-hydrogen-reduced-sponge-iron-production/</t>
  </si>
  <si>
    <t>https://fuelcellsworks.com/news/acwa-power-signs-mou-with-pupuk-indonesia-for-large-scale-green-hydrogen-project/</t>
  </si>
  <si>
    <t>https://www.aesandes.com/en/aes-andes-launches-first-green-hydrogen-open-season-chile-its-adelaida-project</t>
  </si>
  <si>
    <t>https://www.prnewswire.com/news-releases/air-products-and-aes-announce-plans-to-invest-approximately-4-billion-to-build-first-mega-scale-green-hydrogen-production-facility-in-texas-301697873.html</t>
  </si>
  <si>
    <t>https://www.ohpsa.sa.gov.au/about-the-project</t>
  </si>
  <si>
    <t>https://research.csiro.au/hyresource/bristol-springs-solar-hydrogen-project/</t>
  </si>
  <si>
    <t>https://research.csiro.au/hyresource/mid-west-clean-energy-project/</t>
  </si>
  <si>
    <t>https://www.bloomenergy.com/news/xcel-energy-and-bloom-energy-to-produce-zero-carbon-hydrogen-at-nuclear-facility/</t>
  </si>
  <si>
    <t>https://portocentral.com.br/en/cei-energetica-e-porto-central-assinam-para-o-desenvolvimento-de-projeto-de-hidrogenio-verde/</t>
  </si>
  <si>
    <t>https://www.hydrogeninsight.com/production/ten-fold-expansion-brazilian-chemicals-giant-unveils-1-5bn-growth-plans-for-green-hydrogen-plant/2-1-1390060</t>
  </si>
  <si>
    <t>https://www.edpr.com/en/news/2023/01/30/edp-and-cepsa-sign-alliance-promote-andalusian-green-hydrogen-valley</t>
  </si>
  <si>
    <t>https://www.hydrogeninsight.com/production/iberdrola-bags-disused-oil-fired-power-station-for-1-2bn-green-hydrogen-and-methanol-facility-in-australia/2-1-1461841</t>
  </si>
  <si>
    <t>https://www.businesswire.com/news/home/20230529005164/en/Pembina-Pipeline-Announces-Agreement-with-Marubeni-Corporation-to-Develop-a-Low-Carbon-Ammonia-Project-and-Outlines-Vision-for-Pembina-Low-Carbon-Complex</t>
  </si>
  <si>
    <t>https://energynews.biz/danish-renewables-giant-unveils-bold-green-hydrogen-project-in-eyre-peninsula/</t>
  </si>
  <si>
    <t>https://www.offshore-mag.com/renewable-energy/article/14286224/tes-ewe-sign-green-hydrogen-accord-for-wilhelmshaven-hub</t>
  </si>
  <si>
    <t>https://www.sasol.com/media-centre/media-releases/sasol-explore-potential-cleaner-aviation-fuels-world-class-partners</t>
  </si>
  <si>
    <t>https://energynews.biz/morocco-fourth-in-worlds-hydrogen-race-total-eren-launches-10-69bln-hydrogen-megaproject/</t>
  </si>
  <si>
    <t>https://madoquaventures.com/projects/</t>
  </si>
  <si>
    <t>https://www.hydeal.com/copie-de-hydeal-ambition</t>
  </si>
  <si>
    <t>https://www.technipenergies.com/en/media/news/hy2gen-ag-commissions-technip-energies-complete-pre-feed-study-its-renewable-hydrogen</t>
  </si>
  <si>
    <t>https://www.gub.uy/presidencia/comunicacion/noticias/gobierno-anuncio-inversion-4000-millones-dolares-para-planta-hidrogeno-verde</t>
  </si>
  <si>
    <t>https://www.elpais.com.uy/negocios/noticias/lacalle-pou-anuncia-planta-de-hidrogeno-verde-en-paysandu-con-inversion-de-mas-de-us-2-000-millones</t>
  </si>
  <si>
    <t>https://www.iberdrola.com/press-room/news/detail/iberdrola-trammo-sign-EU-s-largest-agreement-for-the-export-green-ammonia</t>
  </si>
  <si>
    <t>https://fuelcellsworks.com/news/hystar-to-supply-its-world-leading-electrolyser-for-polands-largest-private-energy-group/</t>
  </si>
  <si>
    <t>https://www.constructionweekonline.in/projects-tenders/hygenco-installs-indias-first-green-hydrogen-demo-plant-in-ujjain</t>
  </si>
  <si>
    <t>As reported by price reporting agency Argus Media: https://www.argusmedia.com/en/news/2371492-indias-jindal-stainless-hygenco-plan-green-h2-plant</t>
  </si>
  <si>
    <t>https://www.nrf.ac.za/sasols-energy-transition-collaboration-on-the-hydrogen-economy/</t>
  </si>
  <si>
    <t>GCCSI projects database</t>
  </si>
  <si>
    <t>https://www.centrica.com/media-centre/news/2022/centrica-and-equinor-sign-co-operation-agreement-for-east-yorkshire-hydrogen-hub/</t>
  </si>
  <si>
    <t>https://www.gov.uk/government/publications/cluster-sequencing-phase-2-eligible-projects-power-ccus-hydrogen-and-icc/cluster-sequencing-phase-2-shortlisted-projects-power-ccus-hydrogen-and-icc-august-2022</t>
  </si>
  <si>
    <t>https://www.pertamina.com/en/news-room/news-release/pertamina-air-liquide-agree-to-collaborate-in-developing-ccu-technology-at-the-balikpapan-refinery</t>
  </si>
  <si>
    <t>https://energy.economictimes.indiatimes.com/news/coal/dastur-energy-to-set-up-blue-hydrogen-unit-with-coal-india/91455574</t>
  </si>
  <si>
    <t>https://www.dasturenergy.com/dastur-successfully-completes-techno-economic-feasibility-of-indias-largest-carbon-capture-and-utilization-project/</t>
  </si>
  <si>
    <t>https://www.santos.com/news/qenos-and-santos-announce-feasibility-study-for-the-supply-of-hydrogen-to-reduce-emissions-in-new-south-wales/</t>
  </si>
  <si>
    <t>https://www.eni.com/en-IT/operations/italy-ravenna-upstream-activities.html</t>
  </si>
  <si>
    <t>https://norlights.com/news/major-milestone-for-decarbonising-europe%ef%bf%bc/</t>
  </si>
  <si>
    <t>https://www.zawya.com/en/projects/industry/omans-oq-weighs-blue-ammonia-production-from-omifco-plant-d6jrc6bz</t>
  </si>
  <si>
    <t>https://www.enbridge.com/media-center/news/details?id=123722&amp;lang=en</t>
  </si>
  <si>
    <t>https://www.grandforksherald.com/news/local/although-no-word-northern-plains-nitrogen-plant-is-imminent-in-grand-forks-press-release-sparks-discussion</t>
  </si>
  <si>
    <t>https://www.oci.nl/news/2022-oci-to-start-construction-of-new-world-scale-hydrogen-based-blue-ammonia-facility-in-texas-with-production-expected-in-q1-2025/</t>
  </si>
  <si>
    <t>https://www.ammoniaenergy.org/articles/cf-industries-invests-in-blue-ammonia-capacity-in-the-us/</t>
  </si>
  <si>
    <t>https://www.cleanhydrogenworks.com/_files/ugd/9b794f_71f2bbea67dc4ebb8ab789194a19132a.pdf</t>
  </si>
  <si>
    <t>https://www.oci.nl/news/2022-oci-progresses-iowa-s-carbon-capture-sequestration-project-to-abate-its-co2-emissions-and-produce-low-carbon-ammonia-urea-and-def-in-the-us/</t>
  </si>
  <si>
    <t>https://investors.crc.com/news/news-details/2022/California-Resources-Corporation-Announces-Carbon-Dioxide-Management-Agreement-For-CTVs-First-Permanent-Carbon-Storage-Project/default.aspx</t>
  </si>
  <si>
    <t>https://www.rwe.com/en/press/rwe-supply-and-trading/2023-02-08-rwe-lotte-mc-enter-into-jsa-to-develop-clean-ammonia-project/</t>
  </si>
  <si>
    <t>https://www.netl.doe.gov/node/10875</t>
  </si>
  <si>
    <t>https://www.energy.gov/fecm/articles/foa-2187-and-foa-2188-project-selections</t>
  </si>
  <si>
    <t>https://www.energy.gov/fecm/additional-selections-funding-opportunity-announcement-2400-clean-hydrogen-production-storage</t>
  </si>
  <si>
    <t>https://www.h2-view.com/story/construction-of-50bn-green-hydrogen-project-in-kazakhstan-begins/</t>
  </si>
  <si>
    <t>https://polaris.brighterir.com/public/atome/news/rns/story/w03dp6w</t>
  </si>
  <si>
    <t>https://www.carltonpower.co.uk/news/carlton-power-plans-to-build-devon-amp-cornwalls-first-low-carbon-hydrogen-hub</t>
  </si>
  <si>
    <t>https://www.pamesagrupoempresarial.com/pamesa-ecombustible/</t>
  </si>
  <si>
    <t>https://elperiodicodelaenergia.com/pamesa-pone-en-marcha-la-primera-planta-de-atomizacion-que-abandona-el-gas-para-trabajar-solo-con-agua-y-energia-solar/#google_vignette</t>
  </si>
  <si>
    <t>https://www.jera.co.jp/en/news/information/20220905_969</t>
  </si>
  <si>
    <t>https://nelhydrogen.com/press-release/nel-asa-receives-purchase-order-for-a-containerized-electrolyser-for-sustainable-aviation-fuel-production/</t>
  </si>
  <si>
    <t>https://www.pv-magazine.com/2022/09/12/fortescue-proposes-9-2-gw-green-hydrogen-project-in-egypt/</t>
  </si>
  <si>
    <t>https://www.portofvictoria.com/news-and-media/p/item/47654/port-of-victoria-welcomes-potential-partnership-with-green-technology-company-first-ammonia</t>
  </si>
  <si>
    <t>https://hydrogen-central.com/hy2b-hydrogen-plant-technology-procurement-electrolyser-hyperformer-region-hybayern/</t>
  </si>
  <si>
    <t>https://www.kedglobal.com/hydrogen-economy/newsView/ked202306220020</t>
  </si>
  <si>
    <t>https://www.hiveenergy.co.uk/renewable-energy-project-pipeline/</t>
  </si>
  <si>
    <t>https://www.ammoniaenergy.org/articles/cwp-global-plans-new-supergiant-in-djibouti/</t>
  </si>
  <si>
    <t>https://www.ammoniaenergy.org/articles/ohmium-to-provide-electrolysers-for-low-carbon-fertiliser-plant-in-mexico/</t>
  </si>
  <si>
    <t>https://www.h2-view.com/story/aquaterra-energy-and-seawind-announce-3-2gw-hymed-project/</t>
  </si>
  <si>
    <t>https://www.ijglobal.com/articles/172558/uae-green-hydrogen-plant-in-the-works</t>
  </si>
  <si>
    <t>https://www.zero.co/news-media/plant-zero</t>
  </si>
  <si>
    <t>https://twitter.com/ZeroPetroleum/status/1670729286829916160</t>
  </si>
  <si>
    <t>https://www.statkraft.co.uk/newsroom/2022/statkraft-announces-first-uk-green-hydrogen-project-pembrokeshire/</t>
  </si>
  <si>
    <t>https://univergysolar.com/julio-verne-proyecto-puerto-de-vigo/</t>
  </si>
  <si>
    <t>https://fr.lhyfe.com/presse/lhyfe-va-developper-une-usine-de-200-mw-a-delfzijl-pays-bas/</t>
  </si>
  <si>
    <t>https://www.prnewswire.com/news-releases/sgp-bioenergy-adds-green-hydrogen-to-planned-worlds-largest-advanced-biofuel-production-facility-301646216.html#:~:text=COLON%2C%20Panama%2C%20Oct.,operate%20with%20net%2Dzero%20emissions.</t>
  </si>
  <si>
    <t>https://www.smartenergy.net/smartenergy-develops-a-200-mwe-green-hydrogen-plant-in-sardinia-italy/</t>
  </si>
  <si>
    <t>https://www.foresightgroup.eu/news/statkraft-foresight-and-progressive-energy-launch-grenian-to-deliver-green-hydrogen</t>
  </si>
  <si>
    <t>https://www.europapress.es/economia/energia-00341/noticia-bruselas-autoriza-ayuda-espanola-220-millones-cobra-produccion-hidrogeno-renovable-20221013123418.html</t>
  </si>
  <si>
    <t>https://tegchile.cl/blog/proyecto-gente-grande/</t>
  </si>
  <si>
    <t>https://www.linkedin.com/feed/update/urn:li:activity:7078990234830471168/</t>
  </si>
  <si>
    <t>https://www.borealisgroup.com/news/borealis-and-verbund-joint-hydrogen-project-on-an-industrial-scale</t>
  </si>
  <si>
    <t>https://renewablesnow.com/news/aes-brasil-advances-study-for-up-to-2-gw-green-hydrogen-plant-799077/</t>
  </si>
  <si>
    <t>https://energynews.biz/hanyang-and-linde-to-create-blue-hydrogen-production-cluster-in-jeonnam/</t>
  </si>
  <si>
    <t>https://www.hydrogeninsight.com/production/linde-to-invest-1-8bn-in-new-blue-hydrogen-plant-in-texas-with-start-up-in-2025/2-1-1399822</t>
  </si>
  <si>
    <t>https://www.linde.com/news-media/press-releases/2023/linde-to-supply-green-hydrogen-to-evonik-in-singapore</t>
  </si>
  <si>
    <t>https://www.linde.com/news-media/press-releases/2023/linde-to-increase-green-hydrogen-production-in-california</t>
  </si>
  <si>
    <t>https://hydrogen-central.com/carbon-governance-advances-new-green-hydrogen-production-project-development-in-bintan/</t>
  </si>
  <si>
    <t>As reported by price reporting agency Argus Media: https://www.argusmedia.com/en/news/2390103-japans-ihi-dubais-enoc-eye-uae-green-ammonia-output</t>
  </si>
  <si>
    <t>https://www.cnbc.com/2022/11/16/firms-plan-australian-super-hub-to-produce-green-hydrogen.html</t>
  </si>
  <si>
    <t>https://www.middlesabi-renewstable.com/</t>
  </si>
  <si>
    <t>As reported by price reporting agency Argus Media: https://www.argusmedia.com/ja/news/2392463-s-korean-firms-eye-h2-ammonia-output-in-saudi-arabia</t>
  </si>
  <si>
    <t>https://www.ijglobal.com/articles/168679/project-in-works-for-indonesia-green-hydrogen-plant</t>
  </si>
  <si>
    <t>https://gaspathways.com/saudi-thai-cos-plan-7bn-investment-in-green-hydrogen-projects-1464</t>
  </si>
  <si>
    <t>As reported by price reporting agency Argus Media: https://direct.argusmedia.com/newsandanalysis/Article/2397690</t>
  </si>
  <si>
    <t>As reported by price reporting agency Argus Media: https://direct.argusmedia.com/newsandanalysis/Article/2395369</t>
  </si>
  <si>
    <t>As reported by price reporting agency Argus Media: https://direct.argusmedia.com/newsandanalysis/Article/2397919</t>
  </si>
  <si>
    <t>As reported by price reporting agency Argus Media: https://direct.argusmedia.com/newsandanalysis/Article/2399271</t>
  </si>
  <si>
    <t>As reported by price reporting agency Argus Media: https://direct.argusmedia.com/newsandanalysis/Article/2395750</t>
  </si>
  <si>
    <t>As reported by price reporting agency Argus Media: https://direct.argusmedia.com/newsandanalysis/Article/2405819</t>
  </si>
  <si>
    <t>As reported by price reporting agency Argus Media: https://direct.argusmedia.com/newsandanalysis/Article/2412080</t>
  </si>
  <si>
    <t>As reported by price reporting agency Argus Media: https://direct.argusmedia.com/newsandanalysis/Article/2417173</t>
  </si>
  <si>
    <t>As reported by price reporting agency Argus Media: https://direct.argusmedia.com/newsandanalysis/Article/2435493</t>
  </si>
  <si>
    <t>https://www.ir.plugpower.com/press-releases/news-details/2023/Plug-Power-to-Design-and-Deliver-10MW-PEM-Electrolyzer-to-HOPE-Project/default.aspx?&amp;utm_source=organic-social-pr&amp;utm_medium=twitter&amp;utm_campaign=Hope-Press-Release&amp;utm_term=APR</t>
  </si>
  <si>
    <t>As reported by price reporting agency Argus Media: https://direct.argusmedia.com/newsandanalysis/Article/2443658</t>
  </si>
  <si>
    <t>https://www.h2-view.com/story/yara-and-basf-announce-blue-ammonia-production-facility-plans/</t>
  </si>
  <si>
    <t>As reported by price reporting agency Argus Media: https://direct.argusmedia.com/newsandanalysis/Article/2402266</t>
  </si>
  <si>
    <t>As reported by price reporting agency Argus Media: https://direct.argusmedia.com/newsandanalysis/Article/2404840</t>
  </si>
  <si>
    <t>As reported by price reporting agency Argus Media: https://www.argusmedia.com/en/news/2422050-scottish-300mw-h2-plant-to-decarbonise-whisky-industry</t>
  </si>
  <si>
    <t>https://www.enerdata.net/publications/daily-energy-news/statera-plans-3-gw-hydrogen-plant-scotland-uk.html</t>
  </si>
  <si>
    <t>https://energynews.biz/mytilineos-invests-in-rosedale-green-hydrogen-project/</t>
  </si>
  <si>
    <t>https://hydrogen-central.com/infinity-power-conjuncta-develop-green-hydrogen-project-mauritania/</t>
  </si>
  <si>
    <t>As reported by price reporting agency Argus Media: https://www.argusmedia.com/pt//news/2457061-enit-eyes-300mw-renewable-hydrogen-plant-in-brazil?backToResults=true</t>
  </si>
  <si>
    <t>https://hydrogen-central.com/provaris-pleased-collaborate-norwegian-hydrogen-developing-norway-largest-production-facility-for-green-hydrogen/</t>
  </si>
  <si>
    <t>https://www.energate-messenger.com/news/232487/ewe-becomes-hydrogen-supplier-for-salzgitter</t>
  </si>
  <si>
    <t>https://www.energate-messenger.com/news/210798/companies-pool-investments-of-1-3-billion-euros-for-green-hydrogen</t>
  </si>
  <si>
    <t>https://www.acciona.com/updates/news/acciona-energia-plug-power-present-valle-h2v-navarra-project-government-navarra/?_adin=02021864894</t>
  </si>
  <si>
    <t>https://renewablesnow.com/news/meld-energy-plans-100-mw-hydrogen-project-at-uk-chemicals-park-825189/</t>
  </si>
  <si>
    <t>https://netzerotc-newsroom.prgloo.com/news/project-launched-to-create-hydrogen-highway-from-scotland-to-rotterdam</t>
  </si>
  <si>
    <t>As reported by price reporting agency Argus Media: https://direct.argusmedia.com/newsandanalysis/Article/2464312</t>
  </si>
  <si>
    <t>https://hh2e.de/en/news/hh2e-announces-its-second-major-green-hydrogen-production-project-in-germany/</t>
  </si>
  <si>
    <t>As reported by price reporting agency Argus Media: https://direct.argusmedia.com/newsandanalysis/Article/2414003</t>
  </si>
  <si>
    <t>As reported by price reporting agency Argus Media: https://direct.argusmedia.com/newsandanalysis/Article/2398817</t>
  </si>
  <si>
    <t>https://fuelcellsworks.com/news/sk-eco-plant-partners-with-canadas-world-energy-gh2-in-a-4-5-billion-green-hydrogen-commercialization-project/</t>
  </si>
  <si>
    <t>https://renewablesnow.com/news/ric-energy-unveils-green-h2-project-it-is-developing-alone-in-spain-782794/</t>
  </si>
  <si>
    <t>https://www.neste.com/releases-and-news/sustainability/neste-moves-forward-its-renewable-hydrogen-project-porvoo-finland</t>
  </si>
  <si>
    <t>https://www.reuters.com/business/energy/sinopecs-first-green-hydrogen-plant-xinjiang-starts-production-xinhua-2023-06-30/</t>
  </si>
  <si>
    <t>https://news.cision.com/metacon-ab/r/metacon-signs-master-supply-agreement-with-ground-investment-corp-srl-for-a-10-mw-turnkey-green-hydr,c3679476</t>
  </si>
  <si>
    <t>https://www.energias-renovables.com/hidrogeno/un-municipio-almeriense-recibira-15-millones-de-20230602</t>
  </si>
  <si>
    <t>https://energynews.biz/european-commission-deemed-repsols-escombreras-valley-hydrogen-project-strategic/</t>
  </si>
  <si>
    <t>https://www.bnamericas.com/es/perfil-proyecto/vientos-magallanicos</t>
  </si>
  <si>
    <t>https://future.hamburg/en/artikel/dow-stade-making-chemicals-industry-carbon-neutral</t>
  </si>
  <si>
    <t>https://www.swiss-liquid-future.ch/wp-content/uploads/2020/07/2020-07-01_fast-track-CC-in-Norway_PM-Final_revised21-2.pdf</t>
  </si>
  <si>
    <t>https://www.engineeringnews.co.za/print-version/consortium-unveils-plans-for-zero-emission-eastern-cape-e-methanol-plant-2021-07-14</t>
  </si>
  <si>
    <t>https://orsted.com/en/media/newsroom/news/2022/03/20220310491311</t>
  </si>
  <si>
    <t>https://www.maritime-executive.com/article/maersk-invests-in-green-methanol-production-in-south-dakota</t>
  </si>
  <si>
    <t>As reported by price reporting agency Argus Media: https://direct.argusmedia.com/newsandanalysis/Article/2453161</t>
  </si>
  <si>
    <t>As reported by price reporting agency Argus Media: https://direct.argusmedia.com/newsandanalysis/Article/2412899</t>
  </si>
  <si>
    <t>As reported by price reporting agency Argus Media: https://direct.argusmedia.com/newsandanalysis/Article/2412656</t>
  </si>
  <si>
    <t>As reported by price reporting agency Argus Media: https://direct.argusmedia.com/newsandanalysis/Article/2413877</t>
  </si>
  <si>
    <t>As reported by price reporting agency Argus Media: https://direct.argusmedia.com/newsandanalysis/Article/2415273</t>
  </si>
  <si>
    <t>As reported by price reporting agency Argus Media: https://direct.argusmedia.com/newsandanalysis/Article/2420639</t>
  </si>
  <si>
    <t>As reported by price reporting agency Argus Media: https://direct.argusmedia.com/newsandanalysis/Article/2421394</t>
  </si>
  <si>
    <t>As reported by price reporting agency Argus Media: https://direct.argusmedia.com/newsandanalysis/Article/2421829</t>
  </si>
  <si>
    <t>https://www.offshore-energy.biz/cip-buys-into-blue-ammonia-project-in-the-gulf-coast/</t>
  </si>
  <si>
    <t>As reported by price reporting agency Argus Media: https://direct.argusmedia.com/newsandanalysis/Article/2423789</t>
  </si>
  <si>
    <t>As reported by price reporting agency Argus Media: https://direct.argusmedia.com/newsandanalysis/Article/2425755</t>
  </si>
  <si>
    <t>As reported by price reporting agency Argus Media: https://direct.argusmedia.com/newsandanalysis/Article/2431768</t>
  </si>
  <si>
    <t>As reported by price reporting agency Argus Media: https://direct.argusmedia.com/newsandanalysis/Article/2431937</t>
  </si>
  <si>
    <t>https://www.sunfire.de/en/news/detail/project-air-in-sweden-uniper-commissions-sunfire-to-build-a-30-mw-electrolyzer</t>
  </si>
  <si>
    <t>https://www.lhyfe.com/press/lhyfe-receives-approval-from-schwaebisch-gmuend-municipal-council-germany-to-develop-local-hydrogen-ecosystem/</t>
  </si>
  <si>
    <t>https://hydronews.it/ep-produzione-progetta-un-impianto-di-h2-green-nella-sua-centrale-elettrica-di-fiume-santo-in-sardegna/#:~:text=EP%20Produzione%2C%20controllata%20italiana%20del,una%20centrale%20termoelettrica%20a%20carbone.</t>
  </si>
  <si>
    <t>https://www.offshorewind.biz/2023/03/24/ox2-unveils-plans-for-1-9-gw-offshore-energy-hub-in-southern-baltic-sea/</t>
  </si>
  <si>
    <t>As reported by price reporting agency Argus Media: https://direct.argusmedia.com/newsandanalysis/Article/2433885</t>
  </si>
  <si>
    <t>As reported by price reporting agency Argus Media: https://direct.argusmedia.com/newsandanalysis/Article/2434164</t>
  </si>
  <si>
    <t>https://hydrogen-central.com/hydrogen-utopia-agrees-terms-waste-hydrogen-facility-longford-ireland/</t>
  </si>
  <si>
    <t>https://www.cbc.ca/news/canada/newfoundland-labrador/ottawa-come-by-chance-refinery-investment-1.6860608</t>
  </si>
  <si>
    <t>https://fortescue.com/what-we-do/our-projects/holmaneset</t>
  </si>
  <si>
    <t>https://www.onyx-power.com/en/news-and-press/preparation-of-hydrogen-production-project-in-rotterdam/</t>
  </si>
  <si>
    <t>As reported by price reporting agency Argus Media: https://direct.argusmedia.com/newsandanalysis/Article/2442482</t>
  </si>
  <si>
    <t>https://www.chiyodacorp.com/media/230411_e_1.pdf</t>
  </si>
  <si>
    <t>https://adamsforkenergy.com/</t>
  </si>
  <si>
    <t>Desarrollo de la industria H2V en Latinoamérica - H2Chile</t>
  </si>
  <si>
    <t>https://ffi.com.au/project/pampas_es/</t>
  </si>
  <si>
    <t>https://novascotia.ca/nse/ea/bear-head-energy/</t>
  </si>
  <si>
    <t>As reported by price reporting agency Argus Media: https://direct.argusmedia.com/newsandanalysis/Article/2442315</t>
  </si>
  <si>
    <t>As reported by price reporting agency Argus Media: https://www.argusmedia.com/en/news/2441235-lithuanias-achema-plans-213mw-hydrogen-facility</t>
  </si>
  <si>
    <t>As reported by price reporting agency Argus Media: https://direct.argusmedia.com/newsandanalysis/Article/2442717</t>
  </si>
  <si>
    <t>As reported by price reporting agency Argus Media: https://direct.argusmedia.com/newsandanalysis/Article/2444570</t>
  </si>
  <si>
    <t>https://energynews.biz/power2x-and-soto-solar-to-build-1-2-gw-pv-and-green-hydrogen-plant-in-spain/</t>
  </si>
  <si>
    <t>https://www.doinghydrogen.com/partner/enertrag-ag/</t>
  </si>
  <si>
    <t>https://fuelcellsworks.com/news/glenfarne-energy-transition-to-collaborate-with-samsung-engineering-on-green-hydrogen-and-ammonia-initiatives-in-chile/</t>
  </si>
  <si>
    <t>https://hydrogen-central.com/hazer-advances-collaboration-engie-hazer-facility-france-hydrogen-production/</t>
  </si>
  <si>
    <t>As reported by price reporting agency Argus Media: https://direct.argusmedia.com/newsandanalysis/Article/2453115</t>
  </si>
  <si>
    <t>As reported by price reporting agency Argus Media: https://direct.argusmedia.com/newsandanalysis/Article/2439283</t>
  </si>
  <si>
    <t>As reported by price reporting agency Argus Media: https://direct.argusmedia.com/newsandanalysis/Article/2456404</t>
  </si>
  <si>
    <t>As reported by price reporting agency Argus Media: https://direct.argusmedia.com/newsandanalysis/Article/2451404</t>
  </si>
  <si>
    <t>As reported by price reporting agency Argus Media: https://direct.argusmedia.com/newsandanalysis/Article/2453086</t>
  </si>
  <si>
    <t>https://www.enapter.com/newsroom/enapter-receives-canadian-order-for-two-1-megawatt-electrolysers</t>
  </si>
  <si>
    <t>https://www.enapter.com/newsroom/dutch-energy-company-orders-megawatt-class-electrolyser</t>
  </si>
  <si>
    <t>https://www.enapter.com/newsroom/first-order-placed-for-enapters-aem-multicore-megawatt-class-electrolyser-system</t>
  </si>
  <si>
    <t>As reported by price reporting agency Argus Media: https://direct.argusmedia.com/newsandanalysis/Article/2399721</t>
  </si>
  <si>
    <t>Argus Hydrogen and Future Fuels, 16 May 2023</t>
  </si>
  <si>
    <t>https://timesofoman.com/article/131167-vale-signs-agreement-to-establish-integrated-industrial-complex-in-duqm</t>
  </si>
  <si>
    <t>https://greenalia.es/en/articles/greenalia-and-p2x-europe-join-forces-to-develop-an-efuel-production-project-in-galicia/</t>
  </si>
  <si>
    <t>https://totalenergies.com/media/news/press-releases/united-states-totalenergies-and-tes-join-forces-develop-large-scale-e-ng</t>
  </si>
  <si>
    <t>Argus Hydrogen and Future Fuels, 6 June 2023</t>
  </si>
  <si>
    <t>https://elperiodicodelaenergia.com/dos-proyectos-repsol-impulsar-hidrogeno-renovable-espana-reciben-25-millones-ayudas-idae/</t>
  </si>
  <si>
    <t>https://fuelcellsworks.com/news/calix-plans-to-build-a-hydrogen-based-iron-plant-in-australia/?mc_cid=47fbff2b40&amp;mc_eid=da4624d261</t>
  </si>
  <si>
    <t>https://fuelcellsworks.com/news/octopus-energy-and-res-to-swap-gas-for-green-hydrogen-at-andrex-kleenex-factories-in-the-uk/?mc_cid=0c0b824e23&amp;mc_eid=da4624d261</t>
  </si>
  <si>
    <t>https://hidrogeno-verde.es/tres-proyectos-de-edp-hidrogeno-verde/</t>
  </si>
  <si>
    <t>https://hidrogeno-verde.es/planta-amoniaco-verde-en-langosteira/</t>
  </si>
  <si>
    <t>https://hydrogen-central.com/raven-sr-receives-e1-7-million-grant-from-european-commission-support-waste-hydrogen-production-facility-in-spain/</t>
  </si>
  <si>
    <t>https://fuelcellsworks.com/news/port-of-grays-harbor-commission-approves-leasing-option-to-invenergy-for-potential-green-hydrogen-project/?mc_cid=850deae301&amp;mc_eid=da4624d261</t>
  </si>
  <si>
    <t>https://www.lhyfe.com/press/lhyfe-and-schaeffler-enter-cooperation-agreement-to-build-industrial-hydrogen-plant-in-germany/</t>
  </si>
  <si>
    <t>https://www.constructionweekonline.in/business/a-p-moller-maersk-sungas-renewables-sign-strategic-green-methanol-partnership</t>
  </si>
  <si>
    <t>https://phynix-energy.eu/phynix-anuncia-su-segundo-proyecto-de-produccion-de-hidrogeno-renovable-barataria-de-70mw/</t>
  </si>
  <si>
    <t>https://fuelcellsworks.com/news/metacon-signs-mou-to-supply-electrolyser-system-for-green-hydrogen-project-in-poland/?mc_cid=6e3fa770f1&amp;mc_eid=da4624d261</t>
  </si>
  <si>
    <t>https://www.gov.uk/government/publications/hydrogen-production-business-model-net-zero-hydrogen-fund-shortlisted-projects/hydrogen-business-model-net-zero-hydrogen-fund-shortlisted-projects-allocation-round-2022</t>
  </si>
  <si>
    <t>https://www.gov.uk/government/publications/net-zero-hydrogen-fund-strands-1-and-2-successful-applicants/net-zero-hydrogen-fund-strands-1-and-2-summaries-of-successful-applicants-round-1-april-2022-competition</t>
  </si>
  <si>
    <t>https://www.suntory.com/news/article/14225E.html</t>
  </si>
  <si>
    <t>https://www.businesswire.com/news/home/20221121005294/en/Babcock-Wilcox-Announces-Agreement-to-Study-Development-of-Biomass-to-Hydrogen-Project-in-South-Korea-Using-BrightLoop%E2%84%A2-Technology</t>
  </si>
  <si>
    <t>https://www.ammoniaenergy.org/articles/fertiliser-giant-ocp-group-to-go-fully-renewable-eliminate-ammonia-imports-to-morocco/</t>
  </si>
  <si>
    <t>https://hydronews.it/a-nextchem-lo-studio-di-fattibilita-di-un-impianto-di-produzione-di-metanolo-green-da-h2-co2-in-puglia/</t>
  </si>
  <si>
    <t>https://fuelcellsworks.com/news/hydrogen-utopia-explores-opportunities-for-converting-plastic-waste-into-hydrogen-in-estonia/?mc_cid=44d2eee315&amp;mc_eid=da4624d261</t>
  </si>
  <si>
    <t>https://fuelcellsworks.com/news/carbonloop-and-haffner-energy-announce-order-for-hynoca-equipment-for-first-two-hydrogen-and-biochar-production-sites-from-biomass/?mc_cid=0c0b824e23&amp;mc_eid=da4624d261</t>
  </si>
  <si>
    <t>https://www.hydrogeninsight.com/innovation/korean-conglomerates-plan-to-produce-clean-hydrogen-from-an-ultra-safe-micro-nuclear-reactor-in-the-heart-of-seoul/2-1-1439877</t>
  </si>
  <si>
    <t>https://www.lainformacion.com/empresas/siemens-gamesa-hiperbaric-ariema-hidrogeno-navarra/2885011/</t>
  </si>
  <si>
    <t>https://www.eolasmagazine.ie/indaver-is-ready-to-contribute-to-a-new-hydrogen-economy/</t>
  </si>
  <si>
    <t>https://thecurrency.news/articles/80215/bord-na-mona-enrols-boc-for-green-hydrogen-business/</t>
  </si>
  <si>
    <t>https://www.climatecouncil.ie/media/climatechangeadvisorycouncil/contentassets/publications/Hydrogen%20in%20Ireland%20web%20version.pdf</t>
  </si>
  <si>
    <t>https://hydrogen-central.com/esb-green-energy-hub-hydrogen-moneypoint-ireland/</t>
  </si>
  <si>
    <t>https://eih2.ie/e120m-green-energy-facility-planned-for-cork-creating-85-jobs/</t>
  </si>
  <si>
    <t>https://fuelcellsworks.com/news/lhyfe-and-duisport-plan-first-green-hydrogen-production-plant-in-duisburg-harbor-the-largest-inland-port-in-the-world/?mc_cid=cb7d9f94fc&amp;mc_eid=da4624d261</t>
  </si>
  <si>
    <t>https://renewablesnow.com/news/hynfra-plans-200000-tonnes-green-ammonia-plant-in-jordan-827164/</t>
  </si>
  <si>
    <t>https://www.hydrogeninsight.com/industrial/pioneer-heineken-and-siemens-launch-joint-venture-to-decarbonise-eu-fertiliser-production-with-green-hydrogen/2-1-1479482</t>
  </si>
  <si>
    <t>http://daystarenergy.com.au/</t>
  </si>
  <si>
    <t>https://k-rep.com.au/</t>
  </si>
  <si>
    <t>https://www.hydrogeninsight.com/production/worlds-largest-construction-begins-at-chinas-biggest-green-ammonia-plant/2-1-1484607</t>
  </si>
  <si>
    <t>https://www.chinadaily.com.cn/a/202306/30/WS649e36c8a310bf8a75d6c825.html</t>
  </si>
  <si>
    <t>https://www.fastcompany.com/90921721/twelve-factory-captured-co2-1-million-gallons-of-jet-fuel-sustainable-aviation-fuel</t>
  </si>
  <si>
    <t>https://www.ijglobal.com/articles/174169/atco-shelves-oz-hydrogen</t>
  </si>
  <si>
    <t>As reported by price reporting agency Argus Media: https://direct.argusmedia.com/newsandanalysis/article/2471712</t>
  </si>
  <si>
    <t>https://www.hydrogeninsight.com/industrial/indian-steel-giant-to-start-using-green-hydrogen-within-two-years/2-1-1492967</t>
  </si>
  <si>
    <t>As reported by price reporting agency Argus Media: https://direct.argusmedia.com/newsandanalysis/Article/2476003</t>
  </si>
  <si>
    <t>https://worldenergygh2.com/about/</t>
  </si>
  <si>
    <t>https://fuelcellsworks.com/news/walmart-chile-initiates-plan-to-operate-100-of-its-green-hydrogen-logistics-network/?mc_cid=be1ca95ecf&amp;mc_eid=da4624d261</t>
  </si>
  <si>
    <t>https://www.airliquide.com/group/press-releases-news/2022-07-19/air-liquide-build-two-new-hydrogen-production-units-carbon-capture-technology-shanghai-chemical</t>
  </si>
  <si>
    <t>https://www.bp.com/en/global/corporate/news-and-insights/press-releases/bp-to-explore-potential-for-green-hydrogen-production-in-egypt.html</t>
  </si>
  <si>
    <t>https://www.socalgas.com/sites/default/files/2022-03/STF-Angeles-Link-ESP-Fact-Sheet-1.pdf</t>
  </si>
  <si>
    <t>https://hydrogen-central.com/egypts-suez-canal-zone-indias-acme-sign-framework-agreement-green-hydrogen-project-in-sokhna/</t>
  </si>
  <si>
    <t>https://www.globeleq.com/blog/globeleq-partners-with-government-of-egypt-to-develop-a-large-scale-green-hydrogen-project/</t>
  </si>
  <si>
    <t>https://daures.green/</t>
  </si>
  <si>
    <t>https://www.edf.fr/groupe-edf/espaces-dedies/journalistes/tous-les-communiques-de-presse/edf-holcim-ifpen-et-axens-sassocient-pour-participer-ensemble-a-la-creation-de-la-filiere-francaise-de-e-carburant-pour-le-transport-aerien-avec-le-projet-take-kair-soutenu-par-air</t>
  </si>
  <si>
    <t>https://www.dailypost.co.uk/news/north-wales-news/holyhead-hydrogen-hub-accelerated-deal-26940438</t>
  </si>
  <si>
    <t>https://www.pv-magazine.com/2023/08/14/hysata-testing-hydrogen-electrolyzer-tech-in-real-world-setting/</t>
  </si>
  <si>
    <t>https://doggerbank.com/doggerbankd/</t>
  </si>
  <si>
    <t>https://www.equinor.com/news/20230105-equinor-rwe-cooperation</t>
  </si>
  <si>
    <t>https://energyport-rostock.de/en/</t>
  </si>
  <si>
    <t>https://www.spglobal.com/commodityinsights/en/market-insights/latest-news/energy-transition/063023-two-green-hydrogen-projects-totaling-30000-mtyear-of-capacity-start-up-in-china</t>
  </si>
  <si>
    <t>https://hydrogen.johncockerill.com/en/markets/power-to-gas/</t>
  </si>
  <si>
    <t>https://indho.cl/en/projects/pv-h2-kalisaya/</t>
  </si>
  <si>
    <t>https://www.s-ge.com/en/system/files?file=event/downloads/20220525%20Green%20Hydrogen%20projects%20Chile.pdf&amp;ct</t>
  </si>
  <si>
    <t>https://www.airproducts.com/company/news-center/2022/11/1108-air-products-receive-475-million-cad-net-zero-hydrogen-complex-funding</t>
  </si>
  <si>
    <t>https://tci-gecomp.com/en/project/arichile-h2-en/</t>
  </si>
  <si>
    <t>https://www.biobiochile.cl/especial/aqui-tierra/noticias/2022/11/23/podria-operar-en-2024-chile-estrenara-su-primer-tren-cero-emisiones-con-100-hidrogeno-verde.shtml</t>
  </si>
  <si>
    <t>https://www.fishfarmingexpert.com/green-hydrogen-generation-hydroelectric-power-mowi-chile/mowi-seeks-to-run-farms-on-home-made-hydrogen/1283091</t>
  </si>
  <si>
    <t>https://h2lac.org/noticias/planta-piloto-movil-de-h2v-permitira-cuantificar-el-potencial-de-generacion-de-la-region-de-antofagasta/</t>
  </si>
  <si>
    <t>https://chile.hyvolution.com/en/2023/06/20/mae-exhibits-at-hyvolution-and-brings-its-experience-in-the-development-of-a-pioneering-green-hydrogen-project-in-chile/</t>
  </si>
  <si>
    <t>https://www.theengineer.co.uk/content/in-depth/inside-ovakos-hydrogen-fuelled-steel-plant-3/</t>
  </si>
  <si>
    <t>https://hydrogen-central.com/opening-hydrogen-production-plant-kubel-power-plant/</t>
  </si>
  <si>
    <t>https://bioenergyinternational.com/hzi-to-develop-first-small-scale-waste-to-hydrogen/</t>
  </si>
  <si>
    <t>https://www.hvnplus.co.uk/news/arbikie-distillery-begins-work-on-hydrogen-heating-installation-02-02-2023/</t>
  </si>
  <si>
    <t>https://vighy.france-hydrogene.org/projets/hynovera/</t>
  </si>
  <si>
    <t>https://vighy.france-hydrogene.org/projets/dijon-metropole-smart-energy-dmse/</t>
  </si>
  <si>
    <t>https://www.france-hydrogene.org/magazine/hydom-un-projet-a-85-mw-dans-la-vallee-de-la-chimie/?cn-reloaded=1</t>
  </si>
  <si>
    <t>https://vighy.france-hydrogene.org/projets/h2v-saint-clair-du-rhone/</t>
  </si>
  <si>
    <t>https://vighy.france-hydrogene.org/projets/ecoh2-breizh1/</t>
  </si>
  <si>
    <t>https://vighy.france-hydrogene.org/projets/ecoh2-breizh2/</t>
  </si>
  <si>
    <t>https://vighy.france-hydrogene.org/projets/hycor/</t>
  </si>
  <si>
    <t>https://vighy.france-hydrogene.org/projets/dephy2a-ajaccio/</t>
  </si>
  <si>
    <t>https://vighy.france-hydrogene.org/projets/dephy2a-bastia/</t>
  </si>
  <si>
    <t>https://vighy.france-hydrogene.org/projets/vhya-lorraine/</t>
  </si>
  <si>
    <t>https://vighy.france-hydrogene.org/projets/h2v-thionville/</t>
  </si>
  <si>
    <t>https://vighy.france-hydrogene.org/projets/h2v-valenciennes/</t>
  </si>
  <si>
    <t>https://vighy.france-hydrogene.org/projets/ecoh2/</t>
  </si>
  <si>
    <t>https://vighy.france-hydrogene.org/projets/hylan/</t>
  </si>
  <si>
    <t>https://vighy.france-hydrogene.org/projets/hyvence/</t>
  </si>
  <si>
    <t>https://vighy.france-hydrogene.org/projets/usine-trange/</t>
  </si>
  <si>
    <t>https://vighy.france-hydrogene.org/projets/zero-emission-valley-zev/</t>
  </si>
  <si>
    <t>https://www.caissedesdepots.fr/sites/default/files/2021-02/CP%20CEF%20-%20TBF%20-%20HYDROGEN%20FUEL%20FOR%20PARIS%20HYSETCO%2016022021.pdf</t>
  </si>
  <si>
    <t>https://vighy.france-hydrogene.org/projets/em-lacq/</t>
  </si>
  <si>
    <t>https://vighy.france-hydrogene.org/projets/h2-bordeaux/</t>
  </si>
  <si>
    <t>https://elyse.energy/en/our-projects/biotjet</t>
  </si>
  <si>
    <t>https://www.wiva.at/wp-content/uploads/2022/10/05_UpHy_Uitz.pdf</t>
  </si>
  <si>
    <t>https://ek.fi/tutkittua-tietoa/vihreat-investoinnit/</t>
  </si>
  <si>
    <t>https://nelhydrogen.com/press-release/nel-asa-receives-purchase-order-for-40-mw-electrolyser-equipment-from-bondalti/</t>
  </si>
  <si>
    <t>Hydrogen Energy Storage System at Borrego Springs Towards an H2 Enabled 100 Renewable Microgrid</t>
  </si>
  <si>
    <t>Waterfront Maritime Hydrogen Demonstration Project (energy.gov)</t>
  </si>
  <si>
    <t>Solid Ozide Electrolysis System Demonstration (energy.gov)</t>
  </si>
  <si>
    <t>https://www.mdpi.com/1996-1073/16/9/3619</t>
  </si>
  <si>
    <t>https://www.hybus.eu/wasserstoffregion-zillertal-start-der-h2-zillertalbahn-2020-verschiebt-sich-auf-2026/</t>
  </si>
  <si>
    <t>https://www.tt.com/artikel/17200562/hytrain-wasserstoff-geht-bei-zillertalbahn-in-echtbetrieb</t>
  </si>
  <si>
    <t>https://www.tiwag.at/unternehmen/energiewende/power2x-kufstein/</t>
  </si>
  <si>
    <t>https://www.ots.at/presseaussendung/OTS_20230330_OTS0130/linde-und-plansee-arbeiten-zusammen-co2-freier-wasserstoff-in-reutte-durch-einen-der-ersten-industrie-elektrolyseure-ueberhaupt-in-europa-bild</t>
  </si>
  <si>
    <t>https://positionen.wienenergie.at/projekte/mobilitaet/wiener-wasserstoff/</t>
  </si>
  <si>
    <t>https://www.hypa.at/#heading-3774-136</t>
  </si>
  <si>
    <t>https://www.wiva.at/2022/04/13/spatenstich-im-projekt-renewable-gasfield/</t>
  </si>
  <si>
    <t>https://steiermark.orf.at/stories/3151165/</t>
  </si>
  <si>
    <t>https://www.wiva.at/project/ife/</t>
  </si>
  <si>
    <t>https://iopscience.iop.org/article/10.1149/MA2021-031204mtgabs/meta</t>
  </si>
  <si>
    <t>https://www.hysnowgroomer.com/projektinformationen-2/</t>
  </si>
  <si>
    <t>http://www.vidzeme.lv/en/projects/supporting_the_regional_development_of_the_green_hydrogen_fuel_value_chain_for_transportation_in_estonia_and_latvia_h2value/info/</t>
  </si>
  <si>
    <t>https://labsoflatvia.com/en/news/latvia-and-estonia-collaborate-to-test-potential-of-green-hydrogen-in-transport-sector</t>
  </si>
  <si>
    <t>https://www.err.ee/1608448286/narva-elektrijaamad-hakkavad-tartu-vesinikubussidele-kutust-tootma</t>
  </si>
  <si>
    <t>https://investinestonia.com/estonia-to-use-100-renewable-energy-by-2030/#:~:text=The%20power%20plants%20in%20Narva%20plan%20to%20replace,broader%20interest%20recently%20thanks%20to%20the%20green%20transition.</t>
  </si>
  <si>
    <t>https://www.utilitas.ee/en/the-utilitas-and-ug-investments-green-hydrogen-complete-chain-project-received-a-positive-financing-decision/</t>
  </si>
  <si>
    <t>https://www.epressi.com/tiedotteet/energia/koppo-energys-leading-energy-transition-project-of-green-hydrogen-and-sustainable-liquefied-synthetic-methane-is-progressing-in-kristinestad.html</t>
  </si>
  <si>
    <t>https://h2cluster.fi/projects/</t>
  </si>
  <si>
    <t>https://www.st1.fi/st1-suunnittelee-synteettisen-metanolin-pilottilaitosta-lappeenrantaan</t>
  </si>
  <si>
    <t>https://ren-gas.com/en/news/nordic-ren-gas-project-is-progressing-in-kotka-the-project-size-has-tripled-from-the-original/</t>
  </si>
  <si>
    <t>https://ren-gas.com/en/news/lahti-energia-and-nordic-ren-gas-signed-a-project-development-agreement-for-the-lahti-power-to-gas-project/</t>
  </si>
  <si>
    <t>https://www.both2nia.com/application/files/6816/7949/3478/Pre-study_on_transition_to_hydrogen_economy_specifically_in_Northern_Ostrobothnia_final_16_3.pdf</t>
  </si>
  <si>
    <t>https://p2x.fi/p2x-solutions-selvittaa-savon-voiman-kanssa-mahdollisuutta-vihrean-vedyn-ja-sahkopolttoaineiden-tuotantoon-joensuussa/</t>
  </si>
  <si>
    <t>https://ren-gas.com/en/news/mikkelis-power-to-gas-project-is-progressing-nordic-ren-gas-and-etela-savon-energia-signed-a-project-development-agreement/</t>
  </si>
  <si>
    <t>https://ren-gas.com/en/news/significant-investment-in-the-production-of-green-hydrogen-and-renewable-finnish-gas-planned-for-the-kaanaa-district-of-pori/</t>
  </si>
  <si>
    <t>https://flexens.com/flexens-and-hydre-collaborate-to-launch-hydrogen-transport-in-finland-letter-of-intent-signed-with-lempaalan-energia/</t>
  </si>
  <si>
    <t>https://www.entsog.eu/sites/default/files/2023-04/web_entsog_230311_CHA_Learnbook_230405.pdf</t>
  </si>
  <si>
    <t xml:space="preserve">https://balkangreenenergynews.com/hidroelectrica-makes-plans-to-enter-green-hydrogen-production/ </t>
  </si>
  <si>
    <t>https://www.energynomics.ro/en/e-infra-nova-hydrogen-production-starts-the-5mw-nervia-project/</t>
  </si>
  <si>
    <t>https://relians.ro/en/nova-hydrogen-production-e-infra/#:~:text=Project%20description%3A%20the%20general%20objective,town%20of%20TURDA%2C%20CLUJ%20county.</t>
  </si>
  <si>
    <t>https://libertysteelgroup.com/gfg-alliance-signs-mou-with-romanian-government-to-create-a-european-greensteel-flagship-at-liberty-galati/</t>
  </si>
  <si>
    <t>https://winpowersa.com/2022/05/winpower-wins-the-project-to-provide-consultancy-services-for-the-construction-and-licensing-of-a-green-hydrogen-production-unit-called-sinesgh2-solar-in-sines-portugal/</t>
  </si>
  <si>
    <t>https://www.globenewswire.com/en/news-release/2023/02/16/2609396/0/en/Fusion-Fuel-Signs-Terms-of-Acceptance-with-Portuguese-Prime-Minister-Antonio-Costa-for-10-Million-Component-14-Grant.html</t>
  </si>
  <si>
    <t>https://climate.ec.europa.eu/eu-action/funding-climate-action/innovation-fund/large-scale-calls/projects-selected-grant-preparation_en</t>
  </si>
  <si>
    <t>https://www.nzx.com/announcements/414254</t>
  </si>
  <si>
    <t>https://hydrogen-central.com/apex-group-acquires-land-strategic-locations-lubmin-germany-order-build-600-mw-of-electrolyser-capacity-for-the-production-of-green-hydrogen/</t>
  </si>
  <si>
    <t>https://www.h2-view.com/story/mote-reveals-plans-second-for-biomass-to-hydrogen-plant-in-california/</t>
  </si>
  <si>
    <t>https://fuelcellsworks.com/news/hydrogenpro-partner-with-a-large-contract-in-finland/?mc_cid=0f15718604&amp;mc_eid=da4624d261</t>
  </si>
  <si>
    <t>https://www.babcock.com/home/about/corporate/news/babcock-and-wilcox-general-hydrogen-corp-agree-to-key-terms-for-sale-of-carbon-negative-hydrogen-and-co2-produced-from-biomass-at-louisiana-plant</t>
  </si>
  <si>
    <t>As reported by price reporting agency Argus Media: https://direct.argusmedia.com/newsandanalysis/Article/2470703</t>
  </si>
  <si>
    <t>https://www.san-group.com/news/opening-of-first-green-hydrogen-production-in-lower-austria</t>
  </si>
  <si>
    <t>https://renewable-carbon.eu/news/the-navigator-company-and-p2x-europe-have-signed-a-memorandum-of-understanding-to-create-a-unique-joint-venture-in-portugal-to-produce-green-non-fossil-synthetic-efuels/</t>
  </si>
  <si>
    <t>http://www.thenavigatorcompany.com/var/ezdemo_site/storage/original/application/4470a6c498af5b4a766c860dd70cb923.pdf</t>
  </si>
  <si>
    <t>https://madoquapower2x.com/</t>
  </si>
  <si>
    <t>https://www.fortum.com/media/2023/06/fortum-explores-prerequisites-fossil-free-hydrogen-production-ssabs-site-raahe</t>
  </si>
  <si>
    <t>https://solarquarter.com/2023/04/24/omans-first-green-ammonia-plant-by-acme-to-launch-by-mid-2025-in-duqm-sez/</t>
  </si>
  <si>
    <t>http://www.fuelcellchina.com/Industry_information_details/1454.html</t>
  </si>
  <si>
    <t>https://salcos.salzgitter-ag.com/en/grinhy-20.html</t>
  </si>
  <si>
    <t>https://agencia.fapesp.br/worlds-first-hydrogen-from-ethanol-plant-will-be-built-at-university-of-sao-paulo/42182</t>
  </si>
  <si>
    <t>https://renewablesnow.com/news/rio-grande-do-norte-inks-1-gw-solar-wind-pact-for-green-hydrogen-831478/</t>
  </si>
  <si>
    <t>https://www.horizonshydrogenhub.com/#:~:text=The%20Horizons%20Clean%20Hydrogen%20Hub,%2C%20and%20international%20end%2Dusers.</t>
  </si>
  <si>
    <t>https://www.energy.gov/eere/fuelcells/articles/electrolyzer-installations-united-states</t>
  </si>
  <si>
    <t>Argus Direct (argusmedia.com)</t>
  </si>
  <si>
    <t>As reported by price reporting agency Argus Media: https://direct.argusmedia.com/newsandanalysis/Article/2467911</t>
  </si>
  <si>
    <t>As reported by price reporting agency Argus Media: https://direct.argusmedia.com/newsandanalysis/Article/2468774</t>
  </si>
  <si>
    <t>As reported by price reporting agency Argus Media: https://direct.argusmedia.com/newsandanalysis/Article/2474746</t>
  </si>
  <si>
    <t>As reported by price reporting agency Argus Media: https://direct.argusmedia.com/newsandanalysis/Article/2474693</t>
  </si>
  <si>
    <t>As reported by price reporting agency Argus Media: https://direct.argusmedia.com/newsandanalysis/Article/2472237</t>
  </si>
  <si>
    <t>As reported by price reporting agency Argus Media: https://direct.argusmedia.com/newsandanalysis/Article/2476908</t>
  </si>
  <si>
    <t>As reported by price reporting agency Argus Media: https://direct.argusmedia.com/newsandanalysis/Article/2477061</t>
  </si>
  <si>
    <t>https://www.ferrosilva.com/en/wp-content/uploads/2023/07/Gyllenram-et-al-2023-FerroSilva-Creating-a-new-industrial-eco-system-1.pdf</t>
  </si>
  <si>
    <t>https://www.h2-view.com/story/gaznat-inaugurates-hydrogen-and-co2-to-syngas-project-in-switzerland/</t>
  </si>
  <si>
    <t>Platts Hydrogen Daily, 6 September 2023</t>
  </si>
  <si>
    <t>https://www.ssab.com/en/news/2021/03/hybrit-ssab-lkab-and-vattenfall-to-begin-industrialization-of-future-fossilfree-steelmaking-by-estab</t>
  </si>
  <si>
    <t>As reported by price reporting agency Argus Media: https://direct.argusmedia.com/newsandanalysis/article/2451947</t>
  </si>
  <si>
    <t>https://fuelcellsworks.com/news/hypster-demonstrator-paves-the-way-for-the-hydrogen-industry-in-europe/</t>
  </si>
  <si>
    <t>https://chariotenergygroup.com/operations/green-hydrogen/</t>
  </si>
  <si>
    <t>As reported by price reporting agency Argus Media: https://direct.argusmedia.com/newsandanalysis/article/2470181</t>
  </si>
  <si>
    <t>As reported by price reporting agency Argus Media: https://direct.argusmedia.com/newsandanalysis/article/2438394</t>
  </si>
  <si>
    <t>As reported by price reporting agency Argus Media: https://direct.argusmedia.com/newsandanalysis/article/2488018</t>
  </si>
  <si>
    <t>https://energynews.biz/copenhagen-infrastructure-partners-to-build-green-hydrogen-plant-in-mexico/</t>
  </si>
  <si>
    <t>As reported by price reporting agency Argus Media: https://direct.argusmedia.com/newsandanalysis/article/2455314</t>
  </si>
  <si>
    <t>As reported by price reporting agency Argus Media: https://direct.argusmedia.com/newsandanalysis/article/2391838</t>
  </si>
  <si>
    <t>As reported by price reporting agency Argus Media: https://direct.argusmedia.com/newsandanalysis/Article/2488273</t>
  </si>
  <si>
    <t>As reported by price reporting agency Argus Media: https://direct.argusmedia.com/newsandanalysis/Article/2488999</t>
  </si>
  <si>
    <t>As reported by price reporting agency Argus Media: https://direct.argusmedia.com/newsandanalysis/Article/2472537</t>
  </si>
  <si>
    <t>As reported by price reporting agency Argus Media: https://direct.argusmedia.com/newsandanalysis/Article/2470398</t>
  </si>
  <si>
    <t>As reported by price reporting agency Argus Media: https://direct.argusmedia.com/newsandanalysis/Article/2474138</t>
  </si>
  <si>
    <t>As reported by price reporting agency Argus Media: https://direct.argusmedia.com/newsandanalysis/Article/2488641</t>
  </si>
  <si>
    <t>https://research.csiro.au/hyresource/good-earth-green-hydrogen-and-ammonia-project/</t>
  </si>
  <si>
    <t>https://www.gegha.com.au/</t>
  </si>
  <si>
    <t>As reported by price reporting agency Argus Media: https://direct.argusmedia.com/newsandanalysis/Article/2492610</t>
  </si>
  <si>
    <t>As reported by price reporting agency Argus Media: https://direct.argusmedia.com/newsandanalysis/Article/2492648</t>
  </si>
  <si>
    <t>As reported by price reporting agency Argus Media: https://direct.argusmedia.com/newsandanalysis/Article/2472976</t>
  </si>
  <si>
    <t>As reported by price reporting agency Argus Media: https://direct.argusmedia.com/newsandanalysis/Article/2487032</t>
  </si>
  <si>
    <t>As reported by price reporting agency Argus Media: https://direct.argusmedia.com/newsandanalysis/Article/2487336</t>
  </si>
  <si>
    <t>As reported by price reporting agency Argus Media: https://direct.argusmedia.com/newsandanalysis/Article/2482294</t>
  </si>
  <si>
    <t>As reported by price reporting agency Argus Media: https://direct.argusmedia.com/newsandanalysis/Article/2485013</t>
  </si>
  <si>
    <t>As reported by price reporting agency Argus Media: https://direct.argusmedia.com/newsandanalysis/Article/2477036</t>
  </si>
  <si>
    <t>As reported by price reporting agency Argus Media: https://direct.argusmedia.com/newsandanalysis/Article/2486635</t>
  </si>
  <si>
    <t>As reported by price reporting agency Argus Media: https://direct.argusmedia.com/newsandanalysis/Article/2489603</t>
  </si>
  <si>
    <t>https://h2-international.com/2021/06/14/element-eins-and-hybridge-stopped/</t>
  </si>
  <si>
    <t>As reported by price reporting agency Argus Media: https://direct.argusmedia.com/newsandanalysis/Article/2472952</t>
  </si>
  <si>
    <t>As reported by price reporting agency Argus Media: https://direct.argusmedia.com/newsandanalysis/Article/2491133</t>
  </si>
  <si>
    <t>As reported by price reporting agency Argus Media: https://direct.argusmedia.com/newsandanalysis/Article/2493292</t>
  </si>
  <si>
    <t>As reported by price reporting agency Argus Media: https://direct.argusmedia.com/newsandanalysis/Article/2481001</t>
  </si>
  <si>
    <t>As reported by price reporting agency Argus Media: https://direct.argusmedia.com/newsandanalysis/Article/2474890</t>
  </si>
  <si>
    <t>As reported by price reporting agency Argus Media: https://direct.argusmedia.com/newsandanalysis/Article/2493360</t>
  </si>
  <si>
    <t>https://private.cedigaz.org/newsreport_pdf/64c3726cd950b_CNR62-14.pdf</t>
  </si>
  <si>
    <t>https://h2ce.ru/en/news/industry-news/thyssenkrupp-uhde-joins-offset-consortium-on-floating-green-hydrogen-and-ammonia-project</t>
  </si>
  <si>
    <t>https://private.cedigaz.org/newsreport_pdf/64e479cd7cb17_CNR62-16.pdf</t>
  </si>
  <si>
    <t>https://www.hydrogeninsight.com/production/chinas-largest-green-hydrogen-project-a-4bn-640mw-ammonia-methanol-facility-begins-construction/2-1-1525815</t>
  </si>
  <si>
    <t>As reported by price reporting agency Argus Media: https://direct.argusmedia.com/newsandanalysis/article/2481753</t>
  </si>
  <si>
    <t>As reported by price reporting agency Argus Media: https://direct.argusmedia.com/newsandanalysis/Article/2493887</t>
  </si>
  <si>
    <t>https://www.energy-storage.news/chevron-does-u-turn-and-invests-in-utah-green-hydrogen-project/</t>
  </si>
  <si>
    <t>https://renewablesnow.com/news/luxcara-joins-major-green-hydrogen-project-in-hamburg-834397/</t>
  </si>
  <si>
    <t>https://hyrasia.energy/</t>
  </si>
  <si>
    <t>https://www.reuters.com/business/cop/mauritania-bp-explore-green-hydrogen-projects-2022-11-08/</t>
  </si>
  <si>
    <t>https://www.afrik21.africa/en/mauritania-british-oil-company-bp-is-eyeing-the-green-hydrogen-market/</t>
  </si>
  <si>
    <t>https://www.tecnicasreunidas.es/tecnicas-reunidas-s-a-initiates-the-preliminary-scope-for-a-green-hydrogen-and-green-ammonia-production-facilities-in-australia/</t>
  </si>
  <si>
    <t>https://www.hydrogeninsight.com/production/partners-to-spend-more-than-1bn-on-500mw-plus-green-hydrogen-project-in-portugal/2-1-1353788</t>
  </si>
  <si>
    <t>https://mopng.gov.in/files/article/articlefiles/2023Q2.pdf</t>
  </si>
  <si>
    <t>https://www.prnewswire.com/news-releases/air-products-to-invest-about-500-million-to-build-green-hydrogen-production-facility-in-new-york-301642745.html</t>
  </si>
  <si>
    <t>https://www.reuters.com/sustainability/climate-energy/germanys-august-global-investment-plans-build-hydrogen-plant-indonesia-2023-08-28/</t>
  </si>
  <si>
    <t>https://www.euro-petrole.com/totalenergies-et-air-liquide-sassocient-pour-decarboner-la-plateforme-de-normandie-grace-a-lhydrogene-vert-n-f-26045</t>
  </si>
  <si>
    <t>https://www.pv-magazine-australia.com/2023/09/15/hynq-north-queensland-clean-energy-project-gains-a-new-development-partner/</t>
  </si>
  <si>
    <t>https://scottishbusinessnews.net/uks-first-off-grid-green-hydrogen-site-invites-potential-buyers/#:~:text=The%20new%202.5%20megawatt%20site,Hydrogen%20Fund%20earlier%20this%20year.</t>
  </si>
  <si>
    <t>https://renewablesnow.com/news/ewe-plans-320-mw-green-hydrogen-plant-on-germanys-north-sea-coast-803869/</t>
  </si>
  <si>
    <t>https://hystar.com/yara-clean-ammonia-joins-hypilot-project-with-hystar-equinor-and-gassco/</t>
  </si>
  <si>
    <t>https://www.offshore-energy.biz/houston-ship-channel-could-host-large-scale-ammonia-production-and-export-project/</t>
  </si>
  <si>
    <t>As reported by price reporting agency Argus Media: https://direct.argusmedia.com/newsandanalysis/Article/2495021</t>
  </si>
  <si>
    <t>As reported by price reporting agency Argus Media: https://direct.argusmedia.com/newsandanalysis/Article/2475253</t>
  </si>
  <si>
    <t>https://www.petrolplaza.com/news/33832</t>
  </si>
  <si>
    <t>https://energynews.biz/atlas-agros-green-hydrogen-fertilizer-plant-nears-final-investment-decision/</t>
  </si>
  <si>
    <t>Platss, S&amp;P Global, Hydrogen Daily, October 12, 2023</t>
  </si>
  <si>
    <t>https://energynews.biz/kgal-to-invest-in-arcadia-efuels-green-hydrogen-based-production-facility-in-denmark/</t>
  </si>
  <si>
    <t>https://sevilla.abc.es/economia/comienza-funcionar-primera-planta-hidrogeno-verde-andalucia-20231015201113-nts.html</t>
  </si>
  <si>
    <t>https://www.ir.plugpower.com/press-releases/news-details/2023/Plug-Preferred-Supplier-Of-550-MW-PEM-Electrolyzers-To-Fortescue-For-Proposed-Gibson-Island-Project/default.aspx</t>
  </si>
  <si>
    <t>https://fortescue.com/news-and-media/news/2023/07/20/fortescue-future-industries-makes-major-investment-in-american-green-energy-jobs-with-purchase-of-phoenix-hydrogen-hub</t>
  </si>
  <si>
    <t>As reported by price reporting agency Argus Media: https://direct.argusmedia.com/newsandanalysis/article/2498233</t>
  </si>
  <si>
    <t>As reported by price reporting agency Argus Media: https://direct.argusmedia.com/newsandanalysis/article/2486110</t>
  </si>
  <si>
    <t>As reported by price reporting agency Argus Media: https://direct.argusmedia.com/newsandanalysis/article/2497228</t>
  </si>
  <si>
    <t>https://www.hydrogeninsight.com/production/second-major-blue-hydrogen-project-reaches-final-investment-decision-in-rotterdam/2-1-1574743</t>
  </si>
  <si>
    <t>As reported by price reporting agency Argus Media: https://direct.argusmedia.com/newsandanalysis/Article/2497352</t>
  </si>
  <si>
    <t>https://hydronews.it/oltre-220-milioni-di-euro-di-investimenti-e-30-mw-di-elettrolisi-il-progetto-di-infinite-green-energy-italia-per-produrre-idrogeno-verde-in-abruzzo/</t>
  </si>
  <si>
    <t>https://indonesiabusinesspost.com/risks-opportunities/pln-pioneers-green-hydrogen-production-in-indonesia-aiming-for-game-changing-energy-transition/</t>
  </si>
  <si>
    <t>https://www.kbr.com/en/insights-news/press-release/kbr-wins-blue-hydrogen-technology-and-engineering-contract-eet-hydrogen</t>
  </si>
  <si>
    <t>https://www.industryandenergy.eu/hydrogen/trafigura-takes-control-of-h2-energy-europe-to-boost-green-hydrogen/</t>
  </si>
  <si>
    <t>https://chemicalparks.eu/news/madoquapower2x-investment-green-hydrogen-production-sines-portugal</t>
  </si>
  <si>
    <t>https://www.prnewswire.com/apac/news-releases/posco-holdings-takes-first-step-in-developing-40-000-tons-of-green-hydrogen-production-in-western-australia-301959009.html</t>
  </si>
  <si>
    <t>https://zegpower.com/posts/opening-of-zeg-h1-at-ccb-energy-park/</t>
  </si>
  <si>
    <t>https://www.uniper.energy/news/jera-americas-conocophillips-and-uniper-se-initiatives-to-source-low-carbon-hydrogenammonia-supply-from-us-gulf-coast-to-advance-the-global-energy-transition</t>
  </si>
  <si>
    <t>https://www.manufacturingtodayindia.com/sectors/jakson-greens-ambitious-rs-2400-cr-green-ammonia-plant-to-transform-deendayal-port-authority</t>
  </si>
  <si>
    <t>https://timesofindia.indiatimes.com/city/jaipur/rajasthan-jakson-group-to-set-up-mega-green-hydrogen-ammonia-plant-in-kota/articleshow/95110232.cms</t>
  </si>
  <si>
    <t>https://www.h2-view.com/story/topsoe-and-aramco-collaborate-to-demonstrate-blue-hydrogen-technology-in-saudi-arabia/2100248.article/</t>
  </si>
  <si>
    <t>https://www.newswire.ca/news-releases/atco-selected-by-south-australia-as-partner-on-world-s-largest-hydrogen-production-facility-808265891.html</t>
  </si>
  <si>
    <t>As reported by price reporting agency Argus Media: https://direct.argusmedia.com/newsandanalysis/article/2500004</t>
  </si>
  <si>
    <t>https://www.abo-wind.com/en/media-center/press/2023/2023-10-17_hydrogen-project-huenfeld.html</t>
  </si>
  <si>
    <t>https://www.atalayar.com/en/articulo/economy-and-business/dakhla-will-host-an-8-gigawatt-green-hydrogen-plant-to-power-industry/20231004140908191877.html</t>
  </si>
  <si>
    <t>https://www.baltictimes.com/respect_energy_holding_plans_the_construction_of_offshore_floating_wind_farm_equipped__with_an_innovative_technology_to_hydrogen_and_ammonia_production/</t>
  </si>
  <si>
    <t>As reported by price reporting agency Argus Media: https://direct.argusmedia.com/newsandanalysis/Article/2502042</t>
  </si>
  <si>
    <t>https://fortescue.com/what-we-do/our-projects/gibson-island</t>
  </si>
  <si>
    <t>https://www.projects.eao.gov.bc.ca/p/650b5adc5d77c20022fb59fc/project-details</t>
  </si>
  <si>
    <t>https://cdn.fortescue.com/docs/default-source/prince-george/project-coyote-fact-sheet-v2.pdf?sfvrsn=70e4a14_3/</t>
  </si>
  <si>
    <t>https://www.h2b2.es/h2b2s-sohycal-project-in-california-has-started-hydrogen-production/</t>
  </si>
  <si>
    <t>https://hidrogeno-verde.es/planta-de-produccion-hidrogeno-garray-soria/</t>
  </si>
  <si>
    <t>As reported by price reporting agency Argus Media: https://direct.argusmedia.com/newsandanalysis/Article/2505496</t>
  </si>
  <si>
    <t>As reported by price reporting agency Argus Media: https://direct.argusmedia.com/newsandanalysis/Article/2503017</t>
  </si>
  <si>
    <t>As reported by price reporting agency Argus Media: https://direct.argusmedia.com/newsandanalysis/Article/2504545</t>
  </si>
  <si>
    <t>As reported by price reporting agency Argus Media: https://direct.argusmedia.com/newsandanalysis/Article/2504674</t>
  </si>
  <si>
    <t>As reported by price reporting agency Argus Media: https://direct.argusmedia.com/newsandanalysis/Article/2505476</t>
  </si>
  <si>
    <t>As reported by price reporting agency Argus Media: https://direct.argusmedia.com/newsandanalysis/Article/2503029</t>
  </si>
  <si>
    <t>https://www.miningweekly.com/article/hydrogen-plant-buildout-plan-under-way-at-metals-smelter-in-rustenburg-2023-11-01</t>
  </si>
  <si>
    <t>https://energynews.biz/bayotech-unveil-bayogaas-hydrogen-hub-in-missouri/</t>
  </si>
  <si>
    <t>https://www.renewableenergymagazine.com/hydrogen/first-aem-flex-120-electrolyser-delivered-to-20231103</t>
  </si>
  <si>
    <t>https://www.rwe.com/en/press/rwe-generation/2023-11-02-rwe-receives-funding-commitment-for-generation-plant-in-bedburg/</t>
  </si>
  <si>
    <t>https://h2v.eu/hydrogen-valleys/h2crete-valley-project</t>
  </si>
  <si>
    <t>https://hydrogentechworld.com/pid-reached-for-first-green-hydrogen-valley-in-portugal</t>
  </si>
  <si>
    <t>https://renewablesnow.com/news/eurus-gets-permits-for-20-mw-electrolyser-project-in-the-netherlands-836724/</t>
  </si>
  <si>
    <t>https://sustainablebiz.ca/deep-sky-to-pilot-equatics-dac--seawater-tech-in-quebec-facility</t>
  </si>
  <si>
    <t>https://research.csiro.au/hyresource/kogan-creek-renewable-hydrogen-demonstration-plant/</t>
  </si>
  <si>
    <t>https://www.lhyfe.com/press/lhyfe-to-supply-several-of-hympulsions-hydrogen-filling-stations-for-a-ten-year-period-from-a-new-green-and-renewable-hydrogen-production-site-in-auvergne-rhone-alpes/</t>
  </si>
  <si>
    <t>https://hyiron.com/oshivela/</t>
  </si>
  <si>
    <t>https://reneweconomy.com.au/investors-scrap-pioneering-green-hydrogen-plant-in-germany-because-of-costs/</t>
  </si>
  <si>
    <t>https://www.heiderefinery.com/entwicklung-von-gruenem-wasserstoff-in-der-raffinerie-heide-rueckt-einen-schritt-naeher</t>
  </si>
  <si>
    <t>https://www.reuters.com/business/energy/australias-fortescue-approves-750-mln-investment-three-green-projects-2023-11-20/</t>
  </si>
  <si>
    <t>https://www.aumanufacturing.com.au/fortescue-presses-go-on-3-green-hydrogen-projects</t>
  </si>
  <si>
    <t>https://energynews.biz/h-tec-systems-pem-electrolyser-powers-hydrogen-lab-bremerhaven/</t>
  </si>
  <si>
    <t>https://www.hydrogeninsight.com/industrial/clean-hydrogen-fertiglobe-ships-world-first-certified-green-ammonia-to-india-to-make-unilever-washing-powder/2-1-1556234</t>
  </si>
  <si>
    <t>As reported by price reporting agency Argus Media: https://direct.argusmedia.com/newsandanalysis/Article/2506358</t>
  </si>
  <si>
    <t>https://renewablesnow.com/news/eneco-plans-800-mw-green-h2-hub-at-rotterdam-port-area-840764/#:~:text=Dutch%20utility%20Eneco%20on%20Monday,over%20the%20next%20few%20years.</t>
  </si>
  <si>
    <t>As reported by price reporting agency Argus Media: https://direct.argusmedia.com/newsandanalysis/article/2510124</t>
  </si>
  <si>
    <t>https://www.iwes.fraunhofer.de/en/research-projects/current-projects/leuna-100.html</t>
  </si>
  <si>
    <t>As reported by price reporting agency Argus Media: https://direct.argusmedia.com/newsandanalysis/Article/2511917</t>
  </si>
  <si>
    <t>https://www.maersk.com/news/articles/2023/11/22/maersk-signs-landmark-green-methanol-offtake-agreement</t>
  </si>
  <si>
    <t>https://www.basf.com/global/en/who-we-are/organization/locations/europe/german-sites/ludwigshafen/the-site/news-and-media/news-releases/2023/11/p-23-367.html</t>
  </si>
  <si>
    <t>https://group.vattenfall.com/press-and-media/pressreleases/2019/hybrit-orders-norwegain-electrolyzers-for-fossil-free-steel-production-in-lulea</t>
  </si>
  <si>
    <t>https://www.ptg-bw.de/presse/aktuelles/detailansicht.html?tx_news_pi1%5Bnews%5D=51&amp;tx_news_pi1%5Bcontroller%5D=News&amp;tx_news_pi1%5Baction%5D=detail&amp;cHash=0b280949f7a9152aefaeb47d386b99ef</t>
  </si>
  <si>
    <t>https://renewablesnow.com/news/austrian-retailer-mpreis-commissions-32-mw-green-hydrogen-plant-779013/#:~:text=The%203.2%2DMW%20electrolyser%20was,amount%20was%20secured%20through%20grants.</t>
  </si>
  <si>
    <t>https://www.greenhydrogensystems.com/projects/alliander#:~:text=Alliander%2C%20a%20Dutch%20energy%20company,with%20solar%2Dfarm%20developer%20GroenLeven.</t>
  </si>
  <si>
    <t>As reported by price reporting agency Argus Media: https://direct.argusmedia.com/newsandanalysis/Article/2515556</t>
  </si>
  <si>
    <t>As reported by price reporting agency Argus Media: https://direct.argusmedia.com/newsandanalysis/article/2514678</t>
  </si>
  <si>
    <t>https://tidewater-renewables.com/investors/news-events/tidewater-renewables-ltd-announces-third-quarter-2023-results-commencement-of-hdrd-commercial-operations/</t>
  </si>
  <si>
    <t>https://www.mhi.com/news/23092003.html</t>
  </si>
  <si>
    <t>https://www.oecd-ilibrary.org/docserver/15b16fc3-en.pdf?expires=1701946258&amp;id=id&amp;accname=guest&amp;checksum=B000CC13A6C160802AADADD4055BE94C</t>
  </si>
  <si>
    <t>https://www.h2-view.com/story/lhyfe-occitanie-facility-inaugurated-in-the-south-of-france/2103328.article/</t>
  </si>
  <si>
    <t>https://www.h2-view.com/story/pure-hydrogen-enters-construction-phase-of-methane-pyrolysis-site-in-australia/2103256.article/</t>
  </si>
  <si>
    <t>https://bbj.hu/economy/energy/green-energy/assembly-starts-of-hungarys-1st-industrial-green-hydrogen-plant</t>
  </si>
  <si>
    <t>https://www.carboncapturejournal.com/ViewNews.aspx?NewsID=5838</t>
  </si>
  <si>
    <t>https://www.sse.com/news-and-views/2023/12/sse-thermal-acquires-50-stake-in-h2northeast-hydrogen-project/</t>
  </si>
  <si>
    <t>https://www.hydrogeninsight.com/production/largest-in-europe-air-products-announces-blue-hydrogen-plant-at-rotterdam-linked-to-dutch-offshore-ccs-network/2-1-1549667</t>
  </si>
  <si>
    <t>https://www.businesswire.com/news/home/20230718825639/en/Air-Liquide-signs-new-green-financing-for-low-carbon-hydrogen-production-in-China-aligned-with-EU-Taxonomy</t>
  </si>
  <si>
    <t>As reported by price reporting agency Argus Media: https://direct.argusmedia.com/newsandanalysis/Article/2518629</t>
  </si>
  <si>
    <t>https://www.hycc.com/en/projects/h2eron</t>
  </si>
  <si>
    <t>https://www.acwapower.com/news/acwa-power-signs-agreement-to-develop-green-hydrogen-project-in-egypt-worth-more-than-4-billion/</t>
  </si>
  <si>
    <t>https://www.windpowermonthly.com/article/1856336/acwa-signs-agreement-massive-egypt-green-hydrogen-project</t>
  </si>
  <si>
    <t>https://research.csiro.au/hyresource/central-queensland-hydrogen-project/</t>
  </si>
  <si>
    <t>https://calgaryherald.com/opinion/columnists/varcoe-dow-to-invest-8-8-billion-in-alberta-net-zero-petrochemical-project</t>
  </si>
  <si>
    <t>https://energynews.biz/adnoc-to-invest-17bn-in-major-carbon-capture-and-hydrogen-project/</t>
  </si>
  <si>
    <t>https://8rivers.com/8-rivers-8rh2-ultra-low-carbon-hydrogen-technology-announcement/</t>
  </si>
  <si>
    <t>https://energynews.biz/saudi-arabias-aramco-sets-sights-on-hydrogen/</t>
  </si>
  <si>
    <t>As reported by price reporting agency Argus Media: https://direct.argusmedia.com/newsandanalysis/Article/2502785</t>
  </si>
  <si>
    <t>As reported by price reporting agency Argus Media: https://direct.argusmedia.com/newsandanalysis/Article/2508805</t>
  </si>
  <si>
    <t>As reported by price reporting agency Argus Media: https://direct.argusmedia.com/newsandanalysis/Article/2503507</t>
  </si>
  <si>
    <t>https://www.cepsa.com/en/press/cepsa-and-c2x-will-develop-the-largest-green-methanol-plant</t>
  </si>
  <si>
    <t>As reported by price reporting agency Argus Media: https://direct.argusmedia.com/newsandanalysis/Article/2513338</t>
  </si>
  <si>
    <t>https://www.hydrogeninsight.com/production/hydrogen-to-marine-fuel-maersk-backed-producer-inks-deal-to-develop-3bn-green-methanol-plant-in-egypt/2-1-1529593</t>
  </si>
  <si>
    <t>As reported by price reporting agency Argus Media: https://direct.argusmedia.com/newsandanalysis/article/2509646?keywords=en.it</t>
  </si>
  <si>
    <t>https://ren-gas.com/en/projekti/kerava-2/</t>
  </si>
  <si>
    <t>https://ren-gas.com/en/projekti/tampere-2/</t>
  </si>
  <si>
    <t>https://ren-gas.com/en/projekti/lahti-2/</t>
  </si>
  <si>
    <t>https://ren-gas.com/en/projekti/kotka-2/</t>
  </si>
  <si>
    <t>https://ren-gas.com/en/projekti/mikkeli-2/</t>
  </si>
  <si>
    <t>https://ren-gas.com/en/projekti/pori-2/</t>
  </si>
  <si>
    <t>https://www.power-technology.com/news/mitsui-danish-solar-e-methanol-plant/?cf-view</t>
  </si>
  <si>
    <t>https://cmb.tech/news/cleanergy-solutions-namibia-kicks-off-construction-works-for-africas-first-public-refuelling-station-with-onsite-green-hydrogen-production</t>
  </si>
  <si>
    <t>https://research.csiro.au/hyresource/geelong-new-energies-service-station-project/</t>
  </si>
  <si>
    <t>https://research.csiro.au/hyresource/hydrogen-fuels-australia-truganina-hrs/</t>
  </si>
  <si>
    <t>https://www.viessmann.family/en/what-we-offer/climate-solutions/hydrogen/smartquart-a-complete-hydrogen-infrastructure-is-being-built-in-kaisersesch.html</t>
  </si>
  <si>
    <t>https://gcenode.no/news/a-hydrogen-producer-for-decades/</t>
  </si>
  <si>
    <t>https://gaspathways.com/c-zero-the-low-power-solution-for-producing-hydrogen-from-natural-gas-2341</t>
  </si>
  <si>
    <t>https://chemicalparks.eu/news/ineratec-e-fuel-production-plant-frankfurt-hochst-industrial-park-germany</t>
  </si>
  <si>
    <t>https://www.forbes.com/sites/davidblekhman/2023/10/12/hydrogen-hub-prototype-in-norwegian-fjords-nordic-notes/?sh=6a9e313d6a85</t>
  </si>
  <si>
    <t>https://www.kraftanlagen.com/en/green-hydrogen-from-bavaria/</t>
  </si>
  <si>
    <t>https://www.arabianbusiness.com/industries/energy/qatarenergy-qafco-to-build-the-worlds-largest-blue-ammonia-facility</t>
  </si>
  <si>
    <t>https://www.thenationalnews.com/business/energy/2022/08/31/qatarenergy-renewable-solutions-and-qafco-team-up-to-build-ammonia-7-project/</t>
  </si>
  <si>
    <t>https://hycamite.com/news/hycamite-breaks-ground-at-kokkola-industrial-park-for-customer-sample-facility</t>
  </si>
  <si>
    <t>https://www.gramli.at/#:~:text=site%20in%20Linz.-,Project%20background,an%20increasingly%20strained%20electricity%20grid.</t>
  </si>
  <si>
    <t>https://www.uss-2030.at/en/</t>
  </si>
  <si>
    <t>https://wyoenergy.org/energy-matching-funds/</t>
  </si>
  <si>
    <t xml:space="preserve">
https://www.babcock.com/assets/Uploads/E101-3260-BrightLoop-for-H2-Steam-or-Syngas-Production.pdf
https://energynews.biz/black-hills-energy-partners-with-babcock-wilcox-to-produce-hydrogen-from-coal/</t>
  </si>
  <si>
    <t>https://wyoenergy.org/wp-content/uploads/2023/11/SER_EMF-Summary.pdf</t>
  </si>
  <si>
    <t>https://fuelcellsworks.com/news/samsung-ct-to-build-green-hydrogen-production-facility/</t>
  </si>
  <si>
    <t>https://www.h2coresystems.com/en/nexus-1000-20240101/</t>
  </si>
  <si>
    <t>https://www.ir.plugpower.com/press-releases/news-details/2021/Plug-Power-Announces-Green-Hydrogen-Plant-in-Camden-County-Georgia-2021-6-10/</t>
  </si>
  <si>
    <t>https://proactivo.com.pe/fenix-primera-planta-de-hidrogeno-verde-instalada-en-central-electrica-en-el-peru-inicia-su-operacion/</t>
  </si>
  <si>
    <t>https://www.transportenvironment.org/wp-content/uploads/2024/01/2024_01_E-kerosene_Tracker_TE.pdf</t>
  </si>
  <si>
    <t>https://ptxlablausitz.de/fileadmin/ptx/Dateien/Demonstrationsanlage/PtL_Anlagen_in_Deutschland_Stand_Juli_2023.pdf</t>
  </si>
  <si>
    <t>https://biofuels-news.com/news/shells-rhineland-refinery-to-produce-saf/</t>
  </si>
  <si>
    <t>https://www.tealce-septiles.com/</t>
  </si>
  <si>
    <t>As reported by price reporting agency Argus Media: https://direct.argusmedia.com/newsandanalysis/Article/2503788</t>
  </si>
  <si>
    <t>https://www.mlib.ca/wp-content/uploads/December-2023-Report.pdf</t>
  </si>
  <si>
    <t>As reported by price reporting agency Argus Media: https://direct.argusmedia.com/newsandanalysis/Article/2504883</t>
  </si>
  <si>
    <t>https://www.ir.plugpower.com/press-releases/news-details/2023/Plug-Secures-100-MW-Electrolyzer-Deal-for-Green-Hydrogen-Project-in-Europe/default.aspx</t>
  </si>
  <si>
    <t>https://7fidelity.com/jga/</t>
  </si>
  <si>
    <t>https://jordantimes.com/news/local/energy-ministry-inks-5-mous-green-energy-projects-set-boost-climate-finance-reduce-fossil</t>
  </si>
  <si>
    <t>As reported by price reporting agency Argus Media: https://direct.argusmedia.com/newsandanalysis/Article/2509201</t>
  </si>
  <si>
    <t>As reported by price reporting agency Argus Media: https://direct.argusmedia.com/newsandanalysis/Article/2513994</t>
  </si>
  <si>
    <t>As reported by price reporting agency Argus Media: https://direct.argusmedia.com/newsandanalysis/Article/2508889</t>
  </si>
  <si>
    <t>https://www.power-technology.com/news/serbia-2-18bn-renewables-investment-china/?cf-view</t>
  </si>
  <si>
    <t>https://www.pv-magazine.com/2021/06/11/hydrogen-based-storage-system-for-residential-applications/</t>
  </si>
  <si>
    <t>https://www.omcd.it/green-hydrogen-films-spa-will-build-one-of-three-plants-in-the-piemonte-region/</t>
  </si>
  <si>
    <t>https://www.enapter.com/press-releases/enapter-ag-sells-1mw-electrolyser-to-uk-firm-after-aem-multicore-demo</t>
  </si>
  <si>
    <t>https://www.enapter.com/press-releases/enapter-ag-secures-new-customers-for-electrolysers-from-europe-to-asia</t>
  </si>
  <si>
    <t>https://www.enapter.com/press-releases/enapter-and-wolong-work-together-to-bring-aem-electrolysers-to-china</t>
  </si>
  <si>
    <t>https://elyse.energy/en/our-projects/em-france#pll_switcher</t>
  </si>
  <si>
    <t>https://www.hy2gen.com/hynovera</t>
  </si>
  <si>
    <t>https://www.hy2gen.com/nautilus</t>
  </si>
  <si>
    <t>https://www.energate-messenger.com/news/219668/steag-builds-methanol-synthesis-plant-in-thuringia</t>
  </si>
  <si>
    <t>https://www.offshore-energy.biz/hs-orka-h2v-team-up-on-green-hydrogen-and-methanol-project/</t>
  </si>
  <si>
    <t>https://www.proman.org/news/global-energy-group-and-proman-to-develop-a-renewable-power-to-methanol-plant-at-the-nigg-oil-terminal/</t>
  </si>
  <si>
    <t>https://www.investinspain.org/content/icex-invest/en/noticias-main/2022/viridi.html</t>
  </si>
  <si>
    <t>https://www.juntadeandalucia.es/presidencia/portavoz/detalleAsuntoConsejo?asunto=247021</t>
  </si>
  <si>
    <t>https://www.cbc.ca/news/canada/edmonton/calgary-energy-firm-backs-away-from-proposed-4b-northern-alberta-methanol-plant-1.6739176</t>
  </si>
  <si>
    <t>https://projecten.topsectorenergie.nl/projecten/duwaal-hub-satellite-wieringerwerf-37301</t>
  </si>
  <si>
    <t>https://www.chemengonline.com/everfuel-and-greenstat-make-progress-on-20-mw-green-h2-project-in-norway/?printmode=1</t>
  </si>
  <si>
    <t>https://www.ajot.com/news/lhyfe-is-building-a-green-hydrogen-plant-in-the-seaport-city-of-brake-in-lower-saxony-germany</t>
  </si>
  <si>
    <t>https://www.carbonrecycling.is/</t>
  </si>
  <si>
    <t>https://www.hydrogeninsight.com/production/government-backed-green-hydrogen-to-methanol-pilot-in-belgium-scrapped-due-to-escalating-costs/2-1-1592857</t>
  </si>
  <si>
    <t>https://www.icis.com/explore/resources/news/2022/07/08/10782971/india-s-gacl-ntpc-rel-to-produce-green-methanol-ammonia/</t>
  </si>
  <si>
    <t>https://www.thehindubusinessline.com/news/danish-company-umwelt-energy-to-invest-850-m-in-tn-for-green-hydrogen-methanol-plant/article66567616.ece</t>
  </si>
  <si>
    <t>https://energy.economictimes.indiatimes.com/news/renewable/odisha-approves-12-projects-with-investment-of-inr-84918-crore/105523997</t>
  </si>
  <si>
    <t>https://dk.europeanenergy.com/2023/10/27/european-energy-vinder-power-to-x-udbud-og-paabegynder-naeste-generation-af-e-fuel-produktion/</t>
  </si>
  <si>
    <t>As reported by price reporting agency Argus Media: https://direct.argusmedia.com/newsandanalysis/Article/2534401</t>
  </si>
  <si>
    <t>https://www.reuters.com/sustainability/climate-energy/chinas-spic-plans-59-bln-investment-turning-green-hydrogen-into-fuel-2023-12-11/</t>
  </si>
  <si>
    <t>https://skynrg.com/state-of-baden-wu%CC%88rttemberg-supports-study-on-the-production-and-use-of-synthetic-kerosene-based-on-renewable-energies/</t>
  </si>
  <si>
    <t>https://www.hur.com/en/sustainability/news</t>
  </si>
  <si>
    <t>https://idunnh2.com/saf/</t>
  </si>
  <si>
    <t>https://www.cowi.com/about/news-and-press/cowi-and-swedish-biofuels-to-build-factories-for-sustainable-aviation-fuel-production</t>
  </si>
  <si>
    <t>https://www.globenewswire.com/news-release/2023/11/17/2782326/9504/en/Willis-Sustainable-Fuels-UK-Limited-Awarded-4-721M-Grant-in-UK-s-Advanced-Fuels-Fund-AFF-Competition.html</t>
  </si>
  <si>
    <t>https://www.efuel-alliance.eu/efuels/efuels-production-map</t>
  </si>
  <si>
    <t>https://www.oxccu.com/technology</t>
  </si>
  <si>
    <t>As reported by price reporting agency Argus Media: https://www.argusmedia.com/en/news/2510449-uk-grants-138m-to-efuel-carbon-capture-aero-project</t>
  </si>
  <si>
    <t>https://www.infiniumco.com/roadrunner</t>
  </si>
  <si>
    <t>https://www.hdf-energy.com/en/worldwide-projects/</t>
  </si>
  <si>
    <t>Sardidrogeno: the French HDF Energy project to produce green hydrogen in Sardinia - HydroNews</t>
  </si>
  <si>
    <t>As reported by price reporting agency Argus Media: https://direct.argusmedia.com/newsandanalysis/Article/2540689</t>
  </si>
  <si>
    <t>https://bioenergyinternational.com/tidewater-selects-haldor-topsoe-technologies-for-renewable-diesel-production/</t>
  </si>
  <si>
    <t>https://grande-region-hydrogen.eu/en/projects/hypower-moselle-saar/</t>
  </si>
  <si>
    <t>As reported by price reporting agency Argus Media: https://direct.argusmedia.com/newsandanalysis/Article/2541309</t>
  </si>
  <si>
    <t>Argus Hydrogen and Future Fuels, 20 Feburary 2024</t>
  </si>
  <si>
    <t>As reported by price reporting agency Argus Media: https://direct.argusmedia.com/newsandanalysis/Article/2539004</t>
  </si>
  <si>
    <t>As reported by price reporting agency Argus Media: https://direct.argusmedia.com/newsandanalysis/Article/2538373</t>
  </si>
  <si>
    <t>As reported by price reporting agency Argus Media: https://direct.argusmedia.com/newsandanalysis/Article/2537758</t>
  </si>
  <si>
    <t>https://www.stirlinggreenhydrogen.co.uk/theproject</t>
  </si>
  <si>
    <t>https://www.edie.net/kraft-heinz-starts-exploring-onsite-green-hydrogen-production-at-wigan-factory/</t>
  </si>
  <si>
    <t>https://www.wasserstoff-niedersachsen.de/en/h2nord/</t>
  </si>
  <si>
    <t>https://www.h2rivers.de/h2rivers/projektpartner/detailseite/hywaiblingen</t>
  </si>
  <si>
    <t>https://energynews.biz/green-hydrogen-production-in-bremerhaven-to-start-in-2023/</t>
  </si>
  <si>
    <t>https://h2v.eu/hydrogen-valleys/h2rivers-0</t>
  </si>
  <si>
    <t>As reported by price reporting agency Argus Media: https://direct.argusmedia.com/newsandanalysis/Article/2508837</t>
  </si>
  <si>
    <t>As reported by price reporting agency Argus Media: https://direct.argusmedia.com/newsandanalysis/Article/2511437</t>
  </si>
  <si>
    <t>As reported by price reporting agency Argus Media: https://direct.argusmedia.com/newsandanalysis/Article/2511316</t>
  </si>
  <si>
    <t>https://centerpoint.fulcrum-bioenergy.com/</t>
  </si>
  <si>
    <t>https://www.bayoufuels.com/technology/</t>
  </si>
  <si>
    <t>https://gevo.com/location/net-zero-1/</t>
  </si>
  <si>
    <t>https://pib.gov.in/PressReleaseIframePage.aspx?PRID=2011214</t>
  </si>
  <si>
    <t>https://biofuels-news.com/news/aemetis-receives-green-light-for-new-saf-and-renewable-diesel-plant/</t>
  </si>
  <si>
    <t>https://usabioenergy.com/usa-bioenergy-announces-first-advanced-biorefinery-in-bon-wier-texas-after-receiving-150m-in-state-and-local-incentives/</t>
  </si>
  <si>
    <t>As reported by price reporting agency Argus Media: https://direct.argusmedia.com/newsandanalysis/Article/2543872</t>
  </si>
  <si>
    <t>https://www.larsentoubro.com/pressreleases/2024-03-01-lt-commissions-first-indigenously-manufactured-hydrogen-electrolyser-at-hazira/</t>
  </si>
  <si>
    <t>As reported by price reporting agency Argus Media: https://direct.argusmedia.com/newsandanalysis/Article/2544738</t>
  </si>
  <si>
    <t>As reported by price reporting agency Argus Media: https://direct.argusmedia.com/newsandanalysis/Article/2545716</t>
  </si>
  <si>
    <t>As reported by price reporting agency Argus Media: https://direct.argusmedia.com/newsandanalysis/Article/2547706</t>
  </si>
  <si>
    <t>As reported by price reporting agency Argus Media: https://direct.argusmedia.com/newsandanalysis/Article/2548393</t>
  </si>
  <si>
    <t>As reported by price reporting agency Argus Media: https://direct.argusmedia.com/newsandanalysis/Article/2548422</t>
  </si>
  <si>
    <t>As reported by price reporting agency Argus Media: https://direct.argusmedia.com/newsandanalysis/Article/2549739</t>
  </si>
  <si>
    <t>As reported by price reporting agency Argus Media: https://direct.argusmedia.com/newsandanalysis/Article/2549657</t>
  </si>
  <si>
    <t>As reported by price reporting agency Argus Media: https://direct.argusmedia.com/newsandanalysis/Article/2550347</t>
  </si>
  <si>
    <t>As reported by price reporting agency Argus Media: https://direct.argusmedia.com/newsandanalysis/Article/2550302</t>
  </si>
  <si>
    <t>As reported by price reporting agency Argus Media: https://direct.argusmedia.com/newsandanalysis/Article/2512743</t>
  </si>
  <si>
    <t>As reported by price reporting agency Argus Media: https://direct.argusmedia.com/newsandanalysis/Article/2513226</t>
  </si>
  <si>
    <t>As reported by price reporting agency Argus Media: https://direct.argusmedia.com/newsandanalysis/Article/2550748</t>
  </si>
  <si>
    <t>https://s1.q4cdn.com/264428898/files/doc_earnings/2023/q3/presentation/3Q23-Earnings-Deck.pdf</t>
  </si>
  <si>
    <t>https://elcuboverde.com/wp-content/uploads/2022/03/PIPELINE-Hydrogen-Project-report-FINAL-13.12.xlsx</t>
  </si>
  <si>
    <t>https://renewablesnow.com/news/rwe-secures-land-for-260-mw-electrolyser-in-england-852602/?__ca__chat=hbanyqgzlx6r</t>
  </si>
  <si>
    <t>https://eco.sapo.pt/2022/07/14/trustenergy-tem-projeto-de-hidrogenio-verde-de-100-milhoes-de-euros-para-tapada-do-outeiro/</t>
  </si>
  <si>
    <t>https://www.reganosa.com/en/reganosa-reorganizes-consolidate-its-growth-and-boost-green-transition-projects</t>
  </si>
  <si>
    <t>https://pw.lacounty.gov/epd/tf/Attachments/Minutes_Attachments/2023_Attachments/SGH2_PPT_June_15_Presentation.pdf</t>
  </si>
  <si>
    <t>https://hy-gro.nl/project/project-duwaal</t>
  </si>
  <si>
    <t>http://biocombustivelavancado.com.br/en/2023/02/17/bsbios-contrato-zona-franca-biorrefinaria-omega-green-paraguai/</t>
  </si>
  <si>
    <t>As reported by price reporting agency Argus Media: https://direct.argusmedia.com/newsandanalysis/Article/2552732</t>
  </si>
  <si>
    <t>As reported by price reporting agency Argus Media: https://direct.argusmedia.com/newsandanalysis/Article/2553960</t>
  </si>
  <si>
    <t>https://www.diariodelaltoaragon.es/noticias/comarcas/alto-gallego/2023/03/14/ercros-de-fabrica-decana-a-lider-en-europa-1637786-daa.html</t>
  </si>
  <si>
    <t>https://www.h2-view.com/story/update-finnish-energy-firm-takes-fid-on-3mw-green-hydrogen-plant/2108350.article/</t>
  </si>
  <si>
    <t>https://www.hydrogeninsight.com/production/exclusive-this-shell-backed-project-to-ship-vast-volumes-of-liquid-green-hydrogen-from-portugal-to-the-netherlands-has-been-scrapped/2-1-1621919</t>
  </si>
  <si>
    <t>https://www.enap.cl/sala-de-prensa/enap-adjudica-construccion-de-su-primera-planta-de-hidrogeno-verde</t>
  </si>
  <si>
    <t>https://poshydon.com/en/dutch-state-joins-offshore-green-hydrogen-pilot-poshydon-via-ebn/</t>
  </si>
  <si>
    <t>S&amp;P Global Hydrogen Daily, 9 April 2024</t>
  </si>
  <si>
    <t>https://www.globenewswire.com/news-release/2024/03/13/2845749/0/en/McPhy-Energy-McPhy-awarded-a-new-firm-contract-in-the-industrial-field-for-the-supply-of-a-McLyzer-800-to-AAK-in-Sweden.html</t>
  </si>
  <si>
    <t>As reported by price reporting agency Argus Media: https://direct.argusmedia.com/newsandanalysis/Article/2556275</t>
  </si>
  <si>
    <t>Information provided by HDF</t>
  </si>
  <si>
    <t>https://www.axpo.com/hr/en/about-us/media-and-politics/media-releases.detail.html/media-releases/2024/axpo-and-enego-consider-100-mw-green-hydrogen-production-plant-i.html</t>
  </si>
  <si>
    <t>https://www.chevron.com/newsroom/2024/q1/chevron-announces-its-first-solar-to-hydrogen-production-project-in-californias-central-valley</t>
  </si>
  <si>
    <t>As reported by price reporting agency Argus Media: https://direct.argusmedia.com/newsandanalysis/Article/2554387</t>
  </si>
  <si>
    <t>https://hynetherlands.nl/</t>
  </si>
  <si>
    <t>https://themes-eon-brand-2og1ct-eoncom-dispatcher.aem-aks.eon.com/en/hydrogen/hydrogen-projects.html</t>
  </si>
  <si>
    <t>https://www.gp-joule.fr/press/artikel/gp-joule-bestellt-2-megawatt-elektrolyseur-bei-h-tec-systems</t>
  </si>
  <si>
    <t>https://danup2gas.eu/assets/pdf/roadmaps/Slovakia_Strategic-Roadmap_SK.pdf</t>
  </si>
  <si>
    <t>https://www.power-technology.com/data-insights/power-plant-profile-donghae-1-offshore-wind-farm-south-korea/?cf-view</t>
  </si>
  <si>
    <t>https://www.h2-view.com/story/port-of-antwerp-bruges-to-host-largest-aem-electrolyser-installation/2108613.article/</t>
  </si>
  <si>
    <t>https://www.theportugalnews.com/news/2024-04-11/alentejo-green-hydrogen-project-moves-forward/87812</t>
  </si>
  <si>
    <t>https://fuelcellsworks.com/news/johnson-matthey-and-bp-technology-chosen-for-the-worlds-largest-fischer-tropsch-saf-production-plant/?mc_cid=e8ed58e26d&amp;mc_eid=da4624d261</t>
  </si>
  <si>
    <t>https://www.linde.com/news-and-media/2024/linde-to-increase-green-hydrogen-production-in-brazil#:~:text=Woking%2C%20UK%2C%20April%2018%2C,the%20southeast%20region%20of%20Brazil.</t>
  </si>
  <si>
    <t>https://hydrogentoday.info/concertation-projet-emilhy/</t>
  </si>
  <si>
    <t>https://hydrogentoday.info/hytouraine-ecosysteme/</t>
  </si>
  <si>
    <t>As reported by price reporting agency Argus Media: https://direct.argusmedia.com/newsandanalysis/Article/2561610</t>
  </si>
  <si>
    <t>As reported by price reporting agency Argus Media: https://direct.argusmedia.com/newsandanalysis/Article/2562627</t>
  </si>
  <si>
    <t>https://chinahydrogen.substack.com/p/goldwind-broke-ground-for-its-500000</t>
  </si>
  <si>
    <t>https://chinahydrogen.substack.com/p/4-green-methanol-production-projects</t>
  </si>
  <si>
    <t>https://hydronews.it/entra-in-funzione-limpianto-di-produzione-di-idrogeno-green-di-axpo-e-rhiienergie-a-domat-ems-il-piu-grande-di-tutta-la-svizzera/</t>
  </si>
  <si>
    <t>JMK QUARTERLY GREEN HYDROGEN INDIA MARKET UPDATE Q1 2024 (Jan-Mar 2024)</t>
  </si>
  <si>
    <t>https://www.youtube.com/watch?v=Gnk8IlfuKo0</t>
  </si>
  <si>
    <t>https://elogenh2.com/en/2023/01/04/new-contract-elogen-is-selected-by-enertrag-for-the-supply-of-a-10-mw-pem-electrolyser/</t>
  </si>
  <si>
    <t>https://www.newswire.com/news/yosemite-clean-energy-receives-5m-grant-to-advance-ultra-low-carbon-22078747?_gl=1*cwymur*_ga*MTI0NDk0NzAwNi4xNjg2MDA3OTk2*_ga_MX6T5V36WQ*MTY4OTE3NDIwMS4xNy4xLjE2ODkxNzQyMjEuNDAuMC4w</t>
  </si>
  <si>
    <t>https://www.afp.com/en/news/1312/ohmium-selected-provide-10mw-pem-electrolyzers-first-green-hydrogen-project-croatia-202405208206571</t>
  </si>
  <si>
    <t>https://www.hydrogenfuelnews.com/hydrogen-production-angola/8559118/?utm_content=cmp-true</t>
  </si>
  <si>
    <t>https://www.moh.gr/en/news/the-innovation-fund-grant-agreement-for-motor-oils-flagship-project-iris-has-been-officially-signed/</t>
  </si>
  <si>
    <t>https://ecubes.si/hse-and-clean-hydrogen-partnership-joint-undertaking-signed-contract-on-the-co-funding-of-the-nahv-project-involving-eur-25-million-in-eu-grants-press-release/</t>
  </si>
  <si>
    <t>https://www.offshore-energy.biz/tecnicas-reunidas-completes-feed-work-for-pembina-and-marubenis-hydrogen-ammonia-plant/</t>
  </si>
  <si>
    <t>https://www.fusion-fuel.eu/co-financed-projects/</t>
  </si>
  <si>
    <t>https://www.offshore-energy.biz/fid-reached-for-hydrogen-hub-agder-as-everfuel-transfers-ownership-to-greenstat/</t>
  </si>
  <si>
    <t>Decarbonization and green energy initiatives (rompetrol.com)</t>
  </si>
  <si>
    <t>https://www.smalanningen.se/2024-02-27/samarbetet-om-banbrytande-projektet-sprack-sa-satsar-strandmollen-vidare#:~:text=Kort%20f%C3%B6rklarat%20skulle%20Strandm%C3%B6llen%20producera,projektet%2C%20kunde%20Beatrice%20Schmidt%20ber%C3%A4tta.</t>
  </si>
  <si>
    <t>https://www.energate-messenger.com/news/243372/electrolyser-in-pfeffenhausen-goes-into-operation</t>
  </si>
  <si>
    <t>GAIL inaugurates 10 MW green hydrogen production plant in Madhya Pradesh (hydrogentechworld.com)</t>
  </si>
  <si>
    <t>https://research.csiro.au/hyresource/goondiwindi-hydrogen/</t>
  </si>
  <si>
    <t>https://ec.europa.eu/assets/cinea/project_fiches/innovation_fund/101085995.pdf</t>
  </si>
  <si>
    <t>https://www.h2-view.com/story/lone-cypress-energy-finalises-feed-study-for-its-blue-hydrogen-project-in-california/</t>
  </si>
  <si>
    <t>https://hydrogen-central.com/northam-green-hydrogen-hub-set-supply-renewable-energy-heavy-vehicles/</t>
  </si>
  <si>
    <t>https://www.abc.net.au/news/2024-03-26/infinite-green-energy-decision-planning-rejection/103634930</t>
  </si>
  <si>
    <t>https://waterstofkaart.missieh2.nl/en/detail/50570-energhys?valuechain=production</t>
  </si>
  <si>
    <t>https://www.galp.com/corp/en/media/press-releases/press-release/id/1490/final-investment-decision-on-green-hydrogen-and-hvosaf-projects</t>
  </si>
  <si>
    <t>https://circul8.energy/project/hydeer</t>
  </si>
  <si>
    <t>https://www.nlr.nl/nieuws/nlr-en-roger-ontwikkelen-een-productie-en-testfaciliteit-voor-groene-waterstof/</t>
  </si>
  <si>
    <t>https://www.hydrogeninsight.com/production/edf-on-course-to-produce-uks-first-nuclear-hydrogen-to-decarbonise-asphalt-after-winning-government-grant/2-1-1517781</t>
  </si>
  <si>
    <t>https://fuelcellsworks.com/news/alfa-laval-joins-a-groundbreaking-hydrogen-project/?mc_cid=182562cc72&amp;mc_eid=da4624d261</t>
  </si>
  <si>
    <t>https://www.hydrogeninsight.com/production/swedish-developer-aims-to-use-power-from-two-of-worlds-largest-offshore-wind-projects-to-produce-green-hydrogen-for-e-fuels/2-1-1545236</t>
  </si>
  <si>
    <t>https://dakotagas.com/News-Center/news-briefs/Storage-facility-permit-application-submitted-for-carbon-dioxide-sequestration-project</t>
  </si>
  <si>
    <t>https://dakotagas.com/News-Center/basin-today-stories/Cracking-the-code-Carbon-sequestration-project-will-benefit-environment,-co-op</t>
  </si>
  <si>
    <t>http://www.pmweb.com.cn/xiangmu/6670.html</t>
  </si>
  <si>
    <t>https://finance.sina.com.cn/esg/2023-08-27/doc-imzirrzz3229002.shtml</t>
  </si>
  <si>
    <t>https://natural-resources.canada.ca/science-and-data/funding-partnerships/opportunities/current-investments/heat-integrated-carbon-capture-and-storage-potash-mine/25243</t>
  </si>
  <si>
    <t>https://www.ks-potashcanada.com/wp-content/uploads/2023/11/22-KSPC-CommunityReport-REV.pdf</t>
  </si>
  <si>
    <t>https://training.saskatchewan.ca/EnergyAndResources/Files/Notices/2023/MRO%20120-23.pdf</t>
  </si>
  <si>
    <t>https://innovationorigins.com/en/croatia-plans-to-store-co2-in-depleted-oil-fields-smart-or-a-drop-in-the-ocean/</t>
  </si>
  <si>
    <t>https://molgroup.info/storage/documents/case_studies/climate_change/co2_eor_project_croatia_origin.pdf</t>
  </si>
  <si>
    <t>https://www.bicmagazine.com/projects-expansions/downstream/cerilon-gtl-facility-to-be-be-built-in-north-dakota/</t>
  </si>
  <si>
    <t>https://www.williamsnd.com/williams-county-issues-loan-to-cerilon-gtl-nd-as-development-plans-advance/</t>
  </si>
  <si>
    <t>https://www.proman.org/news/proman-mitsubishi-sign-mou-to-develop-world-scale-ultra-low-carbon-ammonia-plant-in-lake-charles-usa/</t>
  </si>
  <si>
    <t>https://www.yara.com/corporate-releases/yara-and-jera-plan-to-collaborate-on-clean-ammonia-to-decarbonize-power-production-in-japan/</t>
  </si>
  <si>
    <t>https://www.hyvelocityhub.com/</t>
  </si>
  <si>
    <t>https://www.chevron.com/newsroom/2023/q1/hydrogen-hub-proposed-for-us-gulf-coast</t>
  </si>
  <si>
    <t>https://hydrogen-central.com/posco-teams-up-with-uae-adnoc-for-blue-hydrogen/</t>
  </si>
  <si>
    <t>Argus Hydrogen Newsletter 20240529</t>
  </si>
  <si>
    <t>https://www.h2-view.com/story/croatian-refinery-to-adopt-green-hydrogen-with-10mw-electrolyser-installation/2110255.article/</t>
  </si>
  <si>
    <t>https://www.jpower.co.jp/english/news_release/pdf/news230308e.pdf</t>
  </si>
  <si>
    <t>https://www.prnewswire.com/news-releases/fidelis-new-energy-selects-battelle-carbon-services-as-its-subsurface-contractor-for-carbon-capture-and-sequestration-in-support-of-the-mountaineer-gigasystem-hydrogen-project-in-west-virginia-301916588.html</t>
  </si>
  <si>
    <t>https://governor.wv.gov/News/press-releases/2023/Pages/Gov.-Justice-announces-Fidelis-New-Energy-to-build-hydrogen-project-and-data-center-campus-in-Mason-County.aspx</t>
  </si>
  <si>
    <t>https://www.linkedin.com/pulse/alberta-selects-shell-suncor-atco-atlas-carbon-hub-proposal-/</t>
  </si>
  <si>
    <t>https://www.beaver.ab.ca/public/download/files/231170</t>
  </si>
  <si>
    <t>https://www.keyera.com/investors/news/keyera-and-shell-sign-agreement-to-advance-clean-energy/</t>
  </si>
  <si>
    <t>https://www.akersolutions.com/news/news-archive/2024/aker-solutions-to-support-the-industrial-transformation-of-mongstad/</t>
  </si>
  <si>
    <t>https://www.hydrogeninsight.com/production/south-korea-s-first-blue-hydrogen-project-completed-alongside-nation-s-largest-h2-refuelling-station/2-1-1442936</t>
  </si>
  <si>
    <t>https://www.bizjournals.com/phoenix/news/2023/11/02/linde-nextera-hydrogen-facility-phoenix-tonopah.html?utm_source=sy&amp;utm_medum=ptr&amp;utm_campaign=knxv</t>
  </si>
  <si>
    <t>https://www.andritz.com/newsroom-en/metals/2023-09-20-salzgitter-group</t>
  </si>
  <si>
    <t>https://fuelcellsworks.com/news/engineering-firm-enhances-design-expertise-for-koreas-largest-water-electrolysis-hydrogen-production-facility-1-ton-of-hydrogen-per-day/?mc_cid=433fe54022&amp;mc_eid=da4624d261</t>
  </si>
  <si>
    <t>https://research.csiro.au/hyresource/allied-green-ammonia/</t>
  </si>
  <si>
    <t>https://www.hydrogeninsight.com/production/spain-awards-150m-of-grants-to-build-309mw-of-green-hydrogen-production-for-use-in-hard-to-abate-sectors/2-1-1563916</t>
  </si>
  <si>
    <t>https://dinamotecnica.es/2023/11/proyecto-gp-h2-as-pontes.html</t>
  </si>
  <si>
    <t>https://www.lhyfe.com/press/lhyfe-has-been-awarded-a-grant-of-up-to-e14-million-for-its-first-green-hydrogen-project-in-spain-in-tarragona/</t>
  </si>
  <si>
    <t>https://www.encastillalamancha.es/castilla-la-mancha-cat/nuevo-proyecto-de-hidrogeno-verde-alcarria-h2-en-torija/</t>
  </si>
  <si>
    <t>https://fuelcellsworks.com/news/samsung-engineering-commences-sarawak-h2biscus-green-hydrogen-ammonia-feed-project-in-malaysia/?mc_cid=497ac2b657&amp;mc_eid=da4624d261</t>
  </si>
  <si>
    <t>https://www.hydrogeninsight.com/production/exclusive-plug-power-dropped-as-electrolyser-supplier-at-heavily-hyped-100mw-green-hydrogen-project-in-egypt/2-1-1350853</t>
  </si>
  <si>
    <t>https://www.latitudemedia.com/news/automation-and-off-grid-assets-will-power-hy-stors-mississippi-hydrogen-hub</t>
  </si>
  <si>
    <t>https://www.essar.com/inthenews/essar-signs-three-mous-with-gujarat-govt-totalling-rs-55000-crore-in-energy-transition-power-and-ports-sectors/#:~:text=Investment%20in%20Energy%20Transition%3A%20Essar,investment%20of%20Rs%2030%2C000%20crore.</t>
  </si>
  <si>
    <t>https://renewablesnow.com/news/chiles-susterra-plans-usd-423m-green-h2-project-for-mining-industry-844219/</t>
  </si>
  <si>
    <t>https://www.infiniumco.com/news/nbspmo-industrial-park-and-infinium-announce-collaboration-to-develop-commercial-efuels-project-in-northern-norway</t>
  </si>
  <si>
    <t>https://www.esi-africa.com/east-africa/uganda-green-hydrogen-based-fertiliser-plant-to-boost-agriculture/</t>
  </si>
  <si>
    <t>https://www.h2-view.com/story/200000-tonne-hydrogen-based-fertiliser-project-to-be-developed-in-uganda/2106358.article/</t>
  </si>
  <si>
    <t>https://www.ohmium.com/news/h2-green-mining-and-ohmium-sign-agreement-to-boost-green-hydrogen-in-chile</t>
  </si>
  <si>
    <t>https://www.hydrogeninsight.com/production/german-developer-announces-plan-to-build-1gw-green-hydrogen-project-in-spain-at-a-cost-of-3bn/2-1-1639096</t>
  </si>
  <si>
    <t>https://arena.gov.au/news/six-shortlisted-for-2-billion-hydrogen-headstart-funding/</t>
  </si>
  <si>
    <t>https://www.portofnewcastle.com.au/wp-content/uploads/2021/11/PON-Hydrogen-FAQ.pdf</t>
  </si>
  <si>
    <t>https://www.iqony.energy/en/press/hydrogen-project-in-duisburg-walsum-wins-eu-funding</t>
  </si>
  <si>
    <t>https://www.tklmethanol.es/index.html#tim</t>
  </si>
  <si>
    <t>https://www.heraldodiariodesoria.es/soria/provincia/240113/157593/green-capital-impulsa-planta-hidrogeno-verde-almazan.html</t>
  </si>
  <si>
    <t>https://fuelcellsworks.com/news/exolum-to-construct-a-green-hydrogen-production-plant-and-refuelling-station-in-the-tees-valley/?mc_cid=572aa1e5cb&amp;mc_eid=da4624d261</t>
  </si>
  <si>
    <t>https://english.aawsat.com/business/5026795-saudi-acwa-power-signs-mou-develop-green-hydrogen-project-tunisia</t>
  </si>
  <si>
    <t>https://www.h2-view.com/story/acwa-power-to-export-hydrogen-to-europe-via-multi-gw-tunisian-project/2110739.article/</t>
  </si>
  <si>
    <t>https://nghm.mnre.gov.in/project.php</t>
  </si>
  <si>
    <t>https://www.utilitydive.com/press-release/20240521-nw-natural-and-modern-hydrogen-unveil-unique-clean-hydrogen-production-car/</t>
  </si>
  <si>
    <t>https://www.hydrogeninsight.com/production/chinese-oil-giant-increases-green-hydrogen-project-pipeline-to-5-5gw/2-1-1646880</t>
  </si>
  <si>
    <t>https://mem.gov.om/en-us/Media-Center/News/ArtMID/608/ArticleID/1391/HYDROM-MEETS-TARGET-TO-DELIVER-OVER-1-MILLION-TPA-OF-RENEWABLE-HYDROGEN-WITH-ROUND-2-AUCTION-AWARD-</t>
  </si>
  <si>
    <t>https://natural-resources.canada.ca/climate-change/canadas-green-future/the-hydrogen-strategy/hydrogen-strategy-for-canada-progress-report/25678#a7a</t>
  </si>
  <si>
    <t>https://www.innoenergy.com/uploads/2024/05/240513_-FertigHy-France-selected-announcement-4.pdf</t>
  </si>
  <si>
    <t>https://www.hydrogeninsight.com/production/chinese-group-to-build-1-5bn-green-aviation-fuel-plant-in-northern-china-based-on-wind-powered-hydrogen/2-1-1641519</t>
  </si>
  <si>
    <t>https://www.pv-magazine-latam.com/2024/05/08/anuncian-en-peru-la-construccion-de-la-primera-planta-de-hidrogeno-verde-del-pais/</t>
  </si>
  <si>
    <t>https://www.hydrogeninsight.com/production/belgian-developer-to-spend-3-5bn-on-green-hydrogen-in-namibia-including-massive-desert-ammonia-complex/2-1-1638166</t>
  </si>
  <si>
    <t>https://www.hydrogeninsight.com/production/giga-scale-green-hydrogen-project-announced-in-arctic-norway-using-worlds-first-floating-ammonia-production-vessel/2-1-1631555?utm_campaign=2024-04-23&amp;utm_content=hydrogen&amp;utm_medium=email&amp;utm_source=email_campaign&amp;utm_term=recharge</t>
  </si>
  <si>
    <t>https://www.h2carrier.com/projects</t>
  </si>
  <si>
    <t>https://www.offshore-energy.biz/h2carrier-plans-power-to-x-production-of-hydrogen-and-ammonia-in-norway/</t>
  </si>
  <si>
    <t>https://www.eleconomista.es/energia/noticias/12748388/04/24/ansasol-lanza-un-gran-proyecto-de-metanol-en-huelva.html</t>
  </si>
  <si>
    <t>https://www.huelvainformacion.es/huelva/energia/Energy-Gibraleon-San-Juan-Puerto_0_1897910753.html</t>
  </si>
  <si>
    <t>https://www.ambito.com/energia/uruguay-empresa-saudi-impulsa-una-millonaria-inversion-hidrogeno-verde-n5949398</t>
  </si>
  <si>
    <t>https://www.energynews.es/alemania-importara-hidrogeno-verde-de-argelia/</t>
  </si>
  <si>
    <t>https://economictimes.indiatimes.com/industry/renewables/cial-announces-agreement-with-bpcl-to-set-up-first-green-hydrogen-plant-at-cochin-airport/articleshow/107689487.cms?from=mdr</t>
  </si>
  <si>
    <t>https://www.hydrogeninsight.com/production/india-s-largest-power-giant-unveils-enormous-4gw-green-hydrogen-project/2-1-1601848</t>
  </si>
  <si>
    <t>https://www.hydrogeninsight.com/production/green-hydrogen-projects-in-malaysia-worth-billions-of-dollars-to-be-signed-off-this-week-report/2-1-1603550</t>
  </si>
  <si>
    <t>https://www.linkedin.com/posts/egypt-hydrogen-renewable-energy_chinagreenhydrogennews-greenmethanol-greenammonia-activity-7168903197812637696-NCOX/?utm_source=share&amp;utm_medium=member_desktop</t>
  </si>
  <si>
    <t>https://www.hydrogeninsight.com/industrial/fertiglobe-to-take-final-investment-decision-on-long-delayed-100mw-egyptian-green-hydrogen-plant-by-july/2-1-1635986</t>
  </si>
  <si>
    <t>https://www.statedevelopment.qld.gov.au/coordinator-general/assessments-and-approvals/coordinated-projects/projects-discontinued-or-on-hold/gladstone-energy-and-ammonia-project</t>
  </si>
  <si>
    <t>https://research.csiro.au/hyresource/pacific-solar-hydrogen-project/</t>
  </si>
  <si>
    <t>https://www.hydrogeninsight.com/industrial/australian-green-hydrogen-hub-with-built-in-chemicals-offtaker-receives-planning-permission/2-1-1654414</t>
  </si>
  <si>
    <t>https://asia.nikkei.com/Business/Energy/Japan-s-Mitsubishi-eyes-massive-green-hydrogen-plant-in-Netherlands</t>
  </si>
  <si>
    <t>https://www.hydrogeninsight.com/production/indian-state-approves-more-than-2bn-investment-into-two-new-green-hydrogen-based-ammonia-plants/2-1-1610292</t>
  </si>
  <si>
    <t>https://renewablesnow.com/news/sembcorp-partners-to-pursue-green-h2-exports-from-india-to-japan-843544/</t>
  </si>
  <si>
    <t>https://www.forbes.com.mx/invertiran-1172-mdd-en-la-construccion-de-una-planta-de-hidrogeno-verde-en-sinaloa/?fbclid=IwAR3xxjsxQ2LZUmJe4Gt0gJharUMVKkekjsNHAlXmmkdvhxsE0yK6eDu5WWk_aem_AQFSTt6Q74EZ7INxhOC1kNPCMRMCCx1Y7HfOaMLNBEvgmdfPLy8-oVM_eCU76tbJDHJn_wb2cLKecNlW9Wlh9ZY0</t>
  </si>
  <si>
    <t>https://www.hydrogeninsight.com/production/chinese-state-owned-power-giant-plans-2-4bn-green-hydrogen-project-in-vietnam/2-1-1613225</t>
  </si>
  <si>
    <t>https://www.spglobal.com/commodityinsights/en/market-insights/latest-news/energy-transition/031524-vietnams-hydrogen-economy-takes-shape-with-national-strategy-projects</t>
  </si>
  <si>
    <t>https://hydronews.it/h2-era-green-valley-ge-group-punta-a-valorizzare-i-sottoprodotti-dellelettrolisi-per-abbattere-il-costo-finale-dellh2-green/</t>
  </si>
  <si>
    <t>https://www.offshore-energy.biz/jera-and-renew-team-up-on-ammonia-production-in-india/</t>
  </si>
  <si>
    <t>https://www.renew.com/press-release/renew-partners-with-jera-to-evaluate-joint-development-of-green-ammonia-project-in-india</t>
  </si>
  <si>
    <t>https://hydrogen-central.com/tata-steel-sez-hygenco-ink-mou-for-green-hydrogen-and-green-ammonia-projects/</t>
  </si>
  <si>
    <t>https://www.pv-magazine-india.com/2024/05/06/the-hydrogen-stream-hygenco-to-set-up-a-green-hydrogen-ammonia-project-at-tata-steel-sezs-gopalpur-industrial-park/</t>
  </si>
  <si>
    <t>https://www.hydrogeninsight.com/production/indian-renewables-giant-proposes-2gw-green-hydrogen-and-ammonia-plant-in-kerala-report/2-1-1590050</t>
  </si>
  <si>
    <t>https://ebtke.esdm.go.id/flippdf/elibrary.html#pdfflip-PDFF-41</t>
  </si>
  <si>
    <t>https://www.mdpi.com/1996-1073/17/11/2614#app1-energies-17-02614</t>
  </si>
  <si>
    <t>https://www.hydrogeninsight.com/production/italian-green-hydrogen-hub-secures-370m-in-subsidies-to-decarbonise-industry-just-as-major-steel-offtaker-collapses/2-1-1604315</t>
  </si>
  <si>
    <t>https://www.reuters.com/world/india/indias-inox-air-products-signs-mou-with-maharashtra-government-2024-01-16/</t>
  </si>
  <si>
    <t>https://www.business-standard.com/companies/news/inox-air-products-signs-3-billion-mou-with-maha-for-green-ammonia-plant-124011601025_1.html</t>
  </si>
  <si>
    <t>https://www.gasworld.com/story/north-ammonia-secures-grid-capacity-for-large-scale-green-ammonia-plant-in-norway/2139139.article/</t>
  </si>
  <si>
    <t>As reported by price reporting agency Argus Media: https://direct.argusmedia.com/newsandanalysis/Article/2549652</t>
  </si>
  <si>
    <t>As reported by price reporting agency Argus Media: https://direct.argusmedia.com/newsandanalysis/Article/2556167</t>
  </si>
  <si>
    <t>As reported by price reporting agency Argus Media: https://direct.argusmedia.com/newsandanalysis/Article/2558847</t>
  </si>
  <si>
    <t>As reported by price reporting agency Argus Media: https://direct.argusmedia.com/newsandanalysis/Article/2549723</t>
  </si>
  <si>
    <t>As reported by price reporting agency Argus Media: https://direct.argusmedia.com/newsandanalysis/Article/2556279</t>
  </si>
  <si>
    <t>As reported by price reporting agency Argus Media: https://direct.argusmedia.com/newsandanalysis/Article/2558637</t>
  </si>
  <si>
    <t>As reported by price reporting agency Argus Media: https://direct.argusmedia.com/newsandanalysis/Article/2552554</t>
  </si>
  <si>
    <t>As reported by price reporting agency Argus Media: https://direct.argusmedia.com/newsandanalysis/Article/2533935</t>
  </si>
  <si>
    <t>As reported by price reporting agency Argus Media: https://direct.argusmedia.com/newsandanalysis/Article/2545587</t>
  </si>
  <si>
    <t>As reported by price reporting agency Argus Media: https://direct.argusmedia.com/newsandanalysis/Article/2527176</t>
  </si>
  <si>
    <t>https://www.h2-view.com/story/eletrobras-reveals-plans-to-produce-hydrogen-at-brazilian-port/2110895.article/</t>
  </si>
  <si>
    <t>https://www.omvpetrom.com/en/news/omv-petrom-invests-eur-750-million-at-petrobrazi-to-become-the-first-major-producer-of-sustainable-fuels-in-southeast-europe</t>
  </si>
  <si>
    <t>https://hydrogen-central.com/cement-australia-partners-mitsubishi-gas-chemical-company-green-methanol-hydrogen-trial-gladstone-cement-plant/</t>
  </si>
  <si>
    <t>https://www.methanol.org/renewable/</t>
  </si>
  <si>
    <t>https://ammoniaenergy.org/articles/trammo-commits-to-full-off-take-for-quebec-green-ammonia-project/</t>
  </si>
  <si>
    <t>https://www.hydrogeninsight.com/production/two-giant-renewable-hydrogen-based-methanol-plants-in-china-to-start-construction-within-months/2-1-1542926</t>
  </si>
  <si>
    <t>https://topic.echemi.com/a/the-renewable-energy-project-settled-in-ordos_314116.html</t>
  </si>
  <si>
    <t>https://chinahydrogen.substack.com/p/china-announced-7-million-tons-renewable</t>
  </si>
  <si>
    <t>https://www.liquidwind.se/haapavesi</t>
  </si>
  <si>
    <t>https://h2businessnews.com/transition-industries-llc-y-la-cfi-anuncian-acuerdo-para-desarrollar-proyecto-de-metanol-a-escala-mundial-libre-de-emisiones-netas-en-sinaloa-mexico/</t>
  </si>
  <si>
    <t>https://www.aramco.com/en/news-media/news/2023/aramco-and-enowa-to-develop-first-of-its-kind-efuel-demonstration-plant</t>
  </si>
  <si>
    <t>https://bioenergyinternational.com/uniper-and-jamtkraft-to-develop-northstarh2/</t>
  </si>
  <si>
    <t>https://ammoniaenergy.org/articles/sixth-renewable-ammonia-project-announced-for-ceara-state-brazil/</t>
  </si>
  <si>
    <t>https://www.reuters.com/business/energy/eletrobras-signs-agreement-with-prumo-produce-green-hydrogen-brazilian-port-2024-06-05/</t>
  </si>
  <si>
    <t>As reported by price reporting agency Argus Media: https://direct.argusmedia.com/newsandanalysis/Article/2542681</t>
  </si>
  <si>
    <t>https://www.portalminero.com/wp/verano-energy-ingresa-a-evaluacion-ambiental-proyecto-para-la-produccion-de-hidrogeno-y-amoniaco-verde-en-peru/</t>
  </si>
  <si>
    <t>https://www.greencarcongress.com/2023/12/20231227-cip.html</t>
  </si>
  <si>
    <t>https://www.datamarnews.com/noticias/santos-port-authority-eyes-federal-fund-for-green-hydrogen-production/</t>
  </si>
  <si>
    <t>As reported by price reporting agency Argus Media: https://direct.argusmedia.com/newsandanalysis/article/2565197</t>
  </si>
  <si>
    <t>https://world-nuclear-news.org/Articles/Eletronuclear-plans-clean-hydrogen-production</t>
  </si>
  <si>
    <t>https://gep-global.com/news/green-energy-park-raises-30-million-us-dollars-initial-equity-funding-accelerate-energy-transition-and-build-one-largest-renewable-hydrogen-production-and-export-terminal-facilities-world</t>
  </si>
  <si>
    <t>As reported by price reporting agency Argus Media: https://direct.argusmedia.com/newsandanalysis/Article/2517245</t>
  </si>
  <si>
    <t>https://www.enerdata.net/publications/daily-energy-news/ceara-brazil-signs-mou-12-mtyear-green-hydrogen-project.html</t>
  </si>
  <si>
    <t>https://totalenergies.com/media/news/press-releases/germany-totalenergies-and-vng-join-forces-green-hydrogen-decarbonize-leuna</t>
  </si>
  <si>
    <t>https://www.hydrogeninsight.com/production/construction-begins-on-2-6bn-gigawatt-scale-green-hydrogen-and-ammonia-project-in-northern-china/2-1-1672656</t>
  </si>
  <si>
    <t>https://elpinguino.com/noticia/2023/10/27/organizaciones-ambientalistas-advierten-por-impacto-de-futuro-proyecto-de-hidrogeno-verde-cercano-a-humedal-bahia-lomas</t>
  </si>
  <si>
    <t>https://www.hydrogeninsight.com/innovation/we-built-europes-first-commercial-green-hydrogen-to-synthetic-methane-plant-in-less-than-six-months-without-subsidies/2-1-1631952</t>
  </si>
  <si>
    <t>https://turn2x.com/#mission</t>
  </si>
  <si>
    <t>https://hydrogen-central.com/dijon-metropole-inaugurates-the-first-of-its-two-hydrogen-stations-at-100-million-euros/#:~:text=On%20the%20eve%20of%20welcoming,Monday%20June%2024%2C%202024.%20.</t>
  </si>
  <si>
    <t>https://www.enapter.com/de/enapter-news/4-mw-scale-aem-electrolysers-sold-to-italy-new-aem-flex-120-video-out-and-much-more/</t>
  </si>
  <si>
    <t>https://h2bulletin.com/enapter-to-deliver-aem-nexus-500-electrolysers-with-500-kw-production-capacity-to-kit/</t>
  </si>
  <si>
    <t>https://abelenergy.com.au/thyssenkrupp-nucera-preferred-supplier-of-electrolysers</t>
  </si>
  <si>
    <t>https://renewablesnow.com/news/cepsa-picks-nucera-siemens-electrolysers-for-400-mw-project-in-spain-857525/</t>
  </si>
  <si>
    <t>https://www.lagazzettadelmezzogiorno.it/news/taranto/1507411/ex-ilva-puglia-hydrogen-valley-alimentera-i-nuovi-forni-elettrici.html</t>
  </si>
  <si>
    <t>https://www.interreg-central.eu/news/h2ce-study-visit-at-sapios-group-green-hydrogen-hub-in-venice/</t>
  </si>
  <si>
    <t>https://umbria.tag24.it/fotovoltaico-e-idrogeno-gli-elettrodi-sangraf-diventano-sostenibili/</t>
  </si>
  <si>
    <t>https://www.fnmgroup.it/h2iseo_hydrogen_valley/</t>
  </si>
  <si>
    <t>Argus Hydrogen and Future Fuels Newsletter 20240716</t>
  </si>
  <si>
    <t>As reported by price reporting agency Argus Media: https://direct.argusmedia.com/newsandanalysis/Article/2587867</t>
  </si>
  <si>
    <t>https://www.power-technology.com/marketdata/power-plant-profile-total-eren-h2-magallanes-complex-chile/</t>
  </si>
  <si>
    <t>https://www.taqa.com.eg/news-details.php?newsid=40</t>
  </si>
  <si>
    <t>https://www.offshore-energy.biz/dai-to-collaborate-with-siemens-energy-on-green-ammonia-project-in-egypt/</t>
  </si>
  <si>
    <t>https://www.power-technology.com/news/acme-oman-green-ammonia-hydrogen/</t>
  </si>
  <si>
    <t>https://elsewedyelectric.com/en/page?v=News%20Room&amp;i=ELSEWEDY%20ELECTRIC%20IN%20PARTNERSHIP%20WITH%20RENEW%20POWER%20SIGNS%20A%20FRAMEWORK%20AGREEMENT%20WITH%20THE%20GOVERNMENT%20OF%20EGYPT%20FOR%20A%20GREEN%20HYDROGEN%20PROJECT</t>
  </si>
  <si>
    <t>https://fuelcellsworks.com/news/green-hydrogen-factory-planned-for-bahrain/</t>
  </si>
  <si>
    <t>https://www.deme-group.com/news/deme-expands-green-hydrogen-portfolio-hyport-production-facility-egypt</t>
  </si>
  <si>
    <t>https://alfanarprojects.com/en-us/newsroom/alfanar-consolidates-its-leading-position-in-energy-transition-by-developing-a-project-for-green-hydrogen-production/</t>
  </si>
  <si>
    <t>https://www.act.is/our-view-on-cop/green-hydrogen-a-key-enabler-of-the-energy-transition/</t>
  </si>
  <si>
    <t>https://vivahuelva.es/sevilla/1319031/ignis-invertira-352-millones-de-euros-en-la-planta-de-amoniaco-verde-del-puerto/</t>
  </si>
  <si>
    <t>https://www.h2-view.com/story/siemens-energy-to-supply-280mw-electrolyser-to-german-hydrogen-project/2112847.article/</t>
  </si>
  <si>
    <t>https://virya-energy.prezly.com/virya-energy-hyoffgreen-and-messer-announce-final-investment-decision-for-25mw-renewable-hydrogen-plant-in-zeebrugge-paving-the-way-for-sustainable-mobility-and-industry</t>
  </si>
  <si>
    <t>https://renews.biz/94723/shell-takes-fid-on-100mw-electrolyser/</t>
  </si>
  <si>
    <t>As reported by price reporting agency Argus Media: https://direct.argusmedia.com/newsandanalysis/article/2424329?keywords=BP%20to%20build%202GW%20electrolyser%20in%20Spain</t>
  </si>
  <si>
    <t>https://www.h2-view.com/story/bp-to-develop-2gw-hydrogen-project-in-spain-following-fid/2113029.article/</t>
  </si>
  <si>
    <t>https://energyforgrowth.org/article/african-hydrogen-projects-tracker-full-screen/</t>
  </si>
  <si>
    <t>https://energynews.biz/element-fuels-completes-site-preparation-and-pre-construction-for-hydrogen-powered-refinery/</t>
  </si>
  <si>
    <t>https://hydrogen-central.com/minbos-environmental-studies-underway-capanda-green-ammonia-project/</t>
  </si>
  <si>
    <t>https://www.fertiberia.com/en/reduced-climate-impact-and-strengthened-food-supply-fertiberia-lantmannen-and-nordion-energi-are-investing-to-develop-swedens-first-fossil-free-mineral-fertiliser-factory/</t>
  </si>
  <si>
    <t>https://www.hydrogeninsight.com/innovation/south-korea-s-first-nuclear-hydrogen-project-to-be-built-by-2027-by-eight-partners-including-hyundai-and-samsung/2-1-1663769</t>
  </si>
  <si>
    <t>https://renewablesnow.com/news/everfuel-proposes-up-to-2-gw-green-hydrogen-project-in-denmark-860710/</t>
  </si>
  <si>
    <t>https://www.prnewswire.com/news-releases/mou-signed-for-35-000-hectares-of-land-in-sonora-mexico-to-propel-green-hydrogen-and-ammonia-production-302191133.html</t>
  </si>
  <si>
    <t>https://en.igascn.com/chian/detail/?TypeId=1026&amp;Id=7441&amp;SortSource=list</t>
  </si>
  <si>
    <t>http://www.cplastics.com.cn/?p=258</t>
  </si>
  <si>
    <t>https://www.linkedin.com/posts/yesh2_greenenergy-sustainability-china-activity-7219724816419819522-Kt96/?utm_source=share&amp;utm_medium=member_android</t>
  </si>
  <si>
    <t>https://www.linkedin.com/pulse/380000-tonsyear-green-methanol-project-china-zhaopeng-cheng/</t>
  </si>
  <si>
    <t>http://www.hfdepo.com/en/3g/display.asp?id=349</t>
  </si>
  <si>
    <t>https://www.chinatexnet.com/textile-news/2023-08-11/949023.html</t>
  </si>
  <si>
    <t>https://www.energypolicy.columbia.edu/wp-content/uploads/2023/10/ChinaHydrogenDevelopment-Commentary_CGEP_102023-4.pdf</t>
  </si>
  <si>
    <t>http://www.shenghonggroup.cn/en/about/fazhan/</t>
  </si>
  <si>
    <t>https://www.yicaiglobal.com/star50news/2023_11_156623962485504344083</t>
  </si>
  <si>
    <t>https://windeyenergy.com/en/news_show?id=108</t>
  </si>
  <si>
    <t>https://qwika.pro/shandong-province-partners-with-hong-kong-groups-for-1-6gw-green-methanol-project/</t>
  </si>
  <si>
    <t>As reported by price reporting agency Argus Media: https://direct.argusmedia.com/newsandanalysis/article/2593775?keywords=german%20e-saf%20project%20scrapped</t>
  </si>
  <si>
    <t>https://www.linkedin.com/posts/itm-power_hydrogen-greentech-energy-activity-7228769913958535169-tHAL/?utm_source=share&amp;utm_medium=member_desktop</t>
  </si>
  <si>
    <t>As reported by price reporting agency Argus Media: https://direct.argusmedia.com/newsandanalysis/article/2591319</t>
  </si>
  <si>
    <t>https://fuelcellsworks.com/news/earthworks-for-fortescues-green-hydrogen-h2v-plant-at-pecem-complex-to-start-by-years-end/?mc_cid=e47b211bf0&amp;mc_eid=da4624d261</t>
  </si>
  <si>
    <t>https://www.h2-view.com/story/westfalen-to-supply-green-hydrogen-to-arcelormittal-france-from-2026/2112715.article/</t>
  </si>
  <si>
    <t>https://fuelcellsworks.com/news/dh2-energy-obtains-environmental-permit-for-the-hysencia-green-hydrogen-plant-in-spain/?mc_cid=4eb6e3a7c2&amp;mc_eid=da4624d261</t>
  </si>
  <si>
    <t>https://www.hydrogeninsight.com/industrial/lithuanias-largest-fertiliser-producer-bags-122m-government-grant-to-replace-grey-hydrogen-with-green-h2/2-1-1677023?utm_campaign=2024-07-16&amp;utm_content=hydrogen&amp;utm_medium=email&amp;utm_source=email_campaign&amp;utm_term=recharge</t>
  </si>
  <si>
    <t>https://gabitelingenieros.com/gabitel_desarrolla_el_proyecto_de_ingenieria_de_una-planta_de_hidrogeno_verde_de-50_mw_e_hidrogenera_en_villarrasa/</t>
  </si>
  <si>
    <t>https://northatlantic.ca/greenenergyhubrelease/</t>
  </si>
  <si>
    <t>https://chinahydrogen.substack.com/p/envision-began-construction-of-its</t>
  </si>
  <si>
    <t>https://castellonplaza.com/la-planta-de-amoniaco-verde-de-ignis-en-castello-1000-millones-100-empleos-y-21-hectareas</t>
  </si>
  <si>
    <t>https://ignis.es/ignis-planta-de-amoniaco-verde-galicia/</t>
  </si>
  <si>
    <t>https://www.linkedin.com/posts/yesh2_chinagreenhydrogennews-activity-7229503862699704325-BQWq?utm_source=share&amp;utm_medium=member_desktop</t>
  </si>
  <si>
    <t>As reported by price reporting agency Argus Media: https://direct.argusmedia.com/newsandanalysis/Article/2598348</t>
  </si>
  <si>
    <t>https://www.h2-view.com/story/fortescue-powers-up-liquid-hydrogen-plant-at-christmas-creek-mine-site/2113755.article/</t>
  </si>
  <si>
    <t>https://exame.com/economia/solatio-fara-maior-usina-de-energia-solar-do-brasil-no-piaui/</t>
  </si>
  <si>
    <t>https://epbr.com.br/white-martins-anuncia-segunda-planta-de-hidrogenio-verde-para-atender-clientes-do-sudeste/</t>
  </si>
  <si>
    <t>https://epbr.com.br/voltalia-assina-pre-contrato-para-producao-de-hidrogenio-verde-no-ceara/</t>
  </si>
  <si>
    <t>https://jc.ne10.uol.com.br/colunas/jc-negocios/2024/04/13/european-energy-aposta-na-producao-do-e-metanol-em-pernambuco-indo-alem-da-producao-do-hidrogenio-verde.htmlv</t>
  </si>
  <si>
    <t>https://portalbenews.com.br/frv-vai-investir-r-27-bilhoes-para-produzir-hidrogenio-verde-no-ceara/</t>
  </si>
  <si>
    <t>https://projetoh2.com.br/brasil-qair-recebeu-aprovacao-em-projeto-de-h2v-no-porto-de-suape/</t>
  </si>
  <si>
    <t>https://petronoticias.com.br/eletronuclear-vai-usar-as-usinas-nucleares-para-produzir-pelo-menos-100-toneladas-de-hidrogenio-verde-por-ano/</t>
  </si>
  <si>
    <t>https://coppe.ufrj.br/planeta-coppe/coppe-inaugura-planta-de-producao-de-hidrogenio-verde/</t>
  </si>
  <si>
    <t>https://www.ceara.gov.br/2024/06/21/semace-preside-audiencia-publica-sobre-eia-rima-de-producao-de-hidrogenio-verde-no-pecem/</t>
  </si>
  <si>
    <t>https://www.brasil.qair.energy/blog/hydrogene-vert/</t>
  </si>
  <si>
    <t>https://www.ameapower.com/press-release-amea-power-signs-agreement-with-the-government-of-egypt-to-deploy-1000mw-green-hydrogen-project/</t>
  </si>
  <si>
    <t>https://image.digitalinsightresearch.in/Uploads/ImageLibrary/Active/MEED/2022/12/PDFs/meed-hydrogen-infographic_2301.pdf</t>
  </si>
  <si>
    <t>https://www.smartenergy.net/smartenergy-signs-mou-with-egypt/</t>
  </si>
  <si>
    <t>https://www.egypttoday.com/Article/3/130746/SK-Ecoplant-CSCEC-cooperate-to-build-2B-green-hydrogen-project</t>
  </si>
  <si>
    <t>https://solarquarter.com/2024/04/17/abu-qir-fertilizers-joins-green-hydrogen-revolution-in-egypt-mou-signed-with-abb-international-and-mps-infrastructure/</t>
  </si>
  <si>
    <t>https://www.prnewswire.com/il/news-releases/doral-energy-and-h2pro-announce-a-strategic-agreement-for-200-mw-electrolyzers-for-green-hydrogen-projects-301597957.html</t>
  </si>
  <si>
    <t>https://doral-energy.com/en/solutions/green-hydrogen/</t>
  </si>
  <si>
    <t>https://gaiaenergyre.com/strategy-of-the-gaia-energy-to-export-green-hydrogen-to-europe/</t>
  </si>
  <si>
    <t>https://www.upstreamonline.com/energy-transition/chinese-contractor-to-build-green-hydrogen-project-in-morocco/2-1-1438501</t>
  </si>
  <si>
    <t>https://northafricapost.com/69683-green-hydrogen-uk-oblin-planning-major-zero-carbon-project-in-moroccan-sahara.html</t>
  </si>
  <si>
    <t>https://www.oblingreen.com/laayoune-project/</t>
  </si>
  <si>
    <t>https://www.moroccoworldnews.com/2023/12/359494/swedish-firm-s2h2-bm-to-open-green-hydrogen-plant-in-morocco</t>
  </si>
  <si>
    <t>https://energynews.biz/oman-shellsleads-blue-hydrogen-ammonia-project/</t>
  </si>
  <si>
    <t>https://www.ogj.com/energy-transition/article/55131133/shell-lets-contracts-for-blue-hydrogen-project-in-oman</t>
  </si>
  <si>
    <t>https://www.power-technology.com/marketdata/power-plant-profile-uniper-masdar-hydrogen-solar-pv-park-united-arab-emirates/</t>
  </si>
  <si>
    <t>https://portodoacu.com.br/en/prumo-and-fuella-as-announce-first-area-reservation-contract-for-hydrogen-hub-at-porto-do-acu/</t>
  </si>
  <si>
    <t>https://live.comune.venezia.it/it/2024/05/parco-dell-idrogeno-e-delle-energie-innovative-la-giunta-licenzia-la-delibera-di-consiglio</t>
  </si>
  <si>
    <t>https://vighy.france-hydrogene.org/projets/lacq-h2/</t>
  </si>
  <si>
    <t>https://www.debatpublic.fr/projet-take-kair-de-production-de-e-carburant-pour-laviation-donges-5829</t>
  </si>
  <si>
    <t>https://www.usinenouvelle.com/article/en-normandie-lhyfe-va-construire-une-usine-d-hydrogene-vert-a-plus-de-200-millions-d-euros-pour-decarboner-le-site-de-yara.N2210027</t>
  </si>
  <si>
    <t>https://www.offshore-energy.biz/feasibility-study-confirms-scale-and-viability-of-10gw-hydrogen-project-in-mauritania/</t>
  </si>
  <si>
    <t>https://www.shell.com/news-and-insights/newsroom/news-and-media-releases/2024/shell-to-build-carbon-capture-and-storage-projects-in-canada.html</t>
  </si>
  <si>
    <t>https://solarquarter.com/2024/04/05/indian-oil-corporation-tenders-for-10-kta-green-hydrogen-unit-at-panipat-refinery/</t>
  </si>
  <si>
    <t>As reported by price reporting agency Argus Media: https://direct.argusmedia.com/newsandanalysis/article/2599424?keywords=Numaligarh%20hydrogen%20tender</t>
  </si>
  <si>
    <t>https://www.energyvoice.com/renewables-energy-transition/hydrogen/uk-hydrogen/553541/rwe-green-hydrogen-at-ineos-grangemouth/</t>
  </si>
  <si>
    <t>https://grenianhydrogen.com/</t>
  </si>
  <si>
    <t>https://www.uniper.energy/solutions/energy-transformation-hubs/energy-transformation-hub-killingholme/humber-h2ubr-green</t>
  </si>
  <si>
    <t>https://mannokbuild.com/mannok-set-to-generate-renewable-energy-with-recent-government-green-hydrogen-fund/</t>
  </si>
  <si>
    <t>https://meld.energy/180m-green-hydrogen-facility-set-for-saltend/</t>
  </si>
  <si>
    <t>https://protium.green/our-projects/</t>
  </si>
  <si>
    <t>https://projectmap.hydrogen-uk.org/projects/edf-tees-green-methanol/</t>
  </si>
  <si>
    <t>https://www.concertation-emilhy.fr/blank</t>
  </si>
  <si>
    <t>https://ammoniaenergy.org/articles/green-ammonia-plant-proposed-for-orkney/</t>
  </si>
  <si>
    <t>https://www.both2nia.com/en/news/et-fuels-plans-produce-synthetic-methanol-ranua-finland</t>
  </si>
  <si>
    <t>https://www.topsoe.com/press-releases/worlds-first-of-its-kind-green-ammonia-plant-inaugurated-by-skovgaard-energy-vestas-and-topsoe</t>
  </si>
  <si>
    <t>As reported by price reporting agency Argus Media: https://direct.argusmedia.com/newsandanalysis/article/2601930</t>
  </si>
  <si>
    <t>https://fuella.no/projects/project-korgen/</t>
  </si>
  <si>
    <t>https://www.greennorth.energy/en/project-development/</t>
  </si>
  <si>
    <t>https://www.greennorth.energy/en/news/green-north-energy-to-replicate-its-business-finland-funded-hydrogen-plant-concept-in-pori-and-kemi-aiming-for-finlands-self-sufficiency-in-ammonia-production/</t>
  </si>
  <si>
    <t>https://greenh.no/en/a-new-hydrogen-plant-at-langstranda-is-on-schedule/</t>
  </si>
  <si>
    <t>https://norconsult.com/projects/green-hydrogen-concept-study-on-hydrogen-production-for-maritime-use-in-kristiansund/</t>
  </si>
  <si>
    <t>https://kommunikasjon.ntb.no/pressemelding/18213794/stor-milepael-for-hydrogen-i-sandnessjoen-nettreservasjonen-er-pa-plass?publisherId=17848591&amp;lang=no</t>
  </si>
  <si>
    <t>https://quadranteglobal.com/en/project/new-hydrogen-unit-vila-velha-de-rodao/</t>
  </si>
  <si>
    <t>https://portodeaveiro.pt/webinar-decarbonising-small-medium-ports/pdfs/session-one/5-Hydrogen-as-an-energy-source-of-the-future-Teresa-Marques.pdf</t>
  </si>
  <si>
    <t>https://www.hychem.pt/pt/economia-circular/hidrogenio</t>
  </si>
  <si>
    <t>https://www.gronregionvestland.no/vaare-hubbar/hardanger-hydrogen-hub</t>
  </si>
  <si>
    <t>https://www.statkraft.com/newsroom/news-and-stories/2023/fortescue-future-industries-secures-renewable-power-supply-from-statkraft-to-planned-green-hydrogenammonia-project-in-hemnes/</t>
  </si>
  <si>
    <t>https://www.hydrogeninsight.com/production/mini-electrolyser-makers-shares-surge-as-it-reveals-eu-approval-for-massive-portuguese-green-hydrogen-project/2-1-1600035?message=[nuxt]+instance+unavailable&amp;stack=&amp;statusCode=404&amp;statusMessage=[nuxt]+instance+unavailable&amp;url=/production/mini-electrolyser-makers-shares-surge-as-it-reveals-eu-approval-for-massive-portuguese-green-hydrogen-project/2-1-1600035</t>
  </si>
  <si>
    <t>https://ir.fusion-fuel.eu/news-releases/news-release-details/fusion-fuel-receives-notification-ipcei-approval-european</t>
  </si>
  <si>
    <t>https://greenstat.no/en/projects/htwo-fuel-as</t>
  </si>
  <si>
    <t>https://www.fjordbase.no/nyhet/hyds-enters-as-new-owner-in-hyfuel-in-floro</t>
  </si>
  <si>
    <t>https://www.lhyfe.com/press/lhyfe-at-the-cutting-edge-of-hydrogen-strategies-with-a-new-800mw-project-in-lubmin-germany-to-supply-the-future-european-hydrogen-backbone-network/</t>
  </si>
  <si>
    <t>https://decarbconnect.com/project/hydrogen-hub-mo/</t>
  </si>
  <si>
    <t>https://gcenode.no/news/giant-hydrogen-plans-in-kvinesdal/</t>
  </si>
  <si>
    <t>https://www.renewableenergyworld.com/hydrogen/landsvirkjun-to-build-hydrogen-production-facility-at-16-mw-ljosifoss-hydropower/#gref</t>
  </si>
  <si>
    <t>https://neptuntromso.no/</t>
  </si>
  <si>
    <t>https://avinor.no/globalassets/_konsern/miljo-lokal/miljorapporter/hydrogen-supply-to-norwegian-airports_240108_update.pdf</t>
  </si>
  <si>
    <t>https://winpowersa.com/cgi-sys/suspendedpage.cgi</t>
  </si>
  <si>
    <t>https://neogreenhydrogen.com/sines-pt</t>
  </si>
  <si>
    <t>https://neogreenhydrogen.com/palmela</t>
  </si>
  <si>
    <t>As reported by price reporting agency Argus Media: https://direct.argusmedia.com/newsandanalysis/Article/2518224</t>
  </si>
  <si>
    <t>As reported by price reporting agency Argus Media: https://direct.argusmedia.com/newsandanalysis/article/2285320</t>
  </si>
  <si>
    <t>As reported by price reporting agency Argus Media: https://direct.argusmedia.com/newsandanalysis/Article/2518618</t>
  </si>
  <si>
    <t>As reported by price reporting agency Argus Media: https://direct.argusmedia.com/newsandanalysis/Article/2519074</t>
  </si>
  <si>
    <t>https://www.cic-hydrogen.com/projects/green-springs-hydrogen/</t>
  </si>
  <si>
    <t>As reported by price reporting agency Argus Media: https://direct.argusmedia.com/newsandanalysis/Article/2519605</t>
  </si>
  <si>
    <t>As reported by price reporting agency Argus Media: https://direct.argusmedia.com/newsandanalysis/Article/2519642</t>
  </si>
  <si>
    <t>https://vikenhydrogen.no/skal-utvikle-gront-hydrogen-til-industri-og-skipsfart-pa-ora-en-milepael-for-hydrogensatsingen/</t>
  </si>
  <si>
    <t>https://www.puhuri.fi/raahen-monivoiman-uusien-energiaratkaisujen-pilottihanke-etenee-temlta-hankkeelle-yli-5-miljoonan-euron-tuki/</t>
  </si>
  <si>
    <t>As reported by price reporting agency Argus Media: https://direct.argusmedia.com/newsandanalysis/Article/2520252</t>
  </si>
  <si>
    <t>https://www.kauppalehti.fi/kumppanisisallot/kouvola-innovation/vihrea-vety-ja-kiertotalouden-maksimointi-nain-kouvolalaiset-yritykset-taistelevat-ilmastonmuutosta-vastaan/</t>
  </si>
  <si>
    <t>As reported by price reporting agency Argus Media: https://direct.argusmedia.com/newsandanalysis/Article/2521215</t>
  </si>
  <si>
    <t>https://www.forh2e.com/cs/projekty-a-reference/vodikovy-strategicky-projekt-h.html</t>
  </si>
  <si>
    <t>As reported by price reporting agency Argus Media: https://direct.argusmedia.com/newsandanalysis/Article/2521454</t>
  </si>
  <si>
    <t>As reported by price reporting agency Argus Media: https://direct.argusmedia.com/newsandanalysis/Article/2558006</t>
  </si>
  <si>
    <t>https://www.h2-view.com/story/air-liquide-inaugurates-20mw-german-green-hydrogen-plant-for-pipeline-supply/2114010.article/</t>
  </si>
  <si>
    <t>As reported by price reporting agency Argus Media: https://direct.argusmedia.com/newsandanalysis/Article/2524456</t>
  </si>
  <si>
    <t>As reported by price reporting agency Argus Media: https://direct.argusmedia.com/newsandanalysis/Article/2559167</t>
  </si>
  <si>
    <t>As reported by price reporting agency Argus Media: https://direct.argusmedia.com/newsandanalysis/Article/2543748</t>
  </si>
  <si>
    <t>As reported by price reporting agency Argus Media: https://direct.argusmedia.com/newsandanalysis/Article/2600505</t>
  </si>
  <si>
    <t>As reported by price reporting agency Argus Media: https://direct.argusmedia.com/newsandanalysis/Article/2525501</t>
  </si>
  <si>
    <t>https://www.hydrogen.energy.gov/docs/hydrogenprogramlibraries/pdfs/review23/lpo001_ducker_2023_o-pdf.pdf</t>
  </si>
  <si>
    <t>As reported by price reporting agency Argus Media: https://direct.argusmedia.com/newsandanalysis/Article/2556212</t>
  </si>
  <si>
    <t>https://www.lhyfe.com/press/lhyfe-and-saf-international-group-sign-a-memorandum-of-understanding-to-decarbonise-the-aviation-industry-using-green-hydrogen/</t>
  </si>
  <si>
    <t>As reported by price reporting agency Argus Media: https://direct.argusmedia.com/newsandanalysis/Article/2600209</t>
  </si>
  <si>
    <t>As reported by price reporting agency Argus Media: https://direct.argusmedia.com/newsandanalysis/Article/2554152</t>
  </si>
  <si>
    <t>As reported by price reporting agency Argus Media: https://direct.argusmedia.com/newsandanalysis/Article/2547060</t>
  </si>
  <si>
    <t>As reported by price reporting agency Argus Media: https://direct.argusmedia.com/newsandanalysis/Article/2526213</t>
  </si>
  <si>
    <t>As reported by price reporting agency Argus Media: https://direct.argusmedia.com/newsandanalysis/Article/2526588</t>
  </si>
  <si>
    <t>As reported by price reporting agency Argus Media: https://direct.argusmedia.com/newsandanalysis/Article/2526316</t>
  </si>
  <si>
    <t>As reported by price reporting agency Argus Media: https://direct.argusmedia.com/newsandanalysis/Article/2559070</t>
  </si>
  <si>
    <t>As reported by price reporting agency Argus Media: https://direct.argusmedia.com/newsandanalysis/Article/2551169</t>
  </si>
  <si>
    <t>As reported by price reporting agency Argus Media: https://direct.argusmedia.com/newsandanalysis/Article/2580464</t>
  </si>
  <si>
    <t>As reported by price reporting agency Argus Media: https://direct.argusmedia.com/newsandanalysis/Article/2581240</t>
  </si>
  <si>
    <t>As reported by price reporting agency Argus Media: https://direct.argusmedia.com/newsandanalysis/Article/2542279</t>
  </si>
  <si>
    <t>As reported by price reporting agency Argus Media: https://direct.argusmedia.com/newsandanalysis/Article/2564926</t>
  </si>
  <si>
    <t>https://www.stadtwerke-stuttgart.de/partner-der-energiewende/h2g/</t>
  </si>
  <si>
    <t>https://www.h2-view.com/story/large-scale-methanol-project-in-portugal-secures-25mw-of-plug-electrolysers/2114810.article/</t>
  </si>
  <si>
    <t>https://www.capwatt.com/pt/apoios/h2driven</t>
  </si>
  <si>
    <t>https://gen2energy.com/gen2-energy-updated-chancellor-scholz-and-prime-minister-store-of-their-latest-news-for-export-of-green-hydrogen-from-norway-to-germany/?_gl=1*19j8ygn*_up*MQ..*_ga*NDI1NDc2MDg2LjE3MjY1NjU3NDI.*_ga_2G9JLTXMYT*MTcyNjU2NTc0MS4xLjEuMTcyNjU2NTg1NC4wLjAuMA..</t>
  </si>
  <si>
    <t>https://www.infener.com/blogs/newsroom/neumunster-gives-the-green-light-for-infener-hub-50-mw-project-for-green-hydrogen-planned</t>
  </si>
  <si>
    <t>https://chinahydrogen.substack.com/p/chinas-first-biogas-to-hydrogen-facility</t>
  </si>
  <si>
    <t>Technology types</t>
  </si>
  <si>
    <t>Conversion factor</t>
  </si>
  <si>
    <t>Grid/Dedicated</t>
  </si>
  <si>
    <t>Load Factors</t>
  </si>
  <si>
    <t>Type of renewable</t>
  </si>
  <si>
    <t>Cancelled</t>
  </si>
  <si>
    <t>Removed</t>
  </si>
  <si>
    <t>Hysata tech</t>
  </si>
  <si>
    <t>MODELLING</t>
  </si>
  <si>
    <t>Model</t>
  </si>
  <si>
    <t>Scenario</t>
  </si>
  <si>
    <t>Supply</t>
  </si>
  <si>
    <t>STEPS</t>
  </si>
  <si>
    <t>Industry</t>
  </si>
  <si>
    <t>SDS</t>
  </si>
  <si>
    <t>Both</t>
  </si>
  <si>
    <t>None</t>
  </si>
  <si>
    <t>Supply regions</t>
  </si>
  <si>
    <t>Supply applications</t>
  </si>
  <si>
    <t>Supply technologies</t>
  </si>
  <si>
    <t>New/replace</t>
  </si>
  <si>
    <t>CO2 origin</t>
  </si>
  <si>
    <t>Merchant</t>
  </si>
  <si>
    <t>Natural gas w/o CO2 capture</t>
  </si>
  <si>
    <t>New capacity</t>
  </si>
  <si>
    <t>Biogenic</t>
  </si>
  <si>
    <t>Natural gas w/ CO2 capture</t>
  </si>
  <si>
    <t>Replace existing</t>
  </si>
  <si>
    <t>Grid (excess renewable)</t>
  </si>
  <si>
    <t>Fossil</t>
  </si>
  <si>
    <t>Natural gas w/ CO2 capture for ammonia production</t>
  </si>
  <si>
    <t>DAC</t>
  </si>
  <si>
    <t>CASP</t>
  </si>
  <si>
    <t>Hard coal w/o CO2 capture</t>
  </si>
  <si>
    <t>Mixed</t>
  </si>
  <si>
    <t>SynCH4</t>
  </si>
  <si>
    <t>Hard coal w/ CO2 capture</t>
  </si>
  <si>
    <t>CSAA</t>
  </si>
  <si>
    <t>Biomass w/o CO2 capture</t>
  </si>
  <si>
    <t>CSAB</t>
  </si>
  <si>
    <t>Biomass w/ CO2 capture</t>
  </si>
  <si>
    <t>EUA</t>
  </si>
  <si>
    <t>Electricity</t>
  </si>
  <si>
    <t>EUB</t>
  </si>
  <si>
    <t>EUC</t>
  </si>
  <si>
    <t>MEA</t>
  </si>
  <si>
    <t>NAFR</t>
  </si>
  <si>
    <t>NDE</t>
  </si>
  <si>
    <t>NDN</t>
  </si>
  <si>
    <t>OAFR</t>
  </si>
  <si>
    <t>OASE</t>
  </si>
  <si>
    <t>ODA</t>
  </si>
  <si>
    <t>OEURA</t>
  </si>
  <si>
    <t>OEURB</t>
  </si>
  <si>
    <t>Industry regions</t>
  </si>
  <si>
    <t>Industry applications</t>
  </si>
  <si>
    <t>Imported Hydrogen from supply</t>
  </si>
  <si>
    <t>Buildings regions</t>
  </si>
  <si>
    <t>Buildings uses</t>
  </si>
  <si>
    <t>Transport regions</t>
  </si>
  <si>
    <t>AUNZ</t>
  </si>
  <si>
    <t>H2 DRI</t>
  </si>
  <si>
    <t>Residential</t>
  </si>
  <si>
    <t>ASEAN9</t>
  </si>
  <si>
    <t>BRAZIL</t>
  </si>
  <si>
    <t>DRI blending</t>
  </si>
  <si>
    <t>Brazil</t>
  </si>
  <si>
    <t>Non Res - Education</t>
  </si>
  <si>
    <t>ATE</t>
  </si>
  <si>
    <t>BF blending</t>
  </si>
  <si>
    <t>Non Res - Health</t>
  </si>
  <si>
    <t>Australia and NZ</t>
  </si>
  <si>
    <t>Electrolytic NH3</t>
  </si>
  <si>
    <t>Non Res - Hospitality</t>
  </si>
  <si>
    <t>Electrolytic MeOH</t>
  </si>
  <si>
    <t>China</t>
  </si>
  <si>
    <t>Non Res - Office</t>
  </si>
  <si>
    <t>Canada</t>
  </si>
  <si>
    <t>CHINA</t>
  </si>
  <si>
    <t>NG pyrolysis</t>
  </si>
  <si>
    <t>CSAMa</t>
  </si>
  <si>
    <t>Non Res - Trade</t>
  </si>
  <si>
    <t>Chile</t>
  </si>
  <si>
    <t>CCUS (look CCUS database)</t>
  </si>
  <si>
    <t>CSAMb</t>
  </si>
  <si>
    <t>Non Res - Commercial</t>
  </si>
  <si>
    <t>Other iron and steel</t>
  </si>
  <si>
    <t>Non Res - Leisure/Other</t>
  </si>
  <si>
    <t>Colombia</t>
  </si>
  <si>
    <t>Other chemicals</t>
  </si>
  <si>
    <t>Residential and non-residential</t>
  </si>
  <si>
    <t>EU 5</t>
  </si>
  <si>
    <t>Non-metallic minerals</t>
  </si>
  <si>
    <t>EU14</t>
  </si>
  <si>
    <t>EU Nordic</t>
  </si>
  <si>
    <t>EUc</t>
  </si>
  <si>
    <t>Non-specified other industry</t>
  </si>
  <si>
    <t>EU20-EUG4</t>
  </si>
  <si>
    <t>India</t>
  </si>
  <si>
    <t>INDIA</t>
  </si>
  <si>
    <t>Indonesia</t>
  </si>
  <si>
    <t>INDO</t>
  </si>
  <si>
    <t>Israel</t>
  </si>
  <si>
    <t>Japan</t>
  </si>
  <si>
    <t>Korea</t>
  </si>
  <si>
    <t>Mexico</t>
  </si>
  <si>
    <t>Middle East</t>
  </si>
  <si>
    <t>ME</t>
  </si>
  <si>
    <t>Non-EU Nordic</t>
  </si>
  <si>
    <t>Non-EU OE2</t>
  </si>
  <si>
    <t>North Africa</t>
  </si>
  <si>
    <t>NZ</t>
  </si>
  <si>
    <t>OETE</t>
  </si>
  <si>
    <t>OASEANe</t>
  </si>
  <si>
    <t>OASEAN</t>
  </si>
  <si>
    <t>Other Africa</t>
  </si>
  <si>
    <t>OASIA</t>
  </si>
  <si>
    <t>OOETE</t>
  </si>
  <si>
    <t>OE2</t>
  </si>
  <si>
    <t>Other Latin America</t>
  </si>
  <si>
    <t>OTOECDEU</t>
  </si>
  <si>
    <t>OEURb</t>
  </si>
  <si>
    <t>Russia</t>
  </si>
  <si>
    <t>South Africa</t>
  </si>
  <si>
    <t>SAFR</t>
  </si>
  <si>
    <t>UK</t>
  </si>
  <si>
    <t>US</t>
  </si>
  <si>
    <t>ISO-3 Code</t>
  </si>
  <si>
    <t>ABW</t>
  </si>
  <si>
    <t>Aruba</t>
  </si>
  <si>
    <t>AFG</t>
  </si>
  <si>
    <t>Afghanistan</t>
  </si>
  <si>
    <t>Angola</t>
  </si>
  <si>
    <t>Albania</t>
  </si>
  <si>
    <t>United Arab Emirates</t>
  </si>
  <si>
    <t>Argentina</t>
  </si>
  <si>
    <t>ARM</t>
  </si>
  <si>
    <t>Armenia</t>
  </si>
  <si>
    <t>ASM</t>
  </si>
  <si>
    <t>American Samoa</t>
  </si>
  <si>
    <t>ATG</t>
  </si>
  <si>
    <t>Antigua and Barbuda</t>
  </si>
  <si>
    <t>Australia</t>
  </si>
  <si>
    <t>AZE</t>
  </si>
  <si>
    <t>Azerbaijan</t>
  </si>
  <si>
    <t>BDI</t>
  </si>
  <si>
    <t>Burundi</t>
  </si>
  <si>
    <t>BEN</t>
  </si>
  <si>
    <t>Benin</t>
  </si>
  <si>
    <t>BFA</t>
  </si>
  <si>
    <t>Burkina Faso</t>
  </si>
  <si>
    <t>Bangladesh</t>
  </si>
  <si>
    <t>Bulgaria</t>
  </si>
  <si>
    <t>Bahrain</t>
  </si>
  <si>
    <t>BHS</t>
  </si>
  <si>
    <t>Bahamas</t>
  </si>
  <si>
    <t>BIH</t>
  </si>
  <si>
    <t>Bosnia and Herzegovina</t>
  </si>
  <si>
    <t>BLR</t>
  </si>
  <si>
    <t>Belarus</t>
  </si>
  <si>
    <t>BLZ</t>
  </si>
  <si>
    <t>Belize</t>
  </si>
  <si>
    <t>BMU</t>
  </si>
  <si>
    <t>Bermuda</t>
  </si>
  <si>
    <t>BOL</t>
  </si>
  <si>
    <t>Bolivia</t>
  </si>
  <si>
    <t>BRN</t>
  </si>
  <si>
    <t>Brunei Darussalam</t>
  </si>
  <si>
    <t>BTN</t>
  </si>
  <si>
    <t>Bhutan</t>
  </si>
  <si>
    <t>Botswana</t>
  </si>
  <si>
    <t>CAF</t>
  </si>
  <si>
    <t>Central African Republic</t>
  </si>
  <si>
    <t>People's Republic of China</t>
  </si>
  <si>
    <t>CIV</t>
  </si>
  <si>
    <t>Côte d'Ivoire</t>
  </si>
  <si>
    <t>CMR</t>
  </si>
  <si>
    <t>Cameroon</t>
  </si>
  <si>
    <t>Democratic Republic of the Congo</t>
  </si>
  <si>
    <t>COG</t>
  </si>
  <si>
    <t>Congo</t>
  </si>
  <si>
    <t>Cook Islands</t>
  </si>
  <si>
    <t>COM</t>
  </si>
  <si>
    <t>Comoros</t>
  </si>
  <si>
    <t>CPV</t>
  </si>
  <si>
    <t>Cabo Verde</t>
  </si>
  <si>
    <t>Costa Rica</t>
  </si>
  <si>
    <t>CUB</t>
  </si>
  <si>
    <t>Cuba</t>
  </si>
  <si>
    <t>CUW</t>
  </si>
  <si>
    <t>Curaçao</t>
  </si>
  <si>
    <t>CYM</t>
  </si>
  <si>
    <t>Cayman Islands</t>
  </si>
  <si>
    <t>Cyprus</t>
  </si>
  <si>
    <t>Djibouti</t>
  </si>
  <si>
    <t>Dominica</t>
  </si>
  <si>
    <t>Dominican Republic</t>
  </si>
  <si>
    <t>Algeria</t>
  </si>
  <si>
    <t>ECU</t>
  </si>
  <si>
    <t>Ecuador</t>
  </si>
  <si>
    <t>Egypt</t>
  </si>
  <si>
    <t>ERI</t>
  </si>
  <si>
    <t>Eritrea</t>
  </si>
  <si>
    <t>ETH</t>
  </si>
  <si>
    <t>Ethiopia</t>
  </si>
  <si>
    <t>Fiji</t>
  </si>
  <si>
    <t>FLK</t>
  </si>
  <si>
    <t>Falkland Islands (Malvinas)</t>
  </si>
  <si>
    <t>GAB</t>
  </si>
  <si>
    <t>Gabon</t>
  </si>
  <si>
    <t>GEO</t>
  </si>
  <si>
    <t>Georgia</t>
  </si>
  <si>
    <t>GHA</t>
  </si>
  <si>
    <t>Ghana</t>
  </si>
  <si>
    <t>GIB</t>
  </si>
  <si>
    <t>Gibraltar</t>
  </si>
  <si>
    <t>GIN</t>
  </si>
  <si>
    <t>Guinea</t>
  </si>
  <si>
    <t>GLP</t>
  </si>
  <si>
    <t>Guadeloupe</t>
  </si>
  <si>
    <t>GMB</t>
  </si>
  <si>
    <t>Gambia</t>
  </si>
  <si>
    <t>GNB</t>
  </si>
  <si>
    <t>Guinea-Bissau</t>
  </si>
  <si>
    <t>GNQ</t>
  </si>
  <si>
    <t>Equatorial Guinea</t>
  </si>
  <si>
    <t>GRD</t>
  </si>
  <si>
    <t>Grenada</t>
  </si>
  <si>
    <t>GTM</t>
  </si>
  <si>
    <t>Guatemala</t>
  </si>
  <si>
    <t>GUF</t>
  </si>
  <si>
    <t>GUM</t>
  </si>
  <si>
    <t>Guam</t>
  </si>
  <si>
    <t>GUY</t>
  </si>
  <si>
    <t>Guyana</t>
  </si>
  <si>
    <t>HKG</t>
  </si>
  <si>
    <t>Hong Kong, China</t>
  </si>
  <si>
    <t>HND</t>
  </si>
  <si>
    <t>Honduras</t>
  </si>
  <si>
    <t>Croatia</t>
  </si>
  <si>
    <t>HTI</t>
  </si>
  <si>
    <t>Haiti</t>
  </si>
  <si>
    <t>Ireland</t>
  </si>
  <si>
    <t>Islamic Republic of Iran</t>
  </si>
  <si>
    <t>IRQ</t>
  </si>
  <si>
    <t>Iraq</t>
  </si>
  <si>
    <t>JAM</t>
  </si>
  <si>
    <t>Jamaica</t>
  </si>
  <si>
    <t>Jordan</t>
  </si>
  <si>
    <t>Kazakhstan</t>
  </si>
  <si>
    <t>Kenya</t>
  </si>
  <si>
    <t>KGZ</t>
  </si>
  <si>
    <t>Kyrgyz Republic</t>
  </si>
  <si>
    <t>KHM</t>
  </si>
  <si>
    <t>Cambodia</t>
  </si>
  <si>
    <t>KIR</t>
  </si>
  <si>
    <t>Kiribati</t>
  </si>
  <si>
    <t>KNA</t>
  </si>
  <si>
    <t>Saint Kitts and Nevis</t>
  </si>
  <si>
    <t>KWT</t>
  </si>
  <si>
    <t>Kuwait</t>
  </si>
  <si>
    <t>LAO</t>
  </si>
  <si>
    <t>Lao People's Democratic Republic</t>
  </si>
  <si>
    <t>Lebanon</t>
  </si>
  <si>
    <t>LBR</t>
  </si>
  <si>
    <t>Liberia</t>
  </si>
  <si>
    <t>LBY</t>
  </si>
  <si>
    <t>Libya</t>
  </si>
  <si>
    <t>LCA</t>
  </si>
  <si>
    <t>Saint Lucia</t>
  </si>
  <si>
    <t>Sri Lanka</t>
  </si>
  <si>
    <t>LSO</t>
  </si>
  <si>
    <t>Lesotho</t>
  </si>
  <si>
    <t>Luxembourg</t>
  </si>
  <si>
    <t>Latvia</t>
  </si>
  <si>
    <t>MAC</t>
  </si>
  <si>
    <t>China, Macao SAR</t>
  </si>
  <si>
    <t>Morocco</t>
  </si>
  <si>
    <t>MCO</t>
  </si>
  <si>
    <t>Monaco</t>
  </si>
  <si>
    <t>MDA</t>
  </si>
  <si>
    <t>Republic of Moldova</t>
  </si>
  <si>
    <t>MDG</t>
  </si>
  <si>
    <t>Madagascar</t>
  </si>
  <si>
    <t>MDV</t>
  </si>
  <si>
    <t>Maldives</t>
  </si>
  <si>
    <t>MKD</t>
  </si>
  <si>
    <t>North Macedonia</t>
  </si>
  <si>
    <t>MLI</t>
  </si>
  <si>
    <t>Mali</t>
  </si>
  <si>
    <t>MLT</t>
  </si>
  <si>
    <t>Malta</t>
  </si>
  <si>
    <t>MMR</t>
  </si>
  <si>
    <t>Myanmar</t>
  </si>
  <si>
    <t>MNE</t>
  </si>
  <si>
    <t>Montenegro</t>
  </si>
  <si>
    <t>Mongolia</t>
  </si>
  <si>
    <t>MNP</t>
  </si>
  <si>
    <t>Northern Mariana Islands</t>
  </si>
  <si>
    <t>Mozambique</t>
  </si>
  <si>
    <t>Mauritania</t>
  </si>
  <si>
    <t>MSR</t>
  </si>
  <si>
    <t>Montserrat</t>
  </si>
  <si>
    <t>MTQ</t>
  </si>
  <si>
    <t>Martinique</t>
  </si>
  <si>
    <t>MUS</t>
  </si>
  <si>
    <t>Mauritius</t>
  </si>
  <si>
    <t>MWI</t>
  </si>
  <si>
    <t>Malawi</t>
  </si>
  <si>
    <t>Malaysia</t>
  </si>
  <si>
    <t>Namibia</t>
  </si>
  <si>
    <t>NCL</t>
  </si>
  <si>
    <t>New Caledonia</t>
  </si>
  <si>
    <t>Niger</t>
  </si>
  <si>
    <t>NGA</t>
  </si>
  <si>
    <t>Nigeria</t>
  </si>
  <si>
    <t>NIC</t>
  </si>
  <si>
    <t>Nicaragua</t>
  </si>
  <si>
    <t>NPL</t>
  </si>
  <si>
    <t>Nepal</t>
  </si>
  <si>
    <t>New Zealand</t>
  </si>
  <si>
    <t>Oman</t>
  </si>
  <si>
    <t>Pakistan</t>
  </si>
  <si>
    <t>Panama</t>
  </si>
  <si>
    <t>Peru</t>
  </si>
  <si>
    <t>Philippines</t>
  </si>
  <si>
    <t>PLW</t>
  </si>
  <si>
    <t>Palau</t>
  </si>
  <si>
    <t>PNG</t>
  </si>
  <si>
    <t>Papua New Guinea</t>
  </si>
  <si>
    <t>PRI</t>
  </si>
  <si>
    <t>Puerto Rico</t>
  </si>
  <si>
    <t>PRK</t>
  </si>
  <si>
    <t>Dem. People's Rep. of Korea</t>
  </si>
  <si>
    <t>Paraguay</t>
  </si>
  <si>
    <t>PYF</t>
  </si>
  <si>
    <t>French Polynesia</t>
  </si>
  <si>
    <t>Qatar</t>
  </si>
  <si>
    <t>REU</t>
  </si>
  <si>
    <t>Réunion</t>
  </si>
  <si>
    <t>Russian Federation</t>
  </si>
  <si>
    <t>RWA</t>
  </si>
  <si>
    <t>Rwanda</t>
  </si>
  <si>
    <t>Saudi Arabia</t>
  </si>
  <si>
    <t>SDN</t>
  </si>
  <si>
    <t>Sudan</t>
  </si>
  <si>
    <t>SEN</t>
  </si>
  <si>
    <t>Senegal</t>
  </si>
  <si>
    <t>Singapore</t>
  </si>
  <si>
    <t>SLB</t>
  </si>
  <si>
    <t>Solomon Islands</t>
  </si>
  <si>
    <t>SLE</t>
  </si>
  <si>
    <t>Sierra Leone</t>
  </si>
  <si>
    <t>SLV</t>
  </si>
  <si>
    <t>El Salvador</t>
  </si>
  <si>
    <t>SMR</t>
  </si>
  <si>
    <t>San Marino</t>
  </si>
  <si>
    <t>SOM</t>
  </si>
  <si>
    <t>Somalia</t>
  </si>
  <si>
    <t>SPM</t>
  </si>
  <si>
    <t>Saint Pierre and Miquelon</t>
  </si>
  <si>
    <t>Serbia</t>
  </si>
  <si>
    <t>SSD</t>
  </si>
  <si>
    <t>South Sudan</t>
  </si>
  <si>
    <t>STP</t>
  </si>
  <si>
    <t>Sao Tome and Principe</t>
  </si>
  <si>
    <t>SUR</t>
  </si>
  <si>
    <t>Suriname</t>
  </si>
  <si>
    <t>Slovak Republic</t>
  </si>
  <si>
    <t>SWZ</t>
  </si>
  <si>
    <t>Swaziland</t>
  </si>
  <si>
    <t>SYC</t>
  </si>
  <si>
    <t>Seychelles</t>
  </si>
  <si>
    <t>SYR</t>
  </si>
  <si>
    <t>Syrian Arab Republic</t>
  </si>
  <si>
    <t>TCA</t>
  </si>
  <si>
    <t>Turks and Caicos Islands</t>
  </si>
  <si>
    <t>TCD</t>
  </si>
  <si>
    <t>Chad</t>
  </si>
  <si>
    <t>TGO</t>
  </si>
  <si>
    <t>Togo</t>
  </si>
  <si>
    <t>Thailand</t>
  </si>
  <si>
    <t>TJK</t>
  </si>
  <si>
    <t>Tajikistan</t>
  </si>
  <si>
    <t>TKM</t>
  </si>
  <si>
    <t>Turkmenistan</t>
  </si>
  <si>
    <t>TLS</t>
  </si>
  <si>
    <t>Timor-Leste</t>
  </si>
  <si>
    <t>TON</t>
  </si>
  <si>
    <t>Tonga</t>
  </si>
  <si>
    <t>Trinidad and Tobago</t>
  </si>
  <si>
    <t>Tunisia</t>
  </si>
  <si>
    <t>Turkey</t>
  </si>
  <si>
    <t>Chinese Taipei</t>
  </si>
  <si>
    <t>TZA</t>
  </si>
  <si>
    <t>United Republic of Tanzania</t>
  </si>
  <si>
    <t>Uganda</t>
  </si>
  <si>
    <t>Ukraine</t>
  </si>
  <si>
    <t>Uruguay</t>
  </si>
  <si>
    <t>United States</t>
  </si>
  <si>
    <t>Uzbekistan</t>
  </si>
  <si>
    <t>VAT</t>
  </si>
  <si>
    <t>Holy See</t>
  </si>
  <si>
    <t>VCT</t>
  </si>
  <si>
    <t>Saint Vincent and the Grenadines</t>
  </si>
  <si>
    <t>VEN</t>
  </si>
  <si>
    <t>Venezuela</t>
  </si>
  <si>
    <t>VGB</t>
  </si>
  <si>
    <t>British Virgin Islands</t>
  </si>
  <si>
    <t>VIR</t>
  </si>
  <si>
    <t>United States Virgin Islands</t>
  </si>
  <si>
    <t>Viet Nam</t>
  </si>
  <si>
    <t>VUT</t>
  </si>
  <si>
    <t>Vanuatu</t>
  </si>
  <si>
    <t>WSM</t>
  </si>
  <si>
    <t>Samoa</t>
  </si>
  <si>
    <t>XKX</t>
  </si>
  <si>
    <t>Kosovo</t>
  </si>
  <si>
    <t>YEM</t>
  </si>
  <si>
    <t>Yemen</t>
  </si>
  <si>
    <t>ZMB</t>
  </si>
  <si>
    <t>Zambia</t>
  </si>
  <si>
    <t>Zimbabwe</t>
  </si>
  <si>
    <r>
      <rPr>
        <rFont val="Corbel"/>
        <b/>
        <color rgb="FF004BFF"/>
        <sz val="11.0"/>
      </rPr>
      <t xml:space="preserve">Scope
</t>
    </r>
    <r>
      <rPr>
        <rFont val="Corbel"/>
        <b val="0"/>
        <color rgb="FF7F7F7F"/>
        <sz val="9.0"/>
      </rPr>
      <t>The IEA produced this dataset as part of efforts to track advances in carbon capture, utilisation, and storage (CCUS). It covers all CO</t>
    </r>
    <r>
      <rPr>
        <rFont val="Corbel"/>
        <b val="0"/>
        <color rgb="FF7F7F7F"/>
        <sz val="9.0"/>
        <vertAlign val="subscript"/>
      </rPr>
      <t>2</t>
    </r>
    <r>
      <rPr>
        <rFont val="Corbel"/>
        <b val="0"/>
        <color rgb="FF7F7F7F"/>
        <sz val="9.0"/>
      </rPr>
      <t xml:space="preserve"> capture, transport, storage, and utilisation projects worldwide that have been commissioned since the 1970s, with an announced capacity </t>
    </r>
    <r>
      <rPr>
        <rFont val="Corbel"/>
        <b/>
        <color rgb="FFFF0000"/>
        <sz val="9.0"/>
      </rPr>
      <t>of more than 100 000 t per year</t>
    </r>
    <r>
      <rPr>
        <rFont val="Corbel"/>
        <b val="0"/>
        <color rgb="FF7F7F7F"/>
        <sz val="9.0"/>
      </rPr>
      <t xml:space="preserve"> (or 1000 t per year for direct air capture facilities). It includes projects with a clear emissions reduction scope, and excludes CO</t>
    </r>
    <r>
      <rPr>
        <rFont val="Corbel"/>
        <b val="0"/>
        <color rgb="FF7F7F7F"/>
        <sz val="9.0"/>
        <vertAlign val="subscript"/>
      </rPr>
      <t>2</t>
    </r>
    <r>
      <rPr>
        <rFont val="Corbel"/>
        <b val="0"/>
        <color rgb="FF7F7F7F"/>
        <sz val="9.0"/>
      </rPr>
      <t xml:space="preserve"> capture for utilisation pathways which bring low climate benefits (e.g. food and beverages) or which are part of the conventional industrial process (e.g. internal use for urea production), as well as use of naturally occurring CO</t>
    </r>
    <r>
      <rPr>
        <rFont val="Corbel"/>
        <b val="0"/>
        <color rgb="FF7F7F7F"/>
        <sz val="9.0"/>
        <vertAlign val="subscript"/>
      </rPr>
      <t>2</t>
    </r>
    <r>
      <rPr>
        <rFont val="Corbel"/>
        <b val="0"/>
        <color rgb="FF7F7F7F"/>
        <sz val="9.0"/>
      </rPr>
      <t xml:space="preserve"> for enhanced oil recovery </t>
    </r>
    <r>
      <rPr>
        <rFont val="Corbel"/>
        <b val="0"/>
        <color rgb="FFFF0000"/>
        <sz val="9.0"/>
      </rPr>
      <t>(EOR).</t>
    </r>
    <r>
      <rPr>
        <rFont val="Corbel"/>
        <b/>
        <color rgb="FF004BFF"/>
        <sz val="11.0"/>
      </rPr>
      <t xml:space="preserve">
</t>
    </r>
    <r>
      <rPr>
        <rFont val="Corbel"/>
        <b val="0"/>
        <color rgb="FF7F7F7F"/>
        <sz val="9.0"/>
      </rPr>
      <t>When the capacity is unknown, only projects with a clear commercial scope are included. If an industrial cluster has been announced, only identified CO</t>
    </r>
    <r>
      <rPr>
        <rFont val="Corbel"/>
        <b val="0"/>
        <color rgb="FF7F7F7F"/>
        <sz val="9.0"/>
        <vertAlign val="subscript"/>
      </rPr>
      <t>2</t>
    </r>
    <r>
      <rPr>
        <rFont val="Corbel"/>
        <b val="0"/>
        <color rgb="FF7F7F7F"/>
        <sz val="9.0"/>
      </rPr>
      <t xml:space="preserve"> capture projects within this cluster are included (i.e. it does not include the full potential capture capacity of industrial clusters for which capture sources are not specified). Capture projects for CO</t>
    </r>
    <r>
      <rPr>
        <rFont val="Corbel"/>
        <b val="0"/>
        <color rgb="FF7F7F7F"/>
        <sz val="9.0"/>
        <vertAlign val="subscript"/>
      </rPr>
      <t>2</t>
    </r>
    <r>
      <rPr>
        <rFont val="Corbel"/>
        <b val="0"/>
        <color rgb="FF7F7F7F"/>
        <sz val="9.0"/>
      </rPr>
      <t xml:space="preserve"> use are included as long as the source of the CO</t>
    </r>
    <r>
      <rPr>
        <rFont val="Corbel"/>
        <b val="0"/>
        <color rgb="FF7F7F7F"/>
        <sz val="9.0"/>
        <vertAlign val="subscript"/>
      </rPr>
      <t>2</t>
    </r>
    <r>
      <rPr>
        <rFont val="Corbel"/>
        <b val="0"/>
        <color rgb="FF7F7F7F"/>
        <sz val="9.0"/>
      </rPr>
      <t xml:space="preserve"> (i.e. capture facility) has been clearly identified. 
</t>
    </r>
    <r>
      <rPr>
        <rFont val="Corbel"/>
        <b/>
        <color rgb="FFFF0000"/>
        <sz val="9.0"/>
      </rPr>
      <t xml:space="preserve">
Change for 2025 edition</t>
    </r>
    <r>
      <rPr>
        <rFont val="Corbel"/>
        <b val="0"/>
        <color rgb="FF7F7F7F"/>
        <sz val="9.0"/>
      </rPr>
      <t>: selected company-level long-term ‘expansion scenarios’ for DAC were previously included in the database given relative flexibility of DAC siting compared to point-source projects, but have now been excluded to focus on well-defined facility-level projects.
Projects are categorised by type (capture, full chain, transport, storage, CCU), sector of point source (fuel transformation, power and heat, industry, direct air capture, etc.), and fate of CO</t>
    </r>
    <r>
      <rPr>
        <rFont val="Corbel"/>
        <b val="0"/>
        <color rgb="FF7F7F7F"/>
        <sz val="9.0"/>
        <vertAlign val="subscript"/>
      </rPr>
      <t>2</t>
    </r>
    <r>
      <rPr>
        <rFont val="Corbel"/>
        <b val="0"/>
        <color rgb="FF7F7F7F"/>
        <sz val="9.0"/>
      </rPr>
      <t xml:space="preserve"> (dedicated storage, EOR, utilisation, unknown/unspecified). Detailed definitions for each column are available in the </t>
    </r>
    <r>
      <rPr>
        <rFont val="Corbel"/>
        <b/>
        <color rgb="FFFF0000"/>
        <sz val="9.0"/>
      </rPr>
      <t>Definitions</t>
    </r>
    <r>
      <rPr>
        <rFont val="Corbel"/>
        <b val="0"/>
        <color rgb="FF7F7F7F"/>
        <sz val="9.0"/>
      </rPr>
      <t xml:space="preserve"> tab. 
Project announcements as of </t>
    </r>
    <r>
      <rPr>
        <rFont val="Corbel"/>
        <b/>
        <color rgb="FFFF0000"/>
        <sz val="9.0"/>
      </rPr>
      <t>March 2025</t>
    </r>
    <r>
      <rPr>
        <rFont val="Corbel"/>
        <b val="0"/>
        <color rgb="FF7F7F7F"/>
        <sz val="9.0"/>
      </rPr>
      <t xml:space="preserve"> are included.
</t>
    </r>
    <r>
      <rPr>
        <rFont val="Corbel"/>
        <b/>
        <color rgb="FF004BFF"/>
        <sz val="11.0"/>
      </rPr>
      <t xml:space="preserve">
Data 
</t>
    </r>
    <r>
      <rPr>
        <rFont val="Corbel"/>
        <b val="0"/>
        <color rgb="FF7F7F7F"/>
        <sz val="9.0"/>
      </rPr>
      <t xml:space="preserve">Data collection and processing by the IEA. All public references are available by project. Notes on how to aggregate the data are available in </t>
    </r>
    <r>
      <rPr>
        <rFont val="Corbel"/>
        <b/>
        <color rgb="FFFF0000"/>
        <sz val="9.0"/>
      </rPr>
      <t>Aggregation notes</t>
    </r>
    <r>
      <rPr>
        <rFont val="Corbel"/>
        <b val="0"/>
        <color rgb="FF7F7F7F"/>
        <sz val="9.0"/>
      </rPr>
      <t>.</t>
    </r>
    <r>
      <rPr>
        <rFont val="Corbel"/>
        <b/>
        <color rgb="FF004BFF"/>
        <sz val="11.0"/>
      </rPr>
      <t xml:space="preserve"> </t>
    </r>
    <r>
      <rPr>
        <rFont val="Corbel"/>
        <b val="0"/>
        <color rgb="FF7F7F7F"/>
        <sz val="9.0"/>
      </rPr>
      <t xml:space="preserve">For any feedback or questions please contact </t>
    </r>
    <r>
      <rPr>
        <rFont val="Corbel"/>
        <b/>
        <color rgb="FF004BFF"/>
        <sz val="9.0"/>
      </rPr>
      <t>ccsinfo@iea.org.</t>
    </r>
    <r>
      <rPr>
        <rFont val="Corbel"/>
        <b/>
        <color rgb="FF004BFF"/>
        <sz val="11.0"/>
      </rPr>
      <t xml:space="preserve">
Citation
</t>
    </r>
    <r>
      <rPr>
        <rFont val="Corbel"/>
        <b val="0"/>
        <color rgb="FF7F7F7F"/>
        <sz val="9.0"/>
      </rPr>
      <t xml:space="preserve">Please cite this database as: IEA (2025), CCUS Projects Database, </t>
    </r>
    <r>
      <rPr>
        <rFont val="Corbel"/>
        <b/>
        <color rgb="FF004BFF"/>
        <sz val="9.0"/>
        <u/>
      </rPr>
      <t>https://www.iea.org/data-and-statistics/data-product/ccus-projects-database</t>
    </r>
  </si>
  <si>
    <t>Country or economy</t>
  </si>
  <si>
    <t>Country or economy of project location.</t>
  </si>
  <si>
    <t>Project partners</t>
  </si>
  <si>
    <t>Includes project developers, technology providers (''tech''), and contractors, including for feasibility, front-end engineering and design (FEED), equipment procurement and construction (EPC), etc. when applicable/known.</t>
  </si>
  <si>
    <t>Project type</t>
  </si>
  <si>
    <t>Full chain</t>
  </si>
  <si>
    <t>Projects where CO2 is transported from one capture facility to one injection site, typically involving a single operator.</t>
  </si>
  <si>
    <t>Capture</t>
  </si>
  <si>
    <t>Capture-only project (project does not include any transport and storage development but can be developed as part of a CCUS hub).</t>
  </si>
  <si>
    <t>Transport</t>
  </si>
  <si>
    <t>CO2 transport-only project, which may include CO2 shipping, pipelines, terminals with liquefaction stations/buffer storage, etc.</t>
  </si>
  <si>
    <t>CO2 storage-only project (no mention of connecting infrastructure), including both dedicated storage and CO2 enhanced oil recovery (EOR).</t>
  </si>
  <si>
    <t>T&amp;S</t>
  </si>
  <si>
    <t>CO2 transport and storage project which includes both transport and storage development.</t>
  </si>
  <si>
    <t>CCU</t>
  </si>
  <si>
    <t>A project that captures CO2 for use (excluding internal use such as urea production) with significant climate benefits and a clearly identified source for the captured CO2.</t>
  </si>
  <si>
    <t>Dates</t>
  </si>
  <si>
    <t>Announcement</t>
  </si>
  <si>
    <t>Year of project announcement.</t>
  </si>
  <si>
    <t>FID</t>
  </si>
  <si>
    <t>Actual or planned year of final investment decision (FID).</t>
  </si>
  <si>
    <t>Actual or planned year by which the project can be expected to be operational.</t>
  </si>
  <si>
    <t>Suspension/decommissioning</t>
  </si>
  <si>
    <t>Actual year of suspension/decommissioning.</t>
  </si>
  <si>
    <t>Project status</t>
  </si>
  <si>
    <t>Planned</t>
  </si>
  <si>
    <t>Project at concept, feasibility or engineering study (FEED) stage. Concept projects include announcements with little to no further information available (e.g. capture technology, site, stakeholders, budget, timeline).</t>
  </si>
  <si>
    <t>Under construction</t>
  </si>
  <si>
    <t>A final investment decision (FID) has been announced and construction is ongoing or imminent.</t>
  </si>
  <si>
    <t>Project has been commissioned and is running.</t>
  </si>
  <si>
    <t>Project has been shelved or cancelled before starting operation.</t>
  </si>
  <si>
    <t>Suspended</t>
  </si>
  <si>
    <t>Project operation is suspended for more than six months.</t>
  </si>
  <si>
    <t>Decommissioned</t>
  </si>
  <si>
    <t>Project operation is permanently stopped.</t>
  </si>
  <si>
    <t>Project Phase</t>
  </si>
  <si>
    <r>
      <rPr>
        <rFont val="Corbel"/>
        <color rgb="FF7F7F7F"/>
        <sz val="10.0"/>
      </rPr>
      <t xml:space="preserve">If projects have defined announced phases or plan to develop capacity in a stepwise manner, this column is used. Phasing starts from 1. </t>
    </r>
    <r>
      <rPr>
        <rFont val="Corbel"/>
        <b/>
        <color rgb="FFFF0000"/>
        <sz val="10.0"/>
      </rPr>
      <t>Announced capacity across phases is additional, not cumulative.</t>
    </r>
  </si>
  <si>
    <t>Announced capacity (Mt CO2 per year)</t>
  </si>
  <si>
    <t>Announced or actual capture, transport and/or storage CO2 capacity, in Mt CO2 per year. When capture capacity is announced as a range, or several values are available, announced capacity is entered as a range.</t>
  </si>
  <si>
    <t>Estimated capacity by IEA (Mt CO2 per year)</t>
  </si>
  <si>
    <t>Estimated capture capacity based on other plant details (e.g. fuel production capacity) or potential deployment plans. See conversion factors for further assumptions.</t>
  </si>
  <si>
    <t>Sector</t>
  </si>
  <si>
    <r>
      <rPr>
        <rFont val="Corbel"/>
        <color rgb="FF7F7F7F"/>
        <sz val="10.0"/>
      </rPr>
      <t>These sector categories will be published in the online version. For capture, full chain, and CCU projects, the sector corresponds to the</t>
    </r>
    <r>
      <rPr>
        <rFont val="Corbel"/>
        <b/>
        <color rgb="FF7F7F7F"/>
        <sz val="10.0"/>
      </rPr>
      <t xml:space="preserve"> </t>
    </r>
    <r>
      <rPr>
        <rFont val="Corbel"/>
        <b/>
        <color rgb="FFFF0000"/>
        <sz val="10.0"/>
      </rPr>
      <t>source of capture.</t>
    </r>
  </si>
  <si>
    <t>Power and heat</t>
  </si>
  <si>
    <t>Capture, full chain, and CCU projects which capture CO2 from power and heat facilities (includes waste-to-energy plants).</t>
  </si>
  <si>
    <t>Natural gas processing/LNG</t>
  </si>
  <si>
    <t>Capture, full chain, and CCU projects which capture CO2 from natural gas processing and liquefied natural gas (LNG) trains.</t>
  </si>
  <si>
    <t>Capture, full chain, and CCU projects which capture CO2 from bioethanol, biodiesel, and biogas facilities.</t>
  </si>
  <si>
    <t>Hydrogen/ammonia</t>
  </si>
  <si>
    <t>Capture, full chain, and CCU projects which capture CO2 from off-site hydrogen and ammonia production. When CO2 is captured on a hydrogen production plant for on-site use (e.g. iron and steel, refinery, fertiliser), the sector is tagged as the main application.</t>
  </si>
  <si>
    <t>Other fuel transformation</t>
  </si>
  <si>
    <t>Capture, full chain, and CCU projects which capture CO2 from other fuel transformation facilities including refineries, coal-to-gas, coal-to-liquids, and gas-to-liquids plants.</t>
  </si>
  <si>
    <t>Cement</t>
  </si>
  <si>
    <t>Capture, full chain, and CCU projects which capture CO2 from cement and lime facilities.</t>
  </si>
  <si>
    <t>Iron and steel</t>
  </si>
  <si>
    <t>Capture, full chain, and CCU projects which capture CO2 from iron and steel plants.</t>
  </si>
  <si>
    <t>Capture, full chain, and CCU projects which capture CO2 from chemical and fertiliser plants.</t>
  </si>
  <si>
    <t>Capture, full chain, and CCU projects which capture CO2 from other industrial facilities including aluminium smelters, pulp and paper mills, etc.</t>
  </si>
  <si>
    <t>Direct air capture plant.</t>
  </si>
  <si>
    <t>CO2 transport project.</t>
  </si>
  <si>
    <t>CO2 storage project.</t>
  </si>
  <si>
    <t xml:space="preserve"> </t>
  </si>
  <si>
    <t>CO2 transport and storage project.</t>
  </si>
  <si>
    <t>Fate of carbon</t>
  </si>
  <si>
    <t>Dedicated storage</t>
  </si>
  <si>
    <t>CO2 is injected deep underground and stored permanently in a dedicated storage site.</t>
  </si>
  <si>
    <t>EOR</t>
  </si>
  <si>
    <t>CO2 is used for enhanced oil recovery.</t>
  </si>
  <si>
    <t>Use</t>
  </si>
  <si>
    <t>CO2 is used in a product with significant climate benefits. Internal use (e.g. CO2 capture and use in urea production) is excluded.</t>
  </si>
  <si>
    <t>Vented</t>
  </si>
  <si>
    <t>CO2 is captured and vented. Typically in pilot/demonstration facilities.</t>
  </si>
  <si>
    <t>Unknown/unspecified</t>
  </si>
  <si>
    <t>Fate of carbon has not been communicated.</t>
  </si>
  <si>
    <t>Part of CCUS hub</t>
  </si>
  <si>
    <r>
      <rPr>
        <rFont val="Corbel"/>
        <color rgb="FF7F7F7F"/>
        <sz val="10.0"/>
      </rPr>
      <t xml:space="preserve">If a capture, transport or storage project is developed as part of a </t>
    </r>
    <r>
      <rPr>
        <rFont val="Corbel"/>
        <b/>
        <color rgb="FF7F7F7F"/>
        <sz val="10.0"/>
      </rPr>
      <t>CCUS hub</t>
    </r>
    <r>
      <rPr>
        <rFont val="Corbel"/>
        <color rgb="FF7F7F7F"/>
        <sz val="10.0"/>
      </rPr>
      <t xml:space="preserve"> (capture facilities connected to a network of CO2 storage sites by shared transport infrastructure), the name of the corresponding hub is indicated.</t>
    </r>
  </si>
  <si>
    <t>Total capture capacity (Mt CO2 per year)</t>
  </si>
  <si>
    <r>
      <rPr>
        <rFont val="Corbel"/>
        <color rgb="FF7F7F7F"/>
        <sz val="10.0"/>
      </rPr>
      <t xml:space="preserve">sum (Estimated capacity) for </t>
    </r>
    <r>
      <rPr>
        <rFont val="Corbel"/>
        <b/>
        <color rgb="FF7F7F7F"/>
        <sz val="10.0"/>
      </rPr>
      <t>full chain</t>
    </r>
    <r>
      <rPr>
        <rFont val="Corbel"/>
        <color rgb="FF7F7F7F"/>
        <sz val="10.0"/>
      </rPr>
      <t xml:space="preserve"> (''Full chain''), </t>
    </r>
    <r>
      <rPr>
        <rFont val="Corbel"/>
        <b/>
        <color rgb="FF7F7F7F"/>
        <sz val="10.0"/>
      </rPr>
      <t>capture</t>
    </r>
    <r>
      <rPr>
        <rFont val="Corbel"/>
        <color rgb="FF7F7F7F"/>
        <sz val="10.0"/>
      </rPr>
      <t xml:space="preserve"> (''Capture'') and </t>
    </r>
    <r>
      <rPr>
        <rFont val="Corbel"/>
        <b/>
        <color rgb="FF7F7F7F"/>
        <sz val="10.0"/>
      </rPr>
      <t>utilisation</t>
    </r>
    <r>
      <rPr>
        <rFont val="Corbel"/>
        <color rgb="FF7F7F7F"/>
        <sz val="10.0"/>
      </rPr>
      <t xml:space="preserve"> ("CCU") projects across phases, excluding suspended and decommissioned projects.</t>
    </r>
  </si>
  <si>
    <t>Total storage capacity (Mt CO2 per year)</t>
  </si>
  <si>
    <r>
      <rPr>
        <rFont val="Corbel"/>
        <color rgb="FF7F7F7F"/>
        <sz val="10.0"/>
      </rPr>
      <t xml:space="preserve">sum (Estimated capacity) for </t>
    </r>
    <r>
      <rPr>
        <rFont val="Corbel"/>
        <b/>
        <color rgb="FF7F7F7F"/>
        <sz val="10.0"/>
      </rPr>
      <t>full chain</t>
    </r>
    <r>
      <rPr>
        <rFont val="Corbel"/>
        <color rgb="FF7F7F7F"/>
        <sz val="10.0"/>
      </rPr>
      <t xml:space="preserve"> (''Full chain''), </t>
    </r>
    <r>
      <rPr>
        <rFont val="Corbel"/>
        <b/>
        <color rgb="FF7F7F7F"/>
        <sz val="10.0"/>
      </rPr>
      <t>transport and storage</t>
    </r>
    <r>
      <rPr>
        <rFont val="Corbel"/>
        <color rgb="FF7F7F7F"/>
        <sz val="10.0"/>
      </rPr>
      <t xml:space="preserve"> (''T&amp;S''), and </t>
    </r>
    <r>
      <rPr>
        <rFont val="Corbel"/>
        <b/>
        <color rgb="FF7F7F7F"/>
        <sz val="10.0"/>
      </rPr>
      <t>storage</t>
    </r>
    <r>
      <rPr>
        <rFont val="Corbel"/>
        <color rgb="FF7F7F7F"/>
        <sz val="10.0"/>
      </rPr>
      <t xml:space="preserve"> (''Storage'') projects across phases, excluding suspended and decommissioned projects.</t>
    </r>
  </si>
  <si>
    <t>Number of capture facilities</t>
  </si>
  <si>
    <r>
      <rPr>
        <rFont val="Corbel"/>
        <color rgb="FF7F7F7F"/>
        <sz val="10.0"/>
      </rPr>
      <t xml:space="preserve">count </t>
    </r>
    <r>
      <rPr>
        <rFont val="Corbel"/>
        <b/>
        <color rgb="FF7F7F7F"/>
        <sz val="10.0"/>
      </rPr>
      <t>full chain</t>
    </r>
    <r>
      <rPr>
        <rFont val="Corbel"/>
        <color rgb="FF7F7F7F"/>
        <sz val="10.0"/>
      </rPr>
      <t xml:space="preserve"> (''Full chain''), </t>
    </r>
    <r>
      <rPr>
        <rFont val="Corbel"/>
        <b/>
        <color rgb="FF7F7F7F"/>
        <sz val="10.0"/>
      </rPr>
      <t>capture</t>
    </r>
    <r>
      <rPr>
        <rFont val="Corbel"/>
        <color rgb="FF7F7F7F"/>
        <sz val="10.0"/>
      </rPr>
      <t xml:space="preserve"> (''Capture''), and utilisation ("CCU") projects </t>
    </r>
    <r>
      <rPr>
        <rFont val="Corbel"/>
        <b/>
        <color rgb="FFFF0000"/>
        <sz val="10.0"/>
      </rPr>
      <t>excluding phases 2, 3, and 4,</t>
    </r>
    <r>
      <rPr>
        <rFont val="Corbel"/>
        <color rgb="FF7F7F7F"/>
        <sz val="10.0"/>
      </rPr>
      <t xml:space="preserve"> and suspended and decommissioned projects.</t>
    </r>
  </si>
  <si>
    <t>Important note on transport:</t>
  </si>
  <si>
    <r>
      <rPr>
        <rFont val="Corbel"/>
        <color rgb="FF7F7F7F"/>
        <sz val="10.0"/>
      </rPr>
      <t xml:space="preserve">transport capacity of individual projects </t>
    </r>
    <r>
      <rPr>
        <rFont val="Corbel"/>
        <b/>
        <color rgb="FFFF0000"/>
        <sz val="10.0"/>
      </rPr>
      <t>is not cumulative</t>
    </r>
    <r>
      <rPr>
        <rFont val="Corbel"/>
        <color rgb="FF7F7F7F"/>
        <sz val="10.0"/>
      </rPr>
      <t xml:space="preserve"> and cannot be summed.</t>
    </r>
  </si>
  <si>
    <t>Conversion factors</t>
  </si>
  <si>
    <t>For projects when CO2 captured capacity is not provided but other details are provided e.g. fuel production capacity (hydrogen, ammonia, e-fuel), captured capacity can be estimated by IEA using the following assumptions:</t>
  </si>
  <si>
    <t>CO₂ emissions of natural gas fuelled hydrogen plants: 0.9105 kg CO₂/nm³ H₂. Source: California Air Resources Board, 2018.</t>
  </si>
  <si>
    <t>CO₂ emissions of coal fuelled hydrogen plants: 1.9075 kg CO₂/nm³ H₂. Source: Orhan and Alper, 2014; adjusted for hydrogen production only.</t>
  </si>
  <si>
    <r>
      <rPr>
        <rFont val="Corbel"/>
        <color rgb="FF808080"/>
        <sz val="10.0"/>
      </rPr>
      <t>Specific H2 requirement for NH</t>
    </r>
    <r>
      <rPr>
        <rFont val="Corbel"/>
        <color rgb="FF808080"/>
        <sz val="10.0"/>
        <vertAlign val="subscript"/>
      </rPr>
      <t>3</t>
    </r>
    <r>
      <rPr>
        <rFont val="Corbel"/>
        <color rgb="FF808080"/>
        <sz val="10.0"/>
      </rPr>
      <t xml:space="preserve"> (t/t): 0.180072; Conversion losses 2%.</t>
    </r>
  </si>
  <si>
    <r>
      <rPr>
        <rFont val="Corbel"/>
        <color rgb="FF808080"/>
        <sz val="10.0"/>
      </rPr>
      <t>H</t>
    </r>
    <r>
      <rPr>
        <rFont val="Corbel"/>
        <color rgb="FF808080"/>
        <sz val="10.0"/>
        <vertAlign val="subscript"/>
      </rPr>
      <t>2</t>
    </r>
    <r>
      <rPr>
        <rFont val="Corbel"/>
        <color rgb="FF808080"/>
        <sz val="10.0"/>
      </rPr>
      <t xml:space="preserve"> density in standard conditions: 0.089 kg/m</t>
    </r>
    <r>
      <rPr>
        <rFont val="Corbel"/>
        <color rgb="FF808080"/>
        <sz val="10.0"/>
        <vertAlign val="superscript"/>
      </rPr>
      <t>3</t>
    </r>
    <r>
      <rPr>
        <rFont val="Corbel"/>
        <color rgb="FF808080"/>
        <sz val="10.0"/>
      </rPr>
      <t>.</t>
    </r>
  </si>
  <si>
    <t>ID</t>
  </si>
  <si>
    <t>Partners</t>
  </si>
  <si>
    <t>Suspension/decommissioning/cancellation</t>
  </si>
  <si>
    <t>Project Status</t>
  </si>
  <si>
    <t>Project phase</t>
  </si>
  <si>
    <t>Announced capacity (Mt CO2/yr)</t>
  </si>
  <si>
    <t>Estimated capacity by IEA (Mt CO2/yr)</t>
  </si>
  <si>
    <t>Region</t>
  </si>
  <si>
    <t>Ref 1</t>
  </si>
  <si>
    <t>Ref 2</t>
  </si>
  <si>
    <t>Ref 3</t>
  </si>
  <si>
    <t>Ref 4</t>
  </si>
  <si>
    <t>Ref 5</t>
  </si>
  <si>
    <t>Ref 6</t>
  </si>
  <si>
    <t>Ref 7</t>
  </si>
  <si>
    <t>Link 1</t>
  </si>
  <si>
    <t>Link 2</t>
  </si>
  <si>
    <t>Link 3</t>
  </si>
  <si>
    <t>Link 4</t>
  </si>
  <si>
    <t>Link 5</t>
  </si>
  <si>
    <t>Link 6</t>
  </si>
  <si>
    <t>Link 7</t>
  </si>
  <si>
    <t>3D DMX ArcelorMittal and IFPEN Dunkirk (full-scale)</t>
  </si>
  <si>
    <t>ArcelorMittal, ifp, Axens, Uetikon, Grassco, brevik, TotalEnergies (T&amp;S)</t>
  </si>
  <si>
    <t/>
  </si>
  <si>
    <t>Europe</t>
  </si>
  <si>
    <t>https://automotive.arcelormittal.com/news_and_stories/news/2019DMXproject</t>
  </si>
  <si>
    <t>https://3d-ccus.com/3d-overview/</t>
  </si>
  <si>
    <t>8Rivers H2 (8RH2) (WY)</t>
  </si>
  <si>
    <t>8Rivers, Wyoming Energy Authority</t>
  </si>
  <si>
    <t>Hydrogen or ammonia</t>
  </si>
  <si>
    <t>North America</t>
  </si>
  <si>
    <t>https://8rivers.com/portfolio/8-rivers-hydrogen/#</t>
  </si>
  <si>
    <t>Emirates Steel Industries</t>
  </si>
  <si>
    <t>ADNOC, Masdar</t>
  </si>
  <si>
    <t>https://www.energiron.com/wp-content/uploads/2019/05/ENERGIRON-DR-Technology-Overview.pdf</t>
  </si>
  <si>
    <t>Habshan-Bab gas plant</t>
  </si>
  <si>
    <t>ADNOC, Petrofac (EPC), Levidian</t>
  </si>
  <si>
    <t>https://adnoc.ae/en/news-and-media/press-releases/2020/adnoc-to-build-on-its-position-as-one-of-the-least-carbon-intensive-oil-and-gas-producers</t>
  </si>
  <si>
    <t>https://www.petrofac.com/media/news/adnoc-gas-awards-petrofac-contract-for-landmark-carbon-capture-utilisation-and-storage-project/</t>
  </si>
  <si>
    <t>https://www.adnoc.ae/en/News-and-Media/Press-Releases/2023/ADNOC-to-Invest-in-One-of-the-Largest-Integrated-Carbon-Capture-Projects-in-MENA</t>
  </si>
  <si>
    <t>Shah gas plant (Abu Dhabi CCS Phase 2)</t>
  </si>
  <si>
    <t>ADNOC</t>
  </si>
  <si>
    <t>Acorn CCS phase 1-Capture at St Fergus</t>
  </si>
  <si>
    <t>Storegga(30%), Shell (30%), Harbour (30%), North Sea Midstream partners (10%)</t>
  </si>
  <si>
    <t>Acorn CCS</t>
  </si>
  <si>
    <t>https://www.upstreamonline.com/energy-transition/five-proposed-uk-carbon-capture-projects-meet-governments-eligibility-test/2-1-1047222</t>
  </si>
  <si>
    <t>https://www.offshore-energy.biz/carbon-clean-to-carry-out-feed-on-acorn-carbon-capture-plant/</t>
  </si>
  <si>
    <t>https://www.backthescottishcluster.co.uk/the-scottish-cluster-supply-chain</t>
  </si>
  <si>
    <t>https://www.storegga.earth/news/2021/news/acorn-project-partners-storegga-shell-u-k-and-harbour-energy-sign-mou-with-the-owners-of-the-segal-and-fuka-gas-terminals-at-st-fergus/</t>
  </si>
  <si>
    <t>https://www.scottishconstructionnow.com/articles/acorn-project-partners-select-carbon-clean-to-deliver-st-fergus-carbon-capture-plant-feed-study</t>
  </si>
  <si>
    <t>https://www.energyvoice.com/oilandgas/north-sea/370332/st-fergus-terminal-owner-joins-acorn-ccs-project-as-partner</t>
  </si>
  <si>
    <t>Acorn CCS phase 1-T&amp;S</t>
  </si>
  <si>
    <t>0.3 - 0.8</t>
  </si>
  <si>
    <t>Acorn CCS phase 2</t>
  </si>
  <si>
    <t>https://www.theacornproject.uk/news-and-events/nsta-grants-carbon-storage-licences-to-acorn</t>
  </si>
  <si>
    <t>Storegga, Chrysaor, Shell</t>
  </si>
  <si>
    <t>https://assets.publishing.service.gov.uk/government/uploads/system/uploads/attachment_data/file/866380/Phase_1_-_Pale_Blue_Dot_Energy_-_Acorn_Hydrogen.pdf</t>
  </si>
  <si>
    <t>Adbri Project</t>
  </si>
  <si>
    <t>Leilac, Adbri, CarbonTP, Heavy Industry Low Emissions Technology Co-Operative Research Centre</t>
  </si>
  <si>
    <t>South West Hub Project</t>
  </si>
  <si>
    <t>Australia and New Zealand</t>
  </si>
  <si>
    <t>https://calix.global/co2-mitigation-focus-area/awarded-11m-in-government-funding-for-low-emissions-lime-project-with-adbri/</t>
  </si>
  <si>
    <t>Mt Simon Hub CCS Pipeline (IA)</t>
  </si>
  <si>
    <t>ADM, Wolf Carbon Solutions (Wolf Midstream)</t>
  </si>
  <si>
    <t>https://www.businesswire.com/news/home/20220110006079/en/</t>
  </si>
  <si>
    <t>https://www.howden.com/en-us/news/chart-wolf-mou</t>
  </si>
  <si>
    <t>https://www.adm.com/globalassets/standalone-pages/carbon-sequestration--storage/cp-221047_ccscampaignmaterialswolfpipeline_fly_eng_220803_r4.pdf</t>
  </si>
  <si>
    <t>https://www.adm.com/globalassets/standalone-pages/carbon-sequestration--storage/cp-221047_ccscampaignmaterialswolfpipeline_fly_eng_220803_r4.pdf/</t>
  </si>
  <si>
    <t>https://www.reuters.com/business/energy/wolf-carbon-solutions-seeks-end-carbon-pipeline-application-illinois-2023-11-21/</t>
  </si>
  <si>
    <t>ADM Cedar rapids bioethanol (IA)</t>
  </si>
  <si>
    <t>ADM</t>
  </si>
  <si>
    <t>ADM Clinton bioethanol (IA)</t>
  </si>
  <si>
    <t>Aemetis CCS Keyes facility (CA)</t>
  </si>
  <si>
    <t>Aemetis</t>
  </si>
  <si>
    <t>Aemetis CCS</t>
  </si>
  <si>
    <t>https://www.globenewswire.com/news-release/2021/08/18/2282675/0/en/Aemetis-CCS-Drilling-Study-by-Baker-Hughes-Confirms-Feasibility-of-Sequestering-Two-Million-MT-per-Year-of-CO2-at-California-Ethanol-Plant-Sites.html</t>
  </si>
  <si>
    <t>https://www.aemetis.com/products/carbon-capture/</t>
  </si>
  <si>
    <t>https://www.aemetis.com/aemetis-awarded-the-first-co2-sequestration-characterization-well-permit-issued-by-the-state-of-california/</t>
  </si>
  <si>
    <t>Aemetis CCS Riverbank facility (CA)</t>
  </si>
  <si>
    <t>Air Liquide hydrogen facility Rotterdam</t>
  </si>
  <si>
    <t>Air Liquide (build, own, operate)</t>
  </si>
  <si>
    <t>Porthos</t>
  </si>
  <si>
    <t>https://netherlandsnewslive.com/the-botlek-oil-industry-wants-2-1-billion-euros-for-co2-storage/62256/</t>
  </si>
  <si>
    <t>https://www.pbl.nl/sites/default/files/downloads/pbl-2022-decarbonisation-of-the-industry-cluster-botlek-pernis-rotterdam-4946.pdf</t>
  </si>
  <si>
    <t>https://www.airliquide.com/group/press-releases-news/2023-12-19/air-liquide-build-world-scale-co2-capture-unit-contribute-rotterdams-industrial-basin</t>
  </si>
  <si>
    <t>Aramis CCS transport phase 1</t>
  </si>
  <si>
    <t xml:space="preserve">TotalEnergies, Shell, EBN, Gasunie, </t>
  </si>
  <si>
    <t>Aramis CCS</t>
  </si>
  <si>
    <t>https://www.frontiersin.org/articles/10.3389/fenrg.2021.644796/full</t>
  </si>
  <si>
    <t>https://www.aramis-ccs.com/faq</t>
  </si>
  <si>
    <t>https://ec.europa.eu/eusurvey/runner/Consultation_PCIcandidates_CO2networks</t>
  </si>
  <si>
    <t>https://www.staten-generaal.nl/9370000/1/j4nvgs5kjg27kof_j9vvkfvj6b325az/vlutrvd2g2y4</t>
  </si>
  <si>
    <t>https://energy.ec.europa.eu/news/connecting-europe-facility-nearly-eu600-million-energy-infrastructure-contributing-decarbonisation-2023-12-08_en</t>
  </si>
  <si>
    <t>https://www.tweedekamer.nl/downloads/document?id=2024D26054</t>
  </si>
  <si>
    <t>Net-zero Hydrogen Energy Complex (ALB)</t>
  </si>
  <si>
    <t>Alberta Carbon Trunk Line (ACTL)</t>
  </si>
  <si>
    <t>https://fuelcellsworks.com/news/air-products-announces-1-3-billion-dollar-net-zero-hydrogen-energy-complex-in-edmonton-alberta-canada/</t>
  </si>
  <si>
    <t>https://www.airproducts.com/news-center/2022/11/1108-air-products-receive-475-million-cad-net-zero-hydrogen-complex-funding</t>
  </si>
  <si>
    <t>https://www.airproducts.com/news-center/2022/09/0906-imperial-advances-renewable-diesel-plans-awards-hydrogen-contract-to-air-products</t>
  </si>
  <si>
    <t>https://majorprojects.alberta.ca/details/Air-Products-Hydrogen-Production-and-Liquefaction-Facility/4461/</t>
  </si>
  <si>
    <t>https://www.airproducts.com/company/innovation/carbon-capture</t>
  </si>
  <si>
    <t>https://news.imperialoil.ca/news-releases/news-releases/2023/Imperial-Approves-720-million-for-Largest-Renewable-Diesel-Facility-in-Canada/default.aspx</t>
  </si>
  <si>
    <t>AirCapture DACU at Nutrien Kennewick Fertilizer (WA)</t>
  </si>
  <si>
    <t>AirCapture, Nutrien</t>
  </si>
  <si>
    <t>https://www.energy.gov/fecm/articles/selections-funding-opportunity-announcement-2560-direct-air-capture-combined</t>
  </si>
  <si>
    <t>AirCapture Nuclear DAC at JM Farley Nuclear (AL)</t>
  </si>
  <si>
    <t>Southern Company, Battelle, AirCapture LLC</t>
  </si>
  <si>
    <t>https://www.power-eng.com/emissions/doe-funds-direct-air-capture-project-at-alabama-nuclear-plant/</t>
  </si>
  <si>
    <t>Merritt Electrofuels Project DAC (BC)</t>
  </si>
  <si>
    <t>Huron Clean Energy , Oxy Low Carbon Ventures, Carbon Engineering  (Oxy)</t>
  </si>
  <si>
    <t>https://carbonengineering.com/news-updates/large-scale-commercial-facility-fuel-from-air/</t>
  </si>
  <si>
    <t>https://news.gov.bc.ca/releases/2021EMLI0063-001970</t>
  </si>
  <si>
    <t>Alberta Carbon Grid (ALB) phase 1 (Industrial heartland)</t>
  </si>
  <si>
    <t>Pembina Pipeline Corporation, TC Energy</t>
  </si>
  <si>
    <t>Alberta Carbon Grid (ALB)</t>
  </si>
  <si>
    <t>https://albertacarbongrid.ca/</t>
  </si>
  <si>
    <t>https://albertacarbongrid.ca/news/acg-secures-rights-to-evaluate-one-of-the-largest-carbon-storage-areas-in-alberta/</t>
  </si>
  <si>
    <t>Alberta Carbon Trunk Line (ACTL) (ALB)</t>
  </si>
  <si>
    <t>Wolf Carbon Solutions (Wolf Midstream, Enhance Energy)</t>
  </si>
  <si>
    <t>Alberta Carbon Trunk Line (ACTL)/Enhance Clive Sequestration Facility</t>
  </si>
  <si>
    <t>https://majorprojects.alberta.ca/details/Alberta-Carbon-Trunk-Line/622</t>
  </si>
  <si>
    <t>Altera Stella Maris CCS Project Phase 2</t>
  </si>
  <si>
    <t>Altera, Hoegh LNG, Sevan SSP (FEED), Wintershall Dea (Harbour Energy)</t>
  </si>
  <si>
    <t xml:space="preserve">Altera Stella Maris CCS/ Havstjerne </t>
  </si>
  <si>
    <t>https://alterainfra.com/what-we-do/ccs</t>
  </si>
  <si>
    <t>https://alterainfra.com/articles/one-step-closer-to-realising-stella-maris-ccs</t>
  </si>
  <si>
    <t>https://www.regjeringen.no/en/aktuelt/award-of-two-new-licences-for-co2-storage-on-the-norwegian-continental-shelf/id2970248/</t>
  </si>
  <si>
    <t>Aluminium Bahrain Mistubishi Heavy Industries capture</t>
  </si>
  <si>
    <t>Aluminium Bahrain (Alba), Mistubishi Heavy Industries (Feasibility/tech)</t>
  </si>
  <si>
    <t>https://www.reuters.com/business/sustainable-business/aluminium-bahrain-mitsubishi-heavy-industries-sign-mou-carbon-capture-2022-01-19/</t>
  </si>
  <si>
    <t>Antwerp@ C CO2 Export Hub phase 1</t>
  </si>
  <si>
    <t>Air Liquide, BASF, Borealis, ExxonMobil, INEOS, TotalEnergies, Fluxys, Port of Antwerp</t>
  </si>
  <si>
    <t>Antwerp@C</t>
  </si>
  <si>
    <t>https://newsroom.portofantwerpbruges.com/the-antwerpc-project-takes-a-major-next-step-towards-halving-co2-footprint#</t>
  </si>
  <si>
    <t>https://www.airliquide.com/group/press-releases-news/2022-12-12/air-liquide-fluxys-belgium-and-port-antwerp-bruges-awarded-eu-funding-building-antwerpc-co2-export</t>
  </si>
  <si>
    <t>https://energy.ec.europa.eu/news/connecting-europe-facility-over-eu-600-million-energy-infrastructure-support-european-green-deal-and-2022-12-08_en</t>
  </si>
  <si>
    <t>https://cinea.ec.europa.eu/news-events/news/cef-energy-antwerpc-co2-export-hub-receives-1446-million-eu-funding-co2-capture-infrastructure-2023-06-26_en</t>
  </si>
  <si>
    <t>Aramis CCS storage phase 1</t>
  </si>
  <si>
    <t>TotalEnergies, Shell, EBN, Gasunie, Petrofac (FEED)</t>
  </si>
  <si>
    <t>Aramis CCS storage phase 2</t>
  </si>
  <si>
    <t>TotalEnergies, Shell, EBN, Gasunie</t>
  </si>
  <si>
    <t>Arcelor LanzaTech Carbalyst (Steelanol) Ghent</t>
  </si>
  <si>
    <t>ArcelorMittal, LanzaTech, Primetals Technologies, E4tech</t>
  </si>
  <si>
    <t>http://www.steelanol.eu/en</t>
  </si>
  <si>
    <t>https://corporate.arcelormittal.com/climate-action/decarbonisation-technologies/carbalyst-capturing-and-re-using-our-carbon-rich-waste-gases-to-make-valuable-chemical-products</t>
  </si>
  <si>
    <t>https://www.eib.org/en/projects/pipelines/all/20170622</t>
  </si>
  <si>
    <t>https://www.globenewswire.com/news-release/2022/12/08/2569976/0/en/ArcelorMittal-S-A-ArcelorMittal-inaugurates-flagship-carbon-capture-and-utilisation-project-at-its-steel-plant-in-Ghent-Belgium.html</t>
  </si>
  <si>
    <t>Arkalon CO2 Compression Facility (KS)</t>
  </si>
  <si>
    <t>Conestoga Energy</t>
  </si>
  <si>
    <t>0.19 - 0.31</t>
  </si>
  <si>
    <t>https://www.energy.gov/sites/prod/files/2017/12/f46/jordan_bioeconomy_2017.pdf</t>
  </si>
  <si>
    <t>https://www.netl.doe.gov/sites/default/files/2018-11/Farnsworth-Unit-Project.pdf</t>
  </si>
  <si>
    <t>Arthit offshore gas field CCS</t>
  </si>
  <si>
    <t>PTTEP, Honeywell (tech and FEED)</t>
  </si>
  <si>
    <t>Other Asia Pacific</t>
  </si>
  <si>
    <t>https://www.pttep.com/en/Newsandnmedia/Mediacorner/Pressreleases/Pttep-Initiates-Thailand-First-Ccs-Project-Pushing-Towards-Net-Zero-Green-House-Gas-Emissions.aspx</t>
  </si>
  <si>
    <t>https://en.prnasia.com/releases/apac/honeywell-provides-carbon-capture-technology-for-pttep-391078.shtml</t>
  </si>
  <si>
    <t>https://www.pttep.com/en/Sustainability/Carbon-Capture-And-Storage.aspx?mode=print</t>
  </si>
  <si>
    <t>Arun CCS</t>
  </si>
  <si>
    <t>Carbon Aceh, PEMA (JV)</t>
  </si>
  <si>
    <t>https://www.upstreamonline.com/energy-transition/reinvigorating-indonesian-giant-as-ccs-project/2-1-1190849</t>
  </si>
  <si>
    <t>https://www.carbonaceh.com/press-release-1</t>
  </si>
  <si>
    <t>https://acnf.jp/program/file/presentation/7_Panelist_MEMR-IDN.pdf</t>
  </si>
  <si>
    <t xml:space="preserve">Eastern Louisiana Clean Energy Complex (LA) </t>
  </si>
  <si>
    <t>https://www.airproducts.com/campaigns/la-blue-hydrogen-project</t>
  </si>
  <si>
    <t>https://carbonherald.com/air-products-to-go-ahead-with-7-billion-hydrogen-project-in-louisiana-with-carbon-capture-included/</t>
  </si>
  <si>
    <t>Atlas Carbon Sequestration Hub Phase 1 (ALB)</t>
  </si>
  <si>
    <t>Shell Canada Limited, ATCO EnPower</t>
  </si>
  <si>
    <t>Atlas Carbon Sequestration Hub (ALB)</t>
  </si>
  <si>
    <t>https://www.atco.com/en-ca/about-us/news/2024/123013-atco-enpower-to-proceed-with-atlas-carbon-storage-hub-a-signific.html</t>
  </si>
  <si>
    <t>Atlas Carbon Sequestration Hub Phase 2 (ALB)</t>
  </si>
  <si>
    <t>Shell Canada Limited, ATCO Energy Solutions</t>
  </si>
  <si>
    <t>https://www.shell.ca/en_ca/about-us/projects-and-sites/scotford.html</t>
  </si>
  <si>
    <t>https://www.shell.ca/en_ca/media/news-and-media-releases/news-releases-2021/shell-proposes-large-scale-ccs-facility-in-alberta.html</t>
  </si>
  <si>
    <t>https://www.energyvoice.com/renewables-energy-transition/ccs/americas-ccs/336709/shell-polaris-ccs-alberta/</t>
  </si>
  <si>
    <t>https://www.linkedin.com/pulse/alberta-selects-shell-suncor-atco-atlas-carbon-hub-proposal-/?trk=organization-update-content_share-article</t>
  </si>
  <si>
    <t>Aukra Hydrogen Hub</t>
  </si>
  <si>
    <t>Aker Horizons, Shell, CapeOmega</t>
  </si>
  <si>
    <t>https://news.cision.com/aker-clean-hydrogen/r/aker-clean-hydrogen-to-explore-hydrogen-production-facility-opportunities-in-aukra-in-norway,c3382436</t>
  </si>
  <si>
    <t>https://akerhorizons.com/what-we-do/aukra/</t>
  </si>
  <si>
    <t>Avedøre Power Station CCS</t>
  </si>
  <si>
    <t>Orsted, Aker Carbon Capture (tech)</t>
  </si>
  <si>
    <t>Kalundborg hub/Northern Lights</t>
  </si>
  <si>
    <t>https://orsted.com/en/media/newsroom/news/2021/06/857452362384936</t>
  </si>
  <si>
    <t>https://orsted.com/en/media/newsroom/news/2022/06/20220613532911</t>
  </si>
  <si>
    <t>https://akercarboncapture.com/?cision_id=E626D6BD3CFDB96F</t>
  </si>
  <si>
    <t>https://orsted.com/en/media/newsroom/news/2023/12/oersted-begins-construction-of-denmarks-first-carb-13757543</t>
  </si>
  <si>
    <t>Pertamina, Air Liquide</t>
  </si>
  <si>
    <t>Use and storage</t>
  </si>
  <si>
    <t>Kutai Basin CCUS hub</t>
  </si>
  <si>
    <t>Barents Blue ammonia project Train 1</t>
  </si>
  <si>
    <t xml:space="preserve">Horisont Energi </t>
  </si>
  <si>
    <t>1.84 - 2</t>
  </si>
  <si>
    <t>Polaris offshore storage facility (Errai project)</t>
  </si>
  <si>
    <t>https://www.ammoniaenergy.org/articles/barents-blue-ammonia-plant-gains-new-partners-set-to-triple-in-size/</t>
  </si>
  <si>
    <t>https://www.horisontenergi.no/esa-approves-state-aid-for-barents-blue-project/</t>
  </si>
  <si>
    <t>Barents Blue ammonia project Train 2</t>
  </si>
  <si>
    <t>Horisont Energi</t>
  </si>
  <si>
    <t>Barents Blue ammonia project Train 3</t>
  </si>
  <si>
    <t>Barossa and Darwin liquefied natural gas (DLNG) CCUS</t>
  </si>
  <si>
    <t>Santos (43.4%), SK E&amp;S, JERA</t>
  </si>
  <si>
    <t>Bayu-Undan field storage hub</t>
  </si>
  <si>
    <t>https://www.upstreamonline.com/energy-transition/santos-betting-big-on-carbon-capture-in-bid-to-drive-down-emissions/2-1-1053585</t>
  </si>
  <si>
    <t>https://www.oedigital.com/news/491510-santos-could-store-co2-from-barossa-field-in-depleted-bayu-undan-reservoir</t>
  </si>
  <si>
    <t>https://www.santos.com/news/globally-significant-carbon-capture-and-storage-project-a-step-closer/</t>
  </si>
  <si>
    <t>https://www.energyvoice.com/renewables-energy-transition/393749/santos-enters-feed-for-giant-ccs-project-at-bayu-undan-offshore-east-timor/</t>
  </si>
  <si>
    <t>https://www.spglobal.com/commodityinsights/en/ci/research-analysis/santos-darwin-pipeline-duplication-dpd-project-confirmed-au.html</t>
  </si>
  <si>
    <t>https://www.prnewswire.com/apac/news-releases/honeywell-to-collaborate-with-sk-es-to-deploy-carbon-capture-technology-across-korea-and-southeast-asia-301941319.html</t>
  </si>
  <si>
    <t>Bayou Bend East offshore (TX)</t>
  </si>
  <si>
    <t>Chevron (50%), Talos Energy (TotalEnergies) (25% and operator), Equinor (25%)</t>
  </si>
  <si>
    <t>Bayou Bend CCS offshore (TX)</t>
  </si>
  <si>
    <t>https://www.talosenergy.com/operations/carbon-capture-and-sequestration/default.aspx</t>
  </si>
  <si>
    <t>https://www.offshore-mag.com/energy-transition/article/14298218/equinor-joins-chevron-talos-on-bayou-bend-ccs-project</t>
  </si>
  <si>
    <t>https://www.sulmara.com/article/bayou-bend-ccs-selects-sulmara-for-offshore-geophysical-survey-at-the-bayou-bend</t>
  </si>
  <si>
    <t>https://www.worley.com/en/insights/our-news/conventional-energy/2024/providing-design-and-evaluation-services-for-bayou-bend-ccs-llc-carbon-capture-storage-facility</t>
  </si>
  <si>
    <t>https://bayoubend.com/</t>
  </si>
  <si>
    <t>https://totalenergies.com/fr/medias/actualite/communiques-de-presse/totalenergies-acquiert-talos-low-carbon-solutions-un</t>
  </si>
  <si>
    <t>Bayu-Undan field storage hub Timor-Leste phase 1</t>
  </si>
  <si>
    <t>Australia-Timor Leste</t>
  </si>
  <si>
    <t>Santos (36.5%), SK E&amp;S (21%), Timor GAP (16%), INPEX (9.6%), Eni SPA (9.2%), Tokyo Timor Sea Resources Pty Ltd. (7.6%).</t>
  </si>
  <si>
    <t>https://www.santos.com/wp-content/uploads/2022/03/Santos-2022-Climate-Change-Report_web.pdf</t>
  </si>
  <si>
    <t>https://www.santos.com/news/mous-executed-for-potential-co2-supply-to-underpin-santos-bayu-undan-ccs-project/</t>
  </si>
  <si>
    <t>https://www.santos.com/news/bayu-undan-joint-venture-and-timor-gap-sign-mou-to-cooperate-on-carbon-capture-and-storage/</t>
  </si>
  <si>
    <t>Soderenergi Igelsta plant</t>
  </si>
  <si>
    <t>Soderenergi, Aker Carbon Capture (feasibility) (first feasibility by biorecro)</t>
  </si>
  <si>
    <t>http://www.energimyndigheten.se/forskning-och-innovation/projektdatabas/sokresultat/?projectid=32420</t>
  </si>
  <si>
    <t>https://www.biorecro.com/breaking-new-ground-with-beccs/</t>
  </si>
  <si>
    <t>Bonanza BioEnergy CCUS (KS)</t>
  </si>
  <si>
    <t>Conestoga Energy, Gary Climate Solutions Gary Climate Solutions</t>
  </si>
  <si>
    <t>0.1 - 0.16</t>
  </si>
  <si>
    <t>https://www.geos.ed.ac.uk/sccs/project-info/2042</t>
  </si>
  <si>
    <t>http://epubs.democratprinting.com/publication/?m=5729&amp;i=39669&amp;p=30&amp;ver=html5</t>
  </si>
  <si>
    <t>Berrima cement plant (NSW)</t>
  </si>
  <si>
    <t>Boral, Calix</t>
  </si>
  <si>
    <t>https://calix.global/co2-mitigation-focus-area/calix-and-boral-to-develop-carbon-abatement-project/</t>
  </si>
  <si>
    <t>https://www.leilac.com/project-boral/</t>
  </si>
  <si>
    <t>Borealis Antwerp CCS</t>
  </si>
  <si>
    <t>Borregaard / SAE (Borg CO2) (2 facilities)</t>
  </si>
  <si>
    <t>Borg Havn, Borregaard</t>
  </si>
  <si>
    <t>Northern Lights</t>
  </si>
  <si>
    <t>https://www.borgco2.no/reports</t>
  </si>
  <si>
    <t>https://www.geos.ed.ac.uk/sccs/project-info/2222</t>
  </si>
  <si>
    <t>https://norsus.no/wp-content/uploads/LCA-of-CCS-and-CCU_OR-28.21_final-report-1-1.pdf</t>
  </si>
  <si>
    <t>https://static1.squarespace.com/static/5cdba5274d546e0576dc53c7/t/633d7d156e8e6e430cfc71c5/1664974127440/220227_sluttrapp_CLIMIT_UMS_endelig.pdf</t>
  </si>
  <si>
    <t>Boryeong Blue hydrogen</t>
  </si>
  <si>
    <t>South Korea</t>
  </si>
  <si>
    <t>SK E&amp;S, Air Liquide Engineering and Construction (H2 production and liquefaction), GE Vernova, Korea Midland Power, Santos, etc.</t>
  </si>
  <si>
    <t>https://www.argusmedia.com/en/news/2249753-south-koreas-sk-es-plans-hydrogen-lng-expansion</t>
  </si>
  <si>
    <t>https://www.skens.com/en/sk/press/view.do?seq=3306&amp;head=&amp;keyword=&amp;type=</t>
  </si>
  <si>
    <t>http://www.businesskorea.co.kr/news/articleView.html?idxno=106374</t>
  </si>
  <si>
    <t>Boundary Dam CCS (SASK)</t>
  </si>
  <si>
    <t>Saskpower</t>
  </si>
  <si>
    <t>http://sequestration.mit.edu/tools/projects/boundary_dam.html</t>
  </si>
  <si>
    <t>https://sequestration.mit.edu/tools/projects/boundary_dam.html</t>
  </si>
  <si>
    <t>https://www.saskpower.com/about-us/our-company/blog/2023/bd3-status-update-q4-2022</t>
  </si>
  <si>
    <t>Bridgeport Energy Moonie CCUS Project</t>
  </si>
  <si>
    <t>Bridgeport Energy Limited</t>
  </si>
  <si>
    <t>Broadwing Clean Energy Complex (IL)</t>
  </si>
  <si>
    <t>Warwick, ADM</t>
  </si>
  <si>
    <t>ADM Decatur Campus CO2 Storage Site Expansion (IL)</t>
  </si>
  <si>
    <t>https://www.prnewswire.com/news-releases/8-rivers-capital-adm-announce-intention-to-make-illinois-home-to-game-changing-zero-emissions-project-301269296.html</t>
  </si>
  <si>
    <t>https://broadwing.energy/</t>
  </si>
  <si>
    <t>Bushmills Ethanol Atwater (MN)</t>
  </si>
  <si>
    <t>Bushmills Ethanol, Summit Carbon Solutions</t>
  </si>
  <si>
    <t>Midwest carbon express</t>
  </si>
  <si>
    <t>https://summitcarbonsolutions.com/summit-carbon-solutions-partners-with-bushmills-ethanol%ef%bf%bc/</t>
  </si>
  <si>
    <t xml:space="preserve">CalCapture (Elk Hills) (CA) </t>
  </si>
  <si>
    <t>Next carbon solutions (NextDecade), California Resource Corporation (Carbon TerraVault)</t>
  </si>
  <si>
    <t>1.4 - 1.5</t>
  </si>
  <si>
    <t>Carbon TerraVault 1</t>
  </si>
  <si>
    <t>https://www.spglobal.com/commodityinsights/en/market-insights/latest-news/natural-gas/022820-californias-elk-hills-carbon-capture-plant-gets-backing-from-oil-and-gas-industry-fund</t>
  </si>
  <si>
    <t>https://poweringcalifornia.com/newsletter/crc-designing-californias-first-carbon-capture-and-sequestration-project/</t>
  </si>
  <si>
    <t>https://www.nsenergybusiness.com/news/fluor-crcs-cal-capture-project/</t>
  </si>
  <si>
    <t>https://www.carboncapturejournal.com/ViewNews.aspx?NewsID=6592</t>
  </si>
  <si>
    <t>Caledonia Clean Energy (previously Captain Clean Energy)</t>
  </si>
  <si>
    <t>Summit Power</t>
  </si>
  <si>
    <t>https://ukccsrc.ac.uk/sites/default/files/documents/event/Stephen-kerr-calendonia.pdf</t>
  </si>
  <si>
    <t>Carbon America Sterling ethanol (CO)</t>
  </si>
  <si>
    <t>Carbon America</t>
  </si>
  <si>
    <t>http://www.ethanolproducer.com/articles/19256/carbon-america-plans-ccs-projects-at-2-colorado-ethanol-plants%20https://coloradosun.com/2022/05/12/carbon-capture-colorado-ethanol-plants-greenhouse-gas-emissions/</t>
  </si>
  <si>
    <t>Carbon America Yuma ethanol (CO)</t>
  </si>
  <si>
    <t>Carbon Capture at Ince Fertiliser Site</t>
  </si>
  <si>
    <t>CF Fertilisers</t>
  </si>
  <si>
    <t>Liverpool Bay CO2 storage (Hynet)</t>
  </si>
  <si>
    <t>https://hynet.co.uk/wp-content/uploads/2022/03/Creating-HyNet-webinar-slides-March-2022.pdf</t>
  </si>
  <si>
    <t>Carbon2ProductAustria (C2PAT) - Lafarge Mannersdorf</t>
  </si>
  <si>
    <t>Holcim Group, OMV, Verbund, Borealis</t>
  </si>
  <si>
    <t>https://www.borealisgroup.com/news/lafarge-omv-verbund-and-borealis-join-hands-to-capture-and-utilize-co2-on-an-industrial-scale</t>
  </si>
  <si>
    <t>https://www.europeanfiles.eu/environment/carbon2productaustria-c2pat</t>
  </si>
  <si>
    <t>https://www.holcim.com/sites/holcim/files/documents/holcim_ccus_july_2021.docx.pdf</t>
  </si>
  <si>
    <t>CarbonCapture DACU Carbon Cure at Gary Works (IN)</t>
  </si>
  <si>
    <t>CarbonCapture, CarbonCure, US Steel</t>
  </si>
  <si>
    <t>https://netl.doe.gov/sites/default/files/netl-file/22CM_CDR17_OBrien_2.pdf</t>
  </si>
  <si>
    <t>CarbonNet</t>
  </si>
  <si>
    <t>Victorian Government/Australian Government, (DNV)</t>
  </si>
  <si>
    <t>CarbonNET</t>
  </si>
  <si>
    <t>https://earthresources.vic.gov.au/projects/carbonnet-project</t>
  </si>
  <si>
    <t>https://www.dnv.com/cases/advancing-ccs-for-victoria-australia-the-carbonnet-project-181994</t>
  </si>
  <si>
    <t>https://earthresources.vic.gov.au/projects/carbonnet-project/about-the-project#:~:text=The%20CarbonNet%20Project%20aims%20to,sites%20in%20the%20Gippsland%20Basin.</t>
  </si>
  <si>
    <t>https://djsir.vic.gov.au/carbonnet/about-the-project</t>
  </si>
  <si>
    <t>CCUS at Red Hills natural gas processing complex (NM) EOR Phase 2</t>
  </si>
  <si>
    <t>Targa Resources Group</t>
  </si>
  <si>
    <t>https://www.lucid-energy.com/news/lucid-energy-group-receives-milestone-approval-epa-plans-develop-largest-carbon-capture-and</t>
  </si>
  <si>
    <t>https://www.upstreamonline.com/energy-transition/epa-approves-lucid-energy-ccs-project-the-largest-in-the-permian-basin/2-1-1145816</t>
  </si>
  <si>
    <t>https://www.mrt.com/business/energy/article/EPA-approves-Lucid-s-plan-for-major-Permian-CCS-16772892.php</t>
  </si>
  <si>
    <t>CCUS at Red Hills natural gas processing complex (NM) EOR Phase 3</t>
  </si>
  <si>
    <t>Cementa Slite plant</t>
  </si>
  <si>
    <t>Heidelberg Materials, Cementa</t>
  </si>
  <si>
    <t>https://www.heidelbergcement.com/en/pr-02-06-2021</t>
  </si>
  <si>
    <t>https://www.heidelbergcement.com/en/pr-30-05-2022</t>
  </si>
  <si>
    <t>https://www.cemnet.com/News/story/174370/work-accelerates-on-slite-ccs-plant.html</t>
  </si>
  <si>
    <t>Century plant (TX)</t>
  </si>
  <si>
    <t>Mitchell group, Sandridge Energy</t>
  </si>
  <si>
    <t>4.32 - 5</t>
  </si>
  <si>
    <t>https://www.industryweek.com/leadership/companies-executives/article/21946093/occidental-to-develop-enhanced-oil-recovery-assets-in-texas</t>
  </si>
  <si>
    <t>https://www.nsenergybusiness.com/features/top-carbon-capture-storage-projects/</t>
  </si>
  <si>
    <t>https://ghgdata.epa.gov/ghgp/service/facilityDetail/2021?id=1012121&amp;ds=A&amp;et=&amp;popup=true</t>
  </si>
  <si>
    <t>https://carboncredits.com/occidental-petroleum-quietly-abandons-biggest-carbon-capture-plant/</t>
  </si>
  <si>
    <t>Cerilon GTL</t>
  </si>
  <si>
    <t>https://new.abb.com/news/detail/100584/abb-wins-automation-contract-for-cerilons-first-gas-to-liquids-plant</t>
  </si>
  <si>
    <t>CF Industries, Mitsui</t>
  </si>
  <si>
    <t>https://www.cfindustries.com/newsroom/2022/cf-mitsui-update</t>
  </si>
  <si>
    <t>https://www.gasworld.com/story/cf-industries-unveils-2bn-ammonia-complex-plans-in-louisiana/2095031.article/?red=1</t>
  </si>
  <si>
    <t>Changling Gas plant /Jilin Oil Field CO2-EOR Full-scale (Jilin)</t>
  </si>
  <si>
    <t>PetroChina, CNPC</t>
  </si>
  <si>
    <t>0.43 - 0.6</t>
  </si>
  <si>
    <t>https://www.sciencedirect.com/science/article/abs/pii/S1364032119308093</t>
  </si>
  <si>
    <t>https://news.bjx.com.cn/html/20221230/1280026.shtml</t>
  </si>
  <si>
    <t>http://www.caep.org.cn/sy/dqhj/gh/202107/W020210726513427451694.pdf</t>
  </si>
  <si>
    <t>China Energy Taizhou power (Jiangsu)</t>
  </si>
  <si>
    <t>China Energy</t>
  </si>
  <si>
    <t>EOR and use</t>
  </si>
  <si>
    <t>https://www.ogci.com/new-ogci-report-on-ccus-in-china/</t>
  </si>
  <si>
    <t>https://www.modernpowersystems.com/features/featureccus-becoming-a-commercial-reality-in-china-8770880/</t>
  </si>
  <si>
    <t>https://news.bjx.com.cn/html/20211105/1186184.shtml</t>
  </si>
  <si>
    <t>https://www.globaltimes.cn/page/202112/1241339.shtml</t>
  </si>
  <si>
    <t>https://www.reuters.com/business/energy/china-energy-starts-operations-asias-largest-coal-carbon-capture-facility-2023-06-02/</t>
  </si>
  <si>
    <t>China Energy Guohua Jinjie Power (Shaanxi)</t>
  </si>
  <si>
    <t>https://news.bjx.com.cn/html/20210628/1160627.shtml</t>
  </si>
  <si>
    <t>https://www.sohu.com/a/474302630_100273878</t>
  </si>
  <si>
    <t>CinfraCap (Carbon Infrastructure Capture) - Port of Gothenburg</t>
  </si>
  <si>
    <t>Nordion Energi, Göteborg Energi, Renova, Gothenburg Port Authority, Preem, St1.</t>
  </si>
  <si>
    <t>CinfraCap</t>
  </si>
  <si>
    <t>https://www.portofgothenburg.com/the-project-of-the-port/cinfracap/</t>
  </si>
  <si>
    <t>https://breakbulk.com/Articles/stocking-the-carbon-stores</t>
  </si>
  <si>
    <t>Amager Bakke/Amager Resource Centre (ARC)</t>
  </si>
  <si>
    <t>ARC, Babcock &amp; Wilcox, Copenhagen Port</t>
  </si>
  <si>
    <t>https://www.maritime-executive.com/article/copenhagen-port-participates-in-carbon-capture-and-storage-project</t>
  </si>
  <si>
    <t>https://www.energy-supply.dk/procurement/view/138997/market_dialogue_project_climaid_copenhagen_delivery_and_commissioning_of_a_carbon_capture_unit_at_arc_premises</t>
  </si>
  <si>
    <t>https://a-r-c.dk/klima-og-miljo/co2-fangst/</t>
  </si>
  <si>
    <t>https://a-r-c.dk/about-arc/carbon-capture/</t>
  </si>
  <si>
    <t>Climeworks DAC at Brawley Geothermal (CA)</t>
  </si>
  <si>
    <t>University of Illinios, Climeworks</t>
  </si>
  <si>
    <t>https://www.ideals.illinois.edu/items/126230</t>
  </si>
  <si>
    <t>Climeworks Norsk e fuel phase 1</t>
  </si>
  <si>
    <t>Sunfire GmbH, Climeworks AG, Paul Wurth SA (SMS group), Valinor (Norsk Vind)</t>
  </si>
  <si>
    <t>Climeworks Norsk e fuel phase 2</t>
  </si>
  <si>
    <t>Climeworks Norsk e fuel phase 3</t>
  </si>
  <si>
    <t>Enhance Clive Sequestration Facility (ACTL) (ALB)</t>
  </si>
  <si>
    <t>Enhance Energy</t>
  </si>
  <si>
    <t>Alberta Carbon Trunk Line (ACTL)/Enhance Clive Sequestration Facility (ALB)</t>
  </si>
  <si>
    <t>https://enhanceenergy.com/megatonne-milestone-charting-a-new-and-cleaner-path-forward-by-capturing-co2-and-producing-lower-carbon-energy/</t>
  </si>
  <si>
    <t>https://alberta.csaregistries.ca/GHGR_Listing/AEOR_ListingDetail.aspx?ProjectId=157</t>
  </si>
  <si>
    <t>CNOOC Enping offshore CCS (Hong Kong)</t>
  </si>
  <si>
    <t>CNOOC</t>
  </si>
  <si>
    <t>https://www.reuters.com/business/sustainable-business/chinas-cnooc-launches-first-offshore-carbon-capture-project-2021-08-30/</t>
  </si>
  <si>
    <t>https://48qdhih3uxxncvf45h3e296c-wpengine.netdna-ssl.com/wp-content/uploads/2021/09/China_CCUS_paper_September_2021.pdf</t>
  </si>
  <si>
    <t>https://www-sasac-gov-cn.translate.goog/n2588025/n2588124/c20501671/content.html?_x_tr_sch=http&amp;_x_tr_sl=zh-CN&amp;_x_tr_tl=en&amp;_x_tr_hl=fr&amp;_x_tr_pto=nui</t>
  </si>
  <si>
    <t>https://www.reuters.com/business/environment/chinas-cnooc-completes-first-offshore-carbon-capture-site-2022-06-15/</t>
  </si>
  <si>
    <t>https://www.cnoocltd.com/art/2023/6/1/art_55170_15339040.html</t>
  </si>
  <si>
    <t>CNPC China Northwest hub phase 1 (Xinjiang)</t>
  </si>
  <si>
    <t>CNPC, OGCI</t>
  </si>
  <si>
    <t>CNPC China Northwest hub (Xinjiang)</t>
  </si>
  <si>
    <t>https://ccushub.ogci.com/focus_hubs/junggar-basin/</t>
  </si>
  <si>
    <t>CNPC China Northwest hub phase 2 (Xinjiang)</t>
  </si>
  <si>
    <t xml:space="preserve">CNPC China Northwest hub refinery hydrogen (Xinjiang) </t>
  </si>
  <si>
    <t>CO2 capture at Coal Creek (ND)</t>
  </si>
  <si>
    <t>EERC, NDIC, Rainbow Energy, Mitshubishi HI, Kiewit</t>
  </si>
  <si>
    <t>Coal creek capture: site characterisation and permitting (ND)</t>
  </si>
  <si>
    <t>https://insideclimatenews.org/news/17072021/north-dakota-coal-energy-transition-jobs-carbon-capture/</t>
  </si>
  <si>
    <t>CO2 TO METHANOL Finnfjord Ferrosilicon</t>
  </si>
  <si>
    <t>Statkraft, Carbon Recycling International</t>
  </si>
  <si>
    <t>https://www.carbonrecycling.is/projects#finnfjord-emethanol</t>
  </si>
  <si>
    <t>https://industrienergi.no/nyhet/finnfjord-vil-lage-fiskefor-av-co2/</t>
  </si>
  <si>
    <t>Coda terminal Phase 1</t>
  </si>
  <si>
    <t>Island</t>
  </si>
  <si>
    <t>Carbfix, Dan-unity CO2</t>
  </si>
  <si>
    <t>Coda terminal</t>
  </si>
  <si>
    <t>https://www.carbfix.com/codaterminal</t>
  </si>
  <si>
    <t>https://bcforum.net/presentations2021/0301_K%C3%A1ri_Helgason.pdf</t>
  </si>
  <si>
    <t>https://www.linkedin.com/posts/carbfix_eu-cinea-environment-activity-7021767287204409344-DI_z/?utm_source=share&amp;utm_medium=member_desktop</t>
  </si>
  <si>
    <t>Coda terminal Phase 2</t>
  </si>
  <si>
    <t>Coda terminal phase 3</t>
  </si>
  <si>
    <t>Coffeyville fertiliser Plant (KS)</t>
  </si>
  <si>
    <t>Coffeyville Resources, Chaparral Energy, Coffeyville Resource Nitrogen Fertilizers</t>
  </si>
  <si>
    <t>0.7 - 0.9</t>
  </si>
  <si>
    <t>https://www.geos.ed.ac.uk/sccs/project-info/89</t>
  </si>
  <si>
    <t>https://www.globenewswire.com/news-release/2011/03/29/443163/10562/en/Chaparral-Energy-Agrees-to-a-CO2-Purchase-and-Sale-Agreement-With-CVR-Energy-for-Capture-of-CO2-for-Enhanced-Oil-Recovery.html</t>
  </si>
  <si>
    <t>https://sequestration.mit.edu/tools/projects/coffeyville.html</t>
  </si>
  <si>
    <t>https://ghgdata.epa.gov/ghgp/service/facilityDetail/2021?id=1010975&amp;ds=A&amp;et=&amp;popup=true</t>
  </si>
  <si>
    <t>Core Energy CO2-EOR South Chester plant (MI)</t>
  </si>
  <si>
    <t>Core Energy</t>
  </si>
  <si>
    <t>https://www.osti.gov/servlets/purl/1547301</t>
  </si>
  <si>
    <t>https://ghgdata.epa.gov/ghgp/service/facilityDetail/2020?id=1010117&amp;ds=A&amp;et=&amp;popup=true</t>
  </si>
  <si>
    <t>Corn LP Goldfield biorefinery (IA)</t>
  </si>
  <si>
    <t>Corn LP, Summit Carbon Solutions</t>
  </si>
  <si>
    <t>0.18 - 0.22</t>
  </si>
  <si>
    <t>https://www.summitcarbonsolutions.com/our-partners</t>
  </si>
  <si>
    <t>https://www.reuters.com/markets/commodities/giant-pipeline-us-midwest-tests-future-carbon-capture-2021-11-23/</t>
  </si>
  <si>
    <t>https://www.summitcarbonsolutions.com/news/scsexpansionannouncement</t>
  </si>
  <si>
    <t>CORY EfW plant Belvedere</t>
  </si>
  <si>
    <t>Cory, Shell, Technip</t>
  </si>
  <si>
    <t>1.3 - 1.5</t>
  </si>
  <si>
    <t>Viking CCS</t>
  </si>
  <si>
    <t>https://www.corygroup.co.uk/media/news-insights/cory-announces-plans-worlds-biggest-energy-waste-decarbonisation-project/</t>
  </si>
  <si>
    <t>https://www.letsrecycle.com/news/cory-in-187m-accounting-loss-despite-record-2021/</t>
  </si>
  <si>
    <t>https://www.harbourenergy.com/news-and-media/latest-news/2023/cory-group-sign-exclusive-agreement-with-viking-ccs/</t>
  </si>
  <si>
    <t>https://www.corygroup.co.uk/media/news-insights/cory-launches-statutory-consultation-decarbonisation-plans/</t>
  </si>
  <si>
    <t>https://www.carboncapturejournal.com/ViewNews.aspx?NewsID=6376</t>
  </si>
  <si>
    <t>Coyote Clean Power Project (CO)</t>
  </si>
  <si>
    <t>8Rivers, Southern Ute Indian Reservation</t>
  </si>
  <si>
    <t>https://www.powermag.com/inside-net-power-gas-power-goes-supercritical/</t>
  </si>
  <si>
    <t>CRP Haifeng Project (Guangdong)</t>
  </si>
  <si>
    <t>China Resources Power</t>
  </si>
  <si>
    <t>http://www.gdccus.org/en/nd.jsp?id=560</t>
  </si>
  <si>
    <t>https://new.qq.com/rain/a/20201016A0DS3100</t>
  </si>
  <si>
    <t>https://www.cr-power.com/news/news3/202002/t20200225_532026.html</t>
  </si>
  <si>
    <t>CTSCo Project</t>
  </si>
  <si>
    <t>Glencore Carbon Transport Storage Company (CTSCo), China Huaneng (capture tech, MoU)</t>
  </si>
  <si>
    <t>https://www.ctsco.com.au/</t>
  </si>
  <si>
    <t>https://www.heiderefinery.com/en/energy-transition-large-scale-hydrogen-technology-project-qualifies-for-the-next-round</t>
  </si>
  <si>
    <t>https://www.glencore.com/media-and-insights/news/china-huaneng-and-glencore-sign-mou-on-ccus-project</t>
  </si>
  <si>
    <t>STRATOS (TX) - phase 1</t>
  </si>
  <si>
    <t>1PointFive,Occidental, Blackrock, NYK (agreed to buy carbon credits)</t>
  </si>
  <si>
    <t>EOR and storage</t>
  </si>
  <si>
    <t>https://www.1pointfive.com/1pointfive-selects-worley-for-feed</t>
  </si>
  <si>
    <t>https://pboilandgasmagazine.com/oxy-outlines-plans-for-direct-air-carbon-capture-plant-in-permian-basin/</t>
  </si>
  <si>
    <t>https://www.reuters.com/business/energy/occidental-misses-fourth-quarter-profit-estimates-2023-02-27/</t>
  </si>
  <si>
    <t>https://carbonherald.com/epa-issues-three-draft-permits-for-carbon-storage-to-oxy-low-carbon-ventures/</t>
  </si>
  <si>
    <t>https://www.carboncapturejournal.com/ViewNews.aspx?NewsID=6583</t>
  </si>
  <si>
    <t>STRATOS (TX) - phase 2</t>
  </si>
  <si>
    <t>1PointFive, Oxy low carbon ventures (Occidental), Blackrock</t>
  </si>
  <si>
    <t>Dakota Ethanol Wentworth biorefinery (SD)</t>
  </si>
  <si>
    <t>Dakota Ethanol, Summit Carbon Solutions</t>
  </si>
  <si>
    <t>0.22 - 0.26</t>
  </si>
  <si>
    <t>Dakota H2 Hub (ND)</t>
  </si>
  <si>
    <t>Bakken Energy, Mistubishi Heavy Industries (as Mitsubishi Power Americas), Mandan, Hidatsa, Arikara Nation</t>
  </si>
  <si>
    <t>https://www.bakkenenergy.com/press-releases/mha-nation-partnering-with-bakken-energy-and-mitsubishi-power-on-great-plains-hydrogen-hub/</t>
  </si>
  <si>
    <t>https://www.ammoniaenergy.org/articles/decarbonising-the-great-plains-synfuel-plant/</t>
  </si>
  <si>
    <t>Dalmia Cement (Bharat) Tamil Nadu</t>
  </si>
  <si>
    <t>Dalmia Cement, Carbon Clean</t>
  </si>
  <si>
    <t>Use low impact</t>
  </si>
  <si>
    <t>https://www.globalccsinstitute.com/news-media/latest-news/dalmia-cement-bharat-limited-and-carbon-clean-solutions-team-up-to-build-cement-industrys-largest-carbon-capture-plant/</t>
  </si>
  <si>
    <t>Dalstur Energy (Kolkata), Coal India (CIL)</t>
  </si>
  <si>
    <t>D'Artagnan Dunkirk CO2 Hub Phase 1</t>
  </si>
  <si>
    <t>ArcelorMittal, Port of Dunkerque, Chaux et Dolomines du boulonnais, Verdalis, Air Liquide</t>
  </si>
  <si>
    <t>D'Artagnan/Nautilus</t>
  </si>
  <si>
    <t>https://ec.europa.eu/energy/maps/pci_fiches/PciFiche_12.8.pdf</t>
  </si>
  <si>
    <t>https://ec.europa.eu/energy/sites/default/files/detailed_information_regarding_the_candidate_projects_in_co2_network.pdf</t>
  </si>
  <si>
    <t>D'Artagnan Dunkirk CO2 Hub Phase 2</t>
  </si>
  <si>
    <t>D'Artagnan Dunkirk CO2 Hub Phase 3</t>
  </si>
  <si>
    <t>Illinois Basin Decatur Project (IL)</t>
  </si>
  <si>
    <t>ADM, Midwest Geological Sequestration Consortium</t>
  </si>
  <si>
    <t>https://pubs.naruc.org/pub.cfm?id=4AE5E75F-2354-D714-51B7-59DE74C41F5E</t>
  </si>
  <si>
    <t>DelpHYnus hydrogen production Theddlethorpe</t>
  </si>
  <si>
    <t>Neptune Energy (Eni)</t>
  </si>
  <si>
    <t>5 - 8</t>
  </si>
  <si>
    <t>Delphynus</t>
  </si>
  <si>
    <t>https://www.neptuneenergy.com/esg/delphynus-project</t>
  </si>
  <si>
    <t xml:space="preserve">Delta Rhyne Corridor </t>
  </si>
  <si>
    <t>Germany-Netherlands</t>
  </si>
  <si>
    <t>https://www.shell.nl/media/persberichten/2022-media-releases/delta-corridor-links-industry-with-clean-h2-and-offshore-ccs-sol.html</t>
  </si>
  <si>
    <t>Denbury / Mitsubishi Gulf Coast ammonia project (TBD)</t>
  </si>
  <si>
    <t>Mitsubishi, ExxonMobil (formerly Denbury carbon solutions)</t>
  </si>
  <si>
    <t>https://www.businesswire.com/news/home/20210921005260/en/Denbury-Executes-Term-Sheet-with-Mitsubishi-Corporation-for-CO2-Transport-and-Storage-from-Ammonia-Project</t>
  </si>
  <si>
    <t>Dow Fort Saskatchewan Path2Zero (ALB)</t>
  </si>
  <si>
    <t>Dow Chemical, Linde, Fluor, Wolf Midstream</t>
  </si>
  <si>
    <t>https://ihsmarkit.com/research-analysis/dow-to-build-first-netzero-ethylene-derivatives-complex-in-alb.html</t>
  </si>
  <si>
    <t>https://corporate.dow.com/en-us/news/press-releases/dow-announces-plan-to-build-world-s-first-net-zero-carbon-emissi</t>
  </si>
  <si>
    <t>https://cen.acs.org/environment/greenhouse-gases/Dow-details-plan-decarbonize-petrochemical/99/i37#:~:text=Its%20biggest%20initiative%20is%20to,the%20entire%20site%20by%202029</t>
  </si>
  <si>
    <t>https://fuelcellsworks.com/news/dow-selects-linde-as-clean-hydrogen-and-nitrogen-partner-for-its-proposed-net-zero-carbon-emissions-ethylene-and-derivatives-complex-in-canada/</t>
  </si>
  <si>
    <t>https://www.nsenergybusiness.com/news/dow-feed-contract-fluor-canadian-ethylene-derivatives-complex/</t>
  </si>
  <si>
    <t>https://www.linde.com/news-and-media/2024/linde-signs-long-term-agreement-to-supply-clean-hydrogen-to-dow%E2%80%99s-path2zero-project-in-canada</t>
  </si>
  <si>
    <t>Drax BECCS Project (Phase 1)</t>
  </si>
  <si>
    <t>Drax, Worley (FEED), Mistubishi Heavy Industries (tech)</t>
  </si>
  <si>
    <t>Northern Endurance Partnership</t>
  </si>
  <si>
    <t>https://www.drax.com/press_release/drax-and-mitsubishi-heavy-industries-sign-pioneering-deal-to-deliver-the-worlds-largest-carbon-capture-power-project/</t>
  </si>
  <si>
    <t>https://biomassmagazine.com/articles/18574/drax-to-invest-l40m-in-next-stage-of-beccs-project</t>
  </si>
  <si>
    <t>https://www.drax.com/press_release/british-steel-forges-new-partnership-to-support-draxs-world-leading-carbon-capture-project/</t>
  </si>
  <si>
    <t>https://www.gov.uk/government/news/environment-agency-consults-on-drax-carbon-capture-plans</t>
  </si>
  <si>
    <t>https://www.drax.com/press_release/uk-government-approves-planning-application-for-beccs-at-drax-power-station/</t>
  </si>
  <si>
    <t>https://www.drax.com/press_release/drax-signs-mou-with-harbour-energy-and-bp-to-explore-options-to-transport-and-store-co2/</t>
  </si>
  <si>
    <t>Drax BECCS Project (Phase 2)</t>
  </si>
  <si>
    <t>Dry Fork Integrated Commercial CCS/Wyoming CarbonSafe (WY)</t>
  </si>
  <si>
    <t>MTR Carbon Capture, Basin Electric Power Cooperative, Electric Power Research Institute, University of Wyoming, Bismarck</t>
  </si>
  <si>
    <t>Wyoming CarbonSAFE (WY)</t>
  </si>
  <si>
    <t>https://www.basinelectric.com/News-Center/news-releases/carbon-capture-project-at-dry-fork-station-begins-phase-3-testing</t>
  </si>
  <si>
    <t>https://www.coalage.com/breaking-news/wyoming-carbonsafe-project-drills-second-exploratory-well-at-dry-fork-station/</t>
  </si>
  <si>
    <t>https://www.netl.doe.gov/node/1303</t>
  </si>
  <si>
    <t>http://www.uwyo.edu/cegr/research-projects/wyoming-carbonsafe.html</t>
  </si>
  <si>
    <t>https://www.energy.gov/fecm/foa-1999-project-selections</t>
  </si>
  <si>
    <t>https://www.mining.com/co2-storage-project-in-americas-coal-country-one-step-closer-to-becoming-a-reality/</t>
  </si>
  <si>
    <t>https://www.osti.gov/biblio/1897679</t>
  </si>
  <si>
    <t>Eastern Wyoming Sequestration Hub (high plains carbon storage) (WY)</t>
  </si>
  <si>
    <t>Tallgrass energy</t>
  </si>
  <si>
    <t>Eastern Wyoming Sequestration Hub (WY)</t>
  </si>
  <si>
    <t>https://www.tallgrass.com/newsroom/press-releases/tallgrass-to-capture-and-sequester-co2-emissions-from-adm-corn-processing-complex-in-nebraska</t>
  </si>
  <si>
    <t>Edmonton Blue Hydrogen plant (ALB)</t>
  </si>
  <si>
    <t>Mitsubishi Corporation, Shell Canada</t>
  </si>
  <si>
    <t>Enbridge, Yara</t>
  </si>
  <si>
    <t>Corpus Christi CO2 pipeline (TX)/BlueBonnet sequestration hub (TX)</t>
  </si>
  <si>
    <t>https://www.ammoniaenergy.org/articles/enbridge-and-yara-ccs-based-ammonia-in-texas/#:~:text=The%20ammonia%20production%20facility%2C%20pending,the%20facility%20is%20fully%20operational.</t>
  </si>
  <si>
    <t>Northern to Western Kyushu Offshore CCS - J-Power power plant</t>
  </si>
  <si>
    <t>J-Power</t>
  </si>
  <si>
    <t>Northern to Western Kyushu Offshore CCS</t>
  </si>
  <si>
    <t>https://www.argusmedia.com/en/news/2329764-japans-eneos-jpower-to-study-domestic-ccs-project</t>
  </si>
  <si>
    <t>https://www.argusmedia.com/en//news/2458762-japan-to-fund-seven-projects-to-advance-ccs-strategy</t>
  </si>
  <si>
    <t>https://www.meti.go.jp/english/press/2023/0613_001.html</t>
  </si>
  <si>
    <t>Energean CO2 storage and hydrogen plant</t>
  </si>
  <si>
    <t>Energean Plc</t>
  </si>
  <si>
    <t>Prinos CO2 storage</t>
  </si>
  <si>
    <t>https://www.worldoil.com/news/2021/2/25/energean-proposes-500mm-carbon-storage-facility-in-northern-greece</t>
  </si>
  <si>
    <t>https://www.halliburton.com/en/about-us/press-release/energean-selects-halliburton-carbon-storage-subsurface-study-greece</t>
  </si>
  <si>
    <t xml:space="preserve">ENI Ravenna power plant </t>
  </si>
  <si>
    <t>Eni</t>
  </si>
  <si>
    <t>Ravenna CCS</t>
  </si>
  <si>
    <t>ENI Venice bio-refinery Porto Marghera</t>
  </si>
  <si>
    <t>Enid fertiliser (OK)</t>
  </si>
  <si>
    <t>Koch Nitrogen Company, Daylight Petroleum</t>
  </si>
  <si>
    <t>http://www.zeroco2.no/projects/enid-fertiliser-plant</t>
  </si>
  <si>
    <t>https://applications.deq.ok.gov/permitspublic/storedpermits/7971.pdf</t>
  </si>
  <si>
    <t>Ervia Cork CCS -  Aghada CCGT</t>
  </si>
  <si>
    <t>Aghata, Ervia Cork</t>
  </si>
  <si>
    <t>Ervia Cork CCS</t>
  </si>
  <si>
    <t>https://www.ervia.ie/who-we-are/carbon-capture-storage/Cork-CCUS-CEF-PreFEED-Study-Presentation-Final-Report.pdf</t>
  </si>
  <si>
    <t>Ervia Cork CCS - Irving refinery</t>
  </si>
  <si>
    <t>Irving Oil, Ervia Cork</t>
  </si>
  <si>
    <t>Ervia Cork CCS - Whitegate CCGT</t>
  </si>
  <si>
    <t>Whitegate, Ervia Cork</t>
  </si>
  <si>
    <t>ExxonMobil Baytown petrochemical site (TX)</t>
  </si>
  <si>
    <t>ExxonMobil, Honeywell (tech), Technip Energies (FEED), JERA</t>
  </si>
  <si>
    <t>Houston CCS Hub</t>
  </si>
  <si>
    <t>https://corporate.exxonmobil.com/News/Newsroom/News-releases/2022/0301_ExxonMobil-planning-hydrogen-production-carbon-capture-and-storage-at-Baytown-complex</t>
  </si>
  <si>
    <t>https://corporate.exxonmobil.com/news/newsroom/news-releases/2023/0130_exxonmobil-awards-feed-for-worlds-largest-low-carbon-hydrogen-facility?sf174743581=1</t>
  </si>
  <si>
    <t>https://www.honeywell.com/us/en/press/2023/02/exxonmobil-to-deploy-honeywell-carbon-capture-technology</t>
  </si>
  <si>
    <t>https://corporate.exxonmobil.com/news/news-releases/2024/1211_exxonmobil-announces-plans-to-2030-that-build-on-its-unique-advantages</t>
  </si>
  <si>
    <t>https://www.jera.co.jp/en/news/information/20240325_1852</t>
  </si>
  <si>
    <t>Exxonmobil</t>
  </si>
  <si>
    <t>Air Products for Exxonmobil Botlek Rotterdam refinery</t>
  </si>
  <si>
    <t>Exxonmobil, Air Products</t>
  </si>
  <si>
    <t>https://www.airproducts.com/company/news-center/2023/11/1106-air-products-blue-hydrogen-plant-europe-and-exxonmobil-long-term-agreement</t>
  </si>
  <si>
    <t>Fidelis Project Cyclus Baton Rouge (LA)</t>
  </si>
  <si>
    <t>Fidelis new energy  (Cyclus Steam &amp; Power, Gron Fuels, Capio Sequestration)</t>
  </si>
  <si>
    <t>https://www.babcock.com/home/about/corporate/news/babcock-and-wilcox-with-kiewit-industrial-to-develop-and-deliver-worlds-largest-net-negative-co2-biomass-to-energy-facility-oxybright-carbon-capture-technologies</t>
  </si>
  <si>
    <t>https://ccusmap.com/markers/project-detail/capio-sherburne-sequestration</t>
  </si>
  <si>
    <t>Freeport LNG CCS (TX)</t>
  </si>
  <si>
    <t>Talos Energy (TotalEnergies), Freeport LNG, Storegga</t>
  </si>
  <si>
    <t>https://www.talosenergy.com/news/press-release-details/2021/Talos-Energy-And-Freeport-LNG-To-Develop-Carbon-Capture-And-Sequestration-Project-On-Texas-Gulf-Coast/default.aspx</t>
  </si>
  <si>
    <t>Frevar KF / Kvitebjorn BIO-EL (Borg CO2) (2 facilities)</t>
  </si>
  <si>
    <t>Borg Havn, Kvitebjørn Bio-El, FREVAR</t>
  </si>
  <si>
    <t>Frog Lake Power Plant (ALB)</t>
  </si>
  <si>
    <t>Net Power, Kanata Clean Power, WSP Canada, VAULT 44.01</t>
  </si>
  <si>
    <t>0.7 - 0.8</t>
  </si>
  <si>
    <t>Kanata CarbonHub</t>
  </si>
  <si>
    <t>https://kanataclean.com/2022/01/31/510/</t>
  </si>
  <si>
    <t>FS Lucas do Rio Verde ethanol biorefinery complex</t>
  </si>
  <si>
    <t>Summit Agricultural group, Tapajós Participações S.A, FS Bioenergy, Schlumberger (Storage studies)</t>
  </si>
  <si>
    <t>Central and South America</t>
  </si>
  <si>
    <t>https://bioenergyinternational.com/biofuels-oils/fs-plans-south-americas-first-beccs-project-at-fs-lucas-do-rio-verde-in-brazil</t>
  </si>
  <si>
    <t>https://api.mziq.com/mzfilemanager/v2/d/34aeec8a-d08e-440f-ad7f-324e1e1e7745/68cf1f6d-4617-75a2-7b52-410a119594ca?origin=2</t>
  </si>
  <si>
    <t>https://bioenergyinternational.com/fs-plans-south-americas-first-beccs-project-at-fs-lucas-do-rio-verde-in-brazil/</t>
  </si>
  <si>
    <t>https://www.fs.agr.br/en/sustainability/sustainability-reports/</t>
  </si>
  <si>
    <t>https://petroleohoje.editorabrasilenergia.com.br/schlumberger-perto-de-perfurar-poco-para-ccs-no-mato-grosso/</t>
  </si>
  <si>
    <t>Future Biogas plants phase 1</t>
  </si>
  <si>
    <t>Future Biogas</t>
  </si>
  <si>
    <t>https://northernlightsccs.com/news/northern-lights-signs-memorandum-of-understanding-mou-with-future-biogas/</t>
  </si>
  <si>
    <t>https://www.climatexchange.org.uk/media/5132/cxc-review-of-international-delivery-of-negative-emission-technologies-february-2022.pdf</t>
  </si>
  <si>
    <t>Future Biogas plants phase 2</t>
  </si>
  <si>
    <t>G2 Net-Zero (LA)</t>
  </si>
  <si>
    <t>Net Power, Siemens, EJM</t>
  </si>
  <si>
    <t>https://www.offshore-energy.biz/g2-advances-its-net-zero-lng-export-project/</t>
  </si>
  <si>
    <t>https://www.globalccsinstitute.com/wp-content/uploads/2021/10/2021-Global-Status-of-CCS-Report_Global_CCS_Institute.pdf</t>
  </si>
  <si>
    <t>https://lngprime.com/americas/mcdermott-bags-g2-power-plant-feed-gig/38487/</t>
  </si>
  <si>
    <t>http://g2netzero.com/about.html</t>
  </si>
  <si>
    <t>Hail and Gasha CO2 Management</t>
  </si>
  <si>
    <t>ADNOC (70%), Eni (10% - Only CO2 capture), Wintershall Dea (Harbour Energy) (10%), OMV (5%), Lukoil (5%)</t>
  </si>
  <si>
    <t>https://www.adnoc.ae/our-projects/hail-ghasha/ghasha-mega-project</t>
  </si>
  <si>
    <t>https://www.h2-view.com/story/adnoc-takes-fid-on-17bn-carbon-capture-and-hydrogen-project/2100053.article.article/</t>
  </si>
  <si>
    <t>https://www.linde-engineering.com/news-and-events/press-releases/2024/linde-selected-by-nextchem-to-supply-new-carbon-capture-technology-to-adnocs-hail-and-ghasha-project</t>
  </si>
  <si>
    <t>Genesee CCS (ALB)</t>
  </si>
  <si>
    <t>Capital Power, Enbridge (T&amp;S provider)</t>
  </si>
  <si>
    <t>Open Access Wabamun Carbon Hub (ALB)</t>
  </si>
  <si>
    <t>https://www.capitalpower.com/media/media_releases/capital-power-and-enbridge-collaborate-to-reduce-co2-emissions-in-alberta/</t>
  </si>
  <si>
    <t>https://www.capitalpower.com/media/media_releases/capital-power-advances-carbon-capture-project-at-genesee/</t>
  </si>
  <si>
    <t>https://edmontonjournal.com/news/local-news/edmonton-based-capital-power-pulls-plug-carbon-capture-project</t>
  </si>
  <si>
    <t>Gerald Gentleman Station Carbon Capture (NE)</t>
  </si>
  <si>
    <t>ION Engineering, Nebraska Public Power District, Siemens, Koch Modular, Sargent &amp; Lundy</t>
  </si>
  <si>
    <t>https://www.nppd.com/press-releases/department-of-energy-awards-funding-for-phase-ii-of-carbon-capture-study-for-gentleman-station?locale=en</t>
  </si>
  <si>
    <t>Glacial Lakes Energy Aberdeen biorefinery (SD)</t>
  </si>
  <si>
    <t>Glacial Lakes Energy, Summit Carbon Solutions</t>
  </si>
  <si>
    <t>0.12 - 0.14</t>
  </si>
  <si>
    <t>Glacial Lakes Energy Mina biorefinery (SD)</t>
  </si>
  <si>
    <t>0.34 - 0.4</t>
  </si>
  <si>
    <t>Glacial Lakes Energy Watertown biorefinery (SD)</t>
  </si>
  <si>
    <t>0.32 - 0.37</t>
  </si>
  <si>
    <t>Glacier Gas Plant CCS full capacity (ALB)</t>
  </si>
  <si>
    <t xml:space="preserve"> Entropy Inc. ABC Engineering, University of Regina, Brookfield Renewable Partners </t>
  </si>
  <si>
    <t>https://www.newswire.ca/news-releases/advantage-announces-advanced-modular-carbon-capture-and-storage-mccs-technology-first-commercial-mccs-deployment-at-glacier-and-founding-of-entropy-inc--817009085.html</t>
  </si>
  <si>
    <t>https://entropyinc.com/</t>
  </si>
  <si>
    <t>https://www.newswire.ca/news-releases/entropy-inc-provides-operational-update-on-glacier-ccs-project-854756477.html</t>
  </si>
  <si>
    <t>https://www.energyintel.com/0000018c-ace3-dd84-a3fd-bfe3ee4d0000</t>
  </si>
  <si>
    <t>https://cdn.prod.website-files.com/64e61c8741db7617c22cc2eb/668d1a5509e3ecb0c4143798_2024_07_09%20Entropy%20Q2%20Update.pdf</t>
  </si>
  <si>
    <t>Golden Grain Energy Mason City biorefinery (IA)</t>
  </si>
  <si>
    <t>Golden Grain Energy, Summit Carbon Solutions</t>
  </si>
  <si>
    <t>0.29 - 0.34</t>
  </si>
  <si>
    <t>Gorgon CCS</t>
  </si>
  <si>
    <t>Chevron (47.3%, operator), Shell (25%), ExxonMobil (25%), Osaka Gas (1.25%), MidOcean Energy (1 %), JERA (0.417%)</t>
  </si>
  <si>
    <t>3.4 - 4</t>
  </si>
  <si>
    <t>https://australia.chevron.com/our-businesses/gorgon-project/carbon-capture-and-storage</t>
  </si>
  <si>
    <t>https://www.chevron.com/-/media/shared-media/documents/chevron-sustainability-report-2021.pdf</t>
  </si>
  <si>
    <t>Granite Falls biorefinery (MN)</t>
  </si>
  <si>
    <t>Granite Falls Energy, Summit Carbon Solutions</t>
  </si>
  <si>
    <t>0.15 - 0.18</t>
  </si>
  <si>
    <t>Great Plains Synfuel Plant (ND) Weyburn-Midale (SK)</t>
  </si>
  <si>
    <t>United States-Canada</t>
  </si>
  <si>
    <t>Dakota Gasification company, Cenovus, Whitecap, Cardinal</t>
  </si>
  <si>
    <t>Weyburn storage unit</t>
  </si>
  <si>
    <t>http://www.zeroco2.no/projects/the-great-plains-synfuels-plant</t>
  </si>
  <si>
    <t>https://www.dakotagas.com/about-us/co2-capture-and-storage/</t>
  </si>
  <si>
    <t>https://www.wcap.ca/sustainability/co2-sequestration</t>
  </si>
  <si>
    <t>Green Plains Atkinson biorefinery (NE)</t>
  </si>
  <si>
    <t>Green Plains Atkinson, Summit Carbon Solutions</t>
  </si>
  <si>
    <t>0.14 - 0.16</t>
  </si>
  <si>
    <t>https://investor.gpreinc.com/news/news-details/2024/Green-Plains-Announces-Updates-on-Advantage-Nebraska-Carbon-Capture-Project/default.aspx</t>
  </si>
  <si>
    <t>Green Plains Central City biorefinery (NE)</t>
  </si>
  <si>
    <t>Green Plains Central City, Summit Carbon Solutions</t>
  </si>
  <si>
    <t>0.3 - 0.33</t>
  </si>
  <si>
    <t>https://s201.q4cdn.com/120229500/files/doc_news/Green-Plains-Announces-Updates-on-Advantage-Nebraska-Carbon-Capture-Project-2024.pdf</t>
  </si>
  <si>
    <t>Green Plains Fairmont biorefinery (MN)</t>
  </si>
  <si>
    <t>Green Plains Fairmont, Summit Carbon Solutions</t>
  </si>
  <si>
    <t>0.3 - 0.34</t>
  </si>
  <si>
    <t>Green Plains Otter Tail (Fergus Falls) biorefinery (MN)</t>
  </si>
  <si>
    <t>Green Plains Otter Tail, Summit Carbon Solutions</t>
  </si>
  <si>
    <t>Green Plains Shenandoah biorefinery (MN)</t>
  </si>
  <si>
    <t>Green Plains Shenandoah, Summit Carbon Solutions</t>
  </si>
  <si>
    <t>0.21 - 0.24</t>
  </si>
  <si>
    <t>Green Plains Superior biorefinery (IA)</t>
  </si>
  <si>
    <t>Green Plains Superior, Summit Carbon Solutions</t>
  </si>
  <si>
    <t>0.15 - 0.17</t>
  </si>
  <si>
    <t>Green Plains Wood River biorefinery (NE)</t>
  </si>
  <si>
    <t>Green Plains Wood River, Summit Carbon Solutions</t>
  </si>
  <si>
    <t>0.31 - 0.35</t>
  </si>
  <si>
    <t>Green Plains York biorefinery (NE)</t>
  </si>
  <si>
    <t>Green Plains York, Summit Carbon Solutions</t>
  </si>
  <si>
    <t>0.13 - 0.14</t>
  </si>
  <si>
    <t>GreenGen Huaneng IGCC Project Phase III (Tianjin)</t>
  </si>
  <si>
    <t>Huaneng</t>
  </si>
  <si>
    <t>Gundih CCUS EGR</t>
  </si>
  <si>
    <t>Pertamina, ITB, JGC, J-Power, JANUS (supported by METI Japan)</t>
  </si>
  <si>
    <t>https://www.upstreamonline.com/energy-transition/pertamina-drives-forward-with-ambitious-indonesia-ccus-project-plans/2-1-1032284</t>
  </si>
  <si>
    <t>Northern Gas Networks</t>
  </si>
  <si>
    <t>https://h21.green/projects/h21-leeds-city-gate/</t>
  </si>
  <si>
    <t>Equinor, Engie</t>
  </si>
  <si>
    <t>https://www.equinor.com/en/news/20211215-launch-h2be-project-hydrogen-belgium.html</t>
  </si>
  <si>
    <t>H2NorthEast Phase 1</t>
  </si>
  <si>
    <t>Kellas Midstream, SSE Thermal (50%),Worley (FEED)</t>
  </si>
  <si>
    <t>https://www.kellasmidstream.com/news-kellas/kellas-announces-the-development-of-h2northeast-a-low-carbon-blue-hydrogen-production-site-in-teesside-uk#:~:text=H2%20NorthEast%20is%20being%20developed,blue%20hydrogen%20capacity%20by%202030.</t>
  </si>
  <si>
    <t>https://www.gov.uk/government/publications/cluster-sequencing-phase-2-eligible-projects-power-ccus-hydrogen-and-icc/cluster-sequencing-phase-2-track-1-project-negotiation-list-march-2023</t>
  </si>
  <si>
    <t>https://www.nof.co.uk/news/2023/october/kellas-midstream-enters-feed-for-its-h2northeast-hydrogen-project-on-teesside/</t>
  </si>
  <si>
    <t>H2NorthEast Phase 2</t>
  </si>
  <si>
    <t>Kellas Midstream, SSE Thermal (50%)</t>
  </si>
  <si>
    <t>H2Perth Woodside</t>
  </si>
  <si>
    <t>Woodside, McDermott (pre-FEED)</t>
  </si>
  <si>
    <t>https://research.csiro.au/hyresource/h2perth-new-project-added-november-2021/</t>
  </si>
  <si>
    <t>https://www.upstreamonline.com/energy-transition/carbon-capture-investment-decisions-to-watch-in-2022-woodmac/2-1-1160392?utm_content=205143412&amp;utm_medium=social&amp;utm_source=linkedin&amp;hss_channel=lcp-68760596</t>
  </si>
  <si>
    <t>https://www.mcdermott-investors.com/news/press-release-details/2022/McDermott-Awarded-Pre-FEED-Contract-for-Proposed-H2Perth-Project-from-Woodside-Energy/default.aspx</t>
  </si>
  <si>
    <t>BP H2Teesside Phase 1</t>
  </si>
  <si>
    <t>Technip Energies (FEED), Costain (FEED pipeline), BP, ADNOC</t>
  </si>
  <si>
    <t>https://hydrogen-central.com/bp-selects-johnson-matthey-for-first-low-carbon-blue-hydrogen-project/</t>
  </si>
  <si>
    <t>https://www.bp.com/en_gb/united-kingdom/home/news/press-releases/bp-enters-final-stage-of-negotiations-with-uk-government.html</t>
  </si>
  <si>
    <t>BP H2Teesside Phase 2</t>
  </si>
  <si>
    <t>BP, ADNOC</t>
  </si>
  <si>
    <t>Hackberry Carbon Sequestration (HCS) project at Cameron LNG (LA)</t>
  </si>
  <si>
    <t>TotalEnergies, Sempra Infrastructure, Mitsui, Mitsubishi</t>
  </si>
  <si>
    <t>https://totalenergies.com/media/news/press-releases/united-states-launch-carbon-capture-project-decarbonize-liquefied-natural</t>
  </si>
  <si>
    <t xml:space="preserve">Heartland Greenway (IA, IL, MN, NE, SD) </t>
  </si>
  <si>
    <t>Valero, Black rock, Navigator</t>
  </si>
  <si>
    <t>10 - 15</t>
  </si>
  <si>
    <t>Heartland Greenway</t>
  </si>
  <si>
    <t>https://bioenergyinternational.com/storage-logistics/valero-and-blackrock-partner-with-navigator-to-develop-major-ccs-project</t>
  </si>
  <si>
    <t>https://www.kmaland.com/news/carbon-capture-and-storage-project-coming-to-iowa/article_5da1dd3a-f088-11eb-bcd4-47799904c966.html</t>
  </si>
  <si>
    <t>https://heartlandgreenway.com/</t>
  </si>
  <si>
    <t>https://www.prnewswire.com/news-releases/navigator-co2-poet-sign-letter-of-intent-to-capture-transport-and-store-five-5-million-tons-of-co2-annually-301562239.html?tc=eml_cleartime</t>
  </si>
  <si>
    <t>https://carbonherald.com/navigator-co2-files-for-eminent-domain-and-carbon-pipeline-permit-in-iowa/</t>
  </si>
  <si>
    <t>https://original.newsbreak.com/@adam-tabriz-1587406/3176625162407-major-pipeline-project-put-on-hold-navigator-delays-heartland-greenway-pipeline</t>
  </si>
  <si>
    <t>Heidelberg Materials Brevik cement</t>
  </si>
  <si>
    <t>Heidelberg Materials (Norcem), Aker Carbon Capture (tech)</t>
  </si>
  <si>
    <t>https://gassnova.no/app/uploads/2020/11/Gassnova-Developing-Longship-FINAL-1.pdf</t>
  </si>
  <si>
    <t>https://www.heidelbergmaterials.com/en/pr-15-12-2020</t>
  </si>
  <si>
    <t>https://ccsnorway.com/app/uploads/sites/6/2020/07/NC03-NOCE-A-RA-0009-Redacted-FEED-Study-DG3-Report-Rev01-1.pdf</t>
  </si>
  <si>
    <t>https://netl.doe.gov/sites/default/files/netl-file/20CCUS_Carpenter.pdf</t>
  </si>
  <si>
    <t>https://www.slb.com/news-and-insights/newsroom/press-release/2024/slb-capturi-completes-world's-first-industrial-scale-carbon-capture-plant-at-cement-facility</t>
  </si>
  <si>
    <t>Heidelberg Materials LEILAC 2</t>
  </si>
  <si>
    <t>Heidelberg Materials, Calix</t>
  </si>
  <si>
    <t>https://www.heidelbergcement.com/en/pr-01-02-2021</t>
  </si>
  <si>
    <t>https://www.leilac.com/project-leilac-2/</t>
  </si>
  <si>
    <t>Heron Lake biorefinery (MN)</t>
  </si>
  <si>
    <t>Heron Lake BioEnergy, Summit Carbon Solutions</t>
  </si>
  <si>
    <t>0.16 - 0.19</t>
  </si>
  <si>
    <t>HIF USA eFuels Matagorda County (TX)</t>
  </si>
  <si>
    <t>HIF USA, Baker Hughes (DAC), Topsoe (e-fuel tech), Bechtel (FEED), Siemens energy (electrolysers), (Still involved? Honeywell (e-methanol to e-SAF tech), Johnson Matthey (e-methanol tech))</t>
  </si>
  <si>
    <t>https://www.hifglobal.com/docs/default-source/default-document-library/hif-global-selects-matagorda-county-for-efuels-facility.pdf?sfvrsn=6c09dfb1_3</t>
  </si>
  <si>
    <t>https://matthey.com/hif-global-jm-honeywell</t>
  </si>
  <si>
    <t>https://hifglobal.com/docs/default-source/documentos-noticias/chile/pr-2023-12-01-hif-usa-idemitsu-loi-for-emethanol-(1).pdf?sfvrsn=a4d07b9d_1</t>
  </si>
  <si>
    <t>Highwater Ethanol Lamberton biorefinery (MN)</t>
  </si>
  <si>
    <t>Highwater Ethanol Lamberton, Summit Carbon Solutions</t>
  </si>
  <si>
    <t>0.13 - 0.16</t>
  </si>
  <si>
    <t>Carbon2Business Laegerdorf</t>
  </si>
  <si>
    <t>Holcim Group, Hyscale100 consortium</t>
  </si>
  <si>
    <t>https://www.spglobal.com/platts/en/market-insights/latest-news/electric-power/062521-interview-german-heide-refinery-targets-300-mw-electrolyzer-by-end-2025</t>
  </si>
  <si>
    <t>https://www.westkueste100.de/en/reallabor-westkueste-100-ausgewaehlt/</t>
  </si>
  <si>
    <t>Homeland Energy Solutions Lawler biorefinery (IA)</t>
  </si>
  <si>
    <t>Homeland Energy Solutions, Summit Carbon Solutions</t>
  </si>
  <si>
    <t>0.49 - 0.57</t>
  </si>
  <si>
    <t>Horizon mine tailings (ALB)</t>
  </si>
  <si>
    <t>Canadian Natural Resources Ltd</t>
  </si>
  <si>
    <t>https://en.wikipedia.org/wiki/Horizon_Oil_Sands</t>
  </si>
  <si>
    <t>https://www.cnrl.com/content/uploads/2022-technology-and-innovation-case-studies.pdf</t>
  </si>
  <si>
    <t>Husker Ag Plainview biorefinery (NE)</t>
  </si>
  <si>
    <t>Husker Ag, Summit Carbon Solutions</t>
  </si>
  <si>
    <t>0.27 - 0.32</t>
  </si>
  <si>
    <t>H-vision plant 1</t>
  </si>
  <si>
    <t>bp</t>
  </si>
  <si>
    <t>https://www.h-vision.nl/en</t>
  </si>
  <si>
    <t>H-vision plant 2</t>
  </si>
  <si>
    <t>Nuon (Vattenfall sub.), Equinor, Gasunie</t>
  </si>
  <si>
    <t>https://www.nsenergybusiness.com/projects/nuon-magnum-power-plant/</t>
  </si>
  <si>
    <t>Hydrogen Energy Supply Chain (HESC) Project Full scale (CarbonNET)</t>
  </si>
  <si>
    <t>Kawasaki heavy industries, J-POWER, Iwatani Corporation, Marubeni Corporation, AGL, Sumitomo Corporation</t>
  </si>
  <si>
    <t>CarbonNET or SEA CCS Hub</t>
  </si>
  <si>
    <t>https://www.offshore-energy.biz/the-first-hydrogen-supply-chain-project-to-start-operations/</t>
  </si>
  <si>
    <t>https://www.google.com/search?q=HESC+pilot+project&amp;rlz=1C1GCEA_enFR968FR968&amp;oq=HESC+pilot+project&amp;aqs=chrome..69i57j69i60.3115j0j7&amp;sourceid=chrome&amp;ie=UTF-8</t>
  </si>
  <si>
    <t>https://www.agl.com.au/content/aglenergy/nsw/en/about-agl/media-centre/asx-and-media-releases/2018/april/agl-part-of-world-first-hydrogen-energy-supply-chain-project</t>
  </si>
  <si>
    <t>https://research.csiro.au/hyresource/hydrogen-energy-supply-chain-pilot-project/</t>
  </si>
  <si>
    <t>https://www.hydrogenenergysupplychain.com/japan-commits-aud2-35-billion-to-establish-liquefied-hydrogen-supply-chain/</t>
  </si>
  <si>
    <t xml:space="preserve">https://www.abc.net.au/news/2024-12-10/coal-hydrogen-hesc-latrobe-valley-japan-kawasaki/104375024 </t>
  </si>
  <si>
    <t>Hydrogen to Humber (H2H) Saltend phase 1</t>
  </si>
  <si>
    <t>Equinor, SSE Thermal, Linde (FEED/EPC), BOC (Operation and maintenance), Jonhson Matthey (FEED)</t>
  </si>
  <si>
    <t>https://www.spglobal.com/platts/ru/market-insights/latest-news/electric-power/110221-equinor-progresses-uk-blue-hydrogen-plant-project-with-pre-feed-contracts</t>
  </si>
  <si>
    <t>https://www.spglobal.com/platts/en/market-insights/latest-news/electric-power/110221-equinor-progresses-uk-blue-hydrogen-plant-project-with-pre-feed-contracts</t>
  </si>
  <si>
    <t>https://www.spglobal.com/commodityinsights/en/market-insights/latest-news/electric-power/110221-equinor-progresses-uk-blue-hydrogen-plant-project-with-pre-feed-contracts</t>
  </si>
  <si>
    <t>https://www.offshore-energy.biz/equinor-advances-its-low-carbon-hydrogen-project-with-major-feed-contract-in-place/#:~:text=Equinor's%20UK%20project%2C%20named%20Hydrogen,hub%20for%20low%2Dcarbon%20hydrogen.</t>
  </si>
  <si>
    <t>https://matthey.com/johnson-matthey-chosen-for-h2h-saltend-low-carbon-hydrogen-project</t>
  </si>
  <si>
    <t>https://www.equinor.com/news/uk/20240220-h2h-saltend-planning-permission-granted</t>
  </si>
  <si>
    <t>Illinois Clean Fuels Project (IL)</t>
  </si>
  <si>
    <t>Illinois clean fuels,</t>
  </si>
  <si>
    <t>8.1 - 9.7</t>
  </si>
  <si>
    <t>http://icfuels.com/</t>
  </si>
  <si>
    <t>Illinois Industrial Carbon Capture and Storage (IL)</t>
  </si>
  <si>
    <t>0.5 - 1.1</t>
  </si>
  <si>
    <t>https://investigatemidwest.org/2020/11/19/despite-hundreds-of-millions-in-tax-dollars-adms-carbon-capture-program-still-hasnt-met-promised-goals/</t>
  </si>
  <si>
    <t>https://www.greencarcongress.com/2011/08/iccs-20110826.html</t>
  </si>
  <si>
    <t>https://assets.adm.com/Sustainability/2019-Reports/ADM-WSP-Feasibility-Study-and-Goal-Document.pdf</t>
  </si>
  <si>
    <t>https://www.eesi.org/articles/view/adm-deploys-carbon-capture-and-sequestration-project-at-illinois-ethanol-pl</t>
  </si>
  <si>
    <t>https://www.energy.gov/fecm/archer-daniels-midland-company</t>
  </si>
  <si>
    <t>https://ghgdata.epa.gov/ghgp/service/facilityDetail/2021?id=1005661&amp;ds=A&amp;et=&amp;popup=true</t>
  </si>
  <si>
    <t>Indian Oil Corporation (IOCL), Dastur, Air Liquide (FEED), BEG (FEED)</t>
  </si>
  <si>
    <t>https://www.gasworld.com/indian-oils-mammoth-ccus-project-progresses/2020367.article</t>
  </si>
  <si>
    <t>Ineos Antwerp CCS</t>
  </si>
  <si>
    <t>INEOS</t>
  </si>
  <si>
    <t>INEOS Grangemouth refinery and hydrogen production</t>
  </si>
  <si>
    <t>INEOS, Petroineos</t>
  </si>
  <si>
    <t>https://www.spglobal.com/commodityinsights/en/market-insights/latest-news/electric-power/092221-ineos-to-invest-14-bil-in-blue-hydrogen-production-at-grangemouth-refinery</t>
  </si>
  <si>
    <t>Abadi CCS/CCUS</t>
  </si>
  <si>
    <t>Inpex Masela 65%, Angel CCS (listed as Karratha CCS), ITB (feasibility)</t>
  </si>
  <si>
    <t>https://www.upstreamonline.com/lng/inpex-further-delays-flagship-abadi-lng-project/2-1-1173044</t>
  </si>
  <si>
    <t>https://www.ogj.com/pipelines-transportation/lng/article/14292056/inpex-submits-ccs-plan-for-abadi-lng-project</t>
  </si>
  <si>
    <t>https://www.spglobal.com/commodityinsights/en/market-insights/latest-news/lng/092823-interview-indonesia-to-finalize-presidential-ccsccus-regulation-by-year-end</t>
  </si>
  <si>
    <t>Integrated Mid-Continent Stacked Carbon Storage Hub CarbonSAFE (NB, KS)</t>
  </si>
  <si>
    <t>Battelle Memorial Institute, ADM, Schlumberger Carbon Services, Geological Survey of the Nebraska Conservation and Survey Division</t>
  </si>
  <si>
    <t>https://www.osti.gov/servlets/purl/1478726</t>
  </si>
  <si>
    <t>Itochu/Petronas ammonia project (ALB)</t>
  </si>
  <si>
    <t>Itochu Corporation, Petronas Energy Canada Ltd, Inter Pipeline Ltd.</t>
  </si>
  <si>
    <t>https://www.theedgemarkets.com/article/japans-itochu-conduct-feasibility-study-petronas-subsidiary-canada-production-ammonia</t>
  </si>
  <si>
    <t>https://www.itochu.co.jp/en/news/press/2022/220524.html</t>
  </si>
  <si>
    <t>Sukowati CO2-EOR (Jambaran Tiung Biru gas processing)</t>
  </si>
  <si>
    <t>Pertamina, Lemigas, JAPEX (supported by METI), JOGMEC</t>
  </si>
  <si>
    <t>0.47 - 0.93</t>
  </si>
  <si>
    <t>https://www.japanccs.com/wp/wp-content/uploads/2020/10/CCUS-Activities-in-Indonesia_Dr.-Adhi-Wibowo.pdf</t>
  </si>
  <si>
    <t>https://www.sciencedirect.com/science/article/pii/S0921344921006777#!</t>
  </si>
  <si>
    <t>James M  Barry Electric Generating Plant CCUS (AL)</t>
  </si>
  <si>
    <t>Southern Company Services, Linde Gas North America LLC, GE Vernova</t>
  </si>
  <si>
    <t>https://netl.doe.gov/project-information?p=FE0032131</t>
  </si>
  <si>
    <t>https://netl.doe.gov/project-information?p=FE0031847</t>
  </si>
  <si>
    <t>https://www.osti.gov/biblio/2377996</t>
  </si>
  <si>
    <t>Javelina Refinery CCS (TX)</t>
  </si>
  <si>
    <t>Port of Corpus Christi Authority, Howard Midstream</t>
  </si>
  <si>
    <t>https://portofcc.com/port-of-corpus-christi-responds-to-united-nations-intergovernmental-panel-on-climate-change-announces-carbon-neutral-blue-hydrogen-production-facility/</t>
  </si>
  <si>
    <t>https://www.greencarcongress.com/2021/08/20210814-pocc.html</t>
  </si>
  <si>
    <t>Sailboat Green Methanol plant Shengong petrochemical (Jiangsu)</t>
  </si>
  <si>
    <t xml:space="preserve"> Jiangsu Sailboat Petrochemicals, Carbon Recycling International</t>
  </si>
  <si>
    <t>0.15 - 0.16</t>
  </si>
  <si>
    <t>https://www.carbonrecycling.is/news-media/cri-chemical-plant-project-in-china-will-recycle-150000-tons-of-co2-per-year-to-make-materials-for-solar-panels</t>
  </si>
  <si>
    <t>https://carbonrecycling.com/about/news/carbon-recycling-international-cri-and-jiangsu-sailboat-start-up-worlds-most-efficient-co2-to-methanol-plant</t>
  </si>
  <si>
    <t>K6 Program- Lumbres cement plant</t>
  </si>
  <si>
    <t>EQIOM, Air Liquide, France Industries, VDZ</t>
  </si>
  <si>
    <t>D'Artagnan</t>
  </si>
  <si>
    <t>https://www.nasdaq.com/press-release/air-liquide-and-eqiom-project-in-northern-france-selected-by-the-european-innovation</t>
  </si>
  <si>
    <t>Kairos@C</t>
  </si>
  <si>
    <t>Air Liquide, BASF</t>
  </si>
  <si>
    <t>https://www.basf.com/global/en/media/news-releases/2021/11/p-21-385.html</t>
  </si>
  <si>
    <t>https://www.basf.com/global/en/media/news-releases/2021/03/p-21-166.html</t>
  </si>
  <si>
    <t>https://climate.ec.europa.eu/document/download/c99241e9-797d-469b-9df3-a1da041159c6_en?filename=if_pf_2022_kairos_en.pdf</t>
  </si>
  <si>
    <t>Karamay Dunhua methanol plant (Xinjiang)</t>
  </si>
  <si>
    <t>Dunhua Oil Company</t>
  </si>
  <si>
    <t>https://www.researchgate.net/publication/342354904_China_Status_of_CO2_Capture_Utilization_and_Storage_CCUS_2019</t>
  </si>
  <si>
    <t>https://www.adb.org/publications/roadmap-carbon-capture-and-storage-demonstration-and-deployment-prc</t>
  </si>
  <si>
    <t>http://www.asiachem.org/en/2018CO2-1005</t>
  </si>
  <si>
    <t>Keadby 3 Carbon Capture Power Station</t>
  </si>
  <si>
    <t>SSE Thermal, Equinor, Aker Solutions (FEED), Siemens Energy, Doosan Babcock; Fugro (ground investigation contract)</t>
  </si>
  <si>
    <t>https://www.ssethermal.com/flexible-generation/development/keadby-3-ccs/</t>
  </si>
  <si>
    <t>https://aecom.com/uk/press-releases/aecom-to-continue-its-role-on-keadby-3-carbon-capture-power-station-project/</t>
  </si>
  <si>
    <t>https://news.cision.com/aker-carbon-capture-as/r/new-flagship-project-for-aker-carbon-capture-in-the-uk,c3586443</t>
  </si>
  <si>
    <t>https://www.equinor.com/news/uk/landmark-power-ccs-project-in-humber-becomes-uk%27s-first-to-gain-planning-consent</t>
  </si>
  <si>
    <t>https://www.fugro.com/media-centre/news/fulldetails/2023/01/17/fugro-s-geo-data-supports-development-of-uk-s-first-flexible-power-station-with-carbon-capture-technology</t>
  </si>
  <si>
    <t>Kemper county CCUS (MS)</t>
  </si>
  <si>
    <t>Mississippi Power (Southern Company)</t>
  </si>
  <si>
    <t>http://www.zeroco2.no/projects/kemper-county-igcc</t>
  </si>
  <si>
    <t>https://sequestration.mit.edu/tools/projects/kemper.html</t>
  </si>
  <si>
    <t>KEPCO 150MW NGCC plant</t>
  </si>
  <si>
    <t>KEPCO</t>
  </si>
  <si>
    <t>http://m.koreaherald.com/view.php?ud=20211110000781</t>
  </si>
  <si>
    <t>KEPCO 500 MW coal plant</t>
  </si>
  <si>
    <t>Kern River Eastridge cogeneration plant San Joaquin Valley (CA)</t>
  </si>
  <si>
    <t>Chevron, Fluor (FEED, tech licensing)</t>
  </si>
  <si>
    <t>https://www.chevron.com/newsroom/2022/q2/chevron-launches-carbon-capture-and-storage-project-in-san-joaquin-valley</t>
  </si>
  <si>
    <t>KeyState Natural Gas Synthesis (ARCH2) (PA)</t>
  </si>
  <si>
    <t>KeyState Energy</t>
  </si>
  <si>
    <t>https://keystate.net/projects/pa/</t>
  </si>
  <si>
    <t>Kollsnes DAC facility</t>
  </si>
  <si>
    <t>Carbon Removal, Oxy low carbon ventures (Occidental)</t>
  </si>
  <si>
    <t>https://carbonengineering.com/news-updates/partnership-dac-norway/?utm_campaign=CE%20Announcements&amp;utm_content=188638613&amp;utm_medium=social&amp;utm_source=twitter&amp;hss_channel=tw-1000093259207655425</t>
  </si>
  <si>
    <t>Korea CCS 1 &amp; 2</t>
  </si>
  <si>
    <t>Korea Carbon Capture and Sequestration R&amp;D</t>
  </si>
  <si>
    <t>Porthos onshore transport</t>
  </si>
  <si>
    <t>Energie Beheer Nederland (EBN), Gasunie, Port of Rotterdam</t>
  </si>
  <si>
    <t>https://www.porthosco2.nl/en/</t>
  </si>
  <si>
    <t>https://www.reuters.com/sustainability/construction-major-dutch-carbon-storage-project-can-continue-high-court-2023-08-16/</t>
  </si>
  <si>
    <t>Labarge Shute Creek Gas Processing Plant 1.2 Mtpa expansion (WY)</t>
  </si>
  <si>
    <t xml:space="preserve">ExxonMobil </t>
  </si>
  <si>
    <t>1 - 1.2</t>
  </si>
  <si>
    <t>https://corporate.exxonmobil.com/news/newsroom/news-releases/2022/0225_exxonmobil-to-expand-carbon-capture-and-storage-at-labarge-wyoming-facility</t>
  </si>
  <si>
    <t>https://www.sciencedirect.com/science/article/pii/S1876610211008101</t>
  </si>
  <si>
    <t>https://corporate.exxonmobil.com/what-we-do/delivering-industrial-solutions/carbon-capture-and-storage/ccs-in-action</t>
  </si>
  <si>
    <t>Labarge Shute Creek Gas Processing Plant 2010 expansion (WY)</t>
  </si>
  <si>
    <t>ExxonMobil, Fleur de Lis Energy LLC/Renee Acquisition LLC ; Chevron; Devon Energy Denbury</t>
  </si>
  <si>
    <t>https://www.ogj.com/general-interest/companies/article/17284133/exxonmobil-finishes-shute-creek-carbon-capture-expansion</t>
  </si>
  <si>
    <t>Labarge Shute Creek Gas Processing Plant original (WY)</t>
  </si>
  <si>
    <t>https://corporate.exxonmobil.com/-/media/global/files/advancing-climate-solutions-progress-report/2023/2023-acs-progress-report.pdf</t>
  </si>
  <si>
    <t>https://ghgdata.epa.gov/ghgp/service/facilityDetail/2021?id=1002150&amp;ds=A&amp;et=&amp;popup=true</t>
  </si>
  <si>
    <t>LafargeHolcim Portland (CO)</t>
  </si>
  <si>
    <t>Electricore, Svante, Holcim Group, Occidental, TotalEnergies</t>
  </si>
  <si>
    <t>https://energynorthern.com/2020/09/18/further-development-of-co2ment-project/</t>
  </si>
  <si>
    <t>https://www.holcim.com/joint-carbon-capture-project-usa-plant</t>
  </si>
  <si>
    <t>https://www.linkedin.com/posts/bob-slettehaugh_we-are-excited-to-be-working-with-holcim-activity-6925459018538700800-H4-M?utm_source=linkedin_share&amp;utm_medium=member_desktop_web</t>
  </si>
  <si>
    <t>https://www.holcim.com/media/media-releases/joint-carbon-capture-project-usa-plant</t>
  </si>
  <si>
    <t>https://www.holcim.com/sites/holcim/files/2024-04/28022024-holcim-climate-report-2023.pdf</t>
  </si>
  <si>
    <t>LafargeHolcim Ste Genevieve (MO)</t>
  </si>
  <si>
    <t>University of Illinois, Holcim Group, Air Liquide</t>
  </si>
  <si>
    <t>https://cementproducts.com/2021/12/06/lafargeholcim-study-to-advance-carbon-capture-tech/</t>
  </si>
  <si>
    <t>https://netl.doe.gov/sites/default/files/netl-file/22CM_PSC15_Salih.pdf</t>
  </si>
  <si>
    <t>https://netl.doe.gov/sites/default/files/netl-file/23CM_PSCC31_Salih.pdf</t>
  </si>
  <si>
    <t>Lake Charles Methanol (LA)</t>
  </si>
  <si>
    <t>Proman, ExxonMobil (formerly Denbury), Fluor</t>
  </si>
  <si>
    <t>4 - 4.2</t>
  </si>
  <si>
    <t>https://www.globalccsinstitute.com/wp-content/uploads/2020/03/2-ION-CLEAN-ENERGY-DC-FORUM.pdf</t>
  </si>
  <si>
    <t>Lapis Energy, LSB</t>
  </si>
  <si>
    <t>HeidelbergMaterials Edmonton Cement (ALB)</t>
  </si>
  <si>
    <t>Heidelberg Materials, Government of Canada (MoU), Enbridge</t>
  </si>
  <si>
    <t>https://www.lehighhanson.com/resources/news/news/2021/01/22/low-carbon-cement-possible-with-ccs</t>
  </si>
  <si>
    <t>https://www.cemnet.com/News/story/172124/lehigh-cement-signs-mou-for-edmonton-ccus-project.html</t>
  </si>
  <si>
    <t>https://eralberta.ca/wp-content/uploads/2022/04/Lehigh-Edmonton-CCS-Feasibility-ERA-Project-Outcomes-Non-Confidential.pdf</t>
  </si>
  <si>
    <t>https://www.mhi.com/news/24041103.html</t>
  </si>
  <si>
    <t>https://www.heidelbergmaterials.com/en/pr-2023-04-06</t>
  </si>
  <si>
    <t>https://www.canada.ca/en/innovation-science-economic-development/news/2023/04/government-of-canada-signs-partnership-with-heidelberg-materials-to-decarbonize-the-cement-and-concrete-industry.html</t>
  </si>
  <si>
    <t>https://www.mhi.com/news/23081702.html</t>
  </si>
  <si>
    <t>CalCC Lhoist Air Liquide Lime plant Rety</t>
  </si>
  <si>
    <t>Air Liquide, Lhoist</t>
  </si>
  <si>
    <t>https://www.airliquide.com/group/press-releases-news/2022-05-09/air-liquide-and-lhoist-join-forces-launch-first-its-kind-decarbonization-project-lime-production</t>
  </si>
  <si>
    <t>https://climate.ec.europa.eu/system/files/2022-07/LSC2_List_of_pre-selected_projects_6.pdf</t>
  </si>
  <si>
    <t>Lincolnway Energy Nevada biorefinery (IA)</t>
  </si>
  <si>
    <t>Lincolnway Energy, Summit Carbon Solutions</t>
  </si>
  <si>
    <t>BP</t>
  </si>
  <si>
    <t>https://www.energy.gov/fecm/articles/us-department-energy-selects-12-projects-improve-fossil-based-hydrogen-production</t>
  </si>
  <si>
    <t>Lone Star Storage Hub Project (Jasper) (TX)</t>
  </si>
  <si>
    <t>BP carbon solutions, Linde (capture/CO2 supplier)</t>
  </si>
  <si>
    <t>LIPOR Maia Energy Recovery Plant PtL facility</t>
  </si>
  <si>
    <t>LIPOR (Intermunicipal Waste Management of Greater Porto), P2X Europe, Veolia</t>
  </si>
  <si>
    <t>https://www.veolia.com/en/our-media/newsroom/press-releases/power-liquid-project-transforms-municipal-waste-waste-derived-CO2-portugal</t>
  </si>
  <si>
    <t>Little Sioux Corn Processors Marcus biorefinery (IA)</t>
  </si>
  <si>
    <t>Little Sioux Corn Processors, Summit Carbon Solutions</t>
  </si>
  <si>
    <t>0.39 - 0.46</t>
  </si>
  <si>
    <t>Hynet North West (Liverpool Bay CO2 storage) phase 1</t>
  </si>
  <si>
    <t>Eni, Halliburton (Well completions)</t>
  </si>
  <si>
    <t>Hynet North West (Liverpool Bay CO2 storage)</t>
  </si>
  <si>
    <t>https://www.eni.com/en-IT/media/press-release/2023/03/eni-as-the-key-ccs-developer-in-the-uk.html</t>
  </si>
  <si>
    <t>https://www.halliburton.com/en/about-us/press-release/halliburton-wins-well-completions-contract-hynet-north-west-carbon-capture-storage-project</t>
  </si>
  <si>
    <t>Hynet North West (Liverpool Bay CO2 storage) phase 2</t>
  </si>
  <si>
    <t>Lost Cabin Gas Plant (WY)</t>
  </si>
  <si>
    <t>Contango Oil &amp; Gas (bought plant in 2021 from Conocophillips), ExxonMobil (formerly Denbury)</t>
  </si>
  <si>
    <t>https://s201.q4cdn.com/317576541/files/doc_presentation/2022/08/08/2022-08-DEN-August-Corporate-Presentation_MASTER-(1).pdf</t>
  </si>
  <si>
    <t>https://www.naturalgasintel.com/contango-snags-conocophillips-gassy-wind-river-assets-for-67m/</t>
  </si>
  <si>
    <t>http://pipeline.wyo.gov/plantcode.cfm?gp_code=2765</t>
  </si>
  <si>
    <t>Louis Dreyfus Grand Junction biorefinery (IA)</t>
  </si>
  <si>
    <t>Louis Dreyfus Grand Junction, Summit Carbon Solutions</t>
  </si>
  <si>
    <t>Louis Dreyfus Norfolk biorefinery (IA)</t>
  </si>
  <si>
    <t>Louis Dreyfus Norfolk, Summit Carbon Solutions</t>
  </si>
  <si>
    <t>0.13 - 0.15</t>
  </si>
  <si>
    <t>Louisiana Green Fuels Project  (LA)</t>
  </si>
  <si>
    <t>Strategic Biofuels LLC, Louisianna Green Fuels, SLB</t>
  </si>
  <si>
    <t>https://bioenergyinternational.com/strategic-biofuels-completes-ccs-test-well-program-at-planned-biorefinery-site/</t>
  </si>
  <si>
    <t>https://strategicbiofuels.com/</t>
  </si>
  <si>
    <t>https://biomassmagazine.com/articles/18800/strategic-biofuels-project-moves-into-feed#:~:text=Strategic%20Biofuels%2C%20the%20leader%20in,end%20engineering%20design%20(FEED)%20or</t>
  </si>
  <si>
    <t>https://www.naturalgasintel.com/louisiana-green-diesel-project-using-ccs-advancing-for-caldwell-parish-port/</t>
  </si>
  <si>
    <t>https://matthey.com/jm-and-bp-strategic-biofuels-project</t>
  </si>
  <si>
    <t>https://strategicbiofuels.com/wp-content/uploads/2023/06/SLB-News-Release-1.pdf</t>
  </si>
  <si>
    <t>https://www.sumitomocorp.com/-/media/Files/us/news/release/2024/scoa/20240408/SCOASB482024.pdf</t>
  </si>
  <si>
    <t xml:space="preserve">Lyse Forus Energigjenvinning Stavanger </t>
  </si>
  <si>
    <t>Lyse, Forus Energi, Aker Carbon Capture (tech)</t>
  </si>
  <si>
    <t>https://www.districtenergy.org/blogs/district-energy/2021/02/03/aker-carbon-capture-eyes-ccs-project-at-waste-to-e</t>
  </si>
  <si>
    <t>https://akercarboncapture.com/about-us/key-projects/</t>
  </si>
  <si>
    <t>Meadowbrook storage hub (ALB)</t>
  </si>
  <si>
    <t xml:space="preserve">Bison Low Carbon Ventures </t>
  </si>
  <si>
    <t>https://fortsaskonline.com/articles/alberta-picks-six-proposals-to-develop-carbon-storage-hubs-in-industrial-heartland</t>
  </si>
  <si>
    <t>https://www.alberta.ca/carbon-sequestration-tenure-management.aspx</t>
  </si>
  <si>
    <t>https://www.marubeni.com/en/news/2023/release/00073.html</t>
  </si>
  <si>
    <t>Mendota BECCS power project (Clean Energy Systems Carbon Negative Energy Plant - Central Valley) (CA)</t>
  </si>
  <si>
    <t>Schlumberger New Energy, Chevron Corp., Microsoft, Clean Energy Systems
Chevron Corporation, Schlumberger New Energy, Microsoft and Clean Energy Systems</t>
  </si>
  <si>
    <t>https://www.chevron.com/stories/chevron-microsoft-and-schlumberger-partner-on-carbon-negative-bioenergy</t>
  </si>
  <si>
    <t>https://www.cleanenergysystems.com/MendotaBECCS</t>
  </si>
  <si>
    <t>https://www.asce.org/publications-and-news/civil-engineering-source/civil-engineering-magazine/article/2021/04/companies-join-forces-to-develop-carbon-negative-bioenergy-facility</t>
  </si>
  <si>
    <t>Mitsui E&amp;P Australia (MEPAU), JOGMEC</t>
  </si>
  <si>
    <t>Mid West CCUS hub</t>
  </si>
  <si>
    <t>https://www.energyvoice.com/renewables-energy-transition/ccs/404600/australia-pledges-50m-for-two-ccs-hubs/</t>
  </si>
  <si>
    <t>https://www.mitsui.com/jp/en/topics/2021/1242033_12171.html</t>
  </si>
  <si>
    <t>Mid West Clean Energy Project</t>
  </si>
  <si>
    <t>Pilot Energy</t>
  </si>
  <si>
    <t>Cliff Head CCS Project</t>
  </si>
  <si>
    <t>https://www.pilotenergy.com.au/sites/pilotenergy.com.au/files/asx-announcements/61013340.pdf</t>
  </si>
  <si>
    <t>https://fuelcellsworks.com/news/consortium-formed-to-progress-pilots-mid-west-blue-hydrogen-and-carbon-capture-storage-ccs-project/</t>
  </si>
  <si>
    <t>https://hydrogen-central.com/pilot-energy-studies-competitive-clean-hydrogen-ammonia-producer/</t>
  </si>
  <si>
    <t>https://www.kn-cc.com/news/newsflash-kncc-pilotenergy</t>
  </si>
  <si>
    <t>Midwest AgEnergy Blue Flint ethanol (ND)</t>
  </si>
  <si>
    <t xml:space="preserve">Blue Flint Sequester Company LLC, Harvestone Low Carbon Partners, Ag Energy Group LLC </t>
  </si>
  <si>
    <t>https://www.biofuelsdigest.com/bdigest/2020/10/14/midwest-agenergy-drilling-ccs-test-well-at-blue-flint-ethanol-plant/</t>
  </si>
  <si>
    <t>https://www.midwestagenergy.com/story-midwest-agenergys-blue-flint-facility-advancing-co2-project-receives-34-million-grant-375-204078</t>
  </si>
  <si>
    <t>https://www.nd.gov/ndic/csea/applications/r1/C-01-08%20public%20documents/MAG%20CSEA%20Application%20-Carbon%20Capture%20&amp;%20Sequestration%20Project%20110121.pdf</t>
  </si>
  <si>
    <t>https://ethanolproducer.com/articles/harvestone-co2-injection-commences-at-blue-flint-ethanol-ccs-project</t>
  </si>
  <si>
    <t>Midwest Carbon Express (NE, SD, ND, MI, IA)</t>
  </si>
  <si>
    <t>Summit carbon solutions (SK E&amp;S 10%)</t>
  </si>
  <si>
    <t>https://www.dtnpf.com/agriculture/web/ag/news/article/2023/08/04/summits-carbon-project-faces-setback</t>
  </si>
  <si>
    <t>https://www.carboncapturejournal.com/ViewNews.aspx?NewsID=6248</t>
  </si>
  <si>
    <t>Mikawa Power Plant BECCS Fukuoka Prefecture</t>
  </si>
  <si>
    <t>SIGMA Power Ariake (Toshiba), ESS</t>
  </si>
  <si>
    <t>https://www.global.toshiba/ww/news/energy/2020/10/news-20201031-01.html</t>
  </si>
  <si>
    <t>https://www.chemengonline.com/japanese-consortium-begins-five-year-large-scale-carbon-capture-project/</t>
  </si>
  <si>
    <t>https://www.global.toshiba/ww/news/corporate/2016/07/pr2601.html</t>
  </si>
  <si>
    <t>https://papers.ssrn.com/sol3/papers.cfm?abstract_id=4282099#</t>
  </si>
  <si>
    <t>Mote biomass-to-hydrogen plant Kern County (CA)</t>
  </si>
  <si>
    <t>Mote, CarbonCure, Fluor Corporation, SungasRenewables</t>
  </si>
  <si>
    <t>https://www.greencarcongress.com/2021/12/20211216-mote.html</t>
  </si>
  <si>
    <t>https://www.businesswire.com/news/home/20220524005541/en/Mote-Enters-Advanced-Stage-of-Engineering-Design-for-Southern-California-Carbon-Negative-Hydrogen-Facility</t>
  </si>
  <si>
    <t>Angel CCS</t>
  </si>
  <si>
    <t>Woodside, bp, Shell, Chevron, MIMI (50/50 Mitsubishi and Mitsui), Yara Piralba (JV for capture)</t>
  </si>
  <si>
    <t>https://www.offshore-energy.biz/woodside-bp-and-mimi-join-forces-for-ccs-study-in-australia/</t>
  </si>
  <si>
    <t>https://www.woodside.com/docs/default-source/media-releases/angel-ccs-jv-and-yara-collaborate-on-carbon-capture-and-storage.pdf?sfvrsn=6465c43b_17</t>
  </si>
  <si>
    <t>Mustang Station Carbon Capture (TX)</t>
  </si>
  <si>
    <t>Golden Spread Electric Cooperative,  University of Texas at Austin </t>
  </si>
  <si>
    <t>https://www.energy.gov/fecm/foa-2058-front-end-engineering-design-feed-studies-carbon-capture-systems-coal-and-natural-gas</t>
  </si>
  <si>
    <t>Nauticol and Enhance Energy blue methanol project (ALB)</t>
  </si>
  <si>
    <t>Nauticol, Enhance Energy</t>
  </si>
  <si>
    <t>1 - 0.9</t>
  </si>
  <si>
    <t>https://enhanceenergy.com/nauticol-energy-and-enhance-energy-partner/</t>
  </si>
  <si>
    <t>https://www.nauticolenergy.com/2022/04/22/nauticol-energys-inaugural-sustainability-report/</t>
  </si>
  <si>
    <t>L10 CCS</t>
  </si>
  <si>
    <t>Eni (following acquisition of Neptune Energy), EBN, ExxonMobil, Tenaz Energy</t>
  </si>
  <si>
    <t>Aramis/L10 CCS</t>
  </si>
  <si>
    <t>https://www.offshore-mag.com/renewable-energy/article/14188825/neptune-energy-leading-dutch-north-sea-carbon-capture-and-storage-study</t>
  </si>
  <si>
    <t>https://www.neptuneenergy.com/esg/l10-area-ccs-development</t>
  </si>
  <si>
    <t>https://www.neptuneenergy.com/media/press-releases/year/2023/dutch-large-scale-co2-storage-project-l10ccs-reaches-feed-phase</t>
  </si>
  <si>
    <t>L10 CCS phase 2</t>
  </si>
  <si>
    <t>Neptune Energy (Eni), EBN, Tenaz Energy Netherlands Offshore, XTO Netherlands, Petrofac (FEED)</t>
  </si>
  <si>
    <t>Net Zero Teesside Power</t>
  </si>
  <si>
    <t>BP, Equinor, Shell (Cansolv)</t>
  </si>
  <si>
    <t>https://www.carboncapturejournal.com/ViewNews.aspx?NewsID=4894</t>
  </si>
  <si>
    <t>https://www.netzeroteesside.co.uk/news/net-zero-teesside-nzt-power-named-on-desnzs-track-1-project-negotiation-list/</t>
  </si>
  <si>
    <t>https://www.newcivilengineer.com/latest/costain-completes-engineering-design-for-two-carbon-capture-projects-on-teesside-01-02-2024/</t>
  </si>
  <si>
    <t>https://www.gov.uk/government/news/the-net-zero-teesside-project-development-consent-decision-announced</t>
  </si>
  <si>
    <t>NextDecade Rio Grande LNG (TX)</t>
  </si>
  <si>
    <t>NextDecade, Mistubishi Heavy Industries (ESA/Tech)</t>
  </si>
  <si>
    <t>BlueBonnet sequestration hub (TX)</t>
  </si>
  <si>
    <t>https://nextdecade.gcs-web.com/static-files/ce6f04c5-06c0-4a99-b89e-dd70344bac4e</t>
  </si>
  <si>
    <t>https://www.naturalgasintel.com/nextdecade-targets-rio-grande-fid-early-next-year-after-latest-spa/</t>
  </si>
  <si>
    <t>East Niigata area CCS (capture sources under evaluation)</t>
  </si>
  <si>
    <t>JAPEX, Tohoku Electric Power, Mitsubishi Gas Chemical, Hokuetsu, NRI</t>
  </si>
  <si>
    <t>East Niigata area CCS</t>
  </si>
  <si>
    <t>https://www.japex.co.jp/en/news/detail/20220530_02/</t>
  </si>
  <si>
    <t>https://www.japex.co.jp/en/news/detail/20230808_01/</t>
  </si>
  <si>
    <t>Norske Skog Saugbrugs (Borg CO2)</t>
  </si>
  <si>
    <t>Borg Havn, Norske Skog Saugbrugs</t>
  </si>
  <si>
    <t>NWR Sturgeon Refinery (ALB)</t>
  </si>
  <si>
    <t>Northwest Redwater Partnership</t>
  </si>
  <si>
    <t>https://actl.ca/actl-project/about-actl/</t>
  </si>
  <si>
    <t>https://www.sciencedirect.com/science/article/pii/S1876610213008849</t>
  </si>
  <si>
    <t>https://open.alberta.ca/dataset/90f61413-0ef1-45a4-9e1c-6bff7c23fd7e/resource/f63e6823-4eec-4a62-9590-b6a091c7a058/download/energy-actl-knowledge-sharing-2019-summary-report.pdf</t>
  </si>
  <si>
    <t>Northern Endurance Partnership phase 1</t>
  </si>
  <si>
    <t>BP, Equinor, TotalEnergies (partners), Worley (technical advisors), Costain (FEED transport)</t>
  </si>
  <si>
    <t>https://www.netzeroteesside.co.uk/northern-endurance-partnership/</t>
  </si>
  <si>
    <t>https://genesisenergies.com/news/genesis-awarded-northern-endurance-partnership-nep-offshore-feed</t>
  </si>
  <si>
    <t>https://www.equinor.com/news/uk/20220512-east-coast-cluster-carbon-storage-licences</t>
  </si>
  <si>
    <t>https://www.reuters.com/business/sustainable-business/shell-pulls-out-large-carbon-capture-project-northern-england-2023-04-25/</t>
  </si>
  <si>
    <t>Northern Lights Phase 1</t>
  </si>
  <si>
    <t>Shell (33.3%), TotalEnergies (33.3%), Equinor (33.3%)</t>
  </si>
  <si>
    <t>https://ccsnorway.com/app/uploads/sites/6/2020/10/Potential-for-reduced-cost-for-carbon-capture-2019.pdf</t>
  </si>
  <si>
    <t>https://www.regjeringen.no/contentassets/943cb244091d4b2fb3782f395d69b05b/en-gb/pdfs/stm201920200033000engpdfs.pdf</t>
  </si>
  <si>
    <t>https://totalenergies.com/projects/carbon-capture-and-storage/northern-lights-first-major-carbon-capture-and-storage-project</t>
  </si>
  <si>
    <t>https://www.svanehoj.com/about/news/svanehoj-to-supply-pumps-for-northern-lights-co2-carriers/</t>
  </si>
  <si>
    <t>Northern Lights Phase 2</t>
  </si>
  <si>
    <t>https://norlights.com/news/northern-lights-awards-ship-management-contract-to-k-line/</t>
  </si>
  <si>
    <t>https://norlights.com/news/northern-lights-enters-charter-agreement-to-expand-fleet-with-a-fourth-co2-ship/</t>
  </si>
  <si>
    <t>Northern Plains Nitrogen, Summit Carbon Solutions (T&amp;S)</t>
  </si>
  <si>
    <t>https://northernplainsnitrogen.com/summit-carbon-solutions-partners-with-blue-ammonia-project-to-decarbonize-ag-supply-chain/</t>
  </si>
  <si>
    <t>https://www.prnewswire.com/news-releases/summit-carbon-solutions-partners-with-blue-ammonia-project-to-decarbonize-ag-supply-chain-301457380.html</t>
  </si>
  <si>
    <t>One Earth Energy ethanol CCS (IL)</t>
  </si>
  <si>
    <t>One Earth Energy</t>
  </si>
  <si>
    <t>CarbonSAFE Illinois Storage Corridor (IL)</t>
  </si>
  <si>
    <t>http://www.ethanolproducer.com/articles/18527/rex-reports-profitable-q2-for-ethanol-segment</t>
  </si>
  <si>
    <t>https://netl.doe.gov/project-information?p=FE0031892</t>
  </si>
  <si>
    <t>http://ethanolproducer.com/articles/17119/doe-funds-ccus-project-at-ethanol-plant-opens-new-ccus-foa</t>
  </si>
  <si>
    <t>https://ethanolproducer.com/articles/20070/rex-reports-progress-with-ccs-project-plans-capacity-expansion</t>
  </si>
  <si>
    <t>Enbridge, Capital Power, First Nation Capital Investment Partnership (FNCIP)</t>
  </si>
  <si>
    <t>https://www.prnewswire.com/news-releases/lehigh-cement-and-enbridge-agree-to-advance-a-co2-storage-solution-in-alberta-301468110.html</t>
  </si>
  <si>
    <t>https://www.eralberta.ca/projects/details/genesee-ccs/</t>
  </si>
  <si>
    <t>https://www.enbridge.com/projects-and-infrastructure/projects/open-access-wabamun-carbon-hub</t>
  </si>
  <si>
    <t>Origins project (ALB)</t>
  </si>
  <si>
    <t>https://majorprojects.alberta.ca/details/Origins-Carbon-Sequestration-Hub-Project/8539</t>
  </si>
  <si>
    <t>https://www.newswire.ca/news-releases/enhance-energy-announces-the-origins-project-a-carbon-sequestration-hub-in-central-alberta-814211988.html</t>
  </si>
  <si>
    <t>Hafslund Olso Celsio</t>
  </si>
  <si>
    <t>Hafslund Oslo Celsio (formerly Fortum Oslo Varme), Aker Carbon Capture (SLB Capturi)</t>
  </si>
  <si>
    <t>https://www.spglobal.com/commodityinsights/en/market-insights/latest-news/electric-power/111621-interview-fortum-oslo-varme-hails-ccs-for-waste-plant-as-model-for-hard-to-abate-sectors</t>
  </si>
  <si>
    <t>https://gassnova.no/en/news/revised-state-budget-government-guarantees-carbon-capture-at-klemetsrud</t>
  </si>
  <si>
    <t>https://www.linkedin.com/posts/jannicke-gerner-bjerk%C3%A5s-a65aa86b_hafslundoslocelsio-celsio-ccs-activity-6937322763439230976-87Bf?utm_source=linkedin_share&amp;utm_medium=member_desktop_web</t>
  </si>
  <si>
    <t>https://www.businesswire.com/news/home/20220703005020/en/Technip-Energies-Awarded-a-Large-EPC-Contract-by-Hafslund-Oslo-Celsio-for-a-World-First-Carbon-Capture-and-Storage-Project-at-Waste-to-Energy-Plant-in-Norway</t>
  </si>
  <si>
    <t>https://gassnova.no/en/news/celsio-puts-klemetsrud-carbon-capture-project-on-hold</t>
  </si>
  <si>
    <t>https://akercarboncapture.com/?cision_id=637CE56D2A8E4DDE</t>
  </si>
  <si>
    <t>Hanson Padeswood Cement Works CCS</t>
  </si>
  <si>
    <t>Heidelberg Materials, Hanson, Mistubishi Heavy Industries (pre-FEED/FEED), Worley (FEED)</t>
  </si>
  <si>
    <t>https://www.constructionnews.co.uk/news/cement-giant-aims-to-bring-uk-first-net-zero-plant-online-by-2027-06-04-2022/</t>
  </si>
  <si>
    <t>https://www.mhi.com/news/22121502.html</t>
  </si>
  <si>
    <t>https://www.padeswoodccs.co.uk/sites/default/files/2023-03/hanson-padeswood-ccs-initial-consultation-brochure.pdf</t>
  </si>
  <si>
    <t>PCS Nitrogen Geismar Ammonia plant (LA)</t>
  </si>
  <si>
    <t>Nutrien, ExxonMobil (formerly Denbury carbon solutions)</t>
  </si>
  <si>
    <t>1.2 - 1.8</t>
  </si>
  <si>
    <t>Denbury Green pipeline /Gemini (LA)</t>
  </si>
  <si>
    <t>https://nutrien-prod-asset.s3.us-east-2.amazonaws.com/s3fs-public/uploads/2022-05/Nutrien%20Announces%20Intention%20to%20Build%20World%E2%80%99s%20Largest%20Clean%20Ammonia%20Production%20Facility.pdf</t>
  </si>
  <si>
    <t>https://direct.argusmedia.com/newsandanalysis/Article/2476003</t>
  </si>
  <si>
    <t>0.2 - 0.3</t>
  </si>
  <si>
    <t>https://www.bizjournals.com/dallas/news/2013/05/10/denbury-using-plant-emissions-for-oil.html</t>
  </si>
  <si>
    <t>https://www.ammoniaenergy.org/wp-content/uploads/2020/12/Blake-Adair.pdf</t>
  </si>
  <si>
    <t>https://s1.q4cdn.com/594864049/files/doc_presentations/2017/2017-February-Corporate-Presentation-Final.pdf</t>
  </si>
  <si>
    <t>https://www.wafb.com/story/13947240/pcs-nitrogen-plant-will-restart/</t>
  </si>
  <si>
    <t>Peterhead Carbon Capture Power Station</t>
  </si>
  <si>
    <t>SSE Thermal, Equinor</t>
  </si>
  <si>
    <t>https://www.equinor.com/en/where-we-are/united-kingdom/110521-peterhead-CCS.html</t>
  </si>
  <si>
    <t>https://www.sse.com/news-and-views/2022/03/peterhead-takes-major-step-towards-low-carbon-power-as-planning-application-submitted/</t>
  </si>
  <si>
    <t>https://www.ssethermal.com/news-and-views/2022/07/major-engineering-contract-awarded-at-landmark-peterhead-carbon-capture-power-station</t>
  </si>
  <si>
    <t>Peterhead Power Station CCS (2011 version)</t>
  </si>
  <si>
    <t>SSE, Shell</t>
  </si>
  <si>
    <t>1 - 1.5</t>
  </si>
  <si>
    <t>https://www.sciencedirect.com/science/article/pii/S1876610214024722</t>
  </si>
  <si>
    <t>http://www.scottishenergynews.com/cancellation-of-peterhead-carbon-capture-project-huge-strategic-loss-to-uk/</t>
  </si>
  <si>
    <t>Petra Nova Carbon Capture (TX)</t>
  </si>
  <si>
    <t>NRG (equity), JX Nippon (equity), JBIC (debt), Mizhou bank (backed by NEXI)(debt)</t>
  </si>
  <si>
    <t>https://www.eia.gov/todayinenergy/detail.php?id=33552</t>
  </si>
  <si>
    <t>https://www.energy.gov/fecm/petra-nova-wa-parish-project</t>
  </si>
  <si>
    <t>https://localtoday.news/tx/the-worlds-largest-carbon-capture-facility-is-getting-a-second-chance-in-texas-164853.html</t>
  </si>
  <si>
    <t>Petrobras Santos Basin pre-salt oilfield CCS (ES)</t>
  </si>
  <si>
    <t>Petrobas</t>
  </si>
  <si>
    <t>3 - 10.6</t>
  </si>
  <si>
    <t>https://sequestration.mit.edu/tools/projects/lula.html</t>
  </si>
  <si>
    <t>https://www.offshore-mag.com/geosciences/article/16763789/petrobras-tests-new-technologies-for-co2-capture-storage</t>
  </si>
  <si>
    <t>https://www.ogci.com/case-study/petrobras-applying-carbon-capture-and-eor-at-scale-in-ultra-deep-waters-case-study/</t>
  </si>
  <si>
    <t>https://sustentabilidade.petrobras.com.br/documents/42532/0/2021%20SUSTAINABILITY%20REPORT/343f2b9c-8bbb-ef73-0cb9-b797fad3f896</t>
  </si>
  <si>
    <t>Petronas Kasawari gas field CCS project (Kasawari Phase 2 project)</t>
  </si>
  <si>
    <t>Petronas, Technip, National Petroleum Construction Company, Worley (EPC), Kawasaki Heavy Industries, Malaysia Marine and Heavy Engineering Sdn Bhd (Compressor)</t>
  </si>
  <si>
    <t>https://www.offshore-energy.biz/petronas-picks-xodus-for-malaysian-offshore-carbon-capture-project/</t>
  </si>
  <si>
    <t>https://www.petronas.com/flow/business/offer-no-other</t>
  </si>
  <si>
    <t>https://ijglobal.com/articles/160281/petronas-moves-forward-kasawari-ccs</t>
  </si>
  <si>
    <t>https://www.upstreamonline.com/exclusive/petronas-awards-dual-feed-contracts-for-worlds-largest-offshore-ccs-project/2-1-1167988</t>
  </si>
  <si>
    <t>http://tradearabia.com/touch/article/OGN/395506</t>
  </si>
  <si>
    <t>https://www.petronas.com/media/media-releases/petronas-carigali-reaches-final-investment-decision-kasawari-ccs-project</t>
  </si>
  <si>
    <t>https://investors.bakerhughes.com/news-releases/news-release-details/baker-hughes-supply-key-technology-one-worlds-largest-offshore</t>
  </si>
  <si>
    <t>Phillips 66 Humber refinery</t>
  </si>
  <si>
    <t>Phillips 66, Babcock &amp; Wilcox (FEED)</t>
  </si>
  <si>
    <t>https://www.harbourenergy.com/sustainability/v-net-zero/</t>
  </si>
  <si>
    <t>https://www.woodplc.com/news/latest-press-releases/2021/wood-awarded-contract-for-humber-zero-project</t>
  </si>
  <si>
    <t>https://www.santos.com/news/moomba-ccs-project-boosted-by-a15-million-grant-from-carbon-capture-use-and-storage-development-fund/</t>
  </si>
  <si>
    <t>https://fueloilnews.co.uk/2022/05/shell-tech-deal-will-see-phillips-66-refinery-first-to-reduce-co2-emissions/</t>
  </si>
  <si>
    <t>https://investors.babcock.com/press-releases/press-release-details/2023/Babcock--Wilcox-Awarded-Contract-to-Support-Phillips-66-Carbon-Capture-Project-in-U.K/default.aspx</t>
  </si>
  <si>
    <t>https://144000848.fs1.hubspotusercontent-eu1.net/hubfs/144000848/Humber-Zero-Technology-Report.pdf</t>
  </si>
  <si>
    <t>Pieridae Caroline Carbon Capture Power Complex Phase 1 (ALB)</t>
  </si>
  <si>
    <t>Pieridae Energy Ltd.</t>
  </si>
  <si>
    <t>https://www.globenewswire.com/en/news-release/2021/05/27/2237301/0/en/Pieridae-Creating-Caroline-Carbon-Capture-Power-Complex.html</t>
  </si>
  <si>
    <t>https://gascompressionmagazine.com/2021/06/04/6014/</t>
  </si>
  <si>
    <t>Pieridae Caroline Carbon Capture Power Complex Phase 2 (ALB)</t>
  </si>
  <si>
    <t>Pine Lake Corn Processors Steamboat Rock biorefinery (IA)</t>
  </si>
  <si>
    <t>Pine Lake Corn Processors, Summit Carbon Solutions</t>
  </si>
  <si>
    <t>0.19 - 0.23</t>
  </si>
  <si>
    <t xml:space="preserve">Plant Daniel Carbon Capture (MS) </t>
  </si>
  <si>
    <t>Southern Company Services, Linde/BASF (FEED, tech provider)</t>
  </si>
  <si>
    <t>Project ECO2S: Early CO2 Storage Complex in Kemper County (MS)</t>
  </si>
  <si>
    <t>https://www.osti.gov/biblio/1890156</t>
  </si>
  <si>
    <t>Plymouth Energy Merrill biorefinery (IA)</t>
  </si>
  <si>
    <t>Plymouth Energy, Summit Carbon Solutions</t>
  </si>
  <si>
    <t>POET 17 bioprocessing plants (IA, NE, SD)</t>
  </si>
  <si>
    <t>POET</t>
  </si>
  <si>
    <t>https://poet.com/resources/documents/POET-sustainability-report.pdf</t>
  </si>
  <si>
    <t>ECO2CEE (Poland EU CCS Interconnector) phase 1</t>
  </si>
  <si>
    <t>Poland, Latvia, Lithuania</t>
  </si>
  <si>
    <t>Air Liquide Polska, PKN Orlen, Lafarge Cement, Orlen Lietuva</t>
  </si>
  <si>
    <t>2.5 - 3</t>
  </si>
  <si>
    <t>ECO2CEE (Gdansk terminal)</t>
  </si>
  <si>
    <t>https://ec.europa.eu/energy/maps/pci_fiches/PciFiche_12.9.pdf</t>
  </si>
  <si>
    <t>https://www.energy.gov/sites/default/files/2023-08/8.%20ECO2CEE%20PKN%20ORLEN.pdf</t>
  </si>
  <si>
    <t>https://www.orlen.pl/en/about-the-company/media/press-releases/2023/December-2023/ORLEN-EU-funding-secured-for-CO2-transshipment-terminal-</t>
  </si>
  <si>
    <t>ECO2CEE (previously Poland EU CCS Interconnector) phase 2</t>
  </si>
  <si>
    <t>ECO2CEE</t>
  </si>
  <si>
    <t>Polaris CCS capture (ALB)</t>
  </si>
  <si>
    <t>Shell Canada</t>
  </si>
  <si>
    <t>Polaris offshore storage facility</t>
  </si>
  <si>
    <t>Horisont Energi, PGNiG Upstream Norway (operator)</t>
  </si>
  <si>
    <t>4 - 8</t>
  </si>
  <si>
    <t>https://www.horisontenergi.no/carbon-storage/</t>
  </si>
  <si>
    <t>https://www.offshore-mag.com/renewable-energy/article/14203679/equinor-horisont-progressing-polaris-carbon-storage-project-offshore-northern-norway</t>
  </si>
  <si>
    <t>https://horisontenergi.no/news/horisont-energi-intends-to-partner-with-pgnig-upstream-norway-as-operator-in-the-barents-sea-co2-licence-polaris/</t>
  </si>
  <si>
    <t>https://horisontenergi.no/wp-content/uploads/2023/02/280223_Horisont-Energi-Pareto-Conference-_FINAL.pdf</t>
  </si>
  <si>
    <t>https://horisontenergi.no/news/pgnig-upstream-norway-approved-as-operator-and-partner-with-horisont-energi-in-the-polaris-co2-storage/</t>
  </si>
  <si>
    <t>Valero Port Arthur Refinery (TX)</t>
  </si>
  <si>
    <t>Air products, ExxonMobil (formerly Denbury carbon solutions)</t>
  </si>
  <si>
    <t>https://ieaghg.org/publications/technical-reports/reports-list/9-technical-reports/956-2018-05-the-ccs-project-at-air-products-port-arthur-hydrogen-production-facility</t>
  </si>
  <si>
    <t>https://www.energy.gov/articles/breakthrough-industrial-carbon-capture-utilization-and-storage-project-begins-full-scale</t>
  </si>
  <si>
    <t>https://www.osti.gov/biblio/1437618</t>
  </si>
  <si>
    <t>https://s27.q4cdn.com/166477028/files/doc_downloads/Denbury-2021-Corporate-Responsibility-Report.pdf</t>
  </si>
  <si>
    <t>Porthos offshore transport and storage</t>
  </si>
  <si>
    <t>Prairie State Generating Station Carbon Capture (IL)</t>
  </si>
  <si>
    <t>Prairie Research Institute (University of Illinois), Mitsubishi Heavy Industries, Kiewit Engineering Group, Sargent &amp; Lundy</t>
  </si>
  <si>
    <t>5 - 7.5</t>
  </si>
  <si>
    <t>https://prairiestateenergycampus.com/carbon_capture_retrofit_project/</t>
  </si>
  <si>
    <t>https://netl.doe.gov/projects/project-information.aspx?p=FE0031841</t>
  </si>
  <si>
    <t>https://blogs.illinois.edu/view/7447/409342776</t>
  </si>
  <si>
    <t>Prax</t>
  </si>
  <si>
    <t>Preem, Aker solutions, Equinor</t>
  </si>
  <si>
    <t>https://www.offshore-energy.biz/preem-kicks-off-swedens-largest-ccs-project/</t>
  </si>
  <si>
    <t>Project Bifrost Phase 1</t>
  </si>
  <si>
    <t xml:space="preserve"> Danish Underground Consortium (TotalEnergies, Noreco, Nordsofonden), Orsted, TU Denmark</t>
  </si>
  <si>
    <t>2 - 3</t>
  </si>
  <si>
    <t>Project Bifrost</t>
  </si>
  <si>
    <t>https://www.noreco.com/news/2021/q3/noreco-announces-the-ccs-partnership-project-bifrost</t>
  </si>
  <si>
    <t>https://www.oedigital.com/news/490432-duc-rsted-dtu-enter-ccs-project-in-denmark</t>
  </si>
  <si>
    <t>https://www.offshore-energy.biz/danish-govt-bankrolls-two-projects-for-co2-storage-in-north-sea/</t>
  </si>
  <si>
    <t>https://offshore.dtu.dk/english/press-room/news/project-bifrost-new-promising-ccs-results?id=32a4bc2b-ac81-42c7-bcd0-145f189df19a</t>
  </si>
  <si>
    <t>https://bifrost-ccs.com/</t>
  </si>
  <si>
    <t>Project Cavendish Phase 1</t>
  </si>
  <si>
    <t xml:space="preserve">Arup, VPI, National Grid Ventures, Shell, SSE Thermal, Uniper, Acorn
</t>
  </si>
  <si>
    <t>https://www.spglobal.com/commodityinsights/en/market-insights/latest-news/electric-power/101221-consortium-plans-700-mw-blue-hydrogen-project-in-thames-with-scottish-ccs-by-2027</t>
  </si>
  <si>
    <t>Project Cavendish Phase 2</t>
  </si>
  <si>
    <t>ECO2S: Early CO2 Storage Complex in Kemper County (MS)</t>
  </si>
  <si>
    <t>Southern States Energy Board, Mississipi Power (Southern Company)</t>
  </si>
  <si>
    <t>Greensand Future phase 1</t>
  </si>
  <si>
    <t>INEOS E&amp;P, Wintershell Dea (Harbour Energy), Welltec (storage), Aquaterra Energy (FEED), Royal Wagenborg (ship)</t>
  </si>
  <si>
    <t>Greensand</t>
  </si>
  <si>
    <t>https://wintershalldea.com/en/newsroom/offshore-ccs-planned-2025-project-greensand</t>
  </si>
  <si>
    <t>https://projectgreensand.com/</t>
  </si>
  <si>
    <t>https://www.projectgreensand.com/en/hvad-er-project-greensand</t>
  </si>
  <si>
    <t>https://www.ineos.com/news/ineos-group/ineos-led-consortium-announces-breakthrough-in-carbon-capture-and-storage/</t>
  </si>
  <si>
    <t>https://aquaterraenergy.com/aquaterra-energy-lands-platform-repurposing-contract-for-trailblazing-project-greensand/</t>
  </si>
  <si>
    <t>https://www.ineos.com/news/shared-news/ineos-led-project-greensand-and-royal-wagenborg-sign-agreement-on-co2-carrier-in-the-presence-of-hm-king-willem-alexander-of-the-netherlands-and-hm-king-frederik-of-denmark/</t>
  </si>
  <si>
    <t>Project Greensand phase 2</t>
  </si>
  <si>
    <t>INEOS E&amp;P, Wintershell Dea (Harbour Energy), Welltec (storage)</t>
  </si>
  <si>
    <t>Hereford Ethanol Plant - Carbon Storage Texas I (TX)  (Project Interseqt)</t>
  </si>
  <si>
    <t>White Energy, Occidental</t>
  </si>
  <si>
    <t>https://www.white-energy.com/occidental-petroleum-and-white-energy-to-study-feasibility-of-capturing-co2for-use-in-enhanced-oil-recovery-operations/</t>
  </si>
  <si>
    <t>Project Interseqt - Plainview Ethanol Plant (TX)</t>
  </si>
  <si>
    <t>White Energy,Occidental</t>
  </si>
  <si>
    <t>Project Phoenix ammonia (WY)</t>
  </si>
  <si>
    <t>North Shore Energy, Starwood Energy Group</t>
  </si>
  <si>
    <t>Project Pouakai Hydrogen Production with CCS</t>
  </si>
  <si>
    <t>8Rivers, Toshiba, McDermott, Exelon</t>
  </si>
  <si>
    <t>https://www.scoop.co.nz/stories/BU1910/S00041/update-8-rivers-ccs-project-in-60m-capital-raise.htm</t>
  </si>
  <si>
    <t>Project Tundra at Milton R Young Station (ND)</t>
  </si>
  <si>
    <t>Minnkota Power Cooperative Inc.</t>
  </si>
  <si>
    <t>3.1 - 4</t>
  </si>
  <si>
    <t>North Dakota CarbonSAFE (ND)</t>
  </si>
  <si>
    <t>https://www.projecttundrand.com/co2-storage</t>
  </si>
  <si>
    <t>\\vfiler2\group4\STO\WEO\ETP\CCUS\3_Databases\CCUS Tracking\References\Front-End Engineering &amp; Design Project Tundra Carbon Capture System.pdf</t>
  </si>
  <si>
    <t>https://www.projecttundrand.com/post/minnkota-and-summit-carbon-solutions-announce-co2-storage-partnership</t>
  </si>
  <si>
    <t>https://www.inforum.com/news/north-dakota/with-cost-upped-to-1-45b-project-tundra-seeks-funds-from-north-dakota-energy-board</t>
  </si>
  <si>
    <t>https://www.projecttundrand.com/post/fluor-awarded-project-tundra-feed-study</t>
  </si>
  <si>
    <t>https://carbonherald.com/project-tundra-receives-first-4-2m-from-doe-for-carbon-capture-research/</t>
  </si>
  <si>
    <t>Banggai ammonia plant Central Sulawesi</t>
  </si>
  <si>
    <t>JOGMEC, Mitsubishi, PT Panca Amara Utama, ITB, Pertamina</t>
  </si>
  <si>
    <t>PYCASSO hub phase 1 - eastern and western pipeline</t>
  </si>
  <si>
    <t>Terega, Pole Avenia, Agglo Pau, Holcim Group, Université de Pau, BGRM, IFPEN, Schlumberger, Repsol, CNAM, geostock, geopetrol</t>
  </si>
  <si>
    <t>PYCASSO hub</t>
  </si>
  <si>
    <t>https://www.reuters.com/world/europe/carbon-capture-storage-projects-across-europe-2022-12-28/</t>
  </si>
  <si>
    <t>Qatar LNG</t>
  </si>
  <si>
    <t>QatarEnergy LNG, ExxonMobil</t>
  </si>
  <si>
    <t>1.23 - 2.1</t>
  </si>
  <si>
    <t>https://www.aljazeera.com/economy/2019/10/8/qatar-building-large-co2-storage-plant</t>
  </si>
  <si>
    <t>https://www.qatargas.com/english/sustainability/Sustainability%20Reports/Sustainability%20%20Report%202021_English.pdf</t>
  </si>
  <si>
    <t>Qatar North Field East Project CCS</t>
  </si>
  <si>
    <t>QatarEnergy LNG</t>
  </si>
  <si>
    <t>2.9 - 4.3</t>
  </si>
  <si>
    <t>https://www.aa.com.tr/en/energy/projects/qatar-to-store-more-than-5m-tons-of-co2-a-year-by-2025/26924</t>
  </si>
  <si>
    <t>https://www.spglobal.com/commodityinsights/en/market-insights/latest-news/natural-gas/063021-qp-to-spend-200-million-on-emissions-reduction-technology-for-lng-expansion-project</t>
  </si>
  <si>
    <t>https://www.gem.wiki/Qatar_North_Field_LNG_Terminal</t>
  </si>
  <si>
    <t>https://www.upstreamonline.com/carbon-capture/worley-wins-feed-contract-for-qatargas-ccs-project/2-1-1523500</t>
  </si>
  <si>
    <t>Quad County Corn Processors Galva biorefinery (IA)</t>
  </si>
  <si>
    <t>Quad County Corn Processors, Summit Carbon Solutions</t>
  </si>
  <si>
    <t>0.09 - 0.11</t>
  </si>
  <si>
    <t>Quest CCS (ALB)</t>
  </si>
  <si>
    <t>Canadian Natural Resources Limited, Shell Canada, Chevron Canada</t>
  </si>
  <si>
    <t>https://open.alberta.ca/publications/quest-carbon-capture-and-storage-project-annual-report-2020</t>
  </si>
  <si>
    <t>https://open.alberta.ca/dataset/67f52cd3-8dce-4f56-ad62-a00ff7948fd0/resource/c4e6d05d-7b7c-439a-9f5c-c4ab91853803/download/ccsquestreport2015.pdf</t>
  </si>
  <si>
    <t>https://open.alberta.ca/dataset/113f470b-7230-408b-a4f6-8e1917f4e608/resource/e957e772-4fe2-4504-8fea-439120134427/download/quest-annual-summary-report-alberta-department-of-energy-2021.pdf</t>
  </si>
  <si>
    <t>Ravenna CCS phase 2</t>
  </si>
  <si>
    <t>Eni, Snam</t>
  </si>
  <si>
    <t>Red Trail Energy BECCS Project (ND)</t>
  </si>
  <si>
    <t>Plains CO2 Reduction Partnership,  Energy &amp; Environmental Research Centre,  Red Trail Energy (acquired by Gevo)</t>
  </si>
  <si>
    <t>https://www.upstreamonline.com/energy-transition/north-dakota-approves-landmark-ccs-project/2-1-1085735</t>
  </si>
  <si>
    <t>https://www.dmr.nd.gov/dmr/sites/www/files/documents/Oil%20and%20Gas/Class%20VI/Red%20Trail/37229%20Class%20VI%20Permit.pdf</t>
  </si>
  <si>
    <t>Redcar Energy Centre EfW</t>
  </si>
  <si>
    <t>Redcar Energy (Low Carbon Ltd and PMAC Energy joint venture)</t>
  </si>
  <si>
    <t>https://www.redcarenergycentre.co.uk/redcar-energy-centre-applies-to-support-uk-governments-carbon-capture-ambitions/</t>
  </si>
  <si>
    <t>Redfield Energy biorefinery (ND)</t>
  </si>
  <si>
    <t>Red River BioRefinery, Summit Carbon Solutions</t>
  </si>
  <si>
    <t>CCS Sakakemang</t>
  </si>
  <si>
    <t>Repsol, Petronas, MOECO</t>
  </si>
  <si>
    <t>https://www.energyvoice.com/oilandgas/asia/307399/repsol-eyes-giant-carbon-storage-scheme-in-indonesia/</t>
  </si>
  <si>
    <t>https://theinsiderstories.com/repsol-explores-the-carbon-dioxide-project-in-sakakemang-block/</t>
  </si>
  <si>
    <t>https://www.repsol.com/content/dam/repsol-corporate/es/accionistas-e-inversores/pdf/low-carbon-initiatives-in-exploration-css.pdf</t>
  </si>
  <si>
    <t>https://www.upstreamonline.com/energy-transition/repsol-details-indonesia-ccs-project-linked-to-giant-gas-development/2-1-1081373</t>
  </si>
  <si>
    <t>Ringneck Energy &amp; Feed Onida biorefinery (SD)</t>
  </si>
  <si>
    <t>Ringneck Energy, Summit Carbon Solutions</t>
  </si>
  <si>
    <t>San Juan Generating Station (NM)</t>
  </si>
  <si>
    <t>Enchant Energy, Farmington Electric Utility System, Mistubishi Heavy Industries (tech)</t>
  </si>
  <si>
    <t>https://netl.doe.gov/sites/default/files/netl-file/21CMOG_CCUS_Mandelstam.pdf</t>
  </si>
  <si>
    <t>Moomba Carbon Capture and Storage</t>
  </si>
  <si>
    <t>Santos, Beach Energy</t>
  </si>
  <si>
    <t>Moomba CCS storage hub</t>
  </si>
  <si>
    <t>https://www.santos.com/wp-content/uploads/2021/11/211101-Santos-announces-FID-on-Moomba-carbon-capture-and-storage-project.pdf</t>
  </si>
  <si>
    <t>https://www.santos.com/news/moomba-carbon-capture-and-storage-injection-trial-successful/</t>
  </si>
  <si>
    <t>https://www.santos.com/news/moomba-ccs-progressing-at-pace-and-on-track-for-2024/</t>
  </si>
  <si>
    <t>https://www.santos.com/news/santos-secures-moomba-carbon-capture-and-storage-finance-to-drive-decarbonisation/</t>
  </si>
  <si>
    <t>https://www.eneos.co.jp/english/newsrelease/2023/pdf/20231208_01.pdf</t>
  </si>
  <si>
    <t>Moomba CCS storage hub (phase 2)</t>
  </si>
  <si>
    <t>Japan-Australia</t>
  </si>
  <si>
    <t>Santos, JX Nippon Oil &amp; Gas Exploration Corporation, ENEOS</t>
  </si>
  <si>
    <t>https://www.santos.com/news/santos-announces-fid-on-moomba-carbon-capture-and-storage-project/</t>
  </si>
  <si>
    <t>https://www.santos.com/news/santos-jx-and-eneos-to-collaborate-on-carbon-capture-and-storage-to-support-moomba-ccs-phase-2-and-help-japan-decarbonise/</t>
  </si>
  <si>
    <t>SHARC Neste</t>
  </si>
  <si>
    <t>Neste
Oyj</t>
  </si>
  <si>
    <t>Calpine Deer Park Energy Center (TX)</t>
  </si>
  <si>
    <t>Calpine Texas CCUS Holdings</t>
  </si>
  <si>
    <t>https://www.shell.com/business-customers/catalysts-technologies/resources-library/trade-release-shell-catalysts-and-technologies-and-calpine-deer-park-energy-center.html</t>
  </si>
  <si>
    <t>https://netl.doe.gov/node/11224</t>
  </si>
  <si>
    <t>https://netl.doe.gov/sites/default/files/netl-file/23CM_PSCC28_Herman.pdf</t>
  </si>
  <si>
    <t>Shell Netherlands Refineries biodiesel</t>
  </si>
  <si>
    <t>Shell</t>
  </si>
  <si>
    <t>https://www.offshore-technology.com/news/shell-biofuels-refinery-netherlands/</t>
  </si>
  <si>
    <t>Shell Netherlands Refineries heavy residue gasification CCU</t>
  </si>
  <si>
    <t>http://media.hydrocarbonengineering.com/whitepapers/files/The-Shell-Blue-Hydrogen-Process.pdf</t>
  </si>
  <si>
    <t>Shell, Uniper</t>
  </si>
  <si>
    <t>Sinopec Nanjing Chemical Industries CCUS Cooperation Project (Jiangsu)</t>
  </si>
  <si>
    <t>Sinopec</t>
  </si>
  <si>
    <t>Jiangsu oilfield</t>
  </si>
  <si>
    <t>https://www.upstreamonline.com/energy-transition/sinopec-utilising-carbon-capture-to-enhance-oil-recovery/2-1-1142311</t>
  </si>
  <si>
    <t>https://news.bjx.com.cn/html/20211230/1196712.shtml</t>
  </si>
  <si>
    <t>Sinopec Qilu Petrochemical Shengli (Shandong)</t>
  </si>
  <si>
    <t>Sinopec, Qilu Petrochemical</t>
  </si>
  <si>
    <t>0.7 - 1</t>
  </si>
  <si>
    <t>Shengli oilfield</t>
  </si>
  <si>
    <t>https://www.rigzone.com/news/sinopec_finishes_first_megaton_ccus_project_in_china-31-jan-2022-167744-article/</t>
  </si>
  <si>
    <t>http://www.sinopecgroup.com/group/en/Sinopecnews/20220130/news_20220130_467995626111.shtml</t>
  </si>
  <si>
    <t>http://www.sinopec.com/listco/en/csr/kcx/hjjx.shtml</t>
  </si>
  <si>
    <t>Sinopec Shengli Power Plant CCS (Shandong)</t>
  </si>
  <si>
    <t>1 - 2</t>
  </si>
  <si>
    <t>https://www.upstreamonline.com/energy-transition/sinopec-launches-china-s-largest-ccus-project/2-1-1035803</t>
  </si>
  <si>
    <t>Siouxland Energy Cooperative Sioux Center biorefinery (IA)</t>
  </si>
  <si>
    <t>Siouxland Energy Cooperative, Summit Carbon Solutions</t>
  </si>
  <si>
    <t>Donghae CCS Project (capture sources under evaluation)</t>
  </si>
  <si>
    <t xml:space="preserve"> Korea National Oil Corporation and partners</t>
  </si>
  <si>
    <t>https://en.yna.co.kr/view/AEN20211118006300320</t>
  </si>
  <si>
    <t>http://www.koreaherald.com/view.php?ud=20210831000937</t>
  </si>
  <si>
    <t>https://splash247.com/hyundai-heavy-develops-offshore-co2-storage-platform/</t>
  </si>
  <si>
    <t>https://www.kedglobal.com/newsView/ked202105260012</t>
  </si>
  <si>
    <t>https://fuelcellsworks.com/news/abs-awards-aip-to-hhi-groups-green-hydrogen-production-platform-and-carbon-dioxide-injection-platform-design/</t>
  </si>
  <si>
    <t>https://www.hdec.kr/en/newsroom/news_view.aspx?NewsSeq=819&amp;NewsType=LATEST&amp;NewsListType=news_list</t>
  </si>
  <si>
    <t>Sleipner</t>
  </si>
  <si>
    <t>Equinor, Eni</t>
  </si>
  <si>
    <t>https://www.ice.org.uk/knowledge-and-resources/case-studies/sleipner-carbon-capture-storage-project</t>
  </si>
  <si>
    <t>https://www.equinor.com/news/20220318-annual-sustainability-reports-2021</t>
  </si>
  <si>
    <t>Snohvit CO2 capture and storage</t>
  </si>
  <si>
    <t>Equinor, Petoro, TotalEnergies, Eni (following acquisition of Neptune Energy), Wintershall Dea (Harbour Energy)</t>
  </si>
  <si>
    <t>https://www.sciencedirect.com/science/article/pii/S187661021300492X</t>
  </si>
  <si>
    <t>https://www.offshore-technology.com/projects/snohvit-field/</t>
  </si>
  <si>
    <t>South East Australia carbon capture and storage (SEA CCS) hub</t>
  </si>
  <si>
    <t>Esso Australia Resources Pty Ltd (ExxonMobil), Woodside energy</t>
  </si>
  <si>
    <t>0.5 - 2</t>
  </si>
  <si>
    <t>Sea CCS hub</t>
  </si>
  <si>
    <t>https://www.carboncapturejournal.com/ViewNews.aspx?NewsID=5056</t>
  </si>
  <si>
    <t>https://www.exxonmobil.com.au/-/media/australia/files/energy-and-environment/upstream-operations/sea-ccs-project-pcp.pdf</t>
  </si>
  <si>
    <t>https://www.exxonmobil.com.au/-/media/Australia/Files/Energy-and-environment/Upstream-operations/SEA-CCS-Pipeline-Fact-Sheet--About-the-Project.pdf</t>
  </si>
  <si>
    <t>Kwinana Industrial Area CO2 Aggregation Project</t>
  </si>
  <si>
    <t>https://www.pilotenergy.com.au/sites/default/files/presentation_file/20230821-pilot-kwinana-major-projects-conference-final-v2.pdf</t>
  </si>
  <si>
    <t>https://www.pilotenergy.com.au/blue-hydrogen</t>
  </si>
  <si>
    <t>Department of Mines, Industry Regulation and Safety (DMIRS)</t>
  </si>
  <si>
    <t>https://www.dmp.wa.gov.au/South-West-Hub-CCS-1489.aspx</t>
  </si>
  <si>
    <t>HyNet Hydrogen Production Project (HPP) Plant 1 (Hynet phase 1)</t>
  </si>
  <si>
    <t>EET Hydrogen (former Vertex Hydrogen, joint venture Essar Oil 90% and progressive energy 10%), ENKA</t>
  </si>
  <si>
    <t>https://hynet.co.uk/wp-content/uploads/2020/10/HyNet_NW-Vision-Document-2020_FINAL.pdf</t>
  </si>
  <si>
    <t>https://assets.publishing.service.gov.uk/government/uploads/system/uploads/attachment_data/file/866401/HS384_-_Progressive_Energy_-_HyNet_hydrogen.pdf</t>
  </si>
  <si>
    <t>http://www.essaroil.co.uk/news/world-first-low-carbon-hydrogen-projects-in-the-north-west-win-13m-government-backing/</t>
  </si>
  <si>
    <t>https://www.eni.com/en-IT/net-zero/hynet-cattura-co2-uk.html</t>
  </si>
  <si>
    <t>https://www.ukpia.com/media-centre/news/2020/ukpia-welcomes-hynet-hydrogen-investments-at-essar-stanlow-refinery/</t>
  </si>
  <si>
    <t>http://www.essaroil.co.uk/news/low-carbon-project-at-stanlow-secures-government-backing/</t>
  </si>
  <si>
    <t>https://www.essaroil.co.uk/news/essar-oil-uk-to-build-360-million-carbon-capture-facility-to-deliver-on-its-ambition-to-be-a-leading-low-carbon-refinery/</t>
  </si>
  <si>
    <t>Stockholm Exergi Värtan CHP CCS (BECCS@STHLM)</t>
  </si>
  <si>
    <t>Stockolm Exergi, CO2 Capsol (FEED)</t>
  </si>
  <si>
    <t>https://www.worldoil.com/news/2021/9/16/petrofac-and-co2-capsol-collaborate-on-carbon-capture-initiatives</t>
  </si>
  <si>
    <t>https://www.stockholmexergi.se/om-stockholm-exergi/about-stockholm-exergi/negative-emissions/bio-ccs/</t>
  </si>
  <si>
    <t>https://s3.amazonaws.com/kajabi-storefronts-production/sites/115985/themes/2148343364/downloads/PvmersByTLqblK07dsqx_200721_Stockholm_Exergi_has_selected_CO2_Capsol_s_End_of_Pipe_solution_.pdf</t>
  </si>
  <si>
    <t>https://ec.europa.eu/clima/system/files/2022-04/if_pf%202022_beccs_en_0.pdf</t>
  </si>
  <si>
    <t>https://www.carboncapturejournal.com/ViewNews.aspx?NewsID=5472</t>
  </si>
  <si>
    <t>https://carbonherald.com/stockholm-exergi-receives-court-approval-for-carbon-capture-project/</t>
  </si>
  <si>
    <t>Northeast Scotland DAC</t>
  </si>
  <si>
    <t>Storegga, Carbon Engineering (Oxy), Petrofac Facilities Management (engineering), Universities of Cambridge and Edinburgh.</t>
  </si>
  <si>
    <t>0.5 - 1</t>
  </si>
  <si>
    <t>https://carbonengineering.com/news-updates/uks-first-large-scale-dac-facility/?utm_campaign=Newsletter%20Content&amp;utm_source=email&amp;utm_content=Carbon%20Quarterly%20Q2%202021</t>
  </si>
  <si>
    <t>Suez Tees Valley / Haverton Hill Waste to Energy CCS</t>
  </si>
  <si>
    <t>Suez, Fluor</t>
  </si>
  <si>
    <t>https://www.suez.co.uk/en-gb/news/press-releases/201116-reduction-of-co2-emissions-by-2030</t>
  </si>
  <si>
    <t>https://www.bbc.com/news/uk-england-tees-61231252</t>
  </si>
  <si>
    <t>Heartland hydrogen hub (ALB)</t>
  </si>
  <si>
    <t>Suncor, ATCO</t>
  </si>
  <si>
    <t>Atlas Carbon Sequestration Hub (alb)</t>
  </si>
  <si>
    <t>Kanata CarbonHub (ALB)</t>
  </si>
  <si>
    <t>Kanata Clean Power &amp; Climate Technologies Corp, Vault 44.01, Carbonvert Inc., Frog Lake First Nations #121 &amp; #122, Kehewin Cree Nation, Tribal Chiefs Ventures Inc.</t>
  </si>
  <si>
    <t>T6-Kanata CarbonHub (ALB)</t>
  </si>
  <si>
    <t>https://www.thenewswire.com/press-releases/1BNMFP4a8-treaty-six-first-nations-and-partners-submit-application-to-build-indigenous-led-carbon-hub-in-alberta.html</t>
  </si>
  <si>
    <t>TA'ZIZ, Fertiglobe (ADNOC shares sold to Fertiglobe), Mitsui, GS Energy</t>
  </si>
  <si>
    <t>https://www.offshore-energy.biz/mitsui-and-gs-join-taziz-in-blue-ammonia-project/</t>
  </si>
  <si>
    <t>https://www.adnoc.ae/en/news-and-media/press-releases/2023/taziz-progresses-with-low-carbon-ammonia-shareholder-agreement</t>
  </si>
  <si>
    <t>https://www.zawya.com/en/press-release/companies-news/taziz-progresses-with-low-carbon-ammonia-shareholder-agreement-a0zxqo6i</t>
  </si>
  <si>
    <t>https://www.offshore-energy.biz/taziz-ammonia-project-in-abu-dhabi-reaches-new-stage/</t>
  </si>
  <si>
    <t xml:space="preserve">Tangguh LNG EGR </t>
  </si>
  <si>
    <t>BP (Mitsubishi, Inpex,  JX  Nippon,  KG  Mitsui,  LNG  Japan,  CNOOC), ITB</t>
  </si>
  <si>
    <t>2.5 - 3.3</t>
  </si>
  <si>
    <t>Tangguh CCUS hub</t>
  </si>
  <si>
    <t>https://www.reuters.com/business/sustainable-business/indonesia-approves-plan-develop-ubadari-gas-field-vorwata-carbon-project-2021-08-30/</t>
  </si>
  <si>
    <t>https://www.energyvoice.com/oilandgas/436132/bp-seeks-feed-contractor-for-ccs-project-at-tangguh-lng/</t>
  </si>
  <si>
    <t>https://www.bp.com/en/global/corporate/news-and-insights/press-releases/bp-and-partners-give-go-ahead-for-tangguh-ucc-project-in-papua-barat-indonesia.html</t>
  </si>
  <si>
    <t>https://www.saipem.com/en/media/press-releases/2024-11-26/saipem-awarded-offshore-epci-contract-bp-indonesia</t>
  </si>
  <si>
    <t>Terrell Natural Gas Processing Plant (former Val Verde) (TX)</t>
  </si>
  <si>
    <t>Blue Source, Occidental, Chevron</t>
  </si>
  <si>
    <t>0.4 - 0.5</t>
  </si>
  <si>
    <t>https://sequestration.mit.edu/tools/projects/val_verde.html</t>
  </si>
  <si>
    <t>http://www.bluesource.com/portfolio/val-verde-pipeline-co2-emission-reductions-as-a-powerful-economic-tool/</t>
  </si>
  <si>
    <t>https://energy.uq.edu.au/files/2283/WP3_CCS%20Roadmaps%20and%20Projects.pdf</t>
  </si>
  <si>
    <t>Tharaldson Ethanol Casselton biorefinery (ND)</t>
  </si>
  <si>
    <t>Tharaldson Ethanol, Summit Carbon Solutions</t>
  </si>
  <si>
    <t>0.43 - 0.5</t>
  </si>
  <si>
    <t>The ZEROS project Chambers &amp; Liberty County (Jefferson) (TX)</t>
  </si>
  <si>
    <t>Texas Water Resources Institute</t>
  </si>
  <si>
    <t>https://www.prnewswire.com/news-releases/systems-international-announces-two-power-plants-300973783.html</t>
  </si>
  <si>
    <t>https://zerosinc.com/</t>
  </si>
  <si>
    <t>TotalEnergies, Air Liquide</t>
  </si>
  <si>
    <t>https://www.gasworld.com/air-liquide-and-totalenergies-join-forces-to-develop-normandy-ccs-project/2021712.article</t>
  </si>
  <si>
    <t>https://hydrogennews.airliquide.com/air-liquide-and-totalenergies-partner-develop-low-carbon-hydrogen-production-normandy-industrial</t>
  </si>
  <si>
    <t>https://normandhy.airliquide.com/en/air-liquide-normandhy/project-heart-normandy-industrial-basin</t>
  </si>
  <si>
    <t>Twence Hengelo facility</t>
  </si>
  <si>
    <t>Twence, Aker Carbon Capture (SLB Capturi)</t>
  </si>
  <si>
    <t>https://www.akersolutions.com/news/news-archive/2019/aker-solutions-signs-carbon-capture-contract-with-twence-in-the-netherlands/</t>
  </si>
  <si>
    <t>https://ec.europa.eu/info/news/state-aid-commission-approves-eu143-million-dutch-aid-support-carbon-capture-and-use-facility-2021-jul-30_en</t>
  </si>
  <si>
    <t>https://www.twence.com/news/twence-co2-capture-plant-in-hengelo-sets-an-example-for-the-netherlands?_ga=2.60540654.276142154.1637244258-770985229.1619165454</t>
  </si>
  <si>
    <t>Uthmaniyah CO2-EOR demonstration</t>
  </si>
  <si>
    <t>Saudi Aramco</t>
  </si>
  <si>
    <t>https://www.arabnews.jp/en/saudi-arabia/article_39452/</t>
  </si>
  <si>
    <t>https://www.aramco.com/en/creating-value/technology-development/globalresearchcenters/carbon-management</t>
  </si>
  <si>
    <t>https://japan.aramco.com/en/news-media/news/2015/20150730_carbon_capture_project</t>
  </si>
  <si>
    <t>Växjö Energi CHP CCS Sandviksverket</t>
  </si>
  <si>
    <t xml:space="preserve">Växjö Energi </t>
  </si>
  <si>
    <t>https://www.energi.se/artiklar/2021/maj-2021/darfor-tar-vaxjo-energi-klivet-till-bio-ccs/</t>
  </si>
  <si>
    <t>https://www.veab.se/en/about/investments-and-projects/beccs/#:~:text=In%20November%202023%2C%20our%20grant,the%20project%20until%20December%202024.</t>
  </si>
  <si>
    <t>Velocys Bayou Fuels (MS)</t>
  </si>
  <si>
    <t>Velocys,Bechtel (FEED)</t>
  </si>
  <si>
    <t>0.3 - 0.5</t>
  </si>
  <si>
    <t>Livingston Parish CO2 sequestration hub (LA)</t>
  </si>
  <si>
    <t>https://www.velocys.com/projects/bayou-fuels/</t>
  </si>
  <si>
    <t>Venture Global LNG Calcasieu Pass CCS (LA)</t>
  </si>
  <si>
    <t>Venture Global</t>
  </si>
  <si>
    <t>Venture Global CCS Cameron (LA)</t>
  </si>
  <si>
    <t>https://venturegloballng.com/press/venture-global-launches-carbon-capture-and-sequestration-project/</t>
  </si>
  <si>
    <t>https://www.reuters.com/business/sustainable-business/reuters-events-venture-global-can-use-existing-technology-louisiana-carbon-2021-06-23/</t>
  </si>
  <si>
    <t>Venture Global LNG CP2 liquefaction facility CCS (LA)</t>
  </si>
  <si>
    <t>https://venturegloballng.com/press/venture-global-and-louisiana-governor-john-bel-edwards-announce-proposed-cp2-lng-export-facility/</t>
  </si>
  <si>
    <t>Venture Global LNG Plaquemines CCS (LA)</t>
  </si>
  <si>
    <t>Vestforbrænding's Ejby Glostrup incineration plant</t>
  </si>
  <si>
    <t>Vestforbrænding, Technip (FEED), CIP</t>
  </si>
  <si>
    <t>https://a-r-c.dk/app/uploads/2021/02/C4-press_release.pdf</t>
  </si>
  <si>
    <t>https://www.vestfor.dk/nyheder-og-presse/nyheder/vestforbraending-vil-indfange-co2-i-fremtiden/</t>
  </si>
  <si>
    <t>https://www.vestfor.dk/nyheder-og-presse/nyheder/vestforbraending-intensiverer-sin-co2-indsats/</t>
  </si>
  <si>
    <t>https://a-r-c.dk/c4/</t>
  </si>
  <si>
    <t>https://orsted.com/en/media/newsroom/news/2022/02/20220204476711</t>
  </si>
  <si>
    <t>https://www.technipenergies.com/en/media/news/technip-energies-selected-vestforbraendings-carbon-capture-project-waste-energy-plant</t>
  </si>
  <si>
    <t>https://www.carboncapturejournal.com/ViewNews.aspx?NewsID=6624</t>
  </si>
  <si>
    <t>Viridor Runcorn CCS project</t>
  </si>
  <si>
    <t>Viridor</t>
  </si>
  <si>
    <t>https://hynet.co.uk/wp-content/uploads/2021/11/102021-WWU-supports-decarbonisation-cluster-in-North-Wales-and-North-West.docx.pdf</t>
  </si>
  <si>
    <t>https://www.viridor.co.uk/siteassets/document-repository/sustainability-reports/07125-02-viridor-sustainability-report_v8-ia.pdf</t>
  </si>
  <si>
    <t>https://akercarboncapture.com/?cision_id=5BE999397FF49444</t>
  </si>
  <si>
    <t>https://investors.technipenergies.com/news-releases/news-release-details/technip-energies-selected-viridor-perform-feed-runcorn-energy</t>
  </si>
  <si>
    <t>Viking CCS Phase 1</t>
  </si>
  <si>
    <t>Harbour Energy (60% operator), BP (40%), kent (engineering provider), Technip energies (FEED transport)</t>
  </si>
  <si>
    <t>https://www.energyvoice.com/oilandgas/north-sea/355353/harbour-energy-wins-ccs-storage-licence-for-v-net-zero/</t>
  </si>
  <si>
    <t>https://carbonherald.com/v-net-zero-carbon-capture-project-enters-planning-phase/</t>
  </si>
  <si>
    <t>https://www.nstauthority.co.uk/news-publications/news/2021/oga-grants-carbon-storage-licence-to-harbour-energy/</t>
  </si>
  <si>
    <t>https://www.vikingccs.co.uk/</t>
  </si>
  <si>
    <t>https://www.energyvoice.com/renewables-energy-transition/ccs/uk-ccs/521881/everything-you-need-to-know-about-viking-ccs/</t>
  </si>
  <si>
    <t>https://www.vikingccs.co.uk/news/application-for-viking-ccs-onshore-co2transportation-pipeline-accepted-for-examination-by-planning-inspectorate</t>
  </si>
  <si>
    <t>Viking CCS Phase 2</t>
  </si>
  <si>
    <t>Harbour Energy (operator), BP (40%), Technip energies (FEED transport)</t>
  </si>
  <si>
    <t>VPI Immingham CHP plant CCS</t>
  </si>
  <si>
    <t>VPI Immingham (Vitol)</t>
  </si>
  <si>
    <t>https://www.shell.com/business-customers/catalysts-technologies/resources-library/trade-release-shell-catalysts-and-technologies-carbon-capture-technology-at-vpi.html</t>
  </si>
  <si>
    <t>Wabash Valley Resources/Wabash CarbonSAFE (IN)</t>
  </si>
  <si>
    <t>Wabash Valley Resources, Wabash Carbon services, University of Illinois, Illinois State Geological Survey (CarbonSAFE)</t>
  </si>
  <si>
    <t>Wabash CarbonSAFE (IN)</t>
  </si>
  <si>
    <t>https://www.netl.doe.gov/projects/project-information.aspx?p=FE0031626</t>
  </si>
  <si>
    <t>https://www.greencarcongress.com/2021/06/20210623-blue.html</t>
  </si>
  <si>
    <t>https://www.wvresc.com/doe-announces-loan-conditional-commitment-toward-2-4b-wabash-valley-resources-project-to-produce-low-carbon-fertilizer-and-revitalize-coal-community/</t>
  </si>
  <si>
    <t>Nutrien Redwater Fertilizer (ALB) phase 1</t>
  </si>
  <si>
    <t>Nutrien (formerly Agrium)</t>
  </si>
  <si>
    <t>Whitetail Clean Energy</t>
  </si>
  <si>
    <t>8Rivers, Sembcorp Energy UK</t>
  </si>
  <si>
    <t>https://whitetail.energy/</t>
  </si>
  <si>
    <t>https://www.snclavalin.com/en/media/trade-releases/2021/2021-09-09</t>
  </si>
  <si>
    <t>Wilhelmshaven Energy Hub BlueHyNow</t>
  </si>
  <si>
    <t>Wintershall Dea (Harbour Energy)</t>
  </si>
  <si>
    <t>WH2V eng hub</t>
  </si>
  <si>
    <t>Yamal LNG</t>
  </si>
  <si>
    <t>Novatek</t>
  </si>
  <si>
    <t>Eurasia</t>
  </si>
  <si>
    <t>Yulin Coal Chemical CCUS (Shaanxi) Phase 1</t>
  </si>
  <si>
    <t>Yanchang Petroleum</t>
  </si>
  <si>
    <t>Yanchang oilfield</t>
  </si>
  <si>
    <t>https://www.sciencedirect.com/science/article/pii/S1750583620305983</t>
  </si>
  <si>
    <t>https://m.21jingji.com/article/20210531/herald/4759d551021ce607cd22ef008b83889e_zaker.html</t>
  </si>
  <si>
    <t>Zeeland Refinery</t>
  </si>
  <si>
    <t>Air Liquide, TotalEnergies</t>
  </si>
  <si>
    <t>Linde hydrogen plant for OCI fertilizer blue ammonia Beaumont (TX)</t>
  </si>
  <si>
    <t>Woodside Energy (new owner, bought from OCI), Linde (owns, builds, operates), OCI (H2 demand)</t>
  </si>
  <si>
    <t>1.7 - 2.2</t>
  </si>
  <si>
    <t>Rose carbon capture and storage project (TX)</t>
  </si>
  <si>
    <t>https://www.linde.com/news-media/press-releases/2023/linde-to-invest-1-8-billion-to-supply-clean-hydrogen-to-oci-s-world-scale-blue-ammonia-project-in-the-u-s-gulf-coast</t>
  </si>
  <si>
    <t>https://www.linde.com/news-media/press-releases/2023/linde-signs-agreement-with-exxonmobil-for-carbon-dioxide-off-take</t>
  </si>
  <si>
    <t>https://fuelcellsworks.com/news/ocis-1-1-mtpa-texas-ammonia-project-remains-on-track-to-commence-production-in-early-2025/?mc_cid=433fe54022&amp;mc_eid=da4624d261</t>
  </si>
  <si>
    <t>In Salah</t>
  </si>
  <si>
    <t>bp, Sonatrach, Equinor</t>
  </si>
  <si>
    <t>Africa</t>
  </si>
  <si>
    <t>https://www.sciencedirect.com/science/article/pii/S1876610213007947</t>
  </si>
  <si>
    <t>https://sequestration.mit.edu/tools/projects/in_salah.html</t>
  </si>
  <si>
    <t>Climeworks Orca</t>
  </si>
  <si>
    <t>Climeworks, CarbFix</t>
  </si>
  <si>
    <t>https://www.edfenergy.com/energy/nuclear-new-build-projects/sizewell-c/news-views/sizewell-c-and-partners-awarded-direct-air-capture-funding</t>
  </si>
  <si>
    <t>https://www.bloomberg.com/news/features/2021-09-08/inside-the-world-s-largest-direct-carbon-capture-plant</t>
  </si>
  <si>
    <t>Global thermostat headquarters plant (CO)</t>
  </si>
  <si>
    <t>Global Thermostat</t>
  </si>
  <si>
    <t>https://www.globalthermostat.com/news-and-updates/global-thermostat-colorado-headquarters</t>
  </si>
  <si>
    <t>https://www.canarymedia.com/articles/carbon-capture/a-buzzy-new-carbon-removal-plant-is-catching-and-releasing-co2</t>
  </si>
  <si>
    <t>Sizewell C nuclear-powered DAC Full-scale</t>
  </si>
  <si>
    <t>Sizewell C,  Nottingham University, Strata Technology, Atkins and Doosan Babcock</t>
  </si>
  <si>
    <t>https://world-nuclear-news.org/Articles/%E2%80%98Megatonne%E2%80%99-CO2-capture-plant-plan-for-Sizewell-C</t>
  </si>
  <si>
    <t>Climeworks Mammoth Project phase 1</t>
  </si>
  <si>
    <t>Climeworks, Carbfix</t>
  </si>
  <si>
    <t>https://climeworks.com/news/climeworks-announces-groundbreaking-on-mammoth?utm_source=Twitter&amp;utm_medium=Social&amp;utm_campaign=mammothannouncement&amp;utm_content=mammothnews</t>
  </si>
  <si>
    <t>https://www.edfenergy.com/energy/nuclear-new-build-projects/sizewell-c/news-views/sizewell-c-and-partners-awarded-dac-funding</t>
  </si>
  <si>
    <t>Daya Bay CCS Hub phase 1 (Guangdong)</t>
  </si>
  <si>
    <t>Shell, ExxonMobil, CNOOC, Guangdong Provincial Development &amp; Reform Commission (JSA)</t>
  </si>
  <si>
    <t>Daya Bay CCS Hub</t>
  </si>
  <si>
    <t>https://www.shell.com.cn/en_cn/media/media-releases/2022-media-releases/shell-partners-with-cnooc-guangdong-government-exxonmobil-on-offshore-carbon-capture-and-storage-hub-in-china.html</t>
  </si>
  <si>
    <t>https://www.linkedin.com/posts/jasonwongshell_ccs-poweringprogress-activity-7021325298562437121-tk54/?utm_source=share&amp;utm_medium=member_desktop</t>
  </si>
  <si>
    <t>https://www.upstreamonline.com/carbon-capture/supermajors-china-ccs-initiative-eyes-2-million-tpa-offshore-storage-hub/2-1-1730459?zephr_sso_ott=Gv3WyX</t>
  </si>
  <si>
    <t>Nanhai petrochemical plant-Capture for Daya bay CCS (Guangdong)</t>
  </si>
  <si>
    <t>Daya bay CCS Hub</t>
  </si>
  <si>
    <t>Daya Bay CCS Hub phase 2 (Guangdong)</t>
  </si>
  <si>
    <t>Shell, CNOOC, Guangdong Provincial Development and Reform Commission, ExxonMobil</t>
  </si>
  <si>
    <t>Hynet Northwest phase 3</t>
  </si>
  <si>
    <t>Hynet consortium</t>
  </si>
  <si>
    <t xml:space="preserve">Fluxys-Equinor Belgium-Norway Trunk Line </t>
  </si>
  <si>
    <t>Belgium-Norway</t>
  </si>
  <si>
    <t>Fluxys, Equinor, Heidelberg Materials</t>
  </si>
  <si>
    <t>20 - 40</t>
  </si>
  <si>
    <t>German Carbon Grid</t>
  </si>
  <si>
    <t>https://www.industryandenergy.eu/ccus/fluxys-and-equinor-to-move-captured-co2-to-north-sea-storage/</t>
  </si>
  <si>
    <t>https://www.equinor.com/news/fluxys-and-equinor-launch-solution-large-scale-decarbonisation</t>
  </si>
  <si>
    <t>MMEX</t>
  </si>
  <si>
    <t>https://mmexresources.com/project/pecos-county-ultra-clean-fuels-refining/</t>
  </si>
  <si>
    <t>Northern Endurance Partnership phase 2</t>
  </si>
  <si>
    <t>BP, Equinor, TotalEnergies</t>
  </si>
  <si>
    <t>https://www.eni.com/en-IT/operations/storage-reuse-co2.html</t>
  </si>
  <si>
    <t>Pemex</t>
  </si>
  <si>
    <t>HyDEMO (shelved??)</t>
  </si>
  <si>
    <t>Equinor</t>
  </si>
  <si>
    <t>Equinor, VNG</t>
  </si>
  <si>
    <t>https://www.equinor.com/energy/hydrogen</t>
  </si>
  <si>
    <t>CF Industries blue ammonia Donaldsonville (LA)</t>
  </si>
  <si>
    <t>CF Industries, ExxonMobil (storage), EnLink Midstream (transport)</t>
  </si>
  <si>
    <t>ExxonMobil Ascension Parish storage (TX)</t>
  </si>
  <si>
    <t>https://www.cfindustries.com/globalassets/cf-industries/media/documents/2020-downloads/cf-industries-2020-annual-report.pdf</t>
  </si>
  <si>
    <t>https://gov.louisiana.gov/index.cfm/newsroom/detail/3858#.Y0djknbtXMp.twitter</t>
  </si>
  <si>
    <t>https://www.gasworld.com/cf-industries-unveils-2bn-ammonia-complex-plans-in-louisiana/2023620.article</t>
  </si>
  <si>
    <t>ExxonMobil, CF Industries</t>
  </si>
  <si>
    <t>https://www.cfindustries.com/newsroom/2024/yazoo-city-ccs-exxonmobil</t>
  </si>
  <si>
    <t>https://corporate.exxonmobil.com/what-we-do/delivering-industrial-solutions/carbon-capture-and-storage/exxonmobil-signs-carbon-capture-agreement-cf-industries-yazoo</t>
  </si>
  <si>
    <t>Northern Endurance Partnership phase 3</t>
  </si>
  <si>
    <t>MoU ADNOC ENEOS Mitsui Ruwais Industrial Area</t>
  </si>
  <si>
    <t>ADNOC, ENEOS, Mitsui</t>
  </si>
  <si>
    <t>Wesfarmers Mitsui WA low-carbon ammonia</t>
  </si>
  <si>
    <t>Wesfarmers, Mitsui</t>
  </si>
  <si>
    <t>Yara</t>
  </si>
  <si>
    <t>https://www.yara.com/corporate-releases/yara-invests-in-ccs-in-sluiskil-and-signs-binding-co2-transport-and-storage-agreement-with-northern-lights--the-worlds-first-cross-border-ccs-agreement-in-operation2/</t>
  </si>
  <si>
    <t>https://www.linde-engineering.com/en/news_and_media/press_releases/news20240229.html</t>
  </si>
  <si>
    <t>Project Bison (WY) Phase 1</t>
  </si>
  <si>
    <t>CarbonCapture, Frontier Carbon Solutions</t>
  </si>
  <si>
    <t>Sweetwater Carbon Storage Hub (WY)</t>
  </si>
  <si>
    <t>https://www.carboncapture.com/project-bison</t>
  </si>
  <si>
    <t>Project Bison (WY) Phase 2</t>
  </si>
  <si>
    <t>Project Bison (WY) Phase 3</t>
  </si>
  <si>
    <t>Project Bison (WY) Phase 4</t>
  </si>
  <si>
    <t>South Texas DAC Hub (TX)</t>
  </si>
  <si>
    <t>1PointFive, Oxy low carbon ventures (Occidental)</t>
  </si>
  <si>
    <t>South Texas DAC Hub</t>
  </si>
  <si>
    <t>https://carbonengineering.com/news-updates/multi-million-tonne-south-texas/</t>
  </si>
  <si>
    <t>https://www.oxy.com/news/news-releases/1pointfive-and-carbon-engineering-announce-direct-air-capture-deployment-approach-to-enable-global-build-out-of-plants/</t>
  </si>
  <si>
    <t>https://www.energy.gov/articles/biden-harris-administration-announces-12-billion-nations-first-direct-air-capture</t>
  </si>
  <si>
    <t>https://www.1pointfive.com/news/1pointfive-south-texas-dac-hub-awarded-us-doe-funding</t>
  </si>
  <si>
    <t>Gemini (formerly Denbury Ascension Parish sequestration) (LA)</t>
  </si>
  <si>
    <t>ExxonMobil (formerly Denbury carbon solutions)</t>
  </si>
  <si>
    <t>10 - 20</t>
  </si>
  <si>
    <t>Gemini (LA)</t>
  </si>
  <si>
    <t>https://www.denbury.com/investor-relations/press-releases/press-release-details/2022/Denbury-Expands-CO2-Sequestration-Portfolio-With-Additional-Site-in-Louisianas-Industrial-Corridor/default.aspx</t>
  </si>
  <si>
    <t>https://www.denbury.com/wp-content/uploads/2022/11/DEN-Pipeline-Schedule.pdf</t>
  </si>
  <si>
    <t>https://www.energytech.com/energy-storage/article/21253915/denbury-gains-ccs-rights-for-proposed-hydrogenammonia-complex-in-louisiana</t>
  </si>
  <si>
    <t>Clean Hydrogen Works (Joint venture between Denbury Carbon Solutions (ExxonMobil) (T&amp;S), Hafnia (ammonia export), MOL (shipping), Mitsui OSK</t>
  </si>
  <si>
    <t>https://www.cleanhydrogenworks.com/the-ace-project/</t>
  </si>
  <si>
    <t>https://www.cleanhydrogenworks.com/news/clean-hydrogen-works-awards-mcdermott-feed-contract-for-ascension-clean-energy-ace-project.html</t>
  </si>
  <si>
    <t>Centrica, Equinor</t>
  </si>
  <si>
    <t>BlueBonnet Sequestration Hub (Chambers, Liberty, and Jefferson County) (TX)</t>
  </si>
  <si>
    <t>1PointFive,Occidental</t>
  </si>
  <si>
    <t>BlueBonnet sequestration hub</t>
  </si>
  <si>
    <t>https://www.oxy.com/news/news-releases/oxy-low-carbon-ventures-and-natural-resource-partners-l.p.-enter-into-co2-sequestration-agreement/</t>
  </si>
  <si>
    <t>https://www.1pointfive.com/1pointfive-announces-plan-to-develop-carbon-capture-and-sequestration-hub-in-southeast-texas</t>
  </si>
  <si>
    <t>1PointFive and Entreprise BlueBonnet transport network (TX)</t>
  </si>
  <si>
    <t>1PointFive, Entreprise Product Partners</t>
  </si>
  <si>
    <t>Alberta Carbon Grid (ALB) phase 2</t>
  </si>
  <si>
    <t>Taiwan Cement Hoping/Heping plant</t>
  </si>
  <si>
    <t>Taiwan cement</t>
  </si>
  <si>
    <t>https://www.taiwancement.com/en/esgGhgCarbonEmissions.html</t>
  </si>
  <si>
    <t>EnLink midstream network (LA)</t>
  </si>
  <si>
    <t>EnLink Midstream</t>
  </si>
  <si>
    <t>Enlink midstream network (LA)</t>
  </si>
  <si>
    <t>https://sustainability.enlink.com/carbon-solutions/</t>
  </si>
  <si>
    <t>Athabasca Banks Carbon Hub (ALB)</t>
  </si>
  <si>
    <t xml:space="preserve"> Vault 44.01 Ltd., Moraine Initiatives Ltd.</t>
  </si>
  <si>
    <t>Battle River Carbon Hub (ALB)</t>
  </si>
  <si>
    <t>Heartland Generation Ltd., Carbon Alpha</t>
  </si>
  <si>
    <t>https://www.alberta.ca/carbon-capture-utilization-and-storage-hub-development-process.aspx</t>
  </si>
  <si>
    <t>https://www.linkedin.com/posts/carbon-alpha_heartland-generation-battle-river-carbon-activity-6973270756914851840-aiw8/?trk=public_profile_like_view&amp;originalSubdomain=ca</t>
  </si>
  <si>
    <t>https://www.heartlandgeneration.com/post/heartland-generation-selected-by-government-of-alberta-to-evaluate-a-carbon-sequestration-hub-in-alberta</t>
  </si>
  <si>
    <t>Bow River Hub (ALB)</t>
  </si>
  <si>
    <t xml:space="preserve"> Inter Pipeline Ltd., Entropy Inc. </t>
  </si>
  <si>
    <t>https://www.newswire.ca/news-releases/entropy-inc-provides-operational-and-corporate-update-821286982.html</t>
  </si>
  <si>
    <t>https://www.linkedin.com/posts/entropyinc_carboncapture-alberta-co2hubs-activity-6983488956248047616-kWhw/</t>
  </si>
  <si>
    <t>Brazeau Carbon Sequestration Hub (ALB)</t>
  </si>
  <si>
    <t xml:space="preserve"> Tidewater Midstream &amp; Infrastructure Ltd.</t>
  </si>
  <si>
    <t>Central Alberta Hub (ALB)</t>
  </si>
  <si>
    <t xml:space="preserve"> Wolf Midstream, Whitecap Resources Inc., the First Nation Capital Investment Partnership (FNCIP), Heart Lake First Nation</t>
  </si>
  <si>
    <t>Alberta Carbon TrunkLine (ACTL)/Central Alberta Hub (ALB)</t>
  </si>
  <si>
    <t>East Calgary Region Carbon Sequestration Hub (ALB)</t>
  </si>
  <si>
    <t xml:space="preserve"> Reconciliation Energy Transition Inc. (RETI), Sumitomo</t>
  </si>
  <si>
    <t>5 - 10</t>
  </si>
  <si>
    <t>https://finance.yahoo.com/news/reconciliation-energy-transition-inc-announces-130000578.html</t>
  </si>
  <si>
    <t>https://www.newswire.ca/news-releases/reconciliation-energy-transition-inc-announces-successful-proposal-for-the-east-calgary-region-carbon-sequestration-hub-899913131.html</t>
  </si>
  <si>
    <t>https://www.newswire.ca/news-releases/reconciliation-energy-transition-inc-and-sumitomo-corporation-of-americas-announce-exclusivity-agreement-for-carbon-transportation-and-sequestration-project-in-alberta-canada-886172276.html</t>
  </si>
  <si>
    <t>https://www.sumitomocorp.com/en/jp/news/topics/2024/group/20240524</t>
  </si>
  <si>
    <t>Grande Prairie Net Zero Gateway (ALB)</t>
  </si>
  <si>
    <t xml:space="preserve"> Keyera Corp.,  Entropy Inc., NorthRiver Midstream</t>
  </si>
  <si>
    <t>Grande Prairie Net Zero Gateway</t>
  </si>
  <si>
    <t>https://www.keyera.com/new-ventures/</t>
  </si>
  <si>
    <t>Greenview Region CCS Project (ALB)</t>
  </si>
  <si>
    <t xml:space="preserve"> ARC Resources Ltd. </t>
  </si>
  <si>
    <t>Maskwa Project (ALB)</t>
  </si>
  <si>
    <t xml:space="preserve"> Kiwetinohk Energy Corp.</t>
  </si>
  <si>
    <t>North Drumheller Hub (ALB)</t>
  </si>
  <si>
    <t xml:space="preserve"> Bison Low Carbon Ventures Inc. </t>
  </si>
  <si>
    <t>https://www.stalbertgazette.com/local-news/carbon-capture-plant-proposed-west-of-legal-bison-brister-comeau-wierzba-5969255</t>
  </si>
  <si>
    <t>Pathways Alliance (T&amp;S) (ALB)</t>
  </si>
  <si>
    <t>CNRL, Cenovus Energy, ConocoPhilips, Imperial, MEG Energy, Suncor (Pathway Alliance)</t>
  </si>
  <si>
    <t>10 - 12</t>
  </si>
  <si>
    <t>Pathways Alliance</t>
  </si>
  <si>
    <t>https://www.eralberta.ca/projects/details/oil-sands-ccus-pathways-to-net-zero/</t>
  </si>
  <si>
    <t>https://pathwaysalliance.ca/release-detailed-evaluation/</t>
  </si>
  <si>
    <t>https://www.cbc.ca/news/canada/calgary/oilsands-group-pledges-to-spend-16-5b-on-carbon-capture-project-by-2030-1.6616689</t>
  </si>
  <si>
    <t>https://www.woodplc.com/news/latest-press-releases/2023/wood-secures-engineering-contract-for-pathways-alliance-ccs-pipeline</t>
  </si>
  <si>
    <t>https://carboncapturemagazine.com/articles/pathways-alliance-file-regulatory-applications-for-proposed-ccs-transportation-network-and-storage-hub</t>
  </si>
  <si>
    <t>Opal Carbon Hub (ALB)</t>
  </si>
  <si>
    <t>Pincher Creek Carbon Sequestration Hub (ALB)</t>
  </si>
  <si>
    <t xml:space="preserve"> West Lake Energy Corp.</t>
  </si>
  <si>
    <t>http://www.westlakeenergy.ca/pincher-creek-waterton-ccus-hub/</t>
  </si>
  <si>
    <t>Project Clear Horizon - natural gas fired power plants (ALB)</t>
  </si>
  <si>
    <t xml:space="preserve"> City of Medicine Hat</t>
  </si>
  <si>
    <t>Project Clear Horizon (ALB)</t>
  </si>
  <si>
    <t>https://www.eralberta.ca/projects/details/project-clear-horizon/</t>
  </si>
  <si>
    <t>Ram River Carbon Sequestration Hub (ALB)</t>
  </si>
  <si>
    <t xml:space="preserve"> Tidewater Midstream</t>
  </si>
  <si>
    <t>Rocky Mountain Carbon Vault (ALB)</t>
  </si>
  <si>
    <t xml:space="preserve"> Vault 44.01 Ltd.</t>
  </si>
  <si>
    <t>Rolling Hills Carbon Sequestration Hub (ALB)</t>
  </si>
  <si>
    <t xml:space="preserve"> AltaGas Ltd., Whitecap Resources Inc.</t>
  </si>
  <si>
    <t>The Grande Prairie CCS Hub (ALB)</t>
  </si>
  <si>
    <t xml:space="preserve"> Enhance Energy Inc.</t>
  </si>
  <si>
    <t>Tourmaline Clearwater CCUS (ALB)</t>
  </si>
  <si>
    <t xml:space="preserve"> Tourmaline Oil Corp.</t>
  </si>
  <si>
    <t>Pembroke Net Zero Centre (PNZC)</t>
  </si>
  <si>
    <t>RWE</t>
  </si>
  <si>
    <t>https://uk-ireland.rwe.com/innovation/pembroke-net-zero-centre-pnzc</t>
  </si>
  <si>
    <t>https://www.rwe.com/en/press/rwe-generation/2023-05-23-rwe-announces-development-proposals-for-three-new-carbon-capture-projects-across-the-uk/</t>
  </si>
  <si>
    <t>Competitive Power Ventures CCGT (WV)</t>
  </si>
  <si>
    <t>Competitive Power Ventures</t>
  </si>
  <si>
    <t>https://www.cpv.com/2022/09/16/multi-billion-dollar-combined-cycle-natural-gas-power-station-with-carbon-capture-announced-in-west-virginia/</t>
  </si>
  <si>
    <t>Bacton Thames Net Zero</t>
  </si>
  <si>
    <t>Bacton Thames Net Zero initiative</t>
  </si>
  <si>
    <t>https://www.eni.com/en-IT/media/press-release/2022/09/eni-uk-applies-for-carbon-storage-license-for-hewett-depleted-field.html</t>
  </si>
  <si>
    <t>https://www.eni.com/static/bactonthamesnetzero/</t>
  </si>
  <si>
    <t>https://www.corygroup.co.uk/media/news-insights/cory-supports-launch-bacton-thames-net-zero-cooperation-agreement/</t>
  </si>
  <si>
    <t>https://enfinium.co.uk/enfinium-joins-the-bacton-thames-net-zero-cooperation-agreement/</t>
  </si>
  <si>
    <t>Cstore 1</t>
  </si>
  <si>
    <t>deepC Store, Add Energy, CSIRO, JX Nippon Oil and Gas Exploration Corporation, Kyushu Electric Power, Mitsui OSK Lines, Osaka Gas, Technip Energies, Toho Gas</t>
  </si>
  <si>
    <t>1.5 - 7.5</t>
  </si>
  <si>
    <t>https://www.deepcstore.com/news/australian-ccs-conference-2021</t>
  </si>
  <si>
    <t>https://www.deepcstore.com/cstore1</t>
  </si>
  <si>
    <t>https://www.deepcstore.com/news/deepc-store-signs-loi-with-mol-and-ten-floating-ccs-hub-development</t>
  </si>
  <si>
    <t>https://www.azuliccs.com/north-west-australia</t>
  </si>
  <si>
    <t>OCI, Enerflex (CO2 capture), Blackrock (funding), Navigor (T)</t>
  </si>
  <si>
    <t>Reindeer CCS</t>
  </si>
  <si>
    <t>Santos Offshore Pty Ltd (50% and Operator), Chevron Australia Pty Ltd (50%)</t>
  </si>
  <si>
    <t>Santos Carnavon Basin storage (Reindeer CCS)</t>
  </si>
  <si>
    <t>https://www.santos.com/news/santos-awarded-co2-storage-permits-for-more-ccs-opportunities/</t>
  </si>
  <si>
    <t xml:space="preserve">https://www.santos.com/wp-content/uploads/2022/03/Santos-2022-Climate-Change-Report_web.pdf </t>
  </si>
  <si>
    <t>Santos Bonaparte Basin storage</t>
  </si>
  <si>
    <t xml:space="preserve">Santos Offshore Pty Ltd (40% and Operator), Chevron Australia Pty Ltd (30%), SK E&amp;S (30%) </t>
  </si>
  <si>
    <t>https://www.offshore-energy.biz/viridien-and-slbs-first-australian-partnership-looks-into-exploration-and-carbon-storage-potential/</t>
  </si>
  <si>
    <t>Heidelberg Materials Mitchell plant (IN)</t>
  </si>
  <si>
    <t>Heidelberg Materials</t>
  </si>
  <si>
    <t>Mitchell CarbonSAFE (IL)</t>
  </si>
  <si>
    <t>https://cementproducts.com/2022/09/07/heidelbergcement-to-build-major-ccus-project-in-indiana/</t>
  </si>
  <si>
    <t>https://www.energy.gov/fecm/additional-selections-funding-opportunity-announcement-2515</t>
  </si>
  <si>
    <t>https://www.energy.gov/fecm/project-selections-foa-2610-carbonsafe-phase-ii-storage-complex-feasibility</t>
  </si>
  <si>
    <t>https://www.energy.gov/oced/industrial-demonstrations-program-selections-award-negotiations-cement-and-concrete</t>
  </si>
  <si>
    <t>https://www.energy.gov/sites/default/files/2024-01/OCED_CCFEEDs_AwardeeFactSheet_Heidelberg_1.5.2024.pdf</t>
  </si>
  <si>
    <t>Errai storage project</t>
  </si>
  <si>
    <t xml:space="preserve">Horisont Energi (60%), Neptune Energy (40%), E.On (CO2 source) </t>
  </si>
  <si>
    <t>Gismarvik CO2 hub/Errai project</t>
  </si>
  <si>
    <t>https://www.neptuneenergy.com/media/press-releases/year/2022/neptune-energy-and-horisont-energi-cooperate-errai-ccs-project</t>
  </si>
  <si>
    <t>https://www.horisontenergi.no/haugaland-naeringspark-at-gismarvik-is-the-planned-location-for-the-onshore-co2-terminal-for-the-large-scale-ccs-project-errai/</t>
  </si>
  <si>
    <t>CO2nnectNow HES Wilhelmshaven Tank Terminal phase 1</t>
  </si>
  <si>
    <t>CO2nnectNow HES Wilhelmshaven Tank Terminal</t>
  </si>
  <si>
    <t>https://wintershalldea.com/en/newsroom/wintershall-dea-and-hes-wilhelmshaven-tank-terminal-intend-jointly-develop-co2-hub-wilhelmshaven</t>
  </si>
  <si>
    <t>CO2T (formerly known as NOR-GE, Windershall DEA - Equinor pipeine)</t>
  </si>
  <si>
    <t>Netherlands-Norway</t>
  </si>
  <si>
    <t>Gassco, Equinor, Harbour, Northern Lights, Total Energies, Aker BP, Vår Energi, Norske Shell</t>
  </si>
  <si>
    <t>CO2T, EU2NSEA</t>
  </si>
  <si>
    <t>https://wintershalldea.com/en/newsroom/wintershall-dea-and-equinor-partner-large-scale-ccs-value-chain-north-sea</t>
  </si>
  <si>
    <t>Wintershall Dea-Equinor Gernany-Norway pipeline phase 2</t>
  </si>
  <si>
    <t>Wintershall Dea (Harbour Energy), Equinor</t>
  </si>
  <si>
    <t>Wintershall Dea-Equinor Gernany-Norway pipeline</t>
  </si>
  <si>
    <t>Luna storage</t>
  </si>
  <si>
    <t>(60%, Harbour Energy), TotalEnergies (40%) (formerly owned by CapeOmega)</t>
  </si>
  <si>
    <t xml:space="preserve">Harbour Energy </t>
  </si>
  <si>
    <t>https://wintershalldea.com/en/newsroom/wintershall-dea-awarded-its-first-co2-licence-norway</t>
  </si>
  <si>
    <t>https://wintershalldea.com/en/newsroom/pi-23-08</t>
  </si>
  <si>
    <t>https://totalenergies.com/media/news/press-releases/norway-totalenergies-acquires-40-interest-co2-storage-exploration-license</t>
  </si>
  <si>
    <t>INPEX Bonaparte CCS Assessment</t>
  </si>
  <si>
    <t>Inpex (53%), TotalEnergies (26%), Woodside (21%, operator)</t>
  </si>
  <si>
    <t>https://totalenergies.com/media/news/press-releases/totalenergies-inpex-and-woodside-join-forces-develop-major-offshore-CO2-sequestration-project</t>
  </si>
  <si>
    <t>https://www.offshore-energy.biz/jogmec-to-support-inpexs-assessment-of-australian-ccs-potential/</t>
  </si>
  <si>
    <t>https://public.neats.nopta.gov.au/</t>
  </si>
  <si>
    <t>https://www.santos.com/news/santos-and-sk-es-to-collaborate-on-cross-border-carbon-capture-and-storage/</t>
  </si>
  <si>
    <t>Ghent Carbon Hub</t>
  </si>
  <si>
    <t>Fluxys, ArcelorMittal, North Sea Port</t>
  </si>
  <si>
    <t>https://www.fluxys.com/en/press-releases/fluxys-group/2022/220818_press_ghent_carbon_hub</t>
  </si>
  <si>
    <t>Removr Carbfix Polar plant phase 1</t>
  </si>
  <si>
    <t>Removr (Greencap 40%, Vanir Green Industries 60%), Carbfix</t>
  </si>
  <si>
    <t>https://www.removr.no/news/remove-launch</t>
  </si>
  <si>
    <t>Carbon Clean CEMEX Rudersdorf plant phase 1</t>
  </si>
  <si>
    <t>CEMEX, carbon clean, KBR(FEED)</t>
  </si>
  <si>
    <t>https://www.carbonclean.com/news/cemex-carbon-capture-project</t>
  </si>
  <si>
    <t>https://www.carbonclean.com/news/kbr-carbonclean</t>
  </si>
  <si>
    <t>Cemex Rudersdorf CO2llect</t>
  </si>
  <si>
    <t>CEMEX, Linde</t>
  </si>
  <si>
    <t>https://www.cemex.com/w/eu-backs-pioneering-co2-capture-project-at-cemexs-rudersdorf-cement-plant</t>
  </si>
  <si>
    <t>Air Liquide Shanghai Chemical Industry Park (SCIP) decarbonisation (Shanghai)</t>
  </si>
  <si>
    <t>SCIPIG (Air Liquide)</t>
  </si>
  <si>
    <t>Net Power Odessa gas plant (TX)</t>
  </si>
  <si>
    <t>Net Power, Occidental (T&amp;S), 8 Rivers capital (funding)</t>
  </si>
  <si>
    <t>https://netpower.com/net-power-announces-its-first-utility-scale-clean-energy-power-plant-integrated-with-co2-sequestration/</t>
  </si>
  <si>
    <t>Ince Bioenergy Carbon Capture and Storage (InBECCS) scaleup</t>
  </si>
  <si>
    <t>Bioenergy Infrastructure Group (Evero), Peel NRE, Mistubishi Heavy Industries</t>
  </si>
  <si>
    <t>Liverpool Bay CO2 storage</t>
  </si>
  <si>
    <t>https://bioenergyinfrastructure.co.uk/news-article/ince-biomass-plant-chosen-as-site-for-innovative-carbon-capture-technology-project-at-protos-in-northwest/</t>
  </si>
  <si>
    <t>https://bioenergyinfrastructure.co.uk/news-article/bioenergy-infrastructure-group-partner-with-c-capture-on-project-awarded-1-7m-in-beis-funding-to-demonstrate-feasibility-of-next-generation-low-cost-carbon-capture-solutions-in-hard-to-decarbonise-in/</t>
  </si>
  <si>
    <t>https://bioenergyinfrastructure.co.uk/news-article/ince-bio-power-secures-funding-for-carbon-capture-demonstration-project-in-win-for-net-zero-ambitions-in-north-west/</t>
  </si>
  <si>
    <t>https://www.mhi.com/news/23110903.html</t>
  </si>
  <si>
    <t>Protos CO2 network phase 1</t>
  </si>
  <si>
    <t>Peel NRE, Progressive Energy</t>
  </si>
  <si>
    <t>https://www.protos.co.uk/news/peel-nre-reveals-plans-for-co2-network-at-protos-in-cheshire/</t>
  </si>
  <si>
    <t>Protos CO2 network phase 2</t>
  </si>
  <si>
    <t>Papua LNG CCS</t>
  </si>
  <si>
    <t>TotalEnergies</t>
  </si>
  <si>
    <t>https://totalenergies.com/fr/medias/actualite/communiques/total-et-letat-de-papouasie-nouvelle-guinee-signent-laccord-gaz-pour-le-projet-papua-lng</t>
  </si>
  <si>
    <t>https://totalenergies.com/media/news/press-releases/papua-new-guinea-totalenergies-announces-new-milestone-towards-papua-lng</t>
  </si>
  <si>
    <t>https://www.offshore-technology.com/news/totalenergies-carbon-papua-lng/</t>
  </si>
  <si>
    <t>Voestalpine hot briquetted iron plant Portland (TX)</t>
  </si>
  <si>
    <t>Board of Trustees of the University of Illinois, Voestalpine, Air Liquide</t>
  </si>
  <si>
    <t>LG&amp;E Cane Run NGCC CR7 (KY)</t>
  </si>
  <si>
    <t>LG&amp;E Cane Run, Electric Power Research Institute (FEED), University of Kentucky (tech), DOE (FEED funding)</t>
  </si>
  <si>
    <t>https://lge-ku.com/newsroom/press-releases/2023/03/31/lge-and-ku-epri-university-kentucky-begin-industry-leading</t>
  </si>
  <si>
    <t>Polk Power station NGCC/Polk carbon storage complex (FL)</t>
  </si>
  <si>
    <t>Tampa Electric Company, ION Clean Energy, DOE Office of Clean Energy Demonstrations (FEED funding)</t>
  </si>
  <si>
    <t>https://www.energy.gov/fecm/project-selections-foa-2711-carbon-storage-validation-and-testing-round-2</t>
  </si>
  <si>
    <t>https://www.energy.gov/sites/default/files/2024-01/OCED_CCFEEDs_AwardeeFactSheet_Tampa_1.5.23.pdf</t>
  </si>
  <si>
    <t>CEMEX Balcones Cement plant (TX)</t>
  </si>
  <si>
    <t>Research Triangle Institute (RTI) International, Cemex</t>
  </si>
  <si>
    <t>https://www.cemexusa.com/-/cemex-and-rti-awarded-3.7-million-cooperative-agreement-to-advance-carbon-capture-technology-in-cement-manufacturing</t>
  </si>
  <si>
    <t>https://netl.doe.gov/sites/default/files/netl-file/23CM_PSCC31_Merkel.pdf</t>
  </si>
  <si>
    <t>Hover cement works Hannover phase 1</t>
  </si>
  <si>
    <t>Holcim Group, Cool Planet Technologies</t>
  </si>
  <si>
    <t>0.19 - 0.18</t>
  </si>
  <si>
    <t>http://coolplanettech.com/wp/wp-content/uploads/2022/05/21-10-04-Hover-ESG-Announcment.pdf</t>
  </si>
  <si>
    <t>https://www.royalwhitecement.com/news/holcim-deutschland-secures-government-funding-for-hover-cement-plant-carbon-capture-project/</t>
  </si>
  <si>
    <t>http://coolplanettech.com/wp/wp-content/uploads/2022/10/22-09-29-CPT-Press-release-Final.pdf</t>
  </si>
  <si>
    <t>Hover cement works Hannover phase 2</t>
  </si>
  <si>
    <t>GO4ZERO Oburg</t>
  </si>
  <si>
    <t>Holcim Group, TotalEnergies, Air Liquide</t>
  </si>
  <si>
    <t>https://totalenergies.com/media/news/press-releases/TotalEnergies_and_Holcim_Join_Forces_for_First_Carbon-Free_Cement_Plant</t>
  </si>
  <si>
    <t>https://www.airliquide.com/sites/airliquide.com/files/2023-05/air-liquide-and-holcim-collaborate-project-decarbonize-cement-production-belgium_6450b11c65bc4.pdf</t>
  </si>
  <si>
    <t>https://www.globalcement.com/news/item/15498-holcim-belgium-secures-environmental-permit-for-obourg-cement-plant-kiln-upgrade</t>
  </si>
  <si>
    <t>ANRAV-CCUS (Devnya plant)</t>
  </si>
  <si>
    <t>Heidelberg Materials, Petroceltic</t>
  </si>
  <si>
    <t>https://www.heidelbergmaterials.com/en/pr-12-07-2022</t>
  </si>
  <si>
    <t>https://www.heidelbergmaterials.com/en/pr-2023-01-20</t>
  </si>
  <si>
    <t>Hynovi project (Vicat Montalieu plant)</t>
  </si>
  <si>
    <t>Vicat</t>
  </si>
  <si>
    <t>https://www.vicat.com/news/low-carbon-trajectory-vicat-and-hynamics-unveil-hynovi-project</t>
  </si>
  <si>
    <t>Project Air Perstorp Oxo capture</t>
  </si>
  <si>
    <t>Perstorp Oxo AB (capture and methanol), FORTUM SVERIGE AB (hydrogen), Sydkraft AB, Uniper, Sunfire (electrolyser), Johnson Matthey (methanol synthesis, FEED)</t>
  </si>
  <si>
    <t>https://projectair.se/en/news/project-air-receives-eur-30-million-from-the-swedish-energy-agency/</t>
  </si>
  <si>
    <t>https://www.icis.com/explore/resources/news/2020/11/24/10578851/sweden-s-perstorp-to-produce-biomethanol-at-stenungsund-includes-ccu-unit/</t>
  </si>
  <si>
    <t>https://climate.ec.europa.eu/system/files/2022-12/if_pf_2022_air_v5_en.pdf</t>
  </si>
  <si>
    <t>https://www.perstorp.com/en/news_center/pressreleases/2023/project_air_granted_environmental_permit</t>
  </si>
  <si>
    <t>https://projectair.se/en/news/methanol-license-and-engineering-services-for-project-air-initiated/</t>
  </si>
  <si>
    <t>Hyskies Vattenfall CHP Lanzatech</t>
  </si>
  <si>
    <t>Vattenfall, SAS, Lanzatech</t>
  </si>
  <si>
    <t>https://group.vattenfall.com/press-and-media/pressreleases/2021/sas-vattenfall-shell-and-lanzatech-to-explore-synthetic-sustainable-aviation-fuel-production</t>
  </si>
  <si>
    <t>Go4ECOPLANET Kujawy</t>
  </si>
  <si>
    <t>Lafarge Cement Polska (Holcim Group), Air Liquide, Protech Sp. z o. o. (FEED)</t>
  </si>
  <si>
    <t>https://www.go4ecoplanet.com/blog/lafarge-projekt-kujawy-go4ecoplanet-z-pozytywna-decyzja-srodowiskowa</t>
  </si>
  <si>
    <t>https://climate.ec.europa.eu/system/files/2022-12/if_pf_2022_go4_en_0.pdf</t>
  </si>
  <si>
    <t>Medway CCGT power station</t>
  </si>
  <si>
    <t>Oilex</t>
  </si>
  <si>
    <t>Medway Hub CCS</t>
  </si>
  <si>
    <t>https://www.synergiaenergy.com/sites/synergia-energy-ltd/files/synergia-energy-ltd/operations/united-kingdom/medway-hub-ccs-r7-we.pdf</t>
  </si>
  <si>
    <t>Grain CCGT power station</t>
  </si>
  <si>
    <t>Synergia Energy, Technip Energies (PDP), Aker Carbon Capture (PDP), Oilex</t>
  </si>
  <si>
    <t>Acorn Isle of Grain to Peterhead shipping/Acorn CCS</t>
  </si>
  <si>
    <t>https://akercarboncapture.com/?cision_id=9C7536F6175F2E14</t>
  </si>
  <si>
    <t>https://www.uniper.energy/united-kingdom/news/uniper-awards-design-study-contracts-for-grain-carbon-capture-project/</t>
  </si>
  <si>
    <t>Damhead Creek CCGT power station</t>
  </si>
  <si>
    <t>Synergia Energy Ltd</t>
  </si>
  <si>
    <t>https://www.oedigital.com/news/506131-synergia-and-wintershall-dea-secure-uk-north-sea-carbon-storage-license-for-medway-hub-ccs-project</t>
  </si>
  <si>
    <t>Longford gas plant</t>
  </si>
  <si>
    <t>ExxonMobil</t>
  </si>
  <si>
    <t>Co-op Renewable Diesel Complex (SK)</t>
  </si>
  <si>
    <t>Federated Co-operatives (FCL), Fluor and Whitecap Resources Inc.</t>
  </si>
  <si>
    <t>Southeast Saskatchewan CCUS Hub (Belle Plaine and Weyburn)</t>
  </si>
  <si>
    <t>https://www.fcl.crs/news-reports/news/article/fcl-exploring-carbon-capture-with-whitecap-to-meet-emissions</t>
  </si>
  <si>
    <t>https://www.newswire.ca/news-releases/whitecap-resources-inc-partners-with-federated-co-operatives-limited-to-reduce-co2-emissions-in-saskatchewan-807417476.html</t>
  </si>
  <si>
    <t>Co-op Belle Plaine Ethanol Complex (SK)</t>
  </si>
  <si>
    <t>Federated Co-operatives (FCL), Whitecap Resources Inc. (MoU with FCL to capture, transport and store)</t>
  </si>
  <si>
    <t>Southeast Saskatchewan CCUS Hub (Belle Plaine and Weyburn) (SK)</t>
  </si>
  <si>
    <t>Whitecap Resources Inc.</t>
  </si>
  <si>
    <t>1.2 - 3</t>
  </si>
  <si>
    <t>Gulf Coast Sequestration Hub Lake Charles (LA)</t>
  </si>
  <si>
    <t xml:space="preserve">Gulf Coast Sequestration </t>
  </si>
  <si>
    <t>Gulf Coast Sequestration Hub(LA)</t>
  </si>
  <si>
    <t>https://gcscarbon.com/media/gulf-coast-sequestration-makes-initial-filing-to-obtain-epa-permit-for-ccs-project/</t>
  </si>
  <si>
    <t>https://gcscarbon.com/gulf-coast-sequestration-and-climeworks-sign-mou-to-develop-first-direct-air-capture-and-storage-hub-on-the-gulf-coast-in-louisiana/</t>
  </si>
  <si>
    <t>https://www.businesswire.com/news/home/20221121005556/en/Gulf-Coast-Sequestration-and-Climeworks-Sign-MOU-to-Develop-First-Direct-Air-Capture-and-Storage-Hub-on-the-Gulf-Coast-in-Louisiana</t>
  </si>
  <si>
    <t>Arcelor Mittal Air Liquide Low-carbon steel (phase 2?)</t>
  </si>
  <si>
    <t>1 - 2.85</t>
  </si>
  <si>
    <t>https://corporate.arcelormittal.com/media/press-releases/arcelormittal-accelerates-its-decarbonisation-with-a-1-7-billion-investment-programme-in-france-supported-by-the-french-government</t>
  </si>
  <si>
    <t>Energy Recovery Facility Edmonton EcoPark</t>
  </si>
  <si>
    <t>North London Waste Authority (NLWA)</t>
  </si>
  <si>
    <t>Bacton Thames Net Zero Initiative</t>
  </si>
  <si>
    <t>http://www.northlondonheatandpower.london/project/</t>
  </si>
  <si>
    <t>http://northlondonheatandpower.london/news/nlwa-takes-next-step-towards-carbon-capture-in-edmonton/</t>
  </si>
  <si>
    <t>https://www.nlwa.gov.uk/news/edmonton-ecopark-steps-closer-towards-net-zero-and-beyond-major-new-partnership</t>
  </si>
  <si>
    <t>Antwerp@C CO2 Export Hub phase 2</t>
  </si>
  <si>
    <t>Chevron Mitsui CO2 shipping SGP-AUS</t>
  </si>
  <si>
    <t>Singapore-Australia</t>
  </si>
  <si>
    <t>Chevron, Mitsui</t>
  </si>
  <si>
    <t>https://www.chevron.com/newsroom/2022/q4/chevron-and-mol-to-study-co2-shipping-from-singapore-to-australia</t>
  </si>
  <si>
    <t>Industrial Carbon Capture (ICC) Stanlow</t>
  </si>
  <si>
    <t>Essar Energy Transition (Essar Oil), Kent (pre-FEED), Mistubishi Heavy Industries (FEED), Topsoe (tech partner)</t>
  </si>
  <si>
    <t>https://kentplc.com/news-insights/kent-wins-pre-feed-engineering-contract-for-360m-carbon-capture-plant-at-essar-stanlow-refinery-uk</t>
  </si>
  <si>
    <t>https://www.essaroil.co.uk/news/essar-launches-eet-to-invest-us-36-billion-in-energy-transition-in-the-uk-and-india/</t>
  </si>
  <si>
    <t>https://www.topsoe.com/press-releases/topsoe-selected-by-essar-to-provide-technology-for-360-million-carbon-capture-project?hs_amp=true</t>
  </si>
  <si>
    <t>Huaneng Longdong Energy base/Zhengning coal power plant (Gansu)</t>
  </si>
  <si>
    <t>China Huaneng Group</t>
  </si>
  <si>
    <t>https://www.gem.wiki/Huaneng_Zhengning_power_station</t>
  </si>
  <si>
    <t>https://news.bjx.com.cn/html/20221229/1279649.shtml</t>
  </si>
  <si>
    <t>https://www.seetao.com/details/95655.html</t>
  </si>
  <si>
    <t>BIGST gas fiels Cluster Heads of Agreement</t>
  </si>
  <si>
    <t>Petronas, JX Nippon</t>
  </si>
  <si>
    <t>https://www.petronas.com/media/media-releases/petronas-carigali-jx-nippon-enter-heads-agreement-bigst-cluster-offshore</t>
  </si>
  <si>
    <t>Carbon TerraVault 1: Lone Cypress Hydrogen project (CA)</t>
  </si>
  <si>
    <t>Lone Cypress Energy services, California Resources Corporation (Carbon TerraVault)</t>
  </si>
  <si>
    <t>Jubail CCS Hub (*capture sources under evaluation)</t>
  </si>
  <si>
    <t>Saudi Aramco (60%), SLB (20%), Linde (20%)</t>
  </si>
  <si>
    <t>Jubail CCS hub</t>
  </si>
  <si>
    <t>https://www.reuters.com/business/energy/saudi-aramco-energy-ministry-sign-agreement-establish-carbon-capture-storage-hub-2022-11-10/</t>
  </si>
  <si>
    <t>https://www.ogj.com/energy-transition/article/55088077/aramcos-accs-project-advances-with-preliminary-engineering-work-complete</t>
  </si>
  <si>
    <t>https://www.aramco.com/en/news-media/news/2024/aramco-linde-and-slb-sign-shareholders-agreement-for-one-of-the-largest-ccs-hubs-globally</t>
  </si>
  <si>
    <t>Battle River Power Station (AB)</t>
  </si>
  <si>
    <t>TransAlta(formerly Heartland Generation Ltd)</t>
  </si>
  <si>
    <t>https://www.eralberta.ca/projects/details/innovative-integration-of-carbon-capture-for-clean-power/</t>
  </si>
  <si>
    <t>Exshaw Cement Carbon Capture (ALB)</t>
  </si>
  <si>
    <t>Lafarge Canada (Holcim Group)</t>
  </si>
  <si>
    <t>https://www.eralberta.ca/projects/details/exshaw-cement-carbon-capture-and-bow-valley-decarbonization/</t>
  </si>
  <si>
    <t>https://www.cbc.ca/news/canada/calgary/cement-carbon-capture-1.6968299</t>
  </si>
  <si>
    <t>CCUS hub at Strathcona Resources Cold Lake Lindbergh, Orion, and Tucker SAGD facilities (x 3 projects) (ALB)</t>
  </si>
  <si>
    <t>Strathcona Resources Ltd.</t>
  </si>
  <si>
    <t>https://www.eralberta.ca/projects/details/feasibility-and-feed-for-post-combustion-flue-gas-carbon-capture-at-strathcona-resources-ltd-cold-lake-region-sagd-facilities-lindbergh-orion-and-tucker/</t>
  </si>
  <si>
    <t>Athabasca Leismer project (ALB)</t>
  </si>
  <si>
    <t>Entropy Inc, Athabasca Oil Corporation</t>
  </si>
  <si>
    <t>https://www.eralberta.ca/projects/details/entropy-carbon-capture-and-sequestration-of-in-situ-oil-production-process-at-athabascas-leismer-facility/</t>
  </si>
  <si>
    <t>https://financialpost.com/commodities/energy/oil-gas/athabasca-oil-carbon-capture-project-oilsands</t>
  </si>
  <si>
    <t>Nutrien Redwater Fertilizer (ALB) phase 2</t>
  </si>
  <si>
    <t>https://www.eralberta.ca/projects/details/nutrien-redwater-carbon-capture-study/</t>
  </si>
  <si>
    <t>Hinton Bioenergy CCS project (ALB)</t>
  </si>
  <si>
    <t xml:space="preserve"> Vault 44.01 Ltd, West Fraser, TorchLight Bioresources</t>
  </si>
  <si>
    <t>https://www.eralberta.ca/projects/details/hinton-bioenergy-carbon-capture-and-storage-project/</t>
  </si>
  <si>
    <t>Suncor Edmonton Refinery - Fluid Catalytic Cracker Capture (ALB)</t>
  </si>
  <si>
    <t>Suncor, Svante</t>
  </si>
  <si>
    <t>https://www.eralberta.ca/projects/details/svantes-co2-capture-process-for-suncors-fluid-catalytic-cracker/</t>
  </si>
  <si>
    <t>Shepard Energy Centre (SEC) (ALB)</t>
  </si>
  <si>
    <t>Enmax Energy Corporation</t>
  </si>
  <si>
    <t>https://www.eralberta.ca/projects/details/shepard-energy-centre-carbon-capture-unit-feed-study/</t>
  </si>
  <si>
    <t>Morecambe Net Zero Cluster</t>
  </si>
  <si>
    <t>Spirit Energy (Centrica and Stadtwerke Mucnchen GmbH joint venture)</t>
  </si>
  <si>
    <t>https://www.spirit-energy.com/newsroom/press-releases/spirit-energy-launches-plan-for-carbon-storage-cluster/</t>
  </si>
  <si>
    <t>https://www.mnzcluster.com/news/mnz-cluster-signs-memorandum-of-understanding-with-peak-cluster</t>
  </si>
  <si>
    <t>https://www.energylivenews.com/2023/05/19/morecambe-gas-fields-embrace-carbon-capture/</t>
  </si>
  <si>
    <t>Rwe, Lotte Chemical Corporation, Mitsubishi Corporation (JSA)</t>
  </si>
  <si>
    <t>OQ group, Omifco</t>
  </si>
  <si>
    <t>Structure A&amp;E</t>
  </si>
  <si>
    <t>Lybia</t>
  </si>
  <si>
    <t>Eni, National Oil Corporation (NOC) Libya</t>
  </si>
  <si>
    <t>https://www.eni.com/en-IT/media/press-release/2023/01/eni-launches-a-major-gas-development-project-in-libya.html</t>
  </si>
  <si>
    <t>https://www.seetao.com/details/200627.html</t>
  </si>
  <si>
    <t>Rohm chemical plant (x2)</t>
  </si>
  <si>
    <t>Rohm, Aker Carbon Capture</t>
  </si>
  <si>
    <t>0 - 0.5</t>
  </si>
  <si>
    <t>https://akercarboncapture.com/?cision_id=4435469A86CA6227</t>
  </si>
  <si>
    <t>Carbon America Bridgeport Ethanol - Voyager carbon storage (NE)</t>
  </si>
  <si>
    <t>https://www.carbonamerica.com/bridgeport</t>
  </si>
  <si>
    <t>Carbon Capture at Corn-processing complex (NE)</t>
  </si>
  <si>
    <t>Bayu-Undan field storage hub Timor-Leste phase 2</t>
  </si>
  <si>
    <t>Santos (43.4%) , SK E&amp;S (25%), INPEX (11.4%), ENI (11%), JERA (6.1%), Tokyo Gas (3.1%)</t>
  </si>
  <si>
    <t>Woodside Browse CCS Assessment</t>
  </si>
  <si>
    <t xml:space="preserve">Woodside, BP, Japan Australia LNG (MIMI), PetroChina </t>
  </si>
  <si>
    <t>Geovault Canning Basin CCS Assessment</t>
  </si>
  <si>
    <t>Buru Energy (Geovault), Energy Resources Ltd</t>
  </si>
  <si>
    <t>https://www.buruenergy.com/site/PDF/4bae9a34-0ffa-4e0e-8489-040130e66b92/BuruofferedGovernmentGrantforonshoreCCSProject</t>
  </si>
  <si>
    <t>Rockpoint and Inter Pipeline Carbon Sequestration Hub (AB)</t>
  </si>
  <si>
    <t>Inter Pipeline, Rockpoint Gas Storage</t>
  </si>
  <si>
    <t>Rockpoint and Inter Pipeline Carbon Sequestration Hub</t>
  </si>
  <si>
    <t>https://www.sherwoodparknews.com/news/local-news/carbon-sequestration-hub-proposal-launched-by-inter-pipeline-and-rockpoint-gas</t>
  </si>
  <si>
    <t>CF Fertilisers Billingham Ammonia CCS</t>
  </si>
  <si>
    <t>https://www.greencarcongress.com/2021/08/20210806-bp.html</t>
  </si>
  <si>
    <t>Protos Energy Recovery Facility (ERF)</t>
  </si>
  <si>
    <t>Encyclis (former Covanta Europe)</t>
  </si>
  <si>
    <t>https://www.letsrecycle.com/news/two-efw-projects-shortlisted-for-carbon-capture-funding/</t>
  </si>
  <si>
    <t>https://hynet.co.uk/hynet-partners-announce-a-major-plan-to-develop-the-uks-first-energy-from-waste-facility/</t>
  </si>
  <si>
    <t>Buxton Lime Net Zero</t>
  </si>
  <si>
    <t>Tarmac, SigmaRoc</t>
  </si>
  <si>
    <t>Tees Valley Energy Recovery Facility (TVERF)</t>
  </si>
  <si>
    <t>Hartlepool Borough Council (leading partnership with 6 other councils)</t>
  </si>
  <si>
    <t>https://www.tverf.co.uk/</t>
  </si>
  <si>
    <t>ZerCal250</t>
  </si>
  <si>
    <t>Origin, Singleton Birch</t>
  </si>
  <si>
    <t>https://birchchemicals.co.uk/birch-chemicals-begins-the-journey-to-zero-carbon-production/</t>
  </si>
  <si>
    <t>Guanghui Energy CCUS integration project Phase 1 (Xinjiang)</t>
  </si>
  <si>
    <t>Guanghui Energy CO., Ltd, China Kunlun Engineering  (EPC)</t>
  </si>
  <si>
    <t>https://www.mrchub.com/news/406625-guanghui-energy-builds-up-carbon-capture-utilisation-and-storage-demonstration-project-in-china</t>
  </si>
  <si>
    <t>http://www.sse.com.cn/disclosure/listedinfo/announcement/c/new/2022-03-15/600256_20220315_1_lNNoFbgj.pdf</t>
  </si>
  <si>
    <t>https://news.bjx.com.cn/html/20230828/1328476.shtml</t>
  </si>
  <si>
    <t>Jiling Petrochemical CCUS (Nanjing refinery) (Jiangsu) phase 1</t>
  </si>
  <si>
    <t>Sinopec (Nanjing refinery), Jiling Petrochemical, Jiangsu oilfield</t>
  </si>
  <si>
    <t>http://www.tanjiaoyi.com/article-44241-1.html</t>
  </si>
  <si>
    <t>BIR Waste-to-Energy Bergen</t>
  </si>
  <si>
    <t>BIR, Aker Carbon Capture</t>
  </si>
  <si>
    <t>https://akercarboncapture.com/?cision_id=92D8BAC2851B0A03</t>
  </si>
  <si>
    <t>KVA Linth Waste-to-Energy Niederurnen</t>
  </si>
  <si>
    <t>KVA Linth, VBSA, Capsol (feasibility)</t>
  </si>
  <si>
    <t>https://www.akersolutions.com/globalassets/investors/presentations/aker-carbon-capture-company-presentation-aug-6-2020.pdf</t>
  </si>
  <si>
    <t>https://www.wastetodaymagazine.com/news/waste-to-energy-capsol-co2-capsol-carbon-capture/</t>
  </si>
  <si>
    <t>Oceania CCS (capture sources under evaluation)</t>
  </si>
  <si>
    <t>Nippon steel, ExxonMobil, Mitsubishi</t>
  </si>
  <si>
    <t>Oceania CCS</t>
  </si>
  <si>
    <t>https://www.mitsubishicorp.com/jp/en/pr/archive/2023/html/0000050630.html</t>
  </si>
  <si>
    <t>ECO2CEE (previously Poland EU CCS Interconnector) phase 3</t>
  </si>
  <si>
    <t>ECO2Normandy phase 1</t>
  </si>
  <si>
    <t>Air Liquide, Borealis, Esso (Exxon Mobil), TotalEnergies, Yara</t>
  </si>
  <si>
    <t>ECO2Normandy/Nautilus</t>
  </si>
  <si>
    <t>https://www.airliquide.com/group/press-releases-news/2021-07-12/air-liquide-borealis-esso-totalenergies-and-yara-collaborate-help-decarbonize-industrial-basin</t>
  </si>
  <si>
    <t>ECO2Normandy phase 2</t>
  </si>
  <si>
    <t>ECO2Normandy phase 3</t>
  </si>
  <si>
    <t>Callisto Mediterranean CO2 Network phase 1</t>
  </si>
  <si>
    <t>France-Italy</t>
  </si>
  <si>
    <t>Air Liquide, Eni, Snam</t>
  </si>
  <si>
    <t>Callisto Mediterranean CO2 Network phase 2</t>
  </si>
  <si>
    <t>C Zero phase 1</t>
  </si>
  <si>
    <t>Air Liquide, Lhoist, Duisport</t>
  </si>
  <si>
    <t>C Zero/Nautilus</t>
  </si>
  <si>
    <t>C Zero phase 2</t>
  </si>
  <si>
    <t>C Zero phase 3</t>
  </si>
  <si>
    <t>OLYMPUS Holcim Milaki</t>
  </si>
  <si>
    <t>Holcim Group, Air Liquide</t>
  </si>
  <si>
    <t>https://annual-report.holcim.com/fileadmin/user_upload/2022/pdf/24022023-finance-holcim-fy-2022-report-full-en-3914999618.pdf</t>
  </si>
  <si>
    <t>https://www.lafarge.gr/sites/greece/files/docs/heracles-group-and-air-liquide-signed-a-front-end-engineering-design-feed-contract-for-olympus-ccs-project-12-12-2024_vs2.pdf</t>
  </si>
  <si>
    <t>KOdeCO project</t>
  </si>
  <si>
    <t>https://climate.ec.europa.eu/system/files/2024-01/policy_ccs_implementation_20231215_capture_en.pdf</t>
  </si>
  <si>
    <t>Weyburn-Midale storage</t>
  </si>
  <si>
    <t>Whitecap Resources Inc., Cardinal Energy LTD.</t>
  </si>
  <si>
    <t>Heidelberg Materials CBR Antoing Cement Plant (Anthemis)</t>
  </si>
  <si>
    <t>Fluxys Tournai-Zeebrugge</t>
  </si>
  <si>
    <t>https://www.cbr.be/fr/cbr-a-lintention-de-construire-une-unite-hybride-de-capture-de-carbone-unique-en-son-genre-dans-sa-cimenterie-dantoing</t>
  </si>
  <si>
    <t>EU2NSEA PCI Project</t>
  </si>
  <si>
    <t>Equinor and partners (incl. Heidelberg Materials)</t>
  </si>
  <si>
    <t>20 - 50</t>
  </si>
  <si>
    <t>EU2NSEA</t>
  </si>
  <si>
    <t>https://network.bellona.org/content/uploads/sites/3/2023/01/EU-CO2-INFRASTRUCTURE-IN-BLOOM-1.pdf</t>
  </si>
  <si>
    <t>https://www.equinor.com/energy/smeaheia</t>
  </si>
  <si>
    <t>Marquis Industrial Complex (IL)</t>
  </si>
  <si>
    <t>Marquis Inc., Gas Liquids Engineering Ltd (FEED)</t>
  </si>
  <si>
    <t>https://marquisindustrialcomplex.com/who-we-are</t>
  </si>
  <si>
    <t>https://www.prnewswire.com/news-releases/gle-commences-engineering-on-carbon-capture-at-marquis-industrial-complex-301769736.html</t>
  </si>
  <si>
    <t xml:space="preserve">Hoosier 1 (Cardinal ethanol facility) (IN) </t>
  </si>
  <si>
    <t>One Carbon Partnership (Cardinal Ethanol, Vault 44.01 joint venture)</t>
  </si>
  <si>
    <t>https://www.businesswire.com/news/home/20230130005121/en/Cardinal-Ethanol-and-Vault-44.01-Form-Joint-Venture-to-Implement-a-Carbon-Capture-and-Sequestration-Project-in-Indiana</t>
  </si>
  <si>
    <t>https://www.epa.gov/system/files/documents/2023-02/One_Carbon_Partnership_AoR_and_Corrective_Action_Plan.pdf</t>
  </si>
  <si>
    <t>CO2 TransPorts phase 2 (cross-border pipeline, phase 1 is Porthos and Antwerp?)</t>
  </si>
  <si>
    <t>Belgium-Netherlands</t>
  </si>
  <si>
    <t>Port of Rotterdam, port of Antwerp, North Sea Port, Fluxys, Gasunie</t>
  </si>
  <si>
    <t>CO2TransPorts</t>
  </si>
  <si>
    <t>https://ec.europa.eu/energy/maps/pci_fiches/PciFiche_12.3.pdf</t>
  </si>
  <si>
    <t>Tohoku Region West Coast CCS</t>
  </si>
  <si>
    <t>ITOCHU, ITOCHU Oil exploration  Mistubishi Heavy Industries, INPEX, Taisei</t>
  </si>
  <si>
    <t>https://www.itochu.co.jp/en/news/press/2023/230126.html</t>
  </si>
  <si>
    <t>https://www.offshore-energy.biz/partners-to-conduct-engineering-design-work-for-japanese-ccs-project/</t>
  </si>
  <si>
    <t>Tomakomai area CCS</t>
  </si>
  <si>
    <t>Idemitsu, Hokkaido Electric Power, JAPEX</t>
  </si>
  <si>
    <t>https://www.japex.co.jp/en/news/detail/20230126_01/</t>
  </si>
  <si>
    <t>MOL Szank field CO2 EOR</t>
  </si>
  <si>
    <t>MOL group</t>
  </si>
  <si>
    <t>https://molgroup.info/storage/documents/publications/annual_reports/2021/mol_plc_consolidated_annual_report_2021_eng.pdf</t>
  </si>
  <si>
    <t>Gassum storage/Fyrkat network (Norne carbon storage hub)</t>
  </si>
  <si>
    <t>Fidelis new energy, Gas Storage Denmark, Capio Danmark (PCI coordinator), Ross Energy</t>
  </si>
  <si>
    <t>Norne carbon storage hub</t>
  </si>
  <si>
    <t>https://zeroemissionsplatform.eu/wp-content/uploads/Detailed_information_regarding_the_candidate_projects_CO2_networks_Dec_2022_v2.pdf</t>
  </si>
  <si>
    <t>https://www.prnewswire.com/news-releases/fidelis-new-energy-to-store-3-million-tons-of-co2-in-denmark-in-2026-and-10-million-tons-by-2028-301638454.html</t>
  </si>
  <si>
    <t>https://www.prnewswire.com/da/pressemeddelelser/gas-storage-denmark-and-fidelis-new-energy-enter-into-a-collaboration-on-co2-storage-301823959.html</t>
  </si>
  <si>
    <t>https://norneccs.com/en/news/</t>
  </si>
  <si>
    <t>https://www.prnewswire.com/news-releases/aalborg-portland-and-fidelis-new-energy-enter-into-letter-of-intent-for-onshore-co2-storage-301845314.html</t>
  </si>
  <si>
    <t>https://www.prnewswire.com/news-releases/carbon-centric-and-fidelis-new-energy-enter-into-letter-of-intent-for-onshore-co2-storage-301913781.html</t>
  </si>
  <si>
    <t>Havnso storage/Trelleborg network (Norne carbon storage hub)</t>
  </si>
  <si>
    <t>Port of Aalborg terminal and pipeline to Fyrkat (Norne carbon storage hub)</t>
  </si>
  <si>
    <t>Fidelis new energy, Gas Storage Denmark, Capio Danmark (PCI coordinator), KBR (FEED)</t>
  </si>
  <si>
    <t>https://www.prnewswire.com/news-releases/fidelis-new-energys-new-receiving-facility-will-make-aalborg-one-of-europes-leaders-in-co2-management-301824191.html</t>
  </si>
  <si>
    <t>https://www.kbr.com/en/insights-news/press-release/kbr-awarded-engineering-contract-fidelis-new-energys-liquid-carbon</t>
  </si>
  <si>
    <t>Port of Kalundborg terminal and pipeline to Trelleborg phase 1 (Norne carbon storage hub)</t>
  </si>
  <si>
    <t>Fidelis new energy, Gas Storage Denmark, Capio Danmark (PCI coordinator)</t>
  </si>
  <si>
    <t>Port of Kalundborg terminal and pipeline to Trelleborg phase 2 (Norne carbon storage hub)</t>
  </si>
  <si>
    <t>German carbon transport grid</t>
  </si>
  <si>
    <t>Open Grid Europe (OGE), TES</t>
  </si>
  <si>
    <t>18.8 - 25.8</t>
  </si>
  <si>
    <t>German Carbon transport grid</t>
  </si>
  <si>
    <t>https://oge.net/en/press-releases/2022/oge-and-tes-join-forces-to-develop-a-1-000-km-co-2-transmission-system</t>
  </si>
  <si>
    <t>Equinor Smeaheia storage phase 2</t>
  </si>
  <si>
    <t>Wilhelmshaven/Smeahia</t>
  </si>
  <si>
    <t>https://www.equinor.com/news/archive/20220405-awarded-smeaheia-polaris-co2-licenses</t>
  </si>
  <si>
    <t>North Sea CO2 corridor</t>
  </si>
  <si>
    <t>Belgium-Germany</t>
  </si>
  <si>
    <t>Wintershell Dea (Harbour Energy), Fluxys, OGE</t>
  </si>
  <si>
    <t>Wintershell dea-Fluxys belgium-germany pipeline</t>
  </si>
  <si>
    <t>https://wintershalldea.com/en/newsroom/pi-23-04-fluxys</t>
  </si>
  <si>
    <t>https://wintershalldea.com/en/newsroom/pi-23-42</t>
  </si>
  <si>
    <t>WH2V therminal (Wilhelshaven green energy hub phase 1)</t>
  </si>
  <si>
    <t>Multiple Europe</t>
  </si>
  <si>
    <t>TES</t>
  </si>
  <si>
    <t>NL CCS Direct Injection Phase 1</t>
  </si>
  <si>
    <t>Eni (following acquisition of Neptune Energy), EBN, OneDyas</t>
  </si>
  <si>
    <t>DI Hub</t>
  </si>
  <si>
    <t>https://benelux.rwe.com/en/press/2023-02-22-capeomega-and-neptune-energy-announce-noordkaap-rwe-signs-letter-of-intent-/</t>
  </si>
  <si>
    <t>RWE Eemshaven power plant (BECCUS project)</t>
  </si>
  <si>
    <t>5.5 - 7</t>
  </si>
  <si>
    <t>Noorkaap</t>
  </si>
  <si>
    <t>https://benelux.rwe.com/en/press/2022-12-13-rwe-launches-project-for-large-scale-capture-and-storage-of-co/</t>
  </si>
  <si>
    <t>RWE Amer power plant (BECCUS project)</t>
  </si>
  <si>
    <t>CCS Baltic Consortium, Klapeida terminal</t>
  </si>
  <si>
    <t>Lithuania, Latvia</t>
  </si>
  <si>
    <t>Kalipedos Nafta AB</t>
  </si>
  <si>
    <t>CCS Baltic Constium, Klapeida terminal</t>
  </si>
  <si>
    <t>https://ccs-baltic.eu/</t>
  </si>
  <si>
    <t>Geothermal CCS Croatia</t>
  </si>
  <si>
    <t>Hydrocarbons Agency Croatia</t>
  </si>
  <si>
    <t>PYCASSO hub phase 2 - northern and cross-border pipeline</t>
  </si>
  <si>
    <t>France-Spain</t>
  </si>
  <si>
    <t>Buzzi Unicem Augusta cement plant</t>
  </si>
  <si>
    <t>Buzzi Unicem Spa</t>
  </si>
  <si>
    <t>Augusta-C2/Prinos CO2 storage</t>
  </si>
  <si>
    <t xml:space="preserve">Augusta C2 </t>
  </si>
  <si>
    <t>Italy-Greece</t>
  </si>
  <si>
    <t>Prinos CCS phase 1</t>
  </si>
  <si>
    <t>Energean</t>
  </si>
  <si>
    <t>https://www.energean.com/media/5183/energean-annual-report-2021.pdf</t>
  </si>
  <si>
    <t>Prinos CCS phase 2</t>
  </si>
  <si>
    <t>https://www.iene.eu/articlefiles/inline/sardi%20-%2014th%20seeed.pdf</t>
  </si>
  <si>
    <t>Prinos sigma plant</t>
  </si>
  <si>
    <t>Burns Harbour (IN)</t>
  </si>
  <si>
    <t>Dastur International Inc., ON Clean Energy, Inc., University of Texas,Cleveland-Cliffs Inc.</t>
  </si>
  <si>
    <t>https://www.businesswire.com/news/home/20221207005491/en/</t>
  </si>
  <si>
    <t>Phillips 66</t>
  </si>
  <si>
    <t>Praxair</t>
  </si>
  <si>
    <t>https://www.osti.gov/servlets/purl/1898038</t>
  </si>
  <si>
    <t>Blue Bison ATR advanced CCUS system (WY)</t>
  </si>
  <si>
    <t>Tallgrass MLP Operations, LLC (FEED)</t>
  </si>
  <si>
    <t>https://carbonherald.com/carboncapture-inc-pauses-development-of-project-bison-in-wyoming/</t>
  </si>
  <si>
    <t>Calpine Delta Energy Center (CA)</t>
  </si>
  <si>
    <t>ION Clean Energy, Inc., Calpine</t>
  </si>
  <si>
    <t>https://www.energy.gov/fecm/articles/funding-opportunity-announcement-2515-carbon-capture-rd-natural-gas-and-industrial</t>
  </si>
  <si>
    <t>https://calpinecarboncapture.com/</t>
  </si>
  <si>
    <t>https://www.energy.gov/articles/doe-invests-45-million-decarbonize-natural-gas-power-and-industrial-sectors-using-carbon</t>
  </si>
  <si>
    <t>Carbon Capture Retrofit at Sherman Generating Station (TX)</t>
  </si>
  <si>
    <t>Bechtel National, Inc.</t>
  </si>
  <si>
    <t>https://www.osti.gov/biblio/1836563</t>
  </si>
  <si>
    <t>https://ukccsrc.ac.uk/open-access-sherman-feed/</t>
  </si>
  <si>
    <t>CO2 capture at Duke Energy's East Bend Station (KY)</t>
  </si>
  <si>
    <t>EPRI, MTR</t>
  </si>
  <si>
    <t>https://netl.doe.gov/sites/default/files/netl-file/D-Dillon-EPRI-East-Bend-Membrane.pdf</t>
  </si>
  <si>
    <t>Calpine Baytown Energy Center (Baytown decarbonization project) (TX)</t>
  </si>
  <si>
    <t>Calpine, Technip Energies, Shell, Zachry Group</t>
  </si>
  <si>
    <t>https://www.technipenergies.com/en/media/press-releases/technip-energies-shell-catalysts-technologies-and-zachry-group-selected-calpines-carbon-capture</t>
  </si>
  <si>
    <t>https://www.energy.gov/sites/default/files/2024-07/Baytown%20CC%20and%20Storage%20Factsheet_072324.pdf</t>
  </si>
  <si>
    <t>Shell Deer Park Chemical complex (TX)</t>
  </si>
  <si>
    <t>Wood Environment &amp; Infrastructure Solutions</t>
  </si>
  <si>
    <t>Summit carbon solutions, Minnkota Power Cooperative, Inc., University of North Dakota EERC (data from CarbonSafe used for project)</t>
  </si>
  <si>
    <t>https://undeerc.org/research/projects/ndcarbonsafe.html#d56e191--2</t>
  </si>
  <si>
    <t>https://netl.doe.gov/carbon-management/carbon-storage/carbonsafe/publications</t>
  </si>
  <si>
    <t>J-Power, Sumitomo corporation</t>
  </si>
  <si>
    <t>Viking CCS Phase 3</t>
  </si>
  <si>
    <t>https://www.vikingccs.co.uk/capture</t>
  </si>
  <si>
    <t>RWE CCGT Staythorpe</t>
  </si>
  <si>
    <t>https://www.rwe.com/en/press/rwe-generation/2022-12-20-rwe-enters-partnership-with-harbour-energy-to-explore-ccs-opportunities-at-uk-po/</t>
  </si>
  <si>
    <t>https://uk.rwe.com/-/media/RWE/RWE-UK/downloads/press/2025/2025-02-04-rwe-announces-public-consultation-carbon-capture-project-staythorpe.pdf</t>
  </si>
  <si>
    <t>Central Louisiana Regional Carbon Storage (CENLA) Hub (Wilcox) (LA) phase 1</t>
  </si>
  <si>
    <t>CapturePoint Solutions, Energy transfer</t>
  </si>
  <si>
    <t>Central Louisiana Regional Carbon Storage (CENLA) Hub (LA)</t>
  </si>
  <si>
    <t>https://capturepointllc.com/news/capturepoint-announces-intent-proceed-central-louisiana-carbon-capture-and-sequestration</t>
  </si>
  <si>
    <t>Haynesville Shale natural gas (LA)</t>
  </si>
  <si>
    <t>https://www.businesswire.com/news/home/20220804005835/en/CapturePoint-Solutions-LLC-Announces-Intended-Partnership-With-Energy-Transfer</t>
  </si>
  <si>
    <t>https://www.momentummidstream.com/news/m6-midstream-announces-final-investment-decision-and-completes-two-acquisitions-establish</t>
  </si>
  <si>
    <t>Trudvang storage project (EXL007)</t>
  </si>
  <si>
    <t>Eni (following acquisition of Neptune Energy)  (30%), Sval (28% op), Storegga (30%), INPEX(12%)</t>
  </si>
  <si>
    <t>Trudvang storage project</t>
  </si>
  <si>
    <t>https://www.neptuneenergy.com/media/press-releases/year/2023/neptune-energy-partners-sval-and-storegga-co2-storage-licence</t>
  </si>
  <si>
    <t>https://www.carboncapturejournal.com/ViewNews.aspx?NewsID=6574</t>
  </si>
  <si>
    <t>Coastal Bend Carbon Management Project (TX)</t>
  </si>
  <si>
    <t>Port of Corpus Christi, Talos Energy (Total Energies), Howard Energy Partners, Texas A&amp;M University System</t>
  </si>
  <si>
    <t>Coastal Bend Carbon Management Partnership (TX)</t>
  </si>
  <si>
    <t>https://portofcc.com/port-of-corpus-christi-enters-into-agreement-with-talos-energy-and-howard-energy-partners-for-carbon-capture-and-sequestration-opportunities/</t>
  </si>
  <si>
    <t>https://portofcc.com/port-of-corpus-christi-awarded-16-4m-in-carbonsafe-grants-from-u-s-department-of-energy/</t>
  </si>
  <si>
    <t>Coastal Bend Offshore CO2 Storage (TX)</t>
  </si>
  <si>
    <t>Port of Corpus Christi, 1845 Carbon Storage LLC, Strategic Sequestration Development LLC, University of Texas Bureau of Economic Geology’s Gulf Coast Carbon Center</t>
  </si>
  <si>
    <t>Corpus Christi offshore storage (TX)</t>
  </si>
  <si>
    <t>Tulare County Carbon Storage Project (CA)</t>
  </si>
  <si>
    <t>Advanced Resources International Inc.</t>
  </si>
  <si>
    <t>Carbon Storage Complex Southeastern Michigan (MI)</t>
  </si>
  <si>
    <t>Battelle Memorial Institute, DTE Energy</t>
  </si>
  <si>
    <t>Mitchell CarbonSAFE (IN)</t>
  </si>
  <si>
    <t>Illinois State Geological Survey, Heidelberg Materials, Projeo, IGS, University of Illinois</t>
  </si>
  <si>
    <t>Sutter Decarbonization Project (CA)</t>
  </si>
  <si>
    <t>Gas Technology Institute, Calpine, 1pointfive (storage)</t>
  </si>
  <si>
    <t>https://www.smud.org/-/media/Documents/Corporate/About-Us/Board-Meetings-and-Agendas/2023/May/Exhibit-to-Agenda-Item-1---Calpine-Presentation.ashx</t>
  </si>
  <si>
    <t>https://www.epa.gov/uic/uic-permits-epas-pacific-southwest-region-9</t>
  </si>
  <si>
    <t>Project OASIS Shelby County (AL)</t>
  </si>
  <si>
    <t>Southern States Energy Board</t>
  </si>
  <si>
    <t>Project Lochridge (Gulf of Mexico CCS Partnership Hub) (LA)</t>
  </si>
  <si>
    <t>Carbon Zero (Storage), Cox (field owner), Crescent Midstream (pipeline operator), Repsol</t>
  </si>
  <si>
    <t>https://www.ogj.com/energy-transition/article/14287618/repsol-crescent-midstream-part-of-offshore-louisiana-ccs-partnership</t>
  </si>
  <si>
    <t>https://www.ogj.com/energy-transition/article/14293569/cox-crescent-midstream-repsol-us-gulf-ccs-project-gets-doe-funding</t>
  </si>
  <si>
    <t>Roughrider Carbon Storage Hub (ND)</t>
  </si>
  <si>
    <t>University of North Dakota, ONEOK, EERC</t>
  </si>
  <si>
    <t>Unita Basin Carbon SAFE (UT)</t>
  </si>
  <si>
    <t>University of Utah</t>
  </si>
  <si>
    <t>Calpine Hermiston Power/HERO Basalt CarbonSafe (OR)</t>
  </si>
  <si>
    <t>University of Wyoming, PNNL, 1PointFive, Calpine, Carbfix, Schlumberger</t>
  </si>
  <si>
    <t>https://netl.doe.gov/sites/default/files/netl-file/23CM_CTS30_McLaughlin.pdf</t>
  </si>
  <si>
    <t>Pathways alliance (ALB) (14 facilities)</t>
  </si>
  <si>
    <t>CNRL, Cenovus Energy, ConocoPhilips, Imperial, MEG Energy, Suncor (Pathways Alliance)</t>
  </si>
  <si>
    <t>Zutica and Ivanic grad EOR extension</t>
  </si>
  <si>
    <t>INA/MOL</t>
  </si>
  <si>
    <t>Kutina Petrokemija ammonia (ICORD project?)</t>
  </si>
  <si>
    <t>INA, MOL Group</t>
  </si>
  <si>
    <t>Kalundborg refinery project</t>
  </si>
  <si>
    <t xml:space="preserve">Kalundborg, Aker Carbon Capture </t>
  </si>
  <si>
    <t>https://www.c4cph.dk/</t>
  </si>
  <si>
    <t>https://www.prnewswire.com/news-releases/aker-carbon-capture-to-deliver-five-just-catch-units-and-equipment-for-over-eur-200-million-to-orsted-bioenergy-plants-in-denmark-301824370.html</t>
  </si>
  <si>
    <t>ACCSION Aalborg Portland</t>
  </si>
  <si>
    <t>Aalborg Portland (Cementir Holding Group), Air Liquide</t>
  </si>
  <si>
    <t>https://aalborgportlandholding.com/en/sustainability/Roadmap-to-2030#:~:text=In%20October%202022%2C%20a%20pilot,2%20per%20year%20by%202030.</t>
  </si>
  <si>
    <t>https://greencem.dk/the-project/</t>
  </si>
  <si>
    <t>https://www.airliquide.com/group/press-releases-news/2024-10-24/air-liquide-and-cementir-holding-group-receive-support-european-innovation-fund-carbon-capture-and</t>
  </si>
  <si>
    <t>ARGO waste-to-energy plant</t>
  </si>
  <si>
    <t>ARGO</t>
  </si>
  <si>
    <t xml:space="preserve">BIOFOS Carbon Capture Project </t>
  </si>
  <si>
    <t>BIOFOS</t>
  </si>
  <si>
    <t>Rezzato-Mazzano plant</t>
  </si>
  <si>
    <t>https://www.heidelbergmaterials.com/en/ecra-oxyfuel</t>
  </si>
  <si>
    <t>Getica CCS - Turceni power plant</t>
  </si>
  <si>
    <t>ISPE (feasibility), Alstom (feasibility) Oltenia, Transgaz</t>
  </si>
  <si>
    <t>https://static1.squarespace.com/static/5672ab009cadb60e553e3529/t/5a003971652dea4f7209d172/1509964149010/UEFISCDI_Oct2017.pdf</t>
  </si>
  <si>
    <t>https://www.globalccsinstitute.com/resources/publications-reports-research/getica-ccs-demo-project-romania-feasibility-study-overview-report-to-the-global-ccs-institute-public-report/</t>
  </si>
  <si>
    <t>Mission Zero Technologies pilot 2</t>
  </si>
  <si>
    <t>Mission Zero Technologies</t>
  </si>
  <si>
    <t>0 - 0</t>
  </si>
  <si>
    <t xml:space="preserve">https://www.missionzero.tech/ </t>
  </si>
  <si>
    <t>Danube Removals</t>
  </si>
  <si>
    <t>emov, Danubeenergy ventures, ClonBio Group</t>
  </si>
  <si>
    <t>https://danubeenergy.com/danube-removals/</t>
  </si>
  <si>
    <t>Norvik Infrastructure CCS East (NICE)</t>
  </si>
  <si>
    <t xml:space="preserve">Ports of Stockhom,  Stockholm Exergi, Mälarenergi, Söderenergi, Vattenfall, Heidelberg Materials, Nordkalk, Plagazi </t>
  </si>
  <si>
    <t>https://www.portsofstockholm.com/about-us/news/2023/stockholm-norvik-port-potential-ccs-hub-in-sweden/</t>
  </si>
  <si>
    <t>https://news.cision.com/plagazi-ab/r/plagazi-joins-leading-project-for-carbon-capture---storage-management-in-stockholm-norvik-harbour,c3736083</t>
  </si>
  <si>
    <t>Cypress DAC Hub (LA)</t>
  </si>
  <si>
    <t>Battelle, Climeworks, Heirloom Carbon, CapturePoint</t>
  </si>
  <si>
    <t>https://www.battelle.org/insights/newsroom/press-release-details/battelle-climeworks-heirloom-carbon-gulf-coast-sequestration-bid-on-direct-air-capture-hub-for-department-of-energy</t>
  </si>
  <si>
    <t>https://www.heirloomcarbon.com/news/two-direct-air-capture-facilities-in-northwest-louisiana</t>
  </si>
  <si>
    <t>Dastur International Inc., Air Liquide,University of Texas at Austin’s Bureau of Economic Geology</t>
  </si>
  <si>
    <t>Electricore Inc., Air Liquide</t>
  </si>
  <si>
    <t>3D DMX ArcelorMittal and IFPEN Dunkirk 'REUZE'</t>
  </si>
  <si>
    <t>ArcelorMittal, Engie, Infinium</t>
  </si>
  <si>
    <t>https://newsroom.engie.com/actualites/engie-et-infinium-annoncent-un-partenariat-pour-developper-un-hub-industriel-denvergure-europeenne-de-production-de-carburants-de-synthese-a-dunkerque-6d4d-ff316.html</t>
  </si>
  <si>
    <t>https://corporate.arcelormittal.com/climate-action/decarbonisation-technologies/the-3d-project-dmx-demonstration-in-dunkirk</t>
  </si>
  <si>
    <t>e-Alto</t>
  </si>
  <si>
    <t>Velocys, Clariant Catalysts, Technip Energies, British Airways</t>
  </si>
  <si>
    <t>https://www.altalto.com/2022/12/12/award-of-2-5m-grant-for-new-e-fuels-project/</t>
  </si>
  <si>
    <t>HIF Tasmania eFuels Facility (TAS)</t>
  </si>
  <si>
    <t>HIF Asia Pacific, Technip (FEED), Forico (biomass supply)</t>
  </si>
  <si>
    <t>http://www.hiftasmania.com.au/</t>
  </si>
  <si>
    <t>https://hifglobal.com/wp-content/uploads/2022/07/HIF-Global-begins-approval-process-for-its-first-carbon-neutral-eFuels-manufacturing-facility-in-Australia.pdf</t>
  </si>
  <si>
    <t>https://hifglobal.com/docs/default-source/documentos-noticias/chile/pr-2023-11-28-hif-and-forico-agreement-(final).pdf?sfvrsn=6f90842d_1</t>
  </si>
  <si>
    <t>https://hifglobal.com/docs/default-source/documentos-noticias/chile/pr-2023-08-17-hif-engages-technip-energies-in-australia.pdf?sfvrsn=8795b0a4_1</t>
  </si>
  <si>
    <t>Asnæs Power Station</t>
  </si>
  <si>
    <t>Orsted, Aker Carbon Capture (tech), NCC (construction)</t>
  </si>
  <si>
    <t>https://orsted.com/en/media/newsroom/news/2023/05/20230515676011</t>
  </si>
  <si>
    <t>https://www.bioenergy-news.com/news/orsted-bids-danish-biomass-fired-cogeneration-plants-into-carbon-capture-tender/</t>
  </si>
  <si>
    <t>https://news.cision.com/ncc/r/ncc-contracted-by-orsted-to-construct-carbon-capture-plant-in-denmark,c3906317</t>
  </si>
  <si>
    <t>Avedøre Power Station CCU (Green Fuels for Denmark)</t>
  </si>
  <si>
    <t>Orsted</t>
  </si>
  <si>
    <t>https://orsted.com/en/media/newsroom/news/2022/12/13666863</t>
  </si>
  <si>
    <t>Ramba CCUS/EOR</t>
  </si>
  <si>
    <t>Pertamina</t>
  </si>
  <si>
    <t>https://static1.squarespace.com/static/60b8dd7acb58186e05cb8387/t/63e31f41c84c7e0cbf1d4829/1675829057767/peta-ccus.jpg</t>
  </si>
  <si>
    <t>Central Sumatera Basin CCUS hub</t>
  </si>
  <si>
    <t xml:space="preserve">Pertamina, Mitsui </t>
  </si>
  <si>
    <t>https://ekonomi.bisnis.com/read/20230814/44/1684866/gencarkan-ccus-pertamina-temukan-lokasi-penyimpanan-karbon-kapasitas-2-giga-ton</t>
  </si>
  <si>
    <t>https://www.pertamina.com/en/pertamina.s-4-new-collaborations-to-create-future-energy</t>
  </si>
  <si>
    <t>Sunda Asri Basin CCUS hub</t>
  </si>
  <si>
    <t xml:space="preserve">Pertamina, ExxonMobil </t>
  </si>
  <si>
    <t>https://www.pertamina.com/en/news-room/news-release/pertamina-cooperates-with-exxonmobil-to-study-ccus-technology-application-in-three-oil-and-gas-field-areas</t>
  </si>
  <si>
    <t>https://www.pertamina.com/en/news-room/news-release/pertamina-exxonmobil-explores-carbon-capture-storage-hub-development</t>
  </si>
  <si>
    <t>Gemah field EOR</t>
  </si>
  <si>
    <t>Petrochina (Daqing Petroleum Services), PT Gemilang Buana Utama</t>
  </si>
  <si>
    <t>https://www.asiaccusnetwork-eria.org/blog-2-1/indonesia-reaches-an-initial-milestone-in-ccus</t>
  </si>
  <si>
    <t>Fluxys, Heidelberg Materials</t>
  </si>
  <si>
    <t>https://www.fluxys.com/en/about-us/energy-transition/hydrogen-carbon-infrastructure/carbon_preparing-to-build-the-network</t>
  </si>
  <si>
    <t>Peak cluster transport</t>
  </si>
  <si>
    <t>Progressive Energy, Breedon group</t>
  </si>
  <si>
    <t>Peak cluster transport/Morecambe Net Zero Cluster</t>
  </si>
  <si>
    <t>https://www.peakcluster.co.uk/wp-content/uploads/2023/05/17052023-World-first-project-to-create-net-zero-cement-cluster-in-Peak-District.pdf</t>
  </si>
  <si>
    <t>https://www.breedongroup.com/content/dam/breedon/corporate/documents/media/news/2023/Breedon%20to%20play%20key%20role%20in%20securing%20a%20sustainable%20future%20in%20the%20Peak%20District.pdf.downloadasset.pdf</t>
  </si>
  <si>
    <t>Trailblazer CO2 pipeline</t>
  </si>
  <si>
    <t>https://ir.tallgrass.com/news-market-information/press-releases/press-release/2022/Tallgrass-to-Capture-and-Sequester-CO2-Emissions-From-ADM-Corn-Processing-Complex-in-Nebraska/default.aspx</t>
  </si>
  <si>
    <t>Drax US BECCS plant 1</t>
  </si>
  <si>
    <t>Drax</t>
  </si>
  <si>
    <t>https://www.drax.com/investors/progressing-global-beccs-opportunities/</t>
  </si>
  <si>
    <t>Drax US BECCS plant 2</t>
  </si>
  <si>
    <t>STARFISH project (Havstjerne CO2 storage/Altera Stella Maris CCS Project Phase 1)</t>
  </si>
  <si>
    <t>Altera (50%), Wintershall Dea (50%, Harbour Energy)</t>
  </si>
  <si>
    <t>https://www.globenewswire.com/news-release/2023/03/31/2638405/0/en/Altera-Infrastructure-and-Wintershall-Dea-Awarded-License-to-Develop-CO2-Storage-on-Norwegian-Continental-Shelf.html</t>
  </si>
  <si>
    <t>https://alterainfra.com/articles/ccs-project-starfish-awarded-eur-225-million-from-eu-innovation-fund</t>
  </si>
  <si>
    <t>Ferrybridge EfW</t>
  </si>
  <si>
    <t>Enfinium, Navigator CO2, Bechtel (feasibility)</t>
  </si>
  <si>
    <t>https://enfinium.co.uk/uks-first-train-to-zero-carbon-capture-rail-link-set-to-decarbonise-yorkshire-energy-facility-through-connection-to-teesside-terminal/</t>
  </si>
  <si>
    <t>https://enfinium.co.uk/enfinium-announces-plans-for-up-to-800m-investment-in-carbon-capture-project/</t>
  </si>
  <si>
    <t>https://enfinium.co.uk/enfinium-proposal-to-decarbonise-largest-energy-from-waste-site-in-uk-designated-as-nationally-significant-by-uk-government/</t>
  </si>
  <si>
    <t>Navigator Terminal train</t>
  </si>
  <si>
    <t>Poseidon CO2 storage</t>
  </si>
  <si>
    <t>Aker BP (60%), OMV AS (4%)</t>
  </si>
  <si>
    <t>https://akerbp.com/en/borsmelding/aker-bp-and-omv-awarded-licence-for-co2-storage-2/</t>
  </si>
  <si>
    <t>https://www.ogj.com/energy-transition/article/14297727/perenco-granted-storage-license-for-ukcs-poseidon-ccs-project</t>
  </si>
  <si>
    <t>Joint study CCS value chain Japan Malaysia steel\</t>
  </si>
  <si>
    <t>Japan-Malaysia</t>
  </si>
  <si>
    <t>Japan Petroleum Exploration Co., Ltd. (JAPEX), JGC Holdings Corporation (JGC HD), Kawasaki Kisen Kaisha, Ltd. (“K” LINE), JFE Steel Corporation, Petronas</t>
  </si>
  <si>
    <t>M3 CCS Project/Eastern CCS Hub project</t>
  </si>
  <si>
    <t>https://www.kline.co.jp/en/news/carbon-neutral/carbon-neutral7943232713056097109/main/0/link/220729EN.pdf</t>
  </si>
  <si>
    <t>https://www.japex.co.jp/en/news/detail/20230619_01/</t>
  </si>
  <si>
    <t>https://www.japex.co.jp/en/news/detail/20240913_01/</t>
  </si>
  <si>
    <t>Fortum waste solutions Nyborg</t>
  </si>
  <si>
    <t>Fortum waste solutions, Aker Carbon Capture (feasibility)</t>
  </si>
  <si>
    <t>https://akercarboncapture.com/?cision_id=2F2C1FEABAAA8402</t>
  </si>
  <si>
    <t>Project Ruby (Rodby) phase 1</t>
  </si>
  <si>
    <t>CarbonCuts, bluenord (funding)</t>
  </si>
  <si>
    <t>https://ens.dk/sites/ens.dk/files/CCS/nsbtf_strategic_plan_updated_16.3_final_002.pdf</t>
  </si>
  <si>
    <t>https://www.carboncuts.dk/ruby-projektet</t>
  </si>
  <si>
    <t>Project Ruby (Rodby) phase 2</t>
  </si>
  <si>
    <t>4 - 9</t>
  </si>
  <si>
    <t>Stenlille project (CO2RYLUS)</t>
  </si>
  <si>
    <t>Gas Storage Denmark</t>
  </si>
  <si>
    <t>https://www.businesswire.com/news/home/20230712819960/en/Gas-Storage-Denmark-Call-for-Interest</t>
  </si>
  <si>
    <t>https://carbonherald.com/carbon-capture-scotland-secures-pioneering-european-storage-project/</t>
  </si>
  <si>
    <t>Yara, JERA</t>
  </si>
  <si>
    <t xml:space="preserve">Hexagon Energy Materials </t>
  </si>
  <si>
    <t>https://fuelcellsworks.com/news/australia-hexagon-energy-materials-completes-wah2-low-carbon-hydrogen-scoping-study/</t>
  </si>
  <si>
    <t>Pembina low carbon complex (AB)</t>
  </si>
  <si>
    <t>Pembina Pipeline Corporation, Marubeni</t>
  </si>
  <si>
    <t>CarbonSAFE Eos (CO)</t>
  </si>
  <si>
    <t>Colorado School of Mines, Carbon America, Los Alamos National Laboratory</t>
  </si>
  <si>
    <t>https://www.energy.gov/articles/biden-harris-administration-invests-251-million-expand-infrastructure-support-co2</t>
  </si>
  <si>
    <t>Magnolia sequestration hub (Allen Parish) (LA)</t>
  </si>
  <si>
    <t>1PointFive, Occidental</t>
  </si>
  <si>
    <t>Magnolia sequestration hub</t>
  </si>
  <si>
    <t>https://www.energy.gov/fecm/project-selections-foa-2711-carbon-storage-validation-and-testing-round-1</t>
  </si>
  <si>
    <t>https://netl.doe.gov/sites/default/files/netl-file/23CM_CTS28_Watson.pdf</t>
  </si>
  <si>
    <t>Longleaf CCS (AL)</t>
  </si>
  <si>
    <t>Tenaska, Southern States Energy Board</t>
  </si>
  <si>
    <t>https://longleafccs.com/</t>
  </si>
  <si>
    <t>Timberland Sequestration project (AL)</t>
  </si>
  <si>
    <t>Timberlands Sequestration LLC, Alabama River Cellulose (ARC), Georgia Pacific LLC</t>
  </si>
  <si>
    <t>Timberland Sequestration project</t>
  </si>
  <si>
    <t>Illinois Basin West CarbonSAFE (IL)</t>
  </si>
  <si>
    <t>University of Illinois</t>
  </si>
  <si>
    <t xml:space="preserve">University of Wyoming, Frontier Carbon Solutions Holdings LLC </t>
  </si>
  <si>
    <t>https://www.hartenergy.com/exclusives/frontier-receives-federal-funds-develop-carbon-storage-hub-205639</t>
  </si>
  <si>
    <t>Project WyoTCH pipeline (WY)</t>
  </si>
  <si>
    <t>Carbon Solutions LLC, Enhanced Oil Recovery Institute of University of Wyoming</t>
  </si>
  <si>
    <t>Wyoming Trails Carbon Hub</t>
  </si>
  <si>
    <t>https://www.uwyo.edu/news/2023/06/uws-eori-to-co-lead-3m-doe-funded-co2-pipeline-study.html</t>
  </si>
  <si>
    <t>Port of Corpus Christi-Mississippi pipeline (TX)</t>
  </si>
  <si>
    <t>Howard Midstream Energy Partners LLC</t>
  </si>
  <si>
    <t>Port of Corpus Christi-Mississippi pipeline</t>
  </si>
  <si>
    <t>Houston-Galveston pipeline (TX)</t>
  </si>
  <si>
    <t>Houston-Galveston pipeline</t>
  </si>
  <si>
    <t>Nihon Shipyard Mistubishi Shipbuilding JV LCO2 carrier</t>
  </si>
  <si>
    <t>Mitsubishi Shipbuilding (Mitsubishi Heavy Industries (Mistubishi Heavy Industries)) Group,Nihon Shipyard Co.</t>
  </si>
  <si>
    <t>https://www.mhi.com/news/23052201.html</t>
  </si>
  <si>
    <t>Removr Carbfix Polar plant phase 2</t>
  </si>
  <si>
    <t>https://www.removr.no/news/removr-partners-with-carbfix-100000t-plant-iceland</t>
  </si>
  <si>
    <t>RWE CCGT Stallingborough</t>
  </si>
  <si>
    <t>RWE, Technip Energies (pre-FEED)</t>
  </si>
  <si>
    <t>https://www.technipenergies.com/en/media/news/technip-energies-selected-rwe-first-phase-stallingborough-carbon-capture-ccgt-project-uk</t>
  </si>
  <si>
    <t>Nucor Steel Convent plant (LA)</t>
  </si>
  <si>
    <t>Nucor, ExxonMobil</t>
  </si>
  <si>
    <t>https://corporate.exxonmobil.com/news/news-releases/2023/0601_lcs-nucor-agreement</t>
  </si>
  <si>
    <t>https://nucor.com/news-release/19816</t>
  </si>
  <si>
    <t>ExxonMobil Vermilion parish storage: Pecan island (LA)</t>
  </si>
  <si>
    <t>https://corporate.exxonmobil.com/news/newsroom/news-releases/2022/1012_landmark-emissions-reduction-project-in-louisiana-announced</t>
  </si>
  <si>
    <t>Aluminium Dunkerque feasibility study</t>
  </si>
  <si>
    <t>EDF, Aluminium Dunkerque, Trimet, Rio Tinto,  Fives</t>
  </si>
  <si>
    <t>https://papers.ssrn.com/sol3/papers.cfm?abstract_id=4271839</t>
  </si>
  <si>
    <t>https://www.usinenouvelle.com/article/nous-lancons-un-projet-de-capture-de-co2-pour-l-aluminium-primaire-annonce-guillaume-de-goys-president-d-aluminium-france.N1049874</t>
  </si>
  <si>
    <t>Metropolitan Area CCS (capture sources under evaluation)</t>
  </si>
  <si>
    <t>INPEX Corporation, Nippon Steel Corporation, Kanto Natural Gas Development Co., Ltd.</t>
  </si>
  <si>
    <t>Metropolitan Area CCS</t>
  </si>
  <si>
    <t>Northern to Western Kyushu Offshore CCS (capture sources under evaluation)</t>
  </si>
  <si>
    <t>ENEOS Corporation, JX Nippon Oil &amp; Gas Exploration Corporation, Electric Power Development Co.,Ltd. (J-POWER)</t>
  </si>
  <si>
    <t>Offshore Malay CCS (capture sources under evaluation)</t>
  </si>
  <si>
    <t>Mitsui, TotalEnergies, PETRONAS</t>
  </si>
  <si>
    <t>Offshore Malay CCS</t>
  </si>
  <si>
    <t>https://totalenergies.com/media/news/press-releases/totalenergies-partners-petronas-and-mitsui-carbon-storage-hub-malaysia</t>
  </si>
  <si>
    <t>CEIC-CNPC CCUS-EOR demonstration (Ningxia) Phase 1</t>
  </si>
  <si>
    <t>CEIC, CNPC</t>
  </si>
  <si>
    <t>https://sandpipercomms.com/environmental-social-and-governance-esg/carbon-capture-utilisation-and-storage-in-china/</t>
  </si>
  <si>
    <t>https://www.eco.gov.cn/news_info/64263.html</t>
  </si>
  <si>
    <t>Aemetis CCS (CA)</t>
  </si>
  <si>
    <t>Aemetis Carbon Capture (Aemetis)</t>
  </si>
  <si>
    <t>1.4 - 2</t>
  </si>
  <si>
    <t>Pelican sequestration hub (Livingston Parish) (LA)</t>
  </si>
  <si>
    <t>EnLink midstream network/ Pelican sequestration hub</t>
  </si>
  <si>
    <t>https://www.oxy.com/news/news-releases/enlink-midstream-and-oxy-low-carbon-ventures-sign-letter-of-intent-for-mississippi-river-co2-transportation-services-agreement/</t>
  </si>
  <si>
    <t>https://www.1pointfive.com/livingston</t>
  </si>
  <si>
    <t>Hydrogen to Humber (H2H) Saltend phase 2</t>
  </si>
  <si>
    <t>Equinor, SSE Thermal</t>
  </si>
  <si>
    <t>NHN, Gasterra, Gasunie, Port den Helder</t>
  </si>
  <si>
    <t>https://www.porttechnology.org/news/port-of-amsterdam-unveils-blue-hydrogen-plant-plan/</t>
  </si>
  <si>
    <t>HELLENiQ ENERGY - Helpe</t>
  </si>
  <si>
    <t>https://www.helleniqenergy.gr/sites/default/files/2023-03/EN_HELPE_AR_2022_PREVIEW.pdf</t>
  </si>
  <si>
    <t>https://energynews.biz/greeces-leading-oil-refiner-helleniq-energy-forges-path-to-green-hydrogen-investment/</t>
  </si>
  <si>
    <t>Yara, BASF</t>
  </si>
  <si>
    <t>https://www.basf.com/global/en/media/news-releases/2023/06/p-23-255.html</t>
  </si>
  <si>
    <t>Mote</t>
  </si>
  <si>
    <t>https://www.businesswire.com/news/home/20230810509160/en/Mote-Kicks-Off-Second-Biomass-to-Hydrogen-Project-in-Northern-California</t>
  </si>
  <si>
    <t>Babcock &amp; Wilcox’s (LA)</t>
  </si>
  <si>
    <t>Babcock &amp; Wilcox’s, CGI Gases (CO2 offtaker, transport), General Hydrogen (H2 offtaker)</t>
  </si>
  <si>
    <t>https://www.power-eng.com/hydrogen/hydrogen-co2-to-be-produced-at-babcock-wilcox-biomass-fueled-plant/#gref</t>
  </si>
  <si>
    <t>Alberta Carbon Trunk Line (ACTL) - Edmonton Connector Phase 2 (AB)</t>
  </si>
  <si>
    <t>Wolf Midstream</t>
  </si>
  <si>
    <t>https://www.newswire.ca/news-releases/wolf-midstream-to-extend-alberta-carbon-trunk-line-into-the-edmonton-region-enabling-large-scale-emissions-reduction-872102700.html</t>
  </si>
  <si>
    <t>https://gaspathways.com/wolf-midstream-to-extend-alberta-co2-pipeline-2209</t>
  </si>
  <si>
    <t>Midland Basin project: Dusek CCS (TX)</t>
  </si>
  <si>
    <t xml:space="preserve">Milestone carbon (Milestone Envrionmental services), Texas Pacific Land Corporation </t>
  </si>
  <si>
    <t>Midland Basin project (TX)</t>
  </si>
  <si>
    <t>https://www.milestone-es.com/About-Us/News-and-Events/Milestone-Carbon-Announces-Development-of-Carbon-Sequestration-Hub-in-Midland-Basin/</t>
  </si>
  <si>
    <t>Carbon reduced Ammonia plant St Rose (LA)</t>
  </si>
  <si>
    <t>St. Charles Clean Fuels (Copenhagen Infrastructure Partners and Sustainable Fuels Group)</t>
  </si>
  <si>
    <t>https://www.opportunitylouisiana.gov/led-news/news-releases/news/2023/04/19/st.-charles-clean-fuels-proposes-$4.6-billion-reduced-carbon-ammonia-facility-in-st.-rose</t>
  </si>
  <si>
    <t>https://www.fugro.com/news/business-news/2023/fugro-provides-geotechnical-expertise-for-clean-fuel-project-in-louisiana</t>
  </si>
  <si>
    <t>Stryde CO2 storage assessment Brazil</t>
  </si>
  <si>
    <t>Stryde, bioethanol producers (XX)</t>
  </si>
  <si>
    <t>https://strydefurther.com/news/first-large-scale-onshore-nodal-ccs-exploration-projects-in-brazil-commence</t>
  </si>
  <si>
    <t>Great Carbon Valley DAC</t>
  </si>
  <si>
    <t>Climeworks, Great Carbon Valley</t>
  </si>
  <si>
    <t>https://climeworks.com/news/climeworks-and-great-carbon-valley-chart-path-to-large-scale-dac</t>
  </si>
  <si>
    <t>Libra  (LA)</t>
  </si>
  <si>
    <t>Lapis Energy (50% permitting process pre-FID), ExxonMobil (formerly Denbury carbon solutions) (50%; operatorship managing construction)</t>
  </si>
  <si>
    <t>https://carbonherald.com/lapis-energy-and-denbury-collaborate-on-carbon-sequestration-project/</t>
  </si>
  <si>
    <t>Fidelis new energy, State of West Virginia, MCDA, West Virginia University, West Virginia DNR,WVGES, Babcock &amp; Wilcox, Topsoe, Battelle Carbon Services (Storage)</t>
  </si>
  <si>
    <t>CO2NNECTION Central Appalachian Basin hub/Appalachian basin storage MoU (OH, PA, WV)</t>
  </si>
  <si>
    <t>Equinor Smeaheia storage phase 1 (start up phase)</t>
  </si>
  <si>
    <t>UK Poseidon CCS project phase 1</t>
  </si>
  <si>
    <t>Prenco UK (operator), Carbon Catalyst Ltd, Wintershall dea (10% of carbon catalyst license, Harbour Energy)</t>
  </si>
  <si>
    <t>UKCS Poseidon CCS project</t>
  </si>
  <si>
    <t>https://www.nstauthority.co.uk/news-publications/news/2023/net-zero-boost-as-carbon-storage-licences-accepted/</t>
  </si>
  <si>
    <t>https://wintershalldea.com/en/newsroom/pi-23-39</t>
  </si>
  <si>
    <t>https://carbonherald.com/perenco-carbon-catalyst-prepare-for-uks-first-co2-injection-test-at-leman-gas-fields/</t>
  </si>
  <si>
    <t>UK Poseidon CCS project phase 2</t>
  </si>
  <si>
    <t>North Sea Transition Authority (NSTA): Net zero boost as carbon storage licences accepted - 2023 - News - News &amp; &lt;br/&gt;publications (nstauthority.co.uk)</t>
  </si>
  <si>
    <t>UK Poseidon CCS project phase 3</t>
  </si>
  <si>
    <t xml:space="preserve">Enquest CCS Project </t>
  </si>
  <si>
    <t>Enquest CCS Ltd</t>
  </si>
  <si>
    <t>https://www.enquest.com/media/press-releases/article/enquest-plc-awarded-offer-of-carbon-storage-licences</t>
  </si>
  <si>
    <t>Orion CCS Project Phase 1</t>
  </si>
  <si>
    <t>Prenco UK (licencee 80%), Carbon Catalyst Ltd (10%), Summit Energy Evolution Limited (Sumitomo) (10%)</t>
  </si>
  <si>
    <t>https://www.offshore-energy.biz/perenco-and-carbon-catalyst-win-two-more-carbon-storage-licenses/</t>
  </si>
  <si>
    <t>https://www.sumitomocorp.com/en/jp/news/topics/2023/group/20231117</t>
  </si>
  <si>
    <t>Orion CCS Project Phase 2</t>
  </si>
  <si>
    <t>Project Tellus - CS020 (Area 1)</t>
  </si>
  <si>
    <t>Eni (following acquisition of Neptune Energy) (100%)</t>
  </si>
  <si>
    <t>4 - 10</t>
  </si>
  <si>
    <t>Cygnus energy hub</t>
  </si>
  <si>
    <t>Project Tellus - CS021 (Area 5)</t>
  </si>
  <si>
    <t>Eni (following acquisition of Neptune Energy) (50%), EEPUKL (50%)</t>
  </si>
  <si>
    <t>4 - 6</t>
  </si>
  <si>
    <t>Project Tellus - CS022 (Area 7)</t>
  </si>
  <si>
    <t>Humberside CCS with Shell and Esso</t>
  </si>
  <si>
    <t>Shell (50%), Esso (ExxonMobil) (50%)</t>
  </si>
  <si>
    <t>Gas power CCUS MoU</t>
  </si>
  <si>
    <t>GE Vernova, CARBONCO, BP, PLN Nusantara (Jawa 1)</t>
  </si>
  <si>
    <t>https://www.ge.com/news/press-releases/ge-vernova-carbonco-bp-pln-nusantara-and-jawa-1-to-develop-ccus-value-chain</t>
  </si>
  <si>
    <t>Nagoya port cluster (capture sources under evaluation)</t>
  </si>
  <si>
    <t>Japan-Indonesia</t>
  </si>
  <si>
    <t>BP, Chubu Electric</t>
  </si>
  <si>
    <t>Nagoya port cluster</t>
  </si>
  <si>
    <t>https://www.chuden.co.jp/english/corporate/releases/pressreleases/1211821_5163.html</t>
  </si>
  <si>
    <t>https://www.upstreamonline.com/carbon-capture/bp-progresses-tangguh-ccs-signs-broader-cooperation-with-chubu-electric/2-1-1696659?zephr_sso_ott=3B29gl</t>
  </si>
  <si>
    <t>Corpus Christi carbon storage hub (TX)</t>
  </si>
  <si>
    <t>Repsol (operator), Carbonvert, MEPUSA (Mitsui E&amp;P USA), POSCO</t>
  </si>
  <si>
    <t>Corpus Christi CO2 pipeline (TX)</t>
  </si>
  <si>
    <t>Enbridge (transport), 1PointFive, Occidental (Storage)</t>
  </si>
  <si>
    <t>Corpus Christi CO2 pipeline</t>
  </si>
  <si>
    <t>Cameron Parish CO2 hub (LA)</t>
  </si>
  <si>
    <t>CarbonVert, Castex (joint venture)</t>
  </si>
  <si>
    <t>Orion (AL)</t>
  </si>
  <si>
    <t>https://www.spglobal.com/commodityinsights/en/market-insights/latest-news/energy-transition/020822-oil-producer-denbury-plans-co2-storage-hub-in-southern-alabama</t>
  </si>
  <si>
    <t>https://corporate.exxonmobil.com/what-we-do/delivering-industrial-solutions/carbon-capture-and-storage</t>
  </si>
  <si>
    <t>https://s201.q4cdn.com/317576541/files/doc_presentations/2023/May/07/den-may-presentation-final.pdf</t>
  </si>
  <si>
    <t>Leo (MS)</t>
  </si>
  <si>
    <t>Denbury NEJD Pipeline (MS-LA)/Leo (MS)</t>
  </si>
  <si>
    <t>https://www.businesswire.com/news/home/20221212005682/en/Denbury-and-Weyerhaeuser-Announce-Agreement-for-CO2-Sequestration-Site-in-Mississippi</t>
  </si>
  <si>
    <t>https://www.denbury.com/operations/carbon-solutions/carbon-sequestration/</t>
  </si>
  <si>
    <t xml:space="preserve">Lorain CCS (OH) </t>
  </si>
  <si>
    <t>Lorain Carbon Zero Solutions</t>
  </si>
  <si>
    <t>https://www.epa.gov/system/files/documents/2023-01/Lorain_Testing_and_Monitoring_Plan.pdf</t>
  </si>
  <si>
    <t>Linden (IN)</t>
  </si>
  <si>
    <t>Vault</t>
  </si>
  <si>
    <t>https://www.epa.gov/uic/current-class-vi-projects-under-review-epa</t>
  </si>
  <si>
    <t>ADM Maroa/Forsyth CO2 Storage Site Development (IL)</t>
  </si>
  <si>
    <t>Maroa (IL)</t>
  </si>
  <si>
    <t>Heartland Greenway Storage (HGSS) NVC-1 (IL)</t>
  </si>
  <si>
    <t>Heartland Greenway Carbon Storage LLC (Navigator Carbon Ventures)</t>
  </si>
  <si>
    <t>Heartland Greenway Storage: Vervain (IL)</t>
  </si>
  <si>
    <t>Heartland Greenway Carbon Storage LLC</t>
  </si>
  <si>
    <t>Heartland Greenway Storage: Compass (IL)</t>
  </si>
  <si>
    <t>Minerva (LA)</t>
  </si>
  <si>
    <t>Goose Lake (LA)</t>
  </si>
  <si>
    <t>LA CCS (LA)</t>
  </si>
  <si>
    <t>DT Midstream Holdings LLC</t>
  </si>
  <si>
    <t>https://ccusmap.com/markers/project-detail/la-ccs-project</t>
  </si>
  <si>
    <t>El Camino (LA)</t>
  </si>
  <si>
    <t xml:space="preserve">Shell US Power and Gas LLC, Geo Stock Sandia LLC </t>
  </si>
  <si>
    <t>https://ccusmap.com/markers/project-detail/el-camino</t>
  </si>
  <si>
    <t>Orchard (TX)</t>
  </si>
  <si>
    <t>Orchard Storage Company LLC, Elysian Ventures LLC, EnCap Flatrock Midstream, Buckeye Partners, Lonquist Sequestration</t>
  </si>
  <si>
    <t>https://ccusmap.com/markers/project-detail/orchard</t>
  </si>
  <si>
    <t>River Parish Sequestration (LA)</t>
  </si>
  <si>
    <t xml:space="preserve">River Parish Sequestration LLC, Blue Sky Infrastructure </t>
  </si>
  <si>
    <t>River Paris Sequestration (LA)</t>
  </si>
  <si>
    <t>https://ccusmap.com/markers/project-detail/river-parish-sequestration-project</t>
  </si>
  <si>
    <t>https://blueskyinfrastructure.com/river-parish-sequestration/</t>
  </si>
  <si>
    <t>Diamond Vault (LA)</t>
  </si>
  <si>
    <t xml:space="preserve">Cleco Power LLC, Battelle, Sargebt abd Kybdy </t>
  </si>
  <si>
    <t>https://ccusmap.com/markers/project-detail/diamond-vault</t>
  </si>
  <si>
    <t>Draco (LA)</t>
  </si>
  <si>
    <t>https://ccusmap.com/markers/project-detail/denbury-draco</t>
  </si>
  <si>
    <t>https://oilandgaswatch.org/facility/6887</t>
  </si>
  <si>
    <t>https://s201.q4cdn.com/317576541/files/doc_presentation/2023/02/DEN-March-Presentation-vFINAL.pdf</t>
  </si>
  <si>
    <t>Aries (LA)</t>
  </si>
  <si>
    <t>Pegasus (LA)</t>
  </si>
  <si>
    <t>Dorado (TX)</t>
  </si>
  <si>
    <t>ExxonMobil (former Denbury Carbon Solutions)</t>
  </si>
  <si>
    <t>Virgo (LA)</t>
  </si>
  <si>
    <t>Corvus (WY)</t>
  </si>
  <si>
    <t>2 - 5</t>
  </si>
  <si>
    <t>Denbury Rock Mountains Hub (WY)</t>
  </si>
  <si>
    <t>Cygnus (WY)</t>
  </si>
  <si>
    <t>Harvest Bend CCS White Castle (LA)</t>
  </si>
  <si>
    <t xml:space="preserve">Harvest Bend CCS LLC (Talos Energy (Total Energies), Enlink Midsteram, Storegga) </t>
  </si>
  <si>
    <t>Harvest Bend (LA)</t>
  </si>
  <si>
    <t>https://www.harvestbendla.com/</t>
  </si>
  <si>
    <t>Osage CCS 1 (OK)</t>
  </si>
  <si>
    <t>CapturePoint LLC</t>
  </si>
  <si>
    <t>https://ccusmap.com/markers/project-detail/osage-ccs-1</t>
  </si>
  <si>
    <t>San Joaquin Renewables BCCS (CA)</t>
  </si>
  <si>
    <t xml:space="preserve">Pelican Renewables LLC </t>
  </si>
  <si>
    <t>https://ccusmap.com/markers/project-detail/san-joaquin-renewables-bccs</t>
  </si>
  <si>
    <t>Carbon TerraVault 2 (CA)</t>
  </si>
  <si>
    <t xml:space="preserve">Carbon TerraVault Holdings LLC </t>
  </si>
  <si>
    <t>Carbon TerraVault 2</t>
  </si>
  <si>
    <t>https://www.crc.com/carbon-terravault/projects/california-dac-hub/default.aspx</t>
  </si>
  <si>
    <t>Carbon TerraVault 3 (CA)</t>
  </si>
  <si>
    <t>Carbon TerraVault Holdings LLC, Colorado School of Mines</t>
  </si>
  <si>
    <t>Carbon TerraVault 3</t>
  </si>
  <si>
    <t>Carbon TerraVault 4 (CA)</t>
  </si>
  <si>
    <t>Carbon TerraVault 4</t>
  </si>
  <si>
    <t>https://www.crc.com/carbon-terravault/default.aspx</t>
  </si>
  <si>
    <t>Carbon TerraVault 5 (CA)</t>
  </si>
  <si>
    <t>Carbon TerraVault 5</t>
  </si>
  <si>
    <t>CarbonFrontier (CA)</t>
  </si>
  <si>
    <t xml:space="preserve">Aera Energy LLC </t>
  </si>
  <si>
    <t>https://www.aeraenergy.com/aera-announces-carbon-capture-and-storage-project-carbonfrontier/</t>
  </si>
  <si>
    <t>Russel CO2 storage complex (KS)</t>
  </si>
  <si>
    <t>Purefield Carbon Capture LLC (Purefield ingredients)</t>
  </si>
  <si>
    <t>https://www.bakingbusiness.com/articles/55680-purefield-expansion-increases-wheat-protein-capacity-by-50</t>
  </si>
  <si>
    <t>Pelican Rindge Tract CCS Project (CA)</t>
  </si>
  <si>
    <t>https://ccusmap.com/markers/project-detail/pelican-rindge-tract-ccs-project</t>
  </si>
  <si>
    <t>Montezuma NorCal Carbon Hub (CA)</t>
  </si>
  <si>
    <t>Montezuma Carbon LLC, University of Berkeley, Lawrence Berkeley National Lab</t>
  </si>
  <si>
    <t>https://netl.doe.gov/coal/carbon-storage/atlas/westcarb/montezuma</t>
  </si>
  <si>
    <t>Carbon TerraVault1: Verde (CA)</t>
  </si>
  <si>
    <t xml:space="preserve">California Resource Corporation (Carbon TerraVault), Verde Clean Fuels </t>
  </si>
  <si>
    <t>https://www.crc.com/carbon-terravault/Vaults/default.aspx</t>
  </si>
  <si>
    <t>Carbon TerraVault1: InEnTec (CA)</t>
  </si>
  <si>
    <t>California Resource Corporation (Carbon TerraVault), InEnTEc</t>
  </si>
  <si>
    <t>https://s202.q4cdn.com/682408967/files/doc_events/2024/Mar/18/crc-march-2024-presentation-final.pdf</t>
  </si>
  <si>
    <t>Stanlow Terminals</t>
  </si>
  <si>
    <t>Stanlow Terminals, Eni</t>
  </si>
  <si>
    <t xml:space="preserve">Stanlow Terminal </t>
  </si>
  <si>
    <t>https://www.stanlowterminals.co.uk/stanlow-terminals-and-eni-uk-sign-a-mou-to-develop-carbon-dioxide-transport-and-storage-projects/</t>
  </si>
  <si>
    <t xml:space="preserve">Parc Adfer CCS </t>
  </si>
  <si>
    <t>Enfinium</t>
  </si>
  <si>
    <t>https://enfinium.co.uk/enfinium-and-eni-uk-sign-carbon-capture-and-storage-agreement-advancing-decarbonisation-efforts-in-north-wales/</t>
  </si>
  <si>
    <t>https://enfinium.co.uk/enfinium-announces-proposal-for-200m-investment-in-carbon-capture-project-in-north-wales/</t>
  </si>
  <si>
    <t>https://enfinium.co.uk/wp-content/uploads/2024/04/201029.04_Enfinium_Net-Zero-Report-AWK_SCREEN_AWK_4.pdf</t>
  </si>
  <si>
    <t xml:space="preserve">Sharjah Hub </t>
  </si>
  <si>
    <t xml:space="preserve">Sharjah National Oil Corporation (SNOC), Sumitomo Middle East </t>
  </si>
  <si>
    <t>https://www.nsenergybusiness.com/news/sumitomo-snoc-sign-mou-for-ccs-project-development-in-sharjah-uae/</t>
  </si>
  <si>
    <t>The Bluestreak CO2 Joint Venture</t>
  </si>
  <si>
    <t xml:space="preserve">Navigator Holdings (50%), Bumi Armada Berhad (50%) </t>
  </si>
  <si>
    <t>https://www.offshore-energy.biz/navigator-holdings-joins-hands-with-bumi-armada-on-co2-shipping-and-injection-jv/</t>
  </si>
  <si>
    <t>Filer City Station plant (MI)</t>
  </si>
  <si>
    <t>CMS Enterprises Co, Babcock &amp; Wilcox (feasbility study), NorthStar Clean Energy, Tondu Corp</t>
  </si>
  <si>
    <t>https://www.babcock.com/home/about/corporate/news/babcock-and-wilcox-awarded-contract-to-study-bioenergy-with-carbon-capture-and-storage-beccs-conversion-for-coal-power-plant-in-michigan</t>
  </si>
  <si>
    <t>https://biomassmagazine.com/articles/babcock-wilcox-signs-agreement-to-proceed-with-work-for-beccs-project-in-michigan</t>
  </si>
  <si>
    <t>HyNet Hydrogen Production Project (HPP) Plant 2 (Hynet phase 2)</t>
  </si>
  <si>
    <t>Gismarvik CO2 hub</t>
  </si>
  <si>
    <t>Horisont Energi, EON</t>
  </si>
  <si>
    <t>20 - 24</t>
  </si>
  <si>
    <t>SK E&amp;S Honeywell gas power plant</t>
  </si>
  <si>
    <t xml:space="preserve">Honeywell, SK E&amp;S </t>
  </si>
  <si>
    <t>https://carbonherald.com/honeywell-announces-carbon-capture-deal-with-south-koreas-sk-es/</t>
  </si>
  <si>
    <t>Aker Carbon Capture mineral production (unknown facilities)</t>
  </si>
  <si>
    <t>Aker Carbon Capture, unknown company</t>
  </si>
  <si>
    <t>https://akercarboncapture.com/?cision_id=C8E822C2D97A90E2</t>
  </si>
  <si>
    <t>Oxy/ADNOC UAE DAC</t>
  </si>
  <si>
    <t>Occidental, ADNOC</t>
  </si>
  <si>
    <t>https://www.oxy.com/news/news-releases/occidental-and-adnoc-to-evaluate-carbon-management-projects-in-the-united-states-and-united-arab-emirates-to-accelerate-net-zero-goals/</t>
  </si>
  <si>
    <t xml:space="preserve">GTI Energy, AES Corporation, Air Liquide, Chevron, Mitsubishi Power Americas, Chevron, Orsetd, Shell, Sempra Infrastructure </t>
  </si>
  <si>
    <t>CEIC-CNPC CCUS-EOR demonstration (Ningxia) Phase 2</t>
  </si>
  <si>
    <t>CEIC-CNPC CCUS-EOR demonstration (Ningxia) Phase 3</t>
  </si>
  <si>
    <t xml:space="preserve">CEIC-CNPC CCUS-EOR demonstration (Ningxia) Phase 3 (dedicated storage) </t>
  </si>
  <si>
    <t>ADNOC CO2 storage hub (Phase 2 of fertiglobe pilot)</t>
  </si>
  <si>
    <t>ADNOC CO2 storage hub</t>
  </si>
  <si>
    <t>https://www.adnoc.ae/en/news-and-media/press-releases/2023/adnoc-announces-world-first-fully-sequestered-co2-injection-project</t>
  </si>
  <si>
    <t>https://fertiglobe.com/wp-content/uploads/2024/08/Fertiglobe-Q2-2024-Results-MDA-Report-vF.pdf</t>
  </si>
  <si>
    <t>Yulin Energy Chemical (Shaanxi)</t>
  </si>
  <si>
    <t>Yulin Coal Chemical CCUS (Shaanxi) Phase 2</t>
  </si>
  <si>
    <t>CPNC coal power Baijiantan Karamay (Xinjiang)</t>
  </si>
  <si>
    <t>CNPC</t>
  </si>
  <si>
    <t xml:space="preserve">Tohoku Region West Coast CCS - Kyushu Works Oita Area </t>
  </si>
  <si>
    <t>Nippon Steel</t>
  </si>
  <si>
    <t>https://www.taiheiyo-cement.co.jp/english/summary/pdf/230802.pdf</t>
  </si>
  <si>
    <t>Tohoku Region West Coast CCS - Kawasaki Plant of DC CO</t>
  </si>
  <si>
    <t>Taiheiyo Cement Corporation</t>
  </si>
  <si>
    <t>CO-Creator Pilot Startup program DACCS</t>
  </si>
  <si>
    <t>COWI, Removr</t>
  </si>
  <si>
    <t>https://www.removr.no/news/cowi-to-support-removrs-first-commercial-daccs-plants-in-iceland</t>
  </si>
  <si>
    <t>Waste-to-energy Aker Carbon Capture (unknown facility)</t>
  </si>
  <si>
    <t>Aker Carbon Capture</t>
  </si>
  <si>
    <t>https://akercarboncapture.com/?cision_id=6FDE114B1611FBE3</t>
  </si>
  <si>
    <t>Nordbex Aker feasibility study</t>
  </si>
  <si>
    <t>Aker Carbon Capture, Nordbex AB</t>
  </si>
  <si>
    <t>https://akercarboncapture.com/?cision_id=127052DDD0AA5012</t>
  </si>
  <si>
    <t>https://akercarboncapture.com/?cision_id=B878513B1A89CB04</t>
  </si>
  <si>
    <t>East Kalimantan CCUS hub</t>
  </si>
  <si>
    <t>Kaltim Parna Industry, ITB</t>
  </si>
  <si>
    <t>JSA Pertamina Chevron East Kalimantan</t>
  </si>
  <si>
    <t>Pertamina, Chevron</t>
  </si>
  <si>
    <t>https://indonesia.chevron.com/en/news/latest-news/2023/chevron-and-pertamina-sign-joint-study-agreement-to-explore-development-of-ccs-ccus-technology</t>
  </si>
  <si>
    <t>Bapco MOL CCUS value chain</t>
  </si>
  <si>
    <t>Bapco energies (storage), MOL (transport)</t>
  </si>
  <si>
    <t>https://www.mol.co.jp/en/pr/2023/23147.html</t>
  </si>
  <si>
    <t>CO2NEXT terminal phase 1</t>
  </si>
  <si>
    <t>Vopak, Gasunie</t>
  </si>
  <si>
    <t>https://co2next.nl/co2next-project-achieves-important-milestones-for-developing-crucial-co2-infrastructure-in-rotterdam/</t>
  </si>
  <si>
    <t>CO2NEXT terminal phase 2</t>
  </si>
  <si>
    <t>Deep Sky Alpha (AB)</t>
  </si>
  <si>
    <t>Deep Sky, Airhive, Avnos, Phlair, Greenlyte, Mission Zero, Skyrenu, Skytree, Neg8 Carbon</t>
  </si>
  <si>
    <t>Dedicated Storage</t>
  </si>
  <si>
    <t>Meadowbrook Storage Hub (ALB)</t>
  </si>
  <si>
    <t>https://www.deepskyclimate.com/deep-sky-alpha</t>
  </si>
  <si>
    <t>https://decarbonfuse.com/posts/deep-sky-secures-40m-grant-from-breakthrough-energy-catalyst-to-scale-direct-air-capture</t>
  </si>
  <si>
    <t>Commonwealth LNG CCS (LA)</t>
  </si>
  <si>
    <t>Commonwealth LNG, OnStream CO2 LLC (JV between Carbonvert Inc, Castex Carbon Solutions LLC) (own, design, operate capture)</t>
  </si>
  <si>
    <t>Cameron Parish CO2 Hub (LA)</t>
  </si>
  <si>
    <t>https://commonwealthlng.com/commonwealth-lng-signs-carbon-capture-and-storage-mou-with-onstream-co2/</t>
  </si>
  <si>
    <t>Joint study CCS value chain Japan Malaysia phase 1 (M3 CCS Project/Eastern CCS Hub project)</t>
  </si>
  <si>
    <t>Japan Petroleum Exploration Co., Ltd. (JAPEX), JGC Holdings Corporation (JGC HD), Kawasaki Kisen Kaisha, Ltd. (“K” LINE), Petronas CCS Ventures</t>
  </si>
  <si>
    <t>https://www.japex.co.jp/en/news/detail/20231120_01/</t>
  </si>
  <si>
    <t>https://www.gasworld.com/story/petronas-subsidiary-and-japanese-firms-sign-co2-storage-deal-in-sarawak/2134988.article/</t>
  </si>
  <si>
    <t>https://www.japex.co.jp/en/news/detail/20241128_01/</t>
  </si>
  <si>
    <t>Joint study CCS value chain Japan Malaysia phase 2 (M3 CCS Project/Eastern CCS Hub project)</t>
  </si>
  <si>
    <t>Japan Petroleum Exploration Co., Ltd. (JAPEX), JGC Holdings Corporation (JGC HD), Kawasaki Kisen Kaisha, Ltd. (“K” LINE), Petronas CCS Ventures, DNV</t>
  </si>
  <si>
    <t>https://www.dnv.com/news/dnv-and-petronas-ccs-ventures-collaborate-to-enable-carbon-capture-and-storage-ccs-value-chains-across-southeast-asia/</t>
  </si>
  <si>
    <t>William Echo Springs CarbonSAFE (WY)</t>
  </si>
  <si>
    <t>University of Wyoming, Williams</t>
  </si>
  <si>
    <t>https://www.uwyo.edu/ser/news/2023/11/echo-springs-carbonsafe.html</t>
  </si>
  <si>
    <t>https://www.uwyo.edu/cegr/research-projects/wyoming-carbonsafe.html#:~:text=The%20Wyoming%20CarbonSAFE%20Project%2C%20which,ready%20for%20integrated%20CCUS%20system</t>
  </si>
  <si>
    <t>https://netl.doe.gov/node/13090</t>
  </si>
  <si>
    <t>Southeastern Illinois Basin CarbonSAFE (KT)</t>
  </si>
  <si>
    <t>Battelle Memorial Institute</t>
  </si>
  <si>
    <t>University of Illinois, Illinois State Geological Survey, Carbon Solutions</t>
  </si>
  <si>
    <t>https://www.carbonsolutionsllc.com/projects/carbonsafe-illinois/</t>
  </si>
  <si>
    <t>University of North Dakota</t>
  </si>
  <si>
    <t>San Juan Basin CarbonSAFE (NM)</t>
  </si>
  <si>
    <t>New Mexico Institute of Mining and Technology</t>
  </si>
  <si>
    <t>https://www.sanjuancarbonsafe.org/</t>
  </si>
  <si>
    <t>Limeco Waste-to-Energy Dietikon</t>
  </si>
  <si>
    <t>Limeco, Aker Carbon Capture</t>
  </si>
  <si>
    <t>https://akercarboncapture.com/?cision_id=651C8691C32227C8#:~:text=Aker%20Carbon%20Capture%20has%20been,to%2Denergy%20plants%20in%20Switzerland.</t>
  </si>
  <si>
    <t>Moomba CCS storage hub (phase 3)</t>
  </si>
  <si>
    <t>Australia-Japan</t>
  </si>
  <si>
    <t>Santos,  JX Nippon Oil &amp; Gas Exploration Corporation, ENEOS</t>
  </si>
  <si>
    <t>Moomba CCS storage hub (phase 4)</t>
  </si>
  <si>
    <t>INNOZHERO Filbornaverket plant Helsingborg</t>
  </si>
  <si>
    <t xml:space="preserve"> Öresundskraft, Capsol Technologies (tech provider)</t>
  </si>
  <si>
    <t>https://helsingborg.se/makingofasmartercity/new-technology-to-reduce-emissions-plans-for-a-ccs-facility-in-helsingborg/</t>
  </si>
  <si>
    <t>https://www.mynewsdesk.com/se/oresundskraft/pressreleases/oeresundskraft-in-unique-test-for-carbon-capture-funded-by-swedish-energy-agency-3180497</t>
  </si>
  <si>
    <t>https://www.industryintel.com/government-and-public-policy/news/-resundskraft-s-carbon-capture-project-receives-eu-innovation-fund-support-company-seeks-54-million-euros-for-initiative-to-capture-200-000-tons-of-carbon-dioxide-annually-at-filbornaverket-in-helsingborg-sweden-166033807224</t>
  </si>
  <si>
    <t>Virginia CarbonSafe storage (VA)</t>
  </si>
  <si>
    <t>The Commonwealth of Virginia DoE (Big Stone Gap)</t>
  </si>
  <si>
    <t>CANstore (CA)</t>
  </si>
  <si>
    <t>Electric Power Research Institute</t>
  </si>
  <si>
    <t>Atlantic Coast CO2 Emissions Storage Sink (ACCESS) (FL)</t>
  </si>
  <si>
    <t>Project ACCESS (FL)</t>
  </si>
  <si>
    <t>https://omniamidstream.com/project/permian-regional-carbon-sequestration-prcs-hub</t>
  </si>
  <si>
    <t>Red Hills CO2 storage hub (MS)</t>
  </si>
  <si>
    <t>Trifecta Renewable Solutions</t>
  </si>
  <si>
    <t>Ackerman Combined Cycle Plant (MS)</t>
  </si>
  <si>
    <t>Trifecta Renewable Solutions, Tennessee Valley Authority</t>
  </si>
  <si>
    <t>Alaska Railbelt CCS Project (AK)</t>
  </si>
  <si>
    <t>University of Alaska Fairbanks</t>
  </si>
  <si>
    <t>Susitna Power Plant (AK)</t>
  </si>
  <si>
    <t>Monkey Island carbon storage project (LA)</t>
  </si>
  <si>
    <t>Project Crossroads (IN, IL, MI)</t>
  </si>
  <si>
    <t>BP Carbon Solutions LLC</t>
  </si>
  <si>
    <t>https://mrvan.house.gov/media/in-the-news/bp-commits-building-138m-carbon-storage-facility-nw-indiana-plant</t>
  </si>
  <si>
    <t>Whiting Refinery</t>
  </si>
  <si>
    <t>Four corners carbon storage hub (NM)</t>
  </si>
  <si>
    <t>Phoenix project (TX)</t>
  </si>
  <si>
    <t>Projeo Corporation</t>
  </si>
  <si>
    <t>Oak Grove CCS hub (Tri-state CCS hub) (PA)</t>
  </si>
  <si>
    <t>https://tristateccs.com/tri-state-ccs-hub-finalizes-doe-carbonsafe-award/</t>
  </si>
  <si>
    <t>https://tristateccs.com/tri-state-ccs-oak-grove/</t>
  </si>
  <si>
    <t>https://energywv.org/assets/files/Energy-Summit-Presentations/2024/Tri-State-CCS-Hub-Project-Tenaska.pdf</t>
  </si>
  <si>
    <t>Tracy DAC facility</t>
  </si>
  <si>
    <t>Heirloom, CarbonCure</t>
  </si>
  <si>
    <t>https://www.heirloomcarbon.com/news/heirloom-unveils-americas-first-commercial-direct-air-capture-facility</t>
  </si>
  <si>
    <t>FlagshipTWO Sundsvall Korsta plant</t>
  </si>
  <si>
    <t>Liquid Wind, Sundsvall Energi</t>
  </si>
  <si>
    <t>https://www.liquidwind.se/news/liquidwind-announces-plans-for-flagshiptwo-sundsvall</t>
  </si>
  <si>
    <t>https://www.liquidwind.se/facilities</t>
  </si>
  <si>
    <t>Sundsvall Korsta plant CCS</t>
  </si>
  <si>
    <t>FlagshipTHREE Umea Dava plant</t>
  </si>
  <si>
    <t>Liquid Wind, Umea Energi</t>
  </si>
  <si>
    <t>https://www.liquidwind.se/news/liquidwind-plans-for-third-electrofuel-facility-in-swedish-umea</t>
  </si>
  <si>
    <t>Umea Dava plant CCS</t>
  </si>
  <si>
    <t>Waste to energy CCU to TES Wilhemshaven (unknown facility)</t>
  </si>
  <si>
    <t>Aker Carbon Capture, TES</t>
  </si>
  <si>
    <t>https://akercarboncapture.com/?cision_id=7F0EAD177CA426B3</t>
  </si>
  <si>
    <t>Delaware Basin hub (Loving CCS hub) (TX)</t>
  </si>
  <si>
    <t>Milestone carbon (Milestone Envrionmental services)</t>
  </si>
  <si>
    <t>Delaware Basin project: Loving CCS hub (TX)</t>
  </si>
  <si>
    <t>https://www.milestone-es.com/About-Us/News-and-Events/Milestone-Carbon-Announces-Land-Agreement-for-Carbon-Hub-Development-in-the-Permian-Basin/</t>
  </si>
  <si>
    <t>Tambak Lorok Gas-Fired Power Plant</t>
  </si>
  <si>
    <t>JERA, JGC Holdings, PLN</t>
  </si>
  <si>
    <t>https://www.jera.co.jp/en/news/information/20231019_1695</t>
  </si>
  <si>
    <t>Proman, Mitsubishi</t>
  </si>
  <si>
    <t>Northern Gulf of Thailand CCS Exploration project</t>
  </si>
  <si>
    <t>PTTEP, INPEX (under cooperation between Thai Department of Mineral Fuels and JOGMEC)</t>
  </si>
  <si>
    <t>https://www.pttep.com/en/Newsandnmedia/News/2024-Northern-Got-Ccs-Study.aspx?mode=print</t>
  </si>
  <si>
    <t>CO2NNECTION Central Appalachian Basin hub (OH, PA, WV)</t>
  </si>
  <si>
    <t>Battelle</t>
  </si>
  <si>
    <t>https://www.energy.gov/fecm/articles/doe-invests-45-million-reduce-carbon-pollution#:~:text=WASHINGTON%2C%20D.C.%20%E2%80%94%20The%20U.S.%20Department,successful%20carbon%20transport%20and%20storage</t>
  </si>
  <si>
    <t>https://www.energy.gov/fecm/project-selections-foa-2614-carbon-management-round-3</t>
  </si>
  <si>
    <t>Appalachian basin storage MoU/Capio sequestration (OH, PA, WV)</t>
  </si>
  <si>
    <t>Battelle, Equinor</t>
  </si>
  <si>
    <t>https://www.equinor.com/news/us/explores-appalachian-basin-carbon-capture-storage-potential</t>
  </si>
  <si>
    <t>https://h2-tech.com/news/2023/09-2023/fidelis-new-energy-selects-battelle-carbon-services-to-support-the-mountaineer-gigasystem-hydrogen-project/</t>
  </si>
  <si>
    <t>Tampa Regional Intermodal Carbon HUB (T-RICH) (FL)</t>
  </si>
  <si>
    <t>Overseas Shipholding Group, Inc.</t>
  </si>
  <si>
    <t>GeZero carbon capture project (Geseke)</t>
  </si>
  <si>
    <t>Heidelberg Materials, Wintershall Dea (Harbour Energy)</t>
  </si>
  <si>
    <t>https://www.heidelbergmaterials.com/en/pr-2023-07-13</t>
  </si>
  <si>
    <t>Setouchi / Shikoku CO2 Hub Concept (capture sources under evaluation)</t>
  </si>
  <si>
    <t>Woodside Energy, Sumitomo Corporation, JFE Steel Corporation, Sumitomo Osaka Cement Co. Ltd, Kawasaki Kisen Kaisha Ltd.</t>
  </si>
  <si>
    <t>https://www.sumitomocorp.com/en/europe/news/topics/2023/group/20231218_1</t>
  </si>
  <si>
    <t>Rumah1 and Rumah 2 plants</t>
  </si>
  <si>
    <t>SPPC</t>
  </si>
  <si>
    <t>https://www.arabnews.com/node/2435581/business-economy</t>
  </si>
  <si>
    <t>Nairyah1 and Nairyah 2 plants</t>
  </si>
  <si>
    <t>Fife ethylene plant</t>
  </si>
  <si>
    <t>ExxonMobil, (Shell?)</t>
  </si>
  <si>
    <t>https://corporate.exxonmobil.com/news/news-releases/2021/1006_exxonmobil-increases-participation-in-scotland-carbon-capture-and-storage-project</t>
  </si>
  <si>
    <t>Acorn Isle of Grain to Peterhead shipping</t>
  </si>
  <si>
    <t>Acorn, Uniper</t>
  </si>
  <si>
    <t>https://netl.doe.gov/coal/carbon-storage/atlas/secarb</t>
  </si>
  <si>
    <t>Cormorant Clean Energy project (TX)</t>
  </si>
  <si>
    <t>8 Rivers, Casale</t>
  </si>
  <si>
    <t>https://cormorant.energy/</t>
  </si>
  <si>
    <t>Polk county hub (TX)</t>
  </si>
  <si>
    <t>1PointFive (Occidental), Natural Resource Partners</t>
  </si>
  <si>
    <t>https://www.oxy.com/siteassets/documents/publications/oxy-climate-report-2023.pdf</t>
  </si>
  <si>
    <t>West Java sea rig-to-CCS JSA</t>
  </si>
  <si>
    <t>Pertamina, KNOC</t>
  </si>
  <si>
    <t>https://www.pertamina.com/id/news-room/news-release/kurangi-emisi-pertamina-knoc-jajaki-kerja-sama-pengembangan-rig-to-ccs</t>
  </si>
  <si>
    <t>RenGas, Tampereen Energia</t>
  </si>
  <si>
    <t>RenGas, Lahti Energia</t>
  </si>
  <si>
    <t>RenGas, Kotkan Energia</t>
  </si>
  <si>
    <t>RenGas, Pori Energia</t>
  </si>
  <si>
    <t>Adams Fork Energy clean ammonia project (WV)</t>
  </si>
  <si>
    <t>Adams Fork Energy, the Flandreau Santee Sioux Tribe</t>
  </si>
  <si>
    <t>https://investors.cnx.com/news-releases/2023/04-03-2023-114519172</t>
  </si>
  <si>
    <t>https://www.reuters.com/sustainability/cnx-resources-pulls-out-adams-fork-ammonia-project-2023-12-15/</t>
  </si>
  <si>
    <t>Plock plant</t>
  </si>
  <si>
    <t>PKN Orlen</t>
  </si>
  <si>
    <t>Tumbler Ridge e-methanol project (BC)</t>
  </si>
  <si>
    <t>RH2C, CMC, West Moberly First Nations</t>
  </si>
  <si>
    <t>https://www.rh2ca.com/</t>
  </si>
  <si>
    <t>Tumbler Ridge blue methanol project (BC)</t>
  </si>
  <si>
    <t>HIF Cabo Negro eFuels Facility</t>
  </si>
  <si>
    <t>HIF Chile</t>
  </si>
  <si>
    <t>https://hifglobal.com/docs/default-source/documentos-noticias/chile/2023-12-14-faro-del-sur-wind-park-permit-in-chile.pdf?sfvrsn=a1d2fd03_1</t>
  </si>
  <si>
    <t>https://hifglobal.com/docs/default-source/documentos-noticias/chile/2023-12-05-hif-and-enap-mou.pdf?sfvrsn=de7be150_3</t>
  </si>
  <si>
    <t>HIF Paysandú eFuels Facility Alur bioethanol plant</t>
  </si>
  <si>
    <t>HIF Urugay, Alur</t>
  </si>
  <si>
    <t>https://hifglobal.com/docs/default-source/documentos-noticias/chile/2023-06-hif-global-continues-expansion-with-new-project-in-uruguay.pdf?sfvrsn=64c4d4e_1</t>
  </si>
  <si>
    <t>https://www.ancap.com.uy/innovaportal/file/18176/1/5---other-ancap-energy-transition-projects---europe-roadshow-2023.pdf</t>
  </si>
  <si>
    <t>Broceni cement plant CCS</t>
  </si>
  <si>
    <t>Schwenk's Building Material Group, Capsol (feasibility)</t>
  </si>
  <si>
    <t>0.75 - 0.8</t>
  </si>
  <si>
    <t>https://www.globalcement.com/news/itemlist/tag/Schwenk%20Latvija</t>
  </si>
  <si>
    <t>https://schwenk.lv/en/pressrelease/schwenk-northern-europe-announces-commitment-to-decarbonize-cement-production-in-latvia/</t>
  </si>
  <si>
    <t>Linde Clear Lake HyCO Plant (TX)</t>
  </si>
  <si>
    <t>Linde (CO2 capture on CO production site, CCU tech), Celanese (operator of methanol plant), Fairway methanol</t>
  </si>
  <si>
    <t>https://www.linde.com/news-media/press-releases/2022/linde-expands-agreement-with-celanese-to-provide-decarbonization-solutions</t>
  </si>
  <si>
    <t>https://www.celanese.com/news-and-media/2024/celanese-begins-carbon-capture-utilization-operations-at-clear-lake</t>
  </si>
  <si>
    <t>Bell Bay Powerfuels project (TAS)</t>
  </si>
  <si>
    <t>ABEL Energy, Iberdrola Australia, Johnson Matthey (methanol synthesis), Sungas Renewables (biomass gasifier)</t>
  </si>
  <si>
    <t>Stade facility Green Methanol</t>
  </si>
  <si>
    <t>Dow</t>
  </si>
  <si>
    <t>https://www.argusmedia.com/en/news-and-insights/latest-market-news/2530566-stalled-e-methanol-projects-leave-forecast-murky</t>
  </si>
  <si>
    <t>Hynovera</t>
  </si>
  <si>
    <t>HY2GEN, Gazel Energie</t>
  </si>
  <si>
    <t>https://marsactu.fr/hydrogene-biomasse-et-emplois-les-cles-de-la-reconversion-de-la-centrale-de-gardanne/</t>
  </si>
  <si>
    <t>https://glockenspiel-cat-x8e7.squarespace.com/hynovera</t>
  </si>
  <si>
    <t>Pineywoods CCS hub (TX)</t>
  </si>
  <si>
    <t>Tenaska</t>
  </si>
  <si>
    <t>West bay storage Galveston (TX)</t>
  </si>
  <si>
    <t>BP carbon solutions</t>
  </si>
  <si>
    <t>Baotou Steel (Baogang Group) (Inner Mongolia) phase 1</t>
  </si>
  <si>
    <t>Baotou Steel Group</t>
  </si>
  <si>
    <t>https://group.pingan.com/media/news/2023/pingan-bank-grants-first-loan-to-pioneering-CCUS-project.html</t>
  </si>
  <si>
    <t>https://www.scmp.com/business/article/3225578/climate-finance-chinas-ping-bank-lends-us25-million-inner-mongolia-steel-maker-capture-carbon</t>
  </si>
  <si>
    <t>Baotou Steel (Baogang Group) (Inner Mongolia) phase 2</t>
  </si>
  <si>
    <t>7 Blue Ammonia Facility</t>
  </si>
  <si>
    <t>QAFCO, thyssenkrupp Uhde/Consolidated Contractors Company (EPC)</t>
  </si>
  <si>
    <t>https://www.qafco.qa/content/qafco-7-announcement</t>
  </si>
  <si>
    <t>https://www.thyssenkrupp.com/en/newsroom/press-releases/pressdetailpage/thyssenkrupp-uhde-to-build-world-scale-blue-ammonia-plant-in-qatar-138369</t>
  </si>
  <si>
    <t>https://www.hydrogeninsight.com/production/qatar-starts-construction-on-1-2bn-blue-hydrogen-based-ammonia-plant/2-1-1745821</t>
  </si>
  <si>
    <t>Dakota Gasification company</t>
  </si>
  <si>
    <t>1.5 - 2.13</t>
  </si>
  <si>
    <t>Central Louisiana Regional Carbon Storage (CENLA) Hub (Wilcox) (LA) phase 2</t>
  </si>
  <si>
    <t>https://www.permits.performance.gov/permitting-project/fast-41-covered-projects/central-louisiana-regional-carbon-storage-hub-vernon</t>
  </si>
  <si>
    <t>Central Louisiana Regional Carbon Storage (CENLA) Hub (Wilcox) (LA) phase 3</t>
  </si>
  <si>
    <t>7 - 2</t>
  </si>
  <si>
    <t>Couldron cement plant</t>
  </si>
  <si>
    <t>Holcim Group(Aggregate Industries UK), Petrofac (feasibility), Capsol</t>
  </si>
  <si>
    <t>https://www.globalcement.com/news/item/17135-capsol-technologies-selected-for-carbon-capture-study-at-cauldon-cement-plant</t>
  </si>
  <si>
    <t>https://gateway.euronext.com/front-customer/corporate/page?reference=6c4fa8dd8f8fa44fecfe3b66234e40a9b98d4d25378ac502fb228501aa90cdc8&amp;authKey=560e949f85a8ee1c7bb60d43e84b0e0dff0f9174c9d265b1cc47baf94b25d5fa#company-press-release-1964565</t>
  </si>
  <si>
    <t>https://www.cemnet.com/News/story/176287/petrofac-wins-co2-capture-role-at-cauldon-cement-plant.html</t>
  </si>
  <si>
    <t>POSCO, ADNOC</t>
  </si>
  <si>
    <t>SEDAC hub (AL) phase 1</t>
  </si>
  <si>
    <t>Southern States Energy Board, AirCapture, 8Rivers</t>
  </si>
  <si>
    <t>https://www.sseb.org/programs/sedac_hub/</t>
  </si>
  <si>
    <t>https://uploads-ssl.webflow.com/63c8119087b31650e9ba22d1/64dfe602ece0e8b489df986e_Aircapture%20DAC%20Hub%20Press%20Release%200823%20(1).pdf</t>
  </si>
  <si>
    <t>SEDAC hub (AL) phase 2</t>
  </si>
  <si>
    <t>Thorning storage</t>
  </si>
  <si>
    <t>Norne Thorning Storage ApS</t>
  </si>
  <si>
    <t xml:space="preserve">https://ens.dk/en/press/two-companies-want-store-co2-danish-subsurface </t>
  </si>
  <si>
    <t>ENEOS MOL JX CO2 shipping</t>
  </si>
  <si>
    <t>https://www.offshore-energy.biz/mol-and-jx-to-develop-ccs-value-chain-between-japan-and-australia/</t>
  </si>
  <si>
    <t>Big spring refinery (TX) pilot</t>
  </si>
  <si>
    <t>Delek, Svante</t>
  </si>
  <si>
    <t>https://www.energy.gov/oced/articles/oced-selects-four-projects-ky-ms-tx-and-wy-advance-technologies-reduce-harmful-carbon</t>
  </si>
  <si>
    <t>https://www.svanteinc.com/news/svante-to-deploy-first-of-a-kind-commercial-scale-carbon-capture-plant-at-delek-uss-texas-refinery-with-doe-support/?trk=feed_main-feed-card_feed-article-content</t>
  </si>
  <si>
    <t>Vicksburg Containerboard Mill (MS)</t>
  </si>
  <si>
    <t>RTI International, IP, SLB, Amazon</t>
  </si>
  <si>
    <t>Edmonton Varme facility (ALB)</t>
  </si>
  <si>
    <t>Varme Energy, Gibson Energy, City of Edmonton, Canada Growth Fund</t>
  </si>
  <si>
    <t>https://www.varmeenergy.com/city-of-edmonton-and-varme-energy-to-divert-150-000-tonnes-of-waste-from-landfill-through-waste-to-energy-agreement</t>
  </si>
  <si>
    <t>https://www.babcock.com/home/about/corporate/news/babcock-and-wilcox-awarded-front-end-engineering-and-design-contract-for-canada-s-first-waste-to-energy-plant-with-carbon-capture-and-sequestration</t>
  </si>
  <si>
    <t>Taiwan Cement Hoping oxyfuel pilot</t>
  </si>
  <si>
    <t>Taiwan cement, Thyssenkrupp Polysius</t>
  </si>
  <si>
    <t>https://insights.thyssenkrupp-polysius.com/news/taiwan-cement-and-thyssenkrupp-polysius-sign-mou-to-build-a-separate-oxyfuel-calciner-in-taiwan/</t>
  </si>
  <si>
    <t>Project Hummingbird</t>
  </si>
  <si>
    <t>Octavia carbon, Cella Mineral</t>
  </si>
  <si>
    <t>https://www.klimate.co/project/project-hummingbird</t>
  </si>
  <si>
    <t>https://techcabal.com/2024/10/16/octavia-raises-5million-to-remove-co2-from-atmosphere/</t>
  </si>
  <si>
    <t>Kredsløb Energipark Lisbjerg</t>
  </si>
  <si>
    <t>Kredsløb</t>
  </si>
  <si>
    <t>https://www.kredslob.dk/professionel/produkter-og-services/co2-fangst-i-aarhus</t>
  </si>
  <si>
    <t>HOFOR Amagerværket</t>
  </si>
  <si>
    <t>Hofor</t>
  </si>
  <si>
    <t>https://www.geos.ed.ac.uk/sccs/project-info/2731</t>
  </si>
  <si>
    <t>Equinor, Aker Solutions</t>
  </si>
  <si>
    <t>Permian Regional Carbon Sequestration Hub (TX)</t>
  </si>
  <si>
    <t>Omnia midstream partners</t>
  </si>
  <si>
    <t>https://www.energy.gov/articles/biden-harris-administration-invests-444-million-strengthen-americas-infrastructure</t>
  </si>
  <si>
    <t>Montauk Energy biogas plants (TX)</t>
  </si>
  <si>
    <t>Montauk Renewables, EE North America (European Energy)</t>
  </si>
  <si>
    <t>https://www.greencarcongress.com/2023/08/20230808-montauk.html</t>
  </si>
  <si>
    <t>https://ir.montaukrenewables.com/news-releases/news-release-details/ee-north-america-and-montauk-renewables-forge-groundbreaking</t>
  </si>
  <si>
    <t>Gärstaverket plant Linkoping</t>
  </si>
  <si>
    <t>Teniska Verken, Capsol Technologies (feasibility)</t>
  </si>
  <si>
    <t>https://www.capsoltechnologies.com/</t>
  </si>
  <si>
    <t>Celsio CCS project terminal</t>
  </si>
  <si>
    <t>Hafslund Oslo Celsio (formerly Fortum Oslo Varme), Aker solutions (FEED)</t>
  </si>
  <si>
    <t>https://www.akersolutions.com/news/news-archive/2024/aker-solutions-awarded-feed-for-celsios-ccs-terminal-at-the-port-of-oslo/</t>
  </si>
  <si>
    <t>Veolia EfW to fuels</t>
  </si>
  <si>
    <t>Veolia</t>
  </si>
  <si>
    <t>https://www.newpower.info/2024/02/veolia-to-pilot-carbon-capture-for-its-energy-from-waste-sites/</t>
  </si>
  <si>
    <t>Tomakomai area CCS - Hokkaido Electric Tomatouatsuma power station</t>
  </si>
  <si>
    <t>Hokkaido Electric Power</t>
  </si>
  <si>
    <t>Tomakomai area CCS - Idemitsu Kosan Hokkaido Refinery</t>
  </si>
  <si>
    <t>Idemitsu</t>
  </si>
  <si>
    <t>Everest</t>
  </si>
  <si>
    <t>Lhoist, Air Liquide</t>
  </si>
  <si>
    <t>https://ec.europa.eu/assets/cinea/project_fiches/innovation_fund/101132835.pdf</t>
  </si>
  <si>
    <t>https://www.linkedin.com/posts/lhoist_innovationfund-decarbonisation-sustainableindustry-activity-7090635543415279616-Vx6q/</t>
  </si>
  <si>
    <t>Ecapt-Rhone LeTeil</t>
  </si>
  <si>
    <t>Elyse Energy, Holcim Group, Air Liquide</t>
  </si>
  <si>
    <t>https://elyse.energy/en/elyse-energy-announces-the-opening-of-an-e-methanol-plant-on-the-roches-roussillon-chemical-hub</t>
  </si>
  <si>
    <t>OCAP</t>
  </si>
  <si>
    <t>OCAP (Linde)</t>
  </si>
  <si>
    <t>Aker Carbon Capture power plant Europe (unknown facilities)</t>
  </si>
  <si>
    <t>https://akercarboncapture.com/?cision_id=42ED18602F06D910</t>
  </si>
  <si>
    <t>Aker Carbon Capture WtE e-fuels</t>
  </si>
  <si>
    <t>https://akercarboncapture.com/?cision_id=4676790745A256E2</t>
  </si>
  <si>
    <t>Aker Carbon Capture Biomass CHP (unknown facility)</t>
  </si>
  <si>
    <t>https://akercarboncapture.com/?cision_id=4338F917D2B89C6E</t>
  </si>
  <si>
    <t>Aker Carbon Capture Swedish energy company (unknown)</t>
  </si>
  <si>
    <t>Vattenfall Jordbro CHP plant</t>
  </si>
  <si>
    <t>Vattenfall, Aker Carbon Capture</t>
  </si>
  <si>
    <t>https://bioenergyinternational.com/vattenfall-submits-beccs-permit-application/</t>
  </si>
  <si>
    <t>Aker Carbon Capture waste to energy Northern Europe (unknown facility)</t>
  </si>
  <si>
    <t>https://akercarboncapture.com/?cision_id=3538EFD96277831D</t>
  </si>
  <si>
    <t xml:space="preserve">Pilot Energy
</t>
  </si>
  <si>
    <t>Aker Carbon Capture refinery (unknown facility)</t>
  </si>
  <si>
    <t>Lighthouse Green Fuels</t>
  </si>
  <si>
    <t>Alfanar</t>
  </si>
  <si>
    <t>https://www.lighthousegreenfuels.co.uk/sustainable-aviation-fuel/</t>
  </si>
  <si>
    <t>Emerge CCS</t>
  </si>
  <si>
    <t>Uniper, Fortum</t>
  </si>
  <si>
    <t>https://www.uniper.energy/united-kingdom/projects-united-kingdom/emerge-centre</t>
  </si>
  <si>
    <t>North Lincolnshire NLGEP</t>
  </si>
  <si>
    <t>Solar 21 Renewable Energy Limited</t>
  </si>
  <si>
    <t>https://northlincolnshiregreenenergypark.co.uk/nlgep-our-plans/</t>
  </si>
  <si>
    <t>Altalto</t>
  </si>
  <si>
    <t>Altalto Immingham Limited</t>
  </si>
  <si>
    <t>https://www.altalto.com/2023/05/10/altalto-immingham-project-update/</t>
  </si>
  <si>
    <t>Seal Sands TGEPL</t>
  </si>
  <si>
    <t>solar 21 Renewable Energy Limited</t>
  </si>
  <si>
    <t>Saint-Gobain glass</t>
  </si>
  <si>
    <t>Saint-gobain glass</t>
  </si>
  <si>
    <t>Connah's Quay Low Carbon Power Phase 1</t>
  </si>
  <si>
    <t>Uniper, Technip Energies(FEED)</t>
  </si>
  <si>
    <t>https://www.uniper.energy/connahs-quay-low-carbon-power</t>
  </si>
  <si>
    <t>https://www.carboncapturejournal.com/ViewNews.aspx?NewsID=6620</t>
  </si>
  <si>
    <t>Eramet Sauda</t>
  </si>
  <si>
    <t>Eramet Norway</t>
  </si>
  <si>
    <t>https://www.enova.no/om-enova/om-organisasjonen/teknologiportefoljen/planlegging-installasjon-og-drift-av-karbonfangst-pilotanlegg-i-eramet-norway-sauda/</t>
  </si>
  <si>
    <t>Stakraft Varme Heimdal (Trondheim)</t>
  </si>
  <si>
    <t>Statkraft Varme, Aker Carbon Capture</t>
  </si>
  <si>
    <t>https://www.statkraft.com/newsroom/news-and-stories/2023/carbon-capture-how-waste-incineration-can-become-climate-neutral/</t>
  </si>
  <si>
    <t>https://akercarboncapture.com/?cision_id=995D97C1CD56F414</t>
  </si>
  <si>
    <t>Returkraft Kristiansand</t>
  </si>
  <si>
    <t>Returkraft</t>
  </si>
  <si>
    <t>Grand Ouest CO2 (GOCO₂) transport</t>
  </si>
  <si>
    <t>Grand Ouest, GRT Gaz, Heidelberg Materials, Elengy, Lafarge, Lhoist, TotalEnergies</t>
  </si>
  <si>
    <t>GoCO2</t>
  </si>
  <si>
    <t>https://www.heidelbergmaterials.fr/fr/groupe-goco2-un-projet-denvergure-de-captage-de-conditionnement-et-de-transport-du-co2-dorigine-industrielle-en-pays-de-la-loire-et-pour-le-grand-ouest</t>
  </si>
  <si>
    <t>https://www.globalcement.com/news/item/15992-go-co2-carbon-capture-and-storage-project-launched</t>
  </si>
  <si>
    <t>Neau Lime plant</t>
  </si>
  <si>
    <t>Lhoist</t>
  </si>
  <si>
    <t>Saint-Pierre-la-Cour cement plant</t>
  </si>
  <si>
    <t>Lafarge France (Holcim Group)</t>
  </si>
  <si>
    <t>Shand</t>
  </si>
  <si>
    <t>https://res.cloudinary.com/dbtfcnfij/images/v1700717007/Global-Status-of-CCS-Report-Update-23-Nov/Global-Status-of-CCS-Report-Update-23-Nov.pdf?_i=AA</t>
  </si>
  <si>
    <t>https://imii.ca/first-of-its-kind-study-underway-in-saskatchewan-exploring-the-potential-for-carbon-capture-and-storage-hubs-for-minerals-and-power-production/</t>
  </si>
  <si>
    <t>City of Estevan Power Plant (SK)</t>
  </si>
  <si>
    <t>8 Rivers Capital and Net Power</t>
  </si>
  <si>
    <t>https://www.prnewswire.com/news-releases/8-rivers-capital-and-city-of-estevan-awarded-federal-grant-to-perform-a-feasibility-study-on-a-net-power-plant-deployment-in-saskatchewan-301206842.html</t>
  </si>
  <si>
    <t>Crawford Nickel (ON)</t>
  </si>
  <si>
    <t>Canada Nickel Company Inc.</t>
  </si>
  <si>
    <t>https://www.newswire.ca/news-releases/canada-nickel-announces-integration-of-carbon-capture-amp-storage-into-crawford-nickel-sulphide-project-845167884.html</t>
  </si>
  <si>
    <t>https://carbonherald.com/canada-nickel-confirms-strong-ccs-value-of-crawford-project/</t>
  </si>
  <si>
    <t>Elmworth Gas Plant (AB)</t>
  </si>
  <si>
    <t>Cenovus</t>
  </si>
  <si>
    <t>https://pathwaysalliance.ca/news/q-and-a-progress-on-the-pathways-alliance-net-zero-goal/</t>
  </si>
  <si>
    <t>https://www.cenovus.com/-/media/FCA5F5D0FBC345DC8FBC93DEF08D292E.ashx</t>
  </si>
  <si>
    <t>K+S Potash CCS (SK)</t>
  </si>
  <si>
    <t>K+S Potash Canada, Whitecap Resources</t>
  </si>
  <si>
    <t>Lamont Carbon Hub (ALB)</t>
  </si>
  <si>
    <t>Wolf Midstream, Whitecap Resources, First Nation Capital Investment Partnership (FNCIP) and Heart Lake First Nation</t>
  </si>
  <si>
    <t>Alberta Carbon Trunk Line (Transport), Lamont Carbon Hub (Storage)</t>
  </si>
  <si>
    <t>https://www.wcap.ca/application/files/5117/0467/2525/WCP_2024_01_07.pdf</t>
  </si>
  <si>
    <t>Lloydminster Upgrader</t>
  </si>
  <si>
    <t>Minnedosa Ethanol Plant (MB)</t>
  </si>
  <si>
    <t>https://natural-resources.canada.ca/science-and-data/funding-partnerships/opportunities/current-investments/minnedosa-ethanol-plant-co2-sequestration/25229</t>
  </si>
  <si>
    <t>Moraine (GE) Power Generation (ALB)</t>
  </si>
  <si>
    <t>Moraine Initiative Ltd (GE)</t>
  </si>
  <si>
    <t>https://morainepower.ca/project-details/</t>
  </si>
  <si>
    <t>https://morainepowerca.files.wordpress.com/2023/06/moraine_project_map-2.png</t>
  </si>
  <si>
    <t>City of Medicine Hat</t>
  </si>
  <si>
    <t>https://natural-resources.canada.ca/science-and-data/funding-partnerships/opportunities/current-investments/project-clear-horizon/25239</t>
  </si>
  <si>
    <t>Duke Energy Edwardsport Integrated Gasification Combined Cycle plant (IN)</t>
  </si>
  <si>
    <t>Duke Energy, DOE Office of Clean Energy Demonstrations</t>
  </si>
  <si>
    <t>https://www.energy.gov/oced/carbon-capture-demonstration-projects-program-front-end-engineering-design-feed-studies</t>
  </si>
  <si>
    <t>Cypress Carbon Capture Project (LA)</t>
  </si>
  <si>
    <t>Taft Carbon Capture, DOE Office of Clean Energy Demonstrations</t>
  </si>
  <si>
    <t>https://www.energy.gov/oced/articles/oced-issues-50m-direct-air-capture-hub-project-cypress</t>
  </si>
  <si>
    <t>Ash Grove Cement Foreman Plant (AR)</t>
  </si>
  <si>
    <t>Southern States Energy Board, DOE Office of Clean Energy Demonstrations</t>
  </si>
  <si>
    <t>https://www.ashgrove.com/newsroom/fkjqps9dgr3cd4ux2nl14797qrh7qz-tntec</t>
  </si>
  <si>
    <t>https://www.energy.gov/sites/default/files/2024-01/OCED_CCFEEDs_AwardeeFactSheet_SSEB_1.5.24.pdf</t>
  </si>
  <si>
    <t>Lake Charles Power Station Integrated CO2 Capture Project (LA)</t>
  </si>
  <si>
    <t>Entergy, Crescent Midstream,Talos Energy (Total Energies), DOE Office of Clean Energy Demonstrations</t>
  </si>
  <si>
    <t>https://www.reuters.com/sustainability/climate-energy/carlyle-backed-crescent-midstream-build-carbon-capture-storage-unit-louisiana-2024-09-20/</t>
  </si>
  <si>
    <t>https://www.energy.gov/sites/default/files/2024-01/OCED_CCFEEDs_AwardeeFactSheet_EntergyServicesLakeCharles_1.5.2024_v3.pdf</t>
  </si>
  <si>
    <t>Four Corners Power Plant Integrated Carbon Capture and Storage (NM)</t>
  </si>
  <si>
    <t>Navajo Transitional Energy Company, LLC (NTEC), DOE Office of Clean Energy Demonstrations</t>
  </si>
  <si>
    <t>https://carboncapturemagazine.com/articles/ntec-awarded-655m-by-doe-for-carbon-capture-study-at-four-corners-power-plant</t>
  </si>
  <si>
    <t>https://www.energy.gov/sites/default/files/2024-09/Factsheet_CCFEED_NTEC_9.12.24.pdf</t>
  </si>
  <si>
    <t>East Niigata area CCS - Tohoku Electric Power</t>
  </si>
  <si>
    <t>Tohoku Electric Power</t>
  </si>
  <si>
    <t>East Niigata area CCS - Mitsubshi gas chemical</t>
  </si>
  <si>
    <t>Mitsubishi Gas Chemical</t>
  </si>
  <si>
    <t>East Niigata area CCS - Hokuetsu pulp plant</t>
  </si>
  <si>
    <t>Hokuetsu, Mistubishi Heavy Industries</t>
  </si>
  <si>
    <t>Metropolitan Area CCS - Nippon steel plant</t>
  </si>
  <si>
    <t>Northern to Western Kyushu Offshore CCS - Eneos refinery</t>
  </si>
  <si>
    <t>Eneos Holdings, J-Power, JX</t>
  </si>
  <si>
    <t>CO2NTESSA</t>
  </si>
  <si>
    <t>Nexe Group,  ThyssenKrupp Group, Nasice cement</t>
  </si>
  <si>
    <t>https://www.nexe.hr/en/co2ntessa/</t>
  </si>
  <si>
    <t>GRTGaz CO2 backbone</t>
  </si>
  <si>
    <t>GRTGaz</t>
  </si>
  <si>
    <t>https://www.grtgaz.com/en/our-energy-transition/co2-transport</t>
  </si>
  <si>
    <t>Motor Oil Hellas (Iris Project)</t>
  </si>
  <si>
    <t>Motor Oil</t>
  </si>
  <si>
    <t>https://www.iris-ccus-project.eu/en/about-iris-ccus-project/</t>
  </si>
  <si>
    <t>https://www.marketscreener.com/quote/stock/MOTOR-OIL-HELLAS-CORINTH--1408781/news/Motor-Oil-Hellas-Corinth-Refineries-S-A-The-Innovation-Fund-Grant-Agreement-for-Motor-Oil-s-fla-45590584/</t>
  </si>
  <si>
    <t>https://www.moh.gr/en/news/motor-oil-group-makes-decisive-progress-in-its-green-transformation-with-the-support-of-the-e-e-innovation-fund/</t>
  </si>
  <si>
    <t>Ifestos Carbon Capture (Kamari plant)</t>
  </si>
  <si>
    <t>Titan Group</t>
  </si>
  <si>
    <t>https://www.titan-cement.com/net-zero/#1654414404277-6f473531-242d</t>
  </si>
  <si>
    <t>https://www.globalcement.com/news/item/16017-titan-group-s-kamari-cement-plant-to-host-1-9mt-yr-carbon-capture-project</t>
  </si>
  <si>
    <t>https://www.thyssenkrupp.com/en/newsroom/press-releases/pressdetailpage/thyssenkrupp-wins-engineering-contract-for-one-of-the-largest-carbon-capture-projects-in-europe-286896</t>
  </si>
  <si>
    <t>Beremend cement factory</t>
  </si>
  <si>
    <t>DDC</t>
  </si>
  <si>
    <t>https://total-croatia-news.com/news/business/croatian-nexe/</t>
  </si>
  <si>
    <t>Orlen Lietuva</t>
  </si>
  <si>
    <t>https://www.kn.lt/en/news/news/kn-akmenes-cementas-and-orlen-lietuva-to-evaluate-the-applicability-of-liquefied-co2-capture-technology/5686</t>
  </si>
  <si>
    <t>AEB Amsterdam</t>
  </si>
  <si>
    <t>https://www.aebamsterdam.com/technology/</t>
  </si>
  <si>
    <t>ECOPLANTA (Tarragona)</t>
  </si>
  <si>
    <t>ECOPLANTA MOLECULAR RECYCLING
SOLUTIONS S.L</t>
  </si>
  <si>
    <t>https://climate.ec.europa.eu/system/files/2022-07/if_pf_2022_ecoplanta_en_0.pdf</t>
  </si>
  <si>
    <t>https://uk.rwe.com/press-and-news/2024-02-15-RWE-launches-feasibility-study-into-new-great-yarmouth-carbon-capture-project/</t>
  </si>
  <si>
    <t>S-Hub project (*capture sources under evaluation)</t>
  </si>
  <si>
    <t>Singapore Economic Development Board, ExxonMobil, Asia Pacific Pte, Shell Singapore Pte</t>
  </si>
  <si>
    <t>https://www.exxonmobil.com.sg/news/newsroom/news-releases/2024/0301-exxonmobil-and-shell-selected-to-work-with-the-govt-of-singapore-on-a-ccs-value-chain</t>
  </si>
  <si>
    <t>Valero 8 ethanol plants</t>
  </si>
  <si>
    <t>Valero, Summit carbon solutions</t>
  </si>
  <si>
    <t>https://summitcarbonsolutions.com/summit-carbon-solutions-announces-new-shipper-for-its-carbon-capture-project/</t>
  </si>
  <si>
    <t>Weyerhauser-Lapis Energy CO2 sequestration (AR, LA, MS)</t>
  </si>
  <si>
    <t>Weyerhauser, Lapis Energy</t>
  </si>
  <si>
    <t>https://investor.weyerhaeuser.com/2024-02-27-Weyerhaeuser-and-Lapis-Energy-Announce-Carbon-Sequestration-Exploration-Agreement</t>
  </si>
  <si>
    <t>Aker CO280 Solution pulp and paper mill</t>
  </si>
  <si>
    <t>Aker Carbon Capture (SLB Capturi), CO280</t>
  </si>
  <si>
    <t>https://www.slb.com/news-and-insights/newsroom/press-release/2024/slb-and-aker-joint-venture-awarded-feed-contract-by-co280-for-large-scale-carbon-removal-project</t>
  </si>
  <si>
    <t>BioCirc biogas plant</t>
  </si>
  <si>
    <t>BioCirc CO2 ApS</t>
  </si>
  <si>
    <t>https://ens.dk/en/press/three-new-ccs-projects-have-been-pledged-support-capture-and-store-biogenic-co2</t>
  </si>
  <si>
    <t>https://www.linkedin.com/feed/update/urn:li:activity:7186306652109684736/</t>
  </si>
  <si>
    <t>Capsol feasibility study waste to energy Germany</t>
  </si>
  <si>
    <t>Capsol, unknown companies</t>
  </si>
  <si>
    <t>https://gateway.euronext.com/front-customer/corporate/page?reference=6c4fa8dd8f8fa44fecfe3b66234e40a9b98d4d25378ac502fb228501aa90cdc8&amp;authKey=560e949f85a8ee1c7bb60d43e84b0e0dff0f9174c9d265b1cc47baf94b25d5fa#company-press-release-1940518</t>
  </si>
  <si>
    <t>https://www.carboncapturejournal.com/ViewNews.aspx?NewsID=6585</t>
  </si>
  <si>
    <t>Holcim Group (Aggregate Industries), Capsol</t>
  </si>
  <si>
    <t>Hynet or Northern Endurance</t>
  </si>
  <si>
    <t>Climeworks Enova DAC+S plant</t>
  </si>
  <si>
    <t>Climeworks, Enova</t>
  </si>
  <si>
    <t>https://climeworks.com/press-release/climeworks-to-study-large-scale-dac-s-deployment-in-norway</t>
  </si>
  <si>
    <t>Lebec Net Zero Cement Plant project (CA)</t>
  </si>
  <si>
    <t>National Cement Company of California (NCC-California)</t>
  </si>
  <si>
    <t>https://www.energy.gov/sites/default/files/2024-04/IDP%20Western%20Community%20Briefing%20FINAL.pdf</t>
  </si>
  <si>
    <t>https://lebecnetzero.com/press-releases/natcem-finalizes-doe-agreement</t>
  </si>
  <si>
    <t>SECURE</t>
  </si>
  <si>
    <t>T.EN Stone &amp; Webster Process Technology</t>
  </si>
  <si>
    <t>https://www.energy.gov/oced/industrial-demonstrations-program-selections-award-negotiations-chemicals-and-refining</t>
  </si>
  <si>
    <t>Rana ferrosilicon smelter capture</t>
  </si>
  <si>
    <t>Elkem</t>
  </si>
  <si>
    <t>Rana CCS hub</t>
  </si>
  <si>
    <t>https://www.elkem.com/no/presserom/nyheter/article/?itemid=CEB799FA3E5A68E6</t>
  </si>
  <si>
    <t>Rana ferroglobe</t>
  </si>
  <si>
    <t>Ferroglobe</t>
  </si>
  <si>
    <t>Sindal Biogas Hjørring Municipality</t>
  </si>
  <si>
    <t>Copenhagen Infrastructure Partners, KK Invest, Danish Bio Commodities</t>
  </si>
  <si>
    <t>https://www.globenewswire.com/news-release/2024/05/17/2884068/0/en/Copenhagen-Infrastructure-Partners-KK-Invest-and-Danish-Bio-Commodities-to-operate-and-develop-one-of-Denmark-s-largest-biogas-plants.html</t>
  </si>
  <si>
    <t>ExxonMobil Petrobras CCUS hub MoU (ES) (phase 2/extension of Santos basin EOR?)</t>
  </si>
  <si>
    <t>Petrobras, ExxonMobil</t>
  </si>
  <si>
    <t>https://corporate.arcelormittal.com/media/news-articles/petrobras-and-arcelormittal-sign-agreement-for-low-carbon-business-studies-and-assessments#</t>
  </si>
  <si>
    <t>Climeworks Mammoth Project phase 2</t>
  </si>
  <si>
    <t>https://climeworks.com/press-release/climeworks-switches-on-worlds-largest-direct-air-capture-plant-mammoth</t>
  </si>
  <si>
    <t>Shell Netherlands Refineries heavy residue gasification CCS</t>
  </si>
  <si>
    <t>https://www.globalccsinstitute.com/wp-content/uploads/2022/05/State-of-the-Art-CCS-Technologies-2022.pdf</t>
  </si>
  <si>
    <t>Transport facility Nucor Direct Reduced Iron (LA)</t>
  </si>
  <si>
    <t>ExxonMobil, Technip Energies, Turner Industries</t>
  </si>
  <si>
    <t>Technip Energies and Turner Industries Awarded Contract by ExxonMobil for Louisiana Carbon Capture and Sequestration Project | Technip Energies (ten.com)</t>
  </si>
  <si>
    <t>Carbon Fit four 22.000 cbm LCO2 carriers</t>
  </si>
  <si>
    <t>Hyundai Mipo Dockyard, Carbon Fit, Capital Gas, ERMA FIRST, Babcock</t>
  </si>
  <si>
    <t>https://www.ermafirst.com/capital-gas-erma-first-babcock-collaborate-on-carbon-fit-ccs-system-for-the-worlds-largest-lco2-carriers/</t>
  </si>
  <si>
    <t>CO2 Highway Europe (formerly known as Eluxys Equinor Belgium-Norway Trunk Line)</t>
  </si>
  <si>
    <t>France-Belgium-Norway</t>
  </si>
  <si>
    <t>Equinor, GRTgaz, Fluxys</t>
  </si>
  <si>
    <t>18 - 30</t>
  </si>
  <si>
    <t>https://www.equinor.com/energy/co2highwayeurope</t>
  </si>
  <si>
    <t>https://www.equinor.com/news/20240617-grtgaz-agreement-develop-co2-infrastructure</t>
  </si>
  <si>
    <t>Prinos DAC hub</t>
  </si>
  <si>
    <t>RepAir, EnEarth</t>
  </si>
  <si>
    <t>https://www.repair-carbon.com/press-posts/repair-enearth-sign-a-landmark-direct-air-capture-storage-agreement</t>
  </si>
  <si>
    <t>Waste to Energy CCS in Edmonton</t>
  </si>
  <si>
    <t>Canada Growth Found,  Gibson Energy, Varme Energy</t>
  </si>
  <si>
    <t>https://www.cgf-fcc.ca/content/documents/CANADA-GROWTH-FUND.pdf</t>
  </si>
  <si>
    <t>Kemi mill Rauma</t>
  </si>
  <si>
    <t>Metsa Group, ANDRITZ</t>
  </si>
  <si>
    <t>https://www.metsagroup.com/news-and-publications/news/2024/metsa-group-and-andritz-start-pioneering-investigation-on-capturing-wood-based-carbon-dioxide/</t>
  </si>
  <si>
    <t>https://www.carboncapture-expo.com/industry-news/andritz-metsa-group-conduct-first-survey-ccs-requirements</t>
  </si>
  <si>
    <t>Strathcona oil sands (ALB, SK)</t>
  </si>
  <si>
    <t>Strathcona Resources Ltd., Canada Growth Fund</t>
  </si>
  <si>
    <t>https://www.strathconaresources.com/strathcona-resources-announces-up-to-2-billion-carbon-capture-partnership-with-canada-growth-fund/</t>
  </si>
  <si>
    <t>Methanex Medicine Hat plant (ALB)</t>
  </si>
  <si>
    <t>Methanex Corporation, Entropy Inc.</t>
  </si>
  <si>
    <t>https://www.methanex.com/news/release/methanex-and-entropy-partner-to-reduce-emissions-in-methanol-production/</t>
  </si>
  <si>
    <t>Mustasaari waste-to-energy plant</t>
  </si>
  <si>
    <t>ANDRITZ, Westenergy Ltd, CPC Finland Oy and funds managed by Prime Capital AG</t>
  </si>
  <si>
    <t>https://www.andritz.com/newsroom-en/environmental-solutions/2024-07-24-westenergy-group</t>
  </si>
  <si>
    <t>Milford Haven CO2 Project</t>
  </si>
  <si>
    <t xml:space="preserve">RWE, Dragon </t>
  </si>
  <si>
    <t>https://www.insidermedia.com/news/wales/major-project-to-drive-decarbonisation-in-south-wales-launches</t>
  </si>
  <si>
    <t>Middle Arm CO2 import terminal (NT)</t>
  </si>
  <si>
    <t xml:space="preserve">Northern Territory Government, Vopak </t>
  </si>
  <si>
    <t>https://www.vopak.com/newsroom/news/northern-territory-government-and-vopak-sign-mou-cooperate-common-user-co2</t>
  </si>
  <si>
    <t>Blue Horizon</t>
  </si>
  <si>
    <t>Oman Shell, Wood, KBR</t>
  </si>
  <si>
    <t>https://www.woodplc.com/news/latest-news-articles/2024/wood-to-deliver-pre-feed-for-shells-pioneering-blue-hydrogen-project-in-oman</t>
  </si>
  <si>
    <t>https://www.kbr.com/en-gb/node/10296</t>
  </si>
  <si>
    <t>Grandpuits DAChub</t>
  </si>
  <si>
    <t>RepAir Carbon US Inc., C-Questra</t>
  </si>
  <si>
    <t>https://www.repair-carbon.com/press-posts/repair-carbon-us-inc-and-c-questra-launch-the-eus-first-onshore-carbon-dioxide-removal-project</t>
  </si>
  <si>
    <t>Yulin  geological storage research facility and CCUS demonstration project (Shaanxi)</t>
  </si>
  <si>
    <t>Northwest University</t>
  </si>
  <si>
    <t>K-Line Sumitomo Japan-US study</t>
  </si>
  <si>
    <t>Japan-United States</t>
  </si>
  <si>
    <t>K-Line, Sumitomo</t>
  </si>
  <si>
    <t>https://www.sumitomocorp.com/en/mideast/news/topics/2024/group/20241011</t>
  </si>
  <si>
    <t>JSW Steel's Vijayanagar site</t>
  </si>
  <si>
    <t>BHP, Carbon Clean, JSW</t>
  </si>
  <si>
    <t>https://www.bhp.com/news/articles/2024/10/bhp-carbon-clean-and-jsw-steel-sign-agreement-to-explore-carbon-cleans-cyclonecc-technology</t>
  </si>
  <si>
    <t>GE Vernova FEED studies</t>
  </si>
  <si>
    <t>ASHOMCo, GE Vernova</t>
  </si>
  <si>
    <t>https://www.gevernova.com/news/press-releases/ge-vernova-completes-feed-studies-how-reduce-carbon-emissions-three-power-plants</t>
  </si>
  <si>
    <t>Carbon Iceland Nordural plant</t>
  </si>
  <si>
    <t>Carbon Iceland</t>
  </si>
  <si>
    <t>https://carboniceland.is/carbon-iceland-and-zephyr-sign-an-agreement/</t>
  </si>
  <si>
    <t>Eramet Manganese Porsgrunn phase 2</t>
  </si>
  <si>
    <t>Eramet</t>
  </si>
  <si>
    <t>https://www.eramet.com/en/news/2024/10/lanzatech-and-eramet-announce-plans-for-first-of-a-kind-integrated-carbon-capture-utilization-and-storage-ccus-project-in-norway/</t>
  </si>
  <si>
    <t>TarraCO2</t>
  </si>
  <si>
    <t>https://inspenet.com/en/noticias/store-co2-on-the-coast-of-tarragona/</t>
  </si>
  <si>
    <t>CarboClearTech (Martres-Tolosane cement plant)</t>
  </si>
  <si>
    <t>https://www.lafarge.fr/le-projet-carbocleartech-concu-pour-capter-et-stocker-le-carbone-residuel-de-lusine-lafarge-de</t>
  </si>
  <si>
    <t>Marcegaglia AdriatiCO2</t>
  </si>
  <si>
    <t>https://www.eib.org/en/products/mandates-partnerships/innovation-fund/index</t>
  </si>
  <si>
    <t>https://www.settesere.it/it/notizie-emilia-romagna-ravenna-parla-il-direttore-fiorini-marcegaglia-uno-stabilimento-al-top.-puntiamo-a-innovazione-e-automazione-n46639.php</t>
  </si>
  <si>
    <t>https://www.rinnovabili.it/mercato/finanziamenti/innovazione-tecnologie-pulite-11-progetti-italiani/</t>
  </si>
  <si>
    <t>Alto ingredient Pekin campus plant (IL)</t>
  </si>
  <si>
    <t>Alto Ingredient, Vault 44.01</t>
  </si>
  <si>
    <t>https://ir.altoingredients.com/news-events/press-releases/detail/626/alto-ingredients-inc-enters-co2-transportation-and</t>
  </si>
  <si>
    <t>Ammonia Houston Ship Channel (TX)</t>
  </si>
  <si>
    <t>Inpex, Air Liquide (hydrogen production), LSB, Vopak, KBR (tech)</t>
  </si>
  <si>
    <t>https://investors.lsbindustries.com/news-releases/news-release-details/global-energy-and-chemical-leaders-partner-develop-large-scale</t>
  </si>
  <si>
    <t>https://www.kbr.com/en/insights-news/press-release/kbr-blue-ammonia-technology-selected-low-carbon-project-us-gulf-coast</t>
  </si>
  <si>
    <t>https://lsbindustries.com/clean-energy/hsc-ccs/</t>
  </si>
  <si>
    <t>Carbon Dioxide Full Oxygen Combustion Enrichment and Purification Demonstration Project Qingzhou (Shandong)</t>
  </si>
  <si>
    <t>China United Cement Company, Tianjin Cement Industry Design &amp; Research Institute, Shanghai Triumph Energy Conservation Engineering Co Ltd</t>
  </si>
  <si>
    <t>https://www.cemnet.com/News/story/175173/china-united-qingzhou-co-launches-china-s-largest-ccus-project.html</t>
  </si>
  <si>
    <t>https://www.vpsatech.com/news-information/PKUPioneer-Provides-VPSA-Oxygen-Unit-for-Largest-CO2-Capture-Project-in-China-Cement-Industry.html</t>
  </si>
  <si>
    <t>https://e.ccement.com/news/content/45060244881195001.html</t>
  </si>
  <si>
    <t>CNPC 3 million tons Songliao basin demonstration (Heilongjiang)</t>
  </si>
  <si>
    <t>http://news.cnpc.com.cn/system/2023/12/21/030120936.shtml</t>
  </si>
  <si>
    <t>https://www.petrochina.com.cn/petrochina/xhtml/images/shyhj/2023esgcn.pdf</t>
  </si>
  <si>
    <t>Capsol feasibility study cement Germany</t>
  </si>
  <si>
    <t>https://www.capsoltechnologies.com/Capsol-awarded-feasibility-study-from-cement-producer-in-Germany</t>
  </si>
  <si>
    <t>Malarenergi waste to energy Vasteras</t>
  </si>
  <si>
    <t>Malarenergi, Backock &amp; Wilcox</t>
  </si>
  <si>
    <t>https://carbonherald.com/bw-to-assess-carbon-capture-for-swedish-waste-to-energy-plant/</t>
  </si>
  <si>
    <t>https://www.capsoltechnologies.com/Capsol-and-Sumitomo-SHI-FW-demonstrate-CO2-capture-at-Malarenergi</t>
  </si>
  <si>
    <t>GeoDura Carbon Storage Hub (LA)</t>
  </si>
  <si>
    <t>Onstream CO2 (Enbridge, CarbonVert, CASTEX)</t>
  </si>
  <si>
    <t>https://geodura.com/</t>
  </si>
  <si>
    <t>https://www.prnewswire.com/news-releases/onstream-receives-26-million-in-federal-funding-for-louisiana-offshore-carbon-storage-hub-development-and-announces-joint-venture-partnership-with-major-midstream-company-302307869.html</t>
  </si>
  <si>
    <t>St. Mary Parish Carbon Storage Hub (LA)</t>
  </si>
  <si>
    <t>https://onstreamco2.com/</t>
  </si>
  <si>
    <t>Whites Bayou (TX)</t>
  </si>
  <si>
    <t>BKVerde</t>
  </si>
  <si>
    <t>Port Arthur LNG - Titan Carbon sequestration project (TX)</t>
  </si>
  <si>
    <t>Sempra Infrastructure</t>
  </si>
  <si>
    <t>Titan Carbon sequestration project (TX)</t>
  </si>
  <si>
    <t>Rose carbon capture and storage (TX)</t>
  </si>
  <si>
    <t>https://lowcarbon.exxonmobil.com/-/media/lcs/files/fact-sheets/lcs-rose-project-fact-sheet-2024.pdf</t>
  </si>
  <si>
    <t>Florida DAC hub (FL)</t>
  </si>
  <si>
    <t>University of Illinois at Urbana-Champaign, Carbon America</t>
  </si>
  <si>
    <t>https://www.carbonamerica.com/fldac</t>
  </si>
  <si>
    <t>https://www.carbonamerica.com/dacnews</t>
  </si>
  <si>
    <t>Colorado (Pueblo) DAC hub (CO)</t>
  </si>
  <si>
    <t>https://www.carbonamerica.com/codac</t>
  </si>
  <si>
    <t>Redbud CCS hub (Tri-state CCS hub) (WV)</t>
  </si>
  <si>
    <t>Redbud CCS hub (WV)</t>
  </si>
  <si>
    <t>https://tristateccs.com/ccs-redbud/</t>
  </si>
  <si>
    <t>Buckeye CCS hub (Tri-state CCS hub) (OH)</t>
  </si>
  <si>
    <t>https://tristateccs.com/ccs-buckeye/</t>
  </si>
  <si>
    <t>Beaumont sequestration project (TX)</t>
  </si>
  <si>
    <t>Caliche</t>
  </si>
  <si>
    <t>https://calichestorage.com/</t>
  </si>
  <si>
    <t>Brown  (MI)</t>
  </si>
  <si>
    <t>Lambda energy resources</t>
  </si>
  <si>
    <t>https://lambdaenergyllc.com/co2-sequestration</t>
  </si>
  <si>
    <t>Windsor FRE ethanol plant - front range 1-1 (CO)</t>
  </si>
  <si>
    <t>Carbon Storage Solutions (Front range energy)</t>
  </si>
  <si>
    <t>https://www.windsorgov.com/Archive.aspx?ADID=5934</t>
  </si>
  <si>
    <t>Texas Gulf Coast CCS Refugio (TX)</t>
  </si>
  <si>
    <t>ConocoPhillips</t>
  </si>
  <si>
    <t>Vault Aster storage (IN)</t>
  </si>
  <si>
    <t>Vault, POET</t>
  </si>
  <si>
    <t>Valero Linden plant (IA)</t>
  </si>
  <si>
    <t>Valero, Vault Alliance CCS (Vault)</t>
  </si>
  <si>
    <t>Carbon TerraVault 6 (CA)</t>
  </si>
  <si>
    <t>Carbon TerraVault 6</t>
  </si>
  <si>
    <t>https://www.crc.com/carbon-terravault/vaults/default.aspx#CTV-Six</t>
  </si>
  <si>
    <t>Mountaineer sequestration (WV)</t>
  </si>
  <si>
    <t>Capio sequestration, Batelle</t>
  </si>
  <si>
    <t>High plains carbon storage (NE)</t>
  </si>
  <si>
    <t>Block energy CCS project</t>
  </si>
  <si>
    <t>Block energy, Rustavi Azot, Oilfield Production Consultants</t>
  </si>
  <si>
    <t>https://polaris.brighterir.com/public/block_energy/news/rns/story/w94g1dx</t>
  </si>
  <si>
    <t>https://polaris.brighterir.com/public/block_energy/news/rns/story/w97jjgx</t>
  </si>
  <si>
    <t>Sullom voe terminal and Shetland basin hub (SVT)</t>
  </si>
  <si>
    <t>Veri Energy (EnQuest)</t>
  </si>
  <si>
    <t>https://verienergy.com/blogs/news/veri-energy-ocean-power-and-amplus-energy-services-enter-memorandum-of-understanding-for-groundbreaking-offshore-electrification-project</t>
  </si>
  <si>
    <t>https://verienergy.com/pages/sullom-voe-terminal</t>
  </si>
  <si>
    <t>Shetland Offshore power generation</t>
  </si>
  <si>
    <t>Ocean-Power AS, Amplus Energy Services Limited</t>
  </si>
  <si>
    <t>Donaldsville CO2 storage (TX)</t>
  </si>
  <si>
    <t>Maurepas WMA sequestration project (LA)</t>
  </si>
  <si>
    <t>Capio sequestration</t>
  </si>
  <si>
    <t>Orchard One (WY)</t>
  </si>
  <si>
    <t>Spiritus, Casper carbon sequestration</t>
  </si>
  <si>
    <t>https://www.spiritus.com/single-news/spiritus-files-for-class-vi-permit-in-wyoming-for-worlds-largest-dac-plant</t>
  </si>
  <si>
    <t>Casper Carbon Storage Hub (WY)</t>
  </si>
  <si>
    <t>Aramco gas plants (3 facilities)</t>
  </si>
  <si>
    <t>https://www.aramco.com/en/what-we-do/energy-innovation/advancing-energy-solutions/carbon-capture-utilization-and-storage</t>
  </si>
  <si>
    <t>San Patricio-Aransas-Nueces CO2 Infrastructure Project (TX)</t>
  </si>
  <si>
    <t>https://www.energy.gov/fecm/project-selection-foa-2730-carbon-capture-technology-program-co2-transport-front-end</t>
  </si>
  <si>
    <t>Petronas Kuantan hub</t>
  </si>
  <si>
    <t>Petronas</t>
  </si>
  <si>
    <t>https://www.petronas.com/media/media-releases/petronas-acquires-land-carbon-capture-and-storage-hub-peninsular-malaysia</t>
  </si>
  <si>
    <t>Petronas Kerteh hub</t>
  </si>
  <si>
    <t>Petronas, ADNOC, Storegga</t>
  </si>
  <si>
    <t>https://www.netl.doe.gov/projects/project-information.aspx?p=FE0031587</t>
  </si>
  <si>
    <t>BEA Alizay</t>
  </si>
  <si>
    <t>Biomasse Energy d'Alizay, Verso Energy</t>
  </si>
  <si>
    <t>https://verso.energy/wp-content/uploads/2024/10/Verso-Energy-BEA.pdf</t>
  </si>
  <si>
    <t>Papetier Sylvamo Saillat sur Vienne</t>
  </si>
  <si>
    <t>Sylvamo, Verso Energy</t>
  </si>
  <si>
    <t>https://verso.energy/wp-content/uploads/2024/06/20240607_MOU-Sylvamo.pdf</t>
  </si>
  <si>
    <t>Usine RYAM Tartas</t>
  </si>
  <si>
    <t>RYAM, Verso Energy</t>
  </si>
  <si>
    <t>https://verso.energy/wp-content/uploads/2024/02/20240228_MOU-RYAM.pdf</t>
  </si>
  <si>
    <t>Rayonier carbon storage agreement (AL)</t>
  </si>
  <si>
    <t>Reliant carbon capture, Rayonier</t>
  </si>
  <si>
    <t>Carbon TerraVault 1 (CA)</t>
  </si>
  <si>
    <t>California Resources Corporation (Carbon TerraVault)</t>
  </si>
  <si>
    <t>https://www.epa.gov/newsreleases/epa-issues-first-ever-underground-injection-permits-carbon-sequestration-california</t>
  </si>
  <si>
    <t>Project Concho (TX) phase 1</t>
  </si>
  <si>
    <t>SkyTree, Verified Carbon, Greenalia (wind provider)</t>
  </si>
  <si>
    <t>https://www.verifiedcarbon.io/projects-3/projectconcho</t>
  </si>
  <si>
    <t>Project Concho (TX) phase 2</t>
  </si>
  <si>
    <t>Ankeron Carbon Management Hub (WA)</t>
  </si>
  <si>
    <t>Carbfix, the Pacific Northwest National Laboratory, the RockyMountain Institute, Washington State University, Fluor Corporation, AES and Lanzatech</t>
  </si>
  <si>
    <t>https://www.removr.com/news/us-3-million-federal-grant-removr-feasibility-direct-air-capture-pacific-northwest</t>
  </si>
  <si>
    <t>https://netl.doe.gov/sites/default/files/netl-file/24CM/24CM_CDR_7_Pike.pdf</t>
  </si>
  <si>
    <t>Grizzly DAC plant</t>
  </si>
  <si>
    <t>Removr, Ankeron Carbon Management Hub consortium</t>
  </si>
  <si>
    <t>Ankeron Carbon Management Hub</t>
  </si>
  <si>
    <t>https://www.removr.com/#Projects</t>
  </si>
  <si>
    <t>Net-zero 1 (SD)</t>
  </si>
  <si>
    <t>Gevo</t>
  </si>
  <si>
    <t>https://carbonherald.com/gevo-secures-doe-funding-for-net-zero-sustainable-aviation-fuel-plant/</t>
  </si>
  <si>
    <t>chrome-extension://efaidnbmnnnibpcajpcglclefindmkaj/https://investors.gevo.com/static-files/d6e109ed-0062-475c-b2a8-3bfb8836e197</t>
  </si>
  <si>
    <t>Bayou Bend West onshore (TX)</t>
  </si>
  <si>
    <t>Bayou Bend CCS onshore (TX)</t>
  </si>
  <si>
    <t>https://www.chevron.com/newsroom/2023/q1/bayou-bend-expands-carbon-capture-project-to-onshore-southeast-texas</t>
  </si>
  <si>
    <t>https://www.prnewswire.com/news-releases/talos-energy-selected-as-winning-bidder-for-carbon-capture-and-storage-site-301362317.html</t>
  </si>
  <si>
    <t>Antwerp - ARCaDe</t>
  </si>
  <si>
    <t>Fluxys, AirLiquide, TotalEnergies</t>
  </si>
  <si>
    <t>https://totalenergies.com/system/files/documents/2024-03/totalenergies_sustainability-climate-2024-progress-report_2024_en_pdf.pdf</t>
  </si>
  <si>
    <t>https://ebesluit.antwerpen.be/document/65dda34c5540af36cf13c328;jsessionid=22A920844EEA0D1486D61B9046FE5E7F</t>
  </si>
  <si>
    <t>Bluebell  (Roanoke Cement Company CCS)</t>
  </si>
  <si>
    <t>Titan(owner of Roanoke Cement Company), Leilac, Amazon, Virginia Tech</t>
  </si>
  <si>
    <t>Full Chain</t>
  </si>
  <si>
    <t>https://www.energy.gov/eere/iedo/funding-selections-fy24-energy-and-emissions-intensive-industries-foa#topic-6</t>
  </si>
  <si>
    <t>https://calix.global/news/two-leilac-projects-selected-us-doe-grant-funding/</t>
  </si>
  <si>
    <t>https://news.vt.edu/articles/2024/10/science_industrial_decarbonization.html</t>
  </si>
  <si>
    <t>Mississippi Lime Company (MLC) CCS</t>
  </si>
  <si>
    <t xml:space="preserve">MLC, Leilac,  Industrial Ally, Nuada, </t>
  </si>
  <si>
    <t>Cypress DAC Hub Heirloom Facility (LA) Phase 1</t>
  </si>
  <si>
    <t>Heirloom, Leilac, CapturePoint</t>
  </si>
  <si>
    <t>https://www.heirloomcarbon.com/projects</t>
  </si>
  <si>
    <t>https://www.opportunitylouisiana.gov/news/heirloom-carbon-technologies-announces-475-million-investment-to-establish-north-americas-second-direct-air-capture-facility-in-louisiana</t>
  </si>
  <si>
    <t>https://www.leilac.com/news/leilac-partner-heirloom-announces-major-us-direct-air-capture-dac-projects/</t>
  </si>
  <si>
    <t>Sisak biorefinery project</t>
  </si>
  <si>
    <t>INA-Industrija nafte</t>
  </si>
  <si>
    <t>0.36 - 0.46</t>
  </si>
  <si>
    <t>https://ccs4cee.eu/wp-content/uploads/2021/11/CCS4CEE-Croatia.pdf</t>
  </si>
  <si>
    <t>https://ccs4cee.eu/wp-content/uploads/2023/04/Croatia_final_summary_ENG.pdf</t>
  </si>
  <si>
    <t>https://www.ina.hr/app/uploads/2021/06/CP-2021_web.pdf</t>
  </si>
  <si>
    <t>https://www.ina.hr/en/website-dedicated-to-the-biorefinery-project-is-now-online/</t>
  </si>
  <si>
    <t>Airvault cement plant</t>
  </si>
  <si>
    <t xml:space="preserve">Heidelberg Materials France </t>
  </si>
  <si>
    <t>https://www.heidelbergmaterials.com/en/pr-2024-03-13</t>
  </si>
  <si>
    <t>https://www.globalcement.com/news/item/17092-heidelberg-materials-france-to-trial-carbon-capture-installation-at-airvault-cement-plant</t>
  </si>
  <si>
    <t xml:space="preserve">Carbon Connect Delta </t>
  </si>
  <si>
    <t>Netherlands-Belgium</t>
  </si>
  <si>
    <t>Smart Delta Resources, Port company North Sea Port, ArcelorMittal, Dow Benelux, PZEM, Yara and Zeeland Refinery, Gasunie and Fluxys</t>
  </si>
  <si>
    <t>3.3 - 6.5</t>
  </si>
  <si>
    <t>Carbon Connect Delta</t>
  </si>
  <si>
    <t>https://www.smartdeltaresources.com/en/carbon-connect-delta</t>
  </si>
  <si>
    <t>https://www.fluxys.com/en/news/fluxys-group/2020/200527_news_carbon_emissions_scheldt_delta</t>
  </si>
  <si>
    <t>https://www.gasunie.nl/en/projects/carbon-connect-delta</t>
  </si>
  <si>
    <t xml:space="preserve">Iroko carbon storage </t>
  </si>
  <si>
    <t xml:space="preserve">Vår Energi (40%), OMV (Norge) AS (30%) and Lime Petroleum AS (30%). </t>
  </si>
  <si>
    <t>https://varenergi.no/news/var-energi-and-partners-awarded-co2-storage-licence-in-north-sea/</t>
  </si>
  <si>
    <t>https://www.omv.com/en/investors/news/2024/20240621-omv-awarded-with-a-second-co2-storage-license-in-norway</t>
  </si>
  <si>
    <t>https://www.sodir.no/en/whats-new/news/general-news/2024/six-companies-offered-acreage-for-co2-storage/</t>
  </si>
  <si>
    <t xml:space="preserve">Kinno carbon storage </t>
  </si>
  <si>
    <t>https://www.equinor.com/news/20240620-two-new-co2-storage-licenses-in-the-north-sea</t>
  </si>
  <si>
    <t xml:space="preserve">Albondigas carbon storage </t>
  </si>
  <si>
    <t xml:space="preserve">Atlas carbon storage </t>
  </si>
  <si>
    <t>Aker BP (80 %  operator)  PGNiG Upstream Norway AS (20%)</t>
  </si>
  <si>
    <t>https://akerbp.com/en/borsmelding/aker-bp-awarded-licence-for-co2-storage-in-norway-2/</t>
  </si>
  <si>
    <t>KEPCO 150 MW coal plant</t>
  </si>
  <si>
    <t>https://www.kepco-enc.com/menu.es?mid=a20203040200</t>
  </si>
  <si>
    <t>SOMZERO CO2</t>
  </si>
  <si>
    <t>CEMEX</t>
  </si>
  <si>
    <t>https://climate.ec.europa.eu/system/files/2024-01/policy_ccs_implementation_20231215_presentation_en.pdf</t>
  </si>
  <si>
    <t>Baltic Sea Storage</t>
  </si>
  <si>
    <t>ORLEN</t>
  </si>
  <si>
    <t>NSW CO2 SAP</t>
  </si>
  <si>
    <t>Coal Innovation NSW</t>
  </si>
  <si>
    <t>https://www.resources.nsw.gov.au/invest-nsw/coal-innovation-nsw/nsw-co2-storage-assessment-program</t>
  </si>
  <si>
    <t>https://www.resources.nsw.gov.au/sites/default/files/2022-11/co2-storage-assess-stage2-flyer.pdf</t>
  </si>
  <si>
    <t>Otway CCS Hub</t>
  </si>
  <si>
    <t>Beach Energy</t>
  </si>
  <si>
    <t>0.2 - 0.2</t>
  </si>
  <si>
    <t>https://announcements.asx.com.au/asxpdf/20221012/pdf/45g5n9b8qj4qgy.pdf</t>
  </si>
  <si>
    <t>Cygnus CCS Hub phase 1</t>
  </si>
  <si>
    <t>Mitui E&amp;P Australia, Wesfarmers Chemicals, Energy &amp; Fertilisers</t>
  </si>
  <si>
    <t>Cygnus CCS Hub</t>
  </si>
  <si>
    <t>https://www.mepau.com.au/project/cygnus-hub/</t>
  </si>
  <si>
    <t>https://www.fenex.org.au/wp-content/uploads/2024/06/Trupp-Mark-Cygnus-An-Onshore-CCS-Hub-for-WA-Industry.pdf</t>
  </si>
  <si>
    <t>https://www.slb.com/resource-library/case-study-with-navigation/sne/ccs-mitsui-australia-cs</t>
  </si>
  <si>
    <t>Cygnus CCS Hub phase 2</t>
  </si>
  <si>
    <t>Incapture G-15-AP</t>
  </si>
  <si>
    <t>InCapture, SK earthon Australia, Carbon CQ</t>
  </si>
  <si>
    <t>https://incapture.com.au/incapture-secures-permit-for-carbon-capture-and-storage-assessment-project-on-nw-shelf-australia/</t>
  </si>
  <si>
    <t>https://public.neats.nopta.gov.au/Opggs/Title/3729f86c-b56f-48f2-a3ba-f6576c74cea9</t>
  </si>
  <si>
    <t>Chevron G-20-AP</t>
  </si>
  <si>
    <t>Chevron, Mobil Australia Resources Company, Shell</t>
  </si>
  <si>
    <t>https://australia.chevron.com/news/2024/chevron-led-joint-venture-accepts-greenhouse-gas-assessment-permit-offshore-barrow-island-australia</t>
  </si>
  <si>
    <t>Chevron G-18-AP</t>
  </si>
  <si>
    <t>Chevron, Woodside Energy</t>
  </si>
  <si>
    <t>https://www.chevron.com/newsroom/2024/q3/chevron-builds-on-ccs-portfolio-offshore-australia</t>
  </si>
  <si>
    <t>Fjernvarme Fyn</t>
  </si>
  <si>
    <t>Fjernvarme Fyn A/S</t>
  </si>
  <si>
    <t>https://www.fjernvarmefyn.dk/media/k2elw11y/pm_fjernvarme_fyn_tager_ambitiost_klimavalg.pdf</t>
  </si>
  <si>
    <t>https://www.fjernvarmefyn.dk/co2fangst/</t>
  </si>
  <si>
    <t>Fjord-Projekt CIP ( Carbon Captured from  Nordværk Incineration Plant)</t>
  </si>
  <si>
    <t>CIPNordværk, Aalborg Forsyning, and Copenhagen Infrastructure Partners. (CIP)</t>
  </si>
  <si>
    <t>https://www.fjord-ptx.com/</t>
  </si>
  <si>
    <t>https://www.cowi.com/news-and-press/news/2024/sustainable-fuel-factory-to-give-domestic-flights-the-first-green-push-down-the-runway/</t>
  </si>
  <si>
    <t>European Energy/Padborg PtX ApS</t>
  </si>
  <si>
    <t>European Energy</t>
  </si>
  <si>
    <t>TBD</t>
  </si>
  <si>
    <t>https://europeanenergy.com/2023/10/27/european-energy-wins-tender-to-start-next-generation-of-e-fuel-production/</t>
  </si>
  <si>
    <t>https://mst.dk/media/mmcpjqaa/20240503-european-energy-padborg-ptx-projekt-ideoplaeg.pdf</t>
  </si>
  <si>
    <t>Jinjiang Chemical CCUS Project (Xinjiang)</t>
  </si>
  <si>
    <t>Qishi Jinjiang Chemical Co., Ltd</t>
  </si>
  <si>
    <t>https://www.sohu.com/a/695078244_121123922</t>
  </si>
  <si>
    <t>Xinjiang Dunhua Wucaiwan Industrial Park CO2 Capture Project (Xinjiang)</t>
  </si>
  <si>
    <t>https://finance.sina.com.cn/jjxw/2024-09-30/doc-incqwyyz9719853.shtml</t>
  </si>
  <si>
    <t>Dongfang Boiler CLC Demonstration (Sichuan)</t>
  </si>
  <si>
    <t>Chinese-European Emission-Reducing Solutions project (CHEERS),  TotalEnergies and Dongfang Boiler Group Co., Ltd (DBC)</t>
  </si>
  <si>
    <t>https://corporate.totalenergies.cn/en/innovation-carbon-capture-help-chinas-carbon-peaking-and-carbon-neutrality-goals</t>
  </si>
  <si>
    <t>https://ukbusinessinchina.com/sites/default/files/2024-01/UK-China-CCUS-Supply-Chain-Study-Report-EN-202401.pdf</t>
  </si>
  <si>
    <t>https://www.stdaily.com/web/gdxw/2024-09/27/content_236340.html</t>
  </si>
  <si>
    <t>A2X's CCS Esbjerg ( Carbon captured from Energnist Incineration Plant in Esbjerg)</t>
  </si>
  <si>
    <t>A2X , SubC Partner, Juel+Krøyer and HYTOR Group</t>
  </si>
  <si>
    <t>https://a2x.dk/wp-content/uploads/2022/11/Endeligt-udkast-pressemeddelelse-GB.pdf</t>
  </si>
  <si>
    <t>https://a2x.dk/</t>
  </si>
  <si>
    <t>https://old.hytor.com/group/en/news/we-are-building-the-worlds-largest-emethanol-plant-through-our-partnership-a2x/</t>
  </si>
  <si>
    <t>https://www.tvsyd.dk/esbjerg/power-to-x-anlaeg-kommer-til-esbjerg-i-2025</t>
  </si>
  <si>
    <t>https://gesek.dk/fra-ptx-til-nedgravning-af-co2/</t>
  </si>
  <si>
    <t>European Energy/Brønderslev PtX (Biogas or waste incineration plants in Northern Jutland)</t>
  </si>
  <si>
    <t xml:space="preserve">European Energy </t>
  </si>
  <si>
    <t>https://bronderslevforsyning.dk/media/x1rlyyzq/b%C3%A6redygtighedsfestival-br%C3%B8nderslev-07092023-distribution.pdf</t>
  </si>
  <si>
    <t>Bantam DAC (OK)</t>
  </si>
  <si>
    <t>Heimdal Inc, CapturePoint</t>
  </si>
  <si>
    <t xml:space="preserve"> Oklahoma Carbon Hub </t>
  </si>
  <si>
    <t>https://www.prnewswire.com/news-releases/heimdal-celebrates-launch-of-bantam-americas-largest-operational-direct-air-capture-facility-302220498.html</t>
  </si>
  <si>
    <t>https://www.heimdalccu.com/</t>
  </si>
  <si>
    <t>Campo Viejo Gas Processing Plant</t>
  </si>
  <si>
    <t>Stakeholder Gas Services</t>
  </si>
  <si>
    <t>0.12 - 0.19</t>
  </si>
  <si>
    <t>https://www.stakeholdermidstream.com/carbon-capture-and-sustainable-energy</t>
  </si>
  <si>
    <t>https://www.stakeholdermidstream.com/operations</t>
  </si>
  <si>
    <t>Xinjiang Guoneng Chemical Co CCU Phase 1  (Xinjiang)</t>
  </si>
  <si>
    <t>Xinjiang Guoneng Chemical Co., Ltd, Xinjiang Huarui Gas Co., Ltd (built ccu infrastructure)</t>
  </si>
  <si>
    <t>https://news.bjx.com.cn/html/20231207/1348542.shtml</t>
  </si>
  <si>
    <t>Xinjiang Guoneng Chemical Co., Ltd CCU Phase 2 (Xinjiang)</t>
  </si>
  <si>
    <t>Piñon’s Dark Horse Treating Facility and storage</t>
  </si>
  <si>
    <t>Piñon Midstream</t>
  </si>
  <si>
    <t>0.18 - 0.19</t>
  </si>
  <si>
    <t>https://carboncapturemagazine.com/articles/pion-midstream-secures-epa-approval-for-ccs-operations-at-dark-horse-treating-facility</t>
  </si>
  <si>
    <t>https://pgjonline.com/news/2021/october/pi%C3%B1on-midstream-s-dark-horse-carbon-capture-facility-pipelines-in-service</t>
  </si>
  <si>
    <t>New Generation Gas Gathering (NG3)</t>
  </si>
  <si>
    <t>Momentum Midstream, ExxonMobil</t>
  </si>
  <si>
    <t>https://carbonherald.com/exxonmobil-partners-with-ng3-for-carbon-capture-and-storage/</t>
  </si>
  <si>
    <t>https://www.businesswire.com/news/home/20241021631420/en/Evers-Sons-Awarded-Pivotal-Installation-Work-for-Gillis-Treating-Plant-as-Part-of-the-Groundbreaking-NG3-Project</t>
  </si>
  <si>
    <t xml:space="preserve"> Shaanxi Coal Group Yulin Chemical Co., Ltd  CCUS Phase 1 (Shaanxi)</t>
  </si>
  <si>
    <t xml:space="preserve"> Shaanxi Coal Group Yulin Chemical Co., Ltd</t>
  </si>
  <si>
    <t>http://www.ccin.com.cn/detail/887706c336f7466675518ae704fc33ac/news</t>
  </si>
  <si>
    <t xml:space="preserve"> Shaanxi Coal Group Yulin Chemical Co., Ltd  CCUS Phase 2 (Shaanxi)</t>
  </si>
  <si>
    <t xml:space="preserve"> Shaanxi Coal Group Yulin Chemical Co., Ltd  CCUS Phase 3 (Shaanxi)</t>
  </si>
  <si>
    <t>Boson Energy SA</t>
  </si>
  <si>
    <t>https://bosonenergy.com/technology/</t>
  </si>
  <si>
    <t>https://single-market-economy.ec.europa.eu/industry/industrial-alliances/european-clean-hydrogen-alliance/project-pipeline_en</t>
  </si>
  <si>
    <t xml:space="preserve">Yeosu Myodo Island Blue Hydrogen Plant </t>
  </si>
  <si>
    <t>Hanyang Corporation, Linde</t>
  </si>
  <si>
    <t>https://www.kedglobal.com/hydrogen-economy/newsView/ked202305050001</t>
  </si>
  <si>
    <t>https://cms.law/en/int/expert-guides/cms-expert-guide-to-hydrogen/south-korea</t>
  </si>
  <si>
    <t>https://www.businesskorea.co.kr/news/articleView.html?idxno=114139</t>
  </si>
  <si>
    <t>https://j-europe.com/2023/06/01/jeollanamdo-governor-signs-contract-with-linde-and-hanyang/</t>
  </si>
  <si>
    <t xml:space="preserve">SK, Honeywell </t>
  </si>
  <si>
    <t>https://uop.honeywell.com/en/news-events/2021/november/sk-innovation-to-use-honeywell-technology-for-carbon-capture-and-sequestration-feasibility-study-in-korea</t>
  </si>
  <si>
    <t>Onyx Power</t>
  </si>
  <si>
    <t>Plagazi, Petrofac</t>
  </si>
  <si>
    <t>https://en.plagazi.com/g%C3%A4vle-circular-park</t>
  </si>
  <si>
    <t>https://solarimpulse.com/solutions-explorer/implementation-stories/the-patented-plagazi-process-adopted-by-koping-municipality-in-sweden-for-green-hydrogen-and-energy</t>
  </si>
  <si>
    <t>https://renewablesnow.com/news/plagazi-wins-eur-29-5m-eu-grant-for-waste-to-hydrogen-tech-873293/</t>
  </si>
  <si>
    <t>Mitsubishi - Pupuk Indonesia, Blue NH3 Sumatra-Java</t>
  </si>
  <si>
    <t>Mitsubishi, Pupuk Indonesia</t>
  </si>
  <si>
    <t>Equinor, Linde</t>
  </si>
  <si>
    <t>https://www.equinor.com/energy/hydrogen-open-season-12-24</t>
  </si>
  <si>
    <t>https://www.offshore-energy.biz/equinors-h2m-eemshaven-project-to-reform-natural-gas-to-hydrogen-with-ccs/</t>
  </si>
  <si>
    <t>Eneos project (MVCE Gulf Coast)</t>
  </si>
  <si>
    <t>ENEOS, MVCE Gulf Coast</t>
  </si>
  <si>
    <t>https://www.eneos.co.jp/english/newsrelease/2023/pdf/20240111_01.pdf</t>
  </si>
  <si>
    <t>https://www.argusmedia.com/en/news-and-insights/latest-market-news/2526588-japan-s-eneos-invests-in-us-low-carbon-hydrogen-project</t>
  </si>
  <si>
    <t>https://www.reuters.com/business/energy/japans-eneos-invests-into-us-clean-hydrogen-company-2024-01-11/</t>
  </si>
  <si>
    <t xml:space="preserve">Ashdown Pulp Mill CCS </t>
  </si>
  <si>
    <t xml:space="preserve">Domtar, Svante, Paper Excellence and Wood </t>
  </si>
  <si>
    <t>https://www.energytech.com/energy-efficiency/news/55265276/massive-paper-pulp-mill-in-arkansas-aiming-to-capture-15m-metric-tons-of-carbon</t>
  </si>
  <si>
    <t>https://www.smartenergydecisions.com/energy-management/2025/02/03/ashdown-pulp-mill-adopts-carbon-storage-tech</t>
  </si>
  <si>
    <t>https://www.carboncapturejournal.com/ViewNews.aspx?NewsID=6633</t>
  </si>
  <si>
    <t>Pelican Origen DAC project (LA)</t>
  </si>
  <si>
    <t>Origen carbon, US DOE, Pelican Consortium (Shell, University of Houston)</t>
  </si>
  <si>
    <t>Pelican DAC hub</t>
  </si>
  <si>
    <t>https://www.origencarbon.com/news/pelican-project-announcement/</t>
  </si>
  <si>
    <t>https://www.origencarbon.com/projects/</t>
  </si>
  <si>
    <t>Connah's Quay Low Carbon Power Phase 2</t>
  </si>
  <si>
    <t>Pelican-RepAir DAC Project</t>
  </si>
  <si>
    <t xml:space="preserve"> RepAir, US DOE, Pelican Consortium( Shell, University of Houston)</t>
  </si>
  <si>
    <t>https://www.carboncapturejournal.com/news/repair-carbon-reaches-agreement-for-pelican-dac-hub-project-in-louisiana/6621.aspx?Category=all</t>
  </si>
  <si>
    <t>https://renewable-carbon.eu/news/repair-carbon-signed-commercial-agreement-for-pelican-dac-hub-project-in-louisiana/</t>
  </si>
  <si>
    <t>Origen DAC Demonstration (EERC) (ND)</t>
  </si>
  <si>
    <t xml:space="preserve">Origen carbon, Energy &amp; Environmental Research Center </t>
  </si>
  <si>
    <t>https://www.origencarbon.com/news/eerc-1000-tpa/</t>
  </si>
  <si>
    <t>CALDAC (CA)</t>
  </si>
  <si>
    <t>Origen Carbon, UC Berkeley, US DOE, multiple community and technology partners</t>
  </si>
  <si>
    <t>CALDAC (Community Alliance for Direct Air Capture)</t>
  </si>
  <si>
    <t>https://netl.doe.gov/sites/default/files/netl-file/24CM/24CM_CDR_8_Bedsworth.pdf</t>
  </si>
  <si>
    <t>https://www.law.berkeley.edu/wp-content/uploads/2024/01/Letter-of-Intent.pdf</t>
  </si>
  <si>
    <t>Olea Phase 1</t>
  </si>
  <si>
    <t>EnEarth (Subsidiary of Energean), RepAIr</t>
  </si>
  <si>
    <t>https://www.repair-carbon.com/projects</t>
  </si>
  <si>
    <t>Olea Phase 2</t>
  </si>
  <si>
    <t>Olea Phase 3</t>
  </si>
  <si>
    <t>Oak CCS (RepAir Carbon- C-Questra) Phase 1</t>
  </si>
  <si>
    <t>RepAir Carbon, C-Questra</t>
  </si>
  <si>
    <t>https://www.cquestra.com/press/</t>
  </si>
  <si>
    <t>Oak CCS (RepAir Carbon- C-Questra) Phase 2</t>
  </si>
  <si>
    <t>Acacia (RepAir- Cella Partnership Project) Phase 1</t>
  </si>
  <si>
    <t>RepAir Carbon, Cella</t>
  </si>
  <si>
    <t>https://www.prnewswire.com/news-releases/repair-and-cella-launch-carbon-capture-and-storage-partnership-in-kenya-302125071.html</t>
  </si>
  <si>
    <t>Acacia (RepAir- Cella Partnership Project) Phase 2</t>
  </si>
  <si>
    <t>Acacia (RepAir- Cella Partnership Project) Phase 3</t>
  </si>
  <si>
    <t>Killingholme Low Carbon Power project</t>
  </si>
  <si>
    <t>Uniper</t>
  </si>
  <si>
    <t>https://www.uniper.energy/united-kingdom/news/uniper-explores-development-of-a-new-carbon-capture-power-plant-in-the-uks-humber-region/</t>
  </si>
  <si>
    <t>https://www.carboncapturejournal.com/ViewNews.aspx?NewsID=6595</t>
  </si>
  <si>
    <t>EXL012</t>
  </si>
  <si>
    <t>Harbour Energy Norge AS (60%), Equinor Low Carbon Solution (40%)</t>
  </si>
  <si>
    <t>https://www.sodir.no/globalassets/1-sodir/fakta/co-to/tillatelser/nr-2-2024/eng/2024-2-workprogramme-english.pdf</t>
  </si>
  <si>
    <t>https://www.carboncapturejournal.com/ViewNews.aspx?NewsID=6580</t>
  </si>
  <si>
    <t>https://www.sodir.no/en/whats-new/news/general-news/2024/three-companies-offered-acreage-for-co2-storage/</t>
  </si>
  <si>
    <t xml:space="preserve">EXL013 </t>
  </si>
  <si>
    <t>Aker BP ASA(50%), Equinor Low Carbon Solution (50%)</t>
  </si>
  <si>
    <t xml:space="preserve">Linde H2 Plant Jubail </t>
  </si>
  <si>
    <t>https://direct.argusmedia.com/newsandanalysis/Article/2655278</t>
  </si>
  <si>
    <t>Cypress DAC Hub Heirloom Facility (LA) Phase 2</t>
  </si>
  <si>
    <t>Cypress DAC Hub Heirloom Facility (LA) Phase 3</t>
  </si>
  <si>
    <t>CalCC(Lhoist France’s Réty lime plant CCS)</t>
  </si>
  <si>
    <t>Lhoist, Air Liquide, Dunkerque LNG, Eqiom, and RTE</t>
  </si>
  <si>
    <t>https://www.lhoist.com/en/calcc</t>
  </si>
  <si>
    <t>https://climate.ec.europa.eu/system/files/2022-12/if_pf_2022_calcc_en.pdf</t>
  </si>
  <si>
    <t>GLOBE ( Lhoist Marche-les-Dames CCS)</t>
  </si>
  <si>
    <t>https://www.lhoist.com/en/globe</t>
  </si>
  <si>
    <t>https://www.lavenir.net/regions/namur/2024/05/29/lhoist-veut-investir-250000000-pour-produire-de-la-dolomie-bas-carbone-sur-son-site-de-marche-les-dames-532BJP6WKZFMBAJRRWYVEJ3YVY/</t>
  </si>
  <si>
    <t>Lynemouth Power Station (BECCS)</t>
  </si>
  <si>
    <t>EP UK Investments (Lynemouth Power Ltd)</t>
  </si>
  <si>
    <t>https://www.lynemouthpower.com/significant-opportunities-and-advances-at-lynemouth-power-station/</t>
  </si>
  <si>
    <t>NL CCS Direct Injection Phase 2</t>
  </si>
  <si>
    <t>3 - 5</t>
  </si>
  <si>
    <t>Yanan Energy Chemical (Shaanxi)</t>
  </si>
  <si>
    <t>https://www.upstreamonline.com/environment/china-vows-carbon-capture-and-storage-to-enhance-oil-recovery-at-oldest-field/2-1-1183926?zephr_sso_ott=Kb18K7</t>
  </si>
  <si>
    <t>Idemitsu Biomass Waste to Hydrogen</t>
  </si>
  <si>
    <t xml:space="preserve"> Idemitsu, H Cycle</t>
  </si>
  <si>
    <t>https://www.idemitsu.com/en/news/2023/230413.html</t>
  </si>
  <si>
    <t>Barbados</t>
  </si>
  <si>
    <t>HYDROGEN TRANSMISSION DATABASE</t>
  </si>
  <si>
    <t>Announced start date</t>
  </si>
  <si>
    <t>Pipeline type</t>
  </si>
  <si>
    <t>Length_newEstimated</t>
  </si>
  <si>
    <t>Length_repEstimated</t>
  </si>
  <si>
    <t>Operating Pressure</t>
  </si>
  <si>
    <t>Investment Cost</t>
  </si>
  <si>
    <t>Repurposed/new</t>
  </si>
  <si>
    <t>nm³ H₂/h</t>
  </si>
  <si>
    <r>
      <rPr>
        <rFont val="Corbel"/>
        <color theme="0"/>
        <sz val="11.0"/>
      </rPr>
      <t>kt H</t>
    </r>
    <r>
      <rPr>
        <rFont val="Corbel"/>
        <color theme="0"/>
        <sz val="11.0"/>
        <vertAlign val="subscript"/>
      </rPr>
      <t>2</t>
    </r>
  </si>
  <si>
    <t>MUSD</t>
  </si>
  <si>
    <t>Country1</t>
  </si>
  <si>
    <t>Country2</t>
  </si>
  <si>
    <t>Country3</t>
  </si>
  <si>
    <t>Country4</t>
  </si>
  <si>
    <t>Country5</t>
  </si>
  <si>
    <t>Country6</t>
  </si>
  <si>
    <t>Repurposed_new</t>
  </si>
  <si>
    <t>Pipeline_type</t>
  </si>
  <si>
    <t>Capacity_nm³ H₂/h</t>
  </si>
  <si>
    <t>Length_km</t>
  </si>
  <si>
    <t>New_km</t>
  </si>
  <si>
    <t>Repurposed_km</t>
  </si>
  <si>
    <t>Pressure_bar</t>
  </si>
  <si>
    <t>Costs_MUSD</t>
  </si>
  <si>
    <t>Link_1</t>
  </si>
  <si>
    <t>PiP-1</t>
  </si>
  <si>
    <t>HyTransPortRTM</t>
  </si>
  <si>
    <t>Gasunie/Hynetwork, Port of Rotterdam</t>
  </si>
  <si>
    <t>New</t>
  </si>
  <si>
    <t>24 inches</t>
  </si>
  <si>
    <t>32 km</t>
  </si>
  <si>
    <t>EUR 100 million</t>
  </si>
  <si>
    <t>Link</t>
  </si>
  <si>
    <t>PiP-2</t>
  </si>
  <si>
    <t>Holland Hydrogen 1</t>
  </si>
  <si>
    <t>Shell, Gasunie</t>
  </si>
  <si>
    <t>200 MW electrolyser, 12-hour of storage</t>
  </si>
  <si>
    <t>14 km</t>
  </si>
  <si>
    <t>PiP-3</t>
  </si>
  <si>
    <t>H2 pipeline Dow-Yara</t>
  </si>
  <si>
    <t>Dow Benelux, Yara, ICL-IP, Gasunie</t>
  </si>
  <si>
    <t>Repurposed</t>
  </si>
  <si>
    <t>4kt H2/year</t>
  </si>
  <si>
    <t>12 km</t>
  </si>
  <si>
    <t>PiP-4</t>
  </si>
  <si>
    <t>Northern Netherlands Cluster-RIB Noord</t>
  </si>
  <si>
    <t>Repurposed &amp; New</t>
  </si>
  <si>
    <t>Existing: &gt;36 inches (10-15 GW H2)
New: TBC</t>
  </si>
  <si>
    <t>Repurposed: 140 km
New: 31 km</t>
  </si>
  <si>
    <t>Repurposed: EURO 89 mill
New: 79 mill</t>
  </si>
  <si>
    <t>PiP-5</t>
  </si>
  <si>
    <t>Rotterdam/Moerdijk cluster</t>
  </si>
  <si>
    <t xml:space="preserve"> TBC</t>
  </si>
  <si>
    <t>75 km</t>
  </si>
  <si>
    <t>EURO 270 mill</t>
  </si>
  <si>
    <t>PiP-6</t>
  </si>
  <si>
    <t>NSCA cluster-RIB Amsterdam</t>
  </si>
  <si>
    <t>Repurposed: 15 km
New: 15 km</t>
  </si>
  <si>
    <t>Repurposed: EURO 16 mill
New: 53 mill</t>
  </si>
  <si>
    <t>PiP-7</t>
  </si>
  <si>
    <t>Zealand cluster - Hydrogen Delta Network NL</t>
  </si>
  <si>
    <t>TBC</t>
  </si>
  <si>
    <t>34 km</t>
  </si>
  <si>
    <t>EURO 100 mill</t>
  </si>
  <si>
    <t>PiP-8</t>
  </si>
  <si>
    <t>Chemelot cluster</t>
  </si>
  <si>
    <t xml:space="preserve"> &gt;36 inches (10-15 GW H2)
</t>
  </si>
  <si>
    <t>25 km</t>
  </si>
  <si>
    <t>EURO 19 mill</t>
  </si>
  <si>
    <t>PiP-9</t>
  </si>
  <si>
    <t>Northern Netherlands - NSCA connection</t>
  </si>
  <si>
    <t>2030 &gt;</t>
  </si>
  <si>
    <t>Repurposed: 175 km
New: 31 km</t>
  </si>
  <si>
    <t>Repurposed: EURO 161 mill
New: EURO 115 mill</t>
  </si>
  <si>
    <t>PiP-10</t>
  </si>
  <si>
    <t>NSCA - Rotterdam/Moerdijk connection</t>
  </si>
  <si>
    <t>79 km</t>
  </si>
  <si>
    <t>EURO 99 mill</t>
  </si>
  <si>
    <t>PiP-11</t>
  </si>
  <si>
    <t>Rotterdam/Moerdijk - Zeeland connection</t>
  </si>
  <si>
    <t>83 km</t>
  </si>
  <si>
    <t>EURO 71 mill</t>
  </si>
  <si>
    <t>PiP-12</t>
  </si>
  <si>
    <t>Northern Netherlands - Chemelot connection</t>
  </si>
  <si>
    <t>Repurposed: 200 km
New: 16 km</t>
  </si>
  <si>
    <t>Repurposed: EURO 156 mill
New: 50 mill</t>
  </si>
  <si>
    <t>PiP-13</t>
  </si>
  <si>
    <t>Zeeland-Chemelot connection (Ravenstein-Ossendrecht)</t>
  </si>
  <si>
    <t>122 km</t>
  </si>
  <si>
    <t>EURO 112 mill</t>
  </si>
  <si>
    <t>PiP-14</t>
  </si>
  <si>
    <t>Hydrogen Backbone NLD-Germany</t>
  </si>
  <si>
    <t>134 km</t>
  </si>
  <si>
    <t>EURO 138 mill</t>
  </si>
  <si>
    <t>PiP-15</t>
  </si>
  <si>
    <t>Hydrogen backbone NLD-Belgium</t>
  </si>
  <si>
    <t>Gasunie, Fluxys</t>
  </si>
  <si>
    <t>2026-2030</t>
  </si>
  <si>
    <t>PiP-16</t>
  </si>
  <si>
    <t>H2Med BarMar</t>
  </si>
  <si>
    <t>Enagás, GRTgaz, Teréga, OGE</t>
  </si>
  <si>
    <t>Offshore</t>
  </si>
  <si>
    <t>2 Mtpa (DN: 700-1050 mm)</t>
  </si>
  <si>
    <t>455 km</t>
  </si>
  <si>
    <t>Link2</t>
  </si>
  <si>
    <t>PiP-17</t>
  </si>
  <si>
    <t>H2 Cel-Za - Portuguese section</t>
  </si>
  <si>
    <t>Enagás, REN</t>
  </si>
  <si>
    <t>0.75 Mtpa (28 inches)</t>
  </si>
  <si>
    <t>162 km</t>
  </si>
  <si>
    <t>EUR 350 million</t>
  </si>
  <si>
    <t>PiP-18</t>
  </si>
  <si>
    <t>H2 Cel-Za - Spanish section</t>
  </si>
  <si>
    <t>86 km (Spain): Total length: 162 km</t>
  </si>
  <si>
    <t>PiP-19</t>
  </si>
  <si>
    <t>Spanish Hydrogen Network:Axis 1(Cantabrian Coast, Valle del Ebro and Levante)</t>
  </si>
  <si>
    <t>Enagás</t>
  </si>
  <si>
    <t>3 Mt/year</t>
  </si>
  <si>
    <t>1500 km</t>
  </si>
  <si>
    <t>PiP-20</t>
  </si>
  <si>
    <t>Spanish Hydrogen Network: Axis 2 (Via de la Plata axis, Puertollano and Coruña-Zamora connections)</t>
  </si>
  <si>
    <t>0.9 Mt/year</t>
  </si>
  <si>
    <t>1050 km (PCI) + 263 km (Coruña-Zamora, not PCI)</t>
  </si>
  <si>
    <t>PiP-21</t>
  </si>
  <si>
    <t>Portuguese Hydrogen Backbone: Cantanhede-Figueira da Foz</t>
  </si>
  <si>
    <t>REN</t>
  </si>
  <si>
    <t>81 GWh/day</t>
  </si>
  <si>
    <t>50 km</t>
  </si>
  <si>
    <t>EUR 210 million (including the link to Monforte)</t>
  </si>
  <si>
    <t>PiP-22</t>
  </si>
  <si>
    <t>Portuguese Hydrogen Backbone: Cantanhede-Mangualde-Celorico-Monforte</t>
  </si>
  <si>
    <t>341 km</t>
  </si>
  <si>
    <t>EUR 210 million (including the link to Figueira da Foz)</t>
  </si>
  <si>
    <t>PiP-23</t>
  </si>
  <si>
    <t>HyFen</t>
  </si>
  <si>
    <t>GRTgaz</t>
  </si>
  <si>
    <t>2 Mt/year</t>
  </si>
  <si>
    <t>Repurposed: 327 km, New: 673 km</t>
  </si>
  <si>
    <t>EUR 4.5 billion</t>
  </si>
  <si>
    <t>PiP-24</t>
  </si>
  <si>
    <t>HySoW (Hydrogen South West corridor of France)</t>
  </si>
  <si>
    <t>Teréga</t>
  </si>
  <si>
    <t>16 TWh/year (HHV)</t>
  </si>
  <si>
    <t>600 km (40% repurposed)</t>
  </si>
  <si>
    <t>EUR 920 million</t>
  </si>
  <si>
    <t>PiP-25</t>
  </si>
  <si>
    <t>Hynframed</t>
  </si>
  <si>
    <t>25 GWh/day</t>
  </si>
  <si>
    <t>150 km</t>
  </si>
  <si>
    <t>EUR  80 million</t>
  </si>
  <si>
    <t>PiP-26</t>
  </si>
  <si>
    <t>Flow-making hydrogen happen - 2025</t>
  </si>
  <si>
    <t>GASCADE</t>
  </si>
  <si>
    <t>20 GW</t>
  </si>
  <si>
    <t xml:space="preserve">Repurposed: 395.8 km, New: 1,2 </t>
  </si>
  <si>
    <t xml:space="preserve">EUR 435 million </t>
  </si>
  <si>
    <t>PiP-27</t>
  </si>
  <si>
    <t>Flow-making hydrogen happen - 2028</t>
  </si>
  <si>
    <t>Repurposed: 632.1 km, New: 115 km</t>
  </si>
  <si>
    <t xml:space="preserve">EUR 850 million </t>
  </si>
  <si>
    <t>PiP-28</t>
  </si>
  <si>
    <t>Flow-making hydrogen happen - 2029</t>
  </si>
  <si>
    <t xml:space="preserve">199 km </t>
  </si>
  <si>
    <t xml:space="preserve">EUR 780 million </t>
  </si>
  <si>
    <t>PiP-29</t>
  </si>
  <si>
    <t>Flow-making hydrogen happen - 2030</t>
  </si>
  <si>
    <t>Repurposed: 196.7 km, New: 59 km</t>
  </si>
  <si>
    <t xml:space="preserve">EUR 400 million </t>
  </si>
  <si>
    <t>PiP-30</t>
  </si>
  <si>
    <t>Vlieghuis Ochtrup</t>
  </si>
  <si>
    <t>Thyssengas</t>
  </si>
  <si>
    <t>DN 400 &amp; 600</t>
  </si>
  <si>
    <t>50,2 km</t>
  </si>
  <si>
    <t>30-67.7</t>
  </si>
  <si>
    <t>PiP-31</t>
  </si>
  <si>
    <t>H2 Interconnector Bornholm Lubmin</t>
  </si>
  <si>
    <t>GASCADE, Energinet, Copenhagen Infrastructure Partners</t>
  </si>
  <si>
    <t>DN 1050 mm</t>
  </si>
  <si>
    <t>140 km</t>
  </si>
  <si>
    <t>56 km with a budget of EUR 325 km</t>
  </si>
  <si>
    <t>PiP-32</t>
  </si>
  <si>
    <t>doing hydrogen - 2026</t>
  </si>
  <si>
    <t>ONTRAS,  Cemex, Enertag, Apex, Vattenfall</t>
  </si>
  <si>
    <t>Transport Capacity 84 GWh/d</t>
  </si>
  <si>
    <t>67.2 km</t>
  </si>
  <si>
    <t>EUR 36 million</t>
  </si>
  <si>
    <t>PiP-33</t>
  </si>
  <si>
    <t>doing hydrogen - 2027</t>
  </si>
  <si>
    <t>122.2 km</t>
  </si>
  <si>
    <t>EUR 62.2 million</t>
  </si>
  <si>
    <t>PiP-34</t>
  </si>
  <si>
    <t>doing hydrogen - 2028</t>
  </si>
  <si>
    <t>146.8 km</t>
  </si>
  <si>
    <t>EUR 430 million</t>
  </si>
  <si>
    <t>PiP-35</t>
  </si>
  <si>
    <t>doing hydrogen - 2029</t>
  </si>
  <si>
    <t>186.2 km</t>
  </si>
  <si>
    <t>EUR 562 million</t>
  </si>
  <si>
    <t>PiP-36</t>
  </si>
  <si>
    <t>doing hydrogen - 2030</t>
  </si>
  <si>
    <t>72 km</t>
  </si>
  <si>
    <t>EUR 255 million</t>
  </si>
  <si>
    <t>PiP-37</t>
  </si>
  <si>
    <t>doing hydrogen - 2032</t>
  </si>
  <si>
    <t>27 km</t>
  </si>
  <si>
    <t>EUR 76 million</t>
  </si>
  <si>
    <t>PiP-38</t>
  </si>
  <si>
    <t>Green Octopus Mitteldeutschland - 2026</t>
  </si>
  <si>
    <t>ONTRAS, VNG Gasspeicher</t>
  </si>
  <si>
    <t>DN 400 mm</t>
  </si>
  <si>
    <t>35.6 km</t>
  </si>
  <si>
    <t>EUR 14.3 million</t>
  </si>
  <si>
    <t>PiP-39</t>
  </si>
  <si>
    <t>Green Octopus Mitteldeutschland - 2027</t>
  </si>
  <si>
    <t>DN 300-800 mm</t>
  </si>
  <si>
    <t>Repurposed: 138.4 km, New: 7 km</t>
  </si>
  <si>
    <t>EUR 76.7 million</t>
  </si>
  <si>
    <t>PiP-40</t>
  </si>
  <si>
    <t>Green Octopus Mitteldeutschland - 2028</t>
  </si>
  <si>
    <t>DN 600-800 mm</t>
  </si>
  <si>
    <t>Repurposed: 45.7 km, New: 98.9 km</t>
  </si>
  <si>
    <t>EUR 301 million</t>
  </si>
  <si>
    <t>PiP-41</t>
  </si>
  <si>
    <t>Energiepark Bad Lauchstädt</t>
  </si>
  <si>
    <t>Uniper, VNG, Ontras</t>
  </si>
  <si>
    <t>DN 500 mm</t>
  </si>
  <si>
    <t>19.4 km</t>
  </si>
  <si>
    <t>EUR 8.7</t>
  </si>
  <si>
    <t>PiP-42</t>
  </si>
  <si>
    <t>RHYn Interco-Phase I</t>
  </si>
  <si>
    <t>terranets, GRTgaz, BadenovaNETZE</t>
  </si>
  <si>
    <t>DN 400 (16 inches) and DN 150 (6 inches) - 20,5 GWh/d</t>
  </si>
  <si>
    <t>Repurposed: 30 km, New: 15 km</t>
  </si>
  <si>
    <t>EUR 88 million (all phases)</t>
  </si>
  <si>
    <t>PiP-43</t>
  </si>
  <si>
    <t>RHYn Interco-Phase II</t>
  </si>
  <si>
    <t>terranets</t>
  </si>
  <si>
    <t>60 km</t>
  </si>
  <si>
    <t>PiP-44</t>
  </si>
  <si>
    <t>Italian H2 Backbone</t>
  </si>
  <si>
    <t>SNAM</t>
  </si>
  <si>
    <t>450 GWh/day 
(import capacity)</t>
  </si>
  <si>
    <t>2890 km
(including branches)</t>
  </si>
  <si>
    <t>EUR 3.7 billion
(including branches)</t>
  </si>
  <si>
    <t>EUR 3.2 billion</t>
  </si>
  <si>
    <t>PiP-45</t>
  </si>
  <si>
    <t>H2 Readiness of the TAG pipeline system</t>
  </si>
  <si>
    <t>TAG GmbH</t>
  </si>
  <si>
    <t>168 GWh/day</t>
  </si>
  <si>
    <t>380 km</t>
  </si>
  <si>
    <t>PiP-46</t>
  </si>
  <si>
    <t>H2 Backbone WAG + Penta-West</t>
  </si>
  <si>
    <t>Gas Connect Austria</t>
  </si>
  <si>
    <t>150 GWh/day</t>
  </si>
  <si>
    <t>340 km (140 km repurposed)</t>
  </si>
  <si>
    <t>PiP-47</t>
  </si>
  <si>
    <t>HyPipe Bavaria - 2027</t>
  </si>
  <si>
    <t>bayernets</t>
  </si>
  <si>
    <t>Repurpsoed: 12.8 km, New: 12 km</t>
  </si>
  <si>
    <t>EUR 44 million</t>
  </si>
  <si>
    <t>PiP-48</t>
  </si>
  <si>
    <t>HyPipe Bavaria -2030</t>
  </si>
  <si>
    <t>DN 400-700 mm</t>
  </si>
  <si>
    <t>Repurposed: 184,9 km, New: 2 km</t>
  </si>
  <si>
    <t>EUR 93 million</t>
  </si>
  <si>
    <t>PiP-49</t>
  </si>
  <si>
    <t>HyPipe Bavaria - 2032</t>
  </si>
  <si>
    <t>DN 800-900 mm</t>
  </si>
  <si>
    <t>Repurposed: 89,2 km, New: 48 km</t>
  </si>
  <si>
    <t>EUR 211 million</t>
  </si>
  <si>
    <t>PiP-50</t>
  </si>
  <si>
    <t>Baltic Sea Hydrogen Collector - Swedish section</t>
  </si>
  <si>
    <t>Gasgrid Finland Oy, Nordion Energi AB, OX2, Copenhagen Infrastructure Partners</t>
  </si>
  <si>
    <t>2.7 Mt/year/pipeline (2 pipelines considred)</t>
  </si>
  <si>
    <t>168 km</t>
  </si>
  <si>
    <t>PiP-51</t>
  </si>
  <si>
    <t>Baltic Sea Hydrogen Collector - Finnish section</t>
  </si>
  <si>
    <t>80 km</t>
  </si>
  <si>
    <t>PiP-52</t>
  </si>
  <si>
    <t>Baltic Sea Hydrogen Collector - to Germany</t>
  </si>
  <si>
    <t>855 km</t>
  </si>
  <si>
    <t>PiP-53</t>
  </si>
  <si>
    <t>Nordic Hydrogen route - Finnish section</t>
  </si>
  <si>
    <t>Gasgrid Finland Oy</t>
  </si>
  <si>
    <t>65 TWh/year</t>
  </si>
  <si>
    <t>495 km</t>
  </si>
  <si>
    <t>PiP-54</t>
  </si>
  <si>
    <t>Nordic Hydrogen route - Swedish section</t>
  </si>
  <si>
    <t>Nordion Energi AB</t>
  </si>
  <si>
    <t>526 km</t>
  </si>
  <si>
    <t>PiP-55</t>
  </si>
  <si>
    <t>Nordic-Baltic Hydrogen corridor - Finnish section</t>
  </si>
  <si>
    <t>Gasgrid Finlad Oy</t>
  </si>
  <si>
    <t>1.85 Mt/year</t>
  </si>
  <si>
    <t>730 km</t>
  </si>
  <si>
    <t>PiP-56</t>
  </si>
  <si>
    <t>Nordic-Baltic Hydrogen corridor - Offshore interconnector FIN-EST</t>
  </si>
  <si>
    <t>Gasgrid Finlad Oy, Elering</t>
  </si>
  <si>
    <t>40 km</t>
  </si>
  <si>
    <t>PiP-57</t>
  </si>
  <si>
    <t>Nordic-Baltic Hydrogen corridor - Estonian section</t>
  </si>
  <si>
    <t>Elering</t>
  </si>
  <si>
    <t>290 km</t>
  </si>
  <si>
    <t>PiP-58</t>
  </si>
  <si>
    <t>Nordic-Baltic Hydrogen corridor - Latvian section</t>
  </si>
  <si>
    <t>Conexus Baltic Grid</t>
  </si>
  <si>
    <t>288 km</t>
  </si>
  <si>
    <t>PiP-59</t>
  </si>
  <si>
    <t>Nordic-Baltic Hydrogen corridor - Lithuanian section</t>
  </si>
  <si>
    <t>Amber Grid</t>
  </si>
  <si>
    <t>2.7 Mt/year</t>
  </si>
  <si>
    <t>346 km</t>
  </si>
  <si>
    <t>PiP-60</t>
  </si>
  <si>
    <t>Nordic-Baltic Hydrogen corridor - Polish section</t>
  </si>
  <si>
    <t>GAZ-SYSTEM</t>
  </si>
  <si>
    <t>720 km</t>
  </si>
  <si>
    <t>PiP-61</t>
  </si>
  <si>
    <t>Nordic-Baltic Hydrogen corridor - German section</t>
  </si>
  <si>
    <t>Ontras</t>
  </si>
  <si>
    <t>10 km</t>
  </si>
  <si>
    <t>PiP-62</t>
  </si>
  <si>
    <t>Hamburg Hydrogen Industrial Network (HH-WIN) Phase 1 IPCEI</t>
  </si>
  <si>
    <t>Gasnetz Hamburg</t>
  </si>
  <si>
    <t>New pipelines 3.5 GW</t>
  </si>
  <si>
    <t>PiP-63</t>
  </si>
  <si>
    <t>Hamburg Hydrogen Industrial Network (HH-WIN) Phase 1</t>
  </si>
  <si>
    <t>20 km</t>
  </si>
  <si>
    <t>PiP-64</t>
  </si>
  <si>
    <t>Hamburg Hydrogen Industrial Network (HH-WIN) Phase 2</t>
  </si>
  <si>
    <t>PiP-65</t>
  </si>
  <si>
    <t>AquaDuctus-AquaPrimus</t>
  </si>
  <si>
    <t>RWE, Shell, Siemens Gamesa, Siemens Energy</t>
  </si>
  <si>
    <t>2500 tH/year
2x14MW offshore wind turbine
offshore electrolysers</t>
  </si>
  <si>
    <t>20 km (approx.)</t>
  </si>
  <si>
    <t>PiP-66</t>
  </si>
  <si>
    <t>AquaDuctus-H2ercules</t>
  </si>
  <si>
    <t>Gasunie, Equinor, RWE, Shell</t>
  </si>
  <si>
    <t>25 kt/year H2
290 MW electrolyser</t>
  </si>
  <si>
    <t>78 km (some part will also be onshore). IPCEI: 100 km onshore and 200 km offshore</t>
  </si>
  <si>
    <t>EUR 450 million</t>
  </si>
  <si>
    <t>PiP-67</t>
  </si>
  <si>
    <t>AquaDuctus</t>
  </si>
  <si>
    <t>GASCADE, Fluxys</t>
  </si>
  <si>
    <t>PiP-68</t>
  </si>
  <si>
    <t>AquaDuctus-Prolongation</t>
  </si>
  <si>
    <t>PiP-69</t>
  </si>
  <si>
    <t>Danish-German Hydrogen network</t>
  </si>
  <si>
    <t>Energinet, Gasunie</t>
  </si>
  <si>
    <t>Repurposed DK: 30"
Repurposed DEU: 36" and 24"
New: 36"</t>
  </si>
  <si>
    <t>340-440 km</t>
  </si>
  <si>
    <t>80 bar</t>
  </si>
  <si>
    <t>PiP-70</t>
  </si>
  <si>
    <t xml:space="preserve">Moolawatana Renewable Hydrogen Project </t>
  </si>
  <si>
    <t>Kallis Energy Investments</t>
  </si>
  <si>
    <t>3 GW wind
3 GW solar</t>
  </si>
  <si>
    <t>500 km</t>
  </si>
  <si>
    <t>PiP-71</t>
  </si>
  <si>
    <t>Hydrogen City - South Texas</t>
  </si>
  <si>
    <t>Green Hydrogen International, Energy Estate</t>
  </si>
  <si>
    <t>2 GW by 2026,
60 GW (2.5 Mt H2) in the future</t>
  </si>
  <si>
    <t>Piedras Pintas-Brownsville: 250 km
Piedras Pintas-Corphus Christ: 120 km</t>
  </si>
  <si>
    <t>PiP-72</t>
  </si>
  <si>
    <t>H2 Link Teeside-Humberside (Project Union)</t>
  </si>
  <si>
    <t>National Grid</t>
  </si>
  <si>
    <t>100 km</t>
  </si>
  <si>
    <t>PiP-73</t>
  </si>
  <si>
    <t>UK's Project Union</t>
  </si>
  <si>
    <t>2000 km</t>
  </si>
  <si>
    <t>GBR 1 bill</t>
  </si>
  <si>
    <t>PiP-74</t>
  </si>
  <si>
    <t>HyEx-Phase 2</t>
  </si>
  <si>
    <t>Engie, Enaex</t>
  </si>
  <si>
    <t>130 kt H2, 2 GW electrolyser</t>
  </si>
  <si>
    <t>PiP-75</t>
  </si>
  <si>
    <t>SK H2 network</t>
  </si>
  <si>
    <t>Linde, Hyosung Corporation</t>
  </si>
  <si>
    <t>30 t/day</t>
  </si>
  <si>
    <t>Liquid H2</t>
  </si>
  <si>
    <t>PiP-76</t>
  </si>
  <si>
    <t>BrintØ</t>
  </si>
  <si>
    <t>CIP</t>
  </si>
  <si>
    <t>1 Mt H2</t>
  </si>
  <si>
    <t>275 km</t>
  </si>
  <si>
    <t>PiP-77</t>
  </si>
  <si>
    <t>North Sea H2 Cooperation/EHB - NLD</t>
  </si>
  <si>
    <t>Minister for Climate and Energy Policy of the Netherlands</t>
  </si>
  <si>
    <t>Large</t>
  </si>
  <si>
    <t>70 km</t>
  </si>
  <si>
    <t>PiP-78</t>
  </si>
  <si>
    <t>North Sea H2 Cooperation - NLD-BEL</t>
  </si>
  <si>
    <t>Minister for Climate and Energy Policy of the Netherlands, Minister for Energy of Belgium</t>
  </si>
  <si>
    <t>260 km</t>
  </si>
  <si>
    <t>PiP-79</t>
  </si>
  <si>
    <t>UKOG's Portland Energy-Hub</t>
  </si>
  <si>
    <t>UK Energy Storage - UK Oil &amp; Gas (UKOG), Portland Port Limited</t>
  </si>
  <si>
    <t>New H2-ready</t>
  </si>
  <si>
    <t>28 million m3/day</t>
  </si>
  <si>
    <t>30 km</t>
  </si>
  <si>
    <t>PiP-80</t>
  </si>
  <si>
    <t>MosaHYc (Moselle Sarre HYdrogène Conversion) - German side</t>
  </si>
  <si>
    <t>GRTgaz SA, Creos Deutschland GmbH, Encevo</t>
  </si>
  <si>
    <t>0.2 Mt/year by 2030</t>
  </si>
  <si>
    <t>Repurposed 26 km, New+16 km</t>
  </si>
  <si>
    <t>EUR 108 million (all phases)</t>
  </si>
  <si>
    <t>PiP-81</t>
  </si>
  <si>
    <t>Belgium hydrogen backbone - Phase 1, connection Netherlands</t>
  </si>
  <si>
    <t>Fluxys</t>
  </si>
  <si>
    <t>FEED</t>
  </si>
  <si>
    <t>0.33 Mt/year</t>
  </si>
  <si>
    <t>Entry: 66 bar, Exit: 20 bar</t>
  </si>
  <si>
    <t>PiP-82</t>
  </si>
  <si>
    <t>Belgium hydrogen backbone - Phase 2, connection Germany</t>
  </si>
  <si>
    <t>0.85  Mt/year</t>
  </si>
  <si>
    <t>PiP-83</t>
  </si>
  <si>
    <t>Belgium hydrogen backbone - Phase 3, connection Zeebrugge</t>
  </si>
  <si>
    <t>0.44 Mt/year</t>
  </si>
  <si>
    <t>PiP-84</t>
  </si>
  <si>
    <t>Belgium hydrogen backbone - Phase 3, connection France (Alveringem)</t>
  </si>
  <si>
    <t>PiP-85</t>
  </si>
  <si>
    <t>Belgium hydrogen backbone - Phase 3, connnection France (Mons-Valenciennes)</t>
  </si>
  <si>
    <t>0.22  Mt/year</t>
  </si>
  <si>
    <t>PiP-86</t>
  </si>
  <si>
    <t>Belgium hydrogen backbone - Phase 3, connection France (Blaregnies)</t>
  </si>
  <si>
    <t>0.33  Mt/year</t>
  </si>
  <si>
    <t>PiP-87</t>
  </si>
  <si>
    <t>H2 transmission system in Bulgaria</t>
  </si>
  <si>
    <t>Bulgartransgaz EAD (interconnected TSO: DESFA S.A.)</t>
  </si>
  <si>
    <t>1000 mm</t>
  </si>
  <si>
    <t>250 km</t>
  </si>
  <si>
    <t>860 M €</t>
  </si>
  <si>
    <t>PiP-88</t>
  </si>
  <si>
    <t>Dedicated H2 pipeline in Greece</t>
  </si>
  <si>
    <t>DESFA S.A.  (interconnected TSO: Bulgartransgaz)</t>
  </si>
  <si>
    <t>915 mm</t>
  </si>
  <si>
    <t>540 km</t>
  </si>
  <si>
    <t>1000 M €</t>
  </si>
  <si>
    <t>PiP-89</t>
  </si>
  <si>
    <t>East-West Hydrogen Pipeline</t>
  </si>
  <si>
    <t>100 ktpa H2, further increase to 500 ktpa H2</t>
  </si>
  <si>
    <t>400 km</t>
  </si>
  <si>
    <t>PiP-90</t>
  </si>
  <si>
    <t xml:space="preserve">East Kimberley Clean Energy Project </t>
  </si>
  <si>
    <t>MG Corporation, Balanggarra Aboriginal Corporation, Kimberley Land Council, Pollination</t>
  </si>
  <si>
    <t>50 ktpa and 25000 t/y</t>
  </si>
  <si>
    <t xml:space="preserve">as reported by price reporting agency Argus Media: Link </t>
  </si>
  <si>
    <t>PiP-91</t>
  </si>
  <si>
    <t>HyNet North West</t>
  </si>
  <si>
    <t>ENI, Liverpool Bay CCS Ltd., Cadent , CF Fertilisers, Essar, Hanson, INOVYN, University of Chester</t>
  </si>
  <si>
    <t>PiP-92</t>
  </si>
  <si>
    <t>Inverness hydrogen hub</t>
  </si>
  <si>
    <t>H2 Green (Getech), SGN</t>
  </si>
  <si>
    <t>8 t H2/day</t>
  </si>
  <si>
    <t>PiP-93</t>
  </si>
  <si>
    <t>Shoreham Port Green H2 Hub</t>
  </si>
  <si>
    <t>H2 Green (Getech), Shoreham Port</t>
  </si>
  <si>
    <t>PiP-94</t>
  </si>
  <si>
    <t xml:space="preserve">OGE H2ercules Central </t>
  </si>
  <si>
    <t>OGE, tg</t>
  </si>
  <si>
    <t>DN 250-1.200 mm</t>
  </si>
  <si>
    <t>1386 km</t>
  </si>
  <si>
    <t>EUR 2.160,2 million</t>
  </si>
  <si>
    <t>LInk</t>
  </si>
  <si>
    <t>PiP-95</t>
  </si>
  <si>
    <t>H2ercules Network North</t>
  </si>
  <si>
    <t>OGE</t>
  </si>
  <si>
    <t>DN 800-1.400 mm</t>
  </si>
  <si>
    <t>424 km</t>
  </si>
  <si>
    <t>EUR 1.701,4 million</t>
  </si>
  <si>
    <t>PiP-96</t>
  </si>
  <si>
    <t>H2ercules Network West</t>
  </si>
  <si>
    <t>DN 1.000 mm</t>
  </si>
  <si>
    <t>EUR 101,4 million</t>
  </si>
  <si>
    <t>PiP-97</t>
  </si>
  <si>
    <t>H2ercules Network North-West</t>
  </si>
  <si>
    <t>DN 600-1.000 mm</t>
  </si>
  <si>
    <t>87 km</t>
  </si>
  <si>
    <t>EUR 127,3 million</t>
  </si>
  <si>
    <t>PiP-98</t>
  </si>
  <si>
    <t>Delta Rhine Corridor H2 Germany</t>
  </si>
  <si>
    <t>DN 900 mm</t>
  </si>
  <si>
    <t>148 km</t>
  </si>
  <si>
    <t>EUR 222,2 million</t>
  </si>
  <si>
    <t>PiP-99</t>
  </si>
  <si>
    <t>H2ercules Network South-East</t>
  </si>
  <si>
    <t>OGE, GRTD</t>
  </si>
  <si>
    <t>DN 1.000-1.100 mm</t>
  </si>
  <si>
    <t>131 km</t>
  </si>
  <si>
    <t>EUR 385,3 million</t>
  </si>
  <si>
    <t>PiP-100</t>
  </si>
  <si>
    <t>H2ercules Network South-West</t>
  </si>
  <si>
    <t>DN 500-1100 mm</t>
  </si>
  <si>
    <t>223 km</t>
  </si>
  <si>
    <t>EUR 183,7 million</t>
  </si>
  <si>
    <t>PiP-101</t>
  </si>
  <si>
    <t>Green Octopus</t>
  </si>
  <si>
    <t>WaterstofNet, Gasunie, Fluxys, Port of Rotterdam, Port of Antwerp, Port of Zeebrugge, North Sea Port, Engie, Colruyt Group, VDL, Salzgitter, Bosch, EKPO, OGE, Bosch, ArcelorMittal, Encevo, GRTgaz,HyNorth,Ineos</t>
  </si>
  <si>
    <t>PiP-102</t>
  </si>
  <si>
    <t>Hunter H2 Valley PROSPER</t>
  </si>
  <si>
    <t>H2N, Energy Estate</t>
  </si>
  <si>
    <t>Muswellbrook-Newcastle: 120 km
Kurri Kurri-Williamtown: 45 km
Potential New England RE Zone (Armidale)-Muswellbrook: 206 km
PotentialCentral-West Orana REZ (Mendooran)-Muswellbrook: 200 km</t>
  </si>
  <si>
    <t>PiP-103</t>
  </si>
  <si>
    <t>Belgian-Dutch H2 Network at North Sea Port</t>
  </si>
  <si>
    <t>PiP-104</t>
  </si>
  <si>
    <t>Germany-Norway cooperation on H2</t>
  </si>
  <si>
    <t>Governments</t>
  </si>
  <si>
    <t>&gt;1300 km</t>
  </si>
  <si>
    <t>PiP-105</t>
  </si>
  <si>
    <t xml:space="preserve">APA's Parmelia gas pipeline - conversion </t>
  </si>
  <si>
    <t>APA group</t>
  </si>
  <si>
    <t>43 km</t>
  </si>
  <si>
    <t>AUS 300 000</t>
  </si>
  <si>
    <t>PiP-106</t>
  </si>
  <si>
    <t>HyPerLink 1&amp;2</t>
  </si>
  <si>
    <t>4.1 GW</t>
  </si>
  <si>
    <t>Repurposed: 283 km, New: 45.6 km</t>
  </si>
  <si>
    <t>EUR 318 million</t>
  </si>
  <si>
    <t>PiP-107</t>
  </si>
  <si>
    <t>HyPerLink 3</t>
  </si>
  <si>
    <t>2.5-8.6 GW</t>
  </si>
  <si>
    <t>Repurposed: 175 km, New: 15 km</t>
  </si>
  <si>
    <t>EUR 146 million</t>
  </si>
  <si>
    <t>PiP-108</t>
  </si>
  <si>
    <t>HyPerLink 4</t>
  </si>
  <si>
    <t>3.8-10.8 GW</t>
  </si>
  <si>
    <t>77.4 km</t>
  </si>
  <si>
    <t>EUR 323 million</t>
  </si>
  <si>
    <t>PiP-109</t>
  </si>
  <si>
    <t>HyPerLink 5</t>
  </si>
  <si>
    <t>Gasunie, Thyssengas</t>
  </si>
  <si>
    <t>174.4 km</t>
  </si>
  <si>
    <t>EUR 729 million</t>
  </si>
  <si>
    <t>PiP-110</t>
  </si>
  <si>
    <t>Delta Rhine Corridor H2 Netherlands</t>
  </si>
  <si>
    <t>Gasunie, OGE, BASF, SHELL</t>
  </si>
  <si>
    <t>2.18 mtpa</t>
  </si>
  <si>
    <t>NL: Approx 250 km</t>
  </si>
  <si>
    <t>PiP-111</t>
  </si>
  <si>
    <t>Croatia-Slovenia-Austria H2 Corridor - Phase 1</t>
  </si>
  <si>
    <t>Plinovodi d.o.o.</t>
  </si>
  <si>
    <t>58 km</t>
  </si>
  <si>
    <t>PiP-112</t>
  </si>
  <si>
    <t>Croatia-Slovenia-Austria H2 Corridor - Phase 2</t>
  </si>
  <si>
    <t>PiP-113</t>
  </si>
  <si>
    <t>Italy-Slovenia-Hungary H2 Corridor - Phase 1</t>
  </si>
  <si>
    <t>129 km</t>
  </si>
  <si>
    <t>PiP-114</t>
  </si>
  <si>
    <t>Italy-Slovenia-Hungary H2 Corridor - Phase 2</t>
  </si>
  <si>
    <t>176 km</t>
  </si>
  <si>
    <t>PiP-115</t>
  </si>
  <si>
    <t>Czech Hydrogen Backbone South</t>
  </si>
  <si>
    <t xml:space="preserve">NET4GAS </t>
  </si>
  <si>
    <t xml:space="preserve"> 144 GWh/day</t>
  </si>
  <si>
    <t>403 km</t>
  </si>
  <si>
    <t>below 0.3 MEUR/km</t>
  </si>
  <si>
    <t>PiP-116</t>
  </si>
  <si>
    <t>Czech Hydrogen Backbone West (project is part of the Czech-German Hydrogen Interconnector, Central European Hydrogen Corridor, SunsHyne Corridor and South-East European Hydrogen Corridor initiatives)</t>
  </si>
  <si>
    <t>NET4GAS 
[all partners of the Czech German Hydrogen Interconnector initiative: NET4GAS (CZ), GASCADE Gastransport (DE), Open Grid Europe (DE)]
[all partners of the Central European Hydrogen Corridor initiative: NET4GAS (CZ), Open Grid Europe (DE), eustream (SK), Gas Transmission System Operator of Ukraine (UA)]
[all partners of the SunsHyne Corridor initiative: NET4GAS (CZ), SNAM (IT), Trans Austria Gasleitung (AT), eustream (SK), Open Grid Europe (DE)]
[all partners of the South-East European Hydrogen Corridor (SEEHyC) initiative: NET4GAS (CZ), DESFA (GR), Bulgartransgaz (BG), Transgaz (RO), FGSZ (HU), eustream (SK), Open Grid Europe (DE)]</t>
  </si>
  <si>
    <t>144 GWh/day</t>
  </si>
  <si>
    <t xml:space="preserve">163 km </t>
  </si>
  <si>
    <t>PiP-117</t>
  </si>
  <si>
    <t>Czech Hydrogen Backbone North (project is part of the Central European Hydrogen Corridor, SunsHyne Corridor and South-East European Hydrogen Corridor initiatives)</t>
  </si>
  <si>
    <t>NET4GAS
[all partners of the Central European Hydrogen Corridor initiative: NET4GAS (CZ), Open Grid Europe (DE), eustream (SK), Gas Transmission System Operator of Ukraine (UA)]
[all partners of the SunsHyne Corridor initiative: NET4GAS (CZ), SNAM (IT), Trans Austria Gasleitung (AT), eustream (SK), Open Grid Europe (DE)]
[all partners of the South-East European Hydrogen Corridor (SEEHyC) initiative: NET4GAS (CZ), DESFA (GR), Bulgartransgaz (BG), Transgaz (RO), FGSZ (HU), eustream (SK), Open Grid Europe (DE)]</t>
  </si>
  <si>
    <t>381 km</t>
  </si>
  <si>
    <t>PiP-118</t>
  </si>
  <si>
    <t>Spanish Hydrogen Network: Export by Irún</t>
  </si>
  <si>
    <t>82 km (Spain)</t>
  </si>
  <si>
    <t>PiP-119</t>
  </si>
  <si>
    <t>Spanish Hydrogen Network: Export by Larrau</t>
  </si>
  <si>
    <t>146 km (Spain)</t>
  </si>
  <si>
    <t>PiP-120</t>
  </si>
  <si>
    <t>Spanish Hydrogen Network: Central Axis (Huelva-Córdoba-Madrid-Navarra)</t>
  </si>
  <si>
    <t>931 km</t>
  </si>
  <si>
    <t>PiP-121</t>
  </si>
  <si>
    <t>Spanish Hydrogen Network: Tarifa-Córdoba and Alcázar San Juan-Montesa axis</t>
  </si>
  <si>
    <t>PiP-122</t>
  </si>
  <si>
    <t>RES/Alby-Sundsvall</t>
  </si>
  <si>
    <t>Medium</t>
  </si>
  <si>
    <t>120 km</t>
  </si>
  <si>
    <t>PiP-123</t>
  </si>
  <si>
    <t>West Coast SE</t>
  </si>
  <si>
    <t>PiP-124</t>
  </si>
  <si>
    <t>RHYn - First Phase</t>
  </si>
  <si>
    <t>DN 150-400mm, 0.1 Mt/year</t>
  </si>
  <si>
    <t>76 km</t>
  </si>
  <si>
    <t>30-67.7 bar</t>
  </si>
  <si>
    <t>PiP-125</t>
  </si>
  <si>
    <t>RHYn - Switzerland connection</t>
  </si>
  <si>
    <t>PiP-126</t>
  </si>
  <si>
    <t>RHYn - Germany connection</t>
  </si>
  <si>
    <t>5 km</t>
  </si>
  <si>
    <t>PiP-127</t>
  </si>
  <si>
    <t>Franco-Belgian H2 corridor: Port of Dunkirk to Channel ports</t>
  </si>
  <si>
    <t>GRTgaz, Fluxys</t>
  </si>
  <si>
    <t>1 Mt/year</t>
  </si>
  <si>
    <t>PiP-128</t>
  </si>
  <si>
    <t>Franco-Belgian H2 corridor: Valenciennes to Marchipont</t>
  </si>
  <si>
    <t>PiP-129</t>
  </si>
  <si>
    <t>Franco-Belgian H2 corridor: Taisnieres to Paris</t>
  </si>
  <si>
    <t>200 km</t>
  </si>
  <si>
    <t>PiP-130</t>
  </si>
  <si>
    <t>Franco-Belgian H2 corridor: Taisnieres to Nancy</t>
  </si>
  <si>
    <t>265 km</t>
  </si>
  <si>
    <t>PiP-131</t>
  </si>
  <si>
    <t>MosaHYc (Moselle Sarre HYdrogène Conversion) - French side</t>
  </si>
  <si>
    <t>Repurposed: 49 km, New 3 km</t>
  </si>
  <si>
    <t>EUR 110 million</t>
  </si>
  <si>
    <t>PiP-132</t>
  </si>
  <si>
    <t>The Morocco Offer</t>
  </si>
  <si>
    <t>5600km</t>
  </si>
  <si>
    <t>PiP-133</t>
  </si>
  <si>
    <t>Zhangjiakou Kangbao-Caofeidian pipeline</t>
  </si>
  <si>
    <t>Tangshan Haitai New Energy Technology (THNET), China Petroleum Pipeline Engineering Corporation (CPPEC)</t>
  </si>
  <si>
    <t>700km</t>
  </si>
  <si>
    <t>USD 845 Million</t>
  </si>
  <si>
    <t>PiP-134</t>
  </si>
  <si>
    <t>Singapore - Malaysia H2 pipeline</t>
  </si>
  <si>
    <t>City Energy, Gentari</t>
  </si>
  <si>
    <t>100 km (approx. based on distance)</t>
  </si>
  <si>
    <t>PiP-135</t>
  </si>
  <si>
    <t>Singapore - Indonesia H2 pipeline</t>
  </si>
  <si>
    <t>Sembcorp Utilities, PT PLN</t>
  </si>
  <si>
    <t>100 ktpa H2</t>
  </si>
  <si>
    <t>1000 km (approx. based on distances)</t>
  </si>
  <si>
    <t>PiP-136</t>
  </si>
  <si>
    <t>UK and Germany North Sea Pipeline</t>
  </si>
  <si>
    <t>UK and Germany Government</t>
  </si>
  <si>
    <t>£2.7 billion</t>
  </si>
  <si>
    <t>PiP-137</t>
  </si>
  <si>
    <t>Clean Hydrogen Coastline</t>
  </si>
  <si>
    <t>EWE</t>
  </si>
  <si>
    <t>DN 200 &amp; 400</t>
  </si>
  <si>
    <t>Repurposed: 31.9, New: 28.5</t>
  </si>
  <si>
    <t>EUR 70 million</t>
  </si>
  <si>
    <t>PiP-138</t>
  </si>
  <si>
    <t>Alpine H2 Corridor</t>
  </si>
  <si>
    <t>FluxSwiss, Transitgas</t>
  </si>
  <si>
    <t>3 - 9 GW</t>
  </si>
  <si>
    <t xml:space="preserve">170 km </t>
  </si>
  <si>
    <t>PiP-139</t>
  </si>
  <si>
    <t>UK-BE H2 Interconnector</t>
  </si>
  <si>
    <t xml:space="preserve">Fluxys, National Gas, Interconnector </t>
  </si>
  <si>
    <t>96 GWh/d</t>
  </si>
  <si>
    <t>231 km</t>
  </si>
  <si>
    <t>EUR 1.5 billion</t>
  </si>
  <si>
    <t>PiP-140</t>
  </si>
  <si>
    <t>Spain-Morocco Link</t>
  </si>
  <si>
    <t>Enagás, Onhym</t>
  </si>
  <si>
    <t>PiP-141</t>
  </si>
  <si>
    <t>H2 transmission system in Bulgaria (Phase 2 of SEE H2 Priority Corridor)</t>
  </si>
  <si>
    <t xml:space="preserve">Bulgartransgaz EAD  (interconnected TSO: Transgaz ) </t>
  </si>
  <si>
    <t>330 km</t>
  </si>
  <si>
    <t>PiP-142</t>
  </si>
  <si>
    <t>Hungary-Slovakia H2 Corridor, HU part</t>
  </si>
  <si>
    <t>FGSZ Ltd., Eustream,    all partners of the South-East European Hydrogen Corridor (SEEHyC) initiative: NET4GAS (CZ), DESFA (GR), Bulgartransgaz (BG), Transgaz (RO), FGSZ (HU), eustream (SK), Open Grid Europe (DE)]</t>
  </si>
  <si>
    <t>100 GWh/day</t>
  </si>
  <si>
    <t xml:space="preserve">164 km </t>
  </si>
  <si>
    <t>PN75</t>
  </si>
  <si>
    <t>DN800 2.2 MEUR/km, DN600 1.87 MEUR/km</t>
  </si>
  <si>
    <t>PiP-143</t>
  </si>
  <si>
    <t>Romania-Hungary H2 Corridor, HU part</t>
  </si>
  <si>
    <t>FGSZ Ltd., Transgaz;     [all partners of the South-East European Hydrogen Corridor (SEEHyC) initiative: NET4GAS (CZ), DESFA (GR), Bulgartransgaz (BG), Transgaz (RO), FGSZ (HU), eustream (SK), Open Grid Europe (DE)]</t>
  </si>
  <si>
    <t>76-100 GWh/day</t>
  </si>
  <si>
    <t xml:space="preserve">203 km </t>
  </si>
  <si>
    <t>DN800 2.2 MEUR/km</t>
  </si>
  <si>
    <t>PiP-144</t>
  </si>
  <si>
    <t>Hungary-Slovenia H2 Corridor, HU part</t>
  </si>
  <si>
    <t>FGSZ Ltd., Plinovodi</t>
  </si>
  <si>
    <t>30 GWh/day</t>
  </si>
  <si>
    <t>DN 600 1.87 MEUR/km</t>
  </si>
  <si>
    <t>PiP-145</t>
  </si>
  <si>
    <t>Ukraine-Hungary H2 Corridor, HU part</t>
  </si>
  <si>
    <t xml:space="preserve">FGSZ Ltd., </t>
  </si>
  <si>
    <t>PN63</t>
  </si>
  <si>
    <t>DN800, DN 600, average 0.5-0.7 MEUR/km</t>
  </si>
  <si>
    <t>PiP-146</t>
  </si>
  <si>
    <t>Slovak Hydrogen backbone</t>
  </si>
  <si>
    <t>eustream</t>
  </si>
  <si>
    <t xml:space="preserve"> 218.4 GWh/day</t>
  </si>
  <si>
    <t>PiP-147</t>
  </si>
  <si>
    <t>SK-HU H2 corridor, SK part</t>
  </si>
  <si>
    <t>100 GWh/d</t>
  </si>
  <si>
    <t>PiP-148</t>
  </si>
  <si>
    <t>Alpine HyWay</t>
  </si>
  <si>
    <t>Fluxys TENP, OGE</t>
  </si>
  <si>
    <t>DN 900/1000</t>
  </si>
  <si>
    <t>272 km</t>
  </si>
  <si>
    <t>PiP-149</t>
  </si>
  <si>
    <t>Celtic hydrogen cluster</t>
  </si>
  <si>
    <t>Gas Networks Ireland</t>
  </si>
  <si>
    <t>15 km</t>
  </si>
  <si>
    <t>40 m</t>
  </si>
  <si>
    <t>PiP-150</t>
  </si>
  <si>
    <t>H2 Valley Puglia (IPCEI Hy2Infra IT21)</t>
  </si>
  <si>
    <t>120000 Nmc/h</t>
  </si>
  <si>
    <t>109 km
(~80% repurposed)</t>
  </si>
  <si>
    <t>PiP-151</t>
  </si>
  <si>
    <t>Scottish-Irish backbone link</t>
  </si>
  <si>
    <t>Miniypepesonlosmejoresgatitos1</t>
  </si>
  <si>
    <t>HYDROGEN BLENDING DATABASE</t>
  </si>
  <si>
    <t>Hydrogen Blending (vol.)</t>
  </si>
  <si>
    <r>
      <rPr>
        <rFont val="Corbel"/>
        <b/>
        <color theme="0"/>
        <sz val="9.0"/>
      </rPr>
      <t>Geographical details</t>
    </r>
    <r>
      <rPr>
        <rFont val="Corbel"/>
        <color theme="0"/>
        <sz val="11.0"/>
      </rPr>
      <t xml:space="preserve">
Decimal Degrees
(Lat. N is positive, Long. E is positive)</t>
    </r>
  </si>
  <si>
    <r>
      <rPr>
        <rFont val="Corbel"/>
        <color theme="0"/>
        <sz val="11.0"/>
      </rPr>
      <t>kt H</t>
    </r>
    <r>
      <rPr>
        <rFont val="Corbel"/>
        <color theme="0"/>
        <sz val="11.0"/>
        <vertAlign val="subscript"/>
      </rPr>
      <t>2</t>
    </r>
  </si>
  <si>
    <t>H2_blend</t>
  </si>
  <si>
    <t>BLE-1</t>
  </si>
  <si>
    <t>HyPSA-Hydrogen Park South Australia</t>
  </si>
  <si>
    <t>Australian Gas Networks</t>
  </si>
  <si>
    <t>1.25 MW electrolyser,700 customers by pipeline + other uses by truck</t>
  </si>
  <si>
    <t>Tonsley Innovation District</t>
  </si>
  <si>
    <t>BLE-2</t>
  </si>
  <si>
    <t>Western Sydney Green Gas</t>
  </si>
  <si>
    <t>Jemena</t>
  </si>
  <si>
    <t>23500 residential, 100 commercial and 7 industrial customers</t>
  </si>
  <si>
    <t>Sidney</t>
  </si>
  <si>
    <t>BLE-3</t>
  </si>
  <si>
    <t>Hydrogen park Gladstone</t>
  </si>
  <si>
    <t>2.75 kg H2/hour, 770 homes</t>
  </si>
  <si>
    <t>Gladstone</t>
  </si>
  <si>
    <t>BLE-4</t>
  </si>
  <si>
    <t>Community Blending Project  - Western Australia</t>
  </si>
  <si>
    <t>ATCO</t>
  </si>
  <si>
    <t>2-5% (10% by 2030)</t>
  </si>
  <si>
    <t>2700 connections, 175kw</t>
  </si>
  <si>
    <t>Cokburn</t>
  </si>
  <si>
    <t>BLE-5</t>
  </si>
  <si>
    <t>Clean Energy Innovation Park</t>
  </si>
  <si>
    <t>ATCO Australia, Australian Gas Infrastructure Group (AGIG)</t>
  </si>
  <si>
    <t>175 TJ</t>
  </si>
  <si>
    <t>Dampier Pipeline</t>
  </si>
  <si>
    <t>BLE-6</t>
  </si>
  <si>
    <t>Hydrogen park Murray Valley</t>
  </si>
  <si>
    <t>Australian Gas Networks, Engie</t>
  </si>
  <si>
    <t>177 kg H2/h</t>
  </si>
  <si>
    <t>AUS 65.46 million</t>
  </si>
  <si>
    <t>Albury Wodonga Gas Distribution Network</t>
  </si>
  <si>
    <t>BLE-7</t>
  </si>
  <si>
    <t>Fort Saskatchewan hydrogen blending project</t>
  </si>
  <si>
    <t>2100 customers</t>
  </si>
  <si>
    <t xml:space="preserve">Fort Saskatchewan </t>
  </si>
  <si>
    <t>BLE-8</t>
  </si>
  <si>
    <t>Hydrogen-blending pilot in Markham</t>
  </si>
  <si>
    <t>Enbridge Gas, Cummins</t>
  </si>
  <si>
    <t>3600 consumers</t>
  </si>
  <si>
    <t>CAD 5.2 million</t>
  </si>
  <si>
    <t>Markham</t>
  </si>
  <si>
    <t>BLE-9</t>
  </si>
  <si>
    <t>Gasvalpo Energas Coquimbo</t>
  </si>
  <si>
    <t>Gasvalpo</t>
  </si>
  <si>
    <t>5-20%</t>
  </si>
  <si>
    <t>&gt;2000 homes</t>
  </si>
  <si>
    <t>Coquimbo</t>
  </si>
  <si>
    <t>BLE-10</t>
  </si>
  <si>
    <t>Promigas, Surtigas-Heroica</t>
  </si>
  <si>
    <t>Promigas, Surtigas</t>
  </si>
  <si>
    <t>1.6 t H2/year (15 t H2/year in next pilot phase)</t>
  </si>
  <si>
    <t>Cartagena</t>
  </si>
  <si>
    <t>BLE-11</t>
  </si>
  <si>
    <t>ITM Power Thüga Plant</t>
  </si>
  <si>
    <t>ITM</t>
  </si>
  <si>
    <t>325 kW electrolyser</t>
  </si>
  <si>
    <t>BLE-12</t>
  </si>
  <si>
    <t>WindGas Haßfurt</t>
  </si>
  <si>
    <t>4-5%</t>
  </si>
  <si>
    <t>14000 customers</t>
  </si>
  <si>
    <t>BLE-13</t>
  </si>
  <si>
    <t>Freiburg Municipal Energy Network</t>
  </si>
  <si>
    <t>200 kW electrolyser</t>
  </si>
  <si>
    <t>Freiburg</t>
  </si>
  <si>
    <t>BLE-14</t>
  </si>
  <si>
    <t>Wind2Gas Energy</t>
  </si>
  <si>
    <t>2.4 MW electrolyser</t>
  </si>
  <si>
    <t>Brunsbüttel</t>
  </si>
  <si>
    <t>BLE-15</t>
  </si>
  <si>
    <t>Green Hysland</t>
  </si>
  <si>
    <t>Redexis, Enagás</t>
  </si>
  <si>
    <t>2.5 MW electrolyser</t>
  </si>
  <si>
    <t>3.2 km dedicated hydrogen pipeline and a mixer. 1400 km natural gas network</t>
  </si>
  <si>
    <t>Mallorca</t>
  </si>
  <si>
    <t>BLE-16</t>
  </si>
  <si>
    <t>Jupiter 100</t>
  </si>
  <si>
    <t>GRTgaz, CEA, Atmostat, RTE, Ter'ega, McPhy, Lerous&amp;Lotz</t>
  </si>
  <si>
    <t>1-2%</t>
  </si>
  <si>
    <t>200 m3/h</t>
  </si>
  <si>
    <t>BLE-17</t>
  </si>
  <si>
    <t>Ofgem, Cadent, Northern Gas Networks, Progressive Energy</t>
  </si>
  <si>
    <t>130 homes</t>
  </si>
  <si>
    <t>Keele University</t>
  </si>
  <si>
    <t>BLE-18</t>
  </si>
  <si>
    <t>HyDeploy2</t>
  </si>
  <si>
    <t>688 homes, a church, primary school and several small businesses</t>
  </si>
  <si>
    <t>GBR 14.9 mill</t>
  </si>
  <si>
    <t>Winlaton</t>
  </si>
  <si>
    <t>BLE-19</t>
  </si>
  <si>
    <t>HyNet-Blending</t>
  </si>
  <si>
    <t>ENI, Liverpool Bay CCS Ltd., Cadent Gas, CF Fertilisers, Essar, Hanson, INOVYN, University of Chester</t>
  </si>
  <si>
    <t>2000 homes</t>
  </si>
  <si>
    <t>Redcar</t>
  </si>
  <si>
    <t>BLE-20</t>
  </si>
  <si>
    <t>White Dragon</t>
  </si>
  <si>
    <t>Region of Western Macedonia, Cluster of Bioeconomy and Environment of Western Macedonia, Depa Commercial, Damco Energy, PPV Greece, Desfa (Hellenic Gas Transmission System Operator), Hellenic Petroleum, Motor Oil, Corinth Pipeworks, TAP, Terna Energy</t>
  </si>
  <si>
    <t>250kt H2/year produced
179-192 kt H2/year blended to the grid</t>
  </si>
  <si>
    <t>West Macedonia</t>
  </si>
  <si>
    <t>BLE-21</t>
  </si>
  <si>
    <t>Hydrogen Blending in Indore</t>
  </si>
  <si>
    <t>GAIL, HPCL--Avantika Gas Limited</t>
  </si>
  <si>
    <t>Indore, Madhya Pradesh</t>
  </si>
  <si>
    <t>BLE-22</t>
  </si>
  <si>
    <t>NTPC-GGL in Surat</t>
  </si>
  <si>
    <t>NTPC, Gujarat Gas</t>
  </si>
  <si>
    <t>5% v. (scaled to 20% in future)</t>
  </si>
  <si>
    <t>200 customers</t>
  </si>
  <si>
    <t xml:space="preserve"> Kawas township at Adityanagar, Surat</t>
  </si>
  <si>
    <t>BLE-23</t>
  </si>
  <si>
    <t>Floene Seixal</t>
  </si>
  <si>
    <t>Floene, Seixal City Council, Bosch, Catim, Gestene, ISQ, PRF, the Higher Technical Institute and Portuguese Association for the Promotion of Hydrogen - HP2H</t>
  </si>
  <si>
    <t>82 customers</t>
  </si>
  <si>
    <t>Seixal</t>
  </si>
  <si>
    <t>BLE-24</t>
  </si>
  <si>
    <t>20HyGrid</t>
  </si>
  <si>
    <t>Delgaz Grid (E.ON Romania group)</t>
  </si>
  <si>
    <t>75 customers</t>
  </si>
  <si>
    <t>Dârlos</t>
  </si>
  <si>
    <t>BLE-25</t>
  </si>
  <si>
    <t>CenterPoint Energy</t>
  </si>
  <si>
    <t>432 kg H2/day</t>
  </si>
  <si>
    <t>Minneapolis</t>
  </si>
  <si>
    <t>BLE-26</t>
  </si>
  <si>
    <t>Therm H2</t>
  </si>
  <si>
    <t>Dominion Energy</t>
  </si>
  <si>
    <t>Salt Lake City</t>
  </si>
  <si>
    <t>BLE-27</t>
  </si>
  <si>
    <t>Blending in New Jersey</t>
  </si>
  <si>
    <t>New Jersey Resources Corp.</t>
  </si>
  <si>
    <t>65 kg H2/day</t>
  </si>
  <si>
    <t>Howell, N.J.</t>
  </si>
  <si>
    <t>BLE-28</t>
  </si>
  <si>
    <t>HyGrid - Long Island</t>
  </si>
  <si>
    <t>National Grid, Town of Hempstead</t>
  </si>
  <si>
    <t>800 homes</t>
  </si>
  <si>
    <t>Hempstead</t>
  </si>
  <si>
    <t>BLE-29</t>
  </si>
  <si>
    <t>Dominion Energy Utah</t>
  </si>
  <si>
    <t>1800 customers</t>
  </si>
  <si>
    <t>UDS 2 Billion</t>
  </si>
  <si>
    <t>Utah</t>
  </si>
  <si>
    <t>BLE-30</t>
  </si>
  <si>
    <t>Gastonia Hydrogen Blending project</t>
  </si>
  <si>
    <t>Gastonia, North Carolina</t>
  </si>
  <si>
    <t>BLE-31</t>
  </si>
  <si>
    <t>Blending in Eugene</t>
  </si>
  <si>
    <t>Northwest Natural Holding, Eugen Water &amp; Electric Board, Bonneville Environmental Foundation</t>
  </si>
  <si>
    <t>5-10%</t>
  </si>
  <si>
    <t>2300 residential, 160 commercial and 6 industrial customers</t>
  </si>
  <si>
    <t>Eugene, Ore.</t>
  </si>
  <si>
    <t>BLE-34</t>
  </si>
  <si>
    <t>Green H2 Blending pilot at Ahmedabad</t>
  </si>
  <si>
    <t>Adani, Total Energies</t>
  </si>
  <si>
    <t>4000 customers (residential and commercial)</t>
  </si>
  <si>
    <t>Guajarat</t>
  </si>
  <si>
    <t>BLE-35</t>
  </si>
  <si>
    <t>H2 blending at the University of California, Irvine (UCI) Anteater Recreation Center</t>
  </si>
  <si>
    <t>SoCalGas</t>
  </si>
  <si>
    <t>5%-20%</t>
  </si>
  <si>
    <t>California</t>
  </si>
  <si>
    <t>BLE-36</t>
  </si>
  <si>
    <t>Orange Cove H2 blending demonstration project</t>
  </si>
  <si>
    <t>0.1%-5%</t>
  </si>
  <si>
    <t>10000 residents and commercial customers</t>
  </si>
  <si>
    <t>BLE-37</t>
  </si>
  <si>
    <t>Hydrogen Island Öhringen</t>
  </si>
  <si>
    <t>Netze BW</t>
  </si>
  <si>
    <t>26 households/500 metres</t>
  </si>
  <si>
    <t>Öhringen</t>
  </si>
  <si>
    <t>BLE-38</t>
  </si>
  <si>
    <t>H2Pole</t>
  </si>
  <si>
    <t>Reganosa Asset Investments</t>
  </si>
  <si>
    <t>up to 2.000 kg/h</t>
  </si>
  <si>
    <t>As Pontes</t>
  </si>
  <si>
    <t>BLE-39</t>
  </si>
  <si>
    <t>Gas Networks Ireland hydrogen blending preperation</t>
  </si>
  <si>
    <t>Preparing the entire network to accept 2% hydrogen blends</t>
  </si>
  <si>
    <t>80-200 GWh</t>
  </si>
  <si>
    <t>BLE-40</t>
  </si>
  <si>
    <t>Electrolyzer with "network related function" Apulia - Phase 1</t>
  </si>
  <si>
    <t>90 MW electrolyzer</t>
  </si>
  <si>
    <t>Apulia</t>
  </si>
  <si>
    <t>BLE-41</t>
  </si>
  <si>
    <t>Electrolyzer with "network related function" Sicily - Phase 1</t>
  </si>
  <si>
    <t>Sicily</t>
  </si>
  <si>
    <t>BLE-42</t>
  </si>
  <si>
    <t>Contursi Terme</t>
  </si>
  <si>
    <t>2 industrial players</t>
  </si>
  <si>
    <t>BLE-43</t>
  </si>
  <si>
    <t>H2 blending test at a compressor station designed for gas networks</t>
  </si>
  <si>
    <t>SNAM, Baker Hughes</t>
  </si>
  <si>
    <t>Florence</t>
  </si>
  <si>
    <t>UNDERGROUND HYDROGEN STORAGE DATABASE</t>
  </si>
  <si>
    <t>Participants</t>
  </si>
  <si>
    <t>Announced project</t>
  </si>
  <si>
    <t>Announced construction</t>
  </si>
  <si>
    <t>Satus</t>
  </si>
  <si>
    <t>Demo</t>
  </si>
  <si>
    <t>Technology Type</t>
  </si>
  <si>
    <t>Injection Capacity</t>
  </si>
  <si>
    <t>Withdrawal Capacity</t>
  </si>
  <si>
    <t>Storage capacity</t>
  </si>
  <si>
    <t>Storage Pressure</t>
  </si>
  <si>
    <t>Budget</t>
  </si>
  <si>
    <r>
      <rPr>
        <rFont val="Corbel"/>
        <color theme="0"/>
        <sz val="11.0"/>
      </rPr>
      <t>GWh H</t>
    </r>
    <r>
      <rPr>
        <rFont val="Corbel"/>
        <color theme="0"/>
        <sz val="11.0"/>
        <vertAlign val="subscript"/>
      </rPr>
      <t>2</t>
    </r>
  </si>
  <si>
    <r>
      <rPr>
        <rFont val="Corbel"/>
        <color theme="0"/>
        <sz val="11.0"/>
      </rPr>
      <t>kt H</t>
    </r>
    <r>
      <rPr>
        <rFont val="Corbel"/>
        <color theme="0"/>
        <sz val="11.0"/>
        <vertAlign val="subscript"/>
      </rPr>
      <t>2</t>
    </r>
  </si>
  <si>
    <r>
      <rPr>
        <rFont val="Corbel"/>
        <color theme="0"/>
        <sz val="11.0"/>
      </rPr>
      <t>GWh H</t>
    </r>
    <r>
      <rPr>
        <rFont val="Corbel"/>
        <color theme="0"/>
        <sz val="11.0"/>
        <vertAlign val="subscript"/>
      </rPr>
      <t>2</t>
    </r>
  </si>
  <si>
    <r>
      <rPr>
        <rFont val="Corbel"/>
        <color theme="0"/>
        <sz val="11.0"/>
      </rPr>
      <t>kt H</t>
    </r>
    <r>
      <rPr>
        <rFont val="Corbel"/>
        <color theme="0"/>
        <sz val="11.0"/>
        <vertAlign val="subscript"/>
      </rPr>
      <t>2</t>
    </r>
  </si>
  <si>
    <r>
      <rPr>
        <rFont val="Corbel"/>
        <color theme="0"/>
        <sz val="11.0"/>
      </rPr>
      <t>Million Nm3 H</t>
    </r>
    <r>
      <rPr>
        <rFont val="Calibri"/>
        <color theme="0"/>
        <sz val="11.0"/>
      </rPr>
      <t>₂</t>
    </r>
  </si>
  <si>
    <t>PJ</t>
  </si>
  <si>
    <r>
      <rPr>
        <rFont val="Corbel"/>
        <color theme="0"/>
        <sz val="11.0"/>
      </rPr>
      <t>GWh H</t>
    </r>
    <r>
      <rPr>
        <rFont val="Corbel"/>
        <color theme="0"/>
        <sz val="11.0"/>
        <vertAlign val="subscript"/>
      </rPr>
      <t>2</t>
    </r>
  </si>
  <si>
    <r>
      <rPr>
        <rFont val="Corbel"/>
        <color theme="0"/>
        <sz val="11.0"/>
      </rPr>
      <t>kt H</t>
    </r>
    <r>
      <rPr>
        <rFont val="Corbel"/>
        <color theme="0"/>
        <sz val="11.0"/>
        <vertAlign val="subscript"/>
      </rPr>
      <t>2</t>
    </r>
  </si>
  <si>
    <t>Announced start date2</t>
  </si>
  <si>
    <t>DEMO_y/n</t>
  </si>
  <si>
    <t>Sto_Technology</t>
  </si>
  <si>
    <t>Inj_MW</t>
  </si>
  <si>
    <t>Capacity_GWh H₂/day</t>
  </si>
  <si>
    <t>Inj_kt H2/day</t>
  </si>
  <si>
    <t>Capacity_Mwel</t>
  </si>
  <si>
    <t>Capacity_GWh H₂/day2</t>
  </si>
  <si>
    <t>Capacity_kt H2/day</t>
  </si>
  <si>
    <t>Capacity_M-Nm3</t>
  </si>
  <si>
    <t>Capacity_PJ</t>
  </si>
  <si>
    <t>Capacity_GWh</t>
  </si>
  <si>
    <t>Link_2</t>
  </si>
  <si>
    <t>Link_3</t>
  </si>
  <si>
    <t>Link_4</t>
  </si>
  <si>
    <t>UGS-1</t>
  </si>
  <si>
    <t>Damaslawek Hydrogen Storage</t>
  </si>
  <si>
    <t>2.168 TWh (EHB)</t>
  </si>
  <si>
    <t xml:space="preserve">Link </t>
  </si>
  <si>
    <t>Świątkowo</t>
  </si>
  <si>
    <t>UGS-2</t>
  </si>
  <si>
    <t>Green Hydrogen Hub-1st Cavern</t>
  </si>
  <si>
    <t>Gas Storage Denmark, Corre Energy, Eurowind Energy</t>
  </si>
  <si>
    <t>120 GWh</t>
  </si>
  <si>
    <t>Lille Torup</t>
  </si>
  <si>
    <t>UGS-3</t>
  </si>
  <si>
    <t>Green Hydrogen Hub-2nd Cavern</t>
  </si>
  <si>
    <t>UGS-4</t>
  </si>
  <si>
    <t>HyStock-DEMO</t>
  </si>
  <si>
    <t>1 MW Solar PV</t>
  </si>
  <si>
    <t>Zuidwending</t>
  </si>
  <si>
    <t>UGS-5</t>
  </si>
  <si>
    <t>HyStock-Phase I</t>
  </si>
  <si>
    <t>216 GWh (size of first cavern)</t>
  </si>
  <si>
    <t>UGS-6</t>
  </si>
  <si>
    <t>HyStock-Phase II</t>
  </si>
  <si>
    <t>Assuming 4 caverns in total (3 caverns more than the first phase)</t>
  </si>
  <si>
    <t>UGS-7</t>
  </si>
  <si>
    <t>H2 Gronau-Epe</t>
  </si>
  <si>
    <t>RWE Gas Storage West</t>
  </si>
  <si>
    <t>28 million Nm3</t>
  </si>
  <si>
    <t>Gronau Epe</t>
  </si>
  <si>
    <t>UGS-8</t>
  </si>
  <si>
    <t>Aldbrough Hydrogen Storage (Humber)</t>
  </si>
  <si>
    <t>at least 320 GWh</t>
  </si>
  <si>
    <t>Aldbrough</t>
  </si>
  <si>
    <t>UGS-9</t>
  </si>
  <si>
    <t>Rough Gas Storage-Phase I</t>
  </si>
  <si>
    <t>Centrica</t>
  </si>
  <si>
    <t>10 TWh in total, to be developed in phases of 3 TWh</t>
  </si>
  <si>
    <t>GBP 2 billion</t>
  </si>
  <si>
    <t>Rough field (Easington terminal)</t>
  </si>
  <si>
    <t>UGS-10</t>
  </si>
  <si>
    <t>Rough Gas Storage-Phase II</t>
  </si>
  <si>
    <t>UGS-11</t>
  </si>
  <si>
    <t>Rough Gas Storage-Phase III</t>
  </si>
  <si>
    <t>UGS-12</t>
  </si>
  <si>
    <t>Rough Gas Storage-Phase IV</t>
  </si>
  <si>
    <t>UGS-13</t>
  </si>
  <si>
    <t>HyPSTER-First Phase</t>
  </si>
  <si>
    <t>Storengy, Armines-Ecole Polytechnique, INOVYN, ESK, Element Energy, INERIS, Axelera</t>
  </si>
  <si>
    <t>3 t H2</t>
  </si>
  <si>
    <t>EUR 15.5 million (EU funding: EUR 5 million)
The Hypster cost is EUR 13 million</t>
  </si>
  <si>
    <t>UGS-14</t>
  </si>
  <si>
    <t>HyPSTER-Second Phase</t>
  </si>
  <si>
    <t>44 t H2</t>
  </si>
  <si>
    <t>EUR 13 million</t>
  </si>
  <si>
    <t>UGS-15</t>
  </si>
  <si>
    <t>Project Kestrel - Green Hydrogen @ Kinsale</t>
  </si>
  <si>
    <t>ESB, dCarbonX</t>
  </si>
  <si>
    <t>Potential of 3 TWh of H2 and H2 carriers</t>
  </si>
  <si>
    <t>Kinsale</t>
  </si>
  <si>
    <t>UGS-16</t>
  </si>
  <si>
    <t>SSAB, LKAB and Vattenfall</t>
  </si>
  <si>
    <t>100 m3</t>
  </si>
  <si>
    <t>SEK 331 million</t>
  </si>
  <si>
    <t>UGS-17</t>
  </si>
  <si>
    <t>HYPOS-H2 Research Caverns</t>
  </si>
  <si>
    <t>VNG Gasspeicher, ONTRAS Gastransport, DBI – Gastechnologisches Institut, Fraunhofer Institute for Microstructure of Materials and Systems IMWS, IfG Institute of Geomechanics, Linde, Terrawatt</t>
  </si>
  <si>
    <t>7 million Nm3</t>
  </si>
  <si>
    <t>Bad Lauchstädt</t>
  </si>
  <si>
    <t>UGS-18</t>
  </si>
  <si>
    <t>HyGeo</t>
  </si>
  <si>
    <t>Teréga, Hydrogène de France (HDF)</t>
  </si>
  <si>
    <t>1.5 GWh H2</t>
  </si>
  <si>
    <t>EUR 13.5 million</t>
  </si>
  <si>
    <t>Carresse-Cassaber</t>
  </si>
  <si>
    <t>UGS-19</t>
  </si>
  <si>
    <t>Krummhörn NG storage DEMO</t>
  </si>
  <si>
    <t>Uniper, check this https://www.uniper.energy/news/uniper-puts-natural-gas-storage-facility-krummhoern-to-the-test-for-storing-hydrogen, and this https://www.uniper.energy/news/funding-decision-for-hydrogen-pilot-project-in-krummhoern-natural-gas-storage-facility-received</t>
  </si>
  <si>
    <t>250,000 m3 H2</t>
  </si>
  <si>
    <t>EUR 10 million</t>
  </si>
  <si>
    <t>Krummhörn</t>
  </si>
  <si>
    <t>UGS-20</t>
  </si>
  <si>
    <t xml:space="preserve">Krummhörn NG storage </t>
  </si>
  <si>
    <t>3000m3 H2</t>
  </si>
  <si>
    <t>€200 millions is the estimated investment</t>
  </si>
  <si>
    <t>UGS-21</t>
  </si>
  <si>
    <t>EWE, German Aerospace Center's Institute of Networked Energy Systems</t>
  </si>
  <si>
    <t>6 t H2, 500 m3 cavern</t>
  </si>
  <si>
    <t xml:space="preserve">Rüdersdorf </t>
  </si>
  <si>
    <t>UGS-22</t>
  </si>
  <si>
    <t>Advanced Clean Energy Storage Project</t>
  </si>
  <si>
    <t>Mitsubishi Power, Magnum Development</t>
  </si>
  <si>
    <t>5500 t H2x cavern</t>
  </si>
  <si>
    <t>Delta (Utah)</t>
  </si>
  <si>
    <t>UGS-23</t>
  </si>
  <si>
    <t>RAG Austria AG</t>
  </si>
  <si>
    <t>Retrofitted</t>
  </si>
  <si>
    <t>UGS-24</t>
  </si>
  <si>
    <t>Underground Sun Storage - DEMO</t>
  </si>
  <si>
    <t>RAG Austria AG, Axiom Angewandte Prozesstechnik GmbH, Energie AG Oberösterreich, Energieinstitut an der Johannes-Kepler-Universität Linz, EVN AG, HyCentA Research GmbH, K1-MET GmbH, Vienna University of Technology, University of Natural Resources and Life Sciences, VERBUND, Verein WIVA P&amp;G and voestalpine Stahl GmbH</t>
  </si>
  <si>
    <t>4.2 GWh of electricity from summer to winter</t>
  </si>
  <si>
    <t>UGS-25</t>
  </si>
  <si>
    <t>150 GWh H2 (assuming one cycle per year)</t>
  </si>
  <si>
    <t>UnterPilsbach</t>
  </si>
  <si>
    <t>UGS-26</t>
  </si>
  <si>
    <t>Hychico Underground Hydrogen Storage</t>
  </si>
  <si>
    <t>Hychico</t>
  </si>
  <si>
    <t>120 Nm3/h H2
1 million m3 reservoir</t>
  </si>
  <si>
    <t>Comodoro Rivadavia</t>
  </si>
  <si>
    <t>UGS-27</t>
  </si>
  <si>
    <t>HYGREEN Provence</t>
  </si>
  <si>
    <t>Géométhane, Storengy, Géosud</t>
  </si>
  <si>
    <t>6 kt H2</t>
  </si>
  <si>
    <t>link</t>
  </si>
  <si>
    <t>Manosque</t>
  </si>
  <si>
    <t>UGS-28</t>
  </si>
  <si>
    <t>CO2CRC Underground H2 Storage</t>
  </si>
  <si>
    <t>CO2CRC, CSIRO, Geoscience Australia</t>
  </si>
  <si>
    <t>120 m3 /day ; since the first day of the plant, the H2 produced was more that 3Millions m3</t>
  </si>
  <si>
    <t>Victoria</t>
  </si>
  <si>
    <t>UGS-29</t>
  </si>
  <si>
    <t>Carriço</t>
  </si>
  <si>
    <t>Geostock Entrepose</t>
  </si>
  <si>
    <t>1-5% by 2025
10-15% by 2030
6 caverns: 300-530,000 m3</t>
  </si>
  <si>
    <t>UGS-30</t>
  </si>
  <si>
    <t>Yela</t>
  </si>
  <si>
    <t>Aquifer</t>
  </si>
  <si>
    <t>1700 GWh</t>
  </si>
  <si>
    <t>Guadalajara</t>
  </si>
  <si>
    <t>UGS-31</t>
  </si>
  <si>
    <t>H2toES: Cuenca Vasco-Cantábrica</t>
  </si>
  <si>
    <t>Repsol</t>
  </si>
  <si>
    <t>Cuenca Vasco-Cantábrica</t>
  </si>
  <si>
    <t>UGS-32</t>
  </si>
  <si>
    <t>HySoW Salt Cavern</t>
  </si>
  <si>
    <t>500 GWh</t>
  </si>
  <si>
    <t>Lussagnet</t>
  </si>
  <si>
    <t>UGS-33</t>
  </si>
  <si>
    <t>Stor'Hy Cerville</t>
  </si>
  <si>
    <t>Storengy</t>
  </si>
  <si>
    <t>9 t H2</t>
  </si>
  <si>
    <t>Cerville (Nancy)</t>
  </si>
  <si>
    <t>UGS-34</t>
  </si>
  <si>
    <t>Enagás, Teréga, DH2, GazelEnergie</t>
  </si>
  <si>
    <t>2030s</t>
  </si>
  <si>
    <t>Os-Marsillon (Lacq)</t>
  </si>
  <si>
    <t>UGS-35</t>
  </si>
  <si>
    <t>Storage Hub Italy</t>
  </si>
  <si>
    <t>Snam</t>
  </si>
  <si>
    <t>UGS-36</t>
  </si>
  <si>
    <t>Keuper Gas Storage Project - Phase I</t>
  </si>
  <si>
    <t>Keuper Gas Storage (subsidiary of INOVYN), Costain</t>
  </si>
  <si>
    <t>1.3 TWh (in 19 salt caverns)</t>
  </si>
  <si>
    <t>GBP 600 million</t>
  </si>
  <si>
    <t>UGS-37</t>
  </si>
  <si>
    <t>Keuper Gas Storage Project - Phase II</t>
  </si>
  <si>
    <t>Cheshire</t>
  </si>
  <si>
    <t>UGS-38</t>
  </si>
  <si>
    <t>HySecure</t>
  </si>
  <si>
    <t>Storengy, INOVYN, Element Energy</t>
  </si>
  <si>
    <t>1100 tones</t>
  </si>
  <si>
    <t>Stublach</t>
  </si>
  <si>
    <t>UGS-39</t>
  </si>
  <si>
    <t>H2CAST Etzel</t>
  </si>
  <si>
    <t>Storag Etzel, KBB, DLR, Hartmann Valves, TU Clausthal, SOCON</t>
  </si>
  <si>
    <t>22.5 TWh in 99 caverns</t>
  </si>
  <si>
    <t>Etzel</t>
  </si>
  <si>
    <t>UGS-40</t>
  </si>
  <si>
    <t>Bad Lauchstädt Energy park</t>
  </si>
  <si>
    <t xml:space="preserve">Terrawatt Uniper Hydrogen DBI,  VNG Gasspeicher GmbH, ONTRAS and VNG AG </t>
  </si>
  <si>
    <t>50 million NM3</t>
  </si>
  <si>
    <t>EUR 210 million</t>
  </si>
  <si>
    <t>Bad Lauchstädt - (Saxony-Anhalt)</t>
  </si>
  <si>
    <t>UGS-41</t>
  </si>
  <si>
    <t>WestKüste 100</t>
  </si>
  <si>
    <t>Raffinerie Heide, Hynamics, Holcim, OGE, Ørsted, Stadtwerke Heide, Thüga, Thyssenkrupp</t>
  </si>
  <si>
    <t>EUR 89 Millions</t>
  </si>
  <si>
    <t>UGS-42</t>
  </si>
  <si>
    <t>Jemgum Storage</t>
  </si>
  <si>
    <t>Astora</t>
  </si>
  <si>
    <t>760 million Nm3 of gas, 9 caverns (for NG)</t>
  </si>
  <si>
    <t>UGS-43</t>
  </si>
  <si>
    <t>H2 Readiness: Dolni Dunajovice</t>
  </si>
  <si>
    <t>UGS-44</t>
  </si>
  <si>
    <t>Hungarian Gas Storage</t>
  </si>
  <si>
    <t>UGS-45</t>
  </si>
  <si>
    <t>Hy Stor Energy</t>
  </si>
  <si>
    <t>Initially 30,000 mt, with the possibility to increase it</t>
  </si>
  <si>
    <t>Mississippi</t>
  </si>
  <si>
    <t>UGS-46</t>
  </si>
  <si>
    <t>Hydrogen City - South Texas Phase 1</t>
  </si>
  <si>
    <t>2 caverns (In the GHR we have 120 GWh per cavern)</t>
  </si>
  <si>
    <t>Piedras Pintas</t>
  </si>
  <si>
    <t>UGS-47</t>
  </si>
  <si>
    <t>Hydrogen City - South Texas Phase 2</t>
  </si>
  <si>
    <t>50 caverns, 6 TWh H2</t>
  </si>
  <si>
    <t>UGS-48</t>
  </si>
  <si>
    <t>1.2 bcm (of H2 or of NG?)</t>
  </si>
  <si>
    <t>Royal Navy Port, Dorset</t>
  </si>
  <si>
    <t>UGS-49</t>
  </si>
  <si>
    <t>Rehden</t>
  </si>
  <si>
    <t>10723 GWh</t>
  </si>
  <si>
    <t>UGS-50</t>
  </si>
  <si>
    <t>Windsor salt cavern</t>
  </si>
  <si>
    <t>Altura Power, Plains All American</t>
  </si>
  <si>
    <t>Ontario</t>
  </si>
  <si>
    <t>UGS-51</t>
  </si>
  <si>
    <t>Green Atlantic @Moneypoint – Shannon Cluster</t>
  </si>
  <si>
    <t>County Clare</t>
  </si>
  <si>
    <t>UGS-52</t>
  </si>
  <si>
    <t>Green Hydrogen Valley @Poolbeg – Dublin Cluster</t>
  </si>
  <si>
    <t>UGS-53</t>
  </si>
  <si>
    <t>H2 storage North-1 (Phase I)</t>
  </si>
  <si>
    <t>335 GWh</t>
  </si>
  <si>
    <t>Cantabria</t>
  </si>
  <si>
    <t>UGS-54</t>
  </si>
  <si>
    <t>H2 storage North-1 (Phase II)</t>
  </si>
  <si>
    <t>775 GWh</t>
  </si>
  <si>
    <t>UGS-55</t>
  </si>
  <si>
    <t>H2 storage North-2 (Phase I)</t>
  </si>
  <si>
    <t>240 GWh</t>
  </si>
  <si>
    <t>Vasque Country</t>
  </si>
  <si>
    <t>UGS-56</t>
  </si>
  <si>
    <t>H2 storage North-2 (Phase II)</t>
  </si>
  <si>
    <t>572 GWh</t>
  </si>
  <si>
    <t>UGS-57</t>
  </si>
  <si>
    <t>Velke Kapusany</t>
  </si>
  <si>
    <t>NAFTA</t>
  </si>
  <si>
    <t>3,122.83 GWh mix of H2
and natural gas</t>
  </si>
  <si>
    <t>UGS-58</t>
  </si>
  <si>
    <t>South Kavala</t>
  </si>
  <si>
    <t>Herema</t>
  </si>
  <si>
    <t>For natural gas: the South Kavala UGS would contain a working gas volume of 530 mn Nm3 and operate two cycles per year at a peak withdrawal rate of 9 mn Nm3/day.</t>
  </si>
  <si>
    <t>Thassos</t>
  </si>
  <si>
    <t>UGS-59</t>
  </si>
  <si>
    <t>Hydrogen seasonal storage in Latvia</t>
  </si>
  <si>
    <t>UGS-60</t>
  </si>
  <si>
    <t>Loenhout Underground Storage - BE-HyStore hydrogen storage project</t>
  </si>
  <si>
    <t xml:space="preserve">Repurposed </t>
  </si>
  <si>
    <t>2400 GWh</t>
  </si>
  <si>
    <t xml:space="preserve">Loenhout </t>
  </si>
  <si>
    <t>HYDROGEN INFRASTRUCTURE AT PORTS DATABASE</t>
  </si>
  <si>
    <t>Trade</t>
  </si>
  <si>
    <t>Geographical details</t>
  </si>
  <si>
    <r>
      <rPr>
        <rFont val="Corbel"/>
        <color theme="0"/>
        <sz val="11.0"/>
      </rPr>
      <t>kt H</t>
    </r>
    <r>
      <rPr>
        <rFont val="Corbel"/>
        <color theme="0"/>
        <sz val="11.0"/>
        <vertAlign val="subscript"/>
      </rPr>
      <t>2</t>
    </r>
  </si>
  <si>
    <t>Technology type</t>
  </si>
  <si>
    <t>Product2</t>
  </si>
  <si>
    <t>PH2_1</t>
  </si>
  <si>
    <t>Murchison Renewable Hydrogen Project</t>
  </si>
  <si>
    <t>Export</t>
  </si>
  <si>
    <t>Hydrogen Renewables Australia Pty Ltd, Copenhagen Infrastructure Partners, Siemens</t>
  </si>
  <si>
    <t>CH2 Storage</t>
  </si>
  <si>
    <t>200 H2 vessels x 680 t H2/vessel</t>
  </si>
  <si>
    <t>AUS 10 billion</t>
  </si>
  <si>
    <t>Kalbarri</t>
  </si>
  <si>
    <t>PH2_2</t>
  </si>
  <si>
    <t>Total Eren, Province Resources</t>
  </si>
  <si>
    <t>Compressed Ship</t>
  </si>
  <si>
    <t>Hydrogen</t>
  </si>
  <si>
    <t>550 kt H2</t>
  </si>
  <si>
    <t>Shire of Carnarvon</t>
  </si>
  <si>
    <t>PH2_3</t>
  </si>
  <si>
    <t>Tiwi H2</t>
  </si>
  <si>
    <t>Provaris Energy</t>
  </si>
  <si>
    <t>90 kt H2</t>
  </si>
  <si>
    <t>Port Melville, Tiwi Islands</t>
  </si>
  <si>
    <t>PH2_4</t>
  </si>
  <si>
    <t>Central Queensland Hydrogen</t>
  </si>
  <si>
    <t>Stanwell Corporation Limited, Iwatani Corporation, Kawasaki Heavy Industries, Marubeni Corporation, Kansai Electric Power Company, APA Group</t>
  </si>
  <si>
    <t>Liquefaction</t>
  </si>
  <si>
    <t>&gt;200 t/day in 2026 (640 MW electrolysis)
&gt;800 t/day by 2031 (2240 MW electrolysis)</t>
  </si>
  <si>
    <t>Gladstone Port</t>
  </si>
  <si>
    <t>PH2_5</t>
  </si>
  <si>
    <t>Green Liquid Hydrogen Export Project</t>
  </si>
  <si>
    <t>Origin Energy, Kawasaki Heavy Industries</t>
  </si>
  <si>
    <t>LH2</t>
  </si>
  <si>
    <t>36,500 t/a</t>
  </si>
  <si>
    <t>Townswille</t>
  </si>
  <si>
    <t>PH2_6</t>
  </si>
  <si>
    <t>Hydrogen Energy Supply Chain (HESC)</t>
  </si>
  <si>
    <t>Kawasaki Heavy Industries (KHI), Electric Power Development Co. (J-Power), Iwatani Corporation, Marubeni Corporation, Sumitomo Corporation, AGL.</t>
  </si>
  <si>
    <t>0.25 t/d</t>
  </si>
  <si>
    <t>Port of Hastings</t>
  </si>
  <si>
    <t>PH2_7</t>
  </si>
  <si>
    <t>LH2 Storage</t>
  </si>
  <si>
    <t>41 m3</t>
  </si>
  <si>
    <t>PH2_8</t>
  </si>
  <si>
    <t>Japan-Australia CO2-free Hydrogen Supply Chain in Queensland</t>
  </si>
  <si>
    <t>ENEOS, Origin</t>
  </si>
  <si>
    <t>LOHC Hydrogenation</t>
  </si>
  <si>
    <t>Queensland</t>
  </si>
  <si>
    <t>PH2_9</t>
  </si>
  <si>
    <t>Hay Point Hydrogen Export</t>
  </si>
  <si>
    <t>North Queensland Bulk Ports Corporation Limited, ITOCHU Corporation, Brookfield Asset Management Inc. (“Brookfield”)</t>
  </si>
  <si>
    <t>Undefined</t>
  </si>
  <si>
    <t>Dalrymple Bay, Queensland</t>
  </si>
  <si>
    <t>PH2_10</t>
  </si>
  <si>
    <t>Hunter Hydrogen Network (H2N)</t>
  </si>
  <si>
    <t>Energy Estate, Eurus Energy</t>
  </si>
  <si>
    <t>PH2_11</t>
  </si>
  <si>
    <t>North Queensland Clean Energy Project (HyNQ)</t>
  </si>
  <si>
    <t>Energy Estate</t>
  </si>
  <si>
    <t>Abbot Point</t>
  </si>
  <si>
    <t>PH2_12</t>
  </si>
  <si>
    <t>Advanced Hydrogen Energy Chain Association for Technology Development (AHEAD)</t>
  </si>
  <si>
    <t>Chiyoda Corporation, Mitsubishi Corporation, Mitsui &amp; Co. Ltd., NYK</t>
  </si>
  <si>
    <t>210 t H2/a</t>
  </si>
  <si>
    <t>Brunei</t>
  </si>
  <si>
    <t>PH2_13</t>
  </si>
  <si>
    <t>Terminal Marítimo Gregorio</t>
  </si>
  <si>
    <t>ENAP, Total Eren Chile, HIF Chile, FreePower Group, Grupo EDF, RWE, HNH Energy</t>
  </si>
  <si>
    <t>PH2_14</t>
  </si>
  <si>
    <t>Green LNG Brunsbüttel</t>
  </si>
  <si>
    <t>Import</t>
  </si>
  <si>
    <t>Gasunie, RWE, KfW</t>
  </si>
  <si>
    <t>LNG Shipping</t>
  </si>
  <si>
    <t>Natural gas: 8 billion m3/year</t>
  </si>
  <si>
    <t>PH2_15</t>
  </si>
  <si>
    <t>H2 Brunsbüttel</t>
  </si>
  <si>
    <t>Regasification</t>
  </si>
  <si>
    <t>PH2_16</t>
  </si>
  <si>
    <t>Green Gas Terminal</t>
  </si>
  <si>
    <t>Tree Energy Solutions (TES)</t>
  </si>
  <si>
    <t>Methane</t>
  </si>
  <si>
    <t>Initial stage: 0.5 Mt
Final stage: 5 Mt</t>
  </si>
  <si>
    <t xml:space="preserve">Wilhelmshaven </t>
  </si>
  <si>
    <t>PH2_17</t>
  </si>
  <si>
    <t>Hanseatic Energy Hub</t>
  </si>
  <si>
    <t>Fluxys, Partners Group, Buss Group, Dow</t>
  </si>
  <si>
    <t>13.3 bcm of LNG</t>
  </si>
  <si>
    <t>Stade</t>
  </si>
  <si>
    <t>PH2_18</t>
  </si>
  <si>
    <t>Hy Touch Kobe</t>
  </si>
  <si>
    <t>Kawasaki Heavy Industries (KHI), Electric Power Development Co. (J-Power), Iwatani Corporation, Shell, Marubeni Corporation, ENEOS Corporation and Kawasaki Kisen Kaisha (“K” LINE)</t>
  </si>
  <si>
    <t>2250 m3, 150t</t>
  </si>
  <si>
    <t>Kobe Airport Island</t>
  </si>
  <si>
    <t>PH2_19</t>
  </si>
  <si>
    <t>LOHC Dehydrogenation</t>
  </si>
  <si>
    <t>PH2_20</t>
  </si>
  <si>
    <t>Hydrogen-to-MCH Malaysia</t>
  </si>
  <si>
    <t>Petronas Hydrogen, ENEOS Corporation</t>
  </si>
  <si>
    <t>50 kt H2</t>
  </si>
  <si>
    <t>Kerteh</t>
  </si>
  <si>
    <t>PH2_21</t>
  </si>
  <si>
    <t>Green Hydrogen Export - Sarawak</t>
  </si>
  <si>
    <t>ENEOS, Sumitomo, Sarawak Economic Development Corporation (SEDC) Energy</t>
  </si>
  <si>
    <t>10,000 kt/a (not at the beginning)</t>
  </si>
  <si>
    <t>Bintulu, Sarawak</t>
  </si>
  <si>
    <t>PH2_22</t>
  </si>
  <si>
    <t>H2Sines.RDAM</t>
  </si>
  <si>
    <t>E+U31+[@Partners]</t>
  </si>
  <si>
    <t>100 tpd LH2, with upscaling to 300 tpd</t>
  </si>
  <si>
    <t>PH2_23</t>
  </si>
  <si>
    <t>Engie, Shell, Vopak, Anthony Vede, REN, Port of Sines, Port of Rotterdam, Gaunie, ABN AMRO</t>
  </si>
  <si>
    <t>PH2_24</t>
  </si>
  <si>
    <t>Oman-Netherlands liquid hydrogen corridor</t>
  </si>
  <si>
    <t>Government of Oman, Hydrom, Port of Amsterdam, Zenith Energy Terminals,  GasLog</t>
  </si>
  <si>
    <t>Amsterdam</t>
  </si>
  <si>
    <t>PH2_25</t>
  </si>
  <si>
    <t>Salalah</t>
  </si>
  <si>
    <t>AMMONIA INFRASTRUCTURE AT PORTS DATABASE</t>
  </si>
  <si>
    <t xml:space="preserve">Availability </t>
  </si>
  <si>
    <t>Storage Capacity</t>
  </si>
  <si>
    <t>Links</t>
  </si>
  <si>
    <t>Port Code</t>
  </si>
  <si>
    <t>Nominal Capacity</t>
  </si>
  <si>
    <t>USD</t>
  </si>
  <si>
    <t>City &amp; Project name</t>
  </si>
  <si>
    <t>UN/ LOCODE</t>
  </si>
  <si>
    <t>Import or Export</t>
  </si>
  <si>
    <t xml:space="preserve">Status </t>
  </si>
  <si>
    <t>Units</t>
  </si>
  <si>
    <t>Storage Capacity (tonnes)</t>
  </si>
  <si>
    <t>Storage Capacity (M3)</t>
  </si>
  <si>
    <t>Costs_USD</t>
  </si>
  <si>
    <t>PAM_1</t>
  </si>
  <si>
    <t>DEBRB</t>
  </si>
  <si>
    <t>PAM_2</t>
  </si>
  <si>
    <t>ARRUW</t>
  </si>
  <si>
    <t>Fertil</t>
  </si>
  <si>
    <t>PAM_3</t>
  </si>
  <si>
    <t>USTPA</t>
  </si>
  <si>
    <t>PAM_4</t>
  </si>
  <si>
    <t>YURI Add-on, Pilbara</t>
  </si>
  <si>
    <t>AUDMP</t>
  </si>
  <si>
    <t>Yara Pilbara Fertilisers, Engie Services Australia</t>
  </si>
  <si>
    <t>3,700 kt ammonia</t>
  </si>
  <si>
    <t>PAM_199</t>
  </si>
  <si>
    <t>EGSKH</t>
  </si>
  <si>
    <t>PAM_200</t>
  </si>
  <si>
    <t>Helios Green Fuels</t>
  </si>
  <si>
    <t>Neom Green Hydrogen Company, Acwa Power, Air Products</t>
  </si>
  <si>
    <t>1.2 Mtpa ammonia</t>
  </si>
  <si>
    <t>USD 5 billion (USD 600 million for green H2 and ammonia plant)</t>
  </si>
  <si>
    <t>PAM_201</t>
  </si>
  <si>
    <t>OCI Import terminal - Expansion</t>
  </si>
  <si>
    <t>NLRTM</t>
  </si>
  <si>
    <t>OCI</t>
  </si>
  <si>
    <t>1.2 Mt ammonia (triples from present)</t>
  </si>
  <si>
    <t>PAM_202</t>
  </si>
  <si>
    <t>Stephenville, Canada</t>
  </si>
  <si>
    <t>CASTV</t>
  </si>
  <si>
    <t>World Energy GH2, SK ecoplant, Canadian Government, EDC</t>
  </si>
  <si>
    <t>1.2 Mtpa ammonia (in the first phase the port is expected to produce nearly 400000 t of Nh3</t>
  </si>
  <si>
    <t>95$ millions</t>
  </si>
  <si>
    <t>OffShore Energy</t>
  </si>
  <si>
    <t>PAM_203</t>
  </si>
  <si>
    <t>Andalusian Green Hydrogen Valley - Algeciras Energy Park</t>
  </si>
  <si>
    <t>ESALG</t>
  </si>
  <si>
    <t>CEPSA, Yara, Gasunie</t>
  </si>
  <si>
    <t>750 ktpa ammonia</t>
  </si>
  <si>
    <t>PAM_204</t>
  </si>
  <si>
    <t>H2biscus</t>
  </si>
  <si>
    <t>MYBTU</t>
  </si>
  <si>
    <t>Samsung Engineering, POSCO, Lotte Chemical, Sarawak Economic Development Corporation (SEDC) Energy</t>
  </si>
  <si>
    <t>850000 t ammonia</t>
  </si>
  <si>
    <t>PAM_205</t>
  </si>
  <si>
    <t>NH3 Antwerp Terminal</t>
  </si>
  <si>
    <t>BEANR</t>
  </si>
  <si>
    <t>Fluxys, Advario</t>
  </si>
  <si>
    <t>PAM_206</t>
  </si>
  <si>
    <t>1.8 Mt ammonia</t>
  </si>
  <si>
    <t>PAM_207</t>
  </si>
  <si>
    <t>Saltend Hull</t>
  </si>
  <si>
    <t>GBSTH</t>
  </si>
  <si>
    <t>Confirmed Methanol Supply / Storage</t>
  </si>
  <si>
    <t>150000 t NH3</t>
  </si>
  <si>
    <t>PAM_208</t>
  </si>
  <si>
    <t>Samcheok Ammonia Import Terminal for Co-Firing Power Generation</t>
  </si>
  <si>
    <t>Samsung C&amp;T Engineering, Construction (E&amp;C) Group</t>
  </si>
  <si>
    <t>PAM_209</t>
  </si>
  <si>
    <t>THRAY</t>
  </si>
  <si>
    <t>Thai Capro / Thai Nitrate, PTT</t>
  </si>
  <si>
    <t>PAM_210</t>
  </si>
  <si>
    <t>PHBCD</t>
  </si>
  <si>
    <t>PAM_211</t>
  </si>
  <si>
    <t>NOSLA</t>
  </si>
  <si>
    <t>PAM_212</t>
  </si>
  <si>
    <t>CLSAR</t>
  </si>
  <si>
    <t>PAM_213</t>
  </si>
  <si>
    <t>Eni Green Hydrogen, Ataka</t>
  </si>
  <si>
    <t>EGSOK</t>
  </si>
  <si>
    <t>ENI. Italian Gov. &amp; EGY Gov.</t>
  </si>
  <si>
    <t>Investments of Eni are estimated to be USD 7 Billions</t>
  </si>
  <si>
    <t>PAM_214</t>
  </si>
  <si>
    <t>Bakki - Atome: Hydrogen and Ammonia - Phase 1</t>
  </si>
  <si>
    <t>ISAKU</t>
  </si>
  <si>
    <t>Atome Energy, Green Fuel</t>
  </si>
  <si>
    <t>105ktpa</t>
  </si>
  <si>
    <t>PAM_215</t>
  </si>
  <si>
    <t>Bakki - Atome: Hydrogen and Ammonia - Phase 2</t>
  </si>
  <si>
    <t>PAM_216</t>
  </si>
  <si>
    <t>Ammonia supply chain base in Hokkaido</t>
  </si>
  <si>
    <t>Hokkaido Electric Power Company, Hokkaido Mitsui Chemicals, IHI Corporation, Marubeni Corporation, Mitsui &amp; Co, Tomakomai Futo Co</t>
  </si>
  <si>
    <t>PAM_217</t>
  </si>
  <si>
    <t>Hydrogen and ammonia supply chain in Osaka</t>
  </si>
  <si>
    <t>JPOSA</t>
  </si>
  <si>
    <t>Mitsui &amp; Co, Mitsui Chemicals, IHI Corporation, The Kansai Electric Power</t>
  </si>
  <si>
    <t>PAM_218</t>
  </si>
  <si>
    <t>Project Nour</t>
  </si>
  <si>
    <t>MRNDB</t>
  </si>
  <si>
    <t>Government of Mauritania, Chariot</t>
  </si>
  <si>
    <t>150 kt NH3</t>
  </si>
  <si>
    <t>PAM_219</t>
  </si>
  <si>
    <t>Project Aman</t>
  </si>
  <si>
    <t>MRNKC</t>
  </si>
  <si>
    <t>Copenhagen Infrastructure Partners (CIP)</t>
  </si>
  <si>
    <t>500000tpa of H2 (several uses)</t>
  </si>
  <si>
    <t>PAM_220</t>
  </si>
  <si>
    <t>Samalaju Hydrogen Production</t>
  </si>
  <si>
    <t>MYSIP</t>
  </si>
  <si>
    <t>H2X, Thales New Energy, Sarawak Economic Development Corporation (SEDC) Energy</t>
  </si>
  <si>
    <t>970 ktpa ammonia</t>
  </si>
  <si>
    <t>PAM_221</t>
  </si>
  <si>
    <t>Tsau //Khaeb National Park Southern Corridor Development Initiative (SCDI) Hydrogen Project - Phase 1</t>
  </si>
  <si>
    <t>NALUD</t>
  </si>
  <si>
    <t>Hyphen, Namibian government</t>
  </si>
  <si>
    <t>1 Mtpa ammonia</t>
  </si>
  <si>
    <t>USD 9.4 billion</t>
  </si>
  <si>
    <t>PAM_222</t>
  </si>
  <si>
    <t>Green Point-Tiwai Point: Southern Green Hydrogen in New Zealand</t>
  </si>
  <si>
    <t>NZBLU</t>
  </si>
  <si>
    <t>Woodside Energy</t>
  </si>
  <si>
    <t>500 ktpa ammonia</t>
  </si>
  <si>
    <t>USD15 Billion</t>
  </si>
  <si>
    <t>PAM_223</t>
  </si>
  <si>
    <t>Duqm Special Economic Zone</t>
  </si>
  <si>
    <t>OMDQM</t>
  </si>
  <si>
    <t>Scatec, ACME</t>
  </si>
  <si>
    <t>100 ktpa ammonia</t>
  </si>
  <si>
    <t>PAM_224</t>
  </si>
  <si>
    <t xml:space="preserve">NA </t>
  </si>
  <si>
    <t>USD 3.5 billion</t>
  </si>
  <si>
    <t>PAM_225</t>
  </si>
  <si>
    <t>Green Energy Oman (GEO) integrated green fuels mega project</t>
  </si>
  <si>
    <t>OQ, InterContinental Energy, EnerTech</t>
  </si>
  <si>
    <t>Up to 25 GW wind and solar by 2038, and 10 Mt ammonia production</t>
  </si>
  <si>
    <t>USD 30 billion</t>
  </si>
  <si>
    <t>PAM_226</t>
  </si>
  <si>
    <t>Villeta - Atome: Hydrogen and Ammonia - Phase 1</t>
  </si>
  <si>
    <t>PYASU</t>
  </si>
  <si>
    <t>Atome Energy</t>
  </si>
  <si>
    <t>45.64 ktpa ammonia</t>
  </si>
  <si>
    <t>PAM_227</t>
  </si>
  <si>
    <t>Villeta - Atome: Hydrogen and Ammonia - Phase 2</t>
  </si>
  <si>
    <t>182.5 ktpa ammonia</t>
  </si>
  <si>
    <t>PAM_228</t>
  </si>
  <si>
    <t>USCRP</t>
  </si>
  <si>
    <t>RWE, LOTTE CHEMICAL Corporation, Mitsubishi Corporation</t>
  </si>
  <si>
    <t>10 Mtpa ammonia</t>
  </si>
  <si>
    <t>PAM_229</t>
  </si>
  <si>
    <t>Coega green ammonia plant</t>
  </si>
  <si>
    <t>ZAPLZ</t>
  </si>
  <si>
    <t>Hive Energy, Linde</t>
  </si>
  <si>
    <t>PAM_230</t>
  </si>
  <si>
    <t>Ammonia Brunsbüttel</t>
  </si>
  <si>
    <t>DECUX</t>
  </si>
  <si>
    <t>RWE,  Brunsbüttel Ports GmbH</t>
  </si>
  <si>
    <t>300 ktpa ammonia</t>
  </si>
  <si>
    <t>around EUR 500 million</t>
  </si>
  <si>
    <t>PAM_231</t>
  </si>
  <si>
    <t>Ammonia Brunsbüttel Expansion</t>
  </si>
  <si>
    <t>2 Mtpa ammonia</t>
  </si>
  <si>
    <t>PAM_232</t>
  </si>
  <si>
    <t>Koole &amp; Horisont Energi</t>
  </si>
  <si>
    <t>Horisont Energy, Koole Terminals</t>
  </si>
  <si>
    <t>PAM_233</t>
  </si>
  <si>
    <t>Skipavika</t>
  </si>
  <si>
    <t>NOFRO</t>
  </si>
  <si>
    <t>Fuella</t>
  </si>
  <si>
    <t>PAM_234</t>
  </si>
  <si>
    <t>Narvik</t>
  </si>
  <si>
    <t>NOHRD</t>
  </si>
  <si>
    <t>Aker Horizons, Nordkraft, Narvik municipality, UiT The Arctic University of Norway</t>
  </si>
  <si>
    <t>200 ktpa ammonia</t>
  </si>
  <si>
    <t>PAM_235</t>
  </si>
  <si>
    <t>Australian Renewable Energy Hub (AREH), East Pibara</t>
  </si>
  <si>
    <t>AUPHE</t>
  </si>
  <si>
    <t>Vestas, CWP Energy Asia, InterContinental Energy, Pathway Investments, Nyangumarta People, Energy Change Institute</t>
  </si>
  <si>
    <t>10 Mt ammonia</t>
  </si>
  <si>
    <t>PAM_236</t>
  </si>
  <si>
    <t>Murchison Renewable Hydrogen Project, Kalbarri</t>
  </si>
  <si>
    <t>AUGET</t>
  </si>
  <si>
    <t>Hydrogen Renewables Australia Pty Ltd, Copenhagen Infrastructure Partners, Siemens, CSBP Limited</t>
  </si>
  <si>
    <t>2 Mt ammonia</t>
  </si>
  <si>
    <t>PAM_237</t>
  </si>
  <si>
    <t>Gladstone Energy and Ammonia Project, Gladstone Port (Lot 57 on SP257848, 185 Landing Road, Yarwun, )</t>
  </si>
  <si>
    <t>AUGLT</t>
  </si>
  <si>
    <t>Itouchu, Australian Future Energy</t>
  </si>
  <si>
    <t>230 kt ammonia</t>
  </si>
  <si>
    <t>AUS 1 billion</t>
  </si>
  <si>
    <t>PAM_238</t>
  </si>
  <si>
    <t>H2-Hub Gladstone, Yarwun</t>
  </si>
  <si>
    <t xml:space="preserve"> Hydrogen Utility (H2U), Orica, Vopak Terminals Australia</t>
  </si>
  <si>
    <t>1.7 Mtpa ammonia</t>
  </si>
  <si>
    <t>PAM_239</t>
  </si>
  <si>
    <t>Origin Green Hydrogen and Ammonia Plant, Bell Bay,Tasmania</t>
  </si>
  <si>
    <t>AUBLY</t>
  </si>
  <si>
    <t>Origin, Mitsui O.S.K. Lines (MOL)</t>
  </si>
  <si>
    <t>420 kt ammonia</t>
  </si>
  <si>
    <t>PAM_240</t>
  </si>
  <si>
    <t>H2TAS Renewable Hydrogen Project, Bell Bay,Tasmania</t>
  </si>
  <si>
    <t>Woodside, Marubeni, IHI Corporation</t>
  </si>
  <si>
    <t>200 kt ammonia (300 MW electrolysis)
1.7 GW electrolysis in a future</t>
  </si>
  <si>
    <t>PAM_241</t>
  </si>
  <si>
    <t>Han-Ho H2 Hub, Bowen</t>
  </si>
  <si>
    <t>AUABP</t>
  </si>
  <si>
    <t>Ark Energy, SK Gas, Hanwha Impact, Korea Zinc</t>
  </si>
  <si>
    <t>PAM_242</t>
  </si>
  <si>
    <t>Port of Açu</t>
  </si>
  <si>
    <t>PAM_243</t>
  </si>
  <si>
    <t>Port of Pecém</t>
  </si>
  <si>
    <t>PAM_244</t>
  </si>
  <si>
    <t>Port in Piauí</t>
  </si>
  <si>
    <t>PAM_245</t>
  </si>
  <si>
    <t>Port in Campeche - Champotón project</t>
  </si>
  <si>
    <t>PAM_246</t>
  </si>
  <si>
    <t>Port in Sonora - ANEM Project</t>
  </si>
  <si>
    <t>PAM_247</t>
  </si>
  <si>
    <t>Ceará-krk</t>
  </si>
  <si>
    <t>PAM_248</t>
  </si>
  <si>
    <t>JPUKB</t>
  </si>
  <si>
    <t>PAM_249</t>
  </si>
  <si>
    <t>Ince</t>
  </si>
  <si>
    <t>GBINC</t>
  </si>
  <si>
    <t>/////</t>
  </si>
  <si>
    <t>Closed</t>
  </si>
  <si>
    <t>PAM_250</t>
  </si>
  <si>
    <t>ESTAR</t>
  </si>
  <si>
    <t>Imp</t>
  </si>
  <si>
    <t>UCHE</t>
  </si>
  <si>
    <t>PAM_251</t>
  </si>
  <si>
    <t>AUDAM</t>
  </si>
  <si>
    <t>PAM_252</t>
  </si>
  <si>
    <t>South of Magallanes, Port of Punta Arenas</t>
  </si>
  <si>
    <t>CLPUQ</t>
  </si>
  <si>
    <t>Copenhagen Infrastructure Partners (CIP), AustriaEnergy, Ökowind</t>
  </si>
  <si>
    <t>850 kt ammonia or 150 kt H2</t>
  </si>
  <si>
    <t>USD 3 Billion</t>
  </si>
  <si>
    <t>RECharge</t>
  </si>
  <si>
    <t>PAM_253</t>
  </si>
  <si>
    <t>CLMLI</t>
  </si>
  <si>
    <t>700kt ammonia</t>
  </si>
  <si>
    <t>PAM_254</t>
  </si>
  <si>
    <t>Maersk Green ammonia</t>
  </si>
  <si>
    <t>PAM_255</t>
  </si>
  <si>
    <t>Masdar Ain-Sokhna Phase 2 green ammonia</t>
  </si>
  <si>
    <t>Masdar, Hassan Allam Utilities</t>
  </si>
  <si>
    <t>2.3 Mt ammonia</t>
  </si>
  <si>
    <t>PAM_256</t>
  </si>
  <si>
    <t>Petrofac Green ammonia Ain Sokhna</t>
  </si>
  <si>
    <t>PAM_257</t>
  </si>
  <si>
    <t>Scatec Green ammonia Phase 1 Ain Sokhna</t>
  </si>
  <si>
    <t>PAM_258</t>
  </si>
  <si>
    <t>Scatec Green ammonia Phase 2 Ain Sokhna</t>
  </si>
  <si>
    <t>PAM_259</t>
  </si>
  <si>
    <t>Scatec Green Hydrogen Ain Sokhna</t>
  </si>
  <si>
    <t>PAM_260</t>
  </si>
  <si>
    <t>Siemens H2 Project Ain Sokhna</t>
  </si>
  <si>
    <t>PAM_261</t>
  </si>
  <si>
    <t>AMEA Power Green ammonia Phase 1 Ain Sokhna</t>
  </si>
  <si>
    <t>235 kt ammonia</t>
  </si>
  <si>
    <t>PAM_262</t>
  </si>
  <si>
    <t>AMEA Power Green ammonia Phase 2 Ain Sokhna</t>
  </si>
  <si>
    <t>AlNowais</t>
  </si>
  <si>
    <t>390 kt ammonia</t>
  </si>
  <si>
    <t>PAM_263</t>
  </si>
  <si>
    <t>Deme Green Hydrogen</t>
  </si>
  <si>
    <t>Globeleq, DEME (Belgium)</t>
  </si>
  <si>
    <t>55000 t of H2</t>
  </si>
  <si>
    <t>USD 3.1  Billion</t>
  </si>
  <si>
    <t>PAM_264</t>
  </si>
  <si>
    <t>EDF Gren ammonia Phase 1 Ain Sokhna</t>
  </si>
  <si>
    <t>I think is for bunkering, not for exports</t>
  </si>
  <si>
    <t>80000t of h2 &amp; derivatives per annum</t>
  </si>
  <si>
    <t>Africa Energy Portal</t>
  </si>
  <si>
    <t>PAM_265</t>
  </si>
  <si>
    <t>EDF Gren ammonia Phase 2 Ain Sokhna</t>
  </si>
  <si>
    <t>PAM_266</t>
  </si>
  <si>
    <t>Tsau //Khaeb National Park Southern Corridor Development Initiative (SCDI) Hydrogen Project - Phase 2</t>
  </si>
  <si>
    <t>2 Mtpa</t>
  </si>
  <si>
    <t>PAM_267</t>
  </si>
  <si>
    <t>Hyport Duqm</t>
  </si>
  <si>
    <t>Deme Concessions, OQ, Uniper</t>
  </si>
  <si>
    <t>500 MW electrolyser (part will be ammonia)</t>
  </si>
  <si>
    <t>PAM_268</t>
  </si>
  <si>
    <t>OQ, Marubeni, Linde, Dutco . Overseas and South Korea's Samsung C&amp;T</t>
  </si>
  <si>
    <t>1000 t ammonia/day</t>
  </si>
  <si>
    <t>USD 1 billion</t>
  </si>
  <si>
    <t>PAM_269</t>
  </si>
  <si>
    <t>H2Oman</t>
  </si>
  <si>
    <t>Air Products, OW, ACWA Power</t>
  </si>
  <si>
    <t>Similar in scale to NEOM project</t>
  </si>
  <si>
    <t>PAM_270</t>
  </si>
  <si>
    <t>MadoquaPower2X</t>
  </si>
  <si>
    <t>PTSIE</t>
  </si>
  <si>
    <t>Madoqua, Power2X, CIP</t>
  </si>
  <si>
    <t>500 ktpa ammonia, potential 1 Mtpa ammonia</t>
  </si>
  <si>
    <t>EUR 1 billion</t>
  </si>
  <si>
    <t>PAM_271</t>
  </si>
  <si>
    <t>Boegoebaai Port</t>
  </si>
  <si>
    <t>Port of Rotterdam, Koninklijke Vopak NV</t>
  </si>
  <si>
    <t>USD 2.8 billion (all port)</t>
  </si>
  <si>
    <t>PAM_272</t>
  </si>
  <si>
    <t>Kluster H2 Bersih Batam Bintan</t>
  </si>
  <si>
    <t>Pupuk Indonesia</t>
  </si>
  <si>
    <t>PAM_273</t>
  </si>
  <si>
    <t>Zeebrugge New Molecules development</t>
  </si>
  <si>
    <t>BEZEE</t>
  </si>
  <si>
    <t>PAM_274</t>
  </si>
  <si>
    <t>Green Wilhelmshaven</t>
  </si>
  <si>
    <t>DEBRV</t>
  </si>
  <si>
    <t>295 kt H2 per year (imports+410MW electrolyser)</t>
  </si>
  <si>
    <t>PAM_275</t>
  </si>
  <si>
    <t>Ammonia import at Hamburg</t>
  </si>
  <si>
    <t>DEHAM</t>
  </si>
  <si>
    <t>Mabanaft, Air Products</t>
  </si>
  <si>
    <t>PAM_276</t>
  </si>
  <si>
    <t>PAM_277</t>
  </si>
  <si>
    <t>Dunkerque New Molecules development</t>
  </si>
  <si>
    <t>FRDKK</t>
  </si>
  <si>
    <t>PAM_278</t>
  </si>
  <si>
    <t>Port of Immingham</t>
  </si>
  <si>
    <t>GBIMM</t>
  </si>
  <si>
    <t xml:space="preserve">Air Products and Associated British Ports (ABP) </t>
  </si>
  <si>
    <t>600t /day</t>
  </si>
  <si>
    <t>170 Mln Pounds</t>
  </si>
  <si>
    <t>PAM_279</t>
  </si>
  <si>
    <t>ACE Terminal</t>
  </si>
  <si>
    <t>Gasunie, HES International, Vopak</t>
  </si>
  <si>
    <t>1 Mtpa Hydrogen</t>
  </si>
  <si>
    <t>PAM_280</t>
  </si>
  <si>
    <t>"Greenpoint Valley" North-West Europe</t>
  </si>
  <si>
    <t>NLVLI</t>
  </si>
  <si>
    <t>Vesta, Uniper</t>
  </si>
  <si>
    <t>0.96 Mtpa</t>
  </si>
  <si>
    <t>PAM_281</t>
  </si>
  <si>
    <t>Global Energy Storage (GES)</t>
  </si>
  <si>
    <t xml:space="preserve">Global Energy Storage </t>
  </si>
  <si>
    <t>PAM_282</t>
  </si>
  <si>
    <t>Western Green Energy Hub, Eucla</t>
  </si>
  <si>
    <t>AUEPR</t>
  </si>
  <si>
    <t>InterContinental Energy, CWP Global, Mirning People</t>
  </si>
  <si>
    <t>20 Mt ammonia</t>
  </si>
  <si>
    <t>AUS 100 billion</t>
  </si>
  <si>
    <t>PAM_283</t>
  </si>
  <si>
    <t>Oakajee Strategic
Industrial Area, Geraldton Port</t>
  </si>
  <si>
    <t>WA government called for Expressions of Interests</t>
  </si>
  <si>
    <t>270 MW wind
1250 MW solar PV
(not all will be exported)</t>
  </si>
  <si>
    <t>PAM_284</t>
  </si>
  <si>
    <t>YURI Ammonia Expansion, Pilbara</t>
  </si>
  <si>
    <t>480 kt ammonia</t>
  </si>
  <si>
    <t>PAM_285</t>
  </si>
  <si>
    <t>East Kimberley Clean Energy Project, Port of Wyndham</t>
  </si>
  <si>
    <t>AUWYN</t>
  </si>
  <si>
    <t xml:space="preserve">Pollination, MG Corporation, Balanggarra Aboriginal Corporation, Kimberley Land Council </t>
  </si>
  <si>
    <t>250 ktpa ammonia</t>
  </si>
  <si>
    <t>PAM_286</t>
  </si>
  <si>
    <t>Fuel ammonia import hub in Namikata terminal</t>
  </si>
  <si>
    <t>Shikoku Electric Power, Taiyo Oil , Taiyo Nippon Sanso, Mazda Motor, Mitsubishi, Namikata Terminal, Mitsubishi  Clean Energy,</t>
  </si>
  <si>
    <t>PAM_287</t>
  </si>
  <si>
    <t>Supply chain for clean ammonia fuel in Soma - Fukushima</t>
  </si>
  <si>
    <t>Japex, Mitsubishi Gas Chemical, IHI, Mitsui, Mitsui OSK Line (Mol)</t>
  </si>
  <si>
    <t>PAM_288</t>
  </si>
  <si>
    <t>Dangjin Songshan hydrogen port</t>
  </si>
  <si>
    <t>HDC Hyundai Industrial Development, Korea Gas Technology Corporation, Samsung C&amp;T,  Lotte</t>
  </si>
  <si>
    <t>PAM_289</t>
  </si>
  <si>
    <t>Ammonia terminal at Ulsan New Port</t>
  </si>
  <si>
    <t>Ulsan Port Authority</t>
  </si>
  <si>
    <t>PAM_292</t>
  </si>
  <si>
    <t xml:space="preserve">Moolawatana Renewable Hydrogen, Port Bonython </t>
  </si>
  <si>
    <t>AUWYA</t>
  </si>
  <si>
    <t>AMMONIA CRACKING PLANTS DATABASE</t>
  </si>
  <si>
    <t>AMMC_1</t>
  </si>
  <si>
    <t>AMMC_2</t>
  </si>
  <si>
    <t>GBR 170 mill.</t>
  </si>
  <si>
    <t>AMMC_3</t>
  </si>
  <si>
    <t xml:space="preserve">Maasvlakte </t>
  </si>
  <si>
    <t>AMMC_4</t>
  </si>
  <si>
    <t>VTTI, Essent, Eon</t>
  </si>
  <si>
    <t>AMMC_5</t>
  </si>
  <si>
    <t>AMMC_6</t>
  </si>
  <si>
    <t>AMMC_7</t>
  </si>
  <si>
    <t>Green Energy Park Global</t>
  </si>
  <si>
    <t>1.8 million t/y</t>
  </si>
  <si>
    <t>AMMC_8</t>
  </si>
  <si>
    <t>300k t/y in phase 1 the 2 millions t/y at the foreseen final stage</t>
  </si>
  <si>
    <t>AMMC_9</t>
  </si>
  <si>
    <t>Air Products, Mabanaft, Deutsche Regas</t>
  </si>
  <si>
    <t>30,000 t/y</t>
  </si>
  <si>
    <t>AMMC_10</t>
  </si>
  <si>
    <t>VNG, Yara</t>
  </si>
  <si>
    <t>AMMC_11</t>
  </si>
  <si>
    <t>Aramco, Linde</t>
  </si>
  <si>
    <t>AMMC_12</t>
  </si>
  <si>
    <t xml:space="preserve">130 kt/y of H2 </t>
  </si>
  <si>
    <t>AMMC_13</t>
  </si>
  <si>
    <t>AMMC_14</t>
  </si>
  <si>
    <t>Consortium of 18 companies</t>
  </si>
  <si>
    <t>1  million t/y</t>
  </si>
  <si>
    <t>AMMC_15</t>
  </si>
  <si>
    <t>AMMC_16</t>
  </si>
  <si>
    <t>Evolution Terminals</t>
  </si>
  <si>
    <t>AMMC_17</t>
  </si>
  <si>
    <t>Cracking on Jurong Island</t>
  </si>
  <si>
    <t>Vopak, Air Liquide</t>
  </si>
  <si>
    <t>AMMC_18</t>
  </si>
  <si>
    <t>Hanwha</t>
  </si>
  <si>
    <t>70.000 t/y</t>
  </si>
  <si>
    <t>AMMC_19</t>
  </si>
  <si>
    <t>KNOC</t>
  </si>
  <si>
    <t>300K ton/year</t>
  </si>
  <si>
    <t>AMMC_20</t>
  </si>
  <si>
    <t>Approtium, Topsoe</t>
  </si>
  <si>
    <t>75000 m3</t>
  </si>
  <si>
    <t>AMMC_22</t>
  </si>
  <si>
    <t>AMMC_23</t>
  </si>
  <si>
    <t>Siemens Energy, FFI, Geopura</t>
  </si>
  <si>
    <t>73t t/y</t>
  </si>
  <si>
    <t>£3.5m ammonia cracker prototype</t>
  </si>
  <si>
    <t>METHANOL INFRASTRUCTURE AT PORTS DATABASE</t>
  </si>
  <si>
    <t xml:space="preserve">Potential type of Bunkering </t>
  </si>
  <si>
    <t xml:space="preserve">Capacity </t>
  </si>
  <si>
    <t>Tons</t>
  </si>
  <si>
    <t xml:space="preserve">Type of Bunkering </t>
  </si>
  <si>
    <t>PME_1</t>
  </si>
  <si>
    <t>AUMEL</t>
  </si>
  <si>
    <t>ship to ship</t>
  </si>
  <si>
    <t>PME_2</t>
  </si>
  <si>
    <t>JPYOK</t>
  </si>
  <si>
    <t>Mixed (Truck to ship and ship to ship)</t>
  </si>
  <si>
    <t>tbd</t>
  </si>
  <si>
    <t>PME_3</t>
  </si>
  <si>
    <t>CLQTV</t>
  </si>
  <si>
    <t>CHI</t>
  </si>
  <si>
    <t>PME_4</t>
  </si>
  <si>
    <t>CNRIZ</t>
  </si>
  <si>
    <t>MarineTraffic.com</t>
  </si>
  <si>
    <t>https://xueqiu.com/S/00379/25991032</t>
  </si>
  <si>
    <t>PME_5</t>
  </si>
  <si>
    <t>CAQUE</t>
  </si>
  <si>
    <t>PME_6</t>
  </si>
  <si>
    <t>USNYC</t>
  </si>
  <si>
    <t>Ship to ship and truck to ship</t>
  </si>
  <si>
    <t>PME_7</t>
  </si>
  <si>
    <t>CAVAN</t>
  </si>
  <si>
    <t>PME_146</t>
  </si>
  <si>
    <t>PME_93</t>
  </si>
  <si>
    <t>DNV Report</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</si>
</sst>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yyyy/m/d"/>
    <numFmt numFmtId="165" formatCode="yyyy/mm/dd"/>
    <numFmt numFmtId="166" formatCode="0.0000"/>
    <numFmt numFmtId="167" formatCode="0.0"/>
    <numFmt numFmtId="168" formatCode="0.000"/>
    <numFmt numFmtId="169" formatCode="_-* #,##0_-;\-* #,##0_-;_-* &quot;-&quot;??_-;_-@"/>
    <numFmt numFmtId="170" formatCode="0.0E+00"/>
  </numFmts>
  <fonts count="94">
    <font>
      <sz val="10.0"/>
      <color rgb="FF000000"/>
      <name val="Calibri"/>
      <scheme val="minor"/>
    </font>
    <font>
      <sz val="12.0"/>
      <color theme="1"/>
      <name val="Times New Roman"/>
    </font>
    <font>
      <b/>
      <sz val="12.0"/>
      <color theme="1"/>
      <name val="Times New Roman"/>
    </font>
    <font/>
    <font>
      <b/>
      <sz val="12.0"/>
      <color theme="1"/>
      <name val="EB Garamond"/>
    </font>
    <font>
      <sz val="12.0"/>
      <color theme="1"/>
      <name val="EB Garamond"/>
    </font>
    <font>
      <sz val="11.0"/>
      <color rgb="FFFFFFFF"/>
      <name val="Corbel"/>
    </font>
    <font>
      <color theme="1"/>
      <name val="Corbel"/>
    </font>
    <font>
      <sz val="11.0"/>
      <color theme="1"/>
      <name val="Calibri"/>
    </font>
    <font>
      <u/>
      <color rgb="FF0000FF"/>
      <name val="Corbel"/>
    </font>
    <font>
      <u/>
      <color rgb="FF0000FF"/>
      <name val="Corbel"/>
    </font>
    <font>
      <sz val="9.0"/>
      <color theme="1"/>
      <name val="Calibri"/>
    </font>
    <font>
      <sz val="8.0"/>
      <color rgb="FF0070C0"/>
      <name val="Noto Sans Symbols"/>
    </font>
    <font>
      <u/>
      <sz val="11.0"/>
      <color theme="10"/>
      <name val="Calibri"/>
    </font>
    <font>
      <vertAlign val="superscript"/>
      <sz val="9.0"/>
      <color theme="1"/>
      <name val="Calibri"/>
    </font>
    <font>
      <u/>
      <sz val="11.0"/>
      <color theme="10"/>
      <name val="Calibri"/>
    </font>
    <font>
      <sz val="11.0"/>
      <color theme="1"/>
      <name val="Corbel"/>
    </font>
    <font>
      <b/>
      <sz val="11.0"/>
      <color rgb="FF004BFF"/>
      <name val="Corbel"/>
    </font>
    <font>
      <sz val="11.0"/>
      <color rgb="FF004BFF"/>
      <name val="Corbel"/>
    </font>
    <font>
      <sz val="11.0"/>
      <color rgb="FF808080"/>
      <name val="Corbel"/>
    </font>
    <font>
      <sz val="11.0"/>
      <color rgb="FF0070C0"/>
      <name val="Corbel"/>
    </font>
    <font>
      <u/>
      <sz val="11.0"/>
      <color theme="10"/>
      <name val="Corbel"/>
    </font>
    <font>
      <vertAlign val="superscript"/>
      <sz val="11.0"/>
      <color theme="1"/>
      <name val="Corbel"/>
    </font>
    <font>
      <u/>
      <sz val="11.0"/>
      <color theme="10"/>
      <name val="Corbel"/>
    </font>
    <font>
      <sz val="11.0"/>
      <color theme="0"/>
      <name val="Corbel"/>
    </font>
    <font>
      <sz val="20.0"/>
      <color theme="1"/>
      <name val="Corbel"/>
    </font>
    <font>
      <sz val="20.0"/>
      <color theme="0"/>
      <name val="Corbel"/>
    </font>
    <font>
      <b/>
      <sz val="15.0"/>
      <color theme="0"/>
      <name val="Corbel"/>
    </font>
    <font>
      <sz val="10.0"/>
      <color theme="1"/>
      <name val="Corbel"/>
    </font>
    <font>
      <sz val="10.0"/>
      <color theme="1"/>
      <name val="Calibri"/>
    </font>
    <font>
      <sz val="10.0"/>
      <color theme="0"/>
      <name val="Calibri"/>
    </font>
    <font>
      <sz val="10.0"/>
      <color theme="0"/>
      <name val="Corbel"/>
    </font>
    <font>
      <strike/>
      <sz val="10.0"/>
      <color theme="1"/>
      <name val="Corbel"/>
    </font>
    <font>
      <u/>
      <sz val="10.0"/>
      <color theme="1"/>
      <name val="Corbel"/>
    </font>
    <font>
      <sz val="10.0"/>
      <color rgb="FFFF0000"/>
      <name val="Corbel"/>
    </font>
    <font>
      <sz val="10.0"/>
      <color rgb="FF000000"/>
      <name val="Corbel"/>
    </font>
    <font>
      <b/>
      <sz val="14.0"/>
      <color rgb="FF02889E"/>
      <name val="Calibri"/>
    </font>
    <font>
      <b/>
      <sz val="11.0"/>
      <color theme="1"/>
      <name val="Calibri"/>
    </font>
    <font>
      <b/>
      <sz val="11.0"/>
      <color theme="0"/>
      <name val="Calibri"/>
    </font>
    <font>
      <sz val="11.0"/>
      <color rgb="FF000000"/>
      <name val="Calibri"/>
    </font>
    <font>
      <u/>
      <sz val="11.0"/>
      <color theme="10"/>
      <name val="Calibri"/>
    </font>
    <font>
      <u/>
      <sz val="11.0"/>
      <color theme="10"/>
      <name val="Calibri"/>
    </font>
    <font>
      <u/>
      <sz val="11.0"/>
      <color theme="10"/>
      <name val="Calibri"/>
    </font>
    <font>
      <u/>
      <sz val="11.0"/>
      <color theme="10"/>
      <name val="Calibri"/>
    </font>
    <font>
      <u/>
      <sz val="11.0"/>
      <color theme="10"/>
      <name val="Calibri"/>
    </font>
    <font>
      <u/>
      <sz val="11.0"/>
      <color theme="10"/>
      <name val="Calibri"/>
    </font>
    <font>
      <u/>
      <sz val="11.0"/>
      <color rgb="FF9C0006"/>
      <name val="Calibri"/>
    </font>
    <font>
      <sz val="11.0"/>
      <color rgb="FF9C0006"/>
      <name val="Calibri"/>
    </font>
    <font>
      <u/>
      <sz val="11.0"/>
      <color rgb="FF9C0006"/>
      <name val="Calibri"/>
    </font>
    <font>
      <u/>
      <sz val="11.0"/>
      <color theme="10"/>
      <name val="Calibri"/>
    </font>
    <font>
      <u/>
      <sz val="11.0"/>
      <color theme="10"/>
      <name val="Calibri"/>
    </font>
    <font>
      <u/>
      <sz val="11.0"/>
      <color theme="10"/>
      <name val="Calibri"/>
    </font>
    <font>
      <sz val="11.0"/>
      <color theme="10"/>
      <name val="Calibri"/>
    </font>
    <font>
      <u/>
      <sz val="11.0"/>
      <color theme="1"/>
      <name val="Calibri"/>
    </font>
    <font>
      <color theme="1"/>
      <name val="Calibri"/>
    </font>
    <font>
      <sz val="10.0"/>
      <color theme="1"/>
      <name val="Arial"/>
    </font>
    <font>
      <u/>
      <sz val="11.0"/>
      <color theme="10"/>
      <name val="Calibri"/>
    </font>
    <font>
      <u/>
      <sz val="11.0"/>
      <color theme="10"/>
      <name val="Calibri"/>
    </font>
    <font>
      <strike/>
      <sz val="11.0"/>
      <color theme="1"/>
      <name val="Calibri"/>
    </font>
    <font>
      <strike/>
      <u/>
      <sz val="11.0"/>
      <color theme="10"/>
      <name val="Calibri"/>
    </font>
    <font>
      <u/>
      <sz val="11.0"/>
      <color theme="10"/>
      <name val="Calibri"/>
    </font>
    <font>
      <u/>
      <sz val="11.0"/>
      <color rgb="FF0000FF"/>
      <name val="Calibri"/>
    </font>
    <font>
      <color theme="1"/>
      <name val="Calibri"/>
      <scheme val="minor"/>
    </font>
    <font>
      <sz val="10.0"/>
      <color rgb="FF7F7F7F"/>
      <name val="Corbel"/>
    </font>
    <font>
      <b/>
      <sz val="10.0"/>
      <color rgb="FF7F7F7F"/>
      <name val="Corbel"/>
    </font>
    <font>
      <b/>
      <sz val="10.0"/>
      <color theme="0"/>
      <name val="Corbel"/>
    </font>
    <font>
      <sz val="10.0"/>
      <color rgb="FF808080"/>
      <name val="Corbel"/>
    </font>
    <font>
      <b/>
      <sz val="10.0"/>
      <color rgb="FF004BFF"/>
      <name val="Corbel"/>
    </font>
    <font>
      <sz val="10.0"/>
      <color rgb="FF004BFF"/>
      <name val="Corbel"/>
    </font>
    <font>
      <b/>
      <sz val="12.0"/>
      <color rgb="FF004BFF"/>
      <name val="Corbel"/>
    </font>
    <font>
      <sz val="9.0"/>
      <color theme="0"/>
      <name val="Calibri"/>
    </font>
    <font>
      <sz val="8.0"/>
      <color theme="1"/>
      <name val="Calibri"/>
    </font>
    <font>
      <u/>
      <sz val="9.0"/>
      <color theme="10"/>
      <name val="Calibri"/>
    </font>
    <font>
      <u/>
      <sz val="9.0"/>
      <color rgb="FF0000FF"/>
      <name val="Calibri"/>
    </font>
    <font>
      <u/>
      <sz val="9.0"/>
      <color theme="1"/>
      <name val="Calibri"/>
    </font>
    <font>
      <sz val="7.0"/>
      <color theme="1"/>
      <name val="Calibri"/>
    </font>
    <font>
      <u/>
      <sz val="9.0"/>
      <color theme="10"/>
      <name val="Calibri"/>
    </font>
    <font>
      <u/>
      <sz val="9.0"/>
      <color theme="1"/>
      <name val="Calibri"/>
    </font>
    <font>
      <b/>
      <sz val="36.0"/>
      <color theme="0"/>
      <name val="Corbel"/>
    </font>
    <font>
      <u/>
      <sz val="11.0"/>
      <color theme="10"/>
      <name val="Calibri"/>
    </font>
    <font>
      <u/>
      <sz val="11.0"/>
      <color theme="10"/>
      <name val="Calibri"/>
    </font>
    <font>
      <u/>
      <sz val="11.0"/>
      <color theme="10"/>
      <name val="Calibri"/>
    </font>
    <font>
      <sz val="8.0"/>
      <color theme="1"/>
      <name val="Corbel"/>
    </font>
    <font>
      <b/>
      <sz val="10.0"/>
      <color theme="1"/>
      <name val="Corbel"/>
    </font>
    <font>
      <u/>
      <sz val="11.0"/>
      <color theme="10"/>
      <name val="Calibri"/>
    </font>
    <font>
      <u/>
      <sz val="11.0"/>
      <color theme="10"/>
      <name val="Calibri"/>
    </font>
    <font>
      <b/>
      <sz val="10.0"/>
      <color rgb="FFC00000"/>
      <name val="Corbel"/>
    </font>
    <font>
      <sz val="10.0"/>
      <color rgb="FFC00000"/>
      <name val="Corbel"/>
    </font>
    <font>
      <b/>
      <sz val="9.0"/>
      <color theme="0"/>
      <name val="Corbel"/>
    </font>
    <font>
      <u/>
      <sz val="11.0"/>
      <color theme="10"/>
      <name val="Calibri"/>
    </font>
    <font>
      <b/>
      <sz val="11.0"/>
      <color theme="0"/>
      <name val="Corbel"/>
    </font>
    <font>
      <b/>
      <sz val="11.0"/>
      <color theme="1"/>
      <name val="Corbel"/>
    </font>
    <font>
      <u/>
      <sz val="11.0"/>
      <color theme="10"/>
      <name val="Calibri"/>
    </font>
    <font>
      <u/>
      <sz val="9.0"/>
      <color theme="10"/>
      <name val="Calibri"/>
    </font>
  </fonts>
  <fills count="24">
    <fill>
      <patternFill patternType="none"/>
    </fill>
    <fill>
      <patternFill patternType="lightGray"/>
    </fill>
    <fill>
      <patternFill patternType="solid">
        <fgColor rgb="FF5B9BD5"/>
        <bgColor rgb="FF5B9BD5"/>
      </patternFill>
    </fill>
    <fill>
      <patternFill patternType="solid">
        <fgColor rgb="FFBDD6EE"/>
        <bgColor rgb="FFBDD6EE"/>
      </patternFill>
    </fill>
    <fill>
      <patternFill patternType="solid">
        <fgColor rgb="FFDEEAF6"/>
        <bgColor rgb="FFDEEAF6"/>
      </patternFill>
    </fill>
    <fill>
      <patternFill patternType="solid">
        <fgColor theme="0"/>
        <bgColor theme="0"/>
      </patternFill>
    </fill>
    <fill>
      <patternFill patternType="solid">
        <fgColor rgb="FFFFFFFF"/>
        <bgColor rgb="FFFFFFFF"/>
      </patternFill>
    </fill>
    <fill>
      <patternFill patternType="solid">
        <fgColor rgb="FFFBE4D5"/>
        <bgColor rgb="FFFBE4D5"/>
      </patternFill>
    </fill>
    <fill>
      <patternFill patternType="solid">
        <fgColor rgb="FF7030A0"/>
        <bgColor rgb="FF7030A0"/>
      </patternFill>
    </fill>
    <fill>
      <patternFill patternType="solid">
        <fgColor rgb="FFD9E2F3"/>
        <bgColor rgb="FFD9E2F3"/>
      </patternFill>
    </fill>
    <fill>
      <patternFill patternType="solid">
        <fgColor rgb="FF00B050"/>
        <bgColor rgb="FF00B050"/>
      </patternFill>
    </fill>
    <fill>
      <patternFill patternType="solid">
        <fgColor rgb="FFFF6600"/>
        <bgColor rgb="FFFF6600"/>
      </patternFill>
    </fill>
    <fill>
      <patternFill patternType="solid">
        <fgColor rgb="FF004BFF"/>
        <bgColor rgb="FF004BFF"/>
      </patternFill>
    </fill>
    <fill>
      <patternFill patternType="solid">
        <fgColor rgb="FFBFBFBF"/>
        <bgColor rgb="FFBFBFBF"/>
      </patternFill>
    </fill>
    <fill>
      <patternFill patternType="solid">
        <fgColor rgb="FFFFFF00"/>
        <bgColor rgb="FFFFFF00"/>
      </patternFill>
    </fill>
    <fill>
      <patternFill patternType="solid">
        <fgColor rgb="FFE2EFD9"/>
        <bgColor rgb="FFE2EFD9"/>
      </patternFill>
    </fill>
    <fill>
      <patternFill patternType="solid">
        <fgColor rgb="FFD9E1F2"/>
        <bgColor rgb="FFD9E1F2"/>
      </patternFill>
    </fill>
    <fill>
      <patternFill patternType="solid">
        <fgColor rgb="FF02889E"/>
        <bgColor rgb="FF02889E"/>
      </patternFill>
    </fill>
    <fill>
      <patternFill patternType="solid">
        <fgColor rgb="FF0070C0"/>
        <bgColor rgb="FF0070C0"/>
      </patternFill>
    </fill>
    <fill>
      <patternFill patternType="solid">
        <fgColor rgb="FFFFC7CE"/>
        <bgColor rgb="FFFFC7CE"/>
      </patternFill>
    </fill>
    <fill>
      <patternFill patternType="solid">
        <fgColor rgb="FFFF0000"/>
        <bgColor rgb="FFFF0000"/>
      </patternFill>
    </fill>
    <fill>
      <patternFill patternType="solid">
        <fgColor rgb="FFF2F2F2"/>
        <bgColor rgb="FFF2F2F2"/>
      </patternFill>
    </fill>
    <fill>
      <patternFill patternType="solid">
        <fgColor rgb="FFF4B083"/>
        <bgColor rgb="FFF4B083"/>
      </patternFill>
    </fill>
    <fill>
      <patternFill patternType="solid">
        <fgColor rgb="FFFFE598"/>
        <bgColor rgb="FFFFE598"/>
      </patternFill>
    </fill>
  </fills>
  <borders count="51">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ck">
        <color rgb="FF000000"/>
      </left>
      <right style="thick">
        <color rgb="FF000000"/>
      </right>
      <top style="thick">
        <color rgb="FF000000"/>
      </top>
      <bottom style="thick">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rder>
    <border>
      <left style="thin">
        <color theme="0"/>
      </left>
      <right style="thin">
        <color theme="0"/>
      </right>
      <top/>
      <bottom style="thin">
        <color theme="0"/>
      </bottom>
    </border>
    <border>
      <left/>
      <right/>
      <top/>
      <bottom/>
    </border>
    <border>
      <left/>
      <right/>
      <top style="thin">
        <color rgb="FF9CC2E5"/>
      </top>
      <bottom style="thin">
        <color rgb="FF9CC2E5"/>
      </bottom>
    </border>
    <border>
      <left/>
      <right/>
      <top/>
      <bottom style="medium">
        <color rgb="FF9BC2E6"/>
      </bottom>
    </border>
    <border>
      <left/>
      <top/>
    </border>
    <border>
      <top/>
    </border>
    <border>
      <left/>
    </border>
    <border>
      <left/>
      <top/>
      <bottom style="thin">
        <color theme="0"/>
      </bottom>
    </border>
    <border>
      <top/>
      <bottom style="thin">
        <color theme="0"/>
      </bottom>
    </border>
    <border>
      <right style="thin">
        <color theme="0"/>
      </right>
      <top/>
      <bottom style="thin">
        <color theme="0"/>
      </bottom>
    </border>
    <border>
      <left style="thin">
        <color theme="0"/>
      </left>
      <right style="thin">
        <color theme="0"/>
      </right>
      <top style="thin">
        <color theme="0"/>
      </top>
    </border>
    <border>
      <left style="thin">
        <color theme="0"/>
      </left>
      <right/>
      <top style="thin">
        <color theme="0"/>
      </top>
      <bottom/>
    </border>
    <border>
      <left/>
      <right/>
      <top style="thin">
        <color theme="0"/>
      </top>
      <bottom/>
    </border>
    <border>
      <left/>
      <right style="thin">
        <color theme="0"/>
      </right>
      <top style="thin">
        <color theme="0"/>
      </top>
      <bottom/>
    </border>
    <border>
      <left style="thin">
        <color theme="0"/>
      </left>
      <right style="thin">
        <color theme="0"/>
      </right>
      <top style="thin">
        <color theme="0"/>
      </top>
      <bottom/>
    </border>
    <border>
      <left style="thin">
        <color theme="0"/>
      </left>
      <right/>
      <top style="thin">
        <color theme="0"/>
      </top>
      <bottom style="thin">
        <color theme="0"/>
      </bottom>
    </border>
    <border>
      <left/>
      <right/>
      <top style="thin">
        <color theme="0"/>
      </top>
      <bottom style="thin">
        <color theme="0"/>
      </bottom>
    </border>
    <border>
      <left style="thin">
        <color theme="0"/>
      </left>
      <top style="thin">
        <color theme="0"/>
      </top>
      <bottom style="thin">
        <color theme="0"/>
      </bottom>
    </border>
    <border>
      <top style="thin">
        <color theme="0"/>
      </top>
      <bottom style="thin">
        <color theme="0"/>
      </bottom>
    </border>
    <border>
      <right style="thin">
        <color theme="0"/>
      </right>
      <top style="thin">
        <color theme="0"/>
      </top>
      <bottom style="thin">
        <color theme="0"/>
      </bottom>
    </border>
    <border>
      <left style="thin">
        <color theme="0"/>
      </left>
      <top style="thin">
        <color theme="0"/>
      </top>
      <bottom/>
    </border>
    <border>
      <right style="thin">
        <color theme="0"/>
      </right>
      <top style="thin">
        <color theme="0"/>
      </top>
      <bottom/>
    </border>
    <border>
      <left/>
      <right style="thin">
        <color theme="0"/>
      </right>
      <top style="thin">
        <color theme="0"/>
      </top>
      <bottom style="thin">
        <color theme="0"/>
      </bottom>
    </border>
    <border>
      <left style="thin">
        <color theme="0"/>
      </left>
      <right style="thin">
        <color theme="0"/>
      </right>
    </border>
    <border>
      <left style="thin">
        <color theme="0"/>
      </left>
      <right style="thin">
        <color theme="0"/>
      </right>
      <top/>
      <bottom/>
    </border>
    <border>
      <left style="thin">
        <color theme="0"/>
      </left>
      <top/>
      <bottom/>
    </border>
    <border>
      <right style="thin">
        <color theme="0"/>
      </right>
      <top/>
      <bottom/>
    </border>
    <border>
      <left style="thin">
        <color theme="0"/>
      </left>
      <right style="thin">
        <color theme="0"/>
      </right>
      <top style="thin">
        <color theme="0"/>
      </top>
      <bottom style="thin">
        <color theme="0"/>
      </bottom>
    </border>
    <border>
      <bottom style="thin">
        <color rgb="FF9CC2E5"/>
      </bottom>
    </border>
    <border>
      <left/>
      <top/>
      <bottom/>
    </border>
    <border>
      <top/>
      <bottom/>
    </border>
    <border>
      <left style="thin">
        <color theme="0"/>
      </left>
      <top/>
      <bottom style="thin">
        <color theme="0"/>
      </bottom>
    </border>
    <border>
      <left/>
      <right/>
      <top/>
      <bottom style="thin">
        <color theme="0"/>
      </bottom>
    </border>
    <border>
      <left/>
      <right style="thin">
        <color theme="0"/>
      </right>
      <top/>
      <bottom style="thin">
        <color theme="0"/>
      </bottom>
    </border>
    <border>
      <left style="thin">
        <color theme="0"/>
      </left>
      <right style="thin">
        <color theme="0"/>
      </right>
      <bottom style="thin">
        <color theme="0"/>
      </bottom>
    </border>
    <border>
      <left style="thin">
        <color theme="0"/>
      </left>
      <right/>
      <top style="thin">
        <color theme="0"/>
      </top>
    </border>
    <border>
      <left style="thin">
        <color theme="0"/>
      </left>
      <right/>
    </border>
    <border>
      <left style="thin">
        <color theme="0"/>
      </left>
      <top style="thin">
        <color theme="0"/>
      </top>
    </border>
    <border>
      <top style="thin">
        <color theme="0"/>
      </top>
    </border>
    <border>
      <right style="thin">
        <color theme="0"/>
      </right>
      <top style="thin">
        <color theme="0"/>
      </top>
    </border>
    <border>
      <left style="thin">
        <color theme="0"/>
      </left>
    </border>
    <border>
      <right style="thin">
        <color theme="0"/>
      </right>
    </border>
    <border>
      <left style="thin">
        <color rgb="FF9CC2E5"/>
      </left>
      <right/>
      <top style="thin">
        <color rgb="FF9CC2E5"/>
      </top>
      <bottom style="thin">
        <color rgb="FF9CC2E5"/>
      </bottom>
    </border>
  </borders>
  <cellStyleXfs count="1">
    <xf borderId="0" fillId="0" fontId="0" numFmtId="0" applyAlignment="1" applyFont="1"/>
  </cellStyleXfs>
  <cellXfs count="322">
    <xf borderId="0" fillId="0" fontId="0" numFmtId="0" xfId="0" applyAlignment="1" applyFont="1">
      <alignment readingOrder="0" shrinkToFit="0" vertical="bottom" wrapText="0"/>
    </xf>
    <xf borderId="0" fillId="0" fontId="1" numFmtId="0" xfId="0" applyAlignment="1" applyFont="1">
      <alignment horizontal="center" shrinkToFit="0" vertical="center" wrapText="1"/>
    </xf>
    <xf borderId="1" fillId="0" fontId="2" numFmtId="0" xfId="0" applyAlignment="1" applyBorder="1" applyFont="1">
      <alignment horizontal="center" readingOrder="0" shrinkToFit="0" vertical="center" wrapText="1"/>
    </xf>
    <xf borderId="2" fillId="0" fontId="3" numFmtId="0" xfId="0" applyBorder="1" applyFont="1"/>
    <xf borderId="3" fillId="0" fontId="3" numFmtId="0" xfId="0" applyBorder="1" applyFont="1"/>
    <xf borderId="4" fillId="0" fontId="2" numFmtId="0" xfId="0" applyAlignment="1" applyBorder="1" applyFont="1">
      <alignment horizontal="center" readingOrder="0" shrinkToFit="0" vertical="center" wrapText="1"/>
    </xf>
    <xf borderId="3" fillId="0" fontId="2" numFmtId="0" xfId="0" applyAlignment="1" applyBorder="1" applyFont="1">
      <alignment horizontal="center" readingOrder="0" shrinkToFit="0" vertical="center" wrapText="1"/>
    </xf>
    <xf borderId="5" fillId="0" fontId="2" numFmtId="0" xfId="0" applyAlignment="1" applyBorder="1" applyFont="1">
      <alignment horizontal="center" readingOrder="0" shrinkToFit="0" vertical="center" wrapText="1"/>
    </xf>
    <xf borderId="6" fillId="0" fontId="2" numFmtId="0" xfId="0" applyAlignment="1" applyBorder="1" applyFont="1">
      <alignment horizontal="center" readingOrder="0" shrinkToFit="0" vertical="center" wrapText="1"/>
    </xf>
    <xf borderId="5" fillId="0" fontId="1" numFmtId="0" xfId="0" applyAlignment="1" applyBorder="1" applyFont="1">
      <alignment horizontal="center" readingOrder="0" shrinkToFit="0" vertical="center" wrapText="1"/>
    </xf>
    <xf borderId="7" fillId="0" fontId="2" numFmtId="0" xfId="0" applyAlignment="1" applyBorder="1" applyFont="1">
      <alignment horizontal="center" readingOrder="0" shrinkToFit="0" vertical="center" wrapText="1"/>
    </xf>
    <xf borderId="7" fillId="0" fontId="1" numFmtId="0" xfId="0" applyAlignment="1" applyBorder="1" applyFont="1">
      <alignment horizontal="center" readingOrder="0" shrinkToFit="0" vertical="center" wrapText="1"/>
    </xf>
    <xf borderId="7" fillId="0" fontId="1" numFmtId="0" xfId="0" applyAlignment="1" applyBorder="1" applyFont="1">
      <alignment horizontal="center" shrinkToFit="0" vertical="center" wrapText="1"/>
    </xf>
    <xf borderId="0" fillId="0" fontId="1" numFmtId="0" xfId="0" applyAlignment="1" applyFont="1">
      <alignment horizontal="center" readingOrder="0" shrinkToFit="0" vertical="center" wrapText="1"/>
    </xf>
    <xf borderId="0" fillId="0" fontId="4" numFmtId="0" xfId="0" applyAlignment="1" applyFont="1">
      <alignment horizontal="center" readingOrder="0" shrinkToFit="0" vertical="center" wrapText="1"/>
    </xf>
    <xf borderId="0" fillId="0" fontId="5" numFmtId="0" xfId="0" applyAlignment="1" applyFont="1">
      <alignment horizontal="center" shrinkToFit="0" vertical="center" wrapText="1"/>
    </xf>
    <xf borderId="0" fillId="0" fontId="5" numFmtId="0" xfId="0" applyAlignment="1" applyFont="1">
      <alignment horizontal="center" readingOrder="0" shrinkToFit="0" vertical="center" wrapText="1"/>
    </xf>
    <xf borderId="0" fillId="0" fontId="5" numFmtId="164" xfId="0" applyAlignment="1" applyFont="1" applyNumberFormat="1">
      <alignment horizontal="center" readingOrder="0" shrinkToFit="0" vertical="center" wrapText="1"/>
    </xf>
    <xf borderId="0" fillId="0" fontId="5" numFmtId="165" xfId="0" applyAlignment="1" applyFont="1" applyNumberFormat="1">
      <alignment horizontal="center" readingOrder="0" shrinkToFit="0" vertical="center" wrapText="1"/>
    </xf>
    <xf borderId="0" fillId="0" fontId="5" numFmtId="46" xfId="0" applyAlignment="1" applyFont="1" applyNumberFormat="1">
      <alignment horizontal="center" readingOrder="0" shrinkToFit="0" vertical="center" wrapText="1"/>
    </xf>
    <xf borderId="8" fillId="2" fontId="6" numFmtId="0" xfId="0" applyAlignment="1" applyBorder="1" applyFill="1" applyFont="1">
      <alignment shrinkToFit="0" vertical="top" wrapText="1"/>
    </xf>
    <xf borderId="8" fillId="2" fontId="6" numFmtId="0" xfId="0" applyAlignment="1" applyBorder="1" applyFont="1">
      <alignment shrinkToFit="0" vertical="top" wrapText="1"/>
    </xf>
    <xf borderId="9" fillId="3" fontId="7" numFmtId="0" xfId="0" applyBorder="1" applyFill="1" applyFont="1"/>
    <xf borderId="9" fillId="3" fontId="7" numFmtId="0" xfId="0" applyAlignment="1" applyBorder="1" applyFont="1">
      <alignment horizontal="right" shrinkToFit="0" wrapText="1"/>
    </xf>
    <xf borderId="9" fillId="4" fontId="7" numFmtId="0" xfId="0" applyBorder="1" applyFill="1" applyFont="1"/>
    <xf borderId="9" fillId="4" fontId="7" numFmtId="0" xfId="0" applyAlignment="1" applyBorder="1" applyFont="1">
      <alignment horizontal="right" shrinkToFit="0" wrapText="1"/>
    </xf>
    <xf borderId="9" fillId="4" fontId="8" numFmtId="0" xfId="0" applyAlignment="1" applyBorder="1" applyFont="1">
      <alignment shrinkToFit="0" wrapText="1"/>
    </xf>
    <xf borderId="9" fillId="3" fontId="7" numFmtId="0" xfId="0" applyAlignment="1" applyBorder="1" applyFont="1">
      <alignment shrinkToFit="0" wrapText="1"/>
    </xf>
    <xf borderId="9" fillId="4" fontId="7" numFmtId="0" xfId="0" applyAlignment="1" applyBorder="1" applyFont="1">
      <alignment shrinkToFit="0" wrapText="1"/>
    </xf>
    <xf borderId="10" fillId="3" fontId="7" numFmtId="0" xfId="0" applyBorder="1" applyFont="1"/>
    <xf borderId="9" fillId="3" fontId="9" numFmtId="0" xfId="0" applyBorder="1" applyFont="1"/>
    <xf borderId="9" fillId="4" fontId="10" numFmtId="0" xfId="0" applyBorder="1" applyFont="1"/>
    <xf borderId="10" fillId="4" fontId="7" numFmtId="0" xfId="0" applyBorder="1" applyFont="1"/>
    <xf borderId="11" fillId="3" fontId="7" numFmtId="0" xfId="0" applyAlignment="1" applyBorder="1" applyFont="1">
      <alignment shrinkToFit="0" wrapText="1"/>
    </xf>
    <xf borderId="0" fillId="0" fontId="8" numFmtId="0" xfId="0" applyFont="1"/>
    <xf borderId="9" fillId="5" fontId="8" numFmtId="0" xfId="0" applyBorder="1" applyFill="1" applyFont="1"/>
    <xf borderId="9" fillId="6" fontId="8" numFmtId="0" xfId="0" applyBorder="1" applyFill="1" applyFont="1"/>
    <xf borderId="9" fillId="5" fontId="11" numFmtId="0" xfId="0" applyAlignment="1" applyBorder="1" applyFont="1">
      <alignment horizontal="left" shrinkToFit="0" vertical="center" wrapText="1"/>
    </xf>
    <xf borderId="9" fillId="5" fontId="12" numFmtId="0" xfId="0" applyAlignment="1" applyBorder="1" applyFont="1">
      <alignment horizontal="left" shrinkToFit="0" vertical="center" wrapText="1"/>
    </xf>
    <xf borderId="9" fillId="5" fontId="13" numFmtId="0" xfId="0" applyBorder="1" applyFont="1"/>
    <xf borderId="9" fillId="5" fontId="14" numFmtId="0" xfId="0" applyAlignment="1" applyBorder="1" applyFont="1">
      <alignment shrinkToFit="0" wrapText="1"/>
    </xf>
    <xf borderId="9" fillId="5" fontId="15" numFmtId="0" xfId="0" applyAlignment="1" applyBorder="1" applyFont="1">
      <alignment horizontal="left" shrinkToFit="0" wrapText="1"/>
    </xf>
    <xf borderId="9" fillId="5" fontId="8" numFmtId="0" xfId="0" applyAlignment="1" applyBorder="1" applyFont="1">
      <alignment shrinkToFit="0" wrapText="1"/>
    </xf>
    <xf borderId="9" fillId="5" fontId="16" numFmtId="0" xfId="0" applyAlignment="1" applyBorder="1" applyFont="1">
      <alignment horizontal="left" vertical="center"/>
    </xf>
    <xf borderId="0" fillId="0" fontId="16" numFmtId="0" xfId="0" applyAlignment="1" applyFont="1">
      <alignment horizontal="left" vertical="center"/>
    </xf>
    <xf borderId="9" fillId="6" fontId="16" numFmtId="0" xfId="0" applyAlignment="1" applyBorder="1" applyFont="1">
      <alignment horizontal="left" vertical="center"/>
    </xf>
    <xf borderId="9" fillId="5" fontId="17" numFmtId="0" xfId="0" applyAlignment="1" applyBorder="1" applyFont="1">
      <alignment horizontal="left" vertical="center"/>
    </xf>
    <xf borderId="9" fillId="5" fontId="18" numFmtId="0" xfId="0" applyAlignment="1" applyBorder="1" applyFont="1">
      <alignment horizontal="left" vertical="center"/>
    </xf>
    <xf borderId="9" fillId="5" fontId="16" numFmtId="0" xfId="0" applyAlignment="1" applyBorder="1" applyFont="1">
      <alignment horizontal="left" shrinkToFit="0" vertical="center" wrapText="1"/>
    </xf>
    <xf borderId="9" fillId="5" fontId="19" numFmtId="0" xfId="0" applyAlignment="1" applyBorder="1" applyFont="1">
      <alignment horizontal="left" vertical="center"/>
    </xf>
    <xf borderId="9" fillId="5" fontId="20" numFmtId="0" xfId="0" applyAlignment="1" applyBorder="1" applyFont="1">
      <alignment horizontal="left" shrinkToFit="0" vertical="center" wrapText="1"/>
    </xf>
    <xf borderId="9" fillId="5" fontId="21" numFmtId="0" xfId="0" applyAlignment="1" applyBorder="1" applyFont="1">
      <alignment horizontal="left" vertical="center"/>
    </xf>
    <xf borderId="9" fillId="5" fontId="18" numFmtId="0" xfId="0" applyBorder="1" applyFont="1"/>
    <xf borderId="9" fillId="5" fontId="19" numFmtId="0" xfId="0" applyBorder="1" applyFont="1"/>
    <xf borderId="9" fillId="5" fontId="22" numFmtId="0" xfId="0" applyAlignment="1" applyBorder="1" applyFont="1">
      <alignment horizontal="left" shrinkToFit="0" vertical="center" wrapText="1"/>
    </xf>
    <xf borderId="9" fillId="5" fontId="23" numFmtId="0" xfId="0" applyAlignment="1" applyBorder="1" applyFont="1">
      <alignment horizontal="left" shrinkToFit="0" vertical="center" wrapText="1"/>
    </xf>
    <xf borderId="9" fillId="5" fontId="16" numFmtId="0" xfId="0" applyBorder="1" applyFont="1"/>
    <xf borderId="9" fillId="5" fontId="19" numFmtId="0" xfId="0" applyAlignment="1" applyBorder="1" applyFont="1">
      <alignment vertical="center"/>
    </xf>
    <xf borderId="9" fillId="5" fontId="19" numFmtId="2" xfId="0" applyBorder="1" applyFont="1" applyNumberFormat="1"/>
    <xf borderId="12" fillId="5" fontId="19" numFmtId="0" xfId="0" applyAlignment="1" applyBorder="1" applyFont="1">
      <alignment horizontal="left" shrinkToFit="0" wrapText="1"/>
    </xf>
    <xf borderId="13" fillId="0" fontId="3" numFmtId="0" xfId="0" applyBorder="1" applyFont="1"/>
    <xf borderId="14" fillId="0" fontId="3" numFmtId="0" xfId="0" applyBorder="1" applyFont="1"/>
    <xf borderId="9" fillId="5" fontId="17" numFmtId="0" xfId="0" applyBorder="1" applyFont="1"/>
    <xf borderId="9" fillId="7" fontId="16" numFmtId="0" xfId="0" applyAlignment="1" applyBorder="1" applyFill="1" applyFont="1">
      <alignment horizontal="left" vertical="center"/>
    </xf>
    <xf borderId="9" fillId="8" fontId="24" numFmtId="0" xfId="0" applyAlignment="1" applyBorder="1" applyFill="1" applyFont="1">
      <alignment horizontal="left" vertical="center"/>
    </xf>
    <xf borderId="9" fillId="8" fontId="16" numFmtId="0" xfId="0" applyAlignment="1" applyBorder="1" applyFont="1">
      <alignment horizontal="left" vertical="center"/>
    </xf>
    <xf borderId="9" fillId="9" fontId="16" numFmtId="0" xfId="0" applyAlignment="1" applyBorder="1" applyFill="1" applyFont="1">
      <alignment vertical="center"/>
    </xf>
    <xf borderId="9" fillId="10" fontId="16" numFmtId="0" xfId="0" applyAlignment="1" applyBorder="1" applyFill="1" applyFont="1">
      <alignment vertical="center"/>
    </xf>
    <xf borderId="9" fillId="11" fontId="16" numFmtId="0" xfId="0" applyAlignment="1" applyBorder="1" applyFill="1" applyFont="1">
      <alignment vertical="center"/>
    </xf>
    <xf borderId="9" fillId="5" fontId="24" numFmtId="0" xfId="0" applyAlignment="1" applyBorder="1" applyFont="1">
      <alignment horizontal="left" shrinkToFit="0" vertical="center" wrapText="1"/>
    </xf>
    <xf borderId="15" fillId="12" fontId="25" numFmtId="0" xfId="0" applyAlignment="1" applyBorder="1" applyFill="1" applyFont="1">
      <alignment horizontal="center" shrinkToFit="0" vertical="center" wrapText="1"/>
    </xf>
    <xf borderId="16" fillId="0" fontId="3" numFmtId="0" xfId="0" applyBorder="1" applyFont="1"/>
    <xf borderId="17" fillId="0" fontId="3" numFmtId="0" xfId="0" applyBorder="1" applyFont="1"/>
    <xf borderId="9" fillId="12" fontId="25" numFmtId="0" xfId="0" applyAlignment="1" applyBorder="1" applyFont="1">
      <alignment horizontal="center" shrinkToFit="0" vertical="center" wrapText="1"/>
    </xf>
    <xf borderId="9" fillId="10" fontId="26" numFmtId="0" xfId="0" applyAlignment="1" applyBorder="1" applyFont="1">
      <alignment shrinkToFit="0" vertical="center" wrapText="1"/>
    </xf>
    <xf borderId="0" fillId="0" fontId="16" numFmtId="0" xfId="0" applyAlignment="1" applyFont="1">
      <alignment shrinkToFit="0" wrapText="1"/>
    </xf>
    <xf borderId="18" fillId="12" fontId="24" numFmtId="0" xfId="0" applyAlignment="1" applyBorder="1" applyFont="1">
      <alignment horizontal="center" shrinkToFit="0" vertical="center" wrapText="1"/>
    </xf>
    <xf borderId="18" fillId="12" fontId="24" numFmtId="0" xfId="0" applyAlignment="1" applyBorder="1" applyFont="1">
      <alignment horizontal="center" shrinkToFit="0" textRotation="90" vertical="center" wrapText="1"/>
    </xf>
    <xf borderId="19" fillId="12" fontId="24" numFmtId="0" xfId="0" applyAlignment="1" applyBorder="1" applyFont="1">
      <alignment vertical="center"/>
    </xf>
    <xf borderId="20" fillId="12" fontId="24" numFmtId="0" xfId="0" applyAlignment="1" applyBorder="1" applyFont="1">
      <alignment vertical="center"/>
    </xf>
    <xf borderId="21" fillId="12" fontId="24" numFmtId="0" xfId="0" applyAlignment="1" applyBorder="1" applyFont="1">
      <alignment vertical="center"/>
    </xf>
    <xf borderId="22" fillId="12" fontId="24" numFmtId="0" xfId="0" applyAlignment="1" applyBorder="1" applyFont="1">
      <alignment vertical="center"/>
    </xf>
    <xf borderId="23" fillId="12" fontId="24" numFmtId="0" xfId="0" applyAlignment="1" applyBorder="1" applyFont="1">
      <alignment vertical="center"/>
    </xf>
    <xf borderId="24" fillId="12" fontId="24" numFmtId="0" xfId="0" applyAlignment="1" applyBorder="1" applyFont="1">
      <alignment vertical="center"/>
    </xf>
    <xf borderId="22" fillId="12" fontId="24" numFmtId="0" xfId="0" applyAlignment="1" applyBorder="1" applyFont="1">
      <alignment shrinkToFit="0" vertical="center" wrapText="1"/>
    </xf>
    <xf borderId="25" fillId="12" fontId="24" numFmtId="0" xfId="0" applyAlignment="1" applyBorder="1" applyFont="1">
      <alignment horizontal="center" vertical="center"/>
    </xf>
    <xf borderId="26" fillId="0" fontId="3" numFmtId="0" xfId="0" applyBorder="1" applyFont="1"/>
    <xf borderId="27" fillId="0" fontId="3" numFmtId="0" xfId="0" applyBorder="1" applyFont="1"/>
    <xf borderId="28" fillId="12" fontId="24" numFmtId="0" xfId="0" applyAlignment="1" applyBorder="1" applyFont="1">
      <alignment horizontal="center" shrinkToFit="0" vertical="center" wrapText="1"/>
    </xf>
    <xf borderId="29" fillId="0" fontId="3" numFmtId="0" xfId="0" applyBorder="1" applyFont="1"/>
    <xf borderId="30" fillId="10" fontId="27" numFmtId="0" xfId="0" applyAlignment="1" applyBorder="1" applyFont="1">
      <alignment horizontal="center" shrinkToFit="0" vertical="center" wrapText="1"/>
    </xf>
    <xf borderId="24" fillId="10" fontId="27" numFmtId="0" xfId="0" applyAlignment="1" applyBorder="1" applyFont="1">
      <alignment horizontal="center" shrinkToFit="0" vertical="center" wrapText="1"/>
    </xf>
    <xf borderId="0" fillId="0" fontId="16" numFmtId="0" xfId="0" applyAlignment="1" applyFont="1">
      <alignment horizontal="center" vertical="center"/>
    </xf>
    <xf borderId="31" fillId="0" fontId="3" numFmtId="0" xfId="0" applyBorder="1" applyFont="1"/>
    <xf borderId="22" fillId="12" fontId="24" numFmtId="0" xfId="0" applyAlignment="1" applyBorder="1" applyFont="1">
      <alignment horizontal="center" vertical="center"/>
    </xf>
    <xf borderId="22" fillId="12" fontId="24" numFmtId="0" xfId="0" applyAlignment="1" applyBorder="1" applyFont="1">
      <alignment horizontal="center" shrinkToFit="0" vertical="center" wrapText="1"/>
    </xf>
    <xf borderId="32" fillId="12" fontId="24" numFmtId="0" xfId="0" applyAlignment="1" applyBorder="1" applyFont="1">
      <alignment vertical="center"/>
    </xf>
    <xf borderId="22" fillId="12" fontId="24" numFmtId="0" xfId="0" applyAlignment="1" applyBorder="1" applyFont="1">
      <alignment horizontal="center" textRotation="90" vertical="center"/>
    </xf>
    <xf borderId="32" fillId="12" fontId="24" numFmtId="0" xfId="0" applyAlignment="1" applyBorder="1" applyFont="1">
      <alignment shrinkToFit="0" vertical="center" wrapText="1"/>
    </xf>
    <xf borderId="33" fillId="12" fontId="24" numFmtId="0" xfId="0" applyAlignment="1" applyBorder="1" applyFont="1">
      <alignment horizontal="center" shrinkToFit="0" vertical="center" wrapText="1"/>
    </xf>
    <xf borderId="34" fillId="0" fontId="3" numFmtId="0" xfId="0" applyBorder="1" applyFont="1"/>
    <xf borderId="30" fillId="13" fontId="24" numFmtId="0" xfId="0" applyAlignment="1" applyBorder="1" applyFill="1" applyFont="1">
      <alignment horizontal="center" shrinkToFit="0" vertical="center" wrapText="1"/>
    </xf>
    <xf borderId="22" fillId="14" fontId="16" numFmtId="0" xfId="0" applyAlignment="1" applyBorder="1" applyFill="1" applyFont="1">
      <alignment shrinkToFit="0" vertical="center" wrapText="1"/>
    </xf>
    <xf borderId="8" fillId="12" fontId="24" numFmtId="0" xfId="0" applyAlignment="1" applyBorder="1" applyFont="1">
      <alignment shrinkToFit="0" vertical="top" wrapText="1"/>
    </xf>
    <xf borderId="8" fillId="12" fontId="24" numFmtId="0" xfId="0" applyAlignment="1" applyBorder="1" applyFont="1">
      <alignment shrinkToFit="0" textRotation="90" vertical="top" wrapText="1"/>
    </xf>
    <xf borderId="8" fillId="12" fontId="24" numFmtId="0" xfId="0" applyAlignment="1" applyBorder="1" applyFont="1">
      <alignment vertical="top"/>
    </xf>
    <xf borderId="8" fillId="12" fontId="24" numFmtId="0" xfId="0" applyAlignment="1" applyBorder="1" applyFont="1">
      <alignment horizontal="center" shrinkToFit="0" vertical="top" wrapText="1"/>
    </xf>
    <xf borderId="8" fillId="12" fontId="24" numFmtId="0" xfId="0" applyAlignment="1" applyBorder="1" applyFont="1">
      <alignment textRotation="90" vertical="top"/>
    </xf>
    <xf borderId="8" fillId="12" fontId="24" numFmtId="0" xfId="0" applyAlignment="1" applyBorder="1" applyFont="1">
      <alignment shrinkToFit="0" vertical="center" wrapText="1"/>
    </xf>
    <xf borderId="35" fillId="13" fontId="24" numFmtId="0" xfId="0" applyAlignment="1" applyBorder="1" applyFont="1">
      <alignment horizontal="center" shrinkToFit="0" vertical="center" wrapText="1"/>
    </xf>
    <xf borderId="35" fillId="10" fontId="24" numFmtId="0" xfId="0" applyAlignment="1" applyBorder="1" applyFont="1">
      <alignment horizontal="center" shrinkToFit="0" vertical="center" wrapText="1"/>
    </xf>
    <xf borderId="9" fillId="9" fontId="28" numFmtId="0" xfId="0" applyAlignment="1" applyBorder="1" applyFont="1">
      <alignment vertical="center"/>
    </xf>
    <xf borderId="9" fillId="7" fontId="29" numFmtId="0" xfId="0" applyAlignment="1" applyBorder="1" applyFont="1">
      <alignment horizontal="left" shrinkToFit="0" vertical="center" wrapText="1"/>
    </xf>
    <xf borderId="9" fillId="7" fontId="29" numFmtId="1" xfId="0" applyAlignment="1" applyBorder="1" applyFont="1" applyNumberFormat="1">
      <alignment horizontal="center" shrinkToFit="0" vertical="center" wrapText="1"/>
    </xf>
    <xf borderId="9" fillId="7" fontId="29" numFmtId="0" xfId="0" applyAlignment="1" applyBorder="1" applyFont="1">
      <alignment horizontal="center" shrinkToFit="0" vertical="center" wrapText="1"/>
    </xf>
    <xf borderId="9" fillId="13" fontId="28" numFmtId="166" xfId="0" applyAlignment="1" applyBorder="1" applyFont="1" applyNumberFormat="1">
      <alignment horizontal="center" vertical="center"/>
    </xf>
    <xf borderId="9" fillId="15" fontId="28" numFmtId="0" xfId="0" applyAlignment="1" applyBorder="1" applyFill="1" applyFont="1">
      <alignment vertical="center"/>
    </xf>
    <xf borderId="0" fillId="0" fontId="28" numFmtId="0" xfId="0" applyAlignment="1" applyFont="1">
      <alignment vertical="center"/>
    </xf>
    <xf borderId="9" fillId="8" fontId="30" numFmtId="0" xfId="0" applyAlignment="1" applyBorder="1" applyFont="1">
      <alignment horizontal="left" shrinkToFit="0" vertical="center" wrapText="1"/>
    </xf>
    <xf borderId="9" fillId="8" fontId="31" numFmtId="0" xfId="0" applyAlignment="1" applyBorder="1" applyFont="1">
      <alignment vertical="center"/>
    </xf>
    <xf borderId="9" fillId="8" fontId="31" numFmtId="2" xfId="0" applyAlignment="1" applyBorder="1" applyFont="1" applyNumberFormat="1">
      <alignment horizontal="center" vertical="center"/>
    </xf>
    <xf borderId="9" fillId="8" fontId="31" numFmtId="1" xfId="0" applyAlignment="1" applyBorder="1" applyFont="1" applyNumberFormat="1">
      <alignment horizontal="center" vertical="center"/>
    </xf>
    <xf borderId="9" fillId="8" fontId="31" numFmtId="167" xfId="0" applyAlignment="1" applyBorder="1" applyFont="1" applyNumberFormat="1">
      <alignment horizontal="center" vertical="center"/>
    </xf>
    <xf borderId="9" fillId="8" fontId="31" numFmtId="0" xfId="0" applyAlignment="1" applyBorder="1" applyFont="1">
      <alignment shrinkToFit="0" vertical="center" wrapText="1"/>
    </xf>
    <xf borderId="9" fillId="9" fontId="28" numFmtId="0" xfId="0" applyAlignment="1" applyBorder="1" applyFont="1">
      <alignment horizontal="center" vertical="center"/>
    </xf>
    <xf borderId="9" fillId="9" fontId="28" numFmtId="1" xfId="0" applyAlignment="1" applyBorder="1" applyFont="1" applyNumberFormat="1">
      <alignment horizontal="center" vertical="center"/>
    </xf>
    <xf borderId="9" fillId="9" fontId="28" numFmtId="167" xfId="0" applyAlignment="1" applyBorder="1" applyFont="1" applyNumberFormat="1">
      <alignment horizontal="center" vertical="center"/>
    </xf>
    <xf borderId="9" fillId="9" fontId="28" numFmtId="0" xfId="0" applyAlignment="1" applyBorder="1" applyFont="1">
      <alignment shrinkToFit="0" vertical="center" wrapText="1"/>
    </xf>
    <xf borderId="9" fillId="9" fontId="28" numFmtId="0" xfId="0" applyAlignment="1" applyBorder="1" applyFont="1">
      <alignment horizontal="center" shrinkToFit="0" vertical="center" wrapText="1"/>
    </xf>
    <xf borderId="9" fillId="9" fontId="28" numFmtId="168" xfId="0" applyAlignment="1" applyBorder="1" applyFont="1" applyNumberFormat="1">
      <alignment horizontal="center" vertical="center"/>
    </xf>
    <xf borderId="9" fillId="9" fontId="8" numFmtId="0" xfId="0" applyAlignment="1" applyBorder="1" applyFont="1">
      <alignment horizontal="left" shrinkToFit="0" vertical="center" wrapText="1"/>
    </xf>
    <xf borderId="9" fillId="9" fontId="28" numFmtId="169" xfId="0" applyAlignment="1" applyBorder="1" applyFont="1" applyNumberFormat="1">
      <alignment horizontal="center" vertical="center"/>
    </xf>
    <xf borderId="9" fillId="11" fontId="28" numFmtId="0" xfId="0" applyAlignment="1" applyBorder="1" applyFont="1">
      <alignment vertical="center"/>
    </xf>
    <xf borderId="9" fillId="11" fontId="28" numFmtId="0" xfId="0" applyAlignment="1" applyBorder="1" applyFont="1">
      <alignment vertical="center"/>
    </xf>
    <xf borderId="9" fillId="11" fontId="28" numFmtId="0" xfId="0" applyAlignment="1" applyBorder="1" applyFont="1">
      <alignment horizontal="center" vertical="center"/>
    </xf>
    <xf borderId="9" fillId="11" fontId="28" numFmtId="1" xfId="0" applyAlignment="1" applyBorder="1" applyFont="1" applyNumberFormat="1">
      <alignment horizontal="center" vertical="center"/>
    </xf>
    <xf borderId="9" fillId="11" fontId="28" numFmtId="167" xfId="0" applyAlignment="1" applyBorder="1" applyFont="1" applyNumberFormat="1">
      <alignment horizontal="center" vertical="center"/>
    </xf>
    <xf borderId="9" fillId="11" fontId="28" numFmtId="0" xfId="0" applyAlignment="1" applyBorder="1" applyFont="1">
      <alignment shrinkToFit="0" vertical="center" wrapText="1"/>
    </xf>
    <xf borderId="9" fillId="9" fontId="28" numFmtId="166" xfId="0" applyAlignment="1" applyBorder="1" applyFont="1" applyNumberFormat="1">
      <alignment horizontal="center" vertical="center"/>
    </xf>
    <xf borderId="9" fillId="10" fontId="28" numFmtId="0" xfId="0" applyAlignment="1" applyBorder="1" applyFont="1">
      <alignment vertical="center"/>
    </xf>
    <xf borderId="9" fillId="10" fontId="28" numFmtId="0" xfId="0" applyAlignment="1" applyBorder="1" applyFont="1">
      <alignment horizontal="center" vertical="center"/>
    </xf>
    <xf borderId="9" fillId="10" fontId="28" numFmtId="167" xfId="0" applyAlignment="1" applyBorder="1" applyFont="1" applyNumberFormat="1">
      <alignment horizontal="center" vertical="center"/>
    </xf>
    <xf borderId="9" fillId="10" fontId="28" numFmtId="1" xfId="0" applyAlignment="1" applyBorder="1" applyFont="1" applyNumberFormat="1">
      <alignment horizontal="center" vertical="center"/>
    </xf>
    <xf borderId="9" fillId="10" fontId="28" numFmtId="0" xfId="0" applyAlignment="1" applyBorder="1" applyFont="1">
      <alignment shrinkToFit="0" vertical="center" wrapText="1"/>
    </xf>
    <xf borderId="0" fillId="0" fontId="32" numFmtId="0" xfId="0" applyAlignment="1" applyFont="1">
      <alignment vertical="center"/>
    </xf>
    <xf borderId="10" fillId="9" fontId="28" numFmtId="0" xfId="0" applyAlignment="1" applyBorder="1" applyFont="1">
      <alignment vertical="center"/>
    </xf>
    <xf borderId="9" fillId="9" fontId="28" numFmtId="2" xfId="0" applyAlignment="1" applyBorder="1" applyFont="1" applyNumberFormat="1">
      <alignment horizontal="center" vertical="center"/>
    </xf>
    <xf borderId="9" fillId="9" fontId="32" numFmtId="0" xfId="0" applyAlignment="1" applyBorder="1" applyFont="1">
      <alignment vertical="center"/>
    </xf>
    <xf borderId="9" fillId="9" fontId="33" numFmtId="0" xfId="0" applyAlignment="1" applyBorder="1" applyFont="1">
      <alignment vertical="center"/>
    </xf>
    <xf borderId="9" fillId="15" fontId="28" numFmtId="2" xfId="0" applyAlignment="1" applyBorder="1" applyFont="1" applyNumberFormat="1">
      <alignment vertical="center"/>
    </xf>
    <xf borderId="9" fillId="9" fontId="28" numFmtId="0" xfId="0" applyAlignment="1" applyBorder="1" applyFont="1">
      <alignment horizontal="left" vertical="center"/>
    </xf>
    <xf borderId="10" fillId="9" fontId="28" numFmtId="167" xfId="0" applyAlignment="1" applyBorder="1" applyFont="1" applyNumberFormat="1">
      <alignment horizontal="center" vertical="center"/>
    </xf>
    <xf borderId="10" fillId="9" fontId="28" numFmtId="1" xfId="0" applyAlignment="1" applyBorder="1" applyFont="1" applyNumberFormat="1">
      <alignment horizontal="center" vertical="center"/>
    </xf>
    <xf borderId="10" fillId="9" fontId="28" numFmtId="0" xfId="0" applyAlignment="1" applyBorder="1" applyFont="1">
      <alignment shrinkToFit="0" vertical="center" wrapText="1"/>
    </xf>
    <xf borderId="10" fillId="15" fontId="28" numFmtId="0" xfId="0" applyAlignment="1" applyBorder="1" applyFont="1">
      <alignment vertical="center"/>
    </xf>
    <xf borderId="9" fillId="7" fontId="28" numFmtId="0" xfId="0" applyAlignment="1" applyBorder="1" applyFont="1">
      <alignment vertical="center"/>
    </xf>
    <xf borderId="9" fillId="13" fontId="28" numFmtId="0" xfId="0" applyAlignment="1" applyBorder="1" applyFont="1">
      <alignment vertical="center"/>
    </xf>
    <xf borderId="9" fillId="9" fontId="34" numFmtId="1" xfId="0" applyAlignment="1" applyBorder="1" applyFont="1" applyNumberFormat="1">
      <alignment horizontal="center" vertical="center"/>
    </xf>
    <xf borderId="9" fillId="8" fontId="31" numFmtId="0" xfId="0" applyAlignment="1" applyBorder="1" applyFont="1">
      <alignment vertical="center"/>
    </xf>
    <xf borderId="11" fillId="16" fontId="35" numFmtId="0" xfId="0" applyAlignment="1" applyBorder="1" applyFill="1" applyFont="1">
      <alignment shrinkToFit="0" vertical="center" wrapText="1"/>
    </xf>
    <xf borderId="36" fillId="0" fontId="28" numFmtId="0" xfId="0" applyAlignment="1" applyBorder="1" applyFont="1">
      <alignment vertical="center"/>
    </xf>
    <xf borderId="9" fillId="5" fontId="36" numFmtId="0" xfId="0" applyAlignment="1" applyBorder="1" applyFont="1">
      <alignment horizontal="left" vertical="top"/>
    </xf>
    <xf borderId="9" fillId="5" fontId="37" numFmtId="0" xfId="0" applyAlignment="1" applyBorder="1" applyFont="1">
      <alignment horizontal="left" vertical="top"/>
    </xf>
    <xf borderId="9" fillId="17" fontId="38" numFmtId="0" xfId="0" applyAlignment="1" applyBorder="1" applyFill="1" applyFont="1">
      <alignment horizontal="left" shrinkToFit="0" vertical="top" wrapText="1"/>
    </xf>
    <xf borderId="9" fillId="18" fontId="38" numFmtId="0" xfId="0" applyAlignment="1" applyBorder="1" applyFill="1" applyFont="1">
      <alignment horizontal="left" shrinkToFit="0" vertical="top" wrapText="1"/>
    </xf>
    <xf borderId="9" fillId="5" fontId="8" numFmtId="0" xfId="0" applyAlignment="1" applyBorder="1" applyFont="1">
      <alignment horizontal="left" vertical="top"/>
    </xf>
    <xf borderId="9" fillId="5" fontId="39" numFmtId="0" xfId="0" applyAlignment="1" applyBorder="1" applyFont="1">
      <alignment horizontal="left" vertical="top"/>
    </xf>
    <xf borderId="9" fillId="5" fontId="40" numFmtId="0" xfId="0" applyAlignment="1" applyBorder="1" applyFont="1">
      <alignment horizontal="left" vertical="top"/>
    </xf>
    <xf borderId="0" fillId="0" fontId="41" numFmtId="0" xfId="0" applyFont="1"/>
    <xf borderId="9" fillId="5" fontId="42" numFmtId="0" xfId="0" applyAlignment="1" applyBorder="1" applyFont="1">
      <alignment horizontal="left"/>
    </xf>
    <xf borderId="0" fillId="0" fontId="43" numFmtId="0" xfId="0" applyAlignment="1" applyFont="1">
      <alignment shrinkToFit="0" vertical="center" wrapText="1"/>
    </xf>
    <xf borderId="9" fillId="19" fontId="44" numFmtId="0" xfId="0" applyAlignment="1" applyBorder="1" applyFill="1" applyFont="1">
      <alignment horizontal="left" vertical="center"/>
    </xf>
    <xf borderId="9" fillId="19" fontId="45" numFmtId="0" xfId="0" applyBorder="1" applyFont="1"/>
    <xf borderId="9" fillId="19" fontId="46" numFmtId="0" xfId="0" applyBorder="1" applyFont="1"/>
    <xf borderId="9" fillId="19" fontId="47" numFmtId="0" xfId="0" applyBorder="1" applyFont="1"/>
    <xf borderId="9" fillId="19" fontId="48" numFmtId="0" xfId="0" applyAlignment="1" applyBorder="1" applyFont="1">
      <alignment horizontal="left" shrinkToFit="0" vertical="center" wrapText="1"/>
    </xf>
    <xf borderId="9" fillId="19" fontId="49" numFmtId="0" xfId="0" applyAlignment="1" applyBorder="1" applyFont="1">
      <alignment shrinkToFit="0" wrapText="1"/>
    </xf>
    <xf borderId="0" fillId="0" fontId="50" numFmtId="0" xfId="0" applyAlignment="1" applyFont="1">
      <alignment horizontal="left" shrinkToFit="0" vertical="center" wrapText="1"/>
    </xf>
    <xf borderId="0" fillId="0" fontId="51" numFmtId="0" xfId="0" applyAlignment="1" applyFont="1">
      <alignment vertical="center"/>
    </xf>
    <xf borderId="9" fillId="5" fontId="52" numFmtId="0" xfId="0" applyAlignment="1" applyBorder="1" applyFont="1">
      <alignment horizontal="left" vertical="top"/>
    </xf>
    <xf borderId="9" fillId="5" fontId="53" numFmtId="0" xfId="0" applyAlignment="1" applyBorder="1" applyFont="1">
      <alignment horizontal="left" vertical="top"/>
    </xf>
    <xf borderId="9" fillId="5" fontId="8" numFmtId="0" xfId="0" applyAlignment="1" applyBorder="1" applyFont="1">
      <alignment horizontal="left" shrinkToFit="0" vertical="top" wrapText="1"/>
    </xf>
    <xf borderId="0" fillId="0" fontId="54" numFmtId="0" xfId="0" applyFont="1"/>
    <xf borderId="0" fillId="0" fontId="55" numFmtId="0" xfId="0" applyFont="1"/>
    <xf borderId="9" fillId="20" fontId="56" numFmtId="0" xfId="0" applyAlignment="1" applyBorder="1" applyFill="1" applyFont="1">
      <alignment horizontal="left" vertical="top"/>
    </xf>
    <xf borderId="0" fillId="0" fontId="57" numFmtId="0" xfId="0" applyAlignment="1" applyFont="1">
      <alignment horizontal="left" vertical="top"/>
    </xf>
    <xf borderId="9" fillId="5" fontId="58" numFmtId="0" xfId="0" applyAlignment="1" applyBorder="1" applyFont="1">
      <alignment horizontal="left" vertical="top"/>
    </xf>
    <xf borderId="9" fillId="5" fontId="59" numFmtId="0" xfId="0" applyAlignment="1" applyBorder="1" applyFont="1">
      <alignment horizontal="left" vertical="top"/>
    </xf>
    <xf borderId="9" fillId="14" fontId="8" numFmtId="0" xfId="0" applyAlignment="1" applyBorder="1" applyFont="1">
      <alignment horizontal="left" vertical="top"/>
    </xf>
    <xf borderId="0" fillId="0" fontId="8" numFmtId="0" xfId="0" applyFont="1"/>
    <xf borderId="0" fillId="0" fontId="8" numFmtId="0" xfId="0" applyAlignment="1" applyFont="1">
      <alignment shrinkToFit="0" wrapText="1"/>
    </xf>
    <xf borderId="0" fillId="0" fontId="60" numFmtId="0" xfId="0" applyAlignment="1" applyFont="1">
      <alignment shrinkToFit="0" wrapText="1"/>
    </xf>
    <xf borderId="0" fillId="0" fontId="61" numFmtId="0" xfId="0" applyFont="1"/>
    <xf borderId="37" fillId="9" fontId="8" numFmtId="0" xfId="0" applyAlignment="1" applyBorder="1" applyFont="1">
      <alignment horizontal="center"/>
    </xf>
    <xf borderId="38" fillId="0" fontId="3" numFmtId="0" xfId="0" applyBorder="1" applyFont="1"/>
    <xf borderId="9" fillId="9" fontId="37" numFmtId="0" xfId="0" applyBorder="1" applyFont="1"/>
    <xf borderId="9" fillId="9" fontId="8" numFmtId="0" xfId="0" applyBorder="1" applyFont="1"/>
    <xf borderId="37" fillId="15" fontId="8" numFmtId="0" xfId="0" applyAlignment="1" applyBorder="1" applyFont="1">
      <alignment horizontal="center"/>
    </xf>
    <xf borderId="9" fillId="15" fontId="37" numFmtId="0" xfId="0" applyBorder="1" applyFont="1"/>
    <xf borderId="9" fillId="15" fontId="8" numFmtId="0" xfId="0" applyBorder="1" applyFont="1"/>
    <xf borderId="0" fillId="0" fontId="62" numFmtId="0" xfId="0" applyFont="1"/>
    <xf borderId="0" fillId="0" fontId="37" numFmtId="0" xfId="0" applyFont="1"/>
    <xf borderId="0" fillId="0" fontId="54" numFmtId="0" xfId="0" applyFont="1"/>
    <xf borderId="9" fillId="5" fontId="17" numFmtId="0" xfId="0" applyAlignment="1" applyBorder="1" applyFont="1">
      <alignment vertical="center"/>
    </xf>
    <xf borderId="12" fillId="5" fontId="17" numFmtId="0" xfId="0" applyAlignment="1" applyBorder="1" applyFont="1">
      <alignment horizontal="left" shrinkToFit="0" vertical="top" wrapText="1"/>
    </xf>
    <xf borderId="9" fillId="5" fontId="28" numFmtId="0" xfId="0" applyAlignment="1" applyBorder="1" applyFont="1">
      <alignment vertical="top"/>
    </xf>
    <xf borderId="9" fillId="5" fontId="17" numFmtId="0" xfId="0" applyAlignment="1" applyBorder="1" applyFont="1">
      <alignment horizontal="left" vertical="top"/>
    </xf>
    <xf borderId="9" fillId="5" fontId="63" numFmtId="0" xfId="0" applyAlignment="1" applyBorder="1" applyFont="1">
      <alignment horizontal="left" vertical="top"/>
    </xf>
    <xf borderId="9" fillId="5" fontId="28" numFmtId="0" xfId="0" applyAlignment="1" applyBorder="1" applyFont="1">
      <alignment horizontal="left" vertical="top"/>
    </xf>
    <xf borderId="9" fillId="5" fontId="64" numFmtId="0" xfId="0" applyAlignment="1" applyBorder="1" applyFont="1">
      <alignment vertical="top"/>
    </xf>
    <xf borderId="9" fillId="5" fontId="63" numFmtId="0" xfId="0" applyAlignment="1" applyBorder="1" applyFont="1">
      <alignment horizontal="left" shrinkToFit="0" vertical="top" wrapText="1"/>
    </xf>
    <xf borderId="9" fillId="5" fontId="28" numFmtId="0" xfId="0" applyAlignment="1" applyBorder="1" applyFont="1">
      <alignment shrinkToFit="0" vertical="top" wrapText="1"/>
    </xf>
    <xf borderId="9" fillId="5" fontId="64" numFmtId="0" xfId="0" applyAlignment="1" applyBorder="1" applyFont="1">
      <alignment horizontal="left" vertical="top"/>
    </xf>
    <xf borderId="9" fillId="5" fontId="65" numFmtId="0" xfId="0" applyAlignment="1" applyBorder="1" applyFont="1">
      <alignment horizontal="center" shrinkToFit="0" vertical="top" wrapText="1"/>
    </xf>
    <xf borderId="9" fillId="5" fontId="66" numFmtId="0" xfId="0" applyAlignment="1" applyBorder="1" applyFont="1">
      <alignment horizontal="left" vertical="top"/>
    </xf>
    <xf borderId="9" fillId="5" fontId="66" numFmtId="0" xfId="0" applyAlignment="1" applyBorder="1" applyFont="1">
      <alignment vertical="top"/>
    </xf>
    <xf borderId="9" fillId="5" fontId="65" numFmtId="1" xfId="0" applyAlignment="1" applyBorder="1" applyFont="1" applyNumberFormat="1">
      <alignment horizontal="center" shrinkToFit="0" vertical="top" wrapText="1"/>
    </xf>
    <xf borderId="37" fillId="5" fontId="63" numFmtId="0" xfId="0" applyAlignment="1" applyBorder="1" applyFont="1">
      <alignment horizontal="left" shrinkToFit="0" vertical="top" wrapText="1"/>
    </xf>
    <xf borderId="9" fillId="5" fontId="28" numFmtId="0" xfId="0" applyAlignment="1" applyBorder="1" applyFont="1">
      <alignment horizontal="left" shrinkToFit="0" vertical="top" wrapText="1"/>
    </xf>
    <xf borderId="9" fillId="5" fontId="67" numFmtId="0" xfId="0" applyBorder="1" applyFont="1"/>
    <xf borderId="9" fillId="5" fontId="68" numFmtId="0" xfId="0" applyBorder="1" applyFont="1"/>
    <xf borderId="9" fillId="5" fontId="66" numFmtId="0" xfId="0" applyBorder="1" applyFont="1"/>
    <xf borderId="9" fillId="5" fontId="63" numFmtId="0" xfId="0" applyAlignment="1" applyBorder="1" applyFont="1">
      <alignment horizontal="left"/>
    </xf>
    <xf borderId="9" fillId="5" fontId="28" numFmtId="0" xfId="0" applyAlignment="1" applyBorder="1" applyFont="1">
      <alignment horizontal="left"/>
    </xf>
    <xf borderId="9" fillId="5" fontId="28" numFmtId="0" xfId="0" applyBorder="1" applyFont="1"/>
    <xf borderId="9" fillId="5" fontId="64" numFmtId="0" xfId="0" applyBorder="1" applyFont="1"/>
    <xf borderId="9" fillId="5" fontId="63" numFmtId="0" xfId="0" applyBorder="1" applyFont="1"/>
    <xf borderId="9" fillId="5" fontId="69" numFmtId="0" xfId="0" applyAlignment="1" applyBorder="1" applyFont="1">
      <alignment horizontal="left" vertical="top"/>
    </xf>
    <xf borderId="9" fillId="5" fontId="63" numFmtId="0" xfId="0" applyAlignment="1" applyBorder="1" applyFont="1">
      <alignment horizontal="left" vertical="center"/>
    </xf>
    <xf borderId="0" fillId="0" fontId="70" numFmtId="0" xfId="0" applyAlignment="1" applyFont="1">
      <alignment horizontal="center" shrinkToFit="0" vertical="center" wrapText="1"/>
    </xf>
    <xf borderId="0" fillId="0" fontId="70" numFmtId="0" xfId="0" applyAlignment="1" applyFont="1">
      <alignment horizontal="center" shrinkToFit="0" textRotation="90" vertical="center" wrapText="1"/>
    </xf>
    <xf borderId="0" fillId="0" fontId="70" numFmtId="49" xfId="0" applyAlignment="1" applyFont="1" applyNumberFormat="1">
      <alignment horizontal="center" shrinkToFit="0" vertical="center" wrapText="1"/>
    </xf>
    <xf borderId="0" fillId="0" fontId="70" numFmtId="9" xfId="0" applyAlignment="1" applyFont="1" applyNumberFormat="1">
      <alignment horizontal="center" shrinkToFit="0" vertical="center" wrapText="1"/>
    </xf>
    <xf borderId="0" fillId="0" fontId="11" numFmtId="0" xfId="0" applyAlignment="1" applyFont="1">
      <alignment horizontal="left"/>
    </xf>
    <xf borderId="0" fillId="0" fontId="11" numFmtId="0" xfId="0" applyAlignment="1" applyFont="1">
      <alignment horizontal="center"/>
    </xf>
    <xf borderId="0" fillId="0" fontId="71" numFmtId="2" xfId="0" applyAlignment="1" applyFont="1" applyNumberFormat="1">
      <alignment horizontal="left"/>
    </xf>
    <xf borderId="0" fillId="0" fontId="11" numFmtId="0" xfId="0" applyAlignment="1" applyFont="1">
      <alignment horizontal="center" vertical="center"/>
    </xf>
    <xf borderId="0" fillId="0" fontId="11" numFmtId="9" xfId="0" applyAlignment="1" applyFont="1" applyNumberFormat="1">
      <alignment horizontal="center"/>
    </xf>
    <xf borderId="0" fillId="0" fontId="11" numFmtId="0" xfId="0" applyFont="1"/>
    <xf borderId="0" fillId="0" fontId="72" numFmtId="0" xfId="0" applyAlignment="1" applyFont="1">
      <alignment horizontal="center"/>
    </xf>
    <xf borderId="0" fillId="0" fontId="73" numFmtId="0" xfId="0" applyFont="1"/>
    <xf borderId="0" fillId="0" fontId="74" numFmtId="0" xfId="0" applyAlignment="1" applyFont="1">
      <alignment horizontal="center"/>
    </xf>
    <xf borderId="0" fillId="0" fontId="75" numFmtId="0" xfId="0" applyAlignment="1" applyFont="1">
      <alignment horizontal="left"/>
    </xf>
    <xf borderId="0" fillId="0" fontId="75" numFmtId="0" xfId="0" applyAlignment="1" applyFont="1">
      <alignment horizontal="center"/>
    </xf>
    <xf borderId="0" fillId="0" fontId="8" numFmtId="0" xfId="0" applyAlignment="1" applyFont="1">
      <alignment horizontal="center"/>
    </xf>
    <xf borderId="0" fillId="0" fontId="11" numFmtId="0" xfId="0" applyFont="1"/>
    <xf borderId="0" fillId="0" fontId="76" numFmtId="0" xfId="0" applyAlignment="1" applyFont="1">
      <alignment horizontal="center"/>
    </xf>
    <xf borderId="0" fillId="0" fontId="77" numFmtId="0" xfId="0" applyAlignment="1" applyFont="1">
      <alignment horizontal="center"/>
    </xf>
    <xf borderId="9" fillId="5" fontId="8" numFmtId="170" xfId="0" applyBorder="1" applyFont="1" applyNumberFormat="1"/>
    <xf borderId="9" fillId="5" fontId="8" numFmtId="169" xfId="0" applyBorder="1" applyFont="1" applyNumberFormat="1"/>
    <xf borderId="9" fillId="4" fontId="37" numFmtId="0" xfId="0" applyBorder="1" applyFont="1"/>
    <xf borderId="35" fillId="21" fontId="8" numFmtId="0" xfId="0" applyBorder="1" applyFill="1" applyFont="1"/>
    <xf borderId="39" fillId="12" fontId="78" numFmtId="0" xfId="0" applyAlignment="1" applyBorder="1" applyFont="1">
      <alignment horizontal="center" shrinkToFit="0" vertical="center" wrapText="1"/>
    </xf>
    <xf borderId="9" fillId="5" fontId="16" numFmtId="0" xfId="0" applyAlignment="1" applyBorder="1" applyFont="1">
      <alignment shrinkToFit="0" wrapText="1"/>
    </xf>
    <xf borderId="22" fillId="12" fontId="24" numFmtId="0" xfId="0" applyAlignment="1" applyBorder="1" applyFont="1">
      <alignment horizontal="center" shrinkToFit="0" textRotation="90" vertical="center" wrapText="1"/>
    </xf>
    <xf borderId="9" fillId="5" fontId="16" numFmtId="0" xfId="0" applyAlignment="1" applyBorder="1" applyFont="1">
      <alignment horizontal="center" vertical="center"/>
    </xf>
    <xf borderId="32" fillId="12" fontId="24" numFmtId="0" xfId="0" applyAlignment="1" applyBorder="1" applyFont="1">
      <alignment horizontal="center" shrinkToFit="0" textRotation="90" vertical="center" wrapText="1"/>
    </xf>
    <xf borderId="9" fillId="9" fontId="34" numFmtId="0" xfId="0" applyAlignment="1" applyBorder="1" applyFont="1">
      <alignment vertical="center"/>
    </xf>
    <xf borderId="9" fillId="9" fontId="28" numFmtId="1" xfId="0" applyAlignment="1" applyBorder="1" applyFont="1" applyNumberFormat="1">
      <alignment horizontal="center" shrinkToFit="0" vertical="center" wrapText="1"/>
    </xf>
    <xf borderId="9" fillId="9" fontId="79" numFmtId="1" xfId="0" applyAlignment="1" applyBorder="1" applyFont="1" applyNumberFormat="1">
      <alignment shrinkToFit="0" vertical="center" wrapText="1"/>
    </xf>
    <xf borderId="9" fillId="9" fontId="28" numFmtId="1" xfId="0" applyAlignment="1" applyBorder="1" applyFont="1" applyNumberFormat="1">
      <alignment shrinkToFit="0" vertical="center" wrapText="1"/>
    </xf>
    <xf borderId="9" fillId="5" fontId="28" numFmtId="0" xfId="0" applyAlignment="1" applyBorder="1" applyFont="1">
      <alignment vertical="center"/>
    </xf>
    <xf borderId="9" fillId="9" fontId="80" numFmtId="0" xfId="0" applyAlignment="1" applyBorder="1" applyFont="1">
      <alignment shrinkToFit="0" vertical="center" wrapText="1"/>
    </xf>
    <xf borderId="9" fillId="9" fontId="28" numFmtId="167" xfId="0" applyAlignment="1" applyBorder="1" applyFont="1" applyNumberFormat="1">
      <alignment horizontal="center" shrinkToFit="0" vertical="center" wrapText="1"/>
    </xf>
    <xf borderId="9" fillId="22" fontId="28" numFmtId="0" xfId="0" applyAlignment="1" applyBorder="1" applyFill="1" applyFont="1">
      <alignment shrinkToFit="0" vertical="center" wrapText="1"/>
    </xf>
    <xf borderId="9" fillId="16" fontId="81" numFmtId="0" xfId="0" applyAlignment="1" applyBorder="1" applyFont="1">
      <alignment shrinkToFit="0" vertical="center" wrapText="1"/>
    </xf>
    <xf quotePrefix="1" borderId="9" fillId="9" fontId="28" numFmtId="0" xfId="0" applyAlignment="1" applyBorder="1" applyFont="1">
      <alignment vertical="center"/>
    </xf>
    <xf borderId="9" fillId="14" fontId="28" numFmtId="0" xfId="0" applyAlignment="1" applyBorder="1" applyFont="1">
      <alignment horizontal="center" vertical="center"/>
    </xf>
    <xf borderId="9" fillId="14" fontId="28" numFmtId="1" xfId="0" applyAlignment="1" applyBorder="1" applyFont="1" applyNumberFormat="1">
      <alignment horizontal="center" vertical="center"/>
    </xf>
    <xf borderId="9" fillId="14" fontId="28" numFmtId="167" xfId="0" applyAlignment="1" applyBorder="1" applyFont="1" applyNumberFormat="1">
      <alignment horizontal="center" vertical="center"/>
    </xf>
    <xf borderId="9" fillId="15" fontId="28" numFmtId="0" xfId="0" applyAlignment="1" applyBorder="1" applyFont="1">
      <alignment shrinkToFit="0" vertical="center" wrapText="1"/>
    </xf>
    <xf borderId="9" fillId="23" fontId="28" numFmtId="167" xfId="0" applyAlignment="1" applyBorder="1" applyFill="1" applyFont="1" applyNumberFormat="1">
      <alignment horizontal="center" vertical="center"/>
    </xf>
    <xf borderId="9" fillId="9" fontId="28" numFmtId="0" xfId="0" applyAlignment="1" applyBorder="1" applyFont="1">
      <alignment shrinkToFit="0" vertical="center" wrapText="1"/>
    </xf>
    <xf borderId="9" fillId="5" fontId="82" numFmtId="0" xfId="0" applyAlignment="1" applyBorder="1" applyFont="1">
      <alignment shrinkToFit="0" vertical="center" wrapText="1"/>
    </xf>
    <xf borderId="40" fillId="12" fontId="78" numFmtId="0" xfId="0" applyAlignment="1" applyBorder="1" applyFont="1">
      <alignment horizontal="center" shrinkToFit="0" vertical="center" wrapText="1"/>
    </xf>
    <xf borderId="41" fillId="12" fontId="78" numFmtId="0" xfId="0" applyAlignment="1" applyBorder="1" applyFont="1">
      <alignment horizontal="center" shrinkToFit="0" vertical="center" wrapText="1"/>
    </xf>
    <xf borderId="18" fillId="12" fontId="24" numFmtId="0" xfId="0" applyAlignment="1" applyBorder="1" applyFont="1">
      <alignment horizontal="center" shrinkToFit="0" vertical="top" wrapText="1"/>
    </xf>
    <xf borderId="42" fillId="0" fontId="3" numFmtId="0" xfId="0" applyBorder="1" applyFont="1"/>
    <xf borderId="9" fillId="9" fontId="28" numFmtId="9" xfId="0" applyAlignment="1" applyBorder="1" applyFont="1" applyNumberFormat="1">
      <alignment vertical="center"/>
    </xf>
    <xf borderId="9" fillId="9" fontId="82" numFmtId="0" xfId="0" applyAlignment="1" applyBorder="1" applyFont="1">
      <alignment horizontal="center" shrinkToFit="0" vertical="center" wrapText="1"/>
    </xf>
    <xf borderId="9" fillId="9" fontId="28" numFmtId="9" xfId="0" applyAlignment="1" applyBorder="1" applyFont="1" applyNumberFormat="1">
      <alignment shrinkToFit="0" vertical="center" wrapText="1"/>
    </xf>
    <xf borderId="9" fillId="9" fontId="28" numFmtId="9" xfId="0" applyAlignment="1" applyBorder="1" applyFont="1" applyNumberFormat="1">
      <alignment horizontal="center" vertical="center"/>
    </xf>
    <xf borderId="15" fillId="12" fontId="78" numFmtId="0" xfId="0" applyAlignment="1" applyBorder="1" applyFont="1">
      <alignment horizontal="center" shrinkToFit="0" vertical="center" wrapText="1"/>
    </xf>
    <xf borderId="9" fillId="9" fontId="83" numFmtId="0" xfId="0" applyAlignment="1" applyBorder="1" applyFont="1">
      <alignment vertical="center"/>
    </xf>
    <xf borderId="9" fillId="4" fontId="84" numFmtId="0" xfId="0" applyAlignment="1" applyBorder="1" applyFont="1">
      <alignment shrinkToFit="0" vertical="center" wrapText="1"/>
    </xf>
    <xf borderId="9" fillId="4" fontId="28" numFmtId="0" xfId="0" applyAlignment="1" applyBorder="1" applyFont="1">
      <alignment shrinkToFit="0" vertical="center" wrapText="1"/>
    </xf>
    <xf borderId="9" fillId="9" fontId="28" numFmtId="2" xfId="0" applyAlignment="1" applyBorder="1" applyFont="1" applyNumberFormat="1">
      <alignment vertical="center"/>
    </xf>
    <xf borderId="9" fillId="9" fontId="28" numFmtId="1" xfId="0" applyAlignment="1" applyBorder="1" applyFont="1" applyNumberFormat="1">
      <alignment horizontal="left" vertical="top"/>
    </xf>
    <xf borderId="10" fillId="9" fontId="85" numFmtId="1" xfId="0" applyAlignment="1" applyBorder="1" applyFont="1" applyNumberFormat="1">
      <alignment shrinkToFit="0" vertical="center" wrapText="1"/>
    </xf>
    <xf borderId="9" fillId="9" fontId="86" numFmtId="0" xfId="0" applyAlignment="1" applyBorder="1" applyFont="1">
      <alignment shrinkToFit="0" vertical="center" wrapText="1"/>
    </xf>
    <xf borderId="9" fillId="9" fontId="87" numFmtId="0" xfId="0" applyAlignment="1" applyBorder="1" applyFont="1">
      <alignment shrinkToFit="0" vertical="center" wrapText="1"/>
    </xf>
    <xf borderId="9" fillId="5" fontId="28" numFmtId="0" xfId="0" applyAlignment="1" applyBorder="1" applyFont="1">
      <alignment shrinkToFit="0" vertical="center" wrapText="1"/>
    </xf>
    <xf borderId="43" fillId="12" fontId="88" numFmtId="0" xfId="0" applyAlignment="1" applyBorder="1" applyFont="1">
      <alignment horizontal="center" shrinkToFit="0" vertical="center" wrapText="1"/>
    </xf>
    <xf borderId="44" fillId="0" fontId="3" numFmtId="0" xfId="0" applyBorder="1" applyFont="1"/>
    <xf borderId="32" fillId="12" fontId="24" numFmtId="0" xfId="0" applyAlignment="1" applyBorder="1" applyFont="1">
      <alignment horizontal="center" shrinkToFit="0" vertical="center" wrapText="1"/>
    </xf>
    <xf borderId="45" fillId="12" fontId="24" numFmtId="0" xfId="0" applyAlignment="1" applyBorder="1" applyFont="1">
      <alignment horizontal="center" shrinkToFit="0" vertical="center" wrapText="1"/>
    </xf>
    <xf borderId="46" fillId="0" fontId="3" numFmtId="0" xfId="0" applyBorder="1" applyFont="1"/>
    <xf borderId="47" fillId="0" fontId="3" numFmtId="0" xfId="0" applyBorder="1" applyFont="1"/>
    <xf borderId="32" fillId="12" fontId="24" numFmtId="0" xfId="0" applyAlignment="1" applyBorder="1" applyFont="1">
      <alignment horizontal="center" shrinkToFit="0" vertical="center" wrapText="1"/>
    </xf>
    <xf borderId="48" fillId="0" fontId="3" numFmtId="0" xfId="0" applyBorder="1" applyFont="1"/>
    <xf borderId="49" fillId="0" fontId="3" numFmtId="0" xfId="0" applyBorder="1" applyFont="1"/>
    <xf borderId="41" fillId="12" fontId="24" numFmtId="0" xfId="0" applyAlignment="1" applyBorder="1" applyFont="1">
      <alignment shrinkToFit="0" vertical="top" wrapText="1"/>
    </xf>
    <xf borderId="9" fillId="9" fontId="28" numFmtId="2" xfId="0" applyAlignment="1" applyBorder="1" applyFont="1" applyNumberFormat="1">
      <alignment horizontal="center" shrinkToFit="0" vertical="center" wrapText="1"/>
    </xf>
    <xf borderId="9" fillId="9" fontId="89" numFmtId="0" xfId="0" applyBorder="1" applyFont="1"/>
    <xf borderId="9" fillId="9" fontId="34" numFmtId="0" xfId="0" applyAlignment="1" applyBorder="1" applyFont="1">
      <alignment shrinkToFit="0" vertical="center" wrapText="1"/>
    </xf>
    <xf borderId="18" fillId="12" fontId="90" numFmtId="0" xfId="0" applyAlignment="1" applyBorder="1" applyFont="1">
      <alignment horizontal="center" shrinkToFit="0" vertical="center" wrapText="1"/>
    </xf>
    <xf borderId="18" fillId="12" fontId="90" numFmtId="0" xfId="0" applyAlignment="1" applyBorder="1" applyFont="1">
      <alignment horizontal="center" shrinkToFit="0" textRotation="90" vertical="center" wrapText="1"/>
    </xf>
    <xf borderId="22" fillId="12" fontId="90" numFmtId="0" xfId="0" applyAlignment="1" applyBorder="1" applyFont="1">
      <alignment vertical="center"/>
    </xf>
    <xf borderId="19" fillId="12" fontId="90" numFmtId="0" xfId="0" applyAlignment="1" applyBorder="1" applyFont="1">
      <alignment vertical="center"/>
    </xf>
    <xf borderId="9" fillId="5" fontId="91" numFmtId="0" xfId="0" applyAlignment="1" applyBorder="1" applyFont="1">
      <alignment horizontal="center" vertical="center"/>
    </xf>
    <xf borderId="32" fillId="12" fontId="90" numFmtId="0" xfId="0" applyAlignment="1" applyBorder="1" applyFont="1">
      <alignment vertical="center"/>
    </xf>
    <xf borderId="50" fillId="9" fontId="28" numFmtId="0" xfId="0" applyAlignment="1" applyBorder="1" applyFont="1">
      <alignment vertical="center"/>
    </xf>
    <xf borderId="10" fillId="9" fontId="34" numFmtId="0" xfId="0" applyAlignment="1" applyBorder="1" applyFont="1">
      <alignment vertical="center"/>
    </xf>
    <xf borderId="10" fillId="9" fontId="28" numFmtId="0" xfId="0" applyAlignment="1" applyBorder="1" applyFont="1">
      <alignment horizontal="center" shrinkToFit="0" vertical="center" wrapText="1"/>
    </xf>
    <xf borderId="10" fillId="9" fontId="92" numFmtId="0" xfId="0" applyAlignment="1" applyBorder="1" applyFont="1">
      <alignment shrinkToFit="0" vertical="center" wrapText="1"/>
    </xf>
    <xf borderId="23" fillId="12" fontId="24" numFmtId="0" xfId="0" applyAlignment="1" applyBorder="1" applyFont="1">
      <alignment horizontal="center" vertical="center"/>
    </xf>
    <xf borderId="9" fillId="9" fontId="28" numFmtId="49" xfId="0" applyAlignment="1" applyBorder="1" applyFont="1" applyNumberFormat="1">
      <alignment shrinkToFit="0" vertical="center" wrapText="1"/>
    </xf>
    <xf borderId="9" fillId="9" fontId="28" numFmtId="3" xfId="0" applyAlignment="1" applyBorder="1" applyFont="1" applyNumberFormat="1">
      <alignment horizontal="center" vertical="center"/>
    </xf>
    <xf borderId="9" fillId="9" fontId="93" numFmtId="0" xfId="0" applyAlignment="1" applyBorder="1" applyFont="1">
      <alignment shrinkToFit="0" vertical="center" wrapText="1"/>
    </xf>
    <xf borderId="9" fillId="9" fontId="28" numFmtId="0" xfId="0" applyAlignment="1" applyBorder="1" applyFont="1">
      <alignment vertical="center"/>
    </xf>
    <xf borderId="9" fillId="9" fontId="28" numFmtId="0" xfId="0" applyAlignment="1" applyBorder="1" applyFont="1">
      <alignment horizontal="center" vertical="center"/>
    </xf>
    <xf borderId="9" fillId="9" fontId="28" numFmtId="1" xfId="0" applyAlignment="1" applyBorder="1" applyFont="1" applyNumberFormat="1">
      <alignment horizontal="center" vertical="center"/>
    </xf>
  </cellXfs>
  <cellStyles count="1">
    <cellStyle xfId="0" name="Normal" builtinId="0"/>
  </cellStyles>
  <dxfs count="14">
    <dxf>
      <font/>
      <fill>
        <patternFill patternType="none"/>
      </fill>
      <border/>
    </dxf>
    <dxf>
      <font/>
      <fill>
        <patternFill patternType="solid">
          <fgColor theme="4"/>
          <bgColor theme="4"/>
        </patternFill>
      </fill>
      <border/>
    </dxf>
    <dxf>
      <font/>
      <fill>
        <patternFill patternType="solid">
          <fgColor rgb="FFDEEAF6"/>
          <bgColor rgb="FFDEEAF6"/>
        </patternFill>
      </fill>
      <border/>
    </dxf>
    <dxf>
      <font/>
      <fill>
        <patternFill patternType="solid">
          <fgColor rgb="FFBDD6EE"/>
          <bgColor rgb="FFBDD6EE"/>
        </patternFill>
      </fill>
      <border/>
    </dxf>
    <dxf>
      <font/>
      <fill>
        <patternFill patternType="solid">
          <fgColor rgb="FFFBE4D5"/>
          <bgColor rgb="FFFBE4D5"/>
        </patternFill>
      </fill>
      <border/>
    </dxf>
    <dxf>
      <font>
        <i/>
        <color rgb="FFAEABAB"/>
      </font>
      <fill>
        <patternFill patternType="none"/>
      </fill>
      <border/>
    </dxf>
    <dxf>
      <font>
        <color rgb="FFC00000"/>
      </font>
      <fill>
        <patternFill patternType="none"/>
      </fill>
      <border/>
    </dxf>
    <dxf>
      <font>
        <color rgb="FFA5A5A5"/>
      </font>
      <fill>
        <patternFill patternType="none"/>
      </fill>
      <border/>
    </dxf>
    <dxf>
      <font/>
      <fill>
        <patternFill patternType="solid">
          <fgColor rgb="FFFFE598"/>
          <bgColor rgb="FFFFE598"/>
        </patternFill>
      </fill>
      <border/>
    </dxf>
    <dxf>
      <font>
        <b/>
        <color rgb="FFFF0000"/>
      </font>
      <fill>
        <patternFill patternType="none"/>
      </fill>
      <border/>
    </dxf>
    <dxf>
      <font/>
      <fill>
        <patternFill patternType="solid">
          <fgColor theme="9"/>
          <bgColor theme="9"/>
        </patternFill>
      </fill>
      <border/>
    </dxf>
    <dxf>
      <font/>
      <fill>
        <patternFill patternType="solid">
          <fgColor rgb="FFE2EFD9"/>
          <bgColor rgb="FFE2EFD9"/>
        </patternFill>
      </fill>
      <border/>
    </dxf>
    <dxf>
      <font/>
      <fill>
        <patternFill patternType="solid">
          <fgColor rgb="FFB4C6E7"/>
          <bgColor rgb="FFB4C6E7"/>
        </patternFill>
      </fill>
      <border/>
    </dxf>
    <dxf>
      <font>
        <color rgb="FF9C0006"/>
      </font>
      <fill>
        <patternFill patternType="solid">
          <fgColor rgb="FFFFC7CE"/>
          <bgColor rgb="FFFFC7CE"/>
        </patternFill>
      </fill>
      <border/>
    </dxf>
  </dxfs>
  <tableStyles count="11">
    <tableStyle count="3" pivot="0" name="IEA_H2-style">
      <tableStyleElement dxfId="1" type="headerRow"/>
      <tableStyleElement dxfId="2" type="firstRowStripe"/>
      <tableStyleElement dxfId="3" type="secondRowStripe"/>
    </tableStyle>
    <tableStyle count="3" pivot="0" name="Projects-style">
      <tableStyleElement dxfId="1" type="headerRow"/>
      <tableStyleElement dxfId="2" type="firstRowStripe"/>
      <tableStyleElement dxfId="3" type="secondRowStripe"/>
    </tableStyle>
    <tableStyle count="3" pivot="0" name="Countries-style">
      <tableStyleElement dxfId="1" type="headerRow"/>
      <tableStyleElement dxfId="2" type="firstRowStripe"/>
      <tableStyleElement dxfId="3" type="secondRowStripe"/>
    </tableStyle>
    <tableStyle count="3" pivot="0" name="CCUS Projects Database-style">
      <tableStyleElement dxfId="10" type="headerRow"/>
      <tableStyleElement dxfId="11" type="firstRowStripe"/>
      <tableStyleElement dxfId="12" type="secondRowStripe"/>
    </tableStyle>
    <tableStyle count="3" pivot="0" name="H2_Pipelines-style">
      <tableStyleElement dxfId="1" type="headerRow"/>
      <tableStyleElement dxfId="2" type="firstRowStripe"/>
      <tableStyleElement dxfId="3" type="secondRowStripe"/>
    </tableStyle>
    <tableStyle count="3" pivot="0" name="H2_Blending-style">
      <tableStyleElement dxfId="1" type="headerRow"/>
      <tableStyleElement dxfId="2" type="firstRowStripe"/>
      <tableStyleElement dxfId="3" type="secondRowStripe"/>
    </tableStyle>
    <tableStyle count="3" pivot="0" name="UGS-style">
      <tableStyleElement dxfId="1" type="headerRow"/>
      <tableStyleElement dxfId="2" type="firstRowStripe"/>
      <tableStyleElement dxfId="3" type="secondRowStripe"/>
    </tableStyle>
    <tableStyle count="3" pivot="0" name="H2_Ports-style">
      <tableStyleElement dxfId="1" type="headerRow"/>
      <tableStyleElement dxfId="2" type="firstRowStripe"/>
      <tableStyleElement dxfId="3" type="secondRowStripe"/>
    </tableStyle>
    <tableStyle count="3" pivot="0" name="NH3_Ports-style">
      <tableStyleElement dxfId="1" type="headerRow"/>
      <tableStyleElement dxfId="2" type="firstRowStripe"/>
      <tableStyleElement dxfId="3" type="secondRowStripe"/>
    </tableStyle>
    <tableStyle count="3" pivot="0" name="NH3_Cracking-style">
      <tableStyleElement dxfId="1" type="headerRow"/>
      <tableStyleElement dxfId="2" type="firstRowStripe"/>
      <tableStyleElement dxfId="3" type="secondRowStripe"/>
    </tableStyle>
    <tableStyle count="3" pivot="0" name="MetOH_Ports-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30" Type="http://schemas.openxmlformats.org/officeDocument/2006/relationships/worksheet" Target="worksheets/sheet27.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3.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5.png"/></Relationships>
</file>

<file path=xl/drawings/_rels/drawing18.xml.rels><?xml version="1.0" encoding="UTF-8" standalone="yes"?><Relationships xmlns="http://schemas.openxmlformats.org/package/2006/relationships"><Relationship Id="rId1" Type="http://schemas.openxmlformats.org/officeDocument/2006/relationships/image" Target="../media/image3.png"/></Relationships>
</file>

<file path=xl/drawings/_rels/drawing19.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85725</xdr:colOff>
      <xdr:row>4</xdr:row>
      <xdr:rowOff>0</xdr:rowOff>
    </xdr:from>
    <xdr:ext cx="11344275" cy="5410200"/>
    <xdr:sp>
      <xdr:nvSpPr>
        <xdr:cNvPr id="3" name="Shape 3"/>
        <xdr:cNvSpPr txBox="1"/>
      </xdr:nvSpPr>
      <xdr:spPr>
        <a:xfrm>
          <a:off x="0" y="1079663"/>
          <a:ext cx="10692000" cy="5400675"/>
        </a:xfrm>
        <a:prstGeom prst="rect">
          <a:avLst/>
        </a:prstGeom>
        <a:solidFill>
          <a:schemeClr val="lt1"/>
        </a:solidFill>
        <a:ln>
          <a:noFill/>
        </a:ln>
      </xdr:spPr>
      <xdr:txBody>
        <a:bodyPr anchorCtr="0" anchor="t" bIns="45700" lIns="91425" spcFirstLastPara="1" rIns="91425" wrap="square" tIns="45700">
          <a:noAutofit/>
        </a:bodyPr>
        <a:lstStyle/>
        <a:p>
          <a:pPr indent="0" lvl="0" marL="0" rtl="0" algn="just">
            <a:lnSpc>
              <a:spcPct val="118181"/>
            </a:lnSpc>
            <a:spcBef>
              <a:spcPts val="0"/>
            </a:spcBef>
            <a:spcAft>
              <a:spcPts val="0"/>
            </a:spcAft>
            <a:buClr>
              <a:srgbClr val="004BFF"/>
            </a:buClr>
            <a:buSzPts val="1100"/>
            <a:buFont typeface="Corbel"/>
            <a:buNone/>
          </a:pPr>
          <a:r>
            <a:rPr b="1" i="0" lang="en-US" sz="1100" u="none" strike="noStrike">
              <a:solidFill>
                <a:srgbClr val="004BFF"/>
              </a:solidFill>
              <a:latin typeface="Corbel"/>
              <a:ea typeface="Corbel"/>
              <a:cs typeface="Corbel"/>
              <a:sym typeface="Corbel"/>
            </a:rPr>
            <a:t>Overview</a:t>
          </a:r>
          <a:endParaRPr sz="1400"/>
        </a:p>
        <a:p>
          <a:pPr indent="0" lvl="0" marL="0" rtl="0" algn="just">
            <a:lnSpc>
              <a:spcPct val="136842"/>
            </a:lnSpc>
            <a:spcBef>
              <a:spcPts val="600"/>
            </a:spcBef>
            <a:spcAft>
              <a:spcPts val="0"/>
            </a:spcAft>
            <a:buClr>
              <a:srgbClr val="808080"/>
            </a:buClr>
            <a:buSzPts val="950"/>
            <a:buFont typeface="Corbel"/>
            <a:buNone/>
          </a:pPr>
          <a:r>
            <a:rPr b="0" i="0" lang="en-US" sz="950">
              <a:solidFill>
                <a:srgbClr val="808080"/>
              </a:solidFill>
              <a:latin typeface="Corbel"/>
              <a:ea typeface="Corbel"/>
              <a:cs typeface="Corbel"/>
              <a:sym typeface="Corbel"/>
            </a:rPr>
            <a:t>This dataset covers all projects commissioned worldwide since 2000 for the production of hydrogen for energy or climate change mitigation purposes, i.e. their objective is either to reduce the emissions associated with the production of hydrogen for existing applications, or the introduction of hydrogen as an energy carrier or industrial feedstock in new applications where it is not currently widely used, and has the potential to be a low-emissions technology option. Projects in planning or under construction are also included.</a:t>
          </a:r>
          <a:endParaRPr sz="1400"/>
        </a:p>
        <a:p>
          <a:pPr indent="0" lvl="0" marL="0" rtl="0" algn="just">
            <a:lnSpc>
              <a:spcPct val="136842"/>
            </a:lnSpc>
            <a:spcBef>
              <a:spcPts val="600"/>
            </a:spcBef>
            <a:spcAft>
              <a:spcPts val="0"/>
            </a:spcAft>
            <a:buClr>
              <a:srgbClr val="808080"/>
            </a:buClr>
            <a:buSzPts val="950"/>
            <a:buFont typeface="Corbel"/>
            <a:buNone/>
          </a:pPr>
          <a:r>
            <a:rPr b="0" i="0" lang="en-US" sz="950">
              <a:solidFill>
                <a:srgbClr val="808080"/>
              </a:solidFill>
              <a:latin typeface="Corbel"/>
              <a:ea typeface="Corbel"/>
              <a:cs typeface="Corbel"/>
              <a:sym typeface="Corbel"/>
            </a:rPr>
            <a:t>Projects are categorised by the production technology (electrolysis; fossil fuels with carbon capture, utilisation and storage; other technologies), the hydrogen-based fuel produced (hydrogen, methanol, ammonia, methane, synthetic hydrocarbons) and the use of the fuel produced. </a:t>
          </a:r>
          <a:endParaRPr sz="1400"/>
        </a:p>
        <a:p>
          <a:pPr indent="0" lvl="0" marL="0" rtl="0" algn="just">
            <a:lnSpc>
              <a:spcPct val="136842"/>
            </a:lnSpc>
            <a:spcBef>
              <a:spcPts val="600"/>
            </a:spcBef>
            <a:spcAft>
              <a:spcPts val="0"/>
            </a:spcAft>
            <a:buSzPts val="950"/>
            <a:buFont typeface="Arial"/>
            <a:buNone/>
          </a:pPr>
          <a:r>
            <a:t/>
          </a:r>
          <a:endParaRPr b="0" i="0" sz="950">
            <a:solidFill>
              <a:schemeClr val="dk1"/>
            </a:solidFill>
            <a:latin typeface="Corbel"/>
            <a:ea typeface="Corbel"/>
            <a:cs typeface="Corbel"/>
            <a:sym typeface="Corbel"/>
          </a:endParaRPr>
        </a:p>
        <a:p>
          <a:pPr indent="0" lvl="0" marL="0" rtl="0" algn="just">
            <a:lnSpc>
              <a:spcPct val="118181"/>
            </a:lnSpc>
            <a:spcBef>
              <a:spcPts val="600"/>
            </a:spcBef>
            <a:spcAft>
              <a:spcPts val="0"/>
            </a:spcAft>
            <a:buClr>
              <a:srgbClr val="004BFF"/>
            </a:buClr>
            <a:buSzPts val="1100"/>
            <a:buFont typeface="Corbel"/>
            <a:buNone/>
          </a:pPr>
          <a:r>
            <a:rPr b="1" i="0" lang="en-US" sz="1100" u="none" strike="noStrike">
              <a:solidFill>
                <a:srgbClr val="004BFF"/>
              </a:solidFill>
              <a:latin typeface="Corbel"/>
              <a:ea typeface="Corbel"/>
              <a:cs typeface="Corbel"/>
              <a:sym typeface="Corbel"/>
            </a:rPr>
            <a:t>Data sources </a:t>
          </a:r>
          <a:endParaRPr sz="1400"/>
        </a:p>
        <a:p>
          <a:pPr indent="0" lvl="0" marL="0" rtl="0" algn="just">
            <a:lnSpc>
              <a:spcPct val="136842"/>
            </a:lnSpc>
            <a:spcBef>
              <a:spcPts val="600"/>
            </a:spcBef>
            <a:spcAft>
              <a:spcPts val="0"/>
            </a:spcAft>
            <a:buClr>
              <a:srgbClr val="808080"/>
            </a:buClr>
            <a:buSzPts val="950"/>
            <a:buFont typeface="Corbel"/>
            <a:buNone/>
          </a:pPr>
          <a:r>
            <a:rPr i="0" lang="en-US" sz="950">
              <a:solidFill>
                <a:srgbClr val="808080"/>
              </a:solidFill>
              <a:latin typeface="Corbel"/>
              <a:ea typeface="Corbel"/>
              <a:cs typeface="Corbel"/>
              <a:sym typeface="Corbel"/>
            </a:rPr>
            <a:t>This database is an update to the database first published alongside the report "The future of hydrogen. Seizing today’s opportunities" in 2019.</a:t>
          </a:r>
          <a:endParaRPr sz="1400"/>
        </a:p>
        <a:p>
          <a:pPr indent="0" lvl="0" marL="0" rtl="0" algn="just">
            <a:lnSpc>
              <a:spcPct val="136842"/>
            </a:lnSpc>
            <a:spcBef>
              <a:spcPts val="600"/>
            </a:spcBef>
            <a:spcAft>
              <a:spcPts val="0"/>
            </a:spcAft>
            <a:buClr>
              <a:srgbClr val="808080"/>
            </a:buClr>
            <a:buSzPts val="950"/>
            <a:buFont typeface="Corbel"/>
            <a:buNone/>
          </a:pPr>
          <a:r>
            <a:rPr i="0" lang="en-US" sz="950">
              <a:solidFill>
                <a:srgbClr val="808080"/>
              </a:solidFill>
              <a:latin typeface="Corbel"/>
              <a:ea typeface="Corbel"/>
              <a:cs typeface="Corbel"/>
              <a:sym typeface="Corbel"/>
            </a:rPr>
            <a:t>Data collection and processing by the IEA. The IEA wishes to acknowledge the generous support from the IEA Hydrogen Technology Collaboration Programme and other different stakeholders that kindly provided information for the preparation of the database.</a:t>
          </a:r>
          <a:endParaRPr sz="1400"/>
        </a:p>
        <a:p>
          <a:pPr indent="0" lvl="0" marL="0" marR="0" rtl="0" algn="just">
            <a:lnSpc>
              <a:spcPct val="136842"/>
            </a:lnSpc>
            <a:spcBef>
              <a:spcPts val="600"/>
            </a:spcBef>
            <a:spcAft>
              <a:spcPts val="0"/>
            </a:spcAft>
            <a:buClr>
              <a:srgbClr val="808080"/>
            </a:buClr>
            <a:buSzPts val="950"/>
            <a:buFont typeface="Corbel"/>
            <a:buNone/>
          </a:pPr>
          <a:r>
            <a:rPr i="0" lang="en-US" sz="950">
              <a:solidFill>
                <a:srgbClr val="808080"/>
              </a:solidFill>
              <a:latin typeface="Corbel"/>
              <a:ea typeface="Corbel"/>
              <a:cs typeface="Corbel"/>
              <a:sym typeface="Corbel"/>
            </a:rPr>
            <a:t>Where Argus Media is identified as the source of data or information published by the IEA, Argus makes no warranties, express or implied, as to the accuracy, adequacy, timeliness, or completeness of its data or IEA 's presentation of that data, or its fitness for any particular purpose. Argus shall not be liable for any   loss or damage arising from any party’s reliance or use of such data, and disclaims any and all liability related to or arising out of use of the data to the fullest extent permissible by law. Views or opinions set out in this report are not approved by or necessarily representative of the views or opinions of Argus Media. </a:t>
          </a:r>
          <a:endParaRPr i="0" sz="950">
            <a:solidFill>
              <a:srgbClr val="808080"/>
            </a:solidFill>
            <a:latin typeface="Corbel"/>
            <a:ea typeface="Corbel"/>
            <a:cs typeface="Corbel"/>
            <a:sym typeface="Corbel"/>
          </a:endParaRPr>
        </a:p>
        <a:p>
          <a:pPr indent="0" lvl="0" marL="0" rtl="0" algn="just">
            <a:lnSpc>
              <a:spcPct val="136842"/>
            </a:lnSpc>
            <a:spcBef>
              <a:spcPts val="600"/>
            </a:spcBef>
            <a:spcAft>
              <a:spcPts val="0"/>
            </a:spcAft>
            <a:buClr>
              <a:srgbClr val="808080"/>
            </a:buClr>
            <a:buSzPts val="950"/>
            <a:buFont typeface="Corbel"/>
            <a:buNone/>
          </a:pPr>
          <a:r>
            <a:rPr i="0" lang="en-US" sz="950">
              <a:solidFill>
                <a:srgbClr val="808080"/>
              </a:solidFill>
              <a:latin typeface="Corbel"/>
              <a:ea typeface="Corbel"/>
              <a:cs typeface="Corbel"/>
              <a:sym typeface="Corbel"/>
            </a:rPr>
            <a:t>We encourage and welcome contributions from all stakeholders where additions and changes are required. Please contact </a:t>
          </a:r>
          <a:r>
            <a:rPr i="0" lang="en-US" sz="950" u="sng">
              <a:solidFill>
                <a:schemeClr val="accent5"/>
              </a:solidFill>
              <a:latin typeface="Corbel"/>
              <a:ea typeface="Corbel"/>
              <a:cs typeface="Corbel"/>
              <a:sym typeface="Corbel"/>
            </a:rPr>
            <a:t>hydrogen@iea.org.</a:t>
          </a:r>
          <a:endParaRPr sz="1400"/>
        </a:p>
        <a:p>
          <a:pPr indent="0" lvl="0" marL="0" rtl="0" algn="just">
            <a:lnSpc>
              <a:spcPct val="136842"/>
            </a:lnSpc>
            <a:spcBef>
              <a:spcPts val="600"/>
            </a:spcBef>
            <a:spcAft>
              <a:spcPts val="0"/>
            </a:spcAft>
            <a:buSzPts val="950"/>
            <a:buFont typeface="Arial"/>
            <a:buNone/>
          </a:pPr>
          <a:r>
            <a:t/>
          </a:r>
          <a:endParaRPr b="1" i="0" sz="950" u="sng" strike="noStrike">
            <a:solidFill>
              <a:schemeClr val="accent5"/>
            </a:solidFill>
            <a:latin typeface="Corbel"/>
            <a:ea typeface="Corbel"/>
            <a:cs typeface="Corbel"/>
            <a:sym typeface="Corbel"/>
          </a:endParaRPr>
        </a:p>
        <a:p>
          <a:pPr indent="0" lvl="0" marL="0" marR="0" rtl="0" algn="just">
            <a:lnSpc>
              <a:spcPct val="118181"/>
            </a:lnSpc>
            <a:spcBef>
              <a:spcPts val="600"/>
            </a:spcBef>
            <a:spcAft>
              <a:spcPts val="0"/>
            </a:spcAft>
            <a:buClr>
              <a:schemeClr val="dk1"/>
            </a:buClr>
            <a:buSzPts val="950"/>
            <a:buFont typeface="Corbel"/>
            <a:buNone/>
          </a:pPr>
          <a:r>
            <a:rPr i="0" lang="en-US" sz="950">
              <a:solidFill>
                <a:schemeClr val="dk1"/>
              </a:solidFill>
              <a:latin typeface="Corbel"/>
              <a:ea typeface="Corbel"/>
              <a:cs typeface="Corbel"/>
              <a:sym typeface="Corbel"/>
            </a:rPr>
            <a:t> </a:t>
          </a:r>
          <a:r>
            <a:rPr b="1" i="0" lang="en-US" sz="1100" u="none" strike="noStrike">
              <a:solidFill>
                <a:srgbClr val="004BFF"/>
              </a:solidFill>
              <a:latin typeface="Corbel"/>
              <a:ea typeface="Corbel"/>
              <a:cs typeface="Corbel"/>
              <a:sym typeface="Corbel"/>
            </a:rPr>
            <a:t>IEA (2023). All rights reserved</a:t>
          </a:r>
          <a:endParaRPr sz="1400"/>
        </a:p>
        <a:p>
          <a:pPr indent="0" lvl="0" marL="0" rtl="0" algn="l">
            <a:spcBef>
              <a:spcPts val="0"/>
            </a:spcBef>
            <a:spcAft>
              <a:spcPts val="0"/>
            </a:spcAft>
            <a:buClr>
              <a:srgbClr val="808080"/>
            </a:buClr>
            <a:buSzPts val="950"/>
            <a:buFont typeface="Corbel"/>
            <a:buNone/>
          </a:pPr>
          <a:r>
            <a:rPr i="0" lang="en-US" sz="950">
              <a:solidFill>
                <a:srgbClr val="808080"/>
              </a:solidFill>
              <a:latin typeface="Corbel"/>
              <a:ea typeface="Corbel"/>
              <a:cs typeface="Corbel"/>
              <a:sym typeface="Corbel"/>
            </a:rPr>
            <a:t>Please note that this publication is subject to specific restrictions that limit its use and distribution. The terms and conditions are available online at www.iea.org/t&amp;c/</a:t>
          </a:r>
          <a:endParaRPr i="0" sz="950">
            <a:solidFill>
              <a:srgbClr val="808080"/>
            </a:solidFill>
            <a:latin typeface="Corbel"/>
            <a:ea typeface="Corbel"/>
            <a:cs typeface="Corbel"/>
            <a:sym typeface="Corbel"/>
          </a:endParaRPr>
        </a:p>
        <a:p>
          <a:pPr indent="0" lvl="0" marL="0" rtl="0" algn="l">
            <a:spcBef>
              <a:spcPts val="0"/>
            </a:spcBef>
            <a:spcAft>
              <a:spcPts val="0"/>
            </a:spcAft>
            <a:buClr>
              <a:srgbClr val="808080"/>
            </a:buClr>
            <a:buSzPts val="950"/>
            <a:buFont typeface="Corbel"/>
            <a:buNone/>
          </a:pPr>
          <a:r>
            <a:rPr i="0" lang="en-US" sz="950">
              <a:solidFill>
                <a:srgbClr val="808080"/>
              </a:solidFill>
              <a:latin typeface="Corbel"/>
              <a:ea typeface="Corbel"/>
              <a:cs typeface="Corbel"/>
              <a:sym typeface="Corbel"/>
            </a:rPr>
            <a:t> </a:t>
          </a:r>
          <a:endParaRPr sz="1400"/>
        </a:p>
        <a:p>
          <a:pPr indent="0" lvl="0" marL="0" rtl="0" algn="l">
            <a:spcBef>
              <a:spcPts val="0"/>
            </a:spcBef>
            <a:spcAft>
              <a:spcPts val="0"/>
            </a:spcAft>
            <a:buClr>
              <a:srgbClr val="808080"/>
            </a:buClr>
            <a:buSzPts val="950"/>
            <a:buFont typeface="Corbel"/>
            <a:buNone/>
          </a:pPr>
          <a:r>
            <a:rPr i="0" lang="en-US" sz="950">
              <a:solidFill>
                <a:srgbClr val="808080"/>
              </a:solidFill>
              <a:latin typeface="Corbel"/>
              <a:ea typeface="Corbel"/>
              <a:cs typeface="Corbel"/>
              <a:sym typeface="Corbel"/>
            </a:rPr>
            <a:t>This database may be cited as follows: </a:t>
          </a:r>
          <a:endParaRPr sz="1400"/>
        </a:p>
        <a:p>
          <a:pPr indent="0" lvl="0" marL="0" rtl="0" algn="l">
            <a:spcBef>
              <a:spcPts val="0"/>
            </a:spcBef>
            <a:spcAft>
              <a:spcPts val="0"/>
            </a:spcAft>
            <a:buClr>
              <a:srgbClr val="808080"/>
            </a:buClr>
            <a:buSzPts val="950"/>
            <a:buFont typeface="Corbel"/>
            <a:buNone/>
          </a:pPr>
          <a:r>
            <a:rPr i="0" lang="en-US" sz="950">
              <a:solidFill>
                <a:srgbClr val="808080"/>
              </a:solidFill>
              <a:latin typeface="Corbel"/>
              <a:ea typeface="Corbel"/>
              <a:cs typeface="Corbel"/>
              <a:sym typeface="Corbel"/>
            </a:rPr>
            <a:t> </a:t>
          </a:r>
          <a:endParaRPr sz="1400"/>
        </a:p>
        <a:p>
          <a:pPr indent="0" lvl="0" marL="0" rtl="0" algn="l">
            <a:spcBef>
              <a:spcPts val="0"/>
            </a:spcBef>
            <a:spcAft>
              <a:spcPts val="0"/>
            </a:spcAft>
            <a:buClr>
              <a:srgbClr val="808080"/>
            </a:buClr>
            <a:buSzPts val="950"/>
            <a:buFont typeface="Corbel"/>
            <a:buNone/>
          </a:pPr>
          <a:r>
            <a:rPr i="0" lang="en-US" sz="950">
              <a:solidFill>
                <a:srgbClr val="808080"/>
              </a:solidFill>
              <a:latin typeface="Corbel"/>
              <a:ea typeface="Corbel"/>
              <a:cs typeface="Corbel"/>
              <a:sym typeface="Corbel"/>
            </a:rPr>
            <a:t>Source: IEA (2024), Hydrogen Projects Database, https://www.iea.org/reports/hydrogen-projects-database. All rights reserved. </a:t>
          </a:r>
          <a:endParaRPr sz="1400"/>
        </a:p>
        <a:p>
          <a:pPr indent="0" lvl="0" marL="0" marR="0" rtl="0" algn="just">
            <a:lnSpc>
              <a:spcPct val="118181"/>
            </a:lnSpc>
            <a:spcBef>
              <a:spcPts val="0"/>
            </a:spcBef>
            <a:spcAft>
              <a:spcPts val="0"/>
            </a:spcAft>
            <a:buSzPts val="1100"/>
            <a:buFont typeface="Arial"/>
            <a:buNone/>
          </a:pPr>
          <a:r>
            <a:t/>
          </a:r>
          <a:endParaRPr b="1" i="0" sz="1100" u="none" strike="noStrike">
            <a:solidFill>
              <a:srgbClr val="004BFF"/>
            </a:solidFill>
            <a:latin typeface="Corbel"/>
            <a:ea typeface="Corbel"/>
            <a:cs typeface="Corbel"/>
            <a:sym typeface="Corbel"/>
          </a:endParaRPr>
        </a:p>
      </xdr:txBody>
    </xdr:sp>
    <xdr:clientData fLocksWithSheet="0"/>
  </xdr:oneCellAnchor>
  <xdr:oneCellAnchor>
    <xdr:from>
      <xdr:col>0</xdr:col>
      <xdr:colOff>0</xdr:colOff>
      <xdr:row>0</xdr:row>
      <xdr:rowOff>0</xdr:rowOff>
    </xdr:from>
    <xdr:ext cx="0" cy="7524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0</xdr:row>
      <xdr:rowOff>0</xdr:rowOff>
    </xdr:from>
    <xdr:ext cx="0" cy="7524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0</xdr:row>
      <xdr:rowOff>0</xdr:rowOff>
    </xdr:from>
    <xdr:ext cx="2190750" cy="752475"/>
    <xdr:pic>
      <xdr:nvPicPr>
        <xdr:cNvPr id="0" name="image3.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xdr:colOff>
      <xdr:row>0</xdr:row>
      <xdr:rowOff>0</xdr:rowOff>
    </xdr:from>
    <xdr:ext cx="47625" cy="333375"/>
    <xdr:sp>
      <xdr:nvSpPr>
        <xdr:cNvPr descr="Icon" id="4" name="Shape 4"/>
        <xdr:cNvSpPr/>
      </xdr:nvSpPr>
      <xdr:spPr>
        <a:xfrm>
          <a:off x="5326950" y="3618075"/>
          <a:ext cx="38100" cy="3238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lientData fLocksWithSheet="0"/>
  </xdr:oneCellAnchor>
  <xdr:oneCellAnchor>
    <xdr:from>
      <xdr:col>2</xdr:col>
      <xdr:colOff>-19050</xdr:colOff>
      <xdr:row>0</xdr:row>
      <xdr:rowOff>0</xdr:rowOff>
    </xdr:from>
    <xdr:ext cx="47625" cy="333375"/>
    <xdr:sp>
      <xdr:nvSpPr>
        <xdr:cNvPr descr="Icon" id="4" name="Shape 4"/>
        <xdr:cNvSpPr/>
      </xdr:nvSpPr>
      <xdr:spPr>
        <a:xfrm>
          <a:off x="5326950" y="3618075"/>
          <a:ext cx="38100" cy="3238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lientData fLocksWithSheet="0"/>
  </xdr:oneCellAnchor>
  <xdr:oneCellAnchor>
    <xdr:from>
      <xdr:col>3</xdr:col>
      <xdr:colOff>-19050</xdr:colOff>
      <xdr:row>0</xdr:row>
      <xdr:rowOff>0</xdr:rowOff>
    </xdr:from>
    <xdr:ext cx="47625" cy="323850"/>
    <xdr:sp>
      <xdr:nvSpPr>
        <xdr:cNvPr descr="Icon" id="5" name="Shape 5"/>
        <xdr:cNvSpPr/>
      </xdr:nvSpPr>
      <xdr:spPr>
        <a:xfrm>
          <a:off x="5326950" y="3622838"/>
          <a:ext cx="38100" cy="3143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lientData fLocksWithSheet="0"/>
  </xdr:oneCellAnchor>
  <xdr:oneCellAnchor>
    <xdr:from>
      <xdr:col>2</xdr:col>
      <xdr:colOff>-19050</xdr:colOff>
      <xdr:row>0</xdr:row>
      <xdr:rowOff>0</xdr:rowOff>
    </xdr:from>
    <xdr:ext cx="47625" cy="323850"/>
    <xdr:sp>
      <xdr:nvSpPr>
        <xdr:cNvPr descr="Icon" id="5" name="Shape 5"/>
        <xdr:cNvSpPr/>
      </xdr:nvSpPr>
      <xdr:spPr>
        <a:xfrm>
          <a:off x="5326950" y="3622838"/>
          <a:ext cx="38100" cy="3143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lientData fLocksWithSheet="0"/>
  </xdr:oneCellAnchor>
  <xdr:oneCellAnchor>
    <xdr:from>
      <xdr:col>3</xdr:col>
      <xdr:colOff>0</xdr:colOff>
      <xdr:row>0</xdr:row>
      <xdr:rowOff>0</xdr:rowOff>
    </xdr:from>
    <xdr:ext cx="314325" cy="333375"/>
    <xdr:sp>
      <xdr:nvSpPr>
        <xdr:cNvPr descr="Icon" id="6" name="Shape 6"/>
        <xdr:cNvSpPr/>
      </xdr:nvSpPr>
      <xdr:spPr>
        <a:xfrm>
          <a:off x="5193600" y="3618075"/>
          <a:ext cx="304800" cy="3238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lientData fLocksWithSheet="0"/>
  </xdr:oneCellAnchor>
  <xdr:oneCellAnchor>
    <xdr:from>
      <xdr:col>2</xdr:col>
      <xdr:colOff>0</xdr:colOff>
      <xdr:row>0</xdr:row>
      <xdr:rowOff>0</xdr:rowOff>
    </xdr:from>
    <xdr:ext cx="314325" cy="333375"/>
    <xdr:sp>
      <xdr:nvSpPr>
        <xdr:cNvPr descr="Icon" id="6" name="Shape 6"/>
        <xdr:cNvSpPr/>
      </xdr:nvSpPr>
      <xdr:spPr>
        <a:xfrm>
          <a:off x="5193600" y="3618075"/>
          <a:ext cx="304800" cy="3238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lientData fLocksWithSheet="0"/>
  </xdr:oneCellAnchor>
  <xdr:oneCellAnchor>
    <xdr:from>
      <xdr:col>0</xdr:col>
      <xdr:colOff>0</xdr:colOff>
      <xdr:row>0</xdr:row>
      <xdr:rowOff>0</xdr:rowOff>
    </xdr:from>
    <xdr:ext cx="0" cy="74295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0</xdr:row>
      <xdr:rowOff>0</xdr:rowOff>
    </xdr:from>
    <xdr:ext cx="2181225" cy="742950"/>
    <xdr:pic>
      <xdr:nvPicPr>
        <xdr:cNvPr id="0" name="image2.pn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0</xdr:row>
      <xdr:rowOff>0</xdr:rowOff>
    </xdr:from>
    <xdr:ext cx="2181225" cy="742950"/>
    <xdr:pic>
      <xdr:nvPicPr>
        <xdr:cNvPr id="0" name="image2.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0" cy="723900"/>
    <xdr:pic>
      <xdr:nvPicPr>
        <xdr:cNvPr id="0" name="image4.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0</xdr:row>
      <xdr:rowOff>0</xdr:rowOff>
    </xdr:from>
    <xdr:ext cx="2181225" cy="723900"/>
    <xdr:pic>
      <xdr:nvPicPr>
        <xdr:cNvPr id="0" name="image5.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2181225" cy="723900"/>
    <xdr:pic>
      <xdr:nvPicPr>
        <xdr:cNvPr id="0" name="image5.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571500</xdr:colOff>
      <xdr:row>3</xdr:row>
      <xdr:rowOff>171450</xdr:rowOff>
    </xdr:from>
    <xdr:ext cx="12087225" cy="5438775"/>
    <xdr:sp>
      <xdr:nvSpPr>
        <xdr:cNvPr id="3" name="Shape 3"/>
        <xdr:cNvSpPr txBox="1"/>
      </xdr:nvSpPr>
      <xdr:spPr>
        <a:xfrm>
          <a:off x="0" y="1065375"/>
          <a:ext cx="10692000" cy="5429250"/>
        </a:xfrm>
        <a:prstGeom prst="rect">
          <a:avLst/>
        </a:prstGeom>
        <a:solidFill>
          <a:schemeClr val="lt1"/>
        </a:solidFill>
        <a:ln>
          <a:noFill/>
        </a:ln>
      </xdr:spPr>
      <xdr:txBody>
        <a:bodyPr anchorCtr="0" anchor="t" bIns="45700" lIns="91425" spcFirstLastPara="1" rIns="91425" wrap="square" tIns="45700">
          <a:noAutofit/>
        </a:bodyPr>
        <a:lstStyle/>
        <a:p>
          <a:pPr indent="0" lvl="0" marL="0" rtl="0" algn="just">
            <a:lnSpc>
              <a:spcPct val="118181"/>
            </a:lnSpc>
            <a:spcBef>
              <a:spcPts val="0"/>
            </a:spcBef>
            <a:spcAft>
              <a:spcPts val="0"/>
            </a:spcAft>
            <a:buClr>
              <a:srgbClr val="004BFF"/>
            </a:buClr>
            <a:buSzPts val="1100"/>
            <a:buFont typeface="Corbel"/>
            <a:buNone/>
          </a:pPr>
          <a:r>
            <a:rPr b="1" i="0" lang="en-US" sz="1100" u="none" strike="noStrike">
              <a:solidFill>
                <a:srgbClr val="004BFF"/>
              </a:solidFill>
              <a:latin typeface="Corbel"/>
              <a:ea typeface="Corbel"/>
              <a:cs typeface="Corbel"/>
              <a:sym typeface="Corbel"/>
            </a:rPr>
            <a:t>Overview</a:t>
          </a:r>
          <a:endParaRPr sz="1400"/>
        </a:p>
        <a:p>
          <a:pPr indent="0" lvl="0" marL="0" rtl="0" algn="just">
            <a:lnSpc>
              <a:spcPct val="136842"/>
            </a:lnSpc>
            <a:spcBef>
              <a:spcPts val="600"/>
            </a:spcBef>
            <a:spcAft>
              <a:spcPts val="0"/>
            </a:spcAft>
            <a:buClr>
              <a:srgbClr val="808080"/>
            </a:buClr>
            <a:buSzPts val="950"/>
            <a:buFont typeface="Corbel"/>
            <a:buNone/>
          </a:pPr>
          <a:r>
            <a:rPr b="0" i="0" lang="en-US" sz="950">
              <a:solidFill>
                <a:srgbClr val="808080"/>
              </a:solidFill>
              <a:latin typeface="Corbel"/>
              <a:ea typeface="Corbel"/>
              <a:cs typeface="Corbel"/>
              <a:sym typeface="Corbel"/>
            </a:rPr>
            <a:t>This dataset covers infrastructure projects worldwide for hydrogen and hydrogen-based fuels, including:</a:t>
          </a:r>
          <a:endParaRPr sz="1400"/>
        </a:p>
        <a:p>
          <a:pPr indent="-171450" lvl="1" marL="628650" rtl="0" algn="just">
            <a:lnSpc>
              <a:spcPct val="136842"/>
            </a:lnSpc>
            <a:spcBef>
              <a:spcPts val="600"/>
            </a:spcBef>
            <a:spcAft>
              <a:spcPts val="0"/>
            </a:spcAft>
            <a:buClr>
              <a:srgbClr val="808080"/>
            </a:buClr>
            <a:buSzPts val="950"/>
            <a:buFont typeface="Noto Sans Symbols"/>
            <a:buChar char="▪"/>
          </a:pPr>
          <a:r>
            <a:rPr b="1" i="0" lang="en-US" sz="950">
              <a:solidFill>
                <a:srgbClr val="808080"/>
              </a:solidFill>
              <a:latin typeface="Corbel"/>
              <a:ea typeface="Corbel"/>
              <a:cs typeface="Corbel"/>
              <a:sym typeface="Corbel"/>
            </a:rPr>
            <a:t>Hydrogen transmission pipelines</a:t>
          </a:r>
          <a:r>
            <a:rPr b="0" i="0" lang="en-US" sz="950">
              <a:solidFill>
                <a:srgbClr val="808080"/>
              </a:solidFill>
              <a:latin typeface="Corbel"/>
              <a:ea typeface="Corbel"/>
              <a:cs typeface="Corbel"/>
              <a:sym typeface="Corbel"/>
            </a:rPr>
            <a:t>: Projects are categorised according to the type of pipeline (onshore vs. offshore) and its origin (new and/or repurposed).</a:t>
          </a:r>
          <a:endParaRPr sz="1400"/>
        </a:p>
        <a:p>
          <a:pPr indent="-171450" lvl="1" marL="628650" marR="0" rtl="0" algn="just">
            <a:lnSpc>
              <a:spcPct val="136842"/>
            </a:lnSpc>
            <a:spcBef>
              <a:spcPts val="600"/>
            </a:spcBef>
            <a:spcAft>
              <a:spcPts val="0"/>
            </a:spcAft>
            <a:buClr>
              <a:srgbClr val="808080"/>
            </a:buClr>
            <a:buSzPts val="950"/>
            <a:buFont typeface="Noto Sans Symbols"/>
            <a:buChar char="▪"/>
          </a:pPr>
          <a:r>
            <a:rPr b="1" i="0" lang="en-US" sz="950">
              <a:solidFill>
                <a:srgbClr val="808080"/>
              </a:solidFill>
              <a:latin typeface="Corbel"/>
              <a:ea typeface="Corbel"/>
              <a:cs typeface="Corbel"/>
              <a:sym typeface="Corbel"/>
            </a:rPr>
            <a:t>Hydrogen blending</a:t>
          </a:r>
          <a:r>
            <a:rPr b="0" i="0" lang="en-US" sz="950">
              <a:solidFill>
                <a:srgbClr val="808080"/>
              </a:solidFill>
              <a:latin typeface="Corbel"/>
              <a:ea typeface="Corbel"/>
              <a:cs typeface="Corbel"/>
              <a:sym typeface="Corbel"/>
            </a:rPr>
            <a:t>: Projects that are injecting hydrogen blends into natural gas distribution pipelines.</a:t>
          </a:r>
          <a:endParaRPr sz="1400"/>
        </a:p>
        <a:p>
          <a:pPr indent="-171450" lvl="1" marL="628650" marR="0" rtl="0" algn="just">
            <a:lnSpc>
              <a:spcPct val="136842"/>
            </a:lnSpc>
            <a:spcBef>
              <a:spcPts val="600"/>
            </a:spcBef>
            <a:spcAft>
              <a:spcPts val="0"/>
            </a:spcAft>
            <a:buClr>
              <a:srgbClr val="808080"/>
            </a:buClr>
            <a:buSzPts val="950"/>
            <a:buFont typeface="Noto Sans Symbols"/>
            <a:buChar char="▪"/>
          </a:pPr>
          <a:r>
            <a:rPr b="1" i="0" lang="en-US" sz="950">
              <a:solidFill>
                <a:srgbClr val="808080"/>
              </a:solidFill>
              <a:latin typeface="Corbel"/>
              <a:ea typeface="Corbel"/>
              <a:cs typeface="Corbel"/>
              <a:sym typeface="Corbel"/>
            </a:rPr>
            <a:t>Underground gas storage facilities for hydrogen</a:t>
          </a:r>
          <a:r>
            <a:rPr b="0" i="0" lang="en-US" sz="950">
              <a:solidFill>
                <a:srgbClr val="808080"/>
              </a:solidFill>
              <a:latin typeface="Corbel"/>
              <a:ea typeface="Corbel"/>
              <a:cs typeface="Corbel"/>
              <a:sym typeface="Corbel"/>
            </a:rPr>
            <a:t>: Projects are categorised according to the underground storage type (salt caverns, depleted gas fields, aquifers, lined hard rock caverns) and its origin (new and/or repurposed).</a:t>
          </a:r>
          <a:endParaRPr sz="1400"/>
        </a:p>
        <a:p>
          <a:pPr indent="-171450" lvl="1" marL="628650" marR="0" rtl="0" algn="just">
            <a:lnSpc>
              <a:spcPct val="136842"/>
            </a:lnSpc>
            <a:spcBef>
              <a:spcPts val="600"/>
            </a:spcBef>
            <a:spcAft>
              <a:spcPts val="0"/>
            </a:spcAft>
            <a:buClr>
              <a:srgbClr val="808080"/>
            </a:buClr>
            <a:buSzPts val="950"/>
            <a:buFont typeface="Noto Sans Symbols"/>
            <a:buChar char="▪"/>
          </a:pPr>
          <a:r>
            <a:rPr b="1" i="0" lang="en-US" sz="950">
              <a:solidFill>
                <a:srgbClr val="808080"/>
              </a:solidFill>
              <a:latin typeface="Corbel"/>
              <a:ea typeface="Corbel"/>
              <a:cs typeface="Corbel"/>
              <a:sym typeface="Corbel"/>
            </a:rPr>
            <a:t>Hydrogen and hydrogen-based fuels infrastructure at ports for shipping</a:t>
          </a:r>
          <a:r>
            <a:rPr b="0" i="0" lang="en-US" sz="950">
              <a:solidFill>
                <a:srgbClr val="808080"/>
              </a:solidFill>
              <a:latin typeface="Corbel"/>
              <a:ea typeface="Corbel"/>
              <a:cs typeface="Corbel"/>
              <a:sym typeface="Corbel"/>
            </a:rPr>
            <a:t>: Projects for shipping-related infrastructure, including for the conversion, storage and reconversion of hydrogen (H2_ports) , ammonia (NH3_Ports and NH3_cracking) and methanol (MetOH_Ports).</a:t>
          </a:r>
          <a:endParaRPr sz="1400"/>
        </a:p>
        <a:p>
          <a:pPr indent="0" lvl="0" marL="0" rtl="0" algn="just">
            <a:lnSpc>
              <a:spcPct val="118181"/>
            </a:lnSpc>
            <a:spcBef>
              <a:spcPts val="600"/>
            </a:spcBef>
            <a:spcAft>
              <a:spcPts val="0"/>
            </a:spcAft>
            <a:buClr>
              <a:srgbClr val="004BFF"/>
            </a:buClr>
            <a:buSzPts val="1100"/>
            <a:buFont typeface="Corbel"/>
            <a:buNone/>
          </a:pPr>
          <a:r>
            <a:rPr b="1" i="0" lang="en-US" sz="1100" u="none" strike="noStrike">
              <a:solidFill>
                <a:srgbClr val="004BFF"/>
              </a:solidFill>
              <a:latin typeface="Corbel"/>
              <a:ea typeface="Corbel"/>
              <a:cs typeface="Corbel"/>
              <a:sym typeface="Corbel"/>
            </a:rPr>
            <a:t>Data sources </a:t>
          </a:r>
          <a:endParaRPr sz="1400"/>
        </a:p>
        <a:p>
          <a:pPr indent="0" lvl="0" marL="0" rtl="0" algn="just">
            <a:lnSpc>
              <a:spcPct val="136842"/>
            </a:lnSpc>
            <a:spcBef>
              <a:spcPts val="600"/>
            </a:spcBef>
            <a:spcAft>
              <a:spcPts val="0"/>
            </a:spcAft>
            <a:buClr>
              <a:srgbClr val="808080"/>
            </a:buClr>
            <a:buSzPts val="950"/>
            <a:buFont typeface="Corbel"/>
            <a:buNone/>
          </a:pPr>
          <a:r>
            <a:rPr i="0" lang="en-US" sz="950">
              <a:solidFill>
                <a:srgbClr val="808080"/>
              </a:solidFill>
              <a:latin typeface="Corbel"/>
              <a:ea typeface="Corbel"/>
              <a:cs typeface="Corbel"/>
              <a:sym typeface="Corbel"/>
            </a:rPr>
            <a:t>Data collection and processing by the IEA. The IEA wishes to acknowledge the generous support from the IEA Hydrogen Technology Collaboration Programme and other stakeholders that kindly provided information for the preparation of the database.</a:t>
          </a:r>
          <a:endParaRPr sz="1400"/>
        </a:p>
        <a:p>
          <a:pPr indent="0" lvl="0" marL="0" rtl="0" algn="just">
            <a:lnSpc>
              <a:spcPct val="136842"/>
            </a:lnSpc>
            <a:spcBef>
              <a:spcPts val="600"/>
            </a:spcBef>
            <a:spcAft>
              <a:spcPts val="0"/>
            </a:spcAft>
            <a:buClr>
              <a:srgbClr val="808080"/>
            </a:buClr>
            <a:buSzPts val="950"/>
            <a:buFont typeface="Corbel"/>
            <a:buNone/>
          </a:pPr>
          <a:r>
            <a:rPr i="0" lang="en-US" sz="950">
              <a:solidFill>
                <a:srgbClr val="808080"/>
              </a:solidFill>
              <a:latin typeface="Corbel"/>
              <a:ea typeface="Corbel"/>
              <a:cs typeface="Corbel"/>
              <a:sym typeface="Corbel"/>
            </a:rPr>
            <a:t>Where Argus Media is identified as the source of data or information published by the IEA, Argus makes no warranties, express or implied, as to the accuracy, adequacy, timeliness, or completeness of its data or IEA 's presentation of that data, or its fitness for any particular purpose. Argus shall not be liable for any   loss or damage arising from any party’s reliance or use of such data, and disclaims any and all liability related to or arising out of use of the data to the fullest extent permissible by law. Views or opinions set out in this report are not approved by or necessarily representative of the views or opinions of Argus Media. </a:t>
          </a:r>
          <a:endParaRPr i="0" sz="950">
            <a:solidFill>
              <a:srgbClr val="808080"/>
            </a:solidFill>
            <a:latin typeface="Corbel"/>
            <a:ea typeface="Corbel"/>
            <a:cs typeface="Corbel"/>
            <a:sym typeface="Corbel"/>
          </a:endParaRPr>
        </a:p>
        <a:p>
          <a:pPr indent="0" lvl="0" marL="0" rtl="0" algn="just">
            <a:lnSpc>
              <a:spcPct val="136842"/>
            </a:lnSpc>
            <a:spcBef>
              <a:spcPts val="600"/>
            </a:spcBef>
            <a:spcAft>
              <a:spcPts val="0"/>
            </a:spcAft>
            <a:buClr>
              <a:srgbClr val="808080"/>
            </a:buClr>
            <a:buSzPts val="950"/>
            <a:buFont typeface="Corbel"/>
            <a:buNone/>
          </a:pPr>
          <a:r>
            <a:rPr i="0" lang="en-US" sz="950">
              <a:solidFill>
                <a:srgbClr val="808080"/>
              </a:solidFill>
              <a:latin typeface="Corbel"/>
              <a:ea typeface="Corbel"/>
              <a:cs typeface="Corbel"/>
              <a:sym typeface="Corbel"/>
            </a:rPr>
            <a:t>We encourage and welcome contributions from all stakeholders where additions and changes are required. Please contact </a:t>
          </a:r>
          <a:r>
            <a:rPr i="0" lang="en-US" sz="950" u="sng">
              <a:solidFill>
                <a:schemeClr val="accent5"/>
              </a:solidFill>
              <a:latin typeface="Corbel"/>
              <a:ea typeface="Corbel"/>
              <a:cs typeface="Corbel"/>
              <a:sym typeface="Corbel"/>
            </a:rPr>
            <a:t>hydrogen@iea.org.</a:t>
          </a:r>
          <a:endParaRPr sz="1400"/>
        </a:p>
        <a:p>
          <a:pPr indent="0" lvl="0" marL="0" rtl="0" algn="just">
            <a:lnSpc>
              <a:spcPct val="136842"/>
            </a:lnSpc>
            <a:spcBef>
              <a:spcPts val="600"/>
            </a:spcBef>
            <a:spcAft>
              <a:spcPts val="0"/>
            </a:spcAft>
            <a:buSzPts val="950"/>
            <a:buFont typeface="Arial"/>
            <a:buNone/>
          </a:pPr>
          <a:r>
            <a:t/>
          </a:r>
          <a:endParaRPr b="1" i="0" sz="950" u="sng" strike="noStrike">
            <a:solidFill>
              <a:schemeClr val="accent5"/>
            </a:solidFill>
            <a:latin typeface="Corbel"/>
            <a:ea typeface="Corbel"/>
            <a:cs typeface="Corbel"/>
            <a:sym typeface="Corbel"/>
          </a:endParaRPr>
        </a:p>
        <a:p>
          <a:pPr indent="0" lvl="0" marL="0" marR="0" rtl="0" algn="just">
            <a:lnSpc>
              <a:spcPct val="118181"/>
            </a:lnSpc>
            <a:spcBef>
              <a:spcPts val="600"/>
            </a:spcBef>
            <a:spcAft>
              <a:spcPts val="0"/>
            </a:spcAft>
            <a:buClr>
              <a:schemeClr val="dk1"/>
            </a:buClr>
            <a:buSzPts val="950"/>
            <a:buFont typeface="Corbel"/>
            <a:buNone/>
          </a:pPr>
          <a:r>
            <a:rPr i="0" lang="en-US" sz="950">
              <a:solidFill>
                <a:schemeClr val="dk1"/>
              </a:solidFill>
              <a:latin typeface="Corbel"/>
              <a:ea typeface="Corbel"/>
              <a:cs typeface="Corbel"/>
              <a:sym typeface="Corbel"/>
            </a:rPr>
            <a:t> </a:t>
          </a:r>
          <a:r>
            <a:rPr b="1" i="0" lang="en-US" sz="1100" u="none" strike="noStrike">
              <a:solidFill>
                <a:srgbClr val="004BFF"/>
              </a:solidFill>
              <a:latin typeface="Corbel"/>
              <a:ea typeface="Corbel"/>
              <a:cs typeface="Corbel"/>
              <a:sym typeface="Corbel"/>
            </a:rPr>
            <a:t>IEA (2024). All rights reserved</a:t>
          </a:r>
          <a:endParaRPr sz="1400"/>
        </a:p>
        <a:p>
          <a:pPr indent="0" lvl="0" marL="0" rtl="0" algn="l">
            <a:spcBef>
              <a:spcPts val="0"/>
            </a:spcBef>
            <a:spcAft>
              <a:spcPts val="0"/>
            </a:spcAft>
            <a:buClr>
              <a:srgbClr val="808080"/>
            </a:buClr>
            <a:buSzPts val="950"/>
            <a:buFont typeface="Corbel"/>
            <a:buNone/>
          </a:pPr>
          <a:r>
            <a:rPr i="0" lang="en-US" sz="950">
              <a:solidFill>
                <a:srgbClr val="808080"/>
              </a:solidFill>
              <a:latin typeface="Corbel"/>
              <a:ea typeface="Corbel"/>
              <a:cs typeface="Corbel"/>
              <a:sym typeface="Corbel"/>
            </a:rPr>
            <a:t>Please note that this publication is subject to specific restrictions that limit its use and distribution. The terms and conditions are available online at www.iea.org/t&amp;c/</a:t>
          </a:r>
          <a:endParaRPr i="0" sz="950">
            <a:solidFill>
              <a:srgbClr val="808080"/>
            </a:solidFill>
            <a:latin typeface="Corbel"/>
            <a:ea typeface="Corbel"/>
            <a:cs typeface="Corbel"/>
            <a:sym typeface="Corbel"/>
          </a:endParaRPr>
        </a:p>
        <a:p>
          <a:pPr indent="0" lvl="0" marL="0" rtl="0" algn="l">
            <a:spcBef>
              <a:spcPts val="0"/>
            </a:spcBef>
            <a:spcAft>
              <a:spcPts val="0"/>
            </a:spcAft>
            <a:buClr>
              <a:srgbClr val="808080"/>
            </a:buClr>
            <a:buSzPts val="950"/>
            <a:buFont typeface="Corbel"/>
            <a:buNone/>
          </a:pPr>
          <a:r>
            <a:rPr i="0" lang="en-US" sz="950">
              <a:solidFill>
                <a:srgbClr val="808080"/>
              </a:solidFill>
              <a:latin typeface="Corbel"/>
              <a:ea typeface="Corbel"/>
              <a:cs typeface="Corbel"/>
              <a:sym typeface="Corbel"/>
            </a:rPr>
            <a:t> </a:t>
          </a:r>
          <a:endParaRPr sz="1400"/>
        </a:p>
        <a:p>
          <a:pPr indent="0" lvl="0" marL="0" rtl="0" algn="l">
            <a:spcBef>
              <a:spcPts val="0"/>
            </a:spcBef>
            <a:spcAft>
              <a:spcPts val="0"/>
            </a:spcAft>
            <a:buClr>
              <a:srgbClr val="808080"/>
            </a:buClr>
            <a:buSzPts val="950"/>
            <a:buFont typeface="Corbel"/>
            <a:buNone/>
          </a:pPr>
          <a:r>
            <a:rPr i="0" lang="en-US" sz="950">
              <a:solidFill>
                <a:srgbClr val="808080"/>
              </a:solidFill>
              <a:latin typeface="Corbel"/>
              <a:ea typeface="Corbel"/>
              <a:cs typeface="Corbel"/>
              <a:sym typeface="Corbel"/>
            </a:rPr>
            <a:t>This database may be cited as follows: </a:t>
          </a:r>
          <a:endParaRPr sz="1400"/>
        </a:p>
        <a:p>
          <a:pPr indent="0" lvl="0" marL="0" rtl="0" algn="l">
            <a:spcBef>
              <a:spcPts val="0"/>
            </a:spcBef>
            <a:spcAft>
              <a:spcPts val="0"/>
            </a:spcAft>
            <a:buClr>
              <a:srgbClr val="808080"/>
            </a:buClr>
            <a:buSzPts val="950"/>
            <a:buFont typeface="Corbel"/>
            <a:buNone/>
          </a:pPr>
          <a:r>
            <a:rPr i="0" lang="en-US" sz="950">
              <a:solidFill>
                <a:srgbClr val="808080"/>
              </a:solidFill>
              <a:latin typeface="Corbel"/>
              <a:ea typeface="Corbel"/>
              <a:cs typeface="Corbel"/>
              <a:sym typeface="Corbel"/>
            </a:rPr>
            <a:t> </a:t>
          </a:r>
          <a:endParaRPr sz="1400"/>
        </a:p>
        <a:p>
          <a:pPr indent="0" lvl="0" marL="0" rtl="0" algn="l">
            <a:spcBef>
              <a:spcPts val="0"/>
            </a:spcBef>
            <a:spcAft>
              <a:spcPts val="0"/>
            </a:spcAft>
            <a:buClr>
              <a:srgbClr val="808080"/>
            </a:buClr>
            <a:buSzPts val="950"/>
            <a:buFont typeface="Corbel"/>
            <a:buNone/>
          </a:pPr>
          <a:r>
            <a:rPr i="0" lang="en-US" sz="950">
              <a:solidFill>
                <a:srgbClr val="808080"/>
              </a:solidFill>
              <a:latin typeface="Corbel"/>
              <a:ea typeface="Corbel"/>
              <a:cs typeface="Corbel"/>
              <a:sym typeface="Corbel"/>
            </a:rPr>
            <a:t>Source: IEA (2024), Hydrogen Infrastructure Database, https://www.iea.org/reports/hydrogen-projects-database. All rights reserved. </a:t>
          </a:r>
          <a:endParaRPr sz="1400"/>
        </a:p>
        <a:p>
          <a:pPr indent="0" lvl="0" marL="0" marR="0" rtl="0" algn="just">
            <a:lnSpc>
              <a:spcPct val="118181"/>
            </a:lnSpc>
            <a:spcBef>
              <a:spcPts val="0"/>
            </a:spcBef>
            <a:spcAft>
              <a:spcPts val="0"/>
            </a:spcAft>
            <a:buSzPts val="1100"/>
            <a:buFont typeface="Arial"/>
            <a:buNone/>
          </a:pPr>
          <a:r>
            <a:t/>
          </a:r>
          <a:endParaRPr b="1" i="0" sz="1100" u="none" strike="noStrike">
            <a:solidFill>
              <a:srgbClr val="004BFF"/>
            </a:solidFill>
            <a:latin typeface="Corbel"/>
            <a:ea typeface="Corbel"/>
            <a:cs typeface="Corbel"/>
            <a:sym typeface="Corbel"/>
          </a:endParaRPr>
        </a:p>
      </xdr:txBody>
    </xdr:sp>
    <xdr:clientData fLocksWithSheet="0"/>
  </xdr:oneCellAnchor>
  <xdr:oneCellAnchor>
    <xdr:from>
      <xdr:col>0</xdr:col>
      <xdr:colOff>0</xdr:colOff>
      <xdr:row>0</xdr:row>
      <xdr:rowOff>0</xdr:rowOff>
    </xdr:from>
    <xdr:ext cx="2190750" cy="752475"/>
    <xdr:pic>
      <xdr:nvPicPr>
        <xdr:cNvPr id="0" name="image6.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571500</xdr:colOff>
      <xdr:row>4</xdr:row>
      <xdr:rowOff>0</xdr:rowOff>
    </xdr:from>
    <xdr:ext cx="11630025" cy="30079950"/>
    <xdr:sp>
      <xdr:nvSpPr>
        <xdr:cNvPr id="4" name="Shape 4"/>
        <xdr:cNvSpPr txBox="1"/>
      </xdr:nvSpPr>
      <xdr:spPr>
        <a:xfrm>
          <a:off x="0" y="0"/>
          <a:ext cx="10692000" cy="7560000"/>
        </a:xfrm>
        <a:prstGeom prst="rect">
          <a:avLst/>
        </a:prstGeom>
        <a:solidFill>
          <a:schemeClr val="lt1"/>
        </a:solidFill>
        <a:ln>
          <a:noFill/>
        </a:ln>
      </xdr:spPr>
      <xdr:txBody>
        <a:bodyPr anchorCtr="0" anchor="t" bIns="45700" lIns="91425" spcFirstLastPara="1" rIns="91425" wrap="square" tIns="45700">
          <a:noAutofit/>
        </a:bodyPr>
        <a:lstStyle/>
        <a:p>
          <a:pPr indent="0" lvl="0" marL="0" rtl="0" algn="just">
            <a:lnSpc>
              <a:spcPct val="118181"/>
            </a:lnSpc>
            <a:spcBef>
              <a:spcPts val="0"/>
            </a:spcBef>
            <a:spcAft>
              <a:spcPts val="0"/>
            </a:spcAft>
            <a:buClr>
              <a:srgbClr val="004BFF"/>
            </a:buClr>
            <a:buSzPts val="1100"/>
            <a:buFont typeface="Corbel"/>
            <a:buNone/>
          </a:pPr>
          <a:r>
            <a:rPr b="1" lang="en-US" sz="1100">
              <a:solidFill>
                <a:srgbClr val="004BFF"/>
              </a:solidFill>
              <a:latin typeface="Corbel"/>
              <a:ea typeface="Corbel"/>
              <a:cs typeface="Corbel"/>
              <a:sym typeface="Corbel"/>
            </a:rPr>
            <a:t>Infrastructure origin</a:t>
          </a:r>
          <a:endParaRPr sz="1400"/>
        </a:p>
        <a:p>
          <a:pPr indent="0" lvl="1" marL="0" rtl="0" algn="just">
            <a:lnSpc>
              <a:spcPct val="118181"/>
            </a:lnSpc>
            <a:spcBef>
              <a:spcPts val="600"/>
            </a:spcBef>
            <a:spcAft>
              <a:spcPts val="0"/>
            </a:spcAft>
            <a:buClr>
              <a:srgbClr val="808080"/>
            </a:buClr>
            <a:buSzPts val="1100"/>
            <a:buFont typeface="Corbel"/>
            <a:buNone/>
          </a:pPr>
          <a:r>
            <a:rPr lang="en-US" sz="1100">
              <a:solidFill>
                <a:srgbClr val="808080"/>
              </a:solidFill>
              <a:latin typeface="Corbel"/>
              <a:ea typeface="Corbel"/>
              <a:cs typeface="Corbel"/>
              <a:sym typeface="Corbel"/>
            </a:rPr>
            <a:t>New: infrastructure designed for hydrogen.</a:t>
          </a:r>
          <a:endParaRPr sz="1100">
            <a:solidFill>
              <a:srgbClr val="808080"/>
            </a:solidFill>
            <a:latin typeface="Corbel"/>
            <a:ea typeface="Corbel"/>
            <a:cs typeface="Corbel"/>
            <a:sym typeface="Corbel"/>
          </a:endParaRPr>
        </a:p>
        <a:p>
          <a:pPr indent="0" lvl="1" marL="0" rtl="0" algn="just">
            <a:lnSpc>
              <a:spcPct val="118181"/>
            </a:lnSpc>
            <a:spcBef>
              <a:spcPts val="600"/>
            </a:spcBef>
            <a:spcAft>
              <a:spcPts val="0"/>
            </a:spcAft>
            <a:buClr>
              <a:srgbClr val="808080"/>
            </a:buClr>
            <a:buSzPts val="1100"/>
            <a:buFont typeface="Corbel"/>
            <a:buNone/>
          </a:pPr>
          <a:r>
            <a:rPr lang="en-US" sz="1100">
              <a:solidFill>
                <a:srgbClr val="808080"/>
              </a:solidFill>
              <a:latin typeface="Corbel"/>
              <a:ea typeface="Corbel"/>
              <a:cs typeface="Corbel"/>
              <a:sym typeface="Corbel"/>
            </a:rPr>
            <a:t>Repurposed: Repurposing implies converting an existing natural gas infrastructure to a dedicated hydrogen infrastructure.</a:t>
          </a:r>
          <a:endParaRPr sz="1100">
            <a:solidFill>
              <a:srgbClr val="808080"/>
            </a:solidFill>
            <a:latin typeface="Corbel"/>
            <a:ea typeface="Corbel"/>
            <a:cs typeface="Corbel"/>
            <a:sym typeface="Corbel"/>
          </a:endParaRPr>
        </a:p>
        <a:p>
          <a:pPr indent="0" lvl="0" marL="0" rtl="0" algn="just">
            <a:lnSpc>
              <a:spcPct val="118181"/>
            </a:lnSpc>
            <a:spcBef>
              <a:spcPts val="600"/>
            </a:spcBef>
            <a:spcAft>
              <a:spcPts val="0"/>
            </a:spcAft>
            <a:buSzPts val="1100"/>
            <a:buFont typeface="Arial"/>
            <a:buNone/>
          </a:pPr>
          <a:r>
            <a:t/>
          </a:r>
          <a:endParaRPr b="1" sz="1100">
            <a:solidFill>
              <a:srgbClr val="004BFF"/>
            </a:solidFill>
            <a:latin typeface="Corbel"/>
            <a:ea typeface="Corbel"/>
            <a:cs typeface="Corbel"/>
            <a:sym typeface="Corbel"/>
          </a:endParaRPr>
        </a:p>
        <a:p>
          <a:pPr indent="0" lvl="0" marL="0" rtl="0" algn="just">
            <a:lnSpc>
              <a:spcPct val="118181"/>
            </a:lnSpc>
            <a:spcBef>
              <a:spcPts val="600"/>
            </a:spcBef>
            <a:spcAft>
              <a:spcPts val="0"/>
            </a:spcAft>
            <a:buClr>
              <a:srgbClr val="004BFF"/>
            </a:buClr>
            <a:buSzPts val="1100"/>
            <a:buFont typeface="Corbel"/>
            <a:buNone/>
          </a:pPr>
          <a:r>
            <a:rPr b="1" lang="en-US" sz="1100">
              <a:solidFill>
                <a:srgbClr val="004BFF"/>
              </a:solidFill>
              <a:latin typeface="Corbel"/>
              <a:ea typeface="Corbel"/>
              <a:cs typeface="Corbel"/>
              <a:sym typeface="Corbel"/>
            </a:rPr>
            <a:t>Hydrogen blending</a:t>
          </a:r>
          <a:endParaRPr sz="1400"/>
        </a:p>
        <a:p>
          <a:pPr indent="0" lvl="0" marL="0" rtl="0" algn="just">
            <a:lnSpc>
              <a:spcPct val="118181"/>
            </a:lnSpc>
            <a:spcBef>
              <a:spcPts val="600"/>
            </a:spcBef>
            <a:spcAft>
              <a:spcPts val="0"/>
            </a:spcAft>
            <a:buClr>
              <a:srgbClr val="808080"/>
            </a:buClr>
            <a:buSzPts val="1100"/>
            <a:buFont typeface="Calibri"/>
            <a:buNone/>
          </a:pPr>
          <a:r>
            <a:rPr lang="en-US" sz="1100">
              <a:solidFill>
                <a:srgbClr val="808080"/>
              </a:solidFill>
              <a:latin typeface="Calibri"/>
              <a:ea typeface="Calibri"/>
              <a:cs typeface="Calibri"/>
              <a:sym typeface="Calibri"/>
            </a:rPr>
            <a:t>Hydrogen blending involves upgrading of existing infrastructure to allow the injection of certain amounts of hydrogen into a natural gas stream up to a blending threshold.</a:t>
          </a:r>
          <a:endParaRPr sz="1400"/>
        </a:p>
        <a:p>
          <a:pPr indent="0" lvl="0" marL="0" rtl="0" algn="just">
            <a:lnSpc>
              <a:spcPct val="118181"/>
            </a:lnSpc>
            <a:spcBef>
              <a:spcPts val="600"/>
            </a:spcBef>
            <a:spcAft>
              <a:spcPts val="0"/>
            </a:spcAft>
            <a:buSzPts val="1100"/>
            <a:buFont typeface="Arial"/>
            <a:buNone/>
          </a:pPr>
          <a:r>
            <a:t/>
          </a:r>
          <a:endParaRPr sz="1100">
            <a:solidFill>
              <a:srgbClr val="808080"/>
            </a:solidFill>
            <a:latin typeface="Calibri"/>
            <a:ea typeface="Calibri"/>
            <a:cs typeface="Calibri"/>
            <a:sym typeface="Calibri"/>
          </a:endParaRPr>
        </a:p>
        <a:p>
          <a:pPr indent="0" lvl="0" marL="0" marR="0" rtl="0" algn="just">
            <a:lnSpc>
              <a:spcPct val="118181"/>
            </a:lnSpc>
            <a:spcBef>
              <a:spcPts val="600"/>
            </a:spcBef>
            <a:spcAft>
              <a:spcPts val="0"/>
            </a:spcAft>
            <a:buClr>
              <a:srgbClr val="004BFF"/>
            </a:buClr>
            <a:buSzPts val="1100"/>
            <a:buFont typeface="Corbel"/>
            <a:buNone/>
          </a:pPr>
          <a:r>
            <a:rPr b="1" lang="en-US" sz="1100">
              <a:solidFill>
                <a:srgbClr val="004BFF"/>
              </a:solidFill>
              <a:latin typeface="Corbel"/>
              <a:ea typeface="Corbel"/>
              <a:cs typeface="Corbel"/>
              <a:sym typeface="Corbel"/>
            </a:rPr>
            <a:t>Hydrogen infrastructure at ports</a:t>
          </a:r>
          <a:endParaRPr sz="1400"/>
        </a:p>
        <a:p>
          <a:pPr indent="0" lvl="0" marL="0" rtl="0" algn="just">
            <a:lnSpc>
              <a:spcPct val="118181"/>
            </a:lnSpc>
            <a:spcBef>
              <a:spcPts val="600"/>
            </a:spcBef>
            <a:spcAft>
              <a:spcPts val="0"/>
            </a:spcAft>
            <a:buClr>
              <a:srgbClr val="808080"/>
            </a:buClr>
            <a:buSzPts val="1100"/>
            <a:buFont typeface="Calibri"/>
            <a:buNone/>
          </a:pPr>
          <a:r>
            <a:rPr lang="en-US" sz="1100">
              <a:solidFill>
                <a:srgbClr val="808080"/>
              </a:solidFill>
              <a:latin typeface="Calibri"/>
              <a:ea typeface="Calibri"/>
              <a:cs typeface="Calibri"/>
              <a:sym typeface="Calibri"/>
            </a:rPr>
            <a:t>The dataset on infrastructure at ports covers projects that aim to store and ship low-emissions hydrogen and hydrogen-based fuels, such as ammonia or methanol, excluding existing terminals and announced projects which are principally aimed at storing and shipping unabated fossil-based ammonia or methanol.</a:t>
          </a:r>
          <a:endParaRPr sz="1400"/>
        </a:p>
        <a:p>
          <a:pPr indent="0" lvl="0" marL="0" rtl="0" algn="just">
            <a:lnSpc>
              <a:spcPct val="118181"/>
            </a:lnSpc>
            <a:spcBef>
              <a:spcPts val="600"/>
            </a:spcBef>
            <a:spcAft>
              <a:spcPts val="0"/>
            </a:spcAft>
            <a:buClr>
              <a:srgbClr val="808080"/>
            </a:buClr>
            <a:buSzPts val="1100"/>
            <a:buFont typeface="Calibri"/>
            <a:buNone/>
          </a:pPr>
          <a:r>
            <a:rPr lang="en-US" sz="1100">
              <a:solidFill>
                <a:srgbClr val="808080"/>
              </a:solidFill>
              <a:latin typeface="Calibri"/>
              <a:ea typeface="Calibri"/>
              <a:cs typeface="Calibri"/>
              <a:sym typeface="Calibri"/>
            </a:rPr>
            <a:t>Based on data availability, the dataset covers conversion at exporting terminals, storage tanks at import and export terminals, and reconversion (if needed) at import terminals. </a:t>
          </a:r>
          <a:endParaRPr sz="1100">
            <a:solidFill>
              <a:srgbClr val="808080"/>
            </a:solidFill>
            <a:latin typeface="Calibri"/>
            <a:ea typeface="Calibri"/>
            <a:cs typeface="Calibri"/>
            <a:sym typeface="Calibri"/>
          </a:endParaRPr>
        </a:p>
        <a:p>
          <a:pPr indent="0" lvl="0" marL="0" rtl="0" algn="just">
            <a:lnSpc>
              <a:spcPct val="108333"/>
            </a:lnSpc>
            <a:spcBef>
              <a:spcPts val="600"/>
            </a:spcBef>
            <a:spcAft>
              <a:spcPts val="0"/>
            </a:spcAft>
            <a:buSzPts val="1200"/>
            <a:buFont typeface="Arial"/>
            <a:buNone/>
          </a:pPr>
          <a:r>
            <a:t/>
          </a:r>
          <a:endParaRPr sz="1200">
            <a:solidFill>
              <a:srgbClr val="004BFF"/>
            </a:solidFill>
            <a:latin typeface="Times New Roman"/>
            <a:ea typeface="Times New Roman"/>
            <a:cs typeface="Times New Roman"/>
            <a:sym typeface="Times New Roman"/>
          </a:endParaRPr>
        </a:p>
        <a:p>
          <a:pPr indent="0" lvl="0" marL="0" rtl="0" algn="l">
            <a:lnSpc>
              <a:spcPct val="107000"/>
            </a:lnSpc>
            <a:spcBef>
              <a:spcPts val="600"/>
            </a:spcBef>
            <a:spcAft>
              <a:spcPts val="0"/>
            </a:spcAft>
            <a:buSzPts val="1100"/>
            <a:buFont typeface="Arial"/>
            <a:buNone/>
          </a:pPr>
          <a:r>
            <a:t/>
          </a:r>
          <a:endParaRPr sz="1100">
            <a:solidFill>
              <a:srgbClr val="808080"/>
            </a:solidFill>
            <a:latin typeface="Calibri"/>
            <a:ea typeface="Calibri"/>
            <a:cs typeface="Calibri"/>
            <a:sym typeface="Calibri"/>
          </a:endParaRPr>
        </a:p>
        <a:p>
          <a:pPr indent="0" lvl="0" marL="0" marR="0" rtl="0" algn="l">
            <a:lnSpc>
              <a:spcPct val="107000"/>
            </a:lnSpc>
            <a:spcBef>
              <a:spcPts val="800"/>
            </a:spcBef>
            <a:spcAft>
              <a:spcPts val="0"/>
            </a:spcAft>
            <a:buClr>
              <a:srgbClr val="004BFF"/>
            </a:buClr>
            <a:buSzPts val="1100"/>
            <a:buFont typeface="Corbel"/>
            <a:buNone/>
          </a:pPr>
          <a:r>
            <a:rPr b="1" i="0" lang="en-US" sz="1100" u="none" cap="none" strike="noStrike">
              <a:solidFill>
                <a:srgbClr val="004BFF"/>
              </a:solidFill>
              <a:latin typeface="Corbel"/>
              <a:ea typeface="Corbel"/>
              <a:cs typeface="Corbel"/>
              <a:sym typeface="Corbel"/>
            </a:rPr>
            <a:t>Methodology</a:t>
          </a:r>
          <a:endParaRPr sz="1400"/>
        </a:p>
        <a:p>
          <a:pPr indent="0" lvl="0" marL="0" rtl="0" algn="l">
            <a:lnSpc>
              <a:spcPct val="107000"/>
            </a:lnSpc>
            <a:spcBef>
              <a:spcPts val="800"/>
            </a:spcBef>
            <a:spcAft>
              <a:spcPts val="0"/>
            </a:spcAft>
            <a:buClr>
              <a:srgbClr val="004BFF"/>
            </a:buClr>
            <a:buSzPts val="1100"/>
            <a:buFont typeface="Corbel"/>
            <a:buNone/>
          </a:pPr>
          <a:r>
            <a:rPr b="0" i="0" lang="en-US" sz="1100" u="none" strike="noStrike">
              <a:solidFill>
                <a:srgbClr val="004BFF"/>
              </a:solidFill>
              <a:latin typeface="Corbel"/>
              <a:ea typeface="Corbel"/>
              <a:cs typeface="Corbel"/>
              <a:sym typeface="Corbel"/>
            </a:rPr>
            <a:t>Conversions</a:t>
          </a:r>
          <a:endParaRPr sz="1400"/>
        </a:p>
        <a:p>
          <a:pPr indent="0" lvl="1" marL="0" rtl="0" algn="l">
            <a:lnSpc>
              <a:spcPct val="107000"/>
            </a:lnSpc>
            <a:spcBef>
              <a:spcPts val="800"/>
            </a:spcBef>
            <a:spcAft>
              <a:spcPts val="0"/>
            </a:spcAft>
            <a:buClr>
              <a:srgbClr val="808080"/>
            </a:buClr>
            <a:buSzPts val="1100"/>
            <a:buFont typeface="Corbel"/>
            <a:buNone/>
          </a:pPr>
          <a:r>
            <a:rPr b="0" i="0" lang="en-US" sz="1100" u="none" strike="noStrike">
              <a:solidFill>
                <a:srgbClr val="808080"/>
              </a:solidFill>
              <a:latin typeface="Corbel"/>
              <a:ea typeface="Corbel"/>
              <a:cs typeface="Corbel"/>
              <a:sym typeface="Corbel"/>
            </a:rPr>
            <a:t>H</a:t>
          </a:r>
          <a:r>
            <a:rPr b="0" baseline="-25000" i="0" lang="en-US" sz="1100" u="none" strike="noStrike">
              <a:solidFill>
                <a:srgbClr val="808080"/>
              </a:solidFill>
              <a:latin typeface="Corbel"/>
              <a:ea typeface="Corbel"/>
              <a:cs typeface="Corbel"/>
              <a:sym typeface="Corbel"/>
            </a:rPr>
            <a:t>2</a:t>
          </a:r>
          <a:r>
            <a:rPr b="0" i="0" lang="en-US" sz="1100" u="none" strike="noStrike">
              <a:solidFill>
                <a:srgbClr val="808080"/>
              </a:solidFill>
              <a:latin typeface="Corbel"/>
              <a:ea typeface="Corbel"/>
              <a:cs typeface="Corbel"/>
              <a:sym typeface="Corbel"/>
            </a:rPr>
            <a:t> LHV: 0.120 PJ/kt</a:t>
          </a:r>
          <a:endParaRPr sz="1400"/>
        </a:p>
        <a:p>
          <a:pPr indent="0" lvl="1" marL="457200" marR="0" rtl="0" algn="l">
            <a:lnSpc>
              <a:spcPct val="107000"/>
            </a:lnSpc>
            <a:spcBef>
              <a:spcPts val="800"/>
            </a:spcBef>
            <a:spcAft>
              <a:spcPts val="0"/>
            </a:spcAft>
            <a:buClr>
              <a:srgbClr val="808080"/>
            </a:buClr>
            <a:buSzPts val="1100"/>
            <a:buFont typeface="Corbel"/>
            <a:buNone/>
          </a:pPr>
          <a:r>
            <a:rPr b="0" i="0" lang="en-US" sz="1100" u="none" strike="noStrike">
              <a:solidFill>
                <a:srgbClr val="808080"/>
              </a:solidFill>
              <a:latin typeface="Corbel"/>
              <a:ea typeface="Corbel"/>
              <a:cs typeface="Corbel"/>
              <a:sym typeface="Corbel"/>
            </a:rPr>
            <a:t>H</a:t>
          </a:r>
          <a:r>
            <a:rPr b="0" baseline="-25000" i="0" lang="en-US" sz="1100" u="none" strike="noStrike">
              <a:solidFill>
                <a:srgbClr val="808080"/>
              </a:solidFill>
              <a:latin typeface="Corbel"/>
              <a:ea typeface="Corbel"/>
              <a:cs typeface="Corbel"/>
              <a:sym typeface="Corbel"/>
            </a:rPr>
            <a:t>2</a:t>
          </a:r>
          <a:r>
            <a:rPr b="0" i="0" lang="en-US" sz="1100" u="none" strike="noStrike">
              <a:solidFill>
                <a:srgbClr val="808080"/>
              </a:solidFill>
              <a:latin typeface="Corbel"/>
              <a:ea typeface="Corbel"/>
              <a:cs typeface="Corbel"/>
              <a:sym typeface="Corbel"/>
            </a:rPr>
            <a:t> density in normal conditions: 0.089 kg/m</a:t>
          </a:r>
          <a:r>
            <a:rPr b="0" baseline="30000" i="0" lang="en-US" sz="1100" u="none" strike="noStrike">
              <a:solidFill>
                <a:srgbClr val="808080"/>
              </a:solidFill>
              <a:latin typeface="Corbel"/>
              <a:ea typeface="Corbel"/>
              <a:cs typeface="Corbel"/>
              <a:sym typeface="Corbel"/>
            </a:rPr>
            <a:t>3</a:t>
          </a:r>
          <a:endParaRPr sz="1400"/>
        </a:p>
        <a:p>
          <a:pPr indent="0" lvl="0" marL="0" rtl="0" algn="l">
            <a:lnSpc>
              <a:spcPct val="107000"/>
            </a:lnSpc>
            <a:spcBef>
              <a:spcPts val="800"/>
            </a:spcBef>
            <a:spcAft>
              <a:spcPts val="0"/>
            </a:spcAft>
            <a:buClr>
              <a:srgbClr val="808080"/>
            </a:buClr>
            <a:buSzPts val="1100"/>
            <a:buFont typeface="Corbel"/>
            <a:buNone/>
          </a:pPr>
          <a:r>
            <a:rPr b="0" i="0" lang="en-US" sz="1100" u="none" strike="noStrike">
              <a:solidFill>
                <a:srgbClr val="808080"/>
              </a:solidFill>
              <a:latin typeface="Corbel"/>
              <a:ea typeface="Corbel"/>
              <a:cs typeface="Corbel"/>
              <a:sym typeface="Corbel"/>
            </a:rPr>
            <a:t>When projects are divided into several phases, the total announced capacity is cited. However, for calculating the capacity, the installed capacity of each phase is reduced by the precedent phase(s) to avoid double counting.</a:t>
          </a:r>
          <a:endParaRPr sz="1400"/>
        </a:p>
        <a:p>
          <a:pPr indent="0" lvl="0" marL="0" rtl="0" algn="l">
            <a:lnSpc>
              <a:spcPct val="107000"/>
            </a:lnSpc>
            <a:spcBef>
              <a:spcPts val="800"/>
            </a:spcBef>
            <a:spcAft>
              <a:spcPts val="0"/>
            </a:spcAft>
            <a:buSzPts val="1100"/>
            <a:buFont typeface="Arial"/>
            <a:buNone/>
          </a:pPr>
          <a:r>
            <a:t/>
          </a:r>
          <a:endParaRPr b="0" i="0" sz="1100" u="none" strike="noStrike">
            <a:solidFill>
              <a:srgbClr val="808080"/>
            </a:solidFill>
            <a:latin typeface="Corbel"/>
            <a:ea typeface="Corbel"/>
            <a:cs typeface="Corbel"/>
            <a:sym typeface="Corbel"/>
          </a:endParaRPr>
        </a:p>
        <a:p>
          <a:pPr indent="0" lvl="0" marL="0" rtl="0" algn="l">
            <a:lnSpc>
              <a:spcPct val="107000"/>
            </a:lnSpc>
            <a:spcBef>
              <a:spcPts val="800"/>
            </a:spcBef>
            <a:spcAft>
              <a:spcPts val="0"/>
            </a:spcAft>
            <a:buSzPts val="1100"/>
            <a:buFont typeface="Arial"/>
            <a:buNone/>
          </a:pPr>
          <a:r>
            <a:t/>
          </a:r>
          <a:endParaRPr b="0" i="0" sz="1100" u="none" strike="noStrike">
            <a:solidFill>
              <a:srgbClr val="808080"/>
            </a:solidFill>
            <a:latin typeface="Corbel"/>
            <a:ea typeface="Corbel"/>
            <a:cs typeface="Corbel"/>
            <a:sym typeface="Corbel"/>
          </a:endParaRPr>
        </a:p>
      </xdr:txBody>
    </xdr:sp>
    <xdr:clientData fLocksWithSheet="0"/>
  </xdr:oneCellAnchor>
  <xdr:oneCellAnchor>
    <xdr:from>
      <xdr:col>3</xdr:col>
      <xdr:colOff>0</xdr:colOff>
      <xdr:row>0</xdr:row>
      <xdr:rowOff>0</xdr:rowOff>
    </xdr:from>
    <xdr:ext cx="314325" cy="333375"/>
    <xdr:sp>
      <xdr:nvSpPr>
        <xdr:cNvPr descr="Icon" id="5" name="Shape 5"/>
        <xdr:cNvSpPr/>
      </xdr:nvSpPr>
      <xdr:spPr>
        <a:xfrm>
          <a:off x="5193600" y="3618075"/>
          <a:ext cx="304800" cy="3238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lientData fLocksWithSheet="0"/>
  </xdr:oneCellAnchor>
  <xdr:oneCellAnchor>
    <xdr:from>
      <xdr:col>2</xdr:col>
      <xdr:colOff>0</xdr:colOff>
      <xdr:row>0</xdr:row>
      <xdr:rowOff>0</xdr:rowOff>
    </xdr:from>
    <xdr:ext cx="314325" cy="333375"/>
    <xdr:sp>
      <xdr:nvSpPr>
        <xdr:cNvPr descr="Icon" id="5" name="Shape 5"/>
        <xdr:cNvSpPr/>
      </xdr:nvSpPr>
      <xdr:spPr>
        <a:xfrm>
          <a:off x="5193600" y="3618075"/>
          <a:ext cx="304800" cy="3238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lientData fLocksWithSheet="0"/>
  </xdr:oneCellAnchor>
  <xdr:oneCellAnchor>
    <xdr:from>
      <xdr:col>0</xdr:col>
      <xdr:colOff>0</xdr:colOff>
      <xdr:row>0</xdr:row>
      <xdr:rowOff>0</xdr:rowOff>
    </xdr:from>
    <xdr:ext cx="2133600" cy="742950"/>
    <xdr:pic>
      <xdr:nvPicPr>
        <xdr:cNvPr id="0" name="image7.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D2431" displayName="Table_1" name="Table_1" id="1">
  <tableColumns count="4">
    <tableColumn name="Project name" id="1"/>
    <tableColumn name="Country" id="2"/>
    <tableColumn name="Latitude" id="3"/>
    <tableColumn name="Longitude" id="4"/>
  </tableColumns>
  <tableStyleInfo name="IEA_H2-style" showColumnStripes="0" showFirstColumn="1" showLastColumn="1" showRowStripes="1"/>
</table>
</file>

<file path=xl/tables/table2.xml><?xml version="1.0" encoding="utf-8"?>
<table xmlns="http://schemas.openxmlformats.org/spreadsheetml/2006/main" ref="A4:AJ2441" displayName="Table_2" name="Table_2" id="2">
  <tableColumns count="36">
    <tableColumn name="Ref" id="1"/>
    <tableColumn name="Project name" id="2"/>
    <tableColumn name="Country" id="3"/>
    <tableColumn name="Date online" id="4"/>
    <tableColumn name="Decomission date" id="5"/>
    <tableColumn name="Status" id="6"/>
    <tableColumn name="Technology" id="7"/>
    <tableColumn name="Technology_details" id="8"/>
    <tableColumn name="Technology_electricity" id="9"/>
    <tableColumn name="Technology_electricity_details" id="10"/>
    <tableColumn name="Product" id="11"/>
    <tableColumn name="EndUse_Refining" id="12"/>
    <tableColumn name="EndUse_Ammonia" id="13"/>
    <tableColumn name="EndUse_Methanol" id="14"/>
    <tableColumn name="EndUse_Iron&amp;Steel" id="15"/>
    <tableColumn name="EndUse_Other Ind" id="16"/>
    <tableColumn name="EndUse_Mobility" id="17"/>
    <tableColumn name="EndUse_Power" id="18"/>
    <tableColumn name="EndUse_Grid inj." id="19"/>
    <tableColumn name="EndUse_CHP" id="20"/>
    <tableColumn name="EndUse_Domestic heat" id="21"/>
    <tableColumn name="EndUse_Biofuels" id="22"/>
    <tableColumn name="EndUse_Synfuels" id="23"/>
    <tableColumn name="EndUse_CH4 grid inj." id="24"/>
    <tableColumn name="EndUse_CH4 mobility" id="25"/>
    <tableColumn name="Announced Size" id="26"/>
    <tableColumn name="Capacity_MWel" id="27"/>
    <tableColumn name="Capacity_Nm³ H₂/h" id="28"/>
    <tableColumn name="Capacity_kt H2/y" id="29"/>
    <tableColumn name="Capacity_t CO₂ captured/y" id="30"/>
    <tableColumn name="IEA zero-carbon estimated normalized capacity [Nm³ H₂/hour]" id="31"/>
    <tableColumn name="References" id="32"/>
    <tableColumn name="Latitude" id="33"/>
    <tableColumn name="Longitude" id="34"/>
    <tableColumn name="Dummy_1" id="35"/>
    <tableColumn name="LOWE_CF" id="36"/>
  </tableColumns>
  <tableStyleInfo name="Projects-style" showColumnStripes="0" showFirstColumn="1" showLastColumn="1" showRowStripes="1"/>
</table>
</file>

<file path=xl/tables/table3.xml><?xml version="1.0" encoding="utf-8"?>
<table xmlns="http://schemas.openxmlformats.org/spreadsheetml/2006/main" ref="A1:B215" displayName="Table_3" name="Table_3" id="3">
  <tableColumns count="2">
    <tableColumn name="ISO-3 Code" id="1"/>
    <tableColumn name="Country" id="2"/>
  </tableColumns>
  <tableStyleInfo name="Countries-style" showColumnStripes="0" showFirstColumn="1" showLastColumn="1" showRowStripes="1"/>
</table>
</file>

<file path=xl/tables/table4.xml><?xml version="1.0" encoding="utf-8"?>
<table xmlns="http://schemas.openxmlformats.org/spreadsheetml/2006/main" ref="A1:AE1018" displayName="Table_4" name="Table_4" id="4">
  <tableColumns count="31">
    <tableColumn name="Project name" id="1"/>
    <tableColumn name="ID" id="2"/>
    <tableColumn name="Country or economy" id="3"/>
    <tableColumn name="Partners" id="4"/>
    <tableColumn name="Project type" id="5"/>
    <tableColumn name="Announcement" id="6"/>
    <tableColumn name="FID" id="7"/>
    <tableColumn name="Operation" id="8"/>
    <tableColumn name="Suspension/decommissioning/cancellation" id="9"/>
    <tableColumn name="Project Status" id="10"/>
    <tableColumn name="Project phase" id="11"/>
    <tableColumn name="Announced capacity (Mt CO2/yr)" id="12"/>
    <tableColumn name="Estimated capacity by IEA (Mt CO2/yr)" id="13"/>
    <tableColumn name="Sector" id="14"/>
    <tableColumn name="Fate of carbon" id="15"/>
    <tableColumn name="Part of CCUS hub" id="16"/>
    <tableColumn name="Region" id="17"/>
    <tableColumn name="Ref 1" id="18"/>
    <tableColumn name="Ref 2" id="19"/>
    <tableColumn name="Ref 3" id="20"/>
    <tableColumn name="Ref 4" id="21"/>
    <tableColumn name="Ref 5" id="22"/>
    <tableColumn name="Ref 6" id="23"/>
    <tableColumn name="Ref 7" id="24"/>
    <tableColumn name="Link 1" id="25"/>
    <tableColumn name="Link 2" id="26"/>
    <tableColumn name="Link 3" id="27"/>
    <tableColumn name="Link 4" id="28"/>
    <tableColumn name="Link 5" id="29"/>
    <tableColumn name="Link 6" id="30"/>
    <tableColumn name="Link 7" id="31"/>
  </tableColumns>
  <tableStyleInfo name="CCUS Projects Database-style" showColumnStripes="0" showFirstColumn="1" showLastColumn="1" showRowStripes="1"/>
</table>
</file>

<file path=xl/tables/table5.xml><?xml version="1.0" encoding="utf-8"?>
<table xmlns="http://schemas.openxmlformats.org/spreadsheetml/2006/main" ref="A4:AC2528" displayName="Table_5" name="Table_5" id="5">
  <tableColumns count="29">
    <tableColumn name="Ref" id="1"/>
    <tableColumn name="Project name" id="2"/>
    <tableColumn name="Country1" id="3"/>
    <tableColumn name="Country2" id="4"/>
    <tableColumn name="Country3" id="5"/>
    <tableColumn name="Country4" id="6"/>
    <tableColumn name="Country5" id="7"/>
    <tableColumn name="Country6" id="8"/>
    <tableColumn name="Partners" id="9"/>
    <tableColumn name="Announced start date" id="10"/>
    <tableColumn name="Date online" id="11"/>
    <tableColumn name="Decomission date" id="12"/>
    <tableColumn name="Repurposed_new" id="13"/>
    <tableColumn name="Status" id="14"/>
    <tableColumn name="Product" id="15"/>
    <tableColumn name="Pipeline_type" id="16"/>
    <tableColumn name="Announced Size" id="17"/>
    <tableColumn name="Capacity_MWel" id="18"/>
    <tableColumn name="Capacity_nm³ H₂/h" id="19"/>
    <tableColumn name="Capacity_kt H2/y" id="20"/>
    <tableColumn name="Length_km" id="21"/>
    <tableColumn name="New_km" id="22"/>
    <tableColumn name="Repurposed_km" id="23"/>
    <tableColumn name="Pressure_bar" id="24"/>
    <tableColumn name="Costs_MUSD" id="25"/>
    <tableColumn name="Link_1" id="26"/>
    <tableColumn name="Link 2" id="27"/>
    <tableColumn name="Link 3" id="28"/>
    <tableColumn name="Link 4" id="29"/>
  </tableColumns>
  <tableStyleInfo name="H2_Pipelines-style" showColumnStripes="0" showFirstColumn="1" showLastColumn="1" showRowStripes="1"/>
</table>
</file>

<file path=xl/tables/table6.xml><?xml version="1.0" encoding="utf-8"?>
<table xmlns="http://schemas.openxmlformats.org/spreadsheetml/2006/main" ref="A4:S245" displayName="Table_6" name="Table_6" id="6">
  <tableColumns count="19">
    <tableColumn name="Ref" id="1"/>
    <tableColumn name="Project name" id="2"/>
    <tableColumn name="Country" id="3"/>
    <tableColumn name="Partners" id="4"/>
    <tableColumn name="Announced start date" id="5"/>
    <tableColumn name="Date online" id="6"/>
    <tableColumn name="Decomission date" id="7"/>
    <tableColumn name="Status" id="8"/>
    <tableColumn name="H2_blend" id="9"/>
    <tableColumn name="Announced Size" id="10"/>
    <tableColumn name="Capacity_MWel" id="11"/>
    <tableColumn name="Capacity_nm³ H₂/h" id="12"/>
    <tableColumn name="Capacity_kt H2/y" id="13"/>
    <tableColumn name="Length_km" id="14"/>
    <tableColumn name="Pressure_bar" id="15"/>
    <tableColumn name="Costs_MUSD" id="16"/>
    <tableColumn name="Link 1" id="17"/>
    <tableColumn name="Link 2" id="18"/>
    <tableColumn name="Location" id="19"/>
  </tableColumns>
  <tableStyleInfo name="H2_Blending-style" showColumnStripes="0" showFirstColumn="1" showLastColumn="1" showRowStripes="1"/>
</table>
</file>

<file path=xl/tables/table7.xml><?xml version="1.0" encoding="utf-8"?>
<table xmlns="http://schemas.openxmlformats.org/spreadsheetml/2006/main" ref="A4:AD199" displayName="Table_7" name="Table_7" id="7">
  <tableColumns count="30">
    <tableColumn name="Ref" id="1"/>
    <tableColumn name="Project name" id="2"/>
    <tableColumn name="Country" id="3"/>
    <tableColumn name="Participants" id="4"/>
    <tableColumn name="Announced construction" id="5"/>
    <tableColumn name="Announced start date2" id="6"/>
    <tableColumn name="Date online" id="7"/>
    <tableColumn name="Decomission date" id="8"/>
    <tableColumn name="Repurposed_new" id="9"/>
    <tableColumn name="Status" id="10"/>
    <tableColumn name="DEMO_y/n" id="11"/>
    <tableColumn name="Sto_Technology" id="12"/>
    <tableColumn name="Announced Size" id="13"/>
    <tableColumn name="Inj_MW" id="14"/>
    <tableColumn name="Capacity_GWh H₂/day" id="15"/>
    <tableColumn name="Inj_kt H2/day" id="16"/>
    <tableColumn name="Capacity_Mwel" id="17"/>
    <tableColumn name="Capacity_GWh H₂/day2" id="18"/>
    <tableColumn name="Capacity_kt H2/day" id="19"/>
    <tableColumn name="Capacity_M-Nm3" id="20"/>
    <tableColumn name="Capacity_PJ" id="21"/>
    <tableColumn name="Capacity_GWh" id="22"/>
    <tableColumn name="Capacity_kt H2/y" id="23"/>
    <tableColumn name="Pressure_bar" id="24"/>
    <tableColumn name="Costs_MUSD" id="25"/>
    <tableColumn name="Link_1" id="26"/>
    <tableColumn name="Link_2" id="27"/>
    <tableColumn name="Link_3" id="28"/>
    <tableColumn name="Link_4" id="29"/>
    <tableColumn name="Location" id="30"/>
  </tableColumns>
  <tableStyleInfo name="UGS-style" showColumnStripes="0" showFirstColumn="1" showLastColumn="1" showRowStripes="1"/>
</table>
</file>

<file path=xl/tables/table8.xml><?xml version="1.0" encoding="utf-8"?>
<table xmlns="http://schemas.openxmlformats.org/spreadsheetml/2006/main" ref="A4:U198" displayName="Table_8" name="Table_8" id="8">
  <tableColumns count="21">
    <tableColumn name="Ref" id="1"/>
    <tableColumn name="Project name" id="2"/>
    <tableColumn name="Country" id="3"/>
    <tableColumn name="Trade" id="4"/>
    <tableColumn name="Partners" id="5"/>
    <tableColumn name="Announced start date" id="6"/>
    <tableColumn name="Date online" id="7"/>
    <tableColumn name="Decomission date" id="8"/>
    <tableColumn name="Repurposed_new" id="9"/>
    <tableColumn name="Status" id="10"/>
    <tableColumn name="Technology type" id="11"/>
    <tableColumn name="Product2" id="12"/>
    <tableColumn name="Announced Size" id="13"/>
    <tableColumn name="Capacity_MWel" id="14"/>
    <tableColumn name="Capacity_nm³ H₂/h" id="15"/>
    <tableColumn name="Capacity_kt H2/y" id="16"/>
    <tableColumn name="Costs_MUSD" id="17"/>
    <tableColumn name="Link_1" id="18"/>
    <tableColumn name="Link_2" id="19"/>
    <tableColumn name="Link_3" id="20"/>
    <tableColumn name="Location" id="21"/>
  </tableColumns>
  <tableStyleInfo name="H2_Ports-style" showColumnStripes="0" showFirstColumn="1" showLastColumn="1" showRowStripes="1"/>
</table>
</file>

<file path=xl/tables/table9.xml><?xml version="1.0" encoding="utf-8"?>
<table xmlns="http://schemas.openxmlformats.org/spreadsheetml/2006/main" ref="A4:Q300" displayName="Table_9" name="Table_9" id="9">
  <tableColumns count="17">
    <tableColumn name="Ref" id="1"/>
    <tableColumn name="City &amp; Project name" id="2"/>
    <tableColumn name="UN/ LOCODE" id="3"/>
    <tableColumn name="Country" id="4"/>
    <tableColumn name="Import or Export" id="5"/>
    <tableColumn name="Partners" id="6"/>
    <tableColumn name="Announced start date" id="7"/>
    <tableColumn name="Date online" id="8"/>
    <tableColumn name="Decomission date" id="9"/>
    <tableColumn name="Status " id="10"/>
    <tableColumn name="Units" id="11"/>
    <tableColumn name="Storage Capacity (tonnes)" id="12"/>
    <tableColumn name="Storage Capacity (M3)" id="13"/>
    <tableColumn name="Costs_USD" id="14"/>
    <tableColumn name="Link_1" id="15"/>
    <tableColumn name="Link_2" id="16"/>
    <tableColumn name="Link_3" id="17"/>
  </tableColumns>
  <tableStyleInfo name="NH3_Ports-style" showColumnStripes="0" showFirstColumn="1" showLastColumn="1" showRowStripes="1"/>
</table>
</file>

<file path=xl/tables/table10.xml><?xml version="1.0" encoding="utf-8"?>
<table xmlns="http://schemas.openxmlformats.org/spreadsheetml/2006/main" ref="A4:O27" displayName="Table_10" name="Table_10" id="10">
  <tableColumns count="15">
    <tableColumn name="Ref" id="1"/>
    <tableColumn name="Project name" id="2"/>
    <tableColumn name="Location" id="3"/>
    <tableColumn name="Country" id="4"/>
    <tableColumn name="Trade" id="5"/>
    <tableColumn name="Partners" id="6"/>
    <tableColumn name="Announced start date" id="7"/>
    <tableColumn name="Date online" id="8"/>
    <tableColumn name="Decomission date" id="9"/>
    <tableColumn name="Status" id="10"/>
    <tableColumn name="Announced Size" id="11"/>
    <tableColumn name="Costs_MUSD" id="12"/>
    <tableColumn name="Link_1" id="13"/>
    <tableColumn name="Link_2" id="14"/>
    <tableColumn name="Link_3" id="15"/>
  </tableColumns>
  <tableStyleInfo name="NH3_Cracking-style" showColumnStripes="0" showFirstColumn="1" showLastColumn="1" showRowStripes="1"/>
</table>
</file>

<file path=xl/tables/table11.xml><?xml version="1.0" encoding="utf-8"?>
<table xmlns="http://schemas.openxmlformats.org/spreadsheetml/2006/main" ref="A4:O13" displayName="Table_11" name="Table_11" id="11">
  <tableColumns count="15">
    <tableColumn name="Ref" id="1"/>
    <tableColumn name="Project name" id="2"/>
    <tableColumn name="UN/ LOCODE" id="3"/>
    <tableColumn name="Country" id="4"/>
    <tableColumn name="Type of Bunkering " id="5"/>
    <tableColumn name="Partners" id="6"/>
    <tableColumn name="Availability " id="7"/>
    <tableColumn name="Announced start date" id="8"/>
    <tableColumn name="Date online" id="9"/>
    <tableColumn name="Decomission date" id="10"/>
    <tableColumn name="Capacity" id="11"/>
    <tableColumn name="Costs_USD" id="12"/>
    <tableColumn name="Link_1" id="13"/>
    <tableColumn name="Link_2" id="14"/>
    <tableColumn name="Link_3" id="15"/>
  </tableColumns>
  <tableStyleInfo name="MetOH_Ports-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xfuels.de/hykero/" TargetMode="External"/><Relationship Id="rId2" Type="http://schemas.openxmlformats.org/officeDocument/2006/relationships/hyperlink" Target="about:blank" TargetMode="External"/><Relationship Id="rId3" Type="http://schemas.openxmlformats.org/officeDocument/2006/relationships/drawing" Target="../drawings/drawing7.xml"/><Relationship Id="rId5"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s://xfuels.de/hykero/" TargetMode="External"/><Relationship Id="rId2" Type="http://schemas.openxmlformats.org/officeDocument/2006/relationships/drawing" Target="../drawings/drawing11.xml"/><Relationship Id="rId4" Type="http://schemas.openxmlformats.org/officeDocument/2006/relationships/table" Target="../tables/table2.xml"/></Relationships>
</file>

<file path=xl/worksheets/_rels/sheet12.xml.rels><?xml version="1.0" encoding="UTF-8" standalone="yes"?><Relationships xmlns="http://schemas.openxmlformats.org/package/2006/relationships"><Relationship Id="rId190" Type="http://schemas.openxmlformats.org/officeDocument/2006/relationships/hyperlink" Target="https://www.hydrogenics.com/2017/04/21/hydrogenics-selected-as-technology-provider-for-sunline-transit-agency/" TargetMode="External"/><Relationship Id="rId194" Type="http://schemas.openxmlformats.org/officeDocument/2006/relationships/hyperlink" Target="https://public.tableau.com/views/HydrogenPowerProjects/Dashboard1?:embed=y&amp;:display_count=yes&amp;publish=yes&amp;:origin=viz_share_link&amp;:showVizHome=no" TargetMode="External"/><Relationship Id="rId193" Type="http://schemas.openxmlformats.org/officeDocument/2006/relationships/hyperlink" Target="http://www.mefco2.eu/mefco2.php" TargetMode="External"/><Relationship Id="rId192" Type="http://schemas.openxmlformats.org/officeDocument/2006/relationships/hyperlink" Target="https://etipwind.eu/wp-content/uploads/A2-Hydrogenics_v2.pdf" TargetMode="External"/><Relationship Id="rId191" Type="http://schemas.openxmlformats.org/officeDocument/2006/relationships/hyperlink" Target="https://www.hydrogenics.com/2016/11/01/hydrogenics-enters-into-strategic-collaboration-with-stratosfuel-for-2-5-mw-power-to-gas-project-in-california/" TargetMode="External"/><Relationship Id="rId187" Type="http://schemas.openxmlformats.org/officeDocument/2006/relationships/hyperlink" Target="https://www.reflex-energy.eu/" TargetMode="External"/><Relationship Id="rId186" Type="http://schemas.openxmlformats.org/officeDocument/2006/relationships/hyperlink" Target="https://mcphy.com/en/press-releases/power_plant_cooling_on_site_hydrogen_production/" TargetMode="External"/><Relationship Id="rId185" Type="http://schemas.openxmlformats.org/officeDocument/2006/relationships/hyperlink" Target="https://www.underground-sun-storage.at/en.html" TargetMode="External"/><Relationship Id="rId184" Type="http://schemas.openxmlformats.org/officeDocument/2006/relationships/hyperlink" Target="https://bioenergyinternational.com/storage-logistics/gasunie-invest-first-1-mw-power-gas-installation-netherlands" TargetMode="External"/><Relationship Id="rId189" Type="http://schemas.openxmlformats.org/officeDocument/2006/relationships/hyperlink" Target="https://www.sciencedirect.com/science/article/pii/S1464285918300506" TargetMode="External"/><Relationship Id="rId188" Type="http://schemas.openxmlformats.org/officeDocument/2006/relationships/hyperlink" Target="https://www.ademe.fr/sites/default/files/assets/documents/02_the_japanese_policy-t_nagai.pdf" TargetMode="External"/><Relationship Id="rId183" Type="http://schemas.openxmlformats.org/officeDocument/2006/relationships/hyperlink" Target="https://www.spglobal.com/platts/es/market-insights/latest-news/electric-power/012420-dutch-20-mw-green-hydrogen-electrolyzer-project-secures-eu-funding" TargetMode="External"/><Relationship Id="rId182" Type="http://schemas.openxmlformats.org/officeDocument/2006/relationships/hyperlink" Target="https://www.proactiveinvestors.co.uk/companies/news/222913/itm-power-announces-opening-of-gasunies-hystock-green-hydrogen-plant-222913.html" TargetMode="External"/><Relationship Id="rId181" Type="http://schemas.openxmlformats.org/officeDocument/2006/relationships/hyperlink" Target="https://www.energystock.com/about-energystock/the-hydrogen-project-hystock" TargetMode="External"/><Relationship Id="rId180" Type="http://schemas.openxmlformats.org/officeDocument/2006/relationships/hyperlink" Target="https://p2gconference.com/news/north-america%E2%80%99s-first-power-to-gas-energy-storage-facility-using-hydrogen.html" TargetMode="External"/><Relationship Id="rId176" Type="http://schemas.openxmlformats.org/officeDocument/2006/relationships/hyperlink" Target="https://www.hytep.cz/projects/visegrad/images/news/hydrogen-mobility-in-visegrad-countries/H2nodes_Riga_transport_CZ_workshop_23_september_2019.pdf" TargetMode="External"/><Relationship Id="rId175" Type="http://schemas.openxmlformats.org/officeDocument/2006/relationships/hyperlink" Target="http://h2b2.es/h2b2-has-finished-the-delivery-and-commissioning-of-an-electrolyser-system-to-vtt-technical-research-centre-of-finland-ltd/" TargetMode="External"/><Relationship Id="rId174" Type="http://schemas.openxmlformats.org/officeDocument/2006/relationships/hyperlink" Target="http://www.don-quichote.eu/" TargetMode="External"/><Relationship Id="rId173" Type="http://schemas.openxmlformats.org/officeDocument/2006/relationships/hyperlink" Target="https://www.sciencedaily.com/releases/2015/01/150109045544.htm" TargetMode="External"/><Relationship Id="rId179" Type="http://schemas.openxmlformats.org/officeDocument/2006/relationships/hyperlink" Target="http://www.afhypac.org/documents/divers/AFHYPAC_H2regions_2017-06-09_web.pdf" TargetMode="External"/><Relationship Id="rId178" Type="http://schemas.openxmlformats.org/officeDocument/2006/relationships/hyperlink" Target="https://www.engie.com/en/journalists/press-releases/largest-hydrogen-utility-fleet-alternative-multi-fuel-station" TargetMode="External"/><Relationship Id="rId177" Type="http://schemas.openxmlformats.org/officeDocument/2006/relationships/hyperlink" Target="https://www.h2nodes.eu/" TargetMode="External"/><Relationship Id="rId198" Type="http://schemas.openxmlformats.org/officeDocument/2006/relationships/hyperlink" Target="https://www.co2value.eu/wp-content/uploads/2019/09/2.-CRI.pdf" TargetMode="External"/><Relationship Id="rId197" Type="http://schemas.openxmlformats.org/officeDocument/2006/relationships/hyperlink" Target="https://www.engie-cofely.fr/publications/hydrogene-renouvelable-cea-grenoble/" TargetMode="External"/><Relationship Id="rId196" Type="http://schemas.openxmlformats.org/officeDocument/2006/relationships/hyperlink" Target="https://mcphy.com/fr/realisations/fahyence/" TargetMode="External"/><Relationship Id="rId195" Type="http://schemas.openxmlformats.org/officeDocument/2006/relationships/hyperlink" Target="https://energyandmines.com/2017/06/worlds-first-247-solar-hydrogen-lithium-energy-storage-microgrid-comes-online/" TargetMode="External"/><Relationship Id="rId199" Type="http://schemas.openxmlformats.org/officeDocument/2006/relationships/hyperlink" Target="https://www.dena.de/fileadmin/dena/Dokumente/Veranstaltungen/PtG-Dialogforum_III/Praesentationen/6_Karl_Hauptmeier_sunfire_GmbH.pdf" TargetMode="External"/><Relationship Id="rId150" Type="http://schemas.openxmlformats.org/officeDocument/2006/relationships/hyperlink" Target="https://www.cenews.com.cn/company/201912/t20191227_923699.html" TargetMode="External"/><Relationship Id="rId392" Type="http://schemas.openxmlformats.org/officeDocument/2006/relationships/hyperlink" Target="https://www.chemnews.com.cn/c/2020-11-18/667602.shtml?utm_campaign=China%20Clean%20Energy%20Syndicate%20&amp;utm_medium=email&amp;utm_source=Revue%20newsletter" TargetMode="External"/><Relationship Id="rId391" Type="http://schemas.openxmlformats.org/officeDocument/2006/relationships/hyperlink" Target="https://www.eleconomista.es/empresas-finanzas/noticias/10896511/11/20/Repsol-invertira-hasta-2900-millones-en-hidrogeno-en-cinco-anos-.html" TargetMode="External"/><Relationship Id="rId390" Type="http://schemas.openxmlformats.org/officeDocument/2006/relationships/hyperlink" Target="https://www.agerpres.ro/english/2020/11/12/romgaz-petrom-set-to-produce-hydrogen-at-wind-farm-in-dobrogea--608063" TargetMode="External"/><Relationship Id="rId1" Type="http://schemas.openxmlformats.org/officeDocument/2006/relationships/comments" Target="../comments1.xml"/><Relationship Id="rId2" Type="http://schemas.openxmlformats.org/officeDocument/2006/relationships/hyperlink" Target="https://www.now-gmbh.de/en/national-innovation-programme/projektfinder/verkehr/h2-tankstelle-schnackenburgallee-hamburg" TargetMode="External"/><Relationship Id="rId3" Type="http://schemas.openxmlformats.org/officeDocument/2006/relationships/hyperlink" Target="https://www.h2-international.com/2017/12/01/hypos-from-storage-to-distribution/" TargetMode="External"/><Relationship Id="rId149" Type="http://schemas.openxmlformats.org/officeDocument/2006/relationships/hyperlink" Target="http://chuneng.bjx.com.cn/news/20200310/1052255.shtml" TargetMode="External"/><Relationship Id="rId4" Type="http://schemas.openxmlformats.org/officeDocument/2006/relationships/hyperlink" Target="https://hydrogentoday.info/news/4350" TargetMode="External"/><Relationship Id="rId148" Type="http://schemas.openxmlformats.org/officeDocument/2006/relationships/hyperlink" Target="https://www.deme-group.com/news/deme-and-partners-present-hyportrduqm-large-scale-green-hydrogen-project-oman-1" TargetMode="External"/><Relationship Id="rId1090" Type="http://schemas.openxmlformats.org/officeDocument/2006/relationships/hyperlink" Target="https://direct.argusmedia.com/newsandanalysis/Article/2488641" TargetMode="External"/><Relationship Id="rId1091" Type="http://schemas.openxmlformats.org/officeDocument/2006/relationships/hyperlink" Target="https://research.csiro.au/hyresource/good-earth-green-hydrogen-and-ammonia-project/" TargetMode="External"/><Relationship Id="rId1092" Type="http://schemas.openxmlformats.org/officeDocument/2006/relationships/hyperlink" Target="https://www.gegha.com.au/" TargetMode="External"/><Relationship Id="rId1093" Type="http://schemas.openxmlformats.org/officeDocument/2006/relationships/hyperlink" Target="https://direct.argusmedia.com/newsandanalysis/Article/2492610" TargetMode="External"/><Relationship Id="rId1094" Type="http://schemas.openxmlformats.org/officeDocument/2006/relationships/hyperlink" Target="https://direct.argusmedia.com/newsandanalysis/Article/2492648" TargetMode="External"/><Relationship Id="rId9" Type="http://schemas.openxmlformats.org/officeDocument/2006/relationships/hyperlink" Target="https://www.nvnom.com/homepage/power-gas-plant-delfzijl/" TargetMode="External"/><Relationship Id="rId143" Type="http://schemas.openxmlformats.org/officeDocument/2006/relationships/hyperlink" Target="https://hydrospider.ch/en/production_niedergoesgen/" TargetMode="External"/><Relationship Id="rId385" Type="http://schemas.openxmlformats.org/officeDocument/2006/relationships/hyperlink" Target="https://www.liquidwind.se/flagships" TargetMode="External"/><Relationship Id="rId1095" Type="http://schemas.openxmlformats.org/officeDocument/2006/relationships/hyperlink" Target="https://direct.argusmedia.com/newsandanalysis/Article/2472976" TargetMode="External"/><Relationship Id="rId142" Type="http://schemas.openxmlformats.org/officeDocument/2006/relationships/hyperlink" Target="https://hy-gro.net/en/newsitem/stadsdistributie-op-waterstof-stap-dichterbij-door-bouw-tankstation-in-alkmaar" TargetMode="External"/><Relationship Id="rId384" Type="http://schemas.openxmlformats.org/officeDocument/2006/relationships/hyperlink" Target="https://www.irishtimes.com/business/ireland-s-first-green-hydrogen-project-to-come-on-stream-in-weeks-1.4399291" TargetMode="External"/><Relationship Id="rId1096" Type="http://schemas.openxmlformats.org/officeDocument/2006/relationships/hyperlink" Target="https://direct.argusmedia.com/newsandanalysis/Article/2487032" TargetMode="External"/><Relationship Id="rId141" Type="http://schemas.openxmlformats.org/officeDocument/2006/relationships/hyperlink" Target="https://www.nederlandwereldwijd.nl/binaries/nederlandwereldwijd/documenten/publicaties/2019/03/01/waterstof-in-china/Holland+Innovation+Network+in+China+-+Hydrogen+developments.+January+2019.pdf" TargetMode="External"/><Relationship Id="rId383" Type="http://schemas.openxmlformats.org/officeDocument/2006/relationships/hyperlink" Target="https://www.linde.com/news-media/press-releases/2020/linde-to-produce-green-hydrogen-for-mobility-market-in-california" TargetMode="External"/><Relationship Id="rId1097" Type="http://schemas.openxmlformats.org/officeDocument/2006/relationships/hyperlink" Target="https://direct.argusmedia.com/newsandanalysis/Article/2487336" TargetMode="External"/><Relationship Id="rId140" Type="http://schemas.openxmlformats.org/officeDocument/2006/relationships/hyperlink" Target="https://www.moreland.vic.gov.au/about-us/projects/environmental-projects/renewable-hydrogen-waste-truck/" TargetMode="External"/><Relationship Id="rId382" Type="http://schemas.openxmlformats.org/officeDocument/2006/relationships/hyperlink" Target="https://www.h2-view.com/story/cf-industries-to-construct-green-hydrogen-based-ammonia-facility-in-louisiana/" TargetMode="External"/><Relationship Id="rId1098" Type="http://schemas.openxmlformats.org/officeDocument/2006/relationships/hyperlink" Target="https://direct.argusmedia.com/newsandanalysis/Article/2482294" TargetMode="External"/><Relationship Id="rId5" Type="http://schemas.openxmlformats.org/officeDocument/2006/relationships/hyperlink" Target="https://refhyne.eu/about/" TargetMode="External"/><Relationship Id="rId147" Type="http://schemas.openxmlformats.org/officeDocument/2006/relationships/hyperlink" Target="https://arena.gov.au/news/hydrogen-gives-new-life-to-toyotas-altona-car-manufacturing-plant/" TargetMode="External"/><Relationship Id="rId389" Type="http://schemas.openxmlformats.org/officeDocument/2006/relationships/hyperlink" Target="https://fuelcellsworks.com/news/danish-company-greenlab-to-create-worlds-largest-scale-production-facility-for-green-hydrogen/" TargetMode="External"/><Relationship Id="rId1099" Type="http://schemas.openxmlformats.org/officeDocument/2006/relationships/hyperlink" Target="https://direct.argusmedia.com/newsandanalysis/Article/2485013" TargetMode="External"/><Relationship Id="rId6" Type="http://schemas.openxmlformats.org/officeDocument/2006/relationships/hyperlink" Target="http://energystorageexchange.org/projects/2349" TargetMode="External"/><Relationship Id="rId146" Type="http://schemas.openxmlformats.org/officeDocument/2006/relationships/hyperlink" Target="https://www.sarawakenergy.com/media-info/media-releases/2019/sarawak-launches-south-east-asias-first-integrated-hydrogen-production-plant-and-refueling-station-unveils-hydrogen-buses" TargetMode="External"/><Relationship Id="rId388" Type="http://schemas.openxmlformats.org/officeDocument/2006/relationships/hyperlink" Target="https://www.klimaatakkoord.nl/binaries/klimaatakkoord/documenten/publicaties/2020/10/22/koplopersprogramma-cluster-smart-delta/SDR-Regioplan+2030-2050.pdf" TargetMode="External"/><Relationship Id="rId7" Type="http://schemas.openxmlformats.org/officeDocument/2006/relationships/hyperlink" Target="http://www.powertogas.info/power-to-gas/pilotprojekte-im-ueberblick/co2rrect/" TargetMode="External"/><Relationship Id="rId145" Type="http://schemas.openxmlformats.org/officeDocument/2006/relationships/hyperlink" Target="https://fuelcellsworks.com/news/first-hydrogen-bus-arrives-in-wuppertal-hydrogen-plant-completed-in-february-2020/" TargetMode="External"/><Relationship Id="rId387" Type="http://schemas.openxmlformats.org/officeDocument/2006/relationships/hyperlink" Target="https://www.topsectorenergie.nl/sites/default/files/uploads/TKI%20Gas/nieuws/Overview%20of%20Hydrogen%20project%20in%20the%20Netherlands.pdf" TargetMode="External"/><Relationship Id="rId8" Type="http://schemas.openxmlformats.org/officeDocument/2006/relationships/hyperlink" Target="https://www.siemens.com/innovation/en/home/pictures-of-the-future/energy-and-efficiency/smart-grids-and-energy-storage-electrolyzers-energy-storage-for-the-future.html" TargetMode="External"/><Relationship Id="rId144" Type="http://schemas.openxmlformats.org/officeDocument/2006/relationships/hyperlink" Target="https://www.gp-joule.de/referenzen/efarm" TargetMode="External"/><Relationship Id="rId386" Type="http://schemas.openxmlformats.org/officeDocument/2006/relationships/hyperlink" Target="https://nelhydrogen.com/wp-content/uploads/2019/10/nel-q3-2014-presentation.pdf" TargetMode="External"/><Relationship Id="rId381" Type="http://schemas.openxmlformats.org/officeDocument/2006/relationships/hyperlink" Target="https://www.cfindustries.com/newsroom/2020/commitment-to-clean-energy-economy" TargetMode="External"/><Relationship Id="rId380" Type="http://schemas.openxmlformats.org/officeDocument/2006/relationships/hyperlink" Target="https://news.cision.com/nel-asa/r/nel-signs-loi-with-statkraft-for-a-green-hydrogen-project-with-up-to-50mw-of-electrolyser-capacity,c3228323" TargetMode="External"/><Relationship Id="rId139" Type="http://schemas.openxmlformats.org/officeDocument/2006/relationships/hyperlink" Target="https://www.energy.gov/sites/prod/files/2015/01/f19/EIS-0464-FEIS-Volume-1-2013.pdf" TargetMode="External"/><Relationship Id="rId138" Type="http://schemas.openxmlformats.org/officeDocument/2006/relationships/hyperlink" Target="https://sequestration.mit.edu/tools/projects/quest.html" TargetMode="External"/><Relationship Id="rId137" Type="http://schemas.openxmlformats.org/officeDocument/2006/relationships/hyperlink" Target="https://nwrsturgeonrefinery.com/" TargetMode="External"/><Relationship Id="rId379" Type="http://schemas.openxmlformats.org/officeDocument/2006/relationships/hyperlink" Target="https://www.repsol.com/en/press-room/press-releases/2020/repsol-to-build-spains-first-advanced-biofuels-plant-in-cartagena.cshtml" TargetMode="External"/><Relationship Id="rId1080" Type="http://schemas.openxmlformats.org/officeDocument/2006/relationships/hyperlink" Target="https://direct.argusmedia.com/newsandanalysis/article/2438394" TargetMode="External"/><Relationship Id="rId1081" Type="http://schemas.openxmlformats.org/officeDocument/2006/relationships/hyperlink" Target="https://direct.argusmedia.com/newsandanalysis/article/2488018" TargetMode="External"/><Relationship Id="rId1082" Type="http://schemas.openxmlformats.org/officeDocument/2006/relationships/hyperlink" Target="https://energynews.biz/copenhagen-infrastructure-partners-to-build-green-hydrogen-plant-in-mexico/" TargetMode="External"/><Relationship Id="rId1083" Type="http://schemas.openxmlformats.org/officeDocument/2006/relationships/hyperlink" Target="https://direct.argusmedia.com/newsandanalysis/article/2455314" TargetMode="External"/><Relationship Id="rId132" Type="http://schemas.openxmlformats.org/officeDocument/2006/relationships/hyperlink" Target="https://www.ocap.nl/nl/" TargetMode="External"/><Relationship Id="rId374" Type="http://schemas.openxmlformats.org/officeDocument/2006/relationships/hyperlink" Target="https://www.goeree-overflakkee.nl/duurzaam-go/waterstof_46733/item/h2go-programma_232204.html" TargetMode="External"/><Relationship Id="rId1084" Type="http://schemas.openxmlformats.org/officeDocument/2006/relationships/hyperlink" Target="https://direct.argusmedia.com/newsandanalysis/article/2391838" TargetMode="External"/><Relationship Id="rId131" Type="http://schemas.openxmlformats.org/officeDocument/2006/relationships/hyperlink" Target="https://www.h2future-project.eu/" TargetMode="External"/><Relationship Id="rId373" Type="http://schemas.openxmlformats.org/officeDocument/2006/relationships/hyperlink" Target="https://participa.pt/pt/consulta/en-h2-estrategia-nacional-para-o-hidrogenio" TargetMode="External"/><Relationship Id="rId1085" Type="http://schemas.openxmlformats.org/officeDocument/2006/relationships/hyperlink" Target="https://direct.argusmedia.com/newsandanalysis/Article/2488273" TargetMode="External"/><Relationship Id="rId130" Type="http://schemas.openxmlformats.org/officeDocument/2006/relationships/hyperlink" Target="https://netl.doe.gov/sites/default/files/netl-file/1130-Wabash-CarbonSAFE-Christopher-Korose-Weds-1130am.pdf" TargetMode="External"/><Relationship Id="rId372" Type="http://schemas.openxmlformats.org/officeDocument/2006/relationships/hyperlink" Target="https://www.energias-renovables.com/eolica/como-producir-hidrogeno-con-energia-eolica-20200417" TargetMode="External"/><Relationship Id="rId1086" Type="http://schemas.openxmlformats.org/officeDocument/2006/relationships/hyperlink" Target="https://direct.argusmedia.com/newsandanalysis/Article/2488999" TargetMode="External"/><Relationship Id="rId371" Type="http://schemas.openxmlformats.org/officeDocument/2006/relationships/hyperlink" Target="https://www.methquest.de/ueber-methquest/methfuel/" TargetMode="External"/><Relationship Id="rId1087" Type="http://schemas.openxmlformats.org/officeDocument/2006/relationships/hyperlink" Target="https://direct.argusmedia.com/newsandanalysis/Article/2472537" TargetMode="External"/><Relationship Id="rId136" Type="http://schemas.openxmlformats.org/officeDocument/2006/relationships/hyperlink" Target="https://actl.ca/" TargetMode="External"/><Relationship Id="rId378" Type="http://schemas.openxmlformats.org/officeDocument/2006/relationships/hyperlink" Target="https://www.h2-view.com/story/construction-begins-on-antwerps-first-hydrogen-station/" TargetMode="External"/><Relationship Id="rId1088" Type="http://schemas.openxmlformats.org/officeDocument/2006/relationships/hyperlink" Target="https://direct.argusmedia.com/newsandanalysis/Article/2470398" TargetMode="External"/><Relationship Id="rId135" Type="http://schemas.openxmlformats.org/officeDocument/2006/relationships/hyperlink" Target="https://www.hydrogen.energy.gov/pdfs/htac_dec18_05_brown.pdf" TargetMode="External"/><Relationship Id="rId377" Type="http://schemas.openxmlformats.org/officeDocument/2006/relationships/hyperlink" Target="https://www.nrel.gov/aries/" TargetMode="External"/><Relationship Id="rId1089" Type="http://schemas.openxmlformats.org/officeDocument/2006/relationships/hyperlink" Target="https://direct.argusmedia.com/newsandanalysis/Article/2474138" TargetMode="External"/><Relationship Id="rId134" Type="http://schemas.openxmlformats.org/officeDocument/2006/relationships/hyperlink" Target="http://documents.ieaghg.org/index.php/s/4hyafrmhu2bobOs/download" TargetMode="External"/><Relationship Id="rId376" Type="http://schemas.openxmlformats.org/officeDocument/2006/relationships/hyperlink" Target="https://monolithmaterials.com/news/monolith-materials-carbon-free-ammonia-plant" TargetMode="External"/><Relationship Id="rId133" Type="http://schemas.openxmlformats.org/officeDocument/2006/relationships/hyperlink" Target="https://www.ocap.nl/nl/images/OCAP_Factsheet_English_tcm978-561158.pdf" TargetMode="External"/><Relationship Id="rId375" Type="http://schemas.openxmlformats.org/officeDocument/2006/relationships/hyperlink" Target="https://www.energiaestrategica.com/el-primer-proyecto-piloto-de-hidrogeno-verde-de-uruguay-podria-estar-operativo-en-2025/" TargetMode="External"/><Relationship Id="rId172" Type="http://schemas.openxmlformats.org/officeDocument/2006/relationships/hyperlink" Target="https://www.rh2-wka.de/chronik.html" TargetMode="External"/><Relationship Id="rId171" Type="http://schemas.openxmlformats.org/officeDocument/2006/relationships/hyperlink" Target="http://www.renewableenergyfocus.com/view/42805/rwe-starts-up-power-to-gas-plant-in-germany-featuring-itm-power-electrolyser/" TargetMode="External"/><Relationship Id="rId170" Type="http://schemas.openxmlformats.org/officeDocument/2006/relationships/hyperlink" Target="https://www.energate-messenger.de/news/200507/power-to-gas-micro-pyros-geht-in-die-insolvenz" TargetMode="External"/><Relationship Id="rId165" Type="http://schemas.openxmlformats.org/officeDocument/2006/relationships/hyperlink" Target="https://www.gasunie.nl/en/news/europes-largest-green-hydrogen-project-starts-in-groningen" TargetMode="External"/><Relationship Id="rId164" Type="http://schemas.openxmlformats.org/officeDocument/2006/relationships/hyperlink" Target="https://www.klimaatakkoord.nl/documenten/publicaties/2019/06/28/national-climate-agreement-the-netherlands" TargetMode="External"/><Relationship Id="rId163" Type="http://schemas.openxmlformats.org/officeDocument/2006/relationships/hyperlink" Target="https://new.siemens.com/au/en/company/press-centre/2019/murchison-renewable-hydrogen-project.html" TargetMode="External"/><Relationship Id="rId162" Type="http://schemas.openxmlformats.org/officeDocument/2006/relationships/hyperlink" Target="https://www.australiangasnetworks.com.au/our-business/about-us/media-releases/gas-groups-hydrogen-push-moves-into-queensland" TargetMode="External"/><Relationship Id="rId169" Type="http://schemas.openxmlformats.org/officeDocument/2006/relationships/hyperlink" Target="http://www.surfnturf.org.uk/page/hydrogen" TargetMode="External"/><Relationship Id="rId168" Type="http://schemas.openxmlformats.org/officeDocument/2006/relationships/hyperlink" Target="https://www.tennet.eu/news/detail/gasunie-tennet-and-thyssengas-reveal-detailed-green-sector-coupling-plans-using-power-to-gas-tec/" TargetMode="External"/><Relationship Id="rId167" Type="http://schemas.openxmlformats.org/officeDocument/2006/relationships/hyperlink" Target="https://www.energiepark-mainz.de/artikel-detailseite/article/langfristige-zukunft-fuer-den-energiepark-mainz/" TargetMode="External"/><Relationship Id="rId166" Type="http://schemas.openxmlformats.org/officeDocument/2006/relationships/hyperlink" Target="https://www.next-kraftwerke.com/company/case-studies/electrolysis-hydrogen-with-excess-renewables" TargetMode="External"/><Relationship Id="rId161" Type="http://schemas.openxmlformats.org/officeDocument/2006/relationships/hyperlink" Target="https://www.balance-project.org/projects" TargetMode="External"/><Relationship Id="rId160" Type="http://schemas.openxmlformats.org/officeDocument/2006/relationships/hyperlink" Target="https://exytron.online/en/news/" TargetMode="External"/><Relationship Id="rId159" Type="http://schemas.openxmlformats.org/officeDocument/2006/relationships/hyperlink" Target="https://www.storeandgo.info/about-the-project/" TargetMode="External"/><Relationship Id="rId154" Type="http://schemas.openxmlformats.org/officeDocument/2006/relationships/hyperlink" Target="https://www.portofamsterdam.com/en/press-release/nouryon-tata-steel-and-port-amsterdam-partner-develop-largest-green-hydrogen-cluster" TargetMode="External"/><Relationship Id="rId396" Type="http://schemas.openxmlformats.org/officeDocument/2006/relationships/hyperlink" Target="https://thecanadian.news/2020/12/08/air-liquide-has-started-industrial-production-of-green-hydrogen-in-becancour/" TargetMode="External"/><Relationship Id="rId153" Type="http://schemas.openxmlformats.org/officeDocument/2006/relationships/hyperlink" Target="https://www.spglobal.com/platts/en/market-insights/latest-news/coal/031020-cea-led-consortium-launches-26-mw-rotterdam-green-h2-project" TargetMode="External"/><Relationship Id="rId395" Type="http://schemas.openxmlformats.org/officeDocument/2006/relationships/hyperlink" Target="https://renewablesnow.com/news/plug-power-to-produce-green-hydrogen-with-power-from-brookfield-renewable-715248/" TargetMode="External"/><Relationship Id="rId152" Type="http://schemas.openxmlformats.org/officeDocument/2006/relationships/hyperlink" Target="https://www.cpuc.ca.gov/uploadedFiles/CPUC_Website/Content/Utilities_and_Industries/Energy/Energy_Programs/Gas/Natural_Gas_Market/Nov13LADWP.pdf" TargetMode="External"/><Relationship Id="rId394" Type="http://schemas.openxmlformats.org/officeDocument/2006/relationships/hyperlink" Target="https://www.pv-magazine.com/2020/11/17/danish-investment-fund-backs-5-gw-australian-renewable-hydrogen-project/" TargetMode="External"/><Relationship Id="rId151" Type="http://schemas.openxmlformats.org/officeDocument/2006/relationships/hyperlink" Target="https://global.toyota/en/detail/17737009/?_ga=2.49045219.475090875.1584111475-24855421.1580488882" TargetMode="External"/><Relationship Id="rId393" Type="http://schemas.openxmlformats.org/officeDocument/2006/relationships/hyperlink" Target="https://www.originenergy.com.au/about/investors-media/media-centre/origin_to_investigate_export_scale_green_hydrogen_project_in_tasmania.html" TargetMode="External"/><Relationship Id="rId158" Type="http://schemas.openxmlformats.org/officeDocument/2006/relationships/hyperlink" Target="https://cordis.europa.eu/project/id/700092" TargetMode="External"/><Relationship Id="rId157" Type="http://schemas.openxmlformats.org/officeDocument/2006/relationships/hyperlink" Target="https://www.jupiter1000.eu/english" TargetMode="External"/><Relationship Id="rId399" Type="http://schemas.openxmlformats.org/officeDocument/2006/relationships/hyperlink" Target="https://www.aquaventus.org/" TargetMode="External"/><Relationship Id="rId156" Type="http://schemas.openxmlformats.org/officeDocument/2006/relationships/hyperlink" Target="http://www.act-ccs.eu/elegancy" TargetMode="External"/><Relationship Id="rId398" Type="http://schemas.openxmlformats.org/officeDocument/2006/relationships/hyperlink" Target="https://www.reuters.com/article/idUSL4N2IO1KX" TargetMode="External"/><Relationship Id="rId155" Type="http://schemas.openxmlformats.org/officeDocument/2006/relationships/hyperlink" Target="https://www.deme-group.com/news/hyportr-green-hydrogen-plant-ostend" TargetMode="External"/><Relationship Id="rId397" Type="http://schemas.openxmlformats.org/officeDocument/2006/relationships/hyperlink" Target="http://www.automotores-rev.com/estrategias-de-cummins-para-producir-hidrogeno-y-celdas-de-combustible/" TargetMode="External"/><Relationship Id="rId808" Type="http://schemas.openxmlformats.org/officeDocument/2006/relationships/hyperlink" Target="https://arkenergy.com.au/news/2023/11/1/364-ark-energy-breaks-ground-for-sunhq/" TargetMode="External"/><Relationship Id="rId807" Type="http://schemas.openxmlformats.org/officeDocument/2006/relationships/hyperlink" Target="https://www.edp.com/en/innovation/flexnconfu-power-to-increase-the-flexibility-of-thermal-plants" TargetMode="External"/><Relationship Id="rId806" Type="http://schemas.openxmlformats.org/officeDocument/2006/relationships/hyperlink" Target="https://www.nrel.gov/aries/annual-report-2021/index.html" TargetMode="External"/><Relationship Id="rId805" Type="http://schemas.openxmlformats.org/officeDocument/2006/relationships/hyperlink" Target="https://www.brusselstimes.com/149604/charleroi-hydrogen-bus-project-postponed-due-to-lack-of-funding-waste-to-wheels-jumet-philippe-henry" TargetMode="External"/><Relationship Id="rId809" Type="http://schemas.openxmlformats.org/officeDocument/2006/relationships/hyperlink" Target="https://www.hyflexpower.eu/" TargetMode="External"/><Relationship Id="rId800" Type="http://schemas.openxmlformats.org/officeDocument/2006/relationships/hyperlink" Target="https://www.regionalgateway.net/airbus-and-hyport-to-advance-green-hydrogen-availability-at-airports/" TargetMode="External"/><Relationship Id="rId804" Type="http://schemas.openxmlformats.org/officeDocument/2006/relationships/hyperlink" Target="https://oge.net/en/sustainable/projects/our-hydrogen-projects/get-h2-nukleus" TargetMode="External"/><Relationship Id="rId803" Type="http://schemas.openxmlformats.org/officeDocument/2006/relationships/hyperlink" Target="https://p2x.fi/en/the-foundation-stone-of-p2x-solutions-green-hydrogen-production-plant-was-laid-in-harjavalta/" TargetMode="External"/><Relationship Id="rId802" Type="http://schemas.openxmlformats.org/officeDocument/2006/relationships/hyperlink" Target="https://hydrogen-central.com/alliander-groenleven-solar-rays-hydrogen-netherlands/" TargetMode="External"/><Relationship Id="rId801" Type="http://schemas.openxmlformats.org/officeDocument/2006/relationships/hyperlink" Target="https://research.csiro.au/hyresource/renewable-hydrogen-production-and-refuelling-project/" TargetMode="External"/><Relationship Id="rId40" Type="http://schemas.openxmlformats.org/officeDocument/2006/relationships/hyperlink" Target="https://www.sarawakenergy.com/media-info/media-releases/2018/sarawak-energy-pilots-hydrogen-production-plant-refuelling-station-for-transportation-sector" TargetMode="External"/><Relationship Id="rId1334" Type="http://schemas.openxmlformats.org/officeDocument/2006/relationships/hyperlink" Target="https://avinor.no/globalassets/_konsern/miljo-lokal/miljorapporter/hydrogen-supply-to-norwegian-airports_240108_update.pdf" TargetMode="External"/><Relationship Id="rId1335" Type="http://schemas.openxmlformats.org/officeDocument/2006/relationships/hyperlink" Target="https://winpowersa.com/cgi-sys/suspendedpage.cgi" TargetMode="External"/><Relationship Id="rId42" Type="http://schemas.openxmlformats.org/officeDocument/2006/relationships/hyperlink" Target="https://hy-gro.net/en/duwaal" TargetMode="External"/><Relationship Id="rId1336" Type="http://schemas.openxmlformats.org/officeDocument/2006/relationships/hyperlink" Target="https://neogreenhydrogen.com/sines-pt" TargetMode="External"/><Relationship Id="rId41" Type="http://schemas.openxmlformats.org/officeDocument/2006/relationships/hyperlink" Target="https://industry.airliquide.ca/air-liquide-invests-worlds-largest-membrane-based-electrolyzer-develop-its-carbon-free-hydrogen" TargetMode="External"/><Relationship Id="rId1337" Type="http://schemas.openxmlformats.org/officeDocument/2006/relationships/hyperlink" Target="https://vikenhydrogen.no/skal-utvikle-gront-hydrogen-til-industri-og-skipsfart-pa-ora-en-milepael-for-hydrogensatsingen/" TargetMode="External"/><Relationship Id="rId44" Type="http://schemas.openxmlformats.org/officeDocument/2006/relationships/hyperlink" Target="https://www.engie.com/en/news/using-hydrogen-to-reach-self-sufficiency/" TargetMode="External"/><Relationship Id="rId1338" Type="http://schemas.openxmlformats.org/officeDocument/2006/relationships/hyperlink" Target="https://www.puhuri.fi/raahen-monivoiman-uusien-energiaratkaisujen-pilottihanke-etenee-temlta-hankkeelle-yli-5-miljoonan-euron-tuki/" TargetMode="External"/><Relationship Id="rId43" Type="http://schemas.openxmlformats.org/officeDocument/2006/relationships/hyperlink" Target="https://www.poerner.at/en/media/pressemitteilung/news/e-crude-klimaneutraler-erdoelersatz-aus-co2-wasser-und-oekostrom/?tx_news_pi1%5Bcontroller%5D=News&amp;tx_news_pi1%5Baction%5D=detail&amp;cHash=685eb0b65e1ede82f72fca3fd907fe90" TargetMode="External"/><Relationship Id="rId1339" Type="http://schemas.openxmlformats.org/officeDocument/2006/relationships/hyperlink" Target="https://www.kauppalehti.fi/kumppanisisallot/kouvola-innovation/vihrea-vety-ja-kiertotalouden-maksimointi-nain-kouvolalaiset-yritykset-taistelevat-ilmastonmuutosta-vastaan/" TargetMode="External"/><Relationship Id="rId46" Type="http://schemas.openxmlformats.org/officeDocument/2006/relationships/hyperlink" Target="https://www.eqmagpro.com/wp-content/uploads/2016/10/Annexure-IV-Report-on-Hydrogen-Production.pdf" TargetMode="External"/><Relationship Id="rId45" Type="http://schemas.openxmlformats.org/officeDocument/2006/relationships/hyperlink" Target="https://www.sciencedirect.com/science/article/pii/0360319992901702" TargetMode="External"/><Relationship Id="rId509" Type="http://schemas.openxmlformats.org/officeDocument/2006/relationships/hyperlink" Target="https://research.csiro.au/hyresource/h2-hub-gladstone/" TargetMode="External"/><Relationship Id="rId508" Type="http://schemas.openxmlformats.org/officeDocument/2006/relationships/hyperlink" Target="https://intercontinentalenergy.com/western-green-energy-hub" TargetMode="External"/><Relationship Id="rId503" Type="http://schemas.openxmlformats.org/officeDocument/2006/relationships/hyperlink" Target="https://www.gasnetworks.ie/corporate/gas-regulation/service-for-suppliers/code-of-operations/code-modifications/code-modification-forum-meetings/2019_cmf_meetings/20190612_Cod_Mod_Forum_CCS__H2-Slide-Presentation.pdf" TargetMode="External"/><Relationship Id="rId745" Type="http://schemas.openxmlformats.org/officeDocument/2006/relationships/hyperlink" Target="https://cipartners.dk/2022/04/20/european-consortium-madoquapower2x-announces-industrial-scale-power-to-green-hydrogen-and-ammonia-project-in-sines-portugal/" TargetMode="External"/><Relationship Id="rId987" Type="http://schemas.openxmlformats.org/officeDocument/2006/relationships/hyperlink" Target="https://thecurrency.news/articles/80215/bord-na-mona-enrols-boc-for-green-hydrogen-business/" TargetMode="External"/><Relationship Id="rId502" Type="http://schemas.openxmlformats.org/officeDocument/2006/relationships/hyperlink" Target="https://www.spglobal.com/platts/en/market-insights/latest-news/electric-power/061521-bavarias-six-ipcei-shortlisted-hydrogen-projects-may-get-eur1-billion" TargetMode="External"/><Relationship Id="rId744" Type="http://schemas.openxmlformats.org/officeDocument/2006/relationships/hyperlink" Target="https://hydrogenisland.dk/en" TargetMode="External"/><Relationship Id="rId986" Type="http://schemas.openxmlformats.org/officeDocument/2006/relationships/hyperlink" Target="https://www.eolasmagazine.ie/indaver-is-ready-to-contribute-to-a-new-hydrogen-economy/" TargetMode="External"/><Relationship Id="rId501" Type="http://schemas.openxmlformats.org/officeDocument/2006/relationships/hyperlink" Target="https://fuelcellsworks.com/news/mauritania-signs-agreement-to-develop-green-hydrogen-production-plant/?mc_cid=670c7701d2&amp;mc_eid=da4624d261" TargetMode="External"/><Relationship Id="rId743" Type="http://schemas.openxmlformats.org/officeDocument/2006/relationships/hyperlink" Target="https://www.pv-magazine-latam.com/2022/05/24/la-petrolera-colombiana-ecopetrol-sella-alianza-con-seis-empresas-internacionales-para-desarrollo-de-hidrogeno/" TargetMode="External"/><Relationship Id="rId985" Type="http://schemas.openxmlformats.org/officeDocument/2006/relationships/hyperlink" Target="https://www.lainformacion.com/empresas/siemens-gamesa-hiperbaric-ariema-hidrogeno-navarra/2885011/" TargetMode="External"/><Relationship Id="rId500" Type="http://schemas.openxmlformats.org/officeDocument/2006/relationships/hyperlink" Target="https://www.arabnews.com/node/1876061/business-economy" TargetMode="External"/><Relationship Id="rId742" Type="http://schemas.openxmlformats.org/officeDocument/2006/relationships/hyperlink" Target="https://www.energias-renovables.com/hidrogeno/ansasol-elige-castilla-y-leon-para-desarrollar-20220408" TargetMode="External"/><Relationship Id="rId984" Type="http://schemas.openxmlformats.org/officeDocument/2006/relationships/hyperlink" Target="https://www.hydrogeninsight.com/innovation/korean-conglomerates-plan-to-produce-clean-hydrogen-from-an-ultra-safe-micro-nuclear-reactor-in-the-heart-of-seoul/2-1-1439877" TargetMode="External"/><Relationship Id="rId507" Type="http://schemas.openxmlformats.org/officeDocument/2006/relationships/hyperlink" Target="https://www.energy.gov/sites/prod/files/2020/10/f79/h2iq_10082020_h2scale.pdf" TargetMode="External"/><Relationship Id="rId749" Type="http://schemas.openxmlformats.org/officeDocument/2006/relationships/hyperlink" Target="https://www.h2-view.com/story/sse-siemens-partner-to-convert-100mw-of-scottish-wind-energy-into-green-hydrogen/" TargetMode="External"/><Relationship Id="rId506" Type="http://schemas.openxmlformats.org/officeDocument/2006/relationships/hyperlink" Target="https://www.energy.gov/eere/fuelcells/articles/us-hydrogen-electrolyzer-locations-and-capacity" TargetMode="External"/><Relationship Id="rId748" Type="http://schemas.openxmlformats.org/officeDocument/2006/relationships/hyperlink" Target="https://hy2gen.com/" TargetMode="External"/><Relationship Id="rId505" Type="http://schemas.openxmlformats.org/officeDocument/2006/relationships/hyperlink" Target="http://41.222.168.85/NewsDetails.aspx?id=34" TargetMode="External"/><Relationship Id="rId747" Type="http://schemas.openxmlformats.org/officeDocument/2006/relationships/hyperlink" Target="https://www.offshore-energy.biz/getech-starts-work-at-scottish-green-hydrogen-hub-in-inverness/" TargetMode="External"/><Relationship Id="rId989" Type="http://schemas.openxmlformats.org/officeDocument/2006/relationships/hyperlink" Target="https://hydrogen-central.com/esb-green-energy-hub-hydrogen-moneypoint-ireland/" TargetMode="External"/><Relationship Id="rId504" Type="http://schemas.openxmlformats.org/officeDocument/2006/relationships/hyperlink" Target="https://renewablesnow.com/news/fortescue-plans-usd-6bn-green-hydrogen-project-at-brazils-pecem-port-746992/" TargetMode="External"/><Relationship Id="rId746" Type="http://schemas.openxmlformats.org/officeDocument/2006/relationships/hyperlink" Target="https://ausfutureenergy.com/project/gladstone-energy-and-ammonia-project/" TargetMode="External"/><Relationship Id="rId988" Type="http://schemas.openxmlformats.org/officeDocument/2006/relationships/hyperlink" Target="https://www.climatecouncil.ie/media/climatechangeadvisorycouncil/contentassets/publications/Hydrogen%20in%20Ireland%20web%20version.pdf" TargetMode="External"/><Relationship Id="rId48" Type="http://schemas.openxmlformats.org/officeDocument/2006/relationships/hyperlink" Target="https://www.eqmagpro.com/wp-content/uploads/2016/10/Annexure-IV-Report-on-Hydrogen-Production.pdf" TargetMode="External"/><Relationship Id="rId47" Type="http://schemas.openxmlformats.org/officeDocument/2006/relationships/hyperlink" Target="https://mnre.gov.in/sites/default/files/uploads/Shrinet-ERDA.pdf" TargetMode="External"/><Relationship Id="rId49" Type="http://schemas.openxmlformats.org/officeDocument/2006/relationships/hyperlink" Target="http://www.energy-observer.org/en/" TargetMode="External"/><Relationship Id="rId741" Type="http://schemas.openxmlformats.org/officeDocument/2006/relationships/hyperlink" Target="https://fuelcellsworks.com/news/norwegian-hydrogen-as-is-moving-forward-with-its-project-to-establish-green-hydrogen-production-at-hellesylt-within-q4-2023/?mc_cid=790c1a9648&amp;mc_eid=da4624d261" TargetMode="External"/><Relationship Id="rId983" Type="http://schemas.openxmlformats.org/officeDocument/2006/relationships/hyperlink" Target="https://fuelcellsworks.com/news/carbonloop-and-haffner-energy-announce-order-for-hynoca-equipment-for-first-two-hydrogen-and-biochar-production-sites-from-biomass/?mc_cid=0c0b824e23&amp;mc_eid=da4624d261" TargetMode="External"/><Relationship Id="rId1330" Type="http://schemas.openxmlformats.org/officeDocument/2006/relationships/hyperlink" Target="https://gcenode.no/news/giant-hydrogen-plans-in-kvinesdal/" TargetMode="External"/><Relationship Id="rId740" Type="http://schemas.openxmlformats.org/officeDocument/2006/relationships/hyperlink" Target="https://hydrogen-central.com/developers-behind-controversial-hydrogen-plant-set-clydebank-waterfront-explained-the-reason-for-withdrawing-their-controversial-plans/" TargetMode="External"/><Relationship Id="rId982" Type="http://schemas.openxmlformats.org/officeDocument/2006/relationships/hyperlink" Target="https://fuelcellsworks.com/news/hydrogen-utopia-explores-opportunities-for-converting-plastic-waste-into-hydrogen-in-estonia/?mc_cid=44d2eee315&amp;mc_eid=da4624d261" TargetMode="External"/><Relationship Id="rId1331" Type="http://schemas.openxmlformats.org/officeDocument/2006/relationships/hyperlink" Target="https://www.renewableenergyworld.com/hydrogen/landsvirkjun-to-build-hydrogen-production-facility-at-16-mw-ljosifoss-hydropower/" TargetMode="External"/><Relationship Id="rId981" Type="http://schemas.openxmlformats.org/officeDocument/2006/relationships/hyperlink" Target="https://hydronews.it/a-nextchem-lo-studio-di-fattibilita-di-un-impianto-di-produzione-di-metanolo-green-da-h2-co2-in-puglia/" TargetMode="External"/><Relationship Id="rId1332" Type="http://schemas.openxmlformats.org/officeDocument/2006/relationships/hyperlink" Target="https://neptuntromso.no/" TargetMode="External"/><Relationship Id="rId980" Type="http://schemas.openxmlformats.org/officeDocument/2006/relationships/hyperlink" Target="https://www.ammoniaenergy.org/articles/fertiliser-giant-ocp-group-to-go-fully-renewable-eliminate-ammonia-imports-to-morocco/" TargetMode="External"/><Relationship Id="rId1333" Type="http://schemas.openxmlformats.org/officeDocument/2006/relationships/hyperlink" Target="https://gen2energy.com/projects/production-sites/" TargetMode="External"/><Relationship Id="rId1323" Type="http://schemas.openxmlformats.org/officeDocument/2006/relationships/hyperlink" Target="https://www.gronregionvestland.no/vaare-hubbar/hardanger-hydrogen-hub" TargetMode="External"/><Relationship Id="rId1324" Type="http://schemas.openxmlformats.org/officeDocument/2006/relationships/hyperlink" Target="https://www.statkraft.com/newsroom/news-and-stories/2023/fortescue-future-industries-secures-renewable-power-supply-from-statkraft-to-planned-green-hydrogenammonia-project-in-hemnes/" TargetMode="External"/><Relationship Id="rId31" Type="http://schemas.openxmlformats.org/officeDocument/2006/relationships/hyperlink" Target="https://www.hydrogenics.com/2018/10/15/hydrogenics-to-supply-large-scale-pem-electrolyzer-for-hydrogen-fueling-station-in-europe/" TargetMode="External"/><Relationship Id="rId1325" Type="http://schemas.openxmlformats.org/officeDocument/2006/relationships/hyperlink" Target="https://www.hydrogeninsight.com/production/mini-electrolyser-makers-shares-surge-as-it-reveals-eu-approval-for-massive-portuguese-green-hydrogen-project/2-1-1600035?message=%5bnuxt%5d+instance+unavailable&amp;stack=&amp;statusCode=404&amp;statusMessage=%5bnuxt%5d+instance+unavailable&amp;url=/production/mini-electrolyser-makers-shares-surge-as-it-reveals-eu-approval-for-massive-portuguese-green-hydrogen-project/2-1-1600035" TargetMode="External"/><Relationship Id="rId30" Type="http://schemas.openxmlformats.org/officeDocument/2006/relationships/hyperlink" Target="https://www.thechemicalengineer.com/news/world-s-largest-dynamic-hydrogen-electrolysis-plant-inaugurated/" TargetMode="External"/><Relationship Id="rId1326" Type="http://schemas.openxmlformats.org/officeDocument/2006/relationships/hyperlink" Target="https://ir.fusion-fuel.eu/news-releases/news-release-details/fusion-fuel-receives-notification-ipcei-approval-european" TargetMode="External"/><Relationship Id="rId33" Type="http://schemas.openxmlformats.org/officeDocument/2006/relationships/hyperlink" Target="http://www.itm-power.com/news-item/100mw-power-to-gas-p2g-energy-storage-feasibility-study" TargetMode="External"/><Relationship Id="rId1327" Type="http://schemas.openxmlformats.org/officeDocument/2006/relationships/hyperlink" Target="https://greenstat.no/en/projects/htwo-fuel-as" TargetMode="External"/><Relationship Id="rId32" Type="http://schemas.openxmlformats.org/officeDocument/2006/relationships/hyperlink" Target="https://reneweconomy.com.au/neoen-plans-worlds-biggest-solar-wind-powered-hydrogen-hub-in-s-a-53674/" TargetMode="External"/><Relationship Id="rId1328" Type="http://schemas.openxmlformats.org/officeDocument/2006/relationships/hyperlink" Target="https://www.fjordbase.no/nyhet/hyds-enters-as-new-owner-in-hyfuel-in-floro" TargetMode="External"/><Relationship Id="rId35" Type="http://schemas.openxmlformats.org/officeDocument/2006/relationships/hyperlink" Target="https://www.sciencedirect.com/science/article/pii/S1464285919300239" TargetMode="External"/><Relationship Id="rId1329" Type="http://schemas.openxmlformats.org/officeDocument/2006/relationships/hyperlink" Target="https://decarbconnect.com/project/hydrogen-hub-mo/" TargetMode="External"/><Relationship Id="rId34" Type="http://schemas.openxmlformats.org/officeDocument/2006/relationships/hyperlink" Target="https://www.energate-messenger.de/news/186936/reallabor-fuer-wasserstoff-grossprojekt" TargetMode="External"/><Relationship Id="rId739" Type="http://schemas.openxmlformats.org/officeDocument/2006/relationships/hyperlink" Target="https://www.euractiv.com/section/energy/opinion/why-green-ammonia-will-be-the-workhorse-of-eus-future-hydrogen-economy/" TargetMode="External"/><Relationship Id="rId734" Type="http://schemas.openxmlformats.org/officeDocument/2006/relationships/hyperlink" Target="https://wcsecure.weblink.com.au/pdf/PV1/02553645.pdf" TargetMode="External"/><Relationship Id="rId976" Type="http://schemas.openxmlformats.org/officeDocument/2006/relationships/hyperlink" Target="https://fuelcellsworks.com/news/port-of-grays-harbor-commission-approves-leasing-option-to-invenergy-for-potential-green-hydrogen-project/?mc_cid=850deae301&amp;mc_eid=da4624d261" TargetMode="External"/><Relationship Id="rId733" Type="http://schemas.openxmlformats.org/officeDocument/2006/relationships/hyperlink" Target="https://www.ghi-corp.com/projects/fleur-de-lys" TargetMode="External"/><Relationship Id="rId975" Type="http://schemas.openxmlformats.org/officeDocument/2006/relationships/hyperlink" Target="https://totalenergies.com/media/news/press-releases/united-states-totalenergies-and-tes-join-forces-develop-large-scale-e-ng" TargetMode="External"/><Relationship Id="rId732" Type="http://schemas.openxmlformats.org/officeDocument/2006/relationships/hyperlink" Target="https://www.ghi-corp.com/projects/nova-scotia" TargetMode="External"/><Relationship Id="rId974" Type="http://schemas.openxmlformats.org/officeDocument/2006/relationships/hyperlink" Target="https://direct.argusmedia.com/newsandanalysis/Article/2399721" TargetMode="External"/><Relationship Id="rId731" Type="http://schemas.openxmlformats.org/officeDocument/2006/relationships/hyperlink" Target="https://www.ir.plugpower.com/press-releases/news-details/2022/Plug-Secures-5-MW-Electrolyzer-Sale-to-Leading-Canadian-Energy-Company-Irving-Oil/default.aspx" TargetMode="External"/><Relationship Id="rId973" Type="http://schemas.openxmlformats.org/officeDocument/2006/relationships/hyperlink" Target="https://www.enapter.com/newsroom/first-order-placed-for-enapters-aem-multicore-megawatt-class-electrolyser-system" TargetMode="External"/><Relationship Id="rId738" Type="http://schemas.openxmlformats.org/officeDocument/2006/relationships/hyperlink" Target="https://www.qamarenergy.com/sites/default/files/The%20UAE%27s%20Role%20in%20the%20Global%20Hydrogen%20Economy.pdf" TargetMode="External"/><Relationship Id="rId737" Type="http://schemas.openxmlformats.org/officeDocument/2006/relationships/hyperlink" Target="https://enertrag.com/en/news-german/etail/enertrag-plans-green-hydrogen-project-in-the-tacuarembo-region-of-uruguay" TargetMode="External"/><Relationship Id="rId979" Type="http://schemas.openxmlformats.org/officeDocument/2006/relationships/hyperlink" Target="https://www.businesswire.com/news/home/20221121005294/en/Babcock-Wilcox-Announces-Agreement-to-Study-Development-of-Biomass-to-Hydrogen-Project-in-South-Korea-Using-BrightLoop%E2%84%A2-Technology" TargetMode="External"/><Relationship Id="rId736" Type="http://schemas.openxmlformats.org/officeDocument/2006/relationships/hyperlink" Target="https://news.cision.com/nel-asa/r/nel-asa--nel-to-supply-an-alkaline-electrolyser-system-for-solar-foods,c3526086" TargetMode="External"/><Relationship Id="rId978" Type="http://schemas.openxmlformats.org/officeDocument/2006/relationships/hyperlink" Target="https://www.gov.uk/government/publications/hydrogen-production-business-model-net-zero-hydrogen-fund-shortlisted-projects/hydrogen-business-model-net-zero-hydrogen-fund-shortlisted-projects-allocation-round-2022" TargetMode="External"/><Relationship Id="rId735" Type="http://schemas.openxmlformats.org/officeDocument/2006/relationships/hyperlink" Target="https://www.renewstable-sumba.com/" TargetMode="External"/><Relationship Id="rId977" Type="http://schemas.openxmlformats.org/officeDocument/2006/relationships/hyperlink" Target="https://www.constructionweekonline.in/business/a-p-moller-maersk-sungas-renewables-sign-strategic-green-methanol-partnership" TargetMode="External"/><Relationship Id="rId37" Type="http://schemas.openxmlformats.org/officeDocument/2006/relationships/hyperlink" Target="https://www.sciencedirect.com/science/article/pii/S1464285918304681" TargetMode="External"/><Relationship Id="rId36" Type="http://schemas.openxmlformats.org/officeDocument/2006/relationships/hyperlink" Target="https://www.sciencedirect.com/science/article/pii/S1464285919300227" TargetMode="External"/><Relationship Id="rId39" Type="http://schemas.openxmlformats.org/officeDocument/2006/relationships/hyperlink" Target="https://h2energy.ch/en/nel-asa-awarded-purchase-order-for-a-2-mw-pem-electrolyzer-in-switzerland-and-enters-a-30-mw-framework-contract/" TargetMode="External"/><Relationship Id="rId38" Type="http://schemas.openxmlformats.org/officeDocument/2006/relationships/hyperlink" Target="https://www.toshiba-energy.com/en/info/info2018_0809.htm" TargetMode="External"/><Relationship Id="rId730" Type="http://schemas.openxmlformats.org/officeDocument/2006/relationships/hyperlink" Target="https://www.reuters.com/business/sustainable-business/egypt-india-sign-mou-build-green-hydrogen-factory-worth-8-bln-2022-07-27/" TargetMode="External"/><Relationship Id="rId972" Type="http://schemas.openxmlformats.org/officeDocument/2006/relationships/hyperlink" Target="https://www.enapter.com/newsroom/dutch-energy-company-orders-megawatt-class-electrolyser" TargetMode="External"/><Relationship Id="rId971" Type="http://schemas.openxmlformats.org/officeDocument/2006/relationships/hyperlink" Target="https://www.enapter.com/newsroom/enapter-receives-canadian-order-for-two-1-megawatt-electrolysers" TargetMode="External"/><Relationship Id="rId1320" Type="http://schemas.openxmlformats.org/officeDocument/2006/relationships/hyperlink" Target="https://quadranteglobal.com/en/project/new-hydrogen-unit-vila-velha-de-rodao/" TargetMode="External"/><Relationship Id="rId970" Type="http://schemas.openxmlformats.org/officeDocument/2006/relationships/hyperlink" Target="https://direct.argusmedia.com/newsandanalysis/Article/2453086" TargetMode="External"/><Relationship Id="rId1321" Type="http://schemas.openxmlformats.org/officeDocument/2006/relationships/hyperlink" Target="https://portodeaveiro.pt/webinar-decarbonising-small-medium-ports/pdfs/session-one/5-Hydrogen-as-an-energy-source-of-the-future-Teresa-Marques.pdf" TargetMode="External"/><Relationship Id="rId1322" Type="http://schemas.openxmlformats.org/officeDocument/2006/relationships/hyperlink" Target="https://www.hychem.pt/pt/economia-circular/hidrogenio" TargetMode="External"/><Relationship Id="rId1114" Type="http://schemas.openxmlformats.org/officeDocument/2006/relationships/hyperlink" Target="https://direct.argusmedia.com/newsandanalysis/article/2481753" TargetMode="External"/><Relationship Id="rId1356" Type="http://schemas.openxmlformats.org/officeDocument/2006/relationships/hyperlink" Target="https://direct.argusmedia.com/newsandanalysis/Article/2581240" TargetMode="External"/><Relationship Id="rId1115" Type="http://schemas.openxmlformats.org/officeDocument/2006/relationships/hyperlink" Target="https://direct.argusmedia.com/newsandanalysis/Article/2493887" TargetMode="External"/><Relationship Id="rId1357" Type="http://schemas.openxmlformats.org/officeDocument/2006/relationships/hyperlink" Target="https://direct.argusmedia.com/newsandanalysis/Article/2542279" TargetMode="External"/><Relationship Id="rId20" Type="http://schemas.openxmlformats.org/officeDocument/2006/relationships/hyperlink" Target="http://www.prensa.naturgy.com/en/gas-natural-fenosa-launches-pilot-project-to-produce-renewable-gas-in-catalonia/" TargetMode="External"/><Relationship Id="rId1116" Type="http://schemas.openxmlformats.org/officeDocument/2006/relationships/hyperlink" Target="https://www.energy-storage.news/chevron-does-u-turn-and-invests-in-utah-green-hydrogen-project/" TargetMode="External"/><Relationship Id="rId1358" Type="http://schemas.openxmlformats.org/officeDocument/2006/relationships/hyperlink" Target="https://direct.argusmedia.com/newsandanalysis/Article/2564926" TargetMode="External"/><Relationship Id="rId1117" Type="http://schemas.openxmlformats.org/officeDocument/2006/relationships/hyperlink" Target="https://renewablesnow.com/news/luxcara-joins-major-green-hydrogen-project-in-hamburg-834397/" TargetMode="External"/><Relationship Id="rId1359" Type="http://schemas.openxmlformats.org/officeDocument/2006/relationships/hyperlink" Target="https://chinahydrogen.substack.com/p/chinas-first-biogas-to-hydrogen-facility" TargetMode="External"/><Relationship Id="rId22" Type="http://schemas.openxmlformats.org/officeDocument/2006/relationships/hyperlink" Target="https://www.vtt.fi/sites/bioeconomyplus/en/contacts" TargetMode="External"/><Relationship Id="rId1118" Type="http://schemas.openxmlformats.org/officeDocument/2006/relationships/hyperlink" Target="https://hyrasia.energy/" TargetMode="External"/><Relationship Id="rId21" Type="http://schemas.openxmlformats.org/officeDocument/2006/relationships/hyperlink" Target="https://www.umweltbundesamt.de/sites/default/files/medien/377/dokumente/19_session_i_5_becker.pdf" TargetMode="External"/><Relationship Id="rId1119" Type="http://schemas.openxmlformats.org/officeDocument/2006/relationships/hyperlink" Target="https://www.reuters.com/business/cop/mauritania-bp-explore-green-hydrogen-projects-2022-11-08/" TargetMode="External"/><Relationship Id="rId24" Type="http://schemas.openxmlformats.org/officeDocument/2006/relationships/hyperlink" Target="http://www.abc.net.au/news/2017-08-08/trial-to-inject-hydrogen-into-gas-lines/8782956" TargetMode="External"/><Relationship Id="rId23" Type="http://schemas.openxmlformats.org/officeDocument/2006/relationships/hyperlink" Target="https://www.demo4grid.eu/project/" TargetMode="External"/><Relationship Id="rId525" Type="http://schemas.openxmlformats.org/officeDocument/2006/relationships/hyperlink" Target="https://asia.nikkei.com/Business/Energy/Itochu-s-blue-ammonia-from-Canada-to-power-Japan-s-green-future" TargetMode="External"/><Relationship Id="rId767" Type="http://schemas.openxmlformats.org/officeDocument/2006/relationships/hyperlink" Target="https://news.bjx.com.cn/html/20220526/1228289.shtml?utm_campaign=China%20Clean%20Energy%20Syndicate%20&amp;utm_medium=email&amp;utm_source=Revue%20newsletter" TargetMode="External"/><Relationship Id="rId524" Type="http://schemas.openxmlformats.org/officeDocument/2006/relationships/hyperlink" Target="http://www.asianmetal.com/news/data/1649670/7/HBIS%20to%20put%20hydrogen-based%20DRI%20plant%20phase%20I%20into%20operation%20by%20late%202021" TargetMode="External"/><Relationship Id="rId766" Type="http://schemas.openxmlformats.org/officeDocument/2006/relationships/hyperlink" Target="https://www.rechargenews.com/energy-transition/another-aussie-green-hydrogen-hub-in-the-works-as-total-eren-eyes-1gw-darwin-project/2-1-1278144" TargetMode="External"/><Relationship Id="rId523" Type="http://schemas.openxmlformats.org/officeDocument/2006/relationships/hyperlink" Target="https://www.straitstimes.com/business/economy/china-approves-renewable-mega-project-for-green-hydrogen" TargetMode="External"/><Relationship Id="rId765" Type="http://schemas.openxmlformats.org/officeDocument/2006/relationships/hyperlink" Target="https://renewablesnow.com/news/first-hydrogen-seeks-uk-govt-grants-for-80-mw-of-hydrogen-projects-790594/" TargetMode="External"/><Relationship Id="rId522" Type="http://schemas.openxmlformats.org/officeDocument/2006/relationships/hyperlink" Target="https://www.man-es.com/company/press-releases/press-details/2021/08/12/taqa-arabia-signs-mou-with-man-energy-solutions-for-egyptian-green-hydrogen-project" TargetMode="External"/><Relationship Id="rId764" Type="http://schemas.openxmlformats.org/officeDocument/2006/relationships/hyperlink" Target="https://resourceworld.com/first-hydrogen-identifies-four-u-k-sites-for-hydrogen-projects/" TargetMode="External"/><Relationship Id="rId529" Type="http://schemas.openxmlformats.org/officeDocument/2006/relationships/hyperlink" Target="https://svevind.se/en/2021/10/10/roadmap-signed-or-30-gw-green-hydrogen-developments-in-kazakhstan/" TargetMode="External"/><Relationship Id="rId528" Type="http://schemas.openxmlformats.org/officeDocument/2006/relationships/hyperlink" Target="https://www.grupofertiberia.com/media/605649/20211015-np-planta-fertiberia-suecia_def_en-1.pdf" TargetMode="External"/><Relationship Id="rId527" Type="http://schemas.openxmlformats.org/officeDocument/2006/relationships/hyperlink" Target="https://volth2.com/projects/" TargetMode="External"/><Relationship Id="rId769" Type="http://schemas.openxmlformats.org/officeDocument/2006/relationships/hyperlink" Target="https://www.mairetecnimont.com/en/media/press-releases/maire-tecnimont-group-reaches-agreement-greenfield-nitrogen-llc-development-green-ammonia-plant" TargetMode="External"/><Relationship Id="rId526" Type="http://schemas.openxmlformats.org/officeDocument/2006/relationships/hyperlink" Target="https://www.zukunftsheizen.de/fileadmin/user_upload/Downloads/BET_2021_Vortrag_Tremel_Siemens_Chiles_wind_to_Europe.pdf" TargetMode="External"/><Relationship Id="rId768" Type="http://schemas.openxmlformats.org/officeDocument/2006/relationships/hyperlink" Target="https://www.news24.com/fin24/economy/prieska-green-hydrogen-project-gets-funding-boost-20220614" TargetMode="External"/><Relationship Id="rId26" Type="http://schemas.openxmlformats.org/officeDocument/2006/relationships/hyperlink" Target="https://reneweconomy.com.au/s-a-to-host-australias-first-green-hydrogen-power-plant-89447/" TargetMode="External"/><Relationship Id="rId25" Type="http://schemas.openxmlformats.org/officeDocument/2006/relationships/hyperlink" Target="https://new4-0.erneuerbare-energien-hamburg.de/de/new-40-blog/details/wind-to-gas-energy-bau-der-power-to-heat-anlage-ist-gestartet.html" TargetMode="External"/><Relationship Id="rId28" Type="http://schemas.openxmlformats.org/officeDocument/2006/relationships/hyperlink" Target="https://www.tennet.eu/news/detail/gasunie-tennet-and-thyssengas-reveal-detailed-green-sector-coupling-plans-using-power-to-gas-tec/" TargetMode="External"/><Relationship Id="rId1350" Type="http://schemas.openxmlformats.org/officeDocument/2006/relationships/hyperlink" Target="https://direct.argusmedia.com/newsandanalysis/Article/2554152" TargetMode="External"/><Relationship Id="rId27" Type="http://schemas.openxmlformats.org/officeDocument/2006/relationships/hyperlink" Target="https://jemena.com.au/about/innovation/power-to-gas-trial" TargetMode="External"/><Relationship Id="rId1351" Type="http://schemas.openxmlformats.org/officeDocument/2006/relationships/hyperlink" Target="https://direct.argusmedia.com/newsandanalysis/Article/2547060" TargetMode="External"/><Relationship Id="rId521" Type="http://schemas.openxmlformats.org/officeDocument/2006/relationships/hyperlink" Target="https://ir.fusion-fuel.eu/static-files/1992cf1f-fe4e-4479-8ac4-e62b81eda238" TargetMode="External"/><Relationship Id="rId763" Type="http://schemas.openxmlformats.org/officeDocument/2006/relationships/hyperlink" Target="https://energycapitalpower.com/cwp-massive-renewables-projects-in-africa/" TargetMode="External"/><Relationship Id="rId1110" Type="http://schemas.openxmlformats.org/officeDocument/2006/relationships/hyperlink" Target="https://private.cedigaz.org/newsreport_pdf/64c3726cd950b_CNR62-14.pdf" TargetMode="External"/><Relationship Id="rId1352" Type="http://schemas.openxmlformats.org/officeDocument/2006/relationships/hyperlink" Target="https://direct.argusmedia.com/newsandanalysis/Article/2526588" TargetMode="External"/><Relationship Id="rId29" Type="http://schemas.openxmlformats.org/officeDocument/2006/relationships/hyperlink" Target="https://www.hybridge.net/index-2.html" TargetMode="External"/><Relationship Id="rId520" Type="http://schemas.openxmlformats.org/officeDocument/2006/relationships/hyperlink" Target="https://www.fusion-fuel.eu/projects/europe-middle-east-africa/portugal/hevo-sul/" TargetMode="External"/><Relationship Id="rId762" Type="http://schemas.openxmlformats.org/officeDocument/2006/relationships/hyperlink" Target="https://www.ammoniaenergy.org/articles/cwp-global-taps-bechtel-to-help-develop-african-ammonia-projects/" TargetMode="External"/><Relationship Id="rId1111" Type="http://schemas.openxmlformats.org/officeDocument/2006/relationships/hyperlink" Target="https://h2ce.ru/en/news/industry-news/thyssenkrupp-uhde-joins-offset-consortium-on-floating-green-hydrogen-and-ammonia-project" TargetMode="External"/><Relationship Id="rId1353" Type="http://schemas.openxmlformats.org/officeDocument/2006/relationships/hyperlink" Target="https://direct.argusmedia.com/newsandanalysis/Article/2559070" TargetMode="External"/><Relationship Id="rId761" Type="http://schemas.openxmlformats.org/officeDocument/2006/relationships/hyperlink" Target="https://renewablesnow.com/news/h2-industries-plans-usd-14bn-waste-to-hydrogen-facility-in-oman-781651/" TargetMode="External"/><Relationship Id="rId1112" Type="http://schemas.openxmlformats.org/officeDocument/2006/relationships/hyperlink" Target="https://private.cedigaz.org/newsreport_pdf/64e479cd7cb17_CNR62-16.pdf" TargetMode="External"/><Relationship Id="rId1354" Type="http://schemas.openxmlformats.org/officeDocument/2006/relationships/hyperlink" Target="https://direct.argusmedia.com/newsandanalysis/Article/2551169" TargetMode="External"/><Relationship Id="rId760" Type="http://schemas.openxmlformats.org/officeDocument/2006/relationships/hyperlink" Target="https://www.watoday.com.au/politics/western-australia/wesfarmers-and-mitsui-look-at-1-billion-plus-wa-low-carbon-ammonia-export-20211003-p58wsn.html" TargetMode="External"/><Relationship Id="rId1113" Type="http://schemas.openxmlformats.org/officeDocument/2006/relationships/hyperlink" Target="https://www.hydrogeninsight.com/production/chinas-largest-green-hydrogen-project-a-4bn-640mw-ammonia-methanol-facility-begins-construction/2-1-1525815" TargetMode="External"/><Relationship Id="rId1355" Type="http://schemas.openxmlformats.org/officeDocument/2006/relationships/hyperlink" Target="https://direct.argusmedia.com/newsandanalysis/Article/2580464" TargetMode="External"/><Relationship Id="rId1103" Type="http://schemas.openxmlformats.org/officeDocument/2006/relationships/hyperlink" Target="https://h2-international.com/2021/06/14/element-eins-and-hybridge-stopped/" TargetMode="External"/><Relationship Id="rId1345" Type="http://schemas.openxmlformats.org/officeDocument/2006/relationships/hyperlink" Target="https://direct.argusmedia.com/newsandanalysis/Article/2600505" TargetMode="External"/><Relationship Id="rId1104" Type="http://schemas.openxmlformats.org/officeDocument/2006/relationships/hyperlink" Target="https://direct.argusmedia.com/newsandanalysis/Article/2472952" TargetMode="External"/><Relationship Id="rId1346" Type="http://schemas.openxmlformats.org/officeDocument/2006/relationships/hyperlink" Target="https://www.hydrogen.energy.gov/docs/hydrogenprogramlibraries/pdfs/review23/lpo001_ducker_2023_o-pdf.pdf" TargetMode="External"/><Relationship Id="rId1105" Type="http://schemas.openxmlformats.org/officeDocument/2006/relationships/hyperlink" Target="https://direct.argusmedia.com/newsandanalysis/Article/2491133" TargetMode="External"/><Relationship Id="rId1347" Type="http://schemas.openxmlformats.org/officeDocument/2006/relationships/hyperlink" Target="https://direct.argusmedia.com/newsandanalysis/Article/2556212" TargetMode="External"/><Relationship Id="rId1106" Type="http://schemas.openxmlformats.org/officeDocument/2006/relationships/hyperlink" Target="https://direct.argusmedia.com/newsandanalysis/Article/2493292" TargetMode="External"/><Relationship Id="rId1348" Type="http://schemas.openxmlformats.org/officeDocument/2006/relationships/hyperlink" Target="https://www.lhyfe.com/press/lhyfe-and-saf-international-group-sign-a-memorandum-of-understanding-to-decarbonise-the-aviation-industry-using-green-hydrogen/" TargetMode="External"/><Relationship Id="rId11" Type="http://schemas.openxmlformats.org/officeDocument/2006/relationships/hyperlink" Target="http://news.cision.com/nel-asa/r/nel-asa--enters-into-exclusive-nok-450-million-industrial-scale-power-to-gas-framework-agreement-wit,c2286835" TargetMode="External"/><Relationship Id="rId1107" Type="http://schemas.openxmlformats.org/officeDocument/2006/relationships/hyperlink" Target="https://direct.argusmedia.com/newsandanalysis/Article/2481001" TargetMode="External"/><Relationship Id="rId1349" Type="http://schemas.openxmlformats.org/officeDocument/2006/relationships/hyperlink" Target="https://direct.argusmedia.com/newsandanalysis/Article/2600209" TargetMode="External"/><Relationship Id="rId10" Type="http://schemas.openxmlformats.org/officeDocument/2006/relationships/hyperlink" Target="https://methycentre.eu/" TargetMode="External"/><Relationship Id="rId1108" Type="http://schemas.openxmlformats.org/officeDocument/2006/relationships/hyperlink" Target="https://direct.argusmedia.com/newsandanalysis/Article/2474890" TargetMode="External"/><Relationship Id="rId13" Type="http://schemas.openxmlformats.org/officeDocument/2006/relationships/hyperlink" Target="https://www.engie.com/wp-content/uploads/2018/05/tap_engie.pdf" TargetMode="External"/><Relationship Id="rId1109" Type="http://schemas.openxmlformats.org/officeDocument/2006/relationships/hyperlink" Target="https://direct.argusmedia.com/newsandanalysis/Article/2493360" TargetMode="External"/><Relationship Id="rId12" Type="http://schemas.openxmlformats.org/officeDocument/2006/relationships/hyperlink" Target="https://www.lemoniteur.fr/article/un-demonstrateur-power-to-gas-en-service-a-nantes.1949184" TargetMode="External"/><Relationship Id="rId519" Type="http://schemas.openxmlformats.org/officeDocument/2006/relationships/hyperlink" Target="https://mb.cision.com/Main/115/3399294/1455892.pdf" TargetMode="External"/><Relationship Id="rId514" Type="http://schemas.openxmlformats.org/officeDocument/2006/relationships/hyperlink" Target="https://www.pv-magazine-australia.com/press-releases/fortescue-future-industries-signs-collaboration-agreement-regarding-a-potential-large-scale-renewable-green-hydrogen-plant-in-new-zealand/" TargetMode="External"/><Relationship Id="rId756" Type="http://schemas.openxmlformats.org/officeDocument/2006/relationships/hyperlink" Target="https://cen.acs.org/business/Chemical-makers-plan-blue-ammonia/100/i16" TargetMode="External"/><Relationship Id="rId998" Type="http://schemas.openxmlformats.org/officeDocument/2006/relationships/hyperlink" Target="https://www.hydrogeninsight.com/industrial/indian-steel-giant-to-start-using-green-hydrogen-within-two-years/2-1-1492967" TargetMode="External"/><Relationship Id="rId513" Type="http://schemas.openxmlformats.org/officeDocument/2006/relationships/hyperlink" Target="https://ijglobal.com/articles/157261/india-to-pilot-green-hydrogen-at-hospital" TargetMode="External"/><Relationship Id="rId755" Type="http://schemas.openxmlformats.org/officeDocument/2006/relationships/hyperlink" Target="https://www.zawya.com/en/business/hyport-duqm-project-eyes-1mln-mtpa-of-green-ammonia-at-full-capacity-rkpnzt5c" TargetMode="External"/><Relationship Id="rId997" Type="http://schemas.openxmlformats.org/officeDocument/2006/relationships/hyperlink" Target="https://www.chinadaily.com.cn/a/202306/30/WS649e36c8a310bf8a75d6c825.html" TargetMode="External"/><Relationship Id="rId512" Type="http://schemas.openxmlformats.org/officeDocument/2006/relationships/hyperlink" Target="https://research.csiro.au/hyresource/portland-renewable-hydrogen-project/" TargetMode="External"/><Relationship Id="rId754" Type="http://schemas.openxmlformats.org/officeDocument/2006/relationships/hyperlink" Target="https://exploracionyproduccion.ancap.com.uy/innovaportal/file/14868/1/energy-opportunities-offshore-uruguay---s-ferro-image-2022-houston.pdf" TargetMode="External"/><Relationship Id="rId996" Type="http://schemas.openxmlformats.org/officeDocument/2006/relationships/hyperlink" Target="https://www.hydrogeninsight.com/production/worlds-largest-construction-begins-at-chinas-biggest-green-ammonia-plant/2-1-1484607" TargetMode="External"/><Relationship Id="rId511" Type="http://schemas.openxmlformats.org/officeDocument/2006/relationships/hyperlink" Target="https://research.csiro.au/hyresource/abel-energy-bell-bay-powerfuels-project/" TargetMode="External"/><Relationship Id="rId753" Type="http://schemas.openxmlformats.org/officeDocument/2006/relationships/hyperlink" Target="https://hyphenafrica.com/news/hyphen-hydrogen-energy-progresses-its-planned-us10-bn-namibian-green-hydrogen-project/" TargetMode="External"/><Relationship Id="rId995" Type="http://schemas.openxmlformats.org/officeDocument/2006/relationships/hyperlink" Target="https://k-rep.com.au/" TargetMode="External"/><Relationship Id="rId518" Type="http://schemas.openxmlformats.org/officeDocument/2006/relationships/hyperlink" Target="https://fuelcellsworks.com/news/linde-signs-long-term-agreement-with-infineon-technologies-for-on-site-green-hydrogen-production/?mc_cid=e5c7eff1d8&amp;mc_eid=da4624d261" TargetMode="External"/><Relationship Id="rId517" Type="http://schemas.openxmlformats.org/officeDocument/2006/relationships/hyperlink" Target="https://fuelcellsworks.com/news/green-hydrogen-systems-electrolysers-chosen-by-octopus-hydrogen-for-a-project-in-the-uk/?mc_cid=e5c7eff1d8&amp;mc_eid=da4624d261" TargetMode="External"/><Relationship Id="rId759" Type="http://schemas.openxmlformats.org/officeDocument/2006/relationships/hyperlink" Target="https://libertyhydrogen.com.au/liberty-hydrogen-launches-today/" TargetMode="External"/><Relationship Id="rId516" Type="http://schemas.openxmlformats.org/officeDocument/2006/relationships/hyperlink" Target="https://www.greencarcongress.com/2021/08/20210819-bakken.html" TargetMode="External"/><Relationship Id="rId758" Type="http://schemas.openxmlformats.org/officeDocument/2006/relationships/hyperlink" Target="https://www.energymining.sa.gov.au/industry/modern-energy/hydrogen-in-south-australia/the-hydrogen-utility-h2u-eyre-peninsula-gateway" TargetMode="External"/><Relationship Id="rId515" Type="http://schemas.openxmlformats.org/officeDocument/2006/relationships/hyperlink" Target="https://www.iene.eu/japans-largest-green-hydrogen-plant-powered-by-wind-set-to-open-in-2024-p6361.html" TargetMode="External"/><Relationship Id="rId757" Type="http://schemas.openxmlformats.org/officeDocument/2006/relationships/hyperlink" Target="https://www.maersk.com/news/articles/2022/03/28/maersk-explores-new-ways-to-accelerate-green-fuel-production" TargetMode="External"/><Relationship Id="rId999" Type="http://schemas.openxmlformats.org/officeDocument/2006/relationships/hyperlink" Target="https://direct.argusmedia.com/newsandanalysis/Article/2476003" TargetMode="External"/><Relationship Id="rId15" Type="http://schemas.openxmlformats.org/officeDocument/2006/relationships/hyperlink" Target="http://www.powertogas.info/power-to-gas/pilotprojekte-im-ueberblick/exytron-demonstrationsanlage/" TargetMode="External"/><Relationship Id="rId990" Type="http://schemas.openxmlformats.org/officeDocument/2006/relationships/hyperlink" Target="https://eih2.ie/e120m-green-energy-facility-planned-for-cork-creating-85-jobs/" TargetMode="External"/><Relationship Id="rId14" Type="http://schemas.openxmlformats.org/officeDocument/2006/relationships/hyperlink" Target="https://cordis.europa.eu/project/rcn/94279_fr.html" TargetMode="External"/><Relationship Id="rId17" Type="http://schemas.openxmlformats.org/officeDocument/2006/relationships/hyperlink" Target="https://www.focus.de/wissen/technik/mobilitaet/antriebe/tid-23218/wunderkraftstoff-schadstofffrei-in-die-zukunft_aid_652598.html" TargetMode="External"/><Relationship Id="rId16" Type="http://schemas.openxmlformats.org/officeDocument/2006/relationships/hyperlink" Target="https://www.brightgreenhydrogen.org.uk/levenmouth-community-energy-project/" TargetMode="External"/><Relationship Id="rId1340" Type="http://schemas.openxmlformats.org/officeDocument/2006/relationships/hyperlink" Target="https://www.forh2e.com/cs/projekty-a-reference/vodikovy-strategicky-projekt-h.html" TargetMode="External"/><Relationship Id="rId19" Type="http://schemas.openxmlformats.org/officeDocument/2006/relationships/hyperlink" Target="https://fuelcellsworks.com/news/prefecture-firms-tie-up-on-solar-derived-hydrogen" TargetMode="External"/><Relationship Id="rId510" Type="http://schemas.openxmlformats.org/officeDocument/2006/relationships/hyperlink" Target="https://research.csiro.au/hyresource/sun-metals-hydrogen-queensland-sunhq-project/" TargetMode="External"/><Relationship Id="rId752" Type="http://schemas.openxmlformats.org/officeDocument/2006/relationships/hyperlink" Target="https://www.argusmedia.com/en/news/2337598-sk-es-plug-power-aim-to-grow-h2-business-supply-asia" TargetMode="External"/><Relationship Id="rId994" Type="http://schemas.openxmlformats.org/officeDocument/2006/relationships/hyperlink" Target="http://daystarenergy.com.au/" TargetMode="External"/><Relationship Id="rId1341" Type="http://schemas.openxmlformats.org/officeDocument/2006/relationships/hyperlink" Target="https://direct.argusmedia.com/newsandanalysis/Article/2558006" TargetMode="External"/><Relationship Id="rId18" Type="http://schemas.openxmlformats.org/officeDocument/2006/relationships/hyperlink" Target="http://www.electropowersystems.com/portfolio-item/1mwh-with-h2-microgrid-in-the-atacama-desert-chile/" TargetMode="External"/><Relationship Id="rId751" Type="http://schemas.openxmlformats.org/officeDocument/2006/relationships/hyperlink" Target="https://fuelcellsworks.com/news/line-hydrogen-announces-first-commercial-scale-green-hydrogen-plant-in-tasmania/" TargetMode="External"/><Relationship Id="rId993" Type="http://schemas.openxmlformats.org/officeDocument/2006/relationships/hyperlink" Target="https://www.hydrogeninsight.com/industrial/pioneer-heineken-and-siemens-launch-joint-venture-to-decarbonise-eu-fertiliser-production-with-green-hydrogen/2-1-1479482" TargetMode="External"/><Relationship Id="rId1100" Type="http://schemas.openxmlformats.org/officeDocument/2006/relationships/hyperlink" Target="https://direct.argusmedia.com/newsandanalysis/Article/2477036" TargetMode="External"/><Relationship Id="rId1342" Type="http://schemas.openxmlformats.org/officeDocument/2006/relationships/hyperlink" Target="https://www.h2-view.com/story/air-liquide-inaugurates-20mw-german-green-hydrogen-plant-for-pipeline-supply/2114010.article/" TargetMode="External"/><Relationship Id="rId750" Type="http://schemas.openxmlformats.org/officeDocument/2006/relationships/hyperlink" Target="https://www.hifglobal.com/" TargetMode="External"/><Relationship Id="rId992" Type="http://schemas.openxmlformats.org/officeDocument/2006/relationships/hyperlink" Target="https://renewablesnow.com/news/hynfra-plans-200000-tonnes-green-ammonia-plant-in-jordan-827164/" TargetMode="External"/><Relationship Id="rId1101" Type="http://schemas.openxmlformats.org/officeDocument/2006/relationships/hyperlink" Target="https://direct.argusmedia.com/newsandanalysis/Article/2486635" TargetMode="External"/><Relationship Id="rId1343" Type="http://schemas.openxmlformats.org/officeDocument/2006/relationships/hyperlink" Target="https://direct.argusmedia.com/newsandanalysis/Article/2559167" TargetMode="External"/><Relationship Id="rId991" Type="http://schemas.openxmlformats.org/officeDocument/2006/relationships/hyperlink" Target="https://fuelcellsworks.com/news/lhyfe-and-duisport-plan-first-green-hydrogen-production-plant-in-duisburg-harbor-the-largest-inland-port-in-the-world/?mc_cid=cb7d9f94fc&amp;mc_eid=da4624d261" TargetMode="External"/><Relationship Id="rId1102" Type="http://schemas.openxmlformats.org/officeDocument/2006/relationships/hyperlink" Target="https://direct.argusmedia.com/newsandanalysis/Article/2489603" TargetMode="External"/><Relationship Id="rId1344" Type="http://schemas.openxmlformats.org/officeDocument/2006/relationships/hyperlink" Target="https://direct.argusmedia.com/newsandanalysis/Article/2543748" TargetMode="External"/><Relationship Id="rId84" Type="http://schemas.openxmlformats.org/officeDocument/2006/relationships/hyperlink" Target="https://www.powerengineeringint.com/2020/01/28/hyport-ostend-green-hydrogen-to-advance-belgian-energy-transition/" TargetMode="External"/><Relationship Id="rId83" Type="http://schemas.openxmlformats.org/officeDocument/2006/relationships/hyperlink" Target="https://hydeploy.co.uk/" TargetMode="External"/><Relationship Id="rId86" Type="http://schemas.openxmlformats.org/officeDocument/2006/relationships/hyperlink" Target="http://www.renewablessa.sa.gov.au/topic/hydrogen/hydrogen-projects" TargetMode="External"/><Relationship Id="rId85" Type="http://schemas.openxmlformats.org/officeDocument/2006/relationships/hyperlink" Target="https://press.siemens.com/global/en/pressrelease/siemens-delivers-pem-electrolyzer-salzgitter-ag" TargetMode="External"/><Relationship Id="rId88" Type="http://schemas.openxmlformats.org/officeDocument/2006/relationships/hyperlink" Target="https://hydrogenenergysupplychain.com/" TargetMode="External"/><Relationship Id="rId87" Type="http://schemas.openxmlformats.org/officeDocument/2006/relationships/hyperlink" Target="http://www.renewablessa.sa.gov.au/topic/hydrogen/hydrogen-projects/hydrogen-park-south-australia" TargetMode="External"/><Relationship Id="rId89" Type="http://schemas.openxmlformats.org/officeDocument/2006/relationships/hyperlink" Target="https://www.green-industrial-hydrogen.com/" TargetMode="External"/><Relationship Id="rId709" Type="http://schemas.openxmlformats.org/officeDocument/2006/relationships/hyperlink" Target="https://hammarshillenergy.co.uk/type-news/media-release/" TargetMode="External"/><Relationship Id="rId708" Type="http://schemas.openxmlformats.org/officeDocument/2006/relationships/hyperlink" Target="https://www.argusmedia.com/en/news/2254679-uniper-targets-green-hydrogen-production-in-uk" TargetMode="External"/><Relationship Id="rId707" Type="http://schemas.openxmlformats.org/officeDocument/2006/relationships/hyperlink" Target="https://www.ofgem.gov.uk/sites/default/files/docs/2019/04/nic_isp_vattenfall_ng.pdf" TargetMode="External"/><Relationship Id="rId949" Type="http://schemas.openxmlformats.org/officeDocument/2006/relationships/hyperlink" Target="https://renewablesnow.com/news/meld-energy-plans-100-mw-hydrogen-project-at-uk-chemicals-park-825189/" TargetMode="External"/><Relationship Id="rId706" Type="http://schemas.openxmlformats.org/officeDocument/2006/relationships/hyperlink" Target="https://www.metropole-dijon.fr/Actualites/Production-d-hydrogene2" TargetMode="External"/><Relationship Id="rId948" Type="http://schemas.openxmlformats.org/officeDocument/2006/relationships/hyperlink" Target="https://www.acciona.com/updates/news/acciona-energia-plug-power-present-valle-h2v-navarra-project-government-navarra/?_adin=02021864894" TargetMode="External"/><Relationship Id="rId80" Type="http://schemas.openxmlformats.org/officeDocument/2006/relationships/hyperlink" Target="https://www.refiningandpetrochemicalsme.com/products-services/26715-air-liquide-signs-long-term-deal-to-provide-hydrogen-to-pilipinas-shells-tabangao-refinery" TargetMode="External"/><Relationship Id="rId82" Type="http://schemas.openxmlformats.org/officeDocument/2006/relationships/hyperlink" Target="https://www.bloomberg.com/news/articles/2019-10-08/siemens-backs-mega-green-power-hydrogen-project-in-australia" TargetMode="External"/><Relationship Id="rId81" Type="http://schemas.openxmlformats.org/officeDocument/2006/relationships/hyperlink" Target="http://www.carboncapturejournal.com/ViewNews.aspx?NewsID=4220" TargetMode="External"/><Relationship Id="rId701" Type="http://schemas.openxmlformats.org/officeDocument/2006/relationships/hyperlink" Target="https://libertysteelgroup.com/news/liberty-develop-hydrogen-steel-making-plant/" TargetMode="External"/><Relationship Id="rId943" Type="http://schemas.openxmlformats.org/officeDocument/2006/relationships/hyperlink" Target="https://hydrogen-central.com/infinity-power-conjuncta-develop-green-hydrogen-project-mauritania/" TargetMode="External"/><Relationship Id="rId700" Type="http://schemas.openxmlformats.org/officeDocument/2006/relationships/hyperlink" Target="https://www.bloomberg.com/press-releases/2021-07-08/avangrid-poised-to-build-green-hydrogen-future" TargetMode="External"/><Relationship Id="rId942" Type="http://schemas.openxmlformats.org/officeDocument/2006/relationships/hyperlink" Target="https://energynews.biz/mytilineos-invests-in-rosedale-green-hydrogen-project/" TargetMode="External"/><Relationship Id="rId941" Type="http://schemas.openxmlformats.org/officeDocument/2006/relationships/hyperlink" Target="https://www.enerdata.net/publications/daily-energy-news/statera-plans-3-gw-hydrogen-plant-scotland-uk.html" TargetMode="External"/><Relationship Id="rId940" Type="http://schemas.openxmlformats.org/officeDocument/2006/relationships/hyperlink" Target="https://www.argusmedia.com/en/news/2422050-scottish-300mw-h2-plant-to-decarbonise-whisky-industry" TargetMode="External"/><Relationship Id="rId705" Type="http://schemas.openxmlformats.org/officeDocument/2006/relationships/hyperlink" Target="https://mcphy.com/en/achievements/hydrogen-mobility-en/dijon-metropole-smart-energhy-dmse/?cn-reloaded=1" TargetMode="External"/><Relationship Id="rId947" Type="http://schemas.openxmlformats.org/officeDocument/2006/relationships/hyperlink" Target="https://www.energate-messenger.com/news/210798/companies-pool-investments-of-1-3-billion-euros-for-green-hydrogen" TargetMode="External"/><Relationship Id="rId704" Type="http://schemas.openxmlformats.org/officeDocument/2006/relationships/hyperlink" Target="https://totalenergies.com/media/news/press-releases/total-and-engie-to-develop-france-s-largest-site-of-green-hydrogen" TargetMode="External"/><Relationship Id="rId946" Type="http://schemas.openxmlformats.org/officeDocument/2006/relationships/hyperlink" Target="https://www.energate-messenger.com/news/232487/ewe-becomes-hydrogen-supplier-for-salzgitter" TargetMode="External"/><Relationship Id="rId703" Type="http://schemas.openxmlformats.org/officeDocument/2006/relationships/hyperlink" Target="https://hydrogen-central.com/gh2-port-bordeaux-largest-hydrogen-production-unit-project/" TargetMode="External"/><Relationship Id="rId945" Type="http://schemas.openxmlformats.org/officeDocument/2006/relationships/hyperlink" Target="https://hydrogen-central.com/provaris-pleased-collaborate-norwegian-hydrogen-developing-norway-largest-production-facility-for-green-hydrogen/" TargetMode="External"/><Relationship Id="rId702" Type="http://schemas.openxmlformats.org/officeDocument/2006/relationships/hyperlink" Target="https://gh2.eu/news/gh2-increases-the-capacity-of-its-green-hydrogen-based-efuel-production-plant-project-in-the-port-of" TargetMode="External"/><Relationship Id="rId944" Type="http://schemas.openxmlformats.org/officeDocument/2006/relationships/hyperlink" Target="https://www.argusmedia.com/pt/news/2457061-enit-eyes-300mw-renewable-hydrogen-plant-in-brazil?backToResults=true" TargetMode="External"/><Relationship Id="rId73" Type="http://schemas.openxmlformats.org/officeDocument/2006/relationships/hyperlink" Target="https://www.toshiba.co.jp/about/press/2016_07/pr1401.htm" TargetMode="External"/><Relationship Id="rId72" Type="http://schemas.openxmlformats.org/officeDocument/2006/relationships/hyperlink" Target="https://www.toshiba.co.jp/about/press/2015_04/pr2001.htm" TargetMode="External"/><Relationship Id="rId75" Type="http://schemas.openxmlformats.org/officeDocument/2006/relationships/hyperlink" Target="https://www.equinor.com/en/news/evaluating-conversion-natural-gas-hydrogen.html" TargetMode="External"/><Relationship Id="rId74" Type="http://schemas.openxmlformats.org/officeDocument/2006/relationships/hyperlink" Target="https://www.toshiba.co.jp/about/press/2016_03/pr2403.htm" TargetMode="External"/><Relationship Id="rId77" Type="http://schemas.openxmlformats.org/officeDocument/2006/relationships/hyperlink" Target="https://www.norled.no/en/news/partners-receive-pilot-e-support-to-develop-liquid-hydrogen-supply-chain-for-maritime-applications-in-norway/" TargetMode="External"/><Relationship Id="rId76" Type="http://schemas.openxmlformats.org/officeDocument/2006/relationships/hyperlink" Target="https://www.open-grid-europe.com/cps/rde/oge-internet/hs.xsl/H2morrow-3571.htm" TargetMode="External"/><Relationship Id="rId79" Type="http://schemas.openxmlformats.org/officeDocument/2006/relationships/hyperlink" Target="https://bioenergyinternational.com/storage-logistics/everfuel-and-shell-enter-into-strategic-collaboration-on-a-large-scale-hydrogen-plant" TargetMode="External"/><Relationship Id="rId78" Type="http://schemas.openxmlformats.org/officeDocument/2006/relationships/hyperlink" Target="https://arena.gov.au/news/renewable-hydrogen-could-power-moranbah-ammonia-facility/" TargetMode="External"/><Relationship Id="rId939" Type="http://schemas.openxmlformats.org/officeDocument/2006/relationships/hyperlink" Target="https://direct.argusmedia.com/newsandanalysis/Article/2404840" TargetMode="External"/><Relationship Id="rId938" Type="http://schemas.openxmlformats.org/officeDocument/2006/relationships/hyperlink" Target="https://direct.argusmedia.com/newsandanalysis/Article/2412080" TargetMode="External"/><Relationship Id="rId937" Type="http://schemas.openxmlformats.org/officeDocument/2006/relationships/hyperlink" Target="https://direct.argusmedia.com/newsandanalysis/Article/2395369" TargetMode="External"/><Relationship Id="rId71" Type="http://schemas.openxmlformats.org/officeDocument/2006/relationships/hyperlink" Target="https://www.japanccs.com/en/" TargetMode="External"/><Relationship Id="rId70" Type="http://schemas.openxmlformats.org/officeDocument/2006/relationships/hyperlink" Target="https://www.toyota-tsusho.com/english/press/detail/170929_004155.html" TargetMode="External"/><Relationship Id="rId932" Type="http://schemas.openxmlformats.org/officeDocument/2006/relationships/hyperlink" Target="https://energynews.biz/hanyang-and-linde-to-create-blue-hydrogen-production-cluster-in-jeonnam/" TargetMode="External"/><Relationship Id="rId931" Type="http://schemas.openxmlformats.org/officeDocument/2006/relationships/hyperlink" Target="https://www.linkedin.com/feed/update/urn:li:activity:7078990234830471168/" TargetMode="External"/><Relationship Id="rId930" Type="http://schemas.openxmlformats.org/officeDocument/2006/relationships/hyperlink" Target="https://fr.lhyfe.com/presse/lhyfe-va-developper-une-usine-de-200-mw-a-delfzijl-pays-bas/" TargetMode="External"/><Relationship Id="rId936" Type="http://schemas.openxmlformats.org/officeDocument/2006/relationships/hyperlink" Target="https://direct.argusmedia.com/newsandanalysis/Article/2397690" TargetMode="External"/><Relationship Id="rId935" Type="http://schemas.openxmlformats.org/officeDocument/2006/relationships/hyperlink" Target="https://www.linde.com/news-media/press-releases/2023/linde-to-increase-green-hydrogen-production-in-california" TargetMode="External"/><Relationship Id="rId934" Type="http://schemas.openxmlformats.org/officeDocument/2006/relationships/hyperlink" Target="https://www.linde.com/news-media/press-releases/2023/linde-to-supply-green-hydrogen-to-evonik-in-singapore" TargetMode="External"/><Relationship Id="rId933" Type="http://schemas.openxmlformats.org/officeDocument/2006/relationships/hyperlink" Target="https://www.hydrogeninsight.com/production/linde-to-invest-1-8bn-in-new-blue-hydrogen-plant-in-texas-with-start-up-in-2025/2-1-1399822" TargetMode="External"/><Relationship Id="rId62" Type="http://schemas.openxmlformats.org/officeDocument/2006/relationships/hyperlink" Target="https://www.deltalinqs.nl/h-vision-en" TargetMode="External"/><Relationship Id="rId1312" Type="http://schemas.openxmlformats.org/officeDocument/2006/relationships/hyperlink" Target="https://www.topsoe.com/press-releases/worlds-first-of-its-kind-green-ammonia-plant-inaugurated-by-skovgaard-energy-vestas-and-topsoe" TargetMode="External"/><Relationship Id="rId61" Type="http://schemas.openxmlformats.org/officeDocument/2006/relationships/hyperlink" Target="https://www.nouryon.com/news-and-events/news-overview/2019/bp-nouryon-and-port-of-rotterdam-partner-on-green-hydrogen-study/" TargetMode="External"/><Relationship Id="rId1313" Type="http://schemas.openxmlformats.org/officeDocument/2006/relationships/hyperlink" Target="https://direct.argusmedia.com/newsandanalysis/article/2601930" TargetMode="External"/><Relationship Id="rId64" Type="http://schemas.openxmlformats.org/officeDocument/2006/relationships/hyperlink" Target="https://nelhydrogen.com/press-release/nel-asa-awarded-multi-billion-nok-electrolyzer-and-fueling-station-contract-by-nikola/" TargetMode="External"/><Relationship Id="rId1314" Type="http://schemas.openxmlformats.org/officeDocument/2006/relationships/hyperlink" Target="https://fuella.no/projects/project-korgen/" TargetMode="External"/><Relationship Id="rId63" Type="http://schemas.openxmlformats.org/officeDocument/2006/relationships/hyperlink" Target="https://www.northerngasnetworks.co.uk/event/h21-launches-national/" TargetMode="External"/><Relationship Id="rId1315" Type="http://schemas.openxmlformats.org/officeDocument/2006/relationships/hyperlink" Target="https://www.greennorth.energy/en/project-development/" TargetMode="External"/><Relationship Id="rId66" Type="http://schemas.openxmlformats.org/officeDocument/2006/relationships/hyperlink" Target="https://skynrg.com/press-releases/klm-skynrg-and-shv-energy-announce-project-first-european-plant-for-sustainable-aviation-fuel/" TargetMode="External"/><Relationship Id="rId1316" Type="http://schemas.openxmlformats.org/officeDocument/2006/relationships/hyperlink" Target="https://h2cluster.fi/projects/" TargetMode="External"/><Relationship Id="rId65" Type="http://schemas.openxmlformats.org/officeDocument/2006/relationships/hyperlink" Target="https://www.lakecharlesmethanol.com/" TargetMode="External"/><Relationship Id="rId1317" Type="http://schemas.openxmlformats.org/officeDocument/2006/relationships/hyperlink" Target="https://www.greennorth.energy/en/news/green-north-energy-to-replicate-its-business-finland-funded-hydrogen-plant-concept-in-pori-and-kemi-aiming-for-finlands-self-sufficiency-in-ammonia-production/" TargetMode="External"/><Relationship Id="rId68" Type="http://schemas.openxmlformats.org/officeDocument/2006/relationships/hyperlink" Target="https://www.drax.com/press_release/energy-companies-announce-new-zero-carbon-uk-partnership-ccus-hydrogen-beccs-humber-equinor-national-grid/" TargetMode="External"/><Relationship Id="rId1318" Type="http://schemas.openxmlformats.org/officeDocument/2006/relationships/hyperlink" Target="https://greenh.no/en/a-new-hydrogen-plant-at-langstranda-is-on-schedule/" TargetMode="External"/><Relationship Id="rId67" Type="http://schemas.openxmlformats.org/officeDocument/2006/relationships/hyperlink" Target="https://www.e-bridge.com/wp-content/uploads/2019/04/reNEWS_April-2019.pdf" TargetMode="External"/><Relationship Id="rId1319" Type="http://schemas.openxmlformats.org/officeDocument/2006/relationships/hyperlink" Target="https://kommunikasjon.ntb.no/pressemelding/18213794/stor-milepael-for-hydrogen-i-sandnessjoen-nettreservasjonen-er-pa-plass?publisherId=17848591&amp;lang=no" TargetMode="External"/><Relationship Id="rId729" Type="http://schemas.openxmlformats.org/officeDocument/2006/relationships/hyperlink" Target="https://news.cision.com/nel-asa/r/nel-asa--receives-purchase-order-for-a-containerized-pem-water-electrolyser-in-australia,c3600097" TargetMode="External"/><Relationship Id="rId728" Type="http://schemas.openxmlformats.org/officeDocument/2006/relationships/hyperlink" Target="https://www.yara.com/news-and-media/news/archive/news-2022/yara-acme-and-scatec-sign-term-sheet-for-sale-of-green-ammonia-from-oman/" TargetMode="External"/><Relationship Id="rId60" Type="http://schemas.openxmlformats.org/officeDocument/2006/relationships/hyperlink" Target="https://thewest.com.au/business/energy/yara-aims-to-move-wa-into-green-hydrogen-ng-b881106808z" TargetMode="External"/><Relationship Id="rId723" Type="http://schemas.openxmlformats.org/officeDocument/2006/relationships/hyperlink" Target="https://thyssenkrupp-nucera.com/2022/07/26/unigel-installs-the-first-industrial-scale-green-hydrogen-production-site-in-brazil-using-thyssenkrupp-nucera-technology/" TargetMode="External"/><Relationship Id="rId965" Type="http://schemas.openxmlformats.org/officeDocument/2006/relationships/hyperlink" Target="https://hydrogen-central.com/hazer-advances-collaboration-engie-hazer-facility-france-hydrogen-production/" TargetMode="External"/><Relationship Id="rId722" Type="http://schemas.openxmlformats.org/officeDocument/2006/relationships/hyperlink" Target="https://www.unigel.com.br/unigel-fecha-contrato-com-a-thyssenkrupp-nucera-e-investe-us-120-milhoes-na-primeira-fabrica-de-hidrogenio-verde-do-brasil/" TargetMode="External"/><Relationship Id="rId964" Type="http://schemas.openxmlformats.org/officeDocument/2006/relationships/hyperlink" Target="https://fuelcellsworks.com/news/glenfarne-energy-transition-to-collaborate-with-samsung-engineering-on-green-hydrogen-and-ammonia-initiatives-in-chile/" TargetMode="External"/><Relationship Id="rId721" Type="http://schemas.openxmlformats.org/officeDocument/2006/relationships/hyperlink" Target="https://twitter.com/H2GreenSteel/status/1548942476026822656?s=20&amp;t=gLuxq_kzs2E6wDNArSo1YQ" TargetMode="External"/><Relationship Id="rId963" Type="http://schemas.openxmlformats.org/officeDocument/2006/relationships/hyperlink" Target="https://www.doinghydrogen.com/partner/enertrag-ag/" TargetMode="External"/><Relationship Id="rId720" Type="http://schemas.openxmlformats.org/officeDocument/2006/relationships/hyperlink" Target="https://ec.europa.eu/clima/document/75e0ade9-12f3-435a-8875-f5afd9b92ed8_en" TargetMode="External"/><Relationship Id="rId962" Type="http://schemas.openxmlformats.org/officeDocument/2006/relationships/hyperlink" Target="https://energynews.biz/power2x-and-soto-solar-to-build-1-2-gw-pv-and-green-hydrogen-plant-in-spain/" TargetMode="External"/><Relationship Id="rId727" Type="http://schemas.openxmlformats.org/officeDocument/2006/relationships/hyperlink" Target="https://www.norsk-e-fuel.com/articles/coming-soon-green-jet-fuel-from-mosjoen" TargetMode="External"/><Relationship Id="rId969" Type="http://schemas.openxmlformats.org/officeDocument/2006/relationships/hyperlink" Target="https://direct.argusmedia.com/newsandanalysis/Article/2451404" TargetMode="External"/><Relationship Id="rId726" Type="http://schemas.openxmlformats.org/officeDocument/2006/relationships/hyperlink" Target="https://www.volth2.com/persbericht-delfzijl-2-juni-2022/" TargetMode="External"/><Relationship Id="rId968" Type="http://schemas.openxmlformats.org/officeDocument/2006/relationships/hyperlink" Target="https://direct.argusmedia.com/newsandanalysis/Article/2456404" TargetMode="External"/><Relationship Id="rId725" Type="http://schemas.openxmlformats.org/officeDocument/2006/relationships/hyperlink" Target="https://gravithy.eu/" TargetMode="External"/><Relationship Id="rId967" Type="http://schemas.openxmlformats.org/officeDocument/2006/relationships/hyperlink" Target="https://direct.argusmedia.com/newsandanalysis/Article/2439283" TargetMode="External"/><Relationship Id="rId724" Type="http://schemas.openxmlformats.org/officeDocument/2006/relationships/hyperlink" Target="https://h2lac.org/h2lac-review/peru-tendra-su-primer-proyecto-de-hidrogeno-verde-con-energia-solar-y-eolica/" TargetMode="External"/><Relationship Id="rId966" Type="http://schemas.openxmlformats.org/officeDocument/2006/relationships/hyperlink" Target="https://direct.argusmedia.com/newsandanalysis/Article/2453115" TargetMode="External"/><Relationship Id="rId69" Type="http://schemas.openxmlformats.org/officeDocument/2006/relationships/hyperlink" Target="https://www.wvresc.com/" TargetMode="External"/><Relationship Id="rId961" Type="http://schemas.openxmlformats.org/officeDocument/2006/relationships/hyperlink" Target="https://direct.argusmedia.com/newsandanalysis/Article/2442717" TargetMode="External"/><Relationship Id="rId960" Type="http://schemas.openxmlformats.org/officeDocument/2006/relationships/hyperlink" Target="https://fortescue.com/what-we-do/our-projects/holmaneset" TargetMode="External"/><Relationship Id="rId1310" Type="http://schemas.openxmlformats.org/officeDocument/2006/relationships/hyperlink" Target="https://www.egypttoday.com/Article/3/130746/SK-Ecoplant-CSCEC-cooperate-to-build-2B-green-hydrogen-project" TargetMode="External"/><Relationship Id="rId1311" Type="http://schemas.openxmlformats.org/officeDocument/2006/relationships/hyperlink" Target="https://www.shell.com/news-and-insights/newsroom/news-and-media-releases/2024/shell-to-build-carbon-capture-and-storage-projects-in-canada.html" TargetMode="External"/><Relationship Id="rId51" Type="http://schemas.openxmlformats.org/officeDocument/2006/relationships/hyperlink" Target="https://www.businesswire.com/news/home/20161220005202/en/Proton-OnSite-Awarded-13-Megawatt-Electrolyzers" TargetMode="External"/><Relationship Id="rId1301" Type="http://schemas.openxmlformats.org/officeDocument/2006/relationships/hyperlink" Target="https://epbr.com.br/white-martins-anuncia-segunda-planta-de-hidrogenio-verde-para-atender-clientes-do-sudeste/" TargetMode="External"/><Relationship Id="rId50" Type="http://schemas.openxmlformats.org/officeDocument/2006/relationships/hyperlink" Target="https://www.businesswire.com/news/home/20161220005202/en/Proton-OnSite-Awarded-13-Megawatt-Electrolyzers" TargetMode="External"/><Relationship Id="rId1302" Type="http://schemas.openxmlformats.org/officeDocument/2006/relationships/hyperlink" Target="https://epbr.com.br/voltalia-assina-pre-contrato-para-producao-de-hidrogenio-verde-no-ceara/" TargetMode="External"/><Relationship Id="rId53" Type="http://schemas.openxmlformats.org/officeDocument/2006/relationships/hyperlink" Target="https://www.hamburg-news.hamburg/en/renewable-energy/hydrogen-becoming-technology-future/" TargetMode="External"/><Relationship Id="rId1303" Type="http://schemas.openxmlformats.org/officeDocument/2006/relationships/hyperlink" Target="https://jc.ne10.uol.com.br/colunas/jc-negocios/2024/04/13/european-energy-aposta-na-producao-do-e-metanol-em-pernambuco-indo-alem-da-producao-do-hidrogenio-verde.htmlv" TargetMode="External"/><Relationship Id="rId52" Type="http://schemas.openxmlformats.org/officeDocument/2006/relationships/hyperlink" Target="http://www.hydrogenics.com/2016/12/29/hydrogenics-chosen-for-fuel-cell-award-in-china/" TargetMode="External"/><Relationship Id="rId1304" Type="http://schemas.openxmlformats.org/officeDocument/2006/relationships/hyperlink" Target="https://portalbenews.com.br/frv-vai-investir-r-27-bilhoes-para-produzir-hidrogenio-verde-no-ceara/" TargetMode="External"/><Relationship Id="rId55" Type="http://schemas.openxmlformats.org/officeDocument/2006/relationships/hyperlink" Target="https://www.gasworld.com/toyota-to-build-74m-hydrogen-hub/2016842.article" TargetMode="External"/><Relationship Id="rId1305" Type="http://schemas.openxmlformats.org/officeDocument/2006/relationships/hyperlink" Target="https://projetoh2.com.br/brasil-qair-recebeu-aprovacao-em-projeto-de-h2v-no-porto-de-suape/" TargetMode="External"/><Relationship Id="rId54" Type="http://schemas.openxmlformats.org/officeDocument/2006/relationships/hyperlink" Target="https://www.postauto.ch/en/news/five-years-hydrogen-powered-travel" TargetMode="External"/><Relationship Id="rId1306" Type="http://schemas.openxmlformats.org/officeDocument/2006/relationships/hyperlink" Target="https://petronoticias.com.br/eletronuclear-vai-usar-as-usinas-nucleares-para-produzir-pelo-menos-100-toneladas-de-hidrogenio-verde-por-ano/" TargetMode="External"/><Relationship Id="rId57" Type="http://schemas.openxmlformats.org/officeDocument/2006/relationships/hyperlink" Target="https://www.energymatters.com.au/renewable-news/hydrogen-from-solar-power/" TargetMode="External"/><Relationship Id="rId1307" Type="http://schemas.openxmlformats.org/officeDocument/2006/relationships/hyperlink" Target="https://coppe.ufrj.br/planeta-coppe/coppe-inaugura-planta-de-producao-de-hidrogenio-verde/" TargetMode="External"/><Relationship Id="rId56" Type="http://schemas.openxmlformats.org/officeDocument/2006/relationships/hyperlink" Target="https://www.sharecast.com/news/aim-bulletin/itm-power-sells-electrolyser-to-toyota-australia--3798013.html" TargetMode="External"/><Relationship Id="rId1308" Type="http://schemas.openxmlformats.org/officeDocument/2006/relationships/hyperlink" Target="https://www.ceara.gov.br/2024/06/21/semace-preside-audiencia-publica-sobre-eia-rima-de-producao-de-hidrogenio-verde-no-pecem/" TargetMode="External"/><Relationship Id="rId1309" Type="http://schemas.openxmlformats.org/officeDocument/2006/relationships/hyperlink" Target="https://www.brasil.qair.energy/blog/hydrogene-vert/" TargetMode="External"/><Relationship Id="rId719" Type="http://schemas.openxmlformats.org/officeDocument/2006/relationships/hyperlink" Target="https://www.salzgitter-ag.com/en/newsroom/press-releases/details/green-light-for-green-steel-19904.html" TargetMode="External"/><Relationship Id="rId718" Type="http://schemas.openxmlformats.org/officeDocument/2006/relationships/hyperlink" Target="https://www.ammoniaenergy.org/articles/maire-tecnimont-plans-million-tonne-per-year-blue-ammonia-plant-in-the-us/" TargetMode="External"/><Relationship Id="rId717" Type="http://schemas.openxmlformats.org/officeDocument/2006/relationships/hyperlink" Target="https://environmental.pasenategop.com/wp-content/uploads/sites/34/2021/03/03.10.2021-Babb-Perry-KeyState-Senate-Energy-Comm.-Hearing-3.10.21.pdf" TargetMode="External"/><Relationship Id="rId959" Type="http://schemas.openxmlformats.org/officeDocument/2006/relationships/hyperlink" Target="https://direct.argusmedia.com/newsandanalysis/Article/2431937" TargetMode="External"/><Relationship Id="rId712" Type="http://schemas.openxmlformats.org/officeDocument/2006/relationships/hyperlink" Target="https://hh2e.de/en/news/hh2e-and-met-group-establish-a-joint-project-company-to-develop-one-of-europes-largest-green-hydrogen-production-plants-in-lubmin-germany/" TargetMode="External"/><Relationship Id="rId954" Type="http://schemas.openxmlformats.org/officeDocument/2006/relationships/hyperlink" Target="https://www.maritime-executive.com/article/maersk-invests-in-green-methanol-production-in-south-dakota" TargetMode="External"/><Relationship Id="rId711" Type="http://schemas.openxmlformats.org/officeDocument/2006/relationships/hyperlink" Target="https://economictimes.indiatimes.com/industry/renewables/gail-to-set-up-green-hydrogen-plant-at-guna-in-mp/articleshow/91517347.cms" TargetMode="External"/><Relationship Id="rId953" Type="http://schemas.openxmlformats.org/officeDocument/2006/relationships/hyperlink" Target="https://www.reuters.com/business/energy/sinopecs-first-green-hydrogen-plant-xinjiang-starts-production-xinhua-2023-06-30/" TargetMode="External"/><Relationship Id="rId710" Type="http://schemas.openxmlformats.org/officeDocument/2006/relationships/hyperlink" Target="https://press.siemens-energy.com/eu/en/pressrelease/siemens-energy-and-messer-group-cooperate-hydrogen-electrolysis-integrated-hub-concept" TargetMode="External"/><Relationship Id="rId952" Type="http://schemas.openxmlformats.org/officeDocument/2006/relationships/hyperlink" Target="https://www.neste.com/releases-and-news/sustainability/neste-moves-forward-its-renewable-hydrogen-project-porvoo-finland" TargetMode="External"/><Relationship Id="rId951" Type="http://schemas.openxmlformats.org/officeDocument/2006/relationships/hyperlink" Target="https://renewablesnow.com/news/ric-energy-unveils-green-h2-project-it-is-developing-alone-in-spain-782794/" TargetMode="External"/><Relationship Id="rId716" Type="http://schemas.openxmlformats.org/officeDocument/2006/relationships/hyperlink" Target="http://mecc.sinosteel.com/En/news_content.aspx?id=3778" TargetMode="External"/><Relationship Id="rId958" Type="http://schemas.openxmlformats.org/officeDocument/2006/relationships/hyperlink" Target="https://direct.argusmedia.com/newsandanalysis/Article/2425755" TargetMode="External"/><Relationship Id="rId715" Type="http://schemas.openxmlformats.org/officeDocument/2006/relationships/hyperlink" Target="https://www.seetao.com/details/111344.html" TargetMode="External"/><Relationship Id="rId957" Type="http://schemas.openxmlformats.org/officeDocument/2006/relationships/hyperlink" Target="https://direct.argusmedia.com/newsandanalysis/Article/2423789" TargetMode="External"/><Relationship Id="rId714" Type="http://schemas.openxmlformats.org/officeDocument/2006/relationships/hyperlink" Target="https://hydrogen-central.com/h2biscus-project-samsung-lotte-posco-hydrogen-plant-malaysia/" TargetMode="External"/><Relationship Id="rId956" Type="http://schemas.openxmlformats.org/officeDocument/2006/relationships/hyperlink" Target="https://direct.argusmedia.com/newsandanalysis/Article/2421394" TargetMode="External"/><Relationship Id="rId713" Type="http://schemas.openxmlformats.org/officeDocument/2006/relationships/hyperlink" Target="https://www.rystadenergy.com/news/africa-and-europe-set-to-be-the-dynamos-for-the-global-green-hydrogen-economy" TargetMode="External"/><Relationship Id="rId955" Type="http://schemas.openxmlformats.org/officeDocument/2006/relationships/hyperlink" Target="https://direct.argusmedia.com/newsandanalysis/Article/2412656" TargetMode="External"/><Relationship Id="rId59" Type="http://schemas.openxmlformats.org/officeDocument/2006/relationships/hyperlink" Target="https://www.hysyngas.de/" TargetMode="External"/><Relationship Id="rId58" Type="http://schemas.openxmlformats.org/officeDocument/2006/relationships/hyperlink" Target="http://www.renewablessa.sa.gov.au/content/uploads/2019/01/hydrogen-rd-in-sa-report-nov2018.pdf" TargetMode="External"/><Relationship Id="rId950" Type="http://schemas.openxmlformats.org/officeDocument/2006/relationships/hyperlink" Target="https://fuelcellsworks.com/news/sk-eco-plant-partners-with-canadas-world-energy-gh2-in-a-4-5-billion-green-hydrogen-commercialization-project/" TargetMode="External"/><Relationship Id="rId1300" Type="http://schemas.openxmlformats.org/officeDocument/2006/relationships/hyperlink" Target="https://renews.biz/94723/shell-takes-fid-on-100mw-electrolyser/" TargetMode="External"/><Relationship Id="rId590" Type="http://schemas.openxmlformats.org/officeDocument/2006/relationships/hyperlink" Target="http://calumetspecialty.investorroom.com/download/CLMT+-+Corp+Pres+2022.01.04+vFINAL.pdf" TargetMode="External"/><Relationship Id="rId107" Type="http://schemas.openxmlformats.org/officeDocument/2006/relationships/hyperlink" Target="https://energiepark-bad-lauchstaedt.de/" TargetMode="External"/><Relationship Id="rId349" Type="http://schemas.openxmlformats.org/officeDocument/2006/relationships/hyperlink" Target="https://www.rechargenews.com/transition/world-s-first-carbon-negative-hydrogen-project-gets-green-light/2-1-850916" TargetMode="External"/><Relationship Id="rId106" Type="http://schemas.openxmlformats.org/officeDocument/2006/relationships/hyperlink" Target="https://www.entsog.eu/power-green-hydrogen-mallorca" TargetMode="External"/><Relationship Id="rId348" Type="http://schemas.openxmlformats.org/officeDocument/2006/relationships/hyperlink" Target="https://www.reuters.com/article/us-germany-hydrogen-heide/german-oil-refinery-to-build-30-mw-hydrogen-electrolysis-plant-idUSKBN24Z1FO" TargetMode="External"/><Relationship Id="rId105" Type="http://schemas.openxmlformats.org/officeDocument/2006/relationships/hyperlink" Target="https://www.pv-magazine.com/2020/03/02/hydrogen-production-coupled-to-solar-and-storage-to-debut-in-spain/" TargetMode="External"/><Relationship Id="rId347" Type="http://schemas.openxmlformats.org/officeDocument/2006/relationships/hyperlink" Target="https://renews.biz/61966/iberdrola-unveils-green-hydrogen-partnership/" TargetMode="External"/><Relationship Id="rId589" Type="http://schemas.openxmlformats.org/officeDocument/2006/relationships/hyperlink" Target="https://fuelcellsworks.com/news/first-milestone-reached-for-fortescue-future-industries-and-incitec-pivots-green-ammonia-hydrogen-collaboration-in-queensland/?mc_cid=768757ae05&amp;mc_eid=da4624d261" TargetMode="External"/><Relationship Id="rId104" Type="http://schemas.openxmlformats.org/officeDocument/2006/relationships/hyperlink" Target="https://fuelcellsworks.com/news/1-28m-arena-backing-for-agn-to-establish-the-australian-hydrogen-centre/" TargetMode="External"/><Relationship Id="rId346" Type="http://schemas.openxmlformats.org/officeDocument/2006/relationships/hyperlink" Target="https://www.h2-view.com/story/avias-first-hydrogen-station-opens-in-switzerland/" TargetMode="External"/><Relationship Id="rId588" Type="http://schemas.openxmlformats.org/officeDocument/2006/relationships/hyperlink" Target="https://ens.dk/sites/ens.dk/files/ptx/strategy_ptx.pdf" TargetMode="External"/><Relationship Id="rId109" Type="http://schemas.openxmlformats.org/officeDocument/2006/relationships/hyperlink" Target="https://investor.fce.com/press-releases/press-release-details/2023/FuelCell-Energy-and-Toyota-Announce-Completion-of-Worlds-First-Tri-gen-Production-System/default.aspx" TargetMode="External"/><Relationship Id="rId1170" Type="http://schemas.openxmlformats.org/officeDocument/2006/relationships/hyperlink" Target="https://direct.argusmedia.com/newsandanalysis/Article/2504674" TargetMode="External"/><Relationship Id="rId108" Type="http://schemas.openxmlformats.org/officeDocument/2006/relationships/hyperlink" Target="https://static1.squarespace.com/static/5d3f0387728026000121b2a2/t/5d9f24f459c7f056aca5a74f/1570710781671/4.A+Green+Spider+project.pdf" TargetMode="External"/><Relationship Id="rId1171" Type="http://schemas.openxmlformats.org/officeDocument/2006/relationships/hyperlink" Target="https://direct.argusmedia.com/newsandanalysis/Article/2505476" TargetMode="External"/><Relationship Id="rId341" Type="http://schemas.openxmlformats.org/officeDocument/2006/relationships/hyperlink" Target="https://www.obayashi.co.jp/news/detail/news20200709_1.html" TargetMode="External"/><Relationship Id="rId583" Type="http://schemas.openxmlformats.org/officeDocument/2006/relationships/hyperlink" Target="https://www.eleconomista.es/energia/noticias/11594929/02/22/El-fondo-de-Copenhague-lanza-un-megaproyecto-de-hidrogeno-con-Naturgy-Enagas-Fertiberia-y-Vestas.html" TargetMode="External"/><Relationship Id="rId1172" Type="http://schemas.openxmlformats.org/officeDocument/2006/relationships/hyperlink" Target="https://direct.argusmedia.com/newsandanalysis/Article/2503029" TargetMode="External"/><Relationship Id="rId340" Type="http://schemas.openxmlformats.org/officeDocument/2006/relationships/hyperlink" Target="https://www.idag.dk/article/view/726710/fra_ptxide_til_virkelighed_danmarks_forste_emethanolanlaeg_producerer_flydende_el" TargetMode="External"/><Relationship Id="rId582" Type="http://schemas.openxmlformats.org/officeDocument/2006/relationships/hyperlink" Target="https://ec.europa.eu/info/funding-tenders/opportunities/portal/screen/opportunities/topic-details/lc-gd-2-2-2020;callCode=H2020-LC-GD-2020;freeTextSearchKeyword=;matchWholeText=true;typeCodes=1;statusCodes=31094501,31094502,31094503;programmePeriod=null;programCcm2Id=null;programDivisionCode=null;focusAreaCode=null;destination=null;mission=null;geographicalZonesCode=null;programmeDivisionProspect=null;startDateLte=null;startDateGte=null;crossCuttingPriorityCode=null;cpvCode=null;performanceOfDelivery=null;sortQuery=sortStatus;orderBy=asc;onlyTenders=false;topicListKey=callTopicSearchTableState" TargetMode="External"/><Relationship Id="rId1173" Type="http://schemas.openxmlformats.org/officeDocument/2006/relationships/hyperlink" Target="https://www.miningweekly.com/article/hydrogen-plant-buildout-plan-under-way-at-metals-smelter-in-rustenburg-2023-11-01" TargetMode="External"/><Relationship Id="rId581" Type="http://schemas.openxmlformats.org/officeDocument/2006/relationships/hyperlink" Target="https://mcphy.com/en/press-releases/greenh2atlantic-project/?cn-reloaded=1" TargetMode="External"/><Relationship Id="rId1174" Type="http://schemas.openxmlformats.org/officeDocument/2006/relationships/hyperlink" Target="https://energynews.biz/bayotech-unveil-bayogaas-hydrogen-hub-in-missouri/" TargetMode="External"/><Relationship Id="rId580" Type="http://schemas.openxmlformats.org/officeDocument/2006/relationships/hyperlink" Target="https://www.ammoniaenergy.org/articles/trafigura-plans-new-green-export-project-in-south-australia/" TargetMode="External"/><Relationship Id="rId1175" Type="http://schemas.openxmlformats.org/officeDocument/2006/relationships/hyperlink" Target="https://www.renewableenergymagazine.com/hydrogen/first-aem-flex-120-electrolyser-delivered-to-20231103" TargetMode="External"/><Relationship Id="rId103" Type="http://schemas.openxmlformats.org/officeDocument/2006/relationships/hyperlink" Target="https://www.get-h2.de/en/project-lingen/" TargetMode="External"/><Relationship Id="rId345" Type="http://schemas.openxmlformats.org/officeDocument/2006/relationships/hyperlink" Target="https://fuelcellsworks.com/news/mcphy-selected-to-equip-a-new-zero-carbon-hydrogen-station/" TargetMode="External"/><Relationship Id="rId587" Type="http://schemas.openxmlformats.org/officeDocument/2006/relationships/hyperlink" Target="https://phynix-energy.eu/phynix-selecciona-a-duro-felguera-green-tech-para-el-contrato-epcde-su-planta-de-produccion-de-hidrogeno-renovable-vitale-de-10mw/" TargetMode="External"/><Relationship Id="rId1176" Type="http://schemas.openxmlformats.org/officeDocument/2006/relationships/hyperlink" Target="https://www.rwe.com/en/press/rwe-generation/2023-11-02-rwe-receives-funding-commitment-for-generation-plant-in-bedburg/" TargetMode="External"/><Relationship Id="rId102" Type="http://schemas.openxmlformats.org/officeDocument/2006/relationships/hyperlink" Target="https://ramboll.com/media/rgr/carbon-capture-and-e-fuel-production-in-greenland" TargetMode="External"/><Relationship Id="rId344" Type="http://schemas.openxmlformats.org/officeDocument/2006/relationships/hyperlink" Target="https://fuelcellsworks.com/news/enagas-receives-eu-support-for-the-development-of-hydrogen-station-in-madrid/" TargetMode="External"/><Relationship Id="rId586" Type="http://schemas.openxmlformats.org/officeDocument/2006/relationships/hyperlink" Target="https://www.upstreamonline.com/hydrogen/baofeng-energy-brings-worlds-largest-green-hydrogen-project-on-line-in-china/2-1-1161221" TargetMode="External"/><Relationship Id="rId1177" Type="http://schemas.openxmlformats.org/officeDocument/2006/relationships/hyperlink" Target="https://h2v.eu/hydrogen-valleys/h2crete-valley-project" TargetMode="External"/><Relationship Id="rId101" Type="http://schemas.openxmlformats.org/officeDocument/2006/relationships/hyperlink" Target="https://fuelcellsworks.com/news/arcadis-hoogeveen-and-livefree-realize-the-first-hydrogen-based-residential-area-in-the-netherlands/" TargetMode="External"/><Relationship Id="rId343" Type="http://schemas.openxmlformats.org/officeDocument/2006/relationships/hyperlink" Target="https://www.theguardian.com/environment/2020/jul/19/can-a-hydrogen-boom-fuel-a-green-recovery-for-britain" TargetMode="External"/><Relationship Id="rId585" Type="http://schemas.openxmlformats.org/officeDocument/2006/relationships/hyperlink" Target="https://engage.geelongport.com.au/geelonghydrogenhub" TargetMode="External"/><Relationship Id="rId1178" Type="http://schemas.openxmlformats.org/officeDocument/2006/relationships/hyperlink" Target="https://renewablesnow.com/news/eurus-gets-permits-for-20-mw-electrolyser-project-in-the-netherlands-836724/" TargetMode="External"/><Relationship Id="rId100" Type="http://schemas.openxmlformats.org/officeDocument/2006/relationships/hyperlink" Target="https://www.agig.com.au/pioneering-sa-hydrogen-facility" TargetMode="External"/><Relationship Id="rId342" Type="http://schemas.openxmlformats.org/officeDocument/2006/relationships/hyperlink" Target="https://www.ft.com/content/19d3e1ff-748b-4e86-957a-8fe018f64b9b" TargetMode="External"/><Relationship Id="rId584" Type="http://schemas.openxmlformats.org/officeDocument/2006/relationships/hyperlink" Target="https://www.lexlatin.com/noticias/paraguay-planta-hidrogeno-amoniaco-verde-NeoGreen-Hydrogen" TargetMode="External"/><Relationship Id="rId1179" Type="http://schemas.openxmlformats.org/officeDocument/2006/relationships/hyperlink" Target="https://sustainablebiz.ca/deep-sky-to-pilot-equatics-dac--seawater-tech-in-quebec-facility" TargetMode="External"/><Relationship Id="rId1169" Type="http://schemas.openxmlformats.org/officeDocument/2006/relationships/hyperlink" Target="https://direct.argusmedia.com/newsandanalysis/Article/2504545" TargetMode="External"/><Relationship Id="rId338" Type="http://schemas.openxmlformats.org/officeDocument/2006/relationships/hyperlink" Target="https://www.electrive.com/2020/06/17/barcelona-releases-tender-for-8-hydrogen-buses/" TargetMode="External"/><Relationship Id="rId337" Type="http://schemas.openxmlformats.org/officeDocument/2006/relationships/hyperlink" Target="https://newsroom.neom.com/air-products-acwa-power-and-neom-sign-agreement-for-5-billion-production-facility-in-neom-powered-by-renewable-energy-for-production-and-export-of-green-hydrogen-to-global-markets-321553" TargetMode="External"/><Relationship Id="rId579" Type="http://schemas.openxmlformats.org/officeDocument/2006/relationships/hyperlink" Target="https://www.spglobal.com/platts/en/market-insights/podcasts/oil/012722-good-bad-ugly-asian-oil-markets-2022-gasoline-gasoil-jet-fuel" TargetMode="External"/><Relationship Id="rId336" Type="http://schemas.openxmlformats.org/officeDocument/2006/relationships/hyperlink" Target="https://www.airliquide.com/united-states-america/air-liquide-committed-producing-renewable-hydrogen-west-coast-mobility-market" TargetMode="External"/><Relationship Id="rId578" Type="http://schemas.openxmlformats.org/officeDocument/2006/relationships/hyperlink" Target="https://www.spglobal.com/platts/es/market-insights/latest-news/electric-power/012822-linde-engineering-wins-24-mw-electrolyzer-order-from-yara-norge" TargetMode="External"/><Relationship Id="rId335" Type="http://schemas.openxmlformats.org/officeDocument/2006/relationships/hyperlink" Target="https://www.heraldo.es/noticias/aragon/2020/07/05/tren-hidrogeno-plasencia-del-monte-planta-energias-renivables-1384258.html?utm_source=twitter.com&amp;utm_medium=socialshare&amp;utm_campaign=desktop" TargetMode="External"/><Relationship Id="rId577" Type="http://schemas.openxmlformats.org/officeDocument/2006/relationships/hyperlink" Target="https://www.rwe.com/en/press/rwe-generation/2021-12-20-rwe-working-with-linde-to-develop-electrolyser-plant-in-lingen" TargetMode="External"/><Relationship Id="rId339" Type="http://schemas.openxmlformats.org/officeDocument/2006/relationships/hyperlink" Target="https://www.7sur7.be/ecologie/des-bus-du-tec-charleroi-vont-rouler-a-l-hydrogene~aacd0a8a/" TargetMode="External"/><Relationship Id="rId1160" Type="http://schemas.openxmlformats.org/officeDocument/2006/relationships/hyperlink" Target="https://www.baltictimes.com/respect_energy_holding_plans_the_construction_of_offshore_floating_wind_farm_equipped__with_an_innovative_technology_to_hydrogen_and_ammonia_production/" TargetMode="External"/><Relationship Id="rId330" Type="http://schemas.openxmlformats.org/officeDocument/2006/relationships/hyperlink" Target="https://www.toshiba-energy.com/en/info/info2019_0614.htm" TargetMode="External"/><Relationship Id="rId572" Type="http://schemas.openxmlformats.org/officeDocument/2006/relationships/hyperlink" Target="https://www.wyoenergy.org/wp-content/uploads/2022/01/2022-01-20-CCUS-RFP-PR-Final.pdf" TargetMode="External"/><Relationship Id="rId1161" Type="http://schemas.openxmlformats.org/officeDocument/2006/relationships/hyperlink" Target="https://direct.argusmedia.com/newsandanalysis/Article/2502042" TargetMode="External"/><Relationship Id="rId571" Type="http://schemas.openxmlformats.org/officeDocument/2006/relationships/hyperlink" Target="https://www.biofuelsdigest.com/bdigest/2021/12/15/wood-waste-to-hydrogen-motes-h2-gambit-in-california-announced/" TargetMode="External"/><Relationship Id="rId1162" Type="http://schemas.openxmlformats.org/officeDocument/2006/relationships/hyperlink" Target="https://fortescue.com/what-we-do/our-projects/gibson-island" TargetMode="External"/><Relationship Id="rId570" Type="http://schemas.openxmlformats.org/officeDocument/2006/relationships/hyperlink" Target="https://www.h2-view.com/story/linde-africa-hive-hydrogen-to-develop-4-6bn-green-ammonia-production-project-in-south-africa/" TargetMode="External"/><Relationship Id="rId1163" Type="http://schemas.openxmlformats.org/officeDocument/2006/relationships/hyperlink" Target="https://www.projects.eao.gov.bc.ca/p/650b5adc5d77c20022fb59fc/project-details" TargetMode="External"/><Relationship Id="rId1164" Type="http://schemas.openxmlformats.org/officeDocument/2006/relationships/hyperlink" Target="https://cdn.fortescue.com/docs/default-source/prince-george/project-coyote-fact-sheet-v2.pdf?sfvrsn=70e4a14_3/" TargetMode="External"/><Relationship Id="rId334" Type="http://schemas.openxmlformats.org/officeDocument/2006/relationships/hyperlink" Target="https://energies.airliquide.com/air-liquide-build-first-world-scale-liquid-hydrogen-production-plant-dedicated-supply-hydrogen" TargetMode="External"/><Relationship Id="rId576" Type="http://schemas.openxmlformats.org/officeDocument/2006/relationships/hyperlink" Target="https://www.elconfidencial.com/espana/andalucia/2022-01-23/primera-planta-comercial-hidrogeno-verde-algeciras_3362444/" TargetMode="External"/><Relationship Id="rId1165" Type="http://schemas.openxmlformats.org/officeDocument/2006/relationships/hyperlink" Target="https://www.h2b2.es/h2b2s-sohycal-project-in-california-has-started-hydrogen-production/" TargetMode="External"/><Relationship Id="rId333" Type="http://schemas.openxmlformats.org/officeDocument/2006/relationships/hyperlink" Target="https://www.engie-solutions.com/fr/actualites/hydrogene-michelin-morbihan" TargetMode="External"/><Relationship Id="rId575" Type="http://schemas.openxmlformats.org/officeDocument/2006/relationships/hyperlink" Target="https://www.corfo.cl/sites/cpp/sala_de_prensa/nacional/27_12_2021_ganadores_hidrogeno_verde;jsessionid=AtmVall_qC_xbEQ78caDTJmM19RoKSj2ln2G-JlYRLnD1fSNOPDM!1252277378!-615728055" TargetMode="External"/><Relationship Id="rId1166" Type="http://schemas.openxmlformats.org/officeDocument/2006/relationships/hyperlink" Target="https://hidrogeno-verde.es/planta-de-produccion-hidrogeno-garray-soria/" TargetMode="External"/><Relationship Id="rId332" Type="http://schemas.openxmlformats.org/officeDocument/2006/relationships/hyperlink" Target="https://www.powermag.com/worlds-first-integrated-hydrogen-power-to-power-demonstration-launched/" TargetMode="External"/><Relationship Id="rId574" Type="http://schemas.openxmlformats.org/officeDocument/2006/relationships/hyperlink" Target="https://www.masen.ma/fr/actualites-masen/masen-prepare-un-mega-projet-dans-lhydrogene-vert-une-1ere-en-afrique" TargetMode="External"/><Relationship Id="rId1167" Type="http://schemas.openxmlformats.org/officeDocument/2006/relationships/hyperlink" Target="https://direct.argusmedia.com/newsandanalysis/Article/2505496" TargetMode="External"/><Relationship Id="rId331" Type="http://schemas.openxmlformats.org/officeDocument/2006/relationships/hyperlink" Target="https://www.toshiba-energy.com/en/info/info2019_1030.htm" TargetMode="External"/><Relationship Id="rId573" Type="http://schemas.openxmlformats.org/officeDocument/2006/relationships/hyperlink" Target="https://www.ammoniaenergy.org/articles/mauritania-ammonia-mega-project-enters-next-phase/" TargetMode="External"/><Relationship Id="rId1168" Type="http://schemas.openxmlformats.org/officeDocument/2006/relationships/hyperlink" Target="https://direct.argusmedia.com/newsandanalysis/Article/2503017" TargetMode="External"/><Relationship Id="rId370" Type="http://schemas.openxmlformats.org/officeDocument/2006/relationships/hyperlink" Target="https://www.foederal-erneuerbar.de/best-practice-detailseite/items/power-to-gas-anlage-speist-biomethan-ins-erdgasnetz" TargetMode="External"/><Relationship Id="rId129" Type="http://schemas.openxmlformats.org/officeDocument/2006/relationships/hyperlink" Target="https://group.vattenfall.com/press-and-media/news--press-releases/pressreleases/2019/hybrit-sek-200-million-invested-in-pilot-plant-for-storage-of-fossil-free-hydrogen-in-lulea" TargetMode="External"/><Relationship Id="rId128" Type="http://schemas.openxmlformats.org/officeDocument/2006/relationships/hyperlink" Target="https://new.siemens.com/mea/en/company/stories/energy/a-trailblazer-of-green-hydrogen.html" TargetMode="External"/><Relationship Id="rId127" Type="http://schemas.openxmlformats.org/officeDocument/2006/relationships/hyperlink" Target="https://www.engie.com/business-case/engie-x-hygreen" TargetMode="External"/><Relationship Id="rId369" Type="http://schemas.openxmlformats.org/officeDocument/2006/relationships/hyperlink" Target="https://localhy.de/" TargetMode="External"/><Relationship Id="rId126" Type="http://schemas.openxmlformats.org/officeDocument/2006/relationships/hyperlink" Target="https://www.smart-energy.com/renewable-energy/engie-signs-cooperation-deal-to-participate-in-hygreen-provence-project-air-liquede/" TargetMode="External"/><Relationship Id="rId368" Type="http://schemas.openxmlformats.org/officeDocument/2006/relationships/hyperlink" Target="https://fuelcellsworks.com/news/zsw-green-hydrogen-production-at-power-to-gas-plant-in-grenzach-wyhlen-working-reliably/" TargetMode="External"/><Relationship Id="rId1190" Type="http://schemas.openxmlformats.org/officeDocument/2006/relationships/hyperlink" Target="https://direct.argusmedia.com/newsandanalysis/article/2510124" TargetMode="External"/><Relationship Id="rId1191" Type="http://schemas.openxmlformats.org/officeDocument/2006/relationships/hyperlink" Target="https://www.iwes.fraunhofer.de/en/research-projects/current-projects/leuna-100.html" TargetMode="External"/><Relationship Id="rId1192" Type="http://schemas.openxmlformats.org/officeDocument/2006/relationships/hyperlink" Target="https://direct.argusmedia.com/newsandanalysis/Article/2511917" TargetMode="External"/><Relationship Id="rId1193" Type="http://schemas.openxmlformats.org/officeDocument/2006/relationships/hyperlink" Target="https://www.maersk.com/news/articles/2023/11/22/maersk-signs-landmark-green-methanol-offtake-agreement" TargetMode="External"/><Relationship Id="rId121" Type="http://schemas.openxmlformats.org/officeDocument/2006/relationships/hyperlink" Target="https://www.sunfire.de/en/company/news/detail/first-commercial-plant-for-the-production-of-blue-crude-planned-in-norway" TargetMode="External"/><Relationship Id="rId363" Type="http://schemas.openxmlformats.org/officeDocument/2006/relationships/hyperlink" Target="https://m.solarbe.com/21-0-330298-1.html?utm_campaign=China%20Clean%20Energy%20Syndicate%20&amp;utm_medium=email&amp;utm_source=Revue%20newsletter" TargetMode="External"/><Relationship Id="rId1194" Type="http://schemas.openxmlformats.org/officeDocument/2006/relationships/hyperlink" Target="https://group.vattenfall.com/press-and-media/pressreleases/2019/hybrit-orders-norwegain-electrolyzers-for-fossil-free-steel-production-in-lulea" TargetMode="External"/><Relationship Id="rId120" Type="http://schemas.openxmlformats.org/officeDocument/2006/relationships/hyperlink" Target="https://nelhydrogen.com/press-release/press-release-everfuel-awarded-grant-for-the-establishment-of-a-large-scale-hydrogen-production-facility-in-denmark/" TargetMode="External"/><Relationship Id="rId362" Type="http://schemas.openxmlformats.org/officeDocument/2006/relationships/hyperlink" Target="https://www.tyseleyenergy.co.uk/tyseley-refuelling-hub/" TargetMode="External"/><Relationship Id="rId1195" Type="http://schemas.openxmlformats.org/officeDocument/2006/relationships/hyperlink" Target="https://renewablesnow.com/news/austrian-retailer-mpreis-commissions-32-mw-green-hydrogen-plant-779013/" TargetMode="External"/><Relationship Id="rId361" Type="http://schemas.openxmlformats.org/officeDocument/2006/relationships/hyperlink" Target="https://www.spglobal.com/platts/en/market-insights/latest-news/metals/061120-n-china-hydrogen-push-led-by-hydrogen-as-by-product-renewables" TargetMode="External"/><Relationship Id="rId1196" Type="http://schemas.openxmlformats.org/officeDocument/2006/relationships/hyperlink" Target="https://www.greenhydrogensystems.com/projects/alliander" TargetMode="External"/><Relationship Id="rId360" Type="http://schemas.openxmlformats.org/officeDocument/2006/relationships/hyperlink" Target="https://www.green-industrial-hydrogen.com/project/news/sunfire-delivers-the-worlds-largest-high-temperatur-electrolyzer-to-salzgitter-flachstahl" TargetMode="External"/><Relationship Id="rId1197" Type="http://schemas.openxmlformats.org/officeDocument/2006/relationships/hyperlink" Target="https://direct.argusmedia.com/newsandanalysis/Article/2515556" TargetMode="External"/><Relationship Id="rId125" Type="http://schemas.openxmlformats.org/officeDocument/2006/relationships/hyperlink" Target="https://fr.media.airliquide.com/actualites/premiere-mondiale-air-liquide-inaugure-cryocaptm-une-technologie-de-captage-de-co2-par-le-froid-aadd-1ba6d.html" TargetMode="External"/><Relationship Id="rId367" Type="http://schemas.openxmlformats.org/officeDocument/2006/relationships/hyperlink" Target="http://www.kit.edu/kit/pi_2019_107_kohlendioxidneutrale-kraftstoffe-aus-luft-und-strom.php" TargetMode="External"/><Relationship Id="rId1198" Type="http://schemas.openxmlformats.org/officeDocument/2006/relationships/hyperlink" Target="https://direct.argusmedia.com/newsandanalysis/article/2514678" TargetMode="External"/><Relationship Id="rId124" Type="http://schemas.openxmlformats.org/officeDocument/2006/relationships/hyperlink" Target="https://www.certifhy.eu/project-description/pilot-projects.html" TargetMode="External"/><Relationship Id="rId366" Type="http://schemas.openxmlformats.org/officeDocument/2006/relationships/hyperlink" Target="https://fuelcellsworks.com/news/spain-reganosa-edp-renovaveis-investment-of-780-million-in-galicia-includes-a-100-mw-electrolysis-hydrogen-h2-production-plant/" TargetMode="External"/><Relationship Id="rId1199" Type="http://schemas.openxmlformats.org/officeDocument/2006/relationships/hyperlink" Target="https://bbj.hu/economy/energy/green-energy/assembly-starts-of-hungarys-1st-industrial-green-hydrogen-plant" TargetMode="External"/><Relationship Id="rId123" Type="http://schemas.openxmlformats.org/officeDocument/2006/relationships/hyperlink" Target="https://www.supergen-bioenergy.net/wp-content/uploads/2019/06/Bioenergy-and-waste-gasification-report-2019.pdf" TargetMode="External"/><Relationship Id="rId365" Type="http://schemas.openxmlformats.org/officeDocument/2006/relationships/hyperlink" Target="https://www.h2-view.com/story/ghs-to-supply-electrolyser-to-p2x-project/" TargetMode="External"/><Relationship Id="rId122" Type="http://schemas.openxmlformats.org/officeDocument/2006/relationships/hyperlink" Target="https://www.green-industrial-hydrogen.com/" TargetMode="External"/><Relationship Id="rId364" Type="http://schemas.openxmlformats.org/officeDocument/2006/relationships/hyperlink" Target="https://dieselprogress.com/cummins-to-supply-5-mw-hydrogen-electrolyzer-34112/" TargetMode="External"/><Relationship Id="rId95" Type="http://schemas.openxmlformats.org/officeDocument/2006/relationships/hyperlink" Target="http://h2v59-concertation.net/comprendre-projet/" TargetMode="External"/><Relationship Id="rId94" Type="http://schemas.openxmlformats.org/officeDocument/2006/relationships/hyperlink" Target="http://h2vnormandy-concertation.net/comprendre-projet/" TargetMode="External"/><Relationship Id="rId97" Type="http://schemas.openxmlformats.org/officeDocument/2006/relationships/hyperlink" Target="https://www.atco.com/en-au/projects/clean-energy-innovation-hub.html" TargetMode="External"/><Relationship Id="rId96" Type="http://schemas.openxmlformats.org/officeDocument/2006/relationships/hyperlink" Target="https://arena.gov.au/projects/atco-hydrogen-microgrid/" TargetMode="External"/><Relationship Id="rId99" Type="http://schemas.openxmlformats.org/officeDocument/2006/relationships/hyperlink" Target="https://www.yara.com/news-and-media/news/archive/2019/yara-and-engie-to-test-green-hydrogen-technology-in-fertilizer-production/" TargetMode="External"/><Relationship Id="rId98" Type="http://schemas.openxmlformats.org/officeDocument/2006/relationships/hyperlink" Target="https://arena.gov.au/news/hydrogen-to-be-trialled-in-nsw-gas-networks/" TargetMode="External"/><Relationship Id="rId91" Type="http://schemas.openxmlformats.org/officeDocument/2006/relationships/hyperlink" Target="https://hynet.co.uk/" TargetMode="External"/><Relationship Id="rId90" Type="http://schemas.openxmlformats.org/officeDocument/2006/relationships/hyperlink" Target="http://www.hybritdevelopment.com/articles/three-hybrit-pilot-projects" TargetMode="External"/><Relationship Id="rId93" Type="http://schemas.openxmlformats.org/officeDocument/2006/relationships/hyperlink" Target="https://www.h21.green/projects/h21-north-of-england/" TargetMode="External"/><Relationship Id="rId92" Type="http://schemas.openxmlformats.org/officeDocument/2006/relationships/hyperlink" Target="https://fuelcellsworks.com/news/hydrogen-pilot-project-h2morrow-to-support-deep-decarbonization-of-german-industry/" TargetMode="External"/><Relationship Id="rId118" Type="http://schemas.openxmlformats.org/officeDocument/2006/relationships/hyperlink" Target="https://nelhydrogen.com/press-release/nel-asa-received-purchase-order-for-a-1-mw-containerized-pem-electrolyzer-in-the-us/" TargetMode="External"/><Relationship Id="rId117" Type="http://schemas.openxmlformats.org/officeDocument/2006/relationships/hyperlink" Target="https://www.ammoniaenergy.org/articles/renewable-hydrogen-in-fukushima-and-a-bridge-to-the-future/" TargetMode="External"/><Relationship Id="rId359" Type="http://schemas.openxmlformats.org/officeDocument/2006/relationships/hyperlink" Target="https://www.topagrar.com/energie/news/neue-elektrolyse-eingeweiht-12107191.html" TargetMode="External"/><Relationship Id="rId116" Type="http://schemas.openxmlformats.org/officeDocument/2006/relationships/hyperlink" Target="https://www.sciencedirect.com/science/article/pii/S1464285918303328" TargetMode="External"/><Relationship Id="rId358" Type="http://schemas.openxmlformats.org/officeDocument/2006/relationships/hyperlink" Target="https://www.greentechmedia.com/articles/read/shell-jv-wins-dutch-offshore-wind-tender-with-continuous-power-hybrid-project?utm_medium=email&amp;utm_source=Daily&amp;utm_campaign=GTMDaily" TargetMode="External"/><Relationship Id="rId115" Type="http://schemas.openxmlformats.org/officeDocument/2006/relationships/hyperlink" Target="https://www.greencarcongress.com/2020/03/20200308-fh2r.html" TargetMode="External"/><Relationship Id="rId357" Type="http://schemas.openxmlformats.org/officeDocument/2006/relationships/hyperlink" Target="https://greenhydrogen.dk/danish-minister-for-transport-officially-opens-ghs-hydrogen-refueling-station/" TargetMode="External"/><Relationship Id="rId599" Type="http://schemas.openxmlformats.org/officeDocument/2006/relationships/hyperlink" Target="https://mp.weixin.qq.com/s?__biz=MzA5NzMwODcyMA%3D%3D&amp;chksm=88af2b44bfd8a252ea2b5c809564e7bf9d7c6d83277987e6a65b844961ea1acc7e888d1039c7&amp;idx=2&amp;mid=2650362395&amp;sn=90e7f1668bc1b59024bdd7d327e689ee&amp;utm_campaign=China%20Clean%20Energy%20Syndicate%20&amp;utm_medium=email&amp;utm_source=Revue%20newsletter" TargetMode="External"/><Relationship Id="rId1180" Type="http://schemas.openxmlformats.org/officeDocument/2006/relationships/hyperlink" Target="https://research.csiro.au/hyresource/kogan-creek-renewable-hydrogen-demonstration-plant/" TargetMode="External"/><Relationship Id="rId1181" Type="http://schemas.openxmlformats.org/officeDocument/2006/relationships/hyperlink" Target="https://www.lhyfe.com/press/lhyfe-to-supply-several-of-hympulsions-hydrogen-filling-stations-for-a-ten-year-period-from-a-new-green-and-renewable-hydrogen-production-site-in-auvergne-rhone-alpes/" TargetMode="External"/><Relationship Id="rId119" Type="http://schemas.openxmlformats.org/officeDocument/2006/relationships/hyperlink" Target="https://nelhydrogen.com/press-release/nel-asa-receives-purchase-order-for-h2station-fueling-station-solution-for-taxis-in-copenhagen/" TargetMode="External"/><Relationship Id="rId1182" Type="http://schemas.openxmlformats.org/officeDocument/2006/relationships/hyperlink" Target="https://reneweconomy.com.au/investors-scrap-pioneering-green-hydrogen-plant-in-germany-because-of-costs/" TargetMode="External"/><Relationship Id="rId110" Type="http://schemas.openxmlformats.org/officeDocument/2006/relationships/hyperlink" Target="https://www.energymatters.com.au/renewable-news/hydrogen-from-solar-power/" TargetMode="External"/><Relationship Id="rId352" Type="http://schemas.openxmlformats.org/officeDocument/2006/relationships/hyperlink" Target="https://cadenaser.com/ser/2020/09/02/ciencia/1599038500_420120.html" TargetMode="External"/><Relationship Id="rId594" Type="http://schemas.openxmlformats.org/officeDocument/2006/relationships/hyperlink" Target="https://fuelcellsworks.com/news/ammpower-to-work-with-port-of-south-louisiana-to-develop-a-green-hydrogen-ammonia-production-facility-for-shipping-fuel-energy-transfer/?mc_cid=d03ba51fd9&amp;mc_eid=da4624d261" TargetMode="External"/><Relationship Id="rId1183" Type="http://schemas.openxmlformats.org/officeDocument/2006/relationships/hyperlink" Target="https://www.heiderefinery.com/entwicklung-von-gruenem-wasserstoff-in-der-raffinerie-heide-rueckt-einen-schritt-naeher" TargetMode="External"/><Relationship Id="rId351" Type="http://schemas.openxmlformats.org/officeDocument/2006/relationships/hyperlink" Target="https://www.reuters.com/article/us-sweden-steel-hydrogen/swedens-hybrit-starts-operations-at-pilot-plant-for-fossil-free-steel-idUSKBN25R1PI" TargetMode="External"/><Relationship Id="rId593" Type="http://schemas.openxmlformats.org/officeDocument/2006/relationships/hyperlink" Target="https://fuelcellsworks.com/news/australian-company-signs-mou-with-innu-nation-to-look-at-feasbility-of-green-hydrogen-at-gull-island/?mc_cid=d03ba51fd9&amp;mc_eid=da4624d261" TargetMode="External"/><Relationship Id="rId1184" Type="http://schemas.openxmlformats.org/officeDocument/2006/relationships/hyperlink" Target="https://www.reuters.com/business/energy/australias-fortescue-approves-750-mln-investment-three-green-projects-2023-11-20/" TargetMode="External"/><Relationship Id="rId350" Type="http://schemas.openxmlformats.org/officeDocument/2006/relationships/hyperlink" Target="https://www.worldoil.com/news/2020/8/19/siemens-energy-launches-its-first-megawatt-green-hydrogen-production-project-in-china" TargetMode="External"/><Relationship Id="rId592" Type="http://schemas.openxmlformats.org/officeDocument/2006/relationships/hyperlink" Target="https://fuelcellsworks.com/news/partnership-behind-green-fuels-for-denmark-accelerates-project-and-investigates-production-of-green-jet-fuel-by-2025/?mc_cid=d03ba51fd9&amp;mc_eid=da4624d261" TargetMode="External"/><Relationship Id="rId1185" Type="http://schemas.openxmlformats.org/officeDocument/2006/relationships/hyperlink" Target="https://www.aumanufacturing.com.au/fortescue-presses-go-on-3-green-hydrogen-projects" TargetMode="External"/><Relationship Id="rId591" Type="http://schemas.openxmlformats.org/officeDocument/2006/relationships/hyperlink" Target="https://www.businesswire.com/news/home/20220203005153/en/Leading-Companies-Launch-Initiative-to-Support-Low-Carbon-and-Hydrogen-Industrial-Hub-in-Ohio-Pennsylvania-and-West-Virginia" TargetMode="External"/><Relationship Id="rId1186" Type="http://schemas.openxmlformats.org/officeDocument/2006/relationships/hyperlink" Target="https://energynews.biz/h-tec-systems-pem-electrolyser-powers-hydrogen-lab-bremerhaven/" TargetMode="External"/><Relationship Id="rId114" Type="http://schemas.openxmlformats.org/officeDocument/2006/relationships/hyperlink" Target="https://www.csiro.au/en/Do-business/Futures/Reports/Hydrogen-Roadmap" TargetMode="External"/><Relationship Id="rId356" Type="http://schemas.openxmlformats.org/officeDocument/2006/relationships/hyperlink" Target="https://fuelcellsworks.com/news/siemens-to-build-large-co2-free-hydrogen-production-plant-in-southern-germany/" TargetMode="External"/><Relationship Id="rId598" Type="http://schemas.openxmlformats.org/officeDocument/2006/relationships/hyperlink" Target="https://www.enagas.es/stfls/ENAGAS/Notas%20de%20prensa/Nota%20de%20prensa%20conjunta%20MoU%20H2%20(bp%20Iberdrola%20Enagas)%2028042021_EN_pr.pdf" TargetMode="External"/><Relationship Id="rId1187" Type="http://schemas.openxmlformats.org/officeDocument/2006/relationships/hyperlink" Target="https://www.hydrogeninsight.com/industrial/clean-hydrogen-fertiglobe-ships-world-first-certified-green-ammonia-to-india-to-make-unilever-washing-powder/2-1-1556234" TargetMode="External"/><Relationship Id="rId113" Type="http://schemas.openxmlformats.org/officeDocument/2006/relationships/hyperlink" Target="https://thewest.com.au/business/energy/hazer-group-wants-to-make-clean-hydrogen-from-perth-sewerage-ng-b881217005z" TargetMode="External"/><Relationship Id="rId355" Type="http://schemas.openxmlformats.org/officeDocument/2006/relationships/hyperlink" Target="https://www.itm-power.com/news/first-project-to-deliver-a-10mw-electrolyser-to-glasgow-facility" TargetMode="External"/><Relationship Id="rId597" Type="http://schemas.openxmlformats.org/officeDocument/2006/relationships/hyperlink" Target="https://energia.gob.cl/sites/default/files/documentos/green_h2_strategy_chile.pdf" TargetMode="External"/><Relationship Id="rId1188" Type="http://schemas.openxmlformats.org/officeDocument/2006/relationships/hyperlink" Target="https://direct.argusmedia.com/newsandanalysis/Article/2506358" TargetMode="External"/><Relationship Id="rId112" Type="http://schemas.openxmlformats.org/officeDocument/2006/relationships/hyperlink" Target="http://www.renewablessa.sa.gov.au/content/uploads/2019/01/hydrogen-rd-in-sa-report-nov2018.pdf" TargetMode="External"/><Relationship Id="rId354" Type="http://schemas.openxmlformats.org/officeDocument/2006/relationships/hyperlink" Target="https://www.eugcc-cleanergy.net/sites/default/files/3._session_1_damien_sage_engie.pdf" TargetMode="External"/><Relationship Id="rId596" Type="http://schemas.openxmlformats.org/officeDocument/2006/relationships/hyperlink" Target="https://renewablesnow.com/news/brazils-cactus-energia-signs-h2-mou-in-ceara-backed-by-36-gw-of-solar-offshore-wind-772305/" TargetMode="External"/><Relationship Id="rId1189" Type="http://schemas.openxmlformats.org/officeDocument/2006/relationships/hyperlink" Target="https://renewablesnow.com/news/eneco-plans-800-mw-green-h2-hub-at-rotterdam-port-area-840764/" TargetMode="External"/><Relationship Id="rId111" Type="http://schemas.openxmlformats.org/officeDocument/2006/relationships/hyperlink" Target="https://crystalbrookenergypark.com.au/" TargetMode="External"/><Relationship Id="rId353" Type="http://schemas.openxmlformats.org/officeDocument/2006/relationships/hyperlink" Target="https://www.reuters.com/article/germany-hydrogen-apex/germanys-apex-energy-launches-hydrogen-plant-near-rostock-idUSL8N2DP3WV" TargetMode="External"/><Relationship Id="rId595" Type="http://schemas.openxmlformats.org/officeDocument/2006/relationships/hyperlink" Target="https://ir.fusion-fuel.eu/news-releases/news-release-details/fusion-fuel-supply-hevo-solar-technology-hive-energy-green" TargetMode="External"/><Relationship Id="rId1136" Type="http://schemas.openxmlformats.org/officeDocument/2006/relationships/hyperlink" Target="https://sevilla.abc.es/economia/comienza-funcionar-primera-planta-hidrogeno-verde-andalucia-20231015201113-nts.html" TargetMode="External"/><Relationship Id="rId1137" Type="http://schemas.openxmlformats.org/officeDocument/2006/relationships/hyperlink" Target="https://co2re.co/FacilityData" TargetMode="External"/><Relationship Id="rId1138" Type="http://schemas.openxmlformats.org/officeDocument/2006/relationships/hyperlink" Target="https://fortescue.com/news-and-media/news/2023/07/20/fortescue-future-industries-makes-major-investment-in-american-green-energy-jobs-with-purchase-of-phoenix-hydrogen-hub" TargetMode="External"/><Relationship Id="rId1139" Type="http://schemas.openxmlformats.org/officeDocument/2006/relationships/hyperlink" Target="https://direct.argusmedia.com/newsandanalysis/article/2498233" TargetMode="External"/><Relationship Id="rId305" Type="http://schemas.openxmlformats.org/officeDocument/2006/relationships/hyperlink" Target="https://www.engie-solutions.com/fr/actualites/station-hyport-toulouse-blagnac" TargetMode="External"/><Relationship Id="rId547" Type="http://schemas.openxmlformats.org/officeDocument/2006/relationships/hyperlink" Target="https://www.lavieeco.com/economie/lhydrogene-vert-sera-bientot-produit-au-maroc/" TargetMode="External"/><Relationship Id="rId789" Type="http://schemas.openxmlformats.org/officeDocument/2006/relationships/hyperlink" Target="http://www.energyglobalnews.com/taiwan-air-liquide-far-eastern-opens-new-hydrogen-plant-in-tainan/" TargetMode="External"/><Relationship Id="rId304" Type="http://schemas.openxmlformats.org/officeDocument/2006/relationships/hyperlink" Target="https://www.statkraft.com/newsroom/news-and-stories/archive/2020/hydrogen-og-stal/" TargetMode="External"/><Relationship Id="rId546" Type="http://schemas.openxmlformats.org/officeDocument/2006/relationships/hyperlink" Target="https://fuelcellsworks.com/news/scatecs-green-hydrogen-consortium-in-egypt-selects-plug-power-for-delivery-of-100-mw-electrolyser/?mc_cid=01cbc66a8c&amp;mc_eid=da4624d261" TargetMode="External"/><Relationship Id="rId788" Type="http://schemas.openxmlformats.org/officeDocument/2006/relationships/hyperlink" Target="https://www.h2-mobile.fr/actus/sealhyfe-premier-electrolyseur-offshore-monde-entre-services/" TargetMode="External"/><Relationship Id="rId303" Type="http://schemas.openxmlformats.org/officeDocument/2006/relationships/hyperlink" Target="https://www.thyssenkrupp.com/en/newsroom/press-releases/pressdetailpage/green-hydrogen-for-steel-production--rwe-and-thyssenkrupp-plan-partnership-82841" TargetMode="External"/><Relationship Id="rId545" Type="http://schemas.openxmlformats.org/officeDocument/2006/relationships/hyperlink" Target="https://www.northerngasnetworks.co.uk/wp-content/uploads/2018/11/H21-Meeting-UK-Climate-Change-Obligations.pdf" TargetMode="External"/><Relationship Id="rId787" Type="http://schemas.openxmlformats.org/officeDocument/2006/relationships/hyperlink" Target="https://hidrogeno-verde.es/primera-planta-de-hidrogeno-en-un-almacen-logistico-en-espana/" TargetMode="External"/><Relationship Id="rId302" Type="http://schemas.openxmlformats.org/officeDocument/2006/relationships/hyperlink" Target="https://www.linkedin.com/pulse/swedish-public-housing-project-goes-off-grid-solar-h2-michael-jensen/" TargetMode="External"/><Relationship Id="rId544" Type="http://schemas.openxmlformats.org/officeDocument/2006/relationships/hyperlink" Target="https://www.ammoniaenergy.org/articles/mauritania-ammonia-mega-project-enters-next-phase/" TargetMode="External"/><Relationship Id="rId786" Type="http://schemas.openxmlformats.org/officeDocument/2006/relationships/hyperlink" Target="https://www.equinor.com/news/archive/20211215-launch-h2be-project-hydrogen-belgium" TargetMode="External"/><Relationship Id="rId309" Type="http://schemas.openxmlformats.org/officeDocument/2006/relationships/hyperlink" Target="https://www.caranddriver.com/es/coches/planeta-motor/a32864845/combustible-sintetico-repsol/" TargetMode="External"/><Relationship Id="rId308" Type="http://schemas.openxmlformats.org/officeDocument/2006/relationships/hyperlink" Target="https://www.h2-view.com/story/repsol-unveils-green-hydrogen-project/" TargetMode="External"/><Relationship Id="rId307" Type="http://schemas.openxmlformats.org/officeDocument/2006/relationships/hyperlink" Target="https://www.lavenir.net/cnt/dmf20200529_01478987/feu-vert-de-l-executif-regional-pour-une-station-d-hydrogene" TargetMode="External"/><Relationship Id="rId549" Type="http://schemas.openxmlformats.org/officeDocument/2006/relationships/hyperlink" Target="https://www.argusmedia.com/en/news/2270376-fortescue-plans-argentina-green-hydrogen-project" TargetMode="External"/><Relationship Id="rId306" Type="http://schemas.openxmlformats.org/officeDocument/2006/relationships/hyperlink" Target="https://www.hydrogenics.com/2019/04/09/hydrogenics-to-deliver-first-green-hydrogen-production-station-to-new-zealand/" TargetMode="External"/><Relationship Id="rId548" Type="http://schemas.openxmlformats.org/officeDocument/2006/relationships/hyperlink" Target="https://energynews.biz/tlou-energy-and-synergen-met-partner-on-green-hydrogen-project-in-botswana/" TargetMode="External"/><Relationship Id="rId781" Type="http://schemas.openxmlformats.org/officeDocument/2006/relationships/hyperlink" Target="https://eng.heroya-industripark.no/latest-news/first-step-towards-full-decarbonisation-of-the-ammonia-plant-at-heroeya" TargetMode="External"/><Relationship Id="rId780" Type="http://schemas.openxmlformats.org/officeDocument/2006/relationships/hyperlink" Target="https://www.yara.com/corporate-releases/yara-and-linde-engineering-agree-to-build-a-24-mw-green-hydrogen-demonstration-plant-in-norway.-both-companies-aim-to-achieve-a-significant-carbon-dioxide-reduction-in-the-production-of-fertilizers-in-norway/" TargetMode="External"/><Relationship Id="rId1130" Type="http://schemas.openxmlformats.org/officeDocument/2006/relationships/hyperlink" Target="https://hystar.com/yara-clean-ammonia-joins-hypilot-project-with-hystar-equinor-and-gassco/" TargetMode="External"/><Relationship Id="rId1131" Type="http://schemas.openxmlformats.org/officeDocument/2006/relationships/hyperlink" Target="https://www.offshore-energy.biz/houston-ship-channel-could-host-large-scale-ammonia-production-and-export-project/" TargetMode="External"/><Relationship Id="rId301" Type="http://schemas.openxmlformats.org/officeDocument/2006/relationships/hyperlink" Target="https://fuelcellsworks.com/news/swedish-housing-powered-100-percent-by-sun-and-hydrogen/" TargetMode="External"/><Relationship Id="rId543" Type="http://schemas.openxmlformats.org/officeDocument/2006/relationships/hyperlink" Target="https://www.pv-magazine.com/2021/11/22/giant-green-hydrogen-project-powered-by-6-gw-of-off-grid-solar-and-wind-proposed-for-south-australia/" TargetMode="External"/><Relationship Id="rId785" Type="http://schemas.openxmlformats.org/officeDocument/2006/relationships/hyperlink" Target="https://www.atomeplc.com/projects/iceland/" TargetMode="External"/><Relationship Id="rId1132" Type="http://schemas.openxmlformats.org/officeDocument/2006/relationships/hyperlink" Target="https://direct.argusmedia.com/newsandanalysis/Article/2495021" TargetMode="External"/><Relationship Id="rId300" Type="http://schemas.openxmlformats.org/officeDocument/2006/relationships/hyperlink" Target="https://fuelcellsworks.com/news/canada-macquarie-capital-to-finance-new-200-plus-million-renewable-hydrogen-plant-in-chetwynd/" TargetMode="External"/><Relationship Id="rId542" Type="http://schemas.openxmlformats.org/officeDocument/2006/relationships/hyperlink" Target="https://www.ir.plugpower.com/Press-Releases/Press-Release-Details/2021/Plug-Power-Selected-by-Fertiglobes-Green-Hydrogen-Consortium-to-Deliver-100MW-Electrolyzer-for-Green-Ammonia/default.aspx?&amp;utm_source=organic-social-pr&amp;utm_medium=twitter&amp;utm_campaign=oci-egypt-release&amp;utm_term=APR" TargetMode="External"/><Relationship Id="rId784" Type="http://schemas.openxmlformats.org/officeDocument/2006/relationships/hyperlink" Target="https://www.spglobal.com/commodityinsights/en/market-insights/latest-news/electric-power/111521-h2-green-to-develop-hydrogen-and-ammonia-hub-in-shoreham-uk-to-decarbonize-port" TargetMode="External"/><Relationship Id="rId1133" Type="http://schemas.openxmlformats.org/officeDocument/2006/relationships/hyperlink" Target="https://direct.argusmedia.com/newsandanalysis/Article/2475253" TargetMode="External"/><Relationship Id="rId541" Type="http://schemas.openxmlformats.org/officeDocument/2006/relationships/hyperlink" Target="https://africa-energy-portal.org/news/kepsa-signs-large-scale-green-energy-projects-mou-kenya" TargetMode="External"/><Relationship Id="rId783" Type="http://schemas.openxmlformats.org/officeDocument/2006/relationships/hyperlink" Target="https://www.pv-magazine.com/2022/09/13/the-hydrogen-stream-worlds-largest-electrolyzer-to-be-deployed-in-norway/" TargetMode="External"/><Relationship Id="rId1134" Type="http://schemas.openxmlformats.org/officeDocument/2006/relationships/hyperlink" Target="https://energynews.biz/atlas-agros-green-hydrogen-fertilizer-plant-nears-final-investment-decision/" TargetMode="External"/><Relationship Id="rId540" Type="http://schemas.openxmlformats.org/officeDocument/2006/relationships/hyperlink" Target="https://www.icis.com/explore/resources/news/2021/08/04/10670520/uk-cluster-sequencing-could-support-8gw-of-hydrogen-capacity" TargetMode="External"/><Relationship Id="rId782" Type="http://schemas.openxmlformats.org/officeDocument/2006/relationships/hyperlink" Target="https://eng.heroya-industripark.no/latest-news/another-green-hydrogen-investment-for-heroeya-this-could-be-big" TargetMode="External"/><Relationship Id="rId1135" Type="http://schemas.openxmlformats.org/officeDocument/2006/relationships/hyperlink" Target="https://energynews.biz/kgal-to-invest-in-arcadia-efuels-green-hydrogen-based-production-facility-in-denmark/" TargetMode="External"/><Relationship Id="rId1125" Type="http://schemas.openxmlformats.org/officeDocument/2006/relationships/hyperlink" Target="https://www.reuters.com/sustainability/climate-energy/germanys-august-global-investment-plans-build-hydrogen-plant-indonesia-2023-08-28/" TargetMode="External"/><Relationship Id="rId1126" Type="http://schemas.openxmlformats.org/officeDocument/2006/relationships/hyperlink" Target="https://www.euro-petrole.com/totalenergies-et-air-liquide-sassocient-pour-decarboner-la-plateforme-de-normandie-grace-a-lhydrogene-vert-n-f-26045" TargetMode="External"/><Relationship Id="rId1127" Type="http://schemas.openxmlformats.org/officeDocument/2006/relationships/hyperlink" Target="https://www.pv-magazine-australia.com/2023/09/15/hynq-north-queensland-clean-energy-project-gains-a-new-development-partner/" TargetMode="External"/><Relationship Id="rId1128" Type="http://schemas.openxmlformats.org/officeDocument/2006/relationships/hyperlink" Target="https://scottishbusinessnews.net/uks-first-off-grid-green-hydrogen-site-invites-potential-buyers/" TargetMode="External"/><Relationship Id="rId1129" Type="http://schemas.openxmlformats.org/officeDocument/2006/relationships/hyperlink" Target="https://renewablesnow.com/news/ewe-plans-320-mw-green-hydrogen-plant-on-germanys-north-sea-coast-803869/" TargetMode="External"/><Relationship Id="rId536" Type="http://schemas.openxmlformats.org/officeDocument/2006/relationships/hyperlink" Target="https://www.horisontenergi.no/horisont-energi-equinor-and-var-energi-enter-cooperation-agreement-for-barents-blue-ammonia-plant/" TargetMode="External"/><Relationship Id="rId778" Type="http://schemas.openxmlformats.org/officeDocument/2006/relationships/hyperlink" Target="https://www.traffordgreenhydrogen.co.uk/theproject" TargetMode="External"/><Relationship Id="rId535" Type="http://schemas.openxmlformats.org/officeDocument/2006/relationships/hyperlink" Target="https://www.world-nuclear-news.org/Articles/US-DOE-funds-hydrogen-production-from-nuclear-powe" TargetMode="External"/><Relationship Id="rId777" Type="http://schemas.openxmlformats.org/officeDocument/2006/relationships/hyperlink" Target="https://www.airliquide.com/group/press-releases-news/2021-07-29/air-liquide-transforms-its-network-germany-connecting-large-electrolyzer-producing-renewable" TargetMode="External"/><Relationship Id="rId534" Type="http://schemas.openxmlformats.org/officeDocument/2006/relationships/hyperlink" Target="https://private.cedigaz.org/newsreport_pdf/61766c96eb575_CNR60-21.pdf" TargetMode="External"/><Relationship Id="rId776" Type="http://schemas.openxmlformats.org/officeDocument/2006/relationships/hyperlink" Target="https://www.mukran-port.de/en/press/lesen/cooperation-launched-in-hydrogen-region.html" TargetMode="External"/><Relationship Id="rId533" Type="http://schemas.openxmlformats.org/officeDocument/2006/relationships/hyperlink" Target="https://www.h2-view.com/story/neptune-energy-and-partners-to-develop-blue-hydrogen-plant-in-the-uk/" TargetMode="External"/><Relationship Id="rId775" Type="http://schemas.openxmlformats.org/officeDocument/2006/relationships/hyperlink" Target="https://www.agnespower.com/en/progetto-adriatico/" TargetMode="External"/><Relationship Id="rId539" Type="http://schemas.openxmlformats.org/officeDocument/2006/relationships/hyperlink" Target="https://ec.europa.eu/clima/system/files/2021-11/policy_funding_innovation-fund_large-scale_successful_projects_en.pdf" TargetMode="External"/><Relationship Id="rId538" Type="http://schemas.openxmlformats.org/officeDocument/2006/relationships/hyperlink" Target="https://www.itm-power.com/news/12mw-electrolyser-sale" TargetMode="External"/><Relationship Id="rId537" Type="http://schemas.openxmlformats.org/officeDocument/2006/relationships/hyperlink" Target="https://www.h2-view.com/story/9-4bn-hydrogen-megaproject-set-for-namibia/" TargetMode="External"/><Relationship Id="rId779" Type="http://schemas.openxmlformats.org/officeDocument/2006/relationships/hyperlink" Target="https://www.traffordgreenhydrogen.co.uk/news/carlton-power-secures-government-backing-to-develop-trafford-green-hydrogen-project" TargetMode="External"/><Relationship Id="rId770" Type="http://schemas.openxmlformats.org/officeDocument/2006/relationships/hyperlink" Target="https://www.offshore-energy.biz/getech-starts-work-at-scottish-green-hydrogen-hub-in-inverness/" TargetMode="External"/><Relationship Id="rId1360" Type="http://schemas.openxmlformats.org/officeDocument/2006/relationships/drawing" Target="../drawings/drawing12.xml"/><Relationship Id="rId1361" Type="http://schemas.openxmlformats.org/officeDocument/2006/relationships/vmlDrawing" Target="../drawings/vmlDrawing1.vml"/><Relationship Id="rId1120" Type="http://schemas.openxmlformats.org/officeDocument/2006/relationships/hyperlink" Target="https://www.afrik21.africa/en/mauritania-british-oil-company-bp-is-eyeing-the-green-hydrogen-market/" TargetMode="External"/><Relationship Id="rId532" Type="http://schemas.openxmlformats.org/officeDocument/2006/relationships/hyperlink" Target="https://files.woodside/docs/default-source/media-releases/woodside%27s-h2perth-to-make-western-australia-a-hydrogen-powerhouse.pdf?sfvrsn=3857b154_2" TargetMode="External"/><Relationship Id="rId774" Type="http://schemas.openxmlformats.org/officeDocument/2006/relationships/hyperlink" Target="https://www.power-technology.com/comment/dhofar-green-hydrogen-scheme/" TargetMode="External"/><Relationship Id="rId1121" Type="http://schemas.openxmlformats.org/officeDocument/2006/relationships/hyperlink" Target="https://www.tecnicasreunidas.es/tecnicas-reunidas-s-a-initiates-the-preliminary-scope-for-a-green-hydrogen-and-green-ammonia-production-facilities-in-australia/" TargetMode="External"/><Relationship Id="rId531" Type="http://schemas.openxmlformats.org/officeDocument/2006/relationships/hyperlink" Target="https://www.concrete-chemicals.eu/project" TargetMode="External"/><Relationship Id="rId773" Type="http://schemas.openxmlformats.org/officeDocument/2006/relationships/hyperlink" Target="https://www.reuters.com/business/cf-industries-sees-roughly-2-bln-price-tag-us-blue-ammonia-facility-2022-05-05/" TargetMode="External"/><Relationship Id="rId1122" Type="http://schemas.openxmlformats.org/officeDocument/2006/relationships/hyperlink" Target="https://www.hydrogeninsight.com/production/partners-to-spend-more-than-1bn-on-500mw-plus-green-hydrogen-project-in-portugal/2-1-1353788" TargetMode="External"/><Relationship Id="rId530" Type="http://schemas.openxmlformats.org/officeDocument/2006/relationships/hyperlink" Target="https://www.rechargenews.com/energy-transition/new-10gw-green-hydrogen-project-in-mauritania-could-include-africas-first-offshore-wind-farm/2-1-1074316" TargetMode="External"/><Relationship Id="rId772" Type="http://schemas.openxmlformats.org/officeDocument/2006/relationships/hyperlink" Target="https://www.sunfire.de/en/news/detail/rwe-realizes-electrolysis-project-with-sunfire" TargetMode="External"/><Relationship Id="rId1123" Type="http://schemas.openxmlformats.org/officeDocument/2006/relationships/hyperlink" Target="https://mopng.gov.in/files/article/articlefiles/2023Q2.pdf" TargetMode="External"/><Relationship Id="rId771" Type="http://schemas.openxmlformats.org/officeDocument/2006/relationships/hyperlink" Target="https://www.h2-view.com/story/octopus-hydrogen-granted-environmental-permit-for-green-hydrogen-production/" TargetMode="External"/><Relationship Id="rId1124" Type="http://schemas.openxmlformats.org/officeDocument/2006/relationships/hyperlink" Target="https://www.prnewswire.com/news-releases/air-products-to-invest-about-500-million-to-build-green-hydrogen-production-facility-in-new-york-301642745.html" TargetMode="External"/><Relationship Id="rId1158" Type="http://schemas.openxmlformats.org/officeDocument/2006/relationships/hyperlink" Target="https://www.abo-wind.com/en/media-center/press/2023/2023-10-17_hydrogen-project-huenfeld.html" TargetMode="External"/><Relationship Id="rId1159" Type="http://schemas.openxmlformats.org/officeDocument/2006/relationships/hyperlink" Target="https://www.atalayar.com/en/articulo/economy-and-business/dakhla-will-host-an-8-gigawatt-green-hydrogen-plant-to-power-industry/20231004140908191877.html" TargetMode="External"/><Relationship Id="rId327" Type="http://schemas.openxmlformats.org/officeDocument/2006/relationships/hyperlink" Target="https://www.toshiba.co.jp/about/press/2016_04/pr2101.htm" TargetMode="External"/><Relationship Id="rId569" Type="http://schemas.openxmlformats.org/officeDocument/2006/relationships/hyperlink" Target="https://reneweconomy.com.au/massive-15bn-desert-bloom-green-hydrogen-project-gets-planning-fast-track/" TargetMode="External"/><Relationship Id="rId326" Type="http://schemas.openxmlformats.org/officeDocument/2006/relationships/hyperlink" Target="https://www.toshiba.co.jp/about/press/2016_03/pr1402.htm" TargetMode="External"/><Relationship Id="rId568" Type="http://schemas.openxmlformats.org/officeDocument/2006/relationships/hyperlink" Target="https://www.sasol.com/media-centre/media-releases/sasol-announces-lead-role-feasibility-study-boegoebaai-green-hydrogen" TargetMode="External"/><Relationship Id="rId325" Type="http://schemas.openxmlformats.org/officeDocument/2006/relationships/hyperlink" Target="https://www.toshiba-energy.com/en/info/info2019_1226.htm" TargetMode="External"/><Relationship Id="rId567" Type="http://schemas.openxmlformats.org/officeDocument/2006/relationships/hyperlink" Target="https://renewablesnow.com/news/edp-to-pour-eur-550m-to-revamp-spanish-coal-fired-plant-into-green-h2-facility-754051/" TargetMode="External"/><Relationship Id="rId324" Type="http://schemas.openxmlformats.org/officeDocument/2006/relationships/hyperlink" Target="https://www.toshiba-energy.com/en/info/info2020_0123.htm" TargetMode="External"/><Relationship Id="rId566" Type="http://schemas.openxmlformats.org/officeDocument/2006/relationships/hyperlink" Target="https://fuelcellsworks.com/news/infinite-blue-energy-signs-mou-with-strike-energys-project-haber/?mc_cid=e014ff7079&amp;mc_eid=da4624d261" TargetMode="External"/><Relationship Id="rId329" Type="http://schemas.openxmlformats.org/officeDocument/2006/relationships/hyperlink" Target="https://www.toshiba-energy.com/en/info/info2019_0322.htm" TargetMode="External"/><Relationship Id="rId328" Type="http://schemas.openxmlformats.org/officeDocument/2006/relationships/hyperlink" Target="https://www.toshiba.co.jp/about/press/2017_07/pr1301.htm" TargetMode="External"/><Relationship Id="rId561" Type="http://schemas.openxmlformats.org/officeDocument/2006/relationships/hyperlink" Target="https://energy-utilities.com/international-firms-sign-agreement-with-oman-for-news114757.html" TargetMode="External"/><Relationship Id="rId1150" Type="http://schemas.openxmlformats.org/officeDocument/2006/relationships/hyperlink" Target="https://www.prnewswire.com/apac/news-releases/posco-holdings-takes-first-step-in-developing-40-000-tons-of-green-hydrogen-production-in-western-australia-301959009.html" TargetMode="External"/><Relationship Id="rId560" Type="http://schemas.openxmlformats.org/officeDocument/2006/relationships/hyperlink" Target="https://energynews.biz/production-of-blue-hydrogen-begins-in-changwon-city/?utm_source=rss&amp;utm_medium=rss&amp;utm_campaign=production-of-blue-hydrogen-begins-in-changwon-city" TargetMode="External"/><Relationship Id="rId1151" Type="http://schemas.openxmlformats.org/officeDocument/2006/relationships/hyperlink" Target="https://zegpower.com/posts/opening-of-zeg-h1-at-ccb-energy-park/" TargetMode="External"/><Relationship Id="rId1152" Type="http://schemas.openxmlformats.org/officeDocument/2006/relationships/hyperlink" Target="https://www.uniper.energy/news/jera-americas-conocophillips-and-uniper-se-initiatives-to-source-low-carbon-hydrogenammonia-supply-from-us-gulf-coast-to-advance-the-global-energy-transition" TargetMode="External"/><Relationship Id="rId1153" Type="http://schemas.openxmlformats.org/officeDocument/2006/relationships/hyperlink" Target="https://www.manufacturingtodayindia.com/sectors/jakson-greens-ambitious-rs-2400-cr-green-ammonia-plant-to-transform-deendayal-port-authority" TargetMode="External"/><Relationship Id="rId323" Type="http://schemas.openxmlformats.org/officeDocument/2006/relationships/hyperlink" Target="https://www.toshiba-energy.com/en/info/info2020_0610.htm" TargetMode="External"/><Relationship Id="rId565" Type="http://schemas.openxmlformats.org/officeDocument/2006/relationships/hyperlink" Target="https://www.infiniteblueenergy.com/projects/arrowsmith-hydrogen-plant-stage-1/" TargetMode="External"/><Relationship Id="rId1154" Type="http://schemas.openxmlformats.org/officeDocument/2006/relationships/hyperlink" Target="https://timesofindia.indiatimes.com/city/jaipur/rajasthan-jakson-group-to-set-up-mega-green-hydrogen-ammonia-plant-in-kota/articleshow/95110232.cms" TargetMode="External"/><Relationship Id="rId322" Type="http://schemas.openxmlformats.org/officeDocument/2006/relationships/hyperlink" Target="https://www.h2-view.com/story/itm-power-provides-trading-update/" TargetMode="External"/><Relationship Id="rId564" Type="http://schemas.openxmlformats.org/officeDocument/2006/relationships/hyperlink" Target="https://www.mitsubishicorp.com/jp/en/pr/archive/2021/html/0000047790.html" TargetMode="External"/><Relationship Id="rId1155" Type="http://schemas.openxmlformats.org/officeDocument/2006/relationships/hyperlink" Target="https://www.h2-view.com/story/topsoe-and-aramco-collaborate-to-demonstrate-blue-hydrogen-technology-in-saudi-arabia/2100248.article/" TargetMode="External"/><Relationship Id="rId321" Type="http://schemas.openxmlformats.org/officeDocument/2006/relationships/hyperlink" Target="https://www.spglobal.com/platts/en/market-insights/latest-news/electric-power/062620-swiss-based-hydrospider-goes-operational-for-mobility-sector" TargetMode="External"/><Relationship Id="rId563" Type="http://schemas.openxmlformats.org/officeDocument/2006/relationships/hyperlink" Target="https://www.h2-view.com/story/russias-novatek-set-to-supply-blue-hydrogen-to-rwe/" TargetMode="External"/><Relationship Id="rId1156" Type="http://schemas.openxmlformats.org/officeDocument/2006/relationships/hyperlink" Target="https://www.newswire.ca/news-releases/atco-selected-by-south-australia-as-partner-on-world-s-largest-hydrogen-production-facility-808265891.html" TargetMode="External"/><Relationship Id="rId320" Type="http://schemas.openxmlformats.org/officeDocument/2006/relationships/hyperlink" Target="http://www.ptg-bw.de/presse/aktuelles/detailansicht.html?tx_news_pi1%5Bnews%5D=58&amp;tx_news_pi1%5Bcontroller%5D=News&amp;tx_news_pi1%5Baction%5D=detail&amp;cHash=37b9fda8cd1d5bfae6899a13f7064801" TargetMode="External"/><Relationship Id="rId562" Type="http://schemas.openxmlformats.org/officeDocument/2006/relationships/hyperlink" Target="https://www.h2-view.com/story/australia-to-gain-hydrogen-production-project-with-a-900-tonne-per-day-capacity-by-2031/" TargetMode="External"/><Relationship Id="rId1157" Type="http://schemas.openxmlformats.org/officeDocument/2006/relationships/hyperlink" Target="https://direct.argusmedia.com/newsandanalysis/article/2500004" TargetMode="External"/><Relationship Id="rId1147" Type="http://schemas.openxmlformats.org/officeDocument/2006/relationships/hyperlink" Target="https://www.kbr.com/en/insights-news/press-release/kbr-wins-blue-hydrogen-technology-and-engineering-contract-eet-hydrogen" TargetMode="External"/><Relationship Id="rId1148" Type="http://schemas.openxmlformats.org/officeDocument/2006/relationships/hyperlink" Target="https://www.industryandenergy.eu/hydrogen/trafigura-takes-control-of-h2-energy-europe-to-boost-green-hydrogen/" TargetMode="External"/><Relationship Id="rId1149" Type="http://schemas.openxmlformats.org/officeDocument/2006/relationships/hyperlink" Target="https://chemicalparks.eu/news/madoquapower2x-investment-green-hydrogen-production-sines-portugal" TargetMode="External"/><Relationship Id="rId316" Type="http://schemas.openxmlformats.org/officeDocument/2006/relationships/hyperlink" Target="https://www.equinor.com/en/what-we-do/h2hsaltend.html" TargetMode="External"/><Relationship Id="rId558" Type="http://schemas.openxmlformats.org/officeDocument/2006/relationships/hyperlink" Target="https://fuelcellsworks.com/news/empire-state-development-announces-linde-to-invest-17-million-in-first-north-american-pem-electrolyzer-plant-in-new-york-state/?mc_cid=77e2194253&amp;mc_eid=da4624d261" TargetMode="External"/><Relationship Id="rId315" Type="http://schemas.openxmlformats.org/officeDocument/2006/relationships/hyperlink" Target="https://www.h2-view.com/story/plans-unveiled-for-north-queenslands-first-renewable-hydrogen-facility/" TargetMode="External"/><Relationship Id="rId557" Type="http://schemas.openxmlformats.org/officeDocument/2006/relationships/hyperlink" Target="https://fuelcellsworks.com/news/ineos-announces-over-e2-billion-investment-in-green-hydrogen-production/?mc_cid=8a8bc1ef04&amp;mc_eid=da4624d261" TargetMode="External"/><Relationship Id="rId799" Type="http://schemas.openxmlformats.org/officeDocument/2006/relationships/hyperlink" Target="https://vighy.france-hydrogene.org/projets/effi-h2-vannes/" TargetMode="External"/><Relationship Id="rId314" Type="http://schemas.openxmlformats.org/officeDocument/2006/relationships/hyperlink" Target="https://fuelcellsworks.com/news/sun-metals-to-build-queensland-first-renewable-hydrogen-plant/" TargetMode="External"/><Relationship Id="rId556" Type="http://schemas.openxmlformats.org/officeDocument/2006/relationships/hyperlink" Target="https://www.youtube.com/watch?v=Hkub341JQxA" TargetMode="External"/><Relationship Id="rId798" Type="http://schemas.openxmlformats.org/officeDocument/2006/relationships/hyperlink" Target="https://www.bdi.fr/en/hygo-the-renewable-hydrogen-production-project-on-the-michelin-site-in-vannes-has-been-launched/" TargetMode="External"/><Relationship Id="rId313" Type="http://schemas.openxmlformats.org/officeDocument/2006/relationships/hyperlink" Target="https://www.engie.cl/enaex-engie-la-transicion-hacia-el-cero-carbono-en-la-mineria-chilena/" TargetMode="External"/><Relationship Id="rId555" Type="http://schemas.openxmlformats.org/officeDocument/2006/relationships/hyperlink" Target="https://www.total-eren.com/wp-content/uploads/2021/12/PR-Chile_H2_02122021_EN_FINAL-TC_pp_V2.pdf" TargetMode="External"/><Relationship Id="rId797" Type="http://schemas.openxmlformats.org/officeDocument/2006/relationships/hyperlink" Target="https://www.linde.com/news-media/press-releases/2022/linde-inaugurates-world-s-first-hydrogen-refueling-system-for-passenger-trains" TargetMode="External"/><Relationship Id="rId319" Type="http://schemas.openxmlformats.org/officeDocument/2006/relationships/hyperlink" Target="https://www.thechemicalengineer.com/news/two-new-large-scale-ccus-facilities-now-in-operation/" TargetMode="External"/><Relationship Id="rId318" Type="http://schemas.openxmlformats.org/officeDocument/2006/relationships/hyperlink" Target="https://www.toshiba-energy.com/en/hydrogen/results/index.htm" TargetMode="External"/><Relationship Id="rId317" Type="http://schemas.openxmlformats.org/officeDocument/2006/relationships/hyperlink" Target="https://en.media.airliquide.com/news/air-liquide-will-build-the-first-high-pressure-hydrogen-refueling-station-for-long-haul-trucks-in-europe-803c-56033.html" TargetMode="External"/><Relationship Id="rId559" Type="http://schemas.openxmlformats.org/officeDocument/2006/relationships/hyperlink" Target="https://www.linde.com/news-media/press-releases/2022/linde-to-increase-green-hydrogen-production-in-the-united-states" TargetMode="External"/><Relationship Id="rId550" Type="http://schemas.openxmlformats.org/officeDocument/2006/relationships/hyperlink" Target="https://fuelcellsworks.com/news/gev-to-develop-2-8-gw-green-hydrogen-export-project-tiwi-islands-australia/" TargetMode="External"/><Relationship Id="rId792" Type="http://schemas.openxmlformats.org/officeDocument/2006/relationships/hyperlink" Target="https://multiplhy-project.eu/Pages/Latest-News.aspx" TargetMode="External"/><Relationship Id="rId791" Type="http://schemas.openxmlformats.org/officeDocument/2006/relationships/hyperlink" Target="https://www.liquidwind.se/news/liquid-wind-announces-full-ownership-transition-to-orsted-of-flagshipone" TargetMode="External"/><Relationship Id="rId1140" Type="http://schemas.openxmlformats.org/officeDocument/2006/relationships/hyperlink" Target="https://direct.argusmedia.com/newsandanalysis/article/2486110" TargetMode="External"/><Relationship Id="rId790" Type="http://schemas.openxmlformats.org/officeDocument/2006/relationships/hyperlink" Target="http://www.fuelcellchina.com/Industry_information_details/130.html" TargetMode="External"/><Relationship Id="rId1141" Type="http://schemas.openxmlformats.org/officeDocument/2006/relationships/hyperlink" Target="https://direct.argusmedia.com/newsandanalysis/article/2497228" TargetMode="External"/><Relationship Id="rId1142" Type="http://schemas.openxmlformats.org/officeDocument/2006/relationships/hyperlink" Target="https://www.hydrogeninsight.com/production/second-major-blue-hydrogen-project-reaches-final-investment-decision-in-rotterdam/2-1-1574743" TargetMode="External"/><Relationship Id="rId312" Type="http://schemas.openxmlformats.org/officeDocument/2006/relationships/hyperlink" Target="https://www.fluxys.com/en/news/fluxys-belgium/2020/200422_news_gas_for_climate_study" TargetMode="External"/><Relationship Id="rId554" Type="http://schemas.openxmlformats.org/officeDocument/2006/relationships/hyperlink" Target="https://www.woodplc.com/news/latest-press-releases/2021/Wood-and-HYGEN-Energy-to-accelerate-green-hydrogen-production-in-the-UK" TargetMode="External"/><Relationship Id="rId796" Type="http://schemas.openxmlformats.org/officeDocument/2006/relationships/hyperlink" Target="https://www.wiva.at/project/uphy-i-ii/?lang=en" TargetMode="External"/><Relationship Id="rId1143" Type="http://schemas.openxmlformats.org/officeDocument/2006/relationships/hyperlink" Target="https://direct.argusmedia.com/newsandanalysis/Article/2497352" TargetMode="External"/><Relationship Id="rId311" Type="http://schemas.openxmlformats.org/officeDocument/2006/relationships/hyperlink" Target="https://participa.pt/contents/consultationdocument/Estrate%CC%81gia%20Nacional%20para%20o%20Hidroge%CC%81nio%20DRAFT%20publicac%CC%A7ao.pdf" TargetMode="External"/><Relationship Id="rId553" Type="http://schemas.openxmlformats.org/officeDocument/2006/relationships/hyperlink" Target="https://www.rtbf.be/info/belgique/detail_cop26-la-belgique-importera-de-l-hydrogene-vert-produit-en-namibie?id=10873065" TargetMode="External"/><Relationship Id="rId795" Type="http://schemas.openxmlformats.org/officeDocument/2006/relationships/hyperlink" Target="https://djewels.eu/final-permit-for-pioneering-green-hydrogen-project-djewels/" TargetMode="External"/><Relationship Id="rId1144" Type="http://schemas.openxmlformats.org/officeDocument/2006/relationships/hyperlink" Target="https://direct.argusmedia.com/newsandanalysis/article/2451947" TargetMode="External"/><Relationship Id="rId310" Type="http://schemas.openxmlformats.org/officeDocument/2006/relationships/hyperlink" Target="https://expresso.pt/economia/2019-12-11-EDP-avanca-com-dois-projetos-inovadores-para-produzir-hidrogenio" TargetMode="External"/><Relationship Id="rId552" Type="http://schemas.openxmlformats.org/officeDocument/2006/relationships/hyperlink" Target="https://mcphy.com/en/press-releases/cooperation-agreement-with-enel-green-power/?cn-reloaded=1&amp;cn-reloaded=1" TargetMode="External"/><Relationship Id="rId794" Type="http://schemas.openxmlformats.org/officeDocument/2006/relationships/hyperlink" Target="https://www.hysolar.nl/nieuws/groene-waterstof-krijgt-vaart/" TargetMode="External"/><Relationship Id="rId1145" Type="http://schemas.openxmlformats.org/officeDocument/2006/relationships/hyperlink" Target="https://hydronews.it/oltre-220-milioni-di-euro-di-investimenti-e-30-mw-di-elettrolisi-il-progetto-di-infinite-green-energy-italia-per-produrre-idrogeno-verde-in-abruzzo/" TargetMode="External"/><Relationship Id="rId551" Type="http://schemas.openxmlformats.org/officeDocument/2006/relationships/hyperlink" Target="https://www.dawn.com/news/1653735" TargetMode="External"/><Relationship Id="rId793" Type="http://schemas.openxmlformats.org/officeDocument/2006/relationships/hyperlink" Target="https://energynews.biz/douglas-county-pud-proceeding-with-construction-of-hydrogen-plant/" TargetMode="External"/><Relationship Id="rId1146" Type="http://schemas.openxmlformats.org/officeDocument/2006/relationships/hyperlink" Target="https://indonesiabusinesspost.com/risks-opportunities/pln-pioneers-green-hydrogen-production-in-indonesia-aiming-for-game-changing-energy-transition/" TargetMode="External"/><Relationship Id="rId297" Type="http://schemas.openxmlformats.org/officeDocument/2006/relationships/hyperlink" Target="https://reneweconomy.com.au/massive-1000mw-baseload-wind-solar-and-hydrogen-plant-pitched-for-nsw-16049/" TargetMode="External"/><Relationship Id="rId296" Type="http://schemas.openxmlformats.org/officeDocument/2006/relationships/hyperlink" Target="https://cordis.europa.eu/project/id/884229/es" TargetMode="External"/><Relationship Id="rId295" Type="http://schemas.openxmlformats.org/officeDocument/2006/relationships/hyperlink" Target="https://fuelcellsworks.com/news/hyflexpower-the-worlds-first-integrated-power-to-x-to-power-hydrogen-gas-turbine-demonstrator/" TargetMode="External"/><Relationship Id="rId294" Type="http://schemas.openxmlformats.org/officeDocument/2006/relationships/hyperlink" Target="https://www.prnewswire.co.uk/news-releases/launch-of-sweden-s-largest-carbon-capture-and-storage-plant-801623131.html" TargetMode="External"/><Relationship Id="rId299" Type="http://schemas.openxmlformats.org/officeDocument/2006/relationships/hyperlink" Target="http://www.renewableh2canada.ca/" TargetMode="External"/><Relationship Id="rId298" Type="http://schemas.openxmlformats.org/officeDocument/2006/relationships/hyperlink" Target="https://www.norsk-e-fuel.com/en/" TargetMode="External"/><Relationship Id="rId271" Type="http://schemas.openxmlformats.org/officeDocument/2006/relationships/hyperlink" Target="https://asianrehub.com/about/" TargetMode="External"/><Relationship Id="rId270" Type="http://schemas.openxmlformats.org/officeDocument/2006/relationships/hyperlink" Target="https://www.greencarcongress.com/2020/02/20200219-gigastack.html" TargetMode="External"/><Relationship Id="rId269" Type="http://schemas.openxmlformats.org/officeDocument/2006/relationships/hyperlink" Target="https://futuregas.dk/wp-content/uploads/2018/06/FutureGas-WP1-Deliverable-1.1.1.-Technologies-and-status-of-methanation-of-biogas-2017_Final.pdf" TargetMode="External"/><Relationship Id="rId264" Type="http://schemas.openxmlformats.org/officeDocument/2006/relationships/hyperlink" Target="https://www.worldenergy.org/assets/downloads/1Hydrogen-an-enabler-of-the-Grand-Transition_FEL_WEC_2018_Final.pdf" TargetMode="External"/><Relationship Id="rId263" Type="http://schemas.openxmlformats.org/officeDocument/2006/relationships/hyperlink" Target="http://www.lifesciencesite.com/lsj/life0904/028_10515life0904_191_196.pdf" TargetMode="External"/><Relationship Id="rId262" Type="http://schemas.openxmlformats.org/officeDocument/2006/relationships/hyperlink" Target="https://www.greencarcongress.com/2016/03/20160304-h2logic.html" TargetMode="External"/><Relationship Id="rId261" Type="http://schemas.openxmlformats.org/officeDocument/2006/relationships/hyperlink" Target="http://www.rtsafrica.co.za/Documents/NEL%20Hydrogen%20Brochure.pdf" TargetMode="External"/><Relationship Id="rId268" Type="http://schemas.openxmlformats.org/officeDocument/2006/relationships/hyperlink" Target="https://blog.topsoe.com/topsoe-to-build-demonstration-plant-to-produce-cost-competitive-co2-neutral-methanol-from-biogas-and-green-electricity" TargetMode="External"/><Relationship Id="rId267" Type="http://schemas.openxmlformats.org/officeDocument/2006/relationships/hyperlink" Target="https://www.hitachizosen.co.jp/english/news/2019/10/003405.html" TargetMode="External"/><Relationship Id="rId266" Type="http://schemas.openxmlformats.org/officeDocument/2006/relationships/hyperlink" Target="https://www.arci.res.in/facilities-cfct" TargetMode="External"/><Relationship Id="rId265" Type="http://schemas.openxmlformats.org/officeDocument/2006/relationships/hyperlink" Target="http://www.amm-mcrc.org/Download/source/MCRCBrouchure.pdf" TargetMode="External"/><Relationship Id="rId260" Type="http://schemas.openxmlformats.org/officeDocument/2006/relationships/hyperlink" Target="https://www.zerocarbonhumber.co.uk/wp-content/uploads/2019/11/HUMBER-DIGITAL-V4.6-reduced.pdf" TargetMode="External"/><Relationship Id="rId259" Type="http://schemas.openxmlformats.org/officeDocument/2006/relationships/hyperlink" Target="https://windeurope.org/wp-content/uploads/files/misc/20190130-p2g-workshop/190129-4-Wind2hydrogen-OMV.pdf" TargetMode="External"/><Relationship Id="rId258" Type="http://schemas.openxmlformats.org/officeDocument/2006/relationships/hyperlink" Target="https://www.sciencedirect.com/science/article/pii/S1464285915301243" TargetMode="External"/><Relationship Id="rId253" Type="http://schemas.openxmlformats.org/officeDocument/2006/relationships/hyperlink" Target="https://pale-blu.com/acorn/" TargetMode="External"/><Relationship Id="rId495" Type="http://schemas.openxmlformats.org/officeDocument/2006/relationships/hyperlink" Target="https://www.zawya.com/mena/en/business/story/Moroccos_first_green_hydrogen_project_to_start_production_in_2025-ZAWYA20210524060307/" TargetMode="External"/><Relationship Id="rId252" Type="http://schemas.openxmlformats.org/officeDocument/2006/relationships/hyperlink" Target="http://www.teessidecollective.co.uk/project/what-we-do/" TargetMode="External"/><Relationship Id="rId494" Type="http://schemas.openxmlformats.org/officeDocument/2006/relationships/hyperlink" Target="https://www.reuters.com/business/sustainable-business/chinas-sinopec-targets-500000-t-green-hydrogen-capacity-by-2025-2021-06-09/" TargetMode="External"/><Relationship Id="rId251" Type="http://schemas.openxmlformats.org/officeDocument/2006/relationships/hyperlink" Target="http://www.labtech-hydrogen.com/index.php?page=IHAVU" TargetMode="External"/><Relationship Id="rId493" Type="http://schemas.openxmlformats.org/officeDocument/2006/relationships/hyperlink" Target="https://www.axios.com/2022/03/10/plug-power-taps-abb-for-300m-hydrogen-plants" TargetMode="External"/><Relationship Id="rId250" Type="http://schemas.openxmlformats.org/officeDocument/2006/relationships/hyperlink" Target="https://slideplayer.com/slide/4218317/" TargetMode="External"/><Relationship Id="rId492" Type="http://schemas.openxmlformats.org/officeDocument/2006/relationships/hyperlink" Target="https://adnoc.ae/en/news-and-media/press-releases/2021/adnoc-to-build-world-scale-blue-ammonia-project" TargetMode="External"/><Relationship Id="rId257" Type="http://schemas.openxmlformats.org/officeDocument/2006/relationships/hyperlink" Target="https://news.bloombergenvironment.com/environment-and-energy/chinas-ningxia-plans-198-million-solar-hydrogen-project" TargetMode="External"/><Relationship Id="rId499" Type="http://schemas.openxmlformats.org/officeDocument/2006/relationships/hyperlink" Target="https://www.energie.fraunhofer.de/en/press-media/press-release/press-releases-2020/PI-200729-fraunhofer-igb-Fraunhofer-research-for-German-Moroccan-hydrogen-initiative.html" TargetMode="External"/><Relationship Id="rId256" Type="http://schemas.openxmlformats.org/officeDocument/2006/relationships/hyperlink" Target="https://www.lemvigbiogas.com/MeGa-stoREfinalreport.pdf" TargetMode="External"/><Relationship Id="rId498" Type="http://schemas.openxmlformats.org/officeDocument/2006/relationships/hyperlink" Target="https://www.elecnor.com/noticias/enerfin-construira-una-planta-de-hidrogeno-verde-en-el-puerto-exterior-de-a-coruna" TargetMode="External"/><Relationship Id="rId255" Type="http://schemas.openxmlformats.org/officeDocument/2006/relationships/hyperlink" Target="https://www.navy.mil/submit/display.asp?story_id=92948" TargetMode="External"/><Relationship Id="rId497" Type="http://schemas.openxmlformats.org/officeDocument/2006/relationships/hyperlink" Target="https://www.independent.ie/business/irish/ei-h2-and-zenith-announce-plans-for-green-hydrogen-plant-in-bantry-bay-40623074.html" TargetMode="External"/><Relationship Id="rId254" Type="http://schemas.openxmlformats.org/officeDocument/2006/relationships/hyperlink" Target="https://nelhydrogen.com/press-release/nel-asa-awarded-contract-with-asko-for-hydrogen-production-and-fueling-solution-in-trondheim/" TargetMode="External"/><Relationship Id="rId496" Type="http://schemas.openxmlformats.org/officeDocument/2006/relationships/hyperlink" Target="https://www.rechargenews.com/energy-transition/global-green-hydrogen-pipeline-exceeds-200gw-heres-the-25-largest-gigawatt-scale-projects/2-1-933755" TargetMode="External"/><Relationship Id="rId293" Type="http://schemas.openxmlformats.org/officeDocument/2006/relationships/hyperlink" Target="https://www.akersolutions.com/news/news-archive/2020/aker-solutions-starts-ccs-test-program-at-preem-refinery-in-sweden/" TargetMode="External"/><Relationship Id="rId292" Type="http://schemas.openxmlformats.org/officeDocument/2006/relationships/hyperlink" Target="https://www.greentechmedia.com/articles/read/orsted-to-power-decarbonization-hub-for-land-sea-and-air-transport?utm_medium=email&amp;utm_source=Daily&amp;utm_campaign=GTMDaily" TargetMode="External"/><Relationship Id="rId291" Type="http://schemas.openxmlformats.org/officeDocument/2006/relationships/hyperlink" Target="https://www.h2-view.com/story/new-project-to-deploy-100-hydrogen-buses-in-australian-cities/" TargetMode="External"/><Relationship Id="rId290" Type="http://schemas.openxmlformats.org/officeDocument/2006/relationships/hyperlink" Target="https://www.environmentalleader.com/2020/05/lancaster-renewable-hydrogen-project/" TargetMode="External"/><Relationship Id="rId286" Type="http://schemas.openxmlformats.org/officeDocument/2006/relationships/hyperlink" Target="https://fuelcellsworks.com/news/poland-pgnig-launches-new-hydrogen-program/" TargetMode="External"/><Relationship Id="rId285" Type="http://schemas.openxmlformats.org/officeDocument/2006/relationships/hyperlink" Target="https://hy-gro.net/en/newsitem/press-release-hydrogen-turbine-construction-starts?" TargetMode="External"/><Relationship Id="rId284" Type="http://schemas.openxmlformats.org/officeDocument/2006/relationships/hyperlink" Target="https://www.chemengonline.com/new-power-to-methanol-project-announced-by-inovyn/?printmode=1" TargetMode="External"/><Relationship Id="rId283" Type="http://schemas.openxmlformats.org/officeDocument/2006/relationships/hyperlink" Target="https://www.bp.com/en/global/corporate/news-and-insights/press-releases/bp-australia-announces-feasibility-study-into-hydrogen-energy-production-facility.html" TargetMode="External"/><Relationship Id="rId289" Type="http://schemas.openxmlformats.org/officeDocument/2006/relationships/hyperlink" Target="https://www.ft.com/content/6d2c8d8a-a767-4e41-b0f9-3237dd711597?accessToken=zwAAAXJQhZAwkc9tLI2Kp2dOQdOw-TI33XEVlw.MEQCIFbbu4ednBgMr7ty8-leTb2ABXr6ZWZO8f7qIQdh2DBuAiArmcOs7I_iwQsuldRZyPtKHW3QuEPTIdd6OeJ-6prMfQ&amp;sharetype=gift?token=ceb073f4-fef6-4d9f-8f7c-555db5cefb96" TargetMode="External"/><Relationship Id="rId288" Type="http://schemas.openxmlformats.org/officeDocument/2006/relationships/hyperlink" Target="http://www.seafuel.eu/es/inicio/" TargetMode="External"/><Relationship Id="rId287" Type="http://schemas.openxmlformats.org/officeDocument/2006/relationships/hyperlink" Target="http://ely4off.eu/wp-content/uploads/2019/12/prd20191_ely4off.pdf" TargetMode="External"/><Relationship Id="rId282" Type="http://schemas.openxmlformats.org/officeDocument/2006/relationships/hyperlink" Target="https://www.h2-view.com/story/shell-wants-to-create-a-green-hydrogen-hub-in-the-port-of-rotterdam/" TargetMode="External"/><Relationship Id="rId281" Type="http://schemas.openxmlformats.org/officeDocument/2006/relationships/hyperlink" Target="https://energiewerkplaatsbrabant.nl/nieuws+pnb/energiefestival+hoofdpagina/energiefestival+2019+-+presentaties/energiefestival+documenten+en+verslagen/handlerdownloadfiles.ashx?idnv=1492307" TargetMode="External"/><Relationship Id="rId280" Type="http://schemas.openxmlformats.org/officeDocument/2006/relationships/hyperlink" Target="https://douglaspud.org/Pages/Bid-Document.aspx?biddocumentnumber=20-08-D" TargetMode="External"/><Relationship Id="rId275" Type="http://schemas.openxmlformats.org/officeDocument/2006/relationships/hyperlink" Target="https://ijglobal.com/articles/147180/western-australia-green-hydrogen-project-progressing" TargetMode="External"/><Relationship Id="rId274" Type="http://schemas.openxmlformats.org/officeDocument/2006/relationships/hyperlink" Target="http://www.haeolus.eu/wp-content/uploads/2020/04/SINTEF-2020-00179.pdf" TargetMode="External"/><Relationship Id="rId273" Type="http://schemas.openxmlformats.org/officeDocument/2006/relationships/hyperlink" Target="https://www.rechargenews.com/transition/portugal-plans-5bn-green-hydrogen-plant-to-lead-covid-fightback-report/2-1-801284" TargetMode="External"/><Relationship Id="rId272" Type="http://schemas.openxmlformats.org/officeDocument/2006/relationships/hyperlink" Target="https://www.pv-magazine.com/2019/10/08/siemens-backs-5-gw-green-hydrogen-plan-for-australia/" TargetMode="External"/><Relationship Id="rId279" Type="http://schemas.openxmlformats.org/officeDocument/2006/relationships/hyperlink" Target="https://www.ogauthority.co.uk/media/6220/ogauthoritysharepointcom-ssl-davwwwroot-sites-ecm-tbw3-documents-files-exchange-malcolm-workshop-slides-301019-neptune.pdf" TargetMode="External"/><Relationship Id="rId278" Type="http://schemas.openxmlformats.org/officeDocument/2006/relationships/hyperlink" Target="https://allesoverwaterstof.nl/film-nederlands-offshore-waterstofinstallatie-poshydon/" TargetMode="External"/><Relationship Id="rId277" Type="http://schemas.openxmlformats.org/officeDocument/2006/relationships/hyperlink" Target="https://allesoverwaterstof.nl/mega-waterstofproject-opgestart-in-nieuwegein/" TargetMode="External"/><Relationship Id="rId276" Type="http://schemas.openxmlformats.org/officeDocument/2006/relationships/hyperlink" Target="https://www.pv-magazine.com/2020/04/30/chinese-coal-miner-starts-work-on-worlds-biggest-green-hydrogen-facility/" TargetMode="External"/><Relationship Id="rId907" Type="http://schemas.openxmlformats.org/officeDocument/2006/relationships/hyperlink" Target="https://www.ohpsa.sa.gov.au/about-the-project" TargetMode="External"/><Relationship Id="rId906" Type="http://schemas.openxmlformats.org/officeDocument/2006/relationships/hyperlink" Target="https://www.prnewswire.com/news-releases/air-products-and-aes-announce-plans-to-invest-approximately-4-billion-to-build-first-mega-scale-green-hydrogen-production-facility-in-texas-301697873.html" TargetMode="External"/><Relationship Id="rId905" Type="http://schemas.openxmlformats.org/officeDocument/2006/relationships/hyperlink" Target="https://www.aesandes.com/en/aes-andes-launches-first-green-hydrogen-open-season-chile-its-adelaida-project" TargetMode="External"/><Relationship Id="rId904" Type="http://schemas.openxmlformats.org/officeDocument/2006/relationships/hyperlink" Target="https://fuelcellsworks.com/news/acwa-power-signs-mou-with-pupuk-indonesia-for-large-scale-green-hydrogen-project/" TargetMode="External"/><Relationship Id="rId909" Type="http://schemas.openxmlformats.org/officeDocument/2006/relationships/hyperlink" Target="https://research.csiro.au/hyresource/mid-west-clean-energy-project/" TargetMode="External"/><Relationship Id="rId908" Type="http://schemas.openxmlformats.org/officeDocument/2006/relationships/hyperlink" Target="https://research.csiro.au/hyresource/bristol-springs-solar-hydrogen-project/" TargetMode="External"/><Relationship Id="rId903" Type="http://schemas.openxmlformats.org/officeDocument/2006/relationships/hyperlink" Target="https://energynews.biz/ssab-and-fortum-explore-hydrogen-reduced-sponge-iron-production/" TargetMode="External"/><Relationship Id="rId902" Type="http://schemas.openxmlformats.org/officeDocument/2006/relationships/hyperlink" Target="https://www.offshore-energy.biz/everwind-fuels-receives-environmental-approval-for-point-tupper-project/" TargetMode="External"/><Relationship Id="rId901" Type="http://schemas.openxmlformats.org/officeDocument/2006/relationships/hyperlink" Target="https://everwindfuels.com/projects/point_tupper" TargetMode="External"/><Relationship Id="rId900" Type="http://schemas.openxmlformats.org/officeDocument/2006/relationships/hyperlink" Target="https://hxgenergymaterials.com.au/wp-content/uploads/2022/03/Hexagons-West-Australian-Blue-Ammonia-Project.pdf" TargetMode="External"/><Relationship Id="rId929" Type="http://schemas.openxmlformats.org/officeDocument/2006/relationships/hyperlink" Target="https://nelhydrogen.com/press-release/nel-asa-receives-purchase-order-for-a-containerized-electrolyser-for-sustainable-aviation-fuel-production/" TargetMode="External"/><Relationship Id="rId928" Type="http://schemas.openxmlformats.org/officeDocument/2006/relationships/hyperlink" Target="https://www.cleanhydrogenworks.com/_files/ugd/9b794f_71f2bbea67dc4ebb8ab789194a19132a.pdf" TargetMode="External"/><Relationship Id="rId927" Type="http://schemas.openxmlformats.org/officeDocument/2006/relationships/hyperlink" Target="https://www.nrf.ac.za/sasols-energy-transition-collaboration-on-the-hydrogen-economy/" TargetMode="External"/><Relationship Id="rId926" Type="http://schemas.openxmlformats.org/officeDocument/2006/relationships/hyperlink" Target="https://www.argusmedia.com/en/news/2371492-indias-jindal-stainless-hygenco-plan-green-h2-plant" TargetMode="External"/><Relationship Id="rId921" Type="http://schemas.openxmlformats.org/officeDocument/2006/relationships/hyperlink" Target="https://www.technipenergies.com/en/media/news/hy2gen-ag-commissions-technip-energies-complete-pre-feed-study-its-renewable-hydrogen" TargetMode="External"/><Relationship Id="rId920" Type="http://schemas.openxmlformats.org/officeDocument/2006/relationships/hyperlink" Target="https://www.hydeal.com/copie-de-hydeal-ambition" TargetMode="External"/><Relationship Id="rId925" Type="http://schemas.openxmlformats.org/officeDocument/2006/relationships/hyperlink" Target="https://www.constructionweekonline.in/projects-tenders/hygenco-installs-indias-first-green-hydrogen-demo-plant-in-ujjain" TargetMode="External"/><Relationship Id="rId924" Type="http://schemas.openxmlformats.org/officeDocument/2006/relationships/hyperlink" Target="https://fuelcellsworks.com/news/hystar-to-supply-its-world-leading-electrolyser-for-polands-largest-private-energy-group/" TargetMode="External"/><Relationship Id="rId923" Type="http://schemas.openxmlformats.org/officeDocument/2006/relationships/hyperlink" Target="https://www.elpais.com.uy/negocios/noticias/lacalle-pou-anuncia-planta-de-hidrogeno-verde-en-paysandu-con-inversion-de-mas-de-us-2-000-millones" TargetMode="External"/><Relationship Id="rId922" Type="http://schemas.openxmlformats.org/officeDocument/2006/relationships/hyperlink" Target="https://www.gub.uy/presidencia/comunicacion/noticias/gobierno-anuncio-inversion-4000-millones-dolares-para-planta-hidrogeno-verde" TargetMode="External"/><Relationship Id="rId918" Type="http://schemas.openxmlformats.org/officeDocument/2006/relationships/hyperlink" Target="https://energynews.biz/morocco-fourth-in-worlds-hydrogen-race-total-eren-launches-10-69bln-hydrogen-megaproject/" TargetMode="External"/><Relationship Id="rId917" Type="http://schemas.openxmlformats.org/officeDocument/2006/relationships/hyperlink" Target="https://www.sasol.com/media-centre/media-releases/sasol-explore-potential-cleaner-aviation-fuels-world-class-partners" TargetMode="External"/><Relationship Id="rId916" Type="http://schemas.openxmlformats.org/officeDocument/2006/relationships/hyperlink" Target="https://www.offshore-mag.com/renewable-energy/article/14286224/tes-ewe-sign-green-hydrogen-accord-for-wilhelmshaven-hub" TargetMode="External"/><Relationship Id="rId915" Type="http://schemas.openxmlformats.org/officeDocument/2006/relationships/hyperlink" Target="https://energynews.biz/danish-renewables-giant-unveils-bold-green-hydrogen-project-in-eyre-peninsula/" TargetMode="External"/><Relationship Id="rId919" Type="http://schemas.openxmlformats.org/officeDocument/2006/relationships/hyperlink" Target="https://madoquaventures.com/projects/" TargetMode="External"/><Relationship Id="rId910" Type="http://schemas.openxmlformats.org/officeDocument/2006/relationships/hyperlink" Target="https://www.bloomenergy.com/news/xcel-energy-and-bloom-energy-to-produce-zero-carbon-hydrogen-at-nuclear-facility/" TargetMode="External"/><Relationship Id="rId914" Type="http://schemas.openxmlformats.org/officeDocument/2006/relationships/hyperlink" Target="https://www.businesswire.com/news/home/20230529005164/en/Pembina-Pipeline-Announces-Agreement-with-Marubeni-Corporation-to-Develop-a-Low-Carbon-Ammonia-Project-and-Outlines-Vision-for-Pembina-Low-Carbon-Complex" TargetMode="External"/><Relationship Id="rId913" Type="http://schemas.openxmlformats.org/officeDocument/2006/relationships/hyperlink" Target="https://www.edpr.com/en/news/2023/01/30/edp-and-cepsa-sign-alliance-promote-andalusian-green-hydrogen-valley" TargetMode="External"/><Relationship Id="rId912" Type="http://schemas.openxmlformats.org/officeDocument/2006/relationships/hyperlink" Target="https://www.hydrogeninsight.com/production/ten-fold-expansion-brazilian-chemicals-giant-unveils-1-5bn-growth-plans-for-green-hydrogen-plant/2-1-1390060" TargetMode="External"/><Relationship Id="rId911" Type="http://schemas.openxmlformats.org/officeDocument/2006/relationships/hyperlink" Target="https://portocentral.com.br/en/cei-energetica-e-porto-central-assinam-para-o-desenvolvimento-de-projeto-de-hidrogenio-verde/" TargetMode="External"/><Relationship Id="rId1213" Type="http://schemas.openxmlformats.org/officeDocument/2006/relationships/hyperlink" Target="https://ren-gas.com/en/projekti/kerava-2/" TargetMode="External"/><Relationship Id="rId1214" Type="http://schemas.openxmlformats.org/officeDocument/2006/relationships/hyperlink" Target="https://ren-gas.com/en/projekti/tampere-2/" TargetMode="External"/><Relationship Id="rId1215" Type="http://schemas.openxmlformats.org/officeDocument/2006/relationships/hyperlink" Target="https://ren-gas.com/en/projekti/lahti-2/" TargetMode="External"/><Relationship Id="rId1216" Type="http://schemas.openxmlformats.org/officeDocument/2006/relationships/hyperlink" Target="https://ren-gas.com/en/projekti/kotka-2/" TargetMode="External"/><Relationship Id="rId1217" Type="http://schemas.openxmlformats.org/officeDocument/2006/relationships/hyperlink" Target="https://ren-gas.com/en/projekti/mikkeli-2/" TargetMode="External"/><Relationship Id="rId1218" Type="http://schemas.openxmlformats.org/officeDocument/2006/relationships/hyperlink" Target="https://ren-gas.com/en/projekti/pori-2/" TargetMode="External"/><Relationship Id="rId1219" Type="http://schemas.openxmlformats.org/officeDocument/2006/relationships/hyperlink" Target="https://www.power-technology.com/news/mitsui-danish-solar-e-methanol-plant/?cf-view" TargetMode="External"/><Relationship Id="rId629" Type="http://schemas.openxmlformats.org/officeDocument/2006/relationships/hyperlink" Target="https://grande-region-hydrogen.eu/en/projects/h2v-warndt-naborien-h2v-wn/" TargetMode="External"/><Relationship Id="rId624" Type="http://schemas.openxmlformats.org/officeDocument/2006/relationships/hyperlink" Target="https://www.adodunav.org/en/news/vodorodniiat-proiekt-v-rusie-prieminava-km-faza-na-osshchiestviavanie" TargetMode="External"/><Relationship Id="rId866" Type="http://schemas.openxmlformats.org/officeDocument/2006/relationships/hyperlink" Target="https://statements.qld.gov.au/statements/97085" TargetMode="External"/><Relationship Id="rId623" Type="http://schemas.openxmlformats.org/officeDocument/2006/relationships/hyperlink" Target="https://h2argus.com/assets/p1-ponyativka-green-hydrogen_ammonia-pv-wind-hydro_whiter.pdf" TargetMode="External"/><Relationship Id="rId865" Type="http://schemas.openxmlformats.org/officeDocument/2006/relationships/hyperlink" Target="https://www.rechargenews.com/energy-transition/us-start-up-to-build-turquoise-hydrogen-pilot-plant-after-securing-funding-from-major-energy-players/2-1-1240970" TargetMode="External"/><Relationship Id="rId622" Type="http://schemas.openxmlformats.org/officeDocument/2006/relationships/hyperlink" Target="https://www.rechargenews.com/energy-transition/-we-will-produce-carbon-negative-green-hydrogen-from-non-recyclable-waste-at-zero-or-below-zero-cost-/2-1-1162744" TargetMode="External"/><Relationship Id="rId864" Type="http://schemas.openxmlformats.org/officeDocument/2006/relationships/hyperlink" Target="https://fuelcellsworks.com/news/sgh2-greener-than-green-hydrogen-plant-gets-green-light/" TargetMode="External"/><Relationship Id="rId621" Type="http://schemas.openxmlformats.org/officeDocument/2006/relationships/hyperlink" Target="https://cincodias.elpais.com/cincodias/2021/02/05/companias/1612525996_216085.html" TargetMode="External"/><Relationship Id="rId863" Type="http://schemas.openxmlformats.org/officeDocument/2006/relationships/hyperlink" Target="https://www.norsk-e-fuel.com/articles/partnership_with_norwegian" TargetMode="External"/><Relationship Id="rId628" Type="http://schemas.openxmlformats.org/officeDocument/2006/relationships/hyperlink" Target="https://h2v.net/projet/projet-h2v-marseille-fos/" TargetMode="External"/><Relationship Id="rId627" Type="http://schemas.openxmlformats.org/officeDocument/2006/relationships/hyperlink" Target="https://h2v.net/projet/projet-h2v-59/" TargetMode="External"/><Relationship Id="rId869" Type="http://schemas.openxmlformats.org/officeDocument/2006/relationships/hyperlink" Target="https://www.canarygreen.org/seafuels-refuelling-station/" TargetMode="External"/><Relationship Id="rId626" Type="http://schemas.openxmlformats.org/officeDocument/2006/relationships/hyperlink" Target="https://balkanengineer.com/news/bulgarian-city-builds-charging-station-green-hydrogen" TargetMode="External"/><Relationship Id="rId868" Type="http://schemas.openxmlformats.org/officeDocument/2006/relationships/hyperlink" Target="http://www.rmlt.com.cn/2022/0424/645540.shtml" TargetMode="External"/><Relationship Id="rId625" Type="http://schemas.openxmlformats.org/officeDocument/2006/relationships/hyperlink" Target="https://portodeaveiro.pt/webinar-decarbonising-small-medium-ports/pdfs/session-two/8-Bulgarian-Romanian-Cooperation-Maria-Tzancova-&amp;-Forin-Nemtanu.pdf" TargetMode="External"/><Relationship Id="rId867" Type="http://schemas.openxmlformats.org/officeDocument/2006/relationships/hyperlink" Target="https://fuelcellsworks.com/news/hyvia-installs-first-electrolyzer-in-flins-plant-accelerating-hydrogen-mobility-ecosystem/?mc_cid=12e0faa137&amp;mc_eid=da4624d261" TargetMode="External"/><Relationship Id="rId620" Type="http://schemas.openxmlformats.org/officeDocument/2006/relationships/hyperlink" Target="https://elvagonpurpura.com/heilbronn-quiere-enviar-trenes-llenos-de-hidrogeno-verde-a-karlsruhe/" TargetMode="External"/><Relationship Id="rId862" Type="http://schemas.openxmlformats.org/officeDocument/2006/relationships/hyperlink" Target="https://www.castanet.net/news/BC/416117/Hydra-Energys-62M-hydrogen-production-plant-approved-in-Prince-George" TargetMode="External"/><Relationship Id="rId861" Type="http://schemas.openxmlformats.org/officeDocument/2006/relationships/hyperlink" Target="https://www.princegeorgecitizen.com/local-news/prince-george-breaks-ground-on-worlds-largest-hydrogen-refuelling-station-5848061" TargetMode="External"/><Relationship Id="rId1210" Type="http://schemas.openxmlformats.org/officeDocument/2006/relationships/hyperlink" Target="https://direct.argusmedia.com/newsandanalysis/Article/2503507" TargetMode="External"/><Relationship Id="rId860" Type="http://schemas.openxmlformats.org/officeDocument/2006/relationships/hyperlink" Target="https://mcphy.com/en/achievements/hydrogen-mobility-en/zero-emission-valley-zev/" TargetMode="External"/><Relationship Id="rId1211" Type="http://schemas.openxmlformats.org/officeDocument/2006/relationships/hyperlink" Target="https://direct.argusmedia.com/newsandanalysis/Article/2513338" TargetMode="External"/><Relationship Id="rId1212" Type="http://schemas.openxmlformats.org/officeDocument/2006/relationships/hyperlink" Target="https://direct.argusmedia.com/newsandanalysis/article/2509646?keywords=en.it" TargetMode="External"/><Relationship Id="rId1202" Type="http://schemas.openxmlformats.org/officeDocument/2006/relationships/hyperlink" Target="https://www.hydrogeninsight.com/production/largest-in-europe-air-products-announces-blue-hydrogen-plant-at-rotterdam-linked-to-dutch-offshore-ccs-network/2-1-1549667" TargetMode="External"/><Relationship Id="rId1203" Type="http://schemas.openxmlformats.org/officeDocument/2006/relationships/hyperlink" Target="https://www.businesswire.com/news/home/20230718825639/en/Air-Liquide-signs-new-green-financing-for-low-carbon-hydrogen-production-in-China-aligned-with-EU-Taxonomy" TargetMode="External"/><Relationship Id="rId1204" Type="http://schemas.openxmlformats.org/officeDocument/2006/relationships/hyperlink" Target="https://calgaryherald.com/opinion/columnists/varcoe-dow-to-invest-8-8-billion-in-alberta-net-zero-petrochemical-project" TargetMode="External"/><Relationship Id="rId1205" Type="http://schemas.openxmlformats.org/officeDocument/2006/relationships/hyperlink" Target="https://energynews.biz/adnoc-to-invest-17bn-in-major-carbon-capture-and-hydrogen-project/" TargetMode="External"/><Relationship Id="rId1206" Type="http://schemas.openxmlformats.org/officeDocument/2006/relationships/hyperlink" Target="https://8rivers.com/8-rivers-8rh2-ultra-low-carbon-hydrogen-technology-announcement/" TargetMode="External"/><Relationship Id="rId1207" Type="http://schemas.openxmlformats.org/officeDocument/2006/relationships/hyperlink" Target="https://energynews.biz/saudi-arabias-aramco-sets-sights-on-hydrogen/" TargetMode="External"/><Relationship Id="rId1208" Type="http://schemas.openxmlformats.org/officeDocument/2006/relationships/hyperlink" Target="https://direct.argusmedia.com/newsandanalysis/Article/2502785" TargetMode="External"/><Relationship Id="rId1209" Type="http://schemas.openxmlformats.org/officeDocument/2006/relationships/hyperlink" Target="https://direct.argusmedia.com/newsandanalysis/Article/2508805" TargetMode="External"/><Relationship Id="rId619" Type="http://schemas.openxmlformats.org/officeDocument/2006/relationships/hyperlink" Target="https://fptaximadrid.es/la-fptm-impulsa-el-mayor-proyecto-de-movilidad-publica-con-hidrogeno-verde/" TargetMode="External"/><Relationship Id="rId618" Type="http://schemas.openxmlformats.org/officeDocument/2006/relationships/hyperlink" Target="https://espana.edp.com/en/news/2021/05/21/edp-presents-its-energy-transition-projects-asturias-offshore-wind-farm-and" TargetMode="External"/><Relationship Id="rId613" Type="http://schemas.openxmlformats.org/officeDocument/2006/relationships/hyperlink" Target="https://www.rwe.com/en/press/rwe-ag/2022-03-24-oge-and-rwe-present-national-infrastructure-concept--h2ercules" TargetMode="External"/><Relationship Id="rId855" Type="http://schemas.openxmlformats.org/officeDocument/2006/relationships/hyperlink" Target="https://mfgt.hu/en/Akvamarin" TargetMode="External"/><Relationship Id="rId612" Type="http://schemas.openxmlformats.org/officeDocument/2006/relationships/hyperlink" Target="https://www.thyssenkrupp.com/en/newsroom/press-releases/pressdetailpage/second-joint-project-under-strategic-partnership-agreement--thyssenkrupp-nucera-to-deliver-electrolyzers-for-air-products-hydrogen-facility-in-arizona--usa-130204" TargetMode="External"/><Relationship Id="rId854" Type="http://schemas.openxmlformats.org/officeDocument/2006/relationships/hyperlink" Target="https://europeanenergy.com/2023/03/27/european-energy-orders-electrolyzer-from-stiesdal/" TargetMode="External"/><Relationship Id="rId611" Type="http://schemas.openxmlformats.org/officeDocument/2006/relationships/hyperlink" Target="https://www.h2-view.com/story/e3-5bn-project-to-create-1500km-hydrogen-backbone-pipeline-for-germany/" TargetMode="External"/><Relationship Id="rId853" Type="http://schemas.openxmlformats.org/officeDocument/2006/relationships/hyperlink" Target="https://maritime-executive.com/editorials/e-methanol-and-the-future-of-marine" TargetMode="External"/><Relationship Id="rId610" Type="http://schemas.openxmlformats.org/officeDocument/2006/relationships/hyperlink" Target="https://fuelcellsworks.com/news/scatec-partners-with-acme-group-to-develop-a-large-scale-green-ammonia-facility-in-oman/?mc_cid=07efbb08b8&amp;mc_eid=da4624d261" TargetMode="External"/><Relationship Id="rId852" Type="http://schemas.openxmlformats.org/officeDocument/2006/relationships/hyperlink" Target="https://time.news/asturias-receives-39-million-eu-funds-to-promote-3-hydrogen-projects/" TargetMode="External"/><Relationship Id="rId617" Type="http://schemas.openxmlformats.org/officeDocument/2006/relationships/hyperlink" Target="https://www.lavozdeasturias.es/noticia/asturias/2021/10/14/edppretende-crear-valle-hidrogeno-asturias/00031634225270324999555.htm" TargetMode="External"/><Relationship Id="rId859" Type="http://schemas.openxmlformats.org/officeDocument/2006/relationships/hyperlink" Target="https://assets.ctfassets.net/ztehsn2qe34u/3m5XSgBaBPkbfBQVoJWmd5/fee525778dc177352b9b1831bfa3db0a/Communique-de-presse-terega-solutions-hydrogene.pdf" TargetMode="External"/><Relationship Id="rId616" Type="http://schemas.openxmlformats.org/officeDocument/2006/relationships/hyperlink" Target="https://esenergia.es/planta-de-hidrogeno-verde/" TargetMode="External"/><Relationship Id="rId858" Type="http://schemas.openxmlformats.org/officeDocument/2006/relationships/hyperlink" Target="https://www.kaisersesch.de/aktuelles/presse-und-oeffentlichkeitsarbeit/pressemitteilungen/2022/november/12-wasserstofftagung-in-kaisersesch-war-ein-voller-erfolg/2022-11-11-dialogforum-smartquart-kaisersesch.pdf?cid=mcs" TargetMode="External"/><Relationship Id="rId615" Type="http://schemas.openxmlformats.org/officeDocument/2006/relationships/hyperlink" Target="https://www.durofelguera.com/index.asp?MP=11&amp;MS=36&amp;TR=A&amp;IDR=19&amp;tipo=2&amp;id=519&amp;fecha=20/01/2021" TargetMode="External"/><Relationship Id="rId857" Type="http://schemas.openxmlformats.org/officeDocument/2006/relationships/hyperlink" Target="https://www.group.sener/project/electrolyzer-petronor-refinery-muskiz/?lang=en" TargetMode="External"/><Relationship Id="rId614" Type="http://schemas.openxmlformats.org/officeDocument/2006/relationships/hyperlink" Target="https://www.power-technology.com/marketdata/sinopec-ordos-solar-pv-park-china/" TargetMode="External"/><Relationship Id="rId856" Type="http://schemas.openxmlformats.org/officeDocument/2006/relationships/hyperlink" Target="https://www.mynewsdesk.com/se/strandmoellen-ab/pressreleases/strandmoellen-ab-has-placed-a-purchase-order-for-a-3mw-electrolyser-from-fest-gmbh-3172967" TargetMode="External"/><Relationship Id="rId851" Type="http://schemas.openxmlformats.org/officeDocument/2006/relationships/hyperlink" Target="https://research.csiro.au/hyresource/clean-energy-innovation-park/" TargetMode="External"/><Relationship Id="rId850" Type="http://schemas.openxmlformats.org/officeDocument/2006/relationships/hyperlink" Target="https://infrastructurepipeline.org/project/h2tas-bell-bay-hydrogen-plant" TargetMode="External"/><Relationship Id="rId1200" Type="http://schemas.openxmlformats.org/officeDocument/2006/relationships/hyperlink" Target="https://www.carboncapturejournal.com/ViewNews.aspx?NewsID=5838" TargetMode="External"/><Relationship Id="rId1201" Type="http://schemas.openxmlformats.org/officeDocument/2006/relationships/hyperlink" Target="https://www.sse.com/news-and-views/2023/12/sse-thermal-acquires-50-stake-in-h2northeast-hydrogen-project/" TargetMode="External"/><Relationship Id="rId1235" Type="http://schemas.openxmlformats.org/officeDocument/2006/relationships/hyperlink" Target="https://proactivo.com.pe/fenix-primera-planta-de-hidrogeno-verde-instalada-en-central-electrica-en-el-peru-inicia-su-operacion/" TargetMode="External"/><Relationship Id="rId1236" Type="http://schemas.openxmlformats.org/officeDocument/2006/relationships/hyperlink" Target="https://biofuels-news.com/news/shells-rhineland-refinery-to-produce-saf/" TargetMode="External"/><Relationship Id="rId1237" Type="http://schemas.openxmlformats.org/officeDocument/2006/relationships/hyperlink" Target="https://7fidelity.com/jga/" TargetMode="External"/><Relationship Id="rId1238" Type="http://schemas.openxmlformats.org/officeDocument/2006/relationships/hyperlink" Target="https://direct.argusmedia.com/newsandanalysis/Article/2508889" TargetMode="External"/><Relationship Id="rId1239" Type="http://schemas.openxmlformats.org/officeDocument/2006/relationships/hyperlink" Target="https://www.power-technology.com/news/serbia-2-18bn-renewables-investment-china/?cf-view" TargetMode="External"/><Relationship Id="rId409" Type="http://schemas.openxmlformats.org/officeDocument/2006/relationships/hyperlink" Target="https://open.alberta.ca/dataset/f74375f3-3c73-4b9c-af2b-ef44e59b7890/resource/ff260985-e616-4d2e-92e0-9b91f5590136/download/energy-quest-annual-summary-alberta-department-of-energy-2019.pdf" TargetMode="External"/><Relationship Id="rId404" Type="http://schemas.openxmlformats.org/officeDocument/2006/relationships/hyperlink" Target="https://www.lavanguardia.com/vida/20201210/6109974/comunidad-madrid-construira-planta-hidrogeno-verde.html" TargetMode="External"/><Relationship Id="rId646" Type="http://schemas.openxmlformats.org/officeDocument/2006/relationships/hyperlink" Target="https://www.wa.gov.au/system/files/2022-04/City%20of%20Cockburn%20-%20Green%20Hydrogen%20-%20Final%20Knowledge%20Sharing%20Report.pdf" TargetMode="External"/><Relationship Id="rId888" Type="http://schemas.openxmlformats.org/officeDocument/2006/relationships/hyperlink" Target="https://ec.europa.eu/commission/presscorner/detail/en/ip_22_5968" TargetMode="External"/><Relationship Id="rId403" Type="http://schemas.openxmlformats.org/officeDocument/2006/relationships/hyperlink" Target="https://www.expansion.com/empresas/energia/2021/01/10/5ffada9f468aebdd0a8b4611.html" TargetMode="External"/><Relationship Id="rId645" Type="http://schemas.openxmlformats.org/officeDocument/2006/relationships/hyperlink" Target="https://research.csiro.au/hyresource/green-hydrogen-for-city-of-cockburn/" TargetMode="External"/><Relationship Id="rId887" Type="http://schemas.openxmlformats.org/officeDocument/2006/relationships/hyperlink" Target="https://www.globalconstructionreview.com/norways-scatec-to-build-450m-green-fuel-plant-in-egypt/" TargetMode="External"/><Relationship Id="rId402" Type="http://schemas.openxmlformats.org/officeDocument/2006/relationships/hyperlink" Target="https://www.rechargenews.com/wind/deep-purple-seabed-hydrogen-storage-for-offshore-wind-plan/2-1-617947" TargetMode="External"/><Relationship Id="rId644" Type="http://schemas.openxmlformats.org/officeDocument/2006/relationships/hyperlink" Target="https://www.exeloncorp.com/newsroom/Pages/DOE-Grant-to-Support-Hydrogen-Production-Project-at-Nine-Mile-Point.aspx" TargetMode="External"/><Relationship Id="rId886" Type="http://schemas.openxmlformats.org/officeDocument/2006/relationships/hyperlink" Target="https://www.offshore-energy.biz/cepsa-and-getec-sign-green-hydrogen-agreement/" TargetMode="External"/><Relationship Id="rId401" Type="http://schemas.openxmlformats.org/officeDocument/2006/relationships/hyperlink" Target="https://www.technipfmc.com/en/what-we-do/subsea/energy-transition-deep-purple/" TargetMode="External"/><Relationship Id="rId643" Type="http://schemas.openxmlformats.org/officeDocument/2006/relationships/hyperlink" Target="https://www.pertamina.com/en/news-room/news-release/supports-the-government.s-energy-transition-plan-this-is-pertamina.s-clean-energy-project" TargetMode="External"/><Relationship Id="rId885" Type="http://schemas.openxmlformats.org/officeDocument/2006/relationships/hyperlink" Target="https://www.cepsa.com/en/press/first-green-hydrogen-corridor" TargetMode="External"/><Relationship Id="rId408" Type="http://schemas.openxmlformats.org/officeDocument/2006/relationships/hyperlink" Target="https://www.pv-magazine.com/2021/01/26/sumitomo-reveals-hydrogen-plans-in-australia-oman/" TargetMode="External"/><Relationship Id="rId407" Type="http://schemas.openxmlformats.org/officeDocument/2006/relationships/hyperlink" Target="https://fuelcellsworks.com/news/woodside-signs-hydrogen-mou-with-tasmanian-government-on-renewable-hydrogen-production-facility/" TargetMode="External"/><Relationship Id="rId649" Type="http://schemas.openxmlformats.org/officeDocument/2006/relationships/hyperlink" Target="https://cooperativeresearch.org.au/ceo-appointed-to-lead-the-kwinana-energy-transformation-hub-keth/" TargetMode="External"/><Relationship Id="rId406" Type="http://schemas.openxmlformats.org/officeDocument/2006/relationships/hyperlink" Target="https://fuelcellsworks.com/news/mitsubishi-heavy-industries-shell-vattenfall-and-warme-hamburg-sign-letter-of-intent-for-100-mw-hydrogen-project-at-moorburg-in-hamburg/?mc_cid=fa471ff86a&amp;mc_eid=da4624d261" TargetMode="External"/><Relationship Id="rId648" Type="http://schemas.openxmlformats.org/officeDocument/2006/relationships/hyperlink" Target="https://research.csiro.au/hyresource/h2kwinana/" TargetMode="External"/><Relationship Id="rId405" Type="http://schemas.openxmlformats.org/officeDocument/2006/relationships/hyperlink" Target="https://www.rechargenews.com/transition/linde-to-build-world-s-largest-electrolyser-to-produce-green-hydrogen/2-1-944080?utm_source=emailsharing" TargetMode="External"/><Relationship Id="rId647" Type="http://schemas.openxmlformats.org/officeDocument/2006/relationships/hyperlink" Target="https://www.hoganlovells.com/-/media/hogan-lovells/global/knowledge/publications/files/2020/australian-hydrogen-projects-paper.pdf" TargetMode="External"/><Relationship Id="rId889" Type="http://schemas.openxmlformats.org/officeDocument/2006/relationships/hyperlink" Target="https://www.nucnet.org/news/danish-companies-sign-agreement-for-usd4-billion-thorium-smr-in-borneo-5-1-2023" TargetMode="External"/><Relationship Id="rId880" Type="http://schemas.openxmlformats.org/officeDocument/2006/relationships/hyperlink" Target="https://www.ammoniaenergy.org/articles/ammonia-exports-from-brazil-taking-shape/" TargetMode="External"/><Relationship Id="rId1230" Type="http://schemas.openxmlformats.org/officeDocument/2006/relationships/hyperlink" Target="https://www.kraftanlagen.com/en/green-hydrogen-from-bavaria/" TargetMode="External"/><Relationship Id="rId400" Type="http://schemas.openxmlformats.org/officeDocument/2006/relationships/hyperlink" Target="https://www.snam.it/en/Media/Press-releases/2021/Tenaris_Edison_Snam_trial_steelmaking_green_hydrogen_Dalmine_Italy.html" TargetMode="External"/><Relationship Id="rId642" Type="http://schemas.openxmlformats.org/officeDocument/2006/relationships/hyperlink" Target="https://sghydrogen.com/" TargetMode="External"/><Relationship Id="rId884" Type="http://schemas.openxmlformats.org/officeDocument/2006/relationships/hyperlink" Target="https://renewablesnow.com/news/statkraft-awarded-funds-to-study-green-h2-ammonia-production-at-chilean-solar-farm-756144/" TargetMode="External"/><Relationship Id="rId1231" Type="http://schemas.openxmlformats.org/officeDocument/2006/relationships/hyperlink" Target="https://research.csiro.au/hyresource/swinburne-university-of-technology-victorian-hydrogen-hub-csiro-hydrogen-refuelling-station/" TargetMode="External"/><Relationship Id="rId641" Type="http://schemas.openxmlformats.org/officeDocument/2006/relationships/hyperlink" Target="http://www.eog-asia.com/sumitomo-starts-hydrogen-demonstration-experiment-using-megawatt-class-water-electrolyser/" TargetMode="External"/><Relationship Id="rId883" Type="http://schemas.openxmlformats.org/officeDocument/2006/relationships/hyperlink" Target="https://www.offshore-energy.biz/japanese-looking-to-produce-e-methane-utilising-cameron-lng/" TargetMode="External"/><Relationship Id="rId1232" Type="http://schemas.openxmlformats.org/officeDocument/2006/relationships/hyperlink" Target="https://www.arabianbusiness.com/industries/energy/qatarenergy-qafco-to-build-the-worlds-largest-blue-ammonia-facility" TargetMode="External"/><Relationship Id="rId640" Type="http://schemas.openxmlformats.org/officeDocument/2006/relationships/hyperlink" Target="https://www.spglobal.com/marketintelligence/en/news-insights/latest-news-headlines/new-jersey-resources-starts-up-1st-east-coast-green-hydrogen-blending-project-67570888" TargetMode="External"/><Relationship Id="rId882" Type="http://schemas.openxmlformats.org/officeDocument/2006/relationships/hyperlink" Target="https://www.argusmedia.com/en/news/2426650-osaka-gas-santos-eye-emethane-production-in-australia" TargetMode="External"/><Relationship Id="rId1233" Type="http://schemas.openxmlformats.org/officeDocument/2006/relationships/hyperlink" Target="https://www.thenationalnews.com/business/energy/2022/08/31/qatarenergy-renewable-solutions-and-qafco-team-up-to-build-ammonia-7-project/" TargetMode="External"/><Relationship Id="rId881" Type="http://schemas.openxmlformats.org/officeDocument/2006/relationships/hyperlink" Target="https://www.world-energy.org/article/34543.html" TargetMode="External"/><Relationship Id="rId1234" Type="http://schemas.openxmlformats.org/officeDocument/2006/relationships/hyperlink" Target="https://hycamite.com/news/hycamite-breaks-ground-at-kokkola-industrial-park-for-customer-sample-facility" TargetMode="External"/><Relationship Id="rId1224" Type="http://schemas.openxmlformats.org/officeDocument/2006/relationships/hyperlink" Target="https://research.csiro.au/hyresource/hydrogen-fuels-australia-truganina-hrs/" TargetMode="External"/><Relationship Id="rId1225" Type="http://schemas.openxmlformats.org/officeDocument/2006/relationships/hyperlink" Target="https://www.viessmann.family/en/what-we-offer/climate-solutions/hydrogen/smartquart-a-complete-hydrogen-infrastructure-is-being-built-in-kaisersesch.html" TargetMode="External"/><Relationship Id="rId1226" Type="http://schemas.openxmlformats.org/officeDocument/2006/relationships/hyperlink" Target="https://gcenode.no/news/a-hydrogen-producer-for-decades/" TargetMode="External"/><Relationship Id="rId1227" Type="http://schemas.openxmlformats.org/officeDocument/2006/relationships/hyperlink" Target="https://gaspathways.com/c-zero-the-low-power-solution-for-producing-hydrogen-from-natural-gas-2341" TargetMode="External"/><Relationship Id="rId1228" Type="http://schemas.openxmlformats.org/officeDocument/2006/relationships/hyperlink" Target="https://chemicalparks.eu/news/ineratec-e-fuel-production-plant-frankfurt-hochst-industrial-park-germany" TargetMode="External"/><Relationship Id="rId1229" Type="http://schemas.openxmlformats.org/officeDocument/2006/relationships/hyperlink" Target="https://www.forbes.com/sites/davidblekhman/2023/10/12/hydrogen-hub-prototype-in-norwegian-fjords-nordic-notes/?sh=6a9e313d6a85" TargetMode="External"/><Relationship Id="rId635" Type="http://schemas.openxmlformats.org/officeDocument/2006/relationships/hyperlink" Target="https://renewablesnow.com/news/douglas-county-pud-launches-5-mw-green-hydrogen-pilot-in-washington-state-734291/" TargetMode="External"/><Relationship Id="rId877" Type="http://schemas.openxmlformats.org/officeDocument/2006/relationships/hyperlink" Target="https://ntepa.nt.gov.au/__data/assets/pdf_file/0018/1122741/provaris-tiwi-h2-project-referral.pdf" TargetMode="External"/><Relationship Id="rId634" Type="http://schemas.openxmlformats.org/officeDocument/2006/relationships/hyperlink" Target="https://www.sustainable-bus.com/fuel-cell-bus/tmb-barcelona-hydrogen-bus-on-the-road/" TargetMode="External"/><Relationship Id="rId876" Type="http://schemas.openxmlformats.org/officeDocument/2006/relationships/hyperlink" Target="https://www.constellationenergy.com/newsroom/2023/Constellation-Starts-Production-at-Nations-First-One-Megawatt-Demonstration-Scale-Nuclear-Powered-Clean-Hydrogen-Facility.html" TargetMode="External"/><Relationship Id="rId633" Type="http://schemas.openxmlformats.org/officeDocument/2006/relationships/hyperlink" Target="https://ax.legal/2021/12/07/chiles-hydrogen-project-pipeline/" TargetMode="External"/><Relationship Id="rId875" Type="http://schemas.openxmlformats.org/officeDocument/2006/relationships/hyperlink" Target="https://news.cision.com/aker-horizons/r/aker-horizons-and-vng-sign-letter-of-intent-to-supply-green-ammonia-from-norway-to-germany,c3765868" TargetMode="External"/><Relationship Id="rId632" Type="http://schemas.openxmlformats.org/officeDocument/2006/relationships/hyperlink" Target="https://www.usinenouvelle.com/article/h2v-produira-de-l-hydrogene-vert-sur-le-site-de-l-ancienne-acierie-de-gandrange.N1073449" TargetMode="External"/><Relationship Id="rId874" Type="http://schemas.openxmlformats.org/officeDocument/2006/relationships/hyperlink" Target="https://h2-international.com/2023/02/14/cummins-engine-harnessing-the-power-of-niagara-falls-for-hydrogen/" TargetMode="External"/><Relationship Id="rId639" Type="http://schemas.openxmlformats.org/officeDocument/2006/relationships/hyperlink" Target="https://fuelcellsworks.com/news/fm-logistic-completes-successful-test-of-hydrogen-generator/" TargetMode="External"/><Relationship Id="rId638" Type="http://schemas.openxmlformats.org/officeDocument/2006/relationships/hyperlink" Target="https://www.indrastra.com/2022/01/china-completes-first-megaton-scale-ccs.html" TargetMode="External"/><Relationship Id="rId637" Type="http://schemas.openxmlformats.org/officeDocument/2006/relationships/hyperlink" Target="https://fuelcellsworks.com/news/germany-city-of-esslingen-inaugurates-green-hydrogen-lighthouse-project/" TargetMode="External"/><Relationship Id="rId879" Type="http://schemas.openxmlformats.org/officeDocument/2006/relationships/hyperlink" Target="https://www.hydrogenfuelnews.com/green-hydrogen-production-ireland/8550229/" TargetMode="External"/><Relationship Id="rId636" Type="http://schemas.openxmlformats.org/officeDocument/2006/relationships/hyperlink" Target="https://hydrogen-central.com/alliander-groenleven-solar-rays-hydrogen-netherlands/" TargetMode="External"/><Relationship Id="rId878" Type="http://schemas.openxmlformats.org/officeDocument/2006/relationships/hyperlink" Target="https://www.rechargenews.com/energy-transition/enterprize-plans-4gw-offshore-wind-farm-off-ireland-to-power-3-2gw-green-hydrogen-project/2-1-1104575" TargetMode="External"/><Relationship Id="rId631" Type="http://schemas.openxmlformats.org/officeDocument/2006/relationships/hyperlink" Target="https://vighy.france-hydrogene.org/projets/projet-h2-pierre-benite/" TargetMode="External"/><Relationship Id="rId873" Type="http://schemas.openxmlformats.org/officeDocument/2006/relationships/hyperlink" Target="https://catalinaptx.com/" TargetMode="External"/><Relationship Id="rId1220" Type="http://schemas.openxmlformats.org/officeDocument/2006/relationships/hyperlink" Target="https://cmb.tech/news/cleanergy-solutions-namibia-kicks-off-construction-works-for-africas-first-public-refuelling-station-with-onsite-green-hydrogen-production" TargetMode="External"/><Relationship Id="rId630" Type="http://schemas.openxmlformats.org/officeDocument/2006/relationships/hyperlink" Target="https://h2v.net/projet/projet-h2v-idf/" TargetMode="External"/><Relationship Id="rId872" Type="http://schemas.openxmlformats.org/officeDocument/2006/relationships/hyperlink" Target="https://newsroom.bloomenergy.com/news/bloom-energy-demonstrates-hydrogen-production-with-the-worlds-largest-and-most-efficient-solid-oxide-electrolyzer" TargetMode="External"/><Relationship Id="rId1221" Type="http://schemas.openxmlformats.org/officeDocument/2006/relationships/hyperlink" Target="https://research.csiro.au/hyresource/geelong-new-energies-service-station-project/" TargetMode="External"/><Relationship Id="rId871" Type="http://schemas.openxmlformats.org/officeDocument/2006/relationships/hyperlink" Target="https://www.seafuel.eu/h2-station/" TargetMode="External"/><Relationship Id="rId1222" Type="http://schemas.openxmlformats.org/officeDocument/2006/relationships/hyperlink" Target="https://vighy.france-hydrogene.org/projets/usine-trange/" TargetMode="External"/><Relationship Id="rId870" Type="http://schemas.openxmlformats.org/officeDocument/2006/relationships/hyperlink" Target="https://www.gasunie.nl/en/projects/supercritical-water-gasification" TargetMode="External"/><Relationship Id="rId1223" Type="http://schemas.openxmlformats.org/officeDocument/2006/relationships/hyperlink" Target="https://research.csiro.au/hyresource/hazer-commercial-demonstration-plant/" TargetMode="External"/><Relationship Id="rId829" Type="http://schemas.openxmlformats.org/officeDocument/2006/relationships/hyperlink" Target="https://www.world-energy.org/article/29081.html" TargetMode="External"/><Relationship Id="rId828" Type="http://schemas.openxmlformats.org/officeDocument/2006/relationships/hyperlink" Target="https://energynews.biz/hydrogen-utopia-in-waste-plastic-to-hydrogen-project-in-poland/" TargetMode="External"/><Relationship Id="rId827" Type="http://schemas.openxmlformats.org/officeDocument/2006/relationships/hyperlink" Target="https://hydrogen-central.com/fusion-fuel-signs-green-hydrogen-offtake-agreement-portuguese-gas-utility-dourogas/" TargetMode="External"/><Relationship Id="rId822" Type="http://schemas.openxmlformats.org/officeDocument/2006/relationships/hyperlink" Target="https://www.zepak.com.pl/en/about-us/press-office/news/12534-green-hydrogen-in-zepak.html" TargetMode="External"/><Relationship Id="rId821" Type="http://schemas.openxmlformats.org/officeDocument/2006/relationships/hyperlink" Target="http://www.chinapower.hk/en/media/news-p210412a.php" TargetMode="External"/><Relationship Id="rId820" Type="http://schemas.openxmlformats.org/officeDocument/2006/relationships/hyperlink" Target="https://www.centerpointenergy.com/en-us/business/services/clean-energy-innovation/renewable-hydrogen?sa=tx" TargetMode="External"/><Relationship Id="rId826" Type="http://schemas.openxmlformats.org/officeDocument/2006/relationships/hyperlink" Target="https://research.csiro.au/hyresource/swinburne-university-of-technology-victorian-hydrogen-hub-csiro-hydrogen-refuelling-station/" TargetMode="External"/><Relationship Id="rId825" Type="http://schemas.openxmlformats.org/officeDocument/2006/relationships/hyperlink" Target="https://www.businesswire.com/news/home/20220811005309/en/INNIO-to-Power-Raven-SR%E2%80%99s-First-Waste-to-Hydrogen-Plant-With-100-Renewable-Energy" TargetMode="External"/><Relationship Id="rId824" Type="http://schemas.openxmlformats.org/officeDocument/2006/relationships/hyperlink" Target="https://research.csiro.au/hyresource/manilla-solar-phase-2-hydrogen-energy-storage-system/" TargetMode="External"/><Relationship Id="rId823" Type="http://schemas.openxmlformats.org/officeDocument/2006/relationships/hyperlink" Target="https://www.pertamina.com/en/news-room/news-release/pertamina-nre-krakatau-steel-and-raja-collaborate-to-develop-hydrogen-pipelines" TargetMode="External"/><Relationship Id="rId819" Type="http://schemas.openxmlformats.org/officeDocument/2006/relationships/hyperlink" Target="https://www.gprectifier.com/news/2000nm3-h-green-power-intelligent-rectifier-h-63514189.html" TargetMode="External"/><Relationship Id="rId818" Type="http://schemas.openxmlformats.org/officeDocument/2006/relationships/hyperlink" Target="https://www.marubeni.com/en/news/2022/info/00025.html" TargetMode="External"/><Relationship Id="rId817" Type="http://schemas.openxmlformats.org/officeDocument/2006/relationships/hyperlink" Target="https://hydrogensolutions.no/en/starter-gronn-hydrogenproduksjon-vestlandet/" TargetMode="External"/><Relationship Id="rId816" Type="http://schemas.openxmlformats.org/officeDocument/2006/relationships/hyperlink" Target="https://www.offshore-energy.biz/worlds-first-offshore-green-hydrogen-production-platform-inaugurated-france/" TargetMode="External"/><Relationship Id="rId811" Type="http://schemas.openxmlformats.org/officeDocument/2006/relationships/hyperlink" Target="https://energynews.biz/race-to-lead-in-hydrogen-technology-has-intensified/" TargetMode="External"/><Relationship Id="rId810" Type="http://schemas.openxmlformats.org/officeDocument/2006/relationships/hyperlink" Target="https://www.dhnet.be/regions/liege/2022/02/19/production-dhydrogene-a-liege-airport-en-2023-QJZNVKUWPNFMHP7N6W2QIPRM7E/" TargetMode="External"/><Relationship Id="rId815" Type="http://schemas.openxmlformats.org/officeDocument/2006/relationships/hyperlink" Target="https://climate.ec.europa.eu/system/files/2022-07/if_pf_2021_h2valcamonica_en.pdf" TargetMode="External"/><Relationship Id="rId814" Type="http://schemas.openxmlformats.org/officeDocument/2006/relationships/hyperlink" Target="https://www.h2bulletin.com/eu-approves-e122-million-for-decarbonisation-projects-including-hydrogen/" TargetMode="External"/><Relationship Id="rId813" Type="http://schemas.openxmlformats.org/officeDocument/2006/relationships/hyperlink" Target="https://forbes.co/2022/05/31/editors-picks/asi-es-el-primer-carro-de-hidrogeno-que-circula-por-las-calles-de-colombia" TargetMode="External"/><Relationship Id="rId812" Type="http://schemas.openxmlformats.org/officeDocument/2006/relationships/hyperlink" Target="https://www.h2stations.org/station/?id=2531" TargetMode="External"/><Relationship Id="rId609" Type="http://schemas.openxmlformats.org/officeDocument/2006/relationships/hyperlink" Target="https://fuelcellsworks.com/news/petronas-partners-eneos-for-first-commercial-scale-hydrogen-to-mch-project/?mc_cid=07efbb08b8&amp;mc_eid=da4624d261" TargetMode="External"/><Relationship Id="rId608" Type="http://schemas.openxmlformats.org/officeDocument/2006/relationships/hyperlink" Target="https://www.oilreviewafrica.com/exploration/industry/sonangol-works-on-producing-green-hydrogen" TargetMode="External"/><Relationship Id="rId607" Type="http://schemas.openxmlformats.org/officeDocument/2006/relationships/hyperlink" Target="https://www.norsk-e-fuel.com/about-us" TargetMode="External"/><Relationship Id="rId849" Type="http://schemas.openxmlformats.org/officeDocument/2006/relationships/hyperlink" Target="https://en.newsroom.engie.com/news/engie-has-reached-an-important-milestone-in-the-australian-renewable-hydrogen-project-with-yara-8e5c-314df.html" TargetMode="External"/><Relationship Id="rId602" Type="http://schemas.openxmlformats.org/officeDocument/2006/relationships/hyperlink" Target="https://reneweconomy.com.au/origin-teams-with-orica-to-propose-hunter-green-hydrogen-hub/" TargetMode="External"/><Relationship Id="rId844" Type="http://schemas.openxmlformats.org/officeDocument/2006/relationships/hyperlink" Target="https://www.octohydrogen.com/press-releases/octopus-hydrogen-wins-net-zero-hydrogen-funding-for-15-mw-scotland-electrolysis-project" TargetMode="External"/><Relationship Id="rId601" Type="http://schemas.openxmlformats.org/officeDocument/2006/relationships/hyperlink" Target="https://www.enagas.es/enagas/es/Comunicacion/NotasPrensa/15_02_2022_NP_HyDeal_Espan%CC%83a" TargetMode="External"/><Relationship Id="rId843" Type="http://schemas.openxmlformats.org/officeDocument/2006/relationships/hyperlink" Target="https://carboncopy.eco/initiatives/herne-bay-green-hydrogen-production-plant" TargetMode="External"/><Relationship Id="rId600" Type="http://schemas.openxmlformats.org/officeDocument/2006/relationships/hyperlink" Target="https://www.reuters.com/business/environment/portugals-top-cement-glass-makers-join-new-consortium-green-hydrogen-plant-2022-02-22/" TargetMode="External"/><Relationship Id="rId842" Type="http://schemas.openxmlformats.org/officeDocument/2006/relationships/hyperlink" Target="https://hydrogen-central.com/cf-industries-signs-mou-jera-supply-500000-metric-tonnes-per-year-clean-ammonia/" TargetMode="External"/><Relationship Id="rId841" Type="http://schemas.openxmlformats.org/officeDocument/2006/relationships/hyperlink" Target="https://www.spglobal.com/commodityinsights/en/market-insights/latest-news/electric-power/030623-volth2-targets-mid-sized-green-hydrogen-projects-to-optimize-offshore-wind" TargetMode="External"/><Relationship Id="rId606" Type="http://schemas.openxmlformats.org/officeDocument/2006/relationships/hyperlink" Target="https://www.h2-view.com/story/exxonmobil-unveils-ambitious-blue-hydrogen-targets-for-integrated-refining-and-petrochemical-site/" TargetMode="External"/><Relationship Id="rId848" Type="http://schemas.openxmlformats.org/officeDocument/2006/relationships/hyperlink" Target="https://h2-tech.com/news/2022/10-2022/danish-power-to-x-partnership-breaks-ground-on-first-of-its-kind-green-ammonia-project/" TargetMode="External"/><Relationship Id="rId605" Type="http://schemas.openxmlformats.org/officeDocument/2006/relationships/hyperlink" Target="https://fuelcellsworks.com/news/petrofac-to-evaluate-green-hydrogen-development-on-sakhalin-island/?mc_cid=8d7926e8c4&amp;mc_eid=da4624d261" TargetMode="External"/><Relationship Id="rId847" Type="http://schemas.openxmlformats.org/officeDocument/2006/relationships/hyperlink" Target="https://hydrogen-central.com/environmental-permit-given-ovako-hydrogen-plant-steel-production/" TargetMode="External"/><Relationship Id="rId604" Type="http://schemas.openxmlformats.org/officeDocument/2006/relationships/hyperlink" Target="https://fuelcellsworks.com/news/hazer-group-enters-mou-for-developing-hydrogen-production-facility-in-canada/?mc_cid=8d7926e8c4&amp;mc_eid=da4624d261" TargetMode="External"/><Relationship Id="rId846" Type="http://schemas.openxmlformats.org/officeDocument/2006/relationships/hyperlink" Target="https://www.enelgreenpower.com/media/press/2022/09/egp-saras-green-hydrogen-ipcei-hy2use" TargetMode="External"/><Relationship Id="rId603" Type="http://schemas.openxmlformats.org/officeDocument/2006/relationships/hyperlink" Target="https://renewablesnow.com/news/white-martins-signs-pact-for-green-h2-project-in-rio-grande-do-sul-765821/" TargetMode="External"/><Relationship Id="rId845" Type="http://schemas.openxmlformats.org/officeDocument/2006/relationships/hyperlink" Target="https://www.eni.com/en-IT/media/press-release/2022/10/green-hydrogen-projects-gela-taranto.html" TargetMode="External"/><Relationship Id="rId840" Type="http://schemas.openxmlformats.org/officeDocument/2006/relationships/hyperlink" Target="https://www.offshore-energy.biz/multiplhy-project-sunfire-installs-worlds-largest-soec-electrolyser/" TargetMode="External"/><Relationship Id="rId839" Type="http://schemas.openxmlformats.org/officeDocument/2006/relationships/hyperlink" Target="https://research.csiro.au/hyresource/desert-bloom-hydrogen/" TargetMode="External"/><Relationship Id="rId838" Type="http://schemas.openxmlformats.org/officeDocument/2006/relationships/hyperlink" Target="https://www.energyintel.com/00000186-b241-dc3c-a9b6-fb5361720000" TargetMode="External"/><Relationship Id="rId833" Type="http://schemas.openxmlformats.org/officeDocument/2006/relationships/hyperlink" Target="https://www.publicpower.org/periodical/article/douglas-county-pud-moves-phase-two-green-hydrogen-project?s=03" TargetMode="External"/><Relationship Id="rId832" Type="http://schemas.openxmlformats.org/officeDocument/2006/relationships/hyperlink" Target="https://bayotech.us/bayotech-partners-with-ranken-technical-college/" TargetMode="External"/><Relationship Id="rId831" Type="http://schemas.openxmlformats.org/officeDocument/2006/relationships/hyperlink" Target="https://direct.argusmedia.com/newsandanalysis/Article/2486874" TargetMode="External"/><Relationship Id="rId830" Type="http://schemas.openxmlformats.org/officeDocument/2006/relationships/hyperlink" Target="https://www.latribune.fr/entreprises-finance/transitions-ecologiques/hydrogene-les-dix-travaux-d-h2-loire-vallee-881643.html" TargetMode="External"/><Relationship Id="rId837" Type="http://schemas.openxmlformats.org/officeDocument/2006/relationships/hyperlink" Target="https://s29.q4cdn.com/600973483/files/doc_financials/2022/q4/PLUG-4Q22-Investor-Letter-FINAL.pdf" TargetMode="External"/><Relationship Id="rId836" Type="http://schemas.openxmlformats.org/officeDocument/2006/relationships/hyperlink" Target="https://topsectorenergie.nl/documents/99/TKI_Nieuw_Gas-Overview_Hydrogen_projects_in_the_Netherlands_-_version_-_220627.pdf" TargetMode="External"/><Relationship Id="rId835" Type="http://schemas.openxmlformats.org/officeDocument/2006/relationships/hyperlink" Target="https://www.reflau.com/projekt" TargetMode="External"/><Relationship Id="rId834" Type="http://schemas.openxmlformats.org/officeDocument/2006/relationships/hyperlink" Target="https://www.spglobal.com/commodityinsights/en/market-insights/latest-news/electric-power/020123-interview-uks-octopus-hydrogen-seeks-to-unseat-conventional-production-diesel-in-transport" TargetMode="External"/><Relationship Id="rId1059" Type="http://schemas.openxmlformats.org/officeDocument/2006/relationships/hyperlink" Target="https://www.san-group.com/news/opening-of-first-green-hydrogen-production-in-lower-austria" TargetMode="External"/><Relationship Id="rId228" Type="http://schemas.openxmlformats.org/officeDocument/2006/relationships/hyperlink" Target="https://www.sunfire.de/de/unternehmen/news/detail/naechste-generation-der-hochtemperatur-elektrolyse-gestartet" TargetMode="External"/><Relationship Id="rId227" Type="http://schemas.openxmlformats.org/officeDocument/2006/relationships/hyperlink" Target="https://stad.gent/sites/default/files/media/documents/20191106_PU_CCUhub_Rapport%20A4%20EN.pdf" TargetMode="External"/><Relationship Id="rId469" Type="http://schemas.openxmlformats.org/officeDocument/2006/relationships/hyperlink" Target="https://www.h2-view.com/story/25gw-hydrogen-mega-project-set-for-oman/" TargetMode="External"/><Relationship Id="rId226" Type="http://schemas.openxmlformats.org/officeDocument/2006/relationships/hyperlink" Target="https://opwegmetwaterstof.nl/wp-content/uploads/2019/12/NEC_Hydrogen-Valley-Noord-Nederland.pdf" TargetMode="External"/><Relationship Id="rId468" Type="http://schemas.openxmlformats.org/officeDocument/2006/relationships/hyperlink" Target="https://www.greenport.com/news101/australasia/hydrogen-project-planned-for-port-anthony" TargetMode="External"/><Relationship Id="rId225" Type="http://schemas.openxmlformats.org/officeDocument/2006/relationships/hyperlink" Target="https://www.efzn.de/fileadmin/documents/Niedersaechsische_Energietage/Vortr%C3%A4ge/2019/NET2019_FF4_04_Veldkamp.pdf" TargetMode="External"/><Relationship Id="rId467" Type="http://schemas.openxmlformats.org/officeDocument/2006/relationships/hyperlink" Target="https://www.h2-view.com/story/pure-hydrogen-targets-port-anthony-victoria-for-hydrogen-hub/" TargetMode="External"/><Relationship Id="rId1290" Type="http://schemas.openxmlformats.org/officeDocument/2006/relationships/hyperlink" Target="https://www.offshore-energy.biz/dai-to-collaborate-with-siemens-energy-on-green-ammonia-project-in-egypt/" TargetMode="External"/><Relationship Id="rId1291" Type="http://schemas.openxmlformats.org/officeDocument/2006/relationships/hyperlink" Target="https://www.power-technology.com/news/acme-oman-green-ammonia-hydrogen/" TargetMode="External"/><Relationship Id="rId229" Type="http://schemas.openxmlformats.org/officeDocument/2006/relationships/hyperlink" Target="https://meltwater.pressify.io/publication/5e79bf403083780004d7cb4c/5df7589de3f2f21000aa4852?&amp;sh=false" TargetMode="External"/><Relationship Id="rId1050" Type="http://schemas.openxmlformats.org/officeDocument/2006/relationships/hyperlink" Target="https://p2x.fi/p2x-solutions-selvittaa-savon-voiman-kanssa-mahdollisuutta-vihrean-vedyn-ja-sahkopolttoaineiden-tuotantoon-joensuussa/" TargetMode="External"/><Relationship Id="rId1292" Type="http://schemas.openxmlformats.org/officeDocument/2006/relationships/hyperlink" Target="https://elsewedyelectric.com/en/page?v=News%20Room&amp;i=ELSEWEDY%20ELECTRIC%20IN%20PARTNERSHIP%20WITH%20RENEW%20POWER%20SIGNS%20A%20FRAMEWORK%20AGREEMENT%20WITH%20THE%20GOVERNMENT%20OF%20EGYPT%20FOR%20A%20GREEN%20HYDROGEN%20PROJECT" TargetMode="External"/><Relationship Id="rId220" Type="http://schemas.openxmlformats.org/officeDocument/2006/relationships/hyperlink" Target="http://h2est.ee/wp-content/uploads/2017/09/H2Nodes-NT-Bene-Raigo-Pert.pdf" TargetMode="External"/><Relationship Id="rId462" Type="http://schemas.openxmlformats.org/officeDocument/2006/relationships/hyperlink" Target="https://cincodias.elpais.com/cincodias/2021/04/28/companias/1619600656_589151.html" TargetMode="External"/><Relationship Id="rId1051" Type="http://schemas.openxmlformats.org/officeDocument/2006/relationships/hyperlink" Target="https://ren-gas.com/en/news/mikkelis-power-to-gas-project-is-progressing-nordic-ren-gas-and-etela-savon-energia-signed-a-project-development-agreement/" TargetMode="External"/><Relationship Id="rId1293" Type="http://schemas.openxmlformats.org/officeDocument/2006/relationships/hyperlink" Target="https://fuelcellsworks.com/news/green-hydrogen-factory-planned-for-bahrain/" TargetMode="External"/><Relationship Id="rId461" Type="http://schemas.openxmlformats.org/officeDocument/2006/relationships/hyperlink" Target="https://www.rechargenews.com/energy-transition/growing-ambition-the-worlds-20-largest-green-hydrogen-projects/2-1-933755" TargetMode="External"/><Relationship Id="rId1052" Type="http://schemas.openxmlformats.org/officeDocument/2006/relationships/hyperlink" Target="https://ren-gas.com/en/news/significant-investment-in-the-production-of-green-hydrogen-and-renewable-finnish-gas-planned-for-the-kaanaa-district-of-pori/" TargetMode="External"/><Relationship Id="rId1294" Type="http://schemas.openxmlformats.org/officeDocument/2006/relationships/hyperlink" Target="https://www.deme-group.com/news/deme-expands-green-hydrogen-portfolio-hyport-production-facility-egypt" TargetMode="External"/><Relationship Id="rId460" Type="http://schemas.openxmlformats.org/officeDocument/2006/relationships/hyperlink" Target="https://www.businesswire.com/news/home/20210421006131/en/" TargetMode="External"/><Relationship Id="rId1053" Type="http://schemas.openxmlformats.org/officeDocument/2006/relationships/hyperlink" Target="https://flexens.com/flexens-and-hydre-collaborate-to-launch-hydrogen-transport-in-finland-letter-of-intent-signed-with-lempaalan-energia/" TargetMode="External"/><Relationship Id="rId1295" Type="http://schemas.openxmlformats.org/officeDocument/2006/relationships/hyperlink" Target="https://alfanarprojects.com/en-us/newsroom/alfanar-consolidates-its-leading-position-in-energy-transition-by-developing-a-project-for-green-hydrogen-production/" TargetMode="External"/><Relationship Id="rId1054" Type="http://schemas.openxmlformats.org/officeDocument/2006/relationships/hyperlink" Target="https://www.entsog.eu/sites/default/files/2023-04/web_entsog_230311_CHA_Learnbook_230405.pdf" TargetMode="External"/><Relationship Id="rId1296" Type="http://schemas.openxmlformats.org/officeDocument/2006/relationships/hyperlink" Target="https://www.act.is/our-view-on-cop/green-hydrogen-a-key-enabler-of-the-energy-transition/" TargetMode="External"/><Relationship Id="rId224" Type="http://schemas.openxmlformats.org/officeDocument/2006/relationships/hyperlink" Target="https://cordis.europa.eu/project/id/875090/pl" TargetMode="External"/><Relationship Id="rId466" Type="http://schemas.openxmlformats.org/officeDocument/2006/relationships/hyperlink" Target="https://www.spglobal.com/platts/en/market-insights/latest-news/electric-power/050621-siemens-energy-masdar-to-build-pilot-uae-hydrogen-plant-by-2022-with-focus-on-saf" TargetMode="External"/><Relationship Id="rId1055" Type="http://schemas.openxmlformats.org/officeDocument/2006/relationships/hyperlink" Target="https://balkangreenenergynews.com/hidroelectrica-makes-plans-to-enter-green-hydrogen-production/" TargetMode="External"/><Relationship Id="rId1297" Type="http://schemas.openxmlformats.org/officeDocument/2006/relationships/hyperlink" Target="https://vivahuelva.es/sevilla/1319031/ignis-invertira-352-millones-de-euros-en-la-planta-de-amoniaco-verde-del-puerto/" TargetMode="External"/><Relationship Id="rId223" Type="http://schemas.openxmlformats.org/officeDocument/2006/relationships/hyperlink" Target="https://www.hzwei.info/blog/2019/04/15/energiewende-als-gemeinschaftsprojekt/" TargetMode="External"/><Relationship Id="rId465" Type="http://schemas.openxmlformats.org/officeDocument/2006/relationships/hyperlink" Target="https://hexagonresources.com/wp-content/uploads/2021/03/HXG4335_Draft4_Roadshow-Presentation_FINAL-LGv2_full-version.pdf" TargetMode="External"/><Relationship Id="rId1056" Type="http://schemas.openxmlformats.org/officeDocument/2006/relationships/hyperlink" Target="https://winpowersa.com/2022/05/winpower-wins-the-project-to-provide-consultancy-services-for-the-construction-and-licensing-of-a-green-hydrogen-production-unit-called-sinesgh2-solar-in-sines-portugal/" TargetMode="External"/><Relationship Id="rId1298" Type="http://schemas.openxmlformats.org/officeDocument/2006/relationships/hyperlink" Target="https://www.h2-view.com/story/siemens-energy-to-supply-280mw-electrolyser-to-german-hydrogen-project/2112847.article/" TargetMode="External"/><Relationship Id="rId222" Type="http://schemas.openxmlformats.org/officeDocument/2006/relationships/hyperlink" Target="https://oge.net/en/us/projects/westkueste-100" TargetMode="External"/><Relationship Id="rId464" Type="http://schemas.openxmlformats.org/officeDocument/2006/relationships/hyperlink" Target="https://www.cbc.ca/news/canada/calgary/suncor-atco-hydrogen-project-alberta-1.6021796" TargetMode="External"/><Relationship Id="rId1057" Type="http://schemas.openxmlformats.org/officeDocument/2006/relationships/hyperlink" Target="https://www.globenewswire.com/en/news-release/2023/02/16/2609396/0/en/Fusion-Fuel-Signs-Terms-of-Acceptance-with-Portuguese-Prime-Minister-Antonio-Costa-for-10-Million-Component-14-Grant.html" TargetMode="External"/><Relationship Id="rId1299" Type="http://schemas.openxmlformats.org/officeDocument/2006/relationships/hyperlink" Target="https://virya-energy.prezly.com/virya-energy-hyoffgreen-and-messer-announce-final-investment-decision-for-25mw-renewable-hydrogen-plant-in-zeebrugge-paving-the-way-for-sustainable-mobility-and-industry" TargetMode="External"/><Relationship Id="rId221" Type="http://schemas.openxmlformats.org/officeDocument/2006/relationships/hyperlink" Target="https://www.lemvigbiogas.com/MeGa-stoREfinalreport.pdf" TargetMode="External"/><Relationship Id="rId463" Type="http://schemas.openxmlformats.org/officeDocument/2006/relationships/hyperlink" Target="https://fuelcellsworks.com/news/hexagon-energy-and-air-products-team-up-on-blue-hydrogen-project-in-australia/?mc_cid=0dec0e5c1a&amp;mc_eid=da4624d261" TargetMode="External"/><Relationship Id="rId1058" Type="http://schemas.openxmlformats.org/officeDocument/2006/relationships/hyperlink" Target="https://climate.ec.europa.eu/eu-action/funding-climate-action/innovation-fund/large-scale-calls/projects-selected-grant-preparation_en" TargetMode="External"/><Relationship Id="rId1048" Type="http://schemas.openxmlformats.org/officeDocument/2006/relationships/hyperlink" Target="https://ren-gas.com/en/news/lahti-energia-and-nordic-ren-gas-signed-a-project-development-agreement-for-the-lahti-power-to-gas-project/" TargetMode="External"/><Relationship Id="rId1049" Type="http://schemas.openxmlformats.org/officeDocument/2006/relationships/hyperlink" Target="https://www.both2nia.com/application/files/6816/7949/3478/Pre-study_on_transition_to_hydrogen_economy_specifically_in_Northern_Ostrobothnia_final_16_3.pdf" TargetMode="External"/><Relationship Id="rId217" Type="http://schemas.openxmlformats.org/officeDocument/2006/relationships/hyperlink" Target="https://group.vattenfall.com/press-and-media/news--press-releases/pressreleases/2019/hybrit-orders-norwegain-electrolyzers-for-fossil-free-steel-production-in-lulea" TargetMode="External"/><Relationship Id="rId459" Type="http://schemas.openxmlformats.org/officeDocument/2006/relationships/hyperlink" Target="https://www.cfindustries.com/newsroom/2021/donaldsonville-electrolyzer" TargetMode="External"/><Relationship Id="rId216" Type="http://schemas.openxmlformats.org/officeDocument/2006/relationships/hyperlink" Target="https://www.portofoostende.be/sites/default/files/PPT-Facts%26Myths-2019_09_17-02_Dennis-Thomas_Hydrogenics.pdf" TargetMode="External"/><Relationship Id="rId458" Type="http://schemas.openxmlformats.org/officeDocument/2006/relationships/hyperlink" Target="https://p2x.fi/en/hitachi-abb-power-grids-and-p2x-solutions-sign-partnership-agreement-on-electrification-of-finlands-first-industrial-scale-green-hydrogen-production-plant-2/" TargetMode="External"/><Relationship Id="rId215" Type="http://schemas.openxmlformats.org/officeDocument/2006/relationships/hyperlink" Target="https://hydrogeneurope.eu/sites/default/files/2019-09/2019Q3_HYDROGENICS_Renewable%20Hydrogen-compressed.pdf" TargetMode="External"/><Relationship Id="rId457" Type="http://schemas.openxmlformats.org/officeDocument/2006/relationships/hyperlink" Target="https://www.pertamina.com/id/news-room/energia-news/pertamina-optimalkan-manfaat-geotermal" TargetMode="External"/><Relationship Id="rId699" Type="http://schemas.openxmlformats.org/officeDocument/2006/relationships/hyperlink" Target="https://renewablesnow.com/news/avangrid-has-green-hydrogen-plans-ready-for-doe-rfi-747452/" TargetMode="External"/><Relationship Id="rId214" Type="http://schemas.openxmlformats.org/officeDocument/2006/relationships/hyperlink" Target="https://www.portofantwerp.com/en/news/port-antwerp-brings-different-players-together-produce-sustainable-methanol" TargetMode="External"/><Relationship Id="rId456" Type="http://schemas.openxmlformats.org/officeDocument/2006/relationships/hyperlink" Target="https://www.energyvoice.com/renewables-energy-transition/314698/origin-signs-pact-for-australian-green-hydrogen-export-project/" TargetMode="External"/><Relationship Id="rId698" Type="http://schemas.openxmlformats.org/officeDocument/2006/relationships/hyperlink" Target="https://www.offshore-energy.biz/woodside-starts-engineering-activities-on-h2ok-hydrogen-project/" TargetMode="External"/><Relationship Id="rId219" Type="http://schemas.openxmlformats.org/officeDocument/2006/relationships/hyperlink" Target="http://www.ieabioenergy.com/wp-content/uploads/2017/10/4_Hybridwerk_Aarmatt_A.Lochbrunner.pdf" TargetMode="External"/><Relationship Id="rId1280" Type="http://schemas.openxmlformats.org/officeDocument/2006/relationships/hyperlink" Target="https://h2bulletin.com/enapter-to-deliver-aem-nexus-500-electrolysers-with-500-kw-production-capacity-to-kit/" TargetMode="External"/><Relationship Id="rId218" Type="http://schemas.openxmlformats.org/officeDocument/2006/relationships/hyperlink" Target="http://www.ptg-bw.de/" TargetMode="External"/><Relationship Id="rId1281" Type="http://schemas.openxmlformats.org/officeDocument/2006/relationships/hyperlink" Target="https://abelenergy.com.au/thyssenkrupp-nucera-preferred-supplier-of-electrolysers" TargetMode="External"/><Relationship Id="rId451" Type="http://schemas.openxmlformats.org/officeDocument/2006/relationships/hyperlink" Target="https://fuelcellsworks.com/news/in-france-the-vhygo-project-grand-ouest-hydrogen-valley-will-deploy-green-hydrogen-in-three-different-regions/?mc_cid=4101eb9ee9&amp;mc_eid=da4624d261" TargetMode="External"/><Relationship Id="rId693" Type="http://schemas.openxmlformats.org/officeDocument/2006/relationships/hyperlink" Target="https://www.ise.fraunhofer.de/en/research-projects/lighthouse-project-power-to-gas.html" TargetMode="External"/><Relationship Id="rId1040" Type="http://schemas.openxmlformats.org/officeDocument/2006/relationships/hyperlink" Target="https://www.hydrogen.energy.gov/pdfs/review23/ta039_ghezel-ayagh_2023_o.pdf" TargetMode="External"/><Relationship Id="rId1282" Type="http://schemas.openxmlformats.org/officeDocument/2006/relationships/hyperlink" Target="https://renewablesnow.com/news/cepsa-picks-nucera-siemens-electrolysers-for-400-mw-project-in-spain-857525/" TargetMode="External"/><Relationship Id="rId450" Type="http://schemas.openxmlformats.org/officeDocument/2006/relationships/hyperlink" Target="https://www.h2-mobile.fr/actus/hygo-station-hydrogene-vannes-ouvrira-octobre-2021/" TargetMode="External"/><Relationship Id="rId692" Type="http://schemas.openxmlformats.org/officeDocument/2006/relationships/hyperlink" Target="https://energynews.biz/green-hydrogen-systems-electrolysers-chosen-for-green-hydrogen-project-in-germany/" TargetMode="External"/><Relationship Id="rId1041" Type="http://schemas.openxmlformats.org/officeDocument/2006/relationships/hyperlink" Target="https://www.tiwag.at/unternehmen/energiewende/power2x-kufstein/" TargetMode="External"/><Relationship Id="rId1283" Type="http://schemas.openxmlformats.org/officeDocument/2006/relationships/hyperlink" Target="https://www.lagazzettadelmezzogiorno.it/news/taranto/1507411/ex-ilva-puglia-hydrogen-valley-alimentera-i-nuovi-forni-elettrici.html" TargetMode="External"/><Relationship Id="rId691" Type="http://schemas.openxmlformats.org/officeDocument/2006/relationships/hyperlink" Target="https://www.dena.de/en/newsroom/news/2019-1/global-alliance-powerfuels-partners-are-advancing-the-market-development-of-powerfuels-in-german-regulatory-sandboxes-of-energiewende/" TargetMode="External"/><Relationship Id="rId1042" Type="http://schemas.openxmlformats.org/officeDocument/2006/relationships/hyperlink" Target="https://www.ots.at/presseaussendung/OTS_20230330_OTS0130/linde-und-plansee-arbeiten-zusammen-co2-freier-wasserstoff-in-reutte-durch-einen-der-ersten-industrie-elektrolyseure-ueberhaupt-in-europa-bild" TargetMode="External"/><Relationship Id="rId1284" Type="http://schemas.openxmlformats.org/officeDocument/2006/relationships/hyperlink" Target="https://www.interreg-central.eu/news/h2ce-study-visit-at-sapios-group-green-hydrogen-hub-in-venice/" TargetMode="External"/><Relationship Id="rId690" Type="http://schemas.openxmlformats.org/officeDocument/2006/relationships/hyperlink" Target="https://energynews.biz/energypark-emden-enters-the-second-stage/" TargetMode="External"/><Relationship Id="rId1043" Type="http://schemas.openxmlformats.org/officeDocument/2006/relationships/hyperlink" Target="https://www.hysnowgroomer.com/projektinformationen-2/" TargetMode="External"/><Relationship Id="rId1285" Type="http://schemas.openxmlformats.org/officeDocument/2006/relationships/hyperlink" Target="https://umbria.tag24.it/fotovoltaico-e-idrogeno-gli-elettrodi-sangraf-diventano-sostenibili/" TargetMode="External"/><Relationship Id="rId213" Type="http://schemas.openxmlformats.org/officeDocument/2006/relationships/hyperlink" Target="https://www.hydrogendays.cz/2016/admin/scripts/source/presentations/PL%2005_%20Denis%20Thomas_HDs2016.pdf" TargetMode="External"/><Relationship Id="rId455" Type="http://schemas.openxmlformats.org/officeDocument/2006/relationships/hyperlink" Target="https://www.h2-view.com/story/leading-us-carbon-capture-project-set-to-produce-clean-hydrogen/" TargetMode="External"/><Relationship Id="rId697" Type="http://schemas.openxmlformats.org/officeDocument/2006/relationships/hyperlink" Target="https://www.kochprojectsolutions.com/news/2021/louisiana-to-get-9-2-billion-renewables-complex-after-koch-fidelis-infrastructure-deal" TargetMode="External"/><Relationship Id="rId1044" Type="http://schemas.openxmlformats.org/officeDocument/2006/relationships/hyperlink" Target="https://www.utilitas.ee/en/the-utilitas-and-ug-investments-green-hydrogen-complete-chain-project-received-a-positive-financing-decision/" TargetMode="External"/><Relationship Id="rId1286" Type="http://schemas.openxmlformats.org/officeDocument/2006/relationships/hyperlink" Target="https://www.fnmgroup.it/h2iseo_hydrogen_valley/" TargetMode="External"/><Relationship Id="rId212" Type="http://schemas.openxmlformats.org/officeDocument/2006/relationships/hyperlink" Target="https://www.h-tec.com/anwendungen/stromlueckenfueller/" TargetMode="External"/><Relationship Id="rId454" Type="http://schemas.openxmlformats.org/officeDocument/2006/relationships/hyperlink" Target="https://www.h2v.eu/hydrogen-valleys/hy-fi-hydrogen-facility-initiative" TargetMode="External"/><Relationship Id="rId696" Type="http://schemas.openxmlformats.org/officeDocument/2006/relationships/hyperlink" Target="https://energynews.biz/hhi-to-build-pilot-green-hydrogen-production-plant/" TargetMode="External"/><Relationship Id="rId1045" Type="http://schemas.openxmlformats.org/officeDocument/2006/relationships/hyperlink" Target="https://www.epressi.com/tiedotteet/energia/koppo-energys-leading-energy-transition-project-of-green-hydrogen-and-sustainable-liquefied-synthetic-methane-is-progressing-in-kristinestad.html" TargetMode="External"/><Relationship Id="rId1287" Type="http://schemas.openxmlformats.org/officeDocument/2006/relationships/hyperlink" Target="https://direct.argusmedia.com/newsandanalysis/Article/2587867" TargetMode="External"/><Relationship Id="rId211" Type="http://schemas.openxmlformats.org/officeDocument/2006/relationships/hyperlink" Target="https://www.erneuerbareenergien.de/1-spatenstich-fuer-buergerwindpark-mit-speicherloesung" TargetMode="External"/><Relationship Id="rId453" Type="http://schemas.openxmlformats.org/officeDocument/2006/relationships/hyperlink" Target="https://www.h2v.eu/hydrogen-valleys/crystal-brook-hydrogen-superhub" TargetMode="External"/><Relationship Id="rId695" Type="http://schemas.openxmlformats.org/officeDocument/2006/relationships/hyperlink" Target="https://hydrogen-central.com/portugal-keme-energy-green-hydrogen-plant-sines-5-million-euros-investment/" TargetMode="External"/><Relationship Id="rId1046" Type="http://schemas.openxmlformats.org/officeDocument/2006/relationships/hyperlink" Target="https://h2cluster.fi/projects/" TargetMode="External"/><Relationship Id="rId1288" Type="http://schemas.openxmlformats.org/officeDocument/2006/relationships/hyperlink" Target="https://www.power-technology.com/marketdata/power-plant-profile-total-eren-h2-magallanes-complex-chile/" TargetMode="External"/><Relationship Id="rId210" Type="http://schemas.openxmlformats.org/officeDocument/2006/relationships/hyperlink" Target="https://www.solarserver.de/2020/02/05/industrielle-power-to-gas-anlage-in-der-schweiz/" TargetMode="External"/><Relationship Id="rId452" Type="http://schemas.openxmlformats.org/officeDocument/2006/relationships/hyperlink" Target="https://www.h2-view.com/story/50mw-green-hydrogen-facility-one-step-closer-to-completion/" TargetMode="External"/><Relationship Id="rId694" Type="http://schemas.openxmlformats.org/officeDocument/2006/relationships/hyperlink" Target="https://fuelcellsworks.com/news/romanias-hidroelectrica-plans-green-hydrogen-production-on-the-danube/" TargetMode="External"/><Relationship Id="rId1047" Type="http://schemas.openxmlformats.org/officeDocument/2006/relationships/hyperlink" Target="https://www.st1.fi/st1-suunnittelee-synteettisen-metanolin-pilottilaitosta-lappeenrantaan" TargetMode="External"/><Relationship Id="rId1289" Type="http://schemas.openxmlformats.org/officeDocument/2006/relationships/hyperlink" Target="https://www.taqa.com.eg/news-details.php?newsid=40" TargetMode="External"/><Relationship Id="rId491" Type="http://schemas.openxmlformats.org/officeDocument/2006/relationships/hyperlink" Target="https://www.ssme.gov.py/vmme/index.php?option=com_content&amp;view=article&amp;id=2020:proyecto-qla-ruta-del-hidrogeno-h2-en-paraguay&amp;catid=96:sample-news&amp;Itemid=552" TargetMode="External"/><Relationship Id="rId490" Type="http://schemas.openxmlformats.org/officeDocument/2006/relationships/hyperlink" Target="https://www.ssme.gov.py/vmme/index.php?option=com_content&amp;view=article&amp;id=2020:proyecto-qla-ruta-del-hidrogeno-h2-en-paraguay&amp;catid=96:sample-news&amp;Itemid=552" TargetMode="External"/><Relationship Id="rId249" Type="http://schemas.openxmlformats.org/officeDocument/2006/relationships/hyperlink" Target="http://www.afhypac.org/documents/tout-savoir/Fiche%209.5%20-%20Power-to-gas%20-%20rev%20mars2017%20ThA.pdf" TargetMode="External"/><Relationship Id="rId248" Type="http://schemas.openxmlformats.org/officeDocument/2006/relationships/hyperlink" Target="https://diamondlite.com/wp-content/uploads/2017/06/EFCF-2015_Paper_B1505_Hybrid-plant-Aarmatt-a-novel-concept-applying-PEM-electrolysis_Rindlisbacher_Marcel_01.pdf" TargetMode="External"/><Relationship Id="rId247" Type="http://schemas.openxmlformats.org/officeDocument/2006/relationships/hyperlink" Target="https://ife.no/en/laboratory/n-fch-systems-laboratory/" TargetMode="External"/><Relationship Id="rId489" Type="http://schemas.openxmlformats.org/officeDocument/2006/relationships/hyperlink" Target="https://www.energiaestrategica.com/estos-son-los-siete-proyectos-clave-en-hidrogeno-verde-del-sector-privado-en-chile/" TargetMode="External"/><Relationship Id="rId1070" Type="http://schemas.openxmlformats.org/officeDocument/2006/relationships/hyperlink" Target="https://direct.argusmedia.com/newsandanalysis/Article/2474693" TargetMode="External"/><Relationship Id="rId1071" Type="http://schemas.openxmlformats.org/officeDocument/2006/relationships/hyperlink" Target="https://direct.argusmedia.com/newsandanalysis/Article/2472237" TargetMode="External"/><Relationship Id="rId1072" Type="http://schemas.openxmlformats.org/officeDocument/2006/relationships/hyperlink" Target="https://direct.argusmedia.com/newsandanalysis/Article/2476908" TargetMode="External"/><Relationship Id="rId242" Type="http://schemas.openxmlformats.org/officeDocument/2006/relationships/hyperlink" Target="https://www.sciencedirect.com/science/article/pii/S0360319908015619" TargetMode="External"/><Relationship Id="rId484" Type="http://schemas.openxmlformats.org/officeDocument/2006/relationships/hyperlink" Target="https://www.hydrogen-lab.de/" TargetMode="External"/><Relationship Id="rId1073" Type="http://schemas.openxmlformats.org/officeDocument/2006/relationships/hyperlink" Target="https://direct.argusmedia.com/newsandanalysis/Article/2477061" TargetMode="External"/><Relationship Id="rId241" Type="http://schemas.openxmlformats.org/officeDocument/2006/relationships/hyperlink" Target="https://www.sciencedirect.com/science/article/pii/S0360319908007027" TargetMode="External"/><Relationship Id="rId483" Type="http://schemas.openxmlformats.org/officeDocument/2006/relationships/hyperlink" Target="https://www.awi.de/en/about-us/service/press/single-view/co2-neutral-auf-der-nordsee.html" TargetMode="External"/><Relationship Id="rId1074" Type="http://schemas.openxmlformats.org/officeDocument/2006/relationships/hyperlink" Target="https://www.h2-view.com/story/gaznat-inaugurates-hydrogen-and-co2-to-syngas-project-in-switzerland/" TargetMode="External"/><Relationship Id="rId240" Type="http://schemas.openxmlformats.org/officeDocument/2006/relationships/hyperlink" Target="http://www.h2susbuild.ntua.gr/Default.aspx" TargetMode="External"/><Relationship Id="rId482" Type="http://schemas.openxmlformats.org/officeDocument/2006/relationships/hyperlink" Target="https://hydrogen-central.com/hydrogen-lab-leuna-starts-operations-germany/" TargetMode="External"/><Relationship Id="rId1075" Type="http://schemas.openxmlformats.org/officeDocument/2006/relationships/hyperlink" Target="https://www.hydeal.com/copie-de-hydeal-ambition" TargetMode="External"/><Relationship Id="rId481" Type="http://schemas.openxmlformats.org/officeDocument/2006/relationships/hyperlink" Target="https://www.airproducts.com/news-center/2021/06/0609-air-products-net-zero-hydrogen-energy-complex-in-edmonton-alberta-canada" TargetMode="External"/><Relationship Id="rId1076" Type="http://schemas.openxmlformats.org/officeDocument/2006/relationships/hyperlink" Target="https://direct.argusmedia.com/newsandanalysis/article/2451947" TargetMode="External"/><Relationship Id="rId246" Type="http://schemas.openxmlformats.org/officeDocument/2006/relationships/hyperlink" Target="https://polytech.univ-nantes.fr/une-ecole-sur-3-campus/actualites/le-demonstrateur-power-to-gas-entre-en-service-sur-le-site-de-la-chantrerie--2180311.kjsp" TargetMode="External"/><Relationship Id="rId488" Type="http://schemas.openxmlformats.org/officeDocument/2006/relationships/hyperlink" Target="https://www.capitalenergetico.cl/wp-content/uploads/2021/03/La-Economia-Verde-Final-Plug-Power.pdf" TargetMode="External"/><Relationship Id="rId1077" Type="http://schemas.openxmlformats.org/officeDocument/2006/relationships/hyperlink" Target="https://fuelcellsworks.com/news/hypster-demonstrator-paves-the-way-for-the-hydrogen-industry-in-europe/" TargetMode="External"/><Relationship Id="rId245" Type="http://schemas.openxmlformats.org/officeDocument/2006/relationships/hyperlink" Target="https://www.universita.corsica/en/research/myrte/" TargetMode="External"/><Relationship Id="rId487" Type="http://schemas.openxmlformats.org/officeDocument/2006/relationships/hyperlink" Target="https://portodoacu.com.br/en/fortescue-future-industries%E2%80%AFand-port-of-acu%E2%80%AFjoin-forces-to-develop-green-hydrogen-plant-in%E2%80%AFbrazil/" TargetMode="External"/><Relationship Id="rId1078" Type="http://schemas.openxmlformats.org/officeDocument/2006/relationships/hyperlink" Target="https://chariotenergygroup.com/operations/green-hydrogen/" TargetMode="External"/><Relationship Id="rId244" Type="http://schemas.openxmlformats.org/officeDocument/2006/relationships/hyperlink" Target="https://www.actaspa.com/projects/hydrogen-generator-demonstrated-by-abengoa/" TargetMode="External"/><Relationship Id="rId486" Type="http://schemas.openxmlformats.org/officeDocument/2006/relationships/hyperlink" Target="https://www.spglobal.com/marketintelligence/en/news-insights/latest-news-headlines/fortescue-seeks-to-build-green-hydrogen-plant-in-brazil-8211-reuters-63181918" TargetMode="External"/><Relationship Id="rId1079" Type="http://schemas.openxmlformats.org/officeDocument/2006/relationships/hyperlink" Target="https://direct.argusmedia.com/newsandanalysis/article/2470181" TargetMode="External"/><Relationship Id="rId243" Type="http://schemas.openxmlformats.org/officeDocument/2006/relationships/hyperlink" Target="https://www.dnvgl.com/oilgas/perspectives/heating-dutch-homes-with-hydrogen.html" TargetMode="External"/><Relationship Id="rId485" Type="http://schemas.openxmlformats.org/officeDocument/2006/relationships/hyperlink" Target="https://www.reuters.com/business/energy/portugals-galp-moves-green-hydrogen-refinery-eyes-12-bln-investment-2021-06-14/" TargetMode="External"/><Relationship Id="rId480" Type="http://schemas.openxmlformats.org/officeDocument/2006/relationships/hyperlink" Target="https://www.spglobal.com/platts/en/market-insights/latest-news/electric-power/052821-germany-shortlists-62-hydrogen-projects-with-2-gw-capacity-for-ipcei-state-aid" TargetMode="External"/><Relationship Id="rId239" Type="http://schemas.openxmlformats.org/officeDocument/2006/relationships/hyperlink" Target="https://engineered.thyssenkrupp.com/en/climateprotection-carbon2chem-when-emissions-become-valuable-substances/" TargetMode="External"/><Relationship Id="rId238" Type="http://schemas.openxmlformats.org/officeDocument/2006/relationships/hyperlink" Target="https://www.hydrogenics.com/2017/04/06/hydrogenics-awarded-funding-to-build-two-hydrogen-fueling-stations-for-the-greater-toronto-area-gta/" TargetMode="External"/><Relationship Id="rId237" Type="http://schemas.openxmlformats.org/officeDocument/2006/relationships/hyperlink" Target="https://mcphy.com/fr/communiques/hydrogene-industriel-projet-20-mw-aux-pays-bas/" TargetMode="External"/><Relationship Id="rId479" Type="http://schemas.openxmlformats.org/officeDocument/2006/relationships/hyperlink" Target="https://www.horisontenergi.no/horisont-energi-chooses-hammerfest-norway-to-build-europes-first-large-scale-carbon-neutral-ammonia-plant/" TargetMode="External"/><Relationship Id="rId236" Type="http://schemas.openxmlformats.org/officeDocument/2006/relationships/hyperlink" Target="https://zenodo.org/record/3464775" TargetMode="External"/><Relationship Id="rId478" Type="http://schemas.openxmlformats.org/officeDocument/2006/relationships/hyperlink" Target="https://www.lenergygroup.com/adjudican-licitacion-internacional-para-epc-de-electrolizadores-de-hidrogeno-verde-en-peru/" TargetMode="External"/><Relationship Id="rId1060" Type="http://schemas.openxmlformats.org/officeDocument/2006/relationships/hyperlink" Target="https://renewable-carbon.eu/news/the-navigator-company-and-p2x-europe-have-signed-a-memorandum-of-understanding-to-create-a-unique-joint-venture-in-portugal-to-produce-green-non-fossil-synthetic-efuels/" TargetMode="External"/><Relationship Id="rId1061" Type="http://schemas.openxmlformats.org/officeDocument/2006/relationships/hyperlink" Target="http://www.thenavigatorcompany.com/var/ezdemo_site/storage/original/application/4470a6c498af5b4a766c860dd70cb923.pdf" TargetMode="External"/><Relationship Id="rId231" Type="http://schemas.openxmlformats.org/officeDocument/2006/relationships/hyperlink" Target="https://www.fluxys.com/en/press-releases/fluxys-group/2020/200227_press_hyoffwind_installation" TargetMode="External"/><Relationship Id="rId473" Type="http://schemas.openxmlformats.org/officeDocument/2006/relationships/hyperlink" Target="https://www.h2-view.com/story/new-24mw-electrolysis-plant-set-for-large-scale-green-hydrogen-production/" TargetMode="External"/><Relationship Id="rId1062" Type="http://schemas.openxmlformats.org/officeDocument/2006/relationships/hyperlink" Target="https://madoquapower2x.com/" TargetMode="External"/><Relationship Id="rId230" Type="http://schemas.openxmlformats.org/officeDocument/2006/relationships/hyperlink" Target="https://www.liquidwind.se/" TargetMode="External"/><Relationship Id="rId472" Type="http://schemas.openxmlformats.org/officeDocument/2006/relationships/hyperlink" Target="https://www.greenlab.dk/knowledge/greenhyscale-project-enter-grant-agreement-preparation-phase/" TargetMode="External"/><Relationship Id="rId1063" Type="http://schemas.openxmlformats.org/officeDocument/2006/relationships/hyperlink" Target="https://www.fortum.com/media/2023/06/fortum-explores-prerequisites-fossil-free-hydrogen-production-ssabs-site-raahe" TargetMode="External"/><Relationship Id="rId471" Type="http://schemas.openxmlformats.org/officeDocument/2006/relationships/hyperlink" Target="https://fuelcellsworks.com/news/sinopec-to-launch-first-green-hydrogen-project-in-2022/" TargetMode="External"/><Relationship Id="rId1064" Type="http://schemas.openxmlformats.org/officeDocument/2006/relationships/hyperlink" Target="https://solarquarter.com/2023/04/24/omans-first-green-ammonia-plant-by-acme-to-launch-by-mid-2025-in-duqm-sez/" TargetMode="External"/><Relationship Id="rId470" Type="http://schemas.openxmlformats.org/officeDocument/2006/relationships/hyperlink" Target="https://www.topsectorenergie.nl/sites/default/files/uploads/TKI%20Gas/publicaties/Overview%20Hydrogen%20projects%20in%20the%20Netherlands%20-%20version%2018%20May%202021.pdf" TargetMode="External"/><Relationship Id="rId1065" Type="http://schemas.openxmlformats.org/officeDocument/2006/relationships/hyperlink" Target="http://www.fuelcellchina.com/Industry_information_details/1454.html" TargetMode="External"/><Relationship Id="rId235" Type="http://schemas.openxmlformats.org/officeDocument/2006/relationships/hyperlink" Target="https://www.uniper.energy/storage/what-we-do/power-to-gas" TargetMode="External"/><Relationship Id="rId477" Type="http://schemas.openxmlformats.org/officeDocument/2006/relationships/hyperlink" Target="https://www.greenhydrogennz.com/" TargetMode="External"/><Relationship Id="rId1066" Type="http://schemas.openxmlformats.org/officeDocument/2006/relationships/hyperlink" Target="https://salcos.salzgitter-ag.com/en/grinhy-20.html" TargetMode="External"/><Relationship Id="rId234" Type="http://schemas.openxmlformats.org/officeDocument/2006/relationships/hyperlink" Target="http://www.westkueste100.de/" TargetMode="External"/><Relationship Id="rId476" Type="http://schemas.openxmlformats.org/officeDocument/2006/relationships/hyperlink" Target="https://fuelcellsworks.com/news/mauritania-signs-agreement-to-develop-green-hydrogen-production-plant/" TargetMode="External"/><Relationship Id="rId1067" Type="http://schemas.openxmlformats.org/officeDocument/2006/relationships/hyperlink" Target="https://direct.argusmedia.com/newsandanalysis/Article/2466217" TargetMode="External"/><Relationship Id="rId233" Type="http://schemas.openxmlformats.org/officeDocument/2006/relationships/hyperlink" Target="https://oge.net/en/us/projects/westkueste-100" TargetMode="External"/><Relationship Id="rId475" Type="http://schemas.openxmlformats.org/officeDocument/2006/relationships/hyperlink" Target="https://www.theguardian.com/world/2021/may/27/oman-plans-to-build-worlds-largest-green-hydrogen-plant" TargetMode="External"/><Relationship Id="rId1068" Type="http://schemas.openxmlformats.org/officeDocument/2006/relationships/hyperlink" Target="https://direct.argusmedia.com/newsandanalysis/Article/2468774" TargetMode="External"/><Relationship Id="rId232" Type="http://schemas.openxmlformats.org/officeDocument/2006/relationships/hyperlink" Target="https://nelhydrogen.com/press-release/press-release-nel-receives-purchase-order-for-a-3-5-mw-electrolyser-from-engie/" TargetMode="External"/><Relationship Id="rId474" Type="http://schemas.openxmlformats.org/officeDocument/2006/relationships/hyperlink" Target="https://www.h2-view.com/story/1bn-abu-dhabi-project-will-produce-200000-tonnes-of-green-ammonia-from-hydrogen/" TargetMode="External"/><Relationship Id="rId1069" Type="http://schemas.openxmlformats.org/officeDocument/2006/relationships/hyperlink" Target="https://direct.argusmedia.com/newsandanalysis/Article/2474746" TargetMode="External"/><Relationship Id="rId1015" Type="http://schemas.openxmlformats.org/officeDocument/2006/relationships/hyperlink" Target="https://bioenergyinternational.com/hzi-to-develop-first-small-scale-waste-to-hydrogen/" TargetMode="External"/><Relationship Id="rId1257" Type="http://schemas.openxmlformats.org/officeDocument/2006/relationships/hyperlink" Target="https://www.linkedin.com/pulse/alberta-selects-shell-suncor-atco-atlas-carbon-hub-proposal-/" TargetMode="External"/><Relationship Id="rId1016" Type="http://schemas.openxmlformats.org/officeDocument/2006/relationships/hyperlink" Target="https://www.hvnplus.co.uk/news/arbikie-distillery-begins-work-on-hydrogen-heating-installation-02-02-2023/" TargetMode="External"/><Relationship Id="rId1258" Type="http://schemas.openxmlformats.org/officeDocument/2006/relationships/hyperlink" Target="https://www.beaver.ab.ca/public/download/files/231170" TargetMode="External"/><Relationship Id="rId1017" Type="http://schemas.openxmlformats.org/officeDocument/2006/relationships/hyperlink" Target="https://vighy.france-hydrogene.org/projets/hynovera/" TargetMode="External"/><Relationship Id="rId1259" Type="http://schemas.openxmlformats.org/officeDocument/2006/relationships/hyperlink" Target="https://www.keyera.com/investors/news/keyera-and-shell-sign-agreement-to-advance-clean-energy/" TargetMode="External"/><Relationship Id="rId1018" Type="http://schemas.openxmlformats.org/officeDocument/2006/relationships/hyperlink" Target="https://vighy.france-hydrogene.org/projets/dijon-metropole-smart-energy-dmse/" TargetMode="External"/><Relationship Id="rId1019" Type="http://schemas.openxmlformats.org/officeDocument/2006/relationships/hyperlink" Target="https://www.france-hydrogene.org/magazine/hydom-un-projet-a-85-mw-dans-la-vallee-de-la-chimie/?cn-reloaded=1" TargetMode="External"/><Relationship Id="rId426" Type="http://schemas.openxmlformats.org/officeDocument/2006/relationships/hyperlink" Target="https://energyiceberg.com/ten-chinese-green-hydrogen-companies/" TargetMode="External"/><Relationship Id="rId668" Type="http://schemas.openxmlformats.org/officeDocument/2006/relationships/hyperlink" Target="https://www.offshorewind.biz/2022/05/17/sif-ge-and-pondera-team-up-on-off-grid-offshore-wind-to-hydrogen-project/" TargetMode="External"/><Relationship Id="rId425" Type="http://schemas.openxmlformats.org/officeDocument/2006/relationships/hyperlink" Target="https://www.spglobal.com/marketintelligence/en/news-insights/latest-news-headlines/new-jersey-resources-plots-new-strategy-focused-on-renewable-energy-61510875" TargetMode="External"/><Relationship Id="rId667" Type="http://schemas.openxmlformats.org/officeDocument/2006/relationships/hyperlink" Target="https://reneweconomy.com.au/south-australia-renewable-hydrogen-export-plan-wins-japanese-backing/" TargetMode="External"/><Relationship Id="rId424" Type="http://schemas.openxmlformats.org/officeDocument/2006/relationships/hyperlink" Target="https://www.insidermedia.com/news/yorkshire/hydrogen-vehicle-hub-proposed-for-leeds-bradford-airport?utm_source=emailmarketing&amp;utm_medium=email&amp;utm_campaign=itm_power_march_newsletter_2021&amp;utm_content=2021-03-08&amp;cid=bsGOwMCjwXdNb7Cu3LMITCTY6dtO-RORvEv4-adY_uE6Pe0RIOWl0KoYqR_e_uhaA98I6nsfdqFKHlA5WvKQfQ.." TargetMode="External"/><Relationship Id="rId666" Type="http://schemas.openxmlformats.org/officeDocument/2006/relationships/hyperlink" Target="https://www.upstreamonline.com/hydrogen/santos-looking-to-supply-blue-hydrogen-to-new-south-wales-in-study-with-qenos/2-1-1093360" TargetMode="External"/><Relationship Id="rId423" Type="http://schemas.openxmlformats.org/officeDocument/2006/relationships/hyperlink" Target="https://co2re.co/FacilityData" TargetMode="External"/><Relationship Id="rId665" Type="http://schemas.openxmlformats.org/officeDocument/2006/relationships/hyperlink" Target="https://energynews.biz/funding-secured-for-dalrymple-bay-hydrogen-project-feasibility-studies/" TargetMode="External"/><Relationship Id="rId429" Type="http://schemas.openxmlformats.org/officeDocument/2006/relationships/hyperlink" Target="https://renewablesnow.com/news/eew-unveils-massive-green-hydrogen-solar-project-in-australia-734022/" TargetMode="External"/><Relationship Id="rId428" Type="http://schemas.openxmlformats.org/officeDocument/2006/relationships/hyperlink" Target="https://mcphy.com/en/press-releases/power_to_gas_mcphy_hebei_delivery/?cn-reloaded=1" TargetMode="External"/><Relationship Id="rId427" Type="http://schemas.openxmlformats.org/officeDocument/2006/relationships/hyperlink" Target="https://energyiceberg.com/china-renewable-green-hydrogen/" TargetMode="External"/><Relationship Id="rId669" Type="http://schemas.openxmlformats.org/officeDocument/2006/relationships/hyperlink" Target="https://www.bp.com/en/global/corporate/news-and-insights/press-releases/bp-and-linde-plan-major-ccs-project-to-advance-decarbonization-efforts-across-texas-gulf-coast.html" TargetMode="External"/><Relationship Id="rId660" Type="http://schemas.openxmlformats.org/officeDocument/2006/relationships/hyperlink" Target="https://www.rabbalshedekraft.com/en/green-hydrogen/" TargetMode="External"/><Relationship Id="rId1250" Type="http://schemas.openxmlformats.org/officeDocument/2006/relationships/hyperlink" Target="https://chinahydrogen.substack.com/p/4-green-methanol-production-projects" TargetMode="External"/><Relationship Id="rId1251" Type="http://schemas.openxmlformats.org/officeDocument/2006/relationships/hyperlink" Target="https://www.rompetrol.com/major-investments/Decarbonization-and-green-energy-initiatives" TargetMode="External"/><Relationship Id="rId1010" Type="http://schemas.openxmlformats.org/officeDocument/2006/relationships/hyperlink" Target="https://www.fishfarmingexpert.com/green-hydrogen-generation-hydroelectric-power-mowi-chile/mowi-seeks-to-run-farms-on-home-made-hydrogen/1283091" TargetMode="External"/><Relationship Id="rId1252" Type="http://schemas.openxmlformats.org/officeDocument/2006/relationships/hyperlink" Target="https://hydrogentechworld.com/gail-inaugurates-10-mw-green-hydrogen-production-plant-in-madhya-pradesh" TargetMode="External"/><Relationship Id="rId422" Type="http://schemas.openxmlformats.org/officeDocument/2006/relationships/hyperlink" Target="https://noticiaslogisticaytransporte.com/nuevas-tendencias/01/03/2021/fm-logistic-y-h2b2-podran-en-marcha-una-estacion-de-servicio-de-hidrogeno/163313.html" TargetMode="External"/><Relationship Id="rId664" Type="http://schemas.openxmlformats.org/officeDocument/2006/relationships/hyperlink" Target="http://h2est.ee/wp-content/uploads/2021/07/8_NeptHyne_from-Innovation-to-International-Cooperation_Tomasz-Pelc.pdf" TargetMode="External"/><Relationship Id="rId1011" Type="http://schemas.openxmlformats.org/officeDocument/2006/relationships/hyperlink" Target="https://h2lac.org/noticias/planta-piloto-movil-de-h2v-permitira-cuantificar-el-potencial-de-generacion-de-la-region-de-antofagasta/" TargetMode="External"/><Relationship Id="rId1253" Type="http://schemas.openxmlformats.org/officeDocument/2006/relationships/hyperlink" Target="https://natural-resources.canada.ca/science-and-data/funding-partnerships/opportunities/current-investments/heat-integrated-carbon-capture-and-storage-potash-mine/25243" TargetMode="External"/><Relationship Id="rId421" Type="http://schemas.openxmlformats.org/officeDocument/2006/relationships/hyperlink" Target="https://www.h2-view.com/story/shell-to-upgrade-existing-hydrogen-facility-to-develop-sustainable-aviation-fuels/" TargetMode="External"/><Relationship Id="rId663" Type="http://schemas.openxmlformats.org/officeDocument/2006/relationships/hyperlink" Target="https://www.fronius.com/en/solar-energy/about-us/news/solhub-san-venture-reference-11062021" TargetMode="External"/><Relationship Id="rId1012" Type="http://schemas.openxmlformats.org/officeDocument/2006/relationships/hyperlink" Target="https://chile.hyvolution.com/en/2023/06/20/mae-exhibits-at-hyvolution-and-brings-its-experience-in-the-development-of-a-pioneering-green-hydrogen-project-in-chile/" TargetMode="External"/><Relationship Id="rId1254" Type="http://schemas.openxmlformats.org/officeDocument/2006/relationships/hyperlink" Target="https://www.ks-potashcanada.com/wp-content/uploads/2023/11/22-KSPC-CommunityReport-REV.pdf" TargetMode="External"/><Relationship Id="rId420" Type="http://schemas.openxmlformats.org/officeDocument/2006/relationships/hyperlink" Target="https://fuelcellsworks.com/news/basque-hydrogen-corridor-unveiled-a-e1-3billion-hydrogen-project/" TargetMode="External"/><Relationship Id="rId662" Type="http://schemas.openxmlformats.org/officeDocument/2006/relationships/hyperlink" Target="https://www.greencarcongress.com/2021/11/20211118-neste.html" TargetMode="External"/><Relationship Id="rId1013" Type="http://schemas.openxmlformats.org/officeDocument/2006/relationships/hyperlink" Target="https://www.mynewsdesk.com/se/strandmoellen-ab/pressreleases/strandmoellen-ab-has-placed-a-purchase-order-for-a-3mw-electrolyser-from-fest-gmbh-3172967" TargetMode="External"/><Relationship Id="rId1255" Type="http://schemas.openxmlformats.org/officeDocument/2006/relationships/hyperlink" Target="https://www.prnewswire.com/news-releases/fidelis-new-energy-selects-battelle-carbon-services-as-its-subsurface-contractor-for-carbon-capture-and-sequestration-in-support-of-the-mountaineer-gigasystem-hydrogen-project-in-west-virginia-301916588.html" TargetMode="External"/><Relationship Id="rId661" Type="http://schemas.openxmlformats.org/officeDocument/2006/relationships/hyperlink" Target="https://www.mynewsdesk.com/se/uniper/news/uniper-aer-med-och-bygger-en-vaetgashubb-i-luleaa-429036" TargetMode="External"/><Relationship Id="rId1014" Type="http://schemas.openxmlformats.org/officeDocument/2006/relationships/hyperlink" Target="https://hydrogen-central.com/opening-hydrogen-production-plant-kubel-power-plant/" TargetMode="External"/><Relationship Id="rId1256" Type="http://schemas.openxmlformats.org/officeDocument/2006/relationships/hyperlink" Target="https://governor.wv.gov/News/press-releases/2023/Pages/Gov.-Justice-announces-Fidelis-New-Energy-to-build-hydrogen-project-and-data-center-campus-in-Mason-County.aspx" TargetMode="External"/><Relationship Id="rId1004" Type="http://schemas.openxmlformats.org/officeDocument/2006/relationships/hyperlink" Target="https://hydrogen.johncockerill.com/en/markets/power-to-gas/" TargetMode="External"/><Relationship Id="rId1246" Type="http://schemas.openxmlformats.org/officeDocument/2006/relationships/hyperlink" Target="https://direct.argusmedia.com/newsandanalysis/Article/2541309" TargetMode="External"/><Relationship Id="rId1005" Type="http://schemas.openxmlformats.org/officeDocument/2006/relationships/hyperlink" Target="https://indho.cl/en/projects/pv-h2-kalisaya/" TargetMode="External"/><Relationship Id="rId1247" Type="http://schemas.openxmlformats.org/officeDocument/2006/relationships/hyperlink" Target="https://direct.argusmedia.com/newsandanalysis/Article/2511437" TargetMode="External"/><Relationship Id="rId1006" Type="http://schemas.openxmlformats.org/officeDocument/2006/relationships/hyperlink" Target="https://www.s-ge.com/en/system/files?file=event/downloads/20220525%20Green%20Hydrogen%20projects%20Chile.pdf&amp;ct" TargetMode="External"/><Relationship Id="rId1248" Type="http://schemas.openxmlformats.org/officeDocument/2006/relationships/hyperlink" Target="https://direct.argusmedia.com/newsandanalysis/Article/2547706" TargetMode="External"/><Relationship Id="rId1007" Type="http://schemas.openxmlformats.org/officeDocument/2006/relationships/hyperlink" Target="https://www.airproducts.com/company/news-center/2022/11/1108-air-products-receive-475-million-cad-net-zero-hydrogen-complex-funding" TargetMode="External"/><Relationship Id="rId1249" Type="http://schemas.openxmlformats.org/officeDocument/2006/relationships/hyperlink" Target="https://direct.argusmedia.com/newsandanalysis/Article/2562627" TargetMode="External"/><Relationship Id="rId1008" Type="http://schemas.openxmlformats.org/officeDocument/2006/relationships/hyperlink" Target="https://tci-gecomp.com/en/project/arichile-h2-en/" TargetMode="External"/><Relationship Id="rId1009" Type="http://schemas.openxmlformats.org/officeDocument/2006/relationships/hyperlink" Target="https://www.biobiochile.cl/especial/aqui-tierra/noticias/2022/11/23/podria-operar-en-2024-chile-estrenara-su-primer-tren-cero-emisiones-con-100-hidrogeno-verde.shtml" TargetMode="External"/><Relationship Id="rId415" Type="http://schemas.openxmlformats.org/officeDocument/2006/relationships/hyperlink" Target="https://www.pv-magazine.com/2021/01/29/solar-powered-hydrogen-for-masdar-city/" TargetMode="External"/><Relationship Id="rId657" Type="http://schemas.openxmlformats.org/officeDocument/2006/relationships/hyperlink" Target="https://xfuels.de/hykero/" TargetMode="External"/><Relationship Id="rId899" Type="http://schemas.openxmlformats.org/officeDocument/2006/relationships/hyperlink" Target="https://research.csiro.au/hyresource/ord-hydrogen/" TargetMode="External"/><Relationship Id="rId414" Type="http://schemas.openxmlformats.org/officeDocument/2006/relationships/hyperlink" Target="https://fuelcellsworks.com/news/green-hydrogen-air-liquide-electrolysis-with-h2v/?mc_cid=97c6cd5d96&amp;mc_eid=da4624d261" TargetMode="External"/><Relationship Id="rId656" Type="http://schemas.openxmlformats.org/officeDocument/2006/relationships/hyperlink" Target="https://energiepark-bad-lauchstaedt.de/" TargetMode="External"/><Relationship Id="rId898" Type="http://schemas.openxmlformats.org/officeDocument/2006/relationships/hyperlink" Target="https://ignis.es/en/green-ammonia-project-ignis/" TargetMode="External"/><Relationship Id="rId413" Type="http://schemas.openxmlformats.org/officeDocument/2006/relationships/hyperlink" Target="https://www.endesa.com/es/prensa/sala-de-prensa/noticias/transicion-energetica/endesa-contempla-desarrollo-23-proyectos-hidrogeno-verde-espana" TargetMode="External"/><Relationship Id="rId655" Type="http://schemas.openxmlformats.org/officeDocument/2006/relationships/hyperlink" Target="https://blog.topsoe.com/haldor-topsoe-and-aquamarine-enters-into-a-memorandum-of-understanding-with-the-purpose-of-building-a-green-ammonia-facility-based-on-soec-electrolysis?hsLang=en-us" TargetMode="External"/><Relationship Id="rId897" Type="http://schemas.openxmlformats.org/officeDocument/2006/relationships/hyperlink" Target="https://nelhydrogen.com/press-release/nel-asa-everwind-fuels-has-elected-nel-to-participate-in-the-feed-study-for-the-point-tupper-project/" TargetMode="External"/><Relationship Id="rId412" Type="http://schemas.openxmlformats.org/officeDocument/2006/relationships/hyperlink" Target="https://cincodias.elpais.com/cincodias/2021/01/29/companias/1611950644_648508.html?id_externo_rsoc=TW_CC" TargetMode="External"/><Relationship Id="rId654" Type="http://schemas.openxmlformats.org/officeDocument/2006/relationships/hyperlink" Target="https://www.viessmann.family/en/what-we-offer/climate-solutions/hydrogen/smartquart-a-complete-hydrogen-infrastructure-is-being-built-in-kaisersesch" TargetMode="External"/><Relationship Id="rId896" Type="http://schemas.openxmlformats.org/officeDocument/2006/relationships/hyperlink" Target="https://www.h2bulletin.com/mmex-resources-corp-to-produce-green-hydrogen-in-rio-grande-argentina/" TargetMode="External"/><Relationship Id="rId419" Type="http://schemas.openxmlformats.org/officeDocument/2006/relationships/hyperlink" Target="https://www.ir.plugpower.com/Press-Releases/Press-Release-Details/2021/Plug-Power-to-Build-North-Americas-Largest-Green-Hydrogen-Production-Facility-in-Western-New-York/default.aspx" TargetMode="External"/><Relationship Id="rId418" Type="http://schemas.openxmlformats.org/officeDocument/2006/relationships/hyperlink" Target="https://renews.biz/66655/cip-unveils-plans-for-esbjerg-green-ammonia-plant/" TargetMode="External"/><Relationship Id="rId417" Type="http://schemas.openxmlformats.org/officeDocument/2006/relationships/hyperlink" Target="https://nelhydrogen.com/wp-content/uploads/2021/02/Nel_2020_Q4_Presentation.pdf" TargetMode="External"/><Relationship Id="rId659" Type="http://schemas.openxmlformats.org/officeDocument/2006/relationships/hyperlink" Target="https://vatgas.se/2021/09/07/strandmollen-ab-far-investeringsstod-fran-klimatklivet-for-vatgasproduktion/" TargetMode="External"/><Relationship Id="rId416" Type="http://schemas.openxmlformats.org/officeDocument/2006/relationships/hyperlink" Target="https://www.smartenergy.net/100mw-green-hydrogen-project-to-decarbonize-the-full-value-chain-of-one-of-the-major-european-ceramic-clusters/" TargetMode="External"/><Relationship Id="rId658" Type="http://schemas.openxmlformats.org/officeDocument/2006/relationships/hyperlink" Target="https://www.energy-saxony.net/fileadmin/Inhalte/Downloads/Veranstaltungen/2022/SUMMIT22/20220119_energy_saxony_EDL_HyKero_Praesentation_de_final.pdf" TargetMode="External"/><Relationship Id="rId891" Type="http://schemas.openxmlformats.org/officeDocument/2006/relationships/hyperlink" Target="https://www.acwapower.com/news/acwa-power-to-develop-uzbekistans-first-green-hydrogen-and-green-ammonia-projects/" TargetMode="External"/><Relationship Id="rId890" Type="http://schemas.openxmlformats.org/officeDocument/2006/relationships/hyperlink" Target="https://energyindustryreview.com/renewables/omv-petrom-gets-financing-to-produce-green-h2-at-the-petrobrazi-refinery/" TargetMode="External"/><Relationship Id="rId1240" Type="http://schemas.openxmlformats.org/officeDocument/2006/relationships/hyperlink" Target="https://www.investinspain.org/content/icex-invest/en/noticias-main/2022/viridi.html" TargetMode="External"/><Relationship Id="rId1241" Type="http://schemas.openxmlformats.org/officeDocument/2006/relationships/hyperlink" Target="https://www.icis.com/explore/resources/news/2022/07/08/10782971/india-s-gacl-ntpc-rel-to-produce-green-methanol-ammonia/" TargetMode="External"/><Relationship Id="rId411" Type="http://schemas.openxmlformats.org/officeDocument/2006/relationships/hyperlink" Target="http://www.rtsafrica.co.za/Documents/NEL%20Hydrogen%20Brochure.pdf" TargetMode="External"/><Relationship Id="rId653" Type="http://schemas.openxmlformats.org/officeDocument/2006/relationships/hyperlink" Target="https://wintershalldea.com/en/newsroom/wintershall-dea-helps-shape-wilhelmshaven-energy-hub" TargetMode="External"/><Relationship Id="rId895" Type="http://schemas.openxmlformats.org/officeDocument/2006/relationships/hyperlink" Target="https://renewablesnow.com/news/austrias-first-green-hydrogen-production-plant-goes-live-822650/" TargetMode="External"/><Relationship Id="rId1000" Type="http://schemas.openxmlformats.org/officeDocument/2006/relationships/hyperlink" Target="https://fuelcellsworks.com/news/walmart-chile-initiates-plan-to-operate-100-of-its-green-hydrogen-logistics-network/?mc_cid=be1ca95ecf&amp;mc_eid=da4624d261" TargetMode="External"/><Relationship Id="rId1242" Type="http://schemas.openxmlformats.org/officeDocument/2006/relationships/hyperlink" Target="https://www.thehindubusinessline.com/news/danish-company-umwelt-energy-to-invest-850-m-in-tn-for-green-hydrogen-methanol-plant/article66567616.ece" TargetMode="External"/><Relationship Id="rId410" Type="http://schemas.openxmlformats.org/officeDocument/2006/relationships/hyperlink" Target="https://hynet.co.uk/app/uploads/2020/10/HyNet_NW-Vision-Document-2020_FINAL.pdf" TargetMode="External"/><Relationship Id="rId652" Type="http://schemas.openxmlformats.org/officeDocument/2006/relationships/hyperlink" Target="https://www.business-live.co.uk/manufacturing/energy-giants-uniper-shell-unite-23666723" TargetMode="External"/><Relationship Id="rId894" Type="http://schemas.openxmlformats.org/officeDocument/2006/relationships/hyperlink" Target="https://www.petrofac.com/media/news/petrofac-to-explore-feasibility-of-green-hydrogen-to-ammonia-facility-in-egypt/" TargetMode="External"/><Relationship Id="rId1001" Type="http://schemas.openxmlformats.org/officeDocument/2006/relationships/hyperlink" Target="https://www.airliquide.com/group/press-releases-news/2022-07-19/air-liquide-build-two-new-hydrogen-production-units-carbon-capture-technology-shanghai-chemical" TargetMode="External"/><Relationship Id="rId1243" Type="http://schemas.openxmlformats.org/officeDocument/2006/relationships/hyperlink" Target="https://energy.economictimes.indiatimes.com/news/renewable/odisha-approves-12-projects-with-investment-of-inr-84918-crore/105523997" TargetMode="External"/><Relationship Id="rId651" Type="http://schemas.openxmlformats.org/officeDocument/2006/relationships/hyperlink" Target="https://www.kellasmidstream.com/news-kellas/kellas-announces-the-development-of-h2northeast-a-low-carbon-blue-hydrogen-production-site-in-teesside-uk" TargetMode="External"/><Relationship Id="rId893" Type="http://schemas.openxmlformats.org/officeDocument/2006/relationships/hyperlink" Target="https://igeh2.com/" TargetMode="External"/><Relationship Id="rId1002" Type="http://schemas.openxmlformats.org/officeDocument/2006/relationships/hyperlink" Target="https://daures.green/" TargetMode="External"/><Relationship Id="rId1244" Type="http://schemas.openxmlformats.org/officeDocument/2006/relationships/hyperlink" Target="https://skynrg.com/state-of-baden-wu%CC%88rttemberg-supports-study-on-the-production-and-use-of-synthetic-kerosene-based-on-renewable-energies/" TargetMode="External"/><Relationship Id="rId650" Type="http://schemas.openxmlformats.org/officeDocument/2006/relationships/hyperlink" Target="https://research.csiro.au/hyresource/edify-green-hydrogen-project/" TargetMode="External"/><Relationship Id="rId892" Type="http://schemas.openxmlformats.org/officeDocument/2006/relationships/hyperlink" Target="https://hycamite.com/" TargetMode="External"/><Relationship Id="rId1003" Type="http://schemas.openxmlformats.org/officeDocument/2006/relationships/hyperlink" Target="https://www.spglobal.com/commodityinsights/en/market-insights/latest-news/energy-transition/063023-two-green-hydrogen-projects-totaling-30000-mtyear-of-capacity-start-up-in-china" TargetMode="External"/><Relationship Id="rId1245" Type="http://schemas.openxmlformats.org/officeDocument/2006/relationships/hyperlink" Target="https://hydronews.it/sardidrogeno-il-progetto-della-francese-hdf-energy-per-produrre-idrogeno-green-in-sardegna/" TargetMode="External"/><Relationship Id="rId1037" Type="http://schemas.openxmlformats.org/officeDocument/2006/relationships/hyperlink" Target="https://nelhydrogen.com/press-release/nel-asa-receives-purchase-order-for-40-mw-electrolyser-equipment-from-bondalti/" TargetMode="External"/><Relationship Id="rId1279" Type="http://schemas.openxmlformats.org/officeDocument/2006/relationships/hyperlink" Target="https://www.enapter.com/de/enapter-news/4-mw-scale-aem-electrolysers-sold-to-italy-new-aem-flex-120-video-out-and-much-more/" TargetMode="External"/><Relationship Id="rId1038" Type="http://schemas.openxmlformats.org/officeDocument/2006/relationships/hyperlink" Target="https://www.hydrogen.energy.gov/pdfs/review23/sdi002_prabakar_2023_o.pdf" TargetMode="External"/><Relationship Id="rId1039" Type="http://schemas.openxmlformats.org/officeDocument/2006/relationships/hyperlink" Target="https://www.hydrogen.energy.gov/pdfs/review23/ta045_pal_2023_o.pdf" TargetMode="External"/><Relationship Id="rId206" Type="http://schemas.openxmlformats.org/officeDocument/2006/relationships/hyperlink" Target="https://newenergycoalition.org/en/gzi-next-plan-for-construction-of-hydrogen-plant-in-emmen-parties-sign-letter-of-intent/" TargetMode="External"/><Relationship Id="rId448" Type="http://schemas.openxmlformats.org/officeDocument/2006/relationships/hyperlink" Target="https://www.zepak.com.pl/en/clean-poland/hydrogen-production-at-ze-pak-sa.html" TargetMode="External"/><Relationship Id="rId205" Type="http://schemas.openxmlformats.org/officeDocument/2006/relationships/hyperlink" Target="https://www.hydrogen4climateaction.eu/programme" TargetMode="External"/><Relationship Id="rId447" Type="http://schemas.openxmlformats.org/officeDocument/2006/relationships/hyperlink" Target="https://www.e15.cz/byznys/prumysl-a-energetika/skupina-solar-global-spusti-vyrobu-prvniho-zeleneho-vodiku-v-cesku-1379128" TargetMode="External"/><Relationship Id="rId689" Type="http://schemas.openxmlformats.org/officeDocument/2006/relationships/hyperlink" Target="https://h2-industries.com/en/waste-to-energy/" TargetMode="External"/><Relationship Id="rId204" Type="http://schemas.openxmlformats.org/officeDocument/2006/relationships/hyperlink" Target="https://www.hydrogen4climateaction.eu/programme" TargetMode="External"/><Relationship Id="rId446" Type="http://schemas.openxmlformats.org/officeDocument/2006/relationships/hyperlink" Target="https://www.chemengonline.com/austrian-consortium-unveils-major-decarbonization-project-focused-on-co2-capture-green-hydrogen/" TargetMode="External"/><Relationship Id="rId688" Type="http://schemas.openxmlformats.org/officeDocument/2006/relationships/hyperlink" Target="https://energycapitalpower.com/h2-industries-receives-preliminary-approval-for-3-billion-waste-to-hydrogen-plant-in-egypt/" TargetMode="External"/><Relationship Id="rId203" Type="http://schemas.openxmlformats.org/officeDocument/2006/relationships/hyperlink" Target="https://cordis.europa.eu/project/id/875123/pl" TargetMode="External"/><Relationship Id="rId445" Type="http://schemas.openxmlformats.org/officeDocument/2006/relationships/hyperlink" Target="https://www.h2v.eu/hydrogen-valleys/wiva-pg-wasserstoffinitiative-vorzeigeregion-austria-power-gas" TargetMode="External"/><Relationship Id="rId687" Type="http://schemas.openxmlformats.org/officeDocument/2006/relationships/hyperlink" Target="https://w3.windfair.net/wind-energy/pr/41036-statkraft-h2-green-steel-renewables-electricity-sweden-price-hydropower-green-steel-production-industry" TargetMode="External"/><Relationship Id="rId209" Type="http://schemas.openxmlformats.org/officeDocument/2006/relationships/hyperlink" Target="https://www.umweltfoerderung.at/fileadmin/user_upload/pics/allgemein/News/Innovation_Fund_092019/7_Langhammer_D_OMV_UpHy.pdf" TargetMode="External"/><Relationship Id="rId208" Type="http://schemas.openxmlformats.org/officeDocument/2006/relationships/hyperlink" Target="https://www.remote-euproject.eu/remote-project/" TargetMode="External"/><Relationship Id="rId207" Type="http://schemas.openxmlformats.org/officeDocument/2006/relationships/hyperlink" Target="https://cordis.europa.eu/project/id/826089" TargetMode="External"/><Relationship Id="rId449" Type="http://schemas.openxmlformats.org/officeDocument/2006/relationships/hyperlink" Target="https://www.entsog.eu/sites/default/files/2020-11/ENTSOG_TYNDP_2020_Annex_A_Projects_Details.pdf" TargetMode="External"/><Relationship Id="rId1270" Type="http://schemas.openxmlformats.org/officeDocument/2006/relationships/hyperlink" Target="https://direct.argusmedia.com/newsandanalysis/article/2565197" TargetMode="External"/><Relationship Id="rId440" Type="http://schemas.openxmlformats.org/officeDocument/2006/relationships/hyperlink" Target="https://chuneng.bjx.com.cn/news/20201015/1110001.shtml" TargetMode="External"/><Relationship Id="rId682" Type="http://schemas.openxmlformats.org/officeDocument/2006/relationships/hyperlink" Target="https://energyegypt.net/total-eren-enara-capital-to-build-green-ammonia-facility-in-egypts-sczone/" TargetMode="External"/><Relationship Id="rId1271" Type="http://schemas.openxmlformats.org/officeDocument/2006/relationships/hyperlink" Target="https://world-nuclear-news.org/Articles/Eletronuclear-plans-clean-hydrogen-production" TargetMode="External"/><Relationship Id="rId681" Type="http://schemas.openxmlformats.org/officeDocument/2006/relationships/hyperlink" Target="https://www.chemengonline.com/repsol-to-begin-operating-2-5-mw-electrolyzer-at-petronor-refinery/?printmode=1" TargetMode="External"/><Relationship Id="rId1030" Type="http://schemas.openxmlformats.org/officeDocument/2006/relationships/hyperlink" Target="https://vighy.france-hydrogene.org/projets/zero-emission-valley-zev/" TargetMode="External"/><Relationship Id="rId1272" Type="http://schemas.openxmlformats.org/officeDocument/2006/relationships/hyperlink" Target="https://gep-global.com/news/green-energy-park-raises-30-million-us-dollars-initial-equity-funding-accelerate-energy-transition-and-build-one-largest-renewable-hydrogen-production-and-export-terminal-facilities-world" TargetMode="External"/><Relationship Id="rId680" Type="http://schemas.openxmlformats.org/officeDocument/2006/relationships/hyperlink" Target="https://www.bp.com/en/global/corporate/news-and-insights/press-releases/abu-dhabis-adnoc-and-masdar-to-join-bps-uk-hydrogen-projects.html" TargetMode="External"/><Relationship Id="rId1031" Type="http://schemas.openxmlformats.org/officeDocument/2006/relationships/hyperlink" Target="https://www.caissedesdepots.fr/sites/default/files/2021-02/CP%20CEF%20-%20TBF%20-%20HYDROGEN%20FUEL%20FOR%20PARIS%20HYSETCO%2016022021.pdf" TargetMode="External"/><Relationship Id="rId1273" Type="http://schemas.openxmlformats.org/officeDocument/2006/relationships/hyperlink" Target="https://direct.argusmedia.com/newsandanalysis/Article/2517245" TargetMode="External"/><Relationship Id="rId1032" Type="http://schemas.openxmlformats.org/officeDocument/2006/relationships/hyperlink" Target="https://vighy.france-hydrogene.org/projets/em-lacq/" TargetMode="External"/><Relationship Id="rId1274" Type="http://schemas.openxmlformats.org/officeDocument/2006/relationships/hyperlink" Target="https://www.ohmium.com/news/h2-green-mining-and-ohmium-sign-agreement-to-boost-green-hydrogen-in-chile" TargetMode="External"/><Relationship Id="rId202" Type="http://schemas.openxmlformats.org/officeDocument/2006/relationships/hyperlink" Target="https://cordis.europa.eu/project/id/779430" TargetMode="External"/><Relationship Id="rId444" Type="http://schemas.openxmlformats.org/officeDocument/2006/relationships/hyperlink" Target="https://www.wiva.at/v2/portfolio-item/h2pioneer-pave-the-way-for-green-hydrogen-for-early-adopters-in-the-light-industry/?lang=en" TargetMode="External"/><Relationship Id="rId686" Type="http://schemas.openxmlformats.org/officeDocument/2006/relationships/hyperlink" Target="https://news.cision.com/nel-asa/r/nel-asa--receives-purchase-order-for-an-alkaline-electrolyser-system-from-glencore-nikkelverk,c3576789" TargetMode="External"/><Relationship Id="rId1033" Type="http://schemas.openxmlformats.org/officeDocument/2006/relationships/hyperlink" Target="https://vighy.france-hydrogene.org/projets/h2-bordeaux/" TargetMode="External"/><Relationship Id="rId1275" Type="http://schemas.openxmlformats.org/officeDocument/2006/relationships/hyperlink" Target="https://www.enerdata.net/publications/daily-energy-news/ceara-brazil-signs-mou-12-mtyear-green-hydrogen-project.html" TargetMode="External"/><Relationship Id="rId201" Type="http://schemas.openxmlformats.org/officeDocument/2006/relationships/hyperlink" Target="https://static1.squarespace.com/static/5d3f0387728026000121b2a2/t/5e2061aff0b63e06cfe3bfa5/1579180467000/13_200115_GreenFlamingo_IPCEI+Workshop+15+Jan20+V7.1.pdf" TargetMode="External"/><Relationship Id="rId443" Type="http://schemas.openxmlformats.org/officeDocument/2006/relationships/hyperlink" Target="https://news.solarbe.com/202001/08/319050.html" TargetMode="External"/><Relationship Id="rId685" Type="http://schemas.openxmlformats.org/officeDocument/2006/relationships/hyperlink" Target="https://lapisenergy.com/lapis-energy-to-develop-carbon-capture-sequestration-project-with-lsb-industries/" TargetMode="External"/><Relationship Id="rId1034" Type="http://schemas.openxmlformats.org/officeDocument/2006/relationships/hyperlink" Target="https://elyse.energy/en/our-projects/biotjet" TargetMode="External"/><Relationship Id="rId1276" Type="http://schemas.openxmlformats.org/officeDocument/2006/relationships/hyperlink" Target="https://totalenergies.com/media/news/press-releases/germany-totalenergies-and-vng-join-forces-green-hydrogen-decarbonize-leuna" TargetMode="External"/><Relationship Id="rId200" Type="http://schemas.openxmlformats.org/officeDocument/2006/relationships/hyperlink" Target="https://www.yara.com/news-and-media/news/archive/2019/yara-and-nel-carbon-free-hydrogen-for-fertilizer-production/" TargetMode="External"/><Relationship Id="rId442" Type="http://schemas.openxmlformats.org/officeDocument/2006/relationships/hyperlink" Target="https://www.china5e.com/news/news-1107445-1.html" TargetMode="External"/><Relationship Id="rId684" Type="http://schemas.openxmlformats.org/officeDocument/2006/relationships/hyperlink" Target="https://www.reuters.com/markets/commodities/vietnam-company-invest-840-mln-countrys-first-green-hydrogen-plant-2022-05-25/" TargetMode="External"/><Relationship Id="rId1035" Type="http://schemas.openxmlformats.org/officeDocument/2006/relationships/hyperlink" Target="https://www.wiva.at/wp-content/uploads/2022/10/05_UpHy_Uitz.pdf" TargetMode="External"/><Relationship Id="rId1277" Type="http://schemas.openxmlformats.org/officeDocument/2006/relationships/hyperlink" Target="https://www.hydrogeninsight.com/production/construction-begins-on-2-6bn-gigawatt-scale-green-hydrogen-and-ammonia-project-in-northern-china/2-1-1672656" TargetMode="External"/><Relationship Id="rId441" Type="http://schemas.openxmlformats.org/officeDocument/2006/relationships/hyperlink" Target="https://www.sohu.com/a/421783419_703050" TargetMode="External"/><Relationship Id="rId683" Type="http://schemas.openxmlformats.org/officeDocument/2006/relationships/hyperlink" Target="https://www.reuters.com/world/middle-east/egypt-agrees-5-bln-deal-with-norways-scatec-green-ammonia-project-2022-03-10/" TargetMode="External"/><Relationship Id="rId1036" Type="http://schemas.openxmlformats.org/officeDocument/2006/relationships/hyperlink" Target="https://ek.fi/tutkittua-tietoa/vihreat-investoinnit/" TargetMode="External"/><Relationship Id="rId1278" Type="http://schemas.openxmlformats.org/officeDocument/2006/relationships/hyperlink" Target="https://elpinguino.com/noticia/2023/10/27/organizaciones-ambientalistas-advierten-por-impacto-de-futuro-proyecto-de-hidrogeno-verde-cercano-a-humedal-bahia-lomas" TargetMode="External"/><Relationship Id="rId1026" Type="http://schemas.openxmlformats.org/officeDocument/2006/relationships/hyperlink" Target="https://vighy.france-hydrogene.org/projets/vhya-lorraine/" TargetMode="External"/><Relationship Id="rId1268" Type="http://schemas.openxmlformats.org/officeDocument/2006/relationships/hyperlink" Target="https://www.greencarcongress.com/2023/12/20231227-cip.html" TargetMode="External"/><Relationship Id="rId1027" Type="http://schemas.openxmlformats.org/officeDocument/2006/relationships/hyperlink" Target="https://vighy.france-hydrogene.org/projets/h2v-thionville/" TargetMode="External"/><Relationship Id="rId1269" Type="http://schemas.openxmlformats.org/officeDocument/2006/relationships/hyperlink" Target="https://www.datamarnews.com/noticias/santos-port-authority-eyes-federal-fund-for-green-hydrogen-production/" TargetMode="External"/><Relationship Id="rId1028" Type="http://schemas.openxmlformats.org/officeDocument/2006/relationships/hyperlink" Target="https://vighy.france-hydrogene.org/projets/h2v-valenciennes/" TargetMode="External"/><Relationship Id="rId1029" Type="http://schemas.openxmlformats.org/officeDocument/2006/relationships/hyperlink" Target="https://vighy.france-hydrogene.org/projets/usine-trange/" TargetMode="External"/><Relationship Id="rId437" Type="http://schemas.openxmlformats.org/officeDocument/2006/relationships/hyperlink" Target="https://www.swb.de/ueber-swb/unternehmen/nachhaltigkeit/wasserstoff/clean-hydrogen-coastline" TargetMode="External"/><Relationship Id="rId679" Type="http://schemas.openxmlformats.org/officeDocument/2006/relationships/hyperlink" Target="https://www.afrik21.africa/en/egypt-with-hassan-allam-masdar-wants-to-convert-4-gw-of-electricity-into-hydrogen/" TargetMode="External"/><Relationship Id="rId436" Type="http://schemas.openxmlformats.org/officeDocument/2006/relationships/hyperlink" Target="https://fuelcellsworks.com/news/enegix-energy-partners-with-black-veatch-on-green-hydrogen-plant-in-ceara-brazil/?mc_cid=fbb2a1bb9c&amp;mc_eid=da4624d261" TargetMode="External"/><Relationship Id="rId678" Type="http://schemas.openxmlformats.org/officeDocument/2006/relationships/hyperlink" Target="https://renewablesnow.com/news/amea-power-inks-mou-for-large-scale-green-ammonia-production-in-egypt-781715/" TargetMode="External"/><Relationship Id="rId435" Type="http://schemas.openxmlformats.org/officeDocument/2006/relationships/hyperlink" Target="https://globalnews.ca/news/7714950/proposed-alberta-methanol-project-carbon-capture/" TargetMode="External"/><Relationship Id="rId677" Type="http://schemas.openxmlformats.org/officeDocument/2006/relationships/hyperlink" Target="https://www.ir.plugpower.com/press-releases/news-details/2022/MOL-GROUP-Launches-Green-Hydrogen-Production-Using-Plug-Electrolyzers/default.aspx" TargetMode="External"/><Relationship Id="rId434" Type="http://schemas.openxmlformats.org/officeDocument/2006/relationships/hyperlink" Target="https://www.mitsubishicorp.com/jp/en/pr/archive/2021/html/0000046720.html" TargetMode="External"/><Relationship Id="rId676" Type="http://schemas.openxmlformats.org/officeDocument/2006/relationships/hyperlink" Target="https://renewablesnow.com/news/plug-power-to-create-green-hydrogen-jv-with-olin-build-plant-in-louisiana-782996/" TargetMode="External"/><Relationship Id="rId439" Type="http://schemas.openxmlformats.org/officeDocument/2006/relationships/hyperlink" Target="https://chuneng.bjx.com.cn/news/20210326/1144111.shtml" TargetMode="External"/><Relationship Id="rId438" Type="http://schemas.openxmlformats.org/officeDocument/2006/relationships/hyperlink" Target="https://www.planetaryhydrogen.com/news/" TargetMode="External"/><Relationship Id="rId671" Type="http://schemas.openxmlformats.org/officeDocument/2006/relationships/hyperlink" Target="https://fuelcellsworks.com/news/hydrogen-greek-companies-participating-in-the-5-major-eu-projects-get-greek-govt-approval/" TargetMode="External"/><Relationship Id="rId1260" Type="http://schemas.openxmlformats.org/officeDocument/2006/relationships/hyperlink" Target="https://www.bizjournals.com/phoenix/news/2023/11/02/linde-nextera-hydrogen-facility-phoenix-tonopah.html?utm_source=sy&amp;utm_medum=ptr&amp;utm_campaign=knxv" TargetMode="External"/><Relationship Id="rId670" Type="http://schemas.openxmlformats.org/officeDocument/2006/relationships/hyperlink" Target="https://www.rystadenergy.com/newsevents/news/press-releases/COP27-host-Egypt-commits-40bn-to-green-hydrogen-economy-to-attract-foreign-investment/" TargetMode="External"/><Relationship Id="rId1261" Type="http://schemas.openxmlformats.org/officeDocument/2006/relationships/hyperlink" Target="https://www.hydrogeninsight.com/production/spain-awards-150m-of-grants-to-build-309mw-of-green-hydrogen-production-for-use-in-hard-to-abate-sectors/2-1-1563916" TargetMode="External"/><Relationship Id="rId1020" Type="http://schemas.openxmlformats.org/officeDocument/2006/relationships/hyperlink" Target="https://vighy.france-hydrogene.org/projets/h2v-saint-clair-du-rhone/" TargetMode="External"/><Relationship Id="rId1262" Type="http://schemas.openxmlformats.org/officeDocument/2006/relationships/hyperlink" Target="https://renewablesnow.com/news/chiles-susterra-plans-usd-423m-green-h2-project-for-mining-industry-844219/" TargetMode="External"/><Relationship Id="rId1021" Type="http://schemas.openxmlformats.org/officeDocument/2006/relationships/hyperlink" Target="https://vighy.france-hydrogene.org/projets/ecoh2-breizh1/" TargetMode="External"/><Relationship Id="rId1263" Type="http://schemas.openxmlformats.org/officeDocument/2006/relationships/hyperlink" Target="https://www.hydrogeninsight.com/production/india-s-largest-power-giant-unveils-enormous-4gw-green-hydrogen-project/2-1-1601848" TargetMode="External"/><Relationship Id="rId433" Type="http://schemas.openxmlformats.org/officeDocument/2006/relationships/hyperlink" Target="https://www.h2-view.com/story/itm-power-makes-first-sale-in-japan-sells-1-4mw-electrolyser-to-sumitomo-corp/" TargetMode="External"/><Relationship Id="rId675" Type="http://schemas.openxmlformats.org/officeDocument/2006/relationships/hyperlink" Target="https://www.canarymedia.com/articles/hydrogen/massive-green-hydrogen-hub-in-utah-wins-504m-federal-loan-guarantee" TargetMode="External"/><Relationship Id="rId1022" Type="http://schemas.openxmlformats.org/officeDocument/2006/relationships/hyperlink" Target="https://vighy.france-hydrogene.org/projets/ecoh2-breizh2/" TargetMode="External"/><Relationship Id="rId1264" Type="http://schemas.openxmlformats.org/officeDocument/2006/relationships/hyperlink" Target="https://ammoniaenergy.org/articles/sixth-renewable-ammonia-project-announced-for-ceara-state-brazil/" TargetMode="External"/><Relationship Id="rId432" Type="http://schemas.openxmlformats.org/officeDocument/2006/relationships/hyperlink" Target="https://ir.q4europe.com/Tools/newsArticleHTML.aspx?solutionID=3512&amp;customerKey=itmpower&amp;storyID=14682293&amp;language=en" TargetMode="External"/><Relationship Id="rId674" Type="http://schemas.openxmlformats.org/officeDocument/2006/relationships/hyperlink" Target="https://reneweconomy.com.au/world-first-super-hybrid-wind-hydro-and-hydrogen-project-planned-for-queensland/" TargetMode="External"/><Relationship Id="rId1023" Type="http://schemas.openxmlformats.org/officeDocument/2006/relationships/hyperlink" Target="https://vighy.france-hydrogene.org/projets/hycor/" TargetMode="External"/><Relationship Id="rId1265" Type="http://schemas.openxmlformats.org/officeDocument/2006/relationships/hyperlink" Target="https://www.reuters.com/business/energy/eletrobras-signs-agreement-with-prumo-produce-green-hydrogen-brazilian-port-2024-06-05/" TargetMode="External"/><Relationship Id="rId431" Type="http://schemas.openxmlformats.org/officeDocument/2006/relationships/hyperlink" Target="https://www.h2-view.com/story/five-hydrogen-plants-planned-for-italy-and-the-mediterranean-basis/" TargetMode="External"/><Relationship Id="rId673" Type="http://schemas.openxmlformats.org/officeDocument/2006/relationships/hyperlink" Target="https://newsbeezer.com/portugaleng/producing-hydrogen-at-alandroal-this-can-be-possible-after-an-investment-of-more-than-e-300-million/" TargetMode="External"/><Relationship Id="rId1024" Type="http://schemas.openxmlformats.org/officeDocument/2006/relationships/hyperlink" Target="https://vighy.france-hydrogene.org/projets/dephy2a-ajaccio/" TargetMode="External"/><Relationship Id="rId1266" Type="http://schemas.openxmlformats.org/officeDocument/2006/relationships/hyperlink" Target="https://direct.argusmedia.com/newsandanalysis/Article/2542681" TargetMode="External"/><Relationship Id="rId430" Type="http://schemas.openxmlformats.org/officeDocument/2006/relationships/hyperlink" Target="https://www.power-eng.com/gas/national-grid-in-jv-to-build-new-york-green-hydrogen-storage-delivery-project/" TargetMode="External"/><Relationship Id="rId672" Type="http://schemas.openxmlformats.org/officeDocument/2006/relationships/hyperlink" Target="https://ecubes.si/zero-emission-mobility-corridor-project-in-slovenia/" TargetMode="External"/><Relationship Id="rId1025" Type="http://schemas.openxmlformats.org/officeDocument/2006/relationships/hyperlink" Target="https://vighy.france-hydrogene.org/projets/dephy2a-bastia/" TargetMode="External"/><Relationship Id="rId1267" Type="http://schemas.openxmlformats.org/officeDocument/2006/relationships/hyperlink" Target="https://www.portalminero.com/wp/verano-energy-ingresa-a-evaluacion-ambiental-proyecto-para-la-produccion-de-hidrogeno-y-amoniaco-verde-en-peru/" TargetMode="External"/></Relationships>
</file>

<file path=xl/worksheets/_rels/sheet1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13.xml"/><Relationship Id="rId3" Type="http://schemas.openxmlformats.org/officeDocument/2006/relationships/vmlDrawing" Target="../drawings/vmlDrawing2.v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 Id="rId3" Type="http://schemas.openxmlformats.org/officeDocument/2006/relationships/table" Target="../tables/table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17.xml"/><Relationship Id="rId3" Type="http://schemas.openxmlformats.org/officeDocument/2006/relationships/vmlDrawing" Target="../drawings/vmlDrawing3.vml"/><Relationship Id="rId5" Type="http://schemas.openxmlformats.org/officeDocument/2006/relationships/table" Target="../tables/table4.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90" Type="http://schemas.openxmlformats.org/officeDocument/2006/relationships/hyperlink" Target="https://www.sunshynecorridor.eu/" TargetMode="External"/><Relationship Id="rId194" Type="http://schemas.openxmlformats.org/officeDocument/2006/relationships/hyperlink" Target="https://www.offshore-energy.biz/feasibility-study-launched-for-france-belgium-hydrogen-transmission-network/" TargetMode="External"/><Relationship Id="rId193" Type="http://schemas.openxmlformats.org/officeDocument/2006/relationships/hyperlink" Target="https://energy.ec.europa.eu/document/download/944b96b9-4efd-44a3-bbfe-45b752b0b55f_en?filename=Technical_document_1st%20PCI_PMI%20list_15.05.2024_FINAL.pdf" TargetMode="External"/><Relationship Id="rId192" Type="http://schemas.openxmlformats.org/officeDocument/2006/relationships/hyperlink" Target="https://www.grtgaz.com/en/our-energy-transition/hydrogen-transport/rhyn" TargetMode="External"/><Relationship Id="rId191" Type="http://schemas.openxmlformats.org/officeDocument/2006/relationships/hyperlink" Target="https://www.seehyc.eu/" TargetMode="External"/><Relationship Id="rId187" Type="http://schemas.openxmlformats.org/officeDocument/2006/relationships/hyperlink" Target="https://www.seehyc.eu/" TargetMode="External"/><Relationship Id="rId186" Type="http://schemas.openxmlformats.org/officeDocument/2006/relationships/hyperlink" Target="https://www.sunshynecorridor.eu/" TargetMode="External"/><Relationship Id="rId185" Type="http://schemas.openxmlformats.org/officeDocument/2006/relationships/hyperlink" Target="https://www.cehc.eu/" TargetMode="External"/><Relationship Id="rId184" Type="http://schemas.openxmlformats.org/officeDocument/2006/relationships/hyperlink" Target="https://www.sunshynecorridor.eu/" TargetMode="External"/><Relationship Id="rId189" Type="http://schemas.openxmlformats.org/officeDocument/2006/relationships/hyperlink" Target="https://www.cehc.eu/" TargetMode="External"/><Relationship Id="rId188" Type="http://schemas.openxmlformats.org/officeDocument/2006/relationships/hyperlink" Target="https://www.cghi.eu/" TargetMode="External"/><Relationship Id="rId183" Type="http://schemas.openxmlformats.org/officeDocument/2006/relationships/hyperlink" Target="https://www.cehc.eu/" TargetMode="External"/><Relationship Id="rId182" Type="http://schemas.openxmlformats.org/officeDocument/2006/relationships/hyperlink" Target="https://www.plinovodi.si/en/hydrogen/" TargetMode="External"/><Relationship Id="rId181" Type="http://schemas.openxmlformats.org/officeDocument/2006/relationships/hyperlink" Target="https://www.plinovodi.si/en/hydrogen/" TargetMode="External"/><Relationship Id="rId180" Type="http://schemas.openxmlformats.org/officeDocument/2006/relationships/hyperlink" Target="https://www.plinovodi.si/en/hydrogen/" TargetMode="External"/><Relationship Id="rId176" Type="http://schemas.openxmlformats.org/officeDocument/2006/relationships/hyperlink" Target="https://delta-rhine-corridor.com/en" TargetMode="External"/><Relationship Id="rId175" Type="http://schemas.openxmlformats.org/officeDocument/2006/relationships/hyperlink" Target="https://www.hyperlink-gasunie.de/en/about-hyperlink/hyperlink-5" TargetMode="External"/><Relationship Id="rId174" Type="http://schemas.openxmlformats.org/officeDocument/2006/relationships/hyperlink" Target="https://www.hyperlink-gasunie.de/en/about-hyperlink/hyperlink-3" TargetMode="External"/><Relationship Id="rId173" Type="http://schemas.openxmlformats.org/officeDocument/2006/relationships/hyperlink" Target="https://www.hyperlink-gasunie.de/en/about-hyperlink/hyperlink-4" TargetMode="External"/><Relationship Id="rId179" Type="http://schemas.openxmlformats.org/officeDocument/2006/relationships/hyperlink" Target="https://www.plinovodi.si/en/hydrogen/" TargetMode="External"/><Relationship Id="rId178" Type="http://schemas.openxmlformats.org/officeDocument/2006/relationships/hyperlink" Target="https://www.industryandenergy.eu/hydrogen/delta-rhine-corridor-delayed-until-2032/" TargetMode="External"/><Relationship Id="rId177" Type="http://schemas.openxmlformats.org/officeDocument/2006/relationships/hyperlink" Target="https://www.bundesnetzagentur.de/SharedDocs/Downloads/DE/Sachgebiete/Energie/Unternehmen_Institutionen/Wasserstoff/Antragsentwurf_FNB_Anlage3.xlsx?__blob=publicationFile&amp;v=2" TargetMode="External"/><Relationship Id="rId198" Type="http://schemas.openxmlformats.org/officeDocument/2006/relationships/hyperlink" Target="https://www.hydrogeninsight.com/policy/morocco-plans-5-600km-hydrogen-pipeline-from-nigeria-passing-through-11-west-african-states/2-1-1522315" TargetMode="External"/><Relationship Id="rId197" Type="http://schemas.openxmlformats.org/officeDocument/2006/relationships/hyperlink" Target="https://www.engie.com/news/mosahyc" TargetMode="External"/><Relationship Id="rId196" Type="http://schemas.openxmlformats.org/officeDocument/2006/relationships/hyperlink" Target="https://energy.ec.europa.eu/document/download/944b96b9-4efd-44a3-bbfe-45b752b0b55f_en?filename=Technical_document_1st%20PCI_PMI%20list_15.05.2024_FINAL.pdf" TargetMode="External"/><Relationship Id="rId195" Type="http://schemas.openxmlformats.org/officeDocument/2006/relationships/hyperlink" Target="https://www.offshore-energy.biz/feasibility-study-launched-for-france-belgium-hydrogen-transmission-network/" TargetMode="External"/><Relationship Id="rId199" Type="http://schemas.openxmlformats.org/officeDocument/2006/relationships/hyperlink" Target="https://www.hydrogeninsight.com/production/worlds-longest-hydrogen-pipeline-covering-700km-set-for-construction-work-this-year-at-a-cost-of-845m/2-1-1605339?utm_campaign=2024-02-29&amp;utm_content=hydrogen&amp;utm_medium=email&amp;utm_source=email_campaign&amp;utm_term=recharge" TargetMode="External"/><Relationship Id="rId150" Type="http://schemas.openxmlformats.org/officeDocument/2006/relationships/hyperlink" Target="https://direct.argusmedia.com/integration/newsandanalysis/article/2491064https:/direct.argusmedia.com/integration/newsandanalysis/article/2491064" TargetMode="External"/><Relationship Id="rId1" Type="http://schemas.openxmlformats.org/officeDocument/2006/relationships/comments" Target="../comments4.xml"/><Relationship Id="rId2" Type="http://schemas.openxmlformats.org/officeDocument/2006/relationships/hyperlink" Target="https://www.portofrotterdam.com/en/news-and-press-releases/shell-first-customer-hydrogen-pipeline-rotterdam-port" TargetMode="External"/><Relationship Id="rId3" Type="http://schemas.openxmlformats.org/officeDocument/2006/relationships/hyperlink" Target="https://www.hydrogeninsight.com/industrial/europe-s-first-national-hydrogen-pipeline-network-to-start-construction-this-month/2-1-1529347" TargetMode="External"/><Relationship Id="rId149" Type="http://schemas.openxmlformats.org/officeDocument/2006/relationships/hyperlink" Target="https://pollinationgroup.com/media_post/world-first-partnership-to-deliver-australias-first-clean-energy-export-hub/" TargetMode="External"/><Relationship Id="rId4" Type="http://schemas.openxmlformats.org/officeDocument/2006/relationships/hyperlink" Target="https://www.oedigital.com/news/512131-shell-hires-worley-for-green-hydrogen-facility-job-in-netherlands" TargetMode="External"/><Relationship Id="rId148" Type="http://schemas.openxmlformats.org/officeDocument/2006/relationships/hyperlink" Target="https://www.gem.wiki/West%E2%80%93East_Hydrogen_Pipeline" TargetMode="External"/><Relationship Id="rId9" Type="http://schemas.openxmlformats.org/officeDocument/2006/relationships/hyperlink" Target="https://www.gasunie.nl/en/projects/hydrogen-network-netherlands" TargetMode="External"/><Relationship Id="rId143" Type="http://schemas.openxmlformats.org/officeDocument/2006/relationships/hyperlink" Target="https://www.fluxys.com/en/about-us/fluxys-belgium/annual-report" TargetMode="External"/><Relationship Id="rId142" Type="http://schemas.openxmlformats.org/officeDocument/2006/relationships/hyperlink" Target="https://gasroundtable.com/sembcorp-pln-plan-green-hydrogen-production-in-indonesia-2335" TargetMode="External"/><Relationship Id="rId141" Type="http://schemas.openxmlformats.org/officeDocument/2006/relationships/hyperlink" Target="https://www.fluxys.com/en/about-us/fluxys-belgium/annual-report" TargetMode="External"/><Relationship Id="rId140" Type="http://schemas.openxmlformats.org/officeDocument/2006/relationships/hyperlink" Target="https://asia.nikkei.com/Business/Energy/Singapore-taps-Vietnam-Indonesia-and-Malaysia-for-low-carbon-energy" TargetMode="External"/><Relationship Id="rId5" Type="http://schemas.openxmlformats.org/officeDocument/2006/relationships/hyperlink" Target="https://www.gasunie.nl/en/news/gasunie-hydrogen-pipeline-from-dow-to-yara-brought-into-operation" TargetMode="External"/><Relationship Id="rId147" Type="http://schemas.openxmlformats.org/officeDocument/2006/relationships/hyperlink" Target="https://www.globaltimes.cn/page/202304/1288874.shtml?id=11" TargetMode="External"/><Relationship Id="rId6" Type="http://schemas.openxmlformats.org/officeDocument/2006/relationships/hyperlink" Target="https://www.gasunie.nl/en/expertise/hydrogen/hyway-27" TargetMode="External"/><Relationship Id="rId146" Type="http://schemas.openxmlformats.org/officeDocument/2006/relationships/hyperlink" Target="https://www.bulgartransgaz.bg/en/news/ek-vklyuchi-v-proektite-ot-obsht-interes-parviyat-vodoroden-proekt-za-balgariya-816.html" TargetMode="External"/><Relationship Id="rId7" Type="http://schemas.openxmlformats.org/officeDocument/2006/relationships/hyperlink" Target="https://www.gasunie.nl/en/projects/hydrogen-network-netherlands" TargetMode="External"/><Relationship Id="rId145" Type="http://schemas.openxmlformats.org/officeDocument/2006/relationships/hyperlink" Target="https://balkangreenenergynews.com/greece-and-bulgaria-to-present-joint-hydrogen-projects/" TargetMode="External"/><Relationship Id="rId8" Type="http://schemas.openxmlformats.org/officeDocument/2006/relationships/hyperlink" Target="https://www.gasunie.nl/en/expertise/hydrogen/hyway-27" TargetMode="External"/><Relationship Id="rId144" Type="http://schemas.openxmlformats.org/officeDocument/2006/relationships/hyperlink" Target="https://youtu.be/RE1gMxrU8PU?list=TLGGKDe4w1WMqQsxODAzMjAyNA" TargetMode="External"/><Relationship Id="rId139" Type="http://schemas.openxmlformats.org/officeDocument/2006/relationships/hyperlink" Target="https://www.fluxys.com/en/about-us/fluxys-belgium/annual-report" TargetMode="External"/><Relationship Id="rId138" Type="http://schemas.openxmlformats.org/officeDocument/2006/relationships/hyperlink" Target="https://www.offshore-energy.biz/uk-and-germany-strengthen-hydrogen-ties/" TargetMode="External"/><Relationship Id="rId137" Type="http://schemas.openxmlformats.org/officeDocument/2006/relationships/hyperlink" Target="https://www.fluxys.com/en/about-us/fluxys-belgium/annual-report" TargetMode="External"/><Relationship Id="rId132" Type="http://schemas.openxmlformats.org/officeDocument/2006/relationships/hyperlink" Target="https://energy.ec.europa.eu/document/download/944b96b9-4efd-44a3-bbfe-45b752b0b55f_en?filename=Technical_document_1st%20PCI_PMI%20list_15.05.2024_FINAL.pdf" TargetMode="External"/><Relationship Id="rId131" Type="http://schemas.openxmlformats.org/officeDocument/2006/relationships/hyperlink" Target="https://grande-region-hydrogen.eu/en/projects/mosahyc/" TargetMode="External"/><Relationship Id="rId130" Type="http://schemas.openxmlformats.org/officeDocument/2006/relationships/hyperlink" Target="https://www.lse.co.uk/rns/UKOG/future-hydrogen-ready-energy-storage-project-v6o32c2ixbxmut6.html" TargetMode="External"/><Relationship Id="rId136" Type="http://schemas.openxmlformats.org/officeDocument/2006/relationships/hyperlink" Target="https://www.fluxys.com/en/about-us/fluxys-belgium/annual-report" TargetMode="External"/><Relationship Id="rId135" Type="http://schemas.openxmlformats.org/officeDocument/2006/relationships/hyperlink" Target="https://www.fluxys.com/en/about-us/fluxys-belgium/annual-report" TargetMode="External"/><Relationship Id="rId134" Type="http://schemas.openxmlformats.org/officeDocument/2006/relationships/hyperlink" Target="https://www.fluxys.com/en/about-us/fluxys-belgium/annual-report" TargetMode="External"/><Relationship Id="rId133" Type="http://schemas.openxmlformats.org/officeDocument/2006/relationships/hyperlink" Target="https://www.fluxys.com/en/about-us/fluxys-belgium/annual-report" TargetMode="External"/><Relationship Id="rId172" Type="http://schemas.openxmlformats.org/officeDocument/2006/relationships/hyperlink" Target="https://www.hyperlink-gasunie.de/en/about-hyperlink/hyperlink-3" TargetMode="External"/><Relationship Id="rId171" Type="http://schemas.openxmlformats.org/officeDocument/2006/relationships/hyperlink" Target="https://www.hyperlink-gasunie.de/en/about-hyperlink/hyperlink-1---2" TargetMode="External"/><Relationship Id="rId170" Type="http://schemas.openxmlformats.org/officeDocument/2006/relationships/hyperlink" Target="https://www.hyperlink-gasunie.de/en" TargetMode="External"/><Relationship Id="rId165" Type="http://schemas.openxmlformats.org/officeDocument/2006/relationships/hyperlink" Target="https://www.hunterhydrogennetwork.com/" TargetMode="External"/><Relationship Id="rId164" Type="http://schemas.openxmlformats.org/officeDocument/2006/relationships/hyperlink" Target="https://hunter.org.au/wp-content/uploads/2021/11/20211117-Hunter-Hydrogen-Roadmap.pdf" TargetMode="External"/><Relationship Id="rId163" Type="http://schemas.openxmlformats.org/officeDocument/2006/relationships/hyperlink" Target="https://youtu.be/RE1gMxrU8PU?list=TLGGKDe4w1WMqQsxODAzMjAyNA" TargetMode="External"/><Relationship Id="rId162" Type="http://schemas.openxmlformats.org/officeDocument/2006/relationships/hyperlink" Target="https://h2v.eu/hydrogen-valleys/green-octopus" TargetMode="External"/><Relationship Id="rId169" Type="http://schemas.openxmlformats.org/officeDocument/2006/relationships/hyperlink" Target="https://www.apa.com.au/news/media-statements/2021/apa-set-to-unlock-australias-first-hydrogen-ready-transmission-pipeline/" TargetMode="External"/><Relationship Id="rId168" Type="http://schemas.openxmlformats.org/officeDocument/2006/relationships/hyperlink" Target="https://www.hoganlovells.com/-/media/hogan-lovells/pdf/2022-pdfs/2022_01_10_hogan-lovells-australian-hydrogen-projects-paper-2022.pdf" TargetMode="External"/><Relationship Id="rId167" Type="http://schemas.openxmlformats.org/officeDocument/2006/relationships/hyperlink" Target="https://www.bmwk.de/Redaktion/DE/Pressemitteilungen/2022/03/20220316-deutschland-und-norwegen-vereinbaren-zusammenarbeit-fur-wasserstoff-importe.html" TargetMode="External"/><Relationship Id="rId166" Type="http://schemas.openxmlformats.org/officeDocument/2006/relationships/hyperlink" Target="https://www.gasunie.nl/en/news/gasunie-and-fluxys-join-forces-for-a-dutch-belgian-hydrogen-network-connection-in-north-sea-port" TargetMode="External"/><Relationship Id="rId161" Type="http://schemas.openxmlformats.org/officeDocument/2006/relationships/hyperlink" Target="https://www.waterstofnet.eu/_asset/_public/greenocotpus/GreenOctopus_Factsheet.pdf" TargetMode="External"/><Relationship Id="rId160" Type="http://schemas.openxmlformats.org/officeDocument/2006/relationships/hyperlink" Target="http://www.h2ercules.com/en" TargetMode="External"/><Relationship Id="rId159" Type="http://schemas.openxmlformats.org/officeDocument/2006/relationships/hyperlink" Target="http://www.h2ercules.com/en" TargetMode="External"/><Relationship Id="rId154" Type="http://schemas.openxmlformats.org/officeDocument/2006/relationships/hyperlink" Target="http://www.h2ercules.com/en" TargetMode="External"/><Relationship Id="rId153" Type="http://schemas.openxmlformats.org/officeDocument/2006/relationships/hyperlink" Target="https://www.h2green.co.uk/news/agreement-to-develop-clean-energy-hub-for-shoreham-port-sussex/" TargetMode="External"/><Relationship Id="rId152" Type="http://schemas.openxmlformats.org/officeDocument/2006/relationships/hyperlink" Target="https://www.energyvoice.com/renewables-energy-transition/hydrogen/372300/inverness-green-hydrogen/" TargetMode="External"/><Relationship Id="rId151" Type="http://schemas.openxmlformats.org/officeDocument/2006/relationships/hyperlink" Target="https://hynet.co.uk/wp-content/uploads/2020/10/HyNet_NW-Vision-Document-2020_FINAL.pdf" TargetMode="External"/><Relationship Id="rId158" Type="http://schemas.openxmlformats.org/officeDocument/2006/relationships/hyperlink" Target="https://delta-rhine-corridor.com/en" TargetMode="External"/><Relationship Id="rId157" Type="http://schemas.openxmlformats.org/officeDocument/2006/relationships/hyperlink" Target="http://www.h2ercules.com/en" TargetMode="External"/><Relationship Id="rId156" Type="http://schemas.openxmlformats.org/officeDocument/2006/relationships/hyperlink" Target="http://www.h2ercules.com/en" TargetMode="External"/><Relationship Id="rId155" Type="http://schemas.openxmlformats.org/officeDocument/2006/relationships/hyperlink" Target="http://www.h2ercules.com/en" TargetMode="External"/><Relationship Id="rId40" Type="http://schemas.openxmlformats.org/officeDocument/2006/relationships/hyperlink" Target="https://www.portugal.gov.pt/en/gc23/communication/news-item?i=portuguese-green-energy-corridor-projects-have-a-european-seal-of-common-interest" TargetMode="External"/><Relationship Id="rId42" Type="http://schemas.openxmlformats.org/officeDocument/2006/relationships/hyperlink" Target="https://www.erse.pt/media/hksda0cn/enquadramento-cp-115-proposta-pdirg-2023.pdf" TargetMode="External"/><Relationship Id="rId41" Type="http://schemas.openxmlformats.org/officeDocument/2006/relationships/hyperlink" Target="https://energy.ec.europa.eu/document/download/944b96b9-4efd-44a3-bbfe-45b752b0b55f_en?filename=Technical_document_1st%20PCI_PMI%20list_15.05.2024_FINAL.pdf" TargetMode="External"/><Relationship Id="rId44" Type="http://schemas.openxmlformats.org/officeDocument/2006/relationships/hyperlink" Target="https://energy.ec.europa.eu/document/download/944b96b9-4efd-44a3-bbfe-45b752b0b55f_en?filename=Technical_document_1st%20PCI_PMI%20list_15.05.2024_FINAL.pdf" TargetMode="External"/><Relationship Id="rId43" Type="http://schemas.openxmlformats.org/officeDocument/2006/relationships/hyperlink" Target="https://www.portugal.gov.pt/en/gc23/communication/news-item?i=portuguese-green-energy-corridor-projects-have-a-european-seal-of-common-interest" TargetMode="External"/><Relationship Id="rId46" Type="http://schemas.openxmlformats.org/officeDocument/2006/relationships/hyperlink" Target="https://www.portugal.gov.pt/en/gc23/communication/news-item?i=portuguese-green-energy-corridor-projects-have-a-european-seal-of-common-interest" TargetMode="External"/><Relationship Id="rId45" Type="http://schemas.openxmlformats.org/officeDocument/2006/relationships/hyperlink" Target="https://www.erse.pt/media/hksda0cn/enquadramento-cp-115-proposta-pdirg-2023.pdf" TargetMode="External"/><Relationship Id="rId48" Type="http://schemas.openxmlformats.org/officeDocument/2006/relationships/hyperlink" Target="https://www.grtgaz.com/en/our-energy-transition/hydrogen/hyfen" TargetMode="External"/><Relationship Id="rId47" Type="http://schemas.openxmlformats.org/officeDocument/2006/relationships/hyperlink" Target="https://energy.ec.europa.eu/document/download/944b96b9-4efd-44a3-bbfe-45b752b0b55f_en?filename=Technical_document_1st%20PCI_PMI%20list_15.05.2024_FINAL.pdf" TargetMode="External"/><Relationship Id="rId49" Type="http://schemas.openxmlformats.org/officeDocument/2006/relationships/hyperlink" Target="https://energy.ec.europa.eu/document/download/944b96b9-4efd-44a3-bbfe-45b752b0b55f_en?filename=Technical_document_1st%20PCI_PMI%20list_15.05.2024_FINAL.pdf" TargetMode="External"/><Relationship Id="rId31" Type="http://schemas.openxmlformats.org/officeDocument/2006/relationships/hyperlink" Target="https://www.lamoncloa.gob.es/presidente/actividades/Documents/2022/091222-H2MED.pdf" TargetMode="External"/><Relationship Id="rId30" Type="http://schemas.openxmlformats.org/officeDocument/2006/relationships/hyperlink" Target="https://www.fluxys.com/en/about-us/fluxys-belgium/annual-report" TargetMode="External"/><Relationship Id="rId33" Type="http://schemas.openxmlformats.org/officeDocument/2006/relationships/hyperlink" Target="https://www.lamoncloa.gob.es/presidente/actividades/Documents/2022/091222-H2MED.pdf" TargetMode="External"/><Relationship Id="rId32" Type="http://schemas.openxmlformats.org/officeDocument/2006/relationships/hyperlink" Target="https://hydrogentoday.info/en/h2med-project-pci-europe/" TargetMode="External"/><Relationship Id="rId35" Type="http://schemas.openxmlformats.org/officeDocument/2006/relationships/hyperlink" Target="https://energy.ec.europa.eu/document/download/944b96b9-4efd-44a3-bbfe-45b752b0b55f_en?filename=Technical_document_1st%20PCI_PMI%20list_15.05.2024_FINAL.pdf" TargetMode="External"/><Relationship Id="rId34" Type="http://schemas.openxmlformats.org/officeDocument/2006/relationships/hyperlink" Target="https://energynews.biz/europes-green-hydrogen-highway-celza-project-to-transform-energy-movement/" TargetMode="External"/><Relationship Id="rId37" Type="http://schemas.openxmlformats.org/officeDocument/2006/relationships/hyperlink" Target="https://www.hydrogeninsight.com/policy/spanish-gas-grid-operator-reduces-shareholder-dividends-to-bolster-balance-sheet-for-hydrogen-pipelines/2-1-1601662" TargetMode="External"/><Relationship Id="rId36" Type="http://schemas.openxmlformats.org/officeDocument/2006/relationships/hyperlink" Target="https://www.enagas.es/es/transicion-energetica/red-gasista/infraestructuras-energeticas/transporte-hidrogeno/" TargetMode="External"/><Relationship Id="rId39" Type="http://schemas.openxmlformats.org/officeDocument/2006/relationships/hyperlink" Target="https://www.enagas.es/es/transicion-energetica/red-gasista/infraestructuras-energeticas/transporte-hidrogeno/" TargetMode="External"/><Relationship Id="rId38" Type="http://schemas.openxmlformats.org/officeDocument/2006/relationships/hyperlink" Target="https://energy.ec.europa.eu/document/download/944b96b9-4efd-44a3-bbfe-45b752b0b55f_en?filename=Technical_document_1st%20PCI_PMI%20list_15.05.2024_FINAL.pdf" TargetMode="External"/><Relationship Id="rId20" Type="http://schemas.openxmlformats.org/officeDocument/2006/relationships/hyperlink" Target="https://www.gasunie.nl/en/expertise/hydrogen/hyway-27" TargetMode="External"/><Relationship Id="rId22" Type="http://schemas.openxmlformats.org/officeDocument/2006/relationships/hyperlink" Target="https://www.gasunie.nl/en/expertise/hydrogen/hyway-27" TargetMode="External"/><Relationship Id="rId21" Type="http://schemas.openxmlformats.org/officeDocument/2006/relationships/hyperlink" Target="https://www.gasunie.nl/en/projects/hydrogen-network-netherlands" TargetMode="External"/><Relationship Id="rId24" Type="http://schemas.openxmlformats.org/officeDocument/2006/relationships/hyperlink" Target="https://www.gasunie.nl/en/expertise/hydrogen/hyway-27" TargetMode="External"/><Relationship Id="rId23" Type="http://schemas.openxmlformats.org/officeDocument/2006/relationships/hyperlink" Target="https://www.gasunie.nl/en/projects/hydrogen-network-netherlands" TargetMode="External"/><Relationship Id="rId26" Type="http://schemas.openxmlformats.org/officeDocument/2006/relationships/hyperlink" Target="https://www.gasunie.nl/en/expertise/hydrogen/hyway-27" TargetMode="External"/><Relationship Id="rId25" Type="http://schemas.openxmlformats.org/officeDocument/2006/relationships/hyperlink" Target="https://www.gasunie.nl/en/projects/hydrogen-network-netherlands" TargetMode="External"/><Relationship Id="rId28" Type="http://schemas.openxmlformats.org/officeDocument/2006/relationships/hyperlink" Target="https://www.gasunie.nl/en/expertise/hydrogen/hyway-27" TargetMode="External"/><Relationship Id="rId27" Type="http://schemas.openxmlformats.org/officeDocument/2006/relationships/hyperlink" Target="https://www.gasunie.nl/en/projects/hydrogen-network-netherlands" TargetMode="External"/><Relationship Id="rId29" Type="http://schemas.openxmlformats.org/officeDocument/2006/relationships/hyperlink" Target="https://www.gasunie.nl/en/projects/hydrogen-network-netherlands" TargetMode="External"/><Relationship Id="rId11" Type="http://schemas.openxmlformats.org/officeDocument/2006/relationships/hyperlink" Target="https://www.gasunie.nl/en/projects/hydrogen-network-netherlands" TargetMode="External"/><Relationship Id="rId10" Type="http://schemas.openxmlformats.org/officeDocument/2006/relationships/hyperlink" Target="https://www.gasunie.nl/en/expertise/hydrogen/hyway-27" TargetMode="External"/><Relationship Id="rId13" Type="http://schemas.openxmlformats.org/officeDocument/2006/relationships/hyperlink" Target="https://www.gasunie.nl/en/projects/hydrogen-network-netherlands" TargetMode="External"/><Relationship Id="rId12" Type="http://schemas.openxmlformats.org/officeDocument/2006/relationships/hyperlink" Target="https://www.gasunie.nl/en/expertise/hydrogen/hyway-27" TargetMode="External"/><Relationship Id="rId15" Type="http://schemas.openxmlformats.org/officeDocument/2006/relationships/hyperlink" Target="https://www.gasunie.nl/en/projects/hydrogen-network-netherlands" TargetMode="External"/><Relationship Id="rId14" Type="http://schemas.openxmlformats.org/officeDocument/2006/relationships/hyperlink" Target="https://www.gasunie.nl/en/expertise/hydrogen/hyway-27" TargetMode="External"/><Relationship Id="rId17" Type="http://schemas.openxmlformats.org/officeDocument/2006/relationships/hyperlink" Target="https://www.gasunie.nl/en/projects/hydrogen-network-netherlands" TargetMode="External"/><Relationship Id="rId16" Type="http://schemas.openxmlformats.org/officeDocument/2006/relationships/hyperlink" Target="https://www.gasunie.nl/en/expertise/hydrogen/hyway-27" TargetMode="External"/><Relationship Id="rId19" Type="http://schemas.openxmlformats.org/officeDocument/2006/relationships/hyperlink" Target="https://www.gasunie.nl/en/projects/hydrogen-network-netherlands" TargetMode="External"/><Relationship Id="rId18" Type="http://schemas.openxmlformats.org/officeDocument/2006/relationships/hyperlink" Target="https://www.gasunie.nl/en/expertise/hydrogen/hyway-27" TargetMode="External"/><Relationship Id="rId84" Type="http://schemas.openxmlformats.org/officeDocument/2006/relationships/hyperlink" Target="https://www.bundesnetzagentur.de/SharedDocs/Downloads/DE/Sachgebiete/Energie/Unternehmen_Institutionen/Wasserstoff/Antragsentwurf_FNB_Anlage3.xlsx?__blob=publicationFile&amp;v=2" TargetMode="External"/><Relationship Id="rId83" Type="http://schemas.openxmlformats.org/officeDocument/2006/relationships/hyperlink" Target="https://www.hypipe-bavaria.com/en/" TargetMode="External"/><Relationship Id="rId86" Type="http://schemas.openxmlformats.org/officeDocument/2006/relationships/hyperlink" Target="https://www.rigzone.com/news/prefeasibility_study_launched_for_nordicbaltic_hydrogen_corridor-08-jan-2024-175288-article/" TargetMode="External"/><Relationship Id="rId85" Type="http://schemas.openxmlformats.org/officeDocument/2006/relationships/hyperlink" Target="https://www.ox2.com/newsroom/news/2022/ox2-to-investigate-the-possibility-to-develop-offshore-hydrogen-pipeline-in-the-baltic-sea/" TargetMode="External"/><Relationship Id="rId88" Type="http://schemas.openxmlformats.org/officeDocument/2006/relationships/hyperlink" Target="https://energy.ec.europa.eu/document/download/944b96b9-4efd-44a3-bbfe-45b752b0b55f_en?filename=Technical_document_1st%20PCI_PMI%20list_15.05.2024_FINAL.pdf" TargetMode="External"/><Relationship Id="rId87" Type="http://schemas.openxmlformats.org/officeDocument/2006/relationships/hyperlink" Target="https://www.offshore-energy.biz/ecs-projects-of-common-interest-list-includes-hydrogen-for-the-first-time/" TargetMode="External"/><Relationship Id="rId89" Type="http://schemas.openxmlformats.org/officeDocument/2006/relationships/hyperlink" Target="https://balticseahydrogencollector.com/" TargetMode="External"/><Relationship Id="rId80" Type="http://schemas.openxmlformats.org/officeDocument/2006/relationships/hyperlink" Target="https://www.sunshynecorridor.eu/" TargetMode="External"/><Relationship Id="rId82" Type="http://schemas.openxmlformats.org/officeDocument/2006/relationships/hyperlink" Target="https://ehb.eu/files/downloads/EHB-2023-20-Nov-FINAL-design.pdf" TargetMode="External"/><Relationship Id="rId81" Type="http://schemas.openxmlformats.org/officeDocument/2006/relationships/hyperlink" Target="https://h2backbone-wag-pw.at/projektbeschreibung/" TargetMode="External"/><Relationship Id="rId73" Type="http://schemas.openxmlformats.org/officeDocument/2006/relationships/hyperlink" Target="https://badenovanetze.de/rhyn-interco/" TargetMode="External"/><Relationship Id="rId72" Type="http://schemas.openxmlformats.org/officeDocument/2006/relationships/hyperlink" Target="https://energiepark-bad-lauchstaedt.de/en/news-downloads/latest-news/kapa-contact/" TargetMode="External"/><Relationship Id="rId75" Type="http://schemas.openxmlformats.org/officeDocument/2006/relationships/hyperlink" Target="https://badenovanetze.de/rhyn-interco/" TargetMode="External"/><Relationship Id="rId74" Type="http://schemas.openxmlformats.org/officeDocument/2006/relationships/hyperlink" Target="https://energy.ec.europa.eu/document/download/944b96b9-4efd-44a3-bbfe-45b752b0b55f_en?filename=Technical_document_1st%20PCI_PMI%20list_15.05.2024_FINAL.pdf" TargetMode="External"/><Relationship Id="rId77" Type="http://schemas.openxmlformats.org/officeDocument/2006/relationships/hyperlink" Target="https://www.taggmbh.at/en/h2-readiness-en/" TargetMode="External"/><Relationship Id="rId76" Type="http://schemas.openxmlformats.org/officeDocument/2006/relationships/hyperlink" Target="https://www.snam.it/content/dam/snam/pages-attachments/it/i-nostri-business/trasporto/documents/piani-decennali/snam-rete-gas/2023-2032/02.%20Allegato%20Schede%20Progetto.pdf" TargetMode="External"/><Relationship Id="rId79" Type="http://schemas.openxmlformats.org/officeDocument/2006/relationships/hyperlink" Target="https://www.south2corridor.net/" TargetMode="External"/><Relationship Id="rId78" Type="http://schemas.openxmlformats.org/officeDocument/2006/relationships/hyperlink" Target="https://www.aggm.at/fileadmin/AGGM/Bilder-Dokumente/Gasnetz/Netzplanung/KNEP/2023/_A_KNEP_fuer_den_Planungszeitraum_2023_bis_2032_im_Umfang_des_NEP_von_GAS_CONNECT_AUSTRIA_GmbH.pdf" TargetMode="External"/><Relationship Id="rId71" Type="http://schemas.openxmlformats.org/officeDocument/2006/relationships/hyperlink" Target="https://www.bundesnetzagentur.de/SharedDocs/Downloads/DE/Sachgebiete/Energie/Unternehmen_Institutionen/Wasserstoff/Antragsentwurf_FNB_Anlage3.xlsx?__blob=publicationFile&amp;v=2" TargetMode="External"/><Relationship Id="rId70" Type="http://schemas.openxmlformats.org/officeDocument/2006/relationships/hyperlink" Target="https://www.bundesnetzagentur.de/SharedDocs/Downloads/DE/Sachgebiete/Energie/Unternehmen_Institutionen/Wasserstoff/Antragsentwurf_FNB_Anlage3.xlsx?__blob=publicationFile&amp;v=2" TargetMode="External"/><Relationship Id="rId62" Type="http://schemas.openxmlformats.org/officeDocument/2006/relationships/hyperlink" Target="https://www.h2inframap.eu/" TargetMode="External"/><Relationship Id="rId61" Type="http://schemas.openxmlformats.org/officeDocument/2006/relationships/hyperlink" Target="https://www.bundesnetzagentur.de/SharedDocs/Downloads/DE/Sachgebiete/Energie/Unternehmen_Institutionen/Wasserstoff/Antragsentwurf_FNB_Anlage3.xlsx?__blob=publicationFile&amp;v=2" TargetMode="External"/><Relationship Id="rId64" Type="http://schemas.openxmlformats.org/officeDocument/2006/relationships/hyperlink" Target="https://www.ontras.com/en/infrastruktur/innovationsprojekte/doing-hydrogen" TargetMode="External"/><Relationship Id="rId63" Type="http://schemas.openxmlformats.org/officeDocument/2006/relationships/hyperlink" Target="https://www.flow-hydrogen.com/wp-content/uploads/2023-02-02_Press_Release_Interconnector_Bornholm_Lubmin_en.pdf" TargetMode="External"/><Relationship Id="rId66" Type="http://schemas.openxmlformats.org/officeDocument/2006/relationships/hyperlink" Target="https://www.doinghydrogen.com/genehmigung-durch-eu-kommission-erfolgt/" TargetMode="External"/><Relationship Id="rId65" Type="http://schemas.openxmlformats.org/officeDocument/2006/relationships/hyperlink" Target="https://www.bundesnetzagentur.de/SharedDocs/Downloads/DE/Sachgebiete/Energie/Unternehmen_Institutionen/Wasserstoff/Antragsentwurf_FNB_Anlage3.xlsx?__blob=publicationFile&amp;v=2" TargetMode="External"/><Relationship Id="rId68" Type="http://schemas.openxmlformats.org/officeDocument/2006/relationships/hyperlink" Target="https://www.doinghydrogen.com/en/early-start-of-measures-confirmed-by-bmwk/" TargetMode="External"/><Relationship Id="rId67" Type="http://schemas.openxmlformats.org/officeDocument/2006/relationships/hyperlink" Target="https://www.doinghydrogen.com/en/early-start-of-measures-confirmed-by-bmwk/" TargetMode="External"/><Relationship Id="rId60" Type="http://schemas.openxmlformats.org/officeDocument/2006/relationships/hyperlink" Target="https://www.flow-hydrogen.com/en/home-en/" TargetMode="External"/><Relationship Id="rId69" Type="http://schemas.openxmlformats.org/officeDocument/2006/relationships/hyperlink" Target="https://www.ontras.com/en/go" TargetMode="External"/><Relationship Id="rId51" Type="http://schemas.openxmlformats.org/officeDocument/2006/relationships/hyperlink" Target="https://www.grtgaz.com/en/our-energy-transition/hydrogen/hynframed" TargetMode="External"/><Relationship Id="rId50" Type="http://schemas.openxmlformats.org/officeDocument/2006/relationships/hyperlink" Target="https://www.terega.fr/en/hysow-hyrogen-south-west-corridor-of-france-un-projet-dinfrastructures-de" TargetMode="External"/><Relationship Id="rId53" Type="http://schemas.openxmlformats.org/officeDocument/2006/relationships/hyperlink" Target="https://www.flow-hydrogen.com/en/home-en/" TargetMode="External"/><Relationship Id="rId52" Type="http://schemas.openxmlformats.org/officeDocument/2006/relationships/hyperlink" Target="https://gomet.net/energie-grtgaz-pret-a-lancer-hynframed/" TargetMode="External"/><Relationship Id="rId55" Type="http://schemas.openxmlformats.org/officeDocument/2006/relationships/hyperlink" Target="https://www.flow-hydrogen.com/en/2023/12/13/invitation-to-tender-for-hydrogen-filling/" TargetMode="External"/><Relationship Id="rId54" Type="http://schemas.openxmlformats.org/officeDocument/2006/relationships/hyperlink" Target="https://www.bundesnetzagentur.de/SharedDocs/Downloads/DE/Sachgebiete/Energie/Unternehmen_Institutionen/Wasserstoff/Antragsentwurf_FNB_Anlage3.xlsx?__blob=publicationFile&amp;v=2" TargetMode="External"/><Relationship Id="rId57" Type="http://schemas.openxmlformats.org/officeDocument/2006/relationships/hyperlink" Target="https://www.bundesnetzagentur.de/SharedDocs/Downloads/DE/Sachgebiete/Energie/Unternehmen_Institutionen/Wasserstoff/Antragsentwurf_FNB_Anlage3.xlsx?__blob=publicationFile&amp;v=2" TargetMode="External"/><Relationship Id="rId56" Type="http://schemas.openxmlformats.org/officeDocument/2006/relationships/hyperlink" Target="https://www.flow-hydrogen.com/en/home-en/" TargetMode="External"/><Relationship Id="rId59" Type="http://schemas.openxmlformats.org/officeDocument/2006/relationships/hyperlink" Target="https://www.bundesnetzagentur.de/SharedDocs/Downloads/DE/Sachgebiete/Energie/Unternehmen_Institutionen/Wasserstoff/Antragsentwurf_FNB_Anlage3.xlsx?__blob=publicationFile&amp;v=2" TargetMode="External"/><Relationship Id="rId58" Type="http://schemas.openxmlformats.org/officeDocument/2006/relationships/hyperlink" Target="https://www.flow-hydrogen.com/en/home-en/" TargetMode="External"/><Relationship Id="rId107" Type="http://schemas.openxmlformats.org/officeDocument/2006/relationships/hyperlink" Target="https://aquaductus-offshore.de/" TargetMode="External"/><Relationship Id="rId106" Type="http://schemas.openxmlformats.org/officeDocument/2006/relationships/hyperlink" Target="https://www.bundesnetzagentur.de/SharedDocs/Downloads/DE/Sachgebiete/Energie/Unternehmen_Institutionen/Wasserstoff/Antragsentwurf_FNB_Anlage3.xlsx?__blob=publicationFile&amp;v=2" TargetMode="External"/><Relationship Id="rId105" Type="http://schemas.openxmlformats.org/officeDocument/2006/relationships/hyperlink" Target="https://aquaductus-offshore.de/" TargetMode="External"/><Relationship Id="rId104" Type="http://schemas.openxmlformats.org/officeDocument/2006/relationships/hyperlink" Target="https://hamburg-business.com/en/news/eu-approves-eur-250-million-hydrogen-projects-hamburg" TargetMode="External"/><Relationship Id="rId109" Type="http://schemas.openxmlformats.org/officeDocument/2006/relationships/hyperlink" Target="https://aquaductus-offshore.de/" TargetMode="External"/><Relationship Id="rId108" Type="http://schemas.openxmlformats.org/officeDocument/2006/relationships/hyperlink" Target="https://www.bundesnetzagentur.de/SharedDocs/Downloads/DE/Sachgebiete/Energie/Unternehmen_Institutionen/Wasserstoff/Antragsentwurf_FNB_Anlage3.xlsx?__blob=publicationFile&amp;v=2" TargetMode="External"/><Relationship Id="rId103" Type="http://schemas.openxmlformats.org/officeDocument/2006/relationships/hyperlink" Target="https://www.gasnetz-hamburg.de/fuer-die-zukunft/wasserstoff/hh-win" TargetMode="External"/><Relationship Id="rId102" Type="http://schemas.openxmlformats.org/officeDocument/2006/relationships/hyperlink" Target="https://gasgrid.fi/en/2022/12/16/from-vision-to-action-six-partners-have-signed-a-cooperation-agreement-to-develop-nordic-baltic-hydrogen-corridor/" TargetMode="External"/><Relationship Id="rId101" Type="http://schemas.openxmlformats.org/officeDocument/2006/relationships/hyperlink" Target="https://gasgrid.fi/en/2022/12/16/from-vision-to-action-six-partners-have-signed-a-cooperation-agreement-to-develop-nordic-baltic-hydrogen-corridor/" TargetMode="External"/><Relationship Id="rId100" Type="http://schemas.openxmlformats.org/officeDocument/2006/relationships/hyperlink" Target="https://gasgrid.fi/en/2022/12/16/from-vision-to-action-six-partners-have-signed-a-cooperation-agreement-to-develop-nordic-baltic-hydrogen-corridor/" TargetMode="External"/><Relationship Id="rId129" Type="http://schemas.openxmlformats.org/officeDocument/2006/relationships/hyperlink" Target="https://ehb.eu/page/european-hydrogen-backbone-maps" TargetMode="External"/><Relationship Id="rId128" Type="http://schemas.openxmlformats.org/officeDocument/2006/relationships/hyperlink" Target="https://stateofgreen.com/en/news/nine-countries-pledge-to-turn-the-north-sea-into-europes-biggest-green-power-plant/" TargetMode="External"/><Relationship Id="rId127" Type="http://schemas.openxmlformats.org/officeDocument/2006/relationships/hyperlink" Target="https://ehb.eu/page/european-hydrogen-backbone-maps" TargetMode="External"/><Relationship Id="rId126" Type="http://schemas.openxmlformats.org/officeDocument/2006/relationships/hyperlink" Target="https://stateofgreen.com/en/news/nine-countries-pledge-to-turn-the-north-sea-into-europes-biggest-green-power-plant/" TargetMode="External"/><Relationship Id="rId121" Type="http://schemas.openxmlformats.org/officeDocument/2006/relationships/hyperlink" Target="https://www.hydrogenfuelnews.com/south-korean-hydrogen-infrastructure/8542993/" TargetMode="External"/><Relationship Id="rId120" Type="http://schemas.openxmlformats.org/officeDocument/2006/relationships/hyperlink" Target="https://ammoniaenergy.org/articles/hyex-ammonia-from-the-chilean-desert/" TargetMode="External"/><Relationship Id="rId125" Type="http://schemas.openxmlformats.org/officeDocument/2006/relationships/hyperlink" Target="https://www.spglobal.com/commodityinsights/en/market-insights/latest-news/energy-transition/013024-pipeline-network-crucial-to-europes-bold-2030-hydrogen-plans" TargetMode="External"/><Relationship Id="rId124" Type="http://schemas.openxmlformats.org/officeDocument/2006/relationships/hyperlink" Target="https://www.oedigital.com/news/496723-cip-proposes-to-build-hydrogen-island-in-danish-dogger-bank-area" TargetMode="External"/><Relationship Id="rId123" Type="http://schemas.openxmlformats.org/officeDocument/2006/relationships/hyperlink" Target="https://www.cowi.com/about/news-and-press/brintoe-a-new-vision-to-boost-offshore-wind-and-green-hydrogen" TargetMode="External"/><Relationship Id="rId122" Type="http://schemas.openxmlformats.org/officeDocument/2006/relationships/hyperlink" Target="https://energynews.biz/sk-es-completes-liquid-hydrogen-plant-in-south-korea/" TargetMode="External"/><Relationship Id="rId95" Type="http://schemas.openxmlformats.org/officeDocument/2006/relationships/hyperlink" Target="https://gasgrid.fi/en/2022/12/16/from-vision-to-action-six-partners-have-signed-a-cooperation-agreement-to-develop-nordic-baltic-hydrogen-corridor/" TargetMode="External"/><Relationship Id="rId94" Type="http://schemas.openxmlformats.org/officeDocument/2006/relationships/hyperlink" Target="https://nordichydrogenroute.com/" TargetMode="External"/><Relationship Id="rId97" Type="http://schemas.openxmlformats.org/officeDocument/2006/relationships/hyperlink" Target="https://gasgrid.fi/en/2022/12/16/from-vision-to-action-six-partners-have-signed-a-cooperation-agreement-to-develop-nordic-baltic-hydrogen-corridor/" TargetMode="External"/><Relationship Id="rId96" Type="http://schemas.openxmlformats.org/officeDocument/2006/relationships/hyperlink" Target="https://gasgrid.fi/en/2024/01/05/pre-feasibility-study-for-the-nordic-baltic-hydrogen-corridor-has-been-launched/" TargetMode="External"/><Relationship Id="rId99" Type="http://schemas.openxmlformats.org/officeDocument/2006/relationships/hyperlink" Target="https://gasgrid.fi/en/2022/12/16/from-vision-to-action-six-partners-have-signed-a-cooperation-agreement-to-develop-nordic-baltic-hydrogen-corridor/" TargetMode="External"/><Relationship Id="rId98" Type="http://schemas.openxmlformats.org/officeDocument/2006/relationships/hyperlink" Target="https://gasgrid.fi/en/2022/12/16/from-vision-to-action-six-partners-have-signed-a-cooperation-agreement-to-develop-nordic-baltic-hydrogen-corridor/" TargetMode="External"/><Relationship Id="rId91" Type="http://schemas.openxmlformats.org/officeDocument/2006/relationships/hyperlink" Target="https://gasgrid.fi/en/projects/nordic-hydrogen-route-en/" TargetMode="External"/><Relationship Id="rId90" Type="http://schemas.openxmlformats.org/officeDocument/2006/relationships/hyperlink" Target="https://balticseahydrogencollector.com/" TargetMode="External"/><Relationship Id="rId93" Type="http://schemas.openxmlformats.org/officeDocument/2006/relationships/hyperlink" Target="https://gasgrid.fi/en/projects/nordic-hydrogen-route-en/" TargetMode="External"/><Relationship Id="rId92" Type="http://schemas.openxmlformats.org/officeDocument/2006/relationships/hyperlink" Target="https://nordichydrogenroute.com/" TargetMode="External"/><Relationship Id="rId118" Type="http://schemas.openxmlformats.org/officeDocument/2006/relationships/hyperlink" Target="https://www.nationalgas.com/document/137966/download" TargetMode="External"/><Relationship Id="rId117" Type="http://schemas.openxmlformats.org/officeDocument/2006/relationships/hyperlink" Target="https://www.spglobal.com/commodityinsights/en/market-insights/latest-news/electric-power/051222-interview-uks-national-grid-targets-hydrogen-network-build-from-2026" TargetMode="External"/><Relationship Id="rId116" Type="http://schemas.openxmlformats.org/officeDocument/2006/relationships/hyperlink" Target="https://jpt.spe.org/hydrogen-city-project-in-south-texas-moves-forward" TargetMode="External"/><Relationship Id="rId115" Type="http://schemas.openxmlformats.org/officeDocument/2006/relationships/hyperlink" Target="https://www.ghi-corp.com/projects/hydrogen-city" TargetMode="External"/><Relationship Id="rId119" Type="http://schemas.openxmlformats.org/officeDocument/2006/relationships/hyperlink" Target="https://renewablesnow.com/news/chiles-hyex-green-h2-ammonia-project-gets-enviro-approval-782597/" TargetMode="External"/><Relationship Id="rId110" Type="http://schemas.openxmlformats.org/officeDocument/2006/relationships/hyperlink" Target="https://kefm.dk/Media/638151855536501080/Joint%20Declaration%20Hydrogen%20DNK-DEU%20.pdf" TargetMode="External"/><Relationship Id="rId114" Type="http://schemas.openxmlformats.org/officeDocument/2006/relationships/hyperlink" Target="https://www.pv-magazine-australia.com/2022/05/31/green-hydrogen-megaproject-in-sa-discontinued/" TargetMode="External"/><Relationship Id="rId113" Type="http://schemas.openxmlformats.org/officeDocument/2006/relationships/hyperlink" Target="https://www.rechargenews.com/energy-transition/new-6gw-green-hydrogen-project-in-australia-eyes-ammonia-export-to-japan-and-korea/2-1-1101390" TargetMode="External"/><Relationship Id="rId112" Type="http://schemas.openxmlformats.org/officeDocument/2006/relationships/hyperlink" Target="https://www.offshore-energy.biz/plans-for-danish-german-hydrogen-network-gain-ground/" TargetMode="External"/><Relationship Id="rId111" Type="http://schemas.openxmlformats.org/officeDocument/2006/relationships/hyperlink" Target="https://en.energinet.dk/Gas/Gas-news/2021/04/27/GUD-rapport/" TargetMode="External"/><Relationship Id="rId217" Type="http://schemas.openxmlformats.org/officeDocument/2006/relationships/table" Target="../tables/table5.xml"/><Relationship Id="rId215" Type="http://schemas.openxmlformats.org/officeDocument/2006/relationships/vmlDrawing" Target="../drawings/vmlDrawing4.vml"/><Relationship Id="rId214" Type="http://schemas.openxmlformats.org/officeDocument/2006/relationships/drawing" Target="../drawings/drawing21.xml"/><Relationship Id="rId213" Type="http://schemas.openxmlformats.org/officeDocument/2006/relationships/hyperlink" Target="https://www.snam.it/content/dam/snam/pages-attachments/it/i-nostri-business/trasporto/documents/piani-decennali/snam-rete-gas/2023-2032/02.%20Allegato%20Schede%20Progetto.pdf" TargetMode="External"/><Relationship Id="rId212" Type="http://schemas.openxmlformats.org/officeDocument/2006/relationships/hyperlink" Target="https://www.sunshynecorridor.eu/" TargetMode="External"/><Relationship Id="rId211" Type="http://schemas.openxmlformats.org/officeDocument/2006/relationships/hyperlink" Target="https://www.cehc.eu/" TargetMode="External"/><Relationship Id="rId210" Type="http://schemas.openxmlformats.org/officeDocument/2006/relationships/hyperlink" Target="https://fgsz.hu/file/documents/2/2694/2023_12_14_uahu_h2_corridor_eng.pdf" TargetMode="External"/><Relationship Id="rId206" Type="http://schemas.openxmlformats.org/officeDocument/2006/relationships/hyperlink" Target="https://www.seehyc.eu/" TargetMode="External"/><Relationship Id="rId205" Type="http://schemas.openxmlformats.org/officeDocument/2006/relationships/hyperlink" Target="https://fgsz.hu/file/documents/2/2695/2023_12_14_husk_h2_corridor_eng.pdf" TargetMode="External"/><Relationship Id="rId204" Type="http://schemas.openxmlformats.org/officeDocument/2006/relationships/hyperlink" Target="https://www.offshore-energy.biz/uk-and-germany-strengthen-hydrogen-ties/" TargetMode="External"/><Relationship Id="rId203" Type="http://schemas.openxmlformats.org/officeDocument/2006/relationships/hyperlink" Target="https://gasroundtable.com/sembcorp-pln-plan-green-hydrogen-production-in-indonesia-2335" TargetMode="External"/><Relationship Id="rId209" Type="http://schemas.openxmlformats.org/officeDocument/2006/relationships/hyperlink" Target="https://fgsz.hu/file/documents/2/2706/2023_12_20_husi_h2_corridor_eng.pdf" TargetMode="External"/><Relationship Id="rId208" Type="http://schemas.openxmlformats.org/officeDocument/2006/relationships/hyperlink" Target="https://www.seehyc.eu/" TargetMode="External"/><Relationship Id="rId207" Type="http://schemas.openxmlformats.org/officeDocument/2006/relationships/hyperlink" Target="https://fgsz.hu/file/documents/2/2696/2023_12_14_huro_h2_corridor_eng.pdf" TargetMode="External"/><Relationship Id="rId202" Type="http://schemas.openxmlformats.org/officeDocument/2006/relationships/hyperlink" Target="https://asia.nikkei.com/Business/Energy/Singapore-taps-Vietnam-Indonesia-and-Malaysia-for-low-carbon-energy" TargetMode="External"/><Relationship Id="rId201" Type="http://schemas.openxmlformats.org/officeDocument/2006/relationships/hyperlink" Target="https://www.businesstimes.com.sg/esg/keppel-petronas-units-explore-pipeline-building-sembcorp-study-hydrogen-production" TargetMode="External"/><Relationship Id="rId200" Type="http://schemas.openxmlformats.org/officeDocument/2006/relationships/hyperlink" Target="https://www.reuters.com/business/energy/singapores-city-energy-eyes-hydrogen-imports-malaysia-by-2027-2023-10-24/"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www.australiangasnetworks.com.au/hyp-sa" TargetMode="External"/><Relationship Id="rId2" Type="http://schemas.openxmlformats.org/officeDocument/2006/relationships/hyperlink" Target="https://research.csiro.au/hyresource/western-sydney-green-gas-project/" TargetMode="External"/><Relationship Id="rId3" Type="http://schemas.openxmlformats.org/officeDocument/2006/relationships/hyperlink" Target="https://www.agig.com.au/hydrogen-park-gladstone" TargetMode="External"/><Relationship Id="rId4" Type="http://schemas.openxmlformats.org/officeDocument/2006/relationships/hyperlink" Target="https://research.csiro.au/hyresource/hydrogen-park-gladstone/" TargetMode="External"/><Relationship Id="rId9" Type="http://schemas.openxmlformats.org/officeDocument/2006/relationships/hyperlink" Target="https://arena.gov.au/projects/hydrogen-park-murray-valley-facility/" TargetMode="External"/><Relationship Id="rId5" Type="http://schemas.openxmlformats.org/officeDocument/2006/relationships/hyperlink" Target="https://www.atco.com/content/dam/web/atco-australia/projects/atco-fact-sheet-hydrogen-blending-project.pdf" TargetMode="External"/><Relationship Id="rId6" Type="http://schemas.openxmlformats.org/officeDocument/2006/relationships/hyperlink" Target="https://research.csiro.au/hyresource/clean-energy-innovation-park/" TargetMode="External"/><Relationship Id="rId7" Type="http://schemas.openxmlformats.org/officeDocument/2006/relationships/hyperlink" Target="https://www.pv-magazine-australia.com/2023/07/27/atco-shelves-western-australia-green-hydrogen-project/" TargetMode="External"/><Relationship Id="rId8" Type="http://schemas.openxmlformats.org/officeDocument/2006/relationships/hyperlink" Target="https://www.agig.com.au/hydrogen-park-murray-valley" TargetMode="External"/><Relationship Id="rId40" Type="http://schemas.openxmlformats.org/officeDocument/2006/relationships/hyperlink" Target="https://eu.registerguard.com/story/news/2022/08/08/nw-natural-plans-blend-hydrogen-west-eugene-customer-gas/65392830007/" TargetMode="External"/><Relationship Id="rId42" Type="http://schemas.openxmlformats.org/officeDocument/2006/relationships/hyperlink" Target="https://www.adanigas.com/newsroom/media-release/ATGL-launches-Green-Hydrogen-Blending-Pilot-Project-at-Ahmedabad" TargetMode="External"/><Relationship Id="rId41" Type="http://schemas.openxmlformats.org/officeDocument/2006/relationships/hyperlink" Target="https://www.spglobal.com/marketintelligence/en/news-insights/latest-news-headlines/late-decade-stuff-gas-utilities-preach-patience-on-hydrogen-investments-78458390" TargetMode="External"/><Relationship Id="rId44" Type="http://schemas.openxmlformats.org/officeDocument/2006/relationships/hyperlink" Target="https://www.socalgas.com/sustainability/hydrogen/h2-blending/orange-cove-hydrogen-blending" TargetMode="External"/><Relationship Id="rId43" Type="http://schemas.openxmlformats.org/officeDocument/2006/relationships/hyperlink" Target="https://www.socalgas.com/sustainability/hydrogen/h2-blending/uci-hydrogen-blending" TargetMode="External"/><Relationship Id="rId46" Type="http://schemas.openxmlformats.org/officeDocument/2006/relationships/hyperlink" Target="https://okumadrone.com/en/new-hydro/german-gas-distributor-says-network-is-ready-for-30-hydrogen-blend-following-successful-pilot-scheme/" TargetMode="External"/><Relationship Id="rId45" Type="http://schemas.openxmlformats.org/officeDocument/2006/relationships/hyperlink" Target="https://www.chemanalyst.com/NewsAndDeals/NewsDetails/netze-bw-project-shows-natural-gas-network-ready-for-hydrogen-integration-27543" TargetMode="External"/><Relationship Id="rId48" Type="http://schemas.openxmlformats.org/officeDocument/2006/relationships/hyperlink" Target="https://www.snam.it/content/dam/snam/pages-attachments/it/i-nostri-business/trasporto/documents/piani-decennali/snam-rete-gas/2023-2032/02.%20Allegato%20Schede%20Progetto.pdf" TargetMode="External"/><Relationship Id="rId47" Type="http://schemas.openxmlformats.org/officeDocument/2006/relationships/hyperlink" Target="https://www.snam.it/content/dam/snam/pages-attachments/it/i-nostri-business/trasporto/documents/piani-decennali/snam-rete-gas/2023-2032/02.%20Allegato%20Schede%20Progetto.pdf" TargetMode="External"/><Relationship Id="rId49" Type="http://schemas.openxmlformats.org/officeDocument/2006/relationships/hyperlink" Target="https://www.snam.it/en/media/news-and-press-releases/news/2020/snam-hydrogen-blend-doubled-to-10--in-contursi-trial.html" TargetMode="External"/><Relationship Id="rId31" Type="http://schemas.openxmlformats.org/officeDocument/2006/relationships/hyperlink" Target="https://pib.gov.in/PressReleasePage.aspx?PRID=1888334" TargetMode="External"/><Relationship Id="rId30" Type="http://schemas.openxmlformats.org/officeDocument/2006/relationships/hyperlink" Target="https://solarquarter.com/2024/05/27/gail-commissions-10-mw-green-hydrogen-plant-in-madhya-pradesh-to-produce-4-3-tonnes-daily/" TargetMode="External"/><Relationship Id="rId33" Type="http://schemas.openxmlformats.org/officeDocument/2006/relationships/hyperlink" Target="https://www.green-forum.eu/energy/20230808/methane-gas-is-losing-ground-to-hydrogen-in-sibiu-county-495" TargetMode="External"/><Relationship Id="rId32" Type="http://schemas.openxmlformats.org/officeDocument/2006/relationships/hyperlink" Target="https://floene.pt/en/green-pipeline-project/" TargetMode="External"/><Relationship Id="rId35" Type="http://schemas.openxmlformats.org/officeDocument/2006/relationships/hyperlink" Target="https://www.dominionenergy.com/projects-and-facilities/natural-gas-projects/hydrogen-blending-in-delta-utah" TargetMode="External"/><Relationship Id="rId34" Type="http://schemas.openxmlformats.org/officeDocument/2006/relationships/hyperlink" Target="https://www.prnewswire.com/news-releases/centerpoint-energy-launches-green-hydrogen-project-in-minnesota-301560709.html" TargetMode="External"/><Relationship Id="rId37" Type="http://schemas.openxmlformats.org/officeDocument/2006/relationships/hyperlink" Target="https://www.nationalgrid.com/stories/journey-to-net-zero-stories/hygrid-green-hydrogen-blending-project-launches" TargetMode="External"/><Relationship Id="rId36" Type="http://schemas.openxmlformats.org/officeDocument/2006/relationships/hyperlink" Target="https://www.njrsustainability.com/environmental/NJR_HydrogenProject_Factsheet_01d1.pdf" TargetMode="External"/><Relationship Id="rId39" Type="http://schemas.openxmlformats.org/officeDocument/2006/relationships/hyperlink" Target="https://www.bizjournals.com/charlotte/news/2021/05/07/dominion-plans-hyrdrogen-mixing-pilot-at-its.html" TargetMode="External"/><Relationship Id="rId38" Type="http://schemas.openxmlformats.org/officeDocument/2006/relationships/hyperlink" Target="https://news.dominionenergy.com/2023-04-03-Dominion-Energy-Utah-Starts-Hydrogen-Blending" TargetMode="External"/><Relationship Id="rId20" Type="http://schemas.openxmlformats.org/officeDocument/2006/relationships/hyperlink" Target="https://elperiodicodelaenergia.com/redexis-realiza-palma-primera-inyeccion-hidrogeno-verde-red-gas-espanola/" TargetMode="External"/><Relationship Id="rId22" Type="http://schemas.openxmlformats.org/officeDocument/2006/relationships/hyperlink" Target="https://www.jupiter1000.eu/english" TargetMode="External"/><Relationship Id="rId21" Type="http://schemas.openxmlformats.org/officeDocument/2006/relationships/hyperlink" Target="https://www.jupiter1000.eu/_files/ugd/940962_5806f2083599499d9f15d5dec0f7b0e1.pdf" TargetMode="External"/><Relationship Id="rId24" Type="http://schemas.openxmlformats.org/officeDocument/2006/relationships/hyperlink" Target="https://hydeploy.co.uk/project-phases/" TargetMode="External"/><Relationship Id="rId23" Type="http://schemas.openxmlformats.org/officeDocument/2006/relationships/hyperlink" Target="https://hydeploy.co.uk/project-phases/" TargetMode="External"/><Relationship Id="rId26" Type="http://schemas.openxmlformats.org/officeDocument/2006/relationships/hyperlink" Target="https://www.hydrogeninsight.com/policy/uk-shelves-10-000-home-hydrogen-town-heating-pilot-until-at-least-2026/2-1-1641604" TargetMode="External"/><Relationship Id="rId25" Type="http://schemas.openxmlformats.org/officeDocument/2006/relationships/hyperlink" Target="https://www.hvnplus.co.uk/news/whitby-no-longer-under-consideration-to-host-uk-hydrogen-village-13-07-2023/" TargetMode="External"/><Relationship Id="rId28" Type="http://schemas.openxmlformats.org/officeDocument/2006/relationships/hyperlink" Target="https://energynews.biz/greeces-race-to-lead-hydrogen-revolution/" TargetMode="External"/><Relationship Id="rId27" Type="http://schemas.openxmlformats.org/officeDocument/2006/relationships/hyperlink" Target="https://www.cpw.gr/en/media-center/news-events/newsevent-katate8hke-h-protash-white-dragon-gia-ta-shmantika-erga-koinoy-eyrwpaikoy-endiaferontos-ipcei-ydrogonoy" TargetMode="External"/><Relationship Id="rId29" Type="http://schemas.openxmlformats.org/officeDocument/2006/relationships/hyperlink" Target="https://economictimes.indiatimes.com/industry/renewables/gail-to-set-up-green-hydrogen-plant-at-guna-in-mp/articleshow/91517347.cms?from=mdr" TargetMode="External"/><Relationship Id="rId11" Type="http://schemas.openxmlformats.org/officeDocument/2006/relationships/hyperlink" Target="https://www.enbridge.com/stories/2022/january/hydrogen-blending-project-enbridge-gas-cummins-operational-markham-ontario" TargetMode="External"/><Relationship Id="rId10" Type="http://schemas.openxmlformats.org/officeDocument/2006/relationships/hyperlink" Target="https://gas.atco.com/en-ca/community/projects/fort-saskatchewan-hydrogen-blending-project.html" TargetMode="External"/><Relationship Id="rId13" Type="http://schemas.openxmlformats.org/officeDocument/2006/relationships/hyperlink" Target="https://www.revistaei.cl/2022/12/16/primera-vez-en-america-latina-gasvalpo-inicia-inyeccion-de-hidrogeno-verde-a-su-red-de-gas-natural-en-coquimbo/" TargetMode="External"/><Relationship Id="rId12" Type="http://schemas.openxmlformats.org/officeDocument/2006/relationships/hyperlink" Target="https://www.agig.com.au/hydrogen-park-murray-valley" TargetMode="External"/><Relationship Id="rId15" Type="http://schemas.openxmlformats.org/officeDocument/2006/relationships/hyperlink" Target="https://www.windbranche.de/news/nachrichten/artikel-34267-power-to-gas-anlage-der-thga-gruppe-bertrifft-alle-erwartungen" TargetMode="External"/><Relationship Id="rId14" Type="http://schemas.openxmlformats.org/officeDocument/2006/relationships/hyperlink" Target="https://www.surtigas.com.co/noticia_365_promigas-y-surtigas-ponen-en-marcha-piloto-de-produccin-de-hidrgeno-verde--365" TargetMode="External"/><Relationship Id="rId17" Type="http://schemas.openxmlformats.org/officeDocument/2006/relationships/hyperlink" Target="https://docplayer.org/14563185-Kommunaler-energieverbund-freiburg.html" TargetMode="External"/><Relationship Id="rId16" Type="http://schemas.openxmlformats.org/officeDocument/2006/relationships/hyperlink" Target="https://www.stwhas.de/stadtwerk/projekte/power-to-gas/" TargetMode="External"/><Relationship Id="rId19" Type="http://schemas.openxmlformats.org/officeDocument/2006/relationships/hyperlink" Target="https://www.redexis.es/es/b/redexis-recibe-la-autorizacion-del-miteco-para-realizar-la-primera-instalacion-de-inyeccion-de-hidrogeno-verde-en-espana" TargetMode="External"/><Relationship Id="rId18" Type="http://schemas.openxmlformats.org/officeDocument/2006/relationships/hyperlink" Target="https://fuelcellsworks.com/news/wind2gas-energy-inaugurates-electrolyzer-in-brunsbuttel-more-green-hydrogen-for-customers-of-greenpeace-energy/" TargetMode="External"/><Relationship Id="rId51" Type="http://schemas.openxmlformats.org/officeDocument/2006/relationships/drawing" Target="../drawings/drawing22.xml"/><Relationship Id="rId50" Type="http://schemas.openxmlformats.org/officeDocument/2006/relationships/hyperlink" Target="https://www.snam.it/en/media/news-and-press-releases/comunicati-stampa/2020/snam-and-baker-hughes-test-world-s-first-hydrogen-blend-turbine-for-gas-networks.html" TargetMode="External"/><Relationship Id="rId53" Type="http://schemas.openxmlformats.org/officeDocument/2006/relationships/table" Target="../tables/table6.xml"/></Relationships>
</file>

<file path=xl/worksheets/_rels/sheet23.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hyperlink" Target="https://gasstorage.dk/hydrogen-storage/" TargetMode="External"/><Relationship Id="rId3" Type="http://schemas.openxmlformats.org/officeDocument/2006/relationships/hyperlink" Target="https://hychico.com.ar/eng/underground-hydrogen-storage.php" TargetMode="External"/><Relationship Id="rId4" Type="http://schemas.openxmlformats.org/officeDocument/2006/relationships/hyperlink" Target="https://gasstorage.dk/hydrogen-storage/" TargetMode="External"/><Relationship Id="rId9" Type="http://schemas.openxmlformats.org/officeDocument/2006/relationships/hyperlink" Target="https://www.gasunie.nl/en/projects/hystock-hydrogen-storage" TargetMode="External"/><Relationship Id="rId5" Type="http://schemas.openxmlformats.org/officeDocument/2006/relationships/hyperlink" Target="https://en.energinet.dk/infrastructure-projects/projektliste/expansion-of-lille-torup-gas-storage-facility/" TargetMode="External"/><Relationship Id="rId6" Type="http://schemas.openxmlformats.org/officeDocument/2006/relationships/hyperlink" Target="https://gasstorage.dk/hydrogen-storage/" TargetMode="External"/><Relationship Id="rId7" Type="http://schemas.openxmlformats.org/officeDocument/2006/relationships/hyperlink" Target="https://www.hystock.nl/en/news/start-of-hydrogen-storage-demonstration-project" TargetMode="External"/><Relationship Id="rId8" Type="http://schemas.openxmlformats.org/officeDocument/2006/relationships/hyperlink" Target="https://www.hystock.nl/en/news/hystock-starts-the-open-season-for-the-first-cavern-for-hydrogen-storage" TargetMode="External"/><Relationship Id="rId40" Type="http://schemas.openxmlformats.org/officeDocument/2006/relationships/hyperlink" Target="https://www.underground-sun-storage.at/en/project/project-description.html" TargetMode="External"/><Relationship Id="rId42" Type="http://schemas.openxmlformats.org/officeDocument/2006/relationships/hyperlink" Target="https://www.uss-2030.at/en/" TargetMode="External"/><Relationship Id="rId41" Type="http://schemas.openxmlformats.org/officeDocument/2006/relationships/hyperlink" Target="https://www.rag-austria.at/en/public-relations/pr-information/detail/article/underground-sun-storage-worlds-first-geological-hydrogen-storage-facility-goes-into-operation-1.html" TargetMode="External"/><Relationship Id="rId44" Type="http://schemas.openxmlformats.org/officeDocument/2006/relationships/hyperlink" Target="https://hychico.com.ar/eng/underground-hydrogen-storage.php" TargetMode="External"/><Relationship Id="rId43" Type="http://schemas.openxmlformats.org/officeDocument/2006/relationships/hyperlink" Target="https://www.rag-austria.at/fileadmin/bilder/0_NEU_RAG_Austria_AG/Unternehmen/sunconversion_broschuere_engl_180907_fin.pdf" TargetMode="External"/><Relationship Id="rId46" Type="http://schemas.openxmlformats.org/officeDocument/2006/relationships/hyperlink" Target="https://www.geomethane.fr/communique-de-presse/appel-a-manifestation-dinteret/" TargetMode="External"/><Relationship Id="rId45" Type="http://schemas.openxmlformats.org/officeDocument/2006/relationships/hyperlink" Target="https://hychico.com.ar/planta-de-hidrogeno/" TargetMode="External"/><Relationship Id="rId48" Type="http://schemas.openxmlformats.org/officeDocument/2006/relationships/hyperlink" Target="https://co2crc.com.au/research/hydrogen-storage/" TargetMode="External"/><Relationship Id="rId47" Type="http://schemas.openxmlformats.org/officeDocument/2006/relationships/hyperlink" Target="https://alpesdusud.alpes1.com/news/alpes-de-haute-provence/100972/haute-provence-la-premiere-pierre-de-hygreen-signee" TargetMode="External"/><Relationship Id="rId49" Type="http://schemas.openxmlformats.org/officeDocument/2006/relationships/hyperlink" Target="https://www.erse.pt/media/5aznhnyi/pdirg-2022-2031-mar%C3%A7o_2021.pdf" TargetMode="External"/><Relationship Id="rId31" Type="http://schemas.openxmlformats.org/officeDocument/2006/relationships/hyperlink" Target="https://www.uniper.energy/news/funding-decision-for-hydrogen-pilot-project-in-krummhoern-natural-gas-storage-facility-received" TargetMode="External"/><Relationship Id="rId30" Type="http://schemas.openxmlformats.org/officeDocument/2006/relationships/hyperlink" Target="https://www.nouvelle-aquitaine.paris/application/uploads/files/Alumni/Ter%C3%A9ga%20-%20Hydrog%C3%A8ne%20-%20Table%20ronde%2010mars.pdf" TargetMode="External"/><Relationship Id="rId33" Type="http://schemas.openxmlformats.org/officeDocument/2006/relationships/hyperlink" Target="https://www.euro-petrole.com/uniper-to-develop-hydrogen-storage-capacities-by-2030-n-i-26657" TargetMode="External"/><Relationship Id="rId32" Type="http://schemas.openxmlformats.org/officeDocument/2006/relationships/hyperlink" Target="https://www.euro-petrole.com/uniper-to-develop-hydrogen-storage-capacities-by-2030-n-i-26657" TargetMode="External"/><Relationship Id="rId35" Type="http://schemas.openxmlformats.org/officeDocument/2006/relationships/hyperlink" Target="https://fuelcellsworks.com/news/first-hydrogen-storage-milestone-achieved-by-ewe-in-rudersdorf/" TargetMode="External"/><Relationship Id="rId34" Type="http://schemas.openxmlformats.org/officeDocument/2006/relationships/hyperlink" Target="https://www.bilfinger.com/en/news/press-releases/details/bilfinger-supports-uniper-in-pioneering-hydrogen-pilot-project-in-cavern-storage-facility/" TargetMode="External"/><Relationship Id="rId37" Type="http://schemas.openxmlformats.org/officeDocument/2006/relationships/hyperlink" Target="https://aces-delta.com/hubs/" TargetMode="External"/><Relationship Id="rId36" Type="http://schemas.openxmlformats.org/officeDocument/2006/relationships/hyperlink" Target="https://renewablesnow.com/news/hydrogen-storage-test-commences-in-brandenburg-salt-cavern-837420/" TargetMode="External"/><Relationship Id="rId39" Type="http://schemas.openxmlformats.org/officeDocument/2006/relationships/hyperlink" Target="https://www.underground-sun-conversion.at/en/" TargetMode="External"/><Relationship Id="rId38" Type="http://schemas.openxmlformats.org/officeDocument/2006/relationships/hyperlink" Target="https://www.energy.gov/lpo/advanced-clean-energy-storage" TargetMode="External"/><Relationship Id="rId20" Type="http://schemas.openxmlformats.org/officeDocument/2006/relationships/hyperlink" Target="https://hypster-project.eu/about-the-project/" TargetMode="External"/><Relationship Id="rId22" Type="http://schemas.openxmlformats.org/officeDocument/2006/relationships/hyperlink" Target="https://www.offshore-mag.com/renewable-energy/article/14209160/kinsale-field-offshore-ireland-under-review-for-green-hydrogen-storage" TargetMode="External"/><Relationship Id="rId21" Type="http://schemas.openxmlformats.org/officeDocument/2006/relationships/hyperlink" Target="https://esb.ie/media-centre-news/press-releases/article/2022/09/05/esb-and-dcarbonx-expand-irish-offshore-energy-storage-partnership" TargetMode="External"/><Relationship Id="rId24" Type="http://schemas.openxmlformats.org/officeDocument/2006/relationships/hyperlink" Target="https://www.hybritdevelopment.se/en/hybrit-milestone-reached-pilot-facility-for-hydrogen-storage-up-and-running/" TargetMode="External"/><Relationship Id="rId23" Type="http://schemas.openxmlformats.org/officeDocument/2006/relationships/hyperlink" Target="https://www.offshore-energy.biz/bord-gais-energy-joins-esb-and-dcarbonx-on-green-hydrogen-storage-project/" TargetMode="External"/><Relationship Id="rId26" Type="http://schemas.openxmlformats.org/officeDocument/2006/relationships/hyperlink" Target="https://www.innovation-strukturwandel.de/strukturwandel/de/unternehmen-region/die-initiativen/_documents/artikel/a-h/hypos" TargetMode="External"/><Relationship Id="rId25" Type="http://schemas.openxmlformats.org/officeDocument/2006/relationships/hyperlink" Target="https://group.vattenfall.com/press-and-media/pressreleases/2023/hybrit-hydrogen-storage-reduces-costs-by-up-to-40-per-cent" TargetMode="External"/><Relationship Id="rId28" Type="http://schemas.openxmlformats.org/officeDocument/2006/relationships/hyperlink" Target="https://www.hypos-germany.de/wp-content/uploads/2023/07/HYPOS_Strategie.pdf" TargetMode="External"/><Relationship Id="rId27" Type="http://schemas.openxmlformats.org/officeDocument/2006/relationships/hyperlink" Target="https://www.vng-gasspeicher.de/en/storage_green_hydro" TargetMode="External"/><Relationship Id="rId29" Type="http://schemas.openxmlformats.org/officeDocument/2006/relationships/hyperlink" Target="https://vighy.france-hydrogene.org/projets/hygeo/" TargetMode="External"/><Relationship Id="rId11" Type="http://schemas.openxmlformats.org/officeDocument/2006/relationships/hyperlink" Target="https://www.gasunie.nl/en/projects/hystock-hydrogen-storage" TargetMode="External"/><Relationship Id="rId10" Type="http://schemas.openxmlformats.org/officeDocument/2006/relationships/hyperlink" Target="https://www.hystock.nl/en/news/hystock-starts-the-open-season-for-the-first-cavern-for-hydrogen-storage" TargetMode="External"/><Relationship Id="rId13" Type="http://schemas.openxmlformats.org/officeDocument/2006/relationships/hyperlink" Target="https://www.rwe.com/en/press/rwe-gasstorage-west-gmbh/2023-02-21-rwe-submits-planning-approval-documents-for-hydrogen-storage-facility-in-epe-gronau/" TargetMode="External"/><Relationship Id="rId12" Type="http://schemas.openxmlformats.org/officeDocument/2006/relationships/hyperlink" Target="https://www.hystock.nl/en/about-hystock/the-project" TargetMode="External"/><Relationship Id="rId15" Type="http://schemas.openxmlformats.org/officeDocument/2006/relationships/hyperlink" Target="https://www.aldbroughhydrogen.com/" TargetMode="External"/><Relationship Id="rId14" Type="http://schemas.openxmlformats.org/officeDocument/2006/relationships/hyperlink" Target="https://www.rwe-gasstorage-west.com/en/hydrogen/" TargetMode="External"/><Relationship Id="rId17" Type="http://schemas.openxmlformats.org/officeDocument/2006/relationships/hyperlink" Target="https://investhumber.com/opportunities/rough-hydrogen-storage/" TargetMode="External"/><Relationship Id="rId16" Type="http://schemas.openxmlformats.org/officeDocument/2006/relationships/hyperlink" Target="https://www.insidermedia.com/news/yorkshire/step-forward-for-aldbrough-hydrogen-pathfinder-project" TargetMode="External"/><Relationship Id="rId19" Type="http://schemas.openxmlformats.org/officeDocument/2006/relationships/hyperlink" Target="https://www.engie.com/en/news/hydrogen-storage" TargetMode="External"/><Relationship Id="rId18" Type="http://schemas.openxmlformats.org/officeDocument/2006/relationships/hyperlink" Target="https://hypster-project.eu/press-release-september-2023-inauguration-of-the-hypster-project-first-demonstration-facility-for-renewable-hydrogen-storage-in-salt-caverns/" TargetMode="External"/><Relationship Id="rId84" Type="http://schemas.openxmlformats.org/officeDocument/2006/relationships/hyperlink" Target="https://www.ehb.eu/page/european-hydrogen-backbone-maps" TargetMode="External"/><Relationship Id="rId83" Type="http://schemas.openxmlformats.org/officeDocument/2006/relationships/hyperlink" Target="https://www.lse.co.uk/rns/UKOG/future-hydrogen-ready-energy-storage-project-v6o32c2ixbxmut6.html" TargetMode="External"/><Relationship Id="rId86" Type="http://schemas.openxmlformats.org/officeDocument/2006/relationships/hyperlink" Target="https://esb.ie/what-we-do/generation-and-trading/green-atlantic-at-moneypoint" TargetMode="External"/><Relationship Id="rId85" Type="http://schemas.openxmlformats.org/officeDocument/2006/relationships/hyperlink" Target="https://www.h2bulletin.com/atura-power-and-plains-all-american-to-study-underground-hydrogen-storage/" TargetMode="External"/><Relationship Id="rId88" Type="http://schemas.openxmlformats.org/officeDocument/2006/relationships/hyperlink" Target="https://hydrogenireland.org/wp-content/uploads/2021/10/dCarbonX-Large-scale-offshore-hydrogen-storage-to-enable-Irelands-Energy-Transition.pdf" TargetMode="External"/><Relationship Id="rId87" Type="http://schemas.openxmlformats.org/officeDocument/2006/relationships/hyperlink" Target="https://hydrogenireland.org/wp-content/uploads/2021/10/dCarbonX-Large-scale-offshore-hydrogen-storage-to-enable-Irelands-Energy-Transition.pdf" TargetMode="External"/><Relationship Id="rId89" Type="http://schemas.openxmlformats.org/officeDocument/2006/relationships/hyperlink" Target="https://www.enagas.es/es/transicion-energetica/red-gasista/infraestructuras-energeticas/transporte-hidrogeno/" TargetMode="External"/><Relationship Id="rId80" Type="http://schemas.openxmlformats.org/officeDocument/2006/relationships/hyperlink" Target="https://jpt.spe.org/hydrogen-city-project-in-south-texas-moves-forward" TargetMode="External"/><Relationship Id="rId82" Type="http://schemas.openxmlformats.org/officeDocument/2006/relationships/hyperlink" Target="https://jpt.spe.org/hydrogen-city-project-in-south-texas-moves-forward" TargetMode="External"/><Relationship Id="rId81" Type="http://schemas.openxmlformats.org/officeDocument/2006/relationships/hyperlink" Target="https://www.ghi-corp.com/projects/hydrogen-city" TargetMode="External"/><Relationship Id="rId73" Type="http://schemas.openxmlformats.org/officeDocument/2006/relationships/hyperlink" Target="https://www.ndr.de/nachrichten/schleswig-holstein/Gruener-Wasserstoff-Raffinerie-Heide-bricht-Vorreiter-Projekt-ab,wasserstoff480.html" TargetMode="External"/><Relationship Id="rId72" Type="http://schemas.openxmlformats.org/officeDocument/2006/relationships/hyperlink" Target="https://www.heiderefinery.com/en/westkueste100-cavern-suitability-test-successfully-completed" TargetMode="External"/><Relationship Id="rId75" Type="http://schemas.openxmlformats.org/officeDocument/2006/relationships/hyperlink" Target="https://www.oz-online.de/artikel/1286071/Kavernen-in-Jemgum-sollen-kuenftig-auch-Wasserstoff-speichern" TargetMode="External"/><Relationship Id="rId74" Type="http://schemas.openxmlformats.org/officeDocument/2006/relationships/hyperlink" Target="https://www.westkueste100.de/en/joint-venture-decision-westkuste100-electrolyser-will-not-be-built/" TargetMode="External"/><Relationship Id="rId77" Type="http://schemas.openxmlformats.org/officeDocument/2006/relationships/hyperlink" Target="https://ceenergynews.com/hydrogen/hungarian-gas-storages-aquamarine-project-to-play-an-active-role-in-the-decarbonisation-process/" TargetMode="External"/><Relationship Id="rId76" Type="http://schemas.openxmlformats.org/officeDocument/2006/relationships/hyperlink" Target="https://www.bveg.de/wp-content/uploads/2022/06/20220610_DBI-Studie_Wasserstoff-speichern-soviel-ist-sicher_Transformationspfade-fuer-Gasspeicher.pdf" TargetMode="External"/><Relationship Id="rId79" Type="http://schemas.openxmlformats.org/officeDocument/2006/relationships/hyperlink" Target="https://www.ghi-corp.com/projects/hydrogen-city" TargetMode="External"/><Relationship Id="rId78" Type="http://schemas.openxmlformats.org/officeDocument/2006/relationships/hyperlink" Target="https://hystorenergy.com/" TargetMode="External"/><Relationship Id="rId71" Type="http://schemas.openxmlformats.org/officeDocument/2006/relationships/hyperlink" Target="https://www.westkueste100.de/en/westkuste100-receives-funding-approval-for-the-storage-of-green-hydrogen/" TargetMode="External"/><Relationship Id="rId70" Type="http://schemas.openxmlformats.org/officeDocument/2006/relationships/hyperlink" Target="https://www.vng-handel.de/en/bad-lauchstadt-energy-park" TargetMode="External"/><Relationship Id="rId62" Type="http://schemas.openxmlformats.org/officeDocument/2006/relationships/hyperlink" Target="https://hynet.co.uk/wp-content/uploads/2022/03/Creating-HyNet-webinar-slides-March-2022.pdf" TargetMode="External"/><Relationship Id="rId61" Type="http://schemas.openxmlformats.org/officeDocument/2006/relationships/hyperlink" Target="https://www.geostockgroup.com/wp-content/uploads/2022/07/rapport_annuel_2021.pdf" TargetMode="External"/><Relationship Id="rId64" Type="http://schemas.openxmlformats.org/officeDocument/2006/relationships/hyperlink" Target="https://hynet.co.uk/wp-content/uploads/2022/03/Creating-HyNet-webinar-slides-March-2022.pdf" TargetMode="External"/><Relationship Id="rId63" Type="http://schemas.openxmlformats.org/officeDocument/2006/relationships/hyperlink" Target="https://www.geostockgroup.com/wp-content/uploads/2022/07/rapport_annuel_2021.pdf" TargetMode="External"/><Relationship Id="rId66" Type="http://schemas.openxmlformats.org/officeDocument/2006/relationships/hyperlink" Target="https://h2cast.com/project" TargetMode="External"/><Relationship Id="rId65" Type="http://schemas.openxmlformats.org/officeDocument/2006/relationships/hyperlink" Target="https://assets.publishing.service.gov.uk/government/uploads/system/uploads/attachment_data/file/866376/Phase_1_-_Inovyn_-_HySecure.pdf" TargetMode="External"/><Relationship Id="rId68" Type="http://schemas.openxmlformats.org/officeDocument/2006/relationships/hyperlink" Target="https://www.energiamercato.it/notizie/mondo/stoccaggio-h2-caverne-etzel" TargetMode="External"/><Relationship Id="rId67" Type="http://schemas.openxmlformats.org/officeDocument/2006/relationships/hyperlink" Target="https://renewablesnow.com/news/gasunie-storag-etzel-plan-hydrogen-storage-caverns-in-germany-849195/" TargetMode="External"/><Relationship Id="rId60" Type="http://schemas.openxmlformats.org/officeDocument/2006/relationships/hyperlink" Target="https://www.snam.it/it/media/news-e-comunicati-stampa/comunicati-stampa/2024/snam-piano-strategico-2023-2027.html" TargetMode="External"/><Relationship Id="rId69" Type="http://schemas.openxmlformats.org/officeDocument/2006/relationships/hyperlink" Target="https://www.uniper.energy/news/bad-lauchstaedt-energy-park-now-in-implementation-phase" TargetMode="External"/><Relationship Id="rId51" Type="http://schemas.openxmlformats.org/officeDocument/2006/relationships/hyperlink" Target="https://www.entsog.eu/sites/default/files/2023-04/web_entsog_230311_CHA_Learnbook_230405.pdf" TargetMode="External"/><Relationship Id="rId50" Type="http://schemas.openxmlformats.org/officeDocument/2006/relationships/hyperlink" Target="https://www.jornalterrasdesico.pt/2023/09/pombal-novas-cavidades-de-gas-natural-no-carrico-prontas-apenas-em-2028/" TargetMode="External"/><Relationship Id="rId53" Type="http://schemas.openxmlformats.org/officeDocument/2006/relationships/hyperlink" Target="https://www.terega.fr/en/hysow-hyrogen-south-west-corridor-of-france-un-projet-dinfrastructures-de" TargetMode="External"/><Relationship Id="rId52" Type="http://schemas.openxmlformats.org/officeDocument/2006/relationships/hyperlink" Target="https://www.diariodeburgos.es/noticia/zd81ae5fb-cfef-380f-7b6a78b56a4200d9/202309/a-falta-de-petroleo-hidrogeno" TargetMode="External"/><Relationship Id="rId55" Type="http://schemas.openxmlformats.org/officeDocument/2006/relationships/hyperlink" Target="https://www.actu-environnement.com/ae/news/projets-stockage-hydrogene-region-grand-est-storengy-37534.php4" TargetMode="External"/><Relationship Id="rId54" Type="http://schemas.openxmlformats.org/officeDocument/2006/relationships/hyperlink" Target="https://assets.ctfassets.net/ztehsn2qe34u/3LolfHtZtiulIgdYmDi0C5/4a206e1e53695c4b4da5cd51ddcf8d35/Ter_ga_R_sultats_AMI_Webinaire_26.01.2024.pdf" TargetMode="External"/><Relationship Id="rId57" Type="http://schemas.openxmlformats.org/officeDocument/2006/relationships/hyperlink" Target="https://www.linkedin.com/posts/territoire-industrie-lacq-pau-tarbes_transitionaeznergaeztique-industriebascarbone-activity-7150029043415859201-KPbZ?utm_source=share&amp;utm_medium=member_desktop" TargetMode="External"/><Relationship Id="rId56" Type="http://schemas.openxmlformats.org/officeDocument/2006/relationships/hyperlink" Target="https://www.usinenouvelle.com/article/storengy-envisage-le-stockage-d-hydrogene-sur-son-site-de-nancy.N1123599" TargetMode="External"/><Relationship Id="rId59" Type="http://schemas.openxmlformats.org/officeDocument/2006/relationships/hyperlink" Target="https://www.snam.it/content/dam/snam/pages-attachments/it/i-nostri-business/trasporto/documents/piani-decennali/snam-rete-gas/2023-2032/02.%20Allegato%20Schede%20Progetto.pdf" TargetMode="External"/><Relationship Id="rId58" Type="http://schemas.openxmlformats.org/officeDocument/2006/relationships/hyperlink" Target="https://www.usinenouvelle.com/article/le-bassin-de-lacq-se-convertit-a-l-hydrogene.N2206478" TargetMode="External"/><Relationship Id="rId100" Type="http://schemas.openxmlformats.org/officeDocument/2006/relationships/table" Target="../tables/table7.xml"/><Relationship Id="rId95" Type="http://schemas.openxmlformats.org/officeDocument/2006/relationships/hyperlink" Target="https://www.industryandenergy.eu/storage/fluxys-launches-belgiums-be-hystore-hydrogen-storage-project/" TargetMode="External"/><Relationship Id="rId94" Type="http://schemas.openxmlformats.org/officeDocument/2006/relationships/hyperlink" Target="https://www.earthdoc.org/content/papers/10.3997/2214-4609.202210772" TargetMode="External"/><Relationship Id="rId97" Type="http://schemas.openxmlformats.org/officeDocument/2006/relationships/drawing" Target="../drawings/drawing23.xml"/><Relationship Id="rId96" Type="http://schemas.openxmlformats.org/officeDocument/2006/relationships/hyperlink" Target="https://www.fluxys.com/en/natural-gas-and-biomethane/products-services/ztp-storage-storage-data" TargetMode="External"/><Relationship Id="rId98" Type="http://schemas.openxmlformats.org/officeDocument/2006/relationships/vmlDrawing" Target="../drawings/vmlDrawing5.vml"/><Relationship Id="rId91" Type="http://schemas.openxmlformats.org/officeDocument/2006/relationships/hyperlink" Target="https://www.nafta.sk/en/gas-storage/innovative-and-development-projects" TargetMode="External"/><Relationship Id="rId90" Type="http://schemas.openxmlformats.org/officeDocument/2006/relationships/hyperlink" Target="https://www.informacion.es/medio-ambiente/2023/11/03/ue-selecciona-8-proyectos-hidrogeno-93985545.html" TargetMode="External"/><Relationship Id="rId93" Type="http://schemas.openxmlformats.org/officeDocument/2006/relationships/hyperlink" Target="https://energypress.eu/tag/kavala-underground-gas-storage/" TargetMode="External"/><Relationship Id="rId92" Type="http://schemas.openxmlformats.org/officeDocument/2006/relationships/hyperlink" Target="https://herema.gr/ccs-ugs/underground-gas-storage/"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s://www.hoganlovells.com/-/media/hogan-lovells/pdf/2022-pdfs/2022_01_10_hogan-lovells-australian-hydrogen-projects-paper-2022.pdf" TargetMode="External"/><Relationship Id="rId2" Type="http://schemas.openxmlformats.org/officeDocument/2006/relationships/hyperlink" Target="https://www.mediastatements.wa.gov.au/Pages/McGowan/2021/12/Lead-agency-status-for-job-creating-green-hydrogen-projects.aspx" TargetMode="External"/><Relationship Id="rId3" Type="http://schemas.openxmlformats.org/officeDocument/2006/relationships/hyperlink" Target="https://reneweconomy.com.au/danish-giant-reveals-details-of-giga-scale-renewable-hydrogen-plans-in-murchison/" TargetMode="External"/><Relationship Id="rId4" Type="http://schemas.openxmlformats.org/officeDocument/2006/relationships/hyperlink" Target="https://research.csiro.au/hyresource/hyenergy-project/" TargetMode="External"/><Relationship Id="rId9" Type="http://schemas.openxmlformats.org/officeDocument/2006/relationships/hyperlink" Target="https://www.worley.com/news-and-media/2023/feed-win-for-queensland-largest-renewable-hydrogen-project" TargetMode="External"/><Relationship Id="rId5" Type="http://schemas.openxmlformats.org/officeDocument/2006/relationships/hyperlink" Target="https://research.csiro.au/hyresource/tiwi-h2/" TargetMode="External"/><Relationship Id="rId6" Type="http://schemas.openxmlformats.org/officeDocument/2006/relationships/hyperlink" Target="https://fuelcellsworks.com/news/gev-to-develop-2-8-gw-green-hydrogen-export-project-tiwi-islands-australia/" TargetMode="External"/><Relationship Id="rId7" Type="http://schemas.openxmlformats.org/officeDocument/2006/relationships/hyperlink" Target="https://research.csiro.au/hyresource/central-queensland-hydrogen-project/" TargetMode="External"/><Relationship Id="rId8" Type="http://schemas.openxmlformats.org/officeDocument/2006/relationships/hyperlink" Target="https://www.iwatani.co.jp/img/eng/pdf/newsrelease/109/20210915_news_e1.pdf" TargetMode="External"/><Relationship Id="rId31" Type="http://schemas.openxmlformats.org/officeDocument/2006/relationships/hyperlink" Target="https://www.portofrotterdam.com/sites/default/files/2022-12/Sines%20and%20Rotterdam%20together%20in%20the%20H2SinesRDAM%20project.pdf" TargetMode="External"/><Relationship Id="rId30" Type="http://schemas.openxmlformats.org/officeDocument/2006/relationships/hyperlink" Target="https://www.theborneopost.com/2022/03/13/sarawak-aims-to-be-main-hydrogen-producing-hub-in-region/" TargetMode="External"/><Relationship Id="rId33" Type="http://schemas.openxmlformats.org/officeDocument/2006/relationships/hyperlink" Target="https://www.portofrotterdam.com/sites/default/files/2022-12/Sines%20and%20Rotterdam%20together%20in%20the%20H2SinesRDAM%20project.pdf" TargetMode="External"/><Relationship Id="rId32" Type="http://schemas.openxmlformats.org/officeDocument/2006/relationships/hyperlink" Target="https://tractebel-engie.com/en/references/h2sines-rdam" TargetMode="External"/><Relationship Id="rId35" Type="http://schemas.openxmlformats.org/officeDocument/2006/relationships/hyperlink" Target="https://www.portofamsterdam.com/en/news/port-amsterdam-and-oman-take-next-step-develop-liquid-hydrogen-corridor" TargetMode="External"/><Relationship Id="rId34" Type="http://schemas.openxmlformats.org/officeDocument/2006/relationships/hyperlink" Target="https://tractebel-engie.com/en/references/h2sines-rdam" TargetMode="External"/><Relationship Id="rId37" Type="http://schemas.openxmlformats.org/officeDocument/2006/relationships/drawing" Target="../drawings/drawing24.xml"/><Relationship Id="rId36" Type="http://schemas.openxmlformats.org/officeDocument/2006/relationships/hyperlink" Target="https://www.portofamsterdam.com/en/news/port-amsterdam-and-oman-take-next-step-develop-liquid-hydrogen-corridor" TargetMode="External"/><Relationship Id="rId39" Type="http://schemas.openxmlformats.org/officeDocument/2006/relationships/table" Target="../tables/table8.xml"/><Relationship Id="rId20" Type="http://schemas.openxmlformats.org/officeDocument/2006/relationships/hyperlink" Target="https://germanlng.com/zukunftsfaehigkeit/" TargetMode="External"/><Relationship Id="rId22" Type="http://schemas.openxmlformats.org/officeDocument/2006/relationships/hyperlink" Target="https://www.offshore-energy.biz/gasunie-to-start-german-lng-terminal-construction/" TargetMode="External"/><Relationship Id="rId21" Type="http://schemas.openxmlformats.org/officeDocument/2006/relationships/hyperlink" Target="https://www.linkedin.com/feed/update/urn:li:activity:7165764046795816960/" TargetMode="External"/><Relationship Id="rId24" Type="http://schemas.openxmlformats.org/officeDocument/2006/relationships/hyperlink" Target="https://www.hanseatic-energy-hub.de/en/" TargetMode="External"/><Relationship Id="rId23" Type="http://schemas.openxmlformats.org/officeDocument/2006/relationships/hyperlink" Target="https://tes-h2.com/global-impact/germany" TargetMode="External"/><Relationship Id="rId26" Type="http://schemas.openxmlformats.org/officeDocument/2006/relationships/hyperlink" Target="https://www.hystra.or.jp/en/project/" TargetMode="External"/><Relationship Id="rId25" Type="http://schemas.openxmlformats.org/officeDocument/2006/relationships/hyperlink" Target="https://www.offshore-energy.biz/dow-joins-heh-consortium-for-stade-lng-terminal/" TargetMode="External"/><Relationship Id="rId28" Type="http://schemas.openxmlformats.org/officeDocument/2006/relationships/hyperlink" Target="https://fuelcellsworks.com/news/petronas-partners-eneos-for-first-commercial-scale-hydrogen-to-mch-project/?mc_cid=07efbb08b8&amp;mc_eid=da4624d261" TargetMode="External"/><Relationship Id="rId27" Type="http://schemas.openxmlformats.org/officeDocument/2006/relationships/hyperlink" Target="https://www.eneos.co.jp/english/newsrelease/2021/pdf/20210823_01.pdf" TargetMode="External"/><Relationship Id="rId29" Type="http://schemas.openxmlformats.org/officeDocument/2006/relationships/hyperlink" Target="https://www.mida.gov.my/mida-news/sarawak-plans-to-export-green-hydrogen/" TargetMode="External"/><Relationship Id="rId11" Type="http://schemas.openxmlformats.org/officeDocument/2006/relationships/hyperlink" Target="https://www.originenergy.com.au/about/investors-media/green_hydrogen_project_signs_port_mou/" TargetMode="External"/><Relationship Id="rId10" Type="http://schemas.openxmlformats.org/officeDocument/2006/relationships/hyperlink" Target="https://research.csiro.au/hyresource/green-hydrogen-export-project/" TargetMode="External"/><Relationship Id="rId13" Type="http://schemas.openxmlformats.org/officeDocument/2006/relationships/hyperlink" Target="https://www.hydrogenenergysupplychain.com/supply-chain/port-of-hastings/" TargetMode="External"/><Relationship Id="rId12" Type="http://schemas.openxmlformats.org/officeDocument/2006/relationships/hyperlink" Target="https://www.hydrogenenergysupplychain.com/supply-chain/port-of-hastings/" TargetMode="External"/><Relationship Id="rId15" Type="http://schemas.openxmlformats.org/officeDocument/2006/relationships/hyperlink" Target="https://www.afr.com/companies/infrastructure/dalrymple-bay-to-take-incremental-steps-on-hydrogen-plant-20220225-p59zsl" TargetMode="External"/><Relationship Id="rId14" Type="http://schemas.openxmlformats.org/officeDocument/2006/relationships/hyperlink" Target="https://www.eneos.co.jp/english/newsrelease/2021/pdf/20210823_01.pdf" TargetMode="External"/><Relationship Id="rId17" Type="http://schemas.openxmlformats.org/officeDocument/2006/relationships/hyperlink" Target="https://www.ghi-corp.com/projects/hydrogen-city" TargetMode="External"/><Relationship Id="rId16" Type="http://schemas.openxmlformats.org/officeDocument/2006/relationships/hyperlink" Target="https://www.hunterhydrogennetwork.com/" TargetMode="External"/><Relationship Id="rId19" Type="http://schemas.openxmlformats.org/officeDocument/2006/relationships/hyperlink" Target="https://www.enap.cl/sala_prensa/noticias_detalle/general/2580/enap-firma-acuerdo-con-seis-empresas-de-energia-para-generar-el-mayor-desarrollo-de-infraestructura-de-hidrogeno-verde-en-el-pais" TargetMode="External"/><Relationship Id="rId18" Type="http://schemas.openxmlformats.org/officeDocument/2006/relationships/hyperlink" Target="https://www.nyk.com/english/news/2020/20200625_01.html"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https://www.yara.de/ueber-yara/yara-deutschland/yara-standorte-deutschland/brunsbuttel/" TargetMode="External"/><Relationship Id="rId2" Type="http://schemas.openxmlformats.org/officeDocument/2006/relationships/hyperlink" Target="https://futurefuels.imo.org/wp-content/uploads/2024/03/WorldAmmoniaMap2024.pdf" TargetMode="External"/><Relationship Id="rId3" Type="http://schemas.openxmlformats.org/officeDocument/2006/relationships/hyperlink" Target="https://www3.epa.gov/region02/waste/dup_r750.pdf" TargetMode="External"/><Relationship Id="rId4" Type="http://schemas.openxmlformats.org/officeDocument/2006/relationships/hyperlink" Target="https://www.ammoniaenergy.org/articles/yaras-green-ammonia-project-yuri-gets-further-boosts/" TargetMode="External"/><Relationship Id="rId9" Type="http://schemas.openxmlformats.org/officeDocument/2006/relationships/hyperlink" Target="https://oci-global.com/news-stories/press-releases/oci-n-v-to-expand-port-of-rotterdam-ammonia-import-terminal-to-meet-emerging-large-scale-low-carbon-hydrogen-and-ammonia-demand-in-the-energy-transition/" TargetMode="External"/><Relationship Id="rId5" Type="http://schemas.openxmlformats.org/officeDocument/2006/relationships/hyperlink" Target="https://www.erm.com/contentassets/c81805f0bb2b480cb19d0c383db254c1/4-yuri-green-hydrogen-and-ammonia-project-in-australia-jul21.pdf" TargetMode="External"/><Relationship Id="rId6" Type="http://schemas.openxmlformats.org/officeDocument/2006/relationships/hyperlink" Target="https://ammoniaenergy.org/articles/jordan-green-ammonia-a-new-ammonia-partnership-in-the-middle-east/" TargetMode="External"/><Relationship Id="rId7" Type="http://schemas.openxmlformats.org/officeDocument/2006/relationships/hyperlink" Target="https://www.power-technology.com/comment/neom-hydrogen-scheme/" TargetMode="External"/><Relationship Id="rId8" Type="http://schemas.openxmlformats.org/officeDocument/2006/relationships/hyperlink" Target="https://ognnews.com/Article/46514/Helios_Green_Fuels_Project" TargetMode="External"/><Relationship Id="rId40" Type="http://schemas.openxmlformats.org/officeDocument/2006/relationships/hyperlink" Target="https://www.proactiveinvestors.co.uk/companies/news/981278/atome-energy-to-begin-work-on-first-paraguay-hydrogen-project-in-villeta-after-securing-power-agreement-981278.html" TargetMode="External"/><Relationship Id="rId42" Type="http://schemas.openxmlformats.org/officeDocument/2006/relationships/hyperlink" Target="https://www.proactiveinvestors.co.uk/companies/news/981278/atome-energy-to-begin-work-on-first-paraguay-hydrogen-project-in-villeta-after-securing-power-agreement-981278.html" TargetMode="External"/><Relationship Id="rId41" Type="http://schemas.openxmlformats.org/officeDocument/2006/relationships/hyperlink" Target="https://www.atomeplc.com/projects/paraguay/" TargetMode="External"/><Relationship Id="rId44" Type="http://schemas.openxmlformats.org/officeDocument/2006/relationships/hyperlink" Target="https://www.rwe.com/en/press/rwe-supply-and-trading/2023-02-08-rwe-lotte-mc-enter-into-jsa-to-develop-clean-ammonia-project/" TargetMode="External"/><Relationship Id="rId43" Type="http://schemas.openxmlformats.org/officeDocument/2006/relationships/hyperlink" Target="https://www.atomeplc.com/projects/paraguay/" TargetMode="External"/><Relationship Id="rId46" Type="http://schemas.openxmlformats.org/officeDocument/2006/relationships/hyperlink" Target="https://www.offshore-energy.biz/itochu-and-hive-to-collaborate-on-green-ammonia-project-in-south-africa/" TargetMode="External"/><Relationship Id="rId45" Type="http://schemas.openxmlformats.org/officeDocument/2006/relationships/hyperlink" Target="https://www.ammoniaenergy.org/articles/world-scale-solar-ammonia-plant-planned-for-south-africa/" TargetMode="External"/><Relationship Id="rId48" Type="http://schemas.openxmlformats.org/officeDocument/2006/relationships/hyperlink" Target="https://www.rwe.com/-/media/RWE/documents/07-presse/rwe-ag/2022/2022-03-18-import-of-green-enery-rwe-builds-ammonia-terminal-in-brunsbuettel.pdf" TargetMode="External"/><Relationship Id="rId47" Type="http://schemas.openxmlformats.org/officeDocument/2006/relationships/hyperlink" Target="https://www.hydrogeninsight.com/production/major-japanese-investors-mulling-stake-in-gw-scale-green-hydrogen-project-in-south-africa-report/2-1-1660707" TargetMode="External"/><Relationship Id="rId49" Type="http://schemas.openxmlformats.org/officeDocument/2006/relationships/hyperlink" Target="https://www.rwe.com/-/media/RWE/documents/07-presse/rwe-ag/2022/2022-03-18-import-of-green-enery-rwe-builds-ammonia-terminal-in-brunsbuettel.pdf" TargetMode="External"/><Relationship Id="rId31" Type="http://schemas.openxmlformats.org/officeDocument/2006/relationships/hyperlink" Target="https://cwp.global/projects/" TargetMode="External"/><Relationship Id="rId30" Type="http://schemas.openxmlformats.org/officeDocument/2006/relationships/hyperlink" Target="https://oilreviewafrica.com/exploration/industry/project-nour-mauritania-paves-way-to-become-world-class-green-hydrogen-initiative" TargetMode="External"/><Relationship Id="rId33" Type="http://schemas.openxmlformats.org/officeDocument/2006/relationships/hyperlink" Target="https://theedgemalaysia.com/article/my-say-sarawaks-green-hydrogen-plans-will-take-some-doing" TargetMode="External"/><Relationship Id="rId32" Type="http://schemas.openxmlformats.org/officeDocument/2006/relationships/hyperlink" Target="https://esdnews.com.au/australian-renewables-companies-sign-hydrogen-deal-with-sarawak-government/" TargetMode="External"/><Relationship Id="rId35" Type="http://schemas.openxmlformats.org/officeDocument/2006/relationships/hyperlink" Target="https://www.ihi.co.jp/en/all_news/2023/resources_energy_environment/1200166_3523.html" TargetMode="External"/><Relationship Id="rId34" Type="http://schemas.openxmlformats.org/officeDocument/2006/relationships/hyperlink" Target="https://hyphenafrica.com/projects/" TargetMode="External"/><Relationship Id="rId37" Type="http://schemas.openxmlformats.org/officeDocument/2006/relationships/hyperlink" Target="https://www.power-technology.com/news/acme-oman-green-ammonia-hydrogen/" TargetMode="External"/><Relationship Id="rId36" Type="http://schemas.openxmlformats.org/officeDocument/2006/relationships/hyperlink" Target="https://www.pv-magazine-australia.com/2022/11/30/woodside-selected-to-deliver-nz-green-hydrogen-megaproject-as-jv-partner-pulls-out/" TargetMode="External"/><Relationship Id="rId39" Type="http://schemas.openxmlformats.org/officeDocument/2006/relationships/hyperlink" Target="https://intercontinentalenergy.com/announcements/ICE-Announcement-20220407.pdf" TargetMode="External"/><Relationship Id="rId38" Type="http://schemas.openxmlformats.org/officeDocument/2006/relationships/hyperlink" Target="https://www.power-technology.com/news/acme-oman-green-ammonia-hydrogen/" TargetMode="External"/><Relationship Id="rId20" Type="http://schemas.openxmlformats.org/officeDocument/2006/relationships/hyperlink" Target="https://www.mdpi.com/1996-1073/16/4/1831" TargetMode="External"/><Relationship Id="rId22" Type="http://schemas.openxmlformats.org/officeDocument/2006/relationships/hyperlink" Target="https://www.hnhenergy.com/hnh-energy-sigue-avanzando-firmemente-en-el-desarrollo-de-su-puerto-privado-de-uso-publico-en-bahia-gregorio/" TargetMode="External"/><Relationship Id="rId21" Type="http://schemas.openxmlformats.org/officeDocument/2006/relationships/hyperlink" Target="https://www.enap.cl/our-operations/enap-in-magallanes" TargetMode="External"/><Relationship Id="rId24" Type="http://schemas.openxmlformats.org/officeDocument/2006/relationships/hyperlink" Target="https://icelandmonitor.mbl.is/news/news/2022/04/26/ammonia_production_planned_at_bakki_husavik/" TargetMode="External"/><Relationship Id="rId23" Type="http://schemas.openxmlformats.org/officeDocument/2006/relationships/hyperlink" Target="https://africa24.it/2024/02/29/litaliana-eni-aumentera-gli-investimenti-in-africa-priorita-a-egitto-e-libia/" TargetMode="External"/><Relationship Id="rId26" Type="http://schemas.openxmlformats.org/officeDocument/2006/relationships/hyperlink" Target="https://icelandmonitor.mbl.is/news/news/2022/04/26/ammonia_production_planned_at_bakki_husavik/" TargetMode="External"/><Relationship Id="rId25" Type="http://schemas.openxmlformats.org/officeDocument/2006/relationships/hyperlink" Target="https://www.renewableenergymagazine.com/hydrogen/atome-energy-announces-key-ammonia-and-hydrogen-20230404" TargetMode="External"/><Relationship Id="rId28" Type="http://schemas.openxmlformats.org/officeDocument/2006/relationships/hyperlink" Target="https://www.mitsui.com/jp/en/topics/2023/1247215_13949.html" TargetMode="External"/><Relationship Id="rId27" Type="http://schemas.openxmlformats.org/officeDocument/2006/relationships/hyperlink" Target="https://www.renewableenergymagazine.com/hydrogen/atome-energy-announces-key-ammonia-and-hydrogen-20230404" TargetMode="External"/><Relationship Id="rId29" Type="http://schemas.openxmlformats.org/officeDocument/2006/relationships/hyperlink" Target="https://www.rigzone.com/news/mauritanias_project_nour_enters_new_stage_of_development-26-may-2022-169129-article/" TargetMode="External"/><Relationship Id="rId11" Type="http://schemas.openxmlformats.org/officeDocument/2006/relationships/hyperlink" Target="https://www.cepsa.com/en/press/spain-and-the-netherlands-promote-the-green-hydrogen-maritime-corridor" TargetMode="External"/><Relationship Id="rId10" Type="http://schemas.openxmlformats.org/officeDocument/2006/relationships/hyperlink" Target="https://www.prnewswire.com/news-releases/nujioqonik-canadian-green-hydrogen-project-sk-ecoplant-participated-gains-approval-for-state-owned-land-for-the-use-of-wind-farm-site-for-a-15-billion-usd-project---equivalent-to-1-8-times-the-size-of-seoul-301917463.html" TargetMode="External"/><Relationship Id="rId13" Type="http://schemas.openxmlformats.org/officeDocument/2006/relationships/hyperlink" Target="https://www.kedglobal.com/hydrogen-economy/newsView/ked202201260009" TargetMode="External"/><Relationship Id="rId12" Type="http://schemas.openxmlformats.org/officeDocument/2006/relationships/hyperlink" Target="https://hydronews.it/cepsa-commissiona-400-mw-di-elettrolisi-per-la-andalusian-green-hydrogen-valley-firmati-contratti-con-thyssenkrupp-nucera-e-siemens-energy/" TargetMode="External"/><Relationship Id="rId15" Type="http://schemas.openxmlformats.org/officeDocument/2006/relationships/hyperlink" Target="https://advario.com/advario-and-fluxys-drive-forward-with-low-carbon-ammonia-terminal-paving-the-way-for-the-energy-transition/" TargetMode="External"/><Relationship Id="rId14" Type="http://schemas.openxmlformats.org/officeDocument/2006/relationships/hyperlink" Target="https://www.fluxys.com/en/projects/ammonia-antwerp-terminal" TargetMode="External"/><Relationship Id="rId17" Type="http://schemas.openxmlformats.org/officeDocument/2006/relationships/hyperlink" Target="https://www.offshore-energy.biz/equinor-advances-its-low-carbon-hydrogen-project-with-major-feed-contract-in-place/" TargetMode="External"/><Relationship Id="rId16" Type="http://schemas.openxmlformats.org/officeDocument/2006/relationships/hyperlink" Target="https://oci-global.com/news-stories/press-releases/oci-n-v-to-expand-port-of-rotterdam-ammonia-import-terminal-to-meet-emerging-large-scale-low-carbon-hydrogen-and-ammonia-demand-in-the-energy-transition/" TargetMode="External"/><Relationship Id="rId19" Type="http://schemas.openxmlformats.org/officeDocument/2006/relationships/hyperlink" Target="https://library.dbca.wa.gov.au/static/Journals/080218/080218-1094.pdf" TargetMode="External"/><Relationship Id="rId18" Type="http://schemas.openxmlformats.org/officeDocument/2006/relationships/hyperlink" Target="https://www.qcintel.com/ammonia/article/petronas-s-q3-ammonia-sales-hit-on-kerteh-maintenance-19041.html" TargetMode="External"/><Relationship Id="rId84" Type="http://schemas.openxmlformats.org/officeDocument/2006/relationships/hyperlink" Target="https://www.meed.com/oman-plans-hydrogen-infrastructure-company" TargetMode="External"/><Relationship Id="rId83" Type="http://schemas.openxmlformats.org/officeDocument/2006/relationships/hyperlink" Target="https://www.saudigulfprojects.com/2021/10/marubeni-linde-oq-and-dutco-signed-agreement-for-green-hydrogen-green-ammonia/" TargetMode="External"/><Relationship Id="rId86" Type="http://schemas.openxmlformats.org/officeDocument/2006/relationships/hyperlink" Target="https://madoquapower2x.com/" TargetMode="External"/><Relationship Id="rId85" Type="http://schemas.openxmlformats.org/officeDocument/2006/relationships/hyperlink" Target="https://www.acwapower.com/news/acwa-power-oq-and-air-products-sign-joint-development-agreement-toward-world-scale-green-hydrogen-based-ammonia-production-facility-in-oman/" TargetMode="External"/><Relationship Id="rId88" Type="http://schemas.openxmlformats.org/officeDocument/2006/relationships/hyperlink" Target="https://ebtke.esdm.go.id/post/2023/12/15/3680/strategi.hydrogen.national" TargetMode="External"/><Relationship Id="rId87" Type="http://schemas.openxmlformats.org/officeDocument/2006/relationships/hyperlink" Target="https://www.ajot.com/news/port-of-rotterdam-vopak-in-race-for-2.8-billion-hydrogen-port-in-south-africa" TargetMode="External"/><Relationship Id="rId89" Type="http://schemas.openxmlformats.org/officeDocument/2006/relationships/hyperlink" Target="https://www.fluxys.com/en/projects/zeebrugge-multi-molecule-hub" TargetMode="External"/><Relationship Id="rId80" Type="http://schemas.openxmlformats.org/officeDocument/2006/relationships/hyperlink" Target="https://hyphenafrica.com/projects/" TargetMode="External"/><Relationship Id="rId82" Type="http://schemas.openxmlformats.org/officeDocument/2006/relationships/hyperlink" Target="https://www.uniper.energy/news/hyport-duqm-signs-cooperation-agreement-with-uniper-to-explore-green-ammonia-offtake" TargetMode="External"/><Relationship Id="rId81" Type="http://schemas.openxmlformats.org/officeDocument/2006/relationships/hyperlink" Target="https://www.deme-group.com/news/hyport-duqm-consortium-signs-major-agreement-hydrom-development-green-hydrogen" TargetMode="External"/><Relationship Id="rId73" Type="http://schemas.openxmlformats.org/officeDocument/2006/relationships/hyperlink" Target="https://energynews.biz/egypt-inks-7-mous-for-green-hydrogen-production-in-ain-sokhna/" TargetMode="External"/><Relationship Id="rId72" Type="http://schemas.openxmlformats.org/officeDocument/2006/relationships/hyperlink" Target="https://oci-global.com/media/2126/egypt-green-hydrogen-launch-announcement.pdf" TargetMode="External"/><Relationship Id="rId75" Type="http://schemas.openxmlformats.org/officeDocument/2006/relationships/hyperlink" Target="https://www.ameapower.com/press-release-amea-power-has-signed-a-memorandum-of-understanding-to-produce-390000-tonnes-of-green-ammonia-per-annum-in-egypt/" TargetMode="External"/><Relationship Id="rId74" Type="http://schemas.openxmlformats.org/officeDocument/2006/relationships/hyperlink" Target="https://www.ameapower.com/press-release-amea-power-has-signed-a-memorandum-of-understanding-to-produce-390000-tonnes-of-green-ammonia-per-annum-in-egypt/" TargetMode="External"/><Relationship Id="rId77" Type="http://schemas.openxmlformats.org/officeDocument/2006/relationships/hyperlink" Target="https://www.businesstodayegypt.com/Article/1/3849/Cabinet-approves-green-hydrogen-project-with-DEME/" TargetMode="External"/><Relationship Id="rId76" Type="http://schemas.openxmlformats.org/officeDocument/2006/relationships/hyperlink" Target="https://energynews.biz/deme-and-egypt-agree-3-1-billion-green-hydrogen-project/" TargetMode="External"/><Relationship Id="rId79" Type="http://schemas.openxmlformats.org/officeDocument/2006/relationships/hyperlink" Target="https://africa-energy-portal.org/news/edf-zerowaste-progressive-green-hydrogen-project-egypt" TargetMode="External"/><Relationship Id="rId78" Type="http://schemas.openxmlformats.org/officeDocument/2006/relationships/hyperlink" Target="https://africa-energy-portal.org/news/edf-zerowaste-progressive-green-hydrogen-project-egypt" TargetMode="External"/><Relationship Id="rId71" Type="http://schemas.openxmlformats.org/officeDocument/2006/relationships/hyperlink" Target="https://www.afrik21.africa/en/egypt-denmarks-c2x-to-invest-3-billion-in-green-methanol-production-in-sokhna/" TargetMode="External"/><Relationship Id="rId70" Type="http://schemas.openxmlformats.org/officeDocument/2006/relationships/hyperlink" Target="https://ammoniaenergy.org/articles/hyex-ammonia-from-the-chilean-desert/" TargetMode="External"/><Relationship Id="rId62" Type="http://schemas.openxmlformats.org/officeDocument/2006/relationships/hyperlink" Target="https://www.mol.co.jp/en/pr/2021/21069.html" TargetMode="External"/><Relationship Id="rId61" Type="http://schemas.openxmlformats.org/officeDocument/2006/relationships/hyperlink" Target="https://research.csiro.au/hyresource/origin-green-hydrogen-and-ammonia-project/" TargetMode="External"/><Relationship Id="rId64" Type="http://schemas.openxmlformats.org/officeDocument/2006/relationships/hyperlink" Target="https://research.csiro.au/hyresource/han-ho-h2-hub-feasibility-study/" TargetMode="External"/><Relationship Id="rId63" Type="http://schemas.openxmlformats.org/officeDocument/2006/relationships/hyperlink" Target="https://www.woodside.com/docs/default-source/media-releases/woodside-driving-forward-renewable-hydrogen-in-tasmaniaf04b8c94-f289-4670-96ff-67d1069edeb9.pdf?sfvrsn=8a16962a_3" TargetMode="External"/><Relationship Id="rId66" Type="http://schemas.openxmlformats.org/officeDocument/2006/relationships/hyperlink" Target="https://www.offshore-energy.biz/hystra-marks-completion-of-worlds-1st-lh2-carrier-voyage/" TargetMode="External"/><Relationship Id="rId65" Type="http://schemas.openxmlformats.org/officeDocument/2006/relationships/hyperlink" Target="https://www.hystra.or.jp/en/project/" TargetMode="External"/><Relationship Id="rId68" Type="http://schemas.openxmlformats.org/officeDocument/2006/relationships/hyperlink" Target="https://www.orica.com/Locations/Asia-Pacific/Australia/Yarwun/Operations" TargetMode="External"/><Relationship Id="rId67" Type="http://schemas.openxmlformats.org/officeDocument/2006/relationships/hyperlink" Target="https://www.heymo.com/project/terquimsa-ammonia-plant?lang=en" TargetMode="External"/><Relationship Id="rId60" Type="http://schemas.openxmlformats.org/officeDocument/2006/relationships/hyperlink" Target="https://www.orica.com/news-media/2022/orica-and-h2u-group-team-up-on-gladstone-green-ammonia-project" TargetMode="External"/><Relationship Id="rId69" Type="http://schemas.openxmlformats.org/officeDocument/2006/relationships/hyperlink" Target="https://www.rechargenews.com/energy-transition/cip-and-austrian-developers-team-up-for-gigascale-hydrogen-project-in-chile/2-1-1145693" TargetMode="External"/><Relationship Id="rId51" Type="http://schemas.openxmlformats.org/officeDocument/2006/relationships/hyperlink" Target="https://fuella.no/skipavika-in-western-norway-will-become-home-to-a-brand-new-factory-costing-4-billion-nok-the-full-scale-plant-for-emission-free-ammonia-production-is-scheduled-to-open-in-2026/" TargetMode="External"/><Relationship Id="rId50" Type="http://schemas.openxmlformats.org/officeDocument/2006/relationships/hyperlink" Target="https://horisontenergi.no/news/horisont-energi-and-koole-terminals-signs-a-collaboration-agreement-to-develop-a-logistic-value-chain-for-clean-ammonia/" TargetMode="External"/><Relationship Id="rId53" Type="http://schemas.openxmlformats.org/officeDocument/2006/relationships/hyperlink" Target="https://akerhorizons.com/what-we-do/narvik/" TargetMode="External"/><Relationship Id="rId52" Type="http://schemas.openxmlformats.org/officeDocument/2006/relationships/hyperlink" Target="https://www.enbw.com/company/press/enbw-invests-in-skipavika-green-ammonia.html" TargetMode="External"/><Relationship Id="rId55" Type="http://schemas.openxmlformats.org/officeDocument/2006/relationships/hyperlink" Target="https://research.csiro.au/hyresource/australian-renewable-energy-hub/" TargetMode="External"/><Relationship Id="rId54" Type="http://schemas.openxmlformats.org/officeDocument/2006/relationships/hyperlink" Target="https://www.offshore-energy.biz/aker-horizons-and-vng-ink-loi-to-ship-ammonia-from-norway-to-germany/" TargetMode="External"/><Relationship Id="rId57" Type="http://schemas.openxmlformats.org/officeDocument/2006/relationships/hyperlink" Target="https://reneweconomy.com.au/danish-giant-reveals-details-of-giga-scale-renewable-hydrogen-plans-in-murchison/" TargetMode="External"/><Relationship Id="rId56" Type="http://schemas.openxmlformats.org/officeDocument/2006/relationships/hyperlink" Target="https://www.mediastatements.wa.gov.au/Pages/McGowan/2021/12/Lead-agency-status-for-job-creating-green-hydrogen-projects.aspx" TargetMode="External"/><Relationship Id="rId59" Type="http://schemas.openxmlformats.org/officeDocument/2006/relationships/hyperlink" Target="https://eisdocs.dsdip.qld.gov.au/Gladstone%20Energy%20and%20Ammonia%20Project%20(GEAP)/Initial%20Advice%20Statement%20(IAS)/gladstone-energy-ammonia-project-initial-advice-statement.pdf" TargetMode="External"/><Relationship Id="rId58" Type="http://schemas.openxmlformats.org/officeDocument/2006/relationships/hyperlink" Target="https://stockhead.com.au/energy/heres-why-australian-future-energys-hydrogen-project-is-built-different/" TargetMode="External"/><Relationship Id="rId107" Type="http://schemas.openxmlformats.org/officeDocument/2006/relationships/hyperlink" Target="https://www.argusmedia.com/es/news-and-insights/latest-market-news/2532876-japanese-consortium-eyes-ammonia-supply-chain-in-soma" TargetMode="External"/><Relationship Id="rId106" Type="http://schemas.openxmlformats.org/officeDocument/2006/relationships/hyperlink" Target="https://ammoniaenergy.org/articles/namikata-terminal-to-be-repurposed-into-an-ammonia-ready-clean-energy-hub/" TargetMode="External"/><Relationship Id="rId105" Type="http://schemas.openxmlformats.org/officeDocument/2006/relationships/hyperlink" Target="https://pollinationgroup.com/media_post/world-first-partnership-to-deliver-australias-first-clean-energy-export-hub/" TargetMode="External"/><Relationship Id="rId104" Type="http://schemas.openxmlformats.org/officeDocument/2006/relationships/hyperlink" Target="https://www.erm.com/contentassets/c81805f0bb2b480cb19d0c383db254c1/4-yuri-green-hydrogen-and-ammonia-project-in-australia-jul21.pdf" TargetMode="External"/><Relationship Id="rId109" Type="http://schemas.openxmlformats.org/officeDocument/2006/relationships/hyperlink" Target="https://www.offshore-energy.biz/ulsan-port-authority-pacific-environment-join-forces-to-decarbonize-ports/" TargetMode="External"/><Relationship Id="rId108" Type="http://schemas.openxmlformats.org/officeDocument/2006/relationships/hyperlink" Target="https://ureaknowhow.com/south-korea-prepares-for-2-mln-tpa-nh3-import-in-2030/" TargetMode="External"/><Relationship Id="rId103" Type="http://schemas.openxmlformats.org/officeDocument/2006/relationships/hyperlink" Target="https://www.ammoniaenergy.org/articles/yaras-green-ammonia-project-yuri-gets-further-boosts/" TargetMode="External"/><Relationship Id="rId102" Type="http://schemas.openxmlformats.org/officeDocument/2006/relationships/hyperlink" Target="https://www.jtsi.wa.gov.au/docs/default-source/default-document-library/oakajee-eoi-document-we.pdf?sfvrsn=43f1761c_0" TargetMode="External"/><Relationship Id="rId101" Type="http://schemas.openxmlformats.org/officeDocument/2006/relationships/hyperlink" Target="https://www.gesgroup.global/green-fuel-terminals/ges-rotterdam/" TargetMode="External"/><Relationship Id="rId100" Type="http://schemas.openxmlformats.org/officeDocument/2006/relationships/hyperlink" Target="https://www.uniper.energy/news/uniper-and-vesta-to-cooperate-on-developing-a-green-ammonia-terminal-site-in-the-netherlands" TargetMode="External"/><Relationship Id="rId95" Type="http://schemas.openxmlformats.org/officeDocument/2006/relationships/hyperlink" Target="https://www.ammoniaenergy.org/articles/air-products-targets-ammonia-imports-at-uk-port/" TargetMode="External"/><Relationship Id="rId94" Type="http://schemas.openxmlformats.org/officeDocument/2006/relationships/hyperlink" Target="https://dunkerquepromotion.org/en/why-is-dunkirk-becoming-the-key-territory-of-decarbonised-industry-and-electric-mobility/" TargetMode="External"/><Relationship Id="rId97" Type="http://schemas.openxmlformats.org/officeDocument/2006/relationships/hyperlink" Target="https://www.fluxys.com/en/hydrogen/empowering-you/customer-interaction-ammonia-terminal-infrastructure" TargetMode="External"/><Relationship Id="rId96" Type="http://schemas.openxmlformats.org/officeDocument/2006/relationships/hyperlink" Target="https://www.offshore-energy.biz/new-terminal-at-immingham-port-to-support-import-of-green-ammonia-from-saudis-neom/" TargetMode="External"/><Relationship Id="rId99" Type="http://schemas.openxmlformats.org/officeDocument/2006/relationships/hyperlink" Target="https://www.aceterminal.nl/en" TargetMode="External"/><Relationship Id="rId98" Type="http://schemas.openxmlformats.org/officeDocument/2006/relationships/hyperlink" Target="https://www.reuters.com/article/netherlands-hydrogen/gasunie-hes-vopak-plan-ammonia-hydrogen-terminal-at-rotterdam-idINL2N2W918W" TargetMode="External"/><Relationship Id="rId91" Type="http://schemas.openxmlformats.org/officeDocument/2006/relationships/hyperlink" Target="https://www.hafen-hamburg.de/en/press/news/erstes-terminal-fuer-gruenen-ammoniak-kommt-nach-hamburg/" TargetMode="External"/><Relationship Id="rId90" Type="http://schemas.openxmlformats.org/officeDocument/2006/relationships/hyperlink" Target="https://www.uniper.energy/news/uniper-plans-to-make-wilhelmshaven-a-hub-for-climate-friendly-hydrogen" TargetMode="External"/><Relationship Id="rId93" Type="http://schemas.openxmlformats.org/officeDocument/2006/relationships/hyperlink" Target="https://dunkerquepromotion.org/en/energies/hydrogen-energy-dunkerque-promotion/" TargetMode="External"/><Relationship Id="rId92" Type="http://schemas.openxmlformats.org/officeDocument/2006/relationships/hyperlink" Target="https://www.hafen-hamburg.de/en/press/news/erstes-terminal-fuer-gruenen-ammoniak-kommt-nach-hamburg/" TargetMode="External"/><Relationship Id="rId110" Type="http://schemas.openxmlformats.org/officeDocument/2006/relationships/hyperlink" Target="https://www.pv-magazine-australia.com/2022/05/31/green-hydrogen-megaproject-in-sa-discontinued/" TargetMode="External"/><Relationship Id="rId113" Type="http://schemas.openxmlformats.org/officeDocument/2006/relationships/table" Target="../tables/table9.xml"/><Relationship Id="rId11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hyperlink" Target="https://dunkerquepromotion.org/en/energies/hydrogen-energy-dunkerque-promotion/" TargetMode="External"/><Relationship Id="rId2" Type="http://schemas.openxmlformats.org/officeDocument/2006/relationships/hyperlink" Target="https://dunkerquepromotion.org/en/why-is-dunkirk-becoming-the-key-territory-of-decarbonised-industry-and-electric-mobility/" TargetMode="External"/><Relationship Id="rId3" Type="http://schemas.openxmlformats.org/officeDocument/2006/relationships/hyperlink" Target="https://www.ammoniaenergy.org/articles/air-products-targets-ammonia-imports-at-uk-port/" TargetMode="External"/><Relationship Id="rId4" Type="http://schemas.openxmlformats.org/officeDocument/2006/relationships/hyperlink" Target="https://www.gasunie.nl/en/news/gasunie-hes-international-and-vopak-join-forces-to-develop-an-import-terminal-for-hydrogen-carrier-in-the-port-of-rotterdam" TargetMode="External"/><Relationship Id="rId9" Type="http://schemas.openxmlformats.org/officeDocument/2006/relationships/hyperlink" Target="https://balkangreenenergynews.com/green-ammonia-hub-set-to-start-operations-in-croatia-in-2027/" TargetMode="External"/><Relationship Id="rId5" Type="http://schemas.openxmlformats.org/officeDocument/2006/relationships/hyperlink" Target="https://www.reuters.com/article/netherlands-hydrogen/gasunie-hes-vopak-plan-ammonia-hydrogen-terminal-at-rotterdam-idINL2N2W918W" TargetMode="External"/><Relationship Id="rId6" Type="http://schemas.openxmlformats.org/officeDocument/2006/relationships/hyperlink" Target="https://www.aceterminal.nl/en" TargetMode="External"/><Relationship Id="rId7" Type="http://schemas.openxmlformats.org/officeDocument/2006/relationships/hyperlink" Target="https://www.airliquide.com/group/press-releases-news/2023-03-23/air-liquide-paves-way-ammonia-conversion-hydrogen-new-cracking-technology" TargetMode="External"/><Relationship Id="rId8" Type="http://schemas.openxmlformats.org/officeDocument/2006/relationships/hyperlink" Target="https://advario.com/driving-europes-hydrogen-strategy-fluxys-and-advario-join-forces-to-develop-a-green-ammonia-import-terminal-at-the-port-of-antwerp-bruges/" TargetMode="External"/><Relationship Id="rId20" Type="http://schemas.openxmlformats.org/officeDocument/2006/relationships/hyperlink" Target="https://www.vopak.com/newsroom/news/news-air-liquide-and-vopak-sign-mou-ammonia-import-infrastructure-singapore" TargetMode="External"/><Relationship Id="rId22" Type="http://schemas.openxmlformats.org/officeDocument/2006/relationships/hyperlink" Target="https://www.knoc.co.kr/ENG/sub08/sub08_2_2_3.jsp" TargetMode="External"/><Relationship Id="rId21" Type="http://schemas.openxmlformats.org/officeDocument/2006/relationships/hyperlink" Target="https://ammoniaenergy.org/articles/kbr-to-provide-cracking-tech-for-new-south-korean-project/" TargetMode="External"/><Relationship Id="rId24" Type="http://schemas.openxmlformats.org/officeDocument/2006/relationships/hyperlink" Target="https://www.korea-certification.com/en/topsoes-ammonia-based-technology-selected-for-new-hydrogen-initiative-in-south-korea/" TargetMode="External"/><Relationship Id="rId23" Type="http://schemas.openxmlformats.org/officeDocument/2006/relationships/hyperlink" Target="https://www.korea-certification.com/en/topsoes-ammonia-based-technology-selected-for-new-hydrogen-initiative-in-south-korea/" TargetMode="External"/><Relationship Id="rId26" Type="http://schemas.openxmlformats.org/officeDocument/2006/relationships/hyperlink" Target="https://fortescue.com/news-and-media/news/2023/07/24/fortescue-future-industries-siemens-energy-and-partners-are-developing-game-changing-ammonia-prototype" TargetMode="External"/><Relationship Id="rId25" Type="http://schemas.openxmlformats.org/officeDocument/2006/relationships/hyperlink" Target="https://www.offshore-energy.biz/stanlow-terminals-to-develop-open-access-green-ammonia-import-terminal/" TargetMode="External"/><Relationship Id="rId27" Type="http://schemas.openxmlformats.org/officeDocument/2006/relationships/drawing" Target="../drawings/drawing26.xml"/><Relationship Id="rId29" Type="http://schemas.openxmlformats.org/officeDocument/2006/relationships/table" Target="../tables/table10.xml"/><Relationship Id="rId11" Type="http://schemas.openxmlformats.org/officeDocument/2006/relationships/hyperlink" Target="https://www.hydrogeninsight.com/production/air-products-plans-to-build-green-ammonia-import-terminal-in-hamburg-and-convert-cargo-back-into-hydrogen/2-1-1356630" TargetMode="External"/><Relationship Id="rId10" Type="http://schemas.openxmlformats.org/officeDocument/2006/relationships/hyperlink" Target="https://www.offshore-energy.biz/rwe-to-build-green-ammonia-import-terminal-in-brunsbuttel/" TargetMode="External"/><Relationship Id="rId13" Type="http://schemas.openxmlformats.org/officeDocument/2006/relationships/hyperlink" Target="https://www.vng.de/en/newsroom/2023-04-24-yara-and-vng-commitment-cooperation-ammonia" TargetMode="External"/><Relationship Id="rId12" Type="http://schemas.openxmlformats.org/officeDocument/2006/relationships/hyperlink" Target="https://www.yara.com/news-and-media/news/archive/2023/yara-and-vng-with-commitment-for-cooperation-in-ammonia/" TargetMode="External"/><Relationship Id="rId15" Type="http://schemas.openxmlformats.org/officeDocument/2006/relationships/hyperlink" Target="https://www.bp.com/en/global/corporate/news-and-insights/press-releases/bp-reveals-plans-to-evaluate-expansion-of-germany-green-energy-port-with-new-hydrogen-hub.html" TargetMode="External"/><Relationship Id="rId14" Type="http://schemas.openxmlformats.org/officeDocument/2006/relationships/hyperlink" Target="https://www.linde-engineering.com/en/news_and_media/press_releases/news20230315.html" TargetMode="External"/><Relationship Id="rId17" Type="http://schemas.openxmlformats.org/officeDocument/2006/relationships/hyperlink" Target="https://www.portofrotterdam.com/en/news-and-press-releases/study-ammonia-cracker-realistic-and-safe-method-for-large-scale-hydrogen" TargetMode="External"/><Relationship Id="rId16" Type="http://schemas.openxmlformats.org/officeDocument/2006/relationships/hyperlink" Target="https://www.uniper.energy/news/increasing-the-availability-of-sustainable-ammonia-and-expanding-port-capacities-for-imports-uniper-and-skw-piesteritz-agree-to-collaborate" TargetMode="External"/><Relationship Id="rId19" Type="http://schemas.openxmlformats.org/officeDocument/2006/relationships/hyperlink" Target="https://www.evoterminals.com/about-the-project/" TargetMode="External"/><Relationship Id="rId18" Type="http://schemas.openxmlformats.org/officeDocument/2006/relationships/hyperlink" Target="https://www.vtti.com/vtti-essent-and-e-on-to-jointly-develop-green-ammonia-cracker-project-in-rotterdam/" TargetMode="External"/></Relationships>
</file>

<file path=xl/worksheets/_rels/sheet27.xml.rels><?xml version="1.0" encoding="UTF-8" standalone="yes"?><Relationships xmlns="http://schemas.openxmlformats.org/package/2006/relationships"><Relationship Id="rId1" Type="http://schemas.openxmlformats.org/officeDocument/2006/relationships/hyperlink" Target="https://www.methanol.org/marine/" TargetMode="External"/><Relationship Id="rId2" Type="http://schemas.openxmlformats.org/officeDocument/2006/relationships/hyperlink" Target="https://www.hamrenergy.com/news/hamr-energy-sign-green-methanol-mou" TargetMode="External"/><Relationship Id="rId3" Type="http://schemas.openxmlformats.org/officeDocument/2006/relationships/hyperlink" Target="https://energia.gob.cl/sites/default/files/ch-t1235-p003_final_report_28-03-2022_vf.pdf" TargetMode="External"/><Relationship Id="rId4" Type="http://schemas.openxmlformats.org/officeDocument/2006/relationships/hyperlink" Target="https://xueqiu.com/S/00379/25991032" TargetMode="External"/><Relationship Id="rId9" Type="http://schemas.openxmlformats.org/officeDocument/2006/relationships/drawing" Target="../drawings/drawing27.xml"/><Relationship Id="rId5" Type="http://schemas.openxmlformats.org/officeDocument/2006/relationships/hyperlink" Target="https://safety4sea.com/port-of-montreal-to-implement-hydrogen-and-methanol-solutions/" TargetMode="External"/><Relationship Id="rId6" Type="http://schemas.openxmlformats.org/officeDocument/2006/relationships/hyperlink" Target="https://www.portbreakingwaves.com/a-green-gateway-for-goods-at-the-port-of-new-york-and-new-jersey/" TargetMode="External"/><Relationship Id="rId7" Type="http://schemas.openxmlformats.org/officeDocument/2006/relationships/hyperlink" Target="https://maritime-executive.com/article/construction-begins-on-first-two-methanol-dual-fuel-tugboats" TargetMode="External"/><Relationship Id="rId8" Type="http://schemas.openxmlformats.org/officeDocument/2006/relationships/hyperlink" Target="https://www.portofrotterdam.com/en/sea-shipping/bunkering-in-rotterdam" TargetMode="External"/><Relationship Id="rId11" Type="http://schemas.openxmlformats.org/officeDocument/2006/relationships/table" Target="../tables/table1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43"/>
    <col customWidth="1" min="2" max="2" width="27.71"/>
    <col customWidth="1" min="3" max="9" width="33.0"/>
  </cols>
  <sheetData>
    <row r="1">
      <c r="A1" s="1"/>
      <c r="B1" s="1"/>
      <c r="C1" s="1"/>
      <c r="D1" s="1"/>
      <c r="E1" s="1"/>
      <c r="F1" s="1"/>
      <c r="G1" s="1"/>
      <c r="H1" s="1"/>
      <c r="I1" s="1"/>
      <c r="J1" s="1"/>
      <c r="K1" s="1"/>
      <c r="L1" s="1"/>
      <c r="M1" s="1"/>
      <c r="N1" s="1"/>
      <c r="O1" s="1"/>
      <c r="P1" s="1"/>
      <c r="Q1" s="1"/>
      <c r="R1" s="1"/>
      <c r="S1" s="1"/>
      <c r="T1" s="1"/>
      <c r="U1" s="1"/>
      <c r="V1" s="1"/>
      <c r="W1" s="1"/>
      <c r="X1" s="1"/>
      <c r="Y1" s="1"/>
      <c r="Z1" s="1"/>
    </row>
    <row r="2">
      <c r="A2" s="1"/>
      <c r="B2" s="1"/>
      <c r="C2" s="2" t="s">
        <v>0</v>
      </c>
      <c r="D2" s="3"/>
      <c r="E2" s="3"/>
      <c r="F2" s="3"/>
      <c r="G2" s="3"/>
      <c r="H2" s="3"/>
      <c r="I2" s="4"/>
      <c r="J2" s="1"/>
      <c r="K2" s="1"/>
      <c r="L2" s="1"/>
      <c r="M2" s="1"/>
      <c r="N2" s="1"/>
      <c r="O2" s="1"/>
      <c r="P2" s="1"/>
      <c r="Q2" s="1"/>
      <c r="R2" s="1"/>
      <c r="S2" s="1"/>
      <c r="T2" s="1"/>
      <c r="U2" s="1"/>
      <c r="V2" s="1"/>
      <c r="W2" s="1"/>
      <c r="X2" s="1"/>
      <c r="Y2" s="1"/>
      <c r="Z2" s="1"/>
    </row>
    <row r="3">
      <c r="A3" s="1"/>
      <c r="B3" s="5" t="s">
        <v>1</v>
      </c>
      <c r="C3" s="6" t="s">
        <v>2</v>
      </c>
      <c r="D3" s="7" t="s">
        <v>3</v>
      </c>
      <c r="E3" s="7" t="s">
        <v>4</v>
      </c>
      <c r="F3" s="7" t="s">
        <v>5</v>
      </c>
      <c r="G3" s="7" t="s">
        <v>6</v>
      </c>
      <c r="H3" s="7" t="s">
        <v>7</v>
      </c>
      <c r="I3" s="7" t="s">
        <v>8</v>
      </c>
      <c r="J3" s="1"/>
      <c r="K3" s="1"/>
      <c r="L3" s="1"/>
      <c r="M3" s="1"/>
      <c r="N3" s="1"/>
      <c r="O3" s="1"/>
      <c r="P3" s="1"/>
      <c r="Q3" s="1"/>
      <c r="R3" s="1"/>
      <c r="S3" s="1"/>
      <c r="T3" s="1"/>
      <c r="U3" s="1"/>
      <c r="V3" s="1"/>
      <c r="W3" s="1"/>
      <c r="X3" s="1"/>
      <c r="Y3" s="1"/>
      <c r="Z3" s="1"/>
    </row>
    <row r="4">
      <c r="A4" s="1"/>
      <c r="B4" s="8" t="s">
        <v>9</v>
      </c>
      <c r="C4" s="9" t="s">
        <v>10</v>
      </c>
      <c r="D4" s="9" t="s">
        <v>11</v>
      </c>
      <c r="E4" s="9" t="s">
        <v>12</v>
      </c>
      <c r="F4" s="9" t="s">
        <v>13</v>
      </c>
      <c r="G4" s="9" t="s">
        <v>14</v>
      </c>
      <c r="H4" s="9" t="s">
        <v>15</v>
      </c>
      <c r="I4" s="9" t="s">
        <v>16</v>
      </c>
      <c r="J4" s="1"/>
      <c r="K4" s="1"/>
      <c r="L4" s="1"/>
      <c r="M4" s="1"/>
      <c r="N4" s="1"/>
      <c r="O4" s="1"/>
      <c r="P4" s="1"/>
      <c r="Q4" s="1"/>
      <c r="R4" s="1"/>
      <c r="S4" s="1"/>
      <c r="T4" s="1"/>
      <c r="U4" s="1"/>
      <c r="V4" s="1"/>
      <c r="W4" s="1"/>
      <c r="X4" s="1"/>
      <c r="Y4" s="1"/>
      <c r="Z4" s="1"/>
    </row>
    <row r="5">
      <c r="A5" s="1"/>
      <c r="B5" s="7" t="s">
        <v>17</v>
      </c>
      <c r="C5" s="9" t="s">
        <v>18</v>
      </c>
      <c r="D5" s="9" t="s">
        <v>19</v>
      </c>
      <c r="E5" s="9" t="s">
        <v>19</v>
      </c>
      <c r="F5" s="9" t="s">
        <v>20</v>
      </c>
      <c r="G5" s="9" t="s">
        <v>19</v>
      </c>
      <c r="H5" s="9" t="s">
        <v>19</v>
      </c>
      <c r="I5" s="9" t="s">
        <v>19</v>
      </c>
      <c r="J5" s="1"/>
      <c r="K5" s="1"/>
      <c r="L5" s="1"/>
      <c r="M5" s="1"/>
      <c r="N5" s="1"/>
      <c r="O5" s="1"/>
      <c r="P5" s="1"/>
      <c r="Q5" s="1"/>
      <c r="R5" s="1"/>
      <c r="S5" s="1"/>
      <c r="T5" s="1"/>
      <c r="U5" s="1"/>
      <c r="V5" s="1"/>
      <c r="W5" s="1"/>
      <c r="X5" s="1"/>
      <c r="Y5" s="1"/>
      <c r="Z5" s="1"/>
    </row>
    <row r="6">
      <c r="A6" s="1"/>
      <c r="B6" s="7" t="s">
        <v>21</v>
      </c>
      <c r="C6" s="9" t="s">
        <v>22</v>
      </c>
      <c r="D6" s="9" t="s">
        <v>23</v>
      </c>
      <c r="E6" s="9" t="s">
        <v>24</v>
      </c>
      <c r="F6" s="9" t="s">
        <v>25</v>
      </c>
      <c r="G6" s="9" t="s">
        <v>19</v>
      </c>
      <c r="H6" s="9" t="s">
        <v>26</v>
      </c>
      <c r="I6" s="9" t="s">
        <v>27</v>
      </c>
      <c r="J6" s="1"/>
      <c r="K6" s="1"/>
      <c r="L6" s="1"/>
      <c r="M6" s="1"/>
      <c r="N6" s="1"/>
      <c r="O6" s="1"/>
      <c r="P6" s="1"/>
      <c r="Q6" s="1"/>
      <c r="R6" s="1"/>
      <c r="S6" s="1"/>
      <c r="T6" s="1"/>
      <c r="U6" s="1"/>
      <c r="V6" s="1"/>
      <c r="W6" s="1"/>
      <c r="X6" s="1"/>
      <c r="Y6" s="1"/>
      <c r="Z6" s="1"/>
    </row>
    <row r="7">
      <c r="A7" s="1"/>
      <c r="B7" s="10" t="s">
        <v>28</v>
      </c>
      <c r="C7" s="11" t="s">
        <v>29</v>
      </c>
      <c r="D7" s="11" t="s">
        <v>19</v>
      </c>
      <c r="E7" s="11" t="s">
        <v>19</v>
      </c>
      <c r="F7" s="11" t="s">
        <v>19</v>
      </c>
      <c r="G7" s="11" t="s">
        <v>30</v>
      </c>
      <c r="H7" s="11" t="s">
        <v>19</v>
      </c>
      <c r="I7" s="12"/>
      <c r="J7" s="1"/>
      <c r="K7" s="1"/>
      <c r="L7" s="1"/>
      <c r="M7" s="1"/>
      <c r="N7" s="1"/>
      <c r="O7" s="1"/>
      <c r="P7" s="1"/>
      <c r="Q7" s="1"/>
      <c r="R7" s="1"/>
      <c r="S7" s="1"/>
      <c r="T7" s="1"/>
      <c r="U7" s="1"/>
      <c r="V7" s="1"/>
      <c r="W7" s="1"/>
      <c r="X7" s="1"/>
      <c r="Y7" s="1"/>
      <c r="Z7" s="1"/>
    </row>
    <row r="8">
      <c r="A8" s="1"/>
      <c r="B8" s="7" t="s">
        <v>31</v>
      </c>
      <c r="C8" s="9" t="s">
        <v>32</v>
      </c>
      <c r="D8" s="9" t="s">
        <v>33</v>
      </c>
      <c r="E8" s="9" t="s">
        <v>19</v>
      </c>
      <c r="F8" s="9" t="s">
        <v>34</v>
      </c>
      <c r="G8" s="9" t="s">
        <v>19</v>
      </c>
      <c r="H8" s="9" t="s">
        <v>35</v>
      </c>
      <c r="I8" s="9" t="s">
        <v>19</v>
      </c>
      <c r="J8" s="1"/>
      <c r="K8" s="1"/>
      <c r="L8" s="1"/>
      <c r="M8" s="1"/>
      <c r="N8" s="1"/>
      <c r="O8" s="1"/>
      <c r="P8" s="1"/>
      <c r="Q8" s="1"/>
      <c r="R8" s="1"/>
      <c r="S8" s="1"/>
      <c r="T8" s="1"/>
      <c r="U8" s="1"/>
      <c r="V8" s="1"/>
      <c r="W8" s="1"/>
      <c r="X8" s="1"/>
      <c r="Y8" s="1"/>
      <c r="Z8" s="1"/>
    </row>
    <row r="9">
      <c r="A9" s="1"/>
      <c r="B9" s="7" t="s">
        <v>36</v>
      </c>
      <c r="C9" s="9" t="s">
        <v>37</v>
      </c>
      <c r="D9" s="9" t="s">
        <v>37</v>
      </c>
      <c r="E9" s="9" t="s">
        <v>37</v>
      </c>
      <c r="F9" s="9" t="s">
        <v>37</v>
      </c>
      <c r="G9" s="9" t="s">
        <v>37</v>
      </c>
      <c r="H9" s="9" t="s">
        <v>37</v>
      </c>
      <c r="I9" s="9" t="s">
        <v>37</v>
      </c>
      <c r="J9" s="1"/>
      <c r="K9" s="1"/>
      <c r="L9" s="1"/>
      <c r="M9" s="1"/>
      <c r="N9" s="1"/>
      <c r="O9" s="1"/>
      <c r="P9" s="1"/>
      <c r="Q9" s="1"/>
      <c r="R9" s="1"/>
      <c r="S9" s="1"/>
      <c r="T9" s="1"/>
      <c r="U9" s="1"/>
      <c r="V9" s="1"/>
      <c r="W9" s="1"/>
      <c r="X9" s="1"/>
      <c r="Y9" s="1"/>
      <c r="Z9" s="1"/>
    </row>
    <row r="10">
      <c r="A10" s="1"/>
      <c r="B10" s="1"/>
      <c r="C10" s="13"/>
      <c r="D10" s="1"/>
      <c r="E10" s="13"/>
      <c r="F10" s="1"/>
      <c r="G10" s="1"/>
      <c r="H10" s="1"/>
      <c r="I10" s="1"/>
      <c r="J10" s="1"/>
      <c r="K10" s="1"/>
      <c r="L10" s="1"/>
      <c r="M10" s="1"/>
      <c r="N10" s="1"/>
      <c r="O10" s="1"/>
      <c r="P10" s="1"/>
      <c r="Q10" s="1"/>
      <c r="R10" s="1"/>
      <c r="S10" s="1"/>
      <c r="T10" s="1"/>
      <c r="U10" s="1"/>
      <c r="V10" s="1"/>
      <c r="W10" s="1"/>
      <c r="X10" s="1"/>
      <c r="Y10" s="1"/>
      <c r="Z10" s="1"/>
    </row>
    <row r="11">
      <c r="A11" s="1"/>
      <c r="B11" s="1"/>
      <c r="C11" s="13"/>
      <c r="D11" s="1"/>
      <c r="E11" s="13"/>
      <c r="F11" s="1"/>
      <c r="G11" s="1"/>
      <c r="H11" s="1"/>
      <c r="I11" s="1"/>
      <c r="J11" s="1"/>
      <c r="K11" s="1"/>
      <c r="L11" s="1"/>
      <c r="M11" s="1"/>
      <c r="N11" s="1"/>
      <c r="O11" s="1"/>
      <c r="P11" s="1"/>
      <c r="Q11" s="1"/>
      <c r="R11" s="1"/>
      <c r="S11" s="1"/>
      <c r="T11" s="1"/>
      <c r="U11" s="1"/>
      <c r="V11" s="1"/>
      <c r="W11" s="1"/>
      <c r="X11" s="1"/>
      <c r="Y11" s="1"/>
      <c r="Z11" s="1"/>
    </row>
    <row r="12">
      <c r="A12" s="1"/>
      <c r="B12" s="1"/>
      <c r="C12" s="13"/>
      <c r="D12" s="1"/>
      <c r="E12" s="13"/>
      <c r="F12" s="1"/>
      <c r="G12" s="1"/>
      <c r="H12" s="1"/>
      <c r="I12" s="1"/>
      <c r="J12" s="1"/>
      <c r="K12" s="1"/>
      <c r="L12" s="1"/>
      <c r="M12" s="1"/>
      <c r="N12" s="1"/>
      <c r="O12" s="1"/>
      <c r="P12" s="1"/>
      <c r="Q12" s="1"/>
      <c r="R12" s="1"/>
      <c r="S12" s="1"/>
      <c r="T12" s="1"/>
      <c r="U12" s="1"/>
      <c r="V12" s="1"/>
      <c r="W12" s="1"/>
      <c r="X12" s="1"/>
      <c r="Y12" s="1"/>
      <c r="Z12" s="1"/>
    </row>
    <row r="13">
      <c r="A13" s="1"/>
      <c r="B13" s="1"/>
      <c r="C13" s="13"/>
      <c r="D13" s="1"/>
      <c r="E13" s="1"/>
      <c r="F13" s="1"/>
      <c r="G13" s="1"/>
      <c r="H13" s="1"/>
      <c r="I13" s="1"/>
      <c r="J13" s="1"/>
      <c r="K13" s="1"/>
      <c r="L13" s="1"/>
      <c r="M13" s="1"/>
      <c r="N13" s="1"/>
      <c r="O13" s="1"/>
      <c r="P13" s="1"/>
      <c r="Q13" s="1"/>
      <c r="R13" s="1"/>
      <c r="S13" s="1"/>
      <c r="T13" s="1"/>
      <c r="U13" s="1"/>
      <c r="V13" s="1"/>
      <c r="W13" s="1"/>
      <c r="X13" s="1"/>
      <c r="Y13" s="1"/>
      <c r="Z13" s="1"/>
    </row>
    <row r="14">
      <c r="A14" s="1"/>
      <c r="B14" s="1"/>
      <c r="C14" s="13"/>
      <c r="D14" s="13"/>
      <c r="E14" s="13"/>
      <c r="F14" s="13"/>
      <c r="G14" s="13"/>
      <c r="H14" s="13"/>
      <c r="I14" s="13"/>
      <c r="J14" s="13"/>
      <c r="K14" s="13"/>
      <c r="L14" s="13"/>
      <c r="M14" s="13"/>
      <c r="N14" s="13"/>
      <c r="O14" s="13"/>
      <c r="P14" s="13"/>
      <c r="Q14" s="13"/>
      <c r="R14" s="1"/>
      <c r="S14" s="1"/>
      <c r="T14" s="1"/>
      <c r="U14" s="1"/>
      <c r="V14" s="1"/>
      <c r="W14" s="1"/>
      <c r="X14" s="1"/>
      <c r="Y14" s="1"/>
      <c r="Z14" s="1"/>
    </row>
    <row r="15">
      <c r="A15" s="1"/>
      <c r="B15" s="1"/>
      <c r="C15" s="13"/>
      <c r="D15" s="1"/>
      <c r="E15" s="1"/>
      <c r="F15" s="1"/>
      <c r="G15" s="1"/>
      <c r="H15" s="1"/>
      <c r="I15" s="1"/>
      <c r="J15" s="1"/>
      <c r="K15" s="1"/>
      <c r="L15" s="1"/>
      <c r="M15" s="1"/>
      <c r="N15" s="1"/>
      <c r="O15" s="1"/>
      <c r="P15" s="1"/>
      <c r="Q15" s="1"/>
      <c r="R15" s="1"/>
      <c r="S15" s="1"/>
      <c r="T15" s="1"/>
      <c r="U15" s="1"/>
      <c r="V15" s="1"/>
      <c r="W15" s="1"/>
      <c r="X15" s="1"/>
      <c r="Y15" s="1"/>
      <c r="Z15" s="1"/>
    </row>
    <row r="16">
      <c r="A16" s="1"/>
      <c r="B16" s="1"/>
      <c r="C16" s="13"/>
      <c r="D16" s="1"/>
      <c r="E16" s="1"/>
      <c r="F16" s="1"/>
      <c r="G16" s="1"/>
      <c r="H16" s="1"/>
      <c r="I16" s="1"/>
      <c r="J16" s="1"/>
      <c r="K16" s="1"/>
      <c r="L16" s="1"/>
      <c r="M16" s="1"/>
      <c r="N16" s="1"/>
      <c r="O16" s="1"/>
      <c r="P16" s="1"/>
      <c r="Q16" s="1"/>
      <c r="R16" s="1"/>
      <c r="S16" s="1"/>
      <c r="T16" s="1"/>
      <c r="U16" s="1"/>
      <c r="V16" s="1"/>
      <c r="W16" s="1"/>
      <c r="X16" s="1"/>
      <c r="Y16" s="1"/>
      <c r="Z16" s="1"/>
    </row>
    <row r="17">
      <c r="A17" s="1"/>
      <c r="B17" s="1"/>
      <c r="C17" s="13"/>
      <c r="D17" s="1"/>
      <c r="E17" s="1"/>
      <c r="F17" s="1"/>
      <c r="G17" s="1"/>
      <c r="H17" s="1"/>
      <c r="I17" s="1"/>
      <c r="J17" s="1"/>
      <c r="K17" s="1"/>
      <c r="L17" s="1"/>
      <c r="M17" s="1"/>
      <c r="N17" s="1"/>
      <c r="O17" s="1"/>
      <c r="P17" s="1"/>
      <c r="Q17" s="1"/>
      <c r="R17" s="1"/>
      <c r="S17" s="1"/>
      <c r="T17" s="1"/>
      <c r="U17" s="1"/>
      <c r="V17" s="1"/>
      <c r="W17" s="1"/>
      <c r="X17" s="1"/>
      <c r="Y17" s="1"/>
      <c r="Z17" s="1"/>
    </row>
    <row r="18">
      <c r="A18" s="1"/>
      <c r="B18" s="1"/>
      <c r="C18" s="1"/>
      <c r="D18" s="1"/>
      <c r="E18" s="1"/>
      <c r="F18" s="1"/>
      <c r="G18" s="1"/>
      <c r="H18" s="1"/>
      <c r="I18" s="1"/>
      <c r="J18" s="1"/>
      <c r="K18" s="1"/>
      <c r="L18" s="1"/>
      <c r="M18" s="1"/>
      <c r="N18" s="1"/>
      <c r="O18" s="1"/>
      <c r="P18" s="1"/>
      <c r="Q18" s="1"/>
      <c r="R18" s="1"/>
      <c r="S18" s="1"/>
      <c r="T18" s="1"/>
      <c r="U18" s="1"/>
      <c r="V18" s="1"/>
      <c r="W18" s="1"/>
      <c r="X18" s="1"/>
      <c r="Y18" s="1"/>
      <c r="Z18" s="1"/>
    </row>
    <row r="19">
      <c r="A19" s="1"/>
      <c r="B19" s="1"/>
      <c r="C19" s="13"/>
      <c r="D19" s="1"/>
      <c r="E19" s="1"/>
      <c r="F19" s="1"/>
      <c r="G19" s="1"/>
      <c r="H19" s="1"/>
      <c r="I19" s="1"/>
      <c r="J19" s="1"/>
      <c r="K19" s="1"/>
      <c r="L19" s="1"/>
      <c r="M19" s="1"/>
      <c r="N19" s="1"/>
      <c r="O19" s="1"/>
      <c r="P19" s="1"/>
      <c r="Q19" s="1"/>
      <c r="R19" s="1"/>
      <c r="S19" s="1"/>
      <c r="T19" s="1"/>
      <c r="U19" s="1"/>
      <c r="V19" s="1"/>
      <c r="W19" s="1"/>
      <c r="X19" s="1"/>
      <c r="Y19" s="1"/>
      <c r="Z19" s="1"/>
    </row>
    <row r="20">
      <c r="A20" s="1"/>
      <c r="B20" s="1"/>
      <c r="C20" s="13"/>
      <c r="D20" s="1"/>
      <c r="E20" s="1"/>
      <c r="F20" s="1"/>
      <c r="G20" s="1"/>
      <c r="H20" s="1"/>
      <c r="I20" s="1"/>
      <c r="J20" s="1"/>
      <c r="K20" s="1"/>
      <c r="L20" s="1"/>
      <c r="M20" s="1"/>
      <c r="N20" s="1"/>
      <c r="O20" s="1"/>
      <c r="P20" s="1"/>
      <c r="Q20" s="1"/>
      <c r="R20" s="1"/>
      <c r="S20" s="1"/>
      <c r="T20" s="1"/>
      <c r="U20" s="1"/>
      <c r="V20" s="1"/>
      <c r="W20" s="1"/>
      <c r="X20" s="1"/>
      <c r="Y20" s="1"/>
      <c r="Z20" s="1"/>
    </row>
    <row r="21">
      <c r="A21" s="1"/>
      <c r="B21" s="1"/>
      <c r="C21" s="1"/>
      <c r="D21" s="1"/>
      <c r="E21" s="1"/>
      <c r="F21" s="1"/>
      <c r="G21" s="1"/>
      <c r="H21" s="1"/>
      <c r="I21" s="1"/>
      <c r="J21" s="1"/>
      <c r="K21" s="1"/>
      <c r="L21" s="1"/>
      <c r="M21" s="1"/>
      <c r="N21" s="1"/>
      <c r="O21" s="1"/>
      <c r="P21" s="1"/>
      <c r="Q21" s="1"/>
      <c r="R21" s="1"/>
      <c r="S21" s="1"/>
      <c r="T21" s="1"/>
      <c r="U21" s="1"/>
      <c r="V21" s="1"/>
      <c r="W21" s="1"/>
      <c r="X21" s="1"/>
      <c r="Y21" s="1"/>
      <c r="Z21" s="1"/>
    </row>
    <row r="22">
      <c r="A22" s="1"/>
      <c r="B22" s="1"/>
      <c r="C22" s="13"/>
      <c r="D22" s="1"/>
      <c r="E22" s="1"/>
      <c r="F22" s="1"/>
      <c r="G22" s="1"/>
      <c r="H22" s="1"/>
      <c r="I22" s="1"/>
      <c r="J22" s="1"/>
      <c r="K22" s="1"/>
      <c r="L22" s="1"/>
      <c r="M22" s="1"/>
      <c r="N22" s="1"/>
      <c r="O22" s="1"/>
      <c r="P22" s="1"/>
      <c r="Q22" s="1"/>
      <c r="R22" s="1"/>
      <c r="S22" s="1"/>
      <c r="T22" s="1"/>
      <c r="U22" s="1"/>
      <c r="V22" s="1"/>
      <c r="W22" s="1"/>
      <c r="X22" s="1"/>
      <c r="Y22" s="1"/>
      <c r="Z22" s="1"/>
    </row>
    <row r="23">
      <c r="A23" s="1"/>
      <c r="B23" s="1"/>
      <c r="C23" s="1"/>
      <c r="D23" s="1"/>
      <c r="E23" s="1"/>
      <c r="F23" s="1"/>
      <c r="G23" s="1"/>
      <c r="H23" s="1"/>
      <c r="I23" s="1"/>
      <c r="J23" s="1"/>
      <c r="K23" s="1"/>
      <c r="L23" s="1"/>
      <c r="M23" s="1"/>
      <c r="N23" s="1"/>
      <c r="O23" s="1"/>
      <c r="P23" s="1"/>
      <c r="Q23" s="1"/>
      <c r="R23" s="1"/>
      <c r="S23" s="1"/>
      <c r="T23" s="1"/>
      <c r="U23" s="1"/>
      <c r="V23" s="1"/>
      <c r="W23" s="1"/>
      <c r="X23" s="1"/>
      <c r="Y23" s="1"/>
      <c r="Z23" s="1"/>
    </row>
    <row r="24">
      <c r="A24" s="1"/>
      <c r="B24" s="1"/>
      <c r="C24" s="1"/>
      <c r="D24" s="1"/>
      <c r="E24" s="1"/>
      <c r="F24" s="1"/>
      <c r="G24" s="1"/>
      <c r="H24" s="1"/>
      <c r="I24" s="1"/>
      <c r="J24" s="1"/>
      <c r="K24" s="1"/>
      <c r="L24" s="1"/>
      <c r="M24" s="1"/>
      <c r="N24" s="1"/>
      <c r="O24" s="1"/>
      <c r="P24" s="1"/>
      <c r="Q24" s="1"/>
      <c r="R24" s="1"/>
      <c r="S24" s="1"/>
      <c r="T24" s="1"/>
      <c r="U24" s="1"/>
      <c r="V24" s="1"/>
      <c r="W24" s="1"/>
      <c r="X24" s="1"/>
      <c r="Y24" s="1"/>
      <c r="Z24" s="1"/>
    </row>
    <row r="25">
      <c r="A25" s="1"/>
      <c r="B25" s="1"/>
      <c r="C25" s="1"/>
      <c r="D25" s="1"/>
      <c r="E25" s="1"/>
      <c r="F25" s="1"/>
      <c r="G25" s="1"/>
      <c r="H25" s="1"/>
      <c r="I25" s="1"/>
      <c r="J25" s="1"/>
      <c r="K25" s="1"/>
      <c r="L25" s="1"/>
      <c r="M25" s="1"/>
      <c r="N25" s="1"/>
      <c r="O25" s="1"/>
      <c r="P25" s="1"/>
      <c r="Q25" s="1"/>
      <c r="R25" s="1"/>
      <c r="S25" s="1"/>
      <c r="T25" s="1"/>
      <c r="U25" s="1"/>
      <c r="V25" s="1"/>
      <c r="W25" s="1"/>
      <c r="X25" s="1"/>
      <c r="Y25" s="1"/>
      <c r="Z25" s="1"/>
    </row>
    <row r="26">
      <c r="A26" s="1"/>
      <c r="B26" s="1"/>
      <c r="C26" s="1"/>
      <c r="D26" s="1"/>
      <c r="E26" s="1"/>
      <c r="F26" s="1"/>
      <c r="G26" s="1"/>
      <c r="H26" s="1"/>
      <c r="I26" s="1"/>
      <c r="J26" s="1"/>
      <c r="K26" s="1"/>
      <c r="L26" s="1"/>
      <c r="M26" s="1"/>
      <c r="N26" s="1"/>
      <c r="O26" s="1"/>
      <c r="P26" s="1"/>
      <c r="Q26" s="1"/>
      <c r="R26" s="1"/>
      <c r="S26" s="1"/>
      <c r="T26" s="1"/>
      <c r="U26" s="1"/>
      <c r="V26" s="1"/>
      <c r="W26" s="1"/>
      <c r="X26" s="1"/>
      <c r="Y26" s="1"/>
      <c r="Z26" s="1"/>
    </row>
    <row r="27">
      <c r="A27" s="1"/>
      <c r="B27" s="1"/>
      <c r="C27" s="1"/>
      <c r="D27" s="1"/>
      <c r="E27" s="1"/>
      <c r="F27" s="1"/>
      <c r="G27" s="1"/>
      <c r="H27" s="1"/>
      <c r="I27" s="1"/>
      <c r="J27" s="1"/>
      <c r="K27" s="1"/>
      <c r="L27" s="1"/>
      <c r="M27" s="1"/>
      <c r="N27" s="1"/>
      <c r="O27" s="1"/>
      <c r="P27" s="1"/>
      <c r="Q27" s="1"/>
      <c r="R27" s="1"/>
      <c r="S27" s="1"/>
      <c r="T27" s="1"/>
      <c r="U27" s="1"/>
      <c r="V27" s="1"/>
      <c r="W27" s="1"/>
      <c r="X27" s="1"/>
      <c r="Y27" s="1"/>
      <c r="Z27" s="1"/>
    </row>
    <row r="28">
      <c r="A28" s="1"/>
      <c r="B28" s="1"/>
      <c r="C28" s="1"/>
      <c r="D28" s="1"/>
      <c r="E28" s="1"/>
      <c r="F28" s="1"/>
      <c r="G28" s="1"/>
      <c r="H28" s="1"/>
      <c r="I28" s="1"/>
      <c r="J28" s="1"/>
      <c r="K28" s="1"/>
      <c r="L28" s="1"/>
      <c r="M28" s="1"/>
      <c r="N28" s="1"/>
      <c r="O28" s="1"/>
      <c r="P28" s="1"/>
      <c r="Q28" s="1"/>
      <c r="R28" s="1"/>
      <c r="S28" s="1"/>
      <c r="T28" s="1"/>
      <c r="U28" s="1"/>
      <c r="V28" s="1"/>
      <c r="W28" s="1"/>
      <c r="X28" s="1"/>
      <c r="Y28" s="1"/>
      <c r="Z28" s="1"/>
    </row>
    <row r="29">
      <c r="A29" s="1"/>
      <c r="B29" s="1"/>
      <c r="C29" s="1"/>
      <c r="D29" s="1"/>
      <c r="E29" s="1"/>
      <c r="F29" s="1"/>
      <c r="G29" s="1"/>
      <c r="H29" s="1"/>
      <c r="I29" s="1"/>
      <c r="J29" s="1"/>
      <c r="K29" s="1"/>
      <c r="L29" s="1"/>
      <c r="M29" s="1"/>
      <c r="N29" s="1"/>
      <c r="O29" s="1"/>
      <c r="P29" s="1"/>
      <c r="Q29" s="1"/>
      <c r="R29" s="1"/>
      <c r="S29" s="1"/>
      <c r="T29" s="1"/>
      <c r="U29" s="1"/>
      <c r="V29" s="1"/>
      <c r="W29" s="1"/>
      <c r="X29" s="1"/>
      <c r="Y29" s="1"/>
      <c r="Z29" s="1"/>
    </row>
    <row r="30">
      <c r="A30" s="1"/>
      <c r="B30" s="1"/>
      <c r="C30" s="1"/>
      <c r="D30" s="1"/>
      <c r="E30" s="1"/>
      <c r="F30" s="1"/>
      <c r="G30" s="1"/>
      <c r="H30" s="1"/>
      <c r="I30" s="1"/>
      <c r="J30" s="1"/>
      <c r="K30" s="1"/>
      <c r="L30" s="1"/>
      <c r="M30" s="1"/>
      <c r="N30" s="1"/>
      <c r="O30" s="1"/>
      <c r="P30" s="1"/>
      <c r="Q30" s="1"/>
      <c r="R30" s="1"/>
      <c r="S30" s="1"/>
      <c r="T30" s="1"/>
      <c r="U30" s="1"/>
      <c r="V30" s="1"/>
      <c r="W30" s="1"/>
      <c r="X30" s="1"/>
      <c r="Y30" s="1"/>
      <c r="Z30" s="1"/>
    </row>
    <row r="31">
      <c r="A31" s="1"/>
      <c r="B31" s="1"/>
      <c r="C31" s="1"/>
      <c r="D31" s="1"/>
      <c r="E31" s="1"/>
      <c r="F31" s="1"/>
      <c r="G31" s="1"/>
      <c r="H31" s="1"/>
      <c r="I31" s="1"/>
      <c r="J31" s="1"/>
      <c r="K31" s="1"/>
      <c r="L31" s="1"/>
      <c r="M31" s="1"/>
      <c r="N31" s="1"/>
      <c r="O31" s="1"/>
      <c r="P31" s="1"/>
      <c r="Q31" s="1"/>
      <c r="R31" s="1"/>
      <c r="S31" s="1"/>
      <c r="T31" s="1"/>
      <c r="U31" s="1"/>
      <c r="V31" s="1"/>
      <c r="W31" s="1"/>
      <c r="X31" s="1"/>
      <c r="Y31" s="1"/>
      <c r="Z31" s="1"/>
    </row>
    <row r="32">
      <c r="A32" s="1"/>
      <c r="B32" s="1"/>
      <c r="C32" s="1"/>
      <c r="D32" s="1"/>
      <c r="E32" s="1"/>
      <c r="F32" s="1"/>
      <c r="G32" s="1"/>
      <c r="H32" s="1"/>
      <c r="I32" s="1"/>
      <c r="J32" s="1"/>
      <c r="K32" s="1"/>
      <c r="L32" s="1"/>
      <c r="M32" s="1"/>
      <c r="N32" s="1"/>
      <c r="O32" s="1"/>
      <c r="P32" s="1"/>
      <c r="Q32" s="1"/>
      <c r="R32" s="1"/>
      <c r="S32" s="1"/>
      <c r="T32" s="1"/>
      <c r="U32" s="1"/>
      <c r="V32" s="1"/>
      <c r="W32" s="1"/>
      <c r="X32" s="1"/>
      <c r="Y32" s="1"/>
      <c r="Z32" s="1"/>
    </row>
    <row r="33">
      <c r="A33" s="1"/>
      <c r="B33" s="1"/>
      <c r="C33" s="1"/>
      <c r="D33" s="1"/>
      <c r="E33" s="1"/>
      <c r="F33" s="1"/>
      <c r="G33" s="1"/>
      <c r="H33" s="1"/>
      <c r="I33" s="1"/>
      <c r="J33" s="1"/>
      <c r="K33" s="1"/>
      <c r="L33" s="1"/>
      <c r="M33" s="1"/>
      <c r="N33" s="1"/>
      <c r="O33" s="1"/>
      <c r="P33" s="1"/>
      <c r="Q33" s="1"/>
      <c r="R33" s="1"/>
      <c r="S33" s="1"/>
      <c r="T33" s="1"/>
      <c r="U33" s="1"/>
      <c r="V33" s="1"/>
      <c r="W33" s="1"/>
      <c r="X33" s="1"/>
      <c r="Y33" s="1"/>
      <c r="Z33" s="1"/>
    </row>
    <row r="34">
      <c r="A34" s="1"/>
      <c r="B34" s="1"/>
      <c r="C34" s="1"/>
      <c r="D34" s="1"/>
      <c r="E34" s="1"/>
      <c r="F34" s="1"/>
      <c r="G34" s="1"/>
      <c r="H34" s="1"/>
      <c r="I34" s="1"/>
      <c r="J34" s="1"/>
      <c r="K34" s="1"/>
      <c r="L34" s="1"/>
      <c r="M34" s="1"/>
      <c r="N34" s="1"/>
      <c r="O34" s="1"/>
      <c r="P34" s="1"/>
      <c r="Q34" s="1"/>
      <c r="R34" s="1"/>
      <c r="S34" s="1"/>
      <c r="T34" s="1"/>
      <c r="U34" s="1"/>
      <c r="V34" s="1"/>
      <c r="W34" s="1"/>
      <c r="X34" s="1"/>
      <c r="Y34" s="1"/>
      <c r="Z34" s="1"/>
    </row>
    <row r="35">
      <c r="A35" s="1"/>
      <c r="B35" s="1"/>
      <c r="C35" s="1"/>
      <c r="D35" s="1"/>
      <c r="E35" s="1"/>
      <c r="F35" s="1"/>
      <c r="G35" s="1"/>
      <c r="H35" s="1"/>
      <c r="I35" s="1"/>
      <c r="J35" s="1"/>
      <c r="K35" s="1"/>
      <c r="L35" s="1"/>
      <c r="M35" s="1"/>
      <c r="N35" s="1"/>
      <c r="O35" s="1"/>
      <c r="P35" s="1"/>
      <c r="Q35" s="1"/>
      <c r="R35" s="1"/>
      <c r="S35" s="1"/>
      <c r="T35" s="1"/>
      <c r="U35" s="1"/>
      <c r="V35" s="1"/>
      <c r="W35" s="1"/>
      <c r="X35" s="1"/>
      <c r="Y35" s="1"/>
      <c r="Z35" s="1"/>
    </row>
    <row r="36">
      <c r="A36" s="1"/>
      <c r="B36" s="1"/>
      <c r="C36" s="1"/>
      <c r="D36" s="1"/>
      <c r="E36" s="1"/>
      <c r="F36" s="1"/>
      <c r="G36" s="1"/>
      <c r="H36" s="1"/>
      <c r="I36" s="1"/>
      <c r="J36" s="1"/>
      <c r="K36" s="1"/>
      <c r="L36" s="1"/>
      <c r="M36" s="1"/>
      <c r="N36" s="1"/>
      <c r="O36" s="1"/>
      <c r="P36" s="1"/>
      <c r="Q36" s="1"/>
      <c r="R36" s="1"/>
      <c r="S36" s="1"/>
      <c r="T36" s="1"/>
      <c r="U36" s="1"/>
      <c r="V36" s="1"/>
      <c r="W36" s="1"/>
      <c r="X36" s="1"/>
      <c r="Y36" s="1"/>
      <c r="Z36" s="1"/>
    </row>
    <row r="37">
      <c r="A37" s="1"/>
      <c r="B37" s="1"/>
      <c r="C37" s="1"/>
      <c r="D37" s="1"/>
      <c r="E37" s="1"/>
      <c r="F37" s="1"/>
      <c r="G37" s="1"/>
      <c r="H37" s="1"/>
      <c r="I37" s="1"/>
      <c r="J37" s="1"/>
      <c r="K37" s="1"/>
      <c r="L37" s="1"/>
      <c r="M37" s="1"/>
      <c r="N37" s="1"/>
      <c r="O37" s="1"/>
      <c r="P37" s="1"/>
      <c r="Q37" s="1"/>
      <c r="R37" s="1"/>
      <c r="S37" s="1"/>
      <c r="T37" s="1"/>
      <c r="U37" s="1"/>
      <c r="V37" s="1"/>
      <c r="W37" s="1"/>
      <c r="X37" s="1"/>
      <c r="Y37" s="1"/>
      <c r="Z37" s="1"/>
    </row>
    <row r="38">
      <c r="A38" s="1"/>
      <c r="B38" s="1"/>
      <c r="C38" s="1"/>
      <c r="D38" s="1"/>
      <c r="E38" s="1"/>
      <c r="F38" s="1"/>
      <c r="G38" s="1"/>
      <c r="H38" s="1"/>
      <c r="I38" s="1"/>
      <c r="J38" s="1"/>
      <c r="K38" s="1"/>
      <c r="L38" s="1"/>
      <c r="M38" s="1"/>
      <c r="N38" s="1"/>
      <c r="O38" s="1"/>
      <c r="P38" s="1"/>
      <c r="Q38" s="1"/>
      <c r="R38" s="1"/>
      <c r="S38" s="1"/>
      <c r="T38" s="1"/>
      <c r="U38" s="1"/>
      <c r="V38" s="1"/>
      <c r="W38" s="1"/>
      <c r="X38" s="1"/>
      <c r="Y38" s="1"/>
      <c r="Z38" s="1"/>
    </row>
    <row r="39">
      <c r="A39" s="1"/>
      <c r="B39" s="1"/>
      <c r="C39" s="1"/>
      <c r="D39" s="1"/>
      <c r="E39" s="1"/>
      <c r="F39" s="1"/>
      <c r="G39" s="1"/>
      <c r="H39" s="1"/>
      <c r="I39" s="1"/>
      <c r="J39" s="1"/>
      <c r="K39" s="1"/>
      <c r="L39" s="1"/>
      <c r="M39" s="1"/>
      <c r="N39" s="1"/>
      <c r="O39" s="1"/>
      <c r="P39" s="1"/>
      <c r="Q39" s="1"/>
      <c r="R39" s="1"/>
      <c r="S39" s="1"/>
      <c r="T39" s="1"/>
      <c r="U39" s="1"/>
      <c r="V39" s="1"/>
      <c r="W39" s="1"/>
      <c r="X39" s="1"/>
      <c r="Y39" s="1"/>
      <c r="Z39" s="1"/>
    </row>
    <row r="40">
      <c r="A40" s="1"/>
      <c r="B40" s="1"/>
      <c r="C40" s="1"/>
      <c r="D40" s="1"/>
      <c r="E40" s="1"/>
      <c r="F40" s="1"/>
      <c r="G40" s="1"/>
      <c r="H40" s="1"/>
      <c r="I40" s="1"/>
      <c r="J40" s="1"/>
      <c r="K40" s="1"/>
      <c r="L40" s="1"/>
      <c r="M40" s="1"/>
      <c r="N40" s="1"/>
      <c r="O40" s="1"/>
      <c r="P40" s="1"/>
      <c r="Q40" s="1"/>
      <c r="R40" s="1"/>
      <c r="S40" s="1"/>
      <c r="T40" s="1"/>
      <c r="U40" s="1"/>
      <c r="V40" s="1"/>
      <c r="W40" s="1"/>
      <c r="X40" s="1"/>
      <c r="Y40" s="1"/>
      <c r="Z40" s="1"/>
    </row>
    <row r="41">
      <c r="A41" s="1"/>
      <c r="B41" s="1"/>
      <c r="C41" s="1"/>
      <c r="D41" s="1"/>
      <c r="E41" s="1"/>
      <c r="F41" s="1"/>
      <c r="G41" s="1"/>
      <c r="H41" s="1"/>
      <c r="I41" s="1"/>
      <c r="J41" s="1"/>
      <c r="K41" s="1"/>
      <c r="L41" s="1"/>
      <c r="M41" s="1"/>
      <c r="N41" s="1"/>
      <c r="O41" s="1"/>
      <c r="P41" s="1"/>
      <c r="Q41" s="1"/>
      <c r="R41" s="1"/>
      <c r="S41" s="1"/>
      <c r="T41" s="1"/>
      <c r="U41" s="1"/>
      <c r="V41" s="1"/>
      <c r="W41" s="1"/>
      <c r="X41" s="1"/>
      <c r="Y41" s="1"/>
      <c r="Z41" s="1"/>
    </row>
    <row r="42">
      <c r="A42" s="1"/>
      <c r="B42" s="1"/>
      <c r="C42" s="1"/>
      <c r="D42" s="1"/>
      <c r="E42" s="1"/>
      <c r="F42" s="1"/>
      <c r="G42" s="1"/>
      <c r="H42" s="1"/>
      <c r="I42" s="1"/>
      <c r="J42" s="1"/>
      <c r="K42" s="1"/>
      <c r="L42" s="1"/>
      <c r="M42" s="1"/>
      <c r="N42" s="1"/>
      <c r="O42" s="1"/>
      <c r="P42" s="1"/>
      <c r="Q42" s="1"/>
      <c r="R42" s="1"/>
      <c r="S42" s="1"/>
      <c r="T42" s="1"/>
      <c r="U42" s="1"/>
      <c r="V42" s="1"/>
      <c r="W42" s="1"/>
      <c r="X42" s="1"/>
      <c r="Y42" s="1"/>
      <c r="Z42" s="1"/>
    </row>
    <row r="43">
      <c r="A43" s="1"/>
      <c r="B43" s="1"/>
      <c r="C43" s="1"/>
      <c r="D43" s="1"/>
      <c r="E43" s="1"/>
      <c r="F43" s="1"/>
      <c r="G43" s="1"/>
      <c r="H43" s="1"/>
      <c r="I43" s="1"/>
      <c r="J43" s="1"/>
      <c r="K43" s="1"/>
      <c r="L43" s="1"/>
      <c r="M43" s="1"/>
      <c r="N43" s="1"/>
      <c r="O43" s="1"/>
      <c r="P43" s="1"/>
      <c r="Q43" s="1"/>
      <c r="R43" s="1"/>
      <c r="S43" s="1"/>
      <c r="T43" s="1"/>
      <c r="U43" s="1"/>
      <c r="V43" s="1"/>
      <c r="W43" s="1"/>
      <c r="X43" s="1"/>
      <c r="Y43" s="1"/>
      <c r="Z43" s="1"/>
    </row>
    <row r="44">
      <c r="A44" s="1"/>
      <c r="B44" s="1"/>
      <c r="C44" s="1"/>
      <c r="D44" s="1"/>
      <c r="E44" s="1"/>
      <c r="F44" s="1"/>
      <c r="G44" s="1"/>
      <c r="H44" s="1"/>
      <c r="I44" s="1"/>
      <c r="J44" s="1"/>
      <c r="K44" s="1"/>
      <c r="L44" s="1"/>
      <c r="M44" s="1"/>
      <c r="N44" s="1"/>
      <c r="O44" s="1"/>
      <c r="P44" s="1"/>
      <c r="Q44" s="1"/>
      <c r="R44" s="1"/>
      <c r="S44" s="1"/>
      <c r="T44" s="1"/>
      <c r="U44" s="1"/>
      <c r="V44" s="1"/>
      <c r="W44" s="1"/>
      <c r="X44" s="1"/>
      <c r="Y44" s="1"/>
      <c r="Z44" s="1"/>
    </row>
    <row r="45">
      <c r="A45" s="1"/>
      <c r="B45" s="1"/>
      <c r="C45" s="1"/>
      <c r="D45" s="1"/>
      <c r="E45" s="1"/>
      <c r="F45" s="1"/>
      <c r="G45" s="1"/>
      <c r="H45" s="1"/>
      <c r="I45" s="1"/>
      <c r="J45" s="1"/>
      <c r="K45" s="1"/>
      <c r="L45" s="1"/>
      <c r="M45" s="1"/>
      <c r="N45" s="1"/>
      <c r="O45" s="1"/>
      <c r="P45" s="1"/>
      <c r="Q45" s="1"/>
      <c r="R45" s="1"/>
      <c r="S45" s="1"/>
      <c r="T45" s="1"/>
      <c r="U45" s="1"/>
      <c r="V45" s="1"/>
      <c r="W45" s="1"/>
      <c r="X45" s="1"/>
      <c r="Y45" s="1"/>
      <c r="Z45" s="1"/>
    </row>
    <row r="46">
      <c r="A46" s="1"/>
      <c r="B46" s="1"/>
      <c r="C46" s="1"/>
      <c r="D46" s="1"/>
      <c r="E46" s="1"/>
      <c r="F46" s="1"/>
      <c r="G46" s="1"/>
      <c r="H46" s="1"/>
      <c r="I46" s="1"/>
      <c r="J46" s="1"/>
      <c r="K46" s="1"/>
      <c r="L46" s="1"/>
      <c r="M46" s="1"/>
      <c r="N46" s="1"/>
      <c r="O46" s="1"/>
      <c r="P46" s="1"/>
      <c r="Q46" s="1"/>
      <c r="R46" s="1"/>
      <c r="S46" s="1"/>
      <c r="T46" s="1"/>
      <c r="U46" s="1"/>
      <c r="V46" s="1"/>
      <c r="W46" s="1"/>
      <c r="X46" s="1"/>
      <c r="Y46" s="1"/>
      <c r="Z46" s="1"/>
    </row>
    <row r="47">
      <c r="A47" s="1"/>
      <c r="B47" s="1"/>
      <c r="C47" s="1"/>
      <c r="D47" s="1"/>
      <c r="E47" s="1"/>
      <c r="F47" s="1"/>
      <c r="G47" s="1"/>
      <c r="H47" s="1"/>
      <c r="I47" s="1"/>
      <c r="J47" s="1"/>
      <c r="K47" s="1"/>
      <c r="L47" s="1"/>
      <c r="M47" s="1"/>
      <c r="N47" s="1"/>
      <c r="O47" s="1"/>
      <c r="P47" s="1"/>
      <c r="Q47" s="1"/>
      <c r="R47" s="1"/>
      <c r="S47" s="1"/>
      <c r="T47" s="1"/>
      <c r="U47" s="1"/>
      <c r="V47" s="1"/>
      <c r="W47" s="1"/>
      <c r="X47" s="1"/>
      <c r="Y47" s="1"/>
      <c r="Z47" s="1"/>
    </row>
    <row r="48">
      <c r="A48" s="1"/>
      <c r="B48" s="1"/>
      <c r="C48" s="1"/>
      <c r="D48" s="1"/>
      <c r="E48" s="1"/>
      <c r="F48" s="1"/>
      <c r="G48" s="1"/>
      <c r="H48" s="1"/>
      <c r="I48" s="1"/>
      <c r="J48" s="1"/>
      <c r="K48" s="1"/>
      <c r="L48" s="1"/>
      <c r="M48" s="1"/>
      <c r="N48" s="1"/>
      <c r="O48" s="1"/>
      <c r="P48" s="1"/>
      <c r="Q48" s="1"/>
      <c r="R48" s="1"/>
      <c r="S48" s="1"/>
      <c r="T48" s="1"/>
      <c r="U48" s="1"/>
      <c r="V48" s="1"/>
      <c r="W48" s="1"/>
      <c r="X48" s="1"/>
      <c r="Y48" s="1"/>
      <c r="Z48" s="1"/>
    </row>
    <row r="49">
      <c r="A49" s="1"/>
      <c r="B49" s="1"/>
      <c r="C49" s="1"/>
      <c r="D49" s="1"/>
      <c r="E49" s="1"/>
      <c r="F49" s="1"/>
      <c r="G49" s="1"/>
      <c r="H49" s="1"/>
      <c r="I49" s="1"/>
      <c r="J49" s="1"/>
      <c r="K49" s="1"/>
      <c r="L49" s="1"/>
      <c r="M49" s="1"/>
      <c r="N49" s="1"/>
      <c r="O49" s="1"/>
      <c r="P49" s="1"/>
      <c r="Q49" s="1"/>
      <c r="R49" s="1"/>
      <c r="S49" s="1"/>
      <c r="T49" s="1"/>
      <c r="U49" s="1"/>
      <c r="V49" s="1"/>
      <c r="W49" s="1"/>
      <c r="X49" s="1"/>
      <c r="Y49" s="1"/>
      <c r="Z49" s="1"/>
    </row>
    <row r="50">
      <c r="A50" s="1"/>
      <c r="B50" s="1"/>
      <c r="C50" s="1"/>
      <c r="D50" s="1"/>
      <c r="E50" s="1"/>
      <c r="F50" s="1"/>
      <c r="G50" s="1"/>
      <c r="H50" s="1"/>
      <c r="I50" s="1"/>
      <c r="J50" s="1"/>
      <c r="K50" s="1"/>
      <c r="L50" s="1"/>
      <c r="M50" s="1"/>
      <c r="N50" s="1"/>
      <c r="O50" s="1"/>
      <c r="P50" s="1"/>
      <c r="Q50" s="1"/>
      <c r="R50" s="1"/>
      <c r="S50" s="1"/>
      <c r="T50" s="1"/>
      <c r="U50" s="1"/>
      <c r="V50" s="1"/>
      <c r="W50" s="1"/>
      <c r="X50" s="1"/>
      <c r="Y50" s="1"/>
      <c r="Z50" s="1"/>
    </row>
    <row r="51">
      <c r="A51" s="1"/>
      <c r="B51" s="1"/>
      <c r="C51" s="1"/>
      <c r="D51" s="1"/>
      <c r="E51" s="1"/>
      <c r="F51" s="1"/>
      <c r="G51" s="1"/>
      <c r="H51" s="1"/>
      <c r="I51" s="1"/>
      <c r="J51" s="1"/>
      <c r="K51" s="1"/>
      <c r="L51" s="1"/>
      <c r="M51" s="1"/>
      <c r="N51" s="1"/>
      <c r="O51" s="1"/>
      <c r="P51" s="1"/>
      <c r="Q51" s="1"/>
      <c r="R51" s="1"/>
      <c r="S51" s="1"/>
      <c r="T51" s="1"/>
      <c r="U51" s="1"/>
      <c r="V51" s="1"/>
      <c r="W51" s="1"/>
      <c r="X51" s="1"/>
      <c r="Y51" s="1"/>
      <c r="Z51" s="1"/>
    </row>
    <row r="52">
      <c r="A52" s="1"/>
      <c r="B52" s="1"/>
      <c r="C52" s="1"/>
      <c r="D52" s="1"/>
      <c r="E52" s="1"/>
      <c r="F52" s="1"/>
      <c r="G52" s="1"/>
      <c r="H52" s="1"/>
      <c r="I52" s="1"/>
      <c r="J52" s="1"/>
      <c r="K52" s="1"/>
      <c r="L52" s="1"/>
      <c r="M52" s="1"/>
      <c r="N52" s="1"/>
      <c r="O52" s="1"/>
      <c r="P52" s="1"/>
      <c r="Q52" s="1"/>
      <c r="R52" s="1"/>
      <c r="S52" s="1"/>
      <c r="T52" s="1"/>
      <c r="U52" s="1"/>
      <c r="V52" s="1"/>
      <c r="W52" s="1"/>
      <c r="X52" s="1"/>
      <c r="Y52" s="1"/>
      <c r="Z52" s="1"/>
    </row>
    <row r="53">
      <c r="A53" s="1"/>
      <c r="B53" s="1"/>
      <c r="C53" s="1"/>
      <c r="D53" s="1"/>
      <c r="E53" s="1"/>
      <c r="F53" s="1"/>
      <c r="G53" s="1"/>
      <c r="H53" s="1"/>
      <c r="I53" s="1"/>
      <c r="J53" s="1"/>
      <c r="K53" s="1"/>
      <c r="L53" s="1"/>
      <c r="M53" s="1"/>
      <c r="N53" s="1"/>
      <c r="O53" s="1"/>
      <c r="P53" s="1"/>
      <c r="Q53" s="1"/>
      <c r="R53" s="1"/>
      <c r="S53" s="1"/>
      <c r="T53" s="1"/>
      <c r="U53" s="1"/>
      <c r="V53" s="1"/>
      <c r="W53" s="1"/>
      <c r="X53" s="1"/>
      <c r="Y53" s="1"/>
      <c r="Z53" s="1"/>
    </row>
    <row r="54">
      <c r="A54" s="1"/>
      <c r="B54" s="1"/>
      <c r="C54" s="1"/>
      <c r="D54" s="1"/>
      <c r="E54" s="1"/>
      <c r="F54" s="1"/>
      <c r="G54" s="1"/>
      <c r="H54" s="1"/>
      <c r="I54" s="1"/>
      <c r="J54" s="1"/>
      <c r="K54" s="1"/>
      <c r="L54" s="1"/>
      <c r="M54" s="1"/>
      <c r="N54" s="1"/>
      <c r="O54" s="1"/>
      <c r="P54" s="1"/>
      <c r="Q54" s="1"/>
      <c r="R54" s="1"/>
      <c r="S54" s="1"/>
      <c r="T54" s="1"/>
      <c r="U54" s="1"/>
      <c r="V54" s="1"/>
      <c r="W54" s="1"/>
      <c r="X54" s="1"/>
      <c r="Y54" s="1"/>
      <c r="Z54" s="1"/>
    </row>
    <row r="55">
      <c r="A55" s="1"/>
      <c r="B55" s="1"/>
      <c r="C55" s="1"/>
      <c r="D55" s="1"/>
      <c r="E55" s="1"/>
      <c r="F55" s="1"/>
      <c r="G55" s="1"/>
      <c r="H55" s="1"/>
      <c r="I55" s="1"/>
      <c r="J55" s="1"/>
      <c r="K55" s="1"/>
      <c r="L55" s="1"/>
      <c r="M55" s="1"/>
      <c r="N55" s="1"/>
      <c r="O55" s="1"/>
      <c r="P55" s="1"/>
      <c r="Q55" s="1"/>
      <c r="R55" s="1"/>
      <c r="S55" s="1"/>
      <c r="T55" s="1"/>
      <c r="U55" s="1"/>
      <c r="V55" s="1"/>
      <c r="W55" s="1"/>
      <c r="X55" s="1"/>
      <c r="Y55" s="1"/>
      <c r="Z55" s="1"/>
    </row>
    <row r="56">
      <c r="A56" s="1"/>
      <c r="B56" s="1"/>
      <c r="C56" s="1"/>
      <c r="D56" s="1"/>
      <c r="E56" s="1"/>
      <c r="F56" s="1"/>
      <c r="G56" s="1"/>
      <c r="H56" s="1"/>
      <c r="I56" s="1"/>
      <c r="J56" s="1"/>
      <c r="K56" s="1"/>
      <c r="L56" s="1"/>
      <c r="M56" s="1"/>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1"/>
      <c r="K62" s="1"/>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A68" s="1"/>
      <c r="B68" s="1"/>
      <c r="C68" s="1"/>
      <c r="D68" s="1"/>
      <c r="E68" s="1"/>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1"/>
      <c r="M79" s="1"/>
      <c r="N79" s="1"/>
      <c r="O79" s="1"/>
      <c r="P79" s="1"/>
      <c r="Q79" s="1"/>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sheetData>
  <mergeCells count="1">
    <mergeCell ref="C2:I2"/>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4" t="s">
        <v>38</v>
      </c>
      <c r="B1" s="14" t="s">
        <v>39</v>
      </c>
      <c r="C1" s="14" t="s">
        <v>40</v>
      </c>
      <c r="D1" s="14" t="s">
        <v>41</v>
      </c>
      <c r="E1" s="14" t="s">
        <v>42</v>
      </c>
      <c r="F1" s="14" t="s">
        <v>43</v>
      </c>
      <c r="G1" s="14" t="s">
        <v>44</v>
      </c>
      <c r="H1" s="14" t="s">
        <v>45</v>
      </c>
      <c r="I1" s="14" t="s">
        <v>46</v>
      </c>
      <c r="J1" s="14" t="s">
        <v>47</v>
      </c>
      <c r="K1" s="14" t="s">
        <v>48</v>
      </c>
      <c r="L1" s="15"/>
      <c r="M1" s="15"/>
      <c r="N1" s="15"/>
      <c r="O1" s="15"/>
      <c r="P1" s="15"/>
      <c r="Q1" s="15"/>
      <c r="R1" s="15"/>
      <c r="S1" s="15"/>
      <c r="T1" s="15"/>
      <c r="U1" s="15"/>
      <c r="V1" s="15"/>
      <c r="W1" s="15"/>
      <c r="X1" s="15"/>
      <c r="Y1" s="15"/>
      <c r="Z1" s="15"/>
    </row>
    <row r="2">
      <c r="A2" s="16" t="s">
        <v>49</v>
      </c>
      <c r="B2" s="16" t="s">
        <v>50</v>
      </c>
      <c r="C2" s="16" t="s">
        <v>51</v>
      </c>
      <c r="D2" s="16">
        <v>1992.0</v>
      </c>
      <c r="E2" s="16">
        <v>0.7</v>
      </c>
      <c r="F2" s="16" t="s">
        <v>52</v>
      </c>
      <c r="G2" s="16" t="s">
        <v>53</v>
      </c>
      <c r="H2" s="16">
        <v>115.6981132</v>
      </c>
      <c r="I2" s="16">
        <v>57.41710676</v>
      </c>
      <c r="J2" s="16">
        <v>16.67263437</v>
      </c>
      <c r="K2" s="16" t="s">
        <v>54</v>
      </c>
      <c r="L2" s="15"/>
      <c r="M2" s="15"/>
      <c r="N2" s="15"/>
      <c r="O2" s="15"/>
      <c r="P2" s="15"/>
      <c r="Q2" s="15"/>
      <c r="R2" s="15"/>
      <c r="S2" s="15"/>
      <c r="T2" s="15"/>
      <c r="U2" s="15"/>
      <c r="V2" s="15"/>
      <c r="W2" s="15"/>
      <c r="X2" s="15"/>
      <c r="Y2" s="15"/>
      <c r="Z2" s="15"/>
    </row>
    <row r="3">
      <c r="A3" s="16" t="s">
        <v>55</v>
      </c>
      <c r="B3" s="16" t="s">
        <v>56</v>
      </c>
      <c r="C3" s="16" t="s">
        <v>57</v>
      </c>
      <c r="D3" s="16">
        <v>2011.0</v>
      </c>
      <c r="E3" s="16">
        <v>0.6</v>
      </c>
      <c r="F3" s="16" t="s">
        <v>52</v>
      </c>
      <c r="G3" s="16" t="s">
        <v>53</v>
      </c>
      <c r="H3" s="16">
        <v>99.16981132</v>
      </c>
      <c r="I3" s="16">
        <v>53.54591627</v>
      </c>
      <c r="J3" s="16">
        <v>10.00251676</v>
      </c>
      <c r="K3" s="16" t="s">
        <v>54</v>
      </c>
      <c r="L3" s="15"/>
      <c r="M3" s="15"/>
      <c r="N3" s="15"/>
      <c r="O3" s="15"/>
      <c r="P3" s="15"/>
      <c r="Q3" s="15"/>
      <c r="R3" s="15"/>
      <c r="S3" s="15"/>
      <c r="T3" s="15"/>
      <c r="U3" s="15"/>
      <c r="V3" s="15"/>
      <c r="W3" s="15"/>
      <c r="X3" s="15"/>
      <c r="Y3" s="15"/>
      <c r="Z3" s="15"/>
    </row>
    <row r="4">
      <c r="A4" s="16" t="s">
        <v>58</v>
      </c>
      <c r="B4" s="16" t="s">
        <v>59</v>
      </c>
      <c r="C4" s="16" t="s">
        <v>57</v>
      </c>
      <c r="D4" s="16">
        <v>2011.0</v>
      </c>
      <c r="E4" s="16">
        <v>0.5</v>
      </c>
      <c r="F4" s="16" t="s">
        <v>52</v>
      </c>
      <c r="G4" s="16" t="s">
        <v>60</v>
      </c>
      <c r="H4" s="16">
        <v>82.64150943</v>
      </c>
      <c r="I4" s="16">
        <v>53.3649417</v>
      </c>
      <c r="J4" s="16">
        <v>13.9684468</v>
      </c>
      <c r="K4" s="16" t="s">
        <v>54</v>
      </c>
      <c r="L4" s="15"/>
      <c r="M4" s="15"/>
      <c r="N4" s="15"/>
      <c r="O4" s="15"/>
      <c r="P4" s="15"/>
      <c r="Q4" s="15"/>
      <c r="R4" s="15"/>
      <c r="S4" s="15"/>
      <c r="T4" s="15"/>
      <c r="U4" s="15"/>
      <c r="V4" s="15"/>
      <c r="W4" s="15"/>
      <c r="X4" s="15"/>
      <c r="Y4" s="15"/>
      <c r="Z4" s="15"/>
    </row>
    <row r="5">
      <c r="A5" s="16" t="s">
        <v>61</v>
      </c>
      <c r="B5" s="16" t="s">
        <v>62</v>
      </c>
      <c r="C5" s="16" t="s">
        <v>63</v>
      </c>
      <c r="D5" s="16">
        <v>2012.0</v>
      </c>
      <c r="E5" s="16">
        <v>6.0</v>
      </c>
      <c r="F5" s="16" t="s">
        <v>52</v>
      </c>
      <c r="G5" s="16" t="s">
        <v>64</v>
      </c>
      <c r="H5" s="16">
        <v>991.6981132</v>
      </c>
      <c r="I5" s="16">
        <v>63.844239</v>
      </c>
      <c r="J5" s="16">
        <v>-22.4317498</v>
      </c>
      <c r="K5" s="16" t="s">
        <v>54</v>
      </c>
      <c r="L5" s="15"/>
      <c r="M5" s="15"/>
      <c r="N5" s="15"/>
      <c r="O5" s="15"/>
      <c r="P5" s="15"/>
      <c r="Q5" s="15"/>
      <c r="R5" s="15"/>
      <c r="S5" s="15"/>
      <c r="T5" s="15"/>
      <c r="U5" s="15"/>
      <c r="V5" s="15"/>
      <c r="W5" s="15"/>
      <c r="X5" s="15"/>
      <c r="Y5" s="15"/>
      <c r="Z5" s="15"/>
    </row>
    <row r="6">
      <c r="A6" s="16" t="s">
        <v>65</v>
      </c>
      <c r="B6" s="16" t="s">
        <v>66</v>
      </c>
      <c r="C6" s="16" t="s">
        <v>51</v>
      </c>
      <c r="D6" s="16">
        <v>2012.0</v>
      </c>
      <c r="E6" s="16">
        <v>4.0</v>
      </c>
      <c r="F6" s="16" t="s">
        <v>52</v>
      </c>
      <c r="G6" s="16" t="s">
        <v>53</v>
      </c>
      <c r="H6" s="16">
        <v>661.1320755</v>
      </c>
      <c r="I6" s="16">
        <v>60.61199171</v>
      </c>
      <c r="J6" s="16">
        <v>16.75410143</v>
      </c>
      <c r="K6" s="16" t="s">
        <v>54</v>
      </c>
      <c r="L6" s="15"/>
      <c r="M6" s="15"/>
      <c r="N6" s="15"/>
      <c r="O6" s="15"/>
      <c r="P6" s="15"/>
      <c r="Q6" s="15"/>
      <c r="R6" s="15"/>
      <c r="S6" s="15"/>
      <c r="T6" s="15"/>
      <c r="U6" s="15"/>
      <c r="V6" s="15"/>
      <c r="W6" s="15"/>
      <c r="X6" s="15"/>
      <c r="Y6" s="15"/>
      <c r="Z6" s="15"/>
    </row>
    <row r="7">
      <c r="A7" s="16" t="s">
        <v>67</v>
      </c>
      <c r="B7" s="16" t="s">
        <v>68</v>
      </c>
      <c r="C7" s="16" t="s">
        <v>57</v>
      </c>
      <c r="D7" s="16">
        <v>2013.0</v>
      </c>
      <c r="E7" s="16">
        <v>6.3</v>
      </c>
      <c r="F7" s="16" t="s">
        <v>52</v>
      </c>
      <c r="G7" s="16" t="s">
        <v>69</v>
      </c>
      <c r="H7" s="16">
        <v>1041.283019</v>
      </c>
      <c r="I7" s="16">
        <v>52.8518701</v>
      </c>
      <c r="J7" s="16">
        <v>7.6764179</v>
      </c>
      <c r="K7" s="16" t="s">
        <v>54</v>
      </c>
      <c r="L7" s="15"/>
      <c r="M7" s="15"/>
      <c r="N7" s="15"/>
      <c r="O7" s="15"/>
      <c r="P7" s="15"/>
      <c r="Q7" s="15"/>
      <c r="R7" s="15"/>
      <c r="S7" s="15"/>
      <c r="T7" s="15"/>
      <c r="U7" s="15"/>
      <c r="V7" s="15"/>
      <c r="W7" s="15"/>
      <c r="X7" s="15"/>
      <c r="Y7" s="15"/>
      <c r="Z7" s="15"/>
    </row>
    <row r="8">
      <c r="A8" s="16" t="s">
        <v>70</v>
      </c>
      <c r="B8" s="16" t="s">
        <v>71</v>
      </c>
      <c r="C8" s="16" t="s">
        <v>57</v>
      </c>
      <c r="D8" s="16">
        <v>2013.0</v>
      </c>
      <c r="E8" s="16">
        <v>2.0</v>
      </c>
      <c r="F8" s="16" t="s">
        <v>52</v>
      </c>
      <c r="G8" s="16" t="s">
        <v>72</v>
      </c>
      <c r="H8" s="16">
        <v>330.5660377</v>
      </c>
      <c r="I8" s="16">
        <v>53.20031054</v>
      </c>
      <c r="J8" s="16">
        <v>12.23511242</v>
      </c>
      <c r="K8" s="16" t="s">
        <v>54</v>
      </c>
      <c r="L8" s="15"/>
      <c r="M8" s="15"/>
      <c r="N8" s="15"/>
      <c r="O8" s="15"/>
      <c r="P8" s="15"/>
      <c r="Q8" s="15"/>
      <c r="R8" s="15"/>
      <c r="S8" s="15"/>
      <c r="T8" s="15"/>
      <c r="U8" s="15"/>
      <c r="V8" s="15"/>
      <c r="W8" s="15"/>
      <c r="X8" s="15"/>
      <c r="Y8" s="15"/>
      <c r="Z8" s="15"/>
    </row>
    <row r="9">
      <c r="A9" s="16" t="s">
        <v>73</v>
      </c>
      <c r="B9" s="16" t="s">
        <v>74</v>
      </c>
      <c r="C9" s="16" t="s">
        <v>75</v>
      </c>
      <c r="D9" s="16">
        <v>2014.0</v>
      </c>
      <c r="E9" s="16">
        <v>9.0</v>
      </c>
      <c r="F9" s="16" t="s">
        <v>52</v>
      </c>
      <c r="G9" s="15"/>
      <c r="H9" s="16">
        <v>1487.54717</v>
      </c>
      <c r="I9" s="16">
        <v>63.84634054</v>
      </c>
      <c r="J9" s="16">
        <v>23.03300682</v>
      </c>
      <c r="K9" s="16" t="s">
        <v>54</v>
      </c>
      <c r="L9" s="15"/>
      <c r="M9" s="15"/>
      <c r="N9" s="15"/>
      <c r="O9" s="15"/>
      <c r="P9" s="15"/>
      <c r="Q9" s="15"/>
      <c r="R9" s="15"/>
      <c r="S9" s="15"/>
      <c r="T9" s="15"/>
      <c r="U9" s="15"/>
      <c r="V9" s="15"/>
      <c r="W9" s="15"/>
      <c r="X9" s="15"/>
      <c r="Y9" s="15"/>
      <c r="Z9" s="15"/>
    </row>
    <row r="10">
      <c r="A10" s="16" t="s">
        <v>76</v>
      </c>
      <c r="B10" s="16" t="s">
        <v>77</v>
      </c>
      <c r="C10" s="16" t="s">
        <v>78</v>
      </c>
      <c r="D10" s="16">
        <v>2014.0</v>
      </c>
      <c r="E10" s="16">
        <v>1.5</v>
      </c>
      <c r="F10" s="16" t="s">
        <v>52</v>
      </c>
      <c r="G10" s="16" t="s">
        <v>53</v>
      </c>
      <c r="H10" s="16">
        <v>247.9245283</v>
      </c>
      <c r="I10" s="16">
        <v>46.47409854</v>
      </c>
      <c r="J10" s="16">
        <v>11.31719371</v>
      </c>
      <c r="K10" s="16" t="s">
        <v>54</v>
      </c>
      <c r="L10" s="15"/>
      <c r="M10" s="15"/>
      <c r="N10" s="15"/>
      <c r="O10" s="15"/>
      <c r="P10" s="15"/>
      <c r="Q10" s="15"/>
      <c r="R10" s="15"/>
      <c r="S10" s="15"/>
      <c r="T10" s="15"/>
      <c r="U10" s="15"/>
      <c r="V10" s="15"/>
      <c r="W10" s="15"/>
      <c r="X10" s="15"/>
      <c r="Y10" s="15"/>
      <c r="Z10" s="15"/>
    </row>
    <row r="11">
      <c r="A11" s="16" t="s">
        <v>79</v>
      </c>
      <c r="B11" s="16" t="s">
        <v>80</v>
      </c>
      <c r="C11" s="16" t="s">
        <v>57</v>
      </c>
      <c r="D11" s="16">
        <v>2014.0</v>
      </c>
      <c r="E11" s="16">
        <v>0.5</v>
      </c>
      <c r="F11" s="16" t="s">
        <v>52</v>
      </c>
      <c r="G11" s="16" t="s">
        <v>53</v>
      </c>
      <c r="H11" s="16">
        <v>82.64150943</v>
      </c>
      <c r="I11" s="16">
        <v>52.36999214</v>
      </c>
      <c r="J11" s="16">
        <v>13.52429883</v>
      </c>
      <c r="K11" s="16" t="s">
        <v>54</v>
      </c>
      <c r="L11" s="15"/>
      <c r="M11" s="15"/>
      <c r="N11" s="15"/>
      <c r="O11" s="15"/>
      <c r="P11" s="15"/>
      <c r="Q11" s="15"/>
      <c r="R11" s="15"/>
      <c r="S11" s="15"/>
      <c r="T11" s="15"/>
      <c r="U11" s="15"/>
      <c r="V11" s="15"/>
      <c r="W11" s="15"/>
      <c r="X11" s="15"/>
      <c r="Y11" s="15"/>
      <c r="Z11" s="15"/>
    </row>
    <row r="12">
      <c r="A12" s="16" t="s">
        <v>81</v>
      </c>
      <c r="B12" s="16" t="s">
        <v>82</v>
      </c>
      <c r="C12" s="16" t="s">
        <v>83</v>
      </c>
      <c r="D12" s="16">
        <v>2015.0</v>
      </c>
      <c r="E12" s="16">
        <v>1.0</v>
      </c>
      <c r="F12" s="16" t="s">
        <v>52</v>
      </c>
      <c r="G12" s="16" t="s">
        <v>53</v>
      </c>
      <c r="H12" s="16">
        <v>165.2830189</v>
      </c>
      <c r="I12" s="16">
        <v>57.16059318</v>
      </c>
      <c r="J12" s="16">
        <v>-2.114359234</v>
      </c>
      <c r="K12" s="16" t="s">
        <v>54</v>
      </c>
      <c r="L12" s="15"/>
      <c r="M12" s="15"/>
      <c r="N12" s="15"/>
      <c r="O12" s="15"/>
      <c r="P12" s="15"/>
      <c r="Q12" s="15"/>
      <c r="R12" s="15"/>
      <c r="S12" s="15"/>
      <c r="T12" s="15"/>
      <c r="U12" s="15"/>
      <c r="V12" s="15"/>
      <c r="W12" s="15"/>
      <c r="X12" s="15"/>
      <c r="Y12" s="15"/>
      <c r="Z12" s="15"/>
    </row>
    <row r="13">
      <c r="A13" s="16" t="s">
        <v>84</v>
      </c>
      <c r="B13" s="16" t="s">
        <v>85</v>
      </c>
      <c r="C13" s="16" t="s">
        <v>86</v>
      </c>
      <c r="D13" s="16">
        <v>2015.0</v>
      </c>
      <c r="E13" s="16">
        <v>0.5</v>
      </c>
      <c r="F13" s="16" t="s">
        <v>52</v>
      </c>
      <c r="G13" s="16" t="s">
        <v>53</v>
      </c>
      <c r="H13" s="16">
        <v>82.64150943</v>
      </c>
      <c r="I13" s="16">
        <v>55.44852239</v>
      </c>
      <c r="J13" s="16">
        <v>9.956095406</v>
      </c>
      <c r="K13" s="16" t="s">
        <v>54</v>
      </c>
      <c r="L13" s="15"/>
      <c r="M13" s="15"/>
      <c r="N13" s="15"/>
      <c r="O13" s="15"/>
      <c r="P13" s="15"/>
      <c r="Q13" s="15"/>
      <c r="R13" s="15"/>
      <c r="S13" s="15"/>
      <c r="T13" s="15"/>
      <c r="U13" s="15"/>
      <c r="V13" s="15"/>
      <c r="W13" s="15"/>
      <c r="X13" s="15"/>
      <c r="Y13" s="15"/>
      <c r="Z13" s="15"/>
    </row>
    <row r="14">
      <c r="A14" s="16" t="s">
        <v>87</v>
      </c>
      <c r="B14" s="16" t="s">
        <v>88</v>
      </c>
      <c r="C14" s="16" t="s">
        <v>57</v>
      </c>
      <c r="D14" s="16">
        <v>2016.0</v>
      </c>
      <c r="E14" s="16">
        <v>1.25</v>
      </c>
      <c r="F14" s="16" t="s">
        <v>52</v>
      </c>
      <c r="G14" s="16" t="s">
        <v>72</v>
      </c>
      <c r="H14" s="16">
        <v>206.6037736</v>
      </c>
      <c r="I14" s="16">
        <v>50.0318698</v>
      </c>
      <c r="J14" s="16">
        <v>10.5065562</v>
      </c>
      <c r="K14" s="16" t="s">
        <v>54</v>
      </c>
      <c r="L14" s="15"/>
      <c r="M14" s="15"/>
      <c r="N14" s="15"/>
      <c r="O14" s="15"/>
      <c r="P14" s="15"/>
      <c r="Q14" s="15"/>
      <c r="R14" s="15"/>
      <c r="S14" s="15"/>
      <c r="T14" s="15"/>
      <c r="U14" s="15"/>
      <c r="V14" s="15"/>
      <c r="W14" s="15"/>
      <c r="X14" s="15"/>
      <c r="Y14" s="15"/>
      <c r="Z14" s="15"/>
    </row>
    <row r="15">
      <c r="A15" s="16" t="s">
        <v>89</v>
      </c>
      <c r="B15" s="16" t="s">
        <v>90</v>
      </c>
      <c r="C15" s="16" t="s">
        <v>78</v>
      </c>
      <c r="D15" s="16">
        <v>2016.0</v>
      </c>
      <c r="E15" s="16">
        <v>1.2</v>
      </c>
      <c r="F15" s="16" t="s">
        <v>52</v>
      </c>
      <c r="G15" s="15"/>
      <c r="H15" s="16">
        <v>198.3396226</v>
      </c>
      <c r="I15" s="16">
        <v>41.363128</v>
      </c>
      <c r="J15" s="16">
        <v>15.312347</v>
      </c>
      <c r="K15" s="16" t="s">
        <v>54</v>
      </c>
      <c r="L15" s="15"/>
      <c r="M15" s="15"/>
      <c r="N15" s="15"/>
      <c r="O15" s="15"/>
      <c r="P15" s="15"/>
      <c r="Q15" s="15"/>
      <c r="R15" s="15"/>
      <c r="S15" s="15"/>
      <c r="T15" s="15"/>
      <c r="U15" s="15"/>
      <c r="V15" s="15"/>
      <c r="W15" s="15"/>
      <c r="X15" s="15"/>
      <c r="Y15" s="15"/>
      <c r="Z15" s="15"/>
    </row>
    <row r="16">
      <c r="A16" s="16" t="s">
        <v>91</v>
      </c>
      <c r="B16" s="16" t="s">
        <v>92</v>
      </c>
      <c r="C16" s="16" t="s">
        <v>57</v>
      </c>
      <c r="D16" s="16">
        <v>2017.0</v>
      </c>
      <c r="E16" s="16">
        <v>6.0</v>
      </c>
      <c r="F16" s="16" t="s">
        <v>52</v>
      </c>
      <c r="G16" s="16" t="s">
        <v>72</v>
      </c>
      <c r="H16" s="16">
        <v>991.6981132</v>
      </c>
      <c r="I16" s="16">
        <v>49.9999952</v>
      </c>
      <c r="J16" s="16">
        <v>8.2710237</v>
      </c>
      <c r="K16" s="16" t="s">
        <v>54</v>
      </c>
      <c r="L16" s="15"/>
      <c r="M16" s="15"/>
      <c r="N16" s="15"/>
      <c r="O16" s="15"/>
      <c r="P16" s="15"/>
      <c r="Q16" s="15"/>
      <c r="R16" s="15"/>
      <c r="S16" s="15"/>
      <c r="T16" s="15"/>
      <c r="U16" s="15"/>
      <c r="V16" s="15"/>
      <c r="W16" s="15"/>
      <c r="X16" s="15"/>
      <c r="Y16" s="15"/>
      <c r="Z16" s="15"/>
    </row>
    <row r="17">
      <c r="A17" s="16" t="s">
        <v>93</v>
      </c>
      <c r="B17" s="16" t="s">
        <v>94</v>
      </c>
      <c r="C17" s="16" t="s">
        <v>57</v>
      </c>
      <c r="D17" s="16">
        <v>2017.0</v>
      </c>
      <c r="E17" s="16">
        <v>5.0</v>
      </c>
      <c r="F17" s="16" t="s">
        <v>52</v>
      </c>
      <c r="G17" s="16" t="s">
        <v>95</v>
      </c>
      <c r="H17" s="16">
        <v>826.4150943</v>
      </c>
      <c r="I17" s="16">
        <v>53.51426977</v>
      </c>
      <c r="J17" s="16">
        <v>9.950046941</v>
      </c>
      <c r="K17" s="16" t="s">
        <v>54</v>
      </c>
      <c r="L17" s="15"/>
      <c r="M17" s="15"/>
      <c r="N17" s="15"/>
      <c r="O17" s="15"/>
      <c r="P17" s="15"/>
      <c r="Q17" s="15"/>
      <c r="R17" s="15"/>
      <c r="S17" s="15"/>
      <c r="T17" s="15"/>
      <c r="U17" s="15"/>
      <c r="V17" s="15"/>
      <c r="W17" s="15"/>
      <c r="X17" s="15"/>
      <c r="Y17" s="15"/>
      <c r="Z17" s="15"/>
    </row>
    <row r="18">
      <c r="A18" s="16" t="s">
        <v>96</v>
      </c>
      <c r="B18" s="16" t="s">
        <v>97</v>
      </c>
      <c r="C18" s="16" t="s">
        <v>98</v>
      </c>
      <c r="D18" s="16">
        <v>2017.0</v>
      </c>
      <c r="E18" s="16">
        <v>0.7</v>
      </c>
      <c r="F18" s="16" t="s">
        <v>52</v>
      </c>
      <c r="G18" s="16" t="s">
        <v>53</v>
      </c>
      <c r="H18" s="16">
        <v>115.6981132</v>
      </c>
      <c r="I18" s="16">
        <v>63.34327247</v>
      </c>
      <c r="J18" s="16">
        <v>10.37333</v>
      </c>
      <c r="K18" s="16" t="s">
        <v>54</v>
      </c>
      <c r="L18" s="15"/>
      <c r="M18" s="15"/>
      <c r="N18" s="15"/>
      <c r="O18" s="15"/>
      <c r="P18" s="15"/>
      <c r="Q18" s="15"/>
      <c r="R18" s="15"/>
      <c r="S18" s="15"/>
      <c r="T18" s="15"/>
      <c r="U18" s="15"/>
      <c r="V18" s="15"/>
      <c r="W18" s="15"/>
      <c r="X18" s="15"/>
      <c r="Y18" s="15"/>
      <c r="Z18" s="15"/>
    </row>
    <row r="19">
      <c r="A19" s="16" t="s">
        <v>99</v>
      </c>
      <c r="B19" s="16" t="s">
        <v>100</v>
      </c>
      <c r="C19" s="16" t="s">
        <v>83</v>
      </c>
      <c r="D19" s="16">
        <v>2017.0</v>
      </c>
      <c r="E19" s="16">
        <v>0.67</v>
      </c>
      <c r="F19" s="16" t="s">
        <v>52</v>
      </c>
      <c r="G19" s="16" t="s">
        <v>53</v>
      </c>
      <c r="H19" s="16">
        <v>110.7396226</v>
      </c>
      <c r="I19" s="16">
        <v>59.1649151</v>
      </c>
      <c r="J19" s="16">
        <v>-2.788356039</v>
      </c>
      <c r="K19" s="16" t="s">
        <v>54</v>
      </c>
      <c r="L19" s="15"/>
      <c r="M19" s="15"/>
      <c r="N19" s="15"/>
      <c r="O19" s="15"/>
      <c r="P19" s="15"/>
      <c r="Q19" s="15"/>
      <c r="R19" s="15"/>
      <c r="S19" s="15"/>
      <c r="T19" s="15"/>
      <c r="U19" s="15"/>
      <c r="V19" s="15"/>
      <c r="W19" s="15"/>
      <c r="X19" s="15"/>
      <c r="Y19" s="15"/>
      <c r="Z19" s="15"/>
    </row>
    <row r="20">
      <c r="A20" s="16" t="s">
        <v>101</v>
      </c>
      <c r="B20" s="16" t="s">
        <v>102</v>
      </c>
      <c r="C20" s="16" t="s">
        <v>57</v>
      </c>
      <c r="D20" s="16">
        <v>2018.0</v>
      </c>
      <c r="E20" s="16">
        <v>2.0</v>
      </c>
      <c r="F20" s="16" t="s">
        <v>52</v>
      </c>
      <c r="G20" s="16" t="s">
        <v>103</v>
      </c>
      <c r="H20" s="16">
        <v>330.5660377</v>
      </c>
      <c r="I20" s="16">
        <v>51.49141758</v>
      </c>
      <c r="J20" s="16">
        <v>6.723969506</v>
      </c>
      <c r="K20" s="16" t="s">
        <v>54</v>
      </c>
      <c r="L20" s="15"/>
      <c r="M20" s="15"/>
      <c r="N20" s="15"/>
      <c r="O20" s="15"/>
      <c r="P20" s="15"/>
      <c r="Q20" s="15"/>
      <c r="R20" s="15"/>
      <c r="S20" s="15"/>
      <c r="T20" s="15"/>
      <c r="U20" s="15"/>
      <c r="V20" s="15"/>
      <c r="W20" s="15"/>
      <c r="X20" s="15"/>
      <c r="Y20" s="15"/>
      <c r="Z20" s="15"/>
    </row>
    <row r="21">
      <c r="A21" s="16" t="s">
        <v>104</v>
      </c>
      <c r="B21" s="16" t="s">
        <v>105</v>
      </c>
      <c r="C21" s="16" t="s">
        <v>63</v>
      </c>
      <c r="D21" s="16">
        <v>2018.0</v>
      </c>
      <c r="E21" s="16">
        <v>0.7</v>
      </c>
      <c r="F21" s="16" t="s">
        <v>52</v>
      </c>
      <c r="G21" s="16" t="s">
        <v>53</v>
      </c>
      <c r="H21" s="16">
        <v>115.6981132</v>
      </c>
      <c r="I21" s="16">
        <v>64.02068661</v>
      </c>
      <c r="J21" s="16">
        <v>-21.39797194</v>
      </c>
      <c r="K21" s="16" t="s">
        <v>54</v>
      </c>
      <c r="L21" s="15"/>
      <c r="M21" s="15"/>
      <c r="N21" s="15"/>
      <c r="O21" s="15"/>
      <c r="P21" s="15"/>
      <c r="Q21" s="15"/>
      <c r="R21" s="15"/>
      <c r="S21" s="15"/>
      <c r="T21" s="15"/>
      <c r="U21" s="15"/>
      <c r="V21" s="15"/>
      <c r="W21" s="15"/>
      <c r="X21" s="15"/>
      <c r="Y21" s="15"/>
      <c r="Z21" s="15"/>
    </row>
    <row r="22">
      <c r="A22" s="16" t="s">
        <v>106</v>
      </c>
      <c r="B22" s="16" t="s">
        <v>107</v>
      </c>
      <c r="C22" s="16" t="s">
        <v>108</v>
      </c>
      <c r="D22" s="16">
        <v>2018.0</v>
      </c>
      <c r="E22" s="16">
        <v>0.5</v>
      </c>
      <c r="F22" s="16" t="s">
        <v>52</v>
      </c>
      <c r="G22" s="15"/>
      <c r="H22" s="16">
        <v>82.64150943</v>
      </c>
      <c r="I22" s="16">
        <v>48.03574259</v>
      </c>
      <c r="J22" s="16">
        <v>13.65825567</v>
      </c>
      <c r="K22" s="16" t="s">
        <v>54</v>
      </c>
      <c r="L22" s="15"/>
      <c r="M22" s="15"/>
      <c r="N22" s="15"/>
      <c r="O22" s="15"/>
      <c r="P22" s="15"/>
      <c r="Q22" s="15"/>
      <c r="R22" s="15"/>
      <c r="S22" s="15"/>
      <c r="T22" s="15"/>
      <c r="U22" s="15"/>
      <c r="V22" s="15"/>
      <c r="W22" s="15"/>
      <c r="X22" s="15"/>
      <c r="Y22" s="15"/>
      <c r="Z22" s="15"/>
    </row>
    <row r="23">
      <c r="A23" s="16" t="s">
        <v>109</v>
      </c>
      <c r="B23" s="16" t="s">
        <v>110</v>
      </c>
      <c r="C23" s="16" t="s">
        <v>108</v>
      </c>
      <c r="D23" s="16">
        <v>2019.0</v>
      </c>
      <c r="E23" s="16">
        <v>6.0</v>
      </c>
      <c r="F23" s="16" t="s">
        <v>52</v>
      </c>
      <c r="G23" s="16" t="s">
        <v>111</v>
      </c>
      <c r="H23" s="16">
        <v>991.6981132</v>
      </c>
      <c r="I23" s="16">
        <v>48.3059078</v>
      </c>
      <c r="J23" s="16">
        <v>14.286198</v>
      </c>
      <c r="K23" s="16" t="s">
        <v>54</v>
      </c>
      <c r="L23" s="15"/>
      <c r="M23" s="15"/>
      <c r="N23" s="15"/>
      <c r="O23" s="15"/>
      <c r="P23" s="15"/>
      <c r="Q23" s="15"/>
      <c r="R23" s="15"/>
      <c r="S23" s="15"/>
      <c r="T23" s="15"/>
      <c r="U23" s="15"/>
      <c r="V23" s="15"/>
      <c r="W23" s="15"/>
      <c r="X23" s="15"/>
      <c r="Y23" s="15"/>
      <c r="Z23" s="15"/>
    </row>
    <row r="24">
      <c r="A24" s="16" t="s">
        <v>112</v>
      </c>
      <c r="B24" s="16" t="s">
        <v>113</v>
      </c>
      <c r="C24" s="16" t="s">
        <v>57</v>
      </c>
      <c r="D24" s="16">
        <v>2019.0</v>
      </c>
      <c r="E24" s="16">
        <v>2.5</v>
      </c>
      <c r="F24" s="16" t="s">
        <v>52</v>
      </c>
      <c r="G24" s="16" t="s">
        <v>72</v>
      </c>
      <c r="H24" s="16">
        <v>413.2075472</v>
      </c>
      <c r="I24" s="16">
        <v>49.1996961</v>
      </c>
      <c r="J24" s="16">
        <v>7.6087847</v>
      </c>
      <c r="K24" s="16" t="s">
        <v>54</v>
      </c>
      <c r="L24" s="15"/>
      <c r="M24" s="15"/>
      <c r="N24" s="15"/>
      <c r="O24" s="15"/>
      <c r="P24" s="15"/>
      <c r="Q24" s="15"/>
      <c r="R24" s="15"/>
      <c r="S24" s="15"/>
      <c r="T24" s="15"/>
      <c r="U24" s="15"/>
      <c r="V24" s="15"/>
      <c r="W24" s="15"/>
      <c r="X24" s="15"/>
      <c r="Y24" s="15"/>
      <c r="Z24" s="15"/>
    </row>
    <row r="25">
      <c r="A25" s="16" t="s">
        <v>114</v>
      </c>
      <c r="B25" s="16" t="s">
        <v>115</v>
      </c>
      <c r="C25" s="16" t="s">
        <v>57</v>
      </c>
      <c r="D25" s="16">
        <v>2019.0</v>
      </c>
      <c r="E25" s="16">
        <v>2.4</v>
      </c>
      <c r="F25" s="16" t="s">
        <v>52</v>
      </c>
      <c r="G25" s="16" t="s">
        <v>53</v>
      </c>
      <c r="H25" s="16">
        <v>396.6792453</v>
      </c>
      <c r="I25" s="16">
        <v>53.89396747</v>
      </c>
      <c r="J25" s="16">
        <v>9.173721521</v>
      </c>
      <c r="K25" s="16" t="s">
        <v>54</v>
      </c>
      <c r="L25" s="15"/>
      <c r="M25" s="15"/>
      <c r="N25" s="15"/>
      <c r="O25" s="15"/>
      <c r="P25" s="15"/>
      <c r="Q25" s="15"/>
      <c r="R25" s="15"/>
      <c r="S25" s="15"/>
      <c r="T25" s="15"/>
      <c r="U25" s="15"/>
      <c r="V25" s="15"/>
      <c r="W25" s="15"/>
      <c r="X25" s="15"/>
      <c r="Y25" s="15"/>
      <c r="Z25" s="15"/>
    </row>
    <row r="26">
      <c r="A26" s="16" t="s">
        <v>116</v>
      </c>
      <c r="B26" s="16" t="s">
        <v>117</v>
      </c>
      <c r="C26" s="16" t="s">
        <v>57</v>
      </c>
      <c r="D26" s="16">
        <v>2019.0</v>
      </c>
      <c r="E26" s="16">
        <v>1.0</v>
      </c>
      <c r="F26" s="16" t="s">
        <v>52</v>
      </c>
      <c r="G26" s="16" t="s">
        <v>72</v>
      </c>
      <c r="H26" s="16">
        <v>165.2830189</v>
      </c>
      <c r="I26" s="16">
        <v>47.53818163</v>
      </c>
      <c r="J26" s="16">
        <v>7.706263394</v>
      </c>
      <c r="K26" s="16" t="s">
        <v>54</v>
      </c>
      <c r="L26" s="15"/>
      <c r="M26" s="15"/>
      <c r="N26" s="15"/>
      <c r="O26" s="15"/>
      <c r="P26" s="15"/>
      <c r="Q26" s="15"/>
      <c r="R26" s="15"/>
      <c r="S26" s="15"/>
      <c r="T26" s="15"/>
      <c r="U26" s="15"/>
      <c r="V26" s="15"/>
      <c r="W26" s="15"/>
      <c r="X26" s="15"/>
      <c r="Y26" s="15"/>
      <c r="Z26" s="15"/>
    </row>
    <row r="27">
      <c r="A27" s="16" t="s">
        <v>118</v>
      </c>
      <c r="B27" s="16" t="s">
        <v>119</v>
      </c>
      <c r="C27" s="16" t="s">
        <v>120</v>
      </c>
      <c r="D27" s="16">
        <v>2019.0</v>
      </c>
      <c r="E27" s="16">
        <v>0.5</v>
      </c>
      <c r="F27" s="16" t="s">
        <v>52</v>
      </c>
      <c r="G27" s="16" t="s">
        <v>53</v>
      </c>
      <c r="H27" s="16">
        <v>82.64150943</v>
      </c>
      <c r="I27" s="16">
        <v>49.8808904</v>
      </c>
      <c r="J27" s="16">
        <v>1.1415922</v>
      </c>
      <c r="K27" s="16" t="s">
        <v>54</v>
      </c>
      <c r="L27" s="15"/>
      <c r="M27" s="15"/>
      <c r="N27" s="15"/>
      <c r="O27" s="15"/>
      <c r="P27" s="15"/>
      <c r="Q27" s="15"/>
      <c r="R27" s="15"/>
      <c r="S27" s="15"/>
      <c r="T27" s="15"/>
      <c r="U27" s="15"/>
      <c r="V27" s="15"/>
      <c r="W27" s="15"/>
      <c r="X27" s="15"/>
      <c r="Y27" s="15"/>
      <c r="Z27" s="15"/>
    </row>
    <row r="28">
      <c r="A28" s="16" t="s">
        <v>121</v>
      </c>
      <c r="B28" s="16" t="s">
        <v>122</v>
      </c>
      <c r="C28" s="16" t="s">
        <v>120</v>
      </c>
      <c r="D28" s="16">
        <v>2019.0</v>
      </c>
      <c r="E28" s="16">
        <v>0.45</v>
      </c>
      <c r="F28" s="16" t="s">
        <v>52</v>
      </c>
      <c r="G28" s="16" t="s">
        <v>53</v>
      </c>
      <c r="H28" s="16">
        <v>74.37735849</v>
      </c>
      <c r="I28" s="16">
        <v>43.29273242</v>
      </c>
      <c r="J28" s="16">
        <v>-0.3638691121</v>
      </c>
      <c r="K28" s="16" t="s">
        <v>54</v>
      </c>
      <c r="L28" s="15"/>
      <c r="M28" s="15"/>
      <c r="N28" s="15"/>
      <c r="O28" s="15"/>
      <c r="P28" s="15"/>
      <c r="Q28" s="15"/>
      <c r="R28" s="15"/>
      <c r="S28" s="15"/>
      <c r="T28" s="15"/>
      <c r="U28" s="15"/>
      <c r="V28" s="15"/>
      <c r="W28" s="15"/>
      <c r="X28" s="15"/>
      <c r="Y28" s="15"/>
      <c r="Z28" s="15"/>
    </row>
    <row r="29">
      <c r="A29" s="16" t="s">
        <v>123</v>
      </c>
      <c r="B29" s="16" t="s">
        <v>124</v>
      </c>
      <c r="C29" s="16" t="s">
        <v>57</v>
      </c>
      <c r="D29" s="16">
        <v>2020.0</v>
      </c>
      <c r="E29" s="16">
        <v>2.5</v>
      </c>
      <c r="F29" s="16" t="s">
        <v>52</v>
      </c>
      <c r="G29" s="16" t="s">
        <v>53</v>
      </c>
      <c r="H29" s="16">
        <v>413.2075472</v>
      </c>
      <c r="I29" s="16">
        <v>51.264018</v>
      </c>
      <c r="J29" s="16">
        <v>7.1780374</v>
      </c>
      <c r="K29" s="16" t="s">
        <v>54</v>
      </c>
      <c r="L29" s="15"/>
      <c r="M29" s="15"/>
      <c r="N29" s="15"/>
      <c r="O29" s="15"/>
      <c r="P29" s="15"/>
      <c r="Q29" s="15"/>
      <c r="R29" s="15"/>
      <c r="S29" s="15"/>
      <c r="T29" s="15"/>
      <c r="U29" s="15"/>
      <c r="V29" s="15"/>
      <c r="W29" s="15"/>
      <c r="X29" s="15"/>
      <c r="Y29" s="15"/>
      <c r="Z29" s="15"/>
    </row>
    <row r="30">
      <c r="A30" s="16" t="s">
        <v>125</v>
      </c>
      <c r="B30" s="16" t="s">
        <v>126</v>
      </c>
      <c r="C30" s="16" t="s">
        <v>127</v>
      </c>
      <c r="D30" s="16">
        <v>2020.0</v>
      </c>
      <c r="E30" s="16">
        <v>2.0</v>
      </c>
      <c r="F30" s="16" t="s">
        <v>52</v>
      </c>
      <c r="G30" s="16" t="s">
        <v>53</v>
      </c>
      <c r="H30" s="16">
        <v>330.5660377</v>
      </c>
      <c r="I30" s="16">
        <v>47.368553</v>
      </c>
      <c r="J30" s="16">
        <v>7.979575</v>
      </c>
      <c r="K30" s="16" t="s">
        <v>54</v>
      </c>
      <c r="L30" s="15"/>
      <c r="M30" s="15"/>
      <c r="N30" s="15"/>
      <c r="O30" s="15"/>
      <c r="P30" s="15"/>
      <c r="Q30" s="15"/>
      <c r="R30" s="15"/>
      <c r="S30" s="15"/>
      <c r="T30" s="15"/>
      <c r="U30" s="15"/>
      <c r="V30" s="15"/>
      <c r="W30" s="15"/>
      <c r="X30" s="15"/>
      <c r="Y30" s="15"/>
      <c r="Z30" s="15"/>
    </row>
    <row r="31">
      <c r="A31" s="16" t="s">
        <v>128</v>
      </c>
      <c r="B31" s="16" t="s">
        <v>129</v>
      </c>
      <c r="C31" s="16" t="s">
        <v>86</v>
      </c>
      <c r="D31" s="16">
        <v>2020.0</v>
      </c>
      <c r="E31" s="16">
        <v>1.5</v>
      </c>
      <c r="F31" s="16" t="s">
        <v>52</v>
      </c>
      <c r="G31" s="16" t="s">
        <v>53</v>
      </c>
      <c r="H31" s="16">
        <v>247.9245283</v>
      </c>
      <c r="I31" s="16">
        <v>56.62621994</v>
      </c>
      <c r="J31" s="16">
        <v>9.825703613</v>
      </c>
      <c r="K31" s="16" t="s">
        <v>54</v>
      </c>
      <c r="L31" s="15"/>
      <c r="M31" s="15"/>
      <c r="N31" s="15"/>
      <c r="O31" s="15"/>
      <c r="P31" s="15"/>
      <c r="Q31" s="15"/>
      <c r="R31" s="15"/>
      <c r="S31" s="15"/>
      <c r="T31" s="15"/>
      <c r="U31" s="15"/>
      <c r="V31" s="15"/>
      <c r="W31" s="15"/>
      <c r="X31" s="15"/>
      <c r="Y31" s="15"/>
      <c r="Z31" s="15"/>
    </row>
    <row r="32">
      <c r="A32" s="16" t="s">
        <v>130</v>
      </c>
      <c r="B32" s="16" t="s">
        <v>131</v>
      </c>
      <c r="C32" s="16" t="s">
        <v>57</v>
      </c>
      <c r="D32" s="16">
        <v>2020.0</v>
      </c>
      <c r="E32" s="16">
        <v>1.0</v>
      </c>
      <c r="F32" s="16" t="s">
        <v>52</v>
      </c>
      <c r="G32" s="16" t="s">
        <v>132</v>
      </c>
      <c r="H32" s="16">
        <v>165.2830189</v>
      </c>
      <c r="I32" s="16">
        <v>54.7267886</v>
      </c>
      <c r="J32" s="16">
        <v>9.3478232</v>
      </c>
      <c r="K32" s="16" t="s">
        <v>54</v>
      </c>
      <c r="L32" s="15"/>
      <c r="M32" s="15"/>
      <c r="N32" s="15"/>
      <c r="O32" s="15"/>
      <c r="P32" s="15"/>
      <c r="Q32" s="15"/>
      <c r="R32" s="15"/>
      <c r="S32" s="15"/>
      <c r="T32" s="15"/>
      <c r="U32" s="15"/>
      <c r="V32" s="15"/>
      <c r="W32" s="15"/>
      <c r="X32" s="15"/>
      <c r="Y32" s="15"/>
      <c r="Z32" s="15"/>
    </row>
    <row r="33">
      <c r="A33" s="16" t="s">
        <v>133</v>
      </c>
      <c r="B33" s="16" t="s">
        <v>134</v>
      </c>
      <c r="C33" s="16" t="s">
        <v>57</v>
      </c>
      <c r="D33" s="16">
        <v>2020.0</v>
      </c>
      <c r="E33" s="16">
        <v>0.8</v>
      </c>
      <c r="F33" s="16" t="s">
        <v>52</v>
      </c>
      <c r="G33" s="16" t="s">
        <v>103</v>
      </c>
      <c r="H33" s="16">
        <v>132.2264151</v>
      </c>
      <c r="I33" s="16">
        <v>49.2644733</v>
      </c>
      <c r="J33" s="16">
        <v>9.401743</v>
      </c>
      <c r="K33" s="16" t="s">
        <v>54</v>
      </c>
      <c r="L33" s="15"/>
      <c r="M33" s="15"/>
      <c r="N33" s="15"/>
      <c r="O33" s="15"/>
      <c r="P33" s="15"/>
      <c r="Q33" s="15"/>
      <c r="R33" s="15"/>
      <c r="S33" s="15"/>
      <c r="T33" s="15"/>
      <c r="U33" s="15"/>
      <c r="V33" s="15"/>
      <c r="W33" s="15"/>
      <c r="X33" s="15"/>
      <c r="Y33" s="15"/>
      <c r="Z33" s="15"/>
    </row>
    <row r="34">
      <c r="A34" s="16" t="s">
        <v>135</v>
      </c>
      <c r="B34" s="16" t="s">
        <v>136</v>
      </c>
      <c r="C34" s="16" t="s">
        <v>57</v>
      </c>
      <c r="D34" s="16">
        <v>2020.0</v>
      </c>
      <c r="E34" s="16">
        <v>0.72</v>
      </c>
      <c r="F34" s="16" t="s">
        <v>52</v>
      </c>
      <c r="G34" s="16" t="s">
        <v>137</v>
      </c>
      <c r="H34" s="16">
        <v>119.0037736</v>
      </c>
      <c r="I34" s="16">
        <v>52.1503721</v>
      </c>
      <c r="J34" s="16">
        <v>10.3593147</v>
      </c>
      <c r="K34" s="16" t="s">
        <v>54</v>
      </c>
      <c r="L34" s="15"/>
      <c r="M34" s="15"/>
      <c r="N34" s="15"/>
      <c r="O34" s="15"/>
      <c r="P34" s="15"/>
      <c r="Q34" s="15"/>
      <c r="R34" s="15"/>
      <c r="S34" s="15"/>
      <c r="T34" s="15"/>
      <c r="U34" s="15"/>
      <c r="V34" s="15"/>
      <c r="W34" s="15"/>
      <c r="X34" s="15"/>
      <c r="Y34" s="15"/>
      <c r="Z34" s="15"/>
    </row>
    <row r="35">
      <c r="A35" s="16" t="s">
        <v>138</v>
      </c>
      <c r="B35" s="16" t="s">
        <v>139</v>
      </c>
      <c r="C35" s="16" t="s">
        <v>75</v>
      </c>
      <c r="D35" s="16">
        <v>2020.0</v>
      </c>
      <c r="E35" s="16">
        <v>0.7</v>
      </c>
      <c r="F35" s="16" t="s">
        <v>52</v>
      </c>
      <c r="G35" s="16" t="s">
        <v>103</v>
      </c>
      <c r="H35" s="16">
        <v>115.6981132</v>
      </c>
      <c r="I35" s="16">
        <v>60.52674111</v>
      </c>
      <c r="J35" s="16">
        <v>27.14101196</v>
      </c>
      <c r="K35" s="16" t="s">
        <v>54</v>
      </c>
      <c r="L35" s="15"/>
      <c r="M35" s="15"/>
      <c r="N35" s="15"/>
      <c r="O35" s="15"/>
      <c r="P35" s="15"/>
      <c r="Q35" s="15"/>
      <c r="R35" s="15"/>
      <c r="S35" s="15"/>
      <c r="T35" s="15"/>
      <c r="U35" s="15"/>
      <c r="V35" s="15"/>
      <c r="W35" s="15"/>
      <c r="X35" s="15"/>
      <c r="Y35" s="15"/>
      <c r="Z35" s="15"/>
    </row>
    <row r="36">
      <c r="A36" s="16" t="s">
        <v>140</v>
      </c>
      <c r="B36" s="16" t="s">
        <v>141</v>
      </c>
      <c r="C36" s="16" t="s">
        <v>83</v>
      </c>
      <c r="D36" s="16">
        <v>2020.0</v>
      </c>
      <c r="E36" s="16">
        <v>0.5</v>
      </c>
      <c r="F36" s="16" t="s">
        <v>52</v>
      </c>
      <c r="G36" s="16" t="s">
        <v>72</v>
      </c>
      <c r="H36" s="16">
        <v>82.64150943</v>
      </c>
      <c r="I36" s="16">
        <v>53.0038078</v>
      </c>
      <c r="J36" s="16">
        <v>-2.2877425</v>
      </c>
      <c r="K36" s="16" t="s">
        <v>54</v>
      </c>
      <c r="L36" s="15"/>
      <c r="M36" s="15"/>
      <c r="N36" s="15"/>
      <c r="O36" s="15"/>
      <c r="P36" s="15"/>
      <c r="Q36" s="15"/>
      <c r="R36" s="15"/>
      <c r="S36" s="15"/>
      <c r="T36" s="15"/>
      <c r="U36" s="15"/>
      <c r="V36" s="15"/>
      <c r="W36" s="15"/>
      <c r="X36" s="15"/>
      <c r="Y36" s="15"/>
      <c r="Z36" s="15"/>
    </row>
    <row r="37">
      <c r="A37" s="16" t="s">
        <v>142</v>
      </c>
      <c r="B37" s="16" t="s">
        <v>143</v>
      </c>
      <c r="C37" s="16" t="s">
        <v>120</v>
      </c>
      <c r="D37" s="16">
        <v>2020.0</v>
      </c>
      <c r="E37" s="16">
        <v>0.5</v>
      </c>
      <c r="F37" s="16" t="s">
        <v>52</v>
      </c>
      <c r="G37" s="16" t="s">
        <v>72</v>
      </c>
      <c r="H37" s="16">
        <v>82.64150943</v>
      </c>
      <c r="I37" s="16">
        <v>43.43696983</v>
      </c>
      <c r="J37" s="16">
        <v>4.947789911</v>
      </c>
      <c r="K37" s="16" t="s">
        <v>54</v>
      </c>
      <c r="L37" s="15"/>
      <c r="M37" s="15"/>
      <c r="N37" s="15"/>
      <c r="O37" s="15"/>
      <c r="P37" s="15"/>
      <c r="Q37" s="15"/>
      <c r="R37" s="15"/>
      <c r="S37" s="15"/>
      <c r="T37" s="15"/>
      <c r="U37" s="15"/>
      <c r="V37" s="15"/>
      <c r="W37" s="15"/>
      <c r="X37" s="15"/>
      <c r="Y37" s="15"/>
      <c r="Z37" s="15"/>
    </row>
    <row r="38">
      <c r="A38" s="16" t="s">
        <v>144</v>
      </c>
      <c r="B38" s="16" t="s">
        <v>143</v>
      </c>
      <c r="C38" s="16" t="s">
        <v>120</v>
      </c>
      <c r="D38" s="16">
        <v>2020.0</v>
      </c>
      <c r="E38" s="16">
        <v>0.5</v>
      </c>
      <c r="F38" s="16" t="s">
        <v>52</v>
      </c>
      <c r="G38" s="16" t="s">
        <v>72</v>
      </c>
      <c r="H38" s="16">
        <v>82.64150943</v>
      </c>
      <c r="I38" s="16">
        <v>43.4380714</v>
      </c>
      <c r="J38" s="16">
        <v>4.945595</v>
      </c>
      <c r="K38" s="16" t="s">
        <v>54</v>
      </c>
      <c r="L38" s="15"/>
      <c r="M38" s="15"/>
      <c r="N38" s="15"/>
      <c r="O38" s="15"/>
      <c r="P38" s="15"/>
      <c r="Q38" s="15"/>
      <c r="R38" s="15"/>
      <c r="S38" s="15"/>
      <c r="T38" s="15"/>
      <c r="U38" s="15"/>
      <c r="V38" s="15"/>
      <c r="W38" s="15"/>
      <c r="X38" s="15"/>
      <c r="Y38" s="15"/>
      <c r="Z38" s="15"/>
    </row>
    <row r="39">
      <c r="A39" s="16" t="s">
        <v>145</v>
      </c>
      <c r="B39" s="16" t="s">
        <v>146</v>
      </c>
      <c r="C39" s="16" t="s">
        <v>57</v>
      </c>
      <c r="D39" s="16">
        <v>2021.0</v>
      </c>
      <c r="E39" s="16">
        <v>10.0</v>
      </c>
      <c r="F39" s="16" t="s">
        <v>52</v>
      </c>
      <c r="G39" s="16" t="s">
        <v>95</v>
      </c>
      <c r="H39" s="16">
        <v>1652.830189</v>
      </c>
      <c r="I39" s="16">
        <v>50.86056156</v>
      </c>
      <c r="J39" s="16">
        <v>6.980581616</v>
      </c>
      <c r="K39" s="16" t="s">
        <v>54</v>
      </c>
      <c r="L39" s="15"/>
      <c r="M39" s="15"/>
      <c r="N39" s="15"/>
      <c r="O39" s="15"/>
      <c r="P39" s="15"/>
      <c r="Q39" s="15"/>
      <c r="R39" s="15"/>
      <c r="S39" s="15"/>
      <c r="T39" s="15"/>
      <c r="U39" s="15"/>
      <c r="V39" s="15"/>
      <c r="W39" s="15"/>
      <c r="X39" s="15"/>
      <c r="Y39" s="15"/>
      <c r="Z39" s="15"/>
    </row>
    <row r="40">
      <c r="A40" s="16" t="s">
        <v>147</v>
      </c>
      <c r="B40" s="16" t="s">
        <v>148</v>
      </c>
      <c r="C40" s="16" t="s">
        <v>51</v>
      </c>
      <c r="D40" s="16">
        <v>2021.0</v>
      </c>
      <c r="E40" s="16">
        <v>4.5</v>
      </c>
      <c r="F40" s="16" t="s">
        <v>52</v>
      </c>
      <c r="G40" s="16" t="s">
        <v>137</v>
      </c>
      <c r="H40" s="16">
        <v>743.7735849</v>
      </c>
      <c r="I40" s="16">
        <v>65.5831352</v>
      </c>
      <c r="J40" s="16">
        <v>22.1460134</v>
      </c>
      <c r="K40" s="16" t="s">
        <v>54</v>
      </c>
      <c r="L40" s="15"/>
      <c r="M40" s="15"/>
      <c r="N40" s="15"/>
      <c r="O40" s="15"/>
      <c r="P40" s="15"/>
      <c r="Q40" s="15"/>
      <c r="R40" s="15"/>
      <c r="S40" s="15"/>
      <c r="T40" s="15"/>
      <c r="U40" s="15"/>
      <c r="V40" s="15"/>
      <c r="W40" s="15"/>
      <c r="X40" s="15"/>
      <c r="Y40" s="15"/>
      <c r="Z40" s="15"/>
    </row>
    <row r="41">
      <c r="A41" s="16" t="s">
        <v>149</v>
      </c>
      <c r="B41" s="16" t="s">
        <v>150</v>
      </c>
      <c r="C41" s="16" t="s">
        <v>83</v>
      </c>
      <c r="D41" s="16">
        <v>2021.0</v>
      </c>
      <c r="E41" s="16">
        <v>3.0</v>
      </c>
      <c r="F41" s="16" t="s">
        <v>52</v>
      </c>
      <c r="G41" s="16" t="s">
        <v>53</v>
      </c>
      <c r="H41" s="16">
        <v>495.8490566</v>
      </c>
      <c r="I41" s="16">
        <v>52.46135759</v>
      </c>
      <c r="J41" s="16">
        <v>-1.840964262</v>
      </c>
      <c r="K41" s="16" t="s">
        <v>54</v>
      </c>
      <c r="L41" s="15"/>
      <c r="M41" s="15"/>
      <c r="N41" s="15"/>
      <c r="O41" s="15"/>
      <c r="P41" s="15"/>
      <c r="Q41" s="15"/>
      <c r="R41" s="15"/>
      <c r="S41" s="15"/>
      <c r="T41" s="15"/>
      <c r="U41" s="15"/>
      <c r="V41" s="15"/>
      <c r="W41" s="15"/>
      <c r="X41" s="15"/>
      <c r="Y41" s="15"/>
      <c r="Z41" s="15"/>
    </row>
    <row r="42">
      <c r="A42" s="16" t="s">
        <v>151</v>
      </c>
      <c r="B42" s="16" t="s">
        <v>136</v>
      </c>
      <c r="C42" s="16" t="s">
        <v>57</v>
      </c>
      <c r="D42" s="16">
        <v>2021.0</v>
      </c>
      <c r="E42" s="16">
        <v>2.5</v>
      </c>
      <c r="F42" s="16" t="s">
        <v>52</v>
      </c>
      <c r="G42" s="16" t="s">
        <v>103</v>
      </c>
      <c r="H42" s="16">
        <v>413.2075472</v>
      </c>
      <c r="I42" s="16">
        <v>52.15234346</v>
      </c>
      <c r="J42" s="16">
        <v>10.40665988</v>
      </c>
      <c r="K42" s="16" t="s">
        <v>54</v>
      </c>
      <c r="L42" s="15"/>
      <c r="M42" s="15"/>
      <c r="N42" s="15"/>
      <c r="O42" s="15"/>
      <c r="P42" s="15"/>
      <c r="Q42" s="15"/>
      <c r="R42" s="15"/>
      <c r="S42" s="15"/>
      <c r="T42" s="15"/>
      <c r="U42" s="15"/>
      <c r="V42" s="15"/>
      <c r="W42" s="15"/>
      <c r="X42" s="15"/>
      <c r="Y42" s="15"/>
      <c r="Z42" s="15"/>
    </row>
    <row r="43">
      <c r="A43" s="16" t="s">
        <v>152</v>
      </c>
      <c r="B43" s="16" t="s">
        <v>153</v>
      </c>
      <c r="C43" s="16" t="s">
        <v>57</v>
      </c>
      <c r="D43" s="16">
        <v>2021.0</v>
      </c>
      <c r="E43" s="16">
        <v>2.0</v>
      </c>
      <c r="F43" s="16" t="s">
        <v>52</v>
      </c>
      <c r="G43" s="16" t="s">
        <v>103</v>
      </c>
      <c r="H43" s="16">
        <v>330.5660377</v>
      </c>
      <c r="I43" s="16">
        <v>53.90402911</v>
      </c>
      <c r="J43" s="16">
        <v>12.28287493</v>
      </c>
      <c r="K43" s="16" t="s">
        <v>54</v>
      </c>
      <c r="L43" s="15"/>
      <c r="M43" s="15"/>
      <c r="N43" s="15"/>
      <c r="O43" s="15"/>
      <c r="P43" s="15"/>
      <c r="Q43" s="15"/>
      <c r="R43" s="15"/>
      <c r="S43" s="15"/>
      <c r="T43" s="15"/>
      <c r="U43" s="15"/>
      <c r="V43" s="15"/>
      <c r="W43" s="15"/>
      <c r="X43" s="15"/>
      <c r="Y43" s="15"/>
      <c r="Z43" s="15"/>
    </row>
    <row r="44">
      <c r="A44" s="16" t="s">
        <v>154</v>
      </c>
      <c r="B44" s="16" t="s">
        <v>68</v>
      </c>
      <c r="C44" s="16" t="s">
        <v>57</v>
      </c>
      <c r="D44" s="16">
        <v>2021.0</v>
      </c>
      <c r="E44" s="16">
        <v>1.25</v>
      </c>
      <c r="F44" s="16" t="s">
        <v>52</v>
      </c>
      <c r="G44" s="16" t="s">
        <v>69</v>
      </c>
      <c r="H44" s="16">
        <v>206.6037736</v>
      </c>
      <c r="I44" s="16">
        <v>52.8528701</v>
      </c>
      <c r="J44" s="16">
        <v>7.6764179</v>
      </c>
      <c r="K44" s="16" t="s">
        <v>54</v>
      </c>
      <c r="L44" s="15"/>
      <c r="M44" s="15"/>
      <c r="N44" s="15"/>
      <c r="O44" s="15"/>
      <c r="P44" s="15"/>
      <c r="Q44" s="15"/>
      <c r="R44" s="15"/>
      <c r="S44" s="15"/>
      <c r="T44" s="15"/>
      <c r="U44" s="15"/>
      <c r="V44" s="15"/>
      <c r="W44" s="15"/>
      <c r="X44" s="15"/>
      <c r="Y44" s="15"/>
      <c r="Z44" s="15"/>
    </row>
    <row r="45">
      <c r="A45" s="16" t="s">
        <v>155</v>
      </c>
      <c r="B45" s="16" t="s">
        <v>156</v>
      </c>
      <c r="C45" s="16" t="s">
        <v>120</v>
      </c>
      <c r="D45" s="16">
        <v>2021.0</v>
      </c>
      <c r="E45" s="16">
        <v>1.0</v>
      </c>
      <c r="F45" s="16" t="s">
        <v>52</v>
      </c>
      <c r="G45" s="16" t="s">
        <v>53</v>
      </c>
      <c r="H45" s="16">
        <v>165.2830189</v>
      </c>
      <c r="I45" s="16">
        <v>47.80416095</v>
      </c>
      <c r="J45" s="16">
        <v>3.588219866</v>
      </c>
      <c r="K45" s="16" t="s">
        <v>54</v>
      </c>
      <c r="L45" s="15"/>
      <c r="M45" s="15"/>
      <c r="N45" s="15"/>
      <c r="O45" s="15"/>
      <c r="P45" s="15"/>
      <c r="Q45" s="15"/>
      <c r="R45" s="15"/>
      <c r="S45" s="15"/>
      <c r="T45" s="15"/>
      <c r="U45" s="15"/>
      <c r="V45" s="15"/>
      <c r="W45" s="15"/>
      <c r="X45" s="15"/>
      <c r="Y45" s="15"/>
      <c r="Z45" s="15"/>
    </row>
    <row r="46">
      <c r="A46" s="16" t="s">
        <v>157</v>
      </c>
      <c r="B46" s="16" t="s">
        <v>158</v>
      </c>
      <c r="C46" s="16" t="s">
        <v>57</v>
      </c>
      <c r="D46" s="16">
        <v>2021.0</v>
      </c>
      <c r="E46" s="16">
        <v>1.0</v>
      </c>
      <c r="F46" s="16" t="s">
        <v>52</v>
      </c>
      <c r="G46" s="16" t="s">
        <v>60</v>
      </c>
      <c r="H46" s="16">
        <v>165.2830189</v>
      </c>
      <c r="I46" s="16">
        <v>48.7427584</v>
      </c>
      <c r="J46" s="16">
        <v>9.3071685</v>
      </c>
      <c r="K46" s="16" t="s">
        <v>54</v>
      </c>
      <c r="L46" s="15"/>
      <c r="M46" s="15"/>
      <c r="N46" s="15"/>
      <c r="O46" s="15"/>
      <c r="P46" s="15"/>
      <c r="Q46" s="15"/>
      <c r="R46" s="15"/>
      <c r="S46" s="15"/>
      <c r="T46" s="15"/>
      <c r="U46" s="15"/>
      <c r="V46" s="15"/>
      <c r="W46" s="15"/>
      <c r="X46" s="15"/>
      <c r="Y46" s="15"/>
      <c r="Z46" s="15"/>
    </row>
    <row r="47">
      <c r="A47" s="16" t="s">
        <v>159</v>
      </c>
      <c r="B47" s="16" t="s">
        <v>160</v>
      </c>
      <c r="C47" s="16" t="s">
        <v>161</v>
      </c>
      <c r="D47" s="16">
        <v>2021.0</v>
      </c>
      <c r="E47" s="16">
        <v>1.0</v>
      </c>
      <c r="F47" s="16" t="s">
        <v>52</v>
      </c>
      <c r="G47" s="16" t="s">
        <v>53</v>
      </c>
      <c r="H47" s="16">
        <v>165.2830189</v>
      </c>
      <c r="I47" s="16">
        <v>51.2430063</v>
      </c>
      <c r="J47" s="16">
        <v>4.39739267</v>
      </c>
      <c r="K47" s="16" t="s">
        <v>54</v>
      </c>
      <c r="L47" s="15"/>
      <c r="M47" s="15"/>
      <c r="N47" s="15"/>
      <c r="O47" s="15"/>
      <c r="P47" s="15"/>
      <c r="Q47" s="15"/>
      <c r="R47" s="15"/>
      <c r="S47" s="15"/>
      <c r="T47" s="15"/>
      <c r="U47" s="15"/>
      <c r="V47" s="15"/>
      <c r="W47" s="15"/>
      <c r="X47" s="15"/>
      <c r="Y47" s="15"/>
      <c r="Z47" s="15"/>
    </row>
    <row r="48">
      <c r="A48" s="16" t="s">
        <v>162</v>
      </c>
      <c r="B48" s="16" t="s">
        <v>163</v>
      </c>
      <c r="C48" s="16" t="s">
        <v>164</v>
      </c>
      <c r="D48" s="16">
        <v>2021.0</v>
      </c>
      <c r="E48" s="16">
        <v>1.0</v>
      </c>
      <c r="F48" s="16" t="s">
        <v>52</v>
      </c>
      <c r="G48" s="16" t="s">
        <v>53</v>
      </c>
      <c r="H48" s="16">
        <v>165.2830189</v>
      </c>
      <c r="I48" s="16">
        <v>53.1028443</v>
      </c>
      <c r="J48" s="16">
        <v>6.8694863</v>
      </c>
      <c r="K48" s="16" t="s">
        <v>54</v>
      </c>
      <c r="L48" s="15"/>
      <c r="M48" s="15"/>
      <c r="N48" s="15"/>
      <c r="O48" s="15"/>
      <c r="P48" s="15"/>
      <c r="Q48" s="15"/>
      <c r="R48" s="15"/>
      <c r="S48" s="15"/>
      <c r="T48" s="15"/>
      <c r="U48" s="15"/>
      <c r="V48" s="15"/>
      <c r="W48" s="15"/>
      <c r="X48" s="15"/>
      <c r="Y48" s="15"/>
      <c r="Z48" s="15"/>
    </row>
    <row r="49">
      <c r="A49" s="16" t="s">
        <v>165</v>
      </c>
      <c r="B49" s="16" t="s">
        <v>166</v>
      </c>
      <c r="C49" s="16" t="s">
        <v>57</v>
      </c>
      <c r="D49" s="16">
        <v>2021.0</v>
      </c>
      <c r="E49" s="16">
        <v>1.0</v>
      </c>
      <c r="F49" s="16" t="s">
        <v>52</v>
      </c>
      <c r="G49" s="16" t="s">
        <v>69</v>
      </c>
      <c r="H49" s="16">
        <v>165.2830189</v>
      </c>
      <c r="I49" s="16">
        <v>51.28281632</v>
      </c>
      <c r="J49" s="16">
        <v>11.98703211</v>
      </c>
      <c r="K49" s="16" t="s">
        <v>54</v>
      </c>
      <c r="L49" s="15"/>
      <c r="M49" s="15"/>
      <c r="N49" s="15"/>
      <c r="O49" s="15"/>
      <c r="P49" s="15"/>
      <c r="Q49" s="15"/>
      <c r="R49" s="15"/>
      <c r="S49" s="15"/>
      <c r="T49" s="15"/>
      <c r="U49" s="15"/>
      <c r="V49" s="15"/>
      <c r="W49" s="15"/>
      <c r="X49" s="15"/>
      <c r="Y49" s="15"/>
      <c r="Z49" s="15"/>
    </row>
    <row r="50">
      <c r="A50" s="16" t="s">
        <v>167</v>
      </c>
      <c r="B50" s="16" t="s">
        <v>168</v>
      </c>
      <c r="C50" s="16" t="s">
        <v>120</v>
      </c>
      <c r="D50" s="16">
        <v>2021.0</v>
      </c>
      <c r="E50" s="16">
        <v>1.0</v>
      </c>
      <c r="F50" s="16" t="s">
        <v>52</v>
      </c>
      <c r="G50" s="16" t="s">
        <v>72</v>
      </c>
      <c r="H50" s="16">
        <v>165.2830189</v>
      </c>
      <c r="I50" s="16">
        <v>47.99299356</v>
      </c>
      <c r="J50" s="16">
        <v>3.710966068</v>
      </c>
      <c r="K50" s="16" t="s">
        <v>54</v>
      </c>
      <c r="L50" s="15"/>
      <c r="M50" s="15"/>
      <c r="N50" s="15"/>
      <c r="O50" s="15"/>
      <c r="P50" s="15"/>
      <c r="Q50" s="15"/>
      <c r="R50" s="15"/>
      <c r="S50" s="15"/>
      <c r="T50" s="15"/>
      <c r="U50" s="15"/>
      <c r="V50" s="15"/>
      <c r="W50" s="15"/>
      <c r="X50" s="15"/>
      <c r="Y50" s="15"/>
      <c r="Z50" s="15"/>
    </row>
    <row r="51">
      <c r="A51" s="16" t="s">
        <v>169</v>
      </c>
      <c r="B51" s="16" t="s">
        <v>170</v>
      </c>
      <c r="C51" s="16" t="s">
        <v>120</v>
      </c>
      <c r="D51" s="16">
        <v>2021.0</v>
      </c>
      <c r="E51" s="16">
        <v>0.75</v>
      </c>
      <c r="F51" s="16" t="s">
        <v>52</v>
      </c>
      <c r="G51" s="16" t="s">
        <v>53</v>
      </c>
      <c r="H51" s="16">
        <v>123.9622642</v>
      </c>
      <c r="I51" s="16">
        <v>46.9744444</v>
      </c>
      <c r="J51" s="16">
        <v>-2.0005556</v>
      </c>
      <c r="K51" s="16" t="s">
        <v>54</v>
      </c>
      <c r="L51" s="15"/>
      <c r="M51" s="15"/>
      <c r="N51" s="15"/>
      <c r="O51" s="15"/>
      <c r="P51" s="15"/>
      <c r="Q51" s="15"/>
      <c r="R51" s="15"/>
      <c r="S51" s="15"/>
      <c r="T51" s="15"/>
      <c r="U51" s="15"/>
      <c r="V51" s="15"/>
      <c r="W51" s="15"/>
      <c r="X51" s="15"/>
      <c r="Y51" s="15"/>
      <c r="Z51" s="15"/>
    </row>
    <row r="52">
      <c r="A52" s="16" t="s">
        <v>171</v>
      </c>
      <c r="B52" s="16" t="s">
        <v>172</v>
      </c>
      <c r="C52" s="16" t="s">
        <v>173</v>
      </c>
      <c r="D52" s="16">
        <v>2022.0</v>
      </c>
      <c r="E52" s="16">
        <v>20.0</v>
      </c>
      <c r="F52" s="16" t="s">
        <v>52</v>
      </c>
      <c r="G52" s="16" t="s">
        <v>174</v>
      </c>
      <c r="H52" s="16">
        <v>3305.660377</v>
      </c>
      <c r="I52" s="16">
        <v>38.66974147</v>
      </c>
      <c r="J52" s="16">
        <v>-4.0609726</v>
      </c>
      <c r="K52" s="16" t="s">
        <v>54</v>
      </c>
      <c r="L52" s="15"/>
      <c r="M52" s="15"/>
      <c r="N52" s="15"/>
      <c r="O52" s="15"/>
      <c r="P52" s="15"/>
      <c r="Q52" s="15"/>
      <c r="R52" s="15"/>
      <c r="S52" s="15"/>
      <c r="T52" s="15"/>
      <c r="U52" s="15"/>
      <c r="V52" s="15"/>
      <c r="W52" s="15"/>
      <c r="X52" s="15"/>
      <c r="Y52" s="15"/>
      <c r="Z52" s="15"/>
    </row>
    <row r="53">
      <c r="A53" s="16" t="s">
        <v>175</v>
      </c>
      <c r="B53" s="16" t="s">
        <v>176</v>
      </c>
      <c r="C53" s="16" t="s">
        <v>57</v>
      </c>
      <c r="D53" s="16">
        <v>2022.0</v>
      </c>
      <c r="E53" s="16">
        <v>9.0</v>
      </c>
      <c r="F53" s="16" t="s">
        <v>52</v>
      </c>
      <c r="G53" s="16" t="s">
        <v>53</v>
      </c>
      <c r="H53" s="16">
        <v>1487.54717</v>
      </c>
      <c r="I53" s="16">
        <v>50.0373241</v>
      </c>
      <c r="J53" s="16">
        <v>12.0027278</v>
      </c>
      <c r="K53" s="16" t="s">
        <v>54</v>
      </c>
      <c r="L53" s="15"/>
      <c r="M53" s="15"/>
      <c r="N53" s="15"/>
      <c r="O53" s="15"/>
      <c r="P53" s="15"/>
      <c r="Q53" s="15"/>
      <c r="R53" s="15"/>
      <c r="S53" s="15"/>
      <c r="T53" s="15"/>
      <c r="U53" s="15"/>
      <c r="V53" s="15"/>
      <c r="W53" s="15"/>
      <c r="X53" s="15"/>
      <c r="Y53" s="15"/>
      <c r="Z53" s="15"/>
    </row>
    <row r="54">
      <c r="A54" s="16" t="s">
        <v>177</v>
      </c>
      <c r="B54" s="16" t="s">
        <v>178</v>
      </c>
      <c r="C54" s="16" t="s">
        <v>98</v>
      </c>
      <c r="D54" s="16">
        <v>2022.0</v>
      </c>
      <c r="E54" s="16">
        <v>5.5</v>
      </c>
      <c r="F54" s="16" t="s">
        <v>52</v>
      </c>
      <c r="G54" s="15"/>
      <c r="H54" s="16">
        <v>909.0566038</v>
      </c>
      <c r="I54" s="16">
        <v>59.12122228</v>
      </c>
      <c r="J54" s="16">
        <v>9.6305157</v>
      </c>
      <c r="K54" s="16" t="s">
        <v>54</v>
      </c>
      <c r="L54" s="15"/>
      <c r="M54" s="15"/>
      <c r="N54" s="15"/>
      <c r="O54" s="15"/>
      <c r="P54" s="15"/>
      <c r="Q54" s="15"/>
      <c r="R54" s="15"/>
      <c r="S54" s="15"/>
      <c r="T54" s="15"/>
      <c r="U54" s="15"/>
      <c r="V54" s="15"/>
      <c r="W54" s="15"/>
      <c r="X54" s="15"/>
      <c r="Y54" s="15"/>
      <c r="Z54" s="15"/>
    </row>
    <row r="55">
      <c r="A55" s="16" t="s">
        <v>179</v>
      </c>
      <c r="B55" s="16" t="s">
        <v>180</v>
      </c>
      <c r="C55" s="16" t="s">
        <v>57</v>
      </c>
      <c r="D55" s="16">
        <v>2022.0</v>
      </c>
      <c r="E55" s="16">
        <v>3.89</v>
      </c>
      <c r="F55" s="16" t="s">
        <v>52</v>
      </c>
      <c r="G55" s="16" t="s">
        <v>53</v>
      </c>
      <c r="H55" s="16">
        <v>642.9509434</v>
      </c>
      <c r="I55" s="16">
        <v>53.4962103</v>
      </c>
      <c r="J55" s="16">
        <v>9.113741733</v>
      </c>
      <c r="K55" s="16" t="s">
        <v>54</v>
      </c>
      <c r="L55" s="15"/>
      <c r="M55" s="15"/>
      <c r="N55" s="15"/>
      <c r="O55" s="15"/>
      <c r="P55" s="15"/>
      <c r="Q55" s="15"/>
      <c r="R55" s="15"/>
      <c r="S55" s="15"/>
      <c r="T55" s="15"/>
      <c r="U55" s="15"/>
      <c r="V55" s="15"/>
      <c r="W55" s="15"/>
      <c r="X55" s="15"/>
      <c r="Y55" s="15"/>
      <c r="Z55" s="15"/>
    </row>
    <row r="56">
      <c r="A56" s="16" t="s">
        <v>181</v>
      </c>
      <c r="B56" s="16" t="s">
        <v>182</v>
      </c>
      <c r="C56" s="16" t="s">
        <v>173</v>
      </c>
      <c r="D56" s="16">
        <v>2022.0</v>
      </c>
      <c r="E56" s="16">
        <v>2.5</v>
      </c>
      <c r="F56" s="16" t="s">
        <v>52</v>
      </c>
      <c r="G56" s="16" t="s">
        <v>53</v>
      </c>
      <c r="H56" s="16">
        <v>413.2075472</v>
      </c>
      <c r="I56" s="16">
        <v>41.28482082</v>
      </c>
      <c r="J56" s="16">
        <v>1.946659641</v>
      </c>
      <c r="K56" s="16" t="s">
        <v>54</v>
      </c>
      <c r="L56" s="15"/>
      <c r="M56" s="15"/>
      <c r="N56" s="15"/>
      <c r="O56" s="15"/>
      <c r="P56" s="15"/>
      <c r="Q56" s="15"/>
      <c r="R56" s="15"/>
      <c r="S56" s="15"/>
      <c r="T56" s="15"/>
      <c r="U56" s="15"/>
      <c r="V56" s="15"/>
      <c r="W56" s="15"/>
      <c r="X56" s="15"/>
      <c r="Y56" s="15"/>
      <c r="Z56" s="15"/>
    </row>
    <row r="57">
      <c r="A57" s="16" t="s">
        <v>183</v>
      </c>
      <c r="B57" s="16" t="s">
        <v>184</v>
      </c>
      <c r="C57" s="16" t="s">
        <v>173</v>
      </c>
      <c r="D57" s="16">
        <v>2022.0</v>
      </c>
      <c r="E57" s="16">
        <v>2.5</v>
      </c>
      <c r="F57" s="16" t="s">
        <v>52</v>
      </c>
      <c r="G57" s="16" t="s">
        <v>53</v>
      </c>
      <c r="H57" s="16">
        <v>413.2075472</v>
      </c>
      <c r="I57" s="16">
        <v>39.70346726</v>
      </c>
      <c r="J57" s="16">
        <v>2.866784383</v>
      </c>
      <c r="K57" s="16" t="s">
        <v>54</v>
      </c>
      <c r="L57" s="15"/>
      <c r="M57" s="15"/>
      <c r="N57" s="15"/>
      <c r="O57" s="15"/>
      <c r="P57" s="15"/>
      <c r="Q57" s="15"/>
      <c r="R57" s="15"/>
      <c r="S57" s="15"/>
      <c r="T57" s="15"/>
      <c r="U57" s="15"/>
      <c r="V57" s="15"/>
      <c r="W57" s="15"/>
      <c r="X57" s="15"/>
      <c r="Y57" s="15"/>
      <c r="Z57" s="15"/>
    </row>
    <row r="58">
      <c r="A58" s="16" t="s">
        <v>185</v>
      </c>
      <c r="B58" s="16" t="s">
        <v>186</v>
      </c>
      <c r="C58" s="16" t="s">
        <v>127</v>
      </c>
      <c r="D58" s="16">
        <v>2022.0</v>
      </c>
      <c r="E58" s="16">
        <v>2.5</v>
      </c>
      <c r="F58" s="16" t="s">
        <v>52</v>
      </c>
      <c r="G58" s="16" t="s">
        <v>69</v>
      </c>
      <c r="H58" s="16">
        <v>413.2075472</v>
      </c>
      <c r="I58" s="16">
        <v>47.4068827</v>
      </c>
      <c r="J58" s="16">
        <v>8.4020894</v>
      </c>
      <c r="K58" s="16" t="s">
        <v>54</v>
      </c>
      <c r="L58" s="15"/>
      <c r="M58" s="15"/>
      <c r="N58" s="15"/>
      <c r="O58" s="15"/>
      <c r="P58" s="15"/>
      <c r="Q58" s="15"/>
      <c r="R58" s="15"/>
      <c r="S58" s="15"/>
      <c r="T58" s="15"/>
      <c r="U58" s="15"/>
      <c r="V58" s="15"/>
      <c r="W58" s="15"/>
      <c r="X58" s="15"/>
      <c r="Y58" s="15"/>
      <c r="Z58" s="15"/>
    </row>
    <row r="59">
      <c r="A59" s="16" t="s">
        <v>187</v>
      </c>
      <c r="B59" s="16" t="s">
        <v>188</v>
      </c>
      <c r="C59" s="16" t="s">
        <v>57</v>
      </c>
      <c r="D59" s="16">
        <v>2022.0</v>
      </c>
      <c r="E59" s="16">
        <v>2.0</v>
      </c>
      <c r="F59" s="16" t="s">
        <v>52</v>
      </c>
      <c r="G59" s="16" t="s">
        <v>53</v>
      </c>
      <c r="H59" s="16">
        <v>330.5660377</v>
      </c>
      <c r="I59" s="16">
        <v>52.6474242</v>
      </c>
      <c r="J59" s="16">
        <v>7.0947959</v>
      </c>
      <c r="K59" s="16" t="s">
        <v>54</v>
      </c>
      <c r="L59" s="15"/>
      <c r="M59" s="15"/>
      <c r="N59" s="15"/>
      <c r="O59" s="15"/>
      <c r="P59" s="15"/>
      <c r="Q59" s="15"/>
      <c r="R59" s="15"/>
      <c r="S59" s="15"/>
      <c r="T59" s="15"/>
      <c r="U59" s="15"/>
      <c r="V59" s="15"/>
      <c r="W59" s="15"/>
      <c r="X59" s="15"/>
      <c r="Y59" s="15"/>
      <c r="Z59" s="15"/>
    </row>
    <row r="60">
      <c r="A60" s="16" t="s">
        <v>189</v>
      </c>
      <c r="B60" s="16" t="s">
        <v>190</v>
      </c>
      <c r="C60" s="16" t="s">
        <v>86</v>
      </c>
      <c r="D60" s="16">
        <v>2022.0</v>
      </c>
      <c r="E60" s="16">
        <v>2.0</v>
      </c>
      <c r="F60" s="16" t="s">
        <v>52</v>
      </c>
      <c r="G60" s="16" t="s">
        <v>53</v>
      </c>
      <c r="H60" s="16">
        <v>330.5660377</v>
      </c>
      <c r="I60" s="16">
        <v>55.6255437</v>
      </c>
      <c r="J60" s="16">
        <v>12.4550501</v>
      </c>
      <c r="K60" s="16" t="s">
        <v>54</v>
      </c>
      <c r="L60" s="15"/>
      <c r="M60" s="15"/>
      <c r="N60" s="15"/>
      <c r="O60" s="15"/>
      <c r="P60" s="15"/>
      <c r="Q60" s="15"/>
      <c r="R60" s="15"/>
      <c r="S60" s="15"/>
      <c r="T60" s="15"/>
      <c r="U60" s="15"/>
      <c r="V60" s="15"/>
      <c r="W60" s="15"/>
      <c r="X60" s="15"/>
      <c r="Y60" s="15"/>
      <c r="Z60" s="15"/>
    </row>
    <row r="61">
      <c r="A61" s="16" t="s">
        <v>191</v>
      </c>
      <c r="B61" s="16" t="s">
        <v>192</v>
      </c>
      <c r="C61" s="16" t="s">
        <v>127</v>
      </c>
      <c r="D61" s="16">
        <v>2022.0</v>
      </c>
      <c r="E61" s="16">
        <v>2.0</v>
      </c>
      <c r="F61" s="16" t="s">
        <v>52</v>
      </c>
      <c r="G61" s="16" t="s">
        <v>53</v>
      </c>
      <c r="H61" s="16">
        <v>330.5660377</v>
      </c>
      <c r="I61" s="16">
        <v>47.40058001</v>
      </c>
      <c r="J61" s="16">
        <v>9.32816181</v>
      </c>
      <c r="K61" s="16" t="s">
        <v>54</v>
      </c>
      <c r="L61" s="15"/>
      <c r="M61" s="15"/>
      <c r="N61" s="15"/>
      <c r="O61" s="15"/>
      <c r="P61" s="15"/>
      <c r="Q61" s="15"/>
      <c r="R61" s="15"/>
      <c r="S61" s="15"/>
      <c r="T61" s="15"/>
      <c r="U61" s="15"/>
      <c r="V61" s="15"/>
      <c r="W61" s="15"/>
      <c r="X61" s="15"/>
      <c r="Y61" s="15"/>
      <c r="Z61" s="15"/>
    </row>
    <row r="62">
      <c r="A62" s="16" t="s">
        <v>193</v>
      </c>
      <c r="B62" s="16" t="s">
        <v>194</v>
      </c>
      <c r="C62" s="16" t="s">
        <v>164</v>
      </c>
      <c r="D62" s="16">
        <v>2022.0</v>
      </c>
      <c r="E62" s="16">
        <v>1.4</v>
      </c>
      <c r="F62" s="16" t="s">
        <v>52</v>
      </c>
      <c r="G62" s="16" t="s">
        <v>53</v>
      </c>
      <c r="H62" s="16">
        <v>231.3962264</v>
      </c>
      <c r="I62" s="16">
        <v>53.0019687</v>
      </c>
      <c r="J62" s="16">
        <v>6.292133564</v>
      </c>
      <c r="K62" s="16" t="s">
        <v>54</v>
      </c>
      <c r="L62" s="15"/>
      <c r="M62" s="15"/>
      <c r="N62" s="15"/>
      <c r="O62" s="15"/>
      <c r="P62" s="15"/>
      <c r="Q62" s="15"/>
      <c r="R62" s="15"/>
      <c r="S62" s="15"/>
      <c r="T62" s="15"/>
      <c r="U62" s="15"/>
      <c r="V62" s="15"/>
      <c r="W62" s="15"/>
      <c r="X62" s="15"/>
      <c r="Y62" s="15"/>
      <c r="Z62" s="15"/>
    </row>
    <row r="63">
      <c r="A63" s="16" t="s">
        <v>195</v>
      </c>
      <c r="B63" s="16" t="s">
        <v>196</v>
      </c>
      <c r="C63" s="16" t="s">
        <v>197</v>
      </c>
      <c r="D63" s="16">
        <v>2022.0</v>
      </c>
      <c r="E63" s="16">
        <v>1.0</v>
      </c>
      <c r="F63" s="16" t="s">
        <v>52</v>
      </c>
      <c r="G63" s="15"/>
      <c r="H63" s="16">
        <v>165.2830189</v>
      </c>
      <c r="I63" s="16">
        <v>38.0668785</v>
      </c>
      <c r="J63" s="16">
        <v>23.51624629</v>
      </c>
      <c r="K63" s="16" t="s">
        <v>54</v>
      </c>
      <c r="L63" s="15"/>
      <c r="M63" s="15"/>
      <c r="N63" s="15"/>
      <c r="O63" s="15"/>
      <c r="P63" s="15"/>
      <c r="Q63" s="15"/>
      <c r="R63" s="15"/>
      <c r="S63" s="15"/>
      <c r="T63" s="15"/>
      <c r="U63" s="15"/>
      <c r="V63" s="15"/>
      <c r="W63" s="15"/>
      <c r="X63" s="15"/>
      <c r="Y63" s="15"/>
      <c r="Z63" s="15"/>
    </row>
    <row r="64">
      <c r="A64" s="16" t="s">
        <v>198</v>
      </c>
      <c r="B64" s="16" t="s">
        <v>199</v>
      </c>
      <c r="C64" s="16" t="s">
        <v>120</v>
      </c>
      <c r="D64" s="16">
        <v>2022.0</v>
      </c>
      <c r="E64" s="16">
        <v>1.0</v>
      </c>
      <c r="F64" s="16" t="s">
        <v>52</v>
      </c>
      <c r="G64" s="16" t="s">
        <v>60</v>
      </c>
      <c r="H64" s="16">
        <v>165.2830189</v>
      </c>
      <c r="I64" s="16">
        <v>47.26419732</v>
      </c>
      <c r="J64" s="16">
        <v>-2.65015716</v>
      </c>
      <c r="K64" s="16" t="s">
        <v>54</v>
      </c>
      <c r="L64" s="15"/>
      <c r="M64" s="15"/>
      <c r="N64" s="15"/>
      <c r="O64" s="15"/>
      <c r="P64" s="15"/>
      <c r="Q64" s="15"/>
      <c r="R64" s="15"/>
      <c r="S64" s="15"/>
      <c r="T64" s="15"/>
      <c r="U64" s="15"/>
      <c r="V64" s="15"/>
      <c r="W64" s="15"/>
      <c r="X64" s="15"/>
      <c r="Y64" s="15"/>
      <c r="Z64" s="15"/>
    </row>
    <row r="65">
      <c r="A65" s="16" t="s">
        <v>200</v>
      </c>
      <c r="B65" s="16" t="s">
        <v>201</v>
      </c>
      <c r="C65" s="16" t="s">
        <v>83</v>
      </c>
      <c r="D65" s="16">
        <v>2022.0</v>
      </c>
      <c r="E65" s="16">
        <v>0.9</v>
      </c>
      <c r="F65" s="16" t="s">
        <v>52</v>
      </c>
      <c r="G65" s="16" t="s">
        <v>53</v>
      </c>
      <c r="H65" s="16">
        <v>148.754717</v>
      </c>
      <c r="I65" s="16">
        <v>52.06817589</v>
      </c>
      <c r="J65" s="16">
        <v>-0.6307821196</v>
      </c>
      <c r="K65" s="16" t="s">
        <v>54</v>
      </c>
      <c r="L65" s="15"/>
      <c r="M65" s="15"/>
      <c r="N65" s="15"/>
      <c r="O65" s="15"/>
      <c r="P65" s="15"/>
      <c r="Q65" s="15"/>
      <c r="R65" s="15"/>
      <c r="S65" s="15"/>
      <c r="T65" s="15"/>
      <c r="U65" s="15"/>
      <c r="V65" s="15"/>
      <c r="W65" s="15"/>
      <c r="X65" s="15"/>
      <c r="Y65" s="15"/>
      <c r="Z65" s="15"/>
    </row>
    <row r="66">
      <c r="A66" s="16" t="s">
        <v>202</v>
      </c>
      <c r="B66" s="16" t="s">
        <v>203</v>
      </c>
      <c r="C66" s="16" t="s">
        <v>51</v>
      </c>
      <c r="D66" s="16">
        <v>2023.0</v>
      </c>
      <c r="E66" s="16">
        <v>20.0</v>
      </c>
      <c r="F66" s="16" t="s">
        <v>52</v>
      </c>
      <c r="G66" s="16" t="s">
        <v>111</v>
      </c>
      <c r="H66" s="16">
        <v>3305.660377</v>
      </c>
      <c r="I66" s="16">
        <v>60.54537038</v>
      </c>
      <c r="J66" s="16">
        <v>16.29973593</v>
      </c>
      <c r="K66" s="16" t="s">
        <v>54</v>
      </c>
      <c r="L66" s="15"/>
      <c r="M66" s="15"/>
      <c r="N66" s="15"/>
      <c r="O66" s="15"/>
      <c r="P66" s="15"/>
      <c r="Q66" s="15"/>
      <c r="R66" s="15"/>
      <c r="S66" s="15"/>
      <c r="T66" s="15"/>
      <c r="U66" s="15"/>
      <c r="V66" s="15"/>
      <c r="W66" s="15"/>
      <c r="X66" s="15"/>
      <c r="Y66" s="15"/>
      <c r="Z66" s="15"/>
    </row>
    <row r="67">
      <c r="A67" s="16" t="s">
        <v>204</v>
      </c>
      <c r="B67" s="16" t="s">
        <v>205</v>
      </c>
      <c r="C67" s="16" t="s">
        <v>57</v>
      </c>
      <c r="D67" s="16">
        <v>2023.0</v>
      </c>
      <c r="E67" s="16">
        <v>10.0</v>
      </c>
      <c r="F67" s="16" t="s">
        <v>52</v>
      </c>
      <c r="G67" s="16" t="s">
        <v>103</v>
      </c>
      <c r="H67" s="16">
        <v>1652.830189</v>
      </c>
      <c r="I67" s="16">
        <v>48.79126545</v>
      </c>
      <c r="J67" s="16">
        <v>9.837467533</v>
      </c>
      <c r="K67" s="16" t="s">
        <v>54</v>
      </c>
      <c r="L67" s="15"/>
      <c r="M67" s="15"/>
      <c r="N67" s="15"/>
      <c r="O67" s="15"/>
      <c r="P67" s="15"/>
      <c r="Q67" s="15"/>
      <c r="R67" s="15"/>
      <c r="S67" s="15"/>
      <c r="T67" s="15"/>
      <c r="U67" s="15"/>
      <c r="V67" s="15"/>
      <c r="W67" s="15"/>
      <c r="X67" s="15"/>
      <c r="Y67" s="15"/>
      <c r="Z67" s="15"/>
    </row>
    <row r="68">
      <c r="A68" s="16" t="s">
        <v>206</v>
      </c>
      <c r="B68" s="16" t="s">
        <v>207</v>
      </c>
      <c r="C68" s="16" t="s">
        <v>173</v>
      </c>
      <c r="D68" s="16">
        <v>2023.0</v>
      </c>
      <c r="E68" s="16">
        <v>8.0</v>
      </c>
      <c r="F68" s="16" t="s">
        <v>52</v>
      </c>
      <c r="G68" s="16" t="s">
        <v>111</v>
      </c>
      <c r="H68" s="16">
        <v>1322.264151</v>
      </c>
      <c r="I68" s="16">
        <v>39.96497328</v>
      </c>
      <c r="J68" s="16">
        <v>-0.2587633218</v>
      </c>
      <c r="K68" s="16" t="s">
        <v>54</v>
      </c>
      <c r="L68" s="15"/>
      <c r="M68" s="15"/>
      <c r="N68" s="15"/>
      <c r="O68" s="15"/>
      <c r="P68" s="15"/>
      <c r="Q68" s="15"/>
      <c r="R68" s="15"/>
      <c r="S68" s="15"/>
      <c r="T68" s="15"/>
      <c r="U68" s="15"/>
      <c r="V68" s="15"/>
      <c r="W68" s="15"/>
      <c r="X68" s="15"/>
      <c r="Y68" s="15"/>
      <c r="Z68" s="15"/>
    </row>
    <row r="69">
      <c r="A69" s="16" t="s">
        <v>208</v>
      </c>
      <c r="B69" s="16" t="s">
        <v>209</v>
      </c>
      <c r="C69" s="16" t="s">
        <v>86</v>
      </c>
      <c r="D69" s="16">
        <v>2023.0</v>
      </c>
      <c r="E69" s="16">
        <v>6.0</v>
      </c>
      <c r="F69" s="16" t="s">
        <v>52</v>
      </c>
      <c r="G69" s="16" t="s">
        <v>64</v>
      </c>
      <c r="H69" s="16">
        <v>991.6981132</v>
      </c>
      <c r="I69" s="16">
        <v>56.64291412</v>
      </c>
      <c r="J69" s="16">
        <v>8.972544213</v>
      </c>
      <c r="K69" s="16" t="s">
        <v>54</v>
      </c>
      <c r="L69" s="15"/>
      <c r="M69" s="15"/>
      <c r="N69" s="15"/>
      <c r="O69" s="15"/>
      <c r="P69" s="15"/>
      <c r="Q69" s="15"/>
      <c r="R69" s="15"/>
      <c r="S69" s="15"/>
      <c r="T69" s="15"/>
      <c r="U69" s="15"/>
      <c r="V69" s="15"/>
      <c r="W69" s="15"/>
      <c r="X69" s="15"/>
      <c r="Y69" s="15"/>
      <c r="Z69" s="15"/>
    </row>
    <row r="70">
      <c r="A70" s="16" t="s">
        <v>210</v>
      </c>
      <c r="B70" s="16" t="s">
        <v>211</v>
      </c>
      <c r="C70" s="16" t="s">
        <v>86</v>
      </c>
      <c r="D70" s="16">
        <v>2023.0</v>
      </c>
      <c r="E70" s="16">
        <v>6.0</v>
      </c>
      <c r="F70" s="16" t="s">
        <v>52</v>
      </c>
      <c r="G70" s="16" t="s">
        <v>64</v>
      </c>
      <c r="H70" s="16">
        <v>991.6981132</v>
      </c>
      <c r="I70" s="16">
        <v>54.92880052</v>
      </c>
      <c r="J70" s="16">
        <v>9.878858422</v>
      </c>
      <c r="K70" s="16" t="s">
        <v>54</v>
      </c>
      <c r="L70" s="15"/>
      <c r="M70" s="15"/>
      <c r="N70" s="15"/>
      <c r="O70" s="15"/>
      <c r="P70" s="15"/>
      <c r="Q70" s="15"/>
      <c r="R70" s="15"/>
      <c r="S70" s="15"/>
      <c r="T70" s="15"/>
      <c r="U70" s="15"/>
      <c r="V70" s="15"/>
      <c r="W70" s="15"/>
      <c r="X70" s="15"/>
      <c r="Y70" s="15"/>
      <c r="Z70" s="15"/>
    </row>
    <row r="71">
      <c r="A71" s="16" t="s">
        <v>212</v>
      </c>
      <c r="B71" s="16" t="s">
        <v>213</v>
      </c>
      <c r="C71" s="16" t="s">
        <v>120</v>
      </c>
      <c r="D71" s="16">
        <v>2023.0</v>
      </c>
      <c r="E71" s="16">
        <v>5.0</v>
      </c>
      <c r="F71" s="16" t="s">
        <v>52</v>
      </c>
      <c r="G71" s="16" t="s">
        <v>53</v>
      </c>
      <c r="H71" s="16">
        <v>826.4150943</v>
      </c>
      <c r="I71" s="16">
        <v>47.91200576</v>
      </c>
      <c r="J71" s="16">
        <v>-2.678655801</v>
      </c>
      <c r="K71" s="16" t="s">
        <v>54</v>
      </c>
      <c r="L71" s="15"/>
      <c r="M71" s="15"/>
      <c r="N71" s="15"/>
      <c r="O71" s="15"/>
      <c r="P71" s="15"/>
      <c r="Q71" s="15"/>
      <c r="R71" s="15"/>
      <c r="S71" s="15"/>
      <c r="T71" s="15"/>
      <c r="U71" s="15"/>
      <c r="V71" s="15"/>
      <c r="W71" s="15"/>
      <c r="X71" s="15"/>
      <c r="Y71" s="15"/>
      <c r="Z71" s="15"/>
    </row>
    <row r="72">
      <c r="A72" s="16" t="s">
        <v>214</v>
      </c>
      <c r="B72" s="16" t="s">
        <v>215</v>
      </c>
      <c r="C72" s="16" t="s">
        <v>120</v>
      </c>
      <c r="D72" s="16">
        <v>2023.0</v>
      </c>
      <c r="E72" s="16">
        <v>5.0</v>
      </c>
      <c r="F72" s="16" t="s">
        <v>52</v>
      </c>
      <c r="G72" s="15"/>
      <c r="H72" s="16">
        <v>826.4150943</v>
      </c>
      <c r="I72" s="16">
        <v>43.79705438</v>
      </c>
      <c r="J72" s="16">
        <v>1.564101997</v>
      </c>
      <c r="K72" s="16" t="s">
        <v>54</v>
      </c>
      <c r="L72" s="15"/>
      <c r="M72" s="15"/>
      <c r="N72" s="15"/>
      <c r="O72" s="15"/>
      <c r="P72" s="15"/>
      <c r="Q72" s="15"/>
      <c r="R72" s="15"/>
      <c r="S72" s="15"/>
      <c r="T72" s="15"/>
      <c r="U72" s="15"/>
      <c r="V72" s="15"/>
      <c r="W72" s="15"/>
      <c r="X72" s="15"/>
      <c r="Y72" s="15"/>
      <c r="Z72" s="15"/>
    </row>
    <row r="73">
      <c r="A73" s="16" t="s">
        <v>216</v>
      </c>
      <c r="B73" s="16" t="s">
        <v>217</v>
      </c>
      <c r="C73" s="16" t="s">
        <v>108</v>
      </c>
      <c r="D73" s="16">
        <v>2023.0</v>
      </c>
      <c r="E73" s="16">
        <v>3.2</v>
      </c>
      <c r="F73" s="16" t="s">
        <v>52</v>
      </c>
      <c r="G73" s="16" t="s">
        <v>111</v>
      </c>
      <c r="H73" s="16">
        <v>528.9056604</v>
      </c>
      <c r="I73" s="16">
        <v>47.2537082</v>
      </c>
      <c r="J73" s="16">
        <v>11.323817</v>
      </c>
      <c r="K73" s="16" t="s">
        <v>54</v>
      </c>
      <c r="L73" s="15"/>
      <c r="M73" s="15"/>
      <c r="N73" s="15"/>
      <c r="O73" s="15"/>
      <c r="P73" s="15"/>
      <c r="Q73" s="15"/>
      <c r="R73" s="15"/>
      <c r="S73" s="15"/>
      <c r="T73" s="15"/>
      <c r="U73" s="15"/>
      <c r="V73" s="15"/>
      <c r="W73" s="15"/>
      <c r="X73" s="15"/>
      <c r="Y73" s="15"/>
      <c r="Z73" s="15"/>
    </row>
    <row r="74">
      <c r="A74" s="16" t="s">
        <v>218</v>
      </c>
      <c r="B74" s="16" t="s">
        <v>219</v>
      </c>
      <c r="C74" s="16" t="s">
        <v>57</v>
      </c>
      <c r="D74" s="16">
        <v>2023.0</v>
      </c>
      <c r="E74" s="16">
        <v>2.6</v>
      </c>
      <c r="F74" s="16" t="s">
        <v>52</v>
      </c>
      <c r="G74" s="16" t="s">
        <v>53</v>
      </c>
      <c r="H74" s="16">
        <v>429.7358491</v>
      </c>
      <c r="I74" s="16">
        <v>53.84462699</v>
      </c>
      <c r="J74" s="16">
        <v>8.750480013</v>
      </c>
      <c r="K74" s="16" t="s">
        <v>54</v>
      </c>
      <c r="L74" s="15"/>
      <c r="M74" s="15"/>
      <c r="N74" s="15"/>
      <c r="O74" s="15"/>
      <c r="P74" s="15"/>
      <c r="Q74" s="15"/>
      <c r="R74" s="15"/>
      <c r="S74" s="15"/>
      <c r="T74" s="15"/>
      <c r="U74" s="15"/>
      <c r="V74" s="15"/>
      <c r="W74" s="15"/>
      <c r="X74" s="15"/>
      <c r="Y74" s="15"/>
      <c r="Z74" s="15"/>
    </row>
    <row r="75">
      <c r="A75" s="16" t="s">
        <v>220</v>
      </c>
      <c r="B75" s="16" t="s">
        <v>221</v>
      </c>
      <c r="C75" s="16" t="s">
        <v>173</v>
      </c>
      <c r="D75" s="16">
        <v>2023.0</v>
      </c>
      <c r="E75" s="16">
        <v>2.5</v>
      </c>
      <c r="F75" s="16" t="s">
        <v>52</v>
      </c>
      <c r="G75" s="16" t="s">
        <v>95</v>
      </c>
      <c r="H75" s="16">
        <v>413.2075472</v>
      </c>
      <c r="I75" s="16">
        <v>43.32807726</v>
      </c>
      <c r="J75" s="16">
        <v>-3.108144765</v>
      </c>
      <c r="K75" s="16" t="s">
        <v>54</v>
      </c>
      <c r="L75" s="15"/>
      <c r="M75" s="15"/>
      <c r="N75" s="15"/>
      <c r="O75" s="15"/>
      <c r="P75" s="15"/>
      <c r="Q75" s="15"/>
      <c r="R75" s="15"/>
      <c r="S75" s="15"/>
      <c r="T75" s="15"/>
      <c r="U75" s="15"/>
      <c r="V75" s="15"/>
      <c r="W75" s="15"/>
      <c r="X75" s="15"/>
      <c r="Y75" s="15"/>
      <c r="Z75" s="15"/>
    </row>
    <row r="76">
      <c r="A76" s="16" t="s">
        <v>222</v>
      </c>
      <c r="B76" s="16" t="s">
        <v>223</v>
      </c>
      <c r="C76" s="16" t="s">
        <v>98</v>
      </c>
      <c r="D76" s="16">
        <v>2023.0</v>
      </c>
      <c r="E76" s="16">
        <v>2.5</v>
      </c>
      <c r="F76" s="16" t="s">
        <v>52</v>
      </c>
      <c r="G76" s="16" t="s">
        <v>60</v>
      </c>
      <c r="H76" s="16">
        <v>413.2075472</v>
      </c>
      <c r="I76" s="16">
        <v>70.79904505</v>
      </c>
      <c r="J76" s="16">
        <v>29.15052865</v>
      </c>
      <c r="K76" s="16" t="s">
        <v>54</v>
      </c>
      <c r="L76" s="15"/>
      <c r="M76" s="15"/>
      <c r="N76" s="15"/>
      <c r="O76" s="15"/>
      <c r="P76" s="15"/>
      <c r="Q76" s="15"/>
      <c r="R76" s="15"/>
      <c r="S76" s="15"/>
      <c r="T76" s="15"/>
      <c r="U76" s="15"/>
      <c r="V76" s="15"/>
      <c r="W76" s="15"/>
      <c r="X76" s="15"/>
      <c r="Y76" s="15"/>
      <c r="Z76" s="15"/>
    </row>
    <row r="77">
      <c r="A77" s="16" t="s">
        <v>224</v>
      </c>
      <c r="B77" s="16" t="s">
        <v>225</v>
      </c>
      <c r="C77" s="16" t="s">
        <v>164</v>
      </c>
      <c r="D77" s="16">
        <v>2023.0</v>
      </c>
      <c r="E77" s="16">
        <v>2.5</v>
      </c>
      <c r="F77" s="16" t="s">
        <v>52</v>
      </c>
      <c r="G77" s="16" t="s">
        <v>95</v>
      </c>
      <c r="H77" s="16">
        <v>413.2075472</v>
      </c>
      <c r="I77" s="16">
        <v>51.96648874</v>
      </c>
      <c r="J77" s="16">
        <v>4.037327986</v>
      </c>
      <c r="K77" s="16" t="s">
        <v>54</v>
      </c>
      <c r="L77" s="15"/>
      <c r="M77" s="15"/>
      <c r="N77" s="15"/>
      <c r="O77" s="15"/>
      <c r="P77" s="15"/>
      <c r="Q77" s="15"/>
      <c r="R77" s="15"/>
      <c r="S77" s="15"/>
      <c r="T77" s="15"/>
      <c r="U77" s="15"/>
      <c r="V77" s="15"/>
      <c r="W77" s="15"/>
      <c r="X77" s="15"/>
      <c r="Y77" s="15"/>
      <c r="Z77" s="15"/>
    </row>
    <row r="78">
      <c r="A78" s="16" t="s">
        <v>226</v>
      </c>
      <c r="B78" s="16" t="s">
        <v>227</v>
      </c>
      <c r="C78" s="16" t="s">
        <v>120</v>
      </c>
      <c r="D78" s="16">
        <v>2023.0</v>
      </c>
      <c r="E78" s="16">
        <v>2.5</v>
      </c>
      <c r="F78" s="16" t="s">
        <v>52</v>
      </c>
      <c r="G78" s="16" t="s">
        <v>53</v>
      </c>
      <c r="H78" s="16">
        <v>413.2075472</v>
      </c>
      <c r="I78" s="16">
        <v>45.7028198</v>
      </c>
      <c r="J78" s="16">
        <v>4.848898852</v>
      </c>
      <c r="K78" s="16" t="s">
        <v>54</v>
      </c>
      <c r="L78" s="15"/>
      <c r="M78" s="15"/>
      <c r="N78" s="15"/>
      <c r="O78" s="15"/>
      <c r="P78" s="15"/>
      <c r="Q78" s="15"/>
      <c r="R78" s="15"/>
      <c r="S78" s="15"/>
      <c r="T78" s="15"/>
      <c r="U78" s="15"/>
      <c r="V78" s="15"/>
      <c r="W78" s="15"/>
      <c r="X78" s="15"/>
      <c r="Y78" s="15"/>
      <c r="Z78" s="15"/>
    </row>
    <row r="79">
      <c r="A79" s="16" t="s">
        <v>228</v>
      </c>
      <c r="B79" s="16" t="s">
        <v>229</v>
      </c>
      <c r="C79" s="16" t="s">
        <v>127</v>
      </c>
      <c r="D79" s="16">
        <v>2023.0</v>
      </c>
      <c r="E79" s="16">
        <v>2.0</v>
      </c>
      <c r="F79" s="16" t="s">
        <v>52</v>
      </c>
      <c r="G79" s="16" t="s">
        <v>53</v>
      </c>
      <c r="H79" s="16">
        <v>330.5660377</v>
      </c>
      <c r="I79" s="16">
        <v>46.88248957</v>
      </c>
      <c r="J79" s="16">
        <v>7.193732928</v>
      </c>
      <c r="K79" s="16" t="s">
        <v>54</v>
      </c>
      <c r="L79" s="15"/>
      <c r="M79" s="15"/>
      <c r="N79" s="15"/>
      <c r="O79" s="15"/>
      <c r="P79" s="15"/>
      <c r="Q79" s="15"/>
      <c r="R79" s="15"/>
      <c r="S79" s="15"/>
      <c r="T79" s="15"/>
      <c r="U79" s="15"/>
      <c r="V79" s="15"/>
      <c r="W79" s="15"/>
      <c r="X79" s="15"/>
      <c r="Y79" s="15"/>
      <c r="Z79" s="15"/>
    </row>
    <row r="80">
      <c r="A80" s="16" t="s">
        <v>230</v>
      </c>
      <c r="B80" s="16" t="s">
        <v>231</v>
      </c>
      <c r="C80" s="16" t="s">
        <v>57</v>
      </c>
      <c r="D80" s="16">
        <v>2023.0</v>
      </c>
      <c r="E80" s="16">
        <v>2.0</v>
      </c>
      <c r="F80" s="16" t="s">
        <v>52</v>
      </c>
      <c r="G80" s="16" t="s">
        <v>103</v>
      </c>
      <c r="H80" s="16">
        <v>330.5660377</v>
      </c>
      <c r="I80" s="16">
        <v>53.51952299</v>
      </c>
      <c r="J80" s="16">
        <v>8.571174784</v>
      </c>
      <c r="K80" s="16" t="s">
        <v>54</v>
      </c>
      <c r="L80" s="15"/>
      <c r="M80" s="15"/>
      <c r="N80" s="15"/>
      <c r="O80" s="15"/>
      <c r="P80" s="15"/>
      <c r="Q80" s="15"/>
      <c r="R80" s="15"/>
      <c r="S80" s="15"/>
      <c r="T80" s="15"/>
      <c r="U80" s="15"/>
      <c r="V80" s="15"/>
      <c r="W80" s="15"/>
      <c r="X80" s="15"/>
      <c r="Y80" s="15"/>
      <c r="Z80" s="15"/>
    </row>
    <row r="81">
      <c r="A81" s="16" t="s">
        <v>232</v>
      </c>
      <c r="B81" s="16" t="s">
        <v>233</v>
      </c>
      <c r="C81" s="16" t="s">
        <v>234</v>
      </c>
      <c r="D81" s="16">
        <v>2023.0</v>
      </c>
      <c r="E81" s="16">
        <v>2.0</v>
      </c>
      <c r="F81" s="16" t="s">
        <v>52</v>
      </c>
      <c r="G81" s="16" t="s">
        <v>72</v>
      </c>
      <c r="H81" s="16">
        <v>330.5660377</v>
      </c>
      <c r="I81" s="16">
        <v>46.496454</v>
      </c>
      <c r="J81" s="16">
        <v>20.716891</v>
      </c>
      <c r="K81" s="16" t="s">
        <v>54</v>
      </c>
      <c r="L81" s="15"/>
      <c r="M81" s="15"/>
      <c r="N81" s="15"/>
      <c r="O81" s="15"/>
      <c r="P81" s="15"/>
      <c r="Q81" s="15"/>
      <c r="R81" s="15"/>
      <c r="S81" s="15"/>
      <c r="T81" s="15"/>
      <c r="U81" s="15"/>
      <c r="V81" s="15"/>
      <c r="W81" s="15"/>
      <c r="X81" s="15"/>
      <c r="Y81" s="15"/>
      <c r="Z81" s="15"/>
    </row>
    <row r="82">
      <c r="A82" s="16" t="s">
        <v>235</v>
      </c>
      <c r="B82" s="16" t="s">
        <v>236</v>
      </c>
      <c r="C82" s="16" t="s">
        <v>108</v>
      </c>
      <c r="D82" s="16">
        <v>2023.0</v>
      </c>
      <c r="E82" s="16">
        <v>2.0</v>
      </c>
      <c r="F82" s="16" t="s">
        <v>52</v>
      </c>
      <c r="G82" s="16" t="s">
        <v>72</v>
      </c>
      <c r="H82" s="16">
        <v>330.5660377</v>
      </c>
      <c r="I82" s="16">
        <v>47.99027408</v>
      </c>
      <c r="J82" s="16">
        <v>13.55381783</v>
      </c>
      <c r="K82" s="16" t="s">
        <v>54</v>
      </c>
      <c r="L82" s="15"/>
      <c r="M82" s="15"/>
      <c r="N82" s="15"/>
      <c r="O82" s="15"/>
      <c r="P82" s="15"/>
      <c r="Q82" s="15"/>
      <c r="R82" s="15"/>
      <c r="S82" s="15"/>
      <c r="T82" s="15"/>
      <c r="U82" s="15"/>
      <c r="V82" s="15"/>
      <c r="W82" s="15"/>
      <c r="X82" s="15"/>
      <c r="Y82" s="15"/>
      <c r="Z82" s="15"/>
    </row>
    <row r="83">
      <c r="A83" s="16" t="s">
        <v>237</v>
      </c>
      <c r="B83" s="16" t="s">
        <v>238</v>
      </c>
      <c r="C83" s="16" t="s">
        <v>108</v>
      </c>
      <c r="D83" s="16">
        <v>2023.0</v>
      </c>
      <c r="E83" s="16">
        <v>1.0</v>
      </c>
      <c r="F83" s="16" t="s">
        <v>52</v>
      </c>
      <c r="G83" s="15"/>
      <c r="H83" s="16">
        <v>165.2830189</v>
      </c>
      <c r="I83" s="16">
        <v>46.7813377</v>
      </c>
      <c r="J83" s="16">
        <v>15.5881617</v>
      </c>
      <c r="K83" s="16" t="s">
        <v>54</v>
      </c>
      <c r="L83" s="15"/>
      <c r="M83" s="15"/>
      <c r="N83" s="15"/>
      <c r="O83" s="15"/>
      <c r="P83" s="15"/>
      <c r="Q83" s="15"/>
      <c r="R83" s="15"/>
      <c r="S83" s="15"/>
      <c r="T83" s="15"/>
      <c r="U83" s="15"/>
      <c r="V83" s="15"/>
      <c r="W83" s="15"/>
      <c r="X83" s="15"/>
      <c r="Y83" s="15"/>
      <c r="Z83" s="15"/>
    </row>
    <row r="84">
      <c r="A84" s="16" t="s">
        <v>239</v>
      </c>
      <c r="B84" s="16" t="s">
        <v>240</v>
      </c>
      <c r="C84" s="16" t="s">
        <v>83</v>
      </c>
      <c r="D84" s="16">
        <v>2023.0</v>
      </c>
      <c r="E84" s="16">
        <v>1.0</v>
      </c>
      <c r="F84" s="16" t="s">
        <v>52</v>
      </c>
      <c r="G84" s="16" t="s">
        <v>53</v>
      </c>
      <c r="H84" s="16">
        <v>165.2830189</v>
      </c>
      <c r="I84" s="16">
        <v>54.97966689</v>
      </c>
      <c r="J84" s="16">
        <v>-6.423077951</v>
      </c>
      <c r="K84" s="16" t="s">
        <v>54</v>
      </c>
      <c r="L84" s="15"/>
      <c r="M84" s="15"/>
      <c r="N84" s="15"/>
      <c r="O84" s="15"/>
      <c r="P84" s="15"/>
      <c r="Q84" s="15"/>
      <c r="R84" s="15"/>
      <c r="S84" s="15"/>
      <c r="T84" s="15"/>
      <c r="U84" s="15"/>
      <c r="V84" s="15"/>
      <c r="W84" s="15"/>
      <c r="X84" s="15"/>
      <c r="Y84" s="15"/>
      <c r="Z84" s="15"/>
    </row>
    <row r="85">
      <c r="A85" s="16" t="s">
        <v>241</v>
      </c>
      <c r="B85" s="16" t="s">
        <v>242</v>
      </c>
      <c r="C85" s="16" t="s">
        <v>83</v>
      </c>
      <c r="D85" s="16">
        <v>2023.0</v>
      </c>
      <c r="E85" s="16">
        <v>1.0</v>
      </c>
      <c r="F85" s="16" t="s">
        <v>52</v>
      </c>
      <c r="G85" s="16" t="s">
        <v>103</v>
      </c>
      <c r="H85" s="16">
        <v>165.2830189</v>
      </c>
      <c r="I85" s="16">
        <v>52.7588668</v>
      </c>
      <c r="J85" s="16">
        <v>-1.2469005</v>
      </c>
      <c r="K85" s="16" t="s">
        <v>54</v>
      </c>
      <c r="L85" s="15"/>
      <c r="M85" s="15"/>
      <c r="N85" s="15"/>
      <c r="O85" s="15"/>
      <c r="P85" s="15"/>
      <c r="Q85" s="15"/>
      <c r="R85" s="15"/>
      <c r="S85" s="15"/>
      <c r="T85" s="15"/>
      <c r="U85" s="15"/>
      <c r="V85" s="15"/>
      <c r="W85" s="15"/>
      <c r="X85" s="15"/>
      <c r="Y85" s="15"/>
      <c r="Z85" s="15"/>
    </row>
    <row r="86">
      <c r="A86" s="16" t="s">
        <v>243</v>
      </c>
      <c r="B86" s="16" t="s">
        <v>244</v>
      </c>
      <c r="C86" s="16" t="s">
        <v>120</v>
      </c>
      <c r="D86" s="16">
        <v>2023.0</v>
      </c>
      <c r="E86" s="16">
        <v>1.0</v>
      </c>
      <c r="F86" s="16" t="s">
        <v>52</v>
      </c>
      <c r="G86" s="16" t="s">
        <v>53</v>
      </c>
      <c r="H86" s="16">
        <v>165.2830189</v>
      </c>
      <c r="I86" s="16">
        <v>46.33891199</v>
      </c>
      <c r="J86" s="16">
        <v>5.210961431</v>
      </c>
      <c r="K86" s="16" t="s">
        <v>54</v>
      </c>
      <c r="L86" s="15"/>
      <c r="M86" s="15"/>
      <c r="N86" s="15"/>
      <c r="O86" s="15"/>
      <c r="P86" s="15"/>
      <c r="Q86" s="15"/>
      <c r="R86" s="15"/>
      <c r="S86" s="15"/>
      <c r="T86" s="15"/>
      <c r="U86" s="15"/>
      <c r="V86" s="15"/>
      <c r="W86" s="15"/>
      <c r="X86" s="15"/>
      <c r="Y86" s="15"/>
      <c r="Z86" s="15"/>
    </row>
    <row r="87">
      <c r="A87" s="16" t="s">
        <v>245</v>
      </c>
      <c r="B87" s="16" t="s">
        <v>246</v>
      </c>
      <c r="C87" s="16" t="s">
        <v>57</v>
      </c>
      <c r="D87" s="16">
        <v>2023.0</v>
      </c>
      <c r="E87" s="16">
        <v>1.0</v>
      </c>
      <c r="F87" s="16" t="s">
        <v>52</v>
      </c>
      <c r="G87" s="15"/>
      <c r="H87" s="16">
        <v>165.2830189</v>
      </c>
      <c r="I87" s="16">
        <v>52.19859755</v>
      </c>
      <c r="J87" s="16">
        <v>7.622507807</v>
      </c>
      <c r="K87" s="16" t="s">
        <v>54</v>
      </c>
      <c r="L87" s="15"/>
      <c r="M87" s="15"/>
      <c r="N87" s="15"/>
      <c r="O87" s="15"/>
      <c r="P87" s="15"/>
      <c r="Q87" s="15"/>
      <c r="R87" s="15"/>
      <c r="S87" s="15"/>
      <c r="T87" s="15"/>
      <c r="U87" s="15"/>
      <c r="V87" s="15"/>
      <c r="W87" s="15"/>
      <c r="X87" s="15"/>
      <c r="Y87" s="15"/>
      <c r="Z87" s="15"/>
    </row>
    <row r="88">
      <c r="A88" s="16" t="s">
        <v>247</v>
      </c>
      <c r="B88" s="16" t="s">
        <v>248</v>
      </c>
      <c r="C88" s="16" t="s">
        <v>98</v>
      </c>
      <c r="D88" s="16">
        <v>2023.0</v>
      </c>
      <c r="E88" s="16">
        <v>0.9</v>
      </c>
      <c r="F88" s="16" t="s">
        <v>52</v>
      </c>
      <c r="G88" s="16" t="s">
        <v>53</v>
      </c>
      <c r="H88" s="16">
        <v>148.754717</v>
      </c>
      <c r="I88" s="16">
        <v>59.76273207</v>
      </c>
      <c r="J88" s="16">
        <v>5.449288673</v>
      </c>
      <c r="K88" s="16" t="s">
        <v>54</v>
      </c>
      <c r="L88" s="15"/>
      <c r="M88" s="15"/>
      <c r="N88" s="15"/>
      <c r="O88" s="15"/>
      <c r="P88" s="15"/>
      <c r="Q88" s="15"/>
      <c r="R88" s="15"/>
      <c r="S88" s="15"/>
      <c r="T88" s="15"/>
      <c r="U88" s="15"/>
      <c r="V88" s="15"/>
      <c r="W88" s="15"/>
      <c r="X88" s="15"/>
      <c r="Y88" s="15"/>
      <c r="Z88" s="15"/>
    </row>
    <row r="89">
      <c r="A89" s="16" t="s">
        <v>249</v>
      </c>
      <c r="B89" s="16" t="s">
        <v>250</v>
      </c>
      <c r="C89" s="16" t="s">
        <v>83</v>
      </c>
      <c r="D89" s="16">
        <v>2023.0</v>
      </c>
      <c r="E89" s="16">
        <v>0.87</v>
      </c>
      <c r="F89" s="16" t="s">
        <v>52</v>
      </c>
      <c r="G89" s="16" t="s">
        <v>103</v>
      </c>
      <c r="H89" s="16">
        <v>143.7962264</v>
      </c>
      <c r="I89" s="16">
        <v>50.77051273</v>
      </c>
      <c r="J89" s="16">
        <v>-1.951988203</v>
      </c>
      <c r="K89" s="16" t="s">
        <v>54</v>
      </c>
      <c r="L89" s="15"/>
      <c r="M89" s="15"/>
      <c r="N89" s="15"/>
      <c r="O89" s="15"/>
      <c r="P89" s="15"/>
      <c r="Q89" s="15"/>
      <c r="R89" s="15"/>
      <c r="S89" s="15"/>
      <c r="T89" s="15"/>
      <c r="U89" s="15"/>
      <c r="V89" s="15"/>
      <c r="W89" s="15"/>
      <c r="X89" s="15"/>
      <c r="Y89" s="15"/>
      <c r="Z89" s="15"/>
    </row>
    <row r="90">
      <c r="A90" s="16" t="s">
        <v>251</v>
      </c>
      <c r="B90" s="16" t="s">
        <v>252</v>
      </c>
      <c r="C90" s="16" t="s">
        <v>120</v>
      </c>
      <c r="D90" s="16">
        <v>2023.0</v>
      </c>
      <c r="E90" s="16">
        <v>0.7</v>
      </c>
      <c r="F90" s="16" t="s">
        <v>52</v>
      </c>
      <c r="G90" s="16" t="s">
        <v>53</v>
      </c>
      <c r="H90" s="16">
        <v>115.6981132</v>
      </c>
      <c r="I90" s="16">
        <v>43.63660651</v>
      </c>
      <c r="J90" s="16">
        <v>1.371189608</v>
      </c>
      <c r="K90" s="16" t="s">
        <v>54</v>
      </c>
      <c r="L90" s="15"/>
      <c r="M90" s="15"/>
      <c r="N90" s="15"/>
      <c r="O90" s="15"/>
      <c r="P90" s="15"/>
      <c r="Q90" s="15"/>
      <c r="R90" s="15"/>
      <c r="S90" s="15"/>
      <c r="T90" s="15"/>
      <c r="U90" s="15"/>
      <c r="V90" s="15"/>
      <c r="W90" s="15"/>
      <c r="X90" s="15"/>
      <c r="Y90" s="15"/>
      <c r="Z90" s="15"/>
    </row>
    <row r="91">
      <c r="A91" s="16" t="s">
        <v>253</v>
      </c>
      <c r="B91" s="16" t="s">
        <v>254</v>
      </c>
      <c r="C91" s="16" t="s">
        <v>127</v>
      </c>
      <c r="D91" s="16">
        <v>2023.0</v>
      </c>
      <c r="E91" s="16">
        <v>0.5</v>
      </c>
      <c r="F91" s="16" t="s">
        <v>52</v>
      </c>
      <c r="G91" s="15"/>
      <c r="H91" s="16">
        <v>82.64150943</v>
      </c>
      <c r="I91" s="16">
        <v>46.29872625</v>
      </c>
      <c r="J91" s="16">
        <v>6.947627641</v>
      </c>
      <c r="K91" s="16" t="s">
        <v>54</v>
      </c>
      <c r="L91" s="15"/>
      <c r="M91" s="15"/>
      <c r="N91" s="15"/>
      <c r="O91" s="15"/>
      <c r="P91" s="15"/>
      <c r="Q91" s="15"/>
      <c r="R91" s="15"/>
      <c r="S91" s="15"/>
      <c r="T91" s="15"/>
      <c r="U91" s="15"/>
      <c r="V91" s="15"/>
      <c r="W91" s="15"/>
      <c r="X91" s="15"/>
      <c r="Y91" s="15"/>
      <c r="Z91" s="15"/>
    </row>
    <row r="92">
      <c r="A92" s="16" t="s">
        <v>255</v>
      </c>
      <c r="B92" s="16" t="s">
        <v>256</v>
      </c>
      <c r="C92" s="16" t="s">
        <v>57</v>
      </c>
      <c r="D92" s="16">
        <v>2023.0</v>
      </c>
      <c r="E92" s="16">
        <v>0.5</v>
      </c>
      <c r="F92" s="16" t="s">
        <v>52</v>
      </c>
      <c r="G92" s="16" t="s">
        <v>53</v>
      </c>
      <c r="H92" s="16">
        <v>82.64150943</v>
      </c>
      <c r="I92" s="16">
        <v>54.82177054</v>
      </c>
      <c r="J92" s="16">
        <v>8.860497113</v>
      </c>
      <c r="K92" s="16" t="s">
        <v>54</v>
      </c>
      <c r="L92" s="15"/>
      <c r="M92" s="15"/>
      <c r="N92" s="15"/>
      <c r="O92" s="15"/>
      <c r="P92" s="15"/>
      <c r="Q92" s="15"/>
      <c r="R92" s="15"/>
      <c r="S92" s="15"/>
      <c r="T92" s="15"/>
      <c r="U92" s="15"/>
      <c r="V92" s="15"/>
      <c r="W92" s="15"/>
      <c r="X92" s="15"/>
      <c r="Y92" s="15"/>
      <c r="Z92" s="15"/>
    </row>
    <row r="93">
      <c r="A93" s="16" t="s">
        <v>257</v>
      </c>
      <c r="B93" s="16" t="s">
        <v>258</v>
      </c>
      <c r="C93" s="16" t="s">
        <v>173</v>
      </c>
      <c r="D93" s="16">
        <v>2023.0</v>
      </c>
      <c r="E93" s="16">
        <v>0.42</v>
      </c>
      <c r="F93" s="16" t="s">
        <v>52</v>
      </c>
      <c r="G93" s="16" t="s">
        <v>53</v>
      </c>
      <c r="H93" s="16">
        <v>69.41886792</v>
      </c>
      <c r="I93" s="16">
        <v>40.43538037</v>
      </c>
      <c r="J93" s="16">
        <v>-3.488408833</v>
      </c>
      <c r="K93" s="16" t="s">
        <v>54</v>
      </c>
      <c r="L93" s="15"/>
      <c r="M93" s="15"/>
      <c r="N93" s="15"/>
      <c r="O93" s="15"/>
      <c r="P93" s="15"/>
      <c r="Q93" s="15"/>
      <c r="R93" s="15"/>
      <c r="S93" s="15"/>
      <c r="T93" s="15"/>
      <c r="U93" s="15"/>
      <c r="V93" s="15"/>
      <c r="W93" s="15"/>
      <c r="X93" s="15"/>
      <c r="Y93" s="15"/>
      <c r="Z93" s="15"/>
    </row>
    <row r="94">
      <c r="A94" s="16" t="s">
        <v>259</v>
      </c>
      <c r="B94" s="16" t="s">
        <v>260</v>
      </c>
      <c r="C94" s="16" t="s">
        <v>86</v>
      </c>
      <c r="D94" s="16">
        <v>2024.0</v>
      </c>
      <c r="E94" s="16">
        <v>50.0</v>
      </c>
      <c r="F94" s="16" t="s">
        <v>52</v>
      </c>
      <c r="G94" s="16" t="s">
        <v>64</v>
      </c>
      <c r="H94" s="16">
        <v>8264.150943</v>
      </c>
      <c r="I94" s="16">
        <v>55.05479498</v>
      </c>
      <c r="J94" s="16">
        <v>9.438975203</v>
      </c>
      <c r="K94" s="16" t="s">
        <v>261</v>
      </c>
      <c r="L94" s="15"/>
      <c r="M94" s="15"/>
      <c r="N94" s="15"/>
      <c r="O94" s="15"/>
      <c r="P94" s="15"/>
      <c r="Q94" s="15"/>
      <c r="R94" s="15"/>
      <c r="S94" s="15"/>
      <c r="T94" s="15"/>
      <c r="U94" s="15"/>
      <c r="V94" s="15"/>
      <c r="W94" s="15"/>
      <c r="X94" s="15"/>
      <c r="Y94" s="15"/>
      <c r="Z94" s="15"/>
    </row>
    <row r="95">
      <c r="A95" s="16" t="s">
        <v>262</v>
      </c>
      <c r="B95" s="16" t="s">
        <v>178</v>
      </c>
      <c r="C95" s="16" t="s">
        <v>98</v>
      </c>
      <c r="D95" s="16">
        <v>2024.0</v>
      </c>
      <c r="E95" s="16">
        <v>24.0</v>
      </c>
      <c r="F95" s="16" t="s">
        <v>52</v>
      </c>
      <c r="G95" s="16" t="s">
        <v>174</v>
      </c>
      <c r="H95" s="16">
        <v>3966.792453</v>
      </c>
      <c r="I95" s="16">
        <v>59.12817625</v>
      </c>
      <c r="J95" s="16">
        <v>9.624997689</v>
      </c>
      <c r="K95" s="16" t="s">
        <v>54</v>
      </c>
      <c r="L95" s="15"/>
      <c r="M95" s="15"/>
      <c r="N95" s="15"/>
      <c r="O95" s="15"/>
      <c r="P95" s="15"/>
      <c r="Q95" s="15"/>
      <c r="R95" s="15"/>
      <c r="S95" s="15"/>
      <c r="T95" s="15"/>
      <c r="U95" s="15"/>
      <c r="V95" s="15"/>
      <c r="W95" s="15"/>
      <c r="X95" s="15"/>
      <c r="Y95" s="15"/>
      <c r="Z95" s="15"/>
    </row>
    <row r="96">
      <c r="A96" s="16" t="s">
        <v>263</v>
      </c>
      <c r="B96" s="16" t="s">
        <v>166</v>
      </c>
      <c r="C96" s="16" t="s">
        <v>57</v>
      </c>
      <c r="D96" s="16">
        <v>2024.0</v>
      </c>
      <c r="E96" s="16">
        <v>24.0</v>
      </c>
      <c r="F96" s="16" t="s">
        <v>52</v>
      </c>
      <c r="G96" s="16" t="s">
        <v>103</v>
      </c>
      <c r="H96" s="16">
        <v>3966.792453</v>
      </c>
      <c r="I96" s="16">
        <v>51.3285704</v>
      </c>
      <c r="J96" s="16">
        <v>12.00507035</v>
      </c>
      <c r="K96" s="16" t="s">
        <v>261</v>
      </c>
      <c r="L96" s="15"/>
      <c r="M96" s="15"/>
      <c r="N96" s="15"/>
      <c r="O96" s="15"/>
      <c r="P96" s="15"/>
      <c r="Q96" s="15"/>
      <c r="R96" s="15"/>
      <c r="S96" s="15"/>
      <c r="T96" s="15"/>
      <c r="U96" s="15"/>
      <c r="V96" s="15"/>
      <c r="W96" s="15"/>
      <c r="X96" s="15"/>
      <c r="Y96" s="15"/>
      <c r="Z96" s="15"/>
    </row>
    <row r="97">
      <c r="A97" s="16" t="s">
        <v>264</v>
      </c>
      <c r="B97" s="16" t="s">
        <v>265</v>
      </c>
      <c r="C97" s="16" t="s">
        <v>57</v>
      </c>
      <c r="D97" s="16">
        <v>2024.0</v>
      </c>
      <c r="E97" s="16">
        <v>20.0</v>
      </c>
      <c r="F97" s="16" t="s">
        <v>52</v>
      </c>
      <c r="G97" s="16" t="s">
        <v>103</v>
      </c>
      <c r="H97" s="16">
        <v>3305.660377</v>
      </c>
      <c r="I97" s="16">
        <v>51.52710841</v>
      </c>
      <c r="J97" s="16">
        <v>6.798929467</v>
      </c>
      <c r="K97" s="16" t="s">
        <v>54</v>
      </c>
      <c r="L97" s="15"/>
      <c r="M97" s="15"/>
      <c r="N97" s="15"/>
      <c r="O97" s="15"/>
      <c r="P97" s="15"/>
      <c r="Q97" s="15"/>
      <c r="R97" s="15"/>
      <c r="S97" s="15"/>
      <c r="T97" s="15"/>
      <c r="U97" s="15"/>
      <c r="V97" s="15"/>
      <c r="W97" s="15"/>
      <c r="X97" s="15"/>
      <c r="Y97" s="15"/>
      <c r="Z97" s="15"/>
    </row>
    <row r="98">
      <c r="A98" s="16" t="s">
        <v>266</v>
      </c>
      <c r="B98" s="16" t="s">
        <v>267</v>
      </c>
      <c r="C98" s="16" t="s">
        <v>86</v>
      </c>
      <c r="D98" s="16">
        <v>2024.0</v>
      </c>
      <c r="E98" s="16">
        <v>20.0</v>
      </c>
      <c r="F98" s="16" t="s">
        <v>52</v>
      </c>
      <c r="G98" s="16" t="s">
        <v>95</v>
      </c>
      <c r="H98" s="16">
        <v>3305.660377</v>
      </c>
      <c r="I98" s="16">
        <v>55.565268</v>
      </c>
      <c r="J98" s="16">
        <v>9.7562169</v>
      </c>
      <c r="K98" s="16" t="s">
        <v>261</v>
      </c>
      <c r="L98" s="15"/>
      <c r="M98" s="15"/>
      <c r="N98" s="15"/>
      <c r="O98" s="15"/>
      <c r="P98" s="15"/>
      <c r="Q98" s="15"/>
      <c r="R98" s="15"/>
      <c r="S98" s="15"/>
      <c r="T98" s="15"/>
      <c r="U98" s="15"/>
      <c r="V98" s="15"/>
      <c r="W98" s="15"/>
      <c r="X98" s="15"/>
      <c r="Y98" s="15"/>
      <c r="Z98" s="15"/>
    </row>
    <row r="99">
      <c r="A99" s="16" t="s">
        <v>268</v>
      </c>
      <c r="B99" s="16" t="s">
        <v>269</v>
      </c>
      <c r="C99" s="16" t="s">
        <v>75</v>
      </c>
      <c r="D99" s="16">
        <v>2024.0</v>
      </c>
      <c r="E99" s="16">
        <v>20.0</v>
      </c>
      <c r="F99" s="16" t="s">
        <v>52</v>
      </c>
      <c r="G99" s="16" t="s">
        <v>69</v>
      </c>
      <c r="H99" s="16">
        <v>3305.660377</v>
      </c>
      <c r="I99" s="16">
        <v>61.31928824</v>
      </c>
      <c r="J99" s="16">
        <v>22.12187365</v>
      </c>
      <c r="K99" s="16" t="s">
        <v>261</v>
      </c>
      <c r="L99" s="15"/>
      <c r="M99" s="15"/>
      <c r="N99" s="15"/>
      <c r="O99" s="15"/>
      <c r="P99" s="15"/>
      <c r="Q99" s="15"/>
      <c r="R99" s="15"/>
      <c r="S99" s="15"/>
      <c r="T99" s="15"/>
      <c r="U99" s="15"/>
      <c r="V99" s="15"/>
      <c r="W99" s="15"/>
      <c r="X99" s="15"/>
      <c r="Y99" s="15"/>
      <c r="Z99" s="15"/>
    </row>
    <row r="100">
      <c r="A100" s="16" t="s">
        <v>270</v>
      </c>
      <c r="B100" s="16" t="s">
        <v>74</v>
      </c>
      <c r="C100" s="16" t="s">
        <v>75</v>
      </c>
      <c r="D100" s="16">
        <v>2024.0</v>
      </c>
      <c r="E100" s="16">
        <v>8.0</v>
      </c>
      <c r="F100" s="16" t="s">
        <v>271</v>
      </c>
      <c r="G100" s="16" t="s">
        <v>103</v>
      </c>
      <c r="H100" s="16">
        <v>2102.610261</v>
      </c>
      <c r="I100" s="16">
        <v>63.85128979</v>
      </c>
      <c r="J100" s="16">
        <v>23.04533095</v>
      </c>
      <c r="K100" s="16" t="s">
        <v>54</v>
      </c>
      <c r="L100" s="15"/>
      <c r="M100" s="15"/>
      <c r="N100" s="15"/>
      <c r="O100" s="15"/>
      <c r="P100" s="15"/>
      <c r="Q100" s="15"/>
      <c r="R100" s="15"/>
      <c r="S100" s="15"/>
      <c r="T100" s="15"/>
      <c r="U100" s="15"/>
      <c r="V100" s="15"/>
      <c r="W100" s="15"/>
      <c r="X100" s="15"/>
      <c r="Y100" s="15"/>
      <c r="Z100" s="15"/>
    </row>
    <row r="101">
      <c r="A101" s="16" t="s">
        <v>272</v>
      </c>
      <c r="B101" s="16" t="s">
        <v>273</v>
      </c>
      <c r="C101" s="16" t="s">
        <v>57</v>
      </c>
      <c r="D101" s="16">
        <v>2024.0</v>
      </c>
      <c r="E101" s="16">
        <v>10.0</v>
      </c>
      <c r="F101" s="16" t="s">
        <v>52</v>
      </c>
      <c r="G101" s="16" t="s">
        <v>60</v>
      </c>
      <c r="H101" s="16">
        <v>1652.830189</v>
      </c>
      <c r="I101" s="16">
        <v>52.48200035</v>
      </c>
      <c r="J101" s="16">
        <v>7.300694326</v>
      </c>
      <c r="K101" s="16" t="s">
        <v>54</v>
      </c>
      <c r="L101" s="15"/>
      <c r="M101" s="15"/>
      <c r="N101" s="15"/>
      <c r="O101" s="15"/>
      <c r="P101" s="15"/>
      <c r="Q101" s="15"/>
      <c r="R101" s="15"/>
      <c r="S101" s="15"/>
      <c r="T101" s="15"/>
      <c r="U101" s="15"/>
      <c r="V101" s="15"/>
      <c r="W101" s="15"/>
      <c r="X101" s="15"/>
      <c r="Y101" s="15"/>
      <c r="Z101" s="15"/>
    </row>
    <row r="102">
      <c r="A102" s="16" t="s">
        <v>274</v>
      </c>
      <c r="B102" s="16" t="s">
        <v>275</v>
      </c>
      <c r="C102" s="16" t="s">
        <v>86</v>
      </c>
      <c r="D102" s="16">
        <v>2024.0</v>
      </c>
      <c r="E102" s="16">
        <v>10.0</v>
      </c>
      <c r="F102" s="16" t="s">
        <v>52</v>
      </c>
      <c r="G102" s="16" t="s">
        <v>174</v>
      </c>
      <c r="H102" s="16">
        <v>1652.830189</v>
      </c>
      <c r="I102" s="16">
        <v>56.47574423</v>
      </c>
      <c r="J102" s="16">
        <v>9.152295859</v>
      </c>
      <c r="K102" s="16" t="s">
        <v>54</v>
      </c>
      <c r="L102" s="15"/>
      <c r="M102" s="15"/>
      <c r="N102" s="15"/>
      <c r="O102" s="15"/>
      <c r="P102" s="15"/>
      <c r="Q102" s="15"/>
      <c r="R102" s="15"/>
      <c r="S102" s="15"/>
      <c r="T102" s="15"/>
      <c r="U102" s="15"/>
      <c r="V102" s="15"/>
      <c r="W102" s="15"/>
      <c r="X102" s="15"/>
      <c r="Y102" s="15"/>
      <c r="Z102" s="15"/>
    </row>
    <row r="103">
      <c r="A103" s="16" t="s">
        <v>276</v>
      </c>
      <c r="B103" s="16" t="s">
        <v>277</v>
      </c>
      <c r="C103" s="16" t="s">
        <v>234</v>
      </c>
      <c r="D103" s="16">
        <v>2024.0</v>
      </c>
      <c r="E103" s="16">
        <v>10.0</v>
      </c>
      <c r="F103" s="16" t="s">
        <v>52</v>
      </c>
      <c r="G103" s="16" t="s">
        <v>95</v>
      </c>
      <c r="H103" s="16">
        <v>1652.830189</v>
      </c>
      <c r="I103" s="16">
        <v>47.280767</v>
      </c>
      <c r="J103" s="16">
        <v>18.893862</v>
      </c>
      <c r="K103" s="16" t="s">
        <v>54</v>
      </c>
      <c r="L103" s="15"/>
      <c r="M103" s="15"/>
      <c r="N103" s="15"/>
      <c r="O103" s="15"/>
      <c r="P103" s="15"/>
      <c r="Q103" s="15"/>
      <c r="R103" s="15"/>
      <c r="S103" s="15"/>
      <c r="T103" s="15"/>
      <c r="U103" s="15"/>
      <c r="V103" s="15"/>
      <c r="W103" s="15"/>
      <c r="X103" s="15"/>
      <c r="Y103" s="15"/>
      <c r="Z103" s="15"/>
    </row>
    <row r="104">
      <c r="A104" s="16" t="s">
        <v>278</v>
      </c>
      <c r="B104" s="16" t="s">
        <v>279</v>
      </c>
      <c r="C104" s="16" t="s">
        <v>173</v>
      </c>
      <c r="D104" s="16">
        <v>2024.0</v>
      </c>
      <c r="E104" s="16">
        <v>10.0</v>
      </c>
      <c r="F104" s="16" t="s">
        <v>52</v>
      </c>
      <c r="G104" s="16" t="s">
        <v>103</v>
      </c>
      <c r="H104" s="16">
        <v>1652.830189</v>
      </c>
      <c r="I104" s="16">
        <v>39.3899806</v>
      </c>
      <c r="J104" s="16">
        <v>-3.2101376</v>
      </c>
      <c r="K104" s="16" t="s">
        <v>261</v>
      </c>
      <c r="L104" s="15"/>
      <c r="M104" s="15"/>
      <c r="N104" s="15"/>
      <c r="O104" s="15"/>
      <c r="P104" s="15"/>
      <c r="Q104" s="15"/>
      <c r="R104" s="15"/>
      <c r="S104" s="15"/>
      <c r="T104" s="15"/>
      <c r="U104" s="15"/>
      <c r="V104" s="15"/>
      <c r="W104" s="15"/>
      <c r="X104" s="15"/>
      <c r="Y104" s="15"/>
      <c r="Z104" s="15"/>
    </row>
    <row r="105">
      <c r="A105" s="16" t="s">
        <v>280</v>
      </c>
      <c r="B105" s="16" t="s">
        <v>281</v>
      </c>
      <c r="C105" s="16" t="s">
        <v>57</v>
      </c>
      <c r="D105" s="16">
        <v>2024.0</v>
      </c>
      <c r="E105" s="16">
        <v>10.0</v>
      </c>
      <c r="F105" s="16" t="s">
        <v>52</v>
      </c>
      <c r="G105" s="16" t="s">
        <v>53</v>
      </c>
      <c r="H105" s="16">
        <v>1652.830189</v>
      </c>
      <c r="I105" s="16">
        <v>48.80195098</v>
      </c>
      <c r="J105" s="16">
        <v>9.849487969</v>
      </c>
      <c r="K105" s="16" t="s">
        <v>261</v>
      </c>
      <c r="L105" s="15"/>
      <c r="M105" s="15"/>
      <c r="N105" s="15"/>
      <c r="O105" s="15"/>
      <c r="P105" s="15"/>
      <c r="Q105" s="15"/>
      <c r="R105" s="15"/>
      <c r="S105" s="15"/>
      <c r="T105" s="15"/>
      <c r="U105" s="15"/>
      <c r="V105" s="15"/>
      <c r="W105" s="15"/>
      <c r="X105" s="15"/>
      <c r="Y105" s="15"/>
      <c r="Z105" s="15"/>
    </row>
    <row r="106">
      <c r="A106" s="16" t="s">
        <v>282</v>
      </c>
      <c r="B106" s="16" t="s">
        <v>283</v>
      </c>
      <c r="C106" s="16" t="s">
        <v>108</v>
      </c>
      <c r="D106" s="16">
        <v>2024.0</v>
      </c>
      <c r="E106" s="16">
        <v>10.0</v>
      </c>
      <c r="F106" s="16" t="s">
        <v>52</v>
      </c>
      <c r="G106" s="16" t="s">
        <v>95</v>
      </c>
      <c r="H106" s="16">
        <v>1652.830189</v>
      </c>
      <c r="I106" s="16">
        <v>48.1239168</v>
      </c>
      <c r="J106" s="16">
        <v>16.4653441</v>
      </c>
      <c r="K106" s="16" t="s">
        <v>261</v>
      </c>
      <c r="L106" s="15"/>
      <c r="M106" s="15"/>
      <c r="N106" s="15"/>
      <c r="O106" s="15"/>
      <c r="P106" s="15"/>
      <c r="Q106" s="15"/>
      <c r="R106" s="15"/>
      <c r="S106" s="15"/>
      <c r="T106" s="15"/>
      <c r="U106" s="15"/>
      <c r="V106" s="15"/>
      <c r="W106" s="15"/>
      <c r="X106" s="15"/>
      <c r="Y106" s="15"/>
      <c r="Z106" s="15"/>
    </row>
    <row r="107">
      <c r="A107" s="16" t="s">
        <v>284</v>
      </c>
      <c r="B107" s="16" t="s">
        <v>285</v>
      </c>
      <c r="C107" s="16" t="s">
        <v>57</v>
      </c>
      <c r="D107" s="16">
        <v>2024.0</v>
      </c>
      <c r="E107" s="16">
        <v>10.0</v>
      </c>
      <c r="F107" s="16" t="s">
        <v>52</v>
      </c>
      <c r="G107" s="16" t="s">
        <v>53</v>
      </c>
      <c r="H107" s="16">
        <v>1652.830189</v>
      </c>
      <c r="I107" s="16">
        <v>52.0774171</v>
      </c>
      <c r="J107" s="16">
        <v>11.64644983</v>
      </c>
      <c r="K107" s="16" t="s">
        <v>261</v>
      </c>
      <c r="L107" s="15"/>
      <c r="M107" s="15"/>
      <c r="N107" s="15"/>
      <c r="O107" s="15"/>
      <c r="P107" s="15"/>
      <c r="Q107" s="15"/>
      <c r="R107" s="15"/>
      <c r="S107" s="15"/>
      <c r="T107" s="15"/>
      <c r="U107" s="15"/>
      <c r="V107" s="15"/>
      <c r="W107" s="15"/>
      <c r="X107" s="15"/>
      <c r="Y107" s="15"/>
      <c r="Z107" s="15"/>
    </row>
    <row r="108">
      <c r="A108" s="16" t="s">
        <v>286</v>
      </c>
      <c r="B108" s="16" t="s">
        <v>287</v>
      </c>
      <c r="C108" s="16" t="s">
        <v>57</v>
      </c>
      <c r="D108" s="16">
        <v>2024.0</v>
      </c>
      <c r="E108" s="16">
        <v>10.0</v>
      </c>
      <c r="F108" s="16" t="s">
        <v>52</v>
      </c>
      <c r="G108" s="16" t="s">
        <v>69</v>
      </c>
      <c r="H108" s="16">
        <v>1652.830189</v>
      </c>
      <c r="I108" s="16">
        <v>50.09511703</v>
      </c>
      <c r="J108" s="16">
        <v>8.533782706</v>
      </c>
      <c r="K108" s="16" t="s">
        <v>261</v>
      </c>
      <c r="L108" s="15"/>
      <c r="M108" s="15"/>
      <c r="N108" s="15"/>
      <c r="O108" s="15"/>
      <c r="P108" s="15"/>
      <c r="Q108" s="15"/>
      <c r="R108" s="15"/>
      <c r="S108" s="15"/>
      <c r="T108" s="15"/>
      <c r="U108" s="15"/>
      <c r="V108" s="15"/>
      <c r="W108" s="15"/>
      <c r="X108" s="15"/>
      <c r="Y108" s="15"/>
      <c r="Z108" s="15"/>
    </row>
    <row r="109">
      <c r="A109" s="16" t="s">
        <v>288</v>
      </c>
      <c r="B109" s="16" t="s">
        <v>289</v>
      </c>
      <c r="C109" s="16" t="s">
        <v>86</v>
      </c>
      <c r="D109" s="16">
        <v>2024.0</v>
      </c>
      <c r="E109" s="16">
        <v>6.0</v>
      </c>
      <c r="F109" s="16" t="s">
        <v>52</v>
      </c>
      <c r="G109" s="15"/>
      <c r="H109" s="16">
        <v>991.6981132</v>
      </c>
      <c r="I109" s="16">
        <v>55.49711501</v>
      </c>
      <c r="J109" s="16">
        <v>11.40698709</v>
      </c>
      <c r="K109" s="16" t="s">
        <v>261</v>
      </c>
      <c r="L109" s="15"/>
      <c r="M109" s="15"/>
      <c r="N109" s="15"/>
      <c r="O109" s="15"/>
      <c r="P109" s="15"/>
      <c r="Q109" s="15"/>
      <c r="R109" s="15"/>
      <c r="S109" s="15"/>
      <c r="T109" s="15"/>
      <c r="U109" s="15"/>
      <c r="V109" s="15"/>
      <c r="W109" s="15"/>
      <c r="X109" s="15"/>
      <c r="Y109" s="15"/>
      <c r="Z109" s="15"/>
    </row>
    <row r="110">
      <c r="A110" s="16" t="s">
        <v>290</v>
      </c>
      <c r="B110" s="16" t="s">
        <v>291</v>
      </c>
      <c r="C110" s="16" t="s">
        <v>292</v>
      </c>
      <c r="D110" s="16">
        <v>2024.0</v>
      </c>
      <c r="E110" s="16">
        <v>5.0</v>
      </c>
      <c r="F110" s="16" t="s">
        <v>52</v>
      </c>
      <c r="G110" s="16" t="s">
        <v>53</v>
      </c>
      <c r="H110" s="16">
        <v>826.4150943</v>
      </c>
      <c r="I110" s="16">
        <v>50.92760108</v>
      </c>
      <c r="J110" s="16">
        <v>17.24319833</v>
      </c>
      <c r="K110" s="16" t="s">
        <v>54</v>
      </c>
      <c r="L110" s="15"/>
      <c r="M110" s="15"/>
      <c r="N110" s="15"/>
      <c r="O110" s="15"/>
      <c r="P110" s="15"/>
      <c r="Q110" s="15"/>
      <c r="R110" s="15"/>
      <c r="S110" s="15"/>
      <c r="T110" s="15"/>
      <c r="U110" s="15"/>
      <c r="V110" s="15"/>
      <c r="W110" s="15"/>
      <c r="X110" s="15"/>
      <c r="Y110" s="15"/>
      <c r="Z110" s="15"/>
    </row>
    <row r="111">
      <c r="A111" s="16" t="s">
        <v>293</v>
      </c>
      <c r="B111" s="16" t="s">
        <v>294</v>
      </c>
      <c r="C111" s="16" t="s">
        <v>86</v>
      </c>
      <c r="D111" s="16">
        <v>2024.0</v>
      </c>
      <c r="E111" s="16">
        <v>5.0</v>
      </c>
      <c r="F111" s="16" t="s">
        <v>52</v>
      </c>
      <c r="G111" s="16" t="s">
        <v>72</v>
      </c>
      <c r="H111" s="16">
        <v>826.4150943</v>
      </c>
      <c r="I111" s="16">
        <v>57.3629663</v>
      </c>
      <c r="J111" s="16">
        <v>9.982587536</v>
      </c>
      <c r="K111" s="16" t="s">
        <v>54</v>
      </c>
      <c r="L111" s="15"/>
      <c r="M111" s="15"/>
      <c r="N111" s="15"/>
      <c r="O111" s="15"/>
      <c r="P111" s="15"/>
      <c r="Q111" s="15"/>
      <c r="R111" s="15"/>
      <c r="S111" s="15"/>
      <c r="T111" s="15"/>
      <c r="U111" s="15"/>
      <c r="V111" s="15"/>
      <c r="W111" s="15"/>
      <c r="X111" s="15"/>
      <c r="Y111" s="15"/>
      <c r="Z111" s="15"/>
    </row>
    <row r="112">
      <c r="A112" s="16" t="s">
        <v>295</v>
      </c>
      <c r="B112" s="16" t="s">
        <v>296</v>
      </c>
      <c r="C112" s="16" t="s">
        <v>57</v>
      </c>
      <c r="D112" s="16">
        <v>2024.0</v>
      </c>
      <c r="E112" s="16">
        <v>5.0</v>
      </c>
      <c r="F112" s="16" t="s">
        <v>52</v>
      </c>
      <c r="G112" s="16" t="s">
        <v>53</v>
      </c>
      <c r="H112" s="16">
        <v>826.4150943</v>
      </c>
      <c r="I112" s="16">
        <v>48.66475034</v>
      </c>
      <c r="J112" s="16">
        <v>11.98362176</v>
      </c>
      <c r="K112" s="16" t="s">
        <v>54</v>
      </c>
      <c r="L112" s="15"/>
      <c r="M112" s="15"/>
      <c r="N112" s="15"/>
      <c r="O112" s="15"/>
      <c r="P112" s="15"/>
      <c r="Q112" s="15"/>
      <c r="R112" s="15"/>
      <c r="S112" s="15"/>
      <c r="T112" s="15"/>
      <c r="U112" s="15"/>
      <c r="V112" s="15"/>
      <c r="W112" s="15"/>
      <c r="X112" s="15"/>
      <c r="Y112" s="15"/>
      <c r="Z112" s="15"/>
    </row>
    <row r="113">
      <c r="A113" s="16" t="s">
        <v>297</v>
      </c>
      <c r="B113" s="16" t="s">
        <v>273</v>
      </c>
      <c r="C113" s="16" t="s">
        <v>57</v>
      </c>
      <c r="D113" s="16">
        <v>2024.0</v>
      </c>
      <c r="E113" s="16">
        <v>4.0</v>
      </c>
      <c r="F113" s="16" t="s">
        <v>52</v>
      </c>
      <c r="G113" s="16" t="s">
        <v>60</v>
      </c>
      <c r="H113" s="16">
        <v>661.1320755</v>
      </c>
      <c r="I113" s="16">
        <v>52.48429562</v>
      </c>
      <c r="J113" s="16">
        <v>7.305111889</v>
      </c>
      <c r="K113" s="16" t="s">
        <v>54</v>
      </c>
      <c r="L113" s="15"/>
      <c r="M113" s="15"/>
      <c r="N113" s="15"/>
      <c r="O113" s="15"/>
      <c r="P113" s="15"/>
      <c r="Q113" s="15"/>
      <c r="R113" s="15"/>
      <c r="S113" s="15"/>
      <c r="T113" s="15"/>
      <c r="U113" s="15"/>
      <c r="V113" s="15"/>
      <c r="W113" s="15"/>
      <c r="X113" s="15"/>
      <c r="Y113" s="15"/>
      <c r="Z113" s="15"/>
    </row>
    <row r="114">
      <c r="A114" s="16" t="s">
        <v>298</v>
      </c>
      <c r="B114" s="16" t="s">
        <v>299</v>
      </c>
      <c r="C114" s="16" t="s">
        <v>86</v>
      </c>
      <c r="D114" s="16">
        <v>2024.0</v>
      </c>
      <c r="E114" s="16">
        <v>3.0</v>
      </c>
      <c r="F114" s="16" t="s">
        <v>52</v>
      </c>
      <c r="G114" s="15"/>
      <c r="H114" s="16">
        <v>495.8490566</v>
      </c>
      <c r="I114" s="16">
        <v>55.45818461</v>
      </c>
      <c r="J114" s="16">
        <v>8.51178369</v>
      </c>
      <c r="K114" s="16" t="s">
        <v>54</v>
      </c>
      <c r="L114" s="15"/>
      <c r="M114" s="15"/>
      <c r="N114" s="15"/>
      <c r="O114" s="15"/>
      <c r="P114" s="15"/>
      <c r="Q114" s="15"/>
      <c r="R114" s="15"/>
      <c r="S114" s="15"/>
      <c r="T114" s="15"/>
      <c r="U114" s="15"/>
      <c r="V114" s="15"/>
      <c r="W114" s="15"/>
      <c r="X114" s="15"/>
      <c r="Y114" s="15"/>
      <c r="Z114" s="15"/>
    </row>
    <row r="115">
      <c r="A115" s="16" t="s">
        <v>300</v>
      </c>
      <c r="B115" s="16" t="s">
        <v>301</v>
      </c>
      <c r="C115" s="16" t="s">
        <v>98</v>
      </c>
      <c r="D115" s="16">
        <v>2024.0</v>
      </c>
      <c r="E115" s="16">
        <v>3.0</v>
      </c>
      <c r="F115" s="16" t="s">
        <v>52</v>
      </c>
      <c r="G115" s="16" t="s">
        <v>53</v>
      </c>
      <c r="H115" s="16">
        <v>495.8490566</v>
      </c>
      <c r="I115" s="16">
        <v>62.082088</v>
      </c>
      <c r="J115" s="16">
        <v>6.873058</v>
      </c>
      <c r="K115" s="16" t="s">
        <v>54</v>
      </c>
      <c r="L115" s="15"/>
      <c r="M115" s="15"/>
      <c r="N115" s="15"/>
      <c r="O115" s="15"/>
      <c r="P115" s="15"/>
      <c r="Q115" s="15"/>
      <c r="R115" s="15"/>
      <c r="S115" s="15"/>
      <c r="T115" s="15"/>
      <c r="U115" s="15"/>
      <c r="V115" s="15"/>
      <c r="W115" s="15"/>
      <c r="X115" s="15"/>
      <c r="Y115" s="15"/>
      <c r="Z115" s="15"/>
    </row>
    <row r="116">
      <c r="A116" s="16" t="s">
        <v>302</v>
      </c>
      <c r="B116" s="16" t="s">
        <v>303</v>
      </c>
      <c r="C116" s="16" t="s">
        <v>127</v>
      </c>
      <c r="D116" s="16">
        <v>2024.0</v>
      </c>
      <c r="E116" s="16">
        <v>3.0</v>
      </c>
      <c r="F116" s="16" t="s">
        <v>52</v>
      </c>
      <c r="G116" s="16" t="s">
        <v>53</v>
      </c>
      <c r="H116" s="16">
        <v>495.8490566</v>
      </c>
      <c r="I116" s="16">
        <v>47.40381898</v>
      </c>
      <c r="J116" s="16">
        <v>8.068503641</v>
      </c>
      <c r="K116" s="16" t="s">
        <v>54</v>
      </c>
      <c r="L116" s="15"/>
      <c r="M116" s="15"/>
      <c r="N116" s="15"/>
      <c r="O116" s="15"/>
      <c r="P116" s="15"/>
      <c r="Q116" s="15"/>
      <c r="R116" s="15"/>
      <c r="S116" s="15"/>
      <c r="T116" s="15"/>
      <c r="U116" s="15"/>
      <c r="V116" s="15"/>
      <c r="W116" s="15"/>
      <c r="X116" s="15"/>
      <c r="Y116" s="15"/>
      <c r="Z116" s="15"/>
    </row>
    <row r="117">
      <c r="A117" s="16" t="s">
        <v>304</v>
      </c>
      <c r="B117" s="16" t="s">
        <v>305</v>
      </c>
      <c r="C117" s="16" t="s">
        <v>51</v>
      </c>
      <c r="D117" s="16">
        <v>2024.0</v>
      </c>
      <c r="E117" s="16">
        <v>3.0</v>
      </c>
      <c r="F117" s="16" t="s">
        <v>52</v>
      </c>
      <c r="G117" s="16" t="s">
        <v>53</v>
      </c>
      <c r="H117" s="16">
        <v>495.8490566</v>
      </c>
      <c r="I117" s="16">
        <v>56.83046418</v>
      </c>
      <c r="J117" s="16">
        <v>13.90004663</v>
      </c>
      <c r="K117" s="16" t="s">
        <v>261</v>
      </c>
      <c r="L117" s="15"/>
      <c r="M117" s="15"/>
      <c r="N117" s="15"/>
      <c r="O117" s="15"/>
      <c r="P117" s="15"/>
      <c r="Q117" s="15"/>
      <c r="R117" s="15"/>
      <c r="S117" s="15"/>
      <c r="T117" s="15"/>
      <c r="U117" s="15"/>
      <c r="V117" s="15"/>
      <c r="W117" s="15"/>
      <c r="X117" s="15"/>
      <c r="Y117" s="15"/>
      <c r="Z117" s="15"/>
    </row>
    <row r="118">
      <c r="A118" s="16" t="s">
        <v>306</v>
      </c>
      <c r="B118" s="16" t="s">
        <v>307</v>
      </c>
      <c r="C118" s="16" t="s">
        <v>108</v>
      </c>
      <c r="D118" s="16">
        <v>2024.0</v>
      </c>
      <c r="E118" s="16">
        <v>3.0</v>
      </c>
      <c r="F118" s="16" t="s">
        <v>52</v>
      </c>
      <c r="G118" s="16" t="s">
        <v>53</v>
      </c>
      <c r="H118" s="16">
        <v>495.8490566</v>
      </c>
      <c r="I118" s="16">
        <v>48.1816373</v>
      </c>
      <c r="J118" s="16">
        <v>16.42343238</v>
      </c>
      <c r="K118" s="16" t="s">
        <v>54</v>
      </c>
      <c r="L118" s="15"/>
      <c r="M118" s="15"/>
      <c r="N118" s="15"/>
      <c r="O118" s="15"/>
      <c r="P118" s="15"/>
      <c r="Q118" s="15"/>
      <c r="R118" s="15"/>
      <c r="S118" s="15"/>
      <c r="T118" s="15"/>
      <c r="U118" s="15"/>
      <c r="V118" s="15"/>
      <c r="W118" s="15"/>
      <c r="X118" s="15"/>
      <c r="Y118" s="15"/>
      <c r="Z118" s="15"/>
    </row>
    <row r="119">
      <c r="A119" s="16" t="s">
        <v>308</v>
      </c>
      <c r="B119" s="16" t="s">
        <v>309</v>
      </c>
      <c r="C119" s="16" t="s">
        <v>164</v>
      </c>
      <c r="D119" s="16">
        <v>2024.0</v>
      </c>
      <c r="E119" s="16">
        <v>2.5</v>
      </c>
      <c r="F119" s="16" t="s">
        <v>52</v>
      </c>
      <c r="G119" s="16" t="s">
        <v>53</v>
      </c>
      <c r="H119" s="16">
        <v>413.2075472</v>
      </c>
      <c r="I119" s="16">
        <v>52.0298704</v>
      </c>
      <c r="J119" s="16">
        <v>5.092933409</v>
      </c>
      <c r="K119" s="16" t="s">
        <v>54</v>
      </c>
      <c r="L119" s="15"/>
      <c r="M119" s="15"/>
      <c r="N119" s="15"/>
      <c r="O119" s="15"/>
      <c r="P119" s="15"/>
      <c r="Q119" s="15"/>
      <c r="R119" s="15"/>
      <c r="S119" s="15"/>
      <c r="T119" s="15"/>
      <c r="U119" s="15"/>
      <c r="V119" s="15"/>
      <c r="W119" s="15"/>
      <c r="X119" s="15"/>
      <c r="Y119" s="15"/>
      <c r="Z119" s="15"/>
    </row>
    <row r="120">
      <c r="A120" s="16" t="s">
        <v>310</v>
      </c>
      <c r="B120" s="16" t="s">
        <v>311</v>
      </c>
      <c r="C120" s="16" t="s">
        <v>127</v>
      </c>
      <c r="D120" s="16">
        <v>2024.0</v>
      </c>
      <c r="E120" s="16">
        <v>2.5</v>
      </c>
      <c r="F120" s="16" t="s">
        <v>52</v>
      </c>
      <c r="G120" s="16" t="s">
        <v>53</v>
      </c>
      <c r="H120" s="16">
        <v>413.2075472</v>
      </c>
      <c r="I120" s="16">
        <v>46.83742592</v>
      </c>
      <c r="J120" s="16">
        <v>9.445148403</v>
      </c>
      <c r="K120" s="16" t="s">
        <v>54</v>
      </c>
      <c r="L120" s="15"/>
      <c r="M120" s="15"/>
      <c r="N120" s="15"/>
      <c r="O120" s="15"/>
      <c r="P120" s="15"/>
      <c r="Q120" s="15"/>
      <c r="R120" s="15"/>
      <c r="S120" s="15"/>
      <c r="T120" s="15"/>
      <c r="U120" s="15"/>
      <c r="V120" s="15"/>
      <c r="W120" s="15"/>
      <c r="X120" s="15"/>
      <c r="Y120" s="15"/>
      <c r="Z120" s="15"/>
    </row>
    <row r="121">
      <c r="A121" s="16" t="s">
        <v>312</v>
      </c>
      <c r="B121" s="15"/>
      <c r="C121" s="16" t="s">
        <v>83</v>
      </c>
      <c r="D121" s="16">
        <v>2024.0</v>
      </c>
      <c r="E121" s="16">
        <v>2.5</v>
      </c>
      <c r="F121" s="16" t="s">
        <v>52</v>
      </c>
      <c r="G121" s="16" t="s">
        <v>53</v>
      </c>
      <c r="H121" s="16">
        <v>413.2075472</v>
      </c>
      <c r="I121" s="16">
        <v>51.62730922</v>
      </c>
      <c r="J121" s="16">
        <v>-3.830954932</v>
      </c>
      <c r="K121" s="16" t="s">
        <v>261</v>
      </c>
      <c r="L121" s="15"/>
      <c r="M121" s="15"/>
      <c r="N121" s="15"/>
      <c r="O121" s="15"/>
      <c r="P121" s="15"/>
      <c r="Q121" s="15"/>
      <c r="R121" s="15"/>
      <c r="S121" s="15"/>
      <c r="T121" s="15"/>
      <c r="U121" s="15"/>
      <c r="V121" s="15"/>
      <c r="W121" s="15"/>
      <c r="X121" s="15"/>
      <c r="Y121" s="15"/>
      <c r="Z121" s="15"/>
    </row>
    <row r="122">
      <c r="A122" s="16" t="s">
        <v>313</v>
      </c>
      <c r="B122" s="16" t="s">
        <v>314</v>
      </c>
      <c r="C122" s="16" t="s">
        <v>173</v>
      </c>
      <c r="D122" s="16">
        <v>2024.0</v>
      </c>
      <c r="E122" s="16">
        <v>2.4</v>
      </c>
      <c r="F122" s="16" t="s">
        <v>52</v>
      </c>
      <c r="G122" s="16" t="s">
        <v>111</v>
      </c>
      <c r="H122" s="16">
        <v>396.6792453</v>
      </c>
      <c r="I122" s="16">
        <v>39.8581</v>
      </c>
      <c r="J122" s="16">
        <v>-4.02263</v>
      </c>
      <c r="K122" s="16" t="s">
        <v>261</v>
      </c>
      <c r="L122" s="15"/>
      <c r="M122" s="15"/>
      <c r="N122" s="15"/>
      <c r="O122" s="15"/>
      <c r="P122" s="15"/>
      <c r="Q122" s="15"/>
      <c r="R122" s="15"/>
      <c r="S122" s="15"/>
      <c r="T122" s="15"/>
      <c r="U122" s="15"/>
      <c r="V122" s="15"/>
      <c r="W122" s="15"/>
      <c r="X122" s="15"/>
      <c r="Y122" s="15"/>
      <c r="Z122" s="15"/>
    </row>
    <row r="123">
      <c r="A123" s="16" t="s">
        <v>315</v>
      </c>
      <c r="B123" s="16" t="s">
        <v>316</v>
      </c>
      <c r="C123" s="16" t="s">
        <v>86</v>
      </c>
      <c r="D123" s="16">
        <v>2024.0</v>
      </c>
      <c r="E123" s="16">
        <v>2.0</v>
      </c>
      <c r="F123" s="16" t="s">
        <v>52</v>
      </c>
      <c r="G123" s="15"/>
      <c r="H123" s="16">
        <v>330.5660377</v>
      </c>
      <c r="I123" s="16">
        <v>55.47660994</v>
      </c>
      <c r="J123" s="16">
        <v>10.26131046</v>
      </c>
      <c r="K123" s="16" t="s">
        <v>54</v>
      </c>
      <c r="L123" s="15"/>
      <c r="M123" s="15"/>
      <c r="N123" s="15"/>
      <c r="O123" s="15"/>
      <c r="P123" s="15"/>
      <c r="Q123" s="15"/>
      <c r="R123" s="15"/>
      <c r="S123" s="15"/>
      <c r="T123" s="15"/>
      <c r="U123" s="15"/>
      <c r="V123" s="15"/>
      <c r="W123" s="15"/>
      <c r="X123" s="15"/>
      <c r="Y123" s="15"/>
      <c r="Z123" s="15"/>
    </row>
    <row r="124">
      <c r="A124" s="16" t="s">
        <v>317</v>
      </c>
      <c r="B124" s="16" t="s">
        <v>318</v>
      </c>
      <c r="C124" s="16" t="s">
        <v>108</v>
      </c>
      <c r="D124" s="16">
        <v>2024.0</v>
      </c>
      <c r="E124" s="16">
        <v>2.0</v>
      </c>
      <c r="F124" s="16" t="s">
        <v>52</v>
      </c>
      <c r="G124" s="16" t="s">
        <v>103</v>
      </c>
      <c r="H124" s="16">
        <v>330.5660377</v>
      </c>
      <c r="I124" s="16">
        <v>46.6167284</v>
      </c>
      <c r="J124" s="16">
        <v>13.8500268</v>
      </c>
      <c r="K124" s="16" t="s">
        <v>54</v>
      </c>
      <c r="L124" s="15"/>
      <c r="M124" s="15"/>
      <c r="N124" s="15"/>
      <c r="O124" s="15"/>
      <c r="P124" s="15"/>
      <c r="Q124" s="15"/>
      <c r="R124" s="15"/>
      <c r="S124" s="15"/>
      <c r="T124" s="15"/>
      <c r="U124" s="15"/>
      <c r="V124" s="15"/>
      <c r="W124" s="15"/>
      <c r="X124" s="15"/>
      <c r="Y124" s="15"/>
      <c r="Z124" s="15"/>
    </row>
    <row r="125">
      <c r="A125" s="16" t="s">
        <v>319</v>
      </c>
      <c r="B125" s="16" t="s">
        <v>231</v>
      </c>
      <c r="C125" s="16" t="s">
        <v>57</v>
      </c>
      <c r="D125" s="16">
        <v>2024.0</v>
      </c>
      <c r="E125" s="16">
        <v>2.0</v>
      </c>
      <c r="F125" s="16" t="s">
        <v>52</v>
      </c>
      <c r="G125" s="16" t="s">
        <v>53</v>
      </c>
      <c r="H125" s="16">
        <v>330.5660377</v>
      </c>
      <c r="I125" s="16">
        <v>53.59306543</v>
      </c>
      <c r="J125" s="16">
        <v>8.557828824</v>
      </c>
      <c r="K125" s="16" t="s">
        <v>261</v>
      </c>
      <c r="L125" s="15"/>
      <c r="M125" s="15"/>
      <c r="N125" s="15"/>
      <c r="O125" s="15"/>
      <c r="P125" s="15"/>
      <c r="Q125" s="15"/>
      <c r="R125" s="15"/>
      <c r="S125" s="15"/>
      <c r="T125" s="15"/>
      <c r="U125" s="15"/>
      <c r="V125" s="15"/>
      <c r="W125" s="15"/>
      <c r="X125" s="15"/>
      <c r="Y125" s="15"/>
      <c r="Z125" s="15"/>
    </row>
    <row r="126">
      <c r="A126" s="16" t="s">
        <v>320</v>
      </c>
      <c r="B126" s="15"/>
      <c r="C126" s="16" t="s">
        <v>57</v>
      </c>
      <c r="D126" s="16">
        <v>2024.0</v>
      </c>
      <c r="E126" s="16">
        <v>2.0</v>
      </c>
      <c r="F126" s="16" t="s">
        <v>52</v>
      </c>
      <c r="G126" s="16" t="s">
        <v>103</v>
      </c>
      <c r="H126" s="16">
        <v>330.5660377</v>
      </c>
      <c r="I126" s="16">
        <v>50.02343497</v>
      </c>
      <c r="J126" s="16">
        <v>7.545337694</v>
      </c>
      <c r="K126" s="16" t="s">
        <v>261</v>
      </c>
      <c r="L126" s="15"/>
      <c r="M126" s="15"/>
      <c r="N126" s="15"/>
      <c r="O126" s="15"/>
      <c r="P126" s="15"/>
      <c r="Q126" s="15"/>
      <c r="R126" s="15"/>
      <c r="S126" s="15"/>
      <c r="T126" s="15"/>
      <c r="U126" s="15"/>
      <c r="V126" s="15"/>
      <c r="W126" s="15"/>
      <c r="X126" s="15"/>
      <c r="Y126" s="15"/>
      <c r="Z126" s="15"/>
    </row>
    <row r="127">
      <c r="A127" s="16" t="s">
        <v>321</v>
      </c>
      <c r="B127" s="16" t="s">
        <v>322</v>
      </c>
      <c r="C127" s="16" t="s">
        <v>57</v>
      </c>
      <c r="D127" s="16">
        <v>2024.0</v>
      </c>
      <c r="E127" s="16">
        <v>2.0</v>
      </c>
      <c r="F127" s="16" t="s">
        <v>52</v>
      </c>
      <c r="G127" s="16" t="s">
        <v>53</v>
      </c>
      <c r="H127" s="16">
        <v>330.5660377</v>
      </c>
      <c r="I127" s="16">
        <v>52.63798153</v>
      </c>
      <c r="J127" s="16">
        <v>9.234589513</v>
      </c>
      <c r="K127" s="16" t="s">
        <v>261</v>
      </c>
      <c r="L127" s="15"/>
      <c r="M127" s="15"/>
      <c r="N127" s="15"/>
      <c r="O127" s="15"/>
      <c r="P127" s="15"/>
      <c r="Q127" s="15"/>
      <c r="R127" s="15"/>
      <c r="S127" s="15"/>
      <c r="T127" s="15"/>
      <c r="U127" s="15"/>
      <c r="V127" s="15"/>
      <c r="W127" s="15"/>
      <c r="X127" s="15"/>
      <c r="Y127" s="15"/>
      <c r="Z127" s="15"/>
    </row>
    <row r="128">
      <c r="A128" s="16" t="s">
        <v>323</v>
      </c>
      <c r="B128" s="16" t="s">
        <v>324</v>
      </c>
      <c r="C128" s="16" t="s">
        <v>173</v>
      </c>
      <c r="D128" s="16">
        <v>2024.0</v>
      </c>
      <c r="E128" s="16">
        <v>2.0</v>
      </c>
      <c r="F128" s="16" t="s">
        <v>52</v>
      </c>
      <c r="G128" s="16" t="s">
        <v>72</v>
      </c>
      <c r="H128" s="16">
        <v>330.5660377</v>
      </c>
      <c r="I128" s="16">
        <v>39.15980484</v>
      </c>
      <c r="J128" s="16">
        <v>-5.902503878</v>
      </c>
      <c r="K128" s="16" t="s">
        <v>54</v>
      </c>
      <c r="L128" s="15"/>
      <c r="M128" s="15"/>
      <c r="N128" s="15"/>
      <c r="O128" s="15"/>
      <c r="P128" s="15"/>
      <c r="Q128" s="15"/>
      <c r="R128" s="15"/>
      <c r="S128" s="15"/>
      <c r="T128" s="15"/>
      <c r="U128" s="15"/>
      <c r="V128" s="15"/>
      <c r="W128" s="15"/>
      <c r="X128" s="15"/>
      <c r="Y128" s="15"/>
      <c r="Z128" s="15"/>
    </row>
    <row r="129">
      <c r="A129" s="16" t="s">
        <v>325</v>
      </c>
      <c r="B129" s="16" t="s">
        <v>326</v>
      </c>
      <c r="C129" s="16" t="s">
        <v>120</v>
      </c>
      <c r="D129" s="16">
        <v>2024.0</v>
      </c>
      <c r="E129" s="16">
        <v>1.5</v>
      </c>
      <c r="F129" s="16" t="s">
        <v>52</v>
      </c>
      <c r="G129" s="16" t="s">
        <v>53</v>
      </c>
      <c r="H129" s="16">
        <v>247.9245283</v>
      </c>
      <c r="I129" s="16">
        <v>48.3862492</v>
      </c>
      <c r="J129" s="16">
        <v>-4.447977563</v>
      </c>
      <c r="K129" s="16" t="s">
        <v>261</v>
      </c>
      <c r="L129" s="15"/>
      <c r="M129" s="15"/>
      <c r="N129" s="15"/>
      <c r="O129" s="15"/>
      <c r="P129" s="15"/>
      <c r="Q129" s="15"/>
      <c r="R129" s="15"/>
      <c r="S129" s="15"/>
      <c r="T129" s="15"/>
      <c r="U129" s="15"/>
      <c r="V129" s="15"/>
      <c r="W129" s="15"/>
      <c r="X129" s="15"/>
      <c r="Y129" s="15"/>
      <c r="Z129" s="15"/>
    </row>
    <row r="130">
      <c r="A130" s="16" t="s">
        <v>327</v>
      </c>
      <c r="B130" s="16" t="s">
        <v>328</v>
      </c>
      <c r="C130" s="16" t="s">
        <v>120</v>
      </c>
      <c r="D130" s="16">
        <v>2024.0</v>
      </c>
      <c r="E130" s="16">
        <v>1.5</v>
      </c>
      <c r="F130" s="16" t="s">
        <v>52</v>
      </c>
      <c r="G130" s="16" t="s">
        <v>53</v>
      </c>
      <c r="H130" s="16">
        <v>247.9245283</v>
      </c>
      <c r="I130" s="16">
        <v>47.30254436</v>
      </c>
      <c r="J130" s="16">
        <v>-2.153457569</v>
      </c>
      <c r="K130" s="16" t="s">
        <v>261</v>
      </c>
      <c r="L130" s="15"/>
      <c r="M130" s="15"/>
      <c r="N130" s="15"/>
      <c r="O130" s="15"/>
      <c r="P130" s="15"/>
      <c r="Q130" s="15"/>
      <c r="R130" s="15"/>
      <c r="S130" s="15"/>
      <c r="T130" s="15"/>
      <c r="U130" s="15"/>
      <c r="V130" s="15"/>
      <c r="W130" s="15"/>
      <c r="X130" s="15"/>
      <c r="Y130" s="15"/>
      <c r="Z130" s="15"/>
    </row>
    <row r="131">
      <c r="A131" s="16" t="s">
        <v>329</v>
      </c>
      <c r="B131" s="16" t="s">
        <v>330</v>
      </c>
      <c r="C131" s="16" t="s">
        <v>57</v>
      </c>
      <c r="D131" s="16">
        <v>2024.0</v>
      </c>
      <c r="E131" s="16">
        <v>1.3</v>
      </c>
      <c r="F131" s="16" t="s">
        <v>52</v>
      </c>
      <c r="G131" s="16" t="s">
        <v>53</v>
      </c>
      <c r="H131" s="16">
        <v>214.8679245</v>
      </c>
      <c r="I131" s="16">
        <v>53.41655414</v>
      </c>
      <c r="J131" s="16">
        <v>7.037912781</v>
      </c>
      <c r="K131" s="16" t="s">
        <v>54</v>
      </c>
      <c r="L131" s="15"/>
      <c r="M131" s="15"/>
      <c r="N131" s="15"/>
      <c r="O131" s="15"/>
      <c r="P131" s="15"/>
      <c r="Q131" s="15"/>
      <c r="R131" s="15"/>
      <c r="S131" s="15"/>
      <c r="T131" s="15"/>
      <c r="U131" s="15"/>
      <c r="V131" s="15"/>
      <c r="W131" s="15"/>
      <c r="X131" s="15"/>
      <c r="Y131" s="15"/>
      <c r="Z131" s="15"/>
    </row>
    <row r="132">
      <c r="A132" s="16" t="s">
        <v>331</v>
      </c>
      <c r="B132" s="16" t="s">
        <v>332</v>
      </c>
      <c r="C132" s="16" t="s">
        <v>234</v>
      </c>
      <c r="D132" s="16">
        <v>2024.0</v>
      </c>
      <c r="E132" s="16">
        <v>1.0</v>
      </c>
      <c r="F132" s="16" t="s">
        <v>52</v>
      </c>
      <c r="G132" s="16" t="s">
        <v>103</v>
      </c>
      <c r="H132" s="16">
        <v>165.2830189</v>
      </c>
      <c r="I132" s="16">
        <v>47.89347035</v>
      </c>
      <c r="J132" s="16">
        <v>20.7024755</v>
      </c>
      <c r="K132" s="16" t="s">
        <v>54</v>
      </c>
      <c r="L132" s="15"/>
      <c r="M132" s="15"/>
      <c r="N132" s="15"/>
      <c r="O132" s="15"/>
      <c r="P132" s="15"/>
      <c r="Q132" s="15"/>
      <c r="R132" s="15"/>
      <c r="S132" s="15"/>
      <c r="T132" s="15"/>
      <c r="U132" s="15"/>
      <c r="V132" s="15"/>
      <c r="W132" s="15"/>
      <c r="X132" s="15"/>
      <c r="Y132" s="15"/>
      <c r="Z132" s="15"/>
    </row>
    <row r="133">
      <c r="A133" s="16" t="s">
        <v>333</v>
      </c>
      <c r="B133" s="16" t="s">
        <v>334</v>
      </c>
      <c r="C133" s="16" t="s">
        <v>120</v>
      </c>
      <c r="D133" s="16">
        <v>2024.0</v>
      </c>
      <c r="E133" s="16">
        <v>1.0</v>
      </c>
      <c r="F133" s="16" t="s">
        <v>52</v>
      </c>
      <c r="G133" s="16" t="s">
        <v>53</v>
      </c>
      <c r="H133" s="16">
        <v>165.2830189</v>
      </c>
      <c r="I133" s="16">
        <v>47.3215806</v>
      </c>
      <c r="J133" s="16">
        <v>5.0414701</v>
      </c>
      <c r="K133" s="16" t="s">
        <v>54</v>
      </c>
      <c r="L133" s="15"/>
      <c r="M133" s="15"/>
      <c r="N133" s="15"/>
      <c r="O133" s="15"/>
      <c r="P133" s="15"/>
      <c r="Q133" s="15"/>
      <c r="R133" s="15"/>
      <c r="S133" s="15"/>
      <c r="T133" s="15"/>
      <c r="U133" s="15"/>
      <c r="V133" s="15"/>
      <c r="W133" s="15"/>
      <c r="X133" s="15"/>
      <c r="Y133" s="15"/>
      <c r="Z133" s="15"/>
    </row>
    <row r="134">
      <c r="A134" s="16" t="s">
        <v>335</v>
      </c>
      <c r="B134" s="16" t="s">
        <v>336</v>
      </c>
      <c r="C134" s="16" t="s">
        <v>57</v>
      </c>
      <c r="D134" s="16">
        <v>2024.0</v>
      </c>
      <c r="E134" s="16">
        <v>1.0</v>
      </c>
      <c r="F134" s="16" t="s">
        <v>52</v>
      </c>
      <c r="G134" s="16" t="s">
        <v>53</v>
      </c>
      <c r="H134" s="16">
        <v>165.2830189</v>
      </c>
      <c r="I134" s="16">
        <v>50.2307994</v>
      </c>
      <c r="J134" s="16">
        <v>7.1404855</v>
      </c>
      <c r="K134" s="16" t="s">
        <v>261</v>
      </c>
      <c r="L134" s="15"/>
      <c r="M134" s="15"/>
      <c r="N134" s="15"/>
      <c r="O134" s="15"/>
      <c r="P134" s="15"/>
      <c r="Q134" s="15"/>
      <c r="R134" s="15"/>
      <c r="S134" s="15"/>
      <c r="T134" s="15"/>
      <c r="U134" s="15"/>
      <c r="V134" s="15"/>
      <c r="W134" s="15"/>
      <c r="X134" s="15"/>
      <c r="Y134" s="15"/>
      <c r="Z134" s="15"/>
    </row>
    <row r="135">
      <c r="A135" s="16" t="s">
        <v>337</v>
      </c>
      <c r="B135" s="16" t="s">
        <v>338</v>
      </c>
      <c r="C135" s="16" t="s">
        <v>339</v>
      </c>
      <c r="D135" s="16">
        <v>2024.0</v>
      </c>
      <c r="E135" s="16">
        <v>1.0</v>
      </c>
      <c r="F135" s="16" t="s">
        <v>52</v>
      </c>
      <c r="G135" s="16" t="s">
        <v>60</v>
      </c>
      <c r="H135" s="16">
        <v>165.2830189</v>
      </c>
      <c r="I135" s="16">
        <v>39.0230782</v>
      </c>
      <c r="J135" s="16">
        <v>-8.9768885</v>
      </c>
      <c r="K135" s="16" t="s">
        <v>261</v>
      </c>
      <c r="L135" s="15"/>
      <c r="M135" s="15"/>
      <c r="N135" s="15"/>
      <c r="O135" s="15"/>
      <c r="P135" s="15"/>
      <c r="Q135" s="15"/>
      <c r="R135" s="15"/>
      <c r="S135" s="15"/>
      <c r="T135" s="15"/>
      <c r="U135" s="15"/>
      <c r="V135" s="15"/>
      <c r="W135" s="15"/>
      <c r="X135" s="15"/>
      <c r="Y135" s="15"/>
      <c r="Z135" s="15"/>
    </row>
    <row r="136">
      <c r="A136" s="16" t="s">
        <v>340</v>
      </c>
      <c r="B136" s="16" t="s">
        <v>341</v>
      </c>
      <c r="C136" s="16" t="s">
        <v>98</v>
      </c>
      <c r="D136" s="16">
        <v>2024.0</v>
      </c>
      <c r="E136" s="16">
        <v>1.0</v>
      </c>
      <c r="F136" s="16" t="s">
        <v>52</v>
      </c>
      <c r="G136" s="16" t="s">
        <v>103</v>
      </c>
      <c r="H136" s="16">
        <v>165.2830189</v>
      </c>
      <c r="I136" s="16">
        <v>58.13860163</v>
      </c>
      <c r="J136" s="16">
        <v>7.971242431</v>
      </c>
      <c r="K136" s="16" t="s">
        <v>261</v>
      </c>
      <c r="L136" s="15"/>
      <c r="M136" s="15"/>
      <c r="N136" s="15"/>
      <c r="O136" s="15"/>
      <c r="P136" s="15"/>
      <c r="Q136" s="15"/>
      <c r="R136" s="15"/>
      <c r="S136" s="15"/>
      <c r="T136" s="15"/>
      <c r="U136" s="15"/>
      <c r="V136" s="15"/>
      <c r="W136" s="15"/>
      <c r="X136" s="15"/>
      <c r="Y136" s="15"/>
      <c r="Z136" s="15"/>
    </row>
    <row r="137">
      <c r="A137" s="16" t="s">
        <v>342</v>
      </c>
      <c r="B137" s="16" t="s">
        <v>343</v>
      </c>
      <c r="C137" s="16" t="s">
        <v>57</v>
      </c>
      <c r="D137" s="16">
        <v>2024.0</v>
      </c>
      <c r="E137" s="16">
        <v>1.0</v>
      </c>
      <c r="F137" s="16" t="s">
        <v>52</v>
      </c>
      <c r="G137" s="15"/>
      <c r="H137" s="16">
        <v>165.2830189</v>
      </c>
      <c r="I137" s="16">
        <v>52.31658064</v>
      </c>
      <c r="J137" s="16">
        <v>10.55424612</v>
      </c>
      <c r="K137" s="16" t="s">
        <v>54</v>
      </c>
      <c r="L137" s="15"/>
      <c r="M137" s="15"/>
      <c r="N137" s="15"/>
      <c r="O137" s="15"/>
      <c r="P137" s="15"/>
      <c r="Q137" s="15"/>
      <c r="R137" s="15"/>
      <c r="S137" s="15"/>
      <c r="T137" s="15"/>
      <c r="U137" s="15"/>
      <c r="V137" s="15"/>
      <c r="W137" s="15"/>
      <c r="X137" s="15"/>
      <c r="Y137" s="15"/>
      <c r="Z137" s="15"/>
    </row>
    <row r="138">
      <c r="A138" s="16" t="s">
        <v>344</v>
      </c>
      <c r="B138" s="16" t="s">
        <v>345</v>
      </c>
      <c r="C138" s="16" t="s">
        <v>346</v>
      </c>
      <c r="D138" s="16">
        <v>2024.0</v>
      </c>
      <c r="E138" s="16">
        <v>1.0</v>
      </c>
      <c r="F138" s="16" t="s">
        <v>52</v>
      </c>
      <c r="G138" s="15"/>
      <c r="H138" s="16">
        <v>165.2830189</v>
      </c>
      <c r="I138" s="16">
        <v>48.43139432</v>
      </c>
      <c r="J138" s="16">
        <v>17.63183743</v>
      </c>
      <c r="K138" s="16" t="s">
        <v>261</v>
      </c>
      <c r="L138" s="15"/>
      <c r="M138" s="15"/>
      <c r="N138" s="15"/>
      <c r="O138" s="15"/>
      <c r="P138" s="15"/>
      <c r="Q138" s="15"/>
      <c r="R138" s="15"/>
      <c r="S138" s="15"/>
      <c r="T138" s="15"/>
      <c r="U138" s="15"/>
      <c r="V138" s="15"/>
      <c r="W138" s="15"/>
      <c r="X138" s="15"/>
      <c r="Y138" s="15"/>
      <c r="Z138" s="15"/>
    </row>
    <row r="139">
      <c r="A139" s="16" t="s">
        <v>347</v>
      </c>
      <c r="B139" s="16" t="s">
        <v>348</v>
      </c>
      <c r="C139" s="16" t="s">
        <v>173</v>
      </c>
      <c r="D139" s="16">
        <v>2024.0</v>
      </c>
      <c r="E139" s="16">
        <v>1.0</v>
      </c>
      <c r="F139" s="16" t="s">
        <v>52</v>
      </c>
      <c r="G139" s="16" t="s">
        <v>53</v>
      </c>
      <c r="H139" s="16">
        <v>165.2830189</v>
      </c>
      <c r="I139" s="16">
        <v>41.62566996</v>
      </c>
      <c r="J139" s="16">
        <v>-1.008857986</v>
      </c>
      <c r="K139" s="16" t="s">
        <v>54</v>
      </c>
      <c r="L139" s="15"/>
      <c r="M139" s="15"/>
      <c r="N139" s="15"/>
      <c r="O139" s="15"/>
      <c r="P139" s="15"/>
      <c r="Q139" s="15"/>
      <c r="R139" s="15"/>
      <c r="S139" s="15"/>
      <c r="T139" s="15"/>
      <c r="U139" s="15"/>
      <c r="V139" s="15"/>
      <c r="W139" s="15"/>
      <c r="X139" s="15"/>
      <c r="Y139" s="15"/>
      <c r="Z139" s="15"/>
    </row>
    <row r="140">
      <c r="A140" s="16" t="s">
        <v>349</v>
      </c>
      <c r="B140" s="16" t="s">
        <v>350</v>
      </c>
      <c r="C140" s="16" t="s">
        <v>108</v>
      </c>
      <c r="D140" s="16">
        <v>2024.0</v>
      </c>
      <c r="E140" s="16">
        <v>1.0</v>
      </c>
      <c r="F140" s="16" t="s">
        <v>52</v>
      </c>
      <c r="G140" s="16" t="s">
        <v>53</v>
      </c>
      <c r="H140" s="16">
        <v>165.2830189</v>
      </c>
      <c r="I140" s="16">
        <v>47.05927603</v>
      </c>
      <c r="J140" s="16">
        <v>15.46017718</v>
      </c>
      <c r="K140" s="16" t="s">
        <v>261</v>
      </c>
      <c r="L140" s="15"/>
      <c r="M140" s="15"/>
      <c r="N140" s="15"/>
      <c r="O140" s="15"/>
      <c r="P140" s="15"/>
      <c r="Q140" s="15"/>
      <c r="R140" s="15"/>
      <c r="S140" s="15"/>
      <c r="T140" s="15"/>
      <c r="U140" s="15"/>
      <c r="V140" s="15"/>
      <c r="W140" s="15"/>
      <c r="X140" s="15"/>
      <c r="Y140" s="15"/>
      <c r="Z140" s="15"/>
    </row>
    <row r="141">
      <c r="A141" s="16" t="s">
        <v>351</v>
      </c>
      <c r="B141" s="15"/>
      <c r="C141" s="16" t="s">
        <v>164</v>
      </c>
      <c r="D141" s="16">
        <v>2024.0</v>
      </c>
      <c r="E141" s="16">
        <v>1.0</v>
      </c>
      <c r="F141" s="16" t="s">
        <v>52</v>
      </c>
      <c r="G141" s="15"/>
      <c r="H141" s="16">
        <v>165.2830189</v>
      </c>
      <c r="I141" s="16">
        <v>52.2379891</v>
      </c>
      <c r="J141" s="16">
        <v>5.534607382</v>
      </c>
      <c r="K141" s="16" t="s">
        <v>261</v>
      </c>
      <c r="L141" s="15"/>
      <c r="M141" s="15"/>
      <c r="N141" s="15"/>
      <c r="O141" s="15"/>
      <c r="P141" s="15"/>
      <c r="Q141" s="15"/>
      <c r="R141" s="15"/>
      <c r="S141" s="15"/>
      <c r="T141" s="15"/>
      <c r="U141" s="15"/>
      <c r="V141" s="15"/>
      <c r="W141" s="15"/>
      <c r="X141" s="15"/>
      <c r="Y141" s="15"/>
      <c r="Z141" s="15"/>
    </row>
    <row r="142">
      <c r="A142" s="16" t="s">
        <v>352</v>
      </c>
      <c r="B142" s="16" t="s">
        <v>353</v>
      </c>
      <c r="C142" s="16" t="s">
        <v>120</v>
      </c>
      <c r="D142" s="16">
        <v>2024.0</v>
      </c>
      <c r="E142" s="16">
        <v>1.0</v>
      </c>
      <c r="F142" s="16" t="s">
        <v>52</v>
      </c>
      <c r="G142" s="16" t="s">
        <v>53</v>
      </c>
      <c r="H142" s="16">
        <v>165.2830189</v>
      </c>
      <c r="I142" s="16">
        <v>47.58441802</v>
      </c>
      <c r="J142" s="16">
        <v>6.896006443</v>
      </c>
      <c r="K142" s="16" t="s">
        <v>54</v>
      </c>
      <c r="L142" s="15"/>
      <c r="M142" s="15"/>
      <c r="N142" s="15"/>
      <c r="O142" s="15"/>
      <c r="P142" s="15"/>
      <c r="Q142" s="15"/>
      <c r="R142" s="15"/>
      <c r="S142" s="15"/>
      <c r="T142" s="15"/>
      <c r="U142" s="15"/>
      <c r="V142" s="15"/>
      <c r="W142" s="15"/>
      <c r="X142" s="15"/>
      <c r="Y142" s="15"/>
      <c r="Z142" s="15"/>
    </row>
    <row r="143">
      <c r="A143" s="16" t="s">
        <v>354</v>
      </c>
      <c r="B143" s="16" t="s">
        <v>355</v>
      </c>
      <c r="C143" s="16" t="s">
        <v>356</v>
      </c>
      <c r="D143" s="16">
        <v>2024.0</v>
      </c>
      <c r="E143" s="16">
        <v>1.0</v>
      </c>
      <c r="F143" s="16" t="s">
        <v>52</v>
      </c>
      <c r="G143" s="16" t="s">
        <v>53</v>
      </c>
      <c r="H143" s="16">
        <v>165.2830189</v>
      </c>
      <c r="I143" s="16">
        <v>59.43649775</v>
      </c>
      <c r="J143" s="16">
        <v>24.90039849</v>
      </c>
      <c r="K143" s="16" t="s">
        <v>261</v>
      </c>
      <c r="L143" s="15"/>
      <c r="M143" s="15"/>
      <c r="N143" s="15"/>
      <c r="O143" s="15"/>
      <c r="P143" s="15"/>
      <c r="Q143" s="15"/>
      <c r="R143" s="15"/>
      <c r="S143" s="15"/>
      <c r="T143" s="15"/>
      <c r="U143" s="15"/>
      <c r="V143" s="15"/>
      <c r="W143" s="15"/>
      <c r="X143" s="15"/>
      <c r="Y143" s="15"/>
      <c r="Z143" s="15"/>
    </row>
    <row r="144">
      <c r="A144" s="16" t="s">
        <v>357</v>
      </c>
      <c r="B144" s="16" t="s">
        <v>358</v>
      </c>
      <c r="C144" s="16" t="s">
        <v>57</v>
      </c>
      <c r="D144" s="16">
        <v>2024.0</v>
      </c>
      <c r="E144" s="16">
        <v>1.0</v>
      </c>
      <c r="F144" s="16" t="s">
        <v>52</v>
      </c>
      <c r="G144" s="16" t="s">
        <v>53</v>
      </c>
      <c r="H144" s="16">
        <v>165.2830189</v>
      </c>
      <c r="I144" s="16">
        <v>48.53801841</v>
      </c>
      <c r="J144" s="16">
        <v>9.081712984</v>
      </c>
      <c r="K144" s="16" t="s">
        <v>54</v>
      </c>
      <c r="L144" s="15"/>
      <c r="M144" s="15"/>
      <c r="N144" s="15"/>
      <c r="O144" s="15"/>
      <c r="P144" s="15"/>
      <c r="Q144" s="15"/>
      <c r="R144" s="15"/>
      <c r="S144" s="15"/>
      <c r="T144" s="15"/>
      <c r="U144" s="15"/>
      <c r="V144" s="15"/>
      <c r="W144" s="15"/>
      <c r="X144" s="15"/>
      <c r="Y144" s="15"/>
      <c r="Z144" s="15"/>
    </row>
    <row r="145">
      <c r="A145" s="16" t="s">
        <v>359</v>
      </c>
      <c r="B145" s="16" t="s">
        <v>360</v>
      </c>
      <c r="C145" s="16" t="s">
        <v>120</v>
      </c>
      <c r="D145" s="16">
        <v>2024.0</v>
      </c>
      <c r="E145" s="16">
        <v>1.0</v>
      </c>
      <c r="F145" s="16" t="s">
        <v>52</v>
      </c>
      <c r="G145" s="16" t="s">
        <v>111</v>
      </c>
      <c r="H145" s="16">
        <v>165.2830189</v>
      </c>
      <c r="I145" s="16">
        <v>47.65876686</v>
      </c>
      <c r="J145" s="16">
        <v>-2.715196757</v>
      </c>
      <c r="K145" s="16" t="s">
        <v>54</v>
      </c>
      <c r="L145" s="15"/>
      <c r="M145" s="15"/>
      <c r="N145" s="15"/>
      <c r="O145" s="15"/>
      <c r="P145" s="15"/>
      <c r="Q145" s="15"/>
      <c r="R145" s="15"/>
      <c r="S145" s="15"/>
      <c r="T145" s="15"/>
      <c r="U145" s="15"/>
      <c r="V145" s="15"/>
      <c r="W145" s="15"/>
      <c r="X145" s="15"/>
      <c r="Y145" s="15"/>
      <c r="Z145" s="15"/>
    </row>
    <row r="146">
      <c r="A146" s="16" t="s">
        <v>361</v>
      </c>
      <c r="B146" s="16" t="s">
        <v>362</v>
      </c>
      <c r="C146" s="16" t="s">
        <v>98</v>
      </c>
      <c r="D146" s="16">
        <v>2024.0</v>
      </c>
      <c r="E146" s="16">
        <v>1.0</v>
      </c>
      <c r="F146" s="16" t="s">
        <v>52</v>
      </c>
      <c r="G146" s="16" t="s">
        <v>174</v>
      </c>
      <c r="H146" s="16">
        <v>165.2830189</v>
      </c>
      <c r="I146" s="16">
        <v>59.27465476</v>
      </c>
      <c r="J146" s="16">
        <v>5.525034103</v>
      </c>
      <c r="K146" s="16" t="s">
        <v>54</v>
      </c>
      <c r="L146" s="15"/>
      <c r="M146" s="15"/>
      <c r="N146" s="15"/>
      <c r="O146" s="15"/>
      <c r="P146" s="15"/>
      <c r="Q146" s="15"/>
      <c r="R146" s="15"/>
      <c r="S146" s="15"/>
      <c r="T146" s="15"/>
      <c r="U146" s="15"/>
      <c r="V146" s="15"/>
      <c r="W146" s="15"/>
      <c r="X146" s="15"/>
      <c r="Y146" s="15"/>
      <c r="Z146" s="15"/>
    </row>
    <row r="147">
      <c r="A147" s="16" t="s">
        <v>363</v>
      </c>
      <c r="B147" s="16" t="s">
        <v>364</v>
      </c>
      <c r="C147" s="16" t="s">
        <v>98</v>
      </c>
      <c r="D147" s="16">
        <v>2024.0</v>
      </c>
      <c r="E147" s="16">
        <v>0.9</v>
      </c>
      <c r="F147" s="16" t="s">
        <v>52</v>
      </c>
      <c r="G147" s="16" t="s">
        <v>53</v>
      </c>
      <c r="H147" s="16">
        <v>148.754717</v>
      </c>
      <c r="I147" s="16">
        <v>58.44255891</v>
      </c>
      <c r="J147" s="16">
        <v>5.98274002</v>
      </c>
      <c r="K147" s="16" t="s">
        <v>54</v>
      </c>
      <c r="L147" s="15"/>
      <c r="M147" s="15"/>
      <c r="N147" s="15"/>
      <c r="O147" s="15"/>
      <c r="P147" s="15"/>
      <c r="Q147" s="15"/>
      <c r="R147" s="15"/>
      <c r="S147" s="15"/>
      <c r="T147" s="15"/>
      <c r="U147" s="15"/>
      <c r="V147" s="15"/>
      <c r="W147" s="15"/>
      <c r="X147" s="15"/>
      <c r="Y147" s="15"/>
      <c r="Z147" s="15"/>
    </row>
    <row r="148">
      <c r="A148" s="16" t="s">
        <v>365</v>
      </c>
      <c r="B148" s="16" t="s">
        <v>366</v>
      </c>
      <c r="C148" s="16" t="s">
        <v>83</v>
      </c>
      <c r="D148" s="16">
        <v>2024.0</v>
      </c>
      <c r="E148" s="16">
        <v>0.9</v>
      </c>
      <c r="F148" s="16" t="s">
        <v>52</v>
      </c>
      <c r="G148" s="16" t="s">
        <v>111</v>
      </c>
      <c r="H148" s="16">
        <v>148.754717</v>
      </c>
      <c r="I148" s="16">
        <v>56.66499472</v>
      </c>
      <c r="J148" s="16">
        <v>-2.528121637</v>
      </c>
      <c r="K148" s="16" t="s">
        <v>261</v>
      </c>
      <c r="L148" s="15"/>
      <c r="M148" s="15"/>
      <c r="N148" s="15"/>
      <c r="O148" s="15"/>
      <c r="P148" s="15"/>
      <c r="Q148" s="15"/>
      <c r="R148" s="15"/>
      <c r="S148" s="15"/>
      <c r="T148" s="15"/>
      <c r="U148" s="15"/>
      <c r="V148" s="15"/>
      <c r="W148" s="15"/>
      <c r="X148" s="15"/>
      <c r="Y148" s="15"/>
      <c r="Z148" s="15"/>
    </row>
    <row r="149">
      <c r="A149" s="16" t="s">
        <v>367</v>
      </c>
      <c r="B149" s="16" t="s">
        <v>368</v>
      </c>
      <c r="C149" s="16" t="s">
        <v>120</v>
      </c>
      <c r="D149" s="16">
        <v>2024.0</v>
      </c>
      <c r="E149" s="16">
        <v>0.5</v>
      </c>
      <c r="F149" s="16" t="s">
        <v>52</v>
      </c>
      <c r="G149" s="16" t="s">
        <v>53</v>
      </c>
      <c r="H149" s="16">
        <v>82.64150943</v>
      </c>
      <c r="I149" s="16">
        <v>49.90460396</v>
      </c>
      <c r="J149" s="16">
        <v>1.105889183</v>
      </c>
      <c r="K149" s="16" t="s">
        <v>261</v>
      </c>
      <c r="L149" s="15"/>
      <c r="M149" s="15"/>
      <c r="N149" s="15"/>
      <c r="O149" s="15"/>
      <c r="P149" s="15"/>
      <c r="Q149" s="15"/>
      <c r="R149" s="15"/>
      <c r="S149" s="15"/>
      <c r="T149" s="15"/>
      <c r="U149" s="15"/>
      <c r="V149" s="15"/>
      <c r="W149" s="15"/>
      <c r="X149" s="15"/>
      <c r="Y149" s="15"/>
      <c r="Z149" s="15"/>
    </row>
    <row r="150">
      <c r="A150" s="16" t="s">
        <v>369</v>
      </c>
      <c r="B150" s="16" t="s">
        <v>370</v>
      </c>
      <c r="C150" s="16" t="s">
        <v>75</v>
      </c>
      <c r="D150" s="16">
        <v>2024.0</v>
      </c>
      <c r="E150" s="16">
        <v>0.5</v>
      </c>
      <c r="F150" s="16" t="s">
        <v>52</v>
      </c>
      <c r="G150" s="16" t="s">
        <v>103</v>
      </c>
      <c r="H150" s="16">
        <v>82.64150943</v>
      </c>
      <c r="I150" s="16">
        <v>61.06356097</v>
      </c>
      <c r="J150" s="16">
        <v>28.09673118</v>
      </c>
      <c r="K150" s="16" t="s">
        <v>54</v>
      </c>
      <c r="L150" s="15"/>
      <c r="M150" s="15"/>
      <c r="N150" s="15"/>
      <c r="O150" s="15"/>
      <c r="P150" s="15"/>
      <c r="Q150" s="15"/>
      <c r="R150" s="15"/>
      <c r="S150" s="15"/>
      <c r="T150" s="15"/>
      <c r="U150" s="15"/>
      <c r="V150" s="15"/>
      <c r="W150" s="15"/>
      <c r="X150" s="15"/>
      <c r="Y150" s="15"/>
      <c r="Z150" s="15"/>
    </row>
    <row r="151">
      <c r="A151" s="16" t="s">
        <v>371</v>
      </c>
      <c r="B151" s="16" t="s">
        <v>372</v>
      </c>
      <c r="C151" s="16" t="s">
        <v>164</v>
      </c>
      <c r="D151" s="16">
        <v>2025.0</v>
      </c>
      <c r="E151" s="16">
        <v>300.0</v>
      </c>
      <c r="F151" s="16" t="s">
        <v>373</v>
      </c>
      <c r="G151" s="16" t="s">
        <v>174</v>
      </c>
      <c r="H151" s="16">
        <v>78847.88479</v>
      </c>
      <c r="I151" s="16">
        <v>51.27213819</v>
      </c>
      <c r="J151" s="16">
        <v>3.848996124</v>
      </c>
      <c r="K151" s="16" t="s">
        <v>261</v>
      </c>
      <c r="L151" s="15"/>
      <c r="M151" s="15"/>
      <c r="N151" s="15"/>
      <c r="O151" s="15"/>
      <c r="P151" s="15"/>
      <c r="Q151" s="15"/>
      <c r="R151" s="15"/>
      <c r="S151" s="15"/>
      <c r="T151" s="15"/>
      <c r="U151" s="15"/>
      <c r="V151" s="15"/>
      <c r="W151" s="15"/>
      <c r="X151" s="15"/>
      <c r="Y151" s="15"/>
      <c r="Z151" s="15"/>
    </row>
    <row r="152">
      <c r="A152" s="16" t="s">
        <v>374</v>
      </c>
      <c r="B152" s="16" t="s">
        <v>225</v>
      </c>
      <c r="C152" s="16" t="s">
        <v>164</v>
      </c>
      <c r="D152" s="16">
        <v>2025.0</v>
      </c>
      <c r="E152" s="16">
        <v>200.0</v>
      </c>
      <c r="F152" s="16" t="s">
        <v>52</v>
      </c>
      <c r="G152" s="16" t="s">
        <v>95</v>
      </c>
      <c r="H152" s="16">
        <v>33056.60377</v>
      </c>
      <c r="I152" s="16">
        <v>51.96077635</v>
      </c>
      <c r="J152" s="16">
        <v>3.99333939</v>
      </c>
      <c r="K152" s="16" t="s">
        <v>261</v>
      </c>
      <c r="L152" s="15"/>
      <c r="M152" s="15"/>
      <c r="N152" s="15"/>
      <c r="O152" s="15"/>
      <c r="P152" s="15"/>
      <c r="Q152" s="15"/>
      <c r="R152" s="15"/>
      <c r="S152" s="15"/>
      <c r="T152" s="15"/>
      <c r="U152" s="15"/>
      <c r="V152" s="15"/>
      <c r="W152" s="15"/>
      <c r="X152" s="15"/>
      <c r="Y152" s="15"/>
      <c r="Z152" s="15"/>
    </row>
    <row r="153">
      <c r="A153" s="16" t="s">
        <v>375</v>
      </c>
      <c r="B153" s="16" t="s">
        <v>376</v>
      </c>
      <c r="C153" s="16" t="s">
        <v>339</v>
      </c>
      <c r="D153" s="16">
        <v>2025.0</v>
      </c>
      <c r="E153" s="16">
        <v>100.0</v>
      </c>
      <c r="F153" s="16" t="s">
        <v>52</v>
      </c>
      <c r="G153" s="16" t="s">
        <v>95</v>
      </c>
      <c r="H153" s="16">
        <v>16528.30189</v>
      </c>
      <c r="I153" s="16">
        <v>37.95938872</v>
      </c>
      <c r="J153" s="16">
        <v>-8.812321053</v>
      </c>
      <c r="K153" s="16" t="s">
        <v>261</v>
      </c>
      <c r="L153" s="15"/>
      <c r="M153" s="15"/>
      <c r="N153" s="15"/>
      <c r="O153" s="15"/>
      <c r="P153" s="15"/>
      <c r="Q153" s="15"/>
      <c r="R153" s="15"/>
      <c r="S153" s="15"/>
      <c r="T153" s="15"/>
      <c r="U153" s="15"/>
      <c r="V153" s="15"/>
      <c r="W153" s="15"/>
      <c r="X153" s="15"/>
      <c r="Y153" s="15"/>
      <c r="Z153" s="15"/>
    </row>
    <row r="154">
      <c r="A154" s="16" t="s">
        <v>377</v>
      </c>
      <c r="B154" s="16" t="s">
        <v>273</v>
      </c>
      <c r="C154" s="16" t="s">
        <v>57</v>
      </c>
      <c r="D154" s="16">
        <v>2025.0</v>
      </c>
      <c r="E154" s="16">
        <v>86.0</v>
      </c>
      <c r="F154" s="16" t="s">
        <v>52</v>
      </c>
      <c r="G154" s="16" t="s">
        <v>95</v>
      </c>
      <c r="H154" s="16">
        <v>14214.33962</v>
      </c>
      <c r="I154" s="16">
        <v>52.48283788</v>
      </c>
      <c r="J154" s="16">
        <v>7.303512224</v>
      </c>
      <c r="K154" s="16" t="s">
        <v>261</v>
      </c>
      <c r="L154" s="15"/>
      <c r="M154" s="15"/>
      <c r="N154" s="15"/>
      <c r="O154" s="15"/>
      <c r="P154" s="15"/>
      <c r="Q154" s="15"/>
      <c r="R154" s="15"/>
      <c r="S154" s="15"/>
      <c r="T154" s="15"/>
      <c r="U154" s="15"/>
      <c r="V154" s="15"/>
      <c r="W154" s="15"/>
      <c r="X154" s="15"/>
      <c r="Y154" s="15"/>
      <c r="Z154" s="15"/>
    </row>
    <row r="155">
      <c r="A155" s="16" t="s">
        <v>378</v>
      </c>
      <c r="B155" s="16" t="s">
        <v>379</v>
      </c>
      <c r="C155" s="16" t="s">
        <v>57</v>
      </c>
      <c r="D155" s="16">
        <v>2025.0</v>
      </c>
      <c r="E155" s="16">
        <v>54.0</v>
      </c>
      <c r="F155" s="16" t="s">
        <v>52</v>
      </c>
      <c r="G155" s="16" t="s">
        <v>103</v>
      </c>
      <c r="H155" s="16">
        <v>8925.283019</v>
      </c>
      <c r="I155" s="16">
        <v>49.52065429</v>
      </c>
      <c r="J155" s="16">
        <v>8.422351174</v>
      </c>
      <c r="K155" s="16" t="s">
        <v>261</v>
      </c>
      <c r="L155" s="15"/>
      <c r="M155" s="15"/>
      <c r="N155" s="15"/>
      <c r="O155" s="15"/>
      <c r="P155" s="15"/>
      <c r="Q155" s="15"/>
      <c r="R155" s="15"/>
      <c r="S155" s="15"/>
      <c r="T155" s="15"/>
      <c r="U155" s="15"/>
      <c r="V155" s="15"/>
      <c r="W155" s="15"/>
      <c r="X155" s="15"/>
      <c r="Y155" s="15"/>
      <c r="Z155" s="15"/>
    </row>
    <row r="156">
      <c r="A156" s="16" t="s">
        <v>380</v>
      </c>
      <c r="B156" s="16" t="s">
        <v>381</v>
      </c>
      <c r="C156" s="16" t="s">
        <v>57</v>
      </c>
      <c r="D156" s="16">
        <v>2025.0</v>
      </c>
      <c r="E156" s="16">
        <v>30.0</v>
      </c>
      <c r="F156" s="16" t="s">
        <v>52</v>
      </c>
      <c r="G156" s="16" t="s">
        <v>95</v>
      </c>
      <c r="H156" s="16">
        <v>4958.490566</v>
      </c>
      <c r="I156" s="16">
        <v>51.3847515</v>
      </c>
      <c r="J156" s="16">
        <v>11.8605186</v>
      </c>
      <c r="K156" s="16" t="s">
        <v>261</v>
      </c>
      <c r="L156" s="15"/>
      <c r="M156" s="15"/>
      <c r="N156" s="15"/>
      <c r="O156" s="15"/>
      <c r="P156" s="15"/>
      <c r="Q156" s="15"/>
      <c r="R156" s="15"/>
      <c r="S156" s="15"/>
      <c r="T156" s="15"/>
      <c r="U156" s="15"/>
      <c r="V156" s="15"/>
      <c r="W156" s="15"/>
      <c r="X156" s="15"/>
      <c r="Y156" s="15"/>
      <c r="Z156" s="15"/>
    </row>
    <row r="157">
      <c r="A157" s="16" t="s">
        <v>382</v>
      </c>
      <c r="B157" s="16" t="s">
        <v>383</v>
      </c>
      <c r="C157" s="16" t="s">
        <v>120</v>
      </c>
      <c r="D157" s="16">
        <v>2025.0</v>
      </c>
      <c r="E157" s="16">
        <v>20.0</v>
      </c>
      <c r="F157" s="16" t="s">
        <v>52</v>
      </c>
      <c r="G157" s="16" t="s">
        <v>103</v>
      </c>
      <c r="H157" s="16">
        <v>3305.660377</v>
      </c>
      <c r="I157" s="16">
        <v>43.00647723</v>
      </c>
      <c r="J157" s="16">
        <v>3.045860954</v>
      </c>
      <c r="K157" s="16" t="s">
        <v>261</v>
      </c>
      <c r="L157" s="15"/>
      <c r="M157" s="15"/>
      <c r="N157" s="15"/>
      <c r="O157" s="15"/>
      <c r="P157" s="15"/>
      <c r="Q157" s="15"/>
      <c r="R157" s="15"/>
      <c r="S157" s="15"/>
      <c r="T157" s="15"/>
      <c r="U157" s="15"/>
      <c r="V157" s="15"/>
      <c r="W157" s="15"/>
      <c r="X157" s="15"/>
      <c r="Y157" s="15"/>
      <c r="Z157" s="15"/>
    </row>
    <row r="158">
      <c r="A158" s="16" t="s">
        <v>384</v>
      </c>
      <c r="B158" s="16" t="s">
        <v>341</v>
      </c>
      <c r="C158" s="16" t="s">
        <v>98</v>
      </c>
      <c r="D158" s="16">
        <v>2025.0</v>
      </c>
      <c r="E158" s="16">
        <v>20.0</v>
      </c>
      <c r="F158" s="16" t="s">
        <v>52</v>
      </c>
      <c r="G158" s="16" t="s">
        <v>53</v>
      </c>
      <c r="H158" s="16">
        <v>3305.660377</v>
      </c>
      <c r="I158" s="16">
        <v>58.15965633</v>
      </c>
      <c r="J158" s="16">
        <v>8.041352451</v>
      </c>
      <c r="K158" s="16" t="s">
        <v>261</v>
      </c>
      <c r="L158" s="15"/>
      <c r="M158" s="15"/>
      <c r="N158" s="15"/>
      <c r="O158" s="15"/>
      <c r="P158" s="15"/>
      <c r="Q158" s="15"/>
      <c r="R158" s="15"/>
      <c r="S158" s="15"/>
      <c r="T158" s="15"/>
      <c r="U158" s="15"/>
      <c r="V158" s="15"/>
      <c r="W158" s="15"/>
      <c r="X158" s="15"/>
      <c r="Y158" s="15"/>
      <c r="Z158" s="15"/>
    </row>
    <row r="159">
      <c r="A159" s="16" t="s">
        <v>385</v>
      </c>
      <c r="B159" s="16" t="s">
        <v>386</v>
      </c>
      <c r="C159" s="16" t="s">
        <v>83</v>
      </c>
      <c r="D159" s="16">
        <v>2025.0</v>
      </c>
      <c r="E159" s="16">
        <v>15.0</v>
      </c>
      <c r="F159" s="16" t="s">
        <v>52</v>
      </c>
      <c r="G159" s="16" t="s">
        <v>53</v>
      </c>
      <c r="H159" s="16">
        <v>2479.245283</v>
      </c>
      <c r="I159" s="16">
        <v>56.80198974</v>
      </c>
      <c r="J159" s="16">
        <v>-3.285651903</v>
      </c>
      <c r="K159" s="16" t="s">
        <v>261</v>
      </c>
      <c r="L159" s="15"/>
      <c r="M159" s="15"/>
      <c r="N159" s="15"/>
      <c r="O159" s="15"/>
      <c r="P159" s="15"/>
      <c r="Q159" s="15"/>
      <c r="R159" s="15"/>
      <c r="S159" s="15"/>
      <c r="T159" s="15"/>
      <c r="U159" s="15"/>
      <c r="V159" s="15"/>
      <c r="W159" s="15"/>
      <c r="X159" s="15"/>
      <c r="Y159" s="15"/>
      <c r="Z159" s="15"/>
    </row>
    <row r="160">
      <c r="A160" s="16" t="s">
        <v>387</v>
      </c>
      <c r="B160" s="16" t="s">
        <v>388</v>
      </c>
      <c r="C160" s="16" t="s">
        <v>120</v>
      </c>
      <c r="D160" s="16">
        <v>2025.0</v>
      </c>
      <c r="E160" s="16">
        <v>10.0</v>
      </c>
      <c r="F160" s="16" t="s">
        <v>52</v>
      </c>
      <c r="G160" s="16" t="s">
        <v>53</v>
      </c>
      <c r="H160" s="16">
        <v>1652.830189</v>
      </c>
      <c r="I160" s="16">
        <v>45.38966665</v>
      </c>
      <c r="J160" s="16">
        <v>6.021602439</v>
      </c>
      <c r="K160" s="16" t="s">
        <v>261</v>
      </c>
      <c r="L160" s="15"/>
      <c r="M160" s="15"/>
      <c r="N160" s="15"/>
      <c r="O160" s="15"/>
      <c r="P160" s="15"/>
      <c r="Q160" s="15"/>
      <c r="R160" s="15"/>
      <c r="S160" s="15"/>
      <c r="T160" s="15"/>
      <c r="U160" s="15"/>
      <c r="V160" s="15"/>
      <c r="W160" s="15"/>
      <c r="X160" s="15"/>
      <c r="Y160" s="15"/>
      <c r="Z160" s="15"/>
    </row>
    <row r="161">
      <c r="A161" s="16" t="s">
        <v>389</v>
      </c>
      <c r="B161" s="16" t="s">
        <v>390</v>
      </c>
      <c r="C161" s="16" t="s">
        <v>57</v>
      </c>
      <c r="D161" s="16">
        <v>2025.0</v>
      </c>
      <c r="E161" s="16">
        <v>10.0</v>
      </c>
      <c r="F161" s="16" t="s">
        <v>52</v>
      </c>
      <c r="G161" s="16" t="s">
        <v>103</v>
      </c>
      <c r="H161" s="16">
        <v>1652.830189</v>
      </c>
      <c r="I161" s="16">
        <v>53.33221044</v>
      </c>
      <c r="J161" s="16">
        <v>8.486788466</v>
      </c>
      <c r="K161" s="16" t="s">
        <v>261</v>
      </c>
      <c r="L161" s="15"/>
      <c r="M161" s="15"/>
      <c r="N161" s="15"/>
      <c r="O161" s="15"/>
      <c r="P161" s="15"/>
      <c r="Q161" s="15"/>
      <c r="R161" s="15"/>
      <c r="S161" s="15"/>
      <c r="T161" s="15"/>
      <c r="U161" s="15"/>
      <c r="V161" s="15"/>
      <c r="W161" s="15"/>
      <c r="X161" s="15"/>
      <c r="Y161" s="15"/>
      <c r="Z161" s="15"/>
    </row>
    <row r="162">
      <c r="A162" s="16" t="s">
        <v>391</v>
      </c>
      <c r="B162" s="16" t="s">
        <v>392</v>
      </c>
      <c r="C162" s="16" t="s">
        <v>57</v>
      </c>
      <c r="D162" s="16">
        <v>2025.0</v>
      </c>
      <c r="E162" s="16">
        <v>10.0</v>
      </c>
      <c r="F162" s="16" t="s">
        <v>52</v>
      </c>
      <c r="G162" s="16" t="s">
        <v>137</v>
      </c>
      <c r="H162" s="16">
        <v>1652.830189</v>
      </c>
      <c r="I162" s="16">
        <v>53.12930975</v>
      </c>
      <c r="J162" s="16">
        <v>8.6661833</v>
      </c>
      <c r="K162" s="16" t="s">
        <v>261</v>
      </c>
      <c r="L162" s="15"/>
      <c r="M162" s="15"/>
      <c r="N162" s="15"/>
      <c r="O162" s="15"/>
      <c r="P162" s="15"/>
      <c r="Q162" s="15"/>
      <c r="R162" s="15"/>
      <c r="S162" s="15"/>
      <c r="T162" s="15"/>
      <c r="U162" s="15"/>
      <c r="V162" s="15"/>
      <c r="W162" s="15"/>
      <c r="X162" s="15"/>
      <c r="Y162" s="15"/>
      <c r="Z162" s="15"/>
    </row>
    <row r="163">
      <c r="A163" s="16" t="s">
        <v>393</v>
      </c>
      <c r="B163" s="16" t="s">
        <v>394</v>
      </c>
      <c r="C163" s="16" t="s">
        <v>57</v>
      </c>
      <c r="D163" s="16">
        <v>2025.0</v>
      </c>
      <c r="E163" s="16">
        <v>6.6</v>
      </c>
      <c r="F163" s="16" t="s">
        <v>52</v>
      </c>
      <c r="G163" s="16" t="s">
        <v>53</v>
      </c>
      <c r="H163" s="16">
        <v>1090.867925</v>
      </c>
      <c r="I163" s="16">
        <v>50.71857904</v>
      </c>
      <c r="J163" s="16">
        <v>9.841838103</v>
      </c>
      <c r="K163" s="16" t="s">
        <v>261</v>
      </c>
      <c r="L163" s="15"/>
      <c r="M163" s="15"/>
      <c r="N163" s="15"/>
      <c r="O163" s="15"/>
      <c r="P163" s="15"/>
      <c r="Q163" s="15"/>
      <c r="R163" s="15"/>
      <c r="S163" s="15"/>
      <c r="T163" s="15"/>
      <c r="U163" s="15"/>
      <c r="V163" s="15"/>
      <c r="W163" s="15"/>
      <c r="X163" s="15"/>
      <c r="Y163" s="15"/>
      <c r="Z163" s="15"/>
    </row>
    <row r="164">
      <c r="A164" s="16" t="s">
        <v>395</v>
      </c>
      <c r="B164" s="16" t="s">
        <v>225</v>
      </c>
      <c r="C164" s="16" t="s">
        <v>164</v>
      </c>
      <c r="D164" s="16">
        <v>2025.0</v>
      </c>
      <c r="E164" s="16">
        <v>6.25</v>
      </c>
      <c r="F164" s="16" t="s">
        <v>52</v>
      </c>
      <c r="G164" s="15"/>
      <c r="H164" s="16">
        <v>1033.018868</v>
      </c>
      <c r="I164" s="16">
        <v>51.95067317</v>
      </c>
      <c r="J164" s="16">
        <v>4.00392679</v>
      </c>
      <c r="K164" s="16" t="s">
        <v>261</v>
      </c>
      <c r="L164" s="15"/>
      <c r="M164" s="15"/>
      <c r="N164" s="15"/>
      <c r="O164" s="15"/>
      <c r="P164" s="15"/>
      <c r="Q164" s="15"/>
      <c r="R164" s="15"/>
      <c r="S164" s="15"/>
      <c r="T164" s="15"/>
      <c r="U164" s="15"/>
      <c r="V164" s="15"/>
      <c r="W164" s="15"/>
      <c r="X164" s="15"/>
      <c r="Y164" s="15"/>
      <c r="Z164" s="15"/>
    </row>
    <row r="165">
      <c r="A165" s="16" t="s">
        <v>396</v>
      </c>
      <c r="B165" s="16" t="s">
        <v>397</v>
      </c>
      <c r="C165" s="16" t="s">
        <v>83</v>
      </c>
      <c r="D165" s="16">
        <v>2025.0</v>
      </c>
      <c r="E165" s="16">
        <v>5.0</v>
      </c>
      <c r="F165" s="16" t="s">
        <v>52</v>
      </c>
      <c r="G165" s="16" t="s">
        <v>132</v>
      </c>
      <c r="H165" s="16">
        <v>826.4150943</v>
      </c>
      <c r="I165" s="16">
        <v>56.17615891</v>
      </c>
      <c r="J165" s="16">
        <v>-3.023724945</v>
      </c>
      <c r="K165" s="16" t="s">
        <v>261</v>
      </c>
      <c r="L165" s="15"/>
      <c r="M165" s="15"/>
      <c r="N165" s="15"/>
      <c r="O165" s="15"/>
      <c r="P165" s="15"/>
      <c r="Q165" s="15"/>
      <c r="R165" s="15"/>
      <c r="S165" s="15"/>
      <c r="T165" s="15"/>
      <c r="U165" s="15"/>
      <c r="V165" s="15"/>
      <c r="W165" s="15"/>
      <c r="X165" s="15"/>
      <c r="Y165" s="15"/>
      <c r="Z165" s="15"/>
    </row>
    <row r="166">
      <c r="A166" s="16" t="s">
        <v>398</v>
      </c>
      <c r="B166" s="16" t="s">
        <v>399</v>
      </c>
      <c r="C166" s="16" t="s">
        <v>127</v>
      </c>
      <c r="D166" s="16">
        <v>2025.0</v>
      </c>
      <c r="E166" s="16">
        <v>5.0</v>
      </c>
      <c r="F166" s="16" t="s">
        <v>52</v>
      </c>
      <c r="G166" s="16" t="s">
        <v>53</v>
      </c>
      <c r="H166" s="16">
        <v>826.4150943</v>
      </c>
      <c r="I166" s="16">
        <v>47.18043039</v>
      </c>
      <c r="J166" s="16">
        <v>8.731756808</v>
      </c>
      <c r="K166" s="16" t="s">
        <v>261</v>
      </c>
      <c r="L166" s="15"/>
      <c r="M166" s="15"/>
      <c r="N166" s="15"/>
      <c r="O166" s="15"/>
      <c r="P166" s="15"/>
      <c r="Q166" s="15"/>
      <c r="R166" s="15"/>
      <c r="S166" s="15"/>
      <c r="T166" s="15"/>
      <c r="U166" s="15"/>
      <c r="V166" s="15"/>
      <c r="W166" s="15"/>
      <c r="X166" s="15"/>
      <c r="Y166" s="15"/>
      <c r="Z166" s="15"/>
    </row>
    <row r="167">
      <c r="A167" s="16" t="s">
        <v>400</v>
      </c>
      <c r="B167" s="16" t="s">
        <v>117</v>
      </c>
      <c r="C167" s="16" t="s">
        <v>57</v>
      </c>
      <c r="D167" s="16">
        <v>2025.0</v>
      </c>
      <c r="E167" s="16">
        <v>5.0</v>
      </c>
      <c r="F167" s="16" t="s">
        <v>52</v>
      </c>
      <c r="G167" s="16" t="s">
        <v>72</v>
      </c>
      <c r="H167" s="16">
        <v>826.4150943</v>
      </c>
      <c r="I167" s="16">
        <v>47.53893323</v>
      </c>
      <c r="J167" s="16">
        <v>7.708143189</v>
      </c>
      <c r="K167" s="16" t="s">
        <v>261</v>
      </c>
      <c r="L167" s="15"/>
      <c r="M167" s="15"/>
      <c r="N167" s="15"/>
      <c r="O167" s="15"/>
      <c r="P167" s="15"/>
      <c r="Q167" s="15"/>
      <c r="R167" s="15"/>
      <c r="S167" s="15"/>
      <c r="T167" s="15"/>
      <c r="U167" s="15"/>
      <c r="V167" s="15"/>
      <c r="W167" s="15"/>
      <c r="X167" s="15"/>
      <c r="Y167" s="15"/>
      <c r="Z167" s="15"/>
    </row>
    <row r="168">
      <c r="A168" s="16" t="s">
        <v>401</v>
      </c>
      <c r="B168" s="16" t="s">
        <v>402</v>
      </c>
      <c r="C168" s="16" t="s">
        <v>120</v>
      </c>
      <c r="D168" s="16">
        <v>2025.0</v>
      </c>
      <c r="E168" s="16">
        <v>5.0</v>
      </c>
      <c r="F168" s="16" t="s">
        <v>52</v>
      </c>
      <c r="G168" s="16" t="s">
        <v>103</v>
      </c>
      <c r="H168" s="16">
        <v>826.4150943</v>
      </c>
      <c r="I168" s="16">
        <v>47.2586854</v>
      </c>
      <c r="J168" s="16">
        <v>0.6939975162</v>
      </c>
      <c r="K168" s="16" t="s">
        <v>261</v>
      </c>
      <c r="L168" s="15"/>
      <c r="M168" s="15"/>
      <c r="N168" s="15"/>
      <c r="O168" s="15"/>
      <c r="P168" s="15"/>
      <c r="Q168" s="15"/>
      <c r="R168" s="15"/>
      <c r="S168" s="15"/>
      <c r="T168" s="15"/>
      <c r="U168" s="15"/>
      <c r="V168" s="15"/>
      <c r="W168" s="15"/>
      <c r="X168" s="15"/>
      <c r="Y168" s="15"/>
      <c r="Z168" s="15"/>
    </row>
    <row r="169">
      <c r="A169" s="16" t="s">
        <v>403</v>
      </c>
      <c r="B169" s="16" t="s">
        <v>404</v>
      </c>
      <c r="C169" s="16" t="s">
        <v>57</v>
      </c>
      <c r="D169" s="16">
        <v>2025.0</v>
      </c>
      <c r="E169" s="16">
        <v>5.0</v>
      </c>
      <c r="F169" s="16" t="s">
        <v>52</v>
      </c>
      <c r="G169" s="16" t="s">
        <v>53</v>
      </c>
      <c r="H169" s="16">
        <v>826.4150943</v>
      </c>
      <c r="I169" s="16">
        <v>51.90438547</v>
      </c>
      <c r="J169" s="16">
        <v>13.75119008</v>
      </c>
      <c r="K169" s="16" t="s">
        <v>261</v>
      </c>
      <c r="L169" s="15"/>
      <c r="M169" s="15"/>
      <c r="N169" s="15"/>
      <c r="O169" s="15"/>
      <c r="P169" s="15"/>
      <c r="Q169" s="15"/>
      <c r="R169" s="15"/>
      <c r="S169" s="15"/>
      <c r="T169" s="15"/>
      <c r="U169" s="15"/>
      <c r="V169" s="15"/>
      <c r="W169" s="15"/>
      <c r="X169" s="15"/>
      <c r="Y169" s="15"/>
      <c r="Z169" s="15"/>
    </row>
    <row r="170">
      <c r="A170" s="16" t="s">
        <v>405</v>
      </c>
      <c r="B170" s="16" t="s">
        <v>406</v>
      </c>
      <c r="C170" s="16" t="s">
        <v>120</v>
      </c>
      <c r="D170" s="16">
        <v>2025.0</v>
      </c>
      <c r="E170" s="16">
        <v>5.0</v>
      </c>
      <c r="F170" s="16" t="s">
        <v>52</v>
      </c>
      <c r="G170" s="16" t="s">
        <v>53</v>
      </c>
      <c r="H170" s="16">
        <v>826.4150943</v>
      </c>
      <c r="I170" s="16">
        <v>49.80770719</v>
      </c>
      <c r="J170" s="16">
        <v>1.968975563</v>
      </c>
      <c r="K170" s="16" t="s">
        <v>261</v>
      </c>
      <c r="L170" s="15"/>
      <c r="M170" s="15"/>
      <c r="N170" s="15"/>
      <c r="O170" s="15"/>
      <c r="P170" s="15"/>
      <c r="Q170" s="15"/>
      <c r="R170" s="15"/>
      <c r="S170" s="15"/>
      <c r="T170" s="15"/>
      <c r="U170" s="15"/>
      <c r="V170" s="15"/>
      <c r="W170" s="15"/>
      <c r="X170" s="15"/>
      <c r="Y170" s="15"/>
      <c r="Z170" s="15"/>
    </row>
    <row r="171">
      <c r="A171" s="16" t="s">
        <v>407</v>
      </c>
      <c r="B171" s="16" t="s">
        <v>408</v>
      </c>
      <c r="C171" s="16" t="s">
        <v>409</v>
      </c>
      <c r="D171" s="16">
        <v>2025.0</v>
      </c>
      <c r="E171" s="16">
        <v>5.0</v>
      </c>
      <c r="F171" s="16" t="s">
        <v>52</v>
      </c>
      <c r="G171" s="15"/>
      <c r="H171" s="16">
        <v>826.4150943</v>
      </c>
      <c r="I171" s="16">
        <v>46.567153</v>
      </c>
      <c r="J171" s="16">
        <v>23.788949</v>
      </c>
      <c r="K171" s="16" t="s">
        <v>261</v>
      </c>
      <c r="L171" s="15"/>
      <c r="M171" s="15"/>
      <c r="N171" s="15"/>
      <c r="O171" s="15"/>
      <c r="P171" s="15"/>
      <c r="Q171" s="15"/>
      <c r="R171" s="15"/>
      <c r="S171" s="15"/>
      <c r="T171" s="15"/>
      <c r="U171" s="15"/>
      <c r="V171" s="15"/>
      <c r="W171" s="15"/>
      <c r="X171" s="15"/>
      <c r="Y171" s="15"/>
      <c r="Z171" s="15"/>
    </row>
    <row r="172">
      <c r="A172" s="16" t="s">
        <v>410</v>
      </c>
      <c r="B172" s="16" t="s">
        <v>411</v>
      </c>
      <c r="C172" s="16" t="s">
        <v>57</v>
      </c>
      <c r="D172" s="16">
        <v>2025.0</v>
      </c>
      <c r="E172" s="16">
        <v>4.0</v>
      </c>
      <c r="F172" s="16" t="s">
        <v>52</v>
      </c>
      <c r="G172" s="16" t="s">
        <v>60</v>
      </c>
      <c r="H172" s="16">
        <v>661.1320755</v>
      </c>
      <c r="I172" s="16">
        <v>53.4872448</v>
      </c>
      <c r="J172" s="16">
        <v>11.4626899</v>
      </c>
      <c r="K172" s="16" t="s">
        <v>261</v>
      </c>
      <c r="L172" s="15"/>
      <c r="M172" s="15"/>
      <c r="N172" s="15"/>
      <c r="O172" s="15"/>
      <c r="P172" s="15"/>
      <c r="Q172" s="15"/>
      <c r="R172" s="15"/>
      <c r="S172" s="15"/>
      <c r="T172" s="15"/>
      <c r="U172" s="15"/>
      <c r="V172" s="15"/>
      <c r="W172" s="15"/>
      <c r="X172" s="15"/>
      <c r="Y172" s="15"/>
      <c r="Z172" s="15"/>
    </row>
    <row r="173">
      <c r="A173" s="16" t="s">
        <v>412</v>
      </c>
      <c r="B173" s="16" t="s">
        <v>413</v>
      </c>
      <c r="C173" s="16" t="s">
        <v>173</v>
      </c>
      <c r="D173" s="16">
        <v>2025.0</v>
      </c>
      <c r="E173" s="16">
        <v>2.5</v>
      </c>
      <c r="F173" s="16" t="s">
        <v>52</v>
      </c>
      <c r="G173" s="15"/>
      <c r="H173" s="16">
        <v>413.2075472</v>
      </c>
      <c r="I173" s="16">
        <v>41.76593716</v>
      </c>
      <c r="J173" s="16">
        <v>-2.474965288</v>
      </c>
      <c r="K173" s="16" t="s">
        <v>261</v>
      </c>
      <c r="L173" s="15"/>
      <c r="M173" s="15"/>
      <c r="N173" s="15"/>
      <c r="O173" s="15"/>
      <c r="P173" s="15"/>
      <c r="Q173" s="15"/>
      <c r="R173" s="15"/>
      <c r="S173" s="15"/>
      <c r="T173" s="15"/>
      <c r="U173" s="15"/>
      <c r="V173" s="15"/>
      <c r="W173" s="15"/>
      <c r="X173" s="15"/>
      <c r="Y173" s="15"/>
      <c r="Z173" s="15"/>
    </row>
    <row r="174">
      <c r="A174" s="16" t="s">
        <v>414</v>
      </c>
      <c r="B174" s="16" t="s">
        <v>415</v>
      </c>
      <c r="C174" s="16" t="s">
        <v>83</v>
      </c>
      <c r="D174" s="16">
        <v>2025.0</v>
      </c>
      <c r="E174" s="16">
        <v>2.5</v>
      </c>
      <c r="F174" s="16" t="s">
        <v>52</v>
      </c>
      <c r="G174" s="16" t="s">
        <v>53</v>
      </c>
      <c r="H174" s="16">
        <v>413.2075472</v>
      </c>
      <c r="I174" s="16">
        <v>55.39387007</v>
      </c>
      <c r="J174" s="16">
        <v>-4.18592498</v>
      </c>
      <c r="K174" s="16" t="s">
        <v>261</v>
      </c>
      <c r="L174" s="15"/>
      <c r="M174" s="15"/>
      <c r="N174" s="15"/>
      <c r="O174" s="15"/>
      <c r="P174" s="15"/>
      <c r="Q174" s="15"/>
      <c r="R174" s="15"/>
      <c r="S174" s="15"/>
      <c r="T174" s="15"/>
      <c r="U174" s="15"/>
      <c r="V174" s="15"/>
      <c r="W174" s="15"/>
      <c r="X174" s="15"/>
      <c r="Y174" s="15"/>
      <c r="Z174" s="15"/>
    </row>
    <row r="175">
      <c r="A175" s="16" t="s">
        <v>416</v>
      </c>
      <c r="B175" s="16" t="s">
        <v>417</v>
      </c>
      <c r="C175" s="16" t="s">
        <v>164</v>
      </c>
      <c r="D175" s="16">
        <v>2025.0</v>
      </c>
      <c r="E175" s="16">
        <v>2.5</v>
      </c>
      <c r="F175" s="16" t="s">
        <v>52</v>
      </c>
      <c r="G175" s="16" t="s">
        <v>53</v>
      </c>
      <c r="H175" s="16">
        <v>413.2075472</v>
      </c>
      <c r="I175" s="16">
        <v>52.87427242</v>
      </c>
      <c r="J175" s="16">
        <v>5.062206571</v>
      </c>
      <c r="K175" s="16" t="s">
        <v>261</v>
      </c>
      <c r="L175" s="15"/>
      <c r="M175" s="15"/>
      <c r="N175" s="15"/>
      <c r="O175" s="15"/>
      <c r="P175" s="15"/>
      <c r="Q175" s="15"/>
      <c r="R175" s="15"/>
      <c r="S175" s="15"/>
      <c r="T175" s="15"/>
      <c r="U175" s="15"/>
      <c r="V175" s="15"/>
      <c r="W175" s="15"/>
      <c r="X175" s="15"/>
      <c r="Y175" s="15"/>
      <c r="Z175" s="15"/>
    </row>
    <row r="176">
      <c r="A176" s="16" t="s">
        <v>418</v>
      </c>
      <c r="B176" s="16" t="s">
        <v>419</v>
      </c>
      <c r="C176" s="16" t="s">
        <v>120</v>
      </c>
      <c r="D176" s="16">
        <v>2025.0</v>
      </c>
      <c r="E176" s="16">
        <v>2.5</v>
      </c>
      <c r="F176" s="16" t="s">
        <v>52</v>
      </c>
      <c r="G176" s="16" t="s">
        <v>53</v>
      </c>
      <c r="H176" s="16">
        <v>413.2075472</v>
      </c>
      <c r="I176" s="16">
        <v>48.77887899</v>
      </c>
      <c r="J176" s="16">
        <v>2.4368745</v>
      </c>
      <c r="K176" s="16" t="s">
        <v>261</v>
      </c>
      <c r="L176" s="15"/>
      <c r="M176" s="15"/>
      <c r="N176" s="15"/>
      <c r="O176" s="15"/>
      <c r="P176" s="15"/>
      <c r="Q176" s="15"/>
      <c r="R176" s="15"/>
      <c r="S176" s="15"/>
      <c r="T176" s="15"/>
      <c r="U176" s="15"/>
      <c r="V176" s="15"/>
      <c r="W176" s="15"/>
      <c r="X176" s="15"/>
      <c r="Y176" s="15"/>
      <c r="Z176" s="15"/>
    </row>
    <row r="177">
      <c r="A177" s="16" t="s">
        <v>420</v>
      </c>
      <c r="B177" s="15"/>
      <c r="C177" s="16" t="s">
        <v>164</v>
      </c>
      <c r="D177" s="16">
        <v>2025.0</v>
      </c>
      <c r="E177" s="16">
        <v>2.5</v>
      </c>
      <c r="F177" s="16" t="s">
        <v>52</v>
      </c>
      <c r="G177" s="15"/>
      <c r="H177" s="16">
        <v>413.2075472</v>
      </c>
      <c r="I177" s="16">
        <v>52.6830967</v>
      </c>
      <c r="J177" s="16">
        <v>3.710461987</v>
      </c>
      <c r="K177" s="16" t="s">
        <v>261</v>
      </c>
      <c r="L177" s="15"/>
      <c r="M177" s="15"/>
      <c r="N177" s="15"/>
      <c r="O177" s="15"/>
      <c r="P177" s="15"/>
      <c r="Q177" s="15"/>
      <c r="R177" s="15"/>
      <c r="S177" s="15"/>
      <c r="T177" s="15"/>
      <c r="U177" s="15"/>
      <c r="V177" s="15"/>
      <c r="W177" s="15"/>
      <c r="X177" s="15"/>
      <c r="Y177" s="15"/>
      <c r="Z177" s="15"/>
    </row>
    <row r="178">
      <c r="A178" s="16" t="s">
        <v>421</v>
      </c>
      <c r="B178" s="16" t="s">
        <v>422</v>
      </c>
      <c r="C178" s="16" t="s">
        <v>292</v>
      </c>
      <c r="D178" s="16">
        <v>2025.0</v>
      </c>
      <c r="E178" s="16">
        <v>2.5</v>
      </c>
      <c r="F178" s="16" t="s">
        <v>52</v>
      </c>
      <c r="G178" s="16" t="s">
        <v>53</v>
      </c>
      <c r="H178" s="16">
        <v>413.2075472</v>
      </c>
      <c r="I178" s="16">
        <v>52.3028341</v>
      </c>
      <c r="J178" s="16">
        <v>18.22737121</v>
      </c>
      <c r="K178" s="16" t="s">
        <v>261</v>
      </c>
      <c r="L178" s="15"/>
      <c r="M178" s="15"/>
      <c r="N178" s="15"/>
      <c r="O178" s="15"/>
      <c r="P178" s="15"/>
      <c r="Q178" s="15"/>
      <c r="R178" s="15"/>
      <c r="S178" s="15"/>
      <c r="T178" s="15"/>
      <c r="U178" s="15"/>
      <c r="V178" s="15"/>
      <c r="W178" s="15"/>
      <c r="X178" s="15"/>
      <c r="Y178" s="15"/>
      <c r="Z178" s="15"/>
    </row>
    <row r="179">
      <c r="A179" s="16" t="s">
        <v>423</v>
      </c>
      <c r="B179" s="16" t="s">
        <v>424</v>
      </c>
      <c r="C179" s="16" t="s">
        <v>161</v>
      </c>
      <c r="D179" s="16">
        <v>2025.0</v>
      </c>
      <c r="E179" s="16">
        <v>2.5</v>
      </c>
      <c r="F179" s="16" t="s">
        <v>52</v>
      </c>
      <c r="G179" s="15"/>
      <c r="H179" s="16">
        <v>413.2075472</v>
      </c>
      <c r="I179" s="16">
        <v>51.188809</v>
      </c>
      <c r="J179" s="16">
        <v>3.788165</v>
      </c>
      <c r="K179" s="16" t="s">
        <v>261</v>
      </c>
      <c r="L179" s="15"/>
      <c r="M179" s="15"/>
      <c r="N179" s="15"/>
      <c r="O179" s="15"/>
      <c r="P179" s="15"/>
      <c r="Q179" s="15"/>
      <c r="R179" s="15"/>
      <c r="S179" s="15"/>
      <c r="T179" s="15"/>
      <c r="U179" s="15"/>
      <c r="V179" s="15"/>
      <c r="W179" s="15"/>
      <c r="X179" s="15"/>
      <c r="Y179" s="15"/>
      <c r="Z179" s="15"/>
    </row>
    <row r="180">
      <c r="A180" s="16" t="s">
        <v>425</v>
      </c>
      <c r="B180" s="16" t="s">
        <v>426</v>
      </c>
      <c r="C180" s="16" t="s">
        <v>83</v>
      </c>
      <c r="D180" s="16">
        <v>2025.0</v>
      </c>
      <c r="E180" s="16">
        <v>2.0</v>
      </c>
      <c r="F180" s="16" t="s">
        <v>52</v>
      </c>
      <c r="G180" s="15"/>
      <c r="H180" s="16">
        <v>330.5660377</v>
      </c>
      <c r="I180" s="16">
        <v>52.47411497</v>
      </c>
      <c r="J180" s="16">
        <v>1.758556902</v>
      </c>
      <c r="K180" s="16" t="s">
        <v>261</v>
      </c>
      <c r="L180" s="15"/>
      <c r="M180" s="15"/>
      <c r="N180" s="15"/>
      <c r="O180" s="15"/>
      <c r="P180" s="15"/>
      <c r="Q180" s="15"/>
      <c r="R180" s="15"/>
      <c r="S180" s="15"/>
      <c r="T180" s="15"/>
      <c r="U180" s="15"/>
      <c r="V180" s="15"/>
      <c r="W180" s="15"/>
      <c r="X180" s="15"/>
      <c r="Y180" s="15"/>
      <c r="Z180" s="15"/>
    </row>
    <row r="181">
      <c r="A181" s="16" t="s">
        <v>427</v>
      </c>
      <c r="B181" s="16" t="s">
        <v>428</v>
      </c>
      <c r="C181" s="16" t="s">
        <v>127</v>
      </c>
      <c r="D181" s="16">
        <v>2025.0</v>
      </c>
      <c r="E181" s="16">
        <v>2.0</v>
      </c>
      <c r="F181" s="16" t="s">
        <v>52</v>
      </c>
      <c r="G181" s="16" t="s">
        <v>103</v>
      </c>
      <c r="H181" s="16">
        <v>330.5660377</v>
      </c>
      <c r="I181" s="16">
        <v>46.60981284</v>
      </c>
      <c r="J181" s="16">
        <v>7.033647272</v>
      </c>
      <c r="K181" s="16" t="s">
        <v>261</v>
      </c>
      <c r="L181" s="15"/>
      <c r="M181" s="15"/>
      <c r="N181" s="15"/>
      <c r="O181" s="15"/>
      <c r="P181" s="15"/>
      <c r="Q181" s="15"/>
      <c r="R181" s="15"/>
      <c r="S181" s="15"/>
      <c r="T181" s="15"/>
      <c r="U181" s="15"/>
      <c r="V181" s="15"/>
      <c r="W181" s="15"/>
      <c r="X181" s="15"/>
      <c r="Y181" s="15"/>
      <c r="Z181" s="15"/>
    </row>
    <row r="182">
      <c r="A182" s="16" t="s">
        <v>429</v>
      </c>
      <c r="B182" s="16" t="s">
        <v>430</v>
      </c>
      <c r="C182" s="16" t="s">
        <v>57</v>
      </c>
      <c r="D182" s="16">
        <v>2025.0</v>
      </c>
      <c r="E182" s="16">
        <v>2.0</v>
      </c>
      <c r="F182" s="16" t="s">
        <v>52</v>
      </c>
      <c r="G182" s="15"/>
      <c r="H182" s="16">
        <v>330.5660377</v>
      </c>
      <c r="I182" s="16">
        <v>51.13493505</v>
      </c>
      <c r="J182" s="16">
        <v>14.96107466</v>
      </c>
      <c r="K182" s="16" t="s">
        <v>261</v>
      </c>
      <c r="L182" s="15"/>
      <c r="M182" s="15"/>
      <c r="N182" s="15"/>
      <c r="O182" s="15"/>
      <c r="P182" s="15"/>
      <c r="Q182" s="15"/>
      <c r="R182" s="15"/>
      <c r="S182" s="15"/>
      <c r="T182" s="15"/>
      <c r="U182" s="15"/>
      <c r="V182" s="15"/>
      <c r="W182" s="15"/>
      <c r="X182" s="15"/>
      <c r="Y182" s="15"/>
      <c r="Z182" s="15"/>
    </row>
    <row r="183">
      <c r="A183" s="16" t="s">
        <v>431</v>
      </c>
      <c r="B183" s="16" t="s">
        <v>432</v>
      </c>
      <c r="C183" s="16" t="s">
        <v>57</v>
      </c>
      <c r="D183" s="16">
        <v>2025.0</v>
      </c>
      <c r="E183" s="16">
        <v>2.0</v>
      </c>
      <c r="F183" s="16" t="s">
        <v>52</v>
      </c>
      <c r="G183" s="16" t="s">
        <v>53</v>
      </c>
      <c r="H183" s="16">
        <v>330.5660377</v>
      </c>
      <c r="I183" s="16">
        <v>48.85703376</v>
      </c>
      <c r="J183" s="16">
        <v>9.305167763</v>
      </c>
      <c r="K183" s="16" t="s">
        <v>261</v>
      </c>
      <c r="L183" s="15"/>
      <c r="M183" s="15"/>
      <c r="N183" s="15"/>
      <c r="O183" s="15"/>
      <c r="P183" s="15"/>
      <c r="Q183" s="15"/>
      <c r="R183" s="15"/>
      <c r="S183" s="15"/>
      <c r="T183" s="15"/>
      <c r="U183" s="15"/>
      <c r="V183" s="15"/>
      <c r="W183" s="15"/>
      <c r="X183" s="15"/>
      <c r="Y183" s="15"/>
      <c r="Z183" s="15"/>
    </row>
    <row r="184">
      <c r="A184" s="16" t="s">
        <v>433</v>
      </c>
      <c r="B184" s="16" t="s">
        <v>434</v>
      </c>
      <c r="C184" s="16" t="s">
        <v>435</v>
      </c>
      <c r="D184" s="16">
        <v>2025.0</v>
      </c>
      <c r="E184" s="16">
        <v>1.4</v>
      </c>
      <c r="F184" s="16" t="s">
        <v>52</v>
      </c>
      <c r="G184" s="16" t="s">
        <v>72</v>
      </c>
      <c r="H184" s="16">
        <v>231.3962264</v>
      </c>
      <c r="I184" s="16">
        <v>50.30906013</v>
      </c>
      <c r="J184" s="16">
        <v>12.15061771</v>
      </c>
      <c r="K184" s="16" t="s">
        <v>261</v>
      </c>
      <c r="L184" s="15"/>
      <c r="M184" s="15"/>
      <c r="N184" s="15"/>
      <c r="O184" s="15"/>
      <c r="P184" s="15"/>
      <c r="Q184" s="15"/>
      <c r="R184" s="15"/>
      <c r="S184" s="15"/>
      <c r="T184" s="15"/>
      <c r="U184" s="15"/>
      <c r="V184" s="15"/>
      <c r="W184" s="15"/>
      <c r="X184" s="15"/>
      <c r="Y184" s="15"/>
      <c r="Z184" s="15"/>
    </row>
    <row r="185">
      <c r="A185" s="16" t="s">
        <v>436</v>
      </c>
      <c r="B185" s="16" t="s">
        <v>437</v>
      </c>
      <c r="C185" s="16" t="s">
        <v>120</v>
      </c>
      <c r="D185" s="16">
        <v>2025.0</v>
      </c>
      <c r="E185" s="16">
        <v>1.3</v>
      </c>
      <c r="F185" s="16" t="s">
        <v>52</v>
      </c>
      <c r="G185" s="16" t="s">
        <v>64</v>
      </c>
      <c r="H185" s="16">
        <v>214.8679245</v>
      </c>
      <c r="I185" s="16">
        <v>43.31188689</v>
      </c>
      <c r="J185" s="16">
        <v>-0.4348116387</v>
      </c>
      <c r="K185" s="16" t="s">
        <v>261</v>
      </c>
      <c r="L185" s="15"/>
      <c r="M185" s="15"/>
      <c r="N185" s="15"/>
      <c r="O185" s="15"/>
      <c r="P185" s="15"/>
      <c r="Q185" s="15"/>
      <c r="R185" s="15"/>
      <c r="S185" s="15"/>
      <c r="T185" s="15"/>
      <c r="U185" s="15"/>
      <c r="V185" s="15"/>
      <c r="W185" s="15"/>
      <c r="X185" s="15"/>
      <c r="Y185" s="15"/>
      <c r="Z185" s="15"/>
    </row>
    <row r="186">
      <c r="A186" s="16" t="s">
        <v>438</v>
      </c>
      <c r="B186" s="16" t="s">
        <v>376</v>
      </c>
      <c r="C186" s="16" t="s">
        <v>339</v>
      </c>
      <c r="D186" s="16">
        <v>2025.0</v>
      </c>
      <c r="E186" s="16">
        <v>1.26</v>
      </c>
      <c r="F186" s="16" t="s">
        <v>52</v>
      </c>
      <c r="G186" s="16" t="s">
        <v>103</v>
      </c>
      <c r="H186" s="16">
        <v>208.2566038</v>
      </c>
      <c r="I186" s="16">
        <v>37.95009712</v>
      </c>
      <c r="J186" s="16">
        <v>-8.818918981</v>
      </c>
      <c r="K186" s="16" t="s">
        <v>261</v>
      </c>
      <c r="L186" s="15"/>
      <c r="M186" s="15"/>
      <c r="N186" s="15"/>
      <c r="O186" s="15"/>
      <c r="P186" s="15"/>
      <c r="Q186" s="15"/>
      <c r="R186" s="15"/>
      <c r="S186" s="15"/>
      <c r="T186" s="15"/>
      <c r="U186" s="15"/>
      <c r="V186" s="15"/>
      <c r="W186" s="15"/>
      <c r="X186" s="15"/>
      <c r="Y186" s="15"/>
      <c r="Z186" s="15"/>
    </row>
    <row r="187">
      <c r="A187" s="16" t="s">
        <v>439</v>
      </c>
      <c r="B187" s="16" t="s">
        <v>440</v>
      </c>
      <c r="C187" s="16" t="s">
        <v>75</v>
      </c>
      <c r="D187" s="16">
        <v>2025.0</v>
      </c>
      <c r="E187" s="16">
        <v>1.0</v>
      </c>
      <c r="F187" s="16" t="s">
        <v>52</v>
      </c>
      <c r="G187" s="16" t="s">
        <v>103</v>
      </c>
      <c r="H187" s="16">
        <v>165.2830189</v>
      </c>
      <c r="I187" s="16">
        <v>60.3757028</v>
      </c>
      <c r="J187" s="16">
        <v>26.33213547</v>
      </c>
      <c r="K187" s="16" t="s">
        <v>261</v>
      </c>
      <c r="L187" s="15"/>
      <c r="M187" s="15"/>
      <c r="N187" s="15"/>
      <c r="O187" s="15"/>
      <c r="P187" s="15"/>
      <c r="Q187" s="15"/>
      <c r="R187" s="15"/>
      <c r="S187" s="15"/>
      <c r="T187" s="15"/>
      <c r="U187" s="15"/>
      <c r="V187" s="15"/>
      <c r="W187" s="15"/>
      <c r="X187" s="15"/>
      <c r="Y187" s="15"/>
      <c r="Z187" s="15"/>
    </row>
    <row r="188">
      <c r="A188" s="16" t="s">
        <v>441</v>
      </c>
      <c r="B188" s="16" t="s">
        <v>442</v>
      </c>
      <c r="C188" s="16" t="s">
        <v>51</v>
      </c>
      <c r="D188" s="16">
        <v>2026.0</v>
      </c>
      <c r="E188" s="16">
        <v>740.0</v>
      </c>
      <c r="F188" s="16" t="s">
        <v>52</v>
      </c>
      <c r="G188" s="16" t="s">
        <v>137</v>
      </c>
      <c r="H188" s="16">
        <v>122309.434</v>
      </c>
      <c r="I188" s="16">
        <v>65.86769828</v>
      </c>
      <c r="J188" s="16">
        <v>21.72567233</v>
      </c>
      <c r="K188" s="16" t="s">
        <v>261</v>
      </c>
      <c r="L188" s="15"/>
      <c r="M188" s="15"/>
      <c r="N188" s="15"/>
      <c r="O188" s="15"/>
      <c r="P188" s="15"/>
      <c r="Q188" s="15"/>
      <c r="R188" s="15"/>
      <c r="S188" s="15"/>
      <c r="T188" s="15"/>
      <c r="U188" s="15"/>
      <c r="V188" s="15"/>
      <c r="W188" s="15"/>
      <c r="X188" s="15"/>
      <c r="Y188" s="15"/>
      <c r="Z188" s="15"/>
    </row>
    <row r="189">
      <c r="A189" s="16" t="s">
        <v>443</v>
      </c>
      <c r="B189" s="16" t="s">
        <v>444</v>
      </c>
      <c r="C189" s="16" t="s">
        <v>164</v>
      </c>
      <c r="D189" s="16">
        <v>2026.0</v>
      </c>
      <c r="E189" s="16">
        <v>410.0</v>
      </c>
      <c r="F189" s="16" t="s">
        <v>373</v>
      </c>
      <c r="G189" s="16" t="s">
        <v>95</v>
      </c>
      <c r="H189" s="16">
        <v>107758.7759</v>
      </c>
      <c r="I189" s="16">
        <v>51.87179978</v>
      </c>
      <c r="J189" s="16">
        <v>4.287408711</v>
      </c>
      <c r="K189" s="16" t="s">
        <v>261</v>
      </c>
      <c r="L189" s="15"/>
      <c r="M189" s="15"/>
      <c r="N189" s="15"/>
      <c r="O189" s="15"/>
      <c r="P189" s="15"/>
      <c r="Q189" s="15"/>
      <c r="R189" s="15"/>
      <c r="S189" s="15"/>
      <c r="T189" s="15"/>
      <c r="U189" s="15"/>
      <c r="V189" s="15"/>
      <c r="W189" s="15"/>
      <c r="X189" s="15"/>
      <c r="Y189" s="15"/>
      <c r="Z189" s="15"/>
    </row>
    <row r="190">
      <c r="A190" s="16" t="s">
        <v>445</v>
      </c>
      <c r="B190" s="16" t="s">
        <v>444</v>
      </c>
      <c r="C190" s="16" t="s">
        <v>164</v>
      </c>
      <c r="D190" s="16">
        <v>2026.0</v>
      </c>
      <c r="E190" s="16">
        <v>410.0</v>
      </c>
      <c r="F190" s="16" t="s">
        <v>373</v>
      </c>
      <c r="G190" s="16" t="s">
        <v>95</v>
      </c>
      <c r="H190" s="16">
        <v>107758.7759</v>
      </c>
      <c r="I190" s="16">
        <v>51.88909488</v>
      </c>
      <c r="J190" s="16">
        <v>4.251068868</v>
      </c>
      <c r="K190" s="16" t="s">
        <v>261</v>
      </c>
      <c r="L190" s="15"/>
      <c r="M190" s="15"/>
      <c r="N190" s="15"/>
      <c r="O190" s="15"/>
      <c r="P190" s="15"/>
      <c r="Q190" s="15"/>
      <c r="R190" s="15"/>
      <c r="S190" s="15"/>
      <c r="T190" s="15"/>
      <c r="U190" s="15"/>
      <c r="V190" s="15"/>
      <c r="W190" s="15"/>
      <c r="X190" s="15"/>
      <c r="Y190" s="15"/>
      <c r="Z190" s="15"/>
    </row>
    <row r="191">
      <c r="A191" s="16" t="s">
        <v>446</v>
      </c>
      <c r="B191" s="16" t="s">
        <v>447</v>
      </c>
      <c r="C191" s="16" t="s">
        <v>120</v>
      </c>
      <c r="D191" s="16">
        <v>2026.0</v>
      </c>
      <c r="E191" s="16">
        <v>200.0</v>
      </c>
      <c r="F191" s="16" t="s">
        <v>52</v>
      </c>
      <c r="G191" s="16" t="s">
        <v>95</v>
      </c>
      <c r="H191" s="16">
        <v>33056.60377</v>
      </c>
      <c r="I191" s="16">
        <v>49.505435</v>
      </c>
      <c r="J191" s="16">
        <v>0.6005385939</v>
      </c>
      <c r="K191" s="16" t="s">
        <v>261</v>
      </c>
      <c r="L191" s="15"/>
      <c r="M191" s="15"/>
      <c r="N191" s="15"/>
      <c r="O191" s="15"/>
      <c r="P191" s="15"/>
      <c r="Q191" s="15"/>
      <c r="R191" s="15"/>
      <c r="S191" s="15"/>
      <c r="T191" s="15"/>
      <c r="U191" s="15"/>
      <c r="V191" s="15"/>
      <c r="W191" s="15"/>
      <c r="X191" s="15"/>
      <c r="Y191" s="15"/>
      <c r="Z191" s="15"/>
    </row>
    <row r="192">
      <c r="A192" s="16" t="s">
        <v>448</v>
      </c>
      <c r="B192" s="16" t="s">
        <v>136</v>
      </c>
      <c r="C192" s="16" t="s">
        <v>57</v>
      </c>
      <c r="D192" s="16">
        <v>2026.0</v>
      </c>
      <c r="E192" s="16">
        <v>100.0</v>
      </c>
      <c r="F192" s="16" t="s">
        <v>52</v>
      </c>
      <c r="G192" s="16" t="s">
        <v>137</v>
      </c>
      <c r="H192" s="16">
        <v>16528.30189</v>
      </c>
      <c r="I192" s="16">
        <v>52.15432163</v>
      </c>
      <c r="J192" s="16">
        <v>10.40420831</v>
      </c>
      <c r="K192" s="16" t="s">
        <v>261</v>
      </c>
      <c r="L192" s="15"/>
      <c r="M192" s="15"/>
      <c r="N192" s="15"/>
      <c r="O192" s="15"/>
      <c r="P192" s="15"/>
      <c r="Q192" s="15"/>
      <c r="R192" s="15"/>
      <c r="S192" s="15"/>
      <c r="T192" s="15"/>
      <c r="U192" s="15"/>
      <c r="V192" s="15"/>
      <c r="W192" s="15"/>
      <c r="X192" s="15"/>
      <c r="Y192" s="15"/>
      <c r="Z192" s="15"/>
    </row>
    <row r="193">
      <c r="A193" s="16" t="s">
        <v>449</v>
      </c>
      <c r="B193" s="16" t="s">
        <v>273</v>
      </c>
      <c r="C193" s="16" t="s">
        <v>57</v>
      </c>
      <c r="D193" s="16">
        <v>2026.0</v>
      </c>
      <c r="E193" s="16">
        <v>100.0</v>
      </c>
      <c r="F193" s="16" t="s">
        <v>52</v>
      </c>
      <c r="G193" s="16" t="s">
        <v>95</v>
      </c>
      <c r="H193" s="16">
        <v>16528.30189</v>
      </c>
      <c r="I193" s="16">
        <v>52.48401623</v>
      </c>
      <c r="J193" s="16">
        <v>7.303148163</v>
      </c>
      <c r="K193" s="16" t="s">
        <v>261</v>
      </c>
      <c r="L193" s="15"/>
      <c r="M193" s="15"/>
      <c r="N193" s="15"/>
      <c r="O193" s="15"/>
      <c r="P193" s="15"/>
      <c r="Q193" s="15"/>
      <c r="R193" s="15"/>
      <c r="S193" s="15"/>
      <c r="T193" s="15"/>
      <c r="U193" s="15"/>
      <c r="V193" s="15"/>
      <c r="W193" s="15"/>
      <c r="X193" s="15"/>
      <c r="Y193" s="15"/>
      <c r="Z193" s="15"/>
    </row>
    <row r="194">
      <c r="A194" s="16" t="s">
        <v>450</v>
      </c>
      <c r="B194" s="16" t="s">
        <v>451</v>
      </c>
      <c r="C194" s="16" t="s">
        <v>161</v>
      </c>
      <c r="D194" s="16">
        <v>2026.0</v>
      </c>
      <c r="E194" s="16">
        <v>25.0</v>
      </c>
      <c r="F194" s="16" t="s">
        <v>52</v>
      </c>
      <c r="G194" s="16" t="s">
        <v>103</v>
      </c>
      <c r="H194" s="16">
        <v>4132.075472</v>
      </c>
      <c r="I194" s="16">
        <v>51.30948748</v>
      </c>
      <c r="J194" s="16">
        <v>3.207935396</v>
      </c>
      <c r="K194" s="16" t="s">
        <v>261</v>
      </c>
      <c r="L194" s="15"/>
      <c r="M194" s="15"/>
      <c r="N194" s="15"/>
      <c r="O194" s="15"/>
      <c r="P194" s="15"/>
      <c r="Q194" s="15"/>
      <c r="R194" s="15"/>
      <c r="S194" s="15"/>
      <c r="T194" s="15"/>
      <c r="U194" s="15"/>
      <c r="V194" s="15"/>
      <c r="W194" s="15"/>
      <c r="X194" s="15"/>
      <c r="Y194" s="15"/>
      <c r="Z194" s="15"/>
    </row>
    <row r="195">
      <c r="A195" s="16" t="s">
        <v>452</v>
      </c>
      <c r="B195" s="16" t="s">
        <v>453</v>
      </c>
      <c r="C195" s="16" t="s">
        <v>173</v>
      </c>
      <c r="D195" s="16">
        <v>2026.0</v>
      </c>
      <c r="E195" s="16">
        <v>25.0</v>
      </c>
      <c r="F195" s="16" t="s">
        <v>52</v>
      </c>
      <c r="G195" s="16" t="s">
        <v>95</v>
      </c>
      <c r="H195" s="16">
        <v>4132.075472</v>
      </c>
      <c r="I195" s="16">
        <v>39.9566449</v>
      </c>
      <c r="J195" s="16">
        <v>-0.003074774832</v>
      </c>
      <c r="K195" s="16" t="s">
        <v>261</v>
      </c>
      <c r="L195" s="15"/>
      <c r="M195" s="15"/>
      <c r="N195" s="15"/>
      <c r="O195" s="15"/>
      <c r="P195" s="15"/>
      <c r="Q195" s="15"/>
      <c r="R195" s="15"/>
      <c r="S195" s="15"/>
      <c r="T195" s="15"/>
      <c r="U195" s="15"/>
      <c r="V195" s="15"/>
      <c r="W195" s="15"/>
      <c r="X195" s="15"/>
      <c r="Y195" s="15"/>
      <c r="Z195" s="15"/>
    </row>
    <row r="196">
      <c r="A196" s="16" t="s">
        <v>454</v>
      </c>
      <c r="B196" s="16" t="s">
        <v>455</v>
      </c>
      <c r="C196" s="16" t="s">
        <v>120</v>
      </c>
      <c r="D196" s="16">
        <v>2026.0</v>
      </c>
      <c r="E196" s="16">
        <v>16.0</v>
      </c>
      <c r="F196" s="16" t="s">
        <v>52</v>
      </c>
      <c r="G196" s="16" t="s">
        <v>60</v>
      </c>
      <c r="H196" s="16">
        <v>2644.528302</v>
      </c>
      <c r="I196" s="16">
        <v>5.6687327</v>
      </c>
      <c r="J196" s="16">
        <v>-53.7784043</v>
      </c>
      <c r="K196" s="16" t="s">
        <v>261</v>
      </c>
      <c r="L196" s="15"/>
      <c r="M196" s="15"/>
      <c r="N196" s="15"/>
      <c r="O196" s="15"/>
      <c r="P196" s="15"/>
      <c r="Q196" s="15"/>
      <c r="R196" s="15"/>
      <c r="S196" s="15"/>
      <c r="T196" s="15"/>
      <c r="U196" s="15"/>
      <c r="V196" s="15"/>
      <c r="W196" s="15"/>
      <c r="X196" s="15"/>
      <c r="Y196" s="15"/>
      <c r="Z196" s="15"/>
    </row>
    <row r="197">
      <c r="A197" s="16" t="s">
        <v>456</v>
      </c>
      <c r="B197" s="16" t="s">
        <v>457</v>
      </c>
      <c r="C197" s="16" t="s">
        <v>75</v>
      </c>
      <c r="D197" s="16">
        <v>2026.0</v>
      </c>
      <c r="E197" s="16">
        <v>3.0</v>
      </c>
      <c r="F197" s="16" t="s">
        <v>52</v>
      </c>
      <c r="G197" s="16" t="s">
        <v>132</v>
      </c>
      <c r="H197" s="16">
        <v>495.8490566</v>
      </c>
      <c r="I197" s="16">
        <v>60.21839102</v>
      </c>
      <c r="J197" s="16">
        <v>25.16954443</v>
      </c>
      <c r="K197" s="16" t="s">
        <v>261</v>
      </c>
      <c r="L197" s="15"/>
      <c r="M197" s="15"/>
      <c r="N197" s="15"/>
      <c r="O197" s="15"/>
      <c r="P197" s="15"/>
      <c r="Q197" s="15"/>
      <c r="R197" s="15"/>
      <c r="S197" s="15"/>
      <c r="T197" s="15"/>
      <c r="U197" s="15"/>
      <c r="V197" s="15"/>
      <c r="W197" s="15"/>
      <c r="X197" s="15"/>
      <c r="Y197" s="15"/>
      <c r="Z197" s="15"/>
    </row>
    <row r="198">
      <c r="A198" s="16" t="s">
        <v>458</v>
      </c>
      <c r="B198" s="16" t="s">
        <v>82</v>
      </c>
      <c r="C198" s="16" t="s">
        <v>83</v>
      </c>
      <c r="D198" s="16">
        <v>2026.0</v>
      </c>
      <c r="E198" s="16">
        <v>2.4</v>
      </c>
      <c r="F198" s="16" t="s">
        <v>52</v>
      </c>
      <c r="G198" s="16" t="s">
        <v>53</v>
      </c>
      <c r="H198" s="16">
        <v>396.6792453</v>
      </c>
      <c r="I198" s="16">
        <v>57.11553466</v>
      </c>
      <c r="J198" s="16">
        <v>-2.066253922</v>
      </c>
      <c r="K198" s="16" t="s">
        <v>261</v>
      </c>
      <c r="L198" s="15"/>
      <c r="M198" s="15"/>
      <c r="N198" s="15"/>
      <c r="O198" s="15"/>
      <c r="P198" s="15"/>
      <c r="Q198" s="15"/>
      <c r="R198" s="15"/>
      <c r="S198" s="15"/>
      <c r="T198" s="15"/>
      <c r="U198" s="15"/>
      <c r="V198" s="15"/>
      <c r="W198" s="15"/>
      <c r="X198" s="15"/>
      <c r="Y198" s="15"/>
      <c r="Z198" s="15"/>
    </row>
    <row r="199">
      <c r="A199" s="16" t="s">
        <v>459</v>
      </c>
      <c r="B199" s="16" t="s">
        <v>460</v>
      </c>
      <c r="C199" s="16" t="s">
        <v>461</v>
      </c>
      <c r="D199" s="16">
        <v>2026.0</v>
      </c>
      <c r="E199" s="16">
        <v>2.0</v>
      </c>
      <c r="F199" s="16" t="s">
        <v>52</v>
      </c>
      <c r="G199" s="16" t="s">
        <v>53</v>
      </c>
      <c r="H199" s="16">
        <v>330.5660377</v>
      </c>
      <c r="I199" s="16">
        <v>55.65256032</v>
      </c>
      <c r="J199" s="16">
        <v>21.16421171</v>
      </c>
      <c r="K199" s="16" t="s">
        <v>261</v>
      </c>
      <c r="L199" s="15"/>
      <c r="M199" s="15"/>
      <c r="N199" s="15"/>
      <c r="O199" s="15"/>
      <c r="P199" s="15"/>
      <c r="Q199" s="15"/>
      <c r="R199" s="15"/>
      <c r="S199" s="15"/>
      <c r="T199" s="15"/>
      <c r="U199" s="15"/>
      <c r="V199" s="15"/>
      <c r="W199" s="15"/>
      <c r="X199" s="15"/>
      <c r="Y199" s="15"/>
      <c r="Z199" s="15"/>
    </row>
    <row r="200">
      <c r="A200" s="16" t="s">
        <v>462</v>
      </c>
      <c r="B200" s="16" t="s">
        <v>463</v>
      </c>
      <c r="C200" s="16" t="s">
        <v>464</v>
      </c>
      <c r="D200" s="16">
        <v>2026.0</v>
      </c>
      <c r="E200" s="16">
        <v>1.0</v>
      </c>
      <c r="F200" s="16" t="s">
        <v>52</v>
      </c>
      <c r="G200" s="16" t="s">
        <v>53</v>
      </c>
      <c r="H200" s="16">
        <v>165.2830189</v>
      </c>
      <c r="I200" s="16">
        <v>46.05765923</v>
      </c>
      <c r="J200" s="16">
        <v>14.54360793</v>
      </c>
      <c r="K200" s="16" t="s">
        <v>261</v>
      </c>
      <c r="L200" s="15"/>
      <c r="M200" s="15"/>
      <c r="N200" s="15"/>
      <c r="O200" s="15"/>
      <c r="P200" s="15"/>
      <c r="Q200" s="15"/>
      <c r="R200" s="15"/>
      <c r="S200" s="15"/>
      <c r="T200" s="15"/>
      <c r="U200" s="15"/>
      <c r="V200" s="15"/>
      <c r="W200" s="15"/>
      <c r="X200" s="15"/>
      <c r="Y200" s="15"/>
      <c r="Z200" s="15"/>
    </row>
    <row r="201">
      <c r="A201" s="16" t="s">
        <v>465</v>
      </c>
      <c r="B201" s="16" t="s">
        <v>466</v>
      </c>
      <c r="C201" s="16" t="s">
        <v>339</v>
      </c>
      <c r="D201" s="16">
        <v>2026.0</v>
      </c>
      <c r="E201" s="16">
        <v>0.9</v>
      </c>
      <c r="F201" s="16" t="s">
        <v>52</v>
      </c>
      <c r="G201" s="16" t="s">
        <v>53</v>
      </c>
      <c r="H201" s="16">
        <v>148.754717</v>
      </c>
      <c r="I201" s="16">
        <v>38.71781564</v>
      </c>
      <c r="J201" s="16">
        <v>-9.448599617</v>
      </c>
      <c r="K201" s="16" t="s">
        <v>261</v>
      </c>
      <c r="L201" s="15"/>
      <c r="M201" s="15"/>
      <c r="N201" s="15"/>
      <c r="O201" s="15"/>
      <c r="P201" s="15"/>
      <c r="Q201" s="15"/>
      <c r="R201" s="15"/>
      <c r="S201" s="15"/>
      <c r="T201" s="15"/>
      <c r="U201" s="15"/>
      <c r="V201" s="15"/>
      <c r="W201" s="15"/>
      <c r="X201" s="15"/>
      <c r="Y201" s="15"/>
      <c r="Z201" s="15"/>
    </row>
    <row r="202">
      <c r="A202" s="16" t="s">
        <v>467</v>
      </c>
      <c r="B202" s="16" t="s">
        <v>468</v>
      </c>
      <c r="C202" s="16" t="s">
        <v>57</v>
      </c>
      <c r="D202" s="16">
        <v>2027.0</v>
      </c>
      <c r="E202" s="16">
        <v>280.0</v>
      </c>
      <c r="F202" s="16" t="s">
        <v>52</v>
      </c>
      <c r="G202" s="16" t="s">
        <v>103</v>
      </c>
      <c r="H202" s="16">
        <v>46279.24528</v>
      </c>
      <c r="I202" s="16">
        <v>53.35411685</v>
      </c>
      <c r="J202" s="16">
        <v>7.235108024</v>
      </c>
      <c r="K202" s="16" t="s">
        <v>261</v>
      </c>
      <c r="L202" s="15"/>
      <c r="M202" s="15"/>
      <c r="N202" s="15"/>
      <c r="O202" s="15"/>
      <c r="P202" s="15"/>
      <c r="Q202" s="15"/>
      <c r="R202" s="15"/>
      <c r="S202" s="15"/>
      <c r="T202" s="15"/>
      <c r="U202" s="15"/>
      <c r="V202" s="15"/>
      <c r="W202" s="15"/>
      <c r="X202" s="15"/>
      <c r="Y202" s="15"/>
      <c r="Z202" s="15"/>
    </row>
    <row r="203">
      <c r="A203" s="16" t="s">
        <v>469</v>
      </c>
      <c r="B203" s="16" t="s">
        <v>273</v>
      </c>
      <c r="C203" s="16" t="s">
        <v>57</v>
      </c>
      <c r="D203" s="16">
        <v>2027.0</v>
      </c>
      <c r="E203" s="16">
        <v>100.0</v>
      </c>
      <c r="F203" s="16" t="s">
        <v>52</v>
      </c>
      <c r="G203" s="16" t="s">
        <v>95</v>
      </c>
      <c r="H203" s="16">
        <v>16528.30189</v>
      </c>
      <c r="I203" s="16">
        <v>52.48004288</v>
      </c>
      <c r="J203" s="16">
        <v>7.30387584</v>
      </c>
      <c r="K203" s="16" t="s">
        <v>261</v>
      </c>
      <c r="L203" s="15"/>
      <c r="M203" s="15"/>
      <c r="N203" s="15"/>
      <c r="O203" s="15"/>
      <c r="P203" s="15"/>
      <c r="Q203" s="15"/>
      <c r="R203" s="15"/>
      <c r="S203" s="15"/>
      <c r="T203" s="15"/>
      <c r="U203" s="15"/>
      <c r="V203" s="15"/>
      <c r="W203" s="15"/>
      <c r="X203" s="15"/>
      <c r="Y203" s="15"/>
      <c r="Z203" s="15"/>
    </row>
    <row r="204">
      <c r="A204" s="16" t="s">
        <v>470</v>
      </c>
      <c r="B204" s="16" t="s">
        <v>146</v>
      </c>
      <c r="C204" s="16" t="s">
        <v>57</v>
      </c>
      <c r="D204" s="16">
        <v>2027.0</v>
      </c>
      <c r="E204" s="16">
        <v>100.0</v>
      </c>
      <c r="F204" s="16" t="s">
        <v>52</v>
      </c>
      <c r="G204" s="16" t="s">
        <v>95</v>
      </c>
      <c r="H204" s="16">
        <v>16528.30189</v>
      </c>
      <c r="I204" s="16">
        <v>50.86246568</v>
      </c>
      <c r="J204" s="16">
        <v>6.991765445</v>
      </c>
      <c r="K204" s="16" t="s">
        <v>261</v>
      </c>
      <c r="L204" s="15"/>
      <c r="M204" s="15"/>
      <c r="N204" s="15"/>
      <c r="O204" s="15"/>
      <c r="P204" s="15"/>
      <c r="Q204" s="15"/>
      <c r="R204" s="15"/>
      <c r="S204" s="15"/>
      <c r="T204" s="15"/>
      <c r="U204" s="15"/>
      <c r="V204" s="15"/>
      <c r="W204" s="15"/>
      <c r="X204" s="15"/>
      <c r="Y204" s="15"/>
      <c r="Z204" s="15"/>
    </row>
    <row r="205">
      <c r="A205" s="16" t="s">
        <v>471</v>
      </c>
      <c r="B205" s="16" t="s">
        <v>472</v>
      </c>
      <c r="C205" s="16" t="s">
        <v>98</v>
      </c>
      <c r="D205" s="16">
        <v>2027.0</v>
      </c>
      <c r="E205" s="16">
        <v>20.0</v>
      </c>
      <c r="F205" s="16" t="s">
        <v>52</v>
      </c>
      <c r="G205" s="16" t="s">
        <v>174</v>
      </c>
      <c r="H205" s="16">
        <v>3305.660377</v>
      </c>
      <c r="I205" s="16">
        <v>66.8166262</v>
      </c>
      <c r="J205" s="16">
        <v>13.9440905</v>
      </c>
      <c r="K205" s="16" t="s">
        <v>261</v>
      </c>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5"/>
      <c r="B1" s="16" t="s">
        <v>473</v>
      </c>
      <c r="C1" s="16" t="s">
        <v>474</v>
      </c>
      <c r="D1" s="16" t="s">
        <v>475</v>
      </c>
      <c r="E1" s="16" t="s">
        <v>476</v>
      </c>
      <c r="F1" s="16" t="s">
        <v>477</v>
      </c>
      <c r="G1" s="16" t="s">
        <v>478</v>
      </c>
      <c r="H1" s="15"/>
      <c r="I1" s="15"/>
      <c r="J1" s="15"/>
      <c r="K1" s="15"/>
      <c r="L1" s="15"/>
      <c r="M1" s="15"/>
      <c r="N1" s="15"/>
      <c r="O1" s="15"/>
      <c r="P1" s="15"/>
      <c r="Q1" s="15"/>
      <c r="R1" s="15"/>
      <c r="S1" s="15"/>
      <c r="T1" s="15"/>
      <c r="U1" s="15"/>
      <c r="V1" s="15"/>
      <c r="W1" s="15"/>
      <c r="X1" s="15"/>
      <c r="Y1" s="15"/>
      <c r="Z1" s="15"/>
    </row>
    <row r="2">
      <c r="A2" s="15"/>
      <c r="B2" s="16">
        <v>1.0</v>
      </c>
      <c r="C2" s="16" t="s">
        <v>479</v>
      </c>
      <c r="D2" s="16" t="s">
        <v>480</v>
      </c>
      <c r="E2" s="16" t="s">
        <v>481</v>
      </c>
      <c r="F2" s="16" t="s">
        <v>444</v>
      </c>
      <c r="G2" s="16" t="s">
        <v>444</v>
      </c>
      <c r="H2" s="15"/>
      <c r="I2" s="15"/>
      <c r="J2" s="15"/>
      <c r="K2" s="15"/>
      <c r="L2" s="15"/>
      <c r="M2" s="15"/>
      <c r="N2" s="15"/>
      <c r="O2" s="15"/>
      <c r="P2" s="15"/>
      <c r="Q2" s="15"/>
      <c r="R2" s="15"/>
      <c r="S2" s="15"/>
      <c r="T2" s="15"/>
      <c r="U2" s="15"/>
      <c r="V2" s="15"/>
      <c r="W2" s="15"/>
      <c r="X2" s="15"/>
      <c r="Y2" s="15"/>
      <c r="Z2" s="15"/>
    </row>
    <row r="3">
      <c r="A3" s="15"/>
      <c r="B3" s="16">
        <v>1.0</v>
      </c>
      <c r="C3" s="16" t="s">
        <v>479</v>
      </c>
      <c r="D3" s="16" t="s">
        <v>481</v>
      </c>
      <c r="E3" s="16" t="s">
        <v>482</v>
      </c>
      <c r="F3" s="16" t="s">
        <v>444</v>
      </c>
      <c r="G3" s="16" t="s">
        <v>444</v>
      </c>
      <c r="H3" s="15"/>
      <c r="I3" s="15"/>
      <c r="J3" s="15"/>
      <c r="K3" s="15"/>
      <c r="L3" s="15"/>
      <c r="M3" s="15"/>
      <c r="N3" s="15"/>
      <c r="O3" s="15"/>
      <c r="P3" s="15"/>
      <c r="Q3" s="15"/>
      <c r="R3" s="15"/>
      <c r="S3" s="15"/>
      <c r="T3" s="15"/>
      <c r="U3" s="15"/>
      <c r="V3" s="15"/>
      <c r="W3" s="15"/>
      <c r="X3" s="15"/>
      <c r="Y3" s="15"/>
      <c r="Z3" s="15"/>
    </row>
    <row r="4">
      <c r="A4" s="15"/>
      <c r="B4" s="16">
        <v>1.0</v>
      </c>
      <c r="C4" s="16" t="s">
        <v>479</v>
      </c>
      <c r="D4" s="16" t="s">
        <v>482</v>
      </c>
      <c r="E4" s="16" t="s">
        <v>483</v>
      </c>
      <c r="F4" s="16" t="s">
        <v>444</v>
      </c>
      <c r="G4" s="16" t="s">
        <v>484</v>
      </c>
      <c r="H4" s="15"/>
      <c r="I4" s="15"/>
      <c r="J4" s="15"/>
      <c r="K4" s="15"/>
      <c r="L4" s="15"/>
      <c r="M4" s="15"/>
      <c r="N4" s="15"/>
      <c r="O4" s="15"/>
      <c r="P4" s="15"/>
      <c r="Q4" s="15"/>
      <c r="R4" s="15"/>
      <c r="S4" s="15"/>
      <c r="T4" s="15"/>
      <c r="U4" s="15"/>
      <c r="V4" s="15"/>
      <c r="W4" s="15"/>
      <c r="X4" s="15"/>
      <c r="Y4" s="15"/>
      <c r="Z4" s="15"/>
    </row>
    <row r="5">
      <c r="A5" s="15"/>
      <c r="B5" s="16">
        <v>1.0</v>
      </c>
      <c r="C5" s="16" t="s">
        <v>479</v>
      </c>
      <c r="D5" s="16" t="s">
        <v>483</v>
      </c>
      <c r="E5" s="16" t="s">
        <v>485</v>
      </c>
      <c r="F5" s="16" t="s">
        <v>484</v>
      </c>
      <c r="G5" s="16" t="s">
        <v>486</v>
      </c>
      <c r="H5" s="15"/>
      <c r="I5" s="15"/>
      <c r="J5" s="15"/>
      <c r="K5" s="15"/>
      <c r="L5" s="15"/>
      <c r="M5" s="15"/>
      <c r="N5" s="15"/>
      <c r="O5" s="15"/>
      <c r="P5" s="15"/>
      <c r="Q5" s="15"/>
      <c r="R5" s="15"/>
      <c r="S5" s="15"/>
      <c r="T5" s="15"/>
      <c r="U5" s="15"/>
      <c r="V5" s="15"/>
      <c r="W5" s="15"/>
      <c r="X5" s="15"/>
      <c r="Y5" s="15"/>
      <c r="Z5" s="15"/>
    </row>
    <row r="6">
      <c r="A6" s="15"/>
      <c r="B6" s="16">
        <v>1.0</v>
      </c>
      <c r="C6" s="16" t="s">
        <v>479</v>
      </c>
      <c r="D6" s="16" t="s">
        <v>485</v>
      </c>
      <c r="E6" s="16" t="s">
        <v>487</v>
      </c>
      <c r="F6" s="16" t="s">
        <v>486</v>
      </c>
      <c r="G6" s="16" t="s">
        <v>488</v>
      </c>
      <c r="H6" s="15"/>
      <c r="I6" s="15"/>
      <c r="J6" s="15"/>
      <c r="K6" s="15"/>
      <c r="L6" s="15"/>
      <c r="M6" s="15"/>
      <c r="N6" s="15"/>
      <c r="O6" s="15"/>
      <c r="P6" s="15"/>
      <c r="Q6" s="15"/>
      <c r="R6" s="15"/>
      <c r="S6" s="15"/>
      <c r="T6" s="15"/>
      <c r="U6" s="15"/>
      <c r="V6" s="15"/>
      <c r="W6" s="15"/>
      <c r="X6" s="15"/>
      <c r="Y6" s="15"/>
      <c r="Z6" s="15"/>
    </row>
    <row r="7">
      <c r="A7" s="15"/>
      <c r="B7" s="16">
        <v>1.0</v>
      </c>
      <c r="C7" s="16" t="s">
        <v>479</v>
      </c>
      <c r="D7" s="16" t="s">
        <v>487</v>
      </c>
      <c r="E7" s="16" t="s">
        <v>489</v>
      </c>
      <c r="F7" s="16" t="s">
        <v>488</v>
      </c>
      <c r="G7" s="16" t="s">
        <v>490</v>
      </c>
      <c r="H7" s="15"/>
      <c r="I7" s="15"/>
      <c r="J7" s="15"/>
      <c r="K7" s="15"/>
      <c r="L7" s="15"/>
      <c r="M7" s="15"/>
      <c r="N7" s="15"/>
      <c r="O7" s="15"/>
      <c r="P7" s="15"/>
      <c r="Q7" s="15"/>
      <c r="R7" s="15"/>
      <c r="S7" s="15"/>
      <c r="T7" s="15"/>
      <c r="U7" s="15"/>
      <c r="V7" s="15"/>
      <c r="W7" s="15"/>
      <c r="X7" s="15"/>
      <c r="Y7" s="15"/>
      <c r="Z7" s="15"/>
    </row>
    <row r="8">
      <c r="A8" s="15"/>
      <c r="B8" s="16">
        <v>1.0</v>
      </c>
      <c r="C8" s="16" t="s">
        <v>491</v>
      </c>
      <c r="D8" s="16" t="s">
        <v>489</v>
      </c>
      <c r="E8" s="16" t="s">
        <v>492</v>
      </c>
      <c r="F8" s="16" t="s">
        <v>490</v>
      </c>
      <c r="G8" s="16" t="s">
        <v>493</v>
      </c>
      <c r="H8" s="15"/>
      <c r="I8" s="15"/>
      <c r="J8" s="15"/>
      <c r="K8" s="15"/>
      <c r="L8" s="15"/>
      <c r="M8" s="15"/>
      <c r="N8" s="15"/>
      <c r="O8" s="15"/>
      <c r="P8" s="15"/>
      <c r="Q8" s="15"/>
      <c r="R8" s="15"/>
      <c r="S8" s="15"/>
      <c r="T8" s="15"/>
      <c r="U8" s="15"/>
      <c r="V8" s="15"/>
      <c r="W8" s="15"/>
      <c r="X8" s="15"/>
      <c r="Y8" s="15"/>
      <c r="Z8" s="15"/>
    </row>
    <row r="9">
      <c r="A9" s="15"/>
      <c r="B9" s="16">
        <v>1.0</v>
      </c>
      <c r="C9" s="16" t="s">
        <v>491</v>
      </c>
      <c r="D9" s="16" t="s">
        <v>492</v>
      </c>
      <c r="E9" s="16" t="s">
        <v>494</v>
      </c>
      <c r="F9" s="16" t="s">
        <v>493</v>
      </c>
      <c r="G9" s="16" t="s">
        <v>495</v>
      </c>
      <c r="H9" s="15"/>
      <c r="I9" s="15"/>
      <c r="J9" s="15"/>
      <c r="K9" s="15"/>
      <c r="L9" s="15"/>
      <c r="M9" s="15"/>
      <c r="N9" s="15"/>
      <c r="O9" s="15"/>
      <c r="P9" s="15"/>
      <c r="Q9" s="15"/>
      <c r="R9" s="15"/>
      <c r="S9" s="15"/>
      <c r="T9" s="15"/>
      <c r="U9" s="15"/>
      <c r="V9" s="15"/>
      <c r="W9" s="15"/>
      <c r="X9" s="15"/>
      <c r="Y9" s="15"/>
      <c r="Z9" s="15"/>
    </row>
    <row r="10">
      <c r="A10" s="15"/>
      <c r="B10" s="16">
        <v>1.0</v>
      </c>
      <c r="C10" s="16" t="s">
        <v>496</v>
      </c>
      <c r="D10" s="16" t="s">
        <v>492</v>
      </c>
      <c r="E10" s="16" t="s">
        <v>497</v>
      </c>
      <c r="F10" s="16" t="s">
        <v>493</v>
      </c>
      <c r="G10" s="16" t="s">
        <v>498</v>
      </c>
      <c r="H10" s="15"/>
      <c r="I10" s="15"/>
      <c r="J10" s="15"/>
      <c r="K10" s="15"/>
      <c r="L10" s="15"/>
      <c r="M10" s="15"/>
      <c r="N10" s="15"/>
      <c r="O10" s="15"/>
      <c r="P10" s="15"/>
      <c r="Q10" s="15"/>
      <c r="R10" s="15"/>
      <c r="S10" s="15"/>
      <c r="T10" s="15"/>
      <c r="U10" s="15"/>
      <c r="V10" s="15"/>
      <c r="W10" s="15"/>
      <c r="X10" s="15"/>
      <c r="Y10" s="15"/>
      <c r="Z10" s="15"/>
    </row>
    <row r="11">
      <c r="A11" s="15"/>
      <c r="B11" s="16">
        <v>1.0</v>
      </c>
      <c r="C11" s="16" t="s">
        <v>496</v>
      </c>
      <c r="D11" s="16" t="s">
        <v>497</v>
      </c>
      <c r="E11" s="16" t="s">
        <v>499</v>
      </c>
      <c r="F11" s="16" t="s">
        <v>498</v>
      </c>
      <c r="G11" s="16" t="s">
        <v>500</v>
      </c>
      <c r="H11" s="15"/>
      <c r="I11" s="15"/>
      <c r="J11" s="15"/>
      <c r="K11" s="15"/>
      <c r="L11" s="15"/>
      <c r="M11" s="15"/>
      <c r="N11" s="15"/>
      <c r="O11" s="15"/>
      <c r="P11" s="15"/>
      <c r="Q11" s="15"/>
      <c r="R11" s="15"/>
      <c r="S11" s="15"/>
      <c r="T11" s="15"/>
      <c r="U11" s="15"/>
      <c r="V11" s="15"/>
      <c r="W11" s="15"/>
      <c r="X11" s="15"/>
      <c r="Y11" s="15"/>
      <c r="Z11" s="15"/>
    </row>
    <row r="12">
      <c r="A12" s="15"/>
      <c r="B12" s="16">
        <v>1.0</v>
      </c>
      <c r="C12" s="16" t="s">
        <v>501</v>
      </c>
      <c r="D12" s="16" t="s">
        <v>489</v>
      </c>
      <c r="E12" s="16" t="s">
        <v>502</v>
      </c>
      <c r="F12" s="16" t="s">
        <v>490</v>
      </c>
      <c r="G12" s="16" t="s">
        <v>503</v>
      </c>
      <c r="H12" s="15"/>
      <c r="I12" s="15"/>
      <c r="J12" s="15"/>
      <c r="K12" s="15"/>
      <c r="L12" s="15"/>
      <c r="M12" s="15"/>
      <c r="N12" s="15"/>
      <c r="O12" s="15"/>
      <c r="P12" s="15"/>
      <c r="Q12" s="15"/>
      <c r="R12" s="15"/>
      <c r="S12" s="15"/>
      <c r="T12" s="15"/>
      <c r="U12" s="15"/>
      <c r="V12" s="15"/>
      <c r="W12" s="15"/>
      <c r="X12" s="15"/>
      <c r="Y12" s="15"/>
      <c r="Z12" s="15"/>
    </row>
    <row r="13">
      <c r="A13" s="15"/>
      <c r="B13" s="16">
        <v>1.0</v>
      </c>
      <c r="C13" s="16" t="s">
        <v>504</v>
      </c>
      <c r="D13" s="16" t="s">
        <v>502</v>
      </c>
      <c r="E13" s="16" t="s">
        <v>505</v>
      </c>
      <c r="F13" s="16" t="s">
        <v>503</v>
      </c>
      <c r="G13" s="16" t="s">
        <v>506</v>
      </c>
      <c r="H13" s="15"/>
      <c r="I13" s="15"/>
      <c r="J13" s="15"/>
      <c r="K13" s="15"/>
      <c r="L13" s="15"/>
      <c r="M13" s="15"/>
      <c r="N13" s="15"/>
      <c r="O13" s="15"/>
      <c r="P13" s="15"/>
      <c r="Q13" s="15"/>
      <c r="R13" s="15"/>
      <c r="S13" s="15"/>
      <c r="T13" s="15"/>
      <c r="U13" s="15"/>
      <c r="V13" s="15"/>
      <c r="W13" s="15"/>
      <c r="X13" s="15"/>
      <c r="Y13" s="15"/>
      <c r="Z13" s="15"/>
    </row>
    <row r="14">
      <c r="A14" s="15"/>
      <c r="B14" s="16">
        <v>1.0</v>
      </c>
      <c r="C14" s="16" t="s">
        <v>507</v>
      </c>
      <c r="D14" s="16" t="s">
        <v>502</v>
      </c>
      <c r="E14" s="16" t="s">
        <v>508</v>
      </c>
      <c r="F14" s="16" t="s">
        <v>503</v>
      </c>
      <c r="G14" s="16" t="s">
        <v>509</v>
      </c>
      <c r="H14" s="15"/>
      <c r="I14" s="15"/>
      <c r="J14" s="15"/>
      <c r="K14" s="15"/>
      <c r="L14" s="15"/>
      <c r="M14" s="15"/>
      <c r="N14" s="15"/>
      <c r="O14" s="15"/>
      <c r="P14" s="15"/>
      <c r="Q14" s="15"/>
      <c r="R14" s="15"/>
      <c r="S14" s="15"/>
      <c r="T14" s="15"/>
      <c r="U14" s="15"/>
      <c r="V14" s="15"/>
      <c r="W14" s="15"/>
      <c r="X14" s="15"/>
      <c r="Y14" s="15"/>
      <c r="Z14" s="15"/>
    </row>
    <row r="15">
      <c r="A15" s="15"/>
      <c r="B15" s="16">
        <v>1.0</v>
      </c>
      <c r="C15" s="16" t="s">
        <v>510</v>
      </c>
      <c r="D15" s="16" t="s">
        <v>502</v>
      </c>
      <c r="E15" s="16" t="s">
        <v>511</v>
      </c>
      <c r="F15" s="16" t="s">
        <v>503</v>
      </c>
      <c r="G15" s="16" t="s">
        <v>512</v>
      </c>
      <c r="H15" s="15"/>
      <c r="I15" s="15"/>
      <c r="J15" s="15"/>
      <c r="K15" s="15"/>
      <c r="L15" s="15"/>
      <c r="M15" s="15"/>
      <c r="N15" s="15"/>
      <c r="O15" s="15"/>
      <c r="P15" s="15"/>
      <c r="Q15" s="15"/>
      <c r="R15" s="15"/>
      <c r="S15" s="15"/>
      <c r="T15" s="15"/>
      <c r="U15" s="15"/>
      <c r="V15" s="15"/>
      <c r="W15" s="15"/>
      <c r="X15" s="15"/>
      <c r="Y15" s="15"/>
      <c r="Z15" s="15"/>
    </row>
    <row r="16">
      <c r="A16" s="15"/>
      <c r="B16" s="16">
        <v>1.0</v>
      </c>
      <c r="C16" s="16" t="s">
        <v>510</v>
      </c>
      <c r="D16" s="16" t="s">
        <v>511</v>
      </c>
      <c r="E16" s="16" t="s">
        <v>513</v>
      </c>
      <c r="F16" s="16" t="s">
        <v>512</v>
      </c>
      <c r="G16" s="16" t="s">
        <v>514</v>
      </c>
      <c r="H16" s="15"/>
      <c r="I16" s="15"/>
      <c r="J16" s="15"/>
      <c r="K16" s="15"/>
      <c r="L16" s="15"/>
      <c r="M16" s="15"/>
      <c r="N16" s="15"/>
      <c r="O16" s="15"/>
      <c r="P16" s="15"/>
      <c r="Q16" s="15"/>
      <c r="R16" s="15"/>
      <c r="S16" s="15"/>
      <c r="T16" s="15"/>
      <c r="U16" s="15"/>
      <c r="V16" s="15"/>
      <c r="W16" s="15"/>
      <c r="X16" s="15"/>
      <c r="Y16" s="15"/>
      <c r="Z16" s="15"/>
    </row>
    <row r="17">
      <c r="A17" s="15"/>
      <c r="B17" s="16">
        <v>1.0</v>
      </c>
      <c r="C17" s="16" t="s">
        <v>515</v>
      </c>
      <c r="D17" s="16" t="s">
        <v>511</v>
      </c>
      <c r="E17" s="16" t="s">
        <v>516</v>
      </c>
      <c r="F17" s="16" t="s">
        <v>512</v>
      </c>
      <c r="G17" s="16" t="s">
        <v>517</v>
      </c>
      <c r="H17" s="15"/>
      <c r="I17" s="15"/>
      <c r="J17" s="15"/>
      <c r="K17" s="15"/>
      <c r="L17" s="15"/>
      <c r="M17" s="15"/>
      <c r="N17" s="15"/>
      <c r="O17" s="15"/>
      <c r="P17" s="15"/>
      <c r="Q17" s="15"/>
      <c r="R17" s="15"/>
      <c r="S17" s="15"/>
      <c r="T17" s="15"/>
      <c r="U17" s="15"/>
      <c r="V17" s="15"/>
      <c r="W17" s="15"/>
      <c r="X17" s="15"/>
      <c r="Y17" s="15"/>
      <c r="Z17" s="15"/>
    </row>
    <row r="18">
      <c r="A18" s="15"/>
      <c r="B18" s="16">
        <v>1.0</v>
      </c>
      <c r="C18" s="16" t="s">
        <v>515</v>
      </c>
      <c r="D18" s="16" t="s">
        <v>516</v>
      </c>
      <c r="E18" s="16" t="s">
        <v>518</v>
      </c>
      <c r="F18" s="16" t="s">
        <v>517</v>
      </c>
      <c r="G18" s="16" t="s">
        <v>519</v>
      </c>
      <c r="H18" s="15"/>
      <c r="I18" s="15"/>
      <c r="J18" s="15"/>
      <c r="K18" s="15"/>
      <c r="L18" s="15"/>
      <c r="M18" s="15"/>
      <c r="N18" s="15"/>
      <c r="O18" s="15"/>
      <c r="P18" s="15"/>
      <c r="Q18" s="15"/>
      <c r="R18" s="15"/>
      <c r="S18" s="15"/>
      <c r="T18" s="15"/>
      <c r="U18" s="15"/>
      <c r="V18" s="15"/>
      <c r="W18" s="15"/>
      <c r="X18" s="15"/>
      <c r="Y18" s="15"/>
      <c r="Z18" s="15"/>
    </row>
    <row r="19">
      <c r="A19" s="15"/>
      <c r="B19" s="16">
        <v>1.0</v>
      </c>
      <c r="C19" s="16" t="s">
        <v>520</v>
      </c>
      <c r="D19" s="16" t="s">
        <v>516</v>
      </c>
      <c r="E19" s="16" t="s">
        <v>521</v>
      </c>
      <c r="F19" s="16" t="s">
        <v>517</v>
      </c>
      <c r="G19" s="16" t="s">
        <v>522</v>
      </c>
      <c r="H19" s="15"/>
      <c r="I19" s="15"/>
      <c r="J19" s="15"/>
      <c r="K19" s="15"/>
      <c r="L19" s="15"/>
      <c r="M19" s="15"/>
      <c r="N19" s="15"/>
      <c r="O19" s="15"/>
      <c r="P19" s="15"/>
      <c r="Q19" s="15"/>
      <c r="R19" s="15"/>
      <c r="S19" s="15"/>
      <c r="T19" s="15"/>
      <c r="U19" s="15"/>
      <c r="V19" s="15"/>
      <c r="W19" s="15"/>
      <c r="X19" s="15"/>
      <c r="Y19" s="15"/>
      <c r="Z19" s="15"/>
    </row>
    <row r="20">
      <c r="A20" s="15"/>
      <c r="B20" s="16">
        <v>1.0</v>
      </c>
      <c r="C20" s="16" t="s">
        <v>520</v>
      </c>
      <c r="D20" s="16" t="s">
        <v>521</v>
      </c>
      <c r="E20" s="16" t="s">
        <v>523</v>
      </c>
      <c r="F20" s="16" t="s">
        <v>522</v>
      </c>
      <c r="G20" s="16" t="s">
        <v>524</v>
      </c>
      <c r="H20" s="15"/>
      <c r="I20" s="15"/>
      <c r="J20" s="15"/>
      <c r="K20" s="15"/>
      <c r="L20" s="15"/>
      <c r="M20" s="15"/>
      <c r="N20" s="15"/>
      <c r="O20" s="15"/>
      <c r="P20" s="15"/>
      <c r="Q20" s="15"/>
      <c r="R20" s="15"/>
      <c r="S20" s="15"/>
      <c r="T20" s="15"/>
      <c r="U20" s="15"/>
      <c r="V20" s="15"/>
      <c r="W20" s="15"/>
      <c r="X20" s="15"/>
      <c r="Y20" s="15"/>
      <c r="Z20" s="15"/>
    </row>
    <row r="21">
      <c r="A21" s="15"/>
      <c r="B21" s="16">
        <v>1.0</v>
      </c>
      <c r="C21" s="16" t="s">
        <v>520</v>
      </c>
      <c r="D21" s="16" t="s">
        <v>523</v>
      </c>
      <c r="E21" s="16" t="s">
        <v>525</v>
      </c>
      <c r="F21" s="16" t="s">
        <v>524</v>
      </c>
      <c r="G21" s="16" t="s">
        <v>526</v>
      </c>
      <c r="H21" s="15"/>
      <c r="I21" s="15"/>
      <c r="J21" s="15"/>
      <c r="K21" s="15"/>
      <c r="L21" s="15"/>
      <c r="M21" s="15"/>
      <c r="N21" s="15"/>
      <c r="O21" s="15"/>
      <c r="P21" s="15"/>
      <c r="Q21" s="15"/>
      <c r="R21" s="15"/>
      <c r="S21" s="15"/>
      <c r="T21" s="15"/>
      <c r="U21" s="15"/>
      <c r="V21" s="15"/>
      <c r="W21" s="15"/>
      <c r="X21" s="15"/>
      <c r="Y21" s="15"/>
      <c r="Z21" s="15"/>
    </row>
    <row r="22">
      <c r="A22" s="15"/>
      <c r="B22" s="16">
        <v>1.0</v>
      </c>
      <c r="C22" s="16" t="s">
        <v>527</v>
      </c>
      <c r="D22" s="16" t="s">
        <v>521</v>
      </c>
      <c r="E22" s="16" t="s">
        <v>528</v>
      </c>
      <c r="F22" s="16" t="s">
        <v>522</v>
      </c>
      <c r="G22" s="16" t="s">
        <v>529</v>
      </c>
      <c r="H22" s="15"/>
      <c r="I22" s="15"/>
      <c r="J22" s="15"/>
      <c r="K22" s="15"/>
      <c r="L22" s="15"/>
      <c r="M22" s="15"/>
      <c r="N22" s="15"/>
      <c r="O22" s="15"/>
      <c r="P22" s="15"/>
      <c r="Q22" s="15"/>
      <c r="R22" s="15"/>
      <c r="S22" s="15"/>
      <c r="T22" s="15"/>
      <c r="U22" s="15"/>
      <c r="V22" s="15"/>
      <c r="W22" s="15"/>
      <c r="X22" s="15"/>
      <c r="Y22" s="15"/>
      <c r="Z22" s="15"/>
    </row>
    <row r="23">
      <c r="A23" s="15"/>
      <c r="B23" s="16">
        <v>1.0</v>
      </c>
      <c r="C23" s="16" t="s">
        <v>527</v>
      </c>
      <c r="D23" s="16" t="s">
        <v>528</v>
      </c>
      <c r="E23" s="16" t="s">
        <v>530</v>
      </c>
      <c r="F23" s="16" t="s">
        <v>529</v>
      </c>
      <c r="G23" s="16" t="s">
        <v>531</v>
      </c>
      <c r="H23" s="15"/>
      <c r="I23" s="15"/>
      <c r="J23" s="15"/>
      <c r="K23" s="15"/>
      <c r="L23" s="15"/>
      <c r="M23" s="15"/>
      <c r="N23" s="15"/>
      <c r="O23" s="15"/>
      <c r="P23" s="15"/>
      <c r="Q23" s="15"/>
      <c r="R23" s="15"/>
      <c r="S23" s="15"/>
      <c r="T23" s="15"/>
      <c r="U23" s="15"/>
      <c r="V23" s="15"/>
      <c r="W23" s="15"/>
      <c r="X23" s="15"/>
      <c r="Y23" s="15"/>
      <c r="Z23" s="15"/>
    </row>
    <row r="24">
      <c r="A24" s="15"/>
      <c r="B24" s="16">
        <v>1.0</v>
      </c>
      <c r="C24" s="16" t="s">
        <v>532</v>
      </c>
      <c r="D24" s="16" t="s">
        <v>489</v>
      </c>
      <c r="E24" s="16" t="s">
        <v>533</v>
      </c>
      <c r="F24" s="16" t="s">
        <v>490</v>
      </c>
      <c r="G24" s="16" t="s">
        <v>534</v>
      </c>
      <c r="H24" s="15"/>
      <c r="I24" s="15"/>
      <c r="J24" s="15"/>
      <c r="K24" s="15"/>
      <c r="L24" s="15"/>
      <c r="M24" s="15"/>
      <c r="N24" s="15"/>
      <c r="O24" s="15"/>
      <c r="P24" s="15"/>
      <c r="Q24" s="15"/>
      <c r="R24" s="15"/>
      <c r="S24" s="15"/>
      <c r="T24" s="15"/>
      <c r="U24" s="15"/>
      <c r="V24" s="15"/>
      <c r="W24" s="15"/>
      <c r="X24" s="15"/>
      <c r="Y24" s="15"/>
      <c r="Z24" s="15"/>
    </row>
    <row r="25">
      <c r="A25" s="15"/>
      <c r="B25" s="16">
        <v>1.0</v>
      </c>
      <c r="C25" s="16" t="s">
        <v>532</v>
      </c>
      <c r="D25" s="16" t="s">
        <v>533</v>
      </c>
      <c r="E25" s="16" t="s">
        <v>535</v>
      </c>
      <c r="F25" s="16" t="s">
        <v>534</v>
      </c>
      <c r="G25" s="16" t="s">
        <v>536</v>
      </c>
      <c r="H25" s="15"/>
      <c r="I25" s="15"/>
      <c r="J25" s="15"/>
      <c r="K25" s="15"/>
      <c r="L25" s="15"/>
      <c r="M25" s="15"/>
      <c r="N25" s="15"/>
      <c r="O25" s="15"/>
      <c r="P25" s="15"/>
      <c r="Q25" s="15"/>
      <c r="R25" s="15"/>
      <c r="S25" s="15"/>
      <c r="T25" s="15"/>
      <c r="U25" s="15"/>
      <c r="V25" s="15"/>
      <c r="W25" s="15"/>
      <c r="X25" s="15"/>
      <c r="Y25" s="15"/>
      <c r="Z25" s="15"/>
    </row>
    <row r="26">
      <c r="A26" s="15"/>
      <c r="B26" s="16">
        <v>1.0</v>
      </c>
      <c r="C26" s="16" t="s">
        <v>532</v>
      </c>
      <c r="D26" s="16" t="s">
        <v>535</v>
      </c>
      <c r="E26" s="16" t="s">
        <v>537</v>
      </c>
      <c r="F26" s="16" t="s">
        <v>536</v>
      </c>
      <c r="G26" s="16" t="s">
        <v>538</v>
      </c>
      <c r="H26" s="15"/>
      <c r="I26" s="15"/>
      <c r="J26" s="15"/>
      <c r="K26" s="15"/>
      <c r="L26" s="15"/>
      <c r="M26" s="15"/>
      <c r="N26" s="15"/>
      <c r="O26" s="15"/>
      <c r="P26" s="15"/>
      <c r="Q26" s="15"/>
      <c r="R26" s="15"/>
      <c r="S26" s="15"/>
      <c r="T26" s="15"/>
      <c r="U26" s="15"/>
      <c r="V26" s="15"/>
      <c r="W26" s="15"/>
      <c r="X26" s="15"/>
      <c r="Y26" s="15"/>
      <c r="Z26" s="15"/>
    </row>
    <row r="27">
      <c r="A27" s="15"/>
      <c r="B27" s="16">
        <v>1.0</v>
      </c>
      <c r="C27" s="16" t="s">
        <v>532</v>
      </c>
      <c r="D27" s="16" t="s">
        <v>537</v>
      </c>
      <c r="E27" s="16" t="s">
        <v>539</v>
      </c>
      <c r="F27" s="16" t="s">
        <v>538</v>
      </c>
      <c r="G27" s="16" t="s">
        <v>540</v>
      </c>
      <c r="H27" s="15"/>
      <c r="I27" s="15"/>
      <c r="J27" s="15"/>
      <c r="K27" s="15"/>
      <c r="L27" s="15"/>
      <c r="M27" s="15"/>
      <c r="N27" s="15"/>
      <c r="O27" s="15"/>
      <c r="P27" s="15"/>
      <c r="Q27" s="15"/>
      <c r="R27" s="15"/>
      <c r="S27" s="15"/>
      <c r="T27" s="15"/>
      <c r="U27" s="15"/>
      <c r="V27" s="15"/>
      <c r="W27" s="15"/>
      <c r="X27" s="15"/>
      <c r="Y27" s="15"/>
      <c r="Z27" s="15"/>
    </row>
    <row r="28">
      <c r="A28" s="15"/>
      <c r="B28" s="16">
        <v>1.0</v>
      </c>
      <c r="C28" s="16" t="s">
        <v>532</v>
      </c>
      <c r="D28" s="16" t="s">
        <v>539</v>
      </c>
      <c r="E28" s="16" t="s">
        <v>541</v>
      </c>
      <c r="F28" s="16" t="s">
        <v>540</v>
      </c>
      <c r="G28" s="16" t="s">
        <v>542</v>
      </c>
      <c r="H28" s="15"/>
      <c r="I28" s="15"/>
      <c r="J28" s="15"/>
      <c r="K28" s="15"/>
      <c r="L28" s="15"/>
      <c r="M28" s="15"/>
      <c r="N28" s="15"/>
      <c r="O28" s="15"/>
      <c r="P28" s="15"/>
      <c r="Q28" s="15"/>
      <c r="R28" s="15"/>
      <c r="S28" s="15"/>
      <c r="T28" s="15"/>
      <c r="U28" s="15"/>
      <c r="V28" s="15"/>
      <c r="W28" s="15"/>
      <c r="X28" s="15"/>
      <c r="Y28" s="15"/>
      <c r="Z28" s="15"/>
    </row>
    <row r="29">
      <c r="A29" s="15"/>
      <c r="B29" s="16">
        <v>1.0</v>
      </c>
      <c r="C29" s="16" t="s">
        <v>532</v>
      </c>
      <c r="D29" s="16" t="s">
        <v>541</v>
      </c>
      <c r="E29" s="16" t="s">
        <v>543</v>
      </c>
      <c r="F29" s="16" t="s">
        <v>542</v>
      </c>
      <c r="G29" s="16" t="s">
        <v>544</v>
      </c>
      <c r="H29" s="15"/>
      <c r="I29" s="15"/>
      <c r="J29" s="15"/>
      <c r="K29" s="15"/>
      <c r="L29" s="15"/>
      <c r="M29" s="15"/>
      <c r="N29" s="15"/>
      <c r="O29" s="15"/>
      <c r="P29" s="15"/>
      <c r="Q29" s="15"/>
      <c r="R29" s="15"/>
      <c r="S29" s="15"/>
      <c r="T29" s="15"/>
      <c r="U29" s="15"/>
      <c r="V29" s="15"/>
      <c r="W29" s="15"/>
      <c r="X29" s="15"/>
      <c r="Y29" s="15"/>
      <c r="Z29" s="15"/>
    </row>
    <row r="30">
      <c r="A30" s="15"/>
      <c r="B30" s="16">
        <v>1.0</v>
      </c>
      <c r="C30" s="16" t="s">
        <v>545</v>
      </c>
      <c r="D30" s="16" t="s">
        <v>537</v>
      </c>
      <c r="E30" s="16" t="s">
        <v>546</v>
      </c>
      <c r="F30" s="16" t="s">
        <v>538</v>
      </c>
      <c r="G30" s="16" t="s">
        <v>547</v>
      </c>
      <c r="H30" s="15"/>
      <c r="I30" s="15"/>
      <c r="J30" s="15"/>
      <c r="K30" s="15"/>
      <c r="L30" s="15"/>
      <c r="M30" s="15"/>
      <c r="N30" s="15"/>
      <c r="O30" s="15"/>
      <c r="P30" s="15"/>
      <c r="Q30" s="15"/>
      <c r="R30" s="15"/>
      <c r="S30" s="15"/>
      <c r="T30" s="15"/>
      <c r="U30" s="15"/>
      <c r="V30" s="15"/>
      <c r="W30" s="15"/>
      <c r="X30" s="15"/>
      <c r="Y30" s="15"/>
      <c r="Z30" s="15"/>
    </row>
    <row r="31">
      <c r="A31" s="15"/>
      <c r="B31" s="16">
        <v>1.0</v>
      </c>
      <c r="C31" s="16" t="s">
        <v>545</v>
      </c>
      <c r="D31" s="16" t="s">
        <v>546</v>
      </c>
      <c r="E31" s="16" t="s">
        <v>548</v>
      </c>
      <c r="F31" s="16" t="s">
        <v>547</v>
      </c>
      <c r="G31" s="16" t="s">
        <v>549</v>
      </c>
      <c r="H31" s="15"/>
      <c r="I31" s="15"/>
      <c r="J31" s="15"/>
      <c r="K31" s="15"/>
      <c r="L31" s="15"/>
      <c r="M31" s="15"/>
      <c r="N31" s="15"/>
      <c r="O31" s="15"/>
      <c r="P31" s="15"/>
      <c r="Q31" s="15"/>
      <c r="R31" s="15"/>
      <c r="S31" s="15"/>
      <c r="T31" s="15"/>
      <c r="U31" s="15"/>
      <c r="V31" s="15"/>
      <c r="W31" s="15"/>
      <c r="X31" s="15"/>
      <c r="Y31" s="15"/>
      <c r="Z31" s="15"/>
    </row>
    <row r="32">
      <c r="A32" s="15"/>
      <c r="B32" s="16">
        <v>1.0</v>
      </c>
      <c r="C32" s="16" t="s">
        <v>545</v>
      </c>
      <c r="D32" s="16" t="s">
        <v>548</v>
      </c>
      <c r="E32" s="16" t="s">
        <v>550</v>
      </c>
      <c r="F32" s="16" t="s">
        <v>549</v>
      </c>
      <c r="G32" s="16" t="s">
        <v>551</v>
      </c>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6">
        <v>2.0</v>
      </c>
      <c r="C34" s="15"/>
      <c r="D34" s="16" t="s">
        <v>552</v>
      </c>
      <c r="E34" s="16" t="s">
        <v>553</v>
      </c>
      <c r="F34" s="16" t="s">
        <v>554</v>
      </c>
      <c r="G34" s="16" t="s">
        <v>555</v>
      </c>
      <c r="H34" s="15"/>
      <c r="I34" s="15"/>
      <c r="J34" s="15"/>
      <c r="K34" s="15"/>
      <c r="L34" s="15"/>
      <c r="M34" s="15"/>
      <c r="N34" s="15"/>
      <c r="O34" s="15"/>
      <c r="P34" s="15"/>
      <c r="Q34" s="15"/>
      <c r="R34" s="15"/>
      <c r="S34" s="15"/>
      <c r="T34" s="15"/>
      <c r="U34" s="15"/>
      <c r="V34" s="15"/>
      <c r="W34" s="15"/>
      <c r="X34" s="15"/>
      <c r="Y34" s="15"/>
      <c r="Z34" s="15"/>
    </row>
    <row r="35">
      <c r="A35" s="15"/>
      <c r="B35" s="16">
        <v>2.0</v>
      </c>
      <c r="C35" s="15"/>
      <c r="D35" s="16" t="s">
        <v>553</v>
      </c>
      <c r="E35" s="16" t="s">
        <v>556</v>
      </c>
      <c r="F35" s="16" t="s">
        <v>555</v>
      </c>
      <c r="G35" s="16" t="s">
        <v>557</v>
      </c>
      <c r="H35" s="15"/>
      <c r="I35" s="15"/>
      <c r="J35" s="15"/>
      <c r="K35" s="15"/>
      <c r="L35" s="15"/>
      <c r="M35" s="15"/>
      <c r="N35" s="15"/>
      <c r="O35" s="15"/>
      <c r="P35" s="15"/>
      <c r="Q35" s="15"/>
      <c r="R35" s="15"/>
      <c r="S35" s="15"/>
      <c r="T35" s="15"/>
      <c r="U35" s="15"/>
      <c r="V35" s="15"/>
      <c r="W35" s="15"/>
      <c r="X35" s="15"/>
      <c r="Y35" s="15"/>
      <c r="Z35" s="15"/>
    </row>
    <row r="36">
      <c r="A36" s="15"/>
      <c r="B36" s="16">
        <v>2.0</v>
      </c>
      <c r="C36" s="15"/>
      <c r="D36" s="16" t="s">
        <v>553</v>
      </c>
      <c r="E36" s="16" t="s">
        <v>558</v>
      </c>
      <c r="F36" s="16" t="s">
        <v>555</v>
      </c>
      <c r="G36" s="16" t="s">
        <v>559</v>
      </c>
      <c r="H36" s="15"/>
      <c r="I36" s="15"/>
      <c r="J36" s="15"/>
      <c r="K36" s="15"/>
      <c r="L36" s="15"/>
      <c r="M36" s="15"/>
      <c r="N36" s="15"/>
      <c r="O36" s="15"/>
      <c r="P36" s="15"/>
      <c r="Q36" s="15"/>
      <c r="R36" s="15"/>
      <c r="S36" s="15"/>
      <c r="T36" s="15"/>
      <c r="U36" s="15"/>
      <c r="V36" s="15"/>
      <c r="W36" s="15"/>
      <c r="X36" s="15"/>
      <c r="Y36" s="15"/>
      <c r="Z36" s="15"/>
    </row>
    <row r="37">
      <c r="A37" s="15"/>
      <c r="B37" s="16">
        <v>2.0</v>
      </c>
      <c r="C37" s="15"/>
      <c r="D37" s="16" t="s">
        <v>558</v>
      </c>
      <c r="E37" s="16" t="s">
        <v>560</v>
      </c>
      <c r="F37" s="16" t="s">
        <v>559</v>
      </c>
      <c r="G37" s="16" t="s">
        <v>561</v>
      </c>
      <c r="H37" s="15"/>
      <c r="I37" s="15"/>
      <c r="J37" s="15"/>
      <c r="K37" s="15"/>
      <c r="L37" s="15"/>
      <c r="M37" s="15"/>
      <c r="N37" s="15"/>
      <c r="O37" s="15"/>
      <c r="P37" s="15"/>
      <c r="Q37" s="15"/>
      <c r="R37" s="15"/>
      <c r="S37" s="15"/>
      <c r="T37" s="15"/>
      <c r="U37" s="15"/>
      <c r="V37" s="15"/>
      <c r="W37" s="15"/>
      <c r="X37" s="15"/>
      <c r="Y37" s="15"/>
      <c r="Z37" s="15"/>
    </row>
    <row r="38">
      <c r="A38" s="15"/>
      <c r="B38" s="16">
        <v>2.0</v>
      </c>
      <c r="C38" s="15"/>
      <c r="D38" s="16" t="s">
        <v>560</v>
      </c>
      <c r="E38" s="16" t="s">
        <v>562</v>
      </c>
      <c r="F38" s="16" t="s">
        <v>561</v>
      </c>
      <c r="G38" s="16" t="s">
        <v>563</v>
      </c>
      <c r="H38" s="15"/>
      <c r="I38" s="15"/>
      <c r="J38" s="15"/>
      <c r="K38" s="15"/>
      <c r="L38" s="15"/>
      <c r="M38" s="15"/>
      <c r="N38" s="15"/>
      <c r="O38" s="15"/>
      <c r="P38" s="15"/>
      <c r="Q38" s="15"/>
      <c r="R38" s="15"/>
      <c r="S38" s="15"/>
      <c r="T38" s="15"/>
      <c r="U38" s="15"/>
      <c r="V38" s="15"/>
      <c r="W38" s="15"/>
      <c r="X38" s="15"/>
      <c r="Y38" s="15"/>
      <c r="Z38" s="15"/>
    </row>
    <row r="39">
      <c r="A39" s="15"/>
      <c r="B39" s="16">
        <v>2.0</v>
      </c>
      <c r="C39" s="15"/>
      <c r="D39" s="16" t="s">
        <v>562</v>
      </c>
      <c r="E39" s="16" t="s">
        <v>564</v>
      </c>
      <c r="F39" s="16" t="s">
        <v>563</v>
      </c>
      <c r="G39" s="16" t="s">
        <v>565</v>
      </c>
      <c r="H39" s="15"/>
      <c r="I39" s="15"/>
      <c r="J39" s="15"/>
      <c r="K39" s="15"/>
      <c r="L39" s="15"/>
      <c r="M39" s="15"/>
      <c r="N39" s="15"/>
      <c r="O39" s="15"/>
      <c r="P39" s="15"/>
      <c r="Q39" s="15"/>
      <c r="R39" s="15"/>
      <c r="S39" s="15"/>
      <c r="T39" s="15"/>
      <c r="U39" s="15"/>
      <c r="V39" s="15"/>
      <c r="W39" s="15"/>
      <c r="X39" s="15"/>
      <c r="Y39" s="15"/>
      <c r="Z39" s="15"/>
    </row>
    <row r="40">
      <c r="A40" s="15"/>
      <c r="B40" s="16">
        <v>2.0</v>
      </c>
      <c r="C40" s="15"/>
      <c r="D40" s="16" t="s">
        <v>562</v>
      </c>
      <c r="E40" s="16" t="s">
        <v>566</v>
      </c>
      <c r="F40" s="16" t="s">
        <v>563</v>
      </c>
      <c r="G40" s="16" t="s">
        <v>567</v>
      </c>
      <c r="H40" s="15"/>
      <c r="I40" s="15"/>
      <c r="J40" s="15"/>
      <c r="K40" s="15"/>
      <c r="L40" s="15"/>
      <c r="M40" s="15"/>
      <c r="N40" s="15"/>
      <c r="O40" s="15"/>
      <c r="P40" s="15"/>
      <c r="Q40" s="15"/>
      <c r="R40" s="15"/>
      <c r="S40" s="15"/>
      <c r="T40" s="15"/>
      <c r="U40" s="15"/>
      <c r="V40" s="15"/>
      <c r="W40" s="15"/>
      <c r="X40" s="15"/>
      <c r="Y40" s="15"/>
      <c r="Z40" s="15"/>
    </row>
    <row r="41">
      <c r="A41" s="15"/>
      <c r="B41" s="16">
        <v>2.0</v>
      </c>
      <c r="C41" s="15"/>
      <c r="D41" s="16" t="s">
        <v>560</v>
      </c>
      <c r="E41" s="16" t="s">
        <v>568</v>
      </c>
      <c r="F41" s="16" t="s">
        <v>561</v>
      </c>
      <c r="G41" s="16" t="s">
        <v>569</v>
      </c>
      <c r="H41" s="15"/>
      <c r="I41" s="15"/>
      <c r="J41" s="15"/>
      <c r="K41" s="15"/>
      <c r="L41" s="15"/>
      <c r="M41" s="15"/>
      <c r="N41" s="15"/>
      <c r="O41" s="15"/>
      <c r="P41" s="15"/>
      <c r="Q41" s="15"/>
      <c r="R41" s="15"/>
      <c r="S41" s="15"/>
      <c r="T41" s="15"/>
      <c r="U41" s="15"/>
      <c r="V41" s="15"/>
      <c r="W41" s="15"/>
      <c r="X41" s="15"/>
      <c r="Y41" s="15"/>
      <c r="Z41" s="15"/>
    </row>
    <row r="42">
      <c r="A42" s="15"/>
      <c r="B42" s="16">
        <v>2.0</v>
      </c>
      <c r="C42" s="15"/>
      <c r="D42" s="16" t="s">
        <v>568</v>
      </c>
      <c r="E42" s="16" t="s">
        <v>570</v>
      </c>
      <c r="F42" s="16" t="s">
        <v>569</v>
      </c>
      <c r="G42" s="16" t="s">
        <v>571</v>
      </c>
      <c r="H42" s="15"/>
      <c r="I42" s="15"/>
      <c r="J42" s="15"/>
      <c r="K42" s="15"/>
      <c r="L42" s="15"/>
      <c r="M42" s="15"/>
      <c r="N42" s="15"/>
      <c r="O42" s="15"/>
      <c r="P42" s="15"/>
      <c r="Q42" s="15"/>
      <c r="R42" s="15"/>
      <c r="S42" s="15"/>
      <c r="T42" s="15"/>
      <c r="U42" s="15"/>
      <c r="V42" s="15"/>
      <c r="W42" s="15"/>
      <c r="X42" s="15"/>
      <c r="Y42" s="15"/>
      <c r="Z42" s="15"/>
    </row>
    <row r="43">
      <c r="A43" s="15"/>
      <c r="B43" s="16">
        <v>2.0</v>
      </c>
      <c r="C43" s="15"/>
      <c r="D43" s="16" t="s">
        <v>568</v>
      </c>
      <c r="E43" s="16" t="s">
        <v>572</v>
      </c>
      <c r="F43" s="16" t="s">
        <v>569</v>
      </c>
      <c r="G43" s="16" t="s">
        <v>573</v>
      </c>
      <c r="H43" s="15"/>
      <c r="I43" s="15"/>
      <c r="J43" s="15"/>
      <c r="K43" s="15"/>
      <c r="L43" s="15"/>
      <c r="M43" s="15"/>
      <c r="N43" s="15"/>
      <c r="O43" s="15"/>
      <c r="P43" s="15"/>
      <c r="Q43" s="15"/>
      <c r="R43" s="15"/>
      <c r="S43" s="15"/>
      <c r="T43" s="15"/>
      <c r="U43" s="15"/>
      <c r="V43" s="15"/>
      <c r="W43" s="15"/>
      <c r="X43" s="15"/>
      <c r="Y43" s="15"/>
      <c r="Z43" s="15"/>
    </row>
    <row r="44">
      <c r="A44" s="15"/>
      <c r="B44" s="16">
        <v>2.0</v>
      </c>
      <c r="C44" s="15"/>
      <c r="D44" s="16" t="s">
        <v>572</v>
      </c>
      <c r="E44" s="16" t="s">
        <v>574</v>
      </c>
      <c r="F44" s="16" t="s">
        <v>573</v>
      </c>
      <c r="G44" s="16" t="s">
        <v>575</v>
      </c>
      <c r="H44" s="15"/>
      <c r="I44" s="15"/>
      <c r="J44" s="15"/>
      <c r="K44" s="15"/>
      <c r="L44" s="15"/>
      <c r="M44" s="15"/>
      <c r="N44" s="15"/>
      <c r="O44" s="15"/>
      <c r="P44" s="15"/>
      <c r="Q44" s="15"/>
      <c r="R44" s="15"/>
      <c r="S44" s="15"/>
      <c r="T44" s="15"/>
      <c r="U44" s="15"/>
      <c r="V44" s="15"/>
      <c r="W44" s="15"/>
      <c r="X44" s="15"/>
      <c r="Y44" s="15"/>
      <c r="Z44" s="15"/>
    </row>
    <row r="45">
      <c r="A45" s="15"/>
      <c r="B45" s="16">
        <v>2.0</v>
      </c>
      <c r="C45" s="15"/>
      <c r="D45" s="16" t="s">
        <v>574</v>
      </c>
      <c r="E45" s="16" t="s">
        <v>576</v>
      </c>
      <c r="F45" s="16" t="s">
        <v>575</v>
      </c>
      <c r="G45" s="16" t="s">
        <v>577</v>
      </c>
      <c r="H45" s="15"/>
      <c r="I45" s="15"/>
      <c r="J45" s="15"/>
      <c r="K45" s="15"/>
      <c r="L45" s="15"/>
      <c r="M45" s="15"/>
      <c r="N45" s="15"/>
      <c r="O45" s="15"/>
      <c r="P45" s="15"/>
      <c r="Q45" s="15"/>
      <c r="R45" s="15"/>
      <c r="S45" s="15"/>
      <c r="T45" s="15"/>
      <c r="U45" s="15"/>
      <c r="V45" s="15"/>
      <c r="W45" s="15"/>
      <c r="X45" s="15"/>
      <c r="Y45" s="15"/>
      <c r="Z45" s="15"/>
    </row>
    <row r="46">
      <c r="A46" s="15"/>
      <c r="B46" s="16">
        <v>2.0</v>
      </c>
      <c r="C46" s="15"/>
      <c r="D46" s="16" t="s">
        <v>576</v>
      </c>
      <c r="E46" s="16" t="s">
        <v>578</v>
      </c>
      <c r="F46" s="16" t="s">
        <v>577</v>
      </c>
      <c r="G46" s="16" t="s">
        <v>579</v>
      </c>
      <c r="H46" s="15"/>
      <c r="I46" s="15"/>
      <c r="J46" s="15"/>
      <c r="K46" s="15"/>
      <c r="L46" s="15"/>
      <c r="M46" s="15"/>
      <c r="N46" s="15"/>
      <c r="O46" s="15"/>
      <c r="P46" s="15"/>
      <c r="Q46" s="15"/>
      <c r="R46" s="15"/>
      <c r="S46" s="15"/>
      <c r="T46" s="15"/>
      <c r="U46" s="15"/>
      <c r="V46" s="15"/>
      <c r="W46" s="15"/>
      <c r="X46" s="15"/>
      <c r="Y46" s="15"/>
      <c r="Z46" s="15"/>
    </row>
    <row r="47">
      <c r="A47" s="15"/>
      <c r="B47" s="16">
        <v>2.0</v>
      </c>
      <c r="C47" s="15"/>
      <c r="D47" s="16" t="s">
        <v>578</v>
      </c>
      <c r="E47" s="16" t="s">
        <v>580</v>
      </c>
      <c r="F47" s="16" t="s">
        <v>579</v>
      </c>
      <c r="G47" s="16" t="s">
        <v>581</v>
      </c>
      <c r="H47" s="15"/>
      <c r="I47" s="15"/>
      <c r="J47" s="15"/>
      <c r="K47" s="15"/>
      <c r="L47" s="15"/>
      <c r="M47" s="15"/>
      <c r="N47" s="15"/>
      <c r="O47" s="15"/>
      <c r="P47" s="15"/>
      <c r="Q47" s="15"/>
      <c r="R47" s="15"/>
      <c r="S47" s="15"/>
      <c r="T47" s="15"/>
      <c r="U47" s="15"/>
      <c r="V47" s="15"/>
      <c r="W47" s="15"/>
      <c r="X47" s="15"/>
      <c r="Y47" s="15"/>
      <c r="Z47" s="15"/>
    </row>
    <row r="48">
      <c r="A48" s="15"/>
      <c r="B48" s="16">
        <v>2.0</v>
      </c>
      <c r="C48" s="15"/>
      <c r="D48" s="16" t="s">
        <v>574</v>
      </c>
      <c r="E48" s="16" t="s">
        <v>582</v>
      </c>
      <c r="F48" s="16" t="s">
        <v>575</v>
      </c>
      <c r="G48" s="16" t="s">
        <v>583</v>
      </c>
      <c r="H48" s="15"/>
      <c r="I48" s="15"/>
      <c r="J48" s="15"/>
      <c r="K48" s="15"/>
      <c r="L48" s="15"/>
      <c r="M48" s="15"/>
      <c r="N48" s="15"/>
      <c r="O48" s="15"/>
      <c r="P48" s="15"/>
      <c r="Q48" s="15"/>
      <c r="R48" s="15"/>
      <c r="S48" s="15"/>
      <c r="T48" s="15"/>
      <c r="U48" s="15"/>
      <c r="V48" s="15"/>
      <c r="W48" s="15"/>
      <c r="X48" s="15"/>
      <c r="Y48" s="15"/>
      <c r="Z48" s="15"/>
    </row>
    <row r="49">
      <c r="A49" s="15"/>
      <c r="B49" s="16">
        <v>2.0</v>
      </c>
      <c r="C49" s="15"/>
      <c r="D49" s="16" t="s">
        <v>582</v>
      </c>
      <c r="E49" s="16" t="s">
        <v>584</v>
      </c>
      <c r="F49" s="16" t="s">
        <v>583</v>
      </c>
      <c r="G49" s="16" t="s">
        <v>585</v>
      </c>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6">
        <v>3.0</v>
      </c>
      <c r="C51" s="15"/>
      <c r="D51" s="16" t="s">
        <v>586</v>
      </c>
      <c r="E51" s="16" t="s">
        <v>587</v>
      </c>
      <c r="F51" s="16" t="s">
        <v>588</v>
      </c>
      <c r="G51" s="16" t="s">
        <v>588</v>
      </c>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6">
        <v>4.0</v>
      </c>
      <c r="C53" s="15"/>
      <c r="D53" s="16" t="s">
        <v>589</v>
      </c>
      <c r="E53" s="16" t="s">
        <v>590</v>
      </c>
      <c r="F53" s="16" t="s">
        <v>591</v>
      </c>
      <c r="G53" s="16" t="s">
        <v>592</v>
      </c>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6">
        <v>5.0</v>
      </c>
      <c r="C55" s="15"/>
      <c r="D55" s="16" t="s">
        <v>593</v>
      </c>
      <c r="E55" s="16" t="s">
        <v>594</v>
      </c>
      <c r="F55" s="16" t="s">
        <v>595</v>
      </c>
      <c r="G55" s="16" t="s">
        <v>596</v>
      </c>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6">
        <v>6.0</v>
      </c>
      <c r="C57" s="15"/>
      <c r="D57" s="16" t="s">
        <v>597</v>
      </c>
      <c r="E57" s="16" t="s">
        <v>598</v>
      </c>
      <c r="F57" s="16" t="s">
        <v>599</v>
      </c>
      <c r="G57" s="16" t="s">
        <v>600</v>
      </c>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6">
        <v>7.0</v>
      </c>
      <c r="C59" s="15"/>
      <c r="D59" s="16" t="s">
        <v>601</v>
      </c>
      <c r="E59" s="16" t="s">
        <v>602</v>
      </c>
      <c r="F59" s="16" t="s">
        <v>447</v>
      </c>
      <c r="G59" s="16" t="s">
        <v>447</v>
      </c>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6">
        <v>8.0</v>
      </c>
      <c r="C61" s="15"/>
      <c r="D61" s="16" t="s">
        <v>603</v>
      </c>
      <c r="E61" s="16" t="s">
        <v>604</v>
      </c>
      <c r="F61" s="16" t="s">
        <v>605</v>
      </c>
      <c r="G61" s="16" t="s">
        <v>606</v>
      </c>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6">
        <v>9.0</v>
      </c>
      <c r="C63" s="15"/>
      <c r="D63" s="16" t="s">
        <v>607</v>
      </c>
      <c r="E63" s="16" t="s">
        <v>608</v>
      </c>
      <c r="F63" s="16" t="s">
        <v>609</v>
      </c>
      <c r="G63" s="16" t="s">
        <v>610</v>
      </c>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6">
        <v>10.0</v>
      </c>
      <c r="C65" s="15"/>
      <c r="D65" s="16" t="s">
        <v>611</v>
      </c>
      <c r="E65" s="16" t="s">
        <v>612</v>
      </c>
      <c r="F65" s="16" t="s">
        <v>613</v>
      </c>
      <c r="G65" s="16" t="s">
        <v>614</v>
      </c>
      <c r="H65" s="15"/>
      <c r="I65" s="15"/>
      <c r="J65" s="15"/>
      <c r="K65" s="15"/>
      <c r="L65" s="15"/>
      <c r="M65" s="15"/>
      <c r="N65" s="15"/>
      <c r="O65" s="15"/>
      <c r="P65" s="15"/>
      <c r="Q65" s="15"/>
      <c r="R65" s="15"/>
      <c r="S65" s="15"/>
      <c r="T65" s="15"/>
      <c r="U65" s="15"/>
      <c r="V65" s="15"/>
      <c r="W65" s="15"/>
      <c r="X65" s="15"/>
      <c r="Y65" s="15"/>
      <c r="Z65" s="15"/>
    </row>
    <row r="66">
      <c r="A66" s="15"/>
      <c r="B66" s="16">
        <v>10.0</v>
      </c>
      <c r="C66" s="15"/>
      <c r="D66" s="16" t="s">
        <v>612</v>
      </c>
      <c r="E66" s="16" t="s">
        <v>615</v>
      </c>
      <c r="F66" s="16" t="s">
        <v>614</v>
      </c>
      <c r="G66" s="16" t="s">
        <v>616</v>
      </c>
      <c r="H66" s="15"/>
      <c r="I66" s="15"/>
      <c r="J66" s="15"/>
      <c r="K66" s="15"/>
      <c r="L66" s="15"/>
      <c r="M66" s="15"/>
      <c r="N66" s="15"/>
      <c r="O66" s="15"/>
      <c r="P66" s="15"/>
      <c r="Q66" s="15"/>
      <c r="R66" s="15"/>
      <c r="S66" s="15"/>
      <c r="T66" s="15"/>
      <c r="U66" s="15"/>
      <c r="V66" s="15"/>
      <c r="W66" s="15"/>
      <c r="X66" s="15"/>
      <c r="Y66" s="15"/>
      <c r="Z66" s="15"/>
    </row>
    <row r="67">
      <c r="A67" s="15"/>
      <c r="B67" s="16">
        <v>10.0</v>
      </c>
      <c r="C67" s="15"/>
      <c r="D67" s="16" t="s">
        <v>615</v>
      </c>
      <c r="E67" s="16" t="s">
        <v>617</v>
      </c>
      <c r="F67" s="16" t="s">
        <v>616</v>
      </c>
      <c r="G67" s="16" t="s">
        <v>166</v>
      </c>
      <c r="H67" s="15"/>
      <c r="I67" s="15"/>
      <c r="J67" s="15"/>
      <c r="K67" s="15"/>
      <c r="L67" s="15"/>
      <c r="M67" s="15"/>
      <c r="N67" s="15"/>
      <c r="O67" s="15"/>
      <c r="P67" s="15"/>
      <c r="Q67" s="15"/>
      <c r="R67" s="15"/>
      <c r="S67" s="15"/>
      <c r="T67" s="15"/>
      <c r="U67" s="15"/>
      <c r="V67" s="15"/>
      <c r="W67" s="15"/>
      <c r="X67" s="15"/>
      <c r="Y67" s="15"/>
      <c r="Z67" s="15"/>
    </row>
    <row r="68">
      <c r="A68" s="15"/>
      <c r="B68" s="16">
        <v>10.0</v>
      </c>
      <c r="C68" s="15"/>
      <c r="D68" s="16" t="s">
        <v>615</v>
      </c>
      <c r="E68" s="16" t="s">
        <v>618</v>
      </c>
      <c r="F68" s="16" t="s">
        <v>616</v>
      </c>
      <c r="G68" s="16" t="s">
        <v>619</v>
      </c>
      <c r="H68" s="15"/>
      <c r="I68" s="15"/>
      <c r="J68" s="15"/>
      <c r="K68" s="15"/>
      <c r="L68" s="15"/>
      <c r="M68" s="15"/>
      <c r="N68" s="15"/>
      <c r="O68" s="15"/>
      <c r="P68" s="15"/>
      <c r="Q68" s="15"/>
      <c r="R68" s="15"/>
      <c r="S68" s="15"/>
      <c r="T68" s="15"/>
      <c r="U68" s="15"/>
      <c r="V68" s="15"/>
      <c r="W68" s="15"/>
      <c r="X68" s="15"/>
      <c r="Y68" s="15"/>
      <c r="Z68" s="15"/>
    </row>
    <row r="69">
      <c r="A69" s="15"/>
      <c r="B69" s="16">
        <v>10.0</v>
      </c>
      <c r="C69" s="15"/>
      <c r="D69" s="16" t="s">
        <v>617</v>
      </c>
      <c r="E69" s="16" t="s">
        <v>620</v>
      </c>
      <c r="F69" s="16" t="s">
        <v>166</v>
      </c>
      <c r="G69" s="16" t="s">
        <v>621</v>
      </c>
      <c r="H69" s="15"/>
      <c r="I69" s="15"/>
      <c r="J69" s="15"/>
      <c r="K69" s="15"/>
      <c r="L69" s="15"/>
      <c r="M69" s="15"/>
      <c r="N69" s="15"/>
      <c r="O69" s="15"/>
      <c r="P69" s="15"/>
      <c r="Q69" s="15"/>
      <c r="R69" s="15"/>
      <c r="S69" s="15"/>
      <c r="T69" s="15"/>
      <c r="U69" s="15"/>
      <c r="V69" s="15"/>
      <c r="W69" s="15"/>
      <c r="X69" s="15"/>
      <c r="Y69" s="15"/>
      <c r="Z69" s="15"/>
    </row>
    <row r="70">
      <c r="A70" s="15"/>
      <c r="B70" s="16">
        <v>10.0</v>
      </c>
      <c r="C70" s="15"/>
      <c r="D70" s="16" t="s">
        <v>620</v>
      </c>
      <c r="E70" s="16" t="s">
        <v>622</v>
      </c>
      <c r="F70" s="16" t="s">
        <v>621</v>
      </c>
      <c r="G70" s="16" t="s">
        <v>623</v>
      </c>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6">
        <v>11.0</v>
      </c>
      <c r="C72" s="15"/>
      <c r="D72" s="16" t="s">
        <v>624</v>
      </c>
      <c r="E72" s="16" t="s">
        <v>625</v>
      </c>
      <c r="F72" s="16" t="s">
        <v>626</v>
      </c>
      <c r="G72" s="16" t="s">
        <v>627</v>
      </c>
      <c r="H72" s="15"/>
      <c r="I72" s="15"/>
      <c r="J72" s="15"/>
      <c r="K72" s="15"/>
      <c r="L72" s="15"/>
      <c r="M72" s="15"/>
      <c r="N72" s="15"/>
      <c r="O72" s="15"/>
      <c r="P72" s="15"/>
      <c r="Q72" s="15"/>
      <c r="R72" s="15"/>
      <c r="S72" s="15"/>
      <c r="T72" s="15"/>
      <c r="U72" s="15"/>
      <c r="V72" s="15"/>
      <c r="W72" s="15"/>
      <c r="X72" s="15"/>
      <c r="Y72" s="15"/>
      <c r="Z72" s="15"/>
    </row>
    <row r="73">
      <c r="A73" s="15"/>
      <c r="B73" s="16">
        <v>11.0</v>
      </c>
      <c r="C73" s="15"/>
      <c r="D73" s="16" t="s">
        <v>625</v>
      </c>
      <c r="E73" s="16" t="s">
        <v>628</v>
      </c>
      <c r="F73" s="16" t="s">
        <v>627</v>
      </c>
      <c r="G73" s="16" t="s">
        <v>629</v>
      </c>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6">
        <v>12.0</v>
      </c>
      <c r="C75" s="15"/>
      <c r="D75" s="16" t="s">
        <v>630</v>
      </c>
      <c r="E75" s="16" t="s">
        <v>631</v>
      </c>
      <c r="F75" s="16" t="s">
        <v>626</v>
      </c>
      <c r="G75" s="16" t="s">
        <v>627</v>
      </c>
      <c r="H75" s="15"/>
      <c r="I75" s="15"/>
      <c r="J75" s="15"/>
      <c r="K75" s="15"/>
      <c r="L75" s="15"/>
      <c r="M75" s="15"/>
      <c r="N75" s="15"/>
      <c r="O75" s="15"/>
      <c r="P75" s="15"/>
      <c r="Q75" s="15"/>
      <c r="R75" s="15"/>
      <c r="S75" s="15"/>
      <c r="T75" s="15"/>
      <c r="U75" s="15"/>
      <c r="V75" s="15"/>
      <c r="W75" s="15"/>
      <c r="X75" s="15"/>
      <c r="Y75" s="15"/>
      <c r="Z75" s="15"/>
    </row>
    <row r="76">
      <c r="A76" s="15"/>
      <c r="B76" s="16">
        <v>12.0</v>
      </c>
      <c r="C76" s="15"/>
      <c r="D76" s="16" t="s">
        <v>631</v>
      </c>
      <c r="E76" s="16" t="s">
        <v>632</v>
      </c>
      <c r="F76" s="16" t="s">
        <v>627</v>
      </c>
      <c r="G76" s="16" t="s">
        <v>627</v>
      </c>
      <c r="H76" s="15"/>
      <c r="I76" s="15"/>
      <c r="J76" s="15"/>
      <c r="K76" s="15"/>
      <c r="L76" s="15"/>
      <c r="M76" s="15"/>
      <c r="N76" s="15"/>
      <c r="O76" s="15"/>
      <c r="P76" s="15"/>
      <c r="Q76" s="15"/>
      <c r="R76" s="15"/>
      <c r="S76" s="15"/>
      <c r="T76" s="15"/>
      <c r="U76" s="15"/>
      <c r="V76" s="15"/>
      <c r="W76" s="15"/>
      <c r="X76" s="15"/>
      <c r="Y76" s="15"/>
      <c r="Z76" s="15"/>
    </row>
    <row r="77">
      <c r="A77" s="15"/>
      <c r="B77" s="16">
        <v>12.0</v>
      </c>
      <c r="C77" s="15"/>
      <c r="D77" s="16" t="s">
        <v>632</v>
      </c>
      <c r="E77" s="16" t="s">
        <v>633</v>
      </c>
      <c r="F77" s="16" t="s">
        <v>627</v>
      </c>
      <c r="G77" s="16" t="s">
        <v>627</v>
      </c>
      <c r="H77" s="15"/>
      <c r="I77" s="15"/>
      <c r="J77" s="15"/>
      <c r="K77" s="15"/>
      <c r="L77" s="15"/>
      <c r="M77" s="15"/>
      <c r="N77" s="15"/>
      <c r="O77" s="15"/>
      <c r="P77" s="15"/>
      <c r="Q77" s="15"/>
      <c r="R77" s="15"/>
      <c r="S77" s="15"/>
      <c r="T77" s="15"/>
      <c r="U77" s="15"/>
      <c r="V77" s="15"/>
      <c r="W77" s="15"/>
      <c r="X77" s="15"/>
      <c r="Y77" s="15"/>
      <c r="Z77" s="15"/>
    </row>
    <row r="78">
      <c r="A78" s="15"/>
      <c r="B78" s="16">
        <v>12.0</v>
      </c>
      <c r="C78" s="15"/>
      <c r="D78" s="16" t="s">
        <v>633</v>
      </c>
      <c r="E78" s="16" t="s">
        <v>634</v>
      </c>
      <c r="F78" s="16" t="s">
        <v>627</v>
      </c>
      <c r="G78" s="16" t="s">
        <v>629</v>
      </c>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6">
        <v>13.0</v>
      </c>
      <c r="C80" s="15"/>
      <c r="D80" s="16" t="s">
        <v>635</v>
      </c>
      <c r="E80" s="16" t="s">
        <v>636</v>
      </c>
      <c r="F80" s="16" t="s">
        <v>637</v>
      </c>
      <c r="G80" s="16" t="s">
        <v>638</v>
      </c>
      <c r="H80" s="15"/>
      <c r="I80" s="15"/>
      <c r="J80" s="15"/>
      <c r="K80" s="15"/>
      <c r="L80" s="15"/>
      <c r="M80" s="15"/>
      <c r="N80" s="15"/>
      <c r="O80" s="15"/>
      <c r="P80" s="15"/>
      <c r="Q80" s="15"/>
      <c r="R80" s="15"/>
      <c r="S80" s="15"/>
      <c r="T80" s="15"/>
      <c r="U80" s="15"/>
      <c r="V80" s="15"/>
      <c r="W80" s="15"/>
      <c r="X80" s="15"/>
      <c r="Y80" s="15"/>
      <c r="Z80" s="15"/>
    </row>
    <row r="81">
      <c r="A81" s="15"/>
      <c r="B81" s="16">
        <v>13.0</v>
      </c>
      <c r="C81" s="15"/>
      <c r="D81" s="16" t="s">
        <v>636</v>
      </c>
      <c r="E81" s="16" t="s">
        <v>639</v>
      </c>
      <c r="F81" s="16" t="s">
        <v>638</v>
      </c>
      <c r="G81" s="16" t="s">
        <v>640</v>
      </c>
      <c r="H81" s="15"/>
      <c r="I81" s="15"/>
      <c r="J81" s="15"/>
      <c r="K81" s="15"/>
      <c r="L81" s="15"/>
      <c r="M81" s="15"/>
      <c r="N81" s="15"/>
      <c r="O81" s="15"/>
      <c r="P81" s="15"/>
      <c r="Q81" s="15"/>
      <c r="R81" s="15"/>
      <c r="S81" s="15"/>
      <c r="T81" s="15"/>
      <c r="U81" s="15"/>
      <c r="V81" s="15"/>
      <c r="W81" s="15"/>
      <c r="X81" s="15"/>
      <c r="Y81" s="15"/>
      <c r="Z81" s="15"/>
    </row>
    <row r="82">
      <c r="A82" s="15"/>
      <c r="B82" s="16">
        <v>13.0</v>
      </c>
      <c r="C82" s="15"/>
      <c r="D82" s="16" t="s">
        <v>639</v>
      </c>
      <c r="E82" s="16" t="s">
        <v>641</v>
      </c>
      <c r="F82" s="16" t="s">
        <v>640</v>
      </c>
      <c r="G82" s="16" t="s">
        <v>642</v>
      </c>
      <c r="H82" s="15"/>
      <c r="I82" s="15"/>
      <c r="J82" s="15"/>
      <c r="K82" s="15"/>
      <c r="L82" s="15"/>
      <c r="M82" s="15"/>
      <c r="N82" s="15"/>
      <c r="O82" s="15"/>
      <c r="P82" s="15"/>
      <c r="Q82" s="15"/>
      <c r="R82" s="15"/>
      <c r="S82" s="15"/>
      <c r="T82" s="15"/>
      <c r="U82" s="15"/>
      <c r="V82" s="15"/>
      <c r="W82" s="15"/>
      <c r="X82" s="15"/>
      <c r="Y82" s="15"/>
      <c r="Z82" s="15"/>
    </row>
    <row r="83">
      <c r="A83" s="15"/>
      <c r="B83" s="16">
        <v>13.0</v>
      </c>
      <c r="C83" s="15"/>
      <c r="D83" s="16" t="s">
        <v>641</v>
      </c>
      <c r="E83" s="16" t="s">
        <v>643</v>
      </c>
      <c r="F83" s="16" t="s">
        <v>642</v>
      </c>
      <c r="G83" s="16" t="s">
        <v>644</v>
      </c>
      <c r="H83" s="15"/>
      <c r="I83" s="15"/>
      <c r="J83" s="15"/>
      <c r="K83" s="15"/>
      <c r="L83" s="15"/>
      <c r="M83" s="15"/>
      <c r="N83" s="15"/>
      <c r="O83" s="15"/>
      <c r="P83" s="15"/>
      <c r="Q83" s="15"/>
      <c r="R83" s="15"/>
      <c r="S83" s="15"/>
      <c r="T83" s="15"/>
      <c r="U83" s="15"/>
      <c r="V83" s="15"/>
      <c r="W83" s="15"/>
      <c r="X83" s="15"/>
      <c r="Y83" s="15"/>
      <c r="Z83" s="15"/>
    </row>
    <row r="84">
      <c r="A84" s="15"/>
      <c r="B84" s="16">
        <v>13.0</v>
      </c>
      <c r="C84" s="15"/>
      <c r="D84" s="16" t="s">
        <v>643</v>
      </c>
      <c r="E84" s="16" t="s">
        <v>645</v>
      </c>
      <c r="F84" s="16" t="s">
        <v>644</v>
      </c>
      <c r="G84" s="16" t="s">
        <v>646</v>
      </c>
      <c r="H84" s="15"/>
      <c r="I84" s="15"/>
      <c r="J84" s="15"/>
      <c r="K84" s="15"/>
      <c r="L84" s="15"/>
      <c r="M84" s="15"/>
      <c r="N84" s="15"/>
      <c r="O84" s="15"/>
      <c r="P84" s="15"/>
      <c r="Q84" s="15"/>
      <c r="R84" s="15"/>
      <c r="S84" s="15"/>
      <c r="T84" s="15"/>
      <c r="U84" s="15"/>
      <c r="V84" s="15"/>
      <c r="W84" s="15"/>
      <c r="X84" s="15"/>
      <c r="Y84" s="15"/>
      <c r="Z84" s="15"/>
    </row>
    <row r="85">
      <c r="A85" s="15"/>
      <c r="B85" s="16">
        <v>13.0</v>
      </c>
      <c r="C85" s="15"/>
      <c r="D85" s="16" t="s">
        <v>645</v>
      </c>
      <c r="E85" s="16" t="s">
        <v>647</v>
      </c>
      <c r="F85" s="16" t="s">
        <v>646</v>
      </c>
      <c r="G85" s="16" t="s">
        <v>648</v>
      </c>
      <c r="H85" s="15"/>
      <c r="I85" s="15"/>
      <c r="J85" s="15"/>
      <c r="K85" s="15"/>
      <c r="L85" s="15"/>
      <c r="M85" s="15"/>
      <c r="N85" s="15"/>
      <c r="O85" s="15"/>
      <c r="P85" s="15"/>
      <c r="Q85" s="15"/>
      <c r="R85" s="15"/>
      <c r="S85" s="15"/>
      <c r="T85" s="15"/>
      <c r="U85" s="15"/>
      <c r="V85" s="15"/>
      <c r="W85" s="15"/>
      <c r="X85" s="15"/>
      <c r="Y85" s="15"/>
      <c r="Z85" s="15"/>
    </row>
    <row r="86">
      <c r="A86" s="15"/>
      <c r="B86" s="16">
        <v>13.0</v>
      </c>
      <c r="C86" s="15"/>
      <c r="D86" s="16" t="s">
        <v>647</v>
      </c>
      <c r="E86" s="16" t="s">
        <v>649</v>
      </c>
      <c r="F86" s="16" t="s">
        <v>648</v>
      </c>
      <c r="G86" s="16" t="s">
        <v>650</v>
      </c>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6">
        <v>14.0</v>
      </c>
      <c r="C88" s="15"/>
      <c r="D88" s="16" t="s">
        <v>651</v>
      </c>
      <c r="E88" s="16" t="s">
        <v>652</v>
      </c>
      <c r="F88" s="16" t="s">
        <v>653</v>
      </c>
      <c r="G88" s="16" t="s">
        <v>653</v>
      </c>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6">
        <v>15.0</v>
      </c>
      <c r="C90" s="15"/>
      <c r="D90" s="16" t="s">
        <v>654</v>
      </c>
      <c r="E90" s="16" t="s">
        <v>655</v>
      </c>
      <c r="F90" s="16" t="s">
        <v>656</v>
      </c>
      <c r="G90" s="16" t="s">
        <v>656</v>
      </c>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6">
        <v>16.0</v>
      </c>
      <c r="C92" s="15"/>
      <c r="D92" s="16" t="s">
        <v>657</v>
      </c>
      <c r="E92" s="16" t="s">
        <v>658</v>
      </c>
      <c r="F92" s="16" t="s">
        <v>659</v>
      </c>
      <c r="G92" s="16" t="s">
        <v>660</v>
      </c>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6">
        <v>17.0</v>
      </c>
      <c r="C94" s="15"/>
      <c r="D94" s="16" t="s">
        <v>661</v>
      </c>
      <c r="E94" s="16" t="s">
        <v>662</v>
      </c>
      <c r="F94" s="16" t="s">
        <v>506</v>
      </c>
      <c r="G94" s="16" t="s">
        <v>372</v>
      </c>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6" t="s">
        <v>663</v>
      </c>
      <c r="B1" s="16" t="s">
        <v>664</v>
      </c>
      <c r="C1" s="16" t="s">
        <v>665</v>
      </c>
      <c r="D1" s="16" t="s">
        <v>36</v>
      </c>
      <c r="E1" s="16" t="s">
        <v>666</v>
      </c>
      <c r="F1" s="16" t="s">
        <v>667</v>
      </c>
      <c r="G1" s="16" t="s">
        <v>668</v>
      </c>
      <c r="H1" s="16" t="s">
        <v>669</v>
      </c>
      <c r="I1" s="15"/>
      <c r="J1" s="15"/>
      <c r="K1" s="15"/>
      <c r="L1" s="15"/>
      <c r="M1" s="15"/>
      <c r="N1" s="15"/>
      <c r="O1" s="15"/>
      <c r="P1" s="15"/>
      <c r="Q1" s="15"/>
      <c r="R1" s="15"/>
      <c r="S1" s="15"/>
      <c r="T1" s="15"/>
      <c r="U1" s="15"/>
      <c r="V1" s="15"/>
      <c r="W1" s="15"/>
      <c r="X1" s="15"/>
      <c r="Y1" s="15"/>
      <c r="Z1" s="15"/>
    </row>
    <row r="2">
      <c r="A2" s="15"/>
      <c r="B2" s="15"/>
      <c r="C2" s="15"/>
      <c r="D2" s="15"/>
      <c r="E2" s="16" t="s">
        <v>670</v>
      </c>
      <c r="F2" s="16" t="s">
        <v>671</v>
      </c>
      <c r="G2" s="16" t="s">
        <v>672</v>
      </c>
      <c r="H2" s="16" t="s">
        <v>673</v>
      </c>
      <c r="I2" s="15"/>
      <c r="J2" s="15"/>
      <c r="K2" s="15"/>
      <c r="L2" s="15"/>
      <c r="M2" s="15"/>
      <c r="N2" s="15"/>
      <c r="O2" s="15"/>
      <c r="P2" s="15"/>
      <c r="Q2" s="15"/>
      <c r="R2" s="15"/>
      <c r="S2" s="15"/>
      <c r="T2" s="15"/>
      <c r="U2" s="15"/>
      <c r="V2" s="15"/>
      <c r="W2" s="15"/>
      <c r="X2" s="15"/>
      <c r="Y2" s="15"/>
      <c r="Z2" s="15"/>
    </row>
    <row r="3">
      <c r="A3" s="16">
        <v>1.0</v>
      </c>
      <c r="B3" s="16" t="s">
        <v>674</v>
      </c>
      <c r="C3" s="16" t="s">
        <v>675</v>
      </c>
      <c r="D3" s="16" t="s">
        <v>676</v>
      </c>
      <c r="E3" s="16">
        <v>964.0</v>
      </c>
      <c r="F3" s="15"/>
      <c r="G3" s="16">
        <v>100.0</v>
      </c>
      <c r="H3" s="16">
        <v>100.0</v>
      </c>
      <c r="I3" s="15"/>
      <c r="J3" s="15"/>
      <c r="K3" s="15"/>
      <c r="L3" s="15"/>
      <c r="M3" s="15"/>
      <c r="N3" s="15"/>
      <c r="O3" s="15"/>
      <c r="P3" s="15"/>
      <c r="Q3" s="15"/>
      <c r="R3" s="15"/>
      <c r="S3" s="15"/>
      <c r="T3" s="15"/>
      <c r="U3" s="15"/>
      <c r="V3" s="15"/>
      <c r="W3" s="15"/>
      <c r="X3" s="15"/>
      <c r="Y3" s="15"/>
      <c r="Z3" s="15"/>
    </row>
    <row r="4">
      <c r="A4" s="16">
        <v>2.0</v>
      </c>
      <c r="B4" s="16" t="s">
        <v>674</v>
      </c>
      <c r="C4" s="16" t="s">
        <v>675</v>
      </c>
      <c r="D4" s="16" t="s">
        <v>676</v>
      </c>
      <c r="E4" s="16">
        <v>240.0</v>
      </c>
      <c r="F4" s="16">
        <v>28500.0</v>
      </c>
      <c r="G4" s="15"/>
      <c r="H4" s="15"/>
      <c r="I4" s="15"/>
      <c r="J4" s="15"/>
      <c r="K4" s="15"/>
      <c r="L4" s="15"/>
      <c r="M4" s="15"/>
      <c r="N4" s="15"/>
      <c r="O4" s="15"/>
      <c r="P4" s="15"/>
      <c r="Q4" s="15"/>
      <c r="R4" s="15"/>
      <c r="S4" s="15"/>
      <c r="T4" s="15"/>
      <c r="U4" s="15"/>
      <c r="V4" s="15"/>
      <c r="W4" s="15"/>
      <c r="X4" s="15"/>
      <c r="Y4" s="15"/>
      <c r="Z4" s="15"/>
    </row>
    <row r="5">
      <c r="A5" s="16">
        <v>3.0</v>
      </c>
      <c r="B5" s="16" t="s">
        <v>674</v>
      </c>
      <c r="C5" s="16" t="s">
        <v>677</v>
      </c>
      <c r="D5" s="15"/>
      <c r="E5" s="16">
        <v>14.0</v>
      </c>
      <c r="F5" s="15"/>
      <c r="G5" s="15"/>
      <c r="H5" s="15"/>
      <c r="I5" s="15"/>
      <c r="J5" s="15"/>
      <c r="K5" s="15"/>
      <c r="L5" s="15"/>
      <c r="M5" s="15"/>
      <c r="N5" s="15"/>
      <c r="O5" s="15"/>
      <c r="P5" s="15"/>
      <c r="Q5" s="15"/>
      <c r="R5" s="15"/>
      <c r="S5" s="15"/>
      <c r="T5" s="15"/>
      <c r="U5" s="15"/>
      <c r="V5" s="15"/>
      <c r="W5" s="15"/>
      <c r="X5" s="15"/>
      <c r="Y5" s="15"/>
      <c r="Z5" s="15"/>
    </row>
    <row r="6">
      <c r="A6" s="16">
        <v>4.0</v>
      </c>
      <c r="B6" s="16" t="s">
        <v>674</v>
      </c>
      <c r="C6" s="16" t="s">
        <v>678</v>
      </c>
      <c r="D6" s="15"/>
      <c r="E6" s="16">
        <v>37.0</v>
      </c>
      <c r="F6" s="15"/>
      <c r="G6" s="15"/>
      <c r="H6" s="15"/>
      <c r="I6" s="15"/>
      <c r="J6" s="15"/>
      <c r="K6" s="15"/>
      <c r="L6" s="15"/>
      <c r="M6" s="15"/>
      <c r="N6" s="15"/>
      <c r="O6" s="15"/>
      <c r="P6" s="15"/>
      <c r="Q6" s="15"/>
      <c r="R6" s="15"/>
      <c r="S6" s="15"/>
      <c r="T6" s="15"/>
      <c r="U6" s="15"/>
      <c r="V6" s="15"/>
      <c r="W6" s="15"/>
      <c r="X6" s="15"/>
      <c r="Y6" s="15"/>
      <c r="Z6" s="15"/>
    </row>
    <row r="7">
      <c r="A7" s="16">
        <v>5.0</v>
      </c>
      <c r="B7" s="16" t="s">
        <v>674</v>
      </c>
      <c r="C7" s="16" t="s">
        <v>677</v>
      </c>
      <c r="D7" s="16" t="s">
        <v>676</v>
      </c>
      <c r="E7" s="16">
        <v>57.0</v>
      </c>
      <c r="F7" s="15"/>
      <c r="G7" s="15"/>
      <c r="H7" s="15"/>
      <c r="I7" s="15"/>
      <c r="J7" s="15"/>
      <c r="K7" s="15"/>
      <c r="L7" s="15"/>
      <c r="M7" s="15"/>
      <c r="N7" s="15"/>
      <c r="O7" s="15"/>
      <c r="P7" s="15"/>
      <c r="Q7" s="15"/>
      <c r="R7" s="15"/>
      <c r="S7" s="15"/>
      <c r="T7" s="15"/>
      <c r="U7" s="15"/>
      <c r="V7" s="15"/>
      <c r="W7" s="15"/>
      <c r="X7" s="15"/>
      <c r="Y7" s="15"/>
      <c r="Z7" s="15"/>
    </row>
    <row r="8">
      <c r="A8" s="16">
        <v>6.0</v>
      </c>
      <c r="B8" s="16" t="s">
        <v>674</v>
      </c>
      <c r="C8" s="16" t="s">
        <v>677</v>
      </c>
      <c r="D8" s="16" t="s">
        <v>676</v>
      </c>
      <c r="E8" s="16">
        <v>5.0</v>
      </c>
      <c r="F8" s="15"/>
      <c r="G8" s="15"/>
      <c r="H8" s="15"/>
      <c r="I8" s="15"/>
      <c r="J8" s="15"/>
      <c r="K8" s="15"/>
      <c r="L8" s="15"/>
      <c r="M8" s="15"/>
      <c r="N8" s="15"/>
      <c r="O8" s="15"/>
      <c r="P8" s="15"/>
      <c r="Q8" s="15"/>
      <c r="R8" s="15"/>
      <c r="S8" s="15"/>
      <c r="T8" s="15"/>
      <c r="U8" s="15"/>
      <c r="V8" s="15"/>
      <c r="W8" s="15"/>
      <c r="X8" s="15"/>
      <c r="Y8" s="15"/>
      <c r="Z8" s="15"/>
    </row>
    <row r="9">
      <c r="A9" s="16">
        <v>7.0</v>
      </c>
      <c r="B9" s="16" t="s">
        <v>674</v>
      </c>
      <c r="C9" s="16" t="s">
        <v>679</v>
      </c>
      <c r="D9" s="15"/>
      <c r="E9" s="16">
        <v>5.0</v>
      </c>
      <c r="F9" s="15"/>
      <c r="G9" s="15"/>
      <c r="H9" s="15"/>
      <c r="I9" s="15"/>
      <c r="J9" s="15"/>
      <c r="K9" s="15"/>
      <c r="L9" s="15"/>
      <c r="M9" s="15"/>
      <c r="N9" s="15"/>
      <c r="O9" s="15"/>
      <c r="P9" s="15"/>
      <c r="Q9" s="15"/>
      <c r="R9" s="15"/>
      <c r="S9" s="15"/>
      <c r="T9" s="15"/>
      <c r="U9" s="15"/>
      <c r="V9" s="15"/>
      <c r="W9" s="15"/>
      <c r="X9" s="15"/>
      <c r="Y9" s="15"/>
      <c r="Z9" s="15"/>
    </row>
    <row r="10">
      <c r="A10" s="16">
        <v>8.0</v>
      </c>
      <c r="B10" s="16" t="s">
        <v>674</v>
      </c>
      <c r="C10" s="16" t="s">
        <v>677</v>
      </c>
      <c r="D10" s="15"/>
      <c r="E10" s="16">
        <v>2.0</v>
      </c>
      <c r="F10" s="15"/>
      <c r="G10" s="15"/>
      <c r="H10" s="15"/>
      <c r="I10" s="15"/>
      <c r="J10" s="15"/>
      <c r="K10" s="15"/>
      <c r="L10" s="15"/>
      <c r="M10" s="15"/>
      <c r="N10" s="15"/>
      <c r="O10" s="15"/>
      <c r="P10" s="15"/>
      <c r="Q10" s="15"/>
      <c r="R10" s="15"/>
      <c r="S10" s="15"/>
      <c r="T10" s="15"/>
      <c r="U10" s="15"/>
      <c r="V10" s="15"/>
      <c r="W10" s="15"/>
      <c r="X10" s="15"/>
      <c r="Y10" s="15"/>
      <c r="Z10" s="15"/>
    </row>
    <row r="11">
      <c r="A11" s="16">
        <v>9.0</v>
      </c>
      <c r="B11" s="16" t="s">
        <v>674</v>
      </c>
      <c r="C11" s="16" t="s">
        <v>679</v>
      </c>
      <c r="D11" s="16" t="s">
        <v>676</v>
      </c>
      <c r="E11" s="16">
        <v>6.0</v>
      </c>
      <c r="F11" s="15"/>
      <c r="G11" s="15"/>
      <c r="H11" s="15"/>
      <c r="I11" s="15"/>
      <c r="J11" s="15"/>
      <c r="K11" s="15"/>
      <c r="L11" s="15"/>
      <c r="M11" s="15"/>
      <c r="N11" s="15"/>
      <c r="O11" s="15"/>
      <c r="P11" s="15"/>
      <c r="Q11" s="15"/>
      <c r="R11" s="15"/>
      <c r="S11" s="15"/>
      <c r="T11" s="15"/>
      <c r="U11" s="15"/>
      <c r="V11" s="15"/>
      <c r="W11" s="15"/>
      <c r="X11" s="15"/>
      <c r="Y11" s="15"/>
      <c r="Z11" s="15"/>
    </row>
    <row r="12">
      <c r="A12" s="16">
        <v>10.0</v>
      </c>
      <c r="B12" s="16" t="s">
        <v>680</v>
      </c>
      <c r="C12" s="16" t="s">
        <v>681</v>
      </c>
      <c r="D12" s="16" t="s">
        <v>676</v>
      </c>
      <c r="E12" s="16">
        <v>135.0</v>
      </c>
      <c r="F12" s="15"/>
      <c r="G12" s="15"/>
      <c r="H12" s="15"/>
      <c r="I12" s="15"/>
      <c r="J12" s="15"/>
      <c r="K12" s="15"/>
      <c r="L12" s="15"/>
      <c r="M12" s="15"/>
      <c r="N12" s="15"/>
      <c r="O12" s="15"/>
      <c r="P12" s="15"/>
      <c r="Q12" s="15"/>
      <c r="R12" s="15"/>
      <c r="S12" s="15"/>
      <c r="T12" s="15"/>
      <c r="U12" s="15"/>
      <c r="V12" s="15"/>
      <c r="W12" s="15"/>
      <c r="X12" s="15"/>
      <c r="Y12" s="15"/>
      <c r="Z12" s="15"/>
    </row>
    <row r="13">
      <c r="A13" s="16">
        <v>11.0</v>
      </c>
      <c r="B13" s="16" t="s">
        <v>680</v>
      </c>
      <c r="C13" s="16" t="s">
        <v>677</v>
      </c>
      <c r="D13" s="16" t="s">
        <v>676</v>
      </c>
      <c r="E13" s="16">
        <v>17.0</v>
      </c>
      <c r="F13" s="15"/>
      <c r="G13" s="15"/>
      <c r="H13" s="16">
        <v>50.0</v>
      </c>
      <c r="I13" s="15"/>
      <c r="J13" s="15"/>
      <c r="K13" s="15"/>
      <c r="L13" s="15"/>
      <c r="M13" s="15"/>
      <c r="N13" s="15"/>
      <c r="O13" s="15"/>
      <c r="P13" s="15"/>
      <c r="Q13" s="15"/>
      <c r="R13" s="15"/>
      <c r="S13" s="15"/>
      <c r="T13" s="15"/>
      <c r="U13" s="15"/>
      <c r="V13" s="15"/>
      <c r="W13" s="15"/>
      <c r="X13" s="15"/>
      <c r="Y13" s="15"/>
      <c r="Z13" s="15"/>
    </row>
    <row r="14">
      <c r="A14" s="16">
        <v>12.0</v>
      </c>
      <c r="B14" s="16" t="s">
        <v>682</v>
      </c>
      <c r="C14" s="16" t="s">
        <v>677</v>
      </c>
      <c r="D14" s="16" t="s">
        <v>676</v>
      </c>
      <c r="E14" s="16">
        <v>5.0</v>
      </c>
      <c r="F14" s="15"/>
      <c r="G14" s="15"/>
      <c r="H14" s="15"/>
      <c r="I14" s="15"/>
      <c r="J14" s="15"/>
      <c r="K14" s="15"/>
      <c r="L14" s="15"/>
      <c r="M14" s="15"/>
      <c r="N14" s="15"/>
      <c r="O14" s="15"/>
      <c r="P14" s="15"/>
      <c r="Q14" s="15"/>
      <c r="R14" s="15"/>
      <c r="S14" s="15"/>
      <c r="T14" s="15"/>
      <c r="U14" s="15"/>
      <c r="V14" s="15"/>
      <c r="W14" s="15"/>
      <c r="X14" s="15"/>
      <c r="Y14" s="15"/>
      <c r="Z14" s="15"/>
    </row>
    <row r="15">
      <c r="A15" s="16">
        <v>13.0</v>
      </c>
      <c r="B15" s="16" t="s">
        <v>682</v>
      </c>
      <c r="C15" s="16" t="s">
        <v>675</v>
      </c>
      <c r="D15" s="16" t="s">
        <v>676</v>
      </c>
      <c r="E15" s="16">
        <v>50.0</v>
      </c>
      <c r="F15" s="15"/>
      <c r="G15" s="15"/>
      <c r="H15" s="15"/>
      <c r="I15" s="15"/>
      <c r="J15" s="15"/>
      <c r="K15" s="15"/>
      <c r="L15" s="15"/>
      <c r="M15" s="15"/>
      <c r="N15" s="15"/>
      <c r="O15" s="15"/>
      <c r="P15" s="15"/>
      <c r="Q15" s="15"/>
      <c r="R15" s="15"/>
      <c r="S15" s="15"/>
      <c r="T15" s="15"/>
      <c r="U15" s="15"/>
      <c r="V15" s="15"/>
      <c r="W15" s="15"/>
      <c r="X15" s="15"/>
      <c r="Y15" s="15"/>
      <c r="Z15" s="15"/>
    </row>
    <row r="16">
      <c r="A16" s="16">
        <v>14.0</v>
      </c>
      <c r="B16" s="16" t="s">
        <v>682</v>
      </c>
      <c r="C16" s="16" t="s">
        <v>677</v>
      </c>
      <c r="D16" s="16" t="s">
        <v>676</v>
      </c>
      <c r="E16" s="16">
        <v>2.0</v>
      </c>
      <c r="F16" s="15"/>
      <c r="G16" s="15"/>
      <c r="H16" s="15"/>
      <c r="I16" s="15"/>
      <c r="J16" s="15"/>
      <c r="K16" s="15"/>
      <c r="L16" s="15"/>
      <c r="M16" s="15"/>
      <c r="N16" s="15"/>
      <c r="O16" s="15"/>
      <c r="P16" s="15"/>
      <c r="Q16" s="15"/>
      <c r="R16" s="15"/>
      <c r="S16" s="15"/>
      <c r="T16" s="15"/>
      <c r="U16" s="15"/>
      <c r="V16" s="15"/>
      <c r="W16" s="15"/>
      <c r="X16" s="15"/>
      <c r="Y16" s="15"/>
      <c r="Z16" s="15"/>
    </row>
    <row r="17">
      <c r="A17" s="16">
        <v>15.0</v>
      </c>
      <c r="B17" s="16" t="s">
        <v>683</v>
      </c>
      <c r="C17" s="16" t="s">
        <v>677</v>
      </c>
      <c r="D17" s="16" t="s">
        <v>676</v>
      </c>
      <c r="E17" s="16">
        <v>18.0</v>
      </c>
      <c r="F17" s="16">
        <v>2000.0</v>
      </c>
      <c r="G17" s="16" t="s">
        <v>684</v>
      </c>
      <c r="H17" s="16">
        <v>28.0</v>
      </c>
      <c r="I17" s="15"/>
      <c r="J17" s="15"/>
      <c r="K17" s="15"/>
      <c r="L17" s="15"/>
      <c r="M17" s="15"/>
      <c r="N17" s="15"/>
      <c r="O17" s="15"/>
      <c r="P17" s="15"/>
      <c r="Q17" s="15"/>
      <c r="R17" s="15"/>
      <c r="S17" s="15"/>
      <c r="T17" s="15"/>
      <c r="U17" s="15"/>
      <c r="V17" s="15"/>
      <c r="W17" s="15"/>
      <c r="X17" s="15"/>
      <c r="Y17" s="15"/>
      <c r="Z17" s="15"/>
    </row>
    <row r="18">
      <c r="A18" s="16">
        <v>16.0</v>
      </c>
      <c r="B18" s="16" t="s">
        <v>685</v>
      </c>
      <c r="C18" s="16" t="s">
        <v>677</v>
      </c>
      <c r="D18" s="16" t="s">
        <v>676</v>
      </c>
      <c r="E18" s="16">
        <v>12.0</v>
      </c>
      <c r="F18" s="15"/>
      <c r="G18" s="15"/>
      <c r="H18" s="15"/>
      <c r="I18" s="15"/>
      <c r="J18" s="15"/>
      <c r="K18" s="15"/>
      <c r="L18" s="15"/>
      <c r="M18" s="15"/>
      <c r="N18" s="15"/>
      <c r="O18" s="15"/>
      <c r="P18" s="15"/>
      <c r="Q18" s="15"/>
      <c r="R18" s="15"/>
      <c r="S18" s="15"/>
      <c r="T18" s="15"/>
      <c r="U18" s="15"/>
      <c r="V18" s="15"/>
      <c r="W18" s="15"/>
      <c r="X18" s="15"/>
      <c r="Y18" s="15"/>
      <c r="Z18" s="15"/>
    </row>
    <row r="19">
      <c r="A19" s="16">
        <v>17.0</v>
      </c>
      <c r="B19" s="16" t="s">
        <v>686</v>
      </c>
      <c r="C19" s="16" t="s">
        <v>677</v>
      </c>
      <c r="D19" s="16" t="s">
        <v>676</v>
      </c>
      <c r="E19" s="16">
        <v>12.0</v>
      </c>
      <c r="F19" s="15"/>
      <c r="G19" s="15"/>
      <c r="H19" s="15"/>
      <c r="I19" s="15"/>
      <c r="J19" s="15"/>
      <c r="K19" s="15"/>
      <c r="L19" s="15"/>
      <c r="M19" s="15"/>
      <c r="N19" s="15"/>
      <c r="O19" s="15"/>
      <c r="P19" s="15"/>
      <c r="Q19" s="15"/>
      <c r="R19" s="15"/>
      <c r="S19" s="15"/>
      <c r="T19" s="15"/>
      <c r="U19" s="15"/>
      <c r="V19" s="15"/>
      <c r="W19" s="15"/>
      <c r="X19" s="15"/>
      <c r="Y19" s="15"/>
      <c r="Z19" s="15"/>
    </row>
    <row r="20">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row>
    <row r="21">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row>
    <row r="22">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6" t="s">
        <v>687</v>
      </c>
      <c r="B1" s="16" t="s">
        <v>41</v>
      </c>
      <c r="C1" s="16" t="s">
        <v>688</v>
      </c>
      <c r="D1" s="16" t="s">
        <v>689</v>
      </c>
      <c r="E1" s="16" t="s">
        <v>47</v>
      </c>
      <c r="F1" s="16" t="s">
        <v>46</v>
      </c>
      <c r="G1" s="15"/>
      <c r="H1" s="15"/>
      <c r="I1" s="15"/>
      <c r="J1" s="15"/>
      <c r="K1" s="15"/>
      <c r="L1" s="15"/>
      <c r="M1" s="15"/>
      <c r="N1" s="15"/>
      <c r="O1" s="15"/>
      <c r="P1" s="15"/>
      <c r="Q1" s="15"/>
      <c r="R1" s="15"/>
      <c r="S1" s="15"/>
      <c r="T1" s="15"/>
      <c r="U1" s="15"/>
      <c r="V1" s="15"/>
      <c r="W1" s="15"/>
      <c r="X1" s="15"/>
      <c r="Y1" s="15"/>
      <c r="Z1" s="15"/>
    </row>
    <row r="2">
      <c r="A2" s="16" t="s">
        <v>243</v>
      </c>
      <c r="B2" s="16">
        <v>2023.0</v>
      </c>
      <c r="C2" s="16" t="s">
        <v>690</v>
      </c>
      <c r="D2" s="16" t="s">
        <v>691</v>
      </c>
      <c r="E2" s="16">
        <v>5.183333</v>
      </c>
      <c r="F2" s="16">
        <v>46.333333</v>
      </c>
      <c r="G2" s="15"/>
      <c r="H2" s="15"/>
      <c r="I2" s="15"/>
      <c r="J2" s="15"/>
      <c r="K2" s="15"/>
      <c r="L2" s="15"/>
      <c r="M2" s="15"/>
      <c r="N2" s="15"/>
      <c r="O2" s="15"/>
      <c r="P2" s="15"/>
      <c r="Q2" s="15"/>
      <c r="R2" s="15"/>
      <c r="S2" s="15"/>
      <c r="T2" s="15"/>
      <c r="U2" s="15"/>
      <c r="V2" s="15"/>
      <c r="W2" s="15"/>
      <c r="X2" s="15"/>
      <c r="Y2" s="15"/>
      <c r="Z2" s="15"/>
    </row>
    <row r="3">
      <c r="A3" s="16" t="s">
        <v>692</v>
      </c>
      <c r="B3" s="16">
        <v>2022.0</v>
      </c>
      <c r="C3" s="16" t="s">
        <v>693</v>
      </c>
      <c r="D3" s="16" t="s">
        <v>694</v>
      </c>
      <c r="E3" s="16">
        <v>22.180547</v>
      </c>
      <c r="F3" s="16">
        <v>65.571661</v>
      </c>
      <c r="G3" s="15"/>
      <c r="H3" s="15"/>
      <c r="I3" s="15"/>
      <c r="J3" s="15"/>
      <c r="K3" s="15"/>
      <c r="L3" s="15"/>
      <c r="M3" s="15"/>
      <c r="N3" s="15"/>
      <c r="O3" s="15"/>
      <c r="P3" s="15"/>
      <c r="Q3" s="15"/>
      <c r="R3" s="15"/>
      <c r="S3" s="15"/>
      <c r="T3" s="15"/>
      <c r="U3" s="15"/>
      <c r="V3" s="15"/>
      <c r="W3" s="15"/>
      <c r="X3" s="15"/>
      <c r="Y3" s="15"/>
      <c r="Z3" s="15"/>
    </row>
    <row r="4">
      <c r="A4" s="16" t="s">
        <v>695</v>
      </c>
      <c r="B4" s="16">
        <v>2023.0</v>
      </c>
      <c r="C4" s="16" t="s">
        <v>690</v>
      </c>
      <c r="D4" s="16" t="s">
        <v>696</v>
      </c>
      <c r="E4" s="16">
        <v>13.807883</v>
      </c>
      <c r="F4" s="16">
        <v>52.473854</v>
      </c>
      <c r="G4" s="15"/>
      <c r="H4" s="15"/>
      <c r="I4" s="15"/>
      <c r="J4" s="15"/>
      <c r="K4" s="15"/>
      <c r="L4" s="15"/>
      <c r="M4" s="15"/>
      <c r="N4" s="15"/>
      <c r="O4" s="15"/>
      <c r="P4" s="15"/>
      <c r="Q4" s="15"/>
      <c r="R4" s="15"/>
      <c r="S4" s="15"/>
      <c r="T4" s="15"/>
      <c r="U4" s="15"/>
      <c r="V4" s="15"/>
      <c r="W4" s="15"/>
      <c r="X4" s="15"/>
      <c r="Y4" s="15"/>
      <c r="Z4" s="15"/>
    </row>
    <row r="5">
      <c r="A5" s="16" t="s">
        <v>697</v>
      </c>
      <c r="B5" s="16">
        <v>2023.0</v>
      </c>
      <c r="C5" s="16" t="s">
        <v>698</v>
      </c>
      <c r="D5" s="16" t="s">
        <v>699</v>
      </c>
      <c r="E5" s="16">
        <v>13.53257133</v>
      </c>
      <c r="F5" s="16">
        <v>47.96799706</v>
      </c>
      <c r="G5" s="15"/>
      <c r="H5" s="15"/>
      <c r="I5" s="15"/>
      <c r="J5" s="15"/>
      <c r="K5" s="15"/>
      <c r="L5" s="15"/>
      <c r="M5" s="15"/>
      <c r="N5" s="15"/>
      <c r="O5" s="15"/>
      <c r="P5" s="15"/>
      <c r="Q5" s="15"/>
      <c r="R5" s="15"/>
      <c r="S5" s="15"/>
      <c r="T5" s="15"/>
      <c r="U5" s="15"/>
      <c r="V5" s="15"/>
      <c r="W5" s="15"/>
      <c r="X5" s="15"/>
      <c r="Y5" s="15"/>
      <c r="Z5" s="15"/>
    </row>
    <row r="6">
      <c r="A6" s="15"/>
      <c r="B6" s="15"/>
      <c r="C6" s="15"/>
      <c r="D6" s="15"/>
      <c r="E6" s="15"/>
      <c r="F6" s="15"/>
      <c r="G6" s="15"/>
      <c r="H6" s="15"/>
      <c r="I6" s="15"/>
      <c r="J6" s="15"/>
      <c r="K6" s="15"/>
      <c r="L6" s="15"/>
      <c r="M6" s="15"/>
      <c r="N6" s="15"/>
      <c r="O6" s="15"/>
      <c r="P6" s="15"/>
      <c r="Q6" s="15"/>
      <c r="R6" s="15"/>
      <c r="S6" s="15"/>
      <c r="T6" s="15"/>
      <c r="U6" s="15"/>
      <c r="V6" s="15"/>
      <c r="W6" s="15"/>
      <c r="X6" s="15"/>
      <c r="Y6" s="15"/>
      <c r="Z6" s="15"/>
    </row>
    <row r="7">
      <c r="A7" s="15"/>
      <c r="B7" s="15"/>
      <c r="C7" s="15"/>
      <c r="D7" s="15"/>
      <c r="E7" s="15"/>
      <c r="F7" s="15"/>
      <c r="G7" s="15"/>
      <c r="H7" s="15"/>
      <c r="I7" s="15"/>
      <c r="J7" s="15"/>
      <c r="K7" s="15"/>
      <c r="L7" s="15"/>
      <c r="M7" s="15"/>
      <c r="N7" s="15"/>
      <c r="O7" s="15"/>
      <c r="P7" s="15"/>
      <c r="Q7" s="15"/>
      <c r="R7" s="15"/>
      <c r="S7" s="15"/>
      <c r="T7" s="15"/>
      <c r="U7" s="15"/>
      <c r="V7" s="15"/>
      <c r="W7" s="15"/>
      <c r="X7" s="15"/>
      <c r="Y7" s="15"/>
      <c r="Z7" s="15"/>
    </row>
    <row r="8">
      <c r="A8" s="15"/>
      <c r="B8" s="15"/>
      <c r="C8" s="15"/>
      <c r="D8" s="15"/>
      <c r="E8" s="15"/>
      <c r="F8" s="15"/>
      <c r="G8" s="15"/>
      <c r="H8" s="15"/>
      <c r="I8" s="15"/>
      <c r="J8" s="15"/>
      <c r="K8" s="15"/>
      <c r="L8" s="15"/>
      <c r="M8" s="15"/>
      <c r="N8" s="15"/>
      <c r="O8" s="15"/>
      <c r="P8" s="15"/>
      <c r="Q8" s="15"/>
      <c r="R8" s="15"/>
      <c r="S8" s="15"/>
      <c r="T8" s="15"/>
      <c r="U8" s="15"/>
      <c r="V8" s="15"/>
      <c r="W8" s="15"/>
      <c r="X8" s="15"/>
      <c r="Y8" s="15"/>
      <c r="Z8" s="15"/>
    </row>
    <row r="9">
      <c r="A9" s="15"/>
      <c r="B9" s="15"/>
      <c r="C9" s="15"/>
      <c r="D9" s="15"/>
      <c r="E9" s="15"/>
      <c r="F9" s="15"/>
      <c r="G9" s="15"/>
      <c r="H9" s="15"/>
      <c r="I9" s="15"/>
      <c r="J9" s="15"/>
      <c r="K9" s="15"/>
      <c r="L9" s="15"/>
      <c r="M9" s="15"/>
      <c r="N9" s="15"/>
      <c r="O9" s="15"/>
      <c r="P9" s="15"/>
      <c r="Q9" s="15"/>
      <c r="R9" s="15"/>
      <c r="S9" s="15"/>
      <c r="T9" s="15"/>
      <c r="U9" s="15"/>
      <c r="V9" s="15"/>
      <c r="W9" s="15"/>
      <c r="X9" s="15"/>
      <c r="Y9" s="15"/>
      <c r="Z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row>
    <row r="17">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row>
    <row r="18">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row>
    <row r="19">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row>
    <row r="20">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row>
    <row r="21">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row>
    <row r="22">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6" t="s">
        <v>700</v>
      </c>
      <c r="B1" s="16" t="s">
        <v>701</v>
      </c>
      <c r="C1" s="16" t="s">
        <v>702</v>
      </c>
      <c r="D1" s="16" t="s">
        <v>36</v>
      </c>
      <c r="E1" s="16" t="s">
        <v>703</v>
      </c>
      <c r="F1" s="16" t="s">
        <v>704</v>
      </c>
      <c r="G1" s="16" t="s">
        <v>705</v>
      </c>
      <c r="H1" s="15"/>
      <c r="I1" s="15"/>
    </row>
    <row r="2">
      <c r="A2" s="17">
        <v>44487.0</v>
      </c>
      <c r="B2" s="16" t="s">
        <v>706</v>
      </c>
      <c r="C2" s="16">
        <v>24.0</v>
      </c>
      <c r="D2" s="16" t="s">
        <v>707</v>
      </c>
      <c r="E2" s="16">
        <v>2008.0</v>
      </c>
      <c r="F2" s="16">
        <v>51.3284</v>
      </c>
      <c r="G2" s="16">
        <v>12.6526</v>
      </c>
      <c r="H2" s="15"/>
      <c r="I2" s="15"/>
    </row>
    <row r="3">
      <c r="A3" s="17">
        <v>44487.0</v>
      </c>
      <c r="B3" s="16" t="s">
        <v>708</v>
      </c>
      <c r="C3" s="16">
        <v>22.0</v>
      </c>
      <c r="D3" s="16" t="s">
        <v>707</v>
      </c>
      <c r="E3" s="16">
        <v>2009.0</v>
      </c>
      <c r="F3" s="16">
        <v>51.5701</v>
      </c>
      <c r="G3" s="16">
        <v>13.7501</v>
      </c>
      <c r="H3" s="15"/>
      <c r="I3" s="15"/>
    </row>
    <row r="4">
      <c r="A4" s="17">
        <v>44487.0</v>
      </c>
      <c r="B4" s="16" t="s">
        <v>708</v>
      </c>
      <c r="C4" s="16">
        <v>20.0</v>
      </c>
      <c r="D4" s="16" t="s">
        <v>707</v>
      </c>
      <c r="E4" s="16">
        <v>2009.0</v>
      </c>
      <c r="F4" s="16">
        <v>51.5656</v>
      </c>
      <c r="G4" s="16">
        <v>13.7282</v>
      </c>
      <c r="H4" s="15"/>
      <c r="I4" s="15"/>
    </row>
    <row r="5">
      <c r="A5" s="17">
        <v>44487.0</v>
      </c>
      <c r="B5" s="16" t="s">
        <v>709</v>
      </c>
      <c r="C5" s="16">
        <v>42.0</v>
      </c>
      <c r="D5" s="16" t="s">
        <v>707</v>
      </c>
      <c r="E5" s="16">
        <v>2009.0</v>
      </c>
      <c r="F5" s="16">
        <v>49.3386</v>
      </c>
      <c r="G5" s="16">
        <v>9.8019</v>
      </c>
      <c r="H5" s="15"/>
      <c r="I5" s="15"/>
    </row>
    <row r="6">
      <c r="A6" s="17">
        <v>44487.0</v>
      </c>
      <c r="B6" s="16" t="s">
        <v>710</v>
      </c>
      <c r="C6" s="16">
        <v>51.0</v>
      </c>
      <c r="D6" s="16" t="s">
        <v>707</v>
      </c>
      <c r="E6" s="16">
        <v>2009.0</v>
      </c>
      <c r="F6" s="16">
        <v>51.8717</v>
      </c>
      <c r="G6" s="16">
        <v>14.389</v>
      </c>
      <c r="H6" s="15"/>
      <c r="I6" s="15"/>
    </row>
    <row r="7">
      <c r="A7" s="18">
        <v>45665.0</v>
      </c>
      <c r="B7" s="16" t="s">
        <v>711</v>
      </c>
      <c r="C7" s="16" t="s">
        <v>712</v>
      </c>
      <c r="D7" s="16" t="s">
        <v>707</v>
      </c>
      <c r="E7" s="16">
        <v>2009.0</v>
      </c>
      <c r="F7" s="16">
        <v>48.6999</v>
      </c>
      <c r="G7" s="16">
        <v>12.385</v>
      </c>
      <c r="H7" s="15"/>
      <c r="I7" s="15"/>
    </row>
    <row r="8">
      <c r="A8" s="18">
        <v>45665.0</v>
      </c>
      <c r="B8" s="16" t="s">
        <v>713</v>
      </c>
      <c r="C8" s="16" t="s">
        <v>714</v>
      </c>
      <c r="D8" s="16" t="s">
        <v>707</v>
      </c>
      <c r="E8" s="16">
        <v>2009.0</v>
      </c>
      <c r="F8" s="16">
        <v>51.3561</v>
      </c>
      <c r="G8" s="16">
        <v>14.958</v>
      </c>
      <c r="H8" s="15"/>
      <c r="I8" s="15"/>
    </row>
    <row r="9">
      <c r="A9" s="18">
        <v>45665.0</v>
      </c>
      <c r="B9" s="16" t="s">
        <v>715</v>
      </c>
      <c r="C9" s="16" t="s">
        <v>716</v>
      </c>
      <c r="D9" s="16" t="s">
        <v>707</v>
      </c>
      <c r="E9" s="16">
        <v>2009.0</v>
      </c>
      <c r="F9" s="16">
        <v>48.8046</v>
      </c>
      <c r="G9" s="16">
        <v>12.7574</v>
      </c>
      <c r="H9" s="15"/>
      <c r="I9" s="15"/>
    </row>
    <row r="10">
      <c r="A10" s="17">
        <v>44487.0</v>
      </c>
      <c r="B10" s="16" t="s">
        <v>717</v>
      </c>
      <c r="C10" s="16">
        <v>21.0</v>
      </c>
      <c r="D10" s="16" t="s">
        <v>707</v>
      </c>
      <c r="E10" s="16">
        <v>2010.0</v>
      </c>
      <c r="F10" s="16">
        <v>49.706</v>
      </c>
      <c r="G10" s="16">
        <v>9.485</v>
      </c>
      <c r="H10" s="15"/>
      <c r="I10" s="15"/>
    </row>
    <row r="11">
      <c r="A11" s="17">
        <v>44487.0</v>
      </c>
      <c r="B11" s="16" t="s">
        <v>708</v>
      </c>
      <c r="C11" s="16">
        <v>20.0</v>
      </c>
      <c r="D11" s="16" t="s">
        <v>707</v>
      </c>
      <c r="E11" s="16">
        <v>2010.0</v>
      </c>
      <c r="F11" s="16">
        <v>51.6315</v>
      </c>
      <c r="G11" s="16">
        <v>13.7074</v>
      </c>
      <c r="H11" s="15"/>
      <c r="I11" s="15"/>
    </row>
    <row r="12">
      <c r="A12" s="17">
        <v>44487.0</v>
      </c>
      <c r="B12" s="16" t="s">
        <v>708</v>
      </c>
      <c r="C12" s="16">
        <v>20.0</v>
      </c>
      <c r="D12" s="16" t="s">
        <v>707</v>
      </c>
      <c r="E12" s="16">
        <v>2010.0</v>
      </c>
      <c r="F12" s="16">
        <v>51.6315</v>
      </c>
      <c r="G12" s="16">
        <v>13.7074</v>
      </c>
      <c r="H12" s="15"/>
      <c r="I12" s="15"/>
    </row>
    <row r="13">
      <c r="A13" s="17">
        <v>44487.0</v>
      </c>
      <c r="B13" s="16" t="s">
        <v>718</v>
      </c>
      <c r="C13" s="16">
        <v>23.0</v>
      </c>
      <c r="D13" s="16" t="s">
        <v>707</v>
      </c>
      <c r="E13" s="16">
        <v>2010.0</v>
      </c>
      <c r="F13" s="16">
        <v>52.3453</v>
      </c>
      <c r="G13" s="16">
        <v>12.5618</v>
      </c>
      <c r="H13" s="15"/>
      <c r="I13" s="15"/>
    </row>
    <row r="14">
      <c r="A14" s="17">
        <v>44487.0</v>
      </c>
      <c r="B14" s="16" t="s">
        <v>719</v>
      </c>
      <c r="C14" s="16" t="s">
        <v>720</v>
      </c>
      <c r="D14" s="16" t="s">
        <v>707</v>
      </c>
      <c r="E14" s="16">
        <v>2010.0</v>
      </c>
      <c r="F14" s="16">
        <v>53.9273</v>
      </c>
      <c r="G14" s="16">
        <v>13.2125</v>
      </c>
      <c r="H14" s="15"/>
      <c r="I14" s="15"/>
    </row>
    <row r="15">
      <c r="A15" s="18">
        <v>44965.0</v>
      </c>
      <c r="B15" s="16" t="s">
        <v>721</v>
      </c>
      <c r="C15" s="16">
        <v>26.0</v>
      </c>
      <c r="D15" s="16" t="s">
        <v>707</v>
      </c>
      <c r="E15" s="16">
        <v>2010.0</v>
      </c>
      <c r="F15" s="16">
        <v>52.5646</v>
      </c>
      <c r="G15" s="16">
        <v>13.6011</v>
      </c>
      <c r="H15" s="15"/>
      <c r="I15" s="15"/>
    </row>
    <row r="16">
      <c r="A16" s="18">
        <v>45665.0</v>
      </c>
      <c r="B16" s="16" t="s">
        <v>722</v>
      </c>
      <c r="C16" s="16" t="s">
        <v>723</v>
      </c>
      <c r="D16" s="16" t="s">
        <v>707</v>
      </c>
      <c r="E16" s="16">
        <v>2010.0</v>
      </c>
      <c r="F16" s="16">
        <v>52.822</v>
      </c>
      <c r="G16" s="16">
        <v>13.6975</v>
      </c>
      <c r="H16" s="15"/>
      <c r="I16" s="15"/>
    </row>
    <row r="17">
      <c r="A17" s="17">
        <v>44487.0</v>
      </c>
      <c r="B17" s="16" t="s">
        <v>724</v>
      </c>
      <c r="C17" s="16">
        <v>68.0</v>
      </c>
      <c r="D17" s="16" t="s">
        <v>707</v>
      </c>
      <c r="E17" s="16">
        <v>2011.0</v>
      </c>
      <c r="F17" s="16">
        <v>53.2001</v>
      </c>
      <c r="G17" s="16">
        <v>12.5167</v>
      </c>
      <c r="H17" s="15"/>
      <c r="I17" s="15"/>
    </row>
    <row r="18">
      <c r="A18" s="17">
        <v>44487.0</v>
      </c>
      <c r="B18" s="16" t="s">
        <v>725</v>
      </c>
      <c r="C18" s="16">
        <v>31.0</v>
      </c>
      <c r="D18" s="16" t="s">
        <v>707</v>
      </c>
      <c r="E18" s="16">
        <v>2011.0</v>
      </c>
      <c r="F18" s="16">
        <v>52.4386</v>
      </c>
      <c r="G18" s="16">
        <v>12.4662</v>
      </c>
      <c r="H18" s="15"/>
      <c r="I18" s="15"/>
    </row>
    <row r="19">
      <c r="A19" s="17">
        <v>44487.0</v>
      </c>
      <c r="B19" s="16" t="s">
        <v>725</v>
      </c>
      <c r="C19" s="16">
        <v>29.0</v>
      </c>
      <c r="D19" s="16" t="s">
        <v>707</v>
      </c>
      <c r="E19" s="16">
        <v>2011.0</v>
      </c>
      <c r="F19" s="16">
        <v>52.4337</v>
      </c>
      <c r="G19" s="16">
        <v>12.4571</v>
      </c>
      <c r="H19" s="15"/>
      <c r="I19" s="15"/>
    </row>
    <row r="20">
      <c r="A20" s="17">
        <v>44487.0</v>
      </c>
      <c r="B20" s="16" t="s">
        <v>726</v>
      </c>
      <c r="C20" s="16">
        <v>31.0</v>
      </c>
      <c r="D20" s="16" t="s">
        <v>707</v>
      </c>
      <c r="E20" s="16">
        <v>2011.0</v>
      </c>
      <c r="F20" s="16">
        <v>52.4347</v>
      </c>
      <c r="G20" s="16">
        <v>12.4428</v>
      </c>
      <c r="H20" s="15"/>
      <c r="I20" s="15"/>
    </row>
    <row r="21">
      <c r="A21" s="17">
        <v>44487.0</v>
      </c>
      <c r="B21" s="16" t="s">
        <v>727</v>
      </c>
      <c r="C21" s="16">
        <v>30.0</v>
      </c>
      <c r="D21" s="16" t="s">
        <v>707</v>
      </c>
      <c r="E21" s="16">
        <v>2011.0</v>
      </c>
      <c r="F21" s="16">
        <v>51.8915</v>
      </c>
      <c r="G21" s="16">
        <v>14.5296</v>
      </c>
      <c r="H21" s="15"/>
      <c r="I21" s="15"/>
    </row>
    <row r="22">
      <c r="A22" s="17">
        <v>44487.0</v>
      </c>
      <c r="B22" s="16" t="s">
        <v>728</v>
      </c>
      <c r="C22" s="16">
        <v>84.0</v>
      </c>
      <c r="D22" s="16" t="s">
        <v>707</v>
      </c>
      <c r="E22" s="16">
        <v>2011.0</v>
      </c>
      <c r="F22" s="16">
        <v>54.6224</v>
      </c>
      <c r="G22" s="16">
        <v>9.3517</v>
      </c>
      <c r="H22" s="15"/>
      <c r="I22" s="15"/>
    </row>
    <row r="23">
      <c r="A23" s="17">
        <v>44487.0</v>
      </c>
      <c r="B23" s="16" t="s">
        <v>722</v>
      </c>
      <c r="C23" s="16">
        <v>60.0</v>
      </c>
      <c r="D23" s="16" t="s">
        <v>707</v>
      </c>
      <c r="E23" s="16">
        <v>2011.0</v>
      </c>
      <c r="F23" s="16">
        <v>52.822</v>
      </c>
      <c r="G23" s="16">
        <v>13.6975</v>
      </c>
      <c r="H23" s="15"/>
      <c r="I23" s="15"/>
    </row>
    <row r="24">
      <c r="A24" s="17">
        <v>44487.0</v>
      </c>
      <c r="B24" s="16" t="s">
        <v>729</v>
      </c>
      <c r="C24" s="16">
        <v>35.0</v>
      </c>
      <c r="D24" s="16" t="s">
        <v>707</v>
      </c>
      <c r="E24" s="16">
        <v>2011.0</v>
      </c>
      <c r="F24" s="16">
        <v>52.3884</v>
      </c>
      <c r="G24" s="16">
        <v>14.0935</v>
      </c>
      <c r="H24" s="15"/>
      <c r="I24" s="15"/>
    </row>
    <row r="25">
      <c r="A25" s="17">
        <v>44487.0</v>
      </c>
      <c r="B25" s="16" t="s">
        <v>730</v>
      </c>
      <c r="C25" s="16">
        <v>27.0</v>
      </c>
      <c r="D25" s="16" t="s">
        <v>707</v>
      </c>
      <c r="E25" s="16">
        <v>2011.0</v>
      </c>
      <c r="F25" s="16">
        <v>51.729</v>
      </c>
      <c r="G25" s="16">
        <v>13.687</v>
      </c>
      <c r="H25" s="15"/>
      <c r="I25" s="15"/>
    </row>
    <row r="26">
      <c r="A26" s="17">
        <v>44487.0</v>
      </c>
      <c r="B26" s="16" t="s">
        <v>731</v>
      </c>
      <c r="C26" s="16">
        <v>24.0</v>
      </c>
      <c r="D26" s="16" t="s">
        <v>707</v>
      </c>
      <c r="E26" s="16">
        <v>2011.0</v>
      </c>
      <c r="F26" s="16">
        <v>52.2044</v>
      </c>
      <c r="G26" s="16">
        <v>14.3943</v>
      </c>
      <c r="H26" s="15"/>
      <c r="I26" s="15"/>
    </row>
    <row r="27">
      <c r="A27" s="17">
        <v>44487.0</v>
      </c>
      <c r="B27" s="16" t="s">
        <v>732</v>
      </c>
      <c r="C27" s="16">
        <v>29.0</v>
      </c>
      <c r="D27" s="16" t="s">
        <v>707</v>
      </c>
      <c r="E27" s="16">
        <v>2011.0</v>
      </c>
      <c r="F27" s="16">
        <v>50.012</v>
      </c>
      <c r="G27" s="16">
        <v>11.2421</v>
      </c>
      <c r="H27" s="15"/>
      <c r="I27" s="15"/>
    </row>
    <row r="28">
      <c r="A28" s="17">
        <v>44487.0</v>
      </c>
      <c r="B28" s="16" t="s">
        <v>733</v>
      </c>
      <c r="C28" s="16">
        <v>21.0</v>
      </c>
      <c r="D28" s="16" t="s">
        <v>707</v>
      </c>
      <c r="E28" s="16">
        <v>2011.0</v>
      </c>
      <c r="F28" s="16">
        <v>51.8666</v>
      </c>
      <c r="G28" s="16">
        <v>13.7903</v>
      </c>
      <c r="H28" s="15"/>
      <c r="I28" s="15"/>
    </row>
    <row r="29">
      <c r="A29" s="17">
        <v>44487.0</v>
      </c>
      <c r="B29" s="16" t="s">
        <v>734</v>
      </c>
      <c r="C29" s="16">
        <v>22.0</v>
      </c>
      <c r="D29" s="16" t="s">
        <v>707</v>
      </c>
      <c r="E29" s="16">
        <v>2011.0</v>
      </c>
      <c r="F29" s="16">
        <v>51.5504</v>
      </c>
      <c r="G29" s="16">
        <v>13.2225</v>
      </c>
      <c r="H29" s="15"/>
      <c r="I29" s="15"/>
    </row>
    <row r="30">
      <c r="A30" s="17">
        <v>44487.0</v>
      </c>
      <c r="B30" s="16" t="s">
        <v>735</v>
      </c>
      <c r="C30" s="16">
        <v>70.0</v>
      </c>
      <c r="D30" s="16" t="s">
        <v>707</v>
      </c>
      <c r="E30" s="16">
        <v>2011.0</v>
      </c>
      <c r="F30" s="16">
        <v>51.5446</v>
      </c>
      <c r="G30" s="16">
        <v>13.9795</v>
      </c>
      <c r="H30" s="15"/>
      <c r="I30" s="15"/>
    </row>
    <row r="31">
      <c r="A31" s="17">
        <v>44487.0</v>
      </c>
      <c r="B31" s="16" t="s">
        <v>736</v>
      </c>
      <c r="C31" s="16">
        <v>24.0</v>
      </c>
      <c r="D31" s="16" t="s">
        <v>707</v>
      </c>
      <c r="E31" s="16">
        <v>2011.0</v>
      </c>
      <c r="F31" s="16">
        <v>51.4547</v>
      </c>
      <c r="G31" s="16">
        <v>14.1133</v>
      </c>
      <c r="H31" s="15"/>
      <c r="I31" s="15"/>
    </row>
    <row r="32">
      <c r="A32" s="18">
        <v>45665.0</v>
      </c>
      <c r="B32" s="16" t="s">
        <v>737</v>
      </c>
      <c r="C32" s="16" t="s">
        <v>738</v>
      </c>
      <c r="D32" s="16" t="s">
        <v>707</v>
      </c>
      <c r="E32" s="16">
        <v>2011.0</v>
      </c>
      <c r="F32" s="16">
        <v>53.1812</v>
      </c>
      <c r="G32" s="16">
        <v>8.1552</v>
      </c>
      <c r="H32" s="15"/>
      <c r="I32" s="15"/>
    </row>
    <row r="33">
      <c r="A33" s="18">
        <v>45665.0</v>
      </c>
      <c r="B33" s="16" t="s">
        <v>739</v>
      </c>
      <c r="C33" s="16">
        <v>21.0</v>
      </c>
      <c r="D33" s="16" t="s">
        <v>707</v>
      </c>
      <c r="E33" s="16">
        <v>2011.0</v>
      </c>
      <c r="F33" s="16">
        <v>52.5325</v>
      </c>
      <c r="G33" s="16">
        <v>13.1148</v>
      </c>
      <c r="H33" s="15"/>
      <c r="I33" s="15"/>
    </row>
    <row r="34">
      <c r="A34" s="18">
        <v>45665.0</v>
      </c>
      <c r="B34" s="16" t="s">
        <v>740</v>
      </c>
      <c r="C34" s="16">
        <v>20.0</v>
      </c>
      <c r="D34" s="16" t="s">
        <v>707</v>
      </c>
      <c r="E34" s="16">
        <v>2011.0</v>
      </c>
      <c r="F34" s="16">
        <v>51.473</v>
      </c>
      <c r="G34" s="16">
        <v>14.305</v>
      </c>
      <c r="H34" s="15"/>
      <c r="I34" s="15"/>
    </row>
    <row r="35">
      <c r="A35" s="18">
        <v>45665.0</v>
      </c>
      <c r="B35" s="16" t="s">
        <v>741</v>
      </c>
      <c r="C35" s="16" t="s">
        <v>742</v>
      </c>
      <c r="D35" s="16" t="s">
        <v>707</v>
      </c>
      <c r="E35" s="16">
        <v>2011.0</v>
      </c>
      <c r="F35" s="16">
        <v>52.35</v>
      </c>
      <c r="G35" s="16">
        <v>7.082</v>
      </c>
      <c r="H35" s="15"/>
      <c r="I35" s="15"/>
    </row>
    <row r="36">
      <c r="A36" s="18">
        <v>45665.0</v>
      </c>
      <c r="B36" s="16" t="s">
        <v>743</v>
      </c>
      <c r="C36" s="16" t="s">
        <v>744</v>
      </c>
      <c r="D36" s="16" t="s">
        <v>707</v>
      </c>
      <c r="E36" s="16">
        <v>2011.0</v>
      </c>
      <c r="F36" s="16">
        <v>51.5446</v>
      </c>
      <c r="G36" s="16">
        <v>13.9795</v>
      </c>
      <c r="H36" s="15"/>
      <c r="I36" s="15"/>
    </row>
    <row r="37">
      <c r="A37" s="18">
        <v>45665.0</v>
      </c>
      <c r="B37" s="16" t="s">
        <v>743</v>
      </c>
      <c r="C37" s="16">
        <v>23.0</v>
      </c>
      <c r="D37" s="16" t="s">
        <v>707</v>
      </c>
      <c r="E37" s="16">
        <v>2011.0</v>
      </c>
      <c r="F37" s="16">
        <v>51.5446</v>
      </c>
      <c r="G37" s="16">
        <v>13.9795</v>
      </c>
      <c r="H37" s="15"/>
      <c r="I37" s="15"/>
    </row>
    <row r="38">
      <c r="A38" s="17">
        <v>44487.0</v>
      </c>
      <c r="B38" s="16" t="s">
        <v>745</v>
      </c>
      <c r="C38" s="16" t="s">
        <v>746</v>
      </c>
      <c r="D38" s="16" t="s">
        <v>707</v>
      </c>
      <c r="E38" s="16">
        <v>2012.0</v>
      </c>
      <c r="F38" s="16">
        <v>51.7647</v>
      </c>
      <c r="G38" s="16">
        <v>11.9518</v>
      </c>
      <c r="H38" s="15"/>
      <c r="I38" s="15"/>
    </row>
    <row r="39">
      <c r="A39" s="17">
        <v>44487.0</v>
      </c>
      <c r="B39" s="16" t="s">
        <v>747</v>
      </c>
      <c r="C39" s="16">
        <v>32.0</v>
      </c>
      <c r="D39" s="16" t="s">
        <v>707</v>
      </c>
      <c r="E39" s="16">
        <v>2012.0</v>
      </c>
      <c r="F39" s="16">
        <v>54.3443</v>
      </c>
      <c r="G39" s="16">
        <v>12.7168</v>
      </c>
      <c r="H39" s="15"/>
      <c r="I39" s="15"/>
    </row>
    <row r="40">
      <c r="A40" s="17">
        <v>44487.0</v>
      </c>
      <c r="B40" s="16" t="s">
        <v>748</v>
      </c>
      <c r="C40" s="16">
        <v>29.0</v>
      </c>
      <c r="D40" s="16" t="s">
        <v>707</v>
      </c>
      <c r="E40" s="16">
        <v>2012.0</v>
      </c>
      <c r="F40" s="16">
        <v>52.382</v>
      </c>
      <c r="G40" s="16">
        <v>12.776</v>
      </c>
      <c r="H40" s="15"/>
      <c r="I40" s="15"/>
    </row>
    <row r="41">
      <c r="A41" s="17">
        <v>44487.0</v>
      </c>
      <c r="B41" s="16" t="s">
        <v>749</v>
      </c>
      <c r="C41" s="16">
        <v>32.0</v>
      </c>
      <c r="D41" s="16" t="s">
        <v>707</v>
      </c>
      <c r="E41" s="16">
        <v>2012.0</v>
      </c>
      <c r="F41" s="16">
        <v>53.9109</v>
      </c>
      <c r="G41" s="16">
        <v>9.2265</v>
      </c>
      <c r="H41" s="15"/>
      <c r="I41" s="15"/>
    </row>
    <row r="42">
      <c r="A42" s="17">
        <v>44487.0</v>
      </c>
      <c r="B42" s="16" t="s">
        <v>750</v>
      </c>
      <c r="C42" s="16">
        <v>32.0</v>
      </c>
      <c r="D42" s="16" t="s">
        <v>707</v>
      </c>
      <c r="E42" s="16">
        <v>2012.0</v>
      </c>
      <c r="F42" s="16">
        <v>51.507</v>
      </c>
      <c r="G42" s="16">
        <v>12.285</v>
      </c>
      <c r="H42" s="15"/>
      <c r="I42" s="15"/>
    </row>
    <row r="43">
      <c r="A43" s="17">
        <v>44487.0</v>
      </c>
      <c r="B43" s="16" t="s">
        <v>751</v>
      </c>
      <c r="C43" s="16">
        <v>24.0</v>
      </c>
      <c r="D43" s="16" t="s">
        <v>707</v>
      </c>
      <c r="E43" s="16">
        <v>2012.0</v>
      </c>
      <c r="F43" s="16">
        <v>53.5399</v>
      </c>
      <c r="G43" s="16">
        <v>10.5045</v>
      </c>
      <c r="H43" s="15"/>
      <c r="I43" s="15"/>
    </row>
    <row r="44">
      <c r="A44" s="17">
        <v>44487.0</v>
      </c>
      <c r="B44" s="16" t="s">
        <v>752</v>
      </c>
      <c r="C44" s="16">
        <v>31.0</v>
      </c>
      <c r="D44" s="16" t="s">
        <v>707</v>
      </c>
      <c r="E44" s="16">
        <v>2012.0</v>
      </c>
      <c r="F44" s="16">
        <v>53.7977</v>
      </c>
      <c r="G44" s="16">
        <v>12.2371</v>
      </c>
      <c r="H44" s="15"/>
      <c r="I44" s="15"/>
    </row>
    <row r="45">
      <c r="A45" s="17">
        <v>44487.0</v>
      </c>
      <c r="B45" s="16" t="s">
        <v>753</v>
      </c>
      <c r="C45" s="16" t="s">
        <v>754</v>
      </c>
      <c r="D45" s="16" t="s">
        <v>707</v>
      </c>
      <c r="E45" s="16">
        <v>2012.0</v>
      </c>
      <c r="F45" s="16">
        <v>51.7234</v>
      </c>
      <c r="G45" s="16">
        <v>11.9636</v>
      </c>
      <c r="H45" s="15"/>
      <c r="I45" s="15"/>
    </row>
    <row r="46">
      <c r="A46" s="17">
        <v>44487.0</v>
      </c>
      <c r="B46" s="16" t="s">
        <v>755</v>
      </c>
      <c r="C46" s="16">
        <v>38.0</v>
      </c>
      <c r="D46" s="16" t="s">
        <v>707</v>
      </c>
      <c r="E46" s="16">
        <v>2012.0</v>
      </c>
      <c r="F46" s="16">
        <v>51.1968</v>
      </c>
      <c r="G46" s="16">
        <v>14.5232</v>
      </c>
      <c r="H46" s="15"/>
      <c r="I46" s="15"/>
    </row>
    <row r="47">
      <c r="A47" s="17">
        <v>44487.0</v>
      </c>
      <c r="B47" s="16" t="s">
        <v>756</v>
      </c>
      <c r="C47" s="16">
        <v>145.0</v>
      </c>
      <c r="D47" s="16" t="s">
        <v>707</v>
      </c>
      <c r="E47" s="16">
        <v>2012.0</v>
      </c>
      <c r="F47" s="16">
        <v>52.615</v>
      </c>
      <c r="G47" s="16">
        <v>14.253</v>
      </c>
      <c r="H47" s="15"/>
      <c r="I47" s="15"/>
    </row>
    <row r="48">
      <c r="A48" s="17">
        <v>44487.0</v>
      </c>
      <c r="B48" s="16" t="s">
        <v>757</v>
      </c>
      <c r="C48" s="16">
        <v>34.0</v>
      </c>
      <c r="D48" s="16" t="s">
        <v>707</v>
      </c>
      <c r="E48" s="16">
        <v>2012.0</v>
      </c>
      <c r="F48" s="16">
        <v>53.0703</v>
      </c>
      <c r="G48" s="16">
        <v>11.8308</v>
      </c>
      <c r="H48" s="15"/>
      <c r="I48" s="15"/>
    </row>
    <row r="49">
      <c r="A49" s="17">
        <v>44487.0</v>
      </c>
      <c r="B49" s="16" t="s">
        <v>758</v>
      </c>
      <c r="C49" s="16">
        <v>128.0</v>
      </c>
      <c r="D49" s="16" t="s">
        <v>707</v>
      </c>
      <c r="E49" s="16">
        <v>2012.0</v>
      </c>
      <c r="F49" s="16">
        <v>53.031</v>
      </c>
      <c r="G49" s="16">
        <v>13.532</v>
      </c>
      <c r="H49" s="15"/>
      <c r="I49" s="15"/>
    </row>
    <row r="50">
      <c r="A50" s="17">
        <v>44487.0</v>
      </c>
      <c r="B50" s="16" t="s">
        <v>759</v>
      </c>
      <c r="C50" s="16">
        <v>52.0</v>
      </c>
      <c r="D50" s="16" t="s">
        <v>707</v>
      </c>
      <c r="E50" s="16">
        <v>2012.0</v>
      </c>
      <c r="F50" s="16">
        <v>52.319</v>
      </c>
      <c r="G50" s="16">
        <v>13.6721</v>
      </c>
      <c r="H50" s="15"/>
      <c r="I50" s="15"/>
    </row>
    <row r="51">
      <c r="A51" s="18">
        <v>44965.0</v>
      </c>
      <c r="B51" s="16" t="s">
        <v>760</v>
      </c>
      <c r="C51" s="16">
        <v>29.0</v>
      </c>
      <c r="D51" s="16" t="s">
        <v>707</v>
      </c>
      <c r="E51" s="16">
        <v>2012.0</v>
      </c>
      <c r="F51" s="16">
        <v>49.5118</v>
      </c>
      <c r="G51" s="16">
        <v>7.3612</v>
      </c>
      <c r="H51" s="15"/>
      <c r="I51" s="15"/>
    </row>
    <row r="52">
      <c r="A52" s="18">
        <v>44984.0</v>
      </c>
      <c r="B52" s="16" t="s">
        <v>761</v>
      </c>
      <c r="C52" s="16">
        <v>30.0</v>
      </c>
      <c r="D52" s="16" t="s">
        <v>707</v>
      </c>
      <c r="E52" s="16">
        <v>2012.0</v>
      </c>
      <c r="F52" s="16">
        <v>51.6618</v>
      </c>
      <c r="G52" s="16">
        <v>14.6302</v>
      </c>
      <c r="H52" s="15"/>
      <c r="I52" s="15"/>
    </row>
    <row r="53">
      <c r="A53" s="18">
        <v>44984.0</v>
      </c>
      <c r="B53" s="16" t="s">
        <v>761</v>
      </c>
      <c r="C53" s="16">
        <v>26.0</v>
      </c>
      <c r="D53" s="16" t="s">
        <v>707</v>
      </c>
      <c r="E53" s="16">
        <v>2012.0</v>
      </c>
      <c r="F53" s="16">
        <v>51.6618</v>
      </c>
      <c r="G53" s="16">
        <v>14.6302</v>
      </c>
      <c r="H53" s="15"/>
      <c r="I53" s="15"/>
    </row>
    <row r="54">
      <c r="A54" s="18">
        <v>45377.0</v>
      </c>
      <c r="B54" s="16" t="s">
        <v>762</v>
      </c>
      <c r="C54" s="16">
        <v>29.0</v>
      </c>
      <c r="D54" s="16" t="s">
        <v>707</v>
      </c>
      <c r="E54" s="16">
        <v>2012.0</v>
      </c>
      <c r="F54" s="16">
        <v>51.5448</v>
      </c>
      <c r="G54" s="16">
        <v>11.5103</v>
      </c>
      <c r="H54" s="15"/>
      <c r="I54" s="15"/>
    </row>
    <row r="55">
      <c r="A55" s="18">
        <v>45378.0</v>
      </c>
      <c r="B55" s="16" t="s">
        <v>763</v>
      </c>
      <c r="C55" s="16">
        <v>30.0</v>
      </c>
      <c r="D55" s="16" t="s">
        <v>707</v>
      </c>
      <c r="E55" s="16">
        <v>2012.0</v>
      </c>
      <c r="F55" s="16">
        <v>52.8899</v>
      </c>
      <c r="G55" s="16">
        <v>8.2216</v>
      </c>
      <c r="H55" s="15"/>
      <c r="I55" s="15"/>
    </row>
    <row r="56">
      <c r="A56" s="18">
        <v>45665.0</v>
      </c>
      <c r="B56" s="16" t="s">
        <v>764</v>
      </c>
      <c r="C56" s="16">
        <v>20.0</v>
      </c>
      <c r="D56" s="16" t="s">
        <v>707</v>
      </c>
      <c r="E56" s="16">
        <v>2012.0</v>
      </c>
      <c r="F56" s="16">
        <v>52.479</v>
      </c>
      <c r="G56" s="16">
        <v>14.077</v>
      </c>
      <c r="H56" s="15"/>
      <c r="I56" s="15"/>
    </row>
    <row r="57">
      <c r="A57" s="18">
        <v>45665.0</v>
      </c>
      <c r="B57" s="16" t="s">
        <v>765</v>
      </c>
      <c r="C57" s="16" t="s">
        <v>766</v>
      </c>
      <c r="D57" s="16" t="s">
        <v>707</v>
      </c>
      <c r="E57" s="16">
        <v>2012.0</v>
      </c>
      <c r="F57" s="16">
        <v>53.3415</v>
      </c>
      <c r="G57" s="16">
        <v>12.0561</v>
      </c>
      <c r="H57" s="15"/>
      <c r="I57" s="15"/>
    </row>
    <row r="58">
      <c r="A58" s="18">
        <v>45665.0</v>
      </c>
      <c r="B58" s="16" t="s">
        <v>767</v>
      </c>
      <c r="C58" s="16" t="s">
        <v>768</v>
      </c>
      <c r="D58" s="16" t="s">
        <v>707</v>
      </c>
      <c r="E58" s="16">
        <v>2012.0</v>
      </c>
      <c r="F58" s="16">
        <v>53.3371</v>
      </c>
      <c r="G58" s="16">
        <v>12.2</v>
      </c>
      <c r="H58" s="15"/>
      <c r="I58" s="15"/>
    </row>
    <row r="59">
      <c r="A59" s="18">
        <v>45665.0</v>
      </c>
      <c r="B59" s="16" t="s">
        <v>769</v>
      </c>
      <c r="C59" s="16">
        <v>22.0</v>
      </c>
      <c r="D59" s="16" t="s">
        <v>707</v>
      </c>
      <c r="E59" s="16">
        <v>2012.0</v>
      </c>
      <c r="F59" s="16">
        <v>51.6591</v>
      </c>
      <c r="G59" s="16">
        <v>14.632</v>
      </c>
      <c r="H59" s="15"/>
      <c r="I59" s="15"/>
    </row>
    <row r="60">
      <c r="A60" s="18">
        <v>45665.0</v>
      </c>
      <c r="B60" s="16" t="s">
        <v>770</v>
      </c>
      <c r="C60" s="16" t="s">
        <v>771</v>
      </c>
      <c r="D60" s="16" t="s">
        <v>707</v>
      </c>
      <c r="E60" s="16">
        <v>2012.0</v>
      </c>
      <c r="F60" s="16">
        <v>54.2653</v>
      </c>
      <c r="G60" s="16">
        <v>12.45</v>
      </c>
      <c r="H60" s="15"/>
      <c r="I60" s="15"/>
    </row>
    <row r="61">
      <c r="A61" s="18">
        <v>44984.0</v>
      </c>
      <c r="B61" s="16" t="s">
        <v>772</v>
      </c>
      <c r="C61" s="16">
        <v>20.0</v>
      </c>
      <c r="D61" s="16" t="s">
        <v>707</v>
      </c>
      <c r="E61" s="16">
        <v>2013.0</v>
      </c>
      <c r="F61" s="16">
        <v>48.0875</v>
      </c>
      <c r="G61" s="16">
        <v>10.6989</v>
      </c>
      <c r="H61" s="15"/>
      <c r="I61" s="15"/>
    </row>
    <row r="62">
      <c r="A62" s="18">
        <v>44984.0</v>
      </c>
      <c r="B62" s="16" t="s">
        <v>773</v>
      </c>
      <c r="C62" s="16">
        <v>20.0</v>
      </c>
      <c r="D62" s="16" t="s">
        <v>707</v>
      </c>
      <c r="E62" s="16">
        <v>2015.0</v>
      </c>
      <c r="F62" s="16">
        <v>50.191</v>
      </c>
      <c r="G62" s="16">
        <v>10.2071</v>
      </c>
      <c r="H62" s="15"/>
      <c r="I62" s="15"/>
    </row>
    <row r="63">
      <c r="A63" s="18">
        <v>45665.0</v>
      </c>
      <c r="B63" s="16" t="s">
        <v>774</v>
      </c>
      <c r="C63" s="16">
        <v>21.0</v>
      </c>
      <c r="D63" s="16" t="s">
        <v>707</v>
      </c>
      <c r="E63" s="16">
        <v>2018.0</v>
      </c>
      <c r="F63" s="16">
        <v>51.3585</v>
      </c>
      <c r="G63" s="16">
        <v>13.3322</v>
      </c>
      <c r="H63" s="15"/>
      <c r="I63" s="15"/>
    </row>
    <row r="64">
      <c r="A64" s="17">
        <v>44487.0</v>
      </c>
      <c r="B64" s="16" t="s">
        <v>775</v>
      </c>
      <c r="C64" s="16">
        <v>64.0</v>
      </c>
      <c r="D64" s="16" t="s">
        <v>707</v>
      </c>
      <c r="E64" s="16">
        <v>2020.0</v>
      </c>
      <c r="F64" s="16">
        <v>53.3821</v>
      </c>
      <c r="G64" s="16">
        <v>12.2689</v>
      </c>
      <c r="H64" s="15"/>
      <c r="I64" s="15"/>
    </row>
    <row r="65">
      <c r="A65" s="18">
        <v>45665.0</v>
      </c>
      <c r="B65" s="16" t="s">
        <v>776</v>
      </c>
      <c r="C65" s="16" t="s">
        <v>777</v>
      </c>
      <c r="D65" s="16" t="s">
        <v>707</v>
      </c>
      <c r="E65" s="16">
        <v>2020.0</v>
      </c>
      <c r="F65" s="16">
        <v>49.2257</v>
      </c>
      <c r="G65" s="16">
        <v>11.7576</v>
      </c>
      <c r="H65" s="15"/>
      <c r="I65" s="15"/>
    </row>
    <row r="66">
      <c r="A66" s="18">
        <v>45665.0</v>
      </c>
      <c r="B66" s="16" t="s">
        <v>778</v>
      </c>
      <c r="C66" s="16" t="s">
        <v>779</v>
      </c>
      <c r="D66" s="16" t="s">
        <v>707</v>
      </c>
      <c r="E66" s="16">
        <v>2020.0</v>
      </c>
      <c r="F66" s="16">
        <v>48.653</v>
      </c>
      <c r="G66" s="16">
        <v>11.2762</v>
      </c>
      <c r="H66" s="15"/>
      <c r="I66" s="15"/>
    </row>
    <row r="67">
      <c r="A67" s="18">
        <v>45665.0</v>
      </c>
      <c r="B67" s="16" t="s">
        <v>780</v>
      </c>
      <c r="C67" s="16" t="s">
        <v>781</v>
      </c>
      <c r="D67" s="16" t="s">
        <v>707</v>
      </c>
      <c r="E67" s="16">
        <v>2020.0</v>
      </c>
      <c r="F67" s="16">
        <v>52.6475</v>
      </c>
      <c r="G67" s="16">
        <v>13.6901</v>
      </c>
      <c r="H67" s="15"/>
      <c r="I67" s="15"/>
    </row>
    <row r="68">
      <c r="A68" s="18">
        <v>45665.0</v>
      </c>
      <c r="B68" s="16" t="s">
        <v>780</v>
      </c>
      <c r="C68" s="16" t="s">
        <v>782</v>
      </c>
      <c r="D68" s="16" t="s">
        <v>707</v>
      </c>
      <c r="E68" s="16">
        <v>2020.0</v>
      </c>
      <c r="F68" s="16">
        <v>52.6469</v>
      </c>
      <c r="G68" s="16">
        <v>13.7009</v>
      </c>
      <c r="H68" s="15"/>
      <c r="I68" s="15"/>
    </row>
    <row r="69">
      <c r="A69" s="17">
        <v>44487.0</v>
      </c>
      <c r="B69" s="16" t="s">
        <v>783</v>
      </c>
      <c r="C69" s="16">
        <v>28.0</v>
      </c>
      <c r="D69" s="16" t="s">
        <v>707</v>
      </c>
      <c r="E69" s="16">
        <v>2021.0</v>
      </c>
      <c r="F69" s="16">
        <v>53.3929</v>
      </c>
      <c r="G69" s="16">
        <v>12.4492</v>
      </c>
      <c r="H69" s="15"/>
      <c r="I69" s="15"/>
    </row>
    <row r="70">
      <c r="A70" s="17">
        <v>44487.0</v>
      </c>
      <c r="B70" s="16" t="s">
        <v>778</v>
      </c>
      <c r="C70" s="16" t="s">
        <v>784</v>
      </c>
      <c r="D70" s="16" t="s">
        <v>707</v>
      </c>
      <c r="E70" s="16">
        <v>2021.0</v>
      </c>
      <c r="F70" s="16">
        <v>48.6563</v>
      </c>
      <c r="G70" s="16">
        <v>11.2822</v>
      </c>
      <c r="H70" s="15"/>
      <c r="I70" s="15"/>
    </row>
    <row r="71">
      <c r="A71" s="17">
        <v>44487.0</v>
      </c>
      <c r="B71" s="16" t="s">
        <v>785</v>
      </c>
      <c r="C71" s="16">
        <v>83.0</v>
      </c>
      <c r="D71" s="16" t="s">
        <v>707</v>
      </c>
      <c r="E71" s="16">
        <v>2021.0</v>
      </c>
      <c r="F71" s="16">
        <v>53.6388</v>
      </c>
      <c r="G71" s="16">
        <v>12.3668</v>
      </c>
      <c r="H71" s="15"/>
      <c r="I71" s="15"/>
    </row>
    <row r="72">
      <c r="A72" s="18">
        <v>44966.0</v>
      </c>
      <c r="B72" s="16" t="s">
        <v>773</v>
      </c>
      <c r="C72" s="16">
        <v>28.0</v>
      </c>
      <c r="D72" s="16" t="s">
        <v>707</v>
      </c>
      <c r="E72" s="16">
        <v>2021.0</v>
      </c>
      <c r="F72" s="16">
        <v>50.1992</v>
      </c>
      <c r="G72" s="16">
        <v>10.2147</v>
      </c>
      <c r="H72" s="15"/>
      <c r="I72" s="15"/>
    </row>
    <row r="73">
      <c r="A73" s="18">
        <v>44966.0</v>
      </c>
      <c r="B73" s="16" t="s">
        <v>786</v>
      </c>
      <c r="C73" s="16">
        <v>39.0</v>
      </c>
      <c r="D73" s="16" t="s">
        <v>707</v>
      </c>
      <c r="E73" s="16">
        <v>2021.0</v>
      </c>
      <c r="F73" s="16">
        <v>48.7613</v>
      </c>
      <c r="G73" s="16">
        <v>8.2727</v>
      </c>
      <c r="H73" s="15"/>
      <c r="I73" s="15"/>
    </row>
    <row r="74">
      <c r="A74" s="18">
        <v>44967.0</v>
      </c>
      <c r="B74" s="16" t="s">
        <v>787</v>
      </c>
      <c r="C74" s="16">
        <v>20.0</v>
      </c>
      <c r="D74" s="16" t="s">
        <v>707</v>
      </c>
      <c r="E74" s="16">
        <v>2021.0</v>
      </c>
      <c r="F74" s="16">
        <v>50.0859</v>
      </c>
      <c r="G74" s="16">
        <v>10.7721</v>
      </c>
      <c r="H74" s="15"/>
      <c r="I74" s="15"/>
    </row>
    <row r="75">
      <c r="A75" s="18">
        <v>44967.0</v>
      </c>
      <c r="B75" s="16" t="s">
        <v>778</v>
      </c>
      <c r="C75" s="16">
        <v>57.0</v>
      </c>
      <c r="D75" s="16" t="s">
        <v>707</v>
      </c>
      <c r="E75" s="16">
        <v>2021.0</v>
      </c>
      <c r="F75" s="16">
        <v>48.636</v>
      </c>
      <c r="G75" s="16">
        <v>11.2449</v>
      </c>
      <c r="H75" s="15"/>
      <c r="I75" s="15"/>
    </row>
    <row r="76">
      <c r="A76" s="18">
        <v>44977.0</v>
      </c>
      <c r="B76" s="16" t="s">
        <v>788</v>
      </c>
      <c r="C76" s="16">
        <v>23.0</v>
      </c>
      <c r="D76" s="16" t="s">
        <v>707</v>
      </c>
      <c r="E76" s="16">
        <v>2021.0</v>
      </c>
      <c r="F76" s="16">
        <v>49.4828</v>
      </c>
      <c r="G76" s="16">
        <v>7.06</v>
      </c>
      <c r="H76" s="15"/>
      <c r="I76" s="15"/>
    </row>
    <row r="77">
      <c r="A77" s="18">
        <v>44984.0</v>
      </c>
      <c r="B77" s="16" t="s">
        <v>789</v>
      </c>
      <c r="C77" s="16">
        <v>20.0</v>
      </c>
      <c r="D77" s="16" t="s">
        <v>707</v>
      </c>
      <c r="E77" s="16">
        <v>2021.0</v>
      </c>
      <c r="F77" s="16">
        <v>50.1073</v>
      </c>
      <c r="G77" s="16">
        <v>10.9123</v>
      </c>
      <c r="H77" s="15"/>
      <c r="I77" s="15"/>
    </row>
    <row r="78">
      <c r="A78" s="18">
        <v>45665.0</v>
      </c>
      <c r="B78" s="16" t="s">
        <v>790</v>
      </c>
      <c r="C78" s="16" t="s">
        <v>791</v>
      </c>
      <c r="D78" s="16" t="s">
        <v>707</v>
      </c>
      <c r="E78" s="16">
        <v>2021.0</v>
      </c>
      <c r="F78" s="16">
        <v>48.7441</v>
      </c>
      <c r="G78" s="16">
        <v>12.9371</v>
      </c>
      <c r="H78" s="15"/>
      <c r="I78" s="15"/>
    </row>
    <row r="79">
      <c r="A79" s="18">
        <v>45665.0</v>
      </c>
      <c r="B79" s="16" t="s">
        <v>792</v>
      </c>
      <c r="C79" s="16" t="s">
        <v>793</v>
      </c>
      <c r="D79" s="16" t="s">
        <v>707</v>
      </c>
      <c r="E79" s="16">
        <v>2021.0</v>
      </c>
      <c r="F79" s="16">
        <v>53.4121</v>
      </c>
      <c r="G79" s="16">
        <v>12.2438</v>
      </c>
      <c r="H79" s="15"/>
      <c r="I79" s="15"/>
    </row>
    <row r="80">
      <c r="A80" s="18">
        <v>45665.0</v>
      </c>
      <c r="B80" s="16" t="s">
        <v>794</v>
      </c>
      <c r="C80" s="16" t="s">
        <v>795</v>
      </c>
      <c r="D80" s="16" t="s">
        <v>707</v>
      </c>
      <c r="E80" s="16">
        <v>2021.0</v>
      </c>
      <c r="F80" s="16">
        <v>52.5843</v>
      </c>
      <c r="G80" s="16">
        <v>12.7786</v>
      </c>
      <c r="H80" s="15"/>
      <c r="I80" s="15"/>
    </row>
    <row r="81">
      <c r="A81" s="18">
        <v>45665.0</v>
      </c>
      <c r="B81" s="16" t="s">
        <v>796</v>
      </c>
      <c r="C81" s="16">
        <v>20.0</v>
      </c>
      <c r="D81" s="16" t="s">
        <v>707</v>
      </c>
      <c r="E81" s="16">
        <v>2021.0</v>
      </c>
      <c r="F81" s="16">
        <v>51.6851</v>
      </c>
      <c r="G81" s="16">
        <v>14.444</v>
      </c>
      <c r="H81" s="15"/>
      <c r="I81" s="15"/>
    </row>
    <row r="82">
      <c r="A82" s="18">
        <v>45665.0</v>
      </c>
      <c r="B82" s="16" t="s">
        <v>797</v>
      </c>
      <c r="C82" s="16" t="s">
        <v>798</v>
      </c>
      <c r="D82" s="16" t="s">
        <v>707</v>
      </c>
      <c r="E82" s="16">
        <v>2021.0</v>
      </c>
      <c r="F82" s="16">
        <v>51.0367</v>
      </c>
      <c r="G82" s="16">
        <v>11.881</v>
      </c>
      <c r="H82" s="15"/>
      <c r="I82" s="15"/>
    </row>
    <row r="83">
      <c r="A83" s="18">
        <v>45665.0</v>
      </c>
      <c r="B83" s="16" t="s">
        <v>778</v>
      </c>
      <c r="C83" s="16" t="s">
        <v>799</v>
      </c>
      <c r="D83" s="16" t="s">
        <v>707</v>
      </c>
      <c r="E83" s="16">
        <v>2021.0</v>
      </c>
      <c r="F83" s="16">
        <v>48.6387</v>
      </c>
      <c r="G83" s="16">
        <v>11.279</v>
      </c>
      <c r="H83" s="15"/>
      <c r="I83" s="15"/>
    </row>
    <row r="84">
      <c r="A84" s="18">
        <v>45665.0</v>
      </c>
      <c r="B84" s="16" t="s">
        <v>780</v>
      </c>
      <c r="C84" s="16" t="s">
        <v>800</v>
      </c>
      <c r="D84" s="16" t="s">
        <v>707</v>
      </c>
      <c r="E84" s="16">
        <v>2021.0</v>
      </c>
      <c r="F84" s="16">
        <v>52.6511</v>
      </c>
      <c r="G84" s="16">
        <v>13.6917</v>
      </c>
      <c r="H84" s="15"/>
      <c r="I84" s="15"/>
    </row>
    <row r="85">
      <c r="A85" s="18">
        <v>44965.0</v>
      </c>
      <c r="B85" s="16" t="s">
        <v>801</v>
      </c>
      <c r="C85" s="16">
        <v>149.0</v>
      </c>
      <c r="D85" s="16" t="s">
        <v>707</v>
      </c>
      <c r="E85" s="16">
        <v>2022.0</v>
      </c>
      <c r="F85" s="16">
        <v>52.6937</v>
      </c>
      <c r="G85" s="16">
        <v>14.2391</v>
      </c>
      <c r="H85" s="15"/>
      <c r="I85" s="15"/>
    </row>
    <row r="86">
      <c r="A86" s="18">
        <v>44965.0</v>
      </c>
      <c r="B86" s="16" t="s">
        <v>802</v>
      </c>
      <c r="C86" s="16">
        <v>151.0</v>
      </c>
      <c r="D86" s="16" t="s">
        <v>707</v>
      </c>
      <c r="E86" s="16">
        <v>2022.0</v>
      </c>
      <c r="F86" s="16">
        <v>52.6394</v>
      </c>
      <c r="G86" s="16">
        <v>14.1894</v>
      </c>
      <c r="H86" s="15"/>
      <c r="I86" s="15"/>
    </row>
    <row r="87">
      <c r="A87" s="18">
        <v>44965.0</v>
      </c>
      <c r="B87" s="16" t="s">
        <v>803</v>
      </c>
      <c r="C87" s="16">
        <v>90.0</v>
      </c>
      <c r="D87" s="16" t="s">
        <v>707</v>
      </c>
      <c r="E87" s="16">
        <v>2022.0</v>
      </c>
      <c r="F87" s="16">
        <v>51.5523</v>
      </c>
      <c r="G87" s="16">
        <v>13.8636</v>
      </c>
      <c r="H87" s="15"/>
      <c r="I87" s="15"/>
    </row>
    <row r="88">
      <c r="A88" s="18">
        <v>44965.0</v>
      </c>
      <c r="B88" s="16" t="s">
        <v>804</v>
      </c>
      <c r="C88" s="16">
        <v>172.0</v>
      </c>
      <c r="D88" s="16" t="s">
        <v>707</v>
      </c>
      <c r="E88" s="16">
        <v>2022.0</v>
      </c>
      <c r="F88" s="16">
        <v>53.5253</v>
      </c>
      <c r="G88" s="16">
        <v>11.6569</v>
      </c>
      <c r="H88" s="15"/>
      <c r="I88" s="15"/>
    </row>
    <row r="89">
      <c r="A89" s="18">
        <v>44966.0</v>
      </c>
      <c r="B89" s="16" t="s">
        <v>803</v>
      </c>
      <c r="C89" s="16">
        <v>80.0</v>
      </c>
      <c r="D89" s="16" t="s">
        <v>707</v>
      </c>
      <c r="E89" s="16">
        <v>2022.0</v>
      </c>
      <c r="F89" s="16">
        <v>51.5289</v>
      </c>
      <c r="G89" s="16">
        <v>13.8734</v>
      </c>
      <c r="H89" s="15"/>
      <c r="I89" s="15"/>
    </row>
    <row r="90">
      <c r="A90" s="18">
        <v>44966.0</v>
      </c>
      <c r="B90" s="16" t="s">
        <v>805</v>
      </c>
      <c r="C90" s="16" t="s">
        <v>806</v>
      </c>
      <c r="D90" s="16" t="s">
        <v>707</v>
      </c>
      <c r="E90" s="16">
        <v>2022.0</v>
      </c>
      <c r="F90" s="16">
        <v>49.9375</v>
      </c>
      <c r="G90" s="16">
        <v>6.3771</v>
      </c>
      <c r="H90" s="15"/>
      <c r="I90" s="15"/>
    </row>
    <row r="91">
      <c r="A91" s="18">
        <v>44974.0</v>
      </c>
      <c r="B91" s="16" t="s">
        <v>807</v>
      </c>
      <c r="C91" s="16">
        <v>57.0</v>
      </c>
      <c r="D91" s="16" t="s">
        <v>707</v>
      </c>
      <c r="E91" s="16">
        <v>2022.0</v>
      </c>
      <c r="F91" s="16">
        <v>50.595</v>
      </c>
      <c r="G91" s="16">
        <v>9.3657</v>
      </c>
      <c r="H91" s="15"/>
      <c r="I91" s="15"/>
    </row>
    <row r="92">
      <c r="A92" s="18">
        <v>45377.0</v>
      </c>
      <c r="B92" s="16" t="s">
        <v>808</v>
      </c>
      <c r="C92" s="16">
        <v>20.0</v>
      </c>
      <c r="D92" s="16" t="s">
        <v>707</v>
      </c>
      <c r="E92" s="16">
        <v>2022.0</v>
      </c>
      <c r="F92" s="16">
        <v>49.1775</v>
      </c>
      <c r="G92" s="16">
        <v>7.1069</v>
      </c>
      <c r="H92" s="15"/>
      <c r="I92" s="15"/>
    </row>
    <row r="93">
      <c r="A93" s="18">
        <v>45665.0</v>
      </c>
      <c r="B93" s="16" t="s">
        <v>809</v>
      </c>
      <c r="C93" s="16" t="s">
        <v>810</v>
      </c>
      <c r="D93" s="16" t="s">
        <v>707</v>
      </c>
      <c r="E93" s="16">
        <v>2022.0</v>
      </c>
      <c r="F93" s="16">
        <v>51.4903</v>
      </c>
      <c r="G93" s="16">
        <v>13.3732</v>
      </c>
      <c r="H93" s="15"/>
      <c r="I93" s="15"/>
    </row>
    <row r="94">
      <c r="A94" s="18">
        <v>45665.0</v>
      </c>
      <c r="B94" s="16" t="s">
        <v>811</v>
      </c>
      <c r="C94" s="16">
        <v>20.0</v>
      </c>
      <c r="D94" s="16" t="s">
        <v>707</v>
      </c>
      <c r="E94" s="16">
        <v>2022.0</v>
      </c>
      <c r="F94" s="16">
        <v>49.7179</v>
      </c>
      <c r="G94" s="16">
        <v>10.5915</v>
      </c>
      <c r="H94" s="15"/>
      <c r="I94" s="15"/>
    </row>
    <row r="95">
      <c r="A95" s="18">
        <v>45665.0</v>
      </c>
      <c r="B95" s="16" t="s">
        <v>812</v>
      </c>
      <c r="C95" s="16" t="s">
        <v>813</v>
      </c>
      <c r="D95" s="16" t="s">
        <v>707</v>
      </c>
      <c r="E95" s="16">
        <v>2022.0</v>
      </c>
      <c r="F95" s="16">
        <v>54.021</v>
      </c>
      <c r="G95" s="16">
        <v>9.1963</v>
      </c>
      <c r="H95" s="15"/>
      <c r="I95" s="15"/>
    </row>
    <row r="96">
      <c r="A96" s="18">
        <v>45665.0</v>
      </c>
      <c r="B96" s="16" t="s">
        <v>814</v>
      </c>
      <c r="C96" s="16">
        <v>31.0</v>
      </c>
      <c r="D96" s="16" t="s">
        <v>707</v>
      </c>
      <c r="E96" s="16">
        <v>2022.0</v>
      </c>
      <c r="F96" s="16">
        <v>51.7249</v>
      </c>
      <c r="G96" s="16">
        <v>13.916</v>
      </c>
      <c r="H96" s="15"/>
      <c r="I96" s="15"/>
    </row>
    <row r="97">
      <c r="A97" s="18">
        <v>45665.0</v>
      </c>
      <c r="B97" s="16" t="s">
        <v>815</v>
      </c>
      <c r="C97" s="16">
        <v>20.0</v>
      </c>
      <c r="D97" s="16" t="s">
        <v>707</v>
      </c>
      <c r="E97" s="16">
        <v>2022.0</v>
      </c>
      <c r="F97" s="16">
        <v>50.1756</v>
      </c>
      <c r="G97" s="16">
        <v>11.4332</v>
      </c>
      <c r="H97" s="15"/>
      <c r="I97" s="15"/>
    </row>
    <row r="98">
      <c r="A98" s="18">
        <v>45665.0</v>
      </c>
      <c r="B98" s="16" t="s">
        <v>816</v>
      </c>
      <c r="C98" s="16" t="s">
        <v>744</v>
      </c>
      <c r="D98" s="16" t="s">
        <v>707</v>
      </c>
      <c r="E98" s="16">
        <v>2022.0</v>
      </c>
      <c r="F98" s="16">
        <v>51.4932</v>
      </c>
      <c r="G98" s="16">
        <v>13.847</v>
      </c>
      <c r="H98" s="15"/>
      <c r="I98" s="15"/>
    </row>
    <row r="99">
      <c r="A99" s="18">
        <v>45665.0</v>
      </c>
      <c r="B99" s="16" t="s">
        <v>817</v>
      </c>
      <c r="C99" s="16">
        <v>20.0</v>
      </c>
      <c r="D99" s="16" t="s">
        <v>707</v>
      </c>
      <c r="E99" s="16">
        <v>2022.0</v>
      </c>
      <c r="F99" s="16">
        <v>50.3608</v>
      </c>
      <c r="G99" s="16">
        <v>11.7152</v>
      </c>
      <c r="H99" s="15"/>
      <c r="I99" s="15"/>
    </row>
    <row r="100">
      <c r="A100" s="18">
        <v>45665.0</v>
      </c>
      <c r="B100" s="16" t="s">
        <v>818</v>
      </c>
      <c r="C100" s="16" t="s">
        <v>819</v>
      </c>
      <c r="D100" s="16" t="s">
        <v>707</v>
      </c>
      <c r="E100" s="16">
        <v>2022.0</v>
      </c>
      <c r="F100" s="16">
        <v>53.1214</v>
      </c>
      <c r="G100" s="16">
        <v>13.0038</v>
      </c>
      <c r="H100" s="15"/>
      <c r="I100" s="15"/>
    </row>
    <row r="101">
      <c r="A101" s="18">
        <v>44984.0</v>
      </c>
      <c r="B101" s="16" t="s">
        <v>820</v>
      </c>
      <c r="C101" s="16">
        <v>39.0</v>
      </c>
      <c r="D101" s="16" t="s">
        <v>707</v>
      </c>
      <c r="E101" s="16">
        <v>2023.0</v>
      </c>
      <c r="F101" s="16">
        <v>53.917</v>
      </c>
      <c r="G101" s="16">
        <v>9.2156</v>
      </c>
      <c r="H101" s="15"/>
      <c r="I101" s="15"/>
    </row>
    <row r="102">
      <c r="A102" s="18">
        <v>45329.0</v>
      </c>
      <c r="B102" s="16" t="s">
        <v>821</v>
      </c>
      <c r="C102" s="16" t="s">
        <v>822</v>
      </c>
      <c r="D102" s="16" t="s">
        <v>707</v>
      </c>
      <c r="E102" s="16">
        <v>2023.0</v>
      </c>
      <c r="F102" s="16">
        <v>48.6602</v>
      </c>
      <c r="G102" s="16">
        <v>11.3354</v>
      </c>
      <c r="H102" s="15"/>
      <c r="I102" s="15"/>
    </row>
    <row r="103">
      <c r="A103" s="18">
        <v>45329.0</v>
      </c>
      <c r="B103" s="16" t="s">
        <v>823</v>
      </c>
      <c r="C103" s="16" t="s">
        <v>824</v>
      </c>
      <c r="D103" s="16" t="s">
        <v>707</v>
      </c>
      <c r="E103" s="16">
        <v>2023.0</v>
      </c>
      <c r="F103" s="16">
        <v>52.5802</v>
      </c>
      <c r="G103" s="16">
        <v>13.9477</v>
      </c>
      <c r="H103" s="15"/>
      <c r="I103" s="15"/>
    </row>
    <row r="104">
      <c r="A104" s="18">
        <v>45377.0</v>
      </c>
      <c r="B104" s="16" t="s">
        <v>825</v>
      </c>
      <c r="C104" s="16">
        <v>180.0</v>
      </c>
      <c r="D104" s="16" t="s">
        <v>707</v>
      </c>
      <c r="E104" s="16">
        <v>2023.0</v>
      </c>
      <c r="F104" s="16">
        <v>53.2376</v>
      </c>
      <c r="G104" s="16">
        <v>13.6594</v>
      </c>
      <c r="H104" s="15"/>
      <c r="I104" s="15"/>
    </row>
    <row r="105">
      <c r="A105" s="18">
        <v>45377.0</v>
      </c>
      <c r="B105" s="16" t="s">
        <v>826</v>
      </c>
      <c r="C105" s="16">
        <v>105.0</v>
      </c>
      <c r="D105" s="16" t="s">
        <v>707</v>
      </c>
      <c r="E105" s="16">
        <v>2023.0</v>
      </c>
      <c r="F105" s="16">
        <v>50.2282</v>
      </c>
      <c r="G105" s="16">
        <v>10.5165</v>
      </c>
      <c r="H105" s="15"/>
      <c r="I105" s="15"/>
    </row>
    <row r="106">
      <c r="A106" s="18">
        <v>45377.0</v>
      </c>
      <c r="B106" s="16" t="s">
        <v>827</v>
      </c>
      <c r="C106" s="16">
        <v>154.0</v>
      </c>
      <c r="D106" s="16" t="s">
        <v>707</v>
      </c>
      <c r="E106" s="16">
        <v>2023.0</v>
      </c>
      <c r="F106" s="16">
        <v>52.9975</v>
      </c>
      <c r="G106" s="16">
        <v>12.193</v>
      </c>
      <c r="H106" s="15"/>
      <c r="I106" s="15"/>
    </row>
    <row r="107">
      <c r="A107" s="18">
        <v>45377.0</v>
      </c>
      <c r="B107" s="16" t="s">
        <v>828</v>
      </c>
      <c r="C107" s="16">
        <v>20.0</v>
      </c>
      <c r="D107" s="16" t="s">
        <v>707</v>
      </c>
      <c r="E107" s="16">
        <v>2023.0</v>
      </c>
      <c r="F107" s="16">
        <v>51.81</v>
      </c>
      <c r="G107" s="16">
        <v>11.1233</v>
      </c>
      <c r="H107" s="15"/>
      <c r="I107" s="15"/>
    </row>
    <row r="108">
      <c r="A108" s="18">
        <v>45378.0</v>
      </c>
      <c r="B108" s="16" t="s">
        <v>778</v>
      </c>
      <c r="C108" s="16">
        <v>65.0</v>
      </c>
      <c r="D108" s="16" t="s">
        <v>707</v>
      </c>
      <c r="E108" s="16">
        <v>2023.0</v>
      </c>
      <c r="F108" s="16">
        <v>48.6456</v>
      </c>
      <c r="G108" s="16">
        <v>11.2786</v>
      </c>
      <c r="H108" s="15"/>
      <c r="I108" s="15"/>
    </row>
    <row r="109">
      <c r="A109" s="18">
        <v>45378.0</v>
      </c>
      <c r="B109" s="16" t="s">
        <v>829</v>
      </c>
      <c r="C109" s="16">
        <v>42.0</v>
      </c>
      <c r="D109" s="16" t="s">
        <v>707</v>
      </c>
      <c r="E109" s="16">
        <v>2023.0</v>
      </c>
      <c r="F109" s="16">
        <v>54.093</v>
      </c>
      <c r="G109" s="16">
        <v>9.9235</v>
      </c>
      <c r="H109" s="15"/>
      <c r="I109" s="15"/>
    </row>
    <row r="110">
      <c r="A110" s="17">
        <v>45636.0</v>
      </c>
      <c r="B110" s="16" t="s">
        <v>830</v>
      </c>
      <c r="C110" s="16" t="s">
        <v>831</v>
      </c>
      <c r="D110" s="16" t="s">
        <v>707</v>
      </c>
      <c r="E110" s="16">
        <v>2023.0</v>
      </c>
      <c r="F110" s="16">
        <v>54.093</v>
      </c>
      <c r="G110" s="16">
        <v>9.9235</v>
      </c>
      <c r="H110" s="15"/>
      <c r="I110" s="15"/>
    </row>
    <row r="111">
      <c r="A111" s="18">
        <v>45665.0</v>
      </c>
      <c r="B111" s="16" t="s">
        <v>832</v>
      </c>
      <c r="C111" s="16">
        <v>20.0</v>
      </c>
      <c r="D111" s="16" t="s">
        <v>707</v>
      </c>
      <c r="E111" s="16">
        <v>2023.0</v>
      </c>
      <c r="F111" s="16">
        <v>50.1233</v>
      </c>
      <c r="G111" s="16">
        <v>10.8007</v>
      </c>
      <c r="H111" s="15"/>
      <c r="I111" s="15"/>
    </row>
    <row r="112">
      <c r="A112" s="18">
        <v>45665.0</v>
      </c>
      <c r="B112" s="16" t="s">
        <v>826</v>
      </c>
      <c r="C112" s="16">
        <v>20.0</v>
      </c>
      <c r="D112" s="16" t="s">
        <v>707</v>
      </c>
      <c r="E112" s="16">
        <v>2023.0</v>
      </c>
      <c r="F112" s="16">
        <v>50.2282</v>
      </c>
      <c r="G112" s="16">
        <v>10.5165</v>
      </c>
      <c r="H112" s="15"/>
      <c r="I112" s="15"/>
    </row>
    <row r="113">
      <c r="A113" s="18">
        <v>45665.0</v>
      </c>
      <c r="B113" s="16" t="s">
        <v>833</v>
      </c>
      <c r="C113" s="16" t="s">
        <v>834</v>
      </c>
      <c r="D113" s="16" t="s">
        <v>707</v>
      </c>
      <c r="E113" s="16">
        <v>2023.0</v>
      </c>
      <c r="F113" s="16">
        <v>54.6101</v>
      </c>
      <c r="G113" s="16">
        <v>9.3438</v>
      </c>
      <c r="H113" s="15"/>
      <c r="I113" s="15"/>
    </row>
    <row r="114">
      <c r="A114" s="18">
        <v>45665.0</v>
      </c>
      <c r="B114" s="16" t="s">
        <v>835</v>
      </c>
      <c r="C114" s="16" t="s">
        <v>836</v>
      </c>
      <c r="D114" s="16" t="s">
        <v>707</v>
      </c>
      <c r="E114" s="16">
        <v>2023.0</v>
      </c>
      <c r="F114" s="16">
        <v>48.2577</v>
      </c>
      <c r="G114" s="16">
        <v>9.646</v>
      </c>
      <c r="H114" s="15"/>
      <c r="I114" s="15"/>
    </row>
    <row r="115">
      <c r="A115" s="18">
        <v>45665.0</v>
      </c>
      <c r="B115" s="16" t="s">
        <v>837</v>
      </c>
      <c r="C115" s="16">
        <v>20.0</v>
      </c>
      <c r="D115" s="16" t="s">
        <v>707</v>
      </c>
      <c r="E115" s="16">
        <v>2023.0</v>
      </c>
      <c r="F115" s="16">
        <v>49.5926</v>
      </c>
      <c r="G115" s="16">
        <v>12.1073</v>
      </c>
      <c r="H115" s="15"/>
      <c r="I115" s="15"/>
    </row>
    <row r="116">
      <c r="A116" s="18">
        <v>45665.0</v>
      </c>
      <c r="B116" s="16" t="s">
        <v>838</v>
      </c>
      <c r="C116" s="16" t="s">
        <v>839</v>
      </c>
      <c r="D116" s="16" t="s">
        <v>707</v>
      </c>
      <c r="E116" s="16">
        <v>2023.0</v>
      </c>
      <c r="F116" s="16">
        <v>53.234</v>
      </c>
      <c r="G116" s="16">
        <v>12.216</v>
      </c>
      <c r="H116" s="15"/>
      <c r="I116" s="15"/>
    </row>
    <row r="117">
      <c r="A117" s="18">
        <v>45665.0</v>
      </c>
      <c r="B117" s="16" t="s">
        <v>840</v>
      </c>
      <c r="C117" s="16">
        <v>20.0</v>
      </c>
      <c r="D117" s="16" t="s">
        <v>707</v>
      </c>
      <c r="E117" s="16">
        <v>2023.0</v>
      </c>
      <c r="F117" s="16">
        <v>50.0162</v>
      </c>
      <c r="G117" s="16">
        <v>6.2309</v>
      </c>
      <c r="H117" s="15"/>
      <c r="I117" s="15"/>
    </row>
    <row r="118">
      <c r="A118" s="18">
        <v>45665.0</v>
      </c>
      <c r="B118" s="16" t="s">
        <v>841</v>
      </c>
      <c r="C118" s="16" t="s">
        <v>842</v>
      </c>
      <c r="D118" s="16" t="s">
        <v>707</v>
      </c>
      <c r="E118" s="16">
        <v>2023.0</v>
      </c>
      <c r="F118" s="16">
        <v>53.3504</v>
      </c>
      <c r="G118" s="16">
        <v>11.7951</v>
      </c>
      <c r="H118" s="15"/>
      <c r="I118" s="15"/>
    </row>
    <row r="119">
      <c r="A119" s="18">
        <v>45665.0</v>
      </c>
      <c r="B119" s="16" t="s">
        <v>843</v>
      </c>
      <c r="C119" s="16" t="s">
        <v>844</v>
      </c>
      <c r="D119" s="16" t="s">
        <v>707</v>
      </c>
      <c r="E119" s="16">
        <v>2023.0</v>
      </c>
      <c r="F119" s="16">
        <v>49.678</v>
      </c>
      <c r="G119" s="16">
        <v>9.4223</v>
      </c>
      <c r="H119" s="15"/>
      <c r="I119" s="15"/>
    </row>
    <row r="120">
      <c r="A120" s="18">
        <v>45665.0</v>
      </c>
      <c r="B120" s="16" t="s">
        <v>845</v>
      </c>
      <c r="C120" s="16" t="s">
        <v>846</v>
      </c>
      <c r="D120" s="16" t="s">
        <v>707</v>
      </c>
      <c r="E120" s="16">
        <v>2023.0</v>
      </c>
      <c r="F120" s="16">
        <v>48.655</v>
      </c>
      <c r="G120" s="16">
        <v>10.089</v>
      </c>
      <c r="H120" s="15"/>
      <c r="I120" s="15"/>
    </row>
    <row r="121">
      <c r="A121" s="18">
        <v>45665.0</v>
      </c>
      <c r="B121" s="16" t="s">
        <v>847</v>
      </c>
      <c r="C121" s="16">
        <v>20.0</v>
      </c>
      <c r="D121" s="16" t="s">
        <v>707</v>
      </c>
      <c r="E121" s="16">
        <v>2023.0</v>
      </c>
      <c r="F121" s="16">
        <v>53.3071</v>
      </c>
      <c r="G121" s="16">
        <v>12.7664</v>
      </c>
      <c r="H121" s="15"/>
      <c r="I121" s="15"/>
    </row>
    <row r="122">
      <c r="A122" s="18">
        <v>45665.0</v>
      </c>
      <c r="B122" s="16" t="s">
        <v>848</v>
      </c>
      <c r="C122" s="16">
        <v>20.0</v>
      </c>
      <c r="D122" s="16" t="s">
        <v>707</v>
      </c>
      <c r="E122" s="16">
        <v>2023.0</v>
      </c>
      <c r="F122" s="16">
        <v>51.302</v>
      </c>
      <c r="G122" s="16">
        <v>11.9555</v>
      </c>
      <c r="H122" s="15"/>
      <c r="I122" s="15"/>
    </row>
    <row r="123">
      <c r="A123" s="18">
        <v>45665.0</v>
      </c>
      <c r="B123" s="16" t="s">
        <v>849</v>
      </c>
      <c r="C123" s="16">
        <v>29.0</v>
      </c>
      <c r="D123" s="16" t="s">
        <v>707</v>
      </c>
      <c r="E123" s="16">
        <v>2023.0</v>
      </c>
      <c r="F123" s="16">
        <v>50.0742</v>
      </c>
      <c r="G123" s="16">
        <v>7.1416</v>
      </c>
      <c r="H123" s="15"/>
      <c r="I123" s="15"/>
    </row>
    <row r="124">
      <c r="A124" s="18">
        <v>45665.0</v>
      </c>
      <c r="B124" s="16" t="s">
        <v>850</v>
      </c>
      <c r="C124" s="16" t="s">
        <v>851</v>
      </c>
      <c r="D124" s="16" t="s">
        <v>707</v>
      </c>
      <c r="E124" s="16">
        <v>2023.0</v>
      </c>
      <c r="F124" s="16">
        <v>51.1616</v>
      </c>
      <c r="G124" s="16">
        <v>12.3303</v>
      </c>
      <c r="H124" s="15"/>
      <c r="I124" s="15"/>
    </row>
    <row r="125">
      <c r="A125" s="18">
        <v>45665.0</v>
      </c>
      <c r="B125" s="16" t="s">
        <v>852</v>
      </c>
      <c r="C125" s="16">
        <v>20.0</v>
      </c>
      <c r="D125" s="16" t="s">
        <v>707</v>
      </c>
      <c r="E125" s="16">
        <v>2023.0</v>
      </c>
      <c r="F125" s="16">
        <v>49.7694</v>
      </c>
      <c r="G125" s="16">
        <v>11.1317</v>
      </c>
      <c r="H125" s="15"/>
      <c r="I125" s="15"/>
    </row>
    <row r="126">
      <c r="A126" s="18">
        <v>45665.0</v>
      </c>
      <c r="B126" s="16" t="s">
        <v>853</v>
      </c>
      <c r="C126" s="16">
        <v>20.0</v>
      </c>
      <c r="D126" s="16" t="s">
        <v>707</v>
      </c>
      <c r="E126" s="16">
        <v>2023.0</v>
      </c>
      <c r="F126" s="16">
        <v>48.8749</v>
      </c>
      <c r="G126" s="16">
        <v>12.511</v>
      </c>
      <c r="H126" s="15"/>
      <c r="I126" s="15"/>
    </row>
    <row r="127">
      <c r="A127" s="18">
        <v>45665.0</v>
      </c>
      <c r="B127" s="16" t="s">
        <v>854</v>
      </c>
      <c r="C127" s="16">
        <v>30.0</v>
      </c>
      <c r="D127" s="16" t="s">
        <v>707</v>
      </c>
      <c r="E127" s="16">
        <v>2023.0</v>
      </c>
      <c r="F127" s="16">
        <v>53.8174</v>
      </c>
      <c r="G127" s="16">
        <v>11.5912</v>
      </c>
      <c r="H127" s="15"/>
      <c r="I127" s="15"/>
    </row>
    <row r="128">
      <c r="A128" s="18">
        <v>45665.0</v>
      </c>
      <c r="B128" s="16" t="s">
        <v>855</v>
      </c>
      <c r="C128" s="16" t="s">
        <v>856</v>
      </c>
      <c r="D128" s="16" t="s">
        <v>707</v>
      </c>
      <c r="E128" s="16">
        <v>2023.0</v>
      </c>
      <c r="F128" s="16">
        <v>50.3608</v>
      </c>
      <c r="G128" s="16">
        <v>11.7152</v>
      </c>
      <c r="H128" s="15"/>
      <c r="I128" s="15"/>
    </row>
    <row r="129">
      <c r="A129" s="18">
        <v>45665.0</v>
      </c>
      <c r="B129" s="16" t="s">
        <v>857</v>
      </c>
      <c r="C129" s="16" t="s">
        <v>858</v>
      </c>
      <c r="D129" s="16" t="s">
        <v>707</v>
      </c>
      <c r="E129" s="16">
        <v>2023.0</v>
      </c>
      <c r="F129" s="16">
        <v>49.9354</v>
      </c>
      <c r="G129" s="16">
        <v>9.8427</v>
      </c>
      <c r="H129" s="15"/>
      <c r="I129" s="15"/>
    </row>
    <row r="130">
      <c r="A130" s="18">
        <v>45397.0</v>
      </c>
      <c r="B130" s="16" t="s">
        <v>859</v>
      </c>
      <c r="C130" s="16" t="s">
        <v>860</v>
      </c>
      <c r="D130" s="16" t="s">
        <v>707</v>
      </c>
      <c r="E130" s="16">
        <v>2024.0</v>
      </c>
      <c r="F130" s="16">
        <v>51.1727</v>
      </c>
      <c r="G130" s="16">
        <v>12.4024</v>
      </c>
      <c r="H130" s="15"/>
      <c r="I130" s="15"/>
    </row>
    <row r="131">
      <c r="A131" s="18">
        <v>45422.0</v>
      </c>
      <c r="B131" s="16" t="s">
        <v>861</v>
      </c>
      <c r="C131" s="16" t="s">
        <v>862</v>
      </c>
      <c r="D131" s="16" t="s">
        <v>707</v>
      </c>
      <c r="E131" s="16">
        <v>2024.0</v>
      </c>
      <c r="F131" s="16">
        <v>51.933</v>
      </c>
      <c r="G131" s="16">
        <v>13.746</v>
      </c>
      <c r="H131" s="15"/>
      <c r="I131" s="15"/>
    </row>
    <row r="132">
      <c r="A132" s="17">
        <v>45636.0</v>
      </c>
      <c r="B132" s="16" t="s">
        <v>863</v>
      </c>
      <c r="C132" s="16" t="s">
        <v>864</v>
      </c>
      <c r="D132" s="16" t="s">
        <v>707</v>
      </c>
      <c r="E132" s="16">
        <v>2024.0</v>
      </c>
      <c r="F132" s="16">
        <v>50.3658</v>
      </c>
      <c r="G132" s="16">
        <v>11.7192</v>
      </c>
      <c r="H132" s="15"/>
      <c r="I132" s="15"/>
    </row>
    <row r="133">
      <c r="A133" s="17">
        <v>45636.0</v>
      </c>
      <c r="B133" s="16" t="s">
        <v>865</v>
      </c>
      <c r="C133" s="16" t="s">
        <v>866</v>
      </c>
      <c r="D133" s="16" t="s">
        <v>707</v>
      </c>
      <c r="E133" s="16">
        <v>2024.0</v>
      </c>
      <c r="F133" s="16">
        <v>50.0273</v>
      </c>
      <c r="G133" s="16">
        <v>7.1356</v>
      </c>
      <c r="H133" s="15"/>
      <c r="I133" s="15"/>
    </row>
    <row r="134">
      <c r="A134" s="17">
        <v>45636.0</v>
      </c>
      <c r="B134" s="16" t="s">
        <v>867</v>
      </c>
      <c r="C134" s="16" t="s">
        <v>868</v>
      </c>
      <c r="D134" s="16" t="s">
        <v>707</v>
      </c>
      <c r="E134" s="16">
        <v>2024.0</v>
      </c>
      <c r="F134" s="16">
        <v>54.2579</v>
      </c>
      <c r="G134" s="16">
        <v>9.8029</v>
      </c>
      <c r="H134" s="15"/>
      <c r="I134" s="15"/>
    </row>
    <row r="135">
      <c r="A135" s="17">
        <v>45636.0</v>
      </c>
      <c r="B135" s="16" t="s">
        <v>869</v>
      </c>
      <c r="C135" s="16" t="s">
        <v>784</v>
      </c>
      <c r="D135" s="16" t="s">
        <v>707</v>
      </c>
      <c r="E135" s="16">
        <v>2024.0</v>
      </c>
      <c r="F135" s="16">
        <v>52.4035</v>
      </c>
      <c r="G135" s="16">
        <v>11.3072</v>
      </c>
      <c r="H135" s="15"/>
      <c r="I135" s="15"/>
    </row>
    <row r="136">
      <c r="A136" s="17">
        <v>45636.0</v>
      </c>
      <c r="B136" s="16" t="s">
        <v>870</v>
      </c>
      <c r="C136" s="16">
        <v>20.0</v>
      </c>
      <c r="D136" s="16" t="s">
        <v>707</v>
      </c>
      <c r="E136" s="16">
        <v>2024.0</v>
      </c>
      <c r="F136" s="16">
        <v>52.4041</v>
      </c>
      <c r="G136" s="16">
        <v>11.3078</v>
      </c>
      <c r="H136" s="15"/>
      <c r="I136" s="15"/>
    </row>
    <row r="137">
      <c r="A137" s="17">
        <v>45636.0</v>
      </c>
      <c r="B137" s="16" t="s">
        <v>871</v>
      </c>
      <c r="C137" s="16">
        <v>27.0</v>
      </c>
      <c r="D137" s="16" t="s">
        <v>707</v>
      </c>
      <c r="E137" s="16">
        <v>2024.0</v>
      </c>
      <c r="F137" s="16">
        <v>50.9115</v>
      </c>
      <c r="G137" s="16">
        <v>13.2738</v>
      </c>
      <c r="H137" s="15"/>
      <c r="I137" s="15"/>
    </row>
    <row r="138">
      <c r="A138" s="17">
        <v>45636.0</v>
      </c>
      <c r="B138" s="16" t="s">
        <v>872</v>
      </c>
      <c r="C138" s="16">
        <v>26.0</v>
      </c>
      <c r="D138" s="16" t="s">
        <v>707</v>
      </c>
      <c r="E138" s="16">
        <v>2024.0</v>
      </c>
      <c r="F138" s="16">
        <v>50.9115</v>
      </c>
      <c r="G138" s="16">
        <v>13.2738</v>
      </c>
      <c r="H138" s="15"/>
      <c r="I138" s="15"/>
    </row>
    <row r="139">
      <c r="A139" s="17">
        <v>45636.0</v>
      </c>
      <c r="B139" s="16" t="s">
        <v>873</v>
      </c>
      <c r="C139" s="16">
        <v>20.0</v>
      </c>
      <c r="D139" s="16" t="s">
        <v>707</v>
      </c>
      <c r="E139" s="16">
        <v>2024.0</v>
      </c>
      <c r="F139" s="16">
        <v>51.0376</v>
      </c>
      <c r="G139" s="16">
        <v>6.4925</v>
      </c>
      <c r="H139" s="15"/>
      <c r="I139" s="15"/>
    </row>
    <row r="140">
      <c r="A140" s="17">
        <v>45636.0</v>
      </c>
      <c r="B140" s="16" t="s">
        <v>874</v>
      </c>
      <c r="C140" s="16" t="s">
        <v>864</v>
      </c>
      <c r="D140" s="16" t="s">
        <v>707</v>
      </c>
      <c r="E140" s="16">
        <v>2024.0</v>
      </c>
      <c r="F140" s="16">
        <v>49.5496</v>
      </c>
      <c r="G140" s="16">
        <v>9.4856</v>
      </c>
      <c r="H140" s="15"/>
      <c r="I140" s="15"/>
    </row>
    <row r="141">
      <c r="A141" s="17">
        <v>45636.0</v>
      </c>
      <c r="B141" s="16" t="s">
        <v>875</v>
      </c>
      <c r="C141" s="16" t="s">
        <v>876</v>
      </c>
      <c r="D141" s="16" t="s">
        <v>707</v>
      </c>
      <c r="E141" s="16">
        <v>2024.0</v>
      </c>
      <c r="F141" s="16">
        <v>52.6323</v>
      </c>
      <c r="G141" s="16">
        <v>10.2456</v>
      </c>
      <c r="H141" s="15"/>
      <c r="I141" s="15"/>
    </row>
    <row r="142">
      <c r="A142" s="17">
        <v>45636.0</v>
      </c>
      <c r="B142" s="16" t="s">
        <v>877</v>
      </c>
      <c r="C142" s="16">
        <v>20.0</v>
      </c>
      <c r="D142" s="16" t="s">
        <v>707</v>
      </c>
      <c r="E142" s="16">
        <v>2024.0</v>
      </c>
      <c r="F142" s="16">
        <v>49.8822</v>
      </c>
      <c r="G142" s="16">
        <v>10.7437</v>
      </c>
      <c r="H142" s="15"/>
      <c r="I142" s="15"/>
    </row>
    <row r="143">
      <c r="A143" s="17">
        <v>45636.0</v>
      </c>
      <c r="B143" s="16" t="s">
        <v>878</v>
      </c>
      <c r="C143" s="16">
        <v>20.0</v>
      </c>
      <c r="D143" s="16" t="s">
        <v>707</v>
      </c>
      <c r="E143" s="16">
        <v>2024.0</v>
      </c>
      <c r="F143" s="16">
        <v>50.0513</v>
      </c>
      <c r="G143" s="16">
        <v>12.0232</v>
      </c>
      <c r="H143" s="15"/>
      <c r="I143" s="15"/>
    </row>
    <row r="144">
      <c r="A144" s="17">
        <v>45636.0</v>
      </c>
      <c r="B144" s="16" t="s">
        <v>879</v>
      </c>
      <c r="C144" s="16" t="s">
        <v>880</v>
      </c>
      <c r="D144" s="16" t="s">
        <v>707</v>
      </c>
      <c r="E144" s="16">
        <v>2024.0</v>
      </c>
      <c r="F144" s="16">
        <v>51.4333</v>
      </c>
      <c r="G144" s="16">
        <v>9.8751</v>
      </c>
      <c r="H144" s="15"/>
      <c r="I144" s="15"/>
    </row>
    <row r="145">
      <c r="A145" s="17">
        <v>45636.0</v>
      </c>
      <c r="B145" s="16" t="s">
        <v>881</v>
      </c>
      <c r="C145" s="16" t="s">
        <v>882</v>
      </c>
      <c r="D145" s="16" t="s">
        <v>707</v>
      </c>
      <c r="E145" s="16">
        <v>2024.0</v>
      </c>
      <c r="F145" s="16">
        <v>53.8572</v>
      </c>
      <c r="G145" s="16">
        <v>13.0078</v>
      </c>
      <c r="H145" s="15"/>
      <c r="I145" s="15"/>
    </row>
    <row r="146">
      <c r="A146" s="17">
        <v>45636.0</v>
      </c>
      <c r="B146" s="16" t="s">
        <v>883</v>
      </c>
      <c r="C146" s="16">
        <v>55.0</v>
      </c>
      <c r="D146" s="16" t="s">
        <v>707</v>
      </c>
      <c r="E146" s="16">
        <v>2024.0</v>
      </c>
      <c r="F146" s="16">
        <v>53.857</v>
      </c>
      <c r="G146" s="16">
        <v>13.0078</v>
      </c>
      <c r="H146" s="15"/>
      <c r="I146" s="15"/>
    </row>
    <row r="147">
      <c r="A147" s="17">
        <v>45636.0</v>
      </c>
      <c r="B147" s="16" t="s">
        <v>884</v>
      </c>
      <c r="C147" s="16" t="s">
        <v>885</v>
      </c>
      <c r="D147" s="16" t="s">
        <v>707</v>
      </c>
      <c r="E147" s="16">
        <v>2024.0</v>
      </c>
      <c r="F147" s="16">
        <v>52.4081</v>
      </c>
      <c r="G147" s="16">
        <v>14.2967</v>
      </c>
      <c r="H147" s="15"/>
      <c r="I147" s="15"/>
    </row>
    <row r="148">
      <c r="A148" s="17">
        <v>45636.0</v>
      </c>
      <c r="B148" s="16" t="s">
        <v>886</v>
      </c>
      <c r="C148" s="16" t="s">
        <v>887</v>
      </c>
      <c r="D148" s="16" t="s">
        <v>707</v>
      </c>
      <c r="E148" s="16">
        <v>2024.0</v>
      </c>
      <c r="F148" s="16">
        <v>52.4083</v>
      </c>
      <c r="G148" s="16">
        <v>14.2963</v>
      </c>
      <c r="H148" s="15"/>
      <c r="I148" s="15"/>
    </row>
    <row r="149">
      <c r="A149" s="17">
        <v>45636.0</v>
      </c>
      <c r="B149" s="16" t="s">
        <v>888</v>
      </c>
      <c r="C149" s="16" t="s">
        <v>846</v>
      </c>
      <c r="D149" s="16" t="s">
        <v>707</v>
      </c>
      <c r="E149" s="16">
        <v>2024.0</v>
      </c>
      <c r="F149" s="16">
        <v>52.4083</v>
      </c>
      <c r="G149" s="16">
        <v>14.2963</v>
      </c>
      <c r="H149" s="15"/>
      <c r="I149" s="15"/>
    </row>
    <row r="150">
      <c r="A150" s="17">
        <v>45636.0</v>
      </c>
      <c r="B150" s="16" t="s">
        <v>889</v>
      </c>
      <c r="C150" s="16" t="s">
        <v>766</v>
      </c>
      <c r="D150" s="16" t="s">
        <v>707</v>
      </c>
      <c r="E150" s="16">
        <v>2024.0</v>
      </c>
      <c r="F150" s="16">
        <v>52.5378</v>
      </c>
      <c r="G150" s="16">
        <v>14.3091</v>
      </c>
      <c r="H150" s="15"/>
      <c r="I150" s="15"/>
    </row>
    <row r="151">
      <c r="A151" s="17">
        <v>45636.0</v>
      </c>
      <c r="B151" s="16" t="s">
        <v>890</v>
      </c>
      <c r="C151" s="16">
        <v>25.0</v>
      </c>
      <c r="D151" s="16" t="s">
        <v>707</v>
      </c>
      <c r="E151" s="16">
        <v>2024.0</v>
      </c>
      <c r="F151" s="16">
        <v>50.1156</v>
      </c>
      <c r="G151" s="16">
        <v>6.1614</v>
      </c>
      <c r="H151" s="15"/>
      <c r="I151" s="15"/>
    </row>
    <row r="152">
      <c r="A152" s="17">
        <v>45636.0</v>
      </c>
      <c r="B152" s="16" t="s">
        <v>891</v>
      </c>
      <c r="C152" s="16">
        <v>26.0</v>
      </c>
      <c r="D152" s="16" t="s">
        <v>707</v>
      </c>
      <c r="E152" s="16">
        <v>2024.0</v>
      </c>
      <c r="F152" s="16">
        <v>53.552</v>
      </c>
      <c r="G152" s="16">
        <v>11.3412</v>
      </c>
      <c r="H152" s="15"/>
      <c r="I152" s="15"/>
    </row>
    <row r="153">
      <c r="A153" s="17">
        <v>45636.0</v>
      </c>
      <c r="B153" s="16" t="s">
        <v>892</v>
      </c>
      <c r="C153" s="16" t="s">
        <v>893</v>
      </c>
      <c r="D153" s="16" t="s">
        <v>707</v>
      </c>
      <c r="E153" s="16">
        <v>2024.0</v>
      </c>
      <c r="F153" s="16">
        <v>53.28</v>
      </c>
      <c r="G153" s="16">
        <v>8.2001</v>
      </c>
      <c r="H153" s="15"/>
      <c r="I153" s="15"/>
    </row>
    <row r="154">
      <c r="A154" s="17">
        <v>45636.0</v>
      </c>
      <c r="B154" s="16" t="s">
        <v>894</v>
      </c>
      <c r="C154" s="16" t="s">
        <v>895</v>
      </c>
      <c r="D154" s="16" t="s">
        <v>707</v>
      </c>
      <c r="E154" s="16">
        <v>2024.0</v>
      </c>
      <c r="F154" s="16">
        <v>52.9849</v>
      </c>
      <c r="G154" s="16">
        <v>12.9764</v>
      </c>
      <c r="H154" s="15"/>
      <c r="I154" s="15"/>
    </row>
    <row r="155">
      <c r="A155" s="17">
        <v>45636.0</v>
      </c>
      <c r="B155" s="16" t="s">
        <v>896</v>
      </c>
      <c r="C155" s="16" t="s">
        <v>897</v>
      </c>
      <c r="D155" s="16" t="s">
        <v>707</v>
      </c>
      <c r="E155" s="16">
        <v>2024.0</v>
      </c>
      <c r="F155" s="16">
        <v>52.1691</v>
      </c>
      <c r="G155" s="16">
        <v>13.2257</v>
      </c>
      <c r="H155" s="15"/>
      <c r="I155" s="15"/>
    </row>
    <row r="156">
      <c r="A156" s="17">
        <v>45636.0</v>
      </c>
      <c r="B156" s="16" t="s">
        <v>898</v>
      </c>
      <c r="C156" s="16">
        <v>58.0</v>
      </c>
      <c r="D156" s="16" t="s">
        <v>707</v>
      </c>
      <c r="E156" s="16">
        <v>2024.0</v>
      </c>
      <c r="F156" s="16">
        <v>52.6469</v>
      </c>
      <c r="G156" s="16">
        <v>14.2691</v>
      </c>
      <c r="H156" s="15"/>
      <c r="I156" s="15"/>
    </row>
    <row r="157">
      <c r="A157" s="17">
        <v>45636.0</v>
      </c>
      <c r="B157" s="16" t="s">
        <v>899</v>
      </c>
      <c r="C157" s="16" t="s">
        <v>900</v>
      </c>
      <c r="D157" s="16" t="s">
        <v>707</v>
      </c>
      <c r="E157" s="16">
        <v>2024.0</v>
      </c>
      <c r="F157" s="16">
        <v>53.0681</v>
      </c>
      <c r="G157" s="16">
        <v>11.8182</v>
      </c>
      <c r="H157" s="15"/>
      <c r="I157" s="15"/>
    </row>
    <row r="158">
      <c r="A158" s="17">
        <v>45636.0</v>
      </c>
      <c r="B158" s="16" t="s">
        <v>901</v>
      </c>
      <c r="C158" s="16">
        <v>20.0</v>
      </c>
      <c r="D158" s="16" t="s">
        <v>707</v>
      </c>
      <c r="E158" s="16">
        <v>2024.0</v>
      </c>
      <c r="F158" s="16">
        <v>50.9224</v>
      </c>
      <c r="G158" s="16">
        <v>6.5252</v>
      </c>
      <c r="H158" s="15"/>
      <c r="I158" s="15"/>
    </row>
    <row r="159">
      <c r="A159" s="17">
        <v>45636.0</v>
      </c>
      <c r="B159" s="16" t="s">
        <v>902</v>
      </c>
      <c r="C159" s="16">
        <v>24.0</v>
      </c>
      <c r="D159" s="16" t="s">
        <v>707</v>
      </c>
      <c r="E159" s="16">
        <v>2024.0</v>
      </c>
      <c r="F159" s="16">
        <v>49.3713</v>
      </c>
      <c r="G159" s="16">
        <v>6.8986</v>
      </c>
      <c r="H159" s="15"/>
      <c r="I159" s="15"/>
    </row>
    <row r="160">
      <c r="A160" s="17">
        <v>45636.0</v>
      </c>
      <c r="B160" s="16" t="s">
        <v>903</v>
      </c>
      <c r="C160" s="16">
        <v>24.0</v>
      </c>
      <c r="D160" s="16" t="s">
        <v>707</v>
      </c>
      <c r="E160" s="16">
        <v>2024.0</v>
      </c>
      <c r="F160" s="16">
        <v>50.0044</v>
      </c>
      <c r="G160" s="16">
        <v>6.8231</v>
      </c>
      <c r="H160" s="15"/>
      <c r="I160" s="15"/>
    </row>
    <row r="161">
      <c r="A161" s="17">
        <v>45636.0</v>
      </c>
      <c r="B161" s="16" t="s">
        <v>904</v>
      </c>
      <c r="C161" s="16">
        <v>20.0</v>
      </c>
      <c r="D161" s="16" t="s">
        <v>707</v>
      </c>
      <c r="E161" s="16">
        <v>2024.0</v>
      </c>
      <c r="F161" s="16">
        <v>50.9213</v>
      </c>
      <c r="G161" s="16">
        <v>13.2713</v>
      </c>
      <c r="H161" s="15"/>
      <c r="I161" s="15"/>
    </row>
    <row r="162">
      <c r="A162" s="17">
        <v>45636.0</v>
      </c>
      <c r="B162" s="16" t="s">
        <v>905</v>
      </c>
      <c r="C162" s="16" t="s">
        <v>856</v>
      </c>
      <c r="D162" s="16" t="s">
        <v>707</v>
      </c>
      <c r="E162" s="16">
        <v>2024.0</v>
      </c>
      <c r="F162" s="16">
        <v>52.5348</v>
      </c>
      <c r="G162" s="16">
        <v>12.1854</v>
      </c>
      <c r="H162" s="15"/>
      <c r="I162" s="15"/>
    </row>
    <row r="163">
      <c r="A163" s="17">
        <v>45636.0</v>
      </c>
      <c r="B163" s="16" t="s">
        <v>906</v>
      </c>
      <c r="C163" s="16" t="s">
        <v>907</v>
      </c>
      <c r="D163" s="16" t="s">
        <v>707</v>
      </c>
      <c r="E163" s="16">
        <v>2024.0</v>
      </c>
      <c r="F163" s="16">
        <v>52.5348</v>
      </c>
      <c r="G163" s="16">
        <v>12.1854</v>
      </c>
      <c r="H163" s="15"/>
      <c r="I163" s="15"/>
    </row>
    <row r="164">
      <c r="A164" s="17">
        <v>45636.0</v>
      </c>
      <c r="B164" s="16" t="s">
        <v>908</v>
      </c>
      <c r="C164" s="16" t="s">
        <v>909</v>
      </c>
      <c r="D164" s="16" t="s">
        <v>707</v>
      </c>
      <c r="E164" s="16">
        <v>2024.0</v>
      </c>
      <c r="F164" s="16">
        <v>51.9559</v>
      </c>
      <c r="G164" s="16">
        <v>13.3848</v>
      </c>
      <c r="H164" s="15"/>
      <c r="I164" s="15"/>
    </row>
    <row r="165">
      <c r="A165" s="17">
        <v>45636.0</v>
      </c>
      <c r="B165" s="16" t="s">
        <v>910</v>
      </c>
      <c r="C165" s="16">
        <v>20.0</v>
      </c>
      <c r="D165" s="16" t="s">
        <v>707</v>
      </c>
      <c r="E165" s="16">
        <v>2024.0</v>
      </c>
      <c r="F165" s="16">
        <v>52.4801</v>
      </c>
      <c r="G165" s="16">
        <v>12.3232</v>
      </c>
      <c r="H165" s="15"/>
      <c r="I165" s="15"/>
    </row>
    <row r="166">
      <c r="A166" s="17">
        <v>45636.0</v>
      </c>
      <c r="B166" s="16" t="s">
        <v>911</v>
      </c>
      <c r="C166" s="16" t="s">
        <v>912</v>
      </c>
      <c r="D166" s="16" t="s">
        <v>707</v>
      </c>
      <c r="E166" s="16">
        <v>2024.0</v>
      </c>
      <c r="F166" s="16">
        <v>52.7694</v>
      </c>
      <c r="G166" s="16">
        <v>13.3681</v>
      </c>
      <c r="H166" s="15"/>
      <c r="I166" s="15"/>
    </row>
    <row r="167">
      <c r="A167" s="17">
        <v>45636.0</v>
      </c>
      <c r="B167" s="16" t="s">
        <v>913</v>
      </c>
      <c r="C167" s="16">
        <v>20.0</v>
      </c>
      <c r="D167" s="16" t="s">
        <v>707</v>
      </c>
      <c r="E167" s="16">
        <v>2024.0</v>
      </c>
      <c r="F167" s="16">
        <v>48.5842</v>
      </c>
      <c r="G167" s="16">
        <v>11.1963</v>
      </c>
      <c r="H167" s="15"/>
      <c r="I167" s="15"/>
    </row>
    <row r="168">
      <c r="A168" s="17">
        <v>45636.0</v>
      </c>
      <c r="B168" s="16" t="s">
        <v>914</v>
      </c>
      <c r="C168" s="16" t="s">
        <v>777</v>
      </c>
      <c r="D168" s="16" t="s">
        <v>707</v>
      </c>
      <c r="E168" s="16">
        <v>2024.0</v>
      </c>
      <c r="F168" s="16">
        <v>50.1271</v>
      </c>
      <c r="G168" s="16">
        <v>9.1005</v>
      </c>
      <c r="H168" s="15"/>
      <c r="I168" s="15"/>
    </row>
    <row r="169">
      <c r="A169" s="17">
        <v>45636.0</v>
      </c>
      <c r="B169" s="16" t="s">
        <v>915</v>
      </c>
      <c r="C169" s="16" t="s">
        <v>916</v>
      </c>
      <c r="D169" s="16" t="s">
        <v>707</v>
      </c>
      <c r="E169" s="16">
        <v>2024.0</v>
      </c>
      <c r="F169" s="16">
        <v>48.3458</v>
      </c>
      <c r="G169" s="16">
        <v>9.8661</v>
      </c>
      <c r="H169" s="15"/>
      <c r="I169" s="15"/>
    </row>
    <row r="170">
      <c r="A170" s="18">
        <v>45665.0</v>
      </c>
      <c r="B170" s="16" t="s">
        <v>917</v>
      </c>
      <c r="C170" s="16" t="s">
        <v>918</v>
      </c>
      <c r="D170" s="16" t="s">
        <v>707</v>
      </c>
      <c r="E170" s="16">
        <v>2024.0</v>
      </c>
      <c r="F170" s="16">
        <v>51.6509</v>
      </c>
      <c r="G170" s="16">
        <v>8.286</v>
      </c>
      <c r="H170" s="15"/>
      <c r="I170" s="15"/>
    </row>
    <row r="171">
      <c r="A171" s="18">
        <v>45665.0</v>
      </c>
      <c r="B171" s="16" t="s">
        <v>919</v>
      </c>
      <c r="C171" s="16">
        <v>20.0</v>
      </c>
      <c r="D171" s="16" t="s">
        <v>707</v>
      </c>
      <c r="E171" s="16">
        <v>2024.0</v>
      </c>
      <c r="F171" s="16">
        <v>54.0324</v>
      </c>
      <c r="G171" s="16">
        <v>9.4446</v>
      </c>
      <c r="H171" s="15"/>
      <c r="I171" s="15"/>
    </row>
    <row r="172">
      <c r="A172" s="18">
        <v>45665.0</v>
      </c>
      <c r="B172" s="16" t="s">
        <v>919</v>
      </c>
      <c r="C172" s="16" t="s">
        <v>920</v>
      </c>
      <c r="D172" s="16" t="s">
        <v>707</v>
      </c>
      <c r="E172" s="16">
        <v>2024.0</v>
      </c>
      <c r="F172" s="16">
        <v>54.032</v>
      </c>
      <c r="G172" s="16">
        <v>9.446</v>
      </c>
      <c r="H172" s="15"/>
      <c r="I172" s="15"/>
    </row>
    <row r="173">
      <c r="A173" s="18">
        <v>45665.0</v>
      </c>
      <c r="B173" s="16" t="s">
        <v>921</v>
      </c>
      <c r="C173" s="16">
        <v>20.0</v>
      </c>
      <c r="D173" s="16" t="s">
        <v>707</v>
      </c>
      <c r="E173" s="16">
        <v>2024.0</v>
      </c>
      <c r="F173" s="16">
        <v>51.5745</v>
      </c>
      <c r="G173" s="16">
        <v>13.0914</v>
      </c>
      <c r="H173" s="15"/>
      <c r="I173" s="15"/>
    </row>
    <row r="174">
      <c r="A174" s="18">
        <v>45665.0</v>
      </c>
      <c r="B174" s="16" t="s">
        <v>922</v>
      </c>
      <c r="C174" s="16" t="s">
        <v>777</v>
      </c>
      <c r="D174" s="16" t="s">
        <v>707</v>
      </c>
      <c r="E174" s="16">
        <v>2024.0</v>
      </c>
      <c r="F174" s="16">
        <v>50.25</v>
      </c>
      <c r="G174" s="16">
        <v>10.36</v>
      </c>
      <c r="H174" s="15"/>
      <c r="I174" s="15"/>
    </row>
    <row r="175">
      <c r="A175" s="18">
        <v>45665.0</v>
      </c>
      <c r="B175" s="16" t="s">
        <v>923</v>
      </c>
      <c r="C175" s="16" t="s">
        <v>924</v>
      </c>
      <c r="D175" s="16" t="s">
        <v>707</v>
      </c>
      <c r="E175" s="16">
        <v>2024.0</v>
      </c>
      <c r="F175" s="16">
        <v>49.5638</v>
      </c>
      <c r="G175" s="16">
        <v>9.7746</v>
      </c>
      <c r="H175" s="15"/>
      <c r="I175" s="15"/>
    </row>
    <row r="176">
      <c r="A176" s="18">
        <v>45665.0</v>
      </c>
      <c r="B176" s="16" t="s">
        <v>925</v>
      </c>
      <c r="C176" s="16" t="s">
        <v>926</v>
      </c>
      <c r="D176" s="16" t="s">
        <v>707</v>
      </c>
      <c r="E176" s="16">
        <v>2024.0</v>
      </c>
      <c r="F176" s="16">
        <v>53.5075</v>
      </c>
      <c r="G176" s="16">
        <v>7.9857</v>
      </c>
      <c r="H176" s="15"/>
      <c r="I176" s="15"/>
    </row>
    <row r="177">
      <c r="A177" s="18">
        <v>45665.0</v>
      </c>
      <c r="B177" s="16" t="s">
        <v>927</v>
      </c>
      <c r="C177" s="16" t="s">
        <v>866</v>
      </c>
      <c r="D177" s="16" t="s">
        <v>707</v>
      </c>
      <c r="E177" s="16">
        <v>2024.0</v>
      </c>
      <c r="F177" s="16">
        <v>50.0838</v>
      </c>
      <c r="G177" s="16">
        <v>9.947</v>
      </c>
      <c r="H177" s="15"/>
      <c r="I177" s="15"/>
    </row>
    <row r="178">
      <c r="A178" s="18">
        <v>45665.0</v>
      </c>
      <c r="B178" s="16" t="s">
        <v>928</v>
      </c>
      <c r="C178" s="16" t="s">
        <v>929</v>
      </c>
      <c r="D178" s="16" t="s">
        <v>707</v>
      </c>
      <c r="E178" s="16">
        <v>2024.0</v>
      </c>
      <c r="F178" s="16">
        <v>49.6732</v>
      </c>
      <c r="G178" s="16">
        <v>9.4171</v>
      </c>
      <c r="H178" s="15"/>
      <c r="I178" s="15"/>
    </row>
    <row r="179">
      <c r="A179" s="18">
        <v>45665.0</v>
      </c>
      <c r="B179" s="16" t="s">
        <v>930</v>
      </c>
      <c r="C179" s="16" t="s">
        <v>931</v>
      </c>
      <c r="D179" s="16" t="s">
        <v>707</v>
      </c>
      <c r="E179" s="16">
        <v>2024.0</v>
      </c>
      <c r="F179" s="16">
        <v>51.5459</v>
      </c>
      <c r="G179" s="16">
        <v>14.2645</v>
      </c>
      <c r="H179" s="15"/>
      <c r="I179" s="15"/>
    </row>
    <row r="180">
      <c r="A180" s="18">
        <v>45665.0</v>
      </c>
      <c r="B180" s="16" t="s">
        <v>932</v>
      </c>
      <c r="C180" s="16">
        <v>60.0</v>
      </c>
      <c r="D180" s="16" t="s">
        <v>707</v>
      </c>
      <c r="E180" s="16">
        <v>2024.0</v>
      </c>
      <c r="F180" s="16">
        <v>52.6145</v>
      </c>
      <c r="G180" s="16">
        <v>14.3562</v>
      </c>
      <c r="H180" s="15"/>
      <c r="I180" s="15"/>
    </row>
    <row r="181">
      <c r="A181" s="18">
        <v>45665.0</v>
      </c>
      <c r="B181" s="16" t="s">
        <v>933</v>
      </c>
      <c r="C181" s="16">
        <v>20.0</v>
      </c>
      <c r="D181" s="16" t="s">
        <v>707</v>
      </c>
      <c r="E181" s="16">
        <v>2024.0</v>
      </c>
      <c r="F181" s="16">
        <v>54.3547</v>
      </c>
      <c r="G181" s="16">
        <v>9.6843</v>
      </c>
      <c r="H181" s="15"/>
      <c r="I181" s="15"/>
    </row>
    <row r="182">
      <c r="A182" s="18">
        <v>45665.0</v>
      </c>
      <c r="B182" s="16" t="s">
        <v>934</v>
      </c>
      <c r="C182" s="16" t="s">
        <v>935</v>
      </c>
      <c r="D182" s="16" t="s">
        <v>707</v>
      </c>
      <c r="E182" s="16">
        <v>2024.0</v>
      </c>
      <c r="F182" s="16">
        <v>50.2412</v>
      </c>
      <c r="G182" s="16">
        <v>10.357</v>
      </c>
      <c r="H182" s="15"/>
      <c r="I182" s="15"/>
    </row>
    <row r="183">
      <c r="A183" s="18">
        <v>45665.0</v>
      </c>
      <c r="B183" s="16" t="s">
        <v>936</v>
      </c>
      <c r="C183" s="16" t="s">
        <v>937</v>
      </c>
      <c r="D183" s="16" t="s">
        <v>707</v>
      </c>
      <c r="E183" s="16">
        <v>2024.0</v>
      </c>
      <c r="F183" s="16">
        <v>52.8622</v>
      </c>
      <c r="G183" s="16">
        <v>12.3917</v>
      </c>
      <c r="H183" s="15"/>
      <c r="I183" s="15"/>
    </row>
    <row r="184">
      <c r="A184" s="18">
        <v>45665.0</v>
      </c>
      <c r="B184" s="16" t="s">
        <v>938</v>
      </c>
      <c r="C184" s="16" t="s">
        <v>887</v>
      </c>
      <c r="D184" s="16" t="s">
        <v>707</v>
      </c>
      <c r="E184" s="16">
        <v>2024.0</v>
      </c>
      <c r="F184" s="16">
        <v>51.434</v>
      </c>
      <c r="G184" s="16">
        <v>14.5958</v>
      </c>
      <c r="H184" s="15"/>
      <c r="I184" s="15"/>
    </row>
    <row r="185">
      <c r="A185" s="18">
        <v>45665.0</v>
      </c>
      <c r="B185" s="16" t="s">
        <v>939</v>
      </c>
      <c r="C185" s="16">
        <v>1.0</v>
      </c>
      <c r="D185" s="16" t="s">
        <v>707</v>
      </c>
      <c r="E185" s="16">
        <v>1997.0</v>
      </c>
      <c r="F185" s="16">
        <v>48.1344</v>
      </c>
      <c r="G185" s="16">
        <v>11.6926</v>
      </c>
      <c r="H185" s="15"/>
      <c r="I185" s="15"/>
    </row>
    <row r="186">
      <c r="A186" s="18">
        <v>45665.0</v>
      </c>
      <c r="B186" s="16" t="s">
        <v>940</v>
      </c>
      <c r="C186" s="16">
        <v>1.0</v>
      </c>
      <c r="D186" s="16" t="s">
        <v>707</v>
      </c>
      <c r="E186" s="16">
        <v>2003.0</v>
      </c>
      <c r="F186" s="16">
        <v>49.5109</v>
      </c>
      <c r="G186" s="16">
        <v>10.9618</v>
      </c>
      <c r="H186" s="15"/>
      <c r="I186" s="15"/>
    </row>
    <row r="187">
      <c r="A187" s="18">
        <v>45665.0</v>
      </c>
      <c r="B187" s="16" t="s">
        <v>941</v>
      </c>
      <c r="C187" s="16" t="s">
        <v>942</v>
      </c>
      <c r="D187" s="16" t="s">
        <v>707</v>
      </c>
      <c r="E187" s="16">
        <v>2004.0</v>
      </c>
      <c r="F187" s="16">
        <v>49.647</v>
      </c>
      <c r="G187" s="16">
        <v>8.4653</v>
      </c>
      <c r="H187" s="15"/>
      <c r="I187" s="15"/>
    </row>
    <row r="188">
      <c r="A188" s="18">
        <v>45665.0</v>
      </c>
      <c r="B188" s="16" t="s">
        <v>943</v>
      </c>
      <c r="C188" s="16" t="s">
        <v>942</v>
      </c>
      <c r="D188" s="16" t="s">
        <v>707</v>
      </c>
      <c r="E188" s="16">
        <v>2004.0</v>
      </c>
      <c r="F188" s="16">
        <v>49.647</v>
      </c>
      <c r="G188" s="16">
        <v>8.4653</v>
      </c>
      <c r="H188" s="15"/>
      <c r="I188" s="15"/>
    </row>
    <row r="189">
      <c r="A189" s="18">
        <v>45665.0</v>
      </c>
      <c r="B189" s="16" t="s">
        <v>944</v>
      </c>
      <c r="C189" s="16" t="s">
        <v>942</v>
      </c>
      <c r="D189" s="16" t="s">
        <v>707</v>
      </c>
      <c r="E189" s="16">
        <v>2004.0</v>
      </c>
      <c r="F189" s="16">
        <v>49.647</v>
      </c>
      <c r="G189" s="16">
        <v>8.4653</v>
      </c>
      <c r="H189" s="15"/>
      <c r="I189" s="15"/>
    </row>
    <row r="190">
      <c r="A190" s="18">
        <v>45665.0</v>
      </c>
      <c r="B190" s="16" t="s">
        <v>945</v>
      </c>
      <c r="C190" s="16" t="s">
        <v>946</v>
      </c>
      <c r="D190" s="16" t="s">
        <v>707</v>
      </c>
      <c r="E190" s="16">
        <v>2004.0</v>
      </c>
      <c r="F190" s="16">
        <v>49.647</v>
      </c>
      <c r="G190" s="16">
        <v>8.4653</v>
      </c>
      <c r="H190" s="15"/>
      <c r="I190" s="15"/>
    </row>
    <row r="191">
      <c r="A191" s="18">
        <v>45665.0</v>
      </c>
      <c r="B191" s="16" t="s">
        <v>947</v>
      </c>
      <c r="C191" s="16" t="s">
        <v>948</v>
      </c>
      <c r="D191" s="16" t="s">
        <v>707</v>
      </c>
      <c r="E191" s="16">
        <v>2004.0</v>
      </c>
      <c r="F191" s="16">
        <v>48.6435</v>
      </c>
      <c r="G191" s="16">
        <v>12.4393</v>
      </c>
      <c r="H191" s="15"/>
      <c r="I191" s="15"/>
    </row>
    <row r="192">
      <c r="A192" s="18">
        <v>45665.0</v>
      </c>
      <c r="B192" s="16" t="s">
        <v>949</v>
      </c>
      <c r="C192" s="16">
        <v>1.0</v>
      </c>
      <c r="D192" s="16" t="s">
        <v>707</v>
      </c>
      <c r="E192" s="16">
        <v>2004.0</v>
      </c>
      <c r="F192" s="16">
        <v>48.6119</v>
      </c>
      <c r="G192" s="16">
        <v>10.7745</v>
      </c>
      <c r="H192" s="15"/>
      <c r="I192" s="15"/>
    </row>
    <row r="193">
      <c r="A193" s="18">
        <v>45665.0</v>
      </c>
      <c r="B193" s="16" t="s">
        <v>950</v>
      </c>
      <c r="C193" s="16" t="s">
        <v>951</v>
      </c>
      <c r="D193" s="16" t="s">
        <v>707</v>
      </c>
      <c r="E193" s="16">
        <v>2004.0</v>
      </c>
      <c r="F193" s="16">
        <v>48.6453</v>
      </c>
      <c r="G193" s="16">
        <v>12.4458</v>
      </c>
      <c r="H193" s="15"/>
      <c r="I193" s="15"/>
    </row>
    <row r="194">
      <c r="A194" s="18">
        <v>45665.0</v>
      </c>
      <c r="B194" s="16" t="s">
        <v>952</v>
      </c>
      <c r="C194" s="16" t="s">
        <v>948</v>
      </c>
      <c r="D194" s="16" t="s">
        <v>707</v>
      </c>
      <c r="E194" s="16">
        <v>2004.0</v>
      </c>
      <c r="F194" s="16">
        <v>49.2128</v>
      </c>
      <c r="G194" s="16">
        <v>7.1158</v>
      </c>
      <c r="H194" s="15"/>
      <c r="I194" s="15"/>
    </row>
    <row r="195">
      <c r="A195" s="18">
        <v>45665.0</v>
      </c>
      <c r="B195" s="16" t="s">
        <v>953</v>
      </c>
      <c r="C195" s="16" t="s">
        <v>942</v>
      </c>
      <c r="D195" s="16" t="s">
        <v>707</v>
      </c>
      <c r="E195" s="16">
        <v>2004.0</v>
      </c>
      <c r="F195" s="16">
        <v>51.1966</v>
      </c>
      <c r="G195" s="16">
        <v>12.4783</v>
      </c>
      <c r="H195" s="15"/>
      <c r="I195" s="15"/>
    </row>
    <row r="196">
      <c r="A196" s="18">
        <v>45665.0</v>
      </c>
      <c r="B196" s="16" t="s">
        <v>954</v>
      </c>
      <c r="C196" s="16" t="s">
        <v>942</v>
      </c>
      <c r="D196" s="16" t="s">
        <v>707</v>
      </c>
      <c r="E196" s="16">
        <v>2004.0</v>
      </c>
      <c r="F196" s="16">
        <v>51.1971</v>
      </c>
      <c r="G196" s="16">
        <v>12.477</v>
      </c>
      <c r="H196" s="15"/>
      <c r="I196" s="15"/>
    </row>
    <row r="197">
      <c r="A197" s="18">
        <v>45665.0</v>
      </c>
      <c r="B197" s="16" t="s">
        <v>955</v>
      </c>
      <c r="C197" s="16" t="s">
        <v>942</v>
      </c>
      <c r="D197" s="16" t="s">
        <v>707</v>
      </c>
      <c r="E197" s="16">
        <v>2004.0</v>
      </c>
      <c r="F197" s="16">
        <v>51.197</v>
      </c>
      <c r="G197" s="16">
        <v>12.4772</v>
      </c>
      <c r="H197" s="15"/>
      <c r="I197" s="15"/>
    </row>
    <row r="198">
      <c r="A198" s="18">
        <v>45665.0</v>
      </c>
      <c r="B198" s="16" t="s">
        <v>956</v>
      </c>
      <c r="C198" s="16" t="s">
        <v>942</v>
      </c>
      <c r="D198" s="16" t="s">
        <v>707</v>
      </c>
      <c r="E198" s="16">
        <v>2004.0</v>
      </c>
      <c r="F198" s="16">
        <v>51.1967</v>
      </c>
      <c r="G198" s="16">
        <v>12.4769</v>
      </c>
      <c r="H198" s="15"/>
      <c r="I198" s="15"/>
    </row>
    <row r="199">
      <c r="A199" s="18">
        <v>45665.0</v>
      </c>
      <c r="B199" s="16" t="s">
        <v>957</v>
      </c>
      <c r="C199" s="16">
        <v>4.0</v>
      </c>
      <c r="D199" s="16" t="s">
        <v>707</v>
      </c>
      <c r="E199" s="16">
        <v>2004.0</v>
      </c>
      <c r="F199" s="16">
        <v>51.2908</v>
      </c>
      <c r="G199" s="16">
        <v>11.8674</v>
      </c>
      <c r="H199" s="15"/>
      <c r="I199" s="15"/>
    </row>
    <row r="200">
      <c r="A200" s="18">
        <v>45665.0</v>
      </c>
      <c r="B200" s="16" t="s">
        <v>958</v>
      </c>
      <c r="C200" s="16" t="s">
        <v>959</v>
      </c>
      <c r="D200" s="16" t="s">
        <v>707</v>
      </c>
      <c r="E200" s="16">
        <v>2004.0</v>
      </c>
      <c r="F200" s="16">
        <v>54.1475</v>
      </c>
      <c r="G200" s="16">
        <v>13.6898</v>
      </c>
      <c r="H200" s="15"/>
      <c r="I200" s="15"/>
    </row>
    <row r="201">
      <c r="A201" s="18">
        <v>45665.0</v>
      </c>
      <c r="B201" s="16" t="s">
        <v>960</v>
      </c>
      <c r="C201" s="16" t="s">
        <v>961</v>
      </c>
      <c r="D201" s="16" t="s">
        <v>707</v>
      </c>
      <c r="E201" s="16">
        <v>2004.0</v>
      </c>
      <c r="F201" s="16">
        <v>49.2637</v>
      </c>
      <c r="G201" s="16">
        <v>11.5909</v>
      </c>
      <c r="H201" s="15"/>
      <c r="I201" s="15"/>
    </row>
    <row r="202">
      <c r="A202" s="18">
        <v>45665.0</v>
      </c>
      <c r="B202" s="16" t="s">
        <v>962</v>
      </c>
      <c r="C202" s="16" t="s">
        <v>959</v>
      </c>
      <c r="D202" s="16" t="s">
        <v>707</v>
      </c>
      <c r="E202" s="16">
        <v>2004.0</v>
      </c>
      <c r="F202" s="16">
        <v>47.9591</v>
      </c>
      <c r="G202" s="16">
        <v>12.3178</v>
      </c>
      <c r="H202" s="15"/>
      <c r="I202" s="15"/>
    </row>
    <row r="203">
      <c r="A203" s="18">
        <v>45665.0</v>
      </c>
      <c r="B203" s="16" t="s">
        <v>963</v>
      </c>
      <c r="C203" s="16" t="s">
        <v>961</v>
      </c>
      <c r="D203" s="16" t="s">
        <v>707</v>
      </c>
      <c r="E203" s="16">
        <v>2004.0</v>
      </c>
      <c r="F203" s="16">
        <v>48.4782</v>
      </c>
      <c r="G203" s="16">
        <v>12.9192</v>
      </c>
      <c r="H203" s="15"/>
      <c r="I203" s="15"/>
    </row>
    <row r="204">
      <c r="A204" s="18">
        <v>45665.0</v>
      </c>
      <c r="B204" s="16" t="s">
        <v>964</v>
      </c>
      <c r="C204" s="16" t="s">
        <v>965</v>
      </c>
      <c r="D204" s="16" t="s">
        <v>707</v>
      </c>
      <c r="E204" s="16">
        <v>2004.0</v>
      </c>
      <c r="F204" s="16">
        <v>49.1588</v>
      </c>
      <c r="G204" s="16">
        <v>11.4338</v>
      </c>
      <c r="H204" s="15"/>
      <c r="I204" s="15"/>
    </row>
    <row r="205">
      <c r="A205" s="18">
        <v>45665.0</v>
      </c>
      <c r="B205" s="16" t="s">
        <v>966</v>
      </c>
      <c r="C205" s="16">
        <v>2.0</v>
      </c>
      <c r="D205" s="16" t="s">
        <v>967</v>
      </c>
      <c r="E205" s="16">
        <v>2004.0</v>
      </c>
      <c r="F205" s="16">
        <v>47.8636</v>
      </c>
      <c r="G205" s="16">
        <v>10.6217</v>
      </c>
      <c r="H205" s="15"/>
      <c r="I205" s="15"/>
    </row>
    <row r="206">
      <c r="A206" s="18">
        <v>45665.0</v>
      </c>
      <c r="B206" s="16" t="s">
        <v>968</v>
      </c>
      <c r="C206" s="16" t="s">
        <v>969</v>
      </c>
      <c r="D206" s="16" t="s">
        <v>707</v>
      </c>
      <c r="E206" s="16">
        <v>2004.0</v>
      </c>
      <c r="F206" s="16">
        <v>50.8295</v>
      </c>
      <c r="G206" s="16">
        <v>12.469</v>
      </c>
      <c r="H206" s="15"/>
      <c r="I206" s="15"/>
    </row>
    <row r="207">
      <c r="A207" s="18">
        <v>45665.0</v>
      </c>
      <c r="B207" s="16" t="s">
        <v>970</v>
      </c>
      <c r="C207" s="16" t="s">
        <v>971</v>
      </c>
      <c r="D207" s="16" t="s">
        <v>707</v>
      </c>
      <c r="E207" s="16">
        <v>2004.0</v>
      </c>
      <c r="F207" s="16">
        <v>49.344</v>
      </c>
      <c r="G207" s="16">
        <v>7.3497</v>
      </c>
      <c r="H207" s="15"/>
      <c r="I207" s="15"/>
    </row>
    <row r="208">
      <c r="A208" s="18">
        <v>45665.0</v>
      </c>
      <c r="B208" s="16" t="s">
        <v>972</v>
      </c>
      <c r="C208" s="16" t="s">
        <v>948</v>
      </c>
      <c r="D208" s="16" t="s">
        <v>707</v>
      </c>
      <c r="E208" s="16">
        <v>2004.0</v>
      </c>
      <c r="F208" s="16">
        <v>49.203</v>
      </c>
      <c r="G208" s="16">
        <v>8.163</v>
      </c>
      <c r="H208" s="15"/>
      <c r="I208" s="15"/>
    </row>
    <row r="209">
      <c r="A209" s="18">
        <v>45665.0</v>
      </c>
      <c r="B209" s="16" t="s">
        <v>973</v>
      </c>
      <c r="C209" s="16">
        <v>4.0</v>
      </c>
      <c r="D209" s="16" t="s">
        <v>707</v>
      </c>
      <c r="E209" s="16">
        <v>2004.0</v>
      </c>
      <c r="F209" s="16">
        <v>49.342</v>
      </c>
      <c r="G209" s="16">
        <v>7.0399</v>
      </c>
      <c r="H209" s="15"/>
      <c r="I209" s="15"/>
    </row>
    <row r="210">
      <c r="A210" s="18">
        <v>45665.0</v>
      </c>
      <c r="B210" s="16" t="s">
        <v>974</v>
      </c>
      <c r="C210" s="16">
        <v>1.0</v>
      </c>
      <c r="D210" s="16" t="s">
        <v>707</v>
      </c>
      <c r="E210" s="16">
        <v>2005.0</v>
      </c>
      <c r="F210" s="16">
        <v>49.4964</v>
      </c>
      <c r="G210" s="16">
        <v>10.3193</v>
      </c>
      <c r="H210" s="15"/>
      <c r="I210" s="15"/>
    </row>
    <row r="211">
      <c r="A211" s="18">
        <v>45665.0</v>
      </c>
      <c r="B211" s="16" t="s">
        <v>975</v>
      </c>
      <c r="C211" s="16">
        <v>5.0</v>
      </c>
      <c r="D211" s="16" t="s">
        <v>707</v>
      </c>
      <c r="E211" s="16">
        <v>2005.0</v>
      </c>
      <c r="F211" s="16">
        <v>48.3688</v>
      </c>
      <c r="G211" s="16">
        <v>13.2919</v>
      </c>
      <c r="H211" s="15"/>
      <c r="I211" s="15"/>
    </row>
    <row r="212">
      <c r="A212" s="18">
        <v>45665.0</v>
      </c>
      <c r="B212" s="16" t="s">
        <v>976</v>
      </c>
      <c r="C212" s="16" t="s">
        <v>942</v>
      </c>
      <c r="D212" s="16" t="s">
        <v>707</v>
      </c>
      <c r="E212" s="16">
        <v>2005.0</v>
      </c>
      <c r="F212" s="16">
        <v>48.3157</v>
      </c>
      <c r="G212" s="16">
        <v>11.7626</v>
      </c>
      <c r="H212" s="15"/>
      <c r="I212" s="15"/>
    </row>
    <row r="213">
      <c r="A213" s="18">
        <v>45665.0</v>
      </c>
      <c r="B213" s="16" t="s">
        <v>977</v>
      </c>
      <c r="C213" s="16" t="s">
        <v>978</v>
      </c>
      <c r="D213" s="16" t="s">
        <v>707</v>
      </c>
      <c r="E213" s="16">
        <v>2005.0</v>
      </c>
      <c r="F213" s="16">
        <v>47.9122</v>
      </c>
      <c r="G213" s="16">
        <v>10.2166</v>
      </c>
      <c r="H213" s="15"/>
      <c r="I213" s="15"/>
    </row>
    <row r="214">
      <c r="A214" s="18">
        <v>45665.0</v>
      </c>
      <c r="B214" s="16" t="s">
        <v>979</v>
      </c>
      <c r="C214" s="16" t="s">
        <v>969</v>
      </c>
      <c r="D214" s="16" t="s">
        <v>707</v>
      </c>
      <c r="E214" s="16">
        <v>2005.0</v>
      </c>
      <c r="F214" s="16">
        <v>49.2408</v>
      </c>
      <c r="G214" s="16">
        <v>11.379</v>
      </c>
      <c r="H214" s="15"/>
      <c r="I214" s="15"/>
    </row>
    <row r="215">
      <c r="A215" s="18">
        <v>45665.0</v>
      </c>
      <c r="B215" s="16" t="s">
        <v>980</v>
      </c>
      <c r="C215" s="16">
        <v>1.0</v>
      </c>
      <c r="D215" s="16" t="s">
        <v>707</v>
      </c>
      <c r="E215" s="16">
        <v>2005.0</v>
      </c>
      <c r="F215" s="16">
        <v>50.2595</v>
      </c>
      <c r="G215" s="16">
        <v>10.3568</v>
      </c>
      <c r="H215" s="15"/>
      <c r="I215" s="15"/>
    </row>
    <row r="216">
      <c r="A216" s="18">
        <v>45665.0</v>
      </c>
      <c r="B216" s="16" t="s">
        <v>981</v>
      </c>
      <c r="C216" s="16" t="s">
        <v>982</v>
      </c>
      <c r="D216" s="16" t="s">
        <v>707</v>
      </c>
      <c r="E216" s="16">
        <v>2005.0</v>
      </c>
      <c r="F216" s="16">
        <v>48.6401</v>
      </c>
      <c r="G216" s="16">
        <v>12.423</v>
      </c>
      <c r="H216" s="15"/>
      <c r="I216" s="15"/>
    </row>
    <row r="217">
      <c r="A217" s="18">
        <v>45665.0</v>
      </c>
      <c r="B217" s="16" t="s">
        <v>983</v>
      </c>
      <c r="C217" s="16" t="s">
        <v>984</v>
      </c>
      <c r="D217" s="16" t="s">
        <v>707</v>
      </c>
      <c r="E217" s="16">
        <v>2005.0</v>
      </c>
      <c r="F217" s="16">
        <v>48.0839</v>
      </c>
      <c r="G217" s="16">
        <v>9.8098</v>
      </c>
      <c r="H217" s="15"/>
      <c r="I217" s="15"/>
    </row>
    <row r="218">
      <c r="A218" s="18">
        <v>45665.0</v>
      </c>
      <c r="B218" s="16" t="s">
        <v>985</v>
      </c>
      <c r="C218" s="16" t="s">
        <v>942</v>
      </c>
      <c r="D218" s="16" t="s">
        <v>707</v>
      </c>
      <c r="E218" s="16">
        <v>2005.0</v>
      </c>
      <c r="F218" s="16">
        <v>47.6907</v>
      </c>
      <c r="G218" s="16">
        <v>10.4681</v>
      </c>
      <c r="H218" s="15"/>
      <c r="I218" s="15"/>
    </row>
    <row r="219">
      <c r="A219" s="18">
        <v>45665.0</v>
      </c>
      <c r="B219" s="16" t="s">
        <v>986</v>
      </c>
      <c r="C219" s="16">
        <v>1.0</v>
      </c>
      <c r="D219" s="16" t="s">
        <v>707</v>
      </c>
      <c r="E219" s="16">
        <v>2005.0</v>
      </c>
      <c r="F219" s="16">
        <v>49.509</v>
      </c>
      <c r="G219" s="16">
        <v>7.8808</v>
      </c>
      <c r="H219" s="15"/>
      <c r="I219" s="15"/>
    </row>
    <row r="220">
      <c r="A220" s="18">
        <v>45665.0</v>
      </c>
      <c r="B220" s="16" t="s">
        <v>987</v>
      </c>
      <c r="C220" s="16">
        <v>1.0</v>
      </c>
      <c r="D220" s="16" t="s">
        <v>707</v>
      </c>
      <c r="E220" s="16">
        <v>2005.0</v>
      </c>
      <c r="F220" s="16">
        <v>49.5103</v>
      </c>
      <c r="G220" s="16">
        <v>7.8852</v>
      </c>
      <c r="H220" s="15"/>
      <c r="I220" s="15"/>
    </row>
    <row r="221">
      <c r="A221" s="18">
        <v>45665.0</v>
      </c>
      <c r="B221" s="16" t="s">
        <v>988</v>
      </c>
      <c r="C221" s="16">
        <v>1.0</v>
      </c>
      <c r="D221" s="16" t="s">
        <v>707</v>
      </c>
      <c r="E221" s="16">
        <v>2005.0</v>
      </c>
      <c r="F221" s="16">
        <v>49.8161</v>
      </c>
      <c r="G221" s="16">
        <v>7.8704</v>
      </c>
      <c r="H221" s="15"/>
      <c r="I221" s="15"/>
    </row>
    <row r="222">
      <c r="A222" s="18">
        <v>45665.0</v>
      </c>
      <c r="B222" s="16" t="s">
        <v>989</v>
      </c>
      <c r="C222" s="16" t="s">
        <v>990</v>
      </c>
      <c r="D222" s="16" t="s">
        <v>707</v>
      </c>
      <c r="E222" s="16">
        <v>2005.0</v>
      </c>
      <c r="F222" s="16">
        <v>51.1285</v>
      </c>
      <c r="G222" s="16">
        <v>12.4726</v>
      </c>
      <c r="H222" s="15"/>
      <c r="I222" s="15"/>
    </row>
    <row r="223">
      <c r="A223" s="18">
        <v>45665.0</v>
      </c>
      <c r="B223" s="16" t="s">
        <v>991</v>
      </c>
      <c r="C223" s="16" t="s">
        <v>969</v>
      </c>
      <c r="D223" s="16" t="s">
        <v>707</v>
      </c>
      <c r="E223" s="16">
        <v>2005.0</v>
      </c>
      <c r="F223" s="16">
        <v>48.8244</v>
      </c>
      <c r="G223" s="16">
        <v>12.7416</v>
      </c>
      <c r="H223" s="15"/>
      <c r="I223" s="15"/>
    </row>
    <row r="224">
      <c r="A224" s="18">
        <v>45665.0</v>
      </c>
      <c r="B224" s="16" t="s">
        <v>992</v>
      </c>
      <c r="C224" s="16" t="s">
        <v>951</v>
      </c>
      <c r="D224" s="16" t="s">
        <v>707</v>
      </c>
      <c r="E224" s="16">
        <v>2005.0</v>
      </c>
      <c r="F224" s="16">
        <v>48.2943</v>
      </c>
      <c r="G224" s="16">
        <v>7.7315</v>
      </c>
      <c r="H224" s="15"/>
      <c r="I224" s="15"/>
    </row>
    <row r="225">
      <c r="A225" s="18">
        <v>45665.0</v>
      </c>
      <c r="B225" s="16" t="s">
        <v>993</v>
      </c>
      <c r="C225" s="16" t="s">
        <v>969</v>
      </c>
      <c r="D225" s="16" t="s">
        <v>707</v>
      </c>
      <c r="E225" s="16">
        <v>2005.0</v>
      </c>
      <c r="F225" s="16">
        <v>50.8757</v>
      </c>
      <c r="G225" s="16">
        <v>12.88</v>
      </c>
      <c r="H225" s="15"/>
      <c r="I225" s="15"/>
    </row>
    <row r="226">
      <c r="A226" s="18">
        <v>45665.0</v>
      </c>
      <c r="B226" s="16" t="s">
        <v>994</v>
      </c>
      <c r="C226" s="16" t="s">
        <v>961</v>
      </c>
      <c r="D226" s="16" t="s">
        <v>707</v>
      </c>
      <c r="E226" s="16">
        <v>2005.0</v>
      </c>
      <c r="F226" s="16">
        <v>48.6895</v>
      </c>
      <c r="G226" s="16">
        <v>11.125</v>
      </c>
      <c r="H226" s="15"/>
      <c r="I226" s="15"/>
    </row>
    <row r="227">
      <c r="A227" s="18">
        <v>45665.0</v>
      </c>
      <c r="B227" s="16" t="s">
        <v>995</v>
      </c>
      <c r="C227" s="16" t="s">
        <v>946</v>
      </c>
      <c r="D227" s="16" t="s">
        <v>707</v>
      </c>
      <c r="E227" s="16">
        <v>2005.0</v>
      </c>
      <c r="F227" s="16">
        <v>48.781</v>
      </c>
      <c r="G227" s="16">
        <v>8.1499</v>
      </c>
      <c r="H227" s="15"/>
      <c r="I227" s="15"/>
    </row>
    <row r="228">
      <c r="A228" s="18">
        <v>45665.0</v>
      </c>
      <c r="B228" s="16" t="s">
        <v>996</v>
      </c>
      <c r="C228" s="16" t="s">
        <v>959</v>
      </c>
      <c r="D228" s="16" t="s">
        <v>707</v>
      </c>
      <c r="E228" s="16">
        <v>2005.0</v>
      </c>
      <c r="F228" s="16">
        <v>48.5506</v>
      </c>
      <c r="G228" s="16">
        <v>13.0218</v>
      </c>
      <c r="H228" s="15"/>
      <c r="I228" s="15"/>
    </row>
    <row r="229">
      <c r="A229" s="18">
        <v>45665.0</v>
      </c>
      <c r="B229" s="16" t="s">
        <v>997</v>
      </c>
      <c r="C229" s="16" t="s">
        <v>951</v>
      </c>
      <c r="D229" s="16" t="s">
        <v>707</v>
      </c>
      <c r="E229" s="16">
        <v>2005.0</v>
      </c>
      <c r="F229" s="16">
        <v>49.3653</v>
      </c>
      <c r="G229" s="16">
        <v>10.5247</v>
      </c>
      <c r="H229" s="15"/>
      <c r="I229" s="15"/>
    </row>
    <row r="230">
      <c r="A230" s="18">
        <v>45665.0</v>
      </c>
      <c r="B230" s="16" t="s">
        <v>998</v>
      </c>
      <c r="C230" s="16">
        <v>1.0</v>
      </c>
      <c r="D230" s="16" t="s">
        <v>707</v>
      </c>
      <c r="E230" s="16">
        <v>2005.0</v>
      </c>
      <c r="F230" s="16">
        <v>54.5844</v>
      </c>
      <c r="G230" s="16">
        <v>8.9173</v>
      </c>
      <c r="H230" s="15"/>
      <c r="I230" s="15"/>
    </row>
    <row r="231">
      <c r="A231" s="18">
        <v>45665.0</v>
      </c>
      <c r="B231" s="16" t="s">
        <v>999</v>
      </c>
      <c r="C231" s="16">
        <v>1.0</v>
      </c>
      <c r="D231" s="16" t="s">
        <v>707</v>
      </c>
      <c r="E231" s="16">
        <v>2005.0</v>
      </c>
      <c r="F231" s="16">
        <v>48.6732</v>
      </c>
      <c r="G231" s="16">
        <v>13.1799</v>
      </c>
      <c r="H231" s="15"/>
      <c r="I231" s="15"/>
    </row>
    <row r="232">
      <c r="A232" s="18">
        <v>45665.0</v>
      </c>
      <c r="B232" s="16" t="s">
        <v>1000</v>
      </c>
      <c r="C232" s="16" t="s">
        <v>946</v>
      </c>
      <c r="D232" s="16" t="s">
        <v>707</v>
      </c>
      <c r="E232" s="16">
        <v>2005.0</v>
      </c>
      <c r="F232" s="16">
        <v>48.6715</v>
      </c>
      <c r="G232" s="16">
        <v>13.1792</v>
      </c>
      <c r="H232" s="15"/>
      <c r="I232" s="15"/>
    </row>
    <row r="233">
      <c r="A233" s="18">
        <v>45665.0</v>
      </c>
      <c r="B233" s="16" t="s">
        <v>1001</v>
      </c>
      <c r="C233" s="16" t="s">
        <v>1002</v>
      </c>
      <c r="D233" s="16" t="s">
        <v>707</v>
      </c>
      <c r="E233" s="16">
        <v>2005.0</v>
      </c>
      <c r="F233" s="16">
        <v>48.3233</v>
      </c>
      <c r="G233" s="16">
        <v>11.2012</v>
      </c>
      <c r="H233" s="15"/>
      <c r="I233" s="15"/>
    </row>
    <row r="234">
      <c r="A234" s="18">
        <v>45665.0</v>
      </c>
      <c r="B234" s="16" t="s">
        <v>1003</v>
      </c>
      <c r="C234" s="16" t="s">
        <v>1004</v>
      </c>
      <c r="D234" s="16" t="s">
        <v>707</v>
      </c>
      <c r="E234" s="16">
        <v>2005.0</v>
      </c>
      <c r="F234" s="16">
        <v>48.0795</v>
      </c>
      <c r="G234" s="16">
        <v>10.936</v>
      </c>
      <c r="H234" s="15"/>
      <c r="I234" s="15"/>
    </row>
    <row r="235">
      <c r="A235" s="18">
        <v>45665.0</v>
      </c>
      <c r="B235" s="16" t="s">
        <v>1005</v>
      </c>
      <c r="C235" s="16" t="s">
        <v>969</v>
      </c>
      <c r="D235" s="16" t="s">
        <v>707</v>
      </c>
      <c r="E235" s="16">
        <v>2005.0</v>
      </c>
      <c r="F235" s="16">
        <v>48.6109</v>
      </c>
      <c r="G235" s="16">
        <v>13.5504</v>
      </c>
      <c r="H235" s="15"/>
      <c r="I235" s="15"/>
    </row>
    <row r="236">
      <c r="A236" s="18">
        <v>45665.0</v>
      </c>
      <c r="B236" s="16" t="s">
        <v>1006</v>
      </c>
      <c r="C236" s="16" t="s">
        <v>1007</v>
      </c>
      <c r="D236" s="16" t="s">
        <v>707</v>
      </c>
      <c r="E236" s="16">
        <v>2005.0</v>
      </c>
      <c r="F236" s="16">
        <v>47.9862</v>
      </c>
      <c r="G236" s="16">
        <v>10.716</v>
      </c>
      <c r="H236" s="15"/>
      <c r="I236" s="15"/>
    </row>
    <row r="237">
      <c r="A237" s="18">
        <v>45665.0</v>
      </c>
      <c r="B237" s="16" t="s">
        <v>1008</v>
      </c>
      <c r="C237" s="16" t="s">
        <v>946</v>
      </c>
      <c r="D237" s="16" t="s">
        <v>707</v>
      </c>
      <c r="E237" s="16">
        <v>2005.0</v>
      </c>
      <c r="F237" s="16">
        <v>49.123</v>
      </c>
      <c r="G237" s="16">
        <v>11.656</v>
      </c>
      <c r="H237" s="15"/>
      <c r="I237" s="15"/>
    </row>
    <row r="238">
      <c r="A238" s="18">
        <v>45665.0</v>
      </c>
      <c r="B238" s="16" t="s">
        <v>1009</v>
      </c>
      <c r="C238" s="16" t="s">
        <v>971</v>
      </c>
      <c r="D238" s="16" t="s">
        <v>707</v>
      </c>
      <c r="E238" s="16">
        <v>2005.0</v>
      </c>
      <c r="F238" s="16">
        <v>49.2125</v>
      </c>
      <c r="G238" s="16">
        <v>7.1214</v>
      </c>
      <c r="H238" s="15"/>
      <c r="I238" s="15"/>
    </row>
    <row r="239">
      <c r="A239" s="18">
        <v>45665.0</v>
      </c>
      <c r="B239" s="16" t="s">
        <v>1010</v>
      </c>
      <c r="C239" s="16" t="s">
        <v>1011</v>
      </c>
      <c r="D239" s="16" t="s">
        <v>707</v>
      </c>
      <c r="E239" s="16">
        <v>2006.0</v>
      </c>
      <c r="F239" s="16">
        <v>48.883</v>
      </c>
      <c r="G239" s="16">
        <v>8.283</v>
      </c>
      <c r="H239" s="15"/>
      <c r="I239" s="15"/>
    </row>
    <row r="240">
      <c r="A240" s="18">
        <v>45665.0</v>
      </c>
      <c r="B240" s="16" t="s">
        <v>1012</v>
      </c>
      <c r="C240" s="16" t="s">
        <v>942</v>
      </c>
      <c r="D240" s="16" t="s">
        <v>707</v>
      </c>
      <c r="E240" s="16">
        <v>2006.0</v>
      </c>
      <c r="F240" s="16">
        <v>49.4965</v>
      </c>
      <c r="G240" s="16">
        <v>10.3371</v>
      </c>
      <c r="H240" s="15"/>
      <c r="I240" s="15"/>
    </row>
    <row r="241">
      <c r="A241" s="18">
        <v>45665.0</v>
      </c>
      <c r="B241" s="16" t="s">
        <v>1013</v>
      </c>
      <c r="C241" s="16">
        <v>1.0</v>
      </c>
      <c r="D241" s="16" t="s">
        <v>707</v>
      </c>
      <c r="E241" s="16">
        <v>2006.0</v>
      </c>
      <c r="F241" s="16">
        <v>48.8427</v>
      </c>
      <c r="G241" s="16">
        <v>10.7173</v>
      </c>
      <c r="H241" s="15"/>
      <c r="I241" s="15"/>
    </row>
    <row r="242">
      <c r="A242" s="18">
        <v>45665.0</v>
      </c>
      <c r="B242" s="16" t="s">
        <v>1014</v>
      </c>
      <c r="C242" s="16" t="s">
        <v>969</v>
      </c>
      <c r="D242" s="16" t="s">
        <v>707</v>
      </c>
      <c r="E242" s="16">
        <v>2006.0</v>
      </c>
      <c r="F242" s="16">
        <v>49.8138</v>
      </c>
      <c r="G242" s="16">
        <v>9.9099</v>
      </c>
      <c r="H242" s="15"/>
      <c r="I242" s="15"/>
    </row>
    <row r="243">
      <c r="A243" s="18">
        <v>45665.0</v>
      </c>
      <c r="B243" s="16" t="s">
        <v>1015</v>
      </c>
      <c r="C243" s="16">
        <v>1.0</v>
      </c>
      <c r="D243" s="16" t="s">
        <v>707</v>
      </c>
      <c r="E243" s="16">
        <v>2006.0</v>
      </c>
      <c r="F243" s="16">
        <v>49.4959</v>
      </c>
      <c r="G243" s="16">
        <v>10.9612</v>
      </c>
      <c r="H243" s="15"/>
      <c r="I243" s="15"/>
    </row>
    <row r="244">
      <c r="A244" s="18">
        <v>45665.0</v>
      </c>
      <c r="B244" s="16" t="s">
        <v>1016</v>
      </c>
      <c r="C244" s="16">
        <v>1.0</v>
      </c>
      <c r="D244" s="16" t="s">
        <v>707</v>
      </c>
      <c r="E244" s="16">
        <v>2006.0</v>
      </c>
      <c r="F244" s="16">
        <v>48.8633</v>
      </c>
      <c r="G244" s="16">
        <v>8.2386</v>
      </c>
      <c r="H244" s="15"/>
      <c r="I244" s="15"/>
    </row>
    <row r="245">
      <c r="A245" s="18">
        <v>45665.0</v>
      </c>
      <c r="B245" s="16" t="s">
        <v>1017</v>
      </c>
      <c r="C245" s="16" t="s">
        <v>951</v>
      </c>
      <c r="D245" s="16" t="s">
        <v>707</v>
      </c>
      <c r="E245" s="16">
        <v>2006.0</v>
      </c>
      <c r="F245" s="16">
        <v>48.4127</v>
      </c>
      <c r="G245" s="16">
        <v>11.2459</v>
      </c>
      <c r="H245" s="15"/>
      <c r="I245" s="15"/>
    </row>
    <row r="246">
      <c r="A246" s="18">
        <v>45665.0</v>
      </c>
      <c r="B246" s="16" t="s">
        <v>1018</v>
      </c>
      <c r="C246" s="16" t="s">
        <v>969</v>
      </c>
      <c r="D246" s="16" t="s">
        <v>707</v>
      </c>
      <c r="E246" s="16">
        <v>2006.0</v>
      </c>
      <c r="F246" s="16">
        <v>48.3158</v>
      </c>
      <c r="G246" s="16">
        <v>11.5351</v>
      </c>
      <c r="H246" s="15"/>
      <c r="I246" s="15"/>
    </row>
    <row r="247">
      <c r="A247" s="18">
        <v>45665.0</v>
      </c>
      <c r="B247" s="16" t="s">
        <v>1019</v>
      </c>
      <c r="C247" s="16">
        <v>5.0</v>
      </c>
      <c r="D247" s="16" t="s">
        <v>707</v>
      </c>
      <c r="E247" s="16">
        <v>2006.0</v>
      </c>
      <c r="F247" s="16">
        <v>48.3703</v>
      </c>
      <c r="G247" s="16">
        <v>13.2946</v>
      </c>
      <c r="H247" s="15"/>
      <c r="I247" s="15"/>
    </row>
    <row r="248">
      <c r="A248" s="18">
        <v>45665.0</v>
      </c>
      <c r="B248" s="16" t="s">
        <v>1020</v>
      </c>
      <c r="C248" s="16" t="s">
        <v>946</v>
      </c>
      <c r="D248" s="16" t="s">
        <v>707</v>
      </c>
      <c r="E248" s="16">
        <v>2006.0</v>
      </c>
      <c r="F248" s="16">
        <v>48.7068</v>
      </c>
      <c r="G248" s="16">
        <v>13.2576</v>
      </c>
      <c r="H248" s="15"/>
      <c r="I248" s="15"/>
    </row>
    <row r="249">
      <c r="A249" s="18">
        <v>45665.0</v>
      </c>
      <c r="B249" s="16" t="s">
        <v>1021</v>
      </c>
      <c r="C249" s="16" t="s">
        <v>951</v>
      </c>
      <c r="D249" s="16" t="s">
        <v>707</v>
      </c>
      <c r="E249" s="16">
        <v>2006.0</v>
      </c>
      <c r="F249" s="16">
        <v>48.8263</v>
      </c>
      <c r="G249" s="16">
        <v>10.7617</v>
      </c>
      <c r="H249" s="15"/>
      <c r="I249" s="15"/>
    </row>
    <row r="250">
      <c r="A250" s="18">
        <v>45665.0</v>
      </c>
      <c r="B250" s="16" t="s">
        <v>1022</v>
      </c>
      <c r="C250" s="16" t="s">
        <v>948</v>
      </c>
      <c r="D250" s="16" t="s">
        <v>707</v>
      </c>
      <c r="E250" s="16">
        <v>2006.0</v>
      </c>
      <c r="F250" s="16">
        <v>49.5415</v>
      </c>
      <c r="G250" s="16">
        <v>8.0778</v>
      </c>
      <c r="H250" s="15"/>
      <c r="I250" s="15"/>
    </row>
    <row r="251">
      <c r="A251" s="18">
        <v>45665.0</v>
      </c>
      <c r="B251" s="16" t="s">
        <v>1023</v>
      </c>
      <c r="C251" s="16">
        <v>2.0</v>
      </c>
      <c r="D251" s="16" t="s">
        <v>707</v>
      </c>
      <c r="E251" s="16">
        <v>2006.0</v>
      </c>
      <c r="F251" s="16">
        <v>48.4579</v>
      </c>
      <c r="G251" s="16">
        <v>10.745</v>
      </c>
      <c r="H251" s="15"/>
      <c r="I251" s="15"/>
    </row>
    <row r="252">
      <c r="A252" s="18">
        <v>45665.0</v>
      </c>
      <c r="B252" s="16" t="s">
        <v>1024</v>
      </c>
      <c r="C252" s="16" t="s">
        <v>959</v>
      </c>
      <c r="D252" s="16" t="s">
        <v>707</v>
      </c>
      <c r="E252" s="16">
        <v>2006.0</v>
      </c>
      <c r="F252" s="16">
        <v>48.2596</v>
      </c>
      <c r="G252" s="16">
        <v>10.9047</v>
      </c>
      <c r="H252" s="15"/>
      <c r="I252" s="15"/>
    </row>
    <row r="253">
      <c r="A253" s="18">
        <v>45665.0</v>
      </c>
      <c r="B253" s="16" t="s">
        <v>1025</v>
      </c>
      <c r="C253" s="16">
        <v>2.0</v>
      </c>
      <c r="D253" s="16" t="s">
        <v>707</v>
      </c>
      <c r="E253" s="16">
        <v>2006.0</v>
      </c>
      <c r="F253" s="16">
        <v>49.5095</v>
      </c>
      <c r="G253" s="16">
        <v>7.8834</v>
      </c>
      <c r="H253" s="15"/>
      <c r="I253" s="15"/>
    </row>
    <row r="254">
      <c r="A254" s="18">
        <v>45665.0</v>
      </c>
      <c r="B254" s="16" t="s">
        <v>1026</v>
      </c>
      <c r="C254" s="16" t="s">
        <v>942</v>
      </c>
      <c r="D254" s="16" t="s">
        <v>707</v>
      </c>
      <c r="E254" s="16">
        <v>2006.0</v>
      </c>
      <c r="F254" s="16">
        <v>51.397</v>
      </c>
      <c r="G254" s="16">
        <v>6.728</v>
      </c>
      <c r="H254" s="15"/>
      <c r="I254" s="15"/>
    </row>
    <row r="255">
      <c r="A255" s="18">
        <v>45665.0</v>
      </c>
      <c r="B255" s="16" t="s">
        <v>1027</v>
      </c>
      <c r="C255" s="16" t="s">
        <v>969</v>
      </c>
      <c r="D255" s="16" t="s">
        <v>707</v>
      </c>
      <c r="E255" s="16">
        <v>2006.0</v>
      </c>
      <c r="F255" s="16">
        <v>48.1653</v>
      </c>
      <c r="G255" s="16">
        <v>9.868</v>
      </c>
      <c r="H255" s="15"/>
      <c r="I255" s="15"/>
    </row>
    <row r="256">
      <c r="A256" s="18">
        <v>45665.0</v>
      </c>
      <c r="B256" s="16" t="s">
        <v>1028</v>
      </c>
      <c r="C256" s="16" t="s">
        <v>969</v>
      </c>
      <c r="D256" s="16" t="s">
        <v>707</v>
      </c>
      <c r="E256" s="16">
        <v>2006.0</v>
      </c>
      <c r="F256" s="16">
        <v>49.0893</v>
      </c>
      <c r="G256" s="16">
        <v>11.3256</v>
      </c>
      <c r="H256" s="15"/>
      <c r="I256" s="15"/>
    </row>
    <row r="257">
      <c r="A257" s="18">
        <v>45665.0</v>
      </c>
      <c r="B257" s="16" t="s">
        <v>1029</v>
      </c>
      <c r="C257" s="16">
        <v>2.0</v>
      </c>
      <c r="D257" s="16" t="s">
        <v>707</v>
      </c>
      <c r="E257" s="16">
        <v>2006.0</v>
      </c>
      <c r="F257" s="16">
        <v>48.5412</v>
      </c>
      <c r="G257" s="16">
        <v>12.7232</v>
      </c>
      <c r="H257" s="15"/>
      <c r="I257" s="15"/>
    </row>
    <row r="258">
      <c r="A258" s="18">
        <v>45665.0</v>
      </c>
      <c r="B258" s="16" t="s">
        <v>1030</v>
      </c>
      <c r="C258" s="16" t="s">
        <v>948</v>
      </c>
      <c r="D258" s="16" t="s">
        <v>707</v>
      </c>
      <c r="E258" s="16">
        <v>2006.0</v>
      </c>
      <c r="F258" s="16">
        <v>48.8307</v>
      </c>
      <c r="G258" s="16">
        <v>12.5758</v>
      </c>
      <c r="H258" s="15"/>
      <c r="I258" s="15"/>
    </row>
    <row r="259">
      <c r="A259" s="18">
        <v>45665.0</v>
      </c>
      <c r="B259" s="16" t="s">
        <v>1031</v>
      </c>
      <c r="C259" s="16">
        <v>2.0</v>
      </c>
      <c r="D259" s="16" t="s">
        <v>707</v>
      </c>
      <c r="E259" s="16">
        <v>2006.0</v>
      </c>
      <c r="F259" s="16">
        <v>49.7023</v>
      </c>
      <c r="G259" s="16">
        <v>6.5843</v>
      </c>
      <c r="H259" s="15"/>
      <c r="I259" s="15"/>
    </row>
    <row r="260">
      <c r="A260" s="18">
        <v>45665.0</v>
      </c>
      <c r="B260" s="16" t="s">
        <v>1032</v>
      </c>
      <c r="C260" s="16" t="s">
        <v>961</v>
      </c>
      <c r="D260" s="16" t="s">
        <v>707</v>
      </c>
      <c r="E260" s="16">
        <v>2006.0</v>
      </c>
      <c r="F260" s="16">
        <v>48.4584</v>
      </c>
      <c r="G260" s="16">
        <v>12.9257</v>
      </c>
      <c r="H260" s="15"/>
      <c r="I260" s="15"/>
    </row>
    <row r="261">
      <c r="A261" s="18">
        <v>45665.0</v>
      </c>
      <c r="B261" s="16" t="s">
        <v>1033</v>
      </c>
      <c r="C261" s="16" t="s">
        <v>1034</v>
      </c>
      <c r="D261" s="16" t="s">
        <v>707</v>
      </c>
      <c r="E261" s="16">
        <v>2006.0</v>
      </c>
      <c r="F261" s="16">
        <v>51.5084</v>
      </c>
      <c r="G261" s="16">
        <v>12.6811</v>
      </c>
      <c r="H261" s="15"/>
      <c r="I261" s="15"/>
    </row>
    <row r="262">
      <c r="A262" s="18">
        <v>45665.0</v>
      </c>
      <c r="B262" s="16" t="s">
        <v>1035</v>
      </c>
      <c r="C262" s="16" t="s">
        <v>948</v>
      </c>
      <c r="D262" s="16" t="s">
        <v>707</v>
      </c>
      <c r="E262" s="16">
        <v>2006.0</v>
      </c>
      <c r="F262" s="16">
        <v>50.8255</v>
      </c>
      <c r="G262" s="16">
        <v>12.4607</v>
      </c>
      <c r="H262" s="15"/>
      <c r="I262" s="15"/>
    </row>
    <row r="263">
      <c r="A263" s="18">
        <v>45665.0</v>
      </c>
      <c r="B263" s="16" t="s">
        <v>1036</v>
      </c>
      <c r="C263" s="16" t="s">
        <v>1037</v>
      </c>
      <c r="D263" s="16" t="s">
        <v>707</v>
      </c>
      <c r="E263" s="16">
        <v>2006.0</v>
      </c>
      <c r="F263" s="16">
        <v>48.2292</v>
      </c>
      <c r="G263" s="16">
        <v>11.0836</v>
      </c>
      <c r="H263" s="15"/>
      <c r="I263" s="15"/>
    </row>
    <row r="264">
      <c r="A264" s="18">
        <v>45665.0</v>
      </c>
      <c r="B264" s="16" t="s">
        <v>1038</v>
      </c>
      <c r="C264" s="16" t="s">
        <v>1039</v>
      </c>
      <c r="D264" s="16" t="s">
        <v>707</v>
      </c>
      <c r="E264" s="16">
        <v>2006.0</v>
      </c>
      <c r="F264" s="16">
        <v>49.4981</v>
      </c>
      <c r="G264" s="16">
        <v>10.3363</v>
      </c>
      <c r="H264" s="15"/>
      <c r="I264" s="15"/>
    </row>
    <row r="265">
      <c r="A265" s="18">
        <v>45665.0</v>
      </c>
      <c r="B265" s="16" t="s">
        <v>1040</v>
      </c>
      <c r="C265" s="16">
        <v>2.0</v>
      </c>
      <c r="D265" s="16" t="s">
        <v>707</v>
      </c>
      <c r="E265" s="16">
        <v>2006.0</v>
      </c>
      <c r="F265" s="16">
        <v>54.894</v>
      </c>
      <c r="G265" s="16">
        <v>8.6647</v>
      </c>
      <c r="H265" s="15"/>
      <c r="I265" s="15"/>
    </row>
    <row r="266">
      <c r="A266" s="18">
        <v>45665.0</v>
      </c>
      <c r="B266" s="16" t="s">
        <v>1041</v>
      </c>
      <c r="C266" s="16" t="s">
        <v>946</v>
      </c>
      <c r="D266" s="16" t="s">
        <v>707</v>
      </c>
      <c r="E266" s="16">
        <v>2006.0</v>
      </c>
      <c r="F266" s="16">
        <v>48.2791</v>
      </c>
      <c r="G266" s="16">
        <v>7.7838</v>
      </c>
      <c r="H266" s="15"/>
      <c r="I266" s="15"/>
    </row>
    <row r="267">
      <c r="A267" s="18">
        <v>45665.0</v>
      </c>
      <c r="B267" s="16" t="s">
        <v>1042</v>
      </c>
      <c r="C267" s="16">
        <v>1.0</v>
      </c>
      <c r="D267" s="16" t="s">
        <v>707</v>
      </c>
      <c r="E267" s="16">
        <v>2006.0</v>
      </c>
      <c r="F267" s="16">
        <v>50.4522</v>
      </c>
      <c r="G267" s="16">
        <v>7.838</v>
      </c>
      <c r="H267" s="15"/>
      <c r="I267" s="15"/>
    </row>
    <row r="268">
      <c r="A268" s="18">
        <v>45665.0</v>
      </c>
      <c r="B268" s="16" t="s">
        <v>1043</v>
      </c>
      <c r="C268" s="16" t="s">
        <v>951</v>
      </c>
      <c r="D268" s="16" t="s">
        <v>707</v>
      </c>
      <c r="E268" s="16">
        <v>2006.0</v>
      </c>
      <c r="F268" s="16">
        <v>48.3406</v>
      </c>
      <c r="G268" s="16">
        <v>10.2987</v>
      </c>
      <c r="H268" s="15"/>
      <c r="I268" s="15"/>
    </row>
    <row r="269">
      <c r="A269" s="18">
        <v>45665.0</v>
      </c>
      <c r="B269" s="16" t="s">
        <v>1044</v>
      </c>
      <c r="C269" s="16" t="s">
        <v>946</v>
      </c>
      <c r="D269" s="16" t="s">
        <v>707</v>
      </c>
      <c r="E269" s="16">
        <v>2006.0</v>
      </c>
      <c r="F269" s="16">
        <v>48.855</v>
      </c>
      <c r="G269" s="16">
        <v>11.0487</v>
      </c>
      <c r="H269" s="15"/>
      <c r="I269" s="15"/>
    </row>
    <row r="270">
      <c r="A270" s="18">
        <v>45665.0</v>
      </c>
      <c r="B270" s="16" t="s">
        <v>1045</v>
      </c>
      <c r="C270" s="16" t="s">
        <v>1046</v>
      </c>
      <c r="D270" s="16" t="s">
        <v>707</v>
      </c>
      <c r="E270" s="16">
        <v>2007.0</v>
      </c>
      <c r="F270" s="16">
        <v>49.3416</v>
      </c>
      <c r="G270" s="16">
        <v>7.0383</v>
      </c>
      <c r="H270" s="15"/>
      <c r="I270" s="15"/>
    </row>
    <row r="271">
      <c r="A271" s="18">
        <v>45665.0</v>
      </c>
      <c r="B271" s="16" t="s">
        <v>1047</v>
      </c>
      <c r="C271" s="16" t="s">
        <v>969</v>
      </c>
      <c r="D271" s="16" t="s">
        <v>707</v>
      </c>
      <c r="E271" s="16">
        <v>2007.0</v>
      </c>
      <c r="F271" s="16">
        <v>49.6862</v>
      </c>
      <c r="G271" s="16">
        <v>9.8676</v>
      </c>
      <c r="H271" s="15"/>
      <c r="I271" s="15"/>
    </row>
    <row r="272">
      <c r="A272" s="18">
        <v>45665.0</v>
      </c>
      <c r="B272" s="16" t="s">
        <v>1048</v>
      </c>
      <c r="C272" s="16">
        <v>1.0</v>
      </c>
      <c r="D272" s="16" t="s">
        <v>707</v>
      </c>
      <c r="E272" s="16">
        <v>2007.0</v>
      </c>
      <c r="F272" s="16">
        <v>48.2596</v>
      </c>
      <c r="G272" s="16">
        <v>12.5965</v>
      </c>
      <c r="H272" s="15"/>
      <c r="I272" s="15"/>
    </row>
    <row r="273">
      <c r="A273" s="18">
        <v>45665.0</v>
      </c>
      <c r="B273" s="16" t="s">
        <v>1049</v>
      </c>
      <c r="C273" s="16">
        <v>1.0</v>
      </c>
      <c r="D273" s="16" t="s">
        <v>707</v>
      </c>
      <c r="E273" s="16">
        <v>2007.0</v>
      </c>
      <c r="F273" s="16">
        <v>48.2595</v>
      </c>
      <c r="G273" s="16">
        <v>8.4864</v>
      </c>
      <c r="H273" s="15"/>
      <c r="I273" s="15"/>
    </row>
    <row r="274">
      <c r="A274" s="18">
        <v>45665.0</v>
      </c>
      <c r="B274" s="16" t="s">
        <v>1050</v>
      </c>
      <c r="C274" s="16" t="s">
        <v>1051</v>
      </c>
      <c r="D274" s="16" t="s">
        <v>707</v>
      </c>
      <c r="E274" s="16">
        <v>2007.0</v>
      </c>
      <c r="F274" s="16">
        <v>48.5475</v>
      </c>
      <c r="G274" s="16">
        <v>10.3675</v>
      </c>
      <c r="H274" s="15"/>
      <c r="I274" s="15"/>
    </row>
    <row r="275">
      <c r="A275" s="18">
        <v>45665.0</v>
      </c>
      <c r="B275" s="16" t="s">
        <v>1052</v>
      </c>
      <c r="C275" s="16" t="s">
        <v>951</v>
      </c>
      <c r="D275" s="16" t="s">
        <v>707</v>
      </c>
      <c r="E275" s="16">
        <v>2007.0</v>
      </c>
      <c r="F275" s="16">
        <v>48.9071</v>
      </c>
      <c r="G275" s="16">
        <v>12.1817</v>
      </c>
      <c r="H275" s="15"/>
      <c r="I275" s="15"/>
    </row>
    <row r="276">
      <c r="A276" s="18">
        <v>45665.0</v>
      </c>
      <c r="B276" s="16" t="s">
        <v>1053</v>
      </c>
      <c r="C276" s="16" t="s">
        <v>959</v>
      </c>
      <c r="D276" s="16" t="s">
        <v>707</v>
      </c>
      <c r="E276" s="16">
        <v>2007.0</v>
      </c>
      <c r="F276" s="16">
        <v>48.8801</v>
      </c>
      <c r="G276" s="16">
        <v>8.2796</v>
      </c>
      <c r="H276" s="15"/>
      <c r="I276" s="15"/>
    </row>
    <row r="277">
      <c r="A277" s="18">
        <v>45665.0</v>
      </c>
      <c r="B277" s="16" t="s">
        <v>1054</v>
      </c>
      <c r="C277" s="16" t="s">
        <v>1055</v>
      </c>
      <c r="D277" s="16" t="s">
        <v>707</v>
      </c>
      <c r="E277" s="16">
        <v>2007.0</v>
      </c>
      <c r="F277" s="16">
        <v>48.41</v>
      </c>
      <c r="G277" s="16">
        <v>11.3686</v>
      </c>
      <c r="H277" s="15"/>
      <c r="I277" s="15"/>
    </row>
    <row r="278">
      <c r="A278" s="18">
        <v>45665.0</v>
      </c>
      <c r="B278" s="16" t="s">
        <v>1056</v>
      </c>
      <c r="C278" s="16" t="s">
        <v>969</v>
      </c>
      <c r="D278" s="16" t="s">
        <v>707</v>
      </c>
      <c r="E278" s="16">
        <v>2007.0</v>
      </c>
      <c r="F278" s="16">
        <v>47.8988</v>
      </c>
      <c r="G278" s="16">
        <v>10.2217</v>
      </c>
      <c r="H278" s="15"/>
      <c r="I278" s="15"/>
    </row>
    <row r="279">
      <c r="A279" s="18">
        <v>45665.0</v>
      </c>
      <c r="B279" s="16" t="s">
        <v>1057</v>
      </c>
      <c r="C279" s="16" t="s">
        <v>969</v>
      </c>
      <c r="D279" s="16" t="s">
        <v>707</v>
      </c>
      <c r="E279" s="16">
        <v>2007.0</v>
      </c>
      <c r="F279" s="16">
        <v>47.9945</v>
      </c>
      <c r="G279" s="16">
        <v>9.1802</v>
      </c>
      <c r="H279" s="15"/>
      <c r="I279" s="15"/>
    </row>
    <row r="280">
      <c r="A280" s="18">
        <v>45665.0</v>
      </c>
      <c r="B280" s="16" t="s">
        <v>1058</v>
      </c>
      <c r="C280" s="16" t="s">
        <v>1059</v>
      </c>
      <c r="D280" s="16" t="s">
        <v>707</v>
      </c>
      <c r="E280" s="16">
        <v>2007.0</v>
      </c>
      <c r="F280" s="16">
        <v>51.0456</v>
      </c>
      <c r="G280" s="16">
        <v>12.0236</v>
      </c>
      <c r="H280" s="15"/>
      <c r="I280" s="15"/>
    </row>
    <row r="281">
      <c r="A281" s="18">
        <v>45665.0</v>
      </c>
      <c r="B281" s="16" t="s">
        <v>1060</v>
      </c>
      <c r="C281" s="16" t="s">
        <v>942</v>
      </c>
      <c r="D281" s="16" t="s">
        <v>707</v>
      </c>
      <c r="E281" s="16">
        <v>2007.0</v>
      </c>
      <c r="F281" s="16">
        <v>49.7394</v>
      </c>
      <c r="G281" s="16">
        <v>10.9814</v>
      </c>
      <c r="H281" s="15"/>
      <c r="I281" s="15"/>
    </row>
    <row r="282">
      <c r="A282" s="18">
        <v>45665.0</v>
      </c>
      <c r="B282" s="16" t="s">
        <v>1061</v>
      </c>
      <c r="C282" s="16" t="s">
        <v>969</v>
      </c>
      <c r="D282" s="16" t="s">
        <v>707</v>
      </c>
      <c r="E282" s="16">
        <v>2007.0</v>
      </c>
      <c r="F282" s="16">
        <v>49.0643</v>
      </c>
      <c r="G282" s="16">
        <v>9.6819</v>
      </c>
      <c r="H282" s="15"/>
      <c r="I282" s="15"/>
    </row>
    <row r="283">
      <c r="A283" s="18">
        <v>45665.0</v>
      </c>
      <c r="B283" s="16" t="s">
        <v>1062</v>
      </c>
      <c r="C283" s="16" t="s">
        <v>969</v>
      </c>
      <c r="D283" s="16" t="s">
        <v>707</v>
      </c>
      <c r="E283" s="16">
        <v>2007.0</v>
      </c>
      <c r="F283" s="16">
        <v>48.8864</v>
      </c>
      <c r="G283" s="16">
        <v>13.3168</v>
      </c>
      <c r="H283" s="15"/>
      <c r="I283" s="15"/>
    </row>
    <row r="284">
      <c r="A284" s="18">
        <v>45665.0</v>
      </c>
      <c r="B284" s="16" t="s">
        <v>1063</v>
      </c>
      <c r="C284" s="16" t="s">
        <v>959</v>
      </c>
      <c r="D284" s="16" t="s">
        <v>707</v>
      </c>
      <c r="E284" s="16">
        <v>2007.0</v>
      </c>
      <c r="F284" s="16">
        <v>48.4933</v>
      </c>
      <c r="G284" s="16">
        <v>13.0085</v>
      </c>
      <c r="H284" s="15"/>
      <c r="I284" s="15"/>
    </row>
    <row r="285">
      <c r="A285" s="18">
        <v>45665.0</v>
      </c>
      <c r="B285" s="16" t="s">
        <v>1064</v>
      </c>
      <c r="C285" s="16" t="s">
        <v>959</v>
      </c>
      <c r="D285" s="16" t="s">
        <v>707</v>
      </c>
      <c r="E285" s="16">
        <v>2007.0</v>
      </c>
      <c r="F285" s="16">
        <v>48.4745</v>
      </c>
      <c r="G285" s="16">
        <v>12.5344</v>
      </c>
      <c r="H285" s="15"/>
      <c r="I285" s="15"/>
    </row>
    <row r="286">
      <c r="A286" s="18">
        <v>45665.0</v>
      </c>
      <c r="B286" s="16" t="s">
        <v>1065</v>
      </c>
      <c r="C286" s="16" t="s">
        <v>1059</v>
      </c>
      <c r="D286" s="16" t="s">
        <v>707</v>
      </c>
      <c r="E286" s="16">
        <v>2007.0</v>
      </c>
      <c r="F286" s="16">
        <v>49.1781</v>
      </c>
      <c r="G286" s="16">
        <v>11.8098</v>
      </c>
      <c r="H286" s="15"/>
      <c r="I286" s="15"/>
    </row>
    <row r="287">
      <c r="A287" s="18">
        <v>45665.0</v>
      </c>
      <c r="B287" s="16" t="s">
        <v>1066</v>
      </c>
      <c r="C287" s="16" t="s">
        <v>971</v>
      </c>
      <c r="D287" s="16" t="s">
        <v>707</v>
      </c>
      <c r="E287" s="16">
        <v>2007.0</v>
      </c>
      <c r="F287" s="16">
        <v>49.0085</v>
      </c>
      <c r="G287" s="16">
        <v>11.2805</v>
      </c>
      <c r="H287" s="15"/>
      <c r="I287" s="15"/>
    </row>
    <row r="288">
      <c r="A288" s="18">
        <v>45665.0</v>
      </c>
      <c r="B288" s="16" t="s">
        <v>1067</v>
      </c>
      <c r="C288" s="16" t="s">
        <v>969</v>
      </c>
      <c r="D288" s="16" t="s">
        <v>707</v>
      </c>
      <c r="E288" s="16">
        <v>2007.0</v>
      </c>
      <c r="F288" s="16">
        <v>48.8325</v>
      </c>
      <c r="G288" s="16">
        <v>11.6275</v>
      </c>
      <c r="H288" s="15"/>
      <c r="I288" s="15"/>
    </row>
    <row r="289">
      <c r="A289" s="18">
        <v>45665.0</v>
      </c>
      <c r="B289" s="16" t="s">
        <v>1068</v>
      </c>
      <c r="C289" s="16">
        <v>1.0</v>
      </c>
      <c r="D289" s="16" t="s">
        <v>707</v>
      </c>
      <c r="E289" s="16">
        <v>2007.0</v>
      </c>
      <c r="F289" s="16">
        <v>50.1969</v>
      </c>
      <c r="G289" s="16">
        <v>10.7583</v>
      </c>
      <c r="H289" s="15"/>
      <c r="I289" s="15"/>
    </row>
    <row r="290">
      <c r="A290" s="18">
        <v>45665.0</v>
      </c>
      <c r="B290" s="16" t="s">
        <v>1069</v>
      </c>
      <c r="C290" s="16" t="s">
        <v>961</v>
      </c>
      <c r="D290" s="16" t="s">
        <v>707</v>
      </c>
      <c r="E290" s="16">
        <v>2007.0</v>
      </c>
      <c r="F290" s="16">
        <v>48.2901</v>
      </c>
      <c r="G290" s="16">
        <v>11.2772</v>
      </c>
      <c r="H290" s="15"/>
      <c r="I290" s="15"/>
    </row>
    <row r="291">
      <c r="A291" s="18">
        <v>45665.0</v>
      </c>
      <c r="B291" s="16" t="s">
        <v>1070</v>
      </c>
      <c r="C291" s="16" t="s">
        <v>990</v>
      </c>
      <c r="D291" s="16" t="s">
        <v>707</v>
      </c>
      <c r="E291" s="16">
        <v>2007.0</v>
      </c>
      <c r="F291" s="16">
        <v>49.5536</v>
      </c>
      <c r="G291" s="16">
        <v>9.4438</v>
      </c>
      <c r="H291" s="15"/>
      <c r="I291" s="15"/>
    </row>
    <row r="292">
      <c r="A292" s="18">
        <v>45665.0</v>
      </c>
      <c r="B292" s="16" t="s">
        <v>1071</v>
      </c>
      <c r="C292" s="16" t="s">
        <v>1007</v>
      </c>
      <c r="D292" s="16" t="s">
        <v>707</v>
      </c>
      <c r="E292" s="16">
        <v>2007.0</v>
      </c>
      <c r="F292" s="16">
        <v>48.176</v>
      </c>
      <c r="G292" s="16">
        <v>10.2705</v>
      </c>
      <c r="H292" s="15"/>
      <c r="I292" s="15"/>
    </row>
    <row r="293">
      <c r="A293" s="18">
        <v>45665.0</v>
      </c>
      <c r="B293" s="16" t="s">
        <v>1072</v>
      </c>
      <c r="C293" s="16" t="s">
        <v>1007</v>
      </c>
      <c r="D293" s="16" t="s">
        <v>707</v>
      </c>
      <c r="E293" s="16">
        <v>2007.0</v>
      </c>
      <c r="F293" s="16">
        <v>48.3201</v>
      </c>
      <c r="G293" s="16">
        <v>10.954</v>
      </c>
      <c r="H293" s="15"/>
      <c r="I293" s="15"/>
    </row>
    <row r="294">
      <c r="A294" s="18">
        <v>45665.0</v>
      </c>
      <c r="B294" s="16" t="s">
        <v>1073</v>
      </c>
      <c r="C294" s="16" t="s">
        <v>1034</v>
      </c>
      <c r="D294" s="16" t="s">
        <v>707</v>
      </c>
      <c r="E294" s="16">
        <v>2007.0</v>
      </c>
      <c r="F294" s="16">
        <v>49.7864</v>
      </c>
      <c r="G294" s="16">
        <v>6.7351</v>
      </c>
      <c r="H294" s="15"/>
      <c r="I294" s="15"/>
    </row>
    <row r="295">
      <c r="A295" s="18">
        <v>45665.0</v>
      </c>
      <c r="B295" s="16" t="s">
        <v>1074</v>
      </c>
      <c r="C295" s="16" t="s">
        <v>1055</v>
      </c>
      <c r="D295" s="16" t="s">
        <v>707</v>
      </c>
      <c r="E295" s="16">
        <v>2007.0</v>
      </c>
      <c r="F295" s="16">
        <v>49.2046</v>
      </c>
      <c r="G295" s="16">
        <v>8.1604</v>
      </c>
      <c r="H295" s="15"/>
      <c r="I295" s="15"/>
    </row>
    <row r="296">
      <c r="A296" s="18">
        <v>45665.0</v>
      </c>
      <c r="B296" s="16" t="s">
        <v>1075</v>
      </c>
      <c r="C296" s="16" t="s">
        <v>1002</v>
      </c>
      <c r="D296" s="16" t="s">
        <v>707</v>
      </c>
      <c r="E296" s="16">
        <v>2007.0</v>
      </c>
      <c r="F296" s="16">
        <v>48.1715</v>
      </c>
      <c r="G296" s="16">
        <v>11.0594</v>
      </c>
      <c r="H296" s="15"/>
      <c r="I296" s="15"/>
    </row>
    <row r="297">
      <c r="A297" s="18">
        <v>45665.0</v>
      </c>
      <c r="B297" s="16" t="s">
        <v>1076</v>
      </c>
      <c r="C297" s="16" t="s">
        <v>942</v>
      </c>
      <c r="D297" s="16" t="s">
        <v>707</v>
      </c>
      <c r="E297" s="16">
        <v>2007.0</v>
      </c>
      <c r="F297" s="16">
        <v>52.2258</v>
      </c>
      <c r="G297" s="16">
        <v>11.5314</v>
      </c>
      <c r="H297" s="15"/>
      <c r="I297" s="15"/>
    </row>
    <row r="298">
      <c r="A298" s="18">
        <v>45665.0</v>
      </c>
      <c r="B298" s="16" t="s">
        <v>1077</v>
      </c>
      <c r="C298" s="16" t="s">
        <v>961</v>
      </c>
      <c r="D298" s="16" t="s">
        <v>707</v>
      </c>
      <c r="E298" s="16">
        <v>2007.0</v>
      </c>
      <c r="F298" s="16">
        <v>48.5162</v>
      </c>
      <c r="G298" s="16">
        <v>13.1065</v>
      </c>
      <c r="H298" s="15"/>
      <c r="I298" s="15"/>
    </row>
    <row r="299">
      <c r="A299" s="18">
        <v>45665.0</v>
      </c>
      <c r="B299" s="16" t="s">
        <v>1078</v>
      </c>
      <c r="C299" s="16" t="s">
        <v>1004</v>
      </c>
      <c r="D299" s="16" t="s">
        <v>707</v>
      </c>
      <c r="E299" s="16">
        <v>2007.0</v>
      </c>
      <c r="F299" s="16">
        <v>48.625</v>
      </c>
      <c r="G299" s="16">
        <v>10.916</v>
      </c>
      <c r="H299" s="15"/>
      <c r="I299" s="15"/>
    </row>
    <row r="300">
      <c r="A300" s="18">
        <v>45665.0</v>
      </c>
      <c r="B300" s="16" t="s">
        <v>1079</v>
      </c>
      <c r="C300" s="16" t="s">
        <v>1080</v>
      </c>
      <c r="D300" s="16" t="s">
        <v>707</v>
      </c>
      <c r="E300" s="16">
        <v>2007.0</v>
      </c>
      <c r="F300" s="16">
        <v>48.5722</v>
      </c>
      <c r="G300" s="16">
        <v>10.9878</v>
      </c>
      <c r="H300" s="15"/>
      <c r="I300" s="15"/>
    </row>
    <row r="301">
      <c r="A301" s="18">
        <v>45665.0</v>
      </c>
      <c r="B301" s="16" t="s">
        <v>1081</v>
      </c>
      <c r="C301" s="16" t="s">
        <v>978</v>
      </c>
      <c r="D301" s="16" t="s">
        <v>707</v>
      </c>
      <c r="E301" s="16">
        <v>2007.0</v>
      </c>
      <c r="F301" s="16">
        <v>48.5216</v>
      </c>
      <c r="G301" s="16">
        <v>11.0296</v>
      </c>
      <c r="H301" s="15"/>
      <c r="I301" s="15"/>
    </row>
    <row r="302">
      <c r="A302" s="18">
        <v>45665.0</v>
      </c>
      <c r="B302" s="16" t="s">
        <v>1082</v>
      </c>
      <c r="C302" s="16" t="s">
        <v>969</v>
      </c>
      <c r="D302" s="16" t="s">
        <v>707</v>
      </c>
      <c r="E302" s="16">
        <v>2007.0</v>
      </c>
      <c r="F302" s="16">
        <v>50.8616</v>
      </c>
      <c r="G302" s="16">
        <v>12.9099</v>
      </c>
      <c r="H302" s="15"/>
      <c r="I302" s="15"/>
    </row>
    <row r="303">
      <c r="A303" s="18">
        <v>45665.0</v>
      </c>
      <c r="B303" s="16" t="s">
        <v>1083</v>
      </c>
      <c r="C303" s="16" t="s">
        <v>951</v>
      </c>
      <c r="D303" s="16" t="s">
        <v>707</v>
      </c>
      <c r="E303" s="16">
        <v>2007.0</v>
      </c>
      <c r="F303" s="16">
        <v>49.6413</v>
      </c>
      <c r="G303" s="16">
        <v>10.4333</v>
      </c>
      <c r="H303" s="15"/>
      <c r="I303" s="15"/>
    </row>
    <row r="304">
      <c r="A304" s="18">
        <v>45665.0</v>
      </c>
      <c r="B304" s="16" t="s">
        <v>1084</v>
      </c>
      <c r="C304" s="16" t="s">
        <v>1085</v>
      </c>
      <c r="D304" s="16" t="s">
        <v>707</v>
      </c>
      <c r="E304" s="16">
        <v>2007.0</v>
      </c>
      <c r="F304" s="16">
        <v>49.7768</v>
      </c>
      <c r="G304" s="16">
        <v>6.8477</v>
      </c>
      <c r="H304" s="15"/>
      <c r="I304" s="15"/>
    </row>
    <row r="305">
      <c r="A305" s="18">
        <v>45665.0</v>
      </c>
      <c r="B305" s="16" t="s">
        <v>1086</v>
      </c>
      <c r="C305" s="16" t="s">
        <v>969</v>
      </c>
      <c r="D305" s="16" t="s">
        <v>707</v>
      </c>
      <c r="E305" s="16">
        <v>2007.0</v>
      </c>
      <c r="F305" s="16">
        <v>48.0809</v>
      </c>
      <c r="G305" s="16">
        <v>10.423</v>
      </c>
      <c r="H305" s="15"/>
      <c r="I305" s="15"/>
    </row>
    <row r="306">
      <c r="A306" s="18">
        <v>45665.0</v>
      </c>
      <c r="B306" s="16" t="s">
        <v>1087</v>
      </c>
      <c r="C306" s="16" t="s">
        <v>942</v>
      </c>
      <c r="D306" s="16" t="s">
        <v>707</v>
      </c>
      <c r="E306" s="16">
        <v>2007.0</v>
      </c>
      <c r="F306" s="16">
        <v>49.678</v>
      </c>
      <c r="G306" s="16">
        <v>7.891</v>
      </c>
      <c r="H306" s="15"/>
      <c r="I306" s="15"/>
    </row>
    <row r="307">
      <c r="A307" s="18">
        <v>45665.0</v>
      </c>
      <c r="B307" s="16" t="s">
        <v>1088</v>
      </c>
      <c r="C307" s="16" t="s">
        <v>951</v>
      </c>
      <c r="D307" s="16" t="s">
        <v>707</v>
      </c>
      <c r="E307" s="16">
        <v>2007.0</v>
      </c>
      <c r="F307" s="16">
        <v>48.4244</v>
      </c>
      <c r="G307" s="16">
        <v>11.1721</v>
      </c>
      <c r="H307" s="15"/>
      <c r="I307" s="15"/>
    </row>
    <row r="308">
      <c r="A308" s="18">
        <v>45665.0</v>
      </c>
      <c r="B308" s="16" t="s">
        <v>1089</v>
      </c>
      <c r="C308" s="16" t="s">
        <v>1090</v>
      </c>
      <c r="D308" s="16" t="s">
        <v>707</v>
      </c>
      <c r="E308" s="16">
        <v>2007.0</v>
      </c>
      <c r="F308" s="16">
        <v>48.2311</v>
      </c>
      <c r="G308" s="16">
        <v>10.9287</v>
      </c>
      <c r="H308" s="15"/>
      <c r="I308" s="15"/>
    </row>
    <row r="309">
      <c r="A309" s="18">
        <v>45665.0</v>
      </c>
      <c r="B309" s="16" t="s">
        <v>1091</v>
      </c>
      <c r="C309" s="16" t="s">
        <v>951</v>
      </c>
      <c r="D309" s="16" t="s">
        <v>707</v>
      </c>
      <c r="E309" s="16">
        <v>2007.0</v>
      </c>
      <c r="F309" s="16">
        <v>49.0298</v>
      </c>
      <c r="G309" s="16">
        <v>11.5462</v>
      </c>
      <c r="H309" s="15"/>
      <c r="I309" s="15"/>
    </row>
    <row r="310">
      <c r="A310" s="18">
        <v>45665.0</v>
      </c>
      <c r="B310" s="16" t="s">
        <v>1092</v>
      </c>
      <c r="C310" s="16" t="s">
        <v>984</v>
      </c>
      <c r="D310" s="16" t="s">
        <v>707</v>
      </c>
      <c r="E310" s="16">
        <v>2007.0</v>
      </c>
      <c r="F310" s="16">
        <v>51.1823</v>
      </c>
      <c r="G310" s="16">
        <v>12.8873</v>
      </c>
      <c r="H310" s="15"/>
      <c r="I310" s="15"/>
    </row>
    <row r="311">
      <c r="A311" s="18">
        <v>45665.0</v>
      </c>
      <c r="B311" s="16" t="s">
        <v>1093</v>
      </c>
      <c r="C311" s="16" t="s">
        <v>1094</v>
      </c>
      <c r="D311" s="16" t="s">
        <v>707</v>
      </c>
      <c r="E311" s="16">
        <v>2007.0</v>
      </c>
      <c r="F311" s="16">
        <v>48.2148</v>
      </c>
      <c r="G311" s="16">
        <v>10.866</v>
      </c>
      <c r="H311" s="15"/>
      <c r="I311" s="15"/>
    </row>
    <row r="312">
      <c r="A312" s="18">
        <v>45665.0</v>
      </c>
      <c r="B312" s="16" t="s">
        <v>1095</v>
      </c>
      <c r="C312" s="16" t="s">
        <v>1096</v>
      </c>
      <c r="D312" s="16" t="s">
        <v>707</v>
      </c>
      <c r="E312" s="16">
        <v>2007.0</v>
      </c>
      <c r="F312" s="16">
        <v>48.2202</v>
      </c>
      <c r="G312" s="16">
        <v>10.8915</v>
      </c>
      <c r="H312" s="15"/>
      <c r="I312" s="15"/>
    </row>
    <row r="313">
      <c r="A313" s="18">
        <v>45665.0</v>
      </c>
      <c r="B313" s="16" t="s">
        <v>1097</v>
      </c>
      <c r="C313" s="16">
        <v>1.0</v>
      </c>
      <c r="D313" s="16" t="s">
        <v>707</v>
      </c>
      <c r="E313" s="16">
        <v>2007.0</v>
      </c>
      <c r="F313" s="16">
        <v>49.7857</v>
      </c>
      <c r="G313" s="16">
        <v>9.2499</v>
      </c>
      <c r="H313" s="15"/>
      <c r="I313" s="15"/>
    </row>
    <row r="314">
      <c r="A314" s="18">
        <v>45665.0</v>
      </c>
      <c r="B314" s="16" t="s">
        <v>1098</v>
      </c>
      <c r="C314" s="16" t="s">
        <v>1099</v>
      </c>
      <c r="D314" s="16" t="s">
        <v>707</v>
      </c>
      <c r="E314" s="16">
        <v>2007.0</v>
      </c>
      <c r="F314" s="16">
        <v>48.109</v>
      </c>
      <c r="G314" s="16">
        <v>10.853</v>
      </c>
      <c r="H314" s="15"/>
      <c r="I314" s="15"/>
    </row>
    <row r="315">
      <c r="A315" s="18">
        <v>45665.0</v>
      </c>
      <c r="B315" s="16" t="s">
        <v>1100</v>
      </c>
      <c r="C315" s="16" t="s">
        <v>1101</v>
      </c>
      <c r="D315" s="16" t="s">
        <v>707</v>
      </c>
      <c r="E315" s="16">
        <v>2007.0</v>
      </c>
      <c r="F315" s="16">
        <v>49.433</v>
      </c>
      <c r="G315" s="16">
        <v>7.524</v>
      </c>
      <c r="H315" s="15"/>
      <c r="I315" s="15"/>
    </row>
    <row r="316">
      <c r="A316" s="18">
        <v>45665.0</v>
      </c>
      <c r="B316" s="16" t="s">
        <v>1102</v>
      </c>
      <c r="C316" s="16" t="s">
        <v>946</v>
      </c>
      <c r="D316" s="16" t="s">
        <v>707</v>
      </c>
      <c r="E316" s="16">
        <v>2007.0</v>
      </c>
      <c r="F316" s="16">
        <v>48.2697</v>
      </c>
      <c r="G316" s="16">
        <v>12.3422</v>
      </c>
      <c r="H316" s="15"/>
      <c r="I316" s="15"/>
    </row>
    <row r="317">
      <c r="A317" s="18">
        <v>45665.0</v>
      </c>
      <c r="B317" s="16" t="s">
        <v>1103</v>
      </c>
      <c r="C317" s="16" t="s">
        <v>1059</v>
      </c>
      <c r="D317" s="16" t="s">
        <v>707</v>
      </c>
      <c r="E317" s="16">
        <v>2007.0</v>
      </c>
      <c r="F317" s="16">
        <v>51.5091</v>
      </c>
      <c r="G317" s="16">
        <v>12.6855</v>
      </c>
      <c r="H317" s="15"/>
      <c r="I317" s="15"/>
    </row>
    <row r="318">
      <c r="A318" s="18">
        <v>45665.0</v>
      </c>
      <c r="B318" s="16" t="s">
        <v>1104</v>
      </c>
      <c r="C318" s="16" t="s">
        <v>969</v>
      </c>
      <c r="D318" s="16" t="s">
        <v>707</v>
      </c>
      <c r="E318" s="16">
        <v>2007.0</v>
      </c>
      <c r="F318" s="16">
        <v>51.509</v>
      </c>
      <c r="G318" s="16">
        <v>12.6819</v>
      </c>
      <c r="H318" s="15"/>
      <c r="I318" s="15"/>
    </row>
    <row r="319">
      <c r="A319" s="18">
        <v>45665.0</v>
      </c>
      <c r="B319" s="16" t="s">
        <v>1105</v>
      </c>
      <c r="C319" s="16">
        <v>1.0</v>
      </c>
      <c r="D319" s="16" t="s">
        <v>707</v>
      </c>
      <c r="E319" s="16">
        <v>2007.0</v>
      </c>
      <c r="F319" s="16">
        <v>48.1309</v>
      </c>
      <c r="G319" s="16">
        <v>11.7228</v>
      </c>
      <c r="H319" s="15"/>
      <c r="I319" s="15"/>
    </row>
    <row r="320">
      <c r="A320" s="18">
        <v>45665.0</v>
      </c>
      <c r="B320" s="16" t="s">
        <v>1106</v>
      </c>
      <c r="C320" s="16" t="s">
        <v>951</v>
      </c>
      <c r="D320" s="16" t="s">
        <v>707</v>
      </c>
      <c r="E320" s="16">
        <v>2007.0</v>
      </c>
      <c r="F320" s="16">
        <v>48.7893</v>
      </c>
      <c r="G320" s="16">
        <v>12.5895</v>
      </c>
      <c r="H320" s="15"/>
      <c r="I320" s="15"/>
    </row>
    <row r="321">
      <c r="A321" s="18">
        <v>45665.0</v>
      </c>
      <c r="B321" s="16" t="s">
        <v>1107</v>
      </c>
      <c r="C321" s="16" t="s">
        <v>948</v>
      </c>
      <c r="D321" s="16" t="s">
        <v>707</v>
      </c>
      <c r="E321" s="16">
        <v>2007.0</v>
      </c>
      <c r="F321" s="16">
        <v>48.0416</v>
      </c>
      <c r="G321" s="16">
        <v>11.2744</v>
      </c>
      <c r="H321" s="15"/>
      <c r="I321" s="15"/>
    </row>
    <row r="322">
      <c r="A322" s="18">
        <v>45665.0</v>
      </c>
      <c r="B322" s="16" t="s">
        <v>1108</v>
      </c>
      <c r="C322" s="16" t="s">
        <v>971</v>
      </c>
      <c r="D322" s="16" t="s">
        <v>707</v>
      </c>
      <c r="E322" s="16">
        <v>2007.0</v>
      </c>
      <c r="F322" s="16">
        <v>49.8486</v>
      </c>
      <c r="G322" s="16">
        <v>8.5487</v>
      </c>
      <c r="H322" s="15"/>
      <c r="I322" s="15"/>
    </row>
    <row r="323">
      <c r="A323" s="18">
        <v>45665.0</v>
      </c>
      <c r="B323" s="16" t="s">
        <v>1109</v>
      </c>
      <c r="C323" s="16" t="s">
        <v>984</v>
      </c>
      <c r="D323" s="16" t="s">
        <v>707</v>
      </c>
      <c r="E323" s="16">
        <v>2007.0</v>
      </c>
      <c r="F323" s="16">
        <v>49.4378</v>
      </c>
      <c r="G323" s="16">
        <v>6.5737</v>
      </c>
      <c r="H323" s="15"/>
      <c r="I323" s="15"/>
    </row>
    <row r="324">
      <c r="A324" s="18">
        <v>45665.0</v>
      </c>
      <c r="B324" s="16" t="s">
        <v>1110</v>
      </c>
      <c r="C324" s="16" t="s">
        <v>1059</v>
      </c>
      <c r="D324" s="16" t="s">
        <v>707</v>
      </c>
      <c r="E324" s="16">
        <v>2007.0</v>
      </c>
      <c r="F324" s="16">
        <v>49.6536</v>
      </c>
      <c r="G324" s="16">
        <v>10.1165</v>
      </c>
      <c r="H324" s="15"/>
      <c r="I324" s="15"/>
    </row>
    <row r="325">
      <c r="A325" s="18">
        <v>45665.0</v>
      </c>
      <c r="B325" s="16" t="s">
        <v>1111</v>
      </c>
      <c r="C325" s="16" t="s">
        <v>1059</v>
      </c>
      <c r="D325" s="16" t="s">
        <v>707</v>
      </c>
      <c r="E325" s="16">
        <v>2007.0</v>
      </c>
      <c r="F325" s="16">
        <v>49.7031</v>
      </c>
      <c r="G325" s="16">
        <v>10.8735</v>
      </c>
      <c r="H325" s="15"/>
      <c r="I325" s="15"/>
    </row>
    <row r="326">
      <c r="A326" s="18">
        <v>45665.0</v>
      </c>
      <c r="B326" s="16" t="s">
        <v>1112</v>
      </c>
      <c r="C326" s="16" t="s">
        <v>984</v>
      </c>
      <c r="D326" s="16" t="s">
        <v>707</v>
      </c>
      <c r="E326" s="16">
        <v>2007.0</v>
      </c>
      <c r="F326" s="16">
        <v>51.6384</v>
      </c>
      <c r="G326" s="16">
        <v>12.1942</v>
      </c>
      <c r="H326" s="15"/>
      <c r="I326" s="15"/>
    </row>
    <row r="327">
      <c r="A327" s="18">
        <v>45665.0</v>
      </c>
      <c r="B327" s="16" t="s">
        <v>1113</v>
      </c>
      <c r="C327" s="16" t="s">
        <v>969</v>
      </c>
      <c r="D327" s="16" t="s">
        <v>707</v>
      </c>
      <c r="E327" s="16">
        <v>2007.0</v>
      </c>
      <c r="F327" s="16">
        <v>49.9249</v>
      </c>
      <c r="G327" s="16">
        <v>7.9119</v>
      </c>
      <c r="H327" s="15"/>
      <c r="I327" s="15"/>
    </row>
    <row r="328">
      <c r="A328" s="18">
        <v>45665.0</v>
      </c>
      <c r="B328" s="16" t="s">
        <v>1114</v>
      </c>
      <c r="C328" s="16" t="s">
        <v>969</v>
      </c>
      <c r="D328" s="16" t="s">
        <v>707</v>
      </c>
      <c r="E328" s="16">
        <v>2007.0</v>
      </c>
      <c r="F328" s="16">
        <v>49.2635</v>
      </c>
      <c r="G328" s="16">
        <v>8.527</v>
      </c>
      <c r="H328" s="15"/>
      <c r="I328" s="15"/>
    </row>
    <row r="329">
      <c r="A329" s="18">
        <v>45665.0</v>
      </c>
      <c r="B329" s="16" t="s">
        <v>1115</v>
      </c>
      <c r="C329" s="16" t="s">
        <v>969</v>
      </c>
      <c r="D329" s="16" t="s">
        <v>707</v>
      </c>
      <c r="E329" s="16">
        <v>2007.0</v>
      </c>
      <c r="F329" s="16">
        <v>54.5839</v>
      </c>
      <c r="G329" s="16">
        <v>8.9145</v>
      </c>
      <c r="H329" s="15"/>
      <c r="I329" s="15"/>
    </row>
    <row r="330">
      <c r="A330" s="18">
        <v>45665.0</v>
      </c>
      <c r="B330" s="16" t="s">
        <v>1116</v>
      </c>
      <c r="C330" s="16" t="s">
        <v>1039</v>
      </c>
      <c r="D330" s="16" t="s">
        <v>707</v>
      </c>
      <c r="E330" s="16">
        <v>2007.0</v>
      </c>
      <c r="F330" s="16">
        <v>48.8062</v>
      </c>
      <c r="G330" s="16">
        <v>12.8688</v>
      </c>
      <c r="H330" s="15"/>
      <c r="I330" s="15"/>
    </row>
    <row r="331">
      <c r="A331" s="18">
        <v>45665.0</v>
      </c>
      <c r="B331" s="16" t="s">
        <v>1117</v>
      </c>
      <c r="C331" s="16" t="s">
        <v>1034</v>
      </c>
      <c r="D331" s="16" t="s">
        <v>707</v>
      </c>
      <c r="E331" s="16">
        <v>2007.0</v>
      </c>
      <c r="F331" s="16">
        <v>54.8459</v>
      </c>
      <c r="G331" s="16">
        <v>8.6665</v>
      </c>
      <c r="H331" s="15"/>
      <c r="I331" s="15"/>
    </row>
    <row r="332">
      <c r="A332" s="18">
        <v>45665.0</v>
      </c>
      <c r="B332" s="16" t="s">
        <v>1118</v>
      </c>
      <c r="C332" s="16">
        <v>2.0</v>
      </c>
      <c r="D332" s="16" t="s">
        <v>707</v>
      </c>
      <c r="E332" s="16">
        <v>2007.0</v>
      </c>
      <c r="F332" s="16">
        <v>54.8436</v>
      </c>
      <c r="G332" s="16">
        <v>8.6666</v>
      </c>
      <c r="H332" s="15"/>
      <c r="I332" s="15"/>
    </row>
    <row r="333">
      <c r="A333" s="18">
        <v>45665.0</v>
      </c>
      <c r="B333" s="16" t="s">
        <v>1119</v>
      </c>
      <c r="C333" s="16" t="s">
        <v>969</v>
      </c>
      <c r="D333" s="16" t="s">
        <v>707</v>
      </c>
      <c r="E333" s="16">
        <v>2007.0</v>
      </c>
      <c r="F333" s="16">
        <v>48.2032</v>
      </c>
      <c r="G333" s="16">
        <v>10.8498</v>
      </c>
      <c r="H333" s="15"/>
      <c r="I333" s="15"/>
    </row>
    <row r="334">
      <c r="A334" s="18">
        <v>45665.0</v>
      </c>
      <c r="B334" s="16" t="s">
        <v>1120</v>
      </c>
      <c r="C334" s="16" t="s">
        <v>1046</v>
      </c>
      <c r="D334" s="16" t="s">
        <v>707</v>
      </c>
      <c r="E334" s="16">
        <v>2007.0</v>
      </c>
      <c r="F334" s="16">
        <v>51.2766</v>
      </c>
      <c r="G334" s="16">
        <v>13.8939</v>
      </c>
      <c r="H334" s="15"/>
      <c r="I334" s="15"/>
    </row>
    <row r="335">
      <c r="A335" s="18">
        <v>45665.0</v>
      </c>
      <c r="B335" s="16" t="s">
        <v>1121</v>
      </c>
      <c r="C335" s="16" t="s">
        <v>959</v>
      </c>
      <c r="D335" s="16" t="s">
        <v>707</v>
      </c>
      <c r="E335" s="16">
        <v>2007.0</v>
      </c>
      <c r="F335" s="16">
        <v>51.2471</v>
      </c>
      <c r="G335" s="16">
        <v>11.9714</v>
      </c>
      <c r="H335" s="15"/>
      <c r="I335" s="15"/>
    </row>
    <row r="336">
      <c r="A336" s="18">
        <v>45665.0</v>
      </c>
      <c r="B336" s="16" t="s">
        <v>1122</v>
      </c>
      <c r="C336" s="16" t="s">
        <v>969</v>
      </c>
      <c r="D336" s="16" t="s">
        <v>707</v>
      </c>
      <c r="E336" s="16">
        <v>2007.0</v>
      </c>
      <c r="F336" s="16">
        <v>47.7451</v>
      </c>
      <c r="G336" s="16">
        <v>8.9215</v>
      </c>
      <c r="H336" s="15"/>
      <c r="I336" s="15"/>
    </row>
    <row r="337">
      <c r="A337" s="18">
        <v>45665.0</v>
      </c>
      <c r="B337" s="16" t="s">
        <v>1123</v>
      </c>
      <c r="C337" s="16">
        <v>1.0</v>
      </c>
      <c r="D337" s="16" t="s">
        <v>707</v>
      </c>
      <c r="E337" s="16">
        <v>2007.0</v>
      </c>
      <c r="F337" s="16">
        <v>49.2491</v>
      </c>
      <c r="G337" s="16">
        <v>11.1172</v>
      </c>
      <c r="H337" s="15"/>
      <c r="I337" s="15"/>
    </row>
    <row r="338">
      <c r="A338" s="18">
        <v>45665.0</v>
      </c>
      <c r="B338" s="16" t="s">
        <v>1124</v>
      </c>
      <c r="C338" s="16" t="s">
        <v>942</v>
      </c>
      <c r="D338" s="16" t="s">
        <v>707</v>
      </c>
      <c r="E338" s="16">
        <v>2007.0</v>
      </c>
      <c r="F338" s="16">
        <v>49.6833</v>
      </c>
      <c r="G338" s="16">
        <v>10.6333</v>
      </c>
      <c r="H338" s="15"/>
      <c r="I338" s="15"/>
    </row>
    <row r="339">
      <c r="A339" s="18">
        <v>45665.0</v>
      </c>
      <c r="B339" s="16" t="s">
        <v>1125</v>
      </c>
      <c r="C339" s="16" t="s">
        <v>1037</v>
      </c>
      <c r="D339" s="16" t="s">
        <v>707</v>
      </c>
      <c r="E339" s="16">
        <v>2007.0</v>
      </c>
      <c r="F339" s="16">
        <v>53.4983</v>
      </c>
      <c r="G339" s="16">
        <v>7.3691</v>
      </c>
      <c r="H339" s="15"/>
      <c r="I339" s="15"/>
    </row>
    <row r="340">
      <c r="A340" s="18">
        <v>45665.0</v>
      </c>
      <c r="B340" s="16" t="s">
        <v>1126</v>
      </c>
      <c r="C340" s="16">
        <v>5.0</v>
      </c>
      <c r="D340" s="16" t="s">
        <v>707</v>
      </c>
      <c r="E340" s="16">
        <v>2007.0</v>
      </c>
      <c r="F340" s="16">
        <v>48.5483</v>
      </c>
      <c r="G340" s="16">
        <v>10.8973</v>
      </c>
      <c r="H340" s="15"/>
      <c r="I340" s="15"/>
    </row>
    <row r="341">
      <c r="A341" s="18">
        <v>45665.0</v>
      </c>
      <c r="B341" s="16" t="s">
        <v>1127</v>
      </c>
      <c r="C341" s="16" t="s">
        <v>951</v>
      </c>
      <c r="D341" s="16" t="s">
        <v>707</v>
      </c>
      <c r="E341" s="16">
        <v>2007.0</v>
      </c>
      <c r="F341" s="16">
        <v>48.591</v>
      </c>
      <c r="G341" s="16">
        <v>11.0119</v>
      </c>
      <c r="H341" s="15"/>
      <c r="I341" s="15"/>
    </row>
    <row r="342">
      <c r="A342" s="18">
        <v>45665.0</v>
      </c>
      <c r="B342" s="16" t="s">
        <v>1128</v>
      </c>
      <c r="C342" s="16" t="s">
        <v>1059</v>
      </c>
      <c r="D342" s="16" t="s">
        <v>707</v>
      </c>
      <c r="E342" s="16">
        <v>2007.0</v>
      </c>
      <c r="F342" s="16">
        <v>50.109</v>
      </c>
      <c r="G342" s="16">
        <v>10.909</v>
      </c>
      <c r="H342" s="15"/>
      <c r="I342" s="15"/>
    </row>
    <row r="343">
      <c r="A343" s="18">
        <v>45665.0</v>
      </c>
      <c r="B343" s="16" t="s">
        <v>1129</v>
      </c>
      <c r="C343" s="16" t="s">
        <v>969</v>
      </c>
      <c r="D343" s="16" t="s">
        <v>707</v>
      </c>
      <c r="E343" s="16">
        <v>2008.0</v>
      </c>
      <c r="F343" s="16">
        <v>54.7779</v>
      </c>
      <c r="G343" s="16">
        <v>9.091</v>
      </c>
      <c r="H343" s="15"/>
      <c r="I343" s="15"/>
    </row>
    <row r="344">
      <c r="A344" s="18">
        <v>45665.0</v>
      </c>
      <c r="B344" s="16" t="s">
        <v>1130</v>
      </c>
      <c r="C344" s="16" t="s">
        <v>951</v>
      </c>
      <c r="D344" s="16" t="s">
        <v>707</v>
      </c>
      <c r="E344" s="16">
        <v>2008.0</v>
      </c>
      <c r="F344" s="16">
        <v>49.4594</v>
      </c>
      <c r="G344" s="16">
        <v>10.2723</v>
      </c>
      <c r="H344" s="15"/>
      <c r="I344" s="15"/>
    </row>
    <row r="345">
      <c r="A345" s="18">
        <v>45665.0</v>
      </c>
      <c r="B345" s="16" t="s">
        <v>1131</v>
      </c>
      <c r="C345" s="16" t="s">
        <v>1055</v>
      </c>
      <c r="D345" s="16" t="s">
        <v>707</v>
      </c>
      <c r="E345" s="16">
        <v>2008.0</v>
      </c>
      <c r="F345" s="16">
        <v>48.6291</v>
      </c>
      <c r="G345" s="16">
        <v>10.194</v>
      </c>
      <c r="H345" s="15"/>
      <c r="I345" s="15"/>
    </row>
    <row r="346">
      <c r="A346" s="18">
        <v>45665.0</v>
      </c>
      <c r="B346" s="16" t="s">
        <v>1132</v>
      </c>
      <c r="C346" s="16" t="s">
        <v>969</v>
      </c>
      <c r="D346" s="16" t="s">
        <v>707</v>
      </c>
      <c r="E346" s="16">
        <v>2008.0</v>
      </c>
      <c r="F346" s="16">
        <v>48.0387</v>
      </c>
      <c r="G346" s="16">
        <v>11.6581</v>
      </c>
      <c r="H346" s="15"/>
      <c r="I346" s="15"/>
    </row>
    <row r="347">
      <c r="A347" s="18">
        <v>45665.0</v>
      </c>
      <c r="B347" s="16" t="s">
        <v>1133</v>
      </c>
      <c r="C347" s="16" t="s">
        <v>969</v>
      </c>
      <c r="D347" s="16" t="s">
        <v>707</v>
      </c>
      <c r="E347" s="16">
        <v>2008.0</v>
      </c>
      <c r="F347" s="16">
        <v>48.2216</v>
      </c>
      <c r="G347" s="16">
        <v>8.5754</v>
      </c>
      <c r="H347" s="15"/>
      <c r="I347" s="15"/>
    </row>
    <row r="348">
      <c r="A348" s="18">
        <v>45665.0</v>
      </c>
      <c r="B348" s="16" t="s">
        <v>1134</v>
      </c>
      <c r="C348" s="16" t="s">
        <v>1055</v>
      </c>
      <c r="D348" s="16" t="s">
        <v>707</v>
      </c>
      <c r="E348" s="16">
        <v>2008.0</v>
      </c>
      <c r="F348" s="16">
        <v>48.8967</v>
      </c>
      <c r="G348" s="16">
        <v>12.6622</v>
      </c>
      <c r="H348" s="15"/>
      <c r="I348" s="15"/>
    </row>
    <row r="349">
      <c r="A349" s="18">
        <v>45665.0</v>
      </c>
      <c r="B349" s="16" t="s">
        <v>1135</v>
      </c>
      <c r="C349" s="16" t="s">
        <v>946</v>
      </c>
      <c r="D349" s="16" t="s">
        <v>707</v>
      </c>
      <c r="E349" s="16">
        <v>2008.0</v>
      </c>
      <c r="F349" s="16">
        <v>51.3514</v>
      </c>
      <c r="G349" s="16">
        <v>12.9945</v>
      </c>
      <c r="H349" s="15"/>
      <c r="I349" s="15"/>
    </row>
    <row r="350">
      <c r="A350" s="18">
        <v>45665.0</v>
      </c>
      <c r="B350" s="16" t="s">
        <v>1136</v>
      </c>
      <c r="C350" s="16" t="s">
        <v>946</v>
      </c>
      <c r="D350" s="16" t="s">
        <v>707</v>
      </c>
      <c r="E350" s="16">
        <v>2008.0</v>
      </c>
      <c r="F350" s="16">
        <v>48.4653</v>
      </c>
      <c r="G350" s="16">
        <v>9.7008</v>
      </c>
      <c r="H350" s="15"/>
      <c r="I350" s="15"/>
    </row>
    <row r="351">
      <c r="A351" s="18">
        <v>45665.0</v>
      </c>
      <c r="B351" s="16" t="s">
        <v>1137</v>
      </c>
      <c r="C351" s="16">
        <v>1.0</v>
      </c>
      <c r="D351" s="16" t="s">
        <v>707</v>
      </c>
      <c r="E351" s="16">
        <v>2008.0</v>
      </c>
      <c r="F351" s="16">
        <v>48.6954</v>
      </c>
      <c r="G351" s="16">
        <v>12.2009</v>
      </c>
      <c r="H351" s="15"/>
      <c r="I351" s="15"/>
    </row>
    <row r="352">
      <c r="A352" s="18">
        <v>45665.0</v>
      </c>
      <c r="B352" s="16" t="s">
        <v>1138</v>
      </c>
      <c r="C352" s="16" t="s">
        <v>959</v>
      </c>
      <c r="D352" s="16" t="s">
        <v>707</v>
      </c>
      <c r="E352" s="16">
        <v>2008.0</v>
      </c>
      <c r="F352" s="16">
        <v>50.9093</v>
      </c>
      <c r="G352" s="16">
        <v>13.3738</v>
      </c>
      <c r="H352" s="15"/>
      <c r="I352" s="15"/>
    </row>
    <row r="353">
      <c r="A353" s="18">
        <v>45665.0</v>
      </c>
      <c r="B353" s="16" t="s">
        <v>1139</v>
      </c>
      <c r="C353" s="16" t="s">
        <v>1059</v>
      </c>
      <c r="D353" s="16" t="s">
        <v>707</v>
      </c>
      <c r="E353" s="16">
        <v>2008.0</v>
      </c>
      <c r="F353" s="16">
        <v>48.8979</v>
      </c>
      <c r="G353" s="16">
        <v>12.7351</v>
      </c>
      <c r="H353" s="15"/>
      <c r="I353" s="15"/>
    </row>
    <row r="354">
      <c r="A354" s="18">
        <v>45665.0</v>
      </c>
      <c r="B354" s="16" t="s">
        <v>1140</v>
      </c>
      <c r="C354" s="16" t="s">
        <v>969</v>
      </c>
      <c r="D354" s="16" t="s">
        <v>707</v>
      </c>
      <c r="E354" s="16">
        <v>2008.0</v>
      </c>
      <c r="F354" s="16">
        <v>48.549</v>
      </c>
      <c r="G354" s="16">
        <v>10.3812</v>
      </c>
      <c r="H354" s="15"/>
      <c r="I354" s="15"/>
    </row>
    <row r="355">
      <c r="A355" s="18">
        <v>45665.0</v>
      </c>
      <c r="B355" s="16" t="s">
        <v>1141</v>
      </c>
      <c r="C355" s="16" t="s">
        <v>1059</v>
      </c>
      <c r="D355" s="16" t="s">
        <v>707</v>
      </c>
      <c r="E355" s="16">
        <v>2008.0</v>
      </c>
      <c r="F355" s="16">
        <v>49.9265</v>
      </c>
      <c r="G355" s="16">
        <v>7.8125</v>
      </c>
      <c r="H355" s="15"/>
      <c r="I355" s="15"/>
    </row>
    <row r="356">
      <c r="A356" s="18">
        <v>45665.0</v>
      </c>
      <c r="B356" s="16" t="s">
        <v>1142</v>
      </c>
      <c r="C356" s="16" t="s">
        <v>984</v>
      </c>
      <c r="D356" s="16" t="s">
        <v>707</v>
      </c>
      <c r="E356" s="16">
        <v>2008.0</v>
      </c>
      <c r="F356" s="16">
        <v>53.2215</v>
      </c>
      <c r="G356" s="16">
        <v>13.6872</v>
      </c>
      <c r="H356" s="15"/>
      <c r="I356" s="15"/>
    </row>
    <row r="357">
      <c r="A357" s="18">
        <v>45665.0</v>
      </c>
      <c r="B357" s="16" t="s">
        <v>1143</v>
      </c>
      <c r="C357" s="16" t="s">
        <v>1055</v>
      </c>
      <c r="D357" s="16" t="s">
        <v>707</v>
      </c>
      <c r="E357" s="16">
        <v>2008.0</v>
      </c>
      <c r="F357" s="16">
        <v>53.2215</v>
      </c>
      <c r="G357" s="16">
        <v>13.6872</v>
      </c>
      <c r="H357" s="15"/>
      <c r="I357" s="15"/>
    </row>
    <row r="358">
      <c r="A358" s="18">
        <v>45665.0</v>
      </c>
      <c r="B358" s="16" t="s">
        <v>1144</v>
      </c>
      <c r="C358" s="16">
        <v>10.0</v>
      </c>
      <c r="D358" s="16" t="s">
        <v>707</v>
      </c>
      <c r="E358" s="16">
        <v>2008.0</v>
      </c>
      <c r="F358" s="16">
        <v>48.5392</v>
      </c>
      <c r="G358" s="16">
        <v>10.4164</v>
      </c>
      <c r="H358" s="15"/>
      <c r="I358" s="15"/>
    </row>
    <row r="359">
      <c r="A359" s="18">
        <v>45665.0</v>
      </c>
      <c r="B359" s="16" t="s">
        <v>1145</v>
      </c>
      <c r="C359" s="16" t="s">
        <v>948</v>
      </c>
      <c r="D359" s="16" t="s">
        <v>707</v>
      </c>
      <c r="E359" s="16">
        <v>2008.0</v>
      </c>
      <c r="F359" s="16">
        <v>49.0759</v>
      </c>
      <c r="G359" s="16">
        <v>12.2695</v>
      </c>
      <c r="H359" s="15"/>
      <c r="I359" s="15"/>
    </row>
    <row r="360">
      <c r="A360" s="18">
        <v>45665.0</v>
      </c>
      <c r="B360" s="16" t="s">
        <v>1146</v>
      </c>
      <c r="C360" s="16" t="s">
        <v>1147</v>
      </c>
      <c r="D360" s="16" t="s">
        <v>707</v>
      </c>
      <c r="E360" s="16">
        <v>2008.0</v>
      </c>
      <c r="F360" s="16">
        <v>48.042</v>
      </c>
      <c r="G360" s="16">
        <v>10.7834</v>
      </c>
      <c r="H360" s="15"/>
      <c r="I360" s="15"/>
    </row>
    <row r="361">
      <c r="A361" s="18">
        <v>45665.0</v>
      </c>
      <c r="B361" s="16" t="s">
        <v>1148</v>
      </c>
      <c r="C361" s="16" t="s">
        <v>1149</v>
      </c>
      <c r="D361" s="16" t="s">
        <v>707</v>
      </c>
      <c r="E361" s="16">
        <v>2008.0</v>
      </c>
      <c r="F361" s="16">
        <v>50.0615</v>
      </c>
      <c r="G361" s="16">
        <v>6.9078</v>
      </c>
      <c r="H361" s="15"/>
      <c r="I361" s="15"/>
    </row>
    <row r="362">
      <c r="A362" s="18">
        <v>45665.0</v>
      </c>
      <c r="B362" s="16" t="s">
        <v>1150</v>
      </c>
      <c r="C362" s="16" t="s">
        <v>969</v>
      </c>
      <c r="D362" s="16" t="s">
        <v>707</v>
      </c>
      <c r="E362" s="16">
        <v>2008.0</v>
      </c>
      <c r="F362" s="16">
        <v>50.0056</v>
      </c>
      <c r="G362" s="16">
        <v>7.0193</v>
      </c>
      <c r="H362" s="15"/>
      <c r="I362" s="15"/>
    </row>
    <row r="363">
      <c r="A363" s="18">
        <v>45665.0</v>
      </c>
      <c r="B363" s="16" t="s">
        <v>1151</v>
      </c>
      <c r="C363" s="16" t="s">
        <v>1090</v>
      </c>
      <c r="D363" s="16" t="s">
        <v>707</v>
      </c>
      <c r="E363" s="16">
        <v>2008.0</v>
      </c>
      <c r="F363" s="16">
        <v>48.1345</v>
      </c>
      <c r="G363" s="16">
        <v>9.1546</v>
      </c>
      <c r="H363" s="15"/>
      <c r="I363" s="15"/>
    </row>
    <row r="364">
      <c r="A364" s="18">
        <v>45665.0</v>
      </c>
      <c r="B364" s="16" t="s">
        <v>1152</v>
      </c>
      <c r="C364" s="16">
        <v>1.0</v>
      </c>
      <c r="D364" s="16" t="s">
        <v>707</v>
      </c>
      <c r="E364" s="16">
        <v>2008.0</v>
      </c>
      <c r="F364" s="16">
        <v>52.0275</v>
      </c>
      <c r="G364" s="16">
        <v>11.2524</v>
      </c>
      <c r="H364" s="15"/>
      <c r="I364" s="15"/>
    </row>
    <row r="365">
      <c r="A365" s="18">
        <v>45665.0</v>
      </c>
      <c r="B365" s="16" t="s">
        <v>1153</v>
      </c>
      <c r="C365" s="16">
        <v>2.0</v>
      </c>
      <c r="D365" s="16" t="s">
        <v>707</v>
      </c>
      <c r="E365" s="16">
        <v>2008.0</v>
      </c>
      <c r="F365" s="16">
        <v>51.0881</v>
      </c>
      <c r="G365" s="16">
        <v>12.478</v>
      </c>
      <c r="H365" s="15"/>
      <c r="I365" s="15"/>
    </row>
    <row r="366">
      <c r="A366" s="18">
        <v>45665.0</v>
      </c>
      <c r="B366" s="16" t="s">
        <v>1154</v>
      </c>
      <c r="C366" s="16" t="s">
        <v>978</v>
      </c>
      <c r="D366" s="16" t="s">
        <v>707</v>
      </c>
      <c r="E366" s="16">
        <v>2008.0</v>
      </c>
      <c r="F366" s="16">
        <v>48.393</v>
      </c>
      <c r="G366" s="16">
        <v>10.0399</v>
      </c>
      <c r="H366" s="15"/>
      <c r="I366" s="15"/>
    </row>
    <row r="367">
      <c r="A367" s="18">
        <v>45665.0</v>
      </c>
      <c r="B367" s="16" t="s">
        <v>1155</v>
      </c>
      <c r="C367" s="16" t="s">
        <v>948</v>
      </c>
      <c r="D367" s="16" t="s">
        <v>707</v>
      </c>
      <c r="E367" s="16">
        <v>2008.0</v>
      </c>
      <c r="F367" s="16">
        <v>48.9635</v>
      </c>
      <c r="G367" s="16">
        <v>12.5539</v>
      </c>
      <c r="H367" s="15"/>
      <c r="I367" s="15"/>
    </row>
    <row r="368">
      <c r="A368" s="18">
        <v>45665.0</v>
      </c>
      <c r="B368" s="16" t="s">
        <v>1156</v>
      </c>
      <c r="C368" s="16" t="s">
        <v>969</v>
      </c>
      <c r="D368" s="16" t="s">
        <v>707</v>
      </c>
      <c r="E368" s="16">
        <v>2008.0</v>
      </c>
      <c r="F368" s="16">
        <v>48.3686</v>
      </c>
      <c r="G368" s="16">
        <v>11.8893</v>
      </c>
      <c r="H368" s="15"/>
      <c r="I368" s="15"/>
    </row>
    <row r="369">
      <c r="A369" s="18">
        <v>45665.0</v>
      </c>
      <c r="B369" s="16" t="s">
        <v>1157</v>
      </c>
      <c r="C369" s="16" t="s">
        <v>942</v>
      </c>
      <c r="D369" s="16" t="s">
        <v>707</v>
      </c>
      <c r="E369" s="16">
        <v>2008.0</v>
      </c>
      <c r="F369" s="16">
        <v>48.8038</v>
      </c>
      <c r="G369" s="16">
        <v>12.872</v>
      </c>
      <c r="H369" s="15"/>
      <c r="I369" s="15"/>
    </row>
    <row r="370">
      <c r="A370" s="18">
        <v>45665.0</v>
      </c>
      <c r="B370" s="16" t="s">
        <v>1158</v>
      </c>
      <c r="C370" s="16" t="s">
        <v>984</v>
      </c>
      <c r="D370" s="16" t="s">
        <v>707</v>
      </c>
      <c r="E370" s="16">
        <v>2008.0</v>
      </c>
      <c r="F370" s="16">
        <v>49.776</v>
      </c>
      <c r="G370" s="16">
        <v>6.816</v>
      </c>
      <c r="H370" s="15"/>
      <c r="I370" s="15"/>
    </row>
    <row r="371">
      <c r="A371" s="18">
        <v>45665.0</v>
      </c>
      <c r="B371" s="16" t="s">
        <v>1159</v>
      </c>
      <c r="C371" s="16" t="s">
        <v>946</v>
      </c>
      <c r="D371" s="16" t="s">
        <v>707</v>
      </c>
      <c r="E371" s="16">
        <v>2008.0</v>
      </c>
      <c r="F371" s="16">
        <v>51.091</v>
      </c>
      <c r="G371" s="16">
        <v>13.278</v>
      </c>
      <c r="H371" s="15"/>
      <c r="I371" s="15"/>
    </row>
    <row r="372">
      <c r="A372" s="18">
        <v>45665.0</v>
      </c>
      <c r="B372" s="16" t="s">
        <v>1160</v>
      </c>
      <c r="C372" s="16" t="s">
        <v>942</v>
      </c>
      <c r="D372" s="16" t="s">
        <v>707</v>
      </c>
      <c r="E372" s="16">
        <v>2008.0</v>
      </c>
      <c r="F372" s="16">
        <v>51.8988</v>
      </c>
      <c r="G372" s="16">
        <v>7.4282</v>
      </c>
      <c r="H372" s="15"/>
      <c r="I372" s="15"/>
    </row>
    <row r="373">
      <c r="A373" s="18">
        <v>45665.0</v>
      </c>
      <c r="B373" s="16" t="s">
        <v>1161</v>
      </c>
      <c r="C373" s="16" t="s">
        <v>946</v>
      </c>
      <c r="D373" s="16" t="s">
        <v>707</v>
      </c>
      <c r="E373" s="16">
        <v>2008.0</v>
      </c>
      <c r="F373" s="16">
        <v>48.5983</v>
      </c>
      <c r="G373" s="16">
        <v>13.1775</v>
      </c>
      <c r="H373" s="15"/>
      <c r="I373" s="15"/>
    </row>
    <row r="374">
      <c r="A374" s="18">
        <v>45665.0</v>
      </c>
      <c r="B374" s="16" t="s">
        <v>1162</v>
      </c>
      <c r="C374" s="16" t="s">
        <v>946</v>
      </c>
      <c r="D374" s="16" t="s">
        <v>707</v>
      </c>
      <c r="E374" s="16">
        <v>2008.0</v>
      </c>
      <c r="F374" s="16">
        <v>48.167</v>
      </c>
      <c r="G374" s="16">
        <v>12.161</v>
      </c>
      <c r="H374" s="15"/>
      <c r="I374" s="15"/>
    </row>
    <row r="375">
      <c r="A375" s="18">
        <v>45665.0</v>
      </c>
      <c r="B375" s="16" t="s">
        <v>1163</v>
      </c>
      <c r="C375" s="16" t="s">
        <v>942</v>
      </c>
      <c r="D375" s="16" t="s">
        <v>707</v>
      </c>
      <c r="E375" s="16">
        <v>2008.0</v>
      </c>
      <c r="F375" s="16">
        <v>48.6621</v>
      </c>
      <c r="G375" s="16">
        <v>11.0423</v>
      </c>
      <c r="H375" s="15"/>
      <c r="I375" s="15"/>
    </row>
    <row r="376">
      <c r="A376" s="18">
        <v>45665.0</v>
      </c>
      <c r="B376" s="16" t="s">
        <v>1164</v>
      </c>
      <c r="C376" s="16" t="s">
        <v>1039</v>
      </c>
      <c r="D376" s="16" t="s">
        <v>707</v>
      </c>
      <c r="E376" s="16">
        <v>2008.0</v>
      </c>
      <c r="F376" s="16">
        <v>48.4786</v>
      </c>
      <c r="G376" s="16">
        <v>10.6304</v>
      </c>
      <c r="H376" s="15"/>
      <c r="I376" s="15"/>
    </row>
    <row r="377">
      <c r="A377" s="18">
        <v>45665.0</v>
      </c>
      <c r="B377" s="16" t="s">
        <v>1165</v>
      </c>
      <c r="C377" s="16" t="s">
        <v>1059</v>
      </c>
      <c r="D377" s="16" t="s">
        <v>707</v>
      </c>
      <c r="E377" s="16">
        <v>2008.0</v>
      </c>
      <c r="F377" s="16">
        <v>48.8063</v>
      </c>
      <c r="G377" s="16">
        <v>12.8681</v>
      </c>
      <c r="H377" s="15"/>
      <c r="I377" s="15"/>
    </row>
    <row r="378">
      <c r="A378" s="18">
        <v>45665.0</v>
      </c>
      <c r="B378" s="16" t="s">
        <v>1166</v>
      </c>
      <c r="C378" s="16" t="s">
        <v>1167</v>
      </c>
      <c r="D378" s="16" t="s">
        <v>707</v>
      </c>
      <c r="E378" s="16">
        <v>2008.0</v>
      </c>
      <c r="F378" s="16">
        <v>48.5786</v>
      </c>
      <c r="G378" s="16">
        <v>10.3861</v>
      </c>
      <c r="H378" s="15"/>
      <c r="I378" s="15"/>
    </row>
    <row r="379">
      <c r="A379" s="18">
        <v>45665.0</v>
      </c>
      <c r="B379" s="16" t="s">
        <v>1168</v>
      </c>
      <c r="C379" s="16" t="s">
        <v>946</v>
      </c>
      <c r="D379" s="16" t="s">
        <v>707</v>
      </c>
      <c r="E379" s="16">
        <v>2008.0</v>
      </c>
      <c r="F379" s="16">
        <v>48.1599</v>
      </c>
      <c r="G379" s="16">
        <v>9.7891</v>
      </c>
      <c r="H379" s="15"/>
      <c r="I379" s="15"/>
    </row>
    <row r="380">
      <c r="A380" s="18">
        <v>45665.0</v>
      </c>
      <c r="B380" s="16" t="s">
        <v>1169</v>
      </c>
      <c r="C380" s="16" t="s">
        <v>1170</v>
      </c>
      <c r="D380" s="16" t="s">
        <v>707</v>
      </c>
      <c r="E380" s="16">
        <v>2008.0</v>
      </c>
      <c r="F380" s="16">
        <v>51.0425</v>
      </c>
      <c r="G380" s="16">
        <v>11.6288</v>
      </c>
      <c r="H380" s="15"/>
      <c r="I380" s="15"/>
    </row>
    <row r="381">
      <c r="A381" s="18">
        <v>45665.0</v>
      </c>
      <c r="B381" s="16" t="s">
        <v>1171</v>
      </c>
      <c r="C381" s="16" t="s">
        <v>1172</v>
      </c>
      <c r="D381" s="16" t="s">
        <v>707</v>
      </c>
      <c r="E381" s="16">
        <v>2008.0</v>
      </c>
      <c r="F381" s="16">
        <v>48.4766</v>
      </c>
      <c r="G381" s="16">
        <v>11.0996</v>
      </c>
      <c r="H381" s="15"/>
      <c r="I381" s="15"/>
    </row>
    <row r="382">
      <c r="A382" s="18">
        <v>45665.0</v>
      </c>
      <c r="B382" s="16" t="s">
        <v>1173</v>
      </c>
      <c r="C382" s="16" t="s">
        <v>1046</v>
      </c>
      <c r="D382" s="16" t="s">
        <v>707</v>
      </c>
      <c r="E382" s="16">
        <v>2008.0</v>
      </c>
      <c r="F382" s="16">
        <v>47.9676</v>
      </c>
      <c r="G382" s="16">
        <v>10.9176</v>
      </c>
      <c r="H382" s="15"/>
      <c r="I382" s="15"/>
    </row>
    <row r="383">
      <c r="A383" s="18">
        <v>45665.0</v>
      </c>
      <c r="B383" s="16" t="s">
        <v>1174</v>
      </c>
      <c r="C383" s="16" t="s">
        <v>1055</v>
      </c>
      <c r="D383" s="16" t="s">
        <v>707</v>
      </c>
      <c r="E383" s="16">
        <v>2008.0</v>
      </c>
      <c r="F383" s="16">
        <v>48.354</v>
      </c>
      <c r="G383" s="16">
        <v>11.3588</v>
      </c>
      <c r="H383" s="15"/>
      <c r="I383" s="15"/>
    </row>
    <row r="384">
      <c r="A384" s="18">
        <v>45665.0</v>
      </c>
      <c r="B384" s="16" t="s">
        <v>1175</v>
      </c>
      <c r="C384" s="16" t="s">
        <v>1055</v>
      </c>
      <c r="D384" s="16" t="s">
        <v>707</v>
      </c>
      <c r="E384" s="16">
        <v>2008.0</v>
      </c>
      <c r="F384" s="16">
        <v>48.6628</v>
      </c>
      <c r="G384" s="16">
        <v>10.5734</v>
      </c>
      <c r="H384" s="15"/>
      <c r="I384" s="15"/>
    </row>
    <row r="385">
      <c r="A385" s="18">
        <v>45665.0</v>
      </c>
      <c r="B385" s="16" t="s">
        <v>1176</v>
      </c>
      <c r="C385" s="16">
        <v>2.0</v>
      </c>
      <c r="D385" s="16" t="s">
        <v>707</v>
      </c>
      <c r="E385" s="16">
        <v>2008.0</v>
      </c>
      <c r="F385" s="16">
        <v>49.8616</v>
      </c>
      <c r="G385" s="16">
        <v>8.4595</v>
      </c>
      <c r="H385" s="15"/>
      <c r="I385" s="15"/>
    </row>
    <row r="386">
      <c r="A386" s="18">
        <v>45665.0</v>
      </c>
      <c r="B386" s="16" t="s">
        <v>1177</v>
      </c>
      <c r="C386" s="16" t="s">
        <v>969</v>
      </c>
      <c r="D386" s="16" t="s">
        <v>707</v>
      </c>
      <c r="E386" s="16">
        <v>2008.0</v>
      </c>
      <c r="F386" s="16">
        <v>49.8288</v>
      </c>
      <c r="G386" s="16">
        <v>8.132</v>
      </c>
      <c r="H386" s="15"/>
      <c r="I386" s="15"/>
    </row>
    <row r="387">
      <c r="A387" s="18">
        <v>45665.0</v>
      </c>
      <c r="B387" s="16" t="s">
        <v>1177</v>
      </c>
      <c r="C387" s="16">
        <v>1.0</v>
      </c>
      <c r="D387" s="16" t="s">
        <v>707</v>
      </c>
      <c r="E387" s="16">
        <v>2008.0</v>
      </c>
      <c r="F387" s="16">
        <v>49.8288</v>
      </c>
      <c r="G387" s="16">
        <v>8.132</v>
      </c>
      <c r="H387" s="15"/>
      <c r="I387" s="15"/>
    </row>
    <row r="388">
      <c r="A388" s="18">
        <v>45665.0</v>
      </c>
      <c r="B388" s="16" t="s">
        <v>1178</v>
      </c>
      <c r="C388" s="16" t="s">
        <v>1037</v>
      </c>
      <c r="D388" s="16" t="s">
        <v>707</v>
      </c>
      <c r="E388" s="16">
        <v>2008.0</v>
      </c>
      <c r="F388" s="16">
        <v>49.8288</v>
      </c>
      <c r="G388" s="16">
        <v>8.132</v>
      </c>
      <c r="H388" s="15"/>
      <c r="I388" s="15"/>
    </row>
    <row r="389">
      <c r="A389" s="18">
        <v>45665.0</v>
      </c>
      <c r="B389" s="16" t="s">
        <v>1179</v>
      </c>
      <c r="C389" s="16" t="s">
        <v>1055</v>
      </c>
      <c r="D389" s="16" t="s">
        <v>707</v>
      </c>
      <c r="E389" s="16">
        <v>2008.0</v>
      </c>
      <c r="F389" s="16">
        <v>48.0416</v>
      </c>
      <c r="G389" s="16">
        <v>11.2744</v>
      </c>
      <c r="H389" s="15"/>
      <c r="I389" s="15"/>
    </row>
    <row r="390">
      <c r="A390" s="18">
        <v>45665.0</v>
      </c>
      <c r="B390" s="16" t="s">
        <v>1180</v>
      </c>
      <c r="C390" s="16" t="s">
        <v>1181</v>
      </c>
      <c r="D390" s="16" t="s">
        <v>707</v>
      </c>
      <c r="E390" s="16">
        <v>2008.0</v>
      </c>
      <c r="F390" s="16">
        <v>49.8544</v>
      </c>
      <c r="G390" s="16">
        <v>6.7816</v>
      </c>
      <c r="H390" s="15"/>
      <c r="I390" s="15"/>
    </row>
    <row r="391">
      <c r="A391" s="18">
        <v>45665.0</v>
      </c>
      <c r="B391" s="16" t="s">
        <v>1182</v>
      </c>
      <c r="C391" s="16" t="s">
        <v>951</v>
      </c>
      <c r="D391" s="16" t="s">
        <v>707</v>
      </c>
      <c r="E391" s="16">
        <v>2008.0</v>
      </c>
      <c r="F391" s="16">
        <v>49.9125</v>
      </c>
      <c r="G391" s="16">
        <v>10.2389</v>
      </c>
      <c r="H391" s="15"/>
      <c r="I391" s="15"/>
    </row>
    <row r="392">
      <c r="A392" s="18">
        <v>45665.0</v>
      </c>
      <c r="B392" s="16" t="s">
        <v>1183</v>
      </c>
      <c r="C392" s="16" t="s">
        <v>969</v>
      </c>
      <c r="D392" s="16" t="s">
        <v>707</v>
      </c>
      <c r="E392" s="16">
        <v>2008.0</v>
      </c>
      <c r="F392" s="16">
        <v>49.242</v>
      </c>
      <c r="G392" s="16">
        <v>10.6668</v>
      </c>
      <c r="H392" s="15"/>
      <c r="I392" s="15"/>
    </row>
    <row r="393">
      <c r="A393" s="18">
        <v>45665.0</v>
      </c>
      <c r="B393" s="16" t="s">
        <v>1184</v>
      </c>
      <c r="C393" s="16">
        <v>1.0</v>
      </c>
      <c r="D393" s="16" t="s">
        <v>707</v>
      </c>
      <c r="E393" s="16">
        <v>2008.0</v>
      </c>
      <c r="F393" s="16">
        <v>51.6384</v>
      </c>
      <c r="G393" s="16">
        <v>12.1942</v>
      </c>
      <c r="H393" s="15"/>
      <c r="I393" s="15"/>
    </row>
    <row r="394">
      <c r="A394" s="18">
        <v>45665.0</v>
      </c>
      <c r="B394" s="16" t="s">
        <v>1185</v>
      </c>
      <c r="C394" s="16">
        <v>1.0</v>
      </c>
      <c r="D394" s="16" t="s">
        <v>707</v>
      </c>
      <c r="E394" s="16">
        <v>2008.0</v>
      </c>
      <c r="F394" s="16">
        <v>51.6384</v>
      </c>
      <c r="G394" s="16">
        <v>12.1942</v>
      </c>
      <c r="H394" s="15"/>
      <c r="I394" s="15"/>
    </row>
    <row r="395">
      <c r="A395" s="18">
        <v>45665.0</v>
      </c>
      <c r="B395" s="16" t="s">
        <v>1186</v>
      </c>
      <c r="C395" s="16">
        <v>1.0</v>
      </c>
      <c r="D395" s="16" t="s">
        <v>707</v>
      </c>
      <c r="E395" s="16">
        <v>2008.0</v>
      </c>
      <c r="F395" s="16">
        <v>51.6384</v>
      </c>
      <c r="G395" s="16">
        <v>12.1942</v>
      </c>
      <c r="H395" s="15"/>
      <c r="I395" s="15"/>
    </row>
    <row r="396">
      <c r="A396" s="18">
        <v>45665.0</v>
      </c>
      <c r="B396" s="16" t="s">
        <v>1187</v>
      </c>
      <c r="C396" s="16" t="s">
        <v>942</v>
      </c>
      <c r="D396" s="16" t="s">
        <v>707</v>
      </c>
      <c r="E396" s="16">
        <v>2008.0</v>
      </c>
      <c r="F396" s="16">
        <v>51.7215</v>
      </c>
      <c r="G396" s="16">
        <v>11.9618</v>
      </c>
      <c r="H396" s="15"/>
      <c r="I396" s="15"/>
    </row>
    <row r="397">
      <c r="A397" s="18">
        <v>45665.0</v>
      </c>
      <c r="B397" s="16" t="s">
        <v>1188</v>
      </c>
      <c r="C397" s="16" t="s">
        <v>969</v>
      </c>
      <c r="D397" s="16" t="s">
        <v>707</v>
      </c>
      <c r="E397" s="16">
        <v>2008.0</v>
      </c>
      <c r="F397" s="16">
        <v>51.7215</v>
      </c>
      <c r="G397" s="16">
        <v>11.9618</v>
      </c>
      <c r="H397" s="15"/>
      <c r="I397" s="15"/>
    </row>
    <row r="398">
      <c r="A398" s="18">
        <v>45665.0</v>
      </c>
      <c r="B398" s="16" t="s">
        <v>1189</v>
      </c>
      <c r="C398" s="16" t="s">
        <v>942</v>
      </c>
      <c r="D398" s="16" t="s">
        <v>707</v>
      </c>
      <c r="E398" s="16">
        <v>2008.0</v>
      </c>
      <c r="F398" s="16">
        <v>51.7215</v>
      </c>
      <c r="G398" s="16">
        <v>11.9618</v>
      </c>
      <c r="H398" s="15"/>
      <c r="I398" s="15"/>
    </row>
    <row r="399">
      <c r="A399" s="18">
        <v>45665.0</v>
      </c>
      <c r="B399" s="16" t="s">
        <v>1190</v>
      </c>
      <c r="C399" s="16" t="s">
        <v>969</v>
      </c>
      <c r="D399" s="16" t="s">
        <v>707</v>
      </c>
      <c r="E399" s="16">
        <v>2008.0</v>
      </c>
      <c r="F399" s="16">
        <v>51.7215</v>
      </c>
      <c r="G399" s="16">
        <v>11.9618</v>
      </c>
      <c r="H399" s="15"/>
      <c r="I399" s="15"/>
    </row>
    <row r="400">
      <c r="A400" s="18">
        <v>45665.0</v>
      </c>
      <c r="B400" s="16" t="s">
        <v>1191</v>
      </c>
      <c r="C400" s="16">
        <v>3.0</v>
      </c>
      <c r="D400" s="16" t="s">
        <v>707</v>
      </c>
      <c r="E400" s="16">
        <v>2008.0</v>
      </c>
      <c r="F400" s="16">
        <v>51.7215</v>
      </c>
      <c r="G400" s="16">
        <v>11.9618</v>
      </c>
      <c r="H400" s="15"/>
      <c r="I400" s="15"/>
    </row>
    <row r="401">
      <c r="A401" s="18">
        <v>45665.0</v>
      </c>
      <c r="B401" s="16" t="s">
        <v>1191</v>
      </c>
      <c r="C401" s="16" t="s">
        <v>965</v>
      </c>
      <c r="D401" s="16" t="s">
        <v>707</v>
      </c>
      <c r="E401" s="16">
        <v>2008.0</v>
      </c>
      <c r="F401" s="16">
        <v>51.7215</v>
      </c>
      <c r="G401" s="16">
        <v>11.9618</v>
      </c>
      <c r="H401" s="15"/>
      <c r="I401" s="15"/>
    </row>
    <row r="402">
      <c r="A402" s="18">
        <v>45665.0</v>
      </c>
      <c r="B402" s="16" t="s">
        <v>1192</v>
      </c>
      <c r="C402" s="16">
        <v>2.0</v>
      </c>
      <c r="D402" s="16" t="s">
        <v>707</v>
      </c>
      <c r="E402" s="16">
        <v>2008.0</v>
      </c>
      <c r="F402" s="16">
        <v>48.6132</v>
      </c>
      <c r="G402" s="16">
        <v>10.7724</v>
      </c>
      <c r="H402" s="15"/>
      <c r="I402" s="15"/>
    </row>
    <row r="403">
      <c r="A403" s="18">
        <v>45665.0</v>
      </c>
      <c r="B403" s="16" t="s">
        <v>1193</v>
      </c>
      <c r="C403" s="16" t="s">
        <v>951</v>
      </c>
      <c r="D403" s="16" t="s">
        <v>707</v>
      </c>
      <c r="E403" s="16">
        <v>2008.0</v>
      </c>
      <c r="F403" s="16">
        <v>48.8582</v>
      </c>
      <c r="G403" s="16">
        <v>11.0461</v>
      </c>
      <c r="H403" s="15"/>
      <c r="I403" s="15"/>
    </row>
    <row r="404">
      <c r="A404" s="18">
        <v>45665.0</v>
      </c>
      <c r="B404" s="16" t="s">
        <v>1194</v>
      </c>
      <c r="C404" s="16" t="s">
        <v>942</v>
      </c>
      <c r="D404" s="16" t="s">
        <v>707</v>
      </c>
      <c r="E404" s="16">
        <v>2008.0</v>
      </c>
      <c r="F404" s="16">
        <v>49.758</v>
      </c>
      <c r="G404" s="16">
        <v>9.7206</v>
      </c>
      <c r="H404" s="15"/>
      <c r="I404" s="15"/>
    </row>
    <row r="405">
      <c r="A405" s="18">
        <v>45665.0</v>
      </c>
      <c r="B405" s="16" t="s">
        <v>1195</v>
      </c>
      <c r="C405" s="16" t="s">
        <v>969</v>
      </c>
      <c r="D405" s="16" t="s">
        <v>707</v>
      </c>
      <c r="E405" s="16">
        <v>2008.0</v>
      </c>
      <c r="F405" s="16">
        <v>54.6434</v>
      </c>
      <c r="G405" s="16">
        <v>9.0601</v>
      </c>
      <c r="H405" s="15"/>
      <c r="I405" s="15"/>
    </row>
    <row r="406">
      <c r="A406" s="18">
        <v>45665.0</v>
      </c>
      <c r="B406" s="16" t="s">
        <v>1196</v>
      </c>
      <c r="C406" s="16" t="s">
        <v>969</v>
      </c>
      <c r="D406" s="16" t="s">
        <v>707</v>
      </c>
      <c r="E406" s="16">
        <v>2008.0</v>
      </c>
      <c r="F406" s="16">
        <v>48.2686</v>
      </c>
      <c r="G406" s="16">
        <v>10.8492</v>
      </c>
      <c r="H406" s="15"/>
      <c r="I406" s="15"/>
    </row>
    <row r="407">
      <c r="A407" s="18">
        <v>45665.0</v>
      </c>
      <c r="B407" s="16" t="s">
        <v>1197</v>
      </c>
      <c r="C407" s="16" t="s">
        <v>1055</v>
      </c>
      <c r="D407" s="16" t="s">
        <v>707</v>
      </c>
      <c r="E407" s="16">
        <v>2008.0</v>
      </c>
      <c r="F407" s="16">
        <v>48.373</v>
      </c>
      <c r="G407" s="16">
        <v>11.519</v>
      </c>
      <c r="H407" s="15"/>
      <c r="I407" s="15"/>
    </row>
    <row r="408">
      <c r="A408" s="18">
        <v>45665.0</v>
      </c>
      <c r="B408" s="16" t="s">
        <v>1198</v>
      </c>
      <c r="C408" s="16" t="s">
        <v>959</v>
      </c>
      <c r="D408" s="16" t="s">
        <v>707</v>
      </c>
      <c r="E408" s="16">
        <v>2008.0</v>
      </c>
      <c r="F408" s="16">
        <v>48.5269</v>
      </c>
      <c r="G408" s="16">
        <v>11.0583</v>
      </c>
      <c r="H408" s="15"/>
      <c r="I408" s="15"/>
    </row>
    <row r="409">
      <c r="A409" s="18">
        <v>45665.0</v>
      </c>
      <c r="B409" s="16" t="s">
        <v>1199</v>
      </c>
      <c r="C409" s="16" t="s">
        <v>948</v>
      </c>
      <c r="D409" s="16" t="s">
        <v>707</v>
      </c>
      <c r="E409" s="16">
        <v>2008.0</v>
      </c>
      <c r="F409" s="16">
        <v>51.1353</v>
      </c>
      <c r="G409" s="16">
        <v>12.4559</v>
      </c>
      <c r="H409" s="15"/>
      <c r="I409" s="15"/>
    </row>
    <row r="410">
      <c r="A410" s="18">
        <v>45665.0</v>
      </c>
      <c r="B410" s="16" t="s">
        <v>1200</v>
      </c>
      <c r="C410" s="16" t="s">
        <v>969</v>
      </c>
      <c r="D410" s="16" t="s">
        <v>707</v>
      </c>
      <c r="E410" s="16">
        <v>2008.0</v>
      </c>
      <c r="F410" s="16">
        <v>48.9675</v>
      </c>
      <c r="G410" s="16">
        <v>9.2647</v>
      </c>
      <c r="H410" s="15"/>
      <c r="I410" s="15"/>
    </row>
    <row r="411">
      <c r="A411" s="18">
        <v>45665.0</v>
      </c>
      <c r="B411" s="16" t="s">
        <v>1201</v>
      </c>
      <c r="C411" s="16" t="s">
        <v>942</v>
      </c>
      <c r="D411" s="16" t="s">
        <v>707</v>
      </c>
      <c r="E411" s="16">
        <v>2008.0</v>
      </c>
      <c r="F411" s="16">
        <v>49.6146</v>
      </c>
      <c r="G411" s="16">
        <v>11.2756</v>
      </c>
      <c r="H411" s="15"/>
      <c r="I411" s="15"/>
    </row>
    <row r="412">
      <c r="A412" s="18">
        <v>45665.0</v>
      </c>
      <c r="B412" s="16" t="s">
        <v>1202</v>
      </c>
      <c r="C412" s="16" t="s">
        <v>1203</v>
      </c>
      <c r="D412" s="16" t="s">
        <v>707</v>
      </c>
      <c r="E412" s="16">
        <v>2008.0</v>
      </c>
      <c r="F412" s="16">
        <v>48.6621</v>
      </c>
      <c r="G412" s="16">
        <v>11.9387</v>
      </c>
      <c r="H412" s="15"/>
      <c r="I412" s="15"/>
    </row>
    <row r="413">
      <c r="A413" s="18">
        <v>45665.0</v>
      </c>
      <c r="B413" s="16" t="s">
        <v>1204</v>
      </c>
      <c r="C413" s="16" t="s">
        <v>1055</v>
      </c>
      <c r="D413" s="16" t="s">
        <v>707</v>
      </c>
      <c r="E413" s="16">
        <v>2008.0</v>
      </c>
      <c r="F413" s="16">
        <v>49.5662</v>
      </c>
      <c r="G413" s="16">
        <v>7.5339</v>
      </c>
      <c r="H413" s="15"/>
      <c r="I413" s="15"/>
    </row>
    <row r="414">
      <c r="A414" s="18">
        <v>45665.0</v>
      </c>
      <c r="B414" s="16" t="s">
        <v>1205</v>
      </c>
      <c r="C414" s="16">
        <v>4.0</v>
      </c>
      <c r="D414" s="16" t="s">
        <v>707</v>
      </c>
      <c r="E414" s="16">
        <v>2008.0</v>
      </c>
      <c r="F414" s="16">
        <v>47.844</v>
      </c>
      <c r="G414" s="16">
        <v>12.7523</v>
      </c>
      <c r="H414" s="15"/>
      <c r="I414" s="15"/>
    </row>
    <row r="415">
      <c r="A415" s="18">
        <v>45665.0</v>
      </c>
      <c r="B415" s="16" t="s">
        <v>1206</v>
      </c>
      <c r="C415" s="16" t="s">
        <v>969</v>
      </c>
      <c r="D415" s="16" t="s">
        <v>707</v>
      </c>
      <c r="E415" s="16">
        <v>2008.0</v>
      </c>
      <c r="F415" s="16">
        <v>49.291</v>
      </c>
      <c r="G415" s="16">
        <v>8.6227</v>
      </c>
      <c r="H415" s="15"/>
      <c r="I415" s="15"/>
    </row>
    <row r="416">
      <c r="A416" s="18">
        <v>45665.0</v>
      </c>
      <c r="B416" s="16" t="s">
        <v>1207</v>
      </c>
      <c r="C416" s="16">
        <v>2.0</v>
      </c>
      <c r="D416" s="16" t="s">
        <v>707</v>
      </c>
      <c r="E416" s="16">
        <v>2008.0</v>
      </c>
      <c r="F416" s="16">
        <v>48.54</v>
      </c>
      <c r="G416" s="16">
        <v>11.5963</v>
      </c>
      <c r="H416" s="15"/>
      <c r="I416" s="15"/>
    </row>
    <row r="417">
      <c r="A417" s="18">
        <v>45665.0</v>
      </c>
      <c r="B417" s="16" t="s">
        <v>1208</v>
      </c>
      <c r="C417" s="16" t="s">
        <v>1101</v>
      </c>
      <c r="D417" s="16" t="s">
        <v>707</v>
      </c>
      <c r="E417" s="16">
        <v>2008.0</v>
      </c>
      <c r="F417" s="16">
        <v>49.9935</v>
      </c>
      <c r="G417" s="16">
        <v>9.057</v>
      </c>
      <c r="H417" s="15"/>
      <c r="I417" s="15"/>
    </row>
    <row r="418">
      <c r="A418" s="18">
        <v>45665.0</v>
      </c>
      <c r="B418" s="16" t="s">
        <v>1209</v>
      </c>
      <c r="C418" s="16">
        <v>1.0</v>
      </c>
      <c r="D418" s="16" t="s">
        <v>707</v>
      </c>
      <c r="E418" s="16">
        <v>2008.0</v>
      </c>
      <c r="F418" s="16">
        <v>51.9502</v>
      </c>
      <c r="G418" s="16">
        <v>11.305</v>
      </c>
      <c r="H418" s="15"/>
      <c r="I418" s="15"/>
    </row>
    <row r="419">
      <c r="A419" s="18">
        <v>45665.0</v>
      </c>
      <c r="B419" s="16" t="s">
        <v>1210</v>
      </c>
      <c r="C419" s="16" t="s">
        <v>969</v>
      </c>
      <c r="D419" s="16" t="s">
        <v>707</v>
      </c>
      <c r="E419" s="16">
        <v>2008.0</v>
      </c>
      <c r="F419" s="16">
        <v>52.4384</v>
      </c>
      <c r="G419" s="16">
        <v>10.7699</v>
      </c>
      <c r="H419" s="15"/>
      <c r="I419" s="15"/>
    </row>
    <row r="420">
      <c r="A420" s="18">
        <v>45665.0</v>
      </c>
      <c r="B420" s="16" t="s">
        <v>1211</v>
      </c>
      <c r="C420" s="16" t="s">
        <v>971</v>
      </c>
      <c r="D420" s="16" t="s">
        <v>707</v>
      </c>
      <c r="E420" s="16">
        <v>2008.0</v>
      </c>
      <c r="F420" s="16">
        <v>49.9477</v>
      </c>
      <c r="G420" s="16">
        <v>7.8115</v>
      </c>
      <c r="H420" s="15"/>
      <c r="I420" s="15"/>
    </row>
    <row r="421">
      <c r="A421" s="18">
        <v>45665.0</v>
      </c>
      <c r="B421" s="16" t="s">
        <v>706</v>
      </c>
      <c r="C421" s="16" t="s">
        <v>969</v>
      </c>
      <c r="D421" s="16" t="s">
        <v>707</v>
      </c>
      <c r="E421" s="16">
        <v>2008.0</v>
      </c>
      <c r="F421" s="16">
        <v>51.3325</v>
      </c>
      <c r="G421" s="16">
        <v>12.6655</v>
      </c>
      <c r="H421" s="15"/>
      <c r="I421" s="15"/>
    </row>
    <row r="422">
      <c r="A422" s="18">
        <v>45665.0</v>
      </c>
      <c r="B422" s="16" t="s">
        <v>706</v>
      </c>
      <c r="C422" s="16" t="s">
        <v>942</v>
      </c>
      <c r="D422" s="16" t="s">
        <v>707</v>
      </c>
      <c r="E422" s="16">
        <v>2008.0</v>
      </c>
      <c r="F422" s="16">
        <v>51.3321</v>
      </c>
      <c r="G422" s="16">
        <v>12.6633</v>
      </c>
      <c r="H422" s="15"/>
      <c r="I422" s="15"/>
    </row>
    <row r="423">
      <c r="A423" s="18">
        <v>45665.0</v>
      </c>
      <c r="B423" s="16" t="s">
        <v>706</v>
      </c>
      <c r="C423" s="16" t="s">
        <v>969</v>
      </c>
      <c r="D423" s="16" t="s">
        <v>707</v>
      </c>
      <c r="E423" s="16">
        <v>2008.0</v>
      </c>
      <c r="F423" s="16">
        <v>51.3317</v>
      </c>
      <c r="G423" s="16">
        <v>12.6612</v>
      </c>
      <c r="H423" s="15"/>
      <c r="I423" s="15"/>
    </row>
    <row r="424">
      <c r="A424" s="18">
        <v>45665.0</v>
      </c>
      <c r="B424" s="16" t="s">
        <v>706</v>
      </c>
      <c r="C424" s="16" t="s">
        <v>969</v>
      </c>
      <c r="D424" s="16" t="s">
        <v>707</v>
      </c>
      <c r="E424" s="16">
        <v>2008.0</v>
      </c>
      <c r="F424" s="16">
        <v>51.3313</v>
      </c>
      <c r="G424" s="16">
        <v>12.6587</v>
      </c>
      <c r="H424" s="15"/>
      <c r="I424" s="15"/>
    </row>
    <row r="425">
      <c r="A425" s="18">
        <v>45665.0</v>
      </c>
      <c r="B425" s="16" t="s">
        <v>706</v>
      </c>
      <c r="C425" s="16" t="s">
        <v>969</v>
      </c>
      <c r="D425" s="16" t="s">
        <v>707</v>
      </c>
      <c r="E425" s="16">
        <v>2008.0</v>
      </c>
      <c r="F425" s="16">
        <v>51.3309</v>
      </c>
      <c r="G425" s="16">
        <v>12.6562</v>
      </c>
      <c r="H425" s="15"/>
      <c r="I425" s="15"/>
    </row>
    <row r="426">
      <c r="A426" s="18">
        <v>45665.0</v>
      </c>
      <c r="B426" s="16" t="s">
        <v>706</v>
      </c>
      <c r="C426" s="16" t="s">
        <v>969</v>
      </c>
      <c r="D426" s="16" t="s">
        <v>707</v>
      </c>
      <c r="E426" s="16">
        <v>2008.0</v>
      </c>
      <c r="F426" s="16">
        <v>51.3305</v>
      </c>
      <c r="G426" s="16">
        <v>12.6536</v>
      </c>
      <c r="H426" s="15"/>
      <c r="I426" s="15"/>
    </row>
    <row r="427">
      <c r="A427" s="18">
        <v>45665.0</v>
      </c>
      <c r="B427" s="16" t="s">
        <v>706</v>
      </c>
      <c r="C427" s="16" t="s">
        <v>969</v>
      </c>
      <c r="D427" s="16" t="s">
        <v>707</v>
      </c>
      <c r="E427" s="16">
        <v>2008.0</v>
      </c>
      <c r="F427" s="16">
        <v>51.33</v>
      </c>
      <c r="G427" s="16">
        <v>12.6507</v>
      </c>
      <c r="H427" s="15"/>
      <c r="I427" s="15"/>
    </row>
    <row r="428">
      <c r="A428" s="18">
        <v>45665.0</v>
      </c>
      <c r="B428" s="16" t="s">
        <v>706</v>
      </c>
      <c r="C428" s="16" t="s">
        <v>942</v>
      </c>
      <c r="D428" s="16" t="s">
        <v>707</v>
      </c>
      <c r="E428" s="16">
        <v>2008.0</v>
      </c>
      <c r="F428" s="16">
        <v>51.329</v>
      </c>
      <c r="G428" s="16">
        <v>12.6448</v>
      </c>
      <c r="H428" s="15"/>
      <c r="I428" s="15"/>
    </row>
    <row r="429">
      <c r="A429" s="18">
        <v>45665.0</v>
      </c>
      <c r="B429" s="16" t="s">
        <v>706</v>
      </c>
      <c r="C429" s="16" t="s">
        <v>942</v>
      </c>
      <c r="D429" s="16" t="s">
        <v>707</v>
      </c>
      <c r="E429" s="16">
        <v>2008.0</v>
      </c>
      <c r="F429" s="16">
        <v>51.3284</v>
      </c>
      <c r="G429" s="16">
        <v>12.6535</v>
      </c>
      <c r="H429" s="15"/>
      <c r="I429" s="15"/>
    </row>
    <row r="430">
      <c r="A430" s="18">
        <v>45665.0</v>
      </c>
      <c r="B430" s="16" t="s">
        <v>706</v>
      </c>
      <c r="C430" s="16" t="s">
        <v>942</v>
      </c>
      <c r="D430" s="16" t="s">
        <v>707</v>
      </c>
      <c r="E430" s="16">
        <v>2008.0</v>
      </c>
      <c r="F430" s="16">
        <v>51.3279</v>
      </c>
      <c r="G430" s="16">
        <v>12.6511</v>
      </c>
      <c r="H430" s="15"/>
      <c r="I430" s="15"/>
    </row>
    <row r="431">
      <c r="A431" s="18">
        <v>45665.0</v>
      </c>
      <c r="B431" s="16" t="s">
        <v>706</v>
      </c>
      <c r="C431" s="16" t="s">
        <v>942</v>
      </c>
      <c r="D431" s="16" t="s">
        <v>707</v>
      </c>
      <c r="E431" s="16">
        <v>2008.0</v>
      </c>
      <c r="F431" s="16">
        <v>51.3296</v>
      </c>
      <c r="G431" s="16">
        <v>12.6482</v>
      </c>
      <c r="H431" s="15"/>
      <c r="I431" s="15"/>
    </row>
    <row r="432">
      <c r="A432" s="18">
        <v>45665.0</v>
      </c>
      <c r="B432" s="16" t="s">
        <v>706</v>
      </c>
      <c r="C432" s="16" t="s">
        <v>942</v>
      </c>
      <c r="D432" s="16" t="s">
        <v>707</v>
      </c>
      <c r="E432" s="16">
        <v>2008.0</v>
      </c>
      <c r="F432" s="16">
        <v>51.3275</v>
      </c>
      <c r="G432" s="16">
        <v>12.6486</v>
      </c>
      <c r="H432" s="15"/>
      <c r="I432" s="15"/>
    </row>
    <row r="433">
      <c r="A433" s="18">
        <v>45665.0</v>
      </c>
      <c r="B433" s="16" t="s">
        <v>706</v>
      </c>
      <c r="C433" s="16" t="s">
        <v>942</v>
      </c>
      <c r="D433" s="16" t="s">
        <v>707</v>
      </c>
      <c r="E433" s="16">
        <v>2008.0</v>
      </c>
      <c r="F433" s="16">
        <v>51.3271</v>
      </c>
      <c r="G433" s="16">
        <v>12.646</v>
      </c>
      <c r="H433" s="15"/>
      <c r="I433" s="15"/>
    </row>
    <row r="434">
      <c r="A434" s="18">
        <v>45665.0</v>
      </c>
      <c r="B434" s="16" t="s">
        <v>706</v>
      </c>
      <c r="C434" s="16" t="s">
        <v>969</v>
      </c>
      <c r="D434" s="16" t="s">
        <v>707</v>
      </c>
      <c r="E434" s="16">
        <v>2008.0</v>
      </c>
      <c r="F434" s="16">
        <v>51.3268</v>
      </c>
      <c r="G434" s="16">
        <v>12.6444</v>
      </c>
      <c r="H434" s="15"/>
      <c r="I434" s="15"/>
    </row>
    <row r="435">
      <c r="A435" s="18">
        <v>45665.0</v>
      </c>
      <c r="B435" s="16" t="s">
        <v>1212</v>
      </c>
      <c r="C435" s="16" t="s">
        <v>969</v>
      </c>
      <c r="D435" s="16" t="s">
        <v>707</v>
      </c>
      <c r="E435" s="16">
        <v>2008.0</v>
      </c>
      <c r="F435" s="16">
        <v>52.4304</v>
      </c>
      <c r="G435" s="16">
        <v>10.7768</v>
      </c>
      <c r="H435" s="15"/>
      <c r="I435" s="15"/>
    </row>
    <row r="436">
      <c r="A436" s="18">
        <v>45665.0</v>
      </c>
      <c r="B436" s="16" t="s">
        <v>1213</v>
      </c>
      <c r="C436" s="16" t="s">
        <v>969</v>
      </c>
      <c r="D436" s="16" t="s">
        <v>707</v>
      </c>
      <c r="E436" s="16">
        <v>2008.0</v>
      </c>
      <c r="F436" s="16">
        <v>51.9171</v>
      </c>
      <c r="G436" s="16">
        <v>12.7663</v>
      </c>
      <c r="H436" s="15"/>
      <c r="I436" s="15"/>
    </row>
    <row r="437">
      <c r="A437" s="18">
        <v>45665.0</v>
      </c>
      <c r="B437" s="16" t="s">
        <v>1214</v>
      </c>
      <c r="C437" s="16" t="s">
        <v>1215</v>
      </c>
      <c r="D437" s="16" t="s">
        <v>707</v>
      </c>
      <c r="E437" s="16">
        <v>2008.0</v>
      </c>
      <c r="F437" s="16">
        <v>51.3526</v>
      </c>
      <c r="G437" s="16">
        <v>13.3289</v>
      </c>
      <c r="H437" s="15"/>
      <c r="I437" s="15"/>
    </row>
    <row r="438">
      <c r="A438" s="18">
        <v>45329.0</v>
      </c>
      <c r="B438" s="16" t="s">
        <v>1216</v>
      </c>
      <c r="C438" s="16">
        <v>14.0</v>
      </c>
      <c r="D438" s="16" t="s">
        <v>707</v>
      </c>
      <c r="E438" s="16">
        <v>2009.0</v>
      </c>
      <c r="F438" s="16">
        <v>51.8717</v>
      </c>
      <c r="G438" s="16">
        <v>14.389</v>
      </c>
      <c r="H438" s="15"/>
      <c r="I438" s="15"/>
    </row>
    <row r="439">
      <c r="A439" s="18">
        <v>45329.0</v>
      </c>
      <c r="B439" s="16" t="s">
        <v>1217</v>
      </c>
      <c r="C439" s="16" t="s">
        <v>971</v>
      </c>
      <c r="D439" s="16" t="s">
        <v>707</v>
      </c>
      <c r="E439" s="16">
        <v>2009.0</v>
      </c>
      <c r="F439" s="16">
        <v>48.993</v>
      </c>
      <c r="G439" s="16">
        <v>12.254</v>
      </c>
      <c r="H439" s="15"/>
      <c r="I439" s="15"/>
    </row>
    <row r="440">
      <c r="A440" s="17">
        <v>45636.0</v>
      </c>
      <c r="B440" s="16" t="s">
        <v>1218</v>
      </c>
      <c r="C440" s="16">
        <v>1.0</v>
      </c>
      <c r="D440" s="16" t="s">
        <v>707</v>
      </c>
      <c r="E440" s="16">
        <v>2009.0</v>
      </c>
      <c r="F440" s="16">
        <v>49.6009</v>
      </c>
      <c r="G440" s="16">
        <v>10.3653</v>
      </c>
      <c r="H440" s="15"/>
      <c r="I440" s="15"/>
    </row>
    <row r="441">
      <c r="A441" s="18">
        <v>45665.0</v>
      </c>
      <c r="B441" s="16" t="s">
        <v>1219</v>
      </c>
      <c r="C441" s="16" t="s">
        <v>1059</v>
      </c>
      <c r="D441" s="16" t="s">
        <v>707</v>
      </c>
      <c r="E441" s="16">
        <v>2009.0</v>
      </c>
      <c r="F441" s="16">
        <v>50.6592</v>
      </c>
      <c r="G441" s="16">
        <v>10.5631</v>
      </c>
      <c r="H441" s="15"/>
      <c r="I441" s="15"/>
    </row>
    <row r="442">
      <c r="A442" s="18">
        <v>45665.0</v>
      </c>
      <c r="B442" s="16" t="s">
        <v>1220</v>
      </c>
      <c r="C442" s="16" t="s">
        <v>1090</v>
      </c>
      <c r="D442" s="16" t="s">
        <v>707</v>
      </c>
      <c r="E442" s="16">
        <v>2009.0</v>
      </c>
      <c r="F442" s="16">
        <v>49.001</v>
      </c>
      <c r="G442" s="16">
        <v>10.281</v>
      </c>
      <c r="H442" s="15"/>
      <c r="I442" s="15"/>
    </row>
    <row r="443">
      <c r="A443" s="18">
        <v>45665.0</v>
      </c>
      <c r="B443" s="16" t="s">
        <v>1221</v>
      </c>
      <c r="C443" s="16" t="s">
        <v>969</v>
      </c>
      <c r="D443" s="16" t="s">
        <v>707</v>
      </c>
      <c r="E443" s="16">
        <v>2009.0</v>
      </c>
      <c r="F443" s="16">
        <v>50.0594</v>
      </c>
      <c r="G443" s="16">
        <v>10.5934</v>
      </c>
      <c r="H443" s="15"/>
      <c r="I443" s="15"/>
    </row>
    <row r="444">
      <c r="A444" s="18">
        <v>45665.0</v>
      </c>
      <c r="B444" s="16" t="s">
        <v>1222</v>
      </c>
      <c r="C444" s="16">
        <v>8.0</v>
      </c>
      <c r="D444" s="16" t="s">
        <v>707</v>
      </c>
      <c r="E444" s="16">
        <v>2009.0</v>
      </c>
      <c r="F444" s="16">
        <v>48.6182</v>
      </c>
      <c r="G444" s="16">
        <v>10.8391</v>
      </c>
      <c r="H444" s="15"/>
      <c r="I444" s="15"/>
    </row>
    <row r="445">
      <c r="A445" s="18">
        <v>45665.0</v>
      </c>
      <c r="B445" s="16" t="s">
        <v>1223</v>
      </c>
      <c r="C445" s="16">
        <v>2.0</v>
      </c>
      <c r="D445" s="16" t="s">
        <v>707</v>
      </c>
      <c r="E445" s="16">
        <v>2009.0</v>
      </c>
      <c r="F445" s="16">
        <v>53.5465</v>
      </c>
      <c r="G445" s="16">
        <v>7.5392</v>
      </c>
      <c r="H445" s="15"/>
      <c r="I445" s="15"/>
    </row>
    <row r="446">
      <c r="A446" s="18">
        <v>45665.0</v>
      </c>
      <c r="B446" s="16" t="s">
        <v>1224</v>
      </c>
      <c r="C446" s="16">
        <v>1.0</v>
      </c>
      <c r="D446" s="16" t="s">
        <v>707</v>
      </c>
      <c r="E446" s="16">
        <v>2009.0</v>
      </c>
      <c r="F446" s="16">
        <v>52.3141</v>
      </c>
      <c r="G446" s="16">
        <v>7.639</v>
      </c>
      <c r="H446" s="15"/>
      <c r="I446" s="15"/>
    </row>
    <row r="447">
      <c r="A447" s="18">
        <v>45665.0</v>
      </c>
      <c r="B447" s="16" t="s">
        <v>1225</v>
      </c>
      <c r="C447" s="16" t="s">
        <v>959</v>
      </c>
      <c r="D447" s="16" t="s">
        <v>707</v>
      </c>
      <c r="E447" s="16">
        <v>2009.0</v>
      </c>
      <c r="F447" s="16">
        <v>50.1642</v>
      </c>
      <c r="G447" s="16">
        <v>10.8045</v>
      </c>
      <c r="H447" s="15"/>
      <c r="I447" s="15"/>
    </row>
    <row r="448">
      <c r="A448" s="18">
        <v>45665.0</v>
      </c>
      <c r="B448" s="16" t="s">
        <v>1226</v>
      </c>
      <c r="C448" s="16" t="s">
        <v>969</v>
      </c>
      <c r="D448" s="16" t="s">
        <v>707</v>
      </c>
      <c r="E448" s="16">
        <v>2009.0</v>
      </c>
      <c r="F448" s="16">
        <v>53.765</v>
      </c>
      <c r="G448" s="16">
        <v>11.7124</v>
      </c>
      <c r="H448" s="15"/>
      <c r="I448" s="15"/>
    </row>
    <row r="449">
      <c r="A449" s="18">
        <v>45665.0</v>
      </c>
      <c r="B449" s="16" t="s">
        <v>1227</v>
      </c>
      <c r="C449" s="16" t="s">
        <v>1037</v>
      </c>
      <c r="D449" s="16" t="s">
        <v>707</v>
      </c>
      <c r="E449" s="16">
        <v>2009.0</v>
      </c>
      <c r="F449" s="16">
        <v>49.0741</v>
      </c>
      <c r="G449" s="16">
        <v>10.2826</v>
      </c>
      <c r="H449" s="15"/>
      <c r="I449" s="15"/>
    </row>
    <row r="450">
      <c r="A450" s="18">
        <v>45665.0</v>
      </c>
      <c r="B450" s="16" t="s">
        <v>1228</v>
      </c>
      <c r="C450" s="16" t="s">
        <v>946</v>
      </c>
      <c r="D450" s="16" t="s">
        <v>707</v>
      </c>
      <c r="E450" s="16">
        <v>2009.0</v>
      </c>
      <c r="F450" s="16">
        <v>50.5961</v>
      </c>
      <c r="G450" s="16">
        <v>9.7838</v>
      </c>
      <c r="H450" s="15"/>
      <c r="I450" s="15"/>
    </row>
    <row r="451">
      <c r="A451" s="18">
        <v>45665.0</v>
      </c>
      <c r="B451" s="16" t="s">
        <v>1229</v>
      </c>
      <c r="C451" s="16" t="s">
        <v>948</v>
      </c>
      <c r="D451" s="16" t="s">
        <v>707</v>
      </c>
      <c r="E451" s="16">
        <v>2009.0</v>
      </c>
      <c r="F451" s="16">
        <v>50.3641</v>
      </c>
      <c r="G451" s="19">
        <v>10.437</v>
      </c>
      <c r="H451" s="15"/>
      <c r="I451" s="15"/>
    </row>
    <row r="452">
      <c r="A452" s="18">
        <v>45665.0</v>
      </c>
      <c r="B452" s="16" t="s">
        <v>1230</v>
      </c>
      <c r="C452" s="16">
        <v>2.0</v>
      </c>
      <c r="D452" s="16" t="s">
        <v>707</v>
      </c>
      <c r="E452" s="16">
        <v>2009.0</v>
      </c>
      <c r="F452" s="16">
        <v>51.3975</v>
      </c>
      <c r="G452" s="16">
        <v>9.1828</v>
      </c>
      <c r="H452" s="15"/>
      <c r="I452" s="15"/>
    </row>
    <row r="453">
      <c r="A453" s="18">
        <v>45665.0</v>
      </c>
      <c r="B453" s="16" t="s">
        <v>1231</v>
      </c>
      <c r="C453" s="16" t="s">
        <v>1051</v>
      </c>
      <c r="D453" s="16" t="s">
        <v>707</v>
      </c>
      <c r="E453" s="16">
        <v>2009.0</v>
      </c>
      <c r="F453" s="16">
        <v>51.9246</v>
      </c>
      <c r="G453" s="16">
        <v>11.7971</v>
      </c>
      <c r="H453" s="15"/>
      <c r="I453" s="15"/>
    </row>
    <row r="454">
      <c r="A454" s="18">
        <v>45665.0</v>
      </c>
      <c r="B454" s="16" t="s">
        <v>1232</v>
      </c>
      <c r="C454" s="16" t="s">
        <v>969</v>
      </c>
      <c r="D454" s="16" t="s">
        <v>707</v>
      </c>
      <c r="E454" s="16">
        <v>2009.0</v>
      </c>
      <c r="F454" s="16">
        <v>50.8161</v>
      </c>
      <c r="G454" s="16">
        <v>12.4119</v>
      </c>
      <c r="H454" s="15"/>
      <c r="I454" s="15"/>
    </row>
    <row r="455">
      <c r="A455" s="18">
        <v>45665.0</v>
      </c>
      <c r="B455" s="16" t="s">
        <v>1233</v>
      </c>
      <c r="C455" s="16" t="s">
        <v>1011</v>
      </c>
      <c r="D455" s="16" t="s">
        <v>707</v>
      </c>
      <c r="E455" s="16">
        <v>2009.0</v>
      </c>
      <c r="F455" s="16">
        <v>48.4722</v>
      </c>
      <c r="G455" s="16">
        <v>11.0337</v>
      </c>
      <c r="H455" s="15"/>
      <c r="I455" s="15"/>
    </row>
    <row r="456">
      <c r="A456" s="18">
        <v>45665.0</v>
      </c>
      <c r="B456" s="16" t="s">
        <v>1234</v>
      </c>
      <c r="C456" s="16" t="s">
        <v>1034</v>
      </c>
      <c r="D456" s="16" t="s">
        <v>707</v>
      </c>
      <c r="E456" s="16">
        <v>2009.0</v>
      </c>
      <c r="F456" s="16">
        <v>52.4657</v>
      </c>
      <c r="G456" s="16">
        <v>12.2436</v>
      </c>
      <c r="H456" s="15"/>
      <c r="I456" s="15"/>
    </row>
    <row r="457">
      <c r="A457" s="18">
        <v>45665.0</v>
      </c>
      <c r="B457" s="16" t="s">
        <v>1235</v>
      </c>
      <c r="C457" s="16" t="s">
        <v>969</v>
      </c>
      <c r="D457" s="16" t="s">
        <v>707</v>
      </c>
      <c r="E457" s="16">
        <v>2009.0</v>
      </c>
      <c r="F457" s="16">
        <v>49.5011</v>
      </c>
      <c r="G457" s="16">
        <v>6.7552</v>
      </c>
      <c r="H457" s="15"/>
      <c r="I457" s="15"/>
    </row>
    <row r="458">
      <c r="A458" s="18">
        <v>45665.0</v>
      </c>
      <c r="B458" s="16" t="s">
        <v>1236</v>
      </c>
      <c r="C458" s="16" t="s">
        <v>978</v>
      </c>
      <c r="D458" s="16" t="s">
        <v>707</v>
      </c>
      <c r="E458" s="16">
        <v>2009.0</v>
      </c>
      <c r="F458" s="16">
        <v>51.6026</v>
      </c>
      <c r="G458" s="16">
        <v>14.608</v>
      </c>
      <c r="H458" s="15"/>
      <c r="I458" s="15"/>
    </row>
    <row r="459">
      <c r="A459" s="18">
        <v>45665.0</v>
      </c>
      <c r="B459" s="16" t="s">
        <v>1237</v>
      </c>
      <c r="C459" s="16" t="s">
        <v>946</v>
      </c>
      <c r="D459" s="16" t="s">
        <v>707</v>
      </c>
      <c r="E459" s="16">
        <v>2009.0</v>
      </c>
      <c r="F459" s="16">
        <v>49.7963</v>
      </c>
      <c r="G459" s="16">
        <v>9.1955</v>
      </c>
      <c r="H459" s="15"/>
      <c r="I459" s="15"/>
    </row>
    <row r="460">
      <c r="A460" s="18">
        <v>45665.0</v>
      </c>
      <c r="B460" s="16" t="s">
        <v>1238</v>
      </c>
      <c r="C460" s="16">
        <v>1.0</v>
      </c>
      <c r="D460" s="16" t="s">
        <v>707</v>
      </c>
      <c r="E460" s="16">
        <v>2009.0</v>
      </c>
      <c r="F460" s="16">
        <v>49.7901</v>
      </c>
      <c r="G460" s="16">
        <v>9.1532</v>
      </c>
      <c r="H460" s="15"/>
      <c r="I460" s="15"/>
    </row>
    <row r="461">
      <c r="A461" s="18">
        <v>45665.0</v>
      </c>
      <c r="B461" s="16" t="s">
        <v>1239</v>
      </c>
      <c r="C461" s="16" t="s">
        <v>1051</v>
      </c>
      <c r="D461" s="16" t="s">
        <v>707</v>
      </c>
      <c r="E461" s="16">
        <v>2009.0</v>
      </c>
      <c r="F461" s="16">
        <v>49.7913</v>
      </c>
      <c r="G461" s="16">
        <v>10.0693</v>
      </c>
      <c r="H461" s="15"/>
      <c r="I461" s="15"/>
    </row>
    <row r="462">
      <c r="A462" s="18">
        <v>45665.0</v>
      </c>
      <c r="B462" s="16" t="s">
        <v>1240</v>
      </c>
      <c r="C462" s="16" t="s">
        <v>1055</v>
      </c>
      <c r="D462" s="16" t="s">
        <v>707</v>
      </c>
      <c r="E462" s="16">
        <v>2009.0</v>
      </c>
      <c r="F462" s="16">
        <v>48.7804</v>
      </c>
      <c r="G462" s="16">
        <v>11.2188</v>
      </c>
      <c r="H462" s="15"/>
      <c r="I462" s="15"/>
    </row>
    <row r="463">
      <c r="A463" s="18">
        <v>45665.0</v>
      </c>
      <c r="B463" s="16" t="s">
        <v>1241</v>
      </c>
      <c r="C463" s="16" t="s">
        <v>1101</v>
      </c>
      <c r="D463" s="16" t="s">
        <v>707</v>
      </c>
      <c r="E463" s="16">
        <v>2009.0</v>
      </c>
      <c r="F463" s="16">
        <v>50.7124</v>
      </c>
      <c r="G463" s="16">
        <v>12.3615</v>
      </c>
      <c r="H463" s="15"/>
      <c r="I463" s="15"/>
    </row>
    <row r="464">
      <c r="A464" s="18">
        <v>45665.0</v>
      </c>
      <c r="B464" s="16" t="s">
        <v>1242</v>
      </c>
      <c r="C464" s="16" t="s">
        <v>942</v>
      </c>
      <c r="D464" s="16" t="s">
        <v>707</v>
      </c>
      <c r="E464" s="16">
        <v>2009.0</v>
      </c>
      <c r="F464" s="16">
        <v>52.6228</v>
      </c>
      <c r="G464" s="16">
        <v>6.862</v>
      </c>
      <c r="H464" s="15"/>
      <c r="I464" s="15"/>
    </row>
    <row r="465">
      <c r="A465" s="18">
        <v>45665.0</v>
      </c>
      <c r="B465" s="16" t="s">
        <v>1243</v>
      </c>
      <c r="C465" s="16" t="s">
        <v>1034</v>
      </c>
      <c r="D465" s="16" t="s">
        <v>707</v>
      </c>
      <c r="E465" s="16">
        <v>2009.0</v>
      </c>
      <c r="F465" s="16">
        <v>49.6116</v>
      </c>
      <c r="G465" s="16">
        <v>9.3501</v>
      </c>
      <c r="H465" s="15"/>
      <c r="I465" s="15"/>
    </row>
    <row r="466">
      <c r="A466" s="18">
        <v>45665.0</v>
      </c>
      <c r="B466" s="16" t="s">
        <v>1244</v>
      </c>
      <c r="C466" s="16">
        <v>1.0</v>
      </c>
      <c r="D466" s="16" t="s">
        <v>707</v>
      </c>
      <c r="E466" s="16">
        <v>2009.0</v>
      </c>
      <c r="F466" s="16">
        <v>50.8748</v>
      </c>
      <c r="G466" s="16">
        <v>7.1268</v>
      </c>
      <c r="H466" s="15"/>
      <c r="I466" s="15"/>
    </row>
    <row r="467">
      <c r="A467" s="18">
        <v>45665.0</v>
      </c>
      <c r="B467" s="16" t="s">
        <v>1245</v>
      </c>
      <c r="C467" s="16" t="s">
        <v>1011</v>
      </c>
      <c r="D467" s="16" t="s">
        <v>707</v>
      </c>
      <c r="E467" s="16">
        <v>2009.0</v>
      </c>
      <c r="F467" s="16">
        <v>51.6575</v>
      </c>
      <c r="G467" s="16">
        <v>14.6147</v>
      </c>
      <c r="H467" s="15"/>
      <c r="I467" s="15"/>
    </row>
    <row r="468">
      <c r="A468" s="18">
        <v>45665.0</v>
      </c>
      <c r="B468" s="16" t="s">
        <v>1246</v>
      </c>
      <c r="C468" s="16" t="s">
        <v>969</v>
      </c>
      <c r="D468" s="16" t="s">
        <v>707</v>
      </c>
      <c r="E468" s="16">
        <v>2009.0</v>
      </c>
      <c r="F468" s="16">
        <v>48.0711</v>
      </c>
      <c r="G468" s="16">
        <v>12.537</v>
      </c>
      <c r="H468" s="15"/>
      <c r="I468" s="15"/>
    </row>
    <row r="469">
      <c r="A469" s="18">
        <v>45665.0</v>
      </c>
      <c r="B469" s="16" t="s">
        <v>1247</v>
      </c>
      <c r="C469" s="16" t="s">
        <v>969</v>
      </c>
      <c r="D469" s="16" t="s">
        <v>707</v>
      </c>
      <c r="E469" s="16">
        <v>2009.0</v>
      </c>
      <c r="F469" s="16">
        <v>48.3954</v>
      </c>
      <c r="G469" s="16">
        <v>13.3576</v>
      </c>
      <c r="H469" s="15"/>
      <c r="I469" s="15"/>
    </row>
    <row r="470">
      <c r="A470" s="18">
        <v>45665.0</v>
      </c>
      <c r="B470" s="16" t="s">
        <v>1248</v>
      </c>
      <c r="C470" s="16" t="s">
        <v>951</v>
      </c>
      <c r="D470" s="16" t="s">
        <v>707</v>
      </c>
      <c r="E470" s="16">
        <v>2009.0</v>
      </c>
      <c r="F470" s="16">
        <v>48.8038</v>
      </c>
      <c r="G470" s="16">
        <v>10.3094</v>
      </c>
      <c r="H470" s="15"/>
      <c r="I470" s="15"/>
    </row>
    <row r="471">
      <c r="A471" s="18">
        <v>45665.0</v>
      </c>
      <c r="B471" s="16" t="s">
        <v>1249</v>
      </c>
      <c r="C471" s="16" t="s">
        <v>948</v>
      </c>
      <c r="D471" s="16" t="s">
        <v>707</v>
      </c>
      <c r="E471" s="16">
        <v>2009.0</v>
      </c>
      <c r="F471" s="16">
        <v>48.403</v>
      </c>
      <c r="G471" s="16">
        <v>12.8592</v>
      </c>
      <c r="H471" s="15"/>
      <c r="I471" s="15"/>
    </row>
    <row r="472">
      <c r="A472" s="18">
        <v>45665.0</v>
      </c>
      <c r="B472" s="16" t="s">
        <v>1250</v>
      </c>
      <c r="C472" s="16" t="s">
        <v>1055</v>
      </c>
      <c r="D472" s="16" t="s">
        <v>707</v>
      </c>
      <c r="E472" s="16">
        <v>2009.0</v>
      </c>
      <c r="F472" s="16">
        <v>49.1843</v>
      </c>
      <c r="G472" s="16">
        <v>11.3427</v>
      </c>
      <c r="H472" s="15"/>
      <c r="I472" s="15"/>
    </row>
    <row r="473">
      <c r="A473" s="18">
        <v>45665.0</v>
      </c>
      <c r="B473" s="16" t="s">
        <v>1251</v>
      </c>
      <c r="C473" s="16" t="s">
        <v>942</v>
      </c>
      <c r="D473" s="16" t="s">
        <v>707</v>
      </c>
      <c r="E473" s="16">
        <v>2009.0</v>
      </c>
      <c r="F473" s="16">
        <v>48.5066</v>
      </c>
      <c r="G473" s="16">
        <v>12.7002</v>
      </c>
      <c r="H473" s="15"/>
      <c r="I473" s="15"/>
    </row>
    <row r="474">
      <c r="A474" s="18">
        <v>45665.0</v>
      </c>
      <c r="B474" s="16" t="s">
        <v>1252</v>
      </c>
      <c r="C474" s="16">
        <v>1.0</v>
      </c>
      <c r="D474" s="16" t="s">
        <v>707</v>
      </c>
      <c r="E474" s="16">
        <v>2009.0</v>
      </c>
      <c r="F474" s="16">
        <v>52.6973</v>
      </c>
      <c r="G474" s="16">
        <v>14.3075</v>
      </c>
      <c r="H474" s="15"/>
      <c r="I474" s="15"/>
    </row>
    <row r="475">
      <c r="A475" s="18">
        <v>45665.0</v>
      </c>
      <c r="B475" s="16" t="s">
        <v>1253</v>
      </c>
      <c r="C475" s="16">
        <v>1.0</v>
      </c>
      <c r="D475" s="16" t="s">
        <v>707</v>
      </c>
      <c r="E475" s="16">
        <v>2009.0</v>
      </c>
      <c r="F475" s="16">
        <v>52.5349</v>
      </c>
      <c r="G475" s="16">
        <v>14.3646</v>
      </c>
      <c r="H475" s="15"/>
      <c r="I475" s="15"/>
    </row>
    <row r="476">
      <c r="A476" s="18">
        <v>45665.0</v>
      </c>
      <c r="B476" s="16" t="s">
        <v>1254</v>
      </c>
      <c r="C476" s="16">
        <v>1.0</v>
      </c>
      <c r="D476" s="16" t="s">
        <v>707</v>
      </c>
      <c r="E476" s="16">
        <v>2009.0</v>
      </c>
      <c r="F476" s="16">
        <v>52.6491</v>
      </c>
      <c r="G476" s="16">
        <v>14.4462</v>
      </c>
      <c r="H476" s="15"/>
      <c r="I476" s="15"/>
    </row>
    <row r="477">
      <c r="A477" s="18">
        <v>45665.0</v>
      </c>
      <c r="B477" s="16" t="s">
        <v>1255</v>
      </c>
      <c r="C477" s="16">
        <v>1.0</v>
      </c>
      <c r="D477" s="16" t="s">
        <v>707</v>
      </c>
      <c r="E477" s="16">
        <v>2009.0</v>
      </c>
      <c r="F477" s="16">
        <v>51.9524</v>
      </c>
      <c r="G477" s="16">
        <v>13.1844</v>
      </c>
      <c r="H477" s="15"/>
      <c r="I477" s="15"/>
    </row>
    <row r="478">
      <c r="A478" s="18">
        <v>45665.0</v>
      </c>
      <c r="B478" s="16" t="s">
        <v>1256</v>
      </c>
      <c r="C478" s="16">
        <v>1.0</v>
      </c>
      <c r="D478" s="16" t="s">
        <v>707</v>
      </c>
      <c r="E478" s="16">
        <v>2009.0</v>
      </c>
      <c r="F478" s="16">
        <v>53.828</v>
      </c>
      <c r="G478" s="16">
        <v>12.5761</v>
      </c>
      <c r="H478" s="15"/>
      <c r="I478" s="15"/>
    </row>
    <row r="479">
      <c r="A479" s="18">
        <v>45665.0</v>
      </c>
      <c r="B479" s="16" t="s">
        <v>1257</v>
      </c>
      <c r="C479" s="16" t="s">
        <v>969</v>
      </c>
      <c r="D479" s="16" t="s">
        <v>707</v>
      </c>
      <c r="E479" s="16">
        <v>2009.0</v>
      </c>
      <c r="F479" s="16">
        <v>52.7744</v>
      </c>
      <c r="G479" s="16">
        <v>14.1516</v>
      </c>
      <c r="H479" s="15"/>
      <c r="I479" s="15"/>
    </row>
    <row r="480">
      <c r="A480" s="18">
        <v>45665.0</v>
      </c>
      <c r="B480" s="16" t="s">
        <v>1258</v>
      </c>
      <c r="C480" s="16" t="s">
        <v>942</v>
      </c>
      <c r="D480" s="16" t="s">
        <v>707</v>
      </c>
      <c r="E480" s="16">
        <v>2009.0</v>
      </c>
      <c r="F480" s="16">
        <v>47.4908</v>
      </c>
      <c r="G480" s="16">
        <v>11.0476</v>
      </c>
      <c r="H480" s="15"/>
      <c r="I480" s="15"/>
    </row>
    <row r="481">
      <c r="A481" s="18">
        <v>45665.0</v>
      </c>
      <c r="B481" s="16" t="s">
        <v>1259</v>
      </c>
      <c r="C481" s="16" t="s">
        <v>969</v>
      </c>
      <c r="D481" s="16" t="s">
        <v>707</v>
      </c>
      <c r="E481" s="16">
        <v>2009.0</v>
      </c>
      <c r="F481" s="16">
        <v>50.8284</v>
      </c>
      <c r="G481" s="16">
        <v>12.5393</v>
      </c>
      <c r="H481" s="15"/>
      <c r="I481" s="15"/>
    </row>
    <row r="482">
      <c r="A482" s="18">
        <v>45665.0</v>
      </c>
      <c r="B482" s="16" t="s">
        <v>1260</v>
      </c>
      <c r="C482" s="16" t="s">
        <v>969</v>
      </c>
      <c r="D482" s="16" t="s">
        <v>707</v>
      </c>
      <c r="E482" s="16">
        <v>2009.0</v>
      </c>
      <c r="F482" s="16">
        <v>49.4873</v>
      </c>
      <c r="G482" s="16">
        <v>8.2895</v>
      </c>
      <c r="H482" s="15"/>
      <c r="I482" s="15"/>
    </row>
    <row r="483">
      <c r="A483" s="18">
        <v>45665.0</v>
      </c>
      <c r="B483" s="16" t="s">
        <v>1261</v>
      </c>
      <c r="C483" s="16" t="s">
        <v>1037</v>
      </c>
      <c r="D483" s="16" t="s">
        <v>707</v>
      </c>
      <c r="E483" s="16">
        <v>2009.0</v>
      </c>
      <c r="F483" s="16">
        <v>51.7771</v>
      </c>
      <c r="G483" s="16">
        <v>14.2472</v>
      </c>
      <c r="H483" s="15"/>
      <c r="I483" s="15"/>
    </row>
    <row r="484">
      <c r="A484" s="18">
        <v>45665.0</v>
      </c>
      <c r="B484" s="16" t="s">
        <v>1262</v>
      </c>
      <c r="C484" s="16" t="s">
        <v>1007</v>
      </c>
      <c r="D484" s="16" t="s">
        <v>707</v>
      </c>
      <c r="E484" s="16">
        <v>2009.0</v>
      </c>
      <c r="F484" s="16">
        <v>47.9271</v>
      </c>
      <c r="G484" s="16">
        <v>8.8681</v>
      </c>
      <c r="H484" s="15"/>
      <c r="I484" s="15"/>
    </row>
    <row r="485">
      <c r="A485" s="18">
        <v>45665.0</v>
      </c>
      <c r="B485" s="16" t="s">
        <v>1263</v>
      </c>
      <c r="C485" s="16" t="s">
        <v>942</v>
      </c>
      <c r="D485" s="16" t="s">
        <v>707</v>
      </c>
      <c r="E485" s="16">
        <v>2009.0</v>
      </c>
      <c r="F485" s="16">
        <v>53.2215</v>
      </c>
      <c r="G485" s="16">
        <v>13.6872</v>
      </c>
      <c r="H485" s="15"/>
      <c r="I485" s="15"/>
    </row>
    <row r="486">
      <c r="A486" s="18">
        <v>45665.0</v>
      </c>
      <c r="B486" s="16" t="s">
        <v>1264</v>
      </c>
      <c r="C486" s="16" t="s">
        <v>1007</v>
      </c>
      <c r="D486" s="16" t="s">
        <v>707</v>
      </c>
      <c r="E486" s="16">
        <v>2009.0</v>
      </c>
      <c r="F486" s="16">
        <v>48.5738</v>
      </c>
      <c r="G486" s="16">
        <v>10.989</v>
      </c>
      <c r="H486" s="15"/>
      <c r="I486" s="15"/>
    </row>
    <row r="487">
      <c r="A487" s="18">
        <v>45665.0</v>
      </c>
      <c r="B487" s="16" t="s">
        <v>1265</v>
      </c>
      <c r="C487" s="16">
        <v>1.0</v>
      </c>
      <c r="D487" s="16" t="s">
        <v>707</v>
      </c>
      <c r="E487" s="16">
        <v>2009.0</v>
      </c>
      <c r="F487" s="16">
        <v>50.4215</v>
      </c>
      <c r="G487" s="16">
        <v>10.751</v>
      </c>
      <c r="H487" s="15"/>
      <c r="I487" s="15"/>
    </row>
    <row r="488">
      <c r="A488" s="18">
        <v>45665.0</v>
      </c>
      <c r="B488" s="16" t="s">
        <v>1266</v>
      </c>
      <c r="C488" s="16" t="s">
        <v>1267</v>
      </c>
      <c r="D488" s="16" t="s">
        <v>707</v>
      </c>
      <c r="E488" s="16">
        <v>2009.0</v>
      </c>
      <c r="F488" s="16">
        <v>50.1943</v>
      </c>
      <c r="G488" s="16">
        <v>11.6436</v>
      </c>
      <c r="H488" s="15"/>
      <c r="I488" s="15"/>
    </row>
    <row r="489">
      <c r="A489" s="18">
        <v>45665.0</v>
      </c>
      <c r="B489" s="16" t="s">
        <v>1268</v>
      </c>
      <c r="C489" s="16" t="s">
        <v>1051</v>
      </c>
      <c r="D489" s="16" t="s">
        <v>707</v>
      </c>
      <c r="E489" s="16">
        <v>2009.0</v>
      </c>
      <c r="F489" s="16">
        <v>48.1287</v>
      </c>
      <c r="G489" s="16">
        <v>11.0644</v>
      </c>
      <c r="H489" s="15"/>
      <c r="I489" s="15"/>
    </row>
    <row r="490">
      <c r="A490" s="18">
        <v>45665.0</v>
      </c>
      <c r="B490" s="16" t="s">
        <v>1269</v>
      </c>
      <c r="C490" s="16" t="s">
        <v>1037</v>
      </c>
      <c r="D490" s="16" t="s">
        <v>707</v>
      </c>
      <c r="E490" s="16">
        <v>2009.0</v>
      </c>
      <c r="F490" s="16">
        <v>48.1261</v>
      </c>
      <c r="G490" s="16">
        <v>9.9649</v>
      </c>
      <c r="H490" s="15"/>
      <c r="I490" s="15"/>
    </row>
    <row r="491">
      <c r="A491" s="18">
        <v>45665.0</v>
      </c>
      <c r="B491" s="16" t="s">
        <v>1270</v>
      </c>
      <c r="C491" s="16" t="s">
        <v>969</v>
      </c>
      <c r="D491" s="16" t="s">
        <v>707</v>
      </c>
      <c r="E491" s="16">
        <v>2009.0</v>
      </c>
      <c r="F491" s="16">
        <v>50.6683</v>
      </c>
      <c r="G491" s="16">
        <v>12.4534</v>
      </c>
      <c r="H491" s="15"/>
      <c r="I491" s="15"/>
    </row>
    <row r="492">
      <c r="A492" s="18">
        <v>45665.0</v>
      </c>
      <c r="B492" s="16" t="s">
        <v>1271</v>
      </c>
      <c r="C492" s="16">
        <v>7.0</v>
      </c>
      <c r="D492" s="16" t="s">
        <v>707</v>
      </c>
      <c r="E492" s="16">
        <v>2009.0</v>
      </c>
      <c r="F492" s="16">
        <v>53.3778</v>
      </c>
      <c r="G492" s="16">
        <v>13.0571</v>
      </c>
      <c r="H492" s="15"/>
      <c r="I492" s="15"/>
    </row>
    <row r="493">
      <c r="A493" s="18">
        <v>45665.0</v>
      </c>
      <c r="B493" s="16" t="s">
        <v>1272</v>
      </c>
      <c r="C493" s="16" t="s">
        <v>951</v>
      </c>
      <c r="D493" s="16" t="s">
        <v>707</v>
      </c>
      <c r="E493" s="16">
        <v>2009.0</v>
      </c>
      <c r="F493" s="16">
        <v>50.192</v>
      </c>
      <c r="G493" s="16">
        <v>10.6513</v>
      </c>
      <c r="H493" s="15"/>
      <c r="I493" s="15"/>
    </row>
    <row r="494">
      <c r="A494" s="18">
        <v>45665.0</v>
      </c>
      <c r="B494" s="16" t="s">
        <v>1273</v>
      </c>
      <c r="C494" s="16" t="s">
        <v>969</v>
      </c>
      <c r="D494" s="16" t="s">
        <v>707</v>
      </c>
      <c r="E494" s="16">
        <v>2009.0</v>
      </c>
      <c r="F494" s="16">
        <v>53.3782</v>
      </c>
      <c r="G494" s="16">
        <v>13.0597</v>
      </c>
      <c r="H494" s="15"/>
      <c r="I494" s="15"/>
    </row>
    <row r="495">
      <c r="A495" s="18">
        <v>45665.0</v>
      </c>
      <c r="B495" s="16" t="s">
        <v>1274</v>
      </c>
      <c r="C495" s="16">
        <v>1.0</v>
      </c>
      <c r="D495" s="16" t="s">
        <v>707</v>
      </c>
      <c r="E495" s="16">
        <v>2009.0</v>
      </c>
      <c r="F495" s="16">
        <v>51.4727</v>
      </c>
      <c r="G495" s="16">
        <v>11.2999</v>
      </c>
      <c r="H495" s="15"/>
      <c r="I495" s="15"/>
    </row>
    <row r="496">
      <c r="A496" s="18">
        <v>45665.0</v>
      </c>
      <c r="B496" s="16" t="s">
        <v>1275</v>
      </c>
      <c r="C496" s="16">
        <v>1.0</v>
      </c>
      <c r="D496" s="16" t="s">
        <v>707</v>
      </c>
      <c r="E496" s="16">
        <v>2009.0</v>
      </c>
      <c r="F496" s="16">
        <v>48.1471</v>
      </c>
      <c r="G496" s="16">
        <v>12.7543</v>
      </c>
      <c r="H496" s="15"/>
      <c r="I496" s="15"/>
    </row>
    <row r="497">
      <c r="A497" s="18">
        <v>45665.0</v>
      </c>
      <c r="B497" s="16" t="s">
        <v>1276</v>
      </c>
      <c r="C497" s="16" t="s">
        <v>1277</v>
      </c>
      <c r="D497" s="16" t="s">
        <v>707</v>
      </c>
      <c r="E497" s="16">
        <v>2009.0</v>
      </c>
      <c r="F497" s="16">
        <v>51.5098</v>
      </c>
      <c r="G497" s="16">
        <v>12.6791</v>
      </c>
      <c r="H497" s="15"/>
      <c r="I497" s="15"/>
    </row>
    <row r="498">
      <c r="A498" s="18">
        <v>45665.0</v>
      </c>
      <c r="B498" s="16" t="s">
        <v>1278</v>
      </c>
      <c r="C498" s="16" t="s">
        <v>978</v>
      </c>
      <c r="D498" s="16" t="s">
        <v>707</v>
      </c>
      <c r="E498" s="16">
        <v>2009.0</v>
      </c>
      <c r="F498" s="16">
        <v>48.667</v>
      </c>
      <c r="G498" s="16">
        <v>13.0193</v>
      </c>
      <c r="H498" s="15"/>
      <c r="I498" s="15"/>
    </row>
    <row r="499">
      <c r="A499" s="18">
        <v>45665.0</v>
      </c>
      <c r="B499" s="16" t="s">
        <v>1279</v>
      </c>
      <c r="C499" s="16">
        <v>2.0</v>
      </c>
      <c r="D499" s="16" t="s">
        <v>707</v>
      </c>
      <c r="E499" s="16">
        <v>2009.0</v>
      </c>
      <c r="F499" s="16">
        <v>49.3652</v>
      </c>
      <c r="G499" s="16">
        <v>10.2047</v>
      </c>
      <c r="H499" s="15"/>
      <c r="I499" s="15"/>
    </row>
    <row r="500">
      <c r="A500" s="18">
        <v>45665.0</v>
      </c>
      <c r="B500" s="16" t="s">
        <v>1280</v>
      </c>
      <c r="C500" s="16" t="s">
        <v>1085</v>
      </c>
      <c r="D500" s="16" t="s">
        <v>707</v>
      </c>
      <c r="E500" s="16">
        <v>2009.0</v>
      </c>
      <c r="F500" s="16">
        <v>54.0827</v>
      </c>
      <c r="G500" s="16">
        <v>9.0457</v>
      </c>
      <c r="H500" s="15"/>
      <c r="I500" s="15"/>
    </row>
    <row r="501">
      <c r="A501" s="18">
        <v>45665.0</v>
      </c>
      <c r="B501" s="16" t="s">
        <v>1281</v>
      </c>
      <c r="C501" s="16" t="s">
        <v>1282</v>
      </c>
      <c r="D501" s="16" t="s">
        <v>707</v>
      </c>
      <c r="E501" s="16">
        <v>2009.0</v>
      </c>
      <c r="F501" s="16">
        <v>48.2096</v>
      </c>
      <c r="G501" s="16">
        <v>11.2154</v>
      </c>
      <c r="H501" s="15"/>
      <c r="I501" s="15"/>
    </row>
    <row r="502">
      <c r="A502" s="18">
        <v>45665.0</v>
      </c>
      <c r="B502" s="16" t="s">
        <v>1283</v>
      </c>
      <c r="C502" s="16" t="s">
        <v>969</v>
      </c>
      <c r="D502" s="16" t="s">
        <v>707</v>
      </c>
      <c r="E502" s="16">
        <v>2009.0</v>
      </c>
      <c r="F502" s="16">
        <v>52.3142</v>
      </c>
      <c r="G502" s="16">
        <v>7.6401</v>
      </c>
      <c r="H502" s="15"/>
      <c r="I502" s="15"/>
    </row>
    <row r="503">
      <c r="A503" s="18">
        <v>45665.0</v>
      </c>
      <c r="B503" s="16" t="s">
        <v>1284</v>
      </c>
      <c r="C503" s="16" t="s">
        <v>942</v>
      </c>
      <c r="D503" s="16" t="s">
        <v>707</v>
      </c>
      <c r="E503" s="16">
        <v>2009.0</v>
      </c>
      <c r="F503" s="16">
        <v>52.1568</v>
      </c>
      <c r="G503" s="16">
        <v>11.9758</v>
      </c>
      <c r="H503" s="15"/>
      <c r="I503" s="15"/>
    </row>
    <row r="504">
      <c r="A504" s="18">
        <v>45665.0</v>
      </c>
      <c r="B504" s="16" t="s">
        <v>1285</v>
      </c>
      <c r="C504" s="16" t="s">
        <v>946</v>
      </c>
      <c r="D504" s="16" t="s">
        <v>707</v>
      </c>
      <c r="E504" s="16">
        <v>2009.0</v>
      </c>
      <c r="F504" s="16">
        <v>51.4473</v>
      </c>
      <c r="G504" s="16">
        <v>10.5898</v>
      </c>
      <c r="H504" s="15"/>
      <c r="I504" s="15"/>
    </row>
    <row r="505">
      <c r="A505" s="18">
        <v>45665.0</v>
      </c>
      <c r="B505" s="16" t="s">
        <v>1286</v>
      </c>
      <c r="C505" s="16" t="s">
        <v>942</v>
      </c>
      <c r="D505" s="16" t="s">
        <v>707</v>
      </c>
      <c r="E505" s="16">
        <v>2009.0</v>
      </c>
      <c r="F505" s="16">
        <v>54.3094</v>
      </c>
      <c r="G505" s="16">
        <v>8.9886</v>
      </c>
      <c r="H505" s="15"/>
      <c r="I505" s="15"/>
    </row>
    <row r="506">
      <c r="A506" s="18">
        <v>45665.0</v>
      </c>
      <c r="B506" s="16" t="s">
        <v>1287</v>
      </c>
      <c r="C506" s="16" t="s">
        <v>946</v>
      </c>
      <c r="D506" s="16" t="s">
        <v>707</v>
      </c>
      <c r="E506" s="16">
        <v>2009.0</v>
      </c>
      <c r="F506" s="16">
        <v>48.515</v>
      </c>
      <c r="G506" s="16">
        <v>13.4059</v>
      </c>
      <c r="H506" s="15"/>
      <c r="I506" s="15"/>
    </row>
    <row r="507">
      <c r="A507" s="18">
        <v>45665.0</v>
      </c>
      <c r="B507" s="16" t="s">
        <v>1288</v>
      </c>
      <c r="C507" s="16" t="s">
        <v>942</v>
      </c>
      <c r="D507" s="16" t="s">
        <v>707</v>
      </c>
      <c r="E507" s="16">
        <v>2009.0</v>
      </c>
      <c r="F507" s="16">
        <v>48.6492</v>
      </c>
      <c r="G507" s="16">
        <v>11.3263</v>
      </c>
      <c r="H507" s="15"/>
      <c r="I507" s="15"/>
    </row>
    <row r="508">
      <c r="A508" s="18">
        <v>45665.0</v>
      </c>
      <c r="B508" s="16" t="s">
        <v>1289</v>
      </c>
      <c r="C508" s="16" t="s">
        <v>942</v>
      </c>
      <c r="D508" s="16" t="s">
        <v>707</v>
      </c>
      <c r="E508" s="16">
        <v>2009.0</v>
      </c>
      <c r="F508" s="16">
        <v>48.6494</v>
      </c>
      <c r="G508" s="16">
        <v>11.3262</v>
      </c>
      <c r="H508" s="15"/>
      <c r="I508" s="15"/>
    </row>
    <row r="509">
      <c r="A509" s="18">
        <v>45665.0</v>
      </c>
      <c r="B509" s="16" t="s">
        <v>1290</v>
      </c>
      <c r="C509" s="16">
        <v>4.0</v>
      </c>
      <c r="D509" s="16" t="s">
        <v>707</v>
      </c>
      <c r="E509" s="16">
        <v>2009.0</v>
      </c>
      <c r="F509" s="16">
        <v>48.5883</v>
      </c>
      <c r="G509" s="16">
        <v>10.8443</v>
      </c>
      <c r="H509" s="15"/>
      <c r="I509" s="15"/>
    </row>
    <row r="510">
      <c r="A510" s="18">
        <v>45665.0</v>
      </c>
      <c r="B510" s="16" t="s">
        <v>1291</v>
      </c>
      <c r="C510" s="16" t="s">
        <v>1085</v>
      </c>
      <c r="D510" s="16" t="s">
        <v>707</v>
      </c>
      <c r="E510" s="16">
        <v>2009.0</v>
      </c>
      <c r="F510" s="16">
        <v>48.5883</v>
      </c>
      <c r="G510" s="16">
        <v>10.8443</v>
      </c>
      <c r="H510" s="15"/>
      <c r="I510" s="15"/>
    </row>
    <row r="511">
      <c r="A511" s="18">
        <v>45665.0</v>
      </c>
      <c r="B511" s="16" t="s">
        <v>1292</v>
      </c>
      <c r="C511" s="16" t="s">
        <v>1101</v>
      </c>
      <c r="D511" s="16" t="s">
        <v>707</v>
      </c>
      <c r="E511" s="16">
        <v>2009.0</v>
      </c>
      <c r="F511" s="16">
        <v>47.9501</v>
      </c>
      <c r="G511" s="16">
        <v>10.7467</v>
      </c>
      <c r="H511" s="15"/>
      <c r="I511" s="15"/>
    </row>
    <row r="512">
      <c r="A512" s="18">
        <v>45665.0</v>
      </c>
      <c r="B512" s="16" t="s">
        <v>1293</v>
      </c>
      <c r="C512" s="16" t="s">
        <v>1101</v>
      </c>
      <c r="D512" s="16" t="s">
        <v>707</v>
      </c>
      <c r="E512" s="16">
        <v>2009.0</v>
      </c>
      <c r="F512" s="16">
        <v>47.9506</v>
      </c>
      <c r="G512" s="16">
        <v>10.7474</v>
      </c>
      <c r="H512" s="15"/>
      <c r="I512" s="15"/>
    </row>
    <row r="513">
      <c r="A513" s="18">
        <v>45665.0</v>
      </c>
      <c r="B513" s="16" t="s">
        <v>1294</v>
      </c>
      <c r="C513" s="16" t="s">
        <v>942</v>
      </c>
      <c r="D513" s="16" t="s">
        <v>707</v>
      </c>
      <c r="E513" s="16">
        <v>2009.0</v>
      </c>
      <c r="F513" s="16">
        <v>48.4606</v>
      </c>
      <c r="G513" s="16">
        <v>9.979</v>
      </c>
      <c r="H513" s="15"/>
      <c r="I513" s="15"/>
    </row>
    <row r="514">
      <c r="A514" s="18">
        <v>45665.0</v>
      </c>
      <c r="B514" s="16" t="s">
        <v>1295</v>
      </c>
      <c r="C514" s="16">
        <v>1.0</v>
      </c>
      <c r="D514" s="16" t="s">
        <v>707</v>
      </c>
      <c r="E514" s="16">
        <v>2009.0</v>
      </c>
      <c r="F514" s="16">
        <v>48.5834</v>
      </c>
      <c r="G514" s="16">
        <v>13.0861</v>
      </c>
      <c r="H514" s="15"/>
      <c r="I514" s="15"/>
    </row>
    <row r="515">
      <c r="A515" s="18">
        <v>45665.0</v>
      </c>
      <c r="B515" s="16" t="s">
        <v>1296</v>
      </c>
      <c r="C515" s="16" t="s">
        <v>969</v>
      </c>
      <c r="D515" s="16" t="s">
        <v>707</v>
      </c>
      <c r="E515" s="16">
        <v>2009.0</v>
      </c>
      <c r="F515" s="16">
        <v>51.0819</v>
      </c>
      <c r="G515" s="16">
        <v>11.2451</v>
      </c>
      <c r="H515" s="15"/>
      <c r="I515" s="15"/>
    </row>
    <row r="516">
      <c r="A516" s="18">
        <v>45665.0</v>
      </c>
      <c r="B516" s="16" t="s">
        <v>1297</v>
      </c>
      <c r="C516" s="16">
        <v>1.0</v>
      </c>
      <c r="D516" s="16" t="s">
        <v>707</v>
      </c>
      <c r="E516" s="16">
        <v>2009.0</v>
      </c>
      <c r="F516" s="16">
        <v>51.5952</v>
      </c>
      <c r="G516" s="16">
        <v>7.3575</v>
      </c>
      <c r="H516" s="15"/>
      <c r="I516" s="15"/>
    </row>
    <row r="517">
      <c r="A517" s="18">
        <v>45665.0</v>
      </c>
      <c r="B517" s="16" t="s">
        <v>1298</v>
      </c>
      <c r="C517" s="16">
        <v>1.0</v>
      </c>
      <c r="D517" s="16" t="s">
        <v>707</v>
      </c>
      <c r="E517" s="16">
        <v>2009.0</v>
      </c>
      <c r="F517" s="16">
        <v>47.8378</v>
      </c>
      <c r="G517" s="16">
        <v>10.0124</v>
      </c>
      <c r="H517" s="15"/>
      <c r="I517" s="15"/>
    </row>
    <row r="518">
      <c r="A518" s="18">
        <v>45665.0</v>
      </c>
      <c r="B518" s="16" t="s">
        <v>1299</v>
      </c>
      <c r="C518" s="16" t="s">
        <v>978</v>
      </c>
      <c r="D518" s="16" t="s">
        <v>707</v>
      </c>
      <c r="E518" s="16">
        <v>2009.0</v>
      </c>
      <c r="F518" s="16">
        <v>49.7978</v>
      </c>
      <c r="G518" s="16">
        <v>7.8878</v>
      </c>
      <c r="H518" s="15"/>
      <c r="I518" s="15"/>
    </row>
    <row r="519">
      <c r="A519" s="18">
        <v>45665.0</v>
      </c>
      <c r="B519" s="16" t="s">
        <v>1300</v>
      </c>
      <c r="C519" s="16" t="s">
        <v>946</v>
      </c>
      <c r="D519" s="16" t="s">
        <v>707</v>
      </c>
      <c r="E519" s="16">
        <v>2009.0</v>
      </c>
      <c r="F519" s="16">
        <v>49.9315</v>
      </c>
      <c r="G519" s="16">
        <v>7.0567</v>
      </c>
      <c r="H519" s="15"/>
      <c r="I519" s="15"/>
    </row>
    <row r="520">
      <c r="A520" s="18">
        <v>45665.0</v>
      </c>
      <c r="B520" s="16" t="s">
        <v>1301</v>
      </c>
      <c r="C520" s="16" t="s">
        <v>969</v>
      </c>
      <c r="D520" s="16" t="s">
        <v>707</v>
      </c>
      <c r="E520" s="16">
        <v>2009.0</v>
      </c>
      <c r="F520" s="16">
        <v>49.6665</v>
      </c>
      <c r="G520" s="16">
        <v>10.1152</v>
      </c>
      <c r="H520" s="15"/>
      <c r="I520" s="15"/>
    </row>
    <row r="521">
      <c r="A521" s="18">
        <v>45665.0</v>
      </c>
      <c r="B521" s="16" t="s">
        <v>1302</v>
      </c>
      <c r="C521" s="16">
        <v>1.0</v>
      </c>
      <c r="D521" s="16" t="s">
        <v>707</v>
      </c>
      <c r="E521" s="16">
        <v>2009.0</v>
      </c>
      <c r="F521" s="16">
        <v>50.983</v>
      </c>
      <c r="G521" s="16">
        <v>7.0753</v>
      </c>
      <c r="H521" s="15"/>
      <c r="I521" s="15"/>
    </row>
    <row r="522">
      <c r="A522" s="18">
        <v>45665.0</v>
      </c>
      <c r="B522" s="16" t="s">
        <v>1303</v>
      </c>
      <c r="C522" s="16" t="s">
        <v>969</v>
      </c>
      <c r="D522" s="16" t="s">
        <v>707</v>
      </c>
      <c r="E522" s="16">
        <v>2009.0</v>
      </c>
      <c r="F522" s="16">
        <v>48.7693</v>
      </c>
      <c r="G522" s="16">
        <v>12.272</v>
      </c>
      <c r="H522" s="15"/>
      <c r="I522" s="15"/>
    </row>
    <row r="523">
      <c r="A523" s="18">
        <v>45665.0</v>
      </c>
      <c r="B523" s="16" t="s">
        <v>1304</v>
      </c>
      <c r="C523" s="16" t="s">
        <v>1085</v>
      </c>
      <c r="D523" s="16" t="s">
        <v>707</v>
      </c>
      <c r="E523" s="16">
        <v>2009.0</v>
      </c>
      <c r="F523" s="16">
        <v>54.0788</v>
      </c>
      <c r="G523" s="16">
        <v>9.1359</v>
      </c>
      <c r="H523" s="15"/>
      <c r="I523" s="15"/>
    </row>
    <row r="524">
      <c r="A524" s="18">
        <v>45665.0</v>
      </c>
      <c r="B524" s="16" t="s">
        <v>1305</v>
      </c>
      <c r="C524" s="16" t="s">
        <v>1055</v>
      </c>
      <c r="D524" s="16" t="s">
        <v>707</v>
      </c>
      <c r="E524" s="16">
        <v>2009.0</v>
      </c>
      <c r="F524" s="16">
        <v>48.4658</v>
      </c>
      <c r="G524" s="16">
        <v>13.045</v>
      </c>
      <c r="H524" s="15"/>
      <c r="I524" s="15"/>
    </row>
    <row r="525">
      <c r="A525" s="18">
        <v>45665.0</v>
      </c>
      <c r="B525" s="16" t="s">
        <v>1306</v>
      </c>
      <c r="C525" s="16" t="s">
        <v>1267</v>
      </c>
      <c r="D525" s="16" t="s">
        <v>707</v>
      </c>
      <c r="E525" s="16">
        <v>2009.0</v>
      </c>
      <c r="F525" s="16">
        <v>48.3896</v>
      </c>
      <c r="G525" s="16">
        <v>10.3394</v>
      </c>
      <c r="H525" s="15"/>
      <c r="I525" s="15"/>
    </row>
    <row r="526">
      <c r="A526" s="18">
        <v>45665.0</v>
      </c>
      <c r="B526" s="16" t="s">
        <v>1307</v>
      </c>
      <c r="C526" s="16" t="s">
        <v>1282</v>
      </c>
      <c r="D526" s="16" t="s">
        <v>707</v>
      </c>
      <c r="E526" s="16">
        <v>2009.0</v>
      </c>
      <c r="F526" s="16">
        <v>48.0123</v>
      </c>
      <c r="G526" s="16">
        <v>10.1608</v>
      </c>
      <c r="H526" s="15"/>
      <c r="I526" s="15"/>
    </row>
    <row r="527">
      <c r="A527" s="18">
        <v>45665.0</v>
      </c>
      <c r="B527" s="16" t="s">
        <v>1308</v>
      </c>
      <c r="C527" s="16" t="s">
        <v>948</v>
      </c>
      <c r="D527" s="16" t="s">
        <v>707</v>
      </c>
      <c r="E527" s="16">
        <v>2009.0</v>
      </c>
      <c r="F527" s="16">
        <v>48.207</v>
      </c>
      <c r="G527" s="16">
        <v>10.8507</v>
      </c>
      <c r="H527" s="15"/>
      <c r="I527" s="15"/>
    </row>
    <row r="528">
      <c r="A528" s="18">
        <v>45665.0</v>
      </c>
      <c r="B528" s="16" t="s">
        <v>1309</v>
      </c>
      <c r="C528" s="16" t="s">
        <v>1310</v>
      </c>
      <c r="D528" s="16" t="s">
        <v>707</v>
      </c>
      <c r="E528" s="16">
        <v>2009.0</v>
      </c>
      <c r="F528" s="16">
        <v>51.2575</v>
      </c>
      <c r="G528" s="16">
        <v>13.8998</v>
      </c>
      <c r="H528" s="15"/>
      <c r="I528" s="15"/>
    </row>
    <row r="529">
      <c r="A529" s="18">
        <v>45665.0</v>
      </c>
      <c r="B529" s="16" t="s">
        <v>1311</v>
      </c>
      <c r="C529" s="16" t="s">
        <v>1039</v>
      </c>
      <c r="D529" s="16" t="s">
        <v>707</v>
      </c>
      <c r="E529" s="16">
        <v>2009.0</v>
      </c>
      <c r="F529" s="16">
        <v>48.065</v>
      </c>
      <c r="G529" s="16">
        <v>9.0688</v>
      </c>
      <c r="H529" s="15"/>
      <c r="I529" s="15"/>
    </row>
    <row r="530">
      <c r="A530" s="18">
        <v>45665.0</v>
      </c>
      <c r="B530" s="16" t="s">
        <v>1312</v>
      </c>
      <c r="C530" s="16" t="s">
        <v>959</v>
      </c>
      <c r="D530" s="16" t="s">
        <v>707</v>
      </c>
      <c r="E530" s="16">
        <v>2009.0</v>
      </c>
      <c r="F530" s="16">
        <v>48.6861</v>
      </c>
      <c r="G530" s="16">
        <v>13.3691</v>
      </c>
      <c r="H530" s="15"/>
      <c r="I530" s="15"/>
    </row>
    <row r="531">
      <c r="A531" s="18">
        <v>45665.0</v>
      </c>
      <c r="B531" s="16" t="s">
        <v>1313</v>
      </c>
      <c r="C531" s="16" t="s">
        <v>1039</v>
      </c>
      <c r="D531" s="16" t="s">
        <v>707</v>
      </c>
      <c r="E531" s="16">
        <v>2009.0</v>
      </c>
      <c r="F531" s="16">
        <v>48.2023</v>
      </c>
      <c r="G531" s="16">
        <v>12.6545</v>
      </c>
      <c r="H531" s="15"/>
      <c r="I531" s="15"/>
    </row>
    <row r="532">
      <c r="A532" s="18">
        <v>45665.0</v>
      </c>
      <c r="B532" s="16" t="s">
        <v>1314</v>
      </c>
      <c r="C532" s="16" t="s">
        <v>990</v>
      </c>
      <c r="D532" s="16" t="s">
        <v>707</v>
      </c>
      <c r="E532" s="16">
        <v>2009.0</v>
      </c>
      <c r="F532" s="16">
        <v>48.3709</v>
      </c>
      <c r="G532" s="16">
        <v>12.9315</v>
      </c>
      <c r="H532" s="15"/>
      <c r="I532" s="15"/>
    </row>
    <row r="533">
      <c r="A533" s="18">
        <v>45665.0</v>
      </c>
      <c r="B533" s="16" t="s">
        <v>1315</v>
      </c>
      <c r="C533" s="16" t="s">
        <v>942</v>
      </c>
      <c r="D533" s="16" t="s">
        <v>707</v>
      </c>
      <c r="E533" s="16">
        <v>2009.0</v>
      </c>
      <c r="F533" s="16">
        <v>48.3124</v>
      </c>
      <c r="G533" s="16">
        <v>13.0838</v>
      </c>
      <c r="H533" s="15"/>
      <c r="I533" s="15"/>
    </row>
    <row r="534">
      <c r="A534" s="18">
        <v>45665.0</v>
      </c>
      <c r="B534" s="16" t="s">
        <v>1316</v>
      </c>
      <c r="C534" s="16" t="s">
        <v>948</v>
      </c>
      <c r="D534" s="16" t="s">
        <v>707</v>
      </c>
      <c r="E534" s="16">
        <v>2009.0</v>
      </c>
      <c r="F534" s="16">
        <v>54.8144</v>
      </c>
      <c r="G534" s="16">
        <v>8.8553</v>
      </c>
      <c r="H534" s="15"/>
      <c r="I534" s="15"/>
    </row>
    <row r="535">
      <c r="A535" s="18">
        <v>45665.0</v>
      </c>
      <c r="B535" s="16" t="s">
        <v>1317</v>
      </c>
      <c r="C535" s="16" t="s">
        <v>1085</v>
      </c>
      <c r="D535" s="16" t="s">
        <v>707</v>
      </c>
      <c r="E535" s="16">
        <v>2009.0</v>
      </c>
      <c r="F535" s="16">
        <v>50.8079</v>
      </c>
      <c r="G535" s="16">
        <v>7.1392</v>
      </c>
      <c r="H535" s="15"/>
      <c r="I535" s="15"/>
    </row>
    <row r="536">
      <c r="A536" s="18">
        <v>45665.0</v>
      </c>
      <c r="B536" s="16" t="s">
        <v>1318</v>
      </c>
      <c r="C536" s="16">
        <v>3.0</v>
      </c>
      <c r="D536" s="16" t="s">
        <v>707</v>
      </c>
      <c r="E536" s="16">
        <v>2009.0</v>
      </c>
      <c r="F536" s="16">
        <v>48.3515</v>
      </c>
      <c r="G536" s="16">
        <v>8.4762</v>
      </c>
      <c r="H536" s="15"/>
      <c r="I536" s="15"/>
    </row>
    <row r="537">
      <c r="A537" s="18">
        <v>45665.0</v>
      </c>
      <c r="B537" s="16" t="s">
        <v>1319</v>
      </c>
      <c r="C537" s="16" t="s">
        <v>942</v>
      </c>
      <c r="D537" s="16" t="s">
        <v>707</v>
      </c>
      <c r="E537" s="16">
        <v>2009.0</v>
      </c>
      <c r="F537" s="16">
        <v>51.3161</v>
      </c>
      <c r="G537" s="16">
        <v>13.271</v>
      </c>
      <c r="H537" s="15"/>
      <c r="I537" s="15"/>
    </row>
    <row r="538">
      <c r="A538" s="18">
        <v>45665.0</v>
      </c>
      <c r="B538" s="16" t="s">
        <v>1320</v>
      </c>
      <c r="C538" s="16" t="s">
        <v>942</v>
      </c>
      <c r="D538" s="16" t="s">
        <v>707</v>
      </c>
      <c r="E538" s="16">
        <v>2009.0</v>
      </c>
      <c r="F538" s="16">
        <v>51.9382</v>
      </c>
      <c r="G538" s="16">
        <v>9.1571</v>
      </c>
      <c r="H538" s="15"/>
      <c r="I538" s="15"/>
    </row>
    <row r="539">
      <c r="A539" s="18">
        <v>45665.0</v>
      </c>
      <c r="B539" s="16" t="s">
        <v>1321</v>
      </c>
      <c r="C539" s="16" t="s">
        <v>1039</v>
      </c>
      <c r="D539" s="16" t="s">
        <v>707</v>
      </c>
      <c r="E539" s="16">
        <v>2009.0</v>
      </c>
      <c r="F539" s="16">
        <v>50.1902</v>
      </c>
      <c r="G539" s="16">
        <v>10.5568</v>
      </c>
      <c r="H539" s="15"/>
      <c r="I539" s="15"/>
    </row>
    <row r="540">
      <c r="A540" s="18">
        <v>45665.0</v>
      </c>
      <c r="B540" s="16" t="s">
        <v>1322</v>
      </c>
      <c r="C540" s="16" t="s">
        <v>946</v>
      </c>
      <c r="D540" s="16" t="s">
        <v>707</v>
      </c>
      <c r="E540" s="16">
        <v>2009.0</v>
      </c>
      <c r="F540" s="16">
        <v>48.3697</v>
      </c>
      <c r="G540" s="16">
        <v>13.2934</v>
      </c>
      <c r="H540" s="15"/>
      <c r="I540" s="15"/>
    </row>
    <row r="541">
      <c r="A541" s="18">
        <v>45665.0</v>
      </c>
      <c r="B541" s="16" t="s">
        <v>1323</v>
      </c>
      <c r="C541" s="16" t="s">
        <v>946</v>
      </c>
      <c r="D541" s="16" t="s">
        <v>707</v>
      </c>
      <c r="E541" s="16">
        <v>2009.0</v>
      </c>
      <c r="F541" s="16">
        <v>48.3701</v>
      </c>
      <c r="G541" s="16">
        <v>13.2936</v>
      </c>
      <c r="H541" s="15"/>
      <c r="I541" s="15"/>
    </row>
    <row r="542">
      <c r="A542" s="18">
        <v>45665.0</v>
      </c>
      <c r="B542" s="16" t="s">
        <v>1324</v>
      </c>
      <c r="C542" s="16" t="s">
        <v>946</v>
      </c>
      <c r="D542" s="16" t="s">
        <v>707</v>
      </c>
      <c r="E542" s="16">
        <v>2009.0</v>
      </c>
      <c r="F542" s="16">
        <v>48.3696</v>
      </c>
      <c r="G542" s="16">
        <v>13.2936</v>
      </c>
      <c r="H542" s="15"/>
      <c r="I542" s="15"/>
    </row>
    <row r="543">
      <c r="A543" s="18">
        <v>45665.0</v>
      </c>
      <c r="B543" s="16" t="s">
        <v>1325</v>
      </c>
      <c r="C543" s="16" t="s">
        <v>946</v>
      </c>
      <c r="D543" s="16" t="s">
        <v>707</v>
      </c>
      <c r="E543" s="16">
        <v>2009.0</v>
      </c>
      <c r="F543" s="16">
        <v>48.37</v>
      </c>
      <c r="G543" s="16">
        <v>13.2938</v>
      </c>
      <c r="H543" s="15"/>
      <c r="I543" s="15"/>
    </row>
    <row r="544">
      <c r="A544" s="18">
        <v>45665.0</v>
      </c>
      <c r="B544" s="16" t="s">
        <v>1326</v>
      </c>
      <c r="C544" s="16" t="s">
        <v>946</v>
      </c>
      <c r="D544" s="16" t="s">
        <v>707</v>
      </c>
      <c r="E544" s="16">
        <v>2009.0</v>
      </c>
      <c r="F544" s="16">
        <v>48.3699</v>
      </c>
      <c r="G544" s="16">
        <v>13.2936</v>
      </c>
      <c r="H544" s="15"/>
      <c r="I544" s="15"/>
    </row>
    <row r="545">
      <c r="A545" s="18">
        <v>45665.0</v>
      </c>
      <c r="B545" s="16" t="s">
        <v>1327</v>
      </c>
      <c r="C545" s="16" t="s">
        <v>946</v>
      </c>
      <c r="D545" s="16" t="s">
        <v>707</v>
      </c>
      <c r="E545" s="16">
        <v>2009.0</v>
      </c>
      <c r="F545" s="16">
        <v>48.37</v>
      </c>
      <c r="G545" s="16">
        <v>13.2936</v>
      </c>
      <c r="H545" s="15"/>
      <c r="I545" s="15"/>
    </row>
    <row r="546">
      <c r="A546" s="18">
        <v>45665.0</v>
      </c>
      <c r="B546" s="16" t="s">
        <v>1328</v>
      </c>
      <c r="C546" s="16" t="s">
        <v>946</v>
      </c>
      <c r="D546" s="16" t="s">
        <v>707</v>
      </c>
      <c r="E546" s="16">
        <v>2009.0</v>
      </c>
      <c r="F546" s="16">
        <v>48.3699</v>
      </c>
      <c r="G546" s="16">
        <v>13.2937</v>
      </c>
      <c r="H546" s="15"/>
      <c r="I546" s="15"/>
    </row>
    <row r="547">
      <c r="A547" s="18">
        <v>45665.0</v>
      </c>
      <c r="B547" s="16" t="s">
        <v>1329</v>
      </c>
      <c r="C547" s="16" t="s">
        <v>946</v>
      </c>
      <c r="D547" s="16" t="s">
        <v>707</v>
      </c>
      <c r="E547" s="16">
        <v>2009.0</v>
      </c>
      <c r="F547" s="16">
        <v>48.3699</v>
      </c>
      <c r="G547" s="16">
        <v>13.2936</v>
      </c>
      <c r="H547" s="15"/>
      <c r="I547" s="15"/>
    </row>
    <row r="548">
      <c r="A548" s="18">
        <v>45665.0</v>
      </c>
      <c r="B548" s="16" t="s">
        <v>1330</v>
      </c>
      <c r="C548" s="16" t="s">
        <v>946</v>
      </c>
      <c r="D548" s="16" t="s">
        <v>707</v>
      </c>
      <c r="E548" s="16">
        <v>2009.0</v>
      </c>
      <c r="F548" s="16">
        <v>48.3699</v>
      </c>
      <c r="G548" s="16">
        <v>13.2936</v>
      </c>
      <c r="H548" s="15"/>
      <c r="I548" s="15"/>
    </row>
    <row r="549">
      <c r="A549" s="18">
        <v>45665.0</v>
      </c>
      <c r="B549" s="16" t="s">
        <v>1331</v>
      </c>
      <c r="C549" s="16" t="s">
        <v>961</v>
      </c>
      <c r="D549" s="16" t="s">
        <v>707</v>
      </c>
      <c r="E549" s="16">
        <v>2009.0</v>
      </c>
      <c r="F549" s="16">
        <v>48.62</v>
      </c>
      <c r="G549" s="16">
        <v>10.321</v>
      </c>
      <c r="H549" s="15"/>
      <c r="I549" s="15"/>
    </row>
    <row r="550">
      <c r="A550" s="18">
        <v>45665.0</v>
      </c>
      <c r="B550" s="16" t="s">
        <v>1332</v>
      </c>
      <c r="C550" s="16" t="s">
        <v>942</v>
      </c>
      <c r="D550" s="16" t="s">
        <v>707</v>
      </c>
      <c r="E550" s="16">
        <v>2009.0</v>
      </c>
      <c r="F550" s="16">
        <v>48.8699</v>
      </c>
      <c r="G550" s="16">
        <v>13.4501</v>
      </c>
      <c r="H550" s="15"/>
      <c r="I550" s="15"/>
    </row>
    <row r="551">
      <c r="A551" s="18">
        <v>45665.0</v>
      </c>
      <c r="B551" s="16" t="s">
        <v>1333</v>
      </c>
      <c r="C551" s="16" t="s">
        <v>942</v>
      </c>
      <c r="D551" s="16" t="s">
        <v>707</v>
      </c>
      <c r="E551" s="16">
        <v>2009.0</v>
      </c>
      <c r="F551" s="16">
        <v>53.4768</v>
      </c>
      <c r="G551" s="16">
        <v>7.7786</v>
      </c>
      <c r="H551" s="15"/>
      <c r="I551" s="15"/>
    </row>
    <row r="552">
      <c r="A552" s="18">
        <v>45665.0</v>
      </c>
      <c r="B552" s="16" t="s">
        <v>1334</v>
      </c>
      <c r="C552" s="16" t="s">
        <v>969</v>
      </c>
      <c r="D552" s="16" t="s">
        <v>707</v>
      </c>
      <c r="E552" s="16">
        <v>2009.0</v>
      </c>
      <c r="F552" s="16">
        <v>48.7362</v>
      </c>
      <c r="G552" s="16">
        <v>10.5852</v>
      </c>
      <c r="H552" s="15"/>
      <c r="I552" s="15"/>
    </row>
    <row r="553">
      <c r="A553" s="18">
        <v>45665.0</v>
      </c>
      <c r="B553" s="16" t="s">
        <v>1335</v>
      </c>
      <c r="C553" s="16">
        <v>6.0</v>
      </c>
      <c r="D553" s="16" t="s">
        <v>707</v>
      </c>
      <c r="E553" s="16">
        <v>2009.0</v>
      </c>
      <c r="F553" s="16">
        <v>51.6195</v>
      </c>
      <c r="G553" s="16">
        <v>12.2874</v>
      </c>
      <c r="H553" s="15"/>
      <c r="I553" s="15"/>
    </row>
    <row r="554">
      <c r="A554" s="18">
        <v>45665.0</v>
      </c>
      <c r="B554" s="16" t="s">
        <v>1336</v>
      </c>
      <c r="C554" s="16">
        <v>1.0</v>
      </c>
      <c r="D554" s="16" t="s">
        <v>707</v>
      </c>
      <c r="E554" s="16">
        <v>2009.0</v>
      </c>
      <c r="F554" s="16">
        <v>51.0769</v>
      </c>
      <c r="G554" s="16">
        <v>13.2735</v>
      </c>
      <c r="H554" s="15"/>
      <c r="I554" s="15"/>
    </row>
    <row r="555">
      <c r="A555" s="18">
        <v>45665.0</v>
      </c>
      <c r="B555" s="16" t="s">
        <v>1337</v>
      </c>
      <c r="C555" s="16" t="s">
        <v>1059</v>
      </c>
      <c r="D555" s="16" t="s">
        <v>707</v>
      </c>
      <c r="E555" s="16">
        <v>2009.0</v>
      </c>
      <c r="F555" s="16">
        <v>48.3536</v>
      </c>
      <c r="G555" s="16">
        <v>11.5366</v>
      </c>
      <c r="H555" s="15"/>
      <c r="I555" s="15"/>
    </row>
    <row r="556">
      <c r="A556" s="18">
        <v>45665.0</v>
      </c>
      <c r="B556" s="16" t="s">
        <v>1338</v>
      </c>
      <c r="C556" s="16">
        <v>2.0</v>
      </c>
      <c r="D556" s="16" t="s">
        <v>707</v>
      </c>
      <c r="E556" s="16">
        <v>2009.0</v>
      </c>
      <c r="F556" s="16">
        <v>50.9811</v>
      </c>
      <c r="G556" s="16">
        <v>11.12</v>
      </c>
      <c r="H556" s="15"/>
      <c r="I556" s="15"/>
    </row>
    <row r="557">
      <c r="A557" s="18">
        <v>45665.0</v>
      </c>
      <c r="B557" s="16" t="s">
        <v>1339</v>
      </c>
      <c r="C557" s="16">
        <v>1.0</v>
      </c>
      <c r="D557" s="16" t="s">
        <v>707</v>
      </c>
      <c r="E557" s="16">
        <v>2009.0</v>
      </c>
      <c r="F557" s="16">
        <v>49.6011</v>
      </c>
      <c r="G557" s="16">
        <v>10.3654</v>
      </c>
      <c r="H557" s="15"/>
      <c r="I557" s="15"/>
    </row>
    <row r="558">
      <c r="A558" s="18">
        <v>45665.0</v>
      </c>
      <c r="B558" s="16" t="s">
        <v>1340</v>
      </c>
      <c r="C558" s="16" t="s">
        <v>1341</v>
      </c>
      <c r="D558" s="16" t="s">
        <v>707</v>
      </c>
      <c r="E558" s="16">
        <v>2009.0</v>
      </c>
      <c r="F558" s="16">
        <v>48.9386</v>
      </c>
      <c r="G558" s="16">
        <v>10.6051</v>
      </c>
      <c r="H558" s="15"/>
      <c r="I558" s="15"/>
    </row>
    <row r="559">
      <c r="A559" s="18">
        <v>45665.0</v>
      </c>
      <c r="B559" s="16" t="s">
        <v>1342</v>
      </c>
      <c r="C559" s="16" t="s">
        <v>1055</v>
      </c>
      <c r="D559" s="16" t="s">
        <v>707</v>
      </c>
      <c r="E559" s="16">
        <v>2009.0</v>
      </c>
      <c r="F559" s="16">
        <v>47.8885</v>
      </c>
      <c r="G559" s="16">
        <v>11.163</v>
      </c>
      <c r="H559" s="15"/>
      <c r="I559" s="15"/>
    </row>
    <row r="560">
      <c r="A560" s="18">
        <v>45665.0</v>
      </c>
      <c r="B560" s="16" t="s">
        <v>1343</v>
      </c>
      <c r="C560" s="16" t="s">
        <v>1046</v>
      </c>
      <c r="D560" s="16" t="s">
        <v>707</v>
      </c>
      <c r="E560" s="16">
        <v>2009.0</v>
      </c>
      <c r="F560" s="16">
        <v>50.8466</v>
      </c>
      <c r="G560" s="16">
        <v>12.1845</v>
      </c>
      <c r="H560" s="15"/>
      <c r="I560" s="15"/>
    </row>
    <row r="561">
      <c r="A561" s="18">
        <v>45665.0</v>
      </c>
      <c r="B561" s="16" t="s">
        <v>1344</v>
      </c>
      <c r="C561" s="16" t="s">
        <v>959</v>
      </c>
      <c r="D561" s="16" t="s">
        <v>707</v>
      </c>
      <c r="E561" s="16">
        <v>2009.0</v>
      </c>
      <c r="F561" s="16">
        <v>48.1606</v>
      </c>
      <c r="G561" s="16">
        <v>9.7908</v>
      </c>
      <c r="H561" s="15"/>
      <c r="I561" s="15"/>
    </row>
    <row r="562">
      <c r="A562" s="18">
        <v>45665.0</v>
      </c>
      <c r="B562" s="16" t="s">
        <v>1345</v>
      </c>
      <c r="C562" s="16" t="s">
        <v>969</v>
      </c>
      <c r="D562" s="16" t="s">
        <v>707</v>
      </c>
      <c r="E562" s="16">
        <v>2009.0</v>
      </c>
      <c r="F562" s="16">
        <v>48.4695</v>
      </c>
      <c r="G562" s="16">
        <v>11.3004</v>
      </c>
      <c r="H562" s="15"/>
      <c r="I562" s="15"/>
    </row>
    <row r="563">
      <c r="A563" s="18">
        <v>45665.0</v>
      </c>
      <c r="B563" s="16" t="s">
        <v>1346</v>
      </c>
      <c r="C563" s="16" t="s">
        <v>948</v>
      </c>
      <c r="D563" s="16" t="s">
        <v>707</v>
      </c>
      <c r="E563" s="16">
        <v>2009.0</v>
      </c>
      <c r="F563" s="16">
        <v>52.0622</v>
      </c>
      <c r="G563" s="16">
        <v>12.8873</v>
      </c>
      <c r="H563" s="15"/>
      <c r="I563" s="15"/>
    </row>
    <row r="564">
      <c r="A564" s="18">
        <v>45665.0</v>
      </c>
      <c r="B564" s="16" t="s">
        <v>1347</v>
      </c>
      <c r="C564" s="16">
        <v>1.0</v>
      </c>
      <c r="D564" s="16" t="s">
        <v>707</v>
      </c>
      <c r="E564" s="16">
        <v>2009.0</v>
      </c>
      <c r="F564" s="16">
        <v>51.0488</v>
      </c>
      <c r="G564" s="16">
        <v>12.1828</v>
      </c>
      <c r="H564" s="15"/>
      <c r="I564" s="15"/>
    </row>
    <row r="565">
      <c r="A565" s="18">
        <v>45665.0</v>
      </c>
      <c r="B565" s="16" t="s">
        <v>1348</v>
      </c>
      <c r="C565" s="16" t="s">
        <v>969</v>
      </c>
      <c r="D565" s="16" t="s">
        <v>707</v>
      </c>
      <c r="E565" s="16">
        <v>2009.0</v>
      </c>
      <c r="F565" s="16">
        <v>49.6241</v>
      </c>
      <c r="G565" s="16">
        <v>12.0835</v>
      </c>
      <c r="H565" s="15"/>
      <c r="I565" s="15"/>
    </row>
    <row r="566">
      <c r="A566" s="18">
        <v>45665.0</v>
      </c>
      <c r="B566" s="16" t="s">
        <v>1349</v>
      </c>
      <c r="C566" s="16" t="s">
        <v>1096</v>
      </c>
      <c r="D566" s="16" t="s">
        <v>707</v>
      </c>
      <c r="E566" s="16">
        <v>2009.0</v>
      </c>
      <c r="F566" s="16">
        <v>49.626</v>
      </c>
      <c r="G566" s="16">
        <v>10.6206</v>
      </c>
      <c r="H566" s="15"/>
      <c r="I566" s="15"/>
    </row>
    <row r="567">
      <c r="A567" s="18">
        <v>45665.0</v>
      </c>
      <c r="B567" s="16" t="s">
        <v>1350</v>
      </c>
      <c r="C567" s="16" t="s">
        <v>1351</v>
      </c>
      <c r="D567" s="16" t="s">
        <v>707</v>
      </c>
      <c r="E567" s="16">
        <v>2009.0</v>
      </c>
      <c r="F567" s="16">
        <v>49.8821</v>
      </c>
      <c r="G567" s="16">
        <v>10.1331</v>
      </c>
      <c r="H567" s="15"/>
      <c r="I567" s="15"/>
    </row>
    <row r="568">
      <c r="A568" s="18">
        <v>45665.0</v>
      </c>
      <c r="B568" s="16" t="s">
        <v>1352</v>
      </c>
      <c r="C568" s="16" t="s">
        <v>946</v>
      </c>
      <c r="D568" s="16" t="s">
        <v>707</v>
      </c>
      <c r="E568" s="16">
        <v>2009.0</v>
      </c>
      <c r="F568" s="16">
        <v>52.0166</v>
      </c>
      <c r="G568" s="16">
        <v>9.0161</v>
      </c>
      <c r="H568" s="15"/>
      <c r="I568" s="15"/>
    </row>
    <row r="569">
      <c r="A569" s="18">
        <v>45665.0</v>
      </c>
      <c r="B569" s="16" t="s">
        <v>1353</v>
      </c>
      <c r="C569" s="16" t="s">
        <v>1051</v>
      </c>
      <c r="D569" s="16" t="s">
        <v>707</v>
      </c>
      <c r="E569" s="16">
        <v>2009.0</v>
      </c>
      <c r="F569" s="16">
        <v>49.5867</v>
      </c>
      <c r="G569" s="16">
        <v>7.9466</v>
      </c>
      <c r="H569" s="15"/>
      <c r="I569" s="15"/>
    </row>
    <row r="570">
      <c r="A570" s="18">
        <v>45665.0</v>
      </c>
      <c r="B570" s="16" t="s">
        <v>1354</v>
      </c>
      <c r="C570" s="16" t="s">
        <v>1055</v>
      </c>
      <c r="D570" s="16" t="s">
        <v>707</v>
      </c>
      <c r="E570" s="16">
        <v>2009.0</v>
      </c>
      <c r="F570" s="16">
        <v>48.7575</v>
      </c>
      <c r="G570" s="16">
        <v>10.2976</v>
      </c>
      <c r="H570" s="15"/>
      <c r="I570" s="15"/>
    </row>
    <row r="571">
      <c r="A571" s="18">
        <v>45665.0</v>
      </c>
      <c r="B571" s="16" t="s">
        <v>1355</v>
      </c>
      <c r="C571" s="16" t="s">
        <v>961</v>
      </c>
      <c r="D571" s="16" t="s">
        <v>707</v>
      </c>
      <c r="E571" s="16">
        <v>2009.0</v>
      </c>
      <c r="F571" s="16">
        <v>48.6216</v>
      </c>
      <c r="G571" s="16">
        <v>10.5384</v>
      </c>
      <c r="H571" s="15"/>
      <c r="I571" s="15"/>
    </row>
    <row r="572">
      <c r="A572" s="18">
        <v>45665.0</v>
      </c>
      <c r="B572" s="16" t="s">
        <v>1356</v>
      </c>
      <c r="C572" s="16" t="s">
        <v>1101</v>
      </c>
      <c r="D572" s="16" t="s">
        <v>707</v>
      </c>
      <c r="E572" s="16">
        <v>2009.0</v>
      </c>
      <c r="F572" s="16">
        <v>49.4538</v>
      </c>
      <c r="G572" s="16">
        <v>10.2656</v>
      </c>
      <c r="H572" s="15"/>
      <c r="I572" s="15"/>
    </row>
    <row r="573">
      <c r="A573" s="18">
        <v>45665.0</v>
      </c>
      <c r="B573" s="16" t="s">
        <v>1357</v>
      </c>
      <c r="C573" s="16" t="s">
        <v>1358</v>
      </c>
      <c r="D573" s="16" t="s">
        <v>707</v>
      </c>
      <c r="E573" s="16">
        <v>2009.0</v>
      </c>
      <c r="F573" s="16">
        <v>52.1826</v>
      </c>
      <c r="G573" s="16">
        <v>11.755</v>
      </c>
      <c r="H573" s="15"/>
      <c r="I573" s="15"/>
    </row>
    <row r="574">
      <c r="A574" s="18">
        <v>45665.0</v>
      </c>
      <c r="B574" s="16" t="s">
        <v>1359</v>
      </c>
      <c r="C574" s="16" t="s">
        <v>1167</v>
      </c>
      <c r="D574" s="16" t="s">
        <v>707</v>
      </c>
      <c r="E574" s="16">
        <v>2009.0</v>
      </c>
      <c r="F574" s="16">
        <v>48.7778</v>
      </c>
      <c r="G574" s="16">
        <v>12.1612</v>
      </c>
      <c r="H574" s="15"/>
      <c r="I574" s="15"/>
    </row>
    <row r="575">
      <c r="A575" s="18">
        <v>45665.0</v>
      </c>
      <c r="B575" s="16" t="s">
        <v>1360</v>
      </c>
      <c r="C575" s="16" t="s">
        <v>1034</v>
      </c>
      <c r="D575" s="16" t="s">
        <v>707</v>
      </c>
      <c r="E575" s="16">
        <v>2009.0</v>
      </c>
      <c r="F575" s="16">
        <v>48.0321</v>
      </c>
      <c r="G575" s="16">
        <v>10.6926</v>
      </c>
      <c r="H575" s="15"/>
      <c r="I575" s="15"/>
    </row>
    <row r="576">
      <c r="A576" s="18">
        <v>45665.0</v>
      </c>
      <c r="B576" s="16" t="s">
        <v>1361</v>
      </c>
      <c r="C576" s="16" t="s">
        <v>1059</v>
      </c>
      <c r="D576" s="16" t="s">
        <v>707</v>
      </c>
      <c r="E576" s="16">
        <v>2009.0</v>
      </c>
      <c r="F576" s="16">
        <v>48.6846</v>
      </c>
      <c r="G576" s="16">
        <v>10.9107</v>
      </c>
      <c r="H576" s="15"/>
      <c r="I576" s="15"/>
    </row>
    <row r="577">
      <c r="A577" s="18">
        <v>45665.0</v>
      </c>
      <c r="B577" s="16" t="s">
        <v>1362</v>
      </c>
      <c r="C577" s="16" t="s">
        <v>1055</v>
      </c>
      <c r="D577" s="16" t="s">
        <v>707</v>
      </c>
      <c r="E577" s="16">
        <v>2009.0</v>
      </c>
      <c r="F577" s="16">
        <v>48.6611</v>
      </c>
      <c r="G577" s="16">
        <v>13.4567</v>
      </c>
      <c r="H577" s="15"/>
      <c r="I577" s="15"/>
    </row>
    <row r="578">
      <c r="A578" s="18">
        <v>45665.0</v>
      </c>
      <c r="B578" s="16" t="s">
        <v>1363</v>
      </c>
      <c r="C578" s="16" t="s">
        <v>971</v>
      </c>
      <c r="D578" s="16" t="s">
        <v>707</v>
      </c>
      <c r="E578" s="16">
        <v>2009.0</v>
      </c>
      <c r="F578" s="16">
        <v>48.55</v>
      </c>
      <c r="G578" s="16">
        <v>12.411</v>
      </c>
      <c r="H578" s="15"/>
      <c r="I578" s="15"/>
    </row>
    <row r="579">
      <c r="A579" s="18">
        <v>45665.0</v>
      </c>
      <c r="B579" s="16" t="s">
        <v>1364</v>
      </c>
      <c r="C579" s="16" t="s">
        <v>946</v>
      </c>
      <c r="D579" s="16" t="s">
        <v>707</v>
      </c>
      <c r="E579" s="16">
        <v>2009.0</v>
      </c>
      <c r="F579" s="16">
        <v>48.4954</v>
      </c>
      <c r="G579" s="16">
        <v>11.9574</v>
      </c>
      <c r="H579" s="15"/>
      <c r="I579" s="15"/>
    </row>
    <row r="580">
      <c r="A580" s="18">
        <v>45665.0</v>
      </c>
      <c r="B580" s="16" t="s">
        <v>1365</v>
      </c>
      <c r="C580" s="16">
        <v>1.0</v>
      </c>
      <c r="D580" s="16" t="s">
        <v>707</v>
      </c>
      <c r="E580" s="16">
        <v>2009.0</v>
      </c>
      <c r="F580" s="16">
        <v>51.1058</v>
      </c>
      <c r="G580" s="16">
        <v>12.183</v>
      </c>
      <c r="H580" s="15"/>
      <c r="I580" s="15"/>
    </row>
    <row r="581">
      <c r="A581" s="18">
        <v>45665.0</v>
      </c>
      <c r="B581" s="16" t="s">
        <v>1366</v>
      </c>
      <c r="C581" s="16" t="s">
        <v>942</v>
      </c>
      <c r="D581" s="16" t="s">
        <v>707</v>
      </c>
      <c r="E581" s="16">
        <v>2009.0</v>
      </c>
      <c r="F581" s="16">
        <v>48.5232</v>
      </c>
      <c r="G581" s="16">
        <v>11.7479</v>
      </c>
      <c r="H581" s="15"/>
      <c r="I581" s="15"/>
    </row>
    <row r="582">
      <c r="A582" s="18">
        <v>45665.0</v>
      </c>
      <c r="B582" s="16" t="s">
        <v>1367</v>
      </c>
      <c r="C582" s="16">
        <v>3.0</v>
      </c>
      <c r="D582" s="16" t="s">
        <v>707</v>
      </c>
      <c r="E582" s="16">
        <v>2009.0</v>
      </c>
      <c r="F582" s="16">
        <v>53.9964</v>
      </c>
      <c r="G582" s="16">
        <v>9.1091</v>
      </c>
      <c r="H582" s="15"/>
      <c r="I582" s="15"/>
    </row>
    <row r="583">
      <c r="A583" s="18">
        <v>45665.0</v>
      </c>
      <c r="B583" s="16" t="s">
        <v>1368</v>
      </c>
      <c r="C583" s="16" t="s">
        <v>984</v>
      </c>
      <c r="D583" s="16" t="s">
        <v>707</v>
      </c>
      <c r="E583" s="16">
        <v>2009.0</v>
      </c>
      <c r="F583" s="16">
        <v>50.0701</v>
      </c>
      <c r="G583" s="16">
        <v>6.8934</v>
      </c>
      <c r="H583" s="15"/>
      <c r="I583" s="15"/>
    </row>
    <row r="584">
      <c r="A584" s="18">
        <v>45665.0</v>
      </c>
      <c r="B584" s="16" t="s">
        <v>1369</v>
      </c>
      <c r="C584" s="16" t="s">
        <v>1059</v>
      </c>
      <c r="D584" s="16" t="s">
        <v>707</v>
      </c>
      <c r="E584" s="16">
        <v>2009.0</v>
      </c>
      <c r="F584" s="16">
        <v>51.069</v>
      </c>
      <c r="G584" s="16">
        <v>10.7301</v>
      </c>
      <c r="H584" s="15"/>
      <c r="I584" s="15"/>
    </row>
    <row r="585">
      <c r="A585" s="18">
        <v>45665.0</v>
      </c>
      <c r="B585" s="16" t="s">
        <v>1370</v>
      </c>
      <c r="C585" s="16">
        <v>1.0</v>
      </c>
      <c r="D585" s="16" t="s">
        <v>707</v>
      </c>
      <c r="E585" s="16">
        <v>2009.0</v>
      </c>
      <c r="F585" s="16">
        <v>53.3692</v>
      </c>
      <c r="G585" s="16">
        <v>11.5819</v>
      </c>
      <c r="H585" s="15"/>
      <c r="I585" s="15"/>
    </row>
    <row r="586">
      <c r="A586" s="18">
        <v>45665.0</v>
      </c>
      <c r="B586" s="16" t="s">
        <v>1371</v>
      </c>
      <c r="C586" s="16" t="s">
        <v>946</v>
      </c>
      <c r="D586" s="16" t="s">
        <v>707</v>
      </c>
      <c r="E586" s="16">
        <v>2009.0</v>
      </c>
      <c r="F586" s="16">
        <v>52.492</v>
      </c>
      <c r="G586" s="16">
        <v>13.6979</v>
      </c>
      <c r="H586" s="15"/>
      <c r="I586" s="15"/>
    </row>
    <row r="587">
      <c r="A587" s="18">
        <v>45665.0</v>
      </c>
      <c r="B587" s="16" t="s">
        <v>1372</v>
      </c>
      <c r="C587" s="16">
        <v>1.0</v>
      </c>
      <c r="D587" s="16" t="s">
        <v>707</v>
      </c>
      <c r="E587" s="16">
        <v>2009.0</v>
      </c>
      <c r="F587" s="16">
        <v>49.927</v>
      </c>
      <c r="G587" s="16">
        <v>7.3021</v>
      </c>
      <c r="H587" s="15"/>
      <c r="I587" s="15"/>
    </row>
    <row r="588">
      <c r="A588" s="18">
        <v>45665.0</v>
      </c>
      <c r="B588" s="16" t="s">
        <v>1373</v>
      </c>
      <c r="C588" s="16" t="s">
        <v>1374</v>
      </c>
      <c r="D588" s="16" t="s">
        <v>707</v>
      </c>
      <c r="E588" s="16">
        <v>2009.0</v>
      </c>
      <c r="F588" s="16">
        <v>49.1647</v>
      </c>
      <c r="G588" s="16">
        <v>12.1081</v>
      </c>
      <c r="H588" s="15"/>
      <c r="I588" s="15"/>
    </row>
    <row r="589">
      <c r="A589" s="18">
        <v>45665.0</v>
      </c>
      <c r="B589" s="16" t="s">
        <v>1375</v>
      </c>
      <c r="C589" s="16" t="s">
        <v>942</v>
      </c>
      <c r="D589" s="16" t="s">
        <v>707</v>
      </c>
      <c r="E589" s="16">
        <v>2009.0</v>
      </c>
      <c r="F589" s="16">
        <v>48.9218</v>
      </c>
      <c r="G589" s="16">
        <v>8.7099</v>
      </c>
      <c r="H589" s="15"/>
      <c r="I589" s="15"/>
    </row>
    <row r="590">
      <c r="A590" s="18">
        <v>45665.0</v>
      </c>
      <c r="B590" s="16" t="s">
        <v>1376</v>
      </c>
      <c r="C590" s="16" t="s">
        <v>978</v>
      </c>
      <c r="D590" s="16" t="s">
        <v>707</v>
      </c>
      <c r="E590" s="16">
        <v>2009.0</v>
      </c>
      <c r="F590" s="16">
        <v>48.0095</v>
      </c>
      <c r="G590" s="16">
        <v>10.2318</v>
      </c>
      <c r="H590" s="15"/>
      <c r="I590" s="15"/>
    </row>
    <row r="591">
      <c r="A591" s="18">
        <v>45665.0</v>
      </c>
      <c r="B591" s="16" t="s">
        <v>1377</v>
      </c>
      <c r="C591" s="16" t="s">
        <v>969</v>
      </c>
      <c r="D591" s="16" t="s">
        <v>707</v>
      </c>
      <c r="E591" s="16">
        <v>2009.0</v>
      </c>
      <c r="F591" s="16">
        <v>52.0166</v>
      </c>
      <c r="G591" s="16">
        <v>9.0161</v>
      </c>
      <c r="H591" s="15"/>
      <c r="I591" s="15"/>
    </row>
    <row r="592">
      <c r="A592" s="18">
        <v>45665.0</v>
      </c>
      <c r="B592" s="16" t="s">
        <v>1378</v>
      </c>
      <c r="C592" s="16" t="s">
        <v>1037</v>
      </c>
      <c r="D592" s="16" t="s">
        <v>707</v>
      </c>
      <c r="E592" s="16">
        <v>2009.0</v>
      </c>
      <c r="F592" s="16">
        <v>49.3392</v>
      </c>
      <c r="G592" s="16">
        <v>10.511</v>
      </c>
      <c r="H592" s="15"/>
      <c r="I592" s="15"/>
    </row>
    <row r="593">
      <c r="A593" s="18">
        <v>45665.0</v>
      </c>
      <c r="B593" s="16" t="s">
        <v>1379</v>
      </c>
      <c r="C593" s="16" t="s">
        <v>961</v>
      </c>
      <c r="D593" s="16" t="s">
        <v>707</v>
      </c>
      <c r="E593" s="16">
        <v>2009.0</v>
      </c>
      <c r="F593" s="16">
        <v>51.846</v>
      </c>
      <c r="G593" s="16">
        <v>7.8474</v>
      </c>
      <c r="H593" s="15"/>
      <c r="I593" s="15"/>
    </row>
    <row r="594">
      <c r="A594" s="18">
        <v>45665.0</v>
      </c>
      <c r="B594" s="16" t="s">
        <v>1380</v>
      </c>
      <c r="C594" s="16" t="s">
        <v>971</v>
      </c>
      <c r="D594" s="16" t="s">
        <v>707</v>
      </c>
      <c r="E594" s="16">
        <v>2009.0</v>
      </c>
      <c r="F594" s="16">
        <v>54.8151</v>
      </c>
      <c r="G594" s="16">
        <v>8.8495</v>
      </c>
      <c r="H594" s="15"/>
      <c r="I594" s="15"/>
    </row>
    <row r="595">
      <c r="A595" s="18">
        <v>45665.0</v>
      </c>
      <c r="B595" s="16" t="s">
        <v>1381</v>
      </c>
      <c r="C595" s="16" t="s">
        <v>1341</v>
      </c>
      <c r="D595" s="16" t="s">
        <v>707</v>
      </c>
      <c r="E595" s="16">
        <v>2009.0</v>
      </c>
      <c r="F595" s="16">
        <v>49.7919</v>
      </c>
      <c r="G595" s="16">
        <v>10.151</v>
      </c>
      <c r="H595" s="15"/>
      <c r="I595" s="15"/>
    </row>
    <row r="596">
      <c r="A596" s="18">
        <v>45665.0</v>
      </c>
      <c r="B596" s="16" t="s">
        <v>1382</v>
      </c>
      <c r="C596" s="16" t="s">
        <v>1101</v>
      </c>
      <c r="D596" s="16" t="s">
        <v>707</v>
      </c>
      <c r="E596" s="16">
        <v>2009.0</v>
      </c>
      <c r="F596" s="16">
        <v>51.6122</v>
      </c>
      <c r="G596" s="16">
        <v>13.4201</v>
      </c>
      <c r="H596" s="15"/>
      <c r="I596" s="15"/>
    </row>
    <row r="597">
      <c r="A597" s="18">
        <v>45665.0</v>
      </c>
      <c r="B597" s="16" t="s">
        <v>1383</v>
      </c>
      <c r="C597" s="16" t="s">
        <v>1384</v>
      </c>
      <c r="D597" s="16" t="s">
        <v>707</v>
      </c>
      <c r="E597" s="16">
        <v>2009.0</v>
      </c>
      <c r="F597" s="16">
        <v>49.355</v>
      </c>
      <c r="G597" s="16">
        <v>10.491</v>
      </c>
      <c r="H597" s="15"/>
      <c r="I597" s="15"/>
    </row>
    <row r="598">
      <c r="A598" s="18">
        <v>45665.0</v>
      </c>
      <c r="B598" s="16" t="s">
        <v>1385</v>
      </c>
      <c r="C598" s="16" t="s">
        <v>1386</v>
      </c>
      <c r="D598" s="16" t="s">
        <v>707</v>
      </c>
      <c r="E598" s="16">
        <v>2009.0</v>
      </c>
      <c r="F598" s="16">
        <v>49.3436</v>
      </c>
      <c r="G598" s="16">
        <v>10.3667</v>
      </c>
      <c r="H598" s="15"/>
      <c r="I598" s="15"/>
    </row>
    <row r="599">
      <c r="A599" s="18">
        <v>45665.0</v>
      </c>
      <c r="B599" s="16" t="s">
        <v>1387</v>
      </c>
      <c r="C599" s="16" t="s">
        <v>1046</v>
      </c>
      <c r="D599" s="16" t="s">
        <v>707</v>
      </c>
      <c r="E599" s="16">
        <v>2009.0</v>
      </c>
      <c r="F599" s="16">
        <v>49.0839</v>
      </c>
      <c r="G599" s="16">
        <v>10.9988</v>
      </c>
      <c r="H599" s="15"/>
      <c r="I599" s="15"/>
    </row>
    <row r="600">
      <c r="A600" s="18">
        <v>45665.0</v>
      </c>
      <c r="B600" s="16" t="s">
        <v>1388</v>
      </c>
      <c r="C600" s="16" t="s">
        <v>1011</v>
      </c>
      <c r="D600" s="16" t="s">
        <v>707</v>
      </c>
      <c r="E600" s="16">
        <v>2009.0</v>
      </c>
      <c r="F600" s="16">
        <v>51.8006</v>
      </c>
      <c r="G600" s="16">
        <v>12.5501</v>
      </c>
      <c r="H600" s="15"/>
      <c r="I600" s="15"/>
    </row>
    <row r="601">
      <c r="A601" s="18">
        <v>45665.0</v>
      </c>
      <c r="B601" s="16" t="s">
        <v>1389</v>
      </c>
      <c r="C601" s="16" t="s">
        <v>1147</v>
      </c>
      <c r="D601" s="16" t="s">
        <v>707</v>
      </c>
      <c r="E601" s="16">
        <v>2009.0</v>
      </c>
      <c r="F601" s="16">
        <v>49.7866</v>
      </c>
      <c r="G601" s="16">
        <v>6.7361</v>
      </c>
      <c r="H601" s="15"/>
      <c r="I601" s="15"/>
    </row>
    <row r="602">
      <c r="A602" s="18">
        <v>45665.0</v>
      </c>
      <c r="B602" s="16" t="s">
        <v>1390</v>
      </c>
      <c r="C602" s="16" t="s">
        <v>1046</v>
      </c>
      <c r="D602" s="16" t="s">
        <v>707</v>
      </c>
      <c r="E602" s="16">
        <v>2009.0</v>
      </c>
      <c r="F602" s="16">
        <v>49.3572</v>
      </c>
      <c r="G602" s="16">
        <v>10.511</v>
      </c>
      <c r="H602" s="15"/>
      <c r="I602" s="15"/>
    </row>
    <row r="603">
      <c r="A603" s="18">
        <v>45665.0</v>
      </c>
      <c r="B603" s="16" t="s">
        <v>1391</v>
      </c>
      <c r="C603" s="16" t="s">
        <v>1059</v>
      </c>
      <c r="D603" s="16" t="s">
        <v>707</v>
      </c>
      <c r="E603" s="16">
        <v>2009.0</v>
      </c>
      <c r="F603" s="16">
        <v>49.3653</v>
      </c>
      <c r="G603" s="16">
        <v>10.7325</v>
      </c>
      <c r="H603" s="15"/>
      <c r="I603" s="15"/>
    </row>
    <row r="604">
      <c r="A604" s="18">
        <v>45665.0</v>
      </c>
      <c r="B604" s="16" t="s">
        <v>1392</v>
      </c>
      <c r="C604" s="16" t="s">
        <v>1393</v>
      </c>
      <c r="D604" s="16" t="s">
        <v>707</v>
      </c>
      <c r="E604" s="16">
        <v>2009.0</v>
      </c>
      <c r="F604" s="16">
        <v>49.7475</v>
      </c>
      <c r="G604" s="16">
        <v>10.1059</v>
      </c>
      <c r="H604" s="15"/>
      <c r="I604" s="15"/>
    </row>
    <row r="605">
      <c r="A605" s="18">
        <v>45665.0</v>
      </c>
      <c r="B605" s="16" t="s">
        <v>1394</v>
      </c>
      <c r="C605" s="16" t="s">
        <v>1374</v>
      </c>
      <c r="D605" s="16" t="s">
        <v>707</v>
      </c>
      <c r="E605" s="16">
        <v>2009.0</v>
      </c>
      <c r="F605" s="16">
        <v>50.0903</v>
      </c>
      <c r="G605" s="16">
        <v>12.1292</v>
      </c>
      <c r="H605" s="15"/>
      <c r="I605" s="15"/>
    </row>
    <row r="606">
      <c r="A606" s="18">
        <v>45665.0</v>
      </c>
      <c r="B606" s="16" t="s">
        <v>1395</v>
      </c>
      <c r="C606" s="16">
        <v>1.0</v>
      </c>
      <c r="D606" s="16" t="s">
        <v>707</v>
      </c>
      <c r="E606" s="16">
        <v>2009.0</v>
      </c>
      <c r="F606" s="16">
        <v>48.0894</v>
      </c>
      <c r="G606" s="16">
        <v>10.1181</v>
      </c>
      <c r="H606" s="15"/>
      <c r="I606" s="15"/>
    </row>
    <row r="607">
      <c r="A607" s="18">
        <v>45665.0</v>
      </c>
      <c r="B607" s="16" t="s">
        <v>1396</v>
      </c>
      <c r="C607" s="16" t="s">
        <v>969</v>
      </c>
      <c r="D607" s="16" t="s">
        <v>707</v>
      </c>
      <c r="E607" s="16">
        <v>2009.0</v>
      </c>
      <c r="F607" s="16">
        <v>47.99</v>
      </c>
      <c r="G607" s="16">
        <v>9.1203</v>
      </c>
      <c r="H607" s="15"/>
      <c r="I607" s="15"/>
    </row>
    <row r="608">
      <c r="A608" s="18">
        <v>45665.0</v>
      </c>
      <c r="B608" s="16" t="s">
        <v>1397</v>
      </c>
      <c r="C608" s="16" t="s">
        <v>969</v>
      </c>
      <c r="D608" s="16" t="s">
        <v>707</v>
      </c>
      <c r="E608" s="16">
        <v>2009.0</v>
      </c>
      <c r="F608" s="16">
        <v>48.6798</v>
      </c>
      <c r="G608" s="16">
        <v>12.4842</v>
      </c>
      <c r="H608" s="15"/>
      <c r="I608" s="15"/>
    </row>
    <row r="609">
      <c r="A609" s="18">
        <v>45665.0</v>
      </c>
      <c r="B609" s="16" t="s">
        <v>1398</v>
      </c>
      <c r="C609" s="16" t="s">
        <v>1399</v>
      </c>
      <c r="D609" s="16" t="s">
        <v>707</v>
      </c>
      <c r="E609" s="16">
        <v>2009.0</v>
      </c>
      <c r="F609" s="16">
        <v>48.6126</v>
      </c>
      <c r="G609" s="16">
        <v>10.8364</v>
      </c>
      <c r="H609" s="15"/>
      <c r="I609" s="15"/>
    </row>
    <row r="610">
      <c r="A610" s="18">
        <v>45665.0</v>
      </c>
      <c r="B610" s="16" t="s">
        <v>1400</v>
      </c>
      <c r="C610" s="16" t="s">
        <v>1055</v>
      </c>
      <c r="D610" s="16" t="s">
        <v>707</v>
      </c>
      <c r="E610" s="16">
        <v>2009.0</v>
      </c>
      <c r="F610" s="16">
        <v>50.2125</v>
      </c>
      <c r="G610" s="16">
        <v>9.1653</v>
      </c>
      <c r="H610" s="15"/>
      <c r="I610" s="15"/>
    </row>
    <row r="611">
      <c r="A611" s="18">
        <v>45665.0</v>
      </c>
      <c r="B611" s="16" t="s">
        <v>1401</v>
      </c>
      <c r="C611" s="16" t="s">
        <v>1402</v>
      </c>
      <c r="D611" s="16" t="s">
        <v>707</v>
      </c>
      <c r="E611" s="16">
        <v>2009.0</v>
      </c>
      <c r="F611" s="16">
        <v>51.4333</v>
      </c>
      <c r="G611" s="16">
        <v>11.7372</v>
      </c>
      <c r="H611" s="15"/>
      <c r="I611" s="15"/>
    </row>
    <row r="612">
      <c r="A612" s="18">
        <v>45665.0</v>
      </c>
      <c r="B612" s="16" t="s">
        <v>1403</v>
      </c>
      <c r="C612" s="16" t="s">
        <v>1167</v>
      </c>
      <c r="D612" s="16" t="s">
        <v>707</v>
      </c>
      <c r="E612" s="16">
        <v>2009.0</v>
      </c>
      <c r="F612" s="16">
        <v>51.897</v>
      </c>
      <c r="G612" s="16">
        <v>11.0931</v>
      </c>
      <c r="H612" s="15"/>
      <c r="I612" s="15"/>
    </row>
    <row r="613">
      <c r="A613" s="18">
        <v>45665.0</v>
      </c>
      <c r="B613" s="16" t="s">
        <v>1404</v>
      </c>
      <c r="C613" s="16" t="s">
        <v>969</v>
      </c>
      <c r="D613" s="16" t="s">
        <v>707</v>
      </c>
      <c r="E613" s="16">
        <v>2009.0</v>
      </c>
      <c r="F613" s="16">
        <v>48.253</v>
      </c>
      <c r="G613" s="16">
        <v>10.104</v>
      </c>
      <c r="H613" s="15"/>
      <c r="I613" s="15"/>
    </row>
    <row r="614">
      <c r="A614" s="18">
        <v>45665.0</v>
      </c>
      <c r="B614" s="16" t="s">
        <v>1405</v>
      </c>
      <c r="C614" s="16" t="s">
        <v>1101</v>
      </c>
      <c r="D614" s="16" t="s">
        <v>707</v>
      </c>
      <c r="E614" s="16">
        <v>2009.0</v>
      </c>
      <c r="F614" s="16">
        <v>51.3854</v>
      </c>
      <c r="G614" s="16">
        <v>14.0938</v>
      </c>
      <c r="H614" s="15"/>
      <c r="I614" s="15"/>
    </row>
    <row r="615">
      <c r="A615" s="18">
        <v>45665.0</v>
      </c>
      <c r="B615" s="16" t="s">
        <v>1406</v>
      </c>
      <c r="C615" s="16" t="s">
        <v>1096</v>
      </c>
      <c r="D615" s="16" t="s">
        <v>707</v>
      </c>
      <c r="E615" s="16">
        <v>2009.0</v>
      </c>
      <c r="F615" s="16">
        <v>49.2045</v>
      </c>
      <c r="G615" s="16">
        <v>10.7332</v>
      </c>
      <c r="H615" s="15"/>
      <c r="I615" s="15"/>
    </row>
    <row r="616">
      <c r="A616" s="18">
        <v>45665.0</v>
      </c>
      <c r="B616" s="16" t="s">
        <v>1407</v>
      </c>
      <c r="C616" s="16" t="s">
        <v>1172</v>
      </c>
      <c r="D616" s="16" t="s">
        <v>707</v>
      </c>
      <c r="E616" s="16">
        <v>2009.0</v>
      </c>
      <c r="F616" s="16">
        <v>49.5962</v>
      </c>
      <c r="G616" s="16">
        <v>10.0379</v>
      </c>
      <c r="H616" s="15"/>
      <c r="I616" s="15"/>
    </row>
    <row r="617">
      <c r="A617" s="18">
        <v>45665.0</v>
      </c>
      <c r="B617" s="16" t="s">
        <v>1408</v>
      </c>
      <c r="C617" s="16" t="s">
        <v>971</v>
      </c>
      <c r="D617" s="16" t="s">
        <v>707</v>
      </c>
      <c r="E617" s="16">
        <v>2009.0</v>
      </c>
      <c r="F617" s="16">
        <v>54.6213</v>
      </c>
      <c r="G617" s="16">
        <v>8.9373</v>
      </c>
      <c r="H617" s="15"/>
      <c r="I617" s="15"/>
    </row>
    <row r="618">
      <c r="A618" s="18">
        <v>45665.0</v>
      </c>
      <c r="B618" s="16" t="s">
        <v>1409</v>
      </c>
      <c r="C618" s="16" t="s">
        <v>959</v>
      </c>
      <c r="D618" s="16" t="s">
        <v>707</v>
      </c>
      <c r="E618" s="16">
        <v>2009.0</v>
      </c>
      <c r="F618" s="16">
        <v>49.3366</v>
      </c>
      <c r="G618" s="16">
        <v>10.305</v>
      </c>
      <c r="H618" s="15"/>
      <c r="I618" s="15"/>
    </row>
    <row r="619">
      <c r="A619" s="18">
        <v>45665.0</v>
      </c>
      <c r="B619" s="16" t="s">
        <v>1410</v>
      </c>
      <c r="C619" s="16">
        <v>1.0</v>
      </c>
      <c r="D619" s="16" t="s">
        <v>707</v>
      </c>
      <c r="E619" s="16">
        <v>2009.0</v>
      </c>
      <c r="F619" s="16">
        <v>50.4281</v>
      </c>
      <c r="G619" s="16">
        <v>8.6905</v>
      </c>
      <c r="H619" s="15"/>
      <c r="I619" s="15"/>
    </row>
    <row r="620">
      <c r="A620" s="18">
        <v>45665.0</v>
      </c>
      <c r="B620" s="16" t="s">
        <v>1411</v>
      </c>
      <c r="C620" s="16" t="s">
        <v>1267</v>
      </c>
      <c r="D620" s="16" t="s">
        <v>707</v>
      </c>
      <c r="E620" s="16">
        <v>2009.0</v>
      </c>
      <c r="F620" s="16">
        <v>54.1989</v>
      </c>
      <c r="G620" s="16">
        <v>10.9536</v>
      </c>
      <c r="H620" s="15"/>
      <c r="I620" s="15"/>
    </row>
    <row r="621">
      <c r="A621" s="18">
        <v>45665.0</v>
      </c>
      <c r="B621" s="16" t="s">
        <v>1412</v>
      </c>
      <c r="C621" s="16" t="s">
        <v>1090</v>
      </c>
      <c r="D621" s="16" t="s">
        <v>707</v>
      </c>
      <c r="E621" s="16">
        <v>2009.0</v>
      </c>
      <c r="F621" s="16">
        <v>47.9723</v>
      </c>
      <c r="G621" s="16">
        <v>11.0303</v>
      </c>
      <c r="H621" s="15"/>
      <c r="I621" s="15"/>
    </row>
    <row r="622">
      <c r="A622" s="18">
        <v>45665.0</v>
      </c>
      <c r="B622" s="16" t="s">
        <v>1413</v>
      </c>
      <c r="C622" s="16">
        <v>1.0</v>
      </c>
      <c r="D622" s="16" t="s">
        <v>707</v>
      </c>
      <c r="E622" s="16">
        <v>2009.0</v>
      </c>
      <c r="F622" s="16">
        <v>51.1297</v>
      </c>
      <c r="G622" s="16">
        <v>6.7994</v>
      </c>
      <c r="H622" s="15"/>
      <c r="I622" s="15"/>
    </row>
    <row r="623">
      <c r="A623" s="18">
        <v>45665.0</v>
      </c>
      <c r="B623" s="16" t="s">
        <v>1414</v>
      </c>
      <c r="C623" s="16" t="s">
        <v>1055</v>
      </c>
      <c r="D623" s="16" t="s">
        <v>707</v>
      </c>
      <c r="E623" s="16">
        <v>2009.0</v>
      </c>
      <c r="F623" s="16">
        <v>51.8464</v>
      </c>
      <c r="G623" s="16">
        <v>7.2896</v>
      </c>
      <c r="H623" s="15"/>
      <c r="I623" s="15"/>
    </row>
    <row r="624">
      <c r="A624" s="18">
        <v>45665.0</v>
      </c>
      <c r="B624" s="16" t="s">
        <v>1415</v>
      </c>
      <c r="C624" s="16" t="s">
        <v>1059</v>
      </c>
      <c r="D624" s="16" t="s">
        <v>707</v>
      </c>
      <c r="E624" s="16">
        <v>2009.0</v>
      </c>
      <c r="F624" s="16">
        <v>49.4455</v>
      </c>
      <c r="G624" s="16">
        <v>12.2279</v>
      </c>
      <c r="H624" s="15"/>
      <c r="I624" s="15"/>
    </row>
    <row r="625">
      <c r="A625" s="18">
        <v>45665.0</v>
      </c>
      <c r="B625" s="16" t="s">
        <v>1416</v>
      </c>
      <c r="C625" s="16" t="s">
        <v>1037</v>
      </c>
      <c r="D625" s="16" t="s">
        <v>707</v>
      </c>
      <c r="E625" s="16">
        <v>2009.0</v>
      </c>
      <c r="F625" s="16">
        <v>48.716</v>
      </c>
      <c r="G625" s="16">
        <v>13.2554</v>
      </c>
      <c r="H625" s="15"/>
      <c r="I625" s="15"/>
    </row>
    <row r="626">
      <c r="A626" s="18">
        <v>45665.0</v>
      </c>
      <c r="B626" s="16" t="s">
        <v>1417</v>
      </c>
      <c r="C626" s="16" t="s">
        <v>1055</v>
      </c>
      <c r="D626" s="16" t="s">
        <v>707</v>
      </c>
      <c r="E626" s="16">
        <v>2009.0</v>
      </c>
      <c r="F626" s="16">
        <v>51.3936</v>
      </c>
      <c r="G626" s="16">
        <v>9.5427</v>
      </c>
      <c r="H626" s="15"/>
      <c r="I626" s="15"/>
    </row>
    <row r="627">
      <c r="A627" s="18">
        <v>45665.0</v>
      </c>
      <c r="B627" s="16" t="s">
        <v>1418</v>
      </c>
      <c r="C627" s="16" t="s">
        <v>1085</v>
      </c>
      <c r="D627" s="16" t="s">
        <v>707</v>
      </c>
      <c r="E627" s="16">
        <v>2009.0</v>
      </c>
      <c r="F627" s="16">
        <v>51.3941</v>
      </c>
      <c r="G627" s="16">
        <v>9.54</v>
      </c>
      <c r="H627" s="15"/>
      <c r="I627" s="15"/>
    </row>
    <row r="628">
      <c r="A628" s="18">
        <v>45665.0</v>
      </c>
      <c r="B628" s="16" t="s">
        <v>1419</v>
      </c>
      <c r="C628" s="16" t="s">
        <v>948</v>
      </c>
      <c r="D628" s="16" t="s">
        <v>707</v>
      </c>
      <c r="E628" s="16">
        <v>2009.0</v>
      </c>
      <c r="F628" s="16">
        <v>49.0909</v>
      </c>
      <c r="G628" s="16">
        <v>11.3307</v>
      </c>
      <c r="H628" s="15"/>
      <c r="I628" s="15"/>
    </row>
    <row r="629">
      <c r="A629" s="18">
        <v>45665.0</v>
      </c>
      <c r="B629" s="16" t="s">
        <v>1420</v>
      </c>
      <c r="C629" s="16">
        <v>2.0</v>
      </c>
      <c r="D629" s="16" t="s">
        <v>707</v>
      </c>
      <c r="E629" s="16">
        <v>2009.0</v>
      </c>
      <c r="F629" s="16">
        <v>49.0128</v>
      </c>
      <c r="G629" s="16">
        <v>11.2811</v>
      </c>
      <c r="H629" s="15"/>
      <c r="I629" s="15"/>
    </row>
    <row r="630">
      <c r="A630" s="18">
        <v>45665.0</v>
      </c>
      <c r="B630" s="16" t="s">
        <v>1421</v>
      </c>
      <c r="C630" s="16" t="s">
        <v>1007</v>
      </c>
      <c r="D630" s="16" t="s">
        <v>707</v>
      </c>
      <c r="E630" s="16">
        <v>2009.0</v>
      </c>
      <c r="F630" s="16">
        <v>49.0105</v>
      </c>
      <c r="G630" s="16">
        <v>11.279</v>
      </c>
      <c r="H630" s="15"/>
      <c r="I630" s="15"/>
    </row>
    <row r="631">
      <c r="A631" s="18">
        <v>45665.0</v>
      </c>
      <c r="B631" s="16" t="s">
        <v>1422</v>
      </c>
      <c r="C631" s="16" t="s">
        <v>1059</v>
      </c>
      <c r="D631" s="16" t="s">
        <v>707</v>
      </c>
      <c r="E631" s="16">
        <v>2009.0</v>
      </c>
      <c r="F631" s="16">
        <v>48.7616</v>
      </c>
      <c r="G631" s="16">
        <v>12.3103</v>
      </c>
      <c r="H631" s="15"/>
      <c r="I631" s="15"/>
    </row>
    <row r="632">
      <c r="A632" s="18">
        <v>45665.0</v>
      </c>
      <c r="B632" s="16" t="s">
        <v>1423</v>
      </c>
      <c r="C632" s="16" t="s">
        <v>1039</v>
      </c>
      <c r="D632" s="16" t="s">
        <v>707</v>
      </c>
      <c r="E632" s="16">
        <v>2009.0</v>
      </c>
      <c r="F632" s="16">
        <v>48.7936</v>
      </c>
      <c r="G632" s="16">
        <v>12.3876</v>
      </c>
      <c r="H632" s="15"/>
      <c r="I632" s="15"/>
    </row>
    <row r="633">
      <c r="A633" s="18">
        <v>45665.0</v>
      </c>
      <c r="B633" s="16" t="s">
        <v>1424</v>
      </c>
      <c r="C633" s="16" t="s">
        <v>1167</v>
      </c>
      <c r="D633" s="16" t="s">
        <v>707</v>
      </c>
      <c r="E633" s="16">
        <v>2009.0</v>
      </c>
      <c r="F633" s="16">
        <v>50.4475</v>
      </c>
      <c r="G633" s="16">
        <v>8.8962</v>
      </c>
      <c r="H633" s="15"/>
      <c r="I633" s="15"/>
    </row>
    <row r="634">
      <c r="A634" s="18">
        <v>45665.0</v>
      </c>
      <c r="B634" s="16" t="s">
        <v>1425</v>
      </c>
      <c r="C634" s="16" t="s">
        <v>1039</v>
      </c>
      <c r="D634" s="16" t="s">
        <v>707</v>
      </c>
      <c r="E634" s="16">
        <v>2009.0</v>
      </c>
      <c r="F634" s="16">
        <v>49.287</v>
      </c>
      <c r="G634" s="16">
        <v>7.5806</v>
      </c>
      <c r="H634" s="15"/>
      <c r="I634" s="15"/>
    </row>
    <row r="635">
      <c r="A635" s="18">
        <v>45665.0</v>
      </c>
      <c r="B635" s="16" t="s">
        <v>1426</v>
      </c>
      <c r="C635" s="16" t="s">
        <v>1037</v>
      </c>
      <c r="D635" s="16" t="s">
        <v>707</v>
      </c>
      <c r="E635" s="16">
        <v>2009.0</v>
      </c>
      <c r="F635" s="16">
        <v>49.3817</v>
      </c>
      <c r="G635" s="16">
        <v>10.7269</v>
      </c>
      <c r="H635" s="15"/>
      <c r="I635" s="15"/>
    </row>
    <row r="636">
      <c r="A636" s="18">
        <v>45665.0</v>
      </c>
      <c r="B636" s="16" t="s">
        <v>1427</v>
      </c>
      <c r="C636" s="16">
        <v>1.0</v>
      </c>
      <c r="D636" s="16" t="s">
        <v>707</v>
      </c>
      <c r="E636" s="16">
        <v>2009.0</v>
      </c>
      <c r="F636" s="16">
        <v>49.5551</v>
      </c>
      <c r="G636" s="16">
        <v>8.1959</v>
      </c>
      <c r="H636" s="15"/>
      <c r="I636" s="15"/>
    </row>
    <row r="637">
      <c r="A637" s="18">
        <v>45665.0</v>
      </c>
      <c r="B637" s="16" t="s">
        <v>1428</v>
      </c>
      <c r="C637" s="16" t="s">
        <v>984</v>
      </c>
      <c r="D637" s="16" t="s">
        <v>707</v>
      </c>
      <c r="E637" s="16">
        <v>2009.0</v>
      </c>
      <c r="F637" s="16">
        <v>48.2285</v>
      </c>
      <c r="G637" s="16">
        <v>10.3422</v>
      </c>
      <c r="H637" s="15"/>
      <c r="I637" s="15"/>
    </row>
    <row r="638">
      <c r="A638" s="18">
        <v>45665.0</v>
      </c>
      <c r="B638" s="16" t="s">
        <v>1429</v>
      </c>
      <c r="C638" s="16">
        <v>2.0</v>
      </c>
      <c r="D638" s="16" t="s">
        <v>707</v>
      </c>
      <c r="E638" s="16">
        <v>2009.0</v>
      </c>
      <c r="F638" s="16">
        <v>48.2295</v>
      </c>
      <c r="G638" s="16">
        <v>10.3445</v>
      </c>
      <c r="H638" s="15"/>
      <c r="I638" s="15"/>
    </row>
    <row r="639">
      <c r="A639" s="18">
        <v>45665.0</v>
      </c>
      <c r="B639" s="16" t="s">
        <v>1430</v>
      </c>
      <c r="C639" s="16" t="s">
        <v>1149</v>
      </c>
      <c r="D639" s="16" t="s">
        <v>707</v>
      </c>
      <c r="E639" s="16">
        <v>2009.0</v>
      </c>
      <c r="F639" s="16">
        <v>48.5552</v>
      </c>
      <c r="G639" s="16">
        <v>13.0229</v>
      </c>
      <c r="H639" s="15"/>
      <c r="I639" s="15"/>
    </row>
    <row r="640">
      <c r="A640" s="18">
        <v>45665.0</v>
      </c>
      <c r="B640" s="16" t="s">
        <v>1431</v>
      </c>
      <c r="C640" s="16" t="s">
        <v>1432</v>
      </c>
      <c r="D640" s="16" t="s">
        <v>707</v>
      </c>
      <c r="E640" s="16">
        <v>2009.0</v>
      </c>
      <c r="F640" s="16">
        <v>48.5389</v>
      </c>
      <c r="G640" s="16">
        <v>10.4288</v>
      </c>
      <c r="H640" s="15"/>
      <c r="I640" s="15"/>
    </row>
    <row r="641">
      <c r="A641" s="18">
        <v>45665.0</v>
      </c>
      <c r="B641" s="16" t="s">
        <v>1433</v>
      </c>
      <c r="C641" s="16" t="s">
        <v>1004</v>
      </c>
      <c r="D641" s="16" t="s">
        <v>707</v>
      </c>
      <c r="E641" s="16">
        <v>2009.0</v>
      </c>
      <c r="F641" s="16">
        <v>49.8006</v>
      </c>
      <c r="G641" s="16">
        <v>6.872</v>
      </c>
      <c r="H641" s="15"/>
      <c r="I641" s="15"/>
    </row>
    <row r="642">
      <c r="A642" s="18">
        <v>45665.0</v>
      </c>
      <c r="B642" s="16" t="s">
        <v>1434</v>
      </c>
      <c r="C642" s="16" t="s">
        <v>942</v>
      </c>
      <c r="D642" s="16" t="s">
        <v>707</v>
      </c>
      <c r="E642" s="16">
        <v>2009.0</v>
      </c>
      <c r="F642" s="16">
        <v>48.6976</v>
      </c>
      <c r="G642" s="16">
        <v>12.0533</v>
      </c>
      <c r="H642" s="15"/>
      <c r="I642" s="15"/>
    </row>
    <row r="643">
      <c r="A643" s="18">
        <v>45665.0</v>
      </c>
      <c r="B643" s="16" t="s">
        <v>1435</v>
      </c>
      <c r="C643" s="16" t="s">
        <v>1436</v>
      </c>
      <c r="D643" s="16" t="s">
        <v>707</v>
      </c>
      <c r="E643" s="16">
        <v>2009.0</v>
      </c>
      <c r="F643" s="16">
        <v>48.3122</v>
      </c>
      <c r="G643" s="16">
        <v>11.1317</v>
      </c>
      <c r="H643" s="15"/>
      <c r="I643" s="15"/>
    </row>
    <row r="644">
      <c r="A644" s="18">
        <v>45665.0</v>
      </c>
      <c r="B644" s="16" t="s">
        <v>1437</v>
      </c>
      <c r="C644" s="16" t="s">
        <v>946</v>
      </c>
      <c r="D644" s="16" t="s">
        <v>707</v>
      </c>
      <c r="E644" s="16">
        <v>2009.0</v>
      </c>
      <c r="F644" s="16">
        <v>48.3842</v>
      </c>
      <c r="G644" s="16">
        <v>12.9845</v>
      </c>
      <c r="H644" s="15"/>
      <c r="I644" s="15"/>
    </row>
    <row r="645">
      <c r="A645" s="18">
        <v>45665.0</v>
      </c>
      <c r="B645" s="16" t="s">
        <v>1438</v>
      </c>
      <c r="C645" s="16" t="s">
        <v>946</v>
      </c>
      <c r="D645" s="16" t="s">
        <v>707</v>
      </c>
      <c r="E645" s="16">
        <v>2009.0</v>
      </c>
      <c r="F645" s="16">
        <v>49.2543</v>
      </c>
      <c r="G645" s="16">
        <v>9.0516</v>
      </c>
      <c r="H645" s="15"/>
      <c r="I645" s="15"/>
    </row>
    <row r="646">
      <c r="A646" s="18">
        <v>45665.0</v>
      </c>
      <c r="B646" s="16" t="s">
        <v>1439</v>
      </c>
      <c r="C646" s="16" t="s">
        <v>1039</v>
      </c>
      <c r="D646" s="16" t="s">
        <v>707</v>
      </c>
      <c r="E646" s="16">
        <v>2009.0</v>
      </c>
      <c r="F646" s="16">
        <v>49.4611</v>
      </c>
      <c r="G646" s="16">
        <v>10.4746</v>
      </c>
      <c r="H646" s="15"/>
      <c r="I646" s="15"/>
    </row>
    <row r="647">
      <c r="A647" s="18">
        <v>45665.0</v>
      </c>
      <c r="B647" s="16" t="s">
        <v>1440</v>
      </c>
      <c r="C647" s="16" t="s">
        <v>969</v>
      </c>
      <c r="D647" s="16" t="s">
        <v>707</v>
      </c>
      <c r="E647" s="16">
        <v>2009.0</v>
      </c>
      <c r="F647" s="16">
        <v>48.6621</v>
      </c>
      <c r="G647" s="16">
        <v>11.9387</v>
      </c>
      <c r="H647" s="15"/>
      <c r="I647" s="15"/>
    </row>
    <row r="648">
      <c r="A648" s="18">
        <v>45665.0</v>
      </c>
      <c r="B648" s="16" t="s">
        <v>1441</v>
      </c>
      <c r="C648" s="16" t="s">
        <v>969</v>
      </c>
      <c r="D648" s="16" t="s">
        <v>707</v>
      </c>
      <c r="E648" s="16">
        <v>2009.0</v>
      </c>
      <c r="F648" s="16">
        <v>48.5255</v>
      </c>
      <c r="G648" s="16">
        <v>9.8745</v>
      </c>
      <c r="H648" s="15"/>
      <c r="I648" s="15"/>
    </row>
    <row r="649">
      <c r="A649" s="18">
        <v>45665.0</v>
      </c>
      <c r="B649" s="16" t="s">
        <v>1442</v>
      </c>
      <c r="C649" s="16" t="s">
        <v>1055</v>
      </c>
      <c r="D649" s="16" t="s">
        <v>707</v>
      </c>
      <c r="E649" s="16">
        <v>2009.0</v>
      </c>
      <c r="F649" s="16">
        <v>48.4027</v>
      </c>
      <c r="G649" s="16">
        <v>13.1901</v>
      </c>
      <c r="H649" s="15"/>
      <c r="I649" s="15"/>
    </row>
    <row r="650">
      <c r="A650" s="18">
        <v>45665.0</v>
      </c>
      <c r="B650" s="16" t="s">
        <v>1443</v>
      </c>
      <c r="C650" s="16">
        <v>1.0</v>
      </c>
      <c r="D650" s="16" t="s">
        <v>707</v>
      </c>
      <c r="E650" s="16">
        <v>2009.0</v>
      </c>
      <c r="F650" s="16">
        <v>50.7798</v>
      </c>
      <c r="G650" s="16">
        <v>7.2359</v>
      </c>
      <c r="H650" s="15"/>
      <c r="I650" s="15"/>
    </row>
    <row r="651">
      <c r="A651" s="18">
        <v>45665.0</v>
      </c>
      <c r="B651" s="16" t="s">
        <v>1444</v>
      </c>
      <c r="C651" s="16" t="s">
        <v>942</v>
      </c>
      <c r="D651" s="16" t="s">
        <v>707</v>
      </c>
      <c r="E651" s="16">
        <v>2009.0</v>
      </c>
      <c r="F651" s="16">
        <v>49.33</v>
      </c>
      <c r="G651" s="16">
        <v>12.0001</v>
      </c>
      <c r="H651" s="15"/>
      <c r="I651" s="15"/>
    </row>
    <row r="652">
      <c r="A652" s="18">
        <v>45665.0</v>
      </c>
      <c r="B652" s="16" t="s">
        <v>1445</v>
      </c>
      <c r="C652" s="16">
        <v>4.0</v>
      </c>
      <c r="D652" s="16" t="s">
        <v>707</v>
      </c>
      <c r="E652" s="16">
        <v>2009.0</v>
      </c>
      <c r="F652" s="16">
        <v>48.7651</v>
      </c>
      <c r="G652" s="16">
        <v>12.5819</v>
      </c>
      <c r="H652" s="15"/>
      <c r="I652" s="15"/>
    </row>
    <row r="653">
      <c r="A653" s="18">
        <v>45665.0</v>
      </c>
      <c r="B653" s="16" t="s">
        <v>1446</v>
      </c>
      <c r="C653" s="16" t="s">
        <v>1267</v>
      </c>
      <c r="D653" s="16" t="s">
        <v>707</v>
      </c>
      <c r="E653" s="16">
        <v>2009.0</v>
      </c>
      <c r="F653" s="16">
        <v>54.0835</v>
      </c>
      <c r="G653" s="16">
        <v>9.0969</v>
      </c>
      <c r="H653" s="15"/>
      <c r="I653" s="15"/>
    </row>
    <row r="654">
      <c r="A654" s="18">
        <v>45665.0</v>
      </c>
      <c r="B654" s="16" t="s">
        <v>1447</v>
      </c>
      <c r="C654" s="16" t="s">
        <v>1172</v>
      </c>
      <c r="D654" s="16" t="s">
        <v>707</v>
      </c>
      <c r="E654" s="16">
        <v>2009.0</v>
      </c>
      <c r="F654" s="16">
        <v>54.7298</v>
      </c>
      <c r="G654" s="16">
        <v>9.1023</v>
      </c>
      <c r="H654" s="15"/>
      <c r="I654" s="15"/>
    </row>
    <row r="655">
      <c r="A655" s="18">
        <v>45665.0</v>
      </c>
      <c r="B655" s="16" t="s">
        <v>1448</v>
      </c>
      <c r="C655" s="16" t="s">
        <v>971</v>
      </c>
      <c r="D655" s="16" t="s">
        <v>707</v>
      </c>
      <c r="E655" s="16">
        <v>2009.0</v>
      </c>
      <c r="F655" s="16">
        <v>47.9487</v>
      </c>
      <c r="G655" s="16">
        <v>10.7637</v>
      </c>
      <c r="H655" s="15"/>
      <c r="I655" s="15"/>
    </row>
    <row r="656">
      <c r="A656" s="18">
        <v>45665.0</v>
      </c>
      <c r="B656" s="16" t="s">
        <v>1449</v>
      </c>
      <c r="C656" s="16" t="s">
        <v>942</v>
      </c>
      <c r="D656" s="16" t="s">
        <v>707</v>
      </c>
      <c r="E656" s="16">
        <v>2009.0</v>
      </c>
      <c r="F656" s="16">
        <v>48.6346</v>
      </c>
      <c r="G656" s="16">
        <v>13.2344</v>
      </c>
      <c r="H656" s="15"/>
      <c r="I656" s="15"/>
    </row>
    <row r="657">
      <c r="A657" s="18">
        <v>45665.0</v>
      </c>
      <c r="B657" s="16" t="s">
        <v>1450</v>
      </c>
      <c r="C657" s="16" t="s">
        <v>959</v>
      </c>
      <c r="D657" s="16" t="s">
        <v>707</v>
      </c>
      <c r="E657" s="16">
        <v>2009.0</v>
      </c>
      <c r="F657" s="16">
        <v>48.7964</v>
      </c>
      <c r="G657" s="16">
        <v>12.1735</v>
      </c>
      <c r="H657" s="15"/>
      <c r="I657" s="15"/>
    </row>
    <row r="658">
      <c r="A658" s="18">
        <v>45665.0</v>
      </c>
      <c r="B658" s="16" t="s">
        <v>1451</v>
      </c>
      <c r="C658" s="16" t="s">
        <v>1055</v>
      </c>
      <c r="D658" s="16" t="s">
        <v>707</v>
      </c>
      <c r="E658" s="16">
        <v>2009.0</v>
      </c>
      <c r="F658" s="16">
        <v>53.365</v>
      </c>
      <c r="G658" s="16">
        <v>11.8793</v>
      </c>
      <c r="H658" s="15"/>
      <c r="I658" s="15"/>
    </row>
    <row r="659">
      <c r="A659" s="18">
        <v>45665.0</v>
      </c>
      <c r="B659" s="16" t="s">
        <v>1452</v>
      </c>
      <c r="C659" s="16">
        <v>2.0</v>
      </c>
      <c r="D659" s="16" t="s">
        <v>707</v>
      </c>
      <c r="E659" s="16">
        <v>2009.0</v>
      </c>
      <c r="F659" s="16">
        <v>52.0624</v>
      </c>
      <c r="G659" s="16">
        <v>7.932</v>
      </c>
      <c r="H659" s="15"/>
      <c r="I659" s="15"/>
    </row>
    <row r="660">
      <c r="A660" s="18">
        <v>45665.0</v>
      </c>
      <c r="B660" s="16" t="s">
        <v>710</v>
      </c>
      <c r="C660" s="16" t="s">
        <v>969</v>
      </c>
      <c r="D660" s="16" t="s">
        <v>707</v>
      </c>
      <c r="E660" s="16">
        <v>2009.0</v>
      </c>
      <c r="F660" s="16">
        <v>51.8717</v>
      </c>
      <c r="G660" s="16">
        <v>14.389</v>
      </c>
      <c r="H660" s="15"/>
      <c r="I660" s="15"/>
    </row>
    <row r="661">
      <c r="A661" s="18">
        <v>45665.0</v>
      </c>
      <c r="B661" s="16" t="s">
        <v>1453</v>
      </c>
      <c r="C661" s="16" t="s">
        <v>1454</v>
      </c>
      <c r="D661" s="16" t="s">
        <v>707</v>
      </c>
      <c r="E661" s="16">
        <v>2009.0</v>
      </c>
      <c r="F661" s="16">
        <v>53.9265</v>
      </c>
      <c r="G661" s="16">
        <v>13.2218</v>
      </c>
      <c r="H661" s="15"/>
      <c r="I661" s="15"/>
    </row>
    <row r="662">
      <c r="A662" s="18">
        <v>45665.0</v>
      </c>
      <c r="B662" s="16" t="s">
        <v>1455</v>
      </c>
      <c r="C662" s="16">
        <v>3.0</v>
      </c>
      <c r="D662" s="16" t="s">
        <v>707</v>
      </c>
      <c r="E662" s="16">
        <v>2009.0</v>
      </c>
      <c r="F662" s="16">
        <v>48.1151</v>
      </c>
      <c r="G662" s="16">
        <v>11.0847</v>
      </c>
      <c r="H662" s="15"/>
      <c r="I662" s="15"/>
    </row>
    <row r="663">
      <c r="A663" s="18">
        <v>45665.0</v>
      </c>
      <c r="B663" s="16" t="s">
        <v>1456</v>
      </c>
      <c r="C663" s="16">
        <v>1.0</v>
      </c>
      <c r="D663" s="16" t="s">
        <v>707</v>
      </c>
      <c r="E663" s="16">
        <v>2009.0</v>
      </c>
      <c r="F663" s="16">
        <v>51.053</v>
      </c>
      <c r="G663" s="16">
        <v>11.13</v>
      </c>
      <c r="H663" s="15"/>
      <c r="I663" s="15"/>
    </row>
    <row r="664">
      <c r="A664" s="18">
        <v>45665.0</v>
      </c>
      <c r="B664" s="16" t="s">
        <v>1457</v>
      </c>
      <c r="C664" s="16">
        <v>1.0</v>
      </c>
      <c r="D664" s="16" t="s">
        <v>707</v>
      </c>
      <c r="E664" s="16">
        <v>2009.0</v>
      </c>
      <c r="F664" s="16">
        <v>51.2511</v>
      </c>
      <c r="G664" s="16">
        <v>9.4318</v>
      </c>
      <c r="H664" s="15"/>
      <c r="I664" s="15"/>
    </row>
    <row r="665">
      <c r="A665" s="18">
        <v>45665.0</v>
      </c>
      <c r="B665" s="16" t="s">
        <v>1458</v>
      </c>
      <c r="C665" s="16" t="s">
        <v>961</v>
      </c>
      <c r="D665" s="16" t="s">
        <v>707</v>
      </c>
      <c r="E665" s="16">
        <v>2009.0</v>
      </c>
      <c r="F665" s="16">
        <v>49.7928</v>
      </c>
      <c r="G665" s="16">
        <v>12.2069</v>
      </c>
      <c r="H665" s="15"/>
      <c r="I665" s="15"/>
    </row>
    <row r="666">
      <c r="A666" s="18">
        <v>45665.0</v>
      </c>
      <c r="B666" s="16" t="s">
        <v>1459</v>
      </c>
      <c r="C666" s="16" t="s">
        <v>1059</v>
      </c>
      <c r="D666" s="16" t="s">
        <v>707</v>
      </c>
      <c r="E666" s="16">
        <v>2009.0</v>
      </c>
      <c r="F666" s="16">
        <v>51.9167</v>
      </c>
      <c r="G666" s="16">
        <v>12.7657</v>
      </c>
      <c r="H666" s="15"/>
      <c r="I666" s="15"/>
    </row>
    <row r="667">
      <c r="A667" s="18">
        <v>45665.0</v>
      </c>
      <c r="B667" s="16" t="s">
        <v>1460</v>
      </c>
      <c r="C667" s="16" t="s">
        <v>1461</v>
      </c>
      <c r="D667" s="16" t="s">
        <v>707</v>
      </c>
      <c r="E667" s="16">
        <v>2009.0</v>
      </c>
      <c r="F667" s="16">
        <v>51.3526</v>
      </c>
      <c r="G667" s="16">
        <v>13.3289</v>
      </c>
      <c r="H667" s="15"/>
      <c r="I667" s="15"/>
    </row>
    <row r="668">
      <c r="A668" s="18">
        <v>45665.0</v>
      </c>
      <c r="B668" s="16" t="s">
        <v>1462</v>
      </c>
      <c r="C668" s="16" t="s">
        <v>969</v>
      </c>
      <c r="D668" s="16" t="s">
        <v>707</v>
      </c>
      <c r="E668" s="16">
        <v>2009.0</v>
      </c>
      <c r="F668" s="16">
        <v>52.3245</v>
      </c>
      <c r="G668" s="16">
        <v>10.4627</v>
      </c>
      <c r="H668" s="15"/>
      <c r="I668" s="15"/>
    </row>
    <row r="669">
      <c r="A669" s="18">
        <v>45665.0</v>
      </c>
      <c r="B669" s="16" t="s">
        <v>1463</v>
      </c>
      <c r="C669" s="16">
        <v>1.0</v>
      </c>
      <c r="D669" s="16" t="s">
        <v>707</v>
      </c>
      <c r="E669" s="16">
        <v>2009.0</v>
      </c>
      <c r="F669" s="16">
        <v>50.8991</v>
      </c>
      <c r="G669" s="16">
        <v>11.9678</v>
      </c>
      <c r="H669" s="15"/>
      <c r="I669" s="15"/>
    </row>
    <row r="670">
      <c r="A670" s="18">
        <v>45001.0</v>
      </c>
      <c r="B670" s="16" t="s">
        <v>1464</v>
      </c>
      <c r="C670" s="16" t="s">
        <v>1039</v>
      </c>
      <c r="D670" s="16" t="s">
        <v>707</v>
      </c>
      <c r="E670" s="16">
        <v>2010.0</v>
      </c>
      <c r="F670" s="16">
        <v>52.8681</v>
      </c>
      <c r="G670" s="16">
        <v>9.6357</v>
      </c>
      <c r="H670" s="15"/>
      <c r="I670" s="15"/>
    </row>
    <row r="671">
      <c r="A671" s="18">
        <v>45665.0</v>
      </c>
      <c r="B671" s="16" t="s">
        <v>1465</v>
      </c>
      <c r="C671" s="16">
        <v>2.0</v>
      </c>
      <c r="D671" s="16" t="s">
        <v>707</v>
      </c>
      <c r="E671" s="16">
        <v>2010.0</v>
      </c>
      <c r="F671" s="16">
        <v>48.9519</v>
      </c>
      <c r="G671" s="16">
        <v>9.0399</v>
      </c>
      <c r="H671" s="15"/>
      <c r="I671" s="15"/>
    </row>
    <row r="672">
      <c r="A672" s="18">
        <v>45665.0</v>
      </c>
      <c r="B672" s="16" t="s">
        <v>1466</v>
      </c>
      <c r="C672" s="16" t="s">
        <v>971</v>
      </c>
      <c r="D672" s="16" t="s">
        <v>707</v>
      </c>
      <c r="E672" s="16">
        <v>2010.0</v>
      </c>
      <c r="F672" s="16">
        <v>50.0405</v>
      </c>
      <c r="G672" s="16">
        <v>6.5831</v>
      </c>
      <c r="H672" s="15"/>
      <c r="I672" s="15"/>
    </row>
    <row r="673">
      <c r="A673" s="18">
        <v>45665.0</v>
      </c>
      <c r="B673" s="16" t="s">
        <v>1467</v>
      </c>
      <c r="C673" s="16" t="s">
        <v>971</v>
      </c>
      <c r="D673" s="16" t="s">
        <v>707</v>
      </c>
      <c r="E673" s="16">
        <v>2010.0</v>
      </c>
      <c r="F673" s="16">
        <v>48.5849</v>
      </c>
      <c r="G673" s="16">
        <v>13.133</v>
      </c>
      <c r="H673" s="15"/>
      <c r="I673" s="15"/>
    </row>
    <row r="674">
      <c r="A674" s="18">
        <v>45665.0</v>
      </c>
      <c r="B674" s="16" t="s">
        <v>1468</v>
      </c>
      <c r="C674" s="16" t="s">
        <v>1055</v>
      </c>
      <c r="D674" s="16" t="s">
        <v>707</v>
      </c>
      <c r="E674" s="16">
        <v>2010.0</v>
      </c>
      <c r="F674" s="16">
        <v>48.5769</v>
      </c>
      <c r="G674" s="16">
        <v>12.2741</v>
      </c>
      <c r="H674" s="15"/>
      <c r="I674" s="15"/>
    </row>
    <row r="675">
      <c r="A675" s="18">
        <v>45665.0</v>
      </c>
      <c r="B675" s="16" t="s">
        <v>1469</v>
      </c>
      <c r="C675" s="16">
        <v>1.0</v>
      </c>
      <c r="D675" s="16" t="s">
        <v>707</v>
      </c>
      <c r="E675" s="16">
        <v>2010.0</v>
      </c>
      <c r="F675" s="16">
        <v>51.2133</v>
      </c>
      <c r="G675" s="16">
        <v>12.6538</v>
      </c>
      <c r="H675" s="15"/>
      <c r="I675" s="15"/>
    </row>
    <row r="676">
      <c r="A676" s="18">
        <v>45665.0</v>
      </c>
      <c r="B676" s="16" t="s">
        <v>1470</v>
      </c>
      <c r="C676" s="16">
        <v>1.0</v>
      </c>
      <c r="D676" s="16" t="s">
        <v>707</v>
      </c>
      <c r="E676" s="16">
        <v>2010.0</v>
      </c>
      <c r="F676" s="16">
        <v>52.4547</v>
      </c>
      <c r="G676" s="16">
        <v>9.1223</v>
      </c>
      <c r="H676" s="15"/>
      <c r="I676" s="15"/>
    </row>
    <row r="677">
      <c r="A677" s="18">
        <v>45665.0</v>
      </c>
      <c r="B677" s="16" t="s">
        <v>1471</v>
      </c>
      <c r="C677" s="16" t="s">
        <v>969</v>
      </c>
      <c r="D677" s="16" t="s">
        <v>707</v>
      </c>
      <c r="E677" s="16">
        <v>2010.0</v>
      </c>
      <c r="F677" s="16">
        <v>49.7178</v>
      </c>
      <c r="G677" s="16">
        <v>8.926</v>
      </c>
      <c r="H677" s="15"/>
      <c r="I677" s="15"/>
    </row>
    <row r="678">
      <c r="A678" s="18">
        <v>45665.0</v>
      </c>
      <c r="B678" s="16" t="s">
        <v>1472</v>
      </c>
      <c r="C678" s="16" t="s">
        <v>948</v>
      </c>
      <c r="D678" s="16" t="s">
        <v>707</v>
      </c>
      <c r="E678" s="16">
        <v>2010.0</v>
      </c>
      <c r="F678" s="16">
        <v>49.5612</v>
      </c>
      <c r="G678" s="16">
        <v>8.9554</v>
      </c>
      <c r="H678" s="15"/>
      <c r="I678" s="15"/>
    </row>
    <row r="679">
      <c r="A679" s="18">
        <v>45665.0</v>
      </c>
      <c r="B679" s="16" t="s">
        <v>1473</v>
      </c>
      <c r="C679" s="16">
        <v>1.0</v>
      </c>
      <c r="D679" s="16" t="s">
        <v>707</v>
      </c>
      <c r="E679" s="16">
        <v>2010.0</v>
      </c>
      <c r="F679" s="16">
        <v>51.9373</v>
      </c>
      <c r="G679" s="16">
        <v>10.8182</v>
      </c>
      <c r="H679" s="15"/>
      <c r="I679" s="15"/>
    </row>
    <row r="680">
      <c r="A680" s="18">
        <v>45665.0</v>
      </c>
      <c r="B680" s="16" t="s">
        <v>1474</v>
      </c>
      <c r="C680" s="16" t="s">
        <v>1475</v>
      </c>
      <c r="D680" s="16" t="s">
        <v>707</v>
      </c>
      <c r="E680" s="16">
        <v>2010.0</v>
      </c>
      <c r="F680" s="16">
        <v>48.39</v>
      </c>
      <c r="G680" s="16">
        <v>12.1201</v>
      </c>
      <c r="H680" s="15"/>
      <c r="I680" s="15"/>
    </row>
    <row r="681">
      <c r="A681" s="18">
        <v>45665.0</v>
      </c>
      <c r="B681" s="16" t="s">
        <v>1476</v>
      </c>
      <c r="C681" s="16">
        <v>1.0</v>
      </c>
      <c r="D681" s="16" t="s">
        <v>707</v>
      </c>
      <c r="E681" s="16">
        <v>2010.0</v>
      </c>
      <c r="F681" s="16">
        <v>47.7423</v>
      </c>
      <c r="G681" s="16">
        <v>8.9479</v>
      </c>
      <c r="H681" s="15"/>
      <c r="I681" s="15"/>
    </row>
    <row r="682">
      <c r="A682" s="18">
        <v>45665.0</v>
      </c>
      <c r="B682" s="16" t="s">
        <v>1477</v>
      </c>
      <c r="C682" s="16" t="s">
        <v>971</v>
      </c>
      <c r="D682" s="16" t="s">
        <v>707</v>
      </c>
      <c r="E682" s="16">
        <v>2010.0</v>
      </c>
      <c r="F682" s="16">
        <v>50.2114</v>
      </c>
      <c r="G682" s="16">
        <v>6.4718</v>
      </c>
      <c r="H682" s="15"/>
      <c r="I682" s="15"/>
    </row>
    <row r="683">
      <c r="A683" s="18">
        <v>45665.0</v>
      </c>
      <c r="B683" s="16" t="s">
        <v>1478</v>
      </c>
      <c r="C683" s="16" t="s">
        <v>969</v>
      </c>
      <c r="D683" s="16" t="s">
        <v>707</v>
      </c>
      <c r="E683" s="16">
        <v>2010.0</v>
      </c>
      <c r="F683" s="16">
        <v>53.1832</v>
      </c>
      <c r="G683" s="16">
        <v>10.3349</v>
      </c>
      <c r="H683" s="15"/>
      <c r="I683" s="15"/>
    </row>
    <row r="684">
      <c r="A684" s="18">
        <v>45665.0</v>
      </c>
      <c r="B684" s="16" t="s">
        <v>1479</v>
      </c>
      <c r="C684" s="16" t="s">
        <v>1059</v>
      </c>
      <c r="D684" s="16" t="s">
        <v>707</v>
      </c>
      <c r="E684" s="16">
        <v>2010.0</v>
      </c>
      <c r="F684" s="16">
        <v>48.5521</v>
      </c>
      <c r="G684" s="16">
        <v>12.0394</v>
      </c>
      <c r="H684" s="15"/>
      <c r="I684" s="15"/>
    </row>
    <row r="685">
      <c r="A685" s="18">
        <v>45665.0</v>
      </c>
      <c r="B685" s="16" t="s">
        <v>1480</v>
      </c>
      <c r="C685" s="16" t="s">
        <v>978</v>
      </c>
      <c r="D685" s="16" t="s">
        <v>707</v>
      </c>
      <c r="E685" s="16">
        <v>2010.0</v>
      </c>
      <c r="F685" s="16">
        <v>51.1208</v>
      </c>
      <c r="G685" s="16">
        <v>14.6802</v>
      </c>
      <c r="H685" s="15"/>
      <c r="I685" s="15"/>
    </row>
    <row r="686">
      <c r="A686" s="18">
        <v>45665.0</v>
      </c>
      <c r="B686" s="16" t="s">
        <v>1481</v>
      </c>
      <c r="C686" s="16" t="s">
        <v>946</v>
      </c>
      <c r="D686" s="16" t="s">
        <v>707</v>
      </c>
      <c r="E686" s="16">
        <v>2010.0</v>
      </c>
      <c r="F686" s="16">
        <v>48.4871</v>
      </c>
      <c r="G686" s="16">
        <v>10.5008</v>
      </c>
      <c r="H686" s="15"/>
      <c r="I686" s="15"/>
    </row>
    <row r="687">
      <c r="A687" s="18">
        <v>45665.0</v>
      </c>
      <c r="B687" s="16" t="s">
        <v>1482</v>
      </c>
      <c r="C687" s="16">
        <v>1.0</v>
      </c>
      <c r="D687" s="16" t="s">
        <v>707</v>
      </c>
      <c r="E687" s="16">
        <v>2010.0</v>
      </c>
      <c r="F687" s="16">
        <v>48.9768</v>
      </c>
      <c r="G687" s="16">
        <v>11.4753</v>
      </c>
      <c r="H687" s="15"/>
      <c r="I687" s="15"/>
    </row>
    <row r="688">
      <c r="A688" s="18">
        <v>45665.0</v>
      </c>
      <c r="B688" s="16" t="s">
        <v>1483</v>
      </c>
      <c r="C688" s="16" t="s">
        <v>946</v>
      </c>
      <c r="D688" s="16" t="s">
        <v>707</v>
      </c>
      <c r="E688" s="16">
        <v>2010.0</v>
      </c>
      <c r="F688" s="16">
        <v>50.7176</v>
      </c>
      <c r="G688" s="16">
        <v>6.1548</v>
      </c>
      <c r="H688" s="15"/>
      <c r="I688" s="15"/>
    </row>
    <row r="689">
      <c r="A689" s="18">
        <v>45665.0</v>
      </c>
      <c r="B689" s="16" t="s">
        <v>1484</v>
      </c>
      <c r="C689" s="16" t="s">
        <v>1167</v>
      </c>
      <c r="D689" s="16" t="s">
        <v>707</v>
      </c>
      <c r="E689" s="16">
        <v>2010.0</v>
      </c>
      <c r="F689" s="16">
        <v>49.7716</v>
      </c>
      <c r="G689" s="16">
        <v>10.3683</v>
      </c>
      <c r="H689" s="15"/>
      <c r="I689" s="15"/>
    </row>
    <row r="690">
      <c r="A690" s="18">
        <v>45665.0</v>
      </c>
      <c r="B690" s="16" t="s">
        <v>1485</v>
      </c>
      <c r="C690" s="16" t="s">
        <v>948</v>
      </c>
      <c r="D690" s="16" t="s">
        <v>707</v>
      </c>
      <c r="E690" s="16">
        <v>2010.0</v>
      </c>
      <c r="F690" s="16">
        <v>51.647</v>
      </c>
      <c r="G690" s="16">
        <v>14.0019</v>
      </c>
      <c r="H690" s="15"/>
      <c r="I690" s="15"/>
    </row>
    <row r="691">
      <c r="A691" s="18">
        <v>45665.0</v>
      </c>
      <c r="B691" s="16" t="s">
        <v>1486</v>
      </c>
      <c r="C691" s="16" t="s">
        <v>971</v>
      </c>
      <c r="D691" s="16" t="s">
        <v>707</v>
      </c>
      <c r="E691" s="16">
        <v>2010.0</v>
      </c>
      <c r="F691" s="16">
        <v>48.3165</v>
      </c>
      <c r="G691" s="16">
        <v>11.5356</v>
      </c>
      <c r="H691" s="15"/>
      <c r="I691" s="15"/>
    </row>
    <row r="692">
      <c r="A692" s="18">
        <v>45665.0</v>
      </c>
      <c r="B692" s="16" t="s">
        <v>1487</v>
      </c>
      <c r="C692" s="16">
        <v>1.0</v>
      </c>
      <c r="D692" s="16" t="s">
        <v>707</v>
      </c>
      <c r="E692" s="16">
        <v>2010.0</v>
      </c>
      <c r="F692" s="16">
        <v>50.4088</v>
      </c>
      <c r="G692" s="16">
        <v>10.263</v>
      </c>
      <c r="H692" s="15"/>
      <c r="I692" s="15"/>
    </row>
    <row r="693">
      <c r="A693" s="18">
        <v>45665.0</v>
      </c>
      <c r="B693" s="16" t="s">
        <v>1488</v>
      </c>
      <c r="C693" s="16" t="s">
        <v>1051</v>
      </c>
      <c r="D693" s="16" t="s">
        <v>707</v>
      </c>
      <c r="E693" s="16">
        <v>2010.0</v>
      </c>
      <c r="F693" s="16">
        <v>54.1112</v>
      </c>
      <c r="G693" s="16">
        <v>8.9905</v>
      </c>
      <c r="H693" s="15"/>
      <c r="I693" s="15"/>
    </row>
    <row r="694">
      <c r="A694" s="18">
        <v>45665.0</v>
      </c>
      <c r="B694" s="16" t="s">
        <v>1489</v>
      </c>
      <c r="C694" s="16">
        <v>2.0</v>
      </c>
      <c r="D694" s="16" t="s">
        <v>707</v>
      </c>
      <c r="E694" s="16">
        <v>2010.0</v>
      </c>
      <c r="F694" s="16">
        <v>52.496</v>
      </c>
      <c r="G694" s="16">
        <v>12.8782</v>
      </c>
      <c r="H694" s="15"/>
      <c r="I694" s="15"/>
    </row>
    <row r="695">
      <c r="A695" s="18">
        <v>45665.0</v>
      </c>
      <c r="B695" s="16" t="s">
        <v>1490</v>
      </c>
      <c r="C695" s="16" t="s">
        <v>969</v>
      </c>
      <c r="D695" s="16" t="s">
        <v>707</v>
      </c>
      <c r="E695" s="16">
        <v>2010.0</v>
      </c>
      <c r="F695" s="16">
        <v>49.9346</v>
      </c>
      <c r="G695" s="16">
        <v>10.3792</v>
      </c>
      <c r="H695" s="15"/>
      <c r="I695" s="15"/>
    </row>
    <row r="696">
      <c r="A696" s="18">
        <v>45665.0</v>
      </c>
      <c r="B696" s="16" t="s">
        <v>1491</v>
      </c>
      <c r="C696" s="16" t="s">
        <v>1051</v>
      </c>
      <c r="D696" s="16" t="s">
        <v>707</v>
      </c>
      <c r="E696" s="16">
        <v>2010.0</v>
      </c>
      <c r="F696" s="16">
        <v>48.4317</v>
      </c>
      <c r="G696" s="16">
        <v>9.8162</v>
      </c>
      <c r="H696" s="15"/>
      <c r="I696" s="15"/>
    </row>
    <row r="697">
      <c r="A697" s="18">
        <v>45665.0</v>
      </c>
      <c r="B697" s="16" t="s">
        <v>1492</v>
      </c>
      <c r="C697" s="16">
        <v>1.0</v>
      </c>
      <c r="D697" s="16" t="s">
        <v>707</v>
      </c>
      <c r="E697" s="16">
        <v>2010.0</v>
      </c>
      <c r="F697" s="16">
        <v>53.0437</v>
      </c>
      <c r="G697" s="16">
        <v>7.325</v>
      </c>
      <c r="H697" s="15"/>
      <c r="I697" s="15"/>
    </row>
    <row r="698">
      <c r="A698" s="18">
        <v>45665.0</v>
      </c>
      <c r="B698" s="16" t="s">
        <v>1493</v>
      </c>
      <c r="C698" s="16" t="s">
        <v>1203</v>
      </c>
      <c r="D698" s="16" t="s">
        <v>707</v>
      </c>
      <c r="E698" s="16">
        <v>2010.0</v>
      </c>
      <c r="F698" s="16">
        <v>49.2386</v>
      </c>
      <c r="G698" s="16">
        <v>10.385</v>
      </c>
      <c r="H698" s="15"/>
      <c r="I698" s="15"/>
    </row>
    <row r="699">
      <c r="A699" s="18">
        <v>45665.0</v>
      </c>
      <c r="B699" s="16" t="s">
        <v>1494</v>
      </c>
      <c r="C699" s="16">
        <v>2.0</v>
      </c>
      <c r="D699" s="16" t="s">
        <v>707</v>
      </c>
      <c r="E699" s="16">
        <v>2010.0</v>
      </c>
      <c r="F699" s="16">
        <v>53.2483</v>
      </c>
      <c r="G699" s="16">
        <v>8.7585</v>
      </c>
      <c r="H699" s="15"/>
      <c r="I699" s="15"/>
    </row>
    <row r="700">
      <c r="A700" s="18">
        <v>45665.0</v>
      </c>
      <c r="B700" s="16" t="s">
        <v>1495</v>
      </c>
      <c r="C700" s="16" t="s">
        <v>1055</v>
      </c>
      <c r="D700" s="16" t="s">
        <v>707</v>
      </c>
      <c r="E700" s="16">
        <v>2010.0</v>
      </c>
      <c r="F700" s="16">
        <v>49.9958</v>
      </c>
      <c r="G700" s="16">
        <v>11.6347</v>
      </c>
      <c r="H700" s="15"/>
      <c r="I700" s="15"/>
    </row>
    <row r="701">
      <c r="A701" s="18">
        <v>45665.0</v>
      </c>
      <c r="B701" s="16" t="s">
        <v>1496</v>
      </c>
      <c r="C701" s="16" t="s">
        <v>1099</v>
      </c>
      <c r="D701" s="16" t="s">
        <v>707</v>
      </c>
      <c r="E701" s="16">
        <v>2010.0</v>
      </c>
      <c r="F701" s="16">
        <v>49.3658</v>
      </c>
      <c r="G701" s="16">
        <v>10.8569</v>
      </c>
      <c r="H701" s="15"/>
      <c r="I701" s="15"/>
    </row>
    <row r="702">
      <c r="A702" s="18">
        <v>45665.0</v>
      </c>
      <c r="B702" s="16" t="s">
        <v>1497</v>
      </c>
      <c r="C702" s="16" t="s">
        <v>1059</v>
      </c>
      <c r="D702" s="16" t="s">
        <v>707</v>
      </c>
      <c r="E702" s="16">
        <v>2010.0</v>
      </c>
      <c r="F702" s="16">
        <v>48.3871</v>
      </c>
      <c r="G702" s="16">
        <v>12.2108</v>
      </c>
      <c r="H702" s="15"/>
      <c r="I702" s="15"/>
    </row>
    <row r="703">
      <c r="A703" s="18">
        <v>45665.0</v>
      </c>
      <c r="B703" s="16" t="s">
        <v>1498</v>
      </c>
      <c r="C703" s="16" t="s">
        <v>959</v>
      </c>
      <c r="D703" s="16" t="s">
        <v>707</v>
      </c>
      <c r="E703" s="16">
        <v>2010.0</v>
      </c>
      <c r="F703" s="16">
        <v>48.1808</v>
      </c>
      <c r="G703" s="16">
        <v>11.6478</v>
      </c>
      <c r="H703" s="15"/>
      <c r="I703" s="15"/>
    </row>
    <row r="704">
      <c r="A704" s="18">
        <v>45665.0</v>
      </c>
      <c r="B704" s="16" t="s">
        <v>1499</v>
      </c>
      <c r="C704" s="16">
        <v>2.0</v>
      </c>
      <c r="D704" s="16" t="s">
        <v>707</v>
      </c>
      <c r="E704" s="16">
        <v>2010.0</v>
      </c>
      <c r="F704" s="16">
        <v>51.591</v>
      </c>
      <c r="G704" s="16">
        <v>6.214</v>
      </c>
      <c r="H704" s="15"/>
      <c r="I704" s="15"/>
    </row>
    <row r="705">
      <c r="A705" s="18">
        <v>45665.0</v>
      </c>
      <c r="B705" s="16" t="s">
        <v>1500</v>
      </c>
      <c r="C705" s="16" t="s">
        <v>1436</v>
      </c>
      <c r="D705" s="16" t="s">
        <v>707</v>
      </c>
      <c r="E705" s="16">
        <v>2010.0</v>
      </c>
      <c r="F705" s="16">
        <v>49.6956</v>
      </c>
      <c r="G705" s="16">
        <v>11.1303</v>
      </c>
      <c r="H705" s="15"/>
      <c r="I705" s="15"/>
    </row>
    <row r="706">
      <c r="A706" s="18">
        <v>45665.0</v>
      </c>
      <c r="B706" s="16" t="s">
        <v>1501</v>
      </c>
      <c r="C706" s="16" t="s">
        <v>961</v>
      </c>
      <c r="D706" s="16" t="s">
        <v>707</v>
      </c>
      <c r="E706" s="16">
        <v>2010.0</v>
      </c>
      <c r="F706" s="16">
        <v>52.9514</v>
      </c>
      <c r="G706" s="16">
        <v>8.4315</v>
      </c>
      <c r="H706" s="15"/>
      <c r="I706" s="15"/>
    </row>
    <row r="707">
      <c r="A707" s="18">
        <v>45665.0</v>
      </c>
      <c r="B707" s="16" t="s">
        <v>1502</v>
      </c>
      <c r="C707" s="16" t="s">
        <v>1039</v>
      </c>
      <c r="D707" s="16" t="s">
        <v>707</v>
      </c>
      <c r="E707" s="16">
        <v>2010.0</v>
      </c>
      <c r="F707" s="16">
        <v>54.5826</v>
      </c>
      <c r="G707" s="16">
        <v>9.0479</v>
      </c>
      <c r="H707" s="15"/>
      <c r="I707" s="15"/>
    </row>
    <row r="708">
      <c r="A708" s="18">
        <v>45665.0</v>
      </c>
      <c r="B708" s="16" t="s">
        <v>1503</v>
      </c>
      <c r="C708" s="16" t="s">
        <v>1039</v>
      </c>
      <c r="D708" s="16" t="s">
        <v>707</v>
      </c>
      <c r="E708" s="16">
        <v>2010.0</v>
      </c>
      <c r="F708" s="16">
        <v>49.6262</v>
      </c>
      <c r="G708" s="16">
        <v>10.6206</v>
      </c>
      <c r="H708" s="15"/>
      <c r="I708" s="15"/>
    </row>
    <row r="709">
      <c r="A709" s="18">
        <v>45665.0</v>
      </c>
      <c r="B709" s="16" t="s">
        <v>1504</v>
      </c>
      <c r="C709" s="16" t="s">
        <v>1007</v>
      </c>
      <c r="D709" s="16" t="s">
        <v>707</v>
      </c>
      <c r="E709" s="16">
        <v>2010.0</v>
      </c>
      <c r="F709" s="16">
        <v>51.2514</v>
      </c>
      <c r="G709" s="16">
        <v>9.2653</v>
      </c>
      <c r="H709" s="15"/>
      <c r="I709" s="15"/>
    </row>
    <row r="710">
      <c r="A710" s="18">
        <v>45665.0</v>
      </c>
      <c r="B710" s="16" t="s">
        <v>1505</v>
      </c>
      <c r="C710" s="16" t="s">
        <v>1011</v>
      </c>
      <c r="D710" s="16" t="s">
        <v>707</v>
      </c>
      <c r="E710" s="16">
        <v>2010.0</v>
      </c>
      <c r="F710" s="16">
        <v>51.4407</v>
      </c>
      <c r="G710" s="16">
        <v>9.3644</v>
      </c>
      <c r="H710" s="15"/>
      <c r="I710" s="15"/>
    </row>
    <row r="711">
      <c r="A711" s="18">
        <v>45665.0</v>
      </c>
      <c r="B711" s="16" t="s">
        <v>1506</v>
      </c>
      <c r="C711" s="16">
        <v>4.0</v>
      </c>
      <c r="D711" s="16" t="s">
        <v>707</v>
      </c>
      <c r="E711" s="16">
        <v>2010.0</v>
      </c>
      <c r="F711" s="16">
        <v>54.561</v>
      </c>
      <c r="G711" s="16">
        <v>9.1721</v>
      </c>
      <c r="H711" s="15"/>
      <c r="I711" s="15"/>
    </row>
    <row r="712">
      <c r="A712" s="18">
        <v>45665.0</v>
      </c>
      <c r="B712" s="16" t="s">
        <v>1507</v>
      </c>
      <c r="C712" s="16" t="s">
        <v>1007</v>
      </c>
      <c r="D712" s="16" t="s">
        <v>707</v>
      </c>
      <c r="E712" s="16">
        <v>2010.0</v>
      </c>
      <c r="F712" s="16">
        <v>51.4033</v>
      </c>
      <c r="G712" s="16">
        <v>9.1161</v>
      </c>
      <c r="H712" s="15"/>
      <c r="I712" s="15"/>
    </row>
    <row r="713">
      <c r="A713" s="18">
        <v>45665.0</v>
      </c>
      <c r="B713" s="16" t="s">
        <v>1508</v>
      </c>
      <c r="C713" s="16">
        <v>2.0</v>
      </c>
      <c r="D713" s="16" t="s">
        <v>707</v>
      </c>
      <c r="E713" s="16">
        <v>2010.0</v>
      </c>
      <c r="F713" s="16">
        <v>51.9299</v>
      </c>
      <c r="G713" s="16">
        <v>11.8051</v>
      </c>
      <c r="H713" s="15"/>
      <c r="I713" s="15"/>
    </row>
    <row r="714">
      <c r="A714" s="18">
        <v>45665.0</v>
      </c>
      <c r="B714" s="16" t="s">
        <v>1509</v>
      </c>
      <c r="C714" s="16" t="s">
        <v>978</v>
      </c>
      <c r="D714" s="16" t="s">
        <v>707</v>
      </c>
      <c r="E714" s="16">
        <v>2010.0</v>
      </c>
      <c r="F714" s="16">
        <v>53.6752</v>
      </c>
      <c r="G714" s="16">
        <v>7.7995</v>
      </c>
      <c r="H714" s="15"/>
      <c r="I714" s="15"/>
    </row>
    <row r="715">
      <c r="A715" s="18">
        <v>45665.0</v>
      </c>
      <c r="B715" s="16" t="s">
        <v>1510</v>
      </c>
      <c r="C715" s="16" t="s">
        <v>990</v>
      </c>
      <c r="D715" s="16" t="s">
        <v>707</v>
      </c>
      <c r="E715" s="16">
        <v>2010.0</v>
      </c>
      <c r="F715" s="16">
        <v>47.7584</v>
      </c>
      <c r="G715" s="16">
        <v>11.3015</v>
      </c>
      <c r="H715" s="15"/>
      <c r="I715" s="15"/>
    </row>
    <row r="716">
      <c r="A716" s="18">
        <v>45665.0</v>
      </c>
      <c r="B716" s="16" t="s">
        <v>1511</v>
      </c>
      <c r="C716" s="16" t="s">
        <v>1059</v>
      </c>
      <c r="D716" s="16" t="s">
        <v>707</v>
      </c>
      <c r="E716" s="16">
        <v>2010.0</v>
      </c>
      <c r="F716" s="16">
        <v>49.1387</v>
      </c>
      <c r="G716" s="16">
        <v>9.9985</v>
      </c>
      <c r="H716" s="15"/>
      <c r="I716" s="15"/>
    </row>
    <row r="717">
      <c r="A717" s="18">
        <v>45665.0</v>
      </c>
      <c r="B717" s="16" t="s">
        <v>1512</v>
      </c>
      <c r="C717" s="16">
        <v>5.0</v>
      </c>
      <c r="D717" s="16" t="s">
        <v>707</v>
      </c>
      <c r="E717" s="16">
        <v>2010.0</v>
      </c>
      <c r="F717" s="16">
        <v>49.894</v>
      </c>
      <c r="G717" s="16">
        <v>9.6027</v>
      </c>
      <c r="H717" s="15"/>
      <c r="I717" s="15"/>
    </row>
    <row r="718">
      <c r="A718" s="18">
        <v>45665.0</v>
      </c>
      <c r="B718" s="16" t="s">
        <v>1513</v>
      </c>
      <c r="C718" s="16" t="s">
        <v>1059</v>
      </c>
      <c r="D718" s="16" t="s">
        <v>707</v>
      </c>
      <c r="E718" s="16">
        <v>2010.0</v>
      </c>
      <c r="F718" s="16">
        <v>51.6792</v>
      </c>
      <c r="G718" s="16">
        <v>13.6458</v>
      </c>
      <c r="H718" s="15"/>
      <c r="I718" s="15"/>
    </row>
    <row r="719">
      <c r="A719" s="18">
        <v>45665.0</v>
      </c>
      <c r="B719" s="16" t="s">
        <v>1514</v>
      </c>
      <c r="C719" s="16">
        <v>4.0</v>
      </c>
      <c r="D719" s="16" t="s">
        <v>707</v>
      </c>
      <c r="E719" s="16">
        <v>2010.0</v>
      </c>
      <c r="F719" s="16">
        <v>49.0461</v>
      </c>
      <c r="G719" s="16">
        <v>10.7997</v>
      </c>
      <c r="H719" s="15"/>
      <c r="I719" s="15"/>
    </row>
    <row r="720">
      <c r="A720" s="18">
        <v>45665.0</v>
      </c>
      <c r="B720" s="16" t="s">
        <v>1515</v>
      </c>
      <c r="C720" s="16" t="s">
        <v>969</v>
      </c>
      <c r="D720" s="16" t="s">
        <v>707</v>
      </c>
      <c r="E720" s="16">
        <v>2010.0</v>
      </c>
      <c r="F720" s="16">
        <v>48.4095</v>
      </c>
      <c r="G720" s="16">
        <v>10.9539</v>
      </c>
      <c r="H720" s="15"/>
      <c r="I720" s="15"/>
    </row>
    <row r="721">
      <c r="A721" s="18">
        <v>45665.0</v>
      </c>
      <c r="B721" s="16" t="s">
        <v>1516</v>
      </c>
      <c r="C721" s="16" t="s">
        <v>1004</v>
      </c>
      <c r="D721" s="16" t="s">
        <v>707</v>
      </c>
      <c r="E721" s="16">
        <v>2010.0</v>
      </c>
      <c r="F721" s="16">
        <v>47.9188</v>
      </c>
      <c r="G721" s="16">
        <v>10.216</v>
      </c>
      <c r="H721" s="15"/>
      <c r="I721" s="15"/>
    </row>
    <row r="722">
      <c r="A722" s="18">
        <v>45665.0</v>
      </c>
      <c r="B722" s="16" t="s">
        <v>1517</v>
      </c>
      <c r="C722" s="16" t="s">
        <v>942</v>
      </c>
      <c r="D722" s="16" t="s">
        <v>707</v>
      </c>
      <c r="E722" s="16">
        <v>2010.0</v>
      </c>
      <c r="F722" s="16">
        <v>51.517</v>
      </c>
      <c r="G722" s="16">
        <v>12.356</v>
      </c>
      <c r="H722" s="15"/>
      <c r="I722" s="15"/>
    </row>
    <row r="723">
      <c r="A723" s="18">
        <v>45665.0</v>
      </c>
      <c r="B723" s="16" t="s">
        <v>1518</v>
      </c>
      <c r="C723" s="16">
        <v>2.0</v>
      </c>
      <c r="D723" s="16" t="s">
        <v>707</v>
      </c>
      <c r="E723" s="16">
        <v>2010.0</v>
      </c>
      <c r="F723" s="16">
        <v>48.9258</v>
      </c>
      <c r="G723" s="16">
        <v>11.4238</v>
      </c>
      <c r="H723" s="15"/>
      <c r="I723" s="15"/>
    </row>
    <row r="724">
      <c r="A724" s="18">
        <v>45665.0</v>
      </c>
      <c r="B724" s="16" t="s">
        <v>1519</v>
      </c>
      <c r="C724" s="16" t="s">
        <v>951</v>
      </c>
      <c r="D724" s="16" t="s">
        <v>707</v>
      </c>
      <c r="E724" s="16">
        <v>2010.0</v>
      </c>
      <c r="F724" s="16">
        <v>54.6341</v>
      </c>
      <c r="G724" s="16">
        <v>9.9911</v>
      </c>
      <c r="H724" s="15"/>
      <c r="I724" s="15"/>
    </row>
    <row r="725">
      <c r="A725" s="18">
        <v>45665.0</v>
      </c>
      <c r="B725" s="16" t="s">
        <v>1520</v>
      </c>
      <c r="C725" s="16" t="s">
        <v>1037</v>
      </c>
      <c r="D725" s="16" t="s">
        <v>707</v>
      </c>
      <c r="E725" s="16">
        <v>2010.0</v>
      </c>
      <c r="F725" s="16">
        <v>52.7579</v>
      </c>
      <c r="G725" s="16">
        <v>13.0521</v>
      </c>
      <c r="H725" s="15"/>
      <c r="I725" s="15"/>
    </row>
    <row r="726">
      <c r="A726" s="18">
        <v>45665.0</v>
      </c>
      <c r="B726" s="16" t="s">
        <v>1521</v>
      </c>
      <c r="C726" s="16" t="s">
        <v>990</v>
      </c>
      <c r="D726" s="16" t="s">
        <v>707</v>
      </c>
      <c r="E726" s="16">
        <v>2010.0</v>
      </c>
      <c r="F726" s="16">
        <v>51.4552</v>
      </c>
      <c r="G726" s="16">
        <v>11.0234</v>
      </c>
      <c r="H726" s="15"/>
      <c r="I726" s="15"/>
    </row>
    <row r="727">
      <c r="A727" s="18">
        <v>45665.0</v>
      </c>
      <c r="B727" s="16" t="s">
        <v>1522</v>
      </c>
      <c r="C727" s="16" t="s">
        <v>1085</v>
      </c>
      <c r="D727" s="16" t="s">
        <v>707</v>
      </c>
      <c r="E727" s="16">
        <v>2010.0</v>
      </c>
      <c r="F727" s="16">
        <v>51.4555</v>
      </c>
      <c r="G727" s="16">
        <v>11.0233</v>
      </c>
      <c r="H727" s="15"/>
      <c r="I727" s="15"/>
    </row>
    <row r="728">
      <c r="A728" s="18">
        <v>45665.0</v>
      </c>
      <c r="B728" s="16" t="s">
        <v>1523</v>
      </c>
      <c r="C728" s="16" t="s">
        <v>978</v>
      </c>
      <c r="D728" s="16" t="s">
        <v>707</v>
      </c>
      <c r="E728" s="16">
        <v>2010.0</v>
      </c>
      <c r="F728" s="16">
        <v>51.4568</v>
      </c>
      <c r="G728" s="16">
        <v>11.0234</v>
      </c>
      <c r="H728" s="15"/>
      <c r="I728" s="15"/>
    </row>
    <row r="729">
      <c r="A729" s="18">
        <v>45665.0</v>
      </c>
      <c r="B729" s="16" t="s">
        <v>1524</v>
      </c>
      <c r="C729" s="16" t="s">
        <v>948</v>
      </c>
      <c r="D729" s="16" t="s">
        <v>707</v>
      </c>
      <c r="E729" s="16">
        <v>2010.0</v>
      </c>
      <c r="F729" s="16">
        <v>48.0738</v>
      </c>
      <c r="G729" s="16">
        <v>8.7946</v>
      </c>
      <c r="H729" s="15"/>
      <c r="I729" s="15"/>
    </row>
    <row r="730">
      <c r="A730" s="18">
        <v>45665.0</v>
      </c>
      <c r="B730" s="16" t="s">
        <v>1525</v>
      </c>
      <c r="C730" s="16" t="s">
        <v>971</v>
      </c>
      <c r="D730" s="16" t="s">
        <v>707</v>
      </c>
      <c r="E730" s="16">
        <v>2010.0</v>
      </c>
      <c r="F730" s="16">
        <v>48.0739</v>
      </c>
      <c r="G730" s="16">
        <v>8.7946</v>
      </c>
      <c r="H730" s="15"/>
      <c r="I730" s="15"/>
    </row>
    <row r="731">
      <c r="A731" s="18">
        <v>45665.0</v>
      </c>
      <c r="B731" s="16" t="s">
        <v>1526</v>
      </c>
      <c r="C731" s="16" t="s">
        <v>969</v>
      </c>
      <c r="D731" s="16" t="s">
        <v>707</v>
      </c>
      <c r="E731" s="16">
        <v>2010.0</v>
      </c>
      <c r="F731" s="16">
        <v>48.074</v>
      </c>
      <c r="G731" s="16">
        <v>8.7944</v>
      </c>
      <c r="H731" s="15"/>
      <c r="I731" s="15"/>
    </row>
    <row r="732">
      <c r="A732" s="18">
        <v>45665.0</v>
      </c>
      <c r="B732" s="16" t="s">
        <v>1527</v>
      </c>
      <c r="C732" s="16" t="s">
        <v>1099</v>
      </c>
      <c r="D732" s="16" t="s">
        <v>707</v>
      </c>
      <c r="E732" s="16">
        <v>2010.0</v>
      </c>
      <c r="F732" s="16">
        <v>54.1091</v>
      </c>
      <c r="G732" s="16">
        <v>9.079</v>
      </c>
      <c r="H732" s="15"/>
      <c r="I732" s="15"/>
    </row>
    <row r="733">
      <c r="A733" s="18">
        <v>45665.0</v>
      </c>
      <c r="B733" s="16" t="s">
        <v>1528</v>
      </c>
      <c r="C733" s="16" t="s">
        <v>942</v>
      </c>
      <c r="D733" s="16" t="s">
        <v>707</v>
      </c>
      <c r="E733" s="16">
        <v>2010.0</v>
      </c>
      <c r="F733" s="16">
        <v>49.2548</v>
      </c>
      <c r="G733" s="16">
        <v>9.0525</v>
      </c>
      <c r="H733" s="15"/>
      <c r="I733" s="15"/>
    </row>
    <row r="734">
      <c r="A734" s="18">
        <v>45665.0</v>
      </c>
      <c r="B734" s="16" t="s">
        <v>1529</v>
      </c>
      <c r="C734" s="16" t="s">
        <v>969</v>
      </c>
      <c r="D734" s="16" t="s">
        <v>707</v>
      </c>
      <c r="E734" s="16">
        <v>2010.0</v>
      </c>
      <c r="F734" s="16">
        <v>48.823</v>
      </c>
      <c r="G734" s="16">
        <v>12.8988</v>
      </c>
      <c r="H734" s="15"/>
      <c r="I734" s="15"/>
    </row>
    <row r="735">
      <c r="A735" s="18">
        <v>45665.0</v>
      </c>
      <c r="B735" s="16" t="s">
        <v>1530</v>
      </c>
      <c r="C735" s="16" t="s">
        <v>1386</v>
      </c>
      <c r="D735" s="16" t="s">
        <v>707</v>
      </c>
      <c r="E735" s="16">
        <v>2010.0</v>
      </c>
      <c r="F735" s="16">
        <v>49.709</v>
      </c>
      <c r="G735" s="16">
        <v>9.484</v>
      </c>
      <c r="H735" s="15"/>
      <c r="I735" s="15"/>
    </row>
    <row r="736">
      <c r="A736" s="18">
        <v>45665.0</v>
      </c>
      <c r="B736" s="16" t="s">
        <v>1531</v>
      </c>
      <c r="C736" s="16" t="s">
        <v>1101</v>
      </c>
      <c r="D736" s="16" t="s">
        <v>707</v>
      </c>
      <c r="E736" s="16">
        <v>2010.0</v>
      </c>
      <c r="F736" s="16">
        <v>49.8022</v>
      </c>
      <c r="G736" s="16">
        <v>7.6962</v>
      </c>
      <c r="H736" s="15"/>
      <c r="I736" s="15"/>
    </row>
    <row r="737">
      <c r="A737" s="18">
        <v>45665.0</v>
      </c>
      <c r="B737" s="16" t="s">
        <v>1532</v>
      </c>
      <c r="C737" s="16" t="s">
        <v>942</v>
      </c>
      <c r="D737" s="16" t="s">
        <v>707</v>
      </c>
      <c r="E737" s="16">
        <v>2010.0</v>
      </c>
      <c r="F737" s="16">
        <v>49.8022</v>
      </c>
      <c r="G737" s="16">
        <v>7.6971</v>
      </c>
      <c r="H737" s="15"/>
      <c r="I737" s="15"/>
    </row>
    <row r="738">
      <c r="A738" s="18">
        <v>45665.0</v>
      </c>
      <c r="B738" s="16" t="s">
        <v>1533</v>
      </c>
      <c r="C738" s="16" t="s">
        <v>948</v>
      </c>
      <c r="D738" s="16" t="s">
        <v>707</v>
      </c>
      <c r="E738" s="16">
        <v>2010.0</v>
      </c>
      <c r="F738" s="16">
        <v>51.5666</v>
      </c>
      <c r="G738" s="16">
        <v>13.7167</v>
      </c>
      <c r="H738" s="15"/>
      <c r="I738" s="15"/>
    </row>
    <row r="739">
      <c r="A739" s="18">
        <v>45665.0</v>
      </c>
      <c r="B739" s="16" t="s">
        <v>1534</v>
      </c>
      <c r="C739" s="16" t="s">
        <v>948</v>
      </c>
      <c r="D739" s="16" t="s">
        <v>707</v>
      </c>
      <c r="E739" s="16">
        <v>2010.0</v>
      </c>
      <c r="F739" s="16">
        <v>48.6511</v>
      </c>
      <c r="G739" s="16">
        <v>12.4878</v>
      </c>
      <c r="H739" s="15"/>
      <c r="I739" s="15"/>
    </row>
    <row r="740">
      <c r="A740" s="18">
        <v>45665.0</v>
      </c>
      <c r="B740" s="16" t="s">
        <v>1535</v>
      </c>
      <c r="C740" s="16" t="s">
        <v>1267</v>
      </c>
      <c r="D740" s="16" t="s">
        <v>707</v>
      </c>
      <c r="E740" s="16">
        <v>2010.0</v>
      </c>
      <c r="F740" s="16">
        <v>52.1125</v>
      </c>
      <c r="G740" s="16">
        <v>13.0664</v>
      </c>
      <c r="H740" s="15"/>
      <c r="I740" s="15"/>
    </row>
    <row r="741">
      <c r="A741" s="18">
        <v>45665.0</v>
      </c>
      <c r="B741" s="16" t="s">
        <v>1536</v>
      </c>
      <c r="C741" s="16" t="s">
        <v>969</v>
      </c>
      <c r="D741" s="16" t="s">
        <v>707</v>
      </c>
      <c r="E741" s="16">
        <v>2010.0</v>
      </c>
      <c r="F741" s="16">
        <v>47.9193</v>
      </c>
      <c r="G741" s="16">
        <v>10.2201</v>
      </c>
      <c r="H741" s="15"/>
      <c r="I741" s="15"/>
    </row>
    <row r="742">
      <c r="A742" s="18">
        <v>45665.0</v>
      </c>
      <c r="B742" s="16" t="s">
        <v>1537</v>
      </c>
      <c r="C742" s="16" t="s">
        <v>1172</v>
      </c>
      <c r="D742" s="16" t="s">
        <v>707</v>
      </c>
      <c r="E742" s="16">
        <v>2010.0</v>
      </c>
      <c r="F742" s="16">
        <v>51.6575</v>
      </c>
      <c r="G742" s="16">
        <v>14.6147</v>
      </c>
      <c r="H742" s="15"/>
      <c r="I742" s="15"/>
    </row>
    <row r="743">
      <c r="A743" s="18">
        <v>45665.0</v>
      </c>
      <c r="B743" s="16" t="s">
        <v>1538</v>
      </c>
      <c r="C743" s="16" t="s">
        <v>948</v>
      </c>
      <c r="D743" s="16" t="s">
        <v>707</v>
      </c>
      <c r="E743" s="16">
        <v>2010.0</v>
      </c>
      <c r="F743" s="16">
        <v>49.6324</v>
      </c>
      <c r="G743" s="16">
        <v>12.13</v>
      </c>
      <c r="H743" s="15"/>
      <c r="I743" s="15"/>
    </row>
    <row r="744">
      <c r="A744" s="18">
        <v>45665.0</v>
      </c>
      <c r="B744" s="16" t="s">
        <v>1539</v>
      </c>
      <c r="C744" s="16" t="s">
        <v>946</v>
      </c>
      <c r="D744" s="16" t="s">
        <v>707</v>
      </c>
      <c r="E744" s="16">
        <v>2010.0</v>
      </c>
      <c r="F744" s="16">
        <v>49.2004</v>
      </c>
      <c r="G744" s="16">
        <v>9.227</v>
      </c>
      <c r="H744" s="15"/>
      <c r="I744" s="15"/>
    </row>
    <row r="745">
      <c r="A745" s="18">
        <v>45665.0</v>
      </c>
      <c r="B745" s="16" t="s">
        <v>1540</v>
      </c>
      <c r="C745" s="16" t="s">
        <v>969</v>
      </c>
      <c r="D745" s="16" t="s">
        <v>707</v>
      </c>
      <c r="E745" s="16">
        <v>2010.0</v>
      </c>
      <c r="F745" s="16">
        <v>50.1056</v>
      </c>
      <c r="G745" s="16">
        <v>8.6512</v>
      </c>
      <c r="H745" s="15"/>
      <c r="I745" s="15"/>
    </row>
    <row r="746">
      <c r="A746" s="18">
        <v>45665.0</v>
      </c>
      <c r="B746" s="16" t="s">
        <v>1541</v>
      </c>
      <c r="C746" s="16">
        <v>1.0</v>
      </c>
      <c r="D746" s="16" t="s">
        <v>707</v>
      </c>
      <c r="E746" s="16">
        <v>2010.0</v>
      </c>
      <c r="F746" s="16">
        <v>52.3857</v>
      </c>
      <c r="G746" s="16">
        <v>13.7987</v>
      </c>
      <c r="H746" s="15"/>
      <c r="I746" s="15"/>
    </row>
    <row r="747">
      <c r="A747" s="18">
        <v>45665.0</v>
      </c>
      <c r="B747" s="16" t="s">
        <v>1542</v>
      </c>
      <c r="C747" s="16" t="s">
        <v>1055</v>
      </c>
      <c r="D747" s="16" t="s">
        <v>707</v>
      </c>
      <c r="E747" s="16">
        <v>2010.0</v>
      </c>
      <c r="F747" s="16">
        <v>51.0</v>
      </c>
      <c r="G747" s="16">
        <v>12.1217</v>
      </c>
      <c r="H747" s="15"/>
      <c r="I747" s="15"/>
    </row>
    <row r="748">
      <c r="A748" s="18">
        <v>45665.0</v>
      </c>
      <c r="B748" s="16" t="s">
        <v>1543</v>
      </c>
      <c r="C748" s="16" t="s">
        <v>948</v>
      </c>
      <c r="D748" s="16" t="s">
        <v>707</v>
      </c>
      <c r="E748" s="16">
        <v>2010.0</v>
      </c>
      <c r="F748" s="16">
        <v>48.5184</v>
      </c>
      <c r="G748" s="16">
        <v>11.7482</v>
      </c>
      <c r="H748" s="15"/>
      <c r="I748" s="15"/>
    </row>
    <row r="749">
      <c r="A749" s="18">
        <v>45665.0</v>
      </c>
      <c r="B749" s="16" t="s">
        <v>1544</v>
      </c>
      <c r="C749" s="16" t="s">
        <v>948</v>
      </c>
      <c r="D749" s="16" t="s">
        <v>707</v>
      </c>
      <c r="E749" s="16">
        <v>2010.0</v>
      </c>
      <c r="F749" s="16">
        <v>48.0365</v>
      </c>
      <c r="G749" s="16">
        <v>10.6161</v>
      </c>
      <c r="H749" s="15"/>
      <c r="I749" s="15"/>
    </row>
    <row r="750">
      <c r="A750" s="18">
        <v>45665.0</v>
      </c>
      <c r="B750" s="16" t="s">
        <v>1545</v>
      </c>
      <c r="C750" s="16" t="s">
        <v>948</v>
      </c>
      <c r="D750" s="16" t="s">
        <v>707</v>
      </c>
      <c r="E750" s="16">
        <v>2010.0</v>
      </c>
      <c r="F750" s="16">
        <v>49.6921</v>
      </c>
      <c r="G750" s="16">
        <v>10.6396</v>
      </c>
      <c r="H750" s="15"/>
      <c r="I750" s="15"/>
    </row>
    <row r="751">
      <c r="A751" s="18">
        <v>45665.0</v>
      </c>
      <c r="B751" s="16" t="s">
        <v>1546</v>
      </c>
      <c r="C751" s="16" t="s">
        <v>1085</v>
      </c>
      <c r="D751" s="16" t="s">
        <v>707</v>
      </c>
      <c r="E751" s="16">
        <v>2010.0</v>
      </c>
      <c r="F751" s="16">
        <v>48.1819</v>
      </c>
      <c r="G751" s="16">
        <v>11.0038</v>
      </c>
      <c r="H751" s="15"/>
      <c r="I751" s="15"/>
    </row>
    <row r="752">
      <c r="A752" s="18">
        <v>45665.0</v>
      </c>
      <c r="B752" s="16" t="s">
        <v>1547</v>
      </c>
      <c r="C752" s="16">
        <v>2.0</v>
      </c>
      <c r="D752" s="16" t="s">
        <v>707</v>
      </c>
      <c r="E752" s="16">
        <v>2010.0</v>
      </c>
      <c r="F752" s="16">
        <v>48.6249</v>
      </c>
      <c r="G752" s="16">
        <v>12.8807</v>
      </c>
      <c r="H752" s="15"/>
      <c r="I752" s="15"/>
    </row>
    <row r="753">
      <c r="A753" s="18">
        <v>45665.0</v>
      </c>
      <c r="B753" s="16" t="s">
        <v>1548</v>
      </c>
      <c r="C753" s="16" t="s">
        <v>1051</v>
      </c>
      <c r="D753" s="16" t="s">
        <v>707</v>
      </c>
      <c r="E753" s="16">
        <v>2010.0</v>
      </c>
      <c r="F753" s="16">
        <v>50.3517</v>
      </c>
      <c r="G753" s="16">
        <v>9.666</v>
      </c>
      <c r="H753" s="15"/>
      <c r="I753" s="15"/>
    </row>
    <row r="754">
      <c r="A754" s="18">
        <v>45665.0</v>
      </c>
      <c r="B754" s="16" t="s">
        <v>1549</v>
      </c>
      <c r="C754" s="16">
        <v>1.0</v>
      </c>
      <c r="D754" s="16" t="s">
        <v>707</v>
      </c>
      <c r="E754" s="16">
        <v>2010.0</v>
      </c>
      <c r="F754" s="16">
        <v>48.7248</v>
      </c>
      <c r="G754" s="16">
        <v>12.6395</v>
      </c>
      <c r="H754" s="15"/>
      <c r="I754" s="15"/>
    </row>
    <row r="755">
      <c r="A755" s="18">
        <v>45665.0</v>
      </c>
      <c r="B755" s="16" t="s">
        <v>1550</v>
      </c>
      <c r="C755" s="16" t="s">
        <v>1037</v>
      </c>
      <c r="D755" s="16" t="s">
        <v>707</v>
      </c>
      <c r="E755" s="16">
        <v>2010.0</v>
      </c>
      <c r="F755" s="16">
        <v>54.739</v>
      </c>
      <c r="G755" s="16">
        <v>9.0607</v>
      </c>
      <c r="H755" s="15"/>
      <c r="I755" s="15"/>
    </row>
    <row r="756">
      <c r="A756" s="18">
        <v>45665.0</v>
      </c>
      <c r="B756" s="16" t="s">
        <v>1551</v>
      </c>
      <c r="C756" s="16" t="s">
        <v>969</v>
      </c>
      <c r="D756" s="16" t="s">
        <v>707</v>
      </c>
      <c r="E756" s="16">
        <v>2010.0</v>
      </c>
      <c r="F756" s="16">
        <v>48.7</v>
      </c>
      <c r="G756" s="16">
        <v>12.5976</v>
      </c>
      <c r="H756" s="15"/>
      <c r="I756" s="15"/>
    </row>
    <row r="757">
      <c r="A757" s="18">
        <v>45665.0</v>
      </c>
      <c r="B757" s="16" t="s">
        <v>1552</v>
      </c>
      <c r="C757" s="16">
        <v>2.0</v>
      </c>
      <c r="D757" s="16" t="s">
        <v>707</v>
      </c>
      <c r="E757" s="16">
        <v>2010.0</v>
      </c>
      <c r="F757" s="16">
        <v>48.9471</v>
      </c>
      <c r="G757" s="16">
        <v>11.4509</v>
      </c>
      <c r="H757" s="15"/>
      <c r="I757" s="15"/>
    </row>
    <row r="758">
      <c r="A758" s="18">
        <v>45665.0</v>
      </c>
      <c r="B758" s="16" t="s">
        <v>1553</v>
      </c>
      <c r="C758" s="16" t="s">
        <v>978</v>
      </c>
      <c r="D758" s="16" t="s">
        <v>707</v>
      </c>
      <c r="E758" s="16">
        <v>2010.0</v>
      </c>
      <c r="F758" s="16">
        <v>49.7954</v>
      </c>
      <c r="G758" s="16">
        <v>9.2158</v>
      </c>
      <c r="H758" s="15"/>
      <c r="I758" s="15"/>
    </row>
    <row r="759">
      <c r="A759" s="18">
        <v>45665.0</v>
      </c>
      <c r="B759" s="16" t="s">
        <v>1554</v>
      </c>
      <c r="C759" s="16" t="s">
        <v>1055</v>
      </c>
      <c r="D759" s="16" t="s">
        <v>707</v>
      </c>
      <c r="E759" s="16">
        <v>2010.0</v>
      </c>
      <c r="F759" s="16">
        <v>54.1177</v>
      </c>
      <c r="G759" s="16">
        <v>8.9971</v>
      </c>
      <c r="H759" s="15"/>
      <c r="I759" s="15"/>
    </row>
    <row r="760">
      <c r="A760" s="18">
        <v>45665.0</v>
      </c>
      <c r="B760" s="16" t="s">
        <v>1555</v>
      </c>
      <c r="C760" s="16" t="s">
        <v>942</v>
      </c>
      <c r="D760" s="16" t="s">
        <v>707</v>
      </c>
      <c r="E760" s="16">
        <v>2010.0</v>
      </c>
      <c r="F760" s="16">
        <v>48.1225</v>
      </c>
      <c r="G760" s="16">
        <v>10.4693</v>
      </c>
      <c r="H760" s="15"/>
      <c r="I760" s="15"/>
    </row>
    <row r="761">
      <c r="A761" s="18">
        <v>45665.0</v>
      </c>
      <c r="B761" s="16" t="s">
        <v>1556</v>
      </c>
      <c r="C761" s="16">
        <v>5.0</v>
      </c>
      <c r="D761" s="16" t="s">
        <v>707</v>
      </c>
      <c r="E761" s="16">
        <v>2010.0</v>
      </c>
      <c r="F761" s="16">
        <v>48.6977</v>
      </c>
      <c r="G761" s="16">
        <v>12.5718</v>
      </c>
      <c r="H761" s="15"/>
      <c r="I761" s="15"/>
    </row>
    <row r="762">
      <c r="A762" s="18">
        <v>45665.0</v>
      </c>
      <c r="B762" s="16" t="s">
        <v>1557</v>
      </c>
      <c r="C762" s="16">
        <v>1.0</v>
      </c>
      <c r="D762" s="16" t="s">
        <v>707</v>
      </c>
      <c r="E762" s="16">
        <v>2010.0</v>
      </c>
      <c r="F762" s="16">
        <v>54.0441</v>
      </c>
      <c r="G762" s="16">
        <v>9.0362</v>
      </c>
      <c r="H762" s="15"/>
      <c r="I762" s="15"/>
    </row>
    <row r="763">
      <c r="A763" s="18">
        <v>45665.0</v>
      </c>
      <c r="B763" s="16" t="s">
        <v>1558</v>
      </c>
      <c r="C763" s="16" t="s">
        <v>1059</v>
      </c>
      <c r="D763" s="16" t="s">
        <v>707</v>
      </c>
      <c r="E763" s="16">
        <v>2010.0</v>
      </c>
      <c r="F763" s="16">
        <v>49.0781</v>
      </c>
      <c r="G763" s="16">
        <v>9.7604</v>
      </c>
      <c r="H763" s="15"/>
      <c r="I763" s="15"/>
    </row>
    <row r="764">
      <c r="A764" s="18">
        <v>45665.0</v>
      </c>
      <c r="B764" s="16" t="s">
        <v>1559</v>
      </c>
      <c r="C764" s="16" t="s">
        <v>1004</v>
      </c>
      <c r="D764" s="16" t="s">
        <v>707</v>
      </c>
      <c r="E764" s="16">
        <v>2010.0</v>
      </c>
      <c r="F764" s="16">
        <v>54.47</v>
      </c>
      <c r="G764" s="16">
        <v>13.299</v>
      </c>
      <c r="H764" s="15"/>
      <c r="I764" s="15"/>
    </row>
    <row r="765">
      <c r="A765" s="18">
        <v>45665.0</v>
      </c>
      <c r="B765" s="16" t="s">
        <v>1560</v>
      </c>
      <c r="C765" s="16" t="s">
        <v>1039</v>
      </c>
      <c r="D765" s="16" t="s">
        <v>707</v>
      </c>
      <c r="E765" s="16">
        <v>2010.0</v>
      </c>
      <c r="F765" s="16">
        <v>51.4508</v>
      </c>
      <c r="G765" s="16">
        <v>14.1159</v>
      </c>
      <c r="H765" s="15"/>
      <c r="I765" s="15"/>
    </row>
    <row r="766">
      <c r="A766" s="18">
        <v>45665.0</v>
      </c>
      <c r="B766" s="16" t="s">
        <v>1561</v>
      </c>
      <c r="C766" s="16" t="s">
        <v>959</v>
      </c>
      <c r="D766" s="16" t="s">
        <v>707</v>
      </c>
      <c r="E766" s="16">
        <v>2010.0</v>
      </c>
      <c r="F766" s="16">
        <v>49.1533</v>
      </c>
      <c r="G766" s="16">
        <v>7.1967</v>
      </c>
      <c r="H766" s="15"/>
      <c r="I766" s="15"/>
    </row>
    <row r="767">
      <c r="A767" s="18">
        <v>45665.0</v>
      </c>
      <c r="B767" s="16" t="s">
        <v>1562</v>
      </c>
      <c r="C767" s="16" t="s">
        <v>1055</v>
      </c>
      <c r="D767" s="16" t="s">
        <v>707</v>
      </c>
      <c r="E767" s="16">
        <v>2010.0</v>
      </c>
      <c r="F767" s="16">
        <v>49.9143</v>
      </c>
      <c r="G767" s="16">
        <v>12.1482</v>
      </c>
      <c r="H767" s="15"/>
      <c r="I767" s="15"/>
    </row>
    <row r="768">
      <c r="A768" s="18">
        <v>45665.0</v>
      </c>
      <c r="B768" s="16" t="s">
        <v>1563</v>
      </c>
      <c r="C768" s="16">
        <v>1.0</v>
      </c>
      <c r="D768" s="16" t="s">
        <v>707</v>
      </c>
      <c r="E768" s="16">
        <v>2010.0</v>
      </c>
      <c r="F768" s="16">
        <v>52.6332</v>
      </c>
      <c r="G768" s="16">
        <v>14.3436</v>
      </c>
      <c r="H768" s="15"/>
      <c r="I768" s="15"/>
    </row>
    <row r="769">
      <c r="A769" s="18">
        <v>45665.0</v>
      </c>
      <c r="B769" s="16" t="s">
        <v>1564</v>
      </c>
      <c r="C769" s="16">
        <v>1.0</v>
      </c>
      <c r="D769" s="16" t="s">
        <v>707</v>
      </c>
      <c r="E769" s="16">
        <v>2010.0</v>
      </c>
      <c r="F769" s="16">
        <v>50.8341</v>
      </c>
      <c r="G769" s="16">
        <v>13.8804</v>
      </c>
      <c r="H769" s="15"/>
      <c r="I769" s="15"/>
    </row>
    <row r="770">
      <c r="A770" s="18">
        <v>45665.0</v>
      </c>
      <c r="B770" s="16" t="s">
        <v>1565</v>
      </c>
      <c r="C770" s="16" t="s">
        <v>942</v>
      </c>
      <c r="D770" s="16" t="s">
        <v>707</v>
      </c>
      <c r="E770" s="16">
        <v>2010.0</v>
      </c>
      <c r="F770" s="16">
        <v>47.9287</v>
      </c>
      <c r="G770" s="16">
        <v>10.6708</v>
      </c>
      <c r="H770" s="15"/>
      <c r="I770" s="15"/>
    </row>
    <row r="771">
      <c r="A771" s="18">
        <v>45665.0</v>
      </c>
      <c r="B771" s="16" t="s">
        <v>1566</v>
      </c>
      <c r="C771" s="16" t="s">
        <v>1090</v>
      </c>
      <c r="D771" s="16" t="s">
        <v>707</v>
      </c>
      <c r="E771" s="16">
        <v>2010.0</v>
      </c>
      <c r="F771" s="16">
        <v>49.5752</v>
      </c>
      <c r="G771" s="16">
        <v>10.0001</v>
      </c>
      <c r="H771" s="15"/>
      <c r="I771" s="15"/>
    </row>
    <row r="772">
      <c r="A772" s="18">
        <v>45665.0</v>
      </c>
      <c r="B772" s="16" t="s">
        <v>1567</v>
      </c>
      <c r="C772" s="16" t="s">
        <v>959</v>
      </c>
      <c r="D772" s="16" t="s">
        <v>707</v>
      </c>
      <c r="E772" s="16">
        <v>2010.0</v>
      </c>
      <c r="F772" s="16">
        <v>51.7832</v>
      </c>
      <c r="G772" s="16">
        <v>14.0758</v>
      </c>
      <c r="H772" s="15"/>
      <c r="I772" s="15"/>
    </row>
    <row r="773">
      <c r="A773" s="18">
        <v>45665.0</v>
      </c>
      <c r="B773" s="16" t="s">
        <v>1568</v>
      </c>
      <c r="C773" s="16" t="s">
        <v>1085</v>
      </c>
      <c r="D773" s="16" t="s">
        <v>707</v>
      </c>
      <c r="E773" s="16">
        <v>2010.0</v>
      </c>
      <c r="F773" s="16">
        <v>51.8</v>
      </c>
      <c r="G773" s="16">
        <v>11.6946</v>
      </c>
      <c r="H773" s="15"/>
      <c r="I773" s="15"/>
    </row>
    <row r="774">
      <c r="A774" s="18">
        <v>45665.0</v>
      </c>
      <c r="B774" s="16" t="s">
        <v>1569</v>
      </c>
      <c r="C774" s="16" t="s">
        <v>1037</v>
      </c>
      <c r="D774" s="16" t="s">
        <v>707</v>
      </c>
      <c r="E774" s="16">
        <v>2010.0</v>
      </c>
      <c r="F774" s="16">
        <v>48.3914</v>
      </c>
      <c r="G774" s="16">
        <v>9.806</v>
      </c>
      <c r="H774" s="15"/>
      <c r="I774" s="15"/>
    </row>
    <row r="775">
      <c r="A775" s="18">
        <v>45665.0</v>
      </c>
      <c r="B775" s="16" t="s">
        <v>1570</v>
      </c>
      <c r="C775" s="16" t="s">
        <v>1055</v>
      </c>
      <c r="D775" s="16" t="s">
        <v>707</v>
      </c>
      <c r="E775" s="16">
        <v>2010.0</v>
      </c>
      <c r="F775" s="16">
        <v>53.8323</v>
      </c>
      <c r="G775" s="16">
        <v>12.2852</v>
      </c>
      <c r="H775" s="15"/>
      <c r="I775" s="15"/>
    </row>
    <row r="776">
      <c r="A776" s="18">
        <v>45665.0</v>
      </c>
      <c r="B776" s="16" t="s">
        <v>1571</v>
      </c>
      <c r="C776" s="16" t="s">
        <v>942</v>
      </c>
      <c r="D776" s="16" t="s">
        <v>707</v>
      </c>
      <c r="E776" s="16">
        <v>2010.0</v>
      </c>
      <c r="F776" s="16">
        <v>48.7917</v>
      </c>
      <c r="G776" s="16">
        <v>12.272</v>
      </c>
      <c r="H776" s="15"/>
      <c r="I776" s="15"/>
    </row>
    <row r="777">
      <c r="A777" s="18">
        <v>45665.0</v>
      </c>
      <c r="B777" s="16" t="s">
        <v>1572</v>
      </c>
      <c r="C777" s="16">
        <v>1.0</v>
      </c>
      <c r="D777" s="16" t="s">
        <v>707</v>
      </c>
      <c r="E777" s="16">
        <v>2010.0</v>
      </c>
      <c r="F777" s="16">
        <v>51.5102</v>
      </c>
      <c r="G777" s="16">
        <v>11.5788</v>
      </c>
      <c r="H777" s="15"/>
      <c r="I777" s="15"/>
    </row>
    <row r="778">
      <c r="A778" s="18">
        <v>45665.0</v>
      </c>
      <c r="B778" s="16" t="s">
        <v>1573</v>
      </c>
      <c r="C778" s="16" t="s">
        <v>1059</v>
      </c>
      <c r="D778" s="16" t="s">
        <v>707</v>
      </c>
      <c r="E778" s="16">
        <v>2010.0</v>
      </c>
      <c r="F778" s="16">
        <v>48.7888</v>
      </c>
      <c r="G778" s="16">
        <v>11.5792</v>
      </c>
      <c r="H778" s="15"/>
      <c r="I778" s="15"/>
    </row>
    <row r="779">
      <c r="A779" s="18">
        <v>45665.0</v>
      </c>
      <c r="B779" s="16" t="s">
        <v>1574</v>
      </c>
      <c r="C779" s="16" t="s">
        <v>951</v>
      </c>
      <c r="D779" s="16" t="s">
        <v>707</v>
      </c>
      <c r="E779" s="16">
        <v>2010.0</v>
      </c>
      <c r="F779" s="16">
        <v>51.1262</v>
      </c>
      <c r="G779" s="16">
        <v>10.838</v>
      </c>
      <c r="H779" s="15"/>
      <c r="I779" s="15"/>
    </row>
    <row r="780">
      <c r="A780" s="18">
        <v>45665.0</v>
      </c>
      <c r="B780" s="16" t="s">
        <v>1575</v>
      </c>
      <c r="C780" s="16" t="s">
        <v>969</v>
      </c>
      <c r="D780" s="16" t="s">
        <v>707</v>
      </c>
      <c r="E780" s="16">
        <v>2010.0</v>
      </c>
      <c r="F780" s="16">
        <v>49.201</v>
      </c>
      <c r="G780" s="16">
        <v>9.6662</v>
      </c>
      <c r="H780" s="15"/>
      <c r="I780" s="15"/>
    </row>
    <row r="781">
      <c r="A781" s="18">
        <v>45665.0</v>
      </c>
      <c r="B781" s="16" t="s">
        <v>1576</v>
      </c>
      <c r="C781" s="16" t="s">
        <v>969</v>
      </c>
      <c r="D781" s="16" t="s">
        <v>707</v>
      </c>
      <c r="E781" s="16">
        <v>2010.0</v>
      </c>
      <c r="F781" s="16">
        <v>53.6445</v>
      </c>
      <c r="G781" s="16">
        <v>13.914</v>
      </c>
      <c r="H781" s="15"/>
      <c r="I781" s="15"/>
    </row>
    <row r="782">
      <c r="A782" s="18">
        <v>45665.0</v>
      </c>
      <c r="B782" s="16" t="s">
        <v>1577</v>
      </c>
      <c r="C782" s="16" t="s">
        <v>961</v>
      </c>
      <c r="D782" s="16" t="s">
        <v>707</v>
      </c>
      <c r="E782" s="16">
        <v>2010.0</v>
      </c>
      <c r="F782" s="16">
        <v>50.0318</v>
      </c>
      <c r="G782" s="16">
        <v>7.4334</v>
      </c>
      <c r="H782" s="15"/>
      <c r="I782" s="15"/>
    </row>
    <row r="783">
      <c r="A783" s="18">
        <v>45665.0</v>
      </c>
      <c r="B783" s="16" t="s">
        <v>1578</v>
      </c>
      <c r="C783" s="16" t="s">
        <v>942</v>
      </c>
      <c r="D783" s="16" t="s">
        <v>707</v>
      </c>
      <c r="E783" s="16">
        <v>2010.0</v>
      </c>
      <c r="F783" s="16">
        <v>53.2215</v>
      </c>
      <c r="G783" s="16">
        <v>13.6872</v>
      </c>
      <c r="H783" s="15"/>
      <c r="I783" s="15"/>
    </row>
    <row r="784">
      <c r="A784" s="18">
        <v>45665.0</v>
      </c>
      <c r="B784" s="16" t="s">
        <v>1579</v>
      </c>
      <c r="C784" s="16" t="s">
        <v>946</v>
      </c>
      <c r="D784" s="16" t="s">
        <v>707</v>
      </c>
      <c r="E784" s="16">
        <v>2010.0</v>
      </c>
      <c r="F784" s="16">
        <v>48.4217</v>
      </c>
      <c r="G784" s="16">
        <v>12.8163</v>
      </c>
      <c r="H784" s="15"/>
      <c r="I784" s="15"/>
    </row>
    <row r="785">
      <c r="A785" s="18">
        <v>45665.0</v>
      </c>
      <c r="B785" s="16" t="s">
        <v>1580</v>
      </c>
      <c r="C785" s="16" t="s">
        <v>1581</v>
      </c>
      <c r="D785" s="16" t="s">
        <v>707</v>
      </c>
      <c r="E785" s="16">
        <v>2010.0</v>
      </c>
      <c r="F785" s="16">
        <v>51.5806</v>
      </c>
      <c r="G785" s="16">
        <v>11.4988</v>
      </c>
      <c r="H785" s="15"/>
      <c r="I785" s="15"/>
    </row>
    <row r="786">
      <c r="A786" s="18">
        <v>45665.0</v>
      </c>
      <c r="B786" s="16" t="s">
        <v>1582</v>
      </c>
      <c r="C786" s="16">
        <v>2.0</v>
      </c>
      <c r="D786" s="16" t="s">
        <v>707</v>
      </c>
      <c r="E786" s="16">
        <v>2010.0</v>
      </c>
      <c r="F786" s="16">
        <v>51.4024</v>
      </c>
      <c r="G786" s="16">
        <v>13.1317</v>
      </c>
      <c r="H786" s="15"/>
      <c r="I786" s="15"/>
    </row>
    <row r="787">
      <c r="A787" s="18">
        <v>45665.0</v>
      </c>
      <c r="B787" s="16" t="s">
        <v>1583</v>
      </c>
      <c r="C787" s="16" t="s">
        <v>959</v>
      </c>
      <c r="D787" s="16" t="s">
        <v>707</v>
      </c>
      <c r="E787" s="16">
        <v>2010.0</v>
      </c>
      <c r="F787" s="16">
        <v>51.4024</v>
      </c>
      <c r="G787" s="16">
        <v>13.1317</v>
      </c>
      <c r="H787" s="15"/>
      <c r="I787" s="15"/>
    </row>
    <row r="788">
      <c r="A788" s="18">
        <v>45665.0</v>
      </c>
      <c r="B788" s="16" t="s">
        <v>1584</v>
      </c>
      <c r="C788" s="16" t="s">
        <v>951</v>
      </c>
      <c r="D788" s="16" t="s">
        <v>707</v>
      </c>
      <c r="E788" s="16">
        <v>2010.0</v>
      </c>
      <c r="F788" s="16">
        <v>51.4024</v>
      </c>
      <c r="G788" s="16">
        <v>13.1317</v>
      </c>
      <c r="H788" s="15"/>
      <c r="I788" s="15"/>
    </row>
    <row r="789">
      <c r="A789" s="18">
        <v>45665.0</v>
      </c>
      <c r="B789" s="16" t="s">
        <v>1585</v>
      </c>
      <c r="C789" s="16" t="s">
        <v>959</v>
      </c>
      <c r="D789" s="16" t="s">
        <v>707</v>
      </c>
      <c r="E789" s="16">
        <v>2010.0</v>
      </c>
      <c r="F789" s="16">
        <v>51.4024</v>
      </c>
      <c r="G789" s="16">
        <v>13.1317</v>
      </c>
      <c r="H789" s="15"/>
      <c r="I789" s="15"/>
    </row>
    <row r="790">
      <c r="A790" s="18">
        <v>45665.0</v>
      </c>
      <c r="B790" s="16" t="s">
        <v>1586</v>
      </c>
      <c r="C790" s="16" t="s">
        <v>948</v>
      </c>
      <c r="D790" s="16" t="s">
        <v>707</v>
      </c>
      <c r="E790" s="16">
        <v>2010.0</v>
      </c>
      <c r="F790" s="16">
        <v>51.4024</v>
      </c>
      <c r="G790" s="16">
        <v>13.1317</v>
      </c>
      <c r="H790" s="15"/>
      <c r="I790" s="15"/>
    </row>
    <row r="791">
      <c r="A791" s="18">
        <v>45665.0</v>
      </c>
      <c r="B791" s="16" t="s">
        <v>1587</v>
      </c>
      <c r="C791" s="16" t="s">
        <v>961</v>
      </c>
      <c r="D791" s="16" t="s">
        <v>707</v>
      </c>
      <c r="E791" s="16">
        <v>2010.0</v>
      </c>
      <c r="F791" s="16">
        <v>51.4024</v>
      </c>
      <c r="G791" s="16">
        <v>13.1317</v>
      </c>
      <c r="H791" s="15"/>
      <c r="I791" s="15"/>
    </row>
    <row r="792">
      <c r="A792" s="18">
        <v>45665.0</v>
      </c>
      <c r="B792" s="16" t="s">
        <v>1588</v>
      </c>
      <c r="C792" s="16" t="s">
        <v>948</v>
      </c>
      <c r="D792" s="16" t="s">
        <v>707</v>
      </c>
      <c r="E792" s="16">
        <v>2010.0</v>
      </c>
      <c r="F792" s="16">
        <v>51.4024</v>
      </c>
      <c r="G792" s="16">
        <v>13.1317</v>
      </c>
      <c r="H792" s="15"/>
      <c r="I792" s="15"/>
    </row>
    <row r="793">
      <c r="A793" s="18">
        <v>45665.0</v>
      </c>
      <c r="B793" s="16" t="s">
        <v>1589</v>
      </c>
      <c r="C793" s="16" t="s">
        <v>959</v>
      </c>
      <c r="D793" s="16" t="s">
        <v>707</v>
      </c>
      <c r="E793" s="16">
        <v>2010.0</v>
      </c>
      <c r="F793" s="16">
        <v>51.4024</v>
      </c>
      <c r="G793" s="16">
        <v>13.1317</v>
      </c>
      <c r="H793" s="15"/>
      <c r="I793" s="15"/>
    </row>
    <row r="794">
      <c r="A794" s="18">
        <v>45665.0</v>
      </c>
      <c r="B794" s="16" t="s">
        <v>1590</v>
      </c>
      <c r="C794" s="16" t="s">
        <v>948</v>
      </c>
      <c r="D794" s="16" t="s">
        <v>707</v>
      </c>
      <c r="E794" s="16">
        <v>2010.0</v>
      </c>
      <c r="F794" s="16">
        <v>48.8067</v>
      </c>
      <c r="G794" s="16">
        <v>12.7843</v>
      </c>
      <c r="H794" s="15"/>
      <c r="I794" s="15"/>
    </row>
    <row r="795">
      <c r="A795" s="18">
        <v>45665.0</v>
      </c>
      <c r="B795" s="16" t="s">
        <v>1591</v>
      </c>
      <c r="C795" s="16">
        <v>1.0</v>
      </c>
      <c r="D795" s="16" t="s">
        <v>707</v>
      </c>
      <c r="E795" s="16">
        <v>2010.0</v>
      </c>
      <c r="F795" s="16">
        <v>52.6637</v>
      </c>
      <c r="G795" s="16">
        <v>11.5986</v>
      </c>
      <c r="H795" s="15"/>
      <c r="I795" s="15"/>
    </row>
    <row r="796">
      <c r="A796" s="18">
        <v>45665.0</v>
      </c>
      <c r="B796" s="16" t="s">
        <v>1592</v>
      </c>
      <c r="C796" s="16">
        <v>1.0</v>
      </c>
      <c r="D796" s="16" t="s">
        <v>707</v>
      </c>
      <c r="E796" s="16">
        <v>2010.0</v>
      </c>
      <c r="F796" s="16">
        <v>49.3441</v>
      </c>
      <c r="G796" s="16">
        <v>7.3503</v>
      </c>
      <c r="H796" s="15"/>
      <c r="I796" s="15"/>
    </row>
    <row r="797">
      <c r="A797" s="18">
        <v>45665.0</v>
      </c>
      <c r="B797" s="16" t="s">
        <v>1593</v>
      </c>
      <c r="C797" s="16">
        <v>5.0</v>
      </c>
      <c r="D797" s="16" t="s">
        <v>707</v>
      </c>
      <c r="E797" s="16">
        <v>2010.0</v>
      </c>
      <c r="F797" s="16">
        <v>48.401</v>
      </c>
      <c r="G797" s="16">
        <v>10.6601</v>
      </c>
      <c r="H797" s="15"/>
      <c r="I797" s="15"/>
    </row>
    <row r="798">
      <c r="A798" s="18">
        <v>45665.0</v>
      </c>
      <c r="B798" s="16" t="s">
        <v>1594</v>
      </c>
      <c r="C798" s="16" t="s">
        <v>1215</v>
      </c>
      <c r="D798" s="16" t="s">
        <v>707</v>
      </c>
      <c r="E798" s="16">
        <v>2010.0</v>
      </c>
      <c r="F798" s="16">
        <v>54.8525</v>
      </c>
      <c r="G798" s="16">
        <v>8.8916</v>
      </c>
      <c r="H798" s="15"/>
      <c r="I798" s="15"/>
    </row>
    <row r="799">
      <c r="A799" s="18">
        <v>45665.0</v>
      </c>
      <c r="B799" s="16" t="s">
        <v>1595</v>
      </c>
      <c r="C799" s="16" t="s">
        <v>982</v>
      </c>
      <c r="D799" s="16" t="s">
        <v>707</v>
      </c>
      <c r="E799" s="16">
        <v>2010.0</v>
      </c>
      <c r="F799" s="16">
        <v>48.2392</v>
      </c>
      <c r="G799" s="16">
        <v>11.9474</v>
      </c>
      <c r="H799" s="15"/>
      <c r="I799" s="15"/>
    </row>
    <row r="800">
      <c r="A800" s="18">
        <v>45665.0</v>
      </c>
      <c r="B800" s="16" t="s">
        <v>1596</v>
      </c>
      <c r="C800" s="16" t="s">
        <v>1436</v>
      </c>
      <c r="D800" s="16" t="s">
        <v>707</v>
      </c>
      <c r="E800" s="16">
        <v>2010.0</v>
      </c>
      <c r="F800" s="16">
        <v>54.1242</v>
      </c>
      <c r="G800" s="16">
        <v>13.0478</v>
      </c>
      <c r="H800" s="15"/>
      <c r="I800" s="15"/>
    </row>
    <row r="801">
      <c r="A801" s="18">
        <v>45665.0</v>
      </c>
      <c r="B801" s="16" t="s">
        <v>1597</v>
      </c>
      <c r="C801" s="16" t="s">
        <v>1598</v>
      </c>
      <c r="D801" s="16" t="s">
        <v>707</v>
      </c>
      <c r="E801" s="16">
        <v>2010.0</v>
      </c>
      <c r="F801" s="16">
        <v>49.9861</v>
      </c>
      <c r="G801" s="16">
        <v>10.9647</v>
      </c>
      <c r="H801" s="15"/>
      <c r="I801" s="15"/>
    </row>
    <row r="802">
      <c r="A802" s="18">
        <v>45665.0</v>
      </c>
      <c r="B802" s="16" t="s">
        <v>1599</v>
      </c>
      <c r="C802" s="16" t="s">
        <v>946</v>
      </c>
      <c r="D802" s="16" t="s">
        <v>707</v>
      </c>
      <c r="E802" s="16">
        <v>2010.0</v>
      </c>
      <c r="F802" s="16">
        <v>48.4148</v>
      </c>
      <c r="G802" s="16">
        <v>12.5449</v>
      </c>
      <c r="H802" s="15"/>
      <c r="I802" s="15"/>
    </row>
    <row r="803">
      <c r="A803" s="18">
        <v>45665.0</v>
      </c>
      <c r="B803" s="16" t="s">
        <v>1600</v>
      </c>
      <c r="C803" s="16">
        <v>1.0</v>
      </c>
      <c r="D803" s="16" t="s">
        <v>707</v>
      </c>
      <c r="E803" s="16">
        <v>2010.0</v>
      </c>
      <c r="F803" s="16">
        <v>52.5089</v>
      </c>
      <c r="G803" s="16">
        <v>7.2692</v>
      </c>
      <c r="H803" s="15"/>
      <c r="I803" s="15"/>
    </row>
    <row r="804">
      <c r="A804" s="18">
        <v>45665.0</v>
      </c>
      <c r="B804" s="16" t="s">
        <v>1601</v>
      </c>
      <c r="C804" s="16">
        <v>9.0</v>
      </c>
      <c r="D804" s="16" t="s">
        <v>707</v>
      </c>
      <c r="E804" s="16">
        <v>2010.0</v>
      </c>
      <c r="F804" s="16">
        <v>49.6803</v>
      </c>
      <c r="G804" s="16">
        <v>9.8711</v>
      </c>
      <c r="H804" s="15"/>
      <c r="I804" s="15"/>
    </row>
    <row r="805">
      <c r="A805" s="18">
        <v>45665.0</v>
      </c>
      <c r="B805" s="16" t="s">
        <v>1602</v>
      </c>
      <c r="C805" s="16" t="s">
        <v>1386</v>
      </c>
      <c r="D805" s="16" t="s">
        <v>707</v>
      </c>
      <c r="E805" s="16">
        <v>2010.0</v>
      </c>
      <c r="F805" s="16">
        <v>49.6803</v>
      </c>
      <c r="G805" s="16">
        <v>9.8711</v>
      </c>
      <c r="H805" s="15"/>
      <c r="I805" s="15"/>
    </row>
    <row r="806">
      <c r="A806" s="18">
        <v>45665.0</v>
      </c>
      <c r="B806" s="16" t="s">
        <v>1603</v>
      </c>
      <c r="C806" s="16" t="s">
        <v>984</v>
      </c>
      <c r="D806" s="16" t="s">
        <v>707</v>
      </c>
      <c r="E806" s="16">
        <v>2010.0</v>
      </c>
      <c r="F806" s="16">
        <v>53.6207</v>
      </c>
      <c r="G806" s="16">
        <v>13.5177</v>
      </c>
      <c r="H806" s="15"/>
      <c r="I806" s="15"/>
    </row>
    <row r="807">
      <c r="A807" s="18">
        <v>45665.0</v>
      </c>
      <c r="B807" s="16" t="s">
        <v>1604</v>
      </c>
      <c r="C807" s="16" t="s">
        <v>959</v>
      </c>
      <c r="D807" s="16" t="s">
        <v>707</v>
      </c>
      <c r="E807" s="16">
        <v>2010.0</v>
      </c>
      <c r="F807" s="16">
        <v>51.2747</v>
      </c>
      <c r="G807" s="16">
        <v>13.8979</v>
      </c>
      <c r="H807" s="15"/>
      <c r="I807" s="15"/>
    </row>
    <row r="808">
      <c r="A808" s="18">
        <v>45665.0</v>
      </c>
      <c r="B808" s="16" t="s">
        <v>1605</v>
      </c>
      <c r="C808" s="16" t="s">
        <v>969</v>
      </c>
      <c r="D808" s="16" t="s">
        <v>707</v>
      </c>
      <c r="E808" s="16">
        <v>2010.0</v>
      </c>
      <c r="F808" s="16">
        <v>51.2751</v>
      </c>
      <c r="G808" s="16">
        <v>13.8985</v>
      </c>
      <c r="H808" s="15"/>
      <c r="I808" s="15"/>
    </row>
    <row r="809">
      <c r="A809" s="18">
        <v>45665.0</v>
      </c>
      <c r="B809" s="16" t="s">
        <v>1606</v>
      </c>
      <c r="C809" s="16" t="s">
        <v>961</v>
      </c>
      <c r="D809" s="16" t="s">
        <v>707</v>
      </c>
      <c r="E809" s="16">
        <v>2010.0</v>
      </c>
      <c r="F809" s="16">
        <v>52.2928</v>
      </c>
      <c r="G809" s="16">
        <v>7.6878</v>
      </c>
      <c r="H809" s="15"/>
      <c r="I809" s="15"/>
    </row>
    <row r="810">
      <c r="A810" s="18">
        <v>45665.0</v>
      </c>
      <c r="B810" s="16" t="s">
        <v>1607</v>
      </c>
      <c r="C810" s="16" t="s">
        <v>948</v>
      </c>
      <c r="D810" s="16" t="s">
        <v>707</v>
      </c>
      <c r="E810" s="16">
        <v>2010.0</v>
      </c>
      <c r="F810" s="16">
        <v>49.9971</v>
      </c>
      <c r="G810" s="16">
        <v>11.7628</v>
      </c>
      <c r="H810" s="15"/>
      <c r="I810" s="15"/>
    </row>
    <row r="811">
      <c r="A811" s="18">
        <v>45665.0</v>
      </c>
      <c r="B811" s="16" t="s">
        <v>1608</v>
      </c>
      <c r="C811" s="16" t="s">
        <v>1609</v>
      </c>
      <c r="D811" s="16" t="s">
        <v>707</v>
      </c>
      <c r="E811" s="16">
        <v>2010.0</v>
      </c>
      <c r="F811" s="16">
        <v>54.8668</v>
      </c>
      <c r="G811" s="16">
        <v>8.6553</v>
      </c>
      <c r="H811" s="15"/>
      <c r="I811" s="15"/>
    </row>
    <row r="812">
      <c r="A812" s="18">
        <v>45665.0</v>
      </c>
      <c r="B812" s="16" t="s">
        <v>1610</v>
      </c>
      <c r="C812" s="16" t="s">
        <v>1051</v>
      </c>
      <c r="D812" s="16" t="s">
        <v>707</v>
      </c>
      <c r="E812" s="16">
        <v>2010.0</v>
      </c>
      <c r="F812" s="16">
        <v>49.4238</v>
      </c>
      <c r="G812" s="16">
        <v>10.8658</v>
      </c>
      <c r="H812" s="15"/>
      <c r="I812" s="15"/>
    </row>
    <row r="813">
      <c r="A813" s="18">
        <v>45665.0</v>
      </c>
      <c r="B813" s="16" t="s">
        <v>1611</v>
      </c>
      <c r="C813" s="16" t="s">
        <v>969</v>
      </c>
      <c r="D813" s="16" t="s">
        <v>707</v>
      </c>
      <c r="E813" s="16">
        <v>2010.0</v>
      </c>
      <c r="F813" s="16">
        <v>48.3632</v>
      </c>
      <c r="G813" s="16">
        <v>11.4736</v>
      </c>
      <c r="H813" s="15"/>
      <c r="I813" s="15"/>
    </row>
    <row r="814">
      <c r="A814" s="18">
        <v>45665.0</v>
      </c>
      <c r="B814" s="16" t="s">
        <v>1612</v>
      </c>
      <c r="C814" s="16" t="s">
        <v>942</v>
      </c>
      <c r="D814" s="16" t="s">
        <v>707</v>
      </c>
      <c r="E814" s="16">
        <v>2010.0</v>
      </c>
      <c r="F814" s="16">
        <v>52.2326</v>
      </c>
      <c r="G814" s="16">
        <v>10.3915</v>
      </c>
      <c r="H814" s="15"/>
      <c r="I814" s="15"/>
    </row>
    <row r="815">
      <c r="A815" s="18">
        <v>45665.0</v>
      </c>
      <c r="B815" s="16" t="s">
        <v>1613</v>
      </c>
      <c r="C815" s="16">
        <v>1.0</v>
      </c>
      <c r="D815" s="16" t="s">
        <v>707</v>
      </c>
      <c r="E815" s="16">
        <v>2010.0</v>
      </c>
      <c r="F815" s="16">
        <v>48.6008</v>
      </c>
      <c r="G815" s="16">
        <v>11.9347</v>
      </c>
      <c r="H815" s="15"/>
      <c r="I815" s="15"/>
    </row>
    <row r="816">
      <c r="A816" s="18">
        <v>45665.0</v>
      </c>
      <c r="B816" s="16" t="s">
        <v>1614</v>
      </c>
      <c r="C816" s="16" t="s">
        <v>1007</v>
      </c>
      <c r="D816" s="16" t="s">
        <v>707</v>
      </c>
      <c r="E816" s="16">
        <v>2010.0</v>
      </c>
      <c r="F816" s="16">
        <v>50.0036</v>
      </c>
      <c r="G816" s="16">
        <v>7.0114</v>
      </c>
      <c r="H816" s="15"/>
      <c r="I816" s="15"/>
    </row>
    <row r="817">
      <c r="A817" s="18">
        <v>45665.0</v>
      </c>
      <c r="B817" s="16" t="s">
        <v>1615</v>
      </c>
      <c r="C817" s="16" t="s">
        <v>948</v>
      </c>
      <c r="D817" s="16" t="s">
        <v>707</v>
      </c>
      <c r="E817" s="16">
        <v>2010.0</v>
      </c>
      <c r="F817" s="16">
        <v>50.0</v>
      </c>
      <c r="G817" s="16">
        <v>7.0126</v>
      </c>
      <c r="H817" s="15"/>
      <c r="I817" s="15"/>
    </row>
    <row r="818">
      <c r="A818" s="18">
        <v>45665.0</v>
      </c>
      <c r="B818" s="16" t="s">
        <v>1616</v>
      </c>
      <c r="C818" s="16" t="s">
        <v>1037</v>
      </c>
      <c r="D818" s="16" t="s">
        <v>707</v>
      </c>
      <c r="E818" s="16">
        <v>2010.0</v>
      </c>
      <c r="F818" s="16">
        <v>49.3624</v>
      </c>
      <c r="G818" s="16">
        <v>9.7964</v>
      </c>
      <c r="H818" s="15"/>
      <c r="I818" s="15"/>
    </row>
    <row r="819">
      <c r="A819" s="18">
        <v>45665.0</v>
      </c>
      <c r="B819" s="16" t="s">
        <v>1617</v>
      </c>
      <c r="C819" s="16" t="s">
        <v>1051</v>
      </c>
      <c r="D819" s="16" t="s">
        <v>707</v>
      </c>
      <c r="E819" s="16">
        <v>2010.0</v>
      </c>
      <c r="F819" s="16">
        <v>51.4006</v>
      </c>
      <c r="G819" s="16">
        <v>13.731</v>
      </c>
      <c r="H819" s="15"/>
      <c r="I819" s="15"/>
    </row>
    <row r="820">
      <c r="A820" s="18">
        <v>45665.0</v>
      </c>
      <c r="B820" s="16" t="s">
        <v>1618</v>
      </c>
      <c r="C820" s="16" t="s">
        <v>1055</v>
      </c>
      <c r="D820" s="16" t="s">
        <v>707</v>
      </c>
      <c r="E820" s="16">
        <v>2010.0</v>
      </c>
      <c r="F820" s="16">
        <v>49.8079</v>
      </c>
      <c r="G820" s="16">
        <v>12.1942</v>
      </c>
      <c r="H820" s="15"/>
      <c r="I820" s="15"/>
    </row>
    <row r="821">
      <c r="A821" s="18">
        <v>45665.0</v>
      </c>
      <c r="B821" s="16" t="s">
        <v>1619</v>
      </c>
      <c r="C821" s="16" t="s">
        <v>969</v>
      </c>
      <c r="D821" s="16" t="s">
        <v>707</v>
      </c>
      <c r="E821" s="16">
        <v>2010.0</v>
      </c>
      <c r="F821" s="16">
        <v>49.6645</v>
      </c>
      <c r="G821" s="16">
        <v>8.5602</v>
      </c>
      <c r="H821" s="15"/>
      <c r="I821" s="15"/>
    </row>
    <row r="822">
      <c r="A822" s="18">
        <v>45665.0</v>
      </c>
      <c r="B822" s="16" t="s">
        <v>1620</v>
      </c>
      <c r="C822" s="16" t="s">
        <v>1055</v>
      </c>
      <c r="D822" s="16" t="s">
        <v>707</v>
      </c>
      <c r="E822" s="16">
        <v>2010.0</v>
      </c>
      <c r="F822" s="16">
        <v>53.8001</v>
      </c>
      <c r="G822" s="16">
        <v>11.4615</v>
      </c>
      <c r="H822" s="15"/>
      <c r="I822" s="15"/>
    </row>
    <row r="823">
      <c r="A823" s="18">
        <v>45665.0</v>
      </c>
      <c r="B823" s="16" t="s">
        <v>1621</v>
      </c>
      <c r="C823" s="16">
        <v>6.0</v>
      </c>
      <c r="D823" s="16" t="s">
        <v>707</v>
      </c>
      <c r="E823" s="16">
        <v>2010.0</v>
      </c>
      <c r="F823" s="16">
        <v>52.109</v>
      </c>
      <c r="G823" s="16">
        <v>13.162</v>
      </c>
      <c r="H823" s="15"/>
      <c r="I823" s="15"/>
    </row>
    <row r="824">
      <c r="A824" s="18">
        <v>45665.0</v>
      </c>
      <c r="B824" s="16" t="s">
        <v>1622</v>
      </c>
      <c r="C824" s="16">
        <v>1.0</v>
      </c>
      <c r="D824" s="16" t="s">
        <v>707</v>
      </c>
      <c r="E824" s="16">
        <v>2010.0</v>
      </c>
      <c r="F824" s="16">
        <v>51.5491</v>
      </c>
      <c r="G824" s="16">
        <v>13.226</v>
      </c>
      <c r="H824" s="15"/>
      <c r="I824" s="15"/>
    </row>
    <row r="825">
      <c r="A825" s="18">
        <v>45665.0</v>
      </c>
      <c r="B825" s="16" t="s">
        <v>1623</v>
      </c>
      <c r="C825" s="16" t="s">
        <v>948</v>
      </c>
      <c r="D825" s="16" t="s">
        <v>707</v>
      </c>
      <c r="E825" s="16">
        <v>2010.0</v>
      </c>
      <c r="F825" s="16">
        <v>54.2939</v>
      </c>
      <c r="G825" s="16">
        <v>12.7305</v>
      </c>
      <c r="H825" s="15"/>
      <c r="I825" s="15"/>
    </row>
    <row r="826">
      <c r="A826" s="18">
        <v>45665.0</v>
      </c>
      <c r="B826" s="16" t="s">
        <v>1624</v>
      </c>
      <c r="C826" s="16" t="s">
        <v>1099</v>
      </c>
      <c r="D826" s="16" t="s">
        <v>707</v>
      </c>
      <c r="E826" s="16">
        <v>2010.0</v>
      </c>
      <c r="F826" s="16">
        <v>54.084</v>
      </c>
      <c r="G826" s="16">
        <v>9.0393</v>
      </c>
      <c r="H826" s="15"/>
      <c r="I826" s="15"/>
    </row>
    <row r="827">
      <c r="A827" s="18">
        <v>45665.0</v>
      </c>
      <c r="B827" s="16" t="s">
        <v>1625</v>
      </c>
      <c r="C827" s="16" t="s">
        <v>1059</v>
      </c>
      <c r="D827" s="16" t="s">
        <v>707</v>
      </c>
      <c r="E827" s="16">
        <v>2010.0</v>
      </c>
      <c r="F827" s="16">
        <v>50.8806</v>
      </c>
      <c r="G827" s="16">
        <v>11.4633</v>
      </c>
      <c r="H827" s="15"/>
      <c r="I827" s="15"/>
    </row>
    <row r="828">
      <c r="A828" s="18">
        <v>45665.0</v>
      </c>
      <c r="B828" s="16" t="s">
        <v>1626</v>
      </c>
      <c r="C828" s="16">
        <v>1.0</v>
      </c>
      <c r="D828" s="16" t="s">
        <v>707</v>
      </c>
      <c r="E828" s="16">
        <v>2010.0</v>
      </c>
      <c r="F828" s="16">
        <v>49.2479</v>
      </c>
      <c r="G828" s="16">
        <v>8.6639</v>
      </c>
      <c r="H828" s="15"/>
      <c r="I828" s="15"/>
    </row>
    <row r="829">
      <c r="A829" s="18">
        <v>45665.0</v>
      </c>
      <c r="B829" s="16" t="s">
        <v>1627</v>
      </c>
      <c r="C829" s="16">
        <v>1.0</v>
      </c>
      <c r="D829" s="16" t="s">
        <v>707</v>
      </c>
      <c r="E829" s="16">
        <v>2010.0</v>
      </c>
      <c r="F829" s="16">
        <v>52.1208</v>
      </c>
      <c r="G829" s="16">
        <v>10.0525</v>
      </c>
      <c r="H829" s="15"/>
      <c r="I829" s="15"/>
    </row>
    <row r="830">
      <c r="A830" s="18">
        <v>45665.0</v>
      </c>
      <c r="B830" s="16" t="s">
        <v>1628</v>
      </c>
      <c r="C830" s="16" t="s">
        <v>1039</v>
      </c>
      <c r="D830" s="16" t="s">
        <v>707</v>
      </c>
      <c r="E830" s="16">
        <v>2010.0</v>
      </c>
      <c r="F830" s="16">
        <v>50.26</v>
      </c>
      <c r="G830" s="16">
        <v>11.1257</v>
      </c>
      <c r="H830" s="15"/>
      <c r="I830" s="15"/>
    </row>
    <row r="831">
      <c r="A831" s="18">
        <v>45665.0</v>
      </c>
      <c r="B831" s="16" t="s">
        <v>1629</v>
      </c>
      <c r="C831" s="16">
        <v>1.0</v>
      </c>
      <c r="D831" s="16" t="s">
        <v>707</v>
      </c>
      <c r="E831" s="16">
        <v>2010.0</v>
      </c>
      <c r="F831" s="16">
        <v>48.2207</v>
      </c>
      <c r="G831" s="16">
        <v>12.1418</v>
      </c>
      <c r="H831" s="15"/>
      <c r="I831" s="15"/>
    </row>
    <row r="832">
      <c r="A832" s="18">
        <v>45665.0</v>
      </c>
      <c r="B832" s="16" t="s">
        <v>1630</v>
      </c>
      <c r="C832" s="16" t="s">
        <v>1341</v>
      </c>
      <c r="D832" s="16" t="s">
        <v>707</v>
      </c>
      <c r="E832" s="16">
        <v>2010.0</v>
      </c>
      <c r="F832" s="16">
        <v>50.9579</v>
      </c>
      <c r="G832" s="16">
        <v>11.234</v>
      </c>
      <c r="H832" s="15"/>
      <c r="I832" s="15"/>
    </row>
    <row r="833">
      <c r="A833" s="18">
        <v>45665.0</v>
      </c>
      <c r="B833" s="16" t="s">
        <v>1631</v>
      </c>
      <c r="C833" s="16" t="s">
        <v>948</v>
      </c>
      <c r="D833" s="16" t="s">
        <v>707</v>
      </c>
      <c r="E833" s="16">
        <v>2010.0</v>
      </c>
      <c r="F833" s="16">
        <v>50.0195</v>
      </c>
      <c r="G833" s="16">
        <v>11.3638</v>
      </c>
      <c r="H833" s="15"/>
      <c r="I833" s="15"/>
    </row>
    <row r="834">
      <c r="A834" s="18">
        <v>45665.0</v>
      </c>
      <c r="B834" s="16" t="s">
        <v>1632</v>
      </c>
      <c r="C834" s="16" t="s">
        <v>969</v>
      </c>
      <c r="D834" s="16" t="s">
        <v>707</v>
      </c>
      <c r="E834" s="16">
        <v>2010.0</v>
      </c>
      <c r="F834" s="16">
        <v>51.7225</v>
      </c>
      <c r="G834" s="16">
        <v>11.9611</v>
      </c>
      <c r="H834" s="15"/>
      <c r="I834" s="15"/>
    </row>
    <row r="835">
      <c r="A835" s="18">
        <v>45665.0</v>
      </c>
      <c r="B835" s="16" t="s">
        <v>1633</v>
      </c>
      <c r="C835" s="16" t="s">
        <v>1055</v>
      </c>
      <c r="D835" s="16" t="s">
        <v>707</v>
      </c>
      <c r="E835" s="16">
        <v>2010.0</v>
      </c>
      <c r="F835" s="16">
        <v>52.4401</v>
      </c>
      <c r="G835" s="16">
        <v>10.9761</v>
      </c>
      <c r="H835" s="15"/>
      <c r="I835" s="15"/>
    </row>
    <row r="836">
      <c r="A836" s="18">
        <v>45665.0</v>
      </c>
      <c r="B836" s="16" t="s">
        <v>1634</v>
      </c>
      <c r="C836" s="16" t="s">
        <v>1436</v>
      </c>
      <c r="D836" s="16" t="s">
        <v>707</v>
      </c>
      <c r="E836" s="16">
        <v>2010.0</v>
      </c>
      <c r="F836" s="16">
        <v>50.0578</v>
      </c>
      <c r="G836" s="16">
        <v>6.2096</v>
      </c>
      <c r="H836" s="15"/>
      <c r="I836" s="15"/>
    </row>
    <row r="837">
      <c r="A837" s="18">
        <v>45665.0</v>
      </c>
      <c r="B837" s="16" t="s">
        <v>1635</v>
      </c>
      <c r="C837" s="16" t="s">
        <v>969</v>
      </c>
      <c r="D837" s="16" t="s">
        <v>707</v>
      </c>
      <c r="E837" s="16">
        <v>2010.0</v>
      </c>
      <c r="F837" s="16">
        <v>51.7986</v>
      </c>
      <c r="G837" s="16">
        <v>12.2364</v>
      </c>
      <c r="H837" s="15"/>
      <c r="I837" s="15"/>
    </row>
    <row r="838">
      <c r="A838" s="18">
        <v>45665.0</v>
      </c>
      <c r="B838" s="16" t="s">
        <v>1636</v>
      </c>
      <c r="C838" s="16" t="s">
        <v>1055</v>
      </c>
      <c r="D838" s="16" t="s">
        <v>707</v>
      </c>
      <c r="E838" s="16">
        <v>2010.0</v>
      </c>
      <c r="F838" s="16">
        <v>49.9876</v>
      </c>
      <c r="G838" s="16">
        <v>8.3837</v>
      </c>
      <c r="H838" s="15"/>
      <c r="I838" s="15"/>
    </row>
    <row r="839">
      <c r="A839" s="18">
        <v>45665.0</v>
      </c>
      <c r="B839" s="16" t="s">
        <v>1637</v>
      </c>
      <c r="C839" s="16" t="s">
        <v>969</v>
      </c>
      <c r="D839" s="16" t="s">
        <v>707</v>
      </c>
      <c r="E839" s="16">
        <v>2010.0</v>
      </c>
      <c r="F839" s="16">
        <v>53.5312</v>
      </c>
      <c r="G839" s="16">
        <v>7.2633</v>
      </c>
      <c r="H839" s="15"/>
      <c r="I839" s="15"/>
    </row>
    <row r="840">
      <c r="A840" s="18">
        <v>45665.0</v>
      </c>
      <c r="B840" s="16" t="s">
        <v>1638</v>
      </c>
      <c r="C840" s="16" t="s">
        <v>959</v>
      </c>
      <c r="D840" s="16" t="s">
        <v>707</v>
      </c>
      <c r="E840" s="16">
        <v>2010.0</v>
      </c>
      <c r="F840" s="16">
        <v>50.1834</v>
      </c>
      <c r="G840" s="16">
        <v>10.1011</v>
      </c>
      <c r="H840" s="15"/>
      <c r="I840" s="15"/>
    </row>
    <row r="841">
      <c r="A841" s="18">
        <v>45665.0</v>
      </c>
      <c r="B841" s="16" t="s">
        <v>1639</v>
      </c>
      <c r="C841" s="16" t="s">
        <v>969</v>
      </c>
      <c r="D841" s="16" t="s">
        <v>707</v>
      </c>
      <c r="E841" s="16">
        <v>2010.0</v>
      </c>
      <c r="F841" s="16">
        <v>54.0444</v>
      </c>
      <c r="G841" s="16">
        <v>9.9805</v>
      </c>
      <c r="H841" s="15"/>
      <c r="I841" s="15"/>
    </row>
    <row r="842">
      <c r="A842" s="18">
        <v>45665.0</v>
      </c>
      <c r="B842" s="16" t="s">
        <v>1640</v>
      </c>
      <c r="C842" s="16" t="s">
        <v>951</v>
      </c>
      <c r="D842" s="16" t="s">
        <v>707</v>
      </c>
      <c r="E842" s="16">
        <v>2010.0</v>
      </c>
      <c r="F842" s="16">
        <v>49.8987</v>
      </c>
      <c r="G842" s="16">
        <v>7.935</v>
      </c>
      <c r="H842" s="15"/>
      <c r="I842" s="15"/>
    </row>
    <row r="843">
      <c r="A843" s="18">
        <v>45665.0</v>
      </c>
      <c r="B843" s="16" t="s">
        <v>1641</v>
      </c>
      <c r="C843" s="16" t="s">
        <v>942</v>
      </c>
      <c r="D843" s="16" t="s">
        <v>707</v>
      </c>
      <c r="E843" s="16">
        <v>2010.0</v>
      </c>
      <c r="F843" s="16">
        <v>49.1293</v>
      </c>
      <c r="G843" s="16">
        <v>10.0308</v>
      </c>
      <c r="H843" s="15"/>
      <c r="I843" s="15"/>
    </row>
    <row r="844">
      <c r="A844" s="18">
        <v>45665.0</v>
      </c>
      <c r="B844" s="16" t="s">
        <v>1642</v>
      </c>
      <c r="C844" s="16" t="s">
        <v>1080</v>
      </c>
      <c r="D844" s="16" t="s">
        <v>707</v>
      </c>
      <c r="E844" s="16">
        <v>2010.0</v>
      </c>
      <c r="F844" s="16">
        <v>51.5457</v>
      </c>
      <c r="G844" s="16">
        <v>13.9784</v>
      </c>
      <c r="H844" s="15"/>
      <c r="I844" s="15"/>
    </row>
    <row r="845">
      <c r="A845" s="18">
        <v>45665.0</v>
      </c>
      <c r="B845" s="16" t="s">
        <v>1643</v>
      </c>
      <c r="C845" s="16" t="s">
        <v>1080</v>
      </c>
      <c r="D845" s="16" t="s">
        <v>707</v>
      </c>
      <c r="E845" s="16">
        <v>2010.0</v>
      </c>
      <c r="F845" s="16">
        <v>51.5434</v>
      </c>
      <c r="G845" s="16">
        <v>13.9835</v>
      </c>
      <c r="H845" s="15"/>
      <c r="I845" s="15"/>
    </row>
    <row r="846">
      <c r="A846" s="18">
        <v>45665.0</v>
      </c>
      <c r="B846" s="16" t="s">
        <v>1644</v>
      </c>
      <c r="C846" s="16" t="s">
        <v>1080</v>
      </c>
      <c r="D846" s="16" t="s">
        <v>707</v>
      </c>
      <c r="E846" s="16">
        <v>2010.0</v>
      </c>
      <c r="F846" s="16">
        <v>51.5411</v>
      </c>
      <c r="G846" s="16">
        <v>13.9799</v>
      </c>
      <c r="H846" s="15"/>
      <c r="I846" s="15"/>
    </row>
    <row r="847">
      <c r="A847" s="18">
        <v>45665.0</v>
      </c>
      <c r="B847" s="16" t="s">
        <v>1645</v>
      </c>
      <c r="C847" s="16" t="s">
        <v>1436</v>
      </c>
      <c r="D847" s="16" t="s">
        <v>707</v>
      </c>
      <c r="E847" s="16">
        <v>2010.0</v>
      </c>
      <c r="F847" s="16">
        <v>51.5386</v>
      </c>
      <c r="G847" s="16">
        <v>13.9786</v>
      </c>
      <c r="H847" s="15"/>
      <c r="I847" s="15"/>
    </row>
    <row r="848">
      <c r="A848" s="18">
        <v>45665.0</v>
      </c>
      <c r="B848" s="16" t="s">
        <v>1646</v>
      </c>
      <c r="C848" s="16">
        <v>4.0</v>
      </c>
      <c r="D848" s="16" t="s">
        <v>707</v>
      </c>
      <c r="E848" s="16">
        <v>2010.0</v>
      </c>
      <c r="F848" s="16">
        <v>53.5742</v>
      </c>
      <c r="G848" s="16">
        <v>7.1356</v>
      </c>
      <c r="H848" s="15"/>
      <c r="I848" s="15"/>
    </row>
    <row r="849">
      <c r="A849" s="18">
        <v>45665.0</v>
      </c>
      <c r="B849" s="16" t="s">
        <v>1647</v>
      </c>
      <c r="C849" s="16" t="s">
        <v>1039</v>
      </c>
      <c r="D849" s="16" t="s">
        <v>707</v>
      </c>
      <c r="E849" s="16">
        <v>2010.0</v>
      </c>
      <c r="F849" s="16">
        <v>48.368</v>
      </c>
      <c r="G849" s="16">
        <v>13.09</v>
      </c>
      <c r="H849" s="15"/>
      <c r="I849" s="15"/>
    </row>
    <row r="850">
      <c r="A850" s="18">
        <v>45665.0</v>
      </c>
      <c r="B850" s="16" t="s">
        <v>1648</v>
      </c>
      <c r="C850" s="16">
        <v>1.0</v>
      </c>
      <c r="D850" s="16" t="s">
        <v>707</v>
      </c>
      <c r="E850" s="16">
        <v>2010.0</v>
      </c>
      <c r="F850" s="16">
        <v>50.9723</v>
      </c>
      <c r="G850" s="16">
        <v>11.8868</v>
      </c>
      <c r="H850" s="15"/>
      <c r="I850" s="15"/>
    </row>
    <row r="851">
      <c r="A851" s="18">
        <v>45665.0</v>
      </c>
      <c r="B851" s="16" t="s">
        <v>1649</v>
      </c>
      <c r="C851" s="16">
        <v>2.0</v>
      </c>
      <c r="D851" s="16" t="s">
        <v>707</v>
      </c>
      <c r="E851" s="16">
        <v>2010.0</v>
      </c>
      <c r="F851" s="16">
        <v>54.0441</v>
      </c>
      <c r="G851" s="16">
        <v>9.0362</v>
      </c>
      <c r="H851" s="15"/>
      <c r="I851" s="15"/>
    </row>
    <row r="852">
      <c r="A852" s="18">
        <v>45665.0</v>
      </c>
      <c r="B852" s="16" t="s">
        <v>1650</v>
      </c>
      <c r="C852" s="16" t="s">
        <v>969</v>
      </c>
      <c r="D852" s="16" t="s">
        <v>707</v>
      </c>
      <c r="E852" s="16">
        <v>2010.0</v>
      </c>
      <c r="F852" s="16">
        <v>52.1491</v>
      </c>
      <c r="G852" s="16">
        <v>10.5642</v>
      </c>
      <c r="H852" s="15"/>
      <c r="I852" s="15"/>
    </row>
    <row r="853">
      <c r="A853" s="18">
        <v>45665.0</v>
      </c>
      <c r="B853" s="16" t="s">
        <v>1651</v>
      </c>
      <c r="C853" s="16" t="s">
        <v>1007</v>
      </c>
      <c r="D853" s="16" t="s">
        <v>707</v>
      </c>
      <c r="E853" s="16">
        <v>2010.0</v>
      </c>
      <c r="F853" s="16">
        <v>50.2164</v>
      </c>
      <c r="G853" s="16">
        <v>11.1364</v>
      </c>
      <c r="H853" s="15"/>
      <c r="I853" s="15"/>
    </row>
    <row r="854">
      <c r="A854" s="18">
        <v>45665.0</v>
      </c>
      <c r="B854" s="16" t="s">
        <v>1652</v>
      </c>
      <c r="C854" s="16" t="s">
        <v>1039</v>
      </c>
      <c r="D854" s="16" t="s">
        <v>707</v>
      </c>
      <c r="E854" s="16">
        <v>2010.0</v>
      </c>
      <c r="F854" s="16">
        <v>49.9533</v>
      </c>
      <c r="G854" s="16">
        <v>6.6699</v>
      </c>
      <c r="H854" s="15"/>
      <c r="I854" s="15"/>
    </row>
    <row r="855">
      <c r="A855" s="18">
        <v>45665.0</v>
      </c>
      <c r="B855" s="16" t="s">
        <v>1653</v>
      </c>
      <c r="C855" s="16" t="s">
        <v>1149</v>
      </c>
      <c r="D855" s="16" t="s">
        <v>707</v>
      </c>
      <c r="E855" s="16">
        <v>2010.0</v>
      </c>
      <c r="F855" s="16">
        <v>48.4335</v>
      </c>
      <c r="G855" s="16">
        <v>10.2518</v>
      </c>
      <c r="H855" s="15"/>
      <c r="I855" s="15"/>
    </row>
    <row r="856">
      <c r="A856" s="18">
        <v>45665.0</v>
      </c>
      <c r="B856" s="16" t="s">
        <v>1654</v>
      </c>
      <c r="C856" s="16" t="s">
        <v>1080</v>
      </c>
      <c r="D856" s="16" t="s">
        <v>707</v>
      </c>
      <c r="E856" s="16">
        <v>2010.0</v>
      </c>
      <c r="F856" s="16">
        <v>49.7002</v>
      </c>
      <c r="G856" s="16">
        <v>10.6408</v>
      </c>
      <c r="H856" s="15"/>
      <c r="I856" s="15"/>
    </row>
    <row r="857">
      <c r="A857" s="18">
        <v>45665.0</v>
      </c>
      <c r="B857" s="16" t="s">
        <v>1655</v>
      </c>
      <c r="C857" s="16">
        <v>1.0</v>
      </c>
      <c r="D857" s="16" t="s">
        <v>707</v>
      </c>
      <c r="E857" s="16">
        <v>2010.0</v>
      </c>
      <c r="F857" s="16">
        <v>54.0441</v>
      </c>
      <c r="G857" s="16">
        <v>9.0362</v>
      </c>
      <c r="H857" s="15"/>
      <c r="I857" s="15"/>
    </row>
    <row r="858">
      <c r="A858" s="18">
        <v>45665.0</v>
      </c>
      <c r="B858" s="16" t="s">
        <v>1656</v>
      </c>
      <c r="C858" s="16" t="s">
        <v>1099</v>
      </c>
      <c r="D858" s="16" t="s">
        <v>707</v>
      </c>
      <c r="E858" s="16">
        <v>2010.0</v>
      </c>
      <c r="F858" s="16">
        <v>51.9277</v>
      </c>
      <c r="G858" s="16">
        <v>11.804</v>
      </c>
      <c r="H858" s="15"/>
      <c r="I858" s="15"/>
    </row>
    <row r="859">
      <c r="A859" s="18">
        <v>45665.0</v>
      </c>
      <c r="B859" s="16" t="s">
        <v>1657</v>
      </c>
      <c r="C859" s="16">
        <v>1.0</v>
      </c>
      <c r="D859" s="16" t="s">
        <v>707</v>
      </c>
      <c r="E859" s="16">
        <v>2010.0</v>
      </c>
      <c r="F859" s="16">
        <v>51.1772</v>
      </c>
      <c r="G859" s="16">
        <v>14.4643</v>
      </c>
      <c r="H859" s="15"/>
      <c r="I859" s="15"/>
    </row>
    <row r="860">
      <c r="A860" s="18">
        <v>45665.0</v>
      </c>
      <c r="B860" s="16" t="s">
        <v>1658</v>
      </c>
      <c r="C860" s="16" t="s">
        <v>1101</v>
      </c>
      <c r="D860" s="16" t="s">
        <v>707</v>
      </c>
      <c r="E860" s="16">
        <v>2010.0</v>
      </c>
      <c r="F860" s="16">
        <v>48.3514</v>
      </c>
      <c r="G860" s="16">
        <v>10.6112</v>
      </c>
      <c r="H860" s="15"/>
      <c r="I860" s="15"/>
    </row>
    <row r="861">
      <c r="A861" s="18">
        <v>45665.0</v>
      </c>
      <c r="B861" s="16" t="s">
        <v>1659</v>
      </c>
      <c r="C861" s="16" t="s">
        <v>948</v>
      </c>
      <c r="D861" s="16" t="s">
        <v>707</v>
      </c>
      <c r="E861" s="16">
        <v>2010.0</v>
      </c>
      <c r="F861" s="16">
        <v>48.5874</v>
      </c>
      <c r="G861" s="16">
        <v>10.7794</v>
      </c>
      <c r="H861" s="15"/>
      <c r="I861" s="15"/>
    </row>
    <row r="862">
      <c r="A862" s="18">
        <v>45665.0</v>
      </c>
      <c r="B862" s="16" t="s">
        <v>1660</v>
      </c>
      <c r="C862" s="16">
        <v>1.0</v>
      </c>
      <c r="D862" s="16" t="s">
        <v>707</v>
      </c>
      <c r="E862" s="16">
        <v>2010.0</v>
      </c>
      <c r="F862" s="16">
        <v>48.666</v>
      </c>
      <c r="G862" s="16">
        <v>13.0198</v>
      </c>
      <c r="H862" s="15"/>
      <c r="I862" s="15"/>
    </row>
    <row r="863">
      <c r="A863" s="18">
        <v>45665.0</v>
      </c>
      <c r="B863" s="16" t="s">
        <v>1661</v>
      </c>
      <c r="C863" s="16" t="s">
        <v>959</v>
      </c>
      <c r="D863" s="16" t="s">
        <v>707</v>
      </c>
      <c r="E863" s="16">
        <v>2010.0</v>
      </c>
      <c r="F863" s="16">
        <v>48.9437</v>
      </c>
      <c r="G863" s="16">
        <v>11.4467</v>
      </c>
      <c r="H863" s="15"/>
      <c r="I863" s="15"/>
    </row>
    <row r="864">
      <c r="A864" s="18">
        <v>45665.0</v>
      </c>
      <c r="B864" s="16" t="s">
        <v>1662</v>
      </c>
      <c r="C864" s="16" t="s">
        <v>982</v>
      </c>
      <c r="D864" s="16" t="s">
        <v>707</v>
      </c>
      <c r="E864" s="16">
        <v>2010.0</v>
      </c>
      <c r="F864" s="16">
        <v>49.618</v>
      </c>
      <c r="G864" s="16">
        <v>10.1708</v>
      </c>
      <c r="H864" s="15"/>
      <c r="I864" s="15"/>
    </row>
    <row r="865">
      <c r="A865" s="18">
        <v>45665.0</v>
      </c>
      <c r="B865" s="16" t="s">
        <v>1663</v>
      </c>
      <c r="C865" s="16">
        <v>1.0</v>
      </c>
      <c r="D865" s="16" t="s">
        <v>707</v>
      </c>
      <c r="E865" s="16">
        <v>2010.0</v>
      </c>
      <c r="F865" s="16">
        <v>50.925</v>
      </c>
      <c r="G865" s="16">
        <v>10.573</v>
      </c>
      <c r="H865" s="15"/>
      <c r="I865" s="15"/>
    </row>
    <row r="866">
      <c r="A866" s="18">
        <v>45665.0</v>
      </c>
      <c r="B866" s="16" t="s">
        <v>1664</v>
      </c>
      <c r="C866" s="16" t="s">
        <v>1034</v>
      </c>
      <c r="D866" s="16" t="s">
        <v>707</v>
      </c>
      <c r="E866" s="16">
        <v>2010.0</v>
      </c>
      <c r="F866" s="16">
        <v>48.0824</v>
      </c>
      <c r="G866" s="16">
        <v>10.8951</v>
      </c>
      <c r="H866" s="15"/>
      <c r="I866" s="15"/>
    </row>
    <row r="867">
      <c r="A867" s="18">
        <v>45665.0</v>
      </c>
      <c r="B867" s="16" t="s">
        <v>1665</v>
      </c>
      <c r="C867" s="16" t="s">
        <v>978</v>
      </c>
      <c r="D867" s="16" t="s">
        <v>707</v>
      </c>
      <c r="E867" s="16">
        <v>2010.0</v>
      </c>
      <c r="F867" s="16">
        <v>53.6219</v>
      </c>
      <c r="G867" s="16">
        <v>13.5177</v>
      </c>
      <c r="H867" s="15"/>
      <c r="I867" s="15"/>
    </row>
    <row r="868">
      <c r="A868" s="18">
        <v>45665.0</v>
      </c>
      <c r="B868" s="16" t="s">
        <v>1666</v>
      </c>
      <c r="C868" s="16" t="s">
        <v>1039</v>
      </c>
      <c r="D868" s="16" t="s">
        <v>707</v>
      </c>
      <c r="E868" s="16">
        <v>2010.0</v>
      </c>
      <c r="F868" s="16">
        <v>49.4145</v>
      </c>
      <c r="G868" s="16">
        <v>10.5137</v>
      </c>
      <c r="H868" s="15"/>
      <c r="I868" s="15"/>
    </row>
    <row r="869">
      <c r="A869" s="18">
        <v>45665.0</v>
      </c>
      <c r="B869" s="16" t="s">
        <v>1667</v>
      </c>
      <c r="C869" s="16" t="s">
        <v>1039</v>
      </c>
      <c r="D869" s="16" t="s">
        <v>707</v>
      </c>
      <c r="E869" s="16">
        <v>2010.0</v>
      </c>
      <c r="F869" s="16">
        <v>52.8703</v>
      </c>
      <c r="G869" s="16">
        <v>9.6358</v>
      </c>
      <c r="H869" s="15"/>
      <c r="I869" s="15"/>
    </row>
    <row r="870">
      <c r="A870" s="18">
        <v>45665.0</v>
      </c>
      <c r="B870" s="16" t="s">
        <v>1668</v>
      </c>
      <c r="C870" s="16" t="s">
        <v>1051</v>
      </c>
      <c r="D870" s="16" t="s">
        <v>707</v>
      </c>
      <c r="E870" s="16">
        <v>2010.0</v>
      </c>
      <c r="F870" s="16">
        <v>49.911</v>
      </c>
      <c r="G870" s="16">
        <v>6.6423</v>
      </c>
      <c r="H870" s="15"/>
      <c r="I870" s="15"/>
    </row>
    <row r="871">
      <c r="A871" s="18">
        <v>45665.0</v>
      </c>
      <c r="B871" s="16" t="s">
        <v>1669</v>
      </c>
      <c r="C871" s="16">
        <v>1.0</v>
      </c>
      <c r="D871" s="16" t="s">
        <v>707</v>
      </c>
      <c r="E871" s="16">
        <v>2010.0</v>
      </c>
      <c r="F871" s="16">
        <v>48.782</v>
      </c>
      <c r="G871" s="16">
        <v>9.234</v>
      </c>
      <c r="H871" s="15"/>
      <c r="I871" s="15"/>
    </row>
    <row r="872">
      <c r="A872" s="18">
        <v>45665.0</v>
      </c>
      <c r="B872" s="16" t="s">
        <v>1670</v>
      </c>
      <c r="C872" s="16" t="s">
        <v>948</v>
      </c>
      <c r="D872" s="16" t="s">
        <v>707</v>
      </c>
      <c r="E872" s="16">
        <v>2010.0</v>
      </c>
      <c r="F872" s="16">
        <v>51.7976</v>
      </c>
      <c r="G872" s="16">
        <v>12.1159</v>
      </c>
      <c r="H872" s="15"/>
      <c r="I872" s="15"/>
    </row>
    <row r="873">
      <c r="A873" s="18">
        <v>45665.0</v>
      </c>
      <c r="B873" s="16" t="s">
        <v>1671</v>
      </c>
      <c r="C873" s="16" t="s">
        <v>1059</v>
      </c>
      <c r="D873" s="16" t="s">
        <v>707</v>
      </c>
      <c r="E873" s="16">
        <v>2010.0</v>
      </c>
      <c r="F873" s="16">
        <v>47.9737</v>
      </c>
      <c r="G873" s="16">
        <v>12.5966</v>
      </c>
      <c r="H873" s="15"/>
      <c r="I873" s="15"/>
    </row>
    <row r="874">
      <c r="A874" s="18">
        <v>45665.0</v>
      </c>
      <c r="B874" s="16" t="s">
        <v>1672</v>
      </c>
      <c r="C874" s="16" t="s">
        <v>978</v>
      </c>
      <c r="D874" s="16" t="s">
        <v>707</v>
      </c>
      <c r="E874" s="16">
        <v>2010.0</v>
      </c>
      <c r="F874" s="16">
        <v>52.5071</v>
      </c>
      <c r="G874" s="16">
        <v>8.9101</v>
      </c>
      <c r="H874" s="15"/>
      <c r="I874" s="15"/>
    </row>
    <row r="875">
      <c r="A875" s="18">
        <v>45665.0</v>
      </c>
      <c r="B875" s="16" t="s">
        <v>1673</v>
      </c>
      <c r="C875" s="16">
        <v>1.0</v>
      </c>
      <c r="D875" s="16" t="s">
        <v>707</v>
      </c>
      <c r="E875" s="16">
        <v>2010.0</v>
      </c>
      <c r="F875" s="16">
        <v>51.8862</v>
      </c>
      <c r="G875" s="16">
        <v>12.921</v>
      </c>
      <c r="H875" s="15"/>
      <c r="I875" s="15"/>
    </row>
    <row r="876">
      <c r="A876" s="18">
        <v>45665.0</v>
      </c>
      <c r="B876" s="16" t="s">
        <v>1674</v>
      </c>
      <c r="C876" s="16" t="s">
        <v>971</v>
      </c>
      <c r="D876" s="16" t="s">
        <v>707</v>
      </c>
      <c r="E876" s="16">
        <v>2010.0</v>
      </c>
      <c r="F876" s="16">
        <v>49.7024</v>
      </c>
      <c r="G876" s="16">
        <v>10.64</v>
      </c>
      <c r="H876" s="15"/>
      <c r="I876" s="15"/>
    </row>
    <row r="877">
      <c r="A877" s="18">
        <v>45665.0</v>
      </c>
      <c r="B877" s="16" t="s">
        <v>1675</v>
      </c>
      <c r="C877" s="16" t="s">
        <v>969</v>
      </c>
      <c r="D877" s="16" t="s">
        <v>707</v>
      </c>
      <c r="E877" s="16">
        <v>2010.0</v>
      </c>
      <c r="F877" s="16">
        <v>48.6548</v>
      </c>
      <c r="G877" s="16">
        <v>12.3745</v>
      </c>
      <c r="H877" s="15"/>
      <c r="I877" s="15"/>
    </row>
    <row r="878">
      <c r="A878" s="18">
        <v>45665.0</v>
      </c>
      <c r="B878" s="16" t="s">
        <v>1676</v>
      </c>
      <c r="C878" s="16">
        <v>1.0</v>
      </c>
      <c r="D878" s="16" t="s">
        <v>707</v>
      </c>
      <c r="E878" s="16">
        <v>2010.0</v>
      </c>
      <c r="F878" s="16">
        <v>53.3405</v>
      </c>
      <c r="G878" s="16">
        <v>13.0399</v>
      </c>
      <c r="H878" s="15"/>
      <c r="I878" s="15"/>
    </row>
    <row r="879">
      <c r="A879" s="18">
        <v>45665.0</v>
      </c>
      <c r="B879" s="16" t="s">
        <v>1677</v>
      </c>
      <c r="C879" s="16">
        <v>2.0</v>
      </c>
      <c r="D879" s="16" t="s">
        <v>707</v>
      </c>
      <c r="E879" s="16">
        <v>2010.0</v>
      </c>
      <c r="F879" s="16">
        <v>54.0441</v>
      </c>
      <c r="G879" s="16">
        <v>9.0362</v>
      </c>
      <c r="H879" s="15"/>
      <c r="I879" s="15"/>
    </row>
    <row r="880">
      <c r="A880" s="18">
        <v>45665.0</v>
      </c>
      <c r="B880" s="16" t="s">
        <v>1678</v>
      </c>
      <c r="C880" s="16" t="s">
        <v>942</v>
      </c>
      <c r="D880" s="16" t="s">
        <v>707</v>
      </c>
      <c r="E880" s="16">
        <v>2010.0</v>
      </c>
      <c r="F880" s="16">
        <v>52.1461</v>
      </c>
      <c r="G880" s="16">
        <v>14.6502</v>
      </c>
      <c r="H880" s="15"/>
      <c r="I880" s="15"/>
    </row>
    <row r="881">
      <c r="A881" s="18">
        <v>45665.0</v>
      </c>
      <c r="B881" s="16" t="s">
        <v>1679</v>
      </c>
      <c r="C881" s="16" t="s">
        <v>969</v>
      </c>
      <c r="D881" s="16" t="s">
        <v>707</v>
      </c>
      <c r="E881" s="16">
        <v>2010.0</v>
      </c>
      <c r="F881" s="16">
        <v>52.0116</v>
      </c>
      <c r="G881" s="16">
        <v>7.6505</v>
      </c>
      <c r="H881" s="15"/>
      <c r="I881" s="15"/>
    </row>
    <row r="882">
      <c r="A882" s="18">
        <v>45665.0</v>
      </c>
      <c r="B882" s="16" t="s">
        <v>1680</v>
      </c>
      <c r="C882" s="16">
        <v>2.0</v>
      </c>
      <c r="D882" s="16" t="s">
        <v>707</v>
      </c>
      <c r="E882" s="16">
        <v>2010.0</v>
      </c>
      <c r="F882" s="16">
        <v>47.9718</v>
      </c>
      <c r="G882" s="16">
        <v>10.719</v>
      </c>
      <c r="H882" s="15"/>
      <c r="I882" s="15"/>
    </row>
    <row r="883">
      <c r="A883" s="18">
        <v>45665.0</v>
      </c>
      <c r="B883" s="16" t="s">
        <v>1681</v>
      </c>
      <c r="C883" s="16" t="s">
        <v>942</v>
      </c>
      <c r="D883" s="16" t="s">
        <v>707</v>
      </c>
      <c r="E883" s="16">
        <v>2010.0</v>
      </c>
      <c r="F883" s="16">
        <v>51.4879</v>
      </c>
      <c r="G883" s="16">
        <v>9.7186</v>
      </c>
      <c r="H883" s="15"/>
      <c r="I883" s="15"/>
    </row>
    <row r="884">
      <c r="A884" s="18">
        <v>45665.0</v>
      </c>
      <c r="B884" s="16" t="s">
        <v>1682</v>
      </c>
      <c r="C884" s="16" t="s">
        <v>978</v>
      </c>
      <c r="D884" s="16" t="s">
        <v>707</v>
      </c>
      <c r="E884" s="16">
        <v>2010.0</v>
      </c>
      <c r="F884" s="16">
        <v>51.9683</v>
      </c>
      <c r="G884" s="16">
        <v>9.6012</v>
      </c>
      <c r="H884" s="15"/>
      <c r="I884" s="15"/>
    </row>
    <row r="885">
      <c r="A885" s="18">
        <v>45665.0</v>
      </c>
      <c r="B885" s="16" t="s">
        <v>1683</v>
      </c>
      <c r="C885" s="16" t="s">
        <v>942</v>
      </c>
      <c r="D885" s="16" t="s">
        <v>707</v>
      </c>
      <c r="E885" s="16">
        <v>2010.0</v>
      </c>
      <c r="F885" s="16">
        <v>51.6732</v>
      </c>
      <c r="G885" s="16">
        <v>8.5878</v>
      </c>
      <c r="H885" s="15"/>
      <c r="I885" s="15"/>
    </row>
    <row r="886">
      <c r="A886" s="18">
        <v>45665.0</v>
      </c>
      <c r="B886" s="16" t="s">
        <v>1684</v>
      </c>
      <c r="C886" s="16" t="s">
        <v>1055</v>
      </c>
      <c r="D886" s="16" t="s">
        <v>707</v>
      </c>
      <c r="E886" s="16">
        <v>2010.0</v>
      </c>
      <c r="F886" s="16">
        <v>51.85</v>
      </c>
      <c r="G886" s="16">
        <v>11.2601</v>
      </c>
      <c r="H886" s="15"/>
      <c r="I886" s="15"/>
    </row>
    <row r="887">
      <c r="A887" s="18">
        <v>45665.0</v>
      </c>
      <c r="B887" s="16" t="s">
        <v>1685</v>
      </c>
      <c r="C887" s="16" t="s">
        <v>948</v>
      </c>
      <c r="D887" s="16" t="s">
        <v>707</v>
      </c>
      <c r="E887" s="16">
        <v>2010.0</v>
      </c>
      <c r="F887" s="16">
        <v>48.4556</v>
      </c>
      <c r="G887" s="16">
        <v>10.1982</v>
      </c>
      <c r="H887" s="15"/>
      <c r="I887" s="15"/>
    </row>
    <row r="888">
      <c r="A888" s="18">
        <v>45665.0</v>
      </c>
      <c r="B888" s="16" t="s">
        <v>1686</v>
      </c>
      <c r="C888" s="16" t="s">
        <v>948</v>
      </c>
      <c r="D888" s="16" t="s">
        <v>707</v>
      </c>
      <c r="E888" s="16">
        <v>2010.0</v>
      </c>
      <c r="F888" s="16">
        <v>50.3935</v>
      </c>
      <c r="G888" s="16">
        <v>11.1035</v>
      </c>
      <c r="H888" s="15"/>
      <c r="I888" s="15"/>
    </row>
    <row r="889">
      <c r="A889" s="18">
        <v>45665.0</v>
      </c>
      <c r="B889" s="16" t="s">
        <v>1687</v>
      </c>
      <c r="C889" s="16" t="s">
        <v>948</v>
      </c>
      <c r="D889" s="16" t="s">
        <v>707</v>
      </c>
      <c r="E889" s="16">
        <v>2010.0</v>
      </c>
      <c r="F889" s="16">
        <v>49.2262</v>
      </c>
      <c r="G889" s="16">
        <v>8.4669</v>
      </c>
      <c r="H889" s="15"/>
      <c r="I889" s="15"/>
    </row>
    <row r="890">
      <c r="A890" s="18">
        <v>45665.0</v>
      </c>
      <c r="B890" s="16" t="s">
        <v>1688</v>
      </c>
      <c r="C890" s="16">
        <v>6.0</v>
      </c>
      <c r="D890" s="16" t="s">
        <v>707</v>
      </c>
      <c r="E890" s="16">
        <v>2010.0</v>
      </c>
      <c r="F890" s="16">
        <v>49.2262</v>
      </c>
      <c r="G890" s="16">
        <v>8.4669</v>
      </c>
      <c r="H890" s="15"/>
      <c r="I890" s="15"/>
    </row>
    <row r="891">
      <c r="A891" s="18">
        <v>45665.0</v>
      </c>
      <c r="B891" s="16" t="s">
        <v>1689</v>
      </c>
      <c r="C891" s="16" t="s">
        <v>1690</v>
      </c>
      <c r="D891" s="16" t="s">
        <v>707</v>
      </c>
      <c r="E891" s="16">
        <v>2010.0</v>
      </c>
      <c r="F891" s="16">
        <v>51.5438</v>
      </c>
      <c r="G891" s="16">
        <v>12.4133</v>
      </c>
      <c r="H891" s="15"/>
      <c r="I891" s="15"/>
    </row>
    <row r="892">
      <c r="A892" s="18">
        <v>45665.0</v>
      </c>
      <c r="B892" s="16" t="s">
        <v>1691</v>
      </c>
      <c r="C892" s="16" t="s">
        <v>969</v>
      </c>
      <c r="D892" s="16" t="s">
        <v>707</v>
      </c>
      <c r="E892" s="16">
        <v>2010.0</v>
      </c>
      <c r="F892" s="16">
        <v>49.162</v>
      </c>
      <c r="G892" s="16">
        <v>11.7813</v>
      </c>
      <c r="H892" s="15"/>
      <c r="I892" s="15"/>
    </row>
    <row r="893">
      <c r="A893" s="18">
        <v>45665.0</v>
      </c>
      <c r="B893" s="16" t="s">
        <v>1692</v>
      </c>
      <c r="C893" s="16" t="s">
        <v>959</v>
      </c>
      <c r="D893" s="16" t="s">
        <v>707</v>
      </c>
      <c r="E893" s="16">
        <v>2010.0</v>
      </c>
      <c r="F893" s="16">
        <v>49.8003</v>
      </c>
      <c r="G893" s="16">
        <v>11.8461</v>
      </c>
      <c r="H893" s="15"/>
      <c r="I893" s="15"/>
    </row>
    <row r="894">
      <c r="A894" s="18">
        <v>45665.0</v>
      </c>
      <c r="B894" s="16" t="s">
        <v>1693</v>
      </c>
      <c r="C894" s="16" t="s">
        <v>946</v>
      </c>
      <c r="D894" s="16" t="s">
        <v>707</v>
      </c>
      <c r="E894" s="16">
        <v>2010.0</v>
      </c>
      <c r="F894" s="16">
        <v>49.7528</v>
      </c>
      <c r="G894" s="16">
        <v>11.9733</v>
      </c>
      <c r="H894" s="15"/>
      <c r="I894" s="15"/>
    </row>
    <row r="895">
      <c r="A895" s="18">
        <v>45665.0</v>
      </c>
      <c r="B895" s="16" t="s">
        <v>1694</v>
      </c>
      <c r="C895" s="16">
        <v>3.0</v>
      </c>
      <c r="D895" s="16" t="s">
        <v>707</v>
      </c>
      <c r="E895" s="16">
        <v>2010.0</v>
      </c>
      <c r="F895" s="16">
        <v>48.1042</v>
      </c>
      <c r="G895" s="16">
        <v>12.6447</v>
      </c>
      <c r="H895" s="15"/>
      <c r="I895" s="15"/>
    </row>
    <row r="896">
      <c r="A896" s="18">
        <v>45665.0</v>
      </c>
      <c r="B896" s="16" t="s">
        <v>1695</v>
      </c>
      <c r="C896" s="16" t="s">
        <v>1004</v>
      </c>
      <c r="D896" s="16" t="s">
        <v>707</v>
      </c>
      <c r="E896" s="16">
        <v>2010.0</v>
      </c>
      <c r="F896" s="16">
        <v>51.6081</v>
      </c>
      <c r="G896" s="16">
        <v>9.635</v>
      </c>
      <c r="H896" s="15"/>
      <c r="I896" s="15"/>
    </row>
    <row r="897">
      <c r="A897" s="18">
        <v>45665.0</v>
      </c>
      <c r="B897" s="16" t="s">
        <v>1696</v>
      </c>
      <c r="C897" s="16" t="s">
        <v>951</v>
      </c>
      <c r="D897" s="16" t="s">
        <v>707</v>
      </c>
      <c r="E897" s="16">
        <v>2010.0</v>
      </c>
      <c r="F897" s="16">
        <v>48.3893</v>
      </c>
      <c r="G897" s="16">
        <v>10.3372</v>
      </c>
      <c r="H897" s="15"/>
      <c r="I897" s="15"/>
    </row>
    <row r="898">
      <c r="A898" s="18">
        <v>45665.0</v>
      </c>
      <c r="B898" s="16" t="s">
        <v>1697</v>
      </c>
      <c r="C898" s="16" t="s">
        <v>1351</v>
      </c>
      <c r="D898" s="16" t="s">
        <v>707</v>
      </c>
      <c r="E898" s="16">
        <v>2010.0</v>
      </c>
      <c r="F898" s="16">
        <v>48.4407</v>
      </c>
      <c r="G898" s="16">
        <v>10.3479</v>
      </c>
      <c r="H898" s="15"/>
      <c r="I898" s="15"/>
    </row>
    <row r="899">
      <c r="A899" s="18">
        <v>45665.0</v>
      </c>
      <c r="B899" s="16" t="s">
        <v>1698</v>
      </c>
      <c r="C899" s="16" t="s">
        <v>948</v>
      </c>
      <c r="D899" s="16" t="s">
        <v>707</v>
      </c>
      <c r="E899" s="16">
        <v>2010.0</v>
      </c>
      <c r="F899" s="16">
        <v>49.3022</v>
      </c>
      <c r="G899" s="16">
        <v>10.4433</v>
      </c>
      <c r="H899" s="15"/>
      <c r="I899" s="15"/>
    </row>
    <row r="900">
      <c r="A900" s="18">
        <v>45665.0</v>
      </c>
      <c r="B900" s="16" t="s">
        <v>1699</v>
      </c>
      <c r="C900" s="16" t="s">
        <v>1004</v>
      </c>
      <c r="D900" s="16" t="s">
        <v>707</v>
      </c>
      <c r="E900" s="16">
        <v>2010.0</v>
      </c>
      <c r="F900" s="16">
        <v>48.019</v>
      </c>
      <c r="G900" s="16">
        <v>10.6365</v>
      </c>
      <c r="H900" s="15"/>
      <c r="I900" s="15"/>
    </row>
    <row r="901">
      <c r="A901" s="18">
        <v>45665.0</v>
      </c>
      <c r="B901" s="16" t="s">
        <v>1700</v>
      </c>
      <c r="C901" s="16" t="s">
        <v>1090</v>
      </c>
      <c r="D901" s="16" t="s">
        <v>707</v>
      </c>
      <c r="E901" s="16">
        <v>2010.0</v>
      </c>
      <c r="F901" s="16">
        <v>49.6448</v>
      </c>
      <c r="G901" s="16">
        <v>10.1816</v>
      </c>
      <c r="H901" s="15"/>
      <c r="I901" s="15"/>
    </row>
    <row r="902">
      <c r="A902" s="18">
        <v>45665.0</v>
      </c>
      <c r="B902" s="16" t="s">
        <v>1701</v>
      </c>
      <c r="C902" s="16" t="s">
        <v>951</v>
      </c>
      <c r="D902" s="16" t="s">
        <v>707</v>
      </c>
      <c r="E902" s="16">
        <v>2010.0</v>
      </c>
      <c r="F902" s="16">
        <v>48.816</v>
      </c>
      <c r="G902" s="16">
        <v>12.801</v>
      </c>
      <c r="H902" s="15"/>
      <c r="I902" s="15"/>
    </row>
    <row r="903">
      <c r="A903" s="18">
        <v>45665.0</v>
      </c>
      <c r="B903" s="16" t="s">
        <v>1702</v>
      </c>
      <c r="C903" s="16" t="s">
        <v>969</v>
      </c>
      <c r="D903" s="16" t="s">
        <v>707</v>
      </c>
      <c r="E903" s="16">
        <v>2010.0</v>
      </c>
      <c r="F903" s="16">
        <v>53.6434</v>
      </c>
      <c r="G903" s="16">
        <v>7.9884</v>
      </c>
      <c r="H903" s="15"/>
      <c r="I903" s="15"/>
    </row>
    <row r="904">
      <c r="A904" s="18">
        <v>45665.0</v>
      </c>
      <c r="B904" s="16" t="s">
        <v>1703</v>
      </c>
      <c r="C904" s="16" t="s">
        <v>951</v>
      </c>
      <c r="D904" s="16" t="s">
        <v>707</v>
      </c>
      <c r="E904" s="16">
        <v>2010.0</v>
      </c>
      <c r="F904" s="16">
        <v>49.3244</v>
      </c>
      <c r="G904" s="16">
        <v>10.7128</v>
      </c>
      <c r="H904" s="15"/>
      <c r="I904" s="15"/>
    </row>
    <row r="905">
      <c r="A905" s="18">
        <v>45665.0</v>
      </c>
      <c r="B905" s="16" t="s">
        <v>1704</v>
      </c>
      <c r="C905" s="16" t="s">
        <v>971</v>
      </c>
      <c r="D905" s="16" t="s">
        <v>707</v>
      </c>
      <c r="E905" s="16">
        <v>2010.0</v>
      </c>
      <c r="F905" s="16">
        <v>50.9296</v>
      </c>
      <c r="G905" s="16">
        <v>13.3979</v>
      </c>
      <c r="H905" s="15"/>
      <c r="I905" s="15"/>
    </row>
    <row r="906">
      <c r="A906" s="18">
        <v>45665.0</v>
      </c>
      <c r="B906" s="16" t="s">
        <v>1705</v>
      </c>
      <c r="C906" s="16" t="s">
        <v>969</v>
      </c>
      <c r="D906" s="16" t="s">
        <v>707</v>
      </c>
      <c r="E906" s="16">
        <v>2010.0</v>
      </c>
      <c r="F906" s="16">
        <v>48.8662</v>
      </c>
      <c r="G906" s="16">
        <v>13.5741</v>
      </c>
      <c r="H906" s="15"/>
      <c r="I906" s="15"/>
    </row>
    <row r="907">
      <c r="A907" s="18">
        <v>45665.0</v>
      </c>
      <c r="B907" s="16" t="s">
        <v>1706</v>
      </c>
      <c r="C907" s="16">
        <v>2.0</v>
      </c>
      <c r="D907" s="16" t="s">
        <v>707</v>
      </c>
      <c r="E907" s="16">
        <v>2010.0</v>
      </c>
      <c r="F907" s="16">
        <v>54.8916</v>
      </c>
      <c r="G907" s="16">
        <v>8.9582</v>
      </c>
      <c r="H907" s="15"/>
      <c r="I907" s="15"/>
    </row>
    <row r="908">
      <c r="A908" s="18">
        <v>45665.0</v>
      </c>
      <c r="B908" s="16" t="s">
        <v>1707</v>
      </c>
      <c r="C908" s="16" t="s">
        <v>1101</v>
      </c>
      <c r="D908" s="16" t="s">
        <v>707</v>
      </c>
      <c r="E908" s="16">
        <v>2010.0</v>
      </c>
      <c r="F908" s="16">
        <v>48.5735</v>
      </c>
      <c r="G908" s="16">
        <v>13.0722</v>
      </c>
      <c r="H908" s="15"/>
      <c r="I908" s="15"/>
    </row>
    <row r="909">
      <c r="A909" s="18">
        <v>45665.0</v>
      </c>
      <c r="B909" s="16" t="s">
        <v>1708</v>
      </c>
      <c r="C909" s="16" t="s">
        <v>951</v>
      </c>
      <c r="D909" s="16" t="s">
        <v>707</v>
      </c>
      <c r="E909" s="16">
        <v>2010.0</v>
      </c>
      <c r="F909" s="16">
        <v>53.0012</v>
      </c>
      <c r="G909" s="16">
        <v>13.9986</v>
      </c>
      <c r="H909" s="15"/>
      <c r="I909" s="15"/>
    </row>
    <row r="910">
      <c r="A910" s="18">
        <v>45665.0</v>
      </c>
      <c r="B910" s="16" t="s">
        <v>1709</v>
      </c>
      <c r="C910" s="16" t="s">
        <v>948</v>
      </c>
      <c r="D910" s="16" t="s">
        <v>707</v>
      </c>
      <c r="E910" s="16">
        <v>2010.0</v>
      </c>
      <c r="F910" s="16">
        <v>51.4596</v>
      </c>
      <c r="G910" s="16">
        <v>11.0266</v>
      </c>
      <c r="H910" s="15"/>
      <c r="I910" s="15"/>
    </row>
    <row r="911">
      <c r="A911" s="18">
        <v>45665.0</v>
      </c>
      <c r="B911" s="16" t="s">
        <v>1710</v>
      </c>
      <c r="C911" s="16" t="s">
        <v>942</v>
      </c>
      <c r="D911" s="16" t="s">
        <v>707</v>
      </c>
      <c r="E911" s="16">
        <v>2010.0</v>
      </c>
      <c r="F911" s="16">
        <v>51.4583</v>
      </c>
      <c r="G911" s="16">
        <v>11.0249</v>
      </c>
      <c r="H911" s="15"/>
      <c r="I911" s="15"/>
    </row>
    <row r="912">
      <c r="A912" s="18">
        <v>45665.0</v>
      </c>
      <c r="B912" s="16" t="s">
        <v>1711</v>
      </c>
      <c r="C912" s="16" t="s">
        <v>1059</v>
      </c>
      <c r="D912" s="16" t="s">
        <v>707</v>
      </c>
      <c r="E912" s="16">
        <v>2010.0</v>
      </c>
      <c r="F912" s="16">
        <v>48.6547</v>
      </c>
      <c r="G912" s="16">
        <v>12.4685</v>
      </c>
      <c r="H912" s="15"/>
      <c r="I912" s="15"/>
    </row>
    <row r="913">
      <c r="A913" s="18">
        <v>45665.0</v>
      </c>
      <c r="B913" s="16" t="s">
        <v>1712</v>
      </c>
      <c r="C913" s="16" t="s">
        <v>1147</v>
      </c>
      <c r="D913" s="16" t="s">
        <v>707</v>
      </c>
      <c r="E913" s="16">
        <v>2010.0</v>
      </c>
      <c r="F913" s="16">
        <v>48.6453</v>
      </c>
      <c r="G913" s="16">
        <v>12.4456</v>
      </c>
      <c r="H913" s="15"/>
      <c r="I913" s="15"/>
    </row>
    <row r="914">
      <c r="A914" s="18">
        <v>45665.0</v>
      </c>
      <c r="B914" s="16" t="s">
        <v>1713</v>
      </c>
      <c r="C914" s="16" t="s">
        <v>1034</v>
      </c>
      <c r="D914" s="16" t="s">
        <v>707</v>
      </c>
      <c r="E914" s="16">
        <v>2010.0</v>
      </c>
      <c r="F914" s="16">
        <v>51.8912</v>
      </c>
      <c r="G914" s="16">
        <v>13.7998</v>
      </c>
      <c r="H914" s="15"/>
      <c r="I914" s="15"/>
    </row>
    <row r="915">
      <c r="A915" s="18">
        <v>45665.0</v>
      </c>
      <c r="B915" s="16" t="s">
        <v>1714</v>
      </c>
      <c r="C915" s="16" t="s">
        <v>1011</v>
      </c>
      <c r="D915" s="16" t="s">
        <v>707</v>
      </c>
      <c r="E915" s="16">
        <v>2010.0</v>
      </c>
      <c r="F915" s="16">
        <v>51.5862</v>
      </c>
      <c r="G915" s="16">
        <v>12.9235</v>
      </c>
      <c r="H915" s="15"/>
      <c r="I915" s="15"/>
    </row>
    <row r="916">
      <c r="A916" s="18">
        <v>45665.0</v>
      </c>
      <c r="B916" s="16" t="s">
        <v>1715</v>
      </c>
      <c r="C916" s="16" t="s">
        <v>1167</v>
      </c>
      <c r="D916" s="16" t="s">
        <v>707</v>
      </c>
      <c r="E916" s="16">
        <v>2010.0</v>
      </c>
      <c r="F916" s="16">
        <v>50.9451</v>
      </c>
      <c r="G916" s="16">
        <v>13.0775</v>
      </c>
      <c r="H916" s="15"/>
      <c r="I916" s="15"/>
    </row>
    <row r="917">
      <c r="A917" s="18">
        <v>45665.0</v>
      </c>
      <c r="B917" s="16" t="s">
        <v>1716</v>
      </c>
      <c r="C917" s="16" t="s">
        <v>969</v>
      </c>
      <c r="D917" s="16" t="s">
        <v>707</v>
      </c>
      <c r="E917" s="16">
        <v>2010.0</v>
      </c>
      <c r="F917" s="16">
        <v>54.0811</v>
      </c>
      <c r="G917" s="16">
        <v>12.0614</v>
      </c>
      <c r="H917" s="15"/>
      <c r="I917" s="15"/>
    </row>
    <row r="918">
      <c r="A918" s="18">
        <v>45665.0</v>
      </c>
      <c r="B918" s="16" t="s">
        <v>1717</v>
      </c>
      <c r="C918" s="16" t="s">
        <v>1039</v>
      </c>
      <c r="D918" s="16" t="s">
        <v>707</v>
      </c>
      <c r="E918" s="16">
        <v>2010.0</v>
      </c>
      <c r="F918" s="16">
        <v>51.1426</v>
      </c>
      <c r="G918" s="16">
        <v>10.5679</v>
      </c>
      <c r="H918" s="15"/>
      <c r="I918" s="15"/>
    </row>
    <row r="919">
      <c r="A919" s="18">
        <v>45665.0</v>
      </c>
      <c r="B919" s="16" t="s">
        <v>1718</v>
      </c>
      <c r="C919" s="16" t="s">
        <v>1267</v>
      </c>
      <c r="D919" s="16" t="s">
        <v>707</v>
      </c>
      <c r="E919" s="16">
        <v>2010.0</v>
      </c>
      <c r="F919" s="16">
        <v>51.2992</v>
      </c>
      <c r="G919" s="16">
        <v>13.5462</v>
      </c>
      <c r="H919" s="15"/>
      <c r="I919" s="15"/>
    </row>
    <row r="920">
      <c r="A920" s="18">
        <v>45665.0</v>
      </c>
      <c r="B920" s="16" t="s">
        <v>1719</v>
      </c>
      <c r="C920" s="16" t="s">
        <v>1720</v>
      </c>
      <c r="D920" s="16" t="s">
        <v>707</v>
      </c>
      <c r="E920" s="16">
        <v>2010.0</v>
      </c>
      <c r="F920" s="16">
        <v>51.9527</v>
      </c>
      <c r="G920" s="16">
        <v>14.6577</v>
      </c>
      <c r="H920" s="15"/>
      <c r="I920" s="15"/>
    </row>
    <row r="921">
      <c r="A921" s="18">
        <v>45665.0</v>
      </c>
      <c r="B921" s="16" t="s">
        <v>1721</v>
      </c>
      <c r="C921" s="16">
        <v>4.0</v>
      </c>
      <c r="D921" s="16" t="s">
        <v>707</v>
      </c>
      <c r="E921" s="16">
        <v>2010.0</v>
      </c>
      <c r="F921" s="16">
        <v>49.5501</v>
      </c>
      <c r="G921" s="16">
        <v>11.8068</v>
      </c>
      <c r="H921" s="15"/>
      <c r="I921" s="15"/>
    </row>
    <row r="922">
      <c r="A922" s="18">
        <v>45665.0</v>
      </c>
      <c r="B922" s="16" t="s">
        <v>1722</v>
      </c>
      <c r="C922" s="16" t="s">
        <v>948</v>
      </c>
      <c r="D922" s="16" t="s">
        <v>707</v>
      </c>
      <c r="E922" s="16">
        <v>2010.0</v>
      </c>
      <c r="F922" s="16">
        <v>51.3509</v>
      </c>
      <c r="G922" s="16">
        <v>9.5258</v>
      </c>
      <c r="H922" s="15"/>
      <c r="I922" s="15"/>
    </row>
    <row r="923">
      <c r="A923" s="18">
        <v>45665.0</v>
      </c>
      <c r="B923" s="16" t="s">
        <v>1723</v>
      </c>
      <c r="C923" s="16" t="s">
        <v>1039</v>
      </c>
      <c r="D923" s="16" t="s">
        <v>707</v>
      </c>
      <c r="E923" s="16">
        <v>2010.0</v>
      </c>
      <c r="F923" s="16">
        <v>49.7961</v>
      </c>
      <c r="G923" s="16">
        <v>9.4725</v>
      </c>
      <c r="H923" s="15"/>
      <c r="I923" s="15"/>
    </row>
    <row r="924">
      <c r="A924" s="18">
        <v>45665.0</v>
      </c>
      <c r="B924" s="16" t="s">
        <v>1724</v>
      </c>
      <c r="C924" s="16" t="s">
        <v>1059</v>
      </c>
      <c r="D924" s="16" t="s">
        <v>707</v>
      </c>
      <c r="E924" s="16">
        <v>2010.0</v>
      </c>
      <c r="F924" s="16">
        <v>51.1324</v>
      </c>
      <c r="G924" s="16">
        <v>12.624</v>
      </c>
      <c r="H924" s="15"/>
      <c r="I924" s="15"/>
    </row>
    <row r="925">
      <c r="A925" s="18">
        <v>45665.0</v>
      </c>
      <c r="B925" s="16" t="s">
        <v>1725</v>
      </c>
      <c r="C925" s="16" t="s">
        <v>1101</v>
      </c>
      <c r="D925" s="16" t="s">
        <v>707</v>
      </c>
      <c r="E925" s="16">
        <v>2010.0</v>
      </c>
      <c r="F925" s="16">
        <v>51.1311</v>
      </c>
      <c r="G925" s="16">
        <v>12.6236</v>
      </c>
      <c r="H925" s="15"/>
      <c r="I925" s="15"/>
    </row>
    <row r="926">
      <c r="A926" s="18">
        <v>45665.0</v>
      </c>
      <c r="B926" s="16" t="s">
        <v>1726</v>
      </c>
      <c r="C926" s="16">
        <v>3.0</v>
      </c>
      <c r="D926" s="16" t="s">
        <v>707</v>
      </c>
      <c r="E926" s="16">
        <v>2010.0</v>
      </c>
      <c r="F926" s="16">
        <v>51.1299</v>
      </c>
      <c r="G926" s="16">
        <v>12.6233</v>
      </c>
      <c r="H926" s="15"/>
      <c r="I926" s="15"/>
    </row>
    <row r="927">
      <c r="A927" s="18">
        <v>45665.0</v>
      </c>
      <c r="B927" s="16" t="s">
        <v>1727</v>
      </c>
      <c r="C927" s="16">
        <v>1.0</v>
      </c>
      <c r="D927" s="16" t="s">
        <v>707</v>
      </c>
      <c r="E927" s="16">
        <v>2010.0</v>
      </c>
      <c r="F927" s="16">
        <v>49.0567</v>
      </c>
      <c r="G927" s="16">
        <v>11.7925</v>
      </c>
      <c r="H927" s="15"/>
      <c r="I927" s="15"/>
    </row>
    <row r="928">
      <c r="A928" s="18">
        <v>45665.0</v>
      </c>
      <c r="B928" s="16" t="s">
        <v>1728</v>
      </c>
      <c r="C928" s="16">
        <v>1.0</v>
      </c>
      <c r="D928" s="16" t="s">
        <v>707</v>
      </c>
      <c r="E928" s="16">
        <v>2010.0</v>
      </c>
      <c r="F928" s="16">
        <v>49.0567</v>
      </c>
      <c r="G928" s="16">
        <v>11.7925</v>
      </c>
      <c r="H928" s="15"/>
      <c r="I928" s="15"/>
    </row>
    <row r="929">
      <c r="A929" s="18">
        <v>45665.0</v>
      </c>
      <c r="B929" s="16" t="s">
        <v>1729</v>
      </c>
      <c r="C929" s="16" t="s">
        <v>1059</v>
      </c>
      <c r="D929" s="16" t="s">
        <v>707</v>
      </c>
      <c r="E929" s="16">
        <v>2010.0</v>
      </c>
      <c r="F929" s="16">
        <v>52.0243</v>
      </c>
      <c r="G929" s="16">
        <v>9.0498</v>
      </c>
      <c r="H929" s="15"/>
      <c r="I929" s="15"/>
    </row>
    <row r="930">
      <c r="A930" s="18">
        <v>45665.0</v>
      </c>
      <c r="B930" s="16" t="s">
        <v>1730</v>
      </c>
      <c r="C930" s="16" t="s">
        <v>961</v>
      </c>
      <c r="D930" s="16" t="s">
        <v>707</v>
      </c>
      <c r="E930" s="16">
        <v>2010.0</v>
      </c>
      <c r="F930" s="16">
        <v>51.4035</v>
      </c>
      <c r="G930" s="16">
        <v>11.3394</v>
      </c>
      <c r="H930" s="15"/>
      <c r="I930" s="15"/>
    </row>
    <row r="931">
      <c r="A931" s="18">
        <v>45665.0</v>
      </c>
      <c r="B931" s="16" t="s">
        <v>1731</v>
      </c>
      <c r="C931" s="16">
        <v>2.0</v>
      </c>
      <c r="D931" s="16" t="s">
        <v>707</v>
      </c>
      <c r="E931" s="16">
        <v>2010.0</v>
      </c>
      <c r="F931" s="16">
        <v>51.4008</v>
      </c>
      <c r="G931" s="16">
        <v>11.335</v>
      </c>
      <c r="H931" s="15"/>
      <c r="I931" s="15"/>
    </row>
    <row r="932">
      <c r="A932" s="18">
        <v>45665.0</v>
      </c>
      <c r="B932" s="16" t="s">
        <v>1732</v>
      </c>
      <c r="C932" s="16" t="s">
        <v>1310</v>
      </c>
      <c r="D932" s="16" t="s">
        <v>707</v>
      </c>
      <c r="E932" s="16">
        <v>2010.0</v>
      </c>
      <c r="F932" s="16">
        <v>48.2225</v>
      </c>
      <c r="G932" s="16">
        <v>10.8753</v>
      </c>
      <c r="H932" s="15"/>
      <c r="I932" s="15"/>
    </row>
    <row r="933">
      <c r="A933" s="18">
        <v>45665.0</v>
      </c>
      <c r="B933" s="16" t="s">
        <v>1733</v>
      </c>
      <c r="C933" s="16" t="s">
        <v>961</v>
      </c>
      <c r="D933" s="16" t="s">
        <v>707</v>
      </c>
      <c r="E933" s="16">
        <v>2010.0</v>
      </c>
      <c r="F933" s="16">
        <v>50.9211</v>
      </c>
      <c r="G933" s="16">
        <v>11.1658</v>
      </c>
      <c r="H933" s="15"/>
      <c r="I933" s="15"/>
    </row>
    <row r="934">
      <c r="A934" s="18">
        <v>45665.0</v>
      </c>
      <c r="B934" s="16" t="s">
        <v>1734</v>
      </c>
      <c r="C934" s="16">
        <v>1.0</v>
      </c>
      <c r="D934" s="16" t="s">
        <v>707</v>
      </c>
      <c r="E934" s="16">
        <v>2010.0</v>
      </c>
      <c r="F934" s="16">
        <v>53.7577</v>
      </c>
      <c r="G934" s="16">
        <v>12.6049</v>
      </c>
      <c r="H934" s="15"/>
      <c r="I934" s="15"/>
    </row>
    <row r="935">
      <c r="A935" s="18">
        <v>45665.0</v>
      </c>
      <c r="B935" s="16" t="s">
        <v>1735</v>
      </c>
      <c r="C935" s="16" t="s">
        <v>1203</v>
      </c>
      <c r="D935" s="16" t="s">
        <v>707</v>
      </c>
      <c r="E935" s="16">
        <v>2010.0</v>
      </c>
      <c r="F935" s="16">
        <v>48.5777</v>
      </c>
      <c r="G935" s="16">
        <v>10.383</v>
      </c>
      <c r="H935" s="15"/>
      <c r="I935" s="15"/>
    </row>
    <row r="936">
      <c r="A936" s="18">
        <v>45665.0</v>
      </c>
      <c r="B936" s="16" t="s">
        <v>1736</v>
      </c>
      <c r="C936" s="16" t="s">
        <v>1454</v>
      </c>
      <c r="D936" s="16" t="s">
        <v>707</v>
      </c>
      <c r="E936" s="16">
        <v>2010.0</v>
      </c>
      <c r="F936" s="16">
        <v>50.1799</v>
      </c>
      <c r="G936" s="16">
        <v>11.8136</v>
      </c>
      <c r="H936" s="15"/>
      <c r="I936" s="15"/>
    </row>
    <row r="937">
      <c r="A937" s="18">
        <v>45665.0</v>
      </c>
      <c r="B937" s="16" t="s">
        <v>1737</v>
      </c>
      <c r="C937" s="16" t="s">
        <v>978</v>
      </c>
      <c r="D937" s="16" t="s">
        <v>707</v>
      </c>
      <c r="E937" s="16">
        <v>2010.0</v>
      </c>
      <c r="F937" s="16">
        <v>52.5694</v>
      </c>
      <c r="G937" s="16">
        <v>12.885</v>
      </c>
      <c r="H937" s="15"/>
      <c r="I937" s="15"/>
    </row>
    <row r="938">
      <c r="A938" s="18">
        <v>45665.0</v>
      </c>
      <c r="B938" s="16" t="s">
        <v>1738</v>
      </c>
      <c r="C938" s="16" t="s">
        <v>1037</v>
      </c>
      <c r="D938" s="16" t="s">
        <v>707</v>
      </c>
      <c r="E938" s="16">
        <v>2010.0</v>
      </c>
      <c r="F938" s="16">
        <v>48.2164</v>
      </c>
      <c r="G938" s="16">
        <v>11.3127</v>
      </c>
      <c r="H938" s="15"/>
      <c r="I938" s="15"/>
    </row>
    <row r="939">
      <c r="A939" s="18">
        <v>45665.0</v>
      </c>
      <c r="B939" s="16" t="s">
        <v>1739</v>
      </c>
      <c r="C939" s="16">
        <v>1.0</v>
      </c>
      <c r="D939" s="16" t="s">
        <v>707</v>
      </c>
      <c r="E939" s="16">
        <v>2010.0</v>
      </c>
      <c r="F939" s="16">
        <v>50.1188</v>
      </c>
      <c r="G939" s="16">
        <v>12.0928</v>
      </c>
      <c r="H939" s="15"/>
      <c r="I939" s="15"/>
    </row>
    <row r="940">
      <c r="A940" s="18">
        <v>45665.0</v>
      </c>
      <c r="B940" s="16" t="s">
        <v>1740</v>
      </c>
      <c r="C940" s="16" t="s">
        <v>951</v>
      </c>
      <c r="D940" s="16" t="s">
        <v>707</v>
      </c>
      <c r="E940" s="16">
        <v>2010.0</v>
      </c>
      <c r="F940" s="16">
        <v>48.4328</v>
      </c>
      <c r="G940" s="16">
        <v>13.3233</v>
      </c>
      <c r="H940" s="15"/>
      <c r="I940" s="15"/>
    </row>
    <row r="941">
      <c r="A941" s="18">
        <v>45665.0</v>
      </c>
      <c r="B941" s="16" t="s">
        <v>1741</v>
      </c>
      <c r="C941" s="16" t="s">
        <v>1742</v>
      </c>
      <c r="D941" s="16" t="s">
        <v>707</v>
      </c>
      <c r="E941" s="16">
        <v>2010.0</v>
      </c>
      <c r="F941" s="16">
        <v>51.4923</v>
      </c>
      <c r="G941" s="16">
        <v>12.1911</v>
      </c>
      <c r="H941" s="15"/>
      <c r="I941" s="15"/>
    </row>
    <row r="942">
      <c r="A942" s="18">
        <v>45665.0</v>
      </c>
      <c r="B942" s="16" t="s">
        <v>1743</v>
      </c>
      <c r="C942" s="16" t="s">
        <v>1374</v>
      </c>
      <c r="D942" s="16" t="s">
        <v>707</v>
      </c>
      <c r="E942" s="16">
        <v>2010.0</v>
      </c>
      <c r="F942" s="16">
        <v>49.5736</v>
      </c>
      <c r="G942" s="16">
        <v>9.9345</v>
      </c>
      <c r="H942" s="15"/>
      <c r="I942" s="15"/>
    </row>
    <row r="943">
      <c r="A943" s="18">
        <v>45665.0</v>
      </c>
      <c r="B943" s="16" t="s">
        <v>1744</v>
      </c>
      <c r="C943" s="16" t="s">
        <v>1745</v>
      </c>
      <c r="D943" s="16" t="s">
        <v>707</v>
      </c>
      <c r="E943" s="16">
        <v>2010.0</v>
      </c>
      <c r="F943" s="16">
        <v>48.3554</v>
      </c>
      <c r="G943" s="16">
        <v>9.8712</v>
      </c>
      <c r="H943" s="15"/>
      <c r="I943" s="15"/>
    </row>
    <row r="944">
      <c r="A944" s="18">
        <v>45665.0</v>
      </c>
      <c r="B944" s="16" t="s">
        <v>1746</v>
      </c>
      <c r="C944" s="16" t="s">
        <v>1059</v>
      </c>
      <c r="D944" s="16" t="s">
        <v>707</v>
      </c>
      <c r="E944" s="16">
        <v>2010.0</v>
      </c>
      <c r="F944" s="16">
        <v>49.6521</v>
      </c>
      <c r="G944" s="16">
        <v>10.1592</v>
      </c>
      <c r="H944" s="15"/>
      <c r="I944" s="15"/>
    </row>
    <row r="945">
      <c r="A945" s="18">
        <v>45665.0</v>
      </c>
      <c r="B945" s="16" t="s">
        <v>1747</v>
      </c>
      <c r="C945" s="16" t="s">
        <v>969</v>
      </c>
      <c r="D945" s="16" t="s">
        <v>707</v>
      </c>
      <c r="E945" s="16">
        <v>2010.0</v>
      </c>
      <c r="F945" s="16">
        <v>48.5854</v>
      </c>
      <c r="G945" s="16">
        <v>13.1355</v>
      </c>
      <c r="H945" s="15"/>
      <c r="I945" s="15"/>
    </row>
    <row r="946">
      <c r="A946" s="18">
        <v>45665.0</v>
      </c>
      <c r="B946" s="16" t="s">
        <v>1748</v>
      </c>
      <c r="C946" s="16" t="s">
        <v>969</v>
      </c>
      <c r="D946" s="16" t="s">
        <v>707</v>
      </c>
      <c r="E946" s="16">
        <v>2010.0</v>
      </c>
      <c r="F946" s="16">
        <v>53.5727</v>
      </c>
      <c r="G946" s="16">
        <v>11.3835</v>
      </c>
      <c r="H946" s="15"/>
      <c r="I946" s="15"/>
    </row>
    <row r="947">
      <c r="A947" s="18">
        <v>45665.0</v>
      </c>
      <c r="B947" s="16" t="s">
        <v>1749</v>
      </c>
      <c r="C947" s="16" t="s">
        <v>1007</v>
      </c>
      <c r="D947" s="16" t="s">
        <v>707</v>
      </c>
      <c r="E947" s="16">
        <v>2010.0</v>
      </c>
      <c r="F947" s="16">
        <v>48.0165</v>
      </c>
      <c r="G947" s="16">
        <v>10.3288</v>
      </c>
      <c r="H947" s="15"/>
      <c r="I947" s="15"/>
    </row>
    <row r="948">
      <c r="A948" s="18">
        <v>45665.0</v>
      </c>
      <c r="B948" s="16" t="s">
        <v>1750</v>
      </c>
      <c r="C948" s="16" t="s">
        <v>1751</v>
      </c>
      <c r="D948" s="16" t="s">
        <v>707</v>
      </c>
      <c r="E948" s="16">
        <v>2010.0</v>
      </c>
      <c r="F948" s="16">
        <v>52.6075</v>
      </c>
      <c r="G948" s="16">
        <v>12.8899</v>
      </c>
      <c r="H948" s="15"/>
      <c r="I948" s="15"/>
    </row>
    <row r="949">
      <c r="A949" s="18">
        <v>45665.0</v>
      </c>
      <c r="B949" s="16" t="s">
        <v>1752</v>
      </c>
      <c r="C949" s="16" t="s">
        <v>969</v>
      </c>
      <c r="D949" s="16" t="s">
        <v>707</v>
      </c>
      <c r="E949" s="16">
        <v>2010.0</v>
      </c>
      <c r="F949" s="16">
        <v>52.442</v>
      </c>
      <c r="G949" s="16">
        <v>13.3654</v>
      </c>
      <c r="H949" s="15"/>
      <c r="I949" s="15"/>
    </row>
    <row r="950">
      <c r="A950" s="18">
        <v>45665.0</v>
      </c>
      <c r="B950" s="16" t="s">
        <v>1753</v>
      </c>
      <c r="C950" s="16" t="s">
        <v>948</v>
      </c>
      <c r="D950" s="16" t="s">
        <v>707</v>
      </c>
      <c r="E950" s="16">
        <v>2010.0</v>
      </c>
      <c r="F950" s="16">
        <v>50.9182</v>
      </c>
      <c r="G950" s="16">
        <v>12.7985</v>
      </c>
      <c r="H950" s="15"/>
      <c r="I950" s="15"/>
    </row>
    <row r="951">
      <c r="A951" s="18">
        <v>45665.0</v>
      </c>
      <c r="B951" s="16" t="s">
        <v>1754</v>
      </c>
      <c r="C951" s="16" t="s">
        <v>1310</v>
      </c>
      <c r="D951" s="16" t="s">
        <v>707</v>
      </c>
      <c r="E951" s="16">
        <v>2010.0</v>
      </c>
      <c r="F951" s="16">
        <v>50.088</v>
      </c>
      <c r="G951" s="16">
        <v>10.778</v>
      </c>
      <c r="H951" s="15"/>
      <c r="I951" s="15"/>
    </row>
    <row r="952">
      <c r="A952" s="18">
        <v>45665.0</v>
      </c>
      <c r="B952" s="16" t="s">
        <v>1755</v>
      </c>
      <c r="C952" s="16" t="s">
        <v>1034</v>
      </c>
      <c r="D952" s="16" t="s">
        <v>707</v>
      </c>
      <c r="E952" s="16">
        <v>2010.0</v>
      </c>
      <c r="F952" s="16">
        <v>49.884</v>
      </c>
      <c r="G952" s="16">
        <v>11.8308</v>
      </c>
      <c r="H952" s="15"/>
      <c r="I952" s="15"/>
    </row>
    <row r="953">
      <c r="A953" s="18">
        <v>45665.0</v>
      </c>
      <c r="B953" s="16" t="s">
        <v>1756</v>
      </c>
      <c r="C953" s="16" t="s">
        <v>1757</v>
      </c>
      <c r="D953" s="16" t="s">
        <v>707</v>
      </c>
      <c r="E953" s="16">
        <v>2010.0</v>
      </c>
      <c r="F953" s="16">
        <v>51.718</v>
      </c>
      <c r="G953" s="16">
        <v>14.059</v>
      </c>
      <c r="H953" s="15"/>
      <c r="I953" s="15"/>
    </row>
    <row r="954">
      <c r="A954" s="18">
        <v>45665.0</v>
      </c>
      <c r="B954" s="16" t="s">
        <v>1758</v>
      </c>
      <c r="C954" s="16" t="s">
        <v>978</v>
      </c>
      <c r="D954" s="16" t="s">
        <v>707</v>
      </c>
      <c r="E954" s="16">
        <v>2010.0</v>
      </c>
      <c r="F954" s="16">
        <v>48.7511</v>
      </c>
      <c r="G954" s="16">
        <v>12.1233</v>
      </c>
      <c r="H954" s="15"/>
      <c r="I954" s="15"/>
    </row>
    <row r="955">
      <c r="A955" s="18">
        <v>45665.0</v>
      </c>
      <c r="B955" s="16" t="s">
        <v>1759</v>
      </c>
      <c r="C955" s="16" t="s">
        <v>1149</v>
      </c>
      <c r="D955" s="16" t="s">
        <v>707</v>
      </c>
      <c r="E955" s="16">
        <v>2010.0</v>
      </c>
      <c r="F955" s="16">
        <v>49.684</v>
      </c>
      <c r="G955" s="16">
        <v>9.389</v>
      </c>
      <c r="H955" s="15"/>
      <c r="I955" s="15"/>
    </row>
    <row r="956">
      <c r="A956" s="18">
        <v>45665.0</v>
      </c>
      <c r="B956" s="16" t="s">
        <v>1760</v>
      </c>
      <c r="C956" s="16">
        <v>1.0</v>
      </c>
      <c r="D956" s="16" t="s">
        <v>707</v>
      </c>
      <c r="E956" s="16">
        <v>2010.0</v>
      </c>
      <c r="F956" s="16">
        <v>53.5631</v>
      </c>
      <c r="G956" s="16">
        <v>13.197</v>
      </c>
      <c r="H956" s="15"/>
      <c r="I956" s="15"/>
    </row>
    <row r="957">
      <c r="A957" s="18">
        <v>45665.0</v>
      </c>
      <c r="B957" s="16" t="s">
        <v>1761</v>
      </c>
      <c r="C957" s="16" t="s">
        <v>1085</v>
      </c>
      <c r="D957" s="16" t="s">
        <v>707</v>
      </c>
      <c r="E957" s="16">
        <v>2010.0</v>
      </c>
      <c r="F957" s="16">
        <v>47.9763</v>
      </c>
      <c r="G957" s="16">
        <v>10.7178</v>
      </c>
      <c r="H957" s="15"/>
      <c r="I957" s="15"/>
    </row>
    <row r="958">
      <c r="A958" s="18">
        <v>45665.0</v>
      </c>
      <c r="B958" s="16" t="s">
        <v>1762</v>
      </c>
      <c r="C958" s="16">
        <v>1.0</v>
      </c>
      <c r="D958" s="16" t="s">
        <v>707</v>
      </c>
      <c r="E958" s="16">
        <v>2010.0</v>
      </c>
      <c r="F958" s="16">
        <v>48.3712</v>
      </c>
      <c r="G958" s="16">
        <v>13.146</v>
      </c>
      <c r="H958" s="15"/>
      <c r="I958" s="15"/>
    </row>
    <row r="959">
      <c r="A959" s="18">
        <v>45665.0</v>
      </c>
      <c r="B959" s="16" t="s">
        <v>1763</v>
      </c>
      <c r="C959" s="16">
        <v>1.0</v>
      </c>
      <c r="D959" s="16" t="s">
        <v>707</v>
      </c>
      <c r="E959" s="16">
        <v>2010.0</v>
      </c>
      <c r="F959" s="16">
        <v>49.6941</v>
      </c>
      <c r="G959" s="16">
        <v>6.5608</v>
      </c>
      <c r="H959" s="15"/>
      <c r="I959" s="15"/>
    </row>
    <row r="960">
      <c r="A960" s="18">
        <v>45665.0</v>
      </c>
      <c r="B960" s="16" t="s">
        <v>1764</v>
      </c>
      <c r="C960" s="16" t="s">
        <v>1055</v>
      </c>
      <c r="D960" s="16" t="s">
        <v>707</v>
      </c>
      <c r="E960" s="16">
        <v>2010.0</v>
      </c>
      <c r="F960" s="16">
        <v>51.8758</v>
      </c>
      <c r="G960" s="16">
        <v>9.1392</v>
      </c>
      <c r="H960" s="15"/>
      <c r="I960" s="15"/>
    </row>
    <row r="961">
      <c r="A961" s="18">
        <v>45665.0</v>
      </c>
      <c r="B961" s="16" t="s">
        <v>1765</v>
      </c>
      <c r="C961" s="16">
        <v>1.0</v>
      </c>
      <c r="D961" s="16" t="s">
        <v>707</v>
      </c>
      <c r="E961" s="16">
        <v>2010.0</v>
      </c>
      <c r="F961" s="16">
        <v>50.8342</v>
      </c>
      <c r="G961" s="16">
        <v>10.7149</v>
      </c>
      <c r="H961" s="15"/>
      <c r="I961" s="15"/>
    </row>
    <row r="962">
      <c r="A962" s="18">
        <v>45665.0</v>
      </c>
      <c r="B962" s="16" t="s">
        <v>1766</v>
      </c>
      <c r="C962" s="16" t="s">
        <v>1055</v>
      </c>
      <c r="D962" s="16" t="s">
        <v>707</v>
      </c>
      <c r="E962" s="16">
        <v>2010.0</v>
      </c>
      <c r="F962" s="16">
        <v>52.2603</v>
      </c>
      <c r="G962" s="16">
        <v>8.4906</v>
      </c>
      <c r="H962" s="15"/>
      <c r="I962" s="15"/>
    </row>
    <row r="963">
      <c r="A963" s="18">
        <v>45665.0</v>
      </c>
      <c r="B963" s="16" t="s">
        <v>1767</v>
      </c>
      <c r="C963" s="16" t="s">
        <v>1384</v>
      </c>
      <c r="D963" s="16" t="s">
        <v>707</v>
      </c>
      <c r="E963" s="16">
        <v>2010.0</v>
      </c>
      <c r="F963" s="16">
        <v>51.8102</v>
      </c>
      <c r="G963" s="16">
        <v>12.3436</v>
      </c>
      <c r="H963" s="15"/>
      <c r="I963" s="15"/>
    </row>
    <row r="964">
      <c r="A964" s="18">
        <v>45665.0</v>
      </c>
      <c r="B964" s="16" t="s">
        <v>1768</v>
      </c>
      <c r="C964" s="16" t="s">
        <v>1393</v>
      </c>
      <c r="D964" s="16" t="s">
        <v>707</v>
      </c>
      <c r="E964" s="16">
        <v>2010.0</v>
      </c>
      <c r="F964" s="16">
        <v>54.7862</v>
      </c>
      <c r="G964" s="16">
        <v>9.0979</v>
      </c>
      <c r="H964" s="15"/>
      <c r="I964" s="15"/>
    </row>
    <row r="965">
      <c r="A965" s="18">
        <v>45665.0</v>
      </c>
      <c r="B965" s="16" t="s">
        <v>1769</v>
      </c>
      <c r="C965" s="16" t="s">
        <v>1096</v>
      </c>
      <c r="D965" s="16" t="s">
        <v>707</v>
      </c>
      <c r="E965" s="16">
        <v>2010.0</v>
      </c>
      <c r="F965" s="16">
        <v>51.6672</v>
      </c>
      <c r="G965" s="16">
        <v>14.6488</v>
      </c>
      <c r="H965" s="15"/>
      <c r="I965" s="15"/>
    </row>
    <row r="966">
      <c r="A966" s="18">
        <v>45665.0</v>
      </c>
      <c r="B966" s="16" t="s">
        <v>1770</v>
      </c>
      <c r="C966" s="16" t="s">
        <v>1771</v>
      </c>
      <c r="D966" s="16" t="s">
        <v>707</v>
      </c>
      <c r="E966" s="16">
        <v>2010.0</v>
      </c>
      <c r="F966" s="16">
        <v>51.6672</v>
      </c>
      <c r="G966" s="16">
        <v>14.6488</v>
      </c>
      <c r="H966" s="15"/>
      <c r="I966" s="15"/>
    </row>
    <row r="967">
      <c r="A967" s="18">
        <v>45665.0</v>
      </c>
      <c r="B967" s="16" t="s">
        <v>1772</v>
      </c>
      <c r="C967" s="16" t="s">
        <v>1773</v>
      </c>
      <c r="D967" s="16" t="s">
        <v>707</v>
      </c>
      <c r="E967" s="16">
        <v>2010.0</v>
      </c>
      <c r="F967" s="16">
        <v>49.9248</v>
      </c>
      <c r="G967" s="16">
        <v>9.7394</v>
      </c>
      <c r="H967" s="15"/>
      <c r="I967" s="15"/>
    </row>
    <row r="968">
      <c r="A968" s="18">
        <v>45665.0</v>
      </c>
      <c r="B968" s="16" t="s">
        <v>1774</v>
      </c>
      <c r="C968" s="16" t="s">
        <v>1771</v>
      </c>
      <c r="D968" s="16" t="s">
        <v>707</v>
      </c>
      <c r="E968" s="16">
        <v>2010.0</v>
      </c>
      <c r="F968" s="16">
        <v>49.9219</v>
      </c>
      <c r="G968" s="16">
        <v>9.7439</v>
      </c>
      <c r="H968" s="15"/>
      <c r="I968" s="15"/>
    </row>
    <row r="969">
      <c r="A969" s="18">
        <v>45665.0</v>
      </c>
      <c r="B969" s="16" t="s">
        <v>1775</v>
      </c>
      <c r="C969" s="16">
        <v>6.0</v>
      </c>
      <c r="D969" s="16" t="s">
        <v>707</v>
      </c>
      <c r="E969" s="16">
        <v>2010.0</v>
      </c>
      <c r="F969" s="16">
        <v>51.4643</v>
      </c>
      <c r="G969" s="16">
        <v>11.0589</v>
      </c>
      <c r="H969" s="15"/>
      <c r="I969" s="15"/>
    </row>
    <row r="970">
      <c r="A970" s="18">
        <v>45665.0</v>
      </c>
      <c r="B970" s="16" t="s">
        <v>1776</v>
      </c>
      <c r="C970" s="16">
        <v>2.0</v>
      </c>
      <c r="D970" s="16" t="s">
        <v>707</v>
      </c>
      <c r="E970" s="16">
        <v>2010.0</v>
      </c>
      <c r="F970" s="16">
        <v>51.4662</v>
      </c>
      <c r="G970" s="16">
        <v>11.8891</v>
      </c>
      <c r="H970" s="15"/>
      <c r="I970" s="15"/>
    </row>
    <row r="971">
      <c r="A971" s="18">
        <v>45665.0</v>
      </c>
      <c r="B971" s="16" t="s">
        <v>718</v>
      </c>
      <c r="C971" s="16" t="s">
        <v>1777</v>
      </c>
      <c r="D971" s="16" t="s">
        <v>707</v>
      </c>
      <c r="E971" s="16">
        <v>2010.0</v>
      </c>
      <c r="F971" s="16">
        <v>52.3453</v>
      </c>
      <c r="G971" s="16">
        <v>12.5618</v>
      </c>
      <c r="H971" s="15"/>
      <c r="I971" s="15"/>
    </row>
    <row r="972">
      <c r="A972" s="18">
        <v>45665.0</v>
      </c>
      <c r="B972" s="16" t="s">
        <v>1778</v>
      </c>
      <c r="C972" s="16" t="s">
        <v>978</v>
      </c>
      <c r="D972" s="16" t="s">
        <v>707</v>
      </c>
      <c r="E972" s="16">
        <v>2010.0</v>
      </c>
      <c r="F972" s="16">
        <v>51.0185</v>
      </c>
      <c r="G972" s="16">
        <v>13.8029</v>
      </c>
      <c r="H972" s="15"/>
      <c r="I972" s="15"/>
    </row>
    <row r="973">
      <c r="A973" s="18">
        <v>45665.0</v>
      </c>
      <c r="B973" s="16" t="s">
        <v>1779</v>
      </c>
      <c r="C973" s="16" t="s">
        <v>951</v>
      </c>
      <c r="D973" s="16" t="s">
        <v>707</v>
      </c>
      <c r="E973" s="16">
        <v>2010.0</v>
      </c>
      <c r="F973" s="16">
        <v>48.3732</v>
      </c>
      <c r="G973" s="16">
        <v>11.5544</v>
      </c>
      <c r="H973" s="15"/>
      <c r="I973" s="15"/>
    </row>
    <row r="974">
      <c r="A974" s="18">
        <v>45665.0</v>
      </c>
      <c r="B974" s="16" t="s">
        <v>1780</v>
      </c>
      <c r="C974" s="16" t="s">
        <v>971</v>
      </c>
      <c r="D974" s="16" t="s">
        <v>707</v>
      </c>
      <c r="E974" s="16">
        <v>2010.0</v>
      </c>
      <c r="F974" s="16">
        <v>50.0668</v>
      </c>
      <c r="G974" s="16">
        <v>6.9058</v>
      </c>
      <c r="H974" s="15"/>
      <c r="I974" s="15"/>
    </row>
    <row r="975">
      <c r="A975" s="18">
        <v>45665.0</v>
      </c>
      <c r="B975" s="16" t="s">
        <v>1781</v>
      </c>
      <c r="C975" s="16" t="s">
        <v>946</v>
      </c>
      <c r="D975" s="16" t="s">
        <v>707</v>
      </c>
      <c r="E975" s="16">
        <v>2010.0</v>
      </c>
      <c r="F975" s="16">
        <v>49.2059</v>
      </c>
      <c r="G975" s="16">
        <v>12.6316</v>
      </c>
      <c r="H975" s="15"/>
      <c r="I975" s="15"/>
    </row>
    <row r="976">
      <c r="A976" s="18">
        <v>45665.0</v>
      </c>
      <c r="B976" s="16" t="s">
        <v>1782</v>
      </c>
      <c r="C976" s="16" t="s">
        <v>978</v>
      </c>
      <c r="D976" s="16" t="s">
        <v>707</v>
      </c>
      <c r="E976" s="16">
        <v>2010.0</v>
      </c>
      <c r="F976" s="16">
        <v>50.8444</v>
      </c>
      <c r="G976" s="16">
        <v>9.7078</v>
      </c>
      <c r="H976" s="15"/>
      <c r="I976" s="15"/>
    </row>
    <row r="977">
      <c r="A977" s="18">
        <v>45665.0</v>
      </c>
      <c r="B977" s="16" t="s">
        <v>1783</v>
      </c>
      <c r="C977" s="16" t="s">
        <v>1215</v>
      </c>
      <c r="D977" s="16" t="s">
        <v>707</v>
      </c>
      <c r="E977" s="16">
        <v>2010.0</v>
      </c>
      <c r="F977" s="16">
        <v>49.8897</v>
      </c>
      <c r="G977" s="16">
        <v>6.5596</v>
      </c>
      <c r="H977" s="15"/>
      <c r="I977" s="15"/>
    </row>
    <row r="978">
      <c r="A978" s="18">
        <v>45665.0</v>
      </c>
      <c r="B978" s="16" t="s">
        <v>1784</v>
      </c>
      <c r="C978" s="16" t="s">
        <v>1037</v>
      </c>
      <c r="D978" s="16" t="s">
        <v>707</v>
      </c>
      <c r="E978" s="16">
        <v>2010.0</v>
      </c>
      <c r="F978" s="16">
        <v>51.4587</v>
      </c>
      <c r="G978" s="16">
        <v>14.1111</v>
      </c>
      <c r="H978" s="15"/>
      <c r="I978" s="15"/>
    </row>
    <row r="979">
      <c r="A979" s="18">
        <v>45665.0</v>
      </c>
      <c r="B979" s="16" t="s">
        <v>1785</v>
      </c>
      <c r="C979" s="16">
        <v>3.0</v>
      </c>
      <c r="D979" s="16" t="s">
        <v>707</v>
      </c>
      <c r="E979" s="16">
        <v>2010.0</v>
      </c>
      <c r="F979" s="16">
        <v>51.4673</v>
      </c>
      <c r="G979" s="16">
        <v>14.1313</v>
      </c>
      <c r="H979" s="15"/>
      <c r="I979" s="15"/>
    </row>
    <row r="980">
      <c r="A980" s="18">
        <v>45665.0</v>
      </c>
      <c r="B980" s="16" t="s">
        <v>1786</v>
      </c>
      <c r="C980" s="16" t="s">
        <v>1037</v>
      </c>
      <c r="D980" s="16" t="s">
        <v>707</v>
      </c>
      <c r="E980" s="16">
        <v>2010.0</v>
      </c>
      <c r="F980" s="16">
        <v>51.8156</v>
      </c>
      <c r="G980" s="16">
        <v>12.8643</v>
      </c>
      <c r="H980" s="15"/>
      <c r="I980" s="15"/>
    </row>
    <row r="981">
      <c r="A981" s="18">
        <v>45665.0</v>
      </c>
      <c r="B981" s="16" t="s">
        <v>1787</v>
      </c>
      <c r="C981" s="16" t="s">
        <v>1215</v>
      </c>
      <c r="D981" s="16" t="s">
        <v>707</v>
      </c>
      <c r="E981" s="16">
        <v>2010.0</v>
      </c>
      <c r="F981" s="16">
        <v>51.3873</v>
      </c>
      <c r="G981" s="16">
        <v>12.777</v>
      </c>
      <c r="H981" s="15"/>
      <c r="I981" s="15"/>
    </row>
    <row r="982">
      <c r="A982" s="18">
        <v>45665.0</v>
      </c>
      <c r="B982" s="16" t="s">
        <v>1788</v>
      </c>
      <c r="C982" s="16" t="s">
        <v>948</v>
      </c>
      <c r="D982" s="16" t="s">
        <v>707</v>
      </c>
      <c r="E982" s="16">
        <v>2010.0</v>
      </c>
      <c r="F982" s="16">
        <v>51.6062</v>
      </c>
      <c r="G982" s="16">
        <v>9.6397</v>
      </c>
      <c r="H982" s="15"/>
      <c r="I982" s="15"/>
    </row>
    <row r="983">
      <c r="A983" s="18">
        <v>45665.0</v>
      </c>
      <c r="B983" s="16" t="s">
        <v>1789</v>
      </c>
      <c r="C983" s="16">
        <v>1.0</v>
      </c>
      <c r="D983" s="16" t="s">
        <v>707</v>
      </c>
      <c r="E983" s="16">
        <v>2010.0</v>
      </c>
      <c r="F983" s="16">
        <v>50.964</v>
      </c>
      <c r="G983" s="16">
        <v>13.036</v>
      </c>
      <c r="H983" s="15"/>
      <c r="I983" s="15"/>
    </row>
    <row r="984">
      <c r="A984" s="18">
        <v>45665.0</v>
      </c>
      <c r="B984" s="16" t="s">
        <v>1790</v>
      </c>
      <c r="C984" s="16" t="s">
        <v>1059</v>
      </c>
      <c r="D984" s="16" t="s">
        <v>707</v>
      </c>
      <c r="E984" s="16">
        <v>2010.0</v>
      </c>
      <c r="F984" s="16">
        <v>51.3824</v>
      </c>
      <c r="G984" s="16">
        <v>12.7787</v>
      </c>
      <c r="H984" s="15"/>
      <c r="I984" s="15"/>
    </row>
    <row r="985">
      <c r="A985" s="18">
        <v>45665.0</v>
      </c>
      <c r="B985" s="16" t="s">
        <v>1791</v>
      </c>
      <c r="C985" s="16" t="s">
        <v>948</v>
      </c>
      <c r="D985" s="16" t="s">
        <v>707</v>
      </c>
      <c r="E985" s="16">
        <v>2010.0</v>
      </c>
      <c r="F985" s="16">
        <v>51.4591</v>
      </c>
      <c r="G985" s="16">
        <v>11.215</v>
      </c>
      <c r="H985" s="15"/>
      <c r="I985" s="15"/>
    </row>
    <row r="986">
      <c r="A986" s="18">
        <v>45665.0</v>
      </c>
      <c r="B986" s="16" t="s">
        <v>1792</v>
      </c>
      <c r="C986" s="16" t="s">
        <v>1011</v>
      </c>
      <c r="D986" s="16" t="s">
        <v>707</v>
      </c>
      <c r="E986" s="16">
        <v>2010.0</v>
      </c>
      <c r="F986" s="16">
        <v>51.4589</v>
      </c>
      <c r="G986" s="16">
        <v>11.2153</v>
      </c>
      <c r="H986" s="15"/>
      <c r="I986" s="15"/>
    </row>
    <row r="987">
      <c r="A987" s="18">
        <v>45665.0</v>
      </c>
      <c r="B987" s="16" t="s">
        <v>1793</v>
      </c>
      <c r="C987" s="16" t="s">
        <v>942</v>
      </c>
      <c r="D987" s="16" t="s">
        <v>707</v>
      </c>
      <c r="E987" s="16">
        <v>2010.0</v>
      </c>
      <c r="F987" s="16">
        <v>50.0189</v>
      </c>
      <c r="G987" s="16">
        <v>10.1158</v>
      </c>
      <c r="H987" s="15"/>
      <c r="I987" s="15"/>
    </row>
    <row r="988">
      <c r="A988" s="18">
        <v>45665.0</v>
      </c>
      <c r="B988" s="16" t="s">
        <v>1794</v>
      </c>
      <c r="C988" s="16" t="s">
        <v>982</v>
      </c>
      <c r="D988" s="16" t="s">
        <v>707</v>
      </c>
      <c r="E988" s="16">
        <v>2010.0</v>
      </c>
      <c r="F988" s="16">
        <v>49.2981</v>
      </c>
      <c r="G988" s="16">
        <v>10.9332</v>
      </c>
      <c r="H988" s="15"/>
      <c r="I988" s="15"/>
    </row>
    <row r="989">
      <c r="A989" s="18">
        <v>45665.0</v>
      </c>
      <c r="B989" s="16" t="s">
        <v>1795</v>
      </c>
      <c r="C989" s="16" t="s">
        <v>1059</v>
      </c>
      <c r="D989" s="16" t="s">
        <v>707</v>
      </c>
      <c r="E989" s="16">
        <v>2010.0</v>
      </c>
      <c r="F989" s="16">
        <v>50.1896</v>
      </c>
      <c r="G989" s="16">
        <v>7.8113</v>
      </c>
      <c r="H989" s="15"/>
      <c r="I989" s="15"/>
    </row>
    <row r="990">
      <c r="A990" s="18">
        <v>45665.0</v>
      </c>
      <c r="B990" s="16" t="s">
        <v>1796</v>
      </c>
      <c r="C990" s="16">
        <v>3.0</v>
      </c>
      <c r="D990" s="16" t="s">
        <v>707</v>
      </c>
      <c r="E990" s="16">
        <v>2010.0</v>
      </c>
      <c r="F990" s="16">
        <v>54.1189</v>
      </c>
      <c r="G990" s="16">
        <v>9.0022</v>
      </c>
      <c r="H990" s="15"/>
      <c r="I990" s="15"/>
    </row>
    <row r="991">
      <c r="A991" s="18">
        <v>45665.0</v>
      </c>
      <c r="B991" s="16" t="s">
        <v>1797</v>
      </c>
      <c r="C991" s="16" t="s">
        <v>946</v>
      </c>
      <c r="D991" s="16" t="s">
        <v>707</v>
      </c>
      <c r="E991" s="16">
        <v>2010.0</v>
      </c>
      <c r="F991" s="16">
        <v>54.1119</v>
      </c>
      <c r="G991" s="16">
        <v>8.9907</v>
      </c>
      <c r="H991" s="15"/>
      <c r="I991" s="15"/>
    </row>
    <row r="992">
      <c r="A992" s="18">
        <v>45665.0</v>
      </c>
      <c r="B992" s="16" t="s">
        <v>1798</v>
      </c>
      <c r="C992" s="16" t="s">
        <v>948</v>
      </c>
      <c r="D992" s="16" t="s">
        <v>707</v>
      </c>
      <c r="E992" s="16">
        <v>2010.0</v>
      </c>
      <c r="F992" s="16">
        <v>50.2136</v>
      </c>
      <c r="G992" s="16">
        <v>11.0654</v>
      </c>
      <c r="H992" s="15"/>
      <c r="I992" s="15"/>
    </row>
    <row r="993">
      <c r="A993" s="18">
        <v>45665.0</v>
      </c>
      <c r="B993" s="16" t="s">
        <v>1799</v>
      </c>
      <c r="C993" s="16" t="s">
        <v>942</v>
      </c>
      <c r="D993" s="16" t="s">
        <v>707</v>
      </c>
      <c r="E993" s="16">
        <v>2010.0</v>
      </c>
      <c r="F993" s="16">
        <v>50.2176</v>
      </c>
      <c r="G993" s="16">
        <v>11.065</v>
      </c>
      <c r="H993" s="15"/>
      <c r="I993" s="15"/>
    </row>
    <row r="994">
      <c r="A994" s="18">
        <v>45665.0</v>
      </c>
      <c r="B994" s="16" t="s">
        <v>1800</v>
      </c>
      <c r="C994" s="16" t="s">
        <v>969</v>
      </c>
      <c r="D994" s="16" t="s">
        <v>707</v>
      </c>
      <c r="E994" s="16">
        <v>2010.0</v>
      </c>
      <c r="F994" s="16">
        <v>47.9994</v>
      </c>
      <c r="G994" s="16">
        <v>10.8563</v>
      </c>
      <c r="H994" s="15"/>
      <c r="I994" s="15"/>
    </row>
    <row r="995">
      <c r="A995" s="18">
        <v>45665.0</v>
      </c>
      <c r="B995" s="16" t="s">
        <v>1801</v>
      </c>
      <c r="C995" s="16">
        <v>1.0</v>
      </c>
      <c r="D995" s="16" t="s">
        <v>707</v>
      </c>
      <c r="E995" s="16">
        <v>2010.0</v>
      </c>
      <c r="F995" s="16">
        <v>52.2286</v>
      </c>
      <c r="G995" s="16">
        <v>11.9592</v>
      </c>
      <c r="H995" s="15"/>
      <c r="I995" s="15"/>
    </row>
    <row r="996">
      <c r="A996" s="18">
        <v>45665.0</v>
      </c>
      <c r="B996" s="16" t="s">
        <v>1802</v>
      </c>
      <c r="C996" s="16" t="s">
        <v>1037</v>
      </c>
      <c r="D996" s="16" t="s">
        <v>707</v>
      </c>
      <c r="E996" s="16">
        <v>2010.0</v>
      </c>
      <c r="F996" s="16">
        <v>54.8174</v>
      </c>
      <c r="G996" s="16">
        <v>8.8813</v>
      </c>
      <c r="H996" s="15"/>
      <c r="I996" s="15"/>
    </row>
    <row r="997">
      <c r="A997" s="18">
        <v>45665.0</v>
      </c>
      <c r="B997" s="16" t="s">
        <v>1803</v>
      </c>
      <c r="C997" s="16" t="s">
        <v>990</v>
      </c>
      <c r="D997" s="16" t="s">
        <v>707</v>
      </c>
      <c r="E997" s="16">
        <v>2010.0</v>
      </c>
      <c r="F997" s="16">
        <v>51.3635</v>
      </c>
      <c r="G997" s="16">
        <v>12.4396</v>
      </c>
      <c r="H997" s="15"/>
      <c r="I997" s="15"/>
    </row>
    <row r="998">
      <c r="A998" s="18">
        <v>45665.0</v>
      </c>
      <c r="B998" s="16" t="s">
        <v>1804</v>
      </c>
      <c r="C998" s="16" t="s">
        <v>978</v>
      </c>
      <c r="D998" s="16" t="s">
        <v>707</v>
      </c>
      <c r="E998" s="16">
        <v>2010.0</v>
      </c>
      <c r="F998" s="16">
        <v>49.7809</v>
      </c>
      <c r="G998" s="16">
        <v>6.8282</v>
      </c>
      <c r="H998" s="15"/>
      <c r="I998" s="15"/>
    </row>
    <row r="999">
      <c r="A999" s="18">
        <v>45665.0</v>
      </c>
      <c r="B999" s="16" t="s">
        <v>1805</v>
      </c>
      <c r="C999" s="16" t="s">
        <v>978</v>
      </c>
      <c r="D999" s="16" t="s">
        <v>707</v>
      </c>
      <c r="E999" s="16">
        <v>2010.0</v>
      </c>
      <c r="F999" s="16">
        <v>47.8793</v>
      </c>
      <c r="G999" s="16">
        <v>11.9791</v>
      </c>
      <c r="H999" s="15"/>
      <c r="I999" s="15"/>
    </row>
    <row r="1000">
      <c r="A1000" s="18">
        <v>45665.0</v>
      </c>
      <c r="B1000" s="16" t="s">
        <v>1806</v>
      </c>
      <c r="C1000" s="16" t="s">
        <v>978</v>
      </c>
      <c r="D1000" s="16" t="s">
        <v>707</v>
      </c>
      <c r="E1000" s="16">
        <v>2010.0</v>
      </c>
      <c r="F1000" s="16">
        <v>50.6177</v>
      </c>
      <c r="G1000" s="16">
        <v>7.678</v>
      </c>
      <c r="H1000" s="15"/>
      <c r="I1000" s="15"/>
    </row>
    <row r="1001">
      <c r="A1001" s="18">
        <v>45665.0</v>
      </c>
      <c r="B1001" s="16" t="s">
        <v>1807</v>
      </c>
      <c r="C1001" s="16" t="s">
        <v>971</v>
      </c>
      <c r="D1001" s="16" t="s">
        <v>707</v>
      </c>
      <c r="E1001" s="16">
        <v>2010.0</v>
      </c>
      <c r="F1001" s="16">
        <v>48.4658</v>
      </c>
      <c r="G1001" s="16">
        <v>10.739</v>
      </c>
      <c r="H1001" s="15"/>
      <c r="I1001" s="15"/>
    </row>
    <row r="1002">
      <c r="A1002" s="18">
        <v>45665.0</v>
      </c>
      <c r="B1002" s="16" t="s">
        <v>1808</v>
      </c>
      <c r="C1002" s="16" t="s">
        <v>1039</v>
      </c>
      <c r="D1002" s="16" t="s">
        <v>707</v>
      </c>
      <c r="E1002" s="16">
        <v>2010.0</v>
      </c>
      <c r="F1002" s="16">
        <v>48.0881</v>
      </c>
      <c r="G1002" s="16">
        <v>8.7439</v>
      </c>
      <c r="H1002" s="15"/>
      <c r="I1002" s="15"/>
    </row>
    <row r="1003">
      <c r="A1003" s="18">
        <v>45665.0</v>
      </c>
      <c r="B1003" s="16" t="s">
        <v>1809</v>
      </c>
      <c r="C1003" s="16" t="s">
        <v>1037</v>
      </c>
      <c r="D1003" s="16" t="s">
        <v>707</v>
      </c>
      <c r="E1003" s="16">
        <v>2010.0</v>
      </c>
      <c r="F1003" s="16">
        <v>48.6657</v>
      </c>
      <c r="G1003" s="16">
        <v>10.6122</v>
      </c>
      <c r="H1003" s="15"/>
      <c r="I1003" s="15"/>
    </row>
    <row r="1004">
      <c r="A1004" s="18">
        <v>45665.0</v>
      </c>
      <c r="B1004" s="16" t="s">
        <v>1810</v>
      </c>
      <c r="C1004" s="16" t="s">
        <v>1034</v>
      </c>
      <c r="D1004" s="16" t="s">
        <v>707</v>
      </c>
      <c r="E1004" s="16">
        <v>2010.0</v>
      </c>
      <c r="F1004" s="16">
        <v>48.3463</v>
      </c>
      <c r="G1004" s="16">
        <v>9.867</v>
      </c>
      <c r="H1004" s="15"/>
      <c r="I1004" s="15"/>
    </row>
    <row r="1005">
      <c r="A1005" s="18">
        <v>45665.0</v>
      </c>
      <c r="B1005" s="16" t="s">
        <v>1811</v>
      </c>
      <c r="C1005" s="16" t="s">
        <v>946</v>
      </c>
      <c r="D1005" s="16" t="s">
        <v>707</v>
      </c>
      <c r="E1005" s="16">
        <v>2010.0</v>
      </c>
      <c r="F1005" s="16">
        <v>50.5556</v>
      </c>
      <c r="G1005" s="16">
        <v>6.4641</v>
      </c>
      <c r="H1005" s="15"/>
      <c r="I1005" s="15"/>
    </row>
    <row r="1006">
      <c r="A1006" s="18">
        <v>45665.0</v>
      </c>
      <c r="B1006" s="16" t="s">
        <v>1812</v>
      </c>
      <c r="C1006" s="16" t="s">
        <v>1101</v>
      </c>
      <c r="D1006" s="16" t="s">
        <v>707</v>
      </c>
      <c r="E1006" s="16">
        <v>2010.0</v>
      </c>
      <c r="F1006" s="16">
        <v>50.9294</v>
      </c>
      <c r="G1006" s="16">
        <v>14.8676</v>
      </c>
      <c r="H1006" s="15"/>
      <c r="I1006" s="15"/>
    </row>
    <row r="1007">
      <c r="A1007" s="18">
        <v>45665.0</v>
      </c>
      <c r="B1007" s="16" t="s">
        <v>1813</v>
      </c>
      <c r="C1007" s="16" t="s">
        <v>946</v>
      </c>
      <c r="D1007" s="16" t="s">
        <v>707</v>
      </c>
      <c r="E1007" s="16">
        <v>2010.0</v>
      </c>
      <c r="F1007" s="16">
        <v>51.4734</v>
      </c>
      <c r="G1007" s="16">
        <v>12.7036</v>
      </c>
      <c r="H1007" s="15"/>
      <c r="I1007" s="15"/>
    </row>
    <row r="1008">
      <c r="A1008" s="18">
        <v>45665.0</v>
      </c>
      <c r="B1008" s="16" t="s">
        <v>1814</v>
      </c>
      <c r="C1008" s="16" t="s">
        <v>946</v>
      </c>
      <c r="D1008" s="16" t="s">
        <v>707</v>
      </c>
      <c r="E1008" s="16">
        <v>2010.0</v>
      </c>
      <c r="F1008" s="16">
        <v>51.4737</v>
      </c>
      <c r="G1008" s="16">
        <v>12.705</v>
      </c>
      <c r="H1008" s="15"/>
      <c r="I1008" s="15"/>
    </row>
    <row r="1009">
      <c r="A1009" s="18">
        <v>45665.0</v>
      </c>
      <c r="B1009" s="16" t="s">
        <v>1815</v>
      </c>
      <c r="C1009" s="16">
        <v>1.0</v>
      </c>
      <c r="D1009" s="16" t="s">
        <v>707</v>
      </c>
      <c r="E1009" s="16">
        <v>2010.0</v>
      </c>
      <c r="F1009" s="16">
        <v>51.6901</v>
      </c>
      <c r="G1009" s="16">
        <v>12.1856</v>
      </c>
      <c r="H1009" s="15"/>
      <c r="I1009" s="15"/>
    </row>
    <row r="1010">
      <c r="A1010" s="18">
        <v>45665.0</v>
      </c>
      <c r="B1010" s="16" t="s">
        <v>1816</v>
      </c>
      <c r="C1010" s="16" t="s">
        <v>942</v>
      </c>
      <c r="D1010" s="16" t="s">
        <v>707</v>
      </c>
      <c r="E1010" s="16">
        <v>2010.0</v>
      </c>
      <c r="F1010" s="16">
        <v>52.3871</v>
      </c>
      <c r="G1010" s="16">
        <v>11.7208</v>
      </c>
      <c r="H1010" s="15"/>
      <c r="I1010" s="15"/>
    </row>
    <row r="1011">
      <c r="A1011" s="18">
        <v>45665.0</v>
      </c>
      <c r="B1011" s="16" t="s">
        <v>1817</v>
      </c>
      <c r="C1011" s="16" t="s">
        <v>1267</v>
      </c>
      <c r="D1011" s="16" t="s">
        <v>707</v>
      </c>
      <c r="E1011" s="16">
        <v>2010.0</v>
      </c>
      <c r="F1011" s="16">
        <v>49.1675</v>
      </c>
      <c r="G1011" s="16">
        <v>6.8263</v>
      </c>
      <c r="H1011" s="15"/>
      <c r="I1011" s="15"/>
    </row>
    <row r="1012">
      <c r="A1012" s="18">
        <v>45665.0</v>
      </c>
      <c r="B1012" s="16" t="s">
        <v>1818</v>
      </c>
      <c r="C1012" s="16" t="s">
        <v>961</v>
      </c>
      <c r="D1012" s="16" t="s">
        <v>707</v>
      </c>
      <c r="E1012" s="16">
        <v>2010.0</v>
      </c>
      <c r="F1012" s="16">
        <v>49.1652</v>
      </c>
      <c r="G1012" s="16">
        <v>6.8223</v>
      </c>
      <c r="H1012" s="15"/>
      <c r="I1012" s="15"/>
    </row>
    <row r="1013">
      <c r="A1013" s="18">
        <v>45665.0</v>
      </c>
      <c r="B1013" s="16" t="s">
        <v>1819</v>
      </c>
      <c r="C1013" s="16">
        <v>2.0</v>
      </c>
      <c r="D1013" s="16" t="s">
        <v>707</v>
      </c>
      <c r="E1013" s="16">
        <v>2010.0</v>
      </c>
      <c r="F1013" s="16">
        <v>48.1417</v>
      </c>
      <c r="G1013" s="16">
        <v>10.958</v>
      </c>
      <c r="H1013" s="15"/>
      <c r="I1013" s="15"/>
    </row>
    <row r="1014">
      <c r="A1014" s="18">
        <v>45665.0</v>
      </c>
      <c r="B1014" s="16" t="s">
        <v>1820</v>
      </c>
      <c r="C1014" s="16" t="s">
        <v>984</v>
      </c>
      <c r="D1014" s="16" t="s">
        <v>707</v>
      </c>
      <c r="E1014" s="16">
        <v>2010.0</v>
      </c>
      <c r="F1014" s="16">
        <v>49.9833</v>
      </c>
      <c r="G1014" s="16">
        <v>10.9642</v>
      </c>
      <c r="H1014" s="15"/>
      <c r="I1014" s="15"/>
    </row>
    <row r="1015">
      <c r="A1015" s="18">
        <v>45665.0</v>
      </c>
      <c r="B1015" s="16" t="s">
        <v>1821</v>
      </c>
      <c r="C1015" s="16">
        <v>5.0</v>
      </c>
      <c r="D1015" s="16" t="s">
        <v>707</v>
      </c>
      <c r="E1015" s="16">
        <v>2010.0</v>
      </c>
      <c r="F1015" s="16">
        <v>51.553</v>
      </c>
      <c r="G1015" s="16">
        <v>13.2185</v>
      </c>
      <c r="H1015" s="15"/>
      <c r="I1015" s="15"/>
    </row>
    <row r="1016">
      <c r="A1016" s="18">
        <v>45665.0</v>
      </c>
      <c r="B1016" s="16" t="s">
        <v>1822</v>
      </c>
      <c r="C1016" s="16" t="s">
        <v>1037</v>
      </c>
      <c r="D1016" s="16" t="s">
        <v>707</v>
      </c>
      <c r="E1016" s="16">
        <v>2010.0</v>
      </c>
      <c r="F1016" s="16">
        <v>49.991</v>
      </c>
      <c r="G1016" s="16">
        <v>10.1587</v>
      </c>
      <c r="H1016" s="15"/>
      <c r="I1016" s="15"/>
    </row>
    <row r="1017">
      <c r="A1017" s="18">
        <v>45665.0</v>
      </c>
      <c r="B1017" s="16" t="s">
        <v>1823</v>
      </c>
      <c r="C1017" s="16" t="s">
        <v>1055</v>
      </c>
      <c r="D1017" s="16" t="s">
        <v>707</v>
      </c>
      <c r="E1017" s="16">
        <v>2010.0</v>
      </c>
      <c r="F1017" s="16">
        <v>49.4519</v>
      </c>
      <c r="G1017" s="16">
        <v>11.5811</v>
      </c>
      <c r="H1017" s="15"/>
      <c r="I1017" s="15"/>
    </row>
    <row r="1018">
      <c r="A1018" s="18">
        <v>45665.0</v>
      </c>
      <c r="B1018" s="16" t="s">
        <v>1824</v>
      </c>
      <c r="C1018" s="16" t="s">
        <v>946</v>
      </c>
      <c r="D1018" s="16" t="s">
        <v>707</v>
      </c>
      <c r="E1018" s="16">
        <v>2010.0</v>
      </c>
      <c r="F1018" s="16">
        <v>50.7146</v>
      </c>
      <c r="G1018" s="16">
        <v>12.3824</v>
      </c>
      <c r="H1018" s="15"/>
      <c r="I1018" s="15"/>
    </row>
    <row r="1019">
      <c r="A1019" s="18">
        <v>45665.0</v>
      </c>
      <c r="B1019" s="16" t="s">
        <v>1825</v>
      </c>
      <c r="C1019" s="16" t="s">
        <v>1039</v>
      </c>
      <c r="D1019" s="16" t="s">
        <v>707</v>
      </c>
      <c r="E1019" s="16">
        <v>2010.0</v>
      </c>
      <c r="F1019" s="16">
        <v>50.4888</v>
      </c>
      <c r="G1019" s="16">
        <v>8.5323</v>
      </c>
      <c r="H1019" s="15"/>
      <c r="I1019" s="15"/>
    </row>
    <row r="1020">
      <c r="A1020" s="18">
        <v>45665.0</v>
      </c>
      <c r="B1020" s="16" t="s">
        <v>1826</v>
      </c>
      <c r="C1020" s="16" t="s">
        <v>978</v>
      </c>
      <c r="D1020" s="16" t="s">
        <v>707</v>
      </c>
      <c r="E1020" s="16">
        <v>2010.0</v>
      </c>
      <c r="F1020" s="16">
        <v>50.1525</v>
      </c>
      <c r="G1020" s="16">
        <v>7.5146</v>
      </c>
      <c r="H1020" s="15"/>
      <c r="I1020" s="15"/>
    </row>
    <row r="1021">
      <c r="A1021" s="18">
        <v>45665.0</v>
      </c>
      <c r="B1021" s="16" t="s">
        <v>1827</v>
      </c>
      <c r="C1021" s="16" t="s">
        <v>1055</v>
      </c>
      <c r="D1021" s="16" t="s">
        <v>707</v>
      </c>
      <c r="E1021" s="16">
        <v>2010.0</v>
      </c>
      <c r="F1021" s="16">
        <v>51.7967</v>
      </c>
      <c r="G1021" s="16">
        <v>10.9476</v>
      </c>
      <c r="H1021" s="15"/>
      <c r="I1021" s="15"/>
    </row>
    <row r="1022">
      <c r="A1022" s="18">
        <v>45665.0</v>
      </c>
      <c r="B1022" s="16" t="s">
        <v>1828</v>
      </c>
      <c r="C1022" s="16" t="s">
        <v>1051</v>
      </c>
      <c r="D1022" s="16" t="s">
        <v>707</v>
      </c>
      <c r="E1022" s="16">
        <v>2010.0</v>
      </c>
      <c r="F1022" s="16">
        <v>52.873</v>
      </c>
      <c r="G1022" s="16">
        <v>7.219</v>
      </c>
      <c r="H1022" s="15"/>
      <c r="I1022" s="15"/>
    </row>
    <row r="1023">
      <c r="A1023" s="18">
        <v>45665.0</v>
      </c>
      <c r="B1023" s="16" t="s">
        <v>1829</v>
      </c>
      <c r="C1023" s="16" t="s">
        <v>942</v>
      </c>
      <c r="D1023" s="16" t="s">
        <v>707</v>
      </c>
      <c r="E1023" s="16">
        <v>2010.0</v>
      </c>
      <c r="F1023" s="16">
        <v>51.4554</v>
      </c>
      <c r="G1023" s="16">
        <v>7.3909</v>
      </c>
      <c r="H1023" s="15"/>
      <c r="I1023" s="15"/>
    </row>
    <row r="1024">
      <c r="A1024" s="18">
        <v>45665.0</v>
      </c>
      <c r="B1024" s="16" t="s">
        <v>1830</v>
      </c>
      <c r="C1024" s="16" t="s">
        <v>942</v>
      </c>
      <c r="D1024" s="16" t="s">
        <v>707</v>
      </c>
      <c r="E1024" s="16">
        <v>2010.0</v>
      </c>
      <c r="F1024" s="16">
        <v>52.8608</v>
      </c>
      <c r="G1024" s="16">
        <v>11.1186</v>
      </c>
      <c r="H1024" s="15"/>
      <c r="I1024" s="15"/>
    </row>
    <row r="1025">
      <c r="A1025" s="18">
        <v>45665.0</v>
      </c>
      <c r="B1025" s="16" t="s">
        <v>1831</v>
      </c>
      <c r="C1025" s="16" t="s">
        <v>969</v>
      </c>
      <c r="D1025" s="16" t="s">
        <v>707</v>
      </c>
      <c r="E1025" s="16">
        <v>2010.0</v>
      </c>
      <c r="F1025" s="16">
        <v>49.5267</v>
      </c>
      <c r="G1025" s="16">
        <v>8.4589</v>
      </c>
      <c r="H1025" s="15"/>
      <c r="I1025" s="15"/>
    </row>
    <row r="1026">
      <c r="A1026" s="18">
        <v>45665.0</v>
      </c>
      <c r="B1026" s="16" t="s">
        <v>1832</v>
      </c>
      <c r="C1026" s="16" t="s">
        <v>948</v>
      </c>
      <c r="D1026" s="16" t="s">
        <v>707</v>
      </c>
      <c r="E1026" s="16">
        <v>2010.0</v>
      </c>
      <c r="F1026" s="16">
        <v>49.4392</v>
      </c>
      <c r="G1026" s="16">
        <v>7.6678</v>
      </c>
      <c r="H1026" s="15"/>
      <c r="I1026" s="15"/>
    </row>
    <row r="1027">
      <c r="A1027" s="18">
        <v>45665.0</v>
      </c>
      <c r="B1027" s="16" t="s">
        <v>1833</v>
      </c>
      <c r="C1027" s="16" t="s">
        <v>1039</v>
      </c>
      <c r="D1027" s="16" t="s">
        <v>707</v>
      </c>
      <c r="E1027" s="16">
        <v>2010.0</v>
      </c>
      <c r="F1027" s="16">
        <v>53.5408</v>
      </c>
      <c r="G1027" s="16">
        <v>12.6453</v>
      </c>
      <c r="H1027" s="15"/>
      <c r="I1027" s="15"/>
    </row>
    <row r="1028">
      <c r="A1028" s="18">
        <v>45665.0</v>
      </c>
      <c r="B1028" s="16" t="s">
        <v>1834</v>
      </c>
      <c r="C1028" s="16" t="s">
        <v>969</v>
      </c>
      <c r="D1028" s="16" t="s">
        <v>707</v>
      </c>
      <c r="E1028" s="16">
        <v>2010.0</v>
      </c>
      <c r="F1028" s="16">
        <v>54.8081</v>
      </c>
      <c r="G1028" s="16">
        <v>8.8473</v>
      </c>
      <c r="H1028" s="15"/>
      <c r="I1028" s="15"/>
    </row>
    <row r="1029">
      <c r="A1029" s="18">
        <v>45665.0</v>
      </c>
      <c r="B1029" s="16" t="s">
        <v>1835</v>
      </c>
      <c r="C1029" s="16" t="s">
        <v>969</v>
      </c>
      <c r="D1029" s="16" t="s">
        <v>707</v>
      </c>
      <c r="E1029" s="16">
        <v>2010.0</v>
      </c>
      <c r="F1029" s="16">
        <v>48.9303</v>
      </c>
      <c r="G1029" s="16">
        <v>11.4854</v>
      </c>
      <c r="H1029" s="15"/>
      <c r="I1029" s="15"/>
    </row>
    <row r="1030">
      <c r="A1030" s="18">
        <v>45665.0</v>
      </c>
      <c r="B1030" s="16" t="s">
        <v>1836</v>
      </c>
      <c r="C1030" s="16" t="s">
        <v>959</v>
      </c>
      <c r="D1030" s="16" t="s">
        <v>707</v>
      </c>
      <c r="E1030" s="16">
        <v>2010.0</v>
      </c>
      <c r="F1030" s="16">
        <v>48.2621</v>
      </c>
      <c r="G1030" s="16">
        <v>11.827</v>
      </c>
      <c r="H1030" s="15"/>
      <c r="I1030" s="15"/>
    </row>
    <row r="1031">
      <c r="A1031" s="18">
        <v>45665.0</v>
      </c>
      <c r="B1031" s="16" t="s">
        <v>1837</v>
      </c>
      <c r="C1031" s="16">
        <v>1.0</v>
      </c>
      <c r="D1031" s="16" t="s">
        <v>707</v>
      </c>
      <c r="E1031" s="16">
        <v>2010.0</v>
      </c>
      <c r="F1031" s="16">
        <v>48.8689</v>
      </c>
      <c r="G1031" s="16">
        <v>13.4164</v>
      </c>
      <c r="H1031" s="15"/>
      <c r="I1031" s="15"/>
    </row>
    <row r="1032">
      <c r="A1032" s="18">
        <v>45665.0</v>
      </c>
      <c r="B1032" s="16" t="s">
        <v>1838</v>
      </c>
      <c r="C1032" s="16" t="s">
        <v>969</v>
      </c>
      <c r="D1032" s="16" t="s">
        <v>707</v>
      </c>
      <c r="E1032" s="16">
        <v>2010.0</v>
      </c>
      <c r="F1032" s="16">
        <v>48.4758</v>
      </c>
      <c r="G1032" s="16">
        <v>10.5004</v>
      </c>
      <c r="H1032" s="15"/>
      <c r="I1032" s="15"/>
    </row>
    <row r="1033">
      <c r="A1033" s="18">
        <v>45665.0</v>
      </c>
      <c r="B1033" s="16" t="s">
        <v>1839</v>
      </c>
      <c r="C1033" s="16" t="s">
        <v>1034</v>
      </c>
      <c r="D1033" s="16" t="s">
        <v>707</v>
      </c>
      <c r="E1033" s="16">
        <v>2010.0</v>
      </c>
      <c r="F1033" s="16">
        <v>49.1697</v>
      </c>
      <c r="G1033" s="16">
        <v>10.4837</v>
      </c>
      <c r="H1033" s="15"/>
      <c r="I1033" s="15"/>
    </row>
    <row r="1034">
      <c r="A1034" s="18">
        <v>45665.0</v>
      </c>
      <c r="B1034" s="16" t="s">
        <v>1840</v>
      </c>
      <c r="C1034" s="16" t="s">
        <v>1745</v>
      </c>
      <c r="D1034" s="16" t="s">
        <v>707</v>
      </c>
      <c r="E1034" s="16">
        <v>2010.0</v>
      </c>
      <c r="F1034" s="16">
        <v>49.4612</v>
      </c>
      <c r="G1034" s="16">
        <v>9.5159</v>
      </c>
      <c r="H1034" s="15"/>
      <c r="I1034" s="15"/>
    </row>
    <row r="1035">
      <c r="A1035" s="18">
        <v>45665.0</v>
      </c>
      <c r="B1035" s="16" t="s">
        <v>1841</v>
      </c>
      <c r="C1035" s="16" t="s">
        <v>1203</v>
      </c>
      <c r="D1035" s="16" t="s">
        <v>707</v>
      </c>
      <c r="E1035" s="16">
        <v>2010.0</v>
      </c>
      <c r="F1035" s="16">
        <v>49.4566</v>
      </c>
      <c r="G1035" s="16">
        <v>9.5174</v>
      </c>
      <c r="H1035" s="15"/>
      <c r="I1035" s="15"/>
    </row>
    <row r="1036">
      <c r="A1036" s="18">
        <v>45665.0</v>
      </c>
      <c r="B1036" s="16" t="s">
        <v>1842</v>
      </c>
      <c r="C1036" s="16" t="s">
        <v>948</v>
      </c>
      <c r="D1036" s="16" t="s">
        <v>707</v>
      </c>
      <c r="E1036" s="16">
        <v>2010.0</v>
      </c>
      <c r="F1036" s="16">
        <v>53.6834</v>
      </c>
      <c r="G1036" s="16">
        <v>13.2671</v>
      </c>
      <c r="H1036" s="15"/>
      <c r="I1036" s="15"/>
    </row>
    <row r="1037">
      <c r="A1037" s="18">
        <v>45665.0</v>
      </c>
      <c r="B1037" s="16" t="s">
        <v>1843</v>
      </c>
      <c r="C1037" s="16">
        <v>3.0</v>
      </c>
      <c r="D1037" s="16" t="s">
        <v>707</v>
      </c>
      <c r="E1037" s="16">
        <v>2010.0</v>
      </c>
      <c r="F1037" s="16">
        <v>50.2344</v>
      </c>
      <c r="G1037" s="16">
        <v>10.051</v>
      </c>
      <c r="H1037" s="15"/>
      <c r="I1037" s="15"/>
    </row>
    <row r="1038">
      <c r="A1038" s="18">
        <v>45665.0</v>
      </c>
      <c r="B1038" s="16" t="s">
        <v>1844</v>
      </c>
      <c r="C1038" s="16" t="s">
        <v>1096</v>
      </c>
      <c r="D1038" s="16" t="s">
        <v>707</v>
      </c>
      <c r="E1038" s="16">
        <v>2010.0</v>
      </c>
      <c r="F1038" s="16">
        <v>49.9876</v>
      </c>
      <c r="G1038" s="16">
        <v>6.5624</v>
      </c>
      <c r="H1038" s="15"/>
      <c r="I1038" s="15"/>
    </row>
    <row r="1039">
      <c r="A1039" s="18">
        <v>45665.0</v>
      </c>
      <c r="B1039" s="16" t="s">
        <v>1845</v>
      </c>
      <c r="C1039" s="16" t="s">
        <v>959</v>
      </c>
      <c r="D1039" s="16" t="s">
        <v>707</v>
      </c>
      <c r="E1039" s="16">
        <v>2010.0</v>
      </c>
      <c r="F1039" s="16">
        <v>49.8217</v>
      </c>
      <c r="G1039" s="16">
        <v>8.3289</v>
      </c>
      <c r="H1039" s="15"/>
      <c r="I1039" s="15"/>
    </row>
    <row r="1040">
      <c r="A1040" s="18">
        <v>45665.0</v>
      </c>
      <c r="B1040" s="16" t="s">
        <v>1846</v>
      </c>
      <c r="C1040" s="16" t="s">
        <v>1037</v>
      </c>
      <c r="D1040" s="16" t="s">
        <v>707</v>
      </c>
      <c r="E1040" s="16">
        <v>2010.0</v>
      </c>
      <c r="F1040" s="16">
        <v>49.7598</v>
      </c>
      <c r="G1040" s="16">
        <v>6.8137</v>
      </c>
      <c r="H1040" s="15"/>
      <c r="I1040" s="15"/>
    </row>
    <row r="1041">
      <c r="A1041" s="18">
        <v>45665.0</v>
      </c>
      <c r="B1041" s="16" t="s">
        <v>1847</v>
      </c>
      <c r="C1041" s="16" t="s">
        <v>978</v>
      </c>
      <c r="D1041" s="16" t="s">
        <v>707</v>
      </c>
      <c r="E1041" s="16">
        <v>2010.0</v>
      </c>
      <c r="F1041" s="16">
        <v>49.3925</v>
      </c>
      <c r="G1041" s="16">
        <v>10.7997</v>
      </c>
      <c r="H1041" s="15"/>
      <c r="I1041" s="15"/>
    </row>
    <row r="1042">
      <c r="A1042" s="18">
        <v>45665.0</v>
      </c>
      <c r="B1042" s="16" t="s">
        <v>1848</v>
      </c>
      <c r="C1042" s="16">
        <v>7.0</v>
      </c>
      <c r="D1042" s="16" t="s">
        <v>707</v>
      </c>
      <c r="E1042" s="16">
        <v>2010.0</v>
      </c>
      <c r="F1042" s="16">
        <v>49.6435</v>
      </c>
      <c r="G1042" s="16">
        <v>10.1796</v>
      </c>
      <c r="H1042" s="15"/>
      <c r="I1042" s="15"/>
    </row>
    <row r="1043">
      <c r="A1043" s="18">
        <v>45665.0</v>
      </c>
      <c r="B1043" s="16" t="s">
        <v>1849</v>
      </c>
      <c r="C1043" s="16" t="s">
        <v>1850</v>
      </c>
      <c r="D1043" s="16" t="s">
        <v>707</v>
      </c>
      <c r="E1043" s="16">
        <v>2010.0</v>
      </c>
      <c r="F1043" s="16">
        <v>50.0692</v>
      </c>
      <c r="G1043" s="16">
        <v>10.4959</v>
      </c>
      <c r="H1043" s="15"/>
      <c r="I1043" s="15"/>
    </row>
    <row r="1044">
      <c r="A1044" s="18">
        <v>45665.0</v>
      </c>
      <c r="B1044" s="16" t="s">
        <v>1851</v>
      </c>
      <c r="C1044" s="16" t="s">
        <v>1011</v>
      </c>
      <c r="D1044" s="16" t="s">
        <v>707</v>
      </c>
      <c r="E1044" s="16">
        <v>2010.0</v>
      </c>
      <c r="F1044" s="16">
        <v>49.5686</v>
      </c>
      <c r="G1044" s="16">
        <v>9.9672</v>
      </c>
      <c r="H1044" s="15"/>
      <c r="I1044" s="15"/>
    </row>
    <row r="1045">
      <c r="A1045" s="18">
        <v>45665.0</v>
      </c>
      <c r="B1045" s="16" t="s">
        <v>1852</v>
      </c>
      <c r="C1045" s="16" t="s">
        <v>961</v>
      </c>
      <c r="D1045" s="16" t="s">
        <v>707</v>
      </c>
      <c r="E1045" s="16">
        <v>2010.0</v>
      </c>
      <c r="F1045" s="16">
        <v>49.8391</v>
      </c>
      <c r="G1045" s="16">
        <v>9.9038</v>
      </c>
      <c r="H1045" s="15"/>
      <c r="I1045" s="15"/>
    </row>
    <row r="1046">
      <c r="A1046" s="18">
        <v>45665.0</v>
      </c>
      <c r="B1046" s="16" t="s">
        <v>1853</v>
      </c>
      <c r="C1046" s="16" t="s">
        <v>982</v>
      </c>
      <c r="D1046" s="16" t="s">
        <v>707</v>
      </c>
      <c r="E1046" s="16">
        <v>2010.0</v>
      </c>
      <c r="F1046" s="16">
        <v>50.0276</v>
      </c>
      <c r="G1046" s="16">
        <v>10.961</v>
      </c>
      <c r="H1046" s="15"/>
      <c r="I1046" s="15"/>
    </row>
    <row r="1047">
      <c r="A1047" s="18">
        <v>45665.0</v>
      </c>
      <c r="B1047" s="16" t="s">
        <v>1854</v>
      </c>
      <c r="C1047" s="16" t="s">
        <v>1059</v>
      </c>
      <c r="D1047" s="16" t="s">
        <v>707</v>
      </c>
      <c r="E1047" s="16">
        <v>2010.0</v>
      </c>
      <c r="F1047" s="16">
        <v>48.6126</v>
      </c>
      <c r="G1047" s="16">
        <v>10.8369</v>
      </c>
      <c r="H1047" s="15"/>
      <c r="I1047" s="15"/>
    </row>
    <row r="1048">
      <c r="A1048" s="18">
        <v>45665.0</v>
      </c>
      <c r="B1048" s="16" t="s">
        <v>1855</v>
      </c>
      <c r="C1048" s="16" t="s">
        <v>978</v>
      </c>
      <c r="D1048" s="16" t="s">
        <v>707</v>
      </c>
      <c r="E1048" s="16">
        <v>2010.0</v>
      </c>
      <c r="F1048" s="16">
        <v>49.7286</v>
      </c>
      <c r="G1048" s="16">
        <v>12.3237</v>
      </c>
      <c r="H1048" s="15"/>
      <c r="I1048" s="15"/>
    </row>
    <row r="1049">
      <c r="A1049" s="18">
        <v>45665.0</v>
      </c>
      <c r="B1049" s="16" t="s">
        <v>1856</v>
      </c>
      <c r="C1049" s="16" t="s">
        <v>946</v>
      </c>
      <c r="D1049" s="16" t="s">
        <v>707</v>
      </c>
      <c r="E1049" s="16">
        <v>2010.0</v>
      </c>
      <c r="F1049" s="16">
        <v>48.4654</v>
      </c>
      <c r="G1049" s="16">
        <v>13.3716</v>
      </c>
      <c r="H1049" s="15"/>
      <c r="I1049" s="15"/>
    </row>
    <row r="1050">
      <c r="A1050" s="18">
        <v>45665.0</v>
      </c>
      <c r="B1050" s="16" t="s">
        <v>1857</v>
      </c>
      <c r="C1050" s="16">
        <v>2.0</v>
      </c>
      <c r="D1050" s="16" t="s">
        <v>707</v>
      </c>
      <c r="E1050" s="16">
        <v>2010.0</v>
      </c>
      <c r="F1050" s="16">
        <v>48.5167</v>
      </c>
      <c r="G1050" s="16">
        <v>11.7314</v>
      </c>
      <c r="H1050" s="15"/>
      <c r="I1050" s="15"/>
    </row>
    <row r="1051">
      <c r="A1051" s="18">
        <v>45665.0</v>
      </c>
      <c r="B1051" s="16" t="s">
        <v>1858</v>
      </c>
      <c r="C1051" s="16" t="s">
        <v>1055</v>
      </c>
      <c r="D1051" s="16" t="s">
        <v>707</v>
      </c>
      <c r="E1051" s="16">
        <v>2010.0</v>
      </c>
      <c r="F1051" s="16">
        <v>49.536</v>
      </c>
      <c r="G1051" s="16">
        <v>10.6452</v>
      </c>
      <c r="H1051" s="15"/>
      <c r="I1051" s="15"/>
    </row>
    <row r="1052">
      <c r="A1052" s="18">
        <v>45665.0</v>
      </c>
      <c r="B1052" s="16" t="s">
        <v>1859</v>
      </c>
      <c r="C1052" s="16" t="s">
        <v>1351</v>
      </c>
      <c r="D1052" s="16" t="s">
        <v>707</v>
      </c>
      <c r="E1052" s="16">
        <v>2010.0</v>
      </c>
      <c r="F1052" s="16">
        <v>49.1563</v>
      </c>
      <c r="G1052" s="16">
        <v>11.429</v>
      </c>
      <c r="H1052" s="15"/>
      <c r="I1052" s="15"/>
    </row>
    <row r="1053">
      <c r="A1053" s="18">
        <v>45665.0</v>
      </c>
      <c r="B1053" s="16" t="s">
        <v>1860</v>
      </c>
      <c r="C1053" s="16" t="s">
        <v>1034</v>
      </c>
      <c r="D1053" s="16" t="s">
        <v>707</v>
      </c>
      <c r="E1053" s="16">
        <v>2010.0</v>
      </c>
      <c r="F1053" s="16">
        <v>51.7173</v>
      </c>
      <c r="G1053" s="16">
        <v>9.0752</v>
      </c>
      <c r="H1053" s="15"/>
      <c r="I1053" s="15"/>
    </row>
    <row r="1054">
      <c r="A1054" s="18">
        <v>45665.0</v>
      </c>
      <c r="B1054" s="16" t="s">
        <v>1861</v>
      </c>
      <c r="C1054" s="16" t="s">
        <v>971</v>
      </c>
      <c r="D1054" s="16" t="s">
        <v>707</v>
      </c>
      <c r="E1054" s="16">
        <v>2010.0</v>
      </c>
      <c r="F1054" s="16">
        <v>50.0156</v>
      </c>
      <c r="G1054" s="16">
        <v>6.6143</v>
      </c>
      <c r="H1054" s="15"/>
      <c r="I1054" s="15"/>
    </row>
    <row r="1055">
      <c r="A1055" s="18">
        <v>45665.0</v>
      </c>
      <c r="B1055" s="16" t="s">
        <v>1862</v>
      </c>
      <c r="C1055" s="16" t="s">
        <v>1037</v>
      </c>
      <c r="D1055" s="16" t="s">
        <v>707</v>
      </c>
      <c r="E1055" s="16">
        <v>2010.0</v>
      </c>
      <c r="F1055" s="16">
        <v>49.3673</v>
      </c>
      <c r="G1055" s="16">
        <v>10.5259</v>
      </c>
      <c r="H1055" s="15"/>
      <c r="I1055" s="15"/>
    </row>
    <row r="1056">
      <c r="A1056" s="18">
        <v>45665.0</v>
      </c>
      <c r="B1056" s="16" t="s">
        <v>1863</v>
      </c>
      <c r="C1056" s="16" t="s">
        <v>942</v>
      </c>
      <c r="D1056" s="16" t="s">
        <v>707</v>
      </c>
      <c r="E1056" s="16">
        <v>2010.0</v>
      </c>
      <c r="F1056" s="16">
        <v>48.4207</v>
      </c>
      <c r="G1056" s="16">
        <v>12.6056</v>
      </c>
      <c r="H1056" s="15"/>
      <c r="I1056" s="15"/>
    </row>
    <row r="1057">
      <c r="A1057" s="18">
        <v>45665.0</v>
      </c>
      <c r="B1057" s="16" t="s">
        <v>1864</v>
      </c>
      <c r="C1057" s="16" t="s">
        <v>1055</v>
      </c>
      <c r="D1057" s="16" t="s">
        <v>707</v>
      </c>
      <c r="E1057" s="16">
        <v>2010.0</v>
      </c>
      <c r="F1057" s="16">
        <v>48.593</v>
      </c>
      <c r="G1057" s="16">
        <v>11.721</v>
      </c>
      <c r="H1057" s="15"/>
      <c r="I1057" s="15"/>
    </row>
    <row r="1058">
      <c r="A1058" s="18">
        <v>45665.0</v>
      </c>
      <c r="B1058" s="16" t="s">
        <v>1865</v>
      </c>
      <c r="C1058" s="16" t="s">
        <v>948</v>
      </c>
      <c r="D1058" s="16" t="s">
        <v>707</v>
      </c>
      <c r="E1058" s="16">
        <v>2010.0</v>
      </c>
      <c r="F1058" s="16">
        <v>48.7572</v>
      </c>
      <c r="G1058" s="16">
        <v>11.2624</v>
      </c>
      <c r="H1058" s="15"/>
      <c r="I1058" s="15"/>
    </row>
    <row r="1059">
      <c r="A1059" s="18">
        <v>45665.0</v>
      </c>
      <c r="B1059" s="16" t="s">
        <v>1866</v>
      </c>
      <c r="C1059" s="16" t="s">
        <v>1282</v>
      </c>
      <c r="D1059" s="16" t="s">
        <v>707</v>
      </c>
      <c r="E1059" s="16">
        <v>2010.0</v>
      </c>
      <c r="F1059" s="16">
        <v>51.1969</v>
      </c>
      <c r="G1059" s="16">
        <v>12.9711</v>
      </c>
      <c r="H1059" s="15"/>
      <c r="I1059" s="15"/>
    </row>
    <row r="1060">
      <c r="A1060" s="18">
        <v>45665.0</v>
      </c>
      <c r="B1060" s="16" t="s">
        <v>1867</v>
      </c>
      <c r="C1060" s="16" t="s">
        <v>948</v>
      </c>
      <c r="D1060" s="16" t="s">
        <v>707</v>
      </c>
      <c r="E1060" s="16">
        <v>2010.0</v>
      </c>
      <c r="F1060" s="16">
        <v>53.58</v>
      </c>
      <c r="G1060" s="16">
        <v>6.7093</v>
      </c>
      <c r="H1060" s="15"/>
      <c r="I1060" s="15"/>
    </row>
    <row r="1061">
      <c r="A1061" s="18">
        <v>45665.0</v>
      </c>
      <c r="B1061" s="16" t="s">
        <v>1868</v>
      </c>
      <c r="C1061" s="16" t="s">
        <v>1869</v>
      </c>
      <c r="D1061" s="16" t="s">
        <v>707</v>
      </c>
      <c r="E1061" s="16">
        <v>2010.0</v>
      </c>
      <c r="F1061" s="16">
        <v>52.4031</v>
      </c>
      <c r="G1061" s="16">
        <v>12.5193</v>
      </c>
      <c r="H1061" s="15"/>
      <c r="I1061" s="15"/>
    </row>
    <row r="1062">
      <c r="A1062" s="18">
        <v>45665.0</v>
      </c>
      <c r="B1062" s="16" t="s">
        <v>1870</v>
      </c>
      <c r="C1062" s="16" t="s">
        <v>951</v>
      </c>
      <c r="D1062" s="16" t="s">
        <v>707</v>
      </c>
      <c r="E1062" s="16">
        <v>2010.0</v>
      </c>
      <c r="F1062" s="16">
        <v>48.311</v>
      </c>
      <c r="G1062" s="16">
        <v>10.6047</v>
      </c>
      <c r="H1062" s="15"/>
      <c r="I1062" s="15"/>
    </row>
    <row r="1063">
      <c r="A1063" s="18">
        <v>45665.0</v>
      </c>
      <c r="B1063" s="16" t="s">
        <v>1871</v>
      </c>
      <c r="C1063" s="16" t="s">
        <v>984</v>
      </c>
      <c r="D1063" s="16" t="s">
        <v>707</v>
      </c>
      <c r="E1063" s="16">
        <v>2010.0</v>
      </c>
      <c r="F1063" s="16">
        <v>48.7487</v>
      </c>
      <c r="G1063" s="16">
        <v>12.8796</v>
      </c>
      <c r="H1063" s="15"/>
      <c r="I1063" s="15"/>
    </row>
    <row r="1064">
      <c r="A1064" s="18">
        <v>45665.0</v>
      </c>
      <c r="B1064" s="16" t="s">
        <v>1872</v>
      </c>
      <c r="C1064" s="16" t="s">
        <v>1873</v>
      </c>
      <c r="D1064" s="16" t="s">
        <v>707</v>
      </c>
      <c r="E1064" s="16">
        <v>2010.0</v>
      </c>
      <c r="F1064" s="16">
        <v>53.3874</v>
      </c>
      <c r="G1064" s="16">
        <v>11.6276</v>
      </c>
      <c r="H1064" s="15"/>
      <c r="I1064" s="15"/>
    </row>
    <row r="1065">
      <c r="A1065" s="18">
        <v>45665.0</v>
      </c>
      <c r="B1065" s="16" t="s">
        <v>1874</v>
      </c>
      <c r="C1065" s="16">
        <v>2.0</v>
      </c>
      <c r="D1065" s="16" t="s">
        <v>707</v>
      </c>
      <c r="E1065" s="16">
        <v>2010.0</v>
      </c>
      <c r="F1065" s="16">
        <v>54.0441</v>
      </c>
      <c r="G1065" s="16">
        <v>9.0362</v>
      </c>
      <c r="H1065" s="15"/>
      <c r="I1065" s="15"/>
    </row>
    <row r="1066">
      <c r="A1066" s="18">
        <v>45665.0</v>
      </c>
      <c r="B1066" s="16" t="s">
        <v>1875</v>
      </c>
      <c r="C1066" s="16" t="s">
        <v>969</v>
      </c>
      <c r="D1066" s="16" t="s">
        <v>707</v>
      </c>
      <c r="E1066" s="16">
        <v>2010.0</v>
      </c>
      <c r="F1066" s="16">
        <v>54.0154</v>
      </c>
      <c r="G1066" s="16">
        <v>12.6986</v>
      </c>
      <c r="H1066" s="15"/>
      <c r="I1066" s="15"/>
    </row>
    <row r="1067">
      <c r="A1067" s="18">
        <v>45665.0</v>
      </c>
      <c r="B1067" s="16" t="s">
        <v>1876</v>
      </c>
      <c r="C1067" s="16" t="s">
        <v>948</v>
      </c>
      <c r="D1067" s="16" t="s">
        <v>707</v>
      </c>
      <c r="E1067" s="16">
        <v>2010.0</v>
      </c>
      <c r="F1067" s="16">
        <v>48.3599</v>
      </c>
      <c r="G1067" s="16">
        <v>11.5469</v>
      </c>
      <c r="H1067" s="15"/>
      <c r="I1067" s="15"/>
    </row>
    <row r="1068">
      <c r="A1068" s="18">
        <v>45665.0</v>
      </c>
      <c r="B1068" s="16" t="s">
        <v>1877</v>
      </c>
      <c r="C1068" s="16" t="s">
        <v>948</v>
      </c>
      <c r="D1068" s="16" t="s">
        <v>707</v>
      </c>
      <c r="E1068" s="16">
        <v>2010.0</v>
      </c>
      <c r="F1068" s="16">
        <v>54.5402</v>
      </c>
      <c r="G1068" s="16">
        <v>9.3902</v>
      </c>
      <c r="H1068" s="15"/>
      <c r="I1068" s="15"/>
    </row>
    <row r="1069">
      <c r="A1069" s="18">
        <v>45665.0</v>
      </c>
      <c r="B1069" s="16" t="s">
        <v>1878</v>
      </c>
      <c r="C1069" s="16" t="s">
        <v>1055</v>
      </c>
      <c r="D1069" s="16" t="s">
        <v>707</v>
      </c>
      <c r="E1069" s="16">
        <v>2010.0</v>
      </c>
      <c r="F1069" s="16">
        <v>49.6434</v>
      </c>
      <c r="G1069" s="16">
        <v>10.713</v>
      </c>
      <c r="H1069" s="15"/>
      <c r="I1069" s="15"/>
    </row>
    <row r="1070">
      <c r="A1070" s="18">
        <v>45665.0</v>
      </c>
      <c r="B1070" s="16" t="s">
        <v>1879</v>
      </c>
      <c r="C1070" s="16" t="s">
        <v>1215</v>
      </c>
      <c r="D1070" s="16" t="s">
        <v>707</v>
      </c>
      <c r="E1070" s="16">
        <v>2010.0</v>
      </c>
      <c r="F1070" s="16">
        <v>48.7068</v>
      </c>
      <c r="G1070" s="16">
        <v>12.2713</v>
      </c>
      <c r="H1070" s="15"/>
      <c r="I1070" s="15"/>
    </row>
    <row r="1071">
      <c r="A1071" s="18">
        <v>45665.0</v>
      </c>
      <c r="B1071" s="16" t="s">
        <v>1880</v>
      </c>
      <c r="C1071" s="16" t="s">
        <v>948</v>
      </c>
      <c r="D1071" s="16" t="s">
        <v>707</v>
      </c>
      <c r="E1071" s="16">
        <v>2010.0</v>
      </c>
      <c r="F1071" s="16">
        <v>50.0784</v>
      </c>
      <c r="G1071" s="16">
        <v>10.777</v>
      </c>
      <c r="H1071" s="15"/>
      <c r="I1071" s="15"/>
    </row>
    <row r="1072">
      <c r="A1072" s="18">
        <v>45665.0</v>
      </c>
      <c r="B1072" s="16" t="s">
        <v>1881</v>
      </c>
      <c r="C1072" s="16" t="s">
        <v>1055</v>
      </c>
      <c r="D1072" s="16" t="s">
        <v>707</v>
      </c>
      <c r="E1072" s="16">
        <v>2010.0</v>
      </c>
      <c r="F1072" s="16">
        <v>48.6495</v>
      </c>
      <c r="G1072" s="16">
        <v>12.8017</v>
      </c>
      <c r="H1072" s="15"/>
      <c r="I1072" s="15"/>
    </row>
    <row r="1073">
      <c r="A1073" s="18">
        <v>45665.0</v>
      </c>
      <c r="B1073" s="16" t="s">
        <v>1882</v>
      </c>
      <c r="C1073" s="16" t="s">
        <v>1051</v>
      </c>
      <c r="D1073" s="16" t="s">
        <v>707</v>
      </c>
      <c r="E1073" s="16">
        <v>2010.0</v>
      </c>
      <c r="F1073" s="16">
        <v>48.3663</v>
      </c>
      <c r="G1073" s="16">
        <v>9.2953</v>
      </c>
      <c r="H1073" s="15"/>
      <c r="I1073" s="15"/>
    </row>
    <row r="1074">
      <c r="A1074" s="18">
        <v>45665.0</v>
      </c>
      <c r="B1074" s="16" t="s">
        <v>1883</v>
      </c>
      <c r="C1074" s="16" t="s">
        <v>1101</v>
      </c>
      <c r="D1074" s="16" t="s">
        <v>707</v>
      </c>
      <c r="E1074" s="16">
        <v>2010.0</v>
      </c>
      <c r="F1074" s="16">
        <v>51.0804</v>
      </c>
      <c r="G1074" s="16">
        <v>12.2915</v>
      </c>
      <c r="H1074" s="15"/>
      <c r="I1074" s="15"/>
    </row>
    <row r="1075">
      <c r="A1075" s="18">
        <v>45665.0</v>
      </c>
      <c r="B1075" s="16" t="s">
        <v>1884</v>
      </c>
      <c r="C1075" s="16" t="s">
        <v>948</v>
      </c>
      <c r="D1075" s="16" t="s">
        <v>707</v>
      </c>
      <c r="E1075" s="16">
        <v>2010.0</v>
      </c>
      <c r="F1075" s="16">
        <v>48.5952</v>
      </c>
      <c r="G1075" s="16">
        <v>13.572</v>
      </c>
      <c r="H1075" s="15"/>
      <c r="I1075" s="15"/>
    </row>
    <row r="1076">
      <c r="A1076" s="18">
        <v>45665.0</v>
      </c>
      <c r="B1076" s="16" t="s">
        <v>1885</v>
      </c>
      <c r="C1076" s="16" t="s">
        <v>959</v>
      </c>
      <c r="D1076" s="16" t="s">
        <v>707</v>
      </c>
      <c r="E1076" s="16">
        <v>2010.0</v>
      </c>
      <c r="F1076" s="16">
        <v>48.1582</v>
      </c>
      <c r="G1076" s="16">
        <v>8.4859</v>
      </c>
      <c r="H1076" s="15"/>
      <c r="I1076" s="15"/>
    </row>
    <row r="1077">
      <c r="A1077" s="18">
        <v>45665.0</v>
      </c>
      <c r="B1077" s="16" t="s">
        <v>1886</v>
      </c>
      <c r="C1077" s="16" t="s">
        <v>1039</v>
      </c>
      <c r="D1077" s="16" t="s">
        <v>707</v>
      </c>
      <c r="E1077" s="16">
        <v>2010.0</v>
      </c>
      <c r="F1077" s="16">
        <v>49.7358</v>
      </c>
      <c r="G1077" s="16">
        <v>12.2859</v>
      </c>
      <c r="H1077" s="15"/>
      <c r="I1077" s="15"/>
    </row>
    <row r="1078">
      <c r="A1078" s="18">
        <v>45665.0</v>
      </c>
      <c r="B1078" s="16" t="s">
        <v>1887</v>
      </c>
      <c r="C1078" s="16">
        <v>1.0</v>
      </c>
      <c r="D1078" s="16" t="s">
        <v>707</v>
      </c>
      <c r="E1078" s="16">
        <v>2010.0</v>
      </c>
      <c r="F1078" s="16">
        <v>48.7863</v>
      </c>
      <c r="G1078" s="16">
        <v>13.1085</v>
      </c>
      <c r="H1078" s="15"/>
      <c r="I1078" s="15"/>
    </row>
    <row r="1079">
      <c r="A1079" s="18">
        <v>45665.0</v>
      </c>
      <c r="B1079" s="16" t="s">
        <v>1888</v>
      </c>
      <c r="C1079" s="16" t="s">
        <v>978</v>
      </c>
      <c r="D1079" s="16" t="s">
        <v>707</v>
      </c>
      <c r="E1079" s="16">
        <v>2010.0</v>
      </c>
      <c r="F1079" s="16">
        <v>51.3941</v>
      </c>
      <c r="G1079" s="16">
        <v>9.54</v>
      </c>
      <c r="H1079" s="15"/>
      <c r="I1079" s="15"/>
    </row>
    <row r="1080">
      <c r="A1080" s="18">
        <v>45665.0</v>
      </c>
      <c r="B1080" s="16" t="s">
        <v>1889</v>
      </c>
      <c r="C1080" s="16" t="s">
        <v>1037</v>
      </c>
      <c r="D1080" s="16" t="s">
        <v>707</v>
      </c>
      <c r="E1080" s="16">
        <v>2010.0</v>
      </c>
      <c r="F1080" s="16">
        <v>51.3941</v>
      </c>
      <c r="G1080" s="16">
        <v>9.54</v>
      </c>
      <c r="H1080" s="15"/>
      <c r="I1080" s="15"/>
    </row>
    <row r="1081">
      <c r="A1081" s="18">
        <v>45665.0</v>
      </c>
      <c r="B1081" s="16" t="s">
        <v>1890</v>
      </c>
      <c r="C1081" s="16" t="s">
        <v>1011</v>
      </c>
      <c r="D1081" s="16" t="s">
        <v>707</v>
      </c>
      <c r="E1081" s="16">
        <v>2010.0</v>
      </c>
      <c r="F1081" s="16">
        <v>51.3941</v>
      </c>
      <c r="G1081" s="16">
        <v>9.54</v>
      </c>
      <c r="H1081" s="15"/>
      <c r="I1081" s="15"/>
    </row>
    <row r="1082">
      <c r="A1082" s="18">
        <v>45665.0</v>
      </c>
      <c r="B1082" s="16" t="s">
        <v>1891</v>
      </c>
      <c r="C1082" s="16" t="s">
        <v>1745</v>
      </c>
      <c r="D1082" s="16" t="s">
        <v>707</v>
      </c>
      <c r="E1082" s="16">
        <v>2010.0</v>
      </c>
      <c r="F1082" s="16">
        <v>51.3928</v>
      </c>
      <c r="G1082" s="16">
        <v>9.5424</v>
      </c>
      <c r="H1082" s="15"/>
      <c r="I1082" s="15"/>
    </row>
    <row r="1083">
      <c r="A1083" s="18">
        <v>45665.0</v>
      </c>
      <c r="B1083" s="16" t="s">
        <v>1892</v>
      </c>
      <c r="C1083" s="16" t="s">
        <v>961</v>
      </c>
      <c r="D1083" s="16" t="s">
        <v>707</v>
      </c>
      <c r="E1083" s="16">
        <v>2010.0</v>
      </c>
      <c r="F1083" s="16">
        <v>48.4296</v>
      </c>
      <c r="G1083" s="16">
        <v>10.8294</v>
      </c>
      <c r="H1083" s="15"/>
      <c r="I1083" s="15"/>
    </row>
    <row r="1084">
      <c r="A1084" s="18">
        <v>45665.0</v>
      </c>
      <c r="B1084" s="16" t="s">
        <v>1893</v>
      </c>
      <c r="C1084" s="16" t="s">
        <v>1039</v>
      </c>
      <c r="D1084" s="16" t="s">
        <v>707</v>
      </c>
      <c r="E1084" s="16">
        <v>2010.0</v>
      </c>
      <c r="F1084" s="16">
        <v>52.0631</v>
      </c>
      <c r="G1084" s="16">
        <v>7.9339</v>
      </c>
      <c r="H1084" s="15"/>
      <c r="I1084" s="15"/>
    </row>
    <row r="1085">
      <c r="A1085" s="18">
        <v>45665.0</v>
      </c>
      <c r="B1085" s="16" t="s">
        <v>1894</v>
      </c>
      <c r="C1085" s="16" t="s">
        <v>1374</v>
      </c>
      <c r="D1085" s="16" t="s">
        <v>707</v>
      </c>
      <c r="E1085" s="16">
        <v>2010.0</v>
      </c>
      <c r="F1085" s="16">
        <v>48.6981</v>
      </c>
      <c r="G1085" s="16">
        <v>9.9909</v>
      </c>
      <c r="H1085" s="15"/>
      <c r="I1085" s="15"/>
    </row>
    <row r="1086">
      <c r="A1086" s="18">
        <v>45665.0</v>
      </c>
      <c r="B1086" s="16" t="s">
        <v>1895</v>
      </c>
      <c r="C1086" s="16" t="s">
        <v>1101</v>
      </c>
      <c r="D1086" s="16" t="s">
        <v>707</v>
      </c>
      <c r="E1086" s="16">
        <v>2010.0</v>
      </c>
      <c r="F1086" s="16">
        <v>49.7921</v>
      </c>
      <c r="G1086" s="16">
        <v>9.4928</v>
      </c>
      <c r="H1086" s="15"/>
      <c r="I1086" s="15"/>
    </row>
    <row r="1087">
      <c r="A1087" s="18">
        <v>45665.0</v>
      </c>
      <c r="B1087" s="16" t="s">
        <v>1896</v>
      </c>
      <c r="C1087" s="16" t="s">
        <v>1037</v>
      </c>
      <c r="D1087" s="16" t="s">
        <v>707</v>
      </c>
      <c r="E1087" s="16">
        <v>2010.0</v>
      </c>
      <c r="F1087" s="16">
        <v>50.0766</v>
      </c>
      <c r="G1087" s="16">
        <v>10.5481</v>
      </c>
      <c r="H1087" s="15"/>
      <c r="I1087" s="15"/>
    </row>
    <row r="1088">
      <c r="A1088" s="18">
        <v>45665.0</v>
      </c>
      <c r="B1088" s="16" t="s">
        <v>1897</v>
      </c>
      <c r="C1088" s="16" t="s">
        <v>965</v>
      </c>
      <c r="D1088" s="16" t="s">
        <v>707</v>
      </c>
      <c r="E1088" s="16">
        <v>2010.0</v>
      </c>
      <c r="F1088" s="16">
        <v>48.5349</v>
      </c>
      <c r="G1088" s="16">
        <v>10.4072</v>
      </c>
      <c r="H1088" s="15"/>
      <c r="I1088" s="15"/>
    </row>
    <row r="1089">
      <c r="A1089" s="18">
        <v>45665.0</v>
      </c>
      <c r="B1089" s="16" t="s">
        <v>1898</v>
      </c>
      <c r="C1089" s="16" t="s">
        <v>1351</v>
      </c>
      <c r="D1089" s="16" t="s">
        <v>707</v>
      </c>
      <c r="E1089" s="16">
        <v>2010.0</v>
      </c>
      <c r="F1089" s="16">
        <v>50.4404</v>
      </c>
      <c r="G1089" s="16">
        <v>10.6988</v>
      </c>
      <c r="H1089" s="15"/>
      <c r="I1089" s="15"/>
    </row>
    <row r="1090">
      <c r="A1090" s="18">
        <v>45665.0</v>
      </c>
      <c r="B1090" s="16" t="s">
        <v>1899</v>
      </c>
      <c r="C1090" s="16" t="s">
        <v>1055</v>
      </c>
      <c r="D1090" s="16" t="s">
        <v>707</v>
      </c>
      <c r="E1090" s="16">
        <v>2010.0</v>
      </c>
      <c r="F1090" s="16">
        <v>49.8433</v>
      </c>
      <c r="G1090" s="16">
        <v>7.1844</v>
      </c>
      <c r="H1090" s="15"/>
      <c r="I1090" s="15"/>
    </row>
    <row r="1091">
      <c r="A1091" s="18">
        <v>45665.0</v>
      </c>
      <c r="B1091" s="16" t="s">
        <v>1900</v>
      </c>
      <c r="C1091" s="16">
        <v>1.0</v>
      </c>
      <c r="D1091" s="16" t="s">
        <v>707</v>
      </c>
      <c r="E1091" s="16">
        <v>2010.0</v>
      </c>
      <c r="F1091" s="16">
        <v>48.467</v>
      </c>
      <c r="G1091" s="16">
        <v>13.2933</v>
      </c>
      <c r="H1091" s="15"/>
      <c r="I1091" s="15"/>
    </row>
    <row r="1092">
      <c r="A1092" s="18">
        <v>45665.0</v>
      </c>
      <c r="B1092" s="16" t="s">
        <v>1901</v>
      </c>
      <c r="C1092" s="16" t="s">
        <v>948</v>
      </c>
      <c r="D1092" s="16" t="s">
        <v>707</v>
      </c>
      <c r="E1092" s="16">
        <v>2010.0</v>
      </c>
      <c r="F1092" s="16">
        <v>48.8129</v>
      </c>
      <c r="G1092" s="16">
        <v>12.5671</v>
      </c>
      <c r="H1092" s="15"/>
      <c r="I1092" s="15"/>
    </row>
    <row r="1093">
      <c r="A1093" s="18">
        <v>45665.0</v>
      </c>
      <c r="B1093" s="16" t="s">
        <v>1902</v>
      </c>
      <c r="C1093" s="16" t="s">
        <v>942</v>
      </c>
      <c r="D1093" s="16" t="s">
        <v>707</v>
      </c>
      <c r="E1093" s="16">
        <v>2010.0</v>
      </c>
      <c r="F1093" s="16">
        <v>48.8953</v>
      </c>
      <c r="G1093" s="16">
        <v>12.5476</v>
      </c>
      <c r="H1093" s="15"/>
      <c r="I1093" s="15"/>
    </row>
    <row r="1094">
      <c r="A1094" s="18">
        <v>45665.0</v>
      </c>
      <c r="B1094" s="16" t="s">
        <v>1903</v>
      </c>
      <c r="C1094" s="16">
        <v>1.0</v>
      </c>
      <c r="D1094" s="16" t="s">
        <v>707</v>
      </c>
      <c r="E1094" s="16">
        <v>2010.0</v>
      </c>
      <c r="F1094" s="16">
        <v>50.0925</v>
      </c>
      <c r="G1094" s="16">
        <v>10.6845</v>
      </c>
      <c r="H1094" s="15"/>
      <c r="I1094" s="15"/>
    </row>
    <row r="1095">
      <c r="A1095" s="18">
        <v>45665.0</v>
      </c>
      <c r="B1095" s="16" t="s">
        <v>1904</v>
      </c>
      <c r="C1095" s="16" t="s">
        <v>1051</v>
      </c>
      <c r="D1095" s="16" t="s">
        <v>707</v>
      </c>
      <c r="E1095" s="16">
        <v>2010.0</v>
      </c>
      <c r="F1095" s="16">
        <v>50.7487</v>
      </c>
      <c r="G1095" s="16">
        <v>13.0402</v>
      </c>
      <c r="H1095" s="15"/>
      <c r="I1095" s="15"/>
    </row>
    <row r="1096">
      <c r="A1096" s="18">
        <v>45665.0</v>
      </c>
      <c r="B1096" s="16" t="s">
        <v>1905</v>
      </c>
      <c r="C1096" s="16" t="s">
        <v>961</v>
      </c>
      <c r="D1096" s="16" t="s">
        <v>707</v>
      </c>
      <c r="E1096" s="16">
        <v>2010.0</v>
      </c>
      <c r="F1096" s="16">
        <v>49.6334</v>
      </c>
      <c r="G1096" s="16">
        <v>6.8381</v>
      </c>
      <c r="H1096" s="15"/>
      <c r="I1096" s="15"/>
    </row>
    <row r="1097">
      <c r="A1097" s="18">
        <v>45665.0</v>
      </c>
      <c r="B1097" s="16" t="s">
        <v>1906</v>
      </c>
      <c r="C1097" s="16" t="s">
        <v>1099</v>
      </c>
      <c r="D1097" s="16" t="s">
        <v>707</v>
      </c>
      <c r="E1097" s="16">
        <v>2010.0</v>
      </c>
      <c r="F1097" s="16">
        <v>52.7878</v>
      </c>
      <c r="G1097" s="16">
        <v>13.4844</v>
      </c>
      <c r="H1097" s="15"/>
      <c r="I1097" s="15"/>
    </row>
    <row r="1098">
      <c r="A1098" s="18">
        <v>45665.0</v>
      </c>
      <c r="B1098" s="16" t="s">
        <v>1907</v>
      </c>
      <c r="C1098" s="16">
        <v>1.0</v>
      </c>
      <c r="D1098" s="16" t="s">
        <v>707</v>
      </c>
      <c r="E1098" s="16">
        <v>2010.0</v>
      </c>
      <c r="F1098" s="16">
        <v>48.4417</v>
      </c>
      <c r="G1098" s="16">
        <v>12.5628</v>
      </c>
      <c r="H1098" s="15"/>
      <c r="I1098" s="15"/>
    </row>
    <row r="1099">
      <c r="A1099" s="18">
        <v>45665.0</v>
      </c>
      <c r="B1099" s="16" t="s">
        <v>1908</v>
      </c>
      <c r="C1099" s="16" t="s">
        <v>948</v>
      </c>
      <c r="D1099" s="16" t="s">
        <v>707</v>
      </c>
      <c r="E1099" s="16">
        <v>2010.0</v>
      </c>
      <c r="F1099" s="16">
        <v>48.2922</v>
      </c>
      <c r="G1099" s="16">
        <v>10.5403</v>
      </c>
      <c r="H1099" s="15"/>
      <c r="I1099" s="15"/>
    </row>
    <row r="1100">
      <c r="A1100" s="18">
        <v>45665.0</v>
      </c>
      <c r="B1100" s="16" t="s">
        <v>1909</v>
      </c>
      <c r="C1100" s="16" t="s">
        <v>1090</v>
      </c>
      <c r="D1100" s="16" t="s">
        <v>707</v>
      </c>
      <c r="E1100" s="16">
        <v>2010.0</v>
      </c>
      <c r="F1100" s="16">
        <v>51.3969</v>
      </c>
      <c r="G1100" s="16">
        <v>12.0773</v>
      </c>
      <c r="H1100" s="15"/>
      <c r="I1100" s="15"/>
    </row>
    <row r="1101">
      <c r="A1101" s="18">
        <v>45665.0</v>
      </c>
      <c r="B1101" s="16" t="s">
        <v>1910</v>
      </c>
      <c r="C1101" s="16" t="s">
        <v>1007</v>
      </c>
      <c r="D1101" s="16" t="s">
        <v>707</v>
      </c>
      <c r="E1101" s="16">
        <v>2010.0</v>
      </c>
      <c r="F1101" s="16">
        <v>51.3839</v>
      </c>
      <c r="G1101" s="16">
        <v>12.779</v>
      </c>
      <c r="H1101" s="15"/>
      <c r="I1101" s="15"/>
    </row>
    <row r="1102">
      <c r="A1102" s="18">
        <v>45665.0</v>
      </c>
      <c r="B1102" s="16" t="s">
        <v>1911</v>
      </c>
      <c r="C1102" s="16" t="s">
        <v>1055</v>
      </c>
      <c r="D1102" s="16" t="s">
        <v>707</v>
      </c>
      <c r="E1102" s="16">
        <v>2010.0</v>
      </c>
      <c r="F1102" s="16">
        <v>51.3839</v>
      </c>
      <c r="G1102" s="16">
        <v>12.779</v>
      </c>
      <c r="H1102" s="15"/>
      <c r="I1102" s="15"/>
    </row>
    <row r="1103">
      <c r="A1103" s="18">
        <v>45665.0</v>
      </c>
      <c r="B1103" s="16" t="s">
        <v>1912</v>
      </c>
      <c r="C1103" s="16" t="s">
        <v>1090</v>
      </c>
      <c r="D1103" s="16" t="s">
        <v>707</v>
      </c>
      <c r="E1103" s="16">
        <v>2010.0</v>
      </c>
      <c r="F1103" s="16">
        <v>50.045</v>
      </c>
      <c r="G1103" s="16">
        <v>7.341</v>
      </c>
      <c r="H1103" s="15"/>
      <c r="I1103" s="15"/>
    </row>
    <row r="1104">
      <c r="A1104" s="18">
        <v>45665.0</v>
      </c>
      <c r="B1104" s="16" t="s">
        <v>1913</v>
      </c>
      <c r="C1104" s="16" t="s">
        <v>990</v>
      </c>
      <c r="D1104" s="16" t="s">
        <v>707</v>
      </c>
      <c r="E1104" s="16">
        <v>2010.0</v>
      </c>
      <c r="F1104" s="16">
        <v>48.7187</v>
      </c>
      <c r="G1104" s="16">
        <v>12.3259</v>
      </c>
      <c r="H1104" s="15"/>
      <c r="I1104" s="15"/>
    </row>
    <row r="1105">
      <c r="A1105" s="18">
        <v>45665.0</v>
      </c>
      <c r="B1105" s="16" t="s">
        <v>1914</v>
      </c>
      <c r="C1105" s="16" t="s">
        <v>948</v>
      </c>
      <c r="D1105" s="16" t="s">
        <v>707</v>
      </c>
      <c r="E1105" s="16">
        <v>2010.0</v>
      </c>
      <c r="F1105" s="16">
        <v>54.5885</v>
      </c>
      <c r="G1105" s="16">
        <v>9.1177</v>
      </c>
      <c r="H1105" s="15"/>
      <c r="I1105" s="15"/>
    </row>
    <row r="1106">
      <c r="A1106" s="18">
        <v>45665.0</v>
      </c>
      <c r="B1106" s="16" t="s">
        <v>1915</v>
      </c>
      <c r="C1106" s="16" t="s">
        <v>948</v>
      </c>
      <c r="D1106" s="16" t="s">
        <v>707</v>
      </c>
      <c r="E1106" s="16">
        <v>2010.0</v>
      </c>
      <c r="F1106" s="16">
        <v>48.49</v>
      </c>
      <c r="G1106" s="16">
        <v>10.9091</v>
      </c>
      <c r="H1106" s="15"/>
      <c r="I1106" s="15"/>
    </row>
    <row r="1107">
      <c r="A1107" s="18">
        <v>45665.0</v>
      </c>
      <c r="B1107" s="16" t="s">
        <v>1916</v>
      </c>
      <c r="C1107" s="16" t="s">
        <v>1055</v>
      </c>
      <c r="D1107" s="16" t="s">
        <v>707</v>
      </c>
      <c r="E1107" s="16">
        <v>2010.0</v>
      </c>
      <c r="F1107" s="16">
        <v>48.9516</v>
      </c>
      <c r="G1107" s="16">
        <v>12.1296</v>
      </c>
      <c r="H1107" s="15"/>
      <c r="I1107" s="15"/>
    </row>
    <row r="1108">
      <c r="A1108" s="18">
        <v>45665.0</v>
      </c>
      <c r="B1108" s="16" t="s">
        <v>1917</v>
      </c>
      <c r="C1108" s="16" t="s">
        <v>969</v>
      </c>
      <c r="D1108" s="16" t="s">
        <v>707</v>
      </c>
      <c r="E1108" s="16">
        <v>2010.0</v>
      </c>
      <c r="F1108" s="16">
        <v>48.5858</v>
      </c>
      <c r="G1108" s="16">
        <v>13.2052</v>
      </c>
      <c r="H1108" s="15"/>
      <c r="I1108" s="15"/>
    </row>
    <row r="1109">
      <c r="A1109" s="18">
        <v>45665.0</v>
      </c>
      <c r="B1109" s="16" t="s">
        <v>1918</v>
      </c>
      <c r="C1109" s="16" t="s">
        <v>946</v>
      </c>
      <c r="D1109" s="16" t="s">
        <v>707</v>
      </c>
      <c r="E1109" s="16">
        <v>2010.0</v>
      </c>
      <c r="F1109" s="16">
        <v>52.0018</v>
      </c>
      <c r="G1109" s="16">
        <v>10.3909</v>
      </c>
      <c r="H1109" s="15"/>
      <c r="I1109" s="15"/>
    </row>
    <row r="1110">
      <c r="A1110" s="18">
        <v>45665.0</v>
      </c>
      <c r="B1110" s="16" t="s">
        <v>1919</v>
      </c>
      <c r="C1110" s="16" t="s">
        <v>1051</v>
      </c>
      <c r="D1110" s="16" t="s">
        <v>707</v>
      </c>
      <c r="E1110" s="16">
        <v>2010.0</v>
      </c>
      <c r="F1110" s="16">
        <v>49.5017</v>
      </c>
      <c r="G1110" s="16">
        <v>7.7833</v>
      </c>
      <c r="H1110" s="15"/>
      <c r="I1110" s="15"/>
    </row>
    <row r="1111">
      <c r="A1111" s="18">
        <v>45665.0</v>
      </c>
      <c r="B1111" s="16" t="s">
        <v>1920</v>
      </c>
      <c r="C1111" s="16" t="s">
        <v>1267</v>
      </c>
      <c r="D1111" s="16" t="s">
        <v>707</v>
      </c>
      <c r="E1111" s="16">
        <v>2010.0</v>
      </c>
      <c r="F1111" s="16">
        <v>53.51</v>
      </c>
      <c r="G1111" s="16">
        <v>13.9797</v>
      </c>
      <c r="H1111" s="15"/>
      <c r="I1111" s="15"/>
    </row>
    <row r="1112">
      <c r="A1112" s="18">
        <v>45665.0</v>
      </c>
      <c r="B1112" s="16" t="s">
        <v>1921</v>
      </c>
      <c r="C1112" s="16" t="s">
        <v>942</v>
      </c>
      <c r="D1112" s="16" t="s">
        <v>707</v>
      </c>
      <c r="E1112" s="16">
        <v>2010.0</v>
      </c>
      <c r="F1112" s="16">
        <v>48.1396</v>
      </c>
      <c r="G1112" s="16">
        <v>11.4335</v>
      </c>
      <c r="H1112" s="15"/>
      <c r="I1112" s="15"/>
    </row>
    <row r="1113">
      <c r="A1113" s="18">
        <v>45665.0</v>
      </c>
      <c r="B1113" s="16" t="s">
        <v>1922</v>
      </c>
      <c r="C1113" s="16">
        <v>10.0</v>
      </c>
      <c r="D1113" s="16" t="s">
        <v>707</v>
      </c>
      <c r="E1113" s="16">
        <v>2010.0</v>
      </c>
      <c r="F1113" s="16">
        <v>48.6221</v>
      </c>
      <c r="G1113" s="16">
        <v>12.879</v>
      </c>
      <c r="H1113" s="15"/>
      <c r="I1113" s="15"/>
    </row>
    <row r="1114">
      <c r="A1114" s="18">
        <v>45665.0</v>
      </c>
      <c r="B1114" s="16" t="s">
        <v>1923</v>
      </c>
      <c r="C1114" s="16" t="s">
        <v>948</v>
      </c>
      <c r="D1114" s="16" t="s">
        <v>707</v>
      </c>
      <c r="E1114" s="16">
        <v>2010.0</v>
      </c>
      <c r="F1114" s="16">
        <v>48.5237</v>
      </c>
      <c r="G1114" s="16">
        <v>11.7462</v>
      </c>
      <c r="H1114" s="15"/>
      <c r="I1114" s="15"/>
    </row>
    <row r="1115">
      <c r="A1115" s="18">
        <v>45665.0</v>
      </c>
      <c r="B1115" s="16" t="s">
        <v>1924</v>
      </c>
      <c r="C1115" s="16" t="s">
        <v>969</v>
      </c>
      <c r="D1115" s="16" t="s">
        <v>707</v>
      </c>
      <c r="E1115" s="16">
        <v>2010.0</v>
      </c>
      <c r="F1115" s="16">
        <v>48.3951</v>
      </c>
      <c r="G1115" s="16">
        <v>13.3586</v>
      </c>
      <c r="H1115" s="15"/>
      <c r="I1115" s="15"/>
    </row>
    <row r="1116">
      <c r="A1116" s="18">
        <v>45665.0</v>
      </c>
      <c r="B1116" s="16" t="s">
        <v>1925</v>
      </c>
      <c r="C1116" s="16">
        <v>1.0</v>
      </c>
      <c r="D1116" s="16" t="s">
        <v>707</v>
      </c>
      <c r="E1116" s="16">
        <v>2010.0</v>
      </c>
      <c r="F1116" s="16">
        <v>52.3394</v>
      </c>
      <c r="G1116" s="16">
        <v>8.4769</v>
      </c>
      <c r="H1116" s="15"/>
      <c r="I1116" s="15"/>
    </row>
    <row r="1117">
      <c r="A1117" s="18">
        <v>45665.0</v>
      </c>
      <c r="B1117" s="16" t="s">
        <v>1926</v>
      </c>
      <c r="C1117" s="16" t="s">
        <v>959</v>
      </c>
      <c r="D1117" s="16" t="s">
        <v>707</v>
      </c>
      <c r="E1117" s="16">
        <v>2010.0</v>
      </c>
      <c r="F1117" s="16">
        <v>49.1793</v>
      </c>
      <c r="G1117" s="16">
        <v>11.7804</v>
      </c>
      <c r="H1117" s="15"/>
      <c r="I1117" s="15"/>
    </row>
    <row r="1118">
      <c r="A1118" s="18">
        <v>45665.0</v>
      </c>
      <c r="B1118" s="16" t="s">
        <v>1927</v>
      </c>
      <c r="C1118" s="16" t="s">
        <v>1358</v>
      </c>
      <c r="D1118" s="16" t="s">
        <v>707</v>
      </c>
      <c r="E1118" s="16">
        <v>2010.0</v>
      </c>
      <c r="F1118" s="16">
        <v>49.6839</v>
      </c>
      <c r="G1118" s="16">
        <v>9.3829</v>
      </c>
      <c r="H1118" s="15"/>
      <c r="I1118" s="15"/>
    </row>
    <row r="1119">
      <c r="A1119" s="18">
        <v>45665.0</v>
      </c>
      <c r="B1119" s="16" t="s">
        <v>1928</v>
      </c>
      <c r="C1119" s="16" t="s">
        <v>978</v>
      </c>
      <c r="D1119" s="16" t="s">
        <v>707</v>
      </c>
      <c r="E1119" s="16">
        <v>2010.0</v>
      </c>
      <c r="F1119" s="16">
        <v>51.3928</v>
      </c>
      <c r="G1119" s="16">
        <v>14.7911</v>
      </c>
      <c r="H1119" s="15"/>
      <c r="I1119" s="15"/>
    </row>
    <row r="1120">
      <c r="A1120" s="18">
        <v>45665.0</v>
      </c>
      <c r="B1120" s="16" t="s">
        <v>1929</v>
      </c>
      <c r="C1120" s="16" t="s">
        <v>959</v>
      </c>
      <c r="D1120" s="16" t="s">
        <v>707</v>
      </c>
      <c r="E1120" s="16">
        <v>2010.0</v>
      </c>
      <c r="F1120" s="16">
        <v>49.6413</v>
      </c>
      <c r="G1120" s="16">
        <v>7.8414</v>
      </c>
      <c r="H1120" s="15"/>
      <c r="I1120" s="15"/>
    </row>
    <row r="1121">
      <c r="A1121" s="18">
        <v>45665.0</v>
      </c>
      <c r="B1121" s="16" t="s">
        <v>1930</v>
      </c>
      <c r="C1121" s="16" t="s">
        <v>1931</v>
      </c>
      <c r="D1121" s="16" t="s">
        <v>707</v>
      </c>
      <c r="E1121" s="16">
        <v>2010.0</v>
      </c>
      <c r="F1121" s="16">
        <v>50.902</v>
      </c>
      <c r="G1121" s="16">
        <v>11.9752</v>
      </c>
      <c r="H1121" s="15"/>
      <c r="I1121" s="15"/>
    </row>
    <row r="1122">
      <c r="A1122" s="18">
        <v>45665.0</v>
      </c>
      <c r="B1122" s="16" t="s">
        <v>1932</v>
      </c>
      <c r="C1122" s="16" t="s">
        <v>1310</v>
      </c>
      <c r="D1122" s="16" t="s">
        <v>707</v>
      </c>
      <c r="E1122" s="16">
        <v>2010.0</v>
      </c>
      <c r="F1122" s="16">
        <v>48.3891</v>
      </c>
      <c r="G1122" s="16">
        <v>9.6412</v>
      </c>
      <c r="H1122" s="15"/>
      <c r="I1122" s="15"/>
    </row>
    <row r="1123">
      <c r="A1123" s="18">
        <v>45665.0</v>
      </c>
      <c r="B1123" s="16" t="s">
        <v>1933</v>
      </c>
      <c r="C1123" s="16" t="s">
        <v>1055</v>
      </c>
      <c r="D1123" s="16" t="s">
        <v>707</v>
      </c>
      <c r="E1123" s="16">
        <v>2010.0</v>
      </c>
      <c r="F1123" s="16">
        <v>48.1822</v>
      </c>
      <c r="G1123" s="16">
        <v>10.8998</v>
      </c>
      <c r="H1123" s="15"/>
      <c r="I1123" s="15"/>
    </row>
    <row r="1124">
      <c r="A1124" s="18">
        <v>45665.0</v>
      </c>
      <c r="B1124" s="16" t="s">
        <v>1934</v>
      </c>
      <c r="C1124" s="16" t="s">
        <v>942</v>
      </c>
      <c r="D1124" s="16" t="s">
        <v>707</v>
      </c>
      <c r="E1124" s="16">
        <v>2010.0</v>
      </c>
      <c r="F1124" s="16">
        <v>50.0429</v>
      </c>
      <c r="G1124" s="16">
        <v>10.5412</v>
      </c>
      <c r="H1124" s="15"/>
      <c r="I1124" s="15"/>
    </row>
    <row r="1125">
      <c r="A1125" s="18">
        <v>45665.0</v>
      </c>
      <c r="B1125" s="16" t="s">
        <v>1935</v>
      </c>
      <c r="C1125" s="16" t="s">
        <v>1007</v>
      </c>
      <c r="D1125" s="16" t="s">
        <v>707</v>
      </c>
      <c r="E1125" s="16">
        <v>2010.0</v>
      </c>
      <c r="F1125" s="16">
        <v>53.7174</v>
      </c>
      <c r="G1125" s="16">
        <v>8.717</v>
      </c>
      <c r="H1125" s="15"/>
      <c r="I1125" s="15"/>
    </row>
    <row r="1126">
      <c r="A1126" s="18">
        <v>45665.0</v>
      </c>
      <c r="B1126" s="16" t="s">
        <v>1936</v>
      </c>
      <c r="C1126" s="16">
        <v>2.0</v>
      </c>
      <c r="D1126" s="16" t="s">
        <v>707</v>
      </c>
      <c r="E1126" s="16">
        <v>2010.0</v>
      </c>
      <c r="F1126" s="16">
        <v>49.9912</v>
      </c>
      <c r="G1126" s="16">
        <v>6.6999</v>
      </c>
      <c r="H1126" s="15"/>
      <c r="I1126" s="15"/>
    </row>
    <row r="1127">
      <c r="A1127" s="18">
        <v>45665.0</v>
      </c>
      <c r="B1127" s="16" t="s">
        <v>1937</v>
      </c>
      <c r="C1127" s="16" t="s">
        <v>1771</v>
      </c>
      <c r="D1127" s="16" t="s">
        <v>707</v>
      </c>
      <c r="E1127" s="16">
        <v>2010.0</v>
      </c>
      <c r="F1127" s="16">
        <v>48.3091</v>
      </c>
      <c r="G1127" s="16">
        <v>9.9746</v>
      </c>
      <c r="H1127" s="15"/>
      <c r="I1127" s="15"/>
    </row>
    <row r="1128">
      <c r="A1128" s="18">
        <v>45665.0</v>
      </c>
      <c r="B1128" s="16" t="s">
        <v>1938</v>
      </c>
      <c r="C1128" s="16" t="s">
        <v>1034</v>
      </c>
      <c r="D1128" s="16" t="s">
        <v>707</v>
      </c>
      <c r="E1128" s="16">
        <v>2010.0</v>
      </c>
      <c r="F1128" s="16">
        <v>49.3349</v>
      </c>
      <c r="G1128" s="16">
        <v>10.5528</v>
      </c>
      <c r="H1128" s="15"/>
      <c r="I1128" s="15"/>
    </row>
    <row r="1129">
      <c r="A1129" s="18">
        <v>45665.0</v>
      </c>
      <c r="B1129" s="16" t="s">
        <v>1939</v>
      </c>
      <c r="C1129" s="16" t="s">
        <v>1101</v>
      </c>
      <c r="D1129" s="16" t="s">
        <v>707</v>
      </c>
      <c r="E1129" s="16">
        <v>2010.0</v>
      </c>
      <c r="F1129" s="16">
        <v>54.1681</v>
      </c>
      <c r="G1129" s="16">
        <v>10.9179</v>
      </c>
      <c r="H1129" s="15"/>
      <c r="I1129" s="15"/>
    </row>
    <row r="1130">
      <c r="A1130" s="18">
        <v>45665.0</v>
      </c>
      <c r="B1130" s="16" t="s">
        <v>1940</v>
      </c>
      <c r="C1130" s="16" t="s">
        <v>1004</v>
      </c>
      <c r="D1130" s="16" t="s">
        <v>707</v>
      </c>
      <c r="E1130" s="16">
        <v>2010.0</v>
      </c>
      <c r="F1130" s="16">
        <v>54.8799</v>
      </c>
      <c r="G1130" s="16">
        <v>8.9243</v>
      </c>
      <c r="H1130" s="15"/>
      <c r="I1130" s="15"/>
    </row>
    <row r="1131">
      <c r="A1131" s="18">
        <v>45665.0</v>
      </c>
      <c r="B1131" s="16" t="s">
        <v>1941</v>
      </c>
      <c r="C1131" s="16">
        <v>6.0</v>
      </c>
      <c r="D1131" s="16" t="s">
        <v>707</v>
      </c>
      <c r="E1131" s="16">
        <v>2010.0</v>
      </c>
      <c r="F1131" s="16">
        <v>54.6801</v>
      </c>
      <c r="G1131" s="16">
        <v>9.3904</v>
      </c>
      <c r="H1131" s="15"/>
      <c r="I1131" s="15"/>
    </row>
    <row r="1132">
      <c r="A1132" s="18">
        <v>45665.0</v>
      </c>
      <c r="B1132" s="16" t="s">
        <v>1942</v>
      </c>
      <c r="C1132" s="16" t="s">
        <v>942</v>
      </c>
      <c r="D1132" s="16" t="s">
        <v>707</v>
      </c>
      <c r="E1132" s="16">
        <v>2010.0</v>
      </c>
      <c r="F1132" s="16">
        <v>49.2297</v>
      </c>
      <c r="G1132" s="16">
        <v>7.5584</v>
      </c>
      <c r="H1132" s="15"/>
      <c r="I1132" s="15"/>
    </row>
    <row r="1133">
      <c r="A1133" s="18">
        <v>45665.0</v>
      </c>
      <c r="B1133" s="16" t="s">
        <v>1943</v>
      </c>
      <c r="C1133" s="16" t="s">
        <v>971</v>
      </c>
      <c r="D1133" s="16" t="s">
        <v>707</v>
      </c>
      <c r="E1133" s="16">
        <v>2010.0</v>
      </c>
      <c r="F1133" s="16">
        <v>51.3315</v>
      </c>
      <c r="G1133" s="16">
        <v>14.908</v>
      </c>
      <c r="H1133" s="15"/>
      <c r="I1133" s="15"/>
    </row>
    <row r="1134">
      <c r="A1134" s="18">
        <v>45665.0</v>
      </c>
      <c r="B1134" s="16" t="s">
        <v>1944</v>
      </c>
      <c r="C1134" s="16" t="s">
        <v>946</v>
      </c>
      <c r="D1134" s="16" t="s">
        <v>707</v>
      </c>
      <c r="E1134" s="16">
        <v>2010.0</v>
      </c>
      <c r="F1134" s="16">
        <v>49.2033</v>
      </c>
      <c r="G1134" s="16">
        <v>12.736</v>
      </c>
      <c r="H1134" s="15"/>
      <c r="I1134" s="15"/>
    </row>
    <row r="1135">
      <c r="A1135" s="18">
        <v>45665.0</v>
      </c>
      <c r="B1135" s="16" t="s">
        <v>1945</v>
      </c>
      <c r="C1135" s="16" t="s">
        <v>942</v>
      </c>
      <c r="D1135" s="16" t="s">
        <v>707</v>
      </c>
      <c r="E1135" s="16">
        <v>2010.0</v>
      </c>
      <c r="F1135" s="16">
        <v>48.3081</v>
      </c>
      <c r="G1135" s="16">
        <v>10.6393</v>
      </c>
      <c r="H1135" s="15"/>
      <c r="I1135" s="15"/>
    </row>
    <row r="1136">
      <c r="A1136" s="18">
        <v>45665.0</v>
      </c>
      <c r="B1136" s="16" t="s">
        <v>1946</v>
      </c>
      <c r="C1136" s="16" t="s">
        <v>1094</v>
      </c>
      <c r="D1136" s="16" t="s">
        <v>707</v>
      </c>
      <c r="E1136" s="16">
        <v>2010.0</v>
      </c>
      <c r="F1136" s="16">
        <v>52.7094</v>
      </c>
      <c r="G1136" s="16">
        <v>13.119</v>
      </c>
      <c r="H1136" s="15"/>
      <c r="I1136" s="15"/>
    </row>
    <row r="1137">
      <c r="A1137" s="18">
        <v>45665.0</v>
      </c>
      <c r="B1137" s="16" t="s">
        <v>1947</v>
      </c>
      <c r="C1137" s="16" t="s">
        <v>1080</v>
      </c>
      <c r="D1137" s="16" t="s">
        <v>707</v>
      </c>
      <c r="E1137" s="16">
        <v>2010.0</v>
      </c>
      <c r="F1137" s="16">
        <v>49.7023</v>
      </c>
      <c r="G1137" s="16">
        <v>10.6418</v>
      </c>
      <c r="H1137" s="15"/>
      <c r="I1137" s="15"/>
    </row>
    <row r="1138">
      <c r="A1138" s="18">
        <v>45665.0</v>
      </c>
      <c r="B1138" s="16" t="s">
        <v>1948</v>
      </c>
      <c r="C1138" s="16">
        <v>10.0</v>
      </c>
      <c r="D1138" s="16" t="s">
        <v>707</v>
      </c>
      <c r="E1138" s="16">
        <v>2010.0</v>
      </c>
      <c r="F1138" s="16">
        <v>49.6292</v>
      </c>
      <c r="G1138" s="16">
        <v>11.7524</v>
      </c>
      <c r="H1138" s="15"/>
      <c r="I1138" s="15"/>
    </row>
    <row r="1139">
      <c r="A1139" s="18">
        <v>45665.0</v>
      </c>
      <c r="B1139" s="16" t="s">
        <v>1949</v>
      </c>
      <c r="C1139" s="16" t="s">
        <v>1059</v>
      </c>
      <c r="D1139" s="16" t="s">
        <v>707</v>
      </c>
      <c r="E1139" s="16">
        <v>2010.0</v>
      </c>
      <c r="F1139" s="16">
        <v>48.8823</v>
      </c>
      <c r="G1139" s="16">
        <v>10.7709</v>
      </c>
      <c r="H1139" s="15"/>
      <c r="I1139" s="15"/>
    </row>
    <row r="1140">
      <c r="A1140" s="18">
        <v>45665.0</v>
      </c>
      <c r="B1140" s="16" t="s">
        <v>1950</v>
      </c>
      <c r="C1140" s="16" t="s">
        <v>969</v>
      </c>
      <c r="D1140" s="16" t="s">
        <v>707</v>
      </c>
      <c r="E1140" s="16">
        <v>2010.0</v>
      </c>
      <c r="F1140" s="16">
        <v>49.4738</v>
      </c>
      <c r="G1140" s="16">
        <v>7.6275</v>
      </c>
      <c r="H1140" s="15"/>
      <c r="I1140" s="15"/>
    </row>
    <row r="1141">
      <c r="A1141" s="18">
        <v>45665.0</v>
      </c>
      <c r="B1141" s="16" t="s">
        <v>1951</v>
      </c>
      <c r="C1141" s="16" t="s">
        <v>965</v>
      </c>
      <c r="D1141" s="16" t="s">
        <v>707</v>
      </c>
      <c r="E1141" s="16">
        <v>2010.0</v>
      </c>
      <c r="F1141" s="16">
        <v>48.4159</v>
      </c>
      <c r="G1141" s="16">
        <v>12.8912</v>
      </c>
      <c r="H1141" s="15"/>
      <c r="I1141" s="15"/>
    </row>
    <row r="1142">
      <c r="A1142" s="18">
        <v>45665.0</v>
      </c>
      <c r="B1142" s="16" t="s">
        <v>1952</v>
      </c>
      <c r="C1142" s="16">
        <v>1.0</v>
      </c>
      <c r="D1142" s="16" t="s">
        <v>707</v>
      </c>
      <c r="E1142" s="16">
        <v>2010.0</v>
      </c>
      <c r="F1142" s="16">
        <v>48.3587</v>
      </c>
      <c r="G1142" s="16">
        <v>13.0163</v>
      </c>
      <c r="H1142" s="15"/>
      <c r="I1142" s="15"/>
    </row>
    <row r="1143">
      <c r="A1143" s="18">
        <v>45665.0</v>
      </c>
      <c r="B1143" s="16" t="s">
        <v>1953</v>
      </c>
      <c r="C1143" s="16" t="s">
        <v>1267</v>
      </c>
      <c r="D1143" s="16" t="s">
        <v>707</v>
      </c>
      <c r="E1143" s="16">
        <v>2010.0</v>
      </c>
      <c r="F1143" s="16">
        <v>48.5946</v>
      </c>
      <c r="G1143" s="16">
        <v>10.7445</v>
      </c>
      <c r="H1143" s="15"/>
      <c r="I1143" s="15"/>
    </row>
    <row r="1144">
      <c r="A1144" s="18">
        <v>45665.0</v>
      </c>
      <c r="B1144" s="16" t="s">
        <v>1954</v>
      </c>
      <c r="C1144" s="16" t="s">
        <v>1955</v>
      </c>
      <c r="D1144" s="16" t="s">
        <v>707</v>
      </c>
      <c r="E1144" s="16">
        <v>2010.0</v>
      </c>
      <c r="F1144" s="16">
        <v>51.3687</v>
      </c>
      <c r="G1144" s="16">
        <v>13.3893</v>
      </c>
      <c r="H1144" s="15"/>
      <c r="I1144" s="15"/>
    </row>
    <row r="1145">
      <c r="A1145" s="18">
        <v>45665.0</v>
      </c>
      <c r="B1145" s="16" t="s">
        <v>1956</v>
      </c>
      <c r="C1145" s="16" t="s">
        <v>969</v>
      </c>
      <c r="D1145" s="16" t="s">
        <v>707</v>
      </c>
      <c r="E1145" s="16">
        <v>2010.0</v>
      </c>
      <c r="F1145" s="16">
        <v>48.1057</v>
      </c>
      <c r="G1145" s="16">
        <v>10.8246</v>
      </c>
      <c r="H1145" s="15"/>
      <c r="I1145" s="15"/>
    </row>
    <row r="1146">
      <c r="A1146" s="18">
        <v>45665.0</v>
      </c>
      <c r="B1146" s="16" t="s">
        <v>1957</v>
      </c>
      <c r="C1146" s="16">
        <v>1.0</v>
      </c>
      <c r="D1146" s="16" t="s">
        <v>707</v>
      </c>
      <c r="E1146" s="16">
        <v>2010.0</v>
      </c>
      <c r="F1146" s="16">
        <v>48.8087</v>
      </c>
      <c r="G1146" s="16">
        <v>12.6732</v>
      </c>
      <c r="H1146" s="15"/>
      <c r="I1146" s="15"/>
    </row>
    <row r="1147">
      <c r="A1147" s="18">
        <v>45665.0</v>
      </c>
      <c r="B1147" s="16" t="s">
        <v>1958</v>
      </c>
      <c r="C1147" s="16" t="s">
        <v>1436</v>
      </c>
      <c r="D1147" s="16" t="s">
        <v>707</v>
      </c>
      <c r="E1147" s="16">
        <v>2010.0</v>
      </c>
      <c r="F1147" s="16">
        <v>48.1988</v>
      </c>
      <c r="G1147" s="16">
        <v>10.9669</v>
      </c>
      <c r="H1147" s="15"/>
      <c r="I1147" s="15"/>
    </row>
    <row r="1148">
      <c r="A1148" s="18">
        <v>45665.0</v>
      </c>
      <c r="B1148" s="16" t="s">
        <v>1959</v>
      </c>
      <c r="C1148" s="16" t="s">
        <v>1007</v>
      </c>
      <c r="D1148" s="16" t="s">
        <v>707</v>
      </c>
      <c r="E1148" s="16">
        <v>2010.0</v>
      </c>
      <c r="F1148" s="16">
        <v>54.1213</v>
      </c>
      <c r="G1148" s="16">
        <v>8.9928</v>
      </c>
      <c r="H1148" s="15"/>
      <c r="I1148" s="15"/>
    </row>
    <row r="1149">
      <c r="A1149" s="18">
        <v>45665.0</v>
      </c>
      <c r="B1149" s="16" t="s">
        <v>1960</v>
      </c>
      <c r="C1149" s="16" t="s">
        <v>948</v>
      </c>
      <c r="D1149" s="16" t="s">
        <v>707</v>
      </c>
      <c r="E1149" s="16">
        <v>2010.0</v>
      </c>
      <c r="F1149" s="16">
        <v>51.5607</v>
      </c>
      <c r="G1149" s="16">
        <v>8.5546</v>
      </c>
      <c r="H1149" s="15"/>
      <c r="I1149" s="15"/>
    </row>
    <row r="1150">
      <c r="A1150" s="18">
        <v>45665.0</v>
      </c>
      <c r="B1150" s="16" t="s">
        <v>1961</v>
      </c>
      <c r="C1150" s="16">
        <v>2.0</v>
      </c>
      <c r="D1150" s="16" t="s">
        <v>707</v>
      </c>
      <c r="E1150" s="16">
        <v>2010.0</v>
      </c>
      <c r="F1150" s="16">
        <v>48.4863</v>
      </c>
      <c r="G1150" s="16">
        <v>12.1767</v>
      </c>
      <c r="H1150" s="15"/>
      <c r="I1150" s="15"/>
    </row>
    <row r="1151">
      <c r="A1151" s="18">
        <v>45665.0</v>
      </c>
      <c r="B1151" s="16" t="s">
        <v>1962</v>
      </c>
      <c r="C1151" s="16">
        <v>2.0</v>
      </c>
      <c r="D1151" s="16" t="s">
        <v>707</v>
      </c>
      <c r="E1151" s="16">
        <v>2010.0</v>
      </c>
      <c r="F1151" s="16">
        <v>53.3648</v>
      </c>
      <c r="G1151" s="16">
        <v>11.8767</v>
      </c>
      <c r="H1151" s="15"/>
      <c r="I1151" s="15"/>
    </row>
    <row r="1152">
      <c r="A1152" s="18">
        <v>45665.0</v>
      </c>
      <c r="B1152" s="16" t="s">
        <v>1963</v>
      </c>
      <c r="C1152" s="16" t="s">
        <v>942</v>
      </c>
      <c r="D1152" s="16" t="s">
        <v>707</v>
      </c>
      <c r="E1152" s="16">
        <v>2010.0</v>
      </c>
      <c r="F1152" s="16">
        <v>53.3649</v>
      </c>
      <c r="G1152" s="16">
        <v>11.8786</v>
      </c>
      <c r="H1152" s="15"/>
      <c r="I1152" s="15"/>
    </row>
    <row r="1153">
      <c r="A1153" s="18">
        <v>45665.0</v>
      </c>
      <c r="B1153" s="16" t="s">
        <v>1964</v>
      </c>
      <c r="C1153" s="16" t="s">
        <v>1096</v>
      </c>
      <c r="D1153" s="16" t="s">
        <v>707</v>
      </c>
      <c r="E1153" s="16">
        <v>2010.0</v>
      </c>
      <c r="F1153" s="16">
        <v>50.9297</v>
      </c>
      <c r="G1153" s="16">
        <v>13.3979</v>
      </c>
      <c r="H1153" s="15"/>
      <c r="I1153" s="15"/>
    </row>
    <row r="1154">
      <c r="A1154" s="18">
        <v>45665.0</v>
      </c>
      <c r="B1154" s="16" t="s">
        <v>1965</v>
      </c>
      <c r="C1154" s="16" t="s">
        <v>1310</v>
      </c>
      <c r="D1154" s="16" t="s">
        <v>707</v>
      </c>
      <c r="E1154" s="16">
        <v>2010.0</v>
      </c>
      <c r="F1154" s="16">
        <v>48.8589</v>
      </c>
      <c r="G1154" s="16">
        <v>12.6393</v>
      </c>
      <c r="H1154" s="15"/>
      <c r="I1154" s="15"/>
    </row>
    <row r="1155">
      <c r="A1155" s="18">
        <v>45665.0</v>
      </c>
      <c r="B1155" s="16" t="s">
        <v>1966</v>
      </c>
      <c r="C1155" s="16" t="s">
        <v>1039</v>
      </c>
      <c r="D1155" s="16" t="s">
        <v>707</v>
      </c>
      <c r="E1155" s="16">
        <v>2010.0</v>
      </c>
      <c r="F1155" s="16">
        <v>48.0658</v>
      </c>
      <c r="G1155" s="16">
        <v>9.1776</v>
      </c>
      <c r="H1155" s="15"/>
      <c r="I1155" s="15"/>
    </row>
    <row r="1156">
      <c r="A1156" s="18">
        <v>45665.0</v>
      </c>
      <c r="B1156" s="16" t="s">
        <v>1967</v>
      </c>
      <c r="C1156" s="16" t="s">
        <v>978</v>
      </c>
      <c r="D1156" s="16" t="s">
        <v>707</v>
      </c>
      <c r="E1156" s="16">
        <v>2010.0</v>
      </c>
      <c r="F1156" s="16">
        <v>51.3998</v>
      </c>
      <c r="G1156" s="16">
        <v>9.6377</v>
      </c>
      <c r="H1156" s="15"/>
      <c r="I1156" s="15"/>
    </row>
    <row r="1157">
      <c r="A1157" s="18">
        <v>45665.0</v>
      </c>
      <c r="B1157" s="16" t="s">
        <v>1968</v>
      </c>
      <c r="C1157" s="16" t="s">
        <v>969</v>
      </c>
      <c r="D1157" s="16" t="s">
        <v>707</v>
      </c>
      <c r="E1157" s="16">
        <v>2010.0</v>
      </c>
      <c r="F1157" s="16">
        <v>48.6536</v>
      </c>
      <c r="G1157" s="16">
        <v>12.4784</v>
      </c>
      <c r="H1157" s="15"/>
      <c r="I1157" s="15"/>
    </row>
    <row r="1158">
      <c r="A1158" s="18">
        <v>45665.0</v>
      </c>
      <c r="B1158" s="16" t="s">
        <v>1969</v>
      </c>
      <c r="C1158" s="16" t="s">
        <v>1059</v>
      </c>
      <c r="D1158" s="16" t="s">
        <v>707</v>
      </c>
      <c r="E1158" s="16">
        <v>2010.0</v>
      </c>
      <c r="F1158" s="16">
        <v>51.7003</v>
      </c>
      <c r="G1158" s="16">
        <v>6.238</v>
      </c>
      <c r="H1158" s="15"/>
      <c r="I1158" s="15"/>
    </row>
    <row r="1159">
      <c r="A1159" s="18">
        <v>45665.0</v>
      </c>
      <c r="B1159" s="16" t="s">
        <v>1970</v>
      </c>
      <c r="C1159" s="16">
        <v>3.0</v>
      </c>
      <c r="D1159" s="16" t="s">
        <v>707</v>
      </c>
      <c r="E1159" s="16">
        <v>2010.0</v>
      </c>
      <c r="F1159" s="16">
        <v>49.98</v>
      </c>
      <c r="G1159" s="16">
        <v>10.965</v>
      </c>
      <c r="H1159" s="15"/>
      <c r="I1159" s="15"/>
    </row>
    <row r="1160">
      <c r="A1160" s="18">
        <v>45665.0</v>
      </c>
      <c r="B1160" s="16" t="s">
        <v>1971</v>
      </c>
      <c r="C1160" s="16" t="s">
        <v>969</v>
      </c>
      <c r="D1160" s="16" t="s">
        <v>707</v>
      </c>
      <c r="E1160" s="16">
        <v>2010.0</v>
      </c>
      <c r="F1160" s="16">
        <v>49.8757</v>
      </c>
      <c r="G1160" s="16">
        <v>11.7758</v>
      </c>
      <c r="H1160" s="15"/>
      <c r="I1160" s="15"/>
    </row>
    <row r="1161">
      <c r="A1161" s="18">
        <v>45665.0</v>
      </c>
      <c r="B1161" s="16" t="s">
        <v>1972</v>
      </c>
      <c r="C1161" s="16" t="s">
        <v>1002</v>
      </c>
      <c r="D1161" s="16" t="s">
        <v>707</v>
      </c>
      <c r="E1161" s="16">
        <v>2010.0</v>
      </c>
      <c r="F1161" s="16">
        <v>51.5803</v>
      </c>
      <c r="G1161" s="16">
        <v>14.3984</v>
      </c>
      <c r="H1161" s="15"/>
      <c r="I1161" s="15"/>
    </row>
    <row r="1162">
      <c r="A1162" s="18">
        <v>45665.0</v>
      </c>
      <c r="B1162" s="16" t="s">
        <v>1973</v>
      </c>
      <c r="C1162" s="16" t="s">
        <v>1037</v>
      </c>
      <c r="D1162" s="16" t="s">
        <v>707</v>
      </c>
      <c r="E1162" s="16">
        <v>2010.0</v>
      </c>
      <c r="F1162" s="16">
        <v>51.9253</v>
      </c>
      <c r="G1162" s="16">
        <v>11.7973</v>
      </c>
      <c r="H1162" s="15"/>
      <c r="I1162" s="15"/>
    </row>
    <row r="1163">
      <c r="A1163" s="18">
        <v>45665.0</v>
      </c>
      <c r="B1163" s="16" t="s">
        <v>1974</v>
      </c>
      <c r="C1163" s="16" t="s">
        <v>942</v>
      </c>
      <c r="D1163" s="16" t="s">
        <v>707</v>
      </c>
      <c r="E1163" s="16">
        <v>2010.0</v>
      </c>
      <c r="F1163" s="16">
        <v>52.6336</v>
      </c>
      <c r="G1163" s="16">
        <v>13.647</v>
      </c>
      <c r="H1163" s="15"/>
      <c r="I1163" s="15"/>
    </row>
    <row r="1164">
      <c r="A1164" s="18">
        <v>45665.0</v>
      </c>
      <c r="B1164" s="16" t="s">
        <v>1975</v>
      </c>
      <c r="C1164" s="16" t="s">
        <v>961</v>
      </c>
      <c r="D1164" s="16" t="s">
        <v>707</v>
      </c>
      <c r="E1164" s="16">
        <v>2010.0</v>
      </c>
      <c r="F1164" s="16">
        <v>48.0469</v>
      </c>
      <c r="G1164" s="16">
        <v>10.6279</v>
      </c>
      <c r="H1164" s="15"/>
      <c r="I1164" s="15"/>
    </row>
    <row r="1165">
      <c r="A1165" s="18">
        <v>45665.0</v>
      </c>
      <c r="B1165" s="16" t="s">
        <v>1976</v>
      </c>
      <c r="C1165" s="16" t="s">
        <v>1039</v>
      </c>
      <c r="D1165" s="16" t="s">
        <v>707</v>
      </c>
      <c r="E1165" s="16">
        <v>2010.0</v>
      </c>
      <c r="F1165" s="16">
        <v>52.0636</v>
      </c>
      <c r="G1165" s="16">
        <v>7.9379</v>
      </c>
      <c r="H1165" s="15"/>
      <c r="I1165" s="15"/>
    </row>
    <row r="1166">
      <c r="A1166" s="18">
        <v>45665.0</v>
      </c>
      <c r="B1166" s="16" t="s">
        <v>1977</v>
      </c>
      <c r="C1166" s="16" t="s">
        <v>1039</v>
      </c>
      <c r="D1166" s="16" t="s">
        <v>707</v>
      </c>
      <c r="E1166" s="16">
        <v>2010.0</v>
      </c>
      <c r="F1166" s="16">
        <v>50.1985</v>
      </c>
      <c r="G1166" s="16">
        <v>10.3046</v>
      </c>
      <c r="H1166" s="15"/>
      <c r="I1166" s="15"/>
    </row>
    <row r="1167">
      <c r="A1167" s="18">
        <v>45665.0</v>
      </c>
      <c r="B1167" s="16" t="s">
        <v>1978</v>
      </c>
      <c r="C1167" s="16" t="s">
        <v>1979</v>
      </c>
      <c r="D1167" s="16" t="s">
        <v>707</v>
      </c>
      <c r="E1167" s="16">
        <v>2010.0</v>
      </c>
      <c r="F1167" s="16">
        <v>49.957</v>
      </c>
      <c r="G1167" s="16">
        <v>9.8542</v>
      </c>
      <c r="H1167" s="15"/>
      <c r="I1167" s="15"/>
    </row>
    <row r="1168">
      <c r="A1168" s="18">
        <v>45665.0</v>
      </c>
      <c r="B1168" s="16" t="s">
        <v>1980</v>
      </c>
      <c r="C1168" s="16" t="s">
        <v>942</v>
      </c>
      <c r="D1168" s="16" t="s">
        <v>707</v>
      </c>
      <c r="E1168" s="16">
        <v>2010.0</v>
      </c>
      <c r="F1168" s="16">
        <v>48.6564</v>
      </c>
      <c r="G1168" s="16">
        <v>13.3062</v>
      </c>
      <c r="H1168" s="15"/>
      <c r="I1168" s="15"/>
    </row>
    <row r="1169">
      <c r="A1169" s="18">
        <v>45665.0</v>
      </c>
      <c r="B1169" s="16" t="s">
        <v>1981</v>
      </c>
      <c r="C1169" s="16" t="s">
        <v>990</v>
      </c>
      <c r="D1169" s="16" t="s">
        <v>707</v>
      </c>
      <c r="E1169" s="16">
        <v>2010.0</v>
      </c>
      <c r="F1169" s="16">
        <v>51.2874</v>
      </c>
      <c r="G1169" s="16">
        <v>12.7411</v>
      </c>
      <c r="H1169" s="15"/>
      <c r="I1169" s="15"/>
    </row>
    <row r="1170">
      <c r="A1170" s="18">
        <v>45665.0</v>
      </c>
      <c r="B1170" s="16" t="s">
        <v>1982</v>
      </c>
      <c r="C1170" s="16" t="s">
        <v>1101</v>
      </c>
      <c r="D1170" s="16" t="s">
        <v>707</v>
      </c>
      <c r="E1170" s="16">
        <v>2010.0</v>
      </c>
      <c r="F1170" s="16">
        <v>54.5026</v>
      </c>
      <c r="G1170" s="16">
        <v>9.2924</v>
      </c>
      <c r="H1170" s="15"/>
      <c r="I1170" s="15"/>
    </row>
    <row r="1171">
      <c r="A1171" s="18">
        <v>45665.0</v>
      </c>
      <c r="B1171" s="16" t="s">
        <v>1983</v>
      </c>
      <c r="C1171" s="16" t="s">
        <v>969</v>
      </c>
      <c r="D1171" s="16" t="s">
        <v>707</v>
      </c>
      <c r="E1171" s="16">
        <v>2010.0</v>
      </c>
      <c r="F1171" s="16">
        <v>49.6767</v>
      </c>
      <c r="G1171" s="16">
        <v>8.3462</v>
      </c>
      <c r="H1171" s="15"/>
      <c r="I1171" s="15"/>
    </row>
    <row r="1172">
      <c r="A1172" s="18">
        <v>45665.0</v>
      </c>
      <c r="B1172" s="16" t="s">
        <v>1984</v>
      </c>
      <c r="C1172" s="16" t="s">
        <v>969</v>
      </c>
      <c r="D1172" s="16" t="s">
        <v>707</v>
      </c>
      <c r="E1172" s="16">
        <v>2010.0</v>
      </c>
      <c r="F1172" s="16">
        <v>50.8684</v>
      </c>
      <c r="G1172" s="16">
        <v>7.1325</v>
      </c>
      <c r="H1172" s="15"/>
      <c r="I1172" s="15"/>
    </row>
    <row r="1173">
      <c r="A1173" s="18">
        <v>45665.0</v>
      </c>
      <c r="B1173" s="16" t="s">
        <v>1985</v>
      </c>
      <c r="C1173" s="16" t="s">
        <v>1039</v>
      </c>
      <c r="D1173" s="16" t="s">
        <v>707</v>
      </c>
      <c r="E1173" s="16">
        <v>2010.0</v>
      </c>
      <c r="F1173" s="16">
        <v>52.0617</v>
      </c>
      <c r="G1173" s="16">
        <v>7.9304</v>
      </c>
      <c r="H1173" s="15"/>
      <c r="I1173" s="15"/>
    </row>
    <row r="1174">
      <c r="A1174" s="18">
        <v>45665.0</v>
      </c>
      <c r="B1174" s="16" t="s">
        <v>1986</v>
      </c>
      <c r="C1174" s="16" t="s">
        <v>1055</v>
      </c>
      <c r="D1174" s="16" t="s">
        <v>707</v>
      </c>
      <c r="E1174" s="16">
        <v>2010.0</v>
      </c>
      <c r="F1174" s="16">
        <v>49.6853</v>
      </c>
      <c r="G1174" s="16">
        <v>12.0876</v>
      </c>
      <c r="H1174" s="15"/>
      <c r="I1174" s="15"/>
    </row>
    <row r="1175">
      <c r="A1175" s="18">
        <v>45665.0</v>
      </c>
      <c r="B1175" s="16" t="s">
        <v>1987</v>
      </c>
      <c r="C1175" s="16" t="s">
        <v>961</v>
      </c>
      <c r="D1175" s="16" t="s">
        <v>707</v>
      </c>
      <c r="E1175" s="16">
        <v>2010.0</v>
      </c>
      <c r="F1175" s="16">
        <v>48.1847</v>
      </c>
      <c r="G1175" s="16">
        <v>11.0077</v>
      </c>
      <c r="H1175" s="15"/>
      <c r="I1175" s="15"/>
    </row>
    <row r="1176">
      <c r="A1176" s="18">
        <v>45665.0</v>
      </c>
      <c r="B1176" s="16" t="s">
        <v>1988</v>
      </c>
      <c r="C1176" s="16" t="s">
        <v>946</v>
      </c>
      <c r="D1176" s="16" t="s">
        <v>707</v>
      </c>
      <c r="E1176" s="16">
        <v>2010.0</v>
      </c>
      <c r="F1176" s="16">
        <v>51.1646</v>
      </c>
      <c r="G1176" s="16">
        <v>12.0767</v>
      </c>
      <c r="H1176" s="15"/>
      <c r="I1176" s="15"/>
    </row>
    <row r="1177">
      <c r="A1177" s="18">
        <v>45665.0</v>
      </c>
      <c r="B1177" s="16" t="s">
        <v>1989</v>
      </c>
      <c r="C1177" s="16">
        <v>1.0</v>
      </c>
      <c r="D1177" s="16" t="s">
        <v>707</v>
      </c>
      <c r="E1177" s="16">
        <v>2010.0</v>
      </c>
      <c r="F1177" s="16">
        <v>51.5378</v>
      </c>
      <c r="G1177" s="16">
        <v>14.2319</v>
      </c>
      <c r="H1177" s="15"/>
      <c r="I1177" s="15"/>
    </row>
    <row r="1178">
      <c r="A1178" s="18">
        <v>45665.0</v>
      </c>
      <c r="B1178" s="16" t="s">
        <v>1990</v>
      </c>
      <c r="C1178" s="16">
        <v>1.0</v>
      </c>
      <c r="D1178" s="16" t="s">
        <v>707</v>
      </c>
      <c r="E1178" s="16">
        <v>2010.0</v>
      </c>
      <c r="F1178" s="16">
        <v>51.5356</v>
      </c>
      <c r="G1178" s="16">
        <v>14.3897</v>
      </c>
      <c r="H1178" s="15"/>
      <c r="I1178" s="15"/>
    </row>
    <row r="1179">
      <c r="A1179" s="18">
        <v>45665.0</v>
      </c>
      <c r="B1179" s="16" t="s">
        <v>1991</v>
      </c>
      <c r="C1179" s="16" t="s">
        <v>1055</v>
      </c>
      <c r="D1179" s="16" t="s">
        <v>707</v>
      </c>
      <c r="E1179" s="16">
        <v>2010.0</v>
      </c>
      <c r="F1179" s="16">
        <v>51.5408</v>
      </c>
      <c r="G1179" s="16">
        <v>14.2319</v>
      </c>
      <c r="H1179" s="15"/>
      <c r="I1179" s="15"/>
    </row>
    <row r="1180">
      <c r="A1180" s="18">
        <v>45665.0</v>
      </c>
      <c r="B1180" s="16" t="s">
        <v>1992</v>
      </c>
      <c r="C1180" s="16">
        <v>5.0</v>
      </c>
      <c r="D1180" s="16" t="s">
        <v>707</v>
      </c>
      <c r="E1180" s="16">
        <v>2010.0</v>
      </c>
      <c r="F1180" s="16">
        <v>50.0509</v>
      </c>
      <c r="G1180" s="16">
        <v>11.32</v>
      </c>
      <c r="H1180" s="15"/>
      <c r="I1180" s="15"/>
    </row>
    <row r="1181">
      <c r="A1181" s="18">
        <v>45665.0</v>
      </c>
      <c r="B1181" s="16" t="s">
        <v>1993</v>
      </c>
      <c r="C1181" s="16">
        <v>4.0</v>
      </c>
      <c r="D1181" s="16" t="s">
        <v>707</v>
      </c>
      <c r="E1181" s="16">
        <v>2010.0</v>
      </c>
      <c r="F1181" s="16">
        <v>51.3543</v>
      </c>
      <c r="G1181" s="16">
        <v>12.1317</v>
      </c>
      <c r="H1181" s="15"/>
      <c r="I1181" s="15"/>
    </row>
    <row r="1182">
      <c r="A1182" s="18">
        <v>45665.0</v>
      </c>
      <c r="B1182" s="16" t="s">
        <v>1994</v>
      </c>
      <c r="C1182" s="16">
        <v>1.0</v>
      </c>
      <c r="D1182" s="16" t="s">
        <v>707</v>
      </c>
      <c r="E1182" s="16">
        <v>2010.0</v>
      </c>
      <c r="F1182" s="16">
        <v>52.3307</v>
      </c>
      <c r="G1182" s="16">
        <v>10.9554</v>
      </c>
      <c r="H1182" s="15"/>
      <c r="I1182" s="15"/>
    </row>
    <row r="1183">
      <c r="A1183" s="18">
        <v>45665.0</v>
      </c>
      <c r="B1183" s="16" t="s">
        <v>1995</v>
      </c>
      <c r="C1183" s="16" t="s">
        <v>969</v>
      </c>
      <c r="D1183" s="16" t="s">
        <v>707</v>
      </c>
      <c r="E1183" s="16">
        <v>2010.0</v>
      </c>
      <c r="F1183" s="16">
        <v>49.6846</v>
      </c>
      <c r="G1183" s="16">
        <v>12.0866</v>
      </c>
      <c r="H1183" s="15"/>
      <c r="I1183" s="15"/>
    </row>
    <row r="1184">
      <c r="A1184" s="18">
        <v>45665.0</v>
      </c>
      <c r="B1184" s="16" t="s">
        <v>1996</v>
      </c>
      <c r="C1184" s="16" t="s">
        <v>1609</v>
      </c>
      <c r="D1184" s="16" t="s">
        <v>707</v>
      </c>
      <c r="E1184" s="16">
        <v>2010.0</v>
      </c>
      <c r="F1184" s="16">
        <v>52.5595</v>
      </c>
      <c r="G1184" s="16">
        <v>13.6002</v>
      </c>
      <c r="H1184" s="15"/>
      <c r="I1184" s="15"/>
    </row>
    <row r="1185">
      <c r="A1185" s="18">
        <v>45665.0</v>
      </c>
      <c r="B1185" s="16" t="s">
        <v>1997</v>
      </c>
      <c r="C1185" s="16" t="s">
        <v>946</v>
      </c>
      <c r="D1185" s="16" t="s">
        <v>707</v>
      </c>
      <c r="E1185" s="16">
        <v>2010.0</v>
      </c>
      <c r="F1185" s="16">
        <v>48.8765</v>
      </c>
      <c r="G1185" s="16">
        <v>12.6625</v>
      </c>
      <c r="H1185" s="15"/>
      <c r="I1185" s="15"/>
    </row>
    <row r="1186">
      <c r="A1186" s="18">
        <v>45665.0</v>
      </c>
      <c r="B1186" s="16" t="s">
        <v>1998</v>
      </c>
      <c r="C1186" s="16" t="s">
        <v>951</v>
      </c>
      <c r="D1186" s="16" t="s">
        <v>707</v>
      </c>
      <c r="E1186" s="16">
        <v>2010.0</v>
      </c>
      <c r="F1186" s="16">
        <v>50.4274</v>
      </c>
      <c r="G1186" s="16">
        <v>10.7499</v>
      </c>
      <c r="H1186" s="15"/>
      <c r="I1186" s="15"/>
    </row>
    <row r="1187">
      <c r="A1187" s="18">
        <v>45665.0</v>
      </c>
      <c r="B1187" s="16" t="s">
        <v>1999</v>
      </c>
      <c r="C1187" s="16" t="s">
        <v>984</v>
      </c>
      <c r="D1187" s="16" t="s">
        <v>707</v>
      </c>
      <c r="E1187" s="16">
        <v>2010.0</v>
      </c>
      <c r="F1187" s="16">
        <v>54.5135</v>
      </c>
      <c r="G1187" s="16">
        <v>9.0929</v>
      </c>
      <c r="H1187" s="15"/>
      <c r="I1187" s="15"/>
    </row>
    <row r="1188">
      <c r="A1188" s="18">
        <v>45001.0</v>
      </c>
      <c r="B1188" s="16" t="s">
        <v>2000</v>
      </c>
      <c r="C1188" s="16">
        <v>1.0</v>
      </c>
      <c r="D1188" s="16" t="s">
        <v>707</v>
      </c>
      <c r="E1188" s="16">
        <v>2011.0</v>
      </c>
      <c r="F1188" s="16">
        <v>52.3615</v>
      </c>
      <c r="G1188" s="16">
        <v>14.4881</v>
      </c>
      <c r="H1188" s="15"/>
      <c r="I1188" s="15"/>
    </row>
    <row r="1189">
      <c r="A1189" s="18">
        <v>45001.0</v>
      </c>
      <c r="B1189" s="16" t="s">
        <v>2001</v>
      </c>
      <c r="C1189" s="16" t="s">
        <v>948</v>
      </c>
      <c r="D1189" s="16" t="s">
        <v>707</v>
      </c>
      <c r="E1189" s="16">
        <v>2011.0</v>
      </c>
      <c r="F1189" s="16">
        <v>48.4809</v>
      </c>
      <c r="G1189" s="16">
        <v>10.8305</v>
      </c>
      <c r="H1189" s="15"/>
      <c r="I1189" s="15"/>
    </row>
    <row r="1190">
      <c r="A1190" s="18">
        <v>45378.0</v>
      </c>
      <c r="B1190" s="16" t="s">
        <v>763</v>
      </c>
      <c r="C1190" s="16">
        <v>16.0</v>
      </c>
      <c r="D1190" s="16" t="s">
        <v>707</v>
      </c>
      <c r="E1190" s="16">
        <v>2011.0</v>
      </c>
      <c r="F1190" s="16">
        <v>52.8898</v>
      </c>
      <c r="G1190" s="16">
        <v>8.2308</v>
      </c>
      <c r="H1190" s="15"/>
      <c r="I1190" s="15"/>
    </row>
    <row r="1191">
      <c r="A1191" s="17">
        <v>45636.0</v>
      </c>
      <c r="B1191" s="16" t="s">
        <v>2002</v>
      </c>
      <c r="C1191" s="16" t="s">
        <v>1055</v>
      </c>
      <c r="D1191" s="16" t="s">
        <v>707</v>
      </c>
      <c r="E1191" s="16">
        <v>2011.0</v>
      </c>
      <c r="F1191" s="16">
        <v>52.377</v>
      </c>
      <c r="G1191" s="16">
        <v>9.0068</v>
      </c>
      <c r="H1191" s="15"/>
      <c r="I1191" s="15"/>
    </row>
    <row r="1192">
      <c r="A1192" s="18">
        <v>45665.0</v>
      </c>
      <c r="B1192" s="16" t="s">
        <v>2003</v>
      </c>
      <c r="C1192" s="16" t="s">
        <v>946</v>
      </c>
      <c r="D1192" s="16" t="s">
        <v>707</v>
      </c>
      <c r="E1192" s="16">
        <v>2011.0</v>
      </c>
      <c r="F1192" s="16">
        <v>51.3358</v>
      </c>
      <c r="G1192" s="16">
        <v>10.2584</v>
      </c>
      <c r="H1192" s="15"/>
      <c r="I1192" s="15"/>
    </row>
    <row r="1193">
      <c r="A1193" s="18">
        <v>45665.0</v>
      </c>
      <c r="B1193" s="16" t="s">
        <v>2004</v>
      </c>
      <c r="C1193" s="16" t="s">
        <v>946</v>
      </c>
      <c r="D1193" s="16" t="s">
        <v>707</v>
      </c>
      <c r="E1193" s="16">
        <v>2011.0</v>
      </c>
      <c r="F1193" s="16">
        <v>52.779</v>
      </c>
      <c r="G1193" s="16">
        <v>8.2802</v>
      </c>
      <c r="H1193" s="15"/>
      <c r="I1193" s="15"/>
    </row>
    <row r="1194">
      <c r="A1194" s="18">
        <v>45665.0</v>
      </c>
      <c r="B1194" s="16" t="s">
        <v>2005</v>
      </c>
      <c r="C1194" s="16" t="s">
        <v>948</v>
      </c>
      <c r="D1194" s="16" t="s">
        <v>707</v>
      </c>
      <c r="E1194" s="16">
        <v>2011.0</v>
      </c>
      <c r="F1194" s="16">
        <v>54.771</v>
      </c>
      <c r="G1194" s="16">
        <v>9.536</v>
      </c>
      <c r="H1194" s="15"/>
      <c r="I1194" s="15"/>
    </row>
    <row r="1195">
      <c r="A1195" s="18">
        <v>45665.0</v>
      </c>
      <c r="B1195" s="16" t="s">
        <v>2006</v>
      </c>
      <c r="C1195" s="16" t="s">
        <v>1046</v>
      </c>
      <c r="D1195" s="16" t="s">
        <v>707</v>
      </c>
      <c r="E1195" s="16">
        <v>2011.0</v>
      </c>
      <c r="F1195" s="16">
        <v>47.9097</v>
      </c>
      <c r="G1195" s="16">
        <v>10.2113</v>
      </c>
      <c r="H1195" s="15"/>
      <c r="I1195" s="15"/>
    </row>
    <row r="1196">
      <c r="A1196" s="18">
        <v>45665.0</v>
      </c>
      <c r="B1196" s="16" t="s">
        <v>2007</v>
      </c>
      <c r="C1196" s="16" t="s">
        <v>1771</v>
      </c>
      <c r="D1196" s="16" t="s">
        <v>707</v>
      </c>
      <c r="E1196" s="16">
        <v>2011.0</v>
      </c>
      <c r="F1196" s="16">
        <v>47.8138</v>
      </c>
      <c r="G1196" s="16">
        <v>8.9885</v>
      </c>
      <c r="H1196" s="15"/>
      <c r="I1196" s="15"/>
    </row>
    <row r="1197">
      <c r="A1197" s="18">
        <v>45665.0</v>
      </c>
      <c r="B1197" s="16" t="s">
        <v>2008</v>
      </c>
      <c r="C1197" s="16">
        <v>1.0</v>
      </c>
      <c r="D1197" s="16" t="s">
        <v>707</v>
      </c>
      <c r="E1197" s="16">
        <v>2011.0</v>
      </c>
      <c r="F1197" s="16">
        <v>50.9811</v>
      </c>
      <c r="G1197" s="16">
        <v>12.4169</v>
      </c>
      <c r="H1197" s="15"/>
      <c r="I1197" s="15"/>
    </row>
    <row r="1198">
      <c r="A1198" s="18">
        <v>45665.0</v>
      </c>
      <c r="B1198" s="16" t="s">
        <v>2009</v>
      </c>
      <c r="C1198" s="16">
        <v>1.0</v>
      </c>
      <c r="D1198" s="16" t="s">
        <v>707</v>
      </c>
      <c r="E1198" s="16">
        <v>2011.0</v>
      </c>
      <c r="F1198" s="16">
        <v>50.873</v>
      </c>
      <c r="G1198" s="16">
        <v>14.7421</v>
      </c>
      <c r="H1198" s="15"/>
      <c r="I1198" s="15"/>
    </row>
    <row r="1199">
      <c r="A1199" s="18">
        <v>45665.0</v>
      </c>
      <c r="B1199" s="16" t="s">
        <v>2010</v>
      </c>
      <c r="C1199" s="16" t="s">
        <v>971</v>
      </c>
      <c r="D1199" s="16" t="s">
        <v>707</v>
      </c>
      <c r="E1199" s="16">
        <v>2011.0</v>
      </c>
      <c r="F1199" s="16">
        <v>51.1108</v>
      </c>
      <c r="G1199" s="16">
        <v>14.6618</v>
      </c>
      <c r="H1199" s="15"/>
      <c r="I1199" s="15"/>
    </row>
    <row r="1200">
      <c r="A1200" s="18">
        <v>45665.0</v>
      </c>
      <c r="B1200" s="16" t="s">
        <v>2011</v>
      </c>
      <c r="C1200" s="16" t="s">
        <v>942</v>
      </c>
      <c r="D1200" s="16" t="s">
        <v>707</v>
      </c>
      <c r="E1200" s="16">
        <v>2011.0</v>
      </c>
      <c r="F1200" s="16">
        <v>51.1023</v>
      </c>
      <c r="G1200" s="16">
        <v>14.6644</v>
      </c>
      <c r="H1200" s="15"/>
      <c r="I1200" s="15"/>
    </row>
    <row r="1201">
      <c r="A1201" s="18">
        <v>45665.0</v>
      </c>
      <c r="B1201" s="16" t="s">
        <v>2012</v>
      </c>
      <c r="C1201" s="16" t="s">
        <v>959</v>
      </c>
      <c r="D1201" s="16" t="s">
        <v>707</v>
      </c>
      <c r="E1201" s="16">
        <v>2011.0</v>
      </c>
      <c r="F1201" s="16">
        <v>51.0008</v>
      </c>
      <c r="G1201" s="16">
        <v>9.4827</v>
      </c>
      <c r="H1201" s="15"/>
      <c r="I1201" s="15"/>
    </row>
    <row r="1202">
      <c r="A1202" s="18">
        <v>45665.0</v>
      </c>
      <c r="B1202" s="16" t="s">
        <v>2013</v>
      </c>
      <c r="C1202" s="16" t="s">
        <v>971</v>
      </c>
      <c r="D1202" s="16" t="s">
        <v>707</v>
      </c>
      <c r="E1202" s="16">
        <v>2011.0</v>
      </c>
      <c r="F1202" s="16">
        <v>48.0495</v>
      </c>
      <c r="G1202" s="16">
        <v>7.8513</v>
      </c>
      <c r="H1202" s="15"/>
      <c r="I1202" s="15"/>
    </row>
    <row r="1203">
      <c r="A1203" s="18">
        <v>45665.0</v>
      </c>
      <c r="B1203" s="16" t="s">
        <v>2014</v>
      </c>
      <c r="C1203" s="16">
        <v>6.0</v>
      </c>
      <c r="D1203" s="16" t="s">
        <v>707</v>
      </c>
      <c r="E1203" s="16">
        <v>2011.0</v>
      </c>
      <c r="F1203" s="16">
        <v>52.6547</v>
      </c>
      <c r="G1203" s="16">
        <v>14.1041</v>
      </c>
      <c r="H1203" s="15"/>
      <c r="I1203" s="15"/>
    </row>
    <row r="1204">
      <c r="A1204" s="18">
        <v>45665.0</v>
      </c>
      <c r="B1204" s="16" t="s">
        <v>2015</v>
      </c>
      <c r="C1204" s="16" t="s">
        <v>948</v>
      </c>
      <c r="D1204" s="16" t="s">
        <v>707</v>
      </c>
      <c r="E1204" s="16">
        <v>2011.0</v>
      </c>
      <c r="F1204" s="16">
        <v>51.9269</v>
      </c>
      <c r="G1204" s="16">
        <v>14.2433</v>
      </c>
      <c r="H1204" s="15"/>
      <c r="I1204" s="15"/>
    </row>
    <row r="1205">
      <c r="A1205" s="18">
        <v>45665.0</v>
      </c>
      <c r="B1205" s="16" t="s">
        <v>2016</v>
      </c>
      <c r="C1205" s="16" t="s">
        <v>2017</v>
      </c>
      <c r="D1205" s="16" t="s">
        <v>707</v>
      </c>
      <c r="E1205" s="16">
        <v>2011.0</v>
      </c>
      <c r="F1205" s="16">
        <v>49.6509</v>
      </c>
      <c r="G1205" s="16">
        <v>9.5811</v>
      </c>
      <c r="H1205" s="15"/>
      <c r="I1205" s="15"/>
    </row>
    <row r="1206">
      <c r="A1206" s="18">
        <v>45665.0</v>
      </c>
      <c r="B1206" s="16" t="s">
        <v>2018</v>
      </c>
      <c r="C1206" s="16" t="s">
        <v>948</v>
      </c>
      <c r="D1206" s="16" t="s">
        <v>707</v>
      </c>
      <c r="E1206" s="16">
        <v>2011.0</v>
      </c>
      <c r="F1206" s="16">
        <v>52.3596</v>
      </c>
      <c r="G1206" s="16">
        <v>14.516</v>
      </c>
      <c r="H1206" s="15"/>
      <c r="I1206" s="15"/>
    </row>
    <row r="1207">
      <c r="A1207" s="18">
        <v>45665.0</v>
      </c>
      <c r="B1207" s="16" t="s">
        <v>2019</v>
      </c>
      <c r="C1207" s="16" t="s">
        <v>1055</v>
      </c>
      <c r="D1207" s="16" t="s">
        <v>707</v>
      </c>
      <c r="E1207" s="16">
        <v>2011.0</v>
      </c>
      <c r="F1207" s="16">
        <v>51.9269</v>
      </c>
      <c r="G1207" s="16">
        <v>14.2433</v>
      </c>
      <c r="H1207" s="15"/>
      <c r="I1207" s="15"/>
    </row>
    <row r="1208">
      <c r="A1208" s="18">
        <v>45665.0</v>
      </c>
      <c r="B1208" s="16" t="s">
        <v>2020</v>
      </c>
      <c r="C1208" s="16" t="s">
        <v>969</v>
      </c>
      <c r="D1208" s="16" t="s">
        <v>707</v>
      </c>
      <c r="E1208" s="16">
        <v>2011.0</v>
      </c>
      <c r="F1208" s="16">
        <v>48.3093</v>
      </c>
      <c r="G1208" s="16">
        <v>10.8683</v>
      </c>
      <c r="H1208" s="15"/>
      <c r="I1208" s="15"/>
    </row>
    <row r="1209">
      <c r="A1209" s="18">
        <v>45665.0</v>
      </c>
      <c r="B1209" s="16" t="s">
        <v>2021</v>
      </c>
      <c r="C1209" s="16" t="s">
        <v>1101</v>
      </c>
      <c r="D1209" s="16" t="s">
        <v>707</v>
      </c>
      <c r="E1209" s="16">
        <v>2011.0</v>
      </c>
      <c r="F1209" s="16">
        <v>49.9806</v>
      </c>
      <c r="G1209" s="16">
        <v>6.3513</v>
      </c>
      <c r="H1209" s="15"/>
      <c r="I1209" s="15"/>
    </row>
    <row r="1210">
      <c r="A1210" s="18">
        <v>45665.0</v>
      </c>
      <c r="B1210" s="16" t="s">
        <v>2022</v>
      </c>
      <c r="C1210" s="16">
        <v>1.0</v>
      </c>
      <c r="D1210" s="16" t="s">
        <v>707</v>
      </c>
      <c r="E1210" s="16">
        <v>2011.0</v>
      </c>
      <c r="F1210" s="16">
        <v>50.4088</v>
      </c>
      <c r="G1210" s="16">
        <v>10.263</v>
      </c>
      <c r="H1210" s="15"/>
      <c r="I1210" s="15"/>
    </row>
    <row r="1211">
      <c r="A1211" s="18">
        <v>45665.0</v>
      </c>
      <c r="B1211" s="16" t="s">
        <v>2023</v>
      </c>
      <c r="C1211" s="16" t="s">
        <v>1059</v>
      </c>
      <c r="D1211" s="16" t="s">
        <v>707</v>
      </c>
      <c r="E1211" s="16">
        <v>2011.0</v>
      </c>
      <c r="F1211" s="16">
        <v>51.0376</v>
      </c>
      <c r="G1211" s="16">
        <v>11.5358</v>
      </c>
      <c r="H1211" s="15"/>
      <c r="I1211" s="15"/>
    </row>
    <row r="1212">
      <c r="A1212" s="18">
        <v>45665.0</v>
      </c>
      <c r="B1212" s="16" t="s">
        <v>2024</v>
      </c>
      <c r="C1212" s="16" t="s">
        <v>1055</v>
      </c>
      <c r="D1212" s="16" t="s">
        <v>707</v>
      </c>
      <c r="E1212" s="16">
        <v>2011.0</v>
      </c>
      <c r="F1212" s="16">
        <v>50.0933</v>
      </c>
      <c r="G1212" s="16">
        <v>6.2594</v>
      </c>
      <c r="H1212" s="15"/>
      <c r="I1212" s="15"/>
    </row>
    <row r="1213">
      <c r="A1213" s="18">
        <v>45665.0</v>
      </c>
      <c r="B1213" s="16" t="s">
        <v>2025</v>
      </c>
      <c r="C1213" s="16" t="s">
        <v>969</v>
      </c>
      <c r="D1213" s="16" t="s">
        <v>707</v>
      </c>
      <c r="E1213" s="16">
        <v>2011.0</v>
      </c>
      <c r="F1213" s="16">
        <v>48.1861</v>
      </c>
      <c r="G1213" s="16">
        <v>11.715</v>
      </c>
      <c r="H1213" s="15"/>
      <c r="I1213" s="15"/>
    </row>
    <row r="1214">
      <c r="A1214" s="18">
        <v>45665.0</v>
      </c>
      <c r="B1214" s="16" t="s">
        <v>2026</v>
      </c>
      <c r="C1214" s="16" t="s">
        <v>1101</v>
      </c>
      <c r="D1214" s="16" t="s">
        <v>707</v>
      </c>
      <c r="E1214" s="16">
        <v>2011.0</v>
      </c>
      <c r="F1214" s="16">
        <v>50.8244</v>
      </c>
      <c r="G1214" s="16">
        <v>10.2654</v>
      </c>
      <c r="H1214" s="15"/>
      <c r="I1214" s="15"/>
    </row>
    <row r="1215">
      <c r="A1215" s="18">
        <v>45665.0</v>
      </c>
      <c r="B1215" s="16" t="s">
        <v>2027</v>
      </c>
      <c r="C1215" s="16">
        <v>8.0</v>
      </c>
      <c r="D1215" s="16" t="s">
        <v>707</v>
      </c>
      <c r="E1215" s="16">
        <v>2011.0</v>
      </c>
      <c r="F1215" s="16">
        <v>52.4774</v>
      </c>
      <c r="G1215" s="16">
        <v>12.9675</v>
      </c>
      <c r="H1215" s="15"/>
      <c r="I1215" s="15"/>
    </row>
    <row r="1216">
      <c r="A1216" s="18">
        <v>45665.0</v>
      </c>
      <c r="B1216" s="16" t="s">
        <v>2028</v>
      </c>
      <c r="C1216" s="16" t="s">
        <v>1099</v>
      </c>
      <c r="D1216" s="16" t="s">
        <v>707</v>
      </c>
      <c r="E1216" s="16">
        <v>2011.0</v>
      </c>
      <c r="F1216" s="16">
        <v>51.9879</v>
      </c>
      <c r="G1216" s="16">
        <v>11.8704</v>
      </c>
      <c r="H1216" s="15"/>
      <c r="I1216" s="15"/>
    </row>
    <row r="1217">
      <c r="A1217" s="18">
        <v>45665.0</v>
      </c>
      <c r="B1217" s="16" t="s">
        <v>2029</v>
      </c>
      <c r="C1217" s="16" t="s">
        <v>946</v>
      </c>
      <c r="D1217" s="16" t="s">
        <v>707</v>
      </c>
      <c r="E1217" s="16">
        <v>2011.0</v>
      </c>
      <c r="F1217" s="16">
        <v>51.1311</v>
      </c>
      <c r="G1217" s="16">
        <v>13.5591</v>
      </c>
      <c r="H1217" s="15"/>
      <c r="I1217" s="15"/>
    </row>
    <row r="1218">
      <c r="A1218" s="18">
        <v>45665.0</v>
      </c>
      <c r="B1218" s="16" t="s">
        <v>2030</v>
      </c>
      <c r="C1218" s="16" t="s">
        <v>951</v>
      </c>
      <c r="D1218" s="16" t="s">
        <v>707</v>
      </c>
      <c r="E1218" s="16">
        <v>2011.0</v>
      </c>
      <c r="F1218" s="16">
        <v>53.7289</v>
      </c>
      <c r="G1218" s="16">
        <v>14.1036</v>
      </c>
      <c r="H1218" s="15"/>
      <c r="I1218" s="15"/>
    </row>
    <row r="1219">
      <c r="A1219" s="18">
        <v>45665.0</v>
      </c>
      <c r="B1219" s="16" t="s">
        <v>2031</v>
      </c>
      <c r="C1219" s="16" t="s">
        <v>1099</v>
      </c>
      <c r="D1219" s="16" t="s">
        <v>707</v>
      </c>
      <c r="E1219" s="16">
        <v>2011.0</v>
      </c>
      <c r="F1219" s="16">
        <v>51.31</v>
      </c>
      <c r="G1219" s="16">
        <v>11.9587</v>
      </c>
      <c r="H1219" s="15"/>
      <c r="I1219" s="15"/>
    </row>
    <row r="1220">
      <c r="A1220" s="18">
        <v>45665.0</v>
      </c>
      <c r="B1220" s="16" t="s">
        <v>2032</v>
      </c>
      <c r="C1220" s="16" t="s">
        <v>982</v>
      </c>
      <c r="D1220" s="16" t="s">
        <v>707</v>
      </c>
      <c r="E1220" s="16">
        <v>2011.0</v>
      </c>
      <c r="F1220" s="16">
        <v>51.3316</v>
      </c>
      <c r="G1220" s="16">
        <v>12.6475</v>
      </c>
      <c r="H1220" s="15"/>
      <c r="I1220" s="15"/>
    </row>
    <row r="1221">
      <c r="A1221" s="18">
        <v>45665.0</v>
      </c>
      <c r="B1221" s="16" t="s">
        <v>2033</v>
      </c>
      <c r="C1221" s="16" t="s">
        <v>971</v>
      </c>
      <c r="D1221" s="16" t="s">
        <v>707</v>
      </c>
      <c r="E1221" s="16">
        <v>2011.0</v>
      </c>
      <c r="F1221" s="16">
        <v>51.3315</v>
      </c>
      <c r="G1221" s="16">
        <v>12.6478</v>
      </c>
      <c r="H1221" s="15"/>
      <c r="I1221" s="15"/>
    </row>
    <row r="1222">
      <c r="A1222" s="18">
        <v>45665.0</v>
      </c>
      <c r="B1222" s="16" t="s">
        <v>2034</v>
      </c>
      <c r="C1222" s="16" t="s">
        <v>1096</v>
      </c>
      <c r="D1222" s="16" t="s">
        <v>707</v>
      </c>
      <c r="E1222" s="16">
        <v>2011.0</v>
      </c>
      <c r="F1222" s="16">
        <v>51.3319</v>
      </c>
      <c r="G1222" s="16">
        <v>12.6494</v>
      </c>
      <c r="H1222" s="15"/>
      <c r="I1222" s="15"/>
    </row>
    <row r="1223">
      <c r="A1223" s="18">
        <v>45665.0</v>
      </c>
      <c r="B1223" s="16" t="s">
        <v>2035</v>
      </c>
      <c r="C1223" s="16" t="s">
        <v>948</v>
      </c>
      <c r="D1223" s="16" t="s">
        <v>707</v>
      </c>
      <c r="E1223" s="16">
        <v>2011.0</v>
      </c>
      <c r="F1223" s="16">
        <v>51.8068</v>
      </c>
      <c r="G1223" s="16">
        <v>9.2</v>
      </c>
      <c r="H1223" s="15"/>
      <c r="I1223" s="15"/>
    </row>
    <row r="1224">
      <c r="A1224" s="18">
        <v>45665.0</v>
      </c>
      <c r="B1224" s="16" t="s">
        <v>2036</v>
      </c>
      <c r="C1224" s="16" t="s">
        <v>1011</v>
      </c>
      <c r="D1224" s="16" t="s">
        <v>707</v>
      </c>
      <c r="E1224" s="16">
        <v>2011.0</v>
      </c>
      <c r="F1224" s="16">
        <v>54.7994</v>
      </c>
      <c r="G1224" s="16">
        <v>8.8215</v>
      </c>
      <c r="H1224" s="15"/>
      <c r="I1224" s="15"/>
    </row>
    <row r="1225">
      <c r="A1225" s="18">
        <v>45665.0</v>
      </c>
      <c r="B1225" s="16" t="s">
        <v>2037</v>
      </c>
      <c r="C1225" s="16" t="s">
        <v>969</v>
      </c>
      <c r="D1225" s="16" t="s">
        <v>707</v>
      </c>
      <c r="E1225" s="16">
        <v>2011.0</v>
      </c>
      <c r="F1225" s="16">
        <v>47.8146</v>
      </c>
      <c r="G1225" s="16">
        <v>8.9903</v>
      </c>
      <c r="H1225" s="15"/>
      <c r="I1225" s="15"/>
    </row>
    <row r="1226">
      <c r="A1226" s="18">
        <v>45665.0</v>
      </c>
      <c r="B1226" s="16" t="s">
        <v>2038</v>
      </c>
      <c r="C1226" s="16" t="s">
        <v>1059</v>
      </c>
      <c r="D1226" s="16" t="s">
        <v>707</v>
      </c>
      <c r="E1226" s="16">
        <v>2011.0</v>
      </c>
      <c r="F1226" s="16">
        <v>48.0</v>
      </c>
      <c r="G1226" s="16">
        <v>12.001</v>
      </c>
      <c r="H1226" s="15"/>
      <c r="I1226" s="15"/>
    </row>
    <row r="1227">
      <c r="A1227" s="18">
        <v>45665.0</v>
      </c>
      <c r="B1227" s="16" t="s">
        <v>2039</v>
      </c>
      <c r="C1227" s="16" t="s">
        <v>982</v>
      </c>
      <c r="D1227" s="16" t="s">
        <v>707</v>
      </c>
      <c r="E1227" s="16">
        <v>2011.0</v>
      </c>
      <c r="F1227" s="16">
        <v>49.7655</v>
      </c>
      <c r="G1227" s="16">
        <v>9.6664</v>
      </c>
      <c r="H1227" s="15"/>
      <c r="I1227" s="15"/>
    </row>
    <row r="1228">
      <c r="A1228" s="18">
        <v>45665.0</v>
      </c>
      <c r="B1228" s="16" t="s">
        <v>2040</v>
      </c>
      <c r="C1228" s="16" t="s">
        <v>1059</v>
      </c>
      <c r="D1228" s="16" t="s">
        <v>707</v>
      </c>
      <c r="E1228" s="16">
        <v>2011.0</v>
      </c>
      <c r="F1228" s="16">
        <v>53.8702</v>
      </c>
      <c r="G1228" s="16">
        <v>11.1604</v>
      </c>
      <c r="H1228" s="15"/>
      <c r="I1228" s="15"/>
    </row>
    <row r="1229">
      <c r="A1229" s="18">
        <v>45665.0</v>
      </c>
      <c r="B1229" s="16" t="s">
        <v>2041</v>
      </c>
      <c r="C1229" s="16" t="s">
        <v>990</v>
      </c>
      <c r="D1229" s="16" t="s">
        <v>707</v>
      </c>
      <c r="E1229" s="16">
        <v>2011.0</v>
      </c>
      <c r="F1229" s="16">
        <v>50.8038</v>
      </c>
      <c r="G1229" s="16">
        <v>6.2117</v>
      </c>
      <c r="H1229" s="15"/>
      <c r="I1229" s="15"/>
    </row>
    <row r="1230">
      <c r="A1230" s="18">
        <v>45665.0</v>
      </c>
      <c r="B1230" s="16" t="s">
        <v>2042</v>
      </c>
      <c r="C1230" s="16" t="s">
        <v>942</v>
      </c>
      <c r="D1230" s="16" t="s">
        <v>707</v>
      </c>
      <c r="E1230" s="16">
        <v>2011.0</v>
      </c>
      <c r="F1230" s="16">
        <v>51.595</v>
      </c>
      <c r="G1230" s="16">
        <v>11.816</v>
      </c>
      <c r="H1230" s="15"/>
      <c r="I1230" s="15"/>
    </row>
    <row r="1231">
      <c r="A1231" s="18">
        <v>45665.0</v>
      </c>
      <c r="B1231" s="16" t="s">
        <v>2043</v>
      </c>
      <c r="C1231" s="16" t="s">
        <v>984</v>
      </c>
      <c r="D1231" s="16" t="s">
        <v>707</v>
      </c>
      <c r="E1231" s="16">
        <v>2011.0</v>
      </c>
      <c r="F1231" s="16">
        <v>50.8504</v>
      </c>
      <c r="G1231" s="16">
        <v>9.7338</v>
      </c>
      <c r="H1231" s="15"/>
      <c r="I1231" s="15"/>
    </row>
    <row r="1232">
      <c r="A1232" s="18">
        <v>45665.0</v>
      </c>
      <c r="B1232" s="16" t="s">
        <v>2044</v>
      </c>
      <c r="C1232" s="16" t="s">
        <v>1037</v>
      </c>
      <c r="D1232" s="16" t="s">
        <v>707</v>
      </c>
      <c r="E1232" s="16">
        <v>2011.0</v>
      </c>
      <c r="F1232" s="16">
        <v>52.0387</v>
      </c>
      <c r="G1232" s="16">
        <v>8.9946</v>
      </c>
      <c r="H1232" s="15"/>
      <c r="I1232" s="15"/>
    </row>
    <row r="1233">
      <c r="A1233" s="18">
        <v>45665.0</v>
      </c>
      <c r="B1233" s="16" t="s">
        <v>2045</v>
      </c>
      <c r="C1233" s="16">
        <v>1.0</v>
      </c>
      <c r="D1233" s="16" t="s">
        <v>707</v>
      </c>
      <c r="E1233" s="16">
        <v>2011.0</v>
      </c>
      <c r="F1233" s="16">
        <v>51.5749</v>
      </c>
      <c r="G1233" s="16">
        <v>9.7582</v>
      </c>
      <c r="H1233" s="15"/>
      <c r="I1233" s="15"/>
    </row>
    <row r="1234">
      <c r="A1234" s="18">
        <v>45665.0</v>
      </c>
      <c r="B1234" s="16" t="s">
        <v>2046</v>
      </c>
      <c r="C1234" s="16" t="s">
        <v>1011</v>
      </c>
      <c r="D1234" s="16" t="s">
        <v>707</v>
      </c>
      <c r="E1234" s="16">
        <v>2011.0</v>
      </c>
      <c r="F1234" s="16">
        <v>53.3566</v>
      </c>
      <c r="G1234" s="16">
        <v>13.7913</v>
      </c>
      <c r="H1234" s="15"/>
      <c r="I1234" s="15"/>
    </row>
    <row r="1235">
      <c r="A1235" s="18">
        <v>45665.0</v>
      </c>
      <c r="B1235" s="16" t="s">
        <v>2047</v>
      </c>
      <c r="C1235" s="16" t="s">
        <v>951</v>
      </c>
      <c r="D1235" s="16" t="s">
        <v>707</v>
      </c>
      <c r="E1235" s="16">
        <v>2011.0</v>
      </c>
      <c r="F1235" s="16">
        <v>49.3444</v>
      </c>
      <c r="G1235" s="16">
        <v>12.0455</v>
      </c>
      <c r="H1235" s="15"/>
      <c r="I1235" s="15"/>
    </row>
    <row r="1236">
      <c r="A1236" s="18">
        <v>45665.0</v>
      </c>
      <c r="B1236" s="16" t="s">
        <v>2048</v>
      </c>
      <c r="C1236" s="16" t="s">
        <v>969</v>
      </c>
      <c r="D1236" s="16" t="s">
        <v>707</v>
      </c>
      <c r="E1236" s="16">
        <v>2011.0</v>
      </c>
      <c r="F1236" s="16">
        <v>50.3256</v>
      </c>
      <c r="G1236" s="16">
        <v>8.5049</v>
      </c>
      <c r="H1236" s="15"/>
      <c r="I1236" s="15"/>
    </row>
    <row r="1237">
      <c r="A1237" s="18">
        <v>45665.0</v>
      </c>
      <c r="B1237" s="16" t="s">
        <v>2049</v>
      </c>
      <c r="C1237" s="16" t="s">
        <v>969</v>
      </c>
      <c r="D1237" s="16" t="s">
        <v>707</v>
      </c>
      <c r="E1237" s="16">
        <v>2011.0</v>
      </c>
      <c r="F1237" s="16">
        <v>52.1774</v>
      </c>
      <c r="G1237" s="16">
        <v>12.6387</v>
      </c>
      <c r="H1237" s="15"/>
      <c r="I1237" s="15"/>
    </row>
    <row r="1238">
      <c r="A1238" s="18">
        <v>45665.0</v>
      </c>
      <c r="B1238" s="16" t="s">
        <v>2050</v>
      </c>
      <c r="C1238" s="16">
        <v>1.0</v>
      </c>
      <c r="D1238" s="16" t="s">
        <v>707</v>
      </c>
      <c r="E1238" s="16">
        <v>2011.0</v>
      </c>
      <c r="F1238" s="16">
        <v>50.8546</v>
      </c>
      <c r="G1238" s="16">
        <v>6.4407</v>
      </c>
      <c r="H1238" s="15"/>
      <c r="I1238" s="15"/>
    </row>
    <row r="1239">
      <c r="A1239" s="18">
        <v>45665.0</v>
      </c>
      <c r="B1239" s="16" t="s">
        <v>2051</v>
      </c>
      <c r="C1239" s="16" t="s">
        <v>1090</v>
      </c>
      <c r="D1239" s="16" t="s">
        <v>707</v>
      </c>
      <c r="E1239" s="16">
        <v>2011.0</v>
      </c>
      <c r="F1239" s="16">
        <v>50.874</v>
      </c>
      <c r="G1239" s="16">
        <v>11.7855</v>
      </c>
      <c r="H1239" s="15"/>
      <c r="I1239" s="15"/>
    </row>
    <row r="1240">
      <c r="A1240" s="18">
        <v>45665.0</v>
      </c>
      <c r="B1240" s="16" t="s">
        <v>2052</v>
      </c>
      <c r="C1240" s="16" t="s">
        <v>1215</v>
      </c>
      <c r="D1240" s="16" t="s">
        <v>707</v>
      </c>
      <c r="E1240" s="16">
        <v>2011.0</v>
      </c>
      <c r="F1240" s="16">
        <v>51.5484</v>
      </c>
      <c r="G1240" s="16">
        <v>12.3421</v>
      </c>
      <c r="H1240" s="15"/>
      <c r="I1240" s="15"/>
    </row>
    <row r="1241">
      <c r="A1241" s="18">
        <v>45665.0</v>
      </c>
      <c r="B1241" s="16" t="s">
        <v>2053</v>
      </c>
      <c r="C1241" s="16" t="s">
        <v>1004</v>
      </c>
      <c r="D1241" s="16" t="s">
        <v>707</v>
      </c>
      <c r="E1241" s="16">
        <v>2011.0</v>
      </c>
      <c r="F1241" s="16">
        <v>51.5482</v>
      </c>
      <c r="G1241" s="16">
        <v>12.3457</v>
      </c>
      <c r="H1241" s="15"/>
      <c r="I1241" s="15"/>
    </row>
    <row r="1242">
      <c r="A1242" s="18">
        <v>45665.0</v>
      </c>
      <c r="B1242" s="16" t="s">
        <v>2054</v>
      </c>
      <c r="C1242" s="16" t="s">
        <v>942</v>
      </c>
      <c r="D1242" s="16" t="s">
        <v>707</v>
      </c>
      <c r="E1242" s="16">
        <v>2011.0</v>
      </c>
      <c r="F1242" s="16">
        <v>51.8827</v>
      </c>
      <c r="G1242" s="16">
        <v>8.9519</v>
      </c>
      <c r="H1242" s="15"/>
      <c r="I1242" s="15"/>
    </row>
    <row r="1243">
      <c r="A1243" s="18">
        <v>45665.0</v>
      </c>
      <c r="B1243" s="16" t="s">
        <v>2055</v>
      </c>
      <c r="C1243" s="16" t="s">
        <v>948</v>
      </c>
      <c r="D1243" s="16" t="s">
        <v>707</v>
      </c>
      <c r="E1243" s="16">
        <v>2011.0</v>
      </c>
      <c r="F1243" s="16">
        <v>51.3173</v>
      </c>
      <c r="G1243" s="16">
        <v>11.161</v>
      </c>
      <c r="H1243" s="15"/>
      <c r="I1243" s="15"/>
    </row>
    <row r="1244">
      <c r="A1244" s="18">
        <v>45665.0</v>
      </c>
      <c r="B1244" s="16" t="s">
        <v>2056</v>
      </c>
      <c r="C1244" s="16" t="s">
        <v>946</v>
      </c>
      <c r="D1244" s="16" t="s">
        <v>707</v>
      </c>
      <c r="E1244" s="16">
        <v>2011.0</v>
      </c>
      <c r="F1244" s="16">
        <v>51.3495</v>
      </c>
      <c r="G1244" s="16">
        <v>11.6339</v>
      </c>
      <c r="H1244" s="15"/>
      <c r="I1244" s="15"/>
    </row>
    <row r="1245">
      <c r="A1245" s="18">
        <v>45665.0</v>
      </c>
      <c r="B1245" s="16" t="s">
        <v>2057</v>
      </c>
      <c r="C1245" s="16" t="s">
        <v>959</v>
      </c>
      <c r="D1245" s="16" t="s">
        <v>707</v>
      </c>
      <c r="E1245" s="16">
        <v>2011.0</v>
      </c>
      <c r="F1245" s="16">
        <v>51.4272</v>
      </c>
      <c r="G1245" s="16">
        <v>10.7183</v>
      </c>
      <c r="H1245" s="15"/>
      <c r="I1245" s="15"/>
    </row>
    <row r="1246">
      <c r="A1246" s="18">
        <v>45665.0</v>
      </c>
      <c r="B1246" s="16" t="s">
        <v>2058</v>
      </c>
      <c r="C1246" s="16" t="s">
        <v>942</v>
      </c>
      <c r="D1246" s="16" t="s">
        <v>707</v>
      </c>
      <c r="E1246" s="16">
        <v>2011.0</v>
      </c>
      <c r="F1246" s="16">
        <v>49.2688</v>
      </c>
      <c r="G1246" s="16">
        <v>9.0567</v>
      </c>
      <c r="H1246" s="15"/>
      <c r="I1246" s="15"/>
    </row>
    <row r="1247">
      <c r="A1247" s="18">
        <v>45665.0</v>
      </c>
      <c r="B1247" s="16" t="s">
        <v>2059</v>
      </c>
      <c r="C1247" s="16" t="s">
        <v>942</v>
      </c>
      <c r="D1247" s="16" t="s">
        <v>707</v>
      </c>
      <c r="E1247" s="16">
        <v>2011.0</v>
      </c>
      <c r="F1247" s="16">
        <v>49.2673</v>
      </c>
      <c r="G1247" s="16">
        <v>9.0587</v>
      </c>
      <c r="H1247" s="15"/>
      <c r="I1247" s="15"/>
    </row>
    <row r="1248">
      <c r="A1248" s="18">
        <v>45665.0</v>
      </c>
      <c r="B1248" s="16" t="s">
        <v>2060</v>
      </c>
      <c r="C1248" s="16" t="s">
        <v>1080</v>
      </c>
      <c r="D1248" s="16" t="s">
        <v>707</v>
      </c>
      <c r="E1248" s="16">
        <v>2011.0</v>
      </c>
      <c r="F1248" s="16">
        <v>54.6273</v>
      </c>
      <c r="G1248" s="16">
        <v>9.3493</v>
      </c>
      <c r="H1248" s="15"/>
      <c r="I1248" s="15"/>
    </row>
    <row r="1249">
      <c r="A1249" s="18">
        <v>45665.0</v>
      </c>
      <c r="B1249" s="16" t="s">
        <v>2061</v>
      </c>
      <c r="C1249" s="16" t="s">
        <v>1475</v>
      </c>
      <c r="D1249" s="16" t="s">
        <v>707</v>
      </c>
      <c r="E1249" s="16">
        <v>2011.0</v>
      </c>
      <c r="F1249" s="16">
        <v>54.6273</v>
      </c>
      <c r="G1249" s="16">
        <v>9.3493</v>
      </c>
      <c r="H1249" s="15"/>
      <c r="I1249" s="15"/>
    </row>
    <row r="1250">
      <c r="A1250" s="18">
        <v>45665.0</v>
      </c>
      <c r="B1250" s="16" t="s">
        <v>2062</v>
      </c>
      <c r="C1250" s="16" t="s">
        <v>1282</v>
      </c>
      <c r="D1250" s="16" t="s">
        <v>707</v>
      </c>
      <c r="E1250" s="16">
        <v>2011.0</v>
      </c>
      <c r="F1250" s="16">
        <v>54.6273</v>
      </c>
      <c r="G1250" s="16">
        <v>9.3493</v>
      </c>
      <c r="H1250" s="15"/>
      <c r="I1250" s="15"/>
    </row>
    <row r="1251">
      <c r="A1251" s="18">
        <v>45665.0</v>
      </c>
      <c r="B1251" s="16" t="s">
        <v>2063</v>
      </c>
      <c r="C1251" s="16" t="s">
        <v>1282</v>
      </c>
      <c r="D1251" s="16" t="s">
        <v>707</v>
      </c>
      <c r="E1251" s="16">
        <v>2011.0</v>
      </c>
      <c r="F1251" s="16">
        <v>54.6273</v>
      </c>
      <c r="G1251" s="16">
        <v>9.3493</v>
      </c>
      <c r="H1251" s="15"/>
      <c r="I1251" s="15"/>
    </row>
    <row r="1252">
      <c r="A1252" s="18">
        <v>45665.0</v>
      </c>
      <c r="B1252" s="16" t="s">
        <v>2064</v>
      </c>
      <c r="C1252" s="16" t="s">
        <v>1609</v>
      </c>
      <c r="D1252" s="16" t="s">
        <v>707</v>
      </c>
      <c r="E1252" s="16">
        <v>2011.0</v>
      </c>
      <c r="F1252" s="16">
        <v>54.6273</v>
      </c>
      <c r="G1252" s="16">
        <v>9.3493</v>
      </c>
      <c r="H1252" s="15"/>
      <c r="I1252" s="15"/>
    </row>
    <row r="1253">
      <c r="A1253" s="18">
        <v>45665.0</v>
      </c>
      <c r="B1253" s="16" t="s">
        <v>2065</v>
      </c>
      <c r="C1253" s="16" t="s">
        <v>1475</v>
      </c>
      <c r="D1253" s="16" t="s">
        <v>707</v>
      </c>
      <c r="E1253" s="16">
        <v>2011.0</v>
      </c>
      <c r="F1253" s="16">
        <v>54.6273</v>
      </c>
      <c r="G1253" s="16">
        <v>9.3493</v>
      </c>
      <c r="H1253" s="15"/>
      <c r="I1253" s="15"/>
    </row>
    <row r="1254">
      <c r="A1254" s="18">
        <v>45665.0</v>
      </c>
      <c r="B1254" s="16" t="s">
        <v>2066</v>
      </c>
      <c r="C1254" s="16" t="s">
        <v>1094</v>
      </c>
      <c r="D1254" s="16" t="s">
        <v>707</v>
      </c>
      <c r="E1254" s="16">
        <v>2011.0</v>
      </c>
      <c r="F1254" s="16">
        <v>54.6273</v>
      </c>
      <c r="G1254" s="16">
        <v>9.3493</v>
      </c>
      <c r="H1254" s="15"/>
      <c r="I1254" s="15"/>
    </row>
    <row r="1255">
      <c r="A1255" s="18">
        <v>45665.0</v>
      </c>
      <c r="B1255" s="16" t="s">
        <v>2067</v>
      </c>
      <c r="C1255" s="16" t="s">
        <v>1609</v>
      </c>
      <c r="D1255" s="16" t="s">
        <v>707</v>
      </c>
      <c r="E1255" s="16">
        <v>2011.0</v>
      </c>
      <c r="F1255" s="16">
        <v>54.6273</v>
      </c>
      <c r="G1255" s="16">
        <v>9.3493</v>
      </c>
      <c r="H1255" s="15"/>
      <c r="I1255" s="15"/>
    </row>
    <row r="1256">
      <c r="A1256" s="18">
        <v>45665.0</v>
      </c>
      <c r="B1256" s="16" t="s">
        <v>2068</v>
      </c>
      <c r="C1256" s="16" t="s">
        <v>1609</v>
      </c>
      <c r="D1256" s="16" t="s">
        <v>707</v>
      </c>
      <c r="E1256" s="16">
        <v>2011.0</v>
      </c>
      <c r="F1256" s="16">
        <v>54.6273</v>
      </c>
      <c r="G1256" s="16">
        <v>9.3493</v>
      </c>
      <c r="H1256" s="15"/>
      <c r="I1256" s="15"/>
    </row>
    <row r="1257">
      <c r="A1257" s="18">
        <v>45665.0</v>
      </c>
      <c r="B1257" s="16" t="s">
        <v>2069</v>
      </c>
      <c r="C1257" s="16" t="s">
        <v>1475</v>
      </c>
      <c r="D1257" s="16" t="s">
        <v>707</v>
      </c>
      <c r="E1257" s="16">
        <v>2011.0</v>
      </c>
      <c r="F1257" s="16">
        <v>54.6273</v>
      </c>
      <c r="G1257" s="16">
        <v>9.3493</v>
      </c>
      <c r="H1257" s="15"/>
      <c r="I1257" s="15"/>
    </row>
    <row r="1258">
      <c r="A1258" s="18">
        <v>45665.0</v>
      </c>
      <c r="B1258" s="16" t="s">
        <v>2070</v>
      </c>
      <c r="C1258" s="16" t="s">
        <v>1080</v>
      </c>
      <c r="D1258" s="16" t="s">
        <v>707</v>
      </c>
      <c r="E1258" s="16">
        <v>2011.0</v>
      </c>
      <c r="F1258" s="16">
        <v>54.6273</v>
      </c>
      <c r="G1258" s="16">
        <v>9.3493</v>
      </c>
      <c r="H1258" s="15"/>
      <c r="I1258" s="15"/>
    </row>
    <row r="1259">
      <c r="A1259" s="18">
        <v>45665.0</v>
      </c>
      <c r="B1259" s="16" t="s">
        <v>2071</v>
      </c>
      <c r="C1259" s="16" t="s">
        <v>1282</v>
      </c>
      <c r="D1259" s="16" t="s">
        <v>707</v>
      </c>
      <c r="E1259" s="16">
        <v>2011.0</v>
      </c>
      <c r="F1259" s="16">
        <v>54.6273</v>
      </c>
      <c r="G1259" s="16">
        <v>9.3493</v>
      </c>
      <c r="H1259" s="15"/>
      <c r="I1259" s="15"/>
    </row>
    <row r="1260">
      <c r="A1260" s="18">
        <v>45665.0</v>
      </c>
      <c r="B1260" s="16" t="s">
        <v>2072</v>
      </c>
      <c r="C1260" s="16" t="s">
        <v>1101</v>
      </c>
      <c r="D1260" s="16" t="s">
        <v>707</v>
      </c>
      <c r="E1260" s="16">
        <v>2011.0</v>
      </c>
      <c r="F1260" s="16">
        <v>49.0434</v>
      </c>
      <c r="G1260" s="16">
        <v>10.5742</v>
      </c>
      <c r="H1260" s="15"/>
      <c r="I1260" s="15"/>
    </row>
    <row r="1261">
      <c r="A1261" s="18">
        <v>45665.0</v>
      </c>
      <c r="B1261" s="16" t="s">
        <v>2073</v>
      </c>
      <c r="C1261" s="16" t="s">
        <v>961</v>
      </c>
      <c r="D1261" s="16" t="s">
        <v>707</v>
      </c>
      <c r="E1261" s="16">
        <v>2011.0</v>
      </c>
      <c r="F1261" s="16">
        <v>51.5954</v>
      </c>
      <c r="G1261" s="16">
        <v>10.6653</v>
      </c>
      <c r="H1261" s="15"/>
      <c r="I1261" s="15"/>
    </row>
    <row r="1262">
      <c r="A1262" s="18">
        <v>45665.0</v>
      </c>
      <c r="B1262" s="16" t="s">
        <v>2074</v>
      </c>
      <c r="C1262" s="16" t="s">
        <v>1051</v>
      </c>
      <c r="D1262" s="16" t="s">
        <v>707</v>
      </c>
      <c r="E1262" s="16">
        <v>2011.0</v>
      </c>
      <c r="F1262" s="16">
        <v>51.1728</v>
      </c>
      <c r="G1262" s="16">
        <v>13.8521</v>
      </c>
      <c r="H1262" s="15"/>
      <c r="I1262" s="15"/>
    </row>
    <row r="1263">
      <c r="A1263" s="18">
        <v>45665.0</v>
      </c>
      <c r="B1263" s="16" t="s">
        <v>2075</v>
      </c>
      <c r="C1263" s="16" t="s">
        <v>942</v>
      </c>
      <c r="D1263" s="16" t="s">
        <v>707</v>
      </c>
      <c r="E1263" s="16">
        <v>2011.0</v>
      </c>
      <c r="F1263" s="16">
        <v>51.718</v>
      </c>
      <c r="G1263" s="16">
        <v>9.0695</v>
      </c>
      <c r="H1263" s="15"/>
      <c r="I1263" s="15"/>
    </row>
    <row r="1264">
      <c r="A1264" s="18">
        <v>45665.0</v>
      </c>
      <c r="B1264" s="16" t="s">
        <v>2076</v>
      </c>
      <c r="C1264" s="16">
        <v>2.0</v>
      </c>
      <c r="D1264" s="16" t="s">
        <v>707</v>
      </c>
      <c r="E1264" s="16">
        <v>2011.0</v>
      </c>
      <c r="F1264" s="16">
        <v>51.2887</v>
      </c>
      <c r="G1264" s="16">
        <v>6.7517</v>
      </c>
      <c r="H1264" s="15"/>
      <c r="I1264" s="15"/>
    </row>
    <row r="1265">
      <c r="A1265" s="18">
        <v>45665.0</v>
      </c>
      <c r="B1265" s="16" t="s">
        <v>2077</v>
      </c>
      <c r="C1265" s="16" t="s">
        <v>1096</v>
      </c>
      <c r="D1265" s="16" t="s">
        <v>707</v>
      </c>
      <c r="E1265" s="16">
        <v>2011.0</v>
      </c>
      <c r="F1265" s="16">
        <v>48.6581</v>
      </c>
      <c r="G1265" s="16">
        <v>12.4835</v>
      </c>
      <c r="H1265" s="15"/>
      <c r="I1265" s="15"/>
    </row>
    <row r="1266">
      <c r="A1266" s="18">
        <v>45665.0</v>
      </c>
      <c r="B1266" s="16" t="s">
        <v>2078</v>
      </c>
      <c r="C1266" s="16" t="s">
        <v>1167</v>
      </c>
      <c r="D1266" s="16" t="s">
        <v>707</v>
      </c>
      <c r="E1266" s="16">
        <v>2011.0</v>
      </c>
      <c r="F1266" s="16">
        <v>52.1123</v>
      </c>
      <c r="G1266" s="16">
        <v>13.0652</v>
      </c>
      <c r="H1266" s="15"/>
      <c r="I1266" s="15"/>
    </row>
    <row r="1267">
      <c r="A1267" s="18">
        <v>45665.0</v>
      </c>
      <c r="B1267" s="16" t="s">
        <v>2079</v>
      </c>
      <c r="C1267" s="16" t="s">
        <v>969</v>
      </c>
      <c r="D1267" s="16" t="s">
        <v>707</v>
      </c>
      <c r="E1267" s="16">
        <v>2011.0</v>
      </c>
      <c r="F1267" s="16">
        <v>49.075</v>
      </c>
      <c r="G1267" s="16">
        <v>7.7081</v>
      </c>
      <c r="H1267" s="15"/>
      <c r="I1267" s="15"/>
    </row>
    <row r="1268">
      <c r="A1268" s="18">
        <v>45665.0</v>
      </c>
      <c r="B1268" s="16" t="s">
        <v>2080</v>
      </c>
      <c r="C1268" s="16">
        <v>3.0</v>
      </c>
      <c r="D1268" s="16" t="s">
        <v>707</v>
      </c>
      <c r="E1268" s="16">
        <v>2011.0</v>
      </c>
      <c r="F1268" s="16">
        <v>51.3992</v>
      </c>
      <c r="G1268" s="16">
        <v>12.1716</v>
      </c>
      <c r="H1268" s="15"/>
      <c r="I1268" s="15"/>
    </row>
    <row r="1269">
      <c r="A1269" s="18">
        <v>45665.0</v>
      </c>
      <c r="B1269" s="16" t="s">
        <v>2081</v>
      </c>
      <c r="C1269" s="16">
        <v>2.0</v>
      </c>
      <c r="D1269" s="16" t="s">
        <v>707</v>
      </c>
      <c r="E1269" s="16">
        <v>2011.0</v>
      </c>
      <c r="F1269" s="16">
        <v>53.1903</v>
      </c>
      <c r="G1269" s="16">
        <v>13.1374</v>
      </c>
      <c r="H1269" s="15"/>
      <c r="I1269" s="15"/>
    </row>
    <row r="1270">
      <c r="A1270" s="18">
        <v>45665.0</v>
      </c>
      <c r="B1270" s="16" t="s">
        <v>2082</v>
      </c>
      <c r="C1270" s="16">
        <v>3.0</v>
      </c>
      <c r="D1270" s="16" t="s">
        <v>707</v>
      </c>
      <c r="E1270" s="16">
        <v>2011.0</v>
      </c>
      <c r="F1270" s="16">
        <v>48.8819</v>
      </c>
      <c r="G1270" s="16">
        <v>12.8341</v>
      </c>
      <c r="H1270" s="15"/>
      <c r="I1270" s="15"/>
    </row>
    <row r="1271">
      <c r="A1271" s="18">
        <v>45665.0</v>
      </c>
      <c r="B1271" s="16" t="s">
        <v>2083</v>
      </c>
      <c r="C1271" s="16">
        <v>2.0</v>
      </c>
      <c r="D1271" s="16" t="s">
        <v>707</v>
      </c>
      <c r="E1271" s="16">
        <v>2011.0</v>
      </c>
      <c r="F1271" s="16">
        <v>52.191</v>
      </c>
      <c r="G1271" s="16">
        <v>11.6664</v>
      </c>
      <c r="H1271" s="15"/>
      <c r="I1271" s="15"/>
    </row>
    <row r="1272">
      <c r="A1272" s="18">
        <v>45665.0</v>
      </c>
      <c r="B1272" s="16" t="s">
        <v>2084</v>
      </c>
      <c r="C1272" s="16">
        <v>1.0</v>
      </c>
      <c r="D1272" s="16" t="s">
        <v>707</v>
      </c>
      <c r="E1272" s="16">
        <v>2011.0</v>
      </c>
      <c r="F1272" s="16">
        <v>50.7762</v>
      </c>
      <c r="G1272" s="16">
        <v>11.0653</v>
      </c>
      <c r="H1272" s="15"/>
      <c r="I1272" s="15"/>
    </row>
    <row r="1273">
      <c r="A1273" s="18">
        <v>45665.0</v>
      </c>
      <c r="B1273" s="16" t="s">
        <v>2085</v>
      </c>
      <c r="C1273" s="16" t="s">
        <v>946</v>
      </c>
      <c r="D1273" s="16" t="s">
        <v>707</v>
      </c>
      <c r="E1273" s="16">
        <v>2011.0</v>
      </c>
      <c r="F1273" s="16">
        <v>47.9652</v>
      </c>
      <c r="G1273" s="16">
        <v>10.9624</v>
      </c>
      <c r="H1273" s="15"/>
      <c r="I1273" s="15"/>
    </row>
    <row r="1274">
      <c r="A1274" s="18">
        <v>45665.0</v>
      </c>
      <c r="B1274" s="16" t="s">
        <v>2086</v>
      </c>
      <c r="C1274" s="16" t="s">
        <v>946</v>
      </c>
      <c r="D1274" s="16" t="s">
        <v>707</v>
      </c>
      <c r="E1274" s="16">
        <v>2011.0</v>
      </c>
      <c r="F1274" s="16">
        <v>53.8934</v>
      </c>
      <c r="G1274" s="16">
        <v>9.0802</v>
      </c>
      <c r="H1274" s="15"/>
      <c r="I1274" s="15"/>
    </row>
    <row r="1275">
      <c r="A1275" s="18">
        <v>45665.0</v>
      </c>
      <c r="B1275" s="16" t="s">
        <v>2087</v>
      </c>
      <c r="C1275" s="16" t="s">
        <v>1055</v>
      </c>
      <c r="D1275" s="16" t="s">
        <v>707</v>
      </c>
      <c r="E1275" s="16">
        <v>2011.0</v>
      </c>
      <c r="F1275" s="16">
        <v>51.2607</v>
      </c>
      <c r="G1275" s="16">
        <v>11.1095</v>
      </c>
      <c r="H1275" s="15"/>
      <c r="I1275" s="15"/>
    </row>
    <row r="1276">
      <c r="A1276" s="18">
        <v>45665.0</v>
      </c>
      <c r="B1276" s="16" t="s">
        <v>2088</v>
      </c>
      <c r="C1276" s="16" t="s">
        <v>1037</v>
      </c>
      <c r="D1276" s="16" t="s">
        <v>707</v>
      </c>
      <c r="E1276" s="16">
        <v>2011.0</v>
      </c>
      <c r="F1276" s="16">
        <v>50.0284</v>
      </c>
      <c r="G1276" s="16">
        <v>6.7915</v>
      </c>
      <c r="H1276" s="15"/>
      <c r="I1276" s="15"/>
    </row>
    <row r="1277">
      <c r="A1277" s="18">
        <v>45665.0</v>
      </c>
      <c r="B1277" s="16" t="s">
        <v>2089</v>
      </c>
      <c r="C1277" s="16" t="s">
        <v>951</v>
      </c>
      <c r="D1277" s="16" t="s">
        <v>707</v>
      </c>
      <c r="E1277" s="16">
        <v>2011.0</v>
      </c>
      <c r="F1277" s="16">
        <v>50.9804</v>
      </c>
      <c r="G1277" s="16">
        <v>13.8577</v>
      </c>
      <c r="H1277" s="15"/>
      <c r="I1277" s="15"/>
    </row>
    <row r="1278">
      <c r="A1278" s="18">
        <v>45665.0</v>
      </c>
      <c r="B1278" s="16" t="s">
        <v>2090</v>
      </c>
      <c r="C1278" s="16" t="s">
        <v>959</v>
      </c>
      <c r="D1278" s="16" t="s">
        <v>707</v>
      </c>
      <c r="E1278" s="16">
        <v>2011.0</v>
      </c>
      <c r="F1278" s="16">
        <v>48.6393</v>
      </c>
      <c r="G1278" s="16">
        <v>10.6068</v>
      </c>
      <c r="H1278" s="15"/>
      <c r="I1278" s="15"/>
    </row>
    <row r="1279">
      <c r="A1279" s="18">
        <v>45665.0</v>
      </c>
      <c r="B1279" s="16" t="s">
        <v>2091</v>
      </c>
      <c r="C1279" s="16" t="s">
        <v>984</v>
      </c>
      <c r="D1279" s="16" t="s">
        <v>707</v>
      </c>
      <c r="E1279" s="16">
        <v>2011.0</v>
      </c>
      <c r="F1279" s="16">
        <v>49.2654</v>
      </c>
      <c r="G1279" s="16">
        <v>7.7154</v>
      </c>
      <c r="H1279" s="15"/>
      <c r="I1279" s="15"/>
    </row>
    <row r="1280">
      <c r="A1280" s="18">
        <v>45665.0</v>
      </c>
      <c r="B1280" s="16" t="s">
        <v>2092</v>
      </c>
      <c r="C1280" s="16" t="s">
        <v>969</v>
      </c>
      <c r="D1280" s="16" t="s">
        <v>707</v>
      </c>
      <c r="E1280" s="16">
        <v>2011.0</v>
      </c>
      <c r="F1280" s="16">
        <v>53.8571</v>
      </c>
      <c r="G1280" s="16">
        <v>13.1176</v>
      </c>
      <c r="H1280" s="15"/>
      <c r="I1280" s="15"/>
    </row>
    <row r="1281">
      <c r="A1281" s="18">
        <v>45665.0</v>
      </c>
      <c r="B1281" s="16" t="s">
        <v>2093</v>
      </c>
      <c r="C1281" s="16" t="s">
        <v>1051</v>
      </c>
      <c r="D1281" s="16" t="s">
        <v>707</v>
      </c>
      <c r="E1281" s="16">
        <v>2011.0</v>
      </c>
      <c r="F1281" s="16">
        <v>51.43</v>
      </c>
      <c r="G1281" s="16">
        <v>8.5601</v>
      </c>
      <c r="H1281" s="15"/>
      <c r="I1281" s="15"/>
    </row>
    <row r="1282">
      <c r="A1282" s="18">
        <v>45665.0</v>
      </c>
      <c r="B1282" s="16" t="s">
        <v>2094</v>
      </c>
      <c r="C1282" s="16" t="s">
        <v>1085</v>
      </c>
      <c r="D1282" s="16" t="s">
        <v>707</v>
      </c>
      <c r="E1282" s="16">
        <v>2011.0</v>
      </c>
      <c r="F1282" s="16">
        <v>53.6789</v>
      </c>
      <c r="G1282" s="16">
        <v>13.5409</v>
      </c>
      <c r="H1282" s="15"/>
      <c r="I1282" s="15"/>
    </row>
    <row r="1283">
      <c r="A1283" s="18">
        <v>45665.0</v>
      </c>
      <c r="B1283" s="16" t="s">
        <v>2095</v>
      </c>
      <c r="C1283" s="16" t="s">
        <v>942</v>
      </c>
      <c r="D1283" s="16" t="s">
        <v>707</v>
      </c>
      <c r="E1283" s="16">
        <v>2011.0</v>
      </c>
      <c r="F1283" s="16">
        <v>53.828</v>
      </c>
      <c r="G1283" s="16">
        <v>12.578</v>
      </c>
      <c r="H1283" s="15"/>
      <c r="I1283" s="15"/>
    </row>
    <row r="1284">
      <c r="A1284" s="18">
        <v>45665.0</v>
      </c>
      <c r="B1284" s="16" t="s">
        <v>2096</v>
      </c>
      <c r="C1284" s="16" t="s">
        <v>948</v>
      </c>
      <c r="D1284" s="16" t="s">
        <v>707</v>
      </c>
      <c r="E1284" s="16">
        <v>2011.0</v>
      </c>
      <c r="F1284" s="16">
        <v>48.1835</v>
      </c>
      <c r="G1284" s="16">
        <v>9.8652</v>
      </c>
      <c r="H1284" s="15"/>
      <c r="I1284" s="15"/>
    </row>
    <row r="1285">
      <c r="A1285" s="18">
        <v>45665.0</v>
      </c>
      <c r="B1285" s="16" t="s">
        <v>2097</v>
      </c>
      <c r="C1285" s="16" t="s">
        <v>969</v>
      </c>
      <c r="D1285" s="16" t="s">
        <v>707</v>
      </c>
      <c r="E1285" s="16">
        <v>2011.0</v>
      </c>
      <c r="F1285" s="16">
        <v>52.361</v>
      </c>
      <c r="G1285" s="16">
        <v>7.797</v>
      </c>
      <c r="H1285" s="15"/>
      <c r="I1285" s="15"/>
    </row>
    <row r="1286">
      <c r="A1286" s="18">
        <v>45665.0</v>
      </c>
      <c r="B1286" s="16" t="s">
        <v>2098</v>
      </c>
      <c r="C1286" s="16" t="s">
        <v>2099</v>
      </c>
      <c r="D1286" s="16" t="s">
        <v>707</v>
      </c>
      <c r="E1286" s="16">
        <v>2011.0</v>
      </c>
      <c r="F1286" s="16">
        <v>49.6482</v>
      </c>
      <c r="G1286" s="16">
        <v>9.9517</v>
      </c>
      <c r="H1286" s="15"/>
      <c r="I1286" s="15"/>
    </row>
    <row r="1287">
      <c r="A1287" s="18">
        <v>45665.0</v>
      </c>
      <c r="B1287" s="16" t="s">
        <v>2100</v>
      </c>
      <c r="C1287" s="16" t="s">
        <v>969</v>
      </c>
      <c r="D1287" s="16" t="s">
        <v>707</v>
      </c>
      <c r="E1287" s="16">
        <v>2011.0</v>
      </c>
      <c r="F1287" s="16">
        <v>50.9829</v>
      </c>
      <c r="G1287" s="16">
        <v>11.895</v>
      </c>
      <c r="H1287" s="15"/>
      <c r="I1287" s="15"/>
    </row>
    <row r="1288">
      <c r="A1288" s="18">
        <v>45665.0</v>
      </c>
      <c r="B1288" s="16" t="s">
        <v>2101</v>
      </c>
      <c r="C1288" s="16">
        <v>4.0</v>
      </c>
      <c r="D1288" s="16" t="s">
        <v>707</v>
      </c>
      <c r="E1288" s="16">
        <v>2011.0</v>
      </c>
      <c r="F1288" s="16">
        <v>51.2998</v>
      </c>
      <c r="G1288" s="16">
        <v>10.2468</v>
      </c>
      <c r="H1288" s="15"/>
      <c r="I1288" s="15"/>
    </row>
    <row r="1289">
      <c r="A1289" s="18">
        <v>45665.0</v>
      </c>
      <c r="B1289" s="16" t="s">
        <v>2102</v>
      </c>
      <c r="C1289" s="16" t="s">
        <v>1751</v>
      </c>
      <c r="D1289" s="16" t="s">
        <v>707</v>
      </c>
      <c r="E1289" s="16">
        <v>2011.0</v>
      </c>
      <c r="F1289" s="16">
        <v>51.2506</v>
      </c>
      <c r="G1289" s="16">
        <v>11.9651</v>
      </c>
      <c r="H1289" s="15"/>
      <c r="I1289" s="15"/>
    </row>
    <row r="1290">
      <c r="A1290" s="18">
        <v>45665.0</v>
      </c>
      <c r="B1290" s="16" t="s">
        <v>2103</v>
      </c>
      <c r="C1290" s="16" t="s">
        <v>1055</v>
      </c>
      <c r="D1290" s="16" t="s">
        <v>707</v>
      </c>
      <c r="E1290" s="16">
        <v>2011.0</v>
      </c>
      <c r="F1290" s="16">
        <v>48.93</v>
      </c>
      <c r="G1290" s="16">
        <v>11.9942</v>
      </c>
      <c r="H1290" s="15"/>
      <c r="I1290" s="15"/>
    </row>
    <row r="1291">
      <c r="A1291" s="18">
        <v>45665.0</v>
      </c>
      <c r="B1291" s="16" t="s">
        <v>2104</v>
      </c>
      <c r="C1291" s="16" t="s">
        <v>1172</v>
      </c>
      <c r="D1291" s="16" t="s">
        <v>707</v>
      </c>
      <c r="E1291" s="16">
        <v>2011.0</v>
      </c>
      <c r="F1291" s="16">
        <v>51.4547</v>
      </c>
      <c r="G1291" s="16">
        <v>12.0208</v>
      </c>
      <c r="H1291" s="15"/>
      <c r="I1291" s="15"/>
    </row>
    <row r="1292">
      <c r="A1292" s="18">
        <v>45665.0</v>
      </c>
      <c r="B1292" s="16" t="s">
        <v>2105</v>
      </c>
      <c r="C1292" s="16" t="s">
        <v>1051</v>
      </c>
      <c r="D1292" s="16" t="s">
        <v>707</v>
      </c>
      <c r="E1292" s="16">
        <v>2011.0</v>
      </c>
      <c r="F1292" s="16">
        <v>52.4972</v>
      </c>
      <c r="G1292" s="16">
        <v>13.855</v>
      </c>
      <c r="H1292" s="15"/>
      <c r="I1292" s="15"/>
    </row>
    <row r="1293">
      <c r="A1293" s="18">
        <v>45665.0</v>
      </c>
      <c r="B1293" s="16" t="s">
        <v>2106</v>
      </c>
      <c r="C1293" s="16" t="s">
        <v>1051</v>
      </c>
      <c r="D1293" s="16" t="s">
        <v>707</v>
      </c>
      <c r="E1293" s="16">
        <v>2011.0</v>
      </c>
      <c r="F1293" s="16">
        <v>53.5608</v>
      </c>
      <c r="G1293" s="16">
        <v>11.4437</v>
      </c>
      <c r="H1293" s="15"/>
      <c r="I1293" s="15"/>
    </row>
    <row r="1294">
      <c r="A1294" s="18">
        <v>45665.0</v>
      </c>
      <c r="B1294" s="16" t="s">
        <v>2107</v>
      </c>
      <c r="C1294" s="16" t="s">
        <v>961</v>
      </c>
      <c r="D1294" s="16" t="s">
        <v>707</v>
      </c>
      <c r="E1294" s="16">
        <v>2011.0</v>
      </c>
      <c r="F1294" s="16">
        <v>52.3551</v>
      </c>
      <c r="G1294" s="16">
        <v>9.8776</v>
      </c>
      <c r="H1294" s="15"/>
      <c r="I1294" s="15"/>
    </row>
    <row r="1295">
      <c r="A1295" s="18">
        <v>45665.0</v>
      </c>
      <c r="B1295" s="16" t="s">
        <v>2108</v>
      </c>
      <c r="C1295" s="16">
        <v>3.0</v>
      </c>
      <c r="D1295" s="16" t="s">
        <v>707</v>
      </c>
      <c r="E1295" s="16">
        <v>2011.0</v>
      </c>
      <c r="F1295" s="16">
        <v>51.6452</v>
      </c>
      <c r="G1295" s="16">
        <v>9.869</v>
      </c>
      <c r="H1295" s="15"/>
      <c r="I1295" s="15"/>
    </row>
    <row r="1296">
      <c r="A1296" s="18">
        <v>45665.0</v>
      </c>
      <c r="B1296" s="16" t="s">
        <v>2109</v>
      </c>
      <c r="C1296" s="16" t="s">
        <v>948</v>
      </c>
      <c r="D1296" s="16" t="s">
        <v>707</v>
      </c>
      <c r="E1296" s="16">
        <v>2011.0</v>
      </c>
      <c r="F1296" s="16">
        <v>48.4217</v>
      </c>
      <c r="G1296" s="16">
        <v>12.8163</v>
      </c>
      <c r="H1296" s="15"/>
      <c r="I1296" s="15"/>
    </row>
    <row r="1297">
      <c r="A1297" s="18">
        <v>45665.0</v>
      </c>
      <c r="B1297" s="16" t="s">
        <v>2110</v>
      </c>
      <c r="C1297" s="16" t="s">
        <v>1034</v>
      </c>
      <c r="D1297" s="16" t="s">
        <v>707</v>
      </c>
      <c r="E1297" s="16">
        <v>2011.0</v>
      </c>
      <c r="F1297" s="16">
        <v>49.3597</v>
      </c>
      <c r="G1297" s="16">
        <v>10.828</v>
      </c>
      <c r="H1297" s="15"/>
      <c r="I1297" s="15"/>
    </row>
    <row r="1298">
      <c r="A1298" s="18">
        <v>45665.0</v>
      </c>
      <c r="B1298" s="16" t="s">
        <v>2111</v>
      </c>
      <c r="C1298" s="16" t="s">
        <v>969</v>
      </c>
      <c r="D1298" s="16" t="s">
        <v>707</v>
      </c>
      <c r="E1298" s="16">
        <v>2011.0</v>
      </c>
      <c r="F1298" s="16">
        <v>48.3911</v>
      </c>
      <c r="G1298" s="16">
        <v>9.8059</v>
      </c>
      <c r="H1298" s="15"/>
      <c r="I1298" s="15"/>
    </row>
    <row r="1299">
      <c r="A1299" s="18">
        <v>45665.0</v>
      </c>
      <c r="B1299" s="16" t="s">
        <v>2112</v>
      </c>
      <c r="C1299" s="16">
        <v>1.0</v>
      </c>
      <c r="D1299" s="16" t="s">
        <v>707</v>
      </c>
      <c r="E1299" s="16">
        <v>2011.0</v>
      </c>
      <c r="F1299" s="16">
        <v>49.6657</v>
      </c>
      <c r="G1299" s="16">
        <v>6.9144</v>
      </c>
      <c r="H1299" s="15"/>
      <c r="I1299" s="15"/>
    </row>
    <row r="1300">
      <c r="A1300" s="18">
        <v>45665.0</v>
      </c>
      <c r="B1300" s="16" t="s">
        <v>2113</v>
      </c>
      <c r="C1300" s="16">
        <v>1.0</v>
      </c>
      <c r="D1300" s="16" t="s">
        <v>707</v>
      </c>
      <c r="E1300" s="16">
        <v>2011.0</v>
      </c>
      <c r="F1300" s="16">
        <v>52.6607</v>
      </c>
      <c r="G1300" s="16">
        <v>12.8228</v>
      </c>
      <c r="H1300" s="15"/>
      <c r="I1300" s="15"/>
    </row>
    <row r="1301">
      <c r="A1301" s="18">
        <v>45665.0</v>
      </c>
      <c r="B1301" s="16" t="s">
        <v>2114</v>
      </c>
      <c r="C1301" s="16" t="s">
        <v>1101</v>
      </c>
      <c r="D1301" s="16" t="s">
        <v>707</v>
      </c>
      <c r="E1301" s="16">
        <v>2011.0</v>
      </c>
      <c r="F1301" s="16">
        <v>51.3021</v>
      </c>
      <c r="G1301" s="16">
        <v>14.9269</v>
      </c>
      <c r="H1301" s="15"/>
      <c r="I1301" s="15"/>
    </row>
    <row r="1302">
      <c r="A1302" s="18">
        <v>45665.0</v>
      </c>
      <c r="B1302" s="16" t="s">
        <v>2115</v>
      </c>
      <c r="C1302" s="16" t="s">
        <v>1101</v>
      </c>
      <c r="D1302" s="16" t="s">
        <v>707</v>
      </c>
      <c r="E1302" s="16">
        <v>2011.0</v>
      </c>
      <c r="F1302" s="16">
        <v>48.2948</v>
      </c>
      <c r="G1302" s="16">
        <v>9.9562</v>
      </c>
      <c r="H1302" s="15"/>
      <c r="I1302" s="15"/>
    </row>
    <row r="1303">
      <c r="A1303" s="18">
        <v>45665.0</v>
      </c>
      <c r="B1303" s="16" t="s">
        <v>2116</v>
      </c>
      <c r="C1303" s="16" t="s">
        <v>1055</v>
      </c>
      <c r="D1303" s="16" t="s">
        <v>707</v>
      </c>
      <c r="E1303" s="16">
        <v>2011.0</v>
      </c>
      <c r="F1303" s="16">
        <v>49.8171</v>
      </c>
      <c r="G1303" s="16">
        <v>9.7842</v>
      </c>
      <c r="H1303" s="15"/>
      <c r="I1303" s="15"/>
    </row>
    <row r="1304">
      <c r="A1304" s="18">
        <v>45665.0</v>
      </c>
      <c r="B1304" s="16" t="s">
        <v>2117</v>
      </c>
      <c r="C1304" s="16" t="s">
        <v>1267</v>
      </c>
      <c r="D1304" s="16" t="s">
        <v>707</v>
      </c>
      <c r="E1304" s="16">
        <v>2011.0</v>
      </c>
      <c r="F1304" s="16">
        <v>54.1242</v>
      </c>
      <c r="G1304" s="16">
        <v>13.0478</v>
      </c>
      <c r="H1304" s="15"/>
      <c r="I1304" s="15"/>
    </row>
    <row r="1305">
      <c r="A1305" s="18">
        <v>45665.0</v>
      </c>
      <c r="B1305" s="16" t="s">
        <v>2118</v>
      </c>
      <c r="C1305" s="16" t="s">
        <v>2119</v>
      </c>
      <c r="D1305" s="16" t="s">
        <v>707</v>
      </c>
      <c r="E1305" s="16">
        <v>2011.0</v>
      </c>
      <c r="F1305" s="16">
        <v>53.1793</v>
      </c>
      <c r="G1305" s="16">
        <v>8.1709</v>
      </c>
      <c r="H1305" s="15"/>
      <c r="I1305" s="15"/>
    </row>
    <row r="1306">
      <c r="A1306" s="18">
        <v>45665.0</v>
      </c>
      <c r="B1306" s="16" t="s">
        <v>2120</v>
      </c>
      <c r="C1306" s="16" t="s">
        <v>1096</v>
      </c>
      <c r="D1306" s="16" t="s">
        <v>707</v>
      </c>
      <c r="E1306" s="16">
        <v>2011.0</v>
      </c>
      <c r="F1306" s="16">
        <v>51.5735</v>
      </c>
      <c r="G1306" s="16">
        <v>10.7797</v>
      </c>
      <c r="H1306" s="15"/>
      <c r="I1306" s="15"/>
    </row>
    <row r="1307">
      <c r="A1307" s="18">
        <v>45665.0</v>
      </c>
      <c r="B1307" s="16" t="s">
        <v>2121</v>
      </c>
      <c r="C1307" s="16" t="s">
        <v>1101</v>
      </c>
      <c r="D1307" s="16" t="s">
        <v>707</v>
      </c>
      <c r="E1307" s="16">
        <v>2011.0</v>
      </c>
      <c r="F1307" s="16">
        <v>48.8245</v>
      </c>
      <c r="G1307" s="16">
        <v>12.748</v>
      </c>
      <c r="H1307" s="15"/>
      <c r="I1307" s="15"/>
    </row>
    <row r="1308">
      <c r="A1308" s="18">
        <v>45665.0</v>
      </c>
      <c r="B1308" s="16" t="s">
        <v>2122</v>
      </c>
      <c r="C1308" s="16" t="s">
        <v>1167</v>
      </c>
      <c r="D1308" s="16" t="s">
        <v>707</v>
      </c>
      <c r="E1308" s="16">
        <v>2011.0</v>
      </c>
      <c r="F1308" s="16">
        <v>53.9254</v>
      </c>
      <c r="G1308" s="16">
        <v>13.3397</v>
      </c>
      <c r="H1308" s="15"/>
      <c r="I1308" s="15"/>
    </row>
    <row r="1309">
      <c r="A1309" s="18">
        <v>45665.0</v>
      </c>
      <c r="B1309" s="16" t="s">
        <v>2123</v>
      </c>
      <c r="C1309" s="16" t="s">
        <v>948</v>
      </c>
      <c r="D1309" s="16" t="s">
        <v>707</v>
      </c>
      <c r="E1309" s="16">
        <v>2011.0</v>
      </c>
      <c r="F1309" s="16">
        <v>49.9898</v>
      </c>
      <c r="G1309" s="16">
        <v>8.397</v>
      </c>
      <c r="H1309" s="15"/>
      <c r="I1309" s="15"/>
    </row>
    <row r="1310">
      <c r="A1310" s="18">
        <v>45665.0</v>
      </c>
      <c r="B1310" s="16" t="s">
        <v>2124</v>
      </c>
      <c r="C1310" s="16" t="s">
        <v>984</v>
      </c>
      <c r="D1310" s="16" t="s">
        <v>707</v>
      </c>
      <c r="E1310" s="16">
        <v>2011.0</v>
      </c>
      <c r="F1310" s="16">
        <v>49.9885</v>
      </c>
      <c r="G1310" s="16">
        <v>8.3874</v>
      </c>
      <c r="H1310" s="15"/>
      <c r="I1310" s="15"/>
    </row>
    <row r="1311">
      <c r="A1311" s="18">
        <v>45665.0</v>
      </c>
      <c r="B1311" s="16" t="s">
        <v>2125</v>
      </c>
      <c r="C1311" s="16" t="s">
        <v>1055</v>
      </c>
      <c r="D1311" s="16" t="s">
        <v>707</v>
      </c>
      <c r="E1311" s="16">
        <v>2011.0</v>
      </c>
      <c r="F1311" s="16">
        <v>51.9269</v>
      </c>
      <c r="G1311" s="16">
        <v>14.2433</v>
      </c>
      <c r="H1311" s="15"/>
      <c r="I1311" s="15"/>
    </row>
    <row r="1312">
      <c r="A1312" s="18">
        <v>45665.0</v>
      </c>
      <c r="B1312" s="16" t="s">
        <v>2126</v>
      </c>
      <c r="C1312" s="16" t="s">
        <v>1055</v>
      </c>
      <c r="D1312" s="16" t="s">
        <v>707</v>
      </c>
      <c r="E1312" s="16">
        <v>2011.0</v>
      </c>
      <c r="F1312" s="16">
        <v>51.9269</v>
      </c>
      <c r="G1312" s="16">
        <v>10.535</v>
      </c>
      <c r="H1312" s="15"/>
      <c r="I1312" s="15"/>
    </row>
    <row r="1313">
      <c r="A1313" s="18">
        <v>45665.0</v>
      </c>
      <c r="B1313" s="16" t="s">
        <v>2127</v>
      </c>
      <c r="C1313" s="16" t="s">
        <v>1055</v>
      </c>
      <c r="D1313" s="16" t="s">
        <v>707</v>
      </c>
      <c r="E1313" s="16">
        <v>2011.0</v>
      </c>
      <c r="F1313" s="16">
        <v>51.9269</v>
      </c>
      <c r="G1313" s="16">
        <v>14.248</v>
      </c>
      <c r="H1313" s="15"/>
      <c r="I1313" s="15"/>
    </row>
    <row r="1314">
      <c r="A1314" s="18">
        <v>45665.0</v>
      </c>
      <c r="B1314" s="16" t="s">
        <v>2128</v>
      </c>
      <c r="C1314" s="16" t="s">
        <v>1055</v>
      </c>
      <c r="D1314" s="16" t="s">
        <v>707</v>
      </c>
      <c r="E1314" s="16">
        <v>2011.0</v>
      </c>
      <c r="F1314" s="16">
        <v>51.9269</v>
      </c>
      <c r="G1314" s="16">
        <v>14.2433</v>
      </c>
      <c r="H1314" s="15"/>
      <c r="I1314" s="15"/>
    </row>
    <row r="1315">
      <c r="A1315" s="18">
        <v>45665.0</v>
      </c>
      <c r="B1315" s="16" t="s">
        <v>2129</v>
      </c>
      <c r="C1315" s="16" t="s">
        <v>1055</v>
      </c>
      <c r="D1315" s="16" t="s">
        <v>707</v>
      </c>
      <c r="E1315" s="16">
        <v>2011.0</v>
      </c>
      <c r="F1315" s="16">
        <v>51.9269</v>
      </c>
      <c r="G1315" s="16">
        <v>14.2433</v>
      </c>
      <c r="H1315" s="15"/>
      <c r="I1315" s="15"/>
    </row>
    <row r="1316">
      <c r="A1316" s="18">
        <v>45665.0</v>
      </c>
      <c r="B1316" s="16" t="s">
        <v>2130</v>
      </c>
      <c r="C1316" s="16" t="s">
        <v>1055</v>
      </c>
      <c r="D1316" s="16" t="s">
        <v>707</v>
      </c>
      <c r="E1316" s="16">
        <v>2011.0</v>
      </c>
      <c r="F1316" s="16">
        <v>51.9269</v>
      </c>
      <c r="G1316" s="16">
        <v>14.2433</v>
      </c>
      <c r="H1316" s="15"/>
      <c r="I1316" s="15"/>
    </row>
    <row r="1317">
      <c r="A1317" s="18">
        <v>45665.0</v>
      </c>
      <c r="B1317" s="16" t="s">
        <v>2131</v>
      </c>
      <c r="C1317" s="16" t="s">
        <v>1055</v>
      </c>
      <c r="D1317" s="16" t="s">
        <v>707</v>
      </c>
      <c r="E1317" s="16">
        <v>2011.0</v>
      </c>
      <c r="F1317" s="16">
        <v>51.9269</v>
      </c>
      <c r="G1317" s="16">
        <v>14.2433</v>
      </c>
      <c r="H1317" s="15"/>
      <c r="I1317" s="15"/>
    </row>
    <row r="1318">
      <c r="A1318" s="18">
        <v>45665.0</v>
      </c>
      <c r="B1318" s="16" t="s">
        <v>2132</v>
      </c>
      <c r="C1318" s="16" t="s">
        <v>1055</v>
      </c>
      <c r="D1318" s="16" t="s">
        <v>707</v>
      </c>
      <c r="E1318" s="16">
        <v>2011.0</v>
      </c>
      <c r="F1318" s="16">
        <v>51.9269</v>
      </c>
      <c r="G1318" s="16">
        <v>14.2433</v>
      </c>
      <c r="H1318" s="15"/>
      <c r="I1318" s="15"/>
    </row>
    <row r="1319">
      <c r="A1319" s="18">
        <v>45665.0</v>
      </c>
      <c r="B1319" s="16" t="s">
        <v>2133</v>
      </c>
      <c r="C1319" s="16" t="s">
        <v>1055</v>
      </c>
      <c r="D1319" s="16" t="s">
        <v>707</v>
      </c>
      <c r="E1319" s="16">
        <v>2011.0</v>
      </c>
      <c r="F1319" s="16">
        <v>51.9269</v>
      </c>
      <c r="G1319" s="16">
        <v>14.2542</v>
      </c>
      <c r="H1319" s="15"/>
      <c r="I1319" s="15"/>
    </row>
    <row r="1320">
      <c r="A1320" s="18">
        <v>45665.0</v>
      </c>
      <c r="B1320" s="16" t="s">
        <v>2134</v>
      </c>
      <c r="C1320" s="16" t="s">
        <v>1055</v>
      </c>
      <c r="D1320" s="16" t="s">
        <v>707</v>
      </c>
      <c r="E1320" s="16">
        <v>2011.0</v>
      </c>
      <c r="F1320" s="16">
        <v>51.9269</v>
      </c>
      <c r="G1320" s="16">
        <v>14.2433</v>
      </c>
      <c r="H1320" s="15"/>
      <c r="I1320" s="15"/>
    </row>
    <row r="1321">
      <c r="A1321" s="18">
        <v>45665.0</v>
      </c>
      <c r="B1321" s="16" t="s">
        <v>2135</v>
      </c>
      <c r="C1321" s="16" t="s">
        <v>969</v>
      </c>
      <c r="D1321" s="16" t="s">
        <v>707</v>
      </c>
      <c r="E1321" s="16">
        <v>2011.0</v>
      </c>
      <c r="F1321" s="16">
        <v>54.2478</v>
      </c>
      <c r="G1321" s="16">
        <v>12.4043</v>
      </c>
      <c r="H1321" s="15"/>
      <c r="I1321" s="15"/>
    </row>
    <row r="1322">
      <c r="A1322" s="18">
        <v>45665.0</v>
      </c>
      <c r="B1322" s="16" t="s">
        <v>2136</v>
      </c>
      <c r="C1322" s="16" t="s">
        <v>942</v>
      </c>
      <c r="D1322" s="16" t="s">
        <v>707</v>
      </c>
      <c r="E1322" s="16">
        <v>2011.0</v>
      </c>
      <c r="F1322" s="16">
        <v>48.2357</v>
      </c>
      <c r="G1322" s="16">
        <v>8.4244</v>
      </c>
      <c r="H1322" s="15"/>
      <c r="I1322" s="15"/>
    </row>
    <row r="1323">
      <c r="A1323" s="18">
        <v>45665.0</v>
      </c>
      <c r="B1323" s="16" t="s">
        <v>2137</v>
      </c>
      <c r="C1323" s="16">
        <v>4.0</v>
      </c>
      <c r="D1323" s="16" t="s">
        <v>707</v>
      </c>
      <c r="E1323" s="16">
        <v>2011.0</v>
      </c>
      <c r="F1323" s="16">
        <v>50.856</v>
      </c>
      <c r="G1323" s="16">
        <v>12.3382</v>
      </c>
      <c r="H1323" s="15"/>
      <c r="I1323" s="15"/>
    </row>
    <row r="1324">
      <c r="A1324" s="18">
        <v>45665.0</v>
      </c>
      <c r="B1324" s="16" t="s">
        <v>2138</v>
      </c>
      <c r="C1324" s="16">
        <v>2.0</v>
      </c>
      <c r="D1324" s="16" t="s">
        <v>707</v>
      </c>
      <c r="E1324" s="16">
        <v>2011.0</v>
      </c>
      <c r="F1324" s="16">
        <v>48.5045</v>
      </c>
      <c r="G1324" s="16">
        <v>13.325</v>
      </c>
      <c r="H1324" s="15"/>
      <c r="I1324" s="15"/>
    </row>
    <row r="1325">
      <c r="A1325" s="18">
        <v>45665.0</v>
      </c>
      <c r="B1325" s="16" t="s">
        <v>2139</v>
      </c>
      <c r="C1325" s="16" t="s">
        <v>942</v>
      </c>
      <c r="D1325" s="16" t="s">
        <v>707</v>
      </c>
      <c r="E1325" s="16">
        <v>2011.0</v>
      </c>
      <c r="F1325" s="16">
        <v>50.5924</v>
      </c>
      <c r="G1325" s="16">
        <v>8.7795</v>
      </c>
      <c r="H1325" s="15"/>
      <c r="I1325" s="15"/>
    </row>
    <row r="1326">
      <c r="A1326" s="18">
        <v>45665.0</v>
      </c>
      <c r="B1326" s="16" t="s">
        <v>2140</v>
      </c>
      <c r="C1326" s="16" t="s">
        <v>969</v>
      </c>
      <c r="D1326" s="16" t="s">
        <v>707</v>
      </c>
      <c r="E1326" s="16">
        <v>2011.0</v>
      </c>
      <c r="F1326" s="16">
        <v>51.2301</v>
      </c>
      <c r="G1326" s="16">
        <v>14.9118</v>
      </c>
      <c r="H1326" s="15"/>
      <c r="I1326" s="15"/>
    </row>
    <row r="1327">
      <c r="A1327" s="18">
        <v>45665.0</v>
      </c>
      <c r="B1327" s="16" t="s">
        <v>2141</v>
      </c>
      <c r="C1327" s="16">
        <v>4.0</v>
      </c>
      <c r="D1327" s="16" t="s">
        <v>707</v>
      </c>
      <c r="E1327" s="16">
        <v>2011.0</v>
      </c>
      <c r="F1327" s="16">
        <v>54.3007</v>
      </c>
      <c r="G1327" s="16">
        <v>12.9192</v>
      </c>
      <c r="H1327" s="15"/>
      <c r="I1327" s="15"/>
    </row>
    <row r="1328">
      <c r="A1328" s="18">
        <v>45665.0</v>
      </c>
      <c r="B1328" s="16" t="s">
        <v>2142</v>
      </c>
      <c r="C1328" s="16">
        <v>1.0</v>
      </c>
      <c r="D1328" s="16" t="s">
        <v>707</v>
      </c>
      <c r="E1328" s="16">
        <v>2011.0</v>
      </c>
      <c r="F1328" s="16">
        <v>48.8399</v>
      </c>
      <c r="G1328" s="16">
        <v>8.2538</v>
      </c>
      <c r="H1328" s="15"/>
      <c r="I1328" s="15"/>
    </row>
    <row r="1329">
      <c r="A1329" s="18">
        <v>45665.0</v>
      </c>
      <c r="B1329" s="16" t="s">
        <v>2143</v>
      </c>
      <c r="C1329" s="16" t="s">
        <v>969</v>
      </c>
      <c r="D1329" s="16" t="s">
        <v>707</v>
      </c>
      <c r="E1329" s="16">
        <v>2011.0</v>
      </c>
      <c r="F1329" s="16">
        <v>50.9562</v>
      </c>
      <c r="G1329" s="16">
        <v>6.8912</v>
      </c>
      <c r="H1329" s="15"/>
      <c r="I1329" s="15"/>
    </row>
    <row r="1330">
      <c r="A1330" s="18">
        <v>45665.0</v>
      </c>
      <c r="B1330" s="16" t="s">
        <v>2144</v>
      </c>
      <c r="C1330" s="16" t="s">
        <v>951</v>
      </c>
      <c r="D1330" s="16" t="s">
        <v>707</v>
      </c>
      <c r="E1330" s="16">
        <v>2011.0</v>
      </c>
      <c r="F1330" s="16">
        <v>49.291</v>
      </c>
      <c r="G1330" s="16">
        <v>9.8062</v>
      </c>
      <c r="H1330" s="15"/>
      <c r="I1330" s="15"/>
    </row>
    <row r="1331">
      <c r="A1331" s="18">
        <v>45665.0</v>
      </c>
      <c r="B1331" s="16" t="s">
        <v>2145</v>
      </c>
      <c r="C1331" s="16" t="s">
        <v>1432</v>
      </c>
      <c r="D1331" s="16" t="s">
        <v>707</v>
      </c>
      <c r="E1331" s="16">
        <v>2011.0</v>
      </c>
      <c r="F1331" s="16">
        <v>53.551</v>
      </c>
      <c r="G1331" s="16">
        <v>12.568</v>
      </c>
      <c r="H1331" s="15"/>
      <c r="I1331" s="15"/>
    </row>
    <row r="1332">
      <c r="A1332" s="18">
        <v>45665.0</v>
      </c>
      <c r="B1332" s="16" t="s">
        <v>2146</v>
      </c>
      <c r="C1332" s="16" t="s">
        <v>2147</v>
      </c>
      <c r="D1332" s="16" t="s">
        <v>707</v>
      </c>
      <c r="E1332" s="16">
        <v>2011.0</v>
      </c>
      <c r="F1332" s="16">
        <v>53.5508</v>
      </c>
      <c r="G1332" s="16">
        <v>12.5691</v>
      </c>
      <c r="H1332" s="15"/>
      <c r="I1332" s="15"/>
    </row>
    <row r="1333">
      <c r="A1333" s="18">
        <v>45665.0</v>
      </c>
      <c r="B1333" s="16" t="s">
        <v>2148</v>
      </c>
      <c r="C1333" s="16" t="s">
        <v>1149</v>
      </c>
      <c r="D1333" s="16" t="s">
        <v>707</v>
      </c>
      <c r="E1333" s="16">
        <v>2011.0</v>
      </c>
      <c r="F1333" s="16">
        <v>51.59</v>
      </c>
      <c r="G1333" s="16">
        <v>14.1392</v>
      </c>
      <c r="H1333" s="15"/>
      <c r="I1333" s="15"/>
    </row>
    <row r="1334">
      <c r="A1334" s="18">
        <v>45665.0</v>
      </c>
      <c r="B1334" s="16" t="s">
        <v>2149</v>
      </c>
      <c r="C1334" s="16" t="s">
        <v>2150</v>
      </c>
      <c r="D1334" s="16" t="s">
        <v>707</v>
      </c>
      <c r="E1334" s="16">
        <v>2011.0</v>
      </c>
      <c r="F1334" s="16">
        <v>51.59</v>
      </c>
      <c r="G1334" s="16">
        <v>14.1392</v>
      </c>
      <c r="H1334" s="15"/>
      <c r="I1334" s="15"/>
    </row>
    <row r="1335">
      <c r="A1335" s="18">
        <v>45665.0</v>
      </c>
      <c r="B1335" s="16" t="s">
        <v>2151</v>
      </c>
      <c r="C1335" s="16" t="s">
        <v>1267</v>
      </c>
      <c r="D1335" s="16" t="s">
        <v>707</v>
      </c>
      <c r="E1335" s="16">
        <v>2011.0</v>
      </c>
      <c r="F1335" s="16">
        <v>51.78</v>
      </c>
      <c r="G1335" s="16">
        <v>14.1501</v>
      </c>
      <c r="H1335" s="15"/>
      <c r="I1335" s="15"/>
    </row>
    <row r="1336">
      <c r="A1336" s="18">
        <v>45665.0</v>
      </c>
      <c r="B1336" s="16" t="s">
        <v>2152</v>
      </c>
      <c r="C1336" s="16" t="s">
        <v>2153</v>
      </c>
      <c r="D1336" s="16" t="s">
        <v>707</v>
      </c>
      <c r="E1336" s="16">
        <v>2011.0</v>
      </c>
      <c r="F1336" s="16">
        <v>53.3172</v>
      </c>
      <c r="G1336" s="16">
        <v>13.8817</v>
      </c>
      <c r="H1336" s="15"/>
      <c r="I1336" s="15"/>
    </row>
    <row r="1337">
      <c r="A1337" s="18">
        <v>45665.0</v>
      </c>
      <c r="B1337" s="16" t="s">
        <v>2154</v>
      </c>
      <c r="C1337" s="16">
        <v>2.0</v>
      </c>
      <c r="D1337" s="16" t="s">
        <v>707</v>
      </c>
      <c r="E1337" s="16">
        <v>2011.0</v>
      </c>
      <c r="F1337" s="16">
        <v>53.9237</v>
      </c>
      <c r="G1337" s="16">
        <v>14.0717</v>
      </c>
      <c r="H1337" s="15"/>
      <c r="I1337" s="15"/>
    </row>
    <row r="1338">
      <c r="A1338" s="18">
        <v>45665.0</v>
      </c>
      <c r="B1338" s="16" t="s">
        <v>2155</v>
      </c>
      <c r="C1338" s="16" t="s">
        <v>946</v>
      </c>
      <c r="D1338" s="16" t="s">
        <v>707</v>
      </c>
      <c r="E1338" s="16">
        <v>2011.0</v>
      </c>
      <c r="F1338" s="16">
        <v>49.484</v>
      </c>
      <c r="G1338" s="16">
        <v>10.7902</v>
      </c>
      <c r="H1338" s="15"/>
      <c r="I1338" s="15"/>
    </row>
    <row r="1339">
      <c r="A1339" s="18">
        <v>45665.0</v>
      </c>
      <c r="B1339" s="16" t="s">
        <v>2156</v>
      </c>
      <c r="C1339" s="16" t="s">
        <v>948</v>
      </c>
      <c r="D1339" s="16" t="s">
        <v>707</v>
      </c>
      <c r="E1339" s="16">
        <v>2011.0</v>
      </c>
      <c r="F1339" s="16">
        <v>47.6303</v>
      </c>
      <c r="G1339" s="16">
        <v>8.2953</v>
      </c>
      <c r="H1339" s="15"/>
      <c r="I1339" s="15"/>
    </row>
    <row r="1340">
      <c r="A1340" s="18">
        <v>45665.0</v>
      </c>
      <c r="B1340" s="16" t="s">
        <v>2157</v>
      </c>
      <c r="C1340" s="16">
        <v>1.0</v>
      </c>
      <c r="D1340" s="16" t="s">
        <v>707</v>
      </c>
      <c r="E1340" s="16">
        <v>2011.0</v>
      </c>
      <c r="F1340" s="16">
        <v>51.5562</v>
      </c>
      <c r="G1340" s="16">
        <v>12.6235</v>
      </c>
      <c r="H1340" s="15"/>
      <c r="I1340" s="15"/>
    </row>
    <row r="1341">
      <c r="A1341" s="18">
        <v>45665.0</v>
      </c>
      <c r="B1341" s="16" t="s">
        <v>2158</v>
      </c>
      <c r="C1341" s="16" t="s">
        <v>978</v>
      </c>
      <c r="D1341" s="16" t="s">
        <v>707</v>
      </c>
      <c r="E1341" s="16">
        <v>2011.0</v>
      </c>
      <c r="F1341" s="16">
        <v>51.0388</v>
      </c>
      <c r="G1341" s="16">
        <v>12.4178</v>
      </c>
      <c r="H1341" s="15"/>
      <c r="I1341" s="15"/>
    </row>
    <row r="1342">
      <c r="A1342" s="18">
        <v>45665.0</v>
      </c>
      <c r="B1342" s="16" t="s">
        <v>2159</v>
      </c>
      <c r="C1342" s="16" t="s">
        <v>951</v>
      </c>
      <c r="D1342" s="16" t="s">
        <v>707</v>
      </c>
      <c r="E1342" s="16">
        <v>2011.0</v>
      </c>
      <c r="F1342" s="16">
        <v>52.6</v>
      </c>
      <c r="G1342" s="16">
        <v>10.501</v>
      </c>
      <c r="H1342" s="15"/>
      <c r="I1342" s="15"/>
    </row>
    <row r="1343">
      <c r="A1343" s="18">
        <v>45665.0</v>
      </c>
      <c r="B1343" s="16" t="s">
        <v>2160</v>
      </c>
      <c r="C1343" s="16" t="s">
        <v>1609</v>
      </c>
      <c r="D1343" s="16" t="s">
        <v>707</v>
      </c>
      <c r="E1343" s="16">
        <v>2011.0</v>
      </c>
      <c r="F1343" s="16">
        <v>53.5221</v>
      </c>
      <c r="G1343" s="16">
        <v>13.3248</v>
      </c>
      <c r="H1343" s="15"/>
      <c r="I1343" s="15"/>
    </row>
    <row r="1344">
      <c r="A1344" s="18">
        <v>45665.0</v>
      </c>
      <c r="B1344" s="16" t="s">
        <v>2161</v>
      </c>
      <c r="C1344" s="16" t="s">
        <v>984</v>
      </c>
      <c r="D1344" s="16" t="s">
        <v>707</v>
      </c>
      <c r="E1344" s="16">
        <v>2011.0</v>
      </c>
      <c r="F1344" s="16">
        <v>53.5219</v>
      </c>
      <c r="G1344" s="16">
        <v>13.3259</v>
      </c>
      <c r="H1344" s="15"/>
      <c r="I1344" s="15"/>
    </row>
    <row r="1345">
      <c r="A1345" s="18">
        <v>45665.0</v>
      </c>
      <c r="B1345" s="16" t="s">
        <v>2162</v>
      </c>
      <c r="C1345" s="16" t="s">
        <v>969</v>
      </c>
      <c r="D1345" s="16" t="s">
        <v>707</v>
      </c>
      <c r="E1345" s="16">
        <v>2011.0</v>
      </c>
      <c r="F1345" s="16">
        <v>50.8463</v>
      </c>
      <c r="G1345" s="16">
        <v>12.5193</v>
      </c>
      <c r="H1345" s="15"/>
      <c r="I1345" s="15"/>
    </row>
    <row r="1346">
      <c r="A1346" s="18">
        <v>45665.0</v>
      </c>
      <c r="B1346" s="16" t="s">
        <v>2163</v>
      </c>
      <c r="C1346" s="16" t="s">
        <v>1059</v>
      </c>
      <c r="D1346" s="16" t="s">
        <v>707</v>
      </c>
      <c r="E1346" s="16">
        <v>2011.0</v>
      </c>
      <c r="F1346" s="16">
        <v>51.8743</v>
      </c>
      <c r="G1346" s="16">
        <v>13.7943</v>
      </c>
      <c r="H1346" s="15"/>
      <c r="I1346" s="15"/>
    </row>
    <row r="1347">
      <c r="A1347" s="18">
        <v>45665.0</v>
      </c>
      <c r="B1347" s="16" t="s">
        <v>2164</v>
      </c>
      <c r="C1347" s="16" t="s">
        <v>1149</v>
      </c>
      <c r="D1347" s="16" t="s">
        <v>707</v>
      </c>
      <c r="E1347" s="16">
        <v>2011.0</v>
      </c>
      <c r="F1347" s="16">
        <v>51.8697</v>
      </c>
      <c r="G1347" s="16">
        <v>13.7857</v>
      </c>
      <c r="H1347" s="15"/>
      <c r="I1347" s="15"/>
    </row>
    <row r="1348">
      <c r="A1348" s="18">
        <v>45665.0</v>
      </c>
      <c r="B1348" s="16" t="s">
        <v>2165</v>
      </c>
      <c r="C1348" s="16" t="s">
        <v>961</v>
      </c>
      <c r="D1348" s="16" t="s">
        <v>707</v>
      </c>
      <c r="E1348" s="16">
        <v>2011.0</v>
      </c>
      <c r="F1348" s="16">
        <v>52.1064</v>
      </c>
      <c r="G1348" s="16">
        <v>13.1629</v>
      </c>
      <c r="H1348" s="15"/>
      <c r="I1348" s="15"/>
    </row>
    <row r="1349">
      <c r="A1349" s="18">
        <v>45665.0</v>
      </c>
      <c r="B1349" s="16" t="s">
        <v>2166</v>
      </c>
      <c r="C1349" s="16" t="s">
        <v>969</v>
      </c>
      <c r="D1349" s="16" t="s">
        <v>707</v>
      </c>
      <c r="E1349" s="16">
        <v>2011.0</v>
      </c>
      <c r="F1349" s="16">
        <v>51.5488</v>
      </c>
      <c r="G1349" s="16">
        <v>13.2158</v>
      </c>
      <c r="H1349" s="15"/>
      <c r="I1349" s="15"/>
    </row>
    <row r="1350">
      <c r="A1350" s="18">
        <v>45665.0</v>
      </c>
      <c r="B1350" s="16" t="s">
        <v>2167</v>
      </c>
      <c r="C1350" s="16">
        <v>4.0</v>
      </c>
      <c r="D1350" s="16" t="s">
        <v>707</v>
      </c>
      <c r="E1350" s="16">
        <v>2011.0</v>
      </c>
      <c r="F1350" s="16">
        <v>51.5496</v>
      </c>
      <c r="G1350" s="16">
        <v>13.2127</v>
      </c>
      <c r="H1350" s="15"/>
      <c r="I1350" s="15"/>
    </row>
    <row r="1351">
      <c r="A1351" s="18">
        <v>45665.0</v>
      </c>
      <c r="B1351" s="16" t="s">
        <v>2168</v>
      </c>
      <c r="C1351" s="16" t="s">
        <v>1039</v>
      </c>
      <c r="D1351" s="16" t="s">
        <v>707</v>
      </c>
      <c r="E1351" s="16">
        <v>2011.0</v>
      </c>
      <c r="F1351" s="16">
        <v>52.0672</v>
      </c>
      <c r="G1351" s="16">
        <v>7.4322</v>
      </c>
      <c r="H1351" s="15"/>
      <c r="I1351" s="15"/>
    </row>
    <row r="1352">
      <c r="A1352" s="18">
        <v>45665.0</v>
      </c>
      <c r="B1352" s="16" t="s">
        <v>2169</v>
      </c>
      <c r="C1352" s="16">
        <v>2.0</v>
      </c>
      <c r="D1352" s="16" t="s">
        <v>707</v>
      </c>
      <c r="E1352" s="16">
        <v>2011.0</v>
      </c>
      <c r="F1352" s="16">
        <v>50.0014</v>
      </c>
      <c r="G1352" s="16">
        <v>7.0203</v>
      </c>
      <c r="H1352" s="15"/>
      <c r="I1352" s="15"/>
    </row>
    <row r="1353">
      <c r="A1353" s="18">
        <v>45665.0</v>
      </c>
      <c r="B1353" s="16" t="s">
        <v>2170</v>
      </c>
      <c r="C1353" s="16" t="s">
        <v>942</v>
      </c>
      <c r="D1353" s="16" t="s">
        <v>707</v>
      </c>
      <c r="E1353" s="16">
        <v>2011.0</v>
      </c>
      <c r="F1353" s="16">
        <v>50.0856</v>
      </c>
      <c r="G1353" s="16">
        <v>7.2798</v>
      </c>
      <c r="H1353" s="15"/>
      <c r="I1353" s="15"/>
    </row>
    <row r="1354">
      <c r="A1354" s="18">
        <v>45665.0</v>
      </c>
      <c r="B1354" s="16" t="s">
        <v>2171</v>
      </c>
      <c r="C1354" s="16">
        <v>1.0</v>
      </c>
      <c r="D1354" s="16" t="s">
        <v>707</v>
      </c>
      <c r="E1354" s="16">
        <v>2011.0</v>
      </c>
      <c r="F1354" s="16">
        <v>49.9503</v>
      </c>
      <c r="G1354" s="16">
        <v>6.3982</v>
      </c>
      <c r="H1354" s="15"/>
      <c r="I1354" s="15"/>
    </row>
    <row r="1355">
      <c r="A1355" s="18">
        <v>45665.0</v>
      </c>
      <c r="B1355" s="16" t="s">
        <v>2172</v>
      </c>
      <c r="C1355" s="16" t="s">
        <v>984</v>
      </c>
      <c r="D1355" s="16" t="s">
        <v>707</v>
      </c>
      <c r="E1355" s="16">
        <v>2011.0</v>
      </c>
      <c r="F1355" s="16">
        <v>49.662</v>
      </c>
      <c r="G1355" s="16">
        <v>12.0346</v>
      </c>
      <c r="H1355" s="15"/>
      <c r="I1355" s="15"/>
    </row>
    <row r="1356">
      <c r="A1356" s="18">
        <v>45665.0</v>
      </c>
      <c r="B1356" s="16" t="s">
        <v>2173</v>
      </c>
      <c r="C1356" s="16" t="s">
        <v>1751</v>
      </c>
      <c r="D1356" s="16" t="s">
        <v>707</v>
      </c>
      <c r="E1356" s="16">
        <v>2011.0</v>
      </c>
      <c r="F1356" s="16">
        <v>51.662</v>
      </c>
      <c r="G1356" s="16">
        <v>12.3326</v>
      </c>
      <c r="H1356" s="15"/>
      <c r="I1356" s="15"/>
    </row>
    <row r="1357">
      <c r="A1357" s="18">
        <v>45665.0</v>
      </c>
      <c r="B1357" s="16" t="s">
        <v>2174</v>
      </c>
      <c r="C1357" s="16" t="s">
        <v>1039</v>
      </c>
      <c r="D1357" s="16" t="s">
        <v>707</v>
      </c>
      <c r="E1357" s="16">
        <v>2011.0</v>
      </c>
      <c r="F1357" s="16">
        <v>51.5137</v>
      </c>
      <c r="G1357" s="16">
        <v>8.1364</v>
      </c>
      <c r="H1357" s="15"/>
      <c r="I1357" s="15"/>
    </row>
    <row r="1358">
      <c r="A1358" s="18">
        <v>45665.0</v>
      </c>
      <c r="B1358" s="16" t="s">
        <v>2175</v>
      </c>
      <c r="C1358" s="16" t="s">
        <v>1771</v>
      </c>
      <c r="D1358" s="16" t="s">
        <v>707</v>
      </c>
      <c r="E1358" s="16">
        <v>2011.0</v>
      </c>
      <c r="F1358" s="16">
        <v>51.2255</v>
      </c>
      <c r="G1358" s="16">
        <v>10.4738</v>
      </c>
      <c r="H1358" s="15"/>
      <c r="I1358" s="15"/>
    </row>
    <row r="1359">
      <c r="A1359" s="18">
        <v>45665.0</v>
      </c>
      <c r="B1359" s="16" t="s">
        <v>2176</v>
      </c>
      <c r="C1359" s="16" t="s">
        <v>959</v>
      </c>
      <c r="D1359" s="16" t="s">
        <v>707</v>
      </c>
      <c r="E1359" s="16">
        <v>2011.0</v>
      </c>
      <c r="F1359" s="16">
        <v>51.6295</v>
      </c>
      <c r="G1359" s="16">
        <v>13.5143</v>
      </c>
      <c r="H1359" s="15"/>
      <c r="I1359" s="15"/>
    </row>
    <row r="1360">
      <c r="A1360" s="18">
        <v>45665.0</v>
      </c>
      <c r="B1360" s="16" t="s">
        <v>2177</v>
      </c>
      <c r="C1360" s="16">
        <v>4.0</v>
      </c>
      <c r="D1360" s="16" t="s">
        <v>707</v>
      </c>
      <c r="E1360" s="16">
        <v>2011.0</v>
      </c>
      <c r="F1360" s="16">
        <v>51.3077</v>
      </c>
      <c r="G1360" s="16">
        <v>11.9618</v>
      </c>
      <c r="H1360" s="15"/>
      <c r="I1360" s="15"/>
    </row>
    <row r="1361">
      <c r="A1361" s="18">
        <v>45665.0</v>
      </c>
      <c r="B1361" s="16" t="s">
        <v>2178</v>
      </c>
      <c r="C1361" s="16" t="s">
        <v>969</v>
      </c>
      <c r="D1361" s="16" t="s">
        <v>707</v>
      </c>
      <c r="E1361" s="16">
        <v>2011.0</v>
      </c>
      <c r="F1361" s="16">
        <v>51.3809</v>
      </c>
      <c r="G1361" s="16">
        <v>12.7746</v>
      </c>
      <c r="H1361" s="15"/>
      <c r="I1361" s="15"/>
    </row>
    <row r="1362">
      <c r="A1362" s="18">
        <v>45665.0</v>
      </c>
      <c r="B1362" s="16" t="s">
        <v>2179</v>
      </c>
      <c r="C1362" s="16" t="s">
        <v>948</v>
      </c>
      <c r="D1362" s="16" t="s">
        <v>707</v>
      </c>
      <c r="E1362" s="16">
        <v>2011.0</v>
      </c>
      <c r="F1362" s="16">
        <v>50.3941</v>
      </c>
      <c r="G1362" s="16">
        <v>12.4155</v>
      </c>
      <c r="H1362" s="15"/>
      <c r="I1362" s="15"/>
    </row>
    <row r="1363">
      <c r="A1363" s="18">
        <v>45665.0</v>
      </c>
      <c r="B1363" s="16" t="s">
        <v>2180</v>
      </c>
      <c r="C1363" s="16" t="s">
        <v>961</v>
      </c>
      <c r="D1363" s="16" t="s">
        <v>707</v>
      </c>
      <c r="E1363" s="16">
        <v>2011.0</v>
      </c>
      <c r="F1363" s="16">
        <v>50.8436</v>
      </c>
      <c r="G1363" s="16">
        <v>12.3245</v>
      </c>
      <c r="H1363" s="15"/>
      <c r="I1363" s="15"/>
    </row>
    <row r="1364">
      <c r="A1364" s="18">
        <v>45665.0</v>
      </c>
      <c r="B1364" s="16" t="s">
        <v>2181</v>
      </c>
      <c r="C1364" s="16" t="s">
        <v>1090</v>
      </c>
      <c r="D1364" s="16" t="s">
        <v>707</v>
      </c>
      <c r="E1364" s="16">
        <v>2011.0</v>
      </c>
      <c r="F1364" s="16">
        <v>51.2887</v>
      </c>
      <c r="G1364" s="16">
        <v>12.5941</v>
      </c>
      <c r="H1364" s="15"/>
      <c r="I1364" s="15"/>
    </row>
    <row r="1365">
      <c r="A1365" s="18">
        <v>45665.0</v>
      </c>
      <c r="B1365" s="16" t="s">
        <v>2182</v>
      </c>
      <c r="C1365" s="16" t="s">
        <v>1096</v>
      </c>
      <c r="D1365" s="16" t="s">
        <v>707</v>
      </c>
      <c r="E1365" s="16">
        <v>2011.0</v>
      </c>
      <c r="F1365" s="16">
        <v>51.688</v>
      </c>
      <c r="G1365" s="16">
        <v>14.4225</v>
      </c>
      <c r="H1365" s="15"/>
      <c r="I1365" s="15"/>
    </row>
    <row r="1366">
      <c r="A1366" s="18">
        <v>45665.0</v>
      </c>
      <c r="B1366" s="16" t="s">
        <v>2183</v>
      </c>
      <c r="C1366" s="16" t="s">
        <v>2184</v>
      </c>
      <c r="D1366" s="16" t="s">
        <v>707</v>
      </c>
      <c r="E1366" s="16">
        <v>2011.0</v>
      </c>
      <c r="F1366" s="16">
        <v>51.6816</v>
      </c>
      <c r="G1366" s="16">
        <v>14.4214</v>
      </c>
      <c r="H1366" s="15"/>
      <c r="I1366" s="15"/>
    </row>
    <row r="1367">
      <c r="A1367" s="18">
        <v>45665.0</v>
      </c>
      <c r="B1367" s="16" t="s">
        <v>2185</v>
      </c>
      <c r="C1367" s="16" t="s">
        <v>982</v>
      </c>
      <c r="D1367" s="16" t="s">
        <v>707</v>
      </c>
      <c r="E1367" s="16">
        <v>2011.0</v>
      </c>
      <c r="F1367" s="16">
        <v>51.6649</v>
      </c>
      <c r="G1367" s="16">
        <v>12.355</v>
      </c>
      <c r="H1367" s="15"/>
      <c r="I1367" s="15"/>
    </row>
    <row r="1368">
      <c r="A1368" s="18">
        <v>45665.0</v>
      </c>
      <c r="B1368" s="16" t="s">
        <v>2186</v>
      </c>
      <c r="C1368" s="16">
        <v>2.0</v>
      </c>
      <c r="D1368" s="16" t="s">
        <v>707</v>
      </c>
      <c r="E1368" s="16">
        <v>2011.0</v>
      </c>
      <c r="F1368" s="16">
        <v>49.326</v>
      </c>
      <c r="G1368" s="16">
        <v>8.2115</v>
      </c>
      <c r="H1368" s="15"/>
      <c r="I1368" s="15"/>
    </row>
    <row r="1369">
      <c r="A1369" s="18">
        <v>45665.0</v>
      </c>
      <c r="B1369" s="16" t="s">
        <v>2187</v>
      </c>
      <c r="C1369" s="16" t="s">
        <v>1039</v>
      </c>
      <c r="D1369" s="16" t="s">
        <v>707</v>
      </c>
      <c r="E1369" s="16">
        <v>2011.0</v>
      </c>
      <c r="F1369" s="16">
        <v>50.9717</v>
      </c>
      <c r="G1369" s="16">
        <v>12.5141</v>
      </c>
      <c r="H1369" s="15"/>
      <c r="I1369" s="15"/>
    </row>
    <row r="1370">
      <c r="A1370" s="18">
        <v>45665.0</v>
      </c>
      <c r="B1370" s="16" t="s">
        <v>2188</v>
      </c>
      <c r="C1370" s="16" t="s">
        <v>942</v>
      </c>
      <c r="D1370" s="16" t="s">
        <v>707</v>
      </c>
      <c r="E1370" s="16">
        <v>2011.0</v>
      </c>
      <c r="F1370" s="16">
        <v>48.1804</v>
      </c>
      <c r="G1370" s="16">
        <v>12.5208</v>
      </c>
      <c r="H1370" s="15"/>
      <c r="I1370" s="15"/>
    </row>
    <row r="1371">
      <c r="A1371" s="18">
        <v>45665.0</v>
      </c>
      <c r="B1371" s="16" t="s">
        <v>2189</v>
      </c>
      <c r="C1371" s="16" t="s">
        <v>942</v>
      </c>
      <c r="D1371" s="16" t="s">
        <v>707</v>
      </c>
      <c r="E1371" s="16">
        <v>2011.0</v>
      </c>
      <c r="F1371" s="16">
        <v>47.981</v>
      </c>
      <c r="G1371" s="16">
        <v>12.4295</v>
      </c>
      <c r="H1371" s="15"/>
      <c r="I1371" s="15"/>
    </row>
    <row r="1372">
      <c r="A1372" s="18">
        <v>45665.0</v>
      </c>
      <c r="B1372" s="16" t="s">
        <v>2190</v>
      </c>
      <c r="C1372" s="16" t="s">
        <v>978</v>
      </c>
      <c r="D1372" s="16" t="s">
        <v>707</v>
      </c>
      <c r="E1372" s="16">
        <v>2011.0</v>
      </c>
      <c r="F1372" s="16">
        <v>49.4471</v>
      </c>
      <c r="G1372" s="16">
        <v>8.4317</v>
      </c>
      <c r="H1372" s="15"/>
      <c r="I1372" s="15"/>
    </row>
    <row r="1373">
      <c r="A1373" s="18">
        <v>45665.0</v>
      </c>
      <c r="B1373" s="16" t="s">
        <v>2191</v>
      </c>
      <c r="C1373" s="16" t="s">
        <v>1037</v>
      </c>
      <c r="D1373" s="16" t="s">
        <v>707</v>
      </c>
      <c r="E1373" s="16">
        <v>2011.0</v>
      </c>
      <c r="F1373" s="16">
        <v>49.9905</v>
      </c>
      <c r="G1373" s="16">
        <v>8.3837</v>
      </c>
      <c r="H1373" s="15"/>
      <c r="I1373" s="15"/>
    </row>
    <row r="1374">
      <c r="A1374" s="18">
        <v>45665.0</v>
      </c>
      <c r="B1374" s="16" t="s">
        <v>2192</v>
      </c>
      <c r="C1374" s="16" t="s">
        <v>1055</v>
      </c>
      <c r="D1374" s="16" t="s">
        <v>707</v>
      </c>
      <c r="E1374" s="16">
        <v>2011.0</v>
      </c>
      <c r="F1374" s="16">
        <v>51.8078</v>
      </c>
      <c r="G1374" s="16">
        <v>12.3449</v>
      </c>
      <c r="H1374" s="15"/>
      <c r="I1374" s="15"/>
    </row>
    <row r="1375">
      <c r="A1375" s="18">
        <v>45665.0</v>
      </c>
      <c r="B1375" s="16" t="s">
        <v>2193</v>
      </c>
      <c r="C1375" s="16">
        <v>1.0</v>
      </c>
      <c r="D1375" s="16" t="s">
        <v>707</v>
      </c>
      <c r="E1375" s="16">
        <v>2011.0</v>
      </c>
      <c r="F1375" s="16">
        <v>50.9331</v>
      </c>
      <c r="G1375" s="16">
        <v>11.4693</v>
      </c>
      <c r="H1375" s="15"/>
      <c r="I1375" s="15"/>
    </row>
    <row r="1376">
      <c r="A1376" s="18">
        <v>45665.0</v>
      </c>
      <c r="B1376" s="16" t="s">
        <v>2194</v>
      </c>
      <c r="C1376" s="16">
        <v>1.0</v>
      </c>
      <c r="D1376" s="16" t="s">
        <v>707</v>
      </c>
      <c r="E1376" s="16">
        <v>2011.0</v>
      </c>
      <c r="F1376" s="16">
        <v>48.6965</v>
      </c>
      <c r="G1376" s="16">
        <v>13.0174</v>
      </c>
      <c r="H1376" s="15"/>
      <c r="I1376" s="15"/>
    </row>
    <row r="1377">
      <c r="A1377" s="18">
        <v>45665.0</v>
      </c>
      <c r="B1377" s="16" t="s">
        <v>2195</v>
      </c>
      <c r="C1377" s="16" t="s">
        <v>990</v>
      </c>
      <c r="D1377" s="16" t="s">
        <v>707</v>
      </c>
      <c r="E1377" s="16">
        <v>2011.0</v>
      </c>
      <c r="F1377" s="16">
        <v>50.4244</v>
      </c>
      <c r="G1377" s="16">
        <v>8.5438</v>
      </c>
      <c r="H1377" s="15"/>
      <c r="I1377" s="15"/>
    </row>
    <row r="1378">
      <c r="A1378" s="18">
        <v>45665.0</v>
      </c>
      <c r="B1378" s="16" t="s">
        <v>2196</v>
      </c>
      <c r="C1378" s="16">
        <v>1.0</v>
      </c>
      <c r="D1378" s="16" t="s">
        <v>707</v>
      </c>
      <c r="E1378" s="16">
        <v>2011.0</v>
      </c>
      <c r="F1378" s="16">
        <v>51.8782</v>
      </c>
      <c r="G1378" s="16">
        <v>9.0804</v>
      </c>
      <c r="H1378" s="15"/>
      <c r="I1378" s="15"/>
    </row>
    <row r="1379">
      <c r="A1379" s="18">
        <v>45665.0</v>
      </c>
      <c r="B1379" s="16" t="s">
        <v>2197</v>
      </c>
      <c r="C1379" s="16" t="s">
        <v>1267</v>
      </c>
      <c r="D1379" s="16" t="s">
        <v>707</v>
      </c>
      <c r="E1379" s="16">
        <v>2011.0</v>
      </c>
      <c r="F1379" s="16">
        <v>51.6579</v>
      </c>
      <c r="G1379" s="16">
        <v>12.3507</v>
      </c>
      <c r="H1379" s="15"/>
      <c r="I1379" s="15"/>
    </row>
    <row r="1380">
      <c r="A1380" s="18">
        <v>45665.0</v>
      </c>
      <c r="B1380" s="16" t="s">
        <v>2198</v>
      </c>
      <c r="C1380" s="16" t="s">
        <v>969</v>
      </c>
      <c r="D1380" s="16" t="s">
        <v>707</v>
      </c>
      <c r="E1380" s="16">
        <v>2011.0</v>
      </c>
      <c r="F1380" s="16">
        <v>50.8792</v>
      </c>
      <c r="G1380" s="16">
        <v>12.2241</v>
      </c>
      <c r="H1380" s="15"/>
      <c r="I1380" s="15"/>
    </row>
    <row r="1381">
      <c r="A1381" s="18">
        <v>45665.0</v>
      </c>
      <c r="B1381" s="16" t="s">
        <v>2199</v>
      </c>
      <c r="C1381" s="16" t="s">
        <v>1039</v>
      </c>
      <c r="D1381" s="16" t="s">
        <v>707</v>
      </c>
      <c r="E1381" s="16">
        <v>2011.0</v>
      </c>
      <c r="F1381" s="16">
        <v>52.4379</v>
      </c>
      <c r="G1381" s="16">
        <v>8.6444</v>
      </c>
      <c r="H1381" s="15"/>
      <c r="I1381" s="15"/>
    </row>
    <row r="1382">
      <c r="A1382" s="18">
        <v>45665.0</v>
      </c>
      <c r="B1382" s="16" t="s">
        <v>2200</v>
      </c>
      <c r="C1382" s="16" t="s">
        <v>1059</v>
      </c>
      <c r="D1382" s="16" t="s">
        <v>707</v>
      </c>
      <c r="E1382" s="16">
        <v>2011.0</v>
      </c>
      <c r="F1382" s="16">
        <v>52.4363</v>
      </c>
      <c r="G1382" s="16">
        <v>8.6446</v>
      </c>
      <c r="H1382" s="15"/>
      <c r="I1382" s="15"/>
    </row>
    <row r="1383">
      <c r="A1383" s="18">
        <v>45665.0</v>
      </c>
      <c r="B1383" s="16" t="s">
        <v>2201</v>
      </c>
      <c r="C1383" s="16">
        <v>1.0</v>
      </c>
      <c r="D1383" s="16" t="s">
        <v>707</v>
      </c>
      <c r="E1383" s="16">
        <v>2011.0</v>
      </c>
      <c r="F1383" s="16">
        <v>51.0153</v>
      </c>
      <c r="G1383" s="16">
        <v>13.7092</v>
      </c>
      <c r="H1383" s="15"/>
      <c r="I1383" s="15"/>
    </row>
    <row r="1384">
      <c r="A1384" s="18">
        <v>45665.0</v>
      </c>
      <c r="B1384" s="16" t="s">
        <v>2202</v>
      </c>
      <c r="C1384" s="16" t="s">
        <v>948</v>
      </c>
      <c r="D1384" s="16" t="s">
        <v>707</v>
      </c>
      <c r="E1384" s="16">
        <v>2011.0</v>
      </c>
      <c r="F1384" s="16">
        <v>49.2049</v>
      </c>
      <c r="G1384" s="16">
        <v>11.3497</v>
      </c>
      <c r="H1384" s="15"/>
      <c r="I1384" s="15"/>
    </row>
    <row r="1385">
      <c r="A1385" s="18">
        <v>45665.0</v>
      </c>
      <c r="B1385" s="16" t="s">
        <v>2203</v>
      </c>
      <c r="C1385" s="16" t="s">
        <v>978</v>
      </c>
      <c r="D1385" s="16" t="s">
        <v>707</v>
      </c>
      <c r="E1385" s="16">
        <v>2011.0</v>
      </c>
      <c r="F1385" s="16">
        <v>48.899</v>
      </c>
      <c r="G1385" s="16">
        <v>10.197</v>
      </c>
      <c r="H1385" s="15"/>
      <c r="I1385" s="15"/>
    </row>
    <row r="1386">
      <c r="A1386" s="18">
        <v>45665.0</v>
      </c>
      <c r="B1386" s="16" t="s">
        <v>2204</v>
      </c>
      <c r="C1386" s="16" t="s">
        <v>1055</v>
      </c>
      <c r="D1386" s="16" t="s">
        <v>707</v>
      </c>
      <c r="E1386" s="16">
        <v>2011.0</v>
      </c>
      <c r="F1386" s="16">
        <v>48.8927</v>
      </c>
      <c r="G1386" s="16">
        <v>10.2045</v>
      </c>
      <c r="H1386" s="15"/>
      <c r="I1386" s="15"/>
    </row>
    <row r="1387">
      <c r="A1387" s="18">
        <v>45665.0</v>
      </c>
      <c r="B1387" s="16" t="s">
        <v>2205</v>
      </c>
      <c r="C1387" s="16" t="s">
        <v>946</v>
      </c>
      <c r="D1387" s="16" t="s">
        <v>707</v>
      </c>
      <c r="E1387" s="16">
        <v>2011.0</v>
      </c>
      <c r="F1387" s="16">
        <v>50.8332</v>
      </c>
      <c r="G1387" s="16">
        <v>6.0215</v>
      </c>
      <c r="H1387" s="15"/>
      <c r="I1387" s="15"/>
    </row>
    <row r="1388">
      <c r="A1388" s="18">
        <v>45665.0</v>
      </c>
      <c r="B1388" s="16" t="s">
        <v>2206</v>
      </c>
      <c r="C1388" s="16" t="s">
        <v>959</v>
      </c>
      <c r="D1388" s="16" t="s">
        <v>707</v>
      </c>
      <c r="E1388" s="16">
        <v>2011.0</v>
      </c>
      <c r="F1388" s="16">
        <v>51.7189</v>
      </c>
      <c r="G1388" s="16">
        <v>9.073</v>
      </c>
      <c r="H1388" s="15"/>
      <c r="I1388" s="15"/>
    </row>
    <row r="1389">
      <c r="A1389" s="18">
        <v>45665.0</v>
      </c>
      <c r="B1389" s="16" t="s">
        <v>2207</v>
      </c>
      <c r="C1389" s="16" t="s">
        <v>948</v>
      </c>
      <c r="D1389" s="16" t="s">
        <v>707</v>
      </c>
      <c r="E1389" s="16">
        <v>2011.0</v>
      </c>
      <c r="F1389" s="16">
        <v>49.9765</v>
      </c>
      <c r="G1389" s="16">
        <v>9.7746</v>
      </c>
      <c r="H1389" s="15"/>
      <c r="I1389" s="15"/>
    </row>
    <row r="1390">
      <c r="A1390" s="18">
        <v>45665.0</v>
      </c>
      <c r="B1390" s="16" t="s">
        <v>2208</v>
      </c>
      <c r="C1390" s="16">
        <v>1.0</v>
      </c>
      <c r="D1390" s="16" t="s">
        <v>707</v>
      </c>
      <c r="E1390" s="16">
        <v>2011.0</v>
      </c>
      <c r="F1390" s="16">
        <v>49.4986</v>
      </c>
      <c r="G1390" s="16">
        <v>9.321</v>
      </c>
      <c r="H1390" s="15"/>
      <c r="I1390" s="15"/>
    </row>
    <row r="1391">
      <c r="A1391" s="18">
        <v>45665.0</v>
      </c>
      <c r="B1391" s="16" t="s">
        <v>2209</v>
      </c>
      <c r="C1391" s="16" t="s">
        <v>946</v>
      </c>
      <c r="D1391" s="16" t="s">
        <v>707</v>
      </c>
      <c r="E1391" s="16">
        <v>2011.0</v>
      </c>
      <c r="F1391" s="16">
        <v>50.5237</v>
      </c>
      <c r="G1391" s="16">
        <v>10.3682</v>
      </c>
      <c r="H1391" s="15"/>
      <c r="I1391" s="15"/>
    </row>
    <row r="1392">
      <c r="A1392" s="18">
        <v>45665.0</v>
      </c>
      <c r="B1392" s="16" t="s">
        <v>2210</v>
      </c>
      <c r="C1392" s="16" t="s">
        <v>1055</v>
      </c>
      <c r="D1392" s="16" t="s">
        <v>707</v>
      </c>
      <c r="E1392" s="16">
        <v>2011.0</v>
      </c>
      <c r="F1392" s="16">
        <v>51.2772</v>
      </c>
      <c r="G1392" s="16">
        <v>12.7047</v>
      </c>
      <c r="H1392" s="15"/>
      <c r="I1392" s="15"/>
    </row>
    <row r="1393">
      <c r="A1393" s="18">
        <v>45665.0</v>
      </c>
      <c r="B1393" s="16" t="s">
        <v>2211</v>
      </c>
      <c r="C1393" s="16" t="s">
        <v>969</v>
      </c>
      <c r="D1393" s="16" t="s">
        <v>707</v>
      </c>
      <c r="E1393" s="16">
        <v>2011.0</v>
      </c>
      <c r="F1393" s="16">
        <v>48.5555</v>
      </c>
      <c r="G1393" s="16">
        <v>7.9925</v>
      </c>
      <c r="H1393" s="15"/>
      <c r="I1393" s="15"/>
    </row>
    <row r="1394">
      <c r="A1394" s="18">
        <v>45665.0</v>
      </c>
      <c r="B1394" s="16" t="s">
        <v>2212</v>
      </c>
      <c r="C1394" s="16" t="s">
        <v>1374</v>
      </c>
      <c r="D1394" s="16" t="s">
        <v>707</v>
      </c>
      <c r="E1394" s="16">
        <v>2011.0</v>
      </c>
      <c r="F1394" s="16">
        <v>50.6788</v>
      </c>
      <c r="G1394" s="16">
        <v>12.9199</v>
      </c>
      <c r="H1394" s="15"/>
      <c r="I1394" s="15"/>
    </row>
    <row r="1395">
      <c r="A1395" s="18">
        <v>45665.0</v>
      </c>
      <c r="B1395" s="16" t="s">
        <v>2213</v>
      </c>
      <c r="C1395" s="16" t="s">
        <v>965</v>
      </c>
      <c r="D1395" s="16" t="s">
        <v>707</v>
      </c>
      <c r="E1395" s="16">
        <v>2011.0</v>
      </c>
      <c r="F1395" s="16">
        <v>53.4472</v>
      </c>
      <c r="G1395" s="16">
        <v>11.222</v>
      </c>
      <c r="H1395" s="15"/>
      <c r="I1395" s="15"/>
    </row>
    <row r="1396">
      <c r="A1396" s="18">
        <v>45665.0</v>
      </c>
      <c r="B1396" s="16" t="s">
        <v>2214</v>
      </c>
      <c r="C1396" s="16">
        <v>1.0</v>
      </c>
      <c r="D1396" s="16" t="s">
        <v>707</v>
      </c>
      <c r="E1396" s="16">
        <v>2011.0</v>
      </c>
      <c r="F1396" s="16">
        <v>52.1908</v>
      </c>
      <c r="G1396" s="16">
        <v>14.2553</v>
      </c>
      <c r="H1396" s="15"/>
      <c r="I1396" s="15"/>
    </row>
    <row r="1397">
      <c r="A1397" s="18">
        <v>45665.0</v>
      </c>
      <c r="B1397" s="16" t="s">
        <v>2215</v>
      </c>
      <c r="C1397" s="16" t="s">
        <v>1059</v>
      </c>
      <c r="D1397" s="16" t="s">
        <v>707</v>
      </c>
      <c r="E1397" s="16">
        <v>2011.0</v>
      </c>
      <c r="F1397" s="16">
        <v>51.7709</v>
      </c>
      <c r="G1397" s="16">
        <v>11.7698</v>
      </c>
      <c r="H1397" s="15"/>
      <c r="I1397" s="15"/>
    </row>
    <row r="1398">
      <c r="A1398" s="18">
        <v>45665.0</v>
      </c>
      <c r="B1398" s="16" t="s">
        <v>2216</v>
      </c>
      <c r="C1398" s="16" t="s">
        <v>984</v>
      </c>
      <c r="D1398" s="16" t="s">
        <v>707</v>
      </c>
      <c r="E1398" s="16">
        <v>2011.0</v>
      </c>
      <c r="F1398" s="16">
        <v>49.3549</v>
      </c>
      <c r="G1398" s="16">
        <v>10.8127</v>
      </c>
      <c r="H1398" s="15"/>
      <c r="I1398" s="15"/>
    </row>
    <row r="1399">
      <c r="A1399" s="18">
        <v>45665.0</v>
      </c>
      <c r="B1399" s="16" t="s">
        <v>2217</v>
      </c>
      <c r="C1399" s="16">
        <v>1.0</v>
      </c>
      <c r="D1399" s="16" t="s">
        <v>707</v>
      </c>
      <c r="E1399" s="16">
        <v>2011.0</v>
      </c>
      <c r="F1399" s="16">
        <v>51.6516</v>
      </c>
      <c r="G1399" s="16">
        <v>13.6959</v>
      </c>
      <c r="H1399" s="15"/>
      <c r="I1399" s="15"/>
    </row>
    <row r="1400">
      <c r="A1400" s="18">
        <v>45665.0</v>
      </c>
      <c r="B1400" s="16" t="s">
        <v>2218</v>
      </c>
      <c r="C1400" s="16" t="s">
        <v>969</v>
      </c>
      <c r="D1400" s="16" t="s">
        <v>707</v>
      </c>
      <c r="E1400" s="16">
        <v>2011.0</v>
      </c>
      <c r="F1400" s="16">
        <v>48.5394</v>
      </c>
      <c r="G1400" s="16">
        <v>12.3164</v>
      </c>
      <c r="H1400" s="15"/>
      <c r="I1400" s="15"/>
    </row>
    <row r="1401">
      <c r="A1401" s="18">
        <v>45665.0</v>
      </c>
      <c r="B1401" s="16" t="s">
        <v>2219</v>
      </c>
      <c r="C1401" s="16" t="s">
        <v>959</v>
      </c>
      <c r="D1401" s="16" t="s">
        <v>707</v>
      </c>
      <c r="E1401" s="16">
        <v>2011.0</v>
      </c>
      <c r="F1401" s="16">
        <v>48.4207</v>
      </c>
      <c r="G1401" s="16">
        <v>10.7959</v>
      </c>
      <c r="H1401" s="15"/>
      <c r="I1401" s="15"/>
    </row>
    <row r="1402">
      <c r="A1402" s="18">
        <v>45665.0</v>
      </c>
      <c r="B1402" s="16" t="s">
        <v>2220</v>
      </c>
      <c r="C1402" s="16" t="s">
        <v>1007</v>
      </c>
      <c r="D1402" s="16" t="s">
        <v>707</v>
      </c>
      <c r="E1402" s="16">
        <v>2011.0</v>
      </c>
      <c r="F1402" s="16">
        <v>50.4213</v>
      </c>
      <c r="G1402" s="16">
        <v>10.9205</v>
      </c>
      <c r="H1402" s="15"/>
      <c r="I1402" s="15"/>
    </row>
    <row r="1403">
      <c r="A1403" s="18">
        <v>45665.0</v>
      </c>
      <c r="B1403" s="16" t="s">
        <v>2221</v>
      </c>
      <c r="C1403" s="16" t="s">
        <v>946</v>
      </c>
      <c r="D1403" s="16" t="s">
        <v>707</v>
      </c>
      <c r="E1403" s="16">
        <v>2011.0</v>
      </c>
      <c r="F1403" s="16">
        <v>48.5799</v>
      </c>
      <c r="G1403" s="16">
        <v>12.1561</v>
      </c>
      <c r="H1403" s="15"/>
      <c r="I1403" s="15"/>
    </row>
    <row r="1404">
      <c r="A1404" s="18">
        <v>45665.0</v>
      </c>
      <c r="B1404" s="16" t="s">
        <v>2222</v>
      </c>
      <c r="C1404" s="16">
        <v>1.0</v>
      </c>
      <c r="D1404" s="16" t="s">
        <v>707</v>
      </c>
      <c r="E1404" s="16">
        <v>2011.0</v>
      </c>
      <c r="F1404" s="16">
        <v>51.3026</v>
      </c>
      <c r="G1404" s="16">
        <v>11.4488</v>
      </c>
      <c r="H1404" s="15"/>
      <c r="I1404" s="15"/>
    </row>
    <row r="1405">
      <c r="A1405" s="18">
        <v>45665.0</v>
      </c>
      <c r="B1405" s="16" t="s">
        <v>2223</v>
      </c>
      <c r="C1405" s="16" t="s">
        <v>1055</v>
      </c>
      <c r="D1405" s="16" t="s">
        <v>707</v>
      </c>
      <c r="E1405" s="16">
        <v>2011.0</v>
      </c>
      <c r="F1405" s="16">
        <v>54.5352</v>
      </c>
      <c r="G1405" s="16">
        <v>9.5455</v>
      </c>
      <c r="H1405" s="15"/>
      <c r="I1405" s="15"/>
    </row>
    <row r="1406">
      <c r="A1406" s="18">
        <v>45665.0</v>
      </c>
      <c r="B1406" s="16" t="s">
        <v>2224</v>
      </c>
      <c r="C1406" s="16" t="s">
        <v>1094</v>
      </c>
      <c r="D1406" s="16" t="s">
        <v>707</v>
      </c>
      <c r="E1406" s="16">
        <v>2011.0</v>
      </c>
      <c r="F1406" s="16">
        <v>49.6136</v>
      </c>
      <c r="G1406" s="16">
        <v>10.1801</v>
      </c>
      <c r="H1406" s="15"/>
      <c r="I1406" s="15"/>
    </row>
    <row r="1407">
      <c r="A1407" s="18">
        <v>45665.0</v>
      </c>
      <c r="B1407" s="16" t="s">
        <v>2225</v>
      </c>
      <c r="C1407" s="16" t="s">
        <v>1094</v>
      </c>
      <c r="D1407" s="16" t="s">
        <v>707</v>
      </c>
      <c r="E1407" s="16">
        <v>2011.0</v>
      </c>
      <c r="F1407" s="16">
        <v>49.6123</v>
      </c>
      <c r="G1407" s="16">
        <v>10.1783</v>
      </c>
      <c r="H1407" s="15"/>
      <c r="I1407" s="15"/>
    </row>
    <row r="1408">
      <c r="A1408" s="18">
        <v>45665.0</v>
      </c>
      <c r="B1408" s="16" t="s">
        <v>2226</v>
      </c>
      <c r="C1408" s="16" t="s">
        <v>961</v>
      </c>
      <c r="D1408" s="16" t="s">
        <v>707</v>
      </c>
      <c r="E1408" s="16">
        <v>2011.0</v>
      </c>
      <c r="F1408" s="16">
        <v>51.1933</v>
      </c>
      <c r="G1408" s="16">
        <v>9.7431</v>
      </c>
      <c r="H1408" s="15"/>
      <c r="I1408" s="15"/>
    </row>
    <row r="1409">
      <c r="A1409" s="18">
        <v>45665.0</v>
      </c>
      <c r="B1409" s="16" t="s">
        <v>2227</v>
      </c>
      <c r="C1409" s="16" t="s">
        <v>1059</v>
      </c>
      <c r="D1409" s="16" t="s">
        <v>707</v>
      </c>
      <c r="E1409" s="16">
        <v>2011.0</v>
      </c>
      <c r="F1409" s="16">
        <v>51.384</v>
      </c>
      <c r="G1409" s="16">
        <v>12.7773</v>
      </c>
      <c r="H1409" s="15"/>
      <c r="I1409" s="15"/>
    </row>
    <row r="1410">
      <c r="A1410" s="18">
        <v>45665.0</v>
      </c>
      <c r="B1410" s="16" t="s">
        <v>2228</v>
      </c>
      <c r="C1410" s="16" t="s">
        <v>1011</v>
      </c>
      <c r="D1410" s="16" t="s">
        <v>707</v>
      </c>
      <c r="E1410" s="16">
        <v>2011.0</v>
      </c>
      <c r="F1410" s="16">
        <v>48.9488</v>
      </c>
      <c r="G1410" s="16">
        <v>12.733</v>
      </c>
      <c r="H1410" s="15"/>
      <c r="I1410" s="15"/>
    </row>
    <row r="1411">
      <c r="A1411" s="18">
        <v>45665.0</v>
      </c>
      <c r="B1411" s="16" t="s">
        <v>2229</v>
      </c>
      <c r="C1411" s="16" t="s">
        <v>1004</v>
      </c>
      <c r="D1411" s="16" t="s">
        <v>707</v>
      </c>
      <c r="E1411" s="16">
        <v>2011.0</v>
      </c>
      <c r="F1411" s="16">
        <v>48.4132</v>
      </c>
      <c r="G1411" s="16">
        <v>10.4764</v>
      </c>
      <c r="H1411" s="15"/>
      <c r="I1411" s="15"/>
    </row>
    <row r="1412">
      <c r="A1412" s="18">
        <v>45665.0</v>
      </c>
      <c r="B1412" s="16" t="s">
        <v>2230</v>
      </c>
      <c r="C1412" s="16">
        <v>1.0</v>
      </c>
      <c r="D1412" s="16" t="s">
        <v>707</v>
      </c>
      <c r="E1412" s="16">
        <v>2011.0</v>
      </c>
      <c r="F1412" s="16">
        <v>48.6847</v>
      </c>
      <c r="G1412" s="16">
        <v>9.059</v>
      </c>
      <c r="H1412" s="15"/>
      <c r="I1412" s="15"/>
    </row>
    <row r="1413">
      <c r="A1413" s="18">
        <v>45665.0</v>
      </c>
      <c r="B1413" s="16" t="s">
        <v>2231</v>
      </c>
      <c r="C1413" s="16" t="s">
        <v>1085</v>
      </c>
      <c r="D1413" s="16" t="s">
        <v>707</v>
      </c>
      <c r="E1413" s="16">
        <v>2011.0</v>
      </c>
      <c r="F1413" s="16">
        <v>48.0807</v>
      </c>
      <c r="G1413" s="16">
        <v>10.862</v>
      </c>
      <c r="H1413" s="15"/>
      <c r="I1413" s="15"/>
    </row>
    <row r="1414">
      <c r="A1414" s="18">
        <v>45665.0</v>
      </c>
      <c r="B1414" s="16" t="s">
        <v>2232</v>
      </c>
      <c r="C1414" s="16" t="s">
        <v>990</v>
      </c>
      <c r="D1414" s="16" t="s">
        <v>707</v>
      </c>
      <c r="E1414" s="16">
        <v>2011.0</v>
      </c>
      <c r="F1414" s="16">
        <v>48.7464</v>
      </c>
      <c r="G1414" s="16">
        <v>12.2819</v>
      </c>
      <c r="H1414" s="15"/>
      <c r="I1414" s="15"/>
    </row>
    <row r="1415">
      <c r="A1415" s="18">
        <v>45665.0</v>
      </c>
      <c r="B1415" s="16" t="s">
        <v>2233</v>
      </c>
      <c r="C1415" s="16">
        <v>2.0</v>
      </c>
      <c r="D1415" s="16" t="s">
        <v>707</v>
      </c>
      <c r="E1415" s="16">
        <v>2011.0</v>
      </c>
      <c r="F1415" s="16">
        <v>52.1957</v>
      </c>
      <c r="G1415" s="16">
        <v>8.3806</v>
      </c>
      <c r="H1415" s="15"/>
      <c r="I1415" s="15"/>
    </row>
    <row r="1416">
      <c r="A1416" s="18">
        <v>45665.0</v>
      </c>
      <c r="B1416" s="16" t="s">
        <v>2234</v>
      </c>
      <c r="C1416" s="16">
        <v>1.0</v>
      </c>
      <c r="D1416" s="16" t="s">
        <v>707</v>
      </c>
      <c r="E1416" s="16">
        <v>2011.0</v>
      </c>
      <c r="F1416" s="16">
        <v>53.831</v>
      </c>
      <c r="G1416" s="16">
        <v>12.7929</v>
      </c>
      <c r="H1416" s="15"/>
      <c r="I1416" s="15"/>
    </row>
    <row r="1417">
      <c r="A1417" s="18">
        <v>45665.0</v>
      </c>
      <c r="B1417" s="16" t="s">
        <v>2235</v>
      </c>
      <c r="C1417" s="16">
        <v>3.0</v>
      </c>
      <c r="D1417" s="16" t="s">
        <v>707</v>
      </c>
      <c r="E1417" s="16">
        <v>2011.0</v>
      </c>
      <c r="F1417" s="16">
        <v>50.727</v>
      </c>
      <c r="G1417" s="16">
        <v>12.8035</v>
      </c>
      <c r="H1417" s="15"/>
      <c r="I1417" s="15"/>
    </row>
    <row r="1418">
      <c r="A1418" s="18">
        <v>45665.0</v>
      </c>
      <c r="B1418" s="16" t="s">
        <v>2236</v>
      </c>
      <c r="C1418" s="16">
        <v>1.0</v>
      </c>
      <c r="D1418" s="16" t="s">
        <v>707</v>
      </c>
      <c r="E1418" s="16">
        <v>2011.0</v>
      </c>
      <c r="F1418" s="16">
        <v>48.9565</v>
      </c>
      <c r="G1418" s="16">
        <v>13.1593</v>
      </c>
      <c r="H1418" s="15"/>
      <c r="I1418" s="15"/>
    </row>
    <row r="1419">
      <c r="A1419" s="18">
        <v>45665.0</v>
      </c>
      <c r="B1419" s="16" t="s">
        <v>2237</v>
      </c>
      <c r="C1419" s="16" t="s">
        <v>961</v>
      </c>
      <c r="D1419" s="16" t="s">
        <v>707</v>
      </c>
      <c r="E1419" s="16">
        <v>2011.0</v>
      </c>
      <c r="F1419" s="16">
        <v>52.2342</v>
      </c>
      <c r="G1419" s="16">
        <v>9.2482</v>
      </c>
      <c r="H1419" s="15"/>
      <c r="I1419" s="15"/>
    </row>
    <row r="1420">
      <c r="A1420" s="18">
        <v>45665.0</v>
      </c>
      <c r="B1420" s="16" t="s">
        <v>2238</v>
      </c>
      <c r="C1420" s="16" t="s">
        <v>1059</v>
      </c>
      <c r="D1420" s="16" t="s">
        <v>707</v>
      </c>
      <c r="E1420" s="16">
        <v>2011.0</v>
      </c>
      <c r="F1420" s="16">
        <v>49.3446</v>
      </c>
      <c r="G1420" s="16">
        <v>6.7674</v>
      </c>
      <c r="H1420" s="15"/>
      <c r="I1420" s="15"/>
    </row>
    <row r="1421">
      <c r="A1421" s="18">
        <v>45665.0</v>
      </c>
      <c r="B1421" s="16" t="s">
        <v>2239</v>
      </c>
      <c r="C1421" s="16" t="s">
        <v>959</v>
      </c>
      <c r="D1421" s="16" t="s">
        <v>707</v>
      </c>
      <c r="E1421" s="16">
        <v>2011.0</v>
      </c>
      <c r="F1421" s="16">
        <v>49.3162</v>
      </c>
      <c r="G1421" s="16">
        <v>10.8506</v>
      </c>
      <c r="H1421" s="15"/>
      <c r="I1421" s="15"/>
    </row>
    <row r="1422">
      <c r="A1422" s="18">
        <v>45665.0</v>
      </c>
      <c r="B1422" s="16" t="s">
        <v>2240</v>
      </c>
      <c r="C1422" s="16" t="s">
        <v>942</v>
      </c>
      <c r="D1422" s="16" t="s">
        <v>707</v>
      </c>
      <c r="E1422" s="16">
        <v>2011.0</v>
      </c>
      <c r="F1422" s="16">
        <v>52.7802</v>
      </c>
      <c r="G1422" s="16">
        <v>9.1396</v>
      </c>
      <c r="H1422" s="15"/>
      <c r="I1422" s="15"/>
    </row>
    <row r="1423">
      <c r="A1423" s="18">
        <v>45665.0</v>
      </c>
      <c r="B1423" s="16" t="s">
        <v>2241</v>
      </c>
      <c r="C1423" s="16" t="s">
        <v>1055</v>
      </c>
      <c r="D1423" s="16" t="s">
        <v>707</v>
      </c>
      <c r="E1423" s="16">
        <v>2011.0</v>
      </c>
      <c r="F1423" s="16">
        <v>52.3764</v>
      </c>
      <c r="G1423" s="16">
        <v>9.0055</v>
      </c>
      <c r="H1423" s="15"/>
      <c r="I1423" s="15"/>
    </row>
    <row r="1424">
      <c r="A1424" s="18">
        <v>45665.0</v>
      </c>
      <c r="B1424" s="16" t="s">
        <v>2242</v>
      </c>
      <c r="C1424" s="16" t="s">
        <v>1055</v>
      </c>
      <c r="D1424" s="16" t="s">
        <v>707</v>
      </c>
      <c r="E1424" s="16">
        <v>2011.0</v>
      </c>
      <c r="F1424" s="16">
        <v>52.467</v>
      </c>
      <c r="G1424" s="16">
        <v>8.8596</v>
      </c>
      <c r="H1424" s="15"/>
      <c r="I1424" s="15"/>
    </row>
    <row r="1425">
      <c r="A1425" s="18">
        <v>45665.0</v>
      </c>
      <c r="B1425" s="16" t="s">
        <v>2243</v>
      </c>
      <c r="C1425" s="16" t="s">
        <v>1310</v>
      </c>
      <c r="D1425" s="16" t="s">
        <v>707</v>
      </c>
      <c r="E1425" s="16">
        <v>2011.0</v>
      </c>
      <c r="F1425" s="16">
        <v>51.8649</v>
      </c>
      <c r="G1425" s="16">
        <v>11.6057</v>
      </c>
      <c r="H1425" s="15"/>
      <c r="I1425" s="15"/>
    </row>
    <row r="1426">
      <c r="A1426" s="18">
        <v>45665.0</v>
      </c>
      <c r="B1426" s="16" t="s">
        <v>2244</v>
      </c>
      <c r="C1426" s="16">
        <v>1.0</v>
      </c>
      <c r="D1426" s="16" t="s">
        <v>707</v>
      </c>
      <c r="E1426" s="16">
        <v>2011.0</v>
      </c>
      <c r="F1426" s="16">
        <v>47.7581</v>
      </c>
      <c r="G1426" s="16">
        <v>10.3233</v>
      </c>
      <c r="H1426" s="15"/>
      <c r="I1426" s="15"/>
    </row>
    <row r="1427">
      <c r="A1427" s="18">
        <v>45665.0</v>
      </c>
      <c r="B1427" s="16" t="s">
        <v>2245</v>
      </c>
      <c r="C1427" s="16">
        <v>1.0</v>
      </c>
      <c r="D1427" s="16" t="s">
        <v>707</v>
      </c>
      <c r="E1427" s="16">
        <v>2011.0</v>
      </c>
      <c r="F1427" s="16">
        <v>48.1177</v>
      </c>
      <c r="G1427" s="16">
        <v>12.453</v>
      </c>
      <c r="H1427" s="15"/>
      <c r="I1427" s="15"/>
    </row>
    <row r="1428">
      <c r="A1428" s="18">
        <v>45665.0</v>
      </c>
      <c r="B1428" s="16" t="s">
        <v>2246</v>
      </c>
      <c r="C1428" s="16" t="s">
        <v>951</v>
      </c>
      <c r="D1428" s="16" t="s">
        <v>707</v>
      </c>
      <c r="E1428" s="16">
        <v>2011.0</v>
      </c>
      <c r="F1428" s="16">
        <v>51.4023</v>
      </c>
      <c r="G1428" s="16">
        <v>11.2926</v>
      </c>
      <c r="H1428" s="15"/>
      <c r="I1428" s="15"/>
    </row>
    <row r="1429">
      <c r="A1429" s="18">
        <v>45665.0</v>
      </c>
      <c r="B1429" s="16" t="s">
        <v>2247</v>
      </c>
      <c r="C1429" s="16">
        <v>2.0</v>
      </c>
      <c r="D1429" s="16" t="s">
        <v>707</v>
      </c>
      <c r="E1429" s="16">
        <v>2011.0</v>
      </c>
      <c r="F1429" s="16">
        <v>49.3142</v>
      </c>
      <c r="G1429" s="16">
        <v>10.8491</v>
      </c>
      <c r="H1429" s="15"/>
      <c r="I1429" s="15"/>
    </row>
    <row r="1430">
      <c r="A1430" s="18">
        <v>45665.0</v>
      </c>
      <c r="B1430" s="16" t="s">
        <v>2248</v>
      </c>
      <c r="C1430" s="16" t="s">
        <v>1007</v>
      </c>
      <c r="D1430" s="16" t="s">
        <v>707</v>
      </c>
      <c r="E1430" s="16">
        <v>2011.0</v>
      </c>
      <c r="F1430" s="16">
        <v>51.9564</v>
      </c>
      <c r="G1430" s="16">
        <v>11.3828</v>
      </c>
      <c r="H1430" s="15"/>
      <c r="I1430" s="15"/>
    </row>
    <row r="1431">
      <c r="A1431" s="18">
        <v>45665.0</v>
      </c>
      <c r="B1431" s="16" t="s">
        <v>2249</v>
      </c>
      <c r="C1431" s="16" t="s">
        <v>969</v>
      </c>
      <c r="D1431" s="16" t="s">
        <v>707</v>
      </c>
      <c r="E1431" s="16">
        <v>2011.0</v>
      </c>
      <c r="F1431" s="16">
        <v>53.1251</v>
      </c>
      <c r="G1431" s="16">
        <v>7.876</v>
      </c>
      <c r="H1431" s="15"/>
      <c r="I1431" s="15"/>
    </row>
    <row r="1432">
      <c r="A1432" s="18">
        <v>45665.0</v>
      </c>
      <c r="B1432" s="16" t="s">
        <v>2250</v>
      </c>
      <c r="C1432" s="16" t="s">
        <v>969</v>
      </c>
      <c r="D1432" s="16" t="s">
        <v>707</v>
      </c>
      <c r="E1432" s="16">
        <v>2011.0</v>
      </c>
      <c r="F1432" s="16">
        <v>50.0029</v>
      </c>
      <c r="G1432" s="16">
        <v>10.463</v>
      </c>
      <c r="H1432" s="15"/>
      <c r="I1432" s="15"/>
    </row>
    <row r="1433">
      <c r="A1433" s="18">
        <v>45665.0</v>
      </c>
      <c r="B1433" s="16" t="s">
        <v>2251</v>
      </c>
      <c r="C1433" s="16">
        <v>3.0</v>
      </c>
      <c r="D1433" s="16" t="s">
        <v>707</v>
      </c>
      <c r="E1433" s="16">
        <v>2011.0</v>
      </c>
      <c r="F1433" s="16">
        <v>52.5623</v>
      </c>
      <c r="G1433" s="16">
        <v>12.9549</v>
      </c>
      <c r="H1433" s="15"/>
      <c r="I1433" s="15"/>
    </row>
    <row r="1434">
      <c r="A1434" s="18">
        <v>45665.0</v>
      </c>
      <c r="B1434" s="16" t="s">
        <v>2252</v>
      </c>
      <c r="C1434" s="16" t="s">
        <v>948</v>
      </c>
      <c r="D1434" s="16" t="s">
        <v>707</v>
      </c>
      <c r="E1434" s="16">
        <v>2011.0</v>
      </c>
      <c r="F1434" s="16">
        <v>51.5256</v>
      </c>
      <c r="G1434" s="16">
        <v>6.9681</v>
      </c>
      <c r="H1434" s="15"/>
      <c r="I1434" s="15"/>
    </row>
    <row r="1435">
      <c r="A1435" s="18">
        <v>45665.0</v>
      </c>
      <c r="B1435" s="16" t="s">
        <v>2253</v>
      </c>
      <c r="C1435" s="16" t="s">
        <v>1267</v>
      </c>
      <c r="D1435" s="16" t="s">
        <v>707</v>
      </c>
      <c r="E1435" s="16">
        <v>2011.0</v>
      </c>
      <c r="F1435" s="16">
        <v>53.3293</v>
      </c>
      <c r="G1435" s="16">
        <v>13.1258</v>
      </c>
      <c r="H1435" s="15"/>
      <c r="I1435" s="15"/>
    </row>
    <row r="1436">
      <c r="A1436" s="18">
        <v>45665.0</v>
      </c>
      <c r="B1436" s="16" t="s">
        <v>2254</v>
      </c>
      <c r="C1436" s="16" t="s">
        <v>1172</v>
      </c>
      <c r="D1436" s="16" t="s">
        <v>707</v>
      </c>
      <c r="E1436" s="16">
        <v>2011.0</v>
      </c>
      <c r="F1436" s="16">
        <v>53.1049</v>
      </c>
      <c r="G1436" s="16">
        <v>9.2596</v>
      </c>
      <c r="H1436" s="15"/>
      <c r="I1436" s="15"/>
    </row>
    <row r="1437">
      <c r="A1437" s="18">
        <v>45665.0</v>
      </c>
      <c r="B1437" s="16" t="s">
        <v>2255</v>
      </c>
      <c r="C1437" s="16" t="s">
        <v>948</v>
      </c>
      <c r="D1437" s="16" t="s">
        <v>707</v>
      </c>
      <c r="E1437" s="16">
        <v>2011.0</v>
      </c>
      <c r="F1437" s="16">
        <v>50.4885</v>
      </c>
      <c r="G1437" s="16">
        <v>9.9789</v>
      </c>
      <c r="H1437" s="15"/>
      <c r="I1437" s="15"/>
    </row>
    <row r="1438">
      <c r="A1438" s="18">
        <v>45665.0</v>
      </c>
      <c r="B1438" s="16" t="s">
        <v>2256</v>
      </c>
      <c r="C1438" s="16">
        <v>1.0</v>
      </c>
      <c r="D1438" s="16" t="s">
        <v>707</v>
      </c>
      <c r="E1438" s="16">
        <v>2011.0</v>
      </c>
      <c r="F1438" s="16">
        <v>49.204</v>
      </c>
      <c r="G1438" s="16">
        <v>12.6817</v>
      </c>
      <c r="H1438" s="15"/>
      <c r="I1438" s="15"/>
    </row>
    <row r="1439">
      <c r="A1439" s="18">
        <v>45665.0</v>
      </c>
      <c r="B1439" s="16" t="s">
        <v>2257</v>
      </c>
      <c r="C1439" s="16" t="s">
        <v>946</v>
      </c>
      <c r="D1439" s="16" t="s">
        <v>707</v>
      </c>
      <c r="E1439" s="16">
        <v>2011.0</v>
      </c>
      <c r="F1439" s="16">
        <v>51.1408</v>
      </c>
      <c r="G1439" s="16">
        <v>11.3337</v>
      </c>
      <c r="H1439" s="15"/>
      <c r="I1439" s="15"/>
    </row>
    <row r="1440">
      <c r="A1440" s="18">
        <v>45665.0</v>
      </c>
      <c r="B1440" s="16" t="s">
        <v>2258</v>
      </c>
      <c r="C1440" s="16" t="s">
        <v>969</v>
      </c>
      <c r="D1440" s="16" t="s">
        <v>707</v>
      </c>
      <c r="E1440" s="16">
        <v>2011.0</v>
      </c>
      <c r="F1440" s="16">
        <v>51.8994</v>
      </c>
      <c r="G1440" s="16">
        <v>7.1345</v>
      </c>
      <c r="H1440" s="15"/>
      <c r="I1440" s="15"/>
    </row>
    <row r="1441">
      <c r="A1441" s="18">
        <v>45665.0</v>
      </c>
      <c r="B1441" s="16" t="s">
        <v>2259</v>
      </c>
      <c r="C1441" s="16" t="s">
        <v>948</v>
      </c>
      <c r="D1441" s="16" t="s">
        <v>707</v>
      </c>
      <c r="E1441" s="16">
        <v>2011.0</v>
      </c>
      <c r="F1441" s="16">
        <v>48.5782</v>
      </c>
      <c r="G1441" s="16">
        <v>12.1587</v>
      </c>
      <c r="H1441" s="15"/>
      <c r="I1441" s="15"/>
    </row>
    <row r="1442">
      <c r="A1442" s="18">
        <v>45665.0</v>
      </c>
      <c r="B1442" s="16" t="s">
        <v>2260</v>
      </c>
      <c r="C1442" s="16" t="s">
        <v>942</v>
      </c>
      <c r="D1442" s="16" t="s">
        <v>707</v>
      </c>
      <c r="E1442" s="16">
        <v>2011.0</v>
      </c>
      <c r="F1442" s="16">
        <v>50.894</v>
      </c>
      <c r="G1442" s="16">
        <v>12.074</v>
      </c>
      <c r="H1442" s="15"/>
      <c r="I1442" s="15"/>
    </row>
    <row r="1443">
      <c r="A1443" s="18">
        <v>45665.0</v>
      </c>
      <c r="B1443" s="16" t="s">
        <v>2261</v>
      </c>
      <c r="C1443" s="16" t="s">
        <v>942</v>
      </c>
      <c r="D1443" s="16" t="s">
        <v>707</v>
      </c>
      <c r="E1443" s="16">
        <v>2011.0</v>
      </c>
      <c r="F1443" s="16">
        <v>51.091</v>
      </c>
      <c r="G1443" s="16">
        <v>11.1099</v>
      </c>
      <c r="H1443" s="15"/>
      <c r="I1443" s="15"/>
    </row>
    <row r="1444">
      <c r="A1444" s="18">
        <v>45665.0</v>
      </c>
      <c r="B1444" s="16" t="s">
        <v>2262</v>
      </c>
      <c r="C1444" s="16" t="s">
        <v>1059</v>
      </c>
      <c r="D1444" s="16" t="s">
        <v>707</v>
      </c>
      <c r="E1444" s="16">
        <v>2011.0</v>
      </c>
      <c r="F1444" s="16">
        <v>51.1769</v>
      </c>
      <c r="G1444" s="16">
        <v>12.0583</v>
      </c>
      <c r="H1444" s="15"/>
      <c r="I1444" s="15"/>
    </row>
    <row r="1445">
      <c r="A1445" s="18">
        <v>45665.0</v>
      </c>
      <c r="B1445" s="16" t="s">
        <v>2263</v>
      </c>
      <c r="C1445" s="16" t="s">
        <v>978</v>
      </c>
      <c r="D1445" s="16" t="s">
        <v>707</v>
      </c>
      <c r="E1445" s="16">
        <v>2011.0</v>
      </c>
      <c r="F1445" s="16">
        <v>52.874</v>
      </c>
      <c r="G1445" s="16">
        <v>12.2821</v>
      </c>
      <c r="H1445" s="15"/>
      <c r="I1445" s="15"/>
    </row>
    <row r="1446">
      <c r="A1446" s="18">
        <v>45665.0</v>
      </c>
      <c r="B1446" s="16" t="s">
        <v>2264</v>
      </c>
      <c r="C1446" s="16" t="s">
        <v>1051</v>
      </c>
      <c r="D1446" s="16" t="s">
        <v>707</v>
      </c>
      <c r="E1446" s="16">
        <v>2011.0</v>
      </c>
      <c r="F1446" s="16">
        <v>52.8682</v>
      </c>
      <c r="G1446" s="16">
        <v>12.2201</v>
      </c>
      <c r="H1446" s="15"/>
      <c r="I1446" s="15"/>
    </row>
    <row r="1447">
      <c r="A1447" s="18">
        <v>45665.0</v>
      </c>
      <c r="B1447" s="16" t="s">
        <v>2265</v>
      </c>
      <c r="C1447" s="16" t="s">
        <v>951</v>
      </c>
      <c r="D1447" s="16" t="s">
        <v>707</v>
      </c>
      <c r="E1447" s="16">
        <v>2011.0</v>
      </c>
      <c r="F1447" s="16">
        <v>50.5969</v>
      </c>
      <c r="G1447" s="16">
        <v>9.5123</v>
      </c>
      <c r="H1447" s="15"/>
      <c r="I1447" s="15"/>
    </row>
    <row r="1448">
      <c r="A1448" s="18">
        <v>45665.0</v>
      </c>
      <c r="B1448" s="16" t="s">
        <v>2266</v>
      </c>
      <c r="C1448" s="16" t="s">
        <v>1055</v>
      </c>
      <c r="D1448" s="16" t="s">
        <v>707</v>
      </c>
      <c r="E1448" s="16">
        <v>2011.0</v>
      </c>
      <c r="F1448" s="16">
        <v>51.4926</v>
      </c>
      <c r="G1448" s="16">
        <v>12.1966</v>
      </c>
      <c r="H1448" s="15"/>
      <c r="I1448" s="15"/>
    </row>
    <row r="1449">
      <c r="A1449" s="18">
        <v>45665.0</v>
      </c>
      <c r="B1449" s="16" t="s">
        <v>2267</v>
      </c>
      <c r="C1449" s="16" t="s">
        <v>942</v>
      </c>
      <c r="D1449" s="16" t="s">
        <v>707</v>
      </c>
      <c r="E1449" s="16">
        <v>2011.0</v>
      </c>
      <c r="F1449" s="16">
        <v>48.8634</v>
      </c>
      <c r="G1449" s="16">
        <v>12.5731</v>
      </c>
      <c r="H1449" s="15"/>
      <c r="I1449" s="15"/>
    </row>
    <row r="1450">
      <c r="A1450" s="18">
        <v>45665.0</v>
      </c>
      <c r="B1450" s="16" t="s">
        <v>2268</v>
      </c>
      <c r="C1450" s="16" t="s">
        <v>1055</v>
      </c>
      <c r="D1450" s="16" t="s">
        <v>707</v>
      </c>
      <c r="E1450" s="16">
        <v>2011.0</v>
      </c>
      <c r="F1450" s="16">
        <v>49.5079</v>
      </c>
      <c r="G1450" s="16">
        <v>10.3241</v>
      </c>
      <c r="H1450" s="15"/>
      <c r="I1450" s="15"/>
    </row>
    <row r="1451">
      <c r="A1451" s="18">
        <v>45665.0</v>
      </c>
      <c r="B1451" s="16" t="s">
        <v>2269</v>
      </c>
      <c r="C1451" s="16">
        <v>2.0</v>
      </c>
      <c r="D1451" s="16" t="s">
        <v>707</v>
      </c>
      <c r="E1451" s="16">
        <v>2011.0</v>
      </c>
      <c r="F1451" s="16">
        <v>51.5927</v>
      </c>
      <c r="G1451" s="16">
        <v>11.5471</v>
      </c>
      <c r="H1451" s="15"/>
      <c r="I1451" s="15"/>
    </row>
    <row r="1452">
      <c r="A1452" s="18">
        <v>45665.0</v>
      </c>
      <c r="B1452" s="16" t="s">
        <v>2270</v>
      </c>
      <c r="C1452" s="16" t="s">
        <v>969</v>
      </c>
      <c r="D1452" s="16" t="s">
        <v>707</v>
      </c>
      <c r="E1452" s="16">
        <v>2011.0</v>
      </c>
      <c r="F1452" s="16">
        <v>52.3632</v>
      </c>
      <c r="G1452" s="16">
        <v>14.4871</v>
      </c>
      <c r="H1452" s="15"/>
      <c r="I1452" s="15"/>
    </row>
    <row r="1453">
      <c r="A1453" s="18">
        <v>45665.0</v>
      </c>
      <c r="B1453" s="16" t="s">
        <v>2271</v>
      </c>
      <c r="C1453" s="16" t="s">
        <v>1039</v>
      </c>
      <c r="D1453" s="16" t="s">
        <v>707</v>
      </c>
      <c r="E1453" s="16">
        <v>2011.0</v>
      </c>
      <c r="F1453" s="16">
        <v>49.801</v>
      </c>
      <c r="G1453" s="16">
        <v>11.8465</v>
      </c>
      <c r="H1453" s="15"/>
      <c r="I1453" s="15"/>
    </row>
    <row r="1454">
      <c r="A1454" s="18">
        <v>45665.0</v>
      </c>
      <c r="B1454" s="16" t="s">
        <v>2272</v>
      </c>
      <c r="C1454" s="16" t="s">
        <v>990</v>
      </c>
      <c r="D1454" s="16" t="s">
        <v>707</v>
      </c>
      <c r="E1454" s="16">
        <v>2011.0</v>
      </c>
      <c r="F1454" s="16">
        <v>49.5331</v>
      </c>
      <c r="G1454" s="16">
        <v>11.8568</v>
      </c>
      <c r="H1454" s="15"/>
      <c r="I1454" s="15"/>
    </row>
    <row r="1455">
      <c r="A1455" s="18">
        <v>45665.0</v>
      </c>
      <c r="B1455" s="16" t="s">
        <v>2273</v>
      </c>
      <c r="C1455" s="16" t="s">
        <v>978</v>
      </c>
      <c r="D1455" s="16" t="s">
        <v>707</v>
      </c>
      <c r="E1455" s="16">
        <v>2011.0</v>
      </c>
      <c r="F1455" s="16">
        <v>49.7789</v>
      </c>
      <c r="G1455" s="16">
        <v>10.2981</v>
      </c>
      <c r="H1455" s="15"/>
      <c r="I1455" s="15"/>
    </row>
    <row r="1456">
      <c r="A1456" s="18">
        <v>45665.0</v>
      </c>
      <c r="B1456" s="16" t="s">
        <v>2274</v>
      </c>
      <c r="C1456" s="16" t="s">
        <v>942</v>
      </c>
      <c r="D1456" s="16" t="s">
        <v>707</v>
      </c>
      <c r="E1456" s="16">
        <v>2011.0</v>
      </c>
      <c r="F1456" s="16">
        <v>48.7469</v>
      </c>
      <c r="G1456" s="16">
        <v>12.0011</v>
      </c>
      <c r="H1456" s="15"/>
      <c r="I1456" s="15"/>
    </row>
    <row r="1457">
      <c r="A1457" s="18">
        <v>45665.0</v>
      </c>
      <c r="B1457" s="16" t="s">
        <v>2275</v>
      </c>
      <c r="C1457" s="16">
        <v>3.0</v>
      </c>
      <c r="D1457" s="16" t="s">
        <v>707</v>
      </c>
      <c r="E1457" s="16">
        <v>2011.0</v>
      </c>
      <c r="F1457" s="16">
        <v>51.4888</v>
      </c>
      <c r="G1457" s="16">
        <v>10.8263</v>
      </c>
      <c r="H1457" s="15"/>
      <c r="I1457" s="15"/>
    </row>
    <row r="1458">
      <c r="A1458" s="18">
        <v>45665.0</v>
      </c>
      <c r="B1458" s="16" t="s">
        <v>2276</v>
      </c>
      <c r="C1458" s="16" t="s">
        <v>1101</v>
      </c>
      <c r="D1458" s="16" t="s">
        <v>707</v>
      </c>
      <c r="E1458" s="16">
        <v>2011.0</v>
      </c>
      <c r="F1458" s="16">
        <v>51.6551</v>
      </c>
      <c r="G1458" s="16">
        <v>11.4815</v>
      </c>
      <c r="H1458" s="15"/>
      <c r="I1458" s="15"/>
    </row>
    <row r="1459">
      <c r="A1459" s="18">
        <v>45665.0</v>
      </c>
      <c r="B1459" s="16" t="s">
        <v>2277</v>
      </c>
      <c r="C1459" s="16" t="s">
        <v>1059</v>
      </c>
      <c r="D1459" s="16" t="s">
        <v>707</v>
      </c>
      <c r="E1459" s="16">
        <v>2011.0</v>
      </c>
      <c r="F1459" s="16">
        <v>47.9937</v>
      </c>
      <c r="G1459" s="16">
        <v>8.6018</v>
      </c>
      <c r="H1459" s="15"/>
      <c r="I1459" s="15"/>
    </row>
    <row r="1460">
      <c r="A1460" s="18">
        <v>45665.0</v>
      </c>
      <c r="B1460" s="16" t="s">
        <v>2278</v>
      </c>
      <c r="C1460" s="16" t="s">
        <v>1101</v>
      </c>
      <c r="D1460" s="16" t="s">
        <v>707</v>
      </c>
      <c r="E1460" s="16">
        <v>2011.0</v>
      </c>
      <c r="F1460" s="16">
        <v>50.934</v>
      </c>
      <c r="G1460" s="16">
        <v>12.079</v>
      </c>
      <c r="H1460" s="15"/>
      <c r="I1460" s="15"/>
    </row>
    <row r="1461">
      <c r="A1461" s="18">
        <v>45665.0</v>
      </c>
      <c r="B1461" s="16" t="s">
        <v>2279</v>
      </c>
      <c r="C1461" s="16" t="s">
        <v>1011</v>
      </c>
      <c r="D1461" s="16" t="s">
        <v>707</v>
      </c>
      <c r="E1461" s="16">
        <v>2011.0</v>
      </c>
      <c r="F1461" s="16">
        <v>50.934</v>
      </c>
      <c r="G1461" s="16">
        <v>12.079</v>
      </c>
      <c r="H1461" s="15"/>
      <c r="I1461" s="15"/>
    </row>
    <row r="1462">
      <c r="A1462" s="18">
        <v>45665.0</v>
      </c>
      <c r="B1462" s="16" t="s">
        <v>2280</v>
      </c>
      <c r="C1462" s="16" t="s">
        <v>948</v>
      </c>
      <c r="D1462" s="16" t="s">
        <v>707</v>
      </c>
      <c r="E1462" s="16">
        <v>2011.0</v>
      </c>
      <c r="F1462" s="16">
        <v>48.167</v>
      </c>
      <c r="G1462" s="16">
        <v>12.161</v>
      </c>
      <c r="H1462" s="15"/>
      <c r="I1462" s="15"/>
    </row>
    <row r="1463">
      <c r="A1463" s="18">
        <v>45665.0</v>
      </c>
      <c r="B1463" s="16" t="s">
        <v>2281</v>
      </c>
      <c r="C1463" s="16" t="s">
        <v>1277</v>
      </c>
      <c r="D1463" s="16" t="s">
        <v>707</v>
      </c>
      <c r="E1463" s="16">
        <v>2011.0</v>
      </c>
      <c r="F1463" s="16">
        <v>51.3459</v>
      </c>
      <c r="G1463" s="16">
        <v>12.5166</v>
      </c>
      <c r="H1463" s="15"/>
      <c r="I1463" s="15"/>
    </row>
    <row r="1464">
      <c r="A1464" s="18">
        <v>45665.0</v>
      </c>
      <c r="B1464" s="16" t="s">
        <v>2282</v>
      </c>
      <c r="C1464" s="16" t="s">
        <v>1055</v>
      </c>
      <c r="D1464" s="16" t="s">
        <v>707</v>
      </c>
      <c r="E1464" s="16">
        <v>2011.0</v>
      </c>
      <c r="F1464" s="16">
        <v>51.1487</v>
      </c>
      <c r="G1464" s="16">
        <v>12.6183</v>
      </c>
      <c r="H1464" s="15"/>
      <c r="I1464" s="15"/>
    </row>
    <row r="1465">
      <c r="A1465" s="18">
        <v>45665.0</v>
      </c>
      <c r="B1465" s="16" t="s">
        <v>2283</v>
      </c>
      <c r="C1465" s="16" t="s">
        <v>942</v>
      </c>
      <c r="D1465" s="16" t="s">
        <v>707</v>
      </c>
      <c r="E1465" s="16">
        <v>2011.0</v>
      </c>
      <c r="F1465" s="16">
        <v>50.8571</v>
      </c>
      <c r="G1465" s="16">
        <v>12.9177</v>
      </c>
      <c r="H1465" s="15"/>
      <c r="I1465" s="15"/>
    </row>
    <row r="1466">
      <c r="A1466" s="18">
        <v>45665.0</v>
      </c>
      <c r="B1466" s="16" t="s">
        <v>2284</v>
      </c>
      <c r="C1466" s="16" t="s">
        <v>1598</v>
      </c>
      <c r="D1466" s="16" t="s">
        <v>707</v>
      </c>
      <c r="E1466" s="16">
        <v>2011.0</v>
      </c>
      <c r="F1466" s="16">
        <v>51.5189</v>
      </c>
      <c r="G1466" s="16">
        <v>12.066</v>
      </c>
      <c r="H1466" s="15"/>
      <c r="I1466" s="15"/>
    </row>
    <row r="1467">
      <c r="A1467" s="18">
        <v>45665.0</v>
      </c>
      <c r="B1467" s="16" t="s">
        <v>2285</v>
      </c>
      <c r="C1467" s="16" t="s">
        <v>965</v>
      </c>
      <c r="D1467" s="16" t="s">
        <v>707</v>
      </c>
      <c r="E1467" s="16">
        <v>2011.0</v>
      </c>
      <c r="F1467" s="16">
        <v>51.4031</v>
      </c>
      <c r="G1467" s="16">
        <v>12.3602</v>
      </c>
      <c r="H1467" s="15"/>
      <c r="I1467" s="15"/>
    </row>
    <row r="1468">
      <c r="A1468" s="18">
        <v>45665.0</v>
      </c>
      <c r="B1468" s="16" t="s">
        <v>2286</v>
      </c>
      <c r="C1468" s="16">
        <v>1.0</v>
      </c>
      <c r="D1468" s="16" t="s">
        <v>707</v>
      </c>
      <c r="E1468" s="16">
        <v>2011.0</v>
      </c>
      <c r="F1468" s="16">
        <v>53.6778</v>
      </c>
      <c r="G1468" s="16">
        <v>11.2469</v>
      </c>
      <c r="H1468" s="15"/>
      <c r="I1468" s="15"/>
    </row>
    <row r="1469">
      <c r="A1469" s="18">
        <v>45665.0</v>
      </c>
      <c r="B1469" s="16" t="s">
        <v>2287</v>
      </c>
      <c r="C1469" s="16" t="s">
        <v>969</v>
      </c>
      <c r="D1469" s="16" t="s">
        <v>707</v>
      </c>
      <c r="E1469" s="16">
        <v>2011.0</v>
      </c>
      <c r="F1469" s="16">
        <v>51.9241</v>
      </c>
      <c r="G1469" s="16">
        <v>7.1705</v>
      </c>
      <c r="H1469" s="15"/>
      <c r="I1469" s="15"/>
    </row>
    <row r="1470">
      <c r="A1470" s="18">
        <v>45665.0</v>
      </c>
      <c r="B1470" s="16" t="s">
        <v>2288</v>
      </c>
      <c r="C1470" s="16" t="s">
        <v>982</v>
      </c>
      <c r="D1470" s="16" t="s">
        <v>707</v>
      </c>
      <c r="E1470" s="16">
        <v>2011.0</v>
      </c>
      <c r="F1470" s="16">
        <v>51.7585</v>
      </c>
      <c r="G1470" s="16">
        <v>14.3895</v>
      </c>
      <c r="H1470" s="15"/>
      <c r="I1470" s="15"/>
    </row>
    <row r="1471">
      <c r="A1471" s="18">
        <v>45665.0</v>
      </c>
      <c r="B1471" s="16" t="s">
        <v>2289</v>
      </c>
      <c r="C1471" s="16">
        <v>5.0</v>
      </c>
      <c r="D1471" s="16" t="s">
        <v>707</v>
      </c>
      <c r="E1471" s="16">
        <v>2011.0</v>
      </c>
      <c r="F1471" s="16">
        <v>51.8349</v>
      </c>
      <c r="G1471" s="16">
        <v>12.1904</v>
      </c>
      <c r="H1471" s="15"/>
      <c r="I1471" s="15"/>
    </row>
    <row r="1472">
      <c r="A1472" s="18">
        <v>45665.0</v>
      </c>
      <c r="B1472" s="16" t="s">
        <v>2290</v>
      </c>
      <c r="C1472" s="16" t="s">
        <v>969</v>
      </c>
      <c r="D1472" s="16" t="s">
        <v>707</v>
      </c>
      <c r="E1472" s="16">
        <v>2011.0</v>
      </c>
      <c r="F1472" s="16">
        <v>52.0046</v>
      </c>
      <c r="G1472" s="16">
        <v>12.3078</v>
      </c>
      <c r="H1472" s="15"/>
      <c r="I1472" s="15"/>
    </row>
    <row r="1473">
      <c r="A1473" s="18">
        <v>45665.0</v>
      </c>
      <c r="B1473" s="16" t="s">
        <v>2291</v>
      </c>
      <c r="C1473" s="16" t="s">
        <v>969</v>
      </c>
      <c r="D1473" s="16" t="s">
        <v>707</v>
      </c>
      <c r="E1473" s="16">
        <v>2011.0</v>
      </c>
      <c r="F1473" s="16">
        <v>50.9224</v>
      </c>
      <c r="G1473" s="16">
        <v>13.9327</v>
      </c>
      <c r="H1473" s="15"/>
      <c r="I1473" s="15"/>
    </row>
    <row r="1474">
      <c r="A1474" s="18">
        <v>45665.0</v>
      </c>
      <c r="B1474" s="16" t="s">
        <v>2292</v>
      </c>
      <c r="C1474" s="16" t="s">
        <v>969</v>
      </c>
      <c r="D1474" s="16" t="s">
        <v>707</v>
      </c>
      <c r="E1474" s="16">
        <v>2011.0</v>
      </c>
      <c r="F1474" s="16">
        <v>50.9968</v>
      </c>
      <c r="G1474" s="16">
        <v>14.6092</v>
      </c>
      <c r="H1474" s="15"/>
      <c r="I1474" s="15"/>
    </row>
    <row r="1475">
      <c r="A1475" s="18">
        <v>45665.0</v>
      </c>
      <c r="B1475" s="16" t="s">
        <v>2293</v>
      </c>
      <c r="C1475" s="16" t="s">
        <v>942</v>
      </c>
      <c r="D1475" s="16" t="s">
        <v>707</v>
      </c>
      <c r="E1475" s="16">
        <v>2011.0</v>
      </c>
      <c r="F1475" s="16">
        <v>51.4311</v>
      </c>
      <c r="G1475" s="16">
        <v>11.5788</v>
      </c>
      <c r="H1475" s="15"/>
      <c r="I1475" s="15"/>
    </row>
    <row r="1476">
      <c r="A1476" s="18">
        <v>45665.0</v>
      </c>
      <c r="B1476" s="16" t="s">
        <v>2294</v>
      </c>
      <c r="C1476" s="16" t="s">
        <v>990</v>
      </c>
      <c r="D1476" s="16" t="s">
        <v>707</v>
      </c>
      <c r="E1476" s="16">
        <v>2011.0</v>
      </c>
      <c r="F1476" s="16">
        <v>52.3606</v>
      </c>
      <c r="G1476" s="16">
        <v>14.0818</v>
      </c>
      <c r="H1476" s="15"/>
      <c r="I1476" s="15"/>
    </row>
    <row r="1477">
      <c r="A1477" s="18">
        <v>45665.0</v>
      </c>
      <c r="B1477" s="16" t="s">
        <v>2295</v>
      </c>
      <c r="C1477" s="16" t="s">
        <v>948</v>
      </c>
      <c r="D1477" s="16" t="s">
        <v>707</v>
      </c>
      <c r="E1477" s="16">
        <v>2011.0</v>
      </c>
      <c r="F1477" s="16">
        <v>50.9811</v>
      </c>
      <c r="G1477" s="16">
        <v>11.12</v>
      </c>
      <c r="H1477" s="15"/>
      <c r="I1477" s="15"/>
    </row>
    <row r="1478">
      <c r="A1478" s="18">
        <v>45665.0</v>
      </c>
      <c r="B1478" s="16" t="s">
        <v>2296</v>
      </c>
      <c r="C1478" s="16" t="s">
        <v>978</v>
      </c>
      <c r="D1478" s="16" t="s">
        <v>707</v>
      </c>
      <c r="E1478" s="16">
        <v>2011.0</v>
      </c>
      <c r="F1478" s="16">
        <v>50.9787</v>
      </c>
      <c r="G1478" s="16">
        <v>11.1372</v>
      </c>
      <c r="H1478" s="15"/>
      <c r="I1478" s="15"/>
    </row>
    <row r="1479">
      <c r="A1479" s="18">
        <v>45665.0</v>
      </c>
      <c r="B1479" s="16" t="s">
        <v>2297</v>
      </c>
      <c r="C1479" s="16" t="s">
        <v>1215</v>
      </c>
      <c r="D1479" s="16" t="s">
        <v>707</v>
      </c>
      <c r="E1479" s="16">
        <v>2011.0</v>
      </c>
      <c r="F1479" s="16">
        <v>50.9673</v>
      </c>
      <c r="G1479" s="16">
        <v>10.0633</v>
      </c>
      <c r="H1479" s="15"/>
      <c r="I1479" s="15"/>
    </row>
    <row r="1480">
      <c r="A1480" s="18">
        <v>45665.0</v>
      </c>
      <c r="B1480" s="16" t="s">
        <v>2298</v>
      </c>
      <c r="C1480" s="16">
        <v>1.0</v>
      </c>
      <c r="D1480" s="16" t="s">
        <v>707</v>
      </c>
      <c r="E1480" s="16">
        <v>2011.0</v>
      </c>
      <c r="F1480" s="16">
        <v>47.7396</v>
      </c>
      <c r="G1480" s="16">
        <v>8.7916</v>
      </c>
      <c r="H1480" s="15"/>
      <c r="I1480" s="15"/>
    </row>
    <row r="1481">
      <c r="A1481" s="18">
        <v>45665.0</v>
      </c>
      <c r="B1481" s="16" t="s">
        <v>2299</v>
      </c>
      <c r="C1481" s="16" t="s">
        <v>1282</v>
      </c>
      <c r="D1481" s="16" t="s">
        <v>707</v>
      </c>
      <c r="E1481" s="16">
        <v>2011.0</v>
      </c>
      <c r="F1481" s="16">
        <v>51.2161</v>
      </c>
      <c r="G1481" s="16">
        <v>10.9465</v>
      </c>
      <c r="H1481" s="15"/>
      <c r="I1481" s="15"/>
    </row>
    <row r="1482">
      <c r="A1482" s="18">
        <v>45665.0</v>
      </c>
      <c r="B1482" s="16" t="s">
        <v>2300</v>
      </c>
      <c r="C1482" s="16" t="s">
        <v>951</v>
      </c>
      <c r="D1482" s="16" t="s">
        <v>707</v>
      </c>
      <c r="E1482" s="16">
        <v>2011.0</v>
      </c>
      <c r="F1482" s="16">
        <v>51.123</v>
      </c>
      <c r="G1482" s="16">
        <v>12.0458</v>
      </c>
      <c r="H1482" s="15"/>
      <c r="I1482" s="15"/>
    </row>
    <row r="1483">
      <c r="A1483" s="18">
        <v>45665.0</v>
      </c>
      <c r="B1483" s="16" t="s">
        <v>2301</v>
      </c>
      <c r="C1483" s="16" t="s">
        <v>1310</v>
      </c>
      <c r="D1483" s="16" t="s">
        <v>707</v>
      </c>
      <c r="E1483" s="16">
        <v>2011.0</v>
      </c>
      <c r="F1483" s="16">
        <v>52.2021</v>
      </c>
      <c r="G1483" s="16">
        <v>11.0377</v>
      </c>
      <c r="H1483" s="15"/>
      <c r="I1483" s="15"/>
    </row>
    <row r="1484">
      <c r="A1484" s="18">
        <v>45665.0</v>
      </c>
      <c r="B1484" s="16" t="s">
        <v>2302</v>
      </c>
      <c r="C1484" s="16" t="s">
        <v>1046</v>
      </c>
      <c r="D1484" s="16" t="s">
        <v>707</v>
      </c>
      <c r="E1484" s="16">
        <v>2011.0</v>
      </c>
      <c r="F1484" s="16">
        <v>49.4225</v>
      </c>
      <c r="G1484" s="16">
        <v>8.5859</v>
      </c>
      <c r="H1484" s="15"/>
      <c r="I1484" s="15"/>
    </row>
    <row r="1485">
      <c r="A1485" s="18">
        <v>45665.0</v>
      </c>
      <c r="B1485" s="16" t="s">
        <v>2303</v>
      </c>
      <c r="C1485" s="16" t="s">
        <v>1011</v>
      </c>
      <c r="D1485" s="16" t="s">
        <v>707</v>
      </c>
      <c r="E1485" s="16">
        <v>2011.0</v>
      </c>
      <c r="F1485" s="16">
        <v>50.8415</v>
      </c>
      <c r="G1485" s="16">
        <v>6.3366</v>
      </c>
      <c r="H1485" s="15"/>
      <c r="I1485" s="15"/>
    </row>
    <row r="1486">
      <c r="A1486" s="18">
        <v>45665.0</v>
      </c>
      <c r="B1486" s="16" t="s">
        <v>2304</v>
      </c>
      <c r="C1486" s="16" t="s">
        <v>1059</v>
      </c>
      <c r="D1486" s="16" t="s">
        <v>707</v>
      </c>
      <c r="E1486" s="16">
        <v>2011.0</v>
      </c>
      <c r="F1486" s="16">
        <v>54.0</v>
      </c>
      <c r="G1486" s="16">
        <v>11.9678</v>
      </c>
      <c r="H1486" s="15"/>
      <c r="I1486" s="15"/>
    </row>
    <row r="1487">
      <c r="A1487" s="18">
        <v>45665.0</v>
      </c>
      <c r="B1487" s="16" t="s">
        <v>2305</v>
      </c>
      <c r="C1487" s="16" t="s">
        <v>1011</v>
      </c>
      <c r="D1487" s="16" t="s">
        <v>707</v>
      </c>
      <c r="E1487" s="16">
        <v>2011.0</v>
      </c>
      <c r="F1487" s="16">
        <v>51.2257</v>
      </c>
      <c r="G1487" s="16">
        <v>14.9023</v>
      </c>
      <c r="H1487" s="15"/>
      <c r="I1487" s="15"/>
    </row>
    <row r="1488">
      <c r="A1488" s="18">
        <v>45665.0</v>
      </c>
      <c r="B1488" s="16" t="s">
        <v>2306</v>
      </c>
      <c r="C1488" s="16" t="s">
        <v>1310</v>
      </c>
      <c r="D1488" s="16" t="s">
        <v>707</v>
      </c>
      <c r="E1488" s="16">
        <v>2011.0</v>
      </c>
      <c r="F1488" s="16">
        <v>47.8332</v>
      </c>
      <c r="G1488" s="16">
        <v>9.9884</v>
      </c>
      <c r="H1488" s="15"/>
      <c r="I1488" s="15"/>
    </row>
    <row r="1489">
      <c r="A1489" s="18">
        <v>45665.0</v>
      </c>
      <c r="B1489" s="16" t="s">
        <v>2307</v>
      </c>
      <c r="C1489" s="16">
        <v>1.0</v>
      </c>
      <c r="D1489" s="16" t="s">
        <v>707</v>
      </c>
      <c r="E1489" s="16">
        <v>2011.0</v>
      </c>
      <c r="F1489" s="16">
        <v>48.8894</v>
      </c>
      <c r="G1489" s="16">
        <v>9.1507</v>
      </c>
      <c r="H1489" s="15"/>
      <c r="I1489" s="15"/>
    </row>
    <row r="1490">
      <c r="A1490" s="18">
        <v>45665.0</v>
      </c>
      <c r="B1490" s="16" t="s">
        <v>2308</v>
      </c>
      <c r="C1490" s="16" t="s">
        <v>969</v>
      </c>
      <c r="D1490" s="16" t="s">
        <v>707</v>
      </c>
      <c r="E1490" s="16">
        <v>2011.0</v>
      </c>
      <c r="F1490" s="16">
        <v>50.9594</v>
      </c>
      <c r="G1490" s="16">
        <v>12.7555</v>
      </c>
      <c r="H1490" s="15"/>
      <c r="I1490" s="15"/>
    </row>
    <row r="1491">
      <c r="A1491" s="18">
        <v>45665.0</v>
      </c>
      <c r="B1491" s="16" t="s">
        <v>2309</v>
      </c>
      <c r="C1491" s="16">
        <v>2.0</v>
      </c>
      <c r="D1491" s="16" t="s">
        <v>707</v>
      </c>
      <c r="E1491" s="16">
        <v>2011.0</v>
      </c>
      <c r="F1491" s="16">
        <v>52.3649</v>
      </c>
      <c r="G1491" s="16">
        <v>11.8495</v>
      </c>
      <c r="H1491" s="15"/>
      <c r="I1491" s="15"/>
    </row>
    <row r="1492">
      <c r="A1492" s="18">
        <v>45665.0</v>
      </c>
      <c r="B1492" s="16" t="s">
        <v>2310</v>
      </c>
      <c r="C1492" s="16" t="s">
        <v>1055</v>
      </c>
      <c r="D1492" s="16" t="s">
        <v>707</v>
      </c>
      <c r="E1492" s="16">
        <v>2011.0</v>
      </c>
      <c r="F1492" s="16">
        <v>51.0488</v>
      </c>
      <c r="G1492" s="16">
        <v>11.9692</v>
      </c>
      <c r="H1492" s="15"/>
      <c r="I1492" s="15"/>
    </row>
    <row r="1493">
      <c r="A1493" s="18">
        <v>45665.0</v>
      </c>
      <c r="B1493" s="16" t="s">
        <v>2311</v>
      </c>
      <c r="C1493" s="16" t="s">
        <v>969</v>
      </c>
      <c r="D1493" s="16" t="s">
        <v>707</v>
      </c>
      <c r="E1493" s="16">
        <v>2011.0</v>
      </c>
      <c r="F1493" s="16">
        <v>51.1605</v>
      </c>
      <c r="G1493" s="16">
        <v>13.5072</v>
      </c>
      <c r="H1493" s="15"/>
      <c r="I1493" s="15"/>
    </row>
    <row r="1494">
      <c r="A1494" s="18">
        <v>45665.0</v>
      </c>
      <c r="B1494" s="16" t="s">
        <v>2312</v>
      </c>
      <c r="C1494" s="16" t="s">
        <v>969</v>
      </c>
      <c r="D1494" s="16" t="s">
        <v>707</v>
      </c>
      <c r="E1494" s="16">
        <v>2011.0</v>
      </c>
      <c r="F1494" s="16">
        <v>52.3778</v>
      </c>
      <c r="G1494" s="16">
        <v>13.306</v>
      </c>
      <c r="H1494" s="15"/>
      <c r="I1494" s="15"/>
    </row>
    <row r="1495">
      <c r="A1495" s="18">
        <v>45665.0</v>
      </c>
      <c r="B1495" s="16" t="s">
        <v>2313</v>
      </c>
      <c r="C1495" s="16" t="s">
        <v>951</v>
      </c>
      <c r="D1495" s="16" t="s">
        <v>707</v>
      </c>
      <c r="E1495" s="16">
        <v>2011.0</v>
      </c>
      <c r="F1495" s="16">
        <v>48.6346</v>
      </c>
      <c r="G1495" s="16">
        <v>11.7057</v>
      </c>
      <c r="H1495" s="15"/>
      <c r="I1495" s="15"/>
    </row>
    <row r="1496">
      <c r="A1496" s="18">
        <v>45665.0</v>
      </c>
      <c r="B1496" s="16" t="s">
        <v>2314</v>
      </c>
      <c r="C1496" s="16">
        <v>4.0</v>
      </c>
      <c r="D1496" s="16" t="s">
        <v>707</v>
      </c>
      <c r="E1496" s="16">
        <v>2011.0</v>
      </c>
      <c r="F1496" s="16">
        <v>51.4351</v>
      </c>
      <c r="G1496" s="16">
        <v>11.3151</v>
      </c>
      <c r="H1496" s="15"/>
      <c r="I1496" s="15"/>
    </row>
    <row r="1497">
      <c r="A1497" s="18">
        <v>45665.0</v>
      </c>
      <c r="B1497" s="16" t="s">
        <v>2315</v>
      </c>
      <c r="C1497" s="16" t="s">
        <v>959</v>
      </c>
      <c r="D1497" s="16" t="s">
        <v>707</v>
      </c>
      <c r="E1497" s="16">
        <v>2011.0</v>
      </c>
      <c r="F1497" s="16">
        <v>50.9432</v>
      </c>
      <c r="G1497" s="16">
        <v>14.7396</v>
      </c>
      <c r="H1497" s="15"/>
      <c r="I1497" s="15"/>
    </row>
    <row r="1498">
      <c r="A1498" s="18">
        <v>45665.0</v>
      </c>
      <c r="B1498" s="16" t="s">
        <v>2316</v>
      </c>
      <c r="C1498" s="16" t="s">
        <v>946</v>
      </c>
      <c r="D1498" s="16" t="s">
        <v>707</v>
      </c>
      <c r="E1498" s="16">
        <v>2011.0</v>
      </c>
      <c r="F1498" s="16">
        <v>48.2138</v>
      </c>
      <c r="G1498" s="16">
        <v>11.3126</v>
      </c>
      <c r="H1498" s="15"/>
      <c r="I1498" s="15"/>
    </row>
    <row r="1499">
      <c r="A1499" s="18">
        <v>45665.0</v>
      </c>
      <c r="B1499" s="16" t="s">
        <v>2317</v>
      </c>
      <c r="C1499" s="16" t="s">
        <v>1386</v>
      </c>
      <c r="D1499" s="16" t="s">
        <v>707</v>
      </c>
      <c r="E1499" s="16">
        <v>2011.0</v>
      </c>
      <c r="F1499" s="16">
        <v>51.5499</v>
      </c>
      <c r="G1499" s="16">
        <v>12.0471</v>
      </c>
      <c r="H1499" s="15"/>
      <c r="I1499" s="15"/>
    </row>
    <row r="1500">
      <c r="A1500" s="18">
        <v>45665.0</v>
      </c>
      <c r="B1500" s="16" t="s">
        <v>2318</v>
      </c>
      <c r="C1500" s="16" t="s">
        <v>1011</v>
      </c>
      <c r="D1500" s="16" t="s">
        <v>707</v>
      </c>
      <c r="E1500" s="16">
        <v>2011.0</v>
      </c>
      <c r="F1500" s="16">
        <v>52.7328</v>
      </c>
      <c r="G1500" s="16">
        <v>13.2204</v>
      </c>
      <c r="H1500" s="15"/>
      <c r="I1500" s="15"/>
    </row>
    <row r="1501">
      <c r="A1501" s="18">
        <v>45665.0</v>
      </c>
      <c r="B1501" s="16" t="s">
        <v>2319</v>
      </c>
      <c r="C1501" s="16" t="s">
        <v>1454</v>
      </c>
      <c r="D1501" s="16" t="s">
        <v>707</v>
      </c>
      <c r="E1501" s="16">
        <v>2011.0</v>
      </c>
      <c r="F1501" s="16">
        <v>51.3545</v>
      </c>
      <c r="G1501" s="16">
        <v>12.5476</v>
      </c>
      <c r="H1501" s="15"/>
      <c r="I1501" s="15"/>
    </row>
    <row r="1502">
      <c r="A1502" s="18">
        <v>45665.0</v>
      </c>
      <c r="B1502" s="16" t="s">
        <v>2320</v>
      </c>
      <c r="C1502" s="16" t="s">
        <v>951</v>
      </c>
      <c r="D1502" s="16" t="s">
        <v>707</v>
      </c>
      <c r="E1502" s="16">
        <v>2011.0</v>
      </c>
      <c r="F1502" s="16">
        <v>52.4706</v>
      </c>
      <c r="G1502" s="16">
        <v>12.0676</v>
      </c>
      <c r="H1502" s="15"/>
      <c r="I1502" s="15"/>
    </row>
    <row r="1503">
      <c r="A1503" s="18">
        <v>45665.0</v>
      </c>
      <c r="B1503" s="16" t="s">
        <v>2321</v>
      </c>
      <c r="C1503" s="16" t="s">
        <v>1277</v>
      </c>
      <c r="D1503" s="16" t="s">
        <v>707</v>
      </c>
      <c r="E1503" s="16">
        <v>2011.0</v>
      </c>
      <c r="F1503" s="16">
        <v>51.4196</v>
      </c>
      <c r="G1503" s="16">
        <v>11.2451</v>
      </c>
      <c r="H1503" s="15"/>
      <c r="I1503" s="15"/>
    </row>
    <row r="1504">
      <c r="A1504" s="18">
        <v>45665.0</v>
      </c>
      <c r="B1504" s="16" t="s">
        <v>2322</v>
      </c>
      <c r="C1504" s="16" t="s">
        <v>1096</v>
      </c>
      <c r="D1504" s="16" t="s">
        <v>707</v>
      </c>
      <c r="E1504" s="16">
        <v>2011.0</v>
      </c>
      <c r="F1504" s="16">
        <v>52.407</v>
      </c>
      <c r="G1504" s="16">
        <v>11.1244</v>
      </c>
      <c r="H1504" s="15"/>
      <c r="I1504" s="15"/>
    </row>
    <row r="1505">
      <c r="A1505" s="18">
        <v>45665.0</v>
      </c>
      <c r="B1505" s="16" t="s">
        <v>2323</v>
      </c>
      <c r="C1505" s="16" t="s">
        <v>969</v>
      </c>
      <c r="D1505" s="16" t="s">
        <v>707</v>
      </c>
      <c r="E1505" s="16">
        <v>2011.0</v>
      </c>
      <c r="F1505" s="16">
        <v>50.5503</v>
      </c>
      <c r="G1505" s="16">
        <v>12.9452</v>
      </c>
      <c r="H1505" s="15"/>
      <c r="I1505" s="15"/>
    </row>
    <row r="1506">
      <c r="A1506" s="18">
        <v>45665.0</v>
      </c>
      <c r="B1506" s="16" t="s">
        <v>2324</v>
      </c>
      <c r="C1506" s="16" t="s">
        <v>982</v>
      </c>
      <c r="D1506" s="16" t="s">
        <v>707</v>
      </c>
      <c r="E1506" s="16">
        <v>2011.0</v>
      </c>
      <c r="F1506" s="16">
        <v>51.489</v>
      </c>
      <c r="G1506" s="16">
        <v>12.198</v>
      </c>
      <c r="H1506" s="15"/>
      <c r="I1506" s="15"/>
    </row>
    <row r="1507">
      <c r="A1507" s="18">
        <v>45665.0</v>
      </c>
      <c r="B1507" s="16" t="s">
        <v>2325</v>
      </c>
      <c r="C1507" s="16" t="s">
        <v>1267</v>
      </c>
      <c r="D1507" s="16" t="s">
        <v>707</v>
      </c>
      <c r="E1507" s="16">
        <v>2011.0</v>
      </c>
      <c r="F1507" s="16">
        <v>51.489</v>
      </c>
      <c r="G1507" s="16">
        <v>12.198</v>
      </c>
      <c r="H1507" s="15"/>
      <c r="I1507" s="15"/>
    </row>
    <row r="1508">
      <c r="A1508" s="18">
        <v>45665.0</v>
      </c>
      <c r="B1508" s="16" t="s">
        <v>2326</v>
      </c>
      <c r="C1508" s="16" t="s">
        <v>1090</v>
      </c>
      <c r="D1508" s="16" t="s">
        <v>707</v>
      </c>
      <c r="E1508" s="16">
        <v>2011.0</v>
      </c>
      <c r="F1508" s="16">
        <v>51.489</v>
      </c>
      <c r="G1508" s="16">
        <v>12.198</v>
      </c>
      <c r="H1508" s="15"/>
      <c r="I1508" s="15"/>
    </row>
    <row r="1509">
      <c r="A1509" s="18">
        <v>45665.0</v>
      </c>
      <c r="B1509" s="16" t="s">
        <v>2327</v>
      </c>
      <c r="C1509" s="16" t="s">
        <v>961</v>
      </c>
      <c r="D1509" s="16" t="s">
        <v>707</v>
      </c>
      <c r="E1509" s="16">
        <v>2011.0</v>
      </c>
      <c r="F1509" s="16">
        <v>54.0395</v>
      </c>
      <c r="G1509" s="16">
        <v>12.4745</v>
      </c>
      <c r="H1509" s="15"/>
      <c r="I1509" s="15"/>
    </row>
    <row r="1510">
      <c r="A1510" s="18">
        <v>45665.0</v>
      </c>
      <c r="B1510" s="16" t="s">
        <v>2328</v>
      </c>
      <c r="C1510" s="16" t="s">
        <v>946</v>
      </c>
      <c r="D1510" s="16" t="s">
        <v>707</v>
      </c>
      <c r="E1510" s="16">
        <v>2011.0</v>
      </c>
      <c r="F1510" s="16">
        <v>48.0444</v>
      </c>
      <c r="G1510" s="16">
        <v>10.6209</v>
      </c>
      <c r="H1510" s="15"/>
      <c r="I1510" s="15"/>
    </row>
    <row r="1511">
      <c r="A1511" s="18">
        <v>45665.0</v>
      </c>
      <c r="B1511" s="16" t="s">
        <v>2329</v>
      </c>
      <c r="C1511" s="16" t="s">
        <v>1771</v>
      </c>
      <c r="D1511" s="16" t="s">
        <v>707</v>
      </c>
      <c r="E1511" s="16">
        <v>2011.0</v>
      </c>
      <c r="F1511" s="16">
        <v>51.443</v>
      </c>
      <c r="G1511" s="16">
        <v>12.0663</v>
      </c>
      <c r="H1511" s="15"/>
      <c r="I1511" s="15"/>
    </row>
    <row r="1512">
      <c r="A1512" s="18">
        <v>45665.0</v>
      </c>
      <c r="B1512" s="16" t="s">
        <v>2330</v>
      </c>
      <c r="C1512" s="16" t="s">
        <v>2331</v>
      </c>
      <c r="D1512" s="16" t="s">
        <v>707</v>
      </c>
      <c r="E1512" s="16">
        <v>2011.0</v>
      </c>
      <c r="F1512" s="16">
        <v>51.2897</v>
      </c>
      <c r="G1512" s="16">
        <v>14.1248</v>
      </c>
      <c r="H1512" s="15"/>
      <c r="I1512" s="15"/>
    </row>
    <row r="1513">
      <c r="A1513" s="18">
        <v>45665.0</v>
      </c>
      <c r="B1513" s="16" t="s">
        <v>2332</v>
      </c>
      <c r="C1513" s="16" t="s">
        <v>959</v>
      </c>
      <c r="D1513" s="16" t="s">
        <v>707</v>
      </c>
      <c r="E1513" s="16">
        <v>2011.0</v>
      </c>
      <c r="F1513" s="16">
        <v>50.8911</v>
      </c>
      <c r="G1513" s="16">
        <v>10.8411</v>
      </c>
      <c r="H1513" s="15"/>
      <c r="I1513" s="15"/>
    </row>
    <row r="1514">
      <c r="A1514" s="18">
        <v>45665.0</v>
      </c>
      <c r="B1514" s="16" t="s">
        <v>2333</v>
      </c>
      <c r="C1514" s="16" t="s">
        <v>1055</v>
      </c>
      <c r="D1514" s="16" t="s">
        <v>707</v>
      </c>
      <c r="E1514" s="16">
        <v>2011.0</v>
      </c>
      <c r="F1514" s="16">
        <v>52.366</v>
      </c>
      <c r="G1514" s="16">
        <v>14.5476</v>
      </c>
      <c r="H1514" s="15"/>
      <c r="I1514" s="15"/>
    </row>
    <row r="1515">
      <c r="A1515" s="18">
        <v>45665.0</v>
      </c>
      <c r="B1515" s="16" t="s">
        <v>2334</v>
      </c>
      <c r="C1515" s="16" t="s">
        <v>1358</v>
      </c>
      <c r="D1515" s="16" t="s">
        <v>707</v>
      </c>
      <c r="E1515" s="16">
        <v>2011.0</v>
      </c>
      <c r="F1515" s="16">
        <v>53.899</v>
      </c>
      <c r="G1515" s="16">
        <v>11.484</v>
      </c>
      <c r="H1515" s="15"/>
      <c r="I1515" s="15"/>
    </row>
    <row r="1516">
      <c r="A1516" s="18">
        <v>45665.0</v>
      </c>
      <c r="B1516" s="16" t="s">
        <v>2335</v>
      </c>
      <c r="C1516" s="16" t="s">
        <v>1215</v>
      </c>
      <c r="D1516" s="16" t="s">
        <v>707</v>
      </c>
      <c r="E1516" s="16">
        <v>2011.0</v>
      </c>
      <c r="F1516" s="16">
        <v>53.0179</v>
      </c>
      <c r="G1516" s="16">
        <v>11.7572</v>
      </c>
      <c r="H1516" s="15"/>
      <c r="I1516" s="15"/>
    </row>
    <row r="1517">
      <c r="A1517" s="18">
        <v>45665.0</v>
      </c>
      <c r="B1517" s="16" t="s">
        <v>2336</v>
      </c>
      <c r="C1517" s="16" t="s">
        <v>1475</v>
      </c>
      <c r="D1517" s="16" t="s">
        <v>707</v>
      </c>
      <c r="E1517" s="16">
        <v>2011.0</v>
      </c>
      <c r="F1517" s="16">
        <v>47.9121</v>
      </c>
      <c r="G1517" s="16">
        <v>10.2283</v>
      </c>
      <c r="H1517" s="15"/>
      <c r="I1517" s="15"/>
    </row>
    <row r="1518">
      <c r="A1518" s="18">
        <v>45665.0</v>
      </c>
      <c r="B1518" s="16" t="s">
        <v>2337</v>
      </c>
      <c r="C1518" s="16" t="s">
        <v>959</v>
      </c>
      <c r="D1518" s="16" t="s">
        <v>707</v>
      </c>
      <c r="E1518" s="16">
        <v>2011.0</v>
      </c>
      <c r="F1518" s="16">
        <v>49.6624</v>
      </c>
      <c r="G1518" s="16">
        <v>8.3596</v>
      </c>
      <c r="H1518" s="15"/>
      <c r="I1518" s="15"/>
    </row>
    <row r="1519">
      <c r="A1519" s="18">
        <v>45665.0</v>
      </c>
      <c r="B1519" s="16" t="s">
        <v>2338</v>
      </c>
      <c r="C1519" s="16" t="s">
        <v>942</v>
      </c>
      <c r="D1519" s="16" t="s">
        <v>707</v>
      </c>
      <c r="E1519" s="16">
        <v>2011.0</v>
      </c>
      <c r="F1519" s="16">
        <v>50.2903</v>
      </c>
      <c r="G1519" s="16">
        <v>11.1196</v>
      </c>
      <c r="H1519" s="15"/>
      <c r="I1519" s="15"/>
    </row>
    <row r="1520">
      <c r="A1520" s="18">
        <v>45665.0</v>
      </c>
      <c r="B1520" s="16" t="s">
        <v>2339</v>
      </c>
      <c r="C1520" s="16" t="s">
        <v>1399</v>
      </c>
      <c r="D1520" s="16" t="s">
        <v>707</v>
      </c>
      <c r="E1520" s="16">
        <v>2011.0</v>
      </c>
      <c r="F1520" s="16">
        <v>50.082</v>
      </c>
      <c r="G1520" s="16">
        <v>10.7667</v>
      </c>
      <c r="H1520" s="15"/>
      <c r="I1520" s="15"/>
    </row>
    <row r="1521">
      <c r="A1521" s="18">
        <v>45665.0</v>
      </c>
      <c r="B1521" s="16" t="s">
        <v>2340</v>
      </c>
      <c r="C1521" s="16" t="s">
        <v>982</v>
      </c>
      <c r="D1521" s="16" t="s">
        <v>707</v>
      </c>
      <c r="E1521" s="16">
        <v>2011.0</v>
      </c>
      <c r="F1521" s="16">
        <v>51.7224</v>
      </c>
      <c r="G1521" s="16">
        <v>14.631</v>
      </c>
      <c r="H1521" s="15"/>
      <c r="I1521" s="15"/>
    </row>
    <row r="1522">
      <c r="A1522" s="18">
        <v>45665.0</v>
      </c>
      <c r="B1522" s="16" t="s">
        <v>2341</v>
      </c>
      <c r="C1522" s="16" t="s">
        <v>2342</v>
      </c>
      <c r="D1522" s="16" t="s">
        <v>707</v>
      </c>
      <c r="E1522" s="16">
        <v>2011.0</v>
      </c>
      <c r="F1522" s="16">
        <v>50.9399</v>
      </c>
      <c r="G1522" s="16">
        <v>10.6669</v>
      </c>
      <c r="H1522" s="15"/>
      <c r="I1522" s="15"/>
    </row>
    <row r="1523">
      <c r="A1523" s="18">
        <v>45665.0</v>
      </c>
      <c r="B1523" s="16" t="s">
        <v>2343</v>
      </c>
      <c r="C1523" s="16" t="s">
        <v>1011</v>
      </c>
      <c r="D1523" s="16" t="s">
        <v>707</v>
      </c>
      <c r="E1523" s="16">
        <v>2011.0</v>
      </c>
      <c r="F1523" s="16">
        <v>50.5716</v>
      </c>
      <c r="G1523" s="16">
        <v>10.4903</v>
      </c>
      <c r="H1523" s="15"/>
      <c r="I1523" s="15"/>
    </row>
    <row r="1524">
      <c r="A1524" s="18">
        <v>45665.0</v>
      </c>
      <c r="B1524" s="16" t="s">
        <v>2344</v>
      </c>
      <c r="C1524" s="16" t="s">
        <v>942</v>
      </c>
      <c r="D1524" s="16" t="s">
        <v>707</v>
      </c>
      <c r="E1524" s="16">
        <v>2011.0</v>
      </c>
      <c r="F1524" s="16">
        <v>49.2638</v>
      </c>
      <c r="G1524" s="16">
        <v>9.0575</v>
      </c>
      <c r="H1524" s="15"/>
      <c r="I1524" s="15"/>
    </row>
    <row r="1525">
      <c r="A1525" s="18">
        <v>45665.0</v>
      </c>
      <c r="B1525" s="16" t="s">
        <v>2345</v>
      </c>
      <c r="C1525" s="16" t="s">
        <v>1055</v>
      </c>
      <c r="D1525" s="16" t="s">
        <v>707</v>
      </c>
      <c r="E1525" s="16">
        <v>2011.0</v>
      </c>
      <c r="F1525" s="16">
        <v>52.5393</v>
      </c>
      <c r="G1525" s="16">
        <v>10.8949</v>
      </c>
      <c r="H1525" s="15"/>
      <c r="I1525" s="15"/>
    </row>
    <row r="1526">
      <c r="A1526" s="18">
        <v>45665.0</v>
      </c>
      <c r="B1526" s="16" t="s">
        <v>2346</v>
      </c>
      <c r="C1526" s="16" t="s">
        <v>961</v>
      </c>
      <c r="D1526" s="16" t="s">
        <v>707</v>
      </c>
      <c r="E1526" s="16">
        <v>2011.0</v>
      </c>
      <c r="F1526" s="16">
        <v>48.6504</v>
      </c>
      <c r="G1526" s="16">
        <v>11.9645</v>
      </c>
      <c r="H1526" s="15"/>
      <c r="I1526" s="15"/>
    </row>
    <row r="1527">
      <c r="A1527" s="18">
        <v>45665.0</v>
      </c>
      <c r="B1527" s="16" t="s">
        <v>2347</v>
      </c>
      <c r="C1527" s="16" t="s">
        <v>946</v>
      </c>
      <c r="D1527" s="16" t="s">
        <v>707</v>
      </c>
      <c r="E1527" s="16">
        <v>2011.0</v>
      </c>
      <c r="F1527" s="16">
        <v>48.9441</v>
      </c>
      <c r="G1527" s="16">
        <v>8.9448</v>
      </c>
      <c r="H1527" s="15"/>
      <c r="I1527" s="15"/>
    </row>
    <row r="1528">
      <c r="A1528" s="18">
        <v>45665.0</v>
      </c>
      <c r="B1528" s="16" t="s">
        <v>2348</v>
      </c>
      <c r="C1528" s="16" t="s">
        <v>959</v>
      </c>
      <c r="D1528" s="16" t="s">
        <v>707</v>
      </c>
      <c r="E1528" s="16">
        <v>2011.0</v>
      </c>
      <c r="F1528" s="16">
        <v>51.7267</v>
      </c>
      <c r="G1528" s="16">
        <v>12.2601</v>
      </c>
      <c r="H1528" s="15"/>
      <c r="I1528" s="15"/>
    </row>
    <row r="1529">
      <c r="A1529" s="18">
        <v>45665.0</v>
      </c>
      <c r="B1529" s="16" t="s">
        <v>2349</v>
      </c>
      <c r="C1529" s="16" t="s">
        <v>971</v>
      </c>
      <c r="D1529" s="16" t="s">
        <v>707</v>
      </c>
      <c r="E1529" s="16">
        <v>2011.0</v>
      </c>
      <c r="F1529" s="16">
        <v>51.2256</v>
      </c>
      <c r="G1529" s="16">
        <v>11.3927</v>
      </c>
      <c r="H1529" s="15"/>
      <c r="I1529" s="15"/>
    </row>
    <row r="1530">
      <c r="A1530" s="18">
        <v>45665.0</v>
      </c>
      <c r="B1530" s="16" t="s">
        <v>2350</v>
      </c>
      <c r="C1530" s="16" t="s">
        <v>1172</v>
      </c>
      <c r="D1530" s="16" t="s">
        <v>707</v>
      </c>
      <c r="E1530" s="16">
        <v>2011.0</v>
      </c>
      <c r="F1530" s="16">
        <v>51.3147</v>
      </c>
      <c r="G1530" s="16">
        <v>12.1301</v>
      </c>
      <c r="H1530" s="15"/>
      <c r="I1530" s="15"/>
    </row>
    <row r="1531">
      <c r="A1531" s="18">
        <v>45665.0</v>
      </c>
      <c r="B1531" s="16" t="s">
        <v>2351</v>
      </c>
      <c r="C1531" s="16">
        <v>4.0</v>
      </c>
      <c r="D1531" s="16" t="s">
        <v>707</v>
      </c>
      <c r="E1531" s="16">
        <v>2011.0</v>
      </c>
      <c r="F1531" s="16">
        <v>51.4869</v>
      </c>
      <c r="G1531" s="16">
        <v>12.0993</v>
      </c>
      <c r="H1531" s="15"/>
      <c r="I1531" s="15"/>
    </row>
    <row r="1532">
      <c r="A1532" s="18">
        <v>45665.0</v>
      </c>
      <c r="B1532" s="16" t="s">
        <v>2352</v>
      </c>
      <c r="C1532" s="16" t="s">
        <v>959</v>
      </c>
      <c r="D1532" s="16" t="s">
        <v>707</v>
      </c>
      <c r="E1532" s="16">
        <v>2011.0</v>
      </c>
      <c r="F1532" s="16">
        <v>52.3414</v>
      </c>
      <c r="G1532" s="16">
        <v>12.5618</v>
      </c>
      <c r="H1532" s="15"/>
      <c r="I1532" s="15"/>
    </row>
    <row r="1533">
      <c r="A1533" s="18">
        <v>45665.0</v>
      </c>
      <c r="B1533" s="16" t="s">
        <v>2353</v>
      </c>
      <c r="C1533" s="16">
        <v>3.0</v>
      </c>
      <c r="D1533" s="16" t="s">
        <v>707</v>
      </c>
      <c r="E1533" s="16">
        <v>2011.0</v>
      </c>
      <c r="F1533" s="16">
        <v>52.1886</v>
      </c>
      <c r="G1533" s="16">
        <v>13.1478</v>
      </c>
      <c r="H1533" s="15"/>
      <c r="I1533" s="15"/>
    </row>
    <row r="1534">
      <c r="A1534" s="18">
        <v>45665.0</v>
      </c>
      <c r="B1534" s="16" t="s">
        <v>2354</v>
      </c>
      <c r="C1534" s="16" t="s">
        <v>1282</v>
      </c>
      <c r="D1534" s="16" t="s">
        <v>707</v>
      </c>
      <c r="E1534" s="16">
        <v>2011.0</v>
      </c>
      <c r="F1534" s="16">
        <v>52.1628</v>
      </c>
      <c r="G1534" s="16">
        <v>13.5781</v>
      </c>
      <c r="H1534" s="15"/>
      <c r="I1534" s="15"/>
    </row>
    <row r="1535">
      <c r="A1535" s="18">
        <v>45665.0</v>
      </c>
      <c r="B1535" s="16" t="s">
        <v>2355</v>
      </c>
      <c r="C1535" s="16" t="s">
        <v>1873</v>
      </c>
      <c r="D1535" s="16" t="s">
        <v>707</v>
      </c>
      <c r="E1535" s="16">
        <v>2011.0</v>
      </c>
      <c r="F1535" s="16">
        <v>52.1844</v>
      </c>
      <c r="G1535" s="16">
        <v>13.2801</v>
      </c>
      <c r="H1535" s="15"/>
      <c r="I1535" s="15"/>
    </row>
    <row r="1536">
      <c r="A1536" s="18">
        <v>45665.0</v>
      </c>
      <c r="B1536" s="16" t="s">
        <v>2356</v>
      </c>
      <c r="C1536" s="16" t="s">
        <v>1004</v>
      </c>
      <c r="D1536" s="16" t="s">
        <v>707</v>
      </c>
      <c r="E1536" s="16">
        <v>2011.0</v>
      </c>
      <c r="F1536" s="16">
        <v>52.9273</v>
      </c>
      <c r="G1536" s="16">
        <v>9.9934</v>
      </c>
      <c r="H1536" s="15"/>
      <c r="I1536" s="15"/>
    </row>
    <row r="1537">
      <c r="A1537" s="18">
        <v>45665.0</v>
      </c>
      <c r="B1537" s="16" t="s">
        <v>2357</v>
      </c>
      <c r="C1537" s="16" t="s">
        <v>946</v>
      </c>
      <c r="D1537" s="16" t="s">
        <v>707</v>
      </c>
      <c r="E1537" s="16">
        <v>2011.0</v>
      </c>
      <c r="F1537" s="16">
        <v>51.4676</v>
      </c>
      <c r="G1537" s="16">
        <v>11.899</v>
      </c>
      <c r="H1537" s="15"/>
      <c r="I1537" s="15"/>
    </row>
    <row r="1538">
      <c r="A1538" s="18">
        <v>45665.0</v>
      </c>
      <c r="B1538" s="16" t="s">
        <v>2358</v>
      </c>
      <c r="C1538" s="16" t="s">
        <v>942</v>
      </c>
      <c r="D1538" s="16" t="s">
        <v>707</v>
      </c>
      <c r="E1538" s="16">
        <v>2011.0</v>
      </c>
      <c r="F1538" s="16">
        <v>51.3478</v>
      </c>
      <c r="G1538" s="16">
        <v>12.5161</v>
      </c>
      <c r="H1538" s="15"/>
      <c r="I1538" s="15"/>
    </row>
    <row r="1539">
      <c r="A1539" s="18">
        <v>45665.0</v>
      </c>
      <c r="B1539" s="16" t="s">
        <v>2359</v>
      </c>
      <c r="C1539" s="16" t="s">
        <v>969</v>
      </c>
      <c r="D1539" s="16" t="s">
        <v>707</v>
      </c>
      <c r="E1539" s="16">
        <v>2011.0</v>
      </c>
      <c r="F1539" s="16">
        <v>48.1756</v>
      </c>
      <c r="G1539" s="16">
        <v>11.3436</v>
      </c>
      <c r="H1539" s="15"/>
      <c r="I1539" s="15"/>
    </row>
    <row r="1540">
      <c r="A1540" s="18">
        <v>45665.0</v>
      </c>
      <c r="B1540" s="16" t="s">
        <v>2360</v>
      </c>
      <c r="C1540" s="16" t="s">
        <v>948</v>
      </c>
      <c r="D1540" s="16" t="s">
        <v>707</v>
      </c>
      <c r="E1540" s="16">
        <v>2011.0</v>
      </c>
      <c r="F1540" s="16">
        <v>52.2424</v>
      </c>
      <c r="G1540" s="16">
        <v>9.9506</v>
      </c>
      <c r="H1540" s="15"/>
      <c r="I1540" s="15"/>
    </row>
    <row r="1541">
      <c r="A1541" s="18">
        <v>45665.0</v>
      </c>
      <c r="B1541" s="16" t="s">
        <v>2361</v>
      </c>
      <c r="C1541" s="16" t="s">
        <v>1773</v>
      </c>
      <c r="D1541" s="16" t="s">
        <v>707</v>
      </c>
      <c r="E1541" s="16">
        <v>2011.0</v>
      </c>
      <c r="F1541" s="16">
        <v>51.3837</v>
      </c>
      <c r="G1541" s="16">
        <v>11.4453</v>
      </c>
      <c r="H1541" s="15"/>
      <c r="I1541" s="15"/>
    </row>
    <row r="1542">
      <c r="A1542" s="18">
        <v>45665.0</v>
      </c>
      <c r="B1542" s="16" t="s">
        <v>2362</v>
      </c>
      <c r="C1542" s="16" t="s">
        <v>961</v>
      </c>
      <c r="D1542" s="16" t="s">
        <v>707</v>
      </c>
      <c r="E1542" s="16">
        <v>2011.0</v>
      </c>
      <c r="F1542" s="16">
        <v>51.382</v>
      </c>
      <c r="G1542" s="16">
        <v>11.4454</v>
      </c>
      <c r="H1542" s="15"/>
      <c r="I1542" s="15"/>
    </row>
    <row r="1543">
      <c r="A1543" s="18">
        <v>45665.0</v>
      </c>
      <c r="B1543" s="16" t="s">
        <v>2363</v>
      </c>
      <c r="C1543" s="16" t="s">
        <v>1771</v>
      </c>
      <c r="D1543" s="16" t="s">
        <v>707</v>
      </c>
      <c r="E1543" s="16">
        <v>2011.0</v>
      </c>
      <c r="F1543" s="16">
        <v>51.3835</v>
      </c>
      <c r="G1543" s="16">
        <v>11.4446</v>
      </c>
      <c r="H1543" s="15"/>
      <c r="I1543" s="15"/>
    </row>
    <row r="1544">
      <c r="A1544" s="18">
        <v>45665.0</v>
      </c>
      <c r="B1544" s="16" t="s">
        <v>2364</v>
      </c>
      <c r="C1544" s="16" t="s">
        <v>1609</v>
      </c>
      <c r="D1544" s="16" t="s">
        <v>707</v>
      </c>
      <c r="E1544" s="16">
        <v>2011.0</v>
      </c>
      <c r="F1544" s="16">
        <v>51.3814</v>
      </c>
      <c r="G1544" s="16">
        <v>11.4454</v>
      </c>
      <c r="H1544" s="15"/>
      <c r="I1544" s="15"/>
    </row>
    <row r="1545">
      <c r="A1545" s="18">
        <v>45665.0</v>
      </c>
      <c r="B1545" s="16" t="s">
        <v>2365</v>
      </c>
      <c r="C1545" s="16" t="s">
        <v>1773</v>
      </c>
      <c r="D1545" s="16" t="s">
        <v>707</v>
      </c>
      <c r="E1545" s="16">
        <v>2011.0</v>
      </c>
      <c r="F1545" s="16">
        <v>51.8917</v>
      </c>
      <c r="G1545" s="16">
        <v>14.5306</v>
      </c>
      <c r="H1545" s="15"/>
      <c r="I1545" s="15"/>
    </row>
    <row r="1546">
      <c r="A1546" s="18">
        <v>45665.0</v>
      </c>
      <c r="B1546" s="16" t="s">
        <v>2366</v>
      </c>
      <c r="C1546" s="16" t="s">
        <v>1282</v>
      </c>
      <c r="D1546" s="16" t="s">
        <v>707</v>
      </c>
      <c r="E1546" s="16">
        <v>2011.0</v>
      </c>
      <c r="F1546" s="16">
        <v>52.39</v>
      </c>
      <c r="G1546" s="16">
        <v>14.0939</v>
      </c>
      <c r="H1546" s="15"/>
      <c r="I1546" s="15"/>
    </row>
    <row r="1547">
      <c r="A1547" s="18">
        <v>45665.0</v>
      </c>
      <c r="B1547" s="16" t="s">
        <v>2367</v>
      </c>
      <c r="C1547" s="16" t="s">
        <v>1085</v>
      </c>
      <c r="D1547" s="16" t="s">
        <v>707</v>
      </c>
      <c r="E1547" s="16">
        <v>2011.0</v>
      </c>
      <c r="F1547" s="16">
        <v>52.6347</v>
      </c>
      <c r="G1547" s="16">
        <v>13.7626</v>
      </c>
      <c r="H1547" s="15"/>
      <c r="I1547" s="15"/>
    </row>
    <row r="1548">
      <c r="A1548" s="18">
        <v>45665.0</v>
      </c>
      <c r="B1548" s="16" t="s">
        <v>2368</v>
      </c>
      <c r="C1548" s="16" t="s">
        <v>1475</v>
      </c>
      <c r="D1548" s="16" t="s">
        <v>707</v>
      </c>
      <c r="E1548" s="16">
        <v>2011.0</v>
      </c>
      <c r="F1548" s="16">
        <v>52.6347</v>
      </c>
      <c r="G1548" s="16">
        <v>13.7593</v>
      </c>
      <c r="H1548" s="15"/>
      <c r="I1548" s="15"/>
    </row>
    <row r="1549">
      <c r="A1549" s="18">
        <v>45665.0</v>
      </c>
      <c r="B1549" s="16" t="s">
        <v>2369</v>
      </c>
      <c r="C1549" s="16">
        <v>5.0</v>
      </c>
      <c r="D1549" s="16" t="s">
        <v>707</v>
      </c>
      <c r="E1549" s="16">
        <v>2011.0</v>
      </c>
      <c r="F1549" s="16">
        <v>52.6339</v>
      </c>
      <c r="G1549" s="16">
        <v>13.753</v>
      </c>
      <c r="H1549" s="15"/>
      <c r="I1549" s="15"/>
    </row>
    <row r="1550">
      <c r="A1550" s="18">
        <v>45665.0</v>
      </c>
      <c r="B1550" s="16" t="s">
        <v>2370</v>
      </c>
      <c r="C1550" s="16" t="s">
        <v>1475</v>
      </c>
      <c r="D1550" s="16" t="s">
        <v>707</v>
      </c>
      <c r="E1550" s="16">
        <v>2011.0</v>
      </c>
      <c r="F1550" s="16">
        <v>52.6343</v>
      </c>
      <c r="G1550" s="16">
        <v>13.7604</v>
      </c>
      <c r="H1550" s="15"/>
      <c r="I1550" s="15"/>
    </row>
    <row r="1551">
      <c r="A1551" s="18">
        <v>45665.0</v>
      </c>
      <c r="B1551" s="16" t="s">
        <v>2371</v>
      </c>
      <c r="C1551" s="16" t="s">
        <v>1384</v>
      </c>
      <c r="D1551" s="16" t="s">
        <v>707</v>
      </c>
      <c r="E1551" s="16">
        <v>2011.0</v>
      </c>
      <c r="F1551" s="16">
        <v>50.0175</v>
      </c>
      <c r="G1551" s="16">
        <v>8.6802</v>
      </c>
      <c r="H1551" s="15"/>
      <c r="I1551" s="15"/>
    </row>
    <row r="1552">
      <c r="A1552" s="18">
        <v>45665.0</v>
      </c>
      <c r="B1552" s="16" t="s">
        <v>2372</v>
      </c>
      <c r="C1552" s="16" t="s">
        <v>961</v>
      </c>
      <c r="D1552" s="16" t="s">
        <v>707</v>
      </c>
      <c r="E1552" s="16">
        <v>2011.0</v>
      </c>
      <c r="F1552" s="16">
        <v>51.4436</v>
      </c>
      <c r="G1552" s="16">
        <v>12.381</v>
      </c>
      <c r="H1552" s="15"/>
      <c r="I1552" s="15"/>
    </row>
    <row r="1553">
      <c r="A1553" s="18">
        <v>45665.0</v>
      </c>
      <c r="B1553" s="16" t="s">
        <v>2373</v>
      </c>
      <c r="C1553" s="16" t="s">
        <v>969</v>
      </c>
      <c r="D1553" s="16" t="s">
        <v>707</v>
      </c>
      <c r="E1553" s="16">
        <v>2011.0</v>
      </c>
      <c r="F1553" s="16">
        <v>47.741</v>
      </c>
      <c r="G1553" s="16">
        <v>8.9499</v>
      </c>
      <c r="H1553" s="15"/>
      <c r="I1553" s="15"/>
    </row>
    <row r="1554">
      <c r="A1554" s="18">
        <v>45665.0</v>
      </c>
      <c r="B1554" s="16" t="s">
        <v>2374</v>
      </c>
      <c r="C1554" s="16" t="s">
        <v>1055</v>
      </c>
      <c r="D1554" s="16" t="s">
        <v>707</v>
      </c>
      <c r="E1554" s="16">
        <v>2011.0</v>
      </c>
      <c r="F1554" s="16">
        <v>50.1698</v>
      </c>
      <c r="G1554" s="16">
        <v>10.1926</v>
      </c>
      <c r="H1554" s="15"/>
      <c r="I1554" s="15"/>
    </row>
    <row r="1555">
      <c r="A1555" s="18">
        <v>45665.0</v>
      </c>
      <c r="B1555" s="16" t="s">
        <v>2375</v>
      </c>
      <c r="C1555" s="16" t="s">
        <v>1037</v>
      </c>
      <c r="D1555" s="16" t="s">
        <v>707</v>
      </c>
      <c r="E1555" s="16">
        <v>2011.0</v>
      </c>
      <c r="F1555" s="16">
        <v>52.6034</v>
      </c>
      <c r="G1555" s="16">
        <v>12.3695</v>
      </c>
      <c r="H1555" s="15"/>
      <c r="I1555" s="15"/>
    </row>
    <row r="1556">
      <c r="A1556" s="18">
        <v>45665.0</v>
      </c>
      <c r="B1556" s="16" t="s">
        <v>2376</v>
      </c>
      <c r="C1556" s="16" t="s">
        <v>1771</v>
      </c>
      <c r="D1556" s="16" t="s">
        <v>707</v>
      </c>
      <c r="E1556" s="16">
        <v>2011.0</v>
      </c>
      <c r="F1556" s="16">
        <v>53.8879</v>
      </c>
      <c r="G1556" s="16">
        <v>13.7263</v>
      </c>
      <c r="H1556" s="15"/>
      <c r="I1556" s="15"/>
    </row>
    <row r="1557">
      <c r="A1557" s="18">
        <v>45665.0</v>
      </c>
      <c r="B1557" s="16" t="s">
        <v>2377</v>
      </c>
      <c r="C1557" s="16" t="s">
        <v>1002</v>
      </c>
      <c r="D1557" s="16" t="s">
        <v>707</v>
      </c>
      <c r="E1557" s="16">
        <v>2011.0</v>
      </c>
      <c r="F1557" s="16">
        <v>53.8879</v>
      </c>
      <c r="G1557" s="16">
        <v>13.7263</v>
      </c>
      <c r="H1557" s="15"/>
      <c r="I1557" s="15"/>
    </row>
    <row r="1558">
      <c r="A1558" s="18">
        <v>45665.0</v>
      </c>
      <c r="B1558" s="16" t="s">
        <v>2378</v>
      </c>
      <c r="C1558" s="16" t="s">
        <v>942</v>
      </c>
      <c r="D1558" s="16" t="s">
        <v>707</v>
      </c>
      <c r="E1558" s="16">
        <v>2011.0</v>
      </c>
      <c r="F1558" s="16">
        <v>51.0306</v>
      </c>
      <c r="G1558" s="16">
        <v>7.4114</v>
      </c>
      <c r="H1558" s="15"/>
      <c r="I1558" s="15"/>
    </row>
    <row r="1559">
      <c r="A1559" s="18">
        <v>45665.0</v>
      </c>
      <c r="B1559" s="16" t="s">
        <v>2379</v>
      </c>
      <c r="C1559" s="16" t="s">
        <v>1080</v>
      </c>
      <c r="D1559" s="16" t="s">
        <v>707</v>
      </c>
      <c r="E1559" s="16">
        <v>2011.0</v>
      </c>
      <c r="F1559" s="16">
        <v>47.8698</v>
      </c>
      <c r="G1559" s="16">
        <v>9.7842</v>
      </c>
      <c r="H1559" s="15"/>
      <c r="I1559" s="15"/>
    </row>
    <row r="1560">
      <c r="A1560" s="18">
        <v>45665.0</v>
      </c>
      <c r="B1560" s="16" t="s">
        <v>2380</v>
      </c>
      <c r="C1560" s="16" t="s">
        <v>946</v>
      </c>
      <c r="D1560" s="16" t="s">
        <v>707</v>
      </c>
      <c r="E1560" s="16">
        <v>2011.0</v>
      </c>
      <c r="F1560" s="16">
        <v>51.3586</v>
      </c>
      <c r="G1560" s="16">
        <v>14.9584</v>
      </c>
      <c r="H1560" s="15"/>
      <c r="I1560" s="15"/>
    </row>
    <row r="1561">
      <c r="A1561" s="18">
        <v>45665.0</v>
      </c>
      <c r="B1561" s="16" t="s">
        <v>2381</v>
      </c>
      <c r="C1561" s="16" t="s">
        <v>969</v>
      </c>
      <c r="D1561" s="16" t="s">
        <v>707</v>
      </c>
      <c r="E1561" s="16">
        <v>2011.0</v>
      </c>
      <c r="F1561" s="16">
        <v>48.0476</v>
      </c>
      <c r="G1561" s="16">
        <v>10.2846</v>
      </c>
      <c r="H1561" s="15"/>
      <c r="I1561" s="15"/>
    </row>
    <row r="1562">
      <c r="A1562" s="18">
        <v>45665.0</v>
      </c>
      <c r="B1562" s="16" t="s">
        <v>2382</v>
      </c>
      <c r="C1562" s="16" t="s">
        <v>948</v>
      </c>
      <c r="D1562" s="16" t="s">
        <v>707</v>
      </c>
      <c r="E1562" s="16">
        <v>2011.0</v>
      </c>
      <c r="F1562" s="16">
        <v>54.7712</v>
      </c>
      <c r="G1562" s="16">
        <v>9.5354</v>
      </c>
      <c r="H1562" s="15"/>
      <c r="I1562" s="15"/>
    </row>
    <row r="1563">
      <c r="A1563" s="18">
        <v>45665.0</v>
      </c>
      <c r="B1563" s="16" t="s">
        <v>2383</v>
      </c>
      <c r="C1563" s="16" t="s">
        <v>1147</v>
      </c>
      <c r="D1563" s="16" t="s">
        <v>707</v>
      </c>
      <c r="E1563" s="16">
        <v>2011.0</v>
      </c>
      <c r="F1563" s="16">
        <v>51.8925</v>
      </c>
      <c r="G1563" s="16">
        <v>14.53</v>
      </c>
      <c r="H1563" s="15"/>
      <c r="I1563" s="15"/>
    </row>
    <row r="1564">
      <c r="A1564" s="18">
        <v>45665.0</v>
      </c>
      <c r="B1564" s="16" t="s">
        <v>2384</v>
      </c>
      <c r="C1564" s="16" t="s">
        <v>1051</v>
      </c>
      <c r="D1564" s="16" t="s">
        <v>707</v>
      </c>
      <c r="E1564" s="16">
        <v>2011.0</v>
      </c>
      <c r="F1564" s="16">
        <v>49.7934</v>
      </c>
      <c r="G1564" s="16">
        <v>7.2498</v>
      </c>
      <c r="H1564" s="15"/>
      <c r="I1564" s="15"/>
    </row>
    <row r="1565">
      <c r="A1565" s="18">
        <v>45665.0</v>
      </c>
      <c r="B1565" s="16" t="s">
        <v>2385</v>
      </c>
      <c r="C1565" s="16" t="s">
        <v>1037</v>
      </c>
      <c r="D1565" s="16" t="s">
        <v>707</v>
      </c>
      <c r="E1565" s="16">
        <v>2011.0</v>
      </c>
      <c r="F1565" s="16">
        <v>51.9281</v>
      </c>
      <c r="G1565" s="16">
        <v>13.8883</v>
      </c>
      <c r="H1565" s="15"/>
      <c r="I1565" s="15"/>
    </row>
    <row r="1566">
      <c r="A1566" s="18">
        <v>45665.0</v>
      </c>
      <c r="B1566" s="16" t="s">
        <v>2386</v>
      </c>
      <c r="C1566" s="16" t="s">
        <v>959</v>
      </c>
      <c r="D1566" s="16" t="s">
        <v>707</v>
      </c>
      <c r="E1566" s="16">
        <v>2011.0</v>
      </c>
      <c r="F1566" s="16">
        <v>51.5864</v>
      </c>
      <c r="G1566" s="16">
        <v>9.5844</v>
      </c>
      <c r="H1566" s="15"/>
      <c r="I1566" s="15"/>
    </row>
    <row r="1567">
      <c r="A1567" s="18">
        <v>45665.0</v>
      </c>
      <c r="B1567" s="16" t="s">
        <v>2387</v>
      </c>
      <c r="C1567" s="16" t="s">
        <v>942</v>
      </c>
      <c r="D1567" s="16" t="s">
        <v>707</v>
      </c>
      <c r="E1567" s="16">
        <v>2011.0</v>
      </c>
      <c r="F1567" s="16">
        <v>49.8418</v>
      </c>
      <c r="G1567" s="16">
        <v>10.0137</v>
      </c>
      <c r="H1567" s="15"/>
      <c r="I1567" s="15"/>
    </row>
    <row r="1568">
      <c r="A1568" s="18">
        <v>45665.0</v>
      </c>
      <c r="B1568" s="16" t="s">
        <v>2388</v>
      </c>
      <c r="C1568" s="16" t="s">
        <v>942</v>
      </c>
      <c r="D1568" s="16" t="s">
        <v>707</v>
      </c>
      <c r="E1568" s="16">
        <v>2011.0</v>
      </c>
      <c r="F1568" s="16">
        <v>52.6017</v>
      </c>
      <c r="G1568" s="16">
        <v>12.8705</v>
      </c>
      <c r="H1568" s="15"/>
      <c r="I1568" s="15"/>
    </row>
    <row r="1569">
      <c r="A1569" s="18">
        <v>45665.0</v>
      </c>
      <c r="B1569" s="16" t="s">
        <v>2389</v>
      </c>
      <c r="C1569" s="16" t="s">
        <v>1310</v>
      </c>
      <c r="D1569" s="16" t="s">
        <v>707</v>
      </c>
      <c r="E1569" s="16">
        <v>2011.0</v>
      </c>
      <c r="F1569" s="16">
        <v>52.857</v>
      </c>
      <c r="G1569" s="16">
        <v>13.7727</v>
      </c>
      <c r="H1569" s="15"/>
      <c r="I1569" s="15"/>
    </row>
    <row r="1570">
      <c r="A1570" s="18">
        <v>45665.0</v>
      </c>
      <c r="B1570" s="16" t="s">
        <v>2390</v>
      </c>
      <c r="C1570" s="16" t="s">
        <v>951</v>
      </c>
      <c r="D1570" s="16" t="s">
        <v>707</v>
      </c>
      <c r="E1570" s="16">
        <v>2011.0</v>
      </c>
      <c r="F1570" s="16">
        <v>50.3152</v>
      </c>
      <c r="G1570" s="16">
        <v>11.1752</v>
      </c>
      <c r="H1570" s="15"/>
      <c r="I1570" s="15"/>
    </row>
    <row r="1571">
      <c r="A1571" s="18">
        <v>45665.0</v>
      </c>
      <c r="B1571" s="16" t="s">
        <v>2391</v>
      </c>
      <c r="C1571" s="16" t="s">
        <v>2392</v>
      </c>
      <c r="D1571" s="16" t="s">
        <v>707</v>
      </c>
      <c r="E1571" s="16">
        <v>2011.0</v>
      </c>
      <c r="F1571" s="16">
        <v>51.8524</v>
      </c>
      <c r="G1571" s="16">
        <v>12.3376</v>
      </c>
      <c r="H1571" s="15"/>
      <c r="I1571" s="15"/>
    </row>
    <row r="1572">
      <c r="A1572" s="18">
        <v>45665.0</v>
      </c>
      <c r="B1572" s="16" t="s">
        <v>2393</v>
      </c>
      <c r="C1572" s="16" t="s">
        <v>978</v>
      </c>
      <c r="D1572" s="16" t="s">
        <v>707</v>
      </c>
      <c r="E1572" s="16">
        <v>2011.0</v>
      </c>
      <c r="F1572" s="16">
        <v>51.2662</v>
      </c>
      <c r="G1572" s="16">
        <v>9.5109</v>
      </c>
      <c r="H1572" s="15"/>
      <c r="I1572" s="15"/>
    </row>
    <row r="1573">
      <c r="A1573" s="18">
        <v>45665.0</v>
      </c>
      <c r="B1573" s="16" t="s">
        <v>2394</v>
      </c>
      <c r="C1573" s="16" t="s">
        <v>1055</v>
      </c>
      <c r="D1573" s="16" t="s">
        <v>707</v>
      </c>
      <c r="E1573" s="16">
        <v>2011.0</v>
      </c>
      <c r="F1573" s="16">
        <v>53.4953</v>
      </c>
      <c r="G1573" s="16">
        <v>11.4537</v>
      </c>
      <c r="H1573" s="15"/>
      <c r="I1573" s="15"/>
    </row>
    <row r="1574">
      <c r="A1574" s="18">
        <v>45665.0</v>
      </c>
      <c r="B1574" s="16" t="s">
        <v>2395</v>
      </c>
      <c r="C1574" s="16" t="s">
        <v>969</v>
      </c>
      <c r="D1574" s="16" t="s">
        <v>707</v>
      </c>
      <c r="E1574" s="16">
        <v>2011.0</v>
      </c>
      <c r="F1574" s="16">
        <v>52.0895</v>
      </c>
      <c r="G1574" s="16">
        <v>10.2256</v>
      </c>
      <c r="H1574" s="15"/>
      <c r="I1574" s="15"/>
    </row>
    <row r="1575">
      <c r="A1575" s="18">
        <v>45665.0</v>
      </c>
      <c r="B1575" s="16" t="s">
        <v>2396</v>
      </c>
      <c r="C1575" s="16" t="s">
        <v>969</v>
      </c>
      <c r="D1575" s="16" t="s">
        <v>707</v>
      </c>
      <c r="E1575" s="16">
        <v>2011.0</v>
      </c>
      <c r="F1575" s="16">
        <v>51.1694</v>
      </c>
      <c r="G1575" s="16">
        <v>12.8672</v>
      </c>
      <c r="H1575" s="15"/>
      <c r="I1575" s="15"/>
    </row>
    <row r="1576">
      <c r="A1576" s="18">
        <v>45665.0</v>
      </c>
      <c r="B1576" s="16" t="s">
        <v>2396</v>
      </c>
      <c r="C1576" s="16" t="s">
        <v>984</v>
      </c>
      <c r="D1576" s="16" t="s">
        <v>707</v>
      </c>
      <c r="E1576" s="16">
        <v>2011.0</v>
      </c>
      <c r="F1576" s="16">
        <v>51.1662</v>
      </c>
      <c r="G1576" s="16">
        <v>12.8691</v>
      </c>
      <c r="H1576" s="15"/>
      <c r="I1576" s="15"/>
    </row>
    <row r="1577">
      <c r="A1577" s="18">
        <v>45665.0</v>
      </c>
      <c r="B1577" s="16" t="s">
        <v>2397</v>
      </c>
      <c r="C1577" s="16" t="s">
        <v>978</v>
      </c>
      <c r="D1577" s="16" t="s">
        <v>707</v>
      </c>
      <c r="E1577" s="16">
        <v>2011.0</v>
      </c>
      <c r="F1577" s="16">
        <v>51.0688</v>
      </c>
      <c r="G1577" s="16">
        <v>12.206</v>
      </c>
      <c r="H1577" s="15"/>
      <c r="I1577" s="15"/>
    </row>
    <row r="1578">
      <c r="A1578" s="18">
        <v>45665.0</v>
      </c>
      <c r="B1578" s="16" t="s">
        <v>2398</v>
      </c>
      <c r="C1578" s="16" t="s">
        <v>1037</v>
      </c>
      <c r="D1578" s="16" t="s">
        <v>707</v>
      </c>
      <c r="E1578" s="16">
        <v>2011.0</v>
      </c>
      <c r="F1578" s="16">
        <v>50.9388</v>
      </c>
      <c r="G1578" s="16">
        <v>10.8275</v>
      </c>
      <c r="H1578" s="15"/>
      <c r="I1578" s="15"/>
    </row>
    <row r="1579">
      <c r="A1579" s="18">
        <v>45665.0</v>
      </c>
      <c r="B1579" s="16" t="s">
        <v>2399</v>
      </c>
      <c r="C1579" s="16" t="s">
        <v>990</v>
      </c>
      <c r="D1579" s="16" t="s">
        <v>707</v>
      </c>
      <c r="E1579" s="16">
        <v>2011.0</v>
      </c>
      <c r="F1579" s="16">
        <v>49.926</v>
      </c>
      <c r="G1579" s="16">
        <v>9.7329</v>
      </c>
      <c r="H1579" s="15"/>
      <c r="I1579" s="15"/>
    </row>
    <row r="1580">
      <c r="A1580" s="18">
        <v>45665.0</v>
      </c>
      <c r="B1580" s="16" t="s">
        <v>2400</v>
      </c>
      <c r="C1580" s="16" t="s">
        <v>969</v>
      </c>
      <c r="D1580" s="16" t="s">
        <v>707</v>
      </c>
      <c r="E1580" s="16">
        <v>2011.0</v>
      </c>
      <c r="F1580" s="16">
        <v>51.0539</v>
      </c>
      <c r="G1580" s="16">
        <v>9.9228</v>
      </c>
      <c r="H1580" s="15"/>
      <c r="I1580" s="15"/>
    </row>
    <row r="1581">
      <c r="A1581" s="18">
        <v>45665.0</v>
      </c>
      <c r="B1581" s="16" t="s">
        <v>2401</v>
      </c>
      <c r="C1581" s="16" t="s">
        <v>1037</v>
      </c>
      <c r="D1581" s="16" t="s">
        <v>707</v>
      </c>
      <c r="E1581" s="16">
        <v>2011.0</v>
      </c>
      <c r="F1581" s="16">
        <v>53.8673</v>
      </c>
      <c r="G1581" s="16">
        <v>11.4423</v>
      </c>
      <c r="H1581" s="15"/>
      <c r="I1581" s="15"/>
    </row>
    <row r="1582">
      <c r="A1582" s="18">
        <v>45665.0</v>
      </c>
      <c r="B1582" s="16" t="s">
        <v>2402</v>
      </c>
      <c r="C1582" s="16" t="s">
        <v>978</v>
      </c>
      <c r="D1582" s="16" t="s">
        <v>707</v>
      </c>
      <c r="E1582" s="16">
        <v>2011.0</v>
      </c>
      <c r="F1582" s="16">
        <v>53.605</v>
      </c>
      <c r="G1582" s="16">
        <v>14.0492</v>
      </c>
      <c r="H1582" s="15"/>
      <c r="I1582" s="15"/>
    </row>
    <row r="1583">
      <c r="A1583" s="18">
        <v>45665.0</v>
      </c>
      <c r="B1583" s="16" t="s">
        <v>2403</v>
      </c>
      <c r="C1583" s="16" t="s">
        <v>2404</v>
      </c>
      <c r="D1583" s="16" t="s">
        <v>707</v>
      </c>
      <c r="E1583" s="16">
        <v>2011.0</v>
      </c>
      <c r="F1583" s="16">
        <v>53.9156</v>
      </c>
      <c r="G1583" s="16">
        <v>13.2275</v>
      </c>
      <c r="H1583" s="15"/>
      <c r="I1583" s="15"/>
    </row>
    <row r="1584">
      <c r="A1584" s="18">
        <v>45665.0</v>
      </c>
      <c r="B1584" s="16" t="s">
        <v>2403</v>
      </c>
      <c r="C1584" s="16" t="s">
        <v>1609</v>
      </c>
      <c r="D1584" s="16" t="s">
        <v>707</v>
      </c>
      <c r="E1584" s="16">
        <v>2011.0</v>
      </c>
      <c r="F1584" s="16">
        <v>53.9156</v>
      </c>
      <c r="G1584" s="16">
        <v>13.2275</v>
      </c>
      <c r="H1584" s="15"/>
      <c r="I1584" s="15"/>
    </row>
    <row r="1585">
      <c r="A1585" s="18">
        <v>45665.0</v>
      </c>
      <c r="B1585" s="16" t="s">
        <v>2403</v>
      </c>
      <c r="C1585" s="16" t="s">
        <v>1055</v>
      </c>
      <c r="D1585" s="16" t="s">
        <v>707</v>
      </c>
      <c r="E1585" s="16">
        <v>2011.0</v>
      </c>
      <c r="F1585" s="16">
        <v>53.9156</v>
      </c>
      <c r="G1585" s="16">
        <v>13.2275</v>
      </c>
      <c r="H1585" s="15"/>
      <c r="I1585" s="15"/>
    </row>
    <row r="1586">
      <c r="A1586" s="18">
        <v>45665.0</v>
      </c>
      <c r="B1586" s="16" t="s">
        <v>2403</v>
      </c>
      <c r="C1586" s="16" t="s">
        <v>984</v>
      </c>
      <c r="D1586" s="16" t="s">
        <v>707</v>
      </c>
      <c r="E1586" s="16">
        <v>2011.0</v>
      </c>
      <c r="F1586" s="16">
        <v>53.9156</v>
      </c>
      <c r="G1586" s="16">
        <v>13.2275</v>
      </c>
      <c r="H1586" s="15"/>
      <c r="I1586" s="15"/>
    </row>
    <row r="1587">
      <c r="A1587" s="18">
        <v>45665.0</v>
      </c>
      <c r="B1587" s="16" t="s">
        <v>2403</v>
      </c>
      <c r="C1587" s="16" t="s">
        <v>1059</v>
      </c>
      <c r="D1587" s="16" t="s">
        <v>707</v>
      </c>
      <c r="E1587" s="16">
        <v>2011.0</v>
      </c>
      <c r="F1587" s="16">
        <v>53.9156</v>
      </c>
      <c r="G1587" s="16">
        <v>13.2275</v>
      </c>
      <c r="H1587" s="15"/>
      <c r="I1587" s="15"/>
    </row>
    <row r="1588">
      <c r="A1588" s="18">
        <v>45665.0</v>
      </c>
      <c r="B1588" s="16" t="s">
        <v>2405</v>
      </c>
      <c r="C1588" s="16" t="s">
        <v>1055</v>
      </c>
      <c r="D1588" s="16" t="s">
        <v>707</v>
      </c>
      <c r="E1588" s="16">
        <v>2011.0</v>
      </c>
      <c r="F1588" s="16">
        <v>50.705</v>
      </c>
      <c r="G1588" s="16">
        <v>12.4891</v>
      </c>
      <c r="H1588" s="15"/>
      <c r="I1588" s="15"/>
    </row>
    <row r="1589">
      <c r="A1589" s="18">
        <v>45665.0</v>
      </c>
      <c r="B1589" s="16" t="s">
        <v>2406</v>
      </c>
      <c r="C1589" s="16" t="s">
        <v>1374</v>
      </c>
      <c r="D1589" s="16" t="s">
        <v>707</v>
      </c>
      <c r="E1589" s="16">
        <v>2011.0</v>
      </c>
      <c r="F1589" s="16">
        <v>50.9342</v>
      </c>
      <c r="G1589" s="16">
        <v>14.8627</v>
      </c>
      <c r="H1589" s="15"/>
      <c r="I1589" s="15"/>
    </row>
    <row r="1590">
      <c r="A1590" s="18">
        <v>45665.0</v>
      </c>
      <c r="B1590" s="16" t="s">
        <v>2407</v>
      </c>
      <c r="C1590" s="16" t="s">
        <v>1011</v>
      </c>
      <c r="D1590" s="16" t="s">
        <v>707</v>
      </c>
      <c r="E1590" s="16">
        <v>2011.0</v>
      </c>
      <c r="F1590" s="16">
        <v>50.5729</v>
      </c>
      <c r="G1590" s="16">
        <v>6.6007</v>
      </c>
      <c r="H1590" s="15"/>
      <c r="I1590" s="15"/>
    </row>
    <row r="1591">
      <c r="A1591" s="18">
        <v>45665.0</v>
      </c>
      <c r="B1591" s="16" t="s">
        <v>2408</v>
      </c>
      <c r="C1591" s="16" t="s">
        <v>1034</v>
      </c>
      <c r="D1591" s="16" t="s">
        <v>707</v>
      </c>
      <c r="E1591" s="16">
        <v>2011.0</v>
      </c>
      <c r="F1591" s="16">
        <v>50.4122</v>
      </c>
      <c r="G1591" s="16">
        <v>6.5477</v>
      </c>
      <c r="H1591" s="15"/>
      <c r="I1591" s="15"/>
    </row>
    <row r="1592">
      <c r="A1592" s="18">
        <v>45665.0</v>
      </c>
      <c r="B1592" s="16" t="s">
        <v>2409</v>
      </c>
      <c r="C1592" s="16" t="s">
        <v>1090</v>
      </c>
      <c r="D1592" s="16" t="s">
        <v>707</v>
      </c>
      <c r="E1592" s="16">
        <v>2011.0</v>
      </c>
      <c r="F1592" s="16">
        <v>50.8369</v>
      </c>
      <c r="G1592" s="16">
        <v>10.6933</v>
      </c>
      <c r="H1592" s="15"/>
      <c r="I1592" s="15"/>
    </row>
    <row r="1593">
      <c r="A1593" s="18">
        <v>45665.0</v>
      </c>
      <c r="B1593" s="16" t="s">
        <v>2410</v>
      </c>
      <c r="C1593" s="16">
        <v>4.0</v>
      </c>
      <c r="D1593" s="16" t="s">
        <v>707</v>
      </c>
      <c r="E1593" s="16">
        <v>2011.0</v>
      </c>
      <c r="F1593" s="16">
        <v>51.7209</v>
      </c>
      <c r="G1593" s="16">
        <v>11.9403</v>
      </c>
      <c r="H1593" s="15"/>
      <c r="I1593" s="15"/>
    </row>
    <row r="1594">
      <c r="A1594" s="18">
        <v>45665.0</v>
      </c>
      <c r="B1594" s="16" t="s">
        <v>2411</v>
      </c>
      <c r="C1594" s="16" t="s">
        <v>969</v>
      </c>
      <c r="D1594" s="16" t="s">
        <v>707</v>
      </c>
      <c r="E1594" s="16">
        <v>2011.0</v>
      </c>
      <c r="F1594" s="16">
        <v>52.3895</v>
      </c>
      <c r="G1594" s="16">
        <v>9.2693</v>
      </c>
      <c r="H1594" s="15"/>
      <c r="I1594" s="15"/>
    </row>
    <row r="1595">
      <c r="A1595" s="18">
        <v>45665.0</v>
      </c>
      <c r="B1595" s="16" t="s">
        <v>2412</v>
      </c>
      <c r="C1595" s="16" t="s">
        <v>1094</v>
      </c>
      <c r="D1595" s="16" t="s">
        <v>707</v>
      </c>
      <c r="E1595" s="16">
        <v>2011.0</v>
      </c>
      <c r="F1595" s="16">
        <v>51.6124</v>
      </c>
      <c r="G1595" s="16">
        <v>12.2822</v>
      </c>
      <c r="H1595" s="15"/>
      <c r="I1595" s="15"/>
    </row>
    <row r="1596">
      <c r="A1596" s="18">
        <v>45665.0</v>
      </c>
      <c r="B1596" s="16" t="s">
        <v>2413</v>
      </c>
      <c r="C1596" s="16" t="s">
        <v>1051</v>
      </c>
      <c r="D1596" s="16" t="s">
        <v>707</v>
      </c>
      <c r="E1596" s="16">
        <v>2011.0</v>
      </c>
      <c r="F1596" s="16">
        <v>50.5458</v>
      </c>
      <c r="G1596" s="16">
        <v>12.9037</v>
      </c>
      <c r="H1596" s="15"/>
      <c r="I1596" s="15"/>
    </row>
    <row r="1597">
      <c r="A1597" s="18">
        <v>45665.0</v>
      </c>
      <c r="B1597" s="16" t="s">
        <v>2414</v>
      </c>
      <c r="C1597" s="16" t="s">
        <v>1007</v>
      </c>
      <c r="D1597" s="16" t="s">
        <v>707</v>
      </c>
      <c r="E1597" s="16">
        <v>2011.0</v>
      </c>
      <c r="F1597" s="16">
        <v>50.5458</v>
      </c>
      <c r="G1597" s="16">
        <v>12.9037</v>
      </c>
      <c r="H1597" s="15"/>
      <c r="I1597" s="15"/>
    </row>
    <row r="1598">
      <c r="A1598" s="18">
        <v>45665.0</v>
      </c>
      <c r="B1598" s="16" t="s">
        <v>2415</v>
      </c>
      <c r="C1598" s="16" t="s">
        <v>1059</v>
      </c>
      <c r="D1598" s="16" t="s">
        <v>707</v>
      </c>
      <c r="E1598" s="16">
        <v>2011.0</v>
      </c>
      <c r="F1598" s="16">
        <v>50.5499</v>
      </c>
      <c r="G1598" s="16">
        <v>11.7908</v>
      </c>
      <c r="H1598" s="15"/>
      <c r="I1598" s="15"/>
    </row>
    <row r="1599">
      <c r="A1599" s="18">
        <v>45665.0</v>
      </c>
      <c r="B1599" s="16" t="s">
        <v>2416</v>
      </c>
      <c r="C1599" s="16" t="s">
        <v>982</v>
      </c>
      <c r="D1599" s="16" t="s">
        <v>707</v>
      </c>
      <c r="E1599" s="16">
        <v>2011.0</v>
      </c>
      <c r="F1599" s="16">
        <v>51.8122</v>
      </c>
      <c r="G1599" s="16">
        <v>13.2289</v>
      </c>
      <c r="H1599" s="15"/>
      <c r="I1599" s="15"/>
    </row>
    <row r="1600">
      <c r="A1600" s="18">
        <v>45665.0</v>
      </c>
      <c r="B1600" s="16" t="s">
        <v>2417</v>
      </c>
      <c r="C1600" s="16">
        <v>1.0</v>
      </c>
      <c r="D1600" s="16" t="s">
        <v>707</v>
      </c>
      <c r="E1600" s="16">
        <v>2011.0</v>
      </c>
      <c r="F1600" s="16">
        <v>52.5202</v>
      </c>
      <c r="G1600" s="16">
        <v>11.139</v>
      </c>
      <c r="H1600" s="15"/>
      <c r="I1600" s="15"/>
    </row>
    <row r="1601">
      <c r="A1601" s="18">
        <v>45665.0</v>
      </c>
      <c r="B1601" s="16" t="s">
        <v>2418</v>
      </c>
      <c r="C1601" s="16" t="s">
        <v>942</v>
      </c>
      <c r="D1601" s="16" t="s">
        <v>707</v>
      </c>
      <c r="E1601" s="16">
        <v>2011.0</v>
      </c>
      <c r="F1601" s="16">
        <v>53.1949</v>
      </c>
      <c r="G1601" s="16">
        <v>13.1379</v>
      </c>
      <c r="H1601" s="15"/>
      <c r="I1601" s="15"/>
    </row>
    <row r="1602">
      <c r="A1602" s="18">
        <v>45665.0</v>
      </c>
      <c r="B1602" s="16" t="s">
        <v>2419</v>
      </c>
      <c r="C1602" s="16" t="s">
        <v>946</v>
      </c>
      <c r="D1602" s="16" t="s">
        <v>707</v>
      </c>
      <c r="E1602" s="16">
        <v>2011.0</v>
      </c>
      <c r="F1602" s="16">
        <v>50.771</v>
      </c>
      <c r="G1602" s="16">
        <v>9.5302</v>
      </c>
      <c r="H1602" s="15"/>
      <c r="I1602" s="15"/>
    </row>
    <row r="1603">
      <c r="A1603" s="18">
        <v>45665.0</v>
      </c>
      <c r="B1603" s="16" t="s">
        <v>2420</v>
      </c>
      <c r="C1603" s="16" t="s">
        <v>2421</v>
      </c>
      <c r="D1603" s="16" t="s">
        <v>707</v>
      </c>
      <c r="E1603" s="16">
        <v>2011.0</v>
      </c>
      <c r="F1603" s="16">
        <v>51.5487</v>
      </c>
      <c r="G1603" s="16">
        <v>13.9514</v>
      </c>
      <c r="H1603" s="15"/>
      <c r="I1603" s="15"/>
    </row>
    <row r="1604">
      <c r="A1604" s="18">
        <v>45665.0</v>
      </c>
      <c r="B1604" s="16" t="s">
        <v>2422</v>
      </c>
      <c r="C1604" s="16" t="s">
        <v>959</v>
      </c>
      <c r="D1604" s="16" t="s">
        <v>707</v>
      </c>
      <c r="E1604" s="16">
        <v>2011.0</v>
      </c>
      <c r="F1604" s="16">
        <v>51.4746</v>
      </c>
      <c r="G1604" s="16">
        <v>10.902</v>
      </c>
      <c r="H1604" s="15"/>
      <c r="I1604" s="15"/>
    </row>
    <row r="1605">
      <c r="A1605" s="18">
        <v>45665.0</v>
      </c>
      <c r="B1605" s="16" t="s">
        <v>2423</v>
      </c>
      <c r="C1605" s="16" t="s">
        <v>969</v>
      </c>
      <c r="D1605" s="16" t="s">
        <v>707</v>
      </c>
      <c r="E1605" s="16">
        <v>2011.0</v>
      </c>
      <c r="F1605" s="16">
        <v>49.8494</v>
      </c>
      <c r="G1605" s="16">
        <v>10.7386</v>
      </c>
      <c r="H1605" s="15"/>
      <c r="I1605" s="15"/>
    </row>
    <row r="1606">
      <c r="A1606" s="18">
        <v>45665.0</v>
      </c>
      <c r="B1606" s="16" t="s">
        <v>2424</v>
      </c>
      <c r="C1606" s="16" t="s">
        <v>942</v>
      </c>
      <c r="D1606" s="16" t="s">
        <v>707</v>
      </c>
      <c r="E1606" s="16">
        <v>2011.0</v>
      </c>
      <c r="F1606" s="16">
        <v>47.9324</v>
      </c>
      <c r="G1606" s="16">
        <v>8.525</v>
      </c>
      <c r="H1606" s="15"/>
      <c r="I1606" s="15"/>
    </row>
    <row r="1607">
      <c r="A1607" s="18">
        <v>45665.0</v>
      </c>
      <c r="B1607" s="16" t="s">
        <v>2425</v>
      </c>
      <c r="C1607" s="16" t="s">
        <v>1055</v>
      </c>
      <c r="D1607" s="16" t="s">
        <v>707</v>
      </c>
      <c r="E1607" s="16">
        <v>2011.0</v>
      </c>
      <c r="F1607" s="16">
        <v>49.8659</v>
      </c>
      <c r="G1607" s="16">
        <v>10.791</v>
      </c>
      <c r="H1607" s="15"/>
      <c r="I1607" s="15"/>
    </row>
    <row r="1608">
      <c r="A1608" s="18">
        <v>45665.0</v>
      </c>
      <c r="B1608" s="16" t="s">
        <v>2426</v>
      </c>
      <c r="C1608" s="16" t="s">
        <v>1090</v>
      </c>
      <c r="D1608" s="16" t="s">
        <v>707</v>
      </c>
      <c r="E1608" s="16">
        <v>2011.0</v>
      </c>
      <c r="F1608" s="16">
        <v>51.9284</v>
      </c>
      <c r="G1608" s="16">
        <v>14.6947</v>
      </c>
      <c r="H1608" s="15"/>
      <c r="I1608" s="15"/>
    </row>
    <row r="1609">
      <c r="A1609" s="18">
        <v>45665.0</v>
      </c>
      <c r="B1609" s="16" t="s">
        <v>2427</v>
      </c>
      <c r="C1609" s="16" t="s">
        <v>1055</v>
      </c>
      <c r="D1609" s="16" t="s">
        <v>707</v>
      </c>
      <c r="E1609" s="16">
        <v>2011.0</v>
      </c>
      <c r="F1609" s="16">
        <v>48.5798</v>
      </c>
      <c r="G1609" s="16">
        <v>8.8885</v>
      </c>
      <c r="H1609" s="15"/>
      <c r="I1609" s="15"/>
    </row>
    <row r="1610">
      <c r="A1610" s="18">
        <v>45665.0</v>
      </c>
      <c r="B1610" s="16" t="s">
        <v>2428</v>
      </c>
      <c r="C1610" s="16" t="s">
        <v>946</v>
      </c>
      <c r="D1610" s="16" t="s">
        <v>707</v>
      </c>
      <c r="E1610" s="16">
        <v>2011.0</v>
      </c>
      <c r="F1610" s="16">
        <v>49.337</v>
      </c>
      <c r="G1610" s="16">
        <v>12.4019</v>
      </c>
      <c r="H1610" s="15"/>
      <c r="I1610" s="15"/>
    </row>
    <row r="1611">
      <c r="A1611" s="18">
        <v>45665.0</v>
      </c>
      <c r="B1611" s="16" t="s">
        <v>2429</v>
      </c>
      <c r="C1611" s="16">
        <v>1.0</v>
      </c>
      <c r="D1611" s="16" t="s">
        <v>707</v>
      </c>
      <c r="E1611" s="16">
        <v>2011.0</v>
      </c>
      <c r="F1611" s="16">
        <v>49.3369</v>
      </c>
      <c r="G1611" s="16">
        <v>12.4021</v>
      </c>
      <c r="H1611" s="15"/>
      <c r="I1611" s="15"/>
    </row>
    <row r="1612">
      <c r="A1612" s="18">
        <v>45665.0</v>
      </c>
      <c r="B1612" s="16" t="s">
        <v>2430</v>
      </c>
      <c r="C1612" s="16" t="s">
        <v>1055</v>
      </c>
      <c r="D1612" s="16" t="s">
        <v>707</v>
      </c>
      <c r="E1612" s="16">
        <v>2011.0</v>
      </c>
      <c r="F1612" s="16">
        <v>51.8062</v>
      </c>
      <c r="G1612" s="16">
        <v>9.2024</v>
      </c>
      <c r="H1612" s="15"/>
      <c r="I1612" s="15"/>
    </row>
    <row r="1613">
      <c r="A1613" s="18">
        <v>45665.0</v>
      </c>
      <c r="B1613" s="16" t="s">
        <v>2431</v>
      </c>
      <c r="C1613" s="16" t="s">
        <v>961</v>
      </c>
      <c r="D1613" s="16" t="s">
        <v>707</v>
      </c>
      <c r="E1613" s="16">
        <v>2011.0</v>
      </c>
      <c r="F1613" s="16">
        <v>51.7173</v>
      </c>
      <c r="G1613" s="16">
        <v>9.0775</v>
      </c>
      <c r="H1613" s="15"/>
      <c r="I1613" s="15"/>
    </row>
    <row r="1614">
      <c r="A1614" s="18">
        <v>45665.0</v>
      </c>
      <c r="B1614" s="16" t="s">
        <v>2432</v>
      </c>
      <c r="C1614" s="16" t="s">
        <v>1358</v>
      </c>
      <c r="D1614" s="16" t="s">
        <v>707</v>
      </c>
      <c r="E1614" s="16">
        <v>2011.0</v>
      </c>
      <c r="F1614" s="16">
        <v>51.1031</v>
      </c>
      <c r="G1614" s="16">
        <v>12.4876</v>
      </c>
      <c r="H1614" s="15"/>
      <c r="I1614" s="15"/>
    </row>
    <row r="1615">
      <c r="A1615" s="18">
        <v>45665.0</v>
      </c>
      <c r="B1615" s="16" t="s">
        <v>2433</v>
      </c>
      <c r="C1615" s="16" t="s">
        <v>961</v>
      </c>
      <c r="D1615" s="16" t="s">
        <v>707</v>
      </c>
      <c r="E1615" s="16">
        <v>2011.0</v>
      </c>
      <c r="F1615" s="16">
        <v>49.9693</v>
      </c>
      <c r="G1615" s="16">
        <v>6.35</v>
      </c>
      <c r="H1615" s="15"/>
      <c r="I1615" s="15"/>
    </row>
    <row r="1616">
      <c r="A1616" s="18">
        <v>45665.0</v>
      </c>
      <c r="B1616" s="16" t="s">
        <v>2434</v>
      </c>
      <c r="C1616" s="16" t="s">
        <v>1090</v>
      </c>
      <c r="D1616" s="16" t="s">
        <v>707</v>
      </c>
      <c r="E1616" s="16">
        <v>2011.0</v>
      </c>
      <c r="F1616" s="16">
        <v>48.0096</v>
      </c>
      <c r="G1616" s="16">
        <v>10.2489</v>
      </c>
      <c r="H1616" s="15"/>
      <c r="I1616" s="15"/>
    </row>
    <row r="1617">
      <c r="A1617" s="18">
        <v>45665.0</v>
      </c>
      <c r="B1617" s="16" t="s">
        <v>2435</v>
      </c>
      <c r="C1617" s="16" t="s">
        <v>951</v>
      </c>
      <c r="D1617" s="16" t="s">
        <v>707</v>
      </c>
      <c r="E1617" s="16">
        <v>2011.0</v>
      </c>
      <c r="F1617" s="16">
        <v>49.7822</v>
      </c>
      <c r="G1617" s="16">
        <v>10.2472</v>
      </c>
      <c r="H1617" s="15"/>
      <c r="I1617" s="15"/>
    </row>
    <row r="1618">
      <c r="A1618" s="18">
        <v>45665.0</v>
      </c>
      <c r="B1618" s="16" t="s">
        <v>2436</v>
      </c>
      <c r="C1618" s="16" t="s">
        <v>971</v>
      </c>
      <c r="D1618" s="16" t="s">
        <v>707</v>
      </c>
      <c r="E1618" s="16">
        <v>2011.0</v>
      </c>
      <c r="F1618" s="16">
        <v>49.7739</v>
      </c>
      <c r="G1618" s="16">
        <v>6.8548</v>
      </c>
      <c r="H1618" s="15"/>
      <c r="I1618" s="15"/>
    </row>
    <row r="1619">
      <c r="A1619" s="18">
        <v>45665.0</v>
      </c>
      <c r="B1619" s="16" t="s">
        <v>2437</v>
      </c>
      <c r="C1619" s="16" t="s">
        <v>969</v>
      </c>
      <c r="D1619" s="16" t="s">
        <v>707</v>
      </c>
      <c r="E1619" s="16">
        <v>2011.0</v>
      </c>
      <c r="F1619" s="16">
        <v>49.2929</v>
      </c>
      <c r="G1619" s="16">
        <v>11.3747</v>
      </c>
      <c r="H1619" s="15"/>
      <c r="I1619" s="15"/>
    </row>
    <row r="1620">
      <c r="A1620" s="18">
        <v>45665.0</v>
      </c>
      <c r="B1620" s="16" t="s">
        <v>2438</v>
      </c>
      <c r="C1620" s="16" t="s">
        <v>1051</v>
      </c>
      <c r="D1620" s="16" t="s">
        <v>707</v>
      </c>
      <c r="E1620" s="16">
        <v>2011.0</v>
      </c>
      <c r="F1620" s="16">
        <v>51.2165</v>
      </c>
      <c r="G1620" s="16">
        <v>12.0287</v>
      </c>
      <c r="H1620" s="15"/>
      <c r="I1620" s="15"/>
    </row>
    <row r="1621">
      <c r="A1621" s="18">
        <v>45665.0</v>
      </c>
      <c r="B1621" s="16" t="s">
        <v>2439</v>
      </c>
      <c r="C1621" s="16" t="s">
        <v>961</v>
      </c>
      <c r="D1621" s="16" t="s">
        <v>707</v>
      </c>
      <c r="E1621" s="16">
        <v>2011.0</v>
      </c>
      <c r="F1621" s="16">
        <v>49.7649</v>
      </c>
      <c r="G1621" s="16">
        <v>9.6562</v>
      </c>
      <c r="H1621" s="15"/>
      <c r="I1621" s="15"/>
    </row>
    <row r="1622">
      <c r="A1622" s="18">
        <v>45665.0</v>
      </c>
      <c r="B1622" s="16" t="s">
        <v>2440</v>
      </c>
      <c r="C1622" s="16" t="s">
        <v>1055</v>
      </c>
      <c r="D1622" s="16" t="s">
        <v>707</v>
      </c>
      <c r="E1622" s="16">
        <v>2011.0</v>
      </c>
      <c r="F1622" s="16">
        <v>49.7353</v>
      </c>
      <c r="G1622" s="16">
        <v>7.8094</v>
      </c>
      <c r="H1622" s="15"/>
      <c r="I1622" s="15"/>
    </row>
    <row r="1623">
      <c r="A1623" s="18">
        <v>45665.0</v>
      </c>
      <c r="B1623" s="16" t="s">
        <v>2441</v>
      </c>
      <c r="C1623" s="16" t="s">
        <v>1277</v>
      </c>
      <c r="D1623" s="16" t="s">
        <v>707</v>
      </c>
      <c r="E1623" s="16">
        <v>2011.0</v>
      </c>
      <c r="F1623" s="16">
        <v>50.7616</v>
      </c>
      <c r="G1623" s="16">
        <v>8.5175</v>
      </c>
      <c r="H1623" s="15"/>
      <c r="I1623" s="15"/>
    </row>
    <row r="1624">
      <c r="A1624" s="18">
        <v>45665.0</v>
      </c>
      <c r="B1624" s="16" t="s">
        <v>2442</v>
      </c>
      <c r="C1624" s="16" t="s">
        <v>1055</v>
      </c>
      <c r="D1624" s="16" t="s">
        <v>707</v>
      </c>
      <c r="E1624" s="16">
        <v>2011.0</v>
      </c>
      <c r="F1624" s="16">
        <v>51.9884</v>
      </c>
      <c r="G1624" s="16">
        <v>11.8691</v>
      </c>
      <c r="H1624" s="15"/>
      <c r="I1624" s="15"/>
    </row>
    <row r="1625">
      <c r="A1625" s="18">
        <v>45665.0</v>
      </c>
      <c r="B1625" s="16" t="s">
        <v>2443</v>
      </c>
      <c r="C1625" s="16" t="s">
        <v>1955</v>
      </c>
      <c r="D1625" s="16" t="s">
        <v>707</v>
      </c>
      <c r="E1625" s="16">
        <v>2011.0</v>
      </c>
      <c r="F1625" s="16">
        <v>53.7443</v>
      </c>
      <c r="G1625" s="16">
        <v>12.9533</v>
      </c>
      <c r="H1625" s="15"/>
      <c r="I1625" s="15"/>
    </row>
    <row r="1626">
      <c r="A1626" s="18">
        <v>45665.0</v>
      </c>
      <c r="B1626" s="16" t="s">
        <v>2444</v>
      </c>
      <c r="C1626" s="16" t="s">
        <v>1055</v>
      </c>
      <c r="D1626" s="16" t="s">
        <v>707</v>
      </c>
      <c r="E1626" s="16">
        <v>2011.0</v>
      </c>
      <c r="F1626" s="16">
        <v>48.2301</v>
      </c>
      <c r="G1626" s="16">
        <v>10.0399</v>
      </c>
      <c r="H1626" s="15"/>
      <c r="I1626" s="15"/>
    </row>
    <row r="1627">
      <c r="A1627" s="18">
        <v>45665.0</v>
      </c>
      <c r="B1627" s="16" t="s">
        <v>2445</v>
      </c>
      <c r="C1627" s="16" t="s">
        <v>1267</v>
      </c>
      <c r="D1627" s="16" t="s">
        <v>707</v>
      </c>
      <c r="E1627" s="16">
        <v>2011.0</v>
      </c>
      <c r="F1627" s="16">
        <v>51.9885</v>
      </c>
      <c r="G1627" s="16">
        <v>7.2569</v>
      </c>
      <c r="H1627" s="15"/>
      <c r="I1627" s="15"/>
    </row>
    <row r="1628">
      <c r="A1628" s="18">
        <v>45665.0</v>
      </c>
      <c r="B1628" s="16" t="s">
        <v>2446</v>
      </c>
      <c r="C1628" s="16" t="s">
        <v>1341</v>
      </c>
      <c r="D1628" s="16" t="s">
        <v>707</v>
      </c>
      <c r="E1628" s="16">
        <v>2011.0</v>
      </c>
      <c r="F1628" s="16">
        <v>51.622</v>
      </c>
      <c r="G1628" s="16">
        <v>12.315</v>
      </c>
      <c r="H1628" s="15"/>
      <c r="I1628" s="15"/>
    </row>
    <row r="1629">
      <c r="A1629" s="18">
        <v>45665.0</v>
      </c>
      <c r="B1629" s="16" t="s">
        <v>2447</v>
      </c>
      <c r="C1629" s="16" t="s">
        <v>1037</v>
      </c>
      <c r="D1629" s="16" t="s">
        <v>707</v>
      </c>
      <c r="E1629" s="16">
        <v>2011.0</v>
      </c>
      <c r="F1629" s="16">
        <v>51.6059</v>
      </c>
      <c r="G1629" s="16">
        <v>12.321</v>
      </c>
      <c r="H1629" s="15"/>
      <c r="I1629" s="15"/>
    </row>
    <row r="1630">
      <c r="A1630" s="18">
        <v>45665.0</v>
      </c>
      <c r="B1630" s="16" t="s">
        <v>2448</v>
      </c>
      <c r="C1630" s="16" t="s">
        <v>961</v>
      </c>
      <c r="D1630" s="16" t="s">
        <v>707</v>
      </c>
      <c r="E1630" s="16">
        <v>2011.0</v>
      </c>
      <c r="F1630" s="16">
        <v>48.6955</v>
      </c>
      <c r="G1630" s="16">
        <v>10.9984</v>
      </c>
      <c r="H1630" s="15"/>
      <c r="I1630" s="15"/>
    </row>
    <row r="1631">
      <c r="A1631" s="18">
        <v>45665.0</v>
      </c>
      <c r="B1631" s="16" t="s">
        <v>2449</v>
      </c>
      <c r="C1631" s="16">
        <v>3.0</v>
      </c>
      <c r="D1631" s="16" t="s">
        <v>707</v>
      </c>
      <c r="E1631" s="16">
        <v>2011.0</v>
      </c>
      <c r="F1631" s="16">
        <v>51.1326</v>
      </c>
      <c r="G1631" s="16">
        <v>13.5613</v>
      </c>
      <c r="H1631" s="15"/>
      <c r="I1631" s="15"/>
    </row>
    <row r="1632">
      <c r="A1632" s="18">
        <v>45665.0</v>
      </c>
      <c r="B1632" s="16" t="s">
        <v>2450</v>
      </c>
      <c r="C1632" s="16" t="s">
        <v>1059</v>
      </c>
      <c r="D1632" s="16" t="s">
        <v>707</v>
      </c>
      <c r="E1632" s="16">
        <v>2011.0</v>
      </c>
      <c r="F1632" s="16">
        <v>48.1208</v>
      </c>
      <c r="G1632" s="16">
        <v>8.739</v>
      </c>
      <c r="H1632" s="15"/>
      <c r="I1632" s="15"/>
    </row>
    <row r="1633">
      <c r="A1633" s="18">
        <v>45665.0</v>
      </c>
      <c r="B1633" s="16" t="s">
        <v>2451</v>
      </c>
      <c r="C1633" s="16" t="s">
        <v>969</v>
      </c>
      <c r="D1633" s="16" t="s">
        <v>707</v>
      </c>
      <c r="E1633" s="16">
        <v>2011.0</v>
      </c>
      <c r="F1633" s="16">
        <v>50.7854</v>
      </c>
      <c r="G1633" s="16">
        <v>10.192</v>
      </c>
      <c r="H1633" s="15"/>
      <c r="I1633" s="15"/>
    </row>
    <row r="1634">
      <c r="A1634" s="18">
        <v>45665.0</v>
      </c>
      <c r="B1634" s="16" t="s">
        <v>2452</v>
      </c>
      <c r="C1634" s="16" t="s">
        <v>946</v>
      </c>
      <c r="D1634" s="16" t="s">
        <v>707</v>
      </c>
      <c r="E1634" s="16">
        <v>2011.0</v>
      </c>
      <c r="F1634" s="16">
        <v>51.3585</v>
      </c>
      <c r="G1634" s="16">
        <v>8.7911</v>
      </c>
      <c r="H1634" s="15"/>
      <c r="I1634" s="15"/>
    </row>
    <row r="1635">
      <c r="A1635" s="18">
        <v>45665.0</v>
      </c>
      <c r="B1635" s="16" t="s">
        <v>2453</v>
      </c>
      <c r="C1635" s="16" t="s">
        <v>1386</v>
      </c>
      <c r="D1635" s="16" t="s">
        <v>707</v>
      </c>
      <c r="E1635" s="16">
        <v>2011.0</v>
      </c>
      <c r="F1635" s="16">
        <v>51.757</v>
      </c>
      <c r="G1635" s="16">
        <v>14.3904</v>
      </c>
      <c r="H1635" s="15"/>
      <c r="I1635" s="15"/>
    </row>
    <row r="1636">
      <c r="A1636" s="18">
        <v>45665.0</v>
      </c>
      <c r="B1636" s="16" t="s">
        <v>2454</v>
      </c>
      <c r="C1636" s="16" t="s">
        <v>959</v>
      </c>
      <c r="D1636" s="16" t="s">
        <v>707</v>
      </c>
      <c r="E1636" s="16">
        <v>2011.0</v>
      </c>
      <c r="F1636" s="16">
        <v>49.5806</v>
      </c>
      <c r="G1636" s="16">
        <v>9.651</v>
      </c>
      <c r="H1636" s="15"/>
      <c r="I1636" s="15"/>
    </row>
    <row r="1637">
      <c r="A1637" s="18">
        <v>45665.0</v>
      </c>
      <c r="B1637" s="16" t="s">
        <v>2455</v>
      </c>
      <c r="C1637" s="16" t="s">
        <v>969</v>
      </c>
      <c r="D1637" s="16" t="s">
        <v>707</v>
      </c>
      <c r="E1637" s="16">
        <v>2011.0</v>
      </c>
      <c r="F1637" s="16">
        <v>50.7596</v>
      </c>
      <c r="G1637" s="16">
        <v>9.8193</v>
      </c>
      <c r="H1637" s="15"/>
      <c r="I1637" s="15"/>
    </row>
    <row r="1638">
      <c r="A1638" s="18">
        <v>45665.0</v>
      </c>
      <c r="B1638" s="16" t="s">
        <v>2456</v>
      </c>
      <c r="C1638" s="16" t="s">
        <v>2457</v>
      </c>
      <c r="D1638" s="16" t="s">
        <v>707</v>
      </c>
      <c r="E1638" s="16">
        <v>2011.0</v>
      </c>
      <c r="F1638" s="16">
        <v>48.6899</v>
      </c>
      <c r="G1638" s="16">
        <v>11.6529</v>
      </c>
      <c r="H1638" s="15"/>
      <c r="I1638" s="15"/>
    </row>
    <row r="1639">
      <c r="A1639" s="18">
        <v>45665.0</v>
      </c>
      <c r="B1639" s="16" t="s">
        <v>2458</v>
      </c>
      <c r="C1639" s="16" t="s">
        <v>942</v>
      </c>
      <c r="D1639" s="16" t="s">
        <v>707</v>
      </c>
      <c r="E1639" s="16">
        <v>2011.0</v>
      </c>
      <c r="F1639" s="16">
        <v>51.9317</v>
      </c>
      <c r="G1639" s="16">
        <v>9.8743</v>
      </c>
      <c r="H1639" s="15"/>
      <c r="I1639" s="15"/>
    </row>
    <row r="1640">
      <c r="A1640" s="18">
        <v>45665.0</v>
      </c>
      <c r="B1640" s="16" t="s">
        <v>2459</v>
      </c>
      <c r="C1640" s="16" t="s">
        <v>969</v>
      </c>
      <c r="D1640" s="16" t="s">
        <v>707</v>
      </c>
      <c r="E1640" s="16">
        <v>2011.0</v>
      </c>
      <c r="F1640" s="16">
        <v>51.3941</v>
      </c>
      <c r="G1640" s="16">
        <v>9.54</v>
      </c>
      <c r="H1640" s="15"/>
      <c r="I1640" s="15"/>
    </row>
    <row r="1641">
      <c r="A1641" s="18">
        <v>45665.0</v>
      </c>
      <c r="B1641" s="16" t="s">
        <v>2460</v>
      </c>
      <c r="C1641" s="16">
        <v>3.0</v>
      </c>
      <c r="D1641" s="16" t="s">
        <v>707</v>
      </c>
      <c r="E1641" s="16">
        <v>2011.0</v>
      </c>
      <c r="F1641" s="16">
        <v>50.5339</v>
      </c>
      <c r="G1641" s="16">
        <v>8.4137</v>
      </c>
      <c r="H1641" s="15"/>
      <c r="I1641" s="15"/>
    </row>
    <row r="1642">
      <c r="A1642" s="18">
        <v>45665.0</v>
      </c>
      <c r="B1642" s="16" t="s">
        <v>2461</v>
      </c>
      <c r="C1642" s="16" t="s">
        <v>1101</v>
      </c>
      <c r="D1642" s="16" t="s">
        <v>707</v>
      </c>
      <c r="E1642" s="16">
        <v>2011.0</v>
      </c>
      <c r="F1642" s="16">
        <v>52.5312</v>
      </c>
      <c r="G1642" s="16">
        <v>11.4304</v>
      </c>
      <c r="H1642" s="15"/>
      <c r="I1642" s="15"/>
    </row>
    <row r="1643">
      <c r="A1643" s="18">
        <v>45665.0</v>
      </c>
      <c r="B1643" s="16" t="s">
        <v>2462</v>
      </c>
      <c r="C1643" s="16" t="s">
        <v>1007</v>
      </c>
      <c r="D1643" s="16" t="s">
        <v>707</v>
      </c>
      <c r="E1643" s="16">
        <v>2011.0</v>
      </c>
      <c r="F1643" s="16">
        <v>54.3192</v>
      </c>
      <c r="G1643" s="16">
        <v>13.3413</v>
      </c>
      <c r="H1643" s="15"/>
      <c r="I1643" s="15"/>
    </row>
    <row r="1644">
      <c r="A1644" s="18">
        <v>45665.0</v>
      </c>
      <c r="B1644" s="16" t="s">
        <v>2463</v>
      </c>
      <c r="C1644" s="16">
        <v>8.0</v>
      </c>
      <c r="D1644" s="16" t="s">
        <v>707</v>
      </c>
      <c r="E1644" s="16">
        <v>2011.0</v>
      </c>
      <c r="F1644" s="16">
        <v>54.1046</v>
      </c>
      <c r="G1644" s="16">
        <v>13.079</v>
      </c>
      <c r="H1644" s="15"/>
      <c r="I1644" s="15"/>
    </row>
    <row r="1645">
      <c r="A1645" s="18">
        <v>45665.0</v>
      </c>
      <c r="B1645" s="16" t="s">
        <v>2464</v>
      </c>
      <c r="C1645" s="16" t="s">
        <v>1149</v>
      </c>
      <c r="D1645" s="16" t="s">
        <v>707</v>
      </c>
      <c r="E1645" s="16">
        <v>2011.0</v>
      </c>
      <c r="F1645" s="16">
        <v>51.4803</v>
      </c>
      <c r="G1645" s="16">
        <v>13.4817</v>
      </c>
      <c r="H1645" s="15"/>
      <c r="I1645" s="15"/>
    </row>
    <row r="1646">
      <c r="A1646" s="18">
        <v>45665.0</v>
      </c>
      <c r="B1646" s="16" t="s">
        <v>2465</v>
      </c>
      <c r="C1646" s="16" t="s">
        <v>948</v>
      </c>
      <c r="D1646" s="16" t="s">
        <v>707</v>
      </c>
      <c r="E1646" s="16">
        <v>2011.0</v>
      </c>
      <c r="F1646" s="16">
        <v>49.5602</v>
      </c>
      <c r="G1646" s="16">
        <v>9.621</v>
      </c>
      <c r="H1646" s="15"/>
      <c r="I1646" s="15"/>
    </row>
    <row r="1647">
      <c r="A1647" s="18">
        <v>45665.0</v>
      </c>
      <c r="B1647" s="16" t="s">
        <v>2466</v>
      </c>
      <c r="C1647" s="16" t="s">
        <v>971</v>
      </c>
      <c r="D1647" s="16" t="s">
        <v>707</v>
      </c>
      <c r="E1647" s="16">
        <v>2011.0</v>
      </c>
      <c r="F1647" s="16">
        <v>51.8863</v>
      </c>
      <c r="G1647" s="16">
        <v>11.481</v>
      </c>
      <c r="H1647" s="15"/>
      <c r="I1647" s="15"/>
    </row>
    <row r="1648">
      <c r="A1648" s="18">
        <v>45665.0</v>
      </c>
      <c r="B1648" s="16" t="s">
        <v>2467</v>
      </c>
      <c r="C1648" s="16" t="s">
        <v>948</v>
      </c>
      <c r="D1648" s="16" t="s">
        <v>707</v>
      </c>
      <c r="E1648" s="16">
        <v>2011.0</v>
      </c>
      <c r="F1648" s="16">
        <v>48.4253</v>
      </c>
      <c r="G1648" s="16">
        <v>10.0902</v>
      </c>
      <c r="H1648" s="15"/>
      <c r="I1648" s="15"/>
    </row>
    <row r="1649">
      <c r="A1649" s="18">
        <v>45665.0</v>
      </c>
      <c r="B1649" s="16" t="s">
        <v>2468</v>
      </c>
      <c r="C1649" s="16" t="s">
        <v>1215</v>
      </c>
      <c r="D1649" s="16" t="s">
        <v>707</v>
      </c>
      <c r="E1649" s="16">
        <v>2011.0</v>
      </c>
      <c r="F1649" s="16">
        <v>50.0</v>
      </c>
      <c r="G1649" s="16">
        <v>8.4855</v>
      </c>
      <c r="H1649" s="15"/>
      <c r="I1649" s="15"/>
    </row>
    <row r="1650">
      <c r="A1650" s="18">
        <v>45665.0</v>
      </c>
      <c r="B1650" s="16" t="s">
        <v>2469</v>
      </c>
      <c r="C1650" s="16" t="s">
        <v>946</v>
      </c>
      <c r="D1650" s="16" t="s">
        <v>707</v>
      </c>
      <c r="E1650" s="16">
        <v>2011.0</v>
      </c>
      <c r="F1650" s="16">
        <v>51.0114</v>
      </c>
      <c r="G1650" s="16">
        <v>9.2309</v>
      </c>
      <c r="H1650" s="15"/>
      <c r="I1650" s="15"/>
    </row>
    <row r="1651">
      <c r="A1651" s="18">
        <v>45665.0</v>
      </c>
      <c r="B1651" s="16" t="s">
        <v>2470</v>
      </c>
      <c r="C1651" s="16" t="s">
        <v>1167</v>
      </c>
      <c r="D1651" s="16" t="s">
        <v>707</v>
      </c>
      <c r="E1651" s="16">
        <v>2011.0</v>
      </c>
      <c r="F1651" s="16">
        <v>51.3021</v>
      </c>
      <c r="G1651" s="16">
        <v>14.9269</v>
      </c>
      <c r="H1651" s="15"/>
      <c r="I1651" s="15"/>
    </row>
    <row r="1652">
      <c r="A1652" s="18">
        <v>45665.0</v>
      </c>
      <c r="B1652" s="16" t="s">
        <v>2471</v>
      </c>
      <c r="C1652" s="16" t="s">
        <v>959</v>
      </c>
      <c r="D1652" s="16" t="s">
        <v>707</v>
      </c>
      <c r="E1652" s="16">
        <v>2011.0</v>
      </c>
      <c r="F1652" s="16">
        <v>48.38</v>
      </c>
      <c r="G1652" s="16">
        <v>10.3203</v>
      </c>
      <c r="H1652" s="15"/>
      <c r="I1652" s="15"/>
    </row>
    <row r="1653">
      <c r="A1653" s="18">
        <v>45665.0</v>
      </c>
      <c r="B1653" s="16" t="s">
        <v>2472</v>
      </c>
      <c r="C1653" s="16" t="s">
        <v>1386</v>
      </c>
      <c r="D1653" s="16" t="s">
        <v>707</v>
      </c>
      <c r="E1653" s="16">
        <v>2011.0</v>
      </c>
      <c r="F1653" s="16">
        <v>48.8442</v>
      </c>
      <c r="G1653" s="16">
        <v>8.12</v>
      </c>
      <c r="H1653" s="15"/>
      <c r="I1653" s="15"/>
    </row>
    <row r="1654">
      <c r="A1654" s="18">
        <v>45665.0</v>
      </c>
      <c r="B1654" s="16" t="s">
        <v>2473</v>
      </c>
      <c r="C1654" s="16" t="s">
        <v>1215</v>
      </c>
      <c r="D1654" s="16" t="s">
        <v>707</v>
      </c>
      <c r="E1654" s="16">
        <v>2011.0</v>
      </c>
      <c r="F1654" s="16">
        <v>49.1761</v>
      </c>
      <c r="G1654" s="16">
        <v>9.9622</v>
      </c>
      <c r="H1654" s="15"/>
      <c r="I1654" s="15"/>
    </row>
    <row r="1655">
      <c r="A1655" s="18">
        <v>45665.0</v>
      </c>
      <c r="B1655" s="16" t="s">
        <v>2474</v>
      </c>
      <c r="C1655" s="16" t="s">
        <v>1039</v>
      </c>
      <c r="D1655" s="16" t="s">
        <v>707</v>
      </c>
      <c r="E1655" s="16">
        <v>2011.0</v>
      </c>
      <c r="F1655" s="16">
        <v>47.653</v>
      </c>
      <c r="G1655" s="16">
        <v>8.428</v>
      </c>
      <c r="H1655" s="15"/>
      <c r="I1655" s="15"/>
    </row>
    <row r="1656">
      <c r="A1656" s="18">
        <v>45665.0</v>
      </c>
      <c r="B1656" s="16" t="s">
        <v>2475</v>
      </c>
      <c r="C1656" s="16" t="s">
        <v>1037</v>
      </c>
      <c r="D1656" s="16" t="s">
        <v>707</v>
      </c>
      <c r="E1656" s="16">
        <v>2011.0</v>
      </c>
      <c r="F1656" s="16">
        <v>52.6422</v>
      </c>
      <c r="G1656" s="16">
        <v>11.6551</v>
      </c>
      <c r="H1656" s="15"/>
      <c r="I1656" s="15"/>
    </row>
    <row r="1657">
      <c r="A1657" s="18">
        <v>45665.0</v>
      </c>
      <c r="B1657" s="16" t="s">
        <v>2476</v>
      </c>
      <c r="C1657" s="16" t="s">
        <v>969</v>
      </c>
      <c r="D1657" s="16" t="s">
        <v>707</v>
      </c>
      <c r="E1657" s="16">
        <v>2011.0</v>
      </c>
      <c r="F1657" s="16">
        <v>51.0898</v>
      </c>
      <c r="G1657" s="16">
        <v>10.5023</v>
      </c>
      <c r="H1657" s="15"/>
      <c r="I1657" s="15"/>
    </row>
    <row r="1658">
      <c r="A1658" s="18">
        <v>45665.0</v>
      </c>
      <c r="B1658" s="16" t="s">
        <v>2477</v>
      </c>
      <c r="C1658" s="16" t="s">
        <v>1454</v>
      </c>
      <c r="D1658" s="16" t="s">
        <v>707</v>
      </c>
      <c r="E1658" s="16">
        <v>2011.0</v>
      </c>
      <c r="F1658" s="16">
        <v>53.8883</v>
      </c>
      <c r="G1658" s="16">
        <v>12.2492</v>
      </c>
      <c r="H1658" s="15"/>
      <c r="I1658" s="15"/>
    </row>
    <row r="1659">
      <c r="A1659" s="18">
        <v>45665.0</v>
      </c>
      <c r="B1659" s="16" t="s">
        <v>2478</v>
      </c>
      <c r="C1659" s="16" t="s">
        <v>942</v>
      </c>
      <c r="D1659" s="16" t="s">
        <v>707</v>
      </c>
      <c r="E1659" s="16">
        <v>2011.0</v>
      </c>
      <c r="F1659" s="16">
        <v>48.7378</v>
      </c>
      <c r="G1659" s="16">
        <v>12.9461</v>
      </c>
      <c r="H1659" s="15"/>
      <c r="I1659" s="15"/>
    </row>
    <row r="1660">
      <c r="A1660" s="18">
        <v>45665.0</v>
      </c>
      <c r="B1660" s="16" t="s">
        <v>2479</v>
      </c>
      <c r="C1660" s="16" t="s">
        <v>1055</v>
      </c>
      <c r="D1660" s="16" t="s">
        <v>707</v>
      </c>
      <c r="E1660" s="16">
        <v>2011.0</v>
      </c>
      <c r="F1660" s="16">
        <v>48.4796</v>
      </c>
      <c r="G1660" s="16">
        <v>10.8308</v>
      </c>
      <c r="H1660" s="15"/>
      <c r="I1660" s="15"/>
    </row>
    <row r="1661">
      <c r="A1661" s="18">
        <v>45665.0</v>
      </c>
      <c r="B1661" s="16" t="s">
        <v>2480</v>
      </c>
      <c r="C1661" s="16">
        <v>2.0</v>
      </c>
      <c r="D1661" s="16" t="s">
        <v>707</v>
      </c>
      <c r="E1661" s="16">
        <v>2011.0</v>
      </c>
      <c r="F1661" s="16">
        <v>50.5516</v>
      </c>
      <c r="G1661" s="16">
        <v>8.6436</v>
      </c>
      <c r="H1661" s="15"/>
      <c r="I1661" s="15"/>
    </row>
    <row r="1662">
      <c r="A1662" s="18">
        <v>45665.0</v>
      </c>
      <c r="B1662" s="16" t="s">
        <v>2481</v>
      </c>
      <c r="C1662" s="16" t="s">
        <v>1181</v>
      </c>
      <c r="D1662" s="16" t="s">
        <v>707</v>
      </c>
      <c r="E1662" s="16">
        <v>2011.0</v>
      </c>
      <c r="F1662" s="16">
        <v>52.135</v>
      </c>
      <c r="G1662" s="16">
        <v>11.6801</v>
      </c>
      <c r="H1662" s="15"/>
      <c r="I1662" s="15"/>
    </row>
    <row r="1663">
      <c r="A1663" s="18">
        <v>45665.0</v>
      </c>
      <c r="B1663" s="16" t="s">
        <v>2482</v>
      </c>
      <c r="C1663" s="16" t="s">
        <v>2404</v>
      </c>
      <c r="D1663" s="16" t="s">
        <v>707</v>
      </c>
      <c r="E1663" s="16">
        <v>2011.0</v>
      </c>
      <c r="F1663" s="16">
        <v>51.1865</v>
      </c>
      <c r="G1663" s="16">
        <v>13.5075</v>
      </c>
      <c r="H1663" s="15"/>
      <c r="I1663" s="15"/>
    </row>
    <row r="1664">
      <c r="A1664" s="18">
        <v>45665.0</v>
      </c>
      <c r="B1664" s="16" t="s">
        <v>2483</v>
      </c>
      <c r="C1664" s="16" t="s">
        <v>1215</v>
      </c>
      <c r="D1664" s="16" t="s">
        <v>707</v>
      </c>
      <c r="E1664" s="16">
        <v>2011.0</v>
      </c>
      <c r="F1664" s="16">
        <v>51.3301</v>
      </c>
      <c r="G1664" s="16">
        <v>11.9891</v>
      </c>
      <c r="H1664" s="15"/>
      <c r="I1664" s="15"/>
    </row>
    <row r="1665">
      <c r="A1665" s="18">
        <v>45665.0</v>
      </c>
      <c r="B1665" s="16" t="s">
        <v>2484</v>
      </c>
      <c r="C1665" s="16" t="s">
        <v>948</v>
      </c>
      <c r="D1665" s="16" t="s">
        <v>707</v>
      </c>
      <c r="E1665" s="16">
        <v>2011.0</v>
      </c>
      <c r="F1665" s="16">
        <v>48.4409</v>
      </c>
      <c r="G1665" s="16">
        <v>13.3765</v>
      </c>
      <c r="H1665" s="15"/>
      <c r="I1665" s="15"/>
    </row>
    <row r="1666">
      <c r="A1666" s="18">
        <v>45665.0</v>
      </c>
      <c r="B1666" s="16" t="s">
        <v>2485</v>
      </c>
      <c r="C1666" s="16" t="s">
        <v>1090</v>
      </c>
      <c r="D1666" s="16" t="s">
        <v>707</v>
      </c>
      <c r="E1666" s="16">
        <v>2011.0</v>
      </c>
      <c r="F1666" s="16">
        <v>48.218</v>
      </c>
      <c r="G1666" s="16">
        <v>11.1638</v>
      </c>
      <c r="H1666" s="15"/>
      <c r="I1666" s="15"/>
    </row>
    <row r="1667">
      <c r="A1667" s="18">
        <v>45665.0</v>
      </c>
      <c r="B1667" s="16" t="s">
        <v>2486</v>
      </c>
      <c r="C1667" s="16">
        <v>2.0</v>
      </c>
      <c r="D1667" s="16" t="s">
        <v>707</v>
      </c>
      <c r="E1667" s="16">
        <v>2011.0</v>
      </c>
      <c r="F1667" s="16">
        <v>50.7037</v>
      </c>
      <c r="G1667" s="16">
        <v>7.8637</v>
      </c>
      <c r="H1667" s="15"/>
      <c r="I1667" s="15"/>
    </row>
    <row r="1668">
      <c r="A1668" s="18">
        <v>45665.0</v>
      </c>
      <c r="B1668" s="16" t="s">
        <v>2487</v>
      </c>
      <c r="C1668" s="16" t="s">
        <v>1101</v>
      </c>
      <c r="D1668" s="16" t="s">
        <v>707</v>
      </c>
      <c r="E1668" s="16">
        <v>2011.0</v>
      </c>
      <c r="F1668" s="16">
        <v>50.7037</v>
      </c>
      <c r="G1668" s="16">
        <v>7.8637</v>
      </c>
      <c r="H1668" s="15"/>
      <c r="I1668" s="15"/>
    </row>
    <row r="1669">
      <c r="A1669" s="18">
        <v>45665.0</v>
      </c>
      <c r="B1669" s="16" t="s">
        <v>2488</v>
      </c>
      <c r="C1669" s="16">
        <v>4.0</v>
      </c>
      <c r="D1669" s="16" t="s">
        <v>707</v>
      </c>
      <c r="E1669" s="16">
        <v>2011.0</v>
      </c>
      <c r="F1669" s="16">
        <v>50.7037</v>
      </c>
      <c r="G1669" s="16">
        <v>7.8637</v>
      </c>
      <c r="H1669" s="15"/>
      <c r="I1669" s="15"/>
    </row>
    <row r="1670">
      <c r="A1670" s="18">
        <v>45665.0</v>
      </c>
      <c r="B1670" s="16" t="s">
        <v>2489</v>
      </c>
      <c r="C1670" s="16" t="s">
        <v>1436</v>
      </c>
      <c r="D1670" s="16" t="s">
        <v>707</v>
      </c>
      <c r="E1670" s="16">
        <v>2011.0</v>
      </c>
      <c r="F1670" s="16">
        <v>52.5318</v>
      </c>
      <c r="G1670" s="16">
        <v>13.7117</v>
      </c>
      <c r="H1670" s="15"/>
      <c r="I1670" s="15"/>
    </row>
    <row r="1671">
      <c r="A1671" s="18">
        <v>45665.0</v>
      </c>
      <c r="B1671" s="16" t="s">
        <v>2490</v>
      </c>
      <c r="C1671" s="16">
        <v>5.0</v>
      </c>
      <c r="D1671" s="16" t="s">
        <v>707</v>
      </c>
      <c r="E1671" s="16">
        <v>2011.0</v>
      </c>
      <c r="F1671" s="16">
        <v>49.3188</v>
      </c>
      <c r="G1671" s="16">
        <v>8.6775</v>
      </c>
      <c r="H1671" s="15"/>
      <c r="I1671" s="15"/>
    </row>
    <row r="1672">
      <c r="A1672" s="18">
        <v>45665.0</v>
      </c>
      <c r="B1672" s="16" t="s">
        <v>2491</v>
      </c>
      <c r="C1672" s="16" t="s">
        <v>2457</v>
      </c>
      <c r="D1672" s="16" t="s">
        <v>707</v>
      </c>
      <c r="E1672" s="16">
        <v>2011.0</v>
      </c>
      <c r="F1672" s="16">
        <v>52.7303</v>
      </c>
      <c r="G1672" s="16">
        <v>13.2114</v>
      </c>
      <c r="H1672" s="15"/>
      <c r="I1672" s="15"/>
    </row>
    <row r="1673">
      <c r="A1673" s="18">
        <v>45665.0</v>
      </c>
      <c r="B1673" s="16" t="s">
        <v>2492</v>
      </c>
      <c r="C1673" s="16">
        <v>2.0</v>
      </c>
      <c r="D1673" s="16" t="s">
        <v>707</v>
      </c>
      <c r="E1673" s="16">
        <v>2011.0</v>
      </c>
      <c r="F1673" s="16">
        <v>52.7309</v>
      </c>
      <c r="G1673" s="16">
        <v>13.2108</v>
      </c>
      <c r="H1673" s="15"/>
      <c r="I1673" s="15"/>
    </row>
    <row r="1674">
      <c r="A1674" s="18">
        <v>45665.0</v>
      </c>
      <c r="B1674" s="16" t="s">
        <v>2493</v>
      </c>
      <c r="C1674" s="16">
        <v>2.0</v>
      </c>
      <c r="D1674" s="16" t="s">
        <v>707</v>
      </c>
      <c r="E1674" s="16">
        <v>2011.0</v>
      </c>
      <c r="F1674" s="16">
        <v>51.986</v>
      </c>
      <c r="G1674" s="16">
        <v>10.6806</v>
      </c>
      <c r="H1674" s="15"/>
      <c r="I1674" s="15"/>
    </row>
    <row r="1675">
      <c r="A1675" s="18">
        <v>45665.0</v>
      </c>
      <c r="B1675" s="16" t="s">
        <v>2494</v>
      </c>
      <c r="C1675" s="16" t="s">
        <v>959</v>
      </c>
      <c r="D1675" s="16" t="s">
        <v>707</v>
      </c>
      <c r="E1675" s="16">
        <v>2011.0</v>
      </c>
      <c r="F1675" s="16">
        <v>49.6944</v>
      </c>
      <c r="G1675" s="16">
        <v>10.9431</v>
      </c>
      <c r="H1675" s="15"/>
      <c r="I1675" s="15"/>
    </row>
    <row r="1676">
      <c r="A1676" s="18">
        <v>45665.0</v>
      </c>
      <c r="B1676" s="16" t="s">
        <v>2495</v>
      </c>
      <c r="C1676" s="16">
        <v>4.0</v>
      </c>
      <c r="D1676" s="16" t="s">
        <v>707</v>
      </c>
      <c r="E1676" s="16">
        <v>2011.0</v>
      </c>
      <c r="F1676" s="16">
        <v>50.3151</v>
      </c>
      <c r="G1676" s="16">
        <v>7.3195</v>
      </c>
      <c r="H1676" s="15"/>
      <c r="I1676" s="15"/>
    </row>
    <row r="1677">
      <c r="A1677" s="18">
        <v>45665.0</v>
      </c>
      <c r="B1677" s="16" t="s">
        <v>2496</v>
      </c>
      <c r="C1677" s="16" t="s">
        <v>1170</v>
      </c>
      <c r="D1677" s="16" t="s">
        <v>707</v>
      </c>
      <c r="E1677" s="16">
        <v>2011.0</v>
      </c>
      <c r="F1677" s="16">
        <v>50.3154</v>
      </c>
      <c r="G1677" s="16">
        <v>7.3125</v>
      </c>
      <c r="H1677" s="15"/>
      <c r="I1677" s="15"/>
    </row>
    <row r="1678">
      <c r="A1678" s="18">
        <v>45665.0</v>
      </c>
      <c r="B1678" s="16" t="s">
        <v>2497</v>
      </c>
      <c r="C1678" s="16" t="s">
        <v>2498</v>
      </c>
      <c r="D1678" s="16" t="s">
        <v>707</v>
      </c>
      <c r="E1678" s="16">
        <v>2011.0</v>
      </c>
      <c r="F1678" s="16">
        <v>53.2188</v>
      </c>
      <c r="G1678" s="16">
        <v>12.2378</v>
      </c>
      <c r="H1678" s="15"/>
      <c r="I1678" s="15"/>
    </row>
    <row r="1679">
      <c r="A1679" s="18">
        <v>45665.0</v>
      </c>
      <c r="B1679" s="16" t="s">
        <v>2499</v>
      </c>
      <c r="C1679" s="16" t="s">
        <v>1399</v>
      </c>
      <c r="D1679" s="16" t="s">
        <v>707</v>
      </c>
      <c r="E1679" s="16">
        <v>2011.0</v>
      </c>
      <c r="F1679" s="16">
        <v>51.4002</v>
      </c>
      <c r="G1679" s="16">
        <v>12.0803</v>
      </c>
      <c r="H1679" s="15"/>
      <c r="I1679" s="15"/>
    </row>
    <row r="1680">
      <c r="A1680" s="18">
        <v>45665.0</v>
      </c>
      <c r="B1680" s="16" t="s">
        <v>2500</v>
      </c>
      <c r="C1680" s="16" t="s">
        <v>1059</v>
      </c>
      <c r="D1680" s="16" t="s">
        <v>707</v>
      </c>
      <c r="E1680" s="16">
        <v>2011.0</v>
      </c>
      <c r="F1680" s="16">
        <v>48.4187</v>
      </c>
      <c r="G1680" s="16">
        <v>13.4046</v>
      </c>
      <c r="H1680" s="15"/>
      <c r="I1680" s="15"/>
    </row>
    <row r="1681">
      <c r="A1681" s="18">
        <v>45665.0</v>
      </c>
      <c r="B1681" s="16" t="s">
        <v>2501</v>
      </c>
      <c r="C1681" s="16" t="s">
        <v>1055</v>
      </c>
      <c r="D1681" s="16" t="s">
        <v>707</v>
      </c>
      <c r="E1681" s="16">
        <v>2011.0</v>
      </c>
      <c r="F1681" s="16">
        <v>49.9606</v>
      </c>
      <c r="G1681" s="16">
        <v>9.7126</v>
      </c>
      <c r="H1681" s="15"/>
      <c r="I1681" s="15"/>
    </row>
    <row r="1682">
      <c r="A1682" s="18">
        <v>45665.0</v>
      </c>
      <c r="B1682" s="16" t="s">
        <v>2502</v>
      </c>
      <c r="C1682" s="16" t="s">
        <v>1850</v>
      </c>
      <c r="D1682" s="16" t="s">
        <v>707</v>
      </c>
      <c r="E1682" s="16">
        <v>2011.0</v>
      </c>
      <c r="F1682" s="16">
        <v>51.5813</v>
      </c>
      <c r="G1682" s="16">
        <v>12.2449</v>
      </c>
      <c r="H1682" s="15"/>
      <c r="I1682" s="15"/>
    </row>
    <row r="1683">
      <c r="A1683" s="18">
        <v>45665.0</v>
      </c>
      <c r="B1683" s="16" t="s">
        <v>2503</v>
      </c>
      <c r="C1683" s="16" t="s">
        <v>1055</v>
      </c>
      <c r="D1683" s="16" t="s">
        <v>707</v>
      </c>
      <c r="E1683" s="16">
        <v>2011.0</v>
      </c>
      <c r="F1683" s="16">
        <v>49.7986</v>
      </c>
      <c r="G1683" s="16">
        <v>9.9689</v>
      </c>
      <c r="H1683" s="15"/>
      <c r="I1683" s="15"/>
    </row>
    <row r="1684">
      <c r="A1684" s="18">
        <v>45665.0</v>
      </c>
      <c r="B1684" s="16" t="s">
        <v>2504</v>
      </c>
      <c r="C1684" s="16" t="s">
        <v>1039</v>
      </c>
      <c r="D1684" s="16" t="s">
        <v>707</v>
      </c>
      <c r="E1684" s="16">
        <v>2011.0</v>
      </c>
      <c r="F1684" s="16">
        <v>50.879</v>
      </c>
      <c r="G1684" s="16">
        <v>11.735</v>
      </c>
      <c r="H1684" s="15"/>
      <c r="I1684" s="15"/>
    </row>
    <row r="1685">
      <c r="A1685" s="18">
        <v>45665.0</v>
      </c>
      <c r="B1685" s="16" t="s">
        <v>2505</v>
      </c>
      <c r="C1685" s="16" t="s">
        <v>1002</v>
      </c>
      <c r="D1685" s="16" t="s">
        <v>707</v>
      </c>
      <c r="E1685" s="16">
        <v>2011.0</v>
      </c>
      <c r="F1685" s="16">
        <v>52.4988</v>
      </c>
      <c r="G1685" s="16">
        <v>13.7731</v>
      </c>
      <c r="H1685" s="15"/>
      <c r="I1685" s="15"/>
    </row>
    <row r="1686">
      <c r="A1686" s="18">
        <v>45665.0</v>
      </c>
      <c r="B1686" s="16" t="s">
        <v>2506</v>
      </c>
      <c r="C1686" s="16" t="s">
        <v>961</v>
      </c>
      <c r="D1686" s="16" t="s">
        <v>707</v>
      </c>
      <c r="E1686" s="16">
        <v>2011.0</v>
      </c>
      <c r="F1686" s="16">
        <v>54.3247</v>
      </c>
      <c r="G1686" s="16">
        <v>11.0023</v>
      </c>
      <c r="H1686" s="15"/>
      <c r="I1686" s="15"/>
    </row>
    <row r="1687">
      <c r="A1687" s="18">
        <v>45665.0</v>
      </c>
      <c r="B1687" s="16" t="s">
        <v>2507</v>
      </c>
      <c r="C1687" s="16" t="s">
        <v>1167</v>
      </c>
      <c r="D1687" s="16" t="s">
        <v>707</v>
      </c>
      <c r="E1687" s="16">
        <v>2011.0</v>
      </c>
      <c r="F1687" s="16">
        <v>52.6</v>
      </c>
      <c r="G1687" s="16">
        <v>12.281</v>
      </c>
      <c r="H1687" s="15"/>
      <c r="I1687" s="15"/>
    </row>
    <row r="1688">
      <c r="A1688" s="18">
        <v>45665.0</v>
      </c>
      <c r="B1688" s="16" t="s">
        <v>2508</v>
      </c>
      <c r="C1688" s="16" t="s">
        <v>959</v>
      </c>
      <c r="D1688" s="16" t="s">
        <v>707</v>
      </c>
      <c r="E1688" s="16">
        <v>2011.0</v>
      </c>
      <c r="F1688" s="16">
        <v>52.5106</v>
      </c>
      <c r="G1688" s="16">
        <v>10.6041</v>
      </c>
      <c r="H1688" s="15"/>
      <c r="I1688" s="15"/>
    </row>
    <row r="1689">
      <c r="A1689" s="18">
        <v>45665.0</v>
      </c>
      <c r="B1689" s="16" t="s">
        <v>2509</v>
      </c>
      <c r="C1689" s="16" t="s">
        <v>942</v>
      </c>
      <c r="D1689" s="16" t="s">
        <v>707</v>
      </c>
      <c r="E1689" s="16">
        <v>2011.0</v>
      </c>
      <c r="F1689" s="16">
        <v>48.6406</v>
      </c>
      <c r="G1689" s="16">
        <v>12.4023</v>
      </c>
      <c r="H1689" s="15"/>
      <c r="I1689" s="15"/>
    </row>
    <row r="1690">
      <c r="A1690" s="18">
        <v>45665.0</v>
      </c>
      <c r="B1690" s="16" t="s">
        <v>2510</v>
      </c>
      <c r="C1690" s="16" t="s">
        <v>1282</v>
      </c>
      <c r="D1690" s="16" t="s">
        <v>707</v>
      </c>
      <c r="E1690" s="16">
        <v>2011.0</v>
      </c>
      <c r="F1690" s="16">
        <v>51.5145</v>
      </c>
      <c r="G1690" s="16">
        <v>14.3903</v>
      </c>
      <c r="H1690" s="15"/>
      <c r="I1690" s="15"/>
    </row>
    <row r="1691">
      <c r="A1691" s="18">
        <v>45665.0</v>
      </c>
      <c r="B1691" s="16" t="s">
        <v>2511</v>
      </c>
      <c r="C1691" s="16" t="s">
        <v>1004</v>
      </c>
      <c r="D1691" s="16" t="s">
        <v>707</v>
      </c>
      <c r="E1691" s="16">
        <v>2011.0</v>
      </c>
      <c r="F1691" s="16">
        <v>51.5385</v>
      </c>
      <c r="G1691" s="16">
        <v>14.2301</v>
      </c>
      <c r="H1691" s="15"/>
      <c r="I1691" s="15"/>
    </row>
    <row r="1692">
      <c r="A1692" s="18">
        <v>45665.0</v>
      </c>
      <c r="B1692" s="16" t="s">
        <v>2512</v>
      </c>
      <c r="C1692" s="16" t="s">
        <v>1090</v>
      </c>
      <c r="D1692" s="16" t="s">
        <v>707</v>
      </c>
      <c r="E1692" s="16">
        <v>2011.0</v>
      </c>
      <c r="F1692" s="16">
        <v>49.482</v>
      </c>
      <c r="G1692" s="16">
        <v>7.1252</v>
      </c>
      <c r="H1692" s="15"/>
      <c r="I1692" s="15"/>
    </row>
    <row r="1693">
      <c r="A1693" s="18">
        <v>45665.0</v>
      </c>
      <c r="B1693" s="16" t="s">
        <v>2513</v>
      </c>
      <c r="C1693" s="16" t="s">
        <v>1090</v>
      </c>
      <c r="D1693" s="16" t="s">
        <v>707</v>
      </c>
      <c r="E1693" s="16">
        <v>2011.0</v>
      </c>
      <c r="F1693" s="16">
        <v>48.579</v>
      </c>
      <c r="G1693" s="16">
        <v>13.4226</v>
      </c>
      <c r="H1693" s="15"/>
      <c r="I1693" s="15"/>
    </row>
    <row r="1694">
      <c r="A1694" s="18">
        <v>45665.0</v>
      </c>
      <c r="B1694" s="16" t="s">
        <v>2514</v>
      </c>
      <c r="C1694" s="16" t="s">
        <v>1051</v>
      </c>
      <c r="D1694" s="16" t="s">
        <v>707</v>
      </c>
      <c r="E1694" s="16">
        <v>2011.0</v>
      </c>
      <c r="F1694" s="16">
        <v>54.1727</v>
      </c>
      <c r="G1694" s="16">
        <v>12.0211</v>
      </c>
      <c r="H1694" s="15"/>
      <c r="I1694" s="15"/>
    </row>
    <row r="1695">
      <c r="A1695" s="18">
        <v>45665.0</v>
      </c>
      <c r="B1695" s="16" t="s">
        <v>2515</v>
      </c>
      <c r="C1695" s="16" t="s">
        <v>1267</v>
      </c>
      <c r="D1695" s="16" t="s">
        <v>707</v>
      </c>
      <c r="E1695" s="16">
        <v>2011.0</v>
      </c>
      <c r="F1695" s="16">
        <v>54.1731</v>
      </c>
      <c r="G1695" s="16">
        <v>12.0175</v>
      </c>
      <c r="H1695" s="15"/>
      <c r="I1695" s="15"/>
    </row>
    <row r="1696">
      <c r="A1696" s="18">
        <v>45665.0</v>
      </c>
      <c r="B1696" s="16" t="s">
        <v>2516</v>
      </c>
      <c r="C1696" s="16" t="s">
        <v>2517</v>
      </c>
      <c r="D1696" s="16" t="s">
        <v>707</v>
      </c>
      <c r="E1696" s="16">
        <v>2011.0</v>
      </c>
      <c r="F1696" s="16">
        <v>53.556</v>
      </c>
      <c r="G1696" s="16">
        <v>11.5683</v>
      </c>
      <c r="H1696" s="15"/>
      <c r="I1696" s="15"/>
    </row>
    <row r="1697">
      <c r="A1697" s="18">
        <v>45665.0</v>
      </c>
      <c r="B1697" s="16" t="s">
        <v>2518</v>
      </c>
      <c r="C1697" s="16" t="s">
        <v>969</v>
      </c>
      <c r="D1697" s="16" t="s">
        <v>707</v>
      </c>
      <c r="E1697" s="16">
        <v>2011.0</v>
      </c>
      <c r="F1697" s="16">
        <v>54.8155</v>
      </c>
      <c r="G1697" s="16">
        <v>8.7718</v>
      </c>
      <c r="H1697" s="15"/>
      <c r="I1697" s="15"/>
    </row>
    <row r="1698">
      <c r="A1698" s="18">
        <v>45665.0</v>
      </c>
      <c r="B1698" s="16" t="s">
        <v>2519</v>
      </c>
      <c r="C1698" s="16" t="s">
        <v>1399</v>
      </c>
      <c r="D1698" s="16" t="s">
        <v>707</v>
      </c>
      <c r="E1698" s="16">
        <v>2011.0</v>
      </c>
      <c r="F1698" s="16">
        <v>51.4737</v>
      </c>
      <c r="G1698" s="16">
        <v>11.7894</v>
      </c>
      <c r="H1698" s="15"/>
      <c r="I1698" s="15"/>
    </row>
    <row r="1699">
      <c r="A1699" s="18">
        <v>45665.0</v>
      </c>
      <c r="B1699" s="16" t="s">
        <v>2520</v>
      </c>
      <c r="C1699" s="16" t="s">
        <v>946</v>
      </c>
      <c r="D1699" s="16" t="s">
        <v>707</v>
      </c>
      <c r="E1699" s="16">
        <v>2011.0</v>
      </c>
      <c r="F1699" s="16">
        <v>48.4447</v>
      </c>
      <c r="G1699" s="16">
        <v>11.3241</v>
      </c>
      <c r="H1699" s="15"/>
      <c r="I1699" s="15"/>
    </row>
    <row r="1700">
      <c r="A1700" s="18">
        <v>45665.0</v>
      </c>
      <c r="B1700" s="16" t="s">
        <v>2521</v>
      </c>
      <c r="C1700" s="16" t="s">
        <v>1203</v>
      </c>
      <c r="D1700" s="16" t="s">
        <v>707</v>
      </c>
      <c r="E1700" s="16">
        <v>2011.0</v>
      </c>
      <c r="F1700" s="16">
        <v>50.517</v>
      </c>
      <c r="G1700" s="16">
        <v>8.072</v>
      </c>
      <c r="H1700" s="15"/>
      <c r="I1700" s="15"/>
    </row>
    <row r="1701">
      <c r="A1701" s="18">
        <v>45665.0</v>
      </c>
      <c r="B1701" s="16" t="s">
        <v>2522</v>
      </c>
      <c r="C1701" s="16" t="s">
        <v>1167</v>
      </c>
      <c r="D1701" s="16" t="s">
        <v>707</v>
      </c>
      <c r="E1701" s="16">
        <v>2011.0</v>
      </c>
      <c r="F1701" s="16">
        <v>54.2329</v>
      </c>
      <c r="G1701" s="16">
        <v>9.0996</v>
      </c>
      <c r="H1701" s="15"/>
      <c r="I1701" s="15"/>
    </row>
    <row r="1702">
      <c r="A1702" s="18">
        <v>45665.0</v>
      </c>
      <c r="B1702" s="16" t="s">
        <v>2523</v>
      </c>
      <c r="C1702" s="16" t="s">
        <v>2524</v>
      </c>
      <c r="D1702" s="16" t="s">
        <v>707</v>
      </c>
      <c r="E1702" s="16">
        <v>2011.0</v>
      </c>
      <c r="F1702" s="16">
        <v>51.605</v>
      </c>
      <c r="G1702" s="16">
        <v>6.151</v>
      </c>
      <c r="H1702" s="15"/>
      <c r="I1702" s="15"/>
    </row>
    <row r="1703">
      <c r="A1703" s="18">
        <v>45665.0</v>
      </c>
      <c r="B1703" s="16" t="s">
        <v>2525</v>
      </c>
      <c r="C1703" s="16" t="s">
        <v>959</v>
      </c>
      <c r="D1703" s="16" t="s">
        <v>707</v>
      </c>
      <c r="E1703" s="16">
        <v>2011.0</v>
      </c>
      <c r="F1703" s="16">
        <v>51.424</v>
      </c>
      <c r="G1703" s="16">
        <v>11.4286</v>
      </c>
      <c r="H1703" s="15"/>
      <c r="I1703" s="15"/>
    </row>
    <row r="1704">
      <c r="A1704" s="18">
        <v>45665.0</v>
      </c>
      <c r="B1704" s="16" t="s">
        <v>2526</v>
      </c>
      <c r="C1704" s="16" t="s">
        <v>948</v>
      </c>
      <c r="D1704" s="16" t="s">
        <v>707</v>
      </c>
      <c r="E1704" s="16">
        <v>2011.0</v>
      </c>
      <c r="F1704" s="16">
        <v>51.108</v>
      </c>
      <c r="G1704" s="16">
        <v>10.4833</v>
      </c>
      <c r="H1704" s="15"/>
      <c r="I1704" s="15"/>
    </row>
    <row r="1705">
      <c r="A1705" s="18">
        <v>45665.0</v>
      </c>
      <c r="B1705" s="16" t="s">
        <v>2527</v>
      </c>
      <c r="C1705" s="16" t="s">
        <v>1436</v>
      </c>
      <c r="D1705" s="16" t="s">
        <v>707</v>
      </c>
      <c r="E1705" s="16">
        <v>2011.0</v>
      </c>
      <c r="F1705" s="16">
        <v>51.1917</v>
      </c>
      <c r="G1705" s="16">
        <v>12.0176</v>
      </c>
      <c r="H1705" s="15"/>
      <c r="I1705" s="15"/>
    </row>
    <row r="1706">
      <c r="A1706" s="18">
        <v>45665.0</v>
      </c>
      <c r="B1706" s="16" t="s">
        <v>2528</v>
      </c>
      <c r="C1706" s="16" t="s">
        <v>1055</v>
      </c>
      <c r="D1706" s="16" t="s">
        <v>707</v>
      </c>
      <c r="E1706" s="16">
        <v>2011.0</v>
      </c>
      <c r="F1706" s="16">
        <v>51.7847</v>
      </c>
      <c r="G1706" s="16">
        <v>11.1683</v>
      </c>
      <c r="H1706" s="15"/>
      <c r="I1706" s="15"/>
    </row>
    <row r="1707">
      <c r="A1707" s="18">
        <v>45665.0</v>
      </c>
      <c r="B1707" s="16" t="s">
        <v>2529</v>
      </c>
      <c r="C1707" s="16" t="s">
        <v>1267</v>
      </c>
      <c r="D1707" s="16" t="s">
        <v>707</v>
      </c>
      <c r="E1707" s="16">
        <v>2011.0</v>
      </c>
      <c r="F1707" s="16">
        <v>53.7204</v>
      </c>
      <c r="G1707" s="16">
        <v>14.0805</v>
      </c>
      <c r="H1707" s="15"/>
      <c r="I1707" s="15"/>
    </row>
    <row r="1708">
      <c r="A1708" s="18">
        <v>45665.0</v>
      </c>
      <c r="B1708" s="16" t="s">
        <v>2530</v>
      </c>
      <c r="C1708" s="16" t="s">
        <v>969</v>
      </c>
      <c r="D1708" s="16" t="s">
        <v>707</v>
      </c>
      <c r="E1708" s="16">
        <v>2011.0</v>
      </c>
      <c r="F1708" s="16">
        <v>48.8677</v>
      </c>
      <c r="G1708" s="16">
        <v>12.6354</v>
      </c>
      <c r="H1708" s="15"/>
      <c r="I1708" s="15"/>
    </row>
    <row r="1709">
      <c r="A1709" s="18">
        <v>45665.0</v>
      </c>
      <c r="B1709" s="16" t="s">
        <v>2531</v>
      </c>
      <c r="C1709" s="16">
        <v>1.0</v>
      </c>
      <c r="D1709" s="16" t="s">
        <v>707</v>
      </c>
      <c r="E1709" s="16">
        <v>2011.0</v>
      </c>
      <c r="F1709" s="16">
        <v>51.2922</v>
      </c>
      <c r="G1709" s="16">
        <v>14.0921</v>
      </c>
      <c r="H1709" s="15"/>
      <c r="I1709" s="15"/>
    </row>
    <row r="1710">
      <c r="A1710" s="18">
        <v>45665.0</v>
      </c>
      <c r="B1710" s="16" t="s">
        <v>2532</v>
      </c>
      <c r="C1710" s="16" t="s">
        <v>1203</v>
      </c>
      <c r="D1710" s="16" t="s">
        <v>707</v>
      </c>
      <c r="E1710" s="16">
        <v>2011.0</v>
      </c>
      <c r="F1710" s="16">
        <v>49.5301</v>
      </c>
      <c r="G1710" s="16">
        <v>12.3252</v>
      </c>
      <c r="H1710" s="15"/>
      <c r="I1710" s="15"/>
    </row>
    <row r="1711">
      <c r="A1711" s="18">
        <v>45665.0</v>
      </c>
      <c r="B1711" s="16" t="s">
        <v>2533</v>
      </c>
      <c r="C1711" s="16" t="s">
        <v>1051</v>
      </c>
      <c r="D1711" s="16" t="s">
        <v>707</v>
      </c>
      <c r="E1711" s="16">
        <v>2011.0</v>
      </c>
      <c r="F1711" s="16">
        <v>51.766</v>
      </c>
      <c r="G1711" s="16">
        <v>11.0373</v>
      </c>
      <c r="H1711" s="15"/>
      <c r="I1711" s="15"/>
    </row>
    <row r="1712">
      <c r="A1712" s="18">
        <v>45665.0</v>
      </c>
      <c r="B1712" s="16" t="s">
        <v>2534</v>
      </c>
      <c r="C1712" s="16" t="s">
        <v>1011</v>
      </c>
      <c r="D1712" s="16" t="s">
        <v>707</v>
      </c>
      <c r="E1712" s="16">
        <v>2011.0</v>
      </c>
      <c r="F1712" s="16">
        <v>54.2526</v>
      </c>
      <c r="G1712" s="16">
        <v>9.0628</v>
      </c>
      <c r="H1712" s="15"/>
      <c r="I1712" s="15"/>
    </row>
    <row r="1713">
      <c r="A1713" s="18">
        <v>45665.0</v>
      </c>
      <c r="B1713" s="16" t="s">
        <v>2535</v>
      </c>
      <c r="C1713" s="16" t="s">
        <v>1046</v>
      </c>
      <c r="D1713" s="16" t="s">
        <v>707</v>
      </c>
      <c r="E1713" s="16">
        <v>2011.0</v>
      </c>
      <c r="F1713" s="16">
        <v>53.1037</v>
      </c>
      <c r="G1713" s="16">
        <v>8.2617</v>
      </c>
      <c r="H1713" s="15"/>
      <c r="I1713" s="15"/>
    </row>
    <row r="1714">
      <c r="A1714" s="18">
        <v>45665.0</v>
      </c>
      <c r="B1714" s="16" t="s">
        <v>2536</v>
      </c>
      <c r="C1714" s="16" t="s">
        <v>951</v>
      </c>
      <c r="D1714" s="16" t="s">
        <v>707</v>
      </c>
      <c r="E1714" s="16">
        <v>2011.0</v>
      </c>
      <c r="F1714" s="16">
        <v>50.8274</v>
      </c>
      <c r="G1714" s="16">
        <v>7.0998</v>
      </c>
      <c r="H1714" s="15"/>
      <c r="I1714" s="15"/>
    </row>
    <row r="1715">
      <c r="A1715" s="18">
        <v>45665.0</v>
      </c>
      <c r="B1715" s="16" t="s">
        <v>2537</v>
      </c>
      <c r="C1715" s="16" t="s">
        <v>1034</v>
      </c>
      <c r="D1715" s="16" t="s">
        <v>707</v>
      </c>
      <c r="E1715" s="16">
        <v>2011.0</v>
      </c>
      <c r="F1715" s="16">
        <v>53.5322</v>
      </c>
      <c r="G1715" s="16">
        <v>13.5498</v>
      </c>
      <c r="H1715" s="15"/>
      <c r="I1715" s="15"/>
    </row>
    <row r="1716">
      <c r="A1716" s="18">
        <v>45665.0</v>
      </c>
      <c r="B1716" s="16" t="s">
        <v>2538</v>
      </c>
      <c r="C1716" s="16" t="s">
        <v>969</v>
      </c>
      <c r="D1716" s="16" t="s">
        <v>707</v>
      </c>
      <c r="E1716" s="16">
        <v>2011.0</v>
      </c>
      <c r="F1716" s="16">
        <v>53.8796</v>
      </c>
      <c r="G1716" s="16">
        <v>13.1746</v>
      </c>
      <c r="H1716" s="15"/>
      <c r="I1716" s="15"/>
    </row>
    <row r="1717">
      <c r="A1717" s="18">
        <v>45665.0</v>
      </c>
      <c r="B1717" s="16" t="s">
        <v>2539</v>
      </c>
      <c r="C1717" s="16" t="s">
        <v>1436</v>
      </c>
      <c r="D1717" s="16" t="s">
        <v>707</v>
      </c>
      <c r="E1717" s="16">
        <v>2011.0</v>
      </c>
      <c r="F1717" s="16">
        <v>53.3325</v>
      </c>
      <c r="G1717" s="16">
        <v>8.9059</v>
      </c>
      <c r="H1717" s="15"/>
      <c r="I1717" s="15"/>
    </row>
    <row r="1718">
      <c r="A1718" s="18">
        <v>45665.0</v>
      </c>
      <c r="B1718" s="16" t="s">
        <v>2540</v>
      </c>
      <c r="C1718" s="16" t="s">
        <v>969</v>
      </c>
      <c r="D1718" s="16" t="s">
        <v>707</v>
      </c>
      <c r="E1718" s="16">
        <v>2011.0</v>
      </c>
      <c r="F1718" s="16">
        <v>52.2309</v>
      </c>
      <c r="G1718" s="16">
        <v>9.0986</v>
      </c>
      <c r="H1718" s="15"/>
      <c r="I1718" s="15"/>
    </row>
    <row r="1719">
      <c r="A1719" s="18">
        <v>45665.0</v>
      </c>
      <c r="B1719" s="16" t="s">
        <v>2541</v>
      </c>
      <c r="C1719" s="16" t="s">
        <v>1055</v>
      </c>
      <c r="D1719" s="16" t="s">
        <v>707</v>
      </c>
      <c r="E1719" s="16">
        <v>2011.0</v>
      </c>
      <c r="F1719" s="16">
        <v>51.8102</v>
      </c>
      <c r="G1719" s="16">
        <v>11.0757</v>
      </c>
      <c r="H1719" s="15"/>
      <c r="I1719" s="15"/>
    </row>
    <row r="1720">
      <c r="A1720" s="18">
        <v>45665.0</v>
      </c>
      <c r="B1720" s="16" t="s">
        <v>2542</v>
      </c>
      <c r="C1720" s="16" t="s">
        <v>1037</v>
      </c>
      <c r="D1720" s="16" t="s">
        <v>707</v>
      </c>
      <c r="E1720" s="16">
        <v>2011.0</v>
      </c>
      <c r="F1720" s="16">
        <v>51.931</v>
      </c>
      <c r="G1720" s="16">
        <v>9.0888</v>
      </c>
      <c r="H1720" s="15"/>
      <c r="I1720" s="15"/>
    </row>
    <row r="1721">
      <c r="A1721" s="18">
        <v>45665.0</v>
      </c>
      <c r="B1721" s="16" t="s">
        <v>2543</v>
      </c>
      <c r="C1721" s="16">
        <v>1.0</v>
      </c>
      <c r="D1721" s="16" t="s">
        <v>707</v>
      </c>
      <c r="E1721" s="16">
        <v>2011.0</v>
      </c>
      <c r="F1721" s="16">
        <v>52.8414</v>
      </c>
      <c r="G1721" s="16">
        <v>12.8462</v>
      </c>
      <c r="H1721" s="15"/>
      <c r="I1721" s="15"/>
    </row>
    <row r="1722">
      <c r="A1722" s="18">
        <v>45665.0</v>
      </c>
      <c r="B1722" s="16" t="s">
        <v>2544</v>
      </c>
      <c r="C1722" s="16" t="s">
        <v>1358</v>
      </c>
      <c r="D1722" s="16" t="s">
        <v>707</v>
      </c>
      <c r="E1722" s="16">
        <v>2011.0</v>
      </c>
      <c r="F1722" s="16">
        <v>51.9931</v>
      </c>
      <c r="G1722" s="16">
        <v>12.125</v>
      </c>
      <c r="H1722" s="15"/>
      <c r="I1722" s="15"/>
    </row>
    <row r="1723">
      <c r="A1723" s="18">
        <v>45665.0</v>
      </c>
      <c r="B1723" s="16" t="s">
        <v>2545</v>
      </c>
      <c r="C1723" s="16" t="s">
        <v>2546</v>
      </c>
      <c r="D1723" s="16" t="s">
        <v>707</v>
      </c>
      <c r="E1723" s="16">
        <v>2011.0</v>
      </c>
      <c r="F1723" s="16">
        <v>51.9998</v>
      </c>
      <c r="G1723" s="16">
        <v>12.1354</v>
      </c>
      <c r="H1723" s="15"/>
      <c r="I1723" s="15"/>
    </row>
    <row r="1724">
      <c r="A1724" s="18">
        <v>45665.0</v>
      </c>
      <c r="B1724" s="16" t="s">
        <v>2547</v>
      </c>
      <c r="C1724" s="16" t="s">
        <v>1358</v>
      </c>
      <c r="D1724" s="16" t="s">
        <v>707</v>
      </c>
      <c r="E1724" s="16">
        <v>2011.0</v>
      </c>
      <c r="F1724" s="16">
        <v>52.0</v>
      </c>
      <c r="G1724" s="16">
        <v>12.1399</v>
      </c>
      <c r="H1724" s="15"/>
      <c r="I1724" s="15"/>
    </row>
    <row r="1725">
      <c r="A1725" s="18">
        <v>45665.0</v>
      </c>
      <c r="B1725" s="16" t="s">
        <v>2548</v>
      </c>
      <c r="C1725" s="16" t="s">
        <v>1374</v>
      </c>
      <c r="D1725" s="16" t="s">
        <v>707</v>
      </c>
      <c r="E1725" s="16">
        <v>2011.0</v>
      </c>
      <c r="F1725" s="16">
        <v>51.9957</v>
      </c>
      <c r="G1725" s="16">
        <v>12.1288</v>
      </c>
      <c r="H1725" s="15"/>
      <c r="I1725" s="15"/>
    </row>
    <row r="1726">
      <c r="A1726" s="18">
        <v>45665.0</v>
      </c>
      <c r="B1726" s="16" t="s">
        <v>2549</v>
      </c>
      <c r="C1726" s="16">
        <v>9.0</v>
      </c>
      <c r="D1726" s="16" t="s">
        <v>707</v>
      </c>
      <c r="E1726" s="16">
        <v>2011.0</v>
      </c>
      <c r="F1726" s="16">
        <v>52.0046</v>
      </c>
      <c r="G1726" s="16">
        <v>12.166</v>
      </c>
      <c r="H1726" s="15"/>
      <c r="I1726" s="15"/>
    </row>
    <row r="1727">
      <c r="A1727" s="18">
        <v>45665.0</v>
      </c>
      <c r="B1727" s="16" t="s">
        <v>2550</v>
      </c>
      <c r="C1727" s="16">
        <v>1.0</v>
      </c>
      <c r="D1727" s="16" t="s">
        <v>707</v>
      </c>
      <c r="E1727" s="16">
        <v>2011.0</v>
      </c>
      <c r="F1727" s="16">
        <v>52.546</v>
      </c>
      <c r="G1727" s="16">
        <v>8.1858</v>
      </c>
      <c r="H1727" s="15"/>
      <c r="I1727" s="15"/>
    </row>
    <row r="1728">
      <c r="A1728" s="18">
        <v>45001.0</v>
      </c>
      <c r="B1728" s="16" t="s">
        <v>2551</v>
      </c>
      <c r="C1728" s="16" t="s">
        <v>1267</v>
      </c>
      <c r="D1728" s="16" t="s">
        <v>707</v>
      </c>
      <c r="E1728" s="16">
        <v>2012.0</v>
      </c>
      <c r="F1728" s="16">
        <v>48.7648</v>
      </c>
      <c r="G1728" s="16">
        <v>12.8947</v>
      </c>
      <c r="H1728" s="15"/>
      <c r="I1728" s="15"/>
    </row>
    <row r="1729">
      <c r="A1729" s="18">
        <v>45329.0</v>
      </c>
      <c r="B1729" s="16" t="s">
        <v>2552</v>
      </c>
      <c r="C1729" s="16" t="s">
        <v>1101</v>
      </c>
      <c r="D1729" s="16" t="s">
        <v>707</v>
      </c>
      <c r="E1729" s="16">
        <v>2012.0</v>
      </c>
      <c r="F1729" s="16">
        <v>51.3841</v>
      </c>
      <c r="G1729" s="16">
        <v>12.7801</v>
      </c>
      <c r="H1729" s="15"/>
      <c r="I1729" s="15"/>
    </row>
    <row r="1730">
      <c r="A1730" s="17">
        <v>45636.0</v>
      </c>
      <c r="B1730" s="16" t="s">
        <v>2553</v>
      </c>
      <c r="C1730" s="16" t="s">
        <v>971</v>
      </c>
      <c r="D1730" s="16" t="s">
        <v>707</v>
      </c>
      <c r="E1730" s="16">
        <v>2012.0</v>
      </c>
      <c r="F1730" s="16">
        <v>51.8896</v>
      </c>
      <c r="G1730" s="16">
        <v>12.452</v>
      </c>
      <c r="H1730" s="15"/>
      <c r="I1730" s="15"/>
    </row>
    <row r="1731">
      <c r="A1731" s="18">
        <v>45665.0</v>
      </c>
      <c r="B1731" s="16" t="s">
        <v>2554</v>
      </c>
      <c r="C1731" s="16" t="s">
        <v>1203</v>
      </c>
      <c r="D1731" s="16" t="s">
        <v>707</v>
      </c>
      <c r="E1731" s="16">
        <v>2012.0</v>
      </c>
      <c r="F1731" s="16">
        <v>51.0831</v>
      </c>
      <c r="G1731" s="16">
        <v>13.2733</v>
      </c>
      <c r="H1731" s="15"/>
      <c r="I1731" s="15"/>
    </row>
    <row r="1732">
      <c r="A1732" s="18">
        <v>45665.0</v>
      </c>
      <c r="B1732" s="16" t="s">
        <v>2555</v>
      </c>
      <c r="C1732" s="16" t="s">
        <v>969</v>
      </c>
      <c r="D1732" s="16" t="s">
        <v>707</v>
      </c>
      <c r="E1732" s="16">
        <v>2012.0</v>
      </c>
      <c r="F1732" s="16">
        <v>49.524</v>
      </c>
      <c r="G1732" s="16">
        <v>9.333</v>
      </c>
      <c r="H1732" s="15"/>
      <c r="I1732" s="15"/>
    </row>
    <row r="1733">
      <c r="A1733" s="18">
        <v>45665.0</v>
      </c>
      <c r="B1733" s="16" t="s">
        <v>2556</v>
      </c>
      <c r="C1733" s="16" t="s">
        <v>1007</v>
      </c>
      <c r="D1733" s="16" t="s">
        <v>707</v>
      </c>
      <c r="E1733" s="16">
        <v>2012.0</v>
      </c>
      <c r="F1733" s="16">
        <v>48.8988</v>
      </c>
      <c r="G1733" s="16">
        <v>12.3247</v>
      </c>
      <c r="H1733" s="15"/>
      <c r="I1733" s="15"/>
    </row>
    <row r="1734">
      <c r="A1734" s="18">
        <v>45665.0</v>
      </c>
      <c r="B1734" s="16" t="s">
        <v>2557</v>
      </c>
      <c r="C1734" s="16" t="s">
        <v>1931</v>
      </c>
      <c r="D1734" s="16" t="s">
        <v>707</v>
      </c>
      <c r="E1734" s="16">
        <v>2012.0</v>
      </c>
      <c r="F1734" s="16">
        <v>51.0129</v>
      </c>
      <c r="G1734" s="16">
        <v>9.3922</v>
      </c>
      <c r="H1734" s="15"/>
      <c r="I1734" s="15"/>
    </row>
    <row r="1735">
      <c r="A1735" s="18">
        <v>45665.0</v>
      </c>
      <c r="B1735" s="16" t="s">
        <v>2558</v>
      </c>
      <c r="C1735" s="16" t="s">
        <v>946</v>
      </c>
      <c r="D1735" s="16" t="s">
        <v>707</v>
      </c>
      <c r="E1735" s="16">
        <v>2012.0</v>
      </c>
      <c r="F1735" s="16">
        <v>50.7147</v>
      </c>
      <c r="G1735" s="16">
        <v>12.3707</v>
      </c>
      <c r="H1735" s="15"/>
      <c r="I1735" s="15"/>
    </row>
    <row r="1736">
      <c r="A1736" s="18">
        <v>45665.0</v>
      </c>
      <c r="B1736" s="16" t="s">
        <v>2559</v>
      </c>
      <c r="C1736" s="16" t="s">
        <v>948</v>
      </c>
      <c r="D1736" s="16" t="s">
        <v>707</v>
      </c>
      <c r="E1736" s="16">
        <v>2012.0</v>
      </c>
      <c r="F1736" s="16">
        <v>47.8623</v>
      </c>
      <c r="G1736" s="16">
        <v>12.9774</v>
      </c>
      <c r="H1736" s="15"/>
      <c r="I1736" s="15"/>
    </row>
    <row r="1737">
      <c r="A1737" s="18">
        <v>45665.0</v>
      </c>
      <c r="B1737" s="16" t="s">
        <v>2560</v>
      </c>
      <c r="C1737" s="16" t="s">
        <v>959</v>
      </c>
      <c r="D1737" s="16" t="s">
        <v>707</v>
      </c>
      <c r="E1737" s="16">
        <v>2012.0</v>
      </c>
      <c r="F1737" s="16">
        <v>54.765</v>
      </c>
      <c r="G1737" s="16">
        <v>8.9135</v>
      </c>
      <c r="H1737" s="15"/>
      <c r="I1737" s="15"/>
    </row>
    <row r="1738">
      <c r="A1738" s="18">
        <v>45665.0</v>
      </c>
      <c r="B1738" s="16" t="s">
        <v>2561</v>
      </c>
      <c r="C1738" s="16" t="s">
        <v>978</v>
      </c>
      <c r="D1738" s="16" t="s">
        <v>707</v>
      </c>
      <c r="E1738" s="16">
        <v>2012.0</v>
      </c>
      <c r="F1738" s="16">
        <v>54.3726</v>
      </c>
      <c r="G1738" s="16">
        <v>12.6984</v>
      </c>
      <c r="H1738" s="15"/>
      <c r="I1738" s="15"/>
    </row>
    <row r="1739">
      <c r="A1739" s="18">
        <v>45665.0</v>
      </c>
      <c r="B1739" s="16" t="s">
        <v>2562</v>
      </c>
      <c r="C1739" s="16">
        <v>6.0</v>
      </c>
      <c r="D1739" s="16" t="s">
        <v>707</v>
      </c>
      <c r="E1739" s="16">
        <v>2012.0</v>
      </c>
      <c r="F1739" s="16">
        <v>49.6317</v>
      </c>
      <c r="G1739" s="16">
        <v>10.186</v>
      </c>
      <c r="H1739" s="15"/>
      <c r="I1739" s="15"/>
    </row>
    <row r="1740">
      <c r="A1740" s="18">
        <v>45665.0</v>
      </c>
      <c r="B1740" s="16" t="s">
        <v>2563</v>
      </c>
      <c r="C1740" s="16" t="s">
        <v>1004</v>
      </c>
      <c r="D1740" s="16" t="s">
        <v>707</v>
      </c>
      <c r="E1740" s="16">
        <v>2012.0</v>
      </c>
      <c r="F1740" s="16">
        <v>54.2787</v>
      </c>
      <c r="G1740" s="16">
        <v>12.6039</v>
      </c>
      <c r="H1740" s="15"/>
      <c r="I1740" s="15"/>
    </row>
    <row r="1741">
      <c r="A1741" s="18">
        <v>45665.0</v>
      </c>
      <c r="B1741" s="16" t="s">
        <v>2564</v>
      </c>
      <c r="C1741" s="16" t="s">
        <v>959</v>
      </c>
      <c r="D1741" s="16" t="s">
        <v>707</v>
      </c>
      <c r="E1741" s="16">
        <v>2012.0</v>
      </c>
      <c r="F1741" s="16">
        <v>51.1182</v>
      </c>
      <c r="G1741" s="16">
        <v>14.6803</v>
      </c>
      <c r="H1741" s="15"/>
      <c r="I1741" s="15"/>
    </row>
    <row r="1742">
      <c r="A1742" s="18">
        <v>45665.0</v>
      </c>
      <c r="B1742" s="16" t="s">
        <v>2565</v>
      </c>
      <c r="C1742" s="16" t="s">
        <v>946</v>
      </c>
      <c r="D1742" s="16" t="s">
        <v>707</v>
      </c>
      <c r="E1742" s="16">
        <v>2012.0</v>
      </c>
      <c r="F1742" s="16">
        <v>48.4594</v>
      </c>
      <c r="G1742" s="16">
        <v>13.3833</v>
      </c>
      <c r="H1742" s="15"/>
      <c r="I1742" s="15"/>
    </row>
    <row r="1743">
      <c r="A1743" s="18">
        <v>45665.0</v>
      </c>
      <c r="B1743" s="16" t="s">
        <v>2566</v>
      </c>
      <c r="C1743" s="16" t="s">
        <v>1055</v>
      </c>
      <c r="D1743" s="16" t="s">
        <v>707</v>
      </c>
      <c r="E1743" s="16">
        <v>2012.0</v>
      </c>
      <c r="F1743" s="16">
        <v>52.4042</v>
      </c>
      <c r="G1743" s="16">
        <v>8.5709</v>
      </c>
      <c r="H1743" s="15"/>
      <c r="I1743" s="15"/>
    </row>
    <row r="1744">
      <c r="A1744" s="18">
        <v>45665.0</v>
      </c>
      <c r="B1744" s="16" t="s">
        <v>2567</v>
      </c>
      <c r="C1744" s="16" t="s">
        <v>969</v>
      </c>
      <c r="D1744" s="16" t="s">
        <v>707</v>
      </c>
      <c r="E1744" s="16">
        <v>2012.0</v>
      </c>
      <c r="F1744" s="16">
        <v>51.3359</v>
      </c>
      <c r="G1744" s="16">
        <v>11.9935</v>
      </c>
      <c r="H1744" s="15"/>
      <c r="I1744" s="15"/>
    </row>
    <row r="1745">
      <c r="A1745" s="18">
        <v>45665.0</v>
      </c>
      <c r="B1745" s="16" t="s">
        <v>2568</v>
      </c>
      <c r="C1745" s="16" t="s">
        <v>1374</v>
      </c>
      <c r="D1745" s="16" t="s">
        <v>707</v>
      </c>
      <c r="E1745" s="16">
        <v>2012.0</v>
      </c>
      <c r="F1745" s="16">
        <v>49.6919</v>
      </c>
      <c r="G1745" s="16">
        <v>8.0404</v>
      </c>
      <c r="H1745" s="15"/>
      <c r="I1745" s="15"/>
    </row>
    <row r="1746">
      <c r="A1746" s="18">
        <v>45665.0</v>
      </c>
      <c r="B1746" s="16" t="s">
        <v>2569</v>
      </c>
      <c r="C1746" s="16" t="s">
        <v>984</v>
      </c>
      <c r="D1746" s="16" t="s">
        <v>707</v>
      </c>
      <c r="E1746" s="16">
        <v>2012.0</v>
      </c>
      <c r="F1746" s="16">
        <v>49.5166</v>
      </c>
      <c r="G1746" s="16">
        <v>7.3421</v>
      </c>
      <c r="H1746" s="15"/>
      <c r="I1746" s="15"/>
    </row>
    <row r="1747">
      <c r="A1747" s="18">
        <v>45665.0</v>
      </c>
      <c r="B1747" s="16" t="s">
        <v>2570</v>
      </c>
      <c r="C1747" s="16" t="s">
        <v>1167</v>
      </c>
      <c r="D1747" s="16" t="s">
        <v>707</v>
      </c>
      <c r="E1747" s="16">
        <v>2012.0</v>
      </c>
      <c r="F1747" s="16">
        <v>50.0855</v>
      </c>
      <c r="G1747" s="16">
        <v>7.294</v>
      </c>
      <c r="H1747" s="15"/>
      <c r="I1747" s="15"/>
    </row>
    <row r="1748">
      <c r="A1748" s="18">
        <v>45665.0</v>
      </c>
      <c r="B1748" s="16" t="s">
        <v>2571</v>
      </c>
      <c r="C1748" s="16" t="s">
        <v>948</v>
      </c>
      <c r="D1748" s="16" t="s">
        <v>707</v>
      </c>
      <c r="E1748" s="16">
        <v>2012.0</v>
      </c>
      <c r="F1748" s="16">
        <v>54.2536</v>
      </c>
      <c r="G1748" s="16">
        <v>12.3772</v>
      </c>
      <c r="H1748" s="15"/>
      <c r="I1748" s="15"/>
    </row>
    <row r="1749">
      <c r="A1749" s="18">
        <v>45665.0</v>
      </c>
      <c r="B1749" s="16" t="s">
        <v>2572</v>
      </c>
      <c r="C1749" s="16" t="s">
        <v>948</v>
      </c>
      <c r="D1749" s="16" t="s">
        <v>707</v>
      </c>
      <c r="E1749" s="16">
        <v>2012.0</v>
      </c>
      <c r="F1749" s="16">
        <v>48.4813</v>
      </c>
      <c r="G1749" s="16">
        <v>10.8316</v>
      </c>
      <c r="H1749" s="15"/>
      <c r="I1749" s="15"/>
    </row>
    <row r="1750">
      <c r="A1750" s="18">
        <v>45665.0</v>
      </c>
      <c r="B1750" s="16" t="s">
        <v>2573</v>
      </c>
      <c r="C1750" s="16">
        <v>1.0</v>
      </c>
      <c r="D1750" s="16" t="s">
        <v>707</v>
      </c>
      <c r="E1750" s="16">
        <v>2012.0</v>
      </c>
      <c r="F1750" s="16">
        <v>52.2649</v>
      </c>
      <c r="G1750" s="16">
        <v>14.1603</v>
      </c>
      <c r="H1750" s="15"/>
      <c r="I1750" s="15"/>
    </row>
    <row r="1751">
      <c r="A1751" s="18">
        <v>45665.0</v>
      </c>
      <c r="B1751" s="16" t="s">
        <v>2574</v>
      </c>
      <c r="C1751" s="16">
        <v>1.0</v>
      </c>
      <c r="D1751" s="16" t="s">
        <v>707</v>
      </c>
      <c r="E1751" s="16">
        <v>2012.0</v>
      </c>
      <c r="F1751" s="16">
        <v>51.3333</v>
      </c>
      <c r="G1751" s="16">
        <v>14.9598</v>
      </c>
      <c r="H1751" s="15"/>
      <c r="I1751" s="15"/>
    </row>
    <row r="1752">
      <c r="A1752" s="18">
        <v>45665.0</v>
      </c>
      <c r="B1752" s="16" t="s">
        <v>2575</v>
      </c>
      <c r="C1752" s="16">
        <v>1.0</v>
      </c>
      <c r="D1752" s="16" t="s">
        <v>707</v>
      </c>
      <c r="E1752" s="16">
        <v>2012.0</v>
      </c>
      <c r="F1752" s="16">
        <v>51.5595</v>
      </c>
      <c r="G1752" s="16">
        <v>10.8049</v>
      </c>
      <c r="H1752" s="15"/>
      <c r="I1752" s="15"/>
    </row>
    <row r="1753">
      <c r="A1753" s="18">
        <v>45665.0</v>
      </c>
      <c r="B1753" s="16" t="s">
        <v>2576</v>
      </c>
      <c r="C1753" s="16" t="s">
        <v>1051</v>
      </c>
      <c r="D1753" s="16" t="s">
        <v>707</v>
      </c>
      <c r="E1753" s="16">
        <v>2012.0</v>
      </c>
      <c r="F1753" s="16">
        <v>51.2561</v>
      </c>
      <c r="G1753" s="16">
        <v>12.5972</v>
      </c>
      <c r="H1753" s="15"/>
      <c r="I1753" s="15"/>
    </row>
    <row r="1754">
      <c r="A1754" s="18">
        <v>45665.0</v>
      </c>
      <c r="B1754" s="16" t="s">
        <v>2577</v>
      </c>
      <c r="C1754" s="16" t="s">
        <v>1101</v>
      </c>
      <c r="D1754" s="16" t="s">
        <v>707</v>
      </c>
      <c r="E1754" s="16">
        <v>2012.0</v>
      </c>
      <c r="F1754" s="16">
        <v>51.2561</v>
      </c>
      <c r="G1754" s="16">
        <v>12.5972</v>
      </c>
      <c r="H1754" s="15"/>
      <c r="I1754" s="15"/>
    </row>
    <row r="1755">
      <c r="A1755" s="18">
        <v>45665.0</v>
      </c>
      <c r="B1755" s="16" t="s">
        <v>2578</v>
      </c>
      <c r="C1755" s="16">
        <v>2.0</v>
      </c>
      <c r="D1755" s="16" t="s">
        <v>707</v>
      </c>
      <c r="E1755" s="16">
        <v>2012.0</v>
      </c>
      <c r="F1755" s="16">
        <v>52.3019</v>
      </c>
      <c r="G1755" s="16">
        <v>14.117</v>
      </c>
      <c r="H1755" s="15"/>
      <c r="I1755" s="15"/>
    </row>
    <row r="1756">
      <c r="A1756" s="18">
        <v>45665.0</v>
      </c>
      <c r="B1756" s="16" t="s">
        <v>2579</v>
      </c>
      <c r="C1756" s="16" t="s">
        <v>2580</v>
      </c>
      <c r="D1756" s="16" t="s">
        <v>707</v>
      </c>
      <c r="E1756" s="16">
        <v>2012.0</v>
      </c>
      <c r="F1756" s="16">
        <v>50.9827</v>
      </c>
      <c r="G1756" s="16">
        <v>12.5155</v>
      </c>
      <c r="H1756" s="15"/>
      <c r="I1756" s="15"/>
    </row>
    <row r="1757">
      <c r="A1757" s="18">
        <v>45665.0</v>
      </c>
      <c r="B1757" s="16" t="s">
        <v>2581</v>
      </c>
      <c r="C1757" s="16" t="s">
        <v>1436</v>
      </c>
      <c r="D1757" s="16" t="s">
        <v>707</v>
      </c>
      <c r="E1757" s="16">
        <v>2012.0</v>
      </c>
      <c r="F1757" s="16">
        <v>54.3836</v>
      </c>
      <c r="G1757" s="16">
        <v>12.923</v>
      </c>
      <c r="H1757" s="15"/>
      <c r="I1757" s="15"/>
    </row>
    <row r="1758">
      <c r="A1758" s="18">
        <v>45665.0</v>
      </c>
      <c r="B1758" s="16" t="s">
        <v>2582</v>
      </c>
      <c r="C1758" s="16" t="s">
        <v>969</v>
      </c>
      <c r="D1758" s="16" t="s">
        <v>707</v>
      </c>
      <c r="E1758" s="16">
        <v>2012.0</v>
      </c>
      <c r="F1758" s="16">
        <v>52.736</v>
      </c>
      <c r="G1758" s="16">
        <v>14.2041</v>
      </c>
      <c r="H1758" s="15"/>
      <c r="I1758" s="15"/>
    </row>
    <row r="1759">
      <c r="A1759" s="18">
        <v>45665.0</v>
      </c>
      <c r="B1759" s="16" t="s">
        <v>2583</v>
      </c>
      <c r="C1759" s="16">
        <v>2.0</v>
      </c>
      <c r="D1759" s="16" t="s">
        <v>707</v>
      </c>
      <c r="E1759" s="16">
        <v>2012.0</v>
      </c>
      <c r="F1759" s="16">
        <v>50.5235</v>
      </c>
      <c r="G1759" s="16">
        <v>12.3866</v>
      </c>
      <c r="H1759" s="15"/>
      <c r="I1759" s="15"/>
    </row>
    <row r="1760">
      <c r="A1760" s="18">
        <v>45665.0</v>
      </c>
      <c r="B1760" s="16" t="s">
        <v>2584</v>
      </c>
      <c r="C1760" s="16">
        <v>1.0</v>
      </c>
      <c r="D1760" s="16" t="s">
        <v>707</v>
      </c>
      <c r="E1760" s="16">
        <v>2012.0</v>
      </c>
      <c r="F1760" s="16">
        <v>51.4058</v>
      </c>
      <c r="G1760" s="16">
        <v>8.5885</v>
      </c>
      <c r="H1760" s="15"/>
      <c r="I1760" s="15"/>
    </row>
    <row r="1761">
      <c r="A1761" s="18">
        <v>45665.0</v>
      </c>
      <c r="B1761" s="16" t="s">
        <v>2585</v>
      </c>
      <c r="C1761" s="16" t="s">
        <v>969</v>
      </c>
      <c r="D1761" s="16" t="s">
        <v>707</v>
      </c>
      <c r="E1761" s="16">
        <v>2012.0</v>
      </c>
      <c r="F1761" s="16">
        <v>48.5947</v>
      </c>
      <c r="G1761" s="16">
        <v>12.9401</v>
      </c>
      <c r="H1761" s="15"/>
      <c r="I1761" s="15"/>
    </row>
    <row r="1762">
      <c r="A1762" s="18">
        <v>45665.0</v>
      </c>
      <c r="B1762" s="16" t="s">
        <v>2586</v>
      </c>
      <c r="C1762" s="16" t="s">
        <v>1215</v>
      </c>
      <c r="D1762" s="16" t="s">
        <v>707</v>
      </c>
      <c r="E1762" s="16">
        <v>2012.0</v>
      </c>
      <c r="F1762" s="16">
        <v>49.2488</v>
      </c>
      <c r="G1762" s="16">
        <v>10.6296</v>
      </c>
      <c r="H1762" s="15"/>
      <c r="I1762" s="15"/>
    </row>
    <row r="1763">
      <c r="A1763" s="18">
        <v>45665.0</v>
      </c>
      <c r="B1763" s="16" t="s">
        <v>2587</v>
      </c>
      <c r="C1763" s="16" t="s">
        <v>951</v>
      </c>
      <c r="D1763" s="16" t="s">
        <v>707</v>
      </c>
      <c r="E1763" s="16">
        <v>2012.0</v>
      </c>
      <c r="F1763" s="16">
        <v>51.3812</v>
      </c>
      <c r="G1763" s="16">
        <v>11.2818</v>
      </c>
      <c r="H1763" s="15"/>
      <c r="I1763" s="15"/>
    </row>
    <row r="1764">
      <c r="A1764" s="18">
        <v>45665.0</v>
      </c>
      <c r="B1764" s="16" t="s">
        <v>2588</v>
      </c>
      <c r="C1764" s="16" t="s">
        <v>942</v>
      </c>
      <c r="D1764" s="16" t="s">
        <v>707</v>
      </c>
      <c r="E1764" s="16">
        <v>2012.0</v>
      </c>
      <c r="F1764" s="16">
        <v>51.1938</v>
      </c>
      <c r="G1764" s="16">
        <v>10.3994</v>
      </c>
      <c r="H1764" s="15"/>
      <c r="I1764" s="15"/>
    </row>
    <row r="1765">
      <c r="A1765" s="18">
        <v>45665.0</v>
      </c>
      <c r="B1765" s="16" t="s">
        <v>2589</v>
      </c>
      <c r="C1765" s="16" t="s">
        <v>959</v>
      </c>
      <c r="D1765" s="16" t="s">
        <v>707</v>
      </c>
      <c r="E1765" s="16">
        <v>2012.0</v>
      </c>
      <c r="F1765" s="16">
        <v>53.9405</v>
      </c>
      <c r="G1765" s="16">
        <v>11.6142</v>
      </c>
      <c r="H1765" s="15"/>
      <c r="I1765" s="15"/>
    </row>
    <row r="1766">
      <c r="A1766" s="18">
        <v>45665.0</v>
      </c>
      <c r="B1766" s="16" t="s">
        <v>2590</v>
      </c>
      <c r="C1766" s="16" t="s">
        <v>1203</v>
      </c>
      <c r="D1766" s="16" t="s">
        <v>707</v>
      </c>
      <c r="E1766" s="16">
        <v>2012.0</v>
      </c>
      <c r="F1766" s="16">
        <v>51.6392</v>
      </c>
      <c r="G1766" s="16">
        <v>12.2857</v>
      </c>
      <c r="H1766" s="15"/>
      <c r="I1766" s="15"/>
    </row>
    <row r="1767">
      <c r="A1767" s="18">
        <v>45665.0</v>
      </c>
      <c r="B1767" s="16" t="s">
        <v>2591</v>
      </c>
      <c r="C1767" s="16" t="s">
        <v>1094</v>
      </c>
      <c r="D1767" s="16" t="s">
        <v>707</v>
      </c>
      <c r="E1767" s="16">
        <v>2012.0</v>
      </c>
      <c r="F1767" s="16">
        <v>51.638</v>
      </c>
      <c r="G1767" s="16">
        <v>12.2829</v>
      </c>
      <c r="H1767" s="15"/>
      <c r="I1767" s="15"/>
    </row>
    <row r="1768">
      <c r="A1768" s="18">
        <v>45665.0</v>
      </c>
      <c r="B1768" s="16" t="s">
        <v>2592</v>
      </c>
      <c r="C1768" s="16" t="s">
        <v>969</v>
      </c>
      <c r="D1768" s="16" t="s">
        <v>707</v>
      </c>
      <c r="E1768" s="16">
        <v>2012.0</v>
      </c>
      <c r="F1768" s="16">
        <v>49.0381</v>
      </c>
      <c r="G1768" s="16">
        <v>8.6893</v>
      </c>
      <c r="H1768" s="15"/>
      <c r="I1768" s="15"/>
    </row>
    <row r="1769">
      <c r="A1769" s="18">
        <v>45665.0</v>
      </c>
      <c r="B1769" s="16" t="s">
        <v>2593</v>
      </c>
      <c r="C1769" s="16" t="s">
        <v>969</v>
      </c>
      <c r="D1769" s="16" t="s">
        <v>707</v>
      </c>
      <c r="E1769" s="16">
        <v>2012.0</v>
      </c>
      <c r="F1769" s="16">
        <v>52.3112</v>
      </c>
      <c r="G1769" s="16">
        <v>8.3999</v>
      </c>
      <c r="H1769" s="15"/>
      <c r="I1769" s="15"/>
    </row>
    <row r="1770">
      <c r="A1770" s="18">
        <v>45665.0</v>
      </c>
      <c r="B1770" s="16" t="s">
        <v>2594</v>
      </c>
      <c r="C1770" s="16" t="s">
        <v>1101</v>
      </c>
      <c r="D1770" s="16" t="s">
        <v>707</v>
      </c>
      <c r="E1770" s="16">
        <v>2012.0</v>
      </c>
      <c r="F1770" s="16">
        <v>51.8584</v>
      </c>
      <c r="G1770" s="16">
        <v>10.0171</v>
      </c>
      <c r="H1770" s="15"/>
      <c r="I1770" s="15"/>
    </row>
    <row r="1771">
      <c r="A1771" s="18">
        <v>45665.0</v>
      </c>
      <c r="B1771" s="16" t="s">
        <v>2595</v>
      </c>
      <c r="C1771" s="16" t="s">
        <v>990</v>
      </c>
      <c r="D1771" s="16" t="s">
        <v>707</v>
      </c>
      <c r="E1771" s="16">
        <v>2012.0</v>
      </c>
      <c r="F1771" s="16">
        <v>52.6324</v>
      </c>
      <c r="G1771" s="16">
        <v>7.9741</v>
      </c>
      <c r="H1771" s="15"/>
      <c r="I1771" s="15"/>
    </row>
    <row r="1772">
      <c r="A1772" s="18">
        <v>45665.0</v>
      </c>
      <c r="B1772" s="16" t="s">
        <v>2596</v>
      </c>
      <c r="C1772" s="16" t="s">
        <v>990</v>
      </c>
      <c r="D1772" s="16" t="s">
        <v>707</v>
      </c>
      <c r="E1772" s="16">
        <v>2012.0</v>
      </c>
      <c r="F1772" s="16">
        <v>51.7853</v>
      </c>
      <c r="G1772" s="16">
        <v>10.2024</v>
      </c>
      <c r="H1772" s="15"/>
      <c r="I1772" s="15"/>
    </row>
    <row r="1773">
      <c r="A1773" s="18">
        <v>45665.0</v>
      </c>
      <c r="B1773" s="16" t="s">
        <v>2597</v>
      </c>
      <c r="C1773" s="16" t="s">
        <v>961</v>
      </c>
      <c r="D1773" s="16" t="s">
        <v>707</v>
      </c>
      <c r="E1773" s="16">
        <v>2012.0</v>
      </c>
      <c r="F1773" s="16">
        <v>53.516</v>
      </c>
      <c r="G1773" s="16">
        <v>13.7606</v>
      </c>
      <c r="H1773" s="15"/>
      <c r="I1773" s="15"/>
    </row>
    <row r="1774">
      <c r="A1774" s="18">
        <v>45665.0</v>
      </c>
      <c r="B1774" s="16" t="s">
        <v>2598</v>
      </c>
      <c r="C1774" s="16" t="s">
        <v>969</v>
      </c>
      <c r="D1774" s="16" t="s">
        <v>707</v>
      </c>
      <c r="E1774" s="16">
        <v>2012.0</v>
      </c>
      <c r="F1774" s="16">
        <v>50.8796</v>
      </c>
      <c r="G1774" s="16">
        <v>12.2201</v>
      </c>
      <c r="H1774" s="15"/>
      <c r="I1774" s="15"/>
    </row>
    <row r="1775">
      <c r="A1775" s="18">
        <v>45665.0</v>
      </c>
      <c r="B1775" s="16" t="s">
        <v>2599</v>
      </c>
      <c r="C1775" s="16" t="s">
        <v>1037</v>
      </c>
      <c r="D1775" s="16" t="s">
        <v>707</v>
      </c>
      <c r="E1775" s="16">
        <v>2012.0</v>
      </c>
      <c r="F1775" s="16">
        <v>52.6056</v>
      </c>
      <c r="G1775" s="16">
        <v>13.3703</v>
      </c>
      <c r="H1775" s="15"/>
      <c r="I1775" s="15"/>
    </row>
    <row r="1776">
      <c r="A1776" s="18">
        <v>45665.0</v>
      </c>
      <c r="B1776" s="16" t="s">
        <v>2600</v>
      </c>
      <c r="C1776" s="16" t="s">
        <v>1090</v>
      </c>
      <c r="D1776" s="16" t="s">
        <v>707</v>
      </c>
      <c r="E1776" s="16">
        <v>2012.0</v>
      </c>
      <c r="F1776" s="16">
        <v>50.8611</v>
      </c>
      <c r="G1776" s="16">
        <v>8.8057</v>
      </c>
      <c r="H1776" s="15"/>
      <c r="I1776" s="15"/>
    </row>
    <row r="1777">
      <c r="A1777" s="18">
        <v>45665.0</v>
      </c>
      <c r="B1777" s="16" t="s">
        <v>2601</v>
      </c>
      <c r="C1777" s="16" t="s">
        <v>969</v>
      </c>
      <c r="D1777" s="16" t="s">
        <v>707</v>
      </c>
      <c r="E1777" s="16">
        <v>2012.0</v>
      </c>
      <c r="F1777" s="16">
        <v>51.977</v>
      </c>
      <c r="G1777" s="16">
        <v>8.456</v>
      </c>
      <c r="H1777" s="15"/>
      <c r="I1777" s="15"/>
    </row>
    <row r="1778">
      <c r="A1778" s="18">
        <v>45665.0</v>
      </c>
      <c r="B1778" s="16" t="s">
        <v>2602</v>
      </c>
      <c r="C1778" s="16" t="s">
        <v>1059</v>
      </c>
      <c r="D1778" s="16" t="s">
        <v>707</v>
      </c>
      <c r="E1778" s="16">
        <v>2012.0</v>
      </c>
      <c r="F1778" s="16">
        <v>52.9494</v>
      </c>
      <c r="G1778" s="16">
        <v>8.1537</v>
      </c>
      <c r="H1778" s="15"/>
      <c r="I1778" s="15"/>
    </row>
    <row r="1779">
      <c r="A1779" s="18">
        <v>45665.0</v>
      </c>
      <c r="B1779" s="16" t="s">
        <v>2603</v>
      </c>
      <c r="C1779" s="16" t="s">
        <v>1055</v>
      </c>
      <c r="D1779" s="16" t="s">
        <v>707</v>
      </c>
      <c r="E1779" s="16">
        <v>2012.0</v>
      </c>
      <c r="F1779" s="16">
        <v>50.3285</v>
      </c>
      <c r="G1779" s="16">
        <v>12.3131</v>
      </c>
      <c r="H1779" s="15"/>
      <c r="I1779" s="15"/>
    </row>
    <row r="1780">
      <c r="A1780" s="18">
        <v>45665.0</v>
      </c>
      <c r="B1780" s="16" t="s">
        <v>2604</v>
      </c>
      <c r="C1780" s="16" t="s">
        <v>946</v>
      </c>
      <c r="D1780" s="16" t="s">
        <v>707</v>
      </c>
      <c r="E1780" s="16">
        <v>2012.0</v>
      </c>
      <c r="F1780" s="16">
        <v>48.6792</v>
      </c>
      <c r="G1780" s="16">
        <v>8.9674</v>
      </c>
      <c r="H1780" s="15"/>
      <c r="I1780" s="15"/>
    </row>
    <row r="1781">
      <c r="A1781" s="18">
        <v>45665.0</v>
      </c>
      <c r="B1781" s="16" t="s">
        <v>2605</v>
      </c>
      <c r="C1781" s="16" t="s">
        <v>946</v>
      </c>
      <c r="D1781" s="16" t="s">
        <v>707</v>
      </c>
      <c r="E1781" s="16">
        <v>2012.0</v>
      </c>
      <c r="F1781" s="16">
        <v>50.1381</v>
      </c>
      <c r="G1781" s="16">
        <v>9.9531</v>
      </c>
      <c r="H1781" s="15"/>
      <c r="I1781" s="15"/>
    </row>
    <row r="1782">
      <c r="A1782" s="18">
        <v>45665.0</v>
      </c>
      <c r="B1782" s="16" t="s">
        <v>2606</v>
      </c>
      <c r="C1782" s="16" t="s">
        <v>1059</v>
      </c>
      <c r="D1782" s="16" t="s">
        <v>707</v>
      </c>
      <c r="E1782" s="16">
        <v>2012.0</v>
      </c>
      <c r="F1782" s="16">
        <v>49.9398</v>
      </c>
      <c r="G1782" s="16">
        <v>10.7769</v>
      </c>
      <c r="H1782" s="15"/>
      <c r="I1782" s="15"/>
    </row>
    <row r="1783">
      <c r="A1783" s="18">
        <v>45665.0</v>
      </c>
      <c r="B1783" s="16" t="s">
        <v>2607</v>
      </c>
      <c r="C1783" s="16" t="s">
        <v>948</v>
      </c>
      <c r="D1783" s="16" t="s">
        <v>707</v>
      </c>
      <c r="E1783" s="16">
        <v>2012.0</v>
      </c>
      <c r="F1783" s="16">
        <v>48.0112</v>
      </c>
      <c r="G1783" s="16">
        <v>10.2286</v>
      </c>
      <c r="H1783" s="15"/>
      <c r="I1783" s="15"/>
    </row>
    <row r="1784">
      <c r="A1784" s="18">
        <v>45665.0</v>
      </c>
      <c r="B1784" s="16" t="s">
        <v>2608</v>
      </c>
      <c r="C1784" s="16" t="s">
        <v>1034</v>
      </c>
      <c r="D1784" s="16" t="s">
        <v>707</v>
      </c>
      <c r="E1784" s="16">
        <v>2012.0</v>
      </c>
      <c r="F1784" s="16">
        <v>51.4257</v>
      </c>
      <c r="G1784" s="16">
        <v>7.9233</v>
      </c>
      <c r="H1784" s="15"/>
      <c r="I1784" s="15"/>
    </row>
    <row r="1785">
      <c r="A1785" s="18">
        <v>45665.0</v>
      </c>
      <c r="B1785" s="16" t="s">
        <v>2609</v>
      </c>
      <c r="C1785" s="16" t="s">
        <v>948</v>
      </c>
      <c r="D1785" s="16" t="s">
        <v>707</v>
      </c>
      <c r="E1785" s="16">
        <v>2012.0</v>
      </c>
      <c r="F1785" s="16">
        <v>52.2794</v>
      </c>
      <c r="G1785" s="16">
        <v>10.2078</v>
      </c>
      <c r="H1785" s="15"/>
      <c r="I1785" s="15"/>
    </row>
    <row r="1786">
      <c r="A1786" s="18">
        <v>45665.0</v>
      </c>
      <c r="B1786" s="16" t="s">
        <v>2610</v>
      </c>
      <c r="C1786" s="16" t="s">
        <v>1011</v>
      </c>
      <c r="D1786" s="16" t="s">
        <v>707</v>
      </c>
      <c r="E1786" s="16">
        <v>2012.0</v>
      </c>
      <c r="F1786" s="16">
        <v>50.0079</v>
      </c>
      <c r="G1786" s="16">
        <v>11.3437</v>
      </c>
      <c r="H1786" s="15"/>
      <c r="I1786" s="15"/>
    </row>
    <row r="1787">
      <c r="A1787" s="18">
        <v>45665.0</v>
      </c>
      <c r="B1787" s="16" t="s">
        <v>2611</v>
      </c>
      <c r="C1787" s="16" t="s">
        <v>959</v>
      </c>
      <c r="D1787" s="16" t="s">
        <v>707</v>
      </c>
      <c r="E1787" s="16">
        <v>2012.0</v>
      </c>
      <c r="F1787" s="16">
        <v>53.8581</v>
      </c>
      <c r="G1787" s="16">
        <v>11.434</v>
      </c>
      <c r="H1787" s="15"/>
      <c r="I1787" s="15"/>
    </row>
    <row r="1788">
      <c r="A1788" s="18">
        <v>45665.0</v>
      </c>
      <c r="B1788" s="16" t="s">
        <v>2612</v>
      </c>
      <c r="C1788" s="16" t="s">
        <v>1358</v>
      </c>
      <c r="D1788" s="16" t="s">
        <v>707</v>
      </c>
      <c r="E1788" s="16">
        <v>2012.0</v>
      </c>
      <c r="F1788" s="16">
        <v>52.263</v>
      </c>
      <c r="G1788" s="16">
        <v>10.6902</v>
      </c>
      <c r="H1788" s="15"/>
      <c r="I1788" s="15"/>
    </row>
    <row r="1789">
      <c r="A1789" s="18">
        <v>45665.0</v>
      </c>
      <c r="B1789" s="16" t="s">
        <v>2613</v>
      </c>
      <c r="C1789" s="16" t="s">
        <v>1101</v>
      </c>
      <c r="D1789" s="16" t="s">
        <v>707</v>
      </c>
      <c r="E1789" s="16">
        <v>2012.0</v>
      </c>
      <c r="F1789" s="16">
        <v>51.2787</v>
      </c>
      <c r="G1789" s="16">
        <v>9.3867</v>
      </c>
      <c r="H1789" s="15"/>
      <c r="I1789" s="15"/>
    </row>
    <row r="1790">
      <c r="A1790" s="18">
        <v>45665.0</v>
      </c>
      <c r="B1790" s="16" t="s">
        <v>2614</v>
      </c>
      <c r="C1790" s="16">
        <v>5.0</v>
      </c>
      <c r="D1790" s="16" t="s">
        <v>707</v>
      </c>
      <c r="E1790" s="16">
        <v>2012.0</v>
      </c>
      <c r="F1790" s="16">
        <v>51.3341</v>
      </c>
      <c r="G1790" s="16">
        <v>9.1478</v>
      </c>
      <c r="H1790" s="15"/>
      <c r="I1790" s="15"/>
    </row>
    <row r="1791">
      <c r="A1791" s="18">
        <v>45665.0</v>
      </c>
      <c r="B1791" s="16" t="s">
        <v>2615</v>
      </c>
      <c r="C1791" s="16" t="s">
        <v>942</v>
      </c>
      <c r="D1791" s="16" t="s">
        <v>707</v>
      </c>
      <c r="E1791" s="16">
        <v>2012.0</v>
      </c>
      <c r="F1791" s="16">
        <v>52.1689</v>
      </c>
      <c r="G1791" s="16">
        <v>9.6738</v>
      </c>
      <c r="H1791" s="15"/>
      <c r="I1791" s="15"/>
    </row>
    <row r="1792">
      <c r="A1792" s="18">
        <v>45665.0</v>
      </c>
      <c r="B1792" s="16" t="s">
        <v>2616</v>
      </c>
      <c r="C1792" s="16">
        <v>1.0</v>
      </c>
      <c r="D1792" s="16" t="s">
        <v>707</v>
      </c>
      <c r="E1792" s="16">
        <v>2012.0</v>
      </c>
      <c r="F1792" s="16">
        <v>52.6652</v>
      </c>
      <c r="G1792" s="16">
        <v>7.957</v>
      </c>
      <c r="H1792" s="15"/>
      <c r="I1792" s="15"/>
    </row>
    <row r="1793">
      <c r="A1793" s="18">
        <v>45665.0</v>
      </c>
      <c r="B1793" s="16" t="s">
        <v>2617</v>
      </c>
      <c r="C1793" s="16" t="s">
        <v>1055</v>
      </c>
      <c r="D1793" s="16" t="s">
        <v>707</v>
      </c>
      <c r="E1793" s="16">
        <v>2012.0</v>
      </c>
      <c r="F1793" s="16">
        <v>54.217</v>
      </c>
      <c r="G1793" s="16">
        <v>8.9852</v>
      </c>
      <c r="H1793" s="15"/>
      <c r="I1793" s="15"/>
    </row>
    <row r="1794">
      <c r="A1794" s="18">
        <v>45665.0</v>
      </c>
      <c r="B1794" s="16" t="s">
        <v>2618</v>
      </c>
      <c r="C1794" s="16">
        <v>3.0</v>
      </c>
      <c r="D1794" s="16" t="s">
        <v>707</v>
      </c>
      <c r="E1794" s="16">
        <v>2012.0</v>
      </c>
      <c r="F1794" s="16">
        <v>53.218</v>
      </c>
      <c r="G1794" s="16">
        <v>7.4612</v>
      </c>
      <c r="H1794" s="15"/>
      <c r="I1794" s="15"/>
    </row>
    <row r="1795">
      <c r="A1795" s="18">
        <v>45665.0</v>
      </c>
      <c r="B1795" s="16" t="s">
        <v>2619</v>
      </c>
      <c r="C1795" s="16" t="s">
        <v>1436</v>
      </c>
      <c r="D1795" s="16" t="s">
        <v>707</v>
      </c>
      <c r="E1795" s="16">
        <v>2012.0</v>
      </c>
      <c r="F1795" s="16">
        <v>51.7499</v>
      </c>
      <c r="G1795" s="16">
        <v>13.9547</v>
      </c>
      <c r="H1795" s="15"/>
      <c r="I1795" s="15"/>
    </row>
    <row r="1796">
      <c r="A1796" s="18">
        <v>45665.0</v>
      </c>
      <c r="B1796" s="16" t="s">
        <v>2620</v>
      </c>
      <c r="C1796" s="16" t="s">
        <v>946</v>
      </c>
      <c r="D1796" s="16" t="s">
        <v>707</v>
      </c>
      <c r="E1796" s="16">
        <v>2012.0</v>
      </c>
      <c r="F1796" s="16">
        <v>52.3849</v>
      </c>
      <c r="G1796" s="16">
        <v>11.3072</v>
      </c>
      <c r="H1796" s="15"/>
      <c r="I1796" s="15"/>
    </row>
    <row r="1797">
      <c r="A1797" s="18">
        <v>45665.0</v>
      </c>
      <c r="B1797" s="16" t="s">
        <v>2621</v>
      </c>
      <c r="C1797" s="16" t="s">
        <v>951</v>
      </c>
      <c r="D1797" s="16" t="s">
        <v>707</v>
      </c>
      <c r="E1797" s="16">
        <v>2012.0</v>
      </c>
      <c r="F1797" s="16">
        <v>48.5934</v>
      </c>
      <c r="G1797" s="16">
        <v>11.6249</v>
      </c>
      <c r="H1797" s="15"/>
      <c r="I1797" s="15"/>
    </row>
    <row r="1798">
      <c r="A1798" s="18">
        <v>45665.0</v>
      </c>
      <c r="B1798" s="16" t="s">
        <v>2622</v>
      </c>
      <c r="C1798" s="16" t="s">
        <v>969</v>
      </c>
      <c r="D1798" s="16" t="s">
        <v>707</v>
      </c>
      <c r="E1798" s="16">
        <v>2012.0</v>
      </c>
      <c r="F1798" s="16">
        <v>53.954</v>
      </c>
      <c r="G1798" s="16">
        <v>13.4932</v>
      </c>
      <c r="H1798" s="15"/>
      <c r="I1798" s="15"/>
    </row>
    <row r="1799">
      <c r="A1799" s="18">
        <v>45665.0</v>
      </c>
      <c r="B1799" s="16" t="s">
        <v>2623</v>
      </c>
      <c r="C1799" s="16" t="s">
        <v>959</v>
      </c>
      <c r="D1799" s="16" t="s">
        <v>707</v>
      </c>
      <c r="E1799" s="16">
        <v>2012.0</v>
      </c>
      <c r="F1799" s="16">
        <v>50.1319</v>
      </c>
      <c r="G1799" s="16">
        <v>10.1401</v>
      </c>
      <c r="H1799" s="15"/>
      <c r="I1799" s="15"/>
    </row>
    <row r="1800">
      <c r="A1800" s="18">
        <v>45665.0</v>
      </c>
      <c r="B1800" s="16" t="s">
        <v>2624</v>
      </c>
      <c r="C1800" s="16" t="s">
        <v>1004</v>
      </c>
      <c r="D1800" s="16" t="s">
        <v>707</v>
      </c>
      <c r="E1800" s="16">
        <v>2012.0</v>
      </c>
      <c r="F1800" s="16">
        <v>51.2269</v>
      </c>
      <c r="G1800" s="16">
        <v>10.9267</v>
      </c>
      <c r="H1800" s="15"/>
      <c r="I1800" s="15"/>
    </row>
    <row r="1801">
      <c r="A1801" s="18">
        <v>45665.0</v>
      </c>
      <c r="B1801" s="16" t="s">
        <v>2625</v>
      </c>
      <c r="C1801" s="16" t="s">
        <v>990</v>
      </c>
      <c r="D1801" s="16" t="s">
        <v>707</v>
      </c>
      <c r="E1801" s="16">
        <v>2012.0</v>
      </c>
      <c r="F1801" s="16">
        <v>52.9154</v>
      </c>
      <c r="G1801" s="16">
        <v>8.0524</v>
      </c>
      <c r="H1801" s="15"/>
      <c r="I1801" s="15"/>
    </row>
    <row r="1802">
      <c r="A1802" s="18">
        <v>45665.0</v>
      </c>
      <c r="B1802" s="16" t="s">
        <v>2626</v>
      </c>
      <c r="C1802" s="16" t="s">
        <v>1039</v>
      </c>
      <c r="D1802" s="16" t="s">
        <v>707</v>
      </c>
      <c r="E1802" s="16">
        <v>2012.0</v>
      </c>
      <c r="F1802" s="16">
        <v>48.8294</v>
      </c>
      <c r="G1802" s="16">
        <v>8.866</v>
      </c>
      <c r="H1802" s="15"/>
      <c r="I1802" s="15"/>
    </row>
    <row r="1803">
      <c r="A1803" s="18">
        <v>45665.0</v>
      </c>
      <c r="B1803" s="16" t="s">
        <v>2627</v>
      </c>
      <c r="C1803" s="16" t="s">
        <v>982</v>
      </c>
      <c r="D1803" s="16" t="s">
        <v>707</v>
      </c>
      <c r="E1803" s="16">
        <v>2012.0</v>
      </c>
      <c r="F1803" s="16">
        <v>51.1536</v>
      </c>
      <c r="G1803" s="16">
        <v>12.7844</v>
      </c>
      <c r="H1803" s="15"/>
      <c r="I1803" s="15"/>
    </row>
    <row r="1804">
      <c r="A1804" s="18">
        <v>45665.0</v>
      </c>
      <c r="B1804" s="16" t="s">
        <v>2628</v>
      </c>
      <c r="C1804" s="16" t="s">
        <v>946</v>
      </c>
      <c r="D1804" s="16" t="s">
        <v>707</v>
      </c>
      <c r="E1804" s="16">
        <v>2012.0</v>
      </c>
      <c r="F1804" s="16">
        <v>52.5563</v>
      </c>
      <c r="G1804" s="16">
        <v>7.6523</v>
      </c>
      <c r="H1804" s="15"/>
      <c r="I1804" s="15"/>
    </row>
    <row r="1805">
      <c r="A1805" s="18">
        <v>45665.0</v>
      </c>
      <c r="B1805" s="16" t="s">
        <v>2629</v>
      </c>
      <c r="C1805" s="16" t="s">
        <v>946</v>
      </c>
      <c r="D1805" s="16" t="s">
        <v>707</v>
      </c>
      <c r="E1805" s="16">
        <v>2012.0</v>
      </c>
      <c r="F1805" s="16">
        <v>54.5738</v>
      </c>
      <c r="G1805" s="16">
        <v>9.5243</v>
      </c>
      <c r="H1805" s="15"/>
      <c r="I1805" s="15"/>
    </row>
    <row r="1806">
      <c r="A1806" s="18">
        <v>45665.0</v>
      </c>
      <c r="B1806" s="16" t="s">
        <v>2630</v>
      </c>
      <c r="C1806" s="16" t="s">
        <v>1055</v>
      </c>
      <c r="D1806" s="16" t="s">
        <v>707</v>
      </c>
      <c r="E1806" s="16">
        <v>2012.0</v>
      </c>
      <c r="F1806" s="16">
        <v>53.626</v>
      </c>
      <c r="G1806" s="16">
        <v>8.6667</v>
      </c>
      <c r="H1806" s="15"/>
      <c r="I1806" s="15"/>
    </row>
    <row r="1807">
      <c r="A1807" s="18">
        <v>45665.0</v>
      </c>
      <c r="B1807" s="16" t="s">
        <v>2631</v>
      </c>
      <c r="C1807" s="16" t="s">
        <v>1004</v>
      </c>
      <c r="D1807" s="16" t="s">
        <v>707</v>
      </c>
      <c r="E1807" s="16">
        <v>2012.0</v>
      </c>
      <c r="F1807" s="16">
        <v>51.9882</v>
      </c>
      <c r="G1807" s="16">
        <v>10.7735</v>
      </c>
      <c r="H1807" s="15"/>
      <c r="I1807" s="15"/>
    </row>
    <row r="1808">
      <c r="A1808" s="18">
        <v>45665.0</v>
      </c>
      <c r="B1808" s="16" t="s">
        <v>2632</v>
      </c>
      <c r="C1808" s="16">
        <v>1.0</v>
      </c>
      <c r="D1808" s="16" t="s">
        <v>707</v>
      </c>
      <c r="E1808" s="16">
        <v>2012.0</v>
      </c>
      <c r="F1808" s="16">
        <v>51.4814</v>
      </c>
      <c r="G1808" s="16">
        <v>12.0175</v>
      </c>
      <c r="H1808" s="15"/>
      <c r="I1808" s="15"/>
    </row>
    <row r="1809">
      <c r="A1809" s="18">
        <v>45665.0</v>
      </c>
      <c r="B1809" s="16" t="s">
        <v>2633</v>
      </c>
      <c r="C1809" s="16" t="s">
        <v>1374</v>
      </c>
      <c r="D1809" s="16" t="s">
        <v>707</v>
      </c>
      <c r="E1809" s="16">
        <v>2012.0</v>
      </c>
      <c r="F1809" s="16">
        <v>49.7911</v>
      </c>
      <c r="G1809" s="16">
        <v>9.7172</v>
      </c>
      <c r="H1809" s="15"/>
      <c r="I1809" s="15"/>
    </row>
    <row r="1810">
      <c r="A1810" s="18">
        <v>45665.0</v>
      </c>
      <c r="B1810" s="16" t="s">
        <v>2634</v>
      </c>
      <c r="C1810" s="16" t="s">
        <v>969</v>
      </c>
      <c r="D1810" s="16" t="s">
        <v>707</v>
      </c>
      <c r="E1810" s="16">
        <v>2012.0</v>
      </c>
      <c r="F1810" s="16">
        <v>48.4618</v>
      </c>
      <c r="G1810" s="16">
        <v>9.9673</v>
      </c>
      <c r="H1810" s="15"/>
      <c r="I1810" s="15"/>
    </row>
    <row r="1811">
      <c r="A1811" s="18">
        <v>45665.0</v>
      </c>
      <c r="B1811" s="16" t="s">
        <v>2635</v>
      </c>
      <c r="C1811" s="16" t="s">
        <v>951</v>
      </c>
      <c r="D1811" s="16" t="s">
        <v>707</v>
      </c>
      <c r="E1811" s="16">
        <v>2012.0</v>
      </c>
      <c r="F1811" s="16">
        <v>48.0644</v>
      </c>
      <c r="G1811" s="16">
        <v>10.8333</v>
      </c>
      <c r="H1811" s="15"/>
      <c r="I1811" s="15"/>
    </row>
    <row r="1812">
      <c r="A1812" s="18">
        <v>45665.0</v>
      </c>
      <c r="B1812" s="16" t="s">
        <v>2636</v>
      </c>
      <c r="C1812" s="16" t="s">
        <v>961</v>
      </c>
      <c r="D1812" s="16" t="s">
        <v>707</v>
      </c>
      <c r="E1812" s="16">
        <v>2012.0</v>
      </c>
      <c r="F1812" s="16">
        <v>51.8886</v>
      </c>
      <c r="G1812" s="16">
        <v>8.9535</v>
      </c>
      <c r="H1812" s="15"/>
      <c r="I1812" s="15"/>
    </row>
    <row r="1813">
      <c r="A1813" s="18">
        <v>45665.0</v>
      </c>
      <c r="B1813" s="16" t="s">
        <v>2637</v>
      </c>
      <c r="C1813" s="16" t="s">
        <v>1085</v>
      </c>
      <c r="D1813" s="16" t="s">
        <v>707</v>
      </c>
      <c r="E1813" s="16">
        <v>2012.0</v>
      </c>
      <c r="F1813" s="16">
        <v>48.0004</v>
      </c>
      <c r="G1813" s="16">
        <v>10.8458</v>
      </c>
      <c r="H1813" s="15"/>
      <c r="I1813" s="15"/>
    </row>
    <row r="1814">
      <c r="A1814" s="18">
        <v>45665.0</v>
      </c>
      <c r="B1814" s="16" t="s">
        <v>2638</v>
      </c>
      <c r="C1814" s="16" t="s">
        <v>1007</v>
      </c>
      <c r="D1814" s="16" t="s">
        <v>707</v>
      </c>
      <c r="E1814" s="16">
        <v>2012.0</v>
      </c>
      <c r="F1814" s="16">
        <v>48.416</v>
      </c>
      <c r="G1814" s="16">
        <v>12.6122</v>
      </c>
      <c r="H1814" s="15"/>
      <c r="I1814" s="15"/>
    </row>
    <row r="1815">
      <c r="A1815" s="18">
        <v>45665.0</v>
      </c>
      <c r="B1815" s="16" t="s">
        <v>2639</v>
      </c>
      <c r="C1815" s="16" t="s">
        <v>1011</v>
      </c>
      <c r="D1815" s="16" t="s">
        <v>707</v>
      </c>
      <c r="E1815" s="16">
        <v>2012.0</v>
      </c>
      <c r="F1815" s="16">
        <v>53.9269</v>
      </c>
      <c r="G1815" s="16">
        <v>9.2699</v>
      </c>
      <c r="H1815" s="15"/>
      <c r="I1815" s="15"/>
    </row>
    <row r="1816">
      <c r="A1816" s="18">
        <v>45665.0</v>
      </c>
      <c r="B1816" s="16" t="s">
        <v>2640</v>
      </c>
      <c r="C1816" s="16" t="s">
        <v>1101</v>
      </c>
      <c r="D1816" s="16" t="s">
        <v>707</v>
      </c>
      <c r="E1816" s="16">
        <v>2012.0</v>
      </c>
      <c r="F1816" s="16">
        <v>51.7265</v>
      </c>
      <c r="G1816" s="16">
        <v>7.51</v>
      </c>
      <c r="H1816" s="15"/>
      <c r="I1816" s="15"/>
    </row>
    <row r="1817">
      <c r="A1817" s="18">
        <v>45665.0</v>
      </c>
      <c r="B1817" s="16" t="s">
        <v>2641</v>
      </c>
      <c r="C1817" s="16" t="s">
        <v>951</v>
      </c>
      <c r="D1817" s="16" t="s">
        <v>707</v>
      </c>
      <c r="E1817" s="16">
        <v>2012.0</v>
      </c>
      <c r="F1817" s="16">
        <v>52.1466</v>
      </c>
      <c r="G1817" s="16">
        <v>11.2296</v>
      </c>
      <c r="H1817" s="15"/>
      <c r="I1817" s="15"/>
    </row>
    <row r="1818">
      <c r="A1818" s="18">
        <v>45665.0</v>
      </c>
      <c r="B1818" s="16" t="s">
        <v>2642</v>
      </c>
      <c r="C1818" s="16" t="s">
        <v>948</v>
      </c>
      <c r="D1818" s="16" t="s">
        <v>707</v>
      </c>
      <c r="E1818" s="16">
        <v>2012.0</v>
      </c>
      <c r="F1818" s="16">
        <v>51.8335</v>
      </c>
      <c r="G1818" s="16">
        <v>12.8128</v>
      </c>
      <c r="H1818" s="15"/>
      <c r="I1818" s="15"/>
    </row>
    <row r="1819">
      <c r="A1819" s="18">
        <v>45665.0</v>
      </c>
      <c r="B1819" s="16" t="s">
        <v>2643</v>
      </c>
      <c r="C1819" s="16" t="s">
        <v>1099</v>
      </c>
      <c r="D1819" s="16" t="s">
        <v>707</v>
      </c>
      <c r="E1819" s="16">
        <v>2012.0</v>
      </c>
      <c r="F1819" s="16">
        <v>51.8344</v>
      </c>
      <c r="G1819" s="16">
        <v>12.8085</v>
      </c>
      <c r="H1819" s="15"/>
      <c r="I1819" s="15"/>
    </row>
    <row r="1820">
      <c r="A1820" s="18">
        <v>45665.0</v>
      </c>
      <c r="B1820" s="16" t="s">
        <v>2644</v>
      </c>
      <c r="C1820" s="16" t="s">
        <v>1771</v>
      </c>
      <c r="D1820" s="16" t="s">
        <v>707</v>
      </c>
      <c r="E1820" s="16">
        <v>2012.0</v>
      </c>
      <c r="F1820" s="16">
        <v>48.7732</v>
      </c>
      <c r="G1820" s="16">
        <v>11.8922</v>
      </c>
      <c r="H1820" s="15"/>
      <c r="I1820" s="15"/>
    </row>
    <row r="1821">
      <c r="A1821" s="18">
        <v>45665.0</v>
      </c>
      <c r="B1821" s="16" t="s">
        <v>2645</v>
      </c>
      <c r="C1821" s="16">
        <v>5.0</v>
      </c>
      <c r="D1821" s="16" t="s">
        <v>707</v>
      </c>
      <c r="E1821" s="16">
        <v>2012.0</v>
      </c>
      <c r="F1821" s="16">
        <v>50.1557</v>
      </c>
      <c r="G1821" s="16">
        <v>6.93</v>
      </c>
      <c r="H1821" s="15"/>
      <c r="I1821" s="15"/>
    </row>
    <row r="1822">
      <c r="A1822" s="18">
        <v>45665.0</v>
      </c>
      <c r="B1822" s="16" t="s">
        <v>2646</v>
      </c>
      <c r="C1822" s="16" t="s">
        <v>969</v>
      </c>
      <c r="D1822" s="16" t="s">
        <v>707</v>
      </c>
      <c r="E1822" s="16">
        <v>2012.0</v>
      </c>
      <c r="F1822" s="16">
        <v>48.8304</v>
      </c>
      <c r="G1822" s="16">
        <v>12.1691</v>
      </c>
      <c r="H1822" s="15"/>
      <c r="I1822" s="15"/>
    </row>
    <row r="1823">
      <c r="A1823" s="18">
        <v>45665.0</v>
      </c>
      <c r="B1823" s="16" t="s">
        <v>2647</v>
      </c>
      <c r="C1823" s="16">
        <v>2.0</v>
      </c>
      <c r="D1823" s="16" t="s">
        <v>707</v>
      </c>
      <c r="E1823" s="16">
        <v>2012.0</v>
      </c>
      <c r="F1823" s="16">
        <v>51.399</v>
      </c>
      <c r="G1823" s="16">
        <v>12.1683</v>
      </c>
      <c r="H1823" s="15"/>
      <c r="I1823" s="15"/>
    </row>
    <row r="1824">
      <c r="A1824" s="18">
        <v>45665.0</v>
      </c>
      <c r="B1824" s="16" t="s">
        <v>2648</v>
      </c>
      <c r="C1824" s="16" t="s">
        <v>971</v>
      </c>
      <c r="D1824" s="16" t="s">
        <v>707</v>
      </c>
      <c r="E1824" s="16">
        <v>2012.0</v>
      </c>
      <c r="F1824" s="16">
        <v>51.3994</v>
      </c>
      <c r="G1824" s="16">
        <v>12.1721</v>
      </c>
      <c r="H1824" s="15"/>
      <c r="I1824" s="15"/>
    </row>
    <row r="1825">
      <c r="A1825" s="18">
        <v>45665.0</v>
      </c>
      <c r="B1825" s="16" t="s">
        <v>2649</v>
      </c>
      <c r="C1825" s="16" t="s">
        <v>959</v>
      </c>
      <c r="D1825" s="16" t="s">
        <v>707</v>
      </c>
      <c r="E1825" s="16">
        <v>2012.0</v>
      </c>
      <c r="F1825" s="16">
        <v>50.7488</v>
      </c>
      <c r="G1825" s="16">
        <v>11.3132</v>
      </c>
      <c r="H1825" s="15"/>
      <c r="I1825" s="15"/>
    </row>
    <row r="1826">
      <c r="A1826" s="18">
        <v>45665.0</v>
      </c>
      <c r="B1826" s="16" t="s">
        <v>2650</v>
      </c>
      <c r="C1826" s="16" t="s">
        <v>946</v>
      </c>
      <c r="D1826" s="16" t="s">
        <v>707</v>
      </c>
      <c r="E1826" s="16">
        <v>2012.0</v>
      </c>
      <c r="F1826" s="16">
        <v>48.5841</v>
      </c>
      <c r="G1826" s="16">
        <v>12.1698</v>
      </c>
      <c r="H1826" s="15"/>
      <c r="I1826" s="15"/>
    </row>
    <row r="1827">
      <c r="A1827" s="18">
        <v>45665.0</v>
      </c>
      <c r="B1827" s="16" t="s">
        <v>2651</v>
      </c>
      <c r="C1827" s="16" t="s">
        <v>1007</v>
      </c>
      <c r="D1827" s="16" t="s">
        <v>707</v>
      </c>
      <c r="E1827" s="16">
        <v>2012.0</v>
      </c>
      <c r="F1827" s="16">
        <v>49.5231</v>
      </c>
      <c r="G1827" s="16">
        <v>7.2219</v>
      </c>
      <c r="H1827" s="15"/>
      <c r="I1827" s="15"/>
    </row>
    <row r="1828">
      <c r="A1828" s="18">
        <v>45665.0</v>
      </c>
      <c r="B1828" s="16" t="s">
        <v>2652</v>
      </c>
      <c r="C1828" s="16" t="s">
        <v>1059</v>
      </c>
      <c r="D1828" s="16" t="s">
        <v>707</v>
      </c>
      <c r="E1828" s="16">
        <v>2012.0</v>
      </c>
      <c r="F1828" s="16">
        <v>49.6093</v>
      </c>
      <c r="G1828" s="16">
        <v>7.0489</v>
      </c>
      <c r="H1828" s="15"/>
      <c r="I1828" s="15"/>
    </row>
    <row r="1829">
      <c r="A1829" s="18">
        <v>45665.0</v>
      </c>
      <c r="B1829" s="16" t="s">
        <v>2653</v>
      </c>
      <c r="C1829" s="16" t="s">
        <v>951</v>
      </c>
      <c r="D1829" s="16" t="s">
        <v>707</v>
      </c>
      <c r="E1829" s="16">
        <v>2012.0</v>
      </c>
      <c r="F1829" s="16">
        <v>48.1643</v>
      </c>
      <c r="G1829" s="16">
        <v>11.8774</v>
      </c>
      <c r="H1829" s="15"/>
      <c r="I1829" s="15"/>
    </row>
    <row r="1830">
      <c r="A1830" s="18">
        <v>45665.0</v>
      </c>
      <c r="B1830" s="16" t="s">
        <v>2654</v>
      </c>
      <c r="C1830" s="16" t="s">
        <v>1039</v>
      </c>
      <c r="D1830" s="16" t="s">
        <v>707</v>
      </c>
      <c r="E1830" s="16">
        <v>2012.0</v>
      </c>
      <c r="F1830" s="16">
        <v>49.7831</v>
      </c>
      <c r="G1830" s="16">
        <v>10.2861</v>
      </c>
      <c r="H1830" s="15"/>
      <c r="I1830" s="15"/>
    </row>
    <row r="1831">
      <c r="A1831" s="18">
        <v>45665.0</v>
      </c>
      <c r="B1831" s="16" t="s">
        <v>2655</v>
      </c>
      <c r="C1831" s="16" t="s">
        <v>1172</v>
      </c>
      <c r="D1831" s="16" t="s">
        <v>707</v>
      </c>
      <c r="E1831" s="16">
        <v>2012.0</v>
      </c>
      <c r="F1831" s="16">
        <v>51.7555</v>
      </c>
      <c r="G1831" s="16">
        <v>11.3588</v>
      </c>
      <c r="H1831" s="15"/>
      <c r="I1831" s="15"/>
    </row>
    <row r="1832">
      <c r="A1832" s="18">
        <v>45665.0</v>
      </c>
      <c r="B1832" s="16" t="s">
        <v>2656</v>
      </c>
      <c r="C1832" s="16" t="s">
        <v>969</v>
      </c>
      <c r="D1832" s="16" t="s">
        <v>707</v>
      </c>
      <c r="E1832" s="16">
        <v>2012.0</v>
      </c>
      <c r="F1832" s="16">
        <v>51.6109</v>
      </c>
      <c r="G1832" s="16">
        <v>13.6938</v>
      </c>
      <c r="H1832" s="15"/>
      <c r="I1832" s="15"/>
    </row>
    <row r="1833">
      <c r="A1833" s="18">
        <v>45665.0</v>
      </c>
      <c r="B1833" s="16" t="s">
        <v>2657</v>
      </c>
      <c r="C1833" s="16" t="s">
        <v>1101</v>
      </c>
      <c r="D1833" s="16" t="s">
        <v>707</v>
      </c>
      <c r="E1833" s="16">
        <v>2012.0</v>
      </c>
      <c r="F1833" s="16">
        <v>52.1399</v>
      </c>
      <c r="G1833" s="16">
        <v>9.2933</v>
      </c>
      <c r="H1833" s="15"/>
      <c r="I1833" s="15"/>
    </row>
    <row r="1834">
      <c r="A1834" s="18">
        <v>45665.0</v>
      </c>
      <c r="B1834" s="16" t="s">
        <v>2658</v>
      </c>
      <c r="C1834" s="16" t="s">
        <v>959</v>
      </c>
      <c r="D1834" s="16" t="s">
        <v>707</v>
      </c>
      <c r="E1834" s="16">
        <v>2012.0</v>
      </c>
      <c r="F1834" s="16">
        <v>51.6036</v>
      </c>
      <c r="G1834" s="16">
        <v>13.7403</v>
      </c>
      <c r="H1834" s="15"/>
      <c r="I1834" s="15"/>
    </row>
    <row r="1835">
      <c r="A1835" s="18">
        <v>45665.0</v>
      </c>
      <c r="B1835" s="16" t="s">
        <v>2659</v>
      </c>
      <c r="C1835" s="16" t="s">
        <v>984</v>
      </c>
      <c r="D1835" s="16" t="s">
        <v>707</v>
      </c>
      <c r="E1835" s="16">
        <v>2012.0</v>
      </c>
      <c r="F1835" s="16">
        <v>49.2446</v>
      </c>
      <c r="G1835" s="16">
        <v>8.4967</v>
      </c>
      <c r="H1835" s="15"/>
      <c r="I1835" s="15"/>
    </row>
    <row r="1836">
      <c r="A1836" s="18">
        <v>45665.0</v>
      </c>
      <c r="B1836" s="16" t="s">
        <v>2660</v>
      </c>
      <c r="C1836" s="16" t="s">
        <v>1037</v>
      </c>
      <c r="D1836" s="16" t="s">
        <v>707</v>
      </c>
      <c r="E1836" s="16">
        <v>2012.0</v>
      </c>
      <c r="F1836" s="16">
        <v>49.3819</v>
      </c>
      <c r="G1836" s="16">
        <v>6.7409</v>
      </c>
      <c r="H1836" s="15"/>
      <c r="I1836" s="15"/>
    </row>
    <row r="1837">
      <c r="A1837" s="18">
        <v>45665.0</v>
      </c>
      <c r="B1837" s="16" t="s">
        <v>2661</v>
      </c>
      <c r="C1837" s="16" t="s">
        <v>942</v>
      </c>
      <c r="D1837" s="16" t="s">
        <v>707</v>
      </c>
      <c r="E1837" s="16">
        <v>2012.0</v>
      </c>
      <c r="F1837" s="16">
        <v>54.1838</v>
      </c>
      <c r="G1837" s="16">
        <v>10.673</v>
      </c>
      <c r="H1837" s="15"/>
      <c r="I1837" s="15"/>
    </row>
    <row r="1838">
      <c r="A1838" s="18">
        <v>45665.0</v>
      </c>
      <c r="B1838" s="16" t="s">
        <v>2662</v>
      </c>
      <c r="C1838" s="16" t="s">
        <v>961</v>
      </c>
      <c r="D1838" s="16" t="s">
        <v>707</v>
      </c>
      <c r="E1838" s="16">
        <v>2012.0</v>
      </c>
      <c r="F1838" s="16">
        <v>51.6521</v>
      </c>
      <c r="G1838" s="16">
        <v>13.6952</v>
      </c>
      <c r="H1838" s="15"/>
      <c r="I1838" s="15"/>
    </row>
    <row r="1839">
      <c r="A1839" s="18">
        <v>45665.0</v>
      </c>
      <c r="B1839" s="16" t="s">
        <v>2663</v>
      </c>
      <c r="C1839" s="16" t="s">
        <v>1055</v>
      </c>
      <c r="D1839" s="16" t="s">
        <v>707</v>
      </c>
      <c r="E1839" s="16">
        <v>2012.0</v>
      </c>
      <c r="F1839" s="16">
        <v>50.4043</v>
      </c>
      <c r="G1839" s="16">
        <v>8.1286</v>
      </c>
      <c r="H1839" s="15"/>
      <c r="I1839" s="15"/>
    </row>
    <row r="1840">
      <c r="A1840" s="18">
        <v>45665.0</v>
      </c>
      <c r="B1840" s="16" t="s">
        <v>2664</v>
      </c>
      <c r="C1840" s="16" t="s">
        <v>959</v>
      </c>
      <c r="D1840" s="16" t="s">
        <v>707</v>
      </c>
      <c r="E1840" s="16">
        <v>2012.0</v>
      </c>
      <c r="F1840" s="16">
        <v>48.2718</v>
      </c>
      <c r="G1840" s="16">
        <v>12.6124</v>
      </c>
      <c r="H1840" s="15"/>
      <c r="I1840" s="15"/>
    </row>
    <row r="1841">
      <c r="A1841" s="18">
        <v>45665.0</v>
      </c>
      <c r="B1841" s="16" t="s">
        <v>2665</v>
      </c>
      <c r="C1841" s="16" t="s">
        <v>948</v>
      </c>
      <c r="D1841" s="16" t="s">
        <v>707</v>
      </c>
      <c r="E1841" s="16">
        <v>2012.0</v>
      </c>
      <c r="F1841" s="16">
        <v>48.2734</v>
      </c>
      <c r="G1841" s="16">
        <v>12.6134</v>
      </c>
      <c r="H1841" s="15"/>
      <c r="I1841" s="15"/>
    </row>
    <row r="1842">
      <c r="A1842" s="18">
        <v>45665.0</v>
      </c>
      <c r="B1842" s="16" t="s">
        <v>2666</v>
      </c>
      <c r="C1842" s="16" t="s">
        <v>1101</v>
      </c>
      <c r="D1842" s="16" t="s">
        <v>707</v>
      </c>
      <c r="E1842" s="16">
        <v>2012.0</v>
      </c>
      <c r="F1842" s="16">
        <v>49.9831</v>
      </c>
      <c r="G1842" s="16">
        <v>9.7015</v>
      </c>
      <c r="H1842" s="15"/>
      <c r="I1842" s="15"/>
    </row>
    <row r="1843">
      <c r="A1843" s="18">
        <v>45665.0</v>
      </c>
      <c r="B1843" s="16" t="s">
        <v>2667</v>
      </c>
      <c r="C1843" s="16" t="s">
        <v>2668</v>
      </c>
      <c r="D1843" s="16" t="s">
        <v>707</v>
      </c>
      <c r="E1843" s="16">
        <v>2012.0</v>
      </c>
      <c r="F1843" s="16">
        <v>51.5749</v>
      </c>
      <c r="G1843" s="16">
        <v>9.7582</v>
      </c>
      <c r="H1843" s="15"/>
      <c r="I1843" s="15"/>
    </row>
    <row r="1844">
      <c r="A1844" s="18">
        <v>45665.0</v>
      </c>
      <c r="B1844" s="16" t="s">
        <v>2669</v>
      </c>
      <c r="C1844" s="16" t="s">
        <v>959</v>
      </c>
      <c r="D1844" s="16" t="s">
        <v>707</v>
      </c>
      <c r="E1844" s="16">
        <v>2012.0</v>
      </c>
      <c r="F1844" s="16">
        <v>49.3982</v>
      </c>
      <c r="G1844" s="16">
        <v>11.9461</v>
      </c>
      <c r="H1844" s="15"/>
      <c r="I1844" s="15"/>
    </row>
    <row r="1845">
      <c r="A1845" s="18">
        <v>45665.0</v>
      </c>
      <c r="B1845" s="16" t="s">
        <v>2670</v>
      </c>
      <c r="C1845" s="16" t="s">
        <v>948</v>
      </c>
      <c r="D1845" s="16" t="s">
        <v>707</v>
      </c>
      <c r="E1845" s="16">
        <v>2012.0</v>
      </c>
      <c r="F1845" s="16">
        <v>51.4655</v>
      </c>
      <c r="G1845" s="16">
        <v>13.509</v>
      </c>
      <c r="H1845" s="15"/>
      <c r="I1845" s="15"/>
    </row>
    <row r="1846">
      <c r="A1846" s="18">
        <v>45665.0</v>
      </c>
      <c r="B1846" s="16" t="s">
        <v>2671</v>
      </c>
      <c r="C1846" s="16" t="s">
        <v>969</v>
      </c>
      <c r="D1846" s="16" t="s">
        <v>707</v>
      </c>
      <c r="E1846" s="16">
        <v>2012.0</v>
      </c>
      <c r="F1846" s="16">
        <v>49.5072</v>
      </c>
      <c r="G1846" s="16">
        <v>11.7508</v>
      </c>
      <c r="H1846" s="15"/>
      <c r="I1846" s="15"/>
    </row>
    <row r="1847">
      <c r="A1847" s="18">
        <v>45665.0</v>
      </c>
      <c r="B1847" s="16" t="s">
        <v>2672</v>
      </c>
      <c r="C1847" s="16" t="s">
        <v>1037</v>
      </c>
      <c r="D1847" s="16" t="s">
        <v>707</v>
      </c>
      <c r="E1847" s="16">
        <v>2012.0</v>
      </c>
      <c r="F1847" s="16">
        <v>48.6014</v>
      </c>
      <c r="G1847" s="16">
        <v>12.244</v>
      </c>
      <c r="H1847" s="15"/>
      <c r="I1847" s="15"/>
    </row>
    <row r="1848">
      <c r="A1848" s="18">
        <v>45665.0</v>
      </c>
      <c r="B1848" s="16" t="s">
        <v>2673</v>
      </c>
      <c r="C1848" s="16" t="s">
        <v>946</v>
      </c>
      <c r="D1848" s="16" t="s">
        <v>707</v>
      </c>
      <c r="E1848" s="16">
        <v>2012.0</v>
      </c>
      <c r="F1848" s="16">
        <v>49.5905</v>
      </c>
      <c r="G1848" s="16">
        <v>7.2006</v>
      </c>
      <c r="H1848" s="15"/>
      <c r="I1848" s="15"/>
    </row>
    <row r="1849">
      <c r="A1849" s="18">
        <v>45665.0</v>
      </c>
      <c r="B1849" s="16" t="s">
        <v>2674</v>
      </c>
      <c r="C1849" s="16">
        <v>3.0</v>
      </c>
      <c r="D1849" s="16" t="s">
        <v>707</v>
      </c>
      <c r="E1849" s="16">
        <v>2012.0</v>
      </c>
      <c r="F1849" s="16">
        <v>51.6838</v>
      </c>
      <c r="G1849" s="16">
        <v>8.7354</v>
      </c>
      <c r="H1849" s="15"/>
      <c r="I1849" s="15"/>
    </row>
    <row r="1850">
      <c r="A1850" s="18">
        <v>45665.0</v>
      </c>
      <c r="B1850" s="16" t="s">
        <v>2675</v>
      </c>
      <c r="C1850" s="16" t="s">
        <v>946</v>
      </c>
      <c r="D1850" s="16" t="s">
        <v>707</v>
      </c>
      <c r="E1850" s="16">
        <v>2012.0</v>
      </c>
      <c r="F1850" s="16">
        <v>52.7079</v>
      </c>
      <c r="G1850" s="16">
        <v>8.9035</v>
      </c>
      <c r="H1850" s="15"/>
      <c r="I1850" s="15"/>
    </row>
    <row r="1851">
      <c r="A1851" s="18">
        <v>45665.0</v>
      </c>
      <c r="B1851" s="16" t="s">
        <v>2676</v>
      </c>
      <c r="C1851" s="16" t="s">
        <v>1037</v>
      </c>
      <c r="D1851" s="16" t="s">
        <v>707</v>
      </c>
      <c r="E1851" s="16">
        <v>2012.0</v>
      </c>
      <c r="F1851" s="16">
        <v>48.7642</v>
      </c>
      <c r="G1851" s="16">
        <v>10.3277</v>
      </c>
      <c r="H1851" s="15"/>
      <c r="I1851" s="15"/>
    </row>
    <row r="1852">
      <c r="A1852" s="18">
        <v>45665.0</v>
      </c>
      <c r="B1852" s="16" t="s">
        <v>2677</v>
      </c>
      <c r="C1852" s="16" t="s">
        <v>948</v>
      </c>
      <c r="D1852" s="16" t="s">
        <v>707</v>
      </c>
      <c r="E1852" s="16">
        <v>2012.0</v>
      </c>
      <c r="F1852" s="16">
        <v>49.2567</v>
      </c>
      <c r="G1852" s="16">
        <v>10.6266</v>
      </c>
      <c r="H1852" s="15"/>
      <c r="I1852" s="15"/>
    </row>
    <row r="1853">
      <c r="A1853" s="18">
        <v>45665.0</v>
      </c>
      <c r="B1853" s="16" t="s">
        <v>2678</v>
      </c>
      <c r="C1853" s="16" t="s">
        <v>951</v>
      </c>
      <c r="D1853" s="16" t="s">
        <v>707</v>
      </c>
      <c r="E1853" s="16">
        <v>2012.0</v>
      </c>
      <c r="F1853" s="16">
        <v>49.6738</v>
      </c>
      <c r="G1853" s="16">
        <v>10.3123</v>
      </c>
      <c r="H1853" s="15"/>
      <c r="I1853" s="15"/>
    </row>
    <row r="1854">
      <c r="A1854" s="18">
        <v>45665.0</v>
      </c>
      <c r="B1854" s="16" t="s">
        <v>2679</v>
      </c>
      <c r="C1854" s="16" t="s">
        <v>978</v>
      </c>
      <c r="D1854" s="16" t="s">
        <v>707</v>
      </c>
      <c r="E1854" s="16">
        <v>2012.0</v>
      </c>
      <c r="F1854" s="16">
        <v>53.6799</v>
      </c>
      <c r="G1854" s="16">
        <v>13.5562</v>
      </c>
      <c r="H1854" s="15"/>
      <c r="I1854" s="15"/>
    </row>
    <row r="1855">
      <c r="A1855" s="18">
        <v>45665.0</v>
      </c>
      <c r="B1855" s="16" t="s">
        <v>2680</v>
      </c>
      <c r="C1855" s="16" t="s">
        <v>1011</v>
      </c>
      <c r="D1855" s="16" t="s">
        <v>707</v>
      </c>
      <c r="E1855" s="16">
        <v>2012.0</v>
      </c>
      <c r="F1855" s="16">
        <v>53.6763</v>
      </c>
      <c r="G1855" s="16">
        <v>13.549</v>
      </c>
      <c r="H1855" s="15"/>
      <c r="I1855" s="15"/>
    </row>
    <row r="1856">
      <c r="A1856" s="18">
        <v>45665.0</v>
      </c>
      <c r="B1856" s="16" t="s">
        <v>2681</v>
      </c>
      <c r="C1856" s="16" t="s">
        <v>1037</v>
      </c>
      <c r="D1856" s="16" t="s">
        <v>707</v>
      </c>
      <c r="E1856" s="16">
        <v>2012.0</v>
      </c>
      <c r="F1856" s="16">
        <v>53.6774</v>
      </c>
      <c r="G1856" s="16">
        <v>13.5379</v>
      </c>
      <c r="H1856" s="15"/>
      <c r="I1856" s="15"/>
    </row>
    <row r="1857">
      <c r="A1857" s="18">
        <v>45665.0</v>
      </c>
      <c r="B1857" s="16" t="s">
        <v>2682</v>
      </c>
      <c r="C1857" s="16" t="s">
        <v>948</v>
      </c>
      <c r="D1857" s="16" t="s">
        <v>707</v>
      </c>
      <c r="E1857" s="16">
        <v>2012.0</v>
      </c>
      <c r="F1857" s="16">
        <v>53.3757</v>
      </c>
      <c r="G1857" s="16">
        <v>8.4237</v>
      </c>
      <c r="H1857" s="15"/>
      <c r="I1857" s="15"/>
    </row>
    <row r="1858">
      <c r="A1858" s="18">
        <v>45665.0</v>
      </c>
      <c r="B1858" s="16" t="s">
        <v>2683</v>
      </c>
      <c r="C1858" s="16" t="s">
        <v>948</v>
      </c>
      <c r="D1858" s="16" t="s">
        <v>707</v>
      </c>
      <c r="E1858" s="16">
        <v>2012.0</v>
      </c>
      <c r="F1858" s="16">
        <v>48.0122</v>
      </c>
      <c r="G1858" s="16">
        <v>10.256</v>
      </c>
      <c r="H1858" s="15"/>
      <c r="I1858" s="15"/>
    </row>
    <row r="1859">
      <c r="A1859" s="18">
        <v>45665.0</v>
      </c>
      <c r="B1859" s="16" t="s">
        <v>2684</v>
      </c>
      <c r="C1859" s="16" t="s">
        <v>1034</v>
      </c>
      <c r="D1859" s="16" t="s">
        <v>707</v>
      </c>
      <c r="E1859" s="16">
        <v>2012.0</v>
      </c>
      <c r="F1859" s="16">
        <v>50.9615</v>
      </c>
      <c r="G1859" s="16">
        <v>10.7301</v>
      </c>
      <c r="H1859" s="15"/>
      <c r="I1859" s="15"/>
    </row>
    <row r="1860">
      <c r="A1860" s="18">
        <v>45665.0</v>
      </c>
      <c r="B1860" s="16" t="s">
        <v>2685</v>
      </c>
      <c r="C1860" s="16">
        <v>1.0</v>
      </c>
      <c r="D1860" s="16" t="s">
        <v>707</v>
      </c>
      <c r="E1860" s="16">
        <v>2012.0</v>
      </c>
      <c r="F1860" s="16">
        <v>49.9655</v>
      </c>
      <c r="G1860" s="16">
        <v>8.0194</v>
      </c>
      <c r="H1860" s="15"/>
      <c r="I1860" s="15"/>
    </row>
    <row r="1861">
      <c r="A1861" s="18">
        <v>45665.0</v>
      </c>
      <c r="B1861" s="16" t="s">
        <v>2686</v>
      </c>
      <c r="C1861" s="16" t="s">
        <v>1002</v>
      </c>
      <c r="D1861" s="16" t="s">
        <v>707</v>
      </c>
      <c r="E1861" s="16">
        <v>2012.0</v>
      </c>
      <c r="F1861" s="16">
        <v>51.0937</v>
      </c>
      <c r="G1861" s="16">
        <v>9.4822</v>
      </c>
      <c r="H1861" s="15"/>
      <c r="I1861" s="15"/>
    </row>
    <row r="1862">
      <c r="A1862" s="18">
        <v>45665.0</v>
      </c>
      <c r="B1862" s="16" t="s">
        <v>2687</v>
      </c>
      <c r="C1862" s="16" t="s">
        <v>1002</v>
      </c>
      <c r="D1862" s="16" t="s">
        <v>707</v>
      </c>
      <c r="E1862" s="16">
        <v>2012.0</v>
      </c>
      <c r="F1862" s="16">
        <v>51.3386</v>
      </c>
      <c r="G1862" s="16">
        <v>11.9477</v>
      </c>
      <c r="H1862" s="15"/>
      <c r="I1862" s="15"/>
    </row>
    <row r="1863">
      <c r="A1863" s="18">
        <v>45665.0</v>
      </c>
      <c r="B1863" s="16" t="s">
        <v>2688</v>
      </c>
      <c r="C1863" s="16">
        <v>1.0</v>
      </c>
      <c r="D1863" s="16" t="s">
        <v>707</v>
      </c>
      <c r="E1863" s="16">
        <v>2012.0</v>
      </c>
      <c r="F1863" s="16">
        <v>48.9788</v>
      </c>
      <c r="G1863" s="16">
        <v>12.1926</v>
      </c>
      <c r="H1863" s="15"/>
      <c r="I1863" s="15"/>
    </row>
    <row r="1864">
      <c r="A1864" s="18">
        <v>45665.0</v>
      </c>
      <c r="B1864" s="16" t="s">
        <v>2689</v>
      </c>
      <c r="C1864" s="16" t="s">
        <v>984</v>
      </c>
      <c r="D1864" s="16" t="s">
        <v>707</v>
      </c>
      <c r="E1864" s="16">
        <v>2012.0</v>
      </c>
      <c r="F1864" s="16">
        <v>49.5752</v>
      </c>
      <c r="G1864" s="16">
        <v>10.1881</v>
      </c>
      <c r="H1864" s="15"/>
      <c r="I1864" s="15"/>
    </row>
    <row r="1865">
      <c r="A1865" s="18">
        <v>45665.0</v>
      </c>
      <c r="B1865" s="16" t="s">
        <v>2690</v>
      </c>
      <c r="C1865" s="16">
        <v>8.0</v>
      </c>
      <c r="D1865" s="16" t="s">
        <v>707</v>
      </c>
      <c r="E1865" s="16">
        <v>2012.0</v>
      </c>
      <c r="F1865" s="16">
        <v>51.7338</v>
      </c>
      <c r="G1865" s="16">
        <v>12.4049</v>
      </c>
      <c r="H1865" s="15"/>
      <c r="I1865" s="15"/>
    </row>
    <row r="1866">
      <c r="A1866" s="18">
        <v>45665.0</v>
      </c>
      <c r="B1866" s="16" t="s">
        <v>2691</v>
      </c>
      <c r="C1866" s="16" t="s">
        <v>969</v>
      </c>
      <c r="D1866" s="16" t="s">
        <v>707</v>
      </c>
      <c r="E1866" s="16">
        <v>2012.0</v>
      </c>
      <c r="F1866" s="16">
        <v>53.9188</v>
      </c>
      <c r="G1866" s="16">
        <v>11.3189</v>
      </c>
      <c r="H1866" s="15"/>
      <c r="I1866" s="15"/>
    </row>
    <row r="1867">
      <c r="A1867" s="18">
        <v>45665.0</v>
      </c>
      <c r="B1867" s="16" t="s">
        <v>2692</v>
      </c>
      <c r="C1867" s="16" t="s">
        <v>1771</v>
      </c>
      <c r="D1867" s="16" t="s">
        <v>707</v>
      </c>
      <c r="E1867" s="16">
        <v>2012.0</v>
      </c>
      <c r="F1867" s="16">
        <v>50.6703</v>
      </c>
      <c r="G1867" s="16">
        <v>12.1501</v>
      </c>
      <c r="H1867" s="15"/>
      <c r="I1867" s="15"/>
    </row>
    <row r="1868">
      <c r="A1868" s="18">
        <v>45665.0</v>
      </c>
      <c r="B1868" s="16" t="s">
        <v>2693</v>
      </c>
      <c r="C1868" s="16" t="s">
        <v>942</v>
      </c>
      <c r="D1868" s="16" t="s">
        <v>707</v>
      </c>
      <c r="E1868" s="16">
        <v>2012.0</v>
      </c>
      <c r="F1868" s="16">
        <v>51.7276</v>
      </c>
      <c r="G1868" s="16">
        <v>11.9273</v>
      </c>
      <c r="H1868" s="15"/>
      <c r="I1868" s="15"/>
    </row>
    <row r="1869">
      <c r="A1869" s="18">
        <v>45665.0</v>
      </c>
      <c r="B1869" s="16" t="s">
        <v>2694</v>
      </c>
      <c r="C1869" s="16" t="s">
        <v>978</v>
      </c>
      <c r="D1869" s="16" t="s">
        <v>707</v>
      </c>
      <c r="E1869" s="16">
        <v>2012.0</v>
      </c>
      <c r="F1869" s="16">
        <v>51.3013</v>
      </c>
      <c r="G1869" s="16">
        <v>13.539</v>
      </c>
      <c r="H1869" s="15"/>
      <c r="I1869" s="15"/>
    </row>
    <row r="1870">
      <c r="A1870" s="18">
        <v>45665.0</v>
      </c>
      <c r="B1870" s="16" t="s">
        <v>2695</v>
      </c>
      <c r="C1870" s="16" t="s">
        <v>1004</v>
      </c>
      <c r="D1870" s="16" t="s">
        <v>707</v>
      </c>
      <c r="E1870" s="16">
        <v>2012.0</v>
      </c>
      <c r="F1870" s="16">
        <v>49.1807</v>
      </c>
      <c r="G1870" s="16">
        <v>6.8142</v>
      </c>
      <c r="H1870" s="15"/>
      <c r="I1870" s="15"/>
    </row>
    <row r="1871">
      <c r="A1871" s="18">
        <v>45665.0</v>
      </c>
      <c r="B1871" s="16" t="s">
        <v>2696</v>
      </c>
      <c r="C1871" s="16" t="s">
        <v>1203</v>
      </c>
      <c r="D1871" s="16" t="s">
        <v>707</v>
      </c>
      <c r="E1871" s="16">
        <v>2012.0</v>
      </c>
      <c r="F1871" s="16">
        <v>50.7695</v>
      </c>
      <c r="G1871" s="16">
        <v>10.3241</v>
      </c>
      <c r="H1871" s="15"/>
      <c r="I1871" s="15"/>
    </row>
    <row r="1872">
      <c r="A1872" s="18">
        <v>45665.0</v>
      </c>
      <c r="B1872" s="16" t="s">
        <v>2697</v>
      </c>
      <c r="C1872" s="16" t="s">
        <v>1055</v>
      </c>
      <c r="D1872" s="16" t="s">
        <v>707</v>
      </c>
      <c r="E1872" s="16">
        <v>2012.0</v>
      </c>
      <c r="F1872" s="16">
        <v>51.6533</v>
      </c>
      <c r="G1872" s="16">
        <v>13.6967</v>
      </c>
      <c r="H1872" s="15"/>
      <c r="I1872" s="15"/>
    </row>
    <row r="1873">
      <c r="A1873" s="18">
        <v>45665.0</v>
      </c>
      <c r="B1873" s="16" t="s">
        <v>2698</v>
      </c>
      <c r="C1873" s="16" t="s">
        <v>1037</v>
      </c>
      <c r="D1873" s="16" t="s">
        <v>707</v>
      </c>
      <c r="E1873" s="16">
        <v>2012.0</v>
      </c>
      <c r="F1873" s="16">
        <v>49.0943</v>
      </c>
      <c r="G1873" s="16">
        <v>10.682</v>
      </c>
      <c r="H1873" s="15"/>
      <c r="I1873" s="15"/>
    </row>
    <row r="1874">
      <c r="A1874" s="18">
        <v>45665.0</v>
      </c>
      <c r="B1874" s="16" t="s">
        <v>2699</v>
      </c>
      <c r="C1874" s="16" t="s">
        <v>1751</v>
      </c>
      <c r="D1874" s="16" t="s">
        <v>707</v>
      </c>
      <c r="E1874" s="16">
        <v>2012.0</v>
      </c>
      <c r="F1874" s="16">
        <v>51.7373</v>
      </c>
      <c r="G1874" s="16">
        <v>13.3926</v>
      </c>
      <c r="H1874" s="15"/>
      <c r="I1874" s="15"/>
    </row>
    <row r="1875">
      <c r="A1875" s="18">
        <v>45665.0</v>
      </c>
      <c r="B1875" s="16" t="s">
        <v>2700</v>
      </c>
      <c r="C1875" s="16" t="s">
        <v>1609</v>
      </c>
      <c r="D1875" s="16" t="s">
        <v>707</v>
      </c>
      <c r="E1875" s="16">
        <v>2012.0</v>
      </c>
      <c r="F1875" s="16">
        <v>51.3387</v>
      </c>
      <c r="G1875" s="16">
        <v>10.9943</v>
      </c>
      <c r="H1875" s="15"/>
      <c r="I1875" s="15"/>
    </row>
    <row r="1876">
      <c r="A1876" s="18">
        <v>45665.0</v>
      </c>
      <c r="B1876" s="16" t="s">
        <v>2701</v>
      </c>
      <c r="C1876" s="16" t="s">
        <v>969</v>
      </c>
      <c r="D1876" s="16" t="s">
        <v>707</v>
      </c>
      <c r="E1876" s="16">
        <v>2012.0</v>
      </c>
      <c r="F1876" s="16">
        <v>48.6146</v>
      </c>
      <c r="G1876" s="16">
        <v>10.203</v>
      </c>
      <c r="H1876" s="15"/>
      <c r="I1876" s="15"/>
    </row>
    <row r="1877">
      <c r="A1877" s="18">
        <v>45665.0</v>
      </c>
      <c r="B1877" s="16" t="s">
        <v>2702</v>
      </c>
      <c r="C1877" s="16" t="s">
        <v>1374</v>
      </c>
      <c r="D1877" s="16" t="s">
        <v>707</v>
      </c>
      <c r="E1877" s="16">
        <v>2012.0</v>
      </c>
      <c r="F1877" s="16">
        <v>51.3545</v>
      </c>
      <c r="G1877" s="16">
        <v>9.0155</v>
      </c>
      <c r="H1877" s="15"/>
      <c r="I1877" s="15"/>
    </row>
    <row r="1878">
      <c r="A1878" s="18">
        <v>45665.0</v>
      </c>
      <c r="B1878" s="16" t="s">
        <v>2703</v>
      </c>
      <c r="C1878" s="16" t="s">
        <v>951</v>
      </c>
      <c r="D1878" s="16" t="s">
        <v>707</v>
      </c>
      <c r="E1878" s="16">
        <v>2012.0</v>
      </c>
      <c r="F1878" s="16">
        <v>51.9876</v>
      </c>
      <c r="G1878" s="16">
        <v>9.5601</v>
      </c>
      <c r="H1878" s="15"/>
      <c r="I1878" s="15"/>
    </row>
    <row r="1879">
      <c r="A1879" s="18">
        <v>45665.0</v>
      </c>
      <c r="B1879" s="16" t="s">
        <v>2704</v>
      </c>
      <c r="C1879" s="16">
        <v>1.0</v>
      </c>
      <c r="D1879" s="16" t="s">
        <v>707</v>
      </c>
      <c r="E1879" s="16">
        <v>2012.0</v>
      </c>
      <c r="F1879" s="16">
        <v>49.2523</v>
      </c>
      <c r="G1879" s="16">
        <v>7.5386</v>
      </c>
      <c r="H1879" s="15"/>
      <c r="I1879" s="15"/>
    </row>
    <row r="1880">
      <c r="A1880" s="18">
        <v>45665.0</v>
      </c>
      <c r="B1880" s="16" t="s">
        <v>2705</v>
      </c>
      <c r="C1880" s="16">
        <v>1.0</v>
      </c>
      <c r="D1880" s="16" t="s">
        <v>707</v>
      </c>
      <c r="E1880" s="16">
        <v>2012.0</v>
      </c>
      <c r="F1880" s="16">
        <v>52.3508</v>
      </c>
      <c r="G1880" s="16">
        <v>8.9534</v>
      </c>
      <c r="H1880" s="15"/>
      <c r="I1880" s="15"/>
    </row>
    <row r="1881">
      <c r="A1881" s="18">
        <v>45665.0</v>
      </c>
      <c r="B1881" s="16" t="s">
        <v>2706</v>
      </c>
      <c r="C1881" s="16" t="s">
        <v>1039</v>
      </c>
      <c r="D1881" s="16" t="s">
        <v>707</v>
      </c>
      <c r="E1881" s="16">
        <v>2012.0</v>
      </c>
      <c r="F1881" s="16">
        <v>52.3482</v>
      </c>
      <c r="G1881" s="16">
        <v>8.9491</v>
      </c>
      <c r="H1881" s="15"/>
      <c r="I1881" s="15"/>
    </row>
    <row r="1882">
      <c r="A1882" s="18">
        <v>45665.0</v>
      </c>
      <c r="B1882" s="16" t="s">
        <v>2707</v>
      </c>
      <c r="C1882" s="16" t="s">
        <v>1051</v>
      </c>
      <c r="D1882" s="16" t="s">
        <v>707</v>
      </c>
      <c r="E1882" s="16">
        <v>2012.0</v>
      </c>
      <c r="F1882" s="16">
        <v>49.255</v>
      </c>
      <c r="G1882" s="16">
        <v>10.4918</v>
      </c>
      <c r="H1882" s="15"/>
      <c r="I1882" s="15"/>
    </row>
    <row r="1883">
      <c r="A1883" s="18">
        <v>45665.0</v>
      </c>
      <c r="B1883" s="16" t="s">
        <v>2708</v>
      </c>
      <c r="C1883" s="16" t="s">
        <v>990</v>
      </c>
      <c r="D1883" s="16" t="s">
        <v>707</v>
      </c>
      <c r="E1883" s="16">
        <v>2012.0</v>
      </c>
      <c r="F1883" s="16">
        <v>48.1586</v>
      </c>
      <c r="G1883" s="16">
        <v>12.7961</v>
      </c>
      <c r="H1883" s="15"/>
      <c r="I1883" s="15"/>
    </row>
    <row r="1884">
      <c r="A1884" s="18">
        <v>45665.0</v>
      </c>
      <c r="B1884" s="16" t="s">
        <v>2709</v>
      </c>
      <c r="C1884" s="16" t="s">
        <v>959</v>
      </c>
      <c r="D1884" s="16" t="s">
        <v>707</v>
      </c>
      <c r="E1884" s="16">
        <v>2012.0</v>
      </c>
      <c r="F1884" s="16">
        <v>50.415</v>
      </c>
      <c r="G1884" s="16">
        <v>11.812</v>
      </c>
      <c r="H1884" s="15"/>
      <c r="I1884" s="15"/>
    </row>
    <row r="1885">
      <c r="A1885" s="18">
        <v>45665.0</v>
      </c>
      <c r="B1885" s="16" t="s">
        <v>2710</v>
      </c>
      <c r="C1885" s="16" t="s">
        <v>971</v>
      </c>
      <c r="D1885" s="16" t="s">
        <v>707</v>
      </c>
      <c r="E1885" s="16">
        <v>2012.0</v>
      </c>
      <c r="F1885" s="16">
        <v>52.5824</v>
      </c>
      <c r="G1885" s="16">
        <v>10.3811</v>
      </c>
      <c r="H1885" s="15"/>
      <c r="I1885" s="15"/>
    </row>
    <row r="1886">
      <c r="A1886" s="18">
        <v>45665.0</v>
      </c>
      <c r="B1886" s="16" t="s">
        <v>2711</v>
      </c>
      <c r="C1886" s="16">
        <v>3.0</v>
      </c>
      <c r="D1886" s="16" t="s">
        <v>707</v>
      </c>
      <c r="E1886" s="16">
        <v>2012.0</v>
      </c>
      <c r="F1886" s="16">
        <v>54.8471</v>
      </c>
      <c r="G1886" s="16">
        <v>8.8789</v>
      </c>
      <c r="H1886" s="15"/>
      <c r="I1886" s="15"/>
    </row>
    <row r="1887">
      <c r="A1887" s="18">
        <v>45665.0</v>
      </c>
      <c r="B1887" s="16" t="s">
        <v>2712</v>
      </c>
      <c r="C1887" s="16">
        <v>1.0</v>
      </c>
      <c r="D1887" s="16" t="s">
        <v>707</v>
      </c>
      <c r="E1887" s="16">
        <v>2012.0</v>
      </c>
      <c r="F1887" s="16">
        <v>51.7774</v>
      </c>
      <c r="G1887" s="16">
        <v>7.5492</v>
      </c>
      <c r="H1887" s="15"/>
      <c r="I1887" s="15"/>
    </row>
    <row r="1888">
      <c r="A1888" s="18">
        <v>45665.0</v>
      </c>
      <c r="B1888" s="16" t="s">
        <v>2713</v>
      </c>
      <c r="C1888" s="16" t="s">
        <v>1267</v>
      </c>
      <c r="D1888" s="16" t="s">
        <v>707</v>
      </c>
      <c r="E1888" s="16">
        <v>2012.0</v>
      </c>
      <c r="F1888" s="16">
        <v>49.2521</v>
      </c>
      <c r="G1888" s="16">
        <v>10.4443</v>
      </c>
      <c r="H1888" s="15"/>
      <c r="I1888" s="15"/>
    </row>
    <row r="1889">
      <c r="A1889" s="18">
        <v>45665.0</v>
      </c>
      <c r="B1889" s="16" t="s">
        <v>2714</v>
      </c>
      <c r="C1889" s="16" t="s">
        <v>951</v>
      </c>
      <c r="D1889" s="16" t="s">
        <v>707</v>
      </c>
      <c r="E1889" s="16">
        <v>2012.0</v>
      </c>
      <c r="F1889" s="16">
        <v>52.8519</v>
      </c>
      <c r="G1889" s="16">
        <v>7.6304</v>
      </c>
      <c r="H1889" s="15"/>
      <c r="I1889" s="15"/>
    </row>
    <row r="1890">
      <c r="A1890" s="18">
        <v>45665.0</v>
      </c>
      <c r="B1890" s="16" t="s">
        <v>2715</v>
      </c>
      <c r="C1890" s="16">
        <v>1.0</v>
      </c>
      <c r="D1890" s="16" t="s">
        <v>707</v>
      </c>
      <c r="E1890" s="16">
        <v>2012.0</v>
      </c>
      <c r="F1890" s="16">
        <v>48.4926</v>
      </c>
      <c r="G1890" s="16">
        <v>12.925</v>
      </c>
      <c r="H1890" s="15"/>
      <c r="I1890" s="15"/>
    </row>
    <row r="1891">
      <c r="A1891" s="18">
        <v>45665.0</v>
      </c>
      <c r="B1891" s="16" t="s">
        <v>2716</v>
      </c>
      <c r="C1891" s="16">
        <v>3.0</v>
      </c>
      <c r="D1891" s="16" t="s">
        <v>707</v>
      </c>
      <c r="E1891" s="16">
        <v>2012.0</v>
      </c>
      <c r="F1891" s="16">
        <v>48.4926</v>
      </c>
      <c r="G1891" s="16">
        <v>12.925</v>
      </c>
      <c r="H1891" s="15"/>
      <c r="I1891" s="15"/>
    </row>
    <row r="1892">
      <c r="A1892" s="18">
        <v>45665.0</v>
      </c>
      <c r="B1892" s="16" t="s">
        <v>2717</v>
      </c>
      <c r="C1892" s="16">
        <v>3.0</v>
      </c>
      <c r="D1892" s="16" t="s">
        <v>707</v>
      </c>
      <c r="E1892" s="16">
        <v>2012.0</v>
      </c>
      <c r="F1892" s="16">
        <v>53.0829</v>
      </c>
      <c r="G1892" s="16">
        <v>14.2622</v>
      </c>
      <c r="H1892" s="15"/>
      <c r="I1892" s="15"/>
    </row>
    <row r="1893">
      <c r="A1893" s="18">
        <v>45665.0</v>
      </c>
      <c r="B1893" s="16" t="s">
        <v>2718</v>
      </c>
      <c r="C1893" s="16" t="s">
        <v>1011</v>
      </c>
      <c r="D1893" s="16" t="s">
        <v>707</v>
      </c>
      <c r="E1893" s="16">
        <v>2012.0</v>
      </c>
      <c r="F1893" s="16">
        <v>51.6659</v>
      </c>
      <c r="G1893" s="16">
        <v>14.6052</v>
      </c>
      <c r="H1893" s="15"/>
      <c r="I1893" s="15"/>
    </row>
    <row r="1894">
      <c r="A1894" s="18">
        <v>45665.0</v>
      </c>
      <c r="B1894" s="16" t="s">
        <v>2719</v>
      </c>
      <c r="C1894" s="16" t="s">
        <v>1037</v>
      </c>
      <c r="D1894" s="16" t="s">
        <v>707</v>
      </c>
      <c r="E1894" s="16">
        <v>2012.0</v>
      </c>
      <c r="F1894" s="16">
        <v>51.9985</v>
      </c>
      <c r="G1894" s="16">
        <v>13.044</v>
      </c>
      <c r="H1894" s="15"/>
      <c r="I1894" s="15"/>
    </row>
    <row r="1895">
      <c r="A1895" s="18">
        <v>45665.0</v>
      </c>
      <c r="B1895" s="16" t="s">
        <v>2720</v>
      </c>
      <c r="C1895" s="16" t="s">
        <v>942</v>
      </c>
      <c r="D1895" s="16" t="s">
        <v>707</v>
      </c>
      <c r="E1895" s="16">
        <v>2012.0</v>
      </c>
      <c r="F1895" s="16">
        <v>51.7902</v>
      </c>
      <c r="G1895" s="16">
        <v>14.0842</v>
      </c>
      <c r="H1895" s="15"/>
      <c r="I1895" s="15"/>
    </row>
    <row r="1896">
      <c r="A1896" s="18">
        <v>45665.0</v>
      </c>
      <c r="B1896" s="16" t="s">
        <v>2721</v>
      </c>
      <c r="C1896" s="16">
        <v>1.0</v>
      </c>
      <c r="D1896" s="16" t="s">
        <v>707</v>
      </c>
      <c r="E1896" s="16">
        <v>2012.0</v>
      </c>
      <c r="F1896" s="16">
        <v>52.6612</v>
      </c>
      <c r="G1896" s="16">
        <v>11.3665</v>
      </c>
      <c r="H1896" s="15"/>
      <c r="I1896" s="15"/>
    </row>
    <row r="1897">
      <c r="A1897" s="18">
        <v>45665.0</v>
      </c>
      <c r="B1897" s="16" t="s">
        <v>2722</v>
      </c>
      <c r="C1897" s="16">
        <v>2.0</v>
      </c>
      <c r="D1897" s="16" t="s">
        <v>707</v>
      </c>
      <c r="E1897" s="16">
        <v>2012.0</v>
      </c>
      <c r="F1897" s="16">
        <v>54.3176</v>
      </c>
      <c r="G1897" s="16">
        <v>9.6351</v>
      </c>
      <c r="H1897" s="15"/>
      <c r="I1897" s="15"/>
    </row>
    <row r="1898">
      <c r="A1898" s="18">
        <v>45665.0</v>
      </c>
      <c r="B1898" s="16" t="s">
        <v>2723</v>
      </c>
      <c r="C1898" s="16" t="s">
        <v>1034</v>
      </c>
      <c r="D1898" s="16" t="s">
        <v>707</v>
      </c>
      <c r="E1898" s="16">
        <v>2012.0</v>
      </c>
      <c r="F1898" s="16">
        <v>49.5202</v>
      </c>
      <c r="G1898" s="16">
        <v>10.8158</v>
      </c>
      <c r="H1898" s="15"/>
      <c r="I1898" s="15"/>
    </row>
    <row r="1899">
      <c r="A1899" s="18">
        <v>45665.0</v>
      </c>
      <c r="B1899" s="16" t="s">
        <v>2724</v>
      </c>
      <c r="C1899" s="16" t="s">
        <v>969</v>
      </c>
      <c r="D1899" s="16" t="s">
        <v>707</v>
      </c>
      <c r="E1899" s="16">
        <v>2012.0</v>
      </c>
      <c r="F1899" s="16">
        <v>53.0172</v>
      </c>
      <c r="G1899" s="16">
        <v>9.3867</v>
      </c>
      <c r="H1899" s="15"/>
      <c r="I1899" s="15"/>
    </row>
    <row r="1900">
      <c r="A1900" s="18">
        <v>45665.0</v>
      </c>
      <c r="B1900" s="16" t="s">
        <v>2725</v>
      </c>
      <c r="C1900" s="16" t="s">
        <v>948</v>
      </c>
      <c r="D1900" s="16" t="s">
        <v>707</v>
      </c>
      <c r="E1900" s="16">
        <v>2012.0</v>
      </c>
      <c r="F1900" s="16">
        <v>51.9051</v>
      </c>
      <c r="G1900" s="16">
        <v>10.5457</v>
      </c>
      <c r="H1900" s="15"/>
      <c r="I1900" s="15"/>
    </row>
    <row r="1901">
      <c r="A1901" s="18">
        <v>45665.0</v>
      </c>
      <c r="B1901" s="16" t="s">
        <v>2726</v>
      </c>
      <c r="C1901" s="16" t="s">
        <v>1436</v>
      </c>
      <c r="D1901" s="16" t="s">
        <v>707</v>
      </c>
      <c r="E1901" s="16">
        <v>2012.0</v>
      </c>
      <c r="F1901" s="16">
        <v>52.46</v>
      </c>
      <c r="G1901" s="16">
        <v>7.1739</v>
      </c>
      <c r="H1901" s="15"/>
      <c r="I1901" s="15"/>
    </row>
    <row r="1902">
      <c r="A1902" s="18">
        <v>45665.0</v>
      </c>
      <c r="B1902" s="16" t="s">
        <v>2727</v>
      </c>
      <c r="C1902" s="16" t="s">
        <v>1011</v>
      </c>
      <c r="D1902" s="16" t="s">
        <v>707</v>
      </c>
      <c r="E1902" s="16">
        <v>2012.0</v>
      </c>
      <c r="F1902" s="16">
        <v>54.2297</v>
      </c>
      <c r="G1902" s="16">
        <v>12.3688</v>
      </c>
      <c r="H1902" s="15"/>
      <c r="I1902" s="15"/>
    </row>
    <row r="1903">
      <c r="A1903" s="18">
        <v>45665.0</v>
      </c>
      <c r="B1903" s="16" t="s">
        <v>2728</v>
      </c>
      <c r="C1903" s="16" t="s">
        <v>946</v>
      </c>
      <c r="D1903" s="16" t="s">
        <v>707</v>
      </c>
      <c r="E1903" s="16">
        <v>2012.0</v>
      </c>
      <c r="F1903" s="16">
        <v>51.8925</v>
      </c>
      <c r="G1903" s="16">
        <v>12.4393</v>
      </c>
      <c r="H1903" s="15"/>
      <c r="I1903" s="15"/>
    </row>
    <row r="1904">
      <c r="A1904" s="18">
        <v>45665.0</v>
      </c>
      <c r="B1904" s="16" t="s">
        <v>2729</v>
      </c>
      <c r="C1904" s="16">
        <v>1.0</v>
      </c>
      <c r="D1904" s="16" t="s">
        <v>707</v>
      </c>
      <c r="E1904" s="16">
        <v>2012.0</v>
      </c>
      <c r="F1904" s="16">
        <v>51.3486</v>
      </c>
      <c r="G1904" s="16">
        <v>8.0868</v>
      </c>
      <c r="H1904" s="15"/>
      <c r="I1904" s="15"/>
    </row>
    <row r="1905">
      <c r="A1905" s="18">
        <v>45665.0</v>
      </c>
      <c r="B1905" s="16" t="s">
        <v>2730</v>
      </c>
      <c r="C1905" s="16" t="s">
        <v>978</v>
      </c>
      <c r="D1905" s="16" t="s">
        <v>707</v>
      </c>
      <c r="E1905" s="16">
        <v>2012.0</v>
      </c>
      <c r="F1905" s="16">
        <v>52.3804</v>
      </c>
      <c r="G1905" s="16">
        <v>14.5227</v>
      </c>
      <c r="H1905" s="15"/>
      <c r="I1905" s="15"/>
    </row>
    <row r="1906">
      <c r="A1906" s="18">
        <v>45665.0</v>
      </c>
      <c r="B1906" s="16" t="s">
        <v>2731</v>
      </c>
      <c r="C1906" s="16" t="s">
        <v>1267</v>
      </c>
      <c r="D1906" s="16" t="s">
        <v>707</v>
      </c>
      <c r="E1906" s="16">
        <v>2012.0</v>
      </c>
      <c r="F1906" s="16">
        <v>53.7336</v>
      </c>
      <c r="G1906" s="16">
        <v>12.7794</v>
      </c>
      <c r="H1906" s="15"/>
      <c r="I1906" s="15"/>
    </row>
    <row r="1907">
      <c r="A1907" s="18">
        <v>45665.0</v>
      </c>
      <c r="B1907" s="16" t="s">
        <v>2732</v>
      </c>
      <c r="C1907" s="16" t="s">
        <v>1090</v>
      </c>
      <c r="D1907" s="16" t="s">
        <v>707</v>
      </c>
      <c r="E1907" s="16">
        <v>2012.0</v>
      </c>
      <c r="F1907" s="16">
        <v>49.837</v>
      </c>
      <c r="G1907" s="16">
        <v>10.03</v>
      </c>
      <c r="H1907" s="15"/>
      <c r="I1907" s="15"/>
    </row>
    <row r="1908">
      <c r="A1908" s="18">
        <v>45665.0</v>
      </c>
      <c r="B1908" s="16" t="s">
        <v>2733</v>
      </c>
      <c r="C1908" s="16" t="s">
        <v>969</v>
      </c>
      <c r="D1908" s="16" t="s">
        <v>707</v>
      </c>
      <c r="E1908" s="16">
        <v>2012.0</v>
      </c>
      <c r="F1908" s="16">
        <v>54.5047</v>
      </c>
      <c r="G1908" s="16">
        <v>9.2378</v>
      </c>
      <c r="H1908" s="15"/>
      <c r="I1908" s="15"/>
    </row>
    <row r="1909">
      <c r="A1909" s="18">
        <v>45665.0</v>
      </c>
      <c r="B1909" s="16" t="s">
        <v>2734</v>
      </c>
      <c r="C1909" s="16" t="s">
        <v>1101</v>
      </c>
      <c r="D1909" s="16" t="s">
        <v>707</v>
      </c>
      <c r="E1909" s="16">
        <v>2012.0</v>
      </c>
      <c r="F1909" s="16">
        <v>54.5047</v>
      </c>
      <c r="G1909" s="16">
        <v>9.2378</v>
      </c>
      <c r="H1909" s="15"/>
      <c r="I1909" s="15"/>
    </row>
    <row r="1910">
      <c r="A1910" s="18">
        <v>45665.0</v>
      </c>
      <c r="B1910" s="16" t="s">
        <v>2735</v>
      </c>
      <c r="C1910" s="16" t="s">
        <v>2736</v>
      </c>
      <c r="D1910" s="16" t="s">
        <v>707</v>
      </c>
      <c r="E1910" s="16">
        <v>2012.0</v>
      </c>
      <c r="F1910" s="16">
        <v>52.6099</v>
      </c>
      <c r="G1910" s="16">
        <v>14.2408</v>
      </c>
      <c r="H1910" s="15"/>
      <c r="I1910" s="15"/>
    </row>
    <row r="1911">
      <c r="A1911" s="18">
        <v>45665.0</v>
      </c>
      <c r="B1911" s="16" t="s">
        <v>2737</v>
      </c>
      <c r="C1911" s="16" t="s">
        <v>946</v>
      </c>
      <c r="D1911" s="16" t="s">
        <v>707</v>
      </c>
      <c r="E1911" s="16">
        <v>2012.0</v>
      </c>
      <c r="F1911" s="16">
        <v>50.1717</v>
      </c>
      <c r="G1911" s="16">
        <v>6.1996</v>
      </c>
      <c r="H1911" s="15"/>
      <c r="I1911" s="15"/>
    </row>
    <row r="1912">
      <c r="A1912" s="18">
        <v>45665.0</v>
      </c>
      <c r="B1912" s="16" t="s">
        <v>2738</v>
      </c>
      <c r="C1912" s="16" t="s">
        <v>1007</v>
      </c>
      <c r="D1912" s="16" t="s">
        <v>707</v>
      </c>
      <c r="E1912" s="16">
        <v>2012.0</v>
      </c>
      <c r="F1912" s="16">
        <v>53.2474</v>
      </c>
      <c r="G1912" s="16">
        <v>12.1837</v>
      </c>
      <c r="H1912" s="15"/>
      <c r="I1912" s="15"/>
    </row>
    <row r="1913">
      <c r="A1913" s="18">
        <v>45665.0</v>
      </c>
      <c r="B1913" s="16" t="s">
        <v>2739</v>
      </c>
      <c r="C1913" s="16" t="s">
        <v>1099</v>
      </c>
      <c r="D1913" s="16" t="s">
        <v>707</v>
      </c>
      <c r="E1913" s="16">
        <v>2012.0</v>
      </c>
      <c r="F1913" s="16">
        <v>52.0376</v>
      </c>
      <c r="G1913" s="16">
        <v>11.2361</v>
      </c>
      <c r="H1913" s="15"/>
      <c r="I1913" s="15"/>
    </row>
    <row r="1914">
      <c r="A1914" s="18">
        <v>45665.0</v>
      </c>
      <c r="B1914" s="16" t="s">
        <v>2740</v>
      </c>
      <c r="C1914" s="16" t="s">
        <v>1007</v>
      </c>
      <c r="D1914" s="16" t="s">
        <v>707</v>
      </c>
      <c r="E1914" s="16">
        <v>2012.0</v>
      </c>
      <c r="F1914" s="16">
        <v>51.617</v>
      </c>
      <c r="G1914" s="16">
        <v>12.307</v>
      </c>
      <c r="H1914" s="15"/>
      <c r="I1914" s="15"/>
    </row>
    <row r="1915">
      <c r="A1915" s="18">
        <v>45665.0</v>
      </c>
      <c r="B1915" s="16" t="s">
        <v>2741</v>
      </c>
      <c r="C1915" s="16" t="s">
        <v>1034</v>
      </c>
      <c r="D1915" s="16" t="s">
        <v>707</v>
      </c>
      <c r="E1915" s="16">
        <v>2012.0</v>
      </c>
      <c r="F1915" s="16">
        <v>49.9501</v>
      </c>
      <c r="G1915" s="16">
        <v>7.286</v>
      </c>
      <c r="H1915" s="15"/>
      <c r="I1915" s="15"/>
    </row>
    <row r="1916">
      <c r="A1916" s="18">
        <v>45665.0</v>
      </c>
      <c r="B1916" s="16" t="s">
        <v>2742</v>
      </c>
      <c r="C1916" s="16" t="s">
        <v>969</v>
      </c>
      <c r="D1916" s="16" t="s">
        <v>707</v>
      </c>
      <c r="E1916" s="16">
        <v>2012.0</v>
      </c>
      <c r="F1916" s="16">
        <v>49.4474</v>
      </c>
      <c r="G1916" s="16">
        <v>9.947</v>
      </c>
      <c r="H1916" s="15"/>
      <c r="I1916" s="15"/>
    </row>
    <row r="1917">
      <c r="A1917" s="18">
        <v>45665.0</v>
      </c>
      <c r="B1917" s="16" t="s">
        <v>2743</v>
      </c>
      <c r="C1917" s="16" t="s">
        <v>1039</v>
      </c>
      <c r="D1917" s="16" t="s">
        <v>707</v>
      </c>
      <c r="E1917" s="16">
        <v>2012.0</v>
      </c>
      <c r="F1917" s="16">
        <v>48.2619</v>
      </c>
      <c r="G1917" s="16">
        <v>9.8327</v>
      </c>
      <c r="H1917" s="15"/>
      <c r="I1917" s="15"/>
    </row>
    <row r="1918">
      <c r="A1918" s="18">
        <v>45665.0</v>
      </c>
      <c r="B1918" s="16" t="s">
        <v>2744</v>
      </c>
      <c r="C1918" s="16" t="s">
        <v>1167</v>
      </c>
      <c r="D1918" s="16" t="s">
        <v>707</v>
      </c>
      <c r="E1918" s="16">
        <v>2012.0</v>
      </c>
      <c r="F1918" s="16">
        <v>51.4523</v>
      </c>
      <c r="G1918" s="16">
        <v>14.1056</v>
      </c>
      <c r="H1918" s="15"/>
      <c r="I1918" s="15"/>
    </row>
    <row r="1919">
      <c r="A1919" s="18">
        <v>45665.0</v>
      </c>
      <c r="B1919" s="16" t="s">
        <v>2745</v>
      </c>
      <c r="C1919" s="16" t="s">
        <v>1147</v>
      </c>
      <c r="D1919" s="16" t="s">
        <v>707</v>
      </c>
      <c r="E1919" s="16">
        <v>2012.0</v>
      </c>
      <c r="F1919" s="16">
        <v>53.6271</v>
      </c>
      <c r="G1919" s="16">
        <v>13.228</v>
      </c>
      <c r="H1919" s="15"/>
      <c r="I1919" s="15"/>
    </row>
    <row r="1920">
      <c r="A1920" s="18">
        <v>45665.0</v>
      </c>
      <c r="B1920" s="16" t="s">
        <v>2746</v>
      </c>
      <c r="C1920" s="16" t="s">
        <v>969</v>
      </c>
      <c r="D1920" s="16" t="s">
        <v>707</v>
      </c>
      <c r="E1920" s="16">
        <v>2012.0</v>
      </c>
      <c r="F1920" s="16">
        <v>51.3031</v>
      </c>
      <c r="G1920" s="16">
        <v>12.275</v>
      </c>
      <c r="H1920" s="15"/>
      <c r="I1920" s="15"/>
    </row>
    <row r="1921">
      <c r="A1921" s="18">
        <v>45665.0</v>
      </c>
      <c r="B1921" s="16" t="s">
        <v>2747</v>
      </c>
      <c r="C1921" s="16" t="s">
        <v>961</v>
      </c>
      <c r="D1921" s="16" t="s">
        <v>707</v>
      </c>
      <c r="E1921" s="16">
        <v>2012.0</v>
      </c>
      <c r="F1921" s="16">
        <v>52.4453</v>
      </c>
      <c r="G1921" s="16">
        <v>11.534</v>
      </c>
      <c r="H1921" s="15"/>
      <c r="I1921" s="15"/>
    </row>
    <row r="1922">
      <c r="A1922" s="18">
        <v>45665.0</v>
      </c>
      <c r="B1922" s="16" t="s">
        <v>2748</v>
      </c>
      <c r="C1922" s="16">
        <v>8.0</v>
      </c>
      <c r="D1922" s="16" t="s">
        <v>707</v>
      </c>
      <c r="E1922" s="16">
        <v>2012.0</v>
      </c>
      <c r="F1922" s="16">
        <v>53.94</v>
      </c>
      <c r="G1922" s="16">
        <v>13.298</v>
      </c>
      <c r="H1922" s="15"/>
      <c r="I1922" s="15"/>
    </row>
    <row r="1923">
      <c r="A1923" s="18">
        <v>45665.0</v>
      </c>
      <c r="B1923" s="16" t="s">
        <v>2749</v>
      </c>
      <c r="C1923" s="16" t="s">
        <v>1059</v>
      </c>
      <c r="D1923" s="16" t="s">
        <v>707</v>
      </c>
      <c r="E1923" s="16">
        <v>2012.0</v>
      </c>
      <c r="F1923" s="16">
        <v>49.2555</v>
      </c>
      <c r="G1923" s="16">
        <v>10.6578</v>
      </c>
      <c r="H1923" s="15"/>
      <c r="I1923" s="15"/>
    </row>
    <row r="1924">
      <c r="A1924" s="18">
        <v>45665.0</v>
      </c>
      <c r="B1924" s="16" t="s">
        <v>2750</v>
      </c>
      <c r="C1924" s="16">
        <v>1.0</v>
      </c>
      <c r="D1924" s="16" t="s">
        <v>707</v>
      </c>
      <c r="E1924" s="16">
        <v>2012.0</v>
      </c>
      <c r="F1924" s="16">
        <v>49.2522</v>
      </c>
      <c r="G1924" s="16">
        <v>10.6477</v>
      </c>
      <c r="H1924" s="15"/>
      <c r="I1924" s="15"/>
    </row>
    <row r="1925">
      <c r="A1925" s="18">
        <v>45665.0</v>
      </c>
      <c r="B1925" s="16" t="s">
        <v>2751</v>
      </c>
      <c r="C1925" s="16" t="s">
        <v>969</v>
      </c>
      <c r="D1925" s="16" t="s">
        <v>707</v>
      </c>
      <c r="E1925" s="16">
        <v>2012.0</v>
      </c>
      <c r="F1925" s="16">
        <v>47.6501</v>
      </c>
      <c r="G1925" s="16">
        <v>10.477</v>
      </c>
      <c r="H1925" s="15"/>
      <c r="I1925" s="15"/>
    </row>
    <row r="1926">
      <c r="A1926" s="18">
        <v>45665.0</v>
      </c>
      <c r="B1926" s="16" t="s">
        <v>2752</v>
      </c>
      <c r="C1926" s="16" t="s">
        <v>959</v>
      </c>
      <c r="D1926" s="16" t="s">
        <v>707</v>
      </c>
      <c r="E1926" s="16">
        <v>2012.0</v>
      </c>
      <c r="F1926" s="16">
        <v>50.6372</v>
      </c>
      <c r="G1926" s="16">
        <v>6.9559</v>
      </c>
      <c r="H1926" s="15"/>
      <c r="I1926" s="15"/>
    </row>
    <row r="1927">
      <c r="A1927" s="18">
        <v>45665.0</v>
      </c>
      <c r="B1927" s="16" t="s">
        <v>2753</v>
      </c>
      <c r="C1927" s="16" t="s">
        <v>951</v>
      </c>
      <c r="D1927" s="16" t="s">
        <v>707</v>
      </c>
      <c r="E1927" s="16">
        <v>2012.0</v>
      </c>
      <c r="F1927" s="16">
        <v>49.751</v>
      </c>
      <c r="G1927" s="16">
        <v>9.0712</v>
      </c>
      <c r="H1927" s="15"/>
      <c r="I1927" s="15"/>
    </row>
    <row r="1928">
      <c r="A1928" s="18">
        <v>45665.0</v>
      </c>
      <c r="B1928" s="16" t="s">
        <v>2754</v>
      </c>
      <c r="C1928" s="16" t="s">
        <v>1609</v>
      </c>
      <c r="D1928" s="16" t="s">
        <v>707</v>
      </c>
      <c r="E1928" s="16">
        <v>2012.0</v>
      </c>
      <c r="F1928" s="16">
        <v>51.252</v>
      </c>
      <c r="G1928" s="16">
        <v>12.135</v>
      </c>
      <c r="H1928" s="15"/>
      <c r="I1928" s="15"/>
    </row>
    <row r="1929">
      <c r="A1929" s="18">
        <v>45665.0</v>
      </c>
      <c r="B1929" s="16" t="s">
        <v>2755</v>
      </c>
      <c r="C1929" s="16" t="s">
        <v>2756</v>
      </c>
      <c r="D1929" s="16" t="s">
        <v>707</v>
      </c>
      <c r="E1929" s="16">
        <v>2012.0</v>
      </c>
      <c r="F1929" s="16">
        <v>52.3883</v>
      </c>
      <c r="G1929" s="16">
        <v>11.82</v>
      </c>
      <c r="H1929" s="15"/>
      <c r="I1929" s="15"/>
    </row>
    <row r="1930">
      <c r="A1930" s="18">
        <v>45665.0</v>
      </c>
      <c r="B1930" s="16" t="s">
        <v>2757</v>
      </c>
      <c r="C1930" s="16" t="s">
        <v>946</v>
      </c>
      <c r="D1930" s="16" t="s">
        <v>707</v>
      </c>
      <c r="E1930" s="16">
        <v>2012.0</v>
      </c>
      <c r="F1930" s="16">
        <v>47.9907</v>
      </c>
      <c r="G1930" s="16">
        <v>9.5236</v>
      </c>
      <c r="H1930" s="15"/>
      <c r="I1930" s="15"/>
    </row>
    <row r="1931">
      <c r="A1931" s="18">
        <v>45665.0</v>
      </c>
      <c r="B1931" s="16" t="s">
        <v>2758</v>
      </c>
      <c r="C1931" s="16" t="s">
        <v>1039</v>
      </c>
      <c r="D1931" s="16" t="s">
        <v>707</v>
      </c>
      <c r="E1931" s="16">
        <v>2012.0</v>
      </c>
      <c r="F1931" s="16">
        <v>50.9015</v>
      </c>
      <c r="G1931" s="16">
        <v>11.4404</v>
      </c>
      <c r="H1931" s="15"/>
      <c r="I1931" s="15"/>
    </row>
    <row r="1932">
      <c r="A1932" s="18">
        <v>45665.0</v>
      </c>
      <c r="B1932" s="16" t="s">
        <v>2759</v>
      </c>
      <c r="C1932" s="16" t="s">
        <v>1101</v>
      </c>
      <c r="D1932" s="16" t="s">
        <v>707</v>
      </c>
      <c r="E1932" s="16">
        <v>2012.0</v>
      </c>
      <c r="F1932" s="16">
        <v>50.8991</v>
      </c>
      <c r="G1932" s="16">
        <v>10.2251</v>
      </c>
      <c r="H1932" s="15"/>
      <c r="I1932" s="15"/>
    </row>
    <row r="1933">
      <c r="A1933" s="18">
        <v>45665.0</v>
      </c>
      <c r="B1933" s="16" t="s">
        <v>2760</v>
      </c>
      <c r="C1933" s="16" t="s">
        <v>969</v>
      </c>
      <c r="D1933" s="16" t="s">
        <v>707</v>
      </c>
      <c r="E1933" s="16">
        <v>2012.0</v>
      </c>
      <c r="F1933" s="16">
        <v>52.0884</v>
      </c>
      <c r="G1933" s="16">
        <v>8.7071</v>
      </c>
      <c r="H1933" s="15"/>
      <c r="I1933" s="15"/>
    </row>
    <row r="1934">
      <c r="A1934" s="18">
        <v>45665.0</v>
      </c>
      <c r="B1934" s="16" t="s">
        <v>2761</v>
      </c>
      <c r="C1934" s="16" t="s">
        <v>1039</v>
      </c>
      <c r="D1934" s="16" t="s">
        <v>707</v>
      </c>
      <c r="E1934" s="16">
        <v>2012.0</v>
      </c>
      <c r="F1934" s="16">
        <v>50.1423</v>
      </c>
      <c r="G1934" s="16">
        <v>11.7102</v>
      </c>
      <c r="H1934" s="15"/>
      <c r="I1934" s="15"/>
    </row>
    <row r="1935">
      <c r="A1935" s="18">
        <v>45665.0</v>
      </c>
      <c r="B1935" s="16" t="s">
        <v>2762</v>
      </c>
      <c r="C1935" s="16" t="s">
        <v>1203</v>
      </c>
      <c r="D1935" s="16" t="s">
        <v>707</v>
      </c>
      <c r="E1935" s="16">
        <v>2012.0</v>
      </c>
      <c r="F1935" s="16">
        <v>51.3514</v>
      </c>
      <c r="G1935" s="16">
        <v>11.8736</v>
      </c>
      <c r="H1935" s="15"/>
      <c r="I1935" s="15"/>
    </row>
    <row r="1936">
      <c r="A1936" s="18">
        <v>45665.0</v>
      </c>
      <c r="B1936" s="16" t="s">
        <v>2763</v>
      </c>
      <c r="C1936" s="16" t="s">
        <v>1039</v>
      </c>
      <c r="D1936" s="16" t="s">
        <v>707</v>
      </c>
      <c r="E1936" s="16">
        <v>2012.0</v>
      </c>
      <c r="F1936" s="16">
        <v>51.4346</v>
      </c>
      <c r="G1936" s="16">
        <v>13.2207</v>
      </c>
      <c r="H1936" s="15"/>
      <c r="I1936" s="15"/>
    </row>
    <row r="1937">
      <c r="A1937" s="18">
        <v>45665.0</v>
      </c>
      <c r="B1937" s="16" t="s">
        <v>2764</v>
      </c>
      <c r="C1937" s="16">
        <v>1.0</v>
      </c>
      <c r="D1937" s="16" t="s">
        <v>707</v>
      </c>
      <c r="E1937" s="16">
        <v>2012.0</v>
      </c>
      <c r="F1937" s="16">
        <v>53.415</v>
      </c>
      <c r="G1937" s="16">
        <v>12.588</v>
      </c>
      <c r="H1937" s="15"/>
      <c r="I1937" s="15"/>
    </row>
    <row r="1938">
      <c r="A1938" s="18">
        <v>45665.0</v>
      </c>
      <c r="B1938" s="16" t="s">
        <v>2765</v>
      </c>
      <c r="C1938" s="16" t="s">
        <v>969</v>
      </c>
      <c r="D1938" s="16" t="s">
        <v>707</v>
      </c>
      <c r="E1938" s="16">
        <v>2012.0</v>
      </c>
      <c r="F1938" s="16">
        <v>51.5443</v>
      </c>
      <c r="G1938" s="16">
        <v>12.124</v>
      </c>
      <c r="H1938" s="15"/>
      <c r="I1938" s="15"/>
    </row>
    <row r="1939">
      <c r="A1939" s="18">
        <v>45665.0</v>
      </c>
      <c r="B1939" s="16" t="s">
        <v>2766</v>
      </c>
      <c r="C1939" s="16" t="s">
        <v>1055</v>
      </c>
      <c r="D1939" s="16" t="s">
        <v>707</v>
      </c>
      <c r="E1939" s="16">
        <v>2012.0</v>
      </c>
      <c r="F1939" s="16">
        <v>48.0349</v>
      </c>
      <c r="G1939" s="16">
        <v>11.1742</v>
      </c>
      <c r="H1939" s="15"/>
      <c r="I1939" s="15"/>
    </row>
    <row r="1940">
      <c r="A1940" s="18">
        <v>45665.0</v>
      </c>
      <c r="B1940" s="16" t="s">
        <v>2767</v>
      </c>
      <c r="C1940" s="16" t="s">
        <v>946</v>
      </c>
      <c r="D1940" s="16" t="s">
        <v>707</v>
      </c>
      <c r="E1940" s="16">
        <v>2012.0</v>
      </c>
      <c r="F1940" s="16">
        <v>50.8845</v>
      </c>
      <c r="G1940" s="16">
        <v>12.8028</v>
      </c>
      <c r="H1940" s="15"/>
      <c r="I1940" s="15"/>
    </row>
    <row r="1941">
      <c r="A1941" s="18">
        <v>45665.0</v>
      </c>
      <c r="B1941" s="16" t="s">
        <v>761</v>
      </c>
      <c r="C1941" s="16" t="s">
        <v>1351</v>
      </c>
      <c r="D1941" s="16" t="s">
        <v>707</v>
      </c>
      <c r="E1941" s="16">
        <v>2012.0</v>
      </c>
      <c r="F1941" s="16">
        <v>51.6618</v>
      </c>
      <c r="G1941" s="16">
        <v>14.6302</v>
      </c>
      <c r="H1941" s="15"/>
      <c r="I1941" s="15"/>
    </row>
    <row r="1942">
      <c r="A1942" s="18">
        <v>45665.0</v>
      </c>
      <c r="B1942" s="16" t="s">
        <v>761</v>
      </c>
      <c r="C1942" s="16" t="s">
        <v>2457</v>
      </c>
      <c r="D1942" s="16" t="s">
        <v>707</v>
      </c>
      <c r="E1942" s="16">
        <v>2012.0</v>
      </c>
      <c r="F1942" s="16">
        <v>51.6618</v>
      </c>
      <c r="G1942" s="16">
        <v>14.6302</v>
      </c>
      <c r="H1942" s="15"/>
      <c r="I1942" s="15"/>
    </row>
    <row r="1943">
      <c r="A1943" s="18">
        <v>45665.0</v>
      </c>
      <c r="B1943" s="16" t="s">
        <v>761</v>
      </c>
      <c r="C1943" s="16" t="s">
        <v>1147</v>
      </c>
      <c r="D1943" s="16" t="s">
        <v>707</v>
      </c>
      <c r="E1943" s="16">
        <v>2012.0</v>
      </c>
      <c r="F1943" s="16">
        <v>51.6618</v>
      </c>
      <c r="G1943" s="16">
        <v>14.6302</v>
      </c>
      <c r="H1943" s="15"/>
      <c r="I1943" s="15"/>
    </row>
    <row r="1944">
      <c r="A1944" s="18">
        <v>45665.0</v>
      </c>
      <c r="B1944" s="16" t="s">
        <v>761</v>
      </c>
      <c r="C1944" s="16" t="s">
        <v>1215</v>
      </c>
      <c r="D1944" s="16" t="s">
        <v>707</v>
      </c>
      <c r="E1944" s="16">
        <v>2012.0</v>
      </c>
      <c r="F1944" s="16">
        <v>51.6618</v>
      </c>
      <c r="G1944" s="16">
        <v>14.6302</v>
      </c>
      <c r="H1944" s="15"/>
      <c r="I1944" s="15"/>
    </row>
    <row r="1945">
      <c r="A1945" s="18">
        <v>45665.0</v>
      </c>
      <c r="B1945" s="16" t="s">
        <v>2768</v>
      </c>
      <c r="C1945" s="16" t="s">
        <v>1149</v>
      </c>
      <c r="D1945" s="16" t="s">
        <v>707</v>
      </c>
      <c r="E1945" s="16">
        <v>2012.0</v>
      </c>
      <c r="F1945" s="16">
        <v>51.4669</v>
      </c>
      <c r="G1945" s="16">
        <v>13.2817</v>
      </c>
      <c r="H1945" s="15"/>
      <c r="I1945" s="15"/>
    </row>
    <row r="1946">
      <c r="A1946" s="18">
        <v>45665.0</v>
      </c>
      <c r="B1946" s="16" t="s">
        <v>2769</v>
      </c>
      <c r="C1946" s="16" t="s">
        <v>2770</v>
      </c>
      <c r="D1946" s="16" t="s">
        <v>707</v>
      </c>
      <c r="E1946" s="16">
        <v>2012.0</v>
      </c>
      <c r="F1946" s="16">
        <v>50.8882</v>
      </c>
      <c r="G1946" s="16">
        <v>6.0851</v>
      </c>
      <c r="H1946" s="15"/>
      <c r="I1946" s="15"/>
    </row>
    <row r="1947">
      <c r="A1947" s="18">
        <v>45665.0</v>
      </c>
      <c r="B1947" s="16" t="s">
        <v>2771</v>
      </c>
      <c r="C1947" s="16" t="s">
        <v>1051</v>
      </c>
      <c r="D1947" s="16" t="s">
        <v>707</v>
      </c>
      <c r="E1947" s="16">
        <v>2012.0</v>
      </c>
      <c r="F1947" s="16">
        <v>51.627</v>
      </c>
      <c r="G1947" s="16">
        <v>9.9306</v>
      </c>
      <c r="H1947" s="15"/>
      <c r="I1947" s="15"/>
    </row>
    <row r="1948">
      <c r="A1948" s="18">
        <v>45665.0</v>
      </c>
      <c r="B1948" s="16" t="s">
        <v>2771</v>
      </c>
      <c r="C1948" s="16" t="s">
        <v>1037</v>
      </c>
      <c r="D1948" s="16" t="s">
        <v>707</v>
      </c>
      <c r="E1948" s="16">
        <v>2012.0</v>
      </c>
      <c r="F1948" s="16">
        <v>51.6411</v>
      </c>
      <c r="G1948" s="16">
        <v>9.9427</v>
      </c>
      <c r="H1948" s="15"/>
      <c r="I1948" s="15"/>
    </row>
    <row r="1949">
      <c r="A1949" s="18">
        <v>45665.0</v>
      </c>
      <c r="B1949" s="16" t="s">
        <v>2772</v>
      </c>
      <c r="C1949" s="16" t="s">
        <v>971</v>
      </c>
      <c r="D1949" s="16" t="s">
        <v>707</v>
      </c>
      <c r="E1949" s="16">
        <v>2012.0</v>
      </c>
      <c r="F1949" s="16">
        <v>50.1719</v>
      </c>
      <c r="G1949" s="16">
        <v>11.5647</v>
      </c>
      <c r="H1949" s="15"/>
      <c r="I1949" s="15"/>
    </row>
    <row r="1950">
      <c r="A1950" s="18">
        <v>45665.0</v>
      </c>
      <c r="B1950" s="16" t="s">
        <v>2773</v>
      </c>
      <c r="C1950" s="16" t="s">
        <v>978</v>
      </c>
      <c r="D1950" s="16" t="s">
        <v>707</v>
      </c>
      <c r="E1950" s="16">
        <v>2012.0</v>
      </c>
      <c r="F1950" s="16">
        <v>50.3356</v>
      </c>
      <c r="G1950" s="16">
        <v>11.7864</v>
      </c>
      <c r="H1950" s="15"/>
      <c r="I1950" s="15"/>
    </row>
    <row r="1951">
      <c r="A1951" s="18">
        <v>45665.0</v>
      </c>
      <c r="B1951" s="16" t="s">
        <v>2774</v>
      </c>
      <c r="C1951" s="16" t="s">
        <v>1745</v>
      </c>
      <c r="D1951" s="16" t="s">
        <v>707</v>
      </c>
      <c r="E1951" s="16">
        <v>2012.0</v>
      </c>
      <c r="F1951" s="16">
        <v>51.4768</v>
      </c>
      <c r="G1951" s="16">
        <v>12.6638</v>
      </c>
      <c r="H1951" s="15"/>
      <c r="I1951" s="15"/>
    </row>
    <row r="1952">
      <c r="A1952" s="18">
        <v>45665.0</v>
      </c>
      <c r="B1952" s="16" t="s">
        <v>2775</v>
      </c>
      <c r="C1952" s="16" t="s">
        <v>1007</v>
      </c>
      <c r="D1952" s="16" t="s">
        <v>707</v>
      </c>
      <c r="E1952" s="16">
        <v>2012.0</v>
      </c>
      <c r="F1952" s="16">
        <v>49.6399</v>
      </c>
      <c r="G1952" s="16">
        <v>10.4712</v>
      </c>
      <c r="H1952" s="15"/>
      <c r="I1952" s="15"/>
    </row>
    <row r="1953">
      <c r="A1953" s="18">
        <v>45665.0</v>
      </c>
      <c r="B1953" s="16" t="s">
        <v>2776</v>
      </c>
      <c r="C1953" s="16">
        <v>1.0</v>
      </c>
      <c r="D1953" s="16" t="s">
        <v>707</v>
      </c>
      <c r="E1953" s="16">
        <v>2012.0</v>
      </c>
      <c r="F1953" s="16">
        <v>48.7605</v>
      </c>
      <c r="G1953" s="16">
        <v>12.2076</v>
      </c>
      <c r="H1953" s="15"/>
      <c r="I1953" s="15"/>
    </row>
    <row r="1954">
      <c r="A1954" s="18">
        <v>45665.0</v>
      </c>
      <c r="B1954" s="16" t="s">
        <v>2777</v>
      </c>
      <c r="C1954" s="16">
        <v>3.0</v>
      </c>
      <c r="D1954" s="16" t="s">
        <v>707</v>
      </c>
      <c r="E1954" s="16">
        <v>2012.0</v>
      </c>
      <c r="F1954" s="16">
        <v>50.101</v>
      </c>
      <c r="G1954" s="16">
        <v>8.7998</v>
      </c>
      <c r="H1954" s="15"/>
      <c r="I1954" s="15"/>
    </row>
    <row r="1955">
      <c r="A1955" s="18">
        <v>45665.0</v>
      </c>
      <c r="B1955" s="16" t="s">
        <v>2778</v>
      </c>
      <c r="C1955" s="16" t="s">
        <v>948</v>
      </c>
      <c r="D1955" s="16" t="s">
        <v>707</v>
      </c>
      <c r="E1955" s="16">
        <v>2012.0</v>
      </c>
      <c r="F1955" s="16">
        <v>49.6741</v>
      </c>
      <c r="G1955" s="16">
        <v>10.3293</v>
      </c>
      <c r="H1955" s="15"/>
      <c r="I1955" s="15"/>
    </row>
    <row r="1956">
      <c r="A1956" s="18">
        <v>45665.0</v>
      </c>
      <c r="B1956" s="16" t="s">
        <v>2779</v>
      </c>
      <c r="C1956" s="16" t="s">
        <v>1055</v>
      </c>
      <c r="D1956" s="16" t="s">
        <v>707</v>
      </c>
      <c r="E1956" s="16">
        <v>2012.0</v>
      </c>
      <c r="F1956" s="16">
        <v>51.7184</v>
      </c>
      <c r="G1956" s="16">
        <v>10.2566</v>
      </c>
      <c r="H1956" s="15"/>
      <c r="I1956" s="15"/>
    </row>
    <row r="1957">
      <c r="A1957" s="18">
        <v>45665.0</v>
      </c>
      <c r="B1957" s="16" t="s">
        <v>2780</v>
      </c>
      <c r="C1957" s="16">
        <v>2.0</v>
      </c>
      <c r="D1957" s="16" t="s">
        <v>707</v>
      </c>
      <c r="E1957" s="16">
        <v>2012.0</v>
      </c>
      <c r="F1957" s="16">
        <v>53.4993</v>
      </c>
      <c r="G1957" s="16">
        <v>12.7741</v>
      </c>
      <c r="H1957" s="15"/>
      <c r="I1957" s="15"/>
    </row>
    <row r="1958">
      <c r="A1958" s="18">
        <v>45665.0</v>
      </c>
      <c r="B1958" s="16" t="s">
        <v>2781</v>
      </c>
      <c r="C1958" s="16">
        <v>1.0</v>
      </c>
      <c r="D1958" s="16" t="s">
        <v>707</v>
      </c>
      <c r="E1958" s="16">
        <v>2012.0</v>
      </c>
      <c r="F1958" s="16">
        <v>54.0332</v>
      </c>
      <c r="G1958" s="16">
        <v>13.1008</v>
      </c>
      <c r="H1958" s="15"/>
      <c r="I1958" s="15"/>
    </row>
    <row r="1959">
      <c r="A1959" s="18">
        <v>45665.0</v>
      </c>
      <c r="B1959" s="16" t="s">
        <v>2782</v>
      </c>
      <c r="C1959" s="16" t="s">
        <v>951</v>
      </c>
      <c r="D1959" s="16" t="s">
        <v>707</v>
      </c>
      <c r="E1959" s="16">
        <v>2012.0</v>
      </c>
      <c r="F1959" s="16">
        <v>52.4168</v>
      </c>
      <c r="G1959" s="16">
        <v>11.056</v>
      </c>
      <c r="H1959" s="15"/>
      <c r="I1959" s="15"/>
    </row>
    <row r="1960">
      <c r="A1960" s="18">
        <v>45665.0</v>
      </c>
      <c r="B1960" s="16" t="s">
        <v>2783</v>
      </c>
      <c r="C1960" s="16" t="s">
        <v>1215</v>
      </c>
      <c r="D1960" s="16" t="s">
        <v>707</v>
      </c>
      <c r="E1960" s="16">
        <v>2012.0</v>
      </c>
      <c r="F1960" s="16">
        <v>53.4163</v>
      </c>
      <c r="G1960" s="16">
        <v>11.7371</v>
      </c>
      <c r="H1960" s="15"/>
      <c r="I1960" s="15"/>
    </row>
    <row r="1961">
      <c r="A1961" s="18">
        <v>45665.0</v>
      </c>
      <c r="B1961" s="16" t="s">
        <v>2784</v>
      </c>
      <c r="C1961" s="16" t="s">
        <v>1267</v>
      </c>
      <c r="D1961" s="16" t="s">
        <v>707</v>
      </c>
      <c r="E1961" s="16">
        <v>2012.0</v>
      </c>
      <c r="F1961" s="16">
        <v>48.1656</v>
      </c>
      <c r="G1961" s="16">
        <v>9.7955</v>
      </c>
      <c r="H1961" s="15"/>
      <c r="I1961" s="15"/>
    </row>
    <row r="1962">
      <c r="A1962" s="18">
        <v>45665.0</v>
      </c>
      <c r="B1962" s="16" t="s">
        <v>2785</v>
      </c>
      <c r="C1962" s="16" t="s">
        <v>942</v>
      </c>
      <c r="D1962" s="16" t="s">
        <v>707</v>
      </c>
      <c r="E1962" s="16">
        <v>2012.0</v>
      </c>
      <c r="F1962" s="16">
        <v>51.6945</v>
      </c>
      <c r="G1962" s="16">
        <v>6.1427</v>
      </c>
      <c r="H1962" s="15"/>
      <c r="I1962" s="15"/>
    </row>
    <row r="1963">
      <c r="A1963" s="18">
        <v>45665.0</v>
      </c>
      <c r="B1963" s="16" t="s">
        <v>2786</v>
      </c>
      <c r="C1963" s="16" t="s">
        <v>1059</v>
      </c>
      <c r="D1963" s="16" t="s">
        <v>707</v>
      </c>
      <c r="E1963" s="16">
        <v>2012.0</v>
      </c>
      <c r="F1963" s="16">
        <v>49.5642</v>
      </c>
      <c r="G1963" s="16">
        <v>12.2465</v>
      </c>
      <c r="H1963" s="15"/>
      <c r="I1963" s="15"/>
    </row>
    <row r="1964">
      <c r="A1964" s="18">
        <v>45665.0</v>
      </c>
      <c r="B1964" s="16" t="s">
        <v>2787</v>
      </c>
      <c r="C1964" s="16" t="s">
        <v>1172</v>
      </c>
      <c r="D1964" s="16" t="s">
        <v>707</v>
      </c>
      <c r="E1964" s="16">
        <v>2012.0</v>
      </c>
      <c r="F1964" s="16">
        <v>50.8792</v>
      </c>
      <c r="G1964" s="16">
        <v>12.2241</v>
      </c>
      <c r="H1964" s="15"/>
      <c r="I1964" s="15"/>
    </row>
    <row r="1965">
      <c r="A1965" s="18">
        <v>45665.0</v>
      </c>
      <c r="B1965" s="16" t="s">
        <v>2788</v>
      </c>
      <c r="C1965" s="16" t="s">
        <v>1055</v>
      </c>
      <c r="D1965" s="16" t="s">
        <v>707</v>
      </c>
      <c r="E1965" s="16">
        <v>2012.0</v>
      </c>
      <c r="F1965" s="16">
        <v>52.435</v>
      </c>
      <c r="G1965" s="16">
        <v>8.6456</v>
      </c>
      <c r="H1965" s="15"/>
      <c r="I1965" s="15"/>
    </row>
    <row r="1966">
      <c r="A1966" s="18">
        <v>45665.0</v>
      </c>
      <c r="B1966" s="16" t="s">
        <v>2789</v>
      </c>
      <c r="C1966" s="16">
        <v>3.0</v>
      </c>
      <c r="D1966" s="16" t="s">
        <v>707</v>
      </c>
      <c r="E1966" s="16">
        <v>2012.0</v>
      </c>
      <c r="F1966" s="16">
        <v>50.4493</v>
      </c>
      <c r="G1966" s="16">
        <v>9.366</v>
      </c>
      <c r="H1966" s="15"/>
      <c r="I1966" s="15"/>
    </row>
    <row r="1967">
      <c r="A1967" s="18">
        <v>45665.0</v>
      </c>
      <c r="B1967" s="16" t="s">
        <v>2790</v>
      </c>
      <c r="C1967" s="16" t="s">
        <v>969</v>
      </c>
      <c r="D1967" s="16" t="s">
        <v>707</v>
      </c>
      <c r="E1967" s="16">
        <v>2012.0</v>
      </c>
      <c r="F1967" s="16">
        <v>49.2127</v>
      </c>
      <c r="G1967" s="16">
        <v>8.6916</v>
      </c>
      <c r="H1967" s="15"/>
      <c r="I1967" s="15"/>
    </row>
    <row r="1968">
      <c r="A1968" s="18">
        <v>45665.0</v>
      </c>
      <c r="B1968" s="16" t="s">
        <v>2791</v>
      </c>
      <c r="C1968" s="16">
        <v>1.0</v>
      </c>
      <c r="D1968" s="16" t="s">
        <v>707</v>
      </c>
      <c r="E1968" s="16">
        <v>2012.0</v>
      </c>
      <c r="F1968" s="16">
        <v>53.4411</v>
      </c>
      <c r="G1968" s="16">
        <v>8.0812</v>
      </c>
      <c r="H1968" s="15"/>
      <c r="I1968" s="15"/>
    </row>
    <row r="1969">
      <c r="A1969" s="18">
        <v>45665.0</v>
      </c>
      <c r="B1969" s="16" t="s">
        <v>2792</v>
      </c>
      <c r="C1969" s="16" t="s">
        <v>1101</v>
      </c>
      <c r="D1969" s="16" t="s">
        <v>707</v>
      </c>
      <c r="E1969" s="16">
        <v>2012.0</v>
      </c>
      <c r="F1969" s="16">
        <v>51.5603</v>
      </c>
      <c r="G1969" s="16">
        <v>8.5412</v>
      </c>
      <c r="H1969" s="15"/>
      <c r="I1969" s="15"/>
    </row>
    <row r="1970">
      <c r="A1970" s="18">
        <v>45665.0</v>
      </c>
      <c r="B1970" s="16" t="s">
        <v>2793</v>
      </c>
      <c r="C1970" s="16" t="s">
        <v>1055</v>
      </c>
      <c r="D1970" s="16" t="s">
        <v>707</v>
      </c>
      <c r="E1970" s="16">
        <v>2012.0</v>
      </c>
      <c r="F1970" s="16">
        <v>48.7349</v>
      </c>
      <c r="G1970" s="16">
        <v>9.4139</v>
      </c>
      <c r="H1970" s="15"/>
      <c r="I1970" s="15"/>
    </row>
    <row r="1971">
      <c r="A1971" s="18">
        <v>45665.0</v>
      </c>
      <c r="B1971" s="16" t="s">
        <v>2794</v>
      </c>
      <c r="C1971" s="16" t="s">
        <v>969</v>
      </c>
      <c r="D1971" s="16" t="s">
        <v>707</v>
      </c>
      <c r="E1971" s="16">
        <v>2012.0</v>
      </c>
      <c r="F1971" s="16">
        <v>52.267</v>
      </c>
      <c r="G1971" s="16">
        <v>12.5985</v>
      </c>
      <c r="H1971" s="15"/>
      <c r="I1971" s="15"/>
    </row>
    <row r="1972">
      <c r="A1972" s="18">
        <v>45665.0</v>
      </c>
      <c r="B1972" s="16" t="s">
        <v>2795</v>
      </c>
      <c r="C1972" s="16">
        <v>1.0</v>
      </c>
      <c r="D1972" s="16" t="s">
        <v>707</v>
      </c>
      <c r="E1972" s="16">
        <v>2012.0</v>
      </c>
      <c r="F1972" s="16">
        <v>51.6894</v>
      </c>
      <c r="G1972" s="16">
        <v>8.741</v>
      </c>
      <c r="H1972" s="15"/>
      <c r="I1972" s="15"/>
    </row>
    <row r="1973">
      <c r="A1973" s="18">
        <v>45665.0</v>
      </c>
      <c r="B1973" s="16" t="s">
        <v>2796</v>
      </c>
      <c r="C1973" s="16" t="s">
        <v>1101</v>
      </c>
      <c r="D1973" s="16" t="s">
        <v>707</v>
      </c>
      <c r="E1973" s="16">
        <v>2012.0</v>
      </c>
      <c r="F1973" s="16">
        <v>48.1109</v>
      </c>
      <c r="G1973" s="16">
        <v>11.9814</v>
      </c>
      <c r="H1973" s="15"/>
      <c r="I1973" s="15"/>
    </row>
    <row r="1974">
      <c r="A1974" s="18">
        <v>45665.0</v>
      </c>
      <c r="B1974" s="16" t="s">
        <v>2797</v>
      </c>
      <c r="C1974" s="16" t="s">
        <v>1203</v>
      </c>
      <c r="D1974" s="16" t="s">
        <v>707</v>
      </c>
      <c r="E1974" s="16">
        <v>2012.0</v>
      </c>
      <c r="F1974" s="16">
        <v>51.3611</v>
      </c>
      <c r="G1974" s="16">
        <v>11.313</v>
      </c>
      <c r="H1974" s="15"/>
      <c r="I1974" s="15"/>
    </row>
    <row r="1975">
      <c r="A1975" s="18">
        <v>45665.0</v>
      </c>
      <c r="B1975" s="16" t="s">
        <v>2798</v>
      </c>
      <c r="C1975" s="16" t="s">
        <v>1720</v>
      </c>
      <c r="D1975" s="16" t="s">
        <v>707</v>
      </c>
      <c r="E1975" s="16">
        <v>2012.0</v>
      </c>
      <c r="F1975" s="16">
        <v>54.8137</v>
      </c>
      <c r="G1975" s="16">
        <v>8.8464</v>
      </c>
      <c r="H1975" s="15"/>
      <c r="I1975" s="15"/>
    </row>
    <row r="1976">
      <c r="A1976" s="18">
        <v>45665.0</v>
      </c>
      <c r="B1976" s="16" t="s">
        <v>2799</v>
      </c>
      <c r="C1976" s="16" t="s">
        <v>961</v>
      </c>
      <c r="D1976" s="16" t="s">
        <v>707</v>
      </c>
      <c r="E1976" s="16">
        <v>2012.0</v>
      </c>
      <c r="F1976" s="16">
        <v>52.149</v>
      </c>
      <c r="G1976" s="16">
        <v>11.1418</v>
      </c>
      <c r="H1976" s="15"/>
      <c r="I1976" s="15"/>
    </row>
    <row r="1977">
      <c r="A1977" s="18">
        <v>45665.0</v>
      </c>
      <c r="B1977" s="16" t="s">
        <v>2800</v>
      </c>
      <c r="C1977" s="16" t="s">
        <v>946</v>
      </c>
      <c r="D1977" s="16" t="s">
        <v>707</v>
      </c>
      <c r="E1977" s="16">
        <v>2012.0</v>
      </c>
      <c r="F1977" s="16">
        <v>48.7728</v>
      </c>
      <c r="G1977" s="16">
        <v>12.1893</v>
      </c>
      <c r="H1977" s="15"/>
      <c r="I1977" s="15"/>
    </row>
    <row r="1978">
      <c r="A1978" s="18">
        <v>45665.0</v>
      </c>
      <c r="B1978" s="16" t="s">
        <v>2801</v>
      </c>
      <c r="C1978" s="16" t="s">
        <v>942</v>
      </c>
      <c r="D1978" s="16" t="s">
        <v>707</v>
      </c>
      <c r="E1978" s="16">
        <v>2012.0</v>
      </c>
      <c r="F1978" s="16">
        <v>51.0907</v>
      </c>
      <c r="G1978" s="16">
        <v>8.6301</v>
      </c>
      <c r="H1978" s="15"/>
      <c r="I1978" s="15"/>
    </row>
    <row r="1979">
      <c r="A1979" s="18">
        <v>45665.0</v>
      </c>
      <c r="B1979" s="16" t="s">
        <v>2802</v>
      </c>
      <c r="C1979" s="16" t="s">
        <v>942</v>
      </c>
      <c r="D1979" s="16" t="s">
        <v>707</v>
      </c>
      <c r="E1979" s="16">
        <v>2012.0</v>
      </c>
      <c r="F1979" s="16">
        <v>48.7217</v>
      </c>
      <c r="G1979" s="16">
        <v>13.2279</v>
      </c>
      <c r="H1979" s="15"/>
      <c r="I1979" s="15"/>
    </row>
    <row r="1980">
      <c r="A1980" s="18">
        <v>45665.0</v>
      </c>
      <c r="B1980" s="16" t="s">
        <v>2803</v>
      </c>
      <c r="C1980" s="16" t="s">
        <v>1039</v>
      </c>
      <c r="D1980" s="16" t="s">
        <v>707</v>
      </c>
      <c r="E1980" s="16">
        <v>2012.0</v>
      </c>
      <c r="F1980" s="16">
        <v>53.2004</v>
      </c>
      <c r="G1980" s="16">
        <v>8.0286</v>
      </c>
      <c r="H1980" s="15"/>
      <c r="I1980" s="15"/>
    </row>
    <row r="1981">
      <c r="A1981" s="18">
        <v>45665.0</v>
      </c>
      <c r="B1981" s="16" t="s">
        <v>2804</v>
      </c>
      <c r="C1981" s="16" t="s">
        <v>951</v>
      </c>
      <c r="D1981" s="16" t="s">
        <v>707</v>
      </c>
      <c r="E1981" s="16">
        <v>2012.0</v>
      </c>
      <c r="F1981" s="16">
        <v>49.0572</v>
      </c>
      <c r="G1981" s="16">
        <v>10.9572</v>
      </c>
      <c r="H1981" s="15"/>
      <c r="I1981" s="15"/>
    </row>
    <row r="1982">
      <c r="A1982" s="18">
        <v>45665.0</v>
      </c>
      <c r="B1982" s="16" t="s">
        <v>2805</v>
      </c>
      <c r="C1982" s="16">
        <v>1.0</v>
      </c>
      <c r="D1982" s="16" t="s">
        <v>707</v>
      </c>
      <c r="E1982" s="16">
        <v>2012.0</v>
      </c>
      <c r="F1982" s="16">
        <v>51.8383</v>
      </c>
      <c r="G1982" s="16">
        <v>6.2679</v>
      </c>
      <c r="H1982" s="15"/>
      <c r="I1982" s="15"/>
    </row>
    <row r="1983">
      <c r="A1983" s="18">
        <v>45665.0</v>
      </c>
      <c r="B1983" s="16" t="s">
        <v>2806</v>
      </c>
      <c r="C1983" s="16" t="s">
        <v>969</v>
      </c>
      <c r="D1983" s="16" t="s">
        <v>707</v>
      </c>
      <c r="E1983" s="16">
        <v>2012.0</v>
      </c>
      <c r="F1983" s="16">
        <v>51.0478</v>
      </c>
      <c r="G1983" s="16">
        <v>13.1932</v>
      </c>
      <c r="H1983" s="15"/>
      <c r="I1983" s="15"/>
    </row>
    <row r="1984">
      <c r="A1984" s="18">
        <v>45665.0</v>
      </c>
      <c r="B1984" s="16" t="s">
        <v>2807</v>
      </c>
      <c r="C1984" s="16" t="s">
        <v>1055</v>
      </c>
      <c r="D1984" s="16" t="s">
        <v>707</v>
      </c>
      <c r="E1984" s="16">
        <v>2012.0</v>
      </c>
      <c r="F1984" s="16">
        <v>48.4209</v>
      </c>
      <c r="G1984" s="16">
        <v>11.9028</v>
      </c>
      <c r="H1984" s="15"/>
      <c r="I1984" s="15"/>
    </row>
    <row r="1985">
      <c r="A1985" s="18">
        <v>45665.0</v>
      </c>
      <c r="B1985" s="16" t="s">
        <v>2808</v>
      </c>
      <c r="C1985" s="16" t="s">
        <v>948</v>
      </c>
      <c r="D1985" s="16" t="s">
        <v>707</v>
      </c>
      <c r="E1985" s="16">
        <v>2012.0</v>
      </c>
      <c r="F1985" s="16">
        <v>48.5877</v>
      </c>
      <c r="G1985" s="16">
        <v>11.5703</v>
      </c>
      <c r="H1985" s="15"/>
      <c r="I1985" s="15"/>
    </row>
    <row r="1986">
      <c r="A1986" s="18">
        <v>45665.0</v>
      </c>
      <c r="B1986" s="16" t="s">
        <v>2809</v>
      </c>
      <c r="C1986" s="16" t="s">
        <v>1059</v>
      </c>
      <c r="D1986" s="16" t="s">
        <v>707</v>
      </c>
      <c r="E1986" s="16">
        <v>2012.0</v>
      </c>
      <c r="F1986" s="16">
        <v>48.7788</v>
      </c>
      <c r="G1986" s="16">
        <v>12.8075</v>
      </c>
      <c r="H1986" s="15"/>
      <c r="I1986" s="15"/>
    </row>
    <row r="1987">
      <c r="A1987" s="18">
        <v>45665.0</v>
      </c>
      <c r="B1987" s="16" t="s">
        <v>2810</v>
      </c>
      <c r="C1987" s="16">
        <v>1.0</v>
      </c>
      <c r="D1987" s="16" t="s">
        <v>707</v>
      </c>
      <c r="E1987" s="16">
        <v>2012.0</v>
      </c>
      <c r="F1987" s="16">
        <v>48.7656</v>
      </c>
      <c r="G1987" s="16">
        <v>12.8942</v>
      </c>
      <c r="H1987" s="15"/>
      <c r="I1987" s="15"/>
    </row>
    <row r="1988">
      <c r="A1988" s="18">
        <v>45665.0</v>
      </c>
      <c r="B1988" s="16" t="s">
        <v>2811</v>
      </c>
      <c r="C1988" s="16" t="s">
        <v>946</v>
      </c>
      <c r="D1988" s="16" t="s">
        <v>707</v>
      </c>
      <c r="E1988" s="16">
        <v>2012.0</v>
      </c>
      <c r="F1988" s="16">
        <v>48.7645</v>
      </c>
      <c r="G1988" s="16">
        <v>12.8957</v>
      </c>
      <c r="H1988" s="15"/>
      <c r="I1988" s="15"/>
    </row>
    <row r="1989">
      <c r="A1989" s="18">
        <v>45665.0</v>
      </c>
      <c r="B1989" s="16" t="s">
        <v>2812</v>
      </c>
      <c r="C1989" s="16" t="s">
        <v>959</v>
      </c>
      <c r="D1989" s="16" t="s">
        <v>707</v>
      </c>
      <c r="E1989" s="16">
        <v>2012.0</v>
      </c>
      <c r="F1989" s="16">
        <v>52.3805</v>
      </c>
      <c r="G1989" s="16">
        <v>9.0126</v>
      </c>
      <c r="H1989" s="15"/>
      <c r="I1989" s="15"/>
    </row>
    <row r="1990">
      <c r="A1990" s="18">
        <v>45665.0</v>
      </c>
      <c r="B1990" s="16" t="s">
        <v>2813</v>
      </c>
      <c r="C1990" s="16" t="s">
        <v>959</v>
      </c>
      <c r="D1990" s="16" t="s">
        <v>707</v>
      </c>
      <c r="E1990" s="16">
        <v>2012.0</v>
      </c>
      <c r="F1990" s="16">
        <v>52.3834</v>
      </c>
      <c r="G1990" s="16">
        <v>9.0146</v>
      </c>
      <c r="H1990" s="15"/>
      <c r="I1990" s="15"/>
    </row>
    <row r="1991">
      <c r="A1991" s="18">
        <v>45665.0</v>
      </c>
      <c r="B1991" s="16" t="s">
        <v>2814</v>
      </c>
      <c r="C1991" s="16" t="s">
        <v>1147</v>
      </c>
      <c r="D1991" s="16" t="s">
        <v>707</v>
      </c>
      <c r="E1991" s="16">
        <v>2012.0</v>
      </c>
      <c r="F1991" s="16">
        <v>52.3691</v>
      </c>
      <c r="G1991" s="16">
        <v>9.4773</v>
      </c>
      <c r="H1991" s="15"/>
      <c r="I1991" s="15"/>
    </row>
    <row r="1992">
      <c r="A1992" s="18">
        <v>45665.0</v>
      </c>
      <c r="B1992" s="16" t="s">
        <v>2815</v>
      </c>
      <c r="C1992" s="16" t="s">
        <v>969</v>
      </c>
      <c r="D1992" s="16" t="s">
        <v>707</v>
      </c>
      <c r="E1992" s="16">
        <v>2012.0</v>
      </c>
      <c r="F1992" s="16">
        <v>49.4527</v>
      </c>
      <c r="G1992" s="16">
        <v>11.0215</v>
      </c>
      <c r="H1992" s="15"/>
      <c r="I1992" s="15"/>
    </row>
    <row r="1993">
      <c r="A1993" s="18">
        <v>45665.0</v>
      </c>
      <c r="B1993" s="16" t="s">
        <v>2816</v>
      </c>
      <c r="C1993" s="16">
        <v>1.0</v>
      </c>
      <c r="D1993" s="16" t="s">
        <v>707</v>
      </c>
      <c r="E1993" s="16">
        <v>2012.0</v>
      </c>
      <c r="F1993" s="16">
        <v>51.9538</v>
      </c>
      <c r="G1993" s="16">
        <v>11.7276</v>
      </c>
      <c r="H1993" s="15"/>
      <c r="I1993" s="15"/>
    </row>
    <row r="1994">
      <c r="A1994" s="18">
        <v>45665.0</v>
      </c>
      <c r="B1994" s="16" t="s">
        <v>2817</v>
      </c>
      <c r="C1994" s="16" t="s">
        <v>1267</v>
      </c>
      <c r="D1994" s="16" t="s">
        <v>707</v>
      </c>
      <c r="E1994" s="16">
        <v>2012.0</v>
      </c>
      <c r="F1994" s="16">
        <v>51.4064</v>
      </c>
      <c r="G1994" s="16">
        <v>13.5857</v>
      </c>
      <c r="H1994" s="15"/>
      <c r="I1994" s="15"/>
    </row>
    <row r="1995">
      <c r="A1995" s="18">
        <v>45665.0</v>
      </c>
      <c r="B1995" s="16" t="s">
        <v>2818</v>
      </c>
      <c r="C1995" s="16" t="s">
        <v>1059</v>
      </c>
      <c r="D1995" s="16" t="s">
        <v>707</v>
      </c>
      <c r="E1995" s="16">
        <v>2012.0</v>
      </c>
      <c r="F1995" s="16">
        <v>50.003</v>
      </c>
      <c r="G1995" s="16">
        <v>12.1549</v>
      </c>
      <c r="H1995" s="15"/>
      <c r="I1995" s="15"/>
    </row>
    <row r="1996">
      <c r="A1996" s="18">
        <v>45665.0</v>
      </c>
      <c r="B1996" s="16" t="s">
        <v>2819</v>
      </c>
      <c r="C1996" s="16" t="s">
        <v>946</v>
      </c>
      <c r="D1996" s="16" t="s">
        <v>707</v>
      </c>
      <c r="E1996" s="16">
        <v>2012.0</v>
      </c>
      <c r="F1996" s="16">
        <v>48.7993</v>
      </c>
      <c r="G1996" s="16">
        <v>9.5145</v>
      </c>
      <c r="H1996" s="15"/>
      <c r="I1996" s="15"/>
    </row>
    <row r="1997">
      <c r="A1997" s="18">
        <v>45665.0</v>
      </c>
      <c r="B1997" s="16" t="s">
        <v>2820</v>
      </c>
      <c r="C1997" s="16" t="s">
        <v>2821</v>
      </c>
      <c r="D1997" s="16" t="s">
        <v>707</v>
      </c>
      <c r="E1997" s="16">
        <v>2012.0</v>
      </c>
      <c r="F1997" s="16">
        <v>53.2882</v>
      </c>
      <c r="G1997" s="16">
        <v>8.8032</v>
      </c>
      <c r="H1997" s="15"/>
      <c r="I1997" s="15"/>
    </row>
    <row r="1998">
      <c r="A1998" s="18">
        <v>45665.0</v>
      </c>
      <c r="B1998" s="16" t="s">
        <v>2822</v>
      </c>
      <c r="C1998" s="16" t="s">
        <v>969</v>
      </c>
      <c r="D1998" s="16" t="s">
        <v>707</v>
      </c>
      <c r="E1998" s="16">
        <v>2012.0</v>
      </c>
      <c r="F1998" s="16">
        <v>50.5515</v>
      </c>
      <c r="G1998" s="16">
        <v>9.3563</v>
      </c>
      <c r="H1998" s="15"/>
      <c r="I1998" s="15"/>
    </row>
    <row r="1999">
      <c r="A1999" s="18">
        <v>45665.0</v>
      </c>
      <c r="B1999" s="16" t="s">
        <v>2823</v>
      </c>
      <c r="C1999" s="16" t="s">
        <v>1090</v>
      </c>
      <c r="D1999" s="16" t="s">
        <v>707</v>
      </c>
      <c r="E1999" s="16">
        <v>2012.0</v>
      </c>
      <c r="F1999" s="16">
        <v>51.6414</v>
      </c>
      <c r="G1999" s="16">
        <v>10.3212</v>
      </c>
      <c r="H1999" s="15"/>
      <c r="I1999" s="15"/>
    </row>
    <row r="2000">
      <c r="A2000" s="18">
        <v>45665.0</v>
      </c>
      <c r="B2000" s="16" t="s">
        <v>2824</v>
      </c>
      <c r="C2000" s="16" t="s">
        <v>961</v>
      </c>
      <c r="D2000" s="16" t="s">
        <v>707</v>
      </c>
      <c r="E2000" s="16">
        <v>2012.0</v>
      </c>
      <c r="F2000" s="16">
        <v>49.171</v>
      </c>
      <c r="G2000" s="16">
        <v>11.7949</v>
      </c>
      <c r="H2000" s="15"/>
      <c r="I2000" s="15"/>
    </row>
    <row r="2001">
      <c r="A2001" s="18">
        <v>45665.0</v>
      </c>
      <c r="B2001" s="16" t="s">
        <v>2825</v>
      </c>
      <c r="C2001" s="16">
        <v>3.0</v>
      </c>
      <c r="D2001" s="16" t="s">
        <v>707</v>
      </c>
      <c r="E2001" s="16">
        <v>2012.0</v>
      </c>
      <c r="F2001" s="16">
        <v>54.8483</v>
      </c>
      <c r="G2001" s="16">
        <v>8.8732</v>
      </c>
      <c r="H2001" s="15"/>
      <c r="I2001" s="15"/>
    </row>
    <row r="2002">
      <c r="A2002" s="18">
        <v>45665.0</v>
      </c>
      <c r="B2002" s="16" t="s">
        <v>2826</v>
      </c>
      <c r="C2002" s="16">
        <v>1.0</v>
      </c>
      <c r="D2002" s="16" t="s">
        <v>707</v>
      </c>
      <c r="E2002" s="16">
        <v>2012.0</v>
      </c>
      <c r="F2002" s="16">
        <v>52.545</v>
      </c>
      <c r="G2002" s="16">
        <v>7.2532</v>
      </c>
      <c r="H2002" s="15"/>
      <c r="I2002" s="15"/>
    </row>
    <row r="2003">
      <c r="A2003" s="18">
        <v>45665.0</v>
      </c>
      <c r="B2003" s="16" t="s">
        <v>2827</v>
      </c>
      <c r="C2003" s="16" t="s">
        <v>1101</v>
      </c>
      <c r="D2003" s="16" t="s">
        <v>707</v>
      </c>
      <c r="E2003" s="16">
        <v>2012.0</v>
      </c>
      <c r="F2003" s="16">
        <v>51.3841</v>
      </c>
      <c r="G2003" s="16">
        <v>12.7801</v>
      </c>
      <c r="H2003" s="15"/>
      <c r="I2003" s="15"/>
    </row>
    <row r="2004">
      <c r="A2004" s="18">
        <v>45665.0</v>
      </c>
      <c r="B2004" s="16" t="s">
        <v>2828</v>
      </c>
      <c r="C2004" s="16" t="s">
        <v>1046</v>
      </c>
      <c r="D2004" s="16" t="s">
        <v>707</v>
      </c>
      <c r="E2004" s="16">
        <v>2012.0</v>
      </c>
      <c r="F2004" s="16">
        <v>50.9792</v>
      </c>
      <c r="G2004" s="16">
        <v>12.4973</v>
      </c>
      <c r="H2004" s="15"/>
      <c r="I2004" s="15"/>
    </row>
    <row r="2005">
      <c r="A2005" s="18">
        <v>45665.0</v>
      </c>
      <c r="B2005" s="16" t="s">
        <v>2829</v>
      </c>
      <c r="C2005" s="16" t="s">
        <v>1055</v>
      </c>
      <c r="D2005" s="16" t="s">
        <v>707</v>
      </c>
      <c r="E2005" s="16">
        <v>2012.0</v>
      </c>
      <c r="F2005" s="16">
        <v>48.9011</v>
      </c>
      <c r="G2005" s="16">
        <v>12.3211</v>
      </c>
      <c r="H2005" s="15"/>
      <c r="I2005" s="15"/>
    </row>
    <row r="2006">
      <c r="A2006" s="18">
        <v>45665.0</v>
      </c>
      <c r="B2006" s="16" t="s">
        <v>2830</v>
      </c>
      <c r="C2006" s="16" t="s">
        <v>1007</v>
      </c>
      <c r="D2006" s="16" t="s">
        <v>707</v>
      </c>
      <c r="E2006" s="16">
        <v>2012.0</v>
      </c>
      <c r="F2006" s="16">
        <v>49.4679</v>
      </c>
      <c r="G2006" s="16">
        <v>12.4531</v>
      </c>
      <c r="H2006" s="15"/>
      <c r="I2006" s="15"/>
    </row>
    <row r="2007">
      <c r="A2007" s="18">
        <v>45665.0</v>
      </c>
      <c r="B2007" s="16" t="s">
        <v>2831</v>
      </c>
      <c r="C2007" s="16" t="s">
        <v>959</v>
      </c>
      <c r="D2007" s="16" t="s">
        <v>707</v>
      </c>
      <c r="E2007" s="16">
        <v>2012.0</v>
      </c>
      <c r="F2007" s="16">
        <v>51.9309</v>
      </c>
      <c r="G2007" s="16">
        <v>9.8761</v>
      </c>
      <c r="H2007" s="15"/>
      <c r="I2007" s="15"/>
    </row>
    <row r="2008">
      <c r="A2008" s="18">
        <v>45665.0</v>
      </c>
      <c r="B2008" s="16" t="s">
        <v>2832</v>
      </c>
      <c r="C2008" s="16" t="s">
        <v>948</v>
      </c>
      <c r="D2008" s="16" t="s">
        <v>707</v>
      </c>
      <c r="E2008" s="16">
        <v>2012.0</v>
      </c>
      <c r="F2008" s="16">
        <v>48.2179</v>
      </c>
      <c r="G2008" s="16">
        <v>10.3774</v>
      </c>
      <c r="H2008" s="15"/>
      <c r="I2008" s="15"/>
    </row>
    <row r="2009">
      <c r="A2009" s="18">
        <v>45665.0</v>
      </c>
      <c r="B2009" s="16" t="s">
        <v>2833</v>
      </c>
      <c r="C2009" s="16" t="s">
        <v>951</v>
      </c>
      <c r="D2009" s="16" t="s">
        <v>707</v>
      </c>
      <c r="E2009" s="16">
        <v>2012.0</v>
      </c>
      <c r="F2009" s="16">
        <v>53.0342</v>
      </c>
      <c r="G2009" s="16">
        <v>13.3812</v>
      </c>
      <c r="H2009" s="15"/>
      <c r="I2009" s="15"/>
    </row>
    <row r="2010">
      <c r="A2010" s="18">
        <v>45665.0</v>
      </c>
      <c r="B2010" s="16" t="s">
        <v>2834</v>
      </c>
      <c r="C2010" s="16" t="s">
        <v>1034</v>
      </c>
      <c r="D2010" s="16" t="s">
        <v>707</v>
      </c>
      <c r="E2010" s="16">
        <v>2012.0</v>
      </c>
      <c r="F2010" s="16">
        <v>52.1297</v>
      </c>
      <c r="G2010" s="16">
        <v>10.9691</v>
      </c>
      <c r="H2010" s="15"/>
      <c r="I2010" s="15"/>
    </row>
    <row r="2011">
      <c r="A2011" s="18">
        <v>45665.0</v>
      </c>
      <c r="B2011" s="16" t="s">
        <v>2835</v>
      </c>
      <c r="C2011" s="16" t="s">
        <v>946</v>
      </c>
      <c r="D2011" s="16" t="s">
        <v>707</v>
      </c>
      <c r="E2011" s="16">
        <v>2012.0</v>
      </c>
      <c r="F2011" s="16">
        <v>48.7479</v>
      </c>
      <c r="G2011" s="16">
        <v>13.0939</v>
      </c>
      <c r="H2011" s="15"/>
      <c r="I2011" s="15"/>
    </row>
    <row r="2012">
      <c r="A2012" s="18">
        <v>45665.0</v>
      </c>
      <c r="B2012" s="16" t="s">
        <v>2836</v>
      </c>
      <c r="C2012" s="16" t="s">
        <v>2837</v>
      </c>
      <c r="D2012" s="16" t="s">
        <v>707</v>
      </c>
      <c r="E2012" s="16">
        <v>2012.0</v>
      </c>
      <c r="F2012" s="16">
        <v>51.3702</v>
      </c>
      <c r="G2012" s="16">
        <v>14.9564</v>
      </c>
      <c r="H2012" s="15"/>
      <c r="I2012" s="15"/>
    </row>
    <row r="2013">
      <c r="A2013" s="18">
        <v>45665.0</v>
      </c>
      <c r="B2013" s="16" t="s">
        <v>2838</v>
      </c>
      <c r="C2013" s="16" t="s">
        <v>946</v>
      </c>
      <c r="D2013" s="16" t="s">
        <v>707</v>
      </c>
      <c r="E2013" s="16">
        <v>2012.0</v>
      </c>
      <c r="F2013" s="16">
        <v>49.3446</v>
      </c>
      <c r="G2013" s="16">
        <v>6.7674</v>
      </c>
      <c r="H2013" s="15"/>
      <c r="I2013" s="15"/>
    </row>
    <row r="2014">
      <c r="A2014" s="18">
        <v>45665.0</v>
      </c>
      <c r="B2014" s="16" t="s">
        <v>2839</v>
      </c>
      <c r="C2014" s="16" t="s">
        <v>1215</v>
      </c>
      <c r="D2014" s="16" t="s">
        <v>707</v>
      </c>
      <c r="E2014" s="16">
        <v>2012.0</v>
      </c>
      <c r="F2014" s="16">
        <v>50.0263</v>
      </c>
      <c r="G2014" s="16">
        <v>10.178</v>
      </c>
      <c r="H2014" s="15"/>
      <c r="I2014" s="15"/>
    </row>
    <row r="2015">
      <c r="A2015" s="18">
        <v>45665.0</v>
      </c>
      <c r="B2015" s="16" t="s">
        <v>2840</v>
      </c>
      <c r="C2015" s="16" t="s">
        <v>1085</v>
      </c>
      <c r="D2015" s="16" t="s">
        <v>707</v>
      </c>
      <c r="E2015" s="16">
        <v>2012.0</v>
      </c>
      <c r="F2015" s="16">
        <v>53.5076</v>
      </c>
      <c r="G2015" s="16">
        <v>11.0942</v>
      </c>
      <c r="H2015" s="15"/>
      <c r="I2015" s="15"/>
    </row>
    <row r="2016">
      <c r="A2016" s="18">
        <v>45665.0</v>
      </c>
      <c r="B2016" s="16" t="s">
        <v>2841</v>
      </c>
      <c r="C2016" s="16" t="s">
        <v>2184</v>
      </c>
      <c r="D2016" s="16" t="s">
        <v>707</v>
      </c>
      <c r="E2016" s="16">
        <v>2012.0</v>
      </c>
      <c r="F2016" s="16">
        <v>48.7979</v>
      </c>
      <c r="G2016" s="16">
        <v>12.8449</v>
      </c>
      <c r="H2016" s="15"/>
      <c r="I2016" s="15"/>
    </row>
    <row r="2017">
      <c r="A2017" s="18">
        <v>45665.0</v>
      </c>
      <c r="B2017" s="16" t="s">
        <v>2842</v>
      </c>
      <c r="C2017" s="16" t="s">
        <v>1598</v>
      </c>
      <c r="D2017" s="16" t="s">
        <v>707</v>
      </c>
      <c r="E2017" s="16">
        <v>2012.0</v>
      </c>
      <c r="F2017" s="16">
        <v>52.5085</v>
      </c>
      <c r="G2017" s="16">
        <v>10.5988</v>
      </c>
      <c r="H2017" s="15"/>
      <c r="I2017" s="15"/>
    </row>
    <row r="2018">
      <c r="A2018" s="18">
        <v>45665.0</v>
      </c>
      <c r="B2018" s="16" t="s">
        <v>2843</v>
      </c>
      <c r="C2018" s="16" t="s">
        <v>948</v>
      </c>
      <c r="D2018" s="16" t="s">
        <v>707</v>
      </c>
      <c r="E2018" s="16">
        <v>2012.0</v>
      </c>
      <c r="F2018" s="16">
        <v>52.5235</v>
      </c>
      <c r="G2018" s="16">
        <v>14.3443</v>
      </c>
      <c r="H2018" s="15"/>
      <c r="I2018" s="15"/>
    </row>
    <row r="2019">
      <c r="A2019" s="18">
        <v>45665.0</v>
      </c>
      <c r="B2019" s="16" t="s">
        <v>2844</v>
      </c>
      <c r="C2019" s="16" t="s">
        <v>982</v>
      </c>
      <c r="D2019" s="16" t="s">
        <v>707</v>
      </c>
      <c r="E2019" s="16">
        <v>2012.0</v>
      </c>
      <c r="F2019" s="16">
        <v>51.4004</v>
      </c>
      <c r="G2019" s="16">
        <v>11.2896</v>
      </c>
      <c r="H2019" s="15"/>
      <c r="I2019" s="15"/>
    </row>
    <row r="2020">
      <c r="A2020" s="18">
        <v>45665.0</v>
      </c>
      <c r="B2020" s="16" t="s">
        <v>2845</v>
      </c>
      <c r="C2020" s="16" t="s">
        <v>1059</v>
      </c>
      <c r="D2020" s="16" t="s">
        <v>707</v>
      </c>
      <c r="E2020" s="16">
        <v>2012.0</v>
      </c>
      <c r="F2020" s="16">
        <v>50.8036</v>
      </c>
      <c r="G2020" s="16">
        <v>12.0942</v>
      </c>
      <c r="H2020" s="15"/>
      <c r="I2020" s="15"/>
    </row>
    <row r="2021">
      <c r="A2021" s="18">
        <v>45665.0</v>
      </c>
      <c r="B2021" s="16" t="s">
        <v>2846</v>
      </c>
      <c r="C2021" s="16" t="s">
        <v>1037</v>
      </c>
      <c r="D2021" s="16" t="s">
        <v>707</v>
      </c>
      <c r="E2021" s="16">
        <v>2012.0</v>
      </c>
      <c r="F2021" s="16">
        <v>53.9211</v>
      </c>
      <c r="G2021" s="16">
        <v>11.509</v>
      </c>
      <c r="H2021" s="15"/>
      <c r="I2021" s="15"/>
    </row>
    <row r="2022">
      <c r="A2022" s="18">
        <v>45665.0</v>
      </c>
      <c r="B2022" s="16" t="s">
        <v>2847</v>
      </c>
      <c r="C2022" s="16" t="s">
        <v>1039</v>
      </c>
      <c r="D2022" s="16" t="s">
        <v>707</v>
      </c>
      <c r="E2022" s="16">
        <v>2012.0</v>
      </c>
      <c r="F2022" s="16">
        <v>47.8367</v>
      </c>
      <c r="G2022" s="16">
        <v>10.8926</v>
      </c>
      <c r="H2022" s="15"/>
      <c r="I2022" s="15"/>
    </row>
    <row r="2023">
      <c r="A2023" s="18">
        <v>45665.0</v>
      </c>
      <c r="B2023" s="16" t="s">
        <v>2848</v>
      </c>
      <c r="C2023" s="16">
        <v>2.0</v>
      </c>
      <c r="D2023" s="16" t="s">
        <v>707</v>
      </c>
      <c r="E2023" s="16">
        <v>2012.0</v>
      </c>
      <c r="F2023" s="16">
        <v>50.0299</v>
      </c>
      <c r="G2023" s="16">
        <v>7.2946</v>
      </c>
      <c r="H2023" s="15"/>
      <c r="I2023" s="15"/>
    </row>
    <row r="2024">
      <c r="A2024" s="18">
        <v>45665.0</v>
      </c>
      <c r="B2024" s="16" t="s">
        <v>2849</v>
      </c>
      <c r="C2024" s="16">
        <v>2.0</v>
      </c>
      <c r="D2024" s="16" t="s">
        <v>707</v>
      </c>
      <c r="E2024" s="16">
        <v>2012.0</v>
      </c>
      <c r="F2024" s="16">
        <v>52.8366</v>
      </c>
      <c r="G2024" s="16">
        <v>11.1715</v>
      </c>
      <c r="H2024" s="15"/>
      <c r="I2024" s="15"/>
    </row>
    <row r="2025">
      <c r="A2025" s="18">
        <v>45665.0</v>
      </c>
      <c r="B2025" s="16" t="s">
        <v>2850</v>
      </c>
      <c r="C2025" s="16" t="s">
        <v>1039</v>
      </c>
      <c r="D2025" s="16" t="s">
        <v>707</v>
      </c>
      <c r="E2025" s="16">
        <v>2012.0</v>
      </c>
      <c r="F2025" s="16">
        <v>49.2174</v>
      </c>
      <c r="G2025" s="16">
        <v>8.1333</v>
      </c>
      <c r="H2025" s="15"/>
      <c r="I2025" s="15"/>
    </row>
    <row r="2026">
      <c r="A2026" s="18">
        <v>45665.0</v>
      </c>
      <c r="B2026" s="16" t="s">
        <v>2851</v>
      </c>
      <c r="C2026" s="16" t="s">
        <v>948</v>
      </c>
      <c r="D2026" s="16" t="s">
        <v>707</v>
      </c>
      <c r="E2026" s="16">
        <v>2012.0</v>
      </c>
      <c r="F2026" s="16">
        <v>51.837</v>
      </c>
      <c r="G2026" s="16">
        <v>12.196</v>
      </c>
      <c r="H2026" s="15"/>
      <c r="I2026" s="15"/>
    </row>
    <row r="2027">
      <c r="A2027" s="18">
        <v>45665.0</v>
      </c>
      <c r="B2027" s="16" t="s">
        <v>2852</v>
      </c>
      <c r="C2027" s="16" t="s">
        <v>1039</v>
      </c>
      <c r="D2027" s="16" t="s">
        <v>707</v>
      </c>
      <c r="E2027" s="16">
        <v>2012.0</v>
      </c>
      <c r="F2027" s="16">
        <v>51.1381</v>
      </c>
      <c r="G2027" s="16">
        <v>6.8052</v>
      </c>
      <c r="H2027" s="15"/>
      <c r="I2027" s="15"/>
    </row>
    <row r="2028">
      <c r="A2028" s="18">
        <v>45665.0</v>
      </c>
      <c r="B2028" s="16" t="s">
        <v>2853</v>
      </c>
      <c r="C2028" s="16" t="s">
        <v>951</v>
      </c>
      <c r="D2028" s="16" t="s">
        <v>707</v>
      </c>
      <c r="E2028" s="16">
        <v>2012.0</v>
      </c>
      <c r="F2028" s="16">
        <v>53.4002</v>
      </c>
      <c r="G2028" s="16">
        <v>10.2589</v>
      </c>
      <c r="H2028" s="15"/>
      <c r="I2028" s="15"/>
    </row>
    <row r="2029">
      <c r="A2029" s="18">
        <v>45665.0</v>
      </c>
      <c r="B2029" s="16" t="s">
        <v>2854</v>
      </c>
      <c r="C2029" s="16" t="s">
        <v>1007</v>
      </c>
      <c r="D2029" s="16" t="s">
        <v>707</v>
      </c>
      <c r="E2029" s="16">
        <v>2012.0</v>
      </c>
      <c r="F2029" s="16">
        <v>49.6126</v>
      </c>
      <c r="G2029" s="16">
        <v>8.5627</v>
      </c>
      <c r="H2029" s="15"/>
      <c r="I2029" s="15"/>
    </row>
    <row r="2030">
      <c r="A2030" s="18">
        <v>45665.0</v>
      </c>
      <c r="B2030" s="16" t="s">
        <v>2855</v>
      </c>
      <c r="C2030" s="16">
        <v>2.0</v>
      </c>
      <c r="D2030" s="16" t="s">
        <v>707</v>
      </c>
      <c r="E2030" s="16">
        <v>2012.0</v>
      </c>
      <c r="F2030" s="16">
        <v>51.6722</v>
      </c>
      <c r="G2030" s="16">
        <v>11.7203</v>
      </c>
      <c r="H2030" s="15"/>
      <c r="I2030" s="15"/>
    </row>
    <row r="2031">
      <c r="A2031" s="18">
        <v>45665.0</v>
      </c>
      <c r="B2031" s="16" t="s">
        <v>2856</v>
      </c>
      <c r="C2031" s="16" t="s">
        <v>1931</v>
      </c>
      <c r="D2031" s="16" t="s">
        <v>707</v>
      </c>
      <c r="E2031" s="16">
        <v>2012.0</v>
      </c>
      <c r="F2031" s="16">
        <v>48.6946</v>
      </c>
      <c r="G2031" s="16">
        <v>12.5976</v>
      </c>
      <c r="H2031" s="15"/>
      <c r="I2031" s="15"/>
    </row>
    <row r="2032">
      <c r="A2032" s="18">
        <v>45665.0</v>
      </c>
      <c r="B2032" s="16" t="s">
        <v>2857</v>
      </c>
      <c r="C2032" s="16" t="s">
        <v>1059</v>
      </c>
      <c r="D2032" s="16" t="s">
        <v>707</v>
      </c>
      <c r="E2032" s="16">
        <v>2012.0</v>
      </c>
      <c r="F2032" s="16">
        <v>51.6713</v>
      </c>
      <c r="G2032" s="16">
        <v>9.3812</v>
      </c>
      <c r="H2032" s="15"/>
      <c r="I2032" s="15"/>
    </row>
    <row r="2033">
      <c r="A2033" s="18">
        <v>45665.0</v>
      </c>
      <c r="B2033" s="16" t="s">
        <v>2858</v>
      </c>
      <c r="C2033" s="16" t="s">
        <v>1172</v>
      </c>
      <c r="D2033" s="16" t="s">
        <v>707</v>
      </c>
      <c r="E2033" s="16">
        <v>2012.0</v>
      </c>
      <c r="F2033" s="16">
        <v>50.3507</v>
      </c>
      <c r="G2033" s="16">
        <v>7.5652</v>
      </c>
      <c r="H2033" s="15"/>
      <c r="I2033" s="15"/>
    </row>
    <row r="2034">
      <c r="A2034" s="18">
        <v>45665.0</v>
      </c>
      <c r="B2034" s="16" t="s">
        <v>2859</v>
      </c>
      <c r="C2034" s="16" t="s">
        <v>1099</v>
      </c>
      <c r="D2034" s="16" t="s">
        <v>707</v>
      </c>
      <c r="E2034" s="16">
        <v>2012.0</v>
      </c>
      <c r="F2034" s="16">
        <v>50.3507</v>
      </c>
      <c r="G2034" s="16">
        <v>7.5652</v>
      </c>
      <c r="H2034" s="15"/>
      <c r="I2034" s="15"/>
    </row>
    <row r="2035">
      <c r="A2035" s="18">
        <v>45665.0</v>
      </c>
      <c r="B2035" s="16" t="s">
        <v>2860</v>
      </c>
      <c r="C2035" s="16">
        <v>2.0</v>
      </c>
      <c r="D2035" s="16" t="s">
        <v>707</v>
      </c>
      <c r="E2035" s="16">
        <v>2012.0</v>
      </c>
      <c r="F2035" s="16">
        <v>50.8846</v>
      </c>
      <c r="G2035" s="16">
        <v>11.642</v>
      </c>
      <c r="H2035" s="15"/>
      <c r="I2035" s="15"/>
    </row>
    <row r="2036">
      <c r="A2036" s="18">
        <v>45665.0</v>
      </c>
      <c r="B2036" s="16" t="s">
        <v>2861</v>
      </c>
      <c r="C2036" s="16" t="s">
        <v>1873</v>
      </c>
      <c r="D2036" s="16" t="s">
        <v>707</v>
      </c>
      <c r="E2036" s="16">
        <v>2012.0</v>
      </c>
      <c r="F2036" s="16">
        <v>51.3844</v>
      </c>
      <c r="G2036" s="16">
        <v>10.3333</v>
      </c>
      <c r="H2036" s="15"/>
      <c r="I2036" s="15"/>
    </row>
    <row r="2037">
      <c r="A2037" s="18">
        <v>45665.0</v>
      </c>
      <c r="B2037" s="16" t="s">
        <v>2862</v>
      </c>
      <c r="C2037" s="16" t="s">
        <v>1267</v>
      </c>
      <c r="D2037" s="16" t="s">
        <v>707</v>
      </c>
      <c r="E2037" s="16">
        <v>2012.0</v>
      </c>
      <c r="F2037" s="16">
        <v>52.2951</v>
      </c>
      <c r="G2037" s="16">
        <v>11.681</v>
      </c>
      <c r="H2037" s="15"/>
      <c r="I2037" s="15"/>
    </row>
    <row r="2038">
      <c r="A2038" s="18">
        <v>45665.0</v>
      </c>
      <c r="B2038" s="16" t="s">
        <v>2863</v>
      </c>
      <c r="C2038" s="16" t="s">
        <v>1167</v>
      </c>
      <c r="D2038" s="16" t="s">
        <v>707</v>
      </c>
      <c r="E2038" s="16">
        <v>2012.0</v>
      </c>
      <c r="F2038" s="16">
        <v>50.9048</v>
      </c>
      <c r="G2038" s="16">
        <v>12.0157</v>
      </c>
      <c r="H2038" s="15"/>
      <c r="I2038" s="15"/>
    </row>
    <row r="2039">
      <c r="A2039" s="18">
        <v>45665.0</v>
      </c>
      <c r="B2039" s="16" t="s">
        <v>2864</v>
      </c>
      <c r="C2039" s="16" t="s">
        <v>942</v>
      </c>
      <c r="D2039" s="16" t="s">
        <v>707</v>
      </c>
      <c r="E2039" s="16">
        <v>2012.0</v>
      </c>
      <c r="F2039" s="16">
        <v>51.806</v>
      </c>
      <c r="G2039" s="16">
        <v>9.7759</v>
      </c>
      <c r="H2039" s="15"/>
      <c r="I2039" s="15"/>
    </row>
    <row r="2040">
      <c r="A2040" s="18">
        <v>45665.0</v>
      </c>
      <c r="B2040" s="16" t="s">
        <v>2865</v>
      </c>
      <c r="C2040" s="16" t="s">
        <v>942</v>
      </c>
      <c r="D2040" s="16" t="s">
        <v>707</v>
      </c>
      <c r="E2040" s="16">
        <v>2012.0</v>
      </c>
      <c r="F2040" s="16">
        <v>52.6364</v>
      </c>
      <c r="G2040" s="16">
        <v>7.3522</v>
      </c>
      <c r="H2040" s="15"/>
      <c r="I2040" s="15"/>
    </row>
    <row r="2041">
      <c r="A2041" s="18">
        <v>45665.0</v>
      </c>
      <c r="B2041" s="16" t="s">
        <v>2866</v>
      </c>
      <c r="C2041" s="16" t="s">
        <v>969</v>
      </c>
      <c r="D2041" s="16" t="s">
        <v>707</v>
      </c>
      <c r="E2041" s="16">
        <v>2012.0</v>
      </c>
      <c r="F2041" s="16">
        <v>53.0908</v>
      </c>
      <c r="G2041" s="16">
        <v>14.2851</v>
      </c>
      <c r="H2041" s="15"/>
      <c r="I2041" s="15"/>
    </row>
    <row r="2042">
      <c r="A2042" s="18">
        <v>45665.0</v>
      </c>
      <c r="B2042" s="16" t="s">
        <v>2867</v>
      </c>
      <c r="C2042" s="16" t="s">
        <v>1055</v>
      </c>
      <c r="D2042" s="16" t="s">
        <v>707</v>
      </c>
      <c r="E2042" s="16">
        <v>2012.0</v>
      </c>
      <c r="F2042" s="16">
        <v>48.596</v>
      </c>
      <c r="G2042" s="16">
        <v>12.141</v>
      </c>
      <c r="H2042" s="15"/>
      <c r="I2042" s="15"/>
    </row>
    <row r="2043">
      <c r="A2043" s="18">
        <v>45665.0</v>
      </c>
      <c r="B2043" s="16" t="s">
        <v>2868</v>
      </c>
      <c r="C2043" s="16" t="s">
        <v>1039</v>
      </c>
      <c r="D2043" s="16" t="s">
        <v>707</v>
      </c>
      <c r="E2043" s="16">
        <v>2012.0</v>
      </c>
      <c r="F2043" s="16">
        <v>51.8142</v>
      </c>
      <c r="G2043" s="16">
        <v>8.5134</v>
      </c>
      <c r="H2043" s="15"/>
      <c r="I2043" s="15"/>
    </row>
    <row r="2044">
      <c r="A2044" s="18">
        <v>45665.0</v>
      </c>
      <c r="B2044" s="16" t="s">
        <v>2869</v>
      </c>
      <c r="C2044" s="16" t="s">
        <v>1007</v>
      </c>
      <c r="D2044" s="16" t="s">
        <v>707</v>
      </c>
      <c r="E2044" s="16">
        <v>2012.0</v>
      </c>
      <c r="F2044" s="16">
        <v>47.8868</v>
      </c>
      <c r="G2044" s="16">
        <v>11.1656</v>
      </c>
      <c r="H2044" s="15"/>
      <c r="I2044" s="15"/>
    </row>
    <row r="2045">
      <c r="A2045" s="18">
        <v>45665.0</v>
      </c>
      <c r="B2045" s="16" t="s">
        <v>2870</v>
      </c>
      <c r="C2045" s="16" t="s">
        <v>959</v>
      </c>
      <c r="D2045" s="16" t="s">
        <v>707</v>
      </c>
      <c r="E2045" s="16">
        <v>2012.0</v>
      </c>
      <c r="F2045" s="16">
        <v>52.9223</v>
      </c>
      <c r="G2045" s="16">
        <v>10.5157</v>
      </c>
      <c r="H2045" s="15"/>
      <c r="I2045" s="15"/>
    </row>
    <row r="2046">
      <c r="A2046" s="18">
        <v>45665.0</v>
      </c>
      <c r="B2046" s="16" t="s">
        <v>2871</v>
      </c>
      <c r="C2046" s="16">
        <v>2.0</v>
      </c>
      <c r="D2046" s="16" t="s">
        <v>707</v>
      </c>
      <c r="E2046" s="16">
        <v>2012.0</v>
      </c>
      <c r="F2046" s="16">
        <v>51.0172</v>
      </c>
      <c r="G2046" s="16">
        <v>12.2919</v>
      </c>
      <c r="H2046" s="15"/>
      <c r="I2046" s="15"/>
    </row>
    <row r="2047">
      <c r="A2047" s="18">
        <v>45665.0</v>
      </c>
      <c r="B2047" s="16" t="s">
        <v>2872</v>
      </c>
      <c r="C2047" s="16" t="s">
        <v>969</v>
      </c>
      <c r="D2047" s="16" t="s">
        <v>707</v>
      </c>
      <c r="E2047" s="16">
        <v>2012.0</v>
      </c>
      <c r="F2047" s="16">
        <v>51.142</v>
      </c>
      <c r="G2047" s="16">
        <v>10.6425</v>
      </c>
      <c r="H2047" s="15"/>
      <c r="I2047" s="15"/>
    </row>
    <row r="2048">
      <c r="A2048" s="18">
        <v>45665.0</v>
      </c>
      <c r="B2048" s="16" t="s">
        <v>2873</v>
      </c>
      <c r="C2048" s="16" t="s">
        <v>959</v>
      </c>
      <c r="D2048" s="16" t="s">
        <v>707</v>
      </c>
      <c r="E2048" s="16">
        <v>2012.0</v>
      </c>
      <c r="F2048" s="16">
        <v>50.6028</v>
      </c>
      <c r="G2048" s="16">
        <v>7.2703</v>
      </c>
      <c r="H2048" s="15"/>
      <c r="I2048" s="15"/>
    </row>
    <row r="2049">
      <c r="A2049" s="18">
        <v>45665.0</v>
      </c>
      <c r="B2049" s="16" t="s">
        <v>2874</v>
      </c>
      <c r="C2049" s="16" t="s">
        <v>942</v>
      </c>
      <c r="D2049" s="16" t="s">
        <v>707</v>
      </c>
      <c r="E2049" s="16">
        <v>2012.0</v>
      </c>
      <c r="F2049" s="16">
        <v>51.7417</v>
      </c>
      <c r="G2049" s="16">
        <v>11.957</v>
      </c>
      <c r="H2049" s="15"/>
      <c r="I2049" s="15"/>
    </row>
    <row r="2050">
      <c r="A2050" s="18">
        <v>45665.0</v>
      </c>
      <c r="B2050" s="16" t="s">
        <v>2875</v>
      </c>
      <c r="C2050" s="16" t="s">
        <v>959</v>
      </c>
      <c r="D2050" s="16" t="s">
        <v>707</v>
      </c>
      <c r="E2050" s="16">
        <v>2012.0</v>
      </c>
      <c r="F2050" s="16">
        <v>48.2661</v>
      </c>
      <c r="G2050" s="16">
        <v>12.752</v>
      </c>
      <c r="H2050" s="15"/>
      <c r="I2050" s="15"/>
    </row>
    <row r="2051">
      <c r="A2051" s="18">
        <v>45665.0</v>
      </c>
      <c r="B2051" s="16" t="s">
        <v>2876</v>
      </c>
      <c r="C2051" s="16" t="s">
        <v>948</v>
      </c>
      <c r="D2051" s="16" t="s">
        <v>707</v>
      </c>
      <c r="E2051" s="16">
        <v>2012.0</v>
      </c>
      <c r="F2051" s="16">
        <v>54.1347</v>
      </c>
      <c r="G2051" s="16">
        <v>12.7535</v>
      </c>
      <c r="H2051" s="15"/>
      <c r="I2051" s="15"/>
    </row>
    <row r="2052">
      <c r="A2052" s="18">
        <v>45665.0</v>
      </c>
      <c r="B2052" s="16" t="s">
        <v>2877</v>
      </c>
      <c r="C2052" s="16" t="s">
        <v>942</v>
      </c>
      <c r="D2052" s="16" t="s">
        <v>707</v>
      </c>
      <c r="E2052" s="16">
        <v>2012.0</v>
      </c>
      <c r="F2052" s="16">
        <v>53.8844</v>
      </c>
      <c r="G2052" s="16">
        <v>10.824</v>
      </c>
      <c r="H2052" s="15"/>
      <c r="I2052" s="15"/>
    </row>
    <row r="2053">
      <c r="A2053" s="18">
        <v>45665.0</v>
      </c>
      <c r="B2053" s="16" t="s">
        <v>2878</v>
      </c>
      <c r="C2053" s="16" t="s">
        <v>946</v>
      </c>
      <c r="D2053" s="16" t="s">
        <v>707</v>
      </c>
      <c r="E2053" s="16">
        <v>2012.0</v>
      </c>
      <c r="F2053" s="16">
        <v>53.1341</v>
      </c>
      <c r="G2053" s="16">
        <v>11.3271</v>
      </c>
      <c r="H2053" s="15"/>
      <c r="I2053" s="15"/>
    </row>
    <row r="2054">
      <c r="A2054" s="18">
        <v>45665.0</v>
      </c>
      <c r="B2054" s="16" t="s">
        <v>2879</v>
      </c>
      <c r="C2054" s="16" t="s">
        <v>959</v>
      </c>
      <c r="D2054" s="16" t="s">
        <v>707</v>
      </c>
      <c r="E2054" s="16">
        <v>2012.0</v>
      </c>
      <c r="F2054" s="16">
        <v>48.475</v>
      </c>
      <c r="G2054" s="16">
        <v>13.3725</v>
      </c>
      <c r="H2054" s="15"/>
      <c r="I2054" s="15"/>
    </row>
    <row r="2055">
      <c r="A2055" s="18">
        <v>45665.0</v>
      </c>
      <c r="B2055" s="16" t="s">
        <v>2880</v>
      </c>
      <c r="C2055" s="16" t="s">
        <v>1101</v>
      </c>
      <c r="D2055" s="16" t="s">
        <v>707</v>
      </c>
      <c r="E2055" s="16">
        <v>2012.0</v>
      </c>
      <c r="F2055" s="16">
        <v>49.8647</v>
      </c>
      <c r="G2055" s="16">
        <v>11.7954</v>
      </c>
      <c r="H2055" s="15"/>
      <c r="I2055" s="15"/>
    </row>
    <row r="2056">
      <c r="A2056" s="18">
        <v>45665.0</v>
      </c>
      <c r="B2056" s="16" t="s">
        <v>2881</v>
      </c>
      <c r="C2056" s="16" t="s">
        <v>969</v>
      </c>
      <c r="D2056" s="16" t="s">
        <v>707</v>
      </c>
      <c r="E2056" s="16">
        <v>2012.0</v>
      </c>
      <c r="F2056" s="16">
        <v>54.0871</v>
      </c>
      <c r="G2056" s="16">
        <v>12.7703</v>
      </c>
      <c r="H2056" s="15"/>
      <c r="I2056" s="15"/>
    </row>
    <row r="2057">
      <c r="A2057" s="18">
        <v>45665.0</v>
      </c>
      <c r="B2057" s="16" t="s">
        <v>2882</v>
      </c>
      <c r="C2057" s="16" t="s">
        <v>1055</v>
      </c>
      <c r="D2057" s="16" t="s">
        <v>707</v>
      </c>
      <c r="E2057" s="16">
        <v>2012.0</v>
      </c>
      <c r="F2057" s="16">
        <v>47.9269</v>
      </c>
      <c r="G2057" s="16">
        <v>10.0894</v>
      </c>
      <c r="H2057" s="15"/>
      <c r="I2057" s="15"/>
    </row>
    <row r="2058">
      <c r="A2058" s="18">
        <v>45665.0</v>
      </c>
      <c r="B2058" s="16" t="s">
        <v>2883</v>
      </c>
      <c r="C2058" s="16" t="s">
        <v>951</v>
      </c>
      <c r="D2058" s="16" t="s">
        <v>707</v>
      </c>
      <c r="E2058" s="16">
        <v>2012.0</v>
      </c>
      <c r="F2058" s="16">
        <v>51.443</v>
      </c>
      <c r="G2058" s="16">
        <v>14.2538</v>
      </c>
      <c r="H2058" s="15"/>
      <c r="I2058" s="15"/>
    </row>
    <row r="2059">
      <c r="A2059" s="18">
        <v>45665.0</v>
      </c>
      <c r="B2059" s="16" t="s">
        <v>2884</v>
      </c>
      <c r="C2059" s="16">
        <v>2.0</v>
      </c>
      <c r="D2059" s="16" t="s">
        <v>707</v>
      </c>
      <c r="E2059" s="16">
        <v>2012.0</v>
      </c>
      <c r="F2059" s="16">
        <v>51.013</v>
      </c>
      <c r="G2059" s="16">
        <v>12.4372</v>
      </c>
      <c r="H2059" s="15"/>
      <c r="I2059" s="15"/>
    </row>
    <row r="2060">
      <c r="A2060" s="18">
        <v>45665.0</v>
      </c>
      <c r="B2060" s="16" t="s">
        <v>2885</v>
      </c>
      <c r="C2060" s="16" t="s">
        <v>948</v>
      </c>
      <c r="D2060" s="16" t="s">
        <v>707</v>
      </c>
      <c r="E2060" s="16">
        <v>2012.0</v>
      </c>
      <c r="F2060" s="16">
        <v>49.2628</v>
      </c>
      <c r="G2060" s="16">
        <v>10.6227</v>
      </c>
      <c r="H2060" s="15"/>
      <c r="I2060" s="15"/>
    </row>
    <row r="2061">
      <c r="A2061" s="18">
        <v>45665.0</v>
      </c>
      <c r="B2061" s="16" t="s">
        <v>2886</v>
      </c>
      <c r="C2061" s="16">
        <v>2.0</v>
      </c>
      <c r="D2061" s="16" t="s">
        <v>707</v>
      </c>
      <c r="E2061" s="16">
        <v>2012.0</v>
      </c>
      <c r="F2061" s="16">
        <v>51.9233</v>
      </c>
      <c r="G2061" s="16">
        <v>11.6108</v>
      </c>
      <c r="H2061" s="15"/>
      <c r="I2061" s="15"/>
    </row>
    <row r="2062">
      <c r="A2062" s="18">
        <v>45665.0</v>
      </c>
      <c r="B2062" s="16" t="s">
        <v>2887</v>
      </c>
      <c r="C2062" s="16">
        <v>6.0</v>
      </c>
      <c r="D2062" s="16" t="s">
        <v>707</v>
      </c>
      <c r="E2062" s="16">
        <v>2012.0</v>
      </c>
      <c r="F2062" s="16">
        <v>51.4642</v>
      </c>
      <c r="G2062" s="16">
        <v>11.1238</v>
      </c>
      <c r="H2062" s="15"/>
      <c r="I2062" s="15"/>
    </row>
    <row r="2063">
      <c r="A2063" s="18">
        <v>45665.0</v>
      </c>
      <c r="B2063" s="16" t="s">
        <v>2888</v>
      </c>
      <c r="C2063" s="16" t="s">
        <v>982</v>
      </c>
      <c r="D2063" s="16" t="s">
        <v>707</v>
      </c>
      <c r="E2063" s="16">
        <v>2012.0</v>
      </c>
      <c r="F2063" s="16">
        <v>52.7973</v>
      </c>
      <c r="G2063" s="16">
        <v>11.7713</v>
      </c>
      <c r="H2063" s="15"/>
      <c r="I2063" s="15"/>
    </row>
    <row r="2064">
      <c r="A2064" s="18">
        <v>45665.0</v>
      </c>
      <c r="B2064" s="16" t="s">
        <v>2889</v>
      </c>
      <c r="C2064" s="16" t="s">
        <v>1101</v>
      </c>
      <c r="D2064" s="16" t="s">
        <v>707</v>
      </c>
      <c r="E2064" s="16">
        <v>2012.0</v>
      </c>
      <c r="F2064" s="16">
        <v>53.6579</v>
      </c>
      <c r="G2064" s="16">
        <v>13.9229</v>
      </c>
      <c r="H2064" s="15"/>
      <c r="I2064" s="15"/>
    </row>
    <row r="2065">
      <c r="A2065" s="18">
        <v>45665.0</v>
      </c>
      <c r="B2065" s="16" t="s">
        <v>2890</v>
      </c>
      <c r="C2065" s="16" t="s">
        <v>969</v>
      </c>
      <c r="D2065" s="16" t="s">
        <v>707</v>
      </c>
      <c r="E2065" s="16">
        <v>2012.0</v>
      </c>
      <c r="F2065" s="16">
        <v>49.9304</v>
      </c>
      <c r="G2065" s="16">
        <v>8.3293</v>
      </c>
      <c r="H2065" s="15"/>
      <c r="I2065" s="15"/>
    </row>
    <row r="2066">
      <c r="A2066" s="18">
        <v>45665.0</v>
      </c>
      <c r="B2066" s="16" t="s">
        <v>2891</v>
      </c>
      <c r="C2066" s="16" t="s">
        <v>1039</v>
      </c>
      <c r="D2066" s="16" t="s">
        <v>707</v>
      </c>
      <c r="E2066" s="16">
        <v>2012.0</v>
      </c>
      <c r="F2066" s="16">
        <v>51.4034</v>
      </c>
      <c r="G2066" s="16">
        <v>12.3597</v>
      </c>
      <c r="H2066" s="15"/>
      <c r="I2066" s="15"/>
    </row>
    <row r="2067">
      <c r="A2067" s="18">
        <v>45665.0</v>
      </c>
      <c r="B2067" s="16" t="s">
        <v>2892</v>
      </c>
      <c r="C2067" s="16" t="s">
        <v>2893</v>
      </c>
      <c r="D2067" s="16" t="s">
        <v>707</v>
      </c>
      <c r="E2067" s="16">
        <v>2012.0</v>
      </c>
      <c r="F2067" s="16">
        <v>51.675</v>
      </c>
      <c r="G2067" s="16">
        <v>13.9617</v>
      </c>
      <c r="H2067" s="15"/>
      <c r="I2067" s="15"/>
    </row>
    <row r="2068">
      <c r="A2068" s="18">
        <v>45665.0</v>
      </c>
      <c r="B2068" s="16" t="s">
        <v>2894</v>
      </c>
      <c r="C2068" s="16" t="s">
        <v>1310</v>
      </c>
      <c r="D2068" s="16" t="s">
        <v>707</v>
      </c>
      <c r="E2068" s="16">
        <v>2012.0</v>
      </c>
      <c r="F2068" s="16">
        <v>53.507</v>
      </c>
      <c r="G2068" s="16">
        <v>13.3209</v>
      </c>
      <c r="H2068" s="15"/>
      <c r="I2068" s="15"/>
    </row>
    <row r="2069">
      <c r="A2069" s="18">
        <v>45665.0</v>
      </c>
      <c r="B2069" s="16" t="s">
        <v>2895</v>
      </c>
      <c r="C2069" s="16" t="s">
        <v>969</v>
      </c>
      <c r="D2069" s="16" t="s">
        <v>707</v>
      </c>
      <c r="E2069" s="16">
        <v>2012.0</v>
      </c>
      <c r="F2069" s="16">
        <v>50.9003</v>
      </c>
      <c r="G2069" s="16">
        <v>12.8142</v>
      </c>
      <c r="H2069" s="15"/>
      <c r="I2069" s="15"/>
    </row>
    <row r="2070">
      <c r="A2070" s="18">
        <v>45665.0</v>
      </c>
      <c r="B2070" s="16" t="s">
        <v>2896</v>
      </c>
      <c r="C2070" s="16">
        <v>3.0</v>
      </c>
      <c r="D2070" s="16" t="s">
        <v>707</v>
      </c>
      <c r="E2070" s="16">
        <v>2012.0</v>
      </c>
      <c r="F2070" s="16">
        <v>53.8272</v>
      </c>
      <c r="G2070" s="16">
        <v>12.0014</v>
      </c>
      <c r="H2070" s="15"/>
      <c r="I2070" s="15"/>
    </row>
    <row r="2071">
      <c r="A2071" s="18">
        <v>45665.0</v>
      </c>
      <c r="B2071" s="16" t="s">
        <v>2897</v>
      </c>
      <c r="C2071" s="16" t="s">
        <v>1046</v>
      </c>
      <c r="D2071" s="16" t="s">
        <v>707</v>
      </c>
      <c r="E2071" s="16">
        <v>2012.0</v>
      </c>
      <c r="F2071" s="16">
        <v>50.808</v>
      </c>
      <c r="G2071" s="16">
        <v>12.9223</v>
      </c>
      <c r="H2071" s="15"/>
      <c r="I2071" s="15"/>
    </row>
    <row r="2072">
      <c r="A2072" s="18">
        <v>45665.0</v>
      </c>
      <c r="B2072" s="16" t="s">
        <v>2898</v>
      </c>
      <c r="C2072" s="16" t="s">
        <v>948</v>
      </c>
      <c r="D2072" s="16" t="s">
        <v>707</v>
      </c>
      <c r="E2072" s="16">
        <v>2012.0</v>
      </c>
      <c r="F2072" s="16">
        <v>50.8565</v>
      </c>
      <c r="G2072" s="16">
        <v>12.8939</v>
      </c>
      <c r="H2072" s="15"/>
      <c r="I2072" s="15"/>
    </row>
    <row r="2073">
      <c r="A2073" s="18">
        <v>45665.0</v>
      </c>
      <c r="B2073" s="16" t="s">
        <v>2899</v>
      </c>
      <c r="C2073" s="16" t="s">
        <v>942</v>
      </c>
      <c r="D2073" s="16" t="s">
        <v>707</v>
      </c>
      <c r="E2073" s="16">
        <v>2012.0</v>
      </c>
      <c r="F2073" s="16">
        <v>50.683</v>
      </c>
      <c r="G2073" s="16">
        <v>12.117</v>
      </c>
      <c r="H2073" s="15"/>
      <c r="I2073" s="15"/>
    </row>
    <row r="2074">
      <c r="A2074" s="18">
        <v>45665.0</v>
      </c>
      <c r="B2074" s="16" t="s">
        <v>2900</v>
      </c>
      <c r="C2074" s="16" t="s">
        <v>1609</v>
      </c>
      <c r="D2074" s="16" t="s">
        <v>707</v>
      </c>
      <c r="E2074" s="16">
        <v>2012.0</v>
      </c>
      <c r="F2074" s="16">
        <v>51.0619</v>
      </c>
      <c r="G2074" s="16">
        <v>12.1162</v>
      </c>
      <c r="H2074" s="15"/>
      <c r="I2074" s="15"/>
    </row>
    <row r="2075">
      <c r="A2075" s="18">
        <v>45665.0</v>
      </c>
      <c r="B2075" s="16" t="s">
        <v>2901</v>
      </c>
      <c r="C2075" s="16" t="s">
        <v>942</v>
      </c>
      <c r="D2075" s="16" t="s">
        <v>707</v>
      </c>
      <c r="E2075" s="16">
        <v>2012.0</v>
      </c>
      <c r="F2075" s="16">
        <v>50.8302</v>
      </c>
      <c r="G2075" s="16">
        <v>10.9822</v>
      </c>
      <c r="H2075" s="15"/>
      <c r="I2075" s="15"/>
    </row>
    <row r="2076">
      <c r="A2076" s="18">
        <v>45665.0</v>
      </c>
      <c r="B2076" s="16" t="s">
        <v>2902</v>
      </c>
      <c r="C2076" s="16" t="s">
        <v>1037</v>
      </c>
      <c r="D2076" s="16" t="s">
        <v>707</v>
      </c>
      <c r="E2076" s="16">
        <v>2012.0</v>
      </c>
      <c r="F2076" s="16">
        <v>51.0415</v>
      </c>
      <c r="G2076" s="16">
        <v>11.9398</v>
      </c>
      <c r="H2076" s="15"/>
      <c r="I2076" s="15"/>
    </row>
    <row r="2077">
      <c r="A2077" s="18">
        <v>45665.0</v>
      </c>
      <c r="B2077" s="16" t="s">
        <v>2903</v>
      </c>
      <c r="C2077" s="16" t="s">
        <v>1037</v>
      </c>
      <c r="D2077" s="16" t="s">
        <v>707</v>
      </c>
      <c r="E2077" s="16">
        <v>2012.0</v>
      </c>
      <c r="F2077" s="16">
        <v>53.6732</v>
      </c>
      <c r="G2077" s="16">
        <v>14.0669</v>
      </c>
      <c r="H2077" s="15"/>
      <c r="I2077" s="15"/>
    </row>
    <row r="2078">
      <c r="A2078" s="18">
        <v>45665.0</v>
      </c>
      <c r="B2078" s="16" t="s">
        <v>2904</v>
      </c>
      <c r="C2078" s="16">
        <v>3.0</v>
      </c>
      <c r="D2078" s="16" t="s">
        <v>707</v>
      </c>
      <c r="E2078" s="16">
        <v>2012.0</v>
      </c>
      <c r="F2078" s="16">
        <v>51.7568</v>
      </c>
      <c r="G2078" s="16">
        <v>14.1512</v>
      </c>
      <c r="H2078" s="15"/>
      <c r="I2078" s="15"/>
    </row>
    <row r="2079">
      <c r="A2079" s="18">
        <v>45665.0</v>
      </c>
      <c r="B2079" s="16" t="s">
        <v>2905</v>
      </c>
      <c r="C2079" s="16" t="s">
        <v>948</v>
      </c>
      <c r="D2079" s="16" t="s">
        <v>707</v>
      </c>
      <c r="E2079" s="16">
        <v>2012.0</v>
      </c>
      <c r="F2079" s="16">
        <v>51.7568</v>
      </c>
      <c r="G2079" s="16">
        <v>14.1512</v>
      </c>
      <c r="H2079" s="15"/>
      <c r="I2079" s="15"/>
    </row>
    <row r="2080">
      <c r="A2080" s="18">
        <v>45665.0</v>
      </c>
      <c r="B2080" s="16" t="s">
        <v>2906</v>
      </c>
      <c r="C2080" s="16" t="s">
        <v>1055</v>
      </c>
      <c r="D2080" s="16" t="s">
        <v>707</v>
      </c>
      <c r="E2080" s="16">
        <v>2012.0</v>
      </c>
      <c r="F2080" s="16">
        <v>53.3585</v>
      </c>
      <c r="G2080" s="16">
        <v>7.719</v>
      </c>
      <c r="H2080" s="15"/>
      <c r="I2080" s="15"/>
    </row>
    <row r="2081">
      <c r="A2081" s="18">
        <v>45665.0</v>
      </c>
      <c r="B2081" s="16" t="s">
        <v>2907</v>
      </c>
      <c r="C2081" s="16" t="s">
        <v>942</v>
      </c>
      <c r="D2081" s="16" t="s">
        <v>707</v>
      </c>
      <c r="E2081" s="16">
        <v>2012.0</v>
      </c>
      <c r="F2081" s="16">
        <v>51.0274</v>
      </c>
      <c r="G2081" s="16">
        <v>6.932</v>
      </c>
      <c r="H2081" s="15"/>
      <c r="I2081" s="15"/>
    </row>
    <row r="2082">
      <c r="A2082" s="18">
        <v>45665.0</v>
      </c>
      <c r="B2082" s="16" t="s">
        <v>2908</v>
      </c>
      <c r="C2082" s="16" t="s">
        <v>942</v>
      </c>
      <c r="D2082" s="16" t="s">
        <v>707</v>
      </c>
      <c r="E2082" s="16">
        <v>2012.0</v>
      </c>
      <c r="F2082" s="16">
        <v>53.6661</v>
      </c>
      <c r="G2082" s="16">
        <v>13.5323</v>
      </c>
      <c r="H2082" s="15"/>
      <c r="I2082" s="15"/>
    </row>
    <row r="2083">
      <c r="A2083" s="18">
        <v>45665.0</v>
      </c>
      <c r="B2083" s="16" t="s">
        <v>2909</v>
      </c>
      <c r="C2083" s="16" t="s">
        <v>2821</v>
      </c>
      <c r="D2083" s="16" t="s">
        <v>707</v>
      </c>
      <c r="E2083" s="16">
        <v>2012.0</v>
      </c>
      <c r="F2083" s="16">
        <v>50.4522</v>
      </c>
      <c r="G2083" s="16">
        <v>11.8503</v>
      </c>
      <c r="H2083" s="15"/>
      <c r="I2083" s="15"/>
    </row>
    <row r="2084">
      <c r="A2084" s="18">
        <v>45665.0</v>
      </c>
      <c r="B2084" s="16" t="s">
        <v>2910</v>
      </c>
      <c r="C2084" s="16" t="s">
        <v>1011</v>
      </c>
      <c r="D2084" s="16" t="s">
        <v>707</v>
      </c>
      <c r="E2084" s="16">
        <v>2012.0</v>
      </c>
      <c r="F2084" s="16">
        <v>50.9655</v>
      </c>
      <c r="G2084" s="16">
        <v>10.0651</v>
      </c>
      <c r="H2084" s="15"/>
      <c r="I2084" s="15"/>
    </row>
    <row r="2085">
      <c r="A2085" s="18">
        <v>45665.0</v>
      </c>
      <c r="B2085" s="16" t="s">
        <v>2911</v>
      </c>
      <c r="C2085" s="16" t="s">
        <v>1080</v>
      </c>
      <c r="D2085" s="16" t="s">
        <v>707</v>
      </c>
      <c r="E2085" s="16">
        <v>2012.0</v>
      </c>
      <c r="F2085" s="16">
        <v>51.445</v>
      </c>
      <c r="G2085" s="16">
        <v>12.2354</v>
      </c>
      <c r="H2085" s="15"/>
      <c r="I2085" s="15"/>
    </row>
    <row r="2086">
      <c r="A2086" s="18">
        <v>45665.0</v>
      </c>
      <c r="B2086" s="16" t="s">
        <v>2912</v>
      </c>
      <c r="C2086" s="16" t="s">
        <v>948</v>
      </c>
      <c r="D2086" s="16" t="s">
        <v>707</v>
      </c>
      <c r="E2086" s="16">
        <v>2012.0</v>
      </c>
      <c r="F2086" s="16">
        <v>50.9719</v>
      </c>
      <c r="G2086" s="16">
        <v>10.7405</v>
      </c>
      <c r="H2086" s="15"/>
      <c r="I2086" s="15"/>
    </row>
    <row r="2087">
      <c r="A2087" s="18">
        <v>45665.0</v>
      </c>
      <c r="B2087" s="16" t="s">
        <v>2913</v>
      </c>
      <c r="C2087" s="16" t="s">
        <v>1399</v>
      </c>
      <c r="D2087" s="16" t="s">
        <v>707</v>
      </c>
      <c r="E2087" s="16">
        <v>2012.0</v>
      </c>
      <c r="F2087" s="16">
        <v>52.8647</v>
      </c>
      <c r="G2087" s="16">
        <v>13.2196</v>
      </c>
      <c r="H2087" s="15"/>
      <c r="I2087" s="15"/>
    </row>
    <row r="2088">
      <c r="A2088" s="18">
        <v>45665.0</v>
      </c>
      <c r="B2088" s="16" t="s">
        <v>2914</v>
      </c>
      <c r="C2088" s="16" t="s">
        <v>959</v>
      </c>
      <c r="D2088" s="16" t="s">
        <v>707</v>
      </c>
      <c r="E2088" s="16">
        <v>2012.0</v>
      </c>
      <c r="F2088" s="16">
        <v>51.057</v>
      </c>
      <c r="G2088" s="16">
        <v>14.9458</v>
      </c>
      <c r="H2088" s="15"/>
      <c r="I2088" s="15"/>
    </row>
    <row r="2089">
      <c r="A2089" s="18">
        <v>45665.0</v>
      </c>
      <c r="B2089" s="16" t="s">
        <v>2915</v>
      </c>
      <c r="C2089" s="16" t="s">
        <v>1055</v>
      </c>
      <c r="D2089" s="16" t="s">
        <v>707</v>
      </c>
      <c r="E2089" s="16">
        <v>2012.0</v>
      </c>
      <c r="F2089" s="16">
        <v>53.6444</v>
      </c>
      <c r="G2089" s="16">
        <v>10.2787</v>
      </c>
      <c r="H2089" s="15"/>
      <c r="I2089" s="15"/>
    </row>
    <row r="2090">
      <c r="A2090" s="18">
        <v>45665.0</v>
      </c>
      <c r="B2090" s="16" t="s">
        <v>2916</v>
      </c>
      <c r="C2090" s="16">
        <v>1.0</v>
      </c>
      <c r="D2090" s="16" t="s">
        <v>707</v>
      </c>
      <c r="E2090" s="16">
        <v>2012.0</v>
      </c>
      <c r="F2090" s="16">
        <v>52.4279</v>
      </c>
      <c r="G2090" s="16">
        <v>9.657</v>
      </c>
      <c r="H2090" s="15"/>
      <c r="I2090" s="15"/>
    </row>
    <row r="2091">
      <c r="A2091" s="18">
        <v>45665.0</v>
      </c>
      <c r="B2091" s="16" t="s">
        <v>2917</v>
      </c>
      <c r="C2091" s="16">
        <v>7.0</v>
      </c>
      <c r="D2091" s="16" t="s">
        <v>707</v>
      </c>
      <c r="E2091" s="16">
        <v>2012.0</v>
      </c>
      <c r="F2091" s="16">
        <v>53.6141</v>
      </c>
      <c r="G2091" s="16">
        <v>12.4322</v>
      </c>
      <c r="H2091" s="15"/>
      <c r="I2091" s="15"/>
    </row>
    <row r="2092">
      <c r="A2092" s="18">
        <v>45665.0</v>
      </c>
      <c r="B2092" s="16" t="s">
        <v>2918</v>
      </c>
      <c r="C2092" s="16" t="s">
        <v>1751</v>
      </c>
      <c r="D2092" s="16" t="s">
        <v>707</v>
      </c>
      <c r="E2092" s="16">
        <v>2012.0</v>
      </c>
      <c r="F2092" s="16">
        <v>53.6177</v>
      </c>
      <c r="G2092" s="16">
        <v>12.4297</v>
      </c>
      <c r="H2092" s="15"/>
      <c r="I2092" s="15"/>
    </row>
    <row r="2093">
      <c r="A2093" s="18">
        <v>45665.0</v>
      </c>
      <c r="B2093" s="16" t="s">
        <v>2919</v>
      </c>
      <c r="C2093" s="16" t="s">
        <v>1039</v>
      </c>
      <c r="D2093" s="16" t="s">
        <v>707</v>
      </c>
      <c r="E2093" s="16">
        <v>2012.0</v>
      </c>
      <c r="F2093" s="16">
        <v>51.526</v>
      </c>
      <c r="G2093" s="16">
        <v>12.103</v>
      </c>
      <c r="H2093" s="15"/>
      <c r="I2093" s="15"/>
    </row>
    <row r="2094">
      <c r="A2094" s="18">
        <v>45665.0</v>
      </c>
      <c r="B2094" s="16" t="s">
        <v>2920</v>
      </c>
      <c r="C2094" s="16" t="s">
        <v>1461</v>
      </c>
      <c r="D2094" s="16" t="s">
        <v>707</v>
      </c>
      <c r="E2094" s="16">
        <v>2012.0</v>
      </c>
      <c r="F2094" s="16">
        <v>51.2999</v>
      </c>
      <c r="G2094" s="16">
        <v>14.9303</v>
      </c>
      <c r="H2094" s="15"/>
      <c r="I2094" s="15"/>
    </row>
    <row r="2095">
      <c r="A2095" s="18">
        <v>45665.0</v>
      </c>
      <c r="B2095" s="16" t="s">
        <v>2921</v>
      </c>
      <c r="C2095" s="16" t="s">
        <v>1267</v>
      </c>
      <c r="D2095" s="16" t="s">
        <v>707</v>
      </c>
      <c r="E2095" s="16">
        <v>2012.0</v>
      </c>
      <c r="F2095" s="16">
        <v>53.562</v>
      </c>
      <c r="G2095" s="16">
        <v>13.942</v>
      </c>
      <c r="H2095" s="15"/>
      <c r="I2095" s="15"/>
    </row>
    <row r="2096">
      <c r="A2096" s="18">
        <v>45665.0</v>
      </c>
      <c r="B2096" s="16" t="s">
        <v>2922</v>
      </c>
      <c r="C2096" s="16" t="s">
        <v>1757</v>
      </c>
      <c r="D2096" s="16" t="s">
        <v>707</v>
      </c>
      <c r="E2096" s="16">
        <v>2012.0</v>
      </c>
      <c r="F2096" s="16">
        <v>52.0011</v>
      </c>
      <c r="G2096" s="16">
        <v>13.0405</v>
      </c>
      <c r="H2096" s="15"/>
      <c r="I2096" s="15"/>
    </row>
    <row r="2097">
      <c r="A2097" s="18">
        <v>45665.0</v>
      </c>
      <c r="B2097" s="16" t="s">
        <v>2923</v>
      </c>
      <c r="C2097" s="16" t="s">
        <v>1011</v>
      </c>
      <c r="D2097" s="16" t="s">
        <v>707</v>
      </c>
      <c r="E2097" s="16">
        <v>2012.0</v>
      </c>
      <c r="F2097" s="16">
        <v>51.2475</v>
      </c>
      <c r="G2097" s="16">
        <v>14.1442</v>
      </c>
      <c r="H2097" s="15"/>
      <c r="I2097" s="15"/>
    </row>
    <row r="2098">
      <c r="A2098" s="18">
        <v>45665.0</v>
      </c>
      <c r="B2098" s="16" t="s">
        <v>2924</v>
      </c>
      <c r="C2098" s="16" t="s">
        <v>948</v>
      </c>
      <c r="D2098" s="16" t="s">
        <v>707</v>
      </c>
      <c r="E2098" s="16">
        <v>2012.0</v>
      </c>
      <c r="F2098" s="16">
        <v>48.628</v>
      </c>
      <c r="G2098" s="16">
        <v>11.7512</v>
      </c>
      <c r="H2098" s="15"/>
      <c r="I2098" s="15"/>
    </row>
    <row r="2099">
      <c r="A2099" s="18">
        <v>45665.0</v>
      </c>
      <c r="B2099" s="16" t="s">
        <v>2925</v>
      </c>
      <c r="C2099" s="16" t="s">
        <v>959</v>
      </c>
      <c r="D2099" s="16" t="s">
        <v>707</v>
      </c>
      <c r="E2099" s="16">
        <v>2012.0</v>
      </c>
      <c r="F2099" s="16">
        <v>54.0646</v>
      </c>
      <c r="G2099" s="16">
        <v>11.7811</v>
      </c>
      <c r="H2099" s="15"/>
      <c r="I2099" s="15"/>
    </row>
    <row r="2100">
      <c r="A2100" s="18">
        <v>45665.0</v>
      </c>
      <c r="B2100" s="16" t="s">
        <v>2926</v>
      </c>
      <c r="C2100" s="16" t="s">
        <v>1149</v>
      </c>
      <c r="D2100" s="16" t="s">
        <v>707</v>
      </c>
      <c r="E2100" s="16">
        <v>2012.0</v>
      </c>
      <c r="F2100" s="16">
        <v>54.2991</v>
      </c>
      <c r="G2100" s="16">
        <v>12.8896</v>
      </c>
      <c r="H2100" s="15"/>
      <c r="I2100" s="15"/>
    </row>
    <row r="2101">
      <c r="A2101" s="18">
        <v>45665.0</v>
      </c>
      <c r="B2101" s="16" t="s">
        <v>2927</v>
      </c>
      <c r="C2101" s="16" t="s">
        <v>969</v>
      </c>
      <c r="D2101" s="16" t="s">
        <v>707</v>
      </c>
      <c r="E2101" s="16">
        <v>2012.0</v>
      </c>
      <c r="F2101" s="16">
        <v>53.9222</v>
      </c>
      <c r="G2101" s="16">
        <v>13.0384</v>
      </c>
      <c r="H2101" s="15"/>
      <c r="I2101" s="15"/>
    </row>
    <row r="2102">
      <c r="A2102" s="18">
        <v>45665.0</v>
      </c>
      <c r="B2102" s="16" t="s">
        <v>2928</v>
      </c>
      <c r="C2102" s="16" t="s">
        <v>969</v>
      </c>
      <c r="D2102" s="16" t="s">
        <v>707</v>
      </c>
      <c r="E2102" s="16">
        <v>2012.0</v>
      </c>
      <c r="F2102" s="16">
        <v>51.9079</v>
      </c>
      <c r="G2102" s="16">
        <v>10.805</v>
      </c>
      <c r="H2102" s="15"/>
      <c r="I2102" s="15"/>
    </row>
    <row r="2103">
      <c r="A2103" s="18">
        <v>45665.0</v>
      </c>
      <c r="B2103" s="16" t="s">
        <v>2929</v>
      </c>
      <c r="C2103" s="16" t="s">
        <v>1099</v>
      </c>
      <c r="D2103" s="16" t="s">
        <v>707</v>
      </c>
      <c r="E2103" s="16">
        <v>2012.0</v>
      </c>
      <c r="F2103" s="16">
        <v>53.9771</v>
      </c>
      <c r="G2103" s="16">
        <v>13.1544</v>
      </c>
      <c r="H2103" s="15"/>
      <c r="I2103" s="15"/>
    </row>
    <row r="2104">
      <c r="A2104" s="18">
        <v>45665.0</v>
      </c>
      <c r="B2104" s="16" t="s">
        <v>2930</v>
      </c>
      <c r="C2104" s="16" t="s">
        <v>948</v>
      </c>
      <c r="D2104" s="16" t="s">
        <v>707</v>
      </c>
      <c r="E2104" s="16">
        <v>2012.0</v>
      </c>
      <c r="F2104" s="16">
        <v>53.9734</v>
      </c>
      <c r="G2104" s="16">
        <v>13.1406</v>
      </c>
      <c r="H2104" s="15"/>
      <c r="I2104" s="15"/>
    </row>
    <row r="2105">
      <c r="A2105" s="18">
        <v>45665.0</v>
      </c>
      <c r="B2105" s="16" t="s">
        <v>2931</v>
      </c>
      <c r="C2105" s="16" t="s">
        <v>1034</v>
      </c>
      <c r="D2105" s="16" t="s">
        <v>707</v>
      </c>
      <c r="E2105" s="16">
        <v>2012.0</v>
      </c>
      <c r="F2105" s="16">
        <v>52.6119</v>
      </c>
      <c r="G2105" s="16">
        <v>12.9157</v>
      </c>
      <c r="H2105" s="15"/>
      <c r="I2105" s="15"/>
    </row>
    <row r="2106">
      <c r="A2106" s="18">
        <v>45665.0</v>
      </c>
      <c r="B2106" s="16" t="s">
        <v>2932</v>
      </c>
      <c r="C2106" s="16">
        <v>1.0</v>
      </c>
      <c r="D2106" s="16" t="s">
        <v>707</v>
      </c>
      <c r="E2106" s="16">
        <v>2012.0</v>
      </c>
      <c r="F2106" s="16">
        <v>52.5079</v>
      </c>
      <c r="G2106" s="16">
        <v>11.7723</v>
      </c>
      <c r="H2106" s="15"/>
      <c r="I2106" s="15"/>
    </row>
    <row r="2107">
      <c r="A2107" s="18">
        <v>45665.0</v>
      </c>
      <c r="B2107" s="16" t="s">
        <v>2933</v>
      </c>
      <c r="C2107" s="16" t="s">
        <v>1051</v>
      </c>
      <c r="D2107" s="16" t="s">
        <v>707</v>
      </c>
      <c r="E2107" s="16">
        <v>2012.0</v>
      </c>
      <c r="F2107" s="16">
        <v>53.3042</v>
      </c>
      <c r="G2107" s="16">
        <v>10.4191</v>
      </c>
      <c r="H2107" s="15"/>
      <c r="I2107" s="15"/>
    </row>
    <row r="2108">
      <c r="A2108" s="18">
        <v>45665.0</v>
      </c>
      <c r="B2108" s="16" t="s">
        <v>2934</v>
      </c>
      <c r="C2108" s="16" t="s">
        <v>942</v>
      </c>
      <c r="D2108" s="16" t="s">
        <v>707</v>
      </c>
      <c r="E2108" s="16">
        <v>2012.0</v>
      </c>
      <c r="F2108" s="16">
        <v>53.7391</v>
      </c>
      <c r="G2108" s="16">
        <v>12.7497</v>
      </c>
      <c r="H2108" s="15"/>
      <c r="I2108" s="15"/>
    </row>
    <row r="2109">
      <c r="A2109" s="18">
        <v>45665.0</v>
      </c>
      <c r="B2109" s="16" t="s">
        <v>2935</v>
      </c>
      <c r="C2109" s="16" t="s">
        <v>1101</v>
      </c>
      <c r="D2109" s="16" t="s">
        <v>707</v>
      </c>
      <c r="E2109" s="16">
        <v>2012.0</v>
      </c>
      <c r="F2109" s="16">
        <v>51.1399</v>
      </c>
      <c r="G2109" s="16">
        <v>13.3651</v>
      </c>
      <c r="H2109" s="15"/>
      <c r="I2109" s="15"/>
    </row>
    <row r="2110">
      <c r="A2110" s="18">
        <v>45665.0</v>
      </c>
      <c r="B2110" s="16" t="s">
        <v>2936</v>
      </c>
      <c r="C2110" s="16" t="s">
        <v>1090</v>
      </c>
      <c r="D2110" s="16" t="s">
        <v>707</v>
      </c>
      <c r="E2110" s="16">
        <v>2012.0</v>
      </c>
      <c r="F2110" s="16">
        <v>50.9555</v>
      </c>
      <c r="G2110" s="16">
        <v>12.4565</v>
      </c>
      <c r="H2110" s="15"/>
      <c r="I2110" s="15"/>
    </row>
    <row r="2111">
      <c r="A2111" s="18">
        <v>45665.0</v>
      </c>
      <c r="B2111" s="16" t="s">
        <v>2937</v>
      </c>
      <c r="C2111" s="16" t="s">
        <v>1374</v>
      </c>
      <c r="D2111" s="16" t="s">
        <v>707</v>
      </c>
      <c r="E2111" s="16">
        <v>2012.0</v>
      </c>
      <c r="F2111" s="16">
        <v>51.155</v>
      </c>
      <c r="G2111" s="16">
        <v>13.111</v>
      </c>
      <c r="H2111" s="15"/>
      <c r="I2111" s="15"/>
    </row>
    <row r="2112">
      <c r="A2112" s="18">
        <v>45665.0</v>
      </c>
      <c r="B2112" s="16" t="s">
        <v>2938</v>
      </c>
      <c r="C2112" s="16" t="s">
        <v>1046</v>
      </c>
      <c r="D2112" s="16" t="s">
        <v>707</v>
      </c>
      <c r="E2112" s="16">
        <v>2012.0</v>
      </c>
      <c r="F2112" s="16">
        <v>51.155</v>
      </c>
      <c r="G2112" s="16">
        <v>13.111</v>
      </c>
      <c r="H2112" s="15"/>
      <c r="I2112" s="15"/>
    </row>
    <row r="2113">
      <c r="A2113" s="18">
        <v>45665.0</v>
      </c>
      <c r="B2113" s="16" t="s">
        <v>2939</v>
      </c>
      <c r="C2113" s="16" t="s">
        <v>1374</v>
      </c>
      <c r="D2113" s="16" t="s">
        <v>707</v>
      </c>
      <c r="E2113" s="16">
        <v>2012.0</v>
      </c>
      <c r="F2113" s="16">
        <v>53.9111</v>
      </c>
      <c r="G2113" s="16">
        <v>13.2973</v>
      </c>
      <c r="H2113" s="15"/>
      <c r="I2113" s="15"/>
    </row>
    <row r="2114">
      <c r="A2114" s="18">
        <v>45665.0</v>
      </c>
      <c r="B2114" s="16" t="s">
        <v>2940</v>
      </c>
      <c r="C2114" s="16" t="s">
        <v>959</v>
      </c>
      <c r="D2114" s="16" t="s">
        <v>707</v>
      </c>
      <c r="E2114" s="16">
        <v>2012.0</v>
      </c>
      <c r="F2114" s="16">
        <v>51.7566</v>
      </c>
      <c r="G2114" s="16">
        <v>11.0931</v>
      </c>
      <c r="H2114" s="15"/>
      <c r="I2114" s="15"/>
    </row>
    <row r="2115">
      <c r="A2115" s="18">
        <v>45665.0</v>
      </c>
      <c r="B2115" s="16" t="s">
        <v>2941</v>
      </c>
      <c r="C2115" s="16" t="s">
        <v>1090</v>
      </c>
      <c r="D2115" s="16" t="s">
        <v>707</v>
      </c>
      <c r="E2115" s="16">
        <v>2012.0</v>
      </c>
      <c r="F2115" s="16">
        <v>52.5427</v>
      </c>
      <c r="G2115" s="16">
        <v>13.7075</v>
      </c>
      <c r="H2115" s="15"/>
      <c r="I2115" s="15"/>
    </row>
    <row r="2116">
      <c r="A2116" s="18">
        <v>45665.0</v>
      </c>
      <c r="B2116" s="16" t="s">
        <v>2942</v>
      </c>
      <c r="C2116" s="16" t="s">
        <v>1931</v>
      </c>
      <c r="D2116" s="16" t="s">
        <v>707</v>
      </c>
      <c r="E2116" s="16">
        <v>2012.0</v>
      </c>
      <c r="F2116" s="16">
        <v>52.6377</v>
      </c>
      <c r="G2116" s="16">
        <v>14.1835</v>
      </c>
      <c r="H2116" s="15"/>
      <c r="I2116" s="15"/>
    </row>
    <row r="2117">
      <c r="A2117" s="18">
        <v>45665.0</v>
      </c>
      <c r="B2117" s="16" t="s">
        <v>2943</v>
      </c>
      <c r="C2117" s="16" t="s">
        <v>959</v>
      </c>
      <c r="D2117" s="16" t="s">
        <v>707</v>
      </c>
      <c r="E2117" s="16">
        <v>2012.0</v>
      </c>
      <c r="F2117" s="16">
        <v>52.9455</v>
      </c>
      <c r="G2117" s="16">
        <v>12.7908</v>
      </c>
      <c r="H2117" s="15"/>
      <c r="I2117" s="15"/>
    </row>
    <row r="2118">
      <c r="A2118" s="18">
        <v>45665.0</v>
      </c>
      <c r="B2118" s="16" t="s">
        <v>2944</v>
      </c>
      <c r="C2118" s="16" t="s">
        <v>1055</v>
      </c>
      <c r="D2118" s="16" t="s">
        <v>707</v>
      </c>
      <c r="E2118" s="16">
        <v>2012.0</v>
      </c>
      <c r="F2118" s="16">
        <v>52.9452</v>
      </c>
      <c r="G2118" s="16">
        <v>12.7896</v>
      </c>
      <c r="H2118" s="15"/>
      <c r="I2118" s="15"/>
    </row>
    <row r="2119">
      <c r="A2119" s="18">
        <v>45665.0</v>
      </c>
      <c r="B2119" s="16" t="s">
        <v>2945</v>
      </c>
      <c r="C2119" s="16" t="s">
        <v>1059</v>
      </c>
      <c r="D2119" s="16" t="s">
        <v>707</v>
      </c>
      <c r="E2119" s="16">
        <v>2012.0</v>
      </c>
      <c r="F2119" s="16">
        <v>52.9451</v>
      </c>
      <c r="G2119" s="16">
        <v>12.7879</v>
      </c>
      <c r="H2119" s="15"/>
      <c r="I2119" s="15"/>
    </row>
    <row r="2120">
      <c r="A2120" s="18">
        <v>45665.0</v>
      </c>
      <c r="B2120" s="16" t="s">
        <v>2946</v>
      </c>
      <c r="C2120" s="16">
        <v>2.0</v>
      </c>
      <c r="D2120" s="16" t="s">
        <v>707</v>
      </c>
      <c r="E2120" s="16">
        <v>2012.0</v>
      </c>
      <c r="F2120" s="16">
        <v>52.9453</v>
      </c>
      <c r="G2120" s="16">
        <v>12.7897</v>
      </c>
      <c r="H2120" s="15"/>
      <c r="I2120" s="15"/>
    </row>
    <row r="2121">
      <c r="A2121" s="18">
        <v>45665.0</v>
      </c>
      <c r="B2121" s="16" t="s">
        <v>2947</v>
      </c>
      <c r="C2121" s="16" t="s">
        <v>1059</v>
      </c>
      <c r="D2121" s="16" t="s">
        <v>707</v>
      </c>
      <c r="E2121" s="16">
        <v>2012.0</v>
      </c>
      <c r="F2121" s="16">
        <v>52.2685</v>
      </c>
      <c r="G2121" s="16">
        <v>9.1437</v>
      </c>
      <c r="H2121" s="15"/>
      <c r="I2121" s="15"/>
    </row>
    <row r="2122">
      <c r="A2122" s="18">
        <v>45665.0</v>
      </c>
      <c r="B2122" s="16" t="s">
        <v>2948</v>
      </c>
      <c r="C2122" s="16" t="s">
        <v>969</v>
      </c>
      <c r="D2122" s="16" t="s">
        <v>707</v>
      </c>
      <c r="E2122" s="16">
        <v>2012.0</v>
      </c>
      <c r="F2122" s="16">
        <v>50.9891</v>
      </c>
      <c r="G2122" s="16">
        <v>13.0743</v>
      </c>
      <c r="H2122" s="15"/>
      <c r="I2122" s="15"/>
    </row>
    <row r="2123">
      <c r="A2123" s="18">
        <v>45665.0</v>
      </c>
      <c r="B2123" s="16" t="s">
        <v>2949</v>
      </c>
      <c r="C2123" s="16" t="s">
        <v>2457</v>
      </c>
      <c r="D2123" s="16" t="s">
        <v>707</v>
      </c>
      <c r="E2123" s="16">
        <v>2012.0</v>
      </c>
      <c r="F2123" s="16">
        <v>50.9871</v>
      </c>
      <c r="G2123" s="16">
        <v>13.0739</v>
      </c>
      <c r="H2123" s="15"/>
      <c r="I2123" s="15"/>
    </row>
    <row r="2124">
      <c r="A2124" s="18">
        <v>45665.0</v>
      </c>
      <c r="B2124" s="16" t="s">
        <v>2950</v>
      </c>
      <c r="C2124" s="16" t="s">
        <v>1055</v>
      </c>
      <c r="D2124" s="16" t="s">
        <v>707</v>
      </c>
      <c r="E2124" s="16">
        <v>2012.0</v>
      </c>
      <c r="F2124" s="16">
        <v>49.1858</v>
      </c>
      <c r="G2124" s="16">
        <v>7.123</v>
      </c>
      <c r="H2124" s="15"/>
      <c r="I2124" s="15"/>
    </row>
    <row r="2125">
      <c r="A2125" s="18">
        <v>45665.0</v>
      </c>
      <c r="B2125" s="16" t="s">
        <v>2951</v>
      </c>
      <c r="C2125" s="16" t="s">
        <v>1055</v>
      </c>
      <c r="D2125" s="16" t="s">
        <v>707</v>
      </c>
      <c r="E2125" s="16">
        <v>2012.0</v>
      </c>
      <c r="F2125" s="16">
        <v>52.0518</v>
      </c>
      <c r="G2125" s="16">
        <v>11.5918</v>
      </c>
      <c r="H2125" s="15"/>
      <c r="I2125" s="15"/>
    </row>
    <row r="2126">
      <c r="A2126" s="18">
        <v>45665.0</v>
      </c>
      <c r="B2126" s="16" t="s">
        <v>2952</v>
      </c>
      <c r="C2126" s="16" t="s">
        <v>1101</v>
      </c>
      <c r="D2126" s="16" t="s">
        <v>707</v>
      </c>
      <c r="E2126" s="16">
        <v>2012.0</v>
      </c>
      <c r="F2126" s="16">
        <v>51.9193</v>
      </c>
      <c r="G2126" s="16">
        <v>12.1063</v>
      </c>
      <c r="H2126" s="15"/>
      <c r="I2126" s="15"/>
    </row>
    <row r="2127">
      <c r="A2127" s="18">
        <v>45665.0</v>
      </c>
      <c r="B2127" s="16" t="s">
        <v>2953</v>
      </c>
      <c r="C2127" s="16" t="s">
        <v>959</v>
      </c>
      <c r="D2127" s="16" t="s">
        <v>707</v>
      </c>
      <c r="E2127" s="16">
        <v>2012.0</v>
      </c>
      <c r="F2127" s="16">
        <v>49.6261</v>
      </c>
      <c r="G2127" s="16">
        <v>12.0694</v>
      </c>
      <c r="H2127" s="15"/>
      <c r="I2127" s="15"/>
    </row>
    <row r="2128">
      <c r="A2128" s="18">
        <v>45665.0</v>
      </c>
      <c r="B2128" s="16" t="s">
        <v>2954</v>
      </c>
      <c r="C2128" s="16" t="s">
        <v>1051</v>
      </c>
      <c r="D2128" s="16" t="s">
        <v>707</v>
      </c>
      <c r="E2128" s="16">
        <v>2012.0</v>
      </c>
      <c r="F2128" s="16">
        <v>51.4295</v>
      </c>
      <c r="G2128" s="16">
        <v>12.3658</v>
      </c>
      <c r="H2128" s="15"/>
      <c r="I2128" s="15"/>
    </row>
    <row r="2129">
      <c r="A2129" s="18">
        <v>45665.0</v>
      </c>
      <c r="B2129" s="16" t="s">
        <v>2955</v>
      </c>
      <c r="C2129" s="16" t="s">
        <v>1059</v>
      </c>
      <c r="D2129" s="16" t="s">
        <v>707</v>
      </c>
      <c r="E2129" s="16">
        <v>2012.0</v>
      </c>
      <c r="F2129" s="16">
        <v>51.429</v>
      </c>
      <c r="G2129" s="16">
        <v>12.3694</v>
      </c>
      <c r="H2129" s="15"/>
      <c r="I2129" s="15"/>
    </row>
    <row r="2130">
      <c r="A2130" s="18">
        <v>45665.0</v>
      </c>
      <c r="B2130" s="16" t="s">
        <v>2956</v>
      </c>
      <c r="C2130" s="16" t="s">
        <v>942</v>
      </c>
      <c r="D2130" s="16" t="s">
        <v>707</v>
      </c>
      <c r="E2130" s="16">
        <v>2012.0</v>
      </c>
      <c r="F2130" s="16">
        <v>52.2268</v>
      </c>
      <c r="G2130" s="16">
        <v>13.3169</v>
      </c>
      <c r="H2130" s="15"/>
      <c r="I2130" s="15"/>
    </row>
    <row r="2131">
      <c r="A2131" s="18">
        <v>45665.0</v>
      </c>
      <c r="B2131" s="16" t="s">
        <v>2957</v>
      </c>
      <c r="C2131" s="16" t="s">
        <v>946</v>
      </c>
      <c r="D2131" s="16" t="s">
        <v>707</v>
      </c>
      <c r="E2131" s="16">
        <v>2012.0</v>
      </c>
      <c r="F2131" s="16">
        <v>52.703</v>
      </c>
      <c r="G2131" s="16">
        <v>11.0515</v>
      </c>
      <c r="H2131" s="15"/>
      <c r="I2131" s="15"/>
    </row>
    <row r="2132">
      <c r="A2132" s="18">
        <v>45665.0</v>
      </c>
      <c r="B2132" s="16" t="s">
        <v>2958</v>
      </c>
      <c r="C2132" s="16" t="s">
        <v>1059</v>
      </c>
      <c r="D2132" s="16" t="s">
        <v>707</v>
      </c>
      <c r="E2132" s="16">
        <v>2012.0</v>
      </c>
      <c r="F2132" s="16">
        <v>50.8735</v>
      </c>
      <c r="G2132" s="16">
        <v>12.194</v>
      </c>
      <c r="H2132" s="15"/>
      <c r="I2132" s="15"/>
    </row>
    <row r="2133">
      <c r="A2133" s="18">
        <v>45665.0</v>
      </c>
      <c r="B2133" s="16" t="s">
        <v>2959</v>
      </c>
      <c r="C2133" s="16" t="s">
        <v>1609</v>
      </c>
      <c r="D2133" s="16" t="s">
        <v>707</v>
      </c>
      <c r="E2133" s="16">
        <v>2012.0</v>
      </c>
      <c r="F2133" s="16">
        <v>50.8724</v>
      </c>
      <c r="G2133" s="16">
        <v>12.1903</v>
      </c>
      <c r="H2133" s="15"/>
      <c r="I2133" s="15"/>
    </row>
    <row r="2134">
      <c r="A2134" s="18">
        <v>45665.0</v>
      </c>
      <c r="B2134" s="16" t="s">
        <v>2960</v>
      </c>
      <c r="C2134" s="16" t="s">
        <v>948</v>
      </c>
      <c r="D2134" s="16" t="s">
        <v>707</v>
      </c>
      <c r="E2134" s="16">
        <v>2012.0</v>
      </c>
      <c r="F2134" s="16">
        <v>51.2971</v>
      </c>
      <c r="G2134" s="16">
        <v>11.4229</v>
      </c>
      <c r="H2134" s="15"/>
      <c r="I2134" s="15"/>
    </row>
    <row r="2135">
      <c r="A2135" s="18">
        <v>45665.0</v>
      </c>
      <c r="B2135" s="16" t="s">
        <v>2961</v>
      </c>
      <c r="C2135" s="16">
        <v>5.0</v>
      </c>
      <c r="D2135" s="16" t="s">
        <v>707</v>
      </c>
      <c r="E2135" s="16">
        <v>2012.0</v>
      </c>
      <c r="F2135" s="16">
        <v>52.407</v>
      </c>
      <c r="G2135" s="16">
        <v>11.1244</v>
      </c>
      <c r="H2135" s="15"/>
      <c r="I2135" s="15"/>
    </row>
    <row r="2136">
      <c r="A2136" s="18">
        <v>45665.0</v>
      </c>
      <c r="B2136" s="16" t="s">
        <v>2962</v>
      </c>
      <c r="C2136" s="16" t="s">
        <v>1267</v>
      </c>
      <c r="D2136" s="16" t="s">
        <v>707</v>
      </c>
      <c r="E2136" s="16">
        <v>2012.0</v>
      </c>
      <c r="F2136" s="16">
        <v>48.1632</v>
      </c>
      <c r="G2136" s="16">
        <v>9.792</v>
      </c>
      <c r="H2136" s="15"/>
      <c r="I2136" s="15"/>
    </row>
    <row r="2137">
      <c r="A2137" s="18">
        <v>45665.0</v>
      </c>
      <c r="B2137" s="16" t="s">
        <v>2963</v>
      </c>
      <c r="C2137" s="16" t="s">
        <v>959</v>
      </c>
      <c r="D2137" s="16" t="s">
        <v>707</v>
      </c>
      <c r="E2137" s="16">
        <v>2012.0</v>
      </c>
      <c r="F2137" s="16">
        <v>48.2302</v>
      </c>
      <c r="G2137" s="16">
        <v>9.8633</v>
      </c>
      <c r="H2137" s="15"/>
      <c r="I2137" s="15"/>
    </row>
    <row r="2138">
      <c r="A2138" s="18">
        <v>45665.0</v>
      </c>
      <c r="B2138" s="16" t="s">
        <v>2964</v>
      </c>
      <c r="C2138" s="16" t="s">
        <v>942</v>
      </c>
      <c r="D2138" s="16" t="s">
        <v>707</v>
      </c>
      <c r="E2138" s="16">
        <v>2012.0</v>
      </c>
      <c r="F2138" s="16">
        <v>51.5964</v>
      </c>
      <c r="G2138" s="16">
        <v>12.0834</v>
      </c>
      <c r="H2138" s="15"/>
      <c r="I2138" s="15"/>
    </row>
    <row r="2139">
      <c r="A2139" s="18">
        <v>45665.0</v>
      </c>
      <c r="B2139" s="16" t="s">
        <v>2965</v>
      </c>
      <c r="C2139" s="16">
        <v>10.0</v>
      </c>
      <c r="D2139" s="16" t="s">
        <v>707</v>
      </c>
      <c r="E2139" s="16">
        <v>2012.0</v>
      </c>
      <c r="F2139" s="16">
        <v>51.4945</v>
      </c>
      <c r="G2139" s="16">
        <v>13.8411</v>
      </c>
      <c r="H2139" s="15"/>
      <c r="I2139" s="15"/>
    </row>
    <row r="2140">
      <c r="A2140" s="18">
        <v>45665.0</v>
      </c>
      <c r="B2140" s="16" t="s">
        <v>2966</v>
      </c>
      <c r="C2140" s="16" t="s">
        <v>969</v>
      </c>
      <c r="D2140" s="16" t="s">
        <v>707</v>
      </c>
      <c r="E2140" s="16">
        <v>2012.0</v>
      </c>
      <c r="F2140" s="16">
        <v>48.9168</v>
      </c>
      <c r="G2140" s="16">
        <v>12.292</v>
      </c>
      <c r="H2140" s="15"/>
      <c r="I2140" s="15"/>
    </row>
    <row r="2141">
      <c r="A2141" s="18">
        <v>45665.0</v>
      </c>
      <c r="B2141" s="16" t="s">
        <v>2967</v>
      </c>
      <c r="C2141" s="16" t="s">
        <v>951</v>
      </c>
      <c r="D2141" s="16" t="s">
        <v>707</v>
      </c>
      <c r="E2141" s="16">
        <v>2012.0</v>
      </c>
      <c r="F2141" s="16">
        <v>47.6714</v>
      </c>
      <c r="G2141" s="16">
        <v>10.4101</v>
      </c>
      <c r="H2141" s="15"/>
      <c r="I2141" s="15"/>
    </row>
    <row r="2142">
      <c r="A2142" s="18">
        <v>45665.0</v>
      </c>
      <c r="B2142" s="16" t="s">
        <v>2968</v>
      </c>
      <c r="C2142" s="16" t="s">
        <v>1059</v>
      </c>
      <c r="D2142" s="16" t="s">
        <v>707</v>
      </c>
      <c r="E2142" s="16">
        <v>2012.0</v>
      </c>
      <c r="F2142" s="16">
        <v>52.587</v>
      </c>
      <c r="G2142" s="16">
        <v>11.8948</v>
      </c>
      <c r="H2142" s="15"/>
      <c r="I2142" s="15"/>
    </row>
    <row r="2143">
      <c r="A2143" s="18">
        <v>45665.0</v>
      </c>
      <c r="B2143" s="16" t="s">
        <v>2969</v>
      </c>
      <c r="C2143" s="16" t="s">
        <v>1720</v>
      </c>
      <c r="D2143" s="16" t="s">
        <v>707</v>
      </c>
      <c r="E2143" s="16">
        <v>2012.0</v>
      </c>
      <c r="F2143" s="16">
        <v>53.5166</v>
      </c>
      <c r="G2143" s="16">
        <v>11.4231</v>
      </c>
      <c r="H2143" s="15"/>
      <c r="I2143" s="15"/>
    </row>
    <row r="2144">
      <c r="A2144" s="18">
        <v>45665.0</v>
      </c>
      <c r="B2144" s="16" t="s">
        <v>2970</v>
      </c>
      <c r="C2144" s="16" t="s">
        <v>946</v>
      </c>
      <c r="D2144" s="16" t="s">
        <v>707</v>
      </c>
      <c r="E2144" s="16">
        <v>2012.0</v>
      </c>
      <c r="F2144" s="16">
        <v>51.388</v>
      </c>
      <c r="G2144" s="16">
        <v>12.507</v>
      </c>
      <c r="H2144" s="15"/>
      <c r="I2144" s="15"/>
    </row>
    <row r="2145">
      <c r="A2145" s="18">
        <v>45665.0</v>
      </c>
      <c r="B2145" s="16" t="s">
        <v>2971</v>
      </c>
      <c r="C2145" s="16" t="s">
        <v>1215</v>
      </c>
      <c r="D2145" s="16" t="s">
        <v>707</v>
      </c>
      <c r="E2145" s="16">
        <v>2012.0</v>
      </c>
      <c r="F2145" s="16">
        <v>51.388</v>
      </c>
      <c r="G2145" s="16">
        <v>12.507</v>
      </c>
      <c r="H2145" s="15"/>
      <c r="I2145" s="15"/>
    </row>
    <row r="2146">
      <c r="A2146" s="18">
        <v>45665.0</v>
      </c>
      <c r="B2146" s="16" t="s">
        <v>2972</v>
      </c>
      <c r="C2146" s="16" t="s">
        <v>2821</v>
      </c>
      <c r="D2146" s="16" t="s">
        <v>707</v>
      </c>
      <c r="E2146" s="16">
        <v>2012.0</v>
      </c>
      <c r="F2146" s="16">
        <v>50.931</v>
      </c>
      <c r="G2146" s="16">
        <v>11.9041</v>
      </c>
      <c r="H2146" s="15"/>
      <c r="I2146" s="15"/>
    </row>
    <row r="2147">
      <c r="A2147" s="18">
        <v>45665.0</v>
      </c>
      <c r="B2147" s="16" t="s">
        <v>2973</v>
      </c>
      <c r="C2147" s="16" t="s">
        <v>1310</v>
      </c>
      <c r="D2147" s="16" t="s">
        <v>707</v>
      </c>
      <c r="E2147" s="16">
        <v>2012.0</v>
      </c>
      <c r="F2147" s="16">
        <v>53.8316</v>
      </c>
      <c r="G2147" s="16">
        <v>12.5629</v>
      </c>
      <c r="H2147" s="15"/>
      <c r="I2147" s="15"/>
    </row>
    <row r="2148">
      <c r="A2148" s="18">
        <v>45665.0</v>
      </c>
      <c r="B2148" s="16" t="s">
        <v>2974</v>
      </c>
      <c r="C2148" s="16" t="s">
        <v>2668</v>
      </c>
      <c r="D2148" s="16" t="s">
        <v>707</v>
      </c>
      <c r="E2148" s="16">
        <v>2012.0</v>
      </c>
      <c r="F2148" s="16">
        <v>51.5741</v>
      </c>
      <c r="G2148" s="16">
        <v>12.9817</v>
      </c>
      <c r="H2148" s="15"/>
      <c r="I2148" s="15"/>
    </row>
    <row r="2149">
      <c r="A2149" s="18">
        <v>45665.0</v>
      </c>
      <c r="B2149" s="16" t="s">
        <v>2975</v>
      </c>
      <c r="C2149" s="16">
        <v>1.0</v>
      </c>
      <c r="D2149" s="16" t="s">
        <v>707</v>
      </c>
      <c r="E2149" s="16">
        <v>2012.0</v>
      </c>
      <c r="F2149" s="16">
        <v>51.851</v>
      </c>
      <c r="G2149" s="16">
        <v>13.6235</v>
      </c>
      <c r="H2149" s="15"/>
      <c r="I2149" s="15"/>
    </row>
    <row r="2150">
      <c r="A2150" s="18">
        <v>45665.0</v>
      </c>
      <c r="B2150" s="16" t="s">
        <v>2976</v>
      </c>
      <c r="C2150" s="16" t="s">
        <v>1267</v>
      </c>
      <c r="D2150" s="16" t="s">
        <v>707</v>
      </c>
      <c r="E2150" s="16">
        <v>2012.0</v>
      </c>
      <c r="F2150" s="16">
        <v>50.0372</v>
      </c>
      <c r="G2150" s="16">
        <v>11.4835</v>
      </c>
      <c r="H2150" s="15"/>
      <c r="I2150" s="15"/>
    </row>
    <row r="2151">
      <c r="A2151" s="18">
        <v>45665.0</v>
      </c>
      <c r="B2151" s="16" t="s">
        <v>2977</v>
      </c>
      <c r="C2151" s="16" t="s">
        <v>942</v>
      </c>
      <c r="D2151" s="16" t="s">
        <v>707</v>
      </c>
      <c r="E2151" s="16">
        <v>2012.0</v>
      </c>
      <c r="F2151" s="16">
        <v>52.4288</v>
      </c>
      <c r="G2151" s="16">
        <v>12.5466</v>
      </c>
      <c r="H2151" s="15"/>
      <c r="I2151" s="15"/>
    </row>
    <row r="2152">
      <c r="A2152" s="18">
        <v>45665.0</v>
      </c>
      <c r="B2152" s="16" t="s">
        <v>2978</v>
      </c>
      <c r="C2152" s="16" t="s">
        <v>959</v>
      </c>
      <c r="D2152" s="16" t="s">
        <v>707</v>
      </c>
      <c r="E2152" s="16">
        <v>2012.0</v>
      </c>
      <c r="F2152" s="16">
        <v>52.2481</v>
      </c>
      <c r="G2152" s="16">
        <v>11.5006</v>
      </c>
      <c r="H2152" s="15"/>
      <c r="I2152" s="15"/>
    </row>
    <row r="2153">
      <c r="A2153" s="18">
        <v>45665.0</v>
      </c>
      <c r="B2153" s="16" t="s">
        <v>2979</v>
      </c>
      <c r="C2153" s="16" t="s">
        <v>1051</v>
      </c>
      <c r="D2153" s="16" t="s">
        <v>707</v>
      </c>
      <c r="E2153" s="16">
        <v>2012.0</v>
      </c>
      <c r="F2153" s="16">
        <v>51.3962</v>
      </c>
      <c r="G2153" s="16">
        <v>11.2988</v>
      </c>
      <c r="H2153" s="15"/>
      <c r="I2153" s="15"/>
    </row>
    <row r="2154">
      <c r="A2154" s="18">
        <v>45665.0</v>
      </c>
      <c r="B2154" s="16" t="s">
        <v>2980</v>
      </c>
      <c r="C2154" s="16" t="s">
        <v>1773</v>
      </c>
      <c r="D2154" s="16" t="s">
        <v>707</v>
      </c>
      <c r="E2154" s="16">
        <v>2012.0</v>
      </c>
      <c r="F2154" s="16">
        <v>51.7757</v>
      </c>
      <c r="G2154" s="16">
        <v>13.6063</v>
      </c>
      <c r="H2154" s="15"/>
      <c r="I2154" s="15"/>
    </row>
    <row r="2155">
      <c r="A2155" s="18">
        <v>45665.0</v>
      </c>
      <c r="B2155" s="16" t="s">
        <v>2981</v>
      </c>
      <c r="C2155" s="16" t="s">
        <v>946</v>
      </c>
      <c r="D2155" s="16" t="s">
        <v>707</v>
      </c>
      <c r="E2155" s="16">
        <v>2012.0</v>
      </c>
      <c r="F2155" s="16">
        <v>53.9554</v>
      </c>
      <c r="G2155" s="16">
        <v>12.8168</v>
      </c>
      <c r="H2155" s="15"/>
      <c r="I2155" s="15"/>
    </row>
    <row r="2156">
      <c r="A2156" s="18">
        <v>45665.0</v>
      </c>
      <c r="B2156" s="16" t="s">
        <v>2982</v>
      </c>
      <c r="C2156" s="16" t="s">
        <v>1172</v>
      </c>
      <c r="D2156" s="16" t="s">
        <v>707</v>
      </c>
      <c r="E2156" s="16">
        <v>2012.0</v>
      </c>
      <c r="F2156" s="16">
        <v>51.9761</v>
      </c>
      <c r="G2156" s="16">
        <v>12.1047</v>
      </c>
      <c r="H2156" s="15"/>
      <c r="I2156" s="15"/>
    </row>
    <row r="2157">
      <c r="A2157" s="18">
        <v>45665.0</v>
      </c>
      <c r="B2157" s="16" t="s">
        <v>2983</v>
      </c>
      <c r="C2157" s="16" t="s">
        <v>969</v>
      </c>
      <c r="D2157" s="16" t="s">
        <v>707</v>
      </c>
      <c r="E2157" s="16">
        <v>2012.0</v>
      </c>
      <c r="F2157" s="16">
        <v>50.8567</v>
      </c>
      <c r="G2157" s="16">
        <v>11.5146</v>
      </c>
      <c r="H2157" s="15"/>
      <c r="I2157" s="15"/>
    </row>
    <row r="2158">
      <c r="A2158" s="18">
        <v>45665.0</v>
      </c>
      <c r="B2158" s="16" t="s">
        <v>2984</v>
      </c>
      <c r="C2158" s="16" t="s">
        <v>971</v>
      </c>
      <c r="D2158" s="16" t="s">
        <v>707</v>
      </c>
      <c r="E2158" s="16">
        <v>2012.0</v>
      </c>
      <c r="F2158" s="16">
        <v>51.5575</v>
      </c>
      <c r="G2158" s="16">
        <v>10.3725</v>
      </c>
      <c r="H2158" s="15"/>
      <c r="I2158" s="15"/>
    </row>
    <row r="2159">
      <c r="A2159" s="18">
        <v>45665.0</v>
      </c>
      <c r="B2159" s="16" t="s">
        <v>2985</v>
      </c>
      <c r="C2159" s="16" t="s">
        <v>942</v>
      </c>
      <c r="D2159" s="16" t="s">
        <v>707</v>
      </c>
      <c r="E2159" s="16">
        <v>2012.0</v>
      </c>
      <c r="F2159" s="16">
        <v>51.4585</v>
      </c>
      <c r="G2159" s="16">
        <v>11.5117</v>
      </c>
      <c r="H2159" s="15"/>
      <c r="I2159" s="15"/>
    </row>
    <row r="2160">
      <c r="A2160" s="18">
        <v>45665.0</v>
      </c>
      <c r="B2160" s="16" t="s">
        <v>2986</v>
      </c>
      <c r="C2160" s="16" t="s">
        <v>1004</v>
      </c>
      <c r="D2160" s="16" t="s">
        <v>707</v>
      </c>
      <c r="E2160" s="16">
        <v>2012.0</v>
      </c>
      <c r="F2160" s="16">
        <v>51.8616</v>
      </c>
      <c r="G2160" s="16">
        <v>11.0545</v>
      </c>
      <c r="H2160" s="15"/>
      <c r="I2160" s="15"/>
    </row>
    <row r="2161">
      <c r="A2161" s="18">
        <v>45665.0</v>
      </c>
      <c r="B2161" s="16" t="s">
        <v>2987</v>
      </c>
      <c r="C2161" s="16" t="s">
        <v>2988</v>
      </c>
      <c r="D2161" s="16" t="s">
        <v>707</v>
      </c>
      <c r="E2161" s="16">
        <v>2012.0</v>
      </c>
      <c r="F2161" s="16">
        <v>51.868</v>
      </c>
      <c r="G2161" s="16">
        <v>11.052</v>
      </c>
      <c r="H2161" s="15"/>
      <c r="I2161" s="15"/>
    </row>
    <row r="2162">
      <c r="A2162" s="18">
        <v>45665.0</v>
      </c>
      <c r="B2162" s="16" t="s">
        <v>2989</v>
      </c>
      <c r="C2162" s="16" t="s">
        <v>2990</v>
      </c>
      <c r="D2162" s="16" t="s">
        <v>707</v>
      </c>
      <c r="E2162" s="16">
        <v>2012.0</v>
      </c>
      <c r="F2162" s="16">
        <v>52.537</v>
      </c>
      <c r="G2162" s="16">
        <v>11.624</v>
      </c>
      <c r="H2162" s="15"/>
      <c r="I2162" s="15"/>
    </row>
    <row r="2163">
      <c r="A2163" s="18">
        <v>45665.0</v>
      </c>
      <c r="B2163" s="16" t="s">
        <v>2991</v>
      </c>
      <c r="C2163" s="16" t="s">
        <v>1099</v>
      </c>
      <c r="D2163" s="16" t="s">
        <v>707</v>
      </c>
      <c r="E2163" s="16">
        <v>2012.0</v>
      </c>
      <c r="F2163" s="16">
        <v>50.2728</v>
      </c>
      <c r="G2163" s="16">
        <v>11.9855</v>
      </c>
      <c r="H2163" s="15"/>
      <c r="I2163" s="15"/>
    </row>
    <row r="2164">
      <c r="A2164" s="18">
        <v>45665.0</v>
      </c>
      <c r="B2164" s="16" t="s">
        <v>2992</v>
      </c>
      <c r="C2164" s="16" t="s">
        <v>1167</v>
      </c>
      <c r="D2164" s="16" t="s">
        <v>707</v>
      </c>
      <c r="E2164" s="16">
        <v>2012.0</v>
      </c>
      <c r="F2164" s="16">
        <v>54.3165</v>
      </c>
      <c r="G2164" s="16">
        <v>9.6404</v>
      </c>
      <c r="H2164" s="15"/>
      <c r="I2164" s="15"/>
    </row>
    <row r="2165">
      <c r="A2165" s="18">
        <v>45665.0</v>
      </c>
      <c r="B2165" s="16" t="s">
        <v>2993</v>
      </c>
      <c r="C2165" s="16" t="s">
        <v>1037</v>
      </c>
      <c r="D2165" s="16" t="s">
        <v>707</v>
      </c>
      <c r="E2165" s="16">
        <v>2012.0</v>
      </c>
      <c r="F2165" s="16">
        <v>49.3446</v>
      </c>
      <c r="G2165" s="16">
        <v>7.2557</v>
      </c>
      <c r="H2165" s="15"/>
      <c r="I2165" s="15"/>
    </row>
    <row r="2166">
      <c r="A2166" s="18">
        <v>45665.0</v>
      </c>
      <c r="B2166" s="16" t="s">
        <v>2994</v>
      </c>
      <c r="C2166" s="16" t="s">
        <v>1267</v>
      </c>
      <c r="D2166" s="16" t="s">
        <v>707</v>
      </c>
      <c r="E2166" s="16">
        <v>2012.0</v>
      </c>
      <c r="F2166" s="16">
        <v>48.8758</v>
      </c>
      <c r="G2166" s="16">
        <v>12.4307</v>
      </c>
      <c r="H2166" s="15"/>
      <c r="I2166" s="15"/>
    </row>
    <row r="2167">
      <c r="A2167" s="18">
        <v>45665.0</v>
      </c>
      <c r="B2167" s="16" t="s">
        <v>2995</v>
      </c>
      <c r="C2167" s="16" t="s">
        <v>948</v>
      </c>
      <c r="D2167" s="16" t="s">
        <v>707</v>
      </c>
      <c r="E2167" s="16">
        <v>2012.0</v>
      </c>
      <c r="F2167" s="16">
        <v>48.8536</v>
      </c>
      <c r="G2167" s="16">
        <v>12.4331</v>
      </c>
      <c r="H2167" s="15"/>
      <c r="I2167" s="15"/>
    </row>
    <row r="2168">
      <c r="A2168" s="18">
        <v>45665.0</v>
      </c>
      <c r="B2168" s="16" t="s">
        <v>2996</v>
      </c>
      <c r="C2168" s="16" t="s">
        <v>959</v>
      </c>
      <c r="D2168" s="16" t="s">
        <v>707</v>
      </c>
      <c r="E2168" s="16">
        <v>2012.0</v>
      </c>
      <c r="F2168" s="16">
        <v>48.8736</v>
      </c>
      <c r="G2168" s="16">
        <v>12.4635</v>
      </c>
      <c r="H2168" s="15"/>
      <c r="I2168" s="15"/>
    </row>
    <row r="2169">
      <c r="A2169" s="18">
        <v>45665.0</v>
      </c>
      <c r="B2169" s="16" t="s">
        <v>2997</v>
      </c>
      <c r="C2169" s="16" t="s">
        <v>948</v>
      </c>
      <c r="D2169" s="16" t="s">
        <v>707</v>
      </c>
      <c r="E2169" s="16">
        <v>2012.0</v>
      </c>
      <c r="F2169" s="16">
        <v>48.152</v>
      </c>
      <c r="G2169" s="16">
        <v>12.7489</v>
      </c>
      <c r="H2169" s="15"/>
      <c r="I2169" s="15"/>
    </row>
    <row r="2170">
      <c r="A2170" s="18">
        <v>45665.0</v>
      </c>
      <c r="B2170" s="16" t="s">
        <v>2998</v>
      </c>
      <c r="C2170" s="16" t="s">
        <v>951</v>
      </c>
      <c r="D2170" s="16" t="s">
        <v>707</v>
      </c>
      <c r="E2170" s="16">
        <v>2012.0</v>
      </c>
      <c r="F2170" s="16">
        <v>49.5604</v>
      </c>
      <c r="G2170" s="16">
        <v>7.8944</v>
      </c>
      <c r="H2170" s="15"/>
      <c r="I2170" s="15"/>
    </row>
    <row r="2171">
      <c r="A2171" s="18">
        <v>45665.0</v>
      </c>
      <c r="B2171" s="16" t="s">
        <v>2999</v>
      </c>
      <c r="C2171" s="16" t="s">
        <v>982</v>
      </c>
      <c r="D2171" s="16" t="s">
        <v>707</v>
      </c>
      <c r="E2171" s="16">
        <v>2012.0</v>
      </c>
      <c r="F2171" s="16">
        <v>48.0933</v>
      </c>
      <c r="G2171" s="16">
        <v>10.9007</v>
      </c>
      <c r="H2171" s="15"/>
      <c r="I2171" s="15"/>
    </row>
    <row r="2172">
      <c r="A2172" s="18">
        <v>45665.0</v>
      </c>
      <c r="B2172" s="16" t="s">
        <v>3000</v>
      </c>
      <c r="C2172" s="16">
        <v>1.0</v>
      </c>
      <c r="D2172" s="16" t="s">
        <v>707</v>
      </c>
      <c r="E2172" s="16">
        <v>2012.0</v>
      </c>
      <c r="F2172" s="16">
        <v>49.3918</v>
      </c>
      <c r="G2172" s="16">
        <v>7.438</v>
      </c>
      <c r="H2172" s="15"/>
      <c r="I2172" s="15"/>
    </row>
    <row r="2173">
      <c r="A2173" s="18">
        <v>45665.0</v>
      </c>
      <c r="B2173" s="16" t="s">
        <v>3001</v>
      </c>
      <c r="C2173" s="16" t="s">
        <v>942</v>
      </c>
      <c r="D2173" s="16" t="s">
        <v>707</v>
      </c>
      <c r="E2173" s="16">
        <v>2012.0</v>
      </c>
      <c r="F2173" s="16">
        <v>49.2862</v>
      </c>
      <c r="G2173" s="16">
        <v>11.4268</v>
      </c>
      <c r="H2173" s="15"/>
      <c r="I2173" s="15"/>
    </row>
    <row r="2174">
      <c r="A2174" s="18">
        <v>45665.0</v>
      </c>
      <c r="B2174" s="16" t="s">
        <v>3002</v>
      </c>
      <c r="C2174" s="16" t="s">
        <v>990</v>
      </c>
      <c r="D2174" s="16" t="s">
        <v>707</v>
      </c>
      <c r="E2174" s="16">
        <v>2012.0</v>
      </c>
      <c r="F2174" s="16">
        <v>49.3269</v>
      </c>
      <c r="G2174" s="16">
        <v>10.5201</v>
      </c>
      <c r="H2174" s="15"/>
      <c r="I2174" s="15"/>
    </row>
    <row r="2175">
      <c r="A2175" s="18">
        <v>45665.0</v>
      </c>
      <c r="B2175" s="16" t="s">
        <v>3003</v>
      </c>
      <c r="C2175" s="16" t="s">
        <v>1167</v>
      </c>
      <c r="D2175" s="16" t="s">
        <v>707</v>
      </c>
      <c r="E2175" s="16">
        <v>2012.0</v>
      </c>
      <c r="F2175" s="16">
        <v>49.2511</v>
      </c>
      <c r="G2175" s="16">
        <v>10.6234</v>
      </c>
      <c r="H2175" s="15"/>
      <c r="I2175" s="15"/>
    </row>
    <row r="2176">
      <c r="A2176" s="18">
        <v>45665.0</v>
      </c>
      <c r="B2176" s="16" t="s">
        <v>3004</v>
      </c>
      <c r="C2176" s="16" t="s">
        <v>1267</v>
      </c>
      <c r="D2176" s="16" t="s">
        <v>707</v>
      </c>
      <c r="E2176" s="16">
        <v>2012.0</v>
      </c>
      <c r="F2176" s="16">
        <v>52.7216</v>
      </c>
      <c r="G2176" s="16">
        <v>11.8638</v>
      </c>
      <c r="H2176" s="15"/>
      <c r="I2176" s="15"/>
    </row>
    <row r="2177">
      <c r="A2177" s="18">
        <v>45665.0</v>
      </c>
      <c r="B2177" s="16" t="s">
        <v>3005</v>
      </c>
      <c r="C2177" s="16" t="s">
        <v>1167</v>
      </c>
      <c r="D2177" s="16" t="s">
        <v>707</v>
      </c>
      <c r="E2177" s="16">
        <v>2012.0</v>
      </c>
      <c r="F2177" s="16">
        <v>52.335</v>
      </c>
      <c r="G2177" s="16">
        <v>14.5085</v>
      </c>
      <c r="H2177" s="15"/>
      <c r="I2177" s="15"/>
    </row>
    <row r="2178">
      <c r="A2178" s="18">
        <v>45665.0</v>
      </c>
      <c r="B2178" s="16" t="s">
        <v>3006</v>
      </c>
      <c r="C2178" s="16" t="s">
        <v>1172</v>
      </c>
      <c r="D2178" s="16" t="s">
        <v>707</v>
      </c>
      <c r="E2178" s="16">
        <v>2012.0</v>
      </c>
      <c r="F2178" s="16">
        <v>50.1842</v>
      </c>
      <c r="G2178" s="16">
        <v>12.1346</v>
      </c>
      <c r="H2178" s="15"/>
      <c r="I2178" s="15"/>
    </row>
    <row r="2179">
      <c r="A2179" s="18">
        <v>45665.0</v>
      </c>
      <c r="B2179" s="16" t="s">
        <v>3007</v>
      </c>
      <c r="C2179" s="16">
        <v>1.0</v>
      </c>
      <c r="D2179" s="16" t="s">
        <v>707</v>
      </c>
      <c r="E2179" s="16">
        <v>2012.0</v>
      </c>
      <c r="F2179" s="16">
        <v>49.2378</v>
      </c>
      <c r="G2179" s="16">
        <v>10.6297</v>
      </c>
      <c r="H2179" s="15"/>
      <c r="I2179" s="15"/>
    </row>
    <row r="2180">
      <c r="A2180" s="18">
        <v>45665.0</v>
      </c>
      <c r="B2180" s="16" t="s">
        <v>3008</v>
      </c>
      <c r="C2180" s="16" t="s">
        <v>1085</v>
      </c>
      <c r="D2180" s="16" t="s">
        <v>707</v>
      </c>
      <c r="E2180" s="16">
        <v>2012.0</v>
      </c>
      <c r="F2180" s="16">
        <v>52.9278</v>
      </c>
      <c r="G2180" s="16">
        <v>9.9961</v>
      </c>
      <c r="H2180" s="15"/>
      <c r="I2180" s="15"/>
    </row>
    <row r="2181">
      <c r="A2181" s="18">
        <v>45665.0</v>
      </c>
      <c r="B2181" s="16" t="s">
        <v>3009</v>
      </c>
      <c r="C2181" s="16" t="s">
        <v>1037</v>
      </c>
      <c r="D2181" s="16" t="s">
        <v>707</v>
      </c>
      <c r="E2181" s="16">
        <v>2012.0</v>
      </c>
      <c r="F2181" s="16">
        <v>51.0526</v>
      </c>
      <c r="G2181" s="16">
        <v>13.1289</v>
      </c>
      <c r="H2181" s="15"/>
      <c r="I2181" s="15"/>
    </row>
    <row r="2182">
      <c r="A2182" s="18">
        <v>45665.0</v>
      </c>
      <c r="B2182" s="16" t="s">
        <v>3010</v>
      </c>
      <c r="C2182" s="16" t="s">
        <v>1267</v>
      </c>
      <c r="D2182" s="16" t="s">
        <v>707</v>
      </c>
      <c r="E2182" s="16">
        <v>2012.0</v>
      </c>
      <c r="F2182" s="16">
        <v>51.2003</v>
      </c>
      <c r="G2182" s="16">
        <v>10.0668</v>
      </c>
      <c r="H2182" s="15"/>
      <c r="I2182" s="15"/>
    </row>
    <row r="2183">
      <c r="A2183" s="18">
        <v>45665.0</v>
      </c>
      <c r="B2183" s="16" t="s">
        <v>3011</v>
      </c>
      <c r="C2183" s="16">
        <v>1.0</v>
      </c>
      <c r="D2183" s="16" t="s">
        <v>707</v>
      </c>
      <c r="E2183" s="16">
        <v>2012.0</v>
      </c>
      <c r="F2183" s="16">
        <v>51.3715</v>
      </c>
      <c r="G2183" s="16">
        <v>10.7615</v>
      </c>
      <c r="H2183" s="15"/>
      <c r="I2183" s="15"/>
    </row>
    <row r="2184">
      <c r="A2184" s="18">
        <v>45665.0</v>
      </c>
      <c r="B2184" s="16" t="s">
        <v>3012</v>
      </c>
      <c r="C2184" s="16">
        <v>1.0</v>
      </c>
      <c r="D2184" s="16" t="s">
        <v>707</v>
      </c>
      <c r="E2184" s="16">
        <v>2012.0</v>
      </c>
      <c r="F2184" s="16">
        <v>48.9008</v>
      </c>
      <c r="G2184" s="16">
        <v>9.0958</v>
      </c>
      <c r="H2184" s="15"/>
      <c r="I2184" s="15"/>
    </row>
    <row r="2185">
      <c r="A2185" s="18">
        <v>45665.0</v>
      </c>
      <c r="B2185" s="16" t="s">
        <v>3013</v>
      </c>
      <c r="C2185" s="16" t="s">
        <v>1771</v>
      </c>
      <c r="D2185" s="16" t="s">
        <v>707</v>
      </c>
      <c r="E2185" s="16">
        <v>2012.0</v>
      </c>
      <c r="F2185" s="16">
        <v>50.2392</v>
      </c>
      <c r="G2185" s="16">
        <v>11.9718</v>
      </c>
      <c r="H2185" s="15"/>
      <c r="I2185" s="15"/>
    </row>
    <row r="2186">
      <c r="A2186" s="18">
        <v>45665.0</v>
      </c>
      <c r="B2186" s="16" t="s">
        <v>3014</v>
      </c>
      <c r="C2186" s="16">
        <v>1.0</v>
      </c>
      <c r="D2186" s="16" t="s">
        <v>707</v>
      </c>
      <c r="E2186" s="16">
        <v>2012.0</v>
      </c>
      <c r="F2186" s="16">
        <v>49.4431</v>
      </c>
      <c r="G2186" s="16">
        <v>7.6942</v>
      </c>
      <c r="H2186" s="15"/>
      <c r="I2186" s="15"/>
    </row>
    <row r="2187">
      <c r="A2187" s="18">
        <v>45665.0</v>
      </c>
      <c r="B2187" s="16" t="s">
        <v>3015</v>
      </c>
      <c r="C2187" s="16" t="s">
        <v>948</v>
      </c>
      <c r="D2187" s="16" t="s">
        <v>707</v>
      </c>
      <c r="E2187" s="16">
        <v>2012.0</v>
      </c>
      <c r="F2187" s="16">
        <v>52.5467</v>
      </c>
      <c r="G2187" s="16">
        <v>8.8761</v>
      </c>
      <c r="H2187" s="15"/>
      <c r="I2187" s="15"/>
    </row>
    <row r="2188">
      <c r="A2188" s="18">
        <v>45665.0</v>
      </c>
      <c r="B2188" s="16" t="s">
        <v>3016</v>
      </c>
      <c r="C2188" s="16" t="s">
        <v>1059</v>
      </c>
      <c r="D2188" s="16" t="s">
        <v>707</v>
      </c>
      <c r="E2188" s="16">
        <v>2012.0</v>
      </c>
      <c r="F2188" s="16">
        <v>52.4833</v>
      </c>
      <c r="G2188" s="16">
        <v>9.2339</v>
      </c>
      <c r="H2188" s="15"/>
      <c r="I2188" s="15"/>
    </row>
    <row r="2189">
      <c r="A2189" s="18">
        <v>45665.0</v>
      </c>
      <c r="B2189" s="16" t="s">
        <v>3017</v>
      </c>
      <c r="C2189" s="16" t="s">
        <v>948</v>
      </c>
      <c r="D2189" s="16" t="s">
        <v>707</v>
      </c>
      <c r="E2189" s="16">
        <v>2012.0</v>
      </c>
      <c r="F2189" s="16">
        <v>51.8908</v>
      </c>
      <c r="G2189" s="16">
        <v>12.4348</v>
      </c>
      <c r="H2189" s="15"/>
      <c r="I2189" s="15"/>
    </row>
    <row r="2190">
      <c r="A2190" s="18">
        <v>45665.0</v>
      </c>
      <c r="B2190" s="16" t="s">
        <v>3018</v>
      </c>
      <c r="C2190" s="16" t="s">
        <v>942</v>
      </c>
      <c r="D2190" s="16" t="s">
        <v>707</v>
      </c>
      <c r="E2190" s="16">
        <v>2012.0</v>
      </c>
      <c r="F2190" s="16">
        <v>50.5601</v>
      </c>
      <c r="G2190" s="16">
        <v>11.6521</v>
      </c>
      <c r="H2190" s="15"/>
      <c r="I2190" s="15"/>
    </row>
    <row r="2191">
      <c r="A2191" s="18">
        <v>45665.0</v>
      </c>
      <c r="B2191" s="16" t="s">
        <v>3019</v>
      </c>
      <c r="C2191" s="16" t="s">
        <v>1055</v>
      </c>
      <c r="D2191" s="16" t="s">
        <v>707</v>
      </c>
      <c r="E2191" s="16">
        <v>2012.0</v>
      </c>
      <c r="F2191" s="16">
        <v>49.961</v>
      </c>
      <c r="G2191" s="16">
        <v>7.424</v>
      </c>
      <c r="H2191" s="15"/>
      <c r="I2191" s="15"/>
    </row>
    <row r="2192">
      <c r="A2192" s="18">
        <v>45665.0</v>
      </c>
      <c r="B2192" s="16" t="s">
        <v>3020</v>
      </c>
      <c r="C2192" s="16" t="s">
        <v>969</v>
      </c>
      <c r="D2192" s="16" t="s">
        <v>707</v>
      </c>
      <c r="E2192" s="16">
        <v>2012.0</v>
      </c>
      <c r="F2192" s="16">
        <v>53.998</v>
      </c>
      <c r="G2192" s="16">
        <v>9.109</v>
      </c>
      <c r="H2192" s="15"/>
      <c r="I2192" s="15"/>
    </row>
    <row r="2193">
      <c r="A2193" s="18">
        <v>45665.0</v>
      </c>
      <c r="B2193" s="16" t="s">
        <v>3021</v>
      </c>
      <c r="C2193" s="16" t="s">
        <v>3022</v>
      </c>
      <c r="D2193" s="16" t="s">
        <v>707</v>
      </c>
      <c r="E2193" s="16">
        <v>2012.0</v>
      </c>
      <c r="F2193" s="16">
        <v>50.5825</v>
      </c>
      <c r="G2193" s="16">
        <v>10.4127</v>
      </c>
      <c r="H2193" s="15"/>
      <c r="I2193" s="15"/>
    </row>
    <row r="2194">
      <c r="A2194" s="18">
        <v>45665.0</v>
      </c>
      <c r="B2194" s="16" t="s">
        <v>3023</v>
      </c>
      <c r="C2194" s="16" t="s">
        <v>1101</v>
      </c>
      <c r="D2194" s="16" t="s">
        <v>707</v>
      </c>
      <c r="E2194" s="16">
        <v>2012.0</v>
      </c>
      <c r="F2194" s="16">
        <v>51.2965</v>
      </c>
      <c r="G2194" s="16">
        <v>11.4326</v>
      </c>
      <c r="H2194" s="15"/>
      <c r="I2194" s="15"/>
    </row>
    <row r="2195">
      <c r="A2195" s="18">
        <v>45665.0</v>
      </c>
      <c r="B2195" s="16" t="s">
        <v>3024</v>
      </c>
      <c r="C2195" s="16">
        <v>1.0</v>
      </c>
      <c r="D2195" s="16" t="s">
        <v>707</v>
      </c>
      <c r="E2195" s="16">
        <v>2012.0</v>
      </c>
      <c r="F2195" s="16">
        <v>53.9111</v>
      </c>
      <c r="G2195" s="16">
        <v>12.195</v>
      </c>
      <c r="H2195" s="15"/>
      <c r="I2195" s="15"/>
    </row>
    <row r="2196">
      <c r="A2196" s="18">
        <v>45665.0</v>
      </c>
      <c r="B2196" s="16" t="s">
        <v>3025</v>
      </c>
      <c r="C2196" s="16" t="s">
        <v>959</v>
      </c>
      <c r="D2196" s="16" t="s">
        <v>707</v>
      </c>
      <c r="E2196" s="16">
        <v>2012.0</v>
      </c>
      <c r="F2196" s="16">
        <v>51.6225</v>
      </c>
      <c r="G2196" s="16">
        <v>9.5732</v>
      </c>
      <c r="H2196" s="15"/>
      <c r="I2196" s="15"/>
    </row>
    <row r="2197">
      <c r="A2197" s="18">
        <v>45665.0</v>
      </c>
      <c r="B2197" s="16" t="s">
        <v>3026</v>
      </c>
      <c r="C2197" s="16" t="s">
        <v>1059</v>
      </c>
      <c r="D2197" s="16" t="s">
        <v>707</v>
      </c>
      <c r="E2197" s="16">
        <v>2012.0</v>
      </c>
      <c r="F2197" s="16">
        <v>49.425</v>
      </c>
      <c r="G2197" s="16">
        <v>7.1188</v>
      </c>
      <c r="H2197" s="15"/>
      <c r="I2197" s="15"/>
    </row>
    <row r="2198">
      <c r="A2198" s="18">
        <v>45665.0</v>
      </c>
      <c r="B2198" s="16" t="s">
        <v>3027</v>
      </c>
      <c r="C2198" s="16">
        <v>4.0</v>
      </c>
      <c r="D2198" s="16" t="s">
        <v>707</v>
      </c>
      <c r="E2198" s="16">
        <v>2012.0</v>
      </c>
      <c r="F2198" s="16">
        <v>51.3562</v>
      </c>
      <c r="G2198" s="16">
        <v>8.2128</v>
      </c>
      <c r="H2198" s="15"/>
      <c r="I2198" s="15"/>
    </row>
    <row r="2199">
      <c r="A2199" s="18">
        <v>45665.0</v>
      </c>
      <c r="B2199" s="16" t="s">
        <v>3028</v>
      </c>
      <c r="C2199" s="16" t="s">
        <v>961</v>
      </c>
      <c r="D2199" s="16" t="s">
        <v>707</v>
      </c>
      <c r="E2199" s="16">
        <v>2012.0</v>
      </c>
      <c r="F2199" s="16">
        <v>49.9619</v>
      </c>
      <c r="G2199" s="16">
        <v>10.1027</v>
      </c>
      <c r="H2199" s="15"/>
      <c r="I2199" s="15"/>
    </row>
    <row r="2200">
      <c r="A2200" s="18">
        <v>45665.0</v>
      </c>
      <c r="B2200" s="16" t="s">
        <v>3029</v>
      </c>
      <c r="C2200" s="16" t="s">
        <v>1282</v>
      </c>
      <c r="D2200" s="16" t="s">
        <v>707</v>
      </c>
      <c r="E2200" s="16">
        <v>2012.0</v>
      </c>
      <c r="F2200" s="16">
        <v>53.0743</v>
      </c>
      <c r="G2200" s="16">
        <v>10.947</v>
      </c>
      <c r="H2200" s="15"/>
      <c r="I2200" s="15"/>
    </row>
    <row r="2201">
      <c r="A2201" s="18">
        <v>45665.0</v>
      </c>
      <c r="B2201" s="16" t="s">
        <v>3030</v>
      </c>
      <c r="C2201" s="16" t="s">
        <v>1609</v>
      </c>
      <c r="D2201" s="16" t="s">
        <v>707</v>
      </c>
      <c r="E2201" s="16">
        <v>2012.0</v>
      </c>
      <c r="F2201" s="16">
        <v>53.0811</v>
      </c>
      <c r="G2201" s="16">
        <v>11.0252</v>
      </c>
      <c r="H2201" s="15"/>
      <c r="I2201" s="15"/>
    </row>
    <row r="2202">
      <c r="A2202" s="18">
        <v>45665.0</v>
      </c>
      <c r="B2202" s="16" t="s">
        <v>3031</v>
      </c>
      <c r="C2202" s="16" t="s">
        <v>946</v>
      </c>
      <c r="D2202" s="16" t="s">
        <v>707</v>
      </c>
      <c r="E2202" s="16">
        <v>2012.0</v>
      </c>
      <c r="F2202" s="16">
        <v>52.6716</v>
      </c>
      <c r="G2202" s="16">
        <v>7.9333</v>
      </c>
      <c r="H2202" s="15"/>
      <c r="I2202" s="15"/>
    </row>
    <row r="2203">
      <c r="A2203" s="18">
        <v>45665.0</v>
      </c>
      <c r="B2203" s="16" t="s">
        <v>3032</v>
      </c>
      <c r="C2203" s="16" t="s">
        <v>978</v>
      </c>
      <c r="D2203" s="16" t="s">
        <v>707</v>
      </c>
      <c r="E2203" s="16">
        <v>2012.0</v>
      </c>
      <c r="F2203" s="16">
        <v>50.997</v>
      </c>
      <c r="G2203" s="16">
        <v>11.337</v>
      </c>
      <c r="H2203" s="15"/>
      <c r="I2203" s="15"/>
    </row>
    <row r="2204">
      <c r="A2204" s="18">
        <v>45665.0</v>
      </c>
      <c r="B2204" s="16" t="s">
        <v>3033</v>
      </c>
      <c r="C2204" s="16">
        <v>1.0</v>
      </c>
      <c r="D2204" s="16" t="s">
        <v>707</v>
      </c>
      <c r="E2204" s="16">
        <v>2012.0</v>
      </c>
      <c r="F2204" s="16">
        <v>53.498</v>
      </c>
      <c r="G2204" s="16">
        <v>11.4523</v>
      </c>
      <c r="H2204" s="15"/>
      <c r="I2204" s="15"/>
    </row>
    <row r="2205">
      <c r="A2205" s="18">
        <v>45665.0</v>
      </c>
      <c r="B2205" s="16" t="s">
        <v>3034</v>
      </c>
      <c r="C2205" s="16" t="s">
        <v>948</v>
      </c>
      <c r="D2205" s="16" t="s">
        <v>707</v>
      </c>
      <c r="E2205" s="16">
        <v>2012.0</v>
      </c>
      <c r="F2205" s="16">
        <v>48.633</v>
      </c>
      <c r="G2205" s="16">
        <v>11.7071</v>
      </c>
      <c r="H2205" s="15"/>
      <c r="I2205" s="15"/>
    </row>
    <row r="2206">
      <c r="A2206" s="18">
        <v>45665.0</v>
      </c>
      <c r="B2206" s="16" t="s">
        <v>3035</v>
      </c>
      <c r="C2206" s="16" t="s">
        <v>948</v>
      </c>
      <c r="D2206" s="16" t="s">
        <v>707</v>
      </c>
      <c r="E2206" s="16">
        <v>2012.0</v>
      </c>
      <c r="F2206" s="16">
        <v>51.0794</v>
      </c>
      <c r="G2206" s="16">
        <v>13.2731</v>
      </c>
      <c r="H2206" s="15"/>
      <c r="I2206" s="15"/>
    </row>
    <row r="2207">
      <c r="A2207" s="18">
        <v>45665.0</v>
      </c>
      <c r="B2207" s="16" t="s">
        <v>3036</v>
      </c>
      <c r="C2207" s="16" t="s">
        <v>1282</v>
      </c>
      <c r="D2207" s="16" t="s">
        <v>707</v>
      </c>
      <c r="E2207" s="16">
        <v>2012.0</v>
      </c>
      <c r="F2207" s="16">
        <v>50.7794</v>
      </c>
      <c r="G2207" s="16">
        <v>10.3302</v>
      </c>
      <c r="H2207" s="15"/>
      <c r="I2207" s="15"/>
    </row>
    <row r="2208">
      <c r="A2208" s="18">
        <v>45665.0</v>
      </c>
      <c r="B2208" s="16" t="s">
        <v>3037</v>
      </c>
      <c r="C2208" s="16" t="s">
        <v>1374</v>
      </c>
      <c r="D2208" s="16" t="s">
        <v>707</v>
      </c>
      <c r="E2208" s="16">
        <v>2012.0</v>
      </c>
      <c r="F2208" s="16">
        <v>51.6107</v>
      </c>
      <c r="G2208" s="16">
        <v>14.6033</v>
      </c>
      <c r="H2208" s="15"/>
      <c r="I2208" s="15"/>
    </row>
    <row r="2209">
      <c r="A2209" s="18">
        <v>45665.0</v>
      </c>
      <c r="B2209" s="16" t="s">
        <v>3038</v>
      </c>
      <c r="C2209" s="16" t="s">
        <v>978</v>
      </c>
      <c r="D2209" s="16" t="s">
        <v>707</v>
      </c>
      <c r="E2209" s="16">
        <v>2012.0</v>
      </c>
      <c r="F2209" s="16">
        <v>53.5122</v>
      </c>
      <c r="G2209" s="16">
        <v>7.704</v>
      </c>
      <c r="H2209" s="15"/>
      <c r="I2209" s="15"/>
    </row>
    <row r="2210">
      <c r="A2210" s="18">
        <v>45665.0</v>
      </c>
      <c r="B2210" s="16" t="s">
        <v>3039</v>
      </c>
      <c r="C2210" s="16" t="s">
        <v>1055</v>
      </c>
      <c r="D2210" s="16" t="s">
        <v>707</v>
      </c>
      <c r="E2210" s="16">
        <v>2012.0</v>
      </c>
      <c r="F2210" s="16">
        <v>48.459</v>
      </c>
      <c r="G2210" s="16">
        <v>10.8379</v>
      </c>
      <c r="H2210" s="15"/>
      <c r="I2210" s="15"/>
    </row>
    <row r="2211">
      <c r="A2211" s="18">
        <v>45665.0</v>
      </c>
      <c r="B2211" s="16" t="s">
        <v>3040</v>
      </c>
      <c r="C2211" s="16" t="s">
        <v>1374</v>
      </c>
      <c r="D2211" s="16" t="s">
        <v>707</v>
      </c>
      <c r="E2211" s="16">
        <v>2012.0</v>
      </c>
      <c r="F2211" s="16">
        <v>53.9763</v>
      </c>
      <c r="G2211" s="16">
        <v>12.6945</v>
      </c>
      <c r="H2211" s="15"/>
      <c r="I2211" s="15"/>
    </row>
    <row r="2212">
      <c r="A2212" s="18">
        <v>45665.0</v>
      </c>
      <c r="B2212" s="16" t="s">
        <v>3041</v>
      </c>
      <c r="C2212" s="16" t="s">
        <v>1059</v>
      </c>
      <c r="D2212" s="16" t="s">
        <v>707</v>
      </c>
      <c r="E2212" s="16">
        <v>2012.0</v>
      </c>
      <c r="F2212" s="16">
        <v>52.3403</v>
      </c>
      <c r="G2212" s="16">
        <v>13.2775</v>
      </c>
      <c r="H2212" s="15"/>
      <c r="I2212" s="15"/>
    </row>
    <row r="2213">
      <c r="A2213" s="18">
        <v>45665.0</v>
      </c>
      <c r="B2213" s="16" t="s">
        <v>3042</v>
      </c>
      <c r="C2213" s="16" t="s">
        <v>1099</v>
      </c>
      <c r="D2213" s="16" t="s">
        <v>707</v>
      </c>
      <c r="E2213" s="16">
        <v>2012.0</v>
      </c>
      <c r="F2213" s="16">
        <v>50.9261</v>
      </c>
      <c r="G2213" s="16">
        <v>12.8157</v>
      </c>
      <c r="H2213" s="15"/>
      <c r="I2213" s="15"/>
    </row>
    <row r="2214">
      <c r="A2214" s="18">
        <v>45665.0</v>
      </c>
      <c r="B2214" s="16" t="s">
        <v>3043</v>
      </c>
      <c r="C2214" s="16" t="s">
        <v>1037</v>
      </c>
      <c r="D2214" s="16" t="s">
        <v>707</v>
      </c>
      <c r="E2214" s="16">
        <v>2012.0</v>
      </c>
      <c r="F2214" s="16">
        <v>51.1961</v>
      </c>
      <c r="G2214" s="16">
        <v>13.2965</v>
      </c>
      <c r="H2214" s="15"/>
      <c r="I2214" s="15"/>
    </row>
    <row r="2215">
      <c r="A2215" s="18">
        <v>45665.0</v>
      </c>
      <c r="B2215" s="16" t="s">
        <v>3044</v>
      </c>
      <c r="C2215" s="16" t="s">
        <v>961</v>
      </c>
      <c r="D2215" s="16" t="s">
        <v>707</v>
      </c>
      <c r="E2215" s="16">
        <v>2012.0</v>
      </c>
      <c r="F2215" s="16">
        <v>53.1138</v>
      </c>
      <c r="G2215" s="16">
        <v>7.9824</v>
      </c>
      <c r="H2215" s="15"/>
      <c r="I2215" s="15"/>
    </row>
    <row r="2216">
      <c r="A2216" s="18">
        <v>45665.0</v>
      </c>
      <c r="B2216" s="16" t="s">
        <v>3045</v>
      </c>
      <c r="C2216" s="16" t="s">
        <v>942</v>
      </c>
      <c r="D2216" s="16" t="s">
        <v>707</v>
      </c>
      <c r="E2216" s="16">
        <v>2012.0</v>
      </c>
      <c r="F2216" s="16">
        <v>48.6267</v>
      </c>
      <c r="G2216" s="16">
        <v>11.7037</v>
      </c>
      <c r="H2216" s="15"/>
      <c r="I2216" s="15"/>
    </row>
    <row r="2217">
      <c r="A2217" s="18">
        <v>45665.0</v>
      </c>
      <c r="B2217" s="16" t="s">
        <v>3046</v>
      </c>
      <c r="C2217" s="16" t="s">
        <v>942</v>
      </c>
      <c r="D2217" s="16" t="s">
        <v>707</v>
      </c>
      <c r="E2217" s="16">
        <v>2012.0</v>
      </c>
      <c r="F2217" s="16">
        <v>51.3562</v>
      </c>
      <c r="G2217" s="16">
        <v>8.2195</v>
      </c>
      <c r="H2217" s="15"/>
      <c r="I2217" s="15"/>
    </row>
    <row r="2218">
      <c r="A2218" s="18">
        <v>45665.0</v>
      </c>
      <c r="B2218" s="16" t="s">
        <v>3047</v>
      </c>
      <c r="C2218" s="16" t="s">
        <v>3048</v>
      </c>
      <c r="D2218" s="16" t="s">
        <v>707</v>
      </c>
      <c r="E2218" s="16">
        <v>2012.0</v>
      </c>
      <c r="F2218" s="16">
        <v>50.5622</v>
      </c>
      <c r="G2218" s="16">
        <v>11.8204</v>
      </c>
      <c r="H2218" s="15"/>
      <c r="I2218" s="15"/>
    </row>
    <row r="2219">
      <c r="A2219" s="18">
        <v>45665.0</v>
      </c>
      <c r="B2219" s="16" t="s">
        <v>3049</v>
      </c>
      <c r="C2219" s="16">
        <v>5.0</v>
      </c>
      <c r="D2219" s="16" t="s">
        <v>707</v>
      </c>
      <c r="E2219" s="16">
        <v>2012.0</v>
      </c>
      <c r="F2219" s="16">
        <v>50.6359</v>
      </c>
      <c r="G2219" s="16">
        <v>8.1862</v>
      </c>
      <c r="H2219" s="15"/>
      <c r="I2219" s="15"/>
    </row>
    <row r="2220">
      <c r="A2220" s="18">
        <v>45665.0</v>
      </c>
      <c r="B2220" s="16" t="s">
        <v>3050</v>
      </c>
      <c r="C2220" s="16">
        <v>9.0</v>
      </c>
      <c r="D2220" s="16" t="s">
        <v>707</v>
      </c>
      <c r="E2220" s="16">
        <v>2012.0</v>
      </c>
      <c r="F2220" s="16">
        <v>50.2332</v>
      </c>
      <c r="G2220" s="16">
        <v>7.1641</v>
      </c>
      <c r="H2220" s="15"/>
      <c r="I2220" s="15"/>
    </row>
    <row r="2221">
      <c r="A2221" s="18">
        <v>45665.0</v>
      </c>
      <c r="B2221" s="16" t="s">
        <v>3051</v>
      </c>
      <c r="C2221" s="16" t="s">
        <v>959</v>
      </c>
      <c r="D2221" s="16" t="s">
        <v>707</v>
      </c>
      <c r="E2221" s="16">
        <v>2012.0</v>
      </c>
      <c r="F2221" s="16">
        <v>50.5886</v>
      </c>
      <c r="G2221" s="16">
        <v>7.9232</v>
      </c>
      <c r="H2221" s="15"/>
      <c r="I2221" s="15"/>
    </row>
    <row r="2222">
      <c r="A2222" s="18">
        <v>45665.0</v>
      </c>
      <c r="B2222" s="16" t="s">
        <v>3052</v>
      </c>
      <c r="C2222" s="16" t="s">
        <v>1101</v>
      </c>
      <c r="D2222" s="16" t="s">
        <v>707</v>
      </c>
      <c r="E2222" s="16">
        <v>2012.0</v>
      </c>
      <c r="F2222" s="16">
        <v>51.8627</v>
      </c>
      <c r="G2222" s="16">
        <v>11.5794</v>
      </c>
      <c r="H2222" s="15"/>
      <c r="I2222" s="15"/>
    </row>
    <row r="2223">
      <c r="A2223" s="18">
        <v>45665.0</v>
      </c>
      <c r="B2223" s="16" t="s">
        <v>3053</v>
      </c>
      <c r="C2223" s="16" t="s">
        <v>1055</v>
      </c>
      <c r="D2223" s="16" t="s">
        <v>707</v>
      </c>
      <c r="E2223" s="16">
        <v>2012.0</v>
      </c>
      <c r="F2223" s="16">
        <v>48.4625</v>
      </c>
      <c r="G2223" s="16">
        <v>13.3786</v>
      </c>
      <c r="H2223" s="15"/>
      <c r="I2223" s="15"/>
    </row>
    <row r="2224">
      <c r="A2224" s="18">
        <v>45665.0</v>
      </c>
      <c r="B2224" s="16" t="s">
        <v>3054</v>
      </c>
      <c r="C2224" s="16" t="s">
        <v>946</v>
      </c>
      <c r="D2224" s="16" t="s">
        <v>707</v>
      </c>
      <c r="E2224" s="16">
        <v>2012.0</v>
      </c>
      <c r="F2224" s="16">
        <v>52.8745</v>
      </c>
      <c r="G2224" s="16">
        <v>8.7869</v>
      </c>
      <c r="H2224" s="15"/>
      <c r="I2224" s="15"/>
    </row>
    <row r="2225">
      <c r="A2225" s="18">
        <v>45665.0</v>
      </c>
      <c r="B2225" s="16" t="s">
        <v>3055</v>
      </c>
      <c r="C2225" s="16" t="s">
        <v>971</v>
      </c>
      <c r="D2225" s="16" t="s">
        <v>707</v>
      </c>
      <c r="E2225" s="16">
        <v>2012.0</v>
      </c>
      <c r="F2225" s="16">
        <v>53.4999</v>
      </c>
      <c r="G2225" s="16">
        <v>11.4571</v>
      </c>
      <c r="H2225" s="15"/>
      <c r="I2225" s="15"/>
    </row>
    <row r="2226">
      <c r="A2226" s="18">
        <v>45665.0</v>
      </c>
      <c r="B2226" s="16" t="s">
        <v>3056</v>
      </c>
      <c r="C2226" s="16" t="s">
        <v>961</v>
      </c>
      <c r="D2226" s="16" t="s">
        <v>707</v>
      </c>
      <c r="E2226" s="16">
        <v>2012.0</v>
      </c>
      <c r="F2226" s="16">
        <v>51.3795</v>
      </c>
      <c r="G2226" s="16">
        <v>10.4218</v>
      </c>
      <c r="H2226" s="15"/>
      <c r="I2226" s="15"/>
    </row>
    <row r="2227">
      <c r="A2227" s="18">
        <v>45665.0</v>
      </c>
      <c r="B2227" s="16" t="s">
        <v>3057</v>
      </c>
      <c r="C2227" s="16" t="s">
        <v>969</v>
      </c>
      <c r="D2227" s="16" t="s">
        <v>707</v>
      </c>
      <c r="E2227" s="16">
        <v>2012.0</v>
      </c>
      <c r="F2227" s="16">
        <v>48.8139</v>
      </c>
      <c r="G2227" s="16">
        <v>12.7796</v>
      </c>
      <c r="H2227" s="15"/>
      <c r="I2227" s="15"/>
    </row>
    <row r="2228">
      <c r="A2228" s="18">
        <v>45665.0</v>
      </c>
      <c r="B2228" s="16" t="s">
        <v>3058</v>
      </c>
      <c r="C2228" s="16" t="s">
        <v>1099</v>
      </c>
      <c r="D2228" s="16" t="s">
        <v>707</v>
      </c>
      <c r="E2228" s="16">
        <v>2012.0</v>
      </c>
      <c r="F2228" s="16">
        <v>50.4638</v>
      </c>
      <c r="G2228" s="16">
        <v>10.6587</v>
      </c>
      <c r="H2228" s="15"/>
      <c r="I2228" s="15"/>
    </row>
    <row r="2229">
      <c r="A2229" s="18">
        <v>45665.0</v>
      </c>
      <c r="B2229" s="16" t="s">
        <v>3059</v>
      </c>
      <c r="C2229" s="16" t="s">
        <v>942</v>
      </c>
      <c r="D2229" s="16" t="s">
        <v>707</v>
      </c>
      <c r="E2229" s="16">
        <v>2012.0</v>
      </c>
      <c r="F2229" s="16">
        <v>51.0578</v>
      </c>
      <c r="G2229" s="16">
        <v>12.1884</v>
      </c>
      <c r="H2229" s="15"/>
      <c r="I2229" s="15"/>
    </row>
    <row r="2230">
      <c r="A2230" s="18">
        <v>45665.0</v>
      </c>
      <c r="B2230" s="16" t="s">
        <v>3060</v>
      </c>
      <c r="C2230" s="16" t="s">
        <v>1167</v>
      </c>
      <c r="D2230" s="16" t="s">
        <v>707</v>
      </c>
      <c r="E2230" s="16">
        <v>2012.0</v>
      </c>
      <c r="F2230" s="16">
        <v>51.3293</v>
      </c>
      <c r="G2230" s="16">
        <v>13.9484</v>
      </c>
      <c r="H2230" s="15"/>
      <c r="I2230" s="15"/>
    </row>
    <row r="2231">
      <c r="A2231" s="18">
        <v>45665.0</v>
      </c>
      <c r="B2231" s="16" t="s">
        <v>3061</v>
      </c>
      <c r="C2231" s="16">
        <v>2.0</v>
      </c>
      <c r="D2231" s="16" t="s">
        <v>707</v>
      </c>
      <c r="E2231" s="16">
        <v>2012.0</v>
      </c>
      <c r="F2231" s="16">
        <v>50.9694</v>
      </c>
      <c r="G2231" s="16">
        <v>10.9739</v>
      </c>
      <c r="H2231" s="15"/>
      <c r="I2231" s="15"/>
    </row>
    <row r="2232">
      <c r="A2232" s="18">
        <v>45665.0</v>
      </c>
      <c r="B2232" s="16" t="s">
        <v>3062</v>
      </c>
      <c r="C2232" s="16" t="s">
        <v>1055</v>
      </c>
      <c r="D2232" s="16" t="s">
        <v>707</v>
      </c>
      <c r="E2232" s="16">
        <v>2012.0</v>
      </c>
      <c r="F2232" s="16">
        <v>52.2049</v>
      </c>
      <c r="G2232" s="16">
        <v>7.9082</v>
      </c>
      <c r="H2232" s="15"/>
      <c r="I2232" s="15"/>
    </row>
    <row r="2233">
      <c r="A2233" s="18">
        <v>45665.0</v>
      </c>
      <c r="B2233" s="16" t="s">
        <v>3063</v>
      </c>
      <c r="C2233" s="16" t="s">
        <v>1475</v>
      </c>
      <c r="D2233" s="16" t="s">
        <v>707</v>
      </c>
      <c r="E2233" s="16">
        <v>2012.0</v>
      </c>
      <c r="F2233" s="16">
        <v>51.5106</v>
      </c>
      <c r="G2233" s="16">
        <v>14.3256</v>
      </c>
      <c r="H2233" s="15"/>
      <c r="I2233" s="15"/>
    </row>
    <row r="2234">
      <c r="A2234" s="18">
        <v>45665.0</v>
      </c>
      <c r="B2234" s="16" t="s">
        <v>3064</v>
      </c>
      <c r="C2234" s="16" t="s">
        <v>959</v>
      </c>
      <c r="D2234" s="16" t="s">
        <v>707</v>
      </c>
      <c r="E2234" s="16">
        <v>2012.0</v>
      </c>
      <c r="F2234" s="16">
        <v>49.2562</v>
      </c>
      <c r="G2234" s="16">
        <v>10.6546</v>
      </c>
      <c r="H2234" s="15"/>
      <c r="I2234" s="15"/>
    </row>
    <row r="2235">
      <c r="A2235" s="18">
        <v>45665.0</v>
      </c>
      <c r="B2235" s="16" t="s">
        <v>3065</v>
      </c>
      <c r="C2235" s="16">
        <v>2.0</v>
      </c>
      <c r="D2235" s="16" t="s">
        <v>707</v>
      </c>
      <c r="E2235" s="16">
        <v>2012.0</v>
      </c>
      <c r="F2235" s="16">
        <v>52.617</v>
      </c>
      <c r="G2235" s="16">
        <v>9.2044</v>
      </c>
      <c r="H2235" s="15"/>
      <c r="I2235" s="15"/>
    </row>
    <row r="2236">
      <c r="A2236" s="18">
        <v>45665.0</v>
      </c>
      <c r="B2236" s="16" t="s">
        <v>3066</v>
      </c>
      <c r="C2236" s="16" t="s">
        <v>961</v>
      </c>
      <c r="D2236" s="16" t="s">
        <v>707</v>
      </c>
      <c r="E2236" s="16">
        <v>2012.0</v>
      </c>
      <c r="F2236" s="16">
        <v>49.5886</v>
      </c>
      <c r="G2236" s="16">
        <v>12.4025</v>
      </c>
      <c r="H2236" s="15"/>
      <c r="I2236" s="15"/>
    </row>
    <row r="2237">
      <c r="A2237" s="18">
        <v>45665.0</v>
      </c>
      <c r="B2237" s="16" t="s">
        <v>3067</v>
      </c>
      <c r="C2237" s="16" t="s">
        <v>948</v>
      </c>
      <c r="D2237" s="16" t="s">
        <v>707</v>
      </c>
      <c r="E2237" s="16">
        <v>2012.0</v>
      </c>
      <c r="F2237" s="16">
        <v>49.1947</v>
      </c>
      <c r="G2237" s="16">
        <v>10.1847</v>
      </c>
      <c r="H2237" s="15"/>
      <c r="I2237" s="15"/>
    </row>
    <row r="2238">
      <c r="A2238" s="18">
        <v>45665.0</v>
      </c>
      <c r="B2238" s="16" t="s">
        <v>3068</v>
      </c>
      <c r="C2238" s="16">
        <v>3.0</v>
      </c>
      <c r="D2238" s="16" t="s">
        <v>707</v>
      </c>
      <c r="E2238" s="16">
        <v>2012.0</v>
      </c>
      <c r="F2238" s="16">
        <v>47.993</v>
      </c>
      <c r="G2238" s="16">
        <v>10.2219</v>
      </c>
      <c r="H2238" s="15"/>
      <c r="I2238" s="15"/>
    </row>
    <row r="2239">
      <c r="A2239" s="18">
        <v>45665.0</v>
      </c>
      <c r="B2239" s="16" t="s">
        <v>3069</v>
      </c>
      <c r="C2239" s="16" t="s">
        <v>1007</v>
      </c>
      <c r="D2239" s="16" t="s">
        <v>707</v>
      </c>
      <c r="E2239" s="16">
        <v>2012.0</v>
      </c>
      <c r="F2239" s="16">
        <v>51.9599</v>
      </c>
      <c r="G2239" s="16">
        <v>11.1262</v>
      </c>
      <c r="H2239" s="15"/>
      <c r="I2239" s="15"/>
    </row>
    <row r="2240">
      <c r="A2240" s="18">
        <v>45665.0</v>
      </c>
      <c r="B2240" s="16" t="s">
        <v>3070</v>
      </c>
      <c r="C2240" s="16" t="s">
        <v>948</v>
      </c>
      <c r="D2240" s="16" t="s">
        <v>707</v>
      </c>
      <c r="E2240" s="16">
        <v>2012.0</v>
      </c>
      <c r="F2240" s="16">
        <v>51.2703</v>
      </c>
      <c r="G2240" s="16">
        <v>7.1605</v>
      </c>
      <c r="H2240" s="15"/>
      <c r="I2240" s="15"/>
    </row>
    <row r="2241">
      <c r="A2241" s="18">
        <v>45665.0</v>
      </c>
      <c r="B2241" s="16" t="s">
        <v>3071</v>
      </c>
      <c r="C2241" s="16" t="s">
        <v>990</v>
      </c>
      <c r="D2241" s="16" t="s">
        <v>707</v>
      </c>
      <c r="E2241" s="16">
        <v>2012.0</v>
      </c>
      <c r="F2241" s="16">
        <v>52.0225</v>
      </c>
      <c r="G2241" s="16">
        <v>11.6866</v>
      </c>
      <c r="H2241" s="15"/>
      <c r="I2241" s="15"/>
    </row>
    <row r="2242">
      <c r="A2242" s="18">
        <v>45665.0</v>
      </c>
      <c r="B2242" s="16" t="s">
        <v>3072</v>
      </c>
      <c r="C2242" s="16">
        <v>2.0</v>
      </c>
      <c r="D2242" s="16" t="s">
        <v>707</v>
      </c>
      <c r="E2242" s="16">
        <v>2012.0</v>
      </c>
      <c r="F2242" s="16">
        <v>51.8979</v>
      </c>
      <c r="G2242" s="16">
        <v>10.1744</v>
      </c>
      <c r="H2242" s="15"/>
      <c r="I2242" s="15"/>
    </row>
    <row r="2243">
      <c r="A2243" s="18">
        <v>45665.0</v>
      </c>
      <c r="B2243" s="16" t="s">
        <v>3073</v>
      </c>
      <c r="C2243" s="16" t="s">
        <v>1096</v>
      </c>
      <c r="D2243" s="16" t="s">
        <v>707</v>
      </c>
      <c r="E2243" s="16">
        <v>2012.0</v>
      </c>
      <c r="F2243" s="16">
        <v>51.6656</v>
      </c>
      <c r="G2243" s="16">
        <v>14.6312</v>
      </c>
      <c r="H2243" s="15"/>
      <c r="I2243" s="15"/>
    </row>
    <row r="2244">
      <c r="A2244" s="18">
        <v>45665.0</v>
      </c>
      <c r="B2244" s="16" t="s">
        <v>3074</v>
      </c>
      <c r="C2244" s="16" t="s">
        <v>1039</v>
      </c>
      <c r="D2244" s="16" t="s">
        <v>707</v>
      </c>
      <c r="E2244" s="16">
        <v>2012.0</v>
      </c>
      <c r="F2244" s="16">
        <v>49.2536</v>
      </c>
      <c r="G2244" s="16">
        <v>10.2278</v>
      </c>
      <c r="H2244" s="15"/>
      <c r="I2244" s="15"/>
    </row>
    <row r="2245">
      <c r="A2245" s="18">
        <v>45665.0</v>
      </c>
      <c r="B2245" s="16" t="s">
        <v>3075</v>
      </c>
      <c r="C2245" s="16" t="s">
        <v>959</v>
      </c>
      <c r="D2245" s="16" t="s">
        <v>707</v>
      </c>
      <c r="E2245" s="16">
        <v>2012.0</v>
      </c>
      <c r="F2245" s="16">
        <v>51.8724</v>
      </c>
      <c r="G2245" s="16">
        <v>10.92</v>
      </c>
      <c r="H2245" s="15"/>
      <c r="I2245" s="15"/>
    </row>
    <row r="2246">
      <c r="A2246" s="18">
        <v>45665.0</v>
      </c>
      <c r="B2246" s="16" t="s">
        <v>3076</v>
      </c>
      <c r="C2246" s="16">
        <v>2.0</v>
      </c>
      <c r="D2246" s="16" t="s">
        <v>707</v>
      </c>
      <c r="E2246" s="16">
        <v>2012.0</v>
      </c>
      <c r="F2246" s="16">
        <v>51.7752</v>
      </c>
      <c r="G2246" s="16">
        <v>14.343</v>
      </c>
      <c r="H2246" s="15"/>
      <c r="I2246" s="15"/>
    </row>
    <row r="2247">
      <c r="A2247" s="18">
        <v>45665.0</v>
      </c>
      <c r="B2247" s="16" t="s">
        <v>3077</v>
      </c>
      <c r="C2247" s="16">
        <v>2.0</v>
      </c>
      <c r="D2247" s="16" t="s">
        <v>707</v>
      </c>
      <c r="E2247" s="16">
        <v>2012.0</v>
      </c>
      <c r="F2247" s="16">
        <v>51.7752</v>
      </c>
      <c r="G2247" s="16">
        <v>14.343</v>
      </c>
      <c r="H2247" s="15"/>
      <c r="I2247" s="15"/>
    </row>
    <row r="2248">
      <c r="A2248" s="18">
        <v>45665.0</v>
      </c>
      <c r="B2248" s="16" t="s">
        <v>3078</v>
      </c>
      <c r="C2248" s="16">
        <v>3.0</v>
      </c>
      <c r="D2248" s="16" t="s">
        <v>707</v>
      </c>
      <c r="E2248" s="16">
        <v>2012.0</v>
      </c>
      <c r="F2248" s="16">
        <v>52.4159</v>
      </c>
      <c r="G2248" s="16">
        <v>12.5122</v>
      </c>
      <c r="H2248" s="15"/>
      <c r="I2248" s="15"/>
    </row>
    <row r="2249">
      <c r="A2249" s="18">
        <v>45665.0</v>
      </c>
      <c r="B2249" s="16" t="s">
        <v>3079</v>
      </c>
      <c r="C2249" s="16">
        <v>5.0</v>
      </c>
      <c r="D2249" s="16" t="s">
        <v>707</v>
      </c>
      <c r="E2249" s="16">
        <v>2012.0</v>
      </c>
      <c r="F2249" s="16">
        <v>51.3337</v>
      </c>
      <c r="G2249" s="16">
        <v>9.1578</v>
      </c>
      <c r="H2249" s="15"/>
      <c r="I2249" s="15"/>
    </row>
    <row r="2250">
      <c r="A2250" s="18">
        <v>45665.0</v>
      </c>
      <c r="B2250" s="16" t="s">
        <v>3080</v>
      </c>
      <c r="C2250" s="16" t="s">
        <v>969</v>
      </c>
      <c r="D2250" s="16" t="s">
        <v>707</v>
      </c>
      <c r="E2250" s="16">
        <v>2012.0</v>
      </c>
      <c r="F2250" s="16">
        <v>49.54</v>
      </c>
      <c r="G2250" s="16">
        <v>8.2788</v>
      </c>
      <c r="H2250" s="15"/>
      <c r="I2250" s="15"/>
    </row>
    <row r="2251">
      <c r="A2251" s="18">
        <v>45665.0</v>
      </c>
      <c r="B2251" s="16" t="s">
        <v>3081</v>
      </c>
      <c r="C2251" s="16">
        <v>3.0</v>
      </c>
      <c r="D2251" s="16" t="s">
        <v>707</v>
      </c>
      <c r="E2251" s="16">
        <v>2012.0</v>
      </c>
      <c r="F2251" s="16">
        <v>53.686</v>
      </c>
      <c r="G2251" s="16">
        <v>13.3299</v>
      </c>
      <c r="H2251" s="15"/>
      <c r="I2251" s="15"/>
    </row>
    <row r="2252">
      <c r="A2252" s="18">
        <v>45665.0</v>
      </c>
      <c r="B2252" s="16" t="s">
        <v>3082</v>
      </c>
      <c r="C2252" s="16" t="s">
        <v>951</v>
      </c>
      <c r="D2252" s="16" t="s">
        <v>707</v>
      </c>
      <c r="E2252" s="16">
        <v>2012.0</v>
      </c>
      <c r="F2252" s="16">
        <v>54.5148</v>
      </c>
      <c r="G2252" s="16">
        <v>13.5991</v>
      </c>
      <c r="H2252" s="15"/>
      <c r="I2252" s="15"/>
    </row>
    <row r="2253">
      <c r="A2253" s="18">
        <v>45665.0</v>
      </c>
      <c r="B2253" s="16" t="s">
        <v>3083</v>
      </c>
      <c r="C2253" s="16" t="s">
        <v>982</v>
      </c>
      <c r="D2253" s="16" t="s">
        <v>707</v>
      </c>
      <c r="E2253" s="16">
        <v>2012.0</v>
      </c>
      <c r="F2253" s="16">
        <v>53.5418</v>
      </c>
      <c r="G2253" s="16">
        <v>12.6433</v>
      </c>
      <c r="H2253" s="15"/>
      <c r="I2253" s="15"/>
    </row>
    <row r="2254">
      <c r="A2254" s="18">
        <v>45665.0</v>
      </c>
      <c r="B2254" s="16" t="s">
        <v>3084</v>
      </c>
      <c r="C2254" s="16" t="s">
        <v>969</v>
      </c>
      <c r="D2254" s="16" t="s">
        <v>707</v>
      </c>
      <c r="E2254" s="16">
        <v>2012.0</v>
      </c>
      <c r="F2254" s="16">
        <v>51.2995</v>
      </c>
      <c r="G2254" s="16">
        <v>13.2909</v>
      </c>
      <c r="H2254" s="15"/>
      <c r="I2254" s="15"/>
    </row>
    <row r="2255">
      <c r="A2255" s="18">
        <v>45665.0</v>
      </c>
      <c r="B2255" s="16" t="s">
        <v>3085</v>
      </c>
      <c r="C2255" s="16" t="s">
        <v>3086</v>
      </c>
      <c r="D2255" s="16" t="s">
        <v>707</v>
      </c>
      <c r="E2255" s="16">
        <v>2012.0</v>
      </c>
      <c r="F2255" s="16">
        <v>51.4556</v>
      </c>
      <c r="G2255" s="16">
        <v>11.5704</v>
      </c>
      <c r="H2255" s="15"/>
      <c r="I2255" s="15"/>
    </row>
    <row r="2256">
      <c r="A2256" s="18">
        <v>45665.0</v>
      </c>
      <c r="B2256" s="16" t="s">
        <v>3087</v>
      </c>
      <c r="C2256" s="16" t="s">
        <v>1055</v>
      </c>
      <c r="D2256" s="16" t="s">
        <v>707</v>
      </c>
      <c r="E2256" s="16">
        <v>2012.0</v>
      </c>
      <c r="F2256" s="16">
        <v>49.2509</v>
      </c>
      <c r="G2256" s="16">
        <v>10.4057</v>
      </c>
      <c r="H2256" s="15"/>
      <c r="I2256" s="15"/>
    </row>
    <row r="2257">
      <c r="A2257" s="18">
        <v>45665.0</v>
      </c>
      <c r="B2257" s="16" t="s">
        <v>3088</v>
      </c>
      <c r="C2257" s="16">
        <v>2.0</v>
      </c>
      <c r="D2257" s="16" t="s">
        <v>707</v>
      </c>
      <c r="E2257" s="16">
        <v>2012.0</v>
      </c>
      <c r="F2257" s="16">
        <v>50.0024</v>
      </c>
      <c r="G2257" s="16">
        <v>10.4263</v>
      </c>
      <c r="H2257" s="15"/>
      <c r="I2257" s="15"/>
    </row>
    <row r="2258">
      <c r="A2258" s="18">
        <v>45665.0</v>
      </c>
      <c r="B2258" s="16" t="s">
        <v>3089</v>
      </c>
      <c r="C2258" s="16" t="s">
        <v>1979</v>
      </c>
      <c r="D2258" s="16" t="s">
        <v>707</v>
      </c>
      <c r="E2258" s="16">
        <v>2012.0</v>
      </c>
      <c r="F2258" s="16">
        <v>54.7296</v>
      </c>
      <c r="G2258" s="16">
        <v>9.3861</v>
      </c>
      <c r="H2258" s="15"/>
      <c r="I2258" s="15"/>
    </row>
    <row r="2259">
      <c r="A2259" s="18">
        <v>45665.0</v>
      </c>
      <c r="B2259" s="16" t="s">
        <v>3090</v>
      </c>
      <c r="C2259" s="16" t="s">
        <v>1436</v>
      </c>
      <c r="D2259" s="16" t="s">
        <v>707</v>
      </c>
      <c r="E2259" s="16">
        <v>2012.0</v>
      </c>
      <c r="F2259" s="16">
        <v>54.7352</v>
      </c>
      <c r="G2259" s="16">
        <v>9.3825</v>
      </c>
      <c r="H2259" s="15"/>
      <c r="I2259" s="15"/>
    </row>
    <row r="2260">
      <c r="A2260" s="18">
        <v>45665.0</v>
      </c>
      <c r="B2260" s="16" t="s">
        <v>3091</v>
      </c>
      <c r="C2260" s="16" t="s">
        <v>946</v>
      </c>
      <c r="D2260" s="16" t="s">
        <v>707</v>
      </c>
      <c r="E2260" s="16">
        <v>2012.0</v>
      </c>
      <c r="F2260" s="16">
        <v>49.7764</v>
      </c>
      <c r="G2260" s="16">
        <v>6.8487</v>
      </c>
      <c r="H2260" s="15"/>
      <c r="I2260" s="15"/>
    </row>
    <row r="2261">
      <c r="A2261" s="18">
        <v>45665.0</v>
      </c>
      <c r="B2261" s="16" t="s">
        <v>3092</v>
      </c>
      <c r="C2261" s="16" t="s">
        <v>1267</v>
      </c>
      <c r="D2261" s="16" t="s">
        <v>707</v>
      </c>
      <c r="E2261" s="16">
        <v>2012.0</v>
      </c>
      <c r="F2261" s="16">
        <v>50.0724</v>
      </c>
      <c r="G2261" s="16">
        <v>6.8883</v>
      </c>
      <c r="H2261" s="15"/>
      <c r="I2261" s="15"/>
    </row>
    <row r="2262">
      <c r="A2262" s="18">
        <v>45665.0</v>
      </c>
      <c r="B2262" s="16" t="s">
        <v>3093</v>
      </c>
      <c r="C2262" s="16" t="s">
        <v>948</v>
      </c>
      <c r="D2262" s="16" t="s">
        <v>707</v>
      </c>
      <c r="E2262" s="16">
        <v>2012.0</v>
      </c>
      <c r="F2262" s="16">
        <v>52.4221</v>
      </c>
      <c r="G2262" s="16">
        <v>12.5287</v>
      </c>
      <c r="H2262" s="15"/>
      <c r="I2262" s="15"/>
    </row>
    <row r="2263">
      <c r="A2263" s="18">
        <v>45665.0</v>
      </c>
      <c r="B2263" s="16" t="s">
        <v>3094</v>
      </c>
      <c r="C2263" s="16" t="s">
        <v>1034</v>
      </c>
      <c r="D2263" s="16" t="s">
        <v>707</v>
      </c>
      <c r="E2263" s="16">
        <v>2012.0</v>
      </c>
      <c r="F2263" s="16">
        <v>49.5452</v>
      </c>
      <c r="G2263" s="16">
        <v>7.1348</v>
      </c>
      <c r="H2263" s="15"/>
      <c r="I2263" s="15"/>
    </row>
    <row r="2264">
      <c r="A2264" s="18">
        <v>45665.0</v>
      </c>
      <c r="B2264" s="16" t="s">
        <v>3095</v>
      </c>
      <c r="C2264" s="16" t="s">
        <v>1039</v>
      </c>
      <c r="D2264" s="16" t="s">
        <v>707</v>
      </c>
      <c r="E2264" s="16">
        <v>2012.0</v>
      </c>
      <c r="F2264" s="16">
        <v>52.166</v>
      </c>
      <c r="G2264" s="16">
        <v>9.2394</v>
      </c>
      <c r="H2264" s="15"/>
      <c r="I2264" s="15"/>
    </row>
    <row r="2265">
      <c r="A2265" s="18">
        <v>45665.0</v>
      </c>
      <c r="B2265" s="16" t="s">
        <v>3096</v>
      </c>
      <c r="C2265" s="16" t="s">
        <v>1039</v>
      </c>
      <c r="D2265" s="16" t="s">
        <v>707</v>
      </c>
      <c r="E2265" s="16">
        <v>2012.0</v>
      </c>
      <c r="F2265" s="16">
        <v>52.1677</v>
      </c>
      <c r="G2265" s="16">
        <v>9.2364</v>
      </c>
      <c r="H2265" s="15"/>
      <c r="I2265" s="15"/>
    </row>
    <row r="2266">
      <c r="A2266" s="18">
        <v>45665.0</v>
      </c>
      <c r="B2266" s="16" t="s">
        <v>3097</v>
      </c>
      <c r="C2266" s="16" t="s">
        <v>1034</v>
      </c>
      <c r="D2266" s="16" t="s">
        <v>707</v>
      </c>
      <c r="E2266" s="16">
        <v>2012.0</v>
      </c>
      <c r="F2266" s="16">
        <v>51.8041</v>
      </c>
      <c r="G2266" s="16">
        <v>9.2012</v>
      </c>
      <c r="H2266" s="15"/>
      <c r="I2266" s="15"/>
    </row>
    <row r="2267">
      <c r="A2267" s="18">
        <v>45665.0</v>
      </c>
      <c r="B2267" s="16" t="s">
        <v>3098</v>
      </c>
      <c r="C2267" s="16">
        <v>3.0</v>
      </c>
      <c r="D2267" s="16" t="s">
        <v>707</v>
      </c>
      <c r="E2267" s="16">
        <v>2012.0</v>
      </c>
      <c r="F2267" s="16">
        <v>48.8611</v>
      </c>
      <c r="G2267" s="16">
        <v>12.554</v>
      </c>
      <c r="H2267" s="15"/>
      <c r="I2267" s="15"/>
    </row>
    <row r="2268">
      <c r="A2268" s="18">
        <v>45665.0</v>
      </c>
      <c r="B2268" s="16" t="s">
        <v>3099</v>
      </c>
      <c r="C2268" s="16" t="s">
        <v>1002</v>
      </c>
      <c r="D2268" s="16" t="s">
        <v>707</v>
      </c>
      <c r="E2268" s="16">
        <v>2012.0</v>
      </c>
      <c r="F2268" s="16">
        <v>51.4201</v>
      </c>
      <c r="G2268" s="16">
        <v>11.3946</v>
      </c>
      <c r="H2268" s="15"/>
      <c r="I2268" s="15"/>
    </row>
    <row r="2269">
      <c r="A2269" s="18">
        <v>45665.0</v>
      </c>
      <c r="B2269" s="16" t="s">
        <v>3100</v>
      </c>
      <c r="C2269" s="16" t="s">
        <v>951</v>
      </c>
      <c r="D2269" s="16" t="s">
        <v>707</v>
      </c>
      <c r="E2269" s="16">
        <v>2012.0</v>
      </c>
      <c r="F2269" s="16">
        <v>53.8411</v>
      </c>
      <c r="G2269" s="16">
        <v>13.2578</v>
      </c>
      <c r="H2269" s="15"/>
      <c r="I2269" s="15"/>
    </row>
    <row r="2270">
      <c r="A2270" s="18">
        <v>45665.0</v>
      </c>
      <c r="B2270" s="16" t="s">
        <v>3101</v>
      </c>
      <c r="C2270" s="16" t="s">
        <v>959</v>
      </c>
      <c r="D2270" s="16" t="s">
        <v>707</v>
      </c>
      <c r="E2270" s="16">
        <v>2012.0</v>
      </c>
      <c r="F2270" s="16">
        <v>51.5632</v>
      </c>
      <c r="G2270" s="16">
        <v>13.889</v>
      </c>
      <c r="H2270" s="15"/>
      <c r="I2270" s="15"/>
    </row>
    <row r="2271">
      <c r="A2271" s="18">
        <v>45665.0</v>
      </c>
      <c r="B2271" s="16" t="s">
        <v>3102</v>
      </c>
      <c r="C2271" s="16" t="s">
        <v>969</v>
      </c>
      <c r="D2271" s="16" t="s">
        <v>707</v>
      </c>
      <c r="E2271" s="16">
        <v>2012.0</v>
      </c>
      <c r="F2271" s="16">
        <v>51.5785</v>
      </c>
      <c r="G2271" s="16">
        <v>8.3289</v>
      </c>
      <c r="H2271" s="15"/>
      <c r="I2271" s="15"/>
    </row>
    <row r="2272">
      <c r="A2272" s="18">
        <v>45665.0</v>
      </c>
      <c r="B2272" s="16" t="s">
        <v>3103</v>
      </c>
      <c r="C2272" s="16" t="s">
        <v>1059</v>
      </c>
      <c r="D2272" s="16" t="s">
        <v>707</v>
      </c>
      <c r="E2272" s="16">
        <v>2012.0</v>
      </c>
      <c r="F2272" s="16">
        <v>52.4224</v>
      </c>
      <c r="G2272" s="16">
        <v>12.4754</v>
      </c>
      <c r="H2272" s="15"/>
      <c r="I2272" s="15"/>
    </row>
    <row r="2273">
      <c r="A2273" s="18">
        <v>45665.0</v>
      </c>
      <c r="B2273" s="16" t="s">
        <v>3104</v>
      </c>
      <c r="C2273" s="16" t="s">
        <v>942</v>
      </c>
      <c r="D2273" s="16" t="s">
        <v>707</v>
      </c>
      <c r="E2273" s="16">
        <v>2012.0</v>
      </c>
      <c r="F2273" s="16">
        <v>51.7142</v>
      </c>
      <c r="G2273" s="16">
        <v>9.0728</v>
      </c>
      <c r="H2273" s="15"/>
      <c r="I2273" s="15"/>
    </row>
    <row r="2274">
      <c r="A2274" s="18">
        <v>45665.0</v>
      </c>
      <c r="B2274" s="16" t="s">
        <v>3105</v>
      </c>
      <c r="C2274" s="16" t="s">
        <v>961</v>
      </c>
      <c r="D2274" s="16" t="s">
        <v>707</v>
      </c>
      <c r="E2274" s="16">
        <v>2012.0</v>
      </c>
      <c r="F2274" s="16">
        <v>51.907</v>
      </c>
      <c r="G2274" s="16">
        <v>10.5471</v>
      </c>
      <c r="H2274" s="15"/>
      <c r="I2274" s="15"/>
    </row>
    <row r="2275">
      <c r="A2275" s="18">
        <v>45665.0</v>
      </c>
      <c r="B2275" s="16" t="s">
        <v>3106</v>
      </c>
      <c r="C2275" s="16" t="s">
        <v>1055</v>
      </c>
      <c r="D2275" s="16" t="s">
        <v>707</v>
      </c>
      <c r="E2275" s="16">
        <v>2012.0</v>
      </c>
      <c r="F2275" s="16">
        <v>48.6466</v>
      </c>
      <c r="G2275" s="16">
        <v>10.6229</v>
      </c>
      <c r="H2275" s="15"/>
      <c r="I2275" s="15"/>
    </row>
    <row r="2276">
      <c r="A2276" s="18">
        <v>45665.0</v>
      </c>
      <c r="B2276" s="16" t="s">
        <v>3107</v>
      </c>
      <c r="C2276" s="16" t="s">
        <v>2150</v>
      </c>
      <c r="D2276" s="16" t="s">
        <v>707</v>
      </c>
      <c r="E2276" s="16">
        <v>2012.0</v>
      </c>
      <c r="F2276" s="16">
        <v>54.3747</v>
      </c>
      <c r="G2276" s="16">
        <v>12.701</v>
      </c>
      <c r="H2276" s="15"/>
      <c r="I2276" s="15"/>
    </row>
    <row r="2277">
      <c r="A2277" s="18">
        <v>45665.0</v>
      </c>
      <c r="B2277" s="16" t="s">
        <v>3108</v>
      </c>
      <c r="C2277" s="16" t="s">
        <v>951</v>
      </c>
      <c r="D2277" s="16" t="s">
        <v>707</v>
      </c>
      <c r="E2277" s="16">
        <v>2012.0</v>
      </c>
      <c r="F2277" s="16">
        <v>51.8057</v>
      </c>
      <c r="G2277" s="16">
        <v>10.9486</v>
      </c>
      <c r="H2277" s="15"/>
      <c r="I2277" s="15"/>
    </row>
    <row r="2278">
      <c r="A2278" s="18">
        <v>45665.0</v>
      </c>
      <c r="B2278" s="16" t="s">
        <v>3109</v>
      </c>
      <c r="C2278" s="16" t="s">
        <v>1167</v>
      </c>
      <c r="D2278" s="16" t="s">
        <v>707</v>
      </c>
      <c r="E2278" s="16">
        <v>2012.0</v>
      </c>
      <c r="F2278" s="16">
        <v>53.3825</v>
      </c>
      <c r="G2278" s="16">
        <v>10.7647</v>
      </c>
      <c r="H2278" s="15"/>
      <c r="I2278" s="15"/>
    </row>
    <row r="2279">
      <c r="A2279" s="18">
        <v>45665.0</v>
      </c>
      <c r="B2279" s="16" t="s">
        <v>3110</v>
      </c>
      <c r="C2279" s="16" t="s">
        <v>1004</v>
      </c>
      <c r="D2279" s="16" t="s">
        <v>707</v>
      </c>
      <c r="E2279" s="16">
        <v>2012.0</v>
      </c>
      <c r="F2279" s="16">
        <v>53.3845</v>
      </c>
      <c r="G2279" s="16">
        <v>10.7686</v>
      </c>
      <c r="H2279" s="15"/>
      <c r="I2279" s="15"/>
    </row>
    <row r="2280">
      <c r="A2280" s="18">
        <v>45665.0</v>
      </c>
      <c r="B2280" s="16" t="s">
        <v>3111</v>
      </c>
      <c r="C2280" s="16">
        <v>1.0</v>
      </c>
      <c r="D2280" s="16" t="s">
        <v>707</v>
      </c>
      <c r="E2280" s="16">
        <v>2012.0</v>
      </c>
      <c r="F2280" s="16">
        <v>51.4282</v>
      </c>
      <c r="G2280" s="16">
        <v>8.7901</v>
      </c>
      <c r="H2280" s="15"/>
      <c r="I2280" s="15"/>
    </row>
    <row r="2281">
      <c r="A2281" s="18">
        <v>45665.0</v>
      </c>
      <c r="B2281" s="16" t="s">
        <v>3112</v>
      </c>
      <c r="C2281" s="16" t="s">
        <v>978</v>
      </c>
      <c r="D2281" s="16" t="s">
        <v>707</v>
      </c>
      <c r="E2281" s="16">
        <v>2012.0</v>
      </c>
      <c r="F2281" s="16">
        <v>50.649</v>
      </c>
      <c r="G2281" s="16">
        <v>8.7475</v>
      </c>
      <c r="H2281" s="15"/>
      <c r="I2281" s="15"/>
    </row>
    <row r="2282">
      <c r="A2282" s="18">
        <v>45665.0</v>
      </c>
      <c r="B2282" s="16" t="s">
        <v>3113</v>
      </c>
      <c r="C2282" s="16" t="s">
        <v>959</v>
      </c>
      <c r="D2282" s="16" t="s">
        <v>707</v>
      </c>
      <c r="E2282" s="16">
        <v>2012.0</v>
      </c>
      <c r="F2282" s="16">
        <v>53.3592</v>
      </c>
      <c r="G2282" s="16">
        <v>13.2433</v>
      </c>
      <c r="H2282" s="15"/>
      <c r="I2282" s="15"/>
    </row>
    <row r="2283">
      <c r="A2283" s="18">
        <v>45665.0</v>
      </c>
      <c r="B2283" s="16" t="s">
        <v>3114</v>
      </c>
      <c r="C2283" s="16" t="s">
        <v>1059</v>
      </c>
      <c r="D2283" s="16" t="s">
        <v>707</v>
      </c>
      <c r="E2283" s="16">
        <v>2012.0</v>
      </c>
      <c r="F2283" s="16">
        <v>53.7881</v>
      </c>
      <c r="G2283" s="16">
        <v>11.3248</v>
      </c>
      <c r="H2283" s="15"/>
      <c r="I2283" s="15"/>
    </row>
    <row r="2284">
      <c r="A2284" s="18">
        <v>45665.0</v>
      </c>
      <c r="B2284" s="16" t="s">
        <v>3115</v>
      </c>
      <c r="C2284" s="16" t="s">
        <v>1101</v>
      </c>
      <c r="D2284" s="16" t="s">
        <v>707</v>
      </c>
      <c r="E2284" s="16">
        <v>2012.0</v>
      </c>
      <c r="F2284" s="16">
        <v>54.06</v>
      </c>
      <c r="G2284" s="16">
        <v>10.296</v>
      </c>
      <c r="H2284" s="15"/>
      <c r="I2284" s="15"/>
    </row>
    <row r="2285">
      <c r="A2285" s="18">
        <v>45665.0</v>
      </c>
      <c r="B2285" s="16" t="s">
        <v>3116</v>
      </c>
      <c r="C2285" s="16" t="s">
        <v>1037</v>
      </c>
      <c r="D2285" s="16" t="s">
        <v>707</v>
      </c>
      <c r="E2285" s="16">
        <v>2012.0</v>
      </c>
      <c r="F2285" s="16">
        <v>51.769</v>
      </c>
      <c r="G2285" s="16">
        <v>14.3823</v>
      </c>
      <c r="H2285" s="15"/>
      <c r="I2285" s="15"/>
    </row>
    <row r="2286">
      <c r="A2286" s="18">
        <v>45665.0</v>
      </c>
      <c r="B2286" s="16" t="s">
        <v>3117</v>
      </c>
      <c r="C2286" s="16">
        <v>4.0</v>
      </c>
      <c r="D2286" s="16" t="s">
        <v>707</v>
      </c>
      <c r="E2286" s="16">
        <v>2012.0</v>
      </c>
      <c r="F2286" s="16">
        <v>51.2417</v>
      </c>
      <c r="G2286" s="16">
        <v>11.1734</v>
      </c>
      <c r="H2286" s="15"/>
      <c r="I2286" s="15"/>
    </row>
    <row r="2287">
      <c r="A2287" s="18">
        <v>45665.0</v>
      </c>
      <c r="B2287" s="16" t="s">
        <v>3118</v>
      </c>
      <c r="C2287" s="16" t="s">
        <v>1267</v>
      </c>
      <c r="D2287" s="16" t="s">
        <v>707</v>
      </c>
      <c r="E2287" s="16">
        <v>2012.0</v>
      </c>
      <c r="F2287" s="16">
        <v>51.406</v>
      </c>
      <c r="G2287" s="16">
        <v>11.276</v>
      </c>
      <c r="H2287" s="15"/>
      <c r="I2287" s="15"/>
    </row>
    <row r="2288">
      <c r="A2288" s="18">
        <v>45665.0</v>
      </c>
      <c r="B2288" s="16" t="s">
        <v>3119</v>
      </c>
      <c r="C2288" s="16" t="s">
        <v>959</v>
      </c>
      <c r="D2288" s="16" t="s">
        <v>707</v>
      </c>
      <c r="E2288" s="16">
        <v>2012.0</v>
      </c>
      <c r="F2288" s="16">
        <v>48.4925</v>
      </c>
      <c r="G2288" s="16">
        <v>10.8342</v>
      </c>
      <c r="H2288" s="15"/>
      <c r="I2288" s="15"/>
    </row>
    <row r="2289">
      <c r="A2289" s="18">
        <v>45665.0</v>
      </c>
      <c r="B2289" s="16" t="s">
        <v>3120</v>
      </c>
      <c r="C2289" s="16" t="s">
        <v>1101</v>
      </c>
      <c r="D2289" s="16" t="s">
        <v>707</v>
      </c>
      <c r="E2289" s="16">
        <v>2012.0</v>
      </c>
      <c r="F2289" s="16">
        <v>51.95</v>
      </c>
      <c r="G2289" s="16">
        <v>11.6792</v>
      </c>
      <c r="H2289" s="15"/>
      <c r="I2289" s="15"/>
    </row>
    <row r="2290">
      <c r="A2290" s="18">
        <v>45665.0</v>
      </c>
      <c r="B2290" s="16" t="s">
        <v>3121</v>
      </c>
      <c r="C2290" s="16" t="s">
        <v>1007</v>
      </c>
      <c r="D2290" s="16" t="s">
        <v>707</v>
      </c>
      <c r="E2290" s="16">
        <v>2012.0</v>
      </c>
      <c r="F2290" s="16">
        <v>51.5392</v>
      </c>
      <c r="G2290" s="16">
        <v>11.5364</v>
      </c>
      <c r="H2290" s="15"/>
      <c r="I2290" s="15"/>
    </row>
    <row r="2291">
      <c r="A2291" s="18">
        <v>45665.0</v>
      </c>
      <c r="B2291" s="16" t="s">
        <v>3122</v>
      </c>
      <c r="C2291" s="16" t="s">
        <v>1090</v>
      </c>
      <c r="D2291" s="16" t="s">
        <v>707</v>
      </c>
      <c r="E2291" s="16">
        <v>2012.0</v>
      </c>
      <c r="F2291" s="16">
        <v>51.5392</v>
      </c>
      <c r="G2291" s="16">
        <v>11.5364</v>
      </c>
      <c r="H2291" s="15"/>
      <c r="I2291" s="15"/>
    </row>
    <row r="2292">
      <c r="A2292" s="18">
        <v>45665.0</v>
      </c>
      <c r="B2292" s="16" t="s">
        <v>3123</v>
      </c>
      <c r="C2292" s="16" t="s">
        <v>1149</v>
      </c>
      <c r="D2292" s="16" t="s">
        <v>707</v>
      </c>
      <c r="E2292" s="16">
        <v>2012.0</v>
      </c>
      <c r="F2292" s="16">
        <v>51.7889</v>
      </c>
      <c r="G2292" s="16">
        <v>12.0556</v>
      </c>
      <c r="H2292" s="15"/>
      <c r="I2292" s="15"/>
    </row>
    <row r="2293">
      <c r="A2293" s="18">
        <v>45665.0</v>
      </c>
      <c r="B2293" s="16" t="s">
        <v>3124</v>
      </c>
      <c r="C2293" s="16" t="s">
        <v>948</v>
      </c>
      <c r="D2293" s="16" t="s">
        <v>707</v>
      </c>
      <c r="E2293" s="16">
        <v>2012.0</v>
      </c>
      <c r="F2293" s="16">
        <v>48.994</v>
      </c>
      <c r="G2293" s="16">
        <v>12.3127</v>
      </c>
      <c r="H2293" s="15"/>
      <c r="I2293" s="15"/>
    </row>
    <row r="2294">
      <c r="A2294" s="18">
        <v>45665.0</v>
      </c>
      <c r="B2294" s="16" t="s">
        <v>3125</v>
      </c>
      <c r="C2294" s="16" t="s">
        <v>969</v>
      </c>
      <c r="D2294" s="16" t="s">
        <v>707</v>
      </c>
      <c r="E2294" s="16">
        <v>2012.0</v>
      </c>
      <c r="F2294" s="16">
        <v>48.9941</v>
      </c>
      <c r="G2294" s="16">
        <v>12.3126</v>
      </c>
      <c r="H2294" s="15"/>
      <c r="I2294" s="15"/>
    </row>
    <row r="2295">
      <c r="A2295" s="18">
        <v>45665.0</v>
      </c>
      <c r="B2295" s="16" t="s">
        <v>3126</v>
      </c>
      <c r="C2295" s="16" t="s">
        <v>984</v>
      </c>
      <c r="D2295" s="16" t="s">
        <v>707</v>
      </c>
      <c r="E2295" s="16">
        <v>2012.0</v>
      </c>
      <c r="F2295" s="16">
        <v>50.8383</v>
      </c>
      <c r="G2295" s="16">
        <v>11.7873</v>
      </c>
      <c r="H2295" s="15"/>
      <c r="I2295" s="15"/>
    </row>
    <row r="2296">
      <c r="A2296" s="18">
        <v>45665.0</v>
      </c>
      <c r="B2296" s="16" t="s">
        <v>3127</v>
      </c>
      <c r="C2296" s="16" t="s">
        <v>1085</v>
      </c>
      <c r="D2296" s="16" t="s">
        <v>707</v>
      </c>
      <c r="E2296" s="16">
        <v>2012.0</v>
      </c>
      <c r="F2296" s="16">
        <v>49.468</v>
      </c>
      <c r="G2296" s="16">
        <v>7.898</v>
      </c>
      <c r="H2296" s="15"/>
      <c r="I2296" s="15"/>
    </row>
    <row r="2297">
      <c r="A2297" s="18">
        <v>45665.0</v>
      </c>
      <c r="B2297" s="16" t="s">
        <v>3128</v>
      </c>
      <c r="C2297" s="16" t="s">
        <v>984</v>
      </c>
      <c r="D2297" s="16" t="s">
        <v>707</v>
      </c>
      <c r="E2297" s="16">
        <v>2012.0</v>
      </c>
      <c r="F2297" s="16">
        <v>50.4097</v>
      </c>
      <c r="G2297" s="16">
        <v>9.5682</v>
      </c>
      <c r="H2297" s="15"/>
      <c r="I2297" s="15"/>
    </row>
    <row r="2298">
      <c r="A2298" s="18">
        <v>45665.0</v>
      </c>
      <c r="B2298" s="16" t="s">
        <v>3129</v>
      </c>
      <c r="C2298" s="16" t="s">
        <v>1051</v>
      </c>
      <c r="D2298" s="16" t="s">
        <v>707</v>
      </c>
      <c r="E2298" s="16">
        <v>2012.0</v>
      </c>
      <c r="F2298" s="16">
        <v>48.1725</v>
      </c>
      <c r="G2298" s="16">
        <v>11.8973</v>
      </c>
      <c r="H2298" s="15"/>
      <c r="I2298" s="15"/>
    </row>
    <row r="2299">
      <c r="A2299" s="18">
        <v>45665.0</v>
      </c>
      <c r="B2299" s="16" t="s">
        <v>3130</v>
      </c>
      <c r="C2299" s="16">
        <v>9.0</v>
      </c>
      <c r="D2299" s="16" t="s">
        <v>707</v>
      </c>
      <c r="E2299" s="16">
        <v>2012.0</v>
      </c>
      <c r="F2299" s="16">
        <v>52.5137</v>
      </c>
      <c r="G2299" s="16">
        <v>7.6967</v>
      </c>
      <c r="H2299" s="15"/>
      <c r="I2299" s="15"/>
    </row>
    <row r="2300">
      <c r="A2300" s="18">
        <v>45665.0</v>
      </c>
      <c r="B2300" s="16" t="s">
        <v>3131</v>
      </c>
      <c r="C2300" s="16" t="s">
        <v>1034</v>
      </c>
      <c r="D2300" s="16" t="s">
        <v>707</v>
      </c>
      <c r="E2300" s="16">
        <v>2012.0</v>
      </c>
      <c r="F2300" s="16">
        <v>49.5458</v>
      </c>
      <c r="G2300" s="16">
        <v>8.2808</v>
      </c>
      <c r="H2300" s="15"/>
      <c r="I2300" s="15"/>
    </row>
    <row r="2301">
      <c r="A2301" s="18">
        <v>45665.0</v>
      </c>
      <c r="B2301" s="16" t="s">
        <v>3132</v>
      </c>
      <c r="C2301" s="16" t="s">
        <v>946</v>
      </c>
      <c r="D2301" s="16" t="s">
        <v>707</v>
      </c>
      <c r="E2301" s="16">
        <v>2012.0</v>
      </c>
      <c r="F2301" s="16">
        <v>52.3367</v>
      </c>
      <c r="G2301" s="16">
        <v>8.4817</v>
      </c>
      <c r="H2301" s="15"/>
      <c r="I2301" s="15"/>
    </row>
    <row r="2302">
      <c r="A2302" s="18">
        <v>45665.0</v>
      </c>
      <c r="B2302" s="16" t="s">
        <v>3133</v>
      </c>
      <c r="C2302" s="16" t="s">
        <v>1090</v>
      </c>
      <c r="D2302" s="16" t="s">
        <v>707</v>
      </c>
      <c r="E2302" s="16">
        <v>2012.0</v>
      </c>
      <c r="F2302" s="16">
        <v>51.5886</v>
      </c>
      <c r="G2302" s="16">
        <v>12.193</v>
      </c>
      <c r="H2302" s="15"/>
      <c r="I2302" s="15"/>
    </row>
    <row r="2303">
      <c r="A2303" s="18">
        <v>45665.0</v>
      </c>
      <c r="B2303" s="16" t="s">
        <v>3134</v>
      </c>
      <c r="C2303" s="16" t="s">
        <v>1101</v>
      </c>
      <c r="D2303" s="16" t="s">
        <v>707</v>
      </c>
      <c r="E2303" s="16">
        <v>2012.0</v>
      </c>
      <c r="F2303" s="16">
        <v>54.1092</v>
      </c>
      <c r="G2303" s="16">
        <v>13.0683</v>
      </c>
      <c r="H2303" s="15"/>
      <c r="I2303" s="15"/>
    </row>
    <row r="2304">
      <c r="A2304" s="18">
        <v>45665.0</v>
      </c>
      <c r="B2304" s="16" t="s">
        <v>3135</v>
      </c>
      <c r="C2304" s="16" t="s">
        <v>946</v>
      </c>
      <c r="D2304" s="16" t="s">
        <v>707</v>
      </c>
      <c r="E2304" s="16">
        <v>2012.0</v>
      </c>
      <c r="F2304" s="16">
        <v>52.6986</v>
      </c>
      <c r="G2304" s="16">
        <v>14.4069</v>
      </c>
      <c r="H2304" s="15"/>
      <c r="I2304" s="15"/>
    </row>
    <row r="2305">
      <c r="A2305" s="18">
        <v>45665.0</v>
      </c>
      <c r="B2305" s="16" t="s">
        <v>3136</v>
      </c>
      <c r="C2305" s="16" t="s">
        <v>1101</v>
      </c>
      <c r="D2305" s="16" t="s">
        <v>707</v>
      </c>
      <c r="E2305" s="16">
        <v>2012.0</v>
      </c>
      <c r="F2305" s="16">
        <v>53.2939</v>
      </c>
      <c r="G2305" s="16">
        <v>8.1706</v>
      </c>
      <c r="H2305" s="15"/>
      <c r="I2305" s="15"/>
    </row>
    <row r="2306">
      <c r="A2306" s="18">
        <v>45665.0</v>
      </c>
      <c r="B2306" s="16" t="s">
        <v>3137</v>
      </c>
      <c r="C2306" s="16" t="s">
        <v>971</v>
      </c>
      <c r="D2306" s="16" t="s">
        <v>707</v>
      </c>
      <c r="E2306" s="16">
        <v>2012.0</v>
      </c>
      <c r="F2306" s="16">
        <v>48.4015</v>
      </c>
      <c r="G2306" s="16">
        <v>10.996</v>
      </c>
      <c r="H2306" s="15"/>
      <c r="I2306" s="15"/>
    </row>
    <row r="2307">
      <c r="A2307" s="18">
        <v>45665.0</v>
      </c>
      <c r="B2307" s="16" t="s">
        <v>3138</v>
      </c>
      <c r="C2307" s="16" t="s">
        <v>1955</v>
      </c>
      <c r="D2307" s="16" t="s">
        <v>707</v>
      </c>
      <c r="E2307" s="16">
        <v>2012.0</v>
      </c>
      <c r="F2307" s="16">
        <v>48.7331</v>
      </c>
      <c r="G2307" s="16">
        <v>12.7301</v>
      </c>
      <c r="H2307" s="15"/>
      <c r="I2307" s="15"/>
    </row>
    <row r="2308">
      <c r="A2308" s="18">
        <v>45665.0</v>
      </c>
      <c r="B2308" s="16" t="s">
        <v>3139</v>
      </c>
      <c r="C2308" s="16" t="s">
        <v>971</v>
      </c>
      <c r="D2308" s="16" t="s">
        <v>707</v>
      </c>
      <c r="E2308" s="16">
        <v>2012.0</v>
      </c>
      <c r="F2308" s="16">
        <v>50.9676</v>
      </c>
      <c r="G2308" s="16">
        <v>11.8419</v>
      </c>
      <c r="H2308" s="15"/>
      <c r="I2308" s="15"/>
    </row>
    <row r="2309">
      <c r="A2309" s="18">
        <v>45665.0</v>
      </c>
      <c r="B2309" s="16" t="s">
        <v>3140</v>
      </c>
      <c r="C2309" s="16" t="s">
        <v>946</v>
      </c>
      <c r="D2309" s="16" t="s">
        <v>707</v>
      </c>
      <c r="E2309" s="16">
        <v>2012.0</v>
      </c>
      <c r="F2309" s="16">
        <v>50.9247</v>
      </c>
      <c r="G2309" s="16">
        <v>9.2059</v>
      </c>
      <c r="H2309" s="15"/>
      <c r="I2309" s="15"/>
    </row>
    <row r="2310">
      <c r="A2310" s="18">
        <v>45665.0</v>
      </c>
      <c r="B2310" s="16" t="s">
        <v>3141</v>
      </c>
      <c r="C2310" s="16" t="s">
        <v>1039</v>
      </c>
      <c r="D2310" s="16" t="s">
        <v>707</v>
      </c>
      <c r="E2310" s="16">
        <v>2012.0</v>
      </c>
      <c r="F2310" s="16">
        <v>50.8719</v>
      </c>
      <c r="G2310" s="16">
        <v>12.7787</v>
      </c>
      <c r="H2310" s="15"/>
      <c r="I2310" s="15"/>
    </row>
    <row r="2311">
      <c r="A2311" s="18">
        <v>45665.0</v>
      </c>
      <c r="B2311" s="16" t="s">
        <v>3142</v>
      </c>
      <c r="C2311" s="16" t="s">
        <v>1037</v>
      </c>
      <c r="D2311" s="16" t="s">
        <v>707</v>
      </c>
      <c r="E2311" s="16">
        <v>2012.0</v>
      </c>
      <c r="F2311" s="16">
        <v>51.0728</v>
      </c>
      <c r="G2311" s="16">
        <v>12.4299</v>
      </c>
      <c r="H2311" s="15"/>
      <c r="I2311" s="15"/>
    </row>
    <row r="2312">
      <c r="A2312" s="18">
        <v>45665.0</v>
      </c>
      <c r="B2312" s="16" t="s">
        <v>3143</v>
      </c>
      <c r="C2312" s="16" t="s">
        <v>1004</v>
      </c>
      <c r="D2312" s="16" t="s">
        <v>707</v>
      </c>
      <c r="E2312" s="16">
        <v>2012.0</v>
      </c>
      <c r="F2312" s="16">
        <v>48.2189</v>
      </c>
      <c r="G2312" s="16">
        <v>11.1301</v>
      </c>
      <c r="H2312" s="15"/>
      <c r="I2312" s="15"/>
    </row>
    <row r="2313">
      <c r="A2313" s="18">
        <v>45665.0</v>
      </c>
      <c r="B2313" s="16" t="s">
        <v>3144</v>
      </c>
      <c r="C2313" s="16" t="s">
        <v>1055</v>
      </c>
      <c r="D2313" s="16" t="s">
        <v>707</v>
      </c>
      <c r="E2313" s="16">
        <v>2012.0</v>
      </c>
      <c r="F2313" s="16">
        <v>48.8335</v>
      </c>
      <c r="G2313" s="16">
        <v>11.5311</v>
      </c>
      <c r="H2313" s="15"/>
      <c r="I2313" s="15"/>
    </row>
    <row r="2314">
      <c r="A2314" s="18">
        <v>45665.0</v>
      </c>
      <c r="B2314" s="16" t="s">
        <v>3145</v>
      </c>
      <c r="C2314" s="16" t="s">
        <v>946</v>
      </c>
      <c r="D2314" s="16" t="s">
        <v>707</v>
      </c>
      <c r="E2314" s="16">
        <v>2012.0</v>
      </c>
      <c r="F2314" s="16">
        <v>49.7701</v>
      </c>
      <c r="G2314" s="16">
        <v>9.6897</v>
      </c>
      <c r="H2314" s="15"/>
      <c r="I2314" s="15"/>
    </row>
    <row r="2315">
      <c r="A2315" s="18">
        <v>45665.0</v>
      </c>
      <c r="B2315" s="16" t="s">
        <v>3146</v>
      </c>
      <c r="C2315" s="16" t="s">
        <v>948</v>
      </c>
      <c r="D2315" s="16" t="s">
        <v>707</v>
      </c>
      <c r="E2315" s="16">
        <v>2012.0</v>
      </c>
      <c r="F2315" s="16">
        <v>49.7666</v>
      </c>
      <c r="G2315" s="16">
        <v>9.6651</v>
      </c>
      <c r="H2315" s="15"/>
      <c r="I2315" s="15"/>
    </row>
    <row r="2316">
      <c r="A2316" s="18">
        <v>45665.0</v>
      </c>
      <c r="B2316" s="16" t="s">
        <v>3147</v>
      </c>
      <c r="C2316" s="16" t="s">
        <v>971</v>
      </c>
      <c r="D2316" s="16" t="s">
        <v>707</v>
      </c>
      <c r="E2316" s="16">
        <v>2012.0</v>
      </c>
      <c r="F2316" s="16">
        <v>51.3019</v>
      </c>
      <c r="G2316" s="16">
        <v>12.4625</v>
      </c>
      <c r="H2316" s="15"/>
      <c r="I2316" s="15"/>
    </row>
    <row r="2317">
      <c r="A2317" s="18">
        <v>45665.0</v>
      </c>
      <c r="B2317" s="16" t="s">
        <v>3148</v>
      </c>
      <c r="C2317" s="16">
        <v>3.0</v>
      </c>
      <c r="D2317" s="16" t="s">
        <v>707</v>
      </c>
      <c r="E2317" s="16">
        <v>2012.0</v>
      </c>
      <c r="F2317" s="16">
        <v>54.8471</v>
      </c>
      <c r="G2317" s="16">
        <v>8.8789</v>
      </c>
      <c r="H2317" s="15"/>
      <c r="I2317" s="15"/>
    </row>
    <row r="2318">
      <c r="A2318" s="18">
        <v>45665.0</v>
      </c>
      <c r="B2318" s="16" t="s">
        <v>3149</v>
      </c>
      <c r="C2318" s="16" t="s">
        <v>1034</v>
      </c>
      <c r="D2318" s="16" t="s">
        <v>707</v>
      </c>
      <c r="E2318" s="16">
        <v>2012.0</v>
      </c>
      <c r="F2318" s="16">
        <v>49.2678</v>
      </c>
      <c r="G2318" s="16">
        <v>9.7892</v>
      </c>
      <c r="H2318" s="15"/>
      <c r="I2318" s="15"/>
    </row>
    <row r="2319">
      <c r="A2319" s="18">
        <v>45665.0</v>
      </c>
      <c r="B2319" s="16" t="s">
        <v>3150</v>
      </c>
      <c r="C2319" s="16" t="s">
        <v>1059</v>
      </c>
      <c r="D2319" s="16" t="s">
        <v>707</v>
      </c>
      <c r="E2319" s="16">
        <v>2012.0</v>
      </c>
      <c r="F2319" s="16">
        <v>53.5855</v>
      </c>
      <c r="G2319" s="16">
        <v>13.9316</v>
      </c>
      <c r="H2319" s="15"/>
      <c r="I2319" s="15"/>
    </row>
    <row r="2320">
      <c r="A2320" s="18">
        <v>45665.0</v>
      </c>
      <c r="B2320" s="16" t="s">
        <v>3151</v>
      </c>
      <c r="C2320" s="16" t="s">
        <v>990</v>
      </c>
      <c r="D2320" s="16" t="s">
        <v>707</v>
      </c>
      <c r="E2320" s="16">
        <v>2012.0</v>
      </c>
      <c r="F2320" s="16">
        <v>51.9556</v>
      </c>
      <c r="G2320" s="16">
        <v>10.3878</v>
      </c>
      <c r="H2320" s="15"/>
      <c r="I2320" s="15"/>
    </row>
    <row r="2321">
      <c r="A2321" s="18">
        <v>45665.0</v>
      </c>
      <c r="B2321" s="16" t="s">
        <v>3152</v>
      </c>
      <c r="C2321" s="16" t="s">
        <v>2017</v>
      </c>
      <c r="D2321" s="16" t="s">
        <v>707</v>
      </c>
      <c r="E2321" s="16">
        <v>2012.0</v>
      </c>
      <c r="F2321" s="16">
        <v>53.3415</v>
      </c>
      <c r="G2321" s="16">
        <v>12.0561</v>
      </c>
      <c r="H2321" s="15"/>
      <c r="I2321" s="15"/>
    </row>
    <row r="2322">
      <c r="A2322" s="18">
        <v>45665.0</v>
      </c>
      <c r="B2322" s="16" t="s">
        <v>3153</v>
      </c>
      <c r="C2322" s="16" t="s">
        <v>982</v>
      </c>
      <c r="D2322" s="16" t="s">
        <v>707</v>
      </c>
      <c r="E2322" s="16">
        <v>2012.0</v>
      </c>
      <c r="F2322" s="16">
        <v>48.7084</v>
      </c>
      <c r="G2322" s="16">
        <v>11.6476</v>
      </c>
      <c r="H2322" s="15"/>
      <c r="I2322" s="15"/>
    </row>
    <row r="2323">
      <c r="A2323" s="18">
        <v>45665.0</v>
      </c>
      <c r="B2323" s="16" t="s">
        <v>3154</v>
      </c>
      <c r="C2323" s="16" t="s">
        <v>1101</v>
      </c>
      <c r="D2323" s="16" t="s">
        <v>707</v>
      </c>
      <c r="E2323" s="16">
        <v>2012.0</v>
      </c>
      <c r="F2323" s="16">
        <v>51.3821</v>
      </c>
      <c r="G2323" s="16">
        <v>12.7239</v>
      </c>
      <c r="H2323" s="15"/>
      <c r="I2323" s="15"/>
    </row>
    <row r="2324">
      <c r="A2324" s="18">
        <v>45665.0</v>
      </c>
      <c r="B2324" s="16" t="s">
        <v>3155</v>
      </c>
      <c r="C2324" s="16" t="s">
        <v>1055</v>
      </c>
      <c r="D2324" s="16" t="s">
        <v>707</v>
      </c>
      <c r="E2324" s="16">
        <v>2012.0</v>
      </c>
      <c r="F2324" s="16">
        <v>50.7416</v>
      </c>
      <c r="G2324" s="16">
        <v>7.8767</v>
      </c>
      <c r="H2324" s="15"/>
      <c r="I2324" s="15"/>
    </row>
    <row r="2325">
      <c r="A2325" s="18">
        <v>45665.0</v>
      </c>
      <c r="B2325" s="16" t="s">
        <v>3156</v>
      </c>
      <c r="C2325" s="16" t="s">
        <v>1172</v>
      </c>
      <c r="D2325" s="16" t="s">
        <v>707</v>
      </c>
      <c r="E2325" s="16">
        <v>2012.0</v>
      </c>
      <c r="F2325" s="16">
        <v>52.6422</v>
      </c>
      <c r="G2325" s="16">
        <v>11.6551</v>
      </c>
      <c r="H2325" s="15"/>
      <c r="I2325" s="15"/>
    </row>
    <row r="2326">
      <c r="A2326" s="18">
        <v>45665.0</v>
      </c>
      <c r="B2326" s="16" t="s">
        <v>3157</v>
      </c>
      <c r="C2326" s="16" t="s">
        <v>1055</v>
      </c>
      <c r="D2326" s="16" t="s">
        <v>707</v>
      </c>
      <c r="E2326" s="16">
        <v>2012.0</v>
      </c>
      <c r="F2326" s="16">
        <v>53.6455</v>
      </c>
      <c r="G2326" s="16">
        <v>12.2572</v>
      </c>
      <c r="H2326" s="15"/>
      <c r="I2326" s="15"/>
    </row>
    <row r="2327">
      <c r="A2327" s="18">
        <v>45665.0</v>
      </c>
      <c r="B2327" s="16" t="s">
        <v>3158</v>
      </c>
      <c r="C2327" s="16" t="s">
        <v>1454</v>
      </c>
      <c r="D2327" s="16" t="s">
        <v>707</v>
      </c>
      <c r="E2327" s="16">
        <v>2012.0</v>
      </c>
      <c r="F2327" s="16">
        <v>52.7488</v>
      </c>
      <c r="G2327" s="16">
        <v>13.0416</v>
      </c>
      <c r="H2327" s="15"/>
      <c r="I2327" s="15"/>
    </row>
    <row r="2328">
      <c r="A2328" s="18">
        <v>45665.0</v>
      </c>
      <c r="B2328" s="16" t="s">
        <v>3159</v>
      </c>
      <c r="C2328" s="16">
        <v>3.0</v>
      </c>
      <c r="D2328" s="16" t="s">
        <v>707</v>
      </c>
      <c r="E2328" s="16">
        <v>2012.0</v>
      </c>
      <c r="F2328" s="16">
        <v>52.935</v>
      </c>
      <c r="G2328" s="16">
        <v>12.3976</v>
      </c>
      <c r="H2328" s="15"/>
      <c r="I2328" s="15"/>
    </row>
    <row r="2329">
      <c r="A2329" s="18">
        <v>45665.0</v>
      </c>
      <c r="B2329" s="16" t="s">
        <v>3160</v>
      </c>
      <c r="C2329" s="16">
        <v>12.0</v>
      </c>
      <c r="D2329" s="16" t="s">
        <v>707</v>
      </c>
      <c r="E2329" s="16">
        <v>2012.0</v>
      </c>
      <c r="F2329" s="16">
        <v>51.2871</v>
      </c>
      <c r="G2329" s="16">
        <v>13.8943</v>
      </c>
      <c r="H2329" s="15"/>
      <c r="I2329" s="15"/>
    </row>
    <row r="2330">
      <c r="A2330" s="18">
        <v>45665.0</v>
      </c>
      <c r="B2330" s="16" t="s">
        <v>3161</v>
      </c>
      <c r="C2330" s="16">
        <v>2.0</v>
      </c>
      <c r="D2330" s="16" t="s">
        <v>707</v>
      </c>
      <c r="E2330" s="16">
        <v>2012.0</v>
      </c>
      <c r="F2330" s="16">
        <v>51.3624</v>
      </c>
      <c r="G2330" s="16">
        <v>12.7964</v>
      </c>
      <c r="H2330" s="15"/>
      <c r="I2330" s="15"/>
    </row>
    <row r="2331">
      <c r="A2331" s="18">
        <v>45665.0</v>
      </c>
      <c r="B2331" s="16" t="s">
        <v>3162</v>
      </c>
      <c r="C2331" s="16">
        <v>6.0</v>
      </c>
      <c r="D2331" s="16" t="s">
        <v>707</v>
      </c>
      <c r="E2331" s="16">
        <v>2012.0</v>
      </c>
      <c r="F2331" s="16">
        <v>48.876</v>
      </c>
      <c r="G2331" s="16">
        <v>12.5149</v>
      </c>
      <c r="H2331" s="15"/>
      <c r="I2331" s="15"/>
    </row>
    <row r="2332">
      <c r="A2332" s="18">
        <v>45665.0</v>
      </c>
      <c r="B2332" s="16" t="s">
        <v>3163</v>
      </c>
      <c r="C2332" s="16" t="s">
        <v>1059</v>
      </c>
      <c r="D2332" s="16" t="s">
        <v>707</v>
      </c>
      <c r="E2332" s="16">
        <v>2012.0</v>
      </c>
      <c r="F2332" s="16">
        <v>48.7205</v>
      </c>
      <c r="G2332" s="16">
        <v>12.982</v>
      </c>
      <c r="H2332" s="15"/>
      <c r="I2332" s="15"/>
    </row>
    <row r="2333">
      <c r="A2333" s="18">
        <v>45665.0</v>
      </c>
      <c r="B2333" s="16" t="s">
        <v>3164</v>
      </c>
      <c r="C2333" s="16" t="s">
        <v>969</v>
      </c>
      <c r="D2333" s="16" t="s">
        <v>707</v>
      </c>
      <c r="E2333" s="16">
        <v>2012.0</v>
      </c>
      <c r="F2333" s="16">
        <v>53.3707</v>
      </c>
      <c r="G2333" s="16">
        <v>12.467</v>
      </c>
      <c r="H2333" s="15"/>
      <c r="I2333" s="15"/>
    </row>
    <row r="2334">
      <c r="A2334" s="18">
        <v>45665.0</v>
      </c>
      <c r="B2334" s="16" t="s">
        <v>3165</v>
      </c>
      <c r="C2334" s="16" t="s">
        <v>1850</v>
      </c>
      <c r="D2334" s="16" t="s">
        <v>707</v>
      </c>
      <c r="E2334" s="16">
        <v>2012.0</v>
      </c>
      <c r="F2334" s="16">
        <v>51.6008</v>
      </c>
      <c r="G2334" s="16">
        <v>11.864</v>
      </c>
      <c r="H2334" s="15"/>
      <c r="I2334" s="15"/>
    </row>
    <row r="2335">
      <c r="A2335" s="18">
        <v>45665.0</v>
      </c>
      <c r="B2335" s="16" t="s">
        <v>3166</v>
      </c>
      <c r="C2335" s="16" t="s">
        <v>1055</v>
      </c>
      <c r="D2335" s="16" t="s">
        <v>707</v>
      </c>
      <c r="E2335" s="16">
        <v>2012.0</v>
      </c>
      <c r="F2335" s="16">
        <v>48.3581</v>
      </c>
      <c r="G2335" s="16">
        <v>11.1852</v>
      </c>
      <c r="H2335" s="15"/>
      <c r="I2335" s="15"/>
    </row>
    <row r="2336">
      <c r="A2336" s="18">
        <v>45665.0</v>
      </c>
      <c r="B2336" s="16" t="s">
        <v>3167</v>
      </c>
      <c r="C2336" s="16" t="s">
        <v>1037</v>
      </c>
      <c r="D2336" s="16" t="s">
        <v>707</v>
      </c>
      <c r="E2336" s="16">
        <v>2012.0</v>
      </c>
      <c r="F2336" s="16">
        <v>50.5471</v>
      </c>
      <c r="G2336" s="16">
        <v>8.6418</v>
      </c>
      <c r="H2336" s="15"/>
      <c r="I2336" s="15"/>
    </row>
    <row r="2337">
      <c r="A2337" s="18">
        <v>45665.0</v>
      </c>
      <c r="B2337" s="16" t="s">
        <v>3168</v>
      </c>
      <c r="C2337" s="16" t="s">
        <v>3169</v>
      </c>
      <c r="D2337" s="16" t="s">
        <v>707</v>
      </c>
      <c r="E2337" s="16">
        <v>2012.0</v>
      </c>
      <c r="F2337" s="16">
        <v>49.2524</v>
      </c>
      <c r="G2337" s="16">
        <v>6.7311</v>
      </c>
      <c r="H2337" s="15"/>
      <c r="I2337" s="15"/>
    </row>
    <row r="2338">
      <c r="A2338" s="18">
        <v>45665.0</v>
      </c>
      <c r="B2338" s="16" t="s">
        <v>3170</v>
      </c>
      <c r="C2338" s="16" t="s">
        <v>1090</v>
      </c>
      <c r="D2338" s="16" t="s">
        <v>707</v>
      </c>
      <c r="E2338" s="16">
        <v>2012.0</v>
      </c>
      <c r="F2338" s="16">
        <v>48.8506</v>
      </c>
      <c r="G2338" s="16">
        <v>11.2036</v>
      </c>
      <c r="H2338" s="15"/>
      <c r="I2338" s="15"/>
    </row>
    <row r="2339">
      <c r="A2339" s="18">
        <v>45665.0</v>
      </c>
      <c r="B2339" s="16" t="s">
        <v>3171</v>
      </c>
      <c r="C2339" s="16" t="s">
        <v>2457</v>
      </c>
      <c r="D2339" s="16" t="s">
        <v>707</v>
      </c>
      <c r="E2339" s="16">
        <v>2012.0</v>
      </c>
      <c r="F2339" s="16">
        <v>51.3839</v>
      </c>
      <c r="G2339" s="16">
        <v>12.779</v>
      </c>
      <c r="H2339" s="15"/>
      <c r="I2339" s="15"/>
    </row>
    <row r="2340">
      <c r="A2340" s="18">
        <v>45665.0</v>
      </c>
      <c r="B2340" s="16" t="s">
        <v>3172</v>
      </c>
      <c r="C2340" s="16" t="s">
        <v>942</v>
      </c>
      <c r="D2340" s="16" t="s">
        <v>707</v>
      </c>
      <c r="E2340" s="16">
        <v>2012.0</v>
      </c>
      <c r="F2340" s="16">
        <v>51.3839</v>
      </c>
      <c r="G2340" s="16">
        <v>12.779</v>
      </c>
      <c r="H2340" s="15"/>
      <c r="I2340" s="15"/>
    </row>
    <row r="2341">
      <c r="A2341" s="18">
        <v>45665.0</v>
      </c>
      <c r="B2341" s="16" t="s">
        <v>3173</v>
      </c>
      <c r="C2341" s="16" t="s">
        <v>1055</v>
      </c>
      <c r="D2341" s="16" t="s">
        <v>707</v>
      </c>
      <c r="E2341" s="16">
        <v>2012.0</v>
      </c>
      <c r="F2341" s="16">
        <v>52.1325</v>
      </c>
      <c r="G2341" s="16">
        <v>11.6999</v>
      </c>
      <c r="H2341" s="15"/>
      <c r="I2341" s="15"/>
    </row>
    <row r="2342">
      <c r="A2342" s="18">
        <v>45665.0</v>
      </c>
      <c r="B2342" s="16" t="s">
        <v>3174</v>
      </c>
      <c r="C2342" s="16" t="s">
        <v>942</v>
      </c>
      <c r="D2342" s="16" t="s">
        <v>707</v>
      </c>
      <c r="E2342" s="16">
        <v>2012.0</v>
      </c>
      <c r="F2342" s="16">
        <v>52.1664</v>
      </c>
      <c r="G2342" s="16">
        <v>11.6086</v>
      </c>
      <c r="H2342" s="15"/>
      <c r="I2342" s="15"/>
    </row>
    <row r="2343">
      <c r="A2343" s="18">
        <v>45665.0</v>
      </c>
      <c r="B2343" s="16" t="s">
        <v>3175</v>
      </c>
      <c r="C2343" s="16">
        <v>4.0</v>
      </c>
      <c r="D2343" s="16" t="s">
        <v>707</v>
      </c>
      <c r="E2343" s="16">
        <v>2012.0</v>
      </c>
      <c r="F2343" s="16">
        <v>53.693</v>
      </c>
      <c r="G2343" s="16">
        <v>7.8897</v>
      </c>
      <c r="H2343" s="15"/>
      <c r="I2343" s="15"/>
    </row>
    <row r="2344">
      <c r="A2344" s="18">
        <v>45665.0</v>
      </c>
      <c r="B2344" s="16" t="s">
        <v>3176</v>
      </c>
      <c r="C2344" s="16" t="s">
        <v>990</v>
      </c>
      <c r="D2344" s="16" t="s">
        <v>707</v>
      </c>
      <c r="E2344" s="16">
        <v>2012.0</v>
      </c>
      <c r="F2344" s="16">
        <v>49.3078</v>
      </c>
      <c r="G2344" s="16">
        <v>7.0677</v>
      </c>
      <c r="H2344" s="15"/>
      <c r="I2344" s="15"/>
    </row>
    <row r="2345">
      <c r="A2345" s="18">
        <v>45665.0</v>
      </c>
      <c r="B2345" s="16" t="s">
        <v>3177</v>
      </c>
      <c r="C2345" s="16" t="s">
        <v>961</v>
      </c>
      <c r="D2345" s="16" t="s">
        <v>707</v>
      </c>
      <c r="E2345" s="16">
        <v>2012.0</v>
      </c>
      <c r="F2345" s="16">
        <v>51.1329</v>
      </c>
      <c r="G2345" s="16">
        <v>10.6702</v>
      </c>
      <c r="H2345" s="15"/>
      <c r="I2345" s="15"/>
    </row>
    <row r="2346">
      <c r="A2346" s="18">
        <v>45665.0</v>
      </c>
      <c r="B2346" s="16" t="s">
        <v>3178</v>
      </c>
      <c r="C2346" s="16" t="s">
        <v>1099</v>
      </c>
      <c r="D2346" s="16" t="s">
        <v>707</v>
      </c>
      <c r="E2346" s="16">
        <v>2012.0</v>
      </c>
      <c r="F2346" s="16">
        <v>49.3535</v>
      </c>
      <c r="G2346" s="16">
        <v>12.152</v>
      </c>
      <c r="H2346" s="15"/>
      <c r="I2346" s="15"/>
    </row>
    <row r="2347">
      <c r="A2347" s="18">
        <v>45665.0</v>
      </c>
      <c r="B2347" s="16" t="s">
        <v>3179</v>
      </c>
      <c r="C2347" s="16">
        <v>3.0</v>
      </c>
      <c r="D2347" s="16" t="s">
        <v>707</v>
      </c>
      <c r="E2347" s="16">
        <v>2012.0</v>
      </c>
      <c r="F2347" s="16">
        <v>50.8972</v>
      </c>
      <c r="G2347" s="16">
        <v>13.8848</v>
      </c>
      <c r="H2347" s="15"/>
      <c r="I2347" s="15"/>
    </row>
    <row r="2348">
      <c r="A2348" s="18">
        <v>45665.0</v>
      </c>
      <c r="B2348" s="16" t="s">
        <v>3180</v>
      </c>
      <c r="C2348" s="16" t="s">
        <v>1101</v>
      </c>
      <c r="D2348" s="16" t="s">
        <v>707</v>
      </c>
      <c r="E2348" s="16">
        <v>2012.0</v>
      </c>
      <c r="F2348" s="16">
        <v>50.3351</v>
      </c>
      <c r="G2348" s="16">
        <v>8.4763</v>
      </c>
      <c r="H2348" s="15"/>
      <c r="I2348" s="15"/>
    </row>
    <row r="2349">
      <c r="A2349" s="18">
        <v>45665.0</v>
      </c>
      <c r="B2349" s="16" t="s">
        <v>3181</v>
      </c>
      <c r="C2349" s="16" t="s">
        <v>1096</v>
      </c>
      <c r="D2349" s="16" t="s">
        <v>707</v>
      </c>
      <c r="E2349" s="16">
        <v>2012.0</v>
      </c>
      <c r="F2349" s="16">
        <v>50.1097</v>
      </c>
      <c r="G2349" s="16">
        <v>6.5543</v>
      </c>
      <c r="H2349" s="15"/>
      <c r="I2349" s="15"/>
    </row>
    <row r="2350">
      <c r="A2350" s="18">
        <v>45665.0</v>
      </c>
      <c r="B2350" s="16" t="s">
        <v>3182</v>
      </c>
      <c r="C2350" s="16" t="s">
        <v>1051</v>
      </c>
      <c r="D2350" s="16" t="s">
        <v>707</v>
      </c>
      <c r="E2350" s="16">
        <v>2012.0</v>
      </c>
      <c r="F2350" s="16">
        <v>50.7725</v>
      </c>
      <c r="G2350" s="16">
        <v>12.8694</v>
      </c>
      <c r="H2350" s="15"/>
      <c r="I2350" s="15"/>
    </row>
    <row r="2351">
      <c r="A2351" s="18">
        <v>45665.0</v>
      </c>
      <c r="B2351" s="16" t="s">
        <v>3183</v>
      </c>
      <c r="C2351" s="16" t="s">
        <v>1004</v>
      </c>
      <c r="D2351" s="16" t="s">
        <v>707</v>
      </c>
      <c r="E2351" s="16">
        <v>2012.0</v>
      </c>
      <c r="F2351" s="16">
        <v>51.996</v>
      </c>
      <c r="G2351" s="16">
        <v>12.9983</v>
      </c>
      <c r="H2351" s="15"/>
      <c r="I2351" s="15"/>
    </row>
    <row r="2352">
      <c r="A2352" s="18">
        <v>45665.0</v>
      </c>
      <c r="B2352" s="16" t="s">
        <v>3184</v>
      </c>
      <c r="C2352" s="16" t="s">
        <v>1215</v>
      </c>
      <c r="D2352" s="16" t="s">
        <v>707</v>
      </c>
      <c r="E2352" s="16">
        <v>2012.0</v>
      </c>
      <c r="F2352" s="16">
        <v>51.996</v>
      </c>
      <c r="G2352" s="16">
        <v>12.9983</v>
      </c>
      <c r="H2352" s="15"/>
      <c r="I2352" s="15"/>
    </row>
    <row r="2353">
      <c r="A2353" s="18">
        <v>45665.0</v>
      </c>
      <c r="B2353" s="16" t="s">
        <v>3185</v>
      </c>
      <c r="C2353" s="16" t="s">
        <v>1101</v>
      </c>
      <c r="D2353" s="16" t="s">
        <v>707</v>
      </c>
      <c r="E2353" s="16">
        <v>2012.0</v>
      </c>
      <c r="F2353" s="16">
        <v>51.996</v>
      </c>
      <c r="G2353" s="16">
        <v>12.9983</v>
      </c>
      <c r="H2353" s="15"/>
      <c r="I2353" s="15"/>
    </row>
    <row r="2354">
      <c r="A2354" s="18">
        <v>45665.0</v>
      </c>
      <c r="B2354" s="16" t="s">
        <v>3186</v>
      </c>
      <c r="C2354" s="16" t="s">
        <v>990</v>
      </c>
      <c r="D2354" s="16" t="s">
        <v>707</v>
      </c>
      <c r="E2354" s="16">
        <v>2012.0</v>
      </c>
      <c r="F2354" s="16">
        <v>52.6126</v>
      </c>
      <c r="G2354" s="16">
        <v>9.1957</v>
      </c>
      <c r="H2354" s="15"/>
      <c r="I2354" s="15"/>
    </row>
    <row r="2355">
      <c r="A2355" s="18">
        <v>45665.0</v>
      </c>
      <c r="B2355" s="16" t="s">
        <v>3187</v>
      </c>
      <c r="C2355" s="16" t="s">
        <v>1055</v>
      </c>
      <c r="D2355" s="16" t="s">
        <v>707</v>
      </c>
      <c r="E2355" s="16">
        <v>2012.0</v>
      </c>
      <c r="F2355" s="16">
        <v>49.6409</v>
      </c>
      <c r="G2355" s="16">
        <v>10.4675</v>
      </c>
      <c r="H2355" s="15"/>
      <c r="I2355" s="15"/>
    </row>
    <row r="2356">
      <c r="A2356" s="18">
        <v>45665.0</v>
      </c>
      <c r="B2356" s="16" t="s">
        <v>3188</v>
      </c>
      <c r="C2356" s="16">
        <v>2.0</v>
      </c>
      <c r="D2356" s="16" t="s">
        <v>707</v>
      </c>
      <c r="E2356" s="16">
        <v>2012.0</v>
      </c>
      <c r="F2356" s="16">
        <v>54.8475</v>
      </c>
      <c r="G2356" s="16">
        <v>8.701</v>
      </c>
      <c r="H2356" s="15"/>
      <c r="I2356" s="15"/>
    </row>
    <row r="2357">
      <c r="A2357" s="18">
        <v>45665.0</v>
      </c>
      <c r="B2357" s="16" t="s">
        <v>3189</v>
      </c>
      <c r="C2357" s="16">
        <v>3.0</v>
      </c>
      <c r="D2357" s="16" t="s">
        <v>707</v>
      </c>
      <c r="E2357" s="16">
        <v>2012.0</v>
      </c>
      <c r="F2357" s="16">
        <v>51.8681</v>
      </c>
      <c r="G2357" s="16">
        <v>14.4109</v>
      </c>
      <c r="H2357" s="15"/>
      <c r="I2357" s="15"/>
    </row>
    <row r="2358">
      <c r="A2358" s="18">
        <v>45665.0</v>
      </c>
      <c r="B2358" s="16" t="s">
        <v>3190</v>
      </c>
      <c r="C2358" s="16" t="s">
        <v>1051</v>
      </c>
      <c r="D2358" s="16" t="s">
        <v>707</v>
      </c>
      <c r="E2358" s="16">
        <v>2012.0</v>
      </c>
      <c r="F2358" s="16">
        <v>49.2539</v>
      </c>
      <c r="G2358" s="16">
        <v>10.4443</v>
      </c>
      <c r="H2358" s="15"/>
      <c r="I2358" s="15"/>
    </row>
    <row r="2359">
      <c r="A2359" s="18">
        <v>45665.0</v>
      </c>
      <c r="B2359" s="16" t="s">
        <v>3191</v>
      </c>
      <c r="C2359" s="16" t="s">
        <v>951</v>
      </c>
      <c r="D2359" s="16" t="s">
        <v>707</v>
      </c>
      <c r="E2359" s="16">
        <v>2012.0</v>
      </c>
      <c r="F2359" s="16">
        <v>53.445</v>
      </c>
      <c r="G2359" s="16">
        <v>12.267</v>
      </c>
      <c r="H2359" s="15"/>
      <c r="I2359" s="15"/>
    </row>
    <row r="2360">
      <c r="A2360" s="18">
        <v>45665.0</v>
      </c>
      <c r="B2360" s="16" t="s">
        <v>3192</v>
      </c>
      <c r="C2360" s="16" t="s">
        <v>1007</v>
      </c>
      <c r="D2360" s="16" t="s">
        <v>707</v>
      </c>
      <c r="E2360" s="16">
        <v>2012.0</v>
      </c>
      <c r="F2360" s="16">
        <v>50.4805</v>
      </c>
      <c r="G2360" s="16">
        <v>12.1838</v>
      </c>
      <c r="H2360" s="15"/>
      <c r="I2360" s="15"/>
    </row>
    <row r="2361">
      <c r="A2361" s="18">
        <v>45665.0</v>
      </c>
      <c r="B2361" s="16" t="s">
        <v>3193</v>
      </c>
      <c r="C2361" s="16" t="s">
        <v>1436</v>
      </c>
      <c r="D2361" s="16" t="s">
        <v>707</v>
      </c>
      <c r="E2361" s="16">
        <v>2012.0</v>
      </c>
      <c r="F2361" s="16">
        <v>53.184</v>
      </c>
      <c r="G2361" s="16">
        <v>12.1551</v>
      </c>
      <c r="H2361" s="15"/>
      <c r="I2361" s="15"/>
    </row>
    <row r="2362">
      <c r="A2362" s="18">
        <v>45665.0</v>
      </c>
      <c r="B2362" s="16" t="s">
        <v>3194</v>
      </c>
      <c r="C2362" s="16" t="s">
        <v>1203</v>
      </c>
      <c r="D2362" s="16" t="s">
        <v>707</v>
      </c>
      <c r="E2362" s="16">
        <v>2012.0</v>
      </c>
      <c r="F2362" s="16">
        <v>49.2701</v>
      </c>
      <c r="G2362" s="16">
        <v>8.6707</v>
      </c>
      <c r="H2362" s="15"/>
      <c r="I2362" s="15"/>
    </row>
    <row r="2363">
      <c r="A2363" s="18">
        <v>45665.0</v>
      </c>
      <c r="B2363" s="16" t="s">
        <v>3195</v>
      </c>
      <c r="C2363" s="16">
        <v>2.0</v>
      </c>
      <c r="D2363" s="16" t="s">
        <v>707</v>
      </c>
      <c r="E2363" s="16">
        <v>2012.0</v>
      </c>
      <c r="F2363" s="16">
        <v>51.2655</v>
      </c>
      <c r="G2363" s="16">
        <v>6.3205</v>
      </c>
      <c r="H2363" s="15"/>
      <c r="I2363" s="15"/>
    </row>
    <row r="2364">
      <c r="A2364" s="18">
        <v>45665.0</v>
      </c>
      <c r="B2364" s="16" t="s">
        <v>3196</v>
      </c>
      <c r="C2364" s="16">
        <v>2.0</v>
      </c>
      <c r="D2364" s="16" t="s">
        <v>707</v>
      </c>
      <c r="E2364" s="16">
        <v>2012.0</v>
      </c>
      <c r="F2364" s="16">
        <v>49.8075</v>
      </c>
      <c r="G2364" s="16">
        <v>9.5793</v>
      </c>
      <c r="H2364" s="15"/>
      <c r="I2364" s="15"/>
    </row>
    <row r="2365">
      <c r="A2365" s="18">
        <v>45665.0</v>
      </c>
      <c r="B2365" s="16" t="s">
        <v>3197</v>
      </c>
      <c r="C2365" s="16" t="s">
        <v>1034</v>
      </c>
      <c r="D2365" s="16" t="s">
        <v>707</v>
      </c>
      <c r="E2365" s="16">
        <v>2012.0</v>
      </c>
      <c r="F2365" s="16">
        <v>48.4284</v>
      </c>
      <c r="G2365" s="16">
        <v>8.7065</v>
      </c>
      <c r="H2365" s="15"/>
      <c r="I2365" s="15"/>
    </row>
    <row r="2366">
      <c r="A2366" s="18">
        <v>45665.0</v>
      </c>
      <c r="B2366" s="16" t="s">
        <v>3198</v>
      </c>
      <c r="C2366" s="16">
        <v>1.0</v>
      </c>
      <c r="D2366" s="16" t="s">
        <v>707</v>
      </c>
      <c r="E2366" s="16">
        <v>2012.0</v>
      </c>
      <c r="F2366" s="16">
        <v>48.1183</v>
      </c>
      <c r="G2366" s="16">
        <v>11.0163</v>
      </c>
      <c r="H2366" s="15"/>
      <c r="I2366" s="15"/>
    </row>
    <row r="2367">
      <c r="A2367" s="18">
        <v>45665.0</v>
      </c>
      <c r="B2367" s="16" t="s">
        <v>3199</v>
      </c>
      <c r="C2367" s="16" t="s">
        <v>942</v>
      </c>
      <c r="D2367" s="16" t="s">
        <v>707</v>
      </c>
      <c r="E2367" s="16">
        <v>2012.0</v>
      </c>
      <c r="F2367" s="16">
        <v>51.4505</v>
      </c>
      <c r="G2367" s="16">
        <v>11.5534</v>
      </c>
      <c r="H2367" s="15"/>
      <c r="I2367" s="15"/>
    </row>
    <row r="2368">
      <c r="A2368" s="18">
        <v>45665.0</v>
      </c>
      <c r="B2368" s="16" t="s">
        <v>3200</v>
      </c>
      <c r="C2368" s="16">
        <v>3.0</v>
      </c>
      <c r="D2368" s="16" t="s">
        <v>707</v>
      </c>
      <c r="E2368" s="16">
        <v>2012.0</v>
      </c>
      <c r="F2368" s="16">
        <v>51.456</v>
      </c>
      <c r="G2368" s="16">
        <v>13.8895</v>
      </c>
      <c r="H2368" s="15"/>
      <c r="I2368" s="15"/>
    </row>
    <row r="2369">
      <c r="A2369" s="18">
        <v>45665.0</v>
      </c>
      <c r="B2369" s="16" t="s">
        <v>3201</v>
      </c>
      <c r="C2369" s="16" t="s">
        <v>942</v>
      </c>
      <c r="D2369" s="16" t="s">
        <v>707</v>
      </c>
      <c r="E2369" s="16">
        <v>2012.0</v>
      </c>
      <c r="F2369" s="16">
        <v>50.8508</v>
      </c>
      <c r="G2369" s="16">
        <v>12.7206</v>
      </c>
      <c r="H2369" s="15"/>
      <c r="I2369" s="15"/>
    </row>
    <row r="2370">
      <c r="A2370" s="18">
        <v>45665.0</v>
      </c>
      <c r="B2370" s="16" t="s">
        <v>3202</v>
      </c>
      <c r="C2370" s="16" t="s">
        <v>1039</v>
      </c>
      <c r="D2370" s="16" t="s">
        <v>707</v>
      </c>
      <c r="E2370" s="16">
        <v>2012.0</v>
      </c>
      <c r="F2370" s="16">
        <v>51.1213</v>
      </c>
      <c r="G2370" s="16">
        <v>12.0226</v>
      </c>
      <c r="H2370" s="15"/>
      <c r="I2370" s="15"/>
    </row>
    <row r="2371">
      <c r="A2371" s="18">
        <v>45665.0</v>
      </c>
      <c r="B2371" s="16" t="s">
        <v>3203</v>
      </c>
      <c r="C2371" s="16" t="s">
        <v>951</v>
      </c>
      <c r="D2371" s="16" t="s">
        <v>707</v>
      </c>
      <c r="E2371" s="16">
        <v>2012.0</v>
      </c>
      <c r="F2371" s="16">
        <v>48.8816</v>
      </c>
      <c r="G2371" s="16">
        <v>12.0588</v>
      </c>
      <c r="H2371" s="15"/>
      <c r="I2371" s="15"/>
    </row>
    <row r="2372">
      <c r="A2372" s="18">
        <v>45665.0</v>
      </c>
      <c r="B2372" s="16" t="s">
        <v>3204</v>
      </c>
      <c r="C2372" s="16" t="s">
        <v>1149</v>
      </c>
      <c r="D2372" s="16" t="s">
        <v>707</v>
      </c>
      <c r="E2372" s="16">
        <v>2012.0</v>
      </c>
      <c r="F2372" s="16">
        <v>52.2043</v>
      </c>
      <c r="G2372" s="16">
        <v>7.6183</v>
      </c>
      <c r="H2372" s="15"/>
      <c r="I2372" s="15"/>
    </row>
    <row r="2373">
      <c r="A2373" s="18">
        <v>45665.0</v>
      </c>
      <c r="B2373" s="16" t="s">
        <v>3205</v>
      </c>
      <c r="C2373" s="16" t="s">
        <v>3206</v>
      </c>
      <c r="D2373" s="16" t="s">
        <v>707</v>
      </c>
      <c r="E2373" s="16">
        <v>2012.0</v>
      </c>
      <c r="F2373" s="16">
        <v>53.818</v>
      </c>
      <c r="G2373" s="16">
        <v>11.8494</v>
      </c>
      <c r="H2373" s="15"/>
      <c r="I2373" s="15"/>
    </row>
    <row r="2374">
      <c r="A2374" s="18">
        <v>45665.0</v>
      </c>
      <c r="B2374" s="16" t="s">
        <v>3207</v>
      </c>
      <c r="C2374" s="16" t="s">
        <v>948</v>
      </c>
      <c r="D2374" s="16" t="s">
        <v>707</v>
      </c>
      <c r="E2374" s="16">
        <v>2012.0</v>
      </c>
      <c r="F2374" s="16">
        <v>53.8201</v>
      </c>
      <c r="G2374" s="16">
        <v>11.8546</v>
      </c>
      <c r="H2374" s="15"/>
      <c r="I2374" s="15"/>
    </row>
    <row r="2375">
      <c r="A2375" s="18">
        <v>45665.0</v>
      </c>
      <c r="B2375" s="16" t="s">
        <v>3208</v>
      </c>
      <c r="C2375" s="16" t="s">
        <v>961</v>
      </c>
      <c r="D2375" s="16" t="s">
        <v>707</v>
      </c>
      <c r="E2375" s="16">
        <v>2012.0</v>
      </c>
      <c r="F2375" s="16">
        <v>48.7089</v>
      </c>
      <c r="G2375" s="16">
        <v>11.6449</v>
      </c>
      <c r="H2375" s="15"/>
      <c r="I2375" s="15"/>
    </row>
    <row r="2376">
      <c r="A2376" s="18">
        <v>45665.0</v>
      </c>
      <c r="B2376" s="16" t="s">
        <v>3209</v>
      </c>
      <c r="C2376" s="16">
        <v>2.0</v>
      </c>
      <c r="D2376" s="16" t="s">
        <v>707</v>
      </c>
      <c r="E2376" s="16">
        <v>2012.0</v>
      </c>
      <c r="F2376" s="16">
        <v>47.8375</v>
      </c>
      <c r="G2376" s="16">
        <v>10.8942</v>
      </c>
      <c r="H2376" s="15"/>
      <c r="I2376" s="15"/>
    </row>
    <row r="2377">
      <c r="A2377" s="18">
        <v>45665.0</v>
      </c>
      <c r="B2377" s="16" t="s">
        <v>3210</v>
      </c>
      <c r="C2377" s="16" t="s">
        <v>959</v>
      </c>
      <c r="D2377" s="16" t="s">
        <v>707</v>
      </c>
      <c r="E2377" s="16">
        <v>2012.0</v>
      </c>
      <c r="F2377" s="16">
        <v>47.8388</v>
      </c>
      <c r="G2377" s="16">
        <v>10.8899</v>
      </c>
      <c r="H2377" s="15"/>
      <c r="I2377" s="15"/>
    </row>
    <row r="2378">
      <c r="A2378" s="18">
        <v>45665.0</v>
      </c>
      <c r="B2378" s="16" t="s">
        <v>3211</v>
      </c>
      <c r="C2378" s="16">
        <v>1.0</v>
      </c>
      <c r="D2378" s="16" t="s">
        <v>707</v>
      </c>
      <c r="E2378" s="16">
        <v>2012.0</v>
      </c>
      <c r="F2378" s="16">
        <v>48.5271</v>
      </c>
      <c r="G2378" s="16">
        <v>10.3675</v>
      </c>
      <c r="H2378" s="15"/>
      <c r="I2378" s="15"/>
    </row>
    <row r="2379">
      <c r="A2379" s="18">
        <v>45665.0</v>
      </c>
      <c r="B2379" s="16" t="s">
        <v>3212</v>
      </c>
      <c r="C2379" s="16" t="s">
        <v>1101</v>
      </c>
      <c r="D2379" s="16" t="s">
        <v>707</v>
      </c>
      <c r="E2379" s="16">
        <v>2012.0</v>
      </c>
      <c r="F2379" s="16">
        <v>51.12</v>
      </c>
      <c r="G2379" s="16">
        <v>10.3201</v>
      </c>
      <c r="H2379" s="15"/>
      <c r="I2379" s="15"/>
    </row>
    <row r="2380">
      <c r="A2380" s="18">
        <v>45665.0</v>
      </c>
      <c r="B2380" s="16" t="s">
        <v>3213</v>
      </c>
      <c r="C2380" s="16" t="s">
        <v>942</v>
      </c>
      <c r="D2380" s="16" t="s">
        <v>707</v>
      </c>
      <c r="E2380" s="16">
        <v>2012.0</v>
      </c>
      <c r="F2380" s="16">
        <v>48.6545</v>
      </c>
      <c r="G2380" s="16">
        <v>12.4595</v>
      </c>
      <c r="H2380" s="15"/>
      <c r="I2380" s="15"/>
    </row>
    <row r="2381">
      <c r="A2381" s="18">
        <v>45665.0</v>
      </c>
      <c r="B2381" s="16" t="s">
        <v>3214</v>
      </c>
      <c r="C2381" s="16" t="s">
        <v>1771</v>
      </c>
      <c r="D2381" s="16" t="s">
        <v>707</v>
      </c>
      <c r="E2381" s="16">
        <v>2012.0</v>
      </c>
      <c r="F2381" s="16">
        <v>48.5433</v>
      </c>
      <c r="G2381" s="16">
        <v>12.5681</v>
      </c>
      <c r="H2381" s="15"/>
      <c r="I2381" s="15"/>
    </row>
    <row r="2382">
      <c r="A2382" s="18">
        <v>45665.0</v>
      </c>
      <c r="B2382" s="16" t="s">
        <v>3215</v>
      </c>
      <c r="C2382" s="16" t="s">
        <v>961</v>
      </c>
      <c r="D2382" s="16" t="s">
        <v>707</v>
      </c>
      <c r="E2382" s="16">
        <v>2012.0</v>
      </c>
      <c r="F2382" s="16">
        <v>51.0019</v>
      </c>
      <c r="G2382" s="16">
        <v>12.2962</v>
      </c>
      <c r="H2382" s="15"/>
      <c r="I2382" s="15"/>
    </row>
    <row r="2383">
      <c r="A2383" s="18">
        <v>45665.0</v>
      </c>
      <c r="B2383" s="16" t="s">
        <v>3216</v>
      </c>
      <c r="C2383" s="16" t="s">
        <v>2498</v>
      </c>
      <c r="D2383" s="16" t="s">
        <v>707</v>
      </c>
      <c r="E2383" s="16">
        <v>2012.0</v>
      </c>
      <c r="F2383" s="16">
        <v>51.0035</v>
      </c>
      <c r="G2383" s="16">
        <v>12.2963</v>
      </c>
      <c r="H2383" s="15"/>
      <c r="I2383" s="15"/>
    </row>
    <row r="2384">
      <c r="A2384" s="18">
        <v>45665.0</v>
      </c>
      <c r="B2384" s="16" t="s">
        <v>3217</v>
      </c>
      <c r="C2384" s="16" t="s">
        <v>942</v>
      </c>
      <c r="D2384" s="16" t="s">
        <v>707</v>
      </c>
      <c r="E2384" s="16">
        <v>2012.0</v>
      </c>
      <c r="F2384" s="16">
        <v>52.4607</v>
      </c>
      <c r="G2384" s="16">
        <v>8.5352</v>
      </c>
      <c r="H2384" s="15"/>
      <c r="I2384" s="15"/>
    </row>
    <row r="2385">
      <c r="A2385" s="18">
        <v>45665.0</v>
      </c>
      <c r="B2385" s="16" t="s">
        <v>3218</v>
      </c>
      <c r="C2385" s="16" t="s">
        <v>1690</v>
      </c>
      <c r="D2385" s="16" t="s">
        <v>707</v>
      </c>
      <c r="E2385" s="16">
        <v>2012.0</v>
      </c>
      <c r="F2385" s="16">
        <v>52.5479</v>
      </c>
      <c r="G2385" s="16">
        <v>8.6755</v>
      </c>
      <c r="H2385" s="15"/>
      <c r="I2385" s="15"/>
    </row>
    <row r="2386">
      <c r="A2386" s="18">
        <v>45665.0</v>
      </c>
      <c r="B2386" s="16" t="s">
        <v>3219</v>
      </c>
      <c r="C2386" s="16" t="s">
        <v>1046</v>
      </c>
      <c r="D2386" s="16" t="s">
        <v>707</v>
      </c>
      <c r="E2386" s="16">
        <v>2012.0</v>
      </c>
      <c r="F2386" s="16">
        <v>49.4282</v>
      </c>
      <c r="G2386" s="16">
        <v>12.1473</v>
      </c>
      <c r="H2386" s="15"/>
      <c r="I2386" s="15"/>
    </row>
    <row r="2387">
      <c r="A2387" s="18">
        <v>45665.0</v>
      </c>
      <c r="B2387" s="16" t="s">
        <v>3220</v>
      </c>
      <c r="C2387" s="16" t="s">
        <v>942</v>
      </c>
      <c r="D2387" s="16" t="s">
        <v>707</v>
      </c>
      <c r="E2387" s="16">
        <v>2012.0</v>
      </c>
      <c r="F2387" s="16">
        <v>49.0759</v>
      </c>
      <c r="G2387" s="16">
        <v>8.4575</v>
      </c>
      <c r="H2387" s="15"/>
      <c r="I2387" s="15"/>
    </row>
    <row r="2388">
      <c r="A2388" s="18">
        <v>45665.0</v>
      </c>
      <c r="B2388" s="16" t="s">
        <v>3221</v>
      </c>
      <c r="C2388" s="16" t="s">
        <v>1181</v>
      </c>
      <c r="D2388" s="16" t="s">
        <v>707</v>
      </c>
      <c r="E2388" s="16">
        <v>2012.0</v>
      </c>
      <c r="F2388" s="16">
        <v>51.7679</v>
      </c>
      <c r="G2388" s="16">
        <v>14.2927</v>
      </c>
      <c r="H2388" s="15"/>
      <c r="I2388" s="15"/>
    </row>
    <row r="2389">
      <c r="A2389" s="18">
        <v>45665.0</v>
      </c>
      <c r="B2389" s="16" t="s">
        <v>3222</v>
      </c>
      <c r="C2389" s="16" t="s">
        <v>3223</v>
      </c>
      <c r="D2389" s="16" t="s">
        <v>707</v>
      </c>
      <c r="E2389" s="16">
        <v>2012.0</v>
      </c>
      <c r="F2389" s="16">
        <v>51.2362</v>
      </c>
      <c r="G2389" s="16">
        <v>11.9562</v>
      </c>
      <c r="H2389" s="15"/>
      <c r="I2389" s="15"/>
    </row>
    <row r="2390">
      <c r="A2390" s="18">
        <v>45665.0</v>
      </c>
      <c r="B2390" s="16" t="s">
        <v>3224</v>
      </c>
      <c r="C2390" s="16" t="s">
        <v>1055</v>
      </c>
      <c r="D2390" s="16" t="s">
        <v>707</v>
      </c>
      <c r="E2390" s="16">
        <v>2012.0</v>
      </c>
      <c r="F2390" s="16">
        <v>53.3784</v>
      </c>
      <c r="G2390" s="16">
        <v>13.1761</v>
      </c>
      <c r="H2390" s="15"/>
      <c r="I2390" s="15"/>
    </row>
    <row r="2391">
      <c r="A2391" s="18">
        <v>45665.0</v>
      </c>
      <c r="B2391" s="16" t="s">
        <v>3225</v>
      </c>
      <c r="C2391" s="16" t="s">
        <v>1046</v>
      </c>
      <c r="D2391" s="16" t="s">
        <v>707</v>
      </c>
      <c r="E2391" s="16">
        <v>2012.0</v>
      </c>
      <c r="F2391" s="16">
        <v>51.6585</v>
      </c>
      <c r="G2391" s="16">
        <v>9.2618</v>
      </c>
      <c r="H2391" s="15"/>
      <c r="I2391" s="15"/>
    </row>
    <row r="2392">
      <c r="A2392" s="18">
        <v>45665.0</v>
      </c>
      <c r="B2392" s="16" t="s">
        <v>3226</v>
      </c>
      <c r="C2392" s="16" t="s">
        <v>971</v>
      </c>
      <c r="D2392" s="16" t="s">
        <v>707</v>
      </c>
      <c r="E2392" s="16">
        <v>2012.0</v>
      </c>
      <c r="F2392" s="16">
        <v>47.7903</v>
      </c>
      <c r="G2392" s="16">
        <v>9.5789</v>
      </c>
      <c r="H2392" s="15"/>
      <c r="I2392" s="15"/>
    </row>
    <row r="2393">
      <c r="A2393" s="18">
        <v>45665.0</v>
      </c>
      <c r="B2393" s="16" t="s">
        <v>3227</v>
      </c>
      <c r="C2393" s="16" t="s">
        <v>1011</v>
      </c>
      <c r="D2393" s="16" t="s">
        <v>707</v>
      </c>
      <c r="E2393" s="16">
        <v>2012.0</v>
      </c>
      <c r="F2393" s="16">
        <v>54.8452</v>
      </c>
      <c r="G2393" s="16">
        <v>8.8695</v>
      </c>
      <c r="H2393" s="15"/>
      <c r="I2393" s="15"/>
    </row>
    <row r="2394">
      <c r="A2394" s="18">
        <v>45665.0</v>
      </c>
      <c r="B2394" s="16" t="s">
        <v>3228</v>
      </c>
      <c r="C2394" s="16" t="s">
        <v>1085</v>
      </c>
      <c r="D2394" s="16" t="s">
        <v>707</v>
      </c>
      <c r="E2394" s="16">
        <v>2012.0</v>
      </c>
      <c r="F2394" s="16">
        <v>48.4379</v>
      </c>
      <c r="G2394" s="16">
        <v>12.3559</v>
      </c>
      <c r="H2394" s="15"/>
      <c r="I2394" s="15"/>
    </row>
    <row r="2395">
      <c r="A2395" s="18">
        <v>45665.0</v>
      </c>
      <c r="B2395" s="16" t="s">
        <v>3229</v>
      </c>
      <c r="C2395" s="16" t="s">
        <v>1690</v>
      </c>
      <c r="D2395" s="16" t="s">
        <v>707</v>
      </c>
      <c r="E2395" s="16">
        <v>2012.0</v>
      </c>
      <c r="F2395" s="16">
        <v>52.6312</v>
      </c>
      <c r="G2395" s="16">
        <v>14.3969</v>
      </c>
      <c r="H2395" s="15"/>
      <c r="I2395" s="15"/>
    </row>
    <row r="2396">
      <c r="A2396" s="18">
        <v>45665.0</v>
      </c>
      <c r="B2396" s="16" t="s">
        <v>3230</v>
      </c>
      <c r="C2396" s="16" t="s">
        <v>1004</v>
      </c>
      <c r="D2396" s="16" t="s">
        <v>707</v>
      </c>
      <c r="E2396" s="16">
        <v>2012.0</v>
      </c>
      <c r="F2396" s="16">
        <v>52.5576</v>
      </c>
      <c r="G2396" s="16">
        <v>8.581</v>
      </c>
      <c r="H2396" s="15"/>
      <c r="I2396" s="15"/>
    </row>
    <row r="2397">
      <c r="A2397" s="18">
        <v>45665.0</v>
      </c>
      <c r="B2397" s="16" t="s">
        <v>3231</v>
      </c>
      <c r="C2397" s="16" t="s">
        <v>961</v>
      </c>
      <c r="D2397" s="16" t="s">
        <v>707</v>
      </c>
      <c r="E2397" s="16">
        <v>2012.0</v>
      </c>
      <c r="F2397" s="16">
        <v>52.5367</v>
      </c>
      <c r="G2397" s="16">
        <v>8.6815</v>
      </c>
      <c r="H2397" s="15"/>
      <c r="I2397" s="15"/>
    </row>
    <row r="2398">
      <c r="A2398" s="18">
        <v>45665.0</v>
      </c>
      <c r="B2398" s="16" t="s">
        <v>3232</v>
      </c>
      <c r="C2398" s="16" t="s">
        <v>1267</v>
      </c>
      <c r="D2398" s="16" t="s">
        <v>707</v>
      </c>
      <c r="E2398" s="16">
        <v>2012.0</v>
      </c>
      <c r="F2398" s="16">
        <v>47.7516</v>
      </c>
      <c r="G2398" s="16">
        <v>9.8036</v>
      </c>
      <c r="H2398" s="15"/>
      <c r="I2398" s="15"/>
    </row>
    <row r="2399">
      <c r="A2399" s="18">
        <v>45665.0</v>
      </c>
      <c r="B2399" s="16" t="s">
        <v>3233</v>
      </c>
      <c r="C2399" s="16" t="s">
        <v>982</v>
      </c>
      <c r="D2399" s="16" t="s">
        <v>707</v>
      </c>
      <c r="E2399" s="16">
        <v>2012.0</v>
      </c>
      <c r="F2399" s="16">
        <v>52.9507</v>
      </c>
      <c r="G2399" s="16">
        <v>12.6863</v>
      </c>
      <c r="H2399" s="15"/>
      <c r="I2399" s="15"/>
    </row>
    <row r="2400">
      <c r="A2400" s="18">
        <v>45665.0</v>
      </c>
      <c r="B2400" s="16" t="s">
        <v>3234</v>
      </c>
      <c r="C2400" s="16" t="s">
        <v>984</v>
      </c>
      <c r="D2400" s="16" t="s">
        <v>707</v>
      </c>
      <c r="E2400" s="16">
        <v>2012.0</v>
      </c>
      <c r="F2400" s="16">
        <v>53.9003</v>
      </c>
      <c r="G2400" s="16">
        <v>12.953</v>
      </c>
      <c r="H2400" s="15"/>
      <c r="I2400" s="15"/>
    </row>
    <row r="2401">
      <c r="A2401" s="18">
        <v>45665.0</v>
      </c>
      <c r="B2401" s="16" t="s">
        <v>3235</v>
      </c>
      <c r="C2401" s="16" t="s">
        <v>959</v>
      </c>
      <c r="D2401" s="16" t="s">
        <v>707</v>
      </c>
      <c r="E2401" s="16">
        <v>2012.0</v>
      </c>
      <c r="F2401" s="16">
        <v>52.3759</v>
      </c>
      <c r="G2401" s="16">
        <v>13.4502</v>
      </c>
      <c r="H2401" s="15"/>
      <c r="I2401" s="15"/>
    </row>
    <row r="2402">
      <c r="A2402" s="18">
        <v>45665.0</v>
      </c>
      <c r="B2402" s="16" t="s">
        <v>3236</v>
      </c>
      <c r="C2402" s="16" t="s">
        <v>1090</v>
      </c>
      <c r="D2402" s="16" t="s">
        <v>707</v>
      </c>
      <c r="E2402" s="16">
        <v>2012.0</v>
      </c>
      <c r="F2402" s="16">
        <v>53.2587</v>
      </c>
      <c r="G2402" s="16">
        <v>8.9629</v>
      </c>
      <c r="H2402" s="15"/>
      <c r="I2402" s="15"/>
    </row>
    <row r="2403">
      <c r="A2403" s="18">
        <v>45665.0</v>
      </c>
      <c r="B2403" s="16" t="s">
        <v>3237</v>
      </c>
      <c r="C2403" s="16" t="s">
        <v>948</v>
      </c>
      <c r="D2403" s="16" t="s">
        <v>707</v>
      </c>
      <c r="E2403" s="16">
        <v>2012.0</v>
      </c>
      <c r="F2403" s="16">
        <v>51.6538</v>
      </c>
      <c r="G2403" s="16">
        <v>10.1673</v>
      </c>
      <c r="H2403" s="15"/>
      <c r="I2403" s="15"/>
    </row>
    <row r="2404">
      <c r="A2404" s="18">
        <v>45665.0</v>
      </c>
      <c r="B2404" s="16" t="s">
        <v>3238</v>
      </c>
      <c r="C2404" s="16" t="s">
        <v>1002</v>
      </c>
      <c r="D2404" s="16" t="s">
        <v>707</v>
      </c>
      <c r="E2404" s="16">
        <v>2012.0</v>
      </c>
      <c r="F2404" s="16">
        <v>50.395</v>
      </c>
      <c r="G2404" s="16">
        <v>8.828</v>
      </c>
      <c r="H2404" s="15"/>
      <c r="I2404" s="15"/>
    </row>
    <row r="2405">
      <c r="A2405" s="18">
        <v>45665.0</v>
      </c>
      <c r="B2405" s="16" t="s">
        <v>3239</v>
      </c>
      <c r="C2405" s="16" t="s">
        <v>1055</v>
      </c>
      <c r="D2405" s="16" t="s">
        <v>707</v>
      </c>
      <c r="E2405" s="16">
        <v>2012.0</v>
      </c>
      <c r="F2405" s="16">
        <v>51.8048</v>
      </c>
      <c r="G2405" s="16">
        <v>9.1992</v>
      </c>
      <c r="H2405" s="15"/>
      <c r="I2405" s="15"/>
    </row>
    <row r="2406">
      <c r="A2406" s="18">
        <v>45665.0</v>
      </c>
      <c r="B2406" s="16" t="s">
        <v>3240</v>
      </c>
      <c r="C2406" s="16" t="s">
        <v>1051</v>
      </c>
      <c r="D2406" s="16" t="s">
        <v>707</v>
      </c>
      <c r="E2406" s="16">
        <v>2012.0</v>
      </c>
      <c r="F2406" s="16">
        <v>53.5083</v>
      </c>
      <c r="G2406" s="16">
        <v>14.0114</v>
      </c>
      <c r="H2406" s="15"/>
      <c r="I2406" s="15"/>
    </row>
    <row r="2407">
      <c r="A2407" s="18">
        <v>45665.0</v>
      </c>
      <c r="B2407" s="16" t="s">
        <v>3241</v>
      </c>
      <c r="C2407" s="16" t="s">
        <v>946</v>
      </c>
      <c r="D2407" s="16" t="s">
        <v>707</v>
      </c>
      <c r="E2407" s="16">
        <v>2012.0</v>
      </c>
      <c r="F2407" s="16">
        <v>51.7011</v>
      </c>
      <c r="G2407" s="16">
        <v>9.1738</v>
      </c>
      <c r="H2407" s="15"/>
      <c r="I2407" s="15"/>
    </row>
    <row r="2408">
      <c r="A2408" s="18">
        <v>45665.0</v>
      </c>
      <c r="B2408" s="16" t="s">
        <v>3242</v>
      </c>
      <c r="C2408" s="16" t="s">
        <v>969</v>
      </c>
      <c r="D2408" s="16" t="s">
        <v>707</v>
      </c>
      <c r="E2408" s="16">
        <v>2012.0</v>
      </c>
      <c r="F2408" s="16">
        <v>51.702</v>
      </c>
      <c r="G2408" s="16">
        <v>14.3559</v>
      </c>
      <c r="H2408" s="15"/>
      <c r="I2408" s="15"/>
    </row>
    <row r="2409">
      <c r="A2409" s="18">
        <v>45665.0</v>
      </c>
      <c r="B2409" s="16" t="s">
        <v>3243</v>
      </c>
      <c r="C2409" s="16" t="s">
        <v>1099</v>
      </c>
      <c r="D2409" s="16" t="s">
        <v>707</v>
      </c>
      <c r="E2409" s="16">
        <v>2012.0</v>
      </c>
      <c r="F2409" s="16">
        <v>48.8646</v>
      </c>
      <c r="G2409" s="16">
        <v>12.6389</v>
      </c>
      <c r="H2409" s="15"/>
      <c r="I2409" s="15"/>
    </row>
    <row r="2410">
      <c r="A2410" s="18">
        <v>45665.0</v>
      </c>
      <c r="B2410" s="16" t="s">
        <v>3244</v>
      </c>
      <c r="C2410" s="16" t="s">
        <v>969</v>
      </c>
      <c r="D2410" s="16" t="s">
        <v>707</v>
      </c>
      <c r="E2410" s="16">
        <v>2012.0</v>
      </c>
      <c r="F2410" s="16">
        <v>48.864</v>
      </c>
      <c r="G2410" s="16">
        <v>12.6364</v>
      </c>
      <c r="H2410" s="15"/>
      <c r="I2410" s="15"/>
    </row>
    <row r="2411">
      <c r="A2411" s="18">
        <v>45665.0</v>
      </c>
      <c r="B2411" s="16" t="s">
        <v>3245</v>
      </c>
      <c r="C2411" s="16" t="s">
        <v>946</v>
      </c>
      <c r="D2411" s="16" t="s">
        <v>707</v>
      </c>
      <c r="E2411" s="16">
        <v>2012.0</v>
      </c>
      <c r="F2411" s="16">
        <v>51.1856</v>
      </c>
      <c r="G2411" s="16">
        <v>10.4942</v>
      </c>
      <c r="H2411" s="15"/>
      <c r="I2411" s="15"/>
    </row>
    <row r="2412">
      <c r="A2412" s="18">
        <v>45665.0</v>
      </c>
      <c r="B2412" s="16" t="s">
        <v>3246</v>
      </c>
      <c r="C2412" s="16" t="s">
        <v>959</v>
      </c>
      <c r="D2412" s="16" t="s">
        <v>707</v>
      </c>
      <c r="E2412" s="16">
        <v>2012.0</v>
      </c>
      <c r="F2412" s="16">
        <v>48.6872</v>
      </c>
      <c r="G2412" s="16">
        <v>13.0405</v>
      </c>
      <c r="H2412" s="15"/>
      <c r="I2412" s="15"/>
    </row>
    <row r="2413">
      <c r="A2413" s="18">
        <v>45665.0</v>
      </c>
      <c r="B2413" s="16" t="s">
        <v>3247</v>
      </c>
      <c r="C2413" s="16" t="s">
        <v>978</v>
      </c>
      <c r="D2413" s="16" t="s">
        <v>707</v>
      </c>
      <c r="E2413" s="16">
        <v>2012.0</v>
      </c>
      <c r="F2413" s="16">
        <v>53.589</v>
      </c>
      <c r="G2413" s="16">
        <v>7.8636</v>
      </c>
      <c r="H2413" s="15"/>
      <c r="I2413" s="15"/>
    </row>
    <row r="2414">
      <c r="A2414" s="18">
        <v>45665.0</v>
      </c>
      <c r="B2414" s="16" t="s">
        <v>3248</v>
      </c>
      <c r="C2414" s="16" t="s">
        <v>2153</v>
      </c>
      <c r="D2414" s="16" t="s">
        <v>707</v>
      </c>
      <c r="E2414" s="16">
        <v>2012.0</v>
      </c>
      <c r="F2414" s="16">
        <v>49.7204</v>
      </c>
      <c r="G2414" s="16">
        <v>11.9107</v>
      </c>
      <c r="H2414" s="15"/>
      <c r="I2414" s="15"/>
    </row>
    <row r="2415">
      <c r="A2415" s="18">
        <v>45665.0</v>
      </c>
      <c r="B2415" s="16" t="s">
        <v>3249</v>
      </c>
      <c r="C2415" s="16" t="s">
        <v>946</v>
      </c>
      <c r="D2415" s="16" t="s">
        <v>707</v>
      </c>
      <c r="E2415" s="16">
        <v>2012.0</v>
      </c>
      <c r="F2415" s="16">
        <v>49.6731</v>
      </c>
      <c r="G2415" s="16">
        <v>10.315</v>
      </c>
      <c r="H2415" s="15"/>
      <c r="I2415" s="15"/>
    </row>
    <row r="2416">
      <c r="A2416" s="18">
        <v>45665.0</v>
      </c>
      <c r="B2416" s="16" t="s">
        <v>3250</v>
      </c>
      <c r="C2416" s="16" t="s">
        <v>978</v>
      </c>
      <c r="D2416" s="16" t="s">
        <v>707</v>
      </c>
      <c r="E2416" s="16">
        <v>2012.0</v>
      </c>
      <c r="F2416" s="16">
        <v>51.0826</v>
      </c>
      <c r="G2416" s="16">
        <v>9.9406</v>
      </c>
      <c r="H2416" s="15"/>
      <c r="I2416" s="15"/>
    </row>
    <row r="2417">
      <c r="A2417" s="18">
        <v>45665.0</v>
      </c>
      <c r="B2417" s="16" t="s">
        <v>3251</v>
      </c>
      <c r="C2417" s="16" t="s">
        <v>942</v>
      </c>
      <c r="D2417" s="16" t="s">
        <v>707</v>
      </c>
      <c r="E2417" s="16">
        <v>2012.0</v>
      </c>
      <c r="F2417" s="16">
        <v>51.6496</v>
      </c>
      <c r="G2417" s="16">
        <v>12.9868</v>
      </c>
      <c r="H2417" s="15"/>
      <c r="I2417" s="15"/>
    </row>
    <row r="2418">
      <c r="A2418" s="18">
        <v>45665.0</v>
      </c>
      <c r="B2418" s="16" t="s">
        <v>3252</v>
      </c>
      <c r="C2418" s="16" t="s">
        <v>1267</v>
      </c>
      <c r="D2418" s="16" t="s">
        <v>707</v>
      </c>
      <c r="E2418" s="16">
        <v>2012.0</v>
      </c>
      <c r="F2418" s="16">
        <v>50.49</v>
      </c>
      <c r="G2418" s="16">
        <v>9.5101</v>
      </c>
      <c r="H2418" s="15"/>
      <c r="I2418" s="15"/>
    </row>
    <row r="2419">
      <c r="A2419" s="18">
        <v>45665.0</v>
      </c>
      <c r="B2419" s="16" t="s">
        <v>3253</v>
      </c>
      <c r="C2419" s="16" t="s">
        <v>942</v>
      </c>
      <c r="D2419" s="16" t="s">
        <v>707</v>
      </c>
      <c r="E2419" s="16">
        <v>2012.0</v>
      </c>
      <c r="F2419" s="16">
        <v>51.1726</v>
      </c>
      <c r="G2419" s="16">
        <v>11.1231</v>
      </c>
      <c r="H2419" s="15"/>
      <c r="I2419" s="15"/>
    </row>
    <row r="2420">
      <c r="A2420" s="18">
        <v>45665.0</v>
      </c>
      <c r="B2420" s="16" t="s">
        <v>3254</v>
      </c>
      <c r="C2420" s="16" t="s">
        <v>1771</v>
      </c>
      <c r="D2420" s="16" t="s">
        <v>707</v>
      </c>
      <c r="E2420" s="16">
        <v>2012.0</v>
      </c>
      <c r="F2420" s="16">
        <v>47.9274</v>
      </c>
      <c r="G2420" s="16">
        <v>9.5244</v>
      </c>
      <c r="H2420" s="15"/>
      <c r="I2420" s="15"/>
    </row>
    <row r="2421">
      <c r="A2421" s="18">
        <v>45665.0</v>
      </c>
      <c r="B2421" s="16" t="s">
        <v>3255</v>
      </c>
      <c r="C2421" s="16" t="s">
        <v>1039</v>
      </c>
      <c r="D2421" s="16" t="s">
        <v>707</v>
      </c>
      <c r="E2421" s="16">
        <v>2012.0</v>
      </c>
      <c r="F2421" s="16">
        <v>50.864</v>
      </c>
      <c r="G2421" s="16">
        <v>6.5734</v>
      </c>
      <c r="H2421" s="15"/>
      <c r="I2421" s="15"/>
    </row>
    <row r="2422">
      <c r="A2422" s="18">
        <v>45665.0</v>
      </c>
      <c r="B2422" s="16" t="s">
        <v>3256</v>
      </c>
      <c r="C2422" s="16" t="s">
        <v>1055</v>
      </c>
      <c r="D2422" s="16" t="s">
        <v>707</v>
      </c>
      <c r="E2422" s="16">
        <v>2012.0</v>
      </c>
      <c r="F2422" s="16">
        <v>52.5614</v>
      </c>
      <c r="G2422" s="16">
        <v>11.9723</v>
      </c>
      <c r="H2422" s="15"/>
      <c r="I2422" s="15"/>
    </row>
    <row r="2423">
      <c r="A2423" s="18">
        <v>45665.0</v>
      </c>
      <c r="B2423" s="16" t="s">
        <v>3257</v>
      </c>
      <c r="C2423" s="16" t="s">
        <v>951</v>
      </c>
      <c r="D2423" s="16" t="s">
        <v>707</v>
      </c>
      <c r="E2423" s="16">
        <v>2012.0</v>
      </c>
      <c r="F2423" s="16">
        <v>50.4931</v>
      </c>
      <c r="G2423" s="16">
        <v>11.8316</v>
      </c>
      <c r="H2423" s="15"/>
      <c r="I2423" s="15"/>
    </row>
    <row r="2424">
      <c r="A2424" s="18">
        <v>45665.0</v>
      </c>
      <c r="B2424" s="16" t="s">
        <v>3258</v>
      </c>
      <c r="C2424" s="16" t="s">
        <v>1055</v>
      </c>
      <c r="D2424" s="16" t="s">
        <v>707</v>
      </c>
      <c r="E2424" s="16">
        <v>2012.0</v>
      </c>
      <c r="F2424" s="16">
        <v>49.6268</v>
      </c>
      <c r="G2424" s="16">
        <v>11.9471</v>
      </c>
      <c r="H2424" s="15"/>
      <c r="I2424" s="15"/>
    </row>
    <row r="2425">
      <c r="A2425" s="18">
        <v>45665.0</v>
      </c>
      <c r="B2425" s="16" t="s">
        <v>3259</v>
      </c>
      <c r="C2425" s="16">
        <v>3.0</v>
      </c>
      <c r="D2425" s="16" t="s">
        <v>707</v>
      </c>
      <c r="E2425" s="16">
        <v>2012.0</v>
      </c>
      <c r="F2425" s="16">
        <v>51.4218</v>
      </c>
      <c r="G2425" s="16">
        <v>11.1527</v>
      </c>
      <c r="H2425" s="15"/>
      <c r="I2425" s="15"/>
    </row>
    <row r="2426">
      <c r="A2426" s="18">
        <v>45665.0</v>
      </c>
      <c r="B2426" s="16" t="s">
        <v>3260</v>
      </c>
      <c r="C2426" s="16" t="s">
        <v>1055</v>
      </c>
      <c r="D2426" s="16" t="s">
        <v>707</v>
      </c>
      <c r="E2426" s="16">
        <v>2012.0</v>
      </c>
      <c r="F2426" s="16">
        <v>52.7695</v>
      </c>
      <c r="G2426" s="16">
        <v>13.8437</v>
      </c>
      <c r="H2426" s="15"/>
      <c r="I2426" s="15"/>
    </row>
    <row r="2427">
      <c r="A2427" s="18">
        <v>45665.0</v>
      </c>
      <c r="B2427" s="16" t="s">
        <v>3261</v>
      </c>
      <c r="C2427" s="16" t="s">
        <v>978</v>
      </c>
      <c r="D2427" s="16" t="s">
        <v>707</v>
      </c>
      <c r="E2427" s="16">
        <v>2012.0</v>
      </c>
      <c r="F2427" s="16">
        <v>51.8113</v>
      </c>
      <c r="G2427" s="16">
        <v>12.0114</v>
      </c>
      <c r="H2427" s="15"/>
      <c r="I2427" s="15"/>
    </row>
    <row r="2428">
      <c r="A2428" s="18">
        <v>45665.0</v>
      </c>
      <c r="B2428" s="16" t="s">
        <v>3262</v>
      </c>
      <c r="C2428" s="16" t="s">
        <v>984</v>
      </c>
      <c r="D2428" s="16" t="s">
        <v>707</v>
      </c>
      <c r="E2428" s="16">
        <v>2012.0</v>
      </c>
      <c r="F2428" s="16">
        <v>53.0597</v>
      </c>
      <c r="G2428" s="16">
        <v>14.0107</v>
      </c>
      <c r="H2428" s="15"/>
      <c r="I2428" s="15"/>
    </row>
    <row r="2429">
      <c r="A2429" s="18">
        <v>45665.0</v>
      </c>
      <c r="B2429" s="16" t="s">
        <v>3263</v>
      </c>
      <c r="C2429" s="16" t="s">
        <v>982</v>
      </c>
      <c r="D2429" s="16" t="s">
        <v>707</v>
      </c>
      <c r="E2429" s="16">
        <v>2012.0</v>
      </c>
      <c r="F2429" s="16">
        <v>53.735</v>
      </c>
      <c r="G2429" s="16">
        <v>14.0863</v>
      </c>
      <c r="H2429" s="15"/>
      <c r="I2429" s="15"/>
    </row>
    <row r="2430">
      <c r="A2430" s="18">
        <v>45665.0</v>
      </c>
      <c r="B2430" s="16" t="s">
        <v>3264</v>
      </c>
      <c r="C2430" s="16" t="s">
        <v>978</v>
      </c>
      <c r="D2430" s="16" t="s">
        <v>707</v>
      </c>
      <c r="E2430" s="16">
        <v>2012.0</v>
      </c>
      <c r="F2430" s="16">
        <v>52.6317</v>
      </c>
      <c r="G2430" s="16">
        <v>14.3923</v>
      </c>
      <c r="H2430" s="15"/>
      <c r="I2430" s="15"/>
    </row>
    <row r="2431">
      <c r="A2431" s="18">
        <v>45665.0</v>
      </c>
      <c r="B2431" s="16" t="s">
        <v>3265</v>
      </c>
      <c r="C2431" s="16" t="s">
        <v>1007</v>
      </c>
      <c r="D2431" s="16" t="s">
        <v>707</v>
      </c>
      <c r="E2431" s="16">
        <v>2012.0</v>
      </c>
      <c r="F2431" s="16">
        <v>52.2488</v>
      </c>
      <c r="G2431" s="16">
        <v>11.497</v>
      </c>
      <c r="H2431" s="15"/>
      <c r="I2431" s="15"/>
    </row>
    <row r="2432">
      <c r="A2432" s="18">
        <v>45665.0</v>
      </c>
      <c r="B2432" s="16" t="s">
        <v>3266</v>
      </c>
      <c r="C2432" s="16" t="s">
        <v>1771</v>
      </c>
      <c r="D2432" s="16" t="s">
        <v>707</v>
      </c>
      <c r="E2432" s="16">
        <v>2012.0</v>
      </c>
      <c r="F2432" s="16">
        <v>49.493</v>
      </c>
      <c r="G2432" s="16">
        <v>6.8928</v>
      </c>
      <c r="H2432" s="15"/>
      <c r="I2432" s="15"/>
    </row>
    <row r="2433">
      <c r="A2433" s="18">
        <v>45665.0</v>
      </c>
      <c r="B2433" s="16" t="s">
        <v>3267</v>
      </c>
      <c r="C2433" s="16" t="s">
        <v>1051</v>
      </c>
      <c r="D2433" s="16" t="s">
        <v>707</v>
      </c>
      <c r="E2433" s="16">
        <v>2012.0</v>
      </c>
      <c r="F2433" s="16">
        <v>52.3421</v>
      </c>
      <c r="G2433" s="16">
        <v>9.3841</v>
      </c>
      <c r="H2433" s="15"/>
      <c r="I2433" s="15"/>
    </row>
    <row r="2434">
      <c r="A2434" s="18">
        <v>45665.0</v>
      </c>
      <c r="B2434" s="16" t="s">
        <v>3268</v>
      </c>
      <c r="C2434" s="16" t="s">
        <v>984</v>
      </c>
      <c r="D2434" s="16" t="s">
        <v>707</v>
      </c>
      <c r="E2434" s="16">
        <v>2012.0</v>
      </c>
      <c r="F2434" s="16">
        <v>53.8023</v>
      </c>
      <c r="G2434" s="16">
        <v>11.7292</v>
      </c>
      <c r="H2434" s="15"/>
      <c r="I2434" s="15"/>
    </row>
    <row r="2435">
      <c r="A2435" s="18">
        <v>45665.0</v>
      </c>
      <c r="B2435" s="16" t="s">
        <v>3269</v>
      </c>
      <c r="C2435" s="16" t="s">
        <v>1007</v>
      </c>
      <c r="D2435" s="16" t="s">
        <v>707</v>
      </c>
      <c r="E2435" s="16">
        <v>2012.0</v>
      </c>
      <c r="F2435" s="16">
        <v>49.2247</v>
      </c>
      <c r="G2435" s="16">
        <v>10.8955</v>
      </c>
      <c r="H2435" s="15"/>
      <c r="I2435" s="15"/>
    </row>
    <row r="2436">
      <c r="A2436" s="18">
        <v>45665.0</v>
      </c>
      <c r="B2436" s="16" t="s">
        <v>3270</v>
      </c>
      <c r="C2436" s="16">
        <v>1.0</v>
      </c>
      <c r="D2436" s="16" t="s">
        <v>707</v>
      </c>
      <c r="E2436" s="16">
        <v>2012.0</v>
      </c>
      <c r="F2436" s="16">
        <v>51.8903</v>
      </c>
      <c r="G2436" s="16">
        <v>12.4397</v>
      </c>
      <c r="H2436" s="15"/>
      <c r="I2436" s="15"/>
    </row>
    <row r="2437">
      <c r="A2437" s="18">
        <v>45665.0</v>
      </c>
      <c r="B2437" s="16" t="s">
        <v>3271</v>
      </c>
      <c r="C2437" s="16" t="s">
        <v>961</v>
      </c>
      <c r="D2437" s="16" t="s">
        <v>707</v>
      </c>
      <c r="E2437" s="16">
        <v>2012.0</v>
      </c>
      <c r="F2437" s="16">
        <v>47.8666</v>
      </c>
      <c r="G2437" s="16">
        <v>11.1517</v>
      </c>
      <c r="H2437" s="15"/>
      <c r="I2437" s="15"/>
    </row>
    <row r="2438">
      <c r="A2438" s="18">
        <v>45665.0</v>
      </c>
      <c r="B2438" s="16" t="s">
        <v>3272</v>
      </c>
      <c r="C2438" s="16" t="s">
        <v>948</v>
      </c>
      <c r="D2438" s="16" t="s">
        <v>707</v>
      </c>
      <c r="E2438" s="16">
        <v>2012.0</v>
      </c>
      <c r="F2438" s="16">
        <v>51.7052</v>
      </c>
      <c r="G2438" s="16">
        <v>11.6604</v>
      </c>
      <c r="H2438" s="15"/>
      <c r="I2438" s="15"/>
    </row>
    <row r="2439">
      <c r="A2439" s="18">
        <v>45665.0</v>
      </c>
      <c r="B2439" s="16" t="s">
        <v>3273</v>
      </c>
      <c r="C2439" s="16" t="s">
        <v>1055</v>
      </c>
      <c r="D2439" s="16" t="s">
        <v>707</v>
      </c>
      <c r="E2439" s="16">
        <v>2012.0</v>
      </c>
      <c r="F2439" s="16">
        <v>49.0172</v>
      </c>
      <c r="G2439" s="16">
        <v>10.3966</v>
      </c>
      <c r="H2439" s="15"/>
      <c r="I2439" s="15"/>
    </row>
    <row r="2440">
      <c r="A2440" s="18">
        <v>45665.0</v>
      </c>
      <c r="B2440" s="16" t="s">
        <v>3274</v>
      </c>
      <c r="C2440" s="16" t="s">
        <v>1101</v>
      </c>
      <c r="D2440" s="16" t="s">
        <v>707</v>
      </c>
      <c r="E2440" s="16">
        <v>2012.0</v>
      </c>
      <c r="F2440" s="16">
        <v>51.5909</v>
      </c>
      <c r="G2440" s="16">
        <v>14.59</v>
      </c>
      <c r="H2440" s="15"/>
      <c r="I2440" s="15"/>
    </row>
    <row r="2441">
      <c r="A2441" s="18">
        <v>45665.0</v>
      </c>
      <c r="B2441" s="16" t="s">
        <v>3275</v>
      </c>
      <c r="C2441" s="16">
        <v>1.0</v>
      </c>
      <c r="D2441" s="16" t="s">
        <v>707</v>
      </c>
      <c r="E2441" s="16">
        <v>2012.0</v>
      </c>
      <c r="F2441" s="16">
        <v>52.2576</v>
      </c>
      <c r="G2441" s="16">
        <v>11.6399</v>
      </c>
      <c r="H2441" s="15"/>
      <c r="I2441" s="15"/>
    </row>
    <row r="2442">
      <c r="A2442" s="18">
        <v>45665.0</v>
      </c>
      <c r="B2442" s="16" t="s">
        <v>3276</v>
      </c>
      <c r="C2442" s="16" t="s">
        <v>1051</v>
      </c>
      <c r="D2442" s="16" t="s">
        <v>707</v>
      </c>
      <c r="E2442" s="16">
        <v>2012.0</v>
      </c>
      <c r="F2442" s="16">
        <v>51.8223</v>
      </c>
      <c r="G2442" s="16">
        <v>11.9221</v>
      </c>
      <c r="H2442" s="15"/>
      <c r="I2442" s="15"/>
    </row>
    <row r="2443">
      <c r="A2443" s="18">
        <v>45665.0</v>
      </c>
      <c r="B2443" s="16" t="s">
        <v>3277</v>
      </c>
      <c r="C2443" s="16" t="s">
        <v>946</v>
      </c>
      <c r="D2443" s="16" t="s">
        <v>707</v>
      </c>
      <c r="E2443" s="16">
        <v>2012.0</v>
      </c>
      <c r="F2443" s="16">
        <v>51.7124</v>
      </c>
      <c r="G2443" s="16">
        <v>12.384</v>
      </c>
      <c r="H2443" s="15"/>
      <c r="I2443" s="15"/>
    </row>
    <row r="2444">
      <c r="A2444" s="18">
        <v>45665.0</v>
      </c>
      <c r="B2444" s="16" t="s">
        <v>3278</v>
      </c>
      <c r="C2444" s="16" t="s">
        <v>1436</v>
      </c>
      <c r="D2444" s="16" t="s">
        <v>707</v>
      </c>
      <c r="E2444" s="16">
        <v>2012.0</v>
      </c>
      <c r="F2444" s="16">
        <v>50.5215</v>
      </c>
      <c r="G2444" s="16">
        <v>12.389</v>
      </c>
      <c r="H2444" s="15"/>
      <c r="I2444" s="15"/>
    </row>
    <row r="2445">
      <c r="A2445" s="18">
        <v>45665.0</v>
      </c>
      <c r="B2445" s="16" t="s">
        <v>3279</v>
      </c>
      <c r="C2445" s="16" t="s">
        <v>982</v>
      </c>
      <c r="D2445" s="16" t="s">
        <v>707</v>
      </c>
      <c r="E2445" s="16">
        <v>2012.0</v>
      </c>
      <c r="F2445" s="16">
        <v>51.6032</v>
      </c>
      <c r="G2445" s="16">
        <v>14.5739</v>
      </c>
      <c r="H2445" s="15"/>
      <c r="I2445" s="15"/>
    </row>
    <row r="2446">
      <c r="A2446" s="18">
        <v>45665.0</v>
      </c>
      <c r="B2446" s="16" t="s">
        <v>3280</v>
      </c>
      <c r="C2446" s="16" t="s">
        <v>1055</v>
      </c>
      <c r="D2446" s="16" t="s">
        <v>707</v>
      </c>
      <c r="E2446" s="16">
        <v>2012.0</v>
      </c>
      <c r="F2446" s="16">
        <v>50.0013</v>
      </c>
      <c r="G2446" s="16">
        <v>11.2147</v>
      </c>
      <c r="H2446" s="15"/>
      <c r="I2446" s="15"/>
    </row>
    <row r="2447">
      <c r="A2447" s="18">
        <v>45665.0</v>
      </c>
      <c r="B2447" s="16" t="s">
        <v>3281</v>
      </c>
      <c r="C2447" s="16" t="s">
        <v>951</v>
      </c>
      <c r="D2447" s="16" t="s">
        <v>707</v>
      </c>
      <c r="E2447" s="16">
        <v>2012.0</v>
      </c>
      <c r="F2447" s="16">
        <v>51.2459</v>
      </c>
      <c r="G2447" s="16">
        <v>12.2205</v>
      </c>
      <c r="H2447" s="15"/>
      <c r="I2447" s="15"/>
    </row>
    <row r="2448">
      <c r="A2448" s="18">
        <v>45665.0</v>
      </c>
      <c r="B2448" s="16" t="s">
        <v>3282</v>
      </c>
      <c r="C2448" s="16" t="s">
        <v>971</v>
      </c>
      <c r="D2448" s="16" t="s">
        <v>707</v>
      </c>
      <c r="E2448" s="16">
        <v>2012.0</v>
      </c>
      <c r="F2448" s="16">
        <v>51.8905</v>
      </c>
      <c r="G2448" s="16">
        <v>12.4504</v>
      </c>
      <c r="H2448" s="15"/>
      <c r="I2448" s="15"/>
    </row>
    <row r="2449">
      <c r="A2449" s="18">
        <v>45001.0</v>
      </c>
      <c r="B2449" s="16" t="s">
        <v>3283</v>
      </c>
      <c r="C2449" s="16" t="s">
        <v>1059</v>
      </c>
      <c r="D2449" s="16" t="s">
        <v>707</v>
      </c>
      <c r="E2449" s="16">
        <v>2013.0</v>
      </c>
      <c r="F2449" s="16">
        <v>48.0019</v>
      </c>
      <c r="G2449" s="16">
        <v>10.2273</v>
      </c>
      <c r="H2449" s="15"/>
      <c r="I2449" s="15"/>
    </row>
    <row r="2450">
      <c r="A2450" s="18">
        <v>45665.0</v>
      </c>
      <c r="B2450" s="16" t="s">
        <v>3284</v>
      </c>
      <c r="C2450" s="16" t="s">
        <v>1055</v>
      </c>
      <c r="D2450" s="16" t="s">
        <v>707</v>
      </c>
      <c r="E2450" s="16">
        <v>2013.0</v>
      </c>
      <c r="F2450" s="16">
        <v>51.3894</v>
      </c>
      <c r="G2450" s="16">
        <v>10.8476</v>
      </c>
      <c r="H2450" s="15"/>
      <c r="I2450" s="15"/>
    </row>
    <row r="2451">
      <c r="A2451" s="18">
        <v>45665.0</v>
      </c>
      <c r="B2451" s="16" t="s">
        <v>3285</v>
      </c>
      <c r="C2451" s="16">
        <v>1.0</v>
      </c>
      <c r="D2451" s="16" t="s">
        <v>707</v>
      </c>
      <c r="E2451" s="16">
        <v>2013.0</v>
      </c>
      <c r="F2451" s="16">
        <v>48.8269</v>
      </c>
      <c r="G2451" s="16">
        <v>11.8663</v>
      </c>
      <c r="H2451" s="15"/>
      <c r="I2451" s="15"/>
    </row>
    <row r="2452">
      <c r="A2452" s="18">
        <v>45665.0</v>
      </c>
      <c r="B2452" s="16" t="s">
        <v>3286</v>
      </c>
      <c r="C2452" s="16" t="s">
        <v>942</v>
      </c>
      <c r="D2452" s="16" t="s">
        <v>707</v>
      </c>
      <c r="E2452" s="16">
        <v>2013.0</v>
      </c>
      <c r="F2452" s="16">
        <v>48.657</v>
      </c>
      <c r="G2452" s="16">
        <v>11.3418</v>
      </c>
      <c r="H2452" s="15"/>
      <c r="I2452" s="15"/>
    </row>
    <row r="2453">
      <c r="A2453" s="18">
        <v>45665.0</v>
      </c>
      <c r="B2453" s="16" t="s">
        <v>3287</v>
      </c>
      <c r="C2453" s="16" t="s">
        <v>1011</v>
      </c>
      <c r="D2453" s="16" t="s">
        <v>707</v>
      </c>
      <c r="E2453" s="16">
        <v>2013.0</v>
      </c>
      <c r="F2453" s="16">
        <v>51.5905</v>
      </c>
      <c r="G2453" s="16">
        <v>14.0194</v>
      </c>
      <c r="H2453" s="15"/>
      <c r="I2453" s="15"/>
    </row>
    <row r="2454">
      <c r="A2454" s="18">
        <v>45665.0</v>
      </c>
      <c r="B2454" s="16" t="s">
        <v>3288</v>
      </c>
      <c r="C2454" s="16" t="s">
        <v>1267</v>
      </c>
      <c r="D2454" s="16" t="s">
        <v>707</v>
      </c>
      <c r="E2454" s="16">
        <v>2013.0</v>
      </c>
      <c r="F2454" s="16">
        <v>49.4399</v>
      </c>
      <c r="G2454" s="16">
        <v>7.6997</v>
      </c>
      <c r="H2454" s="15"/>
      <c r="I2454" s="15"/>
    </row>
    <row r="2455">
      <c r="A2455" s="18">
        <v>45665.0</v>
      </c>
      <c r="B2455" s="16" t="s">
        <v>3289</v>
      </c>
      <c r="C2455" s="16" t="s">
        <v>1059</v>
      </c>
      <c r="D2455" s="16" t="s">
        <v>707</v>
      </c>
      <c r="E2455" s="16">
        <v>2013.0</v>
      </c>
      <c r="F2455" s="16">
        <v>51.1696</v>
      </c>
      <c r="G2455" s="16">
        <v>11.0607</v>
      </c>
      <c r="H2455" s="15"/>
      <c r="I2455" s="15"/>
    </row>
    <row r="2456">
      <c r="A2456" s="18">
        <v>45665.0</v>
      </c>
      <c r="B2456" s="16" t="s">
        <v>3290</v>
      </c>
      <c r="C2456" s="16" t="s">
        <v>1085</v>
      </c>
      <c r="D2456" s="16" t="s">
        <v>707</v>
      </c>
      <c r="E2456" s="16">
        <v>2013.0</v>
      </c>
      <c r="F2456" s="16">
        <v>47.9114</v>
      </c>
      <c r="G2456" s="16">
        <v>12.9346</v>
      </c>
      <c r="H2456" s="15"/>
      <c r="I2456" s="15"/>
    </row>
    <row r="2457">
      <c r="A2457" s="18">
        <v>45665.0</v>
      </c>
      <c r="B2457" s="16" t="s">
        <v>3291</v>
      </c>
      <c r="C2457" s="16" t="s">
        <v>1436</v>
      </c>
      <c r="D2457" s="16" t="s">
        <v>707</v>
      </c>
      <c r="E2457" s="16">
        <v>2013.0</v>
      </c>
      <c r="F2457" s="16">
        <v>54.7728</v>
      </c>
      <c r="G2457" s="16">
        <v>9.1015</v>
      </c>
      <c r="H2457" s="15"/>
      <c r="I2457" s="15"/>
    </row>
    <row r="2458">
      <c r="A2458" s="18">
        <v>45665.0</v>
      </c>
      <c r="B2458" s="16" t="s">
        <v>3292</v>
      </c>
      <c r="C2458" s="16" t="s">
        <v>1172</v>
      </c>
      <c r="D2458" s="16" t="s">
        <v>707</v>
      </c>
      <c r="E2458" s="16">
        <v>2013.0</v>
      </c>
      <c r="F2458" s="16">
        <v>52.4417</v>
      </c>
      <c r="G2458" s="16">
        <v>12.1826</v>
      </c>
      <c r="H2458" s="15"/>
      <c r="I2458" s="15"/>
    </row>
    <row r="2459">
      <c r="A2459" s="18">
        <v>45665.0</v>
      </c>
      <c r="B2459" s="16" t="s">
        <v>3293</v>
      </c>
      <c r="C2459" s="16" t="s">
        <v>942</v>
      </c>
      <c r="D2459" s="16" t="s">
        <v>707</v>
      </c>
      <c r="E2459" s="16">
        <v>2013.0</v>
      </c>
      <c r="F2459" s="16">
        <v>51.1894</v>
      </c>
      <c r="G2459" s="16">
        <v>14.6416</v>
      </c>
      <c r="H2459" s="15"/>
      <c r="I2459" s="15"/>
    </row>
    <row r="2460">
      <c r="A2460" s="18">
        <v>45665.0</v>
      </c>
      <c r="B2460" s="16" t="s">
        <v>3294</v>
      </c>
      <c r="C2460" s="16" t="s">
        <v>942</v>
      </c>
      <c r="D2460" s="16" t="s">
        <v>707</v>
      </c>
      <c r="E2460" s="16">
        <v>2013.0</v>
      </c>
      <c r="F2460" s="16">
        <v>48.4165</v>
      </c>
      <c r="G2460" s="16">
        <v>7.9979</v>
      </c>
      <c r="H2460" s="15"/>
      <c r="I2460" s="15"/>
    </row>
    <row r="2461">
      <c r="A2461" s="18">
        <v>45665.0</v>
      </c>
      <c r="B2461" s="16" t="s">
        <v>3295</v>
      </c>
      <c r="C2461" s="16" t="s">
        <v>942</v>
      </c>
      <c r="D2461" s="16" t="s">
        <v>707</v>
      </c>
      <c r="E2461" s="16">
        <v>2013.0</v>
      </c>
      <c r="F2461" s="16">
        <v>48.6483</v>
      </c>
      <c r="G2461" s="16">
        <v>8.6528</v>
      </c>
      <c r="H2461" s="15"/>
      <c r="I2461" s="15"/>
    </row>
    <row r="2462">
      <c r="A2462" s="18">
        <v>45665.0</v>
      </c>
      <c r="B2462" s="16" t="s">
        <v>3296</v>
      </c>
      <c r="C2462" s="16" t="s">
        <v>951</v>
      </c>
      <c r="D2462" s="16" t="s">
        <v>707</v>
      </c>
      <c r="E2462" s="16">
        <v>2013.0</v>
      </c>
      <c r="F2462" s="16">
        <v>50.9469</v>
      </c>
      <c r="G2462" s="16">
        <v>6.6146</v>
      </c>
      <c r="H2462" s="15"/>
      <c r="I2462" s="15"/>
    </row>
    <row r="2463">
      <c r="A2463" s="18">
        <v>45665.0</v>
      </c>
      <c r="B2463" s="16" t="s">
        <v>3297</v>
      </c>
      <c r="C2463" s="16" t="s">
        <v>1094</v>
      </c>
      <c r="D2463" s="16" t="s">
        <v>707</v>
      </c>
      <c r="E2463" s="16">
        <v>2013.0</v>
      </c>
      <c r="F2463" s="16">
        <v>48.4909</v>
      </c>
      <c r="G2463" s="16">
        <v>10.834</v>
      </c>
      <c r="H2463" s="15"/>
      <c r="I2463" s="15"/>
    </row>
    <row r="2464">
      <c r="A2464" s="18">
        <v>45665.0</v>
      </c>
      <c r="B2464" s="16" t="s">
        <v>3298</v>
      </c>
      <c r="C2464" s="16" t="s">
        <v>1099</v>
      </c>
      <c r="D2464" s="16" t="s">
        <v>707</v>
      </c>
      <c r="E2464" s="16">
        <v>2013.0</v>
      </c>
      <c r="F2464" s="16">
        <v>49.7008</v>
      </c>
      <c r="G2464" s="16">
        <v>9.9238</v>
      </c>
      <c r="H2464" s="15"/>
      <c r="I2464" s="15"/>
    </row>
    <row r="2465">
      <c r="A2465" s="18">
        <v>45665.0</v>
      </c>
      <c r="B2465" s="16" t="s">
        <v>3299</v>
      </c>
      <c r="C2465" s="16" t="s">
        <v>1037</v>
      </c>
      <c r="D2465" s="16" t="s">
        <v>707</v>
      </c>
      <c r="E2465" s="16">
        <v>2013.0</v>
      </c>
      <c r="F2465" s="16">
        <v>50.8403</v>
      </c>
      <c r="G2465" s="16">
        <v>11.0686</v>
      </c>
      <c r="H2465" s="15"/>
      <c r="I2465" s="15"/>
    </row>
    <row r="2466">
      <c r="A2466" s="18">
        <v>45665.0</v>
      </c>
      <c r="B2466" s="16" t="s">
        <v>3300</v>
      </c>
      <c r="C2466" s="16" t="s">
        <v>1167</v>
      </c>
      <c r="D2466" s="16" t="s">
        <v>707</v>
      </c>
      <c r="E2466" s="16">
        <v>2013.0</v>
      </c>
      <c r="F2466" s="16">
        <v>53.5086</v>
      </c>
      <c r="G2466" s="16">
        <v>11.093</v>
      </c>
      <c r="H2466" s="15"/>
      <c r="I2466" s="15"/>
    </row>
    <row r="2467">
      <c r="A2467" s="18">
        <v>45665.0</v>
      </c>
      <c r="B2467" s="16" t="s">
        <v>3301</v>
      </c>
      <c r="C2467" s="16" t="s">
        <v>990</v>
      </c>
      <c r="D2467" s="16" t="s">
        <v>707</v>
      </c>
      <c r="E2467" s="16">
        <v>2013.0</v>
      </c>
      <c r="F2467" s="16">
        <v>49.6598</v>
      </c>
      <c r="G2467" s="16">
        <v>10.3915</v>
      </c>
      <c r="H2467" s="15"/>
      <c r="I2467" s="15"/>
    </row>
    <row r="2468">
      <c r="A2468" s="18">
        <v>45665.0</v>
      </c>
      <c r="B2468" s="16" t="s">
        <v>3302</v>
      </c>
      <c r="C2468" s="16" t="s">
        <v>969</v>
      </c>
      <c r="D2468" s="16" t="s">
        <v>707</v>
      </c>
      <c r="E2468" s="16">
        <v>2013.0</v>
      </c>
      <c r="F2468" s="16">
        <v>48.5802</v>
      </c>
      <c r="G2468" s="16">
        <v>9.9084</v>
      </c>
      <c r="H2468" s="15"/>
      <c r="I2468" s="15"/>
    </row>
    <row r="2469">
      <c r="A2469" s="18">
        <v>45665.0</v>
      </c>
      <c r="B2469" s="16" t="s">
        <v>3303</v>
      </c>
      <c r="C2469" s="16" t="s">
        <v>1011</v>
      </c>
      <c r="D2469" s="16" t="s">
        <v>707</v>
      </c>
      <c r="E2469" s="16">
        <v>2013.0</v>
      </c>
      <c r="F2469" s="16">
        <v>49.6235</v>
      </c>
      <c r="G2469" s="16">
        <v>8.4008</v>
      </c>
      <c r="H2469" s="15"/>
      <c r="I2469" s="15"/>
    </row>
    <row r="2470">
      <c r="A2470" s="18">
        <v>45665.0</v>
      </c>
      <c r="B2470" s="16" t="s">
        <v>3304</v>
      </c>
      <c r="C2470" s="16" t="s">
        <v>1080</v>
      </c>
      <c r="D2470" s="16" t="s">
        <v>707</v>
      </c>
      <c r="E2470" s="16">
        <v>2013.0</v>
      </c>
      <c r="F2470" s="16">
        <v>49.6295</v>
      </c>
      <c r="G2470" s="16">
        <v>8.4749</v>
      </c>
      <c r="H2470" s="15"/>
      <c r="I2470" s="15"/>
    </row>
    <row r="2471">
      <c r="A2471" s="18">
        <v>45665.0</v>
      </c>
      <c r="B2471" s="16" t="s">
        <v>3305</v>
      </c>
      <c r="C2471" s="16" t="s">
        <v>942</v>
      </c>
      <c r="D2471" s="16" t="s">
        <v>707</v>
      </c>
      <c r="E2471" s="16">
        <v>2013.0</v>
      </c>
      <c r="F2471" s="16">
        <v>49.6237</v>
      </c>
      <c r="G2471" s="16">
        <v>8.4008</v>
      </c>
      <c r="H2471" s="15"/>
      <c r="I2471" s="15"/>
    </row>
    <row r="2472">
      <c r="A2472" s="18">
        <v>45665.0</v>
      </c>
      <c r="B2472" s="16" t="s">
        <v>3306</v>
      </c>
      <c r="C2472" s="16" t="s">
        <v>961</v>
      </c>
      <c r="D2472" s="16" t="s">
        <v>707</v>
      </c>
      <c r="E2472" s="16">
        <v>2013.0</v>
      </c>
      <c r="F2472" s="16">
        <v>50.1026</v>
      </c>
      <c r="G2472" s="16">
        <v>11.7001</v>
      </c>
      <c r="H2472" s="15"/>
      <c r="I2472" s="15"/>
    </row>
    <row r="2473">
      <c r="A2473" s="18">
        <v>45665.0</v>
      </c>
      <c r="B2473" s="16" t="s">
        <v>3307</v>
      </c>
      <c r="C2473" s="16" t="s">
        <v>948</v>
      </c>
      <c r="D2473" s="16" t="s">
        <v>707</v>
      </c>
      <c r="E2473" s="16">
        <v>2013.0</v>
      </c>
      <c r="F2473" s="16">
        <v>47.6695</v>
      </c>
      <c r="G2473" s="16">
        <v>10.4119</v>
      </c>
      <c r="H2473" s="15"/>
      <c r="I2473" s="15"/>
    </row>
    <row r="2474">
      <c r="A2474" s="18">
        <v>45665.0</v>
      </c>
      <c r="B2474" s="16" t="s">
        <v>3308</v>
      </c>
      <c r="C2474" s="16" t="s">
        <v>1094</v>
      </c>
      <c r="D2474" s="16" t="s">
        <v>707</v>
      </c>
      <c r="E2474" s="16">
        <v>2013.0</v>
      </c>
      <c r="F2474" s="16">
        <v>48.3518</v>
      </c>
      <c r="G2474" s="16">
        <v>10.2351</v>
      </c>
      <c r="H2474" s="15"/>
      <c r="I2474" s="15"/>
    </row>
    <row r="2475">
      <c r="A2475" s="18">
        <v>45665.0</v>
      </c>
      <c r="B2475" s="16" t="s">
        <v>3309</v>
      </c>
      <c r="C2475" s="16" t="s">
        <v>969</v>
      </c>
      <c r="D2475" s="16" t="s">
        <v>707</v>
      </c>
      <c r="E2475" s="16">
        <v>2013.0</v>
      </c>
      <c r="F2475" s="16">
        <v>51.006</v>
      </c>
      <c r="G2475" s="16">
        <v>6.8909</v>
      </c>
      <c r="H2475" s="15"/>
      <c r="I2475" s="15"/>
    </row>
    <row r="2476">
      <c r="A2476" s="18">
        <v>45665.0</v>
      </c>
      <c r="B2476" s="16" t="s">
        <v>3310</v>
      </c>
      <c r="C2476" s="16" t="s">
        <v>1055</v>
      </c>
      <c r="D2476" s="16" t="s">
        <v>707</v>
      </c>
      <c r="E2476" s="16">
        <v>2013.0</v>
      </c>
      <c r="F2476" s="16">
        <v>48.7834</v>
      </c>
      <c r="G2476" s="16">
        <v>10.7433</v>
      </c>
      <c r="H2476" s="15"/>
      <c r="I2476" s="15"/>
    </row>
    <row r="2477">
      <c r="A2477" s="18">
        <v>45665.0</v>
      </c>
      <c r="B2477" s="16" t="s">
        <v>3311</v>
      </c>
      <c r="C2477" s="16">
        <v>1.0</v>
      </c>
      <c r="D2477" s="16" t="s">
        <v>707</v>
      </c>
      <c r="E2477" s="16">
        <v>2013.0</v>
      </c>
      <c r="F2477" s="16">
        <v>50.4765</v>
      </c>
      <c r="G2477" s="16">
        <v>10.8403</v>
      </c>
      <c r="H2477" s="15"/>
      <c r="I2477" s="15"/>
    </row>
    <row r="2478">
      <c r="A2478" s="18">
        <v>45665.0</v>
      </c>
      <c r="B2478" s="16" t="s">
        <v>3312</v>
      </c>
      <c r="C2478" s="16" t="s">
        <v>1059</v>
      </c>
      <c r="D2478" s="16" t="s">
        <v>707</v>
      </c>
      <c r="E2478" s="16">
        <v>2013.0</v>
      </c>
      <c r="F2478" s="16">
        <v>51.122</v>
      </c>
      <c r="G2478" s="16">
        <v>9.1551</v>
      </c>
      <c r="H2478" s="15"/>
      <c r="I2478" s="15"/>
    </row>
    <row r="2479">
      <c r="A2479" s="18">
        <v>45665.0</v>
      </c>
      <c r="B2479" s="16" t="s">
        <v>3313</v>
      </c>
      <c r="C2479" s="16" t="s">
        <v>1203</v>
      </c>
      <c r="D2479" s="16" t="s">
        <v>707</v>
      </c>
      <c r="E2479" s="16">
        <v>2013.0</v>
      </c>
      <c r="F2479" s="16">
        <v>51.7433</v>
      </c>
      <c r="G2479" s="16">
        <v>11.2349</v>
      </c>
      <c r="H2479" s="15"/>
      <c r="I2479" s="15"/>
    </row>
    <row r="2480">
      <c r="A2480" s="18">
        <v>45665.0</v>
      </c>
      <c r="B2480" s="16" t="s">
        <v>3314</v>
      </c>
      <c r="C2480" s="16" t="s">
        <v>946</v>
      </c>
      <c r="D2480" s="16" t="s">
        <v>707</v>
      </c>
      <c r="E2480" s="16">
        <v>2013.0</v>
      </c>
      <c r="F2480" s="16">
        <v>54.076</v>
      </c>
      <c r="G2480" s="16">
        <v>13.839</v>
      </c>
      <c r="H2480" s="15"/>
      <c r="I2480" s="15"/>
    </row>
    <row r="2481">
      <c r="A2481" s="18">
        <v>45665.0</v>
      </c>
      <c r="B2481" s="16" t="s">
        <v>3315</v>
      </c>
      <c r="C2481" s="16">
        <v>1.0</v>
      </c>
      <c r="D2481" s="16" t="s">
        <v>707</v>
      </c>
      <c r="E2481" s="16">
        <v>2013.0</v>
      </c>
      <c r="F2481" s="16">
        <v>52.1803</v>
      </c>
      <c r="G2481" s="16">
        <v>14.2435</v>
      </c>
      <c r="H2481" s="15"/>
      <c r="I2481" s="15"/>
    </row>
    <row r="2482">
      <c r="A2482" s="18">
        <v>45665.0</v>
      </c>
      <c r="B2482" s="16" t="s">
        <v>3316</v>
      </c>
      <c r="C2482" s="16">
        <v>2.0</v>
      </c>
      <c r="D2482" s="16" t="s">
        <v>707</v>
      </c>
      <c r="E2482" s="16">
        <v>2013.0</v>
      </c>
      <c r="F2482" s="16">
        <v>52.101</v>
      </c>
      <c r="G2482" s="16">
        <v>8.558</v>
      </c>
      <c r="H2482" s="15"/>
      <c r="I2482" s="15"/>
    </row>
    <row r="2483">
      <c r="A2483" s="18">
        <v>45665.0</v>
      </c>
      <c r="B2483" s="16" t="s">
        <v>3317</v>
      </c>
      <c r="C2483" s="16" t="s">
        <v>1384</v>
      </c>
      <c r="D2483" s="16" t="s">
        <v>707</v>
      </c>
      <c r="E2483" s="16">
        <v>2013.0</v>
      </c>
      <c r="F2483" s="16">
        <v>52.8867</v>
      </c>
      <c r="G2483" s="16">
        <v>13.8224</v>
      </c>
      <c r="H2483" s="15"/>
      <c r="I2483" s="15"/>
    </row>
    <row r="2484">
      <c r="A2484" s="18">
        <v>45665.0</v>
      </c>
      <c r="B2484" s="16" t="s">
        <v>3318</v>
      </c>
      <c r="C2484" s="16">
        <v>1.0</v>
      </c>
      <c r="D2484" s="16" t="s">
        <v>707</v>
      </c>
      <c r="E2484" s="16">
        <v>2013.0</v>
      </c>
      <c r="F2484" s="16">
        <v>48.8183</v>
      </c>
      <c r="G2484" s="16">
        <v>11.2762</v>
      </c>
      <c r="H2484" s="15"/>
      <c r="I2484" s="15"/>
    </row>
    <row r="2485">
      <c r="A2485" s="18">
        <v>45665.0</v>
      </c>
      <c r="B2485" s="16" t="s">
        <v>3319</v>
      </c>
      <c r="C2485" s="16" t="s">
        <v>1011</v>
      </c>
      <c r="D2485" s="16" t="s">
        <v>707</v>
      </c>
      <c r="E2485" s="16">
        <v>2013.0</v>
      </c>
      <c r="F2485" s="16">
        <v>48.8172</v>
      </c>
      <c r="G2485" s="16">
        <v>11.2969</v>
      </c>
      <c r="H2485" s="15"/>
      <c r="I2485" s="15"/>
    </row>
    <row r="2486">
      <c r="A2486" s="18">
        <v>45665.0</v>
      </c>
      <c r="B2486" s="16" t="s">
        <v>3320</v>
      </c>
      <c r="C2486" s="16" t="s">
        <v>948</v>
      </c>
      <c r="D2486" s="16" t="s">
        <v>707</v>
      </c>
      <c r="E2486" s="16">
        <v>2013.0</v>
      </c>
      <c r="F2486" s="16">
        <v>48.8181</v>
      </c>
      <c r="G2486" s="16">
        <v>11.2764</v>
      </c>
      <c r="H2486" s="15"/>
      <c r="I2486" s="15"/>
    </row>
    <row r="2487">
      <c r="A2487" s="18">
        <v>45665.0</v>
      </c>
      <c r="B2487" s="16" t="s">
        <v>3321</v>
      </c>
      <c r="C2487" s="16" t="s">
        <v>1039</v>
      </c>
      <c r="D2487" s="16" t="s">
        <v>707</v>
      </c>
      <c r="E2487" s="16">
        <v>2013.0</v>
      </c>
      <c r="F2487" s="16">
        <v>50.2446</v>
      </c>
      <c r="G2487" s="16">
        <v>11.3908</v>
      </c>
      <c r="H2487" s="15"/>
      <c r="I2487" s="15"/>
    </row>
    <row r="2488">
      <c r="A2488" s="18">
        <v>45665.0</v>
      </c>
      <c r="B2488" s="16" t="s">
        <v>3322</v>
      </c>
      <c r="C2488" s="16" t="s">
        <v>959</v>
      </c>
      <c r="D2488" s="16" t="s">
        <v>707</v>
      </c>
      <c r="E2488" s="16">
        <v>2013.0</v>
      </c>
      <c r="F2488" s="16">
        <v>53.3024</v>
      </c>
      <c r="G2488" s="16">
        <v>11.1028</v>
      </c>
      <c r="H2488" s="15"/>
      <c r="I2488" s="15"/>
    </row>
    <row r="2489">
      <c r="A2489" s="18">
        <v>45665.0</v>
      </c>
      <c r="B2489" s="16" t="s">
        <v>3323</v>
      </c>
      <c r="C2489" s="16">
        <v>1.0</v>
      </c>
      <c r="D2489" s="16" t="s">
        <v>707</v>
      </c>
      <c r="E2489" s="16">
        <v>2013.0</v>
      </c>
      <c r="F2489" s="16">
        <v>51.5524</v>
      </c>
      <c r="G2489" s="16">
        <v>11.4811</v>
      </c>
      <c r="H2489" s="15"/>
      <c r="I2489" s="15"/>
    </row>
    <row r="2490">
      <c r="A2490" s="18">
        <v>45665.0</v>
      </c>
      <c r="B2490" s="16" t="s">
        <v>3324</v>
      </c>
      <c r="C2490" s="16">
        <v>1.0</v>
      </c>
      <c r="D2490" s="16" t="s">
        <v>707</v>
      </c>
      <c r="E2490" s="16">
        <v>2013.0</v>
      </c>
      <c r="F2490" s="16">
        <v>52.1524</v>
      </c>
      <c r="G2490" s="16">
        <v>14.6361</v>
      </c>
      <c r="H2490" s="15"/>
      <c r="I2490" s="15"/>
    </row>
    <row r="2491">
      <c r="A2491" s="18">
        <v>45665.0</v>
      </c>
      <c r="B2491" s="16" t="s">
        <v>3325</v>
      </c>
      <c r="C2491" s="16" t="s">
        <v>971</v>
      </c>
      <c r="D2491" s="16" t="s">
        <v>707</v>
      </c>
      <c r="E2491" s="16">
        <v>2013.0</v>
      </c>
      <c r="F2491" s="16">
        <v>51.8664</v>
      </c>
      <c r="G2491" s="16">
        <v>13.7799</v>
      </c>
      <c r="H2491" s="15"/>
      <c r="I2491" s="15"/>
    </row>
    <row r="2492">
      <c r="A2492" s="18">
        <v>45665.0</v>
      </c>
      <c r="B2492" s="16" t="s">
        <v>3326</v>
      </c>
      <c r="C2492" s="16" t="s">
        <v>969</v>
      </c>
      <c r="D2492" s="16" t="s">
        <v>707</v>
      </c>
      <c r="E2492" s="16">
        <v>2013.0</v>
      </c>
      <c r="F2492" s="16">
        <v>47.9393</v>
      </c>
      <c r="G2492" s="16">
        <v>9.6525</v>
      </c>
      <c r="H2492" s="15"/>
      <c r="I2492" s="15"/>
    </row>
    <row r="2493">
      <c r="A2493" s="18">
        <v>45665.0</v>
      </c>
      <c r="B2493" s="16" t="s">
        <v>3327</v>
      </c>
      <c r="C2493" s="16">
        <v>1.0</v>
      </c>
      <c r="D2493" s="16" t="s">
        <v>707</v>
      </c>
      <c r="E2493" s="16">
        <v>2013.0</v>
      </c>
      <c r="F2493" s="16">
        <v>52.371</v>
      </c>
      <c r="G2493" s="16">
        <v>10.7516</v>
      </c>
      <c r="H2493" s="15"/>
      <c r="I2493" s="15"/>
    </row>
    <row r="2494">
      <c r="A2494" s="18">
        <v>45665.0</v>
      </c>
      <c r="B2494" s="16" t="s">
        <v>3328</v>
      </c>
      <c r="C2494" s="16">
        <v>1.0</v>
      </c>
      <c r="D2494" s="16" t="s">
        <v>707</v>
      </c>
      <c r="E2494" s="16">
        <v>2013.0</v>
      </c>
      <c r="F2494" s="16">
        <v>51.4166</v>
      </c>
      <c r="G2494" s="16">
        <v>6.6843</v>
      </c>
      <c r="H2494" s="15"/>
      <c r="I2494" s="15"/>
    </row>
    <row r="2495">
      <c r="A2495" s="18">
        <v>45665.0</v>
      </c>
      <c r="B2495" s="16" t="s">
        <v>3329</v>
      </c>
      <c r="C2495" s="16">
        <v>1.0</v>
      </c>
      <c r="D2495" s="16" t="s">
        <v>707</v>
      </c>
      <c r="E2495" s="16">
        <v>2013.0</v>
      </c>
      <c r="F2495" s="16">
        <v>48.702</v>
      </c>
      <c r="G2495" s="16">
        <v>12.1935</v>
      </c>
      <c r="H2495" s="15"/>
      <c r="I2495" s="15"/>
    </row>
    <row r="2496">
      <c r="A2496" s="18">
        <v>45665.0</v>
      </c>
      <c r="B2496" s="16" t="s">
        <v>3330</v>
      </c>
      <c r="C2496" s="16" t="s">
        <v>1055</v>
      </c>
      <c r="D2496" s="16" t="s">
        <v>707</v>
      </c>
      <c r="E2496" s="16">
        <v>2013.0</v>
      </c>
      <c r="F2496" s="16">
        <v>49.2673</v>
      </c>
      <c r="G2496" s="16">
        <v>6.8858</v>
      </c>
      <c r="H2496" s="15"/>
      <c r="I2496" s="15"/>
    </row>
    <row r="2497">
      <c r="A2497" s="18">
        <v>45665.0</v>
      </c>
      <c r="B2497" s="16" t="s">
        <v>3331</v>
      </c>
      <c r="C2497" s="16" t="s">
        <v>1384</v>
      </c>
      <c r="D2497" s="16" t="s">
        <v>707</v>
      </c>
      <c r="E2497" s="16">
        <v>2013.0</v>
      </c>
      <c r="F2497" s="16">
        <v>54.3419</v>
      </c>
      <c r="G2497" s="16">
        <v>12.7058</v>
      </c>
      <c r="H2497" s="15"/>
      <c r="I2497" s="15"/>
    </row>
    <row r="2498">
      <c r="A2498" s="18">
        <v>45665.0</v>
      </c>
      <c r="B2498" s="16" t="s">
        <v>3332</v>
      </c>
      <c r="C2498" s="16" t="s">
        <v>1090</v>
      </c>
      <c r="D2498" s="16" t="s">
        <v>707</v>
      </c>
      <c r="E2498" s="16">
        <v>2013.0</v>
      </c>
      <c r="F2498" s="16">
        <v>52.5965</v>
      </c>
      <c r="G2498" s="16">
        <v>9.0419</v>
      </c>
      <c r="H2498" s="15"/>
      <c r="I2498" s="15"/>
    </row>
    <row r="2499">
      <c r="A2499" s="18">
        <v>45665.0</v>
      </c>
      <c r="B2499" s="16" t="s">
        <v>3333</v>
      </c>
      <c r="C2499" s="16" t="s">
        <v>1267</v>
      </c>
      <c r="D2499" s="16" t="s">
        <v>707</v>
      </c>
      <c r="E2499" s="16">
        <v>2013.0</v>
      </c>
      <c r="F2499" s="16">
        <v>52.5965</v>
      </c>
      <c r="G2499" s="16">
        <v>9.0419</v>
      </c>
      <c r="H2499" s="15"/>
      <c r="I2499" s="15"/>
    </row>
    <row r="2500">
      <c r="A2500" s="18">
        <v>45665.0</v>
      </c>
      <c r="B2500" s="16" t="s">
        <v>3334</v>
      </c>
      <c r="C2500" s="16" t="s">
        <v>1090</v>
      </c>
      <c r="D2500" s="16" t="s">
        <v>707</v>
      </c>
      <c r="E2500" s="16">
        <v>2013.0</v>
      </c>
      <c r="F2500" s="16">
        <v>52.5965</v>
      </c>
      <c r="G2500" s="16">
        <v>9.0419</v>
      </c>
      <c r="H2500" s="15"/>
      <c r="I2500" s="15"/>
    </row>
    <row r="2501">
      <c r="A2501" s="18">
        <v>45665.0</v>
      </c>
      <c r="B2501" s="16" t="s">
        <v>3335</v>
      </c>
      <c r="C2501" s="16" t="s">
        <v>1011</v>
      </c>
      <c r="D2501" s="16" t="s">
        <v>707</v>
      </c>
      <c r="E2501" s="16">
        <v>2013.0</v>
      </c>
      <c r="F2501" s="16">
        <v>52.1266</v>
      </c>
      <c r="G2501" s="16">
        <v>14.6315</v>
      </c>
      <c r="H2501" s="15"/>
      <c r="I2501" s="15"/>
    </row>
    <row r="2502">
      <c r="A2502" s="18">
        <v>45665.0</v>
      </c>
      <c r="B2502" s="16" t="s">
        <v>3336</v>
      </c>
      <c r="C2502" s="16" t="s">
        <v>969</v>
      </c>
      <c r="D2502" s="16" t="s">
        <v>707</v>
      </c>
      <c r="E2502" s="16">
        <v>2013.0</v>
      </c>
      <c r="F2502" s="16">
        <v>51.42</v>
      </c>
      <c r="G2502" s="16">
        <v>6.6986</v>
      </c>
      <c r="H2502" s="15"/>
      <c r="I2502" s="15"/>
    </row>
    <row r="2503">
      <c r="A2503" s="18">
        <v>45665.0</v>
      </c>
      <c r="B2503" s="16" t="s">
        <v>3337</v>
      </c>
      <c r="C2503" s="16" t="s">
        <v>959</v>
      </c>
      <c r="D2503" s="16" t="s">
        <v>707</v>
      </c>
      <c r="E2503" s="16">
        <v>2013.0</v>
      </c>
      <c r="F2503" s="16">
        <v>51.4498</v>
      </c>
      <c r="G2503" s="16">
        <v>13.5367</v>
      </c>
      <c r="H2503" s="15"/>
      <c r="I2503" s="15"/>
    </row>
    <row r="2504">
      <c r="A2504" s="18">
        <v>45665.0</v>
      </c>
      <c r="B2504" s="16" t="s">
        <v>3338</v>
      </c>
      <c r="C2504" s="16" t="s">
        <v>959</v>
      </c>
      <c r="D2504" s="16" t="s">
        <v>707</v>
      </c>
      <c r="E2504" s="16">
        <v>2013.0</v>
      </c>
      <c r="F2504" s="16">
        <v>51.4498</v>
      </c>
      <c r="G2504" s="16">
        <v>13.5351</v>
      </c>
      <c r="H2504" s="15"/>
      <c r="I2504" s="15"/>
    </row>
    <row r="2505">
      <c r="A2505" s="18">
        <v>45665.0</v>
      </c>
      <c r="B2505" s="16" t="s">
        <v>3339</v>
      </c>
      <c r="C2505" s="16" t="s">
        <v>969</v>
      </c>
      <c r="D2505" s="16" t="s">
        <v>707</v>
      </c>
      <c r="E2505" s="16">
        <v>2013.0</v>
      </c>
      <c r="F2505" s="16">
        <v>48.9177</v>
      </c>
      <c r="G2505" s="16">
        <v>12.2939</v>
      </c>
      <c r="H2505" s="15"/>
      <c r="I2505" s="15"/>
    </row>
    <row r="2506">
      <c r="A2506" s="18">
        <v>45665.0</v>
      </c>
      <c r="B2506" s="16" t="s">
        <v>3340</v>
      </c>
      <c r="C2506" s="16" t="s">
        <v>946</v>
      </c>
      <c r="D2506" s="16" t="s">
        <v>707</v>
      </c>
      <c r="E2506" s="16">
        <v>2013.0</v>
      </c>
      <c r="F2506" s="16">
        <v>47.8846</v>
      </c>
      <c r="G2506" s="16">
        <v>11.164</v>
      </c>
      <c r="H2506" s="15"/>
      <c r="I2506" s="15"/>
    </row>
    <row r="2507">
      <c r="A2507" s="18">
        <v>45665.0</v>
      </c>
      <c r="B2507" s="16" t="s">
        <v>3341</v>
      </c>
      <c r="C2507" s="16" t="s">
        <v>961</v>
      </c>
      <c r="D2507" s="16" t="s">
        <v>707</v>
      </c>
      <c r="E2507" s="16">
        <v>2013.0</v>
      </c>
      <c r="F2507" s="16">
        <v>52.612</v>
      </c>
      <c r="G2507" s="16">
        <v>8.8037</v>
      </c>
      <c r="H2507" s="15"/>
      <c r="I2507" s="15"/>
    </row>
    <row r="2508">
      <c r="A2508" s="18">
        <v>45665.0</v>
      </c>
      <c r="B2508" s="16" t="s">
        <v>3342</v>
      </c>
      <c r="C2508" s="16" t="s">
        <v>959</v>
      </c>
      <c r="D2508" s="16" t="s">
        <v>707</v>
      </c>
      <c r="E2508" s="16">
        <v>2013.0</v>
      </c>
      <c r="F2508" s="16">
        <v>48.676</v>
      </c>
      <c r="G2508" s="16">
        <v>12.1963</v>
      </c>
      <c r="H2508" s="15"/>
      <c r="I2508" s="15"/>
    </row>
    <row r="2509">
      <c r="A2509" s="18">
        <v>45665.0</v>
      </c>
      <c r="B2509" s="16" t="s">
        <v>3343</v>
      </c>
      <c r="C2509" s="16" t="s">
        <v>1004</v>
      </c>
      <c r="D2509" s="16" t="s">
        <v>707</v>
      </c>
      <c r="E2509" s="16">
        <v>2013.0</v>
      </c>
      <c r="F2509" s="16">
        <v>53.3365</v>
      </c>
      <c r="G2509" s="16">
        <v>10.2464</v>
      </c>
      <c r="H2509" s="15"/>
      <c r="I2509" s="15"/>
    </row>
    <row r="2510">
      <c r="A2510" s="18">
        <v>45665.0</v>
      </c>
      <c r="B2510" s="16" t="s">
        <v>3344</v>
      </c>
      <c r="C2510" s="16" t="s">
        <v>1310</v>
      </c>
      <c r="D2510" s="16" t="s">
        <v>707</v>
      </c>
      <c r="E2510" s="16">
        <v>2013.0</v>
      </c>
      <c r="F2510" s="16">
        <v>49.458</v>
      </c>
      <c r="G2510" s="16">
        <v>7.7869</v>
      </c>
      <c r="H2510" s="15"/>
      <c r="I2510" s="15"/>
    </row>
    <row r="2511">
      <c r="A2511" s="18">
        <v>45665.0</v>
      </c>
      <c r="B2511" s="16" t="s">
        <v>3345</v>
      </c>
      <c r="C2511" s="16" t="s">
        <v>1059</v>
      </c>
      <c r="D2511" s="16" t="s">
        <v>707</v>
      </c>
      <c r="E2511" s="16">
        <v>2013.0</v>
      </c>
      <c r="F2511" s="16">
        <v>49.5899</v>
      </c>
      <c r="G2511" s="16">
        <v>7.0585</v>
      </c>
      <c r="H2511" s="15"/>
      <c r="I2511" s="15"/>
    </row>
    <row r="2512">
      <c r="A2512" s="18">
        <v>45665.0</v>
      </c>
      <c r="B2512" s="16" t="s">
        <v>3346</v>
      </c>
      <c r="C2512" s="16" t="s">
        <v>1055</v>
      </c>
      <c r="D2512" s="16" t="s">
        <v>707</v>
      </c>
      <c r="E2512" s="16">
        <v>2013.0</v>
      </c>
      <c r="F2512" s="16">
        <v>50.1433</v>
      </c>
      <c r="G2512" s="16">
        <v>7.3547</v>
      </c>
      <c r="H2512" s="15"/>
      <c r="I2512" s="15"/>
    </row>
    <row r="2513">
      <c r="A2513" s="18">
        <v>45665.0</v>
      </c>
      <c r="B2513" s="16" t="s">
        <v>3347</v>
      </c>
      <c r="C2513" s="16" t="s">
        <v>1002</v>
      </c>
      <c r="D2513" s="16" t="s">
        <v>707</v>
      </c>
      <c r="E2513" s="16">
        <v>2013.0</v>
      </c>
      <c r="F2513" s="16">
        <v>50.023</v>
      </c>
      <c r="G2513" s="16">
        <v>6.5575</v>
      </c>
      <c r="H2513" s="15"/>
      <c r="I2513" s="15"/>
    </row>
    <row r="2514">
      <c r="A2514" s="18">
        <v>45665.0</v>
      </c>
      <c r="B2514" s="16" t="s">
        <v>3348</v>
      </c>
      <c r="C2514" s="16" t="s">
        <v>990</v>
      </c>
      <c r="D2514" s="16" t="s">
        <v>707</v>
      </c>
      <c r="E2514" s="16">
        <v>2013.0</v>
      </c>
      <c r="F2514" s="16">
        <v>49.2329</v>
      </c>
      <c r="G2514" s="16">
        <v>10.3165</v>
      </c>
      <c r="H2514" s="15"/>
      <c r="I2514" s="15"/>
    </row>
    <row r="2515">
      <c r="A2515" s="18">
        <v>45665.0</v>
      </c>
      <c r="B2515" s="16" t="s">
        <v>3349</v>
      </c>
      <c r="C2515" s="16" t="s">
        <v>1039</v>
      </c>
      <c r="D2515" s="16" t="s">
        <v>707</v>
      </c>
      <c r="E2515" s="16">
        <v>2013.0</v>
      </c>
      <c r="F2515" s="16">
        <v>50.1453</v>
      </c>
      <c r="G2515" s="16">
        <v>11.7433</v>
      </c>
      <c r="H2515" s="15"/>
      <c r="I2515" s="15"/>
    </row>
    <row r="2516">
      <c r="A2516" s="18">
        <v>45665.0</v>
      </c>
      <c r="B2516" s="16" t="s">
        <v>3350</v>
      </c>
      <c r="C2516" s="16" t="s">
        <v>946</v>
      </c>
      <c r="D2516" s="16" t="s">
        <v>707</v>
      </c>
      <c r="E2516" s="16">
        <v>2013.0</v>
      </c>
      <c r="F2516" s="16">
        <v>54.7536</v>
      </c>
      <c r="G2516" s="16">
        <v>9.4588</v>
      </c>
      <c r="H2516" s="15"/>
      <c r="I2516" s="15"/>
    </row>
    <row r="2517">
      <c r="A2517" s="18">
        <v>45665.0</v>
      </c>
      <c r="B2517" s="16" t="s">
        <v>3351</v>
      </c>
      <c r="C2517" s="16" t="s">
        <v>1011</v>
      </c>
      <c r="D2517" s="16" t="s">
        <v>707</v>
      </c>
      <c r="E2517" s="16">
        <v>2013.0</v>
      </c>
      <c r="F2517" s="16">
        <v>51.737</v>
      </c>
      <c r="G2517" s="16">
        <v>14.6471</v>
      </c>
      <c r="H2517" s="15"/>
      <c r="I2517" s="15"/>
    </row>
    <row r="2518">
      <c r="A2518" s="18">
        <v>45665.0</v>
      </c>
      <c r="B2518" s="16" t="s">
        <v>3352</v>
      </c>
      <c r="C2518" s="16" t="s">
        <v>1351</v>
      </c>
      <c r="D2518" s="16" t="s">
        <v>707</v>
      </c>
      <c r="E2518" s="16">
        <v>2013.0</v>
      </c>
      <c r="F2518" s="16">
        <v>47.7603</v>
      </c>
      <c r="G2518" s="16">
        <v>10.5901</v>
      </c>
      <c r="H2518" s="15"/>
      <c r="I2518" s="15"/>
    </row>
    <row r="2519">
      <c r="A2519" s="18">
        <v>45665.0</v>
      </c>
      <c r="B2519" s="16" t="s">
        <v>3353</v>
      </c>
      <c r="C2519" s="16" t="s">
        <v>942</v>
      </c>
      <c r="D2519" s="16" t="s">
        <v>707</v>
      </c>
      <c r="E2519" s="16">
        <v>2013.0</v>
      </c>
      <c r="F2519" s="16">
        <v>48.8084</v>
      </c>
      <c r="G2519" s="16">
        <v>11.9374</v>
      </c>
      <c r="H2519" s="15"/>
      <c r="I2519" s="15"/>
    </row>
    <row r="2520">
      <c r="A2520" s="18">
        <v>45665.0</v>
      </c>
      <c r="B2520" s="16" t="s">
        <v>3354</v>
      </c>
      <c r="C2520" s="16" t="s">
        <v>1059</v>
      </c>
      <c r="D2520" s="16" t="s">
        <v>707</v>
      </c>
      <c r="E2520" s="16">
        <v>2013.0</v>
      </c>
      <c r="F2520" s="16">
        <v>49.8271</v>
      </c>
      <c r="G2520" s="16">
        <v>11.0096</v>
      </c>
      <c r="H2520" s="15"/>
      <c r="I2520" s="15"/>
    </row>
    <row r="2521">
      <c r="A2521" s="18">
        <v>45665.0</v>
      </c>
      <c r="B2521" s="16" t="s">
        <v>3355</v>
      </c>
      <c r="C2521" s="16" t="s">
        <v>942</v>
      </c>
      <c r="D2521" s="16" t="s">
        <v>707</v>
      </c>
      <c r="E2521" s="16">
        <v>2013.0</v>
      </c>
      <c r="F2521" s="16">
        <v>53.8263</v>
      </c>
      <c r="G2521" s="16">
        <v>12.0022</v>
      </c>
      <c r="H2521" s="15"/>
      <c r="I2521" s="15"/>
    </row>
    <row r="2522">
      <c r="A2522" s="18">
        <v>45665.0</v>
      </c>
      <c r="B2522" s="16" t="s">
        <v>3356</v>
      </c>
      <c r="C2522" s="16" t="s">
        <v>946</v>
      </c>
      <c r="D2522" s="16" t="s">
        <v>707</v>
      </c>
      <c r="E2522" s="16">
        <v>2013.0</v>
      </c>
      <c r="F2522" s="16">
        <v>48.3691</v>
      </c>
      <c r="G2522" s="16">
        <v>12.5202</v>
      </c>
      <c r="H2522" s="15"/>
      <c r="I2522" s="15"/>
    </row>
    <row r="2523">
      <c r="A2523" s="18">
        <v>45665.0</v>
      </c>
      <c r="B2523" s="16" t="s">
        <v>3357</v>
      </c>
      <c r="C2523" s="16" t="s">
        <v>1037</v>
      </c>
      <c r="D2523" s="16" t="s">
        <v>707</v>
      </c>
      <c r="E2523" s="16">
        <v>2013.0</v>
      </c>
      <c r="F2523" s="16">
        <v>50.8759</v>
      </c>
      <c r="G2523" s="16">
        <v>12.2274</v>
      </c>
      <c r="H2523" s="15"/>
      <c r="I2523" s="15"/>
    </row>
    <row r="2524">
      <c r="A2524" s="18">
        <v>45665.0</v>
      </c>
      <c r="B2524" s="16" t="s">
        <v>3358</v>
      </c>
      <c r="C2524" s="16" t="s">
        <v>1007</v>
      </c>
      <c r="D2524" s="16" t="s">
        <v>707</v>
      </c>
      <c r="E2524" s="16">
        <v>2013.0</v>
      </c>
      <c r="F2524" s="16">
        <v>50.4374</v>
      </c>
      <c r="G2524" s="16">
        <v>12.7285</v>
      </c>
      <c r="H2524" s="15"/>
      <c r="I2524" s="15"/>
    </row>
    <row r="2525">
      <c r="A2525" s="18">
        <v>45665.0</v>
      </c>
      <c r="B2525" s="16" t="s">
        <v>3359</v>
      </c>
      <c r="C2525" s="16" t="s">
        <v>946</v>
      </c>
      <c r="D2525" s="16" t="s">
        <v>707</v>
      </c>
      <c r="E2525" s="16">
        <v>2013.0</v>
      </c>
      <c r="F2525" s="16">
        <v>48.2617</v>
      </c>
      <c r="G2525" s="16">
        <v>12.6267</v>
      </c>
      <c r="H2525" s="15"/>
      <c r="I2525" s="15"/>
    </row>
    <row r="2526">
      <c r="A2526" s="18">
        <v>45665.0</v>
      </c>
      <c r="B2526" s="16" t="s">
        <v>3360</v>
      </c>
      <c r="C2526" s="16">
        <v>2.0</v>
      </c>
      <c r="D2526" s="16" t="s">
        <v>707</v>
      </c>
      <c r="E2526" s="16">
        <v>2013.0</v>
      </c>
      <c r="F2526" s="16">
        <v>48.7515</v>
      </c>
      <c r="G2526" s="16">
        <v>13.6119</v>
      </c>
      <c r="H2526" s="15"/>
      <c r="I2526" s="15"/>
    </row>
    <row r="2527">
      <c r="A2527" s="18">
        <v>45665.0</v>
      </c>
      <c r="B2527" s="16" t="s">
        <v>3361</v>
      </c>
      <c r="C2527" s="16" t="s">
        <v>959</v>
      </c>
      <c r="D2527" s="16" t="s">
        <v>707</v>
      </c>
      <c r="E2527" s="16">
        <v>2013.0</v>
      </c>
      <c r="F2527" s="16">
        <v>52.4144</v>
      </c>
      <c r="G2527" s="16">
        <v>12.6112</v>
      </c>
      <c r="H2527" s="15"/>
      <c r="I2527" s="15"/>
    </row>
    <row r="2528">
      <c r="A2528" s="18">
        <v>45665.0</v>
      </c>
      <c r="B2528" s="16" t="s">
        <v>3362</v>
      </c>
      <c r="C2528" s="16" t="s">
        <v>969</v>
      </c>
      <c r="D2528" s="16" t="s">
        <v>707</v>
      </c>
      <c r="E2528" s="16">
        <v>2013.0</v>
      </c>
      <c r="F2528" s="16">
        <v>51.6821</v>
      </c>
      <c r="G2528" s="16">
        <v>6.8755</v>
      </c>
      <c r="H2528" s="15"/>
      <c r="I2528" s="15"/>
    </row>
    <row r="2529">
      <c r="A2529" s="18">
        <v>45665.0</v>
      </c>
      <c r="B2529" s="16" t="s">
        <v>3363</v>
      </c>
      <c r="C2529" s="16" t="s">
        <v>1055</v>
      </c>
      <c r="D2529" s="16" t="s">
        <v>707</v>
      </c>
      <c r="E2529" s="16">
        <v>2013.0</v>
      </c>
      <c r="F2529" s="16">
        <v>54.7759</v>
      </c>
      <c r="G2529" s="16">
        <v>9.3578</v>
      </c>
      <c r="H2529" s="15"/>
      <c r="I2529" s="15"/>
    </row>
    <row r="2530">
      <c r="A2530" s="18">
        <v>45665.0</v>
      </c>
      <c r="B2530" s="16" t="s">
        <v>3364</v>
      </c>
      <c r="C2530" s="16" t="s">
        <v>1101</v>
      </c>
      <c r="D2530" s="16" t="s">
        <v>707</v>
      </c>
      <c r="E2530" s="16">
        <v>2013.0</v>
      </c>
      <c r="F2530" s="16">
        <v>51.6343</v>
      </c>
      <c r="G2530" s="16">
        <v>12.1906</v>
      </c>
      <c r="H2530" s="15"/>
      <c r="I2530" s="15"/>
    </row>
    <row r="2531">
      <c r="A2531" s="18">
        <v>45665.0</v>
      </c>
      <c r="B2531" s="16" t="s">
        <v>3365</v>
      </c>
      <c r="C2531" s="16" t="s">
        <v>948</v>
      </c>
      <c r="D2531" s="16" t="s">
        <v>707</v>
      </c>
      <c r="E2531" s="16">
        <v>2013.0</v>
      </c>
      <c r="F2531" s="16">
        <v>52.4455</v>
      </c>
      <c r="G2531" s="16">
        <v>11.961</v>
      </c>
      <c r="H2531" s="15"/>
      <c r="I2531" s="15"/>
    </row>
    <row r="2532">
      <c r="A2532" s="18">
        <v>45665.0</v>
      </c>
      <c r="B2532" s="16" t="s">
        <v>3366</v>
      </c>
      <c r="C2532" s="16" t="s">
        <v>1059</v>
      </c>
      <c r="D2532" s="16" t="s">
        <v>707</v>
      </c>
      <c r="E2532" s="16">
        <v>2013.0</v>
      </c>
      <c r="F2532" s="16">
        <v>48.95</v>
      </c>
      <c r="G2532" s="16">
        <v>11.997</v>
      </c>
      <c r="H2532" s="15"/>
      <c r="I2532" s="15"/>
    </row>
    <row r="2533">
      <c r="A2533" s="18">
        <v>45665.0</v>
      </c>
      <c r="B2533" s="16" t="s">
        <v>2698</v>
      </c>
      <c r="C2533" s="16" t="s">
        <v>1267</v>
      </c>
      <c r="D2533" s="16" t="s">
        <v>707</v>
      </c>
      <c r="E2533" s="16">
        <v>2013.0</v>
      </c>
      <c r="F2533" s="16">
        <v>49.0942</v>
      </c>
      <c r="G2533" s="16">
        <v>10.6821</v>
      </c>
      <c r="H2533" s="15"/>
      <c r="I2533" s="15"/>
    </row>
    <row r="2534">
      <c r="A2534" s="18">
        <v>45665.0</v>
      </c>
      <c r="B2534" s="16" t="s">
        <v>3367</v>
      </c>
      <c r="C2534" s="16" t="s">
        <v>984</v>
      </c>
      <c r="D2534" s="16" t="s">
        <v>707</v>
      </c>
      <c r="E2534" s="16">
        <v>2013.0</v>
      </c>
      <c r="F2534" s="16">
        <v>49.8562</v>
      </c>
      <c r="G2534" s="16">
        <v>11.813</v>
      </c>
      <c r="H2534" s="15"/>
      <c r="I2534" s="15"/>
    </row>
    <row r="2535">
      <c r="A2535" s="18">
        <v>45665.0</v>
      </c>
      <c r="B2535" s="16" t="s">
        <v>3368</v>
      </c>
      <c r="C2535" s="16">
        <v>1.0</v>
      </c>
      <c r="D2535" s="16" t="s">
        <v>707</v>
      </c>
      <c r="E2535" s="16">
        <v>2013.0</v>
      </c>
      <c r="F2535" s="16">
        <v>50.9684</v>
      </c>
      <c r="G2535" s="16">
        <v>7.6581</v>
      </c>
      <c r="H2535" s="15"/>
      <c r="I2535" s="15"/>
    </row>
    <row r="2536">
      <c r="A2536" s="18">
        <v>45665.0</v>
      </c>
      <c r="B2536" s="16" t="s">
        <v>3369</v>
      </c>
      <c r="C2536" s="16" t="s">
        <v>942</v>
      </c>
      <c r="D2536" s="16" t="s">
        <v>707</v>
      </c>
      <c r="E2536" s="16">
        <v>2013.0</v>
      </c>
      <c r="F2536" s="16">
        <v>49.4383</v>
      </c>
      <c r="G2536" s="16">
        <v>7.7252</v>
      </c>
      <c r="H2536" s="15"/>
      <c r="I2536" s="15"/>
    </row>
    <row r="2537">
      <c r="A2537" s="18">
        <v>45665.0</v>
      </c>
      <c r="B2537" s="16" t="s">
        <v>3370</v>
      </c>
      <c r="C2537" s="16">
        <v>1.0</v>
      </c>
      <c r="D2537" s="16" t="s">
        <v>707</v>
      </c>
      <c r="E2537" s="16">
        <v>2013.0</v>
      </c>
      <c r="F2537" s="16">
        <v>51.6936</v>
      </c>
      <c r="G2537" s="16">
        <v>7.7781</v>
      </c>
      <c r="H2537" s="15"/>
      <c r="I2537" s="15"/>
    </row>
    <row r="2538">
      <c r="A2538" s="18">
        <v>45665.0</v>
      </c>
      <c r="B2538" s="16" t="s">
        <v>3371</v>
      </c>
      <c r="C2538" s="16" t="s">
        <v>1215</v>
      </c>
      <c r="D2538" s="16" t="s">
        <v>707</v>
      </c>
      <c r="E2538" s="16">
        <v>2013.0</v>
      </c>
      <c r="F2538" s="16">
        <v>51.6427</v>
      </c>
      <c r="G2538" s="16">
        <v>11.4906</v>
      </c>
      <c r="H2538" s="15"/>
      <c r="I2538" s="15"/>
    </row>
    <row r="2539">
      <c r="A2539" s="18">
        <v>45665.0</v>
      </c>
      <c r="B2539" s="16" t="s">
        <v>3372</v>
      </c>
      <c r="C2539" s="16" t="s">
        <v>959</v>
      </c>
      <c r="D2539" s="16" t="s">
        <v>707</v>
      </c>
      <c r="E2539" s="16">
        <v>2013.0</v>
      </c>
      <c r="F2539" s="16">
        <v>50.5977</v>
      </c>
      <c r="G2539" s="16">
        <v>8.6291</v>
      </c>
      <c r="H2539" s="15"/>
      <c r="I2539" s="15"/>
    </row>
    <row r="2540">
      <c r="A2540" s="18">
        <v>45665.0</v>
      </c>
      <c r="B2540" s="16" t="s">
        <v>3373</v>
      </c>
      <c r="C2540" s="16" t="s">
        <v>948</v>
      </c>
      <c r="D2540" s="16" t="s">
        <v>707</v>
      </c>
      <c r="E2540" s="16">
        <v>2013.0</v>
      </c>
      <c r="F2540" s="16">
        <v>50.6423</v>
      </c>
      <c r="G2540" s="16">
        <v>7.8631</v>
      </c>
      <c r="H2540" s="15"/>
      <c r="I2540" s="15"/>
    </row>
    <row r="2541">
      <c r="A2541" s="18">
        <v>45665.0</v>
      </c>
      <c r="B2541" s="16" t="s">
        <v>3374</v>
      </c>
      <c r="C2541" s="16" t="s">
        <v>946</v>
      </c>
      <c r="D2541" s="16" t="s">
        <v>707</v>
      </c>
      <c r="E2541" s="16">
        <v>2013.0</v>
      </c>
      <c r="F2541" s="16">
        <v>48.5793</v>
      </c>
      <c r="G2541" s="16">
        <v>11.4049</v>
      </c>
      <c r="H2541" s="15"/>
      <c r="I2541" s="15"/>
    </row>
    <row r="2542">
      <c r="A2542" s="18">
        <v>45665.0</v>
      </c>
      <c r="B2542" s="16" t="s">
        <v>3375</v>
      </c>
      <c r="C2542" s="16" t="s">
        <v>969</v>
      </c>
      <c r="D2542" s="16" t="s">
        <v>707</v>
      </c>
      <c r="E2542" s="16">
        <v>2013.0</v>
      </c>
      <c r="F2542" s="16">
        <v>51.4427</v>
      </c>
      <c r="G2542" s="16">
        <v>14.3009</v>
      </c>
      <c r="H2542" s="15"/>
      <c r="I2542" s="15"/>
    </row>
    <row r="2543">
      <c r="A2543" s="18">
        <v>45665.0</v>
      </c>
      <c r="B2543" s="16" t="s">
        <v>3376</v>
      </c>
      <c r="C2543" s="16" t="s">
        <v>1039</v>
      </c>
      <c r="D2543" s="16" t="s">
        <v>707</v>
      </c>
      <c r="E2543" s="16">
        <v>2013.0</v>
      </c>
      <c r="F2543" s="16">
        <v>51.4274</v>
      </c>
      <c r="G2543" s="16">
        <v>14.2872</v>
      </c>
      <c r="H2543" s="15"/>
      <c r="I2543" s="15"/>
    </row>
    <row r="2544">
      <c r="A2544" s="18">
        <v>45665.0</v>
      </c>
      <c r="B2544" s="16" t="s">
        <v>3377</v>
      </c>
      <c r="C2544" s="16" t="s">
        <v>948</v>
      </c>
      <c r="D2544" s="16" t="s">
        <v>707</v>
      </c>
      <c r="E2544" s="16">
        <v>2013.0</v>
      </c>
      <c r="F2544" s="16">
        <v>49.2289</v>
      </c>
      <c r="G2544" s="16">
        <v>7.5567</v>
      </c>
      <c r="H2544" s="15"/>
      <c r="I2544" s="15"/>
    </row>
    <row r="2545">
      <c r="A2545" s="18">
        <v>45665.0</v>
      </c>
      <c r="B2545" s="16" t="s">
        <v>3378</v>
      </c>
      <c r="C2545" s="16" t="s">
        <v>1037</v>
      </c>
      <c r="D2545" s="16" t="s">
        <v>707</v>
      </c>
      <c r="E2545" s="16">
        <v>2013.0</v>
      </c>
      <c r="F2545" s="16">
        <v>47.8305</v>
      </c>
      <c r="G2545" s="16">
        <v>10.8548</v>
      </c>
      <c r="H2545" s="15"/>
      <c r="I2545" s="15"/>
    </row>
    <row r="2546">
      <c r="A2546" s="18">
        <v>45665.0</v>
      </c>
      <c r="B2546" s="16" t="s">
        <v>3379</v>
      </c>
      <c r="C2546" s="16" t="s">
        <v>978</v>
      </c>
      <c r="D2546" s="16" t="s">
        <v>707</v>
      </c>
      <c r="E2546" s="16">
        <v>2013.0</v>
      </c>
      <c r="F2546" s="16">
        <v>49.3845</v>
      </c>
      <c r="G2546" s="16">
        <v>7.061</v>
      </c>
      <c r="H2546" s="15"/>
      <c r="I2546" s="15"/>
    </row>
    <row r="2547">
      <c r="A2547" s="18">
        <v>45665.0</v>
      </c>
      <c r="B2547" s="16" t="s">
        <v>3380</v>
      </c>
      <c r="C2547" s="16" t="s">
        <v>1007</v>
      </c>
      <c r="D2547" s="16" t="s">
        <v>707</v>
      </c>
      <c r="E2547" s="16">
        <v>2013.0</v>
      </c>
      <c r="F2547" s="16">
        <v>48.039</v>
      </c>
      <c r="G2547" s="16">
        <v>10.636</v>
      </c>
      <c r="H2547" s="15"/>
      <c r="I2547" s="15"/>
    </row>
    <row r="2548">
      <c r="A2548" s="18">
        <v>45665.0</v>
      </c>
      <c r="B2548" s="16" t="s">
        <v>3381</v>
      </c>
      <c r="C2548" s="16" t="s">
        <v>990</v>
      </c>
      <c r="D2548" s="16" t="s">
        <v>707</v>
      </c>
      <c r="E2548" s="16">
        <v>2013.0</v>
      </c>
      <c r="F2548" s="16">
        <v>51.9181</v>
      </c>
      <c r="G2548" s="16">
        <v>8.4482</v>
      </c>
      <c r="H2548" s="15"/>
      <c r="I2548" s="15"/>
    </row>
    <row r="2549">
      <c r="A2549" s="18">
        <v>45665.0</v>
      </c>
      <c r="B2549" s="16" t="s">
        <v>3382</v>
      </c>
      <c r="C2549" s="16" t="s">
        <v>946</v>
      </c>
      <c r="D2549" s="16" t="s">
        <v>707</v>
      </c>
      <c r="E2549" s="16">
        <v>2013.0</v>
      </c>
      <c r="F2549" s="16">
        <v>50.6369</v>
      </c>
      <c r="G2549" s="16">
        <v>11.9569</v>
      </c>
      <c r="H2549" s="15"/>
      <c r="I2549" s="15"/>
    </row>
    <row r="2550">
      <c r="A2550" s="18">
        <v>45665.0</v>
      </c>
      <c r="B2550" s="16" t="s">
        <v>3383</v>
      </c>
      <c r="C2550" s="16" t="s">
        <v>1034</v>
      </c>
      <c r="D2550" s="16" t="s">
        <v>707</v>
      </c>
      <c r="E2550" s="16">
        <v>2013.0</v>
      </c>
      <c r="F2550" s="16">
        <v>52.6337</v>
      </c>
      <c r="G2550" s="16">
        <v>10.2347</v>
      </c>
      <c r="H2550" s="15"/>
      <c r="I2550" s="15"/>
    </row>
    <row r="2551">
      <c r="A2551" s="18">
        <v>45665.0</v>
      </c>
      <c r="B2551" s="16" t="s">
        <v>3384</v>
      </c>
      <c r="C2551" s="16" t="s">
        <v>1011</v>
      </c>
      <c r="D2551" s="16" t="s">
        <v>707</v>
      </c>
      <c r="E2551" s="16">
        <v>2013.0</v>
      </c>
      <c r="F2551" s="16">
        <v>51.4882</v>
      </c>
      <c r="G2551" s="16">
        <v>13.7235</v>
      </c>
      <c r="H2551" s="15"/>
      <c r="I2551" s="15"/>
    </row>
    <row r="2552">
      <c r="A2552" s="18">
        <v>45665.0</v>
      </c>
      <c r="B2552" s="16" t="s">
        <v>3385</v>
      </c>
      <c r="C2552" s="16" t="s">
        <v>1096</v>
      </c>
      <c r="D2552" s="16" t="s">
        <v>707</v>
      </c>
      <c r="E2552" s="16">
        <v>2013.0</v>
      </c>
      <c r="F2552" s="16">
        <v>48.1492</v>
      </c>
      <c r="G2552" s="16">
        <v>12.7453</v>
      </c>
      <c r="H2552" s="15"/>
      <c r="I2552" s="15"/>
    </row>
    <row r="2553">
      <c r="A2553" s="18">
        <v>45665.0</v>
      </c>
      <c r="B2553" s="16" t="s">
        <v>3386</v>
      </c>
      <c r="C2553" s="16" t="s">
        <v>1059</v>
      </c>
      <c r="D2553" s="16" t="s">
        <v>707</v>
      </c>
      <c r="E2553" s="16">
        <v>2013.0</v>
      </c>
      <c r="F2553" s="16">
        <v>49.2727</v>
      </c>
      <c r="G2553" s="16">
        <v>10.4044</v>
      </c>
      <c r="H2553" s="15"/>
      <c r="I2553" s="15"/>
    </row>
    <row r="2554">
      <c r="A2554" s="18">
        <v>45665.0</v>
      </c>
      <c r="B2554" s="16" t="s">
        <v>3386</v>
      </c>
      <c r="C2554" s="16">
        <v>1.0</v>
      </c>
      <c r="D2554" s="16" t="s">
        <v>707</v>
      </c>
      <c r="E2554" s="16">
        <v>2013.0</v>
      </c>
      <c r="F2554" s="16">
        <v>49.274</v>
      </c>
      <c r="G2554" s="16">
        <v>10.407</v>
      </c>
      <c r="H2554" s="15"/>
      <c r="I2554" s="15"/>
    </row>
    <row r="2555">
      <c r="A2555" s="18">
        <v>45665.0</v>
      </c>
      <c r="B2555" s="16" t="s">
        <v>3387</v>
      </c>
      <c r="C2555" s="16" t="s">
        <v>969</v>
      </c>
      <c r="D2555" s="16" t="s">
        <v>707</v>
      </c>
      <c r="E2555" s="16">
        <v>2013.0</v>
      </c>
      <c r="F2555" s="16">
        <v>52.8363</v>
      </c>
      <c r="G2555" s="16">
        <v>8.3946</v>
      </c>
      <c r="H2555" s="15"/>
      <c r="I2555" s="15"/>
    </row>
    <row r="2556">
      <c r="A2556" s="18">
        <v>45665.0</v>
      </c>
      <c r="B2556" s="16" t="s">
        <v>3388</v>
      </c>
      <c r="C2556" s="16" t="s">
        <v>984</v>
      </c>
      <c r="D2556" s="16" t="s">
        <v>707</v>
      </c>
      <c r="E2556" s="16">
        <v>2013.0</v>
      </c>
      <c r="F2556" s="16">
        <v>53.4989</v>
      </c>
      <c r="G2556" s="16">
        <v>11.4591</v>
      </c>
      <c r="H2556" s="15"/>
      <c r="I2556" s="15"/>
    </row>
    <row r="2557">
      <c r="A2557" s="18">
        <v>45665.0</v>
      </c>
      <c r="B2557" s="16" t="s">
        <v>3389</v>
      </c>
      <c r="C2557" s="16" t="s">
        <v>969</v>
      </c>
      <c r="D2557" s="16" t="s">
        <v>707</v>
      </c>
      <c r="E2557" s="16">
        <v>2013.0</v>
      </c>
      <c r="F2557" s="16">
        <v>48.2152</v>
      </c>
      <c r="G2557" s="16">
        <v>11.2958</v>
      </c>
      <c r="H2557" s="15"/>
      <c r="I2557" s="15"/>
    </row>
    <row r="2558">
      <c r="A2558" s="18">
        <v>45665.0</v>
      </c>
      <c r="B2558" s="16" t="s">
        <v>3390</v>
      </c>
      <c r="C2558" s="16" t="s">
        <v>1203</v>
      </c>
      <c r="D2558" s="16" t="s">
        <v>707</v>
      </c>
      <c r="E2558" s="16">
        <v>2013.0</v>
      </c>
      <c r="F2558" s="16">
        <v>49.6544</v>
      </c>
      <c r="G2558" s="16">
        <v>10.4096</v>
      </c>
      <c r="H2558" s="15"/>
      <c r="I2558" s="15"/>
    </row>
    <row r="2559">
      <c r="A2559" s="18">
        <v>45665.0</v>
      </c>
      <c r="B2559" s="16" t="s">
        <v>3391</v>
      </c>
      <c r="C2559" s="16" t="s">
        <v>1046</v>
      </c>
      <c r="D2559" s="16" t="s">
        <v>707</v>
      </c>
      <c r="E2559" s="16">
        <v>2013.0</v>
      </c>
      <c r="F2559" s="16">
        <v>49.6351</v>
      </c>
      <c r="G2559" s="16">
        <v>10.1755</v>
      </c>
      <c r="H2559" s="15"/>
      <c r="I2559" s="15"/>
    </row>
    <row r="2560">
      <c r="A2560" s="18">
        <v>45665.0</v>
      </c>
      <c r="B2560" s="16" t="s">
        <v>3392</v>
      </c>
      <c r="C2560" s="16" t="s">
        <v>1039</v>
      </c>
      <c r="D2560" s="16" t="s">
        <v>707</v>
      </c>
      <c r="E2560" s="16">
        <v>2013.0</v>
      </c>
      <c r="F2560" s="16">
        <v>49.3089</v>
      </c>
      <c r="G2560" s="16">
        <v>7.0747</v>
      </c>
      <c r="H2560" s="15"/>
      <c r="I2560" s="15"/>
    </row>
    <row r="2561">
      <c r="A2561" s="18">
        <v>45665.0</v>
      </c>
      <c r="B2561" s="16" t="s">
        <v>3393</v>
      </c>
      <c r="C2561" s="16" t="s">
        <v>951</v>
      </c>
      <c r="D2561" s="16" t="s">
        <v>707</v>
      </c>
      <c r="E2561" s="16">
        <v>2013.0</v>
      </c>
      <c r="F2561" s="16">
        <v>53.1038</v>
      </c>
      <c r="G2561" s="16">
        <v>13.6411</v>
      </c>
      <c r="H2561" s="15"/>
      <c r="I2561" s="15"/>
    </row>
    <row r="2562">
      <c r="A2562" s="18">
        <v>45665.0</v>
      </c>
      <c r="B2562" s="16" t="s">
        <v>3394</v>
      </c>
      <c r="C2562" s="16">
        <v>1.0</v>
      </c>
      <c r="D2562" s="16" t="s">
        <v>707</v>
      </c>
      <c r="E2562" s="16">
        <v>2013.0</v>
      </c>
      <c r="F2562" s="16">
        <v>49.1904</v>
      </c>
      <c r="G2562" s="16">
        <v>12.2745</v>
      </c>
      <c r="H2562" s="15"/>
      <c r="I2562" s="15"/>
    </row>
    <row r="2563">
      <c r="A2563" s="18">
        <v>45665.0</v>
      </c>
      <c r="B2563" s="16" t="s">
        <v>3395</v>
      </c>
      <c r="C2563" s="16">
        <v>2.0</v>
      </c>
      <c r="D2563" s="16" t="s">
        <v>707</v>
      </c>
      <c r="E2563" s="16">
        <v>2013.0</v>
      </c>
      <c r="F2563" s="16">
        <v>51.2903</v>
      </c>
      <c r="G2563" s="16">
        <v>12.5939</v>
      </c>
      <c r="H2563" s="15"/>
      <c r="I2563" s="15"/>
    </row>
    <row r="2564">
      <c r="A2564" s="18">
        <v>45665.0</v>
      </c>
      <c r="B2564" s="16" t="s">
        <v>3396</v>
      </c>
      <c r="C2564" s="16">
        <v>1.0</v>
      </c>
      <c r="D2564" s="16" t="s">
        <v>707</v>
      </c>
      <c r="E2564" s="16">
        <v>2013.0</v>
      </c>
      <c r="F2564" s="16">
        <v>53.856</v>
      </c>
      <c r="G2564" s="16">
        <v>9.4869</v>
      </c>
      <c r="H2564" s="15"/>
      <c r="I2564" s="15"/>
    </row>
    <row r="2565">
      <c r="A2565" s="18">
        <v>45665.0</v>
      </c>
      <c r="B2565" s="16" t="s">
        <v>3397</v>
      </c>
      <c r="C2565" s="16">
        <v>1.0</v>
      </c>
      <c r="D2565" s="16" t="s">
        <v>707</v>
      </c>
      <c r="E2565" s="16">
        <v>2013.0</v>
      </c>
      <c r="F2565" s="16">
        <v>53.8541</v>
      </c>
      <c r="G2565" s="16">
        <v>9.4863</v>
      </c>
      <c r="H2565" s="15"/>
      <c r="I2565" s="15"/>
    </row>
    <row r="2566">
      <c r="A2566" s="18">
        <v>45665.0</v>
      </c>
      <c r="B2566" s="16" t="s">
        <v>3398</v>
      </c>
      <c r="C2566" s="16" t="s">
        <v>1051</v>
      </c>
      <c r="D2566" s="16" t="s">
        <v>707</v>
      </c>
      <c r="E2566" s="16">
        <v>2013.0</v>
      </c>
      <c r="F2566" s="16">
        <v>49.2128</v>
      </c>
      <c r="G2566" s="16">
        <v>7.5053</v>
      </c>
      <c r="H2566" s="15"/>
      <c r="I2566" s="15"/>
    </row>
    <row r="2567">
      <c r="A2567" s="18">
        <v>45665.0</v>
      </c>
      <c r="B2567" s="16" t="s">
        <v>3399</v>
      </c>
      <c r="C2567" s="16" t="s">
        <v>1039</v>
      </c>
      <c r="D2567" s="16" t="s">
        <v>707</v>
      </c>
      <c r="E2567" s="16">
        <v>2013.0</v>
      </c>
      <c r="F2567" s="16">
        <v>52.0182</v>
      </c>
      <c r="G2567" s="16">
        <v>11.6938</v>
      </c>
      <c r="H2567" s="15"/>
      <c r="I2567" s="15"/>
    </row>
    <row r="2568">
      <c r="A2568" s="18">
        <v>45665.0</v>
      </c>
      <c r="B2568" s="16" t="s">
        <v>3400</v>
      </c>
      <c r="C2568" s="16" t="s">
        <v>969</v>
      </c>
      <c r="D2568" s="16" t="s">
        <v>707</v>
      </c>
      <c r="E2568" s="16">
        <v>2013.0</v>
      </c>
      <c r="F2568" s="16">
        <v>51.3487</v>
      </c>
      <c r="G2568" s="16">
        <v>13.4194</v>
      </c>
      <c r="H2568" s="15"/>
      <c r="I2568" s="15"/>
    </row>
    <row r="2569">
      <c r="A2569" s="18">
        <v>45665.0</v>
      </c>
      <c r="B2569" s="16" t="s">
        <v>3401</v>
      </c>
      <c r="C2569" s="16">
        <v>1.0</v>
      </c>
      <c r="D2569" s="16" t="s">
        <v>707</v>
      </c>
      <c r="E2569" s="16">
        <v>2013.0</v>
      </c>
      <c r="F2569" s="16">
        <v>54.121</v>
      </c>
      <c r="G2569" s="16">
        <v>13.05</v>
      </c>
      <c r="H2569" s="15"/>
      <c r="I2569" s="15"/>
    </row>
    <row r="2570">
      <c r="A2570" s="18">
        <v>45665.0</v>
      </c>
      <c r="B2570" s="16" t="s">
        <v>3402</v>
      </c>
      <c r="C2570" s="16" t="s">
        <v>942</v>
      </c>
      <c r="D2570" s="16" t="s">
        <v>707</v>
      </c>
      <c r="E2570" s="16">
        <v>2013.0</v>
      </c>
      <c r="F2570" s="16">
        <v>49.173</v>
      </c>
      <c r="G2570" s="16">
        <v>10.9981</v>
      </c>
      <c r="H2570" s="15"/>
      <c r="I2570" s="15"/>
    </row>
    <row r="2571">
      <c r="A2571" s="18">
        <v>45665.0</v>
      </c>
      <c r="B2571" s="16" t="s">
        <v>3403</v>
      </c>
      <c r="C2571" s="16">
        <v>1.0</v>
      </c>
      <c r="D2571" s="16" t="s">
        <v>707</v>
      </c>
      <c r="E2571" s="16">
        <v>2013.0</v>
      </c>
      <c r="F2571" s="16">
        <v>52.5724</v>
      </c>
      <c r="G2571" s="16">
        <v>7.2139</v>
      </c>
      <c r="H2571" s="15"/>
      <c r="I2571" s="15"/>
    </row>
    <row r="2572">
      <c r="A2572" s="18">
        <v>45665.0</v>
      </c>
      <c r="B2572" s="16" t="s">
        <v>3404</v>
      </c>
      <c r="C2572" s="16">
        <v>3.0</v>
      </c>
      <c r="D2572" s="16" t="s">
        <v>707</v>
      </c>
      <c r="E2572" s="16">
        <v>2013.0</v>
      </c>
      <c r="F2572" s="16">
        <v>49.2284</v>
      </c>
      <c r="G2572" s="16">
        <v>8.3209</v>
      </c>
      <c r="H2572" s="15"/>
      <c r="I2572" s="15"/>
    </row>
    <row r="2573">
      <c r="A2573" s="18">
        <v>45665.0</v>
      </c>
      <c r="B2573" s="16" t="s">
        <v>3405</v>
      </c>
      <c r="C2573" s="16" t="s">
        <v>1059</v>
      </c>
      <c r="D2573" s="16" t="s">
        <v>707</v>
      </c>
      <c r="E2573" s="16">
        <v>2013.0</v>
      </c>
      <c r="F2573" s="16">
        <v>49.5097</v>
      </c>
      <c r="G2573" s="16">
        <v>7.8805</v>
      </c>
      <c r="H2573" s="15"/>
      <c r="I2573" s="15"/>
    </row>
    <row r="2574">
      <c r="A2574" s="18">
        <v>45665.0</v>
      </c>
      <c r="B2574" s="16" t="s">
        <v>3406</v>
      </c>
      <c r="C2574" s="16" t="s">
        <v>1436</v>
      </c>
      <c r="D2574" s="16" t="s">
        <v>707</v>
      </c>
      <c r="E2574" s="16">
        <v>2013.0</v>
      </c>
      <c r="F2574" s="16">
        <v>48.5278</v>
      </c>
      <c r="G2574" s="16">
        <v>12.0422</v>
      </c>
      <c r="H2574" s="15"/>
      <c r="I2574" s="15"/>
    </row>
    <row r="2575">
      <c r="A2575" s="18">
        <v>45665.0</v>
      </c>
      <c r="B2575" s="16" t="s">
        <v>3407</v>
      </c>
      <c r="C2575" s="16" t="s">
        <v>959</v>
      </c>
      <c r="D2575" s="16" t="s">
        <v>707</v>
      </c>
      <c r="E2575" s="16">
        <v>2013.0</v>
      </c>
      <c r="F2575" s="16">
        <v>48.5521</v>
      </c>
      <c r="G2575" s="16">
        <v>12.0774</v>
      </c>
      <c r="H2575" s="15"/>
      <c r="I2575" s="15"/>
    </row>
    <row r="2576">
      <c r="A2576" s="18">
        <v>45665.0</v>
      </c>
      <c r="B2576" s="16" t="s">
        <v>3408</v>
      </c>
      <c r="C2576" s="16" t="s">
        <v>969</v>
      </c>
      <c r="D2576" s="16" t="s">
        <v>707</v>
      </c>
      <c r="E2576" s="16">
        <v>2013.0</v>
      </c>
      <c r="F2576" s="16">
        <v>54.0171</v>
      </c>
      <c r="G2576" s="16">
        <v>12.2606</v>
      </c>
      <c r="H2576" s="15"/>
      <c r="I2576" s="15"/>
    </row>
    <row r="2577">
      <c r="A2577" s="18">
        <v>45665.0</v>
      </c>
      <c r="B2577" s="16" t="s">
        <v>3409</v>
      </c>
      <c r="C2577" s="16" t="s">
        <v>1101</v>
      </c>
      <c r="D2577" s="16" t="s">
        <v>707</v>
      </c>
      <c r="E2577" s="16">
        <v>2013.0</v>
      </c>
      <c r="F2577" s="16">
        <v>50.1179</v>
      </c>
      <c r="G2577" s="16">
        <v>10.6947</v>
      </c>
      <c r="H2577" s="15"/>
      <c r="I2577" s="15"/>
    </row>
    <row r="2578">
      <c r="A2578" s="18">
        <v>45665.0</v>
      </c>
      <c r="B2578" s="16" t="s">
        <v>3410</v>
      </c>
      <c r="C2578" s="16">
        <v>1.0</v>
      </c>
      <c r="D2578" s="16" t="s">
        <v>707</v>
      </c>
      <c r="E2578" s="16">
        <v>2013.0</v>
      </c>
      <c r="F2578" s="16">
        <v>49.2029</v>
      </c>
      <c r="G2578" s="16">
        <v>8.1628</v>
      </c>
      <c r="H2578" s="15"/>
      <c r="I2578" s="15"/>
    </row>
    <row r="2579">
      <c r="A2579" s="18">
        <v>45665.0</v>
      </c>
      <c r="B2579" s="16" t="s">
        <v>3411</v>
      </c>
      <c r="C2579" s="16">
        <v>2.0</v>
      </c>
      <c r="D2579" s="16" t="s">
        <v>707</v>
      </c>
      <c r="E2579" s="16">
        <v>2013.0</v>
      </c>
      <c r="F2579" s="16">
        <v>50.3353</v>
      </c>
      <c r="G2579" s="16">
        <v>8.4771</v>
      </c>
      <c r="H2579" s="15"/>
      <c r="I2579" s="15"/>
    </row>
    <row r="2580">
      <c r="A2580" s="18">
        <v>45665.0</v>
      </c>
      <c r="B2580" s="16" t="s">
        <v>3412</v>
      </c>
      <c r="C2580" s="16" t="s">
        <v>948</v>
      </c>
      <c r="D2580" s="16" t="s">
        <v>707</v>
      </c>
      <c r="E2580" s="16">
        <v>2013.0</v>
      </c>
      <c r="F2580" s="16">
        <v>52.0376</v>
      </c>
      <c r="G2580" s="16">
        <v>8.9937</v>
      </c>
      <c r="H2580" s="15"/>
      <c r="I2580" s="15"/>
    </row>
    <row r="2581">
      <c r="A2581" s="18">
        <v>45665.0</v>
      </c>
      <c r="B2581" s="16" t="s">
        <v>3413</v>
      </c>
      <c r="C2581" s="16" t="s">
        <v>969</v>
      </c>
      <c r="D2581" s="16" t="s">
        <v>707</v>
      </c>
      <c r="E2581" s="16">
        <v>2013.0</v>
      </c>
      <c r="F2581" s="16">
        <v>51.1979</v>
      </c>
      <c r="G2581" s="16">
        <v>13.552</v>
      </c>
      <c r="H2581" s="15"/>
      <c r="I2581" s="15"/>
    </row>
    <row r="2582">
      <c r="A2582" s="18">
        <v>45665.0</v>
      </c>
      <c r="B2582" s="16" t="s">
        <v>3414</v>
      </c>
      <c r="C2582" s="16" t="s">
        <v>946</v>
      </c>
      <c r="D2582" s="16" t="s">
        <v>707</v>
      </c>
      <c r="E2582" s="16">
        <v>2013.0</v>
      </c>
      <c r="F2582" s="16">
        <v>50.5694</v>
      </c>
      <c r="G2582" s="16">
        <v>10.5362</v>
      </c>
      <c r="H2582" s="15"/>
      <c r="I2582" s="15"/>
    </row>
    <row r="2583">
      <c r="A2583" s="18">
        <v>45665.0</v>
      </c>
      <c r="B2583" s="16" t="s">
        <v>3415</v>
      </c>
      <c r="C2583" s="16" t="s">
        <v>978</v>
      </c>
      <c r="D2583" s="16" t="s">
        <v>707</v>
      </c>
      <c r="E2583" s="16">
        <v>2013.0</v>
      </c>
      <c r="F2583" s="16">
        <v>52.0269</v>
      </c>
      <c r="G2583" s="16">
        <v>9.6264</v>
      </c>
      <c r="H2583" s="15"/>
      <c r="I2583" s="15"/>
    </row>
    <row r="2584">
      <c r="A2584" s="18">
        <v>45665.0</v>
      </c>
      <c r="B2584" s="16" t="s">
        <v>3416</v>
      </c>
      <c r="C2584" s="16" t="s">
        <v>1037</v>
      </c>
      <c r="D2584" s="16" t="s">
        <v>707</v>
      </c>
      <c r="E2584" s="16">
        <v>2013.0</v>
      </c>
      <c r="F2584" s="16">
        <v>51.7867</v>
      </c>
      <c r="G2584" s="16">
        <v>10.0669</v>
      </c>
      <c r="H2584" s="15"/>
      <c r="I2584" s="15"/>
    </row>
    <row r="2585">
      <c r="A2585" s="18">
        <v>45665.0</v>
      </c>
      <c r="B2585" s="16" t="s">
        <v>3417</v>
      </c>
      <c r="C2585" s="16">
        <v>2.0</v>
      </c>
      <c r="D2585" s="16" t="s">
        <v>707</v>
      </c>
      <c r="E2585" s="16">
        <v>2013.0</v>
      </c>
      <c r="F2585" s="16">
        <v>51.0733</v>
      </c>
      <c r="G2585" s="16">
        <v>11.1483</v>
      </c>
      <c r="H2585" s="15"/>
      <c r="I2585" s="15"/>
    </row>
    <row r="2586">
      <c r="A2586" s="18">
        <v>45665.0</v>
      </c>
      <c r="B2586" s="16" t="s">
        <v>3418</v>
      </c>
      <c r="C2586" s="16" t="s">
        <v>1055</v>
      </c>
      <c r="D2586" s="16" t="s">
        <v>707</v>
      </c>
      <c r="E2586" s="16">
        <v>2013.0</v>
      </c>
      <c r="F2586" s="16">
        <v>48.296</v>
      </c>
      <c r="G2586" s="16">
        <v>13.1579</v>
      </c>
      <c r="H2586" s="15"/>
      <c r="I2586" s="15"/>
    </row>
    <row r="2587">
      <c r="A2587" s="18">
        <v>45665.0</v>
      </c>
      <c r="B2587" s="16" t="s">
        <v>3419</v>
      </c>
      <c r="C2587" s="16">
        <v>1.0</v>
      </c>
      <c r="D2587" s="16" t="s">
        <v>707</v>
      </c>
      <c r="E2587" s="16">
        <v>2013.0</v>
      </c>
      <c r="F2587" s="16">
        <v>50.658</v>
      </c>
      <c r="G2587" s="16">
        <v>12.343</v>
      </c>
      <c r="H2587" s="15"/>
      <c r="I2587" s="15"/>
    </row>
    <row r="2588">
      <c r="A2588" s="18">
        <v>45665.0</v>
      </c>
      <c r="B2588" s="16" t="s">
        <v>3420</v>
      </c>
      <c r="C2588" s="16" t="s">
        <v>1203</v>
      </c>
      <c r="D2588" s="16" t="s">
        <v>707</v>
      </c>
      <c r="E2588" s="16">
        <v>2013.0</v>
      </c>
      <c r="F2588" s="16">
        <v>49.4988</v>
      </c>
      <c r="G2588" s="16">
        <v>10.2672</v>
      </c>
      <c r="H2588" s="15"/>
      <c r="I2588" s="15"/>
    </row>
    <row r="2589">
      <c r="A2589" s="18">
        <v>45665.0</v>
      </c>
      <c r="B2589" s="16" t="s">
        <v>3421</v>
      </c>
      <c r="C2589" s="16" t="s">
        <v>959</v>
      </c>
      <c r="D2589" s="16" t="s">
        <v>707</v>
      </c>
      <c r="E2589" s="16">
        <v>2013.0</v>
      </c>
      <c r="F2589" s="16">
        <v>49.4946</v>
      </c>
      <c r="G2589" s="16">
        <v>10.2668</v>
      </c>
      <c r="H2589" s="15"/>
      <c r="I2589" s="15"/>
    </row>
    <row r="2590">
      <c r="A2590" s="18">
        <v>45665.0</v>
      </c>
      <c r="B2590" s="16" t="s">
        <v>3422</v>
      </c>
      <c r="C2590" s="16" t="s">
        <v>1004</v>
      </c>
      <c r="D2590" s="16" t="s">
        <v>707</v>
      </c>
      <c r="E2590" s="16">
        <v>2013.0</v>
      </c>
      <c r="F2590" s="16">
        <v>49.4978</v>
      </c>
      <c r="G2590" s="16">
        <v>10.2667</v>
      </c>
      <c r="H2590" s="15"/>
      <c r="I2590" s="15"/>
    </row>
    <row r="2591">
      <c r="A2591" s="18">
        <v>45665.0</v>
      </c>
      <c r="B2591" s="16" t="s">
        <v>3423</v>
      </c>
      <c r="C2591" s="16" t="s">
        <v>982</v>
      </c>
      <c r="D2591" s="16" t="s">
        <v>707</v>
      </c>
      <c r="E2591" s="16">
        <v>2013.0</v>
      </c>
      <c r="F2591" s="16">
        <v>54.2603</v>
      </c>
      <c r="G2591" s="16">
        <v>9.2794</v>
      </c>
      <c r="H2591" s="15"/>
      <c r="I2591" s="15"/>
    </row>
    <row r="2592">
      <c r="A2592" s="18">
        <v>45665.0</v>
      </c>
      <c r="B2592" s="16" t="s">
        <v>3424</v>
      </c>
      <c r="C2592" s="16">
        <v>1.0</v>
      </c>
      <c r="D2592" s="16" t="s">
        <v>707</v>
      </c>
      <c r="E2592" s="16">
        <v>2013.0</v>
      </c>
      <c r="F2592" s="16">
        <v>54.7655</v>
      </c>
      <c r="G2592" s="16">
        <v>9.4172</v>
      </c>
      <c r="H2592" s="15"/>
      <c r="I2592" s="15"/>
    </row>
    <row r="2593">
      <c r="A2593" s="18">
        <v>45665.0</v>
      </c>
      <c r="B2593" s="16" t="s">
        <v>3425</v>
      </c>
      <c r="C2593" s="16" t="s">
        <v>1167</v>
      </c>
      <c r="D2593" s="16" t="s">
        <v>707</v>
      </c>
      <c r="E2593" s="16">
        <v>2013.0</v>
      </c>
      <c r="F2593" s="16">
        <v>50.0049</v>
      </c>
      <c r="G2593" s="16">
        <v>9.7938</v>
      </c>
      <c r="H2593" s="15"/>
      <c r="I2593" s="15"/>
    </row>
    <row r="2594">
      <c r="A2594" s="18">
        <v>45665.0</v>
      </c>
      <c r="B2594" s="16" t="s">
        <v>3426</v>
      </c>
      <c r="C2594" s="16" t="s">
        <v>961</v>
      </c>
      <c r="D2594" s="16" t="s">
        <v>707</v>
      </c>
      <c r="E2594" s="16">
        <v>2013.0</v>
      </c>
      <c r="F2594" s="16">
        <v>48.9195</v>
      </c>
      <c r="G2594" s="16">
        <v>12.2818</v>
      </c>
      <c r="H2594" s="15"/>
      <c r="I2594" s="15"/>
    </row>
    <row r="2595">
      <c r="A2595" s="18">
        <v>45665.0</v>
      </c>
      <c r="B2595" s="16" t="s">
        <v>3427</v>
      </c>
      <c r="C2595" s="16">
        <v>1.0</v>
      </c>
      <c r="D2595" s="16" t="s">
        <v>707</v>
      </c>
      <c r="E2595" s="16">
        <v>2013.0</v>
      </c>
      <c r="F2595" s="16">
        <v>53.6673</v>
      </c>
      <c r="G2595" s="16">
        <v>13.6473</v>
      </c>
      <c r="H2595" s="15"/>
      <c r="I2595" s="15"/>
    </row>
    <row r="2596">
      <c r="A2596" s="18">
        <v>45665.0</v>
      </c>
      <c r="B2596" s="16" t="s">
        <v>3428</v>
      </c>
      <c r="C2596" s="16" t="s">
        <v>1039</v>
      </c>
      <c r="D2596" s="16" t="s">
        <v>707</v>
      </c>
      <c r="E2596" s="16">
        <v>2013.0</v>
      </c>
      <c r="F2596" s="16">
        <v>47.9823</v>
      </c>
      <c r="G2596" s="16">
        <v>12.1755</v>
      </c>
      <c r="H2596" s="15"/>
      <c r="I2596" s="15"/>
    </row>
    <row r="2597">
      <c r="A2597" s="18">
        <v>45665.0</v>
      </c>
      <c r="B2597" s="16" t="s">
        <v>3429</v>
      </c>
      <c r="C2597" s="16">
        <v>3.0</v>
      </c>
      <c r="D2597" s="16" t="s">
        <v>707</v>
      </c>
      <c r="E2597" s="16">
        <v>2013.0</v>
      </c>
      <c r="F2597" s="16">
        <v>50.8463</v>
      </c>
      <c r="G2597" s="16">
        <v>6.8339</v>
      </c>
      <c r="H2597" s="15"/>
      <c r="I2597" s="15"/>
    </row>
    <row r="2598">
      <c r="A2598" s="18">
        <v>45665.0</v>
      </c>
      <c r="B2598" s="16" t="s">
        <v>3430</v>
      </c>
      <c r="C2598" s="16" t="s">
        <v>1475</v>
      </c>
      <c r="D2598" s="16" t="s">
        <v>707</v>
      </c>
      <c r="E2598" s="16">
        <v>2013.0</v>
      </c>
      <c r="F2598" s="16">
        <v>50.9745</v>
      </c>
      <c r="G2598" s="16">
        <v>11.2485</v>
      </c>
      <c r="H2598" s="15"/>
      <c r="I2598" s="15"/>
    </row>
    <row r="2599">
      <c r="A2599" s="18">
        <v>45665.0</v>
      </c>
      <c r="B2599" s="16" t="s">
        <v>3431</v>
      </c>
      <c r="C2599" s="16" t="s">
        <v>1609</v>
      </c>
      <c r="D2599" s="16" t="s">
        <v>707</v>
      </c>
      <c r="E2599" s="16">
        <v>2013.0</v>
      </c>
      <c r="F2599" s="16">
        <v>49.255</v>
      </c>
      <c r="G2599" s="16">
        <v>10.3762</v>
      </c>
      <c r="H2599" s="15"/>
      <c r="I2599" s="15"/>
    </row>
    <row r="2600">
      <c r="A2600" s="18">
        <v>45665.0</v>
      </c>
      <c r="B2600" s="16" t="s">
        <v>3432</v>
      </c>
      <c r="C2600" s="16" t="s">
        <v>1037</v>
      </c>
      <c r="D2600" s="16" t="s">
        <v>707</v>
      </c>
      <c r="E2600" s="16">
        <v>2013.0</v>
      </c>
      <c r="F2600" s="16">
        <v>50.8654</v>
      </c>
      <c r="G2600" s="16">
        <v>11.4241</v>
      </c>
      <c r="H2600" s="15"/>
      <c r="I2600" s="15"/>
    </row>
    <row r="2601">
      <c r="A2601" s="18">
        <v>45665.0</v>
      </c>
      <c r="B2601" s="16" t="s">
        <v>3433</v>
      </c>
      <c r="C2601" s="16">
        <v>1.0</v>
      </c>
      <c r="D2601" s="16" t="s">
        <v>707</v>
      </c>
      <c r="E2601" s="16">
        <v>2013.0</v>
      </c>
      <c r="F2601" s="16">
        <v>48.5866</v>
      </c>
      <c r="G2601" s="16">
        <v>13.3903</v>
      </c>
      <c r="H2601" s="15"/>
      <c r="I2601" s="15"/>
    </row>
    <row r="2602">
      <c r="A2602" s="18">
        <v>45665.0</v>
      </c>
      <c r="B2602" s="16" t="s">
        <v>3434</v>
      </c>
      <c r="C2602" s="16">
        <v>5.0</v>
      </c>
      <c r="D2602" s="16" t="s">
        <v>707</v>
      </c>
      <c r="E2602" s="16">
        <v>2013.0</v>
      </c>
      <c r="F2602" s="16">
        <v>50.1548</v>
      </c>
      <c r="G2602" s="16">
        <v>6.3992</v>
      </c>
      <c r="H2602" s="15"/>
      <c r="I2602" s="15"/>
    </row>
    <row r="2603">
      <c r="A2603" s="18">
        <v>45665.0</v>
      </c>
      <c r="B2603" s="16" t="s">
        <v>3435</v>
      </c>
      <c r="C2603" s="16" t="s">
        <v>969</v>
      </c>
      <c r="D2603" s="16" t="s">
        <v>707</v>
      </c>
      <c r="E2603" s="16">
        <v>2013.0</v>
      </c>
      <c r="F2603" s="16">
        <v>48.545</v>
      </c>
      <c r="G2603" s="16">
        <v>12.7337</v>
      </c>
      <c r="H2603" s="15"/>
      <c r="I2603" s="15"/>
    </row>
    <row r="2604">
      <c r="A2604" s="18">
        <v>45665.0</v>
      </c>
      <c r="B2604" s="16" t="s">
        <v>3436</v>
      </c>
      <c r="C2604" s="16">
        <v>1.0</v>
      </c>
      <c r="D2604" s="16" t="s">
        <v>707</v>
      </c>
      <c r="E2604" s="16">
        <v>2013.0</v>
      </c>
      <c r="F2604" s="16">
        <v>48.2287</v>
      </c>
      <c r="G2604" s="16">
        <v>11.3397</v>
      </c>
      <c r="H2604" s="15"/>
      <c r="I2604" s="15"/>
    </row>
    <row r="2605">
      <c r="A2605" s="18">
        <v>45665.0</v>
      </c>
      <c r="B2605" s="16" t="s">
        <v>3437</v>
      </c>
      <c r="C2605" s="16" t="s">
        <v>990</v>
      </c>
      <c r="D2605" s="16" t="s">
        <v>707</v>
      </c>
      <c r="E2605" s="16">
        <v>2013.0</v>
      </c>
      <c r="F2605" s="16">
        <v>48.2587</v>
      </c>
      <c r="G2605" s="16">
        <v>10.8331</v>
      </c>
      <c r="H2605" s="15"/>
      <c r="I2605" s="15"/>
    </row>
    <row r="2606">
      <c r="A2606" s="18">
        <v>45665.0</v>
      </c>
      <c r="B2606" s="16" t="s">
        <v>3438</v>
      </c>
      <c r="C2606" s="16" t="s">
        <v>978</v>
      </c>
      <c r="D2606" s="16" t="s">
        <v>707</v>
      </c>
      <c r="E2606" s="16">
        <v>2013.0</v>
      </c>
      <c r="F2606" s="16">
        <v>48.256</v>
      </c>
      <c r="G2606" s="16">
        <v>10.8308</v>
      </c>
      <c r="H2606" s="15"/>
      <c r="I2606" s="15"/>
    </row>
    <row r="2607">
      <c r="A2607" s="18">
        <v>45665.0</v>
      </c>
      <c r="B2607" s="16" t="s">
        <v>3439</v>
      </c>
      <c r="C2607" s="16" t="s">
        <v>971</v>
      </c>
      <c r="D2607" s="16" t="s">
        <v>707</v>
      </c>
      <c r="E2607" s="16">
        <v>2013.0</v>
      </c>
      <c r="F2607" s="16">
        <v>48.2136</v>
      </c>
      <c r="G2607" s="16">
        <v>10.3798</v>
      </c>
      <c r="H2607" s="15"/>
      <c r="I2607" s="15"/>
    </row>
    <row r="2608">
      <c r="A2608" s="18">
        <v>45665.0</v>
      </c>
      <c r="B2608" s="16" t="s">
        <v>3440</v>
      </c>
      <c r="C2608" s="16">
        <v>3.0</v>
      </c>
      <c r="D2608" s="16" t="s">
        <v>707</v>
      </c>
      <c r="E2608" s="16">
        <v>2013.0</v>
      </c>
      <c r="F2608" s="16">
        <v>48.4166</v>
      </c>
      <c r="G2608" s="16">
        <v>11.0725</v>
      </c>
      <c r="H2608" s="15"/>
      <c r="I2608" s="15"/>
    </row>
    <row r="2609">
      <c r="A2609" s="18">
        <v>45665.0</v>
      </c>
      <c r="B2609" s="16" t="s">
        <v>3441</v>
      </c>
      <c r="C2609" s="16" t="s">
        <v>942</v>
      </c>
      <c r="D2609" s="16" t="s">
        <v>707</v>
      </c>
      <c r="E2609" s="16">
        <v>2013.0</v>
      </c>
      <c r="F2609" s="16">
        <v>52.2575</v>
      </c>
      <c r="G2609" s="16">
        <v>10.82</v>
      </c>
      <c r="H2609" s="15"/>
      <c r="I2609" s="15"/>
    </row>
    <row r="2610">
      <c r="A2610" s="18">
        <v>45665.0</v>
      </c>
      <c r="B2610" s="16" t="s">
        <v>3442</v>
      </c>
      <c r="C2610" s="16">
        <v>1.0</v>
      </c>
      <c r="D2610" s="16" t="s">
        <v>707</v>
      </c>
      <c r="E2610" s="16">
        <v>2013.0</v>
      </c>
      <c r="F2610" s="16">
        <v>51.6739</v>
      </c>
      <c r="G2610" s="16">
        <v>12.9321</v>
      </c>
      <c r="H2610" s="15"/>
      <c r="I2610" s="15"/>
    </row>
    <row r="2611">
      <c r="A2611" s="18">
        <v>45665.0</v>
      </c>
      <c r="B2611" s="16" t="s">
        <v>3443</v>
      </c>
      <c r="C2611" s="16" t="s">
        <v>961</v>
      </c>
      <c r="D2611" s="16" t="s">
        <v>707</v>
      </c>
      <c r="E2611" s="16">
        <v>2013.0</v>
      </c>
      <c r="F2611" s="16">
        <v>52.11</v>
      </c>
      <c r="G2611" s="16">
        <v>9.0401</v>
      </c>
      <c r="H2611" s="15"/>
      <c r="I2611" s="15"/>
    </row>
    <row r="2612">
      <c r="A2612" s="18">
        <v>45665.0</v>
      </c>
      <c r="B2612" s="16" t="s">
        <v>3444</v>
      </c>
      <c r="C2612" s="16" t="s">
        <v>1007</v>
      </c>
      <c r="D2612" s="16" t="s">
        <v>707</v>
      </c>
      <c r="E2612" s="16">
        <v>2013.0</v>
      </c>
      <c r="F2612" s="16">
        <v>52.5686</v>
      </c>
      <c r="G2612" s="16">
        <v>13.9019</v>
      </c>
      <c r="H2612" s="15"/>
      <c r="I2612" s="15"/>
    </row>
    <row r="2613">
      <c r="A2613" s="18">
        <v>45665.0</v>
      </c>
      <c r="B2613" s="16" t="s">
        <v>3445</v>
      </c>
      <c r="C2613" s="16" t="s">
        <v>1051</v>
      </c>
      <c r="D2613" s="16" t="s">
        <v>707</v>
      </c>
      <c r="E2613" s="16">
        <v>2013.0</v>
      </c>
      <c r="F2613" s="16">
        <v>49.9705</v>
      </c>
      <c r="G2613" s="16">
        <v>10.1206</v>
      </c>
      <c r="H2613" s="15"/>
      <c r="I2613" s="15"/>
    </row>
    <row r="2614">
      <c r="A2614" s="18">
        <v>45665.0</v>
      </c>
      <c r="B2614" s="16" t="s">
        <v>3446</v>
      </c>
      <c r="C2614" s="16" t="s">
        <v>959</v>
      </c>
      <c r="D2614" s="16" t="s">
        <v>707</v>
      </c>
      <c r="E2614" s="16">
        <v>2013.0</v>
      </c>
      <c r="F2614" s="16">
        <v>48.2986</v>
      </c>
      <c r="G2614" s="16">
        <v>11.2242</v>
      </c>
      <c r="H2614" s="15"/>
      <c r="I2614" s="15"/>
    </row>
    <row r="2615">
      <c r="A2615" s="18">
        <v>45665.0</v>
      </c>
      <c r="B2615" s="16" t="s">
        <v>3447</v>
      </c>
      <c r="C2615" s="16" t="s">
        <v>1007</v>
      </c>
      <c r="D2615" s="16" t="s">
        <v>707</v>
      </c>
      <c r="E2615" s="16">
        <v>2013.0</v>
      </c>
      <c r="F2615" s="16">
        <v>54.2776</v>
      </c>
      <c r="G2615" s="16">
        <v>12.6024</v>
      </c>
      <c r="H2615" s="15"/>
      <c r="I2615" s="15"/>
    </row>
    <row r="2616">
      <c r="A2616" s="18">
        <v>45665.0</v>
      </c>
      <c r="B2616" s="16" t="s">
        <v>3448</v>
      </c>
      <c r="C2616" s="16" t="s">
        <v>1055</v>
      </c>
      <c r="D2616" s="16" t="s">
        <v>707</v>
      </c>
      <c r="E2616" s="16">
        <v>2013.0</v>
      </c>
      <c r="F2616" s="16">
        <v>49.3335</v>
      </c>
      <c r="G2616" s="16">
        <v>7.1441</v>
      </c>
      <c r="H2616" s="15"/>
      <c r="I2616" s="15"/>
    </row>
    <row r="2617">
      <c r="A2617" s="18">
        <v>45665.0</v>
      </c>
      <c r="B2617" s="16" t="s">
        <v>3449</v>
      </c>
      <c r="C2617" s="16" t="s">
        <v>969</v>
      </c>
      <c r="D2617" s="16" t="s">
        <v>707</v>
      </c>
      <c r="E2617" s="16">
        <v>2013.0</v>
      </c>
      <c r="F2617" s="16">
        <v>49.353</v>
      </c>
      <c r="G2617" s="16">
        <v>8.6251</v>
      </c>
      <c r="H2617" s="15"/>
      <c r="I2617" s="15"/>
    </row>
    <row r="2618">
      <c r="A2618" s="18">
        <v>45665.0</v>
      </c>
      <c r="B2618" s="16" t="s">
        <v>3450</v>
      </c>
      <c r="C2618" s="16" t="s">
        <v>1101</v>
      </c>
      <c r="D2618" s="16" t="s">
        <v>707</v>
      </c>
      <c r="E2618" s="16">
        <v>2013.0</v>
      </c>
      <c r="F2618" s="16">
        <v>50.8974</v>
      </c>
      <c r="G2618" s="16">
        <v>11.985</v>
      </c>
      <c r="H2618" s="15"/>
      <c r="I2618" s="15"/>
    </row>
    <row r="2619">
      <c r="A2619" s="18">
        <v>45665.0</v>
      </c>
      <c r="B2619" s="16" t="s">
        <v>3451</v>
      </c>
      <c r="C2619" s="16">
        <v>6.0</v>
      </c>
      <c r="D2619" s="16" t="s">
        <v>707</v>
      </c>
      <c r="E2619" s="16">
        <v>2013.0</v>
      </c>
      <c r="F2619" s="16">
        <v>50.5714</v>
      </c>
      <c r="G2619" s="16">
        <v>8.7446</v>
      </c>
      <c r="H2619" s="15"/>
      <c r="I2619" s="15"/>
    </row>
    <row r="2620">
      <c r="A2620" s="18">
        <v>45665.0</v>
      </c>
      <c r="B2620" s="16" t="s">
        <v>3452</v>
      </c>
      <c r="C2620" s="16" t="s">
        <v>1101</v>
      </c>
      <c r="D2620" s="16" t="s">
        <v>707</v>
      </c>
      <c r="E2620" s="16">
        <v>2013.0</v>
      </c>
      <c r="F2620" s="16">
        <v>52.7726</v>
      </c>
      <c r="G2620" s="16">
        <v>11.7674</v>
      </c>
      <c r="H2620" s="15"/>
      <c r="I2620" s="15"/>
    </row>
    <row r="2621">
      <c r="A2621" s="18">
        <v>45665.0</v>
      </c>
      <c r="B2621" s="16" t="s">
        <v>3453</v>
      </c>
      <c r="C2621" s="16" t="s">
        <v>1310</v>
      </c>
      <c r="D2621" s="16" t="s">
        <v>707</v>
      </c>
      <c r="E2621" s="16">
        <v>2013.0</v>
      </c>
      <c r="F2621" s="16">
        <v>49.5127</v>
      </c>
      <c r="G2621" s="16">
        <v>8.6358</v>
      </c>
      <c r="H2621" s="15"/>
      <c r="I2621" s="15"/>
    </row>
    <row r="2622">
      <c r="A2622" s="18">
        <v>45665.0</v>
      </c>
      <c r="B2622" s="16" t="s">
        <v>3454</v>
      </c>
      <c r="C2622" s="16" t="s">
        <v>1090</v>
      </c>
      <c r="D2622" s="16" t="s">
        <v>707</v>
      </c>
      <c r="E2622" s="16">
        <v>2013.0</v>
      </c>
      <c r="F2622" s="16">
        <v>49.5127</v>
      </c>
      <c r="G2622" s="16">
        <v>8.6358</v>
      </c>
      <c r="H2622" s="15"/>
      <c r="I2622" s="15"/>
    </row>
    <row r="2623">
      <c r="A2623" s="18">
        <v>45665.0</v>
      </c>
      <c r="B2623" s="16" t="s">
        <v>3455</v>
      </c>
      <c r="C2623" s="16" t="s">
        <v>948</v>
      </c>
      <c r="D2623" s="16" t="s">
        <v>707</v>
      </c>
      <c r="E2623" s="16">
        <v>2013.0</v>
      </c>
      <c r="F2623" s="16">
        <v>49.2845</v>
      </c>
      <c r="G2623" s="16">
        <v>11.4238</v>
      </c>
      <c r="H2623" s="15"/>
      <c r="I2623" s="15"/>
    </row>
    <row r="2624">
      <c r="A2624" s="18">
        <v>45665.0</v>
      </c>
      <c r="B2624" s="16" t="s">
        <v>3456</v>
      </c>
      <c r="C2624" s="16" t="s">
        <v>946</v>
      </c>
      <c r="D2624" s="16" t="s">
        <v>707</v>
      </c>
      <c r="E2624" s="16">
        <v>2013.0</v>
      </c>
      <c r="F2624" s="16">
        <v>49.2854</v>
      </c>
      <c r="G2624" s="16">
        <v>11.4202</v>
      </c>
      <c r="H2624" s="15"/>
      <c r="I2624" s="15"/>
    </row>
    <row r="2625">
      <c r="A2625" s="18">
        <v>45665.0</v>
      </c>
      <c r="B2625" s="16" t="s">
        <v>3457</v>
      </c>
      <c r="C2625" s="16" t="s">
        <v>1007</v>
      </c>
      <c r="D2625" s="16" t="s">
        <v>707</v>
      </c>
      <c r="E2625" s="16">
        <v>2013.0</v>
      </c>
      <c r="F2625" s="16">
        <v>53.5691</v>
      </c>
      <c r="G2625" s="16">
        <v>11.3227</v>
      </c>
      <c r="H2625" s="15"/>
      <c r="I2625" s="15"/>
    </row>
    <row r="2626">
      <c r="A2626" s="18">
        <v>45665.0</v>
      </c>
      <c r="B2626" s="16" t="s">
        <v>3458</v>
      </c>
      <c r="C2626" s="16" t="s">
        <v>1374</v>
      </c>
      <c r="D2626" s="16" t="s">
        <v>707</v>
      </c>
      <c r="E2626" s="16">
        <v>2013.0</v>
      </c>
      <c r="F2626" s="16">
        <v>51.7893</v>
      </c>
      <c r="G2626" s="16">
        <v>11.601</v>
      </c>
      <c r="H2626" s="15"/>
      <c r="I2626" s="15"/>
    </row>
    <row r="2627">
      <c r="A2627" s="18">
        <v>45665.0</v>
      </c>
      <c r="B2627" s="16" t="s">
        <v>3459</v>
      </c>
      <c r="C2627" s="16" t="s">
        <v>1167</v>
      </c>
      <c r="D2627" s="16" t="s">
        <v>707</v>
      </c>
      <c r="E2627" s="16">
        <v>2013.0</v>
      </c>
      <c r="F2627" s="16">
        <v>48.6402</v>
      </c>
      <c r="G2627" s="16">
        <v>12.3892</v>
      </c>
      <c r="H2627" s="15"/>
      <c r="I2627" s="15"/>
    </row>
    <row r="2628">
      <c r="A2628" s="18">
        <v>45665.0</v>
      </c>
      <c r="B2628" s="16" t="s">
        <v>3460</v>
      </c>
      <c r="C2628" s="16">
        <v>2.0</v>
      </c>
      <c r="D2628" s="16" t="s">
        <v>707</v>
      </c>
      <c r="E2628" s="16">
        <v>2013.0</v>
      </c>
      <c r="F2628" s="16">
        <v>52.7979</v>
      </c>
      <c r="G2628" s="16">
        <v>9.9716</v>
      </c>
      <c r="H2628" s="15"/>
      <c r="I2628" s="15"/>
    </row>
    <row r="2629">
      <c r="A2629" s="18">
        <v>45665.0</v>
      </c>
      <c r="B2629" s="16" t="s">
        <v>3461</v>
      </c>
      <c r="C2629" s="16" t="s">
        <v>942</v>
      </c>
      <c r="D2629" s="16" t="s">
        <v>707</v>
      </c>
      <c r="E2629" s="16">
        <v>2013.0</v>
      </c>
      <c r="F2629" s="16">
        <v>49.9778</v>
      </c>
      <c r="G2629" s="16">
        <v>6.6312</v>
      </c>
      <c r="H2629" s="15"/>
      <c r="I2629" s="15"/>
    </row>
    <row r="2630">
      <c r="A2630" s="18">
        <v>45665.0</v>
      </c>
      <c r="B2630" s="16" t="s">
        <v>3462</v>
      </c>
      <c r="C2630" s="16" t="s">
        <v>1055</v>
      </c>
      <c r="D2630" s="16" t="s">
        <v>707</v>
      </c>
      <c r="E2630" s="16">
        <v>2013.0</v>
      </c>
      <c r="F2630" s="16">
        <v>48.7508</v>
      </c>
      <c r="G2630" s="16">
        <v>13.0852</v>
      </c>
      <c r="H2630" s="15"/>
      <c r="I2630" s="15"/>
    </row>
    <row r="2631">
      <c r="A2631" s="18">
        <v>45665.0</v>
      </c>
      <c r="B2631" s="16" t="s">
        <v>3463</v>
      </c>
      <c r="C2631" s="16" t="s">
        <v>1101</v>
      </c>
      <c r="D2631" s="16" t="s">
        <v>707</v>
      </c>
      <c r="E2631" s="16">
        <v>2013.0</v>
      </c>
      <c r="F2631" s="16">
        <v>48.8301</v>
      </c>
      <c r="G2631" s="16">
        <v>12.1842</v>
      </c>
      <c r="H2631" s="15"/>
      <c r="I2631" s="15"/>
    </row>
    <row r="2632">
      <c r="A2632" s="18">
        <v>45665.0</v>
      </c>
      <c r="B2632" s="16" t="s">
        <v>3464</v>
      </c>
      <c r="C2632" s="16" t="s">
        <v>1059</v>
      </c>
      <c r="D2632" s="16" t="s">
        <v>707</v>
      </c>
      <c r="E2632" s="16">
        <v>2013.0</v>
      </c>
      <c r="F2632" s="16">
        <v>51.0012</v>
      </c>
      <c r="G2632" s="16">
        <v>12.1256</v>
      </c>
      <c r="H2632" s="15"/>
      <c r="I2632" s="15"/>
    </row>
    <row r="2633">
      <c r="A2633" s="18">
        <v>45665.0</v>
      </c>
      <c r="B2633" s="16" t="s">
        <v>3465</v>
      </c>
      <c r="C2633" s="16" t="s">
        <v>1055</v>
      </c>
      <c r="D2633" s="16" t="s">
        <v>707</v>
      </c>
      <c r="E2633" s="16">
        <v>2013.0</v>
      </c>
      <c r="F2633" s="16">
        <v>51.0012</v>
      </c>
      <c r="G2633" s="16">
        <v>12.1256</v>
      </c>
      <c r="H2633" s="15"/>
      <c r="I2633" s="15"/>
    </row>
    <row r="2634">
      <c r="A2634" s="18">
        <v>45665.0</v>
      </c>
      <c r="B2634" s="16" t="s">
        <v>3466</v>
      </c>
      <c r="C2634" s="16" t="s">
        <v>961</v>
      </c>
      <c r="D2634" s="16" t="s">
        <v>707</v>
      </c>
      <c r="E2634" s="16">
        <v>2013.0</v>
      </c>
      <c r="F2634" s="16">
        <v>48.9371</v>
      </c>
      <c r="G2634" s="16">
        <v>12.6623</v>
      </c>
      <c r="H2634" s="15"/>
      <c r="I2634" s="15"/>
    </row>
    <row r="2635">
      <c r="A2635" s="18">
        <v>45665.0</v>
      </c>
      <c r="B2635" s="16" t="s">
        <v>3467</v>
      </c>
      <c r="C2635" s="16">
        <v>1.0</v>
      </c>
      <c r="D2635" s="16" t="s">
        <v>707</v>
      </c>
      <c r="E2635" s="16">
        <v>2013.0</v>
      </c>
      <c r="F2635" s="16">
        <v>51.8218</v>
      </c>
      <c r="G2635" s="16">
        <v>11.4221</v>
      </c>
      <c r="H2635" s="15"/>
      <c r="I2635" s="15"/>
    </row>
    <row r="2636">
      <c r="A2636" s="18">
        <v>45665.0</v>
      </c>
      <c r="B2636" s="16" t="s">
        <v>3468</v>
      </c>
      <c r="C2636" s="16" t="s">
        <v>1282</v>
      </c>
      <c r="D2636" s="16" t="s">
        <v>707</v>
      </c>
      <c r="E2636" s="16">
        <v>2013.0</v>
      </c>
      <c r="F2636" s="16">
        <v>51.7989</v>
      </c>
      <c r="G2636" s="16">
        <v>11.7116</v>
      </c>
      <c r="H2636" s="15"/>
      <c r="I2636" s="15"/>
    </row>
    <row r="2637">
      <c r="A2637" s="18">
        <v>45665.0</v>
      </c>
      <c r="B2637" s="16" t="s">
        <v>3469</v>
      </c>
      <c r="C2637" s="16" t="s">
        <v>1002</v>
      </c>
      <c r="D2637" s="16" t="s">
        <v>707</v>
      </c>
      <c r="E2637" s="16">
        <v>2013.0</v>
      </c>
      <c r="F2637" s="16">
        <v>51.7988</v>
      </c>
      <c r="G2637" s="16">
        <v>11.7122</v>
      </c>
      <c r="H2637" s="15"/>
      <c r="I2637" s="15"/>
    </row>
    <row r="2638">
      <c r="A2638" s="18">
        <v>45665.0</v>
      </c>
      <c r="B2638" s="16" t="s">
        <v>3470</v>
      </c>
      <c r="C2638" s="16" t="s">
        <v>1051</v>
      </c>
      <c r="D2638" s="16" t="s">
        <v>707</v>
      </c>
      <c r="E2638" s="16">
        <v>2013.0</v>
      </c>
      <c r="F2638" s="16">
        <v>51.312</v>
      </c>
      <c r="G2638" s="16">
        <v>14.094</v>
      </c>
      <c r="H2638" s="15"/>
      <c r="I2638" s="15"/>
    </row>
    <row r="2639">
      <c r="A2639" s="18">
        <v>45665.0</v>
      </c>
      <c r="B2639" s="16" t="s">
        <v>3471</v>
      </c>
      <c r="C2639" s="16" t="s">
        <v>1007</v>
      </c>
      <c r="D2639" s="16" t="s">
        <v>707</v>
      </c>
      <c r="E2639" s="16">
        <v>2013.0</v>
      </c>
      <c r="F2639" s="16">
        <v>52.5465</v>
      </c>
      <c r="G2639" s="16">
        <v>12.5411</v>
      </c>
      <c r="H2639" s="15"/>
      <c r="I2639" s="15"/>
    </row>
    <row r="2640">
      <c r="A2640" s="18">
        <v>45665.0</v>
      </c>
      <c r="B2640" s="16" t="s">
        <v>3472</v>
      </c>
      <c r="C2640" s="16" t="s">
        <v>942</v>
      </c>
      <c r="D2640" s="16" t="s">
        <v>707</v>
      </c>
      <c r="E2640" s="16">
        <v>2013.0</v>
      </c>
      <c r="F2640" s="16">
        <v>53.741</v>
      </c>
      <c r="G2640" s="16">
        <v>13.3011</v>
      </c>
      <c r="H2640" s="15"/>
      <c r="I2640" s="15"/>
    </row>
    <row r="2641">
      <c r="A2641" s="18">
        <v>45665.0</v>
      </c>
      <c r="B2641" s="16" t="s">
        <v>3473</v>
      </c>
      <c r="C2641" s="16" t="s">
        <v>1007</v>
      </c>
      <c r="D2641" s="16" t="s">
        <v>707</v>
      </c>
      <c r="E2641" s="16">
        <v>2013.0</v>
      </c>
      <c r="F2641" s="16">
        <v>52.3215</v>
      </c>
      <c r="G2641" s="16">
        <v>11.6185</v>
      </c>
      <c r="H2641" s="15"/>
      <c r="I2641" s="15"/>
    </row>
    <row r="2642">
      <c r="A2642" s="18">
        <v>45665.0</v>
      </c>
      <c r="B2642" s="16" t="s">
        <v>3474</v>
      </c>
      <c r="C2642" s="16" t="s">
        <v>959</v>
      </c>
      <c r="D2642" s="16" t="s">
        <v>707</v>
      </c>
      <c r="E2642" s="16">
        <v>2013.0</v>
      </c>
      <c r="F2642" s="16">
        <v>51.5155</v>
      </c>
      <c r="G2642" s="16">
        <v>12.3523</v>
      </c>
      <c r="H2642" s="15"/>
      <c r="I2642" s="15"/>
    </row>
    <row r="2643">
      <c r="A2643" s="18">
        <v>45665.0</v>
      </c>
      <c r="B2643" s="16" t="s">
        <v>3475</v>
      </c>
      <c r="C2643" s="16" t="s">
        <v>961</v>
      </c>
      <c r="D2643" s="16" t="s">
        <v>707</v>
      </c>
      <c r="E2643" s="16">
        <v>2013.0</v>
      </c>
      <c r="F2643" s="16">
        <v>53.8906</v>
      </c>
      <c r="G2643" s="16">
        <v>13.0429</v>
      </c>
      <c r="H2643" s="15"/>
      <c r="I2643" s="15"/>
    </row>
    <row r="2644">
      <c r="A2644" s="18">
        <v>45665.0</v>
      </c>
      <c r="B2644" s="16" t="s">
        <v>3476</v>
      </c>
      <c r="C2644" s="16" t="s">
        <v>1215</v>
      </c>
      <c r="D2644" s="16" t="s">
        <v>707</v>
      </c>
      <c r="E2644" s="16">
        <v>2013.0</v>
      </c>
      <c r="F2644" s="16">
        <v>50.813</v>
      </c>
      <c r="G2644" s="16">
        <v>10.0894</v>
      </c>
      <c r="H2644" s="15"/>
      <c r="I2644" s="15"/>
    </row>
    <row r="2645">
      <c r="A2645" s="18">
        <v>45665.0</v>
      </c>
      <c r="B2645" s="16" t="s">
        <v>3477</v>
      </c>
      <c r="C2645" s="16" t="s">
        <v>961</v>
      </c>
      <c r="D2645" s="16" t="s">
        <v>707</v>
      </c>
      <c r="E2645" s="16">
        <v>2013.0</v>
      </c>
      <c r="F2645" s="16">
        <v>47.6886</v>
      </c>
      <c r="G2645" s="16">
        <v>10.365</v>
      </c>
      <c r="H2645" s="15"/>
      <c r="I2645" s="15"/>
    </row>
    <row r="2646">
      <c r="A2646" s="18">
        <v>45665.0</v>
      </c>
      <c r="B2646" s="16" t="s">
        <v>3478</v>
      </c>
      <c r="C2646" s="16">
        <v>2.0</v>
      </c>
      <c r="D2646" s="16" t="s">
        <v>707</v>
      </c>
      <c r="E2646" s="16">
        <v>2013.0</v>
      </c>
      <c r="F2646" s="16">
        <v>51.3506</v>
      </c>
      <c r="G2646" s="16">
        <v>12.1992</v>
      </c>
      <c r="H2646" s="15"/>
      <c r="I2646" s="15"/>
    </row>
    <row r="2647">
      <c r="A2647" s="18">
        <v>45665.0</v>
      </c>
      <c r="B2647" s="16" t="s">
        <v>3479</v>
      </c>
      <c r="C2647" s="16" t="s">
        <v>1007</v>
      </c>
      <c r="D2647" s="16" t="s">
        <v>707</v>
      </c>
      <c r="E2647" s="16">
        <v>2013.0</v>
      </c>
      <c r="F2647" s="16">
        <v>51.3507</v>
      </c>
      <c r="G2647" s="16">
        <v>12.199</v>
      </c>
      <c r="H2647" s="15"/>
      <c r="I2647" s="15"/>
    </row>
    <row r="2648">
      <c r="A2648" s="18">
        <v>45665.0</v>
      </c>
      <c r="B2648" s="16" t="s">
        <v>3480</v>
      </c>
      <c r="C2648" s="16" t="s">
        <v>961</v>
      </c>
      <c r="D2648" s="16" t="s">
        <v>707</v>
      </c>
      <c r="E2648" s="16">
        <v>2013.0</v>
      </c>
      <c r="F2648" s="16">
        <v>51.03</v>
      </c>
      <c r="G2648" s="16">
        <v>14.0106</v>
      </c>
      <c r="H2648" s="15"/>
      <c r="I2648" s="15"/>
    </row>
    <row r="2649">
      <c r="A2649" s="18">
        <v>45665.0</v>
      </c>
      <c r="B2649" s="16" t="s">
        <v>3481</v>
      </c>
      <c r="C2649" s="16">
        <v>2.0</v>
      </c>
      <c r="D2649" s="16" t="s">
        <v>707</v>
      </c>
      <c r="E2649" s="16">
        <v>2013.0</v>
      </c>
      <c r="F2649" s="16">
        <v>51.0385</v>
      </c>
      <c r="G2649" s="16">
        <v>11.6304</v>
      </c>
      <c r="H2649" s="15"/>
      <c r="I2649" s="15"/>
    </row>
    <row r="2650">
      <c r="A2650" s="18">
        <v>45665.0</v>
      </c>
      <c r="B2650" s="16" t="s">
        <v>3482</v>
      </c>
      <c r="C2650" s="16" t="s">
        <v>1090</v>
      </c>
      <c r="D2650" s="16" t="s">
        <v>707</v>
      </c>
      <c r="E2650" s="16">
        <v>2013.0</v>
      </c>
      <c r="F2650" s="16">
        <v>51.001</v>
      </c>
      <c r="G2650" s="16">
        <v>10.3272</v>
      </c>
      <c r="H2650" s="15"/>
      <c r="I2650" s="15"/>
    </row>
    <row r="2651">
      <c r="A2651" s="18">
        <v>45665.0</v>
      </c>
      <c r="B2651" s="16" t="s">
        <v>3483</v>
      </c>
      <c r="C2651" s="16" t="s">
        <v>946</v>
      </c>
      <c r="D2651" s="16" t="s">
        <v>707</v>
      </c>
      <c r="E2651" s="16">
        <v>2013.0</v>
      </c>
      <c r="F2651" s="16">
        <v>53.2405</v>
      </c>
      <c r="G2651" s="16">
        <v>11.4228</v>
      </c>
      <c r="H2651" s="15"/>
      <c r="I2651" s="15"/>
    </row>
    <row r="2652">
      <c r="A2652" s="18">
        <v>45665.0</v>
      </c>
      <c r="B2652" s="16" t="s">
        <v>3484</v>
      </c>
      <c r="C2652" s="16" t="s">
        <v>948</v>
      </c>
      <c r="D2652" s="16" t="s">
        <v>707</v>
      </c>
      <c r="E2652" s="16">
        <v>2013.0</v>
      </c>
      <c r="F2652" s="16">
        <v>50.8605</v>
      </c>
      <c r="G2652" s="16">
        <v>10.9434</v>
      </c>
      <c r="H2652" s="15"/>
      <c r="I2652" s="15"/>
    </row>
    <row r="2653">
      <c r="A2653" s="18">
        <v>45665.0</v>
      </c>
      <c r="B2653" s="16" t="s">
        <v>3485</v>
      </c>
      <c r="C2653" s="16" t="s">
        <v>1215</v>
      </c>
      <c r="D2653" s="16" t="s">
        <v>707</v>
      </c>
      <c r="E2653" s="16">
        <v>2013.0</v>
      </c>
      <c r="F2653" s="16">
        <v>51.1399</v>
      </c>
      <c r="G2653" s="16">
        <v>11.7038</v>
      </c>
      <c r="H2653" s="15"/>
      <c r="I2653" s="15"/>
    </row>
    <row r="2654">
      <c r="A2654" s="18">
        <v>45665.0</v>
      </c>
      <c r="B2654" s="16" t="s">
        <v>3486</v>
      </c>
      <c r="C2654" s="16">
        <v>2.0</v>
      </c>
      <c r="D2654" s="16" t="s">
        <v>707</v>
      </c>
      <c r="E2654" s="16">
        <v>2013.0</v>
      </c>
      <c r="F2654" s="16">
        <v>51.1392</v>
      </c>
      <c r="G2654" s="16">
        <v>11.7049</v>
      </c>
      <c r="H2654" s="15"/>
      <c r="I2654" s="15"/>
    </row>
    <row r="2655">
      <c r="A2655" s="18">
        <v>45665.0</v>
      </c>
      <c r="B2655" s="16" t="s">
        <v>3487</v>
      </c>
      <c r="C2655" s="16" t="s">
        <v>1609</v>
      </c>
      <c r="D2655" s="16" t="s">
        <v>707</v>
      </c>
      <c r="E2655" s="16">
        <v>2013.0</v>
      </c>
      <c r="F2655" s="16">
        <v>50.3468</v>
      </c>
      <c r="G2655" s="16">
        <v>11.9825</v>
      </c>
      <c r="H2655" s="15"/>
      <c r="I2655" s="15"/>
    </row>
    <row r="2656">
      <c r="A2656" s="18">
        <v>45665.0</v>
      </c>
      <c r="B2656" s="16" t="s">
        <v>3488</v>
      </c>
      <c r="C2656" s="16" t="s">
        <v>1771</v>
      </c>
      <c r="D2656" s="16" t="s">
        <v>707</v>
      </c>
      <c r="E2656" s="16">
        <v>2013.0</v>
      </c>
      <c r="F2656" s="16">
        <v>50.3467</v>
      </c>
      <c r="G2656" s="16">
        <v>11.9891</v>
      </c>
      <c r="H2656" s="15"/>
      <c r="I2656" s="15"/>
    </row>
    <row r="2657">
      <c r="A2657" s="18">
        <v>45665.0</v>
      </c>
      <c r="B2657" s="16" t="s">
        <v>3489</v>
      </c>
      <c r="C2657" s="16" t="s">
        <v>969</v>
      </c>
      <c r="D2657" s="16" t="s">
        <v>707</v>
      </c>
      <c r="E2657" s="16">
        <v>2013.0</v>
      </c>
      <c r="F2657" s="16">
        <v>49.1723</v>
      </c>
      <c r="G2657" s="16">
        <v>10.9978</v>
      </c>
      <c r="H2657" s="15"/>
      <c r="I2657" s="15"/>
    </row>
    <row r="2658">
      <c r="A2658" s="18">
        <v>45665.0</v>
      </c>
      <c r="B2658" s="16" t="s">
        <v>3490</v>
      </c>
      <c r="C2658" s="16">
        <v>8.0</v>
      </c>
      <c r="D2658" s="16" t="s">
        <v>707</v>
      </c>
      <c r="E2658" s="16">
        <v>2013.0</v>
      </c>
      <c r="F2658" s="16">
        <v>52.239</v>
      </c>
      <c r="G2658" s="16">
        <v>13.144</v>
      </c>
      <c r="H2658" s="15"/>
      <c r="I2658" s="15"/>
    </row>
    <row r="2659">
      <c r="A2659" s="18">
        <v>45665.0</v>
      </c>
      <c r="B2659" s="16" t="s">
        <v>3491</v>
      </c>
      <c r="C2659" s="16" t="s">
        <v>971</v>
      </c>
      <c r="D2659" s="16" t="s">
        <v>707</v>
      </c>
      <c r="E2659" s="16">
        <v>2013.0</v>
      </c>
      <c r="F2659" s="16">
        <v>50.9501</v>
      </c>
      <c r="G2659" s="16">
        <v>10.7193</v>
      </c>
      <c r="H2659" s="15"/>
      <c r="I2659" s="15"/>
    </row>
    <row r="2660">
      <c r="A2660" s="18">
        <v>45665.0</v>
      </c>
      <c r="B2660" s="16" t="s">
        <v>3492</v>
      </c>
      <c r="C2660" s="16">
        <v>6.0</v>
      </c>
      <c r="D2660" s="16" t="s">
        <v>707</v>
      </c>
      <c r="E2660" s="16">
        <v>2013.0</v>
      </c>
      <c r="F2660" s="16">
        <v>51.1845</v>
      </c>
      <c r="G2660" s="16">
        <v>14.9641</v>
      </c>
      <c r="H2660" s="15"/>
      <c r="I2660" s="15"/>
    </row>
    <row r="2661">
      <c r="A2661" s="18">
        <v>45665.0</v>
      </c>
      <c r="B2661" s="16" t="s">
        <v>3493</v>
      </c>
      <c r="C2661" s="16" t="s">
        <v>1436</v>
      </c>
      <c r="D2661" s="16" t="s">
        <v>707</v>
      </c>
      <c r="E2661" s="16">
        <v>2013.0</v>
      </c>
      <c r="F2661" s="16">
        <v>53.8091</v>
      </c>
      <c r="G2661" s="16">
        <v>12.1644</v>
      </c>
      <c r="H2661" s="15"/>
      <c r="I2661" s="15"/>
    </row>
    <row r="2662">
      <c r="A2662" s="18">
        <v>45665.0</v>
      </c>
      <c r="B2662" s="16" t="s">
        <v>3494</v>
      </c>
      <c r="C2662" s="16" t="s">
        <v>1055</v>
      </c>
      <c r="D2662" s="16" t="s">
        <v>707</v>
      </c>
      <c r="E2662" s="16">
        <v>2013.0</v>
      </c>
      <c r="F2662" s="16">
        <v>53.5955</v>
      </c>
      <c r="G2662" s="16">
        <v>13.2832</v>
      </c>
      <c r="H2662" s="15"/>
      <c r="I2662" s="15"/>
    </row>
    <row r="2663">
      <c r="A2663" s="18">
        <v>45665.0</v>
      </c>
      <c r="B2663" s="16" t="s">
        <v>3495</v>
      </c>
      <c r="C2663" s="16" t="s">
        <v>942</v>
      </c>
      <c r="D2663" s="16" t="s">
        <v>707</v>
      </c>
      <c r="E2663" s="16">
        <v>2013.0</v>
      </c>
      <c r="F2663" s="16">
        <v>51.85</v>
      </c>
      <c r="G2663" s="16">
        <v>11.6596</v>
      </c>
      <c r="H2663" s="15"/>
      <c r="I2663" s="15"/>
    </row>
    <row r="2664">
      <c r="A2664" s="18">
        <v>45665.0</v>
      </c>
      <c r="B2664" s="16" t="s">
        <v>3496</v>
      </c>
      <c r="C2664" s="16">
        <v>1.0</v>
      </c>
      <c r="D2664" s="16" t="s">
        <v>707</v>
      </c>
      <c r="E2664" s="16">
        <v>2013.0</v>
      </c>
      <c r="F2664" s="16">
        <v>51.9705</v>
      </c>
      <c r="G2664" s="16">
        <v>12.3417</v>
      </c>
      <c r="H2664" s="15"/>
      <c r="I2664" s="15"/>
    </row>
    <row r="2665">
      <c r="A2665" s="18">
        <v>45665.0</v>
      </c>
      <c r="B2665" s="16" t="s">
        <v>3497</v>
      </c>
      <c r="C2665" s="16">
        <v>5.0</v>
      </c>
      <c r="D2665" s="16" t="s">
        <v>707</v>
      </c>
      <c r="E2665" s="16">
        <v>2013.0</v>
      </c>
      <c r="F2665" s="16">
        <v>49.9165</v>
      </c>
      <c r="G2665" s="16">
        <v>11.8804</v>
      </c>
      <c r="H2665" s="15"/>
      <c r="I2665" s="15"/>
    </row>
    <row r="2666">
      <c r="A2666" s="18">
        <v>45665.0</v>
      </c>
      <c r="B2666" s="16" t="s">
        <v>3498</v>
      </c>
      <c r="C2666" s="16">
        <v>3.0</v>
      </c>
      <c r="D2666" s="16" t="s">
        <v>707</v>
      </c>
      <c r="E2666" s="16">
        <v>2013.0</v>
      </c>
      <c r="F2666" s="16">
        <v>54.0597</v>
      </c>
      <c r="G2666" s="16">
        <v>12.1927</v>
      </c>
      <c r="H2666" s="15"/>
      <c r="I2666" s="15"/>
    </row>
    <row r="2667">
      <c r="A2667" s="18">
        <v>45665.0</v>
      </c>
      <c r="B2667" s="16" t="s">
        <v>3499</v>
      </c>
      <c r="C2667" s="16" t="s">
        <v>978</v>
      </c>
      <c r="D2667" s="16" t="s">
        <v>707</v>
      </c>
      <c r="E2667" s="16">
        <v>2013.0</v>
      </c>
      <c r="F2667" s="16">
        <v>47.702</v>
      </c>
      <c r="G2667" s="16">
        <v>9.161</v>
      </c>
      <c r="H2667" s="15"/>
      <c r="I2667" s="15"/>
    </row>
    <row r="2668">
      <c r="A2668" s="18">
        <v>45665.0</v>
      </c>
      <c r="B2668" s="16" t="s">
        <v>3500</v>
      </c>
      <c r="C2668" s="16" t="s">
        <v>942</v>
      </c>
      <c r="D2668" s="16" t="s">
        <v>707</v>
      </c>
      <c r="E2668" s="16">
        <v>2013.0</v>
      </c>
      <c r="F2668" s="16">
        <v>51.0118</v>
      </c>
      <c r="G2668" s="16">
        <v>10.2503</v>
      </c>
      <c r="H2668" s="15"/>
      <c r="I2668" s="15"/>
    </row>
    <row r="2669">
      <c r="A2669" s="18">
        <v>45665.0</v>
      </c>
      <c r="B2669" s="16" t="s">
        <v>3501</v>
      </c>
      <c r="C2669" s="16" t="s">
        <v>942</v>
      </c>
      <c r="D2669" s="16" t="s">
        <v>707</v>
      </c>
      <c r="E2669" s="16">
        <v>2013.0</v>
      </c>
      <c r="F2669" s="16">
        <v>51.7688</v>
      </c>
      <c r="G2669" s="16">
        <v>14.1606</v>
      </c>
      <c r="H2669" s="15"/>
      <c r="I2669" s="15"/>
    </row>
    <row r="2670">
      <c r="A2670" s="18">
        <v>45665.0</v>
      </c>
      <c r="B2670" s="16" t="s">
        <v>3502</v>
      </c>
      <c r="C2670" s="16" t="s">
        <v>942</v>
      </c>
      <c r="D2670" s="16" t="s">
        <v>707</v>
      </c>
      <c r="E2670" s="16">
        <v>2013.0</v>
      </c>
      <c r="F2670" s="16">
        <v>52.9465</v>
      </c>
      <c r="G2670" s="16">
        <v>12.3988</v>
      </c>
      <c r="H2670" s="15"/>
      <c r="I2670" s="15"/>
    </row>
    <row r="2671">
      <c r="A2671" s="18">
        <v>45665.0</v>
      </c>
      <c r="B2671" s="16" t="s">
        <v>3503</v>
      </c>
      <c r="C2671" s="16" t="s">
        <v>1101</v>
      </c>
      <c r="D2671" s="16" t="s">
        <v>707</v>
      </c>
      <c r="E2671" s="16">
        <v>2013.0</v>
      </c>
      <c r="F2671" s="16">
        <v>52.1676</v>
      </c>
      <c r="G2671" s="16">
        <v>12.7808</v>
      </c>
      <c r="H2671" s="15"/>
      <c r="I2671" s="15"/>
    </row>
    <row r="2672">
      <c r="A2672" s="18">
        <v>45665.0</v>
      </c>
      <c r="B2672" s="16" t="s">
        <v>3504</v>
      </c>
      <c r="C2672" s="16" t="s">
        <v>3505</v>
      </c>
      <c r="D2672" s="16" t="s">
        <v>707</v>
      </c>
      <c r="E2672" s="16">
        <v>2013.0</v>
      </c>
      <c r="F2672" s="16">
        <v>54.311</v>
      </c>
      <c r="G2672" s="16">
        <v>12.767</v>
      </c>
      <c r="H2672" s="15"/>
      <c r="I2672" s="15"/>
    </row>
    <row r="2673">
      <c r="A2673" s="18">
        <v>45665.0</v>
      </c>
      <c r="B2673" s="16" t="s">
        <v>3506</v>
      </c>
      <c r="C2673" s="16" t="s">
        <v>948</v>
      </c>
      <c r="D2673" s="16" t="s">
        <v>707</v>
      </c>
      <c r="E2673" s="16">
        <v>2013.0</v>
      </c>
      <c r="F2673" s="16">
        <v>48.8897</v>
      </c>
      <c r="G2673" s="16">
        <v>8.3144</v>
      </c>
      <c r="H2673" s="15"/>
      <c r="I2673" s="15"/>
    </row>
    <row r="2674">
      <c r="A2674" s="18">
        <v>45665.0</v>
      </c>
      <c r="B2674" s="16" t="s">
        <v>3507</v>
      </c>
      <c r="C2674" s="16">
        <v>1.0</v>
      </c>
      <c r="D2674" s="16" t="s">
        <v>707</v>
      </c>
      <c r="E2674" s="16">
        <v>2013.0</v>
      </c>
      <c r="F2674" s="16">
        <v>51.1402</v>
      </c>
      <c r="G2674" s="16">
        <v>13.4584</v>
      </c>
      <c r="H2674" s="15"/>
      <c r="I2674" s="15"/>
    </row>
    <row r="2675">
      <c r="A2675" s="18">
        <v>45665.0</v>
      </c>
      <c r="B2675" s="16" t="s">
        <v>3508</v>
      </c>
      <c r="C2675" s="16" t="s">
        <v>1055</v>
      </c>
      <c r="D2675" s="16" t="s">
        <v>707</v>
      </c>
      <c r="E2675" s="16">
        <v>2013.0</v>
      </c>
      <c r="F2675" s="16">
        <v>50.953</v>
      </c>
      <c r="G2675" s="16">
        <v>12.423</v>
      </c>
      <c r="H2675" s="15"/>
      <c r="I2675" s="15"/>
    </row>
    <row r="2676">
      <c r="A2676" s="18">
        <v>45665.0</v>
      </c>
      <c r="B2676" s="16" t="s">
        <v>3509</v>
      </c>
      <c r="C2676" s="16" t="s">
        <v>1215</v>
      </c>
      <c r="D2676" s="16" t="s">
        <v>707</v>
      </c>
      <c r="E2676" s="16">
        <v>2013.0</v>
      </c>
      <c r="F2676" s="16">
        <v>51.6363</v>
      </c>
      <c r="G2676" s="16">
        <v>12.0159</v>
      </c>
      <c r="H2676" s="15"/>
      <c r="I2676" s="15"/>
    </row>
    <row r="2677">
      <c r="A2677" s="18">
        <v>45665.0</v>
      </c>
      <c r="B2677" s="16" t="s">
        <v>3510</v>
      </c>
      <c r="C2677" s="16" t="s">
        <v>942</v>
      </c>
      <c r="D2677" s="16" t="s">
        <v>707</v>
      </c>
      <c r="E2677" s="16">
        <v>2013.0</v>
      </c>
      <c r="F2677" s="16">
        <v>51.6363</v>
      </c>
      <c r="G2677" s="16">
        <v>12.0159</v>
      </c>
      <c r="H2677" s="15"/>
      <c r="I2677" s="15"/>
    </row>
    <row r="2678">
      <c r="A2678" s="18">
        <v>45665.0</v>
      </c>
      <c r="B2678" s="16" t="s">
        <v>3511</v>
      </c>
      <c r="C2678" s="16" t="s">
        <v>1203</v>
      </c>
      <c r="D2678" s="16" t="s">
        <v>707</v>
      </c>
      <c r="E2678" s="16">
        <v>2013.0</v>
      </c>
      <c r="F2678" s="16">
        <v>51.4501</v>
      </c>
      <c r="G2678" s="16">
        <v>14.2134</v>
      </c>
      <c r="H2678" s="15"/>
      <c r="I2678" s="15"/>
    </row>
    <row r="2679">
      <c r="A2679" s="18">
        <v>45665.0</v>
      </c>
      <c r="B2679" s="16" t="s">
        <v>3512</v>
      </c>
      <c r="C2679" s="16" t="s">
        <v>1167</v>
      </c>
      <c r="D2679" s="16" t="s">
        <v>707</v>
      </c>
      <c r="E2679" s="16">
        <v>2013.0</v>
      </c>
      <c r="F2679" s="16">
        <v>53.5433</v>
      </c>
      <c r="G2679" s="16">
        <v>13.3183</v>
      </c>
      <c r="H2679" s="15"/>
      <c r="I2679" s="15"/>
    </row>
    <row r="2680">
      <c r="A2680" s="18">
        <v>45665.0</v>
      </c>
      <c r="B2680" s="16" t="s">
        <v>3513</v>
      </c>
      <c r="C2680" s="16" t="s">
        <v>1167</v>
      </c>
      <c r="D2680" s="16" t="s">
        <v>707</v>
      </c>
      <c r="E2680" s="16">
        <v>2013.0</v>
      </c>
      <c r="F2680" s="16">
        <v>52.8727</v>
      </c>
      <c r="G2680" s="16">
        <v>12.4689</v>
      </c>
      <c r="H2680" s="15"/>
      <c r="I2680" s="15"/>
    </row>
    <row r="2681">
      <c r="A2681" s="18">
        <v>45665.0</v>
      </c>
      <c r="B2681" s="16" t="s">
        <v>3514</v>
      </c>
      <c r="C2681" s="16" t="s">
        <v>969</v>
      </c>
      <c r="D2681" s="16" t="s">
        <v>707</v>
      </c>
      <c r="E2681" s="16">
        <v>2013.0</v>
      </c>
      <c r="F2681" s="16">
        <v>52.8519</v>
      </c>
      <c r="G2681" s="16">
        <v>12.4617</v>
      </c>
      <c r="H2681" s="15"/>
      <c r="I2681" s="15"/>
    </row>
    <row r="2682">
      <c r="A2682" s="18">
        <v>45665.0</v>
      </c>
      <c r="B2682" s="16" t="s">
        <v>3514</v>
      </c>
      <c r="C2682" s="16" t="s">
        <v>1034</v>
      </c>
      <c r="D2682" s="16" t="s">
        <v>707</v>
      </c>
      <c r="E2682" s="16">
        <v>2013.0</v>
      </c>
      <c r="F2682" s="16">
        <v>52.8517</v>
      </c>
      <c r="G2682" s="16">
        <v>12.4588</v>
      </c>
      <c r="H2682" s="15"/>
      <c r="I2682" s="15"/>
    </row>
    <row r="2683">
      <c r="A2683" s="18">
        <v>45665.0</v>
      </c>
      <c r="B2683" s="16" t="s">
        <v>3515</v>
      </c>
      <c r="C2683" s="16" t="s">
        <v>1055</v>
      </c>
      <c r="D2683" s="16" t="s">
        <v>707</v>
      </c>
      <c r="E2683" s="16">
        <v>2013.0</v>
      </c>
      <c r="F2683" s="16">
        <v>51.4846</v>
      </c>
      <c r="G2683" s="16">
        <v>10.8004</v>
      </c>
      <c r="H2683" s="15"/>
      <c r="I2683" s="15"/>
    </row>
    <row r="2684">
      <c r="A2684" s="18">
        <v>45665.0</v>
      </c>
      <c r="B2684" s="16" t="s">
        <v>3516</v>
      </c>
      <c r="C2684" s="16" t="s">
        <v>969</v>
      </c>
      <c r="D2684" s="16" t="s">
        <v>707</v>
      </c>
      <c r="E2684" s="16">
        <v>2013.0</v>
      </c>
      <c r="F2684" s="16">
        <v>51.4846</v>
      </c>
      <c r="G2684" s="16">
        <v>10.8004</v>
      </c>
      <c r="H2684" s="15"/>
      <c r="I2684" s="15"/>
    </row>
    <row r="2685">
      <c r="A2685" s="18">
        <v>45665.0</v>
      </c>
      <c r="B2685" s="16" t="s">
        <v>3517</v>
      </c>
      <c r="C2685" s="16" t="s">
        <v>3505</v>
      </c>
      <c r="D2685" s="16" t="s">
        <v>707</v>
      </c>
      <c r="E2685" s="16">
        <v>2013.0</v>
      </c>
      <c r="F2685" s="16">
        <v>50.941</v>
      </c>
      <c r="G2685" s="16">
        <v>14.797</v>
      </c>
      <c r="H2685" s="15"/>
      <c r="I2685" s="15"/>
    </row>
    <row r="2686">
      <c r="A2686" s="18">
        <v>45665.0</v>
      </c>
      <c r="B2686" s="16" t="s">
        <v>3518</v>
      </c>
      <c r="C2686" s="16" t="s">
        <v>990</v>
      </c>
      <c r="D2686" s="16" t="s">
        <v>707</v>
      </c>
      <c r="E2686" s="16">
        <v>2013.0</v>
      </c>
      <c r="F2686" s="16">
        <v>51.307</v>
      </c>
      <c r="G2686" s="16">
        <v>13.1083</v>
      </c>
      <c r="H2686" s="15"/>
      <c r="I2686" s="15"/>
    </row>
    <row r="2687">
      <c r="A2687" s="18">
        <v>45665.0</v>
      </c>
      <c r="B2687" s="16" t="s">
        <v>3519</v>
      </c>
      <c r="C2687" s="16" t="s">
        <v>1059</v>
      </c>
      <c r="D2687" s="16" t="s">
        <v>707</v>
      </c>
      <c r="E2687" s="16">
        <v>2013.0</v>
      </c>
      <c r="F2687" s="16">
        <v>51.2381</v>
      </c>
      <c r="G2687" s="16">
        <v>11.8782</v>
      </c>
      <c r="H2687" s="15"/>
      <c r="I2687" s="15"/>
    </row>
    <row r="2688">
      <c r="A2688" s="18">
        <v>45665.0</v>
      </c>
      <c r="B2688" s="16" t="s">
        <v>3520</v>
      </c>
      <c r="C2688" s="16">
        <v>2.0</v>
      </c>
      <c r="D2688" s="16" t="s">
        <v>707</v>
      </c>
      <c r="E2688" s="16">
        <v>2013.0</v>
      </c>
      <c r="F2688" s="16">
        <v>49.6202</v>
      </c>
      <c r="G2688" s="16">
        <v>12.4228</v>
      </c>
      <c r="H2688" s="15"/>
      <c r="I2688" s="15"/>
    </row>
    <row r="2689">
      <c r="A2689" s="18">
        <v>45665.0</v>
      </c>
      <c r="B2689" s="16" t="s">
        <v>3521</v>
      </c>
      <c r="C2689" s="16" t="s">
        <v>1059</v>
      </c>
      <c r="D2689" s="16" t="s">
        <v>707</v>
      </c>
      <c r="E2689" s="16">
        <v>2013.0</v>
      </c>
      <c r="F2689" s="16">
        <v>50.4973</v>
      </c>
      <c r="G2689" s="16">
        <v>12.4232</v>
      </c>
      <c r="H2689" s="15"/>
      <c r="I2689" s="15"/>
    </row>
    <row r="2690">
      <c r="A2690" s="18">
        <v>45665.0</v>
      </c>
      <c r="B2690" s="16" t="s">
        <v>3522</v>
      </c>
      <c r="C2690" s="16" t="s">
        <v>946</v>
      </c>
      <c r="D2690" s="16" t="s">
        <v>707</v>
      </c>
      <c r="E2690" s="16">
        <v>2013.0</v>
      </c>
      <c r="F2690" s="16">
        <v>51.0612</v>
      </c>
      <c r="G2690" s="16">
        <v>13.1797</v>
      </c>
      <c r="H2690" s="15"/>
      <c r="I2690" s="15"/>
    </row>
    <row r="2691">
      <c r="A2691" s="18">
        <v>45665.0</v>
      </c>
      <c r="B2691" s="16" t="s">
        <v>3523</v>
      </c>
      <c r="C2691" s="16" t="s">
        <v>1037</v>
      </c>
      <c r="D2691" s="16" t="s">
        <v>707</v>
      </c>
      <c r="E2691" s="16">
        <v>2013.0</v>
      </c>
      <c r="F2691" s="16">
        <v>51.5115</v>
      </c>
      <c r="G2691" s="16">
        <v>13.8877</v>
      </c>
      <c r="H2691" s="15"/>
      <c r="I2691" s="15"/>
    </row>
    <row r="2692">
      <c r="A2692" s="18">
        <v>45665.0</v>
      </c>
      <c r="B2692" s="16" t="s">
        <v>3524</v>
      </c>
      <c r="C2692" s="16" t="s">
        <v>1384</v>
      </c>
      <c r="D2692" s="16" t="s">
        <v>707</v>
      </c>
      <c r="E2692" s="16">
        <v>2013.0</v>
      </c>
      <c r="F2692" s="16">
        <v>47.6816</v>
      </c>
      <c r="G2692" s="16">
        <v>10.3957</v>
      </c>
      <c r="H2692" s="15"/>
      <c r="I2692" s="15"/>
    </row>
    <row r="2693">
      <c r="A2693" s="18">
        <v>45665.0</v>
      </c>
      <c r="B2693" s="16" t="s">
        <v>3525</v>
      </c>
      <c r="C2693" s="16" t="s">
        <v>1046</v>
      </c>
      <c r="D2693" s="16" t="s">
        <v>707</v>
      </c>
      <c r="E2693" s="16">
        <v>2013.0</v>
      </c>
      <c r="F2693" s="16">
        <v>47.8312</v>
      </c>
      <c r="G2693" s="16">
        <v>10.2929</v>
      </c>
      <c r="H2693" s="15"/>
      <c r="I2693" s="15"/>
    </row>
    <row r="2694">
      <c r="A2694" s="18">
        <v>45665.0</v>
      </c>
      <c r="B2694" s="16" t="s">
        <v>3526</v>
      </c>
      <c r="C2694" s="16" t="s">
        <v>1310</v>
      </c>
      <c r="D2694" s="16" t="s">
        <v>707</v>
      </c>
      <c r="E2694" s="16">
        <v>2013.0</v>
      </c>
      <c r="F2694" s="16">
        <v>51.5312</v>
      </c>
      <c r="G2694" s="16">
        <v>11.9303</v>
      </c>
      <c r="H2694" s="15"/>
      <c r="I2694" s="15"/>
    </row>
    <row r="2695">
      <c r="A2695" s="18">
        <v>45665.0</v>
      </c>
      <c r="B2695" s="16" t="s">
        <v>3527</v>
      </c>
      <c r="C2695" s="16" t="s">
        <v>1007</v>
      </c>
      <c r="D2695" s="16" t="s">
        <v>707</v>
      </c>
      <c r="E2695" s="16">
        <v>2013.0</v>
      </c>
      <c r="F2695" s="16">
        <v>51.4203</v>
      </c>
      <c r="G2695" s="16">
        <v>10.5281</v>
      </c>
      <c r="H2695" s="15"/>
      <c r="I2695" s="15"/>
    </row>
    <row r="2696">
      <c r="A2696" s="18">
        <v>45665.0</v>
      </c>
      <c r="B2696" s="16" t="s">
        <v>3528</v>
      </c>
      <c r="C2696" s="16" t="s">
        <v>942</v>
      </c>
      <c r="D2696" s="16" t="s">
        <v>707</v>
      </c>
      <c r="E2696" s="16">
        <v>2013.0</v>
      </c>
      <c r="F2696" s="16">
        <v>51.3794</v>
      </c>
      <c r="G2696" s="16">
        <v>12.4805</v>
      </c>
      <c r="H2696" s="15"/>
      <c r="I2696" s="15"/>
    </row>
    <row r="2697">
      <c r="A2697" s="18">
        <v>45665.0</v>
      </c>
      <c r="B2697" s="16" t="s">
        <v>3529</v>
      </c>
      <c r="C2697" s="16" t="s">
        <v>942</v>
      </c>
      <c r="D2697" s="16" t="s">
        <v>707</v>
      </c>
      <c r="E2697" s="16">
        <v>2013.0</v>
      </c>
      <c r="F2697" s="16">
        <v>53.2259</v>
      </c>
      <c r="G2697" s="16">
        <v>11.1954</v>
      </c>
      <c r="H2697" s="15"/>
      <c r="I2697" s="15"/>
    </row>
    <row r="2698">
      <c r="A2698" s="18">
        <v>45665.0</v>
      </c>
      <c r="B2698" s="16" t="s">
        <v>3530</v>
      </c>
      <c r="C2698" s="16">
        <v>1.0</v>
      </c>
      <c r="D2698" s="16" t="s">
        <v>707</v>
      </c>
      <c r="E2698" s="16">
        <v>2013.0</v>
      </c>
      <c r="F2698" s="16">
        <v>51.9521</v>
      </c>
      <c r="G2698" s="16">
        <v>12.311</v>
      </c>
      <c r="H2698" s="15"/>
      <c r="I2698" s="15"/>
    </row>
    <row r="2699">
      <c r="A2699" s="18">
        <v>45665.0</v>
      </c>
      <c r="B2699" s="16" t="s">
        <v>3531</v>
      </c>
      <c r="C2699" s="16" t="s">
        <v>1037</v>
      </c>
      <c r="D2699" s="16" t="s">
        <v>707</v>
      </c>
      <c r="E2699" s="16">
        <v>2013.0</v>
      </c>
      <c r="F2699" s="16">
        <v>51.0358</v>
      </c>
      <c r="G2699" s="16">
        <v>10.3013</v>
      </c>
      <c r="H2699" s="15"/>
      <c r="I2699" s="15"/>
    </row>
    <row r="2700">
      <c r="A2700" s="18">
        <v>45665.0</v>
      </c>
      <c r="B2700" s="16" t="s">
        <v>3532</v>
      </c>
      <c r="C2700" s="16" t="s">
        <v>3505</v>
      </c>
      <c r="D2700" s="16" t="s">
        <v>707</v>
      </c>
      <c r="E2700" s="16">
        <v>2013.0</v>
      </c>
      <c r="F2700" s="16">
        <v>50.1419</v>
      </c>
      <c r="G2700" s="16">
        <v>11.5298</v>
      </c>
      <c r="H2700" s="15"/>
      <c r="I2700" s="15"/>
    </row>
    <row r="2701">
      <c r="A2701" s="18">
        <v>45665.0</v>
      </c>
      <c r="B2701" s="16" t="s">
        <v>3533</v>
      </c>
      <c r="C2701" s="16" t="s">
        <v>1147</v>
      </c>
      <c r="D2701" s="16" t="s">
        <v>707</v>
      </c>
      <c r="E2701" s="16">
        <v>2013.0</v>
      </c>
      <c r="F2701" s="16">
        <v>47.7905</v>
      </c>
      <c r="G2701" s="16">
        <v>10.3227</v>
      </c>
      <c r="H2701" s="15"/>
      <c r="I2701" s="15"/>
    </row>
    <row r="2702">
      <c r="A2702" s="18">
        <v>45665.0</v>
      </c>
      <c r="B2702" s="16" t="s">
        <v>3534</v>
      </c>
      <c r="C2702" s="16" t="s">
        <v>946</v>
      </c>
      <c r="D2702" s="16" t="s">
        <v>707</v>
      </c>
      <c r="E2702" s="16">
        <v>2013.0</v>
      </c>
      <c r="F2702" s="16">
        <v>54.1283</v>
      </c>
      <c r="G2702" s="16">
        <v>13.5626</v>
      </c>
      <c r="H2702" s="15"/>
      <c r="I2702" s="15"/>
    </row>
    <row r="2703">
      <c r="A2703" s="18">
        <v>45665.0</v>
      </c>
      <c r="B2703" s="16" t="s">
        <v>3535</v>
      </c>
      <c r="C2703" s="16" t="s">
        <v>1055</v>
      </c>
      <c r="D2703" s="16" t="s">
        <v>707</v>
      </c>
      <c r="E2703" s="16">
        <v>2013.0</v>
      </c>
      <c r="F2703" s="16">
        <v>51.882</v>
      </c>
      <c r="G2703" s="16">
        <v>11.161</v>
      </c>
      <c r="H2703" s="15"/>
      <c r="I2703" s="15"/>
    </row>
    <row r="2704">
      <c r="A2704" s="18">
        <v>45665.0</v>
      </c>
      <c r="B2704" s="16" t="s">
        <v>3536</v>
      </c>
      <c r="C2704" s="16" t="s">
        <v>969</v>
      </c>
      <c r="D2704" s="16" t="s">
        <v>707</v>
      </c>
      <c r="E2704" s="16">
        <v>2013.0</v>
      </c>
      <c r="F2704" s="16">
        <v>52.63</v>
      </c>
      <c r="G2704" s="16">
        <v>13.7562</v>
      </c>
      <c r="H2704" s="15"/>
      <c r="I2704" s="15"/>
    </row>
    <row r="2705">
      <c r="A2705" s="18">
        <v>45665.0</v>
      </c>
      <c r="B2705" s="16" t="s">
        <v>3537</v>
      </c>
      <c r="C2705" s="16" t="s">
        <v>1080</v>
      </c>
      <c r="D2705" s="16" t="s">
        <v>707</v>
      </c>
      <c r="E2705" s="16">
        <v>2013.0</v>
      </c>
      <c r="F2705" s="16">
        <v>51.449</v>
      </c>
      <c r="G2705" s="16">
        <v>12.1908</v>
      </c>
      <c r="H2705" s="15"/>
      <c r="I2705" s="15"/>
    </row>
    <row r="2706">
      <c r="A2706" s="18">
        <v>45665.0</v>
      </c>
      <c r="B2706" s="16" t="s">
        <v>3538</v>
      </c>
      <c r="C2706" s="16" t="s">
        <v>982</v>
      </c>
      <c r="D2706" s="16" t="s">
        <v>707</v>
      </c>
      <c r="E2706" s="16">
        <v>2013.0</v>
      </c>
      <c r="F2706" s="16">
        <v>51.461</v>
      </c>
      <c r="G2706" s="16">
        <v>12.251</v>
      </c>
      <c r="H2706" s="15"/>
      <c r="I2706" s="15"/>
    </row>
    <row r="2707">
      <c r="A2707" s="18">
        <v>45665.0</v>
      </c>
      <c r="B2707" s="16" t="s">
        <v>3539</v>
      </c>
      <c r="C2707" s="16" t="s">
        <v>1277</v>
      </c>
      <c r="D2707" s="16" t="s">
        <v>707</v>
      </c>
      <c r="E2707" s="16">
        <v>2013.0</v>
      </c>
      <c r="F2707" s="16">
        <v>49.7026</v>
      </c>
      <c r="G2707" s="16">
        <v>8.0689</v>
      </c>
      <c r="H2707" s="15"/>
      <c r="I2707" s="15"/>
    </row>
    <row r="2708">
      <c r="A2708" s="18">
        <v>45665.0</v>
      </c>
      <c r="B2708" s="16" t="s">
        <v>3540</v>
      </c>
      <c r="C2708" s="16" t="s">
        <v>982</v>
      </c>
      <c r="D2708" s="16" t="s">
        <v>707</v>
      </c>
      <c r="E2708" s="16">
        <v>2013.0</v>
      </c>
      <c r="F2708" s="16">
        <v>52.664</v>
      </c>
      <c r="G2708" s="16">
        <v>11.372</v>
      </c>
      <c r="H2708" s="15"/>
      <c r="I2708" s="15"/>
    </row>
    <row r="2709">
      <c r="A2709" s="18">
        <v>45665.0</v>
      </c>
      <c r="B2709" s="16" t="s">
        <v>3541</v>
      </c>
      <c r="C2709" s="16" t="s">
        <v>1059</v>
      </c>
      <c r="D2709" s="16" t="s">
        <v>707</v>
      </c>
      <c r="E2709" s="16">
        <v>2013.0</v>
      </c>
      <c r="F2709" s="16">
        <v>50.3307</v>
      </c>
      <c r="G2709" s="16">
        <v>11.8729</v>
      </c>
      <c r="H2709" s="15"/>
      <c r="I2709" s="15"/>
    </row>
    <row r="2710">
      <c r="A2710" s="18">
        <v>45665.0</v>
      </c>
      <c r="B2710" s="16" t="s">
        <v>3542</v>
      </c>
      <c r="C2710" s="16" t="s">
        <v>1055</v>
      </c>
      <c r="D2710" s="16" t="s">
        <v>707</v>
      </c>
      <c r="E2710" s="16">
        <v>2013.0</v>
      </c>
      <c r="F2710" s="16">
        <v>50.326</v>
      </c>
      <c r="G2710" s="16">
        <v>11.798</v>
      </c>
      <c r="H2710" s="15"/>
      <c r="I2710" s="15"/>
    </row>
    <row r="2711">
      <c r="A2711" s="18">
        <v>45665.0</v>
      </c>
      <c r="B2711" s="16" t="s">
        <v>3543</v>
      </c>
      <c r="C2711" s="16" t="s">
        <v>1085</v>
      </c>
      <c r="D2711" s="16" t="s">
        <v>707</v>
      </c>
      <c r="E2711" s="16">
        <v>2013.0</v>
      </c>
      <c r="F2711" s="16">
        <v>50.1997</v>
      </c>
      <c r="G2711" s="16">
        <v>11.8798</v>
      </c>
      <c r="H2711" s="15"/>
      <c r="I2711" s="15"/>
    </row>
    <row r="2712">
      <c r="A2712" s="18">
        <v>45665.0</v>
      </c>
      <c r="B2712" s="16" t="s">
        <v>3544</v>
      </c>
      <c r="C2712" s="16" t="s">
        <v>969</v>
      </c>
      <c r="D2712" s="16" t="s">
        <v>707</v>
      </c>
      <c r="E2712" s="16">
        <v>2013.0</v>
      </c>
      <c r="F2712" s="16">
        <v>50.2898</v>
      </c>
      <c r="G2712" s="16">
        <v>11.8105</v>
      </c>
      <c r="H2712" s="15"/>
      <c r="I2712" s="15"/>
    </row>
    <row r="2713">
      <c r="A2713" s="18">
        <v>45665.0</v>
      </c>
      <c r="B2713" s="16" t="s">
        <v>3545</v>
      </c>
      <c r="C2713" s="16" t="s">
        <v>942</v>
      </c>
      <c r="D2713" s="16" t="s">
        <v>707</v>
      </c>
      <c r="E2713" s="16">
        <v>2013.0</v>
      </c>
      <c r="F2713" s="16">
        <v>49.4376</v>
      </c>
      <c r="G2713" s="16">
        <v>7.668</v>
      </c>
      <c r="H2713" s="15"/>
      <c r="I2713" s="15"/>
    </row>
    <row r="2714">
      <c r="A2714" s="18">
        <v>45665.0</v>
      </c>
      <c r="B2714" s="16" t="s">
        <v>3546</v>
      </c>
      <c r="C2714" s="16" t="s">
        <v>1101</v>
      </c>
      <c r="D2714" s="16" t="s">
        <v>707</v>
      </c>
      <c r="E2714" s="16">
        <v>2013.0</v>
      </c>
      <c r="F2714" s="16">
        <v>49.4676</v>
      </c>
      <c r="G2714" s="16">
        <v>12.1956</v>
      </c>
      <c r="H2714" s="15"/>
      <c r="I2714" s="15"/>
    </row>
    <row r="2715">
      <c r="A2715" s="18">
        <v>45665.0</v>
      </c>
      <c r="B2715" s="16" t="s">
        <v>3547</v>
      </c>
      <c r="C2715" s="16" t="s">
        <v>961</v>
      </c>
      <c r="D2715" s="16" t="s">
        <v>707</v>
      </c>
      <c r="E2715" s="16">
        <v>2013.0</v>
      </c>
      <c r="F2715" s="16">
        <v>53.9108</v>
      </c>
      <c r="G2715" s="16">
        <v>12.8369</v>
      </c>
      <c r="H2715" s="15"/>
      <c r="I2715" s="15"/>
    </row>
    <row r="2716">
      <c r="A2716" s="18">
        <v>45665.0</v>
      </c>
      <c r="B2716" s="16" t="s">
        <v>3548</v>
      </c>
      <c r="C2716" s="16">
        <v>2.0</v>
      </c>
      <c r="D2716" s="16" t="s">
        <v>707</v>
      </c>
      <c r="E2716" s="16">
        <v>2013.0</v>
      </c>
      <c r="F2716" s="16">
        <v>51.448</v>
      </c>
      <c r="G2716" s="16">
        <v>11.5532</v>
      </c>
      <c r="H2716" s="15"/>
      <c r="I2716" s="15"/>
    </row>
    <row r="2717">
      <c r="A2717" s="18">
        <v>45665.0</v>
      </c>
      <c r="B2717" s="16" t="s">
        <v>3549</v>
      </c>
      <c r="C2717" s="16" t="s">
        <v>961</v>
      </c>
      <c r="D2717" s="16" t="s">
        <v>707</v>
      </c>
      <c r="E2717" s="16">
        <v>2013.0</v>
      </c>
      <c r="F2717" s="16">
        <v>51.7773</v>
      </c>
      <c r="G2717" s="16">
        <v>11.1335</v>
      </c>
      <c r="H2717" s="15"/>
      <c r="I2717" s="15"/>
    </row>
    <row r="2718">
      <c r="A2718" s="18">
        <v>45665.0</v>
      </c>
      <c r="B2718" s="16" t="s">
        <v>3550</v>
      </c>
      <c r="C2718" s="16" t="s">
        <v>942</v>
      </c>
      <c r="D2718" s="16" t="s">
        <v>707</v>
      </c>
      <c r="E2718" s="16">
        <v>2013.0</v>
      </c>
      <c r="F2718" s="16">
        <v>50.4095</v>
      </c>
      <c r="G2718" s="16">
        <v>7.4495</v>
      </c>
      <c r="H2718" s="15"/>
      <c r="I2718" s="15"/>
    </row>
    <row r="2719">
      <c r="A2719" s="18">
        <v>45665.0</v>
      </c>
      <c r="B2719" s="16" t="s">
        <v>3551</v>
      </c>
      <c r="C2719" s="16">
        <v>2.0</v>
      </c>
      <c r="D2719" s="16" t="s">
        <v>707</v>
      </c>
      <c r="E2719" s="16">
        <v>2013.0</v>
      </c>
      <c r="F2719" s="16">
        <v>51.2906</v>
      </c>
      <c r="G2719" s="16">
        <v>12.2003</v>
      </c>
      <c r="H2719" s="15"/>
      <c r="I2719" s="15"/>
    </row>
    <row r="2720">
      <c r="A2720" s="18">
        <v>45665.0</v>
      </c>
      <c r="B2720" s="16" t="s">
        <v>3552</v>
      </c>
      <c r="C2720" s="16" t="s">
        <v>1055</v>
      </c>
      <c r="D2720" s="16" t="s">
        <v>707</v>
      </c>
      <c r="E2720" s="16">
        <v>2013.0</v>
      </c>
      <c r="F2720" s="16">
        <v>51.9074</v>
      </c>
      <c r="G2720" s="16">
        <v>12.2839</v>
      </c>
      <c r="H2720" s="15"/>
      <c r="I2720" s="15"/>
    </row>
    <row r="2721">
      <c r="A2721" s="18">
        <v>45665.0</v>
      </c>
      <c r="B2721" s="16" t="s">
        <v>3553</v>
      </c>
      <c r="C2721" s="16" t="s">
        <v>1059</v>
      </c>
      <c r="D2721" s="16" t="s">
        <v>707</v>
      </c>
      <c r="E2721" s="16">
        <v>2013.0</v>
      </c>
      <c r="F2721" s="16">
        <v>52.2827</v>
      </c>
      <c r="G2721" s="16">
        <v>11.959</v>
      </c>
      <c r="H2721" s="15"/>
      <c r="I2721" s="15"/>
    </row>
    <row r="2722">
      <c r="A2722" s="18">
        <v>45665.0</v>
      </c>
      <c r="B2722" s="16" t="s">
        <v>3554</v>
      </c>
      <c r="C2722" s="16">
        <v>1.0</v>
      </c>
      <c r="D2722" s="16" t="s">
        <v>707</v>
      </c>
      <c r="E2722" s="16">
        <v>2013.0</v>
      </c>
      <c r="F2722" s="16">
        <v>52.212</v>
      </c>
      <c r="G2722" s="16">
        <v>14.2202</v>
      </c>
      <c r="H2722" s="15"/>
      <c r="I2722" s="15"/>
    </row>
    <row r="2723">
      <c r="A2723" s="18">
        <v>45665.0</v>
      </c>
      <c r="B2723" s="16" t="s">
        <v>3555</v>
      </c>
      <c r="C2723" s="16" t="s">
        <v>951</v>
      </c>
      <c r="D2723" s="16" t="s">
        <v>707</v>
      </c>
      <c r="E2723" s="16">
        <v>2013.0</v>
      </c>
      <c r="F2723" s="16">
        <v>50.9741</v>
      </c>
      <c r="G2723" s="16">
        <v>13.7338</v>
      </c>
      <c r="H2723" s="15"/>
      <c r="I2723" s="15"/>
    </row>
    <row r="2724">
      <c r="A2724" s="18">
        <v>45665.0</v>
      </c>
      <c r="B2724" s="16" t="s">
        <v>3556</v>
      </c>
      <c r="C2724" s="16" t="s">
        <v>942</v>
      </c>
      <c r="D2724" s="16" t="s">
        <v>707</v>
      </c>
      <c r="E2724" s="16">
        <v>2013.0</v>
      </c>
      <c r="F2724" s="16">
        <v>53.9215</v>
      </c>
      <c r="G2724" s="16">
        <v>9.2566</v>
      </c>
      <c r="H2724" s="15"/>
      <c r="I2724" s="15"/>
    </row>
    <row r="2725">
      <c r="A2725" s="18">
        <v>45665.0</v>
      </c>
      <c r="B2725" s="16" t="s">
        <v>3557</v>
      </c>
      <c r="C2725" s="16" t="s">
        <v>1172</v>
      </c>
      <c r="D2725" s="16" t="s">
        <v>707</v>
      </c>
      <c r="E2725" s="16">
        <v>2013.0</v>
      </c>
      <c r="F2725" s="16">
        <v>54.0333</v>
      </c>
      <c r="G2725" s="16">
        <v>9.6071</v>
      </c>
      <c r="H2725" s="15"/>
      <c r="I2725" s="15"/>
    </row>
    <row r="2726">
      <c r="A2726" s="18">
        <v>45665.0</v>
      </c>
      <c r="B2726" s="16" t="s">
        <v>3558</v>
      </c>
      <c r="C2726" s="16" t="s">
        <v>1172</v>
      </c>
      <c r="D2726" s="16" t="s">
        <v>707</v>
      </c>
      <c r="E2726" s="16">
        <v>2013.0</v>
      </c>
      <c r="F2726" s="16">
        <v>51.452</v>
      </c>
      <c r="G2726" s="16">
        <v>11.6706</v>
      </c>
      <c r="H2726" s="15"/>
      <c r="I2726" s="15"/>
    </row>
    <row r="2727">
      <c r="A2727" s="18">
        <v>45665.0</v>
      </c>
      <c r="B2727" s="16" t="s">
        <v>3559</v>
      </c>
      <c r="C2727" s="16" t="s">
        <v>1055</v>
      </c>
      <c r="D2727" s="16" t="s">
        <v>707</v>
      </c>
      <c r="E2727" s="16">
        <v>2013.0</v>
      </c>
      <c r="F2727" s="16">
        <v>51.29</v>
      </c>
      <c r="G2727" s="16">
        <v>8.2601</v>
      </c>
      <c r="H2727" s="15"/>
      <c r="I2727" s="15"/>
    </row>
    <row r="2728">
      <c r="A2728" s="18">
        <v>45665.0</v>
      </c>
      <c r="B2728" s="16" t="s">
        <v>3560</v>
      </c>
      <c r="C2728" s="16" t="s">
        <v>969</v>
      </c>
      <c r="D2728" s="16" t="s">
        <v>707</v>
      </c>
      <c r="E2728" s="16">
        <v>2013.0</v>
      </c>
      <c r="F2728" s="16">
        <v>48.6299</v>
      </c>
      <c r="G2728" s="16">
        <v>10.1978</v>
      </c>
      <c r="H2728" s="15"/>
      <c r="I2728" s="15"/>
    </row>
    <row r="2729">
      <c r="A2729" s="18">
        <v>45665.0</v>
      </c>
      <c r="B2729" s="16" t="s">
        <v>3561</v>
      </c>
      <c r="C2729" s="16" t="s">
        <v>942</v>
      </c>
      <c r="D2729" s="16" t="s">
        <v>707</v>
      </c>
      <c r="E2729" s="16">
        <v>2013.0</v>
      </c>
      <c r="F2729" s="16">
        <v>51.8207</v>
      </c>
      <c r="G2729" s="16">
        <v>11.2134</v>
      </c>
      <c r="H2729" s="15"/>
      <c r="I2729" s="15"/>
    </row>
    <row r="2730">
      <c r="A2730" s="18">
        <v>45665.0</v>
      </c>
      <c r="B2730" s="16" t="s">
        <v>3562</v>
      </c>
      <c r="C2730" s="16" t="s">
        <v>959</v>
      </c>
      <c r="D2730" s="16" t="s">
        <v>707</v>
      </c>
      <c r="E2730" s="16">
        <v>2013.0</v>
      </c>
      <c r="F2730" s="16">
        <v>48.0019</v>
      </c>
      <c r="G2730" s="16">
        <v>10.2273</v>
      </c>
      <c r="H2730" s="15"/>
      <c r="I2730" s="15"/>
    </row>
    <row r="2731">
      <c r="A2731" s="18">
        <v>45665.0</v>
      </c>
      <c r="B2731" s="16" t="s">
        <v>3563</v>
      </c>
      <c r="C2731" s="16" t="s">
        <v>1147</v>
      </c>
      <c r="D2731" s="16" t="s">
        <v>707</v>
      </c>
      <c r="E2731" s="16">
        <v>2013.0</v>
      </c>
      <c r="F2731" s="16">
        <v>53.4863</v>
      </c>
      <c r="G2731" s="16">
        <v>8.4552</v>
      </c>
      <c r="H2731" s="15"/>
      <c r="I2731" s="15"/>
    </row>
    <row r="2732">
      <c r="A2732" s="18">
        <v>45665.0</v>
      </c>
      <c r="B2732" s="16" t="s">
        <v>3564</v>
      </c>
      <c r="C2732" s="16" t="s">
        <v>1267</v>
      </c>
      <c r="D2732" s="16" t="s">
        <v>707</v>
      </c>
      <c r="E2732" s="16">
        <v>2013.0</v>
      </c>
      <c r="F2732" s="16">
        <v>52.113</v>
      </c>
      <c r="G2732" s="16">
        <v>8.511</v>
      </c>
      <c r="H2732" s="15"/>
      <c r="I2732" s="15"/>
    </row>
    <row r="2733">
      <c r="A2733" s="18">
        <v>45665.0</v>
      </c>
      <c r="B2733" s="16" t="s">
        <v>3565</v>
      </c>
      <c r="C2733" s="16">
        <v>1.0</v>
      </c>
      <c r="D2733" s="16" t="s">
        <v>707</v>
      </c>
      <c r="E2733" s="16">
        <v>2013.0</v>
      </c>
      <c r="F2733" s="16">
        <v>51.4455</v>
      </c>
      <c r="G2733" s="16">
        <v>7.3269</v>
      </c>
      <c r="H2733" s="15"/>
      <c r="I2733" s="15"/>
    </row>
    <row r="2734">
      <c r="A2734" s="18">
        <v>45665.0</v>
      </c>
      <c r="B2734" s="16" t="s">
        <v>3566</v>
      </c>
      <c r="C2734" s="16">
        <v>1.0</v>
      </c>
      <c r="D2734" s="16" t="s">
        <v>707</v>
      </c>
      <c r="E2734" s="16">
        <v>2013.0</v>
      </c>
      <c r="F2734" s="16">
        <v>51.8557</v>
      </c>
      <c r="G2734" s="16">
        <v>10.8016</v>
      </c>
      <c r="H2734" s="15"/>
      <c r="I2734" s="15"/>
    </row>
    <row r="2735">
      <c r="A2735" s="18">
        <v>45665.0</v>
      </c>
      <c r="B2735" s="16" t="s">
        <v>3567</v>
      </c>
      <c r="C2735" s="16" t="s">
        <v>1609</v>
      </c>
      <c r="D2735" s="16" t="s">
        <v>707</v>
      </c>
      <c r="E2735" s="16">
        <v>2013.0</v>
      </c>
      <c r="F2735" s="16">
        <v>49.9316</v>
      </c>
      <c r="G2735" s="16">
        <v>10.3281</v>
      </c>
      <c r="H2735" s="15"/>
      <c r="I2735" s="15"/>
    </row>
    <row r="2736">
      <c r="A2736" s="18">
        <v>45665.0</v>
      </c>
      <c r="B2736" s="16" t="s">
        <v>3568</v>
      </c>
      <c r="C2736" s="16" t="s">
        <v>1085</v>
      </c>
      <c r="D2736" s="16" t="s">
        <v>707</v>
      </c>
      <c r="E2736" s="16">
        <v>2013.0</v>
      </c>
      <c r="F2736" s="16">
        <v>51.7151</v>
      </c>
      <c r="G2736" s="16">
        <v>11.6628</v>
      </c>
      <c r="H2736" s="15"/>
      <c r="I2736" s="15"/>
    </row>
    <row r="2737">
      <c r="A2737" s="18">
        <v>45665.0</v>
      </c>
      <c r="B2737" s="16" t="s">
        <v>3569</v>
      </c>
      <c r="C2737" s="16" t="s">
        <v>948</v>
      </c>
      <c r="D2737" s="16" t="s">
        <v>707</v>
      </c>
      <c r="E2737" s="16">
        <v>2013.0</v>
      </c>
      <c r="F2737" s="16">
        <v>51.6072</v>
      </c>
      <c r="G2737" s="16">
        <v>11.6223</v>
      </c>
      <c r="H2737" s="15"/>
      <c r="I2737" s="15"/>
    </row>
    <row r="2738">
      <c r="A2738" s="18">
        <v>45665.0</v>
      </c>
      <c r="B2738" s="16" t="s">
        <v>3570</v>
      </c>
      <c r="C2738" s="16" t="s">
        <v>1085</v>
      </c>
      <c r="D2738" s="16" t="s">
        <v>707</v>
      </c>
      <c r="E2738" s="16">
        <v>2013.0</v>
      </c>
      <c r="F2738" s="16">
        <v>50.5988</v>
      </c>
      <c r="G2738" s="16">
        <v>8.6279</v>
      </c>
      <c r="H2738" s="15"/>
      <c r="I2738" s="15"/>
    </row>
    <row r="2739">
      <c r="A2739" s="18">
        <v>45665.0</v>
      </c>
      <c r="B2739" s="16" t="s">
        <v>3571</v>
      </c>
      <c r="C2739" s="16" t="s">
        <v>1267</v>
      </c>
      <c r="D2739" s="16" t="s">
        <v>707</v>
      </c>
      <c r="E2739" s="16">
        <v>2013.0</v>
      </c>
      <c r="F2739" s="16">
        <v>53.9031</v>
      </c>
      <c r="G2739" s="16">
        <v>11.5235</v>
      </c>
      <c r="H2739" s="15"/>
      <c r="I2739" s="15"/>
    </row>
    <row r="2740">
      <c r="A2740" s="18">
        <v>45665.0</v>
      </c>
      <c r="B2740" s="16" t="s">
        <v>3572</v>
      </c>
      <c r="C2740" s="16" t="s">
        <v>978</v>
      </c>
      <c r="D2740" s="16" t="s">
        <v>707</v>
      </c>
      <c r="E2740" s="16">
        <v>2013.0</v>
      </c>
      <c r="F2740" s="16">
        <v>53.6412</v>
      </c>
      <c r="G2740" s="16">
        <v>12.2776</v>
      </c>
      <c r="H2740" s="15"/>
      <c r="I2740" s="15"/>
    </row>
    <row r="2741">
      <c r="A2741" s="18">
        <v>45665.0</v>
      </c>
      <c r="B2741" s="16" t="s">
        <v>3573</v>
      </c>
      <c r="C2741" s="16" t="s">
        <v>978</v>
      </c>
      <c r="D2741" s="16" t="s">
        <v>3574</v>
      </c>
      <c r="E2741" s="16">
        <v>2013.0</v>
      </c>
      <c r="F2741" s="16">
        <v>53.6384</v>
      </c>
      <c r="G2741" s="16">
        <v>12.2789</v>
      </c>
      <c r="H2741" s="15"/>
      <c r="I2741" s="15"/>
    </row>
    <row r="2742">
      <c r="A2742" s="18">
        <v>45665.0</v>
      </c>
      <c r="B2742" s="16" t="s">
        <v>3575</v>
      </c>
      <c r="C2742" s="16">
        <v>5.0</v>
      </c>
      <c r="D2742" s="16" t="s">
        <v>707</v>
      </c>
      <c r="E2742" s="16">
        <v>2013.0</v>
      </c>
      <c r="F2742" s="16">
        <v>49.1919</v>
      </c>
      <c r="G2742" s="16">
        <v>10.6883</v>
      </c>
      <c r="H2742" s="15"/>
      <c r="I2742" s="15"/>
    </row>
    <row r="2743">
      <c r="A2743" s="18">
        <v>45665.0</v>
      </c>
      <c r="B2743" s="16" t="s">
        <v>3576</v>
      </c>
      <c r="C2743" s="16" t="s">
        <v>1055</v>
      </c>
      <c r="D2743" s="16" t="s">
        <v>707</v>
      </c>
      <c r="E2743" s="16">
        <v>2013.0</v>
      </c>
      <c r="F2743" s="16">
        <v>50.9092</v>
      </c>
      <c r="G2743" s="16">
        <v>9.5783</v>
      </c>
      <c r="H2743" s="15"/>
      <c r="I2743" s="15"/>
    </row>
    <row r="2744">
      <c r="A2744" s="18">
        <v>45665.0</v>
      </c>
      <c r="B2744" s="16" t="s">
        <v>3577</v>
      </c>
      <c r="C2744" s="16" t="s">
        <v>1055</v>
      </c>
      <c r="D2744" s="16" t="s">
        <v>707</v>
      </c>
      <c r="E2744" s="16">
        <v>2013.0</v>
      </c>
      <c r="F2744" s="16">
        <v>51.4568</v>
      </c>
      <c r="G2744" s="16">
        <v>13.8892</v>
      </c>
      <c r="H2744" s="15"/>
      <c r="I2744" s="15"/>
    </row>
    <row r="2745">
      <c r="A2745" s="18">
        <v>45665.0</v>
      </c>
      <c r="B2745" s="16" t="s">
        <v>3578</v>
      </c>
      <c r="C2745" s="16" t="s">
        <v>1004</v>
      </c>
      <c r="D2745" s="16" t="s">
        <v>707</v>
      </c>
      <c r="E2745" s="16">
        <v>2013.0</v>
      </c>
      <c r="F2745" s="16">
        <v>50.5896</v>
      </c>
      <c r="G2745" s="16">
        <v>7.9231</v>
      </c>
      <c r="H2745" s="15"/>
      <c r="I2745" s="15"/>
    </row>
    <row r="2746">
      <c r="A2746" s="18">
        <v>45665.0</v>
      </c>
      <c r="B2746" s="16" t="s">
        <v>3579</v>
      </c>
      <c r="C2746" s="16" t="s">
        <v>1099</v>
      </c>
      <c r="D2746" s="16" t="s">
        <v>707</v>
      </c>
      <c r="E2746" s="16">
        <v>2013.0</v>
      </c>
      <c r="F2746" s="16">
        <v>51.5106</v>
      </c>
      <c r="G2746" s="16">
        <v>14.3256</v>
      </c>
      <c r="H2746" s="15"/>
      <c r="I2746" s="15"/>
    </row>
    <row r="2747">
      <c r="A2747" s="18">
        <v>45665.0</v>
      </c>
      <c r="B2747" s="16" t="s">
        <v>3580</v>
      </c>
      <c r="C2747" s="16" t="s">
        <v>1310</v>
      </c>
      <c r="D2747" s="16" t="s">
        <v>707</v>
      </c>
      <c r="E2747" s="16">
        <v>2013.0</v>
      </c>
      <c r="F2747" s="16">
        <v>48.82</v>
      </c>
      <c r="G2747" s="16">
        <v>12.1678</v>
      </c>
      <c r="H2747" s="15"/>
      <c r="I2747" s="15"/>
    </row>
    <row r="2748">
      <c r="A2748" s="18">
        <v>45665.0</v>
      </c>
      <c r="B2748" s="16" t="s">
        <v>3581</v>
      </c>
      <c r="C2748" s="16" t="s">
        <v>1046</v>
      </c>
      <c r="D2748" s="16" t="s">
        <v>707</v>
      </c>
      <c r="E2748" s="16">
        <v>2013.0</v>
      </c>
      <c r="F2748" s="16">
        <v>48.8242</v>
      </c>
      <c r="G2748" s="16">
        <v>12.1686</v>
      </c>
      <c r="H2748" s="15"/>
      <c r="I2748" s="15"/>
    </row>
    <row r="2749">
      <c r="A2749" s="18">
        <v>45665.0</v>
      </c>
      <c r="B2749" s="16" t="s">
        <v>3582</v>
      </c>
      <c r="C2749" s="16" t="s">
        <v>942</v>
      </c>
      <c r="D2749" s="16" t="s">
        <v>707</v>
      </c>
      <c r="E2749" s="16">
        <v>2013.0</v>
      </c>
      <c r="F2749" s="16">
        <v>51.7176</v>
      </c>
      <c r="G2749" s="16">
        <v>12.4048</v>
      </c>
      <c r="H2749" s="15"/>
      <c r="I2749" s="15"/>
    </row>
    <row r="2750">
      <c r="A2750" s="18">
        <v>45665.0</v>
      </c>
      <c r="B2750" s="16" t="s">
        <v>3583</v>
      </c>
      <c r="C2750" s="16">
        <v>5.0</v>
      </c>
      <c r="D2750" s="16" t="s">
        <v>707</v>
      </c>
      <c r="E2750" s="16">
        <v>2013.0</v>
      </c>
      <c r="F2750" s="16">
        <v>51.5382</v>
      </c>
      <c r="G2750" s="16">
        <v>11.9452</v>
      </c>
      <c r="H2750" s="15"/>
      <c r="I2750" s="15"/>
    </row>
    <row r="2751">
      <c r="A2751" s="18">
        <v>45665.0</v>
      </c>
      <c r="B2751" s="16" t="s">
        <v>3584</v>
      </c>
      <c r="C2751" s="16" t="s">
        <v>1090</v>
      </c>
      <c r="D2751" s="16" t="s">
        <v>707</v>
      </c>
      <c r="E2751" s="16">
        <v>2013.0</v>
      </c>
      <c r="F2751" s="16">
        <v>53.1502</v>
      </c>
      <c r="G2751" s="16">
        <v>12.3958</v>
      </c>
      <c r="H2751" s="15"/>
      <c r="I2751" s="15"/>
    </row>
    <row r="2752">
      <c r="A2752" s="18">
        <v>45665.0</v>
      </c>
      <c r="B2752" s="16" t="s">
        <v>3585</v>
      </c>
      <c r="C2752" s="16" t="s">
        <v>1101</v>
      </c>
      <c r="D2752" s="16" t="s">
        <v>707</v>
      </c>
      <c r="E2752" s="16">
        <v>2013.0</v>
      </c>
      <c r="F2752" s="16">
        <v>52.1798</v>
      </c>
      <c r="G2752" s="16">
        <v>11.7396</v>
      </c>
      <c r="H2752" s="15"/>
      <c r="I2752" s="15"/>
    </row>
    <row r="2753">
      <c r="A2753" s="18">
        <v>45665.0</v>
      </c>
      <c r="B2753" s="16" t="s">
        <v>3586</v>
      </c>
      <c r="C2753" s="16" t="s">
        <v>978</v>
      </c>
      <c r="D2753" s="16" t="s">
        <v>707</v>
      </c>
      <c r="E2753" s="16">
        <v>2013.0</v>
      </c>
      <c r="F2753" s="16">
        <v>49.5556</v>
      </c>
      <c r="G2753" s="16">
        <v>7.13</v>
      </c>
      <c r="H2753" s="15"/>
      <c r="I2753" s="15"/>
    </row>
    <row r="2754">
      <c r="A2754" s="18">
        <v>45665.0</v>
      </c>
      <c r="B2754" s="16" t="s">
        <v>3587</v>
      </c>
      <c r="C2754" s="16">
        <v>1.0</v>
      </c>
      <c r="D2754" s="16" t="s">
        <v>707</v>
      </c>
      <c r="E2754" s="16">
        <v>2013.0</v>
      </c>
      <c r="F2754" s="16">
        <v>53.9251</v>
      </c>
      <c r="G2754" s="16">
        <v>11.6796</v>
      </c>
      <c r="H2754" s="15"/>
      <c r="I2754" s="15"/>
    </row>
    <row r="2755">
      <c r="A2755" s="18">
        <v>45665.0</v>
      </c>
      <c r="B2755" s="16" t="s">
        <v>3588</v>
      </c>
      <c r="C2755" s="16" t="s">
        <v>1436</v>
      </c>
      <c r="D2755" s="16" t="s">
        <v>707</v>
      </c>
      <c r="E2755" s="16">
        <v>2013.0</v>
      </c>
      <c r="F2755" s="16">
        <v>50.5156</v>
      </c>
      <c r="G2755" s="16">
        <v>7.6995</v>
      </c>
      <c r="H2755" s="15"/>
      <c r="I2755" s="15"/>
    </row>
    <row r="2756">
      <c r="A2756" s="18">
        <v>45665.0</v>
      </c>
      <c r="B2756" s="16" t="s">
        <v>3589</v>
      </c>
      <c r="C2756" s="16" t="s">
        <v>984</v>
      </c>
      <c r="D2756" s="16" t="s">
        <v>707</v>
      </c>
      <c r="E2756" s="16">
        <v>2013.0</v>
      </c>
      <c r="F2756" s="16">
        <v>49.7339</v>
      </c>
      <c r="G2756" s="16">
        <v>6.514</v>
      </c>
      <c r="H2756" s="15"/>
      <c r="I2756" s="15"/>
    </row>
    <row r="2757">
      <c r="A2757" s="18">
        <v>45665.0</v>
      </c>
      <c r="B2757" s="16" t="s">
        <v>3590</v>
      </c>
      <c r="C2757" s="16" t="s">
        <v>1310</v>
      </c>
      <c r="D2757" s="16" t="s">
        <v>707</v>
      </c>
      <c r="E2757" s="16">
        <v>2013.0</v>
      </c>
      <c r="F2757" s="16">
        <v>49.3227</v>
      </c>
      <c r="G2757" s="16">
        <v>6.8749</v>
      </c>
      <c r="H2757" s="15"/>
      <c r="I2757" s="15"/>
    </row>
    <row r="2758">
      <c r="A2758" s="18">
        <v>45665.0</v>
      </c>
      <c r="B2758" s="16" t="s">
        <v>3591</v>
      </c>
      <c r="C2758" s="16" t="s">
        <v>1007</v>
      </c>
      <c r="D2758" s="16" t="s">
        <v>707</v>
      </c>
      <c r="E2758" s="16">
        <v>2013.0</v>
      </c>
      <c r="F2758" s="16">
        <v>47.9803</v>
      </c>
      <c r="G2758" s="16">
        <v>9.1135</v>
      </c>
      <c r="H2758" s="15"/>
      <c r="I2758" s="15"/>
    </row>
    <row r="2759">
      <c r="A2759" s="18">
        <v>45665.0</v>
      </c>
      <c r="B2759" s="16" t="s">
        <v>3592</v>
      </c>
      <c r="C2759" s="16" t="s">
        <v>1037</v>
      </c>
      <c r="D2759" s="16" t="s">
        <v>707</v>
      </c>
      <c r="E2759" s="16">
        <v>2013.0</v>
      </c>
      <c r="F2759" s="16">
        <v>51.3889</v>
      </c>
      <c r="G2759" s="16">
        <v>10.8499</v>
      </c>
      <c r="H2759" s="15"/>
      <c r="I2759" s="15"/>
    </row>
    <row r="2760">
      <c r="A2760" s="18">
        <v>45665.0</v>
      </c>
      <c r="B2760" s="16" t="s">
        <v>3593</v>
      </c>
      <c r="C2760" s="16" t="s">
        <v>1475</v>
      </c>
      <c r="D2760" s="16" t="s">
        <v>707</v>
      </c>
      <c r="E2760" s="16">
        <v>2013.0</v>
      </c>
      <c r="F2760" s="16">
        <v>48.8324</v>
      </c>
      <c r="G2760" s="16">
        <v>11.2335</v>
      </c>
      <c r="H2760" s="15"/>
      <c r="I2760" s="15"/>
    </row>
    <row r="2761">
      <c r="A2761" s="18">
        <v>45665.0</v>
      </c>
      <c r="B2761" s="16" t="s">
        <v>3594</v>
      </c>
      <c r="C2761" s="16" t="s">
        <v>984</v>
      </c>
      <c r="D2761" s="16" t="s">
        <v>707</v>
      </c>
      <c r="E2761" s="16">
        <v>2013.0</v>
      </c>
      <c r="F2761" s="16">
        <v>48.8323</v>
      </c>
      <c r="G2761" s="16">
        <v>11.2398</v>
      </c>
      <c r="H2761" s="15"/>
      <c r="I2761" s="15"/>
    </row>
    <row r="2762">
      <c r="A2762" s="18">
        <v>45665.0</v>
      </c>
      <c r="B2762" s="16" t="s">
        <v>3595</v>
      </c>
      <c r="C2762" s="16">
        <v>1.0</v>
      </c>
      <c r="D2762" s="16" t="s">
        <v>707</v>
      </c>
      <c r="E2762" s="16">
        <v>2013.0</v>
      </c>
      <c r="F2762" s="16">
        <v>48.8318</v>
      </c>
      <c r="G2762" s="16">
        <v>11.2429</v>
      </c>
      <c r="H2762" s="15"/>
      <c r="I2762" s="15"/>
    </row>
    <row r="2763">
      <c r="A2763" s="18">
        <v>45665.0</v>
      </c>
      <c r="B2763" s="16" t="s">
        <v>3596</v>
      </c>
      <c r="C2763" s="16" t="s">
        <v>959</v>
      </c>
      <c r="D2763" s="16" t="s">
        <v>707</v>
      </c>
      <c r="E2763" s="16">
        <v>2013.0</v>
      </c>
      <c r="F2763" s="16">
        <v>54.2509</v>
      </c>
      <c r="G2763" s="16">
        <v>12.5055</v>
      </c>
      <c r="H2763" s="15"/>
      <c r="I2763" s="15"/>
    </row>
    <row r="2764">
      <c r="A2764" s="18">
        <v>45665.0</v>
      </c>
      <c r="B2764" s="16" t="s">
        <v>3597</v>
      </c>
      <c r="C2764" s="16" t="s">
        <v>959</v>
      </c>
      <c r="D2764" s="16" t="s">
        <v>707</v>
      </c>
      <c r="E2764" s="16">
        <v>2013.0</v>
      </c>
      <c r="F2764" s="16">
        <v>53.2654</v>
      </c>
      <c r="G2764" s="16">
        <v>12.8192</v>
      </c>
      <c r="H2764" s="15"/>
      <c r="I2764" s="15"/>
    </row>
    <row r="2765">
      <c r="A2765" s="18">
        <v>45665.0</v>
      </c>
      <c r="B2765" s="16" t="s">
        <v>3598</v>
      </c>
      <c r="C2765" s="16" t="s">
        <v>971</v>
      </c>
      <c r="D2765" s="16" t="s">
        <v>707</v>
      </c>
      <c r="E2765" s="16">
        <v>2013.0</v>
      </c>
      <c r="F2765" s="16">
        <v>49.9289</v>
      </c>
      <c r="G2765" s="16">
        <v>10.3316</v>
      </c>
      <c r="H2765" s="15"/>
      <c r="I2765" s="15"/>
    </row>
    <row r="2766">
      <c r="A2766" s="18">
        <v>45665.0</v>
      </c>
      <c r="B2766" s="16" t="s">
        <v>3599</v>
      </c>
      <c r="C2766" s="16" t="s">
        <v>1051</v>
      </c>
      <c r="D2766" s="16" t="s">
        <v>707</v>
      </c>
      <c r="E2766" s="16">
        <v>2013.0</v>
      </c>
      <c r="F2766" s="16">
        <v>49.8331</v>
      </c>
      <c r="G2766" s="16">
        <v>9.5334</v>
      </c>
      <c r="H2766" s="15"/>
      <c r="I2766" s="15"/>
    </row>
    <row r="2767">
      <c r="A2767" s="18">
        <v>45665.0</v>
      </c>
      <c r="B2767" s="16" t="s">
        <v>3600</v>
      </c>
      <c r="C2767" s="16">
        <v>1.0</v>
      </c>
      <c r="D2767" s="16" t="s">
        <v>707</v>
      </c>
      <c r="E2767" s="16">
        <v>2013.0</v>
      </c>
      <c r="F2767" s="16">
        <v>48.9081</v>
      </c>
      <c r="G2767" s="16">
        <v>11.1659</v>
      </c>
      <c r="H2767" s="15"/>
      <c r="I2767" s="15"/>
    </row>
    <row r="2768">
      <c r="A2768" s="18">
        <v>45665.0</v>
      </c>
      <c r="B2768" s="16" t="s">
        <v>3601</v>
      </c>
      <c r="C2768" s="16" t="s">
        <v>948</v>
      </c>
      <c r="D2768" s="16" t="s">
        <v>707</v>
      </c>
      <c r="E2768" s="16">
        <v>2013.0</v>
      </c>
      <c r="F2768" s="16">
        <v>50.8148</v>
      </c>
      <c r="G2768" s="16">
        <v>10.3304</v>
      </c>
      <c r="H2768" s="15"/>
      <c r="I2768" s="15"/>
    </row>
    <row r="2769">
      <c r="A2769" s="18">
        <v>45665.0</v>
      </c>
      <c r="B2769" s="16" t="s">
        <v>3602</v>
      </c>
      <c r="C2769" s="16" t="s">
        <v>969</v>
      </c>
      <c r="D2769" s="16" t="s">
        <v>707</v>
      </c>
      <c r="E2769" s="16">
        <v>2013.0</v>
      </c>
      <c r="F2769" s="16">
        <v>50.4808</v>
      </c>
      <c r="G2769" s="16">
        <v>9.9625</v>
      </c>
      <c r="H2769" s="15"/>
      <c r="I2769" s="15"/>
    </row>
    <row r="2770">
      <c r="A2770" s="18">
        <v>45665.0</v>
      </c>
      <c r="B2770" s="16" t="s">
        <v>3603</v>
      </c>
      <c r="C2770" s="16">
        <v>1.0</v>
      </c>
      <c r="D2770" s="16" t="s">
        <v>707</v>
      </c>
      <c r="E2770" s="16">
        <v>2013.0</v>
      </c>
      <c r="F2770" s="16">
        <v>50.4806</v>
      </c>
      <c r="G2770" s="16">
        <v>7.8553</v>
      </c>
      <c r="H2770" s="15"/>
      <c r="I2770" s="15"/>
    </row>
    <row r="2771">
      <c r="A2771" s="18">
        <v>45665.0</v>
      </c>
      <c r="B2771" s="16" t="s">
        <v>3604</v>
      </c>
      <c r="C2771" s="16" t="s">
        <v>946</v>
      </c>
      <c r="D2771" s="16" t="s">
        <v>707</v>
      </c>
      <c r="E2771" s="16">
        <v>2013.0</v>
      </c>
      <c r="F2771" s="16">
        <v>50.5579</v>
      </c>
      <c r="G2771" s="16">
        <v>7.9139</v>
      </c>
      <c r="H2771" s="15"/>
      <c r="I2771" s="15"/>
    </row>
    <row r="2772">
      <c r="A2772" s="18">
        <v>45665.0</v>
      </c>
      <c r="B2772" s="16" t="s">
        <v>3605</v>
      </c>
      <c r="C2772" s="16">
        <v>1.0</v>
      </c>
      <c r="D2772" s="16" t="s">
        <v>707</v>
      </c>
      <c r="E2772" s="16">
        <v>2013.0</v>
      </c>
      <c r="F2772" s="16">
        <v>51.0532</v>
      </c>
      <c r="G2772" s="16">
        <v>9.9171</v>
      </c>
      <c r="H2772" s="15"/>
      <c r="I2772" s="15"/>
    </row>
    <row r="2773">
      <c r="A2773" s="18">
        <v>45665.0</v>
      </c>
      <c r="B2773" s="16" t="s">
        <v>3606</v>
      </c>
      <c r="C2773" s="16" t="s">
        <v>1399</v>
      </c>
      <c r="D2773" s="16" t="s">
        <v>707</v>
      </c>
      <c r="E2773" s="16">
        <v>2013.0</v>
      </c>
      <c r="F2773" s="16">
        <v>52.2572</v>
      </c>
      <c r="G2773" s="16">
        <v>11.8714</v>
      </c>
      <c r="H2773" s="15"/>
      <c r="I2773" s="15"/>
    </row>
    <row r="2774">
      <c r="A2774" s="18">
        <v>45665.0</v>
      </c>
      <c r="B2774" s="16" t="s">
        <v>3607</v>
      </c>
      <c r="C2774" s="16" t="s">
        <v>1004</v>
      </c>
      <c r="D2774" s="16" t="s">
        <v>707</v>
      </c>
      <c r="E2774" s="16">
        <v>2013.0</v>
      </c>
      <c r="F2774" s="16">
        <v>51.5746</v>
      </c>
      <c r="G2774" s="16">
        <v>14.0792</v>
      </c>
      <c r="H2774" s="15"/>
      <c r="I2774" s="15"/>
    </row>
    <row r="2775">
      <c r="A2775" s="18">
        <v>45665.0</v>
      </c>
      <c r="B2775" s="16" t="s">
        <v>3608</v>
      </c>
      <c r="C2775" s="16">
        <v>10.0</v>
      </c>
      <c r="D2775" s="16" t="s">
        <v>707</v>
      </c>
      <c r="E2775" s="16">
        <v>2013.0</v>
      </c>
      <c r="F2775" s="16">
        <v>53.4545</v>
      </c>
      <c r="G2775" s="16">
        <v>11.7975</v>
      </c>
      <c r="H2775" s="15"/>
      <c r="I2775" s="15"/>
    </row>
    <row r="2776">
      <c r="A2776" s="18">
        <v>45665.0</v>
      </c>
      <c r="B2776" s="16" t="s">
        <v>3609</v>
      </c>
      <c r="C2776" s="16" t="s">
        <v>1310</v>
      </c>
      <c r="D2776" s="16" t="s">
        <v>707</v>
      </c>
      <c r="E2776" s="16">
        <v>2013.0</v>
      </c>
      <c r="F2776" s="16">
        <v>54.0551</v>
      </c>
      <c r="G2776" s="16">
        <v>13.4448</v>
      </c>
      <c r="H2776" s="15"/>
      <c r="I2776" s="15"/>
    </row>
    <row r="2777">
      <c r="A2777" s="18">
        <v>45665.0</v>
      </c>
      <c r="B2777" s="16" t="s">
        <v>3610</v>
      </c>
      <c r="C2777" s="16">
        <v>10.0</v>
      </c>
      <c r="D2777" s="16" t="s">
        <v>707</v>
      </c>
      <c r="E2777" s="16">
        <v>2013.0</v>
      </c>
      <c r="F2777" s="16">
        <v>53.4635</v>
      </c>
      <c r="G2777" s="16">
        <v>11.7996</v>
      </c>
      <c r="H2777" s="15"/>
      <c r="I2777" s="15"/>
    </row>
    <row r="2778">
      <c r="A2778" s="18">
        <v>45665.0</v>
      </c>
      <c r="B2778" s="16" t="s">
        <v>3611</v>
      </c>
      <c r="C2778" s="16" t="s">
        <v>1771</v>
      </c>
      <c r="D2778" s="16" t="s">
        <v>707</v>
      </c>
      <c r="E2778" s="16">
        <v>2013.0</v>
      </c>
      <c r="F2778" s="16">
        <v>50.5612</v>
      </c>
      <c r="G2778" s="16">
        <v>8.811</v>
      </c>
      <c r="H2778" s="15"/>
      <c r="I2778" s="15"/>
    </row>
    <row r="2779">
      <c r="A2779" s="18">
        <v>45665.0</v>
      </c>
      <c r="B2779" s="16" t="s">
        <v>3612</v>
      </c>
      <c r="C2779" s="16">
        <v>3.0</v>
      </c>
      <c r="D2779" s="16" t="s">
        <v>707</v>
      </c>
      <c r="E2779" s="16">
        <v>2013.0</v>
      </c>
      <c r="F2779" s="16">
        <v>53.5358</v>
      </c>
      <c r="G2779" s="16">
        <v>8.1038</v>
      </c>
      <c r="H2779" s="15"/>
      <c r="I2779" s="15"/>
    </row>
    <row r="2780">
      <c r="A2780" s="18">
        <v>45665.0</v>
      </c>
      <c r="B2780" s="16" t="s">
        <v>3613</v>
      </c>
      <c r="C2780" s="16" t="s">
        <v>942</v>
      </c>
      <c r="D2780" s="16" t="s">
        <v>707</v>
      </c>
      <c r="E2780" s="16">
        <v>2013.0</v>
      </c>
      <c r="F2780" s="16">
        <v>50.8805</v>
      </c>
      <c r="G2780" s="16">
        <v>12.1223</v>
      </c>
      <c r="H2780" s="15"/>
      <c r="I2780" s="15"/>
    </row>
    <row r="2781">
      <c r="A2781" s="18">
        <v>45665.0</v>
      </c>
      <c r="B2781" s="16" t="s">
        <v>3614</v>
      </c>
      <c r="C2781" s="16" t="s">
        <v>1039</v>
      </c>
      <c r="D2781" s="16" t="s">
        <v>707</v>
      </c>
      <c r="E2781" s="16">
        <v>2013.0</v>
      </c>
      <c r="F2781" s="16">
        <v>49.3</v>
      </c>
      <c r="G2781" s="16">
        <v>6.7954</v>
      </c>
      <c r="H2781" s="15"/>
      <c r="I2781" s="15"/>
    </row>
    <row r="2782">
      <c r="A2782" s="18">
        <v>45665.0</v>
      </c>
      <c r="B2782" s="16" t="s">
        <v>3615</v>
      </c>
      <c r="C2782" s="16" t="s">
        <v>951</v>
      </c>
      <c r="D2782" s="16" t="s">
        <v>707</v>
      </c>
      <c r="E2782" s="16">
        <v>2013.0</v>
      </c>
      <c r="F2782" s="16">
        <v>54.1239</v>
      </c>
      <c r="G2782" s="16">
        <v>13.0471</v>
      </c>
      <c r="H2782" s="15"/>
      <c r="I2782" s="15"/>
    </row>
    <row r="2783">
      <c r="A2783" s="18">
        <v>45665.0</v>
      </c>
      <c r="B2783" s="16" t="s">
        <v>3616</v>
      </c>
      <c r="C2783" s="16" t="s">
        <v>1386</v>
      </c>
      <c r="D2783" s="16" t="s">
        <v>707</v>
      </c>
      <c r="E2783" s="16">
        <v>2013.0</v>
      </c>
      <c r="F2783" s="16">
        <v>53.8067</v>
      </c>
      <c r="G2783" s="16">
        <v>11.4632</v>
      </c>
      <c r="H2783" s="15"/>
      <c r="I2783" s="15"/>
    </row>
    <row r="2784">
      <c r="A2784" s="18">
        <v>45665.0</v>
      </c>
      <c r="B2784" s="16" t="s">
        <v>3617</v>
      </c>
      <c r="C2784" s="16">
        <v>3.0</v>
      </c>
      <c r="D2784" s="16" t="s">
        <v>707</v>
      </c>
      <c r="E2784" s="16">
        <v>2013.0</v>
      </c>
      <c r="F2784" s="16">
        <v>51.3356</v>
      </c>
      <c r="G2784" s="16">
        <v>13.5191</v>
      </c>
      <c r="H2784" s="15"/>
      <c r="I2784" s="15"/>
    </row>
    <row r="2785">
      <c r="A2785" s="18">
        <v>45665.0</v>
      </c>
      <c r="B2785" s="16" t="s">
        <v>3618</v>
      </c>
      <c r="C2785" s="16" t="s">
        <v>946</v>
      </c>
      <c r="D2785" s="16" t="s">
        <v>707</v>
      </c>
      <c r="E2785" s="16">
        <v>2013.0</v>
      </c>
      <c r="F2785" s="16">
        <v>50.4128</v>
      </c>
      <c r="G2785" s="16">
        <v>7.9483</v>
      </c>
      <c r="H2785" s="15"/>
      <c r="I2785" s="15"/>
    </row>
    <row r="2786">
      <c r="A2786" s="18">
        <v>45665.0</v>
      </c>
      <c r="B2786" s="16" t="s">
        <v>3619</v>
      </c>
      <c r="C2786" s="16" t="s">
        <v>946</v>
      </c>
      <c r="D2786" s="16" t="s">
        <v>707</v>
      </c>
      <c r="E2786" s="16">
        <v>2013.0</v>
      </c>
      <c r="F2786" s="16">
        <v>48.4756</v>
      </c>
      <c r="G2786" s="16">
        <v>10.2629</v>
      </c>
      <c r="H2786" s="15"/>
      <c r="I2786" s="15"/>
    </row>
    <row r="2787">
      <c r="A2787" s="18">
        <v>45665.0</v>
      </c>
      <c r="B2787" s="16" t="s">
        <v>3620</v>
      </c>
      <c r="C2787" s="16" t="s">
        <v>978</v>
      </c>
      <c r="D2787" s="16" t="s">
        <v>707</v>
      </c>
      <c r="E2787" s="16">
        <v>2013.0</v>
      </c>
      <c r="F2787" s="16">
        <v>51.4441</v>
      </c>
      <c r="G2787" s="16">
        <v>14.2167</v>
      </c>
      <c r="H2787" s="15"/>
      <c r="I2787" s="15"/>
    </row>
    <row r="2788">
      <c r="A2788" s="18">
        <v>45665.0</v>
      </c>
      <c r="B2788" s="16" t="s">
        <v>3621</v>
      </c>
      <c r="C2788" s="16" t="s">
        <v>1101</v>
      </c>
      <c r="D2788" s="16" t="s">
        <v>707</v>
      </c>
      <c r="E2788" s="16">
        <v>2013.0</v>
      </c>
      <c r="F2788" s="16">
        <v>52.5671</v>
      </c>
      <c r="G2788" s="16">
        <v>9.2948</v>
      </c>
      <c r="H2788" s="15"/>
      <c r="I2788" s="15"/>
    </row>
    <row r="2789">
      <c r="A2789" s="18">
        <v>45665.0</v>
      </c>
      <c r="B2789" s="16" t="s">
        <v>3622</v>
      </c>
      <c r="C2789" s="16" t="s">
        <v>1101</v>
      </c>
      <c r="D2789" s="16" t="s">
        <v>707</v>
      </c>
      <c r="E2789" s="16">
        <v>2013.0</v>
      </c>
      <c r="F2789" s="16">
        <v>52.5671</v>
      </c>
      <c r="G2789" s="16">
        <v>9.2948</v>
      </c>
      <c r="H2789" s="15"/>
      <c r="I2789" s="15"/>
    </row>
    <row r="2790">
      <c r="A2790" s="18">
        <v>45665.0</v>
      </c>
      <c r="B2790" s="16" t="s">
        <v>3623</v>
      </c>
      <c r="C2790" s="16" t="s">
        <v>1055</v>
      </c>
      <c r="D2790" s="16" t="s">
        <v>707</v>
      </c>
      <c r="E2790" s="16">
        <v>2013.0</v>
      </c>
      <c r="F2790" s="16">
        <v>49.4596</v>
      </c>
      <c r="G2790" s="16">
        <v>7.7869</v>
      </c>
      <c r="H2790" s="15"/>
      <c r="I2790" s="15"/>
    </row>
    <row r="2791">
      <c r="A2791" s="18">
        <v>45665.0</v>
      </c>
      <c r="B2791" s="16" t="s">
        <v>3624</v>
      </c>
      <c r="C2791" s="16" t="s">
        <v>978</v>
      </c>
      <c r="D2791" s="16" t="s">
        <v>707</v>
      </c>
      <c r="E2791" s="16">
        <v>2013.0</v>
      </c>
      <c r="F2791" s="16">
        <v>52.0942</v>
      </c>
      <c r="G2791" s="16">
        <v>8.5647</v>
      </c>
      <c r="H2791" s="15"/>
      <c r="I2791" s="15"/>
    </row>
    <row r="2792">
      <c r="A2792" s="18">
        <v>45665.0</v>
      </c>
      <c r="B2792" s="16" t="s">
        <v>3625</v>
      </c>
      <c r="C2792" s="16">
        <v>2.0</v>
      </c>
      <c r="D2792" s="16" t="s">
        <v>707</v>
      </c>
      <c r="E2792" s="16">
        <v>2013.0</v>
      </c>
      <c r="F2792" s="16">
        <v>48.743</v>
      </c>
      <c r="G2792" s="16">
        <v>11.6257</v>
      </c>
      <c r="H2792" s="15"/>
      <c r="I2792" s="15"/>
    </row>
    <row r="2793">
      <c r="A2793" s="18">
        <v>45665.0</v>
      </c>
      <c r="B2793" s="16" t="s">
        <v>3626</v>
      </c>
      <c r="C2793" s="16" t="s">
        <v>946</v>
      </c>
      <c r="D2793" s="16" t="s">
        <v>707</v>
      </c>
      <c r="E2793" s="16">
        <v>2013.0</v>
      </c>
      <c r="F2793" s="16">
        <v>50.2255</v>
      </c>
      <c r="G2793" s="16">
        <v>6.9747</v>
      </c>
      <c r="H2793" s="15"/>
      <c r="I2793" s="15"/>
    </row>
    <row r="2794">
      <c r="A2794" s="18">
        <v>45665.0</v>
      </c>
      <c r="B2794" s="16" t="s">
        <v>3627</v>
      </c>
      <c r="C2794" s="16" t="s">
        <v>942</v>
      </c>
      <c r="D2794" s="16" t="s">
        <v>707</v>
      </c>
      <c r="E2794" s="16">
        <v>2013.0</v>
      </c>
      <c r="F2794" s="16">
        <v>50.2548</v>
      </c>
      <c r="G2794" s="16">
        <v>7.2249</v>
      </c>
      <c r="H2794" s="15"/>
      <c r="I2794" s="15"/>
    </row>
    <row r="2795">
      <c r="A2795" s="18">
        <v>45665.0</v>
      </c>
      <c r="B2795" s="16" t="s">
        <v>3628</v>
      </c>
      <c r="C2795" s="16" t="s">
        <v>1055</v>
      </c>
      <c r="D2795" s="16" t="s">
        <v>707</v>
      </c>
      <c r="E2795" s="16">
        <v>2013.0</v>
      </c>
      <c r="F2795" s="16">
        <v>51.5812</v>
      </c>
      <c r="G2795" s="16">
        <v>11.4999</v>
      </c>
      <c r="H2795" s="15"/>
      <c r="I2795" s="15"/>
    </row>
    <row r="2796">
      <c r="A2796" s="18">
        <v>45665.0</v>
      </c>
      <c r="B2796" s="16" t="s">
        <v>3629</v>
      </c>
      <c r="C2796" s="16" t="s">
        <v>1358</v>
      </c>
      <c r="D2796" s="16" t="s">
        <v>707</v>
      </c>
      <c r="E2796" s="16">
        <v>2013.0</v>
      </c>
      <c r="F2796" s="16">
        <v>53.8823</v>
      </c>
      <c r="G2796" s="16">
        <v>11.5789</v>
      </c>
      <c r="H2796" s="15"/>
      <c r="I2796" s="15"/>
    </row>
    <row r="2797">
      <c r="A2797" s="18">
        <v>45665.0</v>
      </c>
      <c r="B2797" s="16" t="s">
        <v>3630</v>
      </c>
      <c r="C2797" s="16" t="s">
        <v>942</v>
      </c>
      <c r="D2797" s="16" t="s">
        <v>707</v>
      </c>
      <c r="E2797" s="16">
        <v>2013.0</v>
      </c>
      <c r="F2797" s="16">
        <v>53.8814</v>
      </c>
      <c r="G2797" s="16">
        <v>11.5838</v>
      </c>
      <c r="H2797" s="15"/>
      <c r="I2797" s="15"/>
    </row>
    <row r="2798">
      <c r="A2798" s="18">
        <v>45665.0</v>
      </c>
      <c r="B2798" s="16" t="s">
        <v>3631</v>
      </c>
      <c r="C2798" s="16" t="s">
        <v>1085</v>
      </c>
      <c r="D2798" s="16" t="s">
        <v>707</v>
      </c>
      <c r="E2798" s="16">
        <v>2013.0</v>
      </c>
      <c r="F2798" s="16">
        <v>48.8765</v>
      </c>
      <c r="G2798" s="16">
        <v>12.526</v>
      </c>
      <c r="H2798" s="15"/>
      <c r="I2798" s="15"/>
    </row>
    <row r="2799">
      <c r="A2799" s="18">
        <v>45665.0</v>
      </c>
      <c r="B2799" s="16" t="s">
        <v>3631</v>
      </c>
      <c r="C2799" s="16" t="s">
        <v>1011</v>
      </c>
      <c r="D2799" s="16" t="s">
        <v>707</v>
      </c>
      <c r="E2799" s="16">
        <v>2013.0</v>
      </c>
      <c r="F2799" s="16">
        <v>48.8772</v>
      </c>
      <c r="G2799" s="16">
        <v>12.5127</v>
      </c>
      <c r="H2799" s="15"/>
      <c r="I2799" s="15"/>
    </row>
    <row r="2800">
      <c r="A2800" s="18">
        <v>45665.0</v>
      </c>
      <c r="B2800" s="16" t="s">
        <v>3631</v>
      </c>
      <c r="C2800" s="16" t="s">
        <v>1282</v>
      </c>
      <c r="D2800" s="16" t="s">
        <v>707</v>
      </c>
      <c r="E2800" s="16">
        <v>2013.0</v>
      </c>
      <c r="F2800" s="16">
        <v>48.8766</v>
      </c>
      <c r="G2800" s="16">
        <v>12.5142</v>
      </c>
      <c r="H2800" s="15"/>
      <c r="I2800" s="15"/>
    </row>
    <row r="2801">
      <c r="A2801" s="18">
        <v>45665.0</v>
      </c>
      <c r="B2801" s="16" t="s">
        <v>3632</v>
      </c>
      <c r="C2801" s="16">
        <v>8.0</v>
      </c>
      <c r="D2801" s="16" t="s">
        <v>707</v>
      </c>
      <c r="E2801" s="16">
        <v>2013.0</v>
      </c>
      <c r="F2801" s="16">
        <v>53.8816</v>
      </c>
      <c r="G2801" s="16">
        <v>12.2105</v>
      </c>
      <c r="H2801" s="15"/>
      <c r="I2801" s="15"/>
    </row>
    <row r="2802">
      <c r="A2802" s="18">
        <v>45665.0</v>
      </c>
      <c r="B2802" s="16" t="s">
        <v>3633</v>
      </c>
      <c r="C2802" s="16" t="s">
        <v>946</v>
      </c>
      <c r="D2802" s="16" t="s">
        <v>707</v>
      </c>
      <c r="E2802" s="16">
        <v>2013.0</v>
      </c>
      <c r="F2802" s="16">
        <v>47.6012</v>
      </c>
      <c r="G2802" s="16">
        <v>9.7313</v>
      </c>
      <c r="H2802" s="15"/>
      <c r="I2802" s="15"/>
    </row>
    <row r="2803">
      <c r="A2803" s="18">
        <v>45665.0</v>
      </c>
      <c r="B2803" s="16" t="s">
        <v>3634</v>
      </c>
      <c r="C2803" s="16" t="s">
        <v>2457</v>
      </c>
      <c r="D2803" s="16" t="s">
        <v>707</v>
      </c>
      <c r="E2803" s="16">
        <v>2013.0</v>
      </c>
      <c r="F2803" s="16">
        <v>49.3444</v>
      </c>
      <c r="G2803" s="16">
        <v>8.8599</v>
      </c>
      <c r="H2803" s="15"/>
      <c r="I2803" s="15"/>
    </row>
    <row r="2804">
      <c r="A2804" s="18">
        <v>45665.0</v>
      </c>
      <c r="B2804" s="16" t="s">
        <v>3635</v>
      </c>
      <c r="C2804" s="16" t="s">
        <v>1055</v>
      </c>
      <c r="D2804" s="16" t="s">
        <v>707</v>
      </c>
      <c r="E2804" s="16">
        <v>2013.0</v>
      </c>
      <c r="F2804" s="16">
        <v>49.1273</v>
      </c>
      <c r="G2804" s="16">
        <v>11.7573</v>
      </c>
      <c r="H2804" s="15"/>
      <c r="I2804" s="15"/>
    </row>
    <row r="2805">
      <c r="A2805" s="18">
        <v>45665.0</v>
      </c>
      <c r="B2805" s="16" t="s">
        <v>3636</v>
      </c>
      <c r="C2805" s="16" t="s">
        <v>946</v>
      </c>
      <c r="D2805" s="16" t="s">
        <v>707</v>
      </c>
      <c r="E2805" s="16">
        <v>2013.0</v>
      </c>
      <c r="F2805" s="16">
        <v>50.8825</v>
      </c>
      <c r="G2805" s="16">
        <v>12.2283</v>
      </c>
      <c r="H2805" s="15"/>
      <c r="I2805" s="15"/>
    </row>
    <row r="2806">
      <c r="A2806" s="18">
        <v>45665.0</v>
      </c>
      <c r="B2806" s="16" t="s">
        <v>3637</v>
      </c>
      <c r="C2806" s="16" t="s">
        <v>1034</v>
      </c>
      <c r="D2806" s="16" t="s">
        <v>707</v>
      </c>
      <c r="E2806" s="16">
        <v>2013.0</v>
      </c>
      <c r="F2806" s="16">
        <v>49.306</v>
      </c>
      <c r="G2806" s="16">
        <v>7.066</v>
      </c>
      <c r="H2806" s="15"/>
      <c r="I2806" s="15"/>
    </row>
    <row r="2807">
      <c r="A2807" s="18">
        <v>45665.0</v>
      </c>
      <c r="B2807" s="16" t="s">
        <v>3638</v>
      </c>
      <c r="C2807" s="16" t="s">
        <v>1011</v>
      </c>
      <c r="D2807" s="16" t="s">
        <v>707</v>
      </c>
      <c r="E2807" s="16">
        <v>2013.0</v>
      </c>
      <c r="F2807" s="16">
        <v>51.3591</v>
      </c>
      <c r="G2807" s="16">
        <v>8.2468</v>
      </c>
      <c r="H2807" s="15"/>
      <c r="I2807" s="15"/>
    </row>
    <row r="2808">
      <c r="A2808" s="18">
        <v>45665.0</v>
      </c>
      <c r="B2808" s="16" t="s">
        <v>3639</v>
      </c>
      <c r="C2808" s="16" t="s">
        <v>946</v>
      </c>
      <c r="D2808" s="16" t="s">
        <v>707</v>
      </c>
      <c r="E2808" s="16">
        <v>2013.0</v>
      </c>
      <c r="F2808" s="16">
        <v>49.8313</v>
      </c>
      <c r="G2808" s="16">
        <v>9.5283</v>
      </c>
      <c r="H2808" s="15"/>
      <c r="I2808" s="15"/>
    </row>
    <row r="2809">
      <c r="A2809" s="18">
        <v>45665.0</v>
      </c>
      <c r="B2809" s="16" t="s">
        <v>3640</v>
      </c>
      <c r="C2809" s="16" t="s">
        <v>1085</v>
      </c>
      <c r="D2809" s="16" t="s">
        <v>707</v>
      </c>
      <c r="E2809" s="16">
        <v>2013.0</v>
      </c>
      <c r="F2809" s="16">
        <v>50.3612</v>
      </c>
      <c r="G2809" s="16">
        <v>10.9216</v>
      </c>
      <c r="H2809" s="15"/>
      <c r="I2809" s="15"/>
    </row>
    <row r="2810">
      <c r="A2810" s="18">
        <v>45665.0</v>
      </c>
      <c r="B2810" s="16" t="s">
        <v>3641</v>
      </c>
      <c r="C2810" s="16" t="s">
        <v>1454</v>
      </c>
      <c r="D2810" s="16" t="s">
        <v>707</v>
      </c>
      <c r="E2810" s="16">
        <v>2013.0</v>
      </c>
      <c r="F2810" s="16">
        <v>48.8111</v>
      </c>
      <c r="G2810" s="16">
        <v>9.8064</v>
      </c>
      <c r="H2810" s="15"/>
      <c r="I2810" s="15"/>
    </row>
    <row r="2811">
      <c r="A2811" s="18">
        <v>45665.0</v>
      </c>
      <c r="B2811" s="16" t="s">
        <v>3642</v>
      </c>
      <c r="C2811" s="16" t="s">
        <v>990</v>
      </c>
      <c r="D2811" s="16" t="s">
        <v>707</v>
      </c>
      <c r="E2811" s="16">
        <v>2013.0</v>
      </c>
      <c r="F2811" s="16">
        <v>51.4649</v>
      </c>
      <c r="G2811" s="16">
        <v>6.5855</v>
      </c>
      <c r="H2811" s="15"/>
      <c r="I2811" s="15"/>
    </row>
    <row r="2812">
      <c r="A2812" s="18">
        <v>45665.0</v>
      </c>
      <c r="B2812" s="16" t="s">
        <v>3643</v>
      </c>
      <c r="C2812" s="16" t="s">
        <v>971</v>
      </c>
      <c r="D2812" s="16" t="s">
        <v>707</v>
      </c>
      <c r="E2812" s="16">
        <v>2013.0</v>
      </c>
      <c r="F2812" s="16">
        <v>48.535</v>
      </c>
      <c r="G2812" s="16">
        <v>12.0698</v>
      </c>
      <c r="H2812" s="15"/>
      <c r="I2812" s="15"/>
    </row>
    <row r="2813">
      <c r="A2813" s="18">
        <v>45665.0</v>
      </c>
      <c r="B2813" s="16" t="s">
        <v>3644</v>
      </c>
      <c r="C2813" s="16">
        <v>1.0</v>
      </c>
      <c r="D2813" s="16" t="s">
        <v>707</v>
      </c>
      <c r="E2813" s="16">
        <v>2013.0</v>
      </c>
      <c r="F2813" s="16">
        <v>48.5339</v>
      </c>
      <c r="G2813" s="16">
        <v>12.065</v>
      </c>
      <c r="H2813" s="15"/>
      <c r="I2813" s="15"/>
    </row>
    <row r="2814">
      <c r="A2814" s="18">
        <v>45665.0</v>
      </c>
      <c r="B2814" s="16" t="s">
        <v>3645</v>
      </c>
      <c r="C2814" s="16" t="s">
        <v>1149</v>
      </c>
      <c r="D2814" s="16" t="s">
        <v>707</v>
      </c>
      <c r="E2814" s="16">
        <v>2013.0</v>
      </c>
      <c r="F2814" s="16">
        <v>50.9111</v>
      </c>
      <c r="G2814" s="16">
        <v>10.9034</v>
      </c>
      <c r="H2814" s="15"/>
      <c r="I2814" s="15"/>
    </row>
    <row r="2815">
      <c r="A2815" s="18">
        <v>45665.0</v>
      </c>
      <c r="B2815" s="16" t="s">
        <v>3646</v>
      </c>
      <c r="C2815" s="16" t="s">
        <v>969</v>
      </c>
      <c r="D2815" s="16" t="s">
        <v>707</v>
      </c>
      <c r="E2815" s="16">
        <v>2013.0</v>
      </c>
      <c r="F2815" s="16">
        <v>50.1097</v>
      </c>
      <c r="G2815" s="16">
        <v>6.5543</v>
      </c>
      <c r="H2815" s="15"/>
      <c r="I2815" s="15"/>
    </row>
    <row r="2816">
      <c r="A2816" s="18">
        <v>45665.0</v>
      </c>
      <c r="B2816" s="16" t="s">
        <v>3647</v>
      </c>
      <c r="C2816" s="16" t="s">
        <v>946</v>
      </c>
      <c r="D2816" s="16" t="s">
        <v>707</v>
      </c>
      <c r="E2816" s="16">
        <v>2013.0</v>
      </c>
      <c r="F2816" s="16">
        <v>50.1097</v>
      </c>
      <c r="G2816" s="16">
        <v>6.5543</v>
      </c>
      <c r="H2816" s="15"/>
      <c r="I2816" s="15"/>
    </row>
    <row r="2817">
      <c r="A2817" s="18">
        <v>45665.0</v>
      </c>
      <c r="B2817" s="16" t="s">
        <v>3648</v>
      </c>
      <c r="C2817" s="16" t="s">
        <v>1002</v>
      </c>
      <c r="D2817" s="16" t="s">
        <v>707</v>
      </c>
      <c r="E2817" s="16">
        <v>2013.0</v>
      </c>
      <c r="F2817" s="16">
        <v>50.3111</v>
      </c>
      <c r="G2817" s="16">
        <v>11.0942</v>
      </c>
      <c r="H2817" s="15"/>
      <c r="I2817" s="15"/>
    </row>
    <row r="2818">
      <c r="A2818" s="18">
        <v>45665.0</v>
      </c>
      <c r="B2818" s="16" t="s">
        <v>3649</v>
      </c>
      <c r="C2818" s="16" t="s">
        <v>1215</v>
      </c>
      <c r="D2818" s="16" t="s">
        <v>707</v>
      </c>
      <c r="E2818" s="16">
        <v>2013.0</v>
      </c>
      <c r="F2818" s="16">
        <v>49.2437</v>
      </c>
      <c r="G2818" s="16">
        <v>6.8815</v>
      </c>
      <c r="H2818" s="15"/>
      <c r="I2818" s="15"/>
    </row>
    <row r="2819">
      <c r="A2819" s="18">
        <v>45665.0</v>
      </c>
      <c r="B2819" s="16" t="s">
        <v>3650</v>
      </c>
      <c r="C2819" s="16" t="s">
        <v>1039</v>
      </c>
      <c r="D2819" s="16" t="s">
        <v>707</v>
      </c>
      <c r="E2819" s="16">
        <v>2013.0</v>
      </c>
      <c r="F2819" s="16">
        <v>50.9513</v>
      </c>
      <c r="G2819" s="16">
        <v>8.6226</v>
      </c>
      <c r="H2819" s="15"/>
      <c r="I2819" s="15"/>
    </row>
    <row r="2820">
      <c r="A2820" s="18">
        <v>45665.0</v>
      </c>
      <c r="B2820" s="16" t="s">
        <v>3651</v>
      </c>
      <c r="C2820" s="16" t="s">
        <v>1037</v>
      </c>
      <c r="D2820" s="16" t="s">
        <v>707</v>
      </c>
      <c r="E2820" s="16">
        <v>2013.0</v>
      </c>
      <c r="F2820" s="16">
        <v>49.5702</v>
      </c>
      <c r="G2820" s="16">
        <v>9.6413</v>
      </c>
      <c r="H2820" s="15"/>
      <c r="I2820" s="15"/>
    </row>
    <row r="2821">
      <c r="A2821" s="18">
        <v>45665.0</v>
      </c>
      <c r="B2821" s="16" t="s">
        <v>3652</v>
      </c>
      <c r="C2821" s="16" t="s">
        <v>1215</v>
      </c>
      <c r="D2821" s="16" t="s">
        <v>707</v>
      </c>
      <c r="E2821" s="16">
        <v>2013.0</v>
      </c>
      <c r="F2821" s="16">
        <v>52.1469</v>
      </c>
      <c r="G2821" s="16">
        <v>11.0325</v>
      </c>
      <c r="H2821" s="15"/>
      <c r="I2821" s="15"/>
    </row>
    <row r="2822">
      <c r="A2822" s="18">
        <v>45665.0</v>
      </c>
      <c r="B2822" s="16" t="s">
        <v>3653</v>
      </c>
      <c r="C2822" s="16" t="s">
        <v>1101</v>
      </c>
      <c r="D2822" s="16" t="s">
        <v>707</v>
      </c>
      <c r="E2822" s="16">
        <v>2013.0</v>
      </c>
      <c r="F2822" s="16">
        <v>53.0637</v>
      </c>
      <c r="G2822" s="16">
        <v>14.0967</v>
      </c>
      <c r="H2822" s="15"/>
      <c r="I2822" s="15"/>
    </row>
    <row r="2823">
      <c r="A2823" s="18">
        <v>45665.0</v>
      </c>
      <c r="B2823" s="16" t="s">
        <v>3654</v>
      </c>
      <c r="C2823" s="16" t="s">
        <v>1007</v>
      </c>
      <c r="D2823" s="16" t="s">
        <v>707</v>
      </c>
      <c r="E2823" s="16">
        <v>2013.0</v>
      </c>
      <c r="F2823" s="16">
        <v>50.5704</v>
      </c>
      <c r="G2823" s="16">
        <v>12.2213</v>
      </c>
      <c r="H2823" s="15"/>
      <c r="I2823" s="15"/>
    </row>
    <row r="2824">
      <c r="A2824" s="18">
        <v>45665.0</v>
      </c>
      <c r="B2824" s="16" t="s">
        <v>3655</v>
      </c>
      <c r="C2824" s="16">
        <v>4.0</v>
      </c>
      <c r="D2824" s="16" t="s">
        <v>707</v>
      </c>
      <c r="E2824" s="16">
        <v>2013.0</v>
      </c>
      <c r="F2824" s="16">
        <v>53.4281</v>
      </c>
      <c r="G2824" s="16">
        <v>14.2927</v>
      </c>
      <c r="H2824" s="15"/>
      <c r="I2824" s="15"/>
    </row>
    <row r="2825">
      <c r="A2825" s="18">
        <v>45665.0</v>
      </c>
      <c r="B2825" s="16" t="s">
        <v>3656</v>
      </c>
      <c r="C2825" s="16">
        <v>5.0</v>
      </c>
      <c r="D2825" s="16" t="s">
        <v>707</v>
      </c>
      <c r="E2825" s="16">
        <v>2013.0</v>
      </c>
      <c r="F2825" s="16">
        <v>53.4281</v>
      </c>
      <c r="G2825" s="16">
        <v>14.2927</v>
      </c>
      <c r="H2825" s="15"/>
      <c r="I2825" s="15"/>
    </row>
    <row r="2826">
      <c r="A2826" s="18">
        <v>45665.0</v>
      </c>
      <c r="B2826" s="16" t="s">
        <v>3657</v>
      </c>
      <c r="C2826" s="16" t="s">
        <v>1055</v>
      </c>
      <c r="D2826" s="16" t="s">
        <v>707</v>
      </c>
      <c r="E2826" s="16">
        <v>2013.0</v>
      </c>
      <c r="F2826" s="16">
        <v>50.8225</v>
      </c>
      <c r="G2826" s="16">
        <v>11.2252</v>
      </c>
      <c r="H2826" s="15"/>
      <c r="I2826" s="15"/>
    </row>
    <row r="2827">
      <c r="A2827" s="18">
        <v>45665.0</v>
      </c>
      <c r="B2827" s="16" t="s">
        <v>3658</v>
      </c>
      <c r="C2827" s="16" t="s">
        <v>1090</v>
      </c>
      <c r="D2827" s="16" t="s">
        <v>707</v>
      </c>
      <c r="E2827" s="16">
        <v>2013.0</v>
      </c>
      <c r="F2827" s="16">
        <v>52.6432</v>
      </c>
      <c r="G2827" s="16">
        <v>11.7379</v>
      </c>
      <c r="H2827" s="15"/>
      <c r="I2827" s="15"/>
    </row>
    <row r="2828">
      <c r="A2828" s="18">
        <v>45665.0</v>
      </c>
      <c r="B2828" s="16" t="s">
        <v>3659</v>
      </c>
      <c r="C2828" s="16" t="s">
        <v>959</v>
      </c>
      <c r="D2828" s="16" t="s">
        <v>707</v>
      </c>
      <c r="E2828" s="16">
        <v>2013.0</v>
      </c>
      <c r="F2828" s="16">
        <v>48.8389</v>
      </c>
      <c r="G2828" s="16">
        <v>12.7017</v>
      </c>
      <c r="H2828" s="15"/>
      <c r="I2828" s="15"/>
    </row>
    <row r="2829">
      <c r="A2829" s="18">
        <v>45665.0</v>
      </c>
      <c r="B2829" s="16" t="s">
        <v>3660</v>
      </c>
      <c r="C2829" s="16" t="s">
        <v>946</v>
      </c>
      <c r="D2829" s="16" t="s">
        <v>707</v>
      </c>
      <c r="E2829" s="16">
        <v>2013.0</v>
      </c>
      <c r="F2829" s="16">
        <v>50.1883</v>
      </c>
      <c r="G2829" s="16">
        <v>11.0759</v>
      </c>
      <c r="H2829" s="15"/>
      <c r="I2829" s="15"/>
    </row>
    <row r="2830">
      <c r="A2830" s="18">
        <v>45665.0</v>
      </c>
      <c r="B2830" s="16" t="s">
        <v>3661</v>
      </c>
      <c r="C2830" s="16" t="s">
        <v>1149</v>
      </c>
      <c r="D2830" s="16" t="s">
        <v>707</v>
      </c>
      <c r="E2830" s="16">
        <v>2013.0</v>
      </c>
      <c r="F2830" s="16">
        <v>52.564</v>
      </c>
      <c r="G2830" s="16">
        <v>14.4346</v>
      </c>
      <c r="H2830" s="15"/>
      <c r="I2830" s="15"/>
    </row>
    <row r="2831">
      <c r="A2831" s="18">
        <v>45665.0</v>
      </c>
      <c r="B2831" s="16" t="s">
        <v>3662</v>
      </c>
      <c r="C2831" s="16" t="s">
        <v>1099</v>
      </c>
      <c r="D2831" s="16" t="s">
        <v>707</v>
      </c>
      <c r="E2831" s="16">
        <v>2013.0</v>
      </c>
      <c r="F2831" s="16">
        <v>52.5637</v>
      </c>
      <c r="G2831" s="16">
        <v>14.4251</v>
      </c>
      <c r="H2831" s="15"/>
      <c r="I2831" s="15"/>
    </row>
    <row r="2832">
      <c r="A2832" s="18">
        <v>45665.0</v>
      </c>
      <c r="B2832" s="16" t="s">
        <v>3663</v>
      </c>
      <c r="C2832" s="16" t="s">
        <v>1149</v>
      </c>
      <c r="D2832" s="16" t="s">
        <v>707</v>
      </c>
      <c r="E2832" s="16">
        <v>2013.0</v>
      </c>
      <c r="F2832" s="16">
        <v>51.875</v>
      </c>
      <c r="G2832" s="16">
        <v>10.153</v>
      </c>
      <c r="H2832" s="15"/>
      <c r="I2832" s="15"/>
    </row>
    <row r="2833">
      <c r="A2833" s="18">
        <v>45665.0</v>
      </c>
      <c r="B2833" s="16" t="s">
        <v>3664</v>
      </c>
      <c r="C2833" s="16" t="s">
        <v>942</v>
      </c>
      <c r="D2833" s="16" t="s">
        <v>707</v>
      </c>
      <c r="E2833" s="16">
        <v>2013.0</v>
      </c>
      <c r="F2833" s="16">
        <v>48.844</v>
      </c>
      <c r="G2833" s="16">
        <v>12.0053</v>
      </c>
      <c r="H2833" s="15"/>
      <c r="I2833" s="15"/>
    </row>
    <row r="2834">
      <c r="A2834" s="18">
        <v>45665.0</v>
      </c>
      <c r="B2834" s="16" t="s">
        <v>3665</v>
      </c>
      <c r="C2834" s="16" t="s">
        <v>2668</v>
      </c>
      <c r="D2834" s="16" t="s">
        <v>707</v>
      </c>
      <c r="E2834" s="16">
        <v>2013.0</v>
      </c>
      <c r="F2834" s="16">
        <v>54.086</v>
      </c>
      <c r="G2834" s="16">
        <v>12.774</v>
      </c>
      <c r="H2834" s="15"/>
      <c r="I2834" s="15"/>
    </row>
    <row r="2835">
      <c r="A2835" s="18">
        <v>45665.0</v>
      </c>
      <c r="B2835" s="16" t="s">
        <v>3666</v>
      </c>
      <c r="C2835" s="16" t="s">
        <v>1085</v>
      </c>
      <c r="D2835" s="16" t="s">
        <v>707</v>
      </c>
      <c r="E2835" s="16">
        <v>2013.0</v>
      </c>
      <c r="F2835" s="16">
        <v>53.595</v>
      </c>
      <c r="G2835" s="16">
        <v>13.2859</v>
      </c>
      <c r="H2835" s="15"/>
      <c r="I2835" s="15"/>
    </row>
    <row r="2836">
      <c r="A2836" s="18">
        <v>45665.0</v>
      </c>
      <c r="B2836" s="16" t="s">
        <v>3667</v>
      </c>
      <c r="C2836" s="16">
        <v>2.0</v>
      </c>
      <c r="D2836" s="16" t="s">
        <v>707</v>
      </c>
      <c r="E2836" s="16">
        <v>2013.0</v>
      </c>
      <c r="F2836" s="16">
        <v>48.418</v>
      </c>
      <c r="G2836" s="16">
        <v>12.0399</v>
      </c>
      <c r="H2836" s="15"/>
      <c r="I2836" s="15"/>
    </row>
    <row r="2837">
      <c r="A2837" s="18">
        <v>45665.0</v>
      </c>
      <c r="B2837" s="16" t="s">
        <v>3668</v>
      </c>
      <c r="C2837" s="16" t="s">
        <v>942</v>
      </c>
      <c r="D2837" s="16" t="s">
        <v>707</v>
      </c>
      <c r="E2837" s="16">
        <v>2013.0</v>
      </c>
      <c r="F2837" s="16">
        <v>49.2139</v>
      </c>
      <c r="G2837" s="16">
        <v>6.8276</v>
      </c>
      <c r="H2837" s="15"/>
      <c r="I2837" s="15"/>
    </row>
    <row r="2838">
      <c r="A2838" s="18">
        <v>45665.0</v>
      </c>
      <c r="B2838" s="16" t="s">
        <v>3669</v>
      </c>
      <c r="C2838" s="16" t="s">
        <v>948</v>
      </c>
      <c r="D2838" s="16" t="s">
        <v>707</v>
      </c>
      <c r="E2838" s="16">
        <v>2013.0</v>
      </c>
      <c r="F2838" s="16">
        <v>48.4365</v>
      </c>
      <c r="G2838" s="16">
        <v>12.3611</v>
      </c>
      <c r="H2838" s="15"/>
      <c r="I2838" s="15"/>
    </row>
    <row r="2839">
      <c r="A2839" s="18">
        <v>45665.0</v>
      </c>
      <c r="B2839" s="16" t="s">
        <v>3670</v>
      </c>
      <c r="C2839" s="16" t="s">
        <v>2404</v>
      </c>
      <c r="D2839" s="16" t="s">
        <v>707</v>
      </c>
      <c r="E2839" s="16">
        <v>2013.0</v>
      </c>
      <c r="F2839" s="16">
        <v>48.0716</v>
      </c>
      <c r="G2839" s="16">
        <v>7.6055</v>
      </c>
      <c r="H2839" s="15"/>
      <c r="I2839" s="15"/>
    </row>
    <row r="2840">
      <c r="A2840" s="18">
        <v>45665.0</v>
      </c>
      <c r="B2840" s="16" t="s">
        <v>3671</v>
      </c>
      <c r="C2840" s="16">
        <v>1.0</v>
      </c>
      <c r="D2840" s="16" t="s">
        <v>707</v>
      </c>
      <c r="E2840" s="16">
        <v>2013.0</v>
      </c>
      <c r="F2840" s="16">
        <v>52.6318</v>
      </c>
      <c r="G2840" s="16">
        <v>14.3979</v>
      </c>
      <c r="H2840" s="15"/>
      <c r="I2840" s="15"/>
    </row>
    <row r="2841">
      <c r="A2841" s="18">
        <v>45665.0</v>
      </c>
      <c r="B2841" s="16" t="s">
        <v>3672</v>
      </c>
      <c r="C2841" s="16" t="s">
        <v>978</v>
      </c>
      <c r="D2841" s="16" t="s">
        <v>707</v>
      </c>
      <c r="E2841" s="16">
        <v>2013.0</v>
      </c>
      <c r="F2841" s="16">
        <v>48.3494</v>
      </c>
      <c r="G2841" s="16">
        <v>11.0052</v>
      </c>
      <c r="H2841" s="15"/>
      <c r="I2841" s="15"/>
    </row>
    <row r="2842">
      <c r="A2842" s="18">
        <v>45665.0</v>
      </c>
      <c r="B2842" s="16" t="s">
        <v>3673</v>
      </c>
      <c r="C2842" s="16" t="s">
        <v>1101</v>
      </c>
      <c r="D2842" s="16" t="s">
        <v>707</v>
      </c>
      <c r="E2842" s="16">
        <v>2013.0</v>
      </c>
      <c r="F2842" s="16">
        <v>50.8099</v>
      </c>
      <c r="G2842" s="16">
        <v>9.9809</v>
      </c>
      <c r="H2842" s="15"/>
      <c r="I2842" s="15"/>
    </row>
    <row r="2843">
      <c r="A2843" s="18">
        <v>45665.0</v>
      </c>
      <c r="B2843" s="16" t="s">
        <v>3674</v>
      </c>
      <c r="C2843" s="16" t="s">
        <v>959</v>
      </c>
      <c r="D2843" s="16" t="s">
        <v>707</v>
      </c>
      <c r="E2843" s="16">
        <v>2013.0</v>
      </c>
      <c r="F2843" s="16">
        <v>48.8676</v>
      </c>
      <c r="G2843" s="16">
        <v>12.6251</v>
      </c>
      <c r="H2843" s="15"/>
      <c r="I2843" s="15"/>
    </row>
    <row r="2844">
      <c r="A2844" s="18">
        <v>45665.0</v>
      </c>
      <c r="B2844" s="16" t="s">
        <v>3675</v>
      </c>
      <c r="C2844" s="16" t="s">
        <v>1101</v>
      </c>
      <c r="D2844" s="16" t="s">
        <v>707</v>
      </c>
      <c r="E2844" s="16">
        <v>2013.0</v>
      </c>
      <c r="F2844" s="16">
        <v>48.2534</v>
      </c>
      <c r="G2844" s="16">
        <v>11.6008</v>
      </c>
      <c r="H2844" s="15"/>
      <c r="I2844" s="15"/>
    </row>
    <row r="2845">
      <c r="A2845" s="18">
        <v>45665.0</v>
      </c>
      <c r="B2845" s="16" t="s">
        <v>3676</v>
      </c>
      <c r="C2845" s="16" t="s">
        <v>961</v>
      </c>
      <c r="D2845" s="16" t="s">
        <v>707</v>
      </c>
      <c r="E2845" s="16">
        <v>2013.0</v>
      </c>
      <c r="F2845" s="16">
        <v>51.1055</v>
      </c>
      <c r="G2845" s="16">
        <v>10.669</v>
      </c>
      <c r="H2845" s="15"/>
      <c r="I2845" s="15"/>
    </row>
    <row r="2846">
      <c r="A2846" s="18">
        <v>45665.0</v>
      </c>
      <c r="B2846" s="16" t="s">
        <v>3677</v>
      </c>
      <c r="C2846" s="16" t="s">
        <v>1011</v>
      </c>
      <c r="D2846" s="16" t="s">
        <v>707</v>
      </c>
      <c r="E2846" s="16">
        <v>2013.0</v>
      </c>
      <c r="F2846" s="16">
        <v>51.1187</v>
      </c>
      <c r="G2846" s="16">
        <v>10.5757</v>
      </c>
      <c r="H2846" s="15"/>
      <c r="I2846" s="15"/>
    </row>
    <row r="2847">
      <c r="A2847" s="18">
        <v>45665.0</v>
      </c>
      <c r="B2847" s="16" t="s">
        <v>3678</v>
      </c>
      <c r="C2847" s="16" t="s">
        <v>948</v>
      </c>
      <c r="D2847" s="16" t="s">
        <v>707</v>
      </c>
      <c r="E2847" s="16">
        <v>2013.0</v>
      </c>
      <c r="F2847" s="16">
        <v>51.0942</v>
      </c>
      <c r="G2847" s="16">
        <v>10.5521</v>
      </c>
      <c r="H2847" s="15"/>
      <c r="I2847" s="15"/>
    </row>
    <row r="2848">
      <c r="A2848" s="18">
        <v>45665.0</v>
      </c>
      <c r="B2848" s="16" t="s">
        <v>3679</v>
      </c>
      <c r="C2848" s="16" t="s">
        <v>969</v>
      </c>
      <c r="D2848" s="16" t="s">
        <v>707</v>
      </c>
      <c r="E2848" s="16">
        <v>2013.0</v>
      </c>
      <c r="F2848" s="16">
        <v>51.0849</v>
      </c>
      <c r="G2848" s="16">
        <v>10.6827</v>
      </c>
      <c r="H2848" s="15"/>
      <c r="I2848" s="15"/>
    </row>
    <row r="2849">
      <c r="A2849" s="18">
        <v>45665.0</v>
      </c>
      <c r="B2849" s="16" t="s">
        <v>3680</v>
      </c>
      <c r="C2849" s="16" t="s">
        <v>951</v>
      </c>
      <c r="D2849" s="16" t="s">
        <v>707</v>
      </c>
      <c r="E2849" s="16">
        <v>2013.0</v>
      </c>
      <c r="F2849" s="16">
        <v>51.0847</v>
      </c>
      <c r="G2849" s="16">
        <v>10.6813</v>
      </c>
      <c r="H2849" s="15"/>
      <c r="I2849" s="15"/>
    </row>
    <row r="2850">
      <c r="A2850" s="18">
        <v>45665.0</v>
      </c>
      <c r="B2850" s="16" t="s">
        <v>3681</v>
      </c>
      <c r="C2850" s="16" t="s">
        <v>1039</v>
      </c>
      <c r="D2850" s="16" t="s">
        <v>707</v>
      </c>
      <c r="E2850" s="16">
        <v>2013.0</v>
      </c>
      <c r="F2850" s="16">
        <v>51.0532</v>
      </c>
      <c r="G2850" s="16">
        <v>9.9221</v>
      </c>
      <c r="H2850" s="15"/>
      <c r="I2850" s="15"/>
    </row>
    <row r="2851">
      <c r="A2851" s="18">
        <v>45665.0</v>
      </c>
      <c r="B2851" s="16" t="s">
        <v>3682</v>
      </c>
      <c r="C2851" s="16" t="s">
        <v>1055</v>
      </c>
      <c r="D2851" s="16" t="s">
        <v>707</v>
      </c>
      <c r="E2851" s="16">
        <v>2013.0</v>
      </c>
      <c r="F2851" s="16">
        <v>52.0928</v>
      </c>
      <c r="G2851" s="16">
        <v>8.575</v>
      </c>
      <c r="H2851" s="15"/>
      <c r="I2851" s="15"/>
    </row>
    <row r="2852">
      <c r="A2852" s="18">
        <v>45665.0</v>
      </c>
      <c r="B2852" s="16" t="s">
        <v>3683</v>
      </c>
      <c r="C2852" s="16" t="s">
        <v>1099</v>
      </c>
      <c r="D2852" s="16" t="s">
        <v>707</v>
      </c>
      <c r="E2852" s="16">
        <v>2013.0</v>
      </c>
      <c r="F2852" s="16">
        <v>52.5994</v>
      </c>
      <c r="G2852" s="16">
        <v>11.8736</v>
      </c>
      <c r="H2852" s="15"/>
      <c r="I2852" s="15"/>
    </row>
    <row r="2853">
      <c r="A2853" s="18">
        <v>45665.0</v>
      </c>
      <c r="B2853" s="16" t="s">
        <v>3684</v>
      </c>
      <c r="C2853" s="16" t="s">
        <v>1055</v>
      </c>
      <c r="D2853" s="16" t="s">
        <v>707</v>
      </c>
      <c r="E2853" s="16">
        <v>2013.0</v>
      </c>
      <c r="F2853" s="16">
        <v>49.7054</v>
      </c>
      <c r="G2853" s="16">
        <v>10.1066</v>
      </c>
      <c r="H2853" s="15"/>
      <c r="I2853" s="15"/>
    </row>
    <row r="2854">
      <c r="A2854" s="18">
        <v>45665.0</v>
      </c>
      <c r="B2854" s="16" t="s">
        <v>3685</v>
      </c>
      <c r="C2854" s="16" t="s">
        <v>1099</v>
      </c>
      <c r="D2854" s="16" t="s">
        <v>707</v>
      </c>
      <c r="E2854" s="16">
        <v>2013.0</v>
      </c>
      <c r="F2854" s="16">
        <v>51.559</v>
      </c>
      <c r="G2854" s="16">
        <v>12.9777</v>
      </c>
      <c r="H2854" s="15"/>
      <c r="I2854" s="15"/>
    </row>
    <row r="2855">
      <c r="A2855" s="18">
        <v>45665.0</v>
      </c>
      <c r="B2855" s="16" t="s">
        <v>3686</v>
      </c>
      <c r="C2855" s="16">
        <v>1.0</v>
      </c>
      <c r="D2855" s="16" t="s">
        <v>707</v>
      </c>
      <c r="E2855" s="16">
        <v>2013.0</v>
      </c>
      <c r="F2855" s="16">
        <v>51.4659</v>
      </c>
      <c r="G2855" s="16">
        <v>10.3104</v>
      </c>
      <c r="H2855" s="15"/>
      <c r="I2855" s="15"/>
    </row>
    <row r="2856">
      <c r="A2856" s="18">
        <v>45665.0</v>
      </c>
      <c r="B2856" s="16" t="s">
        <v>3687</v>
      </c>
      <c r="C2856" s="16" t="s">
        <v>1011</v>
      </c>
      <c r="D2856" s="16" t="s">
        <v>707</v>
      </c>
      <c r="E2856" s="16">
        <v>2013.0</v>
      </c>
      <c r="F2856" s="16">
        <v>52.7108</v>
      </c>
      <c r="G2856" s="16">
        <v>14.2118</v>
      </c>
      <c r="H2856" s="15"/>
      <c r="I2856" s="15"/>
    </row>
    <row r="2857">
      <c r="A2857" s="18">
        <v>45665.0</v>
      </c>
      <c r="B2857" s="16" t="s">
        <v>3688</v>
      </c>
      <c r="C2857" s="16">
        <v>3.0</v>
      </c>
      <c r="D2857" s="16" t="s">
        <v>707</v>
      </c>
      <c r="E2857" s="16">
        <v>2013.0</v>
      </c>
      <c r="F2857" s="16">
        <v>52.7239</v>
      </c>
      <c r="G2857" s="16">
        <v>14.1418</v>
      </c>
      <c r="H2857" s="15"/>
      <c r="I2857" s="15"/>
    </row>
    <row r="2858">
      <c r="A2858" s="18">
        <v>45665.0</v>
      </c>
      <c r="B2858" s="16" t="s">
        <v>3689</v>
      </c>
      <c r="C2858" s="16" t="s">
        <v>1034</v>
      </c>
      <c r="D2858" s="16" t="s">
        <v>707</v>
      </c>
      <c r="E2858" s="16">
        <v>2013.0</v>
      </c>
      <c r="F2858" s="16">
        <v>52.4295</v>
      </c>
      <c r="G2858" s="16">
        <v>14.2904</v>
      </c>
      <c r="H2858" s="15"/>
      <c r="I2858" s="15"/>
    </row>
    <row r="2859">
      <c r="A2859" s="18">
        <v>45665.0</v>
      </c>
      <c r="B2859" s="16" t="s">
        <v>3690</v>
      </c>
      <c r="C2859" s="16" t="s">
        <v>959</v>
      </c>
      <c r="D2859" s="16" t="s">
        <v>707</v>
      </c>
      <c r="E2859" s="16">
        <v>2013.0</v>
      </c>
      <c r="F2859" s="16">
        <v>53.9255</v>
      </c>
      <c r="G2859" s="16">
        <v>13.4048</v>
      </c>
      <c r="H2859" s="15"/>
      <c r="I2859" s="15"/>
    </row>
    <row r="2860">
      <c r="A2860" s="18">
        <v>45665.0</v>
      </c>
      <c r="B2860" s="16" t="s">
        <v>3691</v>
      </c>
      <c r="C2860" s="16">
        <v>1.0</v>
      </c>
      <c r="D2860" s="16" t="s">
        <v>707</v>
      </c>
      <c r="E2860" s="16">
        <v>2013.0</v>
      </c>
      <c r="F2860" s="16">
        <v>51.6438</v>
      </c>
      <c r="G2860" s="16">
        <v>8.5287</v>
      </c>
      <c r="H2860" s="15"/>
      <c r="I2860" s="15"/>
    </row>
    <row r="2861">
      <c r="A2861" s="18">
        <v>45665.0</v>
      </c>
      <c r="B2861" s="16" t="s">
        <v>3692</v>
      </c>
      <c r="C2861" s="16" t="s">
        <v>942</v>
      </c>
      <c r="D2861" s="16" t="s">
        <v>707</v>
      </c>
      <c r="E2861" s="16">
        <v>2013.0</v>
      </c>
      <c r="F2861" s="16">
        <v>49.1761</v>
      </c>
      <c r="G2861" s="16">
        <v>9.2303</v>
      </c>
      <c r="H2861" s="15"/>
      <c r="I2861" s="15"/>
    </row>
    <row r="2862">
      <c r="A2862" s="18">
        <v>45665.0</v>
      </c>
      <c r="B2862" s="16" t="s">
        <v>3693</v>
      </c>
      <c r="C2862" s="16" t="s">
        <v>971</v>
      </c>
      <c r="D2862" s="16" t="s">
        <v>3574</v>
      </c>
      <c r="E2862" s="16">
        <v>2013.0</v>
      </c>
      <c r="F2862" s="16">
        <v>48.7507</v>
      </c>
      <c r="G2862" s="16">
        <v>8.347</v>
      </c>
      <c r="H2862" s="15"/>
      <c r="I2862" s="15"/>
    </row>
    <row r="2863">
      <c r="A2863" s="18">
        <v>45665.0</v>
      </c>
      <c r="B2863" s="16" t="s">
        <v>3694</v>
      </c>
      <c r="C2863" s="16" t="s">
        <v>1436</v>
      </c>
      <c r="D2863" s="16" t="s">
        <v>707</v>
      </c>
      <c r="E2863" s="16">
        <v>2013.0</v>
      </c>
      <c r="F2863" s="16">
        <v>49.4277</v>
      </c>
      <c r="G2863" s="16">
        <v>7.2147</v>
      </c>
      <c r="H2863" s="15"/>
      <c r="I2863" s="15"/>
    </row>
    <row r="2864">
      <c r="A2864" s="18">
        <v>45665.0</v>
      </c>
      <c r="B2864" s="16" t="s">
        <v>3695</v>
      </c>
      <c r="C2864" s="16" t="s">
        <v>1055</v>
      </c>
      <c r="D2864" s="16" t="s">
        <v>707</v>
      </c>
      <c r="E2864" s="16">
        <v>2013.0</v>
      </c>
      <c r="F2864" s="16">
        <v>53.9151</v>
      </c>
      <c r="G2864" s="16">
        <v>9.3596</v>
      </c>
      <c r="H2864" s="15"/>
      <c r="I2864" s="15"/>
    </row>
    <row r="2865">
      <c r="A2865" s="18">
        <v>45665.0</v>
      </c>
      <c r="B2865" s="16" t="s">
        <v>3696</v>
      </c>
      <c r="C2865" s="16">
        <v>1.0</v>
      </c>
      <c r="D2865" s="16" t="s">
        <v>707</v>
      </c>
      <c r="E2865" s="16">
        <v>2013.0</v>
      </c>
      <c r="F2865" s="16">
        <v>48.9074</v>
      </c>
      <c r="G2865" s="16">
        <v>11.1646</v>
      </c>
      <c r="H2865" s="15"/>
      <c r="I2865" s="15"/>
    </row>
    <row r="2866">
      <c r="A2866" s="18">
        <v>45665.0</v>
      </c>
      <c r="B2866" s="16" t="s">
        <v>3697</v>
      </c>
      <c r="C2866" s="16" t="s">
        <v>1101</v>
      </c>
      <c r="D2866" s="16" t="s">
        <v>707</v>
      </c>
      <c r="E2866" s="16">
        <v>2013.0</v>
      </c>
      <c r="F2866" s="16">
        <v>51.4564</v>
      </c>
      <c r="G2866" s="16">
        <v>10.6211</v>
      </c>
      <c r="H2866" s="15"/>
      <c r="I2866" s="15"/>
    </row>
    <row r="2867">
      <c r="A2867" s="18">
        <v>45665.0</v>
      </c>
      <c r="B2867" s="16" t="s">
        <v>3698</v>
      </c>
      <c r="C2867" s="16" t="s">
        <v>948</v>
      </c>
      <c r="D2867" s="16" t="s">
        <v>707</v>
      </c>
      <c r="E2867" s="16">
        <v>2013.0</v>
      </c>
      <c r="F2867" s="16">
        <v>51.4548</v>
      </c>
      <c r="G2867" s="16">
        <v>10.6186</v>
      </c>
      <c r="H2867" s="15"/>
      <c r="I2867" s="15"/>
    </row>
    <row r="2868">
      <c r="A2868" s="18">
        <v>45665.0</v>
      </c>
      <c r="B2868" s="16" t="s">
        <v>3699</v>
      </c>
      <c r="C2868" s="16" t="s">
        <v>1039</v>
      </c>
      <c r="D2868" s="16" t="s">
        <v>707</v>
      </c>
      <c r="E2868" s="16">
        <v>2013.0</v>
      </c>
      <c r="F2868" s="16">
        <v>52.9941</v>
      </c>
      <c r="G2868" s="16">
        <v>11.7294</v>
      </c>
      <c r="H2868" s="15"/>
      <c r="I2868" s="15"/>
    </row>
    <row r="2869">
      <c r="A2869" s="18">
        <v>45665.0</v>
      </c>
      <c r="B2869" s="16" t="s">
        <v>3700</v>
      </c>
      <c r="C2869" s="16" t="s">
        <v>2147</v>
      </c>
      <c r="D2869" s="16" t="s">
        <v>707</v>
      </c>
      <c r="E2869" s="16">
        <v>2013.0</v>
      </c>
      <c r="F2869" s="16">
        <v>54.0269</v>
      </c>
      <c r="G2869" s="16">
        <v>13.7161</v>
      </c>
      <c r="H2869" s="15"/>
      <c r="I2869" s="15"/>
    </row>
    <row r="2870">
      <c r="A2870" s="18">
        <v>45665.0</v>
      </c>
      <c r="B2870" s="16" t="s">
        <v>3701</v>
      </c>
      <c r="C2870" s="16">
        <v>2.0</v>
      </c>
      <c r="D2870" s="16" t="s">
        <v>707</v>
      </c>
      <c r="E2870" s="16">
        <v>2013.0</v>
      </c>
      <c r="F2870" s="16">
        <v>51.8679</v>
      </c>
      <c r="G2870" s="16">
        <v>14.4117</v>
      </c>
      <c r="H2870" s="15"/>
      <c r="I2870" s="15"/>
    </row>
    <row r="2871">
      <c r="A2871" s="18">
        <v>45665.0</v>
      </c>
      <c r="B2871" s="16" t="s">
        <v>3702</v>
      </c>
      <c r="C2871" s="16" t="s">
        <v>969</v>
      </c>
      <c r="D2871" s="16" t="s">
        <v>707</v>
      </c>
      <c r="E2871" s="16">
        <v>2013.0</v>
      </c>
      <c r="F2871" s="16">
        <v>52.3292</v>
      </c>
      <c r="G2871" s="16">
        <v>9.8212</v>
      </c>
      <c r="H2871" s="15"/>
      <c r="I2871" s="15"/>
    </row>
    <row r="2872">
      <c r="A2872" s="18">
        <v>45665.0</v>
      </c>
      <c r="B2872" s="16" t="s">
        <v>3703</v>
      </c>
      <c r="C2872" s="16" t="s">
        <v>971</v>
      </c>
      <c r="D2872" s="16" t="s">
        <v>707</v>
      </c>
      <c r="E2872" s="16">
        <v>2013.0</v>
      </c>
      <c r="F2872" s="16">
        <v>54.0</v>
      </c>
      <c r="G2872" s="16">
        <v>12.5076</v>
      </c>
      <c r="H2872" s="15"/>
      <c r="I2872" s="15"/>
    </row>
    <row r="2873">
      <c r="A2873" s="18">
        <v>45665.0</v>
      </c>
      <c r="B2873" s="16" t="s">
        <v>3704</v>
      </c>
      <c r="C2873" s="16" t="s">
        <v>959</v>
      </c>
      <c r="D2873" s="16" t="s">
        <v>707</v>
      </c>
      <c r="E2873" s="16">
        <v>2014.0</v>
      </c>
      <c r="F2873" s="16">
        <v>51.4813</v>
      </c>
      <c r="G2873" s="16">
        <v>10.4861</v>
      </c>
      <c r="H2873" s="15"/>
      <c r="I2873" s="15"/>
    </row>
    <row r="2874">
      <c r="A2874" s="18">
        <v>45665.0</v>
      </c>
      <c r="B2874" s="16" t="s">
        <v>3705</v>
      </c>
      <c r="C2874" s="16">
        <v>1.0</v>
      </c>
      <c r="D2874" s="16" t="s">
        <v>707</v>
      </c>
      <c r="E2874" s="16">
        <v>2014.0</v>
      </c>
      <c r="F2874" s="16">
        <v>52.5919</v>
      </c>
      <c r="G2874" s="16">
        <v>8.5994</v>
      </c>
      <c r="H2874" s="15"/>
      <c r="I2874" s="15"/>
    </row>
    <row r="2875">
      <c r="A2875" s="18">
        <v>45665.0</v>
      </c>
      <c r="B2875" s="16" t="s">
        <v>3706</v>
      </c>
      <c r="C2875" s="16" t="s">
        <v>942</v>
      </c>
      <c r="D2875" s="16" t="s">
        <v>707</v>
      </c>
      <c r="E2875" s="16">
        <v>2014.0</v>
      </c>
      <c r="F2875" s="16">
        <v>47.7446</v>
      </c>
      <c r="G2875" s="16">
        <v>8.924</v>
      </c>
      <c r="H2875" s="15"/>
      <c r="I2875" s="15"/>
    </row>
    <row r="2876">
      <c r="A2876" s="18">
        <v>45665.0</v>
      </c>
      <c r="B2876" s="16" t="s">
        <v>3707</v>
      </c>
      <c r="C2876" s="16">
        <v>1.0</v>
      </c>
      <c r="D2876" s="16" t="s">
        <v>707</v>
      </c>
      <c r="E2876" s="16">
        <v>2014.0</v>
      </c>
      <c r="F2876" s="16">
        <v>48.849</v>
      </c>
      <c r="G2876" s="16">
        <v>9.8337</v>
      </c>
      <c r="H2876" s="15"/>
      <c r="I2876" s="15"/>
    </row>
    <row r="2877">
      <c r="A2877" s="18">
        <v>45665.0</v>
      </c>
      <c r="B2877" s="16" t="s">
        <v>3708</v>
      </c>
      <c r="C2877" s="16" t="s">
        <v>942</v>
      </c>
      <c r="D2877" s="16" t="s">
        <v>707</v>
      </c>
      <c r="E2877" s="16">
        <v>2014.0</v>
      </c>
      <c r="F2877" s="16">
        <v>53.0</v>
      </c>
      <c r="G2877" s="16">
        <v>13.6925</v>
      </c>
      <c r="H2877" s="15"/>
      <c r="I2877" s="15"/>
    </row>
    <row r="2878">
      <c r="A2878" s="18">
        <v>45665.0</v>
      </c>
      <c r="B2878" s="16" t="s">
        <v>3709</v>
      </c>
      <c r="C2878" s="16" t="s">
        <v>942</v>
      </c>
      <c r="D2878" s="16" t="s">
        <v>707</v>
      </c>
      <c r="E2878" s="16">
        <v>2014.0</v>
      </c>
      <c r="F2878" s="16">
        <v>53.5049</v>
      </c>
      <c r="G2878" s="16">
        <v>13.3939</v>
      </c>
      <c r="H2878" s="15"/>
      <c r="I2878" s="15"/>
    </row>
    <row r="2879">
      <c r="A2879" s="18">
        <v>45665.0</v>
      </c>
      <c r="B2879" s="16" t="s">
        <v>3710</v>
      </c>
      <c r="C2879" s="16">
        <v>1.0</v>
      </c>
      <c r="D2879" s="16" t="s">
        <v>707</v>
      </c>
      <c r="E2879" s="16">
        <v>2014.0</v>
      </c>
      <c r="F2879" s="16">
        <v>53.8975</v>
      </c>
      <c r="G2879" s="16">
        <v>12.8898</v>
      </c>
      <c r="H2879" s="15"/>
      <c r="I2879" s="15"/>
    </row>
    <row r="2880">
      <c r="A2880" s="18">
        <v>45665.0</v>
      </c>
      <c r="B2880" s="16" t="s">
        <v>3711</v>
      </c>
      <c r="C2880" s="16" t="s">
        <v>942</v>
      </c>
      <c r="D2880" s="16" t="s">
        <v>707</v>
      </c>
      <c r="E2880" s="16">
        <v>2014.0</v>
      </c>
      <c r="F2880" s="16">
        <v>50.466</v>
      </c>
      <c r="G2880" s="16">
        <v>7.8419</v>
      </c>
      <c r="H2880" s="15"/>
      <c r="I2880" s="15"/>
    </row>
    <row r="2881">
      <c r="A2881" s="18">
        <v>45665.0</v>
      </c>
      <c r="B2881" s="16" t="s">
        <v>3712</v>
      </c>
      <c r="C2881" s="16" t="s">
        <v>942</v>
      </c>
      <c r="D2881" s="16" t="s">
        <v>707</v>
      </c>
      <c r="E2881" s="16">
        <v>2014.0</v>
      </c>
      <c r="F2881" s="16">
        <v>50.4667</v>
      </c>
      <c r="G2881" s="16">
        <v>7.8435</v>
      </c>
      <c r="H2881" s="15"/>
      <c r="I2881" s="15"/>
    </row>
    <row r="2882">
      <c r="A2882" s="18">
        <v>45665.0</v>
      </c>
      <c r="B2882" s="16" t="s">
        <v>3713</v>
      </c>
      <c r="C2882" s="16">
        <v>1.0</v>
      </c>
      <c r="D2882" s="16" t="s">
        <v>707</v>
      </c>
      <c r="E2882" s="16">
        <v>2014.0</v>
      </c>
      <c r="F2882" s="16">
        <v>53.0373</v>
      </c>
      <c r="G2882" s="16">
        <v>8.9006</v>
      </c>
      <c r="H2882" s="15"/>
      <c r="I2882" s="15"/>
    </row>
    <row r="2883">
      <c r="A2883" s="18">
        <v>45665.0</v>
      </c>
      <c r="B2883" s="16" t="s">
        <v>3714</v>
      </c>
      <c r="C2883" s="16" t="s">
        <v>978</v>
      </c>
      <c r="D2883" s="16" t="s">
        <v>707</v>
      </c>
      <c r="E2883" s="16">
        <v>2014.0</v>
      </c>
      <c r="F2883" s="16">
        <v>51.0729</v>
      </c>
      <c r="G2883" s="16">
        <v>12.1487</v>
      </c>
      <c r="H2883" s="15"/>
      <c r="I2883" s="15"/>
    </row>
    <row r="2884">
      <c r="A2884" s="18">
        <v>45665.0</v>
      </c>
      <c r="B2884" s="16" t="s">
        <v>3715</v>
      </c>
      <c r="C2884" s="16">
        <v>1.0</v>
      </c>
      <c r="D2884" s="16" t="s">
        <v>707</v>
      </c>
      <c r="E2884" s="16">
        <v>2014.0</v>
      </c>
      <c r="F2884" s="16">
        <v>51.1041</v>
      </c>
      <c r="G2884" s="16">
        <v>11.5921</v>
      </c>
      <c r="H2884" s="15"/>
      <c r="I2884" s="15"/>
    </row>
    <row r="2885">
      <c r="A2885" s="18">
        <v>45665.0</v>
      </c>
      <c r="B2885" s="16" t="s">
        <v>3716</v>
      </c>
      <c r="C2885" s="16" t="s">
        <v>942</v>
      </c>
      <c r="D2885" s="16" t="s">
        <v>707</v>
      </c>
      <c r="E2885" s="16">
        <v>2014.0</v>
      </c>
      <c r="F2885" s="16">
        <v>52.5893</v>
      </c>
      <c r="G2885" s="16">
        <v>11.8948</v>
      </c>
      <c r="H2885" s="15"/>
      <c r="I2885" s="15"/>
    </row>
    <row r="2886">
      <c r="A2886" s="18">
        <v>45665.0</v>
      </c>
      <c r="B2886" s="16" t="s">
        <v>3717</v>
      </c>
      <c r="C2886" s="16" t="s">
        <v>942</v>
      </c>
      <c r="D2886" s="16" t="s">
        <v>707</v>
      </c>
      <c r="E2886" s="16">
        <v>2014.0</v>
      </c>
      <c r="F2886" s="16">
        <v>53.504</v>
      </c>
      <c r="G2886" s="16">
        <v>13.3953</v>
      </c>
      <c r="H2886" s="15"/>
      <c r="I2886" s="15"/>
    </row>
    <row r="2887">
      <c r="A2887" s="18">
        <v>45665.0</v>
      </c>
      <c r="B2887" s="16" t="s">
        <v>3718</v>
      </c>
      <c r="C2887" s="16">
        <v>1.0</v>
      </c>
      <c r="D2887" s="16" t="s">
        <v>707</v>
      </c>
      <c r="E2887" s="16">
        <v>2014.0</v>
      </c>
      <c r="F2887" s="16">
        <v>49.2454</v>
      </c>
      <c r="G2887" s="16">
        <v>8.6371</v>
      </c>
      <c r="H2887" s="15"/>
      <c r="I2887" s="15"/>
    </row>
    <row r="2888">
      <c r="A2888" s="18">
        <v>45665.0</v>
      </c>
      <c r="B2888" s="16" t="s">
        <v>3719</v>
      </c>
      <c r="C2888" s="16">
        <v>1.0</v>
      </c>
      <c r="D2888" s="16" t="s">
        <v>707</v>
      </c>
      <c r="E2888" s="16">
        <v>2014.0</v>
      </c>
      <c r="F2888" s="16">
        <v>51.3505</v>
      </c>
      <c r="G2888" s="16">
        <v>12.9955</v>
      </c>
      <c r="H2888" s="15"/>
      <c r="I2888" s="15"/>
    </row>
    <row r="2889">
      <c r="A2889" s="18">
        <v>45665.0</v>
      </c>
      <c r="B2889" s="16" t="s">
        <v>3720</v>
      </c>
      <c r="C2889" s="16" t="s">
        <v>969</v>
      </c>
      <c r="D2889" s="16" t="s">
        <v>707</v>
      </c>
      <c r="E2889" s="16">
        <v>2014.0</v>
      </c>
      <c r="F2889" s="16">
        <v>49.4493</v>
      </c>
      <c r="G2889" s="16">
        <v>11.0489</v>
      </c>
      <c r="H2889" s="15"/>
      <c r="I2889" s="15"/>
    </row>
    <row r="2890">
      <c r="A2890" s="18">
        <v>45665.0</v>
      </c>
      <c r="B2890" s="16" t="s">
        <v>3721</v>
      </c>
      <c r="C2890" s="16" t="s">
        <v>951</v>
      </c>
      <c r="D2890" s="16" t="s">
        <v>707</v>
      </c>
      <c r="E2890" s="16">
        <v>2014.0</v>
      </c>
      <c r="F2890" s="16">
        <v>50.6375</v>
      </c>
      <c r="G2890" s="16">
        <v>12.4348</v>
      </c>
      <c r="H2890" s="15"/>
      <c r="I2890" s="15"/>
    </row>
    <row r="2891">
      <c r="A2891" s="18">
        <v>45665.0</v>
      </c>
      <c r="B2891" s="16" t="s">
        <v>3722</v>
      </c>
      <c r="C2891" s="16" t="s">
        <v>942</v>
      </c>
      <c r="D2891" s="16" t="s">
        <v>707</v>
      </c>
      <c r="E2891" s="16">
        <v>2014.0</v>
      </c>
      <c r="F2891" s="16">
        <v>47.8289</v>
      </c>
      <c r="G2891" s="16">
        <v>12.5826</v>
      </c>
      <c r="H2891" s="15"/>
      <c r="I2891" s="15"/>
    </row>
    <row r="2892">
      <c r="A2892" s="18">
        <v>45665.0</v>
      </c>
      <c r="B2892" s="16" t="s">
        <v>3723</v>
      </c>
      <c r="C2892" s="16" t="s">
        <v>2498</v>
      </c>
      <c r="D2892" s="16" t="s">
        <v>707</v>
      </c>
      <c r="E2892" s="16">
        <v>2014.0</v>
      </c>
      <c r="F2892" s="16">
        <v>48.4023</v>
      </c>
      <c r="G2892" s="16">
        <v>10.9609</v>
      </c>
      <c r="H2892" s="15"/>
      <c r="I2892" s="15"/>
    </row>
    <row r="2893">
      <c r="A2893" s="18">
        <v>45665.0</v>
      </c>
      <c r="B2893" s="16" t="s">
        <v>3724</v>
      </c>
      <c r="C2893" s="16" t="s">
        <v>1039</v>
      </c>
      <c r="D2893" s="16" t="s">
        <v>707</v>
      </c>
      <c r="E2893" s="16">
        <v>2014.0</v>
      </c>
      <c r="F2893" s="16">
        <v>48.3301</v>
      </c>
      <c r="G2893" s="16">
        <v>9.9077</v>
      </c>
      <c r="H2893" s="15"/>
      <c r="I2893" s="15"/>
    </row>
    <row r="2894">
      <c r="A2894" s="18">
        <v>45665.0</v>
      </c>
      <c r="B2894" s="16" t="s">
        <v>3725</v>
      </c>
      <c r="C2894" s="16">
        <v>4.0</v>
      </c>
      <c r="D2894" s="16" t="s">
        <v>707</v>
      </c>
      <c r="E2894" s="16">
        <v>2014.0</v>
      </c>
      <c r="F2894" s="16">
        <v>51.7075</v>
      </c>
      <c r="G2894" s="16">
        <v>10.2401</v>
      </c>
      <c r="H2894" s="15"/>
      <c r="I2894" s="15"/>
    </row>
    <row r="2895">
      <c r="A2895" s="18">
        <v>45665.0</v>
      </c>
      <c r="B2895" s="16" t="s">
        <v>3726</v>
      </c>
      <c r="C2895" s="16" t="s">
        <v>946</v>
      </c>
      <c r="D2895" s="16" t="s">
        <v>707</v>
      </c>
      <c r="E2895" s="16">
        <v>2014.0</v>
      </c>
      <c r="F2895" s="16">
        <v>47.9922</v>
      </c>
      <c r="G2895" s="16">
        <v>12.6362</v>
      </c>
      <c r="H2895" s="15"/>
      <c r="I2895" s="15"/>
    </row>
    <row r="2896">
      <c r="A2896" s="18">
        <v>45665.0</v>
      </c>
      <c r="B2896" s="16" t="s">
        <v>3727</v>
      </c>
      <c r="C2896" s="16" t="s">
        <v>1436</v>
      </c>
      <c r="D2896" s="16" t="s">
        <v>707</v>
      </c>
      <c r="E2896" s="16">
        <v>2014.0</v>
      </c>
      <c r="F2896" s="16">
        <v>49.6652</v>
      </c>
      <c r="G2896" s="16">
        <v>6.9202</v>
      </c>
      <c r="H2896" s="15"/>
      <c r="I2896" s="15"/>
    </row>
    <row r="2897">
      <c r="A2897" s="18">
        <v>45665.0</v>
      </c>
      <c r="B2897" s="16" t="s">
        <v>3728</v>
      </c>
      <c r="C2897" s="16">
        <v>1.0</v>
      </c>
      <c r="D2897" s="16" t="s">
        <v>707</v>
      </c>
      <c r="E2897" s="16">
        <v>2014.0</v>
      </c>
      <c r="F2897" s="16">
        <v>53.4743</v>
      </c>
      <c r="G2897" s="16">
        <v>13.2252</v>
      </c>
      <c r="H2897" s="15"/>
      <c r="I2897" s="15"/>
    </row>
    <row r="2898">
      <c r="A2898" s="18">
        <v>45665.0</v>
      </c>
      <c r="B2898" s="16" t="s">
        <v>3729</v>
      </c>
      <c r="C2898" s="16" t="s">
        <v>961</v>
      </c>
      <c r="D2898" s="16" t="s">
        <v>707</v>
      </c>
      <c r="E2898" s="16">
        <v>2014.0</v>
      </c>
      <c r="F2898" s="16">
        <v>49.4724</v>
      </c>
      <c r="G2898" s="16">
        <v>10.2781</v>
      </c>
      <c r="H2898" s="15"/>
      <c r="I2898" s="15"/>
    </row>
    <row r="2899">
      <c r="A2899" s="18">
        <v>45665.0</v>
      </c>
      <c r="B2899" s="16" t="s">
        <v>3730</v>
      </c>
      <c r="C2899" s="16" t="s">
        <v>982</v>
      </c>
      <c r="D2899" s="16" t="s">
        <v>707</v>
      </c>
      <c r="E2899" s="16">
        <v>2014.0</v>
      </c>
      <c r="F2899" s="16">
        <v>48.8806</v>
      </c>
      <c r="G2899" s="16">
        <v>11.8783</v>
      </c>
      <c r="H2899" s="15"/>
      <c r="I2899" s="15"/>
    </row>
    <row r="2900">
      <c r="A2900" s="18">
        <v>45665.0</v>
      </c>
      <c r="B2900" s="16" t="s">
        <v>3731</v>
      </c>
      <c r="C2900" s="16" t="s">
        <v>1007</v>
      </c>
      <c r="D2900" s="16" t="s">
        <v>707</v>
      </c>
      <c r="E2900" s="16">
        <v>2014.0</v>
      </c>
      <c r="F2900" s="16">
        <v>53.8824</v>
      </c>
      <c r="G2900" s="16">
        <v>11.5519</v>
      </c>
      <c r="H2900" s="15"/>
      <c r="I2900" s="15"/>
    </row>
    <row r="2901">
      <c r="A2901" s="18">
        <v>45665.0</v>
      </c>
      <c r="B2901" s="16" t="s">
        <v>3732</v>
      </c>
      <c r="C2901" s="16">
        <v>1.0</v>
      </c>
      <c r="D2901" s="16" t="s">
        <v>707</v>
      </c>
      <c r="E2901" s="16">
        <v>2014.0</v>
      </c>
      <c r="F2901" s="16">
        <v>50.9758</v>
      </c>
      <c r="G2901" s="16">
        <v>6.8975</v>
      </c>
      <c r="H2901" s="15"/>
      <c r="I2901" s="15"/>
    </row>
    <row r="2902">
      <c r="A2902" s="18">
        <v>45665.0</v>
      </c>
      <c r="B2902" s="16" t="s">
        <v>3733</v>
      </c>
      <c r="C2902" s="16" t="s">
        <v>1055</v>
      </c>
      <c r="D2902" s="16" t="s">
        <v>707</v>
      </c>
      <c r="E2902" s="16">
        <v>2014.0</v>
      </c>
      <c r="F2902" s="16">
        <v>52.1959</v>
      </c>
      <c r="G2902" s="16">
        <v>14.2611</v>
      </c>
      <c r="H2902" s="15"/>
      <c r="I2902" s="15"/>
    </row>
    <row r="2903">
      <c r="A2903" s="18">
        <v>45665.0</v>
      </c>
      <c r="B2903" s="16" t="s">
        <v>3734</v>
      </c>
      <c r="C2903" s="16" t="s">
        <v>946</v>
      </c>
      <c r="D2903" s="16" t="s">
        <v>707</v>
      </c>
      <c r="E2903" s="16">
        <v>2014.0</v>
      </c>
      <c r="F2903" s="16">
        <v>52.0994</v>
      </c>
      <c r="G2903" s="16">
        <v>13.1345</v>
      </c>
      <c r="H2903" s="15"/>
      <c r="I2903" s="15"/>
    </row>
    <row r="2904">
      <c r="A2904" s="18">
        <v>45665.0</v>
      </c>
      <c r="B2904" s="16" t="s">
        <v>3735</v>
      </c>
      <c r="C2904" s="16" t="s">
        <v>951</v>
      </c>
      <c r="D2904" s="16" t="s">
        <v>707</v>
      </c>
      <c r="E2904" s="16">
        <v>2014.0</v>
      </c>
      <c r="F2904" s="16">
        <v>53.0917</v>
      </c>
      <c r="G2904" s="16">
        <v>11.847</v>
      </c>
      <c r="H2904" s="15"/>
      <c r="I2904" s="15"/>
    </row>
    <row r="2905">
      <c r="A2905" s="18">
        <v>45665.0</v>
      </c>
      <c r="B2905" s="16" t="s">
        <v>3736</v>
      </c>
      <c r="C2905" s="16" t="s">
        <v>990</v>
      </c>
      <c r="D2905" s="16" t="s">
        <v>707</v>
      </c>
      <c r="E2905" s="16">
        <v>2014.0</v>
      </c>
      <c r="F2905" s="16">
        <v>51.3887</v>
      </c>
      <c r="G2905" s="16">
        <v>12.3893</v>
      </c>
      <c r="H2905" s="15"/>
      <c r="I2905" s="15"/>
    </row>
    <row r="2906">
      <c r="A2906" s="18">
        <v>45665.0</v>
      </c>
      <c r="B2906" s="16" t="s">
        <v>3737</v>
      </c>
      <c r="C2906" s="16" t="s">
        <v>946</v>
      </c>
      <c r="D2906" s="16" t="s">
        <v>707</v>
      </c>
      <c r="E2906" s="16">
        <v>2014.0</v>
      </c>
      <c r="F2906" s="16">
        <v>52.7638</v>
      </c>
      <c r="G2906" s="16">
        <v>14.1635</v>
      </c>
      <c r="H2906" s="15"/>
      <c r="I2906" s="15"/>
    </row>
    <row r="2907">
      <c r="A2907" s="18">
        <v>45665.0</v>
      </c>
      <c r="B2907" s="16" t="s">
        <v>3738</v>
      </c>
      <c r="C2907" s="16" t="s">
        <v>961</v>
      </c>
      <c r="D2907" s="16" t="s">
        <v>707</v>
      </c>
      <c r="E2907" s="16">
        <v>2014.0</v>
      </c>
      <c r="F2907" s="16">
        <v>52.7184</v>
      </c>
      <c r="G2907" s="16">
        <v>14.145</v>
      </c>
      <c r="H2907" s="15"/>
      <c r="I2907" s="15"/>
    </row>
    <row r="2908">
      <c r="A2908" s="18">
        <v>45665.0</v>
      </c>
      <c r="B2908" s="16" t="s">
        <v>3739</v>
      </c>
      <c r="C2908" s="16" t="s">
        <v>969</v>
      </c>
      <c r="D2908" s="16" t="s">
        <v>707</v>
      </c>
      <c r="E2908" s="16">
        <v>2014.0</v>
      </c>
      <c r="F2908" s="16">
        <v>48.6717</v>
      </c>
      <c r="G2908" s="16">
        <v>12.4784</v>
      </c>
      <c r="H2908" s="15"/>
      <c r="I2908" s="15"/>
    </row>
    <row r="2909">
      <c r="A2909" s="18">
        <v>45665.0</v>
      </c>
      <c r="B2909" s="16" t="s">
        <v>3740</v>
      </c>
      <c r="C2909" s="16" t="s">
        <v>942</v>
      </c>
      <c r="D2909" s="16" t="s">
        <v>707</v>
      </c>
      <c r="E2909" s="16">
        <v>2014.0</v>
      </c>
      <c r="F2909" s="16">
        <v>50.1867</v>
      </c>
      <c r="G2909" s="16">
        <v>10.9548</v>
      </c>
      <c r="H2909" s="15"/>
      <c r="I2909" s="15"/>
    </row>
    <row r="2910">
      <c r="A2910" s="18">
        <v>45665.0</v>
      </c>
      <c r="B2910" s="16" t="s">
        <v>3741</v>
      </c>
      <c r="C2910" s="16" t="s">
        <v>1039</v>
      </c>
      <c r="D2910" s="16" t="s">
        <v>707</v>
      </c>
      <c r="E2910" s="16">
        <v>2014.0</v>
      </c>
      <c r="F2910" s="16">
        <v>48.7266</v>
      </c>
      <c r="G2910" s="16">
        <v>11.2147</v>
      </c>
      <c r="H2910" s="15"/>
      <c r="I2910" s="15"/>
    </row>
    <row r="2911">
      <c r="A2911" s="18">
        <v>45665.0</v>
      </c>
      <c r="B2911" s="16" t="s">
        <v>3742</v>
      </c>
      <c r="C2911" s="16" t="s">
        <v>982</v>
      </c>
      <c r="D2911" s="16" t="s">
        <v>707</v>
      </c>
      <c r="E2911" s="16">
        <v>2014.0</v>
      </c>
      <c r="F2911" s="16">
        <v>53.8565</v>
      </c>
      <c r="G2911" s="16">
        <v>9.4861</v>
      </c>
      <c r="H2911" s="15"/>
      <c r="I2911" s="15"/>
    </row>
    <row r="2912">
      <c r="A2912" s="18">
        <v>45665.0</v>
      </c>
      <c r="B2912" s="16" t="s">
        <v>3743</v>
      </c>
      <c r="C2912" s="16">
        <v>5.0</v>
      </c>
      <c r="D2912" s="16" t="s">
        <v>707</v>
      </c>
      <c r="E2912" s="16">
        <v>2014.0</v>
      </c>
      <c r="F2912" s="16">
        <v>50.9608</v>
      </c>
      <c r="G2912" s="16">
        <v>8.9416</v>
      </c>
      <c r="H2912" s="15"/>
      <c r="I2912" s="15"/>
    </row>
    <row r="2913">
      <c r="A2913" s="18">
        <v>45665.0</v>
      </c>
      <c r="B2913" s="16" t="s">
        <v>3744</v>
      </c>
      <c r="C2913" s="16" t="s">
        <v>1055</v>
      </c>
      <c r="D2913" s="16" t="s">
        <v>707</v>
      </c>
      <c r="E2913" s="16">
        <v>2014.0</v>
      </c>
      <c r="F2913" s="16">
        <v>48.5579</v>
      </c>
      <c r="G2913" s="16">
        <v>13.6268</v>
      </c>
      <c r="H2913" s="15"/>
      <c r="I2913" s="15"/>
    </row>
    <row r="2914">
      <c r="A2914" s="18">
        <v>45665.0</v>
      </c>
      <c r="B2914" s="16" t="s">
        <v>3745</v>
      </c>
      <c r="C2914" s="16" t="s">
        <v>959</v>
      </c>
      <c r="D2914" s="16" t="s">
        <v>707</v>
      </c>
      <c r="E2914" s="16">
        <v>2014.0</v>
      </c>
      <c r="F2914" s="16">
        <v>51.4865</v>
      </c>
      <c r="G2914" s="16">
        <v>10.8122</v>
      </c>
      <c r="H2914" s="15"/>
      <c r="I2914" s="15"/>
    </row>
    <row r="2915">
      <c r="A2915" s="18">
        <v>45665.0</v>
      </c>
      <c r="B2915" s="16" t="s">
        <v>3746</v>
      </c>
      <c r="C2915" s="16">
        <v>1.0</v>
      </c>
      <c r="D2915" s="16" t="s">
        <v>707</v>
      </c>
      <c r="E2915" s="16">
        <v>2014.0</v>
      </c>
      <c r="F2915" s="16">
        <v>51.7667</v>
      </c>
      <c r="G2915" s="16">
        <v>8.6897</v>
      </c>
      <c r="H2915" s="15"/>
      <c r="I2915" s="15"/>
    </row>
    <row r="2916">
      <c r="A2916" s="18">
        <v>45665.0</v>
      </c>
      <c r="B2916" s="16" t="s">
        <v>3747</v>
      </c>
      <c r="C2916" s="16" t="s">
        <v>942</v>
      </c>
      <c r="D2916" s="16" t="s">
        <v>707</v>
      </c>
      <c r="E2916" s="16">
        <v>2014.0</v>
      </c>
      <c r="F2916" s="16">
        <v>53.509</v>
      </c>
      <c r="G2916" s="16">
        <v>13.4013</v>
      </c>
      <c r="H2916" s="15"/>
      <c r="I2916" s="15"/>
    </row>
    <row r="2917">
      <c r="A2917" s="18">
        <v>45665.0</v>
      </c>
      <c r="B2917" s="16" t="s">
        <v>3748</v>
      </c>
      <c r="C2917" s="16" t="s">
        <v>1436</v>
      </c>
      <c r="D2917" s="16" t="s">
        <v>707</v>
      </c>
      <c r="E2917" s="16">
        <v>2014.0</v>
      </c>
      <c r="F2917" s="16">
        <v>52.2376</v>
      </c>
      <c r="G2917" s="16">
        <v>11.2167</v>
      </c>
      <c r="H2917" s="15"/>
      <c r="I2917" s="15"/>
    </row>
    <row r="2918">
      <c r="A2918" s="18">
        <v>45665.0</v>
      </c>
      <c r="B2918" s="16" t="s">
        <v>3749</v>
      </c>
      <c r="C2918" s="16">
        <v>10.0</v>
      </c>
      <c r="D2918" s="16" t="s">
        <v>707</v>
      </c>
      <c r="E2918" s="16">
        <v>2014.0</v>
      </c>
      <c r="F2918" s="16">
        <v>51.8077</v>
      </c>
      <c r="G2918" s="16">
        <v>12.0144</v>
      </c>
      <c r="H2918" s="15"/>
      <c r="I2918" s="15"/>
    </row>
    <row r="2919">
      <c r="A2919" s="18">
        <v>45665.0</v>
      </c>
      <c r="B2919" s="16" t="s">
        <v>3750</v>
      </c>
      <c r="C2919" s="16" t="s">
        <v>946</v>
      </c>
      <c r="D2919" s="16" t="s">
        <v>707</v>
      </c>
      <c r="E2919" s="16">
        <v>2014.0</v>
      </c>
      <c r="F2919" s="16">
        <v>48.5217</v>
      </c>
      <c r="G2919" s="16">
        <v>13.4105</v>
      </c>
      <c r="H2919" s="15"/>
      <c r="I2919" s="15"/>
    </row>
    <row r="2920">
      <c r="A2920" s="18">
        <v>45665.0</v>
      </c>
      <c r="B2920" s="16" t="s">
        <v>3751</v>
      </c>
      <c r="C2920" s="16" t="s">
        <v>969</v>
      </c>
      <c r="D2920" s="16" t="s">
        <v>707</v>
      </c>
      <c r="E2920" s="16">
        <v>2014.0</v>
      </c>
      <c r="F2920" s="16">
        <v>53.4215</v>
      </c>
      <c r="G2920" s="16">
        <v>8.4662</v>
      </c>
      <c r="H2920" s="15"/>
      <c r="I2920" s="15"/>
    </row>
    <row r="2921">
      <c r="A2921" s="18">
        <v>45665.0</v>
      </c>
      <c r="B2921" s="16" t="s">
        <v>3752</v>
      </c>
      <c r="C2921" s="16" t="s">
        <v>959</v>
      </c>
      <c r="D2921" s="16" t="s">
        <v>707</v>
      </c>
      <c r="E2921" s="16">
        <v>2014.0</v>
      </c>
      <c r="F2921" s="16">
        <v>49.4071</v>
      </c>
      <c r="G2921" s="16">
        <v>10.6854</v>
      </c>
      <c r="H2921" s="15"/>
      <c r="I2921" s="15"/>
    </row>
    <row r="2922">
      <c r="A2922" s="18">
        <v>45665.0</v>
      </c>
      <c r="B2922" s="16" t="s">
        <v>3753</v>
      </c>
      <c r="C2922" s="16" t="s">
        <v>969</v>
      </c>
      <c r="D2922" s="16" t="s">
        <v>707</v>
      </c>
      <c r="E2922" s="16">
        <v>2014.0</v>
      </c>
      <c r="F2922" s="16">
        <v>51.6867</v>
      </c>
      <c r="G2922" s="16">
        <v>8.7397</v>
      </c>
      <c r="H2922" s="15"/>
      <c r="I2922" s="15"/>
    </row>
    <row r="2923">
      <c r="A2923" s="18">
        <v>45665.0</v>
      </c>
      <c r="B2923" s="16" t="s">
        <v>3754</v>
      </c>
      <c r="C2923" s="16" t="s">
        <v>942</v>
      </c>
      <c r="D2923" s="16" t="s">
        <v>707</v>
      </c>
      <c r="E2923" s="16">
        <v>2014.0</v>
      </c>
      <c r="F2923" s="16">
        <v>48.4582</v>
      </c>
      <c r="G2923" s="16">
        <v>9.9795</v>
      </c>
      <c r="H2923" s="15"/>
      <c r="I2923" s="15"/>
    </row>
    <row r="2924">
      <c r="A2924" s="18">
        <v>45665.0</v>
      </c>
      <c r="B2924" s="16" t="s">
        <v>3755</v>
      </c>
      <c r="C2924" s="16" t="s">
        <v>948</v>
      </c>
      <c r="D2924" s="16" t="s">
        <v>707</v>
      </c>
      <c r="E2924" s="16">
        <v>2014.0</v>
      </c>
      <c r="F2924" s="16">
        <v>52.1107</v>
      </c>
      <c r="G2924" s="16">
        <v>12.3884</v>
      </c>
      <c r="H2924" s="15"/>
      <c r="I2924" s="15"/>
    </row>
    <row r="2925">
      <c r="A2925" s="18">
        <v>45665.0</v>
      </c>
      <c r="B2925" s="16" t="s">
        <v>3756</v>
      </c>
      <c r="C2925" s="16" t="s">
        <v>971</v>
      </c>
      <c r="D2925" s="16" t="s">
        <v>707</v>
      </c>
      <c r="E2925" s="16">
        <v>2014.0</v>
      </c>
      <c r="F2925" s="16">
        <v>49.2628</v>
      </c>
      <c r="G2925" s="16">
        <v>10.6821</v>
      </c>
      <c r="H2925" s="15"/>
      <c r="I2925" s="15"/>
    </row>
    <row r="2926">
      <c r="A2926" s="18">
        <v>45665.0</v>
      </c>
      <c r="B2926" s="16" t="s">
        <v>3757</v>
      </c>
      <c r="C2926" s="16">
        <v>3.0</v>
      </c>
      <c r="D2926" s="16" t="s">
        <v>707</v>
      </c>
      <c r="E2926" s="16">
        <v>2014.0</v>
      </c>
      <c r="F2926" s="16">
        <v>54.4144</v>
      </c>
      <c r="G2926" s="16">
        <v>9.6263</v>
      </c>
      <c r="H2926" s="15"/>
      <c r="I2926" s="15"/>
    </row>
    <row r="2927">
      <c r="A2927" s="18">
        <v>45665.0</v>
      </c>
      <c r="B2927" s="16" t="s">
        <v>3758</v>
      </c>
      <c r="C2927" s="16" t="s">
        <v>951</v>
      </c>
      <c r="D2927" s="16" t="s">
        <v>707</v>
      </c>
      <c r="E2927" s="16">
        <v>2014.0</v>
      </c>
      <c r="F2927" s="16">
        <v>54.4144</v>
      </c>
      <c r="G2927" s="16">
        <v>9.6263</v>
      </c>
      <c r="H2927" s="15"/>
      <c r="I2927" s="15"/>
    </row>
    <row r="2928">
      <c r="A2928" s="18">
        <v>45665.0</v>
      </c>
      <c r="B2928" s="16" t="s">
        <v>3759</v>
      </c>
      <c r="C2928" s="16" t="s">
        <v>2147</v>
      </c>
      <c r="D2928" s="16" t="s">
        <v>707</v>
      </c>
      <c r="E2928" s="16">
        <v>2014.0</v>
      </c>
      <c r="F2928" s="16">
        <v>50.8581</v>
      </c>
      <c r="G2928" s="16">
        <v>12.9469</v>
      </c>
      <c r="H2928" s="15"/>
      <c r="I2928" s="15"/>
    </row>
    <row r="2929">
      <c r="A2929" s="18">
        <v>45665.0</v>
      </c>
      <c r="B2929" s="16" t="s">
        <v>3760</v>
      </c>
      <c r="C2929" s="16" t="s">
        <v>948</v>
      </c>
      <c r="D2929" s="16" t="s">
        <v>707</v>
      </c>
      <c r="E2929" s="16">
        <v>2014.0</v>
      </c>
      <c r="F2929" s="16">
        <v>47.9216</v>
      </c>
      <c r="G2929" s="16">
        <v>12.5958</v>
      </c>
      <c r="H2929" s="15"/>
      <c r="I2929" s="15"/>
    </row>
    <row r="2930">
      <c r="A2930" s="18">
        <v>45665.0</v>
      </c>
      <c r="B2930" s="16" t="s">
        <v>3761</v>
      </c>
      <c r="C2930" s="16" t="s">
        <v>942</v>
      </c>
      <c r="D2930" s="16" t="s">
        <v>707</v>
      </c>
      <c r="E2930" s="16">
        <v>2014.0</v>
      </c>
      <c r="F2930" s="16">
        <v>52.8564</v>
      </c>
      <c r="G2930" s="16">
        <v>13.6751</v>
      </c>
      <c r="H2930" s="15"/>
      <c r="I2930" s="15"/>
    </row>
    <row r="2931">
      <c r="A2931" s="18">
        <v>45665.0</v>
      </c>
      <c r="B2931" s="16" t="s">
        <v>3762</v>
      </c>
      <c r="C2931" s="16" t="s">
        <v>969</v>
      </c>
      <c r="D2931" s="16" t="s">
        <v>707</v>
      </c>
      <c r="E2931" s="16">
        <v>2014.0</v>
      </c>
      <c r="F2931" s="16">
        <v>50.801</v>
      </c>
      <c r="G2931" s="16">
        <v>12.8542</v>
      </c>
      <c r="H2931" s="15"/>
      <c r="I2931" s="15"/>
    </row>
    <row r="2932">
      <c r="A2932" s="18">
        <v>45665.0</v>
      </c>
      <c r="B2932" s="16" t="s">
        <v>3763</v>
      </c>
      <c r="C2932" s="16" t="s">
        <v>984</v>
      </c>
      <c r="D2932" s="16" t="s">
        <v>707</v>
      </c>
      <c r="E2932" s="16">
        <v>2014.0</v>
      </c>
      <c r="F2932" s="16">
        <v>53.5548</v>
      </c>
      <c r="G2932" s="16">
        <v>13.2017</v>
      </c>
      <c r="H2932" s="15"/>
      <c r="I2932" s="15"/>
    </row>
    <row r="2933">
      <c r="A2933" s="18">
        <v>45665.0</v>
      </c>
      <c r="B2933" s="16" t="s">
        <v>3764</v>
      </c>
      <c r="C2933" s="16" t="s">
        <v>951</v>
      </c>
      <c r="D2933" s="16" t="s">
        <v>707</v>
      </c>
      <c r="E2933" s="16">
        <v>2014.0</v>
      </c>
      <c r="F2933" s="16">
        <v>49.739</v>
      </c>
      <c r="G2933" s="16">
        <v>10.1908</v>
      </c>
      <c r="H2933" s="15"/>
      <c r="I2933" s="15"/>
    </row>
    <row r="2934">
      <c r="A2934" s="18">
        <v>45665.0</v>
      </c>
      <c r="B2934" s="16" t="s">
        <v>3765</v>
      </c>
      <c r="C2934" s="16">
        <v>2.0</v>
      </c>
      <c r="D2934" s="16" t="s">
        <v>707</v>
      </c>
      <c r="E2934" s="16">
        <v>2014.0</v>
      </c>
      <c r="F2934" s="16">
        <v>49.739</v>
      </c>
      <c r="G2934" s="16">
        <v>10.1908</v>
      </c>
      <c r="H2934" s="15"/>
      <c r="I2934" s="15"/>
    </row>
    <row r="2935">
      <c r="A2935" s="18">
        <v>45665.0</v>
      </c>
      <c r="B2935" s="16" t="s">
        <v>3766</v>
      </c>
      <c r="C2935" s="16" t="s">
        <v>969</v>
      </c>
      <c r="D2935" s="16" t="s">
        <v>707</v>
      </c>
      <c r="E2935" s="16">
        <v>2014.0</v>
      </c>
      <c r="F2935" s="16">
        <v>50.0525</v>
      </c>
      <c r="G2935" s="16">
        <v>8.6603</v>
      </c>
      <c r="H2935" s="15"/>
      <c r="I2935" s="15"/>
    </row>
    <row r="2936">
      <c r="A2936" s="18">
        <v>45665.0</v>
      </c>
      <c r="B2936" s="16" t="s">
        <v>3767</v>
      </c>
      <c r="C2936" s="16" t="s">
        <v>961</v>
      </c>
      <c r="D2936" s="16" t="s">
        <v>707</v>
      </c>
      <c r="E2936" s="16">
        <v>2014.0</v>
      </c>
      <c r="F2936" s="16">
        <v>51.5678</v>
      </c>
      <c r="G2936" s="16">
        <v>13.5749</v>
      </c>
      <c r="H2936" s="15"/>
      <c r="I2936" s="15"/>
    </row>
    <row r="2937">
      <c r="A2937" s="18">
        <v>45665.0</v>
      </c>
      <c r="B2937" s="16" t="s">
        <v>3768</v>
      </c>
      <c r="C2937" s="16" t="s">
        <v>942</v>
      </c>
      <c r="D2937" s="16" t="s">
        <v>707</v>
      </c>
      <c r="E2937" s="16">
        <v>2014.0</v>
      </c>
      <c r="F2937" s="16">
        <v>49.3156</v>
      </c>
      <c r="G2937" s="16">
        <v>10.8459</v>
      </c>
      <c r="H2937" s="15"/>
      <c r="I2937" s="15"/>
    </row>
    <row r="2938">
      <c r="A2938" s="18">
        <v>45665.0</v>
      </c>
      <c r="B2938" s="16" t="s">
        <v>3769</v>
      </c>
      <c r="C2938" s="16">
        <v>1.0</v>
      </c>
      <c r="D2938" s="16" t="s">
        <v>707</v>
      </c>
      <c r="E2938" s="16">
        <v>2014.0</v>
      </c>
      <c r="F2938" s="16">
        <v>49.8963</v>
      </c>
      <c r="G2938" s="16">
        <v>8.602</v>
      </c>
      <c r="H2938" s="15"/>
      <c r="I2938" s="15"/>
    </row>
    <row r="2939">
      <c r="A2939" s="18">
        <v>45665.0</v>
      </c>
      <c r="B2939" s="16" t="s">
        <v>3770</v>
      </c>
      <c r="C2939" s="16" t="s">
        <v>961</v>
      </c>
      <c r="D2939" s="16" t="s">
        <v>707</v>
      </c>
      <c r="E2939" s="16">
        <v>2014.0</v>
      </c>
      <c r="F2939" s="16">
        <v>48.3258</v>
      </c>
      <c r="G2939" s="16">
        <v>13.2286</v>
      </c>
      <c r="H2939" s="15"/>
      <c r="I2939" s="15"/>
    </row>
    <row r="2940">
      <c r="A2940" s="18">
        <v>45665.0</v>
      </c>
      <c r="B2940" s="16" t="s">
        <v>3771</v>
      </c>
      <c r="C2940" s="16">
        <v>1.0</v>
      </c>
      <c r="D2940" s="16" t="s">
        <v>707</v>
      </c>
      <c r="E2940" s="16">
        <v>2014.0</v>
      </c>
      <c r="F2940" s="16">
        <v>51.6514</v>
      </c>
      <c r="G2940" s="16">
        <v>10.1731</v>
      </c>
      <c r="H2940" s="15"/>
      <c r="I2940" s="15"/>
    </row>
    <row r="2941">
      <c r="A2941" s="18">
        <v>45665.0</v>
      </c>
      <c r="B2941" s="16" t="s">
        <v>3772</v>
      </c>
      <c r="C2941" s="16">
        <v>2.0</v>
      </c>
      <c r="D2941" s="16" t="s">
        <v>707</v>
      </c>
      <c r="E2941" s="16">
        <v>2014.0</v>
      </c>
      <c r="F2941" s="16">
        <v>51.5057</v>
      </c>
      <c r="G2941" s="16">
        <v>9.3573</v>
      </c>
      <c r="H2941" s="15"/>
      <c r="I2941" s="15"/>
    </row>
    <row r="2942">
      <c r="A2942" s="18">
        <v>45665.0</v>
      </c>
      <c r="B2942" s="16" t="s">
        <v>3773</v>
      </c>
      <c r="C2942" s="16" t="s">
        <v>1007</v>
      </c>
      <c r="D2942" s="16" t="s">
        <v>707</v>
      </c>
      <c r="E2942" s="16">
        <v>2014.0</v>
      </c>
      <c r="F2942" s="16">
        <v>51.346</v>
      </c>
      <c r="G2942" s="16">
        <v>11.1138</v>
      </c>
      <c r="H2942" s="15"/>
      <c r="I2942" s="15"/>
    </row>
    <row r="2943">
      <c r="A2943" s="18">
        <v>45665.0</v>
      </c>
      <c r="B2943" s="16" t="s">
        <v>3774</v>
      </c>
      <c r="C2943" s="16" t="s">
        <v>948</v>
      </c>
      <c r="D2943" s="16" t="s">
        <v>707</v>
      </c>
      <c r="E2943" s="16">
        <v>2014.0</v>
      </c>
      <c r="F2943" s="16">
        <v>48.8955</v>
      </c>
      <c r="G2943" s="16">
        <v>12.0773</v>
      </c>
      <c r="H2943" s="15"/>
      <c r="I2943" s="15"/>
    </row>
    <row r="2944">
      <c r="A2944" s="18">
        <v>45665.0</v>
      </c>
      <c r="B2944" s="16" t="s">
        <v>3775</v>
      </c>
      <c r="C2944" s="16" t="s">
        <v>1090</v>
      </c>
      <c r="D2944" s="16" t="s">
        <v>707</v>
      </c>
      <c r="E2944" s="16">
        <v>2014.0</v>
      </c>
      <c r="F2944" s="16">
        <v>49.8767</v>
      </c>
      <c r="G2944" s="16">
        <v>11.7947</v>
      </c>
      <c r="H2944" s="15"/>
      <c r="I2944" s="15"/>
    </row>
    <row r="2945">
      <c r="A2945" s="18">
        <v>45665.0</v>
      </c>
      <c r="B2945" s="16" t="s">
        <v>3776</v>
      </c>
      <c r="C2945" s="16" t="s">
        <v>1059</v>
      </c>
      <c r="D2945" s="16" t="s">
        <v>707</v>
      </c>
      <c r="E2945" s="16">
        <v>2014.0</v>
      </c>
      <c r="F2945" s="16">
        <v>49.1303</v>
      </c>
      <c r="G2945" s="16">
        <v>8.5595</v>
      </c>
      <c r="H2945" s="15"/>
      <c r="I2945" s="15"/>
    </row>
    <row r="2946">
      <c r="A2946" s="18">
        <v>45665.0</v>
      </c>
      <c r="B2946" s="16" t="s">
        <v>3777</v>
      </c>
      <c r="C2946" s="16" t="s">
        <v>946</v>
      </c>
      <c r="D2946" s="16" t="s">
        <v>707</v>
      </c>
      <c r="E2946" s="16">
        <v>2014.0</v>
      </c>
      <c r="F2946" s="16">
        <v>47.9922</v>
      </c>
      <c r="G2946" s="16">
        <v>12.6383</v>
      </c>
      <c r="H2946" s="15"/>
      <c r="I2946" s="15"/>
    </row>
    <row r="2947">
      <c r="A2947" s="18">
        <v>45665.0</v>
      </c>
      <c r="B2947" s="16" t="s">
        <v>3778</v>
      </c>
      <c r="C2947" s="16" t="s">
        <v>1059</v>
      </c>
      <c r="D2947" s="16" t="s">
        <v>707</v>
      </c>
      <c r="E2947" s="16">
        <v>2014.0</v>
      </c>
      <c r="F2947" s="16">
        <v>50.229</v>
      </c>
      <c r="G2947" s="16">
        <v>7.1866</v>
      </c>
      <c r="H2947" s="15"/>
      <c r="I2947" s="15"/>
    </row>
    <row r="2948">
      <c r="A2948" s="18">
        <v>45665.0</v>
      </c>
      <c r="B2948" s="16" t="s">
        <v>3779</v>
      </c>
      <c r="C2948" s="16" t="s">
        <v>1101</v>
      </c>
      <c r="D2948" s="16" t="s">
        <v>707</v>
      </c>
      <c r="E2948" s="16">
        <v>2014.0</v>
      </c>
      <c r="F2948" s="16">
        <v>51.654</v>
      </c>
      <c r="G2948" s="16">
        <v>10.1748</v>
      </c>
      <c r="H2948" s="15"/>
      <c r="I2948" s="15"/>
    </row>
    <row r="2949">
      <c r="A2949" s="18">
        <v>45665.0</v>
      </c>
      <c r="B2949" s="16" t="s">
        <v>3780</v>
      </c>
      <c r="C2949" s="16" t="s">
        <v>1167</v>
      </c>
      <c r="D2949" s="16" t="s">
        <v>707</v>
      </c>
      <c r="E2949" s="16">
        <v>2014.0</v>
      </c>
      <c r="F2949" s="16">
        <v>50.6132</v>
      </c>
      <c r="G2949" s="16">
        <v>8.7953</v>
      </c>
      <c r="H2949" s="15"/>
      <c r="I2949" s="15"/>
    </row>
    <row r="2950">
      <c r="A2950" s="18">
        <v>45665.0</v>
      </c>
      <c r="B2950" s="16" t="s">
        <v>3781</v>
      </c>
      <c r="C2950" s="16" t="s">
        <v>969</v>
      </c>
      <c r="D2950" s="16" t="s">
        <v>707</v>
      </c>
      <c r="E2950" s="16">
        <v>2014.0</v>
      </c>
      <c r="F2950" s="16">
        <v>51.2385</v>
      </c>
      <c r="G2950" s="16">
        <v>12.4267</v>
      </c>
      <c r="H2950" s="15"/>
      <c r="I2950" s="15"/>
    </row>
    <row r="2951">
      <c r="A2951" s="18">
        <v>45665.0</v>
      </c>
      <c r="B2951" s="16" t="s">
        <v>3782</v>
      </c>
      <c r="C2951" s="16" t="s">
        <v>1167</v>
      </c>
      <c r="D2951" s="16" t="s">
        <v>707</v>
      </c>
      <c r="E2951" s="16">
        <v>2014.0</v>
      </c>
      <c r="F2951" s="16">
        <v>47.8352</v>
      </c>
      <c r="G2951" s="16">
        <v>9.9853</v>
      </c>
      <c r="H2951" s="15"/>
      <c r="I2951" s="15"/>
    </row>
    <row r="2952">
      <c r="A2952" s="18">
        <v>45665.0</v>
      </c>
      <c r="B2952" s="16" t="s">
        <v>3783</v>
      </c>
      <c r="C2952" s="16">
        <v>7.0</v>
      </c>
      <c r="D2952" s="16" t="s">
        <v>707</v>
      </c>
      <c r="E2952" s="16">
        <v>2014.0</v>
      </c>
      <c r="F2952" s="16">
        <v>51.6104</v>
      </c>
      <c r="G2952" s="16">
        <v>12.317</v>
      </c>
      <c r="H2952" s="15"/>
      <c r="I2952" s="15"/>
    </row>
    <row r="2953">
      <c r="A2953" s="18">
        <v>45665.0</v>
      </c>
      <c r="B2953" s="16" t="s">
        <v>3784</v>
      </c>
      <c r="C2953" s="16" t="s">
        <v>1055</v>
      </c>
      <c r="D2953" s="16" t="s">
        <v>707</v>
      </c>
      <c r="E2953" s="16">
        <v>2014.0</v>
      </c>
      <c r="F2953" s="16">
        <v>51.61</v>
      </c>
      <c r="G2953" s="16">
        <v>12.3176</v>
      </c>
      <c r="H2953" s="15"/>
      <c r="I2953" s="15"/>
    </row>
    <row r="2954">
      <c r="A2954" s="18">
        <v>45665.0</v>
      </c>
      <c r="B2954" s="16" t="s">
        <v>3785</v>
      </c>
      <c r="C2954" s="16">
        <v>1.0</v>
      </c>
      <c r="D2954" s="16" t="s">
        <v>707</v>
      </c>
      <c r="E2954" s="16">
        <v>2014.0</v>
      </c>
      <c r="F2954" s="16">
        <v>51.7086</v>
      </c>
      <c r="G2954" s="16">
        <v>14.3449</v>
      </c>
      <c r="H2954" s="15"/>
      <c r="I2954" s="15"/>
    </row>
    <row r="2955">
      <c r="A2955" s="18">
        <v>45665.0</v>
      </c>
      <c r="B2955" s="16" t="s">
        <v>3786</v>
      </c>
      <c r="C2955" s="16" t="s">
        <v>1046</v>
      </c>
      <c r="D2955" s="16" t="s">
        <v>707</v>
      </c>
      <c r="E2955" s="16">
        <v>2014.0</v>
      </c>
      <c r="F2955" s="16">
        <v>51.8736</v>
      </c>
      <c r="G2955" s="16">
        <v>13.4148</v>
      </c>
      <c r="H2955" s="15"/>
      <c r="I2955" s="15"/>
    </row>
    <row r="2956">
      <c r="A2956" s="18">
        <v>45665.0</v>
      </c>
      <c r="B2956" s="16" t="s">
        <v>3787</v>
      </c>
      <c r="C2956" s="16" t="s">
        <v>946</v>
      </c>
      <c r="D2956" s="16" t="s">
        <v>707</v>
      </c>
      <c r="E2956" s="16">
        <v>2014.0</v>
      </c>
      <c r="F2956" s="16">
        <v>51.4872</v>
      </c>
      <c r="G2956" s="16">
        <v>10.7931</v>
      </c>
      <c r="H2956" s="15"/>
      <c r="I2956" s="15"/>
    </row>
    <row r="2957">
      <c r="A2957" s="18">
        <v>45665.0</v>
      </c>
      <c r="B2957" s="16" t="s">
        <v>3788</v>
      </c>
      <c r="C2957" s="16" t="s">
        <v>948</v>
      </c>
      <c r="D2957" s="16" t="s">
        <v>707</v>
      </c>
      <c r="E2957" s="16">
        <v>2014.0</v>
      </c>
      <c r="F2957" s="16">
        <v>51.5104</v>
      </c>
      <c r="G2957" s="16">
        <v>12.302</v>
      </c>
      <c r="H2957" s="15"/>
      <c r="I2957" s="15"/>
    </row>
    <row r="2958">
      <c r="A2958" s="18">
        <v>45665.0</v>
      </c>
      <c r="B2958" s="16" t="s">
        <v>3789</v>
      </c>
      <c r="C2958" s="16">
        <v>1.0</v>
      </c>
      <c r="D2958" s="16" t="s">
        <v>707</v>
      </c>
      <c r="E2958" s="16">
        <v>2014.0</v>
      </c>
      <c r="F2958" s="16">
        <v>51.0417</v>
      </c>
      <c r="G2958" s="16">
        <v>13.6575</v>
      </c>
      <c r="H2958" s="15"/>
      <c r="I2958" s="15"/>
    </row>
    <row r="2959">
      <c r="A2959" s="18">
        <v>45665.0</v>
      </c>
      <c r="B2959" s="16" t="s">
        <v>3790</v>
      </c>
      <c r="C2959" s="16" t="s">
        <v>982</v>
      </c>
      <c r="D2959" s="16" t="s">
        <v>707</v>
      </c>
      <c r="E2959" s="16">
        <v>2014.0</v>
      </c>
      <c r="F2959" s="16">
        <v>53.3847</v>
      </c>
      <c r="G2959" s="16">
        <v>7.211</v>
      </c>
      <c r="H2959" s="15"/>
      <c r="I2959" s="15"/>
    </row>
    <row r="2960">
      <c r="A2960" s="18">
        <v>45665.0</v>
      </c>
      <c r="B2960" s="16" t="s">
        <v>3791</v>
      </c>
      <c r="C2960" s="16" t="s">
        <v>942</v>
      </c>
      <c r="D2960" s="16" t="s">
        <v>707</v>
      </c>
      <c r="E2960" s="16">
        <v>2014.0</v>
      </c>
      <c r="F2960" s="16">
        <v>50.8605</v>
      </c>
      <c r="G2960" s="16">
        <v>10.9434</v>
      </c>
      <c r="H2960" s="15"/>
      <c r="I2960" s="15"/>
    </row>
    <row r="2961">
      <c r="A2961" s="18">
        <v>45665.0</v>
      </c>
      <c r="B2961" s="16" t="s">
        <v>3792</v>
      </c>
      <c r="C2961" s="16">
        <v>5.0</v>
      </c>
      <c r="D2961" s="16" t="s">
        <v>707</v>
      </c>
      <c r="E2961" s="16">
        <v>2014.0</v>
      </c>
      <c r="F2961" s="16">
        <v>50.8605</v>
      </c>
      <c r="G2961" s="16">
        <v>10.9434</v>
      </c>
      <c r="H2961" s="15"/>
      <c r="I2961" s="15"/>
    </row>
    <row r="2962">
      <c r="A2962" s="18">
        <v>45665.0</v>
      </c>
      <c r="B2962" s="16" t="s">
        <v>3793</v>
      </c>
      <c r="C2962" s="16">
        <v>10.0</v>
      </c>
      <c r="D2962" s="16" t="s">
        <v>707</v>
      </c>
      <c r="E2962" s="16">
        <v>2014.0</v>
      </c>
      <c r="F2962" s="16">
        <v>52.388</v>
      </c>
      <c r="G2962" s="16">
        <v>14.097</v>
      </c>
      <c r="H2962" s="15"/>
      <c r="I2962" s="15"/>
    </row>
    <row r="2963">
      <c r="A2963" s="18">
        <v>45665.0</v>
      </c>
      <c r="B2963" s="16" t="s">
        <v>3794</v>
      </c>
      <c r="C2963" s="16" t="s">
        <v>1267</v>
      </c>
      <c r="D2963" s="16" t="s">
        <v>707</v>
      </c>
      <c r="E2963" s="16">
        <v>2014.0</v>
      </c>
      <c r="F2963" s="16">
        <v>51.6687</v>
      </c>
      <c r="G2963" s="16">
        <v>11.7249</v>
      </c>
      <c r="H2963" s="15"/>
      <c r="I2963" s="15"/>
    </row>
    <row r="2964">
      <c r="A2964" s="18">
        <v>45665.0</v>
      </c>
      <c r="B2964" s="16" t="s">
        <v>3795</v>
      </c>
      <c r="C2964" s="16" t="s">
        <v>942</v>
      </c>
      <c r="D2964" s="16" t="s">
        <v>707</v>
      </c>
      <c r="E2964" s="16">
        <v>2014.0</v>
      </c>
      <c r="F2964" s="16">
        <v>51.7866</v>
      </c>
      <c r="G2964" s="16">
        <v>12.466</v>
      </c>
      <c r="H2964" s="15"/>
      <c r="I2964" s="15"/>
    </row>
    <row r="2965">
      <c r="A2965" s="18">
        <v>45665.0</v>
      </c>
      <c r="B2965" s="16" t="s">
        <v>3796</v>
      </c>
      <c r="C2965" s="16" t="s">
        <v>959</v>
      </c>
      <c r="D2965" s="16" t="s">
        <v>707</v>
      </c>
      <c r="E2965" s="16">
        <v>2014.0</v>
      </c>
      <c r="F2965" s="16">
        <v>54.1161</v>
      </c>
      <c r="G2965" s="16">
        <v>13.0697</v>
      </c>
      <c r="H2965" s="15"/>
      <c r="I2965" s="15"/>
    </row>
    <row r="2966">
      <c r="A2966" s="18">
        <v>45665.0</v>
      </c>
      <c r="B2966" s="16" t="s">
        <v>3797</v>
      </c>
      <c r="C2966" s="16" t="s">
        <v>1720</v>
      </c>
      <c r="D2966" s="16" t="s">
        <v>707</v>
      </c>
      <c r="E2966" s="16">
        <v>2014.0</v>
      </c>
      <c r="F2966" s="16">
        <v>54.1805</v>
      </c>
      <c r="G2966" s="16">
        <v>13.1539</v>
      </c>
      <c r="H2966" s="15"/>
      <c r="I2966" s="15"/>
    </row>
    <row r="2967">
      <c r="A2967" s="18">
        <v>45665.0</v>
      </c>
      <c r="B2967" s="16" t="s">
        <v>3798</v>
      </c>
      <c r="C2967" s="16">
        <v>10.0</v>
      </c>
      <c r="D2967" s="16" t="s">
        <v>707</v>
      </c>
      <c r="E2967" s="16">
        <v>2014.0</v>
      </c>
      <c r="F2967" s="16">
        <v>52.2814</v>
      </c>
      <c r="G2967" s="16">
        <v>11.477</v>
      </c>
      <c r="H2967" s="15"/>
      <c r="I2967" s="15"/>
    </row>
    <row r="2968">
      <c r="A2968" s="18">
        <v>45665.0</v>
      </c>
      <c r="B2968" s="16" t="s">
        <v>3799</v>
      </c>
      <c r="C2968" s="16" t="s">
        <v>1167</v>
      </c>
      <c r="D2968" s="16" t="s">
        <v>707</v>
      </c>
      <c r="E2968" s="16">
        <v>2014.0</v>
      </c>
      <c r="F2968" s="16">
        <v>52.6089</v>
      </c>
      <c r="G2968" s="16">
        <v>12.0353</v>
      </c>
      <c r="H2968" s="15"/>
      <c r="I2968" s="15"/>
    </row>
    <row r="2969">
      <c r="A2969" s="18">
        <v>45665.0</v>
      </c>
      <c r="B2969" s="16" t="s">
        <v>3800</v>
      </c>
      <c r="C2969" s="16" t="s">
        <v>1055</v>
      </c>
      <c r="D2969" s="16" t="s">
        <v>707</v>
      </c>
      <c r="E2969" s="16">
        <v>2014.0</v>
      </c>
      <c r="F2969" s="16">
        <v>49.1864</v>
      </c>
      <c r="G2969" s="16">
        <v>11.685</v>
      </c>
      <c r="H2969" s="15"/>
      <c r="I2969" s="15"/>
    </row>
    <row r="2970">
      <c r="A2970" s="18">
        <v>45665.0</v>
      </c>
      <c r="B2970" s="16" t="s">
        <v>3801</v>
      </c>
      <c r="C2970" s="16" t="s">
        <v>1099</v>
      </c>
      <c r="D2970" s="16" t="s">
        <v>707</v>
      </c>
      <c r="E2970" s="16">
        <v>2014.0</v>
      </c>
      <c r="F2970" s="16">
        <v>49.782</v>
      </c>
      <c r="G2970" s="16">
        <v>10.288</v>
      </c>
      <c r="H2970" s="15"/>
      <c r="I2970" s="15"/>
    </row>
    <row r="2971">
      <c r="A2971" s="18">
        <v>45665.0</v>
      </c>
      <c r="B2971" s="16" t="s">
        <v>3802</v>
      </c>
      <c r="C2971" s="16" t="s">
        <v>1436</v>
      </c>
      <c r="D2971" s="16" t="s">
        <v>707</v>
      </c>
      <c r="E2971" s="16">
        <v>2014.0</v>
      </c>
      <c r="F2971" s="16">
        <v>52.4549</v>
      </c>
      <c r="G2971" s="16">
        <v>12.244</v>
      </c>
      <c r="H2971" s="15"/>
      <c r="I2971" s="15"/>
    </row>
    <row r="2972">
      <c r="A2972" s="18">
        <v>45665.0</v>
      </c>
      <c r="B2972" s="16" t="s">
        <v>3803</v>
      </c>
      <c r="C2972" s="16" t="s">
        <v>1167</v>
      </c>
      <c r="D2972" s="16" t="s">
        <v>707</v>
      </c>
      <c r="E2972" s="16">
        <v>2014.0</v>
      </c>
      <c r="F2972" s="16">
        <v>52.4549</v>
      </c>
      <c r="G2972" s="16">
        <v>12.244</v>
      </c>
      <c r="H2972" s="15"/>
      <c r="I2972" s="15"/>
    </row>
    <row r="2973">
      <c r="A2973" s="18">
        <v>45665.0</v>
      </c>
      <c r="B2973" s="16" t="s">
        <v>3804</v>
      </c>
      <c r="C2973" s="16" t="s">
        <v>951</v>
      </c>
      <c r="D2973" s="16" t="s">
        <v>707</v>
      </c>
      <c r="E2973" s="16">
        <v>2014.0</v>
      </c>
      <c r="F2973" s="16">
        <v>52.9522</v>
      </c>
      <c r="G2973" s="16">
        <v>12.3911</v>
      </c>
      <c r="H2973" s="15"/>
      <c r="I2973" s="15"/>
    </row>
    <row r="2974">
      <c r="A2974" s="18">
        <v>45665.0</v>
      </c>
      <c r="B2974" s="16" t="s">
        <v>3805</v>
      </c>
      <c r="C2974" s="16">
        <v>3.0</v>
      </c>
      <c r="D2974" s="16" t="s">
        <v>707</v>
      </c>
      <c r="E2974" s="16">
        <v>2014.0</v>
      </c>
      <c r="F2974" s="16">
        <v>51.4856</v>
      </c>
      <c r="G2974" s="16">
        <v>11.7825</v>
      </c>
      <c r="H2974" s="15"/>
      <c r="I2974" s="15"/>
    </row>
    <row r="2975">
      <c r="A2975" s="18">
        <v>45665.0</v>
      </c>
      <c r="B2975" s="16" t="s">
        <v>3806</v>
      </c>
      <c r="C2975" s="16" t="s">
        <v>1007</v>
      </c>
      <c r="D2975" s="16" t="s">
        <v>707</v>
      </c>
      <c r="E2975" s="16">
        <v>2014.0</v>
      </c>
      <c r="F2975" s="16">
        <v>51.4457</v>
      </c>
      <c r="G2975" s="16">
        <v>14.105</v>
      </c>
      <c r="H2975" s="15"/>
      <c r="I2975" s="15"/>
    </row>
    <row r="2976">
      <c r="A2976" s="18">
        <v>45665.0</v>
      </c>
      <c r="B2976" s="16" t="s">
        <v>3807</v>
      </c>
      <c r="C2976" s="16" t="s">
        <v>1720</v>
      </c>
      <c r="D2976" s="16" t="s">
        <v>707</v>
      </c>
      <c r="E2976" s="16">
        <v>2014.0</v>
      </c>
      <c r="F2976" s="16">
        <v>53.4618</v>
      </c>
      <c r="G2976" s="16">
        <v>14.1894</v>
      </c>
      <c r="H2976" s="15"/>
      <c r="I2976" s="15"/>
    </row>
    <row r="2977">
      <c r="A2977" s="18">
        <v>45665.0</v>
      </c>
      <c r="B2977" s="16" t="s">
        <v>3808</v>
      </c>
      <c r="C2977" s="16" t="s">
        <v>1059</v>
      </c>
      <c r="D2977" s="16" t="s">
        <v>707</v>
      </c>
      <c r="E2977" s="16">
        <v>2014.0</v>
      </c>
      <c r="F2977" s="16">
        <v>51.0492</v>
      </c>
      <c r="G2977" s="16">
        <v>12.2872</v>
      </c>
      <c r="H2977" s="15"/>
      <c r="I2977" s="15"/>
    </row>
    <row r="2978">
      <c r="A2978" s="18">
        <v>45665.0</v>
      </c>
      <c r="B2978" s="16" t="s">
        <v>3809</v>
      </c>
      <c r="C2978" s="16" t="s">
        <v>1454</v>
      </c>
      <c r="D2978" s="16" t="s">
        <v>707</v>
      </c>
      <c r="E2978" s="16">
        <v>2014.0</v>
      </c>
      <c r="F2978" s="16">
        <v>51.356</v>
      </c>
      <c r="G2978" s="16">
        <v>11.682</v>
      </c>
      <c r="H2978" s="15"/>
      <c r="I2978" s="15"/>
    </row>
    <row r="2979">
      <c r="A2979" s="18">
        <v>45665.0</v>
      </c>
      <c r="B2979" s="16" t="s">
        <v>3810</v>
      </c>
      <c r="C2979" s="16" t="s">
        <v>1034</v>
      </c>
      <c r="D2979" s="16" t="s">
        <v>707</v>
      </c>
      <c r="E2979" s="16">
        <v>2014.0</v>
      </c>
      <c r="F2979" s="16">
        <v>51.356</v>
      </c>
      <c r="G2979" s="16">
        <v>11.682</v>
      </c>
      <c r="H2979" s="15"/>
      <c r="I2979" s="15"/>
    </row>
    <row r="2980">
      <c r="A2980" s="18">
        <v>45665.0</v>
      </c>
      <c r="B2980" s="16" t="s">
        <v>3811</v>
      </c>
      <c r="C2980" s="16" t="s">
        <v>1096</v>
      </c>
      <c r="D2980" s="16" t="s">
        <v>707</v>
      </c>
      <c r="E2980" s="16">
        <v>2014.0</v>
      </c>
      <c r="F2980" s="16">
        <v>52.6394</v>
      </c>
      <c r="G2980" s="16">
        <v>14.1863</v>
      </c>
      <c r="H2980" s="15"/>
      <c r="I2980" s="15"/>
    </row>
    <row r="2981">
      <c r="A2981" s="18">
        <v>45665.0</v>
      </c>
      <c r="B2981" s="16" t="s">
        <v>3812</v>
      </c>
      <c r="C2981" s="16" t="s">
        <v>3505</v>
      </c>
      <c r="D2981" s="16" t="s">
        <v>707</v>
      </c>
      <c r="E2981" s="16">
        <v>2014.0</v>
      </c>
      <c r="F2981" s="16">
        <v>53.7636</v>
      </c>
      <c r="G2981" s="16">
        <v>8.6233</v>
      </c>
      <c r="H2981" s="15"/>
      <c r="I2981" s="15"/>
    </row>
    <row r="2982">
      <c r="A2982" s="18">
        <v>45665.0</v>
      </c>
      <c r="B2982" s="16" t="s">
        <v>3813</v>
      </c>
      <c r="C2982" s="16" t="s">
        <v>948</v>
      </c>
      <c r="D2982" s="16" t="s">
        <v>707</v>
      </c>
      <c r="E2982" s="16">
        <v>2014.0</v>
      </c>
      <c r="F2982" s="16">
        <v>49.1789</v>
      </c>
      <c r="G2982" s="16">
        <v>11.7169</v>
      </c>
      <c r="H2982" s="15"/>
      <c r="I2982" s="15"/>
    </row>
    <row r="2983">
      <c r="A2983" s="18">
        <v>45665.0</v>
      </c>
      <c r="B2983" s="16" t="s">
        <v>3814</v>
      </c>
      <c r="C2983" s="16" t="s">
        <v>1310</v>
      </c>
      <c r="D2983" s="16" t="s">
        <v>707</v>
      </c>
      <c r="E2983" s="16">
        <v>2014.0</v>
      </c>
      <c r="F2983" s="16">
        <v>53.5069</v>
      </c>
      <c r="G2983" s="16">
        <v>14.027</v>
      </c>
      <c r="H2983" s="15"/>
      <c r="I2983" s="15"/>
    </row>
    <row r="2984">
      <c r="A2984" s="18">
        <v>45665.0</v>
      </c>
      <c r="B2984" s="16" t="s">
        <v>3815</v>
      </c>
      <c r="C2984" s="16" t="s">
        <v>1096</v>
      </c>
      <c r="D2984" s="16" t="s">
        <v>707</v>
      </c>
      <c r="E2984" s="16">
        <v>2014.0</v>
      </c>
      <c r="F2984" s="16">
        <v>50.9611</v>
      </c>
      <c r="G2984" s="16">
        <v>12.1772</v>
      </c>
      <c r="H2984" s="15"/>
      <c r="I2984" s="15"/>
    </row>
    <row r="2985">
      <c r="A2985" s="18">
        <v>45665.0</v>
      </c>
      <c r="B2985" s="16" t="s">
        <v>3816</v>
      </c>
      <c r="C2985" s="16" t="s">
        <v>3817</v>
      </c>
      <c r="D2985" s="16" t="s">
        <v>707</v>
      </c>
      <c r="E2985" s="16">
        <v>2014.0</v>
      </c>
      <c r="F2985" s="16">
        <v>51.5745</v>
      </c>
      <c r="G2985" s="16">
        <v>12.2635</v>
      </c>
      <c r="H2985" s="15"/>
      <c r="I2985" s="15"/>
    </row>
    <row r="2986">
      <c r="A2986" s="18">
        <v>45665.0</v>
      </c>
      <c r="B2986" s="16" t="s">
        <v>3818</v>
      </c>
      <c r="C2986" s="16" t="s">
        <v>948</v>
      </c>
      <c r="D2986" s="16" t="s">
        <v>707</v>
      </c>
      <c r="E2986" s="16">
        <v>2014.0</v>
      </c>
      <c r="F2986" s="16">
        <v>50.872</v>
      </c>
      <c r="G2986" s="16">
        <v>12.212</v>
      </c>
      <c r="H2986" s="15"/>
      <c r="I2986" s="15"/>
    </row>
    <row r="2987">
      <c r="A2987" s="18">
        <v>45665.0</v>
      </c>
      <c r="B2987" s="16" t="s">
        <v>3819</v>
      </c>
      <c r="C2987" s="16" t="s">
        <v>969</v>
      </c>
      <c r="D2987" s="16" t="s">
        <v>707</v>
      </c>
      <c r="E2987" s="16">
        <v>2014.0</v>
      </c>
      <c r="F2987" s="16">
        <v>50.872</v>
      </c>
      <c r="G2987" s="16">
        <v>12.212</v>
      </c>
      <c r="H2987" s="15"/>
      <c r="I2987" s="15"/>
    </row>
    <row r="2988">
      <c r="A2988" s="18">
        <v>45665.0</v>
      </c>
      <c r="B2988" s="16" t="s">
        <v>3820</v>
      </c>
      <c r="C2988" s="16" t="s">
        <v>942</v>
      </c>
      <c r="D2988" s="16" t="s">
        <v>707</v>
      </c>
      <c r="E2988" s="16">
        <v>2014.0</v>
      </c>
      <c r="F2988" s="16">
        <v>50.8723</v>
      </c>
      <c r="G2988" s="16">
        <v>12.207</v>
      </c>
      <c r="H2988" s="15"/>
      <c r="I2988" s="15"/>
    </row>
    <row r="2989">
      <c r="A2989" s="18">
        <v>45665.0</v>
      </c>
      <c r="B2989" s="16" t="s">
        <v>3821</v>
      </c>
      <c r="C2989" s="16" t="s">
        <v>1203</v>
      </c>
      <c r="D2989" s="16" t="s">
        <v>707</v>
      </c>
      <c r="E2989" s="16">
        <v>2014.0</v>
      </c>
      <c r="F2989" s="16">
        <v>51.1069</v>
      </c>
      <c r="G2989" s="16">
        <v>13.1912</v>
      </c>
      <c r="H2989" s="15"/>
      <c r="I2989" s="15"/>
    </row>
    <row r="2990">
      <c r="A2990" s="18">
        <v>45665.0</v>
      </c>
      <c r="B2990" s="16" t="s">
        <v>3822</v>
      </c>
      <c r="C2990" s="16" t="s">
        <v>946</v>
      </c>
      <c r="D2990" s="16" t="s">
        <v>707</v>
      </c>
      <c r="E2990" s="16">
        <v>2014.0</v>
      </c>
      <c r="F2990" s="16">
        <v>51.6403</v>
      </c>
      <c r="G2990" s="16">
        <v>12.2154</v>
      </c>
      <c r="H2990" s="15"/>
      <c r="I2990" s="15"/>
    </row>
    <row r="2991">
      <c r="A2991" s="18">
        <v>45665.0</v>
      </c>
      <c r="B2991" s="16" t="s">
        <v>3823</v>
      </c>
      <c r="C2991" s="16" t="s">
        <v>1007</v>
      </c>
      <c r="D2991" s="16" t="s">
        <v>707</v>
      </c>
      <c r="E2991" s="16">
        <v>2014.0</v>
      </c>
      <c r="F2991" s="16">
        <v>52.7961</v>
      </c>
      <c r="G2991" s="16">
        <v>12.0561</v>
      </c>
      <c r="H2991" s="15"/>
      <c r="I2991" s="15"/>
    </row>
    <row r="2992">
      <c r="A2992" s="18">
        <v>45665.0</v>
      </c>
      <c r="B2992" s="16" t="s">
        <v>3824</v>
      </c>
      <c r="C2992" s="16" t="s">
        <v>1147</v>
      </c>
      <c r="D2992" s="16" t="s">
        <v>707</v>
      </c>
      <c r="E2992" s="16">
        <v>2014.0</v>
      </c>
      <c r="F2992" s="16">
        <v>48.15</v>
      </c>
      <c r="G2992" s="16">
        <v>10.8498</v>
      </c>
      <c r="H2992" s="15"/>
      <c r="I2992" s="15"/>
    </row>
    <row r="2993">
      <c r="A2993" s="18">
        <v>45665.0</v>
      </c>
      <c r="B2993" s="16" t="s">
        <v>3825</v>
      </c>
      <c r="C2993" s="16" t="s">
        <v>1172</v>
      </c>
      <c r="D2993" s="16" t="s">
        <v>707</v>
      </c>
      <c r="E2993" s="16">
        <v>2014.0</v>
      </c>
      <c r="F2993" s="16">
        <v>48.15</v>
      </c>
      <c r="G2993" s="16">
        <v>10.8535</v>
      </c>
      <c r="H2993" s="15"/>
      <c r="I2993" s="15"/>
    </row>
    <row r="2994">
      <c r="A2994" s="18">
        <v>45665.0</v>
      </c>
      <c r="B2994" s="16" t="s">
        <v>3826</v>
      </c>
      <c r="C2994" s="16" t="s">
        <v>1007</v>
      </c>
      <c r="D2994" s="16" t="s">
        <v>707</v>
      </c>
      <c r="E2994" s="16">
        <v>2014.0</v>
      </c>
      <c r="F2994" s="16">
        <v>52.5377</v>
      </c>
      <c r="G2994" s="16">
        <v>14.3701</v>
      </c>
      <c r="H2994" s="15"/>
      <c r="I2994" s="15"/>
    </row>
    <row r="2995">
      <c r="A2995" s="18">
        <v>45665.0</v>
      </c>
      <c r="B2995" s="16" t="s">
        <v>3827</v>
      </c>
      <c r="C2995" s="16" t="s">
        <v>2457</v>
      </c>
      <c r="D2995" s="16" t="s">
        <v>707</v>
      </c>
      <c r="E2995" s="16">
        <v>2014.0</v>
      </c>
      <c r="F2995" s="16">
        <v>51.5552</v>
      </c>
      <c r="G2995" s="16">
        <v>12.238</v>
      </c>
      <c r="H2995" s="15"/>
      <c r="I2995" s="15"/>
    </row>
    <row r="2996">
      <c r="A2996" s="18">
        <v>45665.0</v>
      </c>
      <c r="B2996" s="16" t="s">
        <v>3828</v>
      </c>
      <c r="C2996" s="16" t="s">
        <v>1037</v>
      </c>
      <c r="D2996" s="16" t="s">
        <v>707</v>
      </c>
      <c r="E2996" s="16">
        <v>2014.0</v>
      </c>
      <c r="F2996" s="16">
        <v>50.861</v>
      </c>
      <c r="G2996" s="16">
        <v>11.902</v>
      </c>
      <c r="H2996" s="15"/>
      <c r="I2996" s="15"/>
    </row>
    <row r="2997">
      <c r="A2997" s="18">
        <v>45665.0</v>
      </c>
      <c r="B2997" s="16" t="s">
        <v>3829</v>
      </c>
      <c r="C2997" s="16" t="s">
        <v>1172</v>
      </c>
      <c r="D2997" s="16" t="s">
        <v>707</v>
      </c>
      <c r="E2997" s="16">
        <v>2014.0</v>
      </c>
      <c r="F2997" s="16">
        <v>52.1658</v>
      </c>
      <c r="G2997" s="16">
        <v>13.5612</v>
      </c>
      <c r="H2997" s="15"/>
      <c r="I2997" s="15"/>
    </row>
    <row r="2998">
      <c r="A2998" s="18">
        <v>45665.0</v>
      </c>
      <c r="B2998" s="16" t="s">
        <v>3830</v>
      </c>
      <c r="C2998" s="16">
        <v>1.0</v>
      </c>
      <c r="D2998" s="16" t="s">
        <v>707</v>
      </c>
      <c r="E2998" s="16">
        <v>2014.0</v>
      </c>
      <c r="F2998" s="16">
        <v>51.7982</v>
      </c>
      <c r="G2998" s="16">
        <v>12.7465</v>
      </c>
      <c r="H2998" s="15"/>
      <c r="I2998" s="15"/>
    </row>
    <row r="2999">
      <c r="A2999" s="18">
        <v>45665.0</v>
      </c>
      <c r="B2999" s="16" t="s">
        <v>3831</v>
      </c>
      <c r="C2999" s="16" t="s">
        <v>978</v>
      </c>
      <c r="D2999" s="16" t="s">
        <v>707</v>
      </c>
      <c r="E2999" s="16">
        <v>2014.0</v>
      </c>
      <c r="F2999" s="16">
        <v>54.2801</v>
      </c>
      <c r="G2999" s="16">
        <v>13.0725</v>
      </c>
      <c r="H2999" s="15"/>
      <c r="I2999" s="15"/>
    </row>
    <row r="3000">
      <c r="A3000" s="18">
        <v>45665.0</v>
      </c>
      <c r="B3000" s="16" t="s">
        <v>3832</v>
      </c>
      <c r="C3000" s="16" t="s">
        <v>1007</v>
      </c>
      <c r="D3000" s="16" t="s">
        <v>707</v>
      </c>
      <c r="E3000" s="16">
        <v>2014.0</v>
      </c>
      <c r="F3000" s="16">
        <v>52.6317</v>
      </c>
      <c r="G3000" s="16">
        <v>13.7516</v>
      </c>
      <c r="H3000" s="15"/>
      <c r="I3000" s="15"/>
    </row>
    <row r="3001">
      <c r="A3001" s="18">
        <v>45665.0</v>
      </c>
      <c r="B3001" s="16" t="s">
        <v>3833</v>
      </c>
      <c r="C3001" s="16" t="s">
        <v>1609</v>
      </c>
      <c r="D3001" s="16" t="s">
        <v>707</v>
      </c>
      <c r="E3001" s="16">
        <v>2014.0</v>
      </c>
      <c r="F3001" s="16">
        <v>50.117</v>
      </c>
      <c r="G3001" s="16">
        <v>11.724</v>
      </c>
      <c r="H3001" s="15"/>
      <c r="I3001" s="15"/>
    </row>
    <row r="3002">
      <c r="A3002" s="18">
        <v>45665.0</v>
      </c>
      <c r="B3002" s="16" t="s">
        <v>3834</v>
      </c>
      <c r="C3002" s="16" t="s">
        <v>1267</v>
      </c>
      <c r="D3002" s="16" t="s">
        <v>707</v>
      </c>
      <c r="E3002" s="16">
        <v>2014.0</v>
      </c>
      <c r="F3002" s="16">
        <v>51.4427</v>
      </c>
      <c r="G3002" s="16">
        <v>12.0605</v>
      </c>
      <c r="H3002" s="15"/>
      <c r="I3002" s="15"/>
    </row>
    <row r="3003">
      <c r="A3003" s="18">
        <v>45665.0</v>
      </c>
      <c r="B3003" s="16" t="s">
        <v>3835</v>
      </c>
      <c r="C3003" s="16" t="s">
        <v>946</v>
      </c>
      <c r="D3003" s="16" t="s">
        <v>707</v>
      </c>
      <c r="E3003" s="16">
        <v>2014.0</v>
      </c>
      <c r="F3003" s="16">
        <v>51.627</v>
      </c>
      <c r="G3003" s="16">
        <v>12.1103</v>
      </c>
      <c r="H3003" s="15"/>
      <c r="I3003" s="15"/>
    </row>
    <row r="3004">
      <c r="A3004" s="18">
        <v>45665.0</v>
      </c>
      <c r="B3004" s="16" t="s">
        <v>3836</v>
      </c>
      <c r="C3004" s="16">
        <v>1.0</v>
      </c>
      <c r="D3004" s="16" t="s">
        <v>707</v>
      </c>
      <c r="E3004" s="16">
        <v>2014.0</v>
      </c>
      <c r="F3004" s="16">
        <v>52.7201</v>
      </c>
      <c r="G3004" s="16">
        <v>13.4082</v>
      </c>
      <c r="H3004" s="15"/>
      <c r="I3004" s="15"/>
    </row>
    <row r="3005">
      <c r="A3005" s="18">
        <v>45665.0</v>
      </c>
      <c r="B3005" s="16" t="s">
        <v>3837</v>
      </c>
      <c r="C3005" s="16" t="s">
        <v>948</v>
      </c>
      <c r="D3005" s="16" t="s">
        <v>707</v>
      </c>
      <c r="E3005" s="16">
        <v>2014.0</v>
      </c>
      <c r="F3005" s="16">
        <v>47.777</v>
      </c>
      <c r="G3005" s="16">
        <v>11.5522</v>
      </c>
      <c r="H3005" s="15"/>
      <c r="I3005" s="15"/>
    </row>
    <row r="3006">
      <c r="A3006" s="18">
        <v>45665.0</v>
      </c>
      <c r="B3006" s="16" t="s">
        <v>3838</v>
      </c>
      <c r="C3006" s="16">
        <v>8.0</v>
      </c>
      <c r="D3006" s="16" t="s">
        <v>707</v>
      </c>
      <c r="E3006" s="16">
        <v>2014.0</v>
      </c>
      <c r="F3006" s="16">
        <v>53.514</v>
      </c>
      <c r="G3006" s="16">
        <v>11.083</v>
      </c>
      <c r="H3006" s="15"/>
      <c r="I3006" s="15"/>
    </row>
    <row r="3007">
      <c r="A3007" s="18">
        <v>45665.0</v>
      </c>
      <c r="B3007" s="16" t="s">
        <v>3839</v>
      </c>
      <c r="C3007" s="16">
        <v>2.0</v>
      </c>
      <c r="D3007" s="16" t="s">
        <v>707</v>
      </c>
      <c r="E3007" s="16">
        <v>2014.0</v>
      </c>
      <c r="F3007" s="16">
        <v>53.514</v>
      </c>
      <c r="G3007" s="16">
        <v>11.083</v>
      </c>
      <c r="H3007" s="15"/>
      <c r="I3007" s="15"/>
    </row>
    <row r="3008">
      <c r="A3008" s="18">
        <v>45665.0</v>
      </c>
      <c r="B3008" s="16" t="s">
        <v>3840</v>
      </c>
      <c r="C3008" s="16">
        <v>2.0</v>
      </c>
      <c r="D3008" s="16" t="s">
        <v>707</v>
      </c>
      <c r="E3008" s="16">
        <v>2014.0</v>
      </c>
      <c r="F3008" s="16">
        <v>49.1237</v>
      </c>
      <c r="G3008" s="16">
        <v>10.2493</v>
      </c>
      <c r="H3008" s="15"/>
      <c r="I3008" s="15"/>
    </row>
    <row r="3009">
      <c r="A3009" s="18">
        <v>45665.0</v>
      </c>
      <c r="B3009" s="16" t="s">
        <v>3841</v>
      </c>
      <c r="C3009" s="16" t="s">
        <v>1090</v>
      </c>
      <c r="D3009" s="16" t="s">
        <v>707</v>
      </c>
      <c r="E3009" s="16">
        <v>2014.0</v>
      </c>
      <c r="F3009" s="16">
        <v>49.3645</v>
      </c>
      <c r="G3009" s="16">
        <v>8.234</v>
      </c>
      <c r="H3009" s="15"/>
      <c r="I3009" s="15"/>
    </row>
    <row r="3010">
      <c r="A3010" s="18">
        <v>45665.0</v>
      </c>
      <c r="B3010" s="16" t="s">
        <v>3842</v>
      </c>
      <c r="C3010" s="16" t="s">
        <v>1007</v>
      </c>
      <c r="D3010" s="16" t="s">
        <v>707</v>
      </c>
      <c r="E3010" s="16">
        <v>2014.0</v>
      </c>
      <c r="F3010" s="16">
        <v>50.1354</v>
      </c>
      <c r="G3010" s="16">
        <v>6.4127</v>
      </c>
      <c r="H3010" s="15"/>
      <c r="I3010" s="15"/>
    </row>
    <row r="3011">
      <c r="A3011" s="18">
        <v>45665.0</v>
      </c>
      <c r="B3011" s="16" t="s">
        <v>3843</v>
      </c>
      <c r="C3011" s="16" t="s">
        <v>951</v>
      </c>
      <c r="D3011" s="16" t="s">
        <v>707</v>
      </c>
      <c r="E3011" s="16">
        <v>2014.0</v>
      </c>
      <c r="F3011" s="16">
        <v>53.674</v>
      </c>
      <c r="G3011" s="16">
        <v>13.5944</v>
      </c>
      <c r="H3011" s="15"/>
      <c r="I3011" s="15"/>
    </row>
    <row r="3012">
      <c r="A3012" s="18">
        <v>45665.0</v>
      </c>
      <c r="B3012" s="16" t="s">
        <v>3844</v>
      </c>
      <c r="C3012" s="16" t="s">
        <v>969</v>
      </c>
      <c r="D3012" s="16" t="s">
        <v>707</v>
      </c>
      <c r="E3012" s="16">
        <v>2014.0</v>
      </c>
      <c r="F3012" s="16">
        <v>51.1391</v>
      </c>
      <c r="G3012" s="16">
        <v>12.0017</v>
      </c>
      <c r="H3012" s="15"/>
      <c r="I3012" s="15"/>
    </row>
    <row r="3013">
      <c r="A3013" s="18">
        <v>45665.0</v>
      </c>
      <c r="B3013" s="16" t="s">
        <v>3845</v>
      </c>
      <c r="C3013" s="16" t="s">
        <v>969</v>
      </c>
      <c r="D3013" s="16" t="s">
        <v>707</v>
      </c>
      <c r="E3013" s="16">
        <v>2014.0</v>
      </c>
      <c r="F3013" s="16">
        <v>50.5628</v>
      </c>
      <c r="G3013" s="16">
        <v>10.3977</v>
      </c>
      <c r="H3013" s="15"/>
      <c r="I3013" s="15"/>
    </row>
    <row r="3014">
      <c r="A3014" s="18">
        <v>45665.0</v>
      </c>
      <c r="B3014" s="16" t="s">
        <v>3846</v>
      </c>
      <c r="C3014" s="16" t="s">
        <v>1039</v>
      </c>
      <c r="D3014" s="16" t="s">
        <v>707</v>
      </c>
      <c r="E3014" s="16">
        <v>2014.0</v>
      </c>
      <c r="F3014" s="16">
        <v>49.3886</v>
      </c>
      <c r="G3014" s="16">
        <v>6.7577</v>
      </c>
      <c r="H3014" s="15"/>
      <c r="I3014" s="15"/>
    </row>
    <row r="3015">
      <c r="A3015" s="18">
        <v>45665.0</v>
      </c>
      <c r="B3015" s="16" t="s">
        <v>3847</v>
      </c>
      <c r="C3015" s="16" t="s">
        <v>942</v>
      </c>
      <c r="D3015" s="16" t="s">
        <v>707</v>
      </c>
      <c r="E3015" s="16">
        <v>2014.0</v>
      </c>
      <c r="F3015" s="16">
        <v>53.5052</v>
      </c>
      <c r="G3015" s="16">
        <v>13.3946</v>
      </c>
      <c r="H3015" s="15"/>
      <c r="I3015" s="15"/>
    </row>
    <row r="3016">
      <c r="A3016" s="18">
        <v>45665.0</v>
      </c>
      <c r="B3016" s="16" t="s">
        <v>3848</v>
      </c>
      <c r="C3016" s="16" t="s">
        <v>969</v>
      </c>
      <c r="D3016" s="16" t="s">
        <v>707</v>
      </c>
      <c r="E3016" s="16">
        <v>2014.0</v>
      </c>
      <c r="F3016" s="16">
        <v>48.6766</v>
      </c>
      <c r="G3016" s="16">
        <v>11.7366</v>
      </c>
      <c r="H3016" s="15"/>
      <c r="I3016" s="15"/>
    </row>
    <row r="3017">
      <c r="A3017" s="18">
        <v>45665.0</v>
      </c>
      <c r="B3017" s="16" t="s">
        <v>3849</v>
      </c>
      <c r="C3017" s="16" t="s">
        <v>951</v>
      </c>
      <c r="D3017" s="16" t="s">
        <v>707</v>
      </c>
      <c r="E3017" s="16">
        <v>2014.0</v>
      </c>
      <c r="F3017" s="16">
        <v>54.0348</v>
      </c>
      <c r="G3017" s="16">
        <v>9.6073</v>
      </c>
      <c r="H3017" s="15"/>
      <c r="I3017" s="15"/>
    </row>
    <row r="3018">
      <c r="A3018" s="18">
        <v>45665.0</v>
      </c>
      <c r="B3018" s="16" t="s">
        <v>3850</v>
      </c>
      <c r="C3018" s="16" t="s">
        <v>959</v>
      </c>
      <c r="D3018" s="16" t="s">
        <v>707</v>
      </c>
      <c r="E3018" s="16">
        <v>2014.0</v>
      </c>
      <c r="F3018" s="16">
        <v>51.5627</v>
      </c>
      <c r="G3018" s="16">
        <v>13.5756</v>
      </c>
      <c r="H3018" s="15"/>
      <c r="I3018" s="15"/>
    </row>
    <row r="3019">
      <c r="A3019" s="18">
        <v>45665.0</v>
      </c>
      <c r="B3019" s="16" t="s">
        <v>3851</v>
      </c>
      <c r="C3019" s="16" t="s">
        <v>948</v>
      </c>
      <c r="D3019" s="16" t="s">
        <v>707</v>
      </c>
      <c r="E3019" s="16">
        <v>2014.0</v>
      </c>
      <c r="F3019" s="16">
        <v>51.565</v>
      </c>
      <c r="G3019" s="16">
        <v>13.5759</v>
      </c>
      <c r="H3019" s="15"/>
      <c r="I3019" s="15"/>
    </row>
    <row r="3020">
      <c r="A3020" s="18">
        <v>45665.0</v>
      </c>
      <c r="B3020" s="16" t="s">
        <v>3852</v>
      </c>
      <c r="C3020" s="16" t="s">
        <v>969</v>
      </c>
      <c r="D3020" s="16" t="s">
        <v>707</v>
      </c>
      <c r="E3020" s="16">
        <v>2014.0</v>
      </c>
      <c r="F3020" s="16">
        <v>52.0286</v>
      </c>
      <c r="G3020" s="16">
        <v>8.0421</v>
      </c>
      <c r="H3020" s="15"/>
      <c r="I3020" s="15"/>
    </row>
    <row r="3021">
      <c r="A3021" s="18">
        <v>45665.0</v>
      </c>
      <c r="B3021" s="16" t="s">
        <v>3853</v>
      </c>
      <c r="C3021" s="16" t="s">
        <v>1007</v>
      </c>
      <c r="D3021" s="16" t="s">
        <v>707</v>
      </c>
      <c r="E3021" s="16">
        <v>2014.0</v>
      </c>
      <c r="F3021" s="16">
        <v>51.9162</v>
      </c>
      <c r="G3021" s="16">
        <v>11.5926</v>
      </c>
      <c r="H3021" s="15"/>
      <c r="I3021" s="15"/>
    </row>
    <row r="3022">
      <c r="A3022" s="18">
        <v>45665.0</v>
      </c>
      <c r="B3022" s="16" t="s">
        <v>3854</v>
      </c>
      <c r="C3022" s="16" t="s">
        <v>969</v>
      </c>
      <c r="D3022" s="16" t="s">
        <v>707</v>
      </c>
      <c r="E3022" s="16">
        <v>2014.0</v>
      </c>
      <c r="F3022" s="16">
        <v>51.5751</v>
      </c>
      <c r="G3022" s="16">
        <v>10.7793</v>
      </c>
      <c r="H3022" s="15"/>
      <c r="I3022" s="15"/>
    </row>
    <row r="3023">
      <c r="A3023" s="18">
        <v>45665.0</v>
      </c>
      <c r="B3023" s="16" t="s">
        <v>3855</v>
      </c>
      <c r="C3023" s="16" t="s">
        <v>969</v>
      </c>
      <c r="D3023" s="16" t="s">
        <v>707</v>
      </c>
      <c r="E3023" s="16">
        <v>2014.0</v>
      </c>
      <c r="F3023" s="16">
        <v>51.863</v>
      </c>
      <c r="G3023" s="16">
        <v>10.8099</v>
      </c>
      <c r="H3023" s="15"/>
      <c r="I3023" s="15"/>
    </row>
    <row r="3024">
      <c r="A3024" s="18">
        <v>45665.0</v>
      </c>
      <c r="B3024" s="16" t="s">
        <v>3856</v>
      </c>
      <c r="C3024" s="16" t="s">
        <v>978</v>
      </c>
      <c r="D3024" s="16" t="s">
        <v>707</v>
      </c>
      <c r="E3024" s="16">
        <v>2014.0</v>
      </c>
      <c r="F3024" s="16">
        <v>52.6426</v>
      </c>
      <c r="G3024" s="16">
        <v>13.7522</v>
      </c>
      <c r="H3024" s="15"/>
      <c r="I3024" s="15"/>
    </row>
    <row r="3025">
      <c r="A3025" s="18">
        <v>45665.0</v>
      </c>
      <c r="B3025" s="16" t="s">
        <v>3857</v>
      </c>
      <c r="C3025" s="16">
        <v>1.0</v>
      </c>
      <c r="D3025" s="16" t="s">
        <v>707</v>
      </c>
      <c r="E3025" s="16">
        <v>2014.0</v>
      </c>
      <c r="F3025" s="16">
        <v>51.841</v>
      </c>
      <c r="G3025" s="16">
        <v>11.249</v>
      </c>
      <c r="H3025" s="15"/>
      <c r="I3025" s="15"/>
    </row>
    <row r="3026">
      <c r="A3026" s="18">
        <v>45665.0</v>
      </c>
      <c r="B3026" s="16" t="s">
        <v>3858</v>
      </c>
      <c r="C3026" s="16" t="s">
        <v>984</v>
      </c>
      <c r="D3026" s="16" t="s">
        <v>707</v>
      </c>
      <c r="E3026" s="16">
        <v>2014.0</v>
      </c>
      <c r="F3026" s="16">
        <v>51.3185</v>
      </c>
      <c r="G3026" s="16">
        <v>9.5692</v>
      </c>
      <c r="H3026" s="15"/>
      <c r="I3026" s="15"/>
    </row>
    <row r="3027">
      <c r="A3027" s="18">
        <v>45665.0</v>
      </c>
      <c r="B3027" s="16" t="s">
        <v>3859</v>
      </c>
      <c r="C3027" s="16" t="s">
        <v>1172</v>
      </c>
      <c r="D3027" s="16" t="s">
        <v>707</v>
      </c>
      <c r="E3027" s="16">
        <v>2014.0</v>
      </c>
      <c r="F3027" s="16">
        <v>52.1728</v>
      </c>
      <c r="G3027" s="16">
        <v>12.7702</v>
      </c>
      <c r="H3027" s="15"/>
      <c r="I3027" s="15"/>
    </row>
    <row r="3028">
      <c r="A3028" s="18">
        <v>45665.0</v>
      </c>
      <c r="B3028" s="16" t="s">
        <v>3860</v>
      </c>
      <c r="C3028" s="16" t="s">
        <v>1046</v>
      </c>
      <c r="D3028" s="16" t="s">
        <v>707</v>
      </c>
      <c r="E3028" s="16">
        <v>2014.0</v>
      </c>
      <c r="F3028" s="16">
        <v>52.7292</v>
      </c>
      <c r="G3028" s="16">
        <v>14.0513</v>
      </c>
      <c r="H3028" s="15"/>
      <c r="I3028" s="15"/>
    </row>
    <row r="3029">
      <c r="A3029" s="18">
        <v>45665.0</v>
      </c>
      <c r="B3029" s="16" t="s">
        <v>3861</v>
      </c>
      <c r="C3029" s="16" t="s">
        <v>1101</v>
      </c>
      <c r="D3029" s="16" t="s">
        <v>707</v>
      </c>
      <c r="E3029" s="16">
        <v>2014.0</v>
      </c>
      <c r="F3029" s="16">
        <v>53.6843</v>
      </c>
      <c r="G3029" s="16">
        <v>13.896</v>
      </c>
      <c r="H3029" s="15"/>
      <c r="I3029" s="15"/>
    </row>
    <row r="3030">
      <c r="A3030" s="18">
        <v>45665.0</v>
      </c>
      <c r="B3030" s="16" t="s">
        <v>3862</v>
      </c>
      <c r="C3030" s="16" t="s">
        <v>942</v>
      </c>
      <c r="D3030" s="16" t="s">
        <v>707</v>
      </c>
      <c r="E3030" s="16">
        <v>2014.0</v>
      </c>
      <c r="F3030" s="16">
        <v>51.8799</v>
      </c>
      <c r="G3030" s="16">
        <v>11.1638</v>
      </c>
      <c r="H3030" s="15"/>
      <c r="I3030" s="15"/>
    </row>
    <row r="3031">
      <c r="A3031" s="18">
        <v>45665.0</v>
      </c>
      <c r="B3031" s="16" t="s">
        <v>3863</v>
      </c>
      <c r="C3031" s="16">
        <v>1.0</v>
      </c>
      <c r="D3031" s="16" t="s">
        <v>707</v>
      </c>
      <c r="E3031" s="16">
        <v>2014.0</v>
      </c>
      <c r="F3031" s="16">
        <v>51.265</v>
      </c>
      <c r="G3031" s="16">
        <v>10.6219</v>
      </c>
      <c r="H3031" s="15"/>
      <c r="I3031" s="15"/>
    </row>
    <row r="3032">
      <c r="A3032" s="18">
        <v>45665.0</v>
      </c>
      <c r="B3032" s="16" t="s">
        <v>3864</v>
      </c>
      <c r="C3032" s="16">
        <v>2.0</v>
      </c>
      <c r="D3032" s="16" t="s">
        <v>707</v>
      </c>
      <c r="E3032" s="16">
        <v>2014.0</v>
      </c>
      <c r="F3032" s="16">
        <v>49.196</v>
      </c>
      <c r="G3032" s="16">
        <v>9.4743</v>
      </c>
      <c r="H3032" s="15"/>
      <c r="I3032" s="15"/>
    </row>
    <row r="3033">
      <c r="A3033" s="18">
        <v>45665.0</v>
      </c>
      <c r="B3033" s="16" t="s">
        <v>3865</v>
      </c>
      <c r="C3033" s="16" t="s">
        <v>959</v>
      </c>
      <c r="D3033" s="16" t="s">
        <v>707</v>
      </c>
      <c r="E3033" s="16">
        <v>2014.0</v>
      </c>
      <c r="F3033" s="16">
        <v>53.3979</v>
      </c>
      <c r="G3033" s="16">
        <v>13.045</v>
      </c>
      <c r="H3033" s="15"/>
      <c r="I3033" s="15"/>
    </row>
    <row r="3034">
      <c r="A3034" s="18">
        <v>45665.0</v>
      </c>
      <c r="B3034" s="16" t="s">
        <v>3866</v>
      </c>
      <c r="C3034" s="16" t="s">
        <v>1436</v>
      </c>
      <c r="D3034" s="16" t="s">
        <v>707</v>
      </c>
      <c r="E3034" s="16">
        <v>2014.0</v>
      </c>
      <c r="F3034" s="16">
        <v>51.5767</v>
      </c>
      <c r="G3034" s="16">
        <v>14.0319</v>
      </c>
      <c r="H3034" s="15"/>
      <c r="I3034" s="15"/>
    </row>
    <row r="3035">
      <c r="A3035" s="18">
        <v>45665.0</v>
      </c>
      <c r="B3035" s="16" t="s">
        <v>3867</v>
      </c>
      <c r="C3035" s="16" t="s">
        <v>1167</v>
      </c>
      <c r="D3035" s="16" t="s">
        <v>707</v>
      </c>
      <c r="E3035" s="16">
        <v>2014.0</v>
      </c>
      <c r="F3035" s="16">
        <v>49.8342</v>
      </c>
      <c r="G3035" s="16">
        <v>6.9078</v>
      </c>
      <c r="H3035" s="15"/>
      <c r="I3035" s="15"/>
    </row>
    <row r="3036">
      <c r="A3036" s="18">
        <v>45665.0</v>
      </c>
      <c r="B3036" s="16" t="s">
        <v>3868</v>
      </c>
      <c r="C3036" s="16" t="s">
        <v>1149</v>
      </c>
      <c r="D3036" s="16" t="s">
        <v>707</v>
      </c>
      <c r="E3036" s="16">
        <v>2014.0</v>
      </c>
      <c r="F3036" s="16">
        <v>49.5951</v>
      </c>
      <c r="G3036" s="16">
        <v>6.5836</v>
      </c>
      <c r="H3036" s="15"/>
      <c r="I3036" s="15"/>
    </row>
    <row r="3037">
      <c r="A3037" s="18">
        <v>45665.0</v>
      </c>
      <c r="B3037" s="16" t="s">
        <v>3869</v>
      </c>
      <c r="C3037" s="16" t="s">
        <v>1011</v>
      </c>
      <c r="D3037" s="16" t="s">
        <v>707</v>
      </c>
      <c r="E3037" s="16">
        <v>2014.0</v>
      </c>
      <c r="F3037" s="16">
        <v>49.2177</v>
      </c>
      <c r="G3037" s="16">
        <v>6.8192</v>
      </c>
      <c r="H3037" s="15"/>
      <c r="I3037" s="15"/>
    </row>
    <row r="3038">
      <c r="A3038" s="18">
        <v>45665.0</v>
      </c>
      <c r="B3038" s="16" t="s">
        <v>3870</v>
      </c>
      <c r="C3038" s="16" t="s">
        <v>1215</v>
      </c>
      <c r="D3038" s="16" t="s">
        <v>707</v>
      </c>
      <c r="E3038" s="16">
        <v>2014.0</v>
      </c>
      <c r="F3038" s="16">
        <v>49.47</v>
      </c>
      <c r="G3038" s="16">
        <v>11.8478</v>
      </c>
      <c r="H3038" s="15"/>
      <c r="I3038" s="15"/>
    </row>
    <row r="3039">
      <c r="A3039" s="18">
        <v>45665.0</v>
      </c>
      <c r="B3039" s="16" t="s">
        <v>3871</v>
      </c>
      <c r="C3039" s="16" t="s">
        <v>1059</v>
      </c>
      <c r="D3039" s="16" t="s">
        <v>707</v>
      </c>
      <c r="E3039" s="16">
        <v>2014.0</v>
      </c>
      <c r="F3039" s="16">
        <v>51.7172</v>
      </c>
      <c r="G3039" s="16">
        <v>9.0754</v>
      </c>
      <c r="H3039" s="15"/>
      <c r="I3039" s="15"/>
    </row>
    <row r="3040">
      <c r="A3040" s="18">
        <v>45665.0</v>
      </c>
      <c r="B3040" s="16" t="s">
        <v>3872</v>
      </c>
      <c r="C3040" s="16" t="s">
        <v>2147</v>
      </c>
      <c r="D3040" s="16" t="s">
        <v>707</v>
      </c>
      <c r="E3040" s="16">
        <v>2014.0</v>
      </c>
      <c r="F3040" s="16">
        <v>49.3429</v>
      </c>
      <c r="G3040" s="16">
        <v>7.1106</v>
      </c>
      <c r="H3040" s="15"/>
      <c r="I3040" s="15"/>
    </row>
    <row r="3041">
      <c r="A3041" s="18">
        <v>45665.0</v>
      </c>
      <c r="B3041" s="16" t="s">
        <v>3873</v>
      </c>
      <c r="C3041" s="16" t="s">
        <v>1167</v>
      </c>
      <c r="D3041" s="16" t="s">
        <v>707</v>
      </c>
      <c r="E3041" s="16">
        <v>2014.0</v>
      </c>
      <c r="F3041" s="16">
        <v>49.4119</v>
      </c>
      <c r="G3041" s="16">
        <v>6.931</v>
      </c>
      <c r="H3041" s="15"/>
      <c r="I3041" s="15"/>
    </row>
    <row r="3042">
      <c r="A3042" s="18">
        <v>45665.0</v>
      </c>
      <c r="B3042" s="16" t="s">
        <v>3874</v>
      </c>
      <c r="C3042" s="16" t="s">
        <v>951</v>
      </c>
      <c r="D3042" s="16" t="s">
        <v>707</v>
      </c>
      <c r="E3042" s="16">
        <v>2014.0</v>
      </c>
      <c r="F3042" s="16">
        <v>50.211</v>
      </c>
      <c r="G3042" s="16">
        <v>11.0694</v>
      </c>
      <c r="H3042" s="15"/>
      <c r="I3042" s="15"/>
    </row>
    <row r="3043">
      <c r="A3043" s="18">
        <v>45665.0</v>
      </c>
      <c r="B3043" s="16" t="s">
        <v>3875</v>
      </c>
      <c r="C3043" s="16" t="s">
        <v>969</v>
      </c>
      <c r="D3043" s="16" t="s">
        <v>707</v>
      </c>
      <c r="E3043" s="16">
        <v>2014.0</v>
      </c>
      <c r="F3043" s="16">
        <v>49.5949</v>
      </c>
      <c r="G3043" s="16">
        <v>12.5321</v>
      </c>
      <c r="H3043" s="15"/>
      <c r="I3043" s="15"/>
    </row>
    <row r="3044">
      <c r="A3044" s="18">
        <v>45665.0</v>
      </c>
      <c r="B3044" s="16" t="s">
        <v>3876</v>
      </c>
      <c r="C3044" s="16" t="s">
        <v>1037</v>
      </c>
      <c r="D3044" s="16" t="s">
        <v>707</v>
      </c>
      <c r="E3044" s="16">
        <v>2014.0</v>
      </c>
      <c r="F3044" s="16">
        <v>51.757</v>
      </c>
      <c r="G3044" s="16">
        <v>11.3649</v>
      </c>
      <c r="H3044" s="15"/>
      <c r="I3044" s="15"/>
    </row>
    <row r="3045">
      <c r="A3045" s="18">
        <v>45665.0</v>
      </c>
      <c r="B3045" s="16" t="s">
        <v>3877</v>
      </c>
      <c r="C3045" s="16" t="s">
        <v>942</v>
      </c>
      <c r="D3045" s="16" t="s">
        <v>707</v>
      </c>
      <c r="E3045" s="16">
        <v>2014.0</v>
      </c>
      <c r="F3045" s="16">
        <v>51.757</v>
      </c>
      <c r="G3045" s="16">
        <v>11.3649</v>
      </c>
      <c r="H3045" s="15"/>
      <c r="I3045" s="15"/>
    </row>
    <row r="3046">
      <c r="A3046" s="18">
        <v>45665.0</v>
      </c>
      <c r="B3046" s="16" t="s">
        <v>3878</v>
      </c>
      <c r="C3046" s="16" t="s">
        <v>1059</v>
      </c>
      <c r="D3046" s="16" t="s">
        <v>707</v>
      </c>
      <c r="E3046" s="16">
        <v>2014.0</v>
      </c>
      <c r="F3046" s="16">
        <v>52.0896</v>
      </c>
      <c r="G3046" s="16">
        <v>13.026</v>
      </c>
      <c r="H3046" s="15"/>
      <c r="I3046" s="15"/>
    </row>
    <row r="3047">
      <c r="A3047" s="18">
        <v>45665.0</v>
      </c>
      <c r="B3047" s="16" t="s">
        <v>3879</v>
      </c>
      <c r="C3047" s="16" t="s">
        <v>942</v>
      </c>
      <c r="D3047" s="16" t="s">
        <v>707</v>
      </c>
      <c r="E3047" s="16">
        <v>2014.0</v>
      </c>
      <c r="F3047" s="16">
        <v>50.2361</v>
      </c>
      <c r="G3047" s="16">
        <v>11.0506</v>
      </c>
      <c r="H3047" s="15"/>
      <c r="I3047" s="15"/>
    </row>
    <row r="3048">
      <c r="A3048" s="18">
        <v>45665.0</v>
      </c>
      <c r="B3048" s="16" t="s">
        <v>3880</v>
      </c>
      <c r="C3048" s="16" t="s">
        <v>978</v>
      </c>
      <c r="D3048" s="16" t="s">
        <v>707</v>
      </c>
      <c r="E3048" s="16">
        <v>2014.0</v>
      </c>
      <c r="F3048" s="16">
        <v>54.7786</v>
      </c>
      <c r="G3048" s="16">
        <v>9.3539</v>
      </c>
      <c r="H3048" s="15"/>
      <c r="I3048" s="15"/>
    </row>
    <row r="3049">
      <c r="A3049" s="18">
        <v>45665.0</v>
      </c>
      <c r="B3049" s="16" t="s">
        <v>3881</v>
      </c>
      <c r="C3049" s="16">
        <v>10.0</v>
      </c>
      <c r="D3049" s="16" t="s">
        <v>707</v>
      </c>
      <c r="E3049" s="16">
        <v>2014.0</v>
      </c>
      <c r="F3049" s="16">
        <v>48.438</v>
      </c>
      <c r="G3049" s="16">
        <v>7.9027</v>
      </c>
      <c r="H3049" s="15"/>
      <c r="I3049" s="15"/>
    </row>
    <row r="3050">
      <c r="A3050" s="18">
        <v>45665.0</v>
      </c>
      <c r="B3050" s="16" t="s">
        <v>3882</v>
      </c>
      <c r="C3050" s="16" t="s">
        <v>1059</v>
      </c>
      <c r="D3050" s="16" t="s">
        <v>707</v>
      </c>
      <c r="E3050" s="16">
        <v>2014.0</v>
      </c>
      <c r="F3050" s="16">
        <v>50.6221</v>
      </c>
      <c r="G3050" s="16">
        <v>7.9801</v>
      </c>
      <c r="H3050" s="15"/>
      <c r="I3050" s="15"/>
    </row>
    <row r="3051">
      <c r="A3051" s="18">
        <v>45665.0</v>
      </c>
      <c r="B3051" s="16" t="s">
        <v>3883</v>
      </c>
      <c r="C3051" s="16">
        <v>10.0</v>
      </c>
      <c r="D3051" s="16" t="s">
        <v>707</v>
      </c>
      <c r="E3051" s="16">
        <v>2014.0</v>
      </c>
      <c r="F3051" s="16">
        <v>48.7513</v>
      </c>
      <c r="G3051" s="16">
        <v>10.1692</v>
      </c>
      <c r="H3051" s="15"/>
      <c r="I3051" s="15"/>
    </row>
    <row r="3052">
      <c r="A3052" s="18">
        <v>45665.0</v>
      </c>
      <c r="B3052" s="16" t="s">
        <v>3884</v>
      </c>
      <c r="C3052" s="16" t="s">
        <v>961</v>
      </c>
      <c r="D3052" s="16" t="s">
        <v>707</v>
      </c>
      <c r="E3052" s="16">
        <v>2014.0</v>
      </c>
      <c r="F3052" s="16">
        <v>50.9947</v>
      </c>
      <c r="G3052" s="16">
        <v>8.6235</v>
      </c>
      <c r="H3052" s="15"/>
      <c r="I3052" s="15"/>
    </row>
    <row r="3053">
      <c r="A3053" s="18">
        <v>45665.0</v>
      </c>
      <c r="B3053" s="16" t="s">
        <v>3885</v>
      </c>
      <c r="C3053" s="16" t="s">
        <v>951</v>
      </c>
      <c r="D3053" s="16" t="s">
        <v>707</v>
      </c>
      <c r="E3053" s="16">
        <v>2014.0</v>
      </c>
      <c r="F3053" s="16">
        <v>52.7821</v>
      </c>
      <c r="G3053" s="16">
        <v>14.156</v>
      </c>
      <c r="H3053" s="15"/>
      <c r="I3053" s="15"/>
    </row>
    <row r="3054">
      <c r="A3054" s="18">
        <v>45665.0</v>
      </c>
      <c r="B3054" s="16" t="s">
        <v>3886</v>
      </c>
      <c r="C3054" s="16" t="s">
        <v>1046</v>
      </c>
      <c r="D3054" s="16" t="s">
        <v>707</v>
      </c>
      <c r="E3054" s="16">
        <v>2014.0</v>
      </c>
      <c r="F3054" s="16">
        <v>52.8476</v>
      </c>
      <c r="G3054" s="16">
        <v>12.4597</v>
      </c>
      <c r="H3054" s="15"/>
      <c r="I3054" s="15"/>
    </row>
    <row r="3055">
      <c r="A3055" s="18">
        <v>45665.0</v>
      </c>
      <c r="B3055" s="16" t="s">
        <v>3887</v>
      </c>
      <c r="C3055" s="16">
        <v>3.0</v>
      </c>
      <c r="D3055" s="16" t="s">
        <v>707</v>
      </c>
      <c r="E3055" s="16">
        <v>2014.0</v>
      </c>
      <c r="F3055" s="16">
        <v>49.9824</v>
      </c>
      <c r="G3055" s="16">
        <v>6.7456</v>
      </c>
      <c r="H3055" s="15"/>
      <c r="I3055" s="15"/>
    </row>
    <row r="3056">
      <c r="A3056" s="18">
        <v>45665.0</v>
      </c>
      <c r="B3056" s="16" t="s">
        <v>3888</v>
      </c>
      <c r="C3056" s="16" t="s">
        <v>948</v>
      </c>
      <c r="D3056" s="16" t="s">
        <v>707</v>
      </c>
      <c r="E3056" s="16">
        <v>2014.0</v>
      </c>
      <c r="F3056" s="16">
        <v>51.9537</v>
      </c>
      <c r="G3056" s="16">
        <v>14.6154</v>
      </c>
      <c r="H3056" s="15"/>
      <c r="I3056" s="15"/>
    </row>
    <row r="3057">
      <c r="A3057" s="18">
        <v>45665.0</v>
      </c>
      <c r="B3057" s="16" t="s">
        <v>3889</v>
      </c>
      <c r="C3057" s="16" t="s">
        <v>1101</v>
      </c>
      <c r="D3057" s="16" t="s">
        <v>707</v>
      </c>
      <c r="E3057" s="16">
        <v>2014.0</v>
      </c>
      <c r="F3057" s="16">
        <v>51.4677</v>
      </c>
      <c r="G3057" s="16">
        <v>13.6082</v>
      </c>
      <c r="H3057" s="15"/>
      <c r="I3057" s="15"/>
    </row>
    <row r="3058">
      <c r="A3058" s="18">
        <v>45665.0</v>
      </c>
      <c r="B3058" s="16" t="s">
        <v>3890</v>
      </c>
      <c r="C3058" s="16" t="s">
        <v>1034</v>
      </c>
      <c r="D3058" s="16" t="s">
        <v>707</v>
      </c>
      <c r="E3058" s="16">
        <v>2014.0</v>
      </c>
      <c r="F3058" s="16">
        <v>51.4761</v>
      </c>
      <c r="G3058" s="16">
        <v>13.6025</v>
      </c>
      <c r="H3058" s="15"/>
      <c r="I3058" s="15"/>
    </row>
    <row r="3059">
      <c r="A3059" s="18">
        <v>45665.0</v>
      </c>
      <c r="B3059" s="16" t="s">
        <v>3891</v>
      </c>
      <c r="C3059" s="16" t="s">
        <v>1101</v>
      </c>
      <c r="D3059" s="16" t="s">
        <v>707</v>
      </c>
      <c r="E3059" s="16">
        <v>2014.0</v>
      </c>
      <c r="F3059" s="16">
        <v>48.8484</v>
      </c>
      <c r="G3059" s="16">
        <v>8.2325</v>
      </c>
      <c r="H3059" s="15"/>
      <c r="I3059" s="15"/>
    </row>
    <row r="3060">
      <c r="A3060" s="18">
        <v>45665.0</v>
      </c>
      <c r="B3060" s="16" t="s">
        <v>3892</v>
      </c>
      <c r="C3060" s="16" t="s">
        <v>969</v>
      </c>
      <c r="D3060" s="16" t="s">
        <v>707</v>
      </c>
      <c r="E3060" s="16">
        <v>2014.0</v>
      </c>
      <c r="F3060" s="16">
        <v>49.3171</v>
      </c>
      <c r="G3060" s="16">
        <v>8.9866</v>
      </c>
      <c r="H3060" s="15"/>
      <c r="I3060" s="15"/>
    </row>
    <row r="3061">
      <c r="A3061" s="18">
        <v>45665.0</v>
      </c>
      <c r="B3061" s="16" t="s">
        <v>3893</v>
      </c>
      <c r="C3061" s="16" t="s">
        <v>1037</v>
      </c>
      <c r="D3061" s="16" t="s">
        <v>707</v>
      </c>
      <c r="E3061" s="16">
        <v>2014.0</v>
      </c>
      <c r="F3061" s="16">
        <v>49.9579</v>
      </c>
      <c r="G3061" s="16">
        <v>9.8243</v>
      </c>
      <c r="H3061" s="15"/>
      <c r="I3061" s="15"/>
    </row>
    <row r="3062">
      <c r="A3062" s="18">
        <v>45665.0</v>
      </c>
      <c r="B3062" s="16" t="s">
        <v>3894</v>
      </c>
      <c r="C3062" s="16" t="s">
        <v>961</v>
      </c>
      <c r="D3062" s="16" t="s">
        <v>707</v>
      </c>
      <c r="E3062" s="16">
        <v>2014.0</v>
      </c>
      <c r="F3062" s="16">
        <v>48.4509</v>
      </c>
      <c r="G3062" s="16">
        <v>7.9009</v>
      </c>
      <c r="H3062" s="15"/>
      <c r="I3062" s="15"/>
    </row>
    <row r="3063">
      <c r="A3063" s="18">
        <v>45665.0</v>
      </c>
      <c r="B3063" s="16" t="s">
        <v>3895</v>
      </c>
      <c r="C3063" s="16" t="s">
        <v>946</v>
      </c>
      <c r="D3063" s="16" t="s">
        <v>707</v>
      </c>
      <c r="E3063" s="16">
        <v>2014.0</v>
      </c>
      <c r="F3063" s="16">
        <v>49.7488</v>
      </c>
      <c r="G3063" s="16">
        <v>8.5622</v>
      </c>
      <c r="H3063" s="15"/>
      <c r="I3063" s="15"/>
    </row>
    <row r="3064">
      <c r="A3064" s="18">
        <v>45665.0</v>
      </c>
      <c r="B3064" s="16" t="s">
        <v>3896</v>
      </c>
      <c r="C3064" s="16" t="s">
        <v>969</v>
      </c>
      <c r="D3064" s="16" t="s">
        <v>707</v>
      </c>
      <c r="E3064" s="16">
        <v>2014.0</v>
      </c>
      <c r="F3064" s="16">
        <v>52.5931</v>
      </c>
      <c r="G3064" s="16">
        <v>12.0315</v>
      </c>
      <c r="H3064" s="15"/>
      <c r="I3064" s="15"/>
    </row>
    <row r="3065">
      <c r="A3065" s="18">
        <v>45665.0</v>
      </c>
      <c r="B3065" s="16" t="s">
        <v>3897</v>
      </c>
      <c r="C3065" s="16" t="s">
        <v>1475</v>
      </c>
      <c r="D3065" s="16" t="s">
        <v>707</v>
      </c>
      <c r="E3065" s="16">
        <v>2014.0</v>
      </c>
      <c r="F3065" s="16">
        <v>54.8004</v>
      </c>
      <c r="G3065" s="16">
        <v>9.3358</v>
      </c>
      <c r="H3065" s="15"/>
      <c r="I3065" s="15"/>
    </row>
    <row r="3066">
      <c r="A3066" s="18">
        <v>45665.0</v>
      </c>
      <c r="B3066" s="16" t="s">
        <v>3898</v>
      </c>
      <c r="C3066" s="16" t="s">
        <v>961</v>
      </c>
      <c r="D3066" s="16" t="s">
        <v>707</v>
      </c>
      <c r="E3066" s="16">
        <v>2014.0</v>
      </c>
      <c r="F3066" s="16">
        <v>52.4089</v>
      </c>
      <c r="G3066" s="16">
        <v>14.1527</v>
      </c>
      <c r="H3066" s="15"/>
      <c r="I3066" s="15"/>
    </row>
    <row r="3067">
      <c r="A3067" s="18">
        <v>45665.0</v>
      </c>
      <c r="B3067" s="16" t="s">
        <v>3899</v>
      </c>
      <c r="C3067" s="16" t="s">
        <v>1267</v>
      </c>
      <c r="D3067" s="16" t="s">
        <v>707</v>
      </c>
      <c r="E3067" s="16">
        <v>2014.0</v>
      </c>
      <c r="F3067" s="16">
        <v>52.5902</v>
      </c>
      <c r="G3067" s="16">
        <v>11.8907</v>
      </c>
      <c r="H3067" s="15"/>
      <c r="I3067" s="15"/>
    </row>
    <row r="3068">
      <c r="A3068" s="18">
        <v>45665.0</v>
      </c>
      <c r="B3068" s="16" t="s">
        <v>3900</v>
      </c>
      <c r="C3068" s="16" t="s">
        <v>1690</v>
      </c>
      <c r="D3068" s="16" t="s">
        <v>707</v>
      </c>
      <c r="E3068" s="16">
        <v>2014.0</v>
      </c>
      <c r="F3068" s="16">
        <v>52.2075</v>
      </c>
      <c r="G3068" s="16">
        <v>13.9415</v>
      </c>
      <c r="H3068" s="15"/>
      <c r="I3068" s="15"/>
    </row>
    <row r="3069">
      <c r="A3069" s="18">
        <v>45665.0</v>
      </c>
      <c r="B3069" s="16" t="s">
        <v>3901</v>
      </c>
      <c r="C3069" s="16">
        <v>6.0</v>
      </c>
      <c r="D3069" s="16" t="s">
        <v>707</v>
      </c>
      <c r="E3069" s="16">
        <v>2014.0</v>
      </c>
      <c r="F3069" s="16">
        <v>52.6465</v>
      </c>
      <c r="G3069" s="16">
        <v>7.1064</v>
      </c>
      <c r="H3069" s="15"/>
      <c r="I3069" s="15"/>
    </row>
    <row r="3070">
      <c r="A3070" s="18">
        <v>45665.0</v>
      </c>
      <c r="B3070" s="16" t="s">
        <v>3902</v>
      </c>
      <c r="C3070" s="16">
        <v>3.0</v>
      </c>
      <c r="D3070" s="16" t="s">
        <v>707</v>
      </c>
      <c r="E3070" s="16">
        <v>2014.0</v>
      </c>
      <c r="F3070" s="16">
        <v>49.5786</v>
      </c>
      <c r="G3070" s="16">
        <v>11.0957</v>
      </c>
      <c r="H3070" s="15"/>
      <c r="I3070" s="15"/>
    </row>
    <row r="3071">
      <c r="A3071" s="18">
        <v>45665.0</v>
      </c>
      <c r="B3071" s="16" t="s">
        <v>3903</v>
      </c>
      <c r="C3071" s="16" t="s">
        <v>1004</v>
      </c>
      <c r="D3071" s="16" t="s">
        <v>707</v>
      </c>
      <c r="E3071" s="16">
        <v>2014.0</v>
      </c>
      <c r="F3071" s="16">
        <v>53.919</v>
      </c>
      <c r="G3071" s="16">
        <v>12.0778</v>
      </c>
      <c r="H3071" s="15"/>
      <c r="I3071" s="15"/>
    </row>
    <row r="3072">
      <c r="A3072" s="18">
        <v>45665.0</v>
      </c>
      <c r="B3072" s="16" t="s">
        <v>3904</v>
      </c>
      <c r="C3072" s="16" t="s">
        <v>1002</v>
      </c>
      <c r="D3072" s="16" t="s">
        <v>707</v>
      </c>
      <c r="E3072" s="16">
        <v>2014.0</v>
      </c>
      <c r="F3072" s="16">
        <v>52.7228</v>
      </c>
      <c r="G3072" s="16">
        <v>11.9902</v>
      </c>
      <c r="H3072" s="15"/>
      <c r="I3072" s="15"/>
    </row>
    <row r="3073">
      <c r="A3073" s="18">
        <v>45665.0</v>
      </c>
      <c r="B3073" s="16" t="s">
        <v>3905</v>
      </c>
      <c r="C3073" s="16" t="s">
        <v>1011</v>
      </c>
      <c r="D3073" s="16" t="s">
        <v>707</v>
      </c>
      <c r="E3073" s="16">
        <v>2014.0</v>
      </c>
      <c r="F3073" s="16">
        <v>54.2611</v>
      </c>
      <c r="G3073" s="16">
        <v>13.1307</v>
      </c>
      <c r="H3073" s="15"/>
      <c r="I3073" s="15"/>
    </row>
    <row r="3074">
      <c r="A3074" s="18">
        <v>45665.0</v>
      </c>
      <c r="B3074" s="16" t="s">
        <v>3906</v>
      </c>
      <c r="C3074" s="16" t="s">
        <v>1436</v>
      </c>
      <c r="D3074" s="16" t="s">
        <v>707</v>
      </c>
      <c r="E3074" s="16">
        <v>2014.0</v>
      </c>
      <c r="F3074" s="16">
        <v>53.896</v>
      </c>
      <c r="G3074" s="16">
        <v>12.3545</v>
      </c>
      <c r="H3074" s="15"/>
      <c r="I3074" s="15"/>
    </row>
    <row r="3075">
      <c r="A3075" s="18">
        <v>45665.0</v>
      </c>
      <c r="B3075" s="16" t="s">
        <v>3907</v>
      </c>
      <c r="C3075" s="16" t="s">
        <v>978</v>
      </c>
      <c r="D3075" s="16" t="s">
        <v>707</v>
      </c>
      <c r="E3075" s="16">
        <v>2014.0</v>
      </c>
      <c r="F3075" s="16">
        <v>51.1252</v>
      </c>
      <c r="G3075" s="16">
        <v>10.6378</v>
      </c>
      <c r="H3075" s="15"/>
      <c r="I3075" s="15"/>
    </row>
    <row r="3076">
      <c r="A3076" s="18">
        <v>45665.0</v>
      </c>
      <c r="B3076" s="16" t="s">
        <v>3908</v>
      </c>
      <c r="C3076" s="16" t="s">
        <v>1034</v>
      </c>
      <c r="D3076" s="16" t="s">
        <v>707</v>
      </c>
      <c r="E3076" s="16">
        <v>2014.0</v>
      </c>
      <c r="F3076" s="16">
        <v>48.8723</v>
      </c>
      <c r="G3076" s="16">
        <v>11.8691</v>
      </c>
      <c r="H3076" s="15"/>
      <c r="I3076" s="15"/>
    </row>
    <row r="3077">
      <c r="A3077" s="18">
        <v>45665.0</v>
      </c>
      <c r="B3077" s="16" t="s">
        <v>3909</v>
      </c>
      <c r="C3077" s="16">
        <v>10.0</v>
      </c>
      <c r="D3077" s="16" t="s">
        <v>707</v>
      </c>
      <c r="E3077" s="16">
        <v>2014.0</v>
      </c>
      <c r="F3077" s="16">
        <v>49.2458</v>
      </c>
      <c r="G3077" s="16">
        <v>7.5752</v>
      </c>
      <c r="H3077" s="15"/>
      <c r="I3077" s="15"/>
    </row>
    <row r="3078">
      <c r="A3078" s="18">
        <v>45665.0</v>
      </c>
      <c r="B3078" s="16" t="s">
        <v>3910</v>
      </c>
      <c r="C3078" s="16" t="s">
        <v>942</v>
      </c>
      <c r="D3078" s="16" t="s">
        <v>707</v>
      </c>
      <c r="E3078" s="16">
        <v>2014.0</v>
      </c>
      <c r="F3078" s="16">
        <v>53.508</v>
      </c>
      <c r="G3078" s="16">
        <v>13.3954</v>
      </c>
      <c r="H3078" s="15"/>
      <c r="I3078" s="15"/>
    </row>
    <row r="3079">
      <c r="A3079" s="18">
        <v>45665.0</v>
      </c>
      <c r="B3079" s="16" t="s">
        <v>3911</v>
      </c>
      <c r="C3079" s="16" t="s">
        <v>965</v>
      </c>
      <c r="D3079" s="16" t="s">
        <v>707</v>
      </c>
      <c r="E3079" s="16">
        <v>2014.0</v>
      </c>
      <c r="F3079" s="16">
        <v>50.005</v>
      </c>
      <c r="G3079" s="16">
        <v>11.287</v>
      </c>
      <c r="H3079" s="15"/>
      <c r="I3079" s="15"/>
    </row>
    <row r="3080">
      <c r="A3080" s="18">
        <v>45001.0</v>
      </c>
      <c r="B3080" s="16" t="s">
        <v>3912</v>
      </c>
      <c r="C3080" s="16" t="s">
        <v>1055</v>
      </c>
      <c r="D3080" s="16" t="s">
        <v>707</v>
      </c>
      <c r="E3080" s="16">
        <v>2015.0</v>
      </c>
      <c r="F3080" s="16">
        <v>51.7986</v>
      </c>
      <c r="G3080" s="16">
        <v>14.0446</v>
      </c>
      <c r="H3080" s="15"/>
      <c r="I3080" s="15"/>
    </row>
    <row r="3081">
      <c r="A3081" s="18">
        <v>45665.0</v>
      </c>
      <c r="B3081" s="16" t="s">
        <v>3913</v>
      </c>
      <c r="C3081" s="16" t="s">
        <v>942</v>
      </c>
      <c r="D3081" s="16" t="s">
        <v>707</v>
      </c>
      <c r="E3081" s="16">
        <v>2015.0</v>
      </c>
      <c r="F3081" s="16">
        <v>51.4563</v>
      </c>
      <c r="G3081" s="16">
        <v>10.6196</v>
      </c>
      <c r="H3081" s="15"/>
      <c r="I3081" s="15"/>
    </row>
    <row r="3082">
      <c r="A3082" s="18">
        <v>45665.0</v>
      </c>
      <c r="B3082" s="16" t="s">
        <v>3914</v>
      </c>
      <c r="C3082" s="16" t="s">
        <v>959</v>
      </c>
      <c r="D3082" s="16" t="s">
        <v>707</v>
      </c>
      <c r="E3082" s="16">
        <v>2015.0</v>
      </c>
      <c r="F3082" s="16">
        <v>51.8995</v>
      </c>
      <c r="G3082" s="16">
        <v>10.8501</v>
      </c>
      <c r="H3082" s="15"/>
      <c r="I3082" s="15"/>
    </row>
    <row r="3083">
      <c r="A3083" s="18">
        <v>45665.0</v>
      </c>
      <c r="B3083" s="16" t="s">
        <v>3915</v>
      </c>
      <c r="C3083" s="16">
        <v>7.0</v>
      </c>
      <c r="D3083" s="16" t="s">
        <v>707</v>
      </c>
      <c r="E3083" s="16">
        <v>2015.0</v>
      </c>
      <c r="F3083" s="16">
        <v>51.5684</v>
      </c>
      <c r="G3083" s="16">
        <v>13.9562</v>
      </c>
      <c r="H3083" s="15"/>
      <c r="I3083" s="15"/>
    </row>
    <row r="3084">
      <c r="A3084" s="18">
        <v>45665.0</v>
      </c>
      <c r="B3084" s="16" t="s">
        <v>3916</v>
      </c>
      <c r="C3084" s="16">
        <v>3.0</v>
      </c>
      <c r="D3084" s="16" t="s">
        <v>707</v>
      </c>
      <c r="E3084" s="16">
        <v>2015.0</v>
      </c>
      <c r="F3084" s="16">
        <v>51.5679</v>
      </c>
      <c r="G3084" s="16">
        <v>13.9601</v>
      </c>
      <c r="H3084" s="15"/>
      <c r="I3084" s="15"/>
    </row>
    <row r="3085">
      <c r="A3085" s="18">
        <v>45665.0</v>
      </c>
      <c r="B3085" s="16" t="s">
        <v>3917</v>
      </c>
      <c r="C3085" s="16">
        <v>1.0</v>
      </c>
      <c r="D3085" s="16" t="s">
        <v>707</v>
      </c>
      <c r="E3085" s="16">
        <v>2015.0</v>
      </c>
      <c r="F3085" s="16">
        <v>51.5889</v>
      </c>
      <c r="G3085" s="16">
        <v>13.9806</v>
      </c>
      <c r="H3085" s="15"/>
      <c r="I3085" s="15"/>
    </row>
    <row r="3086">
      <c r="A3086" s="18">
        <v>45665.0</v>
      </c>
      <c r="B3086" s="16" t="s">
        <v>3918</v>
      </c>
      <c r="C3086" s="16" t="s">
        <v>2392</v>
      </c>
      <c r="D3086" s="16" t="s">
        <v>707</v>
      </c>
      <c r="E3086" s="16">
        <v>2015.0</v>
      </c>
      <c r="F3086" s="16">
        <v>53.3369</v>
      </c>
      <c r="G3086" s="16">
        <v>13.2659</v>
      </c>
      <c r="H3086" s="15"/>
      <c r="I3086" s="15"/>
    </row>
    <row r="3087">
      <c r="A3087" s="18">
        <v>45665.0</v>
      </c>
      <c r="B3087" s="16" t="s">
        <v>3919</v>
      </c>
      <c r="C3087" s="16" t="s">
        <v>2404</v>
      </c>
      <c r="D3087" s="16" t="s">
        <v>707</v>
      </c>
      <c r="E3087" s="16">
        <v>2015.0</v>
      </c>
      <c r="F3087" s="16">
        <v>52.0889</v>
      </c>
      <c r="G3087" s="16">
        <v>8.1661</v>
      </c>
      <c r="H3087" s="15"/>
      <c r="I3087" s="15"/>
    </row>
    <row r="3088">
      <c r="A3088" s="18">
        <v>45665.0</v>
      </c>
      <c r="B3088" s="16" t="s">
        <v>3920</v>
      </c>
      <c r="C3088" s="16">
        <v>1.0</v>
      </c>
      <c r="D3088" s="16" t="s">
        <v>707</v>
      </c>
      <c r="E3088" s="16">
        <v>2015.0</v>
      </c>
      <c r="F3088" s="16">
        <v>53.71</v>
      </c>
      <c r="G3088" s="16">
        <v>12.1844</v>
      </c>
      <c r="H3088" s="15"/>
      <c r="I3088" s="15"/>
    </row>
    <row r="3089">
      <c r="A3089" s="18">
        <v>45665.0</v>
      </c>
      <c r="B3089" s="16" t="s">
        <v>3921</v>
      </c>
      <c r="C3089" s="16" t="s">
        <v>3505</v>
      </c>
      <c r="D3089" s="16" t="s">
        <v>707</v>
      </c>
      <c r="E3089" s="16">
        <v>2015.0</v>
      </c>
      <c r="F3089" s="16">
        <v>53.4306</v>
      </c>
      <c r="G3089" s="16">
        <v>14.1833</v>
      </c>
      <c r="H3089" s="15"/>
      <c r="I3089" s="15"/>
    </row>
    <row r="3090">
      <c r="A3090" s="18">
        <v>45665.0</v>
      </c>
      <c r="B3090" s="16" t="s">
        <v>3922</v>
      </c>
      <c r="C3090" s="16" t="s">
        <v>982</v>
      </c>
      <c r="D3090" s="16" t="s">
        <v>707</v>
      </c>
      <c r="E3090" s="16">
        <v>2015.0</v>
      </c>
      <c r="F3090" s="16">
        <v>49.6144</v>
      </c>
      <c r="G3090" s="16">
        <v>11.8371</v>
      </c>
      <c r="H3090" s="15"/>
      <c r="I3090" s="15"/>
    </row>
    <row r="3091">
      <c r="A3091" s="18">
        <v>45665.0</v>
      </c>
      <c r="B3091" s="16" t="s">
        <v>3923</v>
      </c>
      <c r="C3091" s="16" t="s">
        <v>1007</v>
      </c>
      <c r="D3091" s="16" t="s">
        <v>707</v>
      </c>
      <c r="E3091" s="16">
        <v>2015.0</v>
      </c>
      <c r="F3091" s="16">
        <v>49.5245</v>
      </c>
      <c r="G3091" s="16">
        <v>10.1923</v>
      </c>
      <c r="H3091" s="15"/>
      <c r="I3091" s="15"/>
    </row>
    <row r="3092">
      <c r="A3092" s="18">
        <v>45665.0</v>
      </c>
      <c r="B3092" s="16" t="s">
        <v>3924</v>
      </c>
      <c r="C3092" s="16" t="s">
        <v>1055</v>
      </c>
      <c r="D3092" s="16" t="s">
        <v>707</v>
      </c>
      <c r="E3092" s="16">
        <v>2015.0</v>
      </c>
      <c r="F3092" s="16">
        <v>52.5904</v>
      </c>
      <c r="G3092" s="16">
        <v>11.8946</v>
      </c>
      <c r="H3092" s="15"/>
      <c r="I3092" s="15"/>
    </row>
    <row r="3093">
      <c r="A3093" s="18">
        <v>45665.0</v>
      </c>
      <c r="B3093" s="16" t="s">
        <v>3925</v>
      </c>
      <c r="C3093" s="16" t="s">
        <v>982</v>
      </c>
      <c r="D3093" s="16" t="s">
        <v>707</v>
      </c>
      <c r="E3093" s="16">
        <v>2015.0</v>
      </c>
      <c r="F3093" s="16">
        <v>51.8871</v>
      </c>
      <c r="G3093" s="16">
        <v>11.7951</v>
      </c>
      <c r="H3093" s="15"/>
      <c r="I3093" s="15"/>
    </row>
    <row r="3094">
      <c r="A3094" s="18">
        <v>45665.0</v>
      </c>
      <c r="B3094" s="16" t="s">
        <v>3926</v>
      </c>
      <c r="C3094" s="16" t="s">
        <v>942</v>
      </c>
      <c r="D3094" s="16" t="s">
        <v>707</v>
      </c>
      <c r="E3094" s="16">
        <v>2015.0</v>
      </c>
      <c r="F3094" s="16">
        <v>53.6078</v>
      </c>
      <c r="G3094" s="16">
        <v>13.4349</v>
      </c>
      <c r="H3094" s="15"/>
      <c r="I3094" s="15"/>
    </row>
    <row r="3095">
      <c r="A3095" s="18">
        <v>45665.0</v>
      </c>
      <c r="B3095" s="16" t="s">
        <v>3927</v>
      </c>
      <c r="C3095" s="16" t="s">
        <v>1055</v>
      </c>
      <c r="D3095" s="16" t="s">
        <v>707</v>
      </c>
      <c r="E3095" s="16">
        <v>2015.0</v>
      </c>
      <c r="F3095" s="16">
        <v>50.7297</v>
      </c>
      <c r="G3095" s="16">
        <v>11.7168</v>
      </c>
      <c r="H3095" s="15"/>
      <c r="I3095" s="15"/>
    </row>
    <row r="3096">
      <c r="A3096" s="18">
        <v>45665.0</v>
      </c>
      <c r="B3096" s="16" t="s">
        <v>3928</v>
      </c>
      <c r="C3096" s="16" t="s">
        <v>1101</v>
      </c>
      <c r="D3096" s="16" t="s">
        <v>707</v>
      </c>
      <c r="E3096" s="16">
        <v>2015.0</v>
      </c>
      <c r="F3096" s="16">
        <v>52.5234</v>
      </c>
      <c r="G3096" s="16">
        <v>13.1126</v>
      </c>
      <c r="H3096" s="15"/>
      <c r="I3096" s="15"/>
    </row>
    <row r="3097">
      <c r="A3097" s="18">
        <v>45665.0</v>
      </c>
      <c r="B3097" s="16" t="s">
        <v>3929</v>
      </c>
      <c r="C3097" s="16" t="s">
        <v>1007</v>
      </c>
      <c r="D3097" s="16" t="s">
        <v>707</v>
      </c>
      <c r="E3097" s="16">
        <v>2015.0</v>
      </c>
      <c r="F3097" s="16">
        <v>49.5037</v>
      </c>
      <c r="G3097" s="16">
        <v>10.8741</v>
      </c>
      <c r="H3097" s="15"/>
      <c r="I3097" s="15"/>
    </row>
    <row r="3098">
      <c r="A3098" s="18">
        <v>45665.0</v>
      </c>
      <c r="B3098" s="16" t="s">
        <v>3930</v>
      </c>
      <c r="C3098" s="16" t="s">
        <v>948</v>
      </c>
      <c r="D3098" s="16" t="s">
        <v>707</v>
      </c>
      <c r="E3098" s="16">
        <v>2015.0</v>
      </c>
      <c r="F3098" s="16">
        <v>50.2674</v>
      </c>
      <c r="G3098" s="16">
        <v>10.202</v>
      </c>
      <c r="H3098" s="15"/>
      <c r="I3098" s="15"/>
    </row>
    <row r="3099">
      <c r="A3099" s="18">
        <v>45665.0</v>
      </c>
      <c r="B3099" s="16" t="s">
        <v>3931</v>
      </c>
      <c r="C3099" s="16">
        <v>10.0</v>
      </c>
      <c r="D3099" s="16" t="s">
        <v>707</v>
      </c>
      <c r="E3099" s="16">
        <v>2015.0</v>
      </c>
      <c r="F3099" s="16">
        <v>48.0464</v>
      </c>
      <c r="G3099" s="16">
        <v>9.3687</v>
      </c>
      <c r="H3099" s="15"/>
      <c r="I3099" s="15"/>
    </row>
    <row r="3100">
      <c r="A3100" s="18">
        <v>45665.0</v>
      </c>
      <c r="B3100" s="16" t="s">
        <v>3932</v>
      </c>
      <c r="C3100" s="16" t="s">
        <v>946</v>
      </c>
      <c r="D3100" s="16" t="s">
        <v>707</v>
      </c>
      <c r="E3100" s="16">
        <v>2015.0</v>
      </c>
      <c r="F3100" s="16">
        <v>48.7833</v>
      </c>
      <c r="G3100" s="16">
        <v>12.8447</v>
      </c>
      <c r="H3100" s="15"/>
      <c r="I3100" s="15"/>
    </row>
    <row r="3101">
      <c r="A3101" s="18">
        <v>45665.0</v>
      </c>
      <c r="B3101" s="16" t="s">
        <v>3933</v>
      </c>
      <c r="C3101" s="16">
        <v>1.0</v>
      </c>
      <c r="D3101" s="16" t="s">
        <v>707</v>
      </c>
      <c r="E3101" s="16">
        <v>2015.0</v>
      </c>
      <c r="F3101" s="16">
        <v>49.6503</v>
      </c>
      <c r="G3101" s="16">
        <v>7.0008</v>
      </c>
      <c r="H3101" s="15"/>
      <c r="I3101" s="15"/>
    </row>
    <row r="3102">
      <c r="A3102" s="18">
        <v>45665.0</v>
      </c>
      <c r="B3102" s="16" t="s">
        <v>3934</v>
      </c>
      <c r="C3102" s="16" t="s">
        <v>1034</v>
      </c>
      <c r="D3102" s="16" t="s">
        <v>707</v>
      </c>
      <c r="E3102" s="16">
        <v>2015.0</v>
      </c>
      <c r="F3102" s="16">
        <v>50.2244</v>
      </c>
      <c r="G3102" s="16">
        <v>6.9731</v>
      </c>
      <c r="H3102" s="15"/>
      <c r="I3102" s="15"/>
    </row>
    <row r="3103">
      <c r="A3103" s="18">
        <v>45665.0</v>
      </c>
      <c r="B3103" s="16" t="s">
        <v>3935</v>
      </c>
      <c r="C3103" s="16">
        <v>4.0</v>
      </c>
      <c r="D3103" s="16" t="s">
        <v>707</v>
      </c>
      <c r="E3103" s="16">
        <v>2015.0</v>
      </c>
      <c r="F3103" s="16">
        <v>50.2078</v>
      </c>
      <c r="G3103" s="16">
        <v>6.9653</v>
      </c>
      <c r="H3103" s="15"/>
      <c r="I3103" s="15"/>
    </row>
    <row r="3104">
      <c r="A3104" s="18">
        <v>45665.0</v>
      </c>
      <c r="B3104" s="16" t="s">
        <v>3936</v>
      </c>
      <c r="C3104" s="16" t="s">
        <v>978</v>
      </c>
      <c r="D3104" s="16" t="s">
        <v>707</v>
      </c>
      <c r="E3104" s="16">
        <v>2015.0</v>
      </c>
      <c r="F3104" s="16">
        <v>52.3502</v>
      </c>
      <c r="G3104" s="16">
        <v>14.0949</v>
      </c>
      <c r="H3104" s="15"/>
      <c r="I3104" s="15"/>
    </row>
    <row r="3105">
      <c r="A3105" s="18">
        <v>45665.0</v>
      </c>
      <c r="B3105" s="16" t="s">
        <v>3937</v>
      </c>
      <c r="C3105" s="16">
        <v>1.0</v>
      </c>
      <c r="D3105" s="16" t="s">
        <v>707</v>
      </c>
      <c r="E3105" s="16">
        <v>2015.0</v>
      </c>
      <c r="F3105" s="16">
        <v>48.6312</v>
      </c>
      <c r="G3105" s="16">
        <v>11.7025</v>
      </c>
      <c r="H3105" s="15"/>
      <c r="I3105" s="15"/>
    </row>
    <row r="3106">
      <c r="A3106" s="18">
        <v>45665.0</v>
      </c>
      <c r="B3106" s="16" t="s">
        <v>3938</v>
      </c>
      <c r="C3106" s="16">
        <v>2.0</v>
      </c>
      <c r="D3106" s="16" t="s">
        <v>707</v>
      </c>
      <c r="E3106" s="16">
        <v>2015.0</v>
      </c>
      <c r="F3106" s="16">
        <v>49.3059</v>
      </c>
      <c r="G3106" s="16">
        <v>10.787</v>
      </c>
      <c r="H3106" s="15"/>
      <c r="I3106" s="15"/>
    </row>
    <row r="3107">
      <c r="A3107" s="18">
        <v>45665.0</v>
      </c>
      <c r="B3107" s="16" t="s">
        <v>3939</v>
      </c>
      <c r="C3107" s="16" t="s">
        <v>959</v>
      </c>
      <c r="D3107" s="16" t="s">
        <v>707</v>
      </c>
      <c r="E3107" s="16">
        <v>2015.0</v>
      </c>
      <c r="F3107" s="16">
        <v>52.4849</v>
      </c>
      <c r="G3107" s="16">
        <v>11.2062</v>
      </c>
      <c r="H3107" s="15"/>
      <c r="I3107" s="15"/>
    </row>
    <row r="3108">
      <c r="A3108" s="18">
        <v>45665.0</v>
      </c>
      <c r="B3108" s="16" t="s">
        <v>3940</v>
      </c>
      <c r="C3108" s="16" t="s">
        <v>1046</v>
      </c>
      <c r="D3108" s="16" t="s">
        <v>707</v>
      </c>
      <c r="E3108" s="16">
        <v>2015.0</v>
      </c>
      <c r="F3108" s="16">
        <v>53.4185</v>
      </c>
      <c r="G3108" s="16">
        <v>8.4669</v>
      </c>
      <c r="H3108" s="15"/>
      <c r="I3108" s="15"/>
    </row>
    <row r="3109">
      <c r="A3109" s="18">
        <v>45665.0</v>
      </c>
      <c r="B3109" s="16" t="s">
        <v>3941</v>
      </c>
      <c r="C3109" s="16" t="s">
        <v>942</v>
      </c>
      <c r="D3109" s="16" t="s">
        <v>707</v>
      </c>
      <c r="E3109" s="16">
        <v>2015.0</v>
      </c>
      <c r="F3109" s="16">
        <v>53.797</v>
      </c>
      <c r="G3109" s="16">
        <v>12.1984</v>
      </c>
      <c r="H3109" s="15"/>
      <c r="I3109" s="15"/>
    </row>
    <row r="3110">
      <c r="A3110" s="18">
        <v>45665.0</v>
      </c>
      <c r="B3110" s="16" t="s">
        <v>3942</v>
      </c>
      <c r="C3110" s="16">
        <v>4.0</v>
      </c>
      <c r="D3110" s="16" t="s">
        <v>707</v>
      </c>
      <c r="E3110" s="16">
        <v>2015.0</v>
      </c>
      <c r="F3110" s="16">
        <v>53.6656</v>
      </c>
      <c r="G3110" s="16">
        <v>13.5203</v>
      </c>
      <c r="H3110" s="15"/>
      <c r="I3110" s="15"/>
    </row>
    <row r="3111">
      <c r="A3111" s="18">
        <v>45665.0</v>
      </c>
      <c r="B3111" s="16" t="s">
        <v>3943</v>
      </c>
      <c r="C3111" s="16" t="s">
        <v>2457</v>
      </c>
      <c r="D3111" s="16" t="s">
        <v>707</v>
      </c>
      <c r="E3111" s="16">
        <v>2015.0</v>
      </c>
      <c r="F3111" s="16">
        <v>53.6776</v>
      </c>
      <c r="G3111" s="16">
        <v>13.5377</v>
      </c>
      <c r="H3111" s="15"/>
      <c r="I3111" s="15"/>
    </row>
    <row r="3112">
      <c r="A3112" s="18">
        <v>45665.0</v>
      </c>
      <c r="B3112" s="16" t="s">
        <v>3944</v>
      </c>
      <c r="C3112" s="16">
        <v>6.0</v>
      </c>
      <c r="D3112" s="16" t="s">
        <v>707</v>
      </c>
      <c r="E3112" s="16">
        <v>2015.0</v>
      </c>
      <c r="F3112" s="16">
        <v>51.7299</v>
      </c>
      <c r="G3112" s="16">
        <v>12.4003</v>
      </c>
      <c r="H3112" s="15"/>
      <c r="I3112" s="15"/>
    </row>
    <row r="3113">
      <c r="A3113" s="18">
        <v>45665.0</v>
      </c>
      <c r="B3113" s="16" t="s">
        <v>3945</v>
      </c>
      <c r="C3113" s="16" t="s">
        <v>1771</v>
      </c>
      <c r="D3113" s="16" t="s">
        <v>707</v>
      </c>
      <c r="E3113" s="16">
        <v>2015.0</v>
      </c>
      <c r="F3113" s="16">
        <v>53.5495</v>
      </c>
      <c r="G3113" s="16">
        <v>11.4398</v>
      </c>
      <c r="H3113" s="15"/>
      <c r="I3113" s="15"/>
    </row>
    <row r="3114">
      <c r="A3114" s="18">
        <v>45665.0</v>
      </c>
      <c r="B3114" s="16" t="s">
        <v>3946</v>
      </c>
      <c r="C3114" s="16" t="s">
        <v>1351</v>
      </c>
      <c r="D3114" s="16" t="s">
        <v>707</v>
      </c>
      <c r="E3114" s="16">
        <v>2015.0</v>
      </c>
      <c r="F3114" s="16">
        <v>53.5495</v>
      </c>
      <c r="G3114" s="16">
        <v>11.4398</v>
      </c>
      <c r="H3114" s="15"/>
      <c r="I3114" s="15"/>
    </row>
    <row r="3115">
      <c r="A3115" s="18">
        <v>45665.0</v>
      </c>
      <c r="B3115" s="16" t="s">
        <v>3947</v>
      </c>
      <c r="C3115" s="16" t="s">
        <v>1055</v>
      </c>
      <c r="D3115" s="16" t="s">
        <v>707</v>
      </c>
      <c r="E3115" s="16">
        <v>2015.0</v>
      </c>
      <c r="F3115" s="16">
        <v>51.7986</v>
      </c>
      <c r="G3115" s="16">
        <v>14.0446</v>
      </c>
      <c r="H3115" s="15"/>
      <c r="I3115" s="15"/>
    </row>
    <row r="3116">
      <c r="A3116" s="18">
        <v>45665.0</v>
      </c>
      <c r="B3116" s="16" t="s">
        <v>3948</v>
      </c>
      <c r="C3116" s="16" t="s">
        <v>1055</v>
      </c>
      <c r="D3116" s="16" t="s">
        <v>707</v>
      </c>
      <c r="E3116" s="16">
        <v>2015.0</v>
      </c>
      <c r="F3116" s="16">
        <v>47.9042</v>
      </c>
      <c r="G3116" s="16">
        <v>10.2349</v>
      </c>
      <c r="H3116" s="15"/>
      <c r="I3116" s="15"/>
    </row>
    <row r="3117">
      <c r="A3117" s="18">
        <v>45665.0</v>
      </c>
      <c r="B3117" s="16" t="s">
        <v>3949</v>
      </c>
      <c r="C3117" s="16">
        <v>1.0</v>
      </c>
      <c r="D3117" s="16" t="s">
        <v>707</v>
      </c>
      <c r="E3117" s="16">
        <v>2015.0</v>
      </c>
      <c r="F3117" s="16">
        <v>49.8</v>
      </c>
      <c r="G3117" s="16">
        <v>9.7966</v>
      </c>
      <c r="H3117" s="15"/>
      <c r="I3117" s="15"/>
    </row>
    <row r="3118">
      <c r="A3118" s="18">
        <v>45665.0</v>
      </c>
      <c r="B3118" s="16" t="s">
        <v>3950</v>
      </c>
      <c r="C3118" s="16">
        <v>1.0</v>
      </c>
      <c r="D3118" s="16" t="s">
        <v>707</v>
      </c>
      <c r="E3118" s="16">
        <v>2015.0</v>
      </c>
      <c r="F3118" s="16">
        <v>49.8005</v>
      </c>
      <c r="G3118" s="16">
        <v>9.7958</v>
      </c>
      <c r="H3118" s="15"/>
      <c r="I3118" s="15"/>
    </row>
    <row r="3119">
      <c r="A3119" s="18">
        <v>45665.0</v>
      </c>
      <c r="B3119" s="16" t="s">
        <v>3951</v>
      </c>
      <c r="C3119" s="16" t="s">
        <v>1751</v>
      </c>
      <c r="D3119" s="16" t="s">
        <v>707</v>
      </c>
      <c r="E3119" s="16">
        <v>2015.0</v>
      </c>
      <c r="F3119" s="16">
        <v>51.4999</v>
      </c>
      <c r="G3119" s="16">
        <v>12.1054</v>
      </c>
      <c r="H3119" s="15"/>
      <c r="I3119" s="15"/>
    </row>
    <row r="3120">
      <c r="A3120" s="18">
        <v>45665.0</v>
      </c>
      <c r="B3120" s="16" t="s">
        <v>3952</v>
      </c>
      <c r="C3120" s="16" t="s">
        <v>1037</v>
      </c>
      <c r="D3120" s="16" t="s">
        <v>707</v>
      </c>
      <c r="E3120" s="16">
        <v>2015.0</v>
      </c>
      <c r="F3120" s="16">
        <v>52.2577</v>
      </c>
      <c r="G3120" s="16">
        <v>10.8256</v>
      </c>
      <c r="H3120" s="15"/>
      <c r="I3120" s="15"/>
    </row>
    <row r="3121">
      <c r="A3121" s="18">
        <v>45665.0</v>
      </c>
      <c r="B3121" s="16" t="s">
        <v>3953</v>
      </c>
      <c r="C3121" s="16" t="s">
        <v>969</v>
      </c>
      <c r="D3121" s="16" t="s">
        <v>707</v>
      </c>
      <c r="E3121" s="16">
        <v>2015.0</v>
      </c>
      <c r="F3121" s="16">
        <v>50.6573</v>
      </c>
      <c r="G3121" s="16">
        <v>10.3695</v>
      </c>
      <c r="H3121" s="15"/>
      <c r="I3121" s="15"/>
    </row>
    <row r="3122">
      <c r="A3122" s="18">
        <v>45665.0</v>
      </c>
      <c r="B3122" s="16" t="s">
        <v>3954</v>
      </c>
      <c r="C3122" s="16" t="s">
        <v>946</v>
      </c>
      <c r="D3122" s="16" t="s">
        <v>707</v>
      </c>
      <c r="E3122" s="16">
        <v>2015.0</v>
      </c>
      <c r="F3122" s="16">
        <v>49.2182</v>
      </c>
      <c r="G3122" s="16">
        <v>8.99</v>
      </c>
      <c r="H3122" s="15"/>
      <c r="I3122" s="15"/>
    </row>
    <row r="3123">
      <c r="A3123" s="18">
        <v>45665.0</v>
      </c>
      <c r="B3123" s="16" t="s">
        <v>3955</v>
      </c>
      <c r="C3123" s="16" t="s">
        <v>946</v>
      </c>
      <c r="D3123" s="16" t="s">
        <v>707</v>
      </c>
      <c r="E3123" s="16">
        <v>2015.0</v>
      </c>
      <c r="F3123" s="16">
        <v>49.2171</v>
      </c>
      <c r="G3123" s="16">
        <v>9.0007</v>
      </c>
      <c r="H3123" s="15"/>
      <c r="I3123" s="15"/>
    </row>
    <row r="3124">
      <c r="A3124" s="18">
        <v>45665.0</v>
      </c>
      <c r="B3124" s="16" t="s">
        <v>3956</v>
      </c>
      <c r="C3124" s="16" t="s">
        <v>959</v>
      </c>
      <c r="D3124" s="16" t="s">
        <v>707</v>
      </c>
      <c r="E3124" s="16">
        <v>2015.0</v>
      </c>
      <c r="F3124" s="16">
        <v>54.5047</v>
      </c>
      <c r="G3124" s="16">
        <v>9.2378</v>
      </c>
      <c r="H3124" s="15"/>
      <c r="I3124" s="15"/>
    </row>
    <row r="3125">
      <c r="A3125" s="18">
        <v>45665.0</v>
      </c>
      <c r="B3125" s="16" t="s">
        <v>3957</v>
      </c>
      <c r="C3125" s="16" t="s">
        <v>3817</v>
      </c>
      <c r="D3125" s="16" t="s">
        <v>707</v>
      </c>
      <c r="E3125" s="16">
        <v>2015.0</v>
      </c>
      <c r="F3125" s="16">
        <v>51.59</v>
      </c>
      <c r="G3125" s="16">
        <v>13.2489</v>
      </c>
      <c r="H3125" s="15"/>
      <c r="I3125" s="15"/>
    </row>
    <row r="3126">
      <c r="A3126" s="18">
        <v>45665.0</v>
      </c>
      <c r="B3126" s="16" t="s">
        <v>3958</v>
      </c>
      <c r="C3126" s="16" t="s">
        <v>948</v>
      </c>
      <c r="D3126" s="16" t="s">
        <v>707</v>
      </c>
      <c r="E3126" s="16">
        <v>2015.0</v>
      </c>
      <c r="F3126" s="16">
        <v>52.0973</v>
      </c>
      <c r="G3126" s="16">
        <v>13.1345</v>
      </c>
      <c r="H3126" s="15"/>
      <c r="I3126" s="15"/>
    </row>
    <row r="3127">
      <c r="A3127" s="18">
        <v>45665.0</v>
      </c>
      <c r="B3127" s="16" t="s">
        <v>3959</v>
      </c>
      <c r="C3127" s="16" t="s">
        <v>1215</v>
      </c>
      <c r="D3127" s="16" t="s">
        <v>707</v>
      </c>
      <c r="E3127" s="16">
        <v>2015.0</v>
      </c>
      <c r="F3127" s="16">
        <v>51.4679</v>
      </c>
      <c r="G3127" s="16">
        <v>13.289</v>
      </c>
      <c r="H3127" s="15"/>
      <c r="I3127" s="15"/>
    </row>
    <row r="3128">
      <c r="A3128" s="18">
        <v>45665.0</v>
      </c>
      <c r="B3128" s="16" t="s">
        <v>3960</v>
      </c>
      <c r="C3128" s="16" t="s">
        <v>1004</v>
      </c>
      <c r="D3128" s="16" t="s">
        <v>707</v>
      </c>
      <c r="E3128" s="16">
        <v>2015.0</v>
      </c>
      <c r="F3128" s="16">
        <v>48.626</v>
      </c>
      <c r="G3128" s="16">
        <v>11.7038</v>
      </c>
      <c r="H3128" s="15"/>
      <c r="I3128" s="15"/>
    </row>
    <row r="3129">
      <c r="A3129" s="18">
        <v>45665.0</v>
      </c>
      <c r="B3129" s="16" t="s">
        <v>3961</v>
      </c>
      <c r="C3129" s="16" t="s">
        <v>1310</v>
      </c>
      <c r="D3129" s="16" t="s">
        <v>707</v>
      </c>
      <c r="E3129" s="16">
        <v>2015.0</v>
      </c>
      <c r="F3129" s="16">
        <v>48.4705</v>
      </c>
      <c r="G3129" s="16">
        <v>10.3911</v>
      </c>
      <c r="H3129" s="15"/>
      <c r="I3129" s="15"/>
    </row>
    <row r="3130">
      <c r="A3130" s="18">
        <v>45665.0</v>
      </c>
      <c r="B3130" s="16" t="s">
        <v>3962</v>
      </c>
      <c r="C3130" s="16" t="s">
        <v>1059</v>
      </c>
      <c r="D3130" s="16" t="s">
        <v>707</v>
      </c>
      <c r="E3130" s="16">
        <v>2015.0</v>
      </c>
      <c r="F3130" s="16">
        <v>51.5279</v>
      </c>
      <c r="G3130" s="16">
        <v>9.8561</v>
      </c>
      <c r="H3130" s="15"/>
      <c r="I3130" s="15"/>
    </row>
    <row r="3131">
      <c r="A3131" s="18">
        <v>45665.0</v>
      </c>
      <c r="B3131" s="16" t="s">
        <v>3963</v>
      </c>
      <c r="C3131" s="16" t="s">
        <v>969</v>
      </c>
      <c r="D3131" s="16" t="s">
        <v>707</v>
      </c>
      <c r="E3131" s="16">
        <v>2015.0</v>
      </c>
      <c r="F3131" s="16">
        <v>53.4955</v>
      </c>
      <c r="G3131" s="16">
        <v>13.3441</v>
      </c>
      <c r="H3131" s="15"/>
      <c r="I3131" s="15"/>
    </row>
    <row r="3132">
      <c r="A3132" s="18">
        <v>45665.0</v>
      </c>
      <c r="B3132" s="16" t="s">
        <v>3964</v>
      </c>
      <c r="C3132" s="16" t="s">
        <v>1358</v>
      </c>
      <c r="D3132" s="16" t="s">
        <v>707</v>
      </c>
      <c r="E3132" s="16">
        <v>2015.0</v>
      </c>
      <c r="F3132" s="16">
        <v>53.2733</v>
      </c>
      <c r="G3132" s="16">
        <v>12.1022</v>
      </c>
      <c r="H3132" s="15"/>
      <c r="I3132" s="15"/>
    </row>
    <row r="3133">
      <c r="A3133" s="18">
        <v>45665.0</v>
      </c>
      <c r="B3133" s="16" t="s">
        <v>3965</v>
      </c>
      <c r="C3133" s="16" t="s">
        <v>1004</v>
      </c>
      <c r="D3133" s="16" t="s">
        <v>707</v>
      </c>
      <c r="E3133" s="16">
        <v>2015.0</v>
      </c>
      <c r="F3133" s="16">
        <v>48.4978</v>
      </c>
      <c r="G3133" s="16">
        <v>12.1257</v>
      </c>
      <c r="H3133" s="15"/>
      <c r="I3133" s="15"/>
    </row>
    <row r="3134">
      <c r="A3134" s="18">
        <v>45665.0</v>
      </c>
      <c r="B3134" s="16" t="s">
        <v>3966</v>
      </c>
      <c r="C3134" s="16" t="s">
        <v>959</v>
      </c>
      <c r="D3134" s="16" t="s">
        <v>707</v>
      </c>
      <c r="E3134" s="16">
        <v>2015.0</v>
      </c>
      <c r="F3134" s="16">
        <v>48.343</v>
      </c>
      <c r="G3134" s="16">
        <v>11.3565</v>
      </c>
      <c r="H3134" s="15"/>
      <c r="I3134" s="15"/>
    </row>
    <row r="3135">
      <c r="A3135" s="18">
        <v>45665.0</v>
      </c>
      <c r="B3135" s="16" t="s">
        <v>3967</v>
      </c>
      <c r="C3135" s="16" t="s">
        <v>961</v>
      </c>
      <c r="D3135" s="16" t="s">
        <v>707</v>
      </c>
      <c r="E3135" s="16">
        <v>2015.0</v>
      </c>
      <c r="F3135" s="16">
        <v>51.1705</v>
      </c>
      <c r="G3135" s="16">
        <v>12.7617</v>
      </c>
      <c r="H3135" s="15"/>
      <c r="I3135" s="15"/>
    </row>
    <row r="3136">
      <c r="A3136" s="18">
        <v>45665.0</v>
      </c>
      <c r="B3136" s="16" t="s">
        <v>3968</v>
      </c>
      <c r="C3136" s="16" t="s">
        <v>959</v>
      </c>
      <c r="D3136" s="16" t="s">
        <v>707</v>
      </c>
      <c r="E3136" s="16">
        <v>2015.0</v>
      </c>
      <c r="F3136" s="16">
        <v>54.6936</v>
      </c>
      <c r="G3136" s="16">
        <v>9.407</v>
      </c>
      <c r="H3136" s="15"/>
      <c r="I3136" s="15"/>
    </row>
    <row r="3137">
      <c r="A3137" s="18">
        <v>45665.0</v>
      </c>
      <c r="B3137" s="16" t="s">
        <v>3969</v>
      </c>
      <c r="C3137" s="16" t="s">
        <v>1099</v>
      </c>
      <c r="D3137" s="16" t="s">
        <v>707</v>
      </c>
      <c r="E3137" s="16">
        <v>2015.0</v>
      </c>
      <c r="F3137" s="16">
        <v>53.4255</v>
      </c>
      <c r="G3137" s="16">
        <v>14.1946</v>
      </c>
      <c r="H3137" s="15"/>
      <c r="I3137" s="15"/>
    </row>
    <row r="3138">
      <c r="A3138" s="18">
        <v>45665.0</v>
      </c>
      <c r="B3138" s="16" t="s">
        <v>3970</v>
      </c>
      <c r="C3138" s="16" t="s">
        <v>1037</v>
      </c>
      <c r="D3138" s="16" t="s">
        <v>707</v>
      </c>
      <c r="E3138" s="16">
        <v>2015.0</v>
      </c>
      <c r="F3138" s="16">
        <v>50.8261</v>
      </c>
      <c r="G3138" s="16">
        <v>12.4522</v>
      </c>
      <c r="H3138" s="15"/>
      <c r="I3138" s="15"/>
    </row>
    <row r="3139">
      <c r="A3139" s="18">
        <v>45665.0</v>
      </c>
      <c r="B3139" s="16" t="s">
        <v>3971</v>
      </c>
      <c r="C3139" s="16" t="s">
        <v>1055</v>
      </c>
      <c r="D3139" s="16" t="s">
        <v>707</v>
      </c>
      <c r="E3139" s="16">
        <v>2015.0</v>
      </c>
      <c r="F3139" s="16">
        <v>53.8298</v>
      </c>
      <c r="G3139" s="16">
        <v>12.794</v>
      </c>
      <c r="H3139" s="15"/>
      <c r="I3139" s="15"/>
    </row>
    <row r="3140">
      <c r="A3140" s="18">
        <v>45665.0</v>
      </c>
      <c r="B3140" s="16" t="s">
        <v>3972</v>
      </c>
      <c r="C3140" s="16" t="s">
        <v>1101</v>
      </c>
      <c r="D3140" s="16" t="s">
        <v>707</v>
      </c>
      <c r="E3140" s="16">
        <v>2015.0</v>
      </c>
      <c r="F3140" s="16">
        <v>50.2039</v>
      </c>
      <c r="G3140" s="16">
        <v>8.992</v>
      </c>
      <c r="H3140" s="15"/>
      <c r="I3140" s="15"/>
    </row>
    <row r="3141">
      <c r="A3141" s="18">
        <v>45665.0</v>
      </c>
      <c r="B3141" s="16" t="s">
        <v>3973</v>
      </c>
      <c r="C3141" s="16" t="s">
        <v>2331</v>
      </c>
      <c r="D3141" s="16" t="s">
        <v>707</v>
      </c>
      <c r="E3141" s="16">
        <v>2015.0</v>
      </c>
      <c r="F3141" s="16">
        <v>50.4929</v>
      </c>
      <c r="G3141" s="16">
        <v>10.566</v>
      </c>
      <c r="H3141" s="15"/>
      <c r="I3141" s="15"/>
    </row>
    <row r="3142">
      <c r="A3142" s="18">
        <v>45665.0</v>
      </c>
      <c r="B3142" s="16" t="s">
        <v>3974</v>
      </c>
      <c r="C3142" s="16" t="s">
        <v>1007</v>
      </c>
      <c r="D3142" s="16" t="s">
        <v>707</v>
      </c>
      <c r="E3142" s="16">
        <v>2015.0</v>
      </c>
      <c r="F3142" s="16">
        <v>51.0442</v>
      </c>
      <c r="G3142" s="16">
        <v>12.3301</v>
      </c>
      <c r="H3142" s="15"/>
      <c r="I3142" s="15"/>
    </row>
    <row r="3143">
      <c r="A3143" s="18">
        <v>45665.0</v>
      </c>
      <c r="B3143" s="16" t="s">
        <v>3975</v>
      </c>
      <c r="C3143" s="16" t="s">
        <v>1034</v>
      </c>
      <c r="D3143" s="16" t="s">
        <v>707</v>
      </c>
      <c r="E3143" s="16">
        <v>2015.0</v>
      </c>
      <c r="F3143" s="16">
        <v>51.0426</v>
      </c>
      <c r="G3143" s="16">
        <v>12.3323</v>
      </c>
      <c r="H3143" s="15"/>
      <c r="I3143" s="15"/>
    </row>
    <row r="3144">
      <c r="A3144" s="18">
        <v>45665.0</v>
      </c>
      <c r="B3144" s="16" t="s">
        <v>3976</v>
      </c>
      <c r="C3144" s="16" t="s">
        <v>942</v>
      </c>
      <c r="D3144" s="16" t="s">
        <v>707</v>
      </c>
      <c r="E3144" s="16">
        <v>2015.0</v>
      </c>
      <c r="F3144" s="16">
        <v>53.4596</v>
      </c>
      <c r="G3144" s="16">
        <v>13.576</v>
      </c>
      <c r="H3144" s="15"/>
      <c r="I3144" s="15"/>
    </row>
    <row r="3145">
      <c r="A3145" s="18">
        <v>45665.0</v>
      </c>
      <c r="B3145" s="16" t="s">
        <v>3977</v>
      </c>
      <c r="C3145" s="16" t="s">
        <v>1039</v>
      </c>
      <c r="D3145" s="16" t="s">
        <v>707</v>
      </c>
      <c r="E3145" s="16">
        <v>2015.0</v>
      </c>
      <c r="F3145" s="16">
        <v>49.263</v>
      </c>
      <c r="G3145" s="16">
        <v>10.538</v>
      </c>
      <c r="H3145" s="15"/>
      <c r="I3145" s="15"/>
    </row>
    <row r="3146">
      <c r="A3146" s="18">
        <v>45665.0</v>
      </c>
      <c r="B3146" s="16" t="s">
        <v>3978</v>
      </c>
      <c r="C3146" s="16" t="s">
        <v>1101</v>
      </c>
      <c r="D3146" s="16" t="s">
        <v>707</v>
      </c>
      <c r="E3146" s="16">
        <v>2015.0</v>
      </c>
      <c r="F3146" s="16">
        <v>51.1267</v>
      </c>
      <c r="G3146" s="16">
        <v>10.8384</v>
      </c>
      <c r="H3146" s="15"/>
      <c r="I3146" s="15"/>
    </row>
    <row r="3147">
      <c r="A3147" s="18">
        <v>45665.0</v>
      </c>
      <c r="B3147" s="16" t="s">
        <v>3979</v>
      </c>
      <c r="C3147" s="16" t="s">
        <v>1436</v>
      </c>
      <c r="D3147" s="16" t="s">
        <v>707</v>
      </c>
      <c r="E3147" s="16">
        <v>2015.0</v>
      </c>
      <c r="F3147" s="16">
        <v>50.9237</v>
      </c>
      <c r="G3147" s="16">
        <v>13.393</v>
      </c>
      <c r="H3147" s="15"/>
      <c r="I3147" s="15"/>
    </row>
    <row r="3148">
      <c r="A3148" s="18">
        <v>45665.0</v>
      </c>
      <c r="B3148" s="16" t="s">
        <v>3980</v>
      </c>
      <c r="C3148" s="16" t="s">
        <v>1101</v>
      </c>
      <c r="D3148" s="16" t="s">
        <v>707</v>
      </c>
      <c r="E3148" s="16">
        <v>2015.0</v>
      </c>
      <c r="F3148" s="16">
        <v>51.7993</v>
      </c>
      <c r="G3148" s="16">
        <v>12.2362</v>
      </c>
      <c r="H3148" s="15"/>
      <c r="I3148" s="15"/>
    </row>
    <row r="3149">
      <c r="A3149" s="18">
        <v>45665.0</v>
      </c>
      <c r="B3149" s="16" t="s">
        <v>3981</v>
      </c>
      <c r="C3149" s="16" t="s">
        <v>969</v>
      </c>
      <c r="D3149" s="16" t="s">
        <v>707</v>
      </c>
      <c r="E3149" s="16">
        <v>2015.0</v>
      </c>
      <c r="F3149" s="16">
        <v>48.3421</v>
      </c>
      <c r="G3149" s="16">
        <v>10.6998</v>
      </c>
      <c r="H3149" s="15"/>
      <c r="I3149" s="15"/>
    </row>
    <row r="3150">
      <c r="A3150" s="18">
        <v>45665.0</v>
      </c>
      <c r="B3150" s="16" t="s">
        <v>3982</v>
      </c>
      <c r="C3150" s="16" t="s">
        <v>946</v>
      </c>
      <c r="D3150" s="16" t="s">
        <v>707</v>
      </c>
      <c r="E3150" s="16">
        <v>2015.0</v>
      </c>
      <c r="F3150" s="16">
        <v>53.843</v>
      </c>
      <c r="G3150" s="16">
        <v>13.7197</v>
      </c>
      <c r="H3150" s="15"/>
      <c r="I3150" s="15"/>
    </row>
    <row r="3151">
      <c r="A3151" s="18">
        <v>45665.0</v>
      </c>
      <c r="B3151" s="16" t="s">
        <v>3983</v>
      </c>
      <c r="C3151" s="16" t="s">
        <v>1055</v>
      </c>
      <c r="D3151" s="16" t="s">
        <v>707</v>
      </c>
      <c r="E3151" s="16">
        <v>2015.0</v>
      </c>
      <c r="F3151" s="16">
        <v>48.1489</v>
      </c>
      <c r="G3151" s="16">
        <v>11.7931</v>
      </c>
      <c r="H3151" s="15"/>
      <c r="I3151" s="15"/>
    </row>
    <row r="3152">
      <c r="A3152" s="18">
        <v>45665.0</v>
      </c>
      <c r="B3152" s="16" t="s">
        <v>3984</v>
      </c>
      <c r="C3152" s="16" t="s">
        <v>982</v>
      </c>
      <c r="D3152" s="16" t="s">
        <v>707</v>
      </c>
      <c r="E3152" s="16">
        <v>2015.0</v>
      </c>
      <c r="F3152" s="16">
        <v>51.4172</v>
      </c>
      <c r="G3152" s="16">
        <v>14.5822</v>
      </c>
      <c r="H3152" s="15"/>
      <c r="I3152" s="15"/>
    </row>
    <row r="3153">
      <c r="A3153" s="18">
        <v>45665.0</v>
      </c>
      <c r="B3153" s="16" t="s">
        <v>3985</v>
      </c>
      <c r="C3153" s="16" t="s">
        <v>942</v>
      </c>
      <c r="D3153" s="16" t="s">
        <v>707</v>
      </c>
      <c r="E3153" s="16">
        <v>2015.0</v>
      </c>
      <c r="F3153" s="16">
        <v>51.819</v>
      </c>
      <c r="G3153" s="16">
        <v>11.212</v>
      </c>
      <c r="H3153" s="15"/>
      <c r="I3153" s="15"/>
    </row>
    <row r="3154">
      <c r="A3154" s="18">
        <v>45665.0</v>
      </c>
      <c r="B3154" s="16" t="s">
        <v>3986</v>
      </c>
      <c r="C3154" s="16" t="s">
        <v>1358</v>
      </c>
      <c r="D3154" s="16" t="s">
        <v>707</v>
      </c>
      <c r="E3154" s="16">
        <v>2015.0</v>
      </c>
      <c r="F3154" s="16">
        <v>51.3981</v>
      </c>
      <c r="G3154" s="16">
        <v>12.1716</v>
      </c>
      <c r="H3154" s="15"/>
      <c r="I3154" s="15"/>
    </row>
    <row r="3155">
      <c r="A3155" s="18">
        <v>45665.0</v>
      </c>
      <c r="B3155" s="16" t="s">
        <v>3987</v>
      </c>
      <c r="C3155" s="16" t="s">
        <v>1055</v>
      </c>
      <c r="D3155" s="16" t="s">
        <v>707</v>
      </c>
      <c r="E3155" s="16">
        <v>2015.0</v>
      </c>
      <c r="F3155" s="16">
        <v>52.5289</v>
      </c>
      <c r="G3155" s="16">
        <v>11.4281</v>
      </c>
      <c r="H3155" s="15"/>
      <c r="I3155" s="15"/>
    </row>
    <row r="3156">
      <c r="A3156" s="18">
        <v>45665.0</v>
      </c>
      <c r="B3156" s="16" t="s">
        <v>3988</v>
      </c>
      <c r="C3156" s="16">
        <v>2.0</v>
      </c>
      <c r="D3156" s="16" t="s">
        <v>707</v>
      </c>
      <c r="E3156" s="16">
        <v>2015.0</v>
      </c>
      <c r="F3156" s="16">
        <v>53.9176</v>
      </c>
      <c r="G3156" s="16">
        <v>11.7494</v>
      </c>
      <c r="H3156" s="15"/>
      <c r="I3156" s="15"/>
    </row>
    <row r="3157">
      <c r="A3157" s="18">
        <v>45665.0</v>
      </c>
      <c r="B3157" s="16" t="s">
        <v>3989</v>
      </c>
      <c r="C3157" s="16" t="s">
        <v>946</v>
      </c>
      <c r="D3157" s="16" t="s">
        <v>707</v>
      </c>
      <c r="E3157" s="16">
        <v>2015.0</v>
      </c>
      <c r="F3157" s="16">
        <v>51.1869</v>
      </c>
      <c r="G3157" s="16">
        <v>14.9606</v>
      </c>
      <c r="H3157" s="15"/>
      <c r="I3157" s="15"/>
    </row>
    <row r="3158">
      <c r="A3158" s="18">
        <v>45665.0</v>
      </c>
      <c r="B3158" s="16" t="s">
        <v>3990</v>
      </c>
      <c r="C3158" s="16">
        <v>3.0</v>
      </c>
      <c r="D3158" s="16" t="s">
        <v>707</v>
      </c>
      <c r="E3158" s="16">
        <v>2015.0</v>
      </c>
      <c r="F3158" s="16">
        <v>51.7898</v>
      </c>
      <c r="G3158" s="16">
        <v>11.601</v>
      </c>
      <c r="H3158" s="15"/>
      <c r="I3158" s="15"/>
    </row>
    <row r="3159">
      <c r="A3159" s="18">
        <v>45665.0</v>
      </c>
      <c r="B3159" s="16" t="s">
        <v>3991</v>
      </c>
      <c r="C3159" s="16" t="s">
        <v>946</v>
      </c>
      <c r="D3159" s="16" t="s">
        <v>707</v>
      </c>
      <c r="E3159" s="16">
        <v>2015.0</v>
      </c>
      <c r="F3159" s="16">
        <v>51.0568</v>
      </c>
      <c r="G3159" s="16">
        <v>14.9495</v>
      </c>
      <c r="H3159" s="15"/>
      <c r="I3159" s="15"/>
    </row>
    <row r="3160">
      <c r="A3160" s="18">
        <v>45665.0</v>
      </c>
      <c r="B3160" s="16" t="s">
        <v>3992</v>
      </c>
      <c r="C3160" s="16" t="s">
        <v>1059</v>
      </c>
      <c r="D3160" s="16" t="s">
        <v>3574</v>
      </c>
      <c r="E3160" s="16">
        <v>2015.0</v>
      </c>
      <c r="F3160" s="16">
        <v>51.915</v>
      </c>
      <c r="G3160" s="16">
        <v>10.962</v>
      </c>
      <c r="H3160" s="15"/>
      <c r="I3160" s="15"/>
    </row>
    <row r="3161">
      <c r="A3161" s="18">
        <v>45665.0</v>
      </c>
      <c r="B3161" s="16" t="s">
        <v>3993</v>
      </c>
      <c r="C3161" s="16">
        <v>3.0</v>
      </c>
      <c r="D3161" s="16" t="s">
        <v>707</v>
      </c>
      <c r="E3161" s="16">
        <v>2015.0</v>
      </c>
      <c r="F3161" s="16">
        <v>51.4943</v>
      </c>
      <c r="G3161" s="16">
        <v>10.739</v>
      </c>
      <c r="H3161" s="15"/>
      <c r="I3161" s="15"/>
    </row>
    <row r="3162">
      <c r="A3162" s="18">
        <v>45665.0</v>
      </c>
      <c r="B3162" s="16" t="s">
        <v>3994</v>
      </c>
      <c r="C3162" s="16" t="s">
        <v>1059</v>
      </c>
      <c r="D3162" s="16" t="s">
        <v>707</v>
      </c>
      <c r="E3162" s="16">
        <v>2015.0</v>
      </c>
      <c r="F3162" s="16">
        <v>52.6081</v>
      </c>
      <c r="G3162" s="16">
        <v>12.0362</v>
      </c>
      <c r="H3162" s="15"/>
      <c r="I3162" s="15"/>
    </row>
    <row r="3163">
      <c r="A3163" s="18">
        <v>45665.0</v>
      </c>
      <c r="B3163" s="16" t="s">
        <v>3995</v>
      </c>
      <c r="C3163" s="16" t="s">
        <v>1007</v>
      </c>
      <c r="D3163" s="16" t="s">
        <v>707</v>
      </c>
      <c r="E3163" s="16">
        <v>2015.0</v>
      </c>
      <c r="F3163" s="16">
        <v>51.0766</v>
      </c>
      <c r="G3163" s="16">
        <v>12.0315</v>
      </c>
      <c r="H3163" s="15"/>
      <c r="I3163" s="15"/>
    </row>
    <row r="3164">
      <c r="A3164" s="18">
        <v>45665.0</v>
      </c>
      <c r="B3164" s="16" t="s">
        <v>3996</v>
      </c>
      <c r="C3164" s="16" t="s">
        <v>1203</v>
      </c>
      <c r="D3164" s="16" t="s">
        <v>707</v>
      </c>
      <c r="E3164" s="16">
        <v>2015.0</v>
      </c>
      <c r="F3164" s="16">
        <v>51.0024</v>
      </c>
      <c r="G3164" s="16">
        <v>10.4372</v>
      </c>
      <c r="H3164" s="15"/>
      <c r="I3164" s="15"/>
    </row>
    <row r="3165">
      <c r="A3165" s="18">
        <v>45665.0</v>
      </c>
      <c r="B3165" s="16" t="s">
        <v>3997</v>
      </c>
      <c r="C3165" s="16" t="s">
        <v>2404</v>
      </c>
      <c r="D3165" s="16" t="s">
        <v>707</v>
      </c>
      <c r="E3165" s="16">
        <v>2015.0</v>
      </c>
      <c r="F3165" s="16">
        <v>52.6288</v>
      </c>
      <c r="G3165" s="16">
        <v>11.6716</v>
      </c>
      <c r="H3165" s="15"/>
      <c r="I3165" s="15"/>
    </row>
    <row r="3166">
      <c r="A3166" s="18">
        <v>45665.0</v>
      </c>
      <c r="B3166" s="16" t="s">
        <v>3998</v>
      </c>
      <c r="C3166" s="16" t="s">
        <v>1034</v>
      </c>
      <c r="D3166" s="16" t="s">
        <v>707</v>
      </c>
      <c r="E3166" s="16">
        <v>2015.0</v>
      </c>
      <c r="F3166" s="16">
        <v>51.4618</v>
      </c>
      <c r="G3166" s="16">
        <v>13.1591</v>
      </c>
      <c r="H3166" s="15"/>
      <c r="I3166" s="15"/>
    </row>
    <row r="3167">
      <c r="A3167" s="18">
        <v>45665.0</v>
      </c>
      <c r="B3167" s="16" t="s">
        <v>3999</v>
      </c>
      <c r="C3167" s="16" t="s">
        <v>1094</v>
      </c>
      <c r="D3167" s="16" t="s">
        <v>707</v>
      </c>
      <c r="E3167" s="16">
        <v>2015.0</v>
      </c>
      <c r="F3167" s="16">
        <v>52.581</v>
      </c>
      <c r="G3167" s="16">
        <v>12.8105</v>
      </c>
      <c r="H3167" s="15"/>
      <c r="I3167" s="15"/>
    </row>
    <row r="3168">
      <c r="A3168" s="18">
        <v>45665.0</v>
      </c>
      <c r="B3168" s="16" t="s">
        <v>4000</v>
      </c>
      <c r="C3168" s="16" t="s">
        <v>1037</v>
      </c>
      <c r="D3168" s="16" t="s">
        <v>707</v>
      </c>
      <c r="E3168" s="16">
        <v>2015.0</v>
      </c>
      <c r="F3168" s="16">
        <v>51.1428</v>
      </c>
      <c r="G3168" s="16">
        <v>11.8325</v>
      </c>
      <c r="H3168" s="15"/>
      <c r="I3168" s="15"/>
    </row>
    <row r="3169">
      <c r="A3169" s="18">
        <v>45665.0</v>
      </c>
      <c r="B3169" s="16" t="s">
        <v>4001</v>
      </c>
      <c r="C3169" s="16" t="s">
        <v>948</v>
      </c>
      <c r="D3169" s="16" t="s">
        <v>3574</v>
      </c>
      <c r="E3169" s="16">
        <v>2015.0</v>
      </c>
      <c r="F3169" s="16">
        <v>52.871</v>
      </c>
      <c r="G3169" s="16">
        <v>12.473</v>
      </c>
      <c r="H3169" s="15"/>
      <c r="I3169" s="15"/>
    </row>
    <row r="3170">
      <c r="A3170" s="18">
        <v>45665.0</v>
      </c>
      <c r="B3170" s="16" t="s">
        <v>4002</v>
      </c>
      <c r="C3170" s="16" t="s">
        <v>978</v>
      </c>
      <c r="D3170" s="16" t="s">
        <v>707</v>
      </c>
      <c r="E3170" s="16">
        <v>2015.0</v>
      </c>
      <c r="F3170" s="16">
        <v>53.5746</v>
      </c>
      <c r="G3170" s="16">
        <v>7.2323</v>
      </c>
      <c r="H3170" s="15"/>
      <c r="I3170" s="15"/>
    </row>
    <row r="3171">
      <c r="A3171" s="18">
        <v>45665.0</v>
      </c>
      <c r="B3171" s="16" t="s">
        <v>4003</v>
      </c>
      <c r="C3171" s="16" t="s">
        <v>2668</v>
      </c>
      <c r="D3171" s="16" t="s">
        <v>707</v>
      </c>
      <c r="E3171" s="16">
        <v>2015.0</v>
      </c>
      <c r="F3171" s="16">
        <v>51.4498</v>
      </c>
      <c r="G3171" s="16">
        <v>11.2993</v>
      </c>
      <c r="H3171" s="15"/>
      <c r="I3171" s="15"/>
    </row>
    <row r="3172">
      <c r="A3172" s="18">
        <v>45665.0</v>
      </c>
      <c r="B3172" s="16" t="s">
        <v>4004</v>
      </c>
      <c r="C3172" s="16" t="s">
        <v>1771</v>
      </c>
      <c r="D3172" s="16" t="s">
        <v>707</v>
      </c>
      <c r="E3172" s="16">
        <v>2015.0</v>
      </c>
      <c r="F3172" s="16">
        <v>50.9373</v>
      </c>
      <c r="G3172" s="16">
        <v>14.8003</v>
      </c>
      <c r="H3172" s="15"/>
      <c r="I3172" s="15"/>
    </row>
    <row r="3173">
      <c r="A3173" s="18">
        <v>45665.0</v>
      </c>
      <c r="B3173" s="16" t="s">
        <v>4005</v>
      </c>
      <c r="C3173" s="16" t="s">
        <v>946</v>
      </c>
      <c r="D3173" s="16" t="s">
        <v>707</v>
      </c>
      <c r="E3173" s="16">
        <v>2015.0</v>
      </c>
      <c r="F3173" s="16">
        <v>50.6323</v>
      </c>
      <c r="G3173" s="16">
        <v>12.3224</v>
      </c>
      <c r="H3173" s="15"/>
      <c r="I3173" s="15"/>
    </row>
    <row r="3174">
      <c r="A3174" s="18">
        <v>45665.0</v>
      </c>
      <c r="B3174" s="16" t="s">
        <v>4006</v>
      </c>
      <c r="C3174" s="16" t="s">
        <v>969</v>
      </c>
      <c r="D3174" s="16" t="s">
        <v>707</v>
      </c>
      <c r="E3174" s="16">
        <v>2015.0</v>
      </c>
      <c r="F3174" s="16">
        <v>51.6399</v>
      </c>
      <c r="G3174" s="16">
        <v>12.2152</v>
      </c>
      <c r="H3174" s="15"/>
      <c r="I3174" s="15"/>
    </row>
    <row r="3175">
      <c r="A3175" s="18">
        <v>45665.0</v>
      </c>
      <c r="B3175" s="16" t="s">
        <v>4007</v>
      </c>
      <c r="C3175" s="16">
        <v>1.0</v>
      </c>
      <c r="D3175" s="16" t="s">
        <v>707</v>
      </c>
      <c r="E3175" s="16">
        <v>2015.0</v>
      </c>
      <c r="F3175" s="16">
        <v>51.6399</v>
      </c>
      <c r="G3175" s="16">
        <v>12.2151</v>
      </c>
      <c r="H3175" s="15"/>
      <c r="I3175" s="15"/>
    </row>
    <row r="3176">
      <c r="A3176" s="18">
        <v>45665.0</v>
      </c>
      <c r="B3176" s="16" t="s">
        <v>4008</v>
      </c>
      <c r="C3176" s="16" t="s">
        <v>951</v>
      </c>
      <c r="D3176" s="16" t="s">
        <v>707</v>
      </c>
      <c r="E3176" s="16">
        <v>2015.0</v>
      </c>
      <c r="F3176" s="16">
        <v>50.1857</v>
      </c>
      <c r="G3176" s="16">
        <v>12.1161</v>
      </c>
      <c r="H3176" s="15"/>
      <c r="I3176" s="15"/>
    </row>
    <row r="3177">
      <c r="A3177" s="18">
        <v>45665.0</v>
      </c>
      <c r="B3177" s="16" t="s">
        <v>4009</v>
      </c>
      <c r="C3177" s="16" t="s">
        <v>1037</v>
      </c>
      <c r="D3177" s="16" t="s">
        <v>707</v>
      </c>
      <c r="E3177" s="16">
        <v>2015.0</v>
      </c>
      <c r="F3177" s="16">
        <v>51.8675</v>
      </c>
      <c r="G3177" s="16">
        <v>11.5641</v>
      </c>
      <c r="H3177" s="15"/>
      <c r="I3177" s="15"/>
    </row>
    <row r="3178">
      <c r="A3178" s="18">
        <v>45665.0</v>
      </c>
      <c r="B3178" s="16" t="s">
        <v>4010</v>
      </c>
      <c r="C3178" s="16">
        <v>1.0</v>
      </c>
      <c r="D3178" s="16" t="s">
        <v>707</v>
      </c>
      <c r="E3178" s="16">
        <v>2015.0</v>
      </c>
      <c r="F3178" s="16">
        <v>54.0238</v>
      </c>
      <c r="G3178" s="16">
        <v>12.657</v>
      </c>
      <c r="H3178" s="15"/>
      <c r="I3178" s="15"/>
    </row>
    <row r="3179">
      <c r="A3179" s="18">
        <v>45665.0</v>
      </c>
      <c r="B3179" s="16" t="s">
        <v>4011</v>
      </c>
      <c r="C3179" s="16" t="s">
        <v>969</v>
      </c>
      <c r="D3179" s="16" t="s">
        <v>707</v>
      </c>
      <c r="E3179" s="16">
        <v>2015.0</v>
      </c>
      <c r="F3179" s="16">
        <v>52.6108</v>
      </c>
      <c r="G3179" s="16">
        <v>11.8348</v>
      </c>
      <c r="H3179" s="15"/>
      <c r="I3179" s="15"/>
    </row>
    <row r="3180">
      <c r="A3180" s="18">
        <v>45665.0</v>
      </c>
      <c r="B3180" s="16" t="s">
        <v>4012</v>
      </c>
      <c r="C3180" s="16" t="s">
        <v>959</v>
      </c>
      <c r="D3180" s="16" t="s">
        <v>707</v>
      </c>
      <c r="E3180" s="16">
        <v>2015.0</v>
      </c>
      <c r="F3180" s="16">
        <v>50.378</v>
      </c>
      <c r="G3180" s="16">
        <v>11.9639</v>
      </c>
      <c r="H3180" s="15"/>
      <c r="I3180" s="15"/>
    </row>
    <row r="3181">
      <c r="A3181" s="18">
        <v>45665.0</v>
      </c>
      <c r="B3181" s="16" t="s">
        <v>4013</v>
      </c>
      <c r="C3181" s="16" t="s">
        <v>1147</v>
      </c>
      <c r="D3181" s="16" t="s">
        <v>707</v>
      </c>
      <c r="E3181" s="16">
        <v>2015.0</v>
      </c>
      <c r="F3181" s="16">
        <v>51.9896</v>
      </c>
      <c r="G3181" s="16">
        <v>11.698</v>
      </c>
      <c r="H3181" s="15"/>
      <c r="I3181" s="15"/>
    </row>
    <row r="3182">
      <c r="A3182" s="18">
        <v>45665.0</v>
      </c>
      <c r="B3182" s="16" t="s">
        <v>4014</v>
      </c>
      <c r="C3182" s="16" t="s">
        <v>1034</v>
      </c>
      <c r="D3182" s="16" t="s">
        <v>707</v>
      </c>
      <c r="E3182" s="16">
        <v>2015.0</v>
      </c>
      <c r="F3182" s="16">
        <v>51.8042</v>
      </c>
      <c r="G3182" s="16">
        <v>14.0378</v>
      </c>
      <c r="H3182" s="15"/>
      <c r="I3182" s="15"/>
    </row>
    <row r="3183">
      <c r="A3183" s="18">
        <v>45665.0</v>
      </c>
      <c r="B3183" s="16" t="s">
        <v>4015</v>
      </c>
      <c r="C3183" s="16" t="s">
        <v>1059</v>
      </c>
      <c r="D3183" s="16" t="s">
        <v>707</v>
      </c>
      <c r="E3183" s="16">
        <v>2015.0</v>
      </c>
      <c r="F3183" s="16">
        <v>51.5964</v>
      </c>
      <c r="G3183" s="16">
        <v>10.6134</v>
      </c>
      <c r="H3183" s="15"/>
      <c r="I3183" s="15"/>
    </row>
    <row r="3184">
      <c r="A3184" s="18">
        <v>45665.0</v>
      </c>
      <c r="B3184" s="16" t="s">
        <v>4016</v>
      </c>
      <c r="C3184" s="16" t="s">
        <v>1771</v>
      </c>
      <c r="D3184" s="16" t="s">
        <v>707</v>
      </c>
      <c r="E3184" s="16">
        <v>2015.0</v>
      </c>
      <c r="F3184" s="16">
        <v>52.3075</v>
      </c>
      <c r="G3184" s="16">
        <v>11.0502</v>
      </c>
      <c r="H3184" s="15"/>
      <c r="I3184" s="15"/>
    </row>
    <row r="3185">
      <c r="A3185" s="18">
        <v>45665.0</v>
      </c>
      <c r="B3185" s="16" t="s">
        <v>4017</v>
      </c>
      <c r="C3185" s="16" t="s">
        <v>1011</v>
      </c>
      <c r="D3185" s="16" t="s">
        <v>707</v>
      </c>
      <c r="E3185" s="16">
        <v>2015.0</v>
      </c>
      <c r="F3185" s="16">
        <v>50.6784</v>
      </c>
      <c r="G3185" s="16">
        <v>11.7246</v>
      </c>
      <c r="H3185" s="15"/>
      <c r="I3185" s="15"/>
    </row>
    <row r="3186">
      <c r="A3186" s="18">
        <v>45665.0</v>
      </c>
      <c r="B3186" s="16" t="s">
        <v>4018</v>
      </c>
      <c r="C3186" s="16" t="s">
        <v>961</v>
      </c>
      <c r="D3186" s="16" t="s">
        <v>707</v>
      </c>
      <c r="E3186" s="16">
        <v>2015.0</v>
      </c>
      <c r="F3186" s="16">
        <v>52.63</v>
      </c>
      <c r="G3186" s="16">
        <v>13.7554</v>
      </c>
      <c r="H3186" s="15"/>
      <c r="I3186" s="15"/>
    </row>
    <row r="3187">
      <c r="A3187" s="18">
        <v>45665.0</v>
      </c>
      <c r="B3187" s="16" t="s">
        <v>4019</v>
      </c>
      <c r="C3187" s="16" t="s">
        <v>1096</v>
      </c>
      <c r="D3187" s="16" t="s">
        <v>707</v>
      </c>
      <c r="E3187" s="16">
        <v>2015.0</v>
      </c>
      <c r="F3187" s="16">
        <v>53.6023</v>
      </c>
      <c r="G3187" s="16">
        <v>13.2277</v>
      </c>
      <c r="H3187" s="15"/>
      <c r="I3187" s="15"/>
    </row>
    <row r="3188">
      <c r="A3188" s="18">
        <v>45665.0</v>
      </c>
      <c r="B3188" s="16" t="s">
        <v>4020</v>
      </c>
      <c r="C3188" s="16">
        <v>10.0</v>
      </c>
      <c r="D3188" s="16" t="s">
        <v>707</v>
      </c>
      <c r="E3188" s="16">
        <v>2015.0</v>
      </c>
      <c r="F3188" s="16">
        <v>48.0876</v>
      </c>
      <c r="G3188" s="16">
        <v>10.6991</v>
      </c>
      <c r="H3188" s="15"/>
      <c r="I3188" s="15"/>
    </row>
    <row r="3189">
      <c r="A3189" s="18">
        <v>45665.0</v>
      </c>
      <c r="B3189" s="16" t="s">
        <v>4021</v>
      </c>
      <c r="C3189" s="16">
        <v>5.0</v>
      </c>
      <c r="D3189" s="16" t="s">
        <v>707</v>
      </c>
      <c r="E3189" s="16">
        <v>2015.0</v>
      </c>
      <c r="F3189" s="16">
        <v>48.0968</v>
      </c>
      <c r="G3189" s="16">
        <v>10.6967</v>
      </c>
      <c r="H3189" s="15"/>
      <c r="I3189" s="15"/>
    </row>
    <row r="3190">
      <c r="A3190" s="18">
        <v>45665.0</v>
      </c>
      <c r="B3190" s="16" t="s">
        <v>4022</v>
      </c>
      <c r="C3190" s="16" t="s">
        <v>1090</v>
      </c>
      <c r="D3190" s="16" t="s">
        <v>707</v>
      </c>
      <c r="E3190" s="16">
        <v>2015.0</v>
      </c>
      <c r="F3190" s="16">
        <v>53.4581</v>
      </c>
      <c r="G3190" s="16">
        <v>13.5634</v>
      </c>
      <c r="H3190" s="15"/>
      <c r="I3190" s="15"/>
    </row>
    <row r="3191">
      <c r="A3191" s="18">
        <v>45665.0</v>
      </c>
      <c r="B3191" s="16" t="s">
        <v>4023</v>
      </c>
      <c r="C3191" s="16" t="s">
        <v>1149</v>
      </c>
      <c r="D3191" s="16" t="s">
        <v>707</v>
      </c>
      <c r="E3191" s="16">
        <v>2015.0</v>
      </c>
      <c r="F3191" s="16">
        <v>53.4607</v>
      </c>
      <c r="G3191" s="16">
        <v>13.5656</v>
      </c>
      <c r="H3191" s="15"/>
      <c r="I3191" s="15"/>
    </row>
    <row r="3192">
      <c r="A3192" s="18">
        <v>45665.0</v>
      </c>
      <c r="B3192" s="16" t="s">
        <v>4024</v>
      </c>
      <c r="C3192" s="16" t="s">
        <v>1051</v>
      </c>
      <c r="D3192" s="16" t="s">
        <v>707</v>
      </c>
      <c r="E3192" s="16">
        <v>2015.0</v>
      </c>
      <c r="F3192" s="16">
        <v>54.2504</v>
      </c>
      <c r="G3192" s="16">
        <v>12.5074</v>
      </c>
      <c r="H3192" s="15"/>
      <c r="I3192" s="15"/>
    </row>
    <row r="3193">
      <c r="A3193" s="18">
        <v>45665.0</v>
      </c>
      <c r="B3193" s="16" t="s">
        <v>4025</v>
      </c>
      <c r="C3193" s="16" t="s">
        <v>1277</v>
      </c>
      <c r="D3193" s="16" t="s">
        <v>707</v>
      </c>
      <c r="E3193" s="16">
        <v>2015.0</v>
      </c>
      <c r="F3193" s="16">
        <v>51.3382</v>
      </c>
      <c r="G3193" s="16">
        <v>11.3496</v>
      </c>
      <c r="H3193" s="15"/>
      <c r="I3193" s="15"/>
    </row>
    <row r="3194">
      <c r="A3194" s="18">
        <v>45665.0</v>
      </c>
      <c r="B3194" s="16" t="s">
        <v>4026</v>
      </c>
      <c r="C3194" s="16">
        <v>8.0</v>
      </c>
      <c r="D3194" s="16" t="s">
        <v>707</v>
      </c>
      <c r="E3194" s="16">
        <v>2015.0</v>
      </c>
      <c r="F3194" s="16">
        <v>51.6431</v>
      </c>
      <c r="G3194" s="16">
        <v>14.1173</v>
      </c>
      <c r="H3194" s="15"/>
      <c r="I3194" s="15"/>
    </row>
    <row r="3195">
      <c r="A3195" s="18">
        <v>45665.0</v>
      </c>
      <c r="B3195" s="16" t="s">
        <v>4027</v>
      </c>
      <c r="C3195" s="16" t="s">
        <v>969</v>
      </c>
      <c r="D3195" s="16" t="s">
        <v>707</v>
      </c>
      <c r="E3195" s="16">
        <v>2015.0</v>
      </c>
      <c r="F3195" s="16">
        <v>50.9397</v>
      </c>
      <c r="G3195" s="16">
        <v>10.8259</v>
      </c>
      <c r="H3195" s="15"/>
      <c r="I3195" s="15"/>
    </row>
    <row r="3196">
      <c r="A3196" s="18">
        <v>45665.0</v>
      </c>
      <c r="B3196" s="16" t="s">
        <v>4028</v>
      </c>
      <c r="C3196" s="16" t="s">
        <v>946</v>
      </c>
      <c r="D3196" s="16" t="s">
        <v>707</v>
      </c>
      <c r="E3196" s="16">
        <v>2015.0</v>
      </c>
      <c r="F3196" s="16">
        <v>51.6477</v>
      </c>
      <c r="G3196" s="16">
        <v>11.8894</v>
      </c>
      <c r="H3196" s="15"/>
      <c r="I3196" s="15"/>
    </row>
    <row r="3197">
      <c r="A3197" s="18">
        <v>45665.0</v>
      </c>
      <c r="B3197" s="16" t="s">
        <v>4029</v>
      </c>
      <c r="C3197" s="16">
        <v>1.0</v>
      </c>
      <c r="D3197" s="16" t="s">
        <v>707</v>
      </c>
      <c r="E3197" s="16">
        <v>2015.0</v>
      </c>
      <c r="F3197" s="16">
        <v>49.4438</v>
      </c>
      <c r="G3197" s="16">
        <v>7.6947</v>
      </c>
      <c r="H3197" s="15"/>
      <c r="I3197" s="15"/>
    </row>
    <row r="3198">
      <c r="A3198" s="18">
        <v>45665.0</v>
      </c>
      <c r="B3198" s="16" t="s">
        <v>4030</v>
      </c>
      <c r="C3198" s="16" t="s">
        <v>969</v>
      </c>
      <c r="D3198" s="16" t="s">
        <v>707</v>
      </c>
      <c r="E3198" s="16">
        <v>2015.0</v>
      </c>
      <c r="F3198" s="16">
        <v>50.6402</v>
      </c>
      <c r="G3198" s="16">
        <v>12.324</v>
      </c>
      <c r="H3198" s="15"/>
      <c r="I3198" s="15"/>
    </row>
    <row r="3199">
      <c r="A3199" s="18">
        <v>45665.0</v>
      </c>
      <c r="B3199" s="16" t="s">
        <v>4031</v>
      </c>
      <c r="C3199" s="16" t="s">
        <v>1051</v>
      </c>
      <c r="D3199" s="16" t="s">
        <v>707</v>
      </c>
      <c r="E3199" s="16">
        <v>2015.0</v>
      </c>
      <c r="F3199" s="16">
        <v>54.2145</v>
      </c>
      <c r="G3199" s="16">
        <v>13.2646</v>
      </c>
      <c r="H3199" s="15"/>
      <c r="I3199" s="15"/>
    </row>
    <row r="3200">
      <c r="A3200" s="18">
        <v>45665.0</v>
      </c>
      <c r="B3200" s="16" t="s">
        <v>4032</v>
      </c>
      <c r="C3200" s="16">
        <v>3.0</v>
      </c>
      <c r="D3200" s="16" t="s">
        <v>707</v>
      </c>
      <c r="E3200" s="16">
        <v>2015.0</v>
      </c>
      <c r="F3200" s="16">
        <v>49.2184</v>
      </c>
      <c r="G3200" s="16">
        <v>11.6475</v>
      </c>
      <c r="H3200" s="15"/>
      <c r="I3200" s="15"/>
    </row>
    <row r="3201">
      <c r="A3201" s="18">
        <v>45665.0</v>
      </c>
      <c r="B3201" s="16" t="s">
        <v>4033</v>
      </c>
      <c r="C3201" s="16" t="s">
        <v>978</v>
      </c>
      <c r="D3201" s="16" t="s">
        <v>707</v>
      </c>
      <c r="E3201" s="16">
        <v>2015.0</v>
      </c>
      <c r="F3201" s="16">
        <v>49.8296</v>
      </c>
      <c r="G3201" s="16">
        <v>7.111</v>
      </c>
      <c r="H3201" s="15"/>
      <c r="I3201" s="15"/>
    </row>
    <row r="3202">
      <c r="A3202" s="18">
        <v>45665.0</v>
      </c>
      <c r="B3202" s="16" t="s">
        <v>4034</v>
      </c>
      <c r="C3202" s="16" t="s">
        <v>959</v>
      </c>
      <c r="D3202" s="16" t="s">
        <v>707</v>
      </c>
      <c r="E3202" s="16">
        <v>2015.0</v>
      </c>
      <c r="F3202" s="16">
        <v>52.6426</v>
      </c>
      <c r="G3202" s="16">
        <v>13.7522</v>
      </c>
      <c r="H3202" s="15"/>
      <c r="I3202" s="15"/>
    </row>
    <row r="3203">
      <c r="A3203" s="18">
        <v>45665.0</v>
      </c>
      <c r="B3203" s="16" t="s">
        <v>4035</v>
      </c>
      <c r="C3203" s="16">
        <v>1.0</v>
      </c>
      <c r="D3203" s="16" t="s">
        <v>707</v>
      </c>
      <c r="E3203" s="16">
        <v>2015.0</v>
      </c>
      <c r="F3203" s="16">
        <v>52.6426</v>
      </c>
      <c r="G3203" s="16">
        <v>13.7522</v>
      </c>
      <c r="H3203" s="15"/>
      <c r="I3203" s="15"/>
    </row>
    <row r="3204">
      <c r="A3204" s="18">
        <v>45665.0</v>
      </c>
      <c r="B3204" s="16" t="s">
        <v>4036</v>
      </c>
      <c r="C3204" s="16" t="s">
        <v>1475</v>
      </c>
      <c r="D3204" s="16" t="s">
        <v>707</v>
      </c>
      <c r="E3204" s="16">
        <v>2015.0</v>
      </c>
      <c r="F3204" s="16">
        <v>50.8065</v>
      </c>
      <c r="G3204" s="16">
        <v>11.919</v>
      </c>
      <c r="H3204" s="15"/>
      <c r="I3204" s="15"/>
    </row>
    <row r="3205">
      <c r="A3205" s="18">
        <v>45665.0</v>
      </c>
      <c r="B3205" s="16" t="s">
        <v>4037</v>
      </c>
      <c r="C3205" s="16" t="s">
        <v>1282</v>
      </c>
      <c r="D3205" s="16" t="s">
        <v>707</v>
      </c>
      <c r="E3205" s="16">
        <v>2015.0</v>
      </c>
      <c r="F3205" s="16">
        <v>52.8346</v>
      </c>
      <c r="G3205" s="16">
        <v>9.238</v>
      </c>
      <c r="H3205" s="15"/>
      <c r="I3205" s="15"/>
    </row>
    <row r="3206">
      <c r="A3206" s="18">
        <v>45665.0</v>
      </c>
      <c r="B3206" s="16" t="s">
        <v>4038</v>
      </c>
      <c r="C3206" s="16">
        <v>1.0</v>
      </c>
      <c r="D3206" s="16" t="s">
        <v>707</v>
      </c>
      <c r="E3206" s="16">
        <v>2015.0</v>
      </c>
      <c r="F3206" s="16">
        <v>48.6327</v>
      </c>
      <c r="G3206" s="16">
        <v>11.7037</v>
      </c>
      <c r="H3206" s="15"/>
      <c r="I3206" s="15"/>
    </row>
    <row r="3207">
      <c r="A3207" s="18">
        <v>45665.0</v>
      </c>
      <c r="B3207" s="16" t="s">
        <v>4039</v>
      </c>
      <c r="C3207" s="16">
        <v>2.0</v>
      </c>
      <c r="D3207" s="16" t="s">
        <v>707</v>
      </c>
      <c r="E3207" s="16">
        <v>2015.0</v>
      </c>
      <c r="F3207" s="16">
        <v>51.6431</v>
      </c>
      <c r="G3207" s="16">
        <v>14.1173</v>
      </c>
      <c r="H3207" s="15"/>
      <c r="I3207" s="15"/>
    </row>
    <row r="3208">
      <c r="A3208" s="18">
        <v>45665.0</v>
      </c>
      <c r="B3208" s="16" t="s">
        <v>4040</v>
      </c>
      <c r="C3208" s="16" t="s">
        <v>1039</v>
      </c>
      <c r="D3208" s="16" t="s">
        <v>707</v>
      </c>
      <c r="E3208" s="16">
        <v>2015.0</v>
      </c>
      <c r="F3208" s="16">
        <v>51.8155</v>
      </c>
      <c r="G3208" s="16">
        <v>14.0198</v>
      </c>
      <c r="H3208" s="15"/>
      <c r="I3208" s="15"/>
    </row>
    <row r="3209">
      <c r="A3209" s="18">
        <v>45665.0</v>
      </c>
      <c r="B3209" s="16" t="s">
        <v>4041</v>
      </c>
      <c r="C3209" s="16" t="s">
        <v>946</v>
      </c>
      <c r="D3209" s="16" t="s">
        <v>707</v>
      </c>
      <c r="E3209" s="16">
        <v>2015.0</v>
      </c>
      <c r="F3209" s="16">
        <v>54.0455</v>
      </c>
      <c r="G3209" s="16">
        <v>13.7559</v>
      </c>
      <c r="H3209" s="15"/>
      <c r="I3209" s="15"/>
    </row>
    <row r="3210">
      <c r="A3210" s="18">
        <v>45665.0</v>
      </c>
      <c r="B3210" s="16" t="s">
        <v>4042</v>
      </c>
      <c r="C3210" s="16" t="s">
        <v>990</v>
      </c>
      <c r="D3210" s="16" t="s">
        <v>707</v>
      </c>
      <c r="E3210" s="16">
        <v>2015.0</v>
      </c>
      <c r="F3210" s="16">
        <v>50.0762</v>
      </c>
      <c r="G3210" s="16">
        <v>11.5842</v>
      </c>
      <c r="H3210" s="15"/>
      <c r="I3210" s="15"/>
    </row>
    <row r="3211">
      <c r="A3211" s="18">
        <v>45665.0</v>
      </c>
      <c r="B3211" s="16" t="s">
        <v>4043</v>
      </c>
      <c r="C3211" s="16">
        <v>10.0</v>
      </c>
      <c r="D3211" s="16" t="s">
        <v>707</v>
      </c>
      <c r="E3211" s="16">
        <v>2015.0</v>
      </c>
      <c r="F3211" s="16">
        <v>51.4939</v>
      </c>
      <c r="G3211" s="16">
        <v>13.8467</v>
      </c>
      <c r="H3211" s="15"/>
      <c r="I3211" s="15"/>
    </row>
    <row r="3212">
      <c r="A3212" s="18">
        <v>45665.0</v>
      </c>
      <c r="B3212" s="16" t="s">
        <v>4044</v>
      </c>
      <c r="C3212" s="16" t="s">
        <v>969</v>
      </c>
      <c r="D3212" s="16" t="s">
        <v>707</v>
      </c>
      <c r="E3212" s="16">
        <v>2015.0</v>
      </c>
      <c r="F3212" s="16">
        <v>49.8001</v>
      </c>
      <c r="G3212" s="16">
        <v>9.7969</v>
      </c>
      <c r="H3212" s="15"/>
      <c r="I3212" s="15"/>
    </row>
    <row r="3213">
      <c r="A3213" s="18">
        <v>45665.0</v>
      </c>
      <c r="B3213" s="16" t="s">
        <v>4045</v>
      </c>
      <c r="C3213" s="16" t="s">
        <v>959</v>
      </c>
      <c r="D3213" s="16" t="s">
        <v>707</v>
      </c>
      <c r="E3213" s="16">
        <v>2015.0</v>
      </c>
      <c r="F3213" s="16">
        <v>53.3273</v>
      </c>
      <c r="G3213" s="16">
        <v>8.4262</v>
      </c>
      <c r="H3213" s="15"/>
      <c r="I3213" s="15"/>
    </row>
    <row r="3214">
      <c r="A3214" s="18">
        <v>45665.0</v>
      </c>
      <c r="B3214" s="16" t="s">
        <v>4046</v>
      </c>
      <c r="C3214" s="16" t="s">
        <v>1167</v>
      </c>
      <c r="D3214" s="16" t="s">
        <v>707</v>
      </c>
      <c r="E3214" s="16">
        <v>2015.0</v>
      </c>
      <c r="F3214" s="16">
        <v>51.3023</v>
      </c>
      <c r="G3214" s="16">
        <v>11.4629</v>
      </c>
      <c r="H3214" s="15"/>
      <c r="I3214" s="15"/>
    </row>
    <row r="3215">
      <c r="A3215" s="18">
        <v>45665.0</v>
      </c>
      <c r="B3215" s="16" t="s">
        <v>4047</v>
      </c>
      <c r="C3215" s="16" t="s">
        <v>1059</v>
      </c>
      <c r="D3215" s="16" t="s">
        <v>707</v>
      </c>
      <c r="E3215" s="16">
        <v>2015.0</v>
      </c>
      <c r="F3215" s="16">
        <v>52.0479</v>
      </c>
      <c r="G3215" s="16">
        <v>13.3916</v>
      </c>
      <c r="H3215" s="15"/>
      <c r="I3215" s="15"/>
    </row>
    <row r="3216">
      <c r="A3216" s="18">
        <v>45665.0</v>
      </c>
      <c r="B3216" s="16" t="s">
        <v>4048</v>
      </c>
      <c r="C3216" s="16" t="s">
        <v>1436</v>
      </c>
      <c r="D3216" s="16" t="s">
        <v>707</v>
      </c>
      <c r="E3216" s="16">
        <v>2015.0</v>
      </c>
      <c r="F3216" s="16">
        <v>49.9999</v>
      </c>
      <c r="G3216" s="16">
        <v>7.0148</v>
      </c>
      <c r="H3216" s="15"/>
      <c r="I3216" s="15"/>
    </row>
    <row r="3217">
      <c r="A3217" s="18">
        <v>45665.0</v>
      </c>
      <c r="B3217" s="16" t="s">
        <v>4049</v>
      </c>
      <c r="C3217" s="16">
        <v>3.0</v>
      </c>
      <c r="D3217" s="16" t="s">
        <v>707</v>
      </c>
      <c r="E3217" s="16">
        <v>2015.0</v>
      </c>
      <c r="F3217" s="16">
        <v>52.875</v>
      </c>
      <c r="G3217" s="16">
        <v>11.4701</v>
      </c>
      <c r="H3217" s="15"/>
      <c r="I3217" s="15"/>
    </row>
    <row r="3218">
      <c r="A3218" s="18">
        <v>45665.0</v>
      </c>
      <c r="B3218" s="16" t="s">
        <v>4050</v>
      </c>
      <c r="C3218" s="16" t="s">
        <v>1059</v>
      </c>
      <c r="D3218" s="16" t="s">
        <v>707</v>
      </c>
      <c r="E3218" s="16">
        <v>2015.0</v>
      </c>
      <c r="F3218" s="16">
        <v>50.6831</v>
      </c>
      <c r="G3218" s="16">
        <v>8.4226</v>
      </c>
      <c r="H3218" s="15"/>
      <c r="I3218" s="15"/>
    </row>
    <row r="3219">
      <c r="A3219" s="18">
        <v>45665.0</v>
      </c>
      <c r="B3219" s="16" t="s">
        <v>4051</v>
      </c>
      <c r="C3219" s="16">
        <v>2.0</v>
      </c>
      <c r="D3219" s="16" t="s">
        <v>707</v>
      </c>
      <c r="E3219" s="16">
        <v>2015.0</v>
      </c>
      <c r="F3219" s="16">
        <v>50.4405</v>
      </c>
      <c r="G3219" s="16">
        <v>8.6403</v>
      </c>
      <c r="H3219" s="15"/>
      <c r="I3219" s="15"/>
    </row>
    <row r="3220">
      <c r="A3220" s="18">
        <v>45665.0</v>
      </c>
      <c r="B3220" s="16" t="s">
        <v>4052</v>
      </c>
      <c r="C3220" s="16" t="s">
        <v>1101</v>
      </c>
      <c r="D3220" s="16" t="s">
        <v>707</v>
      </c>
      <c r="E3220" s="16">
        <v>2015.0</v>
      </c>
      <c r="F3220" s="16">
        <v>50.9727</v>
      </c>
      <c r="G3220" s="16">
        <v>12.7788</v>
      </c>
      <c r="H3220" s="15"/>
      <c r="I3220" s="15"/>
    </row>
    <row r="3221">
      <c r="A3221" s="18">
        <v>45665.0</v>
      </c>
      <c r="B3221" s="16" t="s">
        <v>4053</v>
      </c>
      <c r="C3221" s="16" t="s">
        <v>1101</v>
      </c>
      <c r="D3221" s="16" t="s">
        <v>707</v>
      </c>
      <c r="E3221" s="16">
        <v>2015.0</v>
      </c>
      <c r="F3221" s="16">
        <v>48.9245</v>
      </c>
      <c r="G3221" s="16">
        <v>11.4661</v>
      </c>
      <c r="H3221" s="15"/>
      <c r="I3221" s="15"/>
    </row>
    <row r="3222">
      <c r="A3222" s="18">
        <v>45665.0</v>
      </c>
      <c r="B3222" s="16" t="s">
        <v>4054</v>
      </c>
      <c r="C3222" s="16" t="s">
        <v>1037</v>
      </c>
      <c r="D3222" s="16" t="s">
        <v>707</v>
      </c>
      <c r="E3222" s="16">
        <v>2015.0</v>
      </c>
      <c r="F3222" s="16">
        <v>50.0049</v>
      </c>
      <c r="G3222" s="16">
        <v>7.0849</v>
      </c>
      <c r="H3222" s="15"/>
      <c r="I3222" s="15"/>
    </row>
    <row r="3223">
      <c r="A3223" s="18">
        <v>45665.0</v>
      </c>
      <c r="B3223" s="16" t="s">
        <v>4055</v>
      </c>
      <c r="C3223" s="16" t="s">
        <v>946</v>
      </c>
      <c r="D3223" s="16" t="s">
        <v>707</v>
      </c>
      <c r="E3223" s="16">
        <v>2015.0</v>
      </c>
      <c r="F3223" s="16">
        <v>53.6658</v>
      </c>
      <c r="G3223" s="16">
        <v>13.5308</v>
      </c>
      <c r="H3223" s="15"/>
      <c r="I3223" s="15"/>
    </row>
    <row r="3224">
      <c r="A3224" s="18">
        <v>45665.0</v>
      </c>
      <c r="B3224" s="16" t="s">
        <v>4056</v>
      </c>
      <c r="C3224" s="16" t="s">
        <v>978</v>
      </c>
      <c r="D3224" s="16" t="s">
        <v>707</v>
      </c>
      <c r="E3224" s="16">
        <v>2015.0</v>
      </c>
      <c r="F3224" s="16">
        <v>50.2087</v>
      </c>
      <c r="G3224" s="16">
        <v>11.0724</v>
      </c>
      <c r="H3224" s="15"/>
      <c r="I3224" s="15"/>
    </row>
    <row r="3225">
      <c r="A3225" s="18">
        <v>45665.0</v>
      </c>
      <c r="B3225" s="16" t="s">
        <v>4057</v>
      </c>
      <c r="C3225" s="16" t="s">
        <v>1055</v>
      </c>
      <c r="D3225" s="16" t="s">
        <v>707</v>
      </c>
      <c r="E3225" s="16">
        <v>2015.0</v>
      </c>
      <c r="F3225" s="16">
        <v>50.57</v>
      </c>
      <c r="G3225" s="16">
        <v>8.2833</v>
      </c>
      <c r="H3225" s="15"/>
      <c r="I3225" s="15"/>
    </row>
    <row r="3226">
      <c r="A3226" s="18">
        <v>45665.0</v>
      </c>
      <c r="B3226" s="16" t="s">
        <v>4058</v>
      </c>
      <c r="C3226" s="16" t="s">
        <v>1393</v>
      </c>
      <c r="D3226" s="16" t="s">
        <v>707</v>
      </c>
      <c r="E3226" s="16">
        <v>2015.0</v>
      </c>
      <c r="F3226" s="16">
        <v>50.6586</v>
      </c>
      <c r="G3226" s="16">
        <v>7.7899</v>
      </c>
      <c r="H3226" s="15"/>
      <c r="I3226" s="15"/>
    </row>
    <row r="3227">
      <c r="A3227" s="18">
        <v>45665.0</v>
      </c>
      <c r="B3227" s="16" t="s">
        <v>4059</v>
      </c>
      <c r="C3227" s="16" t="s">
        <v>961</v>
      </c>
      <c r="D3227" s="16" t="s">
        <v>707</v>
      </c>
      <c r="E3227" s="16">
        <v>2015.0</v>
      </c>
      <c r="F3227" s="16">
        <v>49.1639</v>
      </c>
      <c r="G3227" s="16">
        <v>11.8377</v>
      </c>
      <c r="H3227" s="15"/>
      <c r="I3227" s="15"/>
    </row>
    <row r="3228">
      <c r="A3228" s="18">
        <v>45665.0</v>
      </c>
      <c r="B3228" s="16" t="s">
        <v>4060</v>
      </c>
      <c r="C3228" s="16">
        <v>10.0</v>
      </c>
      <c r="D3228" s="16" t="s">
        <v>707</v>
      </c>
      <c r="E3228" s="16">
        <v>2015.0</v>
      </c>
      <c r="F3228" s="16">
        <v>54.4344</v>
      </c>
      <c r="G3228" s="16">
        <v>9.4707</v>
      </c>
      <c r="H3228" s="15"/>
      <c r="I3228" s="15"/>
    </row>
    <row r="3229">
      <c r="A3229" s="18">
        <v>45665.0</v>
      </c>
      <c r="B3229" s="16" t="s">
        <v>4061</v>
      </c>
      <c r="C3229" s="16">
        <v>10.0</v>
      </c>
      <c r="D3229" s="16" t="s">
        <v>707</v>
      </c>
      <c r="E3229" s="16">
        <v>2015.0</v>
      </c>
      <c r="F3229" s="16">
        <v>53.2</v>
      </c>
      <c r="G3229" s="16">
        <v>12.2061</v>
      </c>
      <c r="H3229" s="15"/>
      <c r="I3229" s="15"/>
    </row>
    <row r="3230">
      <c r="A3230" s="18">
        <v>45665.0</v>
      </c>
      <c r="B3230" s="16" t="s">
        <v>4062</v>
      </c>
      <c r="C3230" s="16" t="s">
        <v>1436</v>
      </c>
      <c r="D3230" s="16" t="s">
        <v>707</v>
      </c>
      <c r="E3230" s="16">
        <v>2015.0</v>
      </c>
      <c r="F3230" s="16">
        <v>52.2013</v>
      </c>
      <c r="G3230" s="16">
        <v>11.7794</v>
      </c>
      <c r="H3230" s="15"/>
      <c r="I3230" s="15"/>
    </row>
    <row r="3231">
      <c r="A3231" s="18">
        <v>45665.0</v>
      </c>
      <c r="B3231" s="16" t="s">
        <v>4063</v>
      </c>
      <c r="C3231" s="16" t="s">
        <v>4064</v>
      </c>
      <c r="D3231" s="16" t="s">
        <v>707</v>
      </c>
      <c r="E3231" s="16">
        <v>2015.0</v>
      </c>
      <c r="F3231" s="16">
        <v>50.6676</v>
      </c>
      <c r="G3231" s="16">
        <v>9.3356</v>
      </c>
      <c r="H3231" s="15"/>
      <c r="I3231" s="15"/>
    </row>
    <row r="3232">
      <c r="A3232" s="18">
        <v>45665.0</v>
      </c>
      <c r="B3232" s="16" t="s">
        <v>4065</v>
      </c>
      <c r="C3232" s="16" t="s">
        <v>1099</v>
      </c>
      <c r="D3232" s="16" t="s">
        <v>707</v>
      </c>
      <c r="E3232" s="16">
        <v>2015.0</v>
      </c>
      <c r="F3232" s="16">
        <v>48.9281</v>
      </c>
      <c r="G3232" s="16">
        <v>9.9729</v>
      </c>
      <c r="H3232" s="15"/>
      <c r="I3232" s="15"/>
    </row>
    <row r="3233">
      <c r="A3233" s="18">
        <v>45665.0</v>
      </c>
      <c r="B3233" s="16" t="s">
        <v>4066</v>
      </c>
      <c r="C3233" s="16" t="s">
        <v>942</v>
      </c>
      <c r="D3233" s="16" t="s">
        <v>707</v>
      </c>
      <c r="E3233" s="16">
        <v>2015.0</v>
      </c>
      <c r="F3233" s="16">
        <v>54.2789</v>
      </c>
      <c r="G3233" s="16">
        <v>13.0546</v>
      </c>
      <c r="H3233" s="15"/>
      <c r="I3233" s="15"/>
    </row>
    <row r="3234">
      <c r="A3234" s="18">
        <v>45665.0</v>
      </c>
      <c r="B3234" s="16" t="s">
        <v>4067</v>
      </c>
      <c r="C3234" s="16">
        <v>10.0</v>
      </c>
      <c r="D3234" s="16" t="s">
        <v>707</v>
      </c>
      <c r="E3234" s="16">
        <v>2015.0</v>
      </c>
      <c r="F3234" s="16">
        <v>52.3727</v>
      </c>
      <c r="G3234" s="16">
        <v>11.8077</v>
      </c>
      <c r="H3234" s="15"/>
      <c r="I3234" s="15"/>
    </row>
    <row r="3235">
      <c r="A3235" s="18">
        <v>45665.0</v>
      </c>
      <c r="B3235" s="16" t="s">
        <v>4068</v>
      </c>
      <c r="C3235" s="16" t="s">
        <v>1011</v>
      </c>
      <c r="D3235" s="16" t="s">
        <v>707</v>
      </c>
      <c r="E3235" s="16">
        <v>2015.0</v>
      </c>
      <c r="F3235" s="16">
        <v>49.8175</v>
      </c>
      <c r="G3235" s="16">
        <v>9.5557</v>
      </c>
      <c r="H3235" s="15"/>
      <c r="I3235" s="15"/>
    </row>
    <row r="3236">
      <c r="A3236" s="18">
        <v>45665.0</v>
      </c>
      <c r="B3236" s="16" t="s">
        <v>4069</v>
      </c>
      <c r="C3236" s="16" t="s">
        <v>1167</v>
      </c>
      <c r="D3236" s="16" t="s">
        <v>707</v>
      </c>
      <c r="E3236" s="16">
        <v>2015.0</v>
      </c>
      <c r="F3236" s="16">
        <v>49.8179</v>
      </c>
      <c r="G3236" s="16">
        <v>9.562</v>
      </c>
      <c r="H3236" s="15"/>
      <c r="I3236" s="15"/>
    </row>
    <row r="3237">
      <c r="A3237" s="18">
        <v>45665.0</v>
      </c>
      <c r="B3237" s="16" t="s">
        <v>4070</v>
      </c>
      <c r="C3237" s="16" t="s">
        <v>948</v>
      </c>
      <c r="D3237" s="16" t="s">
        <v>707</v>
      </c>
      <c r="E3237" s="16">
        <v>2015.0</v>
      </c>
      <c r="F3237" s="16">
        <v>49.795</v>
      </c>
      <c r="G3237" s="16">
        <v>9.244</v>
      </c>
      <c r="H3237" s="15"/>
      <c r="I3237" s="15"/>
    </row>
    <row r="3238">
      <c r="A3238" s="18">
        <v>45665.0</v>
      </c>
      <c r="B3238" s="16" t="s">
        <v>4071</v>
      </c>
      <c r="C3238" s="16" t="s">
        <v>1007</v>
      </c>
      <c r="D3238" s="16" t="s">
        <v>707</v>
      </c>
      <c r="E3238" s="16">
        <v>2015.0</v>
      </c>
      <c r="F3238" s="16">
        <v>53.6198</v>
      </c>
      <c r="G3238" s="16">
        <v>13.3387</v>
      </c>
      <c r="H3238" s="15"/>
      <c r="I3238" s="15"/>
    </row>
    <row r="3239">
      <c r="A3239" s="18">
        <v>45665.0</v>
      </c>
      <c r="B3239" s="16" t="s">
        <v>4072</v>
      </c>
      <c r="C3239" s="16" t="s">
        <v>1055</v>
      </c>
      <c r="D3239" s="16" t="s">
        <v>707</v>
      </c>
      <c r="E3239" s="16">
        <v>2015.0</v>
      </c>
      <c r="F3239" s="16">
        <v>48.668</v>
      </c>
      <c r="G3239" s="16">
        <v>12.1062</v>
      </c>
      <c r="H3239" s="15"/>
      <c r="I3239" s="15"/>
    </row>
    <row r="3240">
      <c r="A3240" s="18">
        <v>45665.0</v>
      </c>
      <c r="B3240" s="16" t="s">
        <v>4073</v>
      </c>
      <c r="C3240" s="16" t="s">
        <v>1085</v>
      </c>
      <c r="D3240" s="16" t="s">
        <v>707</v>
      </c>
      <c r="E3240" s="16">
        <v>2015.0</v>
      </c>
      <c r="F3240" s="16">
        <v>51.8244</v>
      </c>
      <c r="G3240" s="16">
        <v>8.1868</v>
      </c>
      <c r="H3240" s="15"/>
      <c r="I3240" s="15"/>
    </row>
    <row r="3241">
      <c r="A3241" s="18">
        <v>45665.0</v>
      </c>
      <c r="B3241" s="16" t="s">
        <v>4074</v>
      </c>
      <c r="C3241" s="16">
        <v>2.0</v>
      </c>
      <c r="D3241" s="16" t="s">
        <v>707</v>
      </c>
      <c r="E3241" s="16">
        <v>2015.0</v>
      </c>
      <c r="F3241" s="16">
        <v>51.4721</v>
      </c>
      <c r="G3241" s="16">
        <v>13.6152</v>
      </c>
      <c r="H3241" s="15"/>
      <c r="I3241" s="15"/>
    </row>
    <row r="3242">
      <c r="A3242" s="18">
        <v>45665.0</v>
      </c>
      <c r="B3242" s="16" t="s">
        <v>4075</v>
      </c>
      <c r="C3242" s="16">
        <v>10.0</v>
      </c>
      <c r="D3242" s="16" t="s">
        <v>707</v>
      </c>
      <c r="E3242" s="16">
        <v>2015.0</v>
      </c>
      <c r="F3242" s="16">
        <v>49.8087</v>
      </c>
      <c r="G3242" s="16">
        <v>7.3051</v>
      </c>
      <c r="H3242" s="15"/>
      <c r="I3242" s="15"/>
    </row>
    <row r="3243">
      <c r="A3243" s="18">
        <v>45665.0</v>
      </c>
      <c r="B3243" s="16" t="s">
        <v>4076</v>
      </c>
      <c r="C3243" s="16" t="s">
        <v>948</v>
      </c>
      <c r="D3243" s="16" t="s">
        <v>707</v>
      </c>
      <c r="E3243" s="16">
        <v>2015.0</v>
      </c>
      <c r="F3243" s="16">
        <v>50.08</v>
      </c>
      <c r="G3243" s="16">
        <v>9.2401</v>
      </c>
      <c r="H3243" s="15"/>
      <c r="I3243" s="15"/>
    </row>
    <row r="3244">
      <c r="A3244" s="18">
        <v>45665.0</v>
      </c>
      <c r="B3244" s="16" t="s">
        <v>4077</v>
      </c>
      <c r="C3244" s="16" t="s">
        <v>984</v>
      </c>
      <c r="D3244" s="16" t="s">
        <v>707</v>
      </c>
      <c r="E3244" s="16">
        <v>2015.0</v>
      </c>
      <c r="F3244" s="16">
        <v>52.084</v>
      </c>
      <c r="G3244" s="16">
        <v>13.325</v>
      </c>
      <c r="H3244" s="15"/>
      <c r="I3244" s="15"/>
    </row>
    <row r="3245">
      <c r="A3245" s="18">
        <v>45665.0</v>
      </c>
      <c r="B3245" s="16" t="s">
        <v>4078</v>
      </c>
      <c r="C3245" s="16" t="s">
        <v>990</v>
      </c>
      <c r="D3245" s="16" t="s">
        <v>707</v>
      </c>
      <c r="E3245" s="16">
        <v>2015.0</v>
      </c>
      <c r="F3245" s="16">
        <v>50.995</v>
      </c>
      <c r="G3245" s="16">
        <v>10.3831</v>
      </c>
      <c r="H3245" s="15"/>
      <c r="I3245" s="15"/>
    </row>
    <row r="3246">
      <c r="A3246" s="18">
        <v>45665.0</v>
      </c>
      <c r="B3246" s="16" t="s">
        <v>4079</v>
      </c>
      <c r="C3246" s="16" t="s">
        <v>984</v>
      </c>
      <c r="D3246" s="16" t="s">
        <v>707</v>
      </c>
      <c r="E3246" s="16">
        <v>2015.0</v>
      </c>
      <c r="F3246" s="16">
        <v>51.8042</v>
      </c>
      <c r="G3246" s="16">
        <v>14.0378</v>
      </c>
      <c r="H3246" s="15"/>
      <c r="I3246" s="15"/>
    </row>
    <row r="3247">
      <c r="A3247" s="18">
        <v>45665.0</v>
      </c>
      <c r="B3247" s="16" t="s">
        <v>4080</v>
      </c>
      <c r="C3247" s="16" t="s">
        <v>3817</v>
      </c>
      <c r="D3247" s="16" t="s">
        <v>707</v>
      </c>
      <c r="E3247" s="16">
        <v>2015.0</v>
      </c>
      <c r="F3247" s="16">
        <v>51.9301</v>
      </c>
      <c r="G3247" s="16">
        <v>10.7569</v>
      </c>
      <c r="H3247" s="15"/>
      <c r="I3247" s="15"/>
    </row>
    <row r="3248">
      <c r="A3248" s="18">
        <v>45665.0</v>
      </c>
      <c r="B3248" s="16" t="s">
        <v>4081</v>
      </c>
      <c r="C3248" s="16" t="s">
        <v>951</v>
      </c>
      <c r="D3248" s="16" t="s">
        <v>707</v>
      </c>
      <c r="E3248" s="16">
        <v>2015.0</v>
      </c>
      <c r="F3248" s="16">
        <v>49.3594</v>
      </c>
      <c r="G3248" s="16">
        <v>7.2316</v>
      </c>
      <c r="H3248" s="15"/>
      <c r="I3248" s="15"/>
    </row>
    <row r="3249">
      <c r="A3249" s="18">
        <v>45665.0</v>
      </c>
      <c r="B3249" s="16" t="s">
        <v>4082</v>
      </c>
      <c r="C3249" s="16" t="s">
        <v>1282</v>
      </c>
      <c r="D3249" s="16" t="s">
        <v>707</v>
      </c>
      <c r="E3249" s="16">
        <v>2015.0</v>
      </c>
      <c r="F3249" s="16">
        <v>52.3989</v>
      </c>
      <c r="G3249" s="16">
        <v>11.3089</v>
      </c>
      <c r="H3249" s="15"/>
      <c r="I3249" s="15"/>
    </row>
    <row r="3250">
      <c r="A3250" s="18">
        <v>45665.0</v>
      </c>
      <c r="B3250" s="16" t="s">
        <v>4083</v>
      </c>
      <c r="C3250" s="16">
        <v>1.0</v>
      </c>
      <c r="D3250" s="16" t="s">
        <v>707</v>
      </c>
      <c r="E3250" s="16">
        <v>2015.0</v>
      </c>
      <c r="F3250" s="16">
        <v>53.5816</v>
      </c>
      <c r="G3250" s="16">
        <v>11.9934</v>
      </c>
      <c r="H3250" s="15"/>
      <c r="I3250" s="15"/>
    </row>
    <row r="3251">
      <c r="A3251" s="18">
        <v>45665.0</v>
      </c>
      <c r="B3251" s="16" t="s">
        <v>4084</v>
      </c>
      <c r="C3251" s="16" t="s">
        <v>4064</v>
      </c>
      <c r="D3251" s="16" t="s">
        <v>707</v>
      </c>
      <c r="E3251" s="16">
        <v>2015.0</v>
      </c>
      <c r="F3251" s="16">
        <v>52.0497</v>
      </c>
      <c r="G3251" s="16">
        <v>11.4596</v>
      </c>
      <c r="H3251" s="15"/>
      <c r="I3251" s="15"/>
    </row>
    <row r="3252">
      <c r="A3252" s="18">
        <v>45665.0</v>
      </c>
      <c r="B3252" s="16" t="s">
        <v>4085</v>
      </c>
      <c r="C3252" s="16" t="s">
        <v>984</v>
      </c>
      <c r="D3252" s="16" t="s">
        <v>707</v>
      </c>
      <c r="E3252" s="16">
        <v>2015.0</v>
      </c>
      <c r="F3252" s="16">
        <v>53.5278</v>
      </c>
      <c r="G3252" s="16">
        <v>11.0044</v>
      </c>
      <c r="H3252" s="15"/>
      <c r="I3252" s="15"/>
    </row>
    <row r="3253">
      <c r="A3253" s="18">
        <v>45665.0</v>
      </c>
      <c r="B3253" s="16" t="s">
        <v>4086</v>
      </c>
      <c r="C3253" s="16" t="s">
        <v>946</v>
      </c>
      <c r="D3253" s="16" t="s">
        <v>707</v>
      </c>
      <c r="E3253" s="16">
        <v>2015.0</v>
      </c>
      <c r="F3253" s="16">
        <v>49.508</v>
      </c>
      <c r="G3253" s="16">
        <v>9.9101</v>
      </c>
      <c r="H3253" s="15"/>
      <c r="I3253" s="15"/>
    </row>
    <row r="3254">
      <c r="A3254" s="18">
        <v>45665.0</v>
      </c>
      <c r="B3254" s="16" t="s">
        <v>4087</v>
      </c>
      <c r="C3254" s="16" t="s">
        <v>1037</v>
      </c>
      <c r="D3254" s="16" t="s">
        <v>707</v>
      </c>
      <c r="E3254" s="16">
        <v>2015.0</v>
      </c>
      <c r="F3254" s="16">
        <v>49.9654</v>
      </c>
      <c r="G3254" s="16">
        <v>11.9604</v>
      </c>
      <c r="H3254" s="15"/>
      <c r="I3254" s="15"/>
    </row>
    <row r="3255">
      <c r="A3255" s="18">
        <v>45665.0</v>
      </c>
      <c r="B3255" s="16" t="s">
        <v>4088</v>
      </c>
      <c r="C3255" s="16" t="s">
        <v>1267</v>
      </c>
      <c r="D3255" s="16" t="s">
        <v>707</v>
      </c>
      <c r="E3255" s="16">
        <v>2015.0</v>
      </c>
      <c r="F3255" s="16">
        <v>50.8578</v>
      </c>
      <c r="G3255" s="16">
        <v>10.652</v>
      </c>
      <c r="H3255" s="15"/>
      <c r="I3255" s="15"/>
    </row>
    <row r="3256">
      <c r="A3256" s="18">
        <v>45665.0</v>
      </c>
      <c r="B3256" s="16" t="s">
        <v>4089</v>
      </c>
      <c r="C3256" s="16">
        <v>10.0</v>
      </c>
      <c r="D3256" s="16" t="s">
        <v>707</v>
      </c>
      <c r="E3256" s="16">
        <v>2015.0</v>
      </c>
      <c r="F3256" s="16">
        <v>51.6648</v>
      </c>
      <c r="G3256" s="16">
        <v>12.2469</v>
      </c>
      <c r="H3256" s="15"/>
      <c r="I3256" s="15"/>
    </row>
    <row r="3257">
      <c r="A3257" s="18">
        <v>45665.0</v>
      </c>
      <c r="B3257" s="16" t="s">
        <v>4090</v>
      </c>
      <c r="C3257" s="16" t="s">
        <v>1055</v>
      </c>
      <c r="D3257" s="16" t="s">
        <v>707</v>
      </c>
      <c r="E3257" s="16">
        <v>2015.0</v>
      </c>
      <c r="F3257" s="16">
        <v>51.6283</v>
      </c>
      <c r="G3257" s="16">
        <v>12.1084</v>
      </c>
      <c r="H3257" s="15"/>
      <c r="I3257" s="15"/>
    </row>
    <row r="3258">
      <c r="A3258" s="18">
        <v>45665.0</v>
      </c>
      <c r="B3258" s="16" t="s">
        <v>4091</v>
      </c>
      <c r="C3258" s="16">
        <v>2.0</v>
      </c>
      <c r="D3258" s="16" t="s">
        <v>707</v>
      </c>
      <c r="E3258" s="16">
        <v>2015.0</v>
      </c>
      <c r="F3258" s="16">
        <v>52.5595</v>
      </c>
      <c r="G3258" s="16">
        <v>13.603</v>
      </c>
      <c r="H3258" s="15"/>
      <c r="I3258" s="15"/>
    </row>
    <row r="3259">
      <c r="A3259" s="18">
        <v>45329.0</v>
      </c>
      <c r="B3259" s="16" t="s">
        <v>4092</v>
      </c>
      <c r="C3259" s="16" t="s">
        <v>1055</v>
      </c>
      <c r="D3259" s="16" t="s">
        <v>707</v>
      </c>
      <c r="E3259" s="16">
        <v>2016.0</v>
      </c>
      <c r="F3259" s="16">
        <v>50.336</v>
      </c>
      <c r="G3259" s="16">
        <v>10.787</v>
      </c>
      <c r="H3259" s="15"/>
      <c r="I3259" s="15"/>
    </row>
    <row r="3260">
      <c r="A3260" s="17">
        <v>45636.0</v>
      </c>
      <c r="B3260" s="16" t="s">
        <v>4093</v>
      </c>
      <c r="C3260" s="16" t="s">
        <v>978</v>
      </c>
      <c r="D3260" s="16" t="s">
        <v>707</v>
      </c>
      <c r="E3260" s="16">
        <v>2016.0</v>
      </c>
      <c r="F3260" s="16">
        <v>50.336</v>
      </c>
      <c r="G3260" s="16">
        <v>10.787</v>
      </c>
      <c r="H3260" s="15"/>
      <c r="I3260" s="15"/>
    </row>
    <row r="3261">
      <c r="A3261" s="18">
        <v>45665.0</v>
      </c>
      <c r="B3261" s="16" t="s">
        <v>4094</v>
      </c>
      <c r="C3261" s="16" t="s">
        <v>946</v>
      </c>
      <c r="D3261" s="16" t="s">
        <v>707</v>
      </c>
      <c r="E3261" s="16">
        <v>2016.0</v>
      </c>
      <c r="F3261" s="16">
        <v>51.8117</v>
      </c>
      <c r="G3261" s="16">
        <v>12.7903</v>
      </c>
      <c r="H3261" s="15"/>
      <c r="I3261" s="15"/>
    </row>
    <row r="3262">
      <c r="A3262" s="18">
        <v>45665.0</v>
      </c>
      <c r="B3262" s="16" t="s">
        <v>4095</v>
      </c>
      <c r="C3262" s="16" t="s">
        <v>1004</v>
      </c>
      <c r="D3262" s="16" t="s">
        <v>707</v>
      </c>
      <c r="E3262" s="16">
        <v>2016.0</v>
      </c>
      <c r="F3262" s="16">
        <v>51.9123</v>
      </c>
      <c r="G3262" s="16">
        <v>10.6493</v>
      </c>
      <c r="H3262" s="15"/>
      <c r="I3262" s="15"/>
    </row>
    <row r="3263">
      <c r="A3263" s="18">
        <v>45665.0</v>
      </c>
      <c r="B3263" s="16" t="s">
        <v>4096</v>
      </c>
      <c r="C3263" s="16" t="s">
        <v>1004</v>
      </c>
      <c r="D3263" s="16" t="s">
        <v>707</v>
      </c>
      <c r="E3263" s="16">
        <v>2016.0</v>
      </c>
      <c r="F3263" s="16">
        <v>48.7474</v>
      </c>
      <c r="G3263" s="16">
        <v>10.8011</v>
      </c>
      <c r="H3263" s="15"/>
      <c r="I3263" s="15"/>
    </row>
    <row r="3264">
      <c r="A3264" s="18">
        <v>45665.0</v>
      </c>
      <c r="B3264" s="16" t="s">
        <v>4097</v>
      </c>
      <c r="C3264" s="16" t="s">
        <v>942</v>
      </c>
      <c r="D3264" s="16" t="s">
        <v>707</v>
      </c>
      <c r="E3264" s="16">
        <v>2016.0</v>
      </c>
      <c r="F3264" s="16">
        <v>51.584</v>
      </c>
      <c r="G3264" s="16">
        <v>13.5826</v>
      </c>
      <c r="H3264" s="15"/>
      <c r="I3264" s="15"/>
    </row>
    <row r="3265">
      <c r="A3265" s="18">
        <v>45665.0</v>
      </c>
      <c r="B3265" s="16" t="s">
        <v>4098</v>
      </c>
      <c r="C3265" s="16" t="s">
        <v>971</v>
      </c>
      <c r="D3265" s="16" t="s">
        <v>707</v>
      </c>
      <c r="E3265" s="16">
        <v>2016.0</v>
      </c>
      <c r="F3265" s="16">
        <v>47.7446</v>
      </c>
      <c r="G3265" s="16">
        <v>8.9223</v>
      </c>
      <c r="H3265" s="15"/>
      <c r="I3265" s="15"/>
    </row>
    <row r="3266">
      <c r="A3266" s="18">
        <v>45665.0</v>
      </c>
      <c r="B3266" s="16" t="s">
        <v>4099</v>
      </c>
      <c r="C3266" s="16" t="s">
        <v>951</v>
      </c>
      <c r="D3266" s="16" t="s">
        <v>707</v>
      </c>
      <c r="E3266" s="16">
        <v>2016.0</v>
      </c>
      <c r="F3266" s="16">
        <v>51.4771</v>
      </c>
      <c r="G3266" s="16">
        <v>12.0949</v>
      </c>
      <c r="H3266" s="15"/>
      <c r="I3266" s="15"/>
    </row>
    <row r="3267">
      <c r="A3267" s="18">
        <v>45665.0</v>
      </c>
      <c r="B3267" s="16" t="s">
        <v>4100</v>
      </c>
      <c r="C3267" s="16" t="s">
        <v>948</v>
      </c>
      <c r="D3267" s="16" t="s">
        <v>707</v>
      </c>
      <c r="E3267" s="16">
        <v>2016.0</v>
      </c>
      <c r="F3267" s="16">
        <v>49.2447</v>
      </c>
      <c r="G3267" s="16">
        <v>8.3679</v>
      </c>
      <c r="H3267" s="15"/>
      <c r="I3267" s="15"/>
    </row>
    <row r="3268">
      <c r="A3268" s="18">
        <v>45665.0</v>
      </c>
      <c r="B3268" s="16" t="s">
        <v>4101</v>
      </c>
      <c r="C3268" s="16" t="s">
        <v>942</v>
      </c>
      <c r="D3268" s="16" t="s">
        <v>707</v>
      </c>
      <c r="E3268" s="16">
        <v>2016.0</v>
      </c>
      <c r="F3268" s="16">
        <v>49.2215</v>
      </c>
      <c r="G3268" s="16">
        <v>7.5943</v>
      </c>
      <c r="H3268" s="15"/>
      <c r="I3268" s="15"/>
    </row>
    <row r="3269">
      <c r="A3269" s="18">
        <v>45665.0</v>
      </c>
      <c r="B3269" s="16" t="s">
        <v>4102</v>
      </c>
      <c r="C3269" s="16" t="s">
        <v>2404</v>
      </c>
      <c r="D3269" s="16" t="s">
        <v>707</v>
      </c>
      <c r="E3269" s="16">
        <v>2016.0</v>
      </c>
      <c r="F3269" s="16">
        <v>49.695</v>
      </c>
      <c r="G3269" s="16">
        <v>7.7861</v>
      </c>
      <c r="H3269" s="15"/>
      <c r="I3269" s="15"/>
    </row>
    <row r="3270">
      <c r="A3270" s="18">
        <v>45665.0</v>
      </c>
      <c r="B3270" s="16" t="s">
        <v>4103</v>
      </c>
      <c r="C3270" s="16" t="s">
        <v>951</v>
      </c>
      <c r="D3270" s="16" t="s">
        <v>707</v>
      </c>
      <c r="E3270" s="16">
        <v>2016.0</v>
      </c>
      <c r="F3270" s="16">
        <v>51.009</v>
      </c>
      <c r="G3270" s="16">
        <v>11.9581</v>
      </c>
      <c r="H3270" s="15"/>
      <c r="I3270" s="15"/>
    </row>
    <row r="3271">
      <c r="A3271" s="18">
        <v>45665.0</v>
      </c>
      <c r="B3271" s="16" t="s">
        <v>4104</v>
      </c>
      <c r="C3271" s="16" t="s">
        <v>978</v>
      </c>
      <c r="D3271" s="16" t="s">
        <v>707</v>
      </c>
      <c r="E3271" s="16">
        <v>2016.0</v>
      </c>
      <c r="F3271" s="16">
        <v>50.8241</v>
      </c>
      <c r="G3271" s="16">
        <v>10.2669</v>
      </c>
      <c r="H3271" s="15"/>
      <c r="I3271" s="15"/>
    </row>
    <row r="3272">
      <c r="A3272" s="18">
        <v>45665.0</v>
      </c>
      <c r="B3272" s="16" t="s">
        <v>4105</v>
      </c>
      <c r="C3272" s="16" t="s">
        <v>1167</v>
      </c>
      <c r="D3272" s="16" t="s">
        <v>707</v>
      </c>
      <c r="E3272" s="16">
        <v>2016.0</v>
      </c>
      <c r="F3272" s="16">
        <v>51.7295</v>
      </c>
      <c r="G3272" s="16">
        <v>11.259</v>
      </c>
      <c r="H3272" s="15"/>
      <c r="I3272" s="15"/>
    </row>
    <row r="3273">
      <c r="A3273" s="18">
        <v>45665.0</v>
      </c>
      <c r="B3273" s="16" t="s">
        <v>4106</v>
      </c>
      <c r="C3273" s="16">
        <v>10.0</v>
      </c>
      <c r="D3273" s="16" t="s">
        <v>707</v>
      </c>
      <c r="E3273" s="16">
        <v>2016.0</v>
      </c>
      <c r="F3273" s="16">
        <v>54.3413</v>
      </c>
      <c r="G3273" s="16">
        <v>12.7182</v>
      </c>
      <c r="H3273" s="15"/>
      <c r="I3273" s="15"/>
    </row>
    <row r="3274">
      <c r="A3274" s="18">
        <v>45665.0</v>
      </c>
      <c r="B3274" s="16" t="s">
        <v>4107</v>
      </c>
      <c r="C3274" s="16" t="s">
        <v>961</v>
      </c>
      <c r="D3274" s="16" t="s">
        <v>707</v>
      </c>
      <c r="E3274" s="16">
        <v>2016.0</v>
      </c>
      <c r="F3274" s="16">
        <v>51.2925</v>
      </c>
      <c r="G3274" s="16">
        <v>11.094</v>
      </c>
      <c r="H3274" s="15"/>
      <c r="I3274" s="15"/>
    </row>
    <row r="3275">
      <c r="A3275" s="18">
        <v>45665.0</v>
      </c>
      <c r="B3275" s="16" t="s">
        <v>4108</v>
      </c>
      <c r="C3275" s="16">
        <v>2.0</v>
      </c>
      <c r="D3275" s="16" t="s">
        <v>707</v>
      </c>
      <c r="E3275" s="16">
        <v>2016.0</v>
      </c>
      <c r="F3275" s="16">
        <v>50.2647</v>
      </c>
      <c r="G3275" s="16">
        <v>10.9989</v>
      </c>
      <c r="H3275" s="15"/>
      <c r="I3275" s="15"/>
    </row>
    <row r="3276">
      <c r="A3276" s="18">
        <v>45665.0</v>
      </c>
      <c r="B3276" s="16" t="s">
        <v>4109</v>
      </c>
      <c r="C3276" s="16" t="s">
        <v>942</v>
      </c>
      <c r="D3276" s="16" t="s">
        <v>707</v>
      </c>
      <c r="E3276" s="16">
        <v>2016.0</v>
      </c>
      <c r="F3276" s="16">
        <v>50.3259</v>
      </c>
      <c r="G3276" s="16">
        <v>8.5066</v>
      </c>
      <c r="H3276" s="15"/>
      <c r="I3276" s="15"/>
    </row>
    <row r="3277">
      <c r="A3277" s="18">
        <v>45665.0</v>
      </c>
      <c r="B3277" s="16" t="s">
        <v>4110</v>
      </c>
      <c r="C3277" s="16">
        <v>2.0</v>
      </c>
      <c r="D3277" s="16" t="s">
        <v>707</v>
      </c>
      <c r="E3277" s="16">
        <v>2016.0</v>
      </c>
      <c r="F3277" s="16">
        <v>49.8577</v>
      </c>
      <c r="G3277" s="16">
        <v>7.8856</v>
      </c>
      <c r="H3277" s="15"/>
      <c r="I3277" s="15"/>
    </row>
    <row r="3278">
      <c r="A3278" s="18">
        <v>45665.0</v>
      </c>
      <c r="B3278" s="16" t="s">
        <v>4111</v>
      </c>
      <c r="C3278" s="16" t="s">
        <v>961</v>
      </c>
      <c r="D3278" s="16" t="s">
        <v>707</v>
      </c>
      <c r="E3278" s="16">
        <v>2016.0</v>
      </c>
      <c r="F3278" s="16">
        <v>49.9255</v>
      </c>
      <c r="G3278" s="16">
        <v>10.8904</v>
      </c>
      <c r="H3278" s="15"/>
      <c r="I3278" s="15"/>
    </row>
    <row r="3279">
      <c r="A3279" s="18">
        <v>45665.0</v>
      </c>
      <c r="B3279" s="16" t="s">
        <v>4112</v>
      </c>
      <c r="C3279" s="16" t="s">
        <v>1059</v>
      </c>
      <c r="D3279" s="16" t="s">
        <v>707</v>
      </c>
      <c r="E3279" s="16">
        <v>2016.0</v>
      </c>
      <c r="F3279" s="16">
        <v>49.3325</v>
      </c>
      <c r="G3279" s="16">
        <v>7.3026</v>
      </c>
      <c r="H3279" s="15"/>
      <c r="I3279" s="15"/>
    </row>
    <row r="3280">
      <c r="A3280" s="18">
        <v>45665.0</v>
      </c>
      <c r="B3280" s="16" t="s">
        <v>4113</v>
      </c>
      <c r="C3280" s="16">
        <v>2.0</v>
      </c>
      <c r="D3280" s="16" t="s">
        <v>707</v>
      </c>
      <c r="E3280" s="16">
        <v>2016.0</v>
      </c>
      <c r="F3280" s="16">
        <v>52.5204</v>
      </c>
      <c r="G3280" s="16">
        <v>14.1477</v>
      </c>
      <c r="H3280" s="15"/>
      <c r="I3280" s="15"/>
    </row>
    <row r="3281">
      <c r="A3281" s="18">
        <v>45665.0</v>
      </c>
      <c r="B3281" s="16" t="s">
        <v>4114</v>
      </c>
      <c r="C3281" s="16" t="s">
        <v>1090</v>
      </c>
      <c r="D3281" s="16" t="s">
        <v>707</v>
      </c>
      <c r="E3281" s="16">
        <v>2016.0</v>
      </c>
      <c r="F3281" s="16">
        <v>52.3781</v>
      </c>
      <c r="G3281" s="16">
        <v>12.6255</v>
      </c>
      <c r="H3281" s="15"/>
      <c r="I3281" s="15"/>
    </row>
    <row r="3282">
      <c r="A3282" s="18">
        <v>45665.0</v>
      </c>
      <c r="B3282" s="16" t="s">
        <v>4115</v>
      </c>
      <c r="C3282" s="16" t="s">
        <v>961</v>
      </c>
      <c r="D3282" s="16" t="s">
        <v>707</v>
      </c>
      <c r="E3282" s="16">
        <v>2016.0</v>
      </c>
      <c r="F3282" s="16">
        <v>52.1243</v>
      </c>
      <c r="G3282" s="16">
        <v>11.1959</v>
      </c>
      <c r="H3282" s="15"/>
      <c r="I3282" s="15"/>
    </row>
    <row r="3283">
      <c r="A3283" s="18">
        <v>45665.0</v>
      </c>
      <c r="B3283" s="16" t="s">
        <v>4116</v>
      </c>
      <c r="C3283" s="16" t="s">
        <v>1002</v>
      </c>
      <c r="D3283" s="16" t="s">
        <v>707</v>
      </c>
      <c r="E3283" s="16">
        <v>2016.0</v>
      </c>
      <c r="F3283" s="16">
        <v>51.3322</v>
      </c>
      <c r="G3283" s="16">
        <v>13.3704</v>
      </c>
      <c r="H3283" s="15"/>
      <c r="I3283" s="15"/>
    </row>
    <row r="3284">
      <c r="A3284" s="18">
        <v>45665.0</v>
      </c>
      <c r="B3284" s="16" t="s">
        <v>4117</v>
      </c>
      <c r="C3284" s="16" t="s">
        <v>1101</v>
      </c>
      <c r="D3284" s="16" t="s">
        <v>707</v>
      </c>
      <c r="E3284" s="16">
        <v>2016.0</v>
      </c>
      <c r="F3284" s="16">
        <v>54.0279</v>
      </c>
      <c r="G3284" s="16">
        <v>9.4789</v>
      </c>
      <c r="H3284" s="15"/>
      <c r="I3284" s="15"/>
    </row>
    <row r="3285">
      <c r="A3285" s="18">
        <v>45665.0</v>
      </c>
      <c r="B3285" s="16" t="s">
        <v>4118</v>
      </c>
      <c r="C3285" s="16" t="s">
        <v>1046</v>
      </c>
      <c r="D3285" s="16" t="s">
        <v>707</v>
      </c>
      <c r="E3285" s="16">
        <v>2016.0</v>
      </c>
      <c r="F3285" s="16">
        <v>49.8715</v>
      </c>
      <c r="G3285" s="16">
        <v>6.8213</v>
      </c>
      <c r="H3285" s="15"/>
      <c r="I3285" s="15"/>
    </row>
    <row r="3286">
      <c r="A3286" s="18">
        <v>45665.0</v>
      </c>
      <c r="B3286" s="16" t="s">
        <v>4119</v>
      </c>
      <c r="C3286" s="16" t="s">
        <v>1771</v>
      </c>
      <c r="D3286" s="16" t="s">
        <v>707</v>
      </c>
      <c r="E3286" s="16">
        <v>2016.0</v>
      </c>
      <c r="F3286" s="16">
        <v>51.0374</v>
      </c>
      <c r="G3286" s="16">
        <v>11.6295</v>
      </c>
      <c r="H3286" s="15"/>
      <c r="I3286" s="15"/>
    </row>
    <row r="3287">
      <c r="A3287" s="18">
        <v>45665.0</v>
      </c>
      <c r="B3287" s="16" t="s">
        <v>4120</v>
      </c>
      <c r="C3287" s="16" t="s">
        <v>1007</v>
      </c>
      <c r="D3287" s="16" t="s">
        <v>707</v>
      </c>
      <c r="E3287" s="16">
        <v>2016.0</v>
      </c>
      <c r="F3287" s="16">
        <v>51.5681</v>
      </c>
      <c r="G3287" s="16">
        <v>7.5473</v>
      </c>
      <c r="H3287" s="15"/>
      <c r="I3287" s="15"/>
    </row>
    <row r="3288">
      <c r="A3288" s="18">
        <v>45665.0</v>
      </c>
      <c r="B3288" s="16" t="s">
        <v>4121</v>
      </c>
      <c r="C3288" s="16" t="s">
        <v>1358</v>
      </c>
      <c r="D3288" s="16" t="s">
        <v>707</v>
      </c>
      <c r="E3288" s="16">
        <v>2016.0</v>
      </c>
      <c r="F3288" s="16">
        <v>51.916</v>
      </c>
      <c r="G3288" s="16">
        <v>11.402</v>
      </c>
      <c r="H3288" s="15"/>
      <c r="I3288" s="15"/>
    </row>
    <row r="3289">
      <c r="A3289" s="18">
        <v>45665.0</v>
      </c>
      <c r="B3289" s="16" t="s">
        <v>4122</v>
      </c>
      <c r="C3289" s="16" t="s">
        <v>942</v>
      </c>
      <c r="D3289" s="16" t="s">
        <v>707</v>
      </c>
      <c r="E3289" s="16">
        <v>2016.0</v>
      </c>
      <c r="F3289" s="16">
        <v>50.9912</v>
      </c>
      <c r="G3289" s="16">
        <v>10.3457</v>
      </c>
      <c r="H3289" s="15"/>
      <c r="I3289" s="15"/>
    </row>
    <row r="3290">
      <c r="A3290" s="18">
        <v>45665.0</v>
      </c>
      <c r="B3290" s="16" t="s">
        <v>4123</v>
      </c>
      <c r="C3290" s="16">
        <v>2.0</v>
      </c>
      <c r="D3290" s="16" t="s">
        <v>707</v>
      </c>
      <c r="E3290" s="16">
        <v>2016.0</v>
      </c>
      <c r="F3290" s="16">
        <v>53.8666</v>
      </c>
      <c r="G3290" s="16">
        <v>13.6918</v>
      </c>
      <c r="H3290" s="15"/>
      <c r="I3290" s="15"/>
    </row>
    <row r="3291">
      <c r="A3291" s="18">
        <v>45665.0</v>
      </c>
      <c r="B3291" s="16" t="s">
        <v>4124</v>
      </c>
      <c r="C3291" s="16" t="s">
        <v>978</v>
      </c>
      <c r="D3291" s="16" t="s">
        <v>707</v>
      </c>
      <c r="E3291" s="16">
        <v>2016.0</v>
      </c>
      <c r="F3291" s="16">
        <v>53.8667</v>
      </c>
      <c r="G3291" s="16">
        <v>13.6919</v>
      </c>
      <c r="H3291" s="15"/>
      <c r="I3291" s="15"/>
    </row>
    <row r="3292">
      <c r="A3292" s="18">
        <v>45665.0</v>
      </c>
      <c r="B3292" s="16" t="s">
        <v>4125</v>
      </c>
      <c r="C3292" s="16" t="s">
        <v>1167</v>
      </c>
      <c r="D3292" s="16" t="s">
        <v>707</v>
      </c>
      <c r="E3292" s="16">
        <v>2016.0</v>
      </c>
      <c r="F3292" s="16">
        <v>51.084</v>
      </c>
      <c r="G3292" s="16">
        <v>6.715</v>
      </c>
      <c r="H3292" s="15"/>
      <c r="I3292" s="15"/>
    </row>
    <row r="3293">
      <c r="A3293" s="18">
        <v>45665.0</v>
      </c>
      <c r="B3293" s="16" t="s">
        <v>4126</v>
      </c>
      <c r="C3293" s="16">
        <v>2.0</v>
      </c>
      <c r="D3293" s="16" t="s">
        <v>707</v>
      </c>
      <c r="E3293" s="16">
        <v>2016.0</v>
      </c>
      <c r="F3293" s="16">
        <v>52.8266</v>
      </c>
      <c r="G3293" s="16">
        <v>9.6912</v>
      </c>
      <c r="H3293" s="15"/>
      <c r="I3293" s="15"/>
    </row>
    <row r="3294">
      <c r="A3294" s="18">
        <v>45665.0</v>
      </c>
      <c r="B3294" s="16" t="s">
        <v>4127</v>
      </c>
      <c r="C3294" s="16" t="s">
        <v>961</v>
      </c>
      <c r="D3294" s="16" t="s">
        <v>707</v>
      </c>
      <c r="E3294" s="16">
        <v>2016.0</v>
      </c>
      <c r="F3294" s="16">
        <v>52.57</v>
      </c>
      <c r="G3294" s="16">
        <v>13.1058</v>
      </c>
      <c r="H3294" s="15"/>
      <c r="I3294" s="15"/>
    </row>
    <row r="3295">
      <c r="A3295" s="18">
        <v>45665.0</v>
      </c>
      <c r="B3295" s="16" t="s">
        <v>4128</v>
      </c>
      <c r="C3295" s="16" t="s">
        <v>1007</v>
      </c>
      <c r="D3295" s="16" t="s">
        <v>707</v>
      </c>
      <c r="E3295" s="16">
        <v>2016.0</v>
      </c>
      <c r="F3295" s="16">
        <v>48.6529</v>
      </c>
      <c r="G3295" s="16">
        <v>11.7592</v>
      </c>
      <c r="H3295" s="15"/>
      <c r="I3295" s="15"/>
    </row>
    <row r="3296">
      <c r="A3296" s="18">
        <v>45665.0</v>
      </c>
      <c r="B3296" s="16" t="s">
        <v>4129</v>
      </c>
      <c r="C3296" s="16">
        <v>5.0</v>
      </c>
      <c r="D3296" s="16" t="s">
        <v>707</v>
      </c>
      <c r="E3296" s="16">
        <v>2016.0</v>
      </c>
      <c r="F3296" s="16">
        <v>52.3845</v>
      </c>
      <c r="G3296" s="16">
        <v>14.092</v>
      </c>
      <c r="H3296" s="15"/>
      <c r="I3296" s="15"/>
    </row>
    <row r="3297">
      <c r="A3297" s="18">
        <v>45665.0</v>
      </c>
      <c r="B3297" s="16" t="s">
        <v>4130</v>
      </c>
      <c r="C3297" s="16" t="s">
        <v>1436</v>
      </c>
      <c r="D3297" s="16" t="s">
        <v>707</v>
      </c>
      <c r="E3297" s="16">
        <v>2016.0</v>
      </c>
      <c r="F3297" s="16">
        <v>52.3833</v>
      </c>
      <c r="G3297" s="16">
        <v>14.0916</v>
      </c>
      <c r="H3297" s="15"/>
      <c r="I3297" s="15"/>
    </row>
    <row r="3298">
      <c r="A3298" s="18">
        <v>45665.0</v>
      </c>
      <c r="B3298" s="16" t="s">
        <v>4131</v>
      </c>
      <c r="C3298" s="16" t="s">
        <v>951</v>
      </c>
      <c r="D3298" s="16" t="s">
        <v>707</v>
      </c>
      <c r="E3298" s="16">
        <v>2016.0</v>
      </c>
      <c r="F3298" s="16">
        <v>53.586</v>
      </c>
      <c r="G3298" s="16">
        <v>12.086</v>
      </c>
      <c r="H3298" s="15"/>
      <c r="I3298" s="15"/>
    </row>
    <row r="3299">
      <c r="A3299" s="18">
        <v>45665.0</v>
      </c>
      <c r="B3299" s="16" t="s">
        <v>4132</v>
      </c>
      <c r="C3299" s="16" t="s">
        <v>1099</v>
      </c>
      <c r="D3299" s="16" t="s">
        <v>707</v>
      </c>
      <c r="E3299" s="16">
        <v>2016.0</v>
      </c>
      <c r="F3299" s="16">
        <v>51.7803</v>
      </c>
      <c r="G3299" s="16">
        <v>13.2153</v>
      </c>
      <c r="H3299" s="15"/>
      <c r="I3299" s="15"/>
    </row>
    <row r="3300">
      <c r="A3300" s="18">
        <v>45665.0</v>
      </c>
      <c r="B3300" s="16" t="s">
        <v>4133</v>
      </c>
      <c r="C3300" s="16" t="s">
        <v>1080</v>
      </c>
      <c r="D3300" s="16" t="s">
        <v>707</v>
      </c>
      <c r="E3300" s="16">
        <v>2016.0</v>
      </c>
      <c r="F3300" s="16">
        <v>52.5819</v>
      </c>
      <c r="G3300" s="16">
        <v>12.7776</v>
      </c>
      <c r="H3300" s="15"/>
      <c r="I3300" s="15"/>
    </row>
    <row r="3301">
      <c r="A3301" s="18">
        <v>45665.0</v>
      </c>
      <c r="B3301" s="16" t="s">
        <v>4134</v>
      </c>
      <c r="C3301" s="16" t="s">
        <v>1055</v>
      </c>
      <c r="D3301" s="16" t="s">
        <v>707</v>
      </c>
      <c r="E3301" s="16">
        <v>2016.0</v>
      </c>
      <c r="F3301" s="16">
        <v>51.295</v>
      </c>
      <c r="G3301" s="16">
        <v>13.554</v>
      </c>
      <c r="H3301" s="15"/>
      <c r="I3301" s="15"/>
    </row>
    <row r="3302">
      <c r="A3302" s="18">
        <v>45665.0</v>
      </c>
      <c r="B3302" s="16" t="s">
        <v>4135</v>
      </c>
      <c r="C3302" s="16" t="s">
        <v>1090</v>
      </c>
      <c r="D3302" s="16" t="s">
        <v>707</v>
      </c>
      <c r="E3302" s="16">
        <v>2016.0</v>
      </c>
      <c r="F3302" s="16">
        <v>52.5325</v>
      </c>
      <c r="G3302" s="16">
        <v>14.0955</v>
      </c>
      <c r="H3302" s="15"/>
      <c r="I3302" s="15"/>
    </row>
    <row r="3303">
      <c r="A3303" s="18">
        <v>45665.0</v>
      </c>
      <c r="B3303" s="16" t="s">
        <v>4136</v>
      </c>
      <c r="C3303" s="16" t="s">
        <v>1059</v>
      </c>
      <c r="D3303" s="16" t="s">
        <v>707</v>
      </c>
      <c r="E3303" s="16">
        <v>2016.0</v>
      </c>
      <c r="F3303" s="16">
        <v>51.9518</v>
      </c>
      <c r="G3303" s="16">
        <v>8.9391</v>
      </c>
      <c r="H3303" s="15"/>
      <c r="I3303" s="15"/>
    </row>
    <row r="3304">
      <c r="A3304" s="18">
        <v>45665.0</v>
      </c>
      <c r="B3304" s="16" t="s">
        <v>4137</v>
      </c>
      <c r="C3304" s="16" t="s">
        <v>1011</v>
      </c>
      <c r="D3304" s="16" t="s">
        <v>707</v>
      </c>
      <c r="E3304" s="16">
        <v>2016.0</v>
      </c>
      <c r="F3304" s="16">
        <v>51.9518</v>
      </c>
      <c r="G3304" s="16">
        <v>8.9391</v>
      </c>
      <c r="H3304" s="15"/>
      <c r="I3304" s="15"/>
    </row>
    <row r="3305">
      <c r="A3305" s="18">
        <v>45665.0</v>
      </c>
      <c r="B3305" s="16" t="s">
        <v>4138</v>
      </c>
      <c r="C3305" s="16" t="s">
        <v>961</v>
      </c>
      <c r="D3305" s="16" t="s">
        <v>707</v>
      </c>
      <c r="E3305" s="16">
        <v>2016.0</v>
      </c>
      <c r="F3305" s="16">
        <v>52.5022</v>
      </c>
      <c r="G3305" s="16">
        <v>13.8427</v>
      </c>
      <c r="H3305" s="15"/>
      <c r="I3305" s="15"/>
    </row>
    <row r="3306">
      <c r="A3306" s="18">
        <v>45665.0</v>
      </c>
      <c r="B3306" s="16" t="s">
        <v>4139</v>
      </c>
      <c r="C3306" s="16" t="s">
        <v>1011</v>
      </c>
      <c r="D3306" s="16" t="s">
        <v>707</v>
      </c>
      <c r="E3306" s="16">
        <v>2016.0</v>
      </c>
      <c r="F3306" s="16">
        <v>50.8901</v>
      </c>
      <c r="G3306" s="16">
        <v>6.0875</v>
      </c>
      <c r="H3306" s="15"/>
      <c r="I3306" s="15"/>
    </row>
    <row r="3307">
      <c r="A3307" s="18">
        <v>45665.0</v>
      </c>
      <c r="B3307" s="16" t="s">
        <v>4140</v>
      </c>
      <c r="C3307" s="16" t="s">
        <v>946</v>
      </c>
      <c r="D3307" s="16" t="s">
        <v>707</v>
      </c>
      <c r="E3307" s="16">
        <v>2016.0</v>
      </c>
      <c r="F3307" s="16">
        <v>51.9783</v>
      </c>
      <c r="G3307" s="16">
        <v>9.7464</v>
      </c>
      <c r="H3307" s="15"/>
      <c r="I3307" s="15"/>
    </row>
    <row r="3308">
      <c r="A3308" s="18">
        <v>45665.0</v>
      </c>
      <c r="B3308" s="16" t="s">
        <v>4141</v>
      </c>
      <c r="C3308" s="16">
        <v>2.0</v>
      </c>
      <c r="D3308" s="16" t="s">
        <v>707</v>
      </c>
      <c r="E3308" s="16">
        <v>2016.0</v>
      </c>
      <c r="F3308" s="16">
        <v>51.4338</v>
      </c>
      <c r="G3308" s="16">
        <v>14.2846</v>
      </c>
      <c r="H3308" s="15"/>
      <c r="I3308" s="15"/>
    </row>
    <row r="3309">
      <c r="A3309" s="18">
        <v>45665.0</v>
      </c>
      <c r="B3309" s="16" t="s">
        <v>4142</v>
      </c>
      <c r="C3309" s="16">
        <v>2.0</v>
      </c>
      <c r="D3309" s="16" t="s">
        <v>707</v>
      </c>
      <c r="E3309" s="16">
        <v>2016.0</v>
      </c>
      <c r="F3309" s="16">
        <v>51.4316</v>
      </c>
      <c r="G3309" s="16">
        <v>14.2801</v>
      </c>
      <c r="H3309" s="15"/>
      <c r="I3309" s="15"/>
    </row>
    <row r="3310">
      <c r="A3310" s="18">
        <v>45665.0</v>
      </c>
      <c r="B3310" s="16" t="s">
        <v>4143</v>
      </c>
      <c r="C3310" s="16" t="s">
        <v>959</v>
      </c>
      <c r="D3310" s="16" t="s">
        <v>707</v>
      </c>
      <c r="E3310" s="16">
        <v>2016.0</v>
      </c>
      <c r="F3310" s="16">
        <v>50.9162</v>
      </c>
      <c r="G3310" s="16">
        <v>10.5481</v>
      </c>
      <c r="H3310" s="15"/>
      <c r="I3310" s="15"/>
    </row>
    <row r="3311">
      <c r="A3311" s="18">
        <v>45665.0</v>
      </c>
      <c r="B3311" s="16" t="s">
        <v>4144</v>
      </c>
      <c r="C3311" s="16" t="s">
        <v>1055</v>
      </c>
      <c r="D3311" s="16" t="s">
        <v>707</v>
      </c>
      <c r="E3311" s="16">
        <v>2016.0</v>
      </c>
      <c r="F3311" s="16">
        <v>51.236</v>
      </c>
      <c r="G3311" s="16">
        <v>14.9039</v>
      </c>
      <c r="H3311" s="15"/>
      <c r="I3311" s="15"/>
    </row>
    <row r="3312">
      <c r="A3312" s="18">
        <v>45665.0</v>
      </c>
      <c r="B3312" s="16" t="s">
        <v>4145</v>
      </c>
      <c r="C3312" s="16" t="s">
        <v>1751</v>
      </c>
      <c r="D3312" s="16" t="s">
        <v>707</v>
      </c>
      <c r="E3312" s="16">
        <v>2016.0</v>
      </c>
      <c r="F3312" s="16">
        <v>53.6767</v>
      </c>
      <c r="G3312" s="16">
        <v>12.2619</v>
      </c>
      <c r="H3312" s="15"/>
      <c r="I3312" s="15"/>
    </row>
    <row r="3313">
      <c r="A3313" s="18">
        <v>45665.0</v>
      </c>
      <c r="B3313" s="16" t="s">
        <v>4146</v>
      </c>
      <c r="C3313" s="16" t="s">
        <v>1059</v>
      </c>
      <c r="D3313" s="16" t="s">
        <v>707</v>
      </c>
      <c r="E3313" s="16">
        <v>2016.0</v>
      </c>
      <c r="F3313" s="16">
        <v>51.8416</v>
      </c>
      <c r="G3313" s="16">
        <v>13.6413</v>
      </c>
      <c r="H3313" s="15"/>
      <c r="I3313" s="15"/>
    </row>
    <row r="3314">
      <c r="A3314" s="18">
        <v>45665.0</v>
      </c>
      <c r="B3314" s="16" t="s">
        <v>4147</v>
      </c>
      <c r="C3314" s="16" t="s">
        <v>1055</v>
      </c>
      <c r="D3314" s="16" t="s">
        <v>707</v>
      </c>
      <c r="E3314" s="16">
        <v>2016.0</v>
      </c>
      <c r="F3314" s="16">
        <v>51.3988</v>
      </c>
      <c r="G3314" s="16">
        <v>12.3914</v>
      </c>
      <c r="H3314" s="15"/>
      <c r="I3314" s="15"/>
    </row>
    <row r="3315">
      <c r="A3315" s="18">
        <v>45665.0</v>
      </c>
      <c r="B3315" s="16" t="s">
        <v>4148</v>
      </c>
      <c r="C3315" s="16" t="s">
        <v>1167</v>
      </c>
      <c r="D3315" s="16" t="s">
        <v>707</v>
      </c>
      <c r="E3315" s="16">
        <v>2016.0</v>
      </c>
      <c r="F3315" s="16">
        <v>53.5951</v>
      </c>
      <c r="G3315" s="16">
        <v>8.8551</v>
      </c>
      <c r="H3315" s="15"/>
      <c r="I3315" s="15"/>
    </row>
    <row r="3316">
      <c r="A3316" s="18">
        <v>45665.0</v>
      </c>
      <c r="B3316" s="16" t="s">
        <v>4149</v>
      </c>
      <c r="C3316" s="16" t="s">
        <v>946</v>
      </c>
      <c r="D3316" s="16" t="s">
        <v>707</v>
      </c>
      <c r="E3316" s="16">
        <v>2016.0</v>
      </c>
      <c r="F3316" s="16">
        <v>52.315</v>
      </c>
      <c r="G3316" s="16">
        <v>13.2949</v>
      </c>
      <c r="H3316" s="15"/>
      <c r="I3316" s="15"/>
    </row>
    <row r="3317">
      <c r="A3317" s="18">
        <v>45665.0</v>
      </c>
      <c r="B3317" s="16" t="s">
        <v>4150</v>
      </c>
      <c r="C3317" s="16" t="s">
        <v>969</v>
      </c>
      <c r="D3317" s="16" t="s">
        <v>707</v>
      </c>
      <c r="E3317" s="16">
        <v>2016.0</v>
      </c>
      <c r="F3317" s="16">
        <v>51.5499</v>
      </c>
      <c r="G3317" s="16">
        <v>13.2102</v>
      </c>
      <c r="H3317" s="15"/>
      <c r="I3317" s="15"/>
    </row>
    <row r="3318">
      <c r="A3318" s="18">
        <v>45665.0</v>
      </c>
      <c r="B3318" s="16" t="s">
        <v>4151</v>
      </c>
      <c r="C3318" s="16" t="s">
        <v>1101</v>
      </c>
      <c r="D3318" s="16" t="s">
        <v>707</v>
      </c>
      <c r="E3318" s="16">
        <v>2016.0</v>
      </c>
      <c r="F3318" s="16">
        <v>53.7005</v>
      </c>
      <c r="G3318" s="16">
        <v>12.76</v>
      </c>
      <c r="H3318" s="15"/>
      <c r="I3318" s="15"/>
    </row>
    <row r="3319">
      <c r="A3319" s="18">
        <v>45665.0</v>
      </c>
      <c r="B3319" s="16" t="s">
        <v>4152</v>
      </c>
      <c r="C3319" s="16" t="s">
        <v>946</v>
      </c>
      <c r="D3319" s="16" t="s">
        <v>707</v>
      </c>
      <c r="E3319" s="16">
        <v>2016.0</v>
      </c>
      <c r="F3319" s="16">
        <v>52.2649</v>
      </c>
      <c r="G3319" s="16">
        <v>11.4946</v>
      </c>
      <c r="H3319" s="15"/>
      <c r="I3319" s="15"/>
    </row>
    <row r="3320">
      <c r="A3320" s="18">
        <v>45665.0</v>
      </c>
      <c r="B3320" s="16" t="s">
        <v>4153</v>
      </c>
      <c r="C3320" s="16" t="s">
        <v>969</v>
      </c>
      <c r="D3320" s="16" t="s">
        <v>707</v>
      </c>
      <c r="E3320" s="16">
        <v>2016.0</v>
      </c>
      <c r="F3320" s="16">
        <v>52.5007</v>
      </c>
      <c r="G3320" s="16">
        <v>11.8277</v>
      </c>
      <c r="H3320" s="15"/>
      <c r="I3320" s="15"/>
    </row>
    <row r="3321">
      <c r="A3321" s="18">
        <v>45665.0</v>
      </c>
      <c r="B3321" s="16" t="s">
        <v>4154</v>
      </c>
      <c r="C3321" s="16" t="s">
        <v>1051</v>
      </c>
      <c r="D3321" s="16" t="s">
        <v>707</v>
      </c>
      <c r="E3321" s="16">
        <v>2016.0</v>
      </c>
      <c r="F3321" s="16">
        <v>51.1545</v>
      </c>
      <c r="G3321" s="16">
        <v>10.5817</v>
      </c>
      <c r="H3321" s="15"/>
      <c r="I3321" s="15"/>
    </row>
    <row r="3322">
      <c r="A3322" s="18">
        <v>45665.0</v>
      </c>
      <c r="B3322" s="16" t="s">
        <v>4155</v>
      </c>
      <c r="C3322" s="16" t="s">
        <v>959</v>
      </c>
      <c r="D3322" s="16" t="s">
        <v>707</v>
      </c>
      <c r="E3322" s="16">
        <v>2016.0</v>
      </c>
      <c r="F3322" s="16">
        <v>52.2252</v>
      </c>
      <c r="G3322" s="16">
        <v>14.5974</v>
      </c>
      <c r="H3322" s="15"/>
      <c r="I3322" s="15"/>
    </row>
    <row r="3323">
      <c r="A3323" s="18">
        <v>45665.0</v>
      </c>
      <c r="B3323" s="16" t="s">
        <v>4156</v>
      </c>
      <c r="C3323" s="16" t="s">
        <v>1085</v>
      </c>
      <c r="D3323" s="16" t="s">
        <v>707</v>
      </c>
      <c r="E3323" s="16">
        <v>2016.0</v>
      </c>
      <c r="F3323" s="16">
        <v>53.4654</v>
      </c>
      <c r="G3323" s="16">
        <v>14.2031</v>
      </c>
      <c r="H3323" s="15"/>
      <c r="I3323" s="15"/>
    </row>
    <row r="3324">
      <c r="A3324" s="18">
        <v>45665.0</v>
      </c>
      <c r="B3324" s="16" t="s">
        <v>4157</v>
      </c>
      <c r="C3324" s="16" t="s">
        <v>942</v>
      </c>
      <c r="D3324" s="16" t="s">
        <v>707</v>
      </c>
      <c r="E3324" s="16">
        <v>2016.0</v>
      </c>
      <c r="F3324" s="16">
        <v>52.0931</v>
      </c>
      <c r="G3324" s="16">
        <v>14.3581</v>
      </c>
      <c r="H3324" s="15"/>
      <c r="I3324" s="15"/>
    </row>
    <row r="3325">
      <c r="A3325" s="18">
        <v>45665.0</v>
      </c>
      <c r="B3325" s="16" t="s">
        <v>4158</v>
      </c>
      <c r="C3325" s="16" t="s">
        <v>1034</v>
      </c>
      <c r="D3325" s="16" t="s">
        <v>707</v>
      </c>
      <c r="E3325" s="16">
        <v>2016.0</v>
      </c>
      <c r="F3325" s="16">
        <v>52.6502</v>
      </c>
      <c r="G3325" s="16">
        <v>13.3901</v>
      </c>
      <c r="H3325" s="15"/>
      <c r="I3325" s="15"/>
    </row>
    <row r="3326">
      <c r="A3326" s="18">
        <v>45665.0</v>
      </c>
      <c r="B3326" s="16" t="s">
        <v>4159</v>
      </c>
      <c r="C3326" s="16" t="s">
        <v>1101</v>
      </c>
      <c r="D3326" s="16" t="s">
        <v>707</v>
      </c>
      <c r="E3326" s="16">
        <v>2016.0</v>
      </c>
      <c r="F3326" s="16">
        <v>52.6599</v>
      </c>
      <c r="G3326" s="16">
        <v>12.8106</v>
      </c>
      <c r="H3326" s="15"/>
      <c r="I3326" s="15"/>
    </row>
    <row r="3327">
      <c r="A3327" s="18">
        <v>45665.0</v>
      </c>
      <c r="B3327" s="16" t="s">
        <v>4160</v>
      </c>
      <c r="C3327" s="16" t="s">
        <v>946</v>
      </c>
      <c r="D3327" s="16" t="s">
        <v>707</v>
      </c>
      <c r="E3327" s="16">
        <v>2016.0</v>
      </c>
      <c r="F3327" s="16">
        <v>51.0718</v>
      </c>
      <c r="G3327" s="16">
        <v>11.606</v>
      </c>
      <c r="H3327" s="15"/>
      <c r="I3327" s="15"/>
    </row>
    <row r="3328">
      <c r="A3328" s="18">
        <v>45665.0</v>
      </c>
      <c r="B3328" s="16" t="s">
        <v>4161</v>
      </c>
      <c r="C3328" s="16" t="s">
        <v>1059</v>
      </c>
      <c r="D3328" s="16" t="s">
        <v>707</v>
      </c>
      <c r="E3328" s="16">
        <v>2016.0</v>
      </c>
      <c r="F3328" s="16">
        <v>50.6627</v>
      </c>
      <c r="G3328" s="16">
        <v>11.4611</v>
      </c>
      <c r="H3328" s="15"/>
      <c r="I3328" s="15"/>
    </row>
    <row r="3329">
      <c r="A3329" s="18">
        <v>45665.0</v>
      </c>
      <c r="B3329" s="16" t="s">
        <v>4162</v>
      </c>
      <c r="C3329" s="16" t="s">
        <v>946</v>
      </c>
      <c r="D3329" s="16" t="s">
        <v>707</v>
      </c>
      <c r="E3329" s="16">
        <v>2016.0</v>
      </c>
      <c r="F3329" s="16">
        <v>51.3852</v>
      </c>
      <c r="G3329" s="16">
        <v>11.6514</v>
      </c>
      <c r="H3329" s="15"/>
      <c r="I3329" s="15"/>
    </row>
    <row r="3330">
      <c r="A3330" s="18">
        <v>45665.0</v>
      </c>
      <c r="B3330" s="16" t="s">
        <v>4163</v>
      </c>
      <c r="C3330" s="16">
        <v>2.0</v>
      </c>
      <c r="D3330" s="16" t="s">
        <v>707</v>
      </c>
      <c r="E3330" s="16">
        <v>2016.0</v>
      </c>
      <c r="F3330" s="16">
        <v>52.5646</v>
      </c>
      <c r="G3330" s="16">
        <v>11.9718</v>
      </c>
      <c r="H3330" s="15"/>
      <c r="I3330" s="15"/>
    </row>
    <row r="3331">
      <c r="A3331" s="18">
        <v>45665.0</v>
      </c>
      <c r="B3331" s="16" t="s">
        <v>4164</v>
      </c>
      <c r="C3331" s="16" t="s">
        <v>948</v>
      </c>
      <c r="D3331" s="16" t="s">
        <v>707</v>
      </c>
      <c r="E3331" s="16">
        <v>2016.0</v>
      </c>
      <c r="F3331" s="16">
        <v>49.3617</v>
      </c>
      <c r="G3331" s="16">
        <v>7.2354</v>
      </c>
      <c r="H3331" s="15"/>
      <c r="I3331" s="15"/>
    </row>
    <row r="3332">
      <c r="A3332" s="18">
        <v>45665.0</v>
      </c>
      <c r="B3332" s="16" t="s">
        <v>4165</v>
      </c>
      <c r="C3332" s="16" t="s">
        <v>1037</v>
      </c>
      <c r="D3332" s="16" t="s">
        <v>707</v>
      </c>
      <c r="E3332" s="16">
        <v>2016.0</v>
      </c>
      <c r="F3332" s="16">
        <v>52.0922</v>
      </c>
      <c r="G3332" s="16">
        <v>14.6331</v>
      </c>
      <c r="H3332" s="15"/>
      <c r="I3332" s="15"/>
    </row>
    <row r="3333">
      <c r="A3333" s="18">
        <v>45665.0</v>
      </c>
      <c r="B3333" s="16" t="s">
        <v>4166</v>
      </c>
      <c r="C3333" s="16" t="s">
        <v>959</v>
      </c>
      <c r="D3333" s="16" t="s">
        <v>707</v>
      </c>
      <c r="E3333" s="16">
        <v>2016.0</v>
      </c>
      <c r="F3333" s="16">
        <v>52.0787</v>
      </c>
      <c r="G3333" s="16">
        <v>14.5491</v>
      </c>
      <c r="H3333" s="15"/>
      <c r="I3333" s="15"/>
    </row>
    <row r="3334">
      <c r="A3334" s="18">
        <v>45665.0</v>
      </c>
      <c r="B3334" s="16" t="s">
        <v>4167</v>
      </c>
      <c r="C3334" s="16" t="s">
        <v>2457</v>
      </c>
      <c r="D3334" s="16" t="s">
        <v>707</v>
      </c>
      <c r="E3334" s="16">
        <v>2016.0</v>
      </c>
      <c r="F3334" s="16">
        <v>51.8097</v>
      </c>
      <c r="G3334" s="16">
        <v>12.1207</v>
      </c>
      <c r="H3334" s="15"/>
      <c r="I3334" s="15"/>
    </row>
    <row r="3335">
      <c r="A3335" s="18">
        <v>45665.0</v>
      </c>
      <c r="B3335" s="16" t="s">
        <v>4168</v>
      </c>
      <c r="C3335" s="16" t="s">
        <v>1374</v>
      </c>
      <c r="D3335" s="16" t="s">
        <v>707</v>
      </c>
      <c r="E3335" s="16">
        <v>2016.0</v>
      </c>
      <c r="F3335" s="16">
        <v>48.4978</v>
      </c>
      <c r="G3335" s="16">
        <v>12.1257</v>
      </c>
      <c r="H3335" s="15"/>
      <c r="I3335" s="15"/>
    </row>
    <row r="3336">
      <c r="A3336" s="18">
        <v>45665.0</v>
      </c>
      <c r="B3336" s="16" t="s">
        <v>4169</v>
      </c>
      <c r="C3336" s="16" t="s">
        <v>946</v>
      </c>
      <c r="D3336" s="16" t="s">
        <v>707</v>
      </c>
      <c r="E3336" s="16">
        <v>2016.0</v>
      </c>
      <c r="F3336" s="16">
        <v>51.9522</v>
      </c>
      <c r="G3336" s="16">
        <v>8.9418</v>
      </c>
      <c r="H3336" s="15"/>
      <c r="I3336" s="15"/>
    </row>
    <row r="3337">
      <c r="A3337" s="18">
        <v>45665.0</v>
      </c>
      <c r="B3337" s="16" t="s">
        <v>4170</v>
      </c>
      <c r="C3337" s="16" t="s">
        <v>946</v>
      </c>
      <c r="D3337" s="16" t="s">
        <v>707</v>
      </c>
      <c r="E3337" s="16">
        <v>2016.0</v>
      </c>
      <c r="F3337" s="16">
        <v>51.406</v>
      </c>
      <c r="G3337" s="16">
        <v>8.5898</v>
      </c>
      <c r="H3337" s="15"/>
      <c r="I3337" s="15"/>
    </row>
    <row r="3338">
      <c r="A3338" s="18">
        <v>45665.0</v>
      </c>
      <c r="B3338" s="16" t="s">
        <v>4171</v>
      </c>
      <c r="C3338" s="16" t="s">
        <v>948</v>
      </c>
      <c r="D3338" s="16" t="s">
        <v>707</v>
      </c>
      <c r="E3338" s="16">
        <v>2016.0</v>
      </c>
      <c r="F3338" s="16">
        <v>50.9875</v>
      </c>
      <c r="G3338" s="16">
        <v>6.8152</v>
      </c>
      <c r="H3338" s="15"/>
      <c r="I3338" s="15"/>
    </row>
    <row r="3339">
      <c r="A3339" s="18">
        <v>45665.0</v>
      </c>
      <c r="B3339" s="16" t="s">
        <v>4172</v>
      </c>
      <c r="C3339" s="16" t="s">
        <v>951</v>
      </c>
      <c r="D3339" s="16" t="s">
        <v>707</v>
      </c>
      <c r="E3339" s="16">
        <v>2016.0</v>
      </c>
      <c r="F3339" s="16">
        <v>54.4144</v>
      </c>
      <c r="G3339" s="16">
        <v>9.6263</v>
      </c>
      <c r="H3339" s="15"/>
      <c r="I3339" s="15"/>
    </row>
    <row r="3340">
      <c r="A3340" s="18">
        <v>45665.0</v>
      </c>
      <c r="B3340" s="16" t="s">
        <v>4173</v>
      </c>
      <c r="C3340" s="16">
        <v>4.0</v>
      </c>
      <c r="D3340" s="16" t="s">
        <v>707</v>
      </c>
      <c r="E3340" s="16">
        <v>2016.0</v>
      </c>
      <c r="F3340" s="16">
        <v>49.4878</v>
      </c>
      <c r="G3340" s="16">
        <v>8.318</v>
      </c>
      <c r="H3340" s="15"/>
      <c r="I3340" s="15"/>
    </row>
    <row r="3341">
      <c r="A3341" s="18">
        <v>45665.0</v>
      </c>
      <c r="B3341" s="16" t="s">
        <v>4174</v>
      </c>
      <c r="C3341" s="16">
        <v>10.0</v>
      </c>
      <c r="D3341" s="16" t="s">
        <v>707</v>
      </c>
      <c r="E3341" s="16">
        <v>2016.0</v>
      </c>
      <c r="F3341" s="16">
        <v>52.2018</v>
      </c>
      <c r="G3341" s="16">
        <v>11.7849</v>
      </c>
      <c r="H3341" s="15"/>
      <c r="I3341" s="15"/>
    </row>
    <row r="3342">
      <c r="A3342" s="18">
        <v>45665.0</v>
      </c>
      <c r="B3342" s="16" t="s">
        <v>4175</v>
      </c>
      <c r="C3342" s="16" t="s">
        <v>990</v>
      </c>
      <c r="D3342" s="16" t="s">
        <v>707</v>
      </c>
      <c r="E3342" s="16">
        <v>2016.0</v>
      </c>
      <c r="F3342" s="16">
        <v>49.9482</v>
      </c>
      <c r="G3342" s="16">
        <v>7.2858</v>
      </c>
      <c r="H3342" s="15"/>
      <c r="I3342" s="15"/>
    </row>
    <row r="3343">
      <c r="A3343" s="18">
        <v>45665.0</v>
      </c>
      <c r="B3343" s="16" t="s">
        <v>4176</v>
      </c>
      <c r="C3343" s="16" t="s">
        <v>971</v>
      </c>
      <c r="D3343" s="16" t="s">
        <v>707</v>
      </c>
      <c r="E3343" s="16">
        <v>2016.0</v>
      </c>
      <c r="F3343" s="16">
        <v>49.2821</v>
      </c>
      <c r="G3343" s="16">
        <v>7.2858</v>
      </c>
      <c r="H3343" s="15"/>
      <c r="I3343" s="15"/>
    </row>
    <row r="3344">
      <c r="A3344" s="18">
        <v>45665.0</v>
      </c>
      <c r="B3344" s="16" t="s">
        <v>4177</v>
      </c>
      <c r="C3344" s="16" t="s">
        <v>1055</v>
      </c>
      <c r="D3344" s="16" t="s">
        <v>707</v>
      </c>
      <c r="E3344" s="16">
        <v>2016.0</v>
      </c>
      <c r="F3344" s="16">
        <v>51.7064</v>
      </c>
      <c r="G3344" s="16">
        <v>13.2423</v>
      </c>
      <c r="H3344" s="15"/>
      <c r="I3344" s="15"/>
    </row>
    <row r="3345">
      <c r="A3345" s="18">
        <v>45665.0</v>
      </c>
      <c r="B3345" s="16" t="s">
        <v>4178</v>
      </c>
      <c r="C3345" s="16" t="s">
        <v>971</v>
      </c>
      <c r="D3345" s="16" t="s">
        <v>707</v>
      </c>
      <c r="E3345" s="16">
        <v>2016.0</v>
      </c>
      <c r="F3345" s="16">
        <v>48.2042</v>
      </c>
      <c r="G3345" s="16">
        <v>7.7168</v>
      </c>
      <c r="H3345" s="15"/>
      <c r="I3345" s="15"/>
    </row>
    <row r="3346">
      <c r="A3346" s="18">
        <v>45665.0</v>
      </c>
      <c r="B3346" s="16" t="s">
        <v>4179</v>
      </c>
      <c r="C3346" s="16" t="s">
        <v>1267</v>
      </c>
      <c r="D3346" s="16" t="s">
        <v>707</v>
      </c>
      <c r="E3346" s="16">
        <v>2016.0</v>
      </c>
      <c r="F3346" s="16">
        <v>50.967</v>
      </c>
      <c r="G3346" s="16">
        <v>12.5093</v>
      </c>
      <c r="H3346" s="15"/>
      <c r="I3346" s="15"/>
    </row>
    <row r="3347">
      <c r="A3347" s="18">
        <v>45665.0</v>
      </c>
      <c r="B3347" s="16" t="s">
        <v>4180</v>
      </c>
      <c r="C3347" s="16" t="s">
        <v>959</v>
      </c>
      <c r="D3347" s="16" t="s">
        <v>707</v>
      </c>
      <c r="E3347" s="16">
        <v>2016.0</v>
      </c>
      <c r="F3347" s="16">
        <v>51.5816</v>
      </c>
      <c r="G3347" s="16">
        <v>6.7654</v>
      </c>
      <c r="H3347" s="15"/>
      <c r="I3347" s="15"/>
    </row>
    <row r="3348">
      <c r="A3348" s="18">
        <v>45665.0</v>
      </c>
      <c r="B3348" s="16" t="s">
        <v>4181</v>
      </c>
      <c r="C3348" s="16" t="s">
        <v>1004</v>
      </c>
      <c r="D3348" s="16" t="s">
        <v>707</v>
      </c>
      <c r="E3348" s="16">
        <v>2016.0</v>
      </c>
      <c r="F3348" s="16">
        <v>51.392</v>
      </c>
      <c r="G3348" s="16">
        <v>12.398</v>
      </c>
      <c r="H3348" s="15"/>
      <c r="I3348" s="15"/>
    </row>
    <row r="3349">
      <c r="A3349" s="18">
        <v>45665.0</v>
      </c>
      <c r="B3349" s="16" t="s">
        <v>4182</v>
      </c>
      <c r="C3349" s="16" t="s">
        <v>1931</v>
      </c>
      <c r="D3349" s="16" t="s">
        <v>707</v>
      </c>
      <c r="E3349" s="16">
        <v>2016.0</v>
      </c>
      <c r="F3349" s="16">
        <v>53.336</v>
      </c>
      <c r="G3349" s="16">
        <v>12.229</v>
      </c>
      <c r="H3349" s="15"/>
      <c r="I3349" s="15"/>
    </row>
    <row r="3350">
      <c r="A3350" s="18">
        <v>45665.0</v>
      </c>
      <c r="B3350" s="16" t="s">
        <v>4183</v>
      </c>
      <c r="C3350" s="16" t="s">
        <v>969</v>
      </c>
      <c r="D3350" s="16" t="s">
        <v>707</v>
      </c>
      <c r="E3350" s="16">
        <v>2016.0</v>
      </c>
      <c r="F3350" s="16">
        <v>48.4979</v>
      </c>
      <c r="G3350" s="16">
        <v>7.8824</v>
      </c>
      <c r="H3350" s="15"/>
      <c r="I3350" s="15"/>
    </row>
    <row r="3351">
      <c r="A3351" s="18">
        <v>45665.0</v>
      </c>
      <c r="B3351" s="16" t="s">
        <v>4184</v>
      </c>
      <c r="C3351" s="16" t="s">
        <v>978</v>
      </c>
      <c r="D3351" s="16" t="s">
        <v>707</v>
      </c>
      <c r="E3351" s="16">
        <v>2016.0</v>
      </c>
      <c r="F3351" s="16">
        <v>53.577</v>
      </c>
      <c r="G3351" s="16">
        <v>13.2965</v>
      </c>
      <c r="H3351" s="15"/>
      <c r="I3351" s="15"/>
    </row>
    <row r="3352">
      <c r="A3352" s="18">
        <v>45665.0</v>
      </c>
      <c r="B3352" s="16" t="s">
        <v>4185</v>
      </c>
      <c r="C3352" s="16" t="s">
        <v>1873</v>
      </c>
      <c r="D3352" s="16" t="s">
        <v>707</v>
      </c>
      <c r="E3352" s="16">
        <v>2016.0</v>
      </c>
      <c r="F3352" s="16">
        <v>51.161</v>
      </c>
      <c r="G3352" s="16">
        <v>11.8956</v>
      </c>
      <c r="H3352" s="15"/>
      <c r="I3352" s="15"/>
    </row>
    <row r="3353">
      <c r="A3353" s="18">
        <v>45665.0</v>
      </c>
      <c r="B3353" s="16" t="s">
        <v>4186</v>
      </c>
      <c r="C3353" s="16" t="s">
        <v>969</v>
      </c>
      <c r="D3353" s="16" t="s">
        <v>707</v>
      </c>
      <c r="E3353" s="16">
        <v>2016.0</v>
      </c>
      <c r="F3353" s="16">
        <v>50.9875</v>
      </c>
      <c r="G3353" s="16">
        <v>6.8141</v>
      </c>
      <c r="H3353" s="15"/>
      <c r="I3353" s="15"/>
    </row>
    <row r="3354">
      <c r="A3354" s="18">
        <v>45665.0</v>
      </c>
      <c r="B3354" s="16" t="s">
        <v>4187</v>
      </c>
      <c r="C3354" s="16" t="s">
        <v>1055</v>
      </c>
      <c r="D3354" s="16" t="s">
        <v>707</v>
      </c>
      <c r="E3354" s="16">
        <v>2016.0</v>
      </c>
      <c r="F3354" s="16">
        <v>53.023</v>
      </c>
      <c r="G3354" s="16">
        <v>8.653</v>
      </c>
      <c r="H3354" s="15"/>
      <c r="I3354" s="15"/>
    </row>
    <row r="3355">
      <c r="A3355" s="18">
        <v>45665.0</v>
      </c>
      <c r="B3355" s="16" t="s">
        <v>4188</v>
      </c>
      <c r="C3355" s="16">
        <v>3.0</v>
      </c>
      <c r="D3355" s="16" t="s">
        <v>707</v>
      </c>
      <c r="E3355" s="16">
        <v>2016.0</v>
      </c>
      <c r="F3355" s="16">
        <v>51.9522</v>
      </c>
      <c r="G3355" s="16">
        <v>8.9418</v>
      </c>
      <c r="H3355" s="15"/>
      <c r="I3355" s="15"/>
    </row>
    <row r="3356">
      <c r="A3356" s="18">
        <v>45665.0</v>
      </c>
      <c r="B3356" s="16" t="s">
        <v>4189</v>
      </c>
      <c r="C3356" s="16" t="s">
        <v>951</v>
      </c>
      <c r="D3356" s="16" t="s">
        <v>707</v>
      </c>
      <c r="E3356" s="16">
        <v>2016.0</v>
      </c>
      <c r="F3356" s="16">
        <v>49.4735</v>
      </c>
      <c r="G3356" s="16">
        <v>8.2532</v>
      </c>
      <c r="H3356" s="15"/>
      <c r="I3356" s="15"/>
    </row>
    <row r="3357">
      <c r="A3357" s="18">
        <v>45665.0</v>
      </c>
      <c r="B3357" s="16" t="s">
        <v>4190</v>
      </c>
      <c r="C3357" s="16" t="s">
        <v>959</v>
      </c>
      <c r="D3357" s="16" t="s">
        <v>707</v>
      </c>
      <c r="E3357" s="16">
        <v>2016.0</v>
      </c>
      <c r="F3357" s="16">
        <v>49.3654</v>
      </c>
      <c r="G3357" s="16">
        <v>10.2046</v>
      </c>
      <c r="H3357" s="15"/>
      <c r="I3357" s="15"/>
    </row>
    <row r="3358">
      <c r="A3358" s="18">
        <v>45665.0</v>
      </c>
      <c r="B3358" s="16" t="s">
        <v>4191</v>
      </c>
      <c r="C3358" s="16" t="s">
        <v>1037</v>
      </c>
      <c r="D3358" s="16" t="s">
        <v>707</v>
      </c>
      <c r="E3358" s="16">
        <v>2016.0</v>
      </c>
      <c r="F3358" s="16">
        <v>52.4235</v>
      </c>
      <c r="G3358" s="16">
        <v>7.0759</v>
      </c>
      <c r="H3358" s="15"/>
      <c r="I3358" s="15"/>
    </row>
    <row r="3359">
      <c r="A3359" s="18">
        <v>45665.0</v>
      </c>
      <c r="B3359" s="16" t="s">
        <v>4192</v>
      </c>
      <c r="C3359" s="16" t="s">
        <v>959</v>
      </c>
      <c r="D3359" s="16" t="s">
        <v>707</v>
      </c>
      <c r="E3359" s="16">
        <v>2016.0</v>
      </c>
      <c r="F3359" s="16">
        <v>52.2647</v>
      </c>
      <c r="G3359" s="16">
        <v>11.8194</v>
      </c>
      <c r="H3359" s="15"/>
      <c r="I3359" s="15"/>
    </row>
    <row r="3360">
      <c r="A3360" s="18">
        <v>45665.0</v>
      </c>
      <c r="B3360" s="16" t="s">
        <v>4193</v>
      </c>
      <c r="C3360" s="16" t="s">
        <v>942</v>
      </c>
      <c r="D3360" s="16" t="s">
        <v>707</v>
      </c>
      <c r="E3360" s="16">
        <v>2016.0</v>
      </c>
      <c r="F3360" s="16">
        <v>51.938</v>
      </c>
      <c r="G3360" s="16">
        <v>12.227</v>
      </c>
      <c r="H3360" s="15"/>
      <c r="I3360" s="15"/>
    </row>
    <row r="3361">
      <c r="A3361" s="18">
        <v>45665.0</v>
      </c>
      <c r="B3361" s="16" t="s">
        <v>4194</v>
      </c>
      <c r="C3361" s="16">
        <v>1.0</v>
      </c>
      <c r="D3361" s="16" t="s">
        <v>707</v>
      </c>
      <c r="E3361" s="16">
        <v>2016.0</v>
      </c>
      <c r="F3361" s="16">
        <v>49.9368</v>
      </c>
      <c r="G3361" s="16">
        <v>7.8811</v>
      </c>
      <c r="H3361" s="15"/>
      <c r="I3361" s="15"/>
    </row>
    <row r="3362">
      <c r="A3362" s="18">
        <v>45665.0</v>
      </c>
      <c r="B3362" s="16" t="s">
        <v>4195</v>
      </c>
      <c r="C3362" s="16" t="s">
        <v>942</v>
      </c>
      <c r="D3362" s="16" t="s">
        <v>707</v>
      </c>
      <c r="E3362" s="16">
        <v>2016.0</v>
      </c>
      <c r="F3362" s="16">
        <v>51.2551</v>
      </c>
      <c r="G3362" s="16">
        <v>11.4461</v>
      </c>
      <c r="H3362" s="15"/>
      <c r="I3362" s="15"/>
    </row>
    <row r="3363">
      <c r="A3363" s="18">
        <v>45665.0</v>
      </c>
      <c r="B3363" s="16" t="s">
        <v>4196</v>
      </c>
      <c r="C3363" s="16" t="s">
        <v>1059</v>
      </c>
      <c r="D3363" s="16" t="s">
        <v>707</v>
      </c>
      <c r="E3363" s="16">
        <v>2016.0</v>
      </c>
      <c r="F3363" s="16">
        <v>51.0859</v>
      </c>
      <c r="G3363" s="16">
        <v>10.9311</v>
      </c>
      <c r="H3363" s="15"/>
      <c r="I3363" s="15"/>
    </row>
    <row r="3364">
      <c r="A3364" s="18">
        <v>45665.0</v>
      </c>
      <c r="B3364" s="16" t="s">
        <v>4197</v>
      </c>
      <c r="C3364" s="16">
        <v>2.0</v>
      </c>
      <c r="D3364" s="16" t="s">
        <v>707</v>
      </c>
      <c r="E3364" s="16">
        <v>2016.0</v>
      </c>
      <c r="F3364" s="16">
        <v>51.6054</v>
      </c>
      <c r="G3364" s="16">
        <v>11.5898</v>
      </c>
      <c r="H3364" s="15"/>
      <c r="I3364" s="15"/>
    </row>
    <row r="3365">
      <c r="A3365" s="18">
        <v>45665.0</v>
      </c>
      <c r="B3365" s="16" t="s">
        <v>4198</v>
      </c>
      <c r="C3365" s="16" t="s">
        <v>971</v>
      </c>
      <c r="D3365" s="16" t="s">
        <v>707</v>
      </c>
      <c r="E3365" s="16">
        <v>2016.0</v>
      </c>
      <c r="F3365" s="16">
        <v>51.7602</v>
      </c>
      <c r="G3365" s="16">
        <v>12.9228</v>
      </c>
      <c r="H3365" s="15"/>
      <c r="I3365" s="15"/>
    </row>
    <row r="3366">
      <c r="A3366" s="18">
        <v>45665.0</v>
      </c>
      <c r="B3366" s="16" t="s">
        <v>4199</v>
      </c>
      <c r="C3366" s="16" t="s">
        <v>951</v>
      </c>
      <c r="D3366" s="16" t="s">
        <v>707</v>
      </c>
      <c r="E3366" s="16">
        <v>2016.0</v>
      </c>
      <c r="F3366" s="16">
        <v>51.4757</v>
      </c>
      <c r="G3366" s="16">
        <v>13.1342</v>
      </c>
      <c r="H3366" s="15"/>
      <c r="I3366" s="15"/>
    </row>
    <row r="3367">
      <c r="A3367" s="18">
        <v>45665.0</v>
      </c>
      <c r="B3367" s="16" t="s">
        <v>4200</v>
      </c>
      <c r="C3367" s="16" t="s">
        <v>990</v>
      </c>
      <c r="D3367" s="16" t="s">
        <v>707</v>
      </c>
      <c r="E3367" s="16">
        <v>2016.0</v>
      </c>
      <c r="F3367" s="16">
        <v>48.5927</v>
      </c>
      <c r="G3367" s="16">
        <v>11.7181</v>
      </c>
      <c r="H3367" s="15"/>
      <c r="I3367" s="15"/>
    </row>
    <row r="3368">
      <c r="A3368" s="18">
        <v>45665.0</v>
      </c>
      <c r="B3368" s="16" t="s">
        <v>4201</v>
      </c>
      <c r="C3368" s="16" t="s">
        <v>1007</v>
      </c>
      <c r="D3368" s="16" t="s">
        <v>707</v>
      </c>
      <c r="E3368" s="16">
        <v>2016.0</v>
      </c>
      <c r="F3368" s="16">
        <v>51.7999</v>
      </c>
      <c r="G3368" s="16">
        <v>11.7184</v>
      </c>
      <c r="H3368" s="15"/>
      <c r="I3368" s="15"/>
    </row>
    <row r="3369">
      <c r="A3369" s="18">
        <v>45665.0</v>
      </c>
      <c r="B3369" s="16" t="s">
        <v>4202</v>
      </c>
      <c r="C3369" s="16" t="s">
        <v>982</v>
      </c>
      <c r="D3369" s="16" t="s">
        <v>707</v>
      </c>
      <c r="E3369" s="16">
        <v>2016.0</v>
      </c>
      <c r="F3369" s="16">
        <v>51.3114</v>
      </c>
      <c r="G3369" s="16">
        <v>11.9604</v>
      </c>
      <c r="H3369" s="15"/>
      <c r="I3369" s="15"/>
    </row>
    <row r="3370">
      <c r="A3370" s="18">
        <v>45665.0</v>
      </c>
      <c r="B3370" s="16" t="s">
        <v>4203</v>
      </c>
      <c r="C3370" s="16" t="s">
        <v>1039</v>
      </c>
      <c r="D3370" s="16" t="s">
        <v>707</v>
      </c>
      <c r="E3370" s="16">
        <v>2016.0</v>
      </c>
      <c r="F3370" s="16">
        <v>51.024</v>
      </c>
      <c r="G3370" s="16">
        <v>10.8258</v>
      </c>
      <c r="H3370" s="15"/>
      <c r="I3370" s="15"/>
    </row>
    <row r="3371">
      <c r="A3371" s="18">
        <v>45665.0</v>
      </c>
      <c r="B3371" s="16" t="s">
        <v>4204</v>
      </c>
      <c r="C3371" s="16" t="s">
        <v>959</v>
      </c>
      <c r="D3371" s="16" t="s">
        <v>707</v>
      </c>
      <c r="E3371" s="16">
        <v>2016.0</v>
      </c>
      <c r="F3371" s="16">
        <v>51.024</v>
      </c>
      <c r="G3371" s="16">
        <v>10.8288</v>
      </c>
      <c r="H3371" s="15"/>
      <c r="I3371" s="15"/>
    </row>
    <row r="3372">
      <c r="A3372" s="18">
        <v>45665.0</v>
      </c>
      <c r="B3372" s="16" t="s">
        <v>4205</v>
      </c>
      <c r="C3372" s="16" t="s">
        <v>948</v>
      </c>
      <c r="D3372" s="16" t="s">
        <v>707</v>
      </c>
      <c r="E3372" s="16">
        <v>2016.0</v>
      </c>
      <c r="F3372" s="16">
        <v>51.2014</v>
      </c>
      <c r="G3372" s="16">
        <v>11.4587</v>
      </c>
      <c r="H3372" s="15"/>
      <c r="I3372" s="15"/>
    </row>
    <row r="3373">
      <c r="A3373" s="18">
        <v>45665.0</v>
      </c>
      <c r="B3373" s="16" t="s">
        <v>4206</v>
      </c>
      <c r="C3373" s="16" t="s">
        <v>951</v>
      </c>
      <c r="D3373" s="16" t="s">
        <v>707</v>
      </c>
      <c r="E3373" s="16">
        <v>2016.0</v>
      </c>
      <c r="F3373" s="16">
        <v>50.868</v>
      </c>
      <c r="G3373" s="16">
        <v>13.439</v>
      </c>
      <c r="H3373" s="15"/>
      <c r="I3373" s="15"/>
    </row>
    <row r="3374">
      <c r="A3374" s="18">
        <v>45665.0</v>
      </c>
      <c r="B3374" s="16" t="s">
        <v>4207</v>
      </c>
      <c r="C3374" s="16" t="s">
        <v>948</v>
      </c>
      <c r="D3374" s="16" t="s">
        <v>707</v>
      </c>
      <c r="E3374" s="16">
        <v>2016.0</v>
      </c>
      <c r="F3374" s="16">
        <v>52.1359</v>
      </c>
      <c r="G3374" s="16">
        <v>14.499</v>
      </c>
      <c r="H3374" s="15"/>
      <c r="I3374" s="15"/>
    </row>
    <row r="3375">
      <c r="A3375" s="18">
        <v>45665.0</v>
      </c>
      <c r="B3375" s="16" t="s">
        <v>4208</v>
      </c>
      <c r="C3375" s="16" t="s">
        <v>948</v>
      </c>
      <c r="D3375" s="16" t="s">
        <v>707</v>
      </c>
      <c r="E3375" s="16">
        <v>2016.0</v>
      </c>
      <c r="F3375" s="16">
        <v>53.6783</v>
      </c>
      <c r="G3375" s="16">
        <v>11.236</v>
      </c>
      <c r="H3375" s="15"/>
      <c r="I3375" s="15"/>
    </row>
    <row r="3376">
      <c r="A3376" s="18">
        <v>45665.0</v>
      </c>
      <c r="B3376" s="16" t="s">
        <v>4209</v>
      </c>
      <c r="C3376" s="16" t="s">
        <v>951</v>
      </c>
      <c r="D3376" s="16" t="s">
        <v>707</v>
      </c>
      <c r="E3376" s="16">
        <v>2016.0</v>
      </c>
      <c r="F3376" s="16">
        <v>51.8671</v>
      </c>
      <c r="G3376" s="16">
        <v>13.7759</v>
      </c>
      <c r="H3376" s="15"/>
      <c r="I3376" s="15"/>
    </row>
    <row r="3377">
      <c r="A3377" s="18">
        <v>45665.0</v>
      </c>
      <c r="B3377" s="16" t="s">
        <v>4210</v>
      </c>
      <c r="C3377" s="16" t="s">
        <v>1384</v>
      </c>
      <c r="D3377" s="16" t="s">
        <v>707</v>
      </c>
      <c r="E3377" s="16">
        <v>2016.0</v>
      </c>
      <c r="F3377" s="16">
        <v>51.8674</v>
      </c>
      <c r="G3377" s="16">
        <v>13.7746</v>
      </c>
      <c r="H3377" s="15"/>
      <c r="I3377" s="15"/>
    </row>
    <row r="3378">
      <c r="A3378" s="18">
        <v>45665.0</v>
      </c>
      <c r="B3378" s="16" t="s">
        <v>4211</v>
      </c>
      <c r="C3378" s="16">
        <v>2.0</v>
      </c>
      <c r="D3378" s="16" t="s">
        <v>707</v>
      </c>
      <c r="E3378" s="16">
        <v>2016.0</v>
      </c>
      <c r="F3378" s="16">
        <v>50.9533</v>
      </c>
      <c r="G3378" s="16">
        <v>13.8576</v>
      </c>
      <c r="H3378" s="15"/>
      <c r="I3378" s="15"/>
    </row>
    <row r="3379">
      <c r="A3379" s="18">
        <v>45665.0</v>
      </c>
      <c r="B3379" s="16" t="s">
        <v>4212</v>
      </c>
      <c r="C3379" s="16" t="s">
        <v>946</v>
      </c>
      <c r="D3379" s="16" t="s">
        <v>707</v>
      </c>
      <c r="E3379" s="16">
        <v>2016.0</v>
      </c>
      <c r="F3379" s="16">
        <v>51.429</v>
      </c>
      <c r="G3379" s="16">
        <v>12.014</v>
      </c>
      <c r="H3379" s="15"/>
      <c r="I3379" s="15"/>
    </row>
    <row r="3380">
      <c r="A3380" s="18">
        <v>45665.0</v>
      </c>
      <c r="B3380" s="16" t="s">
        <v>4213</v>
      </c>
      <c r="C3380" s="16" t="s">
        <v>990</v>
      </c>
      <c r="D3380" s="16" t="s">
        <v>707</v>
      </c>
      <c r="E3380" s="16">
        <v>2016.0</v>
      </c>
      <c r="F3380" s="16">
        <v>52.8375</v>
      </c>
      <c r="G3380" s="16">
        <v>13.7616</v>
      </c>
      <c r="H3380" s="15"/>
      <c r="I3380" s="15"/>
    </row>
    <row r="3381">
      <c r="A3381" s="18">
        <v>45665.0</v>
      </c>
      <c r="B3381" s="16" t="s">
        <v>4214</v>
      </c>
      <c r="C3381" s="16" t="s">
        <v>1002</v>
      </c>
      <c r="D3381" s="16" t="s">
        <v>707</v>
      </c>
      <c r="E3381" s="16">
        <v>2016.0</v>
      </c>
      <c r="F3381" s="16">
        <v>51.409</v>
      </c>
      <c r="G3381" s="16">
        <v>11.2754</v>
      </c>
      <c r="H3381" s="15"/>
      <c r="I3381" s="15"/>
    </row>
    <row r="3382">
      <c r="A3382" s="18">
        <v>45665.0</v>
      </c>
      <c r="B3382" s="16" t="s">
        <v>4215</v>
      </c>
      <c r="C3382" s="16" t="s">
        <v>1011</v>
      </c>
      <c r="D3382" s="16" t="s">
        <v>707</v>
      </c>
      <c r="E3382" s="16">
        <v>2016.0</v>
      </c>
      <c r="F3382" s="16">
        <v>50.3471</v>
      </c>
      <c r="G3382" s="16">
        <v>11.982</v>
      </c>
      <c r="H3382" s="15"/>
      <c r="I3382" s="15"/>
    </row>
    <row r="3383">
      <c r="A3383" s="18">
        <v>45665.0</v>
      </c>
      <c r="B3383" s="16" t="s">
        <v>4216</v>
      </c>
      <c r="C3383" s="16" t="s">
        <v>942</v>
      </c>
      <c r="D3383" s="16" t="s">
        <v>707</v>
      </c>
      <c r="E3383" s="16">
        <v>2016.0</v>
      </c>
      <c r="F3383" s="16">
        <v>51.0974</v>
      </c>
      <c r="G3383" s="16">
        <v>11.5</v>
      </c>
      <c r="H3383" s="15"/>
      <c r="I3383" s="15"/>
    </row>
    <row r="3384">
      <c r="A3384" s="18">
        <v>45665.0</v>
      </c>
      <c r="B3384" s="16" t="s">
        <v>4217</v>
      </c>
      <c r="C3384" s="16" t="s">
        <v>1101</v>
      </c>
      <c r="D3384" s="16" t="s">
        <v>707</v>
      </c>
      <c r="E3384" s="16">
        <v>2016.0</v>
      </c>
      <c r="F3384" s="16">
        <v>50.6597</v>
      </c>
      <c r="G3384" s="16">
        <v>11.2231</v>
      </c>
      <c r="H3384" s="15"/>
      <c r="I3384" s="15"/>
    </row>
    <row r="3385">
      <c r="A3385" s="18">
        <v>45665.0</v>
      </c>
      <c r="B3385" s="16" t="s">
        <v>4218</v>
      </c>
      <c r="C3385" s="16" t="s">
        <v>1055</v>
      </c>
      <c r="D3385" s="16" t="s">
        <v>707</v>
      </c>
      <c r="E3385" s="16">
        <v>2016.0</v>
      </c>
      <c r="F3385" s="16">
        <v>54.8317</v>
      </c>
      <c r="G3385" s="16">
        <v>9.5522</v>
      </c>
      <c r="H3385" s="15"/>
      <c r="I3385" s="15"/>
    </row>
    <row r="3386">
      <c r="A3386" s="18">
        <v>45665.0</v>
      </c>
      <c r="B3386" s="16" t="s">
        <v>4219</v>
      </c>
      <c r="C3386" s="16" t="s">
        <v>951</v>
      </c>
      <c r="D3386" s="16" t="s">
        <v>707</v>
      </c>
      <c r="E3386" s="16">
        <v>2016.0</v>
      </c>
      <c r="F3386" s="16">
        <v>51.7866</v>
      </c>
      <c r="G3386" s="16">
        <v>12.466</v>
      </c>
      <c r="H3386" s="15"/>
      <c r="I3386" s="15"/>
    </row>
    <row r="3387">
      <c r="A3387" s="18">
        <v>45665.0</v>
      </c>
      <c r="B3387" s="16" t="s">
        <v>4220</v>
      </c>
      <c r="C3387" s="16" t="s">
        <v>1277</v>
      </c>
      <c r="D3387" s="16" t="s">
        <v>707</v>
      </c>
      <c r="E3387" s="16">
        <v>2016.0</v>
      </c>
      <c r="F3387" s="16">
        <v>53.265</v>
      </c>
      <c r="G3387" s="16">
        <v>11.573</v>
      </c>
      <c r="H3387" s="15"/>
      <c r="I3387" s="15"/>
    </row>
    <row r="3388">
      <c r="A3388" s="18">
        <v>45665.0</v>
      </c>
      <c r="B3388" s="16" t="s">
        <v>4221</v>
      </c>
      <c r="C3388" s="16" t="s">
        <v>3817</v>
      </c>
      <c r="D3388" s="16" t="s">
        <v>707</v>
      </c>
      <c r="E3388" s="16">
        <v>2016.0</v>
      </c>
      <c r="F3388" s="16">
        <v>53.7951</v>
      </c>
      <c r="G3388" s="16">
        <v>12.4735</v>
      </c>
      <c r="H3388" s="15"/>
      <c r="I3388" s="15"/>
    </row>
    <row r="3389">
      <c r="A3389" s="18">
        <v>45665.0</v>
      </c>
      <c r="B3389" s="16" t="s">
        <v>4222</v>
      </c>
      <c r="C3389" s="16" t="s">
        <v>1609</v>
      </c>
      <c r="D3389" s="16" t="s">
        <v>707</v>
      </c>
      <c r="E3389" s="16">
        <v>2016.0</v>
      </c>
      <c r="F3389" s="16">
        <v>51.6305</v>
      </c>
      <c r="G3389" s="16">
        <v>11.4936</v>
      </c>
      <c r="H3389" s="15"/>
      <c r="I3389" s="15"/>
    </row>
    <row r="3390">
      <c r="A3390" s="18">
        <v>45665.0</v>
      </c>
      <c r="B3390" s="16" t="s">
        <v>4223</v>
      </c>
      <c r="C3390" s="16" t="s">
        <v>1085</v>
      </c>
      <c r="D3390" s="16" t="s">
        <v>707</v>
      </c>
      <c r="E3390" s="16">
        <v>2016.0</v>
      </c>
      <c r="F3390" s="16">
        <v>52.013</v>
      </c>
      <c r="G3390" s="16">
        <v>14.7043</v>
      </c>
      <c r="H3390" s="15"/>
      <c r="I3390" s="15"/>
    </row>
    <row r="3391">
      <c r="A3391" s="18">
        <v>45665.0</v>
      </c>
      <c r="B3391" s="16" t="s">
        <v>3493</v>
      </c>
      <c r="C3391" s="16" t="s">
        <v>978</v>
      </c>
      <c r="D3391" s="16" t="s">
        <v>707</v>
      </c>
      <c r="E3391" s="16">
        <v>2016.0</v>
      </c>
      <c r="F3391" s="16">
        <v>53.7976</v>
      </c>
      <c r="G3391" s="16">
        <v>12.2092</v>
      </c>
      <c r="H3391" s="15"/>
      <c r="I3391" s="15"/>
    </row>
    <row r="3392">
      <c r="A3392" s="18">
        <v>45665.0</v>
      </c>
      <c r="B3392" s="16" t="s">
        <v>4224</v>
      </c>
      <c r="C3392" s="16" t="s">
        <v>959</v>
      </c>
      <c r="D3392" s="16" t="s">
        <v>707</v>
      </c>
      <c r="E3392" s="16">
        <v>2016.0</v>
      </c>
      <c r="F3392" s="16">
        <v>51.396</v>
      </c>
      <c r="G3392" s="16">
        <v>13.8632</v>
      </c>
      <c r="H3392" s="15"/>
      <c r="I3392" s="15"/>
    </row>
    <row r="3393">
      <c r="A3393" s="18">
        <v>45665.0</v>
      </c>
      <c r="B3393" s="16" t="s">
        <v>4225</v>
      </c>
      <c r="C3393" s="16" t="s">
        <v>1167</v>
      </c>
      <c r="D3393" s="16" t="s">
        <v>707</v>
      </c>
      <c r="E3393" s="16">
        <v>2016.0</v>
      </c>
      <c r="F3393" s="16">
        <v>51.6195</v>
      </c>
      <c r="G3393" s="16">
        <v>11.5099</v>
      </c>
      <c r="H3393" s="15"/>
      <c r="I3393" s="15"/>
    </row>
    <row r="3394">
      <c r="A3394" s="18">
        <v>45665.0</v>
      </c>
      <c r="B3394" s="16" t="s">
        <v>4226</v>
      </c>
      <c r="C3394" s="16" t="s">
        <v>2147</v>
      </c>
      <c r="D3394" s="16" t="s">
        <v>707</v>
      </c>
      <c r="E3394" s="16">
        <v>2016.0</v>
      </c>
      <c r="F3394" s="16">
        <v>49.1684</v>
      </c>
      <c r="G3394" s="16">
        <v>11.8256</v>
      </c>
      <c r="H3394" s="15"/>
      <c r="I3394" s="15"/>
    </row>
    <row r="3395">
      <c r="A3395" s="18">
        <v>45665.0</v>
      </c>
      <c r="B3395" s="16" t="s">
        <v>4227</v>
      </c>
      <c r="C3395" s="16" t="s">
        <v>948</v>
      </c>
      <c r="D3395" s="16" t="s">
        <v>707</v>
      </c>
      <c r="E3395" s="16">
        <v>2016.0</v>
      </c>
      <c r="F3395" s="16">
        <v>48.0418</v>
      </c>
      <c r="G3395" s="16">
        <v>10.6307</v>
      </c>
      <c r="H3395" s="15"/>
      <c r="I3395" s="15"/>
    </row>
    <row r="3396">
      <c r="A3396" s="18">
        <v>45665.0</v>
      </c>
      <c r="B3396" s="16" t="s">
        <v>4228</v>
      </c>
      <c r="C3396" s="16" t="s">
        <v>948</v>
      </c>
      <c r="D3396" s="16" t="s">
        <v>707</v>
      </c>
      <c r="E3396" s="16">
        <v>2016.0</v>
      </c>
      <c r="F3396" s="16">
        <v>51.217</v>
      </c>
      <c r="G3396" s="16">
        <v>11.483</v>
      </c>
      <c r="H3396" s="15"/>
      <c r="I3396" s="15"/>
    </row>
    <row r="3397">
      <c r="A3397" s="18">
        <v>45665.0</v>
      </c>
      <c r="B3397" s="16" t="s">
        <v>4229</v>
      </c>
      <c r="C3397" s="16" t="s">
        <v>1051</v>
      </c>
      <c r="D3397" s="16" t="s">
        <v>707</v>
      </c>
      <c r="E3397" s="16">
        <v>2016.0</v>
      </c>
      <c r="F3397" s="16">
        <v>51.3284</v>
      </c>
      <c r="G3397" s="16">
        <v>10.5362</v>
      </c>
      <c r="H3397" s="15"/>
      <c r="I3397" s="15"/>
    </row>
    <row r="3398">
      <c r="A3398" s="18">
        <v>45665.0</v>
      </c>
      <c r="B3398" s="16" t="s">
        <v>4230</v>
      </c>
      <c r="C3398" s="16">
        <v>10.0</v>
      </c>
      <c r="D3398" s="16" t="s">
        <v>707</v>
      </c>
      <c r="E3398" s="16">
        <v>2016.0</v>
      </c>
      <c r="F3398" s="16">
        <v>53.2658</v>
      </c>
      <c r="G3398" s="16">
        <v>13.6973</v>
      </c>
      <c r="H3398" s="15"/>
      <c r="I3398" s="15"/>
    </row>
    <row r="3399">
      <c r="A3399" s="18">
        <v>45665.0</v>
      </c>
      <c r="B3399" s="16" t="s">
        <v>4231</v>
      </c>
      <c r="C3399" s="16" t="s">
        <v>942</v>
      </c>
      <c r="D3399" s="16" t="s">
        <v>707</v>
      </c>
      <c r="E3399" s="16">
        <v>2016.0</v>
      </c>
      <c r="F3399" s="16">
        <v>53.7656</v>
      </c>
      <c r="G3399" s="16">
        <v>12.8355</v>
      </c>
      <c r="H3399" s="15"/>
      <c r="I3399" s="15"/>
    </row>
    <row r="3400">
      <c r="A3400" s="18">
        <v>45665.0</v>
      </c>
      <c r="B3400" s="16" t="s">
        <v>4232</v>
      </c>
      <c r="C3400" s="16">
        <v>10.0</v>
      </c>
      <c r="D3400" s="16" t="s">
        <v>707</v>
      </c>
      <c r="E3400" s="16">
        <v>2016.0</v>
      </c>
      <c r="F3400" s="16">
        <v>49.1396</v>
      </c>
      <c r="G3400" s="16">
        <v>11.742</v>
      </c>
      <c r="H3400" s="15"/>
      <c r="I3400" s="15"/>
    </row>
    <row r="3401">
      <c r="A3401" s="18">
        <v>45665.0</v>
      </c>
      <c r="B3401" s="16" t="s">
        <v>4233</v>
      </c>
      <c r="C3401" s="16" t="s">
        <v>3817</v>
      </c>
      <c r="D3401" s="16" t="s">
        <v>707</v>
      </c>
      <c r="E3401" s="16">
        <v>2016.0</v>
      </c>
      <c r="F3401" s="16">
        <v>49.1718</v>
      </c>
      <c r="G3401" s="16">
        <v>11.7777</v>
      </c>
      <c r="H3401" s="15"/>
      <c r="I3401" s="15"/>
    </row>
    <row r="3402">
      <c r="A3402" s="18">
        <v>45665.0</v>
      </c>
      <c r="B3402" s="16" t="s">
        <v>4234</v>
      </c>
      <c r="C3402" s="16" t="s">
        <v>978</v>
      </c>
      <c r="D3402" s="16" t="s">
        <v>707</v>
      </c>
      <c r="E3402" s="16">
        <v>2016.0</v>
      </c>
      <c r="F3402" s="16">
        <v>51.9071</v>
      </c>
      <c r="G3402" s="16">
        <v>13.9753</v>
      </c>
      <c r="H3402" s="15"/>
      <c r="I3402" s="15"/>
    </row>
    <row r="3403">
      <c r="A3403" s="18">
        <v>45665.0</v>
      </c>
      <c r="B3403" s="16" t="s">
        <v>4235</v>
      </c>
      <c r="C3403" s="16">
        <v>5.0</v>
      </c>
      <c r="D3403" s="16" t="s">
        <v>707</v>
      </c>
      <c r="E3403" s="16">
        <v>2016.0</v>
      </c>
      <c r="F3403" s="16">
        <v>53.2061</v>
      </c>
      <c r="G3403" s="16">
        <v>11.3527</v>
      </c>
      <c r="H3403" s="15"/>
      <c r="I3403" s="15"/>
    </row>
    <row r="3404">
      <c r="A3404" s="18">
        <v>45665.0</v>
      </c>
      <c r="B3404" s="16" t="s">
        <v>4236</v>
      </c>
      <c r="C3404" s="16" t="s">
        <v>1771</v>
      </c>
      <c r="D3404" s="16" t="s">
        <v>707</v>
      </c>
      <c r="E3404" s="16">
        <v>2016.0</v>
      </c>
      <c r="F3404" s="16">
        <v>48.8986</v>
      </c>
      <c r="G3404" s="16">
        <v>8.3534</v>
      </c>
      <c r="H3404" s="15"/>
      <c r="I3404" s="15"/>
    </row>
    <row r="3405">
      <c r="A3405" s="18">
        <v>45665.0</v>
      </c>
      <c r="B3405" s="16" t="s">
        <v>4237</v>
      </c>
      <c r="C3405" s="16">
        <v>4.0</v>
      </c>
      <c r="D3405" s="16" t="s">
        <v>707</v>
      </c>
      <c r="E3405" s="16">
        <v>2016.0</v>
      </c>
      <c r="F3405" s="16">
        <v>48.6017</v>
      </c>
      <c r="G3405" s="16">
        <v>11.8328</v>
      </c>
      <c r="H3405" s="15"/>
      <c r="I3405" s="15"/>
    </row>
    <row r="3406">
      <c r="A3406" s="18">
        <v>45665.0</v>
      </c>
      <c r="B3406" s="16" t="s">
        <v>4238</v>
      </c>
      <c r="C3406" s="16" t="s">
        <v>1011</v>
      </c>
      <c r="D3406" s="16" t="s">
        <v>707</v>
      </c>
      <c r="E3406" s="16">
        <v>2016.0</v>
      </c>
      <c r="F3406" s="16">
        <v>51.36</v>
      </c>
      <c r="G3406" s="16">
        <v>11.6721</v>
      </c>
      <c r="H3406" s="15"/>
      <c r="I3406" s="15"/>
    </row>
    <row r="3407">
      <c r="A3407" s="18">
        <v>45665.0</v>
      </c>
      <c r="B3407" s="16" t="s">
        <v>4239</v>
      </c>
      <c r="C3407" s="16" t="s">
        <v>1002</v>
      </c>
      <c r="D3407" s="16" t="s">
        <v>707</v>
      </c>
      <c r="E3407" s="16">
        <v>2016.0</v>
      </c>
      <c r="F3407" s="16">
        <v>53.9219</v>
      </c>
      <c r="G3407" s="16">
        <v>14.0313</v>
      </c>
      <c r="H3407" s="15"/>
      <c r="I3407" s="15"/>
    </row>
    <row r="3408">
      <c r="A3408" s="18">
        <v>45665.0</v>
      </c>
      <c r="B3408" s="16" t="s">
        <v>4240</v>
      </c>
      <c r="C3408" s="16" t="s">
        <v>1059</v>
      </c>
      <c r="D3408" s="16" t="s">
        <v>707</v>
      </c>
      <c r="E3408" s="16">
        <v>2016.0</v>
      </c>
      <c r="F3408" s="16">
        <v>51.4484</v>
      </c>
      <c r="G3408" s="16">
        <v>13.9832</v>
      </c>
      <c r="H3408" s="15"/>
      <c r="I3408" s="15"/>
    </row>
    <row r="3409">
      <c r="A3409" s="18">
        <v>45665.0</v>
      </c>
      <c r="B3409" s="16" t="s">
        <v>4241</v>
      </c>
      <c r="C3409" s="16" t="s">
        <v>942</v>
      </c>
      <c r="D3409" s="16" t="s">
        <v>707</v>
      </c>
      <c r="E3409" s="16">
        <v>2016.0</v>
      </c>
      <c r="F3409" s="16">
        <v>51.6458</v>
      </c>
      <c r="G3409" s="16">
        <v>13.4654</v>
      </c>
      <c r="H3409" s="15"/>
      <c r="I3409" s="15"/>
    </row>
    <row r="3410">
      <c r="A3410" s="18">
        <v>45665.0</v>
      </c>
      <c r="B3410" s="16" t="s">
        <v>4242</v>
      </c>
      <c r="C3410" s="16" t="s">
        <v>1172</v>
      </c>
      <c r="D3410" s="16" t="s">
        <v>707</v>
      </c>
      <c r="E3410" s="16">
        <v>2016.0</v>
      </c>
      <c r="F3410" s="16">
        <v>53.7318</v>
      </c>
      <c r="G3410" s="16">
        <v>13.5075</v>
      </c>
      <c r="H3410" s="15"/>
      <c r="I3410" s="15"/>
    </row>
    <row r="3411">
      <c r="A3411" s="18">
        <v>45665.0</v>
      </c>
      <c r="B3411" s="16" t="s">
        <v>4243</v>
      </c>
      <c r="C3411" s="16" t="s">
        <v>1055</v>
      </c>
      <c r="D3411" s="16" t="s">
        <v>707</v>
      </c>
      <c r="E3411" s="16">
        <v>2016.0</v>
      </c>
      <c r="F3411" s="16">
        <v>51.089</v>
      </c>
      <c r="G3411" s="16">
        <v>12.4189</v>
      </c>
      <c r="H3411" s="15"/>
      <c r="I3411" s="15"/>
    </row>
    <row r="3412">
      <c r="A3412" s="18">
        <v>45665.0</v>
      </c>
      <c r="B3412" s="16" t="s">
        <v>4244</v>
      </c>
      <c r="C3412" s="16" t="s">
        <v>990</v>
      </c>
      <c r="D3412" s="16" t="s">
        <v>707</v>
      </c>
      <c r="E3412" s="16">
        <v>2016.0</v>
      </c>
      <c r="F3412" s="16">
        <v>52.863</v>
      </c>
      <c r="G3412" s="16">
        <v>11.2081</v>
      </c>
      <c r="H3412" s="15"/>
      <c r="I3412" s="15"/>
    </row>
    <row r="3413">
      <c r="A3413" s="18">
        <v>45665.0</v>
      </c>
      <c r="B3413" s="16" t="s">
        <v>4245</v>
      </c>
      <c r="C3413" s="16" t="s">
        <v>1055</v>
      </c>
      <c r="D3413" s="16" t="s">
        <v>707</v>
      </c>
      <c r="E3413" s="16">
        <v>2016.0</v>
      </c>
      <c r="F3413" s="16">
        <v>52.8612</v>
      </c>
      <c r="G3413" s="16">
        <v>11.2079</v>
      </c>
      <c r="H3413" s="15"/>
      <c r="I3413" s="15"/>
    </row>
    <row r="3414">
      <c r="A3414" s="18">
        <v>45665.0</v>
      </c>
      <c r="B3414" s="16" t="s">
        <v>4246</v>
      </c>
      <c r="C3414" s="16" t="s">
        <v>3505</v>
      </c>
      <c r="D3414" s="16" t="s">
        <v>707</v>
      </c>
      <c r="E3414" s="16">
        <v>2016.0</v>
      </c>
      <c r="F3414" s="16">
        <v>52.8354</v>
      </c>
      <c r="G3414" s="16">
        <v>11.2034</v>
      </c>
      <c r="H3414" s="15"/>
      <c r="I3414" s="15"/>
    </row>
    <row r="3415">
      <c r="A3415" s="18">
        <v>45665.0</v>
      </c>
      <c r="B3415" s="16" t="s">
        <v>4247</v>
      </c>
      <c r="C3415" s="16" t="s">
        <v>951</v>
      </c>
      <c r="D3415" s="16" t="s">
        <v>707</v>
      </c>
      <c r="E3415" s="16">
        <v>2016.0</v>
      </c>
      <c r="F3415" s="16">
        <v>51.482</v>
      </c>
      <c r="G3415" s="16">
        <v>11.2995</v>
      </c>
      <c r="H3415" s="15"/>
      <c r="I3415" s="15"/>
    </row>
    <row r="3416">
      <c r="A3416" s="18">
        <v>45665.0</v>
      </c>
      <c r="B3416" s="16" t="s">
        <v>4248</v>
      </c>
      <c r="C3416" s="16" t="s">
        <v>1055</v>
      </c>
      <c r="D3416" s="16" t="s">
        <v>707</v>
      </c>
      <c r="E3416" s="16">
        <v>2016.0</v>
      </c>
      <c r="F3416" s="16">
        <v>51.1983</v>
      </c>
      <c r="G3416" s="16">
        <v>11.4781</v>
      </c>
      <c r="H3416" s="15"/>
      <c r="I3416" s="15"/>
    </row>
    <row r="3417">
      <c r="A3417" s="18">
        <v>45665.0</v>
      </c>
      <c r="B3417" s="16" t="s">
        <v>4249</v>
      </c>
      <c r="C3417" s="16" t="s">
        <v>1039</v>
      </c>
      <c r="D3417" s="16" t="s">
        <v>707</v>
      </c>
      <c r="E3417" s="16">
        <v>2016.0</v>
      </c>
      <c r="F3417" s="16">
        <v>48.4966</v>
      </c>
      <c r="G3417" s="16">
        <v>11.914</v>
      </c>
      <c r="H3417" s="15"/>
      <c r="I3417" s="15"/>
    </row>
    <row r="3418">
      <c r="A3418" s="18">
        <v>45665.0</v>
      </c>
      <c r="B3418" s="16" t="s">
        <v>4250</v>
      </c>
      <c r="C3418" s="16" t="s">
        <v>1034</v>
      </c>
      <c r="D3418" s="16" t="s">
        <v>707</v>
      </c>
      <c r="E3418" s="16">
        <v>2016.0</v>
      </c>
      <c r="F3418" s="16">
        <v>52.6439</v>
      </c>
      <c r="G3418" s="16">
        <v>13.7555</v>
      </c>
      <c r="H3418" s="15"/>
      <c r="I3418" s="15"/>
    </row>
    <row r="3419">
      <c r="A3419" s="18">
        <v>45665.0</v>
      </c>
      <c r="B3419" s="16" t="s">
        <v>4251</v>
      </c>
      <c r="C3419" s="16" t="s">
        <v>1055</v>
      </c>
      <c r="D3419" s="16" t="s">
        <v>707</v>
      </c>
      <c r="E3419" s="16">
        <v>2016.0</v>
      </c>
      <c r="F3419" s="16">
        <v>52.361</v>
      </c>
      <c r="G3419" s="16">
        <v>11.3215</v>
      </c>
      <c r="H3419" s="15"/>
      <c r="I3419" s="15"/>
    </row>
    <row r="3420">
      <c r="A3420" s="18">
        <v>45665.0</v>
      </c>
      <c r="B3420" s="16" t="s">
        <v>4252</v>
      </c>
      <c r="C3420" s="16" t="s">
        <v>946</v>
      </c>
      <c r="D3420" s="16" t="s">
        <v>707</v>
      </c>
      <c r="E3420" s="16">
        <v>2016.0</v>
      </c>
      <c r="F3420" s="16">
        <v>50.7444</v>
      </c>
      <c r="G3420" s="16">
        <v>12.1183</v>
      </c>
      <c r="H3420" s="15"/>
      <c r="I3420" s="15"/>
    </row>
    <row r="3421">
      <c r="A3421" s="18">
        <v>45665.0</v>
      </c>
      <c r="B3421" s="16" t="s">
        <v>4253</v>
      </c>
      <c r="C3421" s="16">
        <v>10.0</v>
      </c>
      <c r="D3421" s="16" t="s">
        <v>707</v>
      </c>
      <c r="E3421" s="16">
        <v>2016.0</v>
      </c>
      <c r="F3421" s="16">
        <v>51.3572</v>
      </c>
      <c r="G3421" s="16">
        <v>13.3435</v>
      </c>
      <c r="H3421" s="15"/>
      <c r="I3421" s="15"/>
    </row>
    <row r="3422">
      <c r="A3422" s="18">
        <v>45665.0</v>
      </c>
      <c r="B3422" s="16" t="s">
        <v>4254</v>
      </c>
      <c r="C3422" s="16" t="s">
        <v>946</v>
      </c>
      <c r="D3422" s="16" t="s">
        <v>707</v>
      </c>
      <c r="E3422" s="16">
        <v>2016.0</v>
      </c>
      <c r="F3422" s="16">
        <v>50.8578</v>
      </c>
      <c r="G3422" s="16">
        <v>11.5153</v>
      </c>
      <c r="H3422" s="15"/>
      <c r="I3422" s="15"/>
    </row>
    <row r="3423">
      <c r="A3423" s="18">
        <v>45665.0</v>
      </c>
      <c r="B3423" s="16" t="s">
        <v>4255</v>
      </c>
      <c r="C3423" s="16" t="s">
        <v>959</v>
      </c>
      <c r="D3423" s="16" t="s">
        <v>707</v>
      </c>
      <c r="E3423" s="16">
        <v>2016.0</v>
      </c>
      <c r="F3423" s="16">
        <v>51.2625</v>
      </c>
      <c r="G3423" s="16">
        <v>10.7585</v>
      </c>
      <c r="H3423" s="15"/>
      <c r="I3423" s="15"/>
    </row>
    <row r="3424">
      <c r="A3424" s="18">
        <v>45665.0</v>
      </c>
      <c r="B3424" s="16" t="s">
        <v>4256</v>
      </c>
      <c r="C3424" s="16" t="s">
        <v>961</v>
      </c>
      <c r="D3424" s="16" t="s">
        <v>707</v>
      </c>
      <c r="E3424" s="16">
        <v>2016.0</v>
      </c>
      <c r="F3424" s="16">
        <v>49.326</v>
      </c>
      <c r="G3424" s="16">
        <v>7.3166</v>
      </c>
      <c r="H3424" s="15"/>
      <c r="I3424" s="15"/>
    </row>
    <row r="3425">
      <c r="A3425" s="18">
        <v>45665.0</v>
      </c>
      <c r="B3425" s="16" t="s">
        <v>4257</v>
      </c>
      <c r="C3425" s="16" t="s">
        <v>946</v>
      </c>
      <c r="D3425" s="16" t="s">
        <v>707</v>
      </c>
      <c r="E3425" s="16">
        <v>2016.0</v>
      </c>
      <c r="F3425" s="16">
        <v>51.0822</v>
      </c>
      <c r="G3425" s="16">
        <v>13.9029</v>
      </c>
      <c r="H3425" s="15"/>
      <c r="I3425" s="15"/>
    </row>
    <row r="3426">
      <c r="A3426" s="18">
        <v>45665.0</v>
      </c>
      <c r="B3426" s="16" t="s">
        <v>4258</v>
      </c>
      <c r="C3426" s="16">
        <v>6.0</v>
      </c>
      <c r="D3426" s="16" t="s">
        <v>707</v>
      </c>
      <c r="E3426" s="16">
        <v>2016.0</v>
      </c>
      <c r="F3426" s="16">
        <v>53.461</v>
      </c>
      <c r="G3426" s="16">
        <v>11.4302</v>
      </c>
      <c r="H3426" s="15"/>
      <c r="I3426" s="15"/>
    </row>
    <row r="3427">
      <c r="A3427" s="18">
        <v>45665.0</v>
      </c>
      <c r="B3427" s="16" t="s">
        <v>4259</v>
      </c>
      <c r="C3427" s="16" t="s">
        <v>942</v>
      </c>
      <c r="D3427" s="16" t="s">
        <v>707</v>
      </c>
      <c r="E3427" s="16">
        <v>2016.0</v>
      </c>
      <c r="F3427" s="16">
        <v>51.0886</v>
      </c>
      <c r="G3427" s="16">
        <v>12.4218</v>
      </c>
      <c r="H3427" s="15"/>
      <c r="I3427" s="15"/>
    </row>
    <row r="3428">
      <c r="A3428" s="18">
        <v>45665.0</v>
      </c>
      <c r="B3428" s="16" t="s">
        <v>4260</v>
      </c>
      <c r="C3428" s="16" t="s">
        <v>951</v>
      </c>
      <c r="D3428" s="16" t="s">
        <v>707</v>
      </c>
      <c r="E3428" s="16">
        <v>2016.0</v>
      </c>
      <c r="F3428" s="16">
        <v>51.0542</v>
      </c>
      <c r="G3428" s="16">
        <v>10.3638</v>
      </c>
      <c r="H3428" s="15"/>
      <c r="I3428" s="15"/>
    </row>
    <row r="3429">
      <c r="A3429" s="18">
        <v>45665.0</v>
      </c>
      <c r="B3429" s="16" t="s">
        <v>4261</v>
      </c>
      <c r="C3429" s="16" t="s">
        <v>1007</v>
      </c>
      <c r="D3429" s="16" t="s">
        <v>707</v>
      </c>
      <c r="E3429" s="16">
        <v>2016.0</v>
      </c>
      <c r="F3429" s="16">
        <v>51.293</v>
      </c>
      <c r="G3429" s="16">
        <v>11.4501</v>
      </c>
      <c r="H3429" s="15"/>
      <c r="I3429" s="15"/>
    </row>
    <row r="3430">
      <c r="A3430" s="18">
        <v>45665.0</v>
      </c>
      <c r="B3430" s="16" t="s">
        <v>4262</v>
      </c>
      <c r="C3430" s="16" t="s">
        <v>978</v>
      </c>
      <c r="D3430" s="16" t="s">
        <v>707</v>
      </c>
      <c r="E3430" s="16">
        <v>2016.0</v>
      </c>
      <c r="F3430" s="16">
        <v>51.0085</v>
      </c>
      <c r="G3430" s="16">
        <v>12.4317</v>
      </c>
      <c r="H3430" s="15"/>
      <c r="I3430" s="15"/>
    </row>
    <row r="3431">
      <c r="A3431" s="18">
        <v>45665.0</v>
      </c>
      <c r="B3431" s="16" t="s">
        <v>4263</v>
      </c>
      <c r="C3431" s="16">
        <v>10.0</v>
      </c>
      <c r="D3431" s="16" t="s">
        <v>707</v>
      </c>
      <c r="E3431" s="16">
        <v>2016.0</v>
      </c>
      <c r="F3431" s="16">
        <v>51.6058</v>
      </c>
      <c r="G3431" s="16">
        <v>12.2962</v>
      </c>
      <c r="H3431" s="15"/>
      <c r="I3431" s="15"/>
    </row>
    <row r="3432">
      <c r="A3432" s="18">
        <v>45665.0</v>
      </c>
      <c r="B3432" s="16" t="s">
        <v>4264</v>
      </c>
      <c r="C3432" s="16" t="s">
        <v>1094</v>
      </c>
      <c r="D3432" s="16" t="s">
        <v>707</v>
      </c>
      <c r="E3432" s="16">
        <v>2016.0</v>
      </c>
      <c r="F3432" s="16">
        <v>49.8533</v>
      </c>
      <c r="G3432" s="16">
        <v>6.827</v>
      </c>
      <c r="H3432" s="15"/>
      <c r="I3432" s="15"/>
    </row>
    <row r="3433">
      <c r="A3433" s="18">
        <v>45665.0</v>
      </c>
      <c r="B3433" s="16" t="s">
        <v>4265</v>
      </c>
      <c r="C3433" s="16" t="s">
        <v>1080</v>
      </c>
      <c r="D3433" s="16" t="s">
        <v>707</v>
      </c>
      <c r="E3433" s="16">
        <v>2016.0</v>
      </c>
      <c r="F3433" s="16">
        <v>53.4935</v>
      </c>
      <c r="G3433" s="16">
        <v>14.2482</v>
      </c>
      <c r="H3433" s="15"/>
      <c r="I3433" s="15"/>
    </row>
    <row r="3434">
      <c r="A3434" s="18">
        <v>45665.0</v>
      </c>
      <c r="B3434" s="16" t="s">
        <v>4266</v>
      </c>
      <c r="C3434" s="16" t="s">
        <v>951</v>
      </c>
      <c r="D3434" s="16" t="s">
        <v>707</v>
      </c>
      <c r="E3434" s="16">
        <v>2016.0</v>
      </c>
      <c r="F3434" s="16">
        <v>51.3291</v>
      </c>
      <c r="G3434" s="16">
        <v>8.8437</v>
      </c>
      <c r="H3434" s="15"/>
      <c r="I3434" s="15"/>
    </row>
    <row r="3435">
      <c r="A3435" s="18">
        <v>45665.0</v>
      </c>
      <c r="B3435" s="16" t="s">
        <v>4267</v>
      </c>
      <c r="C3435" s="16">
        <v>5.0</v>
      </c>
      <c r="D3435" s="16" t="s">
        <v>707</v>
      </c>
      <c r="E3435" s="16">
        <v>2016.0</v>
      </c>
      <c r="F3435" s="16">
        <v>51.6425</v>
      </c>
      <c r="G3435" s="16">
        <v>14.0993</v>
      </c>
      <c r="H3435" s="15"/>
      <c r="I3435" s="15"/>
    </row>
    <row r="3436">
      <c r="A3436" s="18">
        <v>45665.0</v>
      </c>
      <c r="B3436" s="16" t="s">
        <v>4268</v>
      </c>
      <c r="C3436" s="16" t="s">
        <v>1267</v>
      </c>
      <c r="D3436" s="16" t="s">
        <v>707</v>
      </c>
      <c r="E3436" s="16">
        <v>2016.0</v>
      </c>
      <c r="F3436" s="16">
        <v>51.642</v>
      </c>
      <c r="G3436" s="16">
        <v>14.0986</v>
      </c>
      <c r="H3436" s="15"/>
      <c r="I3436" s="15"/>
    </row>
    <row r="3437">
      <c r="A3437" s="18">
        <v>45665.0</v>
      </c>
      <c r="B3437" s="16" t="s">
        <v>4269</v>
      </c>
      <c r="C3437" s="16" t="s">
        <v>948</v>
      </c>
      <c r="D3437" s="16" t="s">
        <v>707</v>
      </c>
      <c r="E3437" s="16">
        <v>2016.0</v>
      </c>
      <c r="F3437" s="16">
        <v>48.628</v>
      </c>
      <c r="G3437" s="16">
        <v>11.7509</v>
      </c>
      <c r="H3437" s="15"/>
      <c r="I3437" s="15"/>
    </row>
    <row r="3438">
      <c r="A3438" s="18">
        <v>45665.0</v>
      </c>
      <c r="B3438" s="16" t="s">
        <v>4270</v>
      </c>
      <c r="C3438" s="16" t="s">
        <v>946</v>
      </c>
      <c r="D3438" s="16" t="s">
        <v>707</v>
      </c>
      <c r="E3438" s="16">
        <v>2016.0</v>
      </c>
      <c r="F3438" s="16">
        <v>53.495</v>
      </c>
      <c r="G3438" s="16">
        <v>9.3287</v>
      </c>
      <c r="H3438" s="15"/>
      <c r="I3438" s="15"/>
    </row>
    <row r="3439">
      <c r="A3439" s="18">
        <v>45665.0</v>
      </c>
      <c r="B3439" s="16" t="s">
        <v>4271</v>
      </c>
      <c r="C3439" s="16" t="s">
        <v>1090</v>
      </c>
      <c r="D3439" s="16" t="s">
        <v>707</v>
      </c>
      <c r="E3439" s="16">
        <v>2016.0</v>
      </c>
      <c r="F3439" s="16">
        <v>51.5167</v>
      </c>
      <c r="G3439" s="16">
        <v>8.1184</v>
      </c>
      <c r="H3439" s="15"/>
      <c r="I3439" s="15"/>
    </row>
    <row r="3440">
      <c r="A3440" s="18">
        <v>45665.0</v>
      </c>
      <c r="B3440" s="16" t="s">
        <v>4272</v>
      </c>
      <c r="C3440" s="16" t="s">
        <v>982</v>
      </c>
      <c r="D3440" s="16" t="s">
        <v>707</v>
      </c>
      <c r="E3440" s="16">
        <v>2016.0</v>
      </c>
      <c r="F3440" s="16">
        <v>50.4366</v>
      </c>
      <c r="G3440" s="16">
        <v>7.5102</v>
      </c>
      <c r="H3440" s="15"/>
      <c r="I3440" s="15"/>
    </row>
    <row r="3441">
      <c r="A3441" s="18">
        <v>45665.0</v>
      </c>
      <c r="B3441" s="16" t="s">
        <v>4273</v>
      </c>
      <c r="C3441" s="16" t="s">
        <v>1873</v>
      </c>
      <c r="D3441" s="16" t="s">
        <v>707</v>
      </c>
      <c r="E3441" s="16">
        <v>2016.0</v>
      </c>
      <c r="F3441" s="16">
        <v>52.6187</v>
      </c>
      <c r="G3441" s="16">
        <v>12.3766</v>
      </c>
      <c r="H3441" s="15"/>
      <c r="I3441" s="15"/>
    </row>
    <row r="3442">
      <c r="A3442" s="18">
        <v>45665.0</v>
      </c>
      <c r="B3442" s="16" t="s">
        <v>4274</v>
      </c>
      <c r="C3442" s="16" t="s">
        <v>1039</v>
      </c>
      <c r="D3442" s="16" t="s">
        <v>707</v>
      </c>
      <c r="E3442" s="16">
        <v>2016.0</v>
      </c>
      <c r="F3442" s="16">
        <v>52.6275</v>
      </c>
      <c r="G3442" s="16">
        <v>12.3513</v>
      </c>
      <c r="H3442" s="15"/>
      <c r="I3442" s="15"/>
    </row>
    <row r="3443">
      <c r="A3443" s="18">
        <v>45665.0</v>
      </c>
      <c r="B3443" s="16" t="s">
        <v>4275</v>
      </c>
      <c r="C3443" s="16" t="s">
        <v>1059</v>
      </c>
      <c r="D3443" s="16" t="s">
        <v>707</v>
      </c>
      <c r="E3443" s="16">
        <v>2016.0</v>
      </c>
      <c r="F3443" s="16">
        <v>52.3143</v>
      </c>
      <c r="G3443" s="16">
        <v>8.3445</v>
      </c>
      <c r="H3443" s="15"/>
      <c r="I3443" s="15"/>
    </row>
    <row r="3444">
      <c r="A3444" s="18">
        <v>45665.0</v>
      </c>
      <c r="B3444" s="16" t="s">
        <v>4276</v>
      </c>
      <c r="C3444" s="16" t="s">
        <v>978</v>
      </c>
      <c r="D3444" s="16" t="s">
        <v>707</v>
      </c>
      <c r="E3444" s="16">
        <v>2016.0</v>
      </c>
      <c r="F3444" s="16">
        <v>52.2971</v>
      </c>
      <c r="G3444" s="16">
        <v>10.3029</v>
      </c>
      <c r="H3444" s="15"/>
      <c r="I3444" s="15"/>
    </row>
    <row r="3445">
      <c r="A3445" s="18">
        <v>45665.0</v>
      </c>
      <c r="B3445" s="16" t="s">
        <v>4277</v>
      </c>
      <c r="C3445" s="16">
        <v>10.0</v>
      </c>
      <c r="D3445" s="16" t="s">
        <v>707</v>
      </c>
      <c r="E3445" s="16">
        <v>2016.0</v>
      </c>
      <c r="F3445" s="16">
        <v>51.4911</v>
      </c>
      <c r="G3445" s="16">
        <v>13.8772</v>
      </c>
      <c r="H3445" s="15"/>
      <c r="I3445" s="15"/>
    </row>
    <row r="3446">
      <c r="A3446" s="18">
        <v>45665.0</v>
      </c>
      <c r="B3446" s="16" t="s">
        <v>4278</v>
      </c>
      <c r="C3446" s="16" t="s">
        <v>1011</v>
      </c>
      <c r="D3446" s="16" t="s">
        <v>707</v>
      </c>
      <c r="E3446" s="16">
        <v>2016.0</v>
      </c>
      <c r="F3446" s="16">
        <v>51.2362</v>
      </c>
      <c r="G3446" s="16">
        <v>11.9562</v>
      </c>
      <c r="H3446" s="15"/>
      <c r="I3446" s="15"/>
    </row>
    <row r="3447">
      <c r="A3447" s="18">
        <v>45665.0</v>
      </c>
      <c r="B3447" s="16" t="s">
        <v>4279</v>
      </c>
      <c r="C3447" s="16" t="s">
        <v>984</v>
      </c>
      <c r="D3447" s="16" t="s">
        <v>707</v>
      </c>
      <c r="E3447" s="16">
        <v>2016.0</v>
      </c>
      <c r="F3447" s="16">
        <v>52.5469</v>
      </c>
      <c r="G3447" s="16">
        <v>14.3738</v>
      </c>
      <c r="H3447" s="15"/>
      <c r="I3447" s="15"/>
    </row>
    <row r="3448">
      <c r="A3448" s="18">
        <v>45665.0</v>
      </c>
      <c r="B3448" s="16" t="s">
        <v>4280</v>
      </c>
      <c r="C3448" s="16" t="s">
        <v>4064</v>
      </c>
      <c r="D3448" s="16" t="s">
        <v>707</v>
      </c>
      <c r="E3448" s="16">
        <v>2016.0</v>
      </c>
      <c r="F3448" s="16">
        <v>50.188</v>
      </c>
      <c r="G3448" s="16">
        <v>10.822</v>
      </c>
      <c r="H3448" s="15"/>
      <c r="I3448" s="15"/>
    </row>
    <row r="3449">
      <c r="A3449" s="18">
        <v>45665.0</v>
      </c>
      <c r="B3449" s="16" t="s">
        <v>4281</v>
      </c>
      <c r="C3449" s="16" t="s">
        <v>1011</v>
      </c>
      <c r="D3449" s="16" t="s">
        <v>707</v>
      </c>
      <c r="E3449" s="16">
        <v>2016.0</v>
      </c>
      <c r="F3449" s="16">
        <v>50.188</v>
      </c>
      <c r="G3449" s="16">
        <v>10.822</v>
      </c>
      <c r="H3449" s="15"/>
      <c r="I3449" s="15"/>
    </row>
    <row r="3450">
      <c r="A3450" s="18">
        <v>45665.0</v>
      </c>
      <c r="B3450" s="16" t="s">
        <v>4282</v>
      </c>
      <c r="C3450" s="16" t="s">
        <v>1436</v>
      </c>
      <c r="D3450" s="16" t="s">
        <v>707</v>
      </c>
      <c r="E3450" s="16">
        <v>2016.0</v>
      </c>
      <c r="F3450" s="16">
        <v>51.5977</v>
      </c>
      <c r="G3450" s="16">
        <v>6.1483</v>
      </c>
      <c r="H3450" s="15"/>
      <c r="I3450" s="15"/>
    </row>
    <row r="3451">
      <c r="A3451" s="18">
        <v>45665.0</v>
      </c>
      <c r="B3451" s="16" t="s">
        <v>4283</v>
      </c>
      <c r="C3451" s="16" t="s">
        <v>1475</v>
      </c>
      <c r="D3451" s="16" t="s">
        <v>707</v>
      </c>
      <c r="E3451" s="16">
        <v>2016.0</v>
      </c>
      <c r="F3451" s="16">
        <v>51.1033</v>
      </c>
      <c r="G3451" s="16">
        <v>12.1769</v>
      </c>
      <c r="H3451" s="15"/>
      <c r="I3451" s="15"/>
    </row>
    <row r="3452">
      <c r="A3452" s="18">
        <v>45665.0</v>
      </c>
      <c r="B3452" s="16" t="s">
        <v>4284</v>
      </c>
      <c r="C3452" s="16">
        <v>10.0</v>
      </c>
      <c r="D3452" s="16" t="s">
        <v>707</v>
      </c>
      <c r="E3452" s="16">
        <v>2016.0</v>
      </c>
      <c r="F3452" s="16">
        <v>49.9408</v>
      </c>
      <c r="G3452" s="16">
        <v>6.7673</v>
      </c>
      <c r="H3452" s="15"/>
      <c r="I3452" s="15"/>
    </row>
    <row r="3453">
      <c r="A3453" s="18">
        <v>45665.0</v>
      </c>
      <c r="B3453" s="16" t="s">
        <v>4285</v>
      </c>
      <c r="C3453" s="16" t="s">
        <v>1215</v>
      </c>
      <c r="D3453" s="16" t="s">
        <v>707</v>
      </c>
      <c r="E3453" s="16">
        <v>2016.0</v>
      </c>
      <c r="F3453" s="16">
        <v>51.6794</v>
      </c>
      <c r="G3453" s="16">
        <v>11.4991</v>
      </c>
      <c r="H3453" s="15"/>
      <c r="I3453" s="15"/>
    </row>
    <row r="3454">
      <c r="A3454" s="18">
        <v>45665.0</v>
      </c>
      <c r="B3454" s="16" t="s">
        <v>4286</v>
      </c>
      <c r="C3454" s="16" t="s">
        <v>984</v>
      </c>
      <c r="D3454" s="16" t="s">
        <v>707</v>
      </c>
      <c r="E3454" s="16">
        <v>2016.0</v>
      </c>
      <c r="F3454" s="16">
        <v>50.184</v>
      </c>
      <c r="G3454" s="16">
        <v>8.9134</v>
      </c>
      <c r="H3454" s="15"/>
      <c r="I3454" s="15"/>
    </row>
    <row r="3455">
      <c r="A3455" s="18">
        <v>45665.0</v>
      </c>
      <c r="B3455" s="16" t="s">
        <v>4287</v>
      </c>
      <c r="C3455" s="16" t="s">
        <v>1004</v>
      </c>
      <c r="D3455" s="16" t="s">
        <v>707</v>
      </c>
      <c r="E3455" s="16">
        <v>2016.0</v>
      </c>
      <c r="F3455" s="16">
        <v>51.5456</v>
      </c>
      <c r="G3455" s="16">
        <v>7.4172</v>
      </c>
      <c r="H3455" s="15"/>
      <c r="I3455" s="15"/>
    </row>
    <row r="3456">
      <c r="A3456" s="18">
        <v>45665.0</v>
      </c>
      <c r="B3456" s="16" t="s">
        <v>4288</v>
      </c>
      <c r="C3456" s="16" t="s">
        <v>1039</v>
      </c>
      <c r="D3456" s="16" t="s">
        <v>707</v>
      </c>
      <c r="E3456" s="16">
        <v>2016.0</v>
      </c>
      <c r="F3456" s="16">
        <v>51.403</v>
      </c>
      <c r="G3456" s="16">
        <v>11.285</v>
      </c>
      <c r="H3456" s="15"/>
      <c r="I3456" s="15"/>
    </row>
    <row r="3457">
      <c r="A3457" s="18">
        <v>45665.0</v>
      </c>
      <c r="B3457" s="16" t="s">
        <v>4289</v>
      </c>
      <c r="C3457" s="16" t="s">
        <v>1751</v>
      </c>
      <c r="D3457" s="16" t="s">
        <v>707</v>
      </c>
      <c r="E3457" s="16">
        <v>2016.0</v>
      </c>
      <c r="F3457" s="16">
        <v>52.302</v>
      </c>
      <c r="G3457" s="16">
        <v>13.1531</v>
      </c>
      <c r="H3457" s="15"/>
      <c r="I3457" s="15"/>
    </row>
    <row r="3458">
      <c r="A3458" s="18">
        <v>45665.0</v>
      </c>
      <c r="B3458" s="16" t="s">
        <v>4290</v>
      </c>
      <c r="C3458" s="16" t="s">
        <v>1034</v>
      </c>
      <c r="D3458" s="16" t="s">
        <v>707</v>
      </c>
      <c r="E3458" s="16">
        <v>2016.0</v>
      </c>
      <c r="F3458" s="16">
        <v>51.5781</v>
      </c>
      <c r="G3458" s="16">
        <v>13.9821</v>
      </c>
      <c r="H3458" s="15"/>
      <c r="I3458" s="15"/>
    </row>
    <row r="3459">
      <c r="A3459" s="18">
        <v>45665.0</v>
      </c>
      <c r="B3459" s="16" t="s">
        <v>4291</v>
      </c>
      <c r="C3459" s="16" t="s">
        <v>1181</v>
      </c>
      <c r="D3459" s="16" t="s">
        <v>707</v>
      </c>
      <c r="E3459" s="16">
        <v>2016.0</v>
      </c>
      <c r="F3459" s="16">
        <v>52.4864</v>
      </c>
      <c r="G3459" s="16">
        <v>12.3339</v>
      </c>
      <c r="H3459" s="15"/>
      <c r="I3459" s="15"/>
    </row>
    <row r="3460">
      <c r="A3460" s="18">
        <v>45665.0</v>
      </c>
      <c r="B3460" s="16" t="s">
        <v>4292</v>
      </c>
      <c r="C3460" s="16" t="s">
        <v>1039</v>
      </c>
      <c r="D3460" s="16" t="s">
        <v>707</v>
      </c>
      <c r="E3460" s="16">
        <v>2016.0</v>
      </c>
      <c r="F3460" s="16">
        <v>49.8016</v>
      </c>
      <c r="G3460" s="16">
        <v>9.5886</v>
      </c>
      <c r="H3460" s="15"/>
      <c r="I3460" s="15"/>
    </row>
    <row r="3461">
      <c r="A3461" s="18">
        <v>45665.0</v>
      </c>
      <c r="B3461" s="16" t="s">
        <v>4293</v>
      </c>
      <c r="C3461" s="16" t="s">
        <v>2668</v>
      </c>
      <c r="D3461" s="16" t="s">
        <v>707</v>
      </c>
      <c r="E3461" s="16">
        <v>2016.0</v>
      </c>
      <c r="F3461" s="16">
        <v>53.3257</v>
      </c>
      <c r="G3461" s="16">
        <v>14.3297</v>
      </c>
      <c r="H3461" s="15"/>
      <c r="I3461" s="15"/>
    </row>
    <row r="3462">
      <c r="A3462" s="18">
        <v>45665.0</v>
      </c>
      <c r="B3462" s="16" t="s">
        <v>4294</v>
      </c>
      <c r="C3462" s="16" t="s">
        <v>1085</v>
      </c>
      <c r="D3462" s="16" t="s">
        <v>707</v>
      </c>
      <c r="E3462" s="16">
        <v>2016.0</v>
      </c>
      <c r="F3462" s="16">
        <v>49.7143</v>
      </c>
      <c r="G3462" s="16">
        <v>9.9207</v>
      </c>
      <c r="H3462" s="15"/>
      <c r="I3462" s="15"/>
    </row>
    <row r="3463">
      <c r="A3463" s="18">
        <v>45665.0</v>
      </c>
      <c r="B3463" s="16" t="s">
        <v>4295</v>
      </c>
      <c r="C3463" s="16">
        <v>10.0</v>
      </c>
      <c r="D3463" s="16" t="s">
        <v>707</v>
      </c>
      <c r="E3463" s="16">
        <v>2016.0</v>
      </c>
      <c r="F3463" s="16">
        <v>54.7688</v>
      </c>
      <c r="G3463" s="16">
        <v>9.1332</v>
      </c>
      <c r="H3463" s="15"/>
      <c r="I3463" s="15"/>
    </row>
    <row r="3464">
      <c r="A3464" s="18">
        <v>45665.0</v>
      </c>
      <c r="B3464" s="16" t="s">
        <v>4296</v>
      </c>
      <c r="C3464" s="16" t="s">
        <v>942</v>
      </c>
      <c r="D3464" s="16" t="s">
        <v>707</v>
      </c>
      <c r="E3464" s="16">
        <v>2016.0</v>
      </c>
      <c r="F3464" s="16">
        <v>50.4906</v>
      </c>
      <c r="G3464" s="16">
        <v>7.7666</v>
      </c>
      <c r="H3464" s="15"/>
      <c r="I3464" s="15"/>
    </row>
    <row r="3465">
      <c r="A3465" s="18">
        <v>45665.0</v>
      </c>
      <c r="B3465" s="16" t="s">
        <v>4297</v>
      </c>
      <c r="C3465" s="16" t="s">
        <v>942</v>
      </c>
      <c r="D3465" s="16" t="s">
        <v>707</v>
      </c>
      <c r="E3465" s="16">
        <v>2016.0</v>
      </c>
      <c r="F3465" s="16">
        <v>50.4904</v>
      </c>
      <c r="G3465" s="16">
        <v>7.7672</v>
      </c>
      <c r="H3465" s="15"/>
      <c r="I3465" s="15"/>
    </row>
    <row r="3466">
      <c r="A3466" s="18">
        <v>45665.0</v>
      </c>
      <c r="B3466" s="16" t="s">
        <v>4298</v>
      </c>
      <c r="C3466" s="16" t="s">
        <v>942</v>
      </c>
      <c r="D3466" s="16" t="s">
        <v>707</v>
      </c>
      <c r="E3466" s="16">
        <v>2016.0</v>
      </c>
      <c r="F3466" s="16">
        <v>50.4901</v>
      </c>
      <c r="G3466" s="16">
        <v>7.7674</v>
      </c>
      <c r="H3466" s="15"/>
      <c r="I3466" s="15"/>
    </row>
    <row r="3467">
      <c r="A3467" s="18">
        <v>45665.0</v>
      </c>
      <c r="B3467" s="16" t="s">
        <v>4299</v>
      </c>
      <c r="C3467" s="16" t="s">
        <v>1096</v>
      </c>
      <c r="D3467" s="16" t="s">
        <v>707</v>
      </c>
      <c r="E3467" s="16">
        <v>2016.0</v>
      </c>
      <c r="F3467" s="16">
        <v>52.4084</v>
      </c>
      <c r="G3467" s="16">
        <v>13.5384</v>
      </c>
      <c r="H3467" s="15"/>
      <c r="I3467" s="15"/>
    </row>
    <row r="3468">
      <c r="A3468" s="18">
        <v>45665.0</v>
      </c>
      <c r="B3468" s="16" t="s">
        <v>4300</v>
      </c>
      <c r="C3468" s="16">
        <v>3.0</v>
      </c>
      <c r="D3468" s="16" t="s">
        <v>707</v>
      </c>
      <c r="E3468" s="16">
        <v>2016.0</v>
      </c>
      <c r="F3468" s="16">
        <v>47.5441</v>
      </c>
      <c r="G3468" s="16">
        <v>7.7254</v>
      </c>
      <c r="H3468" s="15"/>
      <c r="I3468" s="15"/>
    </row>
    <row r="3469">
      <c r="A3469" s="18">
        <v>45665.0</v>
      </c>
      <c r="B3469" s="16" t="s">
        <v>4301</v>
      </c>
      <c r="C3469" s="16" t="s">
        <v>2147</v>
      </c>
      <c r="D3469" s="16" t="s">
        <v>707</v>
      </c>
      <c r="E3469" s="16">
        <v>2016.0</v>
      </c>
      <c r="F3469" s="16">
        <v>52.5117</v>
      </c>
      <c r="G3469" s="16">
        <v>11.5255</v>
      </c>
      <c r="H3469" s="15"/>
      <c r="I3469" s="15"/>
    </row>
    <row r="3470">
      <c r="A3470" s="18">
        <v>45665.0</v>
      </c>
      <c r="B3470" s="16" t="s">
        <v>4302</v>
      </c>
      <c r="C3470" s="16">
        <v>2.0</v>
      </c>
      <c r="D3470" s="16" t="s">
        <v>707</v>
      </c>
      <c r="E3470" s="16">
        <v>2016.0</v>
      </c>
      <c r="F3470" s="16">
        <v>51.7698</v>
      </c>
      <c r="G3470" s="16">
        <v>11.0027</v>
      </c>
      <c r="H3470" s="15"/>
      <c r="I3470" s="15"/>
    </row>
    <row r="3471">
      <c r="A3471" s="18">
        <v>45665.0</v>
      </c>
      <c r="B3471" s="16" t="s">
        <v>4303</v>
      </c>
      <c r="C3471" s="16">
        <v>6.0</v>
      </c>
      <c r="D3471" s="16" t="s">
        <v>707</v>
      </c>
      <c r="E3471" s="16">
        <v>2016.0</v>
      </c>
      <c r="F3471" s="16">
        <v>52.4183</v>
      </c>
      <c r="G3471" s="16">
        <v>11.7456</v>
      </c>
      <c r="H3471" s="15"/>
      <c r="I3471" s="15"/>
    </row>
    <row r="3472">
      <c r="A3472" s="18">
        <v>45665.0</v>
      </c>
      <c r="B3472" s="16" t="s">
        <v>4304</v>
      </c>
      <c r="C3472" s="16" t="s">
        <v>959</v>
      </c>
      <c r="D3472" s="16" t="s">
        <v>707</v>
      </c>
      <c r="E3472" s="16">
        <v>2016.0</v>
      </c>
      <c r="F3472" s="16">
        <v>49.5668</v>
      </c>
      <c r="G3472" s="16">
        <v>8.3834</v>
      </c>
      <c r="H3472" s="15"/>
      <c r="I3472" s="15"/>
    </row>
    <row r="3473">
      <c r="A3473" s="18">
        <v>45665.0</v>
      </c>
      <c r="B3473" s="16" t="s">
        <v>4305</v>
      </c>
      <c r="C3473" s="16" t="s">
        <v>942</v>
      </c>
      <c r="D3473" s="16" t="s">
        <v>707</v>
      </c>
      <c r="E3473" s="16">
        <v>2016.0</v>
      </c>
      <c r="F3473" s="16">
        <v>48.6568</v>
      </c>
      <c r="G3473" s="16">
        <v>12.6158</v>
      </c>
      <c r="H3473" s="15"/>
      <c r="I3473" s="15"/>
    </row>
    <row r="3474">
      <c r="A3474" s="18">
        <v>45665.0</v>
      </c>
      <c r="B3474" s="16" t="s">
        <v>4306</v>
      </c>
      <c r="C3474" s="16" t="s">
        <v>1055</v>
      </c>
      <c r="D3474" s="16" t="s">
        <v>707</v>
      </c>
      <c r="E3474" s="16">
        <v>2016.0</v>
      </c>
      <c r="F3474" s="16">
        <v>49.6173</v>
      </c>
      <c r="G3474" s="16">
        <v>8.3447</v>
      </c>
      <c r="H3474" s="15"/>
      <c r="I3474" s="15"/>
    </row>
    <row r="3475">
      <c r="A3475" s="18">
        <v>45665.0</v>
      </c>
      <c r="B3475" s="16" t="s">
        <v>4307</v>
      </c>
      <c r="C3475" s="16" t="s">
        <v>1090</v>
      </c>
      <c r="D3475" s="16" t="s">
        <v>707</v>
      </c>
      <c r="E3475" s="16">
        <v>2016.0</v>
      </c>
      <c r="F3475" s="16">
        <v>50.9167</v>
      </c>
      <c r="G3475" s="16">
        <v>10.5477</v>
      </c>
      <c r="H3475" s="15"/>
      <c r="I3475" s="15"/>
    </row>
    <row r="3476">
      <c r="A3476" s="18">
        <v>45665.0</v>
      </c>
      <c r="B3476" s="16" t="s">
        <v>4308</v>
      </c>
      <c r="C3476" s="16" t="s">
        <v>951</v>
      </c>
      <c r="D3476" s="16" t="s">
        <v>707</v>
      </c>
      <c r="E3476" s="16">
        <v>2016.0</v>
      </c>
      <c r="F3476" s="16">
        <v>49.0077</v>
      </c>
      <c r="G3476" s="16">
        <v>8.6088</v>
      </c>
      <c r="H3476" s="15"/>
      <c r="I3476" s="15"/>
    </row>
    <row r="3477">
      <c r="A3477" s="18">
        <v>45665.0</v>
      </c>
      <c r="B3477" s="16" t="s">
        <v>4309</v>
      </c>
      <c r="C3477" s="16" t="s">
        <v>969</v>
      </c>
      <c r="D3477" s="16" t="s">
        <v>707</v>
      </c>
      <c r="E3477" s="16">
        <v>2016.0</v>
      </c>
      <c r="F3477" s="16">
        <v>51.896</v>
      </c>
      <c r="G3477" s="16">
        <v>11.1903</v>
      </c>
      <c r="H3477" s="15"/>
      <c r="I3477" s="15"/>
    </row>
    <row r="3478">
      <c r="A3478" s="18">
        <v>45665.0</v>
      </c>
      <c r="B3478" s="16" t="s">
        <v>4310</v>
      </c>
      <c r="C3478" s="16" t="s">
        <v>978</v>
      </c>
      <c r="D3478" s="16" t="s">
        <v>707</v>
      </c>
      <c r="E3478" s="16">
        <v>2016.0</v>
      </c>
      <c r="F3478" s="16">
        <v>50.8531</v>
      </c>
      <c r="G3478" s="16">
        <v>12.9823</v>
      </c>
      <c r="H3478" s="15"/>
      <c r="I3478" s="15"/>
    </row>
    <row r="3479">
      <c r="A3479" s="18">
        <v>45665.0</v>
      </c>
      <c r="B3479" s="16" t="s">
        <v>4311</v>
      </c>
      <c r="C3479" s="16" t="s">
        <v>1090</v>
      </c>
      <c r="D3479" s="16" t="s">
        <v>707</v>
      </c>
      <c r="E3479" s="16">
        <v>2016.0</v>
      </c>
      <c r="F3479" s="16">
        <v>52.7186</v>
      </c>
      <c r="G3479" s="16">
        <v>14.125</v>
      </c>
      <c r="H3479" s="15"/>
      <c r="I3479" s="15"/>
    </row>
    <row r="3480">
      <c r="A3480" s="18">
        <v>45665.0</v>
      </c>
      <c r="B3480" s="16" t="s">
        <v>4312</v>
      </c>
      <c r="C3480" s="16" t="s">
        <v>1039</v>
      </c>
      <c r="D3480" s="16" t="s">
        <v>707</v>
      </c>
      <c r="E3480" s="16">
        <v>2016.0</v>
      </c>
      <c r="F3480" s="16">
        <v>51.6325</v>
      </c>
      <c r="G3480" s="16">
        <v>12.0855</v>
      </c>
      <c r="H3480" s="15"/>
      <c r="I3480" s="15"/>
    </row>
    <row r="3481">
      <c r="A3481" s="18">
        <v>45665.0</v>
      </c>
      <c r="B3481" s="16" t="s">
        <v>4313</v>
      </c>
      <c r="C3481" s="16" t="s">
        <v>969</v>
      </c>
      <c r="D3481" s="16" t="s">
        <v>707</v>
      </c>
      <c r="E3481" s="16">
        <v>2016.0</v>
      </c>
      <c r="F3481" s="16">
        <v>51.5377</v>
      </c>
      <c r="G3481" s="16">
        <v>14.3444</v>
      </c>
      <c r="H3481" s="15"/>
      <c r="I3481" s="15"/>
    </row>
    <row r="3482">
      <c r="A3482" s="18">
        <v>45665.0</v>
      </c>
      <c r="B3482" s="16" t="s">
        <v>4314</v>
      </c>
      <c r="C3482" s="16">
        <v>6.0</v>
      </c>
      <c r="D3482" s="16" t="s">
        <v>707</v>
      </c>
      <c r="E3482" s="16">
        <v>2017.0</v>
      </c>
      <c r="F3482" s="16">
        <v>52.9368</v>
      </c>
      <c r="G3482" s="16">
        <v>12.458</v>
      </c>
      <c r="H3482" s="15"/>
      <c r="I3482" s="15"/>
    </row>
    <row r="3483">
      <c r="A3483" s="18">
        <v>45665.0</v>
      </c>
      <c r="B3483" s="16" t="s">
        <v>4315</v>
      </c>
      <c r="C3483" s="16" t="s">
        <v>1039</v>
      </c>
      <c r="D3483" s="16" t="s">
        <v>707</v>
      </c>
      <c r="E3483" s="16">
        <v>2017.0</v>
      </c>
      <c r="F3483" s="16">
        <v>48.7856</v>
      </c>
      <c r="G3483" s="16">
        <v>11.4614</v>
      </c>
      <c r="H3483" s="15"/>
      <c r="I3483" s="15"/>
    </row>
    <row r="3484">
      <c r="A3484" s="18">
        <v>45665.0</v>
      </c>
      <c r="B3484" s="16" t="s">
        <v>4316</v>
      </c>
      <c r="C3484" s="16" t="s">
        <v>1055</v>
      </c>
      <c r="D3484" s="16" t="s">
        <v>707</v>
      </c>
      <c r="E3484" s="16">
        <v>2017.0</v>
      </c>
      <c r="F3484" s="16">
        <v>48.5821</v>
      </c>
      <c r="G3484" s="16">
        <v>11.8498</v>
      </c>
      <c r="H3484" s="15"/>
      <c r="I3484" s="15"/>
    </row>
    <row r="3485">
      <c r="A3485" s="18">
        <v>45665.0</v>
      </c>
      <c r="B3485" s="16" t="s">
        <v>4317</v>
      </c>
      <c r="C3485" s="16" t="s">
        <v>1101</v>
      </c>
      <c r="D3485" s="16" t="s">
        <v>707</v>
      </c>
      <c r="E3485" s="16">
        <v>2017.0</v>
      </c>
      <c r="F3485" s="16">
        <v>48.5825</v>
      </c>
      <c r="G3485" s="16">
        <v>11.8465</v>
      </c>
      <c r="H3485" s="15"/>
      <c r="I3485" s="15"/>
    </row>
    <row r="3486">
      <c r="A3486" s="18">
        <v>45665.0</v>
      </c>
      <c r="B3486" s="16" t="s">
        <v>4318</v>
      </c>
      <c r="C3486" s="16" t="s">
        <v>990</v>
      </c>
      <c r="D3486" s="16" t="s">
        <v>707</v>
      </c>
      <c r="E3486" s="16">
        <v>2017.0</v>
      </c>
      <c r="F3486" s="16">
        <v>48.5826</v>
      </c>
      <c r="G3486" s="16">
        <v>11.8514</v>
      </c>
      <c r="H3486" s="15"/>
      <c r="I3486" s="15"/>
    </row>
    <row r="3487">
      <c r="A3487" s="18">
        <v>45665.0</v>
      </c>
      <c r="B3487" s="16" t="s">
        <v>4319</v>
      </c>
      <c r="C3487" s="16" t="s">
        <v>959</v>
      </c>
      <c r="D3487" s="16" t="s">
        <v>707</v>
      </c>
      <c r="E3487" s="16">
        <v>2017.0</v>
      </c>
      <c r="F3487" s="16">
        <v>52.6891</v>
      </c>
      <c r="G3487" s="16">
        <v>14.1595</v>
      </c>
      <c r="H3487" s="15"/>
      <c r="I3487" s="15"/>
    </row>
    <row r="3488">
      <c r="A3488" s="18">
        <v>45665.0</v>
      </c>
      <c r="B3488" s="16" t="s">
        <v>4320</v>
      </c>
      <c r="C3488" s="16" t="s">
        <v>959</v>
      </c>
      <c r="D3488" s="16" t="s">
        <v>707</v>
      </c>
      <c r="E3488" s="16">
        <v>2017.0</v>
      </c>
      <c r="F3488" s="16">
        <v>52.689</v>
      </c>
      <c r="G3488" s="16">
        <v>14.1572</v>
      </c>
      <c r="H3488" s="15"/>
      <c r="I3488" s="15"/>
    </row>
    <row r="3489">
      <c r="A3489" s="18">
        <v>45665.0</v>
      </c>
      <c r="B3489" s="16" t="s">
        <v>4321</v>
      </c>
      <c r="C3489" s="16" t="s">
        <v>1007</v>
      </c>
      <c r="D3489" s="16" t="s">
        <v>707</v>
      </c>
      <c r="E3489" s="16">
        <v>2017.0</v>
      </c>
      <c r="F3489" s="16">
        <v>52.6554</v>
      </c>
      <c r="G3489" s="16">
        <v>14.1717</v>
      </c>
      <c r="H3489" s="15"/>
      <c r="I3489" s="15"/>
    </row>
    <row r="3490">
      <c r="A3490" s="18">
        <v>45665.0</v>
      </c>
      <c r="B3490" s="16" t="s">
        <v>4322</v>
      </c>
      <c r="C3490" s="16" t="s">
        <v>1007</v>
      </c>
      <c r="D3490" s="16" t="s">
        <v>707</v>
      </c>
      <c r="E3490" s="16">
        <v>2017.0</v>
      </c>
      <c r="F3490" s="16">
        <v>52.6554</v>
      </c>
      <c r="G3490" s="16">
        <v>14.1717</v>
      </c>
      <c r="H3490" s="15"/>
      <c r="I3490" s="15"/>
    </row>
    <row r="3491">
      <c r="A3491" s="18">
        <v>45665.0</v>
      </c>
      <c r="B3491" s="16" t="s">
        <v>4323</v>
      </c>
      <c r="C3491" s="16" t="s">
        <v>1055</v>
      </c>
      <c r="D3491" s="16" t="s">
        <v>707</v>
      </c>
      <c r="E3491" s="16">
        <v>2017.0</v>
      </c>
      <c r="F3491" s="16">
        <v>52.6733</v>
      </c>
      <c r="G3491" s="16">
        <v>14.1472</v>
      </c>
      <c r="H3491" s="15"/>
      <c r="I3491" s="15"/>
    </row>
    <row r="3492">
      <c r="A3492" s="18">
        <v>45665.0</v>
      </c>
      <c r="B3492" s="16" t="s">
        <v>4324</v>
      </c>
      <c r="C3492" s="16" t="s">
        <v>1037</v>
      </c>
      <c r="D3492" s="16" t="s">
        <v>707</v>
      </c>
      <c r="E3492" s="16">
        <v>2017.0</v>
      </c>
      <c r="F3492" s="16">
        <v>52.6686</v>
      </c>
      <c r="G3492" s="16">
        <v>14.1044</v>
      </c>
      <c r="H3492" s="15"/>
      <c r="I3492" s="15"/>
    </row>
    <row r="3493">
      <c r="A3493" s="18">
        <v>45665.0</v>
      </c>
      <c r="B3493" s="16" t="s">
        <v>4325</v>
      </c>
      <c r="C3493" s="16" t="s">
        <v>1751</v>
      </c>
      <c r="D3493" s="16" t="s">
        <v>707</v>
      </c>
      <c r="E3493" s="16">
        <v>2017.0</v>
      </c>
      <c r="F3493" s="16">
        <v>53.3578</v>
      </c>
      <c r="G3493" s="16">
        <v>10.9937</v>
      </c>
      <c r="H3493" s="15"/>
      <c r="I3493" s="15"/>
    </row>
    <row r="3494">
      <c r="A3494" s="18">
        <v>45665.0</v>
      </c>
      <c r="B3494" s="16" t="s">
        <v>4326</v>
      </c>
      <c r="C3494" s="16">
        <v>10.0</v>
      </c>
      <c r="D3494" s="16" t="s">
        <v>707</v>
      </c>
      <c r="E3494" s="16">
        <v>2017.0</v>
      </c>
      <c r="F3494" s="16">
        <v>52.6561</v>
      </c>
      <c r="G3494" s="16">
        <v>13.7554</v>
      </c>
      <c r="H3494" s="15"/>
      <c r="I3494" s="15"/>
    </row>
    <row r="3495">
      <c r="A3495" s="18">
        <v>45665.0</v>
      </c>
      <c r="B3495" s="16" t="s">
        <v>4327</v>
      </c>
      <c r="C3495" s="16" t="s">
        <v>2821</v>
      </c>
      <c r="D3495" s="16" t="s">
        <v>707</v>
      </c>
      <c r="E3495" s="16">
        <v>2017.0</v>
      </c>
      <c r="F3495" s="16">
        <v>50.291</v>
      </c>
      <c r="G3495" s="16">
        <v>11.126</v>
      </c>
      <c r="H3495" s="15"/>
      <c r="I3495" s="15"/>
    </row>
    <row r="3496">
      <c r="A3496" s="18">
        <v>45665.0</v>
      </c>
      <c r="B3496" s="16" t="s">
        <v>4328</v>
      </c>
      <c r="C3496" s="16" t="s">
        <v>1051</v>
      </c>
      <c r="D3496" s="16" t="s">
        <v>707</v>
      </c>
      <c r="E3496" s="16">
        <v>2017.0</v>
      </c>
      <c r="F3496" s="16">
        <v>50.198</v>
      </c>
      <c r="G3496" s="16">
        <v>11.271</v>
      </c>
      <c r="H3496" s="15"/>
      <c r="I3496" s="15"/>
    </row>
    <row r="3497">
      <c r="A3497" s="18">
        <v>45665.0</v>
      </c>
      <c r="B3497" s="16" t="s">
        <v>4329</v>
      </c>
      <c r="C3497" s="16" t="s">
        <v>948</v>
      </c>
      <c r="D3497" s="16" t="s">
        <v>707</v>
      </c>
      <c r="E3497" s="16">
        <v>2017.0</v>
      </c>
      <c r="F3497" s="16">
        <v>52.3761</v>
      </c>
      <c r="G3497" s="16">
        <v>14.039</v>
      </c>
      <c r="H3497" s="15"/>
      <c r="I3497" s="15"/>
    </row>
    <row r="3498">
      <c r="A3498" s="18">
        <v>45665.0</v>
      </c>
      <c r="B3498" s="16" t="s">
        <v>4330</v>
      </c>
      <c r="C3498" s="16" t="s">
        <v>1609</v>
      </c>
      <c r="D3498" s="16" t="s">
        <v>707</v>
      </c>
      <c r="E3498" s="16">
        <v>2017.0</v>
      </c>
      <c r="F3498" s="16">
        <v>52.3761</v>
      </c>
      <c r="G3498" s="16">
        <v>14.039</v>
      </c>
      <c r="H3498" s="15"/>
      <c r="I3498" s="15"/>
    </row>
    <row r="3499">
      <c r="A3499" s="18">
        <v>45665.0</v>
      </c>
      <c r="B3499" s="16" t="s">
        <v>4331</v>
      </c>
      <c r="C3499" s="16">
        <v>10.0</v>
      </c>
      <c r="D3499" s="16" t="s">
        <v>707</v>
      </c>
      <c r="E3499" s="16">
        <v>2017.0</v>
      </c>
      <c r="F3499" s="16">
        <v>53.5218</v>
      </c>
      <c r="G3499" s="16">
        <v>12.6785</v>
      </c>
      <c r="H3499" s="15"/>
      <c r="I3499" s="15"/>
    </row>
    <row r="3500">
      <c r="A3500" s="18">
        <v>45665.0</v>
      </c>
      <c r="B3500" s="16" t="s">
        <v>4332</v>
      </c>
      <c r="C3500" s="16" t="s">
        <v>1436</v>
      </c>
      <c r="D3500" s="16" t="s">
        <v>707</v>
      </c>
      <c r="E3500" s="16">
        <v>2017.0</v>
      </c>
      <c r="F3500" s="16">
        <v>51.3902</v>
      </c>
      <c r="G3500" s="16">
        <v>10.8429</v>
      </c>
      <c r="H3500" s="15"/>
      <c r="I3500" s="15"/>
    </row>
    <row r="3501">
      <c r="A3501" s="18">
        <v>45665.0</v>
      </c>
      <c r="B3501" s="16" t="s">
        <v>4333</v>
      </c>
      <c r="C3501" s="16" t="s">
        <v>946</v>
      </c>
      <c r="D3501" s="16" t="s">
        <v>707</v>
      </c>
      <c r="E3501" s="16">
        <v>2017.0</v>
      </c>
      <c r="F3501" s="16">
        <v>48.6578</v>
      </c>
      <c r="G3501" s="16">
        <v>11.722</v>
      </c>
      <c r="H3501" s="15"/>
      <c r="I3501" s="15"/>
    </row>
    <row r="3502">
      <c r="A3502" s="18">
        <v>45665.0</v>
      </c>
      <c r="B3502" s="16" t="s">
        <v>4334</v>
      </c>
      <c r="C3502" s="16" t="s">
        <v>1267</v>
      </c>
      <c r="D3502" s="16" t="s">
        <v>707</v>
      </c>
      <c r="E3502" s="16">
        <v>2017.0</v>
      </c>
      <c r="F3502" s="16">
        <v>52.644</v>
      </c>
      <c r="G3502" s="16">
        <v>11.909</v>
      </c>
      <c r="H3502" s="15"/>
      <c r="I3502" s="15"/>
    </row>
    <row r="3503">
      <c r="A3503" s="18">
        <v>45665.0</v>
      </c>
      <c r="B3503" s="16" t="s">
        <v>4335</v>
      </c>
      <c r="C3503" s="16" t="s">
        <v>1170</v>
      </c>
      <c r="D3503" s="16" t="s">
        <v>707</v>
      </c>
      <c r="E3503" s="16">
        <v>2017.0</v>
      </c>
      <c r="F3503" s="16">
        <v>53.357</v>
      </c>
      <c r="G3503" s="16">
        <v>11.011</v>
      </c>
      <c r="H3503" s="15"/>
      <c r="I3503" s="15"/>
    </row>
    <row r="3504">
      <c r="A3504" s="18">
        <v>45665.0</v>
      </c>
      <c r="B3504" s="16" t="s">
        <v>4336</v>
      </c>
      <c r="C3504" s="16" t="s">
        <v>1051</v>
      </c>
      <c r="D3504" s="16" t="s">
        <v>707</v>
      </c>
      <c r="E3504" s="16">
        <v>2017.0</v>
      </c>
      <c r="F3504" s="16">
        <v>48.4551</v>
      </c>
      <c r="G3504" s="16">
        <v>9.7779</v>
      </c>
      <c r="H3504" s="15"/>
      <c r="I3504" s="15"/>
    </row>
    <row r="3505">
      <c r="A3505" s="18">
        <v>45665.0</v>
      </c>
      <c r="B3505" s="16" t="s">
        <v>4337</v>
      </c>
      <c r="C3505" s="16" t="s">
        <v>1374</v>
      </c>
      <c r="D3505" s="16" t="s">
        <v>707</v>
      </c>
      <c r="E3505" s="16">
        <v>2017.0</v>
      </c>
      <c r="F3505" s="16">
        <v>48.4978</v>
      </c>
      <c r="G3505" s="16">
        <v>12.1257</v>
      </c>
      <c r="H3505" s="15"/>
      <c r="I3505" s="15"/>
    </row>
    <row r="3506">
      <c r="A3506" s="18">
        <v>45665.0</v>
      </c>
      <c r="B3506" s="16" t="s">
        <v>4338</v>
      </c>
      <c r="C3506" s="16">
        <v>3.0</v>
      </c>
      <c r="D3506" s="16" t="s">
        <v>707</v>
      </c>
      <c r="E3506" s="16">
        <v>2017.0</v>
      </c>
      <c r="F3506" s="16">
        <v>50.4038</v>
      </c>
      <c r="G3506" s="16">
        <v>11.3315</v>
      </c>
      <c r="H3506" s="15"/>
      <c r="I3506" s="15"/>
    </row>
    <row r="3507">
      <c r="A3507" s="18">
        <v>45665.0</v>
      </c>
      <c r="B3507" s="16" t="s">
        <v>4339</v>
      </c>
      <c r="C3507" s="16" t="s">
        <v>990</v>
      </c>
      <c r="D3507" s="16" t="s">
        <v>707</v>
      </c>
      <c r="E3507" s="16">
        <v>2017.0</v>
      </c>
      <c r="F3507" s="16">
        <v>49.8294</v>
      </c>
      <c r="G3507" s="16">
        <v>6.6315</v>
      </c>
      <c r="H3507" s="15"/>
      <c r="I3507" s="15"/>
    </row>
    <row r="3508">
      <c r="A3508" s="18">
        <v>45665.0</v>
      </c>
      <c r="B3508" s="16" t="s">
        <v>4340</v>
      </c>
      <c r="C3508" s="16">
        <v>1.0</v>
      </c>
      <c r="D3508" s="16" t="s">
        <v>707</v>
      </c>
      <c r="E3508" s="16">
        <v>2017.0</v>
      </c>
      <c r="F3508" s="16">
        <v>49.9511</v>
      </c>
      <c r="G3508" s="16">
        <v>7.2848</v>
      </c>
      <c r="H3508" s="15"/>
      <c r="I3508" s="15"/>
    </row>
    <row r="3509">
      <c r="A3509" s="18">
        <v>45665.0</v>
      </c>
      <c r="B3509" s="16" t="s">
        <v>4341</v>
      </c>
      <c r="C3509" s="16" t="s">
        <v>1055</v>
      </c>
      <c r="D3509" s="16" t="s">
        <v>707</v>
      </c>
      <c r="E3509" s="16">
        <v>2017.0</v>
      </c>
      <c r="F3509" s="16">
        <v>48.5081</v>
      </c>
      <c r="G3509" s="16">
        <v>13.3328</v>
      </c>
      <c r="H3509" s="15"/>
      <c r="I3509" s="15"/>
    </row>
    <row r="3510">
      <c r="A3510" s="18">
        <v>45665.0</v>
      </c>
      <c r="B3510" s="16" t="s">
        <v>4342</v>
      </c>
      <c r="C3510" s="16" t="s">
        <v>1055</v>
      </c>
      <c r="D3510" s="16" t="s">
        <v>707</v>
      </c>
      <c r="E3510" s="16">
        <v>2017.0</v>
      </c>
      <c r="F3510" s="16">
        <v>49.413</v>
      </c>
      <c r="G3510" s="16">
        <v>9.9524</v>
      </c>
      <c r="H3510" s="15"/>
      <c r="I3510" s="15"/>
    </row>
    <row r="3511">
      <c r="A3511" s="18">
        <v>45665.0</v>
      </c>
      <c r="B3511" s="16" t="s">
        <v>4343</v>
      </c>
      <c r="C3511" s="16" t="s">
        <v>990</v>
      </c>
      <c r="D3511" s="16" t="s">
        <v>707</v>
      </c>
      <c r="E3511" s="16">
        <v>2017.0</v>
      </c>
      <c r="F3511" s="16">
        <v>50.0029</v>
      </c>
      <c r="G3511" s="16">
        <v>10.4631</v>
      </c>
      <c r="H3511" s="15"/>
      <c r="I3511" s="15"/>
    </row>
    <row r="3512">
      <c r="A3512" s="18">
        <v>45665.0</v>
      </c>
      <c r="B3512" s="16" t="s">
        <v>4344</v>
      </c>
      <c r="C3512" s="16" t="s">
        <v>1002</v>
      </c>
      <c r="D3512" s="16" t="s">
        <v>707</v>
      </c>
      <c r="E3512" s="16">
        <v>2017.0</v>
      </c>
      <c r="F3512" s="16">
        <v>48.2084</v>
      </c>
      <c r="G3512" s="16">
        <v>9.5143</v>
      </c>
      <c r="H3512" s="15"/>
      <c r="I3512" s="15"/>
    </row>
    <row r="3513">
      <c r="A3513" s="18">
        <v>45665.0</v>
      </c>
      <c r="B3513" s="16" t="s">
        <v>4345</v>
      </c>
      <c r="C3513" s="16" t="s">
        <v>1215</v>
      </c>
      <c r="D3513" s="16" t="s">
        <v>707</v>
      </c>
      <c r="E3513" s="16">
        <v>2017.0</v>
      </c>
      <c r="F3513" s="16">
        <v>48.5155</v>
      </c>
      <c r="G3513" s="16">
        <v>10.431</v>
      </c>
      <c r="H3513" s="15"/>
      <c r="I3513" s="15"/>
    </row>
    <row r="3514">
      <c r="A3514" s="18">
        <v>45665.0</v>
      </c>
      <c r="B3514" s="16" t="s">
        <v>4346</v>
      </c>
      <c r="C3514" s="16">
        <v>10.0</v>
      </c>
      <c r="D3514" s="16" t="s">
        <v>707</v>
      </c>
      <c r="E3514" s="16">
        <v>2017.0</v>
      </c>
      <c r="F3514" s="16">
        <v>51.7024</v>
      </c>
      <c r="G3514" s="16">
        <v>14.3981</v>
      </c>
      <c r="H3514" s="15"/>
      <c r="I3514" s="15"/>
    </row>
    <row r="3515">
      <c r="A3515" s="18">
        <v>45665.0</v>
      </c>
      <c r="B3515" s="16" t="s">
        <v>4347</v>
      </c>
      <c r="C3515" s="16" t="s">
        <v>984</v>
      </c>
      <c r="D3515" s="16" t="s">
        <v>707</v>
      </c>
      <c r="E3515" s="16">
        <v>2017.0</v>
      </c>
      <c r="F3515" s="16">
        <v>49.5056</v>
      </c>
      <c r="G3515" s="16">
        <v>7.2671</v>
      </c>
      <c r="H3515" s="15"/>
      <c r="I3515" s="15"/>
    </row>
    <row r="3516">
      <c r="A3516" s="18">
        <v>45665.0</v>
      </c>
      <c r="B3516" s="16" t="s">
        <v>4348</v>
      </c>
      <c r="C3516" s="16">
        <v>3.0</v>
      </c>
      <c r="D3516" s="16" t="s">
        <v>707</v>
      </c>
      <c r="E3516" s="16">
        <v>2017.0</v>
      </c>
      <c r="F3516" s="16">
        <v>51.7024</v>
      </c>
      <c r="G3516" s="16">
        <v>14.3981</v>
      </c>
      <c r="H3516" s="15"/>
      <c r="I3516" s="15"/>
    </row>
    <row r="3517">
      <c r="A3517" s="18">
        <v>45665.0</v>
      </c>
      <c r="B3517" s="16" t="s">
        <v>4349</v>
      </c>
      <c r="C3517" s="16" t="s">
        <v>1101</v>
      </c>
      <c r="D3517" s="16" t="s">
        <v>707</v>
      </c>
      <c r="E3517" s="16">
        <v>2017.0</v>
      </c>
      <c r="F3517" s="16">
        <v>51.7076</v>
      </c>
      <c r="G3517" s="16">
        <v>14.4838</v>
      </c>
      <c r="H3517" s="15"/>
      <c r="I3517" s="15"/>
    </row>
    <row r="3518">
      <c r="A3518" s="18">
        <v>45665.0</v>
      </c>
      <c r="B3518" s="16" t="s">
        <v>4350</v>
      </c>
      <c r="C3518" s="16" t="s">
        <v>1007</v>
      </c>
      <c r="D3518" s="16" t="s">
        <v>707</v>
      </c>
      <c r="E3518" s="16">
        <v>2017.0</v>
      </c>
      <c r="F3518" s="16">
        <v>50.7691</v>
      </c>
      <c r="G3518" s="16">
        <v>8.7503</v>
      </c>
      <c r="H3518" s="15"/>
      <c r="I3518" s="15"/>
    </row>
    <row r="3519">
      <c r="A3519" s="18">
        <v>45665.0</v>
      </c>
      <c r="B3519" s="16" t="s">
        <v>4351</v>
      </c>
      <c r="C3519" s="16">
        <v>2.0</v>
      </c>
      <c r="D3519" s="16" t="s">
        <v>707</v>
      </c>
      <c r="E3519" s="16">
        <v>2017.0</v>
      </c>
      <c r="F3519" s="16">
        <v>49.8188</v>
      </c>
      <c r="G3519" s="16">
        <v>11.8867</v>
      </c>
      <c r="H3519" s="15"/>
      <c r="I3519" s="15"/>
    </row>
    <row r="3520">
      <c r="A3520" s="18">
        <v>45665.0</v>
      </c>
      <c r="B3520" s="16" t="s">
        <v>4352</v>
      </c>
      <c r="C3520" s="16" t="s">
        <v>3817</v>
      </c>
      <c r="D3520" s="16" t="s">
        <v>707</v>
      </c>
      <c r="E3520" s="16">
        <v>2017.0</v>
      </c>
      <c r="F3520" s="16">
        <v>53.6606</v>
      </c>
      <c r="G3520" s="16">
        <v>14.1148</v>
      </c>
      <c r="H3520" s="15"/>
      <c r="I3520" s="15"/>
    </row>
    <row r="3521">
      <c r="A3521" s="18">
        <v>45665.0</v>
      </c>
      <c r="B3521" s="16" t="s">
        <v>4353</v>
      </c>
      <c r="C3521" s="16" t="s">
        <v>1034</v>
      </c>
      <c r="D3521" s="16" t="s">
        <v>707</v>
      </c>
      <c r="E3521" s="16">
        <v>2017.0</v>
      </c>
      <c r="F3521" s="16">
        <v>51.6928</v>
      </c>
      <c r="G3521" s="16">
        <v>11.6864</v>
      </c>
      <c r="H3521" s="15"/>
      <c r="I3521" s="15"/>
    </row>
    <row r="3522">
      <c r="A3522" s="18">
        <v>45665.0</v>
      </c>
      <c r="B3522" s="16" t="s">
        <v>4354</v>
      </c>
      <c r="C3522" s="16" t="s">
        <v>3505</v>
      </c>
      <c r="D3522" s="16" t="s">
        <v>707</v>
      </c>
      <c r="E3522" s="16">
        <v>2017.0</v>
      </c>
      <c r="F3522" s="16">
        <v>53.1959</v>
      </c>
      <c r="G3522" s="16">
        <v>12.515</v>
      </c>
      <c r="H3522" s="15"/>
      <c r="I3522" s="15"/>
    </row>
    <row r="3523">
      <c r="A3523" s="18">
        <v>45665.0</v>
      </c>
      <c r="B3523" s="16" t="s">
        <v>4355</v>
      </c>
      <c r="C3523" s="16">
        <v>4.0</v>
      </c>
      <c r="D3523" s="16" t="s">
        <v>707</v>
      </c>
      <c r="E3523" s="16">
        <v>2017.0</v>
      </c>
      <c r="F3523" s="16">
        <v>51.4099</v>
      </c>
      <c r="G3523" s="16">
        <v>12.2954</v>
      </c>
      <c r="H3523" s="15"/>
      <c r="I3523" s="15"/>
    </row>
    <row r="3524">
      <c r="A3524" s="18">
        <v>45665.0</v>
      </c>
      <c r="B3524" s="16" t="s">
        <v>4356</v>
      </c>
      <c r="C3524" s="16" t="s">
        <v>965</v>
      </c>
      <c r="D3524" s="16" t="s">
        <v>707</v>
      </c>
      <c r="E3524" s="16">
        <v>2017.0</v>
      </c>
      <c r="F3524" s="16">
        <v>50.0432</v>
      </c>
      <c r="G3524" s="16">
        <v>6.5011</v>
      </c>
      <c r="H3524" s="15"/>
      <c r="I3524" s="15"/>
    </row>
    <row r="3525">
      <c r="A3525" s="18">
        <v>45665.0</v>
      </c>
      <c r="B3525" s="16" t="s">
        <v>4357</v>
      </c>
      <c r="C3525" s="16" t="s">
        <v>4358</v>
      </c>
      <c r="D3525" s="16" t="s">
        <v>707</v>
      </c>
      <c r="E3525" s="16">
        <v>2017.0</v>
      </c>
      <c r="F3525" s="16">
        <v>53.6921</v>
      </c>
      <c r="G3525" s="16">
        <v>13.5239</v>
      </c>
      <c r="H3525" s="15"/>
      <c r="I3525" s="15"/>
    </row>
    <row r="3526">
      <c r="A3526" s="18">
        <v>45665.0</v>
      </c>
      <c r="B3526" s="16" t="s">
        <v>4359</v>
      </c>
      <c r="C3526" s="16" t="s">
        <v>1609</v>
      </c>
      <c r="D3526" s="16" t="s">
        <v>707</v>
      </c>
      <c r="E3526" s="16">
        <v>2017.0</v>
      </c>
      <c r="F3526" s="16">
        <v>49.636</v>
      </c>
      <c r="G3526" s="16">
        <v>11.0186</v>
      </c>
      <c r="H3526" s="15"/>
      <c r="I3526" s="15"/>
    </row>
    <row r="3527">
      <c r="A3527" s="18">
        <v>45665.0</v>
      </c>
      <c r="B3527" s="16" t="s">
        <v>4360</v>
      </c>
      <c r="C3527" s="16" t="s">
        <v>2498</v>
      </c>
      <c r="D3527" s="16" t="s">
        <v>707</v>
      </c>
      <c r="E3527" s="16">
        <v>2017.0</v>
      </c>
      <c r="F3527" s="16">
        <v>53.4355</v>
      </c>
      <c r="G3527" s="16">
        <v>13.2944</v>
      </c>
      <c r="H3527" s="15"/>
      <c r="I3527" s="15"/>
    </row>
    <row r="3528">
      <c r="A3528" s="18">
        <v>45665.0</v>
      </c>
      <c r="B3528" s="16" t="s">
        <v>4361</v>
      </c>
      <c r="C3528" s="16" t="s">
        <v>1751</v>
      </c>
      <c r="D3528" s="16" t="s">
        <v>707</v>
      </c>
      <c r="E3528" s="16">
        <v>2017.0</v>
      </c>
      <c r="F3528" s="16">
        <v>53.6938</v>
      </c>
      <c r="G3528" s="16">
        <v>9.4643</v>
      </c>
      <c r="H3528" s="15"/>
      <c r="I3528" s="15"/>
    </row>
    <row r="3529">
      <c r="A3529" s="18">
        <v>45665.0</v>
      </c>
      <c r="B3529" s="16" t="s">
        <v>4362</v>
      </c>
      <c r="C3529" s="16" t="s">
        <v>1351</v>
      </c>
      <c r="D3529" s="16" t="s">
        <v>707</v>
      </c>
      <c r="E3529" s="16">
        <v>2017.0</v>
      </c>
      <c r="F3529" s="16">
        <v>52.431</v>
      </c>
      <c r="G3529" s="16">
        <v>12.0125</v>
      </c>
      <c r="H3529" s="15"/>
      <c r="I3529" s="15"/>
    </row>
    <row r="3530">
      <c r="A3530" s="18">
        <v>45665.0</v>
      </c>
      <c r="B3530" s="16" t="s">
        <v>4363</v>
      </c>
      <c r="C3530" s="16" t="s">
        <v>965</v>
      </c>
      <c r="D3530" s="16" t="s">
        <v>707</v>
      </c>
      <c r="E3530" s="16">
        <v>2017.0</v>
      </c>
      <c r="F3530" s="16">
        <v>53.9993</v>
      </c>
      <c r="G3530" s="16">
        <v>11.9751</v>
      </c>
      <c r="H3530" s="15"/>
      <c r="I3530" s="15"/>
    </row>
    <row r="3531">
      <c r="A3531" s="18">
        <v>45665.0</v>
      </c>
      <c r="B3531" s="16" t="s">
        <v>4364</v>
      </c>
      <c r="C3531" s="16" t="s">
        <v>1002</v>
      </c>
      <c r="D3531" s="16" t="s">
        <v>707</v>
      </c>
      <c r="E3531" s="16">
        <v>2017.0</v>
      </c>
      <c r="F3531" s="16">
        <v>53.6357</v>
      </c>
      <c r="G3531" s="16">
        <v>13.292</v>
      </c>
      <c r="H3531" s="15"/>
      <c r="I3531" s="15"/>
    </row>
    <row r="3532">
      <c r="A3532" s="18">
        <v>45665.0</v>
      </c>
      <c r="B3532" s="16" t="s">
        <v>4365</v>
      </c>
      <c r="C3532" s="16" t="s">
        <v>1167</v>
      </c>
      <c r="D3532" s="16" t="s">
        <v>707</v>
      </c>
      <c r="E3532" s="16">
        <v>2017.0</v>
      </c>
      <c r="F3532" s="16">
        <v>51.6665</v>
      </c>
      <c r="G3532" s="16">
        <v>14.6358</v>
      </c>
      <c r="H3532" s="15"/>
      <c r="I3532" s="15"/>
    </row>
    <row r="3533">
      <c r="A3533" s="18">
        <v>45665.0</v>
      </c>
      <c r="B3533" s="16" t="s">
        <v>4366</v>
      </c>
      <c r="C3533" s="16" t="s">
        <v>1454</v>
      </c>
      <c r="D3533" s="16" t="s">
        <v>707</v>
      </c>
      <c r="E3533" s="16">
        <v>2017.0</v>
      </c>
      <c r="F3533" s="16">
        <v>51.3306</v>
      </c>
      <c r="G3533" s="16">
        <v>12.0675</v>
      </c>
      <c r="H3533" s="15"/>
      <c r="I3533" s="15"/>
    </row>
    <row r="3534">
      <c r="A3534" s="18">
        <v>45665.0</v>
      </c>
      <c r="B3534" s="16" t="s">
        <v>4367</v>
      </c>
      <c r="C3534" s="16" t="s">
        <v>1007</v>
      </c>
      <c r="D3534" s="16" t="s">
        <v>707</v>
      </c>
      <c r="E3534" s="16">
        <v>2017.0</v>
      </c>
      <c r="F3534" s="16">
        <v>51.5162</v>
      </c>
      <c r="G3534" s="16">
        <v>12.0593</v>
      </c>
      <c r="H3534" s="15"/>
      <c r="I3534" s="15"/>
    </row>
    <row r="3535">
      <c r="A3535" s="18">
        <v>45665.0</v>
      </c>
      <c r="B3535" s="16" t="s">
        <v>4368</v>
      </c>
      <c r="C3535" s="16">
        <v>9.0</v>
      </c>
      <c r="D3535" s="16" t="s">
        <v>707</v>
      </c>
      <c r="E3535" s="16">
        <v>2017.0</v>
      </c>
      <c r="F3535" s="16">
        <v>51.5381</v>
      </c>
      <c r="G3535" s="16">
        <v>13.9409</v>
      </c>
      <c r="H3535" s="15"/>
      <c r="I3535" s="15"/>
    </row>
    <row r="3536">
      <c r="A3536" s="18">
        <v>45665.0</v>
      </c>
      <c r="B3536" s="16" t="s">
        <v>4369</v>
      </c>
      <c r="C3536" s="16" t="s">
        <v>1055</v>
      </c>
      <c r="D3536" s="16" t="s">
        <v>707</v>
      </c>
      <c r="E3536" s="16">
        <v>2017.0</v>
      </c>
      <c r="F3536" s="16">
        <v>51.5935</v>
      </c>
      <c r="G3536" s="16">
        <v>9.6756</v>
      </c>
      <c r="H3536" s="15"/>
      <c r="I3536" s="15"/>
    </row>
    <row r="3537">
      <c r="A3537" s="18">
        <v>45665.0</v>
      </c>
      <c r="B3537" s="16" t="s">
        <v>4370</v>
      </c>
      <c r="C3537" s="16" t="s">
        <v>1351</v>
      </c>
      <c r="D3537" s="16" t="s">
        <v>707</v>
      </c>
      <c r="E3537" s="16">
        <v>2017.0</v>
      </c>
      <c r="F3537" s="16">
        <v>53.7328</v>
      </c>
      <c r="G3537" s="16">
        <v>13.5052</v>
      </c>
      <c r="H3537" s="15"/>
      <c r="I3537" s="15"/>
    </row>
    <row r="3538">
      <c r="A3538" s="18">
        <v>45665.0</v>
      </c>
      <c r="B3538" s="16" t="s">
        <v>4371</v>
      </c>
      <c r="C3538" s="16">
        <v>2.0</v>
      </c>
      <c r="D3538" s="16" t="s">
        <v>707</v>
      </c>
      <c r="E3538" s="16">
        <v>2017.0</v>
      </c>
      <c r="F3538" s="16">
        <v>49.5779</v>
      </c>
      <c r="G3538" s="16">
        <v>7.2309</v>
      </c>
      <c r="H3538" s="15"/>
      <c r="I3538" s="15"/>
    </row>
    <row r="3539">
      <c r="A3539" s="18">
        <v>45665.0</v>
      </c>
      <c r="B3539" s="16" t="s">
        <v>4372</v>
      </c>
      <c r="C3539" s="16">
        <v>4.0</v>
      </c>
      <c r="D3539" s="16" t="s">
        <v>707</v>
      </c>
      <c r="E3539" s="16">
        <v>2017.0</v>
      </c>
      <c r="F3539" s="16">
        <v>51.5103</v>
      </c>
      <c r="G3539" s="16">
        <v>13.891</v>
      </c>
      <c r="H3539" s="15"/>
      <c r="I3539" s="15"/>
    </row>
    <row r="3540">
      <c r="A3540" s="18">
        <v>45665.0</v>
      </c>
      <c r="B3540" s="16" t="s">
        <v>4373</v>
      </c>
      <c r="C3540" s="16" t="s">
        <v>1085</v>
      </c>
      <c r="D3540" s="16" t="s">
        <v>707</v>
      </c>
      <c r="E3540" s="16">
        <v>2017.0</v>
      </c>
      <c r="F3540" s="16">
        <v>48.1507</v>
      </c>
      <c r="G3540" s="16">
        <v>10.2389</v>
      </c>
      <c r="H3540" s="15"/>
      <c r="I3540" s="15"/>
    </row>
    <row r="3541">
      <c r="A3541" s="18">
        <v>45665.0</v>
      </c>
      <c r="B3541" s="16" t="s">
        <v>4374</v>
      </c>
      <c r="C3541" s="16" t="s">
        <v>3817</v>
      </c>
      <c r="D3541" s="16" t="s">
        <v>707</v>
      </c>
      <c r="E3541" s="16">
        <v>2017.0</v>
      </c>
      <c r="F3541" s="16">
        <v>54.1645</v>
      </c>
      <c r="G3541" s="16">
        <v>9.9612</v>
      </c>
      <c r="H3541" s="15"/>
      <c r="I3541" s="15"/>
    </row>
    <row r="3542">
      <c r="A3542" s="18">
        <v>45665.0</v>
      </c>
      <c r="B3542" s="16" t="s">
        <v>4375</v>
      </c>
      <c r="C3542" s="16" t="s">
        <v>2147</v>
      </c>
      <c r="D3542" s="16" t="s">
        <v>707</v>
      </c>
      <c r="E3542" s="16">
        <v>2017.0</v>
      </c>
      <c r="F3542" s="16">
        <v>53.2654</v>
      </c>
      <c r="G3542" s="16">
        <v>12.1357</v>
      </c>
      <c r="H3542" s="15"/>
      <c r="I3542" s="15"/>
    </row>
    <row r="3543">
      <c r="A3543" s="18">
        <v>45665.0</v>
      </c>
      <c r="B3543" s="16" t="s">
        <v>4376</v>
      </c>
      <c r="C3543" s="16" t="s">
        <v>1771</v>
      </c>
      <c r="D3543" s="16" t="s">
        <v>707</v>
      </c>
      <c r="E3543" s="16">
        <v>2017.0</v>
      </c>
      <c r="F3543" s="16">
        <v>48.0199</v>
      </c>
      <c r="G3543" s="16">
        <v>8.6089</v>
      </c>
      <c r="H3543" s="15"/>
      <c r="I3543" s="15"/>
    </row>
    <row r="3544">
      <c r="A3544" s="18">
        <v>45665.0</v>
      </c>
      <c r="B3544" s="16" t="s">
        <v>4377</v>
      </c>
      <c r="C3544" s="16">
        <v>10.0</v>
      </c>
      <c r="D3544" s="16" t="s">
        <v>707</v>
      </c>
      <c r="E3544" s="16">
        <v>2017.0</v>
      </c>
      <c r="F3544" s="16">
        <v>49.5248</v>
      </c>
      <c r="G3544" s="16">
        <v>6.8036</v>
      </c>
      <c r="H3544" s="15"/>
      <c r="I3544" s="15"/>
    </row>
    <row r="3545">
      <c r="A3545" s="18">
        <v>45665.0</v>
      </c>
      <c r="B3545" s="16" t="s">
        <v>4378</v>
      </c>
      <c r="C3545" s="16" t="s">
        <v>1215</v>
      </c>
      <c r="D3545" s="16" t="s">
        <v>707</v>
      </c>
      <c r="E3545" s="16">
        <v>2017.0</v>
      </c>
      <c r="F3545" s="16">
        <v>52.1122</v>
      </c>
      <c r="G3545" s="16">
        <v>12.4666</v>
      </c>
      <c r="H3545" s="15"/>
      <c r="I3545" s="15"/>
    </row>
    <row r="3546">
      <c r="A3546" s="18">
        <v>45665.0</v>
      </c>
      <c r="B3546" s="16" t="s">
        <v>4379</v>
      </c>
      <c r="C3546" s="16">
        <v>5.0</v>
      </c>
      <c r="D3546" s="16" t="s">
        <v>707</v>
      </c>
      <c r="E3546" s="16">
        <v>2017.0</v>
      </c>
      <c r="F3546" s="16">
        <v>51.3373</v>
      </c>
      <c r="G3546" s="16">
        <v>13.3587</v>
      </c>
      <c r="H3546" s="15"/>
      <c r="I3546" s="15"/>
    </row>
    <row r="3547">
      <c r="A3547" s="18">
        <v>45665.0</v>
      </c>
      <c r="B3547" s="16" t="s">
        <v>4380</v>
      </c>
      <c r="C3547" s="16">
        <v>10.0</v>
      </c>
      <c r="D3547" s="16" t="s">
        <v>707</v>
      </c>
      <c r="E3547" s="16">
        <v>2017.0</v>
      </c>
      <c r="F3547" s="16">
        <v>48.0931</v>
      </c>
      <c r="G3547" s="16">
        <v>10.6939</v>
      </c>
      <c r="H3547" s="15"/>
      <c r="I3547" s="15"/>
    </row>
    <row r="3548">
      <c r="A3548" s="18">
        <v>45665.0</v>
      </c>
      <c r="B3548" s="16" t="s">
        <v>4381</v>
      </c>
      <c r="C3548" s="16" t="s">
        <v>978</v>
      </c>
      <c r="D3548" s="16" t="s">
        <v>707</v>
      </c>
      <c r="E3548" s="16">
        <v>2017.0</v>
      </c>
      <c r="F3548" s="16">
        <v>51.4673</v>
      </c>
      <c r="G3548" s="16">
        <v>14.1313</v>
      </c>
      <c r="H3548" s="15"/>
      <c r="I3548" s="15"/>
    </row>
    <row r="3549">
      <c r="A3549" s="18">
        <v>45665.0</v>
      </c>
      <c r="B3549" s="16" t="s">
        <v>4382</v>
      </c>
      <c r="C3549" s="16" t="s">
        <v>1007</v>
      </c>
      <c r="D3549" s="16" t="s">
        <v>707</v>
      </c>
      <c r="E3549" s="16">
        <v>2017.0</v>
      </c>
      <c r="F3549" s="16">
        <v>52.9117</v>
      </c>
      <c r="G3549" s="16">
        <v>9.6425</v>
      </c>
      <c r="H3549" s="15"/>
      <c r="I3549" s="15"/>
    </row>
    <row r="3550">
      <c r="A3550" s="18">
        <v>45665.0</v>
      </c>
      <c r="B3550" s="16" t="s">
        <v>4383</v>
      </c>
      <c r="C3550" s="16" t="s">
        <v>990</v>
      </c>
      <c r="D3550" s="16" t="s">
        <v>707</v>
      </c>
      <c r="E3550" s="16">
        <v>2017.0</v>
      </c>
      <c r="F3550" s="16">
        <v>48.7235</v>
      </c>
      <c r="G3550" s="16">
        <v>10.7434</v>
      </c>
      <c r="H3550" s="15"/>
      <c r="I3550" s="15"/>
    </row>
    <row r="3551">
      <c r="A3551" s="18">
        <v>45665.0</v>
      </c>
      <c r="B3551" s="16" t="s">
        <v>4384</v>
      </c>
      <c r="C3551" s="16" t="s">
        <v>1101</v>
      </c>
      <c r="D3551" s="16" t="s">
        <v>707</v>
      </c>
      <c r="E3551" s="16">
        <v>2017.0</v>
      </c>
      <c r="F3551" s="16">
        <v>48.7235</v>
      </c>
      <c r="G3551" s="16">
        <v>10.7447</v>
      </c>
      <c r="H3551" s="15"/>
      <c r="I3551" s="15"/>
    </row>
    <row r="3552">
      <c r="A3552" s="18">
        <v>45665.0</v>
      </c>
      <c r="B3552" s="16" t="s">
        <v>4385</v>
      </c>
      <c r="C3552" s="16" t="s">
        <v>1751</v>
      </c>
      <c r="D3552" s="16" t="s">
        <v>707</v>
      </c>
      <c r="E3552" s="16">
        <v>2017.0</v>
      </c>
      <c r="F3552" s="16">
        <v>53.8616</v>
      </c>
      <c r="G3552" s="16">
        <v>9.5311</v>
      </c>
      <c r="H3552" s="15"/>
      <c r="I3552" s="15"/>
    </row>
    <row r="3553">
      <c r="A3553" s="18">
        <v>45665.0</v>
      </c>
      <c r="B3553" s="16" t="s">
        <v>4386</v>
      </c>
      <c r="C3553" s="16" t="s">
        <v>1037</v>
      </c>
      <c r="D3553" s="16" t="s">
        <v>707</v>
      </c>
      <c r="E3553" s="16">
        <v>2017.0</v>
      </c>
      <c r="F3553" s="16">
        <v>49.9284</v>
      </c>
      <c r="G3553" s="16">
        <v>6.8567</v>
      </c>
      <c r="H3553" s="15"/>
      <c r="I3553" s="15"/>
    </row>
    <row r="3554">
      <c r="A3554" s="18">
        <v>45665.0</v>
      </c>
      <c r="B3554" s="16" t="s">
        <v>4387</v>
      </c>
      <c r="C3554" s="16" t="s">
        <v>1059</v>
      </c>
      <c r="D3554" s="16" t="s">
        <v>707</v>
      </c>
      <c r="E3554" s="16">
        <v>2017.0</v>
      </c>
      <c r="F3554" s="16">
        <v>49.929</v>
      </c>
      <c r="G3554" s="16">
        <v>6.856</v>
      </c>
      <c r="H3554" s="15"/>
      <c r="I3554" s="15"/>
    </row>
    <row r="3555">
      <c r="A3555" s="18">
        <v>45665.0</v>
      </c>
      <c r="B3555" s="16" t="s">
        <v>4388</v>
      </c>
      <c r="C3555" s="16">
        <v>4.0</v>
      </c>
      <c r="D3555" s="16" t="s">
        <v>707</v>
      </c>
      <c r="E3555" s="16">
        <v>2017.0</v>
      </c>
      <c r="F3555" s="16">
        <v>52.9945</v>
      </c>
      <c r="G3555" s="16">
        <v>13.993</v>
      </c>
      <c r="H3555" s="15"/>
      <c r="I3555" s="15"/>
    </row>
    <row r="3556">
      <c r="A3556" s="18">
        <v>45665.0</v>
      </c>
      <c r="B3556" s="16" t="s">
        <v>4389</v>
      </c>
      <c r="C3556" s="16" t="s">
        <v>1007</v>
      </c>
      <c r="D3556" s="16" t="s">
        <v>707</v>
      </c>
      <c r="E3556" s="16">
        <v>2017.0</v>
      </c>
      <c r="F3556" s="16">
        <v>49.2623</v>
      </c>
      <c r="G3556" s="16">
        <v>8.5267</v>
      </c>
      <c r="H3556" s="15"/>
      <c r="I3556" s="15"/>
    </row>
    <row r="3557">
      <c r="A3557" s="18">
        <v>45665.0</v>
      </c>
      <c r="B3557" s="16" t="s">
        <v>4390</v>
      </c>
      <c r="C3557" s="16">
        <v>4.0</v>
      </c>
      <c r="D3557" s="16" t="s">
        <v>707</v>
      </c>
      <c r="E3557" s="16">
        <v>2017.0</v>
      </c>
      <c r="F3557" s="16">
        <v>53.0526</v>
      </c>
      <c r="G3557" s="16">
        <v>12.3411</v>
      </c>
      <c r="H3557" s="15"/>
      <c r="I3557" s="15"/>
    </row>
    <row r="3558">
      <c r="A3558" s="18">
        <v>45665.0</v>
      </c>
      <c r="B3558" s="16" t="s">
        <v>4391</v>
      </c>
      <c r="C3558" s="16" t="s">
        <v>1055</v>
      </c>
      <c r="D3558" s="16" t="s">
        <v>707</v>
      </c>
      <c r="E3558" s="16">
        <v>2017.0</v>
      </c>
      <c r="F3558" s="16">
        <v>53.0526</v>
      </c>
      <c r="G3558" s="16">
        <v>12.3411</v>
      </c>
      <c r="H3558" s="15"/>
      <c r="I3558" s="15"/>
    </row>
    <row r="3559">
      <c r="A3559" s="18">
        <v>45665.0</v>
      </c>
      <c r="B3559" s="16" t="s">
        <v>4392</v>
      </c>
      <c r="C3559" s="16" t="s">
        <v>1002</v>
      </c>
      <c r="D3559" s="16" t="s">
        <v>707</v>
      </c>
      <c r="E3559" s="16">
        <v>2017.0</v>
      </c>
      <c r="F3559" s="16">
        <v>48.9198</v>
      </c>
      <c r="G3559" s="16">
        <v>11.4666</v>
      </c>
      <c r="H3559" s="15"/>
      <c r="I3559" s="15"/>
    </row>
    <row r="3560">
      <c r="A3560" s="18">
        <v>45665.0</v>
      </c>
      <c r="B3560" s="16" t="s">
        <v>4393</v>
      </c>
      <c r="C3560" s="16" t="s">
        <v>946</v>
      </c>
      <c r="D3560" s="16" t="s">
        <v>707</v>
      </c>
      <c r="E3560" s="16">
        <v>2017.0</v>
      </c>
      <c r="F3560" s="16">
        <v>48.6581</v>
      </c>
      <c r="G3560" s="16">
        <v>11.7222</v>
      </c>
      <c r="H3560" s="15"/>
      <c r="I3560" s="15"/>
    </row>
    <row r="3561">
      <c r="A3561" s="18">
        <v>45665.0</v>
      </c>
      <c r="B3561" s="16" t="s">
        <v>4394</v>
      </c>
      <c r="C3561" s="16" t="s">
        <v>1609</v>
      </c>
      <c r="D3561" s="16" t="s">
        <v>707</v>
      </c>
      <c r="E3561" s="16">
        <v>2017.0</v>
      </c>
      <c r="F3561" s="16">
        <v>49.01</v>
      </c>
      <c r="G3561" s="16">
        <v>11.315</v>
      </c>
      <c r="H3561" s="15"/>
      <c r="I3561" s="15"/>
    </row>
    <row r="3562">
      <c r="A3562" s="18">
        <v>45665.0</v>
      </c>
      <c r="B3562" s="16" t="s">
        <v>4395</v>
      </c>
      <c r="C3562" s="16" t="s">
        <v>1203</v>
      </c>
      <c r="D3562" s="16" t="s">
        <v>707</v>
      </c>
      <c r="E3562" s="16">
        <v>2017.0</v>
      </c>
      <c r="F3562" s="16">
        <v>49.015</v>
      </c>
      <c r="G3562" s="16">
        <v>11.302</v>
      </c>
      <c r="H3562" s="15"/>
      <c r="I3562" s="15"/>
    </row>
    <row r="3563">
      <c r="A3563" s="18">
        <v>45665.0</v>
      </c>
      <c r="B3563" s="16" t="s">
        <v>4396</v>
      </c>
      <c r="C3563" s="16" t="s">
        <v>1170</v>
      </c>
      <c r="D3563" s="16" t="s">
        <v>707</v>
      </c>
      <c r="E3563" s="16">
        <v>2017.0</v>
      </c>
      <c r="F3563" s="16">
        <v>49.3468</v>
      </c>
      <c r="G3563" s="16">
        <v>12.1323</v>
      </c>
      <c r="H3563" s="15"/>
      <c r="I3563" s="15"/>
    </row>
    <row r="3564">
      <c r="A3564" s="18">
        <v>45665.0</v>
      </c>
      <c r="B3564" s="16" t="s">
        <v>4397</v>
      </c>
      <c r="C3564" s="16">
        <v>1.0</v>
      </c>
      <c r="D3564" s="16" t="s">
        <v>707</v>
      </c>
      <c r="E3564" s="16">
        <v>2017.0</v>
      </c>
      <c r="F3564" s="16">
        <v>48.6708</v>
      </c>
      <c r="G3564" s="16">
        <v>11.7368</v>
      </c>
      <c r="H3564" s="15"/>
      <c r="I3564" s="15"/>
    </row>
    <row r="3565">
      <c r="A3565" s="18">
        <v>45665.0</v>
      </c>
      <c r="B3565" s="16" t="s">
        <v>4398</v>
      </c>
      <c r="C3565" s="16" t="s">
        <v>942</v>
      </c>
      <c r="D3565" s="16" t="s">
        <v>707</v>
      </c>
      <c r="E3565" s="16">
        <v>2017.0</v>
      </c>
      <c r="F3565" s="16">
        <v>48.6725</v>
      </c>
      <c r="G3565" s="16">
        <v>11.7334</v>
      </c>
      <c r="H3565" s="15"/>
      <c r="I3565" s="15"/>
    </row>
    <row r="3566">
      <c r="A3566" s="18">
        <v>45665.0</v>
      </c>
      <c r="B3566" s="16" t="s">
        <v>4399</v>
      </c>
      <c r="C3566" s="16" t="s">
        <v>946</v>
      </c>
      <c r="D3566" s="16" t="s">
        <v>707</v>
      </c>
      <c r="E3566" s="16">
        <v>2017.0</v>
      </c>
      <c r="F3566" s="16">
        <v>48.6725</v>
      </c>
      <c r="G3566" s="16">
        <v>11.7334</v>
      </c>
      <c r="H3566" s="15"/>
      <c r="I3566" s="15"/>
    </row>
    <row r="3567">
      <c r="A3567" s="18">
        <v>45665.0</v>
      </c>
      <c r="B3567" s="16" t="s">
        <v>4400</v>
      </c>
      <c r="C3567" s="16" t="s">
        <v>1094</v>
      </c>
      <c r="D3567" s="16" t="s">
        <v>707</v>
      </c>
      <c r="E3567" s="16">
        <v>2017.0</v>
      </c>
      <c r="F3567" s="16">
        <v>49.0774</v>
      </c>
      <c r="G3567" s="16">
        <v>11.3153</v>
      </c>
      <c r="H3567" s="15"/>
      <c r="I3567" s="15"/>
    </row>
    <row r="3568">
      <c r="A3568" s="18">
        <v>45665.0</v>
      </c>
      <c r="B3568" s="16" t="s">
        <v>4401</v>
      </c>
      <c r="C3568" s="16" t="s">
        <v>948</v>
      </c>
      <c r="D3568" s="16" t="s">
        <v>707</v>
      </c>
      <c r="E3568" s="16">
        <v>2017.0</v>
      </c>
      <c r="F3568" s="16">
        <v>49.5055</v>
      </c>
      <c r="G3568" s="16">
        <v>7.2667</v>
      </c>
      <c r="H3568" s="15"/>
      <c r="I3568" s="15"/>
    </row>
    <row r="3569">
      <c r="A3569" s="18">
        <v>45665.0</v>
      </c>
      <c r="B3569" s="16" t="s">
        <v>4402</v>
      </c>
      <c r="C3569" s="16" t="s">
        <v>1167</v>
      </c>
      <c r="D3569" s="16" t="s">
        <v>707</v>
      </c>
      <c r="E3569" s="16">
        <v>2017.0</v>
      </c>
      <c r="F3569" s="16">
        <v>49.5065</v>
      </c>
      <c r="G3569" s="16">
        <v>7.2436</v>
      </c>
      <c r="H3569" s="15"/>
      <c r="I3569" s="15"/>
    </row>
    <row r="3570">
      <c r="A3570" s="18">
        <v>45665.0</v>
      </c>
      <c r="B3570" s="16" t="s">
        <v>4403</v>
      </c>
      <c r="C3570" s="16" t="s">
        <v>1055</v>
      </c>
      <c r="D3570" s="16" t="s">
        <v>707</v>
      </c>
      <c r="E3570" s="16">
        <v>2017.0</v>
      </c>
      <c r="F3570" s="16">
        <v>51.679</v>
      </c>
      <c r="G3570" s="16">
        <v>12.279</v>
      </c>
      <c r="H3570" s="15"/>
      <c r="I3570" s="15"/>
    </row>
    <row r="3571">
      <c r="A3571" s="18">
        <v>45665.0</v>
      </c>
      <c r="B3571" s="16" t="s">
        <v>4404</v>
      </c>
      <c r="C3571" s="16" t="s">
        <v>1046</v>
      </c>
      <c r="D3571" s="16" t="s">
        <v>707</v>
      </c>
      <c r="E3571" s="16">
        <v>2017.0</v>
      </c>
      <c r="F3571" s="16">
        <v>53.3425</v>
      </c>
      <c r="G3571" s="16">
        <v>12.1983</v>
      </c>
      <c r="H3571" s="15"/>
      <c r="I3571" s="15"/>
    </row>
    <row r="3572">
      <c r="A3572" s="18">
        <v>45665.0</v>
      </c>
      <c r="B3572" s="16" t="s">
        <v>4405</v>
      </c>
      <c r="C3572" s="16" t="s">
        <v>951</v>
      </c>
      <c r="D3572" s="16" t="s">
        <v>707</v>
      </c>
      <c r="E3572" s="16">
        <v>2017.0</v>
      </c>
      <c r="F3572" s="16">
        <v>53.3425</v>
      </c>
      <c r="G3572" s="16">
        <v>12.1983</v>
      </c>
      <c r="H3572" s="15"/>
      <c r="I3572" s="15"/>
    </row>
    <row r="3573">
      <c r="A3573" s="18">
        <v>45665.0</v>
      </c>
      <c r="B3573" s="16" t="s">
        <v>4406</v>
      </c>
      <c r="C3573" s="16" t="s">
        <v>1004</v>
      </c>
      <c r="D3573" s="16" t="s">
        <v>707</v>
      </c>
      <c r="E3573" s="16">
        <v>2017.0</v>
      </c>
      <c r="F3573" s="16">
        <v>52.4538</v>
      </c>
      <c r="G3573" s="16">
        <v>11.4769</v>
      </c>
      <c r="H3573" s="15"/>
      <c r="I3573" s="15"/>
    </row>
    <row r="3574">
      <c r="A3574" s="18">
        <v>45665.0</v>
      </c>
      <c r="B3574" s="16" t="s">
        <v>4407</v>
      </c>
      <c r="C3574" s="16" t="s">
        <v>984</v>
      </c>
      <c r="D3574" s="16" t="s">
        <v>707</v>
      </c>
      <c r="E3574" s="16">
        <v>2017.0</v>
      </c>
      <c r="F3574" s="16">
        <v>49.7942</v>
      </c>
      <c r="G3574" s="16">
        <v>9.586</v>
      </c>
      <c r="H3574" s="15"/>
      <c r="I3574" s="15"/>
    </row>
    <row r="3575">
      <c r="A3575" s="18">
        <v>45665.0</v>
      </c>
      <c r="B3575" s="16" t="s">
        <v>4408</v>
      </c>
      <c r="C3575" s="16">
        <v>3.0</v>
      </c>
      <c r="D3575" s="16" t="s">
        <v>707</v>
      </c>
      <c r="E3575" s="16">
        <v>2017.0</v>
      </c>
      <c r="F3575" s="16">
        <v>48.5627</v>
      </c>
      <c r="G3575" s="16">
        <v>10.2833</v>
      </c>
      <c r="H3575" s="15"/>
      <c r="I3575" s="15"/>
    </row>
    <row r="3576">
      <c r="A3576" s="18">
        <v>45665.0</v>
      </c>
      <c r="B3576" s="16" t="s">
        <v>4409</v>
      </c>
      <c r="C3576" s="16">
        <v>10.0</v>
      </c>
      <c r="D3576" s="16" t="s">
        <v>707</v>
      </c>
      <c r="E3576" s="16">
        <v>2017.0</v>
      </c>
      <c r="F3576" s="16">
        <v>53.914</v>
      </c>
      <c r="G3576" s="16">
        <v>13.218</v>
      </c>
      <c r="H3576" s="15"/>
      <c r="I3576" s="15"/>
    </row>
    <row r="3577">
      <c r="A3577" s="18">
        <v>45665.0</v>
      </c>
      <c r="B3577" s="16" t="s">
        <v>4410</v>
      </c>
      <c r="C3577" s="16" t="s">
        <v>978</v>
      </c>
      <c r="D3577" s="16" t="s">
        <v>707</v>
      </c>
      <c r="E3577" s="16">
        <v>2017.0</v>
      </c>
      <c r="F3577" s="16">
        <v>49.0834</v>
      </c>
      <c r="G3577" s="16">
        <v>11.3205</v>
      </c>
      <c r="H3577" s="15"/>
      <c r="I3577" s="15"/>
    </row>
    <row r="3578">
      <c r="A3578" s="18">
        <v>45665.0</v>
      </c>
      <c r="B3578" s="16" t="s">
        <v>4411</v>
      </c>
      <c r="C3578" s="16" t="s">
        <v>942</v>
      </c>
      <c r="D3578" s="16" t="s">
        <v>707</v>
      </c>
      <c r="E3578" s="16">
        <v>2017.0</v>
      </c>
      <c r="F3578" s="16">
        <v>49.4509</v>
      </c>
      <c r="G3578" s="16">
        <v>9.4735</v>
      </c>
      <c r="H3578" s="15"/>
      <c r="I3578" s="15"/>
    </row>
    <row r="3579">
      <c r="A3579" s="18">
        <v>45665.0</v>
      </c>
      <c r="B3579" s="16" t="s">
        <v>4412</v>
      </c>
      <c r="C3579" s="16" t="s">
        <v>1351</v>
      </c>
      <c r="D3579" s="16" t="s">
        <v>707</v>
      </c>
      <c r="E3579" s="16">
        <v>2017.0</v>
      </c>
      <c r="F3579" s="16">
        <v>52.4264</v>
      </c>
      <c r="G3579" s="16">
        <v>11.8339</v>
      </c>
      <c r="H3579" s="15"/>
      <c r="I3579" s="15"/>
    </row>
    <row r="3580">
      <c r="A3580" s="18">
        <v>45665.0</v>
      </c>
      <c r="B3580" s="16" t="s">
        <v>4413</v>
      </c>
      <c r="C3580" s="16" t="s">
        <v>946</v>
      </c>
      <c r="D3580" s="16" t="s">
        <v>707</v>
      </c>
      <c r="E3580" s="16">
        <v>2018.0</v>
      </c>
      <c r="F3580" s="16">
        <v>51.3542</v>
      </c>
      <c r="G3580" s="16">
        <v>12.0394</v>
      </c>
      <c r="H3580" s="15"/>
      <c r="I3580" s="15"/>
    </row>
    <row r="3581">
      <c r="A3581" s="18">
        <v>45665.0</v>
      </c>
      <c r="B3581" s="16" t="s">
        <v>4414</v>
      </c>
      <c r="C3581" s="16" t="s">
        <v>969</v>
      </c>
      <c r="D3581" s="16" t="s">
        <v>707</v>
      </c>
      <c r="E3581" s="16">
        <v>2018.0</v>
      </c>
      <c r="F3581" s="16">
        <v>51.9542</v>
      </c>
      <c r="G3581" s="16">
        <v>11.147</v>
      </c>
      <c r="H3581" s="15"/>
      <c r="I3581" s="15"/>
    </row>
    <row r="3582">
      <c r="A3582" s="18">
        <v>45665.0</v>
      </c>
      <c r="B3582" s="16" t="s">
        <v>4415</v>
      </c>
      <c r="C3582" s="16">
        <v>8.0</v>
      </c>
      <c r="D3582" s="16" t="s">
        <v>707</v>
      </c>
      <c r="E3582" s="16">
        <v>2018.0</v>
      </c>
      <c r="F3582" s="16">
        <v>51.4911</v>
      </c>
      <c r="G3582" s="16">
        <v>13.7388</v>
      </c>
      <c r="H3582" s="15"/>
      <c r="I3582" s="15"/>
    </row>
    <row r="3583">
      <c r="A3583" s="18">
        <v>45665.0</v>
      </c>
      <c r="B3583" s="16" t="s">
        <v>4416</v>
      </c>
      <c r="C3583" s="16">
        <v>2.0</v>
      </c>
      <c r="D3583" s="16" t="s">
        <v>707</v>
      </c>
      <c r="E3583" s="16">
        <v>2018.0</v>
      </c>
      <c r="F3583" s="16">
        <v>48.6013</v>
      </c>
      <c r="G3583" s="16">
        <v>11.8934</v>
      </c>
      <c r="H3583" s="15"/>
      <c r="I3583" s="15"/>
    </row>
    <row r="3584">
      <c r="A3584" s="18">
        <v>45665.0</v>
      </c>
      <c r="B3584" s="16" t="s">
        <v>4417</v>
      </c>
      <c r="C3584" s="16">
        <v>1.0</v>
      </c>
      <c r="D3584" s="16" t="s">
        <v>707</v>
      </c>
      <c r="E3584" s="16">
        <v>2018.0</v>
      </c>
      <c r="F3584" s="16">
        <v>48.6012</v>
      </c>
      <c r="G3584" s="16">
        <v>11.8963</v>
      </c>
      <c r="H3584" s="15"/>
      <c r="I3584" s="15"/>
    </row>
    <row r="3585">
      <c r="A3585" s="18">
        <v>45665.0</v>
      </c>
      <c r="B3585" s="16" t="s">
        <v>4418</v>
      </c>
      <c r="C3585" s="16" t="s">
        <v>1215</v>
      </c>
      <c r="D3585" s="16" t="s">
        <v>707</v>
      </c>
      <c r="E3585" s="16">
        <v>2018.0</v>
      </c>
      <c r="F3585" s="16">
        <v>48.6023</v>
      </c>
      <c r="G3585" s="16">
        <v>11.8953</v>
      </c>
      <c r="H3585" s="15"/>
      <c r="I3585" s="15"/>
    </row>
    <row r="3586">
      <c r="A3586" s="18">
        <v>45665.0</v>
      </c>
      <c r="B3586" s="16" t="s">
        <v>4419</v>
      </c>
      <c r="C3586" s="16">
        <v>8.0</v>
      </c>
      <c r="D3586" s="16" t="s">
        <v>707</v>
      </c>
      <c r="E3586" s="16">
        <v>2018.0</v>
      </c>
      <c r="F3586" s="16">
        <v>48.5682</v>
      </c>
      <c r="G3586" s="16">
        <v>11.9507</v>
      </c>
      <c r="H3586" s="15"/>
      <c r="I3586" s="15"/>
    </row>
    <row r="3587">
      <c r="A3587" s="18">
        <v>45665.0</v>
      </c>
      <c r="B3587" s="16" t="s">
        <v>4420</v>
      </c>
      <c r="C3587" s="16" t="s">
        <v>942</v>
      </c>
      <c r="D3587" s="16" t="s">
        <v>707</v>
      </c>
      <c r="E3587" s="16">
        <v>2018.0</v>
      </c>
      <c r="F3587" s="16">
        <v>48.5711</v>
      </c>
      <c r="G3587" s="16">
        <v>11.9508</v>
      </c>
      <c r="H3587" s="15"/>
      <c r="I3587" s="15"/>
    </row>
    <row r="3588">
      <c r="A3588" s="18">
        <v>45665.0</v>
      </c>
      <c r="B3588" s="16" t="s">
        <v>4421</v>
      </c>
      <c r="C3588" s="16" t="s">
        <v>942</v>
      </c>
      <c r="D3588" s="16" t="s">
        <v>707</v>
      </c>
      <c r="E3588" s="16">
        <v>2018.0</v>
      </c>
      <c r="F3588" s="16">
        <v>47.9004</v>
      </c>
      <c r="G3588" s="16">
        <v>10.2214</v>
      </c>
      <c r="H3588" s="15"/>
      <c r="I3588" s="15"/>
    </row>
    <row r="3589">
      <c r="A3589" s="18">
        <v>45665.0</v>
      </c>
      <c r="B3589" s="16" t="s">
        <v>4422</v>
      </c>
      <c r="C3589" s="16" t="s">
        <v>951</v>
      </c>
      <c r="D3589" s="16" t="s">
        <v>707</v>
      </c>
      <c r="E3589" s="16">
        <v>2018.0</v>
      </c>
      <c r="F3589" s="16">
        <v>47.8901</v>
      </c>
      <c r="G3589" s="16">
        <v>12.7747</v>
      </c>
      <c r="H3589" s="15"/>
      <c r="I3589" s="15"/>
    </row>
    <row r="3590">
      <c r="A3590" s="18">
        <v>45665.0</v>
      </c>
      <c r="B3590" s="16" t="s">
        <v>4423</v>
      </c>
      <c r="C3590" s="16" t="s">
        <v>978</v>
      </c>
      <c r="D3590" s="16" t="s">
        <v>707</v>
      </c>
      <c r="E3590" s="16">
        <v>2018.0</v>
      </c>
      <c r="F3590" s="16">
        <v>47.8965</v>
      </c>
      <c r="G3590" s="16">
        <v>12.7831</v>
      </c>
      <c r="H3590" s="15"/>
      <c r="I3590" s="15"/>
    </row>
    <row r="3591">
      <c r="A3591" s="18">
        <v>45665.0</v>
      </c>
      <c r="B3591" s="16" t="s">
        <v>4424</v>
      </c>
      <c r="C3591" s="16" t="s">
        <v>1215</v>
      </c>
      <c r="D3591" s="16" t="s">
        <v>707</v>
      </c>
      <c r="E3591" s="16">
        <v>2018.0</v>
      </c>
      <c r="F3591" s="16">
        <v>51.663</v>
      </c>
      <c r="G3591" s="16">
        <v>12.244</v>
      </c>
      <c r="H3591" s="15"/>
      <c r="I3591" s="15"/>
    </row>
    <row r="3592">
      <c r="A3592" s="18">
        <v>45665.0</v>
      </c>
      <c r="B3592" s="16" t="s">
        <v>4425</v>
      </c>
      <c r="C3592" s="16" t="s">
        <v>1402</v>
      </c>
      <c r="D3592" s="16" t="s">
        <v>707</v>
      </c>
      <c r="E3592" s="16">
        <v>2018.0</v>
      </c>
      <c r="F3592" s="16">
        <v>54.5839</v>
      </c>
      <c r="G3592" s="16">
        <v>9.4651</v>
      </c>
      <c r="H3592" s="15"/>
      <c r="I3592" s="15"/>
    </row>
    <row r="3593">
      <c r="A3593" s="18">
        <v>45665.0</v>
      </c>
      <c r="B3593" s="16" t="s">
        <v>4426</v>
      </c>
      <c r="C3593" s="16" t="s">
        <v>969</v>
      </c>
      <c r="D3593" s="16" t="s">
        <v>707</v>
      </c>
      <c r="E3593" s="16">
        <v>2018.0</v>
      </c>
      <c r="F3593" s="16">
        <v>51.8667</v>
      </c>
      <c r="G3593" s="16">
        <v>13.7609</v>
      </c>
      <c r="H3593" s="15"/>
      <c r="I3593" s="15"/>
    </row>
    <row r="3594">
      <c r="A3594" s="18">
        <v>45665.0</v>
      </c>
      <c r="B3594" s="16" t="s">
        <v>4427</v>
      </c>
      <c r="C3594" s="16" t="s">
        <v>1034</v>
      </c>
      <c r="D3594" s="16" t="s">
        <v>707</v>
      </c>
      <c r="E3594" s="16">
        <v>2018.0</v>
      </c>
      <c r="F3594" s="16">
        <v>51.7955</v>
      </c>
      <c r="G3594" s="16">
        <v>14.0493</v>
      </c>
      <c r="H3594" s="15"/>
      <c r="I3594" s="15"/>
    </row>
    <row r="3595">
      <c r="A3595" s="18">
        <v>45665.0</v>
      </c>
      <c r="B3595" s="16" t="s">
        <v>4428</v>
      </c>
      <c r="C3595" s="16" t="s">
        <v>1059</v>
      </c>
      <c r="D3595" s="16" t="s">
        <v>707</v>
      </c>
      <c r="E3595" s="16">
        <v>2018.0</v>
      </c>
      <c r="F3595" s="16">
        <v>52.671</v>
      </c>
      <c r="G3595" s="16">
        <v>14.148</v>
      </c>
      <c r="H3595" s="15"/>
      <c r="I3595" s="15"/>
    </row>
    <row r="3596">
      <c r="A3596" s="18">
        <v>45665.0</v>
      </c>
      <c r="B3596" s="16" t="s">
        <v>4429</v>
      </c>
      <c r="C3596" s="16">
        <v>8.0</v>
      </c>
      <c r="D3596" s="16" t="s">
        <v>707</v>
      </c>
      <c r="E3596" s="16">
        <v>2018.0</v>
      </c>
      <c r="F3596" s="16">
        <v>52.6713</v>
      </c>
      <c r="G3596" s="16">
        <v>14.0435</v>
      </c>
      <c r="H3596" s="15"/>
      <c r="I3596" s="15"/>
    </row>
    <row r="3597">
      <c r="A3597" s="18">
        <v>45665.0</v>
      </c>
      <c r="B3597" s="16" t="s">
        <v>4430</v>
      </c>
      <c r="C3597" s="16" t="s">
        <v>948</v>
      </c>
      <c r="D3597" s="16" t="s">
        <v>707</v>
      </c>
      <c r="E3597" s="16">
        <v>2018.0</v>
      </c>
      <c r="F3597" s="16">
        <v>50.2128</v>
      </c>
      <c r="G3597" s="16">
        <v>10.7381</v>
      </c>
      <c r="H3597" s="15"/>
      <c r="I3597" s="15"/>
    </row>
    <row r="3598">
      <c r="A3598" s="18">
        <v>45665.0</v>
      </c>
      <c r="B3598" s="16" t="s">
        <v>4431</v>
      </c>
      <c r="C3598" s="16" t="s">
        <v>1055</v>
      </c>
      <c r="D3598" s="16" t="s">
        <v>707</v>
      </c>
      <c r="E3598" s="16">
        <v>2018.0</v>
      </c>
      <c r="F3598" s="16">
        <v>50.2128</v>
      </c>
      <c r="G3598" s="16">
        <v>10.7381</v>
      </c>
      <c r="H3598" s="15"/>
      <c r="I3598" s="15"/>
    </row>
    <row r="3599">
      <c r="A3599" s="18">
        <v>45665.0</v>
      </c>
      <c r="B3599" s="16" t="s">
        <v>4432</v>
      </c>
      <c r="C3599" s="16" t="s">
        <v>951</v>
      </c>
      <c r="D3599" s="16" t="s">
        <v>707</v>
      </c>
      <c r="E3599" s="16">
        <v>2018.0</v>
      </c>
      <c r="F3599" s="16">
        <v>53.3</v>
      </c>
      <c r="G3599" s="16">
        <v>11.9319</v>
      </c>
      <c r="H3599" s="15"/>
      <c r="I3599" s="15"/>
    </row>
    <row r="3600">
      <c r="A3600" s="18">
        <v>45665.0</v>
      </c>
      <c r="B3600" s="16" t="s">
        <v>4433</v>
      </c>
      <c r="C3600" s="16" t="s">
        <v>951</v>
      </c>
      <c r="D3600" s="16" t="s">
        <v>707</v>
      </c>
      <c r="E3600" s="16">
        <v>2018.0</v>
      </c>
      <c r="F3600" s="16">
        <v>49.1742</v>
      </c>
      <c r="G3600" s="16">
        <v>9.8755</v>
      </c>
      <c r="H3600" s="15"/>
      <c r="I3600" s="15"/>
    </row>
    <row r="3601">
      <c r="A3601" s="18">
        <v>45665.0</v>
      </c>
      <c r="B3601" s="16" t="s">
        <v>4434</v>
      </c>
      <c r="C3601" s="16" t="s">
        <v>1002</v>
      </c>
      <c r="D3601" s="16" t="s">
        <v>707</v>
      </c>
      <c r="E3601" s="16">
        <v>2018.0</v>
      </c>
      <c r="F3601" s="16">
        <v>54.4134</v>
      </c>
      <c r="G3601" s="16">
        <v>9.9415</v>
      </c>
      <c r="H3601" s="15"/>
      <c r="I3601" s="15"/>
    </row>
    <row r="3602">
      <c r="A3602" s="18">
        <v>45665.0</v>
      </c>
      <c r="B3602" s="16" t="s">
        <v>4435</v>
      </c>
      <c r="C3602" s="16">
        <v>5.0</v>
      </c>
      <c r="D3602" s="16" t="s">
        <v>707</v>
      </c>
      <c r="E3602" s="16">
        <v>2018.0</v>
      </c>
      <c r="F3602" s="16">
        <v>49.1626</v>
      </c>
      <c r="G3602" s="16">
        <v>10.3699</v>
      </c>
      <c r="H3602" s="15"/>
      <c r="I3602" s="15"/>
    </row>
    <row r="3603">
      <c r="A3603" s="18">
        <v>45665.0</v>
      </c>
      <c r="B3603" s="16" t="s">
        <v>4436</v>
      </c>
      <c r="C3603" s="16" t="s">
        <v>1007</v>
      </c>
      <c r="D3603" s="16" t="s">
        <v>707</v>
      </c>
      <c r="E3603" s="16">
        <v>2018.0</v>
      </c>
      <c r="F3603" s="16">
        <v>52.643</v>
      </c>
      <c r="G3603" s="16">
        <v>11.917</v>
      </c>
      <c r="H3603" s="15"/>
      <c r="I3603" s="15"/>
    </row>
    <row r="3604">
      <c r="A3604" s="18">
        <v>45665.0</v>
      </c>
      <c r="B3604" s="16" t="s">
        <v>4437</v>
      </c>
      <c r="C3604" s="16">
        <v>10.0</v>
      </c>
      <c r="D3604" s="16" t="s">
        <v>707</v>
      </c>
      <c r="E3604" s="16">
        <v>2018.0</v>
      </c>
      <c r="F3604" s="16">
        <v>49.1761</v>
      </c>
      <c r="G3604" s="16">
        <v>11.8613</v>
      </c>
      <c r="H3604" s="15"/>
      <c r="I3604" s="15"/>
    </row>
    <row r="3605">
      <c r="A3605" s="18">
        <v>45665.0</v>
      </c>
      <c r="B3605" s="16" t="s">
        <v>4438</v>
      </c>
      <c r="C3605" s="16">
        <v>10.0</v>
      </c>
      <c r="D3605" s="16" t="s">
        <v>707</v>
      </c>
      <c r="E3605" s="16">
        <v>2018.0</v>
      </c>
      <c r="F3605" s="16">
        <v>49.202</v>
      </c>
      <c r="G3605" s="16">
        <v>11.813</v>
      </c>
      <c r="H3605" s="15"/>
      <c r="I3605" s="15"/>
    </row>
    <row r="3606">
      <c r="A3606" s="18">
        <v>45665.0</v>
      </c>
      <c r="B3606" s="16" t="s">
        <v>4439</v>
      </c>
      <c r="C3606" s="16" t="s">
        <v>984</v>
      </c>
      <c r="D3606" s="16" t="s">
        <v>707</v>
      </c>
      <c r="E3606" s="16">
        <v>2018.0</v>
      </c>
      <c r="F3606" s="16">
        <v>50.8375</v>
      </c>
      <c r="G3606" s="16">
        <v>6.4494</v>
      </c>
      <c r="H3606" s="15"/>
      <c r="I3606" s="15"/>
    </row>
    <row r="3607">
      <c r="A3607" s="18">
        <v>45665.0</v>
      </c>
      <c r="B3607" s="16" t="s">
        <v>4440</v>
      </c>
      <c r="C3607" s="16" t="s">
        <v>946</v>
      </c>
      <c r="D3607" s="16" t="s">
        <v>707</v>
      </c>
      <c r="E3607" s="16">
        <v>2018.0</v>
      </c>
      <c r="F3607" s="16">
        <v>50.986</v>
      </c>
      <c r="G3607" s="16">
        <v>10.7208</v>
      </c>
      <c r="H3607" s="15"/>
      <c r="I3607" s="15"/>
    </row>
    <row r="3608">
      <c r="A3608" s="18">
        <v>45665.0</v>
      </c>
      <c r="B3608" s="16" t="s">
        <v>4441</v>
      </c>
      <c r="C3608" s="16">
        <v>8.0</v>
      </c>
      <c r="D3608" s="16" t="s">
        <v>707</v>
      </c>
      <c r="E3608" s="16">
        <v>2018.0</v>
      </c>
      <c r="F3608" s="16">
        <v>54.5609</v>
      </c>
      <c r="G3608" s="16">
        <v>9.4688</v>
      </c>
      <c r="H3608" s="15"/>
      <c r="I3608" s="15"/>
    </row>
    <row r="3609">
      <c r="A3609" s="18">
        <v>45665.0</v>
      </c>
      <c r="B3609" s="16" t="s">
        <v>4442</v>
      </c>
      <c r="C3609" s="16" t="s">
        <v>3817</v>
      </c>
      <c r="D3609" s="16" t="s">
        <v>707</v>
      </c>
      <c r="E3609" s="16">
        <v>2018.0</v>
      </c>
      <c r="F3609" s="16">
        <v>53.5203</v>
      </c>
      <c r="G3609" s="16">
        <v>10.8816</v>
      </c>
      <c r="H3609" s="15"/>
      <c r="I3609" s="15"/>
    </row>
    <row r="3610">
      <c r="A3610" s="18">
        <v>45665.0</v>
      </c>
      <c r="B3610" s="16" t="s">
        <v>4443</v>
      </c>
      <c r="C3610" s="16" t="s">
        <v>1282</v>
      </c>
      <c r="D3610" s="16" t="s">
        <v>707</v>
      </c>
      <c r="E3610" s="16">
        <v>2018.0</v>
      </c>
      <c r="F3610" s="16">
        <v>50.905</v>
      </c>
      <c r="G3610" s="16">
        <v>10.255</v>
      </c>
      <c r="H3610" s="15"/>
      <c r="I3610" s="15"/>
    </row>
    <row r="3611">
      <c r="A3611" s="18">
        <v>45665.0</v>
      </c>
      <c r="B3611" s="16" t="s">
        <v>4444</v>
      </c>
      <c r="C3611" s="16" t="s">
        <v>951</v>
      </c>
      <c r="D3611" s="16" t="s">
        <v>707</v>
      </c>
      <c r="E3611" s="16">
        <v>2018.0</v>
      </c>
      <c r="F3611" s="16">
        <v>48.3244</v>
      </c>
      <c r="G3611" s="16">
        <v>12.5258</v>
      </c>
      <c r="H3611" s="15"/>
      <c r="I3611" s="15"/>
    </row>
    <row r="3612">
      <c r="A3612" s="18">
        <v>45665.0</v>
      </c>
      <c r="B3612" s="16" t="s">
        <v>4445</v>
      </c>
      <c r="C3612" s="16" t="s">
        <v>946</v>
      </c>
      <c r="D3612" s="16" t="s">
        <v>707</v>
      </c>
      <c r="E3612" s="16">
        <v>2018.0</v>
      </c>
      <c r="F3612" s="16">
        <v>48.3244</v>
      </c>
      <c r="G3612" s="16">
        <v>12.5258</v>
      </c>
      <c r="H3612" s="15"/>
      <c r="I3612" s="15"/>
    </row>
    <row r="3613">
      <c r="A3613" s="18">
        <v>45665.0</v>
      </c>
      <c r="B3613" s="16" t="s">
        <v>4446</v>
      </c>
      <c r="C3613" s="16" t="s">
        <v>1034</v>
      </c>
      <c r="D3613" s="16" t="s">
        <v>707</v>
      </c>
      <c r="E3613" s="16">
        <v>2018.0</v>
      </c>
      <c r="F3613" s="16">
        <v>50.965</v>
      </c>
      <c r="G3613" s="16">
        <v>11.2661</v>
      </c>
      <c r="H3613" s="15"/>
      <c r="I3613" s="15"/>
    </row>
    <row r="3614">
      <c r="A3614" s="18">
        <v>45665.0</v>
      </c>
      <c r="B3614" s="16" t="s">
        <v>4447</v>
      </c>
      <c r="C3614" s="16" t="s">
        <v>942</v>
      </c>
      <c r="D3614" s="16" t="s">
        <v>707</v>
      </c>
      <c r="E3614" s="16">
        <v>2018.0</v>
      </c>
      <c r="F3614" s="16">
        <v>49.4051</v>
      </c>
      <c r="G3614" s="16">
        <v>10.0557</v>
      </c>
      <c r="H3614" s="15"/>
      <c r="I3614" s="15"/>
    </row>
    <row r="3615">
      <c r="A3615" s="18">
        <v>45665.0</v>
      </c>
      <c r="B3615" s="16" t="s">
        <v>4448</v>
      </c>
      <c r="C3615" s="16" t="s">
        <v>1454</v>
      </c>
      <c r="D3615" s="16" t="s">
        <v>707</v>
      </c>
      <c r="E3615" s="16">
        <v>2018.0</v>
      </c>
      <c r="F3615" s="16">
        <v>48.2358</v>
      </c>
      <c r="G3615" s="16">
        <v>10.5326</v>
      </c>
      <c r="H3615" s="15"/>
      <c r="I3615" s="15"/>
    </row>
    <row r="3616">
      <c r="A3616" s="18">
        <v>45665.0</v>
      </c>
      <c r="B3616" s="16" t="s">
        <v>4449</v>
      </c>
      <c r="C3616" s="16" t="s">
        <v>1771</v>
      </c>
      <c r="D3616" s="16" t="s">
        <v>707</v>
      </c>
      <c r="E3616" s="16">
        <v>2018.0</v>
      </c>
      <c r="F3616" s="16">
        <v>50.1317</v>
      </c>
      <c r="G3616" s="16">
        <v>10.4637</v>
      </c>
      <c r="H3616" s="15"/>
      <c r="I3616" s="15"/>
    </row>
    <row r="3617">
      <c r="A3617" s="18">
        <v>45665.0</v>
      </c>
      <c r="B3617" s="16" t="s">
        <v>4450</v>
      </c>
      <c r="C3617" s="16">
        <v>10.0</v>
      </c>
      <c r="D3617" s="16" t="s">
        <v>707</v>
      </c>
      <c r="E3617" s="16">
        <v>2018.0</v>
      </c>
      <c r="F3617" s="16">
        <v>49.3609</v>
      </c>
      <c r="G3617" s="16">
        <v>10.8</v>
      </c>
      <c r="H3617" s="15"/>
      <c r="I3617" s="15"/>
    </row>
    <row r="3618">
      <c r="A3618" s="18">
        <v>45665.0</v>
      </c>
      <c r="B3618" s="16" t="s">
        <v>4451</v>
      </c>
      <c r="C3618" s="16" t="s">
        <v>1149</v>
      </c>
      <c r="D3618" s="16" t="s">
        <v>707</v>
      </c>
      <c r="E3618" s="16">
        <v>2018.0</v>
      </c>
      <c r="F3618" s="16">
        <v>49.9093</v>
      </c>
      <c r="G3618" s="16">
        <v>8.868</v>
      </c>
      <c r="H3618" s="15"/>
      <c r="I3618" s="15"/>
    </row>
    <row r="3619">
      <c r="A3619" s="18">
        <v>45665.0</v>
      </c>
      <c r="B3619" s="16" t="s">
        <v>4452</v>
      </c>
      <c r="C3619" s="16" t="s">
        <v>1004</v>
      </c>
      <c r="D3619" s="16" t="s">
        <v>707</v>
      </c>
      <c r="E3619" s="16">
        <v>2018.0</v>
      </c>
      <c r="F3619" s="16">
        <v>47.996</v>
      </c>
      <c r="G3619" s="16">
        <v>9.6974</v>
      </c>
      <c r="H3619" s="15"/>
      <c r="I3619" s="15"/>
    </row>
    <row r="3620">
      <c r="A3620" s="18">
        <v>45665.0</v>
      </c>
      <c r="B3620" s="16" t="s">
        <v>4453</v>
      </c>
      <c r="C3620" s="16" t="s">
        <v>1055</v>
      </c>
      <c r="D3620" s="16" t="s">
        <v>707</v>
      </c>
      <c r="E3620" s="16">
        <v>2018.0</v>
      </c>
      <c r="F3620" s="16">
        <v>50.1123</v>
      </c>
      <c r="G3620" s="16">
        <v>8.6507</v>
      </c>
      <c r="H3620" s="15"/>
      <c r="I3620" s="15"/>
    </row>
    <row r="3621">
      <c r="A3621" s="18">
        <v>45665.0</v>
      </c>
      <c r="B3621" s="16" t="s">
        <v>4454</v>
      </c>
      <c r="C3621" s="16" t="s">
        <v>1181</v>
      </c>
      <c r="D3621" s="16" t="s">
        <v>707</v>
      </c>
      <c r="E3621" s="16">
        <v>2018.0</v>
      </c>
      <c r="F3621" s="16">
        <v>49.6729</v>
      </c>
      <c r="G3621" s="16">
        <v>11.0523</v>
      </c>
      <c r="H3621" s="15"/>
      <c r="I3621" s="15"/>
    </row>
    <row r="3622">
      <c r="A3622" s="18">
        <v>45665.0</v>
      </c>
      <c r="B3622" s="16" t="s">
        <v>4455</v>
      </c>
      <c r="C3622" s="16" t="s">
        <v>1080</v>
      </c>
      <c r="D3622" s="16" t="s">
        <v>707</v>
      </c>
      <c r="E3622" s="16">
        <v>2018.0</v>
      </c>
      <c r="F3622" s="16">
        <v>52.02</v>
      </c>
      <c r="G3622" s="16">
        <v>13.6809</v>
      </c>
      <c r="H3622" s="15"/>
      <c r="I3622" s="15"/>
    </row>
    <row r="3623">
      <c r="A3623" s="18">
        <v>45665.0</v>
      </c>
      <c r="B3623" s="16" t="s">
        <v>4456</v>
      </c>
      <c r="C3623" s="16" t="s">
        <v>959</v>
      </c>
      <c r="D3623" s="16" t="s">
        <v>707</v>
      </c>
      <c r="E3623" s="16">
        <v>2018.0</v>
      </c>
      <c r="F3623" s="16">
        <v>51.5701</v>
      </c>
      <c r="G3623" s="16">
        <v>12.9896</v>
      </c>
      <c r="H3623" s="15"/>
      <c r="I3623" s="15"/>
    </row>
    <row r="3624">
      <c r="A3624" s="18">
        <v>45665.0</v>
      </c>
      <c r="B3624" s="16" t="s">
        <v>4457</v>
      </c>
      <c r="C3624" s="16" t="s">
        <v>961</v>
      </c>
      <c r="D3624" s="16" t="s">
        <v>707</v>
      </c>
      <c r="E3624" s="16">
        <v>2018.0</v>
      </c>
      <c r="F3624" s="16">
        <v>51.5701</v>
      </c>
      <c r="G3624" s="16">
        <v>12.9896</v>
      </c>
      <c r="H3624" s="15"/>
      <c r="I3624" s="15"/>
    </row>
    <row r="3625">
      <c r="A3625" s="18">
        <v>45665.0</v>
      </c>
      <c r="B3625" s="16" t="s">
        <v>4458</v>
      </c>
      <c r="C3625" s="16">
        <v>2.0</v>
      </c>
      <c r="D3625" s="16" t="s">
        <v>707</v>
      </c>
      <c r="E3625" s="16">
        <v>2018.0</v>
      </c>
      <c r="F3625" s="16">
        <v>51.6817</v>
      </c>
      <c r="G3625" s="16">
        <v>14.5163</v>
      </c>
      <c r="H3625" s="15"/>
      <c r="I3625" s="15"/>
    </row>
    <row r="3626">
      <c r="A3626" s="18">
        <v>45665.0</v>
      </c>
      <c r="B3626" s="16" t="s">
        <v>4459</v>
      </c>
      <c r="C3626" s="16" t="s">
        <v>1598</v>
      </c>
      <c r="D3626" s="16" t="s">
        <v>707</v>
      </c>
      <c r="E3626" s="16">
        <v>2018.0</v>
      </c>
      <c r="F3626" s="16">
        <v>51.6805</v>
      </c>
      <c r="G3626" s="16">
        <v>14.4375</v>
      </c>
      <c r="H3626" s="15"/>
      <c r="I3626" s="15"/>
    </row>
    <row r="3627">
      <c r="A3627" s="18">
        <v>45665.0</v>
      </c>
      <c r="B3627" s="16" t="s">
        <v>4460</v>
      </c>
      <c r="C3627" s="16">
        <v>2.0</v>
      </c>
      <c r="D3627" s="16" t="s">
        <v>707</v>
      </c>
      <c r="E3627" s="16">
        <v>2018.0</v>
      </c>
      <c r="F3627" s="16">
        <v>51.7076</v>
      </c>
      <c r="G3627" s="16">
        <v>14.4838</v>
      </c>
      <c r="H3627" s="15"/>
      <c r="I3627" s="15"/>
    </row>
    <row r="3628">
      <c r="A3628" s="18">
        <v>45665.0</v>
      </c>
      <c r="B3628" s="16" t="s">
        <v>4461</v>
      </c>
      <c r="C3628" s="16" t="s">
        <v>1282</v>
      </c>
      <c r="D3628" s="16" t="s">
        <v>707</v>
      </c>
      <c r="E3628" s="16">
        <v>2018.0</v>
      </c>
      <c r="F3628" s="16">
        <v>51.7076</v>
      </c>
      <c r="G3628" s="16">
        <v>14.4838</v>
      </c>
      <c r="H3628" s="15"/>
      <c r="I3628" s="15"/>
    </row>
    <row r="3629">
      <c r="A3629" s="18">
        <v>45665.0</v>
      </c>
      <c r="B3629" s="16" t="s">
        <v>4462</v>
      </c>
      <c r="C3629" s="16">
        <v>2.0</v>
      </c>
      <c r="D3629" s="16" t="s">
        <v>707</v>
      </c>
      <c r="E3629" s="16">
        <v>2018.0</v>
      </c>
      <c r="F3629" s="16">
        <v>51.0327</v>
      </c>
      <c r="G3629" s="16">
        <v>8.6845</v>
      </c>
      <c r="H3629" s="15"/>
      <c r="I3629" s="15"/>
    </row>
    <row r="3630">
      <c r="A3630" s="18">
        <v>45665.0</v>
      </c>
      <c r="B3630" s="16" t="s">
        <v>4463</v>
      </c>
      <c r="C3630" s="16" t="s">
        <v>1393</v>
      </c>
      <c r="D3630" s="16" t="s">
        <v>707</v>
      </c>
      <c r="E3630" s="16">
        <v>2018.0</v>
      </c>
      <c r="F3630" s="16">
        <v>53.9125</v>
      </c>
      <c r="G3630" s="16">
        <v>13.3022</v>
      </c>
      <c r="H3630" s="15"/>
      <c r="I3630" s="15"/>
    </row>
    <row r="3631">
      <c r="A3631" s="18">
        <v>45665.0</v>
      </c>
      <c r="B3631" s="16" t="s">
        <v>4464</v>
      </c>
      <c r="C3631" s="16">
        <v>2.0</v>
      </c>
      <c r="D3631" s="16" t="s">
        <v>707</v>
      </c>
      <c r="E3631" s="16">
        <v>2018.0</v>
      </c>
      <c r="F3631" s="16">
        <v>47.8877</v>
      </c>
      <c r="G3631" s="16">
        <v>8.3952</v>
      </c>
      <c r="H3631" s="15"/>
      <c r="I3631" s="15"/>
    </row>
    <row r="3632">
      <c r="A3632" s="18">
        <v>45665.0</v>
      </c>
      <c r="B3632" s="16" t="s">
        <v>4465</v>
      </c>
      <c r="C3632" s="16" t="s">
        <v>982</v>
      </c>
      <c r="D3632" s="16" t="s">
        <v>707</v>
      </c>
      <c r="E3632" s="16">
        <v>2018.0</v>
      </c>
      <c r="F3632" s="16">
        <v>53.2046</v>
      </c>
      <c r="G3632" s="16">
        <v>12.5367</v>
      </c>
      <c r="H3632" s="15"/>
      <c r="I3632" s="15"/>
    </row>
    <row r="3633">
      <c r="A3633" s="18">
        <v>45665.0</v>
      </c>
      <c r="B3633" s="16" t="s">
        <v>4466</v>
      </c>
      <c r="C3633" s="16" t="s">
        <v>1002</v>
      </c>
      <c r="D3633" s="16" t="s">
        <v>707</v>
      </c>
      <c r="E3633" s="16">
        <v>2018.0</v>
      </c>
      <c r="F3633" s="16">
        <v>53.4227</v>
      </c>
      <c r="G3633" s="16">
        <v>13.2795</v>
      </c>
      <c r="H3633" s="15"/>
      <c r="I3633" s="15"/>
    </row>
    <row r="3634">
      <c r="A3634" s="18">
        <v>45665.0</v>
      </c>
      <c r="B3634" s="16" t="s">
        <v>4467</v>
      </c>
      <c r="C3634" s="16" t="s">
        <v>1690</v>
      </c>
      <c r="D3634" s="16" t="s">
        <v>707</v>
      </c>
      <c r="E3634" s="16">
        <v>2018.0</v>
      </c>
      <c r="F3634" s="16">
        <v>51.8662</v>
      </c>
      <c r="G3634" s="16">
        <v>13.7664</v>
      </c>
      <c r="H3634" s="15"/>
      <c r="I3634" s="15"/>
    </row>
    <row r="3635">
      <c r="A3635" s="18">
        <v>45665.0</v>
      </c>
      <c r="B3635" s="16" t="s">
        <v>4468</v>
      </c>
      <c r="C3635" s="16" t="s">
        <v>961</v>
      </c>
      <c r="D3635" s="16" t="s">
        <v>707</v>
      </c>
      <c r="E3635" s="16">
        <v>2018.0</v>
      </c>
      <c r="F3635" s="16">
        <v>51.8671</v>
      </c>
      <c r="G3635" s="16">
        <v>13.7668</v>
      </c>
      <c r="H3635" s="15"/>
      <c r="I3635" s="15"/>
    </row>
    <row r="3636">
      <c r="A3636" s="18">
        <v>45665.0</v>
      </c>
      <c r="B3636" s="16" t="s">
        <v>4469</v>
      </c>
      <c r="C3636" s="16" t="s">
        <v>969</v>
      </c>
      <c r="D3636" s="16" t="s">
        <v>707</v>
      </c>
      <c r="E3636" s="16">
        <v>2018.0</v>
      </c>
      <c r="F3636" s="16">
        <v>52.4646</v>
      </c>
      <c r="G3636" s="16">
        <v>12.2467</v>
      </c>
      <c r="H3636" s="15"/>
      <c r="I3636" s="15"/>
    </row>
    <row r="3637">
      <c r="A3637" s="18">
        <v>45665.0</v>
      </c>
      <c r="B3637" s="16" t="s">
        <v>4470</v>
      </c>
      <c r="C3637" s="16" t="s">
        <v>1931</v>
      </c>
      <c r="D3637" s="16" t="s">
        <v>707</v>
      </c>
      <c r="E3637" s="16">
        <v>2018.0</v>
      </c>
      <c r="F3637" s="16">
        <v>54.1347</v>
      </c>
      <c r="G3637" s="16">
        <v>12.8052</v>
      </c>
      <c r="H3637" s="15"/>
      <c r="I3637" s="15"/>
    </row>
    <row r="3638">
      <c r="A3638" s="18">
        <v>45665.0</v>
      </c>
      <c r="B3638" s="16" t="s">
        <v>4471</v>
      </c>
      <c r="C3638" s="16" t="s">
        <v>3086</v>
      </c>
      <c r="D3638" s="16" t="s">
        <v>707</v>
      </c>
      <c r="E3638" s="16">
        <v>2018.0</v>
      </c>
      <c r="F3638" s="16">
        <v>54.1907</v>
      </c>
      <c r="G3638" s="16">
        <v>9.8315</v>
      </c>
      <c r="H3638" s="15"/>
      <c r="I3638" s="15"/>
    </row>
    <row r="3639">
      <c r="A3639" s="18">
        <v>45665.0</v>
      </c>
      <c r="B3639" s="16" t="s">
        <v>4472</v>
      </c>
      <c r="C3639" s="16" t="s">
        <v>1099</v>
      </c>
      <c r="D3639" s="16" t="s">
        <v>707</v>
      </c>
      <c r="E3639" s="16">
        <v>2018.0</v>
      </c>
      <c r="F3639" s="16">
        <v>54.3473</v>
      </c>
      <c r="G3639" s="16">
        <v>9.8088</v>
      </c>
      <c r="H3639" s="15"/>
      <c r="I3639" s="15"/>
    </row>
    <row r="3640">
      <c r="A3640" s="18">
        <v>45665.0</v>
      </c>
      <c r="B3640" s="16" t="s">
        <v>4473</v>
      </c>
      <c r="C3640" s="16" t="s">
        <v>1037</v>
      </c>
      <c r="D3640" s="16" t="s">
        <v>707</v>
      </c>
      <c r="E3640" s="16">
        <v>2018.0</v>
      </c>
      <c r="F3640" s="16">
        <v>51.4</v>
      </c>
      <c r="G3640" s="16">
        <v>12.1725</v>
      </c>
      <c r="H3640" s="15"/>
      <c r="I3640" s="15"/>
    </row>
    <row r="3641">
      <c r="A3641" s="18">
        <v>45665.0</v>
      </c>
      <c r="B3641" s="16" t="s">
        <v>4474</v>
      </c>
      <c r="C3641" s="16" t="s">
        <v>951</v>
      </c>
      <c r="D3641" s="16" t="s">
        <v>707</v>
      </c>
      <c r="E3641" s="16">
        <v>2018.0</v>
      </c>
      <c r="F3641" s="16">
        <v>47.6006</v>
      </c>
      <c r="G3641" s="16">
        <v>11.174</v>
      </c>
      <c r="H3641" s="15"/>
      <c r="I3641" s="15"/>
    </row>
    <row r="3642">
      <c r="A3642" s="18">
        <v>45665.0</v>
      </c>
      <c r="B3642" s="16" t="s">
        <v>4475</v>
      </c>
      <c r="C3642" s="16" t="s">
        <v>1771</v>
      </c>
      <c r="D3642" s="16" t="s">
        <v>707</v>
      </c>
      <c r="E3642" s="16">
        <v>2018.0</v>
      </c>
      <c r="F3642" s="16">
        <v>53.3529</v>
      </c>
      <c r="G3642" s="16">
        <v>12.4713</v>
      </c>
      <c r="H3642" s="15"/>
      <c r="I3642" s="15"/>
    </row>
    <row r="3643">
      <c r="A3643" s="18">
        <v>45665.0</v>
      </c>
      <c r="B3643" s="16" t="s">
        <v>4476</v>
      </c>
      <c r="C3643" s="16">
        <v>10.0</v>
      </c>
      <c r="D3643" s="16" t="s">
        <v>707</v>
      </c>
      <c r="E3643" s="16">
        <v>2018.0</v>
      </c>
      <c r="F3643" s="16">
        <v>52.5271</v>
      </c>
      <c r="G3643" s="16">
        <v>13.9639</v>
      </c>
      <c r="H3643" s="15"/>
      <c r="I3643" s="15"/>
    </row>
    <row r="3644">
      <c r="A3644" s="18">
        <v>45665.0</v>
      </c>
      <c r="B3644" s="16" t="s">
        <v>4477</v>
      </c>
      <c r="C3644" s="16" t="s">
        <v>1055</v>
      </c>
      <c r="D3644" s="16" t="s">
        <v>707</v>
      </c>
      <c r="E3644" s="16">
        <v>2018.0</v>
      </c>
      <c r="F3644" s="16">
        <v>50.3826</v>
      </c>
      <c r="G3644" s="16">
        <v>11.9891</v>
      </c>
      <c r="H3644" s="15"/>
      <c r="I3644" s="15"/>
    </row>
    <row r="3645">
      <c r="A3645" s="18">
        <v>45665.0</v>
      </c>
      <c r="B3645" s="16" t="s">
        <v>4478</v>
      </c>
      <c r="C3645" s="16" t="s">
        <v>1055</v>
      </c>
      <c r="D3645" s="16" t="s">
        <v>707</v>
      </c>
      <c r="E3645" s="16">
        <v>2018.0</v>
      </c>
      <c r="F3645" s="16">
        <v>50.3502</v>
      </c>
      <c r="G3645" s="16">
        <v>11.9766</v>
      </c>
      <c r="H3645" s="15"/>
      <c r="I3645" s="15"/>
    </row>
    <row r="3646">
      <c r="A3646" s="18">
        <v>45665.0</v>
      </c>
      <c r="B3646" s="16" t="s">
        <v>4479</v>
      </c>
      <c r="C3646" s="16" t="s">
        <v>951</v>
      </c>
      <c r="D3646" s="16" t="s">
        <v>707</v>
      </c>
      <c r="E3646" s="16">
        <v>2018.0</v>
      </c>
      <c r="F3646" s="16">
        <v>50.3486</v>
      </c>
      <c r="G3646" s="16">
        <v>11.9767</v>
      </c>
      <c r="H3646" s="15"/>
      <c r="I3646" s="15"/>
    </row>
    <row r="3647">
      <c r="A3647" s="18">
        <v>45665.0</v>
      </c>
      <c r="B3647" s="16" t="s">
        <v>4480</v>
      </c>
      <c r="C3647" s="16" t="s">
        <v>948</v>
      </c>
      <c r="D3647" s="16" t="s">
        <v>707</v>
      </c>
      <c r="E3647" s="16">
        <v>2018.0</v>
      </c>
      <c r="F3647" s="16">
        <v>50.3437</v>
      </c>
      <c r="G3647" s="16">
        <v>11.9952</v>
      </c>
      <c r="H3647" s="15"/>
      <c r="I3647" s="15"/>
    </row>
    <row r="3648">
      <c r="A3648" s="18">
        <v>45665.0</v>
      </c>
      <c r="B3648" s="16" t="s">
        <v>4481</v>
      </c>
      <c r="C3648" s="16" t="s">
        <v>3817</v>
      </c>
      <c r="D3648" s="16" t="s">
        <v>707</v>
      </c>
      <c r="E3648" s="16">
        <v>2018.0</v>
      </c>
      <c r="F3648" s="16">
        <v>53.5127</v>
      </c>
      <c r="G3648" s="16">
        <v>13.6005</v>
      </c>
      <c r="H3648" s="15"/>
      <c r="I3648" s="15"/>
    </row>
    <row r="3649">
      <c r="A3649" s="18">
        <v>45665.0</v>
      </c>
      <c r="B3649" s="16" t="s">
        <v>4482</v>
      </c>
      <c r="C3649" s="16" t="s">
        <v>4358</v>
      </c>
      <c r="D3649" s="16" t="s">
        <v>707</v>
      </c>
      <c r="E3649" s="16">
        <v>2018.0</v>
      </c>
      <c r="F3649" s="16">
        <v>53.9682</v>
      </c>
      <c r="G3649" s="16">
        <v>13.4044</v>
      </c>
      <c r="H3649" s="15"/>
      <c r="I3649" s="15"/>
    </row>
    <row r="3650">
      <c r="A3650" s="18">
        <v>45665.0</v>
      </c>
      <c r="B3650" s="16" t="s">
        <v>4483</v>
      </c>
      <c r="C3650" s="16" t="s">
        <v>1461</v>
      </c>
      <c r="D3650" s="16" t="s">
        <v>707</v>
      </c>
      <c r="E3650" s="16">
        <v>2018.0</v>
      </c>
      <c r="F3650" s="16">
        <v>53.2678</v>
      </c>
      <c r="G3650" s="16">
        <v>13.7051</v>
      </c>
      <c r="H3650" s="15"/>
      <c r="I3650" s="15"/>
    </row>
    <row r="3651">
      <c r="A3651" s="18">
        <v>45665.0</v>
      </c>
      <c r="B3651" s="16" t="s">
        <v>4484</v>
      </c>
      <c r="C3651" s="16" t="s">
        <v>1720</v>
      </c>
      <c r="D3651" s="16" t="s">
        <v>707</v>
      </c>
      <c r="E3651" s="16">
        <v>2018.0</v>
      </c>
      <c r="F3651" s="16">
        <v>50.3431</v>
      </c>
      <c r="G3651" s="16">
        <v>11.838</v>
      </c>
      <c r="H3651" s="15"/>
      <c r="I3651" s="15"/>
    </row>
    <row r="3652">
      <c r="A3652" s="18">
        <v>45665.0</v>
      </c>
      <c r="B3652" s="16" t="s">
        <v>4485</v>
      </c>
      <c r="C3652" s="16">
        <v>10.0</v>
      </c>
      <c r="D3652" s="16" t="s">
        <v>707</v>
      </c>
      <c r="E3652" s="16">
        <v>2018.0</v>
      </c>
      <c r="F3652" s="16">
        <v>52.6419</v>
      </c>
      <c r="G3652" s="16">
        <v>14.3288</v>
      </c>
      <c r="H3652" s="15"/>
      <c r="I3652" s="15"/>
    </row>
    <row r="3653">
      <c r="A3653" s="18">
        <v>45665.0</v>
      </c>
      <c r="B3653" s="16" t="s">
        <v>4486</v>
      </c>
      <c r="C3653" s="16" t="s">
        <v>948</v>
      </c>
      <c r="D3653" s="16" t="s">
        <v>707</v>
      </c>
      <c r="E3653" s="16">
        <v>2018.0</v>
      </c>
      <c r="F3653" s="16">
        <v>53.3</v>
      </c>
      <c r="G3653" s="16">
        <v>11.9319</v>
      </c>
      <c r="H3653" s="15"/>
      <c r="I3653" s="15"/>
    </row>
    <row r="3654">
      <c r="A3654" s="18">
        <v>45665.0</v>
      </c>
      <c r="B3654" s="16" t="s">
        <v>4487</v>
      </c>
      <c r="C3654" s="16" t="s">
        <v>2457</v>
      </c>
      <c r="D3654" s="16" t="s">
        <v>707</v>
      </c>
      <c r="E3654" s="16">
        <v>2018.0</v>
      </c>
      <c r="F3654" s="16">
        <v>51.7729</v>
      </c>
      <c r="G3654" s="16">
        <v>14.1666</v>
      </c>
      <c r="H3654" s="15"/>
      <c r="I3654" s="15"/>
    </row>
    <row r="3655">
      <c r="A3655" s="18">
        <v>45665.0</v>
      </c>
      <c r="B3655" s="16" t="s">
        <v>4488</v>
      </c>
      <c r="C3655" s="16" t="s">
        <v>1393</v>
      </c>
      <c r="D3655" s="16" t="s">
        <v>707</v>
      </c>
      <c r="E3655" s="16">
        <v>2018.0</v>
      </c>
      <c r="F3655" s="16">
        <v>49.1176</v>
      </c>
      <c r="G3655" s="16">
        <v>10.9735</v>
      </c>
      <c r="H3655" s="15"/>
      <c r="I3655" s="15"/>
    </row>
    <row r="3656">
      <c r="A3656" s="18">
        <v>45665.0</v>
      </c>
      <c r="B3656" s="16" t="s">
        <v>4489</v>
      </c>
      <c r="C3656" s="16" t="s">
        <v>3086</v>
      </c>
      <c r="D3656" s="16" t="s">
        <v>707</v>
      </c>
      <c r="E3656" s="16">
        <v>2018.0</v>
      </c>
      <c r="F3656" s="16">
        <v>54.684</v>
      </c>
      <c r="G3656" s="16">
        <v>9.7069</v>
      </c>
      <c r="H3656" s="15"/>
      <c r="I3656" s="15"/>
    </row>
    <row r="3657">
      <c r="A3657" s="18">
        <v>45665.0</v>
      </c>
      <c r="B3657" s="16" t="s">
        <v>4490</v>
      </c>
      <c r="C3657" s="16" t="s">
        <v>1011</v>
      </c>
      <c r="D3657" s="16" t="s">
        <v>707</v>
      </c>
      <c r="E3657" s="16">
        <v>2018.0</v>
      </c>
      <c r="F3657" s="16">
        <v>51.2987</v>
      </c>
      <c r="G3657" s="16">
        <v>13.0638</v>
      </c>
      <c r="H3657" s="15"/>
      <c r="I3657" s="15"/>
    </row>
    <row r="3658">
      <c r="A3658" s="18">
        <v>45665.0</v>
      </c>
      <c r="B3658" s="16" t="s">
        <v>4491</v>
      </c>
      <c r="C3658" s="16" t="s">
        <v>1267</v>
      </c>
      <c r="D3658" s="16" t="s">
        <v>707</v>
      </c>
      <c r="E3658" s="16">
        <v>2018.0</v>
      </c>
      <c r="F3658" s="16">
        <v>50.9442</v>
      </c>
      <c r="G3658" s="16">
        <v>12.6945</v>
      </c>
      <c r="H3658" s="15"/>
      <c r="I3658" s="15"/>
    </row>
    <row r="3659">
      <c r="A3659" s="18">
        <v>45665.0</v>
      </c>
      <c r="B3659" s="16" t="s">
        <v>4492</v>
      </c>
      <c r="C3659" s="16" t="s">
        <v>3817</v>
      </c>
      <c r="D3659" s="16" t="s">
        <v>707</v>
      </c>
      <c r="E3659" s="16">
        <v>2018.0</v>
      </c>
      <c r="F3659" s="16">
        <v>53.3291</v>
      </c>
      <c r="G3659" s="16">
        <v>13.8634</v>
      </c>
      <c r="H3659" s="15"/>
      <c r="I3659" s="15"/>
    </row>
    <row r="3660">
      <c r="A3660" s="18">
        <v>45665.0</v>
      </c>
      <c r="B3660" s="16" t="s">
        <v>4493</v>
      </c>
      <c r="C3660" s="16" t="s">
        <v>1039</v>
      </c>
      <c r="D3660" s="16" t="s">
        <v>707</v>
      </c>
      <c r="E3660" s="16">
        <v>2018.0</v>
      </c>
      <c r="F3660" s="16">
        <v>53.7328</v>
      </c>
      <c r="G3660" s="16">
        <v>13.5052</v>
      </c>
      <c r="H3660" s="15"/>
      <c r="I3660" s="15"/>
    </row>
    <row r="3661">
      <c r="A3661" s="18">
        <v>45665.0</v>
      </c>
      <c r="B3661" s="16" t="s">
        <v>4494</v>
      </c>
      <c r="C3661" s="16" t="s">
        <v>4064</v>
      </c>
      <c r="D3661" s="16" t="s">
        <v>707</v>
      </c>
      <c r="E3661" s="16">
        <v>2018.0</v>
      </c>
      <c r="F3661" s="16">
        <v>52.8344</v>
      </c>
      <c r="G3661" s="16">
        <v>11.2069</v>
      </c>
      <c r="H3661" s="15"/>
      <c r="I3661" s="15"/>
    </row>
    <row r="3662">
      <c r="A3662" s="18">
        <v>45665.0</v>
      </c>
      <c r="B3662" s="16" t="s">
        <v>4495</v>
      </c>
      <c r="C3662" s="16" t="s">
        <v>1461</v>
      </c>
      <c r="D3662" s="16" t="s">
        <v>707</v>
      </c>
      <c r="E3662" s="16">
        <v>2018.0</v>
      </c>
      <c r="F3662" s="16">
        <v>54.7318</v>
      </c>
      <c r="G3662" s="16">
        <v>9.6446</v>
      </c>
      <c r="H3662" s="15"/>
      <c r="I3662" s="15"/>
    </row>
    <row r="3663">
      <c r="A3663" s="18">
        <v>45665.0</v>
      </c>
      <c r="B3663" s="16" t="s">
        <v>4496</v>
      </c>
      <c r="C3663" s="16" t="s">
        <v>1461</v>
      </c>
      <c r="D3663" s="16" t="s">
        <v>707</v>
      </c>
      <c r="E3663" s="16">
        <v>2018.0</v>
      </c>
      <c r="F3663" s="16">
        <v>52.1358</v>
      </c>
      <c r="G3663" s="16">
        <v>11.0842</v>
      </c>
      <c r="H3663" s="15"/>
      <c r="I3663" s="15"/>
    </row>
    <row r="3664">
      <c r="A3664" s="18">
        <v>45665.0</v>
      </c>
      <c r="B3664" s="16" t="s">
        <v>4497</v>
      </c>
      <c r="C3664" s="16">
        <v>2.0</v>
      </c>
      <c r="D3664" s="16" t="s">
        <v>707</v>
      </c>
      <c r="E3664" s="16">
        <v>2018.0</v>
      </c>
      <c r="F3664" s="16">
        <v>52.3039</v>
      </c>
      <c r="G3664" s="16">
        <v>12.2863</v>
      </c>
      <c r="H3664" s="15"/>
      <c r="I3664" s="15"/>
    </row>
    <row r="3665">
      <c r="A3665" s="18">
        <v>45665.0</v>
      </c>
      <c r="B3665" s="16" t="s">
        <v>4498</v>
      </c>
      <c r="C3665" s="16" t="s">
        <v>959</v>
      </c>
      <c r="D3665" s="16" t="s">
        <v>707</v>
      </c>
      <c r="E3665" s="16">
        <v>2018.0</v>
      </c>
      <c r="F3665" s="16">
        <v>53.1386</v>
      </c>
      <c r="G3665" s="16">
        <v>12.4881</v>
      </c>
      <c r="H3665" s="15"/>
      <c r="I3665" s="15"/>
    </row>
    <row r="3666">
      <c r="A3666" s="18">
        <v>45665.0</v>
      </c>
      <c r="B3666" s="16" t="s">
        <v>4499</v>
      </c>
      <c r="C3666" s="16">
        <v>10.0</v>
      </c>
      <c r="D3666" s="16" t="s">
        <v>707</v>
      </c>
      <c r="E3666" s="16">
        <v>2018.0</v>
      </c>
      <c r="F3666" s="16">
        <v>53.7633</v>
      </c>
      <c r="G3666" s="16">
        <v>13.6552</v>
      </c>
      <c r="H3666" s="15"/>
      <c r="I3666" s="15"/>
    </row>
    <row r="3667">
      <c r="A3667" s="18">
        <v>45665.0</v>
      </c>
      <c r="B3667" s="16" t="s">
        <v>4500</v>
      </c>
      <c r="C3667" s="16">
        <v>10.0</v>
      </c>
      <c r="D3667" s="16" t="s">
        <v>707</v>
      </c>
      <c r="E3667" s="16">
        <v>2018.0</v>
      </c>
      <c r="F3667" s="16">
        <v>51.3633</v>
      </c>
      <c r="G3667" s="16">
        <v>13.344</v>
      </c>
      <c r="H3667" s="15"/>
      <c r="I3667" s="15"/>
    </row>
    <row r="3668">
      <c r="A3668" s="18">
        <v>45665.0</v>
      </c>
      <c r="B3668" s="16" t="s">
        <v>4501</v>
      </c>
      <c r="C3668" s="16" t="s">
        <v>1101</v>
      </c>
      <c r="D3668" s="16" t="s">
        <v>707</v>
      </c>
      <c r="E3668" s="16">
        <v>2018.0</v>
      </c>
      <c r="F3668" s="16">
        <v>52.3014</v>
      </c>
      <c r="G3668" s="16">
        <v>13.3075</v>
      </c>
      <c r="H3668" s="15"/>
      <c r="I3668" s="15"/>
    </row>
    <row r="3669">
      <c r="A3669" s="18">
        <v>45665.0</v>
      </c>
      <c r="B3669" s="16" t="s">
        <v>4502</v>
      </c>
      <c r="C3669" s="16">
        <v>10.0</v>
      </c>
      <c r="D3669" s="16" t="s">
        <v>707</v>
      </c>
      <c r="E3669" s="16">
        <v>2018.0</v>
      </c>
      <c r="F3669" s="16">
        <v>49.4164</v>
      </c>
      <c r="G3669" s="16">
        <v>10.681</v>
      </c>
      <c r="H3669" s="15"/>
      <c r="I3669" s="15"/>
    </row>
    <row r="3670">
      <c r="A3670" s="18">
        <v>45665.0</v>
      </c>
      <c r="B3670" s="16" t="s">
        <v>4503</v>
      </c>
      <c r="C3670" s="16">
        <v>2.0</v>
      </c>
      <c r="D3670" s="16" t="s">
        <v>707</v>
      </c>
      <c r="E3670" s="16">
        <v>2018.0</v>
      </c>
      <c r="F3670" s="16">
        <v>51.4673</v>
      </c>
      <c r="G3670" s="16">
        <v>14.1313</v>
      </c>
      <c r="H3670" s="15"/>
      <c r="I3670" s="15"/>
    </row>
    <row r="3671">
      <c r="A3671" s="18">
        <v>45665.0</v>
      </c>
      <c r="B3671" s="16" t="s">
        <v>4504</v>
      </c>
      <c r="C3671" s="16" t="s">
        <v>978</v>
      </c>
      <c r="D3671" s="16" t="s">
        <v>707</v>
      </c>
      <c r="E3671" s="16">
        <v>2018.0</v>
      </c>
      <c r="F3671" s="16">
        <v>47.9104</v>
      </c>
      <c r="G3671" s="16">
        <v>12.7918</v>
      </c>
      <c r="H3671" s="15"/>
      <c r="I3671" s="15"/>
    </row>
    <row r="3672">
      <c r="A3672" s="18">
        <v>45665.0</v>
      </c>
      <c r="B3672" s="16" t="s">
        <v>4505</v>
      </c>
      <c r="C3672" s="16" t="s">
        <v>1080</v>
      </c>
      <c r="D3672" s="16" t="s">
        <v>707</v>
      </c>
      <c r="E3672" s="16">
        <v>2018.0</v>
      </c>
      <c r="F3672" s="16">
        <v>50.2002</v>
      </c>
      <c r="G3672" s="16">
        <v>10.8562</v>
      </c>
      <c r="H3672" s="15"/>
      <c r="I3672" s="15"/>
    </row>
    <row r="3673">
      <c r="A3673" s="18">
        <v>45665.0</v>
      </c>
      <c r="B3673" s="16" t="s">
        <v>4506</v>
      </c>
      <c r="C3673" s="16" t="s">
        <v>1215</v>
      </c>
      <c r="D3673" s="16" t="s">
        <v>707</v>
      </c>
      <c r="E3673" s="16">
        <v>2018.0</v>
      </c>
      <c r="F3673" s="16">
        <v>48.8757</v>
      </c>
      <c r="G3673" s="16">
        <v>12.5044</v>
      </c>
      <c r="H3673" s="15"/>
      <c r="I3673" s="15"/>
    </row>
    <row r="3674">
      <c r="A3674" s="18">
        <v>45665.0</v>
      </c>
      <c r="B3674" s="16" t="s">
        <v>4507</v>
      </c>
      <c r="C3674" s="16">
        <v>2.0</v>
      </c>
      <c r="D3674" s="16" t="s">
        <v>707</v>
      </c>
      <c r="E3674" s="16">
        <v>2018.0</v>
      </c>
      <c r="F3674" s="16">
        <v>48.4957</v>
      </c>
      <c r="G3674" s="16">
        <v>12.1249</v>
      </c>
      <c r="H3674" s="15"/>
      <c r="I3674" s="15"/>
    </row>
    <row r="3675">
      <c r="A3675" s="18">
        <v>45665.0</v>
      </c>
      <c r="B3675" s="16" t="s">
        <v>4508</v>
      </c>
      <c r="C3675" s="16" t="s">
        <v>971</v>
      </c>
      <c r="D3675" s="16" t="s">
        <v>707</v>
      </c>
      <c r="E3675" s="16">
        <v>2018.0</v>
      </c>
      <c r="F3675" s="16">
        <v>53.0539</v>
      </c>
      <c r="G3675" s="16">
        <v>12.3391</v>
      </c>
      <c r="H3675" s="15"/>
      <c r="I3675" s="15"/>
    </row>
    <row r="3676">
      <c r="A3676" s="18">
        <v>45665.0</v>
      </c>
      <c r="B3676" s="16" t="s">
        <v>4509</v>
      </c>
      <c r="C3676" s="16" t="s">
        <v>1090</v>
      </c>
      <c r="D3676" s="16" t="s">
        <v>707</v>
      </c>
      <c r="E3676" s="16">
        <v>2018.0</v>
      </c>
      <c r="F3676" s="16">
        <v>53.4589</v>
      </c>
      <c r="G3676" s="16">
        <v>11.8009</v>
      </c>
      <c r="H3676" s="15"/>
      <c r="I3676" s="15"/>
    </row>
    <row r="3677">
      <c r="A3677" s="18">
        <v>45665.0</v>
      </c>
      <c r="B3677" s="16" t="s">
        <v>4510</v>
      </c>
      <c r="C3677" s="16" t="s">
        <v>1215</v>
      </c>
      <c r="D3677" s="16" t="s">
        <v>707</v>
      </c>
      <c r="E3677" s="16">
        <v>2018.0</v>
      </c>
      <c r="F3677" s="16">
        <v>53.4602</v>
      </c>
      <c r="G3677" s="16">
        <v>11.7983</v>
      </c>
      <c r="H3677" s="15"/>
      <c r="I3677" s="15"/>
    </row>
    <row r="3678">
      <c r="A3678" s="18">
        <v>45665.0</v>
      </c>
      <c r="B3678" s="16" t="s">
        <v>4511</v>
      </c>
      <c r="C3678" s="16">
        <v>1.0</v>
      </c>
      <c r="D3678" s="16" t="s">
        <v>707</v>
      </c>
      <c r="E3678" s="16">
        <v>2018.0</v>
      </c>
      <c r="F3678" s="16">
        <v>48.6577</v>
      </c>
      <c r="G3678" s="16">
        <v>11.7244</v>
      </c>
      <c r="H3678" s="15"/>
      <c r="I3678" s="15"/>
    </row>
    <row r="3679">
      <c r="A3679" s="18">
        <v>45665.0</v>
      </c>
      <c r="B3679" s="16" t="s">
        <v>4512</v>
      </c>
      <c r="C3679" s="16" t="s">
        <v>3086</v>
      </c>
      <c r="D3679" s="16" t="s">
        <v>707</v>
      </c>
      <c r="E3679" s="16">
        <v>2018.0</v>
      </c>
      <c r="F3679" s="16">
        <v>51.5372</v>
      </c>
      <c r="G3679" s="16">
        <v>13.7231</v>
      </c>
      <c r="H3679" s="15"/>
      <c r="I3679" s="15"/>
    </row>
    <row r="3680">
      <c r="A3680" s="18">
        <v>45665.0</v>
      </c>
      <c r="B3680" s="16" t="s">
        <v>4513</v>
      </c>
      <c r="C3680" s="16" t="s">
        <v>942</v>
      </c>
      <c r="D3680" s="16" t="s">
        <v>707</v>
      </c>
      <c r="E3680" s="16">
        <v>2018.0</v>
      </c>
      <c r="F3680" s="16">
        <v>49.347</v>
      </c>
      <c r="G3680" s="16">
        <v>12.1323</v>
      </c>
      <c r="H3680" s="15"/>
      <c r="I3680" s="15"/>
    </row>
    <row r="3681">
      <c r="A3681" s="18">
        <v>45665.0</v>
      </c>
      <c r="B3681" s="16" t="s">
        <v>4514</v>
      </c>
      <c r="C3681" s="16" t="s">
        <v>1147</v>
      </c>
      <c r="D3681" s="16" t="s">
        <v>707</v>
      </c>
      <c r="E3681" s="16">
        <v>2018.0</v>
      </c>
      <c r="F3681" s="16">
        <v>52.5339</v>
      </c>
      <c r="G3681" s="16">
        <v>11.4303</v>
      </c>
      <c r="H3681" s="15"/>
      <c r="I3681" s="15"/>
    </row>
    <row r="3682">
      <c r="A3682" s="18">
        <v>45665.0</v>
      </c>
      <c r="B3682" s="16" t="s">
        <v>4515</v>
      </c>
      <c r="C3682" s="16">
        <v>10.0</v>
      </c>
      <c r="D3682" s="16" t="s">
        <v>707</v>
      </c>
      <c r="E3682" s="16">
        <v>2018.0</v>
      </c>
      <c r="F3682" s="16">
        <v>48.3223</v>
      </c>
      <c r="G3682" s="16">
        <v>9.5866</v>
      </c>
      <c r="H3682" s="15"/>
      <c r="I3682" s="15"/>
    </row>
    <row r="3683">
      <c r="A3683" s="18">
        <v>45665.0</v>
      </c>
      <c r="B3683" s="16" t="s">
        <v>4516</v>
      </c>
      <c r="C3683" s="16" t="s">
        <v>959</v>
      </c>
      <c r="D3683" s="16" t="s">
        <v>707</v>
      </c>
      <c r="E3683" s="16">
        <v>2018.0</v>
      </c>
      <c r="F3683" s="16">
        <v>49.6175</v>
      </c>
      <c r="G3683" s="16">
        <v>8.6257</v>
      </c>
      <c r="H3683" s="15"/>
      <c r="I3683" s="15"/>
    </row>
    <row r="3684">
      <c r="A3684" s="18">
        <v>45665.0</v>
      </c>
      <c r="B3684" s="16" t="s">
        <v>4517</v>
      </c>
      <c r="C3684" s="16" t="s">
        <v>951</v>
      </c>
      <c r="D3684" s="16" t="s">
        <v>707</v>
      </c>
      <c r="E3684" s="16">
        <v>2018.0</v>
      </c>
      <c r="F3684" s="16">
        <v>52.2711</v>
      </c>
      <c r="G3684" s="16">
        <v>11.4322</v>
      </c>
      <c r="H3684" s="15"/>
      <c r="I3684" s="15"/>
    </row>
    <row r="3685">
      <c r="A3685" s="18">
        <v>45665.0</v>
      </c>
      <c r="B3685" s="16" t="s">
        <v>4518</v>
      </c>
      <c r="C3685" s="16">
        <v>2.0</v>
      </c>
      <c r="D3685" s="16" t="s">
        <v>707</v>
      </c>
      <c r="E3685" s="16">
        <v>2018.0</v>
      </c>
      <c r="F3685" s="16">
        <v>52.4969</v>
      </c>
      <c r="G3685" s="16">
        <v>12.0319</v>
      </c>
      <c r="H3685" s="15"/>
      <c r="I3685" s="15"/>
    </row>
    <row r="3686">
      <c r="A3686" s="18">
        <v>45665.0</v>
      </c>
      <c r="B3686" s="16" t="s">
        <v>4519</v>
      </c>
      <c r="C3686" s="16" t="s">
        <v>1609</v>
      </c>
      <c r="D3686" s="16" t="s">
        <v>707</v>
      </c>
      <c r="E3686" s="16">
        <v>2018.0</v>
      </c>
      <c r="F3686" s="16">
        <v>54.4344</v>
      </c>
      <c r="G3686" s="16">
        <v>9.4756</v>
      </c>
      <c r="H3686" s="15"/>
      <c r="I3686" s="15"/>
    </row>
    <row r="3687">
      <c r="A3687" s="18">
        <v>45665.0</v>
      </c>
      <c r="B3687" s="16" t="s">
        <v>4520</v>
      </c>
      <c r="C3687" s="16">
        <v>1.0</v>
      </c>
      <c r="D3687" s="16" t="s">
        <v>707</v>
      </c>
      <c r="E3687" s="16">
        <v>2018.0</v>
      </c>
      <c r="F3687" s="16">
        <v>54.2633</v>
      </c>
      <c r="G3687" s="16">
        <v>9.284</v>
      </c>
      <c r="H3687" s="15"/>
      <c r="I3687" s="15"/>
    </row>
    <row r="3688">
      <c r="A3688" s="18">
        <v>45665.0</v>
      </c>
      <c r="B3688" s="16" t="s">
        <v>4521</v>
      </c>
      <c r="C3688" s="16" t="s">
        <v>3505</v>
      </c>
      <c r="D3688" s="16" t="s">
        <v>707</v>
      </c>
      <c r="E3688" s="16">
        <v>2018.0</v>
      </c>
      <c r="F3688" s="16">
        <v>53.169</v>
      </c>
      <c r="G3688" s="16">
        <v>12.364</v>
      </c>
      <c r="H3688" s="15"/>
      <c r="I3688" s="15"/>
    </row>
    <row r="3689">
      <c r="A3689" s="18">
        <v>45665.0</v>
      </c>
      <c r="B3689" s="16" t="s">
        <v>4522</v>
      </c>
      <c r="C3689" s="16" t="s">
        <v>1094</v>
      </c>
      <c r="D3689" s="16" t="s">
        <v>707</v>
      </c>
      <c r="E3689" s="16">
        <v>2018.0</v>
      </c>
      <c r="F3689" s="16">
        <v>48.7846</v>
      </c>
      <c r="G3689" s="16">
        <v>10.9854</v>
      </c>
      <c r="H3689" s="15"/>
      <c r="I3689" s="15"/>
    </row>
    <row r="3690">
      <c r="A3690" s="18">
        <v>45665.0</v>
      </c>
      <c r="B3690" s="16" t="s">
        <v>4523</v>
      </c>
      <c r="C3690" s="16" t="s">
        <v>982</v>
      </c>
      <c r="D3690" s="16" t="s">
        <v>707</v>
      </c>
      <c r="E3690" s="16">
        <v>2018.0</v>
      </c>
      <c r="F3690" s="16">
        <v>53.8175</v>
      </c>
      <c r="G3690" s="16">
        <v>11.8455</v>
      </c>
      <c r="H3690" s="15"/>
      <c r="I3690" s="15"/>
    </row>
    <row r="3691">
      <c r="A3691" s="18">
        <v>45665.0</v>
      </c>
      <c r="B3691" s="16" t="s">
        <v>4524</v>
      </c>
      <c r="C3691" s="16" t="s">
        <v>2404</v>
      </c>
      <c r="D3691" s="16" t="s">
        <v>707</v>
      </c>
      <c r="E3691" s="16">
        <v>2018.0</v>
      </c>
      <c r="F3691" s="16">
        <v>49.0575</v>
      </c>
      <c r="G3691" s="16">
        <v>11.2895</v>
      </c>
      <c r="H3691" s="15"/>
      <c r="I3691" s="15"/>
    </row>
    <row r="3692">
      <c r="A3692" s="18">
        <v>45665.0</v>
      </c>
      <c r="B3692" s="16" t="s">
        <v>4525</v>
      </c>
      <c r="C3692" s="16" t="s">
        <v>1771</v>
      </c>
      <c r="D3692" s="16" t="s">
        <v>707</v>
      </c>
      <c r="E3692" s="16">
        <v>2018.0</v>
      </c>
      <c r="F3692" s="16">
        <v>49.2508</v>
      </c>
      <c r="G3692" s="16">
        <v>10.6706</v>
      </c>
      <c r="H3692" s="15"/>
      <c r="I3692" s="15"/>
    </row>
    <row r="3693">
      <c r="A3693" s="18">
        <v>45665.0</v>
      </c>
      <c r="B3693" s="16" t="s">
        <v>4526</v>
      </c>
      <c r="C3693" s="16" t="s">
        <v>2457</v>
      </c>
      <c r="D3693" s="16" t="s">
        <v>707</v>
      </c>
      <c r="E3693" s="16">
        <v>2018.0</v>
      </c>
      <c r="F3693" s="16">
        <v>50.1949</v>
      </c>
      <c r="G3693" s="16">
        <v>6.3767</v>
      </c>
      <c r="H3693" s="15"/>
      <c r="I3693" s="15"/>
    </row>
    <row r="3694">
      <c r="A3694" s="18">
        <v>45665.0</v>
      </c>
      <c r="B3694" s="16" t="s">
        <v>4527</v>
      </c>
      <c r="C3694" s="16" t="s">
        <v>1358</v>
      </c>
      <c r="D3694" s="16" t="s">
        <v>707</v>
      </c>
      <c r="E3694" s="16">
        <v>2018.0</v>
      </c>
      <c r="F3694" s="16">
        <v>49.05</v>
      </c>
      <c r="G3694" s="16">
        <v>10.4435</v>
      </c>
      <c r="H3694" s="15"/>
      <c r="I3694" s="15"/>
    </row>
    <row r="3695">
      <c r="A3695" s="18">
        <v>45665.0</v>
      </c>
      <c r="B3695" s="16" t="s">
        <v>4528</v>
      </c>
      <c r="C3695" s="16" t="s">
        <v>1055</v>
      </c>
      <c r="D3695" s="16" t="s">
        <v>707</v>
      </c>
      <c r="E3695" s="16">
        <v>2018.0</v>
      </c>
      <c r="F3695" s="16">
        <v>50.3662</v>
      </c>
      <c r="G3695" s="16">
        <v>11.975</v>
      </c>
      <c r="H3695" s="15"/>
      <c r="I3695" s="15"/>
    </row>
    <row r="3696">
      <c r="A3696" s="18">
        <v>45665.0</v>
      </c>
      <c r="B3696" s="16" t="s">
        <v>4529</v>
      </c>
      <c r="C3696" s="16" t="s">
        <v>1051</v>
      </c>
      <c r="D3696" s="16" t="s">
        <v>707</v>
      </c>
      <c r="E3696" s="16">
        <v>2018.0</v>
      </c>
      <c r="F3696" s="16">
        <v>48.5547</v>
      </c>
      <c r="G3696" s="16">
        <v>13.1448</v>
      </c>
      <c r="H3696" s="15"/>
      <c r="I3696" s="15"/>
    </row>
    <row r="3697">
      <c r="A3697" s="18">
        <v>45665.0</v>
      </c>
      <c r="B3697" s="16" t="s">
        <v>4530</v>
      </c>
      <c r="C3697" s="16" t="s">
        <v>1931</v>
      </c>
      <c r="D3697" s="16" t="s">
        <v>707</v>
      </c>
      <c r="E3697" s="16">
        <v>2018.0</v>
      </c>
      <c r="F3697" s="16">
        <v>52.4613</v>
      </c>
      <c r="G3697" s="16">
        <v>12.2236</v>
      </c>
      <c r="H3697" s="15"/>
      <c r="I3697" s="15"/>
    </row>
    <row r="3698">
      <c r="A3698" s="18">
        <v>45665.0</v>
      </c>
      <c r="B3698" s="16" t="s">
        <v>4531</v>
      </c>
      <c r="C3698" s="16" t="s">
        <v>1167</v>
      </c>
      <c r="D3698" s="16" t="s">
        <v>707</v>
      </c>
      <c r="E3698" s="16">
        <v>2018.0</v>
      </c>
      <c r="F3698" s="16">
        <v>52.4608</v>
      </c>
      <c r="G3698" s="16">
        <v>12.2226</v>
      </c>
      <c r="H3698" s="15"/>
      <c r="I3698" s="15"/>
    </row>
    <row r="3699">
      <c r="A3699" s="18">
        <v>45665.0</v>
      </c>
      <c r="B3699" s="16" t="s">
        <v>4532</v>
      </c>
      <c r="C3699" s="16" t="s">
        <v>4533</v>
      </c>
      <c r="D3699" s="16" t="s">
        <v>707</v>
      </c>
      <c r="E3699" s="16">
        <v>2018.0</v>
      </c>
      <c r="F3699" s="16">
        <v>51.3625</v>
      </c>
      <c r="G3699" s="16">
        <v>13.3391</v>
      </c>
      <c r="H3699" s="15"/>
      <c r="I3699" s="15"/>
    </row>
    <row r="3700">
      <c r="A3700" s="18">
        <v>45665.0</v>
      </c>
      <c r="B3700" s="16" t="s">
        <v>4534</v>
      </c>
      <c r="C3700" s="16" t="s">
        <v>961</v>
      </c>
      <c r="D3700" s="16" t="s">
        <v>707</v>
      </c>
      <c r="E3700" s="16">
        <v>2018.0</v>
      </c>
      <c r="F3700" s="16">
        <v>51.7142</v>
      </c>
      <c r="G3700" s="16">
        <v>12.3993</v>
      </c>
      <c r="H3700" s="15"/>
      <c r="I3700" s="15"/>
    </row>
    <row r="3701">
      <c r="A3701" s="18">
        <v>45665.0</v>
      </c>
      <c r="B3701" s="16" t="s">
        <v>4535</v>
      </c>
      <c r="C3701" s="16">
        <v>1.0</v>
      </c>
      <c r="D3701" s="16" t="s">
        <v>707</v>
      </c>
      <c r="E3701" s="16">
        <v>2019.0</v>
      </c>
      <c r="F3701" s="16">
        <v>51.4873</v>
      </c>
      <c r="G3701" s="16">
        <v>10.8317</v>
      </c>
      <c r="H3701" s="15"/>
      <c r="I3701" s="15"/>
    </row>
    <row r="3702">
      <c r="A3702" s="18">
        <v>45665.0</v>
      </c>
      <c r="B3702" s="16" t="s">
        <v>4536</v>
      </c>
      <c r="C3702" s="16" t="s">
        <v>3817</v>
      </c>
      <c r="D3702" s="16" t="s">
        <v>707</v>
      </c>
      <c r="E3702" s="16">
        <v>2019.0</v>
      </c>
      <c r="F3702" s="16">
        <v>48.5832</v>
      </c>
      <c r="G3702" s="16">
        <v>11.8609</v>
      </c>
      <c r="H3702" s="15"/>
      <c r="I3702" s="15"/>
    </row>
    <row r="3703">
      <c r="A3703" s="18">
        <v>45665.0</v>
      </c>
      <c r="B3703" s="16" t="s">
        <v>4537</v>
      </c>
      <c r="C3703" s="16" t="s">
        <v>1037</v>
      </c>
      <c r="D3703" s="16" t="s">
        <v>707</v>
      </c>
      <c r="E3703" s="16">
        <v>2019.0</v>
      </c>
      <c r="F3703" s="16">
        <v>51.908</v>
      </c>
      <c r="G3703" s="16">
        <v>10.6724</v>
      </c>
      <c r="H3703" s="15"/>
      <c r="I3703" s="15"/>
    </row>
    <row r="3704">
      <c r="A3704" s="18">
        <v>45665.0</v>
      </c>
      <c r="B3704" s="16" t="s">
        <v>4538</v>
      </c>
      <c r="C3704" s="16" t="s">
        <v>1090</v>
      </c>
      <c r="D3704" s="16" t="s">
        <v>707</v>
      </c>
      <c r="E3704" s="16">
        <v>2019.0</v>
      </c>
      <c r="F3704" s="16">
        <v>51.2482</v>
      </c>
      <c r="G3704" s="16">
        <v>12.2185</v>
      </c>
      <c r="H3704" s="15"/>
      <c r="I3704" s="15"/>
    </row>
    <row r="3705">
      <c r="A3705" s="18">
        <v>45665.0</v>
      </c>
      <c r="B3705" s="16" t="s">
        <v>4539</v>
      </c>
      <c r="C3705" s="16" t="s">
        <v>1172</v>
      </c>
      <c r="D3705" s="16" t="s">
        <v>707</v>
      </c>
      <c r="E3705" s="16">
        <v>2019.0</v>
      </c>
      <c r="F3705" s="16">
        <v>53.2032</v>
      </c>
      <c r="G3705" s="16">
        <v>12.5397</v>
      </c>
      <c r="H3705" s="15"/>
      <c r="I3705" s="15"/>
    </row>
    <row r="3706">
      <c r="A3706" s="18">
        <v>45665.0</v>
      </c>
      <c r="B3706" s="16" t="s">
        <v>4540</v>
      </c>
      <c r="C3706" s="16" t="s">
        <v>1101</v>
      </c>
      <c r="D3706" s="16" t="s">
        <v>707</v>
      </c>
      <c r="E3706" s="16">
        <v>2019.0</v>
      </c>
      <c r="F3706" s="16">
        <v>53.1946</v>
      </c>
      <c r="G3706" s="16">
        <v>12.5166</v>
      </c>
      <c r="H3706" s="15"/>
      <c r="I3706" s="15"/>
    </row>
    <row r="3707">
      <c r="A3707" s="18">
        <v>45665.0</v>
      </c>
      <c r="B3707" s="16" t="s">
        <v>4541</v>
      </c>
      <c r="C3707" s="16">
        <v>5.0</v>
      </c>
      <c r="D3707" s="16" t="s">
        <v>707</v>
      </c>
      <c r="E3707" s="16">
        <v>2019.0</v>
      </c>
      <c r="F3707" s="16">
        <v>50.7607</v>
      </c>
      <c r="G3707" s="16">
        <v>13.7738</v>
      </c>
      <c r="H3707" s="15"/>
      <c r="I3707" s="15"/>
    </row>
    <row r="3708">
      <c r="A3708" s="18">
        <v>45665.0</v>
      </c>
      <c r="B3708" s="16" t="s">
        <v>4542</v>
      </c>
      <c r="C3708" s="16" t="s">
        <v>1172</v>
      </c>
      <c r="D3708" s="16" t="s">
        <v>707</v>
      </c>
      <c r="E3708" s="16">
        <v>2019.0</v>
      </c>
      <c r="F3708" s="16">
        <v>50.7595</v>
      </c>
      <c r="G3708" s="16">
        <v>13.7725</v>
      </c>
      <c r="H3708" s="15"/>
      <c r="I3708" s="15"/>
    </row>
    <row r="3709">
      <c r="A3709" s="18">
        <v>45665.0</v>
      </c>
      <c r="B3709" s="16" t="s">
        <v>4543</v>
      </c>
      <c r="C3709" s="16">
        <v>2.0</v>
      </c>
      <c r="D3709" s="16" t="s">
        <v>707</v>
      </c>
      <c r="E3709" s="16">
        <v>2019.0</v>
      </c>
      <c r="F3709" s="16">
        <v>48.4434</v>
      </c>
      <c r="G3709" s="16">
        <v>12.7795</v>
      </c>
      <c r="H3709" s="15"/>
      <c r="I3709" s="15"/>
    </row>
    <row r="3710">
      <c r="A3710" s="18">
        <v>45665.0</v>
      </c>
      <c r="B3710" s="16" t="s">
        <v>4544</v>
      </c>
      <c r="C3710" s="16">
        <v>1.0</v>
      </c>
      <c r="D3710" s="16" t="s">
        <v>707</v>
      </c>
      <c r="E3710" s="16">
        <v>2019.0</v>
      </c>
      <c r="F3710" s="16">
        <v>51.4578</v>
      </c>
      <c r="G3710" s="16">
        <v>11.8843</v>
      </c>
      <c r="H3710" s="15"/>
      <c r="I3710" s="15"/>
    </row>
    <row r="3711">
      <c r="A3711" s="18">
        <v>45665.0</v>
      </c>
      <c r="B3711" s="16" t="s">
        <v>4545</v>
      </c>
      <c r="C3711" s="16" t="s">
        <v>1282</v>
      </c>
      <c r="D3711" s="16" t="s">
        <v>707</v>
      </c>
      <c r="E3711" s="16">
        <v>2019.0</v>
      </c>
      <c r="F3711" s="16">
        <v>51.457</v>
      </c>
      <c r="G3711" s="16">
        <v>11.883</v>
      </c>
      <c r="H3711" s="15"/>
      <c r="I3711" s="15"/>
    </row>
    <row r="3712">
      <c r="A3712" s="18">
        <v>45665.0</v>
      </c>
      <c r="B3712" s="16" t="s">
        <v>4546</v>
      </c>
      <c r="C3712" s="16" t="s">
        <v>1007</v>
      </c>
      <c r="D3712" s="16" t="s">
        <v>707</v>
      </c>
      <c r="E3712" s="16">
        <v>2019.0</v>
      </c>
      <c r="F3712" s="16">
        <v>51.7706</v>
      </c>
      <c r="G3712" s="16">
        <v>11.7914</v>
      </c>
      <c r="H3712" s="15"/>
      <c r="I3712" s="15"/>
    </row>
    <row r="3713">
      <c r="A3713" s="18">
        <v>45665.0</v>
      </c>
      <c r="B3713" s="16" t="s">
        <v>4547</v>
      </c>
      <c r="C3713" s="16" t="s">
        <v>3817</v>
      </c>
      <c r="D3713" s="16" t="s">
        <v>707</v>
      </c>
      <c r="E3713" s="16">
        <v>2019.0</v>
      </c>
      <c r="F3713" s="16">
        <v>54.3401</v>
      </c>
      <c r="G3713" s="16">
        <v>12.7208</v>
      </c>
      <c r="H3713" s="15"/>
      <c r="I3713" s="15"/>
    </row>
    <row r="3714">
      <c r="A3714" s="18">
        <v>45665.0</v>
      </c>
      <c r="B3714" s="16" t="s">
        <v>4548</v>
      </c>
      <c r="C3714" s="16" t="s">
        <v>1170</v>
      </c>
      <c r="D3714" s="16" t="s">
        <v>707</v>
      </c>
      <c r="E3714" s="16">
        <v>2019.0</v>
      </c>
      <c r="F3714" s="16">
        <v>54.3419</v>
      </c>
      <c r="G3714" s="16">
        <v>12.7063</v>
      </c>
      <c r="H3714" s="15"/>
      <c r="I3714" s="15"/>
    </row>
    <row r="3715">
      <c r="A3715" s="18">
        <v>45665.0</v>
      </c>
      <c r="B3715" s="16" t="s">
        <v>4549</v>
      </c>
      <c r="C3715" s="16" t="s">
        <v>1393</v>
      </c>
      <c r="D3715" s="16" t="s">
        <v>707</v>
      </c>
      <c r="E3715" s="16">
        <v>2019.0</v>
      </c>
      <c r="F3715" s="16">
        <v>54.3157</v>
      </c>
      <c r="G3715" s="16">
        <v>9.824</v>
      </c>
      <c r="H3715" s="15"/>
      <c r="I3715" s="15"/>
    </row>
    <row r="3716">
      <c r="A3716" s="18">
        <v>45665.0</v>
      </c>
      <c r="B3716" s="16" t="s">
        <v>4550</v>
      </c>
      <c r="C3716" s="16" t="s">
        <v>946</v>
      </c>
      <c r="D3716" s="16" t="s">
        <v>707</v>
      </c>
      <c r="E3716" s="16">
        <v>2019.0</v>
      </c>
      <c r="F3716" s="16">
        <v>51.8669</v>
      </c>
      <c r="G3716" s="16">
        <v>13.7809</v>
      </c>
      <c r="H3716" s="15"/>
      <c r="I3716" s="15"/>
    </row>
    <row r="3717">
      <c r="A3717" s="18">
        <v>45665.0</v>
      </c>
      <c r="B3717" s="16" t="s">
        <v>4551</v>
      </c>
      <c r="C3717" s="16" t="s">
        <v>1004</v>
      </c>
      <c r="D3717" s="16" t="s">
        <v>707</v>
      </c>
      <c r="E3717" s="16">
        <v>2019.0</v>
      </c>
      <c r="F3717" s="16">
        <v>52.6549</v>
      </c>
      <c r="G3717" s="16">
        <v>14.031</v>
      </c>
      <c r="H3717" s="15"/>
      <c r="I3717" s="15"/>
    </row>
    <row r="3718">
      <c r="A3718" s="18">
        <v>45665.0</v>
      </c>
      <c r="B3718" s="16" t="s">
        <v>4552</v>
      </c>
      <c r="C3718" s="16" t="s">
        <v>1096</v>
      </c>
      <c r="D3718" s="16" t="s">
        <v>707</v>
      </c>
      <c r="E3718" s="16">
        <v>2019.0</v>
      </c>
      <c r="F3718" s="16">
        <v>52.7369</v>
      </c>
      <c r="G3718" s="16">
        <v>14.1312</v>
      </c>
      <c r="H3718" s="15"/>
      <c r="I3718" s="15"/>
    </row>
    <row r="3719">
      <c r="A3719" s="18">
        <v>45665.0</v>
      </c>
      <c r="B3719" s="16" t="s">
        <v>4553</v>
      </c>
      <c r="C3719" s="16">
        <v>3.0</v>
      </c>
      <c r="D3719" s="16" t="s">
        <v>707</v>
      </c>
      <c r="E3719" s="16">
        <v>2019.0</v>
      </c>
      <c r="F3719" s="16">
        <v>50.2895</v>
      </c>
      <c r="G3719" s="16">
        <v>11.9492</v>
      </c>
      <c r="H3719" s="15"/>
      <c r="I3719" s="15"/>
    </row>
    <row r="3720">
      <c r="A3720" s="18">
        <v>45665.0</v>
      </c>
      <c r="B3720" s="16" t="s">
        <v>4554</v>
      </c>
      <c r="C3720" s="16">
        <v>3.0</v>
      </c>
      <c r="D3720" s="16" t="s">
        <v>707</v>
      </c>
      <c r="E3720" s="16">
        <v>2019.0</v>
      </c>
      <c r="F3720" s="16">
        <v>50.2917</v>
      </c>
      <c r="G3720" s="16">
        <v>11.9417</v>
      </c>
      <c r="H3720" s="15"/>
      <c r="I3720" s="15"/>
    </row>
    <row r="3721">
      <c r="A3721" s="18">
        <v>45665.0</v>
      </c>
      <c r="B3721" s="16" t="s">
        <v>4555</v>
      </c>
      <c r="C3721" s="16">
        <v>4.0</v>
      </c>
      <c r="D3721" s="16" t="s">
        <v>707</v>
      </c>
      <c r="E3721" s="16">
        <v>2019.0</v>
      </c>
      <c r="F3721" s="16">
        <v>50.2795</v>
      </c>
      <c r="G3721" s="16">
        <v>11.9532</v>
      </c>
      <c r="H3721" s="15"/>
      <c r="I3721" s="15"/>
    </row>
    <row r="3722">
      <c r="A3722" s="18">
        <v>45665.0</v>
      </c>
      <c r="B3722" s="16" t="s">
        <v>4556</v>
      </c>
      <c r="C3722" s="16">
        <v>2.0</v>
      </c>
      <c r="D3722" s="16" t="s">
        <v>707</v>
      </c>
      <c r="E3722" s="16">
        <v>2019.0</v>
      </c>
      <c r="F3722" s="16">
        <v>50.2917</v>
      </c>
      <c r="G3722" s="16">
        <v>11.9391</v>
      </c>
      <c r="H3722" s="15"/>
      <c r="I3722" s="15"/>
    </row>
    <row r="3723">
      <c r="A3723" s="18">
        <v>45665.0</v>
      </c>
      <c r="B3723" s="16" t="s">
        <v>4557</v>
      </c>
      <c r="C3723" s="16" t="s">
        <v>1004</v>
      </c>
      <c r="D3723" s="16" t="s">
        <v>707</v>
      </c>
      <c r="E3723" s="16">
        <v>2019.0</v>
      </c>
      <c r="F3723" s="16">
        <v>50.2805</v>
      </c>
      <c r="G3723" s="16">
        <v>11.9569</v>
      </c>
      <c r="H3723" s="15"/>
      <c r="I3723" s="15"/>
    </row>
    <row r="3724">
      <c r="A3724" s="18">
        <v>45665.0</v>
      </c>
      <c r="B3724" s="16" t="s">
        <v>4558</v>
      </c>
      <c r="C3724" s="16" t="s">
        <v>3817</v>
      </c>
      <c r="D3724" s="16" t="s">
        <v>707</v>
      </c>
      <c r="E3724" s="16">
        <v>2019.0</v>
      </c>
      <c r="F3724" s="16">
        <v>50.1271</v>
      </c>
      <c r="G3724" s="16">
        <v>10.7758</v>
      </c>
      <c r="H3724" s="15"/>
      <c r="I3724" s="15"/>
    </row>
    <row r="3725">
      <c r="A3725" s="18">
        <v>45665.0</v>
      </c>
      <c r="B3725" s="16" t="s">
        <v>4559</v>
      </c>
      <c r="C3725" s="16" t="s">
        <v>1094</v>
      </c>
      <c r="D3725" s="16" t="s">
        <v>707</v>
      </c>
      <c r="E3725" s="16">
        <v>2019.0</v>
      </c>
      <c r="F3725" s="16">
        <v>49.0757</v>
      </c>
      <c r="G3725" s="16">
        <v>10.961</v>
      </c>
      <c r="H3725" s="15"/>
      <c r="I3725" s="15"/>
    </row>
    <row r="3726">
      <c r="A3726" s="18">
        <v>45665.0</v>
      </c>
      <c r="B3726" s="16" t="s">
        <v>4560</v>
      </c>
      <c r="C3726" s="16" t="s">
        <v>3086</v>
      </c>
      <c r="D3726" s="16" t="s">
        <v>707</v>
      </c>
      <c r="E3726" s="16">
        <v>2019.0</v>
      </c>
      <c r="F3726" s="16">
        <v>53.4903</v>
      </c>
      <c r="G3726" s="16">
        <v>7.3036</v>
      </c>
      <c r="H3726" s="15"/>
      <c r="I3726" s="15"/>
    </row>
    <row r="3727">
      <c r="A3727" s="18">
        <v>45665.0</v>
      </c>
      <c r="B3727" s="16" t="s">
        <v>4561</v>
      </c>
      <c r="C3727" s="16" t="s">
        <v>948</v>
      </c>
      <c r="D3727" s="16" t="s">
        <v>707</v>
      </c>
      <c r="E3727" s="16">
        <v>2019.0</v>
      </c>
      <c r="F3727" s="16">
        <v>54.021</v>
      </c>
      <c r="G3727" s="16">
        <v>9.034</v>
      </c>
      <c r="H3727" s="15"/>
      <c r="I3727" s="15"/>
    </row>
    <row r="3728">
      <c r="A3728" s="18">
        <v>45665.0</v>
      </c>
      <c r="B3728" s="16" t="s">
        <v>4562</v>
      </c>
      <c r="C3728" s="16" t="s">
        <v>948</v>
      </c>
      <c r="D3728" s="16" t="s">
        <v>707</v>
      </c>
      <c r="E3728" s="16">
        <v>2019.0</v>
      </c>
      <c r="F3728" s="16">
        <v>54.021</v>
      </c>
      <c r="G3728" s="16">
        <v>9.034</v>
      </c>
      <c r="H3728" s="15"/>
      <c r="I3728" s="15"/>
    </row>
    <row r="3729">
      <c r="A3729" s="18">
        <v>45665.0</v>
      </c>
      <c r="B3729" s="16" t="s">
        <v>4563</v>
      </c>
      <c r="C3729" s="16" t="s">
        <v>948</v>
      </c>
      <c r="D3729" s="16" t="s">
        <v>707</v>
      </c>
      <c r="E3729" s="16">
        <v>2019.0</v>
      </c>
      <c r="F3729" s="16">
        <v>54.0223</v>
      </c>
      <c r="G3729" s="16">
        <v>9.0312</v>
      </c>
      <c r="H3729" s="15"/>
      <c r="I3729" s="15"/>
    </row>
    <row r="3730">
      <c r="A3730" s="18">
        <v>45665.0</v>
      </c>
      <c r="B3730" s="16" t="s">
        <v>4564</v>
      </c>
      <c r="C3730" s="16" t="s">
        <v>1215</v>
      </c>
      <c r="D3730" s="16" t="s">
        <v>707</v>
      </c>
      <c r="E3730" s="16">
        <v>2019.0</v>
      </c>
      <c r="F3730" s="16">
        <v>54.3184</v>
      </c>
      <c r="G3730" s="16">
        <v>9.945</v>
      </c>
      <c r="H3730" s="15"/>
      <c r="I3730" s="15"/>
    </row>
    <row r="3731">
      <c r="A3731" s="18">
        <v>45665.0</v>
      </c>
      <c r="B3731" s="16" t="s">
        <v>4565</v>
      </c>
      <c r="C3731" s="16" t="s">
        <v>942</v>
      </c>
      <c r="D3731" s="16" t="s">
        <v>707</v>
      </c>
      <c r="E3731" s="16">
        <v>2019.0</v>
      </c>
      <c r="F3731" s="16">
        <v>52.434</v>
      </c>
      <c r="G3731" s="16">
        <v>12.016</v>
      </c>
      <c r="H3731" s="15"/>
      <c r="I3731" s="15"/>
    </row>
    <row r="3732">
      <c r="A3732" s="18">
        <v>45665.0</v>
      </c>
      <c r="B3732" s="16" t="s">
        <v>4566</v>
      </c>
      <c r="C3732" s="16" t="s">
        <v>1181</v>
      </c>
      <c r="D3732" s="16" t="s">
        <v>707</v>
      </c>
      <c r="E3732" s="16">
        <v>2019.0</v>
      </c>
      <c r="F3732" s="16">
        <v>49.8358</v>
      </c>
      <c r="G3732" s="16">
        <v>11.0159</v>
      </c>
      <c r="H3732" s="15"/>
      <c r="I3732" s="15"/>
    </row>
    <row r="3733">
      <c r="A3733" s="18">
        <v>45665.0</v>
      </c>
      <c r="B3733" s="16" t="s">
        <v>4567</v>
      </c>
      <c r="C3733" s="16" t="s">
        <v>969</v>
      </c>
      <c r="D3733" s="16" t="s">
        <v>707</v>
      </c>
      <c r="E3733" s="16">
        <v>2019.0</v>
      </c>
      <c r="F3733" s="16">
        <v>50.7554</v>
      </c>
      <c r="G3733" s="16">
        <v>13.0331</v>
      </c>
      <c r="H3733" s="15"/>
      <c r="I3733" s="15"/>
    </row>
    <row r="3734">
      <c r="A3734" s="18">
        <v>45665.0</v>
      </c>
      <c r="B3734" s="16" t="s">
        <v>4568</v>
      </c>
      <c r="C3734" s="16">
        <v>9.0</v>
      </c>
      <c r="D3734" s="16" t="s">
        <v>707</v>
      </c>
      <c r="E3734" s="16">
        <v>2019.0</v>
      </c>
      <c r="F3734" s="16">
        <v>54.2301</v>
      </c>
      <c r="G3734" s="16">
        <v>9.8082</v>
      </c>
      <c r="H3734" s="15"/>
      <c r="I3734" s="15"/>
    </row>
    <row r="3735">
      <c r="A3735" s="18">
        <v>45665.0</v>
      </c>
      <c r="B3735" s="16" t="s">
        <v>4569</v>
      </c>
      <c r="C3735" s="16" t="s">
        <v>1002</v>
      </c>
      <c r="D3735" s="16" t="s">
        <v>707</v>
      </c>
      <c r="E3735" s="16">
        <v>2019.0</v>
      </c>
      <c r="F3735" s="16">
        <v>51.6263</v>
      </c>
      <c r="G3735" s="16">
        <v>11.4839</v>
      </c>
      <c r="H3735" s="15"/>
      <c r="I3735" s="15"/>
    </row>
    <row r="3736">
      <c r="A3736" s="18">
        <v>45665.0</v>
      </c>
      <c r="B3736" s="16" t="s">
        <v>4570</v>
      </c>
      <c r="C3736" s="16" t="s">
        <v>1059</v>
      </c>
      <c r="D3736" s="16" t="s">
        <v>707</v>
      </c>
      <c r="E3736" s="16">
        <v>2019.0</v>
      </c>
      <c r="F3736" s="16">
        <v>51.6231</v>
      </c>
      <c r="G3736" s="16">
        <v>11.4875</v>
      </c>
      <c r="H3736" s="15"/>
      <c r="I3736" s="15"/>
    </row>
    <row r="3737">
      <c r="A3737" s="18">
        <v>45665.0</v>
      </c>
      <c r="B3737" s="16" t="s">
        <v>4571</v>
      </c>
      <c r="C3737" s="16" t="s">
        <v>1002</v>
      </c>
      <c r="D3737" s="16" t="s">
        <v>707</v>
      </c>
      <c r="E3737" s="16">
        <v>2019.0</v>
      </c>
      <c r="F3737" s="16">
        <v>50.1651</v>
      </c>
      <c r="G3737" s="16">
        <v>10.8191</v>
      </c>
      <c r="H3737" s="15"/>
      <c r="I3737" s="15"/>
    </row>
    <row r="3738">
      <c r="A3738" s="18">
        <v>45665.0</v>
      </c>
      <c r="B3738" s="16" t="s">
        <v>4572</v>
      </c>
      <c r="C3738" s="16" t="s">
        <v>2147</v>
      </c>
      <c r="D3738" s="16" t="s">
        <v>707</v>
      </c>
      <c r="E3738" s="16">
        <v>2019.0</v>
      </c>
      <c r="F3738" s="16">
        <v>52.2795</v>
      </c>
      <c r="G3738" s="16">
        <v>11.482</v>
      </c>
      <c r="H3738" s="15"/>
      <c r="I3738" s="15"/>
    </row>
    <row r="3739">
      <c r="A3739" s="18">
        <v>45665.0</v>
      </c>
      <c r="B3739" s="16" t="s">
        <v>4573</v>
      </c>
      <c r="C3739" s="16">
        <v>1.0</v>
      </c>
      <c r="D3739" s="16" t="s">
        <v>707</v>
      </c>
      <c r="E3739" s="16">
        <v>2019.0</v>
      </c>
      <c r="F3739" s="16">
        <v>49.0644</v>
      </c>
      <c r="G3739" s="16">
        <v>10.0635</v>
      </c>
      <c r="H3739" s="15"/>
      <c r="I3739" s="15"/>
    </row>
    <row r="3740">
      <c r="A3740" s="18">
        <v>45665.0</v>
      </c>
      <c r="B3740" s="16" t="s">
        <v>4574</v>
      </c>
      <c r="C3740" s="16">
        <v>10.0</v>
      </c>
      <c r="D3740" s="16" t="s">
        <v>707</v>
      </c>
      <c r="E3740" s="16">
        <v>2019.0</v>
      </c>
      <c r="F3740" s="16">
        <v>50.137</v>
      </c>
      <c r="G3740" s="16">
        <v>11.1492</v>
      </c>
      <c r="H3740" s="15"/>
      <c r="I3740" s="15"/>
    </row>
    <row r="3741">
      <c r="A3741" s="18">
        <v>45665.0</v>
      </c>
      <c r="B3741" s="16" t="s">
        <v>4575</v>
      </c>
      <c r="C3741" s="16" t="s">
        <v>1358</v>
      </c>
      <c r="D3741" s="16" t="s">
        <v>707</v>
      </c>
      <c r="E3741" s="16">
        <v>2019.0</v>
      </c>
      <c r="F3741" s="16">
        <v>50.1358</v>
      </c>
      <c r="G3741" s="16">
        <v>11.1847</v>
      </c>
      <c r="H3741" s="15"/>
      <c r="I3741" s="15"/>
    </row>
    <row r="3742">
      <c r="A3742" s="18">
        <v>45665.0</v>
      </c>
      <c r="B3742" s="16" t="s">
        <v>4576</v>
      </c>
      <c r="C3742" s="16" t="s">
        <v>1059</v>
      </c>
      <c r="D3742" s="16" t="s">
        <v>707</v>
      </c>
      <c r="E3742" s="16">
        <v>2019.0</v>
      </c>
      <c r="F3742" s="16">
        <v>52.0957</v>
      </c>
      <c r="G3742" s="16">
        <v>7.2725</v>
      </c>
      <c r="H3742" s="15"/>
      <c r="I3742" s="15"/>
    </row>
    <row r="3743">
      <c r="A3743" s="18">
        <v>45665.0</v>
      </c>
      <c r="B3743" s="16" t="s">
        <v>4577</v>
      </c>
      <c r="C3743" s="16" t="s">
        <v>2331</v>
      </c>
      <c r="D3743" s="16" t="s">
        <v>707</v>
      </c>
      <c r="E3743" s="16">
        <v>2019.0</v>
      </c>
      <c r="F3743" s="16">
        <v>54.7531</v>
      </c>
      <c r="G3743" s="16">
        <v>9.6004</v>
      </c>
      <c r="H3743" s="15"/>
      <c r="I3743" s="15"/>
    </row>
    <row r="3744">
      <c r="A3744" s="18">
        <v>45665.0</v>
      </c>
      <c r="B3744" s="16" t="s">
        <v>4578</v>
      </c>
      <c r="C3744" s="16" t="s">
        <v>1051</v>
      </c>
      <c r="D3744" s="16" t="s">
        <v>707</v>
      </c>
      <c r="E3744" s="16">
        <v>2019.0</v>
      </c>
      <c r="F3744" s="16">
        <v>49.4397</v>
      </c>
      <c r="G3744" s="16">
        <v>7.7112</v>
      </c>
      <c r="H3744" s="15"/>
      <c r="I3744" s="15"/>
    </row>
    <row r="3745">
      <c r="A3745" s="18">
        <v>45665.0</v>
      </c>
      <c r="B3745" s="16" t="s">
        <v>4579</v>
      </c>
      <c r="C3745" s="16">
        <v>3.0</v>
      </c>
      <c r="D3745" s="16" t="s">
        <v>707</v>
      </c>
      <c r="E3745" s="16">
        <v>2019.0</v>
      </c>
      <c r="F3745" s="16">
        <v>49.1632</v>
      </c>
      <c r="G3745" s="16">
        <v>11.9071</v>
      </c>
      <c r="H3745" s="15"/>
      <c r="I3745" s="15"/>
    </row>
    <row r="3746">
      <c r="A3746" s="18">
        <v>45665.0</v>
      </c>
      <c r="B3746" s="16" t="s">
        <v>4580</v>
      </c>
      <c r="C3746" s="16" t="s">
        <v>1090</v>
      </c>
      <c r="D3746" s="16" t="s">
        <v>707</v>
      </c>
      <c r="E3746" s="16">
        <v>2019.0</v>
      </c>
      <c r="F3746" s="16">
        <v>49.162</v>
      </c>
      <c r="G3746" s="16">
        <v>11.9059</v>
      </c>
      <c r="H3746" s="15"/>
      <c r="I3746" s="15"/>
    </row>
    <row r="3747">
      <c r="A3747" s="18">
        <v>45665.0</v>
      </c>
      <c r="B3747" s="16" t="s">
        <v>4581</v>
      </c>
      <c r="C3747" s="16">
        <v>3.0</v>
      </c>
      <c r="D3747" s="16" t="s">
        <v>707</v>
      </c>
      <c r="E3747" s="16">
        <v>2019.0</v>
      </c>
      <c r="F3747" s="16">
        <v>49.1607</v>
      </c>
      <c r="G3747" s="16">
        <v>11.9076</v>
      </c>
      <c r="H3747" s="15"/>
      <c r="I3747" s="15"/>
    </row>
    <row r="3748">
      <c r="A3748" s="18">
        <v>45665.0</v>
      </c>
      <c r="B3748" s="16" t="s">
        <v>4582</v>
      </c>
      <c r="C3748" s="16" t="s">
        <v>2392</v>
      </c>
      <c r="D3748" s="16" t="s">
        <v>707</v>
      </c>
      <c r="E3748" s="16">
        <v>2019.0</v>
      </c>
      <c r="F3748" s="16">
        <v>54.1179</v>
      </c>
      <c r="G3748" s="16">
        <v>9.9368</v>
      </c>
      <c r="H3748" s="15"/>
      <c r="I3748" s="15"/>
    </row>
    <row r="3749">
      <c r="A3749" s="18">
        <v>45665.0</v>
      </c>
      <c r="B3749" s="16" t="s">
        <v>4583</v>
      </c>
      <c r="C3749" s="16" t="s">
        <v>3505</v>
      </c>
      <c r="D3749" s="16" t="s">
        <v>707</v>
      </c>
      <c r="E3749" s="16">
        <v>2019.0</v>
      </c>
      <c r="F3749" s="16">
        <v>50.136</v>
      </c>
      <c r="G3749" s="16">
        <v>11.6048</v>
      </c>
      <c r="H3749" s="15"/>
      <c r="I3749" s="15"/>
    </row>
    <row r="3750">
      <c r="A3750" s="18">
        <v>45665.0</v>
      </c>
      <c r="B3750" s="16" t="s">
        <v>4584</v>
      </c>
      <c r="C3750" s="16" t="s">
        <v>965</v>
      </c>
      <c r="D3750" s="16" t="s">
        <v>707</v>
      </c>
      <c r="E3750" s="16">
        <v>2019.0</v>
      </c>
      <c r="F3750" s="16">
        <v>53.1933</v>
      </c>
      <c r="G3750" s="16">
        <v>10.8806</v>
      </c>
      <c r="H3750" s="15"/>
      <c r="I3750" s="15"/>
    </row>
    <row r="3751">
      <c r="A3751" s="18">
        <v>45665.0</v>
      </c>
      <c r="B3751" s="16" t="s">
        <v>4585</v>
      </c>
      <c r="C3751" s="16" t="s">
        <v>961</v>
      </c>
      <c r="D3751" s="16" t="s">
        <v>707</v>
      </c>
      <c r="E3751" s="16">
        <v>2019.0</v>
      </c>
      <c r="F3751" s="16">
        <v>51.585</v>
      </c>
      <c r="G3751" s="16">
        <v>11.4512</v>
      </c>
      <c r="H3751" s="15"/>
      <c r="I3751" s="15"/>
    </row>
    <row r="3752">
      <c r="A3752" s="18">
        <v>45665.0</v>
      </c>
      <c r="B3752" s="16" t="s">
        <v>4586</v>
      </c>
      <c r="C3752" s="16" t="s">
        <v>961</v>
      </c>
      <c r="D3752" s="16" t="s">
        <v>707</v>
      </c>
      <c r="E3752" s="16">
        <v>2019.0</v>
      </c>
      <c r="F3752" s="16">
        <v>51.6036</v>
      </c>
      <c r="G3752" s="16">
        <v>11.4498</v>
      </c>
      <c r="H3752" s="15"/>
      <c r="I3752" s="15"/>
    </row>
    <row r="3753">
      <c r="A3753" s="18">
        <v>45665.0</v>
      </c>
      <c r="B3753" s="16" t="s">
        <v>4587</v>
      </c>
      <c r="C3753" s="16" t="s">
        <v>1181</v>
      </c>
      <c r="D3753" s="16" t="s">
        <v>707</v>
      </c>
      <c r="E3753" s="16">
        <v>2019.0</v>
      </c>
      <c r="F3753" s="16">
        <v>54.1512</v>
      </c>
      <c r="G3753" s="16">
        <v>10.019</v>
      </c>
      <c r="H3753" s="15"/>
      <c r="I3753" s="15"/>
    </row>
    <row r="3754">
      <c r="A3754" s="18">
        <v>45665.0</v>
      </c>
      <c r="B3754" s="16" t="s">
        <v>4588</v>
      </c>
      <c r="C3754" s="16">
        <v>5.0</v>
      </c>
      <c r="D3754" s="16" t="s">
        <v>707</v>
      </c>
      <c r="E3754" s="16">
        <v>2019.0</v>
      </c>
      <c r="F3754" s="16">
        <v>53.3206</v>
      </c>
      <c r="G3754" s="16">
        <v>13.0926</v>
      </c>
      <c r="H3754" s="15"/>
      <c r="I3754" s="15"/>
    </row>
    <row r="3755">
      <c r="A3755" s="18">
        <v>45665.0</v>
      </c>
      <c r="B3755" s="16" t="s">
        <v>4589</v>
      </c>
      <c r="C3755" s="16" t="s">
        <v>946</v>
      </c>
      <c r="D3755" s="16" t="s">
        <v>707</v>
      </c>
      <c r="E3755" s="16">
        <v>2019.0</v>
      </c>
      <c r="F3755" s="16">
        <v>50.9659</v>
      </c>
      <c r="G3755" s="16">
        <v>11.2538</v>
      </c>
      <c r="H3755" s="15"/>
      <c r="I3755" s="15"/>
    </row>
    <row r="3756">
      <c r="A3756" s="18">
        <v>45665.0</v>
      </c>
      <c r="B3756" s="16" t="s">
        <v>4590</v>
      </c>
      <c r="C3756" s="16" t="s">
        <v>1771</v>
      </c>
      <c r="D3756" s="16" t="s">
        <v>707</v>
      </c>
      <c r="E3756" s="16">
        <v>2019.0</v>
      </c>
      <c r="F3756" s="16">
        <v>50.5179</v>
      </c>
      <c r="G3756" s="16">
        <v>8.0423</v>
      </c>
      <c r="H3756" s="15"/>
      <c r="I3756" s="15"/>
    </row>
    <row r="3757">
      <c r="A3757" s="18">
        <v>45665.0</v>
      </c>
      <c r="B3757" s="16" t="s">
        <v>4591</v>
      </c>
      <c r="C3757" s="16" t="s">
        <v>1007</v>
      </c>
      <c r="D3757" s="16" t="s">
        <v>707</v>
      </c>
      <c r="E3757" s="16">
        <v>2019.0</v>
      </c>
      <c r="F3757" s="16">
        <v>52.767</v>
      </c>
      <c r="G3757" s="16">
        <v>11.748</v>
      </c>
      <c r="H3757" s="15"/>
      <c r="I3757" s="15"/>
    </row>
    <row r="3758">
      <c r="A3758" s="18">
        <v>45665.0</v>
      </c>
      <c r="B3758" s="16" t="s">
        <v>4592</v>
      </c>
      <c r="C3758" s="16" t="s">
        <v>969</v>
      </c>
      <c r="D3758" s="16" t="s">
        <v>707</v>
      </c>
      <c r="E3758" s="16">
        <v>2019.0</v>
      </c>
      <c r="F3758" s="16">
        <v>48.2615</v>
      </c>
      <c r="G3758" s="16">
        <v>7.7423</v>
      </c>
      <c r="H3758" s="15"/>
      <c r="I3758" s="15"/>
    </row>
    <row r="3759">
      <c r="A3759" s="18">
        <v>45665.0</v>
      </c>
      <c r="B3759" s="16" t="s">
        <v>4593</v>
      </c>
      <c r="C3759" s="16" t="s">
        <v>1096</v>
      </c>
      <c r="D3759" s="16" t="s">
        <v>707</v>
      </c>
      <c r="E3759" s="16">
        <v>2019.0</v>
      </c>
      <c r="F3759" s="16">
        <v>49.0937</v>
      </c>
      <c r="G3759" s="16">
        <v>10.6801</v>
      </c>
      <c r="H3759" s="15"/>
      <c r="I3759" s="15"/>
    </row>
    <row r="3760">
      <c r="A3760" s="18">
        <v>45665.0</v>
      </c>
      <c r="B3760" s="16" t="s">
        <v>4594</v>
      </c>
      <c r="C3760" s="16" t="s">
        <v>1055</v>
      </c>
      <c r="D3760" s="16" t="s">
        <v>707</v>
      </c>
      <c r="E3760" s="16">
        <v>2019.0</v>
      </c>
      <c r="F3760" s="16">
        <v>48.3927</v>
      </c>
      <c r="G3760" s="16">
        <v>12.7261</v>
      </c>
      <c r="H3760" s="15"/>
      <c r="I3760" s="15"/>
    </row>
    <row r="3761">
      <c r="A3761" s="18">
        <v>45665.0</v>
      </c>
      <c r="B3761" s="16" t="s">
        <v>4595</v>
      </c>
      <c r="C3761" s="16" t="s">
        <v>1167</v>
      </c>
      <c r="D3761" s="16" t="s">
        <v>707</v>
      </c>
      <c r="E3761" s="16">
        <v>2019.0</v>
      </c>
      <c r="F3761" s="16">
        <v>48.0394</v>
      </c>
      <c r="G3761" s="16">
        <v>9.1114</v>
      </c>
      <c r="H3761" s="15"/>
      <c r="I3761" s="15"/>
    </row>
    <row r="3762">
      <c r="A3762" s="18">
        <v>45665.0</v>
      </c>
      <c r="B3762" s="16" t="s">
        <v>4596</v>
      </c>
      <c r="C3762" s="16" t="s">
        <v>1203</v>
      </c>
      <c r="D3762" s="16" t="s">
        <v>707</v>
      </c>
      <c r="E3762" s="16">
        <v>2019.0</v>
      </c>
      <c r="F3762" s="16">
        <v>48.0394</v>
      </c>
      <c r="G3762" s="16">
        <v>9.1114</v>
      </c>
      <c r="H3762" s="15"/>
      <c r="I3762" s="15"/>
    </row>
    <row r="3763">
      <c r="A3763" s="18">
        <v>45665.0</v>
      </c>
      <c r="B3763" s="16" t="s">
        <v>4597</v>
      </c>
      <c r="C3763" s="16">
        <v>5.0</v>
      </c>
      <c r="D3763" s="16" t="s">
        <v>707</v>
      </c>
      <c r="E3763" s="16">
        <v>2019.0</v>
      </c>
      <c r="F3763" s="16">
        <v>48.06</v>
      </c>
      <c r="G3763" s="16">
        <v>9.021</v>
      </c>
      <c r="H3763" s="15"/>
      <c r="I3763" s="15"/>
    </row>
    <row r="3764">
      <c r="A3764" s="18">
        <v>45665.0</v>
      </c>
      <c r="B3764" s="16" t="s">
        <v>4598</v>
      </c>
      <c r="C3764" s="16" t="s">
        <v>4064</v>
      </c>
      <c r="D3764" s="16" t="s">
        <v>707</v>
      </c>
      <c r="E3764" s="16">
        <v>2019.0</v>
      </c>
      <c r="F3764" s="16">
        <v>52.4729</v>
      </c>
      <c r="G3764" s="16">
        <v>14.4455</v>
      </c>
      <c r="H3764" s="15"/>
      <c r="I3764" s="15"/>
    </row>
    <row r="3765">
      <c r="A3765" s="18">
        <v>45665.0</v>
      </c>
      <c r="B3765" s="16" t="s">
        <v>4599</v>
      </c>
      <c r="C3765" s="16" t="s">
        <v>1099</v>
      </c>
      <c r="D3765" s="16" t="s">
        <v>707</v>
      </c>
      <c r="E3765" s="16">
        <v>2019.0</v>
      </c>
      <c r="F3765" s="16">
        <v>48.3701</v>
      </c>
      <c r="G3765" s="16">
        <v>12.6915</v>
      </c>
      <c r="H3765" s="15"/>
      <c r="I3765" s="15"/>
    </row>
    <row r="3766">
      <c r="A3766" s="18">
        <v>45665.0</v>
      </c>
      <c r="B3766" s="16" t="s">
        <v>4600</v>
      </c>
      <c r="C3766" s="16" t="s">
        <v>1051</v>
      </c>
      <c r="D3766" s="16" t="s">
        <v>707</v>
      </c>
      <c r="E3766" s="16">
        <v>2019.0</v>
      </c>
      <c r="F3766" s="16">
        <v>51.6805</v>
      </c>
      <c r="G3766" s="16">
        <v>14.4375</v>
      </c>
      <c r="H3766" s="15"/>
      <c r="I3766" s="15"/>
    </row>
    <row r="3767">
      <c r="A3767" s="18">
        <v>45665.0</v>
      </c>
      <c r="B3767" s="16" t="s">
        <v>4601</v>
      </c>
      <c r="C3767" s="16" t="s">
        <v>969</v>
      </c>
      <c r="D3767" s="16" t="s">
        <v>707</v>
      </c>
      <c r="E3767" s="16">
        <v>2019.0</v>
      </c>
      <c r="F3767" s="16">
        <v>48.3554</v>
      </c>
      <c r="G3767" s="16">
        <v>11.7672</v>
      </c>
      <c r="H3767" s="15"/>
      <c r="I3767" s="15"/>
    </row>
    <row r="3768">
      <c r="A3768" s="18">
        <v>45665.0</v>
      </c>
      <c r="B3768" s="16" t="s">
        <v>4602</v>
      </c>
      <c r="C3768" s="16">
        <v>10.0</v>
      </c>
      <c r="D3768" s="16" t="s">
        <v>707</v>
      </c>
      <c r="E3768" s="16">
        <v>2019.0</v>
      </c>
      <c r="F3768" s="16">
        <v>49.4185</v>
      </c>
      <c r="G3768" s="16">
        <v>12.0459</v>
      </c>
      <c r="H3768" s="15"/>
      <c r="I3768" s="15"/>
    </row>
    <row r="3769">
      <c r="A3769" s="18">
        <v>45665.0</v>
      </c>
      <c r="B3769" s="16" t="s">
        <v>4603</v>
      </c>
      <c r="C3769" s="16" t="s">
        <v>946</v>
      </c>
      <c r="D3769" s="16" t="s">
        <v>707</v>
      </c>
      <c r="E3769" s="16">
        <v>2019.0</v>
      </c>
      <c r="F3769" s="16">
        <v>51.5526</v>
      </c>
      <c r="G3769" s="16">
        <v>11.5059</v>
      </c>
      <c r="H3769" s="15"/>
      <c r="I3769" s="15"/>
    </row>
    <row r="3770">
      <c r="A3770" s="18">
        <v>45665.0</v>
      </c>
      <c r="B3770" s="16" t="s">
        <v>4604</v>
      </c>
      <c r="C3770" s="16" t="s">
        <v>1351</v>
      </c>
      <c r="D3770" s="16" t="s">
        <v>707</v>
      </c>
      <c r="E3770" s="16">
        <v>2019.0</v>
      </c>
      <c r="F3770" s="16">
        <v>53.5534</v>
      </c>
      <c r="G3770" s="16">
        <v>11.688</v>
      </c>
      <c r="H3770" s="15"/>
      <c r="I3770" s="15"/>
    </row>
    <row r="3771">
      <c r="A3771" s="18">
        <v>45665.0</v>
      </c>
      <c r="B3771" s="16" t="s">
        <v>4605</v>
      </c>
      <c r="C3771" s="16" t="s">
        <v>1101</v>
      </c>
      <c r="D3771" s="16" t="s">
        <v>707</v>
      </c>
      <c r="E3771" s="16">
        <v>2019.0</v>
      </c>
      <c r="F3771" s="16">
        <v>51.2669</v>
      </c>
      <c r="G3771" s="16">
        <v>10.6646</v>
      </c>
      <c r="H3771" s="15"/>
      <c r="I3771" s="15"/>
    </row>
    <row r="3772">
      <c r="A3772" s="18">
        <v>45665.0</v>
      </c>
      <c r="B3772" s="16" t="s">
        <v>4606</v>
      </c>
      <c r="C3772" s="16" t="s">
        <v>1101</v>
      </c>
      <c r="D3772" s="16" t="s">
        <v>707</v>
      </c>
      <c r="E3772" s="16">
        <v>2019.0</v>
      </c>
      <c r="F3772" s="16">
        <v>51.3157</v>
      </c>
      <c r="G3772" s="16">
        <v>10.5627</v>
      </c>
      <c r="H3772" s="15"/>
      <c r="I3772" s="15"/>
    </row>
    <row r="3773">
      <c r="A3773" s="18">
        <v>45665.0</v>
      </c>
      <c r="B3773" s="16" t="s">
        <v>4607</v>
      </c>
      <c r="C3773" s="16" t="s">
        <v>1059</v>
      </c>
      <c r="D3773" s="16" t="s">
        <v>707</v>
      </c>
      <c r="E3773" s="16">
        <v>2019.0</v>
      </c>
      <c r="F3773" s="16">
        <v>48.9193</v>
      </c>
      <c r="G3773" s="16">
        <v>12.2919</v>
      </c>
      <c r="H3773" s="15"/>
      <c r="I3773" s="15"/>
    </row>
    <row r="3774">
      <c r="A3774" s="18">
        <v>45665.0</v>
      </c>
      <c r="B3774" s="16" t="s">
        <v>4608</v>
      </c>
      <c r="C3774" s="16">
        <v>10.0</v>
      </c>
      <c r="D3774" s="16" t="s">
        <v>707</v>
      </c>
      <c r="E3774" s="16">
        <v>2019.0</v>
      </c>
      <c r="F3774" s="16">
        <v>51.5758</v>
      </c>
      <c r="G3774" s="16">
        <v>14.1377</v>
      </c>
      <c r="H3774" s="15"/>
      <c r="I3774" s="15"/>
    </row>
    <row r="3775">
      <c r="A3775" s="18">
        <v>45665.0</v>
      </c>
      <c r="B3775" s="16" t="s">
        <v>4609</v>
      </c>
      <c r="C3775" s="16" t="s">
        <v>4610</v>
      </c>
      <c r="D3775" s="16" t="s">
        <v>707</v>
      </c>
      <c r="E3775" s="16">
        <v>2019.0</v>
      </c>
      <c r="F3775" s="16">
        <v>48.0837</v>
      </c>
      <c r="G3775" s="16">
        <v>10.7003</v>
      </c>
      <c r="H3775" s="15"/>
      <c r="I3775" s="15"/>
    </row>
    <row r="3776">
      <c r="A3776" s="18">
        <v>45665.0</v>
      </c>
      <c r="B3776" s="16" t="s">
        <v>4611</v>
      </c>
      <c r="C3776" s="16" t="s">
        <v>1598</v>
      </c>
      <c r="D3776" s="16" t="s">
        <v>707</v>
      </c>
      <c r="E3776" s="16">
        <v>2019.0</v>
      </c>
      <c r="F3776" s="16">
        <v>48.0848</v>
      </c>
      <c r="G3776" s="16">
        <v>10.6898</v>
      </c>
      <c r="H3776" s="15"/>
      <c r="I3776" s="15"/>
    </row>
    <row r="3777">
      <c r="A3777" s="18">
        <v>45665.0</v>
      </c>
      <c r="B3777" s="16" t="s">
        <v>4612</v>
      </c>
      <c r="C3777" s="16">
        <v>10.0</v>
      </c>
      <c r="D3777" s="16" t="s">
        <v>707</v>
      </c>
      <c r="E3777" s="16">
        <v>2019.0</v>
      </c>
      <c r="F3777" s="16">
        <v>49.2252</v>
      </c>
      <c r="G3777" s="16">
        <v>11.7603</v>
      </c>
      <c r="H3777" s="15"/>
      <c r="I3777" s="15"/>
    </row>
    <row r="3778">
      <c r="A3778" s="18">
        <v>45665.0</v>
      </c>
      <c r="B3778" s="16" t="s">
        <v>4613</v>
      </c>
      <c r="C3778" s="16">
        <v>7.0</v>
      </c>
      <c r="D3778" s="16" t="s">
        <v>707</v>
      </c>
      <c r="E3778" s="16">
        <v>2019.0</v>
      </c>
      <c r="F3778" s="16">
        <v>49.2073</v>
      </c>
      <c r="G3778" s="16">
        <v>11.7813</v>
      </c>
      <c r="H3778" s="15"/>
      <c r="I3778" s="15"/>
    </row>
    <row r="3779">
      <c r="A3779" s="18">
        <v>45665.0</v>
      </c>
      <c r="B3779" s="16" t="s">
        <v>4614</v>
      </c>
      <c r="C3779" s="16">
        <v>3.0</v>
      </c>
      <c r="D3779" s="16" t="s">
        <v>707</v>
      </c>
      <c r="E3779" s="16">
        <v>2019.0</v>
      </c>
      <c r="F3779" s="16">
        <v>49.2082</v>
      </c>
      <c r="G3779" s="16">
        <v>11.7867</v>
      </c>
      <c r="H3779" s="15"/>
      <c r="I3779" s="15"/>
    </row>
    <row r="3780">
      <c r="A3780" s="18">
        <v>45665.0</v>
      </c>
      <c r="B3780" s="16" t="s">
        <v>4615</v>
      </c>
      <c r="C3780" s="16">
        <v>10.0</v>
      </c>
      <c r="D3780" s="16" t="s">
        <v>707</v>
      </c>
      <c r="E3780" s="16">
        <v>2019.0</v>
      </c>
      <c r="F3780" s="16">
        <v>50.1356</v>
      </c>
      <c r="G3780" s="16">
        <v>10.7506</v>
      </c>
      <c r="H3780" s="15"/>
      <c r="I3780" s="15"/>
    </row>
    <row r="3781">
      <c r="A3781" s="18">
        <v>45665.0</v>
      </c>
      <c r="B3781" s="16" t="s">
        <v>4616</v>
      </c>
      <c r="C3781" s="16" t="s">
        <v>1282</v>
      </c>
      <c r="D3781" s="16" t="s">
        <v>707</v>
      </c>
      <c r="E3781" s="16">
        <v>2019.0</v>
      </c>
      <c r="F3781" s="16">
        <v>51.5322</v>
      </c>
      <c r="G3781" s="16">
        <v>11.9532</v>
      </c>
      <c r="H3781" s="15"/>
      <c r="I3781" s="15"/>
    </row>
    <row r="3782">
      <c r="A3782" s="18">
        <v>45665.0</v>
      </c>
      <c r="B3782" s="16" t="s">
        <v>4617</v>
      </c>
      <c r="C3782" s="16" t="s">
        <v>2457</v>
      </c>
      <c r="D3782" s="16" t="s">
        <v>707</v>
      </c>
      <c r="E3782" s="16">
        <v>2019.0</v>
      </c>
      <c r="F3782" s="16">
        <v>51.3873</v>
      </c>
      <c r="G3782" s="16">
        <v>12.777</v>
      </c>
      <c r="H3782" s="15"/>
      <c r="I3782" s="15"/>
    </row>
    <row r="3783">
      <c r="A3783" s="18">
        <v>45665.0</v>
      </c>
      <c r="B3783" s="16" t="s">
        <v>4618</v>
      </c>
      <c r="C3783" s="16" t="s">
        <v>959</v>
      </c>
      <c r="D3783" s="16" t="s">
        <v>707</v>
      </c>
      <c r="E3783" s="16">
        <v>2019.0</v>
      </c>
      <c r="F3783" s="16">
        <v>51.3873</v>
      </c>
      <c r="G3783" s="16">
        <v>12.777</v>
      </c>
      <c r="H3783" s="15"/>
      <c r="I3783" s="15"/>
    </row>
    <row r="3784">
      <c r="A3784" s="18">
        <v>45665.0</v>
      </c>
      <c r="B3784" s="16" t="s">
        <v>4619</v>
      </c>
      <c r="C3784" s="16" t="s">
        <v>1080</v>
      </c>
      <c r="D3784" s="16" t="s">
        <v>707</v>
      </c>
      <c r="E3784" s="16">
        <v>2019.0</v>
      </c>
      <c r="F3784" s="16">
        <v>49.1677</v>
      </c>
      <c r="G3784" s="16">
        <v>10.8536</v>
      </c>
      <c r="H3784" s="15"/>
      <c r="I3784" s="15"/>
    </row>
    <row r="3785">
      <c r="A3785" s="18">
        <v>45665.0</v>
      </c>
      <c r="B3785" s="16" t="s">
        <v>4620</v>
      </c>
      <c r="C3785" s="16" t="s">
        <v>969</v>
      </c>
      <c r="D3785" s="16" t="s">
        <v>707</v>
      </c>
      <c r="E3785" s="16">
        <v>2019.0</v>
      </c>
      <c r="F3785" s="16">
        <v>48.5662</v>
      </c>
      <c r="G3785" s="16">
        <v>12.0065</v>
      </c>
      <c r="H3785" s="15"/>
      <c r="I3785" s="15"/>
    </row>
    <row r="3786">
      <c r="A3786" s="18">
        <v>45665.0</v>
      </c>
      <c r="B3786" s="16" t="s">
        <v>4621</v>
      </c>
      <c r="C3786" s="16">
        <v>2.0</v>
      </c>
      <c r="D3786" s="16" t="s">
        <v>707</v>
      </c>
      <c r="E3786" s="16">
        <v>2019.0</v>
      </c>
      <c r="F3786" s="16">
        <v>48.5737</v>
      </c>
      <c r="G3786" s="16">
        <v>12.2802</v>
      </c>
      <c r="H3786" s="15"/>
      <c r="I3786" s="15"/>
    </row>
    <row r="3787">
      <c r="A3787" s="18">
        <v>45665.0</v>
      </c>
      <c r="B3787" s="16" t="s">
        <v>4622</v>
      </c>
      <c r="C3787" s="16" t="s">
        <v>942</v>
      </c>
      <c r="D3787" s="16" t="s">
        <v>707</v>
      </c>
      <c r="E3787" s="16">
        <v>2019.0</v>
      </c>
      <c r="F3787" s="16">
        <v>48.5443</v>
      </c>
      <c r="G3787" s="16">
        <v>12.5701</v>
      </c>
      <c r="H3787" s="15"/>
      <c r="I3787" s="15"/>
    </row>
    <row r="3788">
      <c r="A3788" s="18">
        <v>45665.0</v>
      </c>
      <c r="B3788" s="16" t="s">
        <v>4623</v>
      </c>
      <c r="C3788" s="16" t="s">
        <v>1007</v>
      </c>
      <c r="D3788" s="16" t="s">
        <v>707</v>
      </c>
      <c r="E3788" s="16">
        <v>2019.0</v>
      </c>
      <c r="F3788" s="16">
        <v>49.8528</v>
      </c>
      <c r="G3788" s="16">
        <v>6.7917</v>
      </c>
      <c r="H3788" s="15"/>
      <c r="I3788" s="15"/>
    </row>
    <row r="3789">
      <c r="A3789" s="18">
        <v>45665.0</v>
      </c>
      <c r="B3789" s="16" t="s">
        <v>4624</v>
      </c>
      <c r="C3789" s="16" t="s">
        <v>948</v>
      </c>
      <c r="D3789" s="16" t="s">
        <v>707</v>
      </c>
      <c r="E3789" s="16">
        <v>2019.0</v>
      </c>
      <c r="F3789" s="16">
        <v>49.7857</v>
      </c>
      <c r="G3789" s="16">
        <v>6.7376</v>
      </c>
      <c r="H3789" s="15"/>
      <c r="I3789" s="15"/>
    </row>
    <row r="3790">
      <c r="A3790" s="18">
        <v>45665.0</v>
      </c>
      <c r="B3790" s="16" t="s">
        <v>4625</v>
      </c>
      <c r="C3790" s="16" t="s">
        <v>948</v>
      </c>
      <c r="D3790" s="16" t="s">
        <v>707</v>
      </c>
      <c r="E3790" s="16">
        <v>2019.0</v>
      </c>
      <c r="F3790" s="16">
        <v>52.9912</v>
      </c>
      <c r="G3790" s="16">
        <v>13.9908</v>
      </c>
      <c r="H3790" s="15"/>
      <c r="I3790" s="15"/>
    </row>
    <row r="3791">
      <c r="A3791" s="18">
        <v>45665.0</v>
      </c>
      <c r="B3791" s="16" t="s">
        <v>4626</v>
      </c>
      <c r="C3791" s="16" t="s">
        <v>951</v>
      </c>
      <c r="D3791" s="16" t="s">
        <v>707</v>
      </c>
      <c r="E3791" s="16">
        <v>2019.0</v>
      </c>
      <c r="F3791" s="16">
        <v>51.46</v>
      </c>
      <c r="G3791" s="16">
        <v>11.2801</v>
      </c>
      <c r="H3791" s="15"/>
      <c r="I3791" s="15"/>
    </row>
    <row r="3792">
      <c r="A3792" s="18">
        <v>45665.0</v>
      </c>
      <c r="B3792" s="16" t="s">
        <v>4627</v>
      </c>
      <c r="C3792" s="16" t="s">
        <v>1011</v>
      </c>
      <c r="D3792" s="16" t="s">
        <v>707</v>
      </c>
      <c r="E3792" s="16">
        <v>2019.0</v>
      </c>
      <c r="F3792" s="16">
        <v>52.6978</v>
      </c>
      <c r="G3792" s="16">
        <v>11.0909</v>
      </c>
      <c r="H3792" s="15"/>
      <c r="I3792" s="15"/>
    </row>
    <row r="3793">
      <c r="A3793" s="18">
        <v>45665.0</v>
      </c>
      <c r="B3793" s="16" t="s">
        <v>4628</v>
      </c>
      <c r="C3793" s="16" t="s">
        <v>1147</v>
      </c>
      <c r="D3793" s="16" t="s">
        <v>707</v>
      </c>
      <c r="E3793" s="16">
        <v>2019.0</v>
      </c>
      <c r="F3793" s="16">
        <v>50.1879</v>
      </c>
      <c r="G3793" s="16">
        <v>10.6225</v>
      </c>
      <c r="H3793" s="15"/>
      <c r="I3793" s="15"/>
    </row>
    <row r="3794">
      <c r="A3794" s="18">
        <v>45665.0</v>
      </c>
      <c r="B3794" s="16" t="s">
        <v>4629</v>
      </c>
      <c r="C3794" s="16" t="s">
        <v>969</v>
      </c>
      <c r="D3794" s="16" t="s">
        <v>707</v>
      </c>
      <c r="E3794" s="16">
        <v>2019.0</v>
      </c>
      <c r="F3794" s="16">
        <v>53.0559</v>
      </c>
      <c r="G3794" s="16">
        <v>12.338</v>
      </c>
      <c r="H3794" s="15"/>
      <c r="I3794" s="15"/>
    </row>
    <row r="3795">
      <c r="A3795" s="18">
        <v>45665.0</v>
      </c>
      <c r="B3795" s="16" t="s">
        <v>4630</v>
      </c>
      <c r="C3795" s="16" t="s">
        <v>1099</v>
      </c>
      <c r="D3795" s="16" t="s">
        <v>707</v>
      </c>
      <c r="E3795" s="16">
        <v>2019.0</v>
      </c>
      <c r="F3795" s="16">
        <v>50.21</v>
      </c>
      <c r="G3795" s="16">
        <v>10.7383</v>
      </c>
      <c r="H3795" s="15"/>
      <c r="I3795" s="15"/>
    </row>
    <row r="3796">
      <c r="A3796" s="18">
        <v>45665.0</v>
      </c>
      <c r="B3796" s="16" t="s">
        <v>4631</v>
      </c>
      <c r="C3796" s="16" t="s">
        <v>990</v>
      </c>
      <c r="D3796" s="16" t="s">
        <v>707</v>
      </c>
      <c r="E3796" s="16">
        <v>2019.0</v>
      </c>
      <c r="F3796" s="16">
        <v>50.1419</v>
      </c>
      <c r="G3796" s="16">
        <v>11.7612</v>
      </c>
      <c r="H3796" s="15"/>
      <c r="I3796" s="15"/>
    </row>
    <row r="3797">
      <c r="A3797" s="18">
        <v>45665.0</v>
      </c>
      <c r="B3797" s="16" t="s">
        <v>4632</v>
      </c>
      <c r="C3797" s="16" t="s">
        <v>1745</v>
      </c>
      <c r="D3797" s="16" t="s">
        <v>707</v>
      </c>
      <c r="E3797" s="16">
        <v>2019.0</v>
      </c>
      <c r="F3797" s="16">
        <v>50.1407</v>
      </c>
      <c r="G3797" s="16">
        <v>11.7603</v>
      </c>
      <c r="H3797" s="15"/>
      <c r="I3797" s="15"/>
    </row>
    <row r="3798">
      <c r="A3798" s="18">
        <v>45665.0</v>
      </c>
      <c r="B3798" s="16" t="s">
        <v>4633</v>
      </c>
      <c r="C3798" s="16" t="s">
        <v>1341</v>
      </c>
      <c r="D3798" s="16" t="s">
        <v>707</v>
      </c>
      <c r="E3798" s="16">
        <v>2019.0</v>
      </c>
      <c r="F3798" s="16">
        <v>50.0703</v>
      </c>
      <c r="G3798" s="16">
        <v>11.1654</v>
      </c>
      <c r="H3798" s="15"/>
      <c r="I3798" s="15"/>
    </row>
    <row r="3799">
      <c r="A3799" s="18">
        <v>45665.0</v>
      </c>
      <c r="B3799" s="16" t="s">
        <v>4634</v>
      </c>
      <c r="C3799" s="16">
        <v>10.0</v>
      </c>
      <c r="D3799" s="16" t="s">
        <v>707</v>
      </c>
      <c r="E3799" s="16">
        <v>2019.0</v>
      </c>
      <c r="F3799" s="16">
        <v>49.8551</v>
      </c>
      <c r="G3799" s="16">
        <v>9.5846</v>
      </c>
      <c r="H3799" s="15"/>
      <c r="I3799" s="15"/>
    </row>
    <row r="3800">
      <c r="A3800" s="18">
        <v>45665.0</v>
      </c>
      <c r="B3800" s="16" t="s">
        <v>4635</v>
      </c>
      <c r="C3800" s="16" t="s">
        <v>1101</v>
      </c>
      <c r="D3800" s="16" t="s">
        <v>707</v>
      </c>
      <c r="E3800" s="16">
        <v>2019.0</v>
      </c>
      <c r="F3800" s="16">
        <v>53.0576</v>
      </c>
      <c r="G3800" s="16">
        <v>12.3496</v>
      </c>
      <c r="H3800" s="15"/>
      <c r="I3800" s="15"/>
    </row>
    <row r="3801">
      <c r="A3801" s="18">
        <v>45665.0</v>
      </c>
      <c r="B3801" s="16" t="s">
        <v>4636</v>
      </c>
      <c r="C3801" s="16" t="s">
        <v>1085</v>
      </c>
      <c r="D3801" s="16" t="s">
        <v>707</v>
      </c>
      <c r="E3801" s="16">
        <v>2019.0</v>
      </c>
      <c r="F3801" s="16">
        <v>51.6645</v>
      </c>
      <c r="G3801" s="16">
        <v>14.6259</v>
      </c>
      <c r="H3801" s="15"/>
      <c r="I3801" s="15"/>
    </row>
    <row r="3802">
      <c r="A3802" s="18">
        <v>45665.0</v>
      </c>
      <c r="B3802" s="16" t="s">
        <v>4637</v>
      </c>
      <c r="C3802" s="16" t="s">
        <v>961</v>
      </c>
      <c r="D3802" s="16" t="s">
        <v>707</v>
      </c>
      <c r="E3802" s="16">
        <v>2019.0</v>
      </c>
      <c r="F3802" s="16">
        <v>52.3724</v>
      </c>
      <c r="G3802" s="16">
        <v>11.8109</v>
      </c>
      <c r="H3802" s="15"/>
      <c r="I3802" s="15"/>
    </row>
    <row r="3803">
      <c r="A3803" s="18">
        <v>45665.0</v>
      </c>
      <c r="B3803" s="16" t="s">
        <v>4638</v>
      </c>
      <c r="C3803" s="16" t="s">
        <v>946</v>
      </c>
      <c r="D3803" s="16" t="s">
        <v>707</v>
      </c>
      <c r="E3803" s="16">
        <v>2019.0</v>
      </c>
      <c r="F3803" s="16">
        <v>49.2</v>
      </c>
      <c r="G3803" s="16">
        <v>11.2389</v>
      </c>
      <c r="H3803" s="15"/>
      <c r="I3803" s="15"/>
    </row>
    <row r="3804">
      <c r="A3804" s="18">
        <v>45665.0</v>
      </c>
      <c r="B3804" s="16" t="s">
        <v>4639</v>
      </c>
      <c r="C3804" s="16" t="s">
        <v>2147</v>
      </c>
      <c r="D3804" s="16" t="s">
        <v>707</v>
      </c>
      <c r="E3804" s="16">
        <v>2019.0</v>
      </c>
      <c r="F3804" s="16">
        <v>53.9501</v>
      </c>
      <c r="G3804" s="16">
        <v>11.6077</v>
      </c>
      <c r="H3804" s="15"/>
      <c r="I3804" s="15"/>
    </row>
    <row r="3805">
      <c r="A3805" s="18">
        <v>45665.0</v>
      </c>
      <c r="B3805" s="16" t="s">
        <v>4640</v>
      </c>
      <c r="C3805" s="16" t="s">
        <v>969</v>
      </c>
      <c r="D3805" s="16" t="s">
        <v>707</v>
      </c>
      <c r="E3805" s="16">
        <v>2019.0</v>
      </c>
      <c r="F3805" s="16">
        <v>52.8444</v>
      </c>
      <c r="G3805" s="16">
        <v>12.4647</v>
      </c>
      <c r="H3805" s="15"/>
      <c r="I3805" s="15"/>
    </row>
    <row r="3806">
      <c r="A3806" s="18">
        <v>45665.0</v>
      </c>
      <c r="B3806" s="16" t="s">
        <v>4641</v>
      </c>
      <c r="C3806" s="16" t="s">
        <v>1386</v>
      </c>
      <c r="D3806" s="16" t="s">
        <v>707</v>
      </c>
      <c r="E3806" s="16">
        <v>2019.0</v>
      </c>
      <c r="F3806" s="16">
        <v>50.3707</v>
      </c>
      <c r="G3806" s="16">
        <v>10.9221</v>
      </c>
      <c r="H3806" s="15"/>
      <c r="I3806" s="15"/>
    </row>
    <row r="3807">
      <c r="A3807" s="18">
        <v>45665.0</v>
      </c>
      <c r="B3807" s="16" t="s">
        <v>4642</v>
      </c>
      <c r="C3807" s="16">
        <v>10.0</v>
      </c>
      <c r="D3807" s="16" t="s">
        <v>707</v>
      </c>
      <c r="E3807" s="16">
        <v>2019.0</v>
      </c>
      <c r="F3807" s="16">
        <v>47.8438</v>
      </c>
      <c r="G3807" s="16">
        <v>10.7888</v>
      </c>
      <c r="H3807" s="15"/>
      <c r="I3807" s="15"/>
    </row>
    <row r="3808">
      <c r="A3808" s="18">
        <v>45665.0</v>
      </c>
      <c r="B3808" s="16" t="s">
        <v>4643</v>
      </c>
      <c r="C3808" s="16" t="s">
        <v>1181</v>
      </c>
      <c r="D3808" s="16" t="s">
        <v>707</v>
      </c>
      <c r="E3808" s="16">
        <v>2019.0</v>
      </c>
      <c r="F3808" s="16">
        <v>49.4256</v>
      </c>
      <c r="G3808" s="16">
        <v>9.3182</v>
      </c>
      <c r="H3808" s="15"/>
      <c r="I3808" s="15"/>
    </row>
    <row r="3809">
      <c r="A3809" s="18">
        <v>45665.0</v>
      </c>
      <c r="B3809" s="16" t="s">
        <v>4644</v>
      </c>
      <c r="C3809" s="16" t="s">
        <v>1745</v>
      </c>
      <c r="D3809" s="16" t="s">
        <v>707</v>
      </c>
      <c r="E3809" s="16">
        <v>2019.0</v>
      </c>
      <c r="F3809" s="16">
        <v>48.2216</v>
      </c>
      <c r="G3809" s="16">
        <v>10.3084</v>
      </c>
      <c r="H3809" s="15"/>
      <c r="I3809" s="15"/>
    </row>
    <row r="3810">
      <c r="A3810" s="18">
        <v>45665.0</v>
      </c>
      <c r="B3810" s="16" t="s">
        <v>4645</v>
      </c>
      <c r="C3810" s="16" t="s">
        <v>1167</v>
      </c>
      <c r="D3810" s="16" t="s">
        <v>707</v>
      </c>
      <c r="E3810" s="16">
        <v>2019.0</v>
      </c>
      <c r="F3810" s="16">
        <v>53.9171</v>
      </c>
      <c r="G3810" s="16">
        <v>13.2184</v>
      </c>
      <c r="H3810" s="15"/>
      <c r="I3810" s="15"/>
    </row>
    <row r="3811">
      <c r="A3811" s="18">
        <v>45665.0</v>
      </c>
      <c r="B3811" s="16" t="s">
        <v>4646</v>
      </c>
      <c r="C3811" s="16" t="s">
        <v>1267</v>
      </c>
      <c r="D3811" s="16" t="s">
        <v>707</v>
      </c>
      <c r="E3811" s="16">
        <v>2019.0</v>
      </c>
      <c r="F3811" s="16">
        <v>49.5795</v>
      </c>
      <c r="G3811" s="16">
        <v>11.0906</v>
      </c>
      <c r="H3811" s="15"/>
      <c r="I3811" s="15"/>
    </row>
    <row r="3812">
      <c r="A3812" s="18">
        <v>45665.0</v>
      </c>
      <c r="B3812" s="16" t="s">
        <v>4647</v>
      </c>
      <c r="C3812" s="16">
        <v>3.0</v>
      </c>
      <c r="D3812" s="16" t="s">
        <v>707</v>
      </c>
      <c r="E3812" s="16">
        <v>2019.0</v>
      </c>
      <c r="F3812" s="16">
        <v>51.4365</v>
      </c>
      <c r="G3812" s="16">
        <v>6.6379</v>
      </c>
      <c r="H3812" s="15"/>
      <c r="I3812" s="15"/>
    </row>
    <row r="3813">
      <c r="A3813" s="18">
        <v>45665.0</v>
      </c>
      <c r="B3813" s="16" t="s">
        <v>4648</v>
      </c>
      <c r="C3813" s="16" t="s">
        <v>1101</v>
      </c>
      <c r="D3813" s="16" t="s">
        <v>707</v>
      </c>
      <c r="E3813" s="16">
        <v>2019.0</v>
      </c>
      <c r="F3813" s="16">
        <v>49.6478</v>
      </c>
      <c r="G3813" s="16">
        <v>11.2228</v>
      </c>
      <c r="H3813" s="15"/>
      <c r="I3813" s="15"/>
    </row>
    <row r="3814">
      <c r="A3814" s="18">
        <v>45665.0</v>
      </c>
      <c r="B3814" s="16" t="s">
        <v>4648</v>
      </c>
      <c r="C3814" s="16" t="s">
        <v>1282</v>
      </c>
      <c r="D3814" s="16" t="s">
        <v>707</v>
      </c>
      <c r="E3814" s="16">
        <v>2019.0</v>
      </c>
      <c r="F3814" s="16">
        <v>49.6478</v>
      </c>
      <c r="G3814" s="16">
        <v>11.2228</v>
      </c>
      <c r="H3814" s="15"/>
      <c r="I3814" s="15"/>
    </row>
    <row r="3815">
      <c r="A3815" s="18">
        <v>45665.0</v>
      </c>
      <c r="B3815" s="16" t="s">
        <v>4649</v>
      </c>
      <c r="C3815" s="16" t="s">
        <v>2392</v>
      </c>
      <c r="D3815" s="16" t="s">
        <v>707</v>
      </c>
      <c r="E3815" s="16">
        <v>2019.0</v>
      </c>
      <c r="F3815" s="16">
        <v>49.2644</v>
      </c>
      <c r="G3815" s="16">
        <v>10.7117</v>
      </c>
      <c r="H3815" s="15"/>
      <c r="I3815" s="15"/>
    </row>
    <row r="3816">
      <c r="A3816" s="18">
        <v>45665.0</v>
      </c>
      <c r="B3816" s="16" t="s">
        <v>4650</v>
      </c>
      <c r="C3816" s="16" t="s">
        <v>1310</v>
      </c>
      <c r="D3816" s="16" t="s">
        <v>707</v>
      </c>
      <c r="E3816" s="16">
        <v>2019.0</v>
      </c>
      <c r="F3816" s="16">
        <v>50.3659</v>
      </c>
      <c r="G3816" s="16">
        <v>11.9728</v>
      </c>
      <c r="H3816" s="15"/>
      <c r="I3816" s="15"/>
    </row>
    <row r="3817">
      <c r="A3817" s="18">
        <v>45665.0</v>
      </c>
      <c r="B3817" s="16" t="s">
        <v>4651</v>
      </c>
      <c r="C3817" s="16">
        <v>10.0</v>
      </c>
      <c r="D3817" s="16" t="s">
        <v>707</v>
      </c>
      <c r="E3817" s="16">
        <v>2019.0</v>
      </c>
      <c r="F3817" s="16">
        <v>49.2013</v>
      </c>
      <c r="G3817" s="16">
        <v>11.6602</v>
      </c>
      <c r="H3817" s="15"/>
      <c r="I3817" s="15"/>
    </row>
    <row r="3818">
      <c r="A3818" s="18">
        <v>45665.0</v>
      </c>
      <c r="B3818" s="16" t="s">
        <v>4652</v>
      </c>
      <c r="C3818" s="16">
        <v>10.0</v>
      </c>
      <c r="D3818" s="16" t="s">
        <v>707</v>
      </c>
      <c r="E3818" s="16">
        <v>2019.0</v>
      </c>
      <c r="F3818" s="16">
        <v>49.2084</v>
      </c>
      <c r="G3818" s="16">
        <v>11.6169</v>
      </c>
      <c r="H3818" s="15"/>
      <c r="I3818" s="15"/>
    </row>
    <row r="3819">
      <c r="A3819" s="18">
        <v>45665.0</v>
      </c>
      <c r="B3819" s="16" t="s">
        <v>4653</v>
      </c>
      <c r="C3819" s="16" t="s">
        <v>1034</v>
      </c>
      <c r="D3819" s="16" t="s">
        <v>707</v>
      </c>
      <c r="E3819" s="16">
        <v>2019.0</v>
      </c>
      <c r="F3819" s="16">
        <v>51.7915</v>
      </c>
      <c r="G3819" s="16">
        <v>14.0553</v>
      </c>
      <c r="H3819" s="15"/>
      <c r="I3819" s="15"/>
    </row>
    <row r="3820">
      <c r="A3820" s="18">
        <v>45665.0</v>
      </c>
      <c r="B3820" s="16" t="s">
        <v>4654</v>
      </c>
      <c r="C3820" s="16" t="s">
        <v>1399</v>
      </c>
      <c r="D3820" s="16" t="s">
        <v>707</v>
      </c>
      <c r="E3820" s="16">
        <v>2019.0</v>
      </c>
      <c r="F3820" s="16">
        <v>53.7671</v>
      </c>
      <c r="G3820" s="16">
        <v>13.6564</v>
      </c>
      <c r="H3820" s="15"/>
      <c r="I3820" s="15"/>
    </row>
    <row r="3821">
      <c r="A3821" s="18">
        <v>45665.0</v>
      </c>
      <c r="B3821" s="16" t="s">
        <v>4655</v>
      </c>
      <c r="C3821" s="16" t="s">
        <v>1039</v>
      </c>
      <c r="D3821" s="16" t="s">
        <v>707</v>
      </c>
      <c r="E3821" s="16">
        <v>2019.0</v>
      </c>
      <c r="F3821" s="16">
        <v>53.768</v>
      </c>
      <c r="G3821" s="16">
        <v>13.6556</v>
      </c>
      <c r="H3821" s="15"/>
      <c r="I3821" s="15"/>
    </row>
    <row r="3822">
      <c r="A3822" s="18">
        <v>45665.0</v>
      </c>
      <c r="B3822" s="16" t="s">
        <v>4656</v>
      </c>
      <c r="C3822" s="16" t="s">
        <v>1039</v>
      </c>
      <c r="D3822" s="16" t="s">
        <v>707</v>
      </c>
      <c r="E3822" s="16">
        <v>2019.0</v>
      </c>
      <c r="F3822" s="16">
        <v>53.7708</v>
      </c>
      <c r="G3822" s="16">
        <v>13.6523</v>
      </c>
      <c r="H3822" s="15"/>
      <c r="I3822" s="15"/>
    </row>
    <row r="3823">
      <c r="A3823" s="18">
        <v>45665.0</v>
      </c>
      <c r="B3823" s="16" t="s">
        <v>4657</v>
      </c>
      <c r="C3823" s="16" t="s">
        <v>1059</v>
      </c>
      <c r="D3823" s="16" t="s">
        <v>707</v>
      </c>
      <c r="E3823" s="16">
        <v>2019.0</v>
      </c>
      <c r="F3823" s="16">
        <v>52.4597</v>
      </c>
      <c r="G3823" s="16">
        <v>12.2237</v>
      </c>
      <c r="H3823" s="15"/>
      <c r="I3823" s="15"/>
    </row>
    <row r="3824">
      <c r="A3824" s="18">
        <v>45665.0</v>
      </c>
      <c r="B3824" s="16" t="s">
        <v>4658</v>
      </c>
      <c r="C3824" s="16" t="s">
        <v>946</v>
      </c>
      <c r="D3824" s="16" t="s">
        <v>707</v>
      </c>
      <c r="E3824" s="16">
        <v>2019.0</v>
      </c>
      <c r="F3824" s="16">
        <v>51.357</v>
      </c>
      <c r="G3824" s="16">
        <v>13.3375</v>
      </c>
      <c r="H3824" s="15"/>
      <c r="I3824" s="15"/>
    </row>
    <row r="3825">
      <c r="A3825" s="18">
        <v>45665.0</v>
      </c>
      <c r="B3825" s="16" t="s">
        <v>4659</v>
      </c>
      <c r="C3825" s="16" t="s">
        <v>1094</v>
      </c>
      <c r="D3825" s="16" t="s">
        <v>707</v>
      </c>
      <c r="E3825" s="16">
        <v>2019.0</v>
      </c>
      <c r="F3825" s="16">
        <v>51.3576</v>
      </c>
      <c r="G3825" s="16">
        <v>13.3385</v>
      </c>
      <c r="H3825" s="15"/>
      <c r="I3825" s="15"/>
    </row>
    <row r="3826">
      <c r="A3826" s="18">
        <v>45665.0</v>
      </c>
      <c r="B3826" s="16" t="s">
        <v>4660</v>
      </c>
      <c r="C3826" s="16" t="s">
        <v>1931</v>
      </c>
      <c r="D3826" s="16" t="s">
        <v>707</v>
      </c>
      <c r="E3826" s="16">
        <v>2019.0</v>
      </c>
      <c r="F3826" s="16">
        <v>51.3541</v>
      </c>
      <c r="G3826" s="16">
        <v>13.3439</v>
      </c>
      <c r="H3826" s="15"/>
      <c r="I3826" s="15"/>
    </row>
    <row r="3827">
      <c r="A3827" s="18">
        <v>45665.0</v>
      </c>
      <c r="B3827" s="16" t="s">
        <v>4661</v>
      </c>
      <c r="C3827" s="16" t="s">
        <v>946</v>
      </c>
      <c r="D3827" s="16" t="s">
        <v>707</v>
      </c>
      <c r="E3827" s="16">
        <v>2019.0</v>
      </c>
      <c r="F3827" s="16">
        <v>51.8544</v>
      </c>
      <c r="G3827" s="16">
        <v>11.5417</v>
      </c>
      <c r="H3827" s="15"/>
      <c r="I3827" s="15"/>
    </row>
    <row r="3828">
      <c r="A3828" s="18">
        <v>45001.0</v>
      </c>
      <c r="B3828" s="16" t="s">
        <v>4662</v>
      </c>
      <c r="C3828" s="16" t="s">
        <v>1004</v>
      </c>
      <c r="D3828" s="16" t="s">
        <v>707</v>
      </c>
      <c r="E3828" s="16">
        <v>2020.0</v>
      </c>
      <c r="F3828" s="16">
        <v>49.8477</v>
      </c>
      <c r="G3828" s="16">
        <v>11.8717</v>
      </c>
      <c r="H3828" s="15"/>
      <c r="I3828" s="15"/>
    </row>
    <row r="3829">
      <c r="A3829" s="18">
        <v>45001.0</v>
      </c>
      <c r="B3829" s="16" t="s">
        <v>4663</v>
      </c>
      <c r="C3829" s="16" t="s">
        <v>1059</v>
      </c>
      <c r="D3829" s="16" t="s">
        <v>707</v>
      </c>
      <c r="E3829" s="16">
        <v>2020.0</v>
      </c>
      <c r="F3829" s="16">
        <v>49.1369</v>
      </c>
      <c r="G3829" s="16">
        <v>10.0069</v>
      </c>
      <c r="H3829" s="15"/>
      <c r="I3829" s="15"/>
    </row>
    <row r="3830">
      <c r="A3830" s="18">
        <v>45329.0</v>
      </c>
      <c r="B3830" s="16" t="s">
        <v>4664</v>
      </c>
      <c r="C3830" s="16" t="s">
        <v>959</v>
      </c>
      <c r="D3830" s="16" t="s">
        <v>3574</v>
      </c>
      <c r="E3830" s="16">
        <v>2020.0</v>
      </c>
      <c r="F3830" s="16">
        <v>51.4671</v>
      </c>
      <c r="G3830" s="16">
        <v>10.308</v>
      </c>
      <c r="H3830" s="15"/>
      <c r="I3830" s="15"/>
    </row>
    <row r="3831">
      <c r="A3831" s="17">
        <v>45636.0</v>
      </c>
      <c r="B3831" s="16" t="s">
        <v>4665</v>
      </c>
      <c r="C3831" s="16">
        <v>3.0</v>
      </c>
      <c r="D3831" s="16" t="s">
        <v>707</v>
      </c>
      <c r="E3831" s="16">
        <v>2020.0</v>
      </c>
      <c r="F3831" s="16">
        <v>53.9848</v>
      </c>
      <c r="G3831" s="16">
        <v>13.7606</v>
      </c>
      <c r="H3831" s="15"/>
      <c r="I3831" s="15"/>
    </row>
    <row r="3832">
      <c r="A3832" s="18">
        <v>45665.0</v>
      </c>
      <c r="B3832" s="16" t="s">
        <v>4666</v>
      </c>
      <c r="C3832" s="16" t="s">
        <v>1004</v>
      </c>
      <c r="D3832" s="16" t="s">
        <v>707</v>
      </c>
      <c r="E3832" s="16">
        <v>2020.0</v>
      </c>
      <c r="F3832" s="16">
        <v>49.7912</v>
      </c>
      <c r="G3832" s="16">
        <v>6.5591</v>
      </c>
      <c r="H3832" s="15"/>
      <c r="I3832" s="15"/>
    </row>
    <row r="3833">
      <c r="A3833" s="18">
        <v>45665.0</v>
      </c>
      <c r="B3833" s="16" t="s">
        <v>4667</v>
      </c>
      <c r="C3833" s="16" t="s">
        <v>969</v>
      </c>
      <c r="D3833" s="16" t="s">
        <v>707</v>
      </c>
      <c r="E3833" s="16">
        <v>2020.0</v>
      </c>
      <c r="F3833" s="16">
        <v>51.9251</v>
      </c>
      <c r="G3833" s="16">
        <v>11.1426</v>
      </c>
      <c r="H3833" s="15"/>
      <c r="I3833" s="15"/>
    </row>
    <row r="3834">
      <c r="A3834" s="18">
        <v>45665.0</v>
      </c>
      <c r="B3834" s="16" t="s">
        <v>4668</v>
      </c>
      <c r="C3834" s="16" t="s">
        <v>1351</v>
      </c>
      <c r="D3834" s="16" t="s">
        <v>707</v>
      </c>
      <c r="E3834" s="16">
        <v>2020.0</v>
      </c>
      <c r="F3834" s="16">
        <v>48.2523</v>
      </c>
      <c r="G3834" s="16">
        <v>12.6482</v>
      </c>
      <c r="H3834" s="15"/>
      <c r="I3834" s="15"/>
    </row>
    <row r="3835">
      <c r="A3835" s="18">
        <v>45665.0</v>
      </c>
      <c r="B3835" s="16" t="s">
        <v>4669</v>
      </c>
      <c r="C3835" s="16" t="s">
        <v>1055</v>
      </c>
      <c r="D3835" s="16" t="s">
        <v>707</v>
      </c>
      <c r="E3835" s="16">
        <v>2020.0</v>
      </c>
      <c r="F3835" s="16">
        <v>48.2507</v>
      </c>
      <c r="G3835" s="16">
        <v>12.7858</v>
      </c>
      <c r="H3835" s="15"/>
      <c r="I3835" s="15"/>
    </row>
    <row r="3836">
      <c r="A3836" s="18">
        <v>45665.0</v>
      </c>
      <c r="B3836" s="16" t="s">
        <v>4670</v>
      </c>
      <c r="C3836" s="16" t="s">
        <v>1090</v>
      </c>
      <c r="D3836" s="16" t="s">
        <v>707</v>
      </c>
      <c r="E3836" s="16">
        <v>2020.0</v>
      </c>
      <c r="F3836" s="16">
        <v>49.8479</v>
      </c>
      <c r="G3836" s="16">
        <v>11.8723</v>
      </c>
      <c r="H3836" s="15"/>
      <c r="I3836" s="15"/>
    </row>
    <row r="3837">
      <c r="A3837" s="18">
        <v>45665.0</v>
      </c>
      <c r="B3837" s="16" t="s">
        <v>4671</v>
      </c>
      <c r="C3837" s="16" t="s">
        <v>1055</v>
      </c>
      <c r="D3837" s="16" t="s">
        <v>707</v>
      </c>
      <c r="E3837" s="16">
        <v>2020.0</v>
      </c>
      <c r="F3837" s="16">
        <v>50.2148</v>
      </c>
      <c r="G3837" s="16">
        <v>10.7563</v>
      </c>
      <c r="H3837" s="15"/>
      <c r="I3837" s="15"/>
    </row>
    <row r="3838">
      <c r="A3838" s="18">
        <v>45665.0</v>
      </c>
      <c r="B3838" s="16" t="s">
        <v>4672</v>
      </c>
      <c r="C3838" s="16" t="s">
        <v>1745</v>
      </c>
      <c r="D3838" s="16" t="s">
        <v>707</v>
      </c>
      <c r="E3838" s="16">
        <v>2020.0</v>
      </c>
      <c r="F3838" s="16">
        <v>50.1405</v>
      </c>
      <c r="G3838" s="16">
        <v>11.4928</v>
      </c>
      <c r="H3838" s="15"/>
      <c r="I3838" s="15"/>
    </row>
    <row r="3839">
      <c r="A3839" s="18">
        <v>45665.0</v>
      </c>
      <c r="B3839" s="16" t="s">
        <v>4673</v>
      </c>
      <c r="C3839" s="16" t="s">
        <v>971</v>
      </c>
      <c r="D3839" s="16" t="s">
        <v>707</v>
      </c>
      <c r="E3839" s="16">
        <v>2020.0</v>
      </c>
      <c r="F3839" s="16">
        <v>50.2326</v>
      </c>
      <c r="G3839" s="16">
        <v>10.7856</v>
      </c>
      <c r="H3839" s="15"/>
      <c r="I3839" s="15"/>
    </row>
    <row r="3840">
      <c r="A3840" s="18">
        <v>45665.0</v>
      </c>
      <c r="B3840" s="16" t="s">
        <v>4674</v>
      </c>
      <c r="C3840" s="16">
        <v>10.0</v>
      </c>
      <c r="D3840" s="16" t="s">
        <v>707</v>
      </c>
      <c r="E3840" s="16">
        <v>2020.0</v>
      </c>
      <c r="F3840" s="16">
        <v>53.2991</v>
      </c>
      <c r="G3840" s="16">
        <v>11.501</v>
      </c>
      <c r="H3840" s="15"/>
      <c r="I3840" s="15"/>
    </row>
    <row r="3841">
      <c r="A3841" s="18">
        <v>45665.0</v>
      </c>
      <c r="B3841" s="16" t="s">
        <v>4675</v>
      </c>
      <c r="C3841" s="16" t="s">
        <v>1002</v>
      </c>
      <c r="D3841" s="16" t="s">
        <v>707</v>
      </c>
      <c r="E3841" s="16">
        <v>2020.0</v>
      </c>
      <c r="F3841" s="16">
        <v>53.3363</v>
      </c>
      <c r="G3841" s="16">
        <v>12.5486</v>
      </c>
      <c r="H3841" s="15"/>
      <c r="I3841" s="15"/>
    </row>
    <row r="3842">
      <c r="A3842" s="18">
        <v>45665.0</v>
      </c>
      <c r="B3842" s="16" t="s">
        <v>4676</v>
      </c>
      <c r="C3842" s="16" t="s">
        <v>1172</v>
      </c>
      <c r="D3842" s="16" t="s">
        <v>707</v>
      </c>
      <c r="E3842" s="16">
        <v>2020.0</v>
      </c>
      <c r="F3842" s="16">
        <v>54.2276</v>
      </c>
      <c r="G3842" s="16">
        <v>9.8067</v>
      </c>
      <c r="H3842" s="15"/>
      <c r="I3842" s="15"/>
    </row>
    <row r="3843">
      <c r="A3843" s="18">
        <v>45665.0</v>
      </c>
      <c r="B3843" s="16" t="s">
        <v>4677</v>
      </c>
      <c r="C3843" s="16" t="s">
        <v>946</v>
      </c>
      <c r="D3843" s="16" t="s">
        <v>707</v>
      </c>
      <c r="E3843" s="16">
        <v>2020.0</v>
      </c>
      <c r="F3843" s="16">
        <v>51.0393</v>
      </c>
      <c r="G3843" s="16">
        <v>9.2973</v>
      </c>
      <c r="H3843" s="15"/>
      <c r="I3843" s="15"/>
    </row>
    <row r="3844">
      <c r="A3844" s="18">
        <v>45665.0</v>
      </c>
      <c r="B3844" s="16" t="s">
        <v>4678</v>
      </c>
      <c r="C3844" s="16" t="s">
        <v>1034</v>
      </c>
      <c r="D3844" s="16" t="s">
        <v>707</v>
      </c>
      <c r="E3844" s="16">
        <v>2020.0</v>
      </c>
      <c r="F3844" s="16">
        <v>49.1726</v>
      </c>
      <c r="G3844" s="16">
        <v>9.4359</v>
      </c>
      <c r="H3844" s="15"/>
      <c r="I3844" s="15"/>
    </row>
    <row r="3845">
      <c r="A3845" s="18">
        <v>45665.0</v>
      </c>
      <c r="B3845" s="16" t="s">
        <v>4679</v>
      </c>
      <c r="C3845" s="16" t="s">
        <v>2392</v>
      </c>
      <c r="D3845" s="16" t="s">
        <v>707</v>
      </c>
      <c r="E3845" s="16">
        <v>2020.0</v>
      </c>
      <c r="F3845" s="16">
        <v>54.0776</v>
      </c>
      <c r="G3845" s="16">
        <v>12.691</v>
      </c>
      <c r="H3845" s="15"/>
      <c r="I3845" s="15"/>
    </row>
    <row r="3846">
      <c r="A3846" s="18">
        <v>45665.0</v>
      </c>
      <c r="B3846" s="16" t="s">
        <v>4680</v>
      </c>
      <c r="C3846" s="16" t="s">
        <v>969</v>
      </c>
      <c r="D3846" s="16" t="s">
        <v>707</v>
      </c>
      <c r="E3846" s="16">
        <v>2020.0</v>
      </c>
      <c r="F3846" s="16">
        <v>49.796</v>
      </c>
      <c r="G3846" s="16">
        <v>9.475</v>
      </c>
      <c r="H3846" s="15"/>
      <c r="I3846" s="15"/>
    </row>
    <row r="3847">
      <c r="A3847" s="18">
        <v>45665.0</v>
      </c>
      <c r="B3847" s="16" t="s">
        <v>4681</v>
      </c>
      <c r="C3847" s="16" t="s">
        <v>1085</v>
      </c>
      <c r="D3847" s="16" t="s">
        <v>707</v>
      </c>
      <c r="E3847" s="16">
        <v>2020.0</v>
      </c>
      <c r="F3847" s="16">
        <v>52.8584</v>
      </c>
      <c r="G3847" s="16">
        <v>11.1175</v>
      </c>
      <c r="H3847" s="15"/>
      <c r="I3847" s="15"/>
    </row>
    <row r="3848">
      <c r="A3848" s="18">
        <v>45665.0</v>
      </c>
      <c r="B3848" s="16" t="s">
        <v>4682</v>
      </c>
      <c r="C3848" s="16" t="s">
        <v>969</v>
      </c>
      <c r="D3848" s="16" t="s">
        <v>707</v>
      </c>
      <c r="E3848" s="16">
        <v>2020.0</v>
      </c>
      <c r="F3848" s="16">
        <v>51.4186</v>
      </c>
      <c r="G3848" s="16">
        <v>11.7384</v>
      </c>
      <c r="H3848" s="15"/>
      <c r="I3848" s="15"/>
    </row>
    <row r="3849">
      <c r="A3849" s="18">
        <v>45665.0</v>
      </c>
      <c r="B3849" s="16" t="s">
        <v>4683</v>
      </c>
      <c r="C3849" s="16" t="s">
        <v>971</v>
      </c>
      <c r="D3849" s="16" t="s">
        <v>707</v>
      </c>
      <c r="E3849" s="16">
        <v>2020.0</v>
      </c>
      <c r="F3849" s="16">
        <v>50.2901</v>
      </c>
      <c r="G3849" s="16">
        <v>11.952</v>
      </c>
      <c r="H3849" s="15"/>
      <c r="I3849" s="15"/>
    </row>
    <row r="3850">
      <c r="A3850" s="18">
        <v>45665.0</v>
      </c>
      <c r="B3850" s="16" t="s">
        <v>4684</v>
      </c>
      <c r="C3850" s="16" t="s">
        <v>984</v>
      </c>
      <c r="D3850" s="16" t="s">
        <v>707</v>
      </c>
      <c r="E3850" s="16">
        <v>2020.0</v>
      </c>
      <c r="F3850" s="16">
        <v>50.9912</v>
      </c>
      <c r="G3850" s="16">
        <v>10.3457</v>
      </c>
      <c r="H3850" s="15"/>
      <c r="I3850" s="15"/>
    </row>
    <row r="3851">
      <c r="A3851" s="18">
        <v>45665.0</v>
      </c>
      <c r="B3851" s="16" t="s">
        <v>4685</v>
      </c>
      <c r="C3851" s="16" t="s">
        <v>1172</v>
      </c>
      <c r="D3851" s="16" t="s">
        <v>707</v>
      </c>
      <c r="E3851" s="16">
        <v>2020.0</v>
      </c>
      <c r="F3851" s="16">
        <v>50.9912</v>
      </c>
      <c r="G3851" s="16">
        <v>10.3457</v>
      </c>
      <c r="H3851" s="15"/>
      <c r="I3851" s="15"/>
    </row>
    <row r="3852">
      <c r="A3852" s="18">
        <v>45665.0</v>
      </c>
      <c r="B3852" s="16" t="s">
        <v>4686</v>
      </c>
      <c r="C3852" s="16" t="s">
        <v>948</v>
      </c>
      <c r="D3852" s="16" t="s">
        <v>707</v>
      </c>
      <c r="E3852" s="16">
        <v>2020.0</v>
      </c>
      <c r="F3852" s="16">
        <v>49.5941</v>
      </c>
      <c r="G3852" s="16">
        <v>12.5319</v>
      </c>
      <c r="H3852" s="15"/>
      <c r="I3852" s="15"/>
    </row>
    <row r="3853">
      <c r="A3853" s="18">
        <v>45665.0</v>
      </c>
      <c r="B3853" s="16" t="s">
        <v>4687</v>
      </c>
      <c r="C3853" s="16" t="s">
        <v>969</v>
      </c>
      <c r="D3853" s="16" t="s">
        <v>707</v>
      </c>
      <c r="E3853" s="16">
        <v>2020.0</v>
      </c>
      <c r="F3853" s="16">
        <v>49.8542</v>
      </c>
      <c r="G3853" s="16">
        <v>11.8828</v>
      </c>
      <c r="H3853" s="15"/>
      <c r="I3853" s="15"/>
    </row>
    <row r="3854">
      <c r="A3854" s="18">
        <v>45665.0</v>
      </c>
      <c r="B3854" s="16" t="s">
        <v>4688</v>
      </c>
      <c r="C3854" s="16" t="s">
        <v>948</v>
      </c>
      <c r="D3854" s="16" t="s">
        <v>707</v>
      </c>
      <c r="E3854" s="16">
        <v>2020.0</v>
      </c>
      <c r="F3854" s="16">
        <v>48.9301</v>
      </c>
      <c r="G3854" s="16">
        <v>12.0877</v>
      </c>
      <c r="H3854" s="15"/>
      <c r="I3854" s="15"/>
    </row>
    <row r="3855">
      <c r="A3855" s="18">
        <v>45665.0</v>
      </c>
      <c r="B3855" s="16" t="s">
        <v>4689</v>
      </c>
      <c r="C3855" s="16" t="s">
        <v>969</v>
      </c>
      <c r="D3855" s="16" t="s">
        <v>707</v>
      </c>
      <c r="E3855" s="16">
        <v>2020.0</v>
      </c>
      <c r="F3855" s="16">
        <v>48.9246</v>
      </c>
      <c r="G3855" s="16">
        <v>12.0894</v>
      </c>
      <c r="H3855" s="15"/>
      <c r="I3855" s="15"/>
    </row>
    <row r="3856">
      <c r="A3856" s="18">
        <v>45665.0</v>
      </c>
      <c r="B3856" s="16" t="s">
        <v>4690</v>
      </c>
      <c r="C3856" s="16" t="s">
        <v>3817</v>
      </c>
      <c r="D3856" s="16" t="s">
        <v>707</v>
      </c>
      <c r="E3856" s="16">
        <v>2020.0</v>
      </c>
      <c r="F3856" s="16">
        <v>54.1164</v>
      </c>
      <c r="G3856" s="16">
        <v>9.4764</v>
      </c>
      <c r="H3856" s="15"/>
      <c r="I3856" s="15"/>
    </row>
    <row r="3857">
      <c r="A3857" s="18">
        <v>45665.0</v>
      </c>
      <c r="B3857" s="16" t="s">
        <v>4691</v>
      </c>
      <c r="C3857" s="16" t="s">
        <v>3817</v>
      </c>
      <c r="D3857" s="16" t="s">
        <v>707</v>
      </c>
      <c r="E3857" s="16">
        <v>2020.0</v>
      </c>
      <c r="F3857" s="16">
        <v>53.8209</v>
      </c>
      <c r="G3857" s="16">
        <v>10.942</v>
      </c>
      <c r="H3857" s="15"/>
      <c r="I3857" s="15"/>
    </row>
    <row r="3858">
      <c r="A3858" s="18">
        <v>45665.0</v>
      </c>
      <c r="B3858" s="16" t="s">
        <v>4692</v>
      </c>
      <c r="C3858" s="16" t="s">
        <v>948</v>
      </c>
      <c r="D3858" s="16" t="s">
        <v>707</v>
      </c>
      <c r="E3858" s="16">
        <v>2020.0</v>
      </c>
      <c r="F3858" s="16">
        <v>51.6675</v>
      </c>
      <c r="G3858" s="16">
        <v>12.0866</v>
      </c>
      <c r="H3858" s="15"/>
      <c r="I3858" s="15"/>
    </row>
    <row r="3859">
      <c r="A3859" s="18">
        <v>45665.0</v>
      </c>
      <c r="B3859" s="16" t="s">
        <v>4693</v>
      </c>
      <c r="C3859" s="16" t="s">
        <v>1267</v>
      </c>
      <c r="D3859" s="16" t="s">
        <v>707</v>
      </c>
      <c r="E3859" s="16">
        <v>2020.0</v>
      </c>
      <c r="F3859" s="16">
        <v>51.915</v>
      </c>
      <c r="G3859" s="16">
        <v>10.962</v>
      </c>
      <c r="H3859" s="15"/>
      <c r="I3859" s="15"/>
    </row>
    <row r="3860">
      <c r="A3860" s="18">
        <v>45665.0</v>
      </c>
      <c r="B3860" s="16" t="s">
        <v>4694</v>
      </c>
      <c r="C3860" s="16" t="s">
        <v>1267</v>
      </c>
      <c r="D3860" s="16" t="s">
        <v>707</v>
      </c>
      <c r="E3860" s="16">
        <v>2020.0</v>
      </c>
      <c r="F3860" s="16">
        <v>51.2488</v>
      </c>
      <c r="G3860" s="16">
        <v>8.7689</v>
      </c>
      <c r="H3860" s="15"/>
      <c r="I3860" s="15"/>
    </row>
    <row r="3861">
      <c r="A3861" s="18">
        <v>45665.0</v>
      </c>
      <c r="B3861" s="16" t="s">
        <v>4695</v>
      </c>
      <c r="C3861" s="16" t="s">
        <v>1436</v>
      </c>
      <c r="D3861" s="16" t="s">
        <v>707</v>
      </c>
      <c r="E3861" s="16">
        <v>2020.0</v>
      </c>
      <c r="F3861" s="16">
        <v>49.1465</v>
      </c>
      <c r="G3861" s="16">
        <v>11.2687</v>
      </c>
      <c r="H3861" s="15"/>
      <c r="I3861" s="15"/>
    </row>
    <row r="3862">
      <c r="A3862" s="18">
        <v>45665.0</v>
      </c>
      <c r="B3862" s="16" t="s">
        <v>4696</v>
      </c>
      <c r="C3862" s="16" t="s">
        <v>1090</v>
      </c>
      <c r="D3862" s="16" t="s">
        <v>707</v>
      </c>
      <c r="E3862" s="16">
        <v>2020.0</v>
      </c>
      <c r="F3862" s="16">
        <v>49.1442</v>
      </c>
      <c r="G3862" s="16">
        <v>11.2694</v>
      </c>
      <c r="H3862" s="15"/>
      <c r="I3862" s="15"/>
    </row>
    <row r="3863">
      <c r="A3863" s="18">
        <v>45665.0</v>
      </c>
      <c r="B3863" s="16" t="s">
        <v>4697</v>
      </c>
      <c r="C3863" s="16" t="s">
        <v>2668</v>
      </c>
      <c r="D3863" s="16" t="s">
        <v>707</v>
      </c>
      <c r="E3863" s="16">
        <v>2020.0</v>
      </c>
      <c r="F3863" s="16">
        <v>49.1753</v>
      </c>
      <c r="G3863" s="16">
        <v>11.8624</v>
      </c>
      <c r="H3863" s="15"/>
      <c r="I3863" s="15"/>
    </row>
    <row r="3864">
      <c r="A3864" s="18">
        <v>45665.0</v>
      </c>
      <c r="B3864" s="16" t="s">
        <v>4698</v>
      </c>
      <c r="C3864" s="16" t="s">
        <v>1757</v>
      </c>
      <c r="D3864" s="16" t="s">
        <v>707</v>
      </c>
      <c r="E3864" s="16">
        <v>2020.0</v>
      </c>
      <c r="F3864" s="16">
        <v>49.1995</v>
      </c>
      <c r="G3864" s="16">
        <v>11.8211</v>
      </c>
      <c r="H3864" s="15"/>
      <c r="I3864" s="15"/>
    </row>
    <row r="3865">
      <c r="A3865" s="18">
        <v>45665.0</v>
      </c>
      <c r="B3865" s="16" t="s">
        <v>4699</v>
      </c>
      <c r="C3865" s="16">
        <v>4.0</v>
      </c>
      <c r="D3865" s="16" t="s">
        <v>707</v>
      </c>
      <c r="E3865" s="16">
        <v>2020.0</v>
      </c>
      <c r="F3865" s="16">
        <v>52.0957</v>
      </c>
      <c r="G3865" s="16">
        <v>7.2759</v>
      </c>
      <c r="H3865" s="15"/>
      <c r="I3865" s="15"/>
    </row>
    <row r="3866">
      <c r="A3866" s="18">
        <v>45665.0</v>
      </c>
      <c r="B3866" s="16" t="s">
        <v>4700</v>
      </c>
      <c r="C3866" s="16" t="s">
        <v>942</v>
      </c>
      <c r="D3866" s="16" t="s">
        <v>707</v>
      </c>
      <c r="E3866" s="16">
        <v>2020.0</v>
      </c>
      <c r="F3866" s="16">
        <v>50.2626</v>
      </c>
      <c r="G3866" s="16">
        <v>10.275</v>
      </c>
      <c r="H3866" s="15"/>
      <c r="I3866" s="15"/>
    </row>
    <row r="3867">
      <c r="A3867" s="18">
        <v>45665.0</v>
      </c>
      <c r="B3867" s="16" t="s">
        <v>4701</v>
      </c>
      <c r="C3867" s="16" t="s">
        <v>951</v>
      </c>
      <c r="D3867" s="16" t="s">
        <v>707</v>
      </c>
      <c r="E3867" s="16">
        <v>2020.0</v>
      </c>
      <c r="F3867" s="16">
        <v>48.548</v>
      </c>
      <c r="G3867" s="16">
        <v>12.5513</v>
      </c>
      <c r="H3867" s="15"/>
      <c r="I3867" s="15"/>
    </row>
    <row r="3868">
      <c r="A3868" s="18">
        <v>45665.0</v>
      </c>
      <c r="B3868" s="16" t="s">
        <v>4702</v>
      </c>
      <c r="C3868" s="16" t="s">
        <v>1393</v>
      </c>
      <c r="D3868" s="16" t="s">
        <v>707</v>
      </c>
      <c r="E3868" s="16">
        <v>2020.0</v>
      </c>
      <c r="F3868" s="16">
        <v>53.3465</v>
      </c>
      <c r="G3868" s="16">
        <v>11.814</v>
      </c>
      <c r="H3868" s="15"/>
      <c r="I3868" s="15"/>
    </row>
    <row r="3869">
      <c r="A3869" s="18">
        <v>45665.0</v>
      </c>
      <c r="B3869" s="16" t="s">
        <v>4703</v>
      </c>
      <c r="C3869" s="16" t="s">
        <v>1277</v>
      </c>
      <c r="D3869" s="16" t="s">
        <v>707</v>
      </c>
      <c r="E3869" s="16">
        <v>2020.0</v>
      </c>
      <c r="F3869" s="16">
        <v>53.342</v>
      </c>
      <c r="G3869" s="16">
        <v>11.829</v>
      </c>
      <c r="H3869" s="15"/>
      <c r="I3869" s="15"/>
    </row>
    <row r="3870">
      <c r="A3870" s="18">
        <v>45665.0</v>
      </c>
      <c r="B3870" s="16" t="s">
        <v>4704</v>
      </c>
      <c r="C3870" s="16">
        <v>6.0</v>
      </c>
      <c r="D3870" s="16" t="s">
        <v>707</v>
      </c>
      <c r="E3870" s="16">
        <v>2020.0</v>
      </c>
      <c r="F3870" s="16">
        <v>53.914</v>
      </c>
      <c r="G3870" s="16">
        <v>13.3514</v>
      </c>
      <c r="H3870" s="15"/>
      <c r="I3870" s="15"/>
    </row>
    <row r="3871">
      <c r="A3871" s="18">
        <v>45665.0</v>
      </c>
      <c r="B3871" s="16" t="s">
        <v>4705</v>
      </c>
      <c r="C3871" s="16" t="s">
        <v>951</v>
      </c>
      <c r="D3871" s="16" t="s">
        <v>707</v>
      </c>
      <c r="E3871" s="16">
        <v>2020.0</v>
      </c>
      <c r="F3871" s="16">
        <v>50.1597</v>
      </c>
      <c r="G3871" s="16">
        <v>11.0165</v>
      </c>
      <c r="H3871" s="15"/>
      <c r="I3871" s="15"/>
    </row>
    <row r="3872">
      <c r="A3872" s="18">
        <v>45665.0</v>
      </c>
      <c r="B3872" s="16" t="s">
        <v>4706</v>
      </c>
      <c r="C3872" s="16">
        <v>6.0</v>
      </c>
      <c r="D3872" s="16" t="s">
        <v>707</v>
      </c>
      <c r="E3872" s="16">
        <v>2020.0</v>
      </c>
      <c r="F3872" s="16">
        <v>49.009</v>
      </c>
      <c r="G3872" s="16">
        <v>11.3445</v>
      </c>
      <c r="H3872" s="15"/>
      <c r="I3872" s="15"/>
    </row>
    <row r="3873">
      <c r="A3873" s="18">
        <v>45665.0</v>
      </c>
      <c r="B3873" s="16" t="s">
        <v>4707</v>
      </c>
      <c r="C3873" s="16" t="s">
        <v>1203</v>
      </c>
      <c r="D3873" s="16" t="s">
        <v>707</v>
      </c>
      <c r="E3873" s="16">
        <v>2020.0</v>
      </c>
      <c r="F3873" s="16">
        <v>51.5129</v>
      </c>
      <c r="G3873" s="16">
        <v>12.0602</v>
      </c>
      <c r="H3873" s="15"/>
      <c r="I3873" s="15"/>
    </row>
    <row r="3874">
      <c r="A3874" s="18">
        <v>45665.0</v>
      </c>
      <c r="B3874" s="16" t="s">
        <v>4708</v>
      </c>
      <c r="C3874" s="16" t="s">
        <v>1203</v>
      </c>
      <c r="D3874" s="16" t="s">
        <v>707</v>
      </c>
      <c r="E3874" s="16">
        <v>2020.0</v>
      </c>
      <c r="F3874" s="16">
        <v>52.641</v>
      </c>
      <c r="G3874" s="16">
        <v>14.3348</v>
      </c>
      <c r="H3874" s="15"/>
      <c r="I3874" s="15"/>
    </row>
    <row r="3875">
      <c r="A3875" s="18">
        <v>45665.0</v>
      </c>
      <c r="B3875" s="16" t="s">
        <v>4709</v>
      </c>
      <c r="C3875" s="16" t="s">
        <v>1374</v>
      </c>
      <c r="D3875" s="16" t="s">
        <v>707</v>
      </c>
      <c r="E3875" s="16">
        <v>2020.0</v>
      </c>
      <c r="F3875" s="16">
        <v>49.089</v>
      </c>
      <c r="G3875" s="16">
        <v>11.331</v>
      </c>
      <c r="H3875" s="15"/>
      <c r="I3875" s="15"/>
    </row>
    <row r="3876">
      <c r="A3876" s="18">
        <v>45665.0</v>
      </c>
      <c r="B3876" s="16" t="s">
        <v>4710</v>
      </c>
      <c r="C3876" s="16" t="s">
        <v>1609</v>
      </c>
      <c r="D3876" s="16" t="s">
        <v>707</v>
      </c>
      <c r="E3876" s="16">
        <v>2020.0</v>
      </c>
      <c r="F3876" s="16">
        <v>48.6967</v>
      </c>
      <c r="G3876" s="16">
        <v>8.9796</v>
      </c>
      <c r="H3876" s="15"/>
      <c r="I3876" s="15"/>
    </row>
    <row r="3877">
      <c r="A3877" s="18">
        <v>45665.0</v>
      </c>
      <c r="B3877" s="16" t="s">
        <v>4711</v>
      </c>
      <c r="C3877" s="16" t="s">
        <v>1011</v>
      </c>
      <c r="D3877" s="16" t="s">
        <v>707</v>
      </c>
      <c r="E3877" s="16">
        <v>2020.0</v>
      </c>
      <c r="F3877" s="16">
        <v>50.5179</v>
      </c>
      <c r="G3877" s="16">
        <v>8.0423</v>
      </c>
      <c r="H3877" s="15"/>
      <c r="I3877" s="15"/>
    </row>
    <row r="3878">
      <c r="A3878" s="18">
        <v>45665.0</v>
      </c>
      <c r="B3878" s="16" t="s">
        <v>4712</v>
      </c>
      <c r="C3878" s="16" t="s">
        <v>1873</v>
      </c>
      <c r="D3878" s="16" t="s">
        <v>707</v>
      </c>
      <c r="E3878" s="16">
        <v>2020.0</v>
      </c>
      <c r="F3878" s="16">
        <v>48.7572</v>
      </c>
      <c r="G3878" s="16">
        <v>12.8515</v>
      </c>
      <c r="H3878" s="15"/>
      <c r="I3878" s="15"/>
    </row>
    <row r="3879">
      <c r="A3879" s="18">
        <v>45665.0</v>
      </c>
      <c r="B3879" s="16" t="s">
        <v>4713</v>
      </c>
      <c r="C3879" s="16" t="s">
        <v>984</v>
      </c>
      <c r="D3879" s="16" t="s">
        <v>707</v>
      </c>
      <c r="E3879" s="16">
        <v>2020.0</v>
      </c>
      <c r="F3879" s="16">
        <v>48.8598</v>
      </c>
      <c r="G3879" s="16">
        <v>12.6497</v>
      </c>
      <c r="H3879" s="15"/>
      <c r="I3879" s="15"/>
    </row>
    <row r="3880">
      <c r="A3880" s="18">
        <v>45665.0</v>
      </c>
      <c r="B3880" s="16" t="s">
        <v>4714</v>
      </c>
      <c r="C3880" s="16" t="s">
        <v>969</v>
      </c>
      <c r="D3880" s="16" t="s">
        <v>707</v>
      </c>
      <c r="E3880" s="16">
        <v>2020.0</v>
      </c>
      <c r="F3880" s="16">
        <v>53.6422</v>
      </c>
      <c r="G3880" s="16">
        <v>13.8865</v>
      </c>
      <c r="H3880" s="15"/>
      <c r="I3880" s="15"/>
    </row>
    <row r="3881">
      <c r="A3881" s="18">
        <v>45665.0</v>
      </c>
      <c r="B3881" s="16" t="s">
        <v>4715</v>
      </c>
      <c r="C3881" s="16" t="s">
        <v>1461</v>
      </c>
      <c r="D3881" s="16" t="s">
        <v>707</v>
      </c>
      <c r="E3881" s="16">
        <v>2020.0</v>
      </c>
      <c r="F3881" s="16">
        <v>53.6093</v>
      </c>
      <c r="G3881" s="16">
        <v>7.6854</v>
      </c>
      <c r="H3881" s="15"/>
      <c r="I3881" s="15"/>
    </row>
    <row r="3882">
      <c r="A3882" s="18">
        <v>45665.0</v>
      </c>
      <c r="B3882" s="16" t="s">
        <v>4716</v>
      </c>
      <c r="C3882" s="16">
        <v>1.0</v>
      </c>
      <c r="D3882" s="16" t="s">
        <v>707</v>
      </c>
      <c r="E3882" s="16">
        <v>2020.0</v>
      </c>
      <c r="F3882" s="16">
        <v>51.1821</v>
      </c>
      <c r="G3882" s="16">
        <v>10.6292</v>
      </c>
      <c r="H3882" s="15"/>
      <c r="I3882" s="15"/>
    </row>
    <row r="3883">
      <c r="A3883" s="18">
        <v>45665.0</v>
      </c>
      <c r="B3883" s="16" t="s">
        <v>4717</v>
      </c>
      <c r="C3883" s="16" t="s">
        <v>946</v>
      </c>
      <c r="D3883" s="16" t="s">
        <v>707</v>
      </c>
      <c r="E3883" s="16">
        <v>2020.0</v>
      </c>
      <c r="F3883" s="16">
        <v>50.5863</v>
      </c>
      <c r="G3883" s="16">
        <v>9.2068</v>
      </c>
      <c r="H3883" s="15"/>
      <c r="I3883" s="15"/>
    </row>
    <row r="3884">
      <c r="A3884" s="18">
        <v>45665.0</v>
      </c>
      <c r="B3884" s="16" t="s">
        <v>4718</v>
      </c>
      <c r="C3884" s="16" t="s">
        <v>1720</v>
      </c>
      <c r="D3884" s="16" t="s">
        <v>707</v>
      </c>
      <c r="E3884" s="16">
        <v>2020.0</v>
      </c>
      <c r="F3884" s="16">
        <v>50.348</v>
      </c>
      <c r="G3884" s="16">
        <v>11.7881</v>
      </c>
      <c r="H3884" s="15"/>
      <c r="I3884" s="15"/>
    </row>
    <row r="3885">
      <c r="A3885" s="18">
        <v>45665.0</v>
      </c>
      <c r="B3885" s="16" t="s">
        <v>4719</v>
      </c>
      <c r="C3885" s="16" t="s">
        <v>1149</v>
      </c>
      <c r="D3885" s="16" t="s">
        <v>707</v>
      </c>
      <c r="E3885" s="16">
        <v>2020.0</v>
      </c>
      <c r="F3885" s="16">
        <v>49.735</v>
      </c>
      <c r="G3885" s="16">
        <v>11.6354</v>
      </c>
      <c r="H3885" s="15"/>
      <c r="I3885" s="15"/>
    </row>
    <row r="3886">
      <c r="A3886" s="18">
        <v>45665.0</v>
      </c>
      <c r="B3886" s="16" t="s">
        <v>4720</v>
      </c>
      <c r="C3886" s="16">
        <v>8.0</v>
      </c>
      <c r="D3886" s="16" t="s">
        <v>3574</v>
      </c>
      <c r="E3886" s="16">
        <v>2020.0</v>
      </c>
      <c r="F3886" s="16">
        <v>48.5978</v>
      </c>
      <c r="G3886" s="16">
        <v>13.175</v>
      </c>
      <c r="H3886" s="15"/>
      <c r="I3886" s="15"/>
    </row>
    <row r="3887">
      <c r="A3887" s="18">
        <v>45665.0</v>
      </c>
      <c r="B3887" s="16" t="s">
        <v>4721</v>
      </c>
      <c r="C3887" s="16" t="s">
        <v>1771</v>
      </c>
      <c r="D3887" s="16" t="s">
        <v>707</v>
      </c>
      <c r="E3887" s="16">
        <v>2020.0</v>
      </c>
      <c r="F3887" s="16">
        <v>52.9401</v>
      </c>
      <c r="G3887" s="16">
        <v>12.2117</v>
      </c>
      <c r="H3887" s="15"/>
      <c r="I3887" s="15"/>
    </row>
    <row r="3888">
      <c r="A3888" s="18">
        <v>45665.0</v>
      </c>
      <c r="B3888" s="16" t="s">
        <v>4722</v>
      </c>
      <c r="C3888" s="16">
        <v>1.0</v>
      </c>
      <c r="D3888" s="16" t="s">
        <v>707</v>
      </c>
      <c r="E3888" s="16">
        <v>2020.0</v>
      </c>
      <c r="F3888" s="16">
        <v>50.823</v>
      </c>
      <c r="G3888" s="16">
        <v>11.5836</v>
      </c>
      <c r="H3888" s="15"/>
      <c r="I3888" s="15"/>
    </row>
    <row r="3889">
      <c r="A3889" s="18">
        <v>45665.0</v>
      </c>
      <c r="B3889" s="16" t="s">
        <v>4723</v>
      </c>
      <c r="C3889" s="16" t="s">
        <v>1099</v>
      </c>
      <c r="D3889" s="16" t="s">
        <v>707</v>
      </c>
      <c r="E3889" s="16">
        <v>2020.0</v>
      </c>
      <c r="F3889" s="16">
        <v>48.4278</v>
      </c>
      <c r="G3889" s="16">
        <v>12.8448</v>
      </c>
      <c r="H3889" s="15"/>
      <c r="I3889" s="15"/>
    </row>
    <row r="3890">
      <c r="A3890" s="18">
        <v>45665.0</v>
      </c>
      <c r="B3890" s="16" t="s">
        <v>4724</v>
      </c>
      <c r="C3890" s="16" t="s">
        <v>1039</v>
      </c>
      <c r="D3890" s="16" t="s">
        <v>707</v>
      </c>
      <c r="E3890" s="16">
        <v>2020.0</v>
      </c>
      <c r="F3890" s="16">
        <v>48.4278</v>
      </c>
      <c r="G3890" s="16">
        <v>12.8448</v>
      </c>
      <c r="H3890" s="15"/>
      <c r="I3890" s="15"/>
    </row>
    <row r="3891">
      <c r="A3891" s="18">
        <v>45665.0</v>
      </c>
      <c r="B3891" s="16" t="s">
        <v>4725</v>
      </c>
      <c r="C3891" s="16" t="s">
        <v>1085</v>
      </c>
      <c r="D3891" s="16" t="s">
        <v>707</v>
      </c>
      <c r="E3891" s="16">
        <v>2020.0</v>
      </c>
      <c r="F3891" s="16">
        <v>49.6993</v>
      </c>
      <c r="G3891" s="16">
        <v>10.2139</v>
      </c>
      <c r="H3891" s="15"/>
      <c r="I3891" s="15"/>
    </row>
    <row r="3892">
      <c r="A3892" s="18">
        <v>45665.0</v>
      </c>
      <c r="B3892" s="16" t="s">
        <v>4726</v>
      </c>
      <c r="C3892" s="16" t="s">
        <v>3817</v>
      </c>
      <c r="D3892" s="16" t="s">
        <v>707</v>
      </c>
      <c r="E3892" s="16">
        <v>2020.0</v>
      </c>
      <c r="F3892" s="16">
        <v>53.5261</v>
      </c>
      <c r="G3892" s="16">
        <v>11.3791</v>
      </c>
      <c r="H3892" s="15"/>
      <c r="I3892" s="15"/>
    </row>
    <row r="3893">
      <c r="A3893" s="18">
        <v>45665.0</v>
      </c>
      <c r="B3893" s="16" t="s">
        <v>4727</v>
      </c>
      <c r="C3893" s="16" t="s">
        <v>2392</v>
      </c>
      <c r="D3893" s="16" t="s">
        <v>707</v>
      </c>
      <c r="E3893" s="16">
        <v>2020.0</v>
      </c>
      <c r="F3893" s="16">
        <v>49.6417</v>
      </c>
      <c r="G3893" s="16">
        <v>12.3266</v>
      </c>
      <c r="H3893" s="15"/>
      <c r="I3893" s="15"/>
    </row>
    <row r="3894">
      <c r="A3894" s="18">
        <v>45665.0</v>
      </c>
      <c r="B3894" s="16" t="s">
        <v>4728</v>
      </c>
      <c r="C3894" s="16" t="s">
        <v>1007</v>
      </c>
      <c r="D3894" s="16" t="s">
        <v>707</v>
      </c>
      <c r="E3894" s="16">
        <v>2020.0</v>
      </c>
      <c r="F3894" s="16">
        <v>49.8792</v>
      </c>
      <c r="G3894" s="16">
        <v>7.9541</v>
      </c>
      <c r="H3894" s="15"/>
      <c r="I3894" s="15"/>
    </row>
    <row r="3895">
      <c r="A3895" s="18">
        <v>45665.0</v>
      </c>
      <c r="B3895" s="16" t="s">
        <v>4729</v>
      </c>
      <c r="C3895" s="16" t="s">
        <v>1059</v>
      </c>
      <c r="D3895" s="16" t="s">
        <v>707</v>
      </c>
      <c r="E3895" s="16">
        <v>2020.0</v>
      </c>
      <c r="F3895" s="16">
        <v>49.0451</v>
      </c>
      <c r="G3895" s="16">
        <v>10.6083</v>
      </c>
      <c r="H3895" s="15"/>
      <c r="I3895" s="15"/>
    </row>
    <row r="3896">
      <c r="A3896" s="18">
        <v>45665.0</v>
      </c>
      <c r="B3896" s="16" t="s">
        <v>4730</v>
      </c>
      <c r="C3896" s="16" t="s">
        <v>1055</v>
      </c>
      <c r="D3896" s="16" t="s">
        <v>707</v>
      </c>
      <c r="E3896" s="16">
        <v>2020.0</v>
      </c>
      <c r="F3896" s="16">
        <v>51.1847</v>
      </c>
      <c r="G3896" s="16">
        <v>10.6222</v>
      </c>
      <c r="H3896" s="15"/>
      <c r="I3896" s="15"/>
    </row>
    <row r="3897">
      <c r="A3897" s="18">
        <v>45665.0</v>
      </c>
      <c r="B3897" s="16" t="s">
        <v>4731</v>
      </c>
      <c r="C3897" s="16" t="s">
        <v>971</v>
      </c>
      <c r="D3897" s="16" t="s">
        <v>707</v>
      </c>
      <c r="E3897" s="16">
        <v>2020.0</v>
      </c>
      <c r="F3897" s="16">
        <v>53.3686</v>
      </c>
      <c r="G3897" s="16">
        <v>11.5786</v>
      </c>
      <c r="H3897" s="15"/>
      <c r="I3897" s="15"/>
    </row>
    <row r="3898">
      <c r="A3898" s="18">
        <v>45665.0</v>
      </c>
      <c r="B3898" s="16" t="s">
        <v>4732</v>
      </c>
      <c r="C3898" s="16" t="s">
        <v>1039</v>
      </c>
      <c r="D3898" s="16" t="s">
        <v>707</v>
      </c>
      <c r="E3898" s="16">
        <v>2020.0</v>
      </c>
      <c r="F3898" s="16">
        <v>50.8414</v>
      </c>
      <c r="G3898" s="16">
        <v>12.891</v>
      </c>
      <c r="H3898" s="15"/>
      <c r="I3898" s="15"/>
    </row>
    <row r="3899">
      <c r="A3899" s="18">
        <v>45665.0</v>
      </c>
      <c r="B3899" s="16" t="s">
        <v>4733</v>
      </c>
      <c r="C3899" s="16" t="s">
        <v>978</v>
      </c>
      <c r="D3899" s="16" t="s">
        <v>707</v>
      </c>
      <c r="E3899" s="16">
        <v>2020.0</v>
      </c>
      <c r="F3899" s="16">
        <v>51.1065</v>
      </c>
      <c r="G3899" s="16">
        <v>10.664</v>
      </c>
      <c r="H3899" s="15"/>
      <c r="I3899" s="15"/>
    </row>
    <row r="3900">
      <c r="A3900" s="18">
        <v>45665.0</v>
      </c>
      <c r="B3900" s="16" t="s">
        <v>4734</v>
      </c>
      <c r="C3900" s="16" t="s">
        <v>978</v>
      </c>
      <c r="D3900" s="16" t="s">
        <v>707</v>
      </c>
      <c r="E3900" s="16">
        <v>2020.0</v>
      </c>
      <c r="F3900" s="16">
        <v>53.1263</v>
      </c>
      <c r="G3900" s="16">
        <v>12.5397</v>
      </c>
      <c r="H3900" s="15"/>
      <c r="I3900" s="15"/>
    </row>
    <row r="3901">
      <c r="A3901" s="18">
        <v>45665.0</v>
      </c>
      <c r="B3901" s="16" t="s">
        <v>4735</v>
      </c>
      <c r="C3901" s="16" t="s">
        <v>1771</v>
      </c>
      <c r="D3901" s="16" t="s">
        <v>707</v>
      </c>
      <c r="E3901" s="16">
        <v>2020.0</v>
      </c>
      <c r="F3901" s="16">
        <v>51.7943</v>
      </c>
      <c r="G3901" s="16">
        <v>12.0627</v>
      </c>
      <c r="H3901" s="15"/>
      <c r="I3901" s="15"/>
    </row>
    <row r="3902">
      <c r="A3902" s="18">
        <v>45665.0</v>
      </c>
      <c r="B3902" s="16" t="s">
        <v>4736</v>
      </c>
      <c r="C3902" s="16">
        <v>2.0</v>
      </c>
      <c r="D3902" s="16" t="s">
        <v>707</v>
      </c>
      <c r="E3902" s="16">
        <v>2020.0</v>
      </c>
      <c r="F3902" s="16">
        <v>52.16</v>
      </c>
      <c r="G3902" s="16">
        <v>9.8754</v>
      </c>
      <c r="H3902" s="15"/>
      <c r="I3902" s="15"/>
    </row>
    <row r="3903">
      <c r="A3903" s="18">
        <v>45665.0</v>
      </c>
      <c r="B3903" s="16" t="s">
        <v>4737</v>
      </c>
      <c r="C3903" s="16" t="s">
        <v>1393</v>
      </c>
      <c r="D3903" s="16" t="s">
        <v>707</v>
      </c>
      <c r="E3903" s="16">
        <v>2020.0</v>
      </c>
      <c r="F3903" s="16">
        <v>53.2658</v>
      </c>
      <c r="G3903" s="16">
        <v>13.9959</v>
      </c>
      <c r="H3903" s="15"/>
      <c r="I3903" s="15"/>
    </row>
    <row r="3904">
      <c r="A3904" s="18">
        <v>45665.0</v>
      </c>
      <c r="B3904" s="16" t="s">
        <v>4738</v>
      </c>
      <c r="C3904" s="16" t="s">
        <v>1167</v>
      </c>
      <c r="D3904" s="16" t="s">
        <v>707</v>
      </c>
      <c r="E3904" s="16">
        <v>2020.0</v>
      </c>
      <c r="F3904" s="16">
        <v>51.916</v>
      </c>
      <c r="G3904" s="16">
        <v>10.9637</v>
      </c>
      <c r="H3904" s="15"/>
      <c r="I3904" s="15"/>
    </row>
    <row r="3905">
      <c r="A3905" s="18">
        <v>45665.0</v>
      </c>
      <c r="B3905" s="16" t="s">
        <v>4739</v>
      </c>
      <c r="C3905" s="16" t="s">
        <v>1080</v>
      </c>
      <c r="D3905" s="16" t="s">
        <v>707</v>
      </c>
      <c r="E3905" s="16">
        <v>2020.0</v>
      </c>
      <c r="F3905" s="16">
        <v>49.5315</v>
      </c>
      <c r="G3905" s="16">
        <v>9.4946</v>
      </c>
      <c r="H3905" s="15"/>
      <c r="I3905" s="15"/>
    </row>
    <row r="3906">
      <c r="A3906" s="18">
        <v>45665.0</v>
      </c>
      <c r="B3906" s="16" t="s">
        <v>4740</v>
      </c>
      <c r="C3906" s="16">
        <v>1.0</v>
      </c>
      <c r="D3906" s="16" t="s">
        <v>707</v>
      </c>
      <c r="E3906" s="16">
        <v>2020.0</v>
      </c>
      <c r="F3906" s="16">
        <v>49.5308</v>
      </c>
      <c r="G3906" s="16">
        <v>9.4946</v>
      </c>
      <c r="H3906" s="15"/>
      <c r="I3906" s="15"/>
    </row>
    <row r="3907">
      <c r="A3907" s="18">
        <v>45665.0</v>
      </c>
      <c r="B3907" s="16" t="s">
        <v>4741</v>
      </c>
      <c r="C3907" s="16" t="s">
        <v>1393</v>
      </c>
      <c r="D3907" s="16" t="s">
        <v>707</v>
      </c>
      <c r="E3907" s="16">
        <v>2020.0</v>
      </c>
      <c r="F3907" s="16">
        <v>49.0834</v>
      </c>
      <c r="G3907" s="16">
        <v>10.994</v>
      </c>
      <c r="H3907" s="15"/>
      <c r="I3907" s="15"/>
    </row>
    <row r="3908">
      <c r="A3908" s="18">
        <v>45665.0</v>
      </c>
      <c r="B3908" s="16" t="s">
        <v>4742</v>
      </c>
      <c r="C3908" s="16" t="s">
        <v>1181</v>
      </c>
      <c r="D3908" s="16" t="s">
        <v>707</v>
      </c>
      <c r="E3908" s="16">
        <v>2020.0</v>
      </c>
      <c r="F3908" s="16">
        <v>53.1533</v>
      </c>
      <c r="G3908" s="16">
        <v>11.7385</v>
      </c>
      <c r="H3908" s="15"/>
      <c r="I3908" s="15"/>
    </row>
    <row r="3909">
      <c r="A3909" s="18">
        <v>45665.0</v>
      </c>
      <c r="B3909" s="16" t="s">
        <v>4743</v>
      </c>
      <c r="C3909" s="16" t="s">
        <v>1055</v>
      </c>
      <c r="D3909" s="16" t="s">
        <v>707</v>
      </c>
      <c r="E3909" s="16">
        <v>2020.0</v>
      </c>
      <c r="F3909" s="16">
        <v>54.0037</v>
      </c>
      <c r="G3909" s="16">
        <v>12.2007</v>
      </c>
      <c r="H3909" s="15"/>
      <c r="I3909" s="15"/>
    </row>
    <row r="3910">
      <c r="A3910" s="18">
        <v>45665.0</v>
      </c>
      <c r="B3910" s="16" t="s">
        <v>4744</v>
      </c>
      <c r="C3910" s="16" t="s">
        <v>2392</v>
      </c>
      <c r="D3910" s="16" t="s">
        <v>707</v>
      </c>
      <c r="E3910" s="16">
        <v>2020.0</v>
      </c>
      <c r="F3910" s="16">
        <v>53.747</v>
      </c>
      <c r="G3910" s="16">
        <v>12.9511</v>
      </c>
      <c r="H3910" s="15"/>
      <c r="I3910" s="15"/>
    </row>
    <row r="3911">
      <c r="A3911" s="18">
        <v>45665.0</v>
      </c>
      <c r="B3911" s="16" t="s">
        <v>4745</v>
      </c>
      <c r="C3911" s="16" t="s">
        <v>1203</v>
      </c>
      <c r="D3911" s="16" t="s">
        <v>707</v>
      </c>
      <c r="E3911" s="16">
        <v>2020.0</v>
      </c>
      <c r="F3911" s="16">
        <v>52.6401</v>
      </c>
      <c r="G3911" s="16">
        <v>12.512</v>
      </c>
      <c r="H3911" s="15"/>
      <c r="I3911" s="15"/>
    </row>
    <row r="3912">
      <c r="A3912" s="18">
        <v>45665.0</v>
      </c>
      <c r="B3912" s="16" t="s">
        <v>4746</v>
      </c>
      <c r="C3912" s="16" t="s">
        <v>951</v>
      </c>
      <c r="D3912" s="16" t="s">
        <v>707</v>
      </c>
      <c r="E3912" s="16">
        <v>2020.0</v>
      </c>
      <c r="F3912" s="16">
        <v>51.0931</v>
      </c>
      <c r="G3912" s="16">
        <v>12.0823</v>
      </c>
      <c r="H3912" s="15"/>
      <c r="I3912" s="15"/>
    </row>
    <row r="3913">
      <c r="A3913" s="18">
        <v>45665.0</v>
      </c>
      <c r="B3913" s="16" t="s">
        <v>4747</v>
      </c>
      <c r="C3913" s="16" t="s">
        <v>1609</v>
      </c>
      <c r="D3913" s="16" t="s">
        <v>707</v>
      </c>
      <c r="E3913" s="16">
        <v>2020.0</v>
      </c>
      <c r="F3913" s="16">
        <v>53.4623</v>
      </c>
      <c r="G3913" s="16">
        <v>12.0074</v>
      </c>
      <c r="H3913" s="15"/>
      <c r="I3913" s="15"/>
    </row>
    <row r="3914">
      <c r="A3914" s="18">
        <v>45665.0</v>
      </c>
      <c r="B3914" s="16" t="s">
        <v>4748</v>
      </c>
      <c r="C3914" s="16" t="s">
        <v>948</v>
      </c>
      <c r="D3914" s="16" t="s">
        <v>707</v>
      </c>
      <c r="E3914" s="16">
        <v>2020.0</v>
      </c>
      <c r="F3914" s="16">
        <v>53.2097</v>
      </c>
      <c r="G3914" s="16">
        <v>11.3141</v>
      </c>
      <c r="H3914" s="15"/>
      <c r="I3914" s="15"/>
    </row>
    <row r="3915">
      <c r="A3915" s="18">
        <v>45665.0</v>
      </c>
      <c r="B3915" s="16" t="s">
        <v>4749</v>
      </c>
      <c r="C3915" s="16" t="s">
        <v>1609</v>
      </c>
      <c r="D3915" s="16" t="s">
        <v>707</v>
      </c>
      <c r="E3915" s="16">
        <v>2020.0</v>
      </c>
      <c r="F3915" s="16">
        <v>51.3222</v>
      </c>
      <c r="G3915" s="16">
        <v>10.5767</v>
      </c>
      <c r="H3915" s="15"/>
      <c r="I3915" s="15"/>
    </row>
    <row r="3916">
      <c r="A3916" s="18">
        <v>45665.0</v>
      </c>
      <c r="B3916" s="16" t="s">
        <v>4750</v>
      </c>
      <c r="C3916" s="16">
        <v>5.0</v>
      </c>
      <c r="D3916" s="16" t="s">
        <v>707</v>
      </c>
      <c r="E3916" s="16">
        <v>2020.0</v>
      </c>
      <c r="F3916" s="16">
        <v>51.8014</v>
      </c>
      <c r="G3916" s="16">
        <v>12.097</v>
      </c>
      <c r="H3916" s="15"/>
      <c r="I3916" s="15"/>
    </row>
    <row r="3917">
      <c r="A3917" s="18">
        <v>45665.0</v>
      </c>
      <c r="B3917" s="16" t="s">
        <v>4751</v>
      </c>
      <c r="C3917" s="16">
        <v>5.0</v>
      </c>
      <c r="D3917" s="16" t="s">
        <v>707</v>
      </c>
      <c r="E3917" s="16">
        <v>2020.0</v>
      </c>
      <c r="F3917" s="16">
        <v>51.8045</v>
      </c>
      <c r="G3917" s="16">
        <v>12.1148</v>
      </c>
      <c r="H3917" s="15"/>
      <c r="I3917" s="15"/>
    </row>
    <row r="3918">
      <c r="A3918" s="18">
        <v>45665.0</v>
      </c>
      <c r="B3918" s="16" t="s">
        <v>4752</v>
      </c>
      <c r="C3918" s="16" t="s">
        <v>3817</v>
      </c>
      <c r="D3918" s="16" t="s">
        <v>707</v>
      </c>
      <c r="E3918" s="16">
        <v>2020.0</v>
      </c>
      <c r="F3918" s="16">
        <v>53.4887</v>
      </c>
      <c r="G3918" s="16">
        <v>12.0332</v>
      </c>
      <c r="H3918" s="15"/>
      <c r="I3918" s="15"/>
    </row>
    <row r="3919">
      <c r="A3919" s="18">
        <v>45665.0</v>
      </c>
      <c r="B3919" s="16" t="s">
        <v>4753</v>
      </c>
      <c r="C3919" s="16" t="s">
        <v>951</v>
      </c>
      <c r="D3919" s="16" t="s">
        <v>707</v>
      </c>
      <c r="E3919" s="16">
        <v>2020.0</v>
      </c>
      <c r="F3919" s="16">
        <v>53.4924</v>
      </c>
      <c r="G3919" s="16">
        <v>12.032</v>
      </c>
      <c r="H3919" s="15"/>
      <c r="I3919" s="15"/>
    </row>
    <row r="3920">
      <c r="A3920" s="18">
        <v>45665.0</v>
      </c>
      <c r="B3920" s="16" t="s">
        <v>4754</v>
      </c>
      <c r="C3920" s="16" t="s">
        <v>4533</v>
      </c>
      <c r="D3920" s="16" t="s">
        <v>707</v>
      </c>
      <c r="E3920" s="16">
        <v>2020.0</v>
      </c>
      <c r="F3920" s="16">
        <v>52.7966</v>
      </c>
      <c r="G3920" s="16">
        <v>9.143</v>
      </c>
      <c r="H3920" s="15"/>
      <c r="I3920" s="15"/>
    </row>
    <row r="3921">
      <c r="A3921" s="18">
        <v>45665.0</v>
      </c>
      <c r="B3921" s="16" t="s">
        <v>4755</v>
      </c>
      <c r="C3921" s="16" t="s">
        <v>1096</v>
      </c>
      <c r="D3921" s="16" t="s">
        <v>707</v>
      </c>
      <c r="E3921" s="16">
        <v>2020.0</v>
      </c>
      <c r="F3921" s="16">
        <v>52.9644</v>
      </c>
      <c r="G3921" s="16">
        <v>9.0658</v>
      </c>
      <c r="H3921" s="15"/>
      <c r="I3921" s="15"/>
    </row>
    <row r="3922">
      <c r="A3922" s="18">
        <v>45665.0</v>
      </c>
      <c r="B3922" s="16" t="s">
        <v>4756</v>
      </c>
      <c r="C3922" s="16" t="s">
        <v>1037</v>
      </c>
      <c r="D3922" s="16" t="s">
        <v>707</v>
      </c>
      <c r="E3922" s="16">
        <v>2020.0</v>
      </c>
      <c r="F3922" s="16">
        <v>52.9659</v>
      </c>
      <c r="G3922" s="16">
        <v>9.067</v>
      </c>
      <c r="H3922" s="15"/>
      <c r="I3922" s="15"/>
    </row>
    <row r="3923">
      <c r="A3923" s="18">
        <v>45665.0</v>
      </c>
      <c r="B3923" s="16" t="s">
        <v>4757</v>
      </c>
      <c r="C3923" s="16" t="s">
        <v>946</v>
      </c>
      <c r="D3923" s="16" t="s">
        <v>707</v>
      </c>
      <c r="E3923" s="16">
        <v>2020.0</v>
      </c>
      <c r="F3923" s="16">
        <v>51.3547</v>
      </c>
      <c r="G3923" s="16">
        <v>13.9898</v>
      </c>
      <c r="H3923" s="15"/>
      <c r="I3923" s="15"/>
    </row>
    <row r="3924">
      <c r="A3924" s="18">
        <v>45665.0</v>
      </c>
      <c r="B3924" s="16" t="s">
        <v>4758</v>
      </c>
      <c r="C3924" s="16" t="s">
        <v>1399</v>
      </c>
      <c r="D3924" s="16" t="s">
        <v>707</v>
      </c>
      <c r="E3924" s="16">
        <v>2020.0</v>
      </c>
      <c r="F3924" s="16">
        <v>53.4962</v>
      </c>
      <c r="G3924" s="16">
        <v>12.037</v>
      </c>
      <c r="H3924" s="15"/>
      <c r="I3924" s="15"/>
    </row>
    <row r="3925">
      <c r="A3925" s="18">
        <v>45665.0</v>
      </c>
      <c r="B3925" s="16" t="s">
        <v>4759</v>
      </c>
      <c r="C3925" s="16" t="s">
        <v>982</v>
      </c>
      <c r="D3925" s="16" t="s">
        <v>707</v>
      </c>
      <c r="E3925" s="16">
        <v>2020.0</v>
      </c>
      <c r="F3925" s="16">
        <v>51.8699</v>
      </c>
      <c r="G3925" s="16">
        <v>10.9835</v>
      </c>
      <c r="H3925" s="15"/>
      <c r="I3925" s="15"/>
    </row>
    <row r="3926">
      <c r="A3926" s="18">
        <v>45665.0</v>
      </c>
      <c r="B3926" s="16" t="s">
        <v>4760</v>
      </c>
      <c r="C3926" s="16" t="s">
        <v>1059</v>
      </c>
      <c r="D3926" s="16" t="s">
        <v>707</v>
      </c>
      <c r="E3926" s="16">
        <v>2020.0</v>
      </c>
      <c r="F3926" s="16">
        <v>50.0231</v>
      </c>
      <c r="G3926" s="16">
        <v>8.563</v>
      </c>
      <c r="H3926" s="15"/>
      <c r="I3926" s="15"/>
    </row>
    <row r="3927">
      <c r="A3927" s="18">
        <v>45665.0</v>
      </c>
      <c r="B3927" s="16" t="s">
        <v>4761</v>
      </c>
      <c r="C3927" s="16" t="s">
        <v>942</v>
      </c>
      <c r="D3927" s="16" t="s">
        <v>707</v>
      </c>
      <c r="E3927" s="16">
        <v>2020.0</v>
      </c>
      <c r="F3927" s="16">
        <v>48.4737</v>
      </c>
      <c r="G3927" s="16">
        <v>11.5861</v>
      </c>
      <c r="H3927" s="15"/>
      <c r="I3927" s="15"/>
    </row>
    <row r="3928">
      <c r="A3928" s="18">
        <v>45665.0</v>
      </c>
      <c r="B3928" s="16" t="s">
        <v>4762</v>
      </c>
      <c r="C3928" s="16" t="s">
        <v>1393</v>
      </c>
      <c r="D3928" s="16" t="s">
        <v>707</v>
      </c>
      <c r="E3928" s="16">
        <v>2020.0</v>
      </c>
      <c r="F3928" s="16">
        <v>50.9452</v>
      </c>
      <c r="G3928" s="16">
        <v>13.075</v>
      </c>
      <c r="H3928" s="15"/>
      <c r="I3928" s="15"/>
    </row>
    <row r="3929">
      <c r="A3929" s="18">
        <v>45665.0</v>
      </c>
      <c r="B3929" s="16" t="s">
        <v>4763</v>
      </c>
      <c r="C3929" s="16" t="s">
        <v>1004</v>
      </c>
      <c r="D3929" s="16" t="s">
        <v>707</v>
      </c>
      <c r="E3929" s="16">
        <v>2020.0</v>
      </c>
      <c r="F3929" s="16">
        <v>48.5421</v>
      </c>
      <c r="G3929" s="16">
        <v>9.8087</v>
      </c>
      <c r="H3929" s="15"/>
      <c r="I3929" s="15"/>
    </row>
    <row r="3930">
      <c r="A3930" s="18">
        <v>45665.0</v>
      </c>
      <c r="B3930" s="16" t="s">
        <v>4764</v>
      </c>
      <c r="C3930" s="16" t="s">
        <v>1011</v>
      </c>
      <c r="D3930" s="16" t="s">
        <v>707</v>
      </c>
      <c r="E3930" s="16">
        <v>2020.0</v>
      </c>
      <c r="F3930" s="16">
        <v>48.5421</v>
      </c>
      <c r="G3930" s="16">
        <v>9.8087</v>
      </c>
      <c r="H3930" s="15"/>
      <c r="I3930" s="15"/>
    </row>
    <row r="3931">
      <c r="A3931" s="18">
        <v>45665.0</v>
      </c>
      <c r="B3931" s="16" t="s">
        <v>4765</v>
      </c>
      <c r="C3931" s="16" t="s">
        <v>946</v>
      </c>
      <c r="D3931" s="16" t="s">
        <v>707</v>
      </c>
      <c r="E3931" s="16">
        <v>2020.0</v>
      </c>
      <c r="F3931" s="16">
        <v>48.453</v>
      </c>
      <c r="G3931" s="16">
        <v>12.3409</v>
      </c>
      <c r="H3931" s="15"/>
      <c r="I3931" s="15"/>
    </row>
    <row r="3932">
      <c r="A3932" s="18">
        <v>45665.0</v>
      </c>
      <c r="B3932" s="16" t="s">
        <v>4766</v>
      </c>
      <c r="C3932" s="16" t="s">
        <v>2392</v>
      </c>
      <c r="D3932" s="16" t="s">
        <v>707</v>
      </c>
      <c r="E3932" s="16">
        <v>2020.0</v>
      </c>
      <c r="F3932" s="16">
        <v>49.2044</v>
      </c>
      <c r="G3932" s="16">
        <v>11.7447</v>
      </c>
      <c r="H3932" s="15"/>
      <c r="I3932" s="15"/>
    </row>
    <row r="3933">
      <c r="A3933" s="18">
        <v>45665.0</v>
      </c>
      <c r="B3933" s="16" t="s">
        <v>4767</v>
      </c>
      <c r="C3933" s="16" t="s">
        <v>1771</v>
      </c>
      <c r="D3933" s="16" t="s">
        <v>707</v>
      </c>
      <c r="E3933" s="16">
        <v>2020.0</v>
      </c>
      <c r="F3933" s="16">
        <v>49.2061</v>
      </c>
      <c r="G3933" s="16">
        <v>11.746</v>
      </c>
      <c r="H3933" s="15"/>
      <c r="I3933" s="15"/>
    </row>
    <row r="3934">
      <c r="A3934" s="18">
        <v>45665.0</v>
      </c>
      <c r="B3934" s="16" t="s">
        <v>4768</v>
      </c>
      <c r="C3934" s="16" t="s">
        <v>1167</v>
      </c>
      <c r="D3934" s="16" t="s">
        <v>707</v>
      </c>
      <c r="E3934" s="16">
        <v>2020.0</v>
      </c>
      <c r="F3934" s="16">
        <v>49.2055</v>
      </c>
      <c r="G3934" s="16">
        <v>11.7803</v>
      </c>
      <c r="H3934" s="15"/>
      <c r="I3934" s="15"/>
    </row>
    <row r="3935">
      <c r="A3935" s="18">
        <v>45665.0</v>
      </c>
      <c r="B3935" s="16" t="s">
        <v>4769</v>
      </c>
      <c r="C3935" s="16" t="s">
        <v>1007</v>
      </c>
      <c r="D3935" s="16" t="s">
        <v>707</v>
      </c>
      <c r="E3935" s="16">
        <v>2020.0</v>
      </c>
      <c r="F3935" s="16">
        <v>48.9326</v>
      </c>
      <c r="G3935" s="16">
        <v>12.0917</v>
      </c>
      <c r="H3935" s="15"/>
      <c r="I3935" s="15"/>
    </row>
    <row r="3936">
      <c r="A3936" s="18">
        <v>45665.0</v>
      </c>
      <c r="B3936" s="16" t="s">
        <v>4770</v>
      </c>
      <c r="C3936" s="16" t="s">
        <v>1096</v>
      </c>
      <c r="D3936" s="16" t="s">
        <v>707</v>
      </c>
      <c r="E3936" s="16">
        <v>2020.0</v>
      </c>
      <c r="F3936" s="16">
        <v>51.5329</v>
      </c>
      <c r="G3936" s="16">
        <v>11.9546</v>
      </c>
      <c r="H3936" s="15"/>
      <c r="I3936" s="15"/>
    </row>
    <row r="3937">
      <c r="A3937" s="18">
        <v>45665.0</v>
      </c>
      <c r="B3937" s="16" t="s">
        <v>4771</v>
      </c>
      <c r="C3937" s="16">
        <v>1.0</v>
      </c>
      <c r="D3937" s="16" t="s">
        <v>707</v>
      </c>
      <c r="E3937" s="16">
        <v>2020.0</v>
      </c>
      <c r="F3937" s="16">
        <v>49.1102</v>
      </c>
      <c r="G3937" s="16">
        <v>10.9339</v>
      </c>
      <c r="H3937" s="15"/>
      <c r="I3937" s="15"/>
    </row>
    <row r="3938">
      <c r="A3938" s="18">
        <v>45665.0</v>
      </c>
      <c r="B3938" s="16" t="s">
        <v>4772</v>
      </c>
      <c r="C3938" s="16" t="s">
        <v>971</v>
      </c>
      <c r="D3938" s="16" t="s">
        <v>707</v>
      </c>
      <c r="E3938" s="16">
        <v>2020.0</v>
      </c>
      <c r="F3938" s="16">
        <v>50.032</v>
      </c>
      <c r="G3938" s="16">
        <v>10.2123</v>
      </c>
      <c r="H3938" s="15"/>
      <c r="I3938" s="15"/>
    </row>
    <row r="3939">
      <c r="A3939" s="18">
        <v>45665.0</v>
      </c>
      <c r="B3939" s="16" t="s">
        <v>4773</v>
      </c>
      <c r="C3939" s="16" t="s">
        <v>969</v>
      </c>
      <c r="D3939" s="16" t="s">
        <v>707</v>
      </c>
      <c r="E3939" s="16">
        <v>2020.0</v>
      </c>
      <c r="F3939" s="16">
        <v>51.0169</v>
      </c>
      <c r="G3939" s="16">
        <v>10.4981</v>
      </c>
      <c r="H3939" s="15"/>
      <c r="I3939" s="15"/>
    </row>
    <row r="3940">
      <c r="A3940" s="18">
        <v>45665.0</v>
      </c>
      <c r="B3940" s="16" t="s">
        <v>4774</v>
      </c>
      <c r="C3940" s="16" t="s">
        <v>1059</v>
      </c>
      <c r="D3940" s="16" t="s">
        <v>707</v>
      </c>
      <c r="E3940" s="16">
        <v>2020.0</v>
      </c>
      <c r="F3940" s="16">
        <v>49.8975</v>
      </c>
      <c r="G3940" s="16">
        <v>6.861</v>
      </c>
      <c r="H3940" s="15"/>
      <c r="I3940" s="15"/>
    </row>
    <row r="3941">
      <c r="A3941" s="18">
        <v>45665.0</v>
      </c>
      <c r="B3941" s="16" t="s">
        <v>4775</v>
      </c>
      <c r="C3941" s="16">
        <v>2.0</v>
      </c>
      <c r="D3941" s="16" t="s">
        <v>707</v>
      </c>
      <c r="E3941" s="16">
        <v>2020.0</v>
      </c>
      <c r="F3941" s="16">
        <v>49.8089</v>
      </c>
      <c r="G3941" s="16">
        <v>6.8336</v>
      </c>
      <c r="H3941" s="15"/>
      <c r="I3941" s="15"/>
    </row>
    <row r="3942">
      <c r="A3942" s="18">
        <v>45665.0</v>
      </c>
      <c r="B3942" s="16" t="s">
        <v>4776</v>
      </c>
      <c r="C3942" s="16" t="s">
        <v>1282</v>
      </c>
      <c r="D3942" s="16" t="s">
        <v>707</v>
      </c>
      <c r="E3942" s="16">
        <v>2020.0</v>
      </c>
      <c r="F3942" s="16">
        <v>50.1111</v>
      </c>
      <c r="G3942" s="16">
        <v>11.7609</v>
      </c>
      <c r="H3942" s="15"/>
      <c r="I3942" s="15"/>
    </row>
    <row r="3943">
      <c r="A3943" s="18">
        <v>45665.0</v>
      </c>
      <c r="B3943" s="16" t="s">
        <v>4777</v>
      </c>
      <c r="C3943" s="16" t="s">
        <v>1051</v>
      </c>
      <c r="D3943" s="16" t="s">
        <v>707</v>
      </c>
      <c r="E3943" s="16">
        <v>2020.0</v>
      </c>
      <c r="F3943" s="16">
        <v>49.8575</v>
      </c>
      <c r="G3943" s="16">
        <v>11.8075</v>
      </c>
      <c r="H3943" s="15"/>
      <c r="I3943" s="15"/>
    </row>
    <row r="3944">
      <c r="A3944" s="18">
        <v>45665.0</v>
      </c>
      <c r="B3944" s="16" t="s">
        <v>4778</v>
      </c>
      <c r="C3944" s="16" t="s">
        <v>1745</v>
      </c>
      <c r="D3944" s="16" t="s">
        <v>707</v>
      </c>
      <c r="E3944" s="16">
        <v>2020.0</v>
      </c>
      <c r="F3944" s="16">
        <v>49.8563</v>
      </c>
      <c r="G3944" s="16">
        <v>11.8079</v>
      </c>
      <c r="H3944" s="15"/>
      <c r="I3944" s="15"/>
    </row>
    <row r="3945">
      <c r="A3945" s="18">
        <v>45665.0</v>
      </c>
      <c r="B3945" s="16" t="s">
        <v>4779</v>
      </c>
      <c r="C3945" s="16" t="s">
        <v>2331</v>
      </c>
      <c r="D3945" s="16" t="s">
        <v>707</v>
      </c>
      <c r="E3945" s="16">
        <v>2020.0</v>
      </c>
      <c r="F3945" s="16">
        <v>53.3916</v>
      </c>
      <c r="G3945" s="16">
        <v>13.0203</v>
      </c>
      <c r="H3945" s="15"/>
      <c r="I3945" s="15"/>
    </row>
    <row r="3946">
      <c r="A3946" s="18">
        <v>45665.0</v>
      </c>
      <c r="B3946" s="16" t="s">
        <v>4780</v>
      </c>
      <c r="C3946" s="16" t="s">
        <v>1037</v>
      </c>
      <c r="D3946" s="16" t="s">
        <v>707</v>
      </c>
      <c r="E3946" s="16">
        <v>2020.0</v>
      </c>
      <c r="F3946" s="16">
        <v>48.7659</v>
      </c>
      <c r="G3946" s="16">
        <v>12.1957</v>
      </c>
      <c r="H3946" s="15"/>
      <c r="I3946" s="15"/>
    </row>
    <row r="3947">
      <c r="A3947" s="18">
        <v>45665.0</v>
      </c>
      <c r="B3947" s="16" t="s">
        <v>4781</v>
      </c>
      <c r="C3947" s="16">
        <v>6.0</v>
      </c>
      <c r="D3947" s="16" t="s">
        <v>707</v>
      </c>
      <c r="E3947" s="16">
        <v>2020.0</v>
      </c>
      <c r="F3947" s="16">
        <v>53.5213</v>
      </c>
      <c r="G3947" s="16">
        <v>13.5608</v>
      </c>
      <c r="H3947" s="15"/>
      <c r="I3947" s="15"/>
    </row>
    <row r="3948">
      <c r="A3948" s="18">
        <v>45665.0</v>
      </c>
      <c r="B3948" s="16" t="s">
        <v>4782</v>
      </c>
      <c r="C3948" s="16" t="s">
        <v>948</v>
      </c>
      <c r="D3948" s="16" t="s">
        <v>707</v>
      </c>
      <c r="E3948" s="16">
        <v>2020.0</v>
      </c>
      <c r="F3948" s="16">
        <v>48.4862</v>
      </c>
      <c r="G3948" s="16">
        <v>12.0831</v>
      </c>
      <c r="H3948" s="15"/>
      <c r="I3948" s="15"/>
    </row>
    <row r="3949">
      <c r="A3949" s="18">
        <v>45665.0</v>
      </c>
      <c r="B3949" s="16" t="s">
        <v>4783</v>
      </c>
      <c r="C3949" s="16" t="s">
        <v>959</v>
      </c>
      <c r="D3949" s="16" t="s">
        <v>707</v>
      </c>
      <c r="E3949" s="16">
        <v>2020.0</v>
      </c>
      <c r="F3949" s="16">
        <v>49.1324</v>
      </c>
      <c r="G3949" s="16">
        <v>10.0195</v>
      </c>
      <c r="H3949" s="15"/>
      <c r="I3949" s="15"/>
    </row>
    <row r="3950">
      <c r="A3950" s="18">
        <v>45665.0</v>
      </c>
      <c r="B3950" s="16" t="s">
        <v>4784</v>
      </c>
      <c r="C3950" s="16" t="s">
        <v>4785</v>
      </c>
      <c r="D3950" s="16" t="s">
        <v>707</v>
      </c>
      <c r="E3950" s="16">
        <v>2020.0</v>
      </c>
      <c r="F3950" s="16">
        <v>52.2506</v>
      </c>
      <c r="G3950" s="16">
        <v>13.5347</v>
      </c>
      <c r="H3950" s="15"/>
      <c r="I3950" s="15"/>
    </row>
    <row r="3951">
      <c r="A3951" s="18">
        <v>45665.0</v>
      </c>
      <c r="B3951" s="16" t="s">
        <v>4786</v>
      </c>
      <c r="C3951" s="16">
        <v>10.0</v>
      </c>
      <c r="D3951" s="16" t="s">
        <v>707</v>
      </c>
      <c r="E3951" s="16">
        <v>2020.0</v>
      </c>
      <c r="F3951" s="16">
        <v>50.2342</v>
      </c>
      <c r="G3951" s="16">
        <v>10.8515</v>
      </c>
      <c r="H3951" s="15"/>
      <c r="I3951" s="15"/>
    </row>
    <row r="3952">
      <c r="A3952" s="18">
        <v>45665.0</v>
      </c>
      <c r="B3952" s="16" t="s">
        <v>4787</v>
      </c>
      <c r="C3952" s="16">
        <v>10.0</v>
      </c>
      <c r="D3952" s="16" t="s">
        <v>707</v>
      </c>
      <c r="E3952" s="16">
        <v>2020.0</v>
      </c>
      <c r="F3952" s="16">
        <v>50.2343</v>
      </c>
      <c r="G3952" s="16">
        <v>10.8471</v>
      </c>
      <c r="H3952" s="15"/>
      <c r="I3952" s="15"/>
    </row>
    <row r="3953">
      <c r="A3953" s="18">
        <v>45665.0</v>
      </c>
      <c r="B3953" s="16" t="s">
        <v>4788</v>
      </c>
      <c r="C3953" s="16" t="s">
        <v>4789</v>
      </c>
      <c r="D3953" s="16" t="s">
        <v>707</v>
      </c>
      <c r="E3953" s="16">
        <v>2020.0</v>
      </c>
      <c r="F3953" s="16">
        <v>52.2447</v>
      </c>
      <c r="G3953" s="16">
        <v>13.5146</v>
      </c>
      <c r="H3953" s="15"/>
      <c r="I3953" s="15"/>
    </row>
    <row r="3954">
      <c r="A3954" s="18">
        <v>45665.0</v>
      </c>
      <c r="B3954" s="16" t="s">
        <v>4790</v>
      </c>
      <c r="C3954" s="16" t="s">
        <v>1055</v>
      </c>
      <c r="D3954" s="16" t="s">
        <v>707</v>
      </c>
      <c r="E3954" s="16">
        <v>2020.0</v>
      </c>
      <c r="F3954" s="16">
        <v>49.5381</v>
      </c>
      <c r="G3954" s="16">
        <v>10.6483</v>
      </c>
      <c r="H3954" s="15"/>
      <c r="I3954" s="15"/>
    </row>
    <row r="3955">
      <c r="A3955" s="18">
        <v>45665.0</v>
      </c>
      <c r="B3955" s="16" t="s">
        <v>4791</v>
      </c>
      <c r="C3955" s="16">
        <v>1.0</v>
      </c>
      <c r="D3955" s="16" t="s">
        <v>707</v>
      </c>
      <c r="E3955" s="16">
        <v>2020.0</v>
      </c>
      <c r="F3955" s="16">
        <v>52.6983</v>
      </c>
      <c r="G3955" s="16">
        <v>11.0911</v>
      </c>
      <c r="H3955" s="15"/>
      <c r="I3955" s="15"/>
    </row>
    <row r="3956">
      <c r="A3956" s="18">
        <v>45665.0</v>
      </c>
      <c r="B3956" s="16" t="s">
        <v>4792</v>
      </c>
      <c r="C3956" s="16" t="s">
        <v>942</v>
      </c>
      <c r="D3956" s="16" t="s">
        <v>707</v>
      </c>
      <c r="E3956" s="16">
        <v>2020.0</v>
      </c>
      <c r="F3956" s="16">
        <v>52.6986</v>
      </c>
      <c r="G3956" s="16">
        <v>11.091</v>
      </c>
      <c r="H3956" s="15"/>
      <c r="I3956" s="15"/>
    </row>
    <row r="3957">
      <c r="A3957" s="18">
        <v>45665.0</v>
      </c>
      <c r="B3957" s="16" t="s">
        <v>4793</v>
      </c>
      <c r="C3957" s="16">
        <v>2.0</v>
      </c>
      <c r="D3957" s="16" t="s">
        <v>707</v>
      </c>
      <c r="E3957" s="16">
        <v>2020.0</v>
      </c>
      <c r="F3957" s="16">
        <v>52.698</v>
      </c>
      <c r="G3957" s="16">
        <v>11.0908</v>
      </c>
      <c r="H3957" s="15"/>
      <c r="I3957" s="15"/>
    </row>
    <row r="3958">
      <c r="A3958" s="18">
        <v>45665.0</v>
      </c>
      <c r="B3958" s="16" t="s">
        <v>4794</v>
      </c>
      <c r="C3958" s="16">
        <v>10.0</v>
      </c>
      <c r="D3958" s="16" t="s">
        <v>707</v>
      </c>
      <c r="E3958" s="16">
        <v>2020.0</v>
      </c>
      <c r="F3958" s="16">
        <v>49.0659</v>
      </c>
      <c r="G3958" s="16">
        <v>11.4869</v>
      </c>
      <c r="H3958" s="15"/>
      <c r="I3958" s="15"/>
    </row>
    <row r="3959">
      <c r="A3959" s="18">
        <v>45665.0</v>
      </c>
      <c r="B3959" s="16" t="s">
        <v>4795</v>
      </c>
      <c r="C3959" s="16" t="s">
        <v>971</v>
      </c>
      <c r="D3959" s="16" t="s">
        <v>707</v>
      </c>
      <c r="E3959" s="16">
        <v>2020.0</v>
      </c>
      <c r="F3959" s="16">
        <v>48.9365</v>
      </c>
      <c r="G3959" s="16">
        <v>12.6731</v>
      </c>
      <c r="H3959" s="15"/>
      <c r="I3959" s="15"/>
    </row>
    <row r="3960">
      <c r="A3960" s="18">
        <v>45665.0</v>
      </c>
      <c r="B3960" s="16" t="s">
        <v>4796</v>
      </c>
      <c r="C3960" s="16" t="s">
        <v>1147</v>
      </c>
      <c r="D3960" s="16" t="s">
        <v>707</v>
      </c>
      <c r="E3960" s="16">
        <v>2020.0</v>
      </c>
      <c r="F3960" s="16">
        <v>49.355</v>
      </c>
      <c r="G3960" s="16">
        <v>10.786</v>
      </c>
      <c r="H3960" s="15"/>
      <c r="I3960" s="15"/>
    </row>
    <row r="3961">
      <c r="A3961" s="18">
        <v>45665.0</v>
      </c>
      <c r="B3961" s="16" t="s">
        <v>4797</v>
      </c>
      <c r="C3961" s="16" t="s">
        <v>1011</v>
      </c>
      <c r="D3961" s="16" t="s">
        <v>707</v>
      </c>
      <c r="E3961" s="16">
        <v>2020.0</v>
      </c>
      <c r="F3961" s="16">
        <v>51.3015</v>
      </c>
      <c r="G3961" s="16">
        <v>13.1737</v>
      </c>
      <c r="H3961" s="15"/>
      <c r="I3961" s="15"/>
    </row>
    <row r="3962">
      <c r="A3962" s="18">
        <v>45665.0</v>
      </c>
      <c r="B3962" s="16" t="s">
        <v>4798</v>
      </c>
      <c r="C3962" s="16" t="s">
        <v>1039</v>
      </c>
      <c r="D3962" s="16" t="s">
        <v>707</v>
      </c>
      <c r="E3962" s="16">
        <v>2020.0</v>
      </c>
      <c r="F3962" s="16">
        <v>48.5407</v>
      </c>
      <c r="G3962" s="16">
        <v>12.0855</v>
      </c>
      <c r="H3962" s="15"/>
      <c r="I3962" s="15"/>
    </row>
    <row r="3963">
      <c r="A3963" s="18">
        <v>45665.0</v>
      </c>
      <c r="B3963" s="16" t="s">
        <v>4799</v>
      </c>
      <c r="C3963" s="16">
        <v>10.0</v>
      </c>
      <c r="D3963" s="16" t="s">
        <v>707</v>
      </c>
      <c r="E3963" s="16">
        <v>2020.0</v>
      </c>
      <c r="F3963" s="16">
        <v>48.6272</v>
      </c>
      <c r="G3963" s="16">
        <v>11.2876</v>
      </c>
      <c r="H3963" s="15"/>
      <c r="I3963" s="15"/>
    </row>
    <row r="3964">
      <c r="A3964" s="18">
        <v>45665.0</v>
      </c>
      <c r="B3964" s="16" t="s">
        <v>4800</v>
      </c>
      <c r="C3964" s="16">
        <v>6.0</v>
      </c>
      <c r="D3964" s="16" t="s">
        <v>707</v>
      </c>
      <c r="E3964" s="16">
        <v>2020.0</v>
      </c>
      <c r="F3964" s="16">
        <v>49.854</v>
      </c>
      <c r="G3964" s="16">
        <v>10.5954</v>
      </c>
      <c r="H3964" s="15"/>
      <c r="I3964" s="15"/>
    </row>
    <row r="3965">
      <c r="A3965" s="18">
        <v>45665.0</v>
      </c>
      <c r="B3965" s="16" t="s">
        <v>4801</v>
      </c>
      <c r="C3965" s="16" t="s">
        <v>1745</v>
      </c>
      <c r="D3965" s="16" t="s">
        <v>707</v>
      </c>
      <c r="E3965" s="16">
        <v>2020.0</v>
      </c>
      <c r="F3965" s="16">
        <v>49.2884</v>
      </c>
      <c r="G3965" s="16">
        <v>10.7155</v>
      </c>
      <c r="H3965" s="15"/>
      <c r="I3965" s="15"/>
    </row>
    <row r="3966">
      <c r="A3966" s="18">
        <v>45665.0</v>
      </c>
      <c r="B3966" s="16" t="s">
        <v>4802</v>
      </c>
      <c r="C3966" s="16" t="s">
        <v>1004</v>
      </c>
      <c r="D3966" s="16" t="s">
        <v>707</v>
      </c>
      <c r="E3966" s="16">
        <v>2020.0</v>
      </c>
      <c r="F3966" s="16">
        <v>50.2283</v>
      </c>
      <c r="G3966" s="16">
        <v>10.8288</v>
      </c>
      <c r="H3966" s="15"/>
      <c r="I3966" s="15"/>
    </row>
    <row r="3967">
      <c r="A3967" s="18">
        <v>45665.0</v>
      </c>
      <c r="B3967" s="16" t="s">
        <v>4803</v>
      </c>
      <c r="C3967" s="16" t="s">
        <v>1167</v>
      </c>
      <c r="D3967" s="16" t="s">
        <v>707</v>
      </c>
      <c r="E3967" s="16">
        <v>2020.0</v>
      </c>
      <c r="F3967" s="16">
        <v>47.9958</v>
      </c>
      <c r="G3967" s="16">
        <v>8.5318</v>
      </c>
      <c r="H3967" s="15"/>
      <c r="I3967" s="15"/>
    </row>
    <row r="3968">
      <c r="A3968" s="18">
        <v>45665.0</v>
      </c>
      <c r="B3968" s="16" t="s">
        <v>4804</v>
      </c>
      <c r="C3968" s="16">
        <v>8.0</v>
      </c>
      <c r="D3968" s="16" t="s">
        <v>707</v>
      </c>
      <c r="E3968" s="16">
        <v>2020.0</v>
      </c>
      <c r="F3968" s="16">
        <v>48.8081</v>
      </c>
      <c r="G3968" s="16">
        <v>10.2422</v>
      </c>
      <c r="H3968" s="15"/>
      <c r="I3968" s="15"/>
    </row>
    <row r="3969">
      <c r="A3969" s="18">
        <v>45665.0</v>
      </c>
      <c r="B3969" s="16" t="s">
        <v>4805</v>
      </c>
      <c r="C3969" s="16" t="s">
        <v>1771</v>
      </c>
      <c r="D3969" s="16" t="s">
        <v>707</v>
      </c>
      <c r="E3969" s="16">
        <v>2020.0</v>
      </c>
      <c r="F3969" s="16">
        <v>51.5378</v>
      </c>
      <c r="G3969" s="16">
        <v>13.7164</v>
      </c>
      <c r="H3969" s="15"/>
      <c r="I3969" s="15"/>
    </row>
    <row r="3970">
      <c r="A3970" s="18">
        <v>45665.0</v>
      </c>
      <c r="B3970" s="16" t="s">
        <v>4806</v>
      </c>
      <c r="C3970" s="16" t="s">
        <v>1282</v>
      </c>
      <c r="D3970" s="16" t="s">
        <v>707</v>
      </c>
      <c r="E3970" s="16">
        <v>2020.0</v>
      </c>
      <c r="F3970" s="16">
        <v>51.5378</v>
      </c>
      <c r="G3970" s="16">
        <v>13.719</v>
      </c>
      <c r="H3970" s="15"/>
      <c r="I3970" s="15"/>
    </row>
    <row r="3971">
      <c r="A3971" s="18">
        <v>45665.0</v>
      </c>
      <c r="B3971" s="16" t="s">
        <v>4807</v>
      </c>
      <c r="C3971" s="16" t="s">
        <v>948</v>
      </c>
      <c r="D3971" s="16" t="s">
        <v>707</v>
      </c>
      <c r="E3971" s="16">
        <v>2020.0</v>
      </c>
      <c r="F3971" s="16">
        <v>50.5817</v>
      </c>
      <c r="G3971" s="16">
        <v>7.7256</v>
      </c>
      <c r="H3971" s="15"/>
      <c r="I3971" s="15"/>
    </row>
    <row r="3972">
      <c r="A3972" s="18">
        <v>45665.0</v>
      </c>
      <c r="B3972" s="16" t="s">
        <v>4808</v>
      </c>
      <c r="C3972" s="16" t="s">
        <v>1007</v>
      </c>
      <c r="D3972" s="16" t="s">
        <v>707</v>
      </c>
      <c r="E3972" s="16">
        <v>2020.0</v>
      </c>
      <c r="F3972" s="16">
        <v>50.7374</v>
      </c>
      <c r="G3972" s="16">
        <v>9.8525</v>
      </c>
      <c r="H3972" s="15"/>
      <c r="I3972" s="15"/>
    </row>
    <row r="3973">
      <c r="A3973" s="18">
        <v>45665.0</v>
      </c>
      <c r="B3973" s="16" t="s">
        <v>4809</v>
      </c>
      <c r="C3973" s="16">
        <v>10.0</v>
      </c>
      <c r="D3973" s="16" t="s">
        <v>707</v>
      </c>
      <c r="E3973" s="16">
        <v>2020.0</v>
      </c>
      <c r="F3973" s="16">
        <v>49.3862</v>
      </c>
      <c r="G3973" s="16">
        <v>10.8082</v>
      </c>
      <c r="H3973" s="15"/>
      <c r="I3973" s="15"/>
    </row>
    <row r="3974">
      <c r="A3974" s="18">
        <v>45665.0</v>
      </c>
      <c r="B3974" s="16" t="s">
        <v>4810</v>
      </c>
      <c r="C3974" s="16" t="s">
        <v>1341</v>
      </c>
      <c r="D3974" s="16" t="s">
        <v>707</v>
      </c>
      <c r="E3974" s="16">
        <v>2020.0</v>
      </c>
      <c r="F3974" s="16">
        <v>49.1149</v>
      </c>
      <c r="G3974" s="16">
        <v>10.8111</v>
      </c>
      <c r="H3974" s="15"/>
      <c r="I3974" s="15"/>
    </row>
    <row r="3975">
      <c r="A3975" s="18">
        <v>45665.0</v>
      </c>
      <c r="B3975" s="16" t="s">
        <v>4811</v>
      </c>
      <c r="C3975" s="16" t="s">
        <v>1310</v>
      </c>
      <c r="D3975" s="16" t="s">
        <v>707</v>
      </c>
      <c r="E3975" s="16">
        <v>2020.0</v>
      </c>
      <c r="F3975" s="16">
        <v>49.7941</v>
      </c>
      <c r="G3975" s="16">
        <v>9.4702</v>
      </c>
      <c r="H3975" s="15"/>
      <c r="I3975" s="15"/>
    </row>
    <row r="3976">
      <c r="A3976" s="18">
        <v>45665.0</v>
      </c>
      <c r="B3976" s="16" t="s">
        <v>4812</v>
      </c>
      <c r="C3976" s="16" t="s">
        <v>1215</v>
      </c>
      <c r="D3976" s="16" t="s">
        <v>707</v>
      </c>
      <c r="E3976" s="16">
        <v>2020.0</v>
      </c>
      <c r="F3976" s="16">
        <v>49.3201</v>
      </c>
      <c r="G3976" s="16">
        <v>10.8414</v>
      </c>
      <c r="H3976" s="15"/>
      <c r="I3976" s="15"/>
    </row>
    <row r="3977">
      <c r="A3977" s="18">
        <v>45665.0</v>
      </c>
      <c r="B3977" s="16" t="s">
        <v>4813</v>
      </c>
      <c r="C3977" s="16" t="s">
        <v>1341</v>
      </c>
      <c r="D3977" s="16" t="s">
        <v>707</v>
      </c>
      <c r="E3977" s="16">
        <v>2020.0</v>
      </c>
      <c r="F3977" s="16">
        <v>49.3171</v>
      </c>
      <c r="G3977" s="16">
        <v>10.8427</v>
      </c>
      <c r="H3977" s="15"/>
      <c r="I3977" s="15"/>
    </row>
    <row r="3978">
      <c r="A3978" s="18">
        <v>45665.0</v>
      </c>
      <c r="B3978" s="16" t="s">
        <v>4814</v>
      </c>
      <c r="C3978" s="16" t="s">
        <v>3086</v>
      </c>
      <c r="D3978" s="16" t="s">
        <v>707</v>
      </c>
      <c r="E3978" s="16">
        <v>2020.0</v>
      </c>
      <c r="F3978" s="16">
        <v>53.3475</v>
      </c>
      <c r="G3978" s="16">
        <v>11.809</v>
      </c>
      <c r="H3978" s="15"/>
      <c r="I3978" s="15"/>
    </row>
    <row r="3979">
      <c r="A3979" s="18">
        <v>45665.0</v>
      </c>
      <c r="B3979" s="16" t="s">
        <v>4815</v>
      </c>
      <c r="C3979" s="16">
        <v>3.0</v>
      </c>
      <c r="D3979" s="16" t="s">
        <v>707</v>
      </c>
      <c r="E3979" s="16">
        <v>2020.0</v>
      </c>
      <c r="F3979" s="16">
        <v>53.201</v>
      </c>
      <c r="G3979" s="16">
        <v>11.6632</v>
      </c>
      <c r="H3979" s="15"/>
      <c r="I3979" s="15"/>
    </row>
    <row r="3980">
      <c r="A3980" s="18">
        <v>45665.0</v>
      </c>
      <c r="B3980" s="16" t="s">
        <v>4816</v>
      </c>
      <c r="C3980" s="16" t="s">
        <v>3817</v>
      </c>
      <c r="D3980" s="16" t="s">
        <v>707</v>
      </c>
      <c r="E3980" s="16">
        <v>2020.0</v>
      </c>
      <c r="F3980" s="16">
        <v>48.8662</v>
      </c>
      <c r="G3980" s="16">
        <v>11.4189</v>
      </c>
      <c r="H3980" s="15"/>
      <c r="I3980" s="15"/>
    </row>
    <row r="3981">
      <c r="A3981" s="18">
        <v>45665.0</v>
      </c>
      <c r="B3981" s="16" t="s">
        <v>4817</v>
      </c>
      <c r="C3981" s="16" t="s">
        <v>1609</v>
      </c>
      <c r="D3981" s="16" t="s">
        <v>707</v>
      </c>
      <c r="E3981" s="16">
        <v>2020.0</v>
      </c>
      <c r="F3981" s="16">
        <v>54.4355</v>
      </c>
      <c r="G3981" s="16">
        <v>9.481</v>
      </c>
      <c r="H3981" s="15"/>
      <c r="I3981" s="15"/>
    </row>
    <row r="3982">
      <c r="A3982" s="18">
        <v>45665.0</v>
      </c>
      <c r="B3982" s="16" t="s">
        <v>4818</v>
      </c>
      <c r="C3982" s="16" t="s">
        <v>3086</v>
      </c>
      <c r="D3982" s="16" t="s">
        <v>707</v>
      </c>
      <c r="E3982" s="16">
        <v>2020.0</v>
      </c>
      <c r="F3982" s="16">
        <v>51.2569</v>
      </c>
      <c r="G3982" s="16">
        <v>13.1556</v>
      </c>
      <c r="H3982" s="15"/>
      <c r="I3982" s="15"/>
    </row>
    <row r="3983">
      <c r="A3983" s="18">
        <v>45665.0</v>
      </c>
      <c r="B3983" s="16" t="s">
        <v>4819</v>
      </c>
      <c r="C3983" s="16">
        <v>7.0</v>
      </c>
      <c r="D3983" s="16" t="s">
        <v>707</v>
      </c>
      <c r="E3983" s="16">
        <v>2020.0</v>
      </c>
      <c r="F3983" s="16">
        <v>52.7836</v>
      </c>
      <c r="G3983" s="16">
        <v>11.4674</v>
      </c>
      <c r="H3983" s="15"/>
      <c r="I3983" s="15"/>
    </row>
    <row r="3984">
      <c r="A3984" s="18">
        <v>45665.0</v>
      </c>
      <c r="B3984" s="16" t="s">
        <v>4820</v>
      </c>
      <c r="C3984" s="16" t="s">
        <v>1745</v>
      </c>
      <c r="D3984" s="16" t="s">
        <v>707</v>
      </c>
      <c r="E3984" s="16">
        <v>2020.0</v>
      </c>
      <c r="F3984" s="16">
        <v>50.1827</v>
      </c>
      <c r="G3984" s="16">
        <v>11.8152</v>
      </c>
      <c r="H3984" s="15"/>
      <c r="I3984" s="15"/>
    </row>
    <row r="3985">
      <c r="A3985" s="18">
        <v>45665.0</v>
      </c>
      <c r="B3985" s="16" t="s">
        <v>4821</v>
      </c>
      <c r="C3985" s="16" t="s">
        <v>961</v>
      </c>
      <c r="D3985" s="16" t="s">
        <v>707</v>
      </c>
      <c r="E3985" s="16">
        <v>2020.0</v>
      </c>
      <c r="F3985" s="16">
        <v>49.4605</v>
      </c>
      <c r="G3985" s="16">
        <v>12.3132</v>
      </c>
      <c r="H3985" s="15"/>
      <c r="I3985" s="15"/>
    </row>
    <row r="3986">
      <c r="A3986" s="18">
        <v>45665.0</v>
      </c>
      <c r="B3986" s="16" t="s">
        <v>4822</v>
      </c>
      <c r="C3986" s="16" t="s">
        <v>2668</v>
      </c>
      <c r="D3986" s="16" t="s">
        <v>707</v>
      </c>
      <c r="E3986" s="16">
        <v>2020.0</v>
      </c>
      <c r="F3986" s="16">
        <v>54.2231</v>
      </c>
      <c r="G3986" s="16">
        <v>9.0381</v>
      </c>
      <c r="H3986" s="15"/>
      <c r="I3986" s="15"/>
    </row>
    <row r="3987">
      <c r="A3987" s="18">
        <v>45665.0</v>
      </c>
      <c r="B3987" s="16" t="s">
        <v>4823</v>
      </c>
      <c r="C3987" s="16">
        <v>10.0</v>
      </c>
      <c r="D3987" s="16" t="s">
        <v>707</v>
      </c>
      <c r="E3987" s="16">
        <v>2020.0</v>
      </c>
      <c r="F3987" s="16">
        <v>49.3412</v>
      </c>
      <c r="G3987" s="16">
        <v>12.4097</v>
      </c>
      <c r="H3987" s="15"/>
      <c r="I3987" s="15"/>
    </row>
    <row r="3988">
      <c r="A3988" s="18">
        <v>45665.0</v>
      </c>
      <c r="B3988" s="16" t="s">
        <v>4824</v>
      </c>
      <c r="C3988" s="16">
        <v>10.0</v>
      </c>
      <c r="D3988" s="16" t="s">
        <v>707</v>
      </c>
      <c r="E3988" s="16">
        <v>2020.0</v>
      </c>
      <c r="F3988" s="16">
        <v>53.475</v>
      </c>
      <c r="G3988" s="16">
        <v>14.161</v>
      </c>
      <c r="H3988" s="15"/>
      <c r="I3988" s="15"/>
    </row>
    <row r="3989">
      <c r="A3989" s="18">
        <v>45665.0</v>
      </c>
      <c r="B3989" s="16" t="s">
        <v>4641</v>
      </c>
      <c r="C3989" s="16" t="s">
        <v>1101</v>
      </c>
      <c r="D3989" s="16" t="s">
        <v>707</v>
      </c>
      <c r="E3989" s="16">
        <v>2020.0</v>
      </c>
      <c r="F3989" s="16">
        <v>50.3738</v>
      </c>
      <c r="G3989" s="16">
        <v>10.9185</v>
      </c>
      <c r="H3989" s="15"/>
      <c r="I3989" s="15"/>
    </row>
    <row r="3990">
      <c r="A3990" s="18">
        <v>45665.0</v>
      </c>
      <c r="B3990" s="16" t="s">
        <v>4641</v>
      </c>
      <c r="C3990" s="16" t="s">
        <v>1037</v>
      </c>
      <c r="D3990" s="16" t="s">
        <v>707</v>
      </c>
      <c r="E3990" s="16">
        <v>2020.0</v>
      </c>
      <c r="F3990" s="16">
        <v>50.3707</v>
      </c>
      <c r="G3990" s="16">
        <v>10.9221</v>
      </c>
      <c r="H3990" s="15"/>
      <c r="I3990" s="15"/>
    </row>
    <row r="3991">
      <c r="A3991" s="18">
        <v>45665.0</v>
      </c>
      <c r="B3991" s="16" t="s">
        <v>4825</v>
      </c>
      <c r="C3991" s="16" t="s">
        <v>1454</v>
      </c>
      <c r="D3991" s="16" t="s">
        <v>707</v>
      </c>
      <c r="E3991" s="16">
        <v>2020.0</v>
      </c>
      <c r="F3991" s="16">
        <v>49.9876</v>
      </c>
      <c r="G3991" s="16">
        <v>11.109</v>
      </c>
      <c r="H3991" s="15"/>
      <c r="I3991" s="15"/>
    </row>
    <row r="3992">
      <c r="A3992" s="18">
        <v>45665.0</v>
      </c>
      <c r="B3992" s="16" t="s">
        <v>4826</v>
      </c>
      <c r="C3992" s="16" t="s">
        <v>959</v>
      </c>
      <c r="D3992" s="16" t="s">
        <v>707</v>
      </c>
      <c r="E3992" s="16">
        <v>2020.0</v>
      </c>
      <c r="F3992" s="16">
        <v>48.8104</v>
      </c>
      <c r="G3992" s="16">
        <v>12.1688</v>
      </c>
      <c r="H3992" s="15"/>
      <c r="I3992" s="15"/>
    </row>
    <row r="3993">
      <c r="A3993" s="18">
        <v>45665.0</v>
      </c>
      <c r="B3993" s="16" t="s">
        <v>4827</v>
      </c>
      <c r="C3993" s="16" t="s">
        <v>1055</v>
      </c>
      <c r="D3993" s="16" t="s">
        <v>707</v>
      </c>
      <c r="E3993" s="16">
        <v>2020.0</v>
      </c>
      <c r="F3993" s="16">
        <v>49.5731</v>
      </c>
      <c r="G3993" s="16">
        <v>11.3338</v>
      </c>
      <c r="H3993" s="15"/>
      <c r="I3993" s="15"/>
    </row>
    <row r="3994">
      <c r="A3994" s="18">
        <v>45665.0</v>
      </c>
      <c r="B3994" s="16" t="s">
        <v>4828</v>
      </c>
      <c r="C3994" s="16" t="s">
        <v>951</v>
      </c>
      <c r="D3994" s="16" t="s">
        <v>707</v>
      </c>
      <c r="E3994" s="16">
        <v>2020.0</v>
      </c>
      <c r="F3994" s="16">
        <v>49.4461</v>
      </c>
      <c r="G3994" s="16">
        <v>9.322</v>
      </c>
      <c r="H3994" s="15"/>
      <c r="I3994" s="15"/>
    </row>
    <row r="3995">
      <c r="A3995" s="18">
        <v>45665.0</v>
      </c>
      <c r="B3995" s="16" t="s">
        <v>4829</v>
      </c>
      <c r="C3995" s="16" t="s">
        <v>1085</v>
      </c>
      <c r="D3995" s="16" t="s">
        <v>707</v>
      </c>
      <c r="E3995" s="16">
        <v>2020.0</v>
      </c>
      <c r="F3995" s="16">
        <v>49.6413</v>
      </c>
      <c r="G3995" s="16">
        <v>10.1845</v>
      </c>
      <c r="H3995" s="15"/>
      <c r="I3995" s="15"/>
    </row>
    <row r="3996">
      <c r="A3996" s="18">
        <v>45665.0</v>
      </c>
      <c r="B3996" s="16" t="s">
        <v>4830</v>
      </c>
      <c r="C3996" s="16" t="s">
        <v>1386</v>
      </c>
      <c r="D3996" s="16" t="s">
        <v>707</v>
      </c>
      <c r="E3996" s="16">
        <v>2020.0</v>
      </c>
      <c r="F3996" s="16">
        <v>49.9916</v>
      </c>
      <c r="G3996" s="16">
        <v>11.1594</v>
      </c>
      <c r="H3996" s="15"/>
      <c r="I3996" s="15"/>
    </row>
    <row r="3997">
      <c r="A3997" s="18">
        <v>45665.0</v>
      </c>
      <c r="B3997" s="16" t="s">
        <v>4831</v>
      </c>
      <c r="C3997" s="16" t="s">
        <v>3505</v>
      </c>
      <c r="D3997" s="16" t="s">
        <v>707</v>
      </c>
      <c r="E3997" s="16">
        <v>2020.0</v>
      </c>
      <c r="F3997" s="16">
        <v>54.325</v>
      </c>
      <c r="G3997" s="16">
        <v>8.739</v>
      </c>
      <c r="H3997" s="15"/>
      <c r="I3997" s="15"/>
    </row>
    <row r="3998">
      <c r="A3998" s="18">
        <v>45665.0</v>
      </c>
      <c r="B3998" s="16" t="s">
        <v>4832</v>
      </c>
      <c r="C3998" s="16" t="s">
        <v>1011</v>
      </c>
      <c r="D3998" s="16" t="s">
        <v>707</v>
      </c>
      <c r="E3998" s="16">
        <v>2020.0</v>
      </c>
      <c r="F3998" s="16">
        <v>50.2217</v>
      </c>
      <c r="G3998" s="16">
        <v>11.5759</v>
      </c>
      <c r="H3998" s="15"/>
      <c r="I3998" s="15"/>
    </row>
    <row r="3999">
      <c r="A3999" s="18">
        <v>45665.0</v>
      </c>
      <c r="B3999" s="16" t="s">
        <v>4833</v>
      </c>
      <c r="C3999" s="16">
        <v>10.0</v>
      </c>
      <c r="D3999" s="16" t="s">
        <v>707</v>
      </c>
      <c r="E3999" s="16">
        <v>2020.0</v>
      </c>
      <c r="F3999" s="16">
        <v>49.491</v>
      </c>
      <c r="G3999" s="16">
        <v>10.692</v>
      </c>
      <c r="H3999" s="15"/>
      <c r="I3999" s="15"/>
    </row>
    <row r="4000">
      <c r="A4000" s="18">
        <v>45665.0</v>
      </c>
      <c r="B4000" s="16" t="s">
        <v>4834</v>
      </c>
      <c r="C4000" s="16" t="s">
        <v>946</v>
      </c>
      <c r="D4000" s="16" t="s">
        <v>707</v>
      </c>
      <c r="E4000" s="16">
        <v>2020.0</v>
      </c>
      <c r="F4000" s="16">
        <v>49.5015</v>
      </c>
      <c r="G4000" s="16">
        <v>10.9001</v>
      </c>
      <c r="H4000" s="15"/>
      <c r="I4000" s="15"/>
    </row>
    <row r="4001">
      <c r="A4001" s="18">
        <v>45665.0</v>
      </c>
      <c r="B4001" s="16" t="s">
        <v>4835</v>
      </c>
      <c r="C4001" s="16">
        <v>10.0</v>
      </c>
      <c r="D4001" s="16" t="s">
        <v>707</v>
      </c>
      <c r="E4001" s="16">
        <v>2020.0</v>
      </c>
      <c r="F4001" s="16">
        <v>49.5248</v>
      </c>
      <c r="G4001" s="16">
        <v>6.8035</v>
      </c>
      <c r="H4001" s="15"/>
      <c r="I4001" s="15"/>
    </row>
    <row r="4002">
      <c r="A4002" s="18">
        <v>45665.0</v>
      </c>
      <c r="B4002" s="16" t="s">
        <v>4836</v>
      </c>
      <c r="C4002" s="16">
        <v>3.0</v>
      </c>
      <c r="D4002" s="16" t="s">
        <v>707</v>
      </c>
      <c r="E4002" s="16">
        <v>2020.0</v>
      </c>
      <c r="F4002" s="16">
        <v>50.0122</v>
      </c>
      <c r="G4002" s="16">
        <v>9.2777</v>
      </c>
      <c r="H4002" s="15"/>
      <c r="I4002" s="15"/>
    </row>
    <row r="4003">
      <c r="A4003" s="18">
        <v>45665.0</v>
      </c>
      <c r="B4003" s="16" t="s">
        <v>4837</v>
      </c>
      <c r="C4003" s="16">
        <v>10.0</v>
      </c>
      <c r="D4003" s="16" t="s">
        <v>707</v>
      </c>
      <c r="E4003" s="16">
        <v>2020.0</v>
      </c>
      <c r="F4003" s="16">
        <v>48.909</v>
      </c>
      <c r="G4003" s="16">
        <v>10.9569</v>
      </c>
      <c r="H4003" s="15"/>
      <c r="I4003" s="15"/>
    </row>
    <row r="4004">
      <c r="A4004" s="18">
        <v>45665.0</v>
      </c>
      <c r="B4004" s="16" t="s">
        <v>4838</v>
      </c>
      <c r="C4004" s="16" t="s">
        <v>951</v>
      </c>
      <c r="D4004" s="16" t="s">
        <v>707</v>
      </c>
      <c r="E4004" s="16">
        <v>2020.0</v>
      </c>
      <c r="F4004" s="16">
        <v>51.7168</v>
      </c>
      <c r="G4004" s="16">
        <v>14.4856</v>
      </c>
      <c r="H4004" s="15"/>
      <c r="I4004" s="15"/>
    </row>
    <row r="4005">
      <c r="A4005" s="18">
        <v>45665.0</v>
      </c>
      <c r="B4005" s="16" t="s">
        <v>4839</v>
      </c>
      <c r="C4005" s="16" t="s">
        <v>990</v>
      </c>
      <c r="D4005" s="16" t="s">
        <v>707</v>
      </c>
      <c r="E4005" s="16">
        <v>2020.0</v>
      </c>
      <c r="F4005" s="16">
        <v>52.8874</v>
      </c>
      <c r="G4005" s="16">
        <v>9.2207</v>
      </c>
      <c r="H4005" s="15"/>
      <c r="I4005" s="15"/>
    </row>
    <row r="4006">
      <c r="A4006" s="18">
        <v>45665.0</v>
      </c>
      <c r="B4006" s="16" t="s">
        <v>4840</v>
      </c>
      <c r="C4006" s="16" t="s">
        <v>1720</v>
      </c>
      <c r="D4006" s="16" t="s">
        <v>707</v>
      </c>
      <c r="E4006" s="16">
        <v>2020.0</v>
      </c>
      <c r="F4006" s="16">
        <v>47.7745</v>
      </c>
      <c r="G4006" s="16">
        <v>8.9328</v>
      </c>
      <c r="H4006" s="15"/>
      <c r="I4006" s="15"/>
    </row>
    <row r="4007">
      <c r="A4007" s="18">
        <v>45665.0</v>
      </c>
      <c r="B4007" s="16" t="s">
        <v>4841</v>
      </c>
      <c r="C4007" s="16" t="s">
        <v>1771</v>
      </c>
      <c r="D4007" s="16" t="s">
        <v>707</v>
      </c>
      <c r="E4007" s="16">
        <v>2020.0</v>
      </c>
      <c r="F4007" s="16">
        <v>51.0416</v>
      </c>
      <c r="G4007" s="16">
        <v>12.4128</v>
      </c>
      <c r="H4007" s="15"/>
      <c r="I4007" s="15"/>
    </row>
    <row r="4008">
      <c r="A4008" s="18">
        <v>45665.0</v>
      </c>
      <c r="B4008" s="16" t="s">
        <v>4842</v>
      </c>
      <c r="C4008" s="16" t="s">
        <v>1386</v>
      </c>
      <c r="D4008" s="16" t="s">
        <v>707</v>
      </c>
      <c r="E4008" s="16">
        <v>2020.0</v>
      </c>
      <c r="F4008" s="16">
        <v>49.2133</v>
      </c>
      <c r="G4008" s="16">
        <v>11.6196</v>
      </c>
      <c r="H4008" s="15"/>
      <c r="I4008" s="15"/>
    </row>
    <row r="4009">
      <c r="A4009" s="18">
        <v>45665.0</v>
      </c>
      <c r="B4009" s="16" t="s">
        <v>4843</v>
      </c>
      <c r="C4009" s="16" t="s">
        <v>3817</v>
      </c>
      <c r="D4009" s="16" t="s">
        <v>707</v>
      </c>
      <c r="E4009" s="16">
        <v>2020.0</v>
      </c>
      <c r="F4009" s="16">
        <v>52.6326</v>
      </c>
      <c r="G4009" s="16">
        <v>13.7724</v>
      </c>
      <c r="H4009" s="15"/>
      <c r="I4009" s="15"/>
    </row>
    <row r="4010">
      <c r="A4010" s="18">
        <v>45665.0</v>
      </c>
      <c r="B4010" s="16" t="s">
        <v>4844</v>
      </c>
      <c r="C4010" s="16" t="s">
        <v>1454</v>
      </c>
      <c r="D4010" s="16" t="s">
        <v>707</v>
      </c>
      <c r="E4010" s="16">
        <v>2020.0</v>
      </c>
      <c r="F4010" s="16">
        <v>53.9165</v>
      </c>
      <c r="G4010" s="16">
        <v>9.3618</v>
      </c>
      <c r="H4010" s="15"/>
      <c r="I4010" s="15"/>
    </row>
    <row r="4011">
      <c r="A4011" s="18">
        <v>45665.0</v>
      </c>
      <c r="B4011" s="16" t="s">
        <v>4845</v>
      </c>
      <c r="C4011" s="16" t="s">
        <v>2668</v>
      </c>
      <c r="D4011" s="16" t="s">
        <v>707</v>
      </c>
      <c r="E4011" s="16">
        <v>2020.0</v>
      </c>
      <c r="F4011" s="16">
        <v>51.5459</v>
      </c>
      <c r="G4011" s="16">
        <v>12.4601</v>
      </c>
      <c r="H4011" s="15"/>
      <c r="I4011" s="15"/>
    </row>
    <row r="4012">
      <c r="A4012" s="18">
        <v>45665.0</v>
      </c>
      <c r="B4012" s="16" t="s">
        <v>4846</v>
      </c>
      <c r="C4012" s="16" t="s">
        <v>1374</v>
      </c>
      <c r="D4012" s="16" t="s">
        <v>707</v>
      </c>
      <c r="E4012" s="16">
        <v>2020.0</v>
      </c>
      <c r="F4012" s="16">
        <v>51.3552</v>
      </c>
      <c r="G4012" s="16">
        <v>13.3423</v>
      </c>
      <c r="H4012" s="15"/>
      <c r="I4012" s="15"/>
    </row>
    <row r="4013">
      <c r="A4013" s="18">
        <v>45001.0</v>
      </c>
      <c r="B4013" s="16" t="s">
        <v>4847</v>
      </c>
      <c r="C4013" s="16" t="s">
        <v>1007</v>
      </c>
      <c r="D4013" s="16" t="s">
        <v>707</v>
      </c>
      <c r="E4013" s="16">
        <v>2021.0</v>
      </c>
      <c r="F4013" s="16">
        <v>51.0329</v>
      </c>
      <c r="G4013" s="16">
        <v>11.5838</v>
      </c>
      <c r="H4013" s="15"/>
      <c r="I4013" s="15"/>
    </row>
    <row r="4014">
      <c r="A4014" s="17">
        <v>45636.0</v>
      </c>
      <c r="B4014" s="16" t="s">
        <v>4848</v>
      </c>
      <c r="C4014" s="16" t="s">
        <v>1101</v>
      </c>
      <c r="D4014" s="16" t="s">
        <v>707</v>
      </c>
      <c r="E4014" s="16">
        <v>2021.0</v>
      </c>
      <c r="F4014" s="16">
        <v>51.0329</v>
      </c>
      <c r="G4014" s="16">
        <v>11.5838</v>
      </c>
      <c r="H4014" s="15"/>
      <c r="I4014" s="15"/>
    </row>
    <row r="4015">
      <c r="A4015" s="18">
        <v>45665.0</v>
      </c>
      <c r="B4015" s="16" t="s">
        <v>4849</v>
      </c>
      <c r="C4015" s="16">
        <v>5.0</v>
      </c>
      <c r="D4015" s="16" t="s">
        <v>707</v>
      </c>
      <c r="E4015" s="16">
        <v>2021.0</v>
      </c>
      <c r="F4015" s="16">
        <v>51.3865</v>
      </c>
      <c r="G4015" s="16">
        <v>11.3102</v>
      </c>
      <c r="H4015" s="15"/>
      <c r="I4015" s="15"/>
    </row>
    <row r="4016">
      <c r="A4016" s="18">
        <v>45665.0</v>
      </c>
      <c r="B4016" s="16" t="s">
        <v>4850</v>
      </c>
      <c r="C4016" s="16" t="s">
        <v>1039</v>
      </c>
      <c r="D4016" s="16" t="s">
        <v>707</v>
      </c>
      <c r="E4016" s="16">
        <v>2021.0</v>
      </c>
      <c r="F4016" s="16">
        <v>52.1684</v>
      </c>
      <c r="G4016" s="16">
        <v>12.7784</v>
      </c>
      <c r="H4016" s="15"/>
      <c r="I4016" s="15"/>
    </row>
    <row r="4017">
      <c r="A4017" s="18">
        <v>45665.0</v>
      </c>
      <c r="B4017" s="16" t="s">
        <v>4851</v>
      </c>
      <c r="C4017" s="16" t="s">
        <v>948</v>
      </c>
      <c r="D4017" s="16" t="s">
        <v>707</v>
      </c>
      <c r="E4017" s="16">
        <v>2021.0</v>
      </c>
      <c r="F4017" s="16">
        <v>47.8077</v>
      </c>
      <c r="G4017" s="16">
        <v>9.1033</v>
      </c>
      <c r="H4017" s="15"/>
      <c r="I4017" s="15"/>
    </row>
    <row r="4018">
      <c r="A4018" s="18">
        <v>45665.0</v>
      </c>
      <c r="B4018" s="16" t="s">
        <v>4852</v>
      </c>
      <c r="C4018" s="16" t="s">
        <v>959</v>
      </c>
      <c r="D4018" s="16" t="s">
        <v>707</v>
      </c>
      <c r="E4018" s="16">
        <v>2021.0</v>
      </c>
      <c r="F4018" s="16">
        <v>48.927</v>
      </c>
      <c r="G4018" s="16">
        <v>12.7165</v>
      </c>
      <c r="H4018" s="15"/>
      <c r="I4018" s="15"/>
    </row>
    <row r="4019">
      <c r="A4019" s="18">
        <v>45665.0</v>
      </c>
      <c r="B4019" s="16" t="s">
        <v>4853</v>
      </c>
      <c r="C4019" s="16" t="s">
        <v>942</v>
      </c>
      <c r="D4019" s="16" t="s">
        <v>707</v>
      </c>
      <c r="E4019" s="16">
        <v>2021.0</v>
      </c>
      <c r="F4019" s="16">
        <v>52.4276</v>
      </c>
      <c r="G4019" s="16">
        <v>11.7731</v>
      </c>
      <c r="H4019" s="15"/>
      <c r="I4019" s="15"/>
    </row>
    <row r="4020">
      <c r="A4020" s="18">
        <v>45665.0</v>
      </c>
      <c r="B4020" s="16" t="s">
        <v>4854</v>
      </c>
      <c r="C4020" s="16" t="s">
        <v>969</v>
      </c>
      <c r="D4020" s="16" t="s">
        <v>707</v>
      </c>
      <c r="E4020" s="16">
        <v>2021.0</v>
      </c>
      <c r="F4020" s="16">
        <v>48.9924</v>
      </c>
      <c r="G4020" s="16">
        <v>12.2562</v>
      </c>
      <c r="H4020" s="15"/>
      <c r="I4020" s="15"/>
    </row>
    <row r="4021">
      <c r="A4021" s="18">
        <v>45665.0</v>
      </c>
      <c r="B4021" s="16" t="s">
        <v>4855</v>
      </c>
      <c r="C4021" s="16" t="s">
        <v>1149</v>
      </c>
      <c r="D4021" s="16" t="s">
        <v>707</v>
      </c>
      <c r="E4021" s="16">
        <v>2021.0</v>
      </c>
      <c r="F4021" s="16">
        <v>48.2126</v>
      </c>
      <c r="G4021" s="16">
        <v>12.7687</v>
      </c>
      <c r="H4021" s="15"/>
      <c r="I4021" s="15"/>
    </row>
    <row r="4022">
      <c r="A4022" s="18">
        <v>45665.0</v>
      </c>
      <c r="B4022" s="16" t="s">
        <v>4856</v>
      </c>
      <c r="C4022" s="16" t="s">
        <v>1099</v>
      </c>
      <c r="D4022" s="16" t="s">
        <v>707</v>
      </c>
      <c r="E4022" s="16">
        <v>2021.0</v>
      </c>
      <c r="F4022" s="16">
        <v>48.2971</v>
      </c>
      <c r="G4022" s="16">
        <v>12.6271</v>
      </c>
      <c r="H4022" s="15"/>
      <c r="I4022" s="15"/>
    </row>
    <row r="4023">
      <c r="A4023" s="18">
        <v>45665.0</v>
      </c>
      <c r="B4023" s="16" t="s">
        <v>4857</v>
      </c>
      <c r="C4023" s="16" t="s">
        <v>1059</v>
      </c>
      <c r="D4023" s="16" t="s">
        <v>707</v>
      </c>
      <c r="E4023" s="16">
        <v>2021.0</v>
      </c>
      <c r="F4023" s="16">
        <v>51.546</v>
      </c>
      <c r="G4023" s="16">
        <v>7.496</v>
      </c>
      <c r="H4023" s="15"/>
      <c r="I4023" s="15"/>
    </row>
    <row r="4024">
      <c r="A4024" s="18">
        <v>45665.0</v>
      </c>
      <c r="B4024" s="16" t="s">
        <v>4858</v>
      </c>
      <c r="C4024" s="16" t="s">
        <v>1581</v>
      </c>
      <c r="D4024" s="16" t="s">
        <v>707</v>
      </c>
      <c r="E4024" s="16">
        <v>2021.0</v>
      </c>
      <c r="F4024" s="16">
        <v>53.8831</v>
      </c>
      <c r="G4024" s="16">
        <v>12.2531</v>
      </c>
      <c r="H4024" s="15"/>
      <c r="I4024" s="15"/>
    </row>
    <row r="4025">
      <c r="A4025" s="18">
        <v>45665.0</v>
      </c>
      <c r="B4025" s="16" t="s">
        <v>4859</v>
      </c>
      <c r="C4025" s="16">
        <v>4.0</v>
      </c>
      <c r="D4025" s="16" t="s">
        <v>707</v>
      </c>
      <c r="E4025" s="16">
        <v>2021.0</v>
      </c>
      <c r="F4025" s="16">
        <v>48.8927</v>
      </c>
      <c r="G4025" s="16">
        <v>11.6492</v>
      </c>
      <c r="H4025" s="15"/>
      <c r="I4025" s="15"/>
    </row>
    <row r="4026">
      <c r="A4026" s="18">
        <v>45665.0</v>
      </c>
      <c r="B4026" s="16" t="s">
        <v>4860</v>
      </c>
      <c r="C4026" s="16">
        <v>10.0</v>
      </c>
      <c r="D4026" s="16" t="s">
        <v>707</v>
      </c>
      <c r="E4026" s="16">
        <v>2021.0</v>
      </c>
      <c r="F4026" s="16">
        <v>50.19</v>
      </c>
      <c r="G4026" s="16">
        <v>11.4357</v>
      </c>
      <c r="H4026" s="15"/>
      <c r="I4026" s="15"/>
    </row>
    <row r="4027">
      <c r="A4027" s="18">
        <v>45665.0</v>
      </c>
      <c r="B4027" s="16" t="s">
        <v>4861</v>
      </c>
      <c r="C4027" s="16">
        <v>6.0</v>
      </c>
      <c r="D4027" s="16" t="s">
        <v>707</v>
      </c>
      <c r="E4027" s="16">
        <v>2021.0</v>
      </c>
      <c r="F4027" s="16">
        <v>49.8032</v>
      </c>
      <c r="G4027" s="16">
        <v>12.4246</v>
      </c>
      <c r="H4027" s="15"/>
      <c r="I4027" s="15"/>
    </row>
    <row r="4028">
      <c r="A4028" s="18">
        <v>45665.0</v>
      </c>
      <c r="B4028" s="16" t="s">
        <v>4862</v>
      </c>
      <c r="C4028" s="16" t="s">
        <v>1432</v>
      </c>
      <c r="D4028" s="16" t="s">
        <v>707</v>
      </c>
      <c r="E4028" s="16">
        <v>2021.0</v>
      </c>
      <c r="F4028" s="16">
        <v>50.1795</v>
      </c>
      <c r="G4028" s="16">
        <v>11.4553</v>
      </c>
      <c r="H4028" s="15"/>
      <c r="I4028" s="15"/>
    </row>
    <row r="4029">
      <c r="A4029" s="18">
        <v>45665.0</v>
      </c>
      <c r="B4029" s="16" t="s">
        <v>4863</v>
      </c>
      <c r="C4029" s="16" t="s">
        <v>1055</v>
      </c>
      <c r="D4029" s="16" t="s">
        <v>707</v>
      </c>
      <c r="E4029" s="16">
        <v>2021.0</v>
      </c>
      <c r="F4029" s="16">
        <v>51.1557</v>
      </c>
      <c r="G4029" s="16">
        <v>10.9254</v>
      </c>
      <c r="H4029" s="15"/>
      <c r="I4029" s="15"/>
    </row>
    <row r="4030">
      <c r="A4030" s="18">
        <v>45665.0</v>
      </c>
      <c r="B4030" s="16" t="s">
        <v>4864</v>
      </c>
      <c r="C4030" s="16" t="s">
        <v>1181</v>
      </c>
      <c r="D4030" s="16" t="s">
        <v>707</v>
      </c>
      <c r="E4030" s="16">
        <v>2021.0</v>
      </c>
      <c r="F4030" s="16">
        <v>50.1911</v>
      </c>
      <c r="G4030" s="16">
        <v>11.4227</v>
      </c>
      <c r="H4030" s="15"/>
      <c r="I4030" s="15"/>
    </row>
    <row r="4031">
      <c r="A4031" s="18">
        <v>45665.0</v>
      </c>
      <c r="B4031" s="16" t="s">
        <v>4865</v>
      </c>
      <c r="C4031" s="16" t="s">
        <v>969</v>
      </c>
      <c r="D4031" s="16" t="s">
        <v>707</v>
      </c>
      <c r="E4031" s="16">
        <v>2021.0</v>
      </c>
      <c r="F4031" s="16">
        <v>48.8329</v>
      </c>
      <c r="G4031" s="16">
        <v>11.8746</v>
      </c>
      <c r="H4031" s="15"/>
      <c r="I4031" s="15"/>
    </row>
    <row r="4032">
      <c r="A4032" s="18">
        <v>45665.0</v>
      </c>
      <c r="B4032" s="16" t="s">
        <v>4866</v>
      </c>
      <c r="C4032" s="16" t="s">
        <v>1267</v>
      </c>
      <c r="D4032" s="16" t="s">
        <v>707</v>
      </c>
      <c r="E4032" s="16">
        <v>2021.0</v>
      </c>
      <c r="F4032" s="16">
        <v>49.3676</v>
      </c>
      <c r="G4032" s="16">
        <v>10.8548</v>
      </c>
      <c r="H4032" s="15"/>
      <c r="I4032" s="15"/>
    </row>
    <row r="4033">
      <c r="A4033" s="18">
        <v>45665.0</v>
      </c>
      <c r="B4033" s="16" t="s">
        <v>4867</v>
      </c>
      <c r="C4033" s="16" t="s">
        <v>2517</v>
      </c>
      <c r="D4033" s="16" t="s">
        <v>707</v>
      </c>
      <c r="E4033" s="16">
        <v>2021.0</v>
      </c>
      <c r="F4033" s="16">
        <v>53.2476</v>
      </c>
      <c r="G4033" s="16">
        <v>11.5395</v>
      </c>
      <c r="H4033" s="15"/>
      <c r="I4033" s="15"/>
    </row>
    <row r="4034">
      <c r="A4034" s="18">
        <v>45665.0</v>
      </c>
      <c r="B4034" s="16" t="s">
        <v>4868</v>
      </c>
      <c r="C4034" s="16" t="s">
        <v>1931</v>
      </c>
      <c r="D4034" s="16" t="s">
        <v>707</v>
      </c>
      <c r="E4034" s="16">
        <v>2021.0</v>
      </c>
      <c r="F4034" s="16">
        <v>53.2484</v>
      </c>
      <c r="G4034" s="16">
        <v>11.5366</v>
      </c>
      <c r="H4034" s="15"/>
      <c r="I4034" s="15"/>
    </row>
    <row r="4035">
      <c r="A4035" s="18">
        <v>45665.0</v>
      </c>
      <c r="B4035" s="16" t="s">
        <v>4869</v>
      </c>
      <c r="C4035" s="16" t="s">
        <v>1034</v>
      </c>
      <c r="D4035" s="16" t="s">
        <v>707</v>
      </c>
      <c r="E4035" s="16">
        <v>2021.0</v>
      </c>
      <c r="F4035" s="16">
        <v>53.5146</v>
      </c>
      <c r="G4035" s="16">
        <v>11.0496</v>
      </c>
      <c r="H4035" s="15"/>
      <c r="I4035" s="15"/>
    </row>
    <row r="4036">
      <c r="A4036" s="18">
        <v>45665.0</v>
      </c>
      <c r="B4036" s="16" t="s">
        <v>4870</v>
      </c>
      <c r="C4036" s="16" t="s">
        <v>4871</v>
      </c>
      <c r="D4036" s="16" t="s">
        <v>707</v>
      </c>
      <c r="E4036" s="16">
        <v>2021.0</v>
      </c>
      <c r="F4036" s="16">
        <v>53.6594</v>
      </c>
      <c r="G4036" s="16">
        <v>11.1474</v>
      </c>
      <c r="H4036" s="15"/>
      <c r="I4036" s="15"/>
    </row>
    <row r="4037">
      <c r="A4037" s="18">
        <v>45665.0</v>
      </c>
      <c r="B4037" s="16" t="s">
        <v>4872</v>
      </c>
      <c r="C4037" s="16" t="s">
        <v>959</v>
      </c>
      <c r="D4037" s="16" t="s">
        <v>707</v>
      </c>
      <c r="E4037" s="16">
        <v>2021.0</v>
      </c>
      <c r="F4037" s="16">
        <v>51.3619</v>
      </c>
      <c r="G4037" s="16">
        <v>14.0421</v>
      </c>
      <c r="H4037" s="15"/>
      <c r="I4037" s="15"/>
    </row>
    <row r="4038">
      <c r="A4038" s="18">
        <v>45665.0</v>
      </c>
      <c r="B4038" s="16" t="s">
        <v>4873</v>
      </c>
      <c r="C4038" s="16" t="s">
        <v>946</v>
      </c>
      <c r="D4038" s="16" t="s">
        <v>707</v>
      </c>
      <c r="E4038" s="16">
        <v>2021.0</v>
      </c>
      <c r="F4038" s="16">
        <v>52.6858</v>
      </c>
      <c r="G4038" s="16">
        <v>14.2076</v>
      </c>
      <c r="H4038" s="15"/>
      <c r="I4038" s="15"/>
    </row>
    <row r="4039">
      <c r="A4039" s="18">
        <v>45665.0</v>
      </c>
      <c r="B4039" s="16" t="s">
        <v>4874</v>
      </c>
      <c r="C4039" s="16">
        <v>10.0</v>
      </c>
      <c r="D4039" s="16" t="s">
        <v>707</v>
      </c>
      <c r="E4039" s="16">
        <v>2021.0</v>
      </c>
      <c r="F4039" s="16">
        <v>52.6863</v>
      </c>
      <c r="G4039" s="16">
        <v>14.2029</v>
      </c>
      <c r="H4039" s="15"/>
      <c r="I4039" s="15"/>
    </row>
    <row r="4040">
      <c r="A4040" s="18">
        <v>45665.0</v>
      </c>
      <c r="B4040" s="16" t="s">
        <v>4875</v>
      </c>
      <c r="C4040" s="16" t="s">
        <v>1341</v>
      </c>
      <c r="D4040" s="16" t="s">
        <v>707</v>
      </c>
      <c r="E4040" s="16">
        <v>2021.0</v>
      </c>
      <c r="F4040" s="16">
        <v>52.6878</v>
      </c>
      <c r="G4040" s="16">
        <v>14.2006</v>
      </c>
      <c r="H4040" s="15"/>
      <c r="I4040" s="15"/>
    </row>
    <row r="4041">
      <c r="A4041" s="18">
        <v>45665.0</v>
      </c>
      <c r="B4041" s="16" t="s">
        <v>4876</v>
      </c>
      <c r="C4041" s="16" t="s">
        <v>969</v>
      </c>
      <c r="D4041" s="16" t="s">
        <v>707</v>
      </c>
      <c r="E4041" s="16">
        <v>2021.0</v>
      </c>
      <c r="F4041" s="16">
        <v>53.3855</v>
      </c>
      <c r="G4041" s="16">
        <v>11.6403</v>
      </c>
      <c r="H4041" s="15"/>
      <c r="I4041" s="15"/>
    </row>
    <row r="4042">
      <c r="A4042" s="18">
        <v>45665.0</v>
      </c>
      <c r="B4042" s="16" t="s">
        <v>4877</v>
      </c>
      <c r="C4042" s="16" t="s">
        <v>3817</v>
      </c>
      <c r="D4042" s="16" t="s">
        <v>707</v>
      </c>
      <c r="E4042" s="16">
        <v>2021.0</v>
      </c>
      <c r="F4042" s="16">
        <v>54.0022</v>
      </c>
      <c r="G4042" s="16">
        <v>9.212</v>
      </c>
      <c r="H4042" s="15"/>
      <c r="I4042" s="15"/>
    </row>
    <row r="4043">
      <c r="A4043" s="18">
        <v>45665.0</v>
      </c>
      <c r="B4043" s="16" t="s">
        <v>4878</v>
      </c>
      <c r="C4043" s="16" t="s">
        <v>1085</v>
      </c>
      <c r="D4043" s="16" t="s">
        <v>707</v>
      </c>
      <c r="E4043" s="16">
        <v>2021.0</v>
      </c>
      <c r="F4043" s="16">
        <v>54.0059</v>
      </c>
      <c r="G4043" s="16">
        <v>9.2297</v>
      </c>
      <c r="H4043" s="15"/>
      <c r="I4043" s="15"/>
    </row>
    <row r="4044">
      <c r="A4044" s="18">
        <v>45665.0</v>
      </c>
      <c r="B4044" s="16" t="s">
        <v>4879</v>
      </c>
      <c r="C4044" s="16" t="s">
        <v>982</v>
      </c>
      <c r="D4044" s="16" t="s">
        <v>707</v>
      </c>
      <c r="E4044" s="16">
        <v>2021.0</v>
      </c>
      <c r="F4044" s="16">
        <v>49.5195</v>
      </c>
      <c r="G4044" s="16">
        <v>10.037</v>
      </c>
      <c r="H4044" s="15"/>
      <c r="I4044" s="15"/>
    </row>
    <row r="4045">
      <c r="A4045" s="18">
        <v>45665.0</v>
      </c>
      <c r="B4045" s="16" t="s">
        <v>4880</v>
      </c>
      <c r="C4045" s="16" t="s">
        <v>951</v>
      </c>
      <c r="D4045" s="16" t="s">
        <v>707</v>
      </c>
      <c r="E4045" s="16">
        <v>2021.0</v>
      </c>
      <c r="F4045" s="16">
        <v>50.2683</v>
      </c>
      <c r="G4045" s="16">
        <v>9.1105</v>
      </c>
      <c r="H4045" s="15"/>
      <c r="I4045" s="15"/>
    </row>
    <row r="4046">
      <c r="A4046" s="18">
        <v>45665.0</v>
      </c>
      <c r="B4046" s="16" t="s">
        <v>4881</v>
      </c>
      <c r="C4046" s="16" t="s">
        <v>948</v>
      </c>
      <c r="D4046" s="16" t="s">
        <v>707</v>
      </c>
      <c r="E4046" s="16">
        <v>2021.0</v>
      </c>
      <c r="F4046" s="16">
        <v>49.3416</v>
      </c>
      <c r="G4046" s="16">
        <v>6.7503</v>
      </c>
      <c r="H4046" s="15"/>
      <c r="I4046" s="15"/>
    </row>
    <row r="4047">
      <c r="A4047" s="18">
        <v>45665.0</v>
      </c>
      <c r="B4047" s="16" t="s">
        <v>4882</v>
      </c>
      <c r="C4047" s="16" t="s">
        <v>2392</v>
      </c>
      <c r="D4047" s="16" t="s">
        <v>707</v>
      </c>
      <c r="E4047" s="16">
        <v>2021.0</v>
      </c>
      <c r="F4047" s="16">
        <v>49.2655</v>
      </c>
      <c r="G4047" s="16">
        <v>10.5035</v>
      </c>
      <c r="H4047" s="15"/>
      <c r="I4047" s="15"/>
    </row>
    <row r="4048">
      <c r="A4048" s="18">
        <v>45665.0</v>
      </c>
      <c r="B4048" s="16" t="s">
        <v>4883</v>
      </c>
      <c r="C4048" s="16" t="s">
        <v>1149</v>
      </c>
      <c r="D4048" s="16" t="s">
        <v>707</v>
      </c>
      <c r="E4048" s="16">
        <v>2021.0</v>
      </c>
      <c r="F4048" s="16">
        <v>50.8496</v>
      </c>
      <c r="G4048" s="16">
        <v>12.9805</v>
      </c>
      <c r="H4048" s="15"/>
      <c r="I4048" s="15"/>
    </row>
    <row r="4049">
      <c r="A4049" s="18">
        <v>45665.0</v>
      </c>
      <c r="B4049" s="16" t="s">
        <v>4884</v>
      </c>
      <c r="C4049" s="16" t="s">
        <v>1002</v>
      </c>
      <c r="D4049" s="16" t="s">
        <v>707</v>
      </c>
      <c r="E4049" s="16">
        <v>2021.0</v>
      </c>
      <c r="F4049" s="16">
        <v>51.8071</v>
      </c>
      <c r="G4049" s="16">
        <v>10.3698</v>
      </c>
      <c r="H4049" s="15"/>
      <c r="I4049" s="15"/>
    </row>
    <row r="4050">
      <c r="A4050" s="18">
        <v>45665.0</v>
      </c>
      <c r="B4050" s="16" t="s">
        <v>4885</v>
      </c>
      <c r="C4050" s="16" t="s">
        <v>3505</v>
      </c>
      <c r="D4050" s="16" t="s">
        <v>707</v>
      </c>
      <c r="E4050" s="16">
        <v>2021.0</v>
      </c>
      <c r="F4050" s="16">
        <v>51.8072</v>
      </c>
      <c r="G4050" s="16">
        <v>10.3734</v>
      </c>
      <c r="H4050" s="15"/>
      <c r="I4050" s="15"/>
    </row>
    <row r="4051">
      <c r="A4051" s="18">
        <v>45665.0</v>
      </c>
      <c r="B4051" s="16" t="s">
        <v>4886</v>
      </c>
      <c r="C4051" s="16" t="s">
        <v>946</v>
      </c>
      <c r="D4051" s="16" t="s">
        <v>707</v>
      </c>
      <c r="E4051" s="16">
        <v>2021.0</v>
      </c>
      <c r="F4051" s="16">
        <v>50.9314</v>
      </c>
      <c r="G4051" s="16">
        <v>10.0306</v>
      </c>
      <c r="H4051" s="15"/>
      <c r="I4051" s="15"/>
    </row>
    <row r="4052">
      <c r="A4052" s="18">
        <v>45665.0</v>
      </c>
      <c r="B4052" s="16" t="s">
        <v>4887</v>
      </c>
      <c r="C4052" s="16" t="s">
        <v>3817</v>
      </c>
      <c r="D4052" s="16" t="s">
        <v>707</v>
      </c>
      <c r="E4052" s="16">
        <v>2021.0</v>
      </c>
      <c r="F4052" s="16">
        <v>54.1857</v>
      </c>
      <c r="G4052" s="16">
        <v>9.9363</v>
      </c>
      <c r="H4052" s="15"/>
      <c r="I4052" s="15"/>
    </row>
    <row r="4053">
      <c r="A4053" s="18">
        <v>45665.0</v>
      </c>
      <c r="B4053" s="16" t="s">
        <v>4888</v>
      </c>
      <c r="C4053" s="16" t="s">
        <v>948</v>
      </c>
      <c r="D4053" s="16" t="s">
        <v>707</v>
      </c>
      <c r="E4053" s="16">
        <v>2021.0</v>
      </c>
      <c r="F4053" s="16">
        <v>50.1422</v>
      </c>
      <c r="G4053" s="16">
        <v>8.581</v>
      </c>
      <c r="H4053" s="15"/>
      <c r="I4053" s="15"/>
    </row>
    <row r="4054">
      <c r="A4054" s="18">
        <v>45665.0</v>
      </c>
      <c r="B4054" s="16" t="s">
        <v>4889</v>
      </c>
      <c r="C4054" s="16">
        <v>10.0</v>
      </c>
      <c r="D4054" s="16" t="s">
        <v>707</v>
      </c>
      <c r="E4054" s="16">
        <v>2021.0</v>
      </c>
      <c r="F4054" s="16">
        <v>50.1249</v>
      </c>
      <c r="G4054" s="16">
        <v>10.7744</v>
      </c>
      <c r="H4054" s="15"/>
      <c r="I4054" s="15"/>
    </row>
    <row r="4055">
      <c r="A4055" s="18">
        <v>45665.0</v>
      </c>
      <c r="B4055" s="16" t="s">
        <v>4890</v>
      </c>
      <c r="C4055" s="16" t="s">
        <v>959</v>
      </c>
      <c r="D4055" s="16" t="s">
        <v>707</v>
      </c>
      <c r="E4055" s="16">
        <v>2021.0</v>
      </c>
      <c r="F4055" s="16">
        <v>48.0679</v>
      </c>
      <c r="G4055" s="16">
        <v>11.2891</v>
      </c>
      <c r="H4055" s="15"/>
      <c r="I4055" s="15"/>
    </row>
    <row r="4056">
      <c r="A4056" s="18">
        <v>45665.0</v>
      </c>
      <c r="B4056" s="16" t="s">
        <v>4891</v>
      </c>
      <c r="C4056" s="16" t="s">
        <v>946</v>
      </c>
      <c r="D4056" s="16" t="s">
        <v>707</v>
      </c>
      <c r="E4056" s="16">
        <v>2021.0</v>
      </c>
      <c r="F4056" s="16">
        <v>53.488</v>
      </c>
      <c r="G4056" s="16">
        <v>7.3029</v>
      </c>
      <c r="H4056" s="15"/>
      <c r="I4056" s="15"/>
    </row>
    <row r="4057">
      <c r="A4057" s="18">
        <v>45665.0</v>
      </c>
      <c r="B4057" s="16" t="s">
        <v>4892</v>
      </c>
      <c r="C4057" s="16" t="s">
        <v>1004</v>
      </c>
      <c r="D4057" s="16" t="s">
        <v>707</v>
      </c>
      <c r="E4057" s="16">
        <v>2021.0</v>
      </c>
      <c r="F4057" s="16">
        <v>49.4982</v>
      </c>
      <c r="G4057" s="16">
        <v>10.2689</v>
      </c>
      <c r="H4057" s="15"/>
      <c r="I4057" s="15"/>
    </row>
    <row r="4058">
      <c r="A4058" s="18">
        <v>45665.0</v>
      </c>
      <c r="B4058" s="16" t="s">
        <v>4893</v>
      </c>
      <c r="C4058" s="16" t="s">
        <v>971</v>
      </c>
      <c r="D4058" s="16" t="s">
        <v>707</v>
      </c>
      <c r="E4058" s="16">
        <v>2021.0</v>
      </c>
      <c r="F4058" s="16">
        <v>48.7424</v>
      </c>
      <c r="G4058" s="16">
        <v>12.9448</v>
      </c>
      <c r="H4058" s="15"/>
      <c r="I4058" s="15"/>
    </row>
    <row r="4059">
      <c r="A4059" s="18">
        <v>45665.0</v>
      </c>
      <c r="B4059" s="16" t="s">
        <v>4894</v>
      </c>
      <c r="C4059" s="16" t="s">
        <v>1007</v>
      </c>
      <c r="D4059" s="16" t="s">
        <v>707</v>
      </c>
      <c r="E4059" s="16">
        <v>2021.0</v>
      </c>
      <c r="F4059" s="16">
        <v>52.6098</v>
      </c>
      <c r="G4059" s="16">
        <v>13.5977</v>
      </c>
      <c r="H4059" s="15"/>
      <c r="I4059" s="15"/>
    </row>
    <row r="4060">
      <c r="A4060" s="18">
        <v>45665.0</v>
      </c>
      <c r="B4060" s="16" t="s">
        <v>4895</v>
      </c>
      <c r="C4060" s="16" t="s">
        <v>1055</v>
      </c>
      <c r="D4060" s="16" t="s">
        <v>707</v>
      </c>
      <c r="E4060" s="16">
        <v>2021.0</v>
      </c>
      <c r="F4060" s="16">
        <v>49.0736</v>
      </c>
      <c r="G4060" s="16">
        <v>9.7545</v>
      </c>
      <c r="H4060" s="15"/>
      <c r="I4060" s="15"/>
    </row>
    <row r="4061">
      <c r="A4061" s="18">
        <v>45665.0</v>
      </c>
      <c r="B4061" s="16" t="s">
        <v>4896</v>
      </c>
      <c r="C4061" s="16" t="s">
        <v>978</v>
      </c>
      <c r="D4061" s="16" t="s">
        <v>707</v>
      </c>
      <c r="E4061" s="16">
        <v>2021.0</v>
      </c>
      <c r="F4061" s="16">
        <v>52.8118</v>
      </c>
      <c r="G4061" s="16">
        <v>12.7913</v>
      </c>
      <c r="H4061" s="15"/>
      <c r="I4061" s="15"/>
    </row>
    <row r="4062">
      <c r="A4062" s="18">
        <v>45665.0</v>
      </c>
      <c r="B4062" s="16" t="s">
        <v>4897</v>
      </c>
      <c r="C4062" s="16" t="s">
        <v>1598</v>
      </c>
      <c r="D4062" s="16" t="s">
        <v>707</v>
      </c>
      <c r="E4062" s="16">
        <v>2021.0</v>
      </c>
      <c r="F4062" s="16">
        <v>52.545</v>
      </c>
      <c r="G4062" s="16">
        <v>12.0253</v>
      </c>
      <c r="H4062" s="15"/>
      <c r="I4062" s="15"/>
    </row>
    <row r="4063">
      <c r="A4063" s="18">
        <v>45665.0</v>
      </c>
      <c r="B4063" s="16" t="s">
        <v>4898</v>
      </c>
      <c r="C4063" s="16" t="s">
        <v>1873</v>
      </c>
      <c r="D4063" s="16" t="s">
        <v>707</v>
      </c>
      <c r="E4063" s="16">
        <v>2021.0</v>
      </c>
      <c r="F4063" s="16">
        <v>54.8891</v>
      </c>
      <c r="G4063" s="16">
        <v>8.8841</v>
      </c>
      <c r="H4063" s="15"/>
      <c r="I4063" s="15"/>
    </row>
    <row r="4064">
      <c r="A4064" s="18">
        <v>45665.0</v>
      </c>
      <c r="B4064" s="16" t="s">
        <v>4899</v>
      </c>
      <c r="C4064" s="16" t="s">
        <v>1341</v>
      </c>
      <c r="D4064" s="16" t="s">
        <v>707</v>
      </c>
      <c r="E4064" s="16">
        <v>2021.0</v>
      </c>
      <c r="F4064" s="16">
        <v>54.8984</v>
      </c>
      <c r="G4064" s="16">
        <v>8.8746</v>
      </c>
      <c r="H4064" s="15"/>
      <c r="I4064" s="15"/>
    </row>
    <row r="4065">
      <c r="A4065" s="18">
        <v>45665.0</v>
      </c>
      <c r="B4065" s="16" t="s">
        <v>4900</v>
      </c>
      <c r="C4065" s="16" t="s">
        <v>978</v>
      </c>
      <c r="D4065" s="16" t="s">
        <v>707</v>
      </c>
      <c r="E4065" s="16">
        <v>2021.0</v>
      </c>
      <c r="F4065" s="16">
        <v>52.3569</v>
      </c>
      <c r="G4065" s="16">
        <v>14.5116</v>
      </c>
      <c r="H4065" s="15"/>
      <c r="I4065" s="15"/>
    </row>
    <row r="4066">
      <c r="A4066" s="18">
        <v>45665.0</v>
      </c>
      <c r="B4066" s="16" t="s">
        <v>4901</v>
      </c>
      <c r="C4066" s="16" t="s">
        <v>942</v>
      </c>
      <c r="D4066" s="16" t="s">
        <v>707</v>
      </c>
      <c r="E4066" s="16">
        <v>2021.0</v>
      </c>
      <c r="F4066" s="16">
        <v>51.309</v>
      </c>
      <c r="G4066" s="16">
        <v>11.9388</v>
      </c>
      <c r="H4066" s="15"/>
      <c r="I4066" s="15"/>
    </row>
    <row r="4067">
      <c r="A4067" s="18">
        <v>45665.0</v>
      </c>
      <c r="B4067" s="16" t="s">
        <v>4902</v>
      </c>
      <c r="C4067" s="16" t="s">
        <v>959</v>
      </c>
      <c r="D4067" s="16" t="s">
        <v>707</v>
      </c>
      <c r="E4067" s="16">
        <v>2021.0</v>
      </c>
      <c r="F4067" s="16">
        <v>50.1557</v>
      </c>
      <c r="G4067" s="16">
        <v>10.4464</v>
      </c>
      <c r="H4067" s="15"/>
      <c r="I4067" s="15"/>
    </row>
    <row r="4068">
      <c r="A4068" s="18">
        <v>45665.0</v>
      </c>
      <c r="B4068" s="16" t="s">
        <v>4903</v>
      </c>
      <c r="C4068" s="16" t="s">
        <v>1167</v>
      </c>
      <c r="D4068" s="16" t="s">
        <v>707</v>
      </c>
      <c r="E4068" s="16">
        <v>2021.0</v>
      </c>
      <c r="F4068" s="16">
        <v>47.9112</v>
      </c>
      <c r="G4068" s="16">
        <v>10.8633</v>
      </c>
      <c r="H4068" s="15"/>
      <c r="I4068" s="15"/>
    </row>
    <row r="4069">
      <c r="A4069" s="18">
        <v>45665.0</v>
      </c>
      <c r="B4069" s="16" t="s">
        <v>4904</v>
      </c>
      <c r="C4069" s="16" t="s">
        <v>1037</v>
      </c>
      <c r="D4069" s="16" t="s">
        <v>707</v>
      </c>
      <c r="E4069" s="16">
        <v>2021.0</v>
      </c>
      <c r="F4069" s="16">
        <v>48.2631</v>
      </c>
      <c r="G4069" s="16">
        <v>12.5532</v>
      </c>
      <c r="H4069" s="15"/>
      <c r="I4069" s="15"/>
    </row>
    <row r="4070">
      <c r="A4070" s="18">
        <v>45665.0</v>
      </c>
      <c r="B4070" s="16" t="s">
        <v>4905</v>
      </c>
      <c r="C4070" s="16" t="s">
        <v>1059</v>
      </c>
      <c r="D4070" s="16" t="s">
        <v>707</v>
      </c>
      <c r="E4070" s="16">
        <v>2021.0</v>
      </c>
      <c r="F4070" s="16">
        <v>49.2943</v>
      </c>
      <c r="G4070" s="16">
        <v>9.5065</v>
      </c>
      <c r="H4070" s="15"/>
      <c r="I4070" s="15"/>
    </row>
    <row r="4071">
      <c r="A4071" s="18">
        <v>45665.0</v>
      </c>
      <c r="B4071" s="16" t="s">
        <v>4906</v>
      </c>
      <c r="C4071" s="16" t="s">
        <v>959</v>
      </c>
      <c r="D4071" s="16" t="s">
        <v>707</v>
      </c>
      <c r="E4071" s="16">
        <v>2021.0</v>
      </c>
      <c r="F4071" s="16">
        <v>48.0693</v>
      </c>
      <c r="G4071" s="16">
        <v>11.7409</v>
      </c>
      <c r="H4071" s="15"/>
      <c r="I4071" s="15"/>
    </row>
    <row r="4072">
      <c r="A4072" s="18">
        <v>45665.0</v>
      </c>
      <c r="B4072" s="16" t="s">
        <v>4907</v>
      </c>
      <c r="C4072" s="16" t="s">
        <v>969</v>
      </c>
      <c r="D4072" s="16" t="s">
        <v>707</v>
      </c>
      <c r="E4072" s="16">
        <v>2021.0</v>
      </c>
      <c r="F4072" s="16">
        <v>48.4818</v>
      </c>
      <c r="G4072" s="16">
        <v>12.5571</v>
      </c>
      <c r="H4072" s="15"/>
      <c r="I4072" s="15"/>
    </row>
    <row r="4073">
      <c r="A4073" s="18">
        <v>45665.0</v>
      </c>
      <c r="B4073" s="16" t="s">
        <v>4908</v>
      </c>
      <c r="C4073" s="16" t="s">
        <v>969</v>
      </c>
      <c r="D4073" s="16" t="s">
        <v>707</v>
      </c>
      <c r="E4073" s="16">
        <v>2021.0</v>
      </c>
      <c r="F4073" s="16">
        <v>48.4818</v>
      </c>
      <c r="G4073" s="16">
        <v>12.5571</v>
      </c>
      <c r="H4073" s="15"/>
      <c r="I4073" s="15"/>
    </row>
    <row r="4074">
      <c r="A4074" s="18">
        <v>45665.0</v>
      </c>
      <c r="B4074" s="16" t="s">
        <v>4909</v>
      </c>
      <c r="C4074" s="16" t="s">
        <v>990</v>
      </c>
      <c r="D4074" s="16" t="s">
        <v>707</v>
      </c>
      <c r="E4074" s="16">
        <v>2021.0</v>
      </c>
      <c r="F4074" s="16">
        <v>49.0777</v>
      </c>
      <c r="G4074" s="16">
        <v>12.643</v>
      </c>
      <c r="H4074" s="15"/>
      <c r="I4074" s="15"/>
    </row>
    <row r="4075">
      <c r="A4075" s="18">
        <v>45665.0</v>
      </c>
      <c r="B4075" s="16" t="s">
        <v>4910</v>
      </c>
      <c r="C4075" s="16" t="s">
        <v>942</v>
      </c>
      <c r="D4075" s="16" t="s">
        <v>707</v>
      </c>
      <c r="E4075" s="16">
        <v>2021.0</v>
      </c>
      <c r="F4075" s="16">
        <v>49.4709</v>
      </c>
      <c r="G4075" s="16">
        <v>12.1931</v>
      </c>
      <c r="H4075" s="15"/>
      <c r="I4075" s="15"/>
    </row>
    <row r="4076">
      <c r="A4076" s="18">
        <v>45665.0</v>
      </c>
      <c r="B4076" s="16" t="s">
        <v>4911</v>
      </c>
      <c r="C4076" s="16" t="s">
        <v>1059</v>
      </c>
      <c r="D4076" s="16" t="s">
        <v>707</v>
      </c>
      <c r="E4076" s="16">
        <v>2021.0</v>
      </c>
      <c r="F4076" s="16">
        <v>47.8185</v>
      </c>
      <c r="G4076" s="16">
        <v>11.0875</v>
      </c>
      <c r="H4076" s="15"/>
      <c r="I4076" s="15"/>
    </row>
    <row r="4077">
      <c r="A4077" s="18">
        <v>45665.0</v>
      </c>
      <c r="B4077" s="16" t="s">
        <v>4912</v>
      </c>
      <c r="C4077" s="16" t="s">
        <v>1085</v>
      </c>
      <c r="D4077" s="16" t="s">
        <v>707</v>
      </c>
      <c r="E4077" s="16">
        <v>2021.0</v>
      </c>
      <c r="F4077" s="16">
        <v>51.8911</v>
      </c>
      <c r="G4077" s="16">
        <v>11.6387</v>
      </c>
      <c r="H4077" s="15"/>
      <c r="I4077" s="15"/>
    </row>
    <row r="4078">
      <c r="A4078" s="18">
        <v>45665.0</v>
      </c>
      <c r="B4078" s="16" t="s">
        <v>4913</v>
      </c>
      <c r="C4078" s="16" t="s">
        <v>4533</v>
      </c>
      <c r="D4078" s="16" t="s">
        <v>707</v>
      </c>
      <c r="E4078" s="16">
        <v>2021.0</v>
      </c>
      <c r="F4078" s="16">
        <v>53.4174</v>
      </c>
      <c r="G4078" s="16">
        <v>12.2514</v>
      </c>
      <c r="H4078" s="15"/>
      <c r="I4078" s="15"/>
    </row>
    <row r="4079">
      <c r="A4079" s="18">
        <v>45665.0</v>
      </c>
      <c r="B4079" s="16" t="s">
        <v>4914</v>
      </c>
      <c r="C4079" s="16" t="s">
        <v>3169</v>
      </c>
      <c r="D4079" s="16" t="s">
        <v>707</v>
      </c>
      <c r="E4079" s="16">
        <v>2021.0</v>
      </c>
      <c r="F4079" s="16">
        <v>53.4185</v>
      </c>
      <c r="G4079" s="16">
        <v>12.2487</v>
      </c>
      <c r="H4079" s="15"/>
      <c r="I4079" s="15"/>
    </row>
    <row r="4080">
      <c r="A4080" s="18">
        <v>45665.0</v>
      </c>
      <c r="B4080" s="16" t="s">
        <v>4915</v>
      </c>
      <c r="C4080" s="16" t="s">
        <v>1037</v>
      </c>
      <c r="D4080" s="16" t="s">
        <v>707</v>
      </c>
      <c r="E4080" s="16">
        <v>2021.0</v>
      </c>
      <c r="F4080" s="16">
        <v>52.0532</v>
      </c>
      <c r="G4080" s="16">
        <v>11.5578</v>
      </c>
      <c r="H4080" s="15"/>
      <c r="I4080" s="15"/>
    </row>
    <row r="4081">
      <c r="A4081" s="18">
        <v>45665.0</v>
      </c>
      <c r="B4081" s="16" t="s">
        <v>4916</v>
      </c>
      <c r="C4081" s="16" t="s">
        <v>959</v>
      </c>
      <c r="D4081" s="16" t="s">
        <v>707</v>
      </c>
      <c r="E4081" s="16">
        <v>2021.0</v>
      </c>
      <c r="F4081" s="16">
        <v>54.1169</v>
      </c>
      <c r="G4081" s="16">
        <v>9.4819</v>
      </c>
      <c r="H4081" s="15"/>
      <c r="I4081" s="15"/>
    </row>
    <row r="4082">
      <c r="A4082" s="18">
        <v>45665.0</v>
      </c>
      <c r="B4082" s="16" t="s">
        <v>4917</v>
      </c>
      <c r="C4082" s="16" t="s">
        <v>971</v>
      </c>
      <c r="D4082" s="16" t="s">
        <v>707</v>
      </c>
      <c r="E4082" s="16">
        <v>2021.0</v>
      </c>
      <c r="F4082" s="16">
        <v>51.4829</v>
      </c>
      <c r="G4082" s="16">
        <v>12.0754</v>
      </c>
      <c r="H4082" s="15"/>
      <c r="I4082" s="15"/>
    </row>
    <row r="4083">
      <c r="A4083" s="18">
        <v>45665.0</v>
      </c>
      <c r="B4083" s="16" t="s">
        <v>4918</v>
      </c>
      <c r="C4083" s="16" t="s">
        <v>951</v>
      </c>
      <c r="D4083" s="16" t="s">
        <v>707</v>
      </c>
      <c r="E4083" s="16">
        <v>2021.0</v>
      </c>
      <c r="F4083" s="16">
        <v>54.2332</v>
      </c>
      <c r="G4083" s="16">
        <v>9.8036</v>
      </c>
      <c r="H4083" s="15"/>
      <c r="I4083" s="15"/>
    </row>
    <row r="4084">
      <c r="A4084" s="18">
        <v>45665.0</v>
      </c>
      <c r="B4084" s="16" t="s">
        <v>4919</v>
      </c>
      <c r="C4084" s="16" t="s">
        <v>1167</v>
      </c>
      <c r="D4084" s="16" t="s">
        <v>707</v>
      </c>
      <c r="E4084" s="16">
        <v>2021.0</v>
      </c>
      <c r="F4084" s="16">
        <v>50.5987</v>
      </c>
      <c r="G4084" s="16">
        <v>8.9613</v>
      </c>
      <c r="H4084" s="15"/>
      <c r="I4084" s="15"/>
    </row>
    <row r="4085">
      <c r="A4085" s="18">
        <v>45665.0</v>
      </c>
      <c r="B4085" s="16" t="s">
        <v>4920</v>
      </c>
      <c r="C4085" s="16" t="s">
        <v>1436</v>
      </c>
      <c r="D4085" s="16" t="s">
        <v>707</v>
      </c>
      <c r="E4085" s="16">
        <v>2021.0</v>
      </c>
      <c r="F4085" s="16">
        <v>50.1856</v>
      </c>
      <c r="G4085" s="16">
        <v>11.4167</v>
      </c>
      <c r="H4085" s="15"/>
      <c r="I4085" s="15"/>
    </row>
    <row r="4086">
      <c r="A4086" s="18">
        <v>45665.0</v>
      </c>
      <c r="B4086" s="16" t="s">
        <v>4921</v>
      </c>
      <c r="C4086" s="16" t="s">
        <v>942</v>
      </c>
      <c r="D4086" s="16" t="s">
        <v>707</v>
      </c>
      <c r="E4086" s="16">
        <v>2021.0</v>
      </c>
      <c r="F4086" s="16">
        <v>48.9522</v>
      </c>
      <c r="G4086" s="16">
        <v>8.8816</v>
      </c>
      <c r="H4086" s="15"/>
      <c r="I4086" s="15"/>
    </row>
    <row r="4087">
      <c r="A4087" s="18">
        <v>45665.0</v>
      </c>
      <c r="B4087" s="16" t="s">
        <v>4922</v>
      </c>
      <c r="C4087" s="16">
        <v>2.0</v>
      </c>
      <c r="D4087" s="16" t="s">
        <v>707</v>
      </c>
      <c r="E4087" s="16">
        <v>2021.0</v>
      </c>
      <c r="F4087" s="16">
        <v>51.5554</v>
      </c>
      <c r="G4087" s="16">
        <v>11.5212</v>
      </c>
      <c r="H4087" s="15"/>
      <c r="I4087" s="15"/>
    </row>
    <row r="4088">
      <c r="A4088" s="18">
        <v>45665.0</v>
      </c>
      <c r="B4088" s="16" t="s">
        <v>4922</v>
      </c>
      <c r="C4088" s="16">
        <v>2.0</v>
      </c>
      <c r="D4088" s="16" t="s">
        <v>707</v>
      </c>
      <c r="E4088" s="16">
        <v>2021.0</v>
      </c>
      <c r="F4088" s="16">
        <v>51.5538</v>
      </c>
      <c r="G4088" s="16">
        <v>11.5212</v>
      </c>
      <c r="H4088" s="15"/>
      <c r="I4088" s="15"/>
    </row>
    <row r="4089">
      <c r="A4089" s="18">
        <v>45665.0</v>
      </c>
      <c r="B4089" s="16" t="s">
        <v>4923</v>
      </c>
      <c r="C4089" s="16" t="s">
        <v>1080</v>
      </c>
      <c r="D4089" s="16" t="s">
        <v>707</v>
      </c>
      <c r="E4089" s="16">
        <v>2021.0</v>
      </c>
      <c r="F4089" s="16">
        <v>51.244</v>
      </c>
      <c r="G4089" s="16">
        <v>8.7724</v>
      </c>
      <c r="H4089" s="15"/>
      <c r="I4089" s="15"/>
    </row>
    <row r="4090">
      <c r="A4090" s="18">
        <v>45665.0</v>
      </c>
      <c r="B4090" s="16" t="s">
        <v>4924</v>
      </c>
      <c r="C4090" s="16" t="s">
        <v>1055</v>
      </c>
      <c r="D4090" s="16" t="s">
        <v>707</v>
      </c>
      <c r="E4090" s="16">
        <v>2021.0</v>
      </c>
      <c r="F4090" s="16">
        <v>51.1341</v>
      </c>
      <c r="G4090" s="16">
        <v>10.9654</v>
      </c>
      <c r="H4090" s="15"/>
      <c r="I4090" s="15"/>
    </row>
    <row r="4091">
      <c r="A4091" s="18">
        <v>45665.0</v>
      </c>
      <c r="B4091" s="16" t="s">
        <v>4925</v>
      </c>
      <c r="C4091" s="16">
        <v>3.0</v>
      </c>
      <c r="D4091" s="16" t="s">
        <v>707</v>
      </c>
      <c r="E4091" s="16">
        <v>2021.0</v>
      </c>
      <c r="F4091" s="16">
        <v>51.1341</v>
      </c>
      <c r="G4091" s="16">
        <v>10.9648</v>
      </c>
      <c r="H4091" s="15"/>
      <c r="I4091" s="15"/>
    </row>
    <row r="4092">
      <c r="A4092" s="18">
        <v>45665.0</v>
      </c>
      <c r="B4092" s="16" t="s">
        <v>4926</v>
      </c>
      <c r="C4092" s="16">
        <v>3.0</v>
      </c>
      <c r="D4092" s="16" t="s">
        <v>707</v>
      </c>
      <c r="E4092" s="16">
        <v>2021.0</v>
      </c>
      <c r="F4092" s="16">
        <v>51.1344</v>
      </c>
      <c r="G4092" s="16">
        <v>10.9659</v>
      </c>
      <c r="H4092" s="15"/>
      <c r="I4092" s="15"/>
    </row>
    <row r="4093">
      <c r="A4093" s="18">
        <v>45665.0</v>
      </c>
      <c r="B4093" s="16" t="s">
        <v>4927</v>
      </c>
      <c r="C4093" s="16" t="s">
        <v>1282</v>
      </c>
      <c r="D4093" s="16" t="s">
        <v>707</v>
      </c>
      <c r="E4093" s="16">
        <v>2021.0</v>
      </c>
      <c r="F4093" s="16">
        <v>50.1364</v>
      </c>
      <c r="G4093" s="16">
        <v>11.1418</v>
      </c>
      <c r="H4093" s="15"/>
      <c r="I4093" s="15"/>
    </row>
    <row r="4094">
      <c r="A4094" s="18">
        <v>45665.0</v>
      </c>
      <c r="B4094" s="16" t="s">
        <v>4928</v>
      </c>
      <c r="C4094" s="16" t="s">
        <v>1172</v>
      </c>
      <c r="D4094" s="16" t="s">
        <v>707</v>
      </c>
      <c r="E4094" s="16">
        <v>2021.0</v>
      </c>
      <c r="F4094" s="16">
        <v>54.2575</v>
      </c>
      <c r="G4094" s="16">
        <v>9.2779</v>
      </c>
      <c r="H4094" s="15"/>
      <c r="I4094" s="15"/>
    </row>
    <row r="4095">
      <c r="A4095" s="18">
        <v>45665.0</v>
      </c>
      <c r="B4095" s="16" t="s">
        <v>4929</v>
      </c>
      <c r="C4095" s="16" t="s">
        <v>4533</v>
      </c>
      <c r="D4095" s="16" t="s">
        <v>707</v>
      </c>
      <c r="E4095" s="16">
        <v>2021.0</v>
      </c>
      <c r="F4095" s="16">
        <v>52.3952</v>
      </c>
      <c r="G4095" s="16">
        <v>12.2876</v>
      </c>
      <c r="H4095" s="15"/>
      <c r="I4095" s="15"/>
    </row>
    <row r="4096">
      <c r="A4096" s="18">
        <v>45665.0</v>
      </c>
      <c r="B4096" s="16" t="s">
        <v>4930</v>
      </c>
      <c r="C4096" s="16" t="s">
        <v>971</v>
      </c>
      <c r="D4096" s="16" t="s">
        <v>707</v>
      </c>
      <c r="E4096" s="16">
        <v>2021.0</v>
      </c>
      <c r="F4096" s="16">
        <v>49.1601</v>
      </c>
      <c r="G4096" s="16">
        <v>11.9074</v>
      </c>
      <c r="H4096" s="15"/>
      <c r="I4096" s="15"/>
    </row>
    <row r="4097">
      <c r="A4097" s="18">
        <v>45665.0</v>
      </c>
      <c r="B4097" s="16" t="s">
        <v>4931</v>
      </c>
      <c r="C4097" s="16">
        <v>10.0</v>
      </c>
      <c r="D4097" s="16" t="s">
        <v>707</v>
      </c>
      <c r="E4097" s="16">
        <v>2021.0</v>
      </c>
      <c r="F4097" s="16">
        <v>49.6351</v>
      </c>
      <c r="G4097" s="16">
        <v>6.8424</v>
      </c>
      <c r="H4097" s="15"/>
      <c r="I4097" s="15"/>
    </row>
    <row r="4098">
      <c r="A4098" s="18">
        <v>45665.0</v>
      </c>
      <c r="B4098" s="16" t="s">
        <v>4932</v>
      </c>
      <c r="C4098" s="16" t="s">
        <v>1094</v>
      </c>
      <c r="D4098" s="16" t="s">
        <v>707</v>
      </c>
      <c r="E4098" s="16">
        <v>2021.0</v>
      </c>
      <c r="F4098" s="16">
        <v>49.6351</v>
      </c>
      <c r="G4098" s="16">
        <v>6.8424</v>
      </c>
      <c r="H4098" s="15"/>
      <c r="I4098" s="15"/>
    </row>
    <row r="4099">
      <c r="A4099" s="18">
        <v>45665.0</v>
      </c>
      <c r="B4099" s="16" t="s">
        <v>4933</v>
      </c>
      <c r="C4099" s="16" t="s">
        <v>946</v>
      </c>
      <c r="D4099" s="16" t="s">
        <v>707</v>
      </c>
      <c r="E4099" s="16">
        <v>2021.0</v>
      </c>
      <c r="F4099" s="16">
        <v>48.9488</v>
      </c>
      <c r="G4099" s="16">
        <v>10.1737</v>
      </c>
      <c r="H4099" s="15"/>
      <c r="I4099" s="15"/>
    </row>
    <row r="4100">
      <c r="A4100" s="18">
        <v>45665.0</v>
      </c>
      <c r="B4100" s="16" t="s">
        <v>4934</v>
      </c>
      <c r="C4100" s="16">
        <v>2.0</v>
      </c>
      <c r="D4100" s="16" t="s">
        <v>707</v>
      </c>
      <c r="E4100" s="16">
        <v>2021.0</v>
      </c>
      <c r="F4100" s="16">
        <v>48.0416</v>
      </c>
      <c r="G4100" s="16">
        <v>12.4504</v>
      </c>
      <c r="H4100" s="15"/>
      <c r="I4100" s="15"/>
    </row>
    <row r="4101">
      <c r="A4101" s="18">
        <v>45665.0</v>
      </c>
      <c r="B4101" s="16" t="s">
        <v>4935</v>
      </c>
      <c r="C4101" s="16" t="s">
        <v>1277</v>
      </c>
      <c r="D4101" s="16" t="s">
        <v>707</v>
      </c>
      <c r="E4101" s="16">
        <v>2021.0</v>
      </c>
      <c r="F4101" s="16">
        <v>49.3837</v>
      </c>
      <c r="G4101" s="16">
        <v>6.831</v>
      </c>
      <c r="H4101" s="15"/>
      <c r="I4101" s="15"/>
    </row>
    <row r="4102">
      <c r="A4102" s="18">
        <v>45665.0</v>
      </c>
      <c r="B4102" s="16" t="s">
        <v>4936</v>
      </c>
      <c r="C4102" s="16" t="s">
        <v>1059</v>
      </c>
      <c r="D4102" s="16" t="s">
        <v>707</v>
      </c>
      <c r="E4102" s="16">
        <v>2021.0</v>
      </c>
      <c r="F4102" s="16">
        <v>50.1701</v>
      </c>
      <c r="G4102" s="16">
        <v>9.0122</v>
      </c>
      <c r="H4102" s="15"/>
      <c r="I4102" s="15"/>
    </row>
    <row r="4103">
      <c r="A4103" s="18">
        <v>45665.0</v>
      </c>
      <c r="B4103" s="16" t="s">
        <v>4937</v>
      </c>
      <c r="C4103" s="16" t="s">
        <v>1055</v>
      </c>
      <c r="D4103" s="16" t="s">
        <v>707</v>
      </c>
      <c r="E4103" s="16">
        <v>2021.0</v>
      </c>
      <c r="F4103" s="16">
        <v>50.0036</v>
      </c>
      <c r="G4103" s="16">
        <v>6.7695</v>
      </c>
      <c r="H4103" s="15"/>
      <c r="I4103" s="15"/>
    </row>
    <row r="4104">
      <c r="A4104" s="18">
        <v>45665.0</v>
      </c>
      <c r="B4104" s="16" t="s">
        <v>4938</v>
      </c>
      <c r="C4104" s="16" t="s">
        <v>1771</v>
      </c>
      <c r="D4104" s="16" t="s">
        <v>707</v>
      </c>
      <c r="E4104" s="16">
        <v>2021.0</v>
      </c>
      <c r="F4104" s="16">
        <v>50.0847</v>
      </c>
      <c r="G4104" s="16">
        <v>6.3549</v>
      </c>
      <c r="H4104" s="15"/>
      <c r="I4104" s="15"/>
    </row>
    <row r="4105">
      <c r="A4105" s="18">
        <v>45665.0</v>
      </c>
      <c r="B4105" s="16" t="s">
        <v>4939</v>
      </c>
      <c r="C4105" s="16" t="s">
        <v>990</v>
      </c>
      <c r="D4105" s="16" t="s">
        <v>707</v>
      </c>
      <c r="E4105" s="16">
        <v>2021.0</v>
      </c>
      <c r="F4105" s="16">
        <v>50.0847</v>
      </c>
      <c r="G4105" s="16">
        <v>6.3549</v>
      </c>
      <c r="H4105" s="15"/>
      <c r="I4105" s="15"/>
    </row>
    <row r="4106">
      <c r="A4106" s="18">
        <v>45665.0</v>
      </c>
      <c r="B4106" s="16" t="s">
        <v>4940</v>
      </c>
      <c r="C4106" s="16" t="s">
        <v>1007</v>
      </c>
      <c r="D4106" s="16" t="s">
        <v>707</v>
      </c>
      <c r="E4106" s="16">
        <v>2021.0</v>
      </c>
      <c r="F4106" s="16">
        <v>50.8549</v>
      </c>
      <c r="G4106" s="16">
        <v>9.706</v>
      </c>
      <c r="H4106" s="15"/>
      <c r="I4106" s="15"/>
    </row>
    <row r="4107">
      <c r="A4107" s="18">
        <v>45665.0</v>
      </c>
      <c r="B4107" s="16" t="s">
        <v>4941</v>
      </c>
      <c r="C4107" s="16" t="s">
        <v>1374</v>
      </c>
      <c r="D4107" s="16" t="s">
        <v>707</v>
      </c>
      <c r="E4107" s="16">
        <v>2021.0</v>
      </c>
      <c r="F4107" s="16">
        <v>53.3515</v>
      </c>
      <c r="G4107" s="16">
        <v>11.4662</v>
      </c>
      <c r="H4107" s="15"/>
      <c r="I4107" s="15"/>
    </row>
    <row r="4108">
      <c r="A4108" s="18">
        <v>45665.0</v>
      </c>
      <c r="B4108" s="16" t="s">
        <v>4942</v>
      </c>
      <c r="C4108" s="16" t="s">
        <v>2457</v>
      </c>
      <c r="D4108" s="16" t="s">
        <v>707</v>
      </c>
      <c r="E4108" s="16">
        <v>2021.0</v>
      </c>
      <c r="F4108" s="16">
        <v>49.5106</v>
      </c>
      <c r="G4108" s="16">
        <v>9.3024</v>
      </c>
      <c r="H4108" s="15"/>
      <c r="I4108" s="15"/>
    </row>
    <row r="4109">
      <c r="A4109" s="18">
        <v>45665.0</v>
      </c>
      <c r="B4109" s="16" t="s">
        <v>4943</v>
      </c>
      <c r="C4109" s="16" t="s">
        <v>1101</v>
      </c>
      <c r="D4109" s="16" t="s">
        <v>707</v>
      </c>
      <c r="E4109" s="16">
        <v>2021.0</v>
      </c>
      <c r="F4109" s="16">
        <v>53.7361</v>
      </c>
      <c r="G4109" s="16">
        <v>12.7921</v>
      </c>
      <c r="H4109" s="15"/>
      <c r="I4109" s="15"/>
    </row>
    <row r="4110">
      <c r="A4110" s="18">
        <v>45665.0</v>
      </c>
      <c r="B4110" s="16" t="s">
        <v>4944</v>
      </c>
      <c r="C4110" s="16" t="s">
        <v>1099</v>
      </c>
      <c r="D4110" s="16" t="s">
        <v>707</v>
      </c>
      <c r="E4110" s="16">
        <v>2021.0</v>
      </c>
      <c r="F4110" s="16">
        <v>50.507</v>
      </c>
      <c r="G4110" s="16">
        <v>12.864</v>
      </c>
      <c r="H4110" s="15"/>
      <c r="I4110" s="15"/>
    </row>
    <row r="4111">
      <c r="A4111" s="18">
        <v>45665.0</v>
      </c>
      <c r="B4111" s="16" t="s">
        <v>4945</v>
      </c>
      <c r="C4111" s="16">
        <v>10.0</v>
      </c>
      <c r="D4111" s="16" t="s">
        <v>707</v>
      </c>
      <c r="E4111" s="16">
        <v>2021.0</v>
      </c>
      <c r="F4111" s="16">
        <v>50.2078</v>
      </c>
      <c r="G4111" s="16">
        <v>10.2251</v>
      </c>
      <c r="H4111" s="15"/>
      <c r="I4111" s="15"/>
    </row>
    <row r="4112">
      <c r="A4112" s="18">
        <v>45665.0</v>
      </c>
      <c r="B4112" s="16" t="s">
        <v>4946</v>
      </c>
      <c r="C4112" s="16" t="s">
        <v>1090</v>
      </c>
      <c r="D4112" s="16" t="s">
        <v>707</v>
      </c>
      <c r="E4112" s="16">
        <v>2021.0</v>
      </c>
      <c r="F4112" s="16">
        <v>50.2054</v>
      </c>
      <c r="G4112" s="16">
        <v>10.226</v>
      </c>
      <c r="H4112" s="15"/>
      <c r="I4112" s="15"/>
    </row>
    <row r="4113">
      <c r="A4113" s="18">
        <v>45665.0</v>
      </c>
      <c r="B4113" s="16" t="s">
        <v>4947</v>
      </c>
      <c r="C4113" s="16" t="s">
        <v>2147</v>
      </c>
      <c r="D4113" s="16" t="s">
        <v>707</v>
      </c>
      <c r="E4113" s="16">
        <v>2021.0</v>
      </c>
      <c r="F4113" s="16">
        <v>52.6544</v>
      </c>
      <c r="G4113" s="16">
        <v>14.161</v>
      </c>
      <c r="H4113" s="15"/>
      <c r="I4113" s="15"/>
    </row>
    <row r="4114">
      <c r="A4114" s="18">
        <v>45665.0</v>
      </c>
      <c r="B4114" s="16" t="s">
        <v>4948</v>
      </c>
      <c r="C4114" s="16" t="s">
        <v>942</v>
      </c>
      <c r="D4114" s="16" t="s">
        <v>707</v>
      </c>
      <c r="E4114" s="16">
        <v>2021.0</v>
      </c>
      <c r="F4114" s="16">
        <v>48.3281</v>
      </c>
      <c r="G4114" s="16">
        <v>10.0372</v>
      </c>
      <c r="H4114" s="15"/>
      <c r="I4114" s="15"/>
    </row>
    <row r="4115">
      <c r="A4115" s="18">
        <v>45665.0</v>
      </c>
      <c r="B4115" s="16" t="s">
        <v>4949</v>
      </c>
      <c r="C4115" s="16" t="s">
        <v>969</v>
      </c>
      <c r="D4115" s="16" t="s">
        <v>707</v>
      </c>
      <c r="E4115" s="16">
        <v>2021.0</v>
      </c>
      <c r="F4115" s="16">
        <v>52.8713</v>
      </c>
      <c r="G4115" s="16">
        <v>12.4728</v>
      </c>
      <c r="H4115" s="15"/>
      <c r="I4115" s="15"/>
    </row>
    <row r="4116">
      <c r="A4116" s="18">
        <v>45665.0</v>
      </c>
      <c r="B4116" s="16" t="s">
        <v>4950</v>
      </c>
      <c r="C4116" s="16" t="s">
        <v>969</v>
      </c>
      <c r="D4116" s="16" t="s">
        <v>707</v>
      </c>
      <c r="E4116" s="16">
        <v>2021.0</v>
      </c>
      <c r="F4116" s="16">
        <v>52.8716</v>
      </c>
      <c r="G4116" s="16">
        <v>12.4707</v>
      </c>
      <c r="H4116" s="15"/>
      <c r="I4116" s="15"/>
    </row>
    <row r="4117">
      <c r="A4117" s="18">
        <v>45665.0</v>
      </c>
      <c r="B4117" s="16" t="s">
        <v>4951</v>
      </c>
      <c r="C4117" s="16" t="s">
        <v>1037</v>
      </c>
      <c r="D4117" s="16" t="s">
        <v>707</v>
      </c>
      <c r="E4117" s="16">
        <v>2021.0</v>
      </c>
      <c r="F4117" s="16">
        <v>51.6045</v>
      </c>
      <c r="G4117" s="16">
        <v>11.843</v>
      </c>
      <c r="H4117" s="15"/>
      <c r="I4117" s="15"/>
    </row>
    <row r="4118">
      <c r="A4118" s="18">
        <v>45665.0</v>
      </c>
      <c r="B4118" s="16" t="s">
        <v>4952</v>
      </c>
      <c r="C4118" s="16">
        <v>2.0</v>
      </c>
      <c r="D4118" s="16" t="s">
        <v>707</v>
      </c>
      <c r="E4118" s="16">
        <v>2021.0</v>
      </c>
      <c r="F4118" s="16">
        <v>48.5834</v>
      </c>
      <c r="G4118" s="16">
        <v>11.8572</v>
      </c>
      <c r="H4118" s="15"/>
      <c r="I4118" s="15"/>
    </row>
    <row r="4119">
      <c r="A4119" s="18">
        <v>45665.0</v>
      </c>
      <c r="B4119" s="16" t="s">
        <v>4953</v>
      </c>
      <c r="C4119" s="16" t="s">
        <v>1720</v>
      </c>
      <c r="D4119" s="16" t="s">
        <v>707</v>
      </c>
      <c r="E4119" s="16">
        <v>2021.0</v>
      </c>
      <c r="F4119" s="16">
        <v>53.8662</v>
      </c>
      <c r="G4119" s="16">
        <v>12.0424</v>
      </c>
      <c r="H4119" s="15"/>
      <c r="I4119" s="15"/>
    </row>
    <row r="4120">
      <c r="A4120" s="18">
        <v>45665.0</v>
      </c>
      <c r="B4120" s="16" t="s">
        <v>4954</v>
      </c>
      <c r="C4120" s="16" t="s">
        <v>948</v>
      </c>
      <c r="D4120" s="16" t="s">
        <v>707</v>
      </c>
      <c r="E4120" s="16">
        <v>2021.0</v>
      </c>
      <c r="F4120" s="16">
        <v>53.8673</v>
      </c>
      <c r="G4120" s="16">
        <v>12.0428</v>
      </c>
      <c r="H4120" s="15"/>
      <c r="I4120" s="15"/>
    </row>
    <row r="4121">
      <c r="A4121" s="18">
        <v>45665.0</v>
      </c>
      <c r="B4121" s="16" t="s">
        <v>4955</v>
      </c>
      <c r="C4121" s="16" t="s">
        <v>3048</v>
      </c>
      <c r="D4121" s="16" t="s">
        <v>707</v>
      </c>
      <c r="E4121" s="16">
        <v>2021.0</v>
      </c>
      <c r="F4121" s="16">
        <v>48.3746</v>
      </c>
      <c r="G4121" s="16">
        <v>13.1922</v>
      </c>
      <c r="H4121" s="15"/>
      <c r="I4121" s="15"/>
    </row>
    <row r="4122">
      <c r="A4122" s="18">
        <v>45665.0</v>
      </c>
      <c r="B4122" s="16" t="s">
        <v>4956</v>
      </c>
      <c r="C4122" s="16" t="s">
        <v>1090</v>
      </c>
      <c r="D4122" s="16" t="s">
        <v>707</v>
      </c>
      <c r="E4122" s="16">
        <v>2021.0</v>
      </c>
      <c r="F4122" s="16">
        <v>49.7517</v>
      </c>
      <c r="G4122" s="16">
        <v>11.9857</v>
      </c>
      <c r="H4122" s="15"/>
      <c r="I4122" s="15"/>
    </row>
    <row r="4123">
      <c r="A4123" s="18">
        <v>45665.0</v>
      </c>
      <c r="B4123" s="16" t="s">
        <v>4957</v>
      </c>
      <c r="C4123" s="16" t="s">
        <v>1055</v>
      </c>
      <c r="D4123" s="16" t="s">
        <v>707</v>
      </c>
      <c r="E4123" s="16">
        <v>2021.0</v>
      </c>
      <c r="F4123" s="16">
        <v>52.6236</v>
      </c>
      <c r="G4123" s="16">
        <v>11.8618</v>
      </c>
      <c r="H4123" s="15"/>
      <c r="I4123" s="15"/>
    </row>
    <row r="4124">
      <c r="A4124" s="18">
        <v>45665.0</v>
      </c>
      <c r="B4124" s="16" t="s">
        <v>4958</v>
      </c>
      <c r="C4124" s="16" t="s">
        <v>951</v>
      </c>
      <c r="D4124" s="16" t="s">
        <v>707</v>
      </c>
      <c r="E4124" s="16">
        <v>2021.0</v>
      </c>
      <c r="F4124" s="16">
        <v>48.0432</v>
      </c>
      <c r="G4124" s="16">
        <v>8.639</v>
      </c>
      <c r="H4124" s="15"/>
      <c r="I4124" s="15"/>
    </row>
    <row r="4125">
      <c r="A4125" s="18">
        <v>45665.0</v>
      </c>
      <c r="B4125" s="16" t="s">
        <v>4959</v>
      </c>
      <c r="C4125" s="16" t="s">
        <v>961</v>
      </c>
      <c r="D4125" s="16" t="s">
        <v>707</v>
      </c>
      <c r="E4125" s="16">
        <v>2021.0</v>
      </c>
      <c r="F4125" s="16">
        <v>49.0727</v>
      </c>
      <c r="G4125" s="16">
        <v>8.2959</v>
      </c>
      <c r="H4125" s="15"/>
      <c r="I4125" s="15"/>
    </row>
    <row r="4126">
      <c r="A4126" s="18">
        <v>45665.0</v>
      </c>
      <c r="B4126" s="16" t="s">
        <v>4960</v>
      </c>
      <c r="C4126" s="16">
        <v>1.0</v>
      </c>
      <c r="D4126" s="16" t="s">
        <v>707</v>
      </c>
      <c r="E4126" s="16">
        <v>2021.0</v>
      </c>
      <c r="F4126" s="16">
        <v>50.3068</v>
      </c>
      <c r="G4126" s="16">
        <v>11.8619</v>
      </c>
      <c r="H4126" s="15"/>
      <c r="I4126" s="15"/>
    </row>
    <row r="4127">
      <c r="A4127" s="18">
        <v>45665.0</v>
      </c>
      <c r="B4127" s="16" t="s">
        <v>4960</v>
      </c>
      <c r="C4127" s="16">
        <v>1.0</v>
      </c>
      <c r="D4127" s="16" t="s">
        <v>707</v>
      </c>
      <c r="E4127" s="16">
        <v>2021.0</v>
      </c>
      <c r="F4127" s="16">
        <v>50.3068</v>
      </c>
      <c r="G4127" s="16">
        <v>11.8619</v>
      </c>
      <c r="H4127" s="15"/>
      <c r="I4127" s="15"/>
    </row>
    <row r="4128">
      <c r="A4128" s="18">
        <v>45665.0</v>
      </c>
      <c r="B4128" s="16" t="s">
        <v>4961</v>
      </c>
      <c r="C4128" s="16">
        <v>10.0</v>
      </c>
      <c r="D4128" s="16" t="s">
        <v>707</v>
      </c>
      <c r="E4128" s="16">
        <v>2021.0</v>
      </c>
      <c r="F4128" s="16">
        <v>53.9536</v>
      </c>
      <c r="G4128" s="16">
        <v>9.1425</v>
      </c>
      <c r="H4128" s="15"/>
      <c r="I4128" s="15"/>
    </row>
    <row r="4129">
      <c r="A4129" s="18">
        <v>45665.0</v>
      </c>
      <c r="B4129" s="16" t="s">
        <v>4962</v>
      </c>
      <c r="C4129" s="16">
        <v>10.0</v>
      </c>
      <c r="D4129" s="16" t="s">
        <v>707</v>
      </c>
      <c r="E4129" s="16">
        <v>2021.0</v>
      </c>
      <c r="F4129" s="16">
        <v>49.7825</v>
      </c>
      <c r="G4129" s="16">
        <v>12.2068</v>
      </c>
      <c r="H4129" s="15"/>
      <c r="I4129" s="15"/>
    </row>
    <row r="4130">
      <c r="A4130" s="18">
        <v>45665.0</v>
      </c>
      <c r="B4130" s="16" t="s">
        <v>4963</v>
      </c>
      <c r="C4130" s="16" t="s">
        <v>969</v>
      </c>
      <c r="D4130" s="16" t="s">
        <v>707</v>
      </c>
      <c r="E4130" s="16">
        <v>2021.0</v>
      </c>
      <c r="F4130" s="16">
        <v>48.5779</v>
      </c>
      <c r="G4130" s="16">
        <v>13.1196</v>
      </c>
      <c r="H4130" s="15"/>
      <c r="I4130" s="15"/>
    </row>
    <row r="4131">
      <c r="A4131" s="18">
        <v>45665.0</v>
      </c>
      <c r="B4131" s="16" t="s">
        <v>4964</v>
      </c>
      <c r="C4131" s="16" t="s">
        <v>942</v>
      </c>
      <c r="D4131" s="16" t="s">
        <v>707</v>
      </c>
      <c r="E4131" s="16">
        <v>2021.0</v>
      </c>
      <c r="F4131" s="16">
        <v>48.6864</v>
      </c>
      <c r="G4131" s="16">
        <v>13.3652</v>
      </c>
      <c r="H4131" s="15"/>
      <c r="I4131" s="15"/>
    </row>
    <row r="4132">
      <c r="A4132" s="18">
        <v>45665.0</v>
      </c>
      <c r="B4132" s="16" t="s">
        <v>4965</v>
      </c>
      <c r="C4132" s="16" t="s">
        <v>942</v>
      </c>
      <c r="D4132" s="16" t="s">
        <v>707</v>
      </c>
      <c r="E4132" s="16">
        <v>2021.0</v>
      </c>
      <c r="F4132" s="16">
        <v>48.6844</v>
      </c>
      <c r="G4132" s="16">
        <v>13.3679</v>
      </c>
      <c r="H4132" s="15"/>
      <c r="I4132" s="15"/>
    </row>
    <row r="4133">
      <c r="A4133" s="18">
        <v>45665.0</v>
      </c>
      <c r="B4133" s="16" t="s">
        <v>4966</v>
      </c>
      <c r="C4133" s="16" t="s">
        <v>948</v>
      </c>
      <c r="D4133" s="16" t="s">
        <v>707</v>
      </c>
      <c r="E4133" s="16">
        <v>2021.0</v>
      </c>
      <c r="F4133" s="16">
        <v>48.5755</v>
      </c>
      <c r="G4133" s="16">
        <v>13.115</v>
      </c>
      <c r="H4133" s="15"/>
      <c r="I4133" s="15"/>
    </row>
    <row r="4134">
      <c r="A4134" s="18">
        <v>45665.0</v>
      </c>
      <c r="B4134" s="16" t="s">
        <v>4967</v>
      </c>
      <c r="C4134" s="16" t="s">
        <v>1059</v>
      </c>
      <c r="D4134" s="16" t="s">
        <v>707</v>
      </c>
      <c r="E4134" s="16">
        <v>2021.0</v>
      </c>
      <c r="F4134" s="16">
        <v>48.5277</v>
      </c>
      <c r="G4134" s="16">
        <v>12.5597</v>
      </c>
      <c r="H4134" s="15"/>
      <c r="I4134" s="15"/>
    </row>
    <row r="4135">
      <c r="A4135" s="18">
        <v>45665.0</v>
      </c>
      <c r="B4135" s="16" t="s">
        <v>4968</v>
      </c>
      <c r="C4135" s="16" t="s">
        <v>951</v>
      </c>
      <c r="D4135" s="16" t="s">
        <v>707</v>
      </c>
      <c r="E4135" s="16">
        <v>2021.0</v>
      </c>
      <c r="F4135" s="16">
        <v>48.7793</v>
      </c>
      <c r="G4135" s="16">
        <v>13.5752</v>
      </c>
      <c r="H4135" s="15"/>
      <c r="I4135" s="15"/>
    </row>
    <row r="4136">
      <c r="A4136" s="18">
        <v>45665.0</v>
      </c>
      <c r="B4136" s="16" t="s">
        <v>4969</v>
      </c>
      <c r="C4136" s="16" t="s">
        <v>946</v>
      </c>
      <c r="D4136" s="16" t="s">
        <v>707</v>
      </c>
      <c r="E4136" s="16">
        <v>2021.0</v>
      </c>
      <c r="F4136" s="16">
        <v>48.5495</v>
      </c>
      <c r="G4136" s="16">
        <v>13.1495</v>
      </c>
      <c r="H4136" s="15"/>
      <c r="I4136" s="15"/>
    </row>
    <row r="4137">
      <c r="A4137" s="18">
        <v>45665.0</v>
      </c>
      <c r="B4137" s="16" t="s">
        <v>4970</v>
      </c>
      <c r="C4137" s="16">
        <v>3.0</v>
      </c>
      <c r="D4137" s="16" t="s">
        <v>707</v>
      </c>
      <c r="E4137" s="16">
        <v>2021.0</v>
      </c>
      <c r="F4137" s="16">
        <v>49.1139</v>
      </c>
      <c r="G4137" s="16">
        <v>10.3253</v>
      </c>
      <c r="H4137" s="15"/>
      <c r="I4137" s="15"/>
    </row>
    <row r="4138">
      <c r="A4138" s="18">
        <v>45665.0</v>
      </c>
      <c r="B4138" s="16" t="s">
        <v>4971</v>
      </c>
      <c r="C4138" s="16">
        <v>3.0</v>
      </c>
      <c r="D4138" s="16" t="s">
        <v>707</v>
      </c>
      <c r="E4138" s="16">
        <v>2021.0</v>
      </c>
      <c r="F4138" s="16">
        <v>50.2115</v>
      </c>
      <c r="G4138" s="16">
        <v>11.145</v>
      </c>
      <c r="H4138" s="15"/>
      <c r="I4138" s="15"/>
    </row>
    <row r="4139">
      <c r="A4139" s="18">
        <v>45665.0</v>
      </c>
      <c r="B4139" s="16" t="s">
        <v>4972</v>
      </c>
      <c r="C4139" s="16" t="s">
        <v>946</v>
      </c>
      <c r="D4139" s="16" t="s">
        <v>707</v>
      </c>
      <c r="E4139" s="16">
        <v>2021.0</v>
      </c>
      <c r="F4139" s="16">
        <v>50.2116</v>
      </c>
      <c r="G4139" s="16">
        <v>11.1449</v>
      </c>
      <c r="H4139" s="15"/>
      <c r="I4139" s="15"/>
    </row>
    <row r="4140">
      <c r="A4140" s="18">
        <v>45665.0</v>
      </c>
      <c r="B4140" s="16" t="s">
        <v>4973</v>
      </c>
      <c r="C4140" s="16" t="s">
        <v>1055</v>
      </c>
      <c r="D4140" s="16" t="s">
        <v>707</v>
      </c>
      <c r="E4140" s="16">
        <v>2021.0</v>
      </c>
      <c r="F4140" s="16">
        <v>47.8781</v>
      </c>
      <c r="G4140" s="16">
        <v>12.6025</v>
      </c>
      <c r="H4140" s="15"/>
      <c r="I4140" s="15"/>
    </row>
    <row r="4141">
      <c r="A4141" s="18">
        <v>45665.0</v>
      </c>
      <c r="B4141" s="16" t="s">
        <v>4974</v>
      </c>
      <c r="C4141" s="16" t="s">
        <v>942</v>
      </c>
      <c r="D4141" s="16" t="s">
        <v>707</v>
      </c>
      <c r="E4141" s="16">
        <v>2021.0</v>
      </c>
      <c r="F4141" s="16">
        <v>53.3139</v>
      </c>
      <c r="G4141" s="16">
        <v>12.2617</v>
      </c>
      <c r="H4141" s="15"/>
      <c r="I4141" s="15"/>
    </row>
    <row r="4142">
      <c r="A4142" s="18">
        <v>45665.0</v>
      </c>
      <c r="B4142" s="16" t="s">
        <v>4975</v>
      </c>
      <c r="C4142" s="16" t="s">
        <v>1034</v>
      </c>
      <c r="D4142" s="16" t="s">
        <v>707</v>
      </c>
      <c r="E4142" s="16">
        <v>2021.0</v>
      </c>
      <c r="F4142" s="16">
        <v>48.5616</v>
      </c>
      <c r="G4142" s="16">
        <v>13.1242</v>
      </c>
      <c r="H4142" s="15"/>
      <c r="I4142" s="15"/>
    </row>
    <row r="4143">
      <c r="A4143" s="18">
        <v>45665.0</v>
      </c>
      <c r="B4143" s="16" t="s">
        <v>4976</v>
      </c>
      <c r="C4143" s="16" t="s">
        <v>1039</v>
      </c>
      <c r="D4143" s="16" t="s">
        <v>707</v>
      </c>
      <c r="E4143" s="16">
        <v>2021.0</v>
      </c>
      <c r="F4143" s="16">
        <v>49.2865</v>
      </c>
      <c r="G4143" s="16">
        <v>12.2201</v>
      </c>
      <c r="H4143" s="15"/>
      <c r="I4143" s="15"/>
    </row>
    <row r="4144">
      <c r="A4144" s="18">
        <v>45665.0</v>
      </c>
      <c r="B4144" s="16" t="s">
        <v>4977</v>
      </c>
      <c r="C4144" s="16" t="s">
        <v>942</v>
      </c>
      <c r="D4144" s="16" t="s">
        <v>707</v>
      </c>
      <c r="E4144" s="16">
        <v>2021.0</v>
      </c>
      <c r="F4144" s="16">
        <v>51.4975</v>
      </c>
      <c r="G4144" s="16">
        <v>7.263</v>
      </c>
      <c r="H4144" s="15"/>
      <c r="I4144" s="15"/>
    </row>
    <row r="4145">
      <c r="A4145" s="18">
        <v>45665.0</v>
      </c>
      <c r="B4145" s="16" t="s">
        <v>4978</v>
      </c>
      <c r="C4145" s="16" t="s">
        <v>942</v>
      </c>
      <c r="D4145" s="16" t="s">
        <v>707</v>
      </c>
      <c r="E4145" s="16">
        <v>2021.0</v>
      </c>
      <c r="F4145" s="16">
        <v>51.4975</v>
      </c>
      <c r="G4145" s="16">
        <v>7.263</v>
      </c>
      <c r="H4145" s="15"/>
      <c r="I4145" s="15"/>
    </row>
    <row r="4146">
      <c r="A4146" s="18">
        <v>45665.0</v>
      </c>
      <c r="B4146" s="16" t="s">
        <v>4979</v>
      </c>
      <c r="C4146" s="16" t="s">
        <v>990</v>
      </c>
      <c r="D4146" s="16" t="s">
        <v>707</v>
      </c>
      <c r="E4146" s="16">
        <v>2021.0</v>
      </c>
      <c r="F4146" s="16">
        <v>48.9984</v>
      </c>
      <c r="G4146" s="16">
        <v>12.0574</v>
      </c>
      <c r="H4146" s="15"/>
      <c r="I4146" s="15"/>
    </row>
    <row r="4147">
      <c r="A4147" s="18">
        <v>45665.0</v>
      </c>
      <c r="B4147" s="16" t="s">
        <v>4979</v>
      </c>
      <c r="C4147" s="16" t="s">
        <v>961</v>
      </c>
      <c r="D4147" s="16" t="s">
        <v>707</v>
      </c>
      <c r="E4147" s="16">
        <v>2021.0</v>
      </c>
      <c r="F4147" s="16">
        <v>49.0003</v>
      </c>
      <c r="G4147" s="16">
        <v>12.054</v>
      </c>
      <c r="H4147" s="15"/>
      <c r="I4147" s="15"/>
    </row>
    <row r="4148">
      <c r="A4148" s="18">
        <v>45665.0</v>
      </c>
      <c r="B4148" s="16" t="s">
        <v>4979</v>
      </c>
      <c r="C4148" s="16" t="s">
        <v>1101</v>
      </c>
      <c r="D4148" s="16" t="s">
        <v>707</v>
      </c>
      <c r="E4148" s="16">
        <v>2021.0</v>
      </c>
      <c r="F4148" s="16">
        <v>48.9991</v>
      </c>
      <c r="G4148" s="16">
        <v>12.0544</v>
      </c>
      <c r="H4148" s="15"/>
      <c r="I4148" s="15"/>
    </row>
    <row r="4149">
      <c r="A4149" s="18">
        <v>45665.0</v>
      </c>
      <c r="B4149" s="16" t="s">
        <v>4980</v>
      </c>
      <c r="C4149" s="16" t="s">
        <v>1090</v>
      </c>
      <c r="D4149" s="16" t="s">
        <v>707</v>
      </c>
      <c r="E4149" s="16">
        <v>2021.0</v>
      </c>
      <c r="F4149" s="16">
        <v>49.8055</v>
      </c>
      <c r="G4149" s="16">
        <v>10.0469</v>
      </c>
      <c r="H4149" s="15"/>
      <c r="I4149" s="15"/>
    </row>
    <row r="4150">
      <c r="A4150" s="18">
        <v>45665.0</v>
      </c>
      <c r="B4150" s="16" t="s">
        <v>4981</v>
      </c>
      <c r="C4150" s="16" t="s">
        <v>969</v>
      </c>
      <c r="D4150" s="16" t="s">
        <v>707</v>
      </c>
      <c r="E4150" s="16">
        <v>2021.0</v>
      </c>
      <c r="F4150" s="16">
        <v>50.5791</v>
      </c>
      <c r="G4150" s="16">
        <v>9.2063</v>
      </c>
      <c r="H4150" s="15"/>
      <c r="I4150" s="15"/>
    </row>
    <row r="4151">
      <c r="A4151" s="18">
        <v>45665.0</v>
      </c>
      <c r="B4151" s="16" t="s">
        <v>4982</v>
      </c>
      <c r="C4151" s="16">
        <v>3.0</v>
      </c>
      <c r="D4151" s="16" t="s">
        <v>707</v>
      </c>
      <c r="E4151" s="16">
        <v>2021.0</v>
      </c>
      <c r="F4151" s="16">
        <v>50.2018</v>
      </c>
      <c r="G4151" s="16">
        <v>11.1573</v>
      </c>
      <c r="H4151" s="15"/>
      <c r="I4151" s="15"/>
    </row>
    <row r="4152">
      <c r="A4152" s="18">
        <v>45665.0</v>
      </c>
      <c r="B4152" s="16" t="s">
        <v>4983</v>
      </c>
      <c r="C4152" s="16" t="s">
        <v>1034</v>
      </c>
      <c r="D4152" s="16" t="s">
        <v>707</v>
      </c>
      <c r="E4152" s="16">
        <v>2021.0</v>
      </c>
      <c r="F4152" s="16">
        <v>53.023</v>
      </c>
      <c r="G4152" s="16">
        <v>11.7601</v>
      </c>
      <c r="H4152" s="15"/>
      <c r="I4152" s="15"/>
    </row>
    <row r="4153">
      <c r="A4153" s="18">
        <v>45665.0</v>
      </c>
      <c r="B4153" s="16" t="s">
        <v>4984</v>
      </c>
      <c r="C4153" s="16" t="s">
        <v>1402</v>
      </c>
      <c r="D4153" s="16" t="s">
        <v>707</v>
      </c>
      <c r="E4153" s="16">
        <v>2021.0</v>
      </c>
      <c r="F4153" s="16">
        <v>49.6303</v>
      </c>
      <c r="G4153" s="16">
        <v>10.1959</v>
      </c>
      <c r="H4153" s="15"/>
      <c r="I4153" s="15"/>
    </row>
    <row r="4154">
      <c r="A4154" s="18">
        <v>45665.0</v>
      </c>
      <c r="B4154" s="16" t="s">
        <v>4985</v>
      </c>
      <c r="C4154" s="16" t="s">
        <v>1007</v>
      </c>
      <c r="D4154" s="16" t="s">
        <v>707</v>
      </c>
      <c r="E4154" s="16">
        <v>2021.0</v>
      </c>
      <c r="F4154" s="16">
        <v>53.4222</v>
      </c>
      <c r="G4154" s="16">
        <v>10.401</v>
      </c>
      <c r="H4154" s="15"/>
      <c r="I4154" s="15"/>
    </row>
    <row r="4155">
      <c r="A4155" s="18">
        <v>45665.0</v>
      </c>
      <c r="B4155" s="16" t="s">
        <v>4986</v>
      </c>
      <c r="C4155" s="16" t="s">
        <v>1051</v>
      </c>
      <c r="D4155" s="16" t="s">
        <v>707</v>
      </c>
      <c r="E4155" s="16">
        <v>2021.0</v>
      </c>
      <c r="F4155" s="16">
        <v>49.3708</v>
      </c>
      <c r="G4155" s="16">
        <v>10.3223</v>
      </c>
      <c r="H4155" s="15"/>
      <c r="I4155" s="15"/>
    </row>
    <row r="4156">
      <c r="A4156" s="18">
        <v>45665.0</v>
      </c>
      <c r="B4156" s="16" t="s">
        <v>4987</v>
      </c>
      <c r="C4156" s="16" t="s">
        <v>978</v>
      </c>
      <c r="D4156" s="16" t="s">
        <v>707</v>
      </c>
      <c r="E4156" s="16">
        <v>2021.0</v>
      </c>
      <c r="F4156" s="16">
        <v>48.8941</v>
      </c>
      <c r="G4156" s="16">
        <v>10.0169</v>
      </c>
      <c r="H4156" s="15"/>
      <c r="I4156" s="15"/>
    </row>
    <row r="4157">
      <c r="A4157" s="18">
        <v>45665.0</v>
      </c>
      <c r="B4157" s="16" t="s">
        <v>4988</v>
      </c>
      <c r="C4157" s="16" t="s">
        <v>1090</v>
      </c>
      <c r="D4157" s="16" t="s">
        <v>707</v>
      </c>
      <c r="E4157" s="16">
        <v>2021.0</v>
      </c>
      <c r="F4157" s="16">
        <v>48.8937</v>
      </c>
      <c r="G4157" s="16">
        <v>9.974</v>
      </c>
      <c r="H4157" s="15"/>
      <c r="I4157" s="15"/>
    </row>
    <row r="4158">
      <c r="A4158" s="18">
        <v>45665.0</v>
      </c>
      <c r="B4158" s="16" t="s">
        <v>4989</v>
      </c>
      <c r="C4158" s="16" t="s">
        <v>1267</v>
      </c>
      <c r="D4158" s="16" t="s">
        <v>707</v>
      </c>
      <c r="E4158" s="16">
        <v>2021.0</v>
      </c>
      <c r="F4158" s="16">
        <v>48.8941</v>
      </c>
      <c r="G4158" s="16">
        <v>10.0268</v>
      </c>
      <c r="H4158" s="15"/>
      <c r="I4158" s="15"/>
    </row>
    <row r="4159">
      <c r="A4159" s="18">
        <v>45665.0</v>
      </c>
      <c r="B4159" s="16" t="s">
        <v>4990</v>
      </c>
      <c r="C4159" s="16" t="s">
        <v>961</v>
      </c>
      <c r="D4159" s="16" t="s">
        <v>707</v>
      </c>
      <c r="E4159" s="16">
        <v>2021.0</v>
      </c>
      <c r="F4159" s="16">
        <v>53.1522</v>
      </c>
      <c r="G4159" s="16">
        <v>12.1982</v>
      </c>
      <c r="H4159" s="15"/>
      <c r="I4159" s="15"/>
    </row>
    <row r="4160">
      <c r="A4160" s="18">
        <v>45665.0</v>
      </c>
      <c r="B4160" s="16" t="s">
        <v>4991</v>
      </c>
      <c r="C4160" s="16" t="s">
        <v>2147</v>
      </c>
      <c r="D4160" s="16" t="s">
        <v>707</v>
      </c>
      <c r="E4160" s="16">
        <v>2021.0</v>
      </c>
      <c r="F4160" s="16">
        <v>50.3068</v>
      </c>
      <c r="G4160" s="16">
        <v>11.8619</v>
      </c>
      <c r="H4160" s="15"/>
      <c r="I4160" s="15"/>
    </row>
    <row r="4161">
      <c r="A4161" s="18">
        <v>45665.0</v>
      </c>
      <c r="B4161" s="16" t="s">
        <v>4992</v>
      </c>
      <c r="C4161" s="16" t="s">
        <v>948</v>
      </c>
      <c r="D4161" s="16" t="s">
        <v>707</v>
      </c>
      <c r="E4161" s="16">
        <v>2021.0</v>
      </c>
      <c r="F4161" s="16">
        <v>49.1185</v>
      </c>
      <c r="G4161" s="16">
        <v>10.2376</v>
      </c>
      <c r="H4161" s="15"/>
      <c r="I4161" s="15"/>
    </row>
    <row r="4162">
      <c r="A4162" s="18">
        <v>45665.0</v>
      </c>
      <c r="B4162" s="16" t="s">
        <v>4993</v>
      </c>
      <c r="C4162" s="16" t="s">
        <v>1051</v>
      </c>
      <c r="D4162" s="16" t="s">
        <v>707</v>
      </c>
      <c r="E4162" s="16">
        <v>2021.0</v>
      </c>
      <c r="F4162" s="16">
        <v>49.8927</v>
      </c>
      <c r="G4162" s="16">
        <v>10.1314</v>
      </c>
      <c r="H4162" s="15"/>
      <c r="I4162" s="15"/>
    </row>
    <row r="4163">
      <c r="A4163" s="18">
        <v>45665.0</v>
      </c>
      <c r="B4163" s="16" t="s">
        <v>4994</v>
      </c>
      <c r="C4163" s="16" t="s">
        <v>971</v>
      </c>
      <c r="D4163" s="16" t="s">
        <v>707</v>
      </c>
      <c r="E4163" s="16">
        <v>2021.0</v>
      </c>
      <c r="F4163" s="16">
        <v>49.8925</v>
      </c>
      <c r="G4163" s="16">
        <v>10.1294</v>
      </c>
      <c r="H4163" s="15"/>
      <c r="I4163" s="15"/>
    </row>
    <row r="4164">
      <c r="A4164" s="18">
        <v>45665.0</v>
      </c>
      <c r="B4164" s="16" t="s">
        <v>4995</v>
      </c>
      <c r="C4164" s="16">
        <v>3.0</v>
      </c>
      <c r="D4164" s="16" t="s">
        <v>707</v>
      </c>
      <c r="E4164" s="16">
        <v>2021.0</v>
      </c>
      <c r="F4164" s="16">
        <v>49.3708</v>
      </c>
      <c r="G4164" s="16">
        <v>10.3223</v>
      </c>
      <c r="H4164" s="15"/>
      <c r="I4164" s="15"/>
    </row>
    <row r="4165">
      <c r="A4165" s="18">
        <v>45665.0</v>
      </c>
      <c r="B4165" s="16" t="s">
        <v>4996</v>
      </c>
      <c r="C4165" s="16" t="s">
        <v>3817</v>
      </c>
      <c r="D4165" s="16" t="s">
        <v>707</v>
      </c>
      <c r="E4165" s="16">
        <v>2021.0</v>
      </c>
      <c r="F4165" s="16">
        <v>51.1271</v>
      </c>
      <c r="G4165" s="16">
        <v>10.6223</v>
      </c>
      <c r="H4165" s="15"/>
      <c r="I4165" s="15"/>
    </row>
    <row r="4166">
      <c r="A4166" s="18">
        <v>45665.0</v>
      </c>
      <c r="B4166" s="16" t="s">
        <v>4997</v>
      </c>
      <c r="C4166" s="16" t="s">
        <v>1011</v>
      </c>
      <c r="D4166" s="16" t="s">
        <v>707</v>
      </c>
      <c r="E4166" s="16">
        <v>2021.0</v>
      </c>
      <c r="F4166" s="16">
        <v>51.1272</v>
      </c>
      <c r="G4166" s="16">
        <v>10.6279</v>
      </c>
      <c r="H4166" s="15"/>
      <c r="I4166" s="15"/>
    </row>
    <row r="4167">
      <c r="A4167" s="18">
        <v>45665.0</v>
      </c>
      <c r="B4167" s="16" t="s">
        <v>4998</v>
      </c>
      <c r="C4167" s="16">
        <v>4.0</v>
      </c>
      <c r="D4167" s="16" t="s">
        <v>707</v>
      </c>
      <c r="E4167" s="16">
        <v>2021.0</v>
      </c>
      <c r="F4167" s="16">
        <v>49.2963</v>
      </c>
      <c r="G4167" s="16">
        <v>10.7563</v>
      </c>
      <c r="H4167" s="15"/>
      <c r="I4167" s="15"/>
    </row>
    <row r="4168">
      <c r="A4168" s="18">
        <v>45665.0</v>
      </c>
      <c r="B4168" s="16" t="s">
        <v>4999</v>
      </c>
      <c r="C4168" s="16" t="s">
        <v>1609</v>
      </c>
      <c r="D4168" s="16" t="s">
        <v>707</v>
      </c>
      <c r="E4168" s="16">
        <v>2021.0</v>
      </c>
      <c r="F4168" s="16">
        <v>53.9234</v>
      </c>
      <c r="G4168" s="16">
        <v>9.3056</v>
      </c>
      <c r="H4168" s="15"/>
      <c r="I4168" s="15"/>
    </row>
    <row r="4169">
      <c r="A4169" s="18">
        <v>45665.0</v>
      </c>
      <c r="B4169" s="16" t="s">
        <v>5000</v>
      </c>
      <c r="C4169" s="16">
        <v>5.0</v>
      </c>
      <c r="D4169" s="16" t="s">
        <v>707</v>
      </c>
      <c r="E4169" s="16">
        <v>2021.0</v>
      </c>
      <c r="F4169" s="16">
        <v>48.2919</v>
      </c>
      <c r="G4169" s="16">
        <v>11.6881</v>
      </c>
      <c r="H4169" s="15"/>
      <c r="I4169" s="15"/>
    </row>
    <row r="4170">
      <c r="A4170" s="18">
        <v>45665.0</v>
      </c>
      <c r="B4170" s="16" t="s">
        <v>5001</v>
      </c>
      <c r="C4170" s="16" t="s">
        <v>1039</v>
      </c>
      <c r="D4170" s="16" t="s">
        <v>707</v>
      </c>
      <c r="E4170" s="16">
        <v>2021.0</v>
      </c>
      <c r="F4170" s="16">
        <v>49.2876</v>
      </c>
      <c r="G4170" s="16">
        <v>12.2191</v>
      </c>
      <c r="H4170" s="15"/>
      <c r="I4170" s="15"/>
    </row>
    <row r="4171">
      <c r="A4171" s="18">
        <v>45665.0</v>
      </c>
      <c r="B4171" s="16" t="s">
        <v>5002</v>
      </c>
      <c r="C4171" s="16" t="s">
        <v>1351</v>
      </c>
      <c r="D4171" s="16" t="s">
        <v>707</v>
      </c>
      <c r="E4171" s="16">
        <v>2021.0</v>
      </c>
      <c r="F4171" s="16">
        <v>48.5038</v>
      </c>
      <c r="G4171" s="16">
        <v>10.8936</v>
      </c>
      <c r="H4171" s="15"/>
      <c r="I4171" s="15"/>
    </row>
    <row r="4172">
      <c r="A4172" s="18">
        <v>45665.0</v>
      </c>
      <c r="B4172" s="16" t="s">
        <v>5003</v>
      </c>
      <c r="C4172" s="16" t="s">
        <v>1101</v>
      </c>
      <c r="D4172" s="16" t="s">
        <v>707</v>
      </c>
      <c r="E4172" s="16">
        <v>2021.0</v>
      </c>
      <c r="F4172" s="16">
        <v>48.9302</v>
      </c>
      <c r="G4172" s="16">
        <v>12.7105</v>
      </c>
      <c r="H4172" s="15"/>
      <c r="I4172" s="15"/>
    </row>
    <row r="4173">
      <c r="A4173" s="18">
        <v>45665.0</v>
      </c>
      <c r="B4173" s="16" t="s">
        <v>5004</v>
      </c>
      <c r="C4173" s="16" t="s">
        <v>978</v>
      </c>
      <c r="D4173" s="16" t="s">
        <v>707</v>
      </c>
      <c r="E4173" s="16">
        <v>2021.0</v>
      </c>
      <c r="F4173" s="16">
        <v>54.2434</v>
      </c>
      <c r="G4173" s="16">
        <v>9.0714</v>
      </c>
      <c r="H4173" s="15"/>
      <c r="I4173" s="15"/>
    </row>
    <row r="4174">
      <c r="A4174" s="18">
        <v>45665.0</v>
      </c>
      <c r="B4174" s="16" t="s">
        <v>5005</v>
      </c>
      <c r="C4174" s="16" t="s">
        <v>982</v>
      </c>
      <c r="D4174" s="16" t="s">
        <v>707</v>
      </c>
      <c r="E4174" s="16">
        <v>2021.0</v>
      </c>
      <c r="F4174" s="16">
        <v>48.4909</v>
      </c>
      <c r="G4174" s="16">
        <v>11.9967</v>
      </c>
      <c r="H4174" s="15"/>
      <c r="I4174" s="15"/>
    </row>
    <row r="4175">
      <c r="A4175" s="18">
        <v>45665.0</v>
      </c>
      <c r="B4175" s="16" t="s">
        <v>5006</v>
      </c>
      <c r="C4175" s="16" t="s">
        <v>946</v>
      </c>
      <c r="D4175" s="16" t="s">
        <v>707</v>
      </c>
      <c r="E4175" s="16">
        <v>2021.0</v>
      </c>
      <c r="F4175" s="16">
        <v>49.5425</v>
      </c>
      <c r="G4175" s="16">
        <v>7.435</v>
      </c>
      <c r="H4175" s="15"/>
      <c r="I4175" s="15"/>
    </row>
    <row r="4176">
      <c r="A4176" s="18">
        <v>45665.0</v>
      </c>
      <c r="B4176" s="16" t="s">
        <v>5007</v>
      </c>
      <c r="C4176" s="16" t="s">
        <v>1034</v>
      </c>
      <c r="D4176" s="16" t="s">
        <v>707</v>
      </c>
      <c r="E4176" s="16">
        <v>2021.0</v>
      </c>
      <c r="F4176" s="16">
        <v>48.8266</v>
      </c>
      <c r="G4176" s="16">
        <v>11.8164</v>
      </c>
      <c r="H4176" s="15"/>
      <c r="I4176" s="15"/>
    </row>
    <row r="4177">
      <c r="A4177" s="18">
        <v>45665.0</v>
      </c>
      <c r="B4177" s="16" t="s">
        <v>5008</v>
      </c>
      <c r="C4177" s="16" t="s">
        <v>1034</v>
      </c>
      <c r="D4177" s="16" t="s">
        <v>707</v>
      </c>
      <c r="E4177" s="16">
        <v>2021.0</v>
      </c>
      <c r="F4177" s="16">
        <v>49.7755</v>
      </c>
      <c r="G4177" s="16">
        <v>11.9653</v>
      </c>
      <c r="H4177" s="15"/>
      <c r="I4177" s="15"/>
    </row>
    <row r="4178">
      <c r="A4178" s="18">
        <v>45665.0</v>
      </c>
      <c r="B4178" s="16" t="s">
        <v>5009</v>
      </c>
      <c r="C4178" s="16" t="s">
        <v>1059</v>
      </c>
      <c r="D4178" s="16" t="s">
        <v>707</v>
      </c>
      <c r="E4178" s="16">
        <v>2021.0</v>
      </c>
      <c r="F4178" s="16">
        <v>52.8464</v>
      </c>
      <c r="G4178" s="16">
        <v>10.6815</v>
      </c>
      <c r="H4178" s="15"/>
      <c r="I4178" s="15"/>
    </row>
    <row r="4179">
      <c r="A4179" s="18">
        <v>45665.0</v>
      </c>
      <c r="B4179" s="16" t="s">
        <v>5010</v>
      </c>
      <c r="C4179" s="16" t="s">
        <v>1090</v>
      </c>
      <c r="D4179" s="16" t="s">
        <v>707</v>
      </c>
      <c r="E4179" s="16">
        <v>2021.0</v>
      </c>
      <c r="F4179" s="16">
        <v>53.2056</v>
      </c>
      <c r="G4179" s="16">
        <v>8.364</v>
      </c>
      <c r="H4179" s="15"/>
      <c r="I4179" s="15"/>
    </row>
    <row r="4180">
      <c r="A4180" s="18">
        <v>45665.0</v>
      </c>
      <c r="B4180" s="16" t="s">
        <v>5011</v>
      </c>
      <c r="C4180" s="16" t="s">
        <v>948</v>
      </c>
      <c r="D4180" s="16" t="s">
        <v>707</v>
      </c>
      <c r="E4180" s="16">
        <v>2021.0</v>
      </c>
      <c r="F4180" s="16">
        <v>53.8543</v>
      </c>
      <c r="G4180" s="16">
        <v>13.0652</v>
      </c>
      <c r="H4180" s="15"/>
      <c r="I4180" s="15"/>
    </row>
    <row r="4181">
      <c r="A4181" s="18">
        <v>45665.0</v>
      </c>
      <c r="B4181" s="16" t="s">
        <v>5012</v>
      </c>
      <c r="C4181" s="16">
        <v>1.0</v>
      </c>
      <c r="D4181" s="16" t="s">
        <v>707</v>
      </c>
      <c r="E4181" s="16">
        <v>2021.0</v>
      </c>
      <c r="F4181" s="16">
        <v>50.8227</v>
      </c>
      <c r="G4181" s="16">
        <v>12.4803</v>
      </c>
      <c r="H4181" s="15"/>
      <c r="I4181" s="15"/>
    </row>
    <row r="4182">
      <c r="A4182" s="18">
        <v>45665.0</v>
      </c>
      <c r="B4182" s="16" t="s">
        <v>5013</v>
      </c>
      <c r="C4182" s="16" t="s">
        <v>978</v>
      </c>
      <c r="D4182" s="16" t="s">
        <v>707</v>
      </c>
      <c r="E4182" s="16">
        <v>2021.0</v>
      </c>
      <c r="F4182" s="16">
        <v>53.1263</v>
      </c>
      <c r="G4182" s="16">
        <v>12.5397</v>
      </c>
      <c r="H4182" s="15"/>
      <c r="I4182" s="15"/>
    </row>
    <row r="4183">
      <c r="A4183" s="18">
        <v>45665.0</v>
      </c>
      <c r="B4183" s="16" t="s">
        <v>5014</v>
      </c>
      <c r="C4183" s="16">
        <v>2.0</v>
      </c>
      <c r="D4183" s="16" t="s">
        <v>707</v>
      </c>
      <c r="E4183" s="16">
        <v>2021.0</v>
      </c>
      <c r="F4183" s="16">
        <v>51.8127</v>
      </c>
      <c r="G4183" s="16">
        <v>11.8944</v>
      </c>
      <c r="H4183" s="15"/>
      <c r="I4183" s="15"/>
    </row>
    <row r="4184">
      <c r="A4184" s="18">
        <v>45665.0</v>
      </c>
      <c r="B4184" s="16" t="s">
        <v>5015</v>
      </c>
      <c r="C4184" s="16" t="s">
        <v>1055</v>
      </c>
      <c r="D4184" s="16" t="s">
        <v>707</v>
      </c>
      <c r="E4184" s="16">
        <v>2021.0</v>
      </c>
      <c r="F4184" s="16">
        <v>51.8123</v>
      </c>
      <c r="G4184" s="16">
        <v>11.8928</v>
      </c>
      <c r="H4184" s="15"/>
      <c r="I4184" s="15"/>
    </row>
    <row r="4185">
      <c r="A4185" s="18">
        <v>45665.0</v>
      </c>
      <c r="B4185" s="16" t="s">
        <v>5016</v>
      </c>
      <c r="C4185" s="16" t="s">
        <v>1215</v>
      </c>
      <c r="D4185" s="16" t="s">
        <v>707</v>
      </c>
      <c r="E4185" s="16">
        <v>2021.0</v>
      </c>
      <c r="F4185" s="16">
        <v>51.6972</v>
      </c>
      <c r="G4185" s="16">
        <v>11.9215</v>
      </c>
      <c r="H4185" s="15"/>
      <c r="I4185" s="15"/>
    </row>
    <row r="4186">
      <c r="A4186" s="18">
        <v>45665.0</v>
      </c>
      <c r="B4186" s="16" t="s">
        <v>5017</v>
      </c>
      <c r="C4186" s="16" t="s">
        <v>948</v>
      </c>
      <c r="D4186" s="16" t="s">
        <v>707</v>
      </c>
      <c r="E4186" s="16">
        <v>2021.0</v>
      </c>
      <c r="F4186" s="16">
        <v>51.0681</v>
      </c>
      <c r="G4186" s="16">
        <v>6.3197</v>
      </c>
      <c r="H4186" s="15"/>
      <c r="I4186" s="15"/>
    </row>
    <row r="4187">
      <c r="A4187" s="18">
        <v>45665.0</v>
      </c>
      <c r="B4187" s="16" t="s">
        <v>5018</v>
      </c>
      <c r="C4187" s="16">
        <v>3.0</v>
      </c>
      <c r="D4187" s="16" t="s">
        <v>707</v>
      </c>
      <c r="E4187" s="16">
        <v>2021.0</v>
      </c>
      <c r="F4187" s="16">
        <v>51.7102</v>
      </c>
      <c r="G4187" s="16">
        <v>11.8384</v>
      </c>
      <c r="H4187" s="15"/>
      <c r="I4187" s="15"/>
    </row>
    <row r="4188">
      <c r="A4188" s="18">
        <v>45665.0</v>
      </c>
      <c r="B4188" s="16" t="s">
        <v>5019</v>
      </c>
      <c r="C4188" s="16" t="s">
        <v>1046</v>
      </c>
      <c r="D4188" s="16" t="s">
        <v>707</v>
      </c>
      <c r="E4188" s="16">
        <v>2021.0</v>
      </c>
      <c r="F4188" s="16">
        <v>54.4086</v>
      </c>
      <c r="G4188" s="16">
        <v>9.6227</v>
      </c>
      <c r="H4188" s="15"/>
      <c r="I4188" s="15"/>
    </row>
    <row r="4189">
      <c r="A4189" s="18">
        <v>45665.0</v>
      </c>
      <c r="B4189" s="16" t="s">
        <v>5020</v>
      </c>
      <c r="C4189" s="16" t="s">
        <v>1374</v>
      </c>
      <c r="D4189" s="16" t="s">
        <v>707</v>
      </c>
      <c r="E4189" s="16">
        <v>2021.0</v>
      </c>
      <c r="F4189" s="16">
        <v>53.434</v>
      </c>
      <c r="G4189" s="16">
        <v>12.4143</v>
      </c>
      <c r="H4189" s="15"/>
      <c r="I4189" s="15"/>
    </row>
    <row r="4190">
      <c r="A4190" s="18">
        <v>45665.0</v>
      </c>
      <c r="B4190" s="16" t="s">
        <v>5021</v>
      </c>
      <c r="C4190" s="16" t="s">
        <v>1215</v>
      </c>
      <c r="D4190" s="16" t="s">
        <v>707</v>
      </c>
      <c r="E4190" s="16">
        <v>2021.0</v>
      </c>
      <c r="F4190" s="16">
        <v>51.1852</v>
      </c>
      <c r="G4190" s="16">
        <v>9.7334</v>
      </c>
      <c r="H4190" s="15"/>
      <c r="I4190" s="15"/>
    </row>
    <row r="4191">
      <c r="A4191" s="18">
        <v>45665.0</v>
      </c>
      <c r="B4191" s="16" t="s">
        <v>5022</v>
      </c>
      <c r="C4191" s="16" t="s">
        <v>969</v>
      </c>
      <c r="D4191" s="16" t="s">
        <v>707</v>
      </c>
      <c r="E4191" s="16">
        <v>2021.0</v>
      </c>
      <c r="F4191" s="16">
        <v>51.6056</v>
      </c>
      <c r="G4191" s="16">
        <v>12.3176</v>
      </c>
      <c r="H4191" s="15"/>
      <c r="I4191" s="15"/>
    </row>
    <row r="4192">
      <c r="A4192" s="18">
        <v>45665.0</v>
      </c>
      <c r="B4192" s="16" t="s">
        <v>5023</v>
      </c>
      <c r="C4192" s="16" t="s">
        <v>951</v>
      </c>
      <c r="D4192" s="16" t="s">
        <v>707</v>
      </c>
      <c r="E4192" s="16">
        <v>2021.0</v>
      </c>
      <c r="F4192" s="16">
        <v>47.9498</v>
      </c>
      <c r="G4192" s="16">
        <v>11.4142</v>
      </c>
      <c r="H4192" s="15"/>
      <c r="I4192" s="15"/>
    </row>
    <row r="4193">
      <c r="A4193" s="18">
        <v>45665.0</v>
      </c>
      <c r="B4193" s="16" t="s">
        <v>5024</v>
      </c>
      <c r="C4193" s="16" t="s">
        <v>951</v>
      </c>
      <c r="D4193" s="16" t="s">
        <v>707</v>
      </c>
      <c r="E4193" s="16">
        <v>2021.0</v>
      </c>
      <c r="F4193" s="16">
        <v>51.435</v>
      </c>
      <c r="G4193" s="16">
        <v>11.0492</v>
      </c>
      <c r="H4193" s="15"/>
      <c r="I4193" s="15"/>
    </row>
    <row r="4194">
      <c r="A4194" s="18">
        <v>45665.0</v>
      </c>
      <c r="B4194" s="16" t="s">
        <v>5025</v>
      </c>
      <c r="C4194" s="16" t="s">
        <v>2147</v>
      </c>
      <c r="D4194" s="16" t="s">
        <v>707</v>
      </c>
      <c r="E4194" s="16">
        <v>2021.0</v>
      </c>
      <c r="F4194" s="16">
        <v>52.1855</v>
      </c>
      <c r="G4194" s="16">
        <v>12.1515</v>
      </c>
      <c r="H4194" s="15"/>
      <c r="I4194" s="15"/>
    </row>
    <row r="4195">
      <c r="A4195" s="18">
        <v>45665.0</v>
      </c>
      <c r="B4195" s="16" t="s">
        <v>5026</v>
      </c>
      <c r="C4195" s="16">
        <v>10.0</v>
      </c>
      <c r="D4195" s="16" t="s">
        <v>707</v>
      </c>
      <c r="E4195" s="16">
        <v>2021.0</v>
      </c>
      <c r="F4195" s="16">
        <v>52.5738</v>
      </c>
      <c r="G4195" s="16">
        <v>12.8094</v>
      </c>
      <c r="H4195" s="15"/>
      <c r="I4195" s="15"/>
    </row>
    <row r="4196">
      <c r="A4196" s="18">
        <v>45665.0</v>
      </c>
      <c r="B4196" s="16" t="s">
        <v>5027</v>
      </c>
      <c r="C4196" s="16" t="s">
        <v>1085</v>
      </c>
      <c r="D4196" s="16" t="s">
        <v>707</v>
      </c>
      <c r="E4196" s="16">
        <v>2021.0</v>
      </c>
      <c r="F4196" s="16">
        <v>51.8583</v>
      </c>
      <c r="G4196" s="16">
        <v>11.699</v>
      </c>
      <c r="H4196" s="15"/>
      <c r="I4196" s="15"/>
    </row>
    <row r="4197">
      <c r="A4197" s="18">
        <v>45665.0</v>
      </c>
      <c r="B4197" s="16" t="s">
        <v>5028</v>
      </c>
      <c r="C4197" s="16" t="s">
        <v>4358</v>
      </c>
      <c r="D4197" s="16" t="s">
        <v>707</v>
      </c>
      <c r="E4197" s="16">
        <v>2021.0</v>
      </c>
      <c r="F4197" s="16">
        <v>51.2256</v>
      </c>
      <c r="G4197" s="16">
        <v>10.2518</v>
      </c>
      <c r="H4197" s="15"/>
      <c r="I4197" s="15"/>
    </row>
    <row r="4198">
      <c r="A4198" s="18">
        <v>45665.0</v>
      </c>
      <c r="B4198" s="16" t="s">
        <v>5029</v>
      </c>
      <c r="C4198" s="16" t="s">
        <v>951</v>
      </c>
      <c r="D4198" s="16" t="s">
        <v>707</v>
      </c>
      <c r="E4198" s="16">
        <v>2021.0</v>
      </c>
      <c r="F4198" s="16">
        <v>48.4847</v>
      </c>
      <c r="G4198" s="16">
        <v>12.6623</v>
      </c>
      <c r="H4198" s="15"/>
      <c r="I4198" s="15"/>
    </row>
    <row r="4199">
      <c r="A4199" s="18">
        <v>45665.0</v>
      </c>
      <c r="B4199" s="16" t="s">
        <v>2318</v>
      </c>
      <c r="C4199" s="16" t="s">
        <v>3817</v>
      </c>
      <c r="D4199" s="16" t="s">
        <v>707</v>
      </c>
      <c r="E4199" s="16">
        <v>2021.0</v>
      </c>
      <c r="F4199" s="16">
        <v>51.8059</v>
      </c>
      <c r="G4199" s="16">
        <v>12.3521</v>
      </c>
      <c r="H4199" s="15"/>
      <c r="I4199" s="15"/>
    </row>
    <row r="4200">
      <c r="A4200" s="18">
        <v>45665.0</v>
      </c>
      <c r="B4200" s="16" t="s">
        <v>5030</v>
      </c>
      <c r="C4200" s="16" t="s">
        <v>969</v>
      </c>
      <c r="D4200" s="16" t="s">
        <v>707</v>
      </c>
      <c r="E4200" s="16">
        <v>2021.0</v>
      </c>
      <c r="F4200" s="16">
        <v>52.7763</v>
      </c>
      <c r="G4200" s="16">
        <v>11.7544</v>
      </c>
      <c r="H4200" s="15"/>
      <c r="I4200" s="15"/>
    </row>
    <row r="4201">
      <c r="A4201" s="18">
        <v>45665.0</v>
      </c>
      <c r="B4201" s="16" t="s">
        <v>5031</v>
      </c>
      <c r="C4201" s="16" t="s">
        <v>1034</v>
      </c>
      <c r="D4201" s="16" t="s">
        <v>707</v>
      </c>
      <c r="E4201" s="16">
        <v>2021.0</v>
      </c>
      <c r="F4201" s="16">
        <v>52.2126</v>
      </c>
      <c r="G4201" s="16">
        <v>11.1599</v>
      </c>
      <c r="H4201" s="15"/>
      <c r="I4201" s="15"/>
    </row>
    <row r="4202">
      <c r="A4202" s="18">
        <v>45665.0</v>
      </c>
      <c r="B4202" s="16" t="s">
        <v>5032</v>
      </c>
      <c r="C4202" s="16" t="s">
        <v>978</v>
      </c>
      <c r="D4202" s="16" t="s">
        <v>707</v>
      </c>
      <c r="E4202" s="16">
        <v>2021.0</v>
      </c>
      <c r="F4202" s="16">
        <v>49.6966</v>
      </c>
      <c r="G4202" s="16">
        <v>9.9177</v>
      </c>
      <c r="H4202" s="15"/>
      <c r="I4202" s="15"/>
    </row>
    <row r="4203">
      <c r="A4203" s="18">
        <v>45665.0</v>
      </c>
      <c r="B4203" s="16" t="s">
        <v>5033</v>
      </c>
      <c r="C4203" s="16">
        <v>2.0</v>
      </c>
      <c r="D4203" s="16" t="s">
        <v>707</v>
      </c>
      <c r="E4203" s="16">
        <v>2021.0</v>
      </c>
      <c r="F4203" s="16">
        <v>51.5368</v>
      </c>
      <c r="G4203" s="16">
        <v>6.594</v>
      </c>
      <c r="H4203" s="15"/>
      <c r="I4203" s="15"/>
    </row>
    <row r="4204">
      <c r="A4204" s="18">
        <v>45665.0</v>
      </c>
      <c r="B4204" s="16" t="s">
        <v>5034</v>
      </c>
      <c r="C4204" s="16">
        <v>5.0</v>
      </c>
      <c r="D4204" s="16" t="s">
        <v>707</v>
      </c>
      <c r="E4204" s="16">
        <v>2021.0</v>
      </c>
      <c r="F4204" s="16">
        <v>49.7751</v>
      </c>
      <c r="G4204" s="16">
        <v>11.9644</v>
      </c>
      <c r="H4204" s="15"/>
      <c r="I4204" s="15"/>
    </row>
    <row r="4205">
      <c r="A4205" s="18">
        <v>45665.0</v>
      </c>
      <c r="B4205" s="16" t="s">
        <v>5035</v>
      </c>
      <c r="C4205" s="16" t="s">
        <v>1051</v>
      </c>
      <c r="D4205" s="16" t="s">
        <v>707</v>
      </c>
      <c r="E4205" s="16">
        <v>2021.0</v>
      </c>
      <c r="F4205" s="16">
        <v>48.9789</v>
      </c>
      <c r="G4205" s="16">
        <v>12.2761</v>
      </c>
      <c r="H4205" s="15"/>
      <c r="I4205" s="15"/>
    </row>
    <row r="4206">
      <c r="A4206" s="18">
        <v>45665.0</v>
      </c>
      <c r="B4206" s="16" t="s">
        <v>5036</v>
      </c>
      <c r="C4206" s="16">
        <v>8.0</v>
      </c>
      <c r="D4206" s="16" t="s">
        <v>707</v>
      </c>
      <c r="E4206" s="16">
        <v>2021.0</v>
      </c>
      <c r="F4206" s="16">
        <v>49.814</v>
      </c>
      <c r="G4206" s="16">
        <v>6.8278</v>
      </c>
      <c r="H4206" s="15"/>
      <c r="I4206" s="15"/>
    </row>
    <row r="4207">
      <c r="A4207" s="18">
        <v>45665.0</v>
      </c>
      <c r="B4207" s="16" t="s">
        <v>5037</v>
      </c>
      <c r="C4207" s="16" t="s">
        <v>1267</v>
      </c>
      <c r="D4207" s="16" t="s">
        <v>707</v>
      </c>
      <c r="E4207" s="16">
        <v>2021.0</v>
      </c>
      <c r="F4207" s="16">
        <v>53.1168</v>
      </c>
      <c r="G4207" s="16">
        <v>11.8116</v>
      </c>
      <c r="H4207" s="15"/>
      <c r="I4207" s="15"/>
    </row>
    <row r="4208">
      <c r="A4208" s="18">
        <v>45665.0</v>
      </c>
      <c r="B4208" s="16" t="s">
        <v>5038</v>
      </c>
      <c r="C4208" s="16" t="s">
        <v>1771</v>
      </c>
      <c r="D4208" s="16" t="s">
        <v>707</v>
      </c>
      <c r="E4208" s="16">
        <v>2021.0</v>
      </c>
      <c r="F4208" s="16">
        <v>52.5101</v>
      </c>
      <c r="G4208" s="16">
        <v>11.2892</v>
      </c>
      <c r="H4208" s="15"/>
      <c r="I4208" s="15"/>
    </row>
    <row r="4209">
      <c r="A4209" s="18">
        <v>45665.0</v>
      </c>
      <c r="B4209" s="16" t="s">
        <v>5039</v>
      </c>
      <c r="C4209" s="16" t="s">
        <v>1771</v>
      </c>
      <c r="D4209" s="16" t="s">
        <v>707</v>
      </c>
      <c r="E4209" s="16">
        <v>2021.0</v>
      </c>
      <c r="F4209" s="16">
        <v>52.5696</v>
      </c>
      <c r="G4209" s="16">
        <v>11.9641</v>
      </c>
      <c r="H4209" s="15"/>
      <c r="I4209" s="15"/>
    </row>
    <row r="4210">
      <c r="A4210" s="18">
        <v>45665.0</v>
      </c>
      <c r="B4210" s="16" t="s">
        <v>5040</v>
      </c>
      <c r="C4210" s="16">
        <v>1.0</v>
      </c>
      <c r="D4210" s="16" t="s">
        <v>707</v>
      </c>
      <c r="E4210" s="16">
        <v>2021.0</v>
      </c>
      <c r="F4210" s="16">
        <v>51.6458</v>
      </c>
      <c r="G4210" s="16">
        <v>12.2372</v>
      </c>
      <c r="H4210" s="15"/>
      <c r="I4210" s="15"/>
    </row>
    <row r="4211">
      <c r="A4211" s="18">
        <v>45665.0</v>
      </c>
      <c r="B4211" s="16" t="s">
        <v>5041</v>
      </c>
      <c r="C4211" s="16" t="s">
        <v>3817</v>
      </c>
      <c r="D4211" s="16" t="s">
        <v>707</v>
      </c>
      <c r="E4211" s="16">
        <v>2021.0</v>
      </c>
      <c r="F4211" s="16">
        <v>49.0655</v>
      </c>
      <c r="G4211" s="16">
        <v>10.8468</v>
      </c>
      <c r="H4211" s="15"/>
      <c r="I4211" s="15"/>
    </row>
    <row r="4212">
      <c r="A4212" s="18">
        <v>45665.0</v>
      </c>
      <c r="B4212" s="16" t="s">
        <v>5042</v>
      </c>
      <c r="C4212" s="16">
        <v>1.0</v>
      </c>
      <c r="D4212" s="16" t="s">
        <v>707</v>
      </c>
      <c r="E4212" s="16">
        <v>2021.0</v>
      </c>
      <c r="F4212" s="16">
        <v>50.8936</v>
      </c>
      <c r="G4212" s="16">
        <v>10.5761</v>
      </c>
      <c r="H4212" s="15"/>
      <c r="I4212" s="15"/>
    </row>
    <row r="4213">
      <c r="A4213" s="18">
        <v>45665.0</v>
      </c>
      <c r="B4213" s="16" t="s">
        <v>5043</v>
      </c>
      <c r="C4213" s="16" t="s">
        <v>1037</v>
      </c>
      <c r="D4213" s="16" t="s">
        <v>707</v>
      </c>
      <c r="E4213" s="16">
        <v>2021.0</v>
      </c>
      <c r="F4213" s="16">
        <v>52.6777</v>
      </c>
      <c r="G4213" s="16">
        <v>11.3133</v>
      </c>
      <c r="H4213" s="15"/>
      <c r="I4213" s="15"/>
    </row>
    <row r="4214">
      <c r="A4214" s="18">
        <v>45665.0</v>
      </c>
      <c r="B4214" s="16" t="s">
        <v>5044</v>
      </c>
      <c r="C4214" s="16" t="s">
        <v>1011</v>
      </c>
      <c r="D4214" s="16" t="s">
        <v>707</v>
      </c>
      <c r="E4214" s="16">
        <v>2021.0</v>
      </c>
      <c r="F4214" s="16">
        <v>52.9951</v>
      </c>
      <c r="G4214" s="16">
        <v>11.7668</v>
      </c>
      <c r="H4214" s="15"/>
      <c r="I4214" s="15"/>
    </row>
    <row r="4215">
      <c r="A4215" s="18">
        <v>45665.0</v>
      </c>
      <c r="B4215" s="16" t="s">
        <v>5045</v>
      </c>
      <c r="C4215" s="16">
        <v>5.0</v>
      </c>
      <c r="D4215" s="16" t="s">
        <v>707</v>
      </c>
      <c r="E4215" s="16">
        <v>2021.0</v>
      </c>
      <c r="F4215" s="16">
        <v>48.9869</v>
      </c>
      <c r="G4215" s="16">
        <v>11.568</v>
      </c>
      <c r="H4215" s="15"/>
      <c r="I4215" s="15"/>
    </row>
    <row r="4216">
      <c r="A4216" s="18">
        <v>45665.0</v>
      </c>
      <c r="B4216" s="16" t="s">
        <v>5046</v>
      </c>
      <c r="C4216" s="16">
        <v>3.0</v>
      </c>
      <c r="D4216" s="16" t="s">
        <v>707</v>
      </c>
      <c r="E4216" s="16">
        <v>2021.0</v>
      </c>
      <c r="F4216" s="16">
        <v>52.7352</v>
      </c>
      <c r="G4216" s="16">
        <v>14.1288</v>
      </c>
      <c r="H4216" s="15"/>
      <c r="I4216" s="15"/>
    </row>
    <row r="4217">
      <c r="A4217" s="18">
        <v>45665.0</v>
      </c>
      <c r="B4217" s="16" t="s">
        <v>5047</v>
      </c>
      <c r="C4217" s="16">
        <v>10.0</v>
      </c>
      <c r="D4217" s="16" t="s">
        <v>707</v>
      </c>
      <c r="E4217" s="16">
        <v>2021.0</v>
      </c>
      <c r="F4217" s="16">
        <v>53.3597</v>
      </c>
      <c r="G4217" s="16">
        <v>11.8716</v>
      </c>
      <c r="H4217" s="15"/>
      <c r="I4217" s="15"/>
    </row>
    <row r="4218">
      <c r="A4218" s="18">
        <v>45665.0</v>
      </c>
      <c r="B4218" s="16" t="s">
        <v>5048</v>
      </c>
      <c r="C4218" s="16" t="s">
        <v>1771</v>
      </c>
      <c r="D4218" s="16" t="s">
        <v>707</v>
      </c>
      <c r="E4218" s="16">
        <v>2021.0</v>
      </c>
      <c r="F4218" s="16">
        <v>51.7177</v>
      </c>
      <c r="G4218" s="16">
        <v>12.3975</v>
      </c>
      <c r="H4218" s="15"/>
      <c r="I4218" s="15"/>
    </row>
    <row r="4219">
      <c r="A4219" s="18">
        <v>45665.0</v>
      </c>
      <c r="B4219" s="16" t="s">
        <v>5049</v>
      </c>
      <c r="C4219" s="16">
        <v>10.0</v>
      </c>
      <c r="D4219" s="16" t="s">
        <v>707</v>
      </c>
      <c r="E4219" s="16">
        <v>2021.0</v>
      </c>
      <c r="F4219" s="16">
        <v>50.9126</v>
      </c>
      <c r="G4219" s="16">
        <v>13.4134</v>
      </c>
      <c r="H4219" s="15"/>
      <c r="I4219" s="15"/>
    </row>
    <row r="4220">
      <c r="A4220" s="18">
        <v>45665.0</v>
      </c>
      <c r="B4220" s="16" t="s">
        <v>5050</v>
      </c>
      <c r="C4220" s="16" t="s">
        <v>1167</v>
      </c>
      <c r="D4220" s="16" t="s">
        <v>707</v>
      </c>
      <c r="E4220" s="16">
        <v>2021.0</v>
      </c>
      <c r="F4220" s="16">
        <v>53.5093</v>
      </c>
      <c r="G4220" s="16">
        <v>12.0643</v>
      </c>
      <c r="H4220" s="15"/>
      <c r="I4220" s="15"/>
    </row>
    <row r="4221">
      <c r="A4221" s="18">
        <v>45665.0</v>
      </c>
      <c r="B4221" s="16" t="s">
        <v>5051</v>
      </c>
      <c r="C4221" s="16" t="s">
        <v>4358</v>
      </c>
      <c r="D4221" s="16" t="s">
        <v>707</v>
      </c>
      <c r="E4221" s="16">
        <v>2021.0</v>
      </c>
      <c r="F4221" s="16">
        <v>50.1328</v>
      </c>
      <c r="G4221" s="16">
        <v>10.7463</v>
      </c>
      <c r="H4221" s="15"/>
      <c r="I4221" s="15"/>
    </row>
    <row r="4222">
      <c r="A4222" s="18">
        <v>45665.0</v>
      </c>
      <c r="B4222" s="16" t="s">
        <v>5052</v>
      </c>
      <c r="C4222" s="16" t="s">
        <v>1055</v>
      </c>
      <c r="D4222" s="16" t="s">
        <v>707</v>
      </c>
      <c r="E4222" s="16">
        <v>2021.0</v>
      </c>
      <c r="F4222" s="16">
        <v>50.1325</v>
      </c>
      <c r="G4222" s="16">
        <v>10.7476</v>
      </c>
      <c r="H4222" s="15"/>
      <c r="I4222" s="15"/>
    </row>
    <row r="4223">
      <c r="A4223" s="18">
        <v>45665.0</v>
      </c>
      <c r="B4223" s="16" t="s">
        <v>5053</v>
      </c>
      <c r="C4223" s="16" t="s">
        <v>961</v>
      </c>
      <c r="D4223" s="16" t="s">
        <v>707</v>
      </c>
      <c r="E4223" s="16">
        <v>2021.0</v>
      </c>
      <c r="F4223" s="16">
        <v>49.2649</v>
      </c>
      <c r="G4223" s="16">
        <v>10.9721</v>
      </c>
      <c r="H4223" s="15"/>
      <c r="I4223" s="15"/>
    </row>
    <row r="4224">
      <c r="A4224" s="18">
        <v>45665.0</v>
      </c>
      <c r="B4224" s="16" t="s">
        <v>5054</v>
      </c>
      <c r="C4224" s="16" t="s">
        <v>1090</v>
      </c>
      <c r="D4224" s="16" t="s">
        <v>707</v>
      </c>
      <c r="E4224" s="16">
        <v>2021.0</v>
      </c>
      <c r="F4224" s="16">
        <v>49.4682</v>
      </c>
      <c r="G4224" s="16">
        <v>12.1937</v>
      </c>
      <c r="H4224" s="15"/>
      <c r="I4224" s="15"/>
    </row>
    <row r="4225">
      <c r="A4225" s="18">
        <v>45665.0</v>
      </c>
      <c r="B4225" s="16" t="s">
        <v>5055</v>
      </c>
      <c r="C4225" s="16">
        <v>1.0</v>
      </c>
      <c r="D4225" s="16" t="s">
        <v>707</v>
      </c>
      <c r="E4225" s="16">
        <v>2021.0</v>
      </c>
      <c r="F4225" s="16">
        <v>51.6719</v>
      </c>
      <c r="G4225" s="16">
        <v>12.923</v>
      </c>
      <c r="H4225" s="15"/>
      <c r="I4225" s="15"/>
    </row>
    <row r="4226">
      <c r="A4226" s="18">
        <v>45665.0</v>
      </c>
      <c r="B4226" s="16" t="s">
        <v>5056</v>
      </c>
      <c r="C4226" s="16" t="s">
        <v>3086</v>
      </c>
      <c r="D4226" s="16" t="s">
        <v>707</v>
      </c>
      <c r="E4226" s="16">
        <v>2021.0</v>
      </c>
      <c r="F4226" s="16">
        <v>54.166</v>
      </c>
      <c r="G4226" s="16">
        <v>12.2133</v>
      </c>
      <c r="H4226" s="15"/>
      <c r="I4226" s="15"/>
    </row>
    <row r="4227">
      <c r="A4227" s="18">
        <v>45665.0</v>
      </c>
      <c r="B4227" s="16" t="s">
        <v>5057</v>
      </c>
      <c r="C4227" s="16">
        <v>2.0</v>
      </c>
      <c r="D4227" s="16" t="s">
        <v>707</v>
      </c>
      <c r="E4227" s="16">
        <v>2021.0</v>
      </c>
      <c r="F4227" s="16">
        <v>48.6328</v>
      </c>
      <c r="G4227" s="16">
        <v>12.3711</v>
      </c>
      <c r="H4227" s="15"/>
      <c r="I4227" s="15"/>
    </row>
    <row r="4228">
      <c r="A4228" s="18">
        <v>45665.0</v>
      </c>
      <c r="B4228" s="16" t="s">
        <v>5058</v>
      </c>
      <c r="C4228" s="16" t="s">
        <v>942</v>
      </c>
      <c r="D4228" s="16" t="s">
        <v>707</v>
      </c>
      <c r="E4228" s="16">
        <v>2021.0</v>
      </c>
      <c r="F4228" s="16">
        <v>50.1064</v>
      </c>
      <c r="G4228" s="16">
        <v>6.5845</v>
      </c>
      <c r="H4228" s="15"/>
      <c r="I4228" s="15"/>
    </row>
    <row r="4229">
      <c r="A4229" s="18">
        <v>45665.0</v>
      </c>
      <c r="B4229" s="16" t="s">
        <v>5059</v>
      </c>
      <c r="C4229" s="16" t="s">
        <v>1037</v>
      </c>
      <c r="D4229" s="16" t="s">
        <v>707</v>
      </c>
      <c r="E4229" s="16">
        <v>2021.0</v>
      </c>
      <c r="F4229" s="16">
        <v>51.4274</v>
      </c>
      <c r="G4229" s="16">
        <v>11.3362</v>
      </c>
      <c r="H4229" s="15"/>
      <c r="I4229" s="15"/>
    </row>
    <row r="4230">
      <c r="A4230" s="18">
        <v>45665.0</v>
      </c>
      <c r="B4230" s="16" t="s">
        <v>5060</v>
      </c>
      <c r="C4230" s="16" t="s">
        <v>1282</v>
      </c>
      <c r="D4230" s="16" t="s">
        <v>707</v>
      </c>
      <c r="E4230" s="16">
        <v>2021.0</v>
      </c>
      <c r="F4230" s="16">
        <v>49.8542</v>
      </c>
      <c r="G4230" s="16">
        <v>6.7814</v>
      </c>
      <c r="H4230" s="15"/>
      <c r="I4230" s="15"/>
    </row>
    <row r="4231">
      <c r="A4231" s="18">
        <v>45665.0</v>
      </c>
      <c r="B4231" s="16" t="s">
        <v>5061</v>
      </c>
      <c r="C4231" s="16" t="s">
        <v>1386</v>
      </c>
      <c r="D4231" s="16" t="s">
        <v>707</v>
      </c>
      <c r="E4231" s="16">
        <v>2021.0</v>
      </c>
      <c r="F4231" s="16">
        <v>49.8778</v>
      </c>
      <c r="G4231" s="16">
        <v>6.8707</v>
      </c>
      <c r="H4231" s="15"/>
      <c r="I4231" s="15"/>
    </row>
    <row r="4232">
      <c r="A4232" s="18">
        <v>45665.0</v>
      </c>
      <c r="B4232" s="16" t="s">
        <v>5062</v>
      </c>
      <c r="C4232" s="16" t="s">
        <v>1007</v>
      </c>
      <c r="D4232" s="16" t="s">
        <v>707</v>
      </c>
      <c r="E4232" s="16">
        <v>2021.0</v>
      </c>
      <c r="F4232" s="16">
        <v>51.3157</v>
      </c>
      <c r="G4232" s="16">
        <v>11.1621</v>
      </c>
      <c r="H4232" s="15"/>
      <c r="I4232" s="15"/>
    </row>
    <row r="4233">
      <c r="A4233" s="18">
        <v>45665.0</v>
      </c>
      <c r="B4233" s="16" t="s">
        <v>5063</v>
      </c>
      <c r="C4233" s="16">
        <v>2.0</v>
      </c>
      <c r="D4233" s="16" t="s">
        <v>707</v>
      </c>
      <c r="E4233" s="16">
        <v>2021.0</v>
      </c>
      <c r="F4233" s="16">
        <v>49.7956</v>
      </c>
      <c r="G4233" s="16">
        <v>6.8483</v>
      </c>
      <c r="H4233" s="15"/>
      <c r="I4233" s="15"/>
    </row>
    <row r="4234">
      <c r="A4234" s="18">
        <v>45665.0</v>
      </c>
      <c r="B4234" s="16" t="s">
        <v>5064</v>
      </c>
      <c r="C4234" s="16" t="s">
        <v>942</v>
      </c>
      <c r="D4234" s="16" t="s">
        <v>707</v>
      </c>
      <c r="E4234" s="16">
        <v>2021.0</v>
      </c>
      <c r="F4234" s="16">
        <v>48.6887</v>
      </c>
      <c r="G4234" s="16">
        <v>11.7402</v>
      </c>
      <c r="H4234" s="15"/>
      <c r="I4234" s="15"/>
    </row>
    <row r="4235">
      <c r="A4235" s="18">
        <v>45665.0</v>
      </c>
      <c r="B4235" s="16" t="s">
        <v>5065</v>
      </c>
      <c r="C4235" s="16" t="s">
        <v>1039</v>
      </c>
      <c r="D4235" s="16" t="s">
        <v>707</v>
      </c>
      <c r="E4235" s="16">
        <v>2021.0</v>
      </c>
      <c r="F4235" s="16">
        <v>48.6863</v>
      </c>
      <c r="G4235" s="16">
        <v>11.7366</v>
      </c>
      <c r="H4235" s="15"/>
      <c r="I4235" s="15"/>
    </row>
    <row r="4236">
      <c r="A4236" s="18">
        <v>45665.0</v>
      </c>
      <c r="B4236" s="16" t="s">
        <v>5066</v>
      </c>
      <c r="C4236" s="16" t="s">
        <v>959</v>
      </c>
      <c r="D4236" s="16" t="s">
        <v>707</v>
      </c>
      <c r="E4236" s="16">
        <v>2021.0</v>
      </c>
      <c r="F4236" s="16">
        <v>48.7077</v>
      </c>
      <c r="G4236" s="16">
        <v>11.7893</v>
      </c>
      <c r="H4236" s="15"/>
      <c r="I4236" s="15"/>
    </row>
    <row r="4237">
      <c r="A4237" s="18">
        <v>45665.0</v>
      </c>
      <c r="B4237" s="16" t="s">
        <v>5067</v>
      </c>
      <c r="C4237" s="16" t="s">
        <v>959</v>
      </c>
      <c r="D4237" s="16" t="s">
        <v>707</v>
      </c>
      <c r="E4237" s="16">
        <v>2021.0</v>
      </c>
      <c r="F4237" s="16">
        <v>48.4892</v>
      </c>
      <c r="G4237" s="16">
        <v>11.998</v>
      </c>
      <c r="H4237" s="15"/>
      <c r="I4237" s="15"/>
    </row>
    <row r="4238">
      <c r="A4238" s="18">
        <v>45665.0</v>
      </c>
      <c r="B4238" s="16" t="s">
        <v>5068</v>
      </c>
      <c r="C4238" s="16" t="s">
        <v>1172</v>
      </c>
      <c r="D4238" s="16" t="s">
        <v>707</v>
      </c>
      <c r="E4238" s="16">
        <v>2021.0</v>
      </c>
      <c r="F4238" s="16">
        <v>49.285</v>
      </c>
      <c r="G4238" s="16">
        <v>11.9791</v>
      </c>
      <c r="H4238" s="15"/>
      <c r="I4238" s="15"/>
    </row>
    <row r="4239">
      <c r="A4239" s="18">
        <v>45665.0</v>
      </c>
      <c r="B4239" s="16" t="s">
        <v>5069</v>
      </c>
      <c r="C4239" s="16">
        <v>10.0</v>
      </c>
      <c r="D4239" s="16" t="s">
        <v>707</v>
      </c>
      <c r="E4239" s="16">
        <v>2021.0</v>
      </c>
      <c r="F4239" s="16">
        <v>54.1711</v>
      </c>
      <c r="G4239" s="16">
        <v>10.8692</v>
      </c>
      <c r="H4239" s="15"/>
      <c r="I4239" s="15"/>
    </row>
    <row r="4240">
      <c r="A4240" s="18">
        <v>45665.0</v>
      </c>
      <c r="B4240" s="16" t="s">
        <v>5070</v>
      </c>
      <c r="C4240" s="16" t="s">
        <v>959</v>
      </c>
      <c r="D4240" s="16" t="s">
        <v>707</v>
      </c>
      <c r="E4240" s="16">
        <v>2021.0</v>
      </c>
      <c r="F4240" s="16">
        <v>49.6137</v>
      </c>
      <c r="G4240" s="16">
        <v>11.6798</v>
      </c>
      <c r="H4240" s="15"/>
      <c r="I4240" s="15"/>
    </row>
    <row r="4241">
      <c r="A4241" s="18">
        <v>45665.0</v>
      </c>
      <c r="B4241" s="16" t="s">
        <v>5071</v>
      </c>
      <c r="C4241" s="16" t="s">
        <v>1037</v>
      </c>
      <c r="D4241" s="16" t="s">
        <v>707</v>
      </c>
      <c r="E4241" s="16">
        <v>2021.0</v>
      </c>
      <c r="F4241" s="16">
        <v>48.5197</v>
      </c>
      <c r="G4241" s="16">
        <v>12.0615</v>
      </c>
      <c r="H4241" s="15"/>
      <c r="I4241" s="15"/>
    </row>
    <row r="4242">
      <c r="A4242" s="18">
        <v>45665.0</v>
      </c>
      <c r="B4242" s="16" t="s">
        <v>5072</v>
      </c>
      <c r="C4242" s="16">
        <v>4.0</v>
      </c>
      <c r="D4242" s="16" t="s">
        <v>707</v>
      </c>
      <c r="E4242" s="16">
        <v>2021.0</v>
      </c>
      <c r="F4242" s="16">
        <v>48.3356</v>
      </c>
      <c r="G4242" s="16">
        <v>11.6819</v>
      </c>
      <c r="H4242" s="15"/>
      <c r="I4242" s="15"/>
    </row>
    <row r="4243">
      <c r="A4243" s="18">
        <v>45665.0</v>
      </c>
      <c r="B4243" s="16" t="s">
        <v>5073</v>
      </c>
      <c r="C4243" s="16">
        <v>6.0</v>
      </c>
      <c r="D4243" s="16" t="s">
        <v>707</v>
      </c>
      <c r="E4243" s="16">
        <v>2021.0</v>
      </c>
      <c r="F4243" s="16">
        <v>48.3348</v>
      </c>
      <c r="G4243" s="16">
        <v>11.6789</v>
      </c>
      <c r="H4243" s="15"/>
      <c r="I4243" s="15"/>
    </row>
    <row r="4244">
      <c r="A4244" s="18">
        <v>45665.0</v>
      </c>
      <c r="B4244" s="16" t="s">
        <v>5074</v>
      </c>
      <c r="C4244" s="16" t="s">
        <v>961</v>
      </c>
      <c r="D4244" s="16" t="s">
        <v>707</v>
      </c>
      <c r="E4244" s="16">
        <v>2021.0</v>
      </c>
      <c r="F4244" s="16">
        <v>48.6729</v>
      </c>
      <c r="G4244" s="16">
        <v>11.9712</v>
      </c>
      <c r="H4244" s="15"/>
      <c r="I4244" s="15"/>
    </row>
    <row r="4245">
      <c r="A4245" s="18">
        <v>45665.0</v>
      </c>
      <c r="B4245" s="16" t="s">
        <v>5075</v>
      </c>
      <c r="C4245" s="16" t="s">
        <v>1090</v>
      </c>
      <c r="D4245" s="16" t="s">
        <v>707</v>
      </c>
      <c r="E4245" s="16">
        <v>2021.0</v>
      </c>
      <c r="F4245" s="16">
        <v>48.5689</v>
      </c>
      <c r="G4245" s="16">
        <v>11.9556</v>
      </c>
      <c r="H4245" s="15"/>
      <c r="I4245" s="15"/>
    </row>
    <row r="4246">
      <c r="A4246" s="18">
        <v>45665.0</v>
      </c>
      <c r="B4246" s="16" t="s">
        <v>5076</v>
      </c>
      <c r="C4246" s="16" t="s">
        <v>2457</v>
      </c>
      <c r="D4246" s="16" t="s">
        <v>707</v>
      </c>
      <c r="E4246" s="16">
        <v>2021.0</v>
      </c>
      <c r="F4246" s="16">
        <v>48.5655</v>
      </c>
      <c r="G4246" s="16">
        <v>11.9556</v>
      </c>
      <c r="H4246" s="15"/>
      <c r="I4246" s="15"/>
    </row>
    <row r="4247">
      <c r="A4247" s="18">
        <v>45665.0</v>
      </c>
      <c r="B4247" s="16" t="s">
        <v>5077</v>
      </c>
      <c r="C4247" s="16">
        <v>6.0</v>
      </c>
      <c r="D4247" s="16" t="s">
        <v>707</v>
      </c>
      <c r="E4247" s="16">
        <v>2021.0</v>
      </c>
      <c r="F4247" s="16">
        <v>49.6331</v>
      </c>
      <c r="G4247" s="16">
        <v>12.1264</v>
      </c>
      <c r="H4247" s="15"/>
      <c r="I4247" s="15"/>
    </row>
    <row r="4248">
      <c r="A4248" s="18">
        <v>45665.0</v>
      </c>
      <c r="B4248" s="16" t="s">
        <v>5078</v>
      </c>
      <c r="C4248" s="16" t="s">
        <v>1055</v>
      </c>
      <c r="D4248" s="16" t="s">
        <v>707</v>
      </c>
      <c r="E4248" s="16">
        <v>2021.0</v>
      </c>
      <c r="F4248" s="16">
        <v>51.7353</v>
      </c>
      <c r="G4248" s="16">
        <v>7.9335</v>
      </c>
      <c r="H4248" s="15"/>
      <c r="I4248" s="15"/>
    </row>
    <row r="4249">
      <c r="A4249" s="18">
        <v>45665.0</v>
      </c>
      <c r="B4249" s="16" t="s">
        <v>5079</v>
      </c>
      <c r="C4249" s="16" t="s">
        <v>4358</v>
      </c>
      <c r="D4249" s="16" t="s">
        <v>707</v>
      </c>
      <c r="E4249" s="16">
        <v>2021.0</v>
      </c>
      <c r="F4249" s="16">
        <v>49.059</v>
      </c>
      <c r="G4249" s="16">
        <v>10.8905</v>
      </c>
      <c r="H4249" s="15"/>
      <c r="I4249" s="15"/>
    </row>
    <row r="4250">
      <c r="A4250" s="18">
        <v>45665.0</v>
      </c>
      <c r="B4250" s="16" t="s">
        <v>5080</v>
      </c>
      <c r="C4250" s="16">
        <v>3.0</v>
      </c>
      <c r="D4250" s="16" t="s">
        <v>707</v>
      </c>
      <c r="E4250" s="16">
        <v>2021.0</v>
      </c>
      <c r="F4250" s="16">
        <v>48.4933</v>
      </c>
      <c r="G4250" s="16">
        <v>12.0715</v>
      </c>
      <c r="H4250" s="15"/>
      <c r="I4250" s="15"/>
    </row>
    <row r="4251">
      <c r="A4251" s="18">
        <v>45665.0</v>
      </c>
      <c r="B4251" s="16" t="s">
        <v>5081</v>
      </c>
      <c r="C4251" s="16">
        <v>4.0</v>
      </c>
      <c r="D4251" s="16" t="s">
        <v>707</v>
      </c>
      <c r="E4251" s="16">
        <v>2021.0</v>
      </c>
      <c r="F4251" s="16">
        <v>49.6121</v>
      </c>
      <c r="G4251" s="16">
        <v>11.7755</v>
      </c>
      <c r="H4251" s="15"/>
      <c r="I4251" s="15"/>
    </row>
    <row r="4252">
      <c r="A4252" s="18">
        <v>45665.0</v>
      </c>
      <c r="B4252" s="16" t="s">
        <v>5082</v>
      </c>
      <c r="C4252" s="16">
        <v>5.0</v>
      </c>
      <c r="D4252" s="16" t="s">
        <v>707</v>
      </c>
      <c r="E4252" s="16">
        <v>2021.0</v>
      </c>
      <c r="F4252" s="16">
        <v>49.61</v>
      </c>
      <c r="G4252" s="16">
        <v>11.7763</v>
      </c>
      <c r="H4252" s="15"/>
      <c r="I4252" s="15"/>
    </row>
    <row r="4253">
      <c r="A4253" s="18">
        <v>45665.0</v>
      </c>
      <c r="B4253" s="16" t="s">
        <v>5083</v>
      </c>
      <c r="C4253" s="16" t="s">
        <v>965</v>
      </c>
      <c r="D4253" s="16" t="s">
        <v>707</v>
      </c>
      <c r="E4253" s="16">
        <v>2021.0</v>
      </c>
      <c r="F4253" s="16">
        <v>51.037</v>
      </c>
      <c r="G4253" s="16">
        <v>11.8848</v>
      </c>
      <c r="H4253" s="15"/>
      <c r="I4253" s="15"/>
    </row>
    <row r="4254">
      <c r="A4254" s="18">
        <v>45665.0</v>
      </c>
      <c r="B4254" s="16" t="s">
        <v>5084</v>
      </c>
      <c r="C4254" s="16" t="s">
        <v>1167</v>
      </c>
      <c r="D4254" s="16" t="s">
        <v>707</v>
      </c>
      <c r="E4254" s="16">
        <v>2021.0</v>
      </c>
      <c r="F4254" s="16">
        <v>51.035</v>
      </c>
      <c r="G4254" s="16">
        <v>11.886</v>
      </c>
      <c r="H4254" s="15"/>
      <c r="I4254" s="15"/>
    </row>
    <row r="4255">
      <c r="A4255" s="18">
        <v>45665.0</v>
      </c>
      <c r="B4255" s="16" t="s">
        <v>5085</v>
      </c>
      <c r="C4255" s="16" t="s">
        <v>1181</v>
      </c>
      <c r="D4255" s="16" t="s">
        <v>707</v>
      </c>
      <c r="E4255" s="16">
        <v>2021.0</v>
      </c>
      <c r="F4255" s="16">
        <v>54.1687</v>
      </c>
      <c r="G4255" s="16">
        <v>9.9588</v>
      </c>
      <c r="H4255" s="15"/>
      <c r="I4255" s="15"/>
    </row>
    <row r="4256">
      <c r="A4256" s="18">
        <v>45665.0</v>
      </c>
      <c r="B4256" s="16" t="s">
        <v>5086</v>
      </c>
      <c r="C4256" s="16">
        <v>2.0</v>
      </c>
      <c r="D4256" s="16" t="s">
        <v>707</v>
      </c>
      <c r="E4256" s="16">
        <v>2021.0</v>
      </c>
      <c r="F4256" s="16">
        <v>48.0</v>
      </c>
      <c r="G4256" s="16">
        <v>12.001</v>
      </c>
      <c r="H4256" s="15"/>
      <c r="I4256" s="15"/>
    </row>
    <row r="4257">
      <c r="A4257" s="18">
        <v>45665.0</v>
      </c>
      <c r="B4257" s="16" t="s">
        <v>5087</v>
      </c>
      <c r="C4257" s="16" t="s">
        <v>1034</v>
      </c>
      <c r="D4257" s="16" t="s">
        <v>707</v>
      </c>
      <c r="E4257" s="16">
        <v>2021.0</v>
      </c>
      <c r="F4257" s="16">
        <v>49.2898</v>
      </c>
      <c r="G4257" s="16">
        <v>12.2408</v>
      </c>
      <c r="H4257" s="15"/>
      <c r="I4257" s="15"/>
    </row>
    <row r="4258">
      <c r="A4258" s="18">
        <v>45665.0</v>
      </c>
      <c r="B4258" s="16" t="s">
        <v>5088</v>
      </c>
      <c r="C4258" s="16">
        <v>10.0</v>
      </c>
      <c r="D4258" s="16" t="s">
        <v>707</v>
      </c>
      <c r="E4258" s="16">
        <v>2021.0</v>
      </c>
      <c r="F4258" s="16">
        <v>49.5321</v>
      </c>
      <c r="G4258" s="16">
        <v>6.9579</v>
      </c>
      <c r="H4258" s="15"/>
      <c r="I4258" s="15"/>
    </row>
    <row r="4259">
      <c r="A4259" s="18">
        <v>45665.0</v>
      </c>
      <c r="B4259" s="16" t="s">
        <v>5089</v>
      </c>
      <c r="C4259" s="16" t="s">
        <v>1004</v>
      </c>
      <c r="D4259" s="16" t="s">
        <v>707</v>
      </c>
      <c r="E4259" s="16">
        <v>2021.0</v>
      </c>
      <c r="F4259" s="16">
        <v>49.5354</v>
      </c>
      <c r="G4259" s="16">
        <v>6.9285</v>
      </c>
      <c r="H4259" s="15"/>
      <c r="I4259" s="15"/>
    </row>
    <row r="4260">
      <c r="A4260" s="18">
        <v>45665.0</v>
      </c>
      <c r="B4260" s="16" t="s">
        <v>5090</v>
      </c>
      <c r="C4260" s="16">
        <v>10.0</v>
      </c>
      <c r="D4260" s="16" t="s">
        <v>707</v>
      </c>
      <c r="E4260" s="16">
        <v>2021.0</v>
      </c>
      <c r="F4260" s="16">
        <v>50.0172</v>
      </c>
      <c r="G4260" s="16">
        <v>6.15</v>
      </c>
      <c r="H4260" s="15"/>
      <c r="I4260" s="15"/>
    </row>
    <row r="4261">
      <c r="A4261" s="18">
        <v>45665.0</v>
      </c>
      <c r="B4261" s="16" t="s">
        <v>5091</v>
      </c>
      <c r="C4261" s="16" t="s">
        <v>946</v>
      </c>
      <c r="D4261" s="16" t="s">
        <v>707</v>
      </c>
      <c r="E4261" s="16">
        <v>2021.0</v>
      </c>
      <c r="F4261" s="16">
        <v>48.3856</v>
      </c>
      <c r="G4261" s="16">
        <v>12.2253</v>
      </c>
      <c r="H4261" s="15"/>
      <c r="I4261" s="15"/>
    </row>
    <row r="4262">
      <c r="A4262" s="18">
        <v>45665.0</v>
      </c>
      <c r="B4262" s="16" t="s">
        <v>5092</v>
      </c>
      <c r="C4262" s="16" t="s">
        <v>4533</v>
      </c>
      <c r="D4262" s="16" t="s">
        <v>707</v>
      </c>
      <c r="E4262" s="16">
        <v>2021.0</v>
      </c>
      <c r="F4262" s="16">
        <v>48.4362</v>
      </c>
      <c r="G4262" s="16">
        <v>11.088</v>
      </c>
      <c r="H4262" s="15"/>
      <c r="I4262" s="15"/>
    </row>
    <row r="4263">
      <c r="A4263" s="18">
        <v>45665.0</v>
      </c>
      <c r="B4263" s="16" t="s">
        <v>5093</v>
      </c>
      <c r="C4263" s="16" t="s">
        <v>1059</v>
      </c>
      <c r="D4263" s="16" t="s">
        <v>707</v>
      </c>
      <c r="E4263" s="16">
        <v>2021.0</v>
      </c>
      <c r="F4263" s="16">
        <v>48.4359</v>
      </c>
      <c r="G4263" s="16">
        <v>11.0862</v>
      </c>
      <c r="H4263" s="15"/>
      <c r="I4263" s="15"/>
    </row>
    <row r="4264">
      <c r="A4264" s="18">
        <v>45665.0</v>
      </c>
      <c r="B4264" s="16" t="s">
        <v>5094</v>
      </c>
      <c r="C4264" s="16">
        <v>8.0</v>
      </c>
      <c r="D4264" s="16" t="s">
        <v>707</v>
      </c>
      <c r="E4264" s="16">
        <v>2021.0</v>
      </c>
      <c r="F4264" s="16">
        <v>48.5591</v>
      </c>
      <c r="G4264" s="16">
        <v>13.1625</v>
      </c>
      <c r="H4264" s="15"/>
      <c r="I4264" s="15"/>
    </row>
    <row r="4265">
      <c r="A4265" s="18">
        <v>45665.0</v>
      </c>
      <c r="B4265" s="16" t="s">
        <v>5095</v>
      </c>
      <c r="C4265" s="16" t="s">
        <v>982</v>
      </c>
      <c r="D4265" s="16" t="s">
        <v>707</v>
      </c>
      <c r="E4265" s="16">
        <v>2021.0</v>
      </c>
      <c r="F4265" s="16">
        <v>49.5106</v>
      </c>
      <c r="G4265" s="16">
        <v>9.3024</v>
      </c>
      <c r="H4265" s="15"/>
      <c r="I4265" s="15"/>
    </row>
    <row r="4266">
      <c r="A4266" s="18">
        <v>45665.0</v>
      </c>
      <c r="B4266" s="16" t="s">
        <v>5096</v>
      </c>
      <c r="C4266" s="16" t="s">
        <v>1773</v>
      </c>
      <c r="D4266" s="16" t="s">
        <v>707</v>
      </c>
      <c r="E4266" s="16">
        <v>2021.0</v>
      </c>
      <c r="F4266" s="16">
        <v>48.6575</v>
      </c>
      <c r="G4266" s="16">
        <v>11.3453</v>
      </c>
      <c r="H4266" s="15"/>
      <c r="I4266" s="15"/>
    </row>
    <row r="4267">
      <c r="A4267" s="18">
        <v>45665.0</v>
      </c>
      <c r="B4267" s="16" t="s">
        <v>5097</v>
      </c>
      <c r="C4267" s="16">
        <v>10.0</v>
      </c>
      <c r="D4267" s="16" t="s">
        <v>707</v>
      </c>
      <c r="E4267" s="16">
        <v>2021.0</v>
      </c>
      <c r="F4267" s="16">
        <v>50.829</v>
      </c>
      <c r="G4267" s="16">
        <v>12.4824</v>
      </c>
      <c r="H4267" s="15"/>
      <c r="I4267" s="15"/>
    </row>
    <row r="4268">
      <c r="A4268" s="18">
        <v>45665.0</v>
      </c>
      <c r="B4268" s="16" t="s">
        <v>5098</v>
      </c>
      <c r="C4268" s="16">
        <v>10.0</v>
      </c>
      <c r="D4268" s="16" t="s">
        <v>707</v>
      </c>
      <c r="E4268" s="16">
        <v>2021.0</v>
      </c>
      <c r="F4268" s="16">
        <v>49.3466</v>
      </c>
      <c r="G4268" s="16">
        <v>11.8237</v>
      </c>
      <c r="H4268" s="15"/>
      <c r="I4268" s="15"/>
    </row>
    <row r="4269">
      <c r="A4269" s="18">
        <v>45665.0</v>
      </c>
      <c r="B4269" s="16" t="s">
        <v>5099</v>
      </c>
      <c r="C4269" s="16">
        <v>2.0</v>
      </c>
      <c r="D4269" s="16" t="s">
        <v>707</v>
      </c>
      <c r="E4269" s="16">
        <v>2021.0</v>
      </c>
      <c r="F4269" s="16">
        <v>48.8065</v>
      </c>
      <c r="G4269" s="16">
        <v>10.2433</v>
      </c>
      <c r="H4269" s="15"/>
      <c r="I4269" s="15"/>
    </row>
    <row r="4270">
      <c r="A4270" s="18">
        <v>45665.0</v>
      </c>
      <c r="B4270" s="16" t="s">
        <v>5100</v>
      </c>
      <c r="C4270" s="16" t="s">
        <v>1101</v>
      </c>
      <c r="D4270" s="16" t="s">
        <v>707</v>
      </c>
      <c r="E4270" s="16">
        <v>2021.0</v>
      </c>
      <c r="F4270" s="16">
        <v>51.757</v>
      </c>
      <c r="G4270" s="16">
        <v>11.3597</v>
      </c>
      <c r="H4270" s="15"/>
      <c r="I4270" s="15"/>
    </row>
    <row r="4271">
      <c r="A4271" s="18">
        <v>45665.0</v>
      </c>
      <c r="B4271" s="16" t="s">
        <v>5101</v>
      </c>
      <c r="C4271" s="16" t="s">
        <v>1215</v>
      </c>
      <c r="D4271" s="16" t="s">
        <v>707</v>
      </c>
      <c r="E4271" s="16">
        <v>2021.0</v>
      </c>
      <c r="F4271" s="16">
        <v>48.6004</v>
      </c>
      <c r="G4271" s="16">
        <v>13.577</v>
      </c>
      <c r="H4271" s="15"/>
      <c r="I4271" s="15"/>
    </row>
    <row r="4272">
      <c r="A4272" s="18">
        <v>45665.0</v>
      </c>
      <c r="B4272" s="16" t="s">
        <v>5102</v>
      </c>
      <c r="C4272" s="16" t="s">
        <v>961</v>
      </c>
      <c r="D4272" s="16" t="s">
        <v>707</v>
      </c>
      <c r="E4272" s="16">
        <v>2021.0</v>
      </c>
      <c r="F4272" s="16">
        <v>51.7024</v>
      </c>
      <c r="G4272" s="16">
        <v>14.3981</v>
      </c>
      <c r="H4272" s="15"/>
      <c r="I4272" s="15"/>
    </row>
    <row r="4273">
      <c r="A4273" s="18">
        <v>45665.0</v>
      </c>
      <c r="B4273" s="16" t="s">
        <v>5103</v>
      </c>
      <c r="C4273" s="16" t="s">
        <v>1771</v>
      </c>
      <c r="D4273" s="16" t="s">
        <v>707</v>
      </c>
      <c r="E4273" s="16">
        <v>2021.0</v>
      </c>
      <c r="F4273" s="16">
        <v>49.0487</v>
      </c>
      <c r="G4273" s="16">
        <v>10.51</v>
      </c>
      <c r="H4273" s="15"/>
      <c r="I4273" s="15"/>
    </row>
    <row r="4274">
      <c r="A4274" s="18">
        <v>45665.0</v>
      </c>
      <c r="B4274" s="16" t="s">
        <v>5104</v>
      </c>
      <c r="C4274" s="16" t="s">
        <v>4064</v>
      </c>
      <c r="D4274" s="16" t="s">
        <v>707</v>
      </c>
      <c r="E4274" s="16">
        <v>2021.0</v>
      </c>
      <c r="F4274" s="16">
        <v>50.0776</v>
      </c>
      <c r="G4274" s="16">
        <v>10.5478</v>
      </c>
      <c r="H4274" s="15"/>
      <c r="I4274" s="15"/>
    </row>
    <row r="4275">
      <c r="A4275" s="18">
        <v>45665.0</v>
      </c>
      <c r="B4275" s="16" t="s">
        <v>5105</v>
      </c>
      <c r="C4275" s="16">
        <v>13.0</v>
      </c>
      <c r="D4275" s="16" t="s">
        <v>707</v>
      </c>
      <c r="E4275" s="16">
        <v>2021.0</v>
      </c>
      <c r="F4275" s="16">
        <v>49.9149</v>
      </c>
      <c r="G4275" s="16">
        <v>10.2921</v>
      </c>
      <c r="H4275" s="15"/>
      <c r="I4275" s="15"/>
    </row>
    <row r="4276">
      <c r="A4276" s="18">
        <v>45665.0</v>
      </c>
      <c r="B4276" s="16" t="s">
        <v>5106</v>
      </c>
      <c r="C4276" s="16" t="s">
        <v>1039</v>
      </c>
      <c r="D4276" s="16" t="s">
        <v>707</v>
      </c>
      <c r="E4276" s="16">
        <v>2021.0</v>
      </c>
      <c r="F4276" s="16">
        <v>47.9856</v>
      </c>
      <c r="G4276" s="16">
        <v>9.0708</v>
      </c>
      <c r="H4276" s="15"/>
      <c r="I4276" s="15"/>
    </row>
    <row r="4277">
      <c r="A4277" s="18">
        <v>45665.0</v>
      </c>
      <c r="B4277" s="16" t="s">
        <v>5107</v>
      </c>
      <c r="C4277" s="16" t="s">
        <v>1002</v>
      </c>
      <c r="D4277" s="16" t="s">
        <v>707</v>
      </c>
      <c r="E4277" s="16">
        <v>2021.0</v>
      </c>
      <c r="F4277" s="16">
        <v>47.9865</v>
      </c>
      <c r="G4277" s="16">
        <v>9.0692</v>
      </c>
      <c r="H4277" s="15"/>
      <c r="I4277" s="15"/>
    </row>
    <row r="4278">
      <c r="A4278" s="18">
        <v>45665.0</v>
      </c>
      <c r="B4278" s="16" t="s">
        <v>5108</v>
      </c>
      <c r="C4278" s="16" t="s">
        <v>1436</v>
      </c>
      <c r="D4278" s="16" t="s">
        <v>707</v>
      </c>
      <c r="E4278" s="16">
        <v>2021.0</v>
      </c>
      <c r="F4278" s="16">
        <v>50.398</v>
      </c>
      <c r="G4278" s="16">
        <v>9.4696</v>
      </c>
      <c r="H4278" s="15"/>
      <c r="I4278" s="15"/>
    </row>
    <row r="4279">
      <c r="A4279" s="18">
        <v>45665.0</v>
      </c>
      <c r="B4279" s="16" t="s">
        <v>5109</v>
      </c>
      <c r="C4279" s="16" t="s">
        <v>1374</v>
      </c>
      <c r="D4279" s="16" t="s">
        <v>707</v>
      </c>
      <c r="E4279" s="16">
        <v>2021.0</v>
      </c>
      <c r="F4279" s="16">
        <v>48.3854</v>
      </c>
      <c r="G4279" s="16">
        <v>9.6413</v>
      </c>
      <c r="H4279" s="15"/>
      <c r="I4279" s="15"/>
    </row>
    <row r="4280">
      <c r="A4280" s="18">
        <v>45665.0</v>
      </c>
      <c r="B4280" s="16" t="s">
        <v>5110</v>
      </c>
      <c r="C4280" s="16" t="s">
        <v>942</v>
      </c>
      <c r="D4280" s="16" t="s">
        <v>707</v>
      </c>
      <c r="E4280" s="16">
        <v>2021.0</v>
      </c>
      <c r="F4280" s="16">
        <v>49.6462</v>
      </c>
      <c r="G4280" s="16">
        <v>8.9899</v>
      </c>
      <c r="H4280" s="15"/>
      <c r="I4280" s="15"/>
    </row>
    <row r="4281">
      <c r="A4281" s="18">
        <v>45665.0</v>
      </c>
      <c r="B4281" s="16" t="s">
        <v>5111</v>
      </c>
      <c r="C4281" s="16" t="s">
        <v>1004</v>
      </c>
      <c r="D4281" s="16" t="s">
        <v>707</v>
      </c>
      <c r="E4281" s="16">
        <v>2021.0</v>
      </c>
      <c r="F4281" s="16">
        <v>49.8022</v>
      </c>
      <c r="G4281" s="16">
        <v>6.8741</v>
      </c>
      <c r="H4281" s="15"/>
      <c r="I4281" s="15"/>
    </row>
    <row r="4282">
      <c r="A4282" s="18">
        <v>45665.0</v>
      </c>
      <c r="B4282" s="16" t="s">
        <v>5112</v>
      </c>
      <c r="C4282" s="16" t="s">
        <v>1007</v>
      </c>
      <c r="D4282" s="16" t="s">
        <v>707</v>
      </c>
      <c r="E4282" s="16">
        <v>2021.0</v>
      </c>
      <c r="F4282" s="16">
        <v>49.593</v>
      </c>
      <c r="G4282" s="16">
        <v>12.3003</v>
      </c>
      <c r="H4282" s="15"/>
      <c r="I4282" s="15"/>
    </row>
    <row r="4283">
      <c r="A4283" s="18">
        <v>45665.0</v>
      </c>
      <c r="B4283" s="16" t="s">
        <v>5113</v>
      </c>
      <c r="C4283" s="16">
        <v>10.0</v>
      </c>
      <c r="D4283" s="16" t="s">
        <v>707</v>
      </c>
      <c r="E4283" s="16">
        <v>2021.0</v>
      </c>
      <c r="F4283" s="16">
        <v>54.441</v>
      </c>
      <c r="G4283" s="16">
        <v>9.568</v>
      </c>
      <c r="H4283" s="15"/>
      <c r="I4283" s="15"/>
    </row>
    <row r="4284">
      <c r="A4284" s="18">
        <v>45665.0</v>
      </c>
      <c r="B4284" s="16" t="s">
        <v>5114</v>
      </c>
      <c r="C4284" s="16" t="s">
        <v>1004</v>
      </c>
      <c r="D4284" s="16" t="s">
        <v>707</v>
      </c>
      <c r="E4284" s="16">
        <v>2021.0</v>
      </c>
      <c r="F4284" s="16">
        <v>53.1674</v>
      </c>
      <c r="G4284" s="16">
        <v>12.3653</v>
      </c>
      <c r="H4284" s="15"/>
      <c r="I4284" s="15"/>
    </row>
    <row r="4285">
      <c r="A4285" s="18">
        <v>45665.0</v>
      </c>
      <c r="B4285" s="16" t="s">
        <v>5115</v>
      </c>
      <c r="C4285" s="16" t="s">
        <v>982</v>
      </c>
      <c r="D4285" s="16" t="s">
        <v>707</v>
      </c>
      <c r="E4285" s="16">
        <v>2021.0</v>
      </c>
      <c r="F4285" s="16">
        <v>53.1682</v>
      </c>
      <c r="G4285" s="16">
        <v>12.3593</v>
      </c>
      <c r="H4285" s="15"/>
      <c r="I4285" s="15"/>
    </row>
    <row r="4286">
      <c r="A4286" s="18">
        <v>45665.0</v>
      </c>
      <c r="B4286" s="16" t="s">
        <v>5116</v>
      </c>
      <c r="C4286" s="16" t="s">
        <v>1059</v>
      </c>
      <c r="D4286" s="16" t="s">
        <v>707</v>
      </c>
      <c r="E4286" s="16">
        <v>2021.0</v>
      </c>
      <c r="F4286" s="16">
        <v>49.8159</v>
      </c>
      <c r="G4286" s="16">
        <v>9.5661</v>
      </c>
      <c r="H4286" s="15"/>
      <c r="I4286" s="15"/>
    </row>
    <row r="4287">
      <c r="A4287" s="18">
        <v>45665.0</v>
      </c>
      <c r="B4287" s="16" t="s">
        <v>5117</v>
      </c>
      <c r="C4287" s="16" t="s">
        <v>2404</v>
      </c>
      <c r="D4287" s="16" t="s">
        <v>707</v>
      </c>
      <c r="E4287" s="16">
        <v>2021.0</v>
      </c>
      <c r="F4287" s="16">
        <v>49.38</v>
      </c>
      <c r="G4287" s="16">
        <v>10.211</v>
      </c>
      <c r="H4287" s="15"/>
      <c r="I4287" s="15"/>
    </row>
    <row r="4288">
      <c r="A4288" s="18">
        <v>45665.0</v>
      </c>
      <c r="B4288" s="16" t="s">
        <v>5118</v>
      </c>
      <c r="C4288" s="16" t="s">
        <v>2457</v>
      </c>
      <c r="D4288" s="16" t="s">
        <v>707</v>
      </c>
      <c r="E4288" s="16">
        <v>2021.0</v>
      </c>
      <c r="F4288" s="16">
        <v>49.4667</v>
      </c>
      <c r="G4288" s="16">
        <v>12.2674</v>
      </c>
      <c r="H4288" s="15"/>
      <c r="I4288" s="15"/>
    </row>
    <row r="4289">
      <c r="A4289" s="18">
        <v>45665.0</v>
      </c>
      <c r="B4289" s="16" t="s">
        <v>5119</v>
      </c>
      <c r="C4289" s="16">
        <v>5.0</v>
      </c>
      <c r="D4289" s="16" t="s">
        <v>707</v>
      </c>
      <c r="E4289" s="16">
        <v>2021.0</v>
      </c>
      <c r="F4289" s="16">
        <v>49.6701</v>
      </c>
      <c r="G4289" s="16">
        <v>10.5508</v>
      </c>
      <c r="H4289" s="15"/>
      <c r="I4289" s="15"/>
    </row>
    <row r="4290">
      <c r="A4290" s="18">
        <v>45665.0</v>
      </c>
      <c r="B4290" s="16" t="s">
        <v>5120</v>
      </c>
      <c r="C4290" s="16" t="s">
        <v>1771</v>
      </c>
      <c r="D4290" s="16" t="s">
        <v>707</v>
      </c>
      <c r="E4290" s="16">
        <v>2021.0</v>
      </c>
      <c r="F4290" s="16">
        <v>53.507</v>
      </c>
      <c r="G4290" s="16">
        <v>14.077</v>
      </c>
      <c r="H4290" s="15"/>
      <c r="I4290" s="15"/>
    </row>
    <row r="4291">
      <c r="A4291" s="18">
        <v>45665.0</v>
      </c>
      <c r="B4291" s="16" t="s">
        <v>5121</v>
      </c>
      <c r="C4291" s="16" t="s">
        <v>2498</v>
      </c>
      <c r="D4291" s="16" t="s">
        <v>707</v>
      </c>
      <c r="E4291" s="16">
        <v>2021.0</v>
      </c>
      <c r="F4291" s="16">
        <v>50.1268</v>
      </c>
      <c r="G4291" s="16">
        <v>10.0713</v>
      </c>
      <c r="H4291" s="15"/>
      <c r="I4291" s="15"/>
    </row>
    <row r="4292">
      <c r="A4292" s="18">
        <v>45665.0</v>
      </c>
      <c r="B4292" s="16" t="s">
        <v>5122</v>
      </c>
      <c r="C4292" s="16" t="s">
        <v>1055</v>
      </c>
      <c r="D4292" s="16" t="s">
        <v>707</v>
      </c>
      <c r="E4292" s="16">
        <v>2021.0</v>
      </c>
      <c r="F4292" s="16">
        <v>49.857</v>
      </c>
      <c r="G4292" s="16">
        <v>12.1429</v>
      </c>
      <c r="H4292" s="15"/>
      <c r="I4292" s="15"/>
    </row>
    <row r="4293">
      <c r="A4293" s="18">
        <v>45665.0</v>
      </c>
      <c r="B4293" s="16" t="s">
        <v>5123</v>
      </c>
      <c r="C4293" s="16" t="s">
        <v>4533</v>
      </c>
      <c r="D4293" s="16" t="s">
        <v>707</v>
      </c>
      <c r="E4293" s="16">
        <v>2021.0</v>
      </c>
      <c r="F4293" s="16">
        <v>49.8584</v>
      </c>
      <c r="G4293" s="16">
        <v>12.1393</v>
      </c>
      <c r="H4293" s="15"/>
      <c r="I4293" s="15"/>
    </row>
    <row r="4294">
      <c r="A4294" s="18">
        <v>45665.0</v>
      </c>
      <c r="B4294" s="16" t="s">
        <v>5124</v>
      </c>
      <c r="C4294" s="16" t="s">
        <v>1059</v>
      </c>
      <c r="D4294" s="16" t="s">
        <v>707</v>
      </c>
      <c r="E4294" s="16">
        <v>2021.0</v>
      </c>
      <c r="F4294" s="16">
        <v>51.3695</v>
      </c>
      <c r="G4294" s="16">
        <v>11.2279</v>
      </c>
      <c r="H4294" s="15"/>
      <c r="I4294" s="15"/>
    </row>
    <row r="4295">
      <c r="A4295" s="18">
        <v>45665.0</v>
      </c>
      <c r="B4295" s="16" t="s">
        <v>5125</v>
      </c>
      <c r="C4295" s="16" t="s">
        <v>1090</v>
      </c>
      <c r="D4295" s="16" t="s">
        <v>707</v>
      </c>
      <c r="E4295" s="16">
        <v>2021.0</v>
      </c>
      <c r="F4295" s="16">
        <v>50.2751</v>
      </c>
      <c r="G4295" s="16">
        <v>11.0816</v>
      </c>
      <c r="H4295" s="15"/>
      <c r="I4295" s="15"/>
    </row>
    <row r="4296">
      <c r="A4296" s="18">
        <v>45665.0</v>
      </c>
      <c r="B4296" s="16" t="s">
        <v>5126</v>
      </c>
      <c r="C4296" s="16" t="s">
        <v>1007</v>
      </c>
      <c r="D4296" s="16" t="s">
        <v>707</v>
      </c>
      <c r="E4296" s="16">
        <v>2021.0</v>
      </c>
      <c r="F4296" s="16">
        <v>48.8454</v>
      </c>
      <c r="G4296" s="16">
        <v>12.6863</v>
      </c>
      <c r="H4296" s="15"/>
      <c r="I4296" s="15"/>
    </row>
    <row r="4297">
      <c r="A4297" s="18">
        <v>45665.0</v>
      </c>
      <c r="B4297" s="16" t="s">
        <v>5127</v>
      </c>
      <c r="C4297" s="16" t="s">
        <v>969</v>
      </c>
      <c r="D4297" s="16" t="s">
        <v>707</v>
      </c>
      <c r="E4297" s="16">
        <v>2021.0</v>
      </c>
      <c r="F4297" s="16">
        <v>49.4435</v>
      </c>
      <c r="G4297" s="16">
        <v>9.3169</v>
      </c>
      <c r="H4297" s="15"/>
      <c r="I4297" s="15"/>
    </row>
    <row r="4298">
      <c r="A4298" s="18">
        <v>45665.0</v>
      </c>
      <c r="B4298" s="16" t="s">
        <v>5128</v>
      </c>
      <c r="C4298" s="16" t="s">
        <v>1037</v>
      </c>
      <c r="D4298" s="16" t="s">
        <v>707</v>
      </c>
      <c r="E4298" s="16">
        <v>2021.0</v>
      </c>
      <c r="F4298" s="16">
        <v>51.7076</v>
      </c>
      <c r="G4298" s="16">
        <v>14.4838</v>
      </c>
      <c r="H4298" s="15"/>
      <c r="I4298" s="15"/>
    </row>
    <row r="4299">
      <c r="A4299" s="18">
        <v>45665.0</v>
      </c>
      <c r="B4299" s="16" t="s">
        <v>5129</v>
      </c>
      <c r="C4299" s="16" t="s">
        <v>4358</v>
      </c>
      <c r="D4299" s="16" t="s">
        <v>707</v>
      </c>
      <c r="E4299" s="16">
        <v>2021.0</v>
      </c>
      <c r="F4299" s="16">
        <v>49.1149</v>
      </c>
      <c r="G4299" s="16">
        <v>11.3813</v>
      </c>
      <c r="H4299" s="15"/>
      <c r="I4299" s="15"/>
    </row>
    <row r="4300">
      <c r="A4300" s="18">
        <v>45665.0</v>
      </c>
      <c r="B4300" s="16" t="s">
        <v>5130</v>
      </c>
      <c r="C4300" s="16" t="s">
        <v>1046</v>
      </c>
      <c r="D4300" s="16" t="s">
        <v>707</v>
      </c>
      <c r="E4300" s="16">
        <v>2021.0</v>
      </c>
      <c r="F4300" s="16">
        <v>49.0893</v>
      </c>
      <c r="G4300" s="16">
        <v>10.8723</v>
      </c>
      <c r="H4300" s="15"/>
      <c r="I4300" s="15"/>
    </row>
    <row r="4301">
      <c r="A4301" s="18">
        <v>45665.0</v>
      </c>
      <c r="B4301" s="16" t="s">
        <v>5131</v>
      </c>
      <c r="C4301" s="16">
        <v>10.0</v>
      </c>
      <c r="D4301" s="16" t="s">
        <v>707</v>
      </c>
      <c r="E4301" s="16">
        <v>2021.0</v>
      </c>
      <c r="F4301" s="16">
        <v>49.157</v>
      </c>
      <c r="G4301" s="16">
        <v>11.393</v>
      </c>
      <c r="H4301" s="15"/>
      <c r="I4301" s="15"/>
    </row>
    <row r="4302">
      <c r="A4302" s="18">
        <v>45665.0</v>
      </c>
      <c r="B4302" s="16" t="s">
        <v>5132</v>
      </c>
      <c r="C4302" s="16" t="s">
        <v>1099</v>
      </c>
      <c r="D4302" s="16" t="s">
        <v>707</v>
      </c>
      <c r="E4302" s="16">
        <v>2021.0</v>
      </c>
      <c r="F4302" s="16">
        <v>51.6471</v>
      </c>
      <c r="G4302" s="16">
        <v>6.4077</v>
      </c>
      <c r="H4302" s="15"/>
      <c r="I4302" s="15"/>
    </row>
    <row r="4303">
      <c r="A4303" s="18">
        <v>45665.0</v>
      </c>
      <c r="B4303" s="16" t="s">
        <v>5133</v>
      </c>
      <c r="C4303" s="16" t="s">
        <v>1037</v>
      </c>
      <c r="D4303" s="16" t="s">
        <v>707</v>
      </c>
      <c r="E4303" s="16">
        <v>2021.0</v>
      </c>
      <c r="F4303" s="16">
        <v>49.2124</v>
      </c>
      <c r="G4303" s="16">
        <v>9.5225</v>
      </c>
      <c r="H4303" s="15"/>
      <c r="I4303" s="15"/>
    </row>
    <row r="4304">
      <c r="A4304" s="18">
        <v>45665.0</v>
      </c>
      <c r="B4304" s="16" t="s">
        <v>5134</v>
      </c>
      <c r="C4304" s="16" t="s">
        <v>1101</v>
      </c>
      <c r="D4304" s="16" t="s">
        <v>707</v>
      </c>
      <c r="E4304" s="16">
        <v>2021.0</v>
      </c>
      <c r="F4304" s="16">
        <v>49.4697</v>
      </c>
      <c r="G4304" s="16">
        <v>12.4168</v>
      </c>
      <c r="H4304" s="15"/>
      <c r="I4304" s="15"/>
    </row>
    <row r="4305">
      <c r="A4305" s="18">
        <v>45665.0</v>
      </c>
      <c r="B4305" s="16" t="s">
        <v>5135</v>
      </c>
      <c r="C4305" s="16" t="s">
        <v>1167</v>
      </c>
      <c r="D4305" s="16" t="s">
        <v>707</v>
      </c>
      <c r="E4305" s="16">
        <v>2021.0</v>
      </c>
      <c r="F4305" s="16">
        <v>51.5996</v>
      </c>
      <c r="G4305" s="16">
        <v>12.1284</v>
      </c>
      <c r="H4305" s="15"/>
      <c r="I4305" s="15"/>
    </row>
    <row r="4306">
      <c r="A4306" s="18">
        <v>45665.0</v>
      </c>
      <c r="B4306" s="16" t="s">
        <v>5136</v>
      </c>
      <c r="C4306" s="16" t="s">
        <v>5137</v>
      </c>
      <c r="D4306" s="16" t="s">
        <v>707</v>
      </c>
      <c r="E4306" s="16">
        <v>2021.0</v>
      </c>
      <c r="F4306" s="16">
        <v>51.4499</v>
      </c>
      <c r="G4306" s="16">
        <v>11.8341</v>
      </c>
      <c r="H4306" s="15"/>
      <c r="I4306" s="15"/>
    </row>
    <row r="4307">
      <c r="A4307" s="18">
        <v>45665.0</v>
      </c>
      <c r="B4307" s="16" t="s">
        <v>5138</v>
      </c>
      <c r="C4307" s="16" t="s">
        <v>1399</v>
      </c>
      <c r="D4307" s="16" t="s">
        <v>707</v>
      </c>
      <c r="E4307" s="16">
        <v>2021.0</v>
      </c>
      <c r="F4307" s="16">
        <v>51.4469</v>
      </c>
      <c r="G4307" s="16">
        <v>11.8368</v>
      </c>
      <c r="H4307" s="15"/>
      <c r="I4307" s="15"/>
    </row>
    <row r="4308">
      <c r="A4308" s="18">
        <v>45665.0</v>
      </c>
      <c r="B4308" s="16" t="s">
        <v>5139</v>
      </c>
      <c r="C4308" s="16" t="s">
        <v>5140</v>
      </c>
      <c r="D4308" s="16" t="s">
        <v>707</v>
      </c>
      <c r="E4308" s="16">
        <v>2021.0</v>
      </c>
      <c r="F4308" s="16">
        <v>51.4532</v>
      </c>
      <c r="G4308" s="16">
        <v>11.8238</v>
      </c>
      <c r="H4308" s="15"/>
      <c r="I4308" s="15"/>
    </row>
    <row r="4309">
      <c r="A4309" s="18">
        <v>45665.0</v>
      </c>
      <c r="B4309" s="16" t="s">
        <v>5141</v>
      </c>
      <c r="C4309" s="16" t="s">
        <v>1096</v>
      </c>
      <c r="D4309" s="16" t="s">
        <v>707</v>
      </c>
      <c r="E4309" s="16">
        <v>2021.0</v>
      </c>
      <c r="F4309" s="16">
        <v>51.4826</v>
      </c>
      <c r="G4309" s="16">
        <v>11.7965</v>
      </c>
      <c r="H4309" s="15"/>
      <c r="I4309" s="15"/>
    </row>
    <row r="4310">
      <c r="A4310" s="18">
        <v>45665.0</v>
      </c>
      <c r="B4310" s="16" t="s">
        <v>5142</v>
      </c>
      <c r="C4310" s="16" t="s">
        <v>1039</v>
      </c>
      <c r="D4310" s="16" t="s">
        <v>707</v>
      </c>
      <c r="E4310" s="16">
        <v>2021.0</v>
      </c>
      <c r="F4310" s="16">
        <v>50.3724</v>
      </c>
      <c r="G4310" s="16">
        <v>11.9725</v>
      </c>
      <c r="H4310" s="15"/>
      <c r="I4310" s="15"/>
    </row>
    <row r="4311">
      <c r="A4311" s="18">
        <v>45665.0</v>
      </c>
      <c r="B4311" s="16" t="s">
        <v>5143</v>
      </c>
      <c r="C4311" s="16">
        <v>10.0</v>
      </c>
      <c r="D4311" s="16" t="s">
        <v>707</v>
      </c>
      <c r="E4311" s="16">
        <v>2021.0</v>
      </c>
      <c r="F4311" s="16">
        <v>50.3733</v>
      </c>
      <c r="G4311" s="16">
        <v>11.9788</v>
      </c>
      <c r="H4311" s="15"/>
      <c r="I4311" s="15"/>
    </row>
    <row r="4312">
      <c r="A4312" s="18">
        <v>45665.0</v>
      </c>
      <c r="B4312" s="16" t="s">
        <v>5144</v>
      </c>
      <c r="C4312" s="16" t="s">
        <v>942</v>
      </c>
      <c r="D4312" s="16" t="s">
        <v>707</v>
      </c>
      <c r="E4312" s="16">
        <v>2021.0</v>
      </c>
      <c r="F4312" s="16">
        <v>50.3714</v>
      </c>
      <c r="G4312" s="16">
        <v>11.9752</v>
      </c>
      <c r="H4312" s="15"/>
      <c r="I4312" s="15"/>
    </row>
    <row r="4313">
      <c r="A4313" s="18">
        <v>45665.0</v>
      </c>
      <c r="B4313" s="16" t="s">
        <v>5145</v>
      </c>
      <c r="C4313" s="16" t="s">
        <v>1002</v>
      </c>
      <c r="D4313" s="16" t="s">
        <v>707</v>
      </c>
      <c r="E4313" s="16">
        <v>2021.0</v>
      </c>
      <c r="F4313" s="16">
        <v>51.3199</v>
      </c>
      <c r="G4313" s="16">
        <v>14.879</v>
      </c>
      <c r="H4313" s="15"/>
      <c r="I4313" s="15"/>
    </row>
    <row r="4314">
      <c r="A4314" s="18">
        <v>45665.0</v>
      </c>
      <c r="B4314" s="16" t="s">
        <v>5146</v>
      </c>
      <c r="C4314" s="16" t="s">
        <v>1099</v>
      </c>
      <c r="D4314" s="16" t="s">
        <v>707</v>
      </c>
      <c r="E4314" s="16">
        <v>2021.0</v>
      </c>
      <c r="F4314" s="16">
        <v>52.6313</v>
      </c>
      <c r="G4314" s="16">
        <v>13.755</v>
      </c>
      <c r="H4314" s="15"/>
      <c r="I4314" s="15"/>
    </row>
    <row r="4315">
      <c r="A4315" s="18">
        <v>45665.0</v>
      </c>
      <c r="B4315" s="16" t="s">
        <v>5147</v>
      </c>
      <c r="C4315" s="16" t="s">
        <v>1690</v>
      </c>
      <c r="D4315" s="16" t="s">
        <v>707</v>
      </c>
      <c r="E4315" s="16">
        <v>2021.0</v>
      </c>
      <c r="F4315" s="16">
        <v>53.2292</v>
      </c>
      <c r="G4315" s="16">
        <v>9.1295</v>
      </c>
      <c r="H4315" s="15"/>
      <c r="I4315" s="15"/>
    </row>
    <row r="4316">
      <c r="A4316" s="18">
        <v>45665.0</v>
      </c>
      <c r="B4316" s="16" t="s">
        <v>5148</v>
      </c>
      <c r="C4316" s="16" t="s">
        <v>1055</v>
      </c>
      <c r="D4316" s="16" t="s">
        <v>707</v>
      </c>
      <c r="E4316" s="16">
        <v>2021.0</v>
      </c>
      <c r="F4316" s="16">
        <v>50.0282</v>
      </c>
      <c r="G4316" s="16">
        <v>10.3017</v>
      </c>
      <c r="H4316" s="15"/>
      <c r="I4316" s="15"/>
    </row>
    <row r="4317">
      <c r="A4317" s="18">
        <v>45665.0</v>
      </c>
      <c r="B4317" s="16" t="s">
        <v>5149</v>
      </c>
      <c r="C4317" s="16">
        <v>1.0</v>
      </c>
      <c r="D4317" s="16" t="s">
        <v>707</v>
      </c>
      <c r="E4317" s="16">
        <v>2021.0</v>
      </c>
      <c r="F4317" s="16">
        <v>50.0266</v>
      </c>
      <c r="G4317" s="16">
        <v>10.3066</v>
      </c>
      <c r="H4317" s="15"/>
      <c r="I4317" s="15"/>
    </row>
    <row r="4318">
      <c r="A4318" s="18">
        <v>45665.0</v>
      </c>
      <c r="B4318" s="16" t="s">
        <v>5150</v>
      </c>
      <c r="C4318" s="16" t="s">
        <v>3086</v>
      </c>
      <c r="D4318" s="16" t="s">
        <v>707</v>
      </c>
      <c r="E4318" s="16">
        <v>2021.0</v>
      </c>
      <c r="F4318" s="16">
        <v>49.922</v>
      </c>
      <c r="G4318" s="16">
        <v>12.158</v>
      </c>
      <c r="H4318" s="15"/>
      <c r="I4318" s="15"/>
    </row>
    <row r="4319">
      <c r="A4319" s="18">
        <v>45665.0</v>
      </c>
      <c r="B4319" s="16" t="s">
        <v>5151</v>
      </c>
      <c r="C4319" s="16" t="s">
        <v>2147</v>
      </c>
      <c r="D4319" s="16" t="s">
        <v>707</v>
      </c>
      <c r="E4319" s="16">
        <v>2021.0</v>
      </c>
      <c r="F4319" s="16">
        <v>49.8965</v>
      </c>
      <c r="G4319" s="16">
        <v>12.2127</v>
      </c>
      <c r="H4319" s="15"/>
      <c r="I4319" s="15"/>
    </row>
    <row r="4320">
      <c r="A4320" s="18">
        <v>45665.0</v>
      </c>
      <c r="B4320" s="16" t="s">
        <v>5152</v>
      </c>
      <c r="C4320" s="16" t="s">
        <v>2668</v>
      </c>
      <c r="D4320" s="16" t="s">
        <v>707</v>
      </c>
      <c r="E4320" s="16">
        <v>2021.0</v>
      </c>
      <c r="F4320" s="16">
        <v>53.5988</v>
      </c>
      <c r="G4320" s="16">
        <v>8.0765</v>
      </c>
      <c r="H4320" s="15"/>
      <c r="I4320" s="15"/>
    </row>
    <row r="4321">
      <c r="A4321" s="18">
        <v>45665.0</v>
      </c>
      <c r="B4321" s="16" t="s">
        <v>5153</v>
      </c>
      <c r="C4321" s="16" t="s">
        <v>951</v>
      </c>
      <c r="D4321" s="16" t="s">
        <v>707</v>
      </c>
      <c r="E4321" s="16">
        <v>2021.0</v>
      </c>
      <c r="F4321" s="16">
        <v>53.6006</v>
      </c>
      <c r="G4321" s="16">
        <v>8.074</v>
      </c>
      <c r="H4321" s="15"/>
      <c r="I4321" s="15"/>
    </row>
    <row r="4322">
      <c r="A4322" s="18">
        <v>45665.0</v>
      </c>
      <c r="B4322" s="16" t="s">
        <v>5154</v>
      </c>
      <c r="C4322" s="16" t="s">
        <v>1172</v>
      </c>
      <c r="D4322" s="16" t="s">
        <v>707</v>
      </c>
      <c r="E4322" s="16">
        <v>2021.0</v>
      </c>
      <c r="F4322" s="16">
        <v>53.6003</v>
      </c>
      <c r="G4322" s="16">
        <v>13.2254</v>
      </c>
      <c r="H4322" s="15"/>
      <c r="I4322" s="15"/>
    </row>
    <row r="4323">
      <c r="A4323" s="18">
        <v>45665.0</v>
      </c>
      <c r="B4323" s="16" t="s">
        <v>5155</v>
      </c>
      <c r="C4323" s="16" t="s">
        <v>971</v>
      </c>
      <c r="D4323" s="16" t="s">
        <v>707</v>
      </c>
      <c r="E4323" s="16">
        <v>2021.0</v>
      </c>
      <c r="F4323" s="16">
        <v>51.0329</v>
      </c>
      <c r="G4323" s="16">
        <v>11.5838</v>
      </c>
      <c r="H4323" s="15"/>
      <c r="I4323" s="15"/>
    </row>
    <row r="4324">
      <c r="A4324" s="18">
        <v>45001.0</v>
      </c>
      <c r="B4324" s="16" t="s">
        <v>5156</v>
      </c>
      <c r="C4324" s="16" t="s">
        <v>1351</v>
      </c>
      <c r="D4324" s="16" t="s">
        <v>707</v>
      </c>
      <c r="E4324" s="16">
        <v>2022.0</v>
      </c>
      <c r="F4324" s="16">
        <v>50.8619</v>
      </c>
      <c r="G4324" s="16">
        <v>10.9397</v>
      </c>
      <c r="H4324" s="15"/>
      <c r="I4324" s="15"/>
    </row>
    <row r="4325">
      <c r="A4325" s="18">
        <v>45001.0</v>
      </c>
      <c r="B4325" s="16" t="s">
        <v>5157</v>
      </c>
      <c r="C4325" s="16" t="s">
        <v>1454</v>
      </c>
      <c r="D4325" s="16" t="s">
        <v>707</v>
      </c>
      <c r="E4325" s="16">
        <v>2022.0</v>
      </c>
      <c r="F4325" s="16">
        <v>49.1133</v>
      </c>
      <c r="G4325" s="16">
        <v>12.8591</v>
      </c>
      <c r="H4325" s="15"/>
      <c r="I4325" s="15"/>
    </row>
    <row r="4326">
      <c r="A4326" s="18">
        <v>45001.0</v>
      </c>
      <c r="B4326" s="16" t="s">
        <v>5158</v>
      </c>
      <c r="C4326" s="16" t="s">
        <v>961</v>
      </c>
      <c r="D4326" s="16" t="s">
        <v>707</v>
      </c>
      <c r="E4326" s="16">
        <v>2022.0</v>
      </c>
      <c r="F4326" s="16">
        <v>49.1138</v>
      </c>
      <c r="G4326" s="16">
        <v>12.8594</v>
      </c>
      <c r="H4326" s="15"/>
      <c r="I4326" s="15"/>
    </row>
    <row r="4327">
      <c r="A4327" s="18">
        <v>45001.0</v>
      </c>
      <c r="B4327" s="16" t="s">
        <v>5159</v>
      </c>
      <c r="C4327" s="16" t="s">
        <v>1011</v>
      </c>
      <c r="D4327" s="16" t="s">
        <v>707</v>
      </c>
      <c r="E4327" s="16">
        <v>2022.0</v>
      </c>
      <c r="F4327" s="16">
        <v>51.213</v>
      </c>
      <c r="G4327" s="16">
        <v>12.0227</v>
      </c>
      <c r="H4327" s="15"/>
      <c r="I4327" s="15"/>
    </row>
    <row r="4328">
      <c r="A4328" s="18">
        <v>45001.0</v>
      </c>
      <c r="B4328" s="16" t="s">
        <v>5160</v>
      </c>
      <c r="C4328" s="16" t="s">
        <v>1007</v>
      </c>
      <c r="D4328" s="16" t="s">
        <v>707</v>
      </c>
      <c r="E4328" s="16">
        <v>2022.0</v>
      </c>
      <c r="F4328" s="16">
        <v>48.722</v>
      </c>
      <c r="G4328" s="16">
        <v>11.2409</v>
      </c>
      <c r="H4328" s="15"/>
      <c r="I4328" s="15"/>
    </row>
    <row r="4329">
      <c r="A4329" s="18">
        <v>45329.0</v>
      </c>
      <c r="B4329" s="16" t="s">
        <v>5161</v>
      </c>
      <c r="C4329" s="16" t="s">
        <v>1096</v>
      </c>
      <c r="D4329" s="16" t="s">
        <v>707</v>
      </c>
      <c r="E4329" s="16">
        <v>2022.0</v>
      </c>
      <c r="F4329" s="16">
        <v>50.8619</v>
      </c>
      <c r="G4329" s="16">
        <v>10.9397</v>
      </c>
      <c r="H4329" s="15"/>
      <c r="I4329" s="15"/>
    </row>
    <row r="4330">
      <c r="A4330" s="17">
        <v>45636.0</v>
      </c>
      <c r="B4330" s="16" t="s">
        <v>5162</v>
      </c>
      <c r="C4330" s="16" t="s">
        <v>978</v>
      </c>
      <c r="D4330" s="16" t="s">
        <v>707</v>
      </c>
      <c r="E4330" s="16">
        <v>2022.0</v>
      </c>
      <c r="F4330" s="16">
        <v>48.0664</v>
      </c>
      <c r="G4330" s="16">
        <v>11.0152</v>
      </c>
      <c r="H4330" s="15"/>
      <c r="I4330" s="15"/>
    </row>
    <row r="4331">
      <c r="A4331" s="17">
        <v>45636.0</v>
      </c>
      <c r="B4331" s="16" t="s">
        <v>5163</v>
      </c>
      <c r="C4331" s="16" t="s">
        <v>971</v>
      </c>
      <c r="D4331" s="16" t="s">
        <v>707</v>
      </c>
      <c r="E4331" s="16">
        <v>2022.0</v>
      </c>
      <c r="F4331" s="16">
        <v>48.0664</v>
      </c>
      <c r="G4331" s="16">
        <v>11.0152</v>
      </c>
      <c r="H4331" s="15"/>
      <c r="I4331" s="15"/>
    </row>
    <row r="4332">
      <c r="A4332" s="17">
        <v>45636.0</v>
      </c>
      <c r="B4332" s="16" t="s">
        <v>5164</v>
      </c>
      <c r="C4332" s="16">
        <v>1.0</v>
      </c>
      <c r="D4332" s="16" t="s">
        <v>707</v>
      </c>
      <c r="E4332" s="16">
        <v>2022.0</v>
      </c>
      <c r="F4332" s="16">
        <v>48.067</v>
      </c>
      <c r="G4332" s="16">
        <v>11.0174</v>
      </c>
      <c r="H4332" s="15"/>
      <c r="I4332" s="15"/>
    </row>
    <row r="4333">
      <c r="A4333" s="17">
        <v>45636.0</v>
      </c>
      <c r="B4333" s="16" t="s">
        <v>5165</v>
      </c>
      <c r="C4333" s="16" t="s">
        <v>1059</v>
      </c>
      <c r="D4333" s="16" t="s">
        <v>707</v>
      </c>
      <c r="E4333" s="16">
        <v>2022.0</v>
      </c>
      <c r="F4333" s="16">
        <v>49.3475</v>
      </c>
      <c r="G4333" s="16">
        <v>9.9626</v>
      </c>
      <c r="H4333" s="15"/>
      <c r="I4333" s="15"/>
    </row>
    <row r="4334">
      <c r="A4334" s="17">
        <v>45636.0</v>
      </c>
      <c r="B4334" s="16" t="s">
        <v>5166</v>
      </c>
      <c r="C4334" s="16" t="s">
        <v>1771</v>
      </c>
      <c r="D4334" s="16" t="s">
        <v>707</v>
      </c>
      <c r="E4334" s="16">
        <v>2022.0</v>
      </c>
      <c r="F4334" s="16">
        <v>49.024</v>
      </c>
      <c r="G4334" s="16">
        <v>11.0712</v>
      </c>
      <c r="H4334" s="15"/>
      <c r="I4334" s="15"/>
    </row>
    <row r="4335">
      <c r="A4335" s="17">
        <v>45636.0</v>
      </c>
      <c r="B4335" s="16" t="s">
        <v>5167</v>
      </c>
      <c r="C4335" s="16" t="s">
        <v>961</v>
      </c>
      <c r="D4335" s="16" t="s">
        <v>707</v>
      </c>
      <c r="E4335" s="16">
        <v>2022.0</v>
      </c>
      <c r="F4335" s="16">
        <v>51.132</v>
      </c>
      <c r="G4335" s="16">
        <v>12.5162</v>
      </c>
      <c r="H4335" s="15"/>
      <c r="I4335" s="15"/>
    </row>
    <row r="4336">
      <c r="A4336" s="17">
        <v>45636.0</v>
      </c>
      <c r="B4336" s="16" t="s">
        <v>5168</v>
      </c>
      <c r="C4336" s="16" t="s">
        <v>1215</v>
      </c>
      <c r="D4336" s="16" t="s">
        <v>707</v>
      </c>
      <c r="E4336" s="16">
        <v>2022.0</v>
      </c>
      <c r="F4336" s="16">
        <v>50.1778</v>
      </c>
      <c r="G4336" s="16">
        <v>10.7163</v>
      </c>
      <c r="H4336" s="15"/>
      <c r="I4336" s="15"/>
    </row>
    <row r="4337">
      <c r="A4337" s="18">
        <v>45665.0</v>
      </c>
      <c r="B4337" s="16" t="s">
        <v>5169</v>
      </c>
      <c r="C4337" s="16" t="s">
        <v>1094</v>
      </c>
      <c r="D4337" s="16" t="s">
        <v>707</v>
      </c>
      <c r="E4337" s="16">
        <v>2022.0</v>
      </c>
      <c r="F4337" s="16">
        <v>51.5041</v>
      </c>
      <c r="G4337" s="16">
        <v>10.7595</v>
      </c>
      <c r="H4337" s="15"/>
      <c r="I4337" s="15"/>
    </row>
    <row r="4338">
      <c r="A4338" s="18">
        <v>45665.0</v>
      </c>
      <c r="B4338" s="16" t="s">
        <v>5170</v>
      </c>
      <c r="C4338" s="16" t="s">
        <v>1039</v>
      </c>
      <c r="D4338" s="16" t="s">
        <v>707</v>
      </c>
      <c r="E4338" s="16">
        <v>2022.0</v>
      </c>
      <c r="F4338" s="16">
        <v>49.5424</v>
      </c>
      <c r="G4338" s="16">
        <v>10.9908</v>
      </c>
      <c r="H4338" s="15"/>
      <c r="I4338" s="15"/>
    </row>
    <row r="4339">
      <c r="A4339" s="18">
        <v>45665.0</v>
      </c>
      <c r="B4339" s="16" t="s">
        <v>5171</v>
      </c>
      <c r="C4339" s="16" t="s">
        <v>1203</v>
      </c>
      <c r="D4339" s="16" t="s">
        <v>707</v>
      </c>
      <c r="E4339" s="16">
        <v>2022.0</v>
      </c>
      <c r="F4339" s="16">
        <v>49.9506</v>
      </c>
      <c r="G4339" s="16">
        <v>6.6758</v>
      </c>
      <c r="H4339" s="15"/>
      <c r="I4339" s="15"/>
    </row>
    <row r="4340">
      <c r="A4340" s="18">
        <v>45665.0</v>
      </c>
      <c r="B4340" s="16" t="s">
        <v>5172</v>
      </c>
      <c r="C4340" s="16">
        <v>1.0</v>
      </c>
      <c r="D4340" s="16" t="s">
        <v>707</v>
      </c>
      <c r="E4340" s="16">
        <v>2022.0</v>
      </c>
      <c r="F4340" s="16">
        <v>47.8375</v>
      </c>
      <c r="G4340" s="16">
        <v>8.9715</v>
      </c>
      <c r="H4340" s="15"/>
      <c r="I4340" s="15"/>
    </row>
    <row r="4341">
      <c r="A4341" s="18">
        <v>45665.0</v>
      </c>
      <c r="B4341" s="16" t="s">
        <v>5173</v>
      </c>
      <c r="C4341" s="16">
        <v>2.0</v>
      </c>
      <c r="D4341" s="16" t="s">
        <v>707</v>
      </c>
      <c r="E4341" s="16">
        <v>2022.0</v>
      </c>
      <c r="F4341" s="16">
        <v>50.7034</v>
      </c>
      <c r="G4341" s="16">
        <v>6.6698</v>
      </c>
      <c r="H4341" s="15"/>
      <c r="I4341" s="15"/>
    </row>
    <row r="4342">
      <c r="A4342" s="18">
        <v>45665.0</v>
      </c>
      <c r="B4342" s="16" t="s">
        <v>5174</v>
      </c>
      <c r="C4342" s="16">
        <v>2.0</v>
      </c>
      <c r="D4342" s="16" t="s">
        <v>707</v>
      </c>
      <c r="E4342" s="16">
        <v>2022.0</v>
      </c>
      <c r="F4342" s="16">
        <v>50.7034</v>
      </c>
      <c r="G4342" s="16">
        <v>6.6698</v>
      </c>
      <c r="H4342" s="15"/>
      <c r="I4342" s="15"/>
    </row>
    <row r="4343">
      <c r="A4343" s="18">
        <v>45665.0</v>
      </c>
      <c r="B4343" s="16" t="s">
        <v>5175</v>
      </c>
      <c r="C4343" s="16">
        <v>5.0</v>
      </c>
      <c r="D4343" s="16" t="s">
        <v>707</v>
      </c>
      <c r="E4343" s="16">
        <v>2022.0</v>
      </c>
      <c r="F4343" s="16">
        <v>51.6348</v>
      </c>
      <c r="G4343" s="16">
        <v>9.9038</v>
      </c>
      <c r="H4343" s="15"/>
      <c r="I4343" s="15"/>
    </row>
    <row r="4344">
      <c r="A4344" s="18">
        <v>45665.0</v>
      </c>
      <c r="B4344" s="16" t="s">
        <v>5176</v>
      </c>
      <c r="C4344" s="16">
        <v>3.0</v>
      </c>
      <c r="D4344" s="16" t="s">
        <v>707</v>
      </c>
      <c r="E4344" s="16">
        <v>2022.0</v>
      </c>
      <c r="F4344" s="16">
        <v>50.7267</v>
      </c>
      <c r="G4344" s="16">
        <v>12.5639</v>
      </c>
      <c r="H4344" s="15"/>
      <c r="I4344" s="15"/>
    </row>
    <row r="4345">
      <c r="A4345" s="18">
        <v>45665.0</v>
      </c>
      <c r="B4345" s="16" t="s">
        <v>5177</v>
      </c>
      <c r="C4345" s="16" t="s">
        <v>1172</v>
      </c>
      <c r="D4345" s="16" t="s">
        <v>707</v>
      </c>
      <c r="E4345" s="16">
        <v>2022.0</v>
      </c>
      <c r="F4345" s="16">
        <v>48.4091</v>
      </c>
      <c r="G4345" s="16">
        <v>8.0011</v>
      </c>
      <c r="H4345" s="15"/>
      <c r="I4345" s="15"/>
    </row>
    <row r="4346">
      <c r="A4346" s="18">
        <v>45665.0</v>
      </c>
      <c r="B4346" s="16" t="s">
        <v>5178</v>
      </c>
      <c r="C4346" s="16" t="s">
        <v>951</v>
      </c>
      <c r="D4346" s="16" t="s">
        <v>707</v>
      </c>
      <c r="E4346" s="16">
        <v>2022.0</v>
      </c>
      <c r="F4346" s="16">
        <v>50.8805</v>
      </c>
      <c r="G4346" s="16">
        <v>6.6666</v>
      </c>
      <c r="H4346" s="15"/>
      <c r="I4346" s="15"/>
    </row>
    <row r="4347">
      <c r="A4347" s="18">
        <v>45665.0</v>
      </c>
      <c r="B4347" s="16" t="s">
        <v>5179</v>
      </c>
      <c r="C4347" s="16" t="s">
        <v>969</v>
      </c>
      <c r="D4347" s="16" t="s">
        <v>707</v>
      </c>
      <c r="E4347" s="16">
        <v>2022.0</v>
      </c>
      <c r="F4347" s="16">
        <v>51.7166</v>
      </c>
      <c r="G4347" s="16">
        <v>11.7055</v>
      </c>
      <c r="H4347" s="15"/>
      <c r="I4347" s="15"/>
    </row>
    <row r="4348">
      <c r="A4348" s="18">
        <v>45665.0</v>
      </c>
      <c r="B4348" s="16" t="s">
        <v>5180</v>
      </c>
      <c r="C4348" s="16" t="s">
        <v>990</v>
      </c>
      <c r="D4348" s="16" t="s">
        <v>707</v>
      </c>
      <c r="E4348" s="16">
        <v>2022.0</v>
      </c>
      <c r="F4348" s="16">
        <v>51.7167</v>
      </c>
      <c r="G4348" s="16">
        <v>11.7074</v>
      </c>
      <c r="H4348" s="15"/>
      <c r="I4348" s="15"/>
    </row>
    <row r="4349">
      <c r="A4349" s="18">
        <v>45665.0</v>
      </c>
      <c r="B4349" s="16" t="s">
        <v>5181</v>
      </c>
      <c r="C4349" s="16" t="s">
        <v>1215</v>
      </c>
      <c r="D4349" s="16" t="s">
        <v>707</v>
      </c>
      <c r="E4349" s="16">
        <v>2022.0</v>
      </c>
      <c r="F4349" s="16">
        <v>51.981</v>
      </c>
      <c r="G4349" s="16">
        <v>9.4994</v>
      </c>
      <c r="H4349" s="15"/>
      <c r="I4349" s="15"/>
    </row>
    <row r="4350">
      <c r="A4350" s="18">
        <v>45665.0</v>
      </c>
      <c r="B4350" s="16" t="s">
        <v>5182</v>
      </c>
      <c r="C4350" s="16" t="s">
        <v>978</v>
      </c>
      <c r="D4350" s="16" t="s">
        <v>707</v>
      </c>
      <c r="E4350" s="16">
        <v>2022.0</v>
      </c>
      <c r="F4350" s="16">
        <v>51.6404</v>
      </c>
      <c r="G4350" s="16">
        <v>10.329</v>
      </c>
      <c r="H4350" s="15"/>
      <c r="I4350" s="15"/>
    </row>
    <row r="4351">
      <c r="A4351" s="18">
        <v>45665.0</v>
      </c>
      <c r="B4351" s="16" t="s">
        <v>5183</v>
      </c>
      <c r="C4351" s="16" t="s">
        <v>1085</v>
      </c>
      <c r="D4351" s="16" t="s">
        <v>707</v>
      </c>
      <c r="E4351" s="16">
        <v>2022.0</v>
      </c>
      <c r="F4351" s="16">
        <v>51.6591</v>
      </c>
      <c r="G4351" s="16">
        <v>11.8074</v>
      </c>
      <c r="H4351" s="15"/>
      <c r="I4351" s="15"/>
    </row>
    <row r="4352">
      <c r="A4352" s="18">
        <v>45665.0</v>
      </c>
      <c r="B4352" s="16" t="s">
        <v>5184</v>
      </c>
      <c r="C4352" s="16">
        <v>2.0</v>
      </c>
      <c r="D4352" s="16" t="s">
        <v>707</v>
      </c>
      <c r="E4352" s="16">
        <v>2022.0</v>
      </c>
      <c r="F4352" s="16">
        <v>48.7108</v>
      </c>
      <c r="G4352" s="16">
        <v>12.153</v>
      </c>
      <c r="H4352" s="15"/>
      <c r="I4352" s="15"/>
    </row>
    <row r="4353">
      <c r="A4353" s="18">
        <v>45665.0</v>
      </c>
      <c r="B4353" s="16" t="s">
        <v>5185</v>
      </c>
      <c r="C4353" s="16">
        <v>1.0</v>
      </c>
      <c r="D4353" s="16" t="s">
        <v>707</v>
      </c>
      <c r="E4353" s="16">
        <v>2022.0</v>
      </c>
      <c r="F4353" s="16">
        <v>48.3835</v>
      </c>
      <c r="G4353" s="16">
        <v>12.6305</v>
      </c>
      <c r="H4353" s="15"/>
      <c r="I4353" s="15"/>
    </row>
    <row r="4354">
      <c r="A4354" s="18">
        <v>45665.0</v>
      </c>
      <c r="B4354" s="16" t="s">
        <v>5186</v>
      </c>
      <c r="C4354" s="16" t="s">
        <v>1004</v>
      </c>
      <c r="D4354" s="16" t="s">
        <v>707</v>
      </c>
      <c r="E4354" s="16">
        <v>2022.0</v>
      </c>
      <c r="F4354" s="16">
        <v>52.2989</v>
      </c>
      <c r="G4354" s="16">
        <v>9.8384</v>
      </c>
      <c r="H4354" s="15"/>
      <c r="I4354" s="15"/>
    </row>
    <row r="4355">
      <c r="A4355" s="18">
        <v>45665.0</v>
      </c>
      <c r="B4355" s="16" t="s">
        <v>5187</v>
      </c>
      <c r="C4355" s="16" t="s">
        <v>1055</v>
      </c>
      <c r="D4355" s="16" t="s">
        <v>707</v>
      </c>
      <c r="E4355" s="16">
        <v>2022.0</v>
      </c>
      <c r="F4355" s="16">
        <v>49.2718</v>
      </c>
      <c r="G4355" s="16">
        <v>7.1395</v>
      </c>
      <c r="H4355" s="15"/>
      <c r="I4355" s="15"/>
    </row>
    <row r="4356">
      <c r="A4356" s="18">
        <v>45665.0</v>
      </c>
      <c r="B4356" s="16" t="s">
        <v>5188</v>
      </c>
      <c r="C4356" s="16" t="s">
        <v>942</v>
      </c>
      <c r="D4356" s="16" t="s">
        <v>707</v>
      </c>
      <c r="E4356" s="16">
        <v>2022.0</v>
      </c>
      <c r="F4356" s="16">
        <v>48.2018</v>
      </c>
      <c r="G4356" s="16">
        <v>10.8389</v>
      </c>
      <c r="H4356" s="15"/>
      <c r="I4356" s="15"/>
    </row>
    <row r="4357">
      <c r="A4357" s="18">
        <v>45665.0</v>
      </c>
      <c r="B4357" s="16" t="s">
        <v>5189</v>
      </c>
      <c r="C4357" s="16" t="s">
        <v>1310</v>
      </c>
      <c r="D4357" s="16" t="s">
        <v>707</v>
      </c>
      <c r="E4357" s="16">
        <v>2022.0</v>
      </c>
      <c r="F4357" s="16">
        <v>51.9389</v>
      </c>
      <c r="G4357" s="16">
        <v>7.036</v>
      </c>
      <c r="H4357" s="15"/>
      <c r="I4357" s="15"/>
    </row>
    <row r="4358">
      <c r="A4358" s="18">
        <v>45665.0</v>
      </c>
      <c r="B4358" s="16" t="s">
        <v>5190</v>
      </c>
      <c r="C4358" s="16" t="s">
        <v>942</v>
      </c>
      <c r="D4358" s="16" t="s">
        <v>707</v>
      </c>
      <c r="E4358" s="16">
        <v>2022.0</v>
      </c>
      <c r="F4358" s="16">
        <v>47.9169</v>
      </c>
      <c r="G4358" s="16">
        <v>8.4924</v>
      </c>
      <c r="H4358" s="15"/>
      <c r="I4358" s="15"/>
    </row>
    <row r="4359">
      <c r="A4359" s="18">
        <v>45665.0</v>
      </c>
      <c r="B4359" s="16" t="s">
        <v>5191</v>
      </c>
      <c r="C4359" s="16" t="s">
        <v>942</v>
      </c>
      <c r="D4359" s="16" t="s">
        <v>707</v>
      </c>
      <c r="E4359" s="16">
        <v>2022.0</v>
      </c>
      <c r="F4359" s="16">
        <v>47.8376</v>
      </c>
      <c r="G4359" s="16">
        <v>8.6524</v>
      </c>
      <c r="H4359" s="15"/>
      <c r="I4359" s="15"/>
    </row>
    <row r="4360">
      <c r="A4360" s="18">
        <v>45665.0</v>
      </c>
      <c r="B4360" s="16" t="s">
        <v>5192</v>
      </c>
      <c r="C4360" s="16" t="s">
        <v>1101</v>
      </c>
      <c r="D4360" s="16" t="s">
        <v>707</v>
      </c>
      <c r="E4360" s="16">
        <v>2022.0</v>
      </c>
      <c r="F4360" s="16">
        <v>47.8376</v>
      </c>
      <c r="G4360" s="16">
        <v>8.6524</v>
      </c>
      <c r="H4360" s="15"/>
      <c r="I4360" s="15"/>
    </row>
    <row r="4361">
      <c r="A4361" s="18">
        <v>45665.0</v>
      </c>
      <c r="B4361" s="16" t="s">
        <v>5193</v>
      </c>
      <c r="C4361" s="16">
        <v>3.0</v>
      </c>
      <c r="D4361" s="16" t="s">
        <v>707</v>
      </c>
      <c r="E4361" s="16">
        <v>2022.0</v>
      </c>
      <c r="F4361" s="16">
        <v>48.1027</v>
      </c>
      <c r="G4361" s="16">
        <v>8.603</v>
      </c>
      <c r="H4361" s="15"/>
      <c r="I4361" s="15"/>
    </row>
    <row r="4362">
      <c r="A4362" s="18">
        <v>45665.0</v>
      </c>
      <c r="B4362" s="16" t="s">
        <v>5194</v>
      </c>
      <c r="C4362" s="16" t="s">
        <v>946</v>
      </c>
      <c r="D4362" s="16" t="s">
        <v>707</v>
      </c>
      <c r="E4362" s="16">
        <v>2022.0</v>
      </c>
      <c r="F4362" s="16">
        <v>48.1011</v>
      </c>
      <c r="G4362" s="16">
        <v>8.6017</v>
      </c>
      <c r="H4362" s="15"/>
      <c r="I4362" s="15"/>
    </row>
    <row r="4363">
      <c r="A4363" s="18">
        <v>45665.0</v>
      </c>
      <c r="B4363" s="16" t="s">
        <v>5195</v>
      </c>
      <c r="C4363" s="16" t="s">
        <v>5196</v>
      </c>
      <c r="D4363" s="16" t="s">
        <v>707</v>
      </c>
      <c r="E4363" s="16">
        <v>2022.0</v>
      </c>
      <c r="F4363" s="16">
        <v>48.1776</v>
      </c>
      <c r="G4363" s="16">
        <v>10.1273</v>
      </c>
      <c r="H4363" s="15"/>
      <c r="I4363" s="15"/>
    </row>
    <row r="4364">
      <c r="A4364" s="18">
        <v>45665.0</v>
      </c>
      <c r="B4364" s="16" t="s">
        <v>5197</v>
      </c>
      <c r="C4364" s="16" t="s">
        <v>5198</v>
      </c>
      <c r="D4364" s="16" t="s">
        <v>707</v>
      </c>
      <c r="E4364" s="16">
        <v>2022.0</v>
      </c>
      <c r="F4364" s="16">
        <v>49.5019</v>
      </c>
      <c r="G4364" s="16">
        <v>11.7805</v>
      </c>
      <c r="H4364" s="15"/>
      <c r="I4364" s="15"/>
    </row>
    <row r="4365">
      <c r="A4365" s="18">
        <v>45665.0</v>
      </c>
      <c r="B4365" s="16" t="s">
        <v>5199</v>
      </c>
      <c r="C4365" s="16" t="s">
        <v>946</v>
      </c>
      <c r="D4365" s="16" t="s">
        <v>707</v>
      </c>
      <c r="E4365" s="16">
        <v>2022.0</v>
      </c>
      <c r="F4365" s="16">
        <v>52.4143</v>
      </c>
      <c r="G4365" s="16">
        <v>7.04</v>
      </c>
      <c r="H4365" s="15"/>
      <c r="I4365" s="15"/>
    </row>
    <row r="4366">
      <c r="A4366" s="18">
        <v>45665.0</v>
      </c>
      <c r="B4366" s="16" t="s">
        <v>5200</v>
      </c>
      <c r="C4366" s="16" t="s">
        <v>1034</v>
      </c>
      <c r="D4366" s="16" t="s">
        <v>707</v>
      </c>
      <c r="E4366" s="16">
        <v>2022.0</v>
      </c>
      <c r="F4366" s="16">
        <v>50.6529</v>
      </c>
      <c r="G4366" s="16">
        <v>7.9632</v>
      </c>
      <c r="H4366" s="15"/>
      <c r="I4366" s="15"/>
    </row>
    <row r="4367">
      <c r="A4367" s="18">
        <v>45665.0</v>
      </c>
      <c r="B4367" s="16" t="s">
        <v>5201</v>
      </c>
      <c r="C4367" s="16" t="s">
        <v>1051</v>
      </c>
      <c r="D4367" s="16" t="s">
        <v>707</v>
      </c>
      <c r="E4367" s="16">
        <v>2022.0</v>
      </c>
      <c r="F4367" s="16">
        <v>48.8977</v>
      </c>
      <c r="G4367" s="16">
        <v>10.9225</v>
      </c>
      <c r="H4367" s="15"/>
      <c r="I4367" s="15"/>
    </row>
    <row r="4368">
      <c r="A4368" s="18">
        <v>45665.0</v>
      </c>
      <c r="B4368" s="16" t="s">
        <v>5202</v>
      </c>
      <c r="C4368" s="16" t="s">
        <v>982</v>
      </c>
      <c r="D4368" s="16" t="s">
        <v>707</v>
      </c>
      <c r="E4368" s="16">
        <v>2022.0</v>
      </c>
      <c r="F4368" s="16">
        <v>48.4298</v>
      </c>
      <c r="G4368" s="16">
        <v>12.5559</v>
      </c>
      <c r="H4368" s="15"/>
      <c r="I4368" s="15"/>
    </row>
    <row r="4369">
      <c r="A4369" s="18">
        <v>45665.0</v>
      </c>
      <c r="B4369" s="16" t="s">
        <v>5203</v>
      </c>
      <c r="C4369" s="16" t="s">
        <v>946</v>
      </c>
      <c r="D4369" s="16" t="s">
        <v>707</v>
      </c>
      <c r="E4369" s="16">
        <v>2022.0</v>
      </c>
      <c r="F4369" s="16">
        <v>52.5423</v>
      </c>
      <c r="G4369" s="16">
        <v>13.2514</v>
      </c>
      <c r="H4369" s="15"/>
      <c r="I4369" s="15"/>
    </row>
    <row r="4370">
      <c r="A4370" s="18">
        <v>45665.0</v>
      </c>
      <c r="B4370" s="16" t="s">
        <v>5204</v>
      </c>
      <c r="C4370" s="16" t="s">
        <v>1011</v>
      </c>
      <c r="D4370" s="16" t="s">
        <v>707</v>
      </c>
      <c r="E4370" s="16">
        <v>2022.0</v>
      </c>
      <c r="F4370" s="16">
        <v>48.5991</v>
      </c>
      <c r="G4370" s="16">
        <v>12.1714</v>
      </c>
      <c r="H4370" s="15"/>
      <c r="I4370" s="15"/>
    </row>
    <row r="4371">
      <c r="A4371" s="18">
        <v>45665.0</v>
      </c>
      <c r="B4371" s="16" t="s">
        <v>5205</v>
      </c>
      <c r="C4371" s="16" t="s">
        <v>1055</v>
      </c>
      <c r="D4371" s="16" t="s">
        <v>707</v>
      </c>
      <c r="E4371" s="16">
        <v>2022.0</v>
      </c>
      <c r="F4371" s="16">
        <v>52.7169</v>
      </c>
      <c r="G4371" s="16">
        <v>8.1679</v>
      </c>
      <c r="H4371" s="15"/>
      <c r="I4371" s="15"/>
    </row>
    <row r="4372">
      <c r="A4372" s="18">
        <v>45665.0</v>
      </c>
      <c r="B4372" s="16" t="s">
        <v>5206</v>
      </c>
      <c r="C4372" s="16" t="s">
        <v>5207</v>
      </c>
      <c r="D4372" s="16" t="s">
        <v>707</v>
      </c>
      <c r="E4372" s="16">
        <v>2022.0</v>
      </c>
      <c r="F4372" s="16">
        <v>53.6924</v>
      </c>
      <c r="G4372" s="16">
        <v>13.1102</v>
      </c>
      <c r="H4372" s="15"/>
      <c r="I4372" s="15"/>
    </row>
    <row r="4373">
      <c r="A4373" s="18">
        <v>45665.0</v>
      </c>
      <c r="B4373" s="16" t="s">
        <v>5208</v>
      </c>
      <c r="C4373" s="16" t="s">
        <v>961</v>
      </c>
      <c r="D4373" s="16" t="s">
        <v>707</v>
      </c>
      <c r="E4373" s="16">
        <v>2022.0</v>
      </c>
      <c r="F4373" s="16">
        <v>53.6937</v>
      </c>
      <c r="G4373" s="16">
        <v>13.1149</v>
      </c>
      <c r="H4373" s="15"/>
      <c r="I4373" s="15"/>
    </row>
    <row r="4374">
      <c r="A4374" s="18">
        <v>45665.0</v>
      </c>
      <c r="B4374" s="16" t="s">
        <v>5209</v>
      </c>
      <c r="C4374" s="16" t="s">
        <v>965</v>
      </c>
      <c r="D4374" s="16" t="s">
        <v>707</v>
      </c>
      <c r="E4374" s="16">
        <v>2022.0</v>
      </c>
      <c r="F4374" s="16">
        <v>53.6928</v>
      </c>
      <c r="G4374" s="16">
        <v>13.1137</v>
      </c>
      <c r="H4374" s="15"/>
      <c r="I4374" s="15"/>
    </row>
    <row r="4375">
      <c r="A4375" s="18">
        <v>45665.0</v>
      </c>
      <c r="B4375" s="16" t="s">
        <v>5210</v>
      </c>
      <c r="C4375" s="16" t="s">
        <v>1215</v>
      </c>
      <c r="D4375" s="16" t="s">
        <v>707</v>
      </c>
      <c r="E4375" s="16">
        <v>2022.0</v>
      </c>
      <c r="F4375" s="16">
        <v>53.6948</v>
      </c>
      <c r="G4375" s="16">
        <v>13.1075</v>
      </c>
      <c r="H4375" s="15"/>
      <c r="I4375" s="15"/>
    </row>
    <row r="4376">
      <c r="A4376" s="18">
        <v>45665.0</v>
      </c>
      <c r="B4376" s="16" t="s">
        <v>5211</v>
      </c>
      <c r="C4376" s="16">
        <v>1.0</v>
      </c>
      <c r="D4376" s="16" t="s">
        <v>707</v>
      </c>
      <c r="E4376" s="16">
        <v>2022.0</v>
      </c>
      <c r="F4376" s="16">
        <v>53.6928</v>
      </c>
      <c r="G4376" s="16">
        <v>13.1077</v>
      </c>
      <c r="H4376" s="15"/>
      <c r="I4376" s="15"/>
    </row>
    <row r="4377">
      <c r="A4377" s="18">
        <v>45665.0</v>
      </c>
      <c r="B4377" s="16" t="s">
        <v>5212</v>
      </c>
      <c r="C4377" s="16" t="s">
        <v>1598</v>
      </c>
      <c r="D4377" s="16" t="s">
        <v>707</v>
      </c>
      <c r="E4377" s="16">
        <v>2022.0</v>
      </c>
      <c r="F4377" s="16">
        <v>53.9183</v>
      </c>
      <c r="G4377" s="16">
        <v>9.9368</v>
      </c>
      <c r="H4377" s="15"/>
      <c r="I4377" s="15"/>
    </row>
    <row r="4378">
      <c r="A4378" s="18">
        <v>45665.0</v>
      </c>
      <c r="B4378" s="16" t="s">
        <v>5213</v>
      </c>
      <c r="C4378" s="16" t="s">
        <v>1203</v>
      </c>
      <c r="D4378" s="16" t="s">
        <v>707</v>
      </c>
      <c r="E4378" s="16">
        <v>2022.0</v>
      </c>
      <c r="F4378" s="16">
        <v>53.9201</v>
      </c>
      <c r="G4378" s="16">
        <v>9.9362</v>
      </c>
      <c r="H4378" s="15"/>
      <c r="I4378" s="15"/>
    </row>
    <row r="4379">
      <c r="A4379" s="18">
        <v>45665.0</v>
      </c>
      <c r="B4379" s="16" t="s">
        <v>5214</v>
      </c>
      <c r="C4379" s="16" t="s">
        <v>1609</v>
      </c>
      <c r="D4379" s="16" t="s">
        <v>707</v>
      </c>
      <c r="E4379" s="16">
        <v>2022.0</v>
      </c>
      <c r="F4379" s="16">
        <v>48.2568</v>
      </c>
      <c r="G4379" s="16">
        <v>10.8327</v>
      </c>
      <c r="H4379" s="15"/>
      <c r="I4379" s="15"/>
    </row>
    <row r="4380">
      <c r="A4380" s="18">
        <v>45665.0</v>
      </c>
      <c r="B4380" s="16" t="s">
        <v>5215</v>
      </c>
      <c r="C4380" s="16" t="s">
        <v>1055</v>
      </c>
      <c r="D4380" s="16" t="s">
        <v>707</v>
      </c>
      <c r="E4380" s="16">
        <v>2022.0</v>
      </c>
      <c r="F4380" s="16">
        <v>52.3405</v>
      </c>
      <c r="G4380" s="16">
        <v>14.2798</v>
      </c>
      <c r="H4380" s="15"/>
      <c r="I4380" s="15"/>
    </row>
    <row r="4381">
      <c r="A4381" s="18">
        <v>45665.0</v>
      </c>
      <c r="B4381" s="16" t="s">
        <v>5216</v>
      </c>
      <c r="C4381" s="16">
        <v>1.0</v>
      </c>
      <c r="D4381" s="16" t="s">
        <v>707</v>
      </c>
      <c r="E4381" s="16">
        <v>2022.0</v>
      </c>
      <c r="F4381" s="16">
        <v>49.1941</v>
      </c>
      <c r="G4381" s="16">
        <v>7.1073</v>
      </c>
      <c r="H4381" s="15"/>
      <c r="I4381" s="15"/>
    </row>
    <row r="4382">
      <c r="A4382" s="18">
        <v>45665.0</v>
      </c>
      <c r="B4382" s="16" t="s">
        <v>5217</v>
      </c>
      <c r="C4382" s="16" t="s">
        <v>1055</v>
      </c>
      <c r="D4382" s="16" t="s">
        <v>707</v>
      </c>
      <c r="E4382" s="16">
        <v>2022.0</v>
      </c>
      <c r="F4382" s="16">
        <v>49.5087</v>
      </c>
      <c r="G4382" s="16">
        <v>10.7075</v>
      </c>
      <c r="H4382" s="15"/>
      <c r="I4382" s="15"/>
    </row>
    <row r="4383">
      <c r="A4383" s="18">
        <v>45665.0</v>
      </c>
      <c r="B4383" s="16" t="s">
        <v>5218</v>
      </c>
      <c r="C4383" s="16" t="s">
        <v>1101</v>
      </c>
      <c r="D4383" s="16" t="s">
        <v>707</v>
      </c>
      <c r="E4383" s="16">
        <v>2022.0</v>
      </c>
      <c r="F4383" s="16">
        <v>48.6541</v>
      </c>
      <c r="G4383" s="16">
        <v>12.3445</v>
      </c>
      <c r="H4383" s="15"/>
      <c r="I4383" s="15"/>
    </row>
    <row r="4384">
      <c r="A4384" s="18">
        <v>45665.0</v>
      </c>
      <c r="B4384" s="16" t="s">
        <v>5219</v>
      </c>
      <c r="C4384" s="16">
        <v>2.0</v>
      </c>
      <c r="D4384" s="16" t="s">
        <v>707</v>
      </c>
      <c r="E4384" s="16">
        <v>2022.0</v>
      </c>
      <c r="F4384" s="16">
        <v>49.1784</v>
      </c>
      <c r="G4384" s="16">
        <v>9.4456</v>
      </c>
      <c r="H4384" s="15"/>
      <c r="I4384" s="15"/>
    </row>
    <row r="4385">
      <c r="A4385" s="18">
        <v>45665.0</v>
      </c>
      <c r="B4385" s="16" t="s">
        <v>5220</v>
      </c>
      <c r="C4385" s="16" t="s">
        <v>1099</v>
      </c>
      <c r="D4385" s="16" t="s">
        <v>707</v>
      </c>
      <c r="E4385" s="16">
        <v>2022.0</v>
      </c>
      <c r="F4385" s="16">
        <v>49.1728</v>
      </c>
      <c r="G4385" s="16">
        <v>9.3936</v>
      </c>
      <c r="H4385" s="15"/>
      <c r="I4385" s="15"/>
    </row>
    <row r="4386">
      <c r="A4386" s="18">
        <v>45665.0</v>
      </c>
      <c r="B4386" s="16" t="s">
        <v>5221</v>
      </c>
      <c r="C4386" s="16" t="s">
        <v>942</v>
      </c>
      <c r="D4386" s="16" t="s">
        <v>707</v>
      </c>
      <c r="E4386" s="16">
        <v>2022.0</v>
      </c>
      <c r="F4386" s="16">
        <v>51.8107</v>
      </c>
      <c r="G4386" s="16">
        <v>6.5779</v>
      </c>
      <c r="H4386" s="15"/>
      <c r="I4386" s="15"/>
    </row>
    <row r="4387">
      <c r="A4387" s="18">
        <v>45665.0</v>
      </c>
      <c r="B4387" s="16" t="s">
        <v>5222</v>
      </c>
      <c r="C4387" s="16" t="s">
        <v>982</v>
      </c>
      <c r="D4387" s="16" t="s">
        <v>707</v>
      </c>
      <c r="E4387" s="16">
        <v>2022.0</v>
      </c>
      <c r="F4387" s="16">
        <v>51.921</v>
      </c>
      <c r="G4387" s="16">
        <v>11.8023</v>
      </c>
      <c r="H4387" s="15"/>
      <c r="I4387" s="15"/>
    </row>
    <row r="4388">
      <c r="A4388" s="18">
        <v>45665.0</v>
      </c>
      <c r="B4388" s="16" t="s">
        <v>5223</v>
      </c>
      <c r="C4388" s="16" t="s">
        <v>948</v>
      </c>
      <c r="D4388" s="16" t="s">
        <v>707</v>
      </c>
      <c r="E4388" s="16">
        <v>2022.0</v>
      </c>
      <c r="F4388" s="16">
        <v>53.811</v>
      </c>
      <c r="G4388" s="16">
        <v>10.5603</v>
      </c>
      <c r="H4388" s="15"/>
      <c r="I4388" s="15"/>
    </row>
    <row r="4389">
      <c r="A4389" s="18">
        <v>45665.0</v>
      </c>
      <c r="B4389" s="16" t="s">
        <v>5224</v>
      </c>
      <c r="C4389" s="16" t="s">
        <v>1059</v>
      </c>
      <c r="D4389" s="16" t="s">
        <v>707</v>
      </c>
      <c r="E4389" s="16">
        <v>2022.0</v>
      </c>
      <c r="F4389" s="16">
        <v>53.3856</v>
      </c>
      <c r="G4389" s="16">
        <v>11.6366</v>
      </c>
      <c r="H4389" s="15"/>
      <c r="I4389" s="15"/>
    </row>
    <row r="4390">
      <c r="A4390" s="18">
        <v>45665.0</v>
      </c>
      <c r="B4390" s="16" t="s">
        <v>5225</v>
      </c>
      <c r="C4390" s="16" t="s">
        <v>1170</v>
      </c>
      <c r="D4390" s="16" t="s">
        <v>707</v>
      </c>
      <c r="E4390" s="16">
        <v>2022.0</v>
      </c>
      <c r="F4390" s="16">
        <v>51.9305</v>
      </c>
      <c r="G4390" s="16">
        <v>10.9027</v>
      </c>
      <c r="H4390" s="15"/>
      <c r="I4390" s="15"/>
    </row>
    <row r="4391">
      <c r="A4391" s="18">
        <v>45665.0</v>
      </c>
      <c r="B4391" s="16" t="s">
        <v>5226</v>
      </c>
      <c r="C4391" s="16">
        <v>1.0</v>
      </c>
      <c r="D4391" s="16" t="s">
        <v>707</v>
      </c>
      <c r="E4391" s="16">
        <v>2022.0</v>
      </c>
      <c r="F4391" s="16">
        <v>48.2948</v>
      </c>
      <c r="G4391" s="16">
        <v>10.085</v>
      </c>
      <c r="H4391" s="15"/>
      <c r="I4391" s="15"/>
    </row>
    <row r="4392">
      <c r="A4392" s="18">
        <v>45665.0</v>
      </c>
      <c r="B4392" s="16" t="s">
        <v>5227</v>
      </c>
      <c r="C4392" s="16" t="s">
        <v>1037</v>
      </c>
      <c r="D4392" s="16" t="s">
        <v>707</v>
      </c>
      <c r="E4392" s="16">
        <v>2022.0</v>
      </c>
      <c r="F4392" s="16">
        <v>48.5898</v>
      </c>
      <c r="G4392" s="16">
        <v>10.1263</v>
      </c>
      <c r="H4392" s="15"/>
      <c r="I4392" s="15"/>
    </row>
    <row r="4393">
      <c r="A4393" s="18">
        <v>45665.0</v>
      </c>
      <c r="B4393" s="16" t="s">
        <v>5228</v>
      </c>
      <c r="C4393" s="16" t="s">
        <v>971</v>
      </c>
      <c r="D4393" s="16" t="s">
        <v>707</v>
      </c>
      <c r="E4393" s="16">
        <v>2022.0</v>
      </c>
      <c r="F4393" s="16">
        <v>53.5352</v>
      </c>
      <c r="G4393" s="16">
        <v>10.9773</v>
      </c>
      <c r="H4393" s="15"/>
      <c r="I4393" s="15"/>
    </row>
    <row r="4394">
      <c r="A4394" s="18">
        <v>45665.0</v>
      </c>
      <c r="B4394" s="16" t="s">
        <v>5229</v>
      </c>
      <c r="C4394" s="16" t="s">
        <v>2668</v>
      </c>
      <c r="D4394" s="16" t="s">
        <v>707</v>
      </c>
      <c r="E4394" s="16">
        <v>2022.0</v>
      </c>
      <c r="F4394" s="16">
        <v>50.7702</v>
      </c>
      <c r="G4394" s="16">
        <v>6.5146</v>
      </c>
      <c r="H4394" s="15"/>
      <c r="I4394" s="15"/>
    </row>
    <row r="4395">
      <c r="A4395" s="18">
        <v>45665.0</v>
      </c>
      <c r="B4395" s="16" t="s">
        <v>5230</v>
      </c>
      <c r="C4395" s="16">
        <v>7.0</v>
      </c>
      <c r="D4395" s="16" t="s">
        <v>707</v>
      </c>
      <c r="E4395" s="16">
        <v>2022.0</v>
      </c>
      <c r="F4395" s="16">
        <v>50.7708</v>
      </c>
      <c r="G4395" s="16">
        <v>6.5179</v>
      </c>
      <c r="H4395" s="15"/>
      <c r="I4395" s="15"/>
    </row>
    <row r="4396">
      <c r="A4396" s="18">
        <v>45665.0</v>
      </c>
      <c r="B4396" s="16" t="s">
        <v>5231</v>
      </c>
      <c r="C4396" s="16" t="s">
        <v>5232</v>
      </c>
      <c r="D4396" s="16" t="s">
        <v>707</v>
      </c>
      <c r="E4396" s="16">
        <v>2022.0</v>
      </c>
      <c r="F4396" s="16">
        <v>50.8775</v>
      </c>
      <c r="G4396" s="16">
        <v>6.3661</v>
      </c>
      <c r="H4396" s="15"/>
      <c r="I4396" s="15"/>
    </row>
    <row r="4397">
      <c r="A4397" s="18">
        <v>45665.0</v>
      </c>
      <c r="B4397" s="16" t="s">
        <v>5233</v>
      </c>
      <c r="C4397" s="16" t="s">
        <v>2184</v>
      </c>
      <c r="D4397" s="16" t="s">
        <v>707</v>
      </c>
      <c r="E4397" s="16">
        <v>2022.0</v>
      </c>
      <c r="F4397" s="16">
        <v>48.8316</v>
      </c>
      <c r="G4397" s="16">
        <v>11.4701</v>
      </c>
      <c r="H4397" s="15"/>
      <c r="I4397" s="15"/>
    </row>
    <row r="4398">
      <c r="A4398" s="18">
        <v>45665.0</v>
      </c>
      <c r="B4398" s="16" t="s">
        <v>5234</v>
      </c>
      <c r="C4398" s="16" t="s">
        <v>1002</v>
      </c>
      <c r="D4398" s="16" t="s">
        <v>707</v>
      </c>
      <c r="E4398" s="16">
        <v>2022.0</v>
      </c>
      <c r="F4398" s="16">
        <v>50.6843</v>
      </c>
      <c r="G4398" s="16">
        <v>6.8315</v>
      </c>
      <c r="H4398" s="15"/>
      <c r="I4398" s="15"/>
    </row>
    <row r="4399">
      <c r="A4399" s="18">
        <v>45665.0</v>
      </c>
      <c r="B4399" s="16" t="s">
        <v>5235</v>
      </c>
      <c r="C4399" s="16" t="s">
        <v>3022</v>
      </c>
      <c r="D4399" s="16" t="s">
        <v>707</v>
      </c>
      <c r="E4399" s="16">
        <v>2022.0</v>
      </c>
      <c r="F4399" s="16">
        <v>54.6125</v>
      </c>
      <c r="G4399" s="16">
        <v>9.3397</v>
      </c>
      <c r="H4399" s="15"/>
      <c r="I4399" s="15"/>
    </row>
    <row r="4400">
      <c r="A4400" s="18">
        <v>45665.0</v>
      </c>
      <c r="B4400" s="16" t="s">
        <v>5236</v>
      </c>
      <c r="C4400" s="16" t="s">
        <v>1609</v>
      </c>
      <c r="D4400" s="16" t="s">
        <v>707</v>
      </c>
      <c r="E4400" s="16">
        <v>2022.0</v>
      </c>
      <c r="F4400" s="16">
        <v>54.6373</v>
      </c>
      <c r="G4400" s="16">
        <v>9.3464</v>
      </c>
      <c r="H4400" s="15"/>
      <c r="I4400" s="15"/>
    </row>
    <row r="4401">
      <c r="A4401" s="18">
        <v>45665.0</v>
      </c>
      <c r="B4401" s="16" t="s">
        <v>5237</v>
      </c>
      <c r="C4401" s="16" t="s">
        <v>1720</v>
      </c>
      <c r="D4401" s="16" t="s">
        <v>707</v>
      </c>
      <c r="E4401" s="16">
        <v>2022.0</v>
      </c>
      <c r="F4401" s="16">
        <v>53.6598</v>
      </c>
      <c r="G4401" s="16">
        <v>14.1046</v>
      </c>
      <c r="H4401" s="15"/>
      <c r="I4401" s="15"/>
    </row>
    <row r="4402">
      <c r="A4402" s="18">
        <v>45665.0</v>
      </c>
      <c r="B4402" s="16" t="s">
        <v>5238</v>
      </c>
      <c r="C4402" s="16" t="s">
        <v>1080</v>
      </c>
      <c r="D4402" s="16" t="s">
        <v>707</v>
      </c>
      <c r="E4402" s="16">
        <v>2022.0</v>
      </c>
      <c r="F4402" s="16">
        <v>53.6561</v>
      </c>
      <c r="G4402" s="16">
        <v>14.1082</v>
      </c>
      <c r="H4402" s="15"/>
      <c r="I4402" s="15"/>
    </row>
    <row r="4403">
      <c r="A4403" s="18">
        <v>45665.0</v>
      </c>
      <c r="B4403" s="16" t="s">
        <v>5239</v>
      </c>
      <c r="C4403" s="16">
        <v>1.0</v>
      </c>
      <c r="D4403" s="16" t="s">
        <v>707</v>
      </c>
      <c r="E4403" s="16">
        <v>2022.0</v>
      </c>
      <c r="F4403" s="16">
        <v>53.6638</v>
      </c>
      <c r="G4403" s="16">
        <v>14.0595</v>
      </c>
      <c r="H4403" s="15"/>
      <c r="I4403" s="15"/>
    </row>
    <row r="4404">
      <c r="A4404" s="18">
        <v>45665.0</v>
      </c>
      <c r="B4404" s="16" t="s">
        <v>5240</v>
      </c>
      <c r="C4404" s="16" t="s">
        <v>1055</v>
      </c>
      <c r="D4404" s="16" t="s">
        <v>707</v>
      </c>
      <c r="E4404" s="16">
        <v>2022.0</v>
      </c>
      <c r="F4404" s="16">
        <v>52.3642</v>
      </c>
      <c r="G4404" s="16">
        <v>7.2675</v>
      </c>
      <c r="H4404" s="15"/>
      <c r="I4404" s="15"/>
    </row>
    <row r="4405">
      <c r="A4405" s="18">
        <v>45665.0</v>
      </c>
      <c r="B4405" s="16" t="s">
        <v>5241</v>
      </c>
      <c r="C4405" s="16" t="s">
        <v>1267</v>
      </c>
      <c r="D4405" s="16" t="s">
        <v>707</v>
      </c>
      <c r="E4405" s="16">
        <v>2022.0</v>
      </c>
      <c r="F4405" s="16">
        <v>48.8263</v>
      </c>
      <c r="G4405" s="16">
        <v>9.2924</v>
      </c>
      <c r="H4405" s="15"/>
      <c r="I4405" s="15"/>
    </row>
    <row r="4406">
      <c r="A4406" s="18">
        <v>45665.0</v>
      </c>
      <c r="B4406" s="16" t="s">
        <v>5242</v>
      </c>
      <c r="C4406" s="16">
        <v>2.0</v>
      </c>
      <c r="D4406" s="16" t="s">
        <v>707</v>
      </c>
      <c r="E4406" s="16">
        <v>2022.0</v>
      </c>
      <c r="F4406" s="16">
        <v>49.6175</v>
      </c>
      <c r="G4406" s="16">
        <v>12.0892</v>
      </c>
      <c r="H4406" s="15"/>
      <c r="I4406" s="15"/>
    </row>
    <row r="4407">
      <c r="A4407" s="18">
        <v>45665.0</v>
      </c>
      <c r="B4407" s="16" t="s">
        <v>5243</v>
      </c>
      <c r="C4407" s="16" t="s">
        <v>1399</v>
      </c>
      <c r="D4407" s="16" t="s">
        <v>707</v>
      </c>
      <c r="E4407" s="16">
        <v>2022.0</v>
      </c>
      <c r="F4407" s="16">
        <v>51.0113</v>
      </c>
      <c r="G4407" s="16">
        <v>11.0198</v>
      </c>
      <c r="H4407" s="15"/>
      <c r="I4407" s="15"/>
    </row>
    <row r="4408">
      <c r="A4408" s="18">
        <v>45665.0</v>
      </c>
      <c r="B4408" s="16" t="s">
        <v>5244</v>
      </c>
      <c r="C4408" s="16">
        <v>4.0</v>
      </c>
      <c r="D4408" s="16" t="s">
        <v>707</v>
      </c>
      <c r="E4408" s="16">
        <v>2022.0</v>
      </c>
      <c r="F4408" s="16">
        <v>53.0113</v>
      </c>
      <c r="G4408" s="16">
        <v>7.5859</v>
      </c>
      <c r="H4408" s="15"/>
      <c r="I4408" s="15"/>
    </row>
    <row r="4409">
      <c r="A4409" s="18">
        <v>45665.0</v>
      </c>
      <c r="B4409" s="16" t="s">
        <v>5245</v>
      </c>
      <c r="C4409" s="16" t="s">
        <v>978</v>
      </c>
      <c r="D4409" s="16" t="s">
        <v>707</v>
      </c>
      <c r="E4409" s="16">
        <v>2022.0</v>
      </c>
      <c r="F4409" s="16">
        <v>50.0257</v>
      </c>
      <c r="G4409" s="16">
        <v>10.5391</v>
      </c>
      <c r="H4409" s="15"/>
      <c r="I4409" s="15"/>
    </row>
    <row r="4410">
      <c r="A4410" s="18">
        <v>45665.0</v>
      </c>
      <c r="B4410" s="16" t="s">
        <v>5246</v>
      </c>
      <c r="C4410" s="16" t="s">
        <v>1384</v>
      </c>
      <c r="D4410" s="16" t="s">
        <v>707</v>
      </c>
      <c r="E4410" s="16">
        <v>2022.0</v>
      </c>
      <c r="F4410" s="16">
        <v>49.3543</v>
      </c>
      <c r="G4410" s="16">
        <v>11.7836</v>
      </c>
      <c r="H4410" s="15"/>
      <c r="I4410" s="15"/>
    </row>
    <row r="4411">
      <c r="A4411" s="18">
        <v>45665.0</v>
      </c>
      <c r="B4411" s="16" t="s">
        <v>5247</v>
      </c>
      <c r="C4411" s="16" t="s">
        <v>959</v>
      </c>
      <c r="D4411" s="16" t="s">
        <v>707</v>
      </c>
      <c r="E4411" s="16">
        <v>2022.0</v>
      </c>
      <c r="F4411" s="16">
        <v>49.3551</v>
      </c>
      <c r="G4411" s="16">
        <v>11.7851</v>
      </c>
      <c r="H4411" s="15"/>
      <c r="I4411" s="15"/>
    </row>
    <row r="4412">
      <c r="A4412" s="18">
        <v>45665.0</v>
      </c>
      <c r="B4412" s="16" t="s">
        <v>5248</v>
      </c>
      <c r="C4412" s="16" t="s">
        <v>946</v>
      </c>
      <c r="D4412" s="16" t="s">
        <v>707</v>
      </c>
      <c r="E4412" s="16">
        <v>2022.0</v>
      </c>
      <c r="F4412" s="16">
        <v>53.8408</v>
      </c>
      <c r="G4412" s="16">
        <v>13.7171</v>
      </c>
      <c r="H4412" s="15"/>
      <c r="I4412" s="15"/>
    </row>
    <row r="4413">
      <c r="A4413" s="18">
        <v>45665.0</v>
      </c>
      <c r="B4413" s="16" t="s">
        <v>5249</v>
      </c>
      <c r="C4413" s="16" t="s">
        <v>1773</v>
      </c>
      <c r="D4413" s="16" t="s">
        <v>707</v>
      </c>
      <c r="E4413" s="16">
        <v>2022.0</v>
      </c>
      <c r="F4413" s="16">
        <v>50.8469</v>
      </c>
      <c r="G4413" s="16">
        <v>9.9657</v>
      </c>
      <c r="H4413" s="15"/>
      <c r="I4413" s="15"/>
    </row>
    <row r="4414">
      <c r="A4414" s="18">
        <v>45665.0</v>
      </c>
      <c r="B4414" s="16" t="s">
        <v>5250</v>
      </c>
      <c r="C4414" s="16" t="s">
        <v>1090</v>
      </c>
      <c r="D4414" s="16" t="s">
        <v>707</v>
      </c>
      <c r="E4414" s="16">
        <v>2022.0</v>
      </c>
      <c r="F4414" s="16">
        <v>50.8457</v>
      </c>
      <c r="G4414" s="16">
        <v>9.97</v>
      </c>
      <c r="H4414" s="15"/>
      <c r="I4414" s="15"/>
    </row>
    <row r="4415">
      <c r="A4415" s="18">
        <v>45665.0</v>
      </c>
      <c r="B4415" s="16" t="s">
        <v>5251</v>
      </c>
      <c r="C4415" s="16">
        <v>3.0</v>
      </c>
      <c r="D4415" s="16" t="s">
        <v>707</v>
      </c>
      <c r="E4415" s="16">
        <v>2022.0</v>
      </c>
      <c r="F4415" s="16">
        <v>51.9668</v>
      </c>
      <c r="G4415" s="16">
        <v>14.5737</v>
      </c>
      <c r="H4415" s="15"/>
      <c r="I4415" s="15"/>
    </row>
    <row r="4416">
      <c r="A4416" s="18">
        <v>45665.0</v>
      </c>
      <c r="B4416" s="16" t="s">
        <v>5252</v>
      </c>
      <c r="C4416" s="16">
        <v>4.0</v>
      </c>
      <c r="D4416" s="16" t="s">
        <v>707</v>
      </c>
      <c r="E4416" s="16">
        <v>2022.0</v>
      </c>
      <c r="F4416" s="16">
        <v>49.1764</v>
      </c>
      <c r="G4416" s="16">
        <v>12.1022</v>
      </c>
      <c r="H4416" s="15"/>
      <c r="I4416" s="15"/>
    </row>
    <row r="4417">
      <c r="A4417" s="18">
        <v>45665.0</v>
      </c>
      <c r="B4417" s="16" t="s">
        <v>5253</v>
      </c>
      <c r="C4417" s="16" t="s">
        <v>984</v>
      </c>
      <c r="D4417" s="16" t="s">
        <v>707</v>
      </c>
      <c r="E4417" s="16">
        <v>2022.0</v>
      </c>
      <c r="F4417" s="16">
        <v>51.7988</v>
      </c>
      <c r="G4417" s="16">
        <v>7.2478</v>
      </c>
      <c r="H4417" s="15"/>
      <c r="I4417" s="15"/>
    </row>
    <row r="4418">
      <c r="A4418" s="18">
        <v>45665.0</v>
      </c>
      <c r="B4418" s="16" t="s">
        <v>5254</v>
      </c>
      <c r="C4418" s="16">
        <v>2.0</v>
      </c>
      <c r="D4418" s="16" t="s">
        <v>707</v>
      </c>
      <c r="E4418" s="16">
        <v>2022.0</v>
      </c>
      <c r="F4418" s="16">
        <v>54.8879</v>
      </c>
      <c r="G4418" s="16">
        <v>8.8852</v>
      </c>
      <c r="H4418" s="15"/>
      <c r="I4418" s="15"/>
    </row>
    <row r="4419">
      <c r="A4419" s="18">
        <v>45665.0</v>
      </c>
      <c r="B4419" s="16" t="s">
        <v>5255</v>
      </c>
      <c r="C4419" s="16" t="s">
        <v>1055</v>
      </c>
      <c r="D4419" s="16" t="s">
        <v>707</v>
      </c>
      <c r="E4419" s="16">
        <v>2022.0</v>
      </c>
      <c r="F4419" s="16">
        <v>48.2504</v>
      </c>
      <c r="G4419" s="16">
        <v>12.8035</v>
      </c>
      <c r="H4419" s="15"/>
      <c r="I4419" s="15"/>
    </row>
    <row r="4420">
      <c r="A4420" s="18">
        <v>45665.0</v>
      </c>
      <c r="B4420" s="16" t="s">
        <v>5256</v>
      </c>
      <c r="C4420" s="16" t="s">
        <v>969</v>
      </c>
      <c r="D4420" s="16" t="s">
        <v>707</v>
      </c>
      <c r="E4420" s="16">
        <v>2022.0</v>
      </c>
      <c r="F4420" s="16">
        <v>49.8911</v>
      </c>
      <c r="G4420" s="16">
        <v>9.6742</v>
      </c>
      <c r="H4420" s="15"/>
      <c r="I4420" s="15"/>
    </row>
    <row r="4421">
      <c r="A4421" s="18">
        <v>45665.0</v>
      </c>
      <c r="B4421" s="16" t="s">
        <v>5257</v>
      </c>
      <c r="C4421" s="16">
        <v>4.0</v>
      </c>
      <c r="D4421" s="16" t="s">
        <v>707</v>
      </c>
      <c r="E4421" s="16">
        <v>2022.0</v>
      </c>
      <c r="F4421" s="16">
        <v>48.9822</v>
      </c>
      <c r="G4421" s="16">
        <v>12.0364</v>
      </c>
      <c r="H4421" s="15"/>
      <c r="I4421" s="15"/>
    </row>
    <row r="4422">
      <c r="A4422" s="18">
        <v>45665.0</v>
      </c>
      <c r="B4422" s="16" t="s">
        <v>5258</v>
      </c>
      <c r="C4422" s="16" t="s">
        <v>1059</v>
      </c>
      <c r="D4422" s="16" t="s">
        <v>707</v>
      </c>
      <c r="E4422" s="16">
        <v>2022.0</v>
      </c>
      <c r="F4422" s="16">
        <v>49.2478</v>
      </c>
      <c r="G4422" s="16">
        <v>10.2223</v>
      </c>
      <c r="H4422" s="15"/>
      <c r="I4422" s="15"/>
    </row>
    <row r="4423">
      <c r="A4423" s="18">
        <v>45665.0</v>
      </c>
      <c r="B4423" s="16" t="s">
        <v>5259</v>
      </c>
      <c r="C4423" s="16" t="s">
        <v>1037</v>
      </c>
      <c r="D4423" s="16" t="s">
        <v>707</v>
      </c>
      <c r="E4423" s="16">
        <v>2022.0</v>
      </c>
      <c r="F4423" s="16">
        <v>50.7274</v>
      </c>
      <c r="G4423" s="16">
        <v>9.6449</v>
      </c>
      <c r="H4423" s="15"/>
      <c r="I4423" s="15"/>
    </row>
    <row r="4424">
      <c r="A4424" s="18">
        <v>45665.0</v>
      </c>
      <c r="B4424" s="16" t="s">
        <v>5260</v>
      </c>
      <c r="C4424" s="16">
        <v>5.0</v>
      </c>
      <c r="D4424" s="16" t="s">
        <v>707</v>
      </c>
      <c r="E4424" s="16">
        <v>2022.0</v>
      </c>
      <c r="F4424" s="16">
        <v>48.9289</v>
      </c>
      <c r="G4424" s="16">
        <v>12.0908</v>
      </c>
      <c r="H4424" s="15"/>
      <c r="I4424" s="15"/>
    </row>
    <row r="4425">
      <c r="A4425" s="18">
        <v>45665.0</v>
      </c>
      <c r="B4425" s="16" t="s">
        <v>5261</v>
      </c>
      <c r="C4425" s="16" t="s">
        <v>1055</v>
      </c>
      <c r="D4425" s="16" t="s">
        <v>707</v>
      </c>
      <c r="E4425" s="16">
        <v>2022.0</v>
      </c>
      <c r="F4425" s="16">
        <v>48.9337</v>
      </c>
      <c r="G4425" s="16">
        <v>12.0856</v>
      </c>
      <c r="H4425" s="15"/>
      <c r="I4425" s="15"/>
    </row>
    <row r="4426">
      <c r="A4426" s="18">
        <v>45665.0</v>
      </c>
      <c r="B4426" s="16" t="s">
        <v>5261</v>
      </c>
      <c r="C4426" s="16">
        <v>2.0</v>
      </c>
      <c r="D4426" s="16" t="s">
        <v>707</v>
      </c>
      <c r="E4426" s="16">
        <v>2022.0</v>
      </c>
      <c r="F4426" s="16">
        <v>48.9321</v>
      </c>
      <c r="G4426" s="16">
        <v>12.0884</v>
      </c>
      <c r="H4426" s="15"/>
      <c r="I4426" s="15"/>
    </row>
    <row r="4427">
      <c r="A4427" s="18">
        <v>45665.0</v>
      </c>
      <c r="B4427" s="16" t="s">
        <v>5262</v>
      </c>
      <c r="C4427" s="16" t="s">
        <v>1039</v>
      </c>
      <c r="D4427" s="16" t="s">
        <v>707</v>
      </c>
      <c r="E4427" s="16">
        <v>2022.0</v>
      </c>
      <c r="F4427" s="16">
        <v>48.4936</v>
      </c>
      <c r="G4427" s="16">
        <v>8.0872</v>
      </c>
      <c r="H4427" s="15"/>
      <c r="I4427" s="15"/>
    </row>
    <row r="4428">
      <c r="A4428" s="18">
        <v>45665.0</v>
      </c>
      <c r="B4428" s="16" t="s">
        <v>5263</v>
      </c>
      <c r="C4428" s="16" t="s">
        <v>1267</v>
      </c>
      <c r="D4428" s="16" t="s">
        <v>707</v>
      </c>
      <c r="E4428" s="16">
        <v>2022.0</v>
      </c>
      <c r="F4428" s="16">
        <v>53.3142</v>
      </c>
      <c r="G4428" s="16">
        <v>12.2709</v>
      </c>
      <c r="H4428" s="15"/>
      <c r="I4428" s="15"/>
    </row>
    <row r="4429">
      <c r="A4429" s="18">
        <v>45665.0</v>
      </c>
      <c r="B4429" s="16" t="s">
        <v>5264</v>
      </c>
      <c r="C4429" s="16" t="s">
        <v>1039</v>
      </c>
      <c r="D4429" s="16" t="s">
        <v>707</v>
      </c>
      <c r="E4429" s="16">
        <v>2022.0</v>
      </c>
      <c r="F4429" s="16">
        <v>49.5598</v>
      </c>
      <c r="G4429" s="16">
        <v>11.8835</v>
      </c>
      <c r="H4429" s="15"/>
      <c r="I4429" s="15"/>
    </row>
    <row r="4430">
      <c r="A4430" s="18">
        <v>45665.0</v>
      </c>
      <c r="B4430" s="16" t="s">
        <v>5265</v>
      </c>
      <c r="C4430" s="16" t="s">
        <v>971</v>
      </c>
      <c r="D4430" s="16" t="s">
        <v>707</v>
      </c>
      <c r="E4430" s="16">
        <v>2022.0</v>
      </c>
      <c r="F4430" s="16">
        <v>50.2273</v>
      </c>
      <c r="G4430" s="16">
        <v>11.3223</v>
      </c>
      <c r="H4430" s="15"/>
      <c r="I4430" s="15"/>
    </row>
    <row r="4431">
      <c r="A4431" s="18">
        <v>45665.0</v>
      </c>
      <c r="B4431" s="16" t="s">
        <v>5266</v>
      </c>
      <c r="C4431" s="16">
        <v>1.0</v>
      </c>
      <c r="D4431" s="16" t="s">
        <v>707</v>
      </c>
      <c r="E4431" s="16">
        <v>2022.0</v>
      </c>
      <c r="F4431" s="16">
        <v>53.6798</v>
      </c>
      <c r="G4431" s="16">
        <v>13.5559</v>
      </c>
      <c r="H4431" s="15"/>
      <c r="I4431" s="15"/>
    </row>
    <row r="4432">
      <c r="A4432" s="18">
        <v>45665.0</v>
      </c>
      <c r="B4432" s="16" t="s">
        <v>5267</v>
      </c>
      <c r="C4432" s="16" t="s">
        <v>946</v>
      </c>
      <c r="D4432" s="16" t="s">
        <v>707</v>
      </c>
      <c r="E4432" s="16">
        <v>2022.0</v>
      </c>
      <c r="F4432" s="16">
        <v>53.6816</v>
      </c>
      <c r="G4432" s="16">
        <v>13.5591</v>
      </c>
      <c r="H4432" s="15"/>
      <c r="I4432" s="15"/>
    </row>
    <row r="4433">
      <c r="A4433" s="18">
        <v>45665.0</v>
      </c>
      <c r="B4433" s="16" t="s">
        <v>5268</v>
      </c>
      <c r="C4433" s="16" t="s">
        <v>1055</v>
      </c>
      <c r="D4433" s="16" t="s">
        <v>707</v>
      </c>
      <c r="E4433" s="16">
        <v>2022.0</v>
      </c>
      <c r="F4433" s="16">
        <v>53.6671</v>
      </c>
      <c r="G4433" s="16">
        <v>13.526</v>
      </c>
      <c r="H4433" s="15"/>
      <c r="I4433" s="15"/>
    </row>
    <row r="4434">
      <c r="A4434" s="18">
        <v>45665.0</v>
      </c>
      <c r="B4434" s="16" t="s">
        <v>5269</v>
      </c>
      <c r="C4434" s="16" t="s">
        <v>1059</v>
      </c>
      <c r="D4434" s="16" t="s">
        <v>707</v>
      </c>
      <c r="E4434" s="16">
        <v>2022.0</v>
      </c>
      <c r="F4434" s="16">
        <v>53.6739</v>
      </c>
      <c r="G4434" s="16">
        <v>13.5375</v>
      </c>
      <c r="H4434" s="15"/>
      <c r="I4434" s="15"/>
    </row>
    <row r="4435">
      <c r="A4435" s="18">
        <v>45665.0</v>
      </c>
      <c r="B4435" s="16" t="s">
        <v>5270</v>
      </c>
      <c r="C4435" s="16" t="s">
        <v>990</v>
      </c>
      <c r="D4435" s="16" t="s">
        <v>707</v>
      </c>
      <c r="E4435" s="16">
        <v>2022.0</v>
      </c>
      <c r="F4435" s="16">
        <v>53.6726</v>
      </c>
      <c r="G4435" s="16">
        <v>13.5359</v>
      </c>
      <c r="H4435" s="15"/>
      <c r="I4435" s="15"/>
    </row>
    <row r="4436">
      <c r="A4436" s="18">
        <v>45665.0</v>
      </c>
      <c r="B4436" s="16" t="s">
        <v>5271</v>
      </c>
      <c r="C4436" s="16" t="s">
        <v>1037</v>
      </c>
      <c r="D4436" s="16" t="s">
        <v>707</v>
      </c>
      <c r="E4436" s="16">
        <v>2022.0</v>
      </c>
      <c r="F4436" s="16">
        <v>50.2816</v>
      </c>
      <c r="G4436" s="16">
        <v>10.2427</v>
      </c>
      <c r="H4436" s="15"/>
      <c r="I4436" s="15"/>
    </row>
    <row r="4437">
      <c r="A4437" s="18">
        <v>45665.0</v>
      </c>
      <c r="B4437" s="16" t="s">
        <v>5272</v>
      </c>
      <c r="C4437" s="16">
        <v>3.0</v>
      </c>
      <c r="D4437" s="16" t="s">
        <v>707</v>
      </c>
      <c r="E4437" s="16">
        <v>2022.0</v>
      </c>
      <c r="F4437" s="16">
        <v>48.3385</v>
      </c>
      <c r="G4437" s="16">
        <v>12.4145</v>
      </c>
      <c r="H4437" s="15"/>
      <c r="I4437" s="15"/>
    </row>
    <row r="4438">
      <c r="A4438" s="18">
        <v>45665.0</v>
      </c>
      <c r="B4438" s="16" t="s">
        <v>5273</v>
      </c>
      <c r="C4438" s="16" t="s">
        <v>1034</v>
      </c>
      <c r="D4438" s="16" t="s">
        <v>707</v>
      </c>
      <c r="E4438" s="16">
        <v>2022.0</v>
      </c>
      <c r="F4438" s="16">
        <v>48.3386</v>
      </c>
      <c r="G4438" s="16">
        <v>12.4141</v>
      </c>
      <c r="H4438" s="15"/>
      <c r="I4438" s="15"/>
    </row>
    <row r="4439">
      <c r="A4439" s="18">
        <v>45665.0</v>
      </c>
      <c r="B4439" s="16" t="s">
        <v>5274</v>
      </c>
      <c r="C4439" s="16" t="s">
        <v>1011</v>
      </c>
      <c r="D4439" s="16" t="s">
        <v>707</v>
      </c>
      <c r="E4439" s="16">
        <v>2022.0</v>
      </c>
      <c r="F4439" s="16">
        <v>49.6282</v>
      </c>
      <c r="G4439" s="16">
        <v>10.1771</v>
      </c>
      <c r="H4439" s="15"/>
      <c r="I4439" s="15"/>
    </row>
    <row r="4440">
      <c r="A4440" s="18">
        <v>45665.0</v>
      </c>
      <c r="B4440" s="16" t="s">
        <v>5275</v>
      </c>
      <c r="C4440" s="16">
        <v>15.0</v>
      </c>
      <c r="D4440" s="16" t="s">
        <v>707</v>
      </c>
      <c r="E4440" s="16">
        <v>2022.0</v>
      </c>
      <c r="F4440" s="16">
        <v>49.6287</v>
      </c>
      <c r="G4440" s="16">
        <v>10.1789</v>
      </c>
      <c r="H4440" s="15"/>
      <c r="I4440" s="15"/>
    </row>
    <row r="4441">
      <c r="A4441" s="18">
        <v>45665.0</v>
      </c>
      <c r="B4441" s="16" t="s">
        <v>5276</v>
      </c>
      <c r="C4441" s="16" t="s">
        <v>1080</v>
      </c>
      <c r="D4441" s="16" t="s">
        <v>707</v>
      </c>
      <c r="E4441" s="16">
        <v>2022.0</v>
      </c>
      <c r="F4441" s="16">
        <v>52.5446</v>
      </c>
      <c r="G4441" s="16">
        <v>11.3981</v>
      </c>
      <c r="H4441" s="15"/>
      <c r="I4441" s="15"/>
    </row>
    <row r="4442">
      <c r="A4442" s="18">
        <v>45665.0</v>
      </c>
      <c r="B4442" s="16" t="s">
        <v>5277</v>
      </c>
      <c r="C4442" s="16" t="s">
        <v>1055</v>
      </c>
      <c r="D4442" s="16" t="s">
        <v>707</v>
      </c>
      <c r="E4442" s="16">
        <v>2022.0</v>
      </c>
      <c r="F4442" s="16">
        <v>50.9766</v>
      </c>
      <c r="G4442" s="16">
        <v>11.1149</v>
      </c>
      <c r="H4442" s="15"/>
      <c r="I4442" s="15"/>
    </row>
    <row r="4443">
      <c r="A4443" s="18">
        <v>45665.0</v>
      </c>
      <c r="B4443" s="16" t="s">
        <v>5277</v>
      </c>
      <c r="C4443" s="16" t="s">
        <v>4358</v>
      </c>
      <c r="D4443" s="16" t="s">
        <v>707</v>
      </c>
      <c r="E4443" s="16">
        <v>2022.0</v>
      </c>
      <c r="F4443" s="16">
        <v>51.4978</v>
      </c>
      <c r="G4443" s="16">
        <v>12.0776</v>
      </c>
      <c r="H4443" s="15"/>
      <c r="I4443" s="15"/>
    </row>
    <row r="4444">
      <c r="A4444" s="18">
        <v>45665.0</v>
      </c>
      <c r="B4444" s="16" t="s">
        <v>5277</v>
      </c>
      <c r="C4444" s="16" t="s">
        <v>1004</v>
      </c>
      <c r="D4444" s="16" t="s">
        <v>707</v>
      </c>
      <c r="E4444" s="16">
        <v>2022.0</v>
      </c>
      <c r="F4444" s="16">
        <v>52.2993</v>
      </c>
      <c r="G4444" s="16">
        <v>9.8379</v>
      </c>
      <c r="H4444" s="15"/>
      <c r="I4444" s="15"/>
    </row>
    <row r="4445">
      <c r="A4445" s="18">
        <v>45665.0</v>
      </c>
      <c r="B4445" s="16" t="s">
        <v>5278</v>
      </c>
      <c r="C4445" s="16" t="s">
        <v>1215</v>
      </c>
      <c r="D4445" s="16" t="s">
        <v>707</v>
      </c>
      <c r="E4445" s="16">
        <v>2022.0</v>
      </c>
      <c r="F4445" s="16">
        <v>51.5177</v>
      </c>
      <c r="G4445" s="16">
        <v>9.8985</v>
      </c>
      <c r="H4445" s="15"/>
      <c r="I4445" s="15"/>
    </row>
    <row r="4446">
      <c r="A4446" s="18">
        <v>45665.0</v>
      </c>
      <c r="B4446" s="16" t="s">
        <v>5278</v>
      </c>
      <c r="C4446" s="16" t="s">
        <v>1037</v>
      </c>
      <c r="D4446" s="16" t="s">
        <v>707</v>
      </c>
      <c r="E4446" s="16">
        <v>2022.0</v>
      </c>
      <c r="F4446" s="16">
        <v>51.5177</v>
      </c>
      <c r="G4446" s="16">
        <v>9.8994</v>
      </c>
      <c r="H4446" s="15"/>
      <c r="I4446" s="15"/>
    </row>
    <row r="4447">
      <c r="A4447" s="18">
        <v>45665.0</v>
      </c>
      <c r="B4447" s="16" t="s">
        <v>4915</v>
      </c>
      <c r="C4447" s="16" t="s">
        <v>959</v>
      </c>
      <c r="D4447" s="16" t="s">
        <v>707</v>
      </c>
      <c r="E4447" s="16">
        <v>2022.0</v>
      </c>
      <c r="F4447" s="16">
        <v>52.0514</v>
      </c>
      <c r="G4447" s="16">
        <v>11.5572</v>
      </c>
      <c r="H4447" s="15"/>
      <c r="I4447" s="15"/>
    </row>
    <row r="4448">
      <c r="A4448" s="18">
        <v>45665.0</v>
      </c>
      <c r="B4448" s="16" t="s">
        <v>5279</v>
      </c>
      <c r="C4448" s="16" t="s">
        <v>1436</v>
      </c>
      <c r="D4448" s="16" t="s">
        <v>707</v>
      </c>
      <c r="E4448" s="16">
        <v>2022.0</v>
      </c>
      <c r="F4448" s="16">
        <v>52.0504</v>
      </c>
      <c r="G4448" s="16">
        <v>11.5549</v>
      </c>
      <c r="H4448" s="15"/>
      <c r="I4448" s="15"/>
    </row>
    <row r="4449">
      <c r="A4449" s="18">
        <v>45665.0</v>
      </c>
      <c r="B4449" s="16" t="s">
        <v>5280</v>
      </c>
      <c r="C4449" s="16" t="s">
        <v>1007</v>
      </c>
      <c r="D4449" s="16" t="s">
        <v>707</v>
      </c>
      <c r="E4449" s="16">
        <v>2022.0</v>
      </c>
      <c r="F4449" s="16">
        <v>53.0036</v>
      </c>
      <c r="G4449" s="16">
        <v>9.9208</v>
      </c>
      <c r="H4449" s="15"/>
      <c r="I4449" s="15"/>
    </row>
    <row r="4450">
      <c r="A4450" s="18">
        <v>45665.0</v>
      </c>
      <c r="B4450" s="16" t="s">
        <v>5281</v>
      </c>
      <c r="C4450" s="16" t="s">
        <v>971</v>
      </c>
      <c r="D4450" s="16" t="s">
        <v>707</v>
      </c>
      <c r="E4450" s="16">
        <v>2022.0</v>
      </c>
      <c r="F4450" s="16">
        <v>48.3826</v>
      </c>
      <c r="G4450" s="16">
        <v>12.6309</v>
      </c>
      <c r="H4450" s="15"/>
      <c r="I4450" s="15"/>
    </row>
    <row r="4451">
      <c r="A4451" s="18">
        <v>45665.0</v>
      </c>
      <c r="B4451" s="16" t="s">
        <v>5282</v>
      </c>
      <c r="C4451" s="16">
        <v>3.0</v>
      </c>
      <c r="D4451" s="16" t="s">
        <v>707</v>
      </c>
      <c r="E4451" s="16">
        <v>2022.0</v>
      </c>
      <c r="F4451" s="16">
        <v>49.2241</v>
      </c>
      <c r="G4451" s="16">
        <v>8.469</v>
      </c>
      <c r="H4451" s="15"/>
      <c r="I4451" s="15"/>
    </row>
    <row r="4452">
      <c r="A4452" s="18">
        <v>45665.0</v>
      </c>
      <c r="B4452" s="16" t="s">
        <v>5283</v>
      </c>
      <c r="C4452" s="16" t="s">
        <v>951</v>
      </c>
      <c r="D4452" s="16" t="s">
        <v>707</v>
      </c>
      <c r="E4452" s="16">
        <v>2022.0</v>
      </c>
      <c r="F4452" s="16">
        <v>50.3496</v>
      </c>
      <c r="G4452" s="16">
        <v>11.016</v>
      </c>
      <c r="H4452" s="15"/>
      <c r="I4452" s="15"/>
    </row>
    <row r="4453">
      <c r="A4453" s="18">
        <v>45665.0</v>
      </c>
      <c r="B4453" s="16" t="s">
        <v>5284</v>
      </c>
      <c r="C4453" s="16">
        <v>2.0</v>
      </c>
      <c r="D4453" s="16" t="s">
        <v>707</v>
      </c>
      <c r="E4453" s="16">
        <v>2022.0</v>
      </c>
      <c r="F4453" s="16">
        <v>51.4848</v>
      </c>
      <c r="G4453" s="16">
        <v>12.0743</v>
      </c>
      <c r="H4453" s="15"/>
      <c r="I4453" s="15"/>
    </row>
    <row r="4454">
      <c r="A4454" s="18">
        <v>45665.0</v>
      </c>
      <c r="B4454" s="16" t="s">
        <v>5285</v>
      </c>
      <c r="C4454" s="16">
        <v>2.0</v>
      </c>
      <c r="D4454" s="16" t="s">
        <v>707</v>
      </c>
      <c r="E4454" s="16">
        <v>2022.0</v>
      </c>
      <c r="F4454" s="16">
        <v>51.6311</v>
      </c>
      <c r="G4454" s="16">
        <v>13.5132</v>
      </c>
      <c r="H4454" s="15"/>
      <c r="I4454" s="15"/>
    </row>
    <row r="4455">
      <c r="A4455" s="18">
        <v>45665.0</v>
      </c>
      <c r="B4455" s="16" t="s">
        <v>5286</v>
      </c>
      <c r="C4455" s="16" t="s">
        <v>1051</v>
      </c>
      <c r="D4455" s="16" t="s">
        <v>707</v>
      </c>
      <c r="E4455" s="16">
        <v>2022.0</v>
      </c>
      <c r="F4455" s="16">
        <v>49.8178</v>
      </c>
      <c r="G4455" s="16">
        <v>11.6141</v>
      </c>
      <c r="H4455" s="15"/>
      <c r="I4455" s="15"/>
    </row>
    <row r="4456">
      <c r="A4456" s="18">
        <v>45665.0</v>
      </c>
      <c r="B4456" s="16" t="s">
        <v>5287</v>
      </c>
      <c r="C4456" s="16" t="s">
        <v>1099</v>
      </c>
      <c r="D4456" s="16" t="s">
        <v>707</v>
      </c>
      <c r="E4456" s="16">
        <v>2022.0</v>
      </c>
      <c r="F4456" s="16">
        <v>49.7975</v>
      </c>
      <c r="G4456" s="16">
        <v>11.5839</v>
      </c>
      <c r="H4456" s="15"/>
      <c r="I4456" s="15"/>
    </row>
    <row r="4457">
      <c r="A4457" s="18">
        <v>45665.0</v>
      </c>
      <c r="B4457" s="16" t="s">
        <v>5288</v>
      </c>
      <c r="C4457" s="16">
        <v>5.0</v>
      </c>
      <c r="D4457" s="16" t="s">
        <v>707</v>
      </c>
      <c r="E4457" s="16">
        <v>2022.0</v>
      </c>
      <c r="F4457" s="16">
        <v>49.3629</v>
      </c>
      <c r="G4457" s="16">
        <v>10.8649</v>
      </c>
      <c r="H4457" s="15"/>
      <c r="I4457" s="15"/>
    </row>
    <row r="4458">
      <c r="A4458" s="18">
        <v>45665.0</v>
      </c>
      <c r="B4458" s="16" t="s">
        <v>5289</v>
      </c>
      <c r="C4458" s="16" t="s">
        <v>946</v>
      </c>
      <c r="D4458" s="16" t="s">
        <v>707</v>
      </c>
      <c r="E4458" s="16">
        <v>2022.0</v>
      </c>
      <c r="F4458" s="16">
        <v>49.6617</v>
      </c>
      <c r="G4458" s="16">
        <v>9.5575</v>
      </c>
      <c r="H4458" s="15"/>
      <c r="I4458" s="15"/>
    </row>
    <row r="4459">
      <c r="A4459" s="18">
        <v>45665.0</v>
      </c>
      <c r="B4459" s="16" t="s">
        <v>5289</v>
      </c>
      <c r="C4459" s="16" t="s">
        <v>971</v>
      </c>
      <c r="D4459" s="16" t="s">
        <v>707</v>
      </c>
      <c r="E4459" s="16">
        <v>2022.0</v>
      </c>
      <c r="F4459" s="16">
        <v>49.6621</v>
      </c>
      <c r="G4459" s="16">
        <v>9.7564</v>
      </c>
      <c r="H4459" s="15"/>
      <c r="I4459" s="15"/>
    </row>
    <row r="4460">
      <c r="A4460" s="18">
        <v>45665.0</v>
      </c>
      <c r="B4460" s="16" t="s">
        <v>5290</v>
      </c>
      <c r="C4460" s="16" t="s">
        <v>1351</v>
      </c>
      <c r="D4460" s="16" t="s">
        <v>707</v>
      </c>
      <c r="E4460" s="16">
        <v>2022.0</v>
      </c>
      <c r="F4460" s="16">
        <v>53.0681</v>
      </c>
      <c r="G4460" s="16">
        <v>13.0686</v>
      </c>
      <c r="H4460" s="15"/>
      <c r="I4460" s="15"/>
    </row>
    <row r="4461">
      <c r="A4461" s="18">
        <v>45665.0</v>
      </c>
      <c r="B4461" s="16" t="s">
        <v>5291</v>
      </c>
      <c r="C4461" s="16" t="s">
        <v>942</v>
      </c>
      <c r="D4461" s="16" t="s">
        <v>707</v>
      </c>
      <c r="E4461" s="16">
        <v>2022.0</v>
      </c>
      <c r="F4461" s="16">
        <v>48.9459</v>
      </c>
      <c r="G4461" s="16">
        <v>11.9898</v>
      </c>
      <c r="H4461" s="15"/>
      <c r="I4461" s="15"/>
    </row>
    <row r="4462">
      <c r="A4462" s="18">
        <v>45665.0</v>
      </c>
      <c r="B4462" s="16" t="s">
        <v>5292</v>
      </c>
      <c r="C4462" s="16" t="s">
        <v>948</v>
      </c>
      <c r="D4462" s="16" t="s">
        <v>707</v>
      </c>
      <c r="E4462" s="16">
        <v>2022.0</v>
      </c>
      <c r="F4462" s="16">
        <v>50.8782</v>
      </c>
      <c r="G4462" s="16">
        <v>12.4315</v>
      </c>
      <c r="H4462" s="15"/>
      <c r="I4462" s="15"/>
    </row>
    <row r="4463">
      <c r="A4463" s="18">
        <v>45665.0</v>
      </c>
      <c r="B4463" s="16" t="s">
        <v>5293</v>
      </c>
      <c r="C4463" s="16" t="s">
        <v>961</v>
      </c>
      <c r="D4463" s="16" t="s">
        <v>707</v>
      </c>
      <c r="E4463" s="16">
        <v>2022.0</v>
      </c>
      <c r="F4463" s="16">
        <v>48.1574</v>
      </c>
      <c r="G4463" s="16">
        <v>11.7837</v>
      </c>
      <c r="H4463" s="15"/>
      <c r="I4463" s="15"/>
    </row>
    <row r="4464">
      <c r="A4464" s="18">
        <v>45665.0</v>
      </c>
      <c r="B4464" s="16" t="s">
        <v>5293</v>
      </c>
      <c r="C4464" s="16" t="s">
        <v>961</v>
      </c>
      <c r="D4464" s="16" t="s">
        <v>707</v>
      </c>
      <c r="E4464" s="16">
        <v>2022.0</v>
      </c>
      <c r="F4464" s="16">
        <v>48.1574</v>
      </c>
      <c r="G4464" s="16">
        <v>11.7837</v>
      </c>
      <c r="H4464" s="15"/>
      <c r="I4464" s="15"/>
    </row>
    <row r="4465">
      <c r="A4465" s="18">
        <v>45665.0</v>
      </c>
      <c r="B4465" s="16" t="s">
        <v>5293</v>
      </c>
      <c r="C4465" s="16">
        <v>3.0</v>
      </c>
      <c r="D4465" s="16" t="s">
        <v>707</v>
      </c>
      <c r="E4465" s="16">
        <v>2022.0</v>
      </c>
      <c r="F4465" s="16">
        <v>48.1561</v>
      </c>
      <c r="G4465" s="16">
        <v>11.7824</v>
      </c>
      <c r="H4465" s="15"/>
      <c r="I4465" s="15"/>
    </row>
    <row r="4466">
      <c r="A4466" s="18">
        <v>45665.0</v>
      </c>
      <c r="B4466" s="16" t="s">
        <v>5293</v>
      </c>
      <c r="C4466" s="16" t="s">
        <v>961</v>
      </c>
      <c r="D4466" s="16" t="s">
        <v>707</v>
      </c>
      <c r="E4466" s="16">
        <v>2022.0</v>
      </c>
      <c r="F4466" s="16">
        <v>48.156</v>
      </c>
      <c r="G4466" s="16">
        <v>11.779</v>
      </c>
      <c r="H4466" s="15"/>
      <c r="I4466" s="15"/>
    </row>
    <row r="4467">
      <c r="A4467" s="18">
        <v>45665.0</v>
      </c>
      <c r="B4467" s="16" t="s">
        <v>5294</v>
      </c>
      <c r="C4467" s="16" t="s">
        <v>1034</v>
      </c>
      <c r="D4467" s="16" t="s">
        <v>707</v>
      </c>
      <c r="E4467" s="16">
        <v>2022.0</v>
      </c>
      <c r="F4467" s="16">
        <v>48.6125</v>
      </c>
      <c r="G4467" s="16">
        <v>10.9403</v>
      </c>
      <c r="H4467" s="15"/>
      <c r="I4467" s="15"/>
    </row>
    <row r="4468">
      <c r="A4468" s="18">
        <v>45665.0</v>
      </c>
      <c r="B4468" s="16" t="s">
        <v>4922</v>
      </c>
      <c r="C4468" s="16" t="s">
        <v>946</v>
      </c>
      <c r="D4468" s="16" t="s">
        <v>707</v>
      </c>
      <c r="E4468" s="16">
        <v>2022.0</v>
      </c>
      <c r="F4468" s="16">
        <v>51.5522</v>
      </c>
      <c r="G4468" s="16">
        <v>11.5226</v>
      </c>
      <c r="H4468" s="15"/>
      <c r="I4468" s="15"/>
    </row>
    <row r="4469">
      <c r="A4469" s="18">
        <v>45665.0</v>
      </c>
      <c r="B4469" s="16" t="s">
        <v>4922</v>
      </c>
      <c r="C4469" s="16" t="s">
        <v>1039</v>
      </c>
      <c r="D4469" s="16" t="s">
        <v>707</v>
      </c>
      <c r="E4469" s="16">
        <v>2022.0</v>
      </c>
      <c r="F4469" s="16">
        <v>51.5524</v>
      </c>
      <c r="G4469" s="16">
        <v>11.5236</v>
      </c>
      <c r="H4469" s="15"/>
      <c r="I4469" s="15"/>
    </row>
    <row r="4470">
      <c r="A4470" s="18">
        <v>45665.0</v>
      </c>
      <c r="B4470" s="16" t="s">
        <v>5295</v>
      </c>
      <c r="C4470" s="16" t="s">
        <v>1099</v>
      </c>
      <c r="D4470" s="16" t="s">
        <v>707</v>
      </c>
      <c r="E4470" s="16">
        <v>2022.0</v>
      </c>
      <c r="F4470" s="16">
        <v>48.7684</v>
      </c>
      <c r="G4470" s="16">
        <v>13.5554</v>
      </c>
      <c r="H4470" s="15"/>
      <c r="I4470" s="15"/>
    </row>
    <row r="4471">
      <c r="A4471" s="18">
        <v>45665.0</v>
      </c>
      <c r="B4471" s="16" t="s">
        <v>5296</v>
      </c>
      <c r="C4471" s="16" t="s">
        <v>4064</v>
      </c>
      <c r="D4471" s="16" t="s">
        <v>707</v>
      </c>
      <c r="E4471" s="16">
        <v>2022.0</v>
      </c>
      <c r="F4471" s="16">
        <v>49.965</v>
      </c>
      <c r="G4471" s="16">
        <v>10.2197</v>
      </c>
      <c r="H4471" s="15"/>
      <c r="I4471" s="15"/>
    </row>
    <row r="4472">
      <c r="A4472" s="18">
        <v>45665.0</v>
      </c>
      <c r="B4472" s="16" t="s">
        <v>5297</v>
      </c>
      <c r="C4472" s="16" t="s">
        <v>1046</v>
      </c>
      <c r="D4472" s="16" t="s">
        <v>707</v>
      </c>
      <c r="E4472" s="16">
        <v>2022.0</v>
      </c>
      <c r="F4472" s="16">
        <v>51.0502</v>
      </c>
      <c r="G4472" s="16">
        <v>6.0868</v>
      </c>
      <c r="H4472" s="15"/>
      <c r="I4472" s="15"/>
    </row>
    <row r="4473">
      <c r="A4473" s="18">
        <v>45665.0</v>
      </c>
      <c r="B4473" s="16" t="s">
        <v>5298</v>
      </c>
      <c r="C4473" s="16">
        <v>1.0</v>
      </c>
      <c r="D4473" s="16" t="s">
        <v>707</v>
      </c>
      <c r="E4473" s="16">
        <v>2022.0</v>
      </c>
      <c r="F4473" s="16">
        <v>50.5924</v>
      </c>
      <c r="G4473" s="16">
        <v>8.6314</v>
      </c>
      <c r="H4473" s="15"/>
      <c r="I4473" s="15"/>
    </row>
    <row r="4474">
      <c r="A4474" s="18">
        <v>45665.0</v>
      </c>
      <c r="B4474" s="16" t="s">
        <v>5299</v>
      </c>
      <c r="C4474" s="16">
        <v>3.0</v>
      </c>
      <c r="D4474" s="16" t="s">
        <v>707</v>
      </c>
      <c r="E4474" s="16">
        <v>2022.0</v>
      </c>
      <c r="F4474" s="16">
        <v>48.6543</v>
      </c>
      <c r="G4474" s="16">
        <v>13.5826</v>
      </c>
      <c r="H4474" s="15"/>
      <c r="I4474" s="15"/>
    </row>
    <row r="4475">
      <c r="A4475" s="18">
        <v>45665.0</v>
      </c>
      <c r="B4475" s="16" t="s">
        <v>5300</v>
      </c>
      <c r="C4475" s="16" t="s">
        <v>959</v>
      </c>
      <c r="D4475" s="16" t="s">
        <v>707</v>
      </c>
      <c r="E4475" s="16">
        <v>2022.0</v>
      </c>
      <c r="F4475" s="16">
        <v>48.9303</v>
      </c>
      <c r="G4475" s="16">
        <v>12.7234</v>
      </c>
      <c r="H4475" s="15"/>
      <c r="I4475" s="15"/>
    </row>
    <row r="4476">
      <c r="A4476" s="18">
        <v>45665.0</v>
      </c>
      <c r="B4476" s="16" t="s">
        <v>5301</v>
      </c>
      <c r="C4476" s="16" t="s">
        <v>969</v>
      </c>
      <c r="D4476" s="16" t="s">
        <v>707</v>
      </c>
      <c r="E4476" s="16">
        <v>2022.0</v>
      </c>
      <c r="F4476" s="16">
        <v>50.0259</v>
      </c>
      <c r="G4476" s="16">
        <v>10.2652</v>
      </c>
      <c r="H4476" s="15"/>
      <c r="I4476" s="15"/>
    </row>
    <row r="4477">
      <c r="A4477" s="18">
        <v>45665.0</v>
      </c>
      <c r="B4477" s="16" t="s">
        <v>5302</v>
      </c>
      <c r="C4477" s="16">
        <v>10.0</v>
      </c>
      <c r="D4477" s="16" t="s">
        <v>707</v>
      </c>
      <c r="E4477" s="16">
        <v>2022.0</v>
      </c>
      <c r="F4477" s="16">
        <v>54.0725</v>
      </c>
      <c r="G4477" s="16">
        <v>13.5435</v>
      </c>
      <c r="H4477" s="15"/>
      <c r="I4477" s="15"/>
    </row>
    <row r="4478">
      <c r="A4478" s="18">
        <v>45665.0</v>
      </c>
      <c r="B4478" s="16" t="s">
        <v>5303</v>
      </c>
      <c r="C4478" s="16">
        <v>3.0</v>
      </c>
      <c r="D4478" s="16" t="s">
        <v>707</v>
      </c>
      <c r="E4478" s="16">
        <v>2022.0</v>
      </c>
      <c r="F4478" s="16">
        <v>51.3741</v>
      </c>
      <c r="G4478" s="16">
        <v>6.7738</v>
      </c>
      <c r="H4478" s="15"/>
      <c r="I4478" s="15"/>
    </row>
    <row r="4479">
      <c r="A4479" s="18">
        <v>45665.0</v>
      </c>
      <c r="B4479" s="16" t="s">
        <v>5304</v>
      </c>
      <c r="C4479" s="16" t="s">
        <v>1055</v>
      </c>
      <c r="D4479" s="16" t="s">
        <v>707</v>
      </c>
      <c r="E4479" s="16">
        <v>2022.0</v>
      </c>
      <c r="F4479" s="16">
        <v>50.8694</v>
      </c>
      <c r="G4479" s="16">
        <v>6.7535</v>
      </c>
      <c r="H4479" s="15"/>
      <c r="I4479" s="15"/>
    </row>
    <row r="4480">
      <c r="A4480" s="18">
        <v>45665.0</v>
      </c>
      <c r="B4480" s="16" t="s">
        <v>5305</v>
      </c>
      <c r="C4480" s="16">
        <v>5.0</v>
      </c>
      <c r="D4480" s="16" t="s">
        <v>707</v>
      </c>
      <c r="E4480" s="16">
        <v>2022.0</v>
      </c>
      <c r="F4480" s="16">
        <v>49.7901</v>
      </c>
      <c r="G4480" s="16">
        <v>10.2678</v>
      </c>
      <c r="H4480" s="15"/>
      <c r="I4480" s="15"/>
    </row>
    <row r="4481">
      <c r="A4481" s="18">
        <v>45665.0</v>
      </c>
      <c r="B4481" s="16" t="s">
        <v>5306</v>
      </c>
      <c r="C4481" s="16" t="s">
        <v>1090</v>
      </c>
      <c r="D4481" s="16" t="s">
        <v>707</v>
      </c>
      <c r="E4481" s="16">
        <v>2022.0</v>
      </c>
      <c r="F4481" s="16">
        <v>48.2512</v>
      </c>
      <c r="G4481" s="16">
        <v>12.6453</v>
      </c>
      <c r="H4481" s="15"/>
      <c r="I4481" s="15"/>
    </row>
    <row r="4482">
      <c r="A4482" s="18">
        <v>45665.0</v>
      </c>
      <c r="B4482" s="16" t="s">
        <v>5307</v>
      </c>
      <c r="C4482" s="16" t="s">
        <v>990</v>
      </c>
      <c r="D4482" s="16" t="s">
        <v>707</v>
      </c>
      <c r="E4482" s="16">
        <v>2022.0</v>
      </c>
      <c r="F4482" s="16">
        <v>48.118</v>
      </c>
      <c r="G4482" s="16">
        <v>11.1142</v>
      </c>
      <c r="H4482" s="15"/>
      <c r="I4482" s="15"/>
    </row>
    <row r="4483">
      <c r="A4483" s="18">
        <v>45665.0</v>
      </c>
      <c r="B4483" s="16" t="s">
        <v>5308</v>
      </c>
      <c r="C4483" s="16" t="s">
        <v>948</v>
      </c>
      <c r="D4483" s="16" t="s">
        <v>707</v>
      </c>
      <c r="E4483" s="16">
        <v>2022.0</v>
      </c>
      <c r="F4483" s="16">
        <v>52.6693</v>
      </c>
      <c r="G4483" s="16">
        <v>14.1484</v>
      </c>
      <c r="H4483" s="15"/>
      <c r="I4483" s="15"/>
    </row>
    <row r="4484">
      <c r="A4484" s="18">
        <v>45665.0</v>
      </c>
      <c r="B4484" s="16" t="s">
        <v>5309</v>
      </c>
      <c r="C4484" s="16" t="s">
        <v>1167</v>
      </c>
      <c r="D4484" s="16" t="s">
        <v>707</v>
      </c>
      <c r="E4484" s="16">
        <v>2022.0</v>
      </c>
      <c r="F4484" s="16">
        <v>51.4959</v>
      </c>
      <c r="G4484" s="16">
        <v>13.805</v>
      </c>
      <c r="H4484" s="15"/>
      <c r="I4484" s="15"/>
    </row>
    <row r="4485">
      <c r="A4485" s="18">
        <v>45665.0</v>
      </c>
      <c r="B4485" s="16" t="s">
        <v>5310</v>
      </c>
      <c r="C4485" s="16" t="s">
        <v>984</v>
      </c>
      <c r="D4485" s="16" t="s">
        <v>707</v>
      </c>
      <c r="E4485" s="16">
        <v>2022.0</v>
      </c>
      <c r="F4485" s="16">
        <v>53.9466</v>
      </c>
      <c r="G4485" s="16">
        <v>13.2973</v>
      </c>
      <c r="H4485" s="15"/>
      <c r="I4485" s="15"/>
    </row>
    <row r="4486">
      <c r="A4486" s="18">
        <v>45665.0</v>
      </c>
      <c r="B4486" s="16" t="s">
        <v>5311</v>
      </c>
      <c r="C4486" s="16">
        <v>2.0</v>
      </c>
      <c r="D4486" s="16" t="s">
        <v>707</v>
      </c>
      <c r="E4486" s="16">
        <v>2022.0</v>
      </c>
      <c r="F4486" s="16">
        <v>48.0665</v>
      </c>
      <c r="G4486" s="16">
        <v>9.9597</v>
      </c>
      <c r="H4486" s="15"/>
      <c r="I4486" s="15"/>
    </row>
    <row r="4487">
      <c r="A4487" s="18">
        <v>45665.0</v>
      </c>
      <c r="B4487" s="16" t="s">
        <v>5312</v>
      </c>
      <c r="C4487" s="16" t="s">
        <v>1059</v>
      </c>
      <c r="D4487" s="16" t="s">
        <v>707</v>
      </c>
      <c r="E4487" s="16">
        <v>2022.0</v>
      </c>
      <c r="F4487" s="16">
        <v>52.5097</v>
      </c>
      <c r="G4487" s="16">
        <v>11.75</v>
      </c>
      <c r="H4487" s="15"/>
      <c r="I4487" s="15"/>
    </row>
    <row r="4488">
      <c r="A4488" s="18">
        <v>45665.0</v>
      </c>
      <c r="B4488" s="16" t="s">
        <v>5313</v>
      </c>
      <c r="C4488" s="16" t="s">
        <v>969</v>
      </c>
      <c r="D4488" s="16" t="s">
        <v>707</v>
      </c>
      <c r="E4488" s="16">
        <v>2022.0</v>
      </c>
      <c r="F4488" s="16">
        <v>48.8252</v>
      </c>
      <c r="G4488" s="16">
        <v>9.105</v>
      </c>
      <c r="H4488" s="15"/>
      <c r="I4488" s="15"/>
    </row>
    <row r="4489">
      <c r="A4489" s="18">
        <v>45665.0</v>
      </c>
      <c r="B4489" s="16" t="s">
        <v>5314</v>
      </c>
      <c r="C4489" s="16" t="s">
        <v>1167</v>
      </c>
      <c r="D4489" s="16" t="s">
        <v>707</v>
      </c>
      <c r="E4489" s="16">
        <v>2022.0</v>
      </c>
      <c r="F4489" s="16">
        <v>51.2713</v>
      </c>
      <c r="G4489" s="16">
        <v>13.4695</v>
      </c>
      <c r="H4489" s="15"/>
      <c r="I4489" s="15"/>
    </row>
    <row r="4490">
      <c r="A4490" s="18">
        <v>45665.0</v>
      </c>
      <c r="B4490" s="16" t="s">
        <v>5315</v>
      </c>
      <c r="C4490" s="16">
        <v>10.0</v>
      </c>
      <c r="D4490" s="16" t="s">
        <v>707</v>
      </c>
      <c r="E4490" s="16">
        <v>2022.0</v>
      </c>
      <c r="F4490" s="16">
        <v>51.2713</v>
      </c>
      <c r="G4490" s="16">
        <v>13.4695</v>
      </c>
      <c r="H4490" s="15"/>
      <c r="I4490" s="15"/>
    </row>
    <row r="4491">
      <c r="A4491" s="18">
        <v>45665.0</v>
      </c>
      <c r="B4491" s="16" t="s">
        <v>5316</v>
      </c>
      <c r="C4491" s="16" t="s">
        <v>990</v>
      </c>
      <c r="D4491" s="16" t="s">
        <v>707</v>
      </c>
      <c r="E4491" s="16">
        <v>2022.0</v>
      </c>
      <c r="F4491" s="16">
        <v>48.2416</v>
      </c>
      <c r="G4491" s="16">
        <v>12.3912</v>
      </c>
      <c r="H4491" s="15"/>
      <c r="I4491" s="15"/>
    </row>
    <row r="4492">
      <c r="A4492" s="18">
        <v>45665.0</v>
      </c>
      <c r="B4492" s="16" t="s">
        <v>5317</v>
      </c>
      <c r="C4492" s="16" t="s">
        <v>969</v>
      </c>
      <c r="D4492" s="16" t="s">
        <v>707</v>
      </c>
      <c r="E4492" s="16">
        <v>2022.0</v>
      </c>
      <c r="F4492" s="16">
        <v>52.6666</v>
      </c>
      <c r="G4492" s="16">
        <v>14.2085</v>
      </c>
      <c r="H4492" s="15"/>
      <c r="I4492" s="15"/>
    </row>
    <row r="4493">
      <c r="A4493" s="18">
        <v>45665.0</v>
      </c>
      <c r="B4493" s="16" t="s">
        <v>5318</v>
      </c>
      <c r="C4493" s="16">
        <v>3.0</v>
      </c>
      <c r="D4493" s="16" t="s">
        <v>707</v>
      </c>
      <c r="E4493" s="16">
        <v>2022.0</v>
      </c>
      <c r="F4493" s="16">
        <v>53.3753</v>
      </c>
      <c r="G4493" s="16">
        <v>12.3206</v>
      </c>
      <c r="H4493" s="15"/>
      <c r="I4493" s="15"/>
    </row>
    <row r="4494">
      <c r="A4494" s="18">
        <v>45665.0</v>
      </c>
      <c r="B4494" s="16" t="s">
        <v>5319</v>
      </c>
      <c r="C4494" s="16" t="s">
        <v>1007</v>
      </c>
      <c r="D4494" s="16" t="s">
        <v>707</v>
      </c>
      <c r="E4494" s="16">
        <v>2022.0</v>
      </c>
      <c r="F4494" s="16">
        <v>53.9396</v>
      </c>
      <c r="G4494" s="16">
        <v>11.5944</v>
      </c>
      <c r="H4494" s="15"/>
      <c r="I4494" s="15"/>
    </row>
    <row r="4495">
      <c r="A4495" s="18">
        <v>45665.0</v>
      </c>
      <c r="B4495" s="16" t="s">
        <v>5320</v>
      </c>
      <c r="C4495" s="16" t="s">
        <v>969</v>
      </c>
      <c r="D4495" s="16" t="s">
        <v>707</v>
      </c>
      <c r="E4495" s="16">
        <v>2022.0</v>
      </c>
      <c r="F4495" s="16">
        <v>50.839</v>
      </c>
      <c r="G4495" s="16">
        <v>9.0939</v>
      </c>
      <c r="H4495" s="15"/>
      <c r="I4495" s="15"/>
    </row>
    <row r="4496">
      <c r="A4496" s="18">
        <v>45665.0</v>
      </c>
      <c r="B4496" s="16" t="s">
        <v>5321</v>
      </c>
      <c r="C4496" s="16" t="s">
        <v>1351</v>
      </c>
      <c r="D4496" s="16" t="s">
        <v>707</v>
      </c>
      <c r="E4496" s="16">
        <v>2022.0</v>
      </c>
      <c r="F4496" s="16">
        <v>50.8387</v>
      </c>
      <c r="G4496" s="16">
        <v>9.0965</v>
      </c>
      <c r="H4496" s="15"/>
      <c r="I4496" s="15"/>
    </row>
    <row r="4497">
      <c r="A4497" s="18">
        <v>45665.0</v>
      </c>
      <c r="B4497" s="16" t="s">
        <v>5322</v>
      </c>
      <c r="C4497" s="16" t="s">
        <v>1011</v>
      </c>
      <c r="D4497" s="16" t="s">
        <v>707</v>
      </c>
      <c r="E4497" s="16">
        <v>2022.0</v>
      </c>
      <c r="F4497" s="16">
        <v>50.8387</v>
      </c>
      <c r="G4497" s="16">
        <v>9.0965</v>
      </c>
      <c r="H4497" s="15"/>
      <c r="I4497" s="15"/>
    </row>
    <row r="4498">
      <c r="A4498" s="18">
        <v>45665.0</v>
      </c>
      <c r="B4498" s="16" t="s">
        <v>5323</v>
      </c>
      <c r="C4498" s="16">
        <v>4.0</v>
      </c>
      <c r="D4498" s="16" t="s">
        <v>707</v>
      </c>
      <c r="E4498" s="16">
        <v>2022.0</v>
      </c>
      <c r="F4498" s="16">
        <v>50.8387</v>
      </c>
      <c r="G4498" s="16">
        <v>9.0965</v>
      </c>
      <c r="H4498" s="15"/>
      <c r="I4498" s="15"/>
    </row>
    <row r="4499">
      <c r="A4499" s="18">
        <v>45665.0</v>
      </c>
      <c r="B4499" s="16" t="s">
        <v>5324</v>
      </c>
      <c r="C4499" s="16" t="s">
        <v>1055</v>
      </c>
      <c r="D4499" s="16" t="s">
        <v>707</v>
      </c>
      <c r="E4499" s="16">
        <v>2022.0</v>
      </c>
      <c r="F4499" s="16">
        <v>52.3213</v>
      </c>
      <c r="G4499" s="16">
        <v>13.6768</v>
      </c>
      <c r="H4499" s="15"/>
      <c r="I4499" s="15"/>
    </row>
    <row r="4500">
      <c r="A4500" s="18">
        <v>45665.0</v>
      </c>
      <c r="B4500" s="16" t="s">
        <v>5325</v>
      </c>
      <c r="C4500" s="16" t="s">
        <v>1055</v>
      </c>
      <c r="D4500" s="16" t="s">
        <v>707</v>
      </c>
      <c r="E4500" s="16">
        <v>2022.0</v>
      </c>
      <c r="F4500" s="16">
        <v>52.3213</v>
      </c>
      <c r="G4500" s="16">
        <v>13.6768</v>
      </c>
      <c r="H4500" s="15"/>
      <c r="I4500" s="15"/>
    </row>
    <row r="4501">
      <c r="A4501" s="18">
        <v>45665.0</v>
      </c>
      <c r="B4501" s="16" t="s">
        <v>5326</v>
      </c>
      <c r="C4501" s="16" t="s">
        <v>969</v>
      </c>
      <c r="D4501" s="16" t="s">
        <v>707</v>
      </c>
      <c r="E4501" s="16">
        <v>2022.0</v>
      </c>
      <c r="F4501" s="16">
        <v>48.6395</v>
      </c>
      <c r="G4501" s="16">
        <v>12.3935</v>
      </c>
      <c r="H4501" s="15"/>
      <c r="I4501" s="15"/>
    </row>
    <row r="4502">
      <c r="A4502" s="18">
        <v>45665.0</v>
      </c>
      <c r="B4502" s="16" t="s">
        <v>5327</v>
      </c>
      <c r="C4502" s="16" t="s">
        <v>969</v>
      </c>
      <c r="D4502" s="16" t="s">
        <v>707</v>
      </c>
      <c r="E4502" s="16">
        <v>2022.0</v>
      </c>
      <c r="F4502" s="16">
        <v>50.9305</v>
      </c>
      <c r="G4502" s="16">
        <v>12.5043</v>
      </c>
      <c r="H4502" s="15"/>
      <c r="I4502" s="15"/>
    </row>
    <row r="4503">
      <c r="A4503" s="18">
        <v>45665.0</v>
      </c>
      <c r="B4503" s="16" t="s">
        <v>5328</v>
      </c>
      <c r="C4503" s="16">
        <v>1.0</v>
      </c>
      <c r="D4503" s="16" t="s">
        <v>707</v>
      </c>
      <c r="E4503" s="16">
        <v>2022.0</v>
      </c>
      <c r="F4503" s="16">
        <v>52.8482</v>
      </c>
      <c r="G4503" s="16">
        <v>7.6526</v>
      </c>
      <c r="H4503" s="15"/>
      <c r="I4503" s="15"/>
    </row>
    <row r="4504">
      <c r="A4504" s="18">
        <v>45665.0</v>
      </c>
      <c r="B4504" s="16" t="s">
        <v>5329</v>
      </c>
      <c r="C4504" s="16" t="s">
        <v>951</v>
      </c>
      <c r="D4504" s="16" t="s">
        <v>707</v>
      </c>
      <c r="E4504" s="16">
        <v>2022.0</v>
      </c>
      <c r="F4504" s="16">
        <v>48.2143</v>
      </c>
      <c r="G4504" s="16">
        <v>11.3103</v>
      </c>
      <c r="H4504" s="15"/>
      <c r="I4504" s="15"/>
    </row>
    <row r="4505">
      <c r="A4505" s="18">
        <v>45665.0</v>
      </c>
      <c r="B4505" s="16" t="s">
        <v>5330</v>
      </c>
      <c r="C4505" s="16" t="s">
        <v>1341</v>
      </c>
      <c r="D4505" s="16" t="s">
        <v>707</v>
      </c>
      <c r="E4505" s="16">
        <v>2022.0</v>
      </c>
      <c r="F4505" s="16">
        <v>48.2161</v>
      </c>
      <c r="G4505" s="16">
        <v>11.3095</v>
      </c>
      <c r="H4505" s="15"/>
      <c r="I4505" s="15"/>
    </row>
    <row r="4506">
      <c r="A4506" s="18">
        <v>45665.0</v>
      </c>
      <c r="B4506" s="16" t="s">
        <v>5331</v>
      </c>
      <c r="C4506" s="16" t="s">
        <v>1167</v>
      </c>
      <c r="D4506" s="16" t="s">
        <v>707</v>
      </c>
      <c r="E4506" s="16">
        <v>2022.0</v>
      </c>
      <c r="F4506" s="16">
        <v>52.1192</v>
      </c>
      <c r="G4506" s="16">
        <v>9.6059</v>
      </c>
      <c r="H4506" s="15"/>
      <c r="I4506" s="15"/>
    </row>
    <row r="4507">
      <c r="A4507" s="18">
        <v>45665.0</v>
      </c>
      <c r="B4507" s="16" t="s">
        <v>5332</v>
      </c>
      <c r="C4507" s="16">
        <v>5.0</v>
      </c>
      <c r="D4507" s="16" t="s">
        <v>707</v>
      </c>
      <c r="E4507" s="16">
        <v>2022.0</v>
      </c>
      <c r="F4507" s="16">
        <v>49.0864</v>
      </c>
      <c r="G4507" s="16">
        <v>10.9904</v>
      </c>
      <c r="H4507" s="15"/>
      <c r="I4507" s="15"/>
    </row>
    <row r="4508">
      <c r="A4508" s="18">
        <v>45665.0</v>
      </c>
      <c r="B4508" s="16" t="s">
        <v>5333</v>
      </c>
      <c r="C4508" s="16" t="s">
        <v>1055</v>
      </c>
      <c r="D4508" s="16" t="s">
        <v>707</v>
      </c>
      <c r="E4508" s="16">
        <v>2022.0</v>
      </c>
      <c r="F4508" s="16">
        <v>52.4408</v>
      </c>
      <c r="G4508" s="16">
        <v>12.5456</v>
      </c>
      <c r="H4508" s="15"/>
      <c r="I4508" s="15"/>
    </row>
    <row r="4509">
      <c r="A4509" s="18">
        <v>45665.0</v>
      </c>
      <c r="B4509" s="16" t="s">
        <v>5334</v>
      </c>
      <c r="C4509" s="16">
        <v>1.0</v>
      </c>
      <c r="D4509" s="16" t="s">
        <v>707</v>
      </c>
      <c r="E4509" s="16">
        <v>2022.0</v>
      </c>
      <c r="F4509" s="16">
        <v>48.8252</v>
      </c>
      <c r="G4509" s="16">
        <v>10.0783</v>
      </c>
      <c r="H4509" s="15"/>
      <c r="I4509" s="15"/>
    </row>
    <row r="4510">
      <c r="A4510" s="18">
        <v>45665.0</v>
      </c>
      <c r="B4510" s="16" t="s">
        <v>5335</v>
      </c>
      <c r="C4510" s="16" t="s">
        <v>969</v>
      </c>
      <c r="D4510" s="16" t="s">
        <v>707</v>
      </c>
      <c r="E4510" s="16">
        <v>2022.0</v>
      </c>
      <c r="F4510" s="16">
        <v>50.5782</v>
      </c>
      <c r="G4510" s="16">
        <v>7.0875</v>
      </c>
      <c r="H4510" s="15"/>
      <c r="I4510" s="15"/>
    </row>
    <row r="4511">
      <c r="A4511" s="18">
        <v>45665.0</v>
      </c>
      <c r="B4511" s="16" t="s">
        <v>5335</v>
      </c>
      <c r="C4511" s="16" t="s">
        <v>969</v>
      </c>
      <c r="D4511" s="16" t="s">
        <v>707</v>
      </c>
      <c r="E4511" s="16">
        <v>2022.0</v>
      </c>
      <c r="F4511" s="16">
        <v>50.5781</v>
      </c>
      <c r="G4511" s="16">
        <v>7.0882</v>
      </c>
      <c r="H4511" s="15"/>
      <c r="I4511" s="15"/>
    </row>
    <row r="4512">
      <c r="A4512" s="18">
        <v>45665.0</v>
      </c>
      <c r="B4512" s="16" t="s">
        <v>5336</v>
      </c>
      <c r="C4512" s="16" t="s">
        <v>1059</v>
      </c>
      <c r="D4512" s="16" t="s">
        <v>707</v>
      </c>
      <c r="E4512" s="16">
        <v>2022.0</v>
      </c>
      <c r="F4512" s="16">
        <v>49.2145</v>
      </c>
      <c r="G4512" s="16">
        <v>11.4586</v>
      </c>
      <c r="H4512" s="15"/>
      <c r="I4512" s="15"/>
    </row>
    <row r="4513">
      <c r="A4513" s="18">
        <v>45665.0</v>
      </c>
      <c r="B4513" s="16" t="s">
        <v>5337</v>
      </c>
      <c r="C4513" s="16" t="s">
        <v>1096</v>
      </c>
      <c r="D4513" s="16" t="s">
        <v>707</v>
      </c>
      <c r="E4513" s="16">
        <v>2022.0</v>
      </c>
      <c r="F4513" s="16">
        <v>52.8871</v>
      </c>
      <c r="G4513" s="16">
        <v>12.2375</v>
      </c>
      <c r="H4513" s="15"/>
      <c r="I4513" s="15"/>
    </row>
    <row r="4514">
      <c r="A4514" s="18">
        <v>45665.0</v>
      </c>
      <c r="B4514" s="16" t="s">
        <v>5338</v>
      </c>
      <c r="C4514" s="16" t="s">
        <v>1055</v>
      </c>
      <c r="D4514" s="16" t="s">
        <v>707</v>
      </c>
      <c r="E4514" s="16">
        <v>2022.0</v>
      </c>
      <c r="F4514" s="16">
        <v>51.1737</v>
      </c>
      <c r="G4514" s="16">
        <v>9.3472</v>
      </c>
      <c r="H4514" s="15"/>
      <c r="I4514" s="15"/>
    </row>
    <row r="4515">
      <c r="A4515" s="18">
        <v>45665.0</v>
      </c>
      <c r="B4515" s="16" t="s">
        <v>5339</v>
      </c>
      <c r="C4515" s="16" t="s">
        <v>946</v>
      </c>
      <c r="D4515" s="16" t="s">
        <v>707</v>
      </c>
      <c r="E4515" s="16">
        <v>2022.0</v>
      </c>
      <c r="F4515" s="16">
        <v>52.8073</v>
      </c>
      <c r="G4515" s="16">
        <v>8.1461</v>
      </c>
      <c r="H4515" s="15"/>
      <c r="I4515" s="15"/>
    </row>
    <row r="4516">
      <c r="A4516" s="18">
        <v>45665.0</v>
      </c>
      <c r="B4516" s="16" t="s">
        <v>5340</v>
      </c>
      <c r="C4516" s="16" t="s">
        <v>1055</v>
      </c>
      <c r="D4516" s="16" t="s">
        <v>707</v>
      </c>
      <c r="E4516" s="16">
        <v>2022.0</v>
      </c>
      <c r="F4516" s="16">
        <v>52.8073</v>
      </c>
      <c r="G4516" s="16">
        <v>8.1461</v>
      </c>
      <c r="H4516" s="15"/>
      <c r="I4516" s="15"/>
    </row>
    <row r="4517">
      <c r="A4517" s="18">
        <v>45665.0</v>
      </c>
      <c r="B4517" s="16" t="s">
        <v>5341</v>
      </c>
      <c r="C4517" s="16" t="s">
        <v>5342</v>
      </c>
      <c r="D4517" s="16" t="s">
        <v>707</v>
      </c>
      <c r="E4517" s="16">
        <v>2022.0</v>
      </c>
      <c r="F4517" s="16">
        <v>51.6493</v>
      </c>
      <c r="G4517" s="16">
        <v>9.8487</v>
      </c>
      <c r="H4517" s="15"/>
      <c r="I4517" s="15"/>
    </row>
    <row r="4518">
      <c r="A4518" s="18">
        <v>45665.0</v>
      </c>
      <c r="B4518" s="16" t="s">
        <v>5343</v>
      </c>
      <c r="C4518" s="16" t="s">
        <v>1720</v>
      </c>
      <c r="D4518" s="16" t="s">
        <v>707</v>
      </c>
      <c r="E4518" s="16">
        <v>2022.0</v>
      </c>
      <c r="F4518" s="16">
        <v>48.5811</v>
      </c>
      <c r="G4518" s="16">
        <v>11.2532</v>
      </c>
      <c r="H4518" s="15"/>
      <c r="I4518" s="15"/>
    </row>
    <row r="4519">
      <c r="A4519" s="18">
        <v>45665.0</v>
      </c>
      <c r="B4519" s="16" t="s">
        <v>5344</v>
      </c>
      <c r="C4519" s="16">
        <v>1.0</v>
      </c>
      <c r="D4519" s="16" t="s">
        <v>707</v>
      </c>
      <c r="E4519" s="16">
        <v>2022.0</v>
      </c>
      <c r="F4519" s="16">
        <v>51.1981</v>
      </c>
      <c r="G4519" s="16">
        <v>11.375</v>
      </c>
      <c r="H4519" s="15"/>
      <c r="I4519" s="15"/>
    </row>
    <row r="4520">
      <c r="A4520" s="18">
        <v>45665.0</v>
      </c>
      <c r="B4520" s="16" t="s">
        <v>5345</v>
      </c>
      <c r="C4520" s="16" t="s">
        <v>1101</v>
      </c>
      <c r="D4520" s="16" t="s">
        <v>707</v>
      </c>
      <c r="E4520" s="16">
        <v>2022.0</v>
      </c>
      <c r="F4520" s="16">
        <v>52.7955</v>
      </c>
      <c r="G4520" s="16">
        <v>12.7802</v>
      </c>
      <c r="H4520" s="15"/>
      <c r="I4520" s="15"/>
    </row>
    <row r="4521">
      <c r="A4521" s="18">
        <v>45665.0</v>
      </c>
      <c r="B4521" s="16" t="s">
        <v>5346</v>
      </c>
      <c r="C4521" s="16">
        <v>9.0</v>
      </c>
      <c r="D4521" s="16" t="s">
        <v>707</v>
      </c>
      <c r="E4521" s="16">
        <v>2022.0</v>
      </c>
      <c r="F4521" s="16">
        <v>49.2998</v>
      </c>
      <c r="G4521" s="16">
        <v>9.4002</v>
      </c>
      <c r="H4521" s="15"/>
      <c r="I4521" s="15"/>
    </row>
    <row r="4522">
      <c r="A4522" s="18">
        <v>45665.0</v>
      </c>
      <c r="B4522" s="16" t="s">
        <v>5347</v>
      </c>
      <c r="C4522" s="16" t="s">
        <v>1055</v>
      </c>
      <c r="D4522" s="16" t="s">
        <v>707</v>
      </c>
      <c r="E4522" s="16">
        <v>2022.0</v>
      </c>
      <c r="F4522" s="16">
        <v>51.4069</v>
      </c>
      <c r="G4522" s="16">
        <v>8.5873</v>
      </c>
      <c r="H4522" s="15"/>
      <c r="I4522" s="15"/>
    </row>
    <row r="4523">
      <c r="A4523" s="18">
        <v>45665.0</v>
      </c>
      <c r="B4523" s="16" t="s">
        <v>5348</v>
      </c>
      <c r="C4523" s="16" t="s">
        <v>1436</v>
      </c>
      <c r="D4523" s="16" t="s">
        <v>707</v>
      </c>
      <c r="E4523" s="16">
        <v>2022.0</v>
      </c>
      <c r="F4523" s="16">
        <v>50.3074</v>
      </c>
      <c r="G4523" s="16">
        <v>8.2367</v>
      </c>
      <c r="H4523" s="15"/>
      <c r="I4523" s="15"/>
    </row>
    <row r="4524">
      <c r="A4524" s="18">
        <v>45665.0</v>
      </c>
      <c r="B4524" s="16" t="s">
        <v>5349</v>
      </c>
      <c r="C4524" s="16" t="s">
        <v>969</v>
      </c>
      <c r="D4524" s="16" t="s">
        <v>707</v>
      </c>
      <c r="E4524" s="16">
        <v>2022.0</v>
      </c>
      <c r="F4524" s="16">
        <v>48.8877</v>
      </c>
      <c r="G4524" s="16">
        <v>8.6374</v>
      </c>
      <c r="H4524" s="15"/>
      <c r="I4524" s="15"/>
    </row>
    <row r="4525">
      <c r="A4525" s="18">
        <v>45665.0</v>
      </c>
      <c r="B4525" s="16" t="s">
        <v>5350</v>
      </c>
      <c r="C4525" s="16" t="s">
        <v>1170</v>
      </c>
      <c r="D4525" s="16" t="s">
        <v>707</v>
      </c>
      <c r="E4525" s="16">
        <v>2022.0</v>
      </c>
      <c r="F4525" s="16">
        <v>51.1352</v>
      </c>
      <c r="G4525" s="16">
        <v>12.5135</v>
      </c>
      <c r="H4525" s="15"/>
      <c r="I4525" s="15"/>
    </row>
    <row r="4526">
      <c r="A4526" s="18">
        <v>45665.0</v>
      </c>
      <c r="B4526" s="16" t="s">
        <v>5351</v>
      </c>
      <c r="C4526" s="16" t="s">
        <v>942</v>
      </c>
      <c r="D4526" s="16" t="s">
        <v>707</v>
      </c>
      <c r="E4526" s="16">
        <v>2022.0</v>
      </c>
      <c r="F4526" s="16">
        <v>51.132</v>
      </c>
      <c r="G4526" s="16">
        <v>12.5162</v>
      </c>
      <c r="H4526" s="15"/>
      <c r="I4526" s="15"/>
    </row>
    <row r="4527">
      <c r="A4527" s="18">
        <v>45665.0</v>
      </c>
      <c r="B4527" s="16" t="s">
        <v>5352</v>
      </c>
      <c r="C4527" s="16" t="s">
        <v>969</v>
      </c>
      <c r="D4527" s="16" t="s">
        <v>707</v>
      </c>
      <c r="E4527" s="16">
        <v>2022.0</v>
      </c>
      <c r="F4527" s="16">
        <v>51.2802</v>
      </c>
      <c r="G4527" s="16">
        <v>8.8734</v>
      </c>
      <c r="H4527" s="15"/>
      <c r="I4527" s="15"/>
    </row>
    <row r="4528">
      <c r="A4528" s="18">
        <v>45665.0</v>
      </c>
      <c r="B4528" s="16" t="s">
        <v>5353</v>
      </c>
      <c r="C4528" s="16" t="s">
        <v>946</v>
      </c>
      <c r="D4528" s="16" t="s">
        <v>707</v>
      </c>
      <c r="E4528" s="16">
        <v>2022.0</v>
      </c>
      <c r="F4528" s="16">
        <v>52.3274</v>
      </c>
      <c r="G4528" s="16">
        <v>8.6144</v>
      </c>
      <c r="H4528" s="15"/>
      <c r="I4528" s="15"/>
    </row>
    <row r="4529">
      <c r="A4529" s="18">
        <v>45665.0</v>
      </c>
      <c r="B4529" s="16" t="s">
        <v>5354</v>
      </c>
      <c r="C4529" s="16">
        <v>2.0</v>
      </c>
      <c r="D4529" s="16" t="s">
        <v>707</v>
      </c>
      <c r="E4529" s="16">
        <v>2022.0</v>
      </c>
      <c r="F4529" s="16">
        <v>51.9635</v>
      </c>
      <c r="G4529" s="16">
        <v>11.9789</v>
      </c>
      <c r="H4529" s="15"/>
      <c r="I4529" s="15"/>
    </row>
    <row r="4530">
      <c r="A4530" s="18">
        <v>45665.0</v>
      </c>
      <c r="B4530" s="16" t="s">
        <v>5355</v>
      </c>
      <c r="C4530" s="16" t="s">
        <v>951</v>
      </c>
      <c r="D4530" s="16" t="s">
        <v>707</v>
      </c>
      <c r="E4530" s="16">
        <v>2022.0</v>
      </c>
      <c r="F4530" s="16">
        <v>51.1892</v>
      </c>
      <c r="G4530" s="16">
        <v>12.4829</v>
      </c>
      <c r="H4530" s="15"/>
      <c r="I4530" s="15"/>
    </row>
    <row r="4531">
      <c r="A4531" s="18">
        <v>45665.0</v>
      </c>
      <c r="B4531" s="16" t="s">
        <v>5356</v>
      </c>
      <c r="C4531" s="16">
        <v>10.0</v>
      </c>
      <c r="D4531" s="16" t="s">
        <v>707</v>
      </c>
      <c r="E4531" s="16">
        <v>2022.0</v>
      </c>
      <c r="F4531" s="16">
        <v>50.356</v>
      </c>
      <c r="G4531" s="16">
        <v>11.7819</v>
      </c>
      <c r="H4531" s="15"/>
      <c r="I4531" s="15"/>
    </row>
    <row r="4532">
      <c r="A4532" s="18">
        <v>45665.0</v>
      </c>
      <c r="B4532" s="16" t="s">
        <v>5357</v>
      </c>
      <c r="C4532" s="16" t="s">
        <v>969</v>
      </c>
      <c r="D4532" s="16" t="s">
        <v>707</v>
      </c>
      <c r="E4532" s="16">
        <v>2022.0</v>
      </c>
      <c r="F4532" s="16">
        <v>48.1888</v>
      </c>
      <c r="G4532" s="16">
        <v>11.8043</v>
      </c>
      <c r="H4532" s="15"/>
      <c r="I4532" s="15"/>
    </row>
    <row r="4533">
      <c r="A4533" s="18">
        <v>45665.0</v>
      </c>
      <c r="B4533" s="16" t="s">
        <v>5358</v>
      </c>
      <c r="C4533" s="16" t="s">
        <v>1055</v>
      </c>
      <c r="D4533" s="16" t="s">
        <v>707</v>
      </c>
      <c r="E4533" s="16">
        <v>2022.0</v>
      </c>
      <c r="F4533" s="16">
        <v>49.0248</v>
      </c>
      <c r="G4533" s="16">
        <v>12.8834</v>
      </c>
      <c r="H4533" s="15"/>
      <c r="I4533" s="15"/>
    </row>
    <row r="4534">
      <c r="A4534" s="18">
        <v>45665.0</v>
      </c>
      <c r="B4534" s="16" t="s">
        <v>5359</v>
      </c>
      <c r="C4534" s="16" t="s">
        <v>1039</v>
      </c>
      <c r="D4534" s="16" t="s">
        <v>707</v>
      </c>
      <c r="E4534" s="16">
        <v>2022.0</v>
      </c>
      <c r="F4534" s="16">
        <v>48.3156</v>
      </c>
      <c r="G4534" s="16">
        <v>13.072</v>
      </c>
      <c r="H4534" s="15"/>
      <c r="I4534" s="15"/>
    </row>
    <row r="4535">
      <c r="A4535" s="18">
        <v>45665.0</v>
      </c>
      <c r="B4535" s="16" t="s">
        <v>5360</v>
      </c>
      <c r="C4535" s="16" t="s">
        <v>1037</v>
      </c>
      <c r="D4535" s="16" t="s">
        <v>707</v>
      </c>
      <c r="E4535" s="16">
        <v>2022.0</v>
      </c>
      <c r="F4535" s="16">
        <v>49.0597</v>
      </c>
      <c r="G4535" s="16">
        <v>13.0174</v>
      </c>
      <c r="H4535" s="15"/>
      <c r="I4535" s="15"/>
    </row>
    <row r="4536">
      <c r="A4536" s="18">
        <v>45665.0</v>
      </c>
      <c r="B4536" s="16" t="s">
        <v>5361</v>
      </c>
      <c r="C4536" s="16" t="s">
        <v>1099</v>
      </c>
      <c r="D4536" s="16" t="s">
        <v>707</v>
      </c>
      <c r="E4536" s="16">
        <v>2022.0</v>
      </c>
      <c r="F4536" s="16">
        <v>48.9557</v>
      </c>
      <c r="G4536" s="16">
        <v>13.165</v>
      </c>
      <c r="H4536" s="15"/>
      <c r="I4536" s="15"/>
    </row>
    <row r="4537">
      <c r="A4537" s="18">
        <v>45665.0</v>
      </c>
      <c r="B4537" s="16" t="s">
        <v>5362</v>
      </c>
      <c r="C4537" s="16">
        <v>6.0</v>
      </c>
      <c r="D4537" s="16" t="s">
        <v>707</v>
      </c>
      <c r="E4537" s="16">
        <v>2022.0</v>
      </c>
      <c r="F4537" s="16">
        <v>48.7734</v>
      </c>
      <c r="G4537" s="16">
        <v>12.8422</v>
      </c>
      <c r="H4537" s="15"/>
      <c r="I4537" s="15"/>
    </row>
    <row r="4538">
      <c r="A4538" s="18">
        <v>45665.0</v>
      </c>
      <c r="B4538" s="16" t="s">
        <v>5158</v>
      </c>
      <c r="C4538" s="16" t="s">
        <v>948</v>
      </c>
      <c r="D4538" s="16" t="s">
        <v>707</v>
      </c>
      <c r="E4538" s="16">
        <v>2022.0</v>
      </c>
      <c r="F4538" s="16">
        <v>49.1139</v>
      </c>
      <c r="G4538" s="16">
        <v>12.8587</v>
      </c>
      <c r="H4538" s="15"/>
      <c r="I4538" s="15"/>
    </row>
    <row r="4539">
      <c r="A4539" s="18">
        <v>45665.0</v>
      </c>
      <c r="B4539" s="16" t="s">
        <v>5158</v>
      </c>
      <c r="C4539" s="16" t="s">
        <v>948</v>
      </c>
      <c r="D4539" s="16" t="s">
        <v>707</v>
      </c>
      <c r="E4539" s="16">
        <v>2022.0</v>
      </c>
      <c r="F4539" s="16">
        <v>49.1139</v>
      </c>
      <c r="G4539" s="16">
        <v>12.8585</v>
      </c>
      <c r="H4539" s="15"/>
      <c r="I4539" s="15"/>
    </row>
    <row r="4540">
      <c r="A4540" s="18">
        <v>45665.0</v>
      </c>
      <c r="B4540" s="16" t="s">
        <v>5158</v>
      </c>
      <c r="C4540" s="16" t="s">
        <v>948</v>
      </c>
      <c r="D4540" s="16" t="s">
        <v>707</v>
      </c>
      <c r="E4540" s="16">
        <v>2022.0</v>
      </c>
      <c r="F4540" s="16">
        <v>49.1135</v>
      </c>
      <c r="G4540" s="16">
        <v>12.8592</v>
      </c>
      <c r="H4540" s="15"/>
      <c r="I4540" s="15"/>
    </row>
    <row r="4541">
      <c r="A4541" s="18">
        <v>45665.0</v>
      </c>
      <c r="B4541" s="16" t="s">
        <v>5158</v>
      </c>
      <c r="C4541" s="16" t="s">
        <v>1037</v>
      </c>
      <c r="D4541" s="16" t="s">
        <v>707</v>
      </c>
      <c r="E4541" s="16">
        <v>2022.0</v>
      </c>
      <c r="F4541" s="16">
        <v>49.1136</v>
      </c>
      <c r="G4541" s="16">
        <v>12.8591</v>
      </c>
      <c r="H4541" s="15"/>
      <c r="I4541" s="15"/>
    </row>
    <row r="4542">
      <c r="A4542" s="18">
        <v>45665.0</v>
      </c>
      <c r="B4542" s="16" t="s">
        <v>5363</v>
      </c>
      <c r="C4542" s="16" t="s">
        <v>1039</v>
      </c>
      <c r="D4542" s="16" t="s">
        <v>707</v>
      </c>
      <c r="E4542" s="16">
        <v>2022.0</v>
      </c>
      <c r="F4542" s="16">
        <v>49.0846</v>
      </c>
      <c r="G4542" s="16">
        <v>12.9833</v>
      </c>
      <c r="H4542" s="15"/>
      <c r="I4542" s="15"/>
    </row>
    <row r="4543">
      <c r="A4543" s="18">
        <v>45665.0</v>
      </c>
      <c r="B4543" s="16" t="s">
        <v>5364</v>
      </c>
      <c r="C4543" s="16" t="s">
        <v>961</v>
      </c>
      <c r="D4543" s="16" t="s">
        <v>707</v>
      </c>
      <c r="E4543" s="16">
        <v>2022.0</v>
      </c>
      <c r="F4543" s="16">
        <v>47.9046</v>
      </c>
      <c r="G4543" s="16">
        <v>10.2124</v>
      </c>
      <c r="H4543" s="15"/>
      <c r="I4543" s="15"/>
    </row>
    <row r="4544">
      <c r="A4544" s="18">
        <v>45665.0</v>
      </c>
      <c r="B4544" s="16" t="s">
        <v>5365</v>
      </c>
      <c r="C4544" s="16" t="s">
        <v>948</v>
      </c>
      <c r="D4544" s="16" t="s">
        <v>707</v>
      </c>
      <c r="E4544" s="16">
        <v>2022.0</v>
      </c>
      <c r="F4544" s="16">
        <v>49.114</v>
      </c>
      <c r="G4544" s="16">
        <v>12.8591</v>
      </c>
      <c r="H4544" s="15"/>
      <c r="I4544" s="15"/>
    </row>
    <row r="4545">
      <c r="A4545" s="18">
        <v>45665.0</v>
      </c>
      <c r="B4545" s="16" t="s">
        <v>5366</v>
      </c>
      <c r="C4545" s="16">
        <v>1.0</v>
      </c>
      <c r="D4545" s="16" t="s">
        <v>707</v>
      </c>
      <c r="E4545" s="16">
        <v>2022.0</v>
      </c>
      <c r="F4545" s="16">
        <v>48.5684</v>
      </c>
      <c r="G4545" s="16">
        <v>13.2855</v>
      </c>
      <c r="H4545" s="15"/>
      <c r="I4545" s="15"/>
    </row>
    <row r="4546">
      <c r="A4546" s="18">
        <v>45665.0</v>
      </c>
      <c r="B4546" s="16" t="s">
        <v>5367</v>
      </c>
      <c r="C4546" s="16" t="s">
        <v>4789</v>
      </c>
      <c r="D4546" s="16" t="s">
        <v>707</v>
      </c>
      <c r="E4546" s="16">
        <v>2022.0</v>
      </c>
      <c r="F4546" s="16">
        <v>48.5013</v>
      </c>
      <c r="G4546" s="16">
        <v>12.719</v>
      </c>
      <c r="H4546" s="15"/>
      <c r="I4546" s="15"/>
    </row>
    <row r="4547">
      <c r="A4547" s="18">
        <v>45665.0</v>
      </c>
      <c r="B4547" s="16" t="s">
        <v>5368</v>
      </c>
      <c r="C4547" s="16" t="s">
        <v>978</v>
      </c>
      <c r="D4547" s="16" t="s">
        <v>707</v>
      </c>
      <c r="E4547" s="16">
        <v>2022.0</v>
      </c>
      <c r="F4547" s="16">
        <v>49.4074</v>
      </c>
      <c r="G4547" s="16">
        <v>12.3439</v>
      </c>
      <c r="H4547" s="15"/>
      <c r="I4547" s="15"/>
    </row>
    <row r="4548">
      <c r="A4548" s="18">
        <v>45665.0</v>
      </c>
      <c r="B4548" s="16" t="s">
        <v>5369</v>
      </c>
      <c r="C4548" s="16" t="s">
        <v>1101</v>
      </c>
      <c r="D4548" s="16" t="s">
        <v>707</v>
      </c>
      <c r="E4548" s="16">
        <v>2022.0</v>
      </c>
      <c r="F4548" s="16">
        <v>50.7143</v>
      </c>
      <c r="G4548" s="16">
        <v>9.1183</v>
      </c>
      <c r="H4548" s="15"/>
      <c r="I4548" s="15"/>
    </row>
    <row r="4549">
      <c r="A4549" s="18">
        <v>45665.0</v>
      </c>
      <c r="B4549" s="16" t="s">
        <v>5370</v>
      </c>
      <c r="C4549" s="16" t="s">
        <v>1011</v>
      </c>
      <c r="D4549" s="16" t="s">
        <v>707</v>
      </c>
      <c r="E4549" s="16">
        <v>2022.0</v>
      </c>
      <c r="F4549" s="16">
        <v>50.3319</v>
      </c>
      <c r="G4549" s="16">
        <v>11.9037</v>
      </c>
      <c r="H4549" s="15"/>
      <c r="I4549" s="15"/>
    </row>
    <row r="4550">
      <c r="A4550" s="18">
        <v>45665.0</v>
      </c>
      <c r="B4550" s="16" t="s">
        <v>5371</v>
      </c>
      <c r="C4550" s="16" t="s">
        <v>1101</v>
      </c>
      <c r="D4550" s="16" t="s">
        <v>707</v>
      </c>
      <c r="E4550" s="16">
        <v>2022.0</v>
      </c>
      <c r="F4550" s="16">
        <v>47.5867</v>
      </c>
      <c r="G4550" s="16">
        <v>8.0357</v>
      </c>
      <c r="H4550" s="15"/>
      <c r="I4550" s="15"/>
    </row>
    <row r="4551">
      <c r="A4551" s="18">
        <v>45665.0</v>
      </c>
      <c r="B4551" s="16" t="s">
        <v>5372</v>
      </c>
      <c r="C4551" s="16" t="s">
        <v>1039</v>
      </c>
      <c r="D4551" s="16" t="s">
        <v>707</v>
      </c>
      <c r="E4551" s="16">
        <v>2022.0</v>
      </c>
      <c r="F4551" s="16">
        <v>51.2055</v>
      </c>
      <c r="G4551" s="16">
        <v>7.3735</v>
      </c>
      <c r="H4551" s="15"/>
      <c r="I4551" s="15"/>
    </row>
    <row r="4552">
      <c r="A4552" s="18">
        <v>45665.0</v>
      </c>
      <c r="B4552" s="16" t="s">
        <v>5373</v>
      </c>
      <c r="C4552" s="16" t="s">
        <v>951</v>
      </c>
      <c r="D4552" s="16" t="s">
        <v>707</v>
      </c>
      <c r="E4552" s="16">
        <v>2022.0</v>
      </c>
      <c r="F4552" s="16">
        <v>49.1358</v>
      </c>
      <c r="G4552" s="16">
        <v>8.9325</v>
      </c>
      <c r="H4552" s="15"/>
      <c r="I4552" s="15"/>
    </row>
    <row r="4553">
      <c r="A4553" s="18">
        <v>45665.0</v>
      </c>
      <c r="B4553" s="16" t="s">
        <v>5374</v>
      </c>
      <c r="C4553" s="16" t="s">
        <v>1931</v>
      </c>
      <c r="D4553" s="16" t="s">
        <v>707</v>
      </c>
      <c r="E4553" s="16">
        <v>2022.0</v>
      </c>
      <c r="F4553" s="16">
        <v>50.134</v>
      </c>
      <c r="G4553" s="16">
        <v>11.9802</v>
      </c>
      <c r="H4553" s="15"/>
      <c r="I4553" s="15"/>
    </row>
    <row r="4554">
      <c r="A4554" s="18">
        <v>45665.0</v>
      </c>
      <c r="B4554" s="16" t="s">
        <v>5375</v>
      </c>
      <c r="C4554" s="16" t="s">
        <v>1167</v>
      </c>
      <c r="D4554" s="16" t="s">
        <v>707</v>
      </c>
      <c r="E4554" s="16">
        <v>2022.0</v>
      </c>
      <c r="F4554" s="16">
        <v>48.1171</v>
      </c>
      <c r="G4554" s="16">
        <v>11.108</v>
      </c>
      <c r="H4554" s="15"/>
      <c r="I4554" s="15"/>
    </row>
    <row r="4555">
      <c r="A4555" s="18">
        <v>45665.0</v>
      </c>
      <c r="B4555" s="16" t="s">
        <v>5376</v>
      </c>
      <c r="C4555" s="16" t="s">
        <v>1004</v>
      </c>
      <c r="D4555" s="16" t="s">
        <v>707</v>
      </c>
      <c r="E4555" s="16">
        <v>2022.0</v>
      </c>
      <c r="F4555" s="16">
        <v>48.1556</v>
      </c>
      <c r="G4555" s="16">
        <v>12.3394</v>
      </c>
      <c r="H4555" s="15"/>
      <c r="I4555" s="15"/>
    </row>
    <row r="4556">
      <c r="A4556" s="18">
        <v>45665.0</v>
      </c>
      <c r="B4556" s="16" t="s">
        <v>5377</v>
      </c>
      <c r="C4556" s="16" t="s">
        <v>1267</v>
      </c>
      <c r="D4556" s="16" t="s">
        <v>707</v>
      </c>
      <c r="E4556" s="16">
        <v>2022.0</v>
      </c>
      <c r="F4556" s="16">
        <v>51.8218</v>
      </c>
      <c r="G4556" s="16">
        <v>12.189</v>
      </c>
      <c r="H4556" s="15"/>
      <c r="I4556" s="15"/>
    </row>
    <row r="4557">
      <c r="A4557" s="18">
        <v>45665.0</v>
      </c>
      <c r="B4557" s="16" t="s">
        <v>5378</v>
      </c>
      <c r="C4557" s="16">
        <v>1.0</v>
      </c>
      <c r="D4557" s="16" t="s">
        <v>707</v>
      </c>
      <c r="E4557" s="16">
        <v>2022.0</v>
      </c>
      <c r="F4557" s="16">
        <v>50.6865</v>
      </c>
      <c r="G4557" s="16">
        <v>12.1279</v>
      </c>
      <c r="H4557" s="15"/>
      <c r="I4557" s="15"/>
    </row>
    <row r="4558">
      <c r="A4558" s="18">
        <v>45665.0</v>
      </c>
      <c r="B4558" s="16" t="s">
        <v>5379</v>
      </c>
      <c r="C4558" s="16" t="s">
        <v>951</v>
      </c>
      <c r="D4558" s="16" t="s">
        <v>707</v>
      </c>
      <c r="E4558" s="16">
        <v>2022.0</v>
      </c>
      <c r="F4558" s="16">
        <v>53.4929</v>
      </c>
      <c r="G4558" s="16">
        <v>11.4628</v>
      </c>
      <c r="H4558" s="15"/>
      <c r="I4558" s="15"/>
    </row>
    <row r="4559">
      <c r="A4559" s="18">
        <v>45665.0</v>
      </c>
      <c r="B4559" s="16" t="s">
        <v>5380</v>
      </c>
      <c r="C4559" s="16" t="s">
        <v>1267</v>
      </c>
      <c r="D4559" s="16" t="s">
        <v>707</v>
      </c>
      <c r="E4559" s="16">
        <v>2022.0</v>
      </c>
      <c r="F4559" s="16">
        <v>52.9817</v>
      </c>
      <c r="G4559" s="16">
        <v>11.1539</v>
      </c>
      <c r="H4559" s="15"/>
      <c r="I4559" s="15"/>
    </row>
    <row r="4560">
      <c r="A4560" s="18">
        <v>45665.0</v>
      </c>
      <c r="B4560" s="16" t="s">
        <v>5381</v>
      </c>
      <c r="C4560" s="16" t="s">
        <v>969</v>
      </c>
      <c r="D4560" s="16" t="s">
        <v>707</v>
      </c>
      <c r="E4560" s="16">
        <v>2022.0</v>
      </c>
      <c r="F4560" s="16">
        <v>50.0254</v>
      </c>
      <c r="G4560" s="16">
        <v>10.2626</v>
      </c>
      <c r="H4560" s="15"/>
      <c r="I4560" s="15"/>
    </row>
    <row r="4561">
      <c r="A4561" s="18">
        <v>45665.0</v>
      </c>
      <c r="B4561" s="16" t="s">
        <v>5382</v>
      </c>
      <c r="C4561" s="16" t="s">
        <v>1351</v>
      </c>
      <c r="D4561" s="16" t="s">
        <v>707</v>
      </c>
      <c r="E4561" s="16">
        <v>2022.0</v>
      </c>
      <c r="F4561" s="16">
        <v>48.1477</v>
      </c>
      <c r="G4561" s="16">
        <v>12.3126</v>
      </c>
      <c r="H4561" s="15"/>
      <c r="I4561" s="15"/>
    </row>
    <row r="4562">
      <c r="A4562" s="18">
        <v>45665.0</v>
      </c>
      <c r="B4562" s="16" t="s">
        <v>5383</v>
      </c>
      <c r="C4562" s="16" t="s">
        <v>2668</v>
      </c>
      <c r="D4562" s="16" t="s">
        <v>707</v>
      </c>
      <c r="E4562" s="16">
        <v>2022.0</v>
      </c>
      <c r="F4562" s="16">
        <v>47.8212</v>
      </c>
      <c r="G4562" s="16">
        <v>8.8379</v>
      </c>
      <c r="H4562" s="15"/>
      <c r="I4562" s="15"/>
    </row>
    <row r="4563">
      <c r="A4563" s="18">
        <v>45665.0</v>
      </c>
      <c r="B4563" s="16" t="s">
        <v>5384</v>
      </c>
      <c r="C4563" s="16" t="s">
        <v>1172</v>
      </c>
      <c r="D4563" s="16" t="s">
        <v>707</v>
      </c>
      <c r="E4563" s="16">
        <v>2022.0</v>
      </c>
      <c r="F4563" s="16">
        <v>49.0</v>
      </c>
      <c r="G4563" s="16">
        <v>11.0031</v>
      </c>
      <c r="H4563" s="15"/>
      <c r="I4563" s="15"/>
    </row>
    <row r="4564">
      <c r="A4564" s="18">
        <v>45665.0</v>
      </c>
      <c r="B4564" s="16" t="s">
        <v>5385</v>
      </c>
      <c r="C4564" s="16" t="s">
        <v>942</v>
      </c>
      <c r="D4564" s="16" t="s">
        <v>707</v>
      </c>
      <c r="E4564" s="16">
        <v>2022.0</v>
      </c>
      <c r="F4564" s="16">
        <v>48.4462</v>
      </c>
      <c r="G4564" s="16">
        <v>12.3718</v>
      </c>
      <c r="H4564" s="15"/>
      <c r="I4564" s="15"/>
    </row>
    <row r="4565">
      <c r="A4565" s="18">
        <v>45665.0</v>
      </c>
      <c r="B4565" s="16" t="s">
        <v>5386</v>
      </c>
      <c r="C4565" s="16" t="s">
        <v>948</v>
      </c>
      <c r="D4565" s="16" t="s">
        <v>707</v>
      </c>
      <c r="E4565" s="16">
        <v>2022.0</v>
      </c>
      <c r="F4565" s="16">
        <v>52.6276</v>
      </c>
      <c r="G4565" s="16">
        <v>10.2438</v>
      </c>
      <c r="H4565" s="15"/>
      <c r="I4565" s="15"/>
    </row>
    <row r="4566">
      <c r="A4566" s="18">
        <v>45665.0</v>
      </c>
      <c r="B4566" s="16" t="s">
        <v>5387</v>
      </c>
      <c r="C4566" s="16" t="s">
        <v>1351</v>
      </c>
      <c r="D4566" s="16" t="s">
        <v>707</v>
      </c>
      <c r="E4566" s="16">
        <v>2022.0</v>
      </c>
      <c r="F4566" s="16">
        <v>48.5558</v>
      </c>
      <c r="G4566" s="16">
        <v>10.9851</v>
      </c>
      <c r="H4566" s="15"/>
      <c r="I4566" s="15"/>
    </row>
    <row r="4567">
      <c r="A4567" s="18">
        <v>45665.0</v>
      </c>
      <c r="B4567" s="16" t="s">
        <v>5388</v>
      </c>
      <c r="C4567" s="16" t="s">
        <v>942</v>
      </c>
      <c r="D4567" s="16" t="s">
        <v>707</v>
      </c>
      <c r="E4567" s="16">
        <v>2022.0</v>
      </c>
      <c r="F4567" s="16">
        <v>48.4563</v>
      </c>
      <c r="G4567" s="16">
        <v>10.2021</v>
      </c>
      <c r="H4567" s="15"/>
      <c r="I4567" s="15"/>
    </row>
    <row r="4568">
      <c r="A4568" s="18">
        <v>45665.0</v>
      </c>
      <c r="B4568" s="16" t="s">
        <v>5389</v>
      </c>
      <c r="C4568" s="16">
        <v>7.0</v>
      </c>
      <c r="D4568" s="16" t="s">
        <v>707</v>
      </c>
      <c r="E4568" s="16">
        <v>2022.0</v>
      </c>
      <c r="F4568" s="16">
        <v>48.5423</v>
      </c>
      <c r="G4568" s="16">
        <v>11.1071</v>
      </c>
      <c r="H4568" s="15"/>
      <c r="I4568" s="15"/>
    </row>
    <row r="4569">
      <c r="A4569" s="18">
        <v>45665.0</v>
      </c>
      <c r="B4569" s="16" t="s">
        <v>5390</v>
      </c>
      <c r="C4569" s="16" t="s">
        <v>969</v>
      </c>
      <c r="D4569" s="16" t="s">
        <v>707</v>
      </c>
      <c r="E4569" s="16">
        <v>2022.0</v>
      </c>
      <c r="F4569" s="16">
        <v>51.1761</v>
      </c>
      <c r="G4569" s="16">
        <v>11.4103</v>
      </c>
      <c r="H4569" s="15"/>
      <c r="I4569" s="15"/>
    </row>
    <row r="4570">
      <c r="A4570" s="18">
        <v>45665.0</v>
      </c>
      <c r="B4570" s="16" t="s">
        <v>5391</v>
      </c>
      <c r="C4570" s="16" t="s">
        <v>990</v>
      </c>
      <c r="D4570" s="16" t="s">
        <v>707</v>
      </c>
      <c r="E4570" s="16">
        <v>2022.0</v>
      </c>
      <c r="F4570" s="16">
        <v>50.1566</v>
      </c>
      <c r="G4570" s="16">
        <v>10.5157</v>
      </c>
      <c r="H4570" s="15"/>
      <c r="I4570" s="15"/>
    </row>
    <row r="4571">
      <c r="A4571" s="18">
        <v>45665.0</v>
      </c>
      <c r="B4571" s="16" t="s">
        <v>5392</v>
      </c>
      <c r="C4571" s="16" t="s">
        <v>1773</v>
      </c>
      <c r="D4571" s="16" t="s">
        <v>707</v>
      </c>
      <c r="E4571" s="16">
        <v>2022.0</v>
      </c>
      <c r="F4571" s="16">
        <v>50.1578</v>
      </c>
      <c r="G4571" s="16">
        <v>10.5083</v>
      </c>
      <c r="H4571" s="15"/>
      <c r="I4571" s="15"/>
    </row>
    <row r="4572">
      <c r="A4572" s="18">
        <v>45665.0</v>
      </c>
      <c r="B4572" s="16" t="s">
        <v>5393</v>
      </c>
      <c r="C4572" s="16" t="s">
        <v>969</v>
      </c>
      <c r="D4572" s="16" t="s">
        <v>707</v>
      </c>
      <c r="E4572" s="16">
        <v>2022.0</v>
      </c>
      <c r="F4572" s="16">
        <v>51.742</v>
      </c>
      <c r="G4572" s="16">
        <v>6.4609</v>
      </c>
      <c r="H4572" s="15"/>
      <c r="I4572" s="15"/>
    </row>
    <row r="4573">
      <c r="A4573" s="18">
        <v>45665.0</v>
      </c>
      <c r="B4573" s="16" t="s">
        <v>5394</v>
      </c>
      <c r="C4573" s="16" t="s">
        <v>946</v>
      </c>
      <c r="D4573" s="16" t="s">
        <v>707</v>
      </c>
      <c r="E4573" s="16">
        <v>2022.0</v>
      </c>
      <c r="F4573" s="16">
        <v>52.0471</v>
      </c>
      <c r="G4573" s="16">
        <v>12.2783</v>
      </c>
      <c r="H4573" s="15"/>
      <c r="I4573" s="15"/>
    </row>
    <row r="4574">
      <c r="A4574" s="18">
        <v>45665.0</v>
      </c>
      <c r="B4574" s="16" t="s">
        <v>5395</v>
      </c>
      <c r="C4574" s="16" t="s">
        <v>3505</v>
      </c>
      <c r="D4574" s="16" t="s">
        <v>707</v>
      </c>
      <c r="E4574" s="16">
        <v>2022.0</v>
      </c>
      <c r="F4574" s="16">
        <v>48.9691</v>
      </c>
      <c r="G4574" s="16">
        <v>11.6689</v>
      </c>
      <c r="H4574" s="15"/>
      <c r="I4574" s="15"/>
    </row>
    <row r="4575">
      <c r="A4575" s="18">
        <v>45665.0</v>
      </c>
      <c r="B4575" s="16" t="s">
        <v>5396</v>
      </c>
      <c r="C4575" s="16" t="s">
        <v>2331</v>
      </c>
      <c r="D4575" s="16" t="s">
        <v>707</v>
      </c>
      <c r="E4575" s="16">
        <v>2022.0</v>
      </c>
      <c r="F4575" s="16">
        <v>48.9685</v>
      </c>
      <c r="G4575" s="16">
        <v>11.6713</v>
      </c>
      <c r="H4575" s="15"/>
      <c r="I4575" s="15"/>
    </row>
    <row r="4576">
      <c r="A4576" s="18">
        <v>45665.0</v>
      </c>
      <c r="B4576" s="16" t="s">
        <v>5397</v>
      </c>
      <c r="C4576" s="16" t="s">
        <v>984</v>
      </c>
      <c r="D4576" s="16" t="s">
        <v>707</v>
      </c>
      <c r="E4576" s="16">
        <v>2022.0</v>
      </c>
      <c r="F4576" s="16">
        <v>51.307</v>
      </c>
      <c r="G4576" s="16">
        <v>13.7274</v>
      </c>
      <c r="H4576" s="15"/>
      <c r="I4576" s="15"/>
    </row>
    <row r="4577">
      <c r="A4577" s="18">
        <v>45665.0</v>
      </c>
      <c r="B4577" s="16" t="s">
        <v>5398</v>
      </c>
      <c r="C4577" s="16" t="s">
        <v>1094</v>
      </c>
      <c r="D4577" s="16" t="s">
        <v>707</v>
      </c>
      <c r="E4577" s="16">
        <v>2022.0</v>
      </c>
      <c r="F4577" s="16">
        <v>50.8278</v>
      </c>
      <c r="G4577" s="16">
        <v>12.4605</v>
      </c>
      <c r="H4577" s="15"/>
      <c r="I4577" s="15"/>
    </row>
    <row r="4578">
      <c r="A4578" s="18">
        <v>45665.0</v>
      </c>
      <c r="B4578" s="16" t="s">
        <v>5399</v>
      </c>
      <c r="C4578" s="16" t="s">
        <v>1051</v>
      </c>
      <c r="D4578" s="16" t="s">
        <v>707</v>
      </c>
      <c r="E4578" s="16">
        <v>2022.0</v>
      </c>
      <c r="F4578" s="16">
        <v>52.1367</v>
      </c>
      <c r="G4578" s="16">
        <v>10.3091</v>
      </c>
      <c r="H4578" s="15"/>
      <c r="I4578" s="15"/>
    </row>
    <row r="4579">
      <c r="A4579" s="18">
        <v>45665.0</v>
      </c>
      <c r="B4579" s="16" t="s">
        <v>5400</v>
      </c>
      <c r="C4579" s="16" t="s">
        <v>971</v>
      </c>
      <c r="D4579" s="16" t="s">
        <v>707</v>
      </c>
      <c r="E4579" s="16">
        <v>2022.0</v>
      </c>
      <c r="F4579" s="16">
        <v>49.959</v>
      </c>
      <c r="G4579" s="16">
        <v>10.2646</v>
      </c>
      <c r="H4579" s="15"/>
      <c r="I4579" s="15"/>
    </row>
    <row r="4580">
      <c r="A4580" s="18">
        <v>45665.0</v>
      </c>
      <c r="B4580" s="16" t="s">
        <v>5401</v>
      </c>
      <c r="C4580" s="16" t="s">
        <v>1282</v>
      </c>
      <c r="D4580" s="16" t="s">
        <v>707</v>
      </c>
      <c r="E4580" s="16">
        <v>2022.0</v>
      </c>
      <c r="F4580" s="16">
        <v>52.3283</v>
      </c>
      <c r="G4580" s="16">
        <v>9.8195</v>
      </c>
      <c r="H4580" s="15"/>
      <c r="I4580" s="15"/>
    </row>
    <row r="4581">
      <c r="A4581" s="18">
        <v>45665.0</v>
      </c>
      <c r="B4581" s="16" t="s">
        <v>5402</v>
      </c>
      <c r="C4581" s="16">
        <v>4.0</v>
      </c>
      <c r="D4581" s="16" t="s">
        <v>707</v>
      </c>
      <c r="E4581" s="16">
        <v>2022.0</v>
      </c>
      <c r="F4581" s="16">
        <v>48.081</v>
      </c>
      <c r="G4581" s="16">
        <v>10.7047</v>
      </c>
      <c r="H4581" s="15"/>
      <c r="I4581" s="15"/>
    </row>
    <row r="4582">
      <c r="A4582" s="18">
        <v>45665.0</v>
      </c>
      <c r="B4582" s="16" t="s">
        <v>5403</v>
      </c>
      <c r="C4582" s="16" t="s">
        <v>942</v>
      </c>
      <c r="D4582" s="16" t="s">
        <v>707</v>
      </c>
      <c r="E4582" s="16">
        <v>2022.0</v>
      </c>
      <c r="F4582" s="16">
        <v>50.8411</v>
      </c>
      <c r="G4582" s="16">
        <v>12.4647</v>
      </c>
      <c r="H4582" s="15"/>
      <c r="I4582" s="15"/>
    </row>
    <row r="4583">
      <c r="A4583" s="18">
        <v>45665.0</v>
      </c>
      <c r="B4583" s="16" t="s">
        <v>5404</v>
      </c>
      <c r="C4583" s="16" t="s">
        <v>1037</v>
      </c>
      <c r="D4583" s="16" t="s">
        <v>707</v>
      </c>
      <c r="E4583" s="16">
        <v>2022.0</v>
      </c>
      <c r="F4583" s="16">
        <v>48.0677</v>
      </c>
      <c r="G4583" s="16">
        <v>11.0231</v>
      </c>
      <c r="H4583" s="15"/>
      <c r="I4583" s="15"/>
    </row>
    <row r="4584">
      <c r="A4584" s="18">
        <v>45665.0</v>
      </c>
      <c r="B4584" s="16" t="s">
        <v>5405</v>
      </c>
      <c r="C4584" s="16" t="s">
        <v>1055</v>
      </c>
      <c r="D4584" s="16" t="s">
        <v>707</v>
      </c>
      <c r="E4584" s="16">
        <v>2022.0</v>
      </c>
      <c r="F4584" s="16">
        <v>48.9586</v>
      </c>
      <c r="G4584" s="16">
        <v>10.1795</v>
      </c>
      <c r="H4584" s="15"/>
      <c r="I4584" s="15"/>
    </row>
    <row r="4585">
      <c r="A4585" s="18">
        <v>45665.0</v>
      </c>
      <c r="B4585" s="16" t="s">
        <v>5406</v>
      </c>
      <c r="C4585" s="16" t="s">
        <v>1055</v>
      </c>
      <c r="D4585" s="16" t="s">
        <v>707</v>
      </c>
      <c r="E4585" s="16">
        <v>2022.0</v>
      </c>
      <c r="F4585" s="16">
        <v>52.3305</v>
      </c>
      <c r="G4585" s="16">
        <v>7.2451</v>
      </c>
      <c r="H4585" s="15"/>
      <c r="I4585" s="15"/>
    </row>
    <row r="4586">
      <c r="A4586" s="18">
        <v>45665.0</v>
      </c>
      <c r="B4586" s="16" t="s">
        <v>5407</v>
      </c>
      <c r="C4586" s="16" t="s">
        <v>1203</v>
      </c>
      <c r="D4586" s="16" t="s">
        <v>707</v>
      </c>
      <c r="E4586" s="16">
        <v>2022.0</v>
      </c>
      <c r="F4586" s="16">
        <v>49.2318</v>
      </c>
      <c r="G4586" s="16">
        <v>10.5087</v>
      </c>
      <c r="H4586" s="15"/>
      <c r="I4586" s="15"/>
    </row>
    <row r="4587">
      <c r="A4587" s="18">
        <v>45665.0</v>
      </c>
      <c r="B4587" s="16" t="s">
        <v>5408</v>
      </c>
      <c r="C4587" s="16" t="s">
        <v>1215</v>
      </c>
      <c r="D4587" s="16" t="s">
        <v>707</v>
      </c>
      <c r="E4587" s="16">
        <v>2022.0</v>
      </c>
      <c r="F4587" s="16">
        <v>48.7993</v>
      </c>
      <c r="G4587" s="16">
        <v>11.8345</v>
      </c>
      <c r="H4587" s="15"/>
      <c r="I4587" s="15"/>
    </row>
    <row r="4588">
      <c r="A4588" s="18">
        <v>45665.0</v>
      </c>
      <c r="B4588" s="16" t="s">
        <v>5409</v>
      </c>
      <c r="C4588" s="16" t="s">
        <v>946</v>
      </c>
      <c r="D4588" s="16" t="s">
        <v>707</v>
      </c>
      <c r="E4588" s="16">
        <v>2022.0</v>
      </c>
      <c r="F4588" s="16">
        <v>48.4969</v>
      </c>
      <c r="G4588" s="16">
        <v>9.9638</v>
      </c>
      <c r="H4588" s="15"/>
      <c r="I4588" s="15"/>
    </row>
    <row r="4589">
      <c r="A4589" s="18">
        <v>45665.0</v>
      </c>
      <c r="B4589" s="16" t="s">
        <v>5410</v>
      </c>
      <c r="C4589" s="16" t="s">
        <v>946</v>
      </c>
      <c r="D4589" s="16" t="s">
        <v>707</v>
      </c>
      <c r="E4589" s="16">
        <v>2022.0</v>
      </c>
      <c r="F4589" s="16">
        <v>51.5628</v>
      </c>
      <c r="G4589" s="16">
        <v>7.896</v>
      </c>
      <c r="H4589" s="15"/>
      <c r="I4589" s="15"/>
    </row>
    <row r="4590">
      <c r="A4590" s="18">
        <v>45665.0</v>
      </c>
      <c r="B4590" s="16" t="s">
        <v>5411</v>
      </c>
      <c r="C4590" s="16" t="s">
        <v>946</v>
      </c>
      <c r="D4590" s="16" t="s">
        <v>707</v>
      </c>
      <c r="E4590" s="16">
        <v>2022.0</v>
      </c>
      <c r="F4590" s="16">
        <v>50.7486</v>
      </c>
      <c r="G4590" s="16">
        <v>8.6132</v>
      </c>
      <c r="H4590" s="15"/>
      <c r="I4590" s="15"/>
    </row>
    <row r="4591">
      <c r="A4591" s="18">
        <v>45665.0</v>
      </c>
      <c r="B4591" s="16" t="s">
        <v>5412</v>
      </c>
      <c r="C4591" s="16" t="s">
        <v>948</v>
      </c>
      <c r="D4591" s="16" t="s">
        <v>707</v>
      </c>
      <c r="E4591" s="16">
        <v>2022.0</v>
      </c>
      <c r="F4591" s="16">
        <v>48.0005</v>
      </c>
      <c r="G4591" s="16">
        <v>12.3093</v>
      </c>
      <c r="H4591" s="15"/>
      <c r="I4591" s="15"/>
    </row>
    <row r="4592">
      <c r="A4592" s="18">
        <v>45665.0</v>
      </c>
      <c r="B4592" s="16" t="s">
        <v>5413</v>
      </c>
      <c r="C4592" s="16" t="s">
        <v>1059</v>
      </c>
      <c r="D4592" s="16" t="s">
        <v>707</v>
      </c>
      <c r="E4592" s="16">
        <v>2022.0</v>
      </c>
      <c r="F4592" s="16">
        <v>53.9324</v>
      </c>
      <c r="G4592" s="16">
        <v>12.3059</v>
      </c>
      <c r="H4592" s="15"/>
      <c r="I4592" s="15"/>
    </row>
    <row r="4593">
      <c r="A4593" s="18">
        <v>45665.0</v>
      </c>
      <c r="B4593" s="16" t="s">
        <v>5414</v>
      </c>
      <c r="C4593" s="16" t="s">
        <v>946</v>
      </c>
      <c r="D4593" s="16" t="s">
        <v>707</v>
      </c>
      <c r="E4593" s="16">
        <v>2022.0</v>
      </c>
      <c r="F4593" s="16">
        <v>49.4802</v>
      </c>
      <c r="G4593" s="16">
        <v>8.5826</v>
      </c>
      <c r="H4593" s="15"/>
      <c r="I4593" s="15"/>
    </row>
    <row r="4594">
      <c r="A4594" s="18">
        <v>45665.0</v>
      </c>
      <c r="B4594" s="16" t="s">
        <v>4990</v>
      </c>
      <c r="C4594" s="16" t="s">
        <v>942</v>
      </c>
      <c r="D4594" s="16" t="s">
        <v>707</v>
      </c>
      <c r="E4594" s="16">
        <v>2022.0</v>
      </c>
      <c r="F4594" s="16">
        <v>52.3589</v>
      </c>
      <c r="G4594" s="16">
        <v>7.4743</v>
      </c>
      <c r="H4594" s="15"/>
      <c r="I4594" s="15"/>
    </row>
    <row r="4595">
      <c r="A4595" s="18">
        <v>45665.0</v>
      </c>
      <c r="B4595" s="16" t="s">
        <v>5415</v>
      </c>
      <c r="C4595" s="16" t="s">
        <v>959</v>
      </c>
      <c r="D4595" s="16" t="s">
        <v>707</v>
      </c>
      <c r="E4595" s="16">
        <v>2022.0</v>
      </c>
      <c r="F4595" s="16">
        <v>52.0975</v>
      </c>
      <c r="G4595" s="16">
        <v>12.6202</v>
      </c>
      <c r="H4595" s="15"/>
      <c r="I4595" s="15"/>
    </row>
    <row r="4596">
      <c r="A4596" s="18">
        <v>45665.0</v>
      </c>
      <c r="B4596" s="16" t="s">
        <v>5416</v>
      </c>
      <c r="C4596" s="16" t="s">
        <v>990</v>
      </c>
      <c r="D4596" s="16" t="s">
        <v>707</v>
      </c>
      <c r="E4596" s="16">
        <v>2022.0</v>
      </c>
      <c r="F4596" s="16">
        <v>49.3275</v>
      </c>
      <c r="G4596" s="16">
        <v>10.9026</v>
      </c>
      <c r="H4596" s="15"/>
      <c r="I4596" s="15"/>
    </row>
    <row r="4597">
      <c r="A4597" s="18">
        <v>45665.0</v>
      </c>
      <c r="B4597" s="16" t="s">
        <v>5417</v>
      </c>
      <c r="C4597" s="16" t="s">
        <v>1055</v>
      </c>
      <c r="D4597" s="16" t="s">
        <v>707</v>
      </c>
      <c r="E4597" s="16">
        <v>2022.0</v>
      </c>
      <c r="F4597" s="16">
        <v>51.0838</v>
      </c>
      <c r="G4597" s="16">
        <v>10.8199</v>
      </c>
      <c r="H4597" s="15"/>
      <c r="I4597" s="15"/>
    </row>
    <row r="4598">
      <c r="A4598" s="18">
        <v>45665.0</v>
      </c>
      <c r="B4598" s="16" t="s">
        <v>5418</v>
      </c>
      <c r="C4598" s="16" t="s">
        <v>1203</v>
      </c>
      <c r="D4598" s="16" t="s">
        <v>707</v>
      </c>
      <c r="E4598" s="16">
        <v>2022.0</v>
      </c>
      <c r="F4598" s="16">
        <v>48.6</v>
      </c>
      <c r="G4598" s="16">
        <v>12.611</v>
      </c>
      <c r="H4598" s="15"/>
      <c r="I4598" s="15"/>
    </row>
    <row r="4599">
      <c r="A4599" s="18">
        <v>45665.0</v>
      </c>
      <c r="B4599" s="16" t="s">
        <v>5419</v>
      </c>
      <c r="C4599" s="16" t="s">
        <v>948</v>
      </c>
      <c r="D4599" s="16" t="s">
        <v>707</v>
      </c>
      <c r="E4599" s="16">
        <v>2022.0</v>
      </c>
      <c r="F4599" s="16">
        <v>49.6137</v>
      </c>
      <c r="G4599" s="16">
        <v>12.344</v>
      </c>
      <c r="H4599" s="15"/>
      <c r="I4599" s="15"/>
    </row>
    <row r="4600">
      <c r="A4600" s="18">
        <v>45665.0</v>
      </c>
      <c r="B4600" s="16" t="s">
        <v>5420</v>
      </c>
      <c r="C4600" s="16" t="s">
        <v>1037</v>
      </c>
      <c r="D4600" s="16" t="s">
        <v>707</v>
      </c>
      <c r="E4600" s="16">
        <v>2022.0</v>
      </c>
      <c r="F4600" s="16">
        <v>49.2343</v>
      </c>
      <c r="G4600" s="16">
        <v>10.3152</v>
      </c>
      <c r="H4600" s="15"/>
      <c r="I4600" s="15"/>
    </row>
    <row r="4601">
      <c r="A4601" s="18">
        <v>45665.0</v>
      </c>
      <c r="B4601" s="16" t="s">
        <v>5421</v>
      </c>
      <c r="C4601" s="16">
        <v>10.0</v>
      </c>
      <c r="D4601" s="16" t="s">
        <v>707</v>
      </c>
      <c r="E4601" s="16">
        <v>2022.0</v>
      </c>
      <c r="F4601" s="16">
        <v>49.0257</v>
      </c>
      <c r="G4601" s="16">
        <v>11.0763</v>
      </c>
      <c r="H4601" s="15"/>
      <c r="I4601" s="15"/>
    </row>
    <row r="4602">
      <c r="A4602" s="18">
        <v>45665.0</v>
      </c>
      <c r="B4602" s="16" t="s">
        <v>5422</v>
      </c>
      <c r="C4602" s="16" t="s">
        <v>1475</v>
      </c>
      <c r="D4602" s="16" t="s">
        <v>707</v>
      </c>
      <c r="E4602" s="16">
        <v>2022.0</v>
      </c>
      <c r="F4602" s="16">
        <v>49.2628</v>
      </c>
      <c r="G4602" s="16">
        <v>10.6227</v>
      </c>
      <c r="H4602" s="15"/>
      <c r="I4602" s="15"/>
    </row>
    <row r="4603">
      <c r="A4603" s="18">
        <v>45665.0</v>
      </c>
      <c r="B4603" s="16" t="s">
        <v>5423</v>
      </c>
      <c r="C4603" s="16">
        <v>5.0</v>
      </c>
      <c r="D4603" s="16" t="s">
        <v>707</v>
      </c>
      <c r="E4603" s="16">
        <v>2022.0</v>
      </c>
      <c r="F4603" s="16">
        <v>49.0241</v>
      </c>
      <c r="G4603" s="16">
        <v>11.0716</v>
      </c>
      <c r="H4603" s="15"/>
      <c r="I4603" s="15"/>
    </row>
    <row r="4604">
      <c r="A4604" s="18">
        <v>45665.0</v>
      </c>
      <c r="B4604" s="16" t="s">
        <v>5424</v>
      </c>
      <c r="C4604" s="16" t="s">
        <v>961</v>
      </c>
      <c r="D4604" s="16" t="s">
        <v>707</v>
      </c>
      <c r="E4604" s="16">
        <v>2022.0</v>
      </c>
      <c r="F4604" s="16">
        <v>49.5971</v>
      </c>
      <c r="G4604" s="16">
        <v>10.1947</v>
      </c>
      <c r="H4604" s="15"/>
      <c r="I4604" s="15"/>
    </row>
    <row r="4605">
      <c r="A4605" s="18">
        <v>45665.0</v>
      </c>
      <c r="B4605" s="16" t="s">
        <v>5425</v>
      </c>
      <c r="C4605" s="16" t="s">
        <v>1037</v>
      </c>
      <c r="D4605" s="16" t="s">
        <v>707</v>
      </c>
      <c r="E4605" s="16">
        <v>2022.0</v>
      </c>
      <c r="F4605" s="16">
        <v>49.2662</v>
      </c>
      <c r="G4605" s="16">
        <v>10.7001</v>
      </c>
      <c r="H4605" s="15"/>
      <c r="I4605" s="15"/>
    </row>
    <row r="4606">
      <c r="A4606" s="18">
        <v>45665.0</v>
      </c>
      <c r="B4606" s="16" t="s">
        <v>5426</v>
      </c>
      <c r="C4606" s="16" t="s">
        <v>1090</v>
      </c>
      <c r="D4606" s="16" t="s">
        <v>707</v>
      </c>
      <c r="E4606" s="16">
        <v>2022.0</v>
      </c>
      <c r="F4606" s="16">
        <v>49.2664</v>
      </c>
      <c r="G4606" s="16">
        <v>10.7004</v>
      </c>
      <c r="H4606" s="15"/>
      <c r="I4606" s="15"/>
    </row>
    <row r="4607">
      <c r="A4607" s="18">
        <v>45665.0</v>
      </c>
      <c r="B4607" s="16" t="s">
        <v>5427</v>
      </c>
      <c r="C4607" s="16" t="s">
        <v>982</v>
      </c>
      <c r="D4607" s="16" t="s">
        <v>707</v>
      </c>
      <c r="E4607" s="16">
        <v>2022.0</v>
      </c>
      <c r="F4607" s="16">
        <v>49.2063</v>
      </c>
      <c r="G4607" s="16">
        <v>10.7268</v>
      </c>
      <c r="H4607" s="15"/>
      <c r="I4607" s="15"/>
    </row>
    <row r="4608">
      <c r="A4608" s="18">
        <v>45665.0</v>
      </c>
      <c r="B4608" s="16" t="s">
        <v>5428</v>
      </c>
      <c r="C4608" s="16" t="s">
        <v>990</v>
      </c>
      <c r="D4608" s="16" t="s">
        <v>707</v>
      </c>
      <c r="E4608" s="16">
        <v>2022.0</v>
      </c>
      <c r="F4608" s="16">
        <v>48.9633</v>
      </c>
      <c r="G4608" s="16">
        <v>11.0089</v>
      </c>
      <c r="H4608" s="15"/>
      <c r="I4608" s="15"/>
    </row>
    <row r="4609">
      <c r="A4609" s="18">
        <v>45665.0</v>
      </c>
      <c r="B4609" s="16" t="s">
        <v>5429</v>
      </c>
      <c r="C4609" s="16" t="s">
        <v>1046</v>
      </c>
      <c r="D4609" s="16" t="s">
        <v>707</v>
      </c>
      <c r="E4609" s="16">
        <v>2022.0</v>
      </c>
      <c r="F4609" s="16">
        <v>49.3022</v>
      </c>
      <c r="G4609" s="16">
        <v>10.4483</v>
      </c>
      <c r="H4609" s="15"/>
      <c r="I4609" s="15"/>
    </row>
    <row r="4610">
      <c r="A4610" s="18">
        <v>45665.0</v>
      </c>
      <c r="B4610" s="16" t="s">
        <v>5430</v>
      </c>
      <c r="C4610" s="16" t="s">
        <v>1101</v>
      </c>
      <c r="D4610" s="16" t="s">
        <v>707</v>
      </c>
      <c r="E4610" s="16">
        <v>2022.0</v>
      </c>
      <c r="F4610" s="16">
        <v>50.837</v>
      </c>
      <c r="G4610" s="16">
        <v>10.701</v>
      </c>
      <c r="H4610" s="15"/>
      <c r="I4610" s="15"/>
    </row>
    <row r="4611">
      <c r="A4611" s="18">
        <v>45665.0</v>
      </c>
      <c r="B4611" s="16" t="s">
        <v>5431</v>
      </c>
      <c r="C4611" s="16" t="s">
        <v>1745</v>
      </c>
      <c r="D4611" s="16" t="s">
        <v>707</v>
      </c>
      <c r="E4611" s="16">
        <v>2022.0</v>
      </c>
      <c r="F4611" s="16">
        <v>49.3562</v>
      </c>
      <c r="G4611" s="16">
        <v>9.3246</v>
      </c>
      <c r="H4611" s="15"/>
      <c r="I4611" s="15"/>
    </row>
    <row r="4612">
      <c r="A4612" s="18">
        <v>45665.0</v>
      </c>
      <c r="B4612" s="16" t="s">
        <v>5432</v>
      </c>
      <c r="C4612" s="16">
        <v>10.0</v>
      </c>
      <c r="D4612" s="16" t="s">
        <v>707</v>
      </c>
      <c r="E4612" s="16">
        <v>2022.0</v>
      </c>
      <c r="F4612" s="16">
        <v>49.4648</v>
      </c>
      <c r="G4612" s="16">
        <v>11.8423</v>
      </c>
      <c r="H4612" s="15"/>
      <c r="I4612" s="15"/>
    </row>
    <row r="4613">
      <c r="A4613" s="18">
        <v>45665.0</v>
      </c>
      <c r="B4613" s="16" t="s">
        <v>5433</v>
      </c>
      <c r="C4613" s="16" t="s">
        <v>1051</v>
      </c>
      <c r="D4613" s="16" t="s">
        <v>707</v>
      </c>
      <c r="E4613" s="16">
        <v>2022.0</v>
      </c>
      <c r="F4613" s="16">
        <v>48.7221</v>
      </c>
      <c r="G4613" s="16">
        <v>11.2405</v>
      </c>
      <c r="H4613" s="15"/>
      <c r="I4613" s="15"/>
    </row>
    <row r="4614">
      <c r="A4614" s="18">
        <v>45665.0</v>
      </c>
      <c r="B4614" s="16" t="s">
        <v>5434</v>
      </c>
      <c r="C4614" s="16" t="s">
        <v>990</v>
      </c>
      <c r="D4614" s="16" t="s">
        <v>707</v>
      </c>
      <c r="E4614" s="16">
        <v>2022.0</v>
      </c>
      <c r="F4614" s="16">
        <v>48.44</v>
      </c>
      <c r="G4614" s="16">
        <v>11.891</v>
      </c>
      <c r="H4614" s="15"/>
      <c r="I4614" s="15"/>
    </row>
    <row r="4615">
      <c r="A4615" s="18">
        <v>45665.0</v>
      </c>
      <c r="B4615" s="16" t="s">
        <v>5435</v>
      </c>
      <c r="C4615" s="16" t="s">
        <v>990</v>
      </c>
      <c r="D4615" s="16" t="s">
        <v>707</v>
      </c>
      <c r="E4615" s="16">
        <v>2022.0</v>
      </c>
      <c r="F4615" s="16">
        <v>51.31</v>
      </c>
      <c r="G4615" s="16">
        <v>13.2638</v>
      </c>
      <c r="H4615" s="15"/>
      <c r="I4615" s="15"/>
    </row>
    <row r="4616">
      <c r="A4616" s="18">
        <v>45665.0</v>
      </c>
      <c r="B4616" s="16" t="s">
        <v>5436</v>
      </c>
      <c r="C4616" s="16" t="s">
        <v>1059</v>
      </c>
      <c r="D4616" s="16" t="s">
        <v>707</v>
      </c>
      <c r="E4616" s="16">
        <v>2022.0</v>
      </c>
      <c r="F4616" s="16">
        <v>47.8804</v>
      </c>
      <c r="G4616" s="16">
        <v>9.3398</v>
      </c>
      <c r="H4616" s="15"/>
      <c r="I4616" s="15"/>
    </row>
    <row r="4617">
      <c r="A4617" s="18">
        <v>45665.0</v>
      </c>
      <c r="B4617" s="16" t="s">
        <v>5437</v>
      </c>
      <c r="C4617" s="16" t="s">
        <v>942</v>
      </c>
      <c r="D4617" s="16" t="s">
        <v>707</v>
      </c>
      <c r="E4617" s="16">
        <v>2022.0</v>
      </c>
      <c r="F4617" s="16">
        <v>51.5732</v>
      </c>
      <c r="G4617" s="16">
        <v>14.3673</v>
      </c>
      <c r="H4617" s="15"/>
      <c r="I4617" s="15"/>
    </row>
    <row r="4618">
      <c r="A4618" s="18">
        <v>45665.0</v>
      </c>
      <c r="B4618" s="16" t="s">
        <v>5438</v>
      </c>
      <c r="C4618" s="16" t="s">
        <v>1051</v>
      </c>
      <c r="D4618" s="16" t="s">
        <v>707</v>
      </c>
      <c r="E4618" s="16">
        <v>2022.0</v>
      </c>
      <c r="F4618" s="16">
        <v>48.9293</v>
      </c>
      <c r="G4618" s="16">
        <v>12.7126</v>
      </c>
      <c r="H4618" s="15"/>
      <c r="I4618" s="15"/>
    </row>
    <row r="4619">
      <c r="A4619" s="18">
        <v>45665.0</v>
      </c>
      <c r="B4619" s="16" t="s">
        <v>5439</v>
      </c>
      <c r="C4619" s="16" t="s">
        <v>1351</v>
      </c>
      <c r="D4619" s="16" t="s">
        <v>707</v>
      </c>
      <c r="E4619" s="16">
        <v>2022.0</v>
      </c>
      <c r="F4619" s="16">
        <v>48.6996</v>
      </c>
      <c r="G4619" s="16">
        <v>11.1592</v>
      </c>
      <c r="H4619" s="15"/>
      <c r="I4619" s="15"/>
    </row>
    <row r="4620">
      <c r="A4620" s="18">
        <v>45665.0</v>
      </c>
      <c r="B4620" s="16" t="s">
        <v>5440</v>
      </c>
      <c r="C4620" s="16">
        <v>3.0</v>
      </c>
      <c r="D4620" s="16" t="s">
        <v>707</v>
      </c>
      <c r="E4620" s="16">
        <v>2022.0</v>
      </c>
      <c r="F4620" s="16">
        <v>49.0556</v>
      </c>
      <c r="G4620" s="16">
        <v>12.9469</v>
      </c>
      <c r="H4620" s="15"/>
      <c r="I4620" s="15"/>
    </row>
    <row r="4621">
      <c r="A4621" s="18">
        <v>45665.0</v>
      </c>
      <c r="B4621" s="16" t="s">
        <v>5441</v>
      </c>
      <c r="C4621" s="16" t="s">
        <v>948</v>
      </c>
      <c r="D4621" s="16" t="s">
        <v>707</v>
      </c>
      <c r="E4621" s="16">
        <v>2022.0</v>
      </c>
      <c r="F4621" s="16">
        <v>48.4375</v>
      </c>
      <c r="G4621" s="16">
        <v>10.8596</v>
      </c>
      <c r="H4621" s="15"/>
      <c r="I4621" s="15"/>
    </row>
    <row r="4622">
      <c r="A4622" s="18">
        <v>45665.0</v>
      </c>
      <c r="B4622" s="16" t="s">
        <v>5442</v>
      </c>
      <c r="C4622" s="16" t="s">
        <v>1055</v>
      </c>
      <c r="D4622" s="16" t="s">
        <v>707</v>
      </c>
      <c r="E4622" s="16">
        <v>2022.0</v>
      </c>
      <c r="F4622" s="16">
        <v>48.0216</v>
      </c>
      <c r="G4622" s="16">
        <v>7.8297</v>
      </c>
      <c r="H4622" s="15"/>
      <c r="I4622" s="15"/>
    </row>
    <row r="4623">
      <c r="A4623" s="18">
        <v>45665.0</v>
      </c>
      <c r="B4623" s="16" t="s">
        <v>5443</v>
      </c>
      <c r="C4623" s="16" t="s">
        <v>1149</v>
      </c>
      <c r="D4623" s="16" t="s">
        <v>707</v>
      </c>
      <c r="E4623" s="16">
        <v>2022.0</v>
      </c>
      <c r="F4623" s="16">
        <v>50.111</v>
      </c>
      <c r="G4623" s="16">
        <v>11.1015</v>
      </c>
      <c r="H4623" s="15"/>
      <c r="I4623" s="15"/>
    </row>
    <row r="4624">
      <c r="A4624" s="18">
        <v>45665.0</v>
      </c>
      <c r="B4624" s="16" t="s">
        <v>5444</v>
      </c>
      <c r="C4624" s="16" t="s">
        <v>1037</v>
      </c>
      <c r="D4624" s="16" t="s">
        <v>707</v>
      </c>
      <c r="E4624" s="16">
        <v>2022.0</v>
      </c>
      <c r="F4624" s="16">
        <v>49.1641</v>
      </c>
      <c r="G4624" s="16">
        <v>12.6572</v>
      </c>
      <c r="H4624" s="15"/>
      <c r="I4624" s="15"/>
    </row>
    <row r="4625">
      <c r="A4625" s="18">
        <v>45665.0</v>
      </c>
      <c r="B4625" s="16" t="s">
        <v>5445</v>
      </c>
      <c r="C4625" s="16">
        <v>12.0</v>
      </c>
      <c r="D4625" s="16" t="s">
        <v>707</v>
      </c>
      <c r="E4625" s="16">
        <v>2022.0</v>
      </c>
      <c r="F4625" s="16">
        <v>47.8619</v>
      </c>
      <c r="G4625" s="16">
        <v>9.3219</v>
      </c>
      <c r="H4625" s="15"/>
      <c r="I4625" s="15"/>
    </row>
    <row r="4626">
      <c r="A4626" s="18">
        <v>45665.0</v>
      </c>
      <c r="B4626" s="16" t="s">
        <v>5446</v>
      </c>
      <c r="C4626" s="16" t="s">
        <v>1598</v>
      </c>
      <c r="D4626" s="16" t="s">
        <v>707</v>
      </c>
      <c r="E4626" s="16">
        <v>2022.0</v>
      </c>
      <c r="F4626" s="16">
        <v>49.1641</v>
      </c>
      <c r="G4626" s="16">
        <v>12.6572</v>
      </c>
      <c r="H4626" s="15"/>
      <c r="I4626" s="15"/>
    </row>
    <row r="4627">
      <c r="A4627" s="18">
        <v>45665.0</v>
      </c>
      <c r="B4627" s="16" t="s">
        <v>5447</v>
      </c>
      <c r="C4627" s="16" t="s">
        <v>1771</v>
      </c>
      <c r="D4627" s="16" t="s">
        <v>707</v>
      </c>
      <c r="E4627" s="16">
        <v>2022.0</v>
      </c>
      <c r="F4627" s="16">
        <v>51.9737</v>
      </c>
      <c r="G4627" s="16">
        <v>13.5574</v>
      </c>
      <c r="H4627" s="15"/>
      <c r="I4627" s="15"/>
    </row>
    <row r="4628">
      <c r="A4628" s="18">
        <v>45665.0</v>
      </c>
      <c r="B4628" s="16" t="s">
        <v>5448</v>
      </c>
      <c r="C4628" s="16" t="s">
        <v>1147</v>
      </c>
      <c r="D4628" s="16" t="s">
        <v>707</v>
      </c>
      <c r="E4628" s="16">
        <v>2022.0</v>
      </c>
      <c r="F4628" s="16">
        <v>49.9513</v>
      </c>
      <c r="G4628" s="16">
        <v>6.7348</v>
      </c>
      <c r="H4628" s="15"/>
      <c r="I4628" s="15"/>
    </row>
    <row r="4629">
      <c r="A4629" s="18">
        <v>45665.0</v>
      </c>
      <c r="B4629" s="16" t="s">
        <v>5449</v>
      </c>
      <c r="C4629" s="16">
        <v>2.0</v>
      </c>
      <c r="D4629" s="16" t="s">
        <v>707</v>
      </c>
      <c r="E4629" s="16">
        <v>2022.0</v>
      </c>
      <c r="F4629" s="16">
        <v>47.9294</v>
      </c>
      <c r="G4629" s="16">
        <v>9.6233</v>
      </c>
      <c r="H4629" s="15"/>
      <c r="I4629" s="15"/>
    </row>
    <row r="4630">
      <c r="A4630" s="18">
        <v>45665.0</v>
      </c>
      <c r="B4630" s="16" t="s">
        <v>5450</v>
      </c>
      <c r="C4630" s="16" t="s">
        <v>984</v>
      </c>
      <c r="D4630" s="16" t="s">
        <v>707</v>
      </c>
      <c r="E4630" s="16">
        <v>2022.0</v>
      </c>
      <c r="F4630" s="16">
        <v>51.1069</v>
      </c>
      <c r="G4630" s="16">
        <v>10.6701</v>
      </c>
      <c r="H4630" s="15"/>
      <c r="I4630" s="15"/>
    </row>
    <row r="4631">
      <c r="A4631" s="18">
        <v>45665.0</v>
      </c>
      <c r="B4631" s="16" t="s">
        <v>5451</v>
      </c>
      <c r="C4631" s="16" t="s">
        <v>1080</v>
      </c>
      <c r="D4631" s="16" t="s">
        <v>707</v>
      </c>
      <c r="E4631" s="16">
        <v>2022.0</v>
      </c>
      <c r="F4631" s="16">
        <v>51.4089</v>
      </c>
      <c r="G4631" s="16">
        <v>12.2814</v>
      </c>
      <c r="H4631" s="15"/>
      <c r="I4631" s="15"/>
    </row>
    <row r="4632">
      <c r="A4632" s="18">
        <v>45665.0</v>
      </c>
      <c r="B4632" s="16" t="s">
        <v>5452</v>
      </c>
      <c r="C4632" s="16" t="s">
        <v>1598</v>
      </c>
      <c r="D4632" s="16" t="s">
        <v>707</v>
      </c>
      <c r="E4632" s="16">
        <v>2022.0</v>
      </c>
      <c r="F4632" s="16">
        <v>49.183</v>
      </c>
      <c r="G4632" s="16">
        <v>10.5644</v>
      </c>
      <c r="H4632" s="15"/>
      <c r="I4632" s="15"/>
    </row>
    <row r="4633">
      <c r="A4633" s="18">
        <v>45665.0</v>
      </c>
      <c r="B4633" s="16" t="s">
        <v>5453</v>
      </c>
      <c r="C4633" s="16">
        <v>10.0</v>
      </c>
      <c r="D4633" s="16" t="s">
        <v>707</v>
      </c>
      <c r="E4633" s="16">
        <v>2022.0</v>
      </c>
      <c r="F4633" s="16">
        <v>49.9546</v>
      </c>
      <c r="G4633" s="16">
        <v>6.4332</v>
      </c>
      <c r="H4633" s="15"/>
      <c r="I4633" s="15"/>
    </row>
    <row r="4634">
      <c r="A4634" s="18">
        <v>45665.0</v>
      </c>
      <c r="B4634" s="16" t="s">
        <v>5454</v>
      </c>
      <c r="C4634" s="16" t="s">
        <v>1215</v>
      </c>
      <c r="D4634" s="16" t="s">
        <v>707</v>
      </c>
      <c r="E4634" s="16">
        <v>2022.0</v>
      </c>
      <c r="F4634" s="16">
        <v>49.9544</v>
      </c>
      <c r="G4634" s="16">
        <v>6.4341</v>
      </c>
      <c r="H4634" s="15"/>
      <c r="I4634" s="15"/>
    </row>
    <row r="4635">
      <c r="A4635" s="18">
        <v>45665.0</v>
      </c>
      <c r="B4635" s="16" t="s">
        <v>5455</v>
      </c>
      <c r="C4635" s="16" t="s">
        <v>969</v>
      </c>
      <c r="D4635" s="16" t="s">
        <v>707</v>
      </c>
      <c r="E4635" s="16">
        <v>2022.0</v>
      </c>
      <c r="F4635" s="16">
        <v>47.7771</v>
      </c>
      <c r="G4635" s="16">
        <v>8.8561</v>
      </c>
      <c r="H4635" s="15"/>
      <c r="I4635" s="15"/>
    </row>
    <row r="4636">
      <c r="A4636" s="18">
        <v>45665.0</v>
      </c>
      <c r="B4636" s="16" t="s">
        <v>5456</v>
      </c>
      <c r="C4636" s="16" t="s">
        <v>969</v>
      </c>
      <c r="D4636" s="16" t="s">
        <v>707</v>
      </c>
      <c r="E4636" s="16">
        <v>2022.0</v>
      </c>
      <c r="F4636" s="16">
        <v>53.8371</v>
      </c>
      <c r="G4636" s="16">
        <v>11.392</v>
      </c>
      <c r="H4636" s="15"/>
      <c r="I4636" s="15"/>
    </row>
    <row r="4637">
      <c r="A4637" s="18">
        <v>45665.0</v>
      </c>
      <c r="B4637" s="16" t="s">
        <v>5457</v>
      </c>
      <c r="C4637" s="16" t="s">
        <v>969</v>
      </c>
      <c r="D4637" s="16" t="s">
        <v>707</v>
      </c>
      <c r="E4637" s="16">
        <v>2022.0</v>
      </c>
      <c r="F4637" s="16">
        <v>51.213</v>
      </c>
      <c r="G4637" s="16">
        <v>12.0219</v>
      </c>
      <c r="H4637" s="15"/>
      <c r="I4637" s="15"/>
    </row>
    <row r="4638">
      <c r="A4638" s="18">
        <v>45665.0</v>
      </c>
      <c r="B4638" s="16" t="s">
        <v>5458</v>
      </c>
      <c r="C4638" s="16" t="s">
        <v>1215</v>
      </c>
      <c r="D4638" s="16" t="s">
        <v>707</v>
      </c>
      <c r="E4638" s="16">
        <v>2022.0</v>
      </c>
      <c r="F4638" s="16">
        <v>51.2128</v>
      </c>
      <c r="G4638" s="16">
        <v>12.0238</v>
      </c>
      <c r="H4638" s="15"/>
      <c r="I4638" s="15"/>
    </row>
    <row r="4639">
      <c r="A4639" s="18">
        <v>45665.0</v>
      </c>
      <c r="B4639" s="16" t="s">
        <v>5459</v>
      </c>
      <c r="C4639" s="16" t="s">
        <v>1055</v>
      </c>
      <c r="D4639" s="16" t="s">
        <v>707</v>
      </c>
      <c r="E4639" s="16">
        <v>2022.0</v>
      </c>
      <c r="F4639" s="16">
        <v>51.4052</v>
      </c>
      <c r="G4639" s="16">
        <v>10.4454</v>
      </c>
      <c r="H4639" s="15"/>
      <c r="I4639" s="15"/>
    </row>
    <row r="4640">
      <c r="A4640" s="18">
        <v>45665.0</v>
      </c>
      <c r="B4640" s="16" t="s">
        <v>5460</v>
      </c>
      <c r="C4640" s="16" t="s">
        <v>1039</v>
      </c>
      <c r="D4640" s="16" t="s">
        <v>707</v>
      </c>
      <c r="E4640" s="16">
        <v>2022.0</v>
      </c>
      <c r="F4640" s="16">
        <v>51.0658</v>
      </c>
      <c r="G4640" s="16">
        <v>7.1112</v>
      </c>
      <c r="H4640" s="15"/>
      <c r="I4640" s="15"/>
    </row>
    <row r="4641">
      <c r="A4641" s="18">
        <v>45665.0</v>
      </c>
      <c r="B4641" s="16" t="s">
        <v>5461</v>
      </c>
      <c r="C4641" s="16" t="s">
        <v>984</v>
      </c>
      <c r="D4641" s="16" t="s">
        <v>707</v>
      </c>
      <c r="E4641" s="16">
        <v>2022.0</v>
      </c>
      <c r="F4641" s="16">
        <v>52.5977</v>
      </c>
      <c r="G4641" s="16">
        <v>10.0567</v>
      </c>
      <c r="H4641" s="15"/>
      <c r="I4641" s="15"/>
    </row>
    <row r="4642">
      <c r="A4642" s="18">
        <v>45665.0</v>
      </c>
      <c r="B4642" s="16" t="s">
        <v>5462</v>
      </c>
      <c r="C4642" s="16">
        <v>1.0</v>
      </c>
      <c r="D4642" s="16" t="s">
        <v>707</v>
      </c>
      <c r="E4642" s="16">
        <v>2022.0</v>
      </c>
      <c r="F4642" s="16">
        <v>50.5313</v>
      </c>
      <c r="G4642" s="16">
        <v>10.4704</v>
      </c>
      <c r="H4642" s="15"/>
      <c r="I4642" s="15"/>
    </row>
    <row r="4643">
      <c r="A4643" s="18">
        <v>45665.0</v>
      </c>
      <c r="B4643" s="16" t="s">
        <v>5463</v>
      </c>
      <c r="C4643" s="16" t="s">
        <v>984</v>
      </c>
      <c r="D4643" s="16" t="s">
        <v>707</v>
      </c>
      <c r="E4643" s="16">
        <v>2022.0</v>
      </c>
      <c r="F4643" s="16">
        <v>49.5964</v>
      </c>
      <c r="G4643" s="16">
        <v>7.6422</v>
      </c>
      <c r="H4643" s="15"/>
      <c r="I4643" s="15"/>
    </row>
    <row r="4644">
      <c r="A4644" s="18">
        <v>45665.0</v>
      </c>
      <c r="B4644" s="16" t="s">
        <v>5464</v>
      </c>
      <c r="C4644" s="16" t="s">
        <v>1101</v>
      </c>
      <c r="D4644" s="16" t="s">
        <v>707</v>
      </c>
      <c r="E4644" s="16">
        <v>2022.0</v>
      </c>
      <c r="F4644" s="16">
        <v>48.6141</v>
      </c>
      <c r="G4644" s="16">
        <v>13.1717</v>
      </c>
      <c r="H4644" s="15"/>
      <c r="I4644" s="15"/>
    </row>
    <row r="4645">
      <c r="A4645" s="18">
        <v>45665.0</v>
      </c>
      <c r="B4645" s="16" t="s">
        <v>5465</v>
      </c>
      <c r="C4645" s="16" t="s">
        <v>1475</v>
      </c>
      <c r="D4645" s="16" t="s">
        <v>707</v>
      </c>
      <c r="E4645" s="16">
        <v>2022.0</v>
      </c>
      <c r="F4645" s="16">
        <v>50.7943</v>
      </c>
      <c r="G4645" s="16">
        <v>12.1933</v>
      </c>
      <c r="H4645" s="15"/>
      <c r="I4645" s="15"/>
    </row>
    <row r="4646">
      <c r="A4646" s="18">
        <v>45665.0</v>
      </c>
      <c r="B4646" s="16" t="s">
        <v>5466</v>
      </c>
      <c r="C4646" s="16" t="s">
        <v>1745</v>
      </c>
      <c r="D4646" s="16" t="s">
        <v>707</v>
      </c>
      <c r="E4646" s="16">
        <v>2022.0</v>
      </c>
      <c r="F4646" s="16">
        <v>52.9956</v>
      </c>
      <c r="G4646" s="16">
        <v>10.5421</v>
      </c>
      <c r="H4646" s="15"/>
      <c r="I4646" s="15"/>
    </row>
    <row r="4647">
      <c r="A4647" s="18">
        <v>45665.0</v>
      </c>
      <c r="B4647" s="16" t="s">
        <v>5467</v>
      </c>
      <c r="C4647" s="16" t="s">
        <v>1039</v>
      </c>
      <c r="D4647" s="16" t="s">
        <v>707</v>
      </c>
      <c r="E4647" s="16">
        <v>2022.0</v>
      </c>
      <c r="F4647" s="16">
        <v>51.6388</v>
      </c>
      <c r="G4647" s="16">
        <v>11.4876</v>
      </c>
      <c r="H4647" s="15"/>
      <c r="I4647" s="15"/>
    </row>
    <row r="4648">
      <c r="A4648" s="18">
        <v>45665.0</v>
      </c>
      <c r="B4648" s="16" t="s">
        <v>5468</v>
      </c>
      <c r="C4648" s="16" t="s">
        <v>1055</v>
      </c>
      <c r="D4648" s="16" t="s">
        <v>707</v>
      </c>
      <c r="E4648" s="16">
        <v>2022.0</v>
      </c>
      <c r="F4648" s="16">
        <v>50.0117</v>
      </c>
      <c r="G4648" s="16">
        <v>6.6775</v>
      </c>
      <c r="H4648" s="15"/>
      <c r="I4648" s="15"/>
    </row>
    <row r="4649">
      <c r="A4649" s="18">
        <v>45665.0</v>
      </c>
      <c r="B4649" s="16" t="s">
        <v>5468</v>
      </c>
      <c r="C4649" s="16" t="s">
        <v>948</v>
      </c>
      <c r="D4649" s="16" t="s">
        <v>707</v>
      </c>
      <c r="E4649" s="16">
        <v>2022.0</v>
      </c>
      <c r="F4649" s="16">
        <v>50.0096</v>
      </c>
      <c r="G4649" s="16">
        <v>6.6861</v>
      </c>
      <c r="H4649" s="15"/>
      <c r="I4649" s="15"/>
    </row>
    <row r="4650">
      <c r="A4650" s="18">
        <v>45665.0</v>
      </c>
      <c r="B4650" s="16" t="s">
        <v>5469</v>
      </c>
      <c r="C4650" s="16" t="s">
        <v>946</v>
      </c>
      <c r="D4650" s="16" t="s">
        <v>707</v>
      </c>
      <c r="E4650" s="16">
        <v>2022.0</v>
      </c>
      <c r="F4650" s="16">
        <v>50.0088</v>
      </c>
      <c r="G4650" s="16">
        <v>6.6981</v>
      </c>
      <c r="H4650" s="15"/>
      <c r="I4650" s="15"/>
    </row>
    <row r="4651">
      <c r="A4651" s="18">
        <v>45665.0</v>
      </c>
      <c r="B4651" s="16" t="s">
        <v>5470</v>
      </c>
      <c r="C4651" s="16" t="s">
        <v>969</v>
      </c>
      <c r="D4651" s="16" t="s">
        <v>707</v>
      </c>
      <c r="E4651" s="16">
        <v>2022.0</v>
      </c>
      <c r="F4651" s="16">
        <v>50.0131</v>
      </c>
      <c r="G4651" s="16">
        <v>6.6753</v>
      </c>
      <c r="H4651" s="15"/>
      <c r="I4651" s="15"/>
    </row>
    <row r="4652">
      <c r="A4652" s="18">
        <v>45665.0</v>
      </c>
      <c r="B4652" s="16" t="s">
        <v>5470</v>
      </c>
      <c r="C4652" s="16" t="s">
        <v>1011</v>
      </c>
      <c r="D4652" s="16" t="s">
        <v>707</v>
      </c>
      <c r="E4652" s="16">
        <v>2022.0</v>
      </c>
      <c r="F4652" s="16">
        <v>50.0066</v>
      </c>
      <c r="G4652" s="16">
        <v>6.7001</v>
      </c>
      <c r="H4652" s="15"/>
      <c r="I4652" s="15"/>
    </row>
    <row r="4653">
      <c r="A4653" s="18">
        <v>45665.0</v>
      </c>
      <c r="B4653" s="16" t="s">
        <v>5471</v>
      </c>
      <c r="C4653" s="16" t="s">
        <v>1475</v>
      </c>
      <c r="D4653" s="16" t="s">
        <v>707</v>
      </c>
      <c r="E4653" s="16">
        <v>2022.0</v>
      </c>
      <c r="F4653" s="16">
        <v>52.3617</v>
      </c>
      <c r="G4653" s="16">
        <v>13.2866</v>
      </c>
      <c r="H4653" s="15"/>
      <c r="I4653" s="15"/>
    </row>
    <row r="4654">
      <c r="A4654" s="18">
        <v>45665.0</v>
      </c>
      <c r="B4654" s="16" t="s">
        <v>5472</v>
      </c>
      <c r="C4654" s="16">
        <v>2.0</v>
      </c>
      <c r="D4654" s="16" t="s">
        <v>707</v>
      </c>
      <c r="E4654" s="16">
        <v>2022.0</v>
      </c>
      <c r="F4654" s="16">
        <v>51.1269</v>
      </c>
      <c r="G4654" s="16">
        <v>12.0492</v>
      </c>
      <c r="H4654" s="15"/>
      <c r="I4654" s="15"/>
    </row>
    <row r="4655">
      <c r="A4655" s="18">
        <v>45665.0</v>
      </c>
      <c r="B4655" s="16" t="s">
        <v>5473</v>
      </c>
      <c r="C4655" s="16">
        <v>5.0</v>
      </c>
      <c r="D4655" s="16" t="s">
        <v>707</v>
      </c>
      <c r="E4655" s="16">
        <v>2022.0</v>
      </c>
      <c r="F4655" s="16">
        <v>52.0114</v>
      </c>
      <c r="G4655" s="16">
        <v>14.7002</v>
      </c>
      <c r="H4655" s="15"/>
      <c r="I4655" s="15"/>
    </row>
    <row r="4656">
      <c r="A4656" s="18">
        <v>45665.0</v>
      </c>
      <c r="B4656" s="16" t="s">
        <v>5474</v>
      </c>
      <c r="C4656" s="16" t="s">
        <v>1034</v>
      </c>
      <c r="D4656" s="16" t="s">
        <v>707</v>
      </c>
      <c r="E4656" s="16">
        <v>2022.0</v>
      </c>
      <c r="F4656" s="16">
        <v>48.8788</v>
      </c>
      <c r="G4656" s="16">
        <v>12.1962</v>
      </c>
      <c r="H4656" s="15"/>
      <c r="I4656" s="15"/>
    </row>
    <row r="4657">
      <c r="A4657" s="18">
        <v>45665.0</v>
      </c>
      <c r="B4657" s="16" t="s">
        <v>5475</v>
      </c>
      <c r="C4657" s="16" t="s">
        <v>1059</v>
      </c>
      <c r="D4657" s="16" t="s">
        <v>707</v>
      </c>
      <c r="E4657" s="16">
        <v>2022.0</v>
      </c>
      <c r="F4657" s="16">
        <v>52.2186</v>
      </c>
      <c r="G4657" s="16">
        <v>9.9736</v>
      </c>
      <c r="H4657" s="15"/>
      <c r="I4657" s="15"/>
    </row>
    <row r="4658">
      <c r="A4658" s="18">
        <v>45665.0</v>
      </c>
      <c r="B4658" s="16" t="s">
        <v>5476</v>
      </c>
      <c r="C4658" s="16" t="s">
        <v>1059</v>
      </c>
      <c r="D4658" s="16" t="s">
        <v>707</v>
      </c>
      <c r="E4658" s="16">
        <v>2022.0</v>
      </c>
      <c r="F4658" s="16">
        <v>51.2287</v>
      </c>
      <c r="G4658" s="16">
        <v>9.7117</v>
      </c>
      <c r="H4658" s="15"/>
      <c r="I4658" s="15"/>
    </row>
    <row r="4659">
      <c r="A4659" s="18">
        <v>45665.0</v>
      </c>
      <c r="B4659" s="16" t="s">
        <v>5477</v>
      </c>
      <c r="C4659" s="16">
        <v>3.0</v>
      </c>
      <c r="D4659" s="16" t="s">
        <v>707</v>
      </c>
      <c r="E4659" s="16">
        <v>2022.0</v>
      </c>
      <c r="F4659" s="16">
        <v>52.7701</v>
      </c>
      <c r="G4659" s="16">
        <v>9.6052</v>
      </c>
      <c r="H4659" s="15"/>
      <c r="I4659" s="15"/>
    </row>
    <row r="4660">
      <c r="A4660" s="18">
        <v>45665.0</v>
      </c>
      <c r="B4660" s="16" t="s">
        <v>5478</v>
      </c>
      <c r="C4660" s="16" t="s">
        <v>1931</v>
      </c>
      <c r="D4660" s="16" t="s">
        <v>707</v>
      </c>
      <c r="E4660" s="16">
        <v>2022.0</v>
      </c>
      <c r="F4660" s="16">
        <v>50.1264</v>
      </c>
      <c r="G4660" s="16">
        <v>10.4955</v>
      </c>
      <c r="H4660" s="15"/>
      <c r="I4660" s="15"/>
    </row>
    <row r="4661">
      <c r="A4661" s="18">
        <v>45665.0</v>
      </c>
      <c r="B4661" s="16" t="s">
        <v>5479</v>
      </c>
      <c r="C4661" s="16">
        <v>5.0</v>
      </c>
      <c r="D4661" s="16" t="s">
        <v>707</v>
      </c>
      <c r="E4661" s="16">
        <v>2022.0</v>
      </c>
      <c r="F4661" s="16">
        <v>49.6327</v>
      </c>
      <c r="G4661" s="16">
        <v>12.2222</v>
      </c>
      <c r="H4661" s="15"/>
      <c r="I4661" s="15"/>
    </row>
    <row r="4662">
      <c r="A4662" s="18">
        <v>45665.0</v>
      </c>
      <c r="B4662" s="16" t="s">
        <v>5480</v>
      </c>
      <c r="C4662" s="16" t="s">
        <v>969</v>
      </c>
      <c r="D4662" s="16" t="s">
        <v>707</v>
      </c>
      <c r="E4662" s="16">
        <v>2022.0</v>
      </c>
      <c r="F4662" s="16">
        <v>53.86</v>
      </c>
      <c r="G4662" s="16">
        <v>12.6404</v>
      </c>
      <c r="H4662" s="15"/>
      <c r="I4662" s="15"/>
    </row>
    <row r="4663">
      <c r="A4663" s="18">
        <v>45665.0</v>
      </c>
      <c r="B4663" s="16" t="s">
        <v>5481</v>
      </c>
      <c r="C4663" s="16" t="s">
        <v>1080</v>
      </c>
      <c r="D4663" s="16" t="s">
        <v>707</v>
      </c>
      <c r="E4663" s="16">
        <v>2022.0</v>
      </c>
      <c r="F4663" s="16">
        <v>53.202</v>
      </c>
      <c r="G4663" s="16">
        <v>11.6649</v>
      </c>
      <c r="H4663" s="15"/>
      <c r="I4663" s="15"/>
    </row>
    <row r="4664">
      <c r="A4664" s="18">
        <v>45665.0</v>
      </c>
      <c r="B4664" s="16" t="s">
        <v>5482</v>
      </c>
      <c r="C4664" s="16" t="s">
        <v>978</v>
      </c>
      <c r="D4664" s="16" t="s">
        <v>707</v>
      </c>
      <c r="E4664" s="16">
        <v>2022.0</v>
      </c>
      <c r="F4664" s="16">
        <v>54.0627</v>
      </c>
      <c r="G4664" s="16">
        <v>12.1969</v>
      </c>
      <c r="H4664" s="15"/>
      <c r="I4664" s="15"/>
    </row>
    <row r="4665">
      <c r="A4665" s="18">
        <v>45665.0</v>
      </c>
      <c r="B4665" s="16" t="s">
        <v>5483</v>
      </c>
      <c r="C4665" s="16">
        <v>2.0</v>
      </c>
      <c r="D4665" s="16" t="s">
        <v>707</v>
      </c>
      <c r="E4665" s="16">
        <v>2022.0</v>
      </c>
      <c r="F4665" s="16">
        <v>48.9564</v>
      </c>
      <c r="G4665" s="16">
        <v>13.2013</v>
      </c>
      <c r="H4665" s="15"/>
      <c r="I4665" s="15"/>
    </row>
    <row r="4666">
      <c r="A4666" s="18">
        <v>45665.0</v>
      </c>
      <c r="B4666" s="16" t="s">
        <v>5484</v>
      </c>
      <c r="C4666" s="16" t="s">
        <v>1007</v>
      </c>
      <c r="D4666" s="16" t="s">
        <v>707</v>
      </c>
      <c r="E4666" s="16">
        <v>2022.0</v>
      </c>
      <c r="F4666" s="16">
        <v>52.611</v>
      </c>
      <c r="G4666" s="16">
        <v>11.1365</v>
      </c>
      <c r="H4666" s="15"/>
      <c r="I4666" s="15"/>
    </row>
    <row r="4667">
      <c r="A4667" s="18">
        <v>45665.0</v>
      </c>
      <c r="B4667" s="16" t="s">
        <v>5484</v>
      </c>
      <c r="C4667" s="16" t="s">
        <v>1393</v>
      </c>
      <c r="D4667" s="16" t="s">
        <v>707</v>
      </c>
      <c r="E4667" s="16">
        <v>2022.0</v>
      </c>
      <c r="F4667" s="16">
        <v>52.6167</v>
      </c>
      <c r="G4667" s="16">
        <v>11.1425</v>
      </c>
      <c r="H4667" s="15"/>
      <c r="I4667" s="15"/>
    </row>
    <row r="4668">
      <c r="A4668" s="18">
        <v>45665.0</v>
      </c>
      <c r="B4668" s="16" t="s">
        <v>5485</v>
      </c>
      <c r="C4668" s="16" t="s">
        <v>959</v>
      </c>
      <c r="D4668" s="16" t="s">
        <v>707</v>
      </c>
      <c r="E4668" s="16">
        <v>2022.0</v>
      </c>
      <c r="F4668" s="16">
        <v>50.6823</v>
      </c>
      <c r="G4668" s="16">
        <v>11.5081</v>
      </c>
      <c r="H4668" s="15"/>
      <c r="I4668" s="15"/>
    </row>
    <row r="4669">
      <c r="A4669" s="18">
        <v>45665.0</v>
      </c>
      <c r="B4669" s="16" t="s">
        <v>5486</v>
      </c>
      <c r="C4669" s="16" t="s">
        <v>951</v>
      </c>
      <c r="D4669" s="16" t="s">
        <v>707</v>
      </c>
      <c r="E4669" s="16">
        <v>2022.0</v>
      </c>
      <c r="F4669" s="16">
        <v>52.454</v>
      </c>
      <c r="G4669" s="16">
        <v>9.7316</v>
      </c>
      <c r="H4669" s="15"/>
      <c r="I4669" s="15"/>
    </row>
    <row r="4670">
      <c r="A4670" s="18">
        <v>45665.0</v>
      </c>
      <c r="B4670" s="16" t="s">
        <v>5487</v>
      </c>
      <c r="C4670" s="16">
        <v>2.0</v>
      </c>
      <c r="D4670" s="16" t="s">
        <v>707</v>
      </c>
      <c r="E4670" s="16">
        <v>2022.0</v>
      </c>
      <c r="F4670" s="16">
        <v>52.5812</v>
      </c>
      <c r="G4670" s="16">
        <v>11.9506</v>
      </c>
      <c r="H4670" s="15"/>
      <c r="I4670" s="15"/>
    </row>
    <row r="4671">
      <c r="A4671" s="18">
        <v>45665.0</v>
      </c>
      <c r="B4671" s="16" t="s">
        <v>5488</v>
      </c>
      <c r="C4671" s="16" t="s">
        <v>942</v>
      </c>
      <c r="D4671" s="16" t="s">
        <v>707</v>
      </c>
      <c r="E4671" s="16">
        <v>2022.0</v>
      </c>
      <c r="F4671" s="16">
        <v>52.5943</v>
      </c>
      <c r="G4671" s="16">
        <v>11.5348</v>
      </c>
      <c r="H4671" s="15"/>
      <c r="I4671" s="15"/>
    </row>
    <row r="4672">
      <c r="A4672" s="18">
        <v>45665.0</v>
      </c>
      <c r="B4672" s="16" t="s">
        <v>5489</v>
      </c>
      <c r="C4672" s="16" t="s">
        <v>1099</v>
      </c>
      <c r="D4672" s="16" t="s">
        <v>707</v>
      </c>
      <c r="E4672" s="16">
        <v>2022.0</v>
      </c>
      <c r="F4672" s="16">
        <v>52.0597</v>
      </c>
      <c r="G4672" s="16">
        <v>11.5641</v>
      </c>
      <c r="H4672" s="15"/>
      <c r="I4672" s="15"/>
    </row>
    <row r="4673">
      <c r="A4673" s="18">
        <v>45665.0</v>
      </c>
      <c r="B4673" s="16" t="s">
        <v>5489</v>
      </c>
      <c r="C4673" s="16" t="s">
        <v>1310</v>
      </c>
      <c r="D4673" s="16" t="s">
        <v>707</v>
      </c>
      <c r="E4673" s="16">
        <v>2022.0</v>
      </c>
      <c r="F4673" s="16">
        <v>52.0597</v>
      </c>
      <c r="G4673" s="16">
        <v>11.5641</v>
      </c>
      <c r="H4673" s="15"/>
      <c r="I4673" s="15"/>
    </row>
    <row r="4674">
      <c r="A4674" s="18">
        <v>45665.0</v>
      </c>
      <c r="B4674" s="16" t="s">
        <v>5490</v>
      </c>
      <c r="C4674" s="16">
        <v>3.0</v>
      </c>
      <c r="D4674" s="16" t="s">
        <v>707</v>
      </c>
      <c r="E4674" s="16">
        <v>2022.0</v>
      </c>
      <c r="F4674" s="16">
        <v>52.3119</v>
      </c>
      <c r="G4674" s="16">
        <v>10.0989</v>
      </c>
      <c r="H4674" s="15"/>
      <c r="I4674" s="15"/>
    </row>
    <row r="4675">
      <c r="A4675" s="18">
        <v>45665.0</v>
      </c>
      <c r="B4675" s="16" t="s">
        <v>5491</v>
      </c>
      <c r="C4675" s="16" t="s">
        <v>951</v>
      </c>
      <c r="D4675" s="16" t="s">
        <v>707</v>
      </c>
      <c r="E4675" s="16">
        <v>2022.0</v>
      </c>
      <c r="F4675" s="16">
        <v>49.0321</v>
      </c>
      <c r="G4675" s="16">
        <v>10.8407</v>
      </c>
      <c r="H4675" s="15"/>
      <c r="I4675" s="15"/>
    </row>
    <row r="4676">
      <c r="A4676" s="18">
        <v>45665.0</v>
      </c>
      <c r="B4676" s="16" t="s">
        <v>5491</v>
      </c>
      <c r="C4676" s="16" t="s">
        <v>1101</v>
      </c>
      <c r="D4676" s="16" t="s">
        <v>707</v>
      </c>
      <c r="E4676" s="16">
        <v>2022.0</v>
      </c>
      <c r="F4676" s="16">
        <v>49.0297</v>
      </c>
      <c r="G4676" s="16">
        <v>10.8423</v>
      </c>
      <c r="H4676" s="15"/>
      <c r="I4676" s="15"/>
    </row>
    <row r="4677">
      <c r="A4677" s="18">
        <v>45665.0</v>
      </c>
      <c r="B4677" s="16" t="s">
        <v>5491</v>
      </c>
      <c r="C4677" s="16" t="s">
        <v>1215</v>
      </c>
      <c r="D4677" s="16" t="s">
        <v>707</v>
      </c>
      <c r="E4677" s="16">
        <v>2022.0</v>
      </c>
      <c r="F4677" s="16">
        <v>49.0302</v>
      </c>
      <c r="G4677" s="16">
        <v>10.8399</v>
      </c>
      <c r="H4677" s="15"/>
      <c r="I4677" s="15"/>
    </row>
    <row r="4678">
      <c r="A4678" s="18">
        <v>45665.0</v>
      </c>
      <c r="B4678" s="16" t="s">
        <v>5491</v>
      </c>
      <c r="C4678" s="16">
        <v>4.0</v>
      </c>
      <c r="D4678" s="16" t="s">
        <v>707</v>
      </c>
      <c r="E4678" s="16">
        <v>2022.0</v>
      </c>
      <c r="F4678" s="16">
        <v>49.0293</v>
      </c>
      <c r="G4678" s="16">
        <v>10.8407</v>
      </c>
      <c r="H4678" s="15"/>
      <c r="I4678" s="15"/>
    </row>
    <row r="4679">
      <c r="A4679" s="18">
        <v>45665.0</v>
      </c>
      <c r="B4679" s="16" t="s">
        <v>5492</v>
      </c>
      <c r="C4679" s="16" t="s">
        <v>1085</v>
      </c>
      <c r="D4679" s="16" t="s">
        <v>707</v>
      </c>
      <c r="E4679" s="16">
        <v>2022.0</v>
      </c>
      <c r="F4679" s="16">
        <v>49.5828</v>
      </c>
      <c r="G4679" s="16">
        <v>12.4082</v>
      </c>
      <c r="H4679" s="15"/>
      <c r="I4679" s="15"/>
    </row>
    <row r="4680">
      <c r="A4680" s="18">
        <v>45665.0</v>
      </c>
      <c r="B4680" s="16" t="s">
        <v>5493</v>
      </c>
      <c r="C4680" s="16" t="s">
        <v>1609</v>
      </c>
      <c r="D4680" s="16" t="s">
        <v>707</v>
      </c>
      <c r="E4680" s="16">
        <v>2022.0</v>
      </c>
      <c r="F4680" s="16">
        <v>49.6558</v>
      </c>
      <c r="G4680" s="16">
        <v>8.9431</v>
      </c>
      <c r="H4680" s="15"/>
      <c r="I4680" s="15"/>
    </row>
    <row r="4681">
      <c r="A4681" s="18">
        <v>45665.0</v>
      </c>
      <c r="B4681" s="16" t="s">
        <v>5494</v>
      </c>
      <c r="C4681" s="16" t="s">
        <v>971</v>
      </c>
      <c r="D4681" s="16" t="s">
        <v>707</v>
      </c>
      <c r="E4681" s="16">
        <v>2022.0</v>
      </c>
      <c r="F4681" s="16">
        <v>51.4023</v>
      </c>
      <c r="G4681" s="16">
        <v>9.9184</v>
      </c>
      <c r="H4681" s="15"/>
      <c r="I4681" s="15"/>
    </row>
    <row r="4682">
      <c r="A4682" s="18">
        <v>45665.0</v>
      </c>
      <c r="B4682" s="16" t="s">
        <v>5495</v>
      </c>
      <c r="C4682" s="16">
        <v>4.0</v>
      </c>
      <c r="D4682" s="16" t="s">
        <v>707</v>
      </c>
      <c r="E4682" s="16">
        <v>2022.0</v>
      </c>
      <c r="F4682" s="16">
        <v>53.1173</v>
      </c>
      <c r="G4682" s="16">
        <v>11.746</v>
      </c>
      <c r="H4682" s="15"/>
      <c r="I4682" s="15"/>
    </row>
    <row r="4683">
      <c r="A4683" s="18">
        <v>45665.0</v>
      </c>
      <c r="B4683" s="16" t="s">
        <v>5496</v>
      </c>
      <c r="C4683" s="16">
        <v>3.0</v>
      </c>
      <c r="D4683" s="16" t="s">
        <v>707</v>
      </c>
      <c r="E4683" s="16">
        <v>2022.0</v>
      </c>
      <c r="F4683" s="16">
        <v>49.484</v>
      </c>
      <c r="G4683" s="16">
        <v>8.5871</v>
      </c>
      <c r="H4683" s="15"/>
      <c r="I4683" s="15"/>
    </row>
    <row r="4684">
      <c r="A4684" s="18">
        <v>45665.0</v>
      </c>
      <c r="B4684" s="16" t="s">
        <v>5497</v>
      </c>
      <c r="C4684" s="16" t="s">
        <v>3817</v>
      </c>
      <c r="D4684" s="16" t="s">
        <v>707</v>
      </c>
      <c r="E4684" s="16">
        <v>2022.0</v>
      </c>
      <c r="F4684" s="16">
        <v>51.4681</v>
      </c>
      <c r="G4684" s="16">
        <v>13.2794</v>
      </c>
      <c r="H4684" s="15"/>
      <c r="I4684" s="15"/>
    </row>
    <row r="4685">
      <c r="A4685" s="18">
        <v>45665.0</v>
      </c>
      <c r="B4685" s="16" t="s">
        <v>5498</v>
      </c>
      <c r="C4685" s="16">
        <v>3.0</v>
      </c>
      <c r="D4685" s="16" t="s">
        <v>707</v>
      </c>
      <c r="E4685" s="16">
        <v>2022.0</v>
      </c>
      <c r="F4685" s="16">
        <v>51.4681</v>
      </c>
      <c r="G4685" s="16">
        <v>13.2794</v>
      </c>
      <c r="H4685" s="15"/>
      <c r="I4685" s="15"/>
    </row>
    <row r="4686">
      <c r="A4686" s="18">
        <v>45665.0</v>
      </c>
      <c r="B4686" s="16" t="s">
        <v>5499</v>
      </c>
      <c r="C4686" s="16">
        <v>5.0</v>
      </c>
      <c r="D4686" s="16" t="s">
        <v>707</v>
      </c>
      <c r="E4686" s="16">
        <v>2022.0</v>
      </c>
      <c r="F4686" s="16">
        <v>51.4681</v>
      </c>
      <c r="G4686" s="16">
        <v>13.2794</v>
      </c>
      <c r="H4686" s="15"/>
      <c r="I4686" s="15"/>
    </row>
    <row r="4687">
      <c r="A4687" s="18">
        <v>45665.0</v>
      </c>
      <c r="B4687" s="16" t="s">
        <v>5500</v>
      </c>
      <c r="C4687" s="16" t="s">
        <v>1172</v>
      </c>
      <c r="D4687" s="16" t="s">
        <v>707</v>
      </c>
      <c r="E4687" s="16">
        <v>2022.0</v>
      </c>
      <c r="F4687" s="16">
        <v>50.7711</v>
      </c>
      <c r="G4687" s="16">
        <v>12.8661</v>
      </c>
      <c r="H4687" s="15"/>
      <c r="I4687" s="15"/>
    </row>
    <row r="4688">
      <c r="A4688" s="18">
        <v>45665.0</v>
      </c>
      <c r="B4688" s="16" t="s">
        <v>5501</v>
      </c>
      <c r="C4688" s="16" t="s">
        <v>1055</v>
      </c>
      <c r="D4688" s="16" t="s">
        <v>707</v>
      </c>
      <c r="E4688" s="16">
        <v>2022.0</v>
      </c>
      <c r="F4688" s="16">
        <v>53.0625</v>
      </c>
      <c r="G4688" s="16">
        <v>13.1298</v>
      </c>
      <c r="H4688" s="15"/>
      <c r="I4688" s="15"/>
    </row>
    <row r="4689">
      <c r="A4689" s="18">
        <v>45665.0</v>
      </c>
      <c r="B4689" s="16" t="s">
        <v>5502</v>
      </c>
      <c r="C4689" s="16">
        <v>10.0</v>
      </c>
      <c r="D4689" s="16" t="s">
        <v>707</v>
      </c>
      <c r="E4689" s="16">
        <v>2022.0</v>
      </c>
      <c r="F4689" s="16">
        <v>49.4266</v>
      </c>
      <c r="G4689" s="16">
        <v>7.1722</v>
      </c>
      <c r="H4689" s="15"/>
      <c r="I4689" s="15"/>
    </row>
    <row r="4690">
      <c r="A4690" s="18">
        <v>45665.0</v>
      </c>
      <c r="B4690" s="16" t="s">
        <v>5503</v>
      </c>
      <c r="C4690" s="16" t="s">
        <v>984</v>
      </c>
      <c r="D4690" s="16" t="s">
        <v>707</v>
      </c>
      <c r="E4690" s="16">
        <v>2022.0</v>
      </c>
      <c r="F4690" s="16">
        <v>49.4266</v>
      </c>
      <c r="G4690" s="16">
        <v>7.1722</v>
      </c>
      <c r="H4690" s="15"/>
      <c r="I4690" s="15"/>
    </row>
    <row r="4691">
      <c r="A4691" s="18">
        <v>45665.0</v>
      </c>
      <c r="B4691" s="16" t="s">
        <v>5504</v>
      </c>
      <c r="C4691" s="16" t="s">
        <v>951</v>
      </c>
      <c r="D4691" s="16" t="s">
        <v>707</v>
      </c>
      <c r="E4691" s="16">
        <v>2022.0</v>
      </c>
      <c r="F4691" s="16">
        <v>48.6914</v>
      </c>
      <c r="G4691" s="16">
        <v>13.2</v>
      </c>
      <c r="H4691" s="15"/>
      <c r="I4691" s="15"/>
    </row>
    <row r="4692">
      <c r="A4692" s="18">
        <v>45665.0</v>
      </c>
      <c r="B4692" s="16" t="s">
        <v>5505</v>
      </c>
      <c r="C4692" s="16">
        <v>1.0</v>
      </c>
      <c r="D4692" s="16" t="s">
        <v>707</v>
      </c>
      <c r="E4692" s="16">
        <v>2022.0</v>
      </c>
      <c r="F4692" s="16">
        <v>48.6918</v>
      </c>
      <c r="G4692" s="16">
        <v>13.2016</v>
      </c>
      <c r="H4692" s="15"/>
      <c r="I4692" s="15"/>
    </row>
    <row r="4693">
      <c r="A4693" s="18">
        <v>45665.0</v>
      </c>
      <c r="B4693" s="16" t="s">
        <v>5506</v>
      </c>
      <c r="C4693" s="16" t="s">
        <v>942</v>
      </c>
      <c r="D4693" s="16" t="s">
        <v>707</v>
      </c>
      <c r="E4693" s="16">
        <v>2022.0</v>
      </c>
      <c r="F4693" s="16">
        <v>48.5231</v>
      </c>
      <c r="G4693" s="16">
        <v>13.1032</v>
      </c>
      <c r="H4693" s="15"/>
      <c r="I4693" s="15"/>
    </row>
    <row r="4694">
      <c r="A4694" s="18">
        <v>45665.0</v>
      </c>
      <c r="B4694" s="16" t="s">
        <v>5507</v>
      </c>
      <c r="C4694" s="16">
        <v>1.0</v>
      </c>
      <c r="D4694" s="16" t="s">
        <v>707</v>
      </c>
      <c r="E4694" s="16">
        <v>2022.0</v>
      </c>
      <c r="F4694" s="16">
        <v>50.0192</v>
      </c>
      <c r="G4694" s="16">
        <v>6.6165</v>
      </c>
      <c r="H4694" s="15"/>
      <c r="I4694" s="15"/>
    </row>
    <row r="4695">
      <c r="A4695" s="18">
        <v>45665.0</v>
      </c>
      <c r="B4695" s="16" t="s">
        <v>5508</v>
      </c>
      <c r="C4695" s="16">
        <v>2.0</v>
      </c>
      <c r="D4695" s="16" t="s">
        <v>707</v>
      </c>
      <c r="E4695" s="16">
        <v>2022.0</v>
      </c>
      <c r="F4695" s="16">
        <v>50.0192</v>
      </c>
      <c r="G4695" s="16">
        <v>6.6165</v>
      </c>
      <c r="H4695" s="15"/>
      <c r="I4695" s="15"/>
    </row>
    <row r="4696">
      <c r="A4696" s="18">
        <v>45665.0</v>
      </c>
      <c r="B4696" s="16" t="s">
        <v>5509</v>
      </c>
      <c r="C4696" s="16" t="s">
        <v>1609</v>
      </c>
      <c r="D4696" s="16" t="s">
        <v>707</v>
      </c>
      <c r="E4696" s="16">
        <v>2022.0</v>
      </c>
      <c r="F4696" s="16">
        <v>50.0189</v>
      </c>
      <c r="G4696" s="16">
        <v>6.6155</v>
      </c>
      <c r="H4696" s="15"/>
      <c r="I4696" s="15"/>
    </row>
    <row r="4697">
      <c r="A4697" s="18">
        <v>45665.0</v>
      </c>
      <c r="B4697" s="16" t="s">
        <v>5510</v>
      </c>
      <c r="C4697" s="16">
        <v>1.0</v>
      </c>
      <c r="D4697" s="16" t="s">
        <v>707</v>
      </c>
      <c r="E4697" s="16">
        <v>2022.0</v>
      </c>
      <c r="F4697" s="16">
        <v>52.2717</v>
      </c>
      <c r="G4697" s="16">
        <v>8.1076</v>
      </c>
      <c r="H4697" s="15"/>
      <c r="I4697" s="15"/>
    </row>
    <row r="4698">
      <c r="A4698" s="18">
        <v>45665.0</v>
      </c>
      <c r="B4698" s="16" t="s">
        <v>5511</v>
      </c>
      <c r="C4698" s="16" t="s">
        <v>3505</v>
      </c>
      <c r="D4698" s="16" t="s">
        <v>707</v>
      </c>
      <c r="E4698" s="16">
        <v>2022.0</v>
      </c>
      <c r="F4698" s="16">
        <v>49.3931</v>
      </c>
      <c r="G4698" s="16">
        <v>7.1896</v>
      </c>
      <c r="H4698" s="15"/>
      <c r="I4698" s="15"/>
    </row>
    <row r="4699">
      <c r="A4699" s="18">
        <v>45665.0</v>
      </c>
      <c r="B4699" s="16" t="s">
        <v>5512</v>
      </c>
      <c r="C4699" s="16" t="s">
        <v>1277</v>
      </c>
      <c r="D4699" s="16" t="s">
        <v>707</v>
      </c>
      <c r="E4699" s="16">
        <v>2022.0</v>
      </c>
      <c r="F4699" s="16">
        <v>48.0149</v>
      </c>
      <c r="G4699" s="16">
        <v>8.3936</v>
      </c>
      <c r="H4699" s="15"/>
      <c r="I4699" s="15"/>
    </row>
    <row r="4700">
      <c r="A4700" s="18">
        <v>45665.0</v>
      </c>
      <c r="B4700" s="16" t="s">
        <v>5513</v>
      </c>
      <c r="C4700" s="16" t="s">
        <v>1090</v>
      </c>
      <c r="D4700" s="16" t="s">
        <v>707</v>
      </c>
      <c r="E4700" s="16">
        <v>2022.0</v>
      </c>
      <c r="F4700" s="16">
        <v>48.6807</v>
      </c>
      <c r="G4700" s="16">
        <v>12.6126</v>
      </c>
      <c r="H4700" s="15"/>
      <c r="I4700" s="15"/>
    </row>
    <row r="4701">
      <c r="A4701" s="18">
        <v>45665.0</v>
      </c>
      <c r="B4701" s="16" t="s">
        <v>5514</v>
      </c>
      <c r="C4701" s="16" t="s">
        <v>1282</v>
      </c>
      <c r="D4701" s="16" t="s">
        <v>707</v>
      </c>
      <c r="E4701" s="16">
        <v>2022.0</v>
      </c>
      <c r="F4701" s="16">
        <v>49.1842</v>
      </c>
      <c r="G4701" s="16">
        <v>7.5992</v>
      </c>
      <c r="H4701" s="15"/>
      <c r="I4701" s="15"/>
    </row>
    <row r="4702">
      <c r="A4702" s="18">
        <v>45665.0</v>
      </c>
      <c r="B4702" s="16" t="s">
        <v>5515</v>
      </c>
      <c r="C4702" s="16">
        <v>1.0</v>
      </c>
      <c r="D4702" s="16" t="s">
        <v>707</v>
      </c>
      <c r="E4702" s="16">
        <v>2022.0</v>
      </c>
      <c r="F4702" s="16">
        <v>51.1362</v>
      </c>
      <c r="G4702" s="16">
        <v>13.9446</v>
      </c>
      <c r="H4702" s="15"/>
      <c r="I4702" s="15"/>
    </row>
    <row r="4703">
      <c r="A4703" s="18">
        <v>45665.0</v>
      </c>
      <c r="B4703" s="16" t="s">
        <v>5516</v>
      </c>
      <c r="C4703" s="16" t="s">
        <v>948</v>
      </c>
      <c r="D4703" s="16" t="s">
        <v>707</v>
      </c>
      <c r="E4703" s="16">
        <v>2022.0</v>
      </c>
      <c r="F4703" s="16">
        <v>51.1362</v>
      </c>
      <c r="G4703" s="16">
        <v>13.9446</v>
      </c>
      <c r="H4703" s="15"/>
      <c r="I4703" s="15"/>
    </row>
    <row r="4704">
      <c r="A4704" s="18">
        <v>45665.0</v>
      </c>
      <c r="B4704" s="16" t="s">
        <v>5517</v>
      </c>
      <c r="C4704" s="16">
        <v>2.0</v>
      </c>
      <c r="D4704" s="16" t="s">
        <v>707</v>
      </c>
      <c r="E4704" s="16">
        <v>2022.0</v>
      </c>
      <c r="F4704" s="16">
        <v>54.0952</v>
      </c>
      <c r="G4704" s="16">
        <v>11.8927</v>
      </c>
      <c r="H4704" s="15"/>
      <c r="I4704" s="15"/>
    </row>
    <row r="4705">
      <c r="A4705" s="18">
        <v>45665.0</v>
      </c>
      <c r="B4705" s="16" t="s">
        <v>5518</v>
      </c>
      <c r="C4705" s="16" t="s">
        <v>969</v>
      </c>
      <c r="D4705" s="16" t="s">
        <v>707</v>
      </c>
      <c r="E4705" s="16">
        <v>2022.0</v>
      </c>
      <c r="F4705" s="16">
        <v>50.921</v>
      </c>
      <c r="G4705" s="16">
        <v>6.8237</v>
      </c>
      <c r="H4705" s="15"/>
      <c r="I4705" s="15"/>
    </row>
    <row r="4706">
      <c r="A4706" s="18">
        <v>45665.0</v>
      </c>
      <c r="B4706" s="16" t="s">
        <v>5519</v>
      </c>
      <c r="C4706" s="16">
        <v>10.0</v>
      </c>
      <c r="D4706" s="16" t="s">
        <v>707</v>
      </c>
      <c r="E4706" s="16">
        <v>2022.0</v>
      </c>
      <c r="F4706" s="16">
        <v>49.0464</v>
      </c>
      <c r="G4706" s="16">
        <v>10.5454</v>
      </c>
      <c r="H4706" s="15"/>
      <c r="I4706" s="15"/>
    </row>
    <row r="4707">
      <c r="A4707" s="18">
        <v>45665.0</v>
      </c>
      <c r="B4707" s="16" t="s">
        <v>5520</v>
      </c>
      <c r="C4707" s="16" t="s">
        <v>1051</v>
      </c>
      <c r="D4707" s="16" t="s">
        <v>707</v>
      </c>
      <c r="E4707" s="16">
        <v>2022.0</v>
      </c>
      <c r="F4707" s="16">
        <v>49.0464</v>
      </c>
      <c r="G4707" s="16">
        <v>10.5469</v>
      </c>
      <c r="H4707" s="15"/>
      <c r="I4707" s="15"/>
    </row>
    <row r="4708">
      <c r="A4708" s="18">
        <v>45665.0</v>
      </c>
      <c r="B4708" s="16" t="s">
        <v>5521</v>
      </c>
      <c r="C4708" s="16" t="s">
        <v>1215</v>
      </c>
      <c r="D4708" s="16" t="s">
        <v>707</v>
      </c>
      <c r="E4708" s="16">
        <v>2022.0</v>
      </c>
      <c r="F4708" s="16">
        <v>51.3775</v>
      </c>
      <c r="G4708" s="16">
        <v>9.931</v>
      </c>
      <c r="H4708" s="15"/>
      <c r="I4708" s="15"/>
    </row>
    <row r="4709">
      <c r="A4709" s="18">
        <v>45665.0</v>
      </c>
      <c r="B4709" s="16" t="s">
        <v>5522</v>
      </c>
      <c r="C4709" s="16" t="s">
        <v>1055</v>
      </c>
      <c r="D4709" s="16" t="s">
        <v>707</v>
      </c>
      <c r="E4709" s="16">
        <v>2022.0</v>
      </c>
      <c r="F4709" s="16">
        <v>52.1684</v>
      </c>
      <c r="G4709" s="16">
        <v>14.3321</v>
      </c>
      <c r="H4709" s="15"/>
      <c r="I4709" s="15"/>
    </row>
    <row r="4710">
      <c r="A4710" s="18">
        <v>45665.0</v>
      </c>
      <c r="B4710" s="16" t="s">
        <v>5523</v>
      </c>
      <c r="C4710" s="16" t="s">
        <v>959</v>
      </c>
      <c r="D4710" s="16" t="s">
        <v>707</v>
      </c>
      <c r="E4710" s="16">
        <v>2022.0</v>
      </c>
      <c r="F4710" s="16">
        <v>53.1259</v>
      </c>
      <c r="G4710" s="16">
        <v>10.1229</v>
      </c>
      <c r="H4710" s="15"/>
      <c r="I4710" s="15"/>
    </row>
    <row r="4711">
      <c r="A4711" s="18">
        <v>45665.0</v>
      </c>
      <c r="B4711" s="16" t="s">
        <v>5524</v>
      </c>
      <c r="C4711" s="16" t="s">
        <v>1007</v>
      </c>
      <c r="D4711" s="16" t="s">
        <v>707</v>
      </c>
      <c r="E4711" s="16">
        <v>2022.0</v>
      </c>
      <c r="F4711" s="16">
        <v>49.851</v>
      </c>
      <c r="G4711" s="16">
        <v>7.554</v>
      </c>
      <c r="H4711" s="15"/>
      <c r="I4711" s="15"/>
    </row>
    <row r="4712">
      <c r="A4712" s="18">
        <v>45665.0</v>
      </c>
      <c r="B4712" s="16" t="s">
        <v>5525</v>
      </c>
      <c r="C4712" s="16" t="s">
        <v>5526</v>
      </c>
      <c r="D4712" s="16" t="s">
        <v>707</v>
      </c>
      <c r="E4712" s="16">
        <v>2022.0</v>
      </c>
      <c r="F4712" s="16">
        <v>51.7042</v>
      </c>
      <c r="G4712" s="16">
        <v>14.4828</v>
      </c>
      <c r="H4712" s="15"/>
      <c r="I4712" s="15"/>
    </row>
    <row r="4713">
      <c r="A4713" s="18">
        <v>45665.0</v>
      </c>
      <c r="B4713" s="16" t="s">
        <v>5527</v>
      </c>
      <c r="C4713" s="16" t="s">
        <v>946</v>
      </c>
      <c r="D4713" s="16" t="s">
        <v>707</v>
      </c>
      <c r="E4713" s="16">
        <v>2022.0</v>
      </c>
      <c r="F4713" s="16">
        <v>51.9786</v>
      </c>
      <c r="G4713" s="16">
        <v>13.7587</v>
      </c>
      <c r="H4713" s="15"/>
      <c r="I4713" s="15"/>
    </row>
    <row r="4714">
      <c r="A4714" s="18">
        <v>45665.0</v>
      </c>
      <c r="B4714" s="16" t="s">
        <v>5528</v>
      </c>
      <c r="C4714" s="16">
        <v>2.0</v>
      </c>
      <c r="D4714" s="16" t="s">
        <v>707</v>
      </c>
      <c r="E4714" s="16">
        <v>2022.0</v>
      </c>
      <c r="F4714" s="16">
        <v>50.2283</v>
      </c>
      <c r="G4714" s="16">
        <v>10.3516</v>
      </c>
      <c r="H4714" s="15"/>
      <c r="I4714" s="15"/>
    </row>
    <row r="4715">
      <c r="A4715" s="18">
        <v>45665.0</v>
      </c>
      <c r="B4715" s="16" t="s">
        <v>5529</v>
      </c>
      <c r="C4715" s="16" t="s">
        <v>1720</v>
      </c>
      <c r="D4715" s="16" t="s">
        <v>707</v>
      </c>
      <c r="E4715" s="16">
        <v>2022.0</v>
      </c>
      <c r="F4715" s="16">
        <v>50.2283</v>
      </c>
      <c r="G4715" s="16">
        <v>10.3516</v>
      </c>
      <c r="H4715" s="15"/>
      <c r="I4715" s="15"/>
    </row>
    <row r="4716">
      <c r="A4716" s="18">
        <v>45665.0</v>
      </c>
      <c r="B4716" s="16" t="s">
        <v>5530</v>
      </c>
      <c r="C4716" s="16" t="s">
        <v>948</v>
      </c>
      <c r="D4716" s="16" t="s">
        <v>707</v>
      </c>
      <c r="E4716" s="16">
        <v>2022.0</v>
      </c>
      <c r="F4716" s="16">
        <v>50.7963</v>
      </c>
      <c r="G4716" s="16">
        <v>10.3927</v>
      </c>
      <c r="H4716" s="15"/>
      <c r="I4716" s="15"/>
    </row>
    <row r="4717">
      <c r="A4717" s="18">
        <v>45665.0</v>
      </c>
      <c r="B4717" s="16" t="s">
        <v>5531</v>
      </c>
      <c r="C4717" s="16" t="s">
        <v>1167</v>
      </c>
      <c r="D4717" s="16" t="s">
        <v>707</v>
      </c>
      <c r="E4717" s="16">
        <v>2022.0</v>
      </c>
      <c r="F4717" s="16">
        <v>49.5962</v>
      </c>
      <c r="G4717" s="16">
        <v>11.9404</v>
      </c>
      <c r="H4717" s="15"/>
      <c r="I4717" s="15"/>
    </row>
    <row r="4718">
      <c r="A4718" s="18">
        <v>45665.0</v>
      </c>
      <c r="B4718" s="16" t="s">
        <v>5532</v>
      </c>
      <c r="C4718" s="16" t="s">
        <v>1055</v>
      </c>
      <c r="D4718" s="16" t="s">
        <v>707</v>
      </c>
      <c r="E4718" s="16">
        <v>2022.0</v>
      </c>
      <c r="F4718" s="16">
        <v>49.7214</v>
      </c>
      <c r="G4718" s="16">
        <v>8.0791</v>
      </c>
      <c r="H4718" s="15"/>
      <c r="I4718" s="15"/>
    </row>
    <row r="4719">
      <c r="A4719" s="18">
        <v>45665.0</v>
      </c>
      <c r="B4719" s="16" t="s">
        <v>5533</v>
      </c>
      <c r="C4719" s="16" t="s">
        <v>1384</v>
      </c>
      <c r="D4719" s="16" t="s">
        <v>707</v>
      </c>
      <c r="E4719" s="16">
        <v>2022.0</v>
      </c>
      <c r="F4719" s="16">
        <v>49.551</v>
      </c>
      <c r="G4719" s="16">
        <v>7.134</v>
      </c>
      <c r="H4719" s="15"/>
      <c r="I4719" s="15"/>
    </row>
    <row r="4720">
      <c r="A4720" s="18">
        <v>45665.0</v>
      </c>
      <c r="B4720" s="16" t="s">
        <v>5534</v>
      </c>
      <c r="C4720" s="16" t="s">
        <v>1046</v>
      </c>
      <c r="D4720" s="16" t="s">
        <v>707</v>
      </c>
      <c r="E4720" s="16">
        <v>2022.0</v>
      </c>
      <c r="F4720" s="16">
        <v>52.8447</v>
      </c>
      <c r="G4720" s="16">
        <v>9.5618</v>
      </c>
      <c r="H4720" s="15"/>
      <c r="I4720" s="15"/>
    </row>
    <row r="4721">
      <c r="A4721" s="18">
        <v>45665.0</v>
      </c>
      <c r="B4721" s="16" t="s">
        <v>5535</v>
      </c>
      <c r="C4721" s="16">
        <v>1.0</v>
      </c>
      <c r="D4721" s="16" t="s">
        <v>707</v>
      </c>
      <c r="E4721" s="16">
        <v>2022.0</v>
      </c>
      <c r="F4721" s="16">
        <v>51.6632</v>
      </c>
      <c r="G4721" s="16">
        <v>12.9239</v>
      </c>
      <c r="H4721" s="15"/>
      <c r="I4721" s="15"/>
    </row>
    <row r="4722">
      <c r="A4722" s="18">
        <v>45665.0</v>
      </c>
      <c r="B4722" s="16" t="s">
        <v>5536</v>
      </c>
      <c r="C4722" s="16" t="s">
        <v>1007</v>
      </c>
      <c r="D4722" s="16" t="s">
        <v>707</v>
      </c>
      <c r="E4722" s="16">
        <v>2022.0</v>
      </c>
      <c r="F4722" s="16">
        <v>51.6591</v>
      </c>
      <c r="G4722" s="16">
        <v>7.6089</v>
      </c>
      <c r="H4722" s="15"/>
      <c r="I4722" s="15"/>
    </row>
    <row r="4723">
      <c r="A4723" s="18">
        <v>45665.0</v>
      </c>
      <c r="B4723" s="16" t="s">
        <v>5537</v>
      </c>
      <c r="C4723" s="16" t="s">
        <v>1007</v>
      </c>
      <c r="D4723" s="16" t="s">
        <v>707</v>
      </c>
      <c r="E4723" s="16">
        <v>2022.0</v>
      </c>
      <c r="F4723" s="16">
        <v>51.6591</v>
      </c>
      <c r="G4723" s="16">
        <v>7.6089</v>
      </c>
      <c r="H4723" s="15"/>
      <c r="I4723" s="15"/>
    </row>
    <row r="4724">
      <c r="A4724" s="18">
        <v>45665.0</v>
      </c>
      <c r="B4724" s="16" t="s">
        <v>5538</v>
      </c>
      <c r="C4724" s="16" t="s">
        <v>1055</v>
      </c>
      <c r="D4724" s="16" t="s">
        <v>707</v>
      </c>
      <c r="E4724" s="16">
        <v>2022.0</v>
      </c>
      <c r="F4724" s="16">
        <v>50.9347</v>
      </c>
      <c r="G4724" s="16">
        <v>9.9299</v>
      </c>
      <c r="H4724" s="15"/>
      <c r="I4724" s="15"/>
    </row>
    <row r="4725">
      <c r="A4725" s="18">
        <v>45665.0</v>
      </c>
      <c r="B4725" s="16" t="s">
        <v>5539</v>
      </c>
      <c r="C4725" s="16" t="s">
        <v>1055</v>
      </c>
      <c r="D4725" s="16" t="s">
        <v>707</v>
      </c>
      <c r="E4725" s="16">
        <v>2022.0</v>
      </c>
      <c r="F4725" s="16">
        <v>52.7753</v>
      </c>
      <c r="G4725" s="16">
        <v>12.0623</v>
      </c>
      <c r="H4725" s="15"/>
      <c r="I4725" s="15"/>
    </row>
    <row r="4726">
      <c r="A4726" s="18">
        <v>45665.0</v>
      </c>
      <c r="B4726" s="16" t="s">
        <v>5540</v>
      </c>
      <c r="C4726" s="16">
        <v>1.0</v>
      </c>
      <c r="D4726" s="16" t="s">
        <v>707</v>
      </c>
      <c r="E4726" s="16">
        <v>2022.0</v>
      </c>
      <c r="F4726" s="16">
        <v>49.1383</v>
      </c>
      <c r="G4726" s="16">
        <v>12.1385</v>
      </c>
      <c r="H4726" s="15"/>
      <c r="I4726" s="15"/>
    </row>
    <row r="4727">
      <c r="A4727" s="18">
        <v>45665.0</v>
      </c>
      <c r="B4727" s="16" t="s">
        <v>5050</v>
      </c>
      <c r="C4727" s="16">
        <v>3.0</v>
      </c>
      <c r="D4727" s="16" t="s">
        <v>707</v>
      </c>
      <c r="E4727" s="16">
        <v>2022.0</v>
      </c>
      <c r="F4727" s="16">
        <v>53.5112</v>
      </c>
      <c r="G4727" s="16">
        <v>12.0679</v>
      </c>
      <c r="H4727" s="15"/>
      <c r="I4727" s="15"/>
    </row>
    <row r="4728">
      <c r="A4728" s="18">
        <v>45665.0</v>
      </c>
      <c r="B4728" s="16" t="s">
        <v>5050</v>
      </c>
      <c r="C4728" s="16">
        <v>4.0</v>
      </c>
      <c r="D4728" s="16" t="s">
        <v>707</v>
      </c>
      <c r="E4728" s="16">
        <v>2022.0</v>
      </c>
      <c r="F4728" s="16">
        <v>53.5094</v>
      </c>
      <c r="G4728" s="16">
        <v>12.0579</v>
      </c>
      <c r="H4728" s="15"/>
      <c r="I4728" s="15"/>
    </row>
    <row r="4729">
      <c r="A4729" s="18">
        <v>45665.0</v>
      </c>
      <c r="B4729" s="16" t="s">
        <v>5541</v>
      </c>
      <c r="C4729" s="16" t="s">
        <v>1873</v>
      </c>
      <c r="D4729" s="16" t="s">
        <v>707</v>
      </c>
      <c r="E4729" s="16">
        <v>2022.0</v>
      </c>
      <c r="F4729" s="16">
        <v>54.1454</v>
      </c>
      <c r="G4729" s="16">
        <v>13.771</v>
      </c>
      <c r="H4729" s="15"/>
      <c r="I4729" s="15"/>
    </row>
    <row r="4730">
      <c r="A4730" s="18">
        <v>45665.0</v>
      </c>
      <c r="B4730" s="16" t="s">
        <v>5542</v>
      </c>
      <c r="C4730" s="16" t="s">
        <v>1085</v>
      </c>
      <c r="D4730" s="16" t="s">
        <v>707</v>
      </c>
      <c r="E4730" s="16">
        <v>2022.0</v>
      </c>
      <c r="F4730" s="16">
        <v>50.5623</v>
      </c>
      <c r="G4730" s="16">
        <v>12.4158</v>
      </c>
      <c r="H4730" s="15"/>
      <c r="I4730" s="15"/>
    </row>
    <row r="4731">
      <c r="A4731" s="18">
        <v>45665.0</v>
      </c>
      <c r="B4731" s="16" t="s">
        <v>5543</v>
      </c>
      <c r="C4731" s="16" t="s">
        <v>1011</v>
      </c>
      <c r="D4731" s="16" t="s">
        <v>707</v>
      </c>
      <c r="E4731" s="16">
        <v>2022.0</v>
      </c>
      <c r="F4731" s="16">
        <v>49.6304</v>
      </c>
      <c r="G4731" s="16">
        <v>8.2313</v>
      </c>
      <c r="H4731" s="15"/>
      <c r="I4731" s="15"/>
    </row>
    <row r="4732">
      <c r="A4732" s="18">
        <v>45665.0</v>
      </c>
      <c r="B4732" s="16" t="s">
        <v>5544</v>
      </c>
      <c r="C4732" s="16">
        <v>1.0</v>
      </c>
      <c r="D4732" s="16" t="s">
        <v>707</v>
      </c>
      <c r="E4732" s="16">
        <v>2022.0</v>
      </c>
      <c r="F4732" s="16">
        <v>49.6301</v>
      </c>
      <c r="G4732" s="16">
        <v>8.232</v>
      </c>
      <c r="H4732" s="15"/>
      <c r="I4732" s="15"/>
    </row>
    <row r="4733">
      <c r="A4733" s="18">
        <v>45665.0</v>
      </c>
      <c r="B4733" s="16" t="s">
        <v>5545</v>
      </c>
      <c r="C4733" s="16" t="s">
        <v>948</v>
      </c>
      <c r="D4733" s="16" t="s">
        <v>707</v>
      </c>
      <c r="E4733" s="16">
        <v>2022.0</v>
      </c>
      <c r="F4733" s="16">
        <v>49.1279</v>
      </c>
      <c r="G4733" s="16">
        <v>10.0338</v>
      </c>
      <c r="H4733" s="15"/>
      <c r="I4733" s="15"/>
    </row>
    <row r="4734">
      <c r="A4734" s="18">
        <v>45665.0</v>
      </c>
      <c r="B4734" s="16" t="s">
        <v>5546</v>
      </c>
      <c r="C4734" s="16" t="s">
        <v>969</v>
      </c>
      <c r="D4734" s="16" t="s">
        <v>707</v>
      </c>
      <c r="E4734" s="16">
        <v>2022.0</v>
      </c>
      <c r="F4734" s="16">
        <v>51.9221</v>
      </c>
      <c r="G4734" s="16">
        <v>10.3109</v>
      </c>
      <c r="H4734" s="15"/>
      <c r="I4734" s="15"/>
    </row>
    <row r="4735">
      <c r="A4735" s="18">
        <v>45665.0</v>
      </c>
      <c r="B4735" s="16" t="s">
        <v>5547</v>
      </c>
      <c r="C4735" s="16" t="s">
        <v>3817</v>
      </c>
      <c r="D4735" s="16" t="s">
        <v>707</v>
      </c>
      <c r="E4735" s="16">
        <v>2022.0</v>
      </c>
      <c r="F4735" s="16">
        <v>53.9603</v>
      </c>
      <c r="G4735" s="16">
        <v>9.7699</v>
      </c>
      <c r="H4735" s="15"/>
      <c r="I4735" s="15"/>
    </row>
    <row r="4736">
      <c r="A4736" s="18">
        <v>45665.0</v>
      </c>
      <c r="B4736" s="16" t="s">
        <v>5548</v>
      </c>
      <c r="C4736" s="16" t="s">
        <v>1034</v>
      </c>
      <c r="D4736" s="16" t="s">
        <v>707</v>
      </c>
      <c r="E4736" s="16">
        <v>2022.0</v>
      </c>
      <c r="F4736" s="16">
        <v>53.9545</v>
      </c>
      <c r="G4736" s="16">
        <v>9.765</v>
      </c>
      <c r="H4736" s="15"/>
      <c r="I4736" s="15"/>
    </row>
    <row r="4737">
      <c r="A4737" s="18">
        <v>45665.0</v>
      </c>
      <c r="B4737" s="16" t="s">
        <v>5549</v>
      </c>
      <c r="C4737" s="16" t="s">
        <v>4358</v>
      </c>
      <c r="D4737" s="16" t="s">
        <v>707</v>
      </c>
      <c r="E4737" s="16">
        <v>2022.0</v>
      </c>
      <c r="F4737" s="16">
        <v>47.9013</v>
      </c>
      <c r="G4737" s="16">
        <v>12.0686</v>
      </c>
      <c r="H4737" s="15"/>
      <c r="I4737" s="15"/>
    </row>
    <row r="4738">
      <c r="A4738" s="18">
        <v>45665.0</v>
      </c>
      <c r="B4738" s="16" t="s">
        <v>5550</v>
      </c>
      <c r="C4738" s="16" t="s">
        <v>1059</v>
      </c>
      <c r="D4738" s="16" t="s">
        <v>707</v>
      </c>
      <c r="E4738" s="16">
        <v>2022.0</v>
      </c>
      <c r="F4738" s="16">
        <v>51.4411</v>
      </c>
      <c r="G4738" s="16">
        <v>12.3825</v>
      </c>
      <c r="H4738" s="15"/>
      <c r="I4738" s="15"/>
    </row>
    <row r="4739">
      <c r="A4739" s="18">
        <v>45665.0</v>
      </c>
      <c r="B4739" s="16" t="s">
        <v>5551</v>
      </c>
      <c r="C4739" s="16" t="s">
        <v>1149</v>
      </c>
      <c r="D4739" s="16" t="s">
        <v>707</v>
      </c>
      <c r="E4739" s="16">
        <v>2022.0</v>
      </c>
      <c r="F4739" s="16">
        <v>51.4419</v>
      </c>
      <c r="G4739" s="16">
        <v>12.3858</v>
      </c>
      <c r="H4739" s="15"/>
      <c r="I4739" s="15"/>
    </row>
    <row r="4740">
      <c r="A4740" s="18">
        <v>45665.0</v>
      </c>
      <c r="B4740" s="16" t="s">
        <v>5552</v>
      </c>
      <c r="C4740" s="16" t="s">
        <v>1475</v>
      </c>
      <c r="D4740" s="16" t="s">
        <v>707</v>
      </c>
      <c r="E4740" s="16">
        <v>2022.0</v>
      </c>
      <c r="F4740" s="16">
        <v>51.5358</v>
      </c>
      <c r="G4740" s="16">
        <v>6.5883</v>
      </c>
      <c r="H4740" s="15"/>
      <c r="I4740" s="15"/>
    </row>
    <row r="4741">
      <c r="A4741" s="18">
        <v>45665.0</v>
      </c>
      <c r="B4741" s="16" t="s">
        <v>5553</v>
      </c>
      <c r="C4741" s="16">
        <v>2.0</v>
      </c>
      <c r="D4741" s="16" t="s">
        <v>707</v>
      </c>
      <c r="E4741" s="16">
        <v>2022.0</v>
      </c>
      <c r="F4741" s="16">
        <v>51.3247</v>
      </c>
      <c r="G4741" s="16">
        <v>13.2781</v>
      </c>
      <c r="H4741" s="15"/>
      <c r="I4741" s="15"/>
    </row>
    <row r="4742">
      <c r="A4742" s="18">
        <v>45665.0</v>
      </c>
      <c r="B4742" s="16" t="s">
        <v>5554</v>
      </c>
      <c r="C4742" s="16" t="s">
        <v>971</v>
      </c>
      <c r="D4742" s="16" t="s">
        <v>707</v>
      </c>
      <c r="E4742" s="16">
        <v>2022.0</v>
      </c>
      <c r="F4742" s="16">
        <v>49.649</v>
      </c>
      <c r="G4742" s="16">
        <v>10.1434</v>
      </c>
      <c r="H4742" s="15"/>
      <c r="I4742" s="15"/>
    </row>
    <row r="4743">
      <c r="A4743" s="18">
        <v>45665.0</v>
      </c>
      <c r="B4743" s="16" t="s">
        <v>5555</v>
      </c>
      <c r="C4743" s="16" t="s">
        <v>1277</v>
      </c>
      <c r="D4743" s="16" t="s">
        <v>707</v>
      </c>
      <c r="E4743" s="16">
        <v>2022.0</v>
      </c>
      <c r="F4743" s="16">
        <v>49.6488</v>
      </c>
      <c r="G4743" s="16">
        <v>10.1378</v>
      </c>
      <c r="H4743" s="15"/>
      <c r="I4743" s="15"/>
    </row>
    <row r="4744">
      <c r="A4744" s="18">
        <v>45665.0</v>
      </c>
      <c r="B4744" s="16" t="s">
        <v>5556</v>
      </c>
      <c r="C4744" s="16" t="s">
        <v>1007</v>
      </c>
      <c r="D4744" s="16" t="s">
        <v>707</v>
      </c>
      <c r="E4744" s="16">
        <v>2022.0</v>
      </c>
      <c r="F4744" s="16">
        <v>48.1567</v>
      </c>
      <c r="G4744" s="16">
        <v>10.3331</v>
      </c>
      <c r="H4744" s="15"/>
      <c r="I4744" s="15"/>
    </row>
    <row r="4745">
      <c r="A4745" s="18">
        <v>45665.0</v>
      </c>
      <c r="B4745" s="16" t="s">
        <v>5557</v>
      </c>
      <c r="C4745" s="16" t="s">
        <v>5558</v>
      </c>
      <c r="D4745" s="16" t="s">
        <v>707</v>
      </c>
      <c r="E4745" s="16">
        <v>2022.0</v>
      </c>
      <c r="F4745" s="16">
        <v>48.1</v>
      </c>
      <c r="G4745" s="16">
        <v>11.3347</v>
      </c>
      <c r="H4745" s="15"/>
      <c r="I4745" s="15"/>
    </row>
    <row r="4746">
      <c r="A4746" s="18">
        <v>45665.0</v>
      </c>
      <c r="B4746" s="16" t="s">
        <v>5559</v>
      </c>
      <c r="C4746" s="16">
        <v>2.0</v>
      </c>
      <c r="D4746" s="16" t="s">
        <v>707</v>
      </c>
      <c r="E4746" s="16">
        <v>2022.0</v>
      </c>
      <c r="F4746" s="16">
        <v>51.2976</v>
      </c>
      <c r="G4746" s="16">
        <v>11.5943</v>
      </c>
      <c r="H4746" s="15"/>
      <c r="I4746" s="15"/>
    </row>
    <row r="4747">
      <c r="A4747" s="18">
        <v>45665.0</v>
      </c>
      <c r="B4747" s="16" t="s">
        <v>5560</v>
      </c>
      <c r="C4747" s="16" t="s">
        <v>951</v>
      </c>
      <c r="D4747" s="16" t="s">
        <v>707</v>
      </c>
      <c r="E4747" s="16">
        <v>2022.0</v>
      </c>
      <c r="F4747" s="16">
        <v>51.2976</v>
      </c>
      <c r="G4747" s="16">
        <v>11.5943</v>
      </c>
      <c r="H4747" s="15"/>
      <c r="I4747" s="15"/>
    </row>
    <row r="4748">
      <c r="A4748" s="18">
        <v>45665.0</v>
      </c>
      <c r="B4748" s="16" t="s">
        <v>5561</v>
      </c>
      <c r="C4748" s="16" t="s">
        <v>948</v>
      </c>
      <c r="D4748" s="16" t="s">
        <v>707</v>
      </c>
      <c r="E4748" s="16">
        <v>2022.0</v>
      </c>
      <c r="F4748" s="16">
        <v>51.6015</v>
      </c>
      <c r="G4748" s="16">
        <v>7.4808</v>
      </c>
      <c r="H4748" s="15"/>
      <c r="I4748" s="15"/>
    </row>
    <row r="4749">
      <c r="A4749" s="18">
        <v>45665.0</v>
      </c>
      <c r="B4749" s="16" t="s">
        <v>5562</v>
      </c>
      <c r="C4749" s="16" t="s">
        <v>946</v>
      </c>
      <c r="D4749" s="16" t="s">
        <v>707</v>
      </c>
      <c r="E4749" s="16">
        <v>2022.0</v>
      </c>
      <c r="F4749" s="16">
        <v>51.8849</v>
      </c>
      <c r="G4749" s="16">
        <v>12.569</v>
      </c>
      <c r="H4749" s="15"/>
      <c r="I4749" s="15"/>
    </row>
    <row r="4750">
      <c r="A4750" s="18">
        <v>45665.0</v>
      </c>
      <c r="B4750" s="16" t="s">
        <v>5563</v>
      </c>
      <c r="C4750" s="16" t="s">
        <v>946</v>
      </c>
      <c r="D4750" s="16" t="s">
        <v>707</v>
      </c>
      <c r="E4750" s="16">
        <v>2022.0</v>
      </c>
      <c r="F4750" s="16">
        <v>48.8532</v>
      </c>
      <c r="G4750" s="16">
        <v>8.4847</v>
      </c>
      <c r="H4750" s="15"/>
      <c r="I4750" s="15"/>
    </row>
    <row r="4751">
      <c r="A4751" s="18">
        <v>45665.0</v>
      </c>
      <c r="B4751" s="16" t="s">
        <v>5564</v>
      </c>
      <c r="C4751" s="16" t="s">
        <v>1039</v>
      </c>
      <c r="D4751" s="16" t="s">
        <v>707</v>
      </c>
      <c r="E4751" s="16">
        <v>2022.0</v>
      </c>
      <c r="F4751" s="16">
        <v>50.9918</v>
      </c>
      <c r="G4751" s="16">
        <v>11.3457</v>
      </c>
      <c r="H4751" s="15"/>
      <c r="I4751" s="15"/>
    </row>
    <row r="4752">
      <c r="A4752" s="18">
        <v>45665.0</v>
      </c>
      <c r="B4752" s="16" t="s">
        <v>5565</v>
      </c>
      <c r="C4752" s="16">
        <v>2.0</v>
      </c>
      <c r="D4752" s="16" t="s">
        <v>707</v>
      </c>
      <c r="E4752" s="16">
        <v>2022.0</v>
      </c>
      <c r="F4752" s="16">
        <v>53.5711</v>
      </c>
      <c r="G4752" s="16">
        <v>13.2046</v>
      </c>
      <c r="H4752" s="15"/>
      <c r="I4752" s="15"/>
    </row>
    <row r="4753">
      <c r="A4753" s="18">
        <v>45665.0</v>
      </c>
      <c r="B4753" s="16" t="s">
        <v>5566</v>
      </c>
      <c r="C4753" s="16" t="s">
        <v>1149</v>
      </c>
      <c r="D4753" s="16" t="s">
        <v>707</v>
      </c>
      <c r="E4753" s="16">
        <v>2022.0</v>
      </c>
      <c r="F4753" s="16">
        <v>48.561</v>
      </c>
      <c r="G4753" s="16">
        <v>11.8242</v>
      </c>
      <c r="H4753" s="15"/>
      <c r="I4753" s="15"/>
    </row>
    <row r="4754">
      <c r="A4754" s="18">
        <v>45665.0</v>
      </c>
      <c r="B4754" s="16" t="s">
        <v>5567</v>
      </c>
      <c r="C4754" s="16" t="s">
        <v>978</v>
      </c>
      <c r="D4754" s="16" t="s">
        <v>707</v>
      </c>
      <c r="E4754" s="16">
        <v>2022.0</v>
      </c>
      <c r="F4754" s="16">
        <v>48.561</v>
      </c>
      <c r="G4754" s="16">
        <v>11.8242</v>
      </c>
      <c r="H4754" s="15"/>
      <c r="I4754" s="15"/>
    </row>
    <row r="4755">
      <c r="A4755" s="18">
        <v>45665.0</v>
      </c>
      <c r="B4755" s="16" t="s">
        <v>5568</v>
      </c>
      <c r="C4755" s="16" t="s">
        <v>1341</v>
      </c>
      <c r="D4755" s="16" t="s">
        <v>707</v>
      </c>
      <c r="E4755" s="16">
        <v>2022.0</v>
      </c>
      <c r="F4755" s="16">
        <v>48.5661</v>
      </c>
      <c r="G4755" s="16">
        <v>11.8511</v>
      </c>
      <c r="H4755" s="15"/>
      <c r="I4755" s="15"/>
    </row>
    <row r="4756">
      <c r="A4756" s="18">
        <v>45665.0</v>
      </c>
      <c r="B4756" s="16" t="s">
        <v>5569</v>
      </c>
      <c r="C4756" s="16" t="s">
        <v>1039</v>
      </c>
      <c r="D4756" s="16" t="s">
        <v>707</v>
      </c>
      <c r="E4756" s="16">
        <v>2022.0</v>
      </c>
      <c r="F4756" s="16">
        <v>48.5342</v>
      </c>
      <c r="G4756" s="16">
        <v>11.9978</v>
      </c>
      <c r="H4756" s="15"/>
      <c r="I4756" s="15"/>
    </row>
    <row r="4757">
      <c r="A4757" s="18">
        <v>45665.0</v>
      </c>
      <c r="B4757" s="16" t="s">
        <v>5570</v>
      </c>
      <c r="C4757" s="16" t="s">
        <v>1099</v>
      </c>
      <c r="D4757" s="16" t="s">
        <v>707</v>
      </c>
      <c r="E4757" s="16">
        <v>2022.0</v>
      </c>
      <c r="F4757" s="16">
        <v>48.5715</v>
      </c>
      <c r="G4757" s="16">
        <v>11.9552</v>
      </c>
      <c r="H4757" s="15"/>
      <c r="I4757" s="15"/>
    </row>
    <row r="4758">
      <c r="A4758" s="18">
        <v>45665.0</v>
      </c>
      <c r="B4758" s="16" t="s">
        <v>5571</v>
      </c>
      <c r="C4758" s="16" t="s">
        <v>982</v>
      </c>
      <c r="D4758" s="16" t="s">
        <v>707</v>
      </c>
      <c r="E4758" s="16">
        <v>2022.0</v>
      </c>
      <c r="F4758" s="16">
        <v>48.4289</v>
      </c>
      <c r="G4758" s="16">
        <v>10.4944</v>
      </c>
      <c r="H4758" s="15"/>
      <c r="I4758" s="15"/>
    </row>
    <row r="4759">
      <c r="A4759" s="18">
        <v>45665.0</v>
      </c>
      <c r="B4759" s="16" t="s">
        <v>5572</v>
      </c>
      <c r="C4759" s="16" t="s">
        <v>2498</v>
      </c>
      <c r="D4759" s="16" t="s">
        <v>707</v>
      </c>
      <c r="E4759" s="16">
        <v>2022.0</v>
      </c>
      <c r="F4759" s="16">
        <v>48.5922</v>
      </c>
      <c r="G4759" s="16">
        <v>11.8783</v>
      </c>
      <c r="H4759" s="15"/>
      <c r="I4759" s="15"/>
    </row>
    <row r="4760">
      <c r="A4760" s="18">
        <v>45665.0</v>
      </c>
      <c r="B4760" s="16" t="s">
        <v>5573</v>
      </c>
      <c r="C4760" s="16" t="s">
        <v>961</v>
      </c>
      <c r="D4760" s="16" t="s">
        <v>707</v>
      </c>
      <c r="E4760" s="16">
        <v>2022.0</v>
      </c>
      <c r="F4760" s="16">
        <v>51.1366</v>
      </c>
      <c r="G4760" s="16">
        <v>10.9689</v>
      </c>
      <c r="H4760" s="15"/>
      <c r="I4760" s="15"/>
    </row>
    <row r="4761">
      <c r="A4761" s="18">
        <v>45665.0</v>
      </c>
      <c r="B4761" s="16" t="s">
        <v>5573</v>
      </c>
      <c r="C4761" s="16" t="s">
        <v>1203</v>
      </c>
      <c r="D4761" s="16" t="s">
        <v>707</v>
      </c>
      <c r="E4761" s="16">
        <v>2022.0</v>
      </c>
      <c r="F4761" s="16">
        <v>51.1366</v>
      </c>
      <c r="G4761" s="16">
        <v>10.9689</v>
      </c>
      <c r="H4761" s="15"/>
      <c r="I4761" s="15"/>
    </row>
    <row r="4762">
      <c r="A4762" s="18">
        <v>45665.0</v>
      </c>
      <c r="B4762" s="16" t="s">
        <v>5574</v>
      </c>
      <c r="C4762" s="16" t="s">
        <v>971</v>
      </c>
      <c r="D4762" s="16" t="s">
        <v>707</v>
      </c>
      <c r="E4762" s="16">
        <v>2022.0</v>
      </c>
      <c r="F4762" s="16">
        <v>49.5821</v>
      </c>
      <c r="G4762" s="16">
        <v>11.97</v>
      </c>
      <c r="H4762" s="15"/>
      <c r="I4762" s="15"/>
    </row>
    <row r="4763">
      <c r="A4763" s="18">
        <v>45665.0</v>
      </c>
      <c r="B4763" s="16" t="s">
        <v>5575</v>
      </c>
      <c r="C4763" s="16" t="s">
        <v>1386</v>
      </c>
      <c r="D4763" s="16" t="s">
        <v>707</v>
      </c>
      <c r="E4763" s="16">
        <v>2022.0</v>
      </c>
      <c r="F4763" s="16">
        <v>49.5802</v>
      </c>
      <c r="G4763" s="16">
        <v>11.9693</v>
      </c>
      <c r="H4763" s="15"/>
      <c r="I4763" s="15"/>
    </row>
    <row r="4764">
      <c r="A4764" s="18">
        <v>45665.0</v>
      </c>
      <c r="B4764" s="16" t="s">
        <v>5576</v>
      </c>
      <c r="C4764" s="16">
        <v>5.0</v>
      </c>
      <c r="D4764" s="16" t="s">
        <v>707</v>
      </c>
      <c r="E4764" s="16">
        <v>2022.0</v>
      </c>
      <c r="F4764" s="16">
        <v>48.6058</v>
      </c>
      <c r="G4764" s="16">
        <v>11.8199</v>
      </c>
      <c r="H4764" s="15"/>
      <c r="I4764" s="15"/>
    </row>
    <row r="4765">
      <c r="A4765" s="18">
        <v>45665.0</v>
      </c>
      <c r="B4765" s="16" t="s">
        <v>5577</v>
      </c>
      <c r="C4765" s="16" t="s">
        <v>959</v>
      </c>
      <c r="D4765" s="16" t="s">
        <v>707</v>
      </c>
      <c r="E4765" s="16">
        <v>2022.0</v>
      </c>
      <c r="F4765" s="16">
        <v>48.5511</v>
      </c>
      <c r="G4765" s="16">
        <v>12.0709</v>
      </c>
      <c r="H4765" s="15"/>
      <c r="I4765" s="15"/>
    </row>
    <row r="4766">
      <c r="A4766" s="18">
        <v>45665.0</v>
      </c>
      <c r="B4766" s="16" t="s">
        <v>5578</v>
      </c>
      <c r="C4766" s="16" t="s">
        <v>971</v>
      </c>
      <c r="D4766" s="16" t="s">
        <v>707</v>
      </c>
      <c r="E4766" s="16">
        <v>2022.0</v>
      </c>
      <c r="F4766" s="16">
        <v>48.5669</v>
      </c>
      <c r="G4766" s="16">
        <v>11.8318</v>
      </c>
      <c r="H4766" s="15"/>
      <c r="I4766" s="15"/>
    </row>
    <row r="4767">
      <c r="A4767" s="18">
        <v>45665.0</v>
      </c>
      <c r="B4767" s="16" t="s">
        <v>5579</v>
      </c>
      <c r="C4767" s="16" t="s">
        <v>1046</v>
      </c>
      <c r="D4767" s="16" t="s">
        <v>707</v>
      </c>
      <c r="E4767" s="16">
        <v>2022.0</v>
      </c>
      <c r="F4767" s="16">
        <v>48.5669</v>
      </c>
      <c r="G4767" s="16">
        <v>11.8318</v>
      </c>
      <c r="H4767" s="15"/>
      <c r="I4767" s="15"/>
    </row>
    <row r="4768">
      <c r="A4768" s="18">
        <v>45665.0</v>
      </c>
      <c r="B4768" s="16" t="s">
        <v>5082</v>
      </c>
      <c r="C4768" s="16">
        <v>11.0</v>
      </c>
      <c r="D4768" s="16" t="s">
        <v>707</v>
      </c>
      <c r="E4768" s="16">
        <v>2022.0</v>
      </c>
      <c r="F4768" s="16">
        <v>49.6107</v>
      </c>
      <c r="G4768" s="16">
        <v>11.7783</v>
      </c>
      <c r="H4768" s="15"/>
      <c r="I4768" s="15"/>
    </row>
    <row r="4769">
      <c r="A4769" s="18">
        <v>45665.0</v>
      </c>
      <c r="B4769" s="16" t="s">
        <v>5580</v>
      </c>
      <c r="C4769" s="16">
        <v>7.0</v>
      </c>
      <c r="D4769" s="16" t="s">
        <v>707</v>
      </c>
      <c r="E4769" s="16">
        <v>2022.0</v>
      </c>
      <c r="F4769" s="16">
        <v>49.5256</v>
      </c>
      <c r="G4769" s="16">
        <v>12.1504</v>
      </c>
      <c r="H4769" s="15"/>
      <c r="I4769" s="15"/>
    </row>
    <row r="4770">
      <c r="A4770" s="18">
        <v>45665.0</v>
      </c>
      <c r="B4770" s="16" t="s">
        <v>5581</v>
      </c>
      <c r="C4770" s="16" t="s">
        <v>1436</v>
      </c>
      <c r="D4770" s="16" t="s">
        <v>707</v>
      </c>
      <c r="E4770" s="16">
        <v>2022.0</v>
      </c>
      <c r="F4770" s="16">
        <v>48.4592</v>
      </c>
      <c r="G4770" s="16">
        <v>12.5015</v>
      </c>
      <c r="H4770" s="15"/>
      <c r="I4770" s="15"/>
    </row>
    <row r="4771">
      <c r="A4771" s="18">
        <v>45665.0</v>
      </c>
      <c r="B4771" s="16" t="s">
        <v>5582</v>
      </c>
      <c r="C4771" s="16" t="s">
        <v>948</v>
      </c>
      <c r="D4771" s="16" t="s">
        <v>707</v>
      </c>
      <c r="E4771" s="16">
        <v>2022.0</v>
      </c>
      <c r="F4771" s="16">
        <v>50.7507</v>
      </c>
      <c r="G4771" s="16">
        <v>8.6104</v>
      </c>
      <c r="H4771" s="15"/>
      <c r="I4771" s="15"/>
    </row>
    <row r="4772">
      <c r="A4772" s="18">
        <v>45665.0</v>
      </c>
      <c r="B4772" s="16" t="s">
        <v>5583</v>
      </c>
      <c r="C4772" s="16" t="s">
        <v>959</v>
      </c>
      <c r="D4772" s="16" t="s">
        <v>707</v>
      </c>
      <c r="E4772" s="16">
        <v>2022.0</v>
      </c>
      <c r="F4772" s="16">
        <v>52.855</v>
      </c>
      <c r="G4772" s="16">
        <v>11.0892</v>
      </c>
      <c r="H4772" s="15"/>
      <c r="I4772" s="15"/>
    </row>
    <row r="4773">
      <c r="A4773" s="18">
        <v>45665.0</v>
      </c>
      <c r="B4773" s="16" t="s">
        <v>5584</v>
      </c>
      <c r="C4773" s="16">
        <v>10.0</v>
      </c>
      <c r="D4773" s="16" t="s">
        <v>707</v>
      </c>
      <c r="E4773" s="16">
        <v>2022.0</v>
      </c>
      <c r="F4773" s="16">
        <v>54.6603</v>
      </c>
      <c r="G4773" s="16">
        <v>9.7395</v>
      </c>
      <c r="H4773" s="15"/>
      <c r="I4773" s="15"/>
    </row>
    <row r="4774">
      <c r="A4774" s="18">
        <v>45665.0</v>
      </c>
      <c r="B4774" s="16" t="s">
        <v>5585</v>
      </c>
      <c r="C4774" s="16">
        <v>1.0</v>
      </c>
      <c r="D4774" s="16" t="s">
        <v>707</v>
      </c>
      <c r="E4774" s="16">
        <v>2022.0</v>
      </c>
      <c r="F4774" s="16">
        <v>54.6537</v>
      </c>
      <c r="G4774" s="16">
        <v>9.7502</v>
      </c>
      <c r="H4774" s="15"/>
      <c r="I4774" s="15"/>
    </row>
    <row r="4775">
      <c r="A4775" s="18">
        <v>45665.0</v>
      </c>
      <c r="B4775" s="16" t="s">
        <v>5586</v>
      </c>
      <c r="C4775" s="16">
        <v>1.0</v>
      </c>
      <c r="D4775" s="16" t="s">
        <v>707</v>
      </c>
      <c r="E4775" s="16">
        <v>2022.0</v>
      </c>
      <c r="F4775" s="16">
        <v>48.5073</v>
      </c>
      <c r="G4775" s="16">
        <v>10.4026</v>
      </c>
      <c r="H4775" s="15"/>
      <c r="I4775" s="15"/>
    </row>
    <row r="4776">
      <c r="A4776" s="18">
        <v>45665.0</v>
      </c>
      <c r="B4776" s="16" t="s">
        <v>5587</v>
      </c>
      <c r="C4776" s="16">
        <v>1.0</v>
      </c>
      <c r="D4776" s="16" t="s">
        <v>707</v>
      </c>
      <c r="E4776" s="16">
        <v>2022.0</v>
      </c>
      <c r="F4776" s="16">
        <v>48.5073</v>
      </c>
      <c r="G4776" s="16">
        <v>10.4026</v>
      </c>
      <c r="H4776" s="15"/>
      <c r="I4776" s="15"/>
    </row>
    <row r="4777">
      <c r="A4777" s="18">
        <v>45665.0</v>
      </c>
      <c r="B4777" s="16" t="s">
        <v>5588</v>
      </c>
      <c r="C4777" s="16" t="s">
        <v>961</v>
      </c>
      <c r="D4777" s="16" t="s">
        <v>707</v>
      </c>
      <c r="E4777" s="16">
        <v>2022.0</v>
      </c>
      <c r="F4777" s="16">
        <v>51.983</v>
      </c>
      <c r="G4777" s="16">
        <v>11.1251</v>
      </c>
      <c r="H4777" s="15"/>
      <c r="I4777" s="15"/>
    </row>
    <row r="4778">
      <c r="A4778" s="18">
        <v>45665.0</v>
      </c>
      <c r="B4778" s="16" t="s">
        <v>5589</v>
      </c>
      <c r="C4778" s="16" t="s">
        <v>1203</v>
      </c>
      <c r="D4778" s="16" t="s">
        <v>707</v>
      </c>
      <c r="E4778" s="16">
        <v>2022.0</v>
      </c>
      <c r="F4778" s="16">
        <v>48.9386</v>
      </c>
      <c r="G4778" s="16">
        <v>11.6715</v>
      </c>
      <c r="H4778" s="15"/>
      <c r="I4778" s="15"/>
    </row>
    <row r="4779">
      <c r="A4779" s="18">
        <v>45665.0</v>
      </c>
      <c r="B4779" s="16" t="s">
        <v>5590</v>
      </c>
      <c r="C4779" s="16" t="s">
        <v>946</v>
      </c>
      <c r="D4779" s="16" t="s">
        <v>707</v>
      </c>
      <c r="E4779" s="16">
        <v>2022.0</v>
      </c>
      <c r="F4779" s="16">
        <v>48.7213</v>
      </c>
      <c r="G4779" s="16">
        <v>12.7248</v>
      </c>
      <c r="H4779" s="15"/>
      <c r="I4779" s="15"/>
    </row>
    <row r="4780">
      <c r="A4780" s="18">
        <v>45665.0</v>
      </c>
      <c r="B4780" s="16" t="s">
        <v>5591</v>
      </c>
      <c r="C4780" s="16" t="s">
        <v>1059</v>
      </c>
      <c r="D4780" s="16" t="s">
        <v>707</v>
      </c>
      <c r="E4780" s="16">
        <v>2022.0</v>
      </c>
      <c r="F4780" s="16">
        <v>53.6984</v>
      </c>
      <c r="G4780" s="16">
        <v>13.2451</v>
      </c>
      <c r="H4780" s="15"/>
      <c r="I4780" s="15"/>
    </row>
    <row r="4781">
      <c r="A4781" s="18">
        <v>45665.0</v>
      </c>
      <c r="B4781" s="16" t="s">
        <v>5592</v>
      </c>
      <c r="C4781" s="16" t="s">
        <v>3817</v>
      </c>
      <c r="D4781" s="16" t="s">
        <v>707</v>
      </c>
      <c r="E4781" s="16">
        <v>2022.0</v>
      </c>
      <c r="F4781" s="16">
        <v>49.5113</v>
      </c>
      <c r="G4781" s="16">
        <v>10.7071</v>
      </c>
      <c r="H4781" s="15"/>
      <c r="I4781" s="15"/>
    </row>
    <row r="4782">
      <c r="A4782" s="18">
        <v>45665.0</v>
      </c>
      <c r="B4782" s="16" t="s">
        <v>5593</v>
      </c>
      <c r="C4782" s="16" t="s">
        <v>961</v>
      </c>
      <c r="D4782" s="16" t="s">
        <v>707</v>
      </c>
      <c r="E4782" s="16">
        <v>2022.0</v>
      </c>
      <c r="F4782" s="16">
        <v>51.514</v>
      </c>
      <c r="G4782" s="16">
        <v>7.1275</v>
      </c>
      <c r="H4782" s="15"/>
      <c r="I4782" s="15"/>
    </row>
    <row r="4783">
      <c r="A4783" s="18">
        <v>45665.0</v>
      </c>
      <c r="B4783" s="16" t="s">
        <v>5594</v>
      </c>
      <c r="C4783" s="16" t="s">
        <v>1055</v>
      </c>
      <c r="D4783" s="16" t="s">
        <v>707</v>
      </c>
      <c r="E4783" s="16">
        <v>2022.0</v>
      </c>
      <c r="F4783" s="16">
        <v>51.515</v>
      </c>
      <c r="G4783" s="16">
        <v>7.1326</v>
      </c>
      <c r="H4783" s="15"/>
      <c r="I4783" s="15"/>
    </row>
    <row r="4784">
      <c r="A4784" s="18">
        <v>45665.0</v>
      </c>
      <c r="B4784" s="16" t="s">
        <v>5595</v>
      </c>
      <c r="C4784" s="16" t="s">
        <v>982</v>
      </c>
      <c r="D4784" s="16" t="s">
        <v>707</v>
      </c>
      <c r="E4784" s="16">
        <v>2022.0</v>
      </c>
      <c r="F4784" s="16">
        <v>49.5376</v>
      </c>
      <c r="G4784" s="16">
        <v>6.9606</v>
      </c>
      <c r="H4784" s="15"/>
      <c r="I4784" s="15"/>
    </row>
    <row r="4785">
      <c r="A4785" s="18">
        <v>45665.0</v>
      </c>
      <c r="B4785" s="16" t="s">
        <v>5596</v>
      </c>
      <c r="C4785" s="16" t="s">
        <v>946</v>
      </c>
      <c r="D4785" s="16" t="s">
        <v>707</v>
      </c>
      <c r="E4785" s="16">
        <v>2022.0</v>
      </c>
      <c r="F4785" s="16">
        <v>48.7969</v>
      </c>
      <c r="G4785" s="16">
        <v>11.5122</v>
      </c>
      <c r="H4785" s="15"/>
      <c r="I4785" s="15"/>
    </row>
    <row r="4786">
      <c r="A4786" s="18">
        <v>45665.0</v>
      </c>
      <c r="B4786" s="16" t="s">
        <v>5597</v>
      </c>
      <c r="C4786" s="16">
        <v>10.0</v>
      </c>
      <c r="D4786" s="16" t="s">
        <v>707</v>
      </c>
      <c r="E4786" s="16">
        <v>2022.0</v>
      </c>
      <c r="F4786" s="16">
        <v>50.1778</v>
      </c>
      <c r="G4786" s="16">
        <v>10.7163</v>
      </c>
      <c r="H4786" s="15"/>
      <c r="I4786" s="15"/>
    </row>
    <row r="4787">
      <c r="A4787" s="18">
        <v>45665.0</v>
      </c>
      <c r="B4787" s="16" t="s">
        <v>5598</v>
      </c>
      <c r="C4787" s="16" t="s">
        <v>1215</v>
      </c>
      <c r="D4787" s="16" t="s">
        <v>707</v>
      </c>
      <c r="E4787" s="16">
        <v>2022.0</v>
      </c>
      <c r="F4787" s="16">
        <v>49.3478</v>
      </c>
      <c r="G4787" s="16">
        <v>11.2655</v>
      </c>
      <c r="H4787" s="15"/>
      <c r="I4787" s="15"/>
    </row>
    <row r="4788">
      <c r="A4788" s="18">
        <v>45665.0</v>
      </c>
      <c r="B4788" s="16" t="s">
        <v>5599</v>
      </c>
      <c r="C4788" s="16" t="s">
        <v>942</v>
      </c>
      <c r="D4788" s="16" t="s">
        <v>707</v>
      </c>
      <c r="E4788" s="16">
        <v>2022.0</v>
      </c>
      <c r="F4788" s="16">
        <v>51.4276</v>
      </c>
      <c r="G4788" s="16">
        <v>13.7377</v>
      </c>
      <c r="H4788" s="15"/>
      <c r="I4788" s="15"/>
    </row>
    <row r="4789">
      <c r="A4789" s="18">
        <v>45665.0</v>
      </c>
      <c r="B4789" s="16" t="s">
        <v>5600</v>
      </c>
      <c r="C4789" s="16">
        <v>10.0</v>
      </c>
      <c r="D4789" s="16" t="s">
        <v>707</v>
      </c>
      <c r="E4789" s="16">
        <v>2022.0</v>
      </c>
      <c r="F4789" s="16">
        <v>53.5936</v>
      </c>
      <c r="G4789" s="16">
        <v>13.3285</v>
      </c>
      <c r="H4789" s="15"/>
      <c r="I4789" s="15"/>
    </row>
    <row r="4790">
      <c r="A4790" s="18">
        <v>45665.0</v>
      </c>
      <c r="B4790" s="16" t="s">
        <v>5601</v>
      </c>
      <c r="C4790" s="16" t="s">
        <v>1215</v>
      </c>
      <c r="D4790" s="16" t="s">
        <v>707</v>
      </c>
      <c r="E4790" s="16">
        <v>2022.0</v>
      </c>
      <c r="F4790" s="16">
        <v>51.4083</v>
      </c>
      <c r="G4790" s="16">
        <v>7.7895</v>
      </c>
      <c r="H4790" s="15"/>
      <c r="I4790" s="15"/>
    </row>
    <row r="4791">
      <c r="A4791" s="18">
        <v>45665.0</v>
      </c>
      <c r="B4791" s="16" t="s">
        <v>5602</v>
      </c>
      <c r="C4791" s="16" t="s">
        <v>1436</v>
      </c>
      <c r="D4791" s="16" t="s">
        <v>707</v>
      </c>
      <c r="E4791" s="16">
        <v>2022.0</v>
      </c>
      <c r="F4791" s="16">
        <v>48.2266</v>
      </c>
      <c r="G4791" s="16">
        <v>10.5346</v>
      </c>
      <c r="H4791" s="15"/>
      <c r="I4791" s="15"/>
    </row>
    <row r="4792">
      <c r="A4792" s="18">
        <v>45665.0</v>
      </c>
      <c r="B4792" s="16" t="s">
        <v>5603</v>
      </c>
      <c r="C4792" s="16" t="s">
        <v>3169</v>
      </c>
      <c r="D4792" s="16" t="s">
        <v>707</v>
      </c>
      <c r="E4792" s="16">
        <v>2022.0</v>
      </c>
      <c r="F4792" s="16">
        <v>49.294</v>
      </c>
      <c r="G4792" s="16">
        <v>12.2321</v>
      </c>
      <c r="H4792" s="15"/>
      <c r="I4792" s="15"/>
    </row>
    <row r="4793">
      <c r="A4793" s="18">
        <v>45665.0</v>
      </c>
      <c r="B4793" s="16" t="s">
        <v>5604</v>
      </c>
      <c r="C4793" s="16" t="s">
        <v>1203</v>
      </c>
      <c r="D4793" s="16" t="s">
        <v>707</v>
      </c>
      <c r="E4793" s="16">
        <v>2022.0</v>
      </c>
      <c r="F4793" s="16">
        <v>48.6734</v>
      </c>
      <c r="G4793" s="16">
        <v>13.1374</v>
      </c>
      <c r="H4793" s="15"/>
      <c r="I4793" s="15"/>
    </row>
    <row r="4794">
      <c r="A4794" s="18">
        <v>45665.0</v>
      </c>
      <c r="B4794" s="16" t="s">
        <v>5605</v>
      </c>
      <c r="C4794" s="16" t="s">
        <v>1609</v>
      </c>
      <c r="D4794" s="16" t="s">
        <v>707</v>
      </c>
      <c r="E4794" s="16">
        <v>2022.0</v>
      </c>
      <c r="F4794" s="16">
        <v>50.0623</v>
      </c>
      <c r="G4794" s="16">
        <v>12.1785</v>
      </c>
      <c r="H4794" s="15"/>
      <c r="I4794" s="15"/>
    </row>
    <row r="4795">
      <c r="A4795" s="18">
        <v>45665.0</v>
      </c>
      <c r="B4795" s="16" t="s">
        <v>5606</v>
      </c>
      <c r="C4795" s="16">
        <v>3.0</v>
      </c>
      <c r="D4795" s="16" t="s">
        <v>707</v>
      </c>
      <c r="E4795" s="16">
        <v>2022.0</v>
      </c>
      <c r="F4795" s="16">
        <v>50.0629</v>
      </c>
      <c r="G4795" s="16">
        <v>12.1788</v>
      </c>
      <c r="H4795" s="15"/>
      <c r="I4795" s="15"/>
    </row>
    <row r="4796">
      <c r="A4796" s="18">
        <v>45665.0</v>
      </c>
      <c r="B4796" s="16" t="s">
        <v>5607</v>
      </c>
      <c r="C4796" s="16">
        <v>4.0</v>
      </c>
      <c r="D4796" s="16" t="s">
        <v>707</v>
      </c>
      <c r="E4796" s="16">
        <v>2022.0</v>
      </c>
      <c r="F4796" s="16">
        <v>48.9749</v>
      </c>
      <c r="G4796" s="16">
        <v>12.6539</v>
      </c>
      <c r="H4796" s="15"/>
      <c r="I4796" s="15"/>
    </row>
    <row r="4797">
      <c r="A4797" s="18">
        <v>45665.0</v>
      </c>
      <c r="B4797" s="16" t="s">
        <v>5608</v>
      </c>
      <c r="C4797" s="16" t="s">
        <v>978</v>
      </c>
      <c r="D4797" s="16" t="s">
        <v>707</v>
      </c>
      <c r="E4797" s="16">
        <v>2022.0</v>
      </c>
      <c r="F4797" s="16">
        <v>50.3433</v>
      </c>
      <c r="G4797" s="16">
        <v>11.6265</v>
      </c>
      <c r="H4797" s="15"/>
      <c r="I4797" s="15"/>
    </row>
    <row r="4798">
      <c r="A4798" s="18">
        <v>45665.0</v>
      </c>
      <c r="B4798" s="16" t="s">
        <v>5609</v>
      </c>
      <c r="C4798" s="16" t="s">
        <v>1215</v>
      </c>
      <c r="D4798" s="16" t="s">
        <v>707</v>
      </c>
      <c r="E4798" s="16">
        <v>2022.0</v>
      </c>
      <c r="F4798" s="16">
        <v>48.9624</v>
      </c>
      <c r="G4798" s="16">
        <v>11.7375</v>
      </c>
      <c r="H4798" s="15"/>
      <c r="I4798" s="15"/>
    </row>
    <row r="4799">
      <c r="A4799" s="18">
        <v>45665.0</v>
      </c>
      <c r="B4799" s="16" t="s">
        <v>5610</v>
      </c>
      <c r="C4799" s="16" t="s">
        <v>1046</v>
      </c>
      <c r="D4799" s="16" t="s">
        <v>707</v>
      </c>
      <c r="E4799" s="16">
        <v>2022.0</v>
      </c>
      <c r="F4799" s="16">
        <v>49.0674</v>
      </c>
      <c r="G4799" s="16">
        <v>11.4158</v>
      </c>
      <c r="H4799" s="15"/>
      <c r="I4799" s="15"/>
    </row>
    <row r="4800">
      <c r="A4800" s="18">
        <v>45665.0</v>
      </c>
      <c r="B4800" s="16" t="s">
        <v>5611</v>
      </c>
      <c r="C4800" s="16" t="s">
        <v>1203</v>
      </c>
      <c r="D4800" s="16" t="s">
        <v>707</v>
      </c>
      <c r="E4800" s="16">
        <v>2022.0</v>
      </c>
      <c r="F4800" s="16">
        <v>49.0666</v>
      </c>
      <c r="G4800" s="16">
        <v>11.4153</v>
      </c>
      <c r="H4800" s="15"/>
      <c r="I4800" s="15"/>
    </row>
    <row r="4801">
      <c r="A4801" s="18">
        <v>45665.0</v>
      </c>
      <c r="B4801" s="16" t="s">
        <v>5612</v>
      </c>
      <c r="C4801" s="16" t="s">
        <v>1149</v>
      </c>
      <c r="D4801" s="16" t="s">
        <v>707</v>
      </c>
      <c r="E4801" s="16">
        <v>2022.0</v>
      </c>
      <c r="F4801" s="16">
        <v>51.2733</v>
      </c>
      <c r="G4801" s="16">
        <v>11.0043</v>
      </c>
      <c r="H4801" s="15"/>
      <c r="I4801" s="15"/>
    </row>
    <row r="4802">
      <c r="A4802" s="18">
        <v>45665.0</v>
      </c>
      <c r="B4802" s="16" t="s">
        <v>5613</v>
      </c>
      <c r="C4802" s="16" t="s">
        <v>1172</v>
      </c>
      <c r="D4802" s="16" t="s">
        <v>707</v>
      </c>
      <c r="E4802" s="16">
        <v>2022.0</v>
      </c>
      <c r="F4802" s="16">
        <v>51.8057</v>
      </c>
      <c r="G4802" s="16">
        <v>11.6943</v>
      </c>
      <c r="H4802" s="15"/>
      <c r="I4802" s="15"/>
    </row>
    <row r="4803">
      <c r="A4803" s="18">
        <v>45665.0</v>
      </c>
      <c r="B4803" s="16" t="s">
        <v>5614</v>
      </c>
      <c r="C4803" s="16" t="s">
        <v>1751</v>
      </c>
      <c r="D4803" s="16" t="s">
        <v>707</v>
      </c>
      <c r="E4803" s="16">
        <v>2022.0</v>
      </c>
      <c r="F4803" s="16">
        <v>50.2091</v>
      </c>
      <c r="G4803" s="16">
        <v>6.3035</v>
      </c>
      <c r="H4803" s="15"/>
      <c r="I4803" s="15"/>
    </row>
    <row r="4804">
      <c r="A4804" s="18">
        <v>45665.0</v>
      </c>
      <c r="B4804" s="16" t="s">
        <v>5615</v>
      </c>
      <c r="C4804" s="16" t="s">
        <v>1004</v>
      </c>
      <c r="D4804" s="16" t="s">
        <v>707</v>
      </c>
      <c r="E4804" s="16">
        <v>2022.0</v>
      </c>
      <c r="F4804" s="16">
        <v>49.2641</v>
      </c>
      <c r="G4804" s="16">
        <v>8.5297</v>
      </c>
      <c r="H4804" s="15"/>
      <c r="I4804" s="15"/>
    </row>
    <row r="4805">
      <c r="A4805" s="18">
        <v>45665.0</v>
      </c>
      <c r="B4805" s="16" t="s">
        <v>5616</v>
      </c>
      <c r="C4805" s="16" t="s">
        <v>959</v>
      </c>
      <c r="D4805" s="16" t="s">
        <v>707</v>
      </c>
      <c r="E4805" s="16">
        <v>2022.0</v>
      </c>
      <c r="F4805" s="16">
        <v>49.2624</v>
      </c>
      <c r="G4805" s="16">
        <v>8.5294</v>
      </c>
      <c r="H4805" s="15"/>
      <c r="I4805" s="15"/>
    </row>
    <row r="4806">
      <c r="A4806" s="18">
        <v>45665.0</v>
      </c>
      <c r="B4806" s="16" t="s">
        <v>5617</v>
      </c>
      <c r="C4806" s="16" t="s">
        <v>1094</v>
      </c>
      <c r="D4806" s="16" t="s">
        <v>707</v>
      </c>
      <c r="E4806" s="16">
        <v>2022.0</v>
      </c>
      <c r="F4806" s="16">
        <v>48.7461</v>
      </c>
      <c r="G4806" s="16">
        <v>12.2016</v>
      </c>
      <c r="H4806" s="15"/>
      <c r="I4806" s="15"/>
    </row>
    <row r="4807">
      <c r="A4807" s="18">
        <v>45665.0</v>
      </c>
      <c r="B4807" s="16" t="s">
        <v>5618</v>
      </c>
      <c r="C4807" s="16" t="s">
        <v>1181</v>
      </c>
      <c r="D4807" s="16" t="s">
        <v>707</v>
      </c>
      <c r="E4807" s="16">
        <v>2022.0</v>
      </c>
      <c r="F4807" s="16">
        <v>48.4085</v>
      </c>
      <c r="G4807" s="16">
        <v>11.1589</v>
      </c>
      <c r="H4807" s="15"/>
      <c r="I4807" s="15"/>
    </row>
    <row r="4808">
      <c r="A4808" s="18">
        <v>45665.0</v>
      </c>
      <c r="B4808" s="16" t="s">
        <v>5619</v>
      </c>
      <c r="C4808" s="16" t="s">
        <v>1039</v>
      </c>
      <c r="D4808" s="16" t="s">
        <v>707</v>
      </c>
      <c r="E4808" s="16">
        <v>2022.0</v>
      </c>
      <c r="F4808" s="16">
        <v>49.2842</v>
      </c>
      <c r="G4808" s="16">
        <v>11.9782</v>
      </c>
      <c r="H4808" s="15"/>
      <c r="I4808" s="15"/>
    </row>
    <row r="4809">
      <c r="A4809" s="18">
        <v>45665.0</v>
      </c>
      <c r="B4809" s="16" t="s">
        <v>5620</v>
      </c>
      <c r="C4809" s="16" t="s">
        <v>1039</v>
      </c>
      <c r="D4809" s="16" t="s">
        <v>707</v>
      </c>
      <c r="E4809" s="16">
        <v>2022.0</v>
      </c>
      <c r="F4809" s="16">
        <v>48.5478</v>
      </c>
      <c r="G4809" s="16">
        <v>10.5133</v>
      </c>
      <c r="H4809" s="15"/>
      <c r="I4809" s="15"/>
    </row>
    <row r="4810">
      <c r="A4810" s="18">
        <v>45665.0</v>
      </c>
      <c r="B4810" s="16" t="s">
        <v>5621</v>
      </c>
      <c r="C4810" s="16" t="s">
        <v>1094</v>
      </c>
      <c r="D4810" s="16" t="s">
        <v>707</v>
      </c>
      <c r="E4810" s="16">
        <v>2022.0</v>
      </c>
      <c r="F4810" s="16">
        <v>50.0268</v>
      </c>
      <c r="G4810" s="16">
        <v>10.9935</v>
      </c>
      <c r="H4810" s="15"/>
      <c r="I4810" s="15"/>
    </row>
    <row r="4811">
      <c r="A4811" s="18">
        <v>45665.0</v>
      </c>
      <c r="B4811" s="16" t="s">
        <v>5622</v>
      </c>
      <c r="C4811" s="16" t="s">
        <v>959</v>
      </c>
      <c r="D4811" s="16" t="s">
        <v>707</v>
      </c>
      <c r="E4811" s="16">
        <v>2022.0</v>
      </c>
      <c r="F4811" s="16">
        <v>49.4441</v>
      </c>
      <c r="G4811" s="16">
        <v>10.5003</v>
      </c>
      <c r="H4811" s="15"/>
      <c r="I4811" s="15"/>
    </row>
    <row r="4812">
      <c r="A4812" s="18">
        <v>45665.0</v>
      </c>
      <c r="B4812" s="16" t="s">
        <v>5623</v>
      </c>
      <c r="C4812" s="16">
        <v>10.0</v>
      </c>
      <c r="D4812" s="16" t="s">
        <v>707</v>
      </c>
      <c r="E4812" s="16">
        <v>2022.0</v>
      </c>
      <c r="F4812" s="16">
        <v>51.5336</v>
      </c>
      <c r="G4812" s="16">
        <v>13.713</v>
      </c>
      <c r="H4812" s="15"/>
      <c r="I4812" s="15"/>
    </row>
    <row r="4813">
      <c r="A4813" s="18">
        <v>45665.0</v>
      </c>
      <c r="B4813" s="16" t="s">
        <v>5624</v>
      </c>
      <c r="C4813" s="16" t="s">
        <v>2517</v>
      </c>
      <c r="D4813" s="16" t="s">
        <v>707</v>
      </c>
      <c r="E4813" s="16">
        <v>2022.0</v>
      </c>
      <c r="F4813" s="16">
        <v>49.7015</v>
      </c>
      <c r="G4813" s="16">
        <v>8.0587</v>
      </c>
      <c r="H4813" s="15"/>
      <c r="I4813" s="15"/>
    </row>
    <row r="4814">
      <c r="A4814" s="18">
        <v>45665.0</v>
      </c>
      <c r="B4814" s="16" t="s">
        <v>5625</v>
      </c>
      <c r="C4814" s="16" t="s">
        <v>1094</v>
      </c>
      <c r="D4814" s="16" t="s">
        <v>707</v>
      </c>
      <c r="E4814" s="16">
        <v>2022.0</v>
      </c>
      <c r="F4814" s="16">
        <v>50.9784</v>
      </c>
      <c r="G4814" s="16">
        <v>13.2781</v>
      </c>
      <c r="H4814" s="15"/>
      <c r="I4814" s="15"/>
    </row>
    <row r="4815">
      <c r="A4815" s="18">
        <v>45665.0</v>
      </c>
      <c r="B4815" s="16" t="s">
        <v>5626</v>
      </c>
      <c r="C4815" s="16" t="s">
        <v>1215</v>
      </c>
      <c r="D4815" s="16" t="s">
        <v>707</v>
      </c>
      <c r="E4815" s="16">
        <v>2022.0</v>
      </c>
      <c r="F4815" s="16">
        <v>52.5273</v>
      </c>
      <c r="G4815" s="16">
        <v>13.9619</v>
      </c>
      <c r="H4815" s="15"/>
      <c r="I4815" s="15"/>
    </row>
    <row r="4816">
      <c r="A4816" s="18">
        <v>45665.0</v>
      </c>
      <c r="B4816" s="16" t="s">
        <v>5627</v>
      </c>
      <c r="C4816" s="16">
        <v>10.0</v>
      </c>
      <c r="D4816" s="16" t="s">
        <v>707</v>
      </c>
      <c r="E4816" s="16">
        <v>2022.0</v>
      </c>
      <c r="F4816" s="16">
        <v>48.3188</v>
      </c>
      <c r="G4816" s="16">
        <v>9.5807</v>
      </c>
      <c r="H4816" s="15"/>
      <c r="I4816" s="15"/>
    </row>
    <row r="4817">
      <c r="A4817" s="18">
        <v>45665.0</v>
      </c>
      <c r="B4817" s="16" t="s">
        <v>5628</v>
      </c>
      <c r="C4817" s="16" t="s">
        <v>1310</v>
      </c>
      <c r="D4817" s="16" t="s">
        <v>707</v>
      </c>
      <c r="E4817" s="16">
        <v>2022.0</v>
      </c>
      <c r="F4817" s="16">
        <v>48.3193</v>
      </c>
      <c r="G4817" s="16">
        <v>9.5829</v>
      </c>
      <c r="H4817" s="15"/>
      <c r="I4817" s="15"/>
    </row>
    <row r="4818">
      <c r="A4818" s="18">
        <v>45665.0</v>
      </c>
      <c r="B4818" s="16" t="s">
        <v>5629</v>
      </c>
      <c r="C4818" s="16">
        <v>10.0</v>
      </c>
      <c r="D4818" s="16" t="s">
        <v>707</v>
      </c>
      <c r="E4818" s="16">
        <v>2022.0</v>
      </c>
      <c r="F4818" s="16">
        <v>54.131</v>
      </c>
      <c r="G4818" s="16">
        <v>13.036</v>
      </c>
      <c r="H4818" s="15"/>
      <c r="I4818" s="15"/>
    </row>
    <row r="4819">
      <c r="A4819" s="18">
        <v>45665.0</v>
      </c>
      <c r="B4819" s="16" t="s">
        <v>5630</v>
      </c>
      <c r="C4819" s="16" t="s">
        <v>1080</v>
      </c>
      <c r="D4819" s="16" t="s">
        <v>707</v>
      </c>
      <c r="E4819" s="16">
        <v>2022.0</v>
      </c>
      <c r="F4819" s="16">
        <v>54.3614</v>
      </c>
      <c r="G4819" s="16">
        <v>10.9878</v>
      </c>
      <c r="H4819" s="15"/>
      <c r="I4819" s="15"/>
    </row>
    <row r="4820">
      <c r="A4820" s="18">
        <v>45665.0</v>
      </c>
      <c r="B4820" s="16" t="s">
        <v>5631</v>
      </c>
      <c r="C4820" s="16" t="s">
        <v>1172</v>
      </c>
      <c r="D4820" s="16" t="s">
        <v>707</v>
      </c>
      <c r="E4820" s="16">
        <v>2022.0</v>
      </c>
      <c r="F4820" s="16">
        <v>54.3606</v>
      </c>
      <c r="G4820" s="16">
        <v>10.9877</v>
      </c>
      <c r="H4820" s="15"/>
      <c r="I4820" s="15"/>
    </row>
    <row r="4821">
      <c r="A4821" s="18">
        <v>45665.0</v>
      </c>
      <c r="B4821" s="16" t="s">
        <v>5632</v>
      </c>
      <c r="C4821" s="16" t="s">
        <v>1203</v>
      </c>
      <c r="D4821" s="16" t="s">
        <v>707</v>
      </c>
      <c r="E4821" s="16">
        <v>2022.0</v>
      </c>
      <c r="F4821" s="16">
        <v>50.0794</v>
      </c>
      <c r="G4821" s="16">
        <v>10.54</v>
      </c>
      <c r="H4821" s="15"/>
      <c r="I4821" s="15"/>
    </row>
    <row r="4822">
      <c r="A4822" s="18">
        <v>45665.0</v>
      </c>
      <c r="B4822" s="16" t="s">
        <v>5633</v>
      </c>
      <c r="C4822" s="16">
        <v>10.0</v>
      </c>
      <c r="D4822" s="16" t="s">
        <v>707</v>
      </c>
      <c r="E4822" s="16">
        <v>2022.0</v>
      </c>
      <c r="F4822" s="16">
        <v>49.1028</v>
      </c>
      <c r="G4822" s="16">
        <v>11.7556</v>
      </c>
      <c r="H4822" s="15"/>
      <c r="I4822" s="15"/>
    </row>
    <row r="4823">
      <c r="A4823" s="18">
        <v>45665.0</v>
      </c>
      <c r="B4823" s="16" t="s">
        <v>5634</v>
      </c>
      <c r="C4823" s="16" t="s">
        <v>1170</v>
      </c>
      <c r="D4823" s="16" t="s">
        <v>707</v>
      </c>
      <c r="E4823" s="16">
        <v>2022.0</v>
      </c>
      <c r="F4823" s="16">
        <v>49.1031</v>
      </c>
      <c r="G4823" s="16">
        <v>11.7543</v>
      </c>
      <c r="H4823" s="15"/>
      <c r="I4823" s="15"/>
    </row>
    <row r="4824">
      <c r="A4824" s="18">
        <v>45665.0</v>
      </c>
      <c r="B4824" s="16" t="s">
        <v>5635</v>
      </c>
      <c r="C4824" s="16" t="s">
        <v>5636</v>
      </c>
      <c r="D4824" s="16" t="s">
        <v>707</v>
      </c>
      <c r="E4824" s="16">
        <v>2022.0</v>
      </c>
      <c r="F4824" s="16">
        <v>48.345</v>
      </c>
      <c r="G4824" s="16">
        <v>9.5771</v>
      </c>
      <c r="H4824" s="15"/>
      <c r="I4824" s="15"/>
    </row>
    <row r="4825">
      <c r="A4825" s="18">
        <v>45665.0</v>
      </c>
      <c r="B4825" s="16" t="s">
        <v>5637</v>
      </c>
      <c r="C4825" s="16">
        <v>10.0</v>
      </c>
      <c r="D4825" s="16" t="s">
        <v>707</v>
      </c>
      <c r="E4825" s="16">
        <v>2022.0</v>
      </c>
      <c r="F4825" s="16">
        <v>48.9491</v>
      </c>
      <c r="G4825" s="16">
        <v>11.7927</v>
      </c>
      <c r="H4825" s="15"/>
      <c r="I4825" s="15"/>
    </row>
    <row r="4826">
      <c r="A4826" s="18">
        <v>45665.0</v>
      </c>
      <c r="B4826" s="16" t="s">
        <v>5638</v>
      </c>
      <c r="C4826" s="16" t="s">
        <v>990</v>
      </c>
      <c r="D4826" s="16" t="s">
        <v>707</v>
      </c>
      <c r="E4826" s="16">
        <v>2022.0</v>
      </c>
      <c r="F4826" s="16">
        <v>48.9481</v>
      </c>
      <c r="G4826" s="16">
        <v>11.7886</v>
      </c>
      <c r="H4826" s="15"/>
      <c r="I4826" s="15"/>
    </row>
    <row r="4827">
      <c r="A4827" s="18">
        <v>45665.0</v>
      </c>
      <c r="B4827" s="16" t="s">
        <v>5639</v>
      </c>
      <c r="C4827" s="16">
        <v>10.0</v>
      </c>
      <c r="D4827" s="16" t="s">
        <v>707</v>
      </c>
      <c r="E4827" s="16">
        <v>2022.0</v>
      </c>
      <c r="F4827" s="16">
        <v>48.8969</v>
      </c>
      <c r="G4827" s="16">
        <v>11.0254</v>
      </c>
      <c r="H4827" s="15"/>
      <c r="I4827" s="15"/>
    </row>
    <row r="4828">
      <c r="A4828" s="18">
        <v>45665.0</v>
      </c>
      <c r="B4828" s="16" t="s">
        <v>5640</v>
      </c>
      <c r="C4828" s="16">
        <v>10.0</v>
      </c>
      <c r="D4828" s="16" t="s">
        <v>707</v>
      </c>
      <c r="E4828" s="16">
        <v>2022.0</v>
      </c>
      <c r="F4828" s="16">
        <v>48.8986</v>
      </c>
      <c r="G4828" s="16">
        <v>11.0229</v>
      </c>
      <c r="H4828" s="15"/>
      <c r="I4828" s="15"/>
    </row>
    <row r="4829">
      <c r="A4829" s="18">
        <v>45665.0</v>
      </c>
      <c r="B4829" s="16" t="s">
        <v>5641</v>
      </c>
      <c r="C4829" s="16" t="s">
        <v>2404</v>
      </c>
      <c r="D4829" s="16" t="s">
        <v>707</v>
      </c>
      <c r="E4829" s="16">
        <v>2022.0</v>
      </c>
      <c r="F4829" s="16">
        <v>48.9261</v>
      </c>
      <c r="G4829" s="16">
        <v>12.7236</v>
      </c>
      <c r="H4829" s="15"/>
      <c r="I4829" s="15"/>
    </row>
    <row r="4830">
      <c r="A4830" s="18">
        <v>45665.0</v>
      </c>
      <c r="B4830" s="16" t="s">
        <v>5642</v>
      </c>
      <c r="C4830" s="16" t="s">
        <v>965</v>
      </c>
      <c r="D4830" s="16" t="s">
        <v>707</v>
      </c>
      <c r="E4830" s="16">
        <v>2022.0</v>
      </c>
      <c r="F4830" s="16">
        <v>49.5808</v>
      </c>
      <c r="G4830" s="16">
        <v>11.7979</v>
      </c>
      <c r="H4830" s="15"/>
      <c r="I4830" s="15"/>
    </row>
    <row r="4831">
      <c r="A4831" s="18">
        <v>45665.0</v>
      </c>
      <c r="B4831" s="16" t="s">
        <v>5643</v>
      </c>
      <c r="C4831" s="16" t="s">
        <v>982</v>
      </c>
      <c r="D4831" s="16" t="s">
        <v>707</v>
      </c>
      <c r="E4831" s="16">
        <v>2022.0</v>
      </c>
      <c r="F4831" s="16">
        <v>49.5807</v>
      </c>
      <c r="G4831" s="16">
        <v>11.8006</v>
      </c>
      <c r="H4831" s="15"/>
      <c r="I4831" s="15"/>
    </row>
    <row r="4832">
      <c r="A4832" s="18">
        <v>45665.0</v>
      </c>
      <c r="B4832" s="16" t="s">
        <v>5644</v>
      </c>
      <c r="C4832" s="16">
        <v>10.0</v>
      </c>
      <c r="D4832" s="16" t="s">
        <v>707</v>
      </c>
      <c r="E4832" s="16">
        <v>2022.0</v>
      </c>
      <c r="F4832" s="16">
        <v>49.5795</v>
      </c>
      <c r="G4832" s="16">
        <v>11.8026</v>
      </c>
      <c r="H4832" s="15"/>
      <c r="I4832" s="15"/>
    </row>
    <row r="4833">
      <c r="A4833" s="18">
        <v>45665.0</v>
      </c>
      <c r="B4833" s="16" t="s">
        <v>5645</v>
      </c>
      <c r="C4833" s="16">
        <v>3.0</v>
      </c>
      <c r="D4833" s="16" t="s">
        <v>707</v>
      </c>
      <c r="E4833" s="16">
        <v>2022.0</v>
      </c>
      <c r="F4833" s="16">
        <v>49.1426</v>
      </c>
      <c r="G4833" s="16">
        <v>11.9952</v>
      </c>
      <c r="H4833" s="15"/>
      <c r="I4833" s="15"/>
    </row>
    <row r="4834">
      <c r="A4834" s="18">
        <v>45665.0</v>
      </c>
      <c r="B4834" s="16" t="s">
        <v>5646</v>
      </c>
      <c r="C4834" s="16" t="s">
        <v>990</v>
      </c>
      <c r="D4834" s="16" t="s">
        <v>707</v>
      </c>
      <c r="E4834" s="16">
        <v>2022.0</v>
      </c>
      <c r="F4834" s="16">
        <v>48.6671</v>
      </c>
      <c r="G4834" s="16">
        <v>10.7259</v>
      </c>
      <c r="H4834" s="15"/>
      <c r="I4834" s="15"/>
    </row>
    <row r="4835">
      <c r="A4835" s="18">
        <v>45665.0</v>
      </c>
      <c r="B4835" s="16" t="s">
        <v>5647</v>
      </c>
      <c r="C4835" s="16" t="s">
        <v>969</v>
      </c>
      <c r="D4835" s="16" t="s">
        <v>707</v>
      </c>
      <c r="E4835" s="16">
        <v>2022.0</v>
      </c>
      <c r="F4835" s="16">
        <v>48.9264</v>
      </c>
      <c r="G4835" s="16">
        <v>12.7193</v>
      </c>
      <c r="H4835" s="15"/>
      <c r="I4835" s="15"/>
    </row>
    <row r="4836">
      <c r="A4836" s="18">
        <v>45665.0</v>
      </c>
      <c r="B4836" s="16" t="s">
        <v>5648</v>
      </c>
      <c r="C4836" s="16" t="s">
        <v>2404</v>
      </c>
      <c r="D4836" s="16" t="s">
        <v>707</v>
      </c>
      <c r="E4836" s="16">
        <v>2022.0</v>
      </c>
      <c r="F4836" s="16">
        <v>48.1601</v>
      </c>
      <c r="G4836" s="16">
        <v>10.56</v>
      </c>
      <c r="H4836" s="15"/>
      <c r="I4836" s="15"/>
    </row>
    <row r="4837">
      <c r="A4837" s="18">
        <v>45665.0</v>
      </c>
      <c r="B4837" s="16" t="s">
        <v>5649</v>
      </c>
      <c r="C4837" s="16" t="s">
        <v>969</v>
      </c>
      <c r="D4837" s="16" t="s">
        <v>707</v>
      </c>
      <c r="E4837" s="16">
        <v>2022.0</v>
      </c>
      <c r="F4837" s="16">
        <v>47.8311</v>
      </c>
      <c r="G4837" s="16">
        <v>11.8843</v>
      </c>
      <c r="H4837" s="15"/>
      <c r="I4837" s="15"/>
    </row>
    <row r="4838">
      <c r="A4838" s="18">
        <v>45665.0</v>
      </c>
      <c r="B4838" s="16" t="s">
        <v>5650</v>
      </c>
      <c r="C4838" s="16" t="s">
        <v>984</v>
      </c>
      <c r="D4838" s="16" t="s">
        <v>707</v>
      </c>
      <c r="E4838" s="16">
        <v>2022.0</v>
      </c>
      <c r="F4838" s="16">
        <v>50.1078</v>
      </c>
      <c r="G4838" s="16">
        <v>10.5474</v>
      </c>
      <c r="H4838" s="15"/>
      <c r="I4838" s="15"/>
    </row>
    <row r="4839">
      <c r="A4839" s="18">
        <v>45665.0</v>
      </c>
      <c r="B4839" s="16" t="s">
        <v>5651</v>
      </c>
      <c r="C4839" s="16" t="s">
        <v>3817</v>
      </c>
      <c r="D4839" s="16" t="s">
        <v>707</v>
      </c>
      <c r="E4839" s="16">
        <v>2022.0</v>
      </c>
      <c r="F4839" s="16">
        <v>50.9493</v>
      </c>
      <c r="G4839" s="16">
        <v>6.3632</v>
      </c>
      <c r="H4839" s="15"/>
      <c r="I4839" s="15"/>
    </row>
    <row r="4840">
      <c r="A4840" s="18">
        <v>45665.0</v>
      </c>
      <c r="B4840" s="16" t="s">
        <v>5652</v>
      </c>
      <c r="C4840" s="16">
        <v>10.0</v>
      </c>
      <c r="D4840" s="16" t="s">
        <v>707</v>
      </c>
      <c r="E4840" s="16">
        <v>2022.0</v>
      </c>
      <c r="F4840" s="16">
        <v>53.7163</v>
      </c>
      <c r="G4840" s="16">
        <v>13.2368</v>
      </c>
      <c r="H4840" s="15"/>
      <c r="I4840" s="15"/>
    </row>
    <row r="4841">
      <c r="A4841" s="18">
        <v>45665.0</v>
      </c>
      <c r="B4841" s="16" t="s">
        <v>5653</v>
      </c>
      <c r="C4841" s="16">
        <v>1.0</v>
      </c>
      <c r="D4841" s="16" t="s">
        <v>707</v>
      </c>
      <c r="E4841" s="16">
        <v>2022.0</v>
      </c>
      <c r="F4841" s="16">
        <v>53.7166</v>
      </c>
      <c r="G4841" s="16">
        <v>13.2369</v>
      </c>
      <c r="H4841" s="15"/>
      <c r="I4841" s="15"/>
    </row>
    <row r="4842">
      <c r="A4842" s="18">
        <v>45665.0</v>
      </c>
      <c r="B4842" s="16" t="s">
        <v>5654</v>
      </c>
      <c r="C4842" s="16" t="s">
        <v>1720</v>
      </c>
      <c r="D4842" s="16" t="s">
        <v>707</v>
      </c>
      <c r="E4842" s="16">
        <v>2022.0</v>
      </c>
      <c r="F4842" s="16">
        <v>49.2967</v>
      </c>
      <c r="G4842" s="16">
        <v>10.9675</v>
      </c>
      <c r="H4842" s="15"/>
      <c r="I4842" s="15"/>
    </row>
    <row r="4843">
      <c r="A4843" s="18">
        <v>45665.0</v>
      </c>
      <c r="B4843" s="16" t="s">
        <v>5655</v>
      </c>
      <c r="C4843" s="16" t="s">
        <v>971</v>
      </c>
      <c r="D4843" s="16" t="s">
        <v>707</v>
      </c>
      <c r="E4843" s="16">
        <v>2022.0</v>
      </c>
      <c r="F4843" s="16">
        <v>49.3124</v>
      </c>
      <c r="G4843" s="16">
        <v>10.9326</v>
      </c>
      <c r="H4843" s="15"/>
      <c r="I4843" s="15"/>
    </row>
    <row r="4844">
      <c r="A4844" s="18">
        <v>45665.0</v>
      </c>
      <c r="B4844" s="16" t="s">
        <v>5656</v>
      </c>
      <c r="C4844" s="16">
        <v>3.0</v>
      </c>
      <c r="D4844" s="16" t="s">
        <v>707</v>
      </c>
      <c r="E4844" s="16">
        <v>2022.0</v>
      </c>
      <c r="F4844" s="16">
        <v>48.192</v>
      </c>
      <c r="G4844" s="16">
        <v>10.465</v>
      </c>
      <c r="H4844" s="15"/>
      <c r="I4844" s="15"/>
    </row>
    <row r="4845">
      <c r="A4845" s="18">
        <v>45665.0</v>
      </c>
      <c r="B4845" s="16" t="s">
        <v>5657</v>
      </c>
      <c r="C4845" s="16" t="s">
        <v>946</v>
      </c>
      <c r="D4845" s="16" t="s">
        <v>707</v>
      </c>
      <c r="E4845" s="16">
        <v>2022.0</v>
      </c>
      <c r="F4845" s="16">
        <v>49.8026</v>
      </c>
      <c r="G4845" s="16">
        <v>6.8704</v>
      </c>
      <c r="H4845" s="15"/>
      <c r="I4845" s="15"/>
    </row>
    <row r="4846">
      <c r="A4846" s="18">
        <v>45665.0</v>
      </c>
      <c r="B4846" s="16" t="s">
        <v>5658</v>
      </c>
      <c r="C4846" s="16" t="s">
        <v>1374</v>
      </c>
      <c r="D4846" s="16" t="s">
        <v>707</v>
      </c>
      <c r="E4846" s="16">
        <v>2022.0</v>
      </c>
      <c r="F4846" s="16">
        <v>49.8026</v>
      </c>
      <c r="G4846" s="16">
        <v>6.8704</v>
      </c>
      <c r="H4846" s="15"/>
      <c r="I4846" s="15"/>
    </row>
    <row r="4847">
      <c r="A4847" s="18">
        <v>45665.0</v>
      </c>
      <c r="B4847" s="16" t="s">
        <v>5659</v>
      </c>
      <c r="C4847" s="16">
        <v>3.0</v>
      </c>
      <c r="D4847" s="16" t="s">
        <v>707</v>
      </c>
      <c r="E4847" s="16">
        <v>2022.0</v>
      </c>
      <c r="F4847" s="16">
        <v>48.7942</v>
      </c>
      <c r="G4847" s="16">
        <v>11.4643</v>
      </c>
      <c r="H4847" s="15"/>
      <c r="I4847" s="15"/>
    </row>
    <row r="4848">
      <c r="A4848" s="18">
        <v>45665.0</v>
      </c>
      <c r="B4848" s="16" t="s">
        <v>5660</v>
      </c>
      <c r="C4848" s="16" t="s">
        <v>969</v>
      </c>
      <c r="D4848" s="16" t="s">
        <v>707</v>
      </c>
      <c r="E4848" s="16">
        <v>2022.0</v>
      </c>
      <c r="F4848" s="16">
        <v>48.5226</v>
      </c>
      <c r="G4848" s="16">
        <v>9.0937</v>
      </c>
      <c r="H4848" s="15"/>
      <c r="I4848" s="15"/>
    </row>
    <row r="4849">
      <c r="A4849" s="18">
        <v>45665.0</v>
      </c>
      <c r="B4849" s="16" t="s">
        <v>5661</v>
      </c>
      <c r="C4849" s="16" t="s">
        <v>5232</v>
      </c>
      <c r="D4849" s="16" t="s">
        <v>707</v>
      </c>
      <c r="E4849" s="16">
        <v>2022.0</v>
      </c>
      <c r="F4849" s="16">
        <v>53.5123</v>
      </c>
      <c r="G4849" s="16">
        <v>10.8787</v>
      </c>
      <c r="H4849" s="15"/>
      <c r="I4849" s="15"/>
    </row>
    <row r="4850">
      <c r="A4850" s="18">
        <v>45665.0</v>
      </c>
      <c r="B4850" s="16" t="s">
        <v>5662</v>
      </c>
      <c r="C4850" s="16" t="s">
        <v>959</v>
      </c>
      <c r="D4850" s="16" t="s">
        <v>707</v>
      </c>
      <c r="E4850" s="16">
        <v>2022.0</v>
      </c>
      <c r="F4850" s="16">
        <v>51.1393</v>
      </c>
      <c r="G4850" s="16">
        <v>12.0033</v>
      </c>
      <c r="H4850" s="15"/>
      <c r="I4850" s="15"/>
    </row>
    <row r="4851">
      <c r="A4851" s="18">
        <v>45665.0</v>
      </c>
      <c r="B4851" s="16" t="s">
        <v>5663</v>
      </c>
      <c r="C4851" s="16" t="s">
        <v>1720</v>
      </c>
      <c r="D4851" s="16" t="s">
        <v>707</v>
      </c>
      <c r="E4851" s="16">
        <v>2022.0</v>
      </c>
      <c r="F4851" s="16">
        <v>50.2296</v>
      </c>
      <c r="G4851" s="16">
        <v>10.9951</v>
      </c>
      <c r="H4851" s="15"/>
      <c r="I4851" s="15"/>
    </row>
    <row r="4852">
      <c r="A4852" s="18">
        <v>45665.0</v>
      </c>
      <c r="B4852" s="16" t="s">
        <v>5664</v>
      </c>
      <c r="C4852" s="16" t="s">
        <v>5665</v>
      </c>
      <c r="D4852" s="16" t="s">
        <v>707</v>
      </c>
      <c r="E4852" s="16">
        <v>2022.0</v>
      </c>
      <c r="F4852" s="16">
        <v>51.4774</v>
      </c>
      <c r="G4852" s="16">
        <v>14.6913</v>
      </c>
      <c r="H4852" s="15"/>
      <c r="I4852" s="15"/>
    </row>
    <row r="4853">
      <c r="A4853" s="18">
        <v>45665.0</v>
      </c>
      <c r="B4853" s="16" t="s">
        <v>5666</v>
      </c>
      <c r="C4853" s="16" t="s">
        <v>1096</v>
      </c>
      <c r="D4853" s="16" t="s">
        <v>707</v>
      </c>
      <c r="E4853" s="16">
        <v>2022.0</v>
      </c>
      <c r="F4853" s="16">
        <v>51.4774</v>
      </c>
      <c r="G4853" s="16">
        <v>14.6913</v>
      </c>
      <c r="H4853" s="15"/>
      <c r="I4853" s="15"/>
    </row>
    <row r="4854">
      <c r="A4854" s="18">
        <v>45665.0</v>
      </c>
      <c r="B4854" s="16" t="s">
        <v>5667</v>
      </c>
      <c r="C4854" s="16">
        <v>5.0</v>
      </c>
      <c r="D4854" s="16" t="s">
        <v>707</v>
      </c>
      <c r="E4854" s="16">
        <v>2022.0</v>
      </c>
      <c r="F4854" s="16">
        <v>49.6696</v>
      </c>
      <c r="G4854" s="16">
        <v>10.5534</v>
      </c>
      <c r="H4854" s="15"/>
      <c r="I4854" s="15"/>
    </row>
    <row r="4855">
      <c r="A4855" s="18">
        <v>45665.0</v>
      </c>
      <c r="B4855" s="16" t="s">
        <v>5668</v>
      </c>
      <c r="C4855" s="16">
        <v>6.0</v>
      </c>
      <c r="D4855" s="16" t="s">
        <v>707</v>
      </c>
      <c r="E4855" s="16">
        <v>2022.0</v>
      </c>
      <c r="F4855" s="16">
        <v>50.3729</v>
      </c>
      <c r="G4855" s="16">
        <v>10.3123</v>
      </c>
      <c r="H4855" s="15"/>
      <c r="I4855" s="15"/>
    </row>
    <row r="4856">
      <c r="A4856" s="18">
        <v>45665.0</v>
      </c>
      <c r="B4856" s="16" t="s">
        <v>5669</v>
      </c>
      <c r="C4856" s="16" t="s">
        <v>2498</v>
      </c>
      <c r="D4856" s="16" t="s">
        <v>707</v>
      </c>
      <c r="E4856" s="16">
        <v>2022.0</v>
      </c>
      <c r="F4856" s="16">
        <v>49.4728</v>
      </c>
      <c r="G4856" s="16">
        <v>12.4242</v>
      </c>
      <c r="H4856" s="15"/>
      <c r="I4856" s="15"/>
    </row>
    <row r="4857">
      <c r="A4857" s="18">
        <v>45665.0</v>
      </c>
      <c r="B4857" s="16" t="s">
        <v>5670</v>
      </c>
      <c r="C4857" s="16" t="s">
        <v>1475</v>
      </c>
      <c r="D4857" s="16" t="s">
        <v>707</v>
      </c>
      <c r="E4857" s="16">
        <v>2022.0</v>
      </c>
      <c r="F4857" s="16">
        <v>49.4708</v>
      </c>
      <c r="G4857" s="16">
        <v>12.4142</v>
      </c>
      <c r="H4857" s="15"/>
      <c r="I4857" s="15"/>
    </row>
    <row r="4858">
      <c r="A4858" s="18">
        <v>45665.0</v>
      </c>
      <c r="B4858" s="16" t="s">
        <v>5671</v>
      </c>
      <c r="C4858" s="16" t="s">
        <v>5672</v>
      </c>
      <c r="D4858" s="16" t="s">
        <v>707</v>
      </c>
      <c r="E4858" s="16">
        <v>2022.0</v>
      </c>
      <c r="F4858" s="16">
        <v>49.0942</v>
      </c>
      <c r="G4858" s="16">
        <v>11.5068</v>
      </c>
      <c r="H4858" s="15"/>
      <c r="I4858" s="15"/>
    </row>
    <row r="4859">
      <c r="A4859" s="18">
        <v>45665.0</v>
      </c>
      <c r="B4859" s="16" t="s">
        <v>5673</v>
      </c>
      <c r="C4859" s="16" t="s">
        <v>1059</v>
      </c>
      <c r="D4859" s="16" t="s">
        <v>707</v>
      </c>
      <c r="E4859" s="16">
        <v>2022.0</v>
      </c>
      <c r="F4859" s="16">
        <v>49.0959</v>
      </c>
      <c r="G4859" s="16">
        <v>11.5043</v>
      </c>
      <c r="H4859" s="15"/>
      <c r="I4859" s="15"/>
    </row>
    <row r="4860">
      <c r="A4860" s="18">
        <v>45665.0</v>
      </c>
      <c r="B4860" s="16" t="s">
        <v>5674</v>
      </c>
      <c r="C4860" s="16" t="s">
        <v>2342</v>
      </c>
      <c r="D4860" s="16" t="s">
        <v>707</v>
      </c>
      <c r="E4860" s="16">
        <v>2022.0</v>
      </c>
      <c r="F4860" s="16">
        <v>52.0321</v>
      </c>
      <c r="G4860" s="16">
        <v>11.2508</v>
      </c>
      <c r="H4860" s="15"/>
      <c r="I4860" s="15"/>
    </row>
    <row r="4861">
      <c r="A4861" s="18">
        <v>45665.0</v>
      </c>
      <c r="B4861" s="16" t="s">
        <v>5675</v>
      </c>
      <c r="C4861" s="16">
        <v>15.0</v>
      </c>
      <c r="D4861" s="16" t="s">
        <v>707</v>
      </c>
      <c r="E4861" s="16">
        <v>2022.0</v>
      </c>
      <c r="F4861" s="16">
        <v>49.0856</v>
      </c>
      <c r="G4861" s="16">
        <v>10.9872</v>
      </c>
      <c r="H4861" s="15"/>
      <c r="I4861" s="15"/>
    </row>
    <row r="4862">
      <c r="A4862" s="18">
        <v>45665.0</v>
      </c>
      <c r="B4862" s="16" t="s">
        <v>5676</v>
      </c>
      <c r="C4862" s="16" t="s">
        <v>1090</v>
      </c>
      <c r="D4862" s="16" t="s">
        <v>707</v>
      </c>
      <c r="E4862" s="16">
        <v>2022.0</v>
      </c>
      <c r="F4862" s="16">
        <v>54.0836</v>
      </c>
      <c r="G4862" s="16">
        <v>11.9515</v>
      </c>
      <c r="H4862" s="15"/>
      <c r="I4862" s="15"/>
    </row>
    <row r="4863">
      <c r="A4863" s="18">
        <v>45665.0</v>
      </c>
      <c r="B4863" s="16" t="s">
        <v>5677</v>
      </c>
      <c r="C4863" s="16" t="s">
        <v>1215</v>
      </c>
      <c r="D4863" s="16" t="s">
        <v>707</v>
      </c>
      <c r="E4863" s="16">
        <v>2022.0</v>
      </c>
      <c r="F4863" s="16">
        <v>53.52</v>
      </c>
      <c r="G4863" s="16">
        <v>14.053</v>
      </c>
      <c r="H4863" s="15"/>
      <c r="I4863" s="15"/>
    </row>
    <row r="4864">
      <c r="A4864" s="18">
        <v>45665.0</v>
      </c>
      <c r="B4864" s="16" t="s">
        <v>5678</v>
      </c>
      <c r="C4864" s="16" t="s">
        <v>1096</v>
      </c>
      <c r="D4864" s="16" t="s">
        <v>707</v>
      </c>
      <c r="E4864" s="16">
        <v>2022.0</v>
      </c>
      <c r="F4864" s="16">
        <v>53.52</v>
      </c>
      <c r="G4864" s="16">
        <v>14.053</v>
      </c>
      <c r="H4864" s="15"/>
      <c r="I4864" s="15"/>
    </row>
    <row r="4865">
      <c r="A4865" s="18">
        <v>45665.0</v>
      </c>
      <c r="B4865" s="16" t="s">
        <v>5679</v>
      </c>
      <c r="C4865" s="16">
        <v>7.0</v>
      </c>
      <c r="D4865" s="16" t="s">
        <v>707</v>
      </c>
      <c r="E4865" s="16">
        <v>2022.0</v>
      </c>
      <c r="F4865" s="16">
        <v>48.4747</v>
      </c>
      <c r="G4865" s="16">
        <v>11.1024</v>
      </c>
      <c r="H4865" s="15"/>
      <c r="I4865" s="15"/>
    </row>
    <row r="4866">
      <c r="A4866" s="18">
        <v>45665.0</v>
      </c>
      <c r="B4866" s="16" t="s">
        <v>5680</v>
      </c>
      <c r="C4866" s="16" t="s">
        <v>1167</v>
      </c>
      <c r="D4866" s="16" t="s">
        <v>707</v>
      </c>
      <c r="E4866" s="16">
        <v>2022.0</v>
      </c>
      <c r="F4866" s="16">
        <v>48.5284</v>
      </c>
      <c r="G4866" s="16">
        <v>10.9653</v>
      </c>
      <c r="H4866" s="15"/>
      <c r="I4866" s="15"/>
    </row>
    <row r="4867">
      <c r="A4867" s="18">
        <v>45665.0</v>
      </c>
      <c r="B4867" s="16" t="s">
        <v>5681</v>
      </c>
      <c r="C4867" s="16" t="s">
        <v>1170</v>
      </c>
      <c r="D4867" s="16" t="s">
        <v>707</v>
      </c>
      <c r="E4867" s="16">
        <v>2022.0</v>
      </c>
      <c r="F4867" s="16">
        <v>49.8264</v>
      </c>
      <c r="G4867" s="16">
        <v>11.6668</v>
      </c>
      <c r="H4867" s="15"/>
      <c r="I4867" s="15"/>
    </row>
    <row r="4868">
      <c r="A4868" s="18">
        <v>45665.0</v>
      </c>
      <c r="B4868" s="16" t="s">
        <v>5682</v>
      </c>
      <c r="C4868" s="16" t="s">
        <v>1751</v>
      </c>
      <c r="D4868" s="16" t="s">
        <v>707</v>
      </c>
      <c r="E4868" s="16">
        <v>2022.0</v>
      </c>
      <c r="F4868" s="16">
        <v>48.3894</v>
      </c>
      <c r="G4868" s="16">
        <v>11.1958</v>
      </c>
      <c r="H4868" s="15"/>
      <c r="I4868" s="15"/>
    </row>
    <row r="4869">
      <c r="A4869" s="18">
        <v>45665.0</v>
      </c>
      <c r="B4869" s="16" t="s">
        <v>5683</v>
      </c>
      <c r="C4869" s="16" t="s">
        <v>1720</v>
      </c>
      <c r="D4869" s="16" t="s">
        <v>707</v>
      </c>
      <c r="E4869" s="16">
        <v>2022.0</v>
      </c>
      <c r="F4869" s="16">
        <v>50.1256</v>
      </c>
      <c r="G4869" s="16">
        <v>10.0721</v>
      </c>
      <c r="H4869" s="15"/>
      <c r="I4869" s="15"/>
    </row>
    <row r="4870">
      <c r="A4870" s="18">
        <v>45665.0</v>
      </c>
      <c r="B4870" s="16" t="s">
        <v>5684</v>
      </c>
      <c r="C4870" s="16">
        <v>7.0</v>
      </c>
      <c r="D4870" s="16" t="s">
        <v>707</v>
      </c>
      <c r="E4870" s="16">
        <v>2022.0</v>
      </c>
      <c r="F4870" s="16">
        <v>48.5607</v>
      </c>
      <c r="G4870" s="16">
        <v>12.0456</v>
      </c>
      <c r="H4870" s="15"/>
      <c r="I4870" s="15"/>
    </row>
    <row r="4871">
      <c r="A4871" s="18">
        <v>45665.0</v>
      </c>
      <c r="B4871" s="16" t="s">
        <v>5685</v>
      </c>
      <c r="C4871" s="16">
        <v>4.0</v>
      </c>
      <c r="D4871" s="16" t="s">
        <v>707</v>
      </c>
      <c r="E4871" s="16">
        <v>2022.0</v>
      </c>
      <c r="F4871" s="16">
        <v>49.5873</v>
      </c>
      <c r="G4871" s="16">
        <v>10.2342</v>
      </c>
      <c r="H4871" s="15"/>
      <c r="I4871" s="15"/>
    </row>
    <row r="4872">
      <c r="A4872" s="18">
        <v>45665.0</v>
      </c>
      <c r="B4872" s="16" t="s">
        <v>5686</v>
      </c>
      <c r="C4872" s="16" t="s">
        <v>961</v>
      </c>
      <c r="D4872" s="16" t="s">
        <v>707</v>
      </c>
      <c r="E4872" s="16">
        <v>2022.0</v>
      </c>
      <c r="F4872" s="16">
        <v>51.2223</v>
      </c>
      <c r="G4872" s="16">
        <v>11.126</v>
      </c>
      <c r="H4872" s="15"/>
      <c r="I4872" s="15"/>
    </row>
    <row r="4873">
      <c r="A4873" s="18">
        <v>45665.0</v>
      </c>
      <c r="B4873" s="16" t="s">
        <v>5687</v>
      </c>
      <c r="C4873" s="16">
        <v>8.0</v>
      </c>
      <c r="D4873" s="16" t="s">
        <v>707</v>
      </c>
      <c r="E4873" s="16">
        <v>2022.0</v>
      </c>
      <c r="F4873" s="16">
        <v>48.4124</v>
      </c>
      <c r="G4873" s="16">
        <v>11.2248</v>
      </c>
      <c r="H4873" s="15"/>
      <c r="I4873" s="15"/>
    </row>
    <row r="4874">
      <c r="A4874" s="18">
        <v>45665.0</v>
      </c>
      <c r="B4874" s="16" t="s">
        <v>5688</v>
      </c>
      <c r="C4874" s="16" t="s">
        <v>1094</v>
      </c>
      <c r="D4874" s="16" t="s">
        <v>707</v>
      </c>
      <c r="E4874" s="16">
        <v>2022.0</v>
      </c>
      <c r="F4874" s="16">
        <v>49.7987</v>
      </c>
      <c r="G4874" s="16">
        <v>10.9086</v>
      </c>
      <c r="H4874" s="15"/>
      <c r="I4874" s="15"/>
    </row>
    <row r="4875">
      <c r="A4875" s="18">
        <v>45665.0</v>
      </c>
      <c r="B4875" s="16" t="s">
        <v>5689</v>
      </c>
      <c r="C4875" s="16" t="s">
        <v>2457</v>
      </c>
      <c r="D4875" s="16" t="s">
        <v>707</v>
      </c>
      <c r="E4875" s="16">
        <v>2022.0</v>
      </c>
      <c r="F4875" s="16">
        <v>50.2832</v>
      </c>
      <c r="G4875" s="16">
        <v>9.3846</v>
      </c>
      <c r="H4875" s="15"/>
      <c r="I4875" s="15"/>
    </row>
    <row r="4876">
      <c r="A4876" s="18">
        <v>45665.0</v>
      </c>
      <c r="B4876" s="16" t="s">
        <v>5690</v>
      </c>
      <c r="C4876" s="16" t="s">
        <v>1039</v>
      </c>
      <c r="D4876" s="16" t="s">
        <v>707</v>
      </c>
      <c r="E4876" s="16">
        <v>2022.0</v>
      </c>
      <c r="F4876" s="16">
        <v>50.2833</v>
      </c>
      <c r="G4876" s="16">
        <v>9.3842</v>
      </c>
      <c r="H4876" s="15"/>
      <c r="I4876" s="15"/>
    </row>
    <row r="4877">
      <c r="A4877" s="18">
        <v>45665.0</v>
      </c>
      <c r="B4877" s="16" t="s">
        <v>5691</v>
      </c>
      <c r="C4877" s="16">
        <v>10.0</v>
      </c>
      <c r="D4877" s="16" t="s">
        <v>707</v>
      </c>
      <c r="E4877" s="16">
        <v>2022.0</v>
      </c>
      <c r="F4877" s="16">
        <v>49.6641</v>
      </c>
      <c r="G4877" s="16">
        <v>10.439</v>
      </c>
      <c r="H4877" s="15"/>
      <c r="I4877" s="15"/>
    </row>
    <row r="4878">
      <c r="A4878" s="18">
        <v>45665.0</v>
      </c>
      <c r="B4878" s="16" t="s">
        <v>5691</v>
      </c>
      <c r="C4878" s="16" t="s">
        <v>1310</v>
      </c>
      <c r="D4878" s="16" t="s">
        <v>707</v>
      </c>
      <c r="E4878" s="16">
        <v>2022.0</v>
      </c>
      <c r="F4878" s="16">
        <v>49.6635</v>
      </c>
      <c r="G4878" s="16">
        <v>10.4356</v>
      </c>
      <c r="H4878" s="15"/>
      <c r="I4878" s="15"/>
    </row>
    <row r="4879">
      <c r="A4879" s="18">
        <v>45665.0</v>
      </c>
      <c r="B4879" s="16" t="s">
        <v>5692</v>
      </c>
      <c r="C4879" s="16" t="s">
        <v>3505</v>
      </c>
      <c r="D4879" s="16" t="s">
        <v>707</v>
      </c>
      <c r="E4879" s="16">
        <v>2022.0</v>
      </c>
      <c r="F4879" s="16">
        <v>49.6213</v>
      </c>
      <c r="G4879" s="16">
        <v>11.3507</v>
      </c>
      <c r="H4879" s="15"/>
      <c r="I4879" s="15"/>
    </row>
    <row r="4880">
      <c r="A4880" s="18">
        <v>45665.0</v>
      </c>
      <c r="B4880" s="16" t="s">
        <v>5693</v>
      </c>
      <c r="C4880" s="16" t="s">
        <v>2421</v>
      </c>
      <c r="D4880" s="16" t="s">
        <v>707</v>
      </c>
      <c r="E4880" s="16">
        <v>2022.0</v>
      </c>
      <c r="F4880" s="16">
        <v>54.1353</v>
      </c>
      <c r="G4880" s="16">
        <v>10.213</v>
      </c>
      <c r="H4880" s="15"/>
      <c r="I4880" s="15"/>
    </row>
    <row r="4881">
      <c r="A4881" s="18">
        <v>45665.0</v>
      </c>
      <c r="B4881" s="16" t="s">
        <v>5694</v>
      </c>
      <c r="C4881" s="16" t="s">
        <v>961</v>
      </c>
      <c r="D4881" s="16" t="s">
        <v>707</v>
      </c>
      <c r="E4881" s="16">
        <v>2022.0</v>
      </c>
      <c r="F4881" s="16">
        <v>48.8965</v>
      </c>
      <c r="G4881" s="16">
        <v>12.7686</v>
      </c>
      <c r="H4881" s="15"/>
      <c r="I4881" s="15"/>
    </row>
    <row r="4882">
      <c r="A4882" s="18">
        <v>45665.0</v>
      </c>
      <c r="B4882" s="16" t="s">
        <v>5695</v>
      </c>
      <c r="C4882" s="16">
        <v>10.0</v>
      </c>
      <c r="D4882" s="16" t="s">
        <v>707</v>
      </c>
      <c r="E4882" s="16">
        <v>2022.0</v>
      </c>
      <c r="F4882" s="16">
        <v>48.3972</v>
      </c>
      <c r="G4882" s="16">
        <v>11.0474</v>
      </c>
      <c r="H4882" s="15"/>
      <c r="I4882" s="15"/>
    </row>
    <row r="4883">
      <c r="A4883" s="18">
        <v>45665.0</v>
      </c>
      <c r="B4883" s="16" t="s">
        <v>5696</v>
      </c>
      <c r="C4883" s="16" t="s">
        <v>948</v>
      </c>
      <c r="D4883" s="16" t="s">
        <v>707</v>
      </c>
      <c r="E4883" s="16">
        <v>2022.0</v>
      </c>
      <c r="F4883" s="16">
        <v>48.3978</v>
      </c>
      <c r="G4883" s="16">
        <v>11.047</v>
      </c>
      <c r="H4883" s="15"/>
      <c r="I4883" s="15"/>
    </row>
    <row r="4884">
      <c r="A4884" s="18">
        <v>45665.0</v>
      </c>
      <c r="B4884" s="16" t="s">
        <v>5697</v>
      </c>
      <c r="C4884" s="16" t="s">
        <v>1037</v>
      </c>
      <c r="D4884" s="16" t="s">
        <v>707</v>
      </c>
      <c r="E4884" s="16">
        <v>2022.0</v>
      </c>
      <c r="F4884" s="16">
        <v>50.1913</v>
      </c>
      <c r="G4884" s="16">
        <v>10.9915</v>
      </c>
      <c r="H4884" s="15"/>
      <c r="I4884" s="15"/>
    </row>
    <row r="4885">
      <c r="A4885" s="18">
        <v>45665.0</v>
      </c>
      <c r="B4885" s="16" t="s">
        <v>5698</v>
      </c>
      <c r="C4885" s="16">
        <v>10.0</v>
      </c>
      <c r="D4885" s="16" t="s">
        <v>707</v>
      </c>
      <c r="E4885" s="16">
        <v>2022.0</v>
      </c>
      <c r="F4885" s="16">
        <v>49.3512</v>
      </c>
      <c r="G4885" s="16">
        <v>11.7806</v>
      </c>
      <c r="H4885" s="15"/>
      <c r="I4885" s="15"/>
    </row>
    <row r="4886">
      <c r="A4886" s="18">
        <v>45665.0</v>
      </c>
      <c r="B4886" s="16" t="s">
        <v>5699</v>
      </c>
      <c r="C4886" s="16">
        <v>4.0</v>
      </c>
      <c r="D4886" s="16" t="s">
        <v>707</v>
      </c>
      <c r="E4886" s="16">
        <v>2022.0</v>
      </c>
      <c r="F4886" s="16">
        <v>49.3512</v>
      </c>
      <c r="G4886" s="16">
        <v>11.7805</v>
      </c>
      <c r="H4886" s="15"/>
      <c r="I4886" s="15"/>
    </row>
    <row r="4887">
      <c r="A4887" s="18">
        <v>45665.0</v>
      </c>
      <c r="B4887" s="16" t="s">
        <v>5700</v>
      </c>
      <c r="C4887" s="16" t="s">
        <v>2150</v>
      </c>
      <c r="D4887" s="16" t="s">
        <v>707</v>
      </c>
      <c r="E4887" s="16">
        <v>2022.0</v>
      </c>
      <c r="F4887" s="16">
        <v>50.644</v>
      </c>
      <c r="G4887" s="16">
        <v>6.7286</v>
      </c>
      <c r="H4887" s="15"/>
      <c r="I4887" s="15"/>
    </row>
    <row r="4888">
      <c r="A4888" s="18">
        <v>45665.0</v>
      </c>
      <c r="B4888" s="16" t="s">
        <v>5701</v>
      </c>
      <c r="C4888" s="16" t="s">
        <v>1745</v>
      </c>
      <c r="D4888" s="16" t="s">
        <v>707</v>
      </c>
      <c r="E4888" s="16">
        <v>2022.0</v>
      </c>
      <c r="F4888" s="16">
        <v>50.1868</v>
      </c>
      <c r="G4888" s="16">
        <v>9.7874</v>
      </c>
      <c r="H4888" s="15"/>
      <c r="I4888" s="15"/>
    </row>
    <row r="4889">
      <c r="A4889" s="18">
        <v>45665.0</v>
      </c>
      <c r="B4889" s="16" t="s">
        <v>5702</v>
      </c>
      <c r="C4889" s="16">
        <v>10.0</v>
      </c>
      <c r="D4889" s="16" t="s">
        <v>707</v>
      </c>
      <c r="E4889" s="16">
        <v>2022.0</v>
      </c>
      <c r="F4889" s="16">
        <v>54.1108</v>
      </c>
      <c r="G4889" s="16">
        <v>13.3426</v>
      </c>
      <c r="H4889" s="15"/>
      <c r="I4889" s="15"/>
    </row>
    <row r="4890">
      <c r="A4890" s="18">
        <v>45665.0</v>
      </c>
      <c r="B4890" s="16" t="s">
        <v>5703</v>
      </c>
      <c r="C4890" s="16">
        <v>10.0</v>
      </c>
      <c r="D4890" s="16" t="s">
        <v>707</v>
      </c>
      <c r="E4890" s="16">
        <v>2022.0</v>
      </c>
      <c r="F4890" s="16">
        <v>49.6689</v>
      </c>
      <c r="G4890" s="16">
        <v>11.2088</v>
      </c>
      <c r="H4890" s="15"/>
      <c r="I4890" s="15"/>
    </row>
    <row r="4891">
      <c r="A4891" s="18">
        <v>45665.0</v>
      </c>
      <c r="B4891" s="16" t="s">
        <v>5704</v>
      </c>
      <c r="C4891" s="16">
        <v>10.0</v>
      </c>
      <c r="D4891" s="16" t="s">
        <v>707</v>
      </c>
      <c r="E4891" s="16">
        <v>2022.0</v>
      </c>
      <c r="F4891" s="16">
        <v>49.6721</v>
      </c>
      <c r="G4891" s="16">
        <v>11.2024</v>
      </c>
      <c r="H4891" s="15"/>
      <c r="I4891" s="15"/>
    </row>
    <row r="4892">
      <c r="A4892" s="18">
        <v>45665.0</v>
      </c>
      <c r="B4892" s="16" t="s">
        <v>5705</v>
      </c>
      <c r="C4892" s="16" t="s">
        <v>965</v>
      </c>
      <c r="D4892" s="16" t="s">
        <v>707</v>
      </c>
      <c r="E4892" s="16">
        <v>2022.0</v>
      </c>
      <c r="F4892" s="16">
        <v>47.753</v>
      </c>
      <c r="G4892" s="16">
        <v>10.2138</v>
      </c>
      <c r="H4892" s="15"/>
      <c r="I4892" s="15"/>
    </row>
    <row r="4893">
      <c r="A4893" s="18">
        <v>45665.0</v>
      </c>
      <c r="B4893" s="16" t="s">
        <v>5706</v>
      </c>
      <c r="C4893" s="16">
        <v>5.0</v>
      </c>
      <c r="D4893" s="16" t="s">
        <v>707</v>
      </c>
      <c r="E4893" s="16">
        <v>2022.0</v>
      </c>
      <c r="F4893" s="16">
        <v>54.0112</v>
      </c>
      <c r="G4893" s="16">
        <v>10.1174</v>
      </c>
      <c r="H4893" s="15"/>
      <c r="I4893" s="15"/>
    </row>
    <row r="4894">
      <c r="A4894" s="18">
        <v>45665.0</v>
      </c>
      <c r="B4894" s="16" t="s">
        <v>5707</v>
      </c>
      <c r="C4894" s="16" t="s">
        <v>3086</v>
      </c>
      <c r="D4894" s="16" t="s">
        <v>707</v>
      </c>
      <c r="E4894" s="16">
        <v>2022.0</v>
      </c>
      <c r="F4894" s="16">
        <v>48.4635</v>
      </c>
      <c r="G4894" s="16">
        <v>10.5193</v>
      </c>
      <c r="H4894" s="15"/>
      <c r="I4894" s="15"/>
    </row>
    <row r="4895">
      <c r="A4895" s="18">
        <v>45665.0</v>
      </c>
      <c r="B4895" s="16" t="s">
        <v>5708</v>
      </c>
      <c r="C4895" s="16" t="s">
        <v>969</v>
      </c>
      <c r="D4895" s="16" t="s">
        <v>707</v>
      </c>
      <c r="E4895" s="16">
        <v>2022.0</v>
      </c>
      <c r="F4895" s="16">
        <v>47.8547</v>
      </c>
      <c r="G4895" s="16">
        <v>9.7929</v>
      </c>
      <c r="H4895" s="15"/>
      <c r="I4895" s="15"/>
    </row>
    <row r="4896">
      <c r="A4896" s="18">
        <v>45665.0</v>
      </c>
      <c r="B4896" s="16" t="s">
        <v>5709</v>
      </c>
      <c r="C4896" s="16" t="s">
        <v>965</v>
      </c>
      <c r="D4896" s="16" t="s">
        <v>707</v>
      </c>
      <c r="E4896" s="16">
        <v>2022.0</v>
      </c>
      <c r="F4896" s="16">
        <v>52.8852</v>
      </c>
      <c r="G4896" s="16">
        <v>12.3729</v>
      </c>
      <c r="H4896" s="15"/>
      <c r="I4896" s="15"/>
    </row>
    <row r="4897">
      <c r="A4897" s="18">
        <v>45665.0</v>
      </c>
      <c r="B4897" s="16" t="s">
        <v>5710</v>
      </c>
      <c r="C4897" s="16" t="s">
        <v>1277</v>
      </c>
      <c r="D4897" s="16" t="s">
        <v>707</v>
      </c>
      <c r="E4897" s="16">
        <v>2022.0</v>
      </c>
      <c r="F4897" s="16">
        <v>49.4469</v>
      </c>
      <c r="G4897" s="16">
        <v>11.8166</v>
      </c>
      <c r="H4897" s="15"/>
      <c r="I4897" s="15"/>
    </row>
    <row r="4898">
      <c r="A4898" s="18">
        <v>45665.0</v>
      </c>
      <c r="B4898" s="16" t="s">
        <v>5711</v>
      </c>
      <c r="C4898" s="16" t="s">
        <v>1720</v>
      </c>
      <c r="D4898" s="16" t="s">
        <v>707</v>
      </c>
      <c r="E4898" s="16">
        <v>2022.0</v>
      </c>
      <c r="F4898" s="16">
        <v>48.9052</v>
      </c>
      <c r="G4898" s="16">
        <v>10.9574</v>
      </c>
      <c r="H4898" s="15"/>
      <c r="I4898" s="15"/>
    </row>
    <row r="4899">
      <c r="A4899" s="18">
        <v>45665.0</v>
      </c>
      <c r="B4899" s="16" t="s">
        <v>5712</v>
      </c>
      <c r="C4899" s="16">
        <v>4.0</v>
      </c>
      <c r="D4899" s="16" t="s">
        <v>707</v>
      </c>
      <c r="E4899" s="16">
        <v>2022.0</v>
      </c>
      <c r="F4899" s="16">
        <v>49.544</v>
      </c>
      <c r="G4899" s="16">
        <v>12.329</v>
      </c>
      <c r="H4899" s="15"/>
      <c r="I4899" s="15"/>
    </row>
    <row r="4900">
      <c r="A4900" s="18">
        <v>45665.0</v>
      </c>
      <c r="B4900" s="16" t="s">
        <v>5713</v>
      </c>
      <c r="C4900" s="16" t="s">
        <v>1609</v>
      </c>
      <c r="D4900" s="16" t="s">
        <v>707</v>
      </c>
      <c r="E4900" s="16">
        <v>2022.0</v>
      </c>
      <c r="F4900" s="16">
        <v>50.8244</v>
      </c>
      <c r="G4900" s="16">
        <v>8.9832</v>
      </c>
      <c r="H4900" s="15"/>
      <c r="I4900" s="15"/>
    </row>
    <row r="4901">
      <c r="A4901" s="18">
        <v>45665.0</v>
      </c>
      <c r="B4901" s="16" t="s">
        <v>5714</v>
      </c>
      <c r="C4901" s="16" t="s">
        <v>1034</v>
      </c>
      <c r="D4901" s="16" t="s">
        <v>707</v>
      </c>
      <c r="E4901" s="16">
        <v>2022.0</v>
      </c>
      <c r="F4901" s="16">
        <v>53.7145</v>
      </c>
      <c r="G4901" s="16">
        <v>12.9065</v>
      </c>
      <c r="H4901" s="15"/>
      <c r="I4901" s="15"/>
    </row>
    <row r="4902">
      <c r="A4902" s="18">
        <v>45665.0</v>
      </c>
      <c r="B4902" s="16" t="s">
        <v>5715</v>
      </c>
      <c r="C4902" s="16" t="s">
        <v>1007</v>
      </c>
      <c r="D4902" s="16" t="s">
        <v>707</v>
      </c>
      <c r="E4902" s="16">
        <v>2022.0</v>
      </c>
      <c r="F4902" s="16">
        <v>49.2983</v>
      </c>
      <c r="G4902" s="16">
        <v>9.6837</v>
      </c>
      <c r="H4902" s="15"/>
      <c r="I4902" s="15"/>
    </row>
    <row r="4903">
      <c r="A4903" s="18">
        <v>45665.0</v>
      </c>
      <c r="B4903" s="16" t="s">
        <v>5716</v>
      </c>
      <c r="C4903" s="16" t="s">
        <v>5342</v>
      </c>
      <c r="D4903" s="16" t="s">
        <v>707</v>
      </c>
      <c r="E4903" s="16">
        <v>2022.0</v>
      </c>
      <c r="F4903" s="16">
        <v>53.9225</v>
      </c>
      <c r="G4903" s="16">
        <v>10.4895</v>
      </c>
      <c r="H4903" s="15"/>
      <c r="I4903" s="15"/>
    </row>
    <row r="4904">
      <c r="A4904" s="18">
        <v>45665.0</v>
      </c>
      <c r="B4904" s="16" t="s">
        <v>5717</v>
      </c>
      <c r="C4904" s="16" t="s">
        <v>1267</v>
      </c>
      <c r="D4904" s="16" t="s">
        <v>707</v>
      </c>
      <c r="E4904" s="16">
        <v>2022.0</v>
      </c>
      <c r="F4904" s="16">
        <v>48.1828</v>
      </c>
      <c r="G4904" s="16">
        <v>10.1754</v>
      </c>
      <c r="H4904" s="15"/>
      <c r="I4904" s="15"/>
    </row>
    <row r="4905">
      <c r="A4905" s="18">
        <v>45665.0</v>
      </c>
      <c r="B4905" s="16" t="s">
        <v>5718</v>
      </c>
      <c r="C4905" s="16" t="s">
        <v>1454</v>
      </c>
      <c r="D4905" s="16" t="s">
        <v>707</v>
      </c>
      <c r="E4905" s="16">
        <v>2022.0</v>
      </c>
      <c r="F4905" s="16">
        <v>51.8484</v>
      </c>
      <c r="G4905" s="16">
        <v>13.6088</v>
      </c>
      <c r="H4905" s="15"/>
      <c r="I4905" s="15"/>
    </row>
    <row r="4906">
      <c r="A4906" s="18">
        <v>45665.0</v>
      </c>
      <c r="B4906" s="16" t="s">
        <v>5719</v>
      </c>
      <c r="C4906" s="16" t="s">
        <v>961</v>
      </c>
      <c r="D4906" s="16" t="s">
        <v>707</v>
      </c>
      <c r="E4906" s="16">
        <v>2022.0</v>
      </c>
      <c r="F4906" s="16">
        <v>53.4252</v>
      </c>
      <c r="G4906" s="16">
        <v>9.9568</v>
      </c>
      <c r="H4906" s="15"/>
      <c r="I4906" s="15"/>
    </row>
    <row r="4907">
      <c r="A4907" s="18">
        <v>45665.0</v>
      </c>
      <c r="B4907" s="16" t="s">
        <v>5720</v>
      </c>
      <c r="C4907" s="16" t="s">
        <v>1167</v>
      </c>
      <c r="D4907" s="16" t="s">
        <v>707</v>
      </c>
      <c r="E4907" s="16">
        <v>2022.0</v>
      </c>
      <c r="F4907" s="16">
        <v>49.8179</v>
      </c>
      <c r="G4907" s="16">
        <v>11.8855</v>
      </c>
      <c r="H4907" s="15"/>
      <c r="I4907" s="15"/>
    </row>
    <row r="4908">
      <c r="A4908" s="18">
        <v>45665.0</v>
      </c>
      <c r="B4908" s="16" t="s">
        <v>5721</v>
      </c>
      <c r="C4908" s="16">
        <v>6.0</v>
      </c>
      <c r="D4908" s="16" t="s">
        <v>707</v>
      </c>
      <c r="E4908" s="16">
        <v>2022.0</v>
      </c>
      <c r="F4908" s="16">
        <v>50.1425</v>
      </c>
      <c r="G4908" s="16">
        <v>11.5265</v>
      </c>
      <c r="H4908" s="15"/>
      <c r="I4908" s="15"/>
    </row>
    <row r="4909">
      <c r="A4909" s="18">
        <v>45665.0</v>
      </c>
      <c r="B4909" s="16" t="s">
        <v>5722</v>
      </c>
      <c r="C4909" s="16" t="s">
        <v>969</v>
      </c>
      <c r="D4909" s="16" t="s">
        <v>707</v>
      </c>
      <c r="E4909" s="16">
        <v>2022.0</v>
      </c>
      <c r="F4909" s="16">
        <v>52.4025</v>
      </c>
      <c r="G4909" s="16">
        <v>9.4694</v>
      </c>
      <c r="H4909" s="15"/>
      <c r="I4909" s="15"/>
    </row>
    <row r="4910">
      <c r="A4910" s="18">
        <v>45665.0</v>
      </c>
      <c r="B4910" s="16" t="s">
        <v>5723</v>
      </c>
      <c r="C4910" s="16" t="s">
        <v>1149</v>
      </c>
      <c r="D4910" s="16" t="s">
        <v>707</v>
      </c>
      <c r="E4910" s="16">
        <v>2022.0</v>
      </c>
      <c r="F4910" s="16">
        <v>48.2613</v>
      </c>
      <c r="G4910" s="16">
        <v>10.1165</v>
      </c>
      <c r="H4910" s="15"/>
      <c r="I4910" s="15"/>
    </row>
    <row r="4911">
      <c r="A4911" s="18">
        <v>45665.0</v>
      </c>
      <c r="B4911" s="16" t="s">
        <v>5724</v>
      </c>
      <c r="C4911" s="16" t="s">
        <v>948</v>
      </c>
      <c r="D4911" s="16" t="s">
        <v>707</v>
      </c>
      <c r="E4911" s="16">
        <v>2022.0</v>
      </c>
      <c r="F4911" s="16">
        <v>48.2613</v>
      </c>
      <c r="G4911" s="16">
        <v>10.1165</v>
      </c>
      <c r="H4911" s="15"/>
      <c r="I4911" s="15"/>
    </row>
    <row r="4912">
      <c r="A4912" s="18">
        <v>45665.0</v>
      </c>
      <c r="B4912" s="16" t="s">
        <v>5725</v>
      </c>
      <c r="C4912" s="16" t="s">
        <v>1432</v>
      </c>
      <c r="D4912" s="16" t="s">
        <v>707</v>
      </c>
      <c r="E4912" s="16">
        <v>2022.0</v>
      </c>
      <c r="F4912" s="16">
        <v>48.0109</v>
      </c>
      <c r="G4912" s="16">
        <v>10.2463</v>
      </c>
      <c r="H4912" s="15"/>
      <c r="I4912" s="15"/>
    </row>
    <row r="4913">
      <c r="A4913" s="18">
        <v>45665.0</v>
      </c>
      <c r="B4913" s="16" t="s">
        <v>5726</v>
      </c>
      <c r="C4913" s="16" t="s">
        <v>1039</v>
      </c>
      <c r="D4913" s="16" t="s">
        <v>707</v>
      </c>
      <c r="E4913" s="16">
        <v>2022.0</v>
      </c>
      <c r="F4913" s="16">
        <v>47.9068</v>
      </c>
      <c r="G4913" s="16">
        <v>10.213</v>
      </c>
      <c r="H4913" s="15"/>
      <c r="I4913" s="15"/>
    </row>
    <row r="4914">
      <c r="A4914" s="18">
        <v>45665.0</v>
      </c>
      <c r="B4914" s="16" t="s">
        <v>5727</v>
      </c>
      <c r="C4914" s="16" t="s">
        <v>1059</v>
      </c>
      <c r="D4914" s="16" t="s">
        <v>707</v>
      </c>
      <c r="E4914" s="16">
        <v>2022.0</v>
      </c>
      <c r="F4914" s="16">
        <v>50.9166</v>
      </c>
      <c r="G4914" s="16">
        <v>10.5426</v>
      </c>
      <c r="H4914" s="15"/>
      <c r="I4914" s="15"/>
    </row>
    <row r="4915">
      <c r="A4915" s="18">
        <v>45665.0</v>
      </c>
      <c r="B4915" s="16" t="s">
        <v>5728</v>
      </c>
      <c r="C4915" s="16" t="s">
        <v>1931</v>
      </c>
      <c r="D4915" s="16" t="s">
        <v>707</v>
      </c>
      <c r="E4915" s="16">
        <v>2022.0</v>
      </c>
      <c r="F4915" s="16">
        <v>54.0857</v>
      </c>
      <c r="G4915" s="16">
        <v>9.9264</v>
      </c>
      <c r="H4915" s="15"/>
      <c r="I4915" s="15"/>
    </row>
    <row r="4916">
      <c r="A4916" s="18">
        <v>45665.0</v>
      </c>
      <c r="B4916" s="16" t="s">
        <v>5729</v>
      </c>
      <c r="C4916" s="16" t="s">
        <v>1059</v>
      </c>
      <c r="D4916" s="16" t="s">
        <v>707</v>
      </c>
      <c r="E4916" s="16">
        <v>2022.0</v>
      </c>
      <c r="F4916" s="16">
        <v>50.0419</v>
      </c>
      <c r="G4916" s="16">
        <v>9.7109</v>
      </c>
      <c r="H4916" s="15"/>
      <c r="I4916" s="15"/>
    </row>
    <row r="4917">
      <c r="A4917" s="18">
        <v>45665.0</v>
      </c>
      <c r="B4917" s="16" t="s">
        <v>5730</v>
      </c>
      <c r="C4917" s="16" t="s">
        <v>1059</v>
      </c>
      <c r="D4917" s="16" t="s">
        <v>707</v>
      </c>
      <c r="E4917" s="16">
        <v>2022.0</v>
      </c>
      <c r="F4917" s="16">
        <v>52.469</v>
      </c>
      <c r="G4917" s="16">
        <v>7.9402</v>
      </c>
      <c r="H4917" s="15"/>
      <c r="I4917" s="15"/>
    </row>
    <row r="4918">
      <c r="A4918" s="18">
        <v>45665.0</v>
      </c>
      <c r="B4918" s="16" t="s">
        <v>5731</v>
      </c>
      <c r="C4918" s="16" t="s">
        <v>1094</v>
      </c>
      <c r="D4918" s="16" t="s">
        <v>707</v>
      </c>
      <c r="E4918" s="16">
        <v>2022.0</v>
      </c>
      <c r="F4918" s="16">
        <v>50.7772</v>
      </c>
      <c r="G4918" s="16">
        <v>12.4819</v>
      </c>
      <c r="H4918" s="15"/>
      <c r="I4918" s="15"/>
    </row>
    <row r="4919">
      <c r="A4919" s="18">
        <v>45665.0</v>
      </c>
      <c r="B4919" s="16" t="s">
        <v>5732</v>
      </c>
      <c r="C4919" s="16" t="s">
        <v>978</v>
      </c>
      <c r="D4919" s="16" t="s">
        <v>707</v>
      </c>
      <c r="E4919" s="16">
        <v>2022.0</v>
      </c>
      <c r="F4919" s="16">
        <v>47.685</v>
      </c>
      <c r="G4919" s="16">
        <v>10.302</v>
      </c>
      <c r="H4919" s="15"/>
      <c r="I4919" s="15"/>
    </row>
    <row r="4920">
      <c r="A4920" s="18">
        <v>45329.0</v>
      </c>
      <c r="B4920" s="16" t="s">
        <v>5733</v>
      </c>
      <c r="C4920" s="16" t="s">
        <v>1475</v>
      </c>
      <c r="D4920" s="16" t="s">
        <v>707</v>
      </c>
      <c r="E4920" s="16">
        <v>2023.0</v>
      </c>
      <c r="F4920" s="16">
        <v>52.9011</v>
      </c>
      <c r="G4920" s="16">
        <v>12.3261</v>
      </c>
      <c r="H4920" s="15"/>
      <c r="I4920" s="15"/>
    </row>
    <row r="4921">
      <c r="A4921" s="18">
        <v>45329.0</v>
      </c>
      <c r="B4921" s="16" t="s">
        <v>5734</v>
      </c>
      <c r="C4921" s="16">
        <v>4.0</v>
      </c>
      <c r="D4921" s="16" t="s">
        <v>707</v>
      </c>
      <c r="E4921" s="16">
        <v>2023.0</v>
      </c>
      <c r="F4921" s="16">
        <v>50.8174</v>
      </c>
      <c r="G4921" s="16">
        <v>6.1505</v>
      </c>
      <c r="H4921" s="15"/>
      <c r="I4921" s="15"/>
    </row>
    <row r="4922">
      <c r="A4922" s="18">
        <v>45329.0</v>
      </c>
      <c r="B4922" s="16" t="s">
        <v>5735</v>
      </c>
      <c r="C4922" s="16" t="s">
        <v>946</v>
      </c>
      <c r="D4922" s="16" t="s">
        <v>707</v>
      </c>
      <c r="E4922" s="16">
        <v>2023.0</v>
      </c>
      <c r="F4922" s="16">
        <v>51.8507</v>
      </c>
      <c r="G4922" s="16">
        <v>11.1051</v>
      </c>
      <c r="H4922" s="15"/>
      <c r="I4922" s="15"/>
    </row>
    <row r="4923">
      <c r="A4923" s="18">
        <v>45329.0</v>
      </c>
      <c r="B4923" s="16" t="s">
        <v>5735</v>
      </c>
      <c r="C4923" s="16" t="s">
        <v>946</v>
      </c>
      <c r="D4923" s="16" t="s">
        <v>707</v>
      </c>
      <c r="E4923" s="16">
        <v>2023.0</v>
      </c>
      <c r="F4923" s="16">
        <v>51.8507</v>
      </c>
      <c r="G4923" s="16">
        <v>11.1051</v>
      </c>
      <c r="H4923" s="15"/>
      <c r="I4923" s="15"/>
    </row>
    <row r="4924">
      <c r="A4924" s="18">
        <v>45329.0</v>
      </c>
      <c r="B4924" s="16" t="s">
        <v>5735</v>
      </c>
      <c r="C4924" s="16" t="s">
        <v>969</v>
      </c>
      <c r="D4924" s="16" t="s">
        <v>707</v>
      </c>
      <c r="E4924" s="16">
        <v>2023.0</v>
      </c>
      <c r="F4924" s="16">
        <v>51.8507</v>
      </c>
      <c r="G4924" s="16">
        <v>11.1051</v>
      </c>
      <c r="H4924" s="15"/>
      <c r="I4924" s="15"/>
    </row>
    <row r="4925">
      <c r="A4925" s="18">
        <v>45329.0</v>
      </c>
      <c r="B4925" s="16" t="s">
        <v>5735</v>
      </c>
      <c r="C4925" s="16" t="s">
        <v>1055</v>
      </c>
      <c r="D4925" s="16" t="s">
        <v>707</v>
      </c>
      <c r="E4925" s="16">
        <v>2023.0</v>
      </c>
      <c r="F4925" s="16">
        <v>51.8507</v>
      </c>
      <c r="G4925" s="16">
        <v>11.1051</v>
      </c>
      <c r="H4925" s="15"/>
      <c r="I4925" s="15"/>
    </row>
    <row r="4926">
      <c r="A4926" s="18">
        <v>45329.0</v>
      </c>
      <c r="B4926" s="16" t="s">
        <v>5736</v>
      </c>
      <c r="C4926" s="16" t="s">
        <v>1055</v>
      </c>
      <c r="D4926" s="16" t="s">
        <v>707</v>
      </c>
      <c r="E4926" s="16">
        <v>2023.0</v>
      </c>
      <c r="F4926" s="16">
        <v>48.2839</v>
      </c>
      <c r="G4926" s="16">
        <v>8.1836</v>
      </c>
      <c r="H4926" s="15"/>
      <c r="I4926" s="15"/>
    </row>
    <row r="4927">
      <c r="A4927" s="18">
        <v>45329.0</v>
      </c>
      <c r="B4927" s="16" t="s">
        <v>5737</v>
      </c>
      <c r="C4927" s="16" t="s">
        <v>961</v>
      </c>
      <c r="D4927" s="16" t="s">
        <v>707</v>
      </c>
      <c r="E4927" s="16">
        <v>2023.0</v>
      </c>
      <c r="F4927" s="16">
        <v>48.1546</v>
      </c>
      <c r="G4927" s="16">
        <v>11.7805</v>
      </c>
      <c r="H4927" s="15"/>
      <c r="I4927" s="15"/>
    </row>
    <row r="4928">
      <c r="A4928" s="18">
        <v>45329.0</v>
      </c>
      <c r="B4928" s="16" t="s">
        <v>5738</v>
      </c>
      <c r="C4928" s="16" t="s">
        <v>961</v>
      </c>
      <c r="D4928" s="16" t="s">
        <v>707</v>
      </c>
      <c r="E4928" s="16">
        <v>2023.0</v>
      </c>
      <c r="F4928" s="16">
        <v>48.1558</v>
      </c>
      <c r="G4928" s="16">
        <v>11.7805</v>
      </c>
      <c r="H4928" s="15"/>
      <c r="I4928" s="15"/>
    </row>
    <row r="4929">
      <c r="A4929" s="18">
        <v>45329.0</v>
      </c>
      <c r="B4929" s="16" t="s">
        <v>5739</v>
      </c>
      <c r="C4929" s="16">
        <v>3.0</v>
      </c>
      <c r="D4929" s="16" t="s">
        <v>707</v>
      </c>
      <c r="E4929" s="16">
        <v>2023.0</v>
      </c>
      <c r="F4929" s="16">
        <v>48.1546</v>
      </c>
      <c r="G4929" s="16">
        <v>11.7814</v>
      </c>
      <c r="H4929" s="15"/>
      <c r="I4929" s="15"/>
    </row>
    <row r="4930">
      <c r="A4930" s="18">
        <v>45329.0</v>
      </c>
      <c r="B4930" s="16" t="s">
        <v>5740</v>
      </c>
      <c r="C4930" s="16" t="s">
        <v>969</v>
      </c>
      <c r="D4930" s="16" t="s">
        <v>707</v>
      </c>
      <c r="E4930" s="16">
        <v>2023.0</v>
      </c>
      <c r="F4930" s="16">
        <v>49.4372</v>
      </c>
      <c r="G4930" s="16">
        <v>12.0276</v>
      </c>
      <c r="H4930" s="15"/>
      <c r="I4930" s="15"/>
    </row>
    <row r="4931">
      <c r="A4931" s="18">
        <v>45329.0</v>
      </c>
      <c r="B4931" s="16" t="s">
        <v>5741</v>
      </c>
      <c r="C4931" s="16" t="s">
        <v>978</v>
      </c>
      <c r="D4931" s="16" t="s">
        <v>707</v>
      </c>
      <c r="E4931" s="16">
        <v>2023.0</v>
      </c>
      <c r="F4931" s="16">
        <v>49.4372</v>
      </c>
      <c r="G4931" s="16">
        <v>12.0276</v>
      </c>
      <c r="H4931" s="15"/>
      <c r="I4931" s="15"/>
    </row>
    <row r="4932">
      <c r="A4932" s="18">
        <v>45329.0</v>
      </c>
      <c r="B4932" s="16" t="s">
        <v>5742</v>
      </c>
      <c r="C4932" s="16">
        <v>1.0</v>
      </c>
      <c r="D4932" s="16" t="s">
        <v>707</v>
      </c>
      <c r="E4932" s="16">
        <v>2023.0</v>
      </c>
      <c r="F4932" s="16">
        <v>54.0492</v>
      </c>
      <c r="G4932" s="16">
        <v>10.2372</v>
      </c>
      <c r="H4932" s="15"/>
      <c r="I4932" s="15"/>
    </row>
    <row r="4933">
      <c r="A4933" s="17">
        <v>45636.0</v>
      </c>
      <c r="B4933" s="16" t="s">
        <v>5743</v>
      </c>
      <c r="C4933" s="16" t="s">
        <v>978</v>
      </c>
      <c r="D4933" s="16" t="s">
        <v>707</v>
      </c>
      <c r="E4933" s="16">
        <v>2023.0</v>
      </c>
      <c r="F4933" s="16">
        <v>52.0926</v>
      </c>
      <c r="G4933" s="16">
        <v>7.2369</v>
      </c>
      <c r="H4933" s="15"/>
      <c r="I4933" s="15"/>
    </row>
    <row r="4934">
      <c r="A4934" s="17">
        <v>45636.0</v>
      </c>
      <c r="B4934" s="16" t="s">
        <v>5744</v>
      </c>
      <c r="C4934" s="16" t="s">
        <v>942</v>
      </c>
      <c r="D4934" s="16" t="s">
        <v>707</v>
      </c>
      <c r="E4934" s="16">
        <v>2023.0</v>
      </c>
      <c r="F4934" s="16">
        <v>50.4418</v>
      </c>
      <c r="G4934" s="16">
        <v>10.4701</v>
      </c>
      <c r="H4934" s="15"/>
      <c r="I4934" s="15"/>
    </row>
    <row r="4935">
      <c r="A4935" s="17">
        <v>45636.0</v>
      </c>
      <c r="B4935" s="16" t="s">
        <v>5745</v>
      </c>
      <c r="C4935" s="16" t="s">
        <v>1096</v>
      </c>
      <c r="D4935" s="16" t="s">
        <v>707</v>
      </c>
      <c r="E4935" s="16">
        <v>2023.0</v>
      </c>
      <c r="F4935" s="16">
        <v>51.29</v>
      </c>
      <c r="G4935" s="16">
        <v>12.9375</v>
      </c>
      <c r="H4935" s="15"/>
      <c r="I4935" s="15"/>
    </row>
    <row r="4936">
      <c r="A4936" s="17">
        <v>45636.0</v>
      </c>
      <c r="B4936" s="16" t="s">
        <v>5746</v>
      </c>
      <c r="C4936" s="16" t="s">
        <v>2099</v>
      </c>
      <c r="D4936" s="16" t="s">
        <v>707</v>
      </c>
      <c r="E4936" s="16">
        <v>2023.0</v>
      </c>
      <c r="F4936" s="16">
        <v>53.8469</v>
      </c>
      <c r="G4936" s="16">
        <v>9.4884</v>
      </c>
      <c r="H4936" s="15"/>
      <c r="I4936" s="15"/>
    </row>
    <row r="4937">
      <c r="A4937" s="17">
        <v>45636.0</v>
      </c>
      <c r="B4937" s="16" t="s">
        <v>5747</v>
      </c>
      <c r="C4937" s="16" t="s">
        <v>948</v>
      </c>
      <c r="D4937" s="16" t="s">
        <v>707</v>
      </c>
      <c r="E4937" s="16">
        <v>2023.0</v>
      </c>
      <c r="F4937" s="16">
        <v>49.2991</v>
      </c>
      <c r="G4937" s="16">
        <v>9.3436</v>
      </c>
      <c r="H4937" s="15"/>
      <c r="I4937" s="15"/>
    </row>
    <row r="4938">
      <c r="A4938" s="17">
        <v>45636.0</v>
      </c>
      <c r="B4938" s="16" t="s">
        <v>5748</v>
      </c>
      <c r="C4938" s="16">
        <v>19.0</v>
      </c>
      <c r="D4938" s="16" t="s">
        <v>707</v>
      </c>
      <c r="E4938" s="16">
        <v>2023.0</v>
      </c>
      <c r="F4938" s="16">
        <v>50.0607</v>
      </c>
      <c r="G4938" s="16">
        <v>7.2873</v>
      </c>
      <c r="H4938" s="15"/>
      <c r="I4938" s="15"/>
    </row>
    <row r="4939">
      <c r="A4939" s="17">
        <v>45636.0</v>
      </c>
      <c r="B4939" s="16" t="s">
        <v>5749</v>
      </c>
      <c r="C4939" s="16" t="s">
        <v>951</v>
      </c>
      <c r="D4939" s="16" t="s">
        <v>707</v>
      </c>
      <c r="E4939" s="16">
        <v>2023.0</v>
      </c>
      <c r="F4939" s="16">
        <v>51.5224</v>
      </c>
      <c r="G4939" s="16">
        <v>6.7166</v>
      </c>
      <c r="H4939" s="15"/>
      <c r="I4939" s="15"/>
    </row>
    <row r="4940">
      <c r="A4940" s="17">
        <v>45636.0</v>
      </c>
      <c r="B4940" s="16" t="s">
        <v>5750</v>
      </c>
      <c r="C4940" s="16">
        <v>3.0</v>
      </c>
      <c r="D4940" s="16" t="s">
        <v>707</v>
      </c>
      <c r="E4940" s="16">
        <v>2023.0</v>
      </c>
      <c r="F4940" s="16">
        <v>48.548</v>
      </c>
      <c r="G4940" s="16">
        <v>12.5513</v>
      </c>
      <c r="H4940" s="15"/>
      <c r="I4940" s="15"/>
    </row>
    <row r="4941">
      <c r="A4941" s="17">
        <v>45636.0</v>
      </c>
      <c r="B4941" s="16" t="s">
        <v>5751</v>
      </c>
      <c r="C4941" s="16">
        <v>1.0</v>
      </c>
      <c r="D4941" s="16" t="s">
        <v>707</v>
      </c>
      <c r="E4941" s="16">
        <v>2023.0</v>
      </c>
      <c r="F4941" s="16">
        <v>50.4745</v>
      </c>
      <c r="G4941" s="16">
        <v>8.6298</v>
      </c>
      <c r="H4941" s="15"/>
      <c r="I4941" s="15"/>
    </row>
    <row r="4942">
      <c r="A4942" s="17">
        <v>45636.0</v>
      </c>
      <c r="B4942" s="16" t="s">
        <v>5752</v>
      </c>
      <c r="C4942" s="16">
        <v>1.0</v>
      </c>
      <c r="D4942" s="16" t="s">
        <v>707</v>
      </c>
      <c r="E4942" s="16">
        <v>2023.0</v>
      </c>
      <c r="F4942" s="16">
        <v>48.3145</v>
      </c>
      <c r="G4942" s="16">
        <v>11.6537</v>
      </c>
      <c r="H4942" s="15"/>
      <c r="I4942" s="15"/>
    </row>
    <row r="4943">
      <c r="A4943" s="17">
        <v>45636.0</v>
      </c>
      <c r="B4943" s="16" t="s">
        <v>5753</v>
      </c>
      <c r="C4943" s="16" t="s">
        <v>1007</v>
      </c>
      <c r="D4943" s="16" t="s">
        <v>707</v>
      </c>
      <c r="E4943" s="16">
        <v>2023.0</v>
      </c>
      <c r="F4943" s="16">
        <v>47.8077</v>
      </c>
      <c r="G4943" s="16">
        <v>9.1033</v>
      </c>
      <c r="H4943" s="15"/>
      <c r="I4943" s="15"/>
    </row>
    <row r="4944">
      <c r="A4944" s="17">
        <v>45636.0</v>
      </c>
      <c r="B4944" s="16" t="s">
        <v>5754</v>
      </c>
      <c r="C4944" s="16" t="s">
        <v>946</v>
      </c>
      <c r="D4944" s="16" t="s">
        <v>707</v>
      </c>
      <c r="E4944" s="16">
        <v>2023.0</v>
      </c>
      <c r="F4944" s="16">
        <v>52.5012</v>
      </c>
      <c r="G4944" s="16">
        <v>13.2742</v>
      </c>
      <c r="H4944" s="15"/>
      <c r="I4944" s="15"/>
    </row>
    <row r="4945">
      <c r="A4945" s="17">
        <v>45636.0</v>
      </c>
      <c r="B4945" s="16" t="s">
        <v>5755</v>
      </c>
      <c r="C4945" s="16" t="s">
        <v>969</v>
      </c>
      <c r="D4945" s="16" t="s">
        <v>707</v>
      </c>
      <c r="E4945" s="16">
        <v>2023.0</v>
      </c>
      <c r="F4945" s="16">
        <v>49.9811</v>
      </c>
      <c r="G4945" s="16">
        <v>9.5813</v>
      </c>
      <c r="H4945" s="15"/>
      <c r="I4945" s="15"/>
    </row>
    <row r="4946">
      <c r="A4946" s="17">
        <v>45636.0</v>
      </c>
      <c r="B4946" s="16" t="s">
        <v>5756</v>
      </c>
      <c r="C4946" s="16" t="s">
        <v>978</v>
      </c>
      <c r="D4946" s="16" t="s">
        <v>707</v>
      </c>
      <c r="E4946" s="16">
        <v>2023.0</v>
      </c>
      <c r="F4946" s="16">
        <v>48.3246</v>
      </c>
      <c r="G4946" s="16">
        <v>10.8916</v>
      </c>
      <c r="H4946" s="15"/>
      <c r="I4946" s="15"/>
    </row>
    <row r="4947">
      <c r="A4947" s="17">
        <v>45636.0</v>
      </c>
      <c r="B4947" s="16" t="s">
        <v>5757</v>
      </c>
      <c r="C4947" s="16" t="s">
        <v>1059</v>
      </c>
      <c r="D4947" s="16" t="s">
        <v>707</v>
      </c>
      <c r="E4947" s="16">
        <v>2023.0</v>
      </c>
      <c r="F4947" s="16">
        <v>50.8504</v>
      </c>
      <c r="G4947" s="16">
        <v>10.9347</v>
      </c>
      <c r="H4947" s="15"/>
      <c r="I4947" s="15"/>
    </row>
    <row r="4948">
      <c r="A4948" s="17">
        <v>45636.0</v>
      </c>
      <c r="B4948" s="16" t="s">
        <v>5758</v>
      </c>
      <c r="C4948" s="16" t="s">
        <v>961</v>
      </c>
      <c r="D4948" s="16" t="s">
        <v>707</v>
      </c>
      <c r="E4948" s="16">
        <v>2023.0</v>
      </c>
      <c r="F4948" s="16">
        <v>51.2093</v>
      </c>
      <c r="G4948" s="16">
        <v>12.3789</v>
      </c>
      <c r="H4948" s="15"/>
      <c r="I4948" s="15"/>
    </row>
    <row r="4949">
      <c r="A4949" s="17">
        <v>45636.0</v>
      </c>
      <c r="B4949" s="16" t="s">
        <v>5759</v>
      </c>
      <c r="C4949" s="16" t="s">
        <v>1055</v>
      </c>
      <c r="D4949" s="16" t="s">
        <v>707</v>
      </c>
      <c r="E4949" s="16">
        <v>2023.0</v>
      </c>
      <c r="F4949" s="16">
        <v>53.086</v>
      </c>
      <c r="G4949" s="16">
        <v>11.7867</v>
      </c>
      <c r="H4949" s="15"/>
      <c r="I4949" s="15"/>
    </row>
    <row r="4950">
      <c r="A4950" s="17">
        <v>45636.0</v>
      </c>
      <c r="B4950" s="16" t="s">
        <v>5760</v>
      </c>
      <c r="C4950" s="16" t="s">
        <v>969</v>
      </c>
      <c r="D4950" s="16" t="s">
        <v>707</v>
      </c>
      <c r="E4950" s="16">
        <v>2023.0</v>
      </c>
      <c r="F4950" s="16">
        <v>53.4774</v>
      </c>
      <c r="G4950" s="16">
        <v>13.5603</v>
      </c>
      <c r="H4950" s="15"/>
      <c r="I4950" s="15"/>
    </row>
    <row r="4951">
      <c r="A4951" s="17">
        <v>45636.0</v>
      </c>
      <c r="B4951" s="16" t="s">
        <v>5761</v>
      </c>
      <c r="C4951" s="16" t="s">
        <v>1055</v>
      </c>
      <c r="D4951" s="16" t="s">
        <v>707</v>
      </c>
      <c r="E4951" s="16">
        <v>2023.0</v>
      </c>
      <c r="F4951" s="16">
        <v>48.7136</v>
      </c>
      <c r="G4951" s="16">
        <v>8.1334</v>
      </c>
      <c r="H4951" s="15"/>
      <c r="I4951" s="15"/>
    </row>
    <row r="4952">
      <c r="A4952" s="17">
        <v>45636.0</v>
      </c>
      <c r="B4952" s="16" t="s">
        <v>5762</v>
      </c>
      <c r="C4952" s="16" t="s">
        <v>942</v>
      </c>
      <c r="D4952" s="16" t="s">
        <v>707</v>
      </c>
      <c r="E4952" s="16">
        <v>2023.0</v>
      </c>
      <c r="F4952" s="16">
        <v>48.7408</v>
      </c>
      <c r="G4952" s="16">
        <v>11.4695</v>
      </c>
      <c r="H4952" s="15"/>
      <c r="I4952" s="15"/>
    </row>
    <row r="4953">
      <c r="A4953" s="17">
        <v>45636.0</v>
      </c>
      <c r="B4953" s="16" t="s">
        <v>5763</v>
      </c>
      <c r="C4953" s="16" t="s">
        <v>942</v>
      </c>
      <c r="D4953" s="16" t="s">
        <v>707</v>
      </c>
      <c r="E4953" s="16">
        <v>2023.0</v>
      </c>
      <c r="F4953" s="16">
        <v>47.8612</v>
      </c>
      <c r="G4953" s="16">
        <v>9.9121</v>
      </c>
      <c r="H4953" s="15"/>
      <c r="I4953" s="15"/>
    </row>
    <row r="4954">
      <c r="A4954" s="17">
        <v>45636.0</v>
      </c>
      <c r="B4954" s="16" t="s">
        <v>5764</v>
      </c>
      <c r="C4954" s="16" t="s">
        <v>1147</v>
      </c>
      <c r="D4954" s="16" t="s">
        <v>707</v>
      </c>
      <c r="E4954" s="16">
        <v>2023.0</v>
      </c>
      <c r="F4954" s="16">
        <v>48.7234</v>
      </c>
      <c r="G4954" s="16">
        <v>12.2674</v>
      </c>
      <c r="H4954" s="15"/>
      <c r="I4954" s="15"/>
    </row>
    <row r="4955">
      <c r="A4955" s="18">
        <v>45665.0</v>
      </c>
      <c r="B4955" s="16" t="s">
        <v>5765</v>
      </c>
      <c r="C4955" s="16">
        <v>2.0</v>
      </c>
      <c r="D4955" s="16" t="s">
        <v>707</v>
      </c>
      <c r="E4955" s="16">
        <v>2023.0</v>
      </c>
      <c r="F4955" s="16">
        <v>51.2986</v>
      </c>
      <c r="G4955" s="16">
        <v>13.2875</v>
      </c>
      <c r="H4955" s="15"/>
      <c r="I4955" s="15"/>
    </row>
    <row r="4956">
      <c r="A4956" s="18">
        <v>45665.0</v>
      </c>
      <c r="B4956" s="16" t="s">
        <v>5766</v>
      </c>
      <c r="C4956" s="16" t="s">
        <v>961</v>
      </c>
      <c r="D4956" s="16" t="s">
        <v>707</v>
      </c>
      <c r="E4956" s="16">
        <v>2023.0</v>
      </c>
      <c r="F4956" s="16">
        <v>51.6886</v>
      </c>
      <c r="G4956" s="16">
        <v>11.5922</v>
      </c>
      <c r="H4956" s="15"/>
      <c r="I4956" s="15"/>
    </row>
    <row r="4957">
      <c r="A4957" s="18">
        <v>45665.0</v>
      </c>
      <c r="B4957" s="16" t="s">
        <v>5767</v>
      </c>
      <c r="C4957" s="16" t="s">
        <v>942</v>
      </c>
      <c r="D4957" s="16" t="s">
        <v>707</v>
      </c>
      <c r="E4957" s="16">
        <v>2023.0</v>
      </c>
      <c r="F4957" s="16">
        <v>51.3321</v>
      </c>
      <c r="G4957" s="16">
        <v>11.4782</v>
      </c>
      <c r="H4957" s="15"/>
      <c r="I4957" s="15"/>
    </row>
    <row r="4958">
      <c r="A4958" s="18">
        <v>45665.0</v>
      </c>
      <c r="B4958" s="16" t="s">
        <v>5768</v>
      </c>
      <c r="C4958" s="16" t="s">
        <v>1007</v>
      </c>
      <c r="D4958" s="16" t="s">
        <v>707</v>
      </c>
      <c r="E4958" s="16">
        <v>2023.0</v>
      </c>
      <c r="F4958" s="16">
        <v>52.7133</v>
      </c>
      <c r="G4958" s="16">
        <v>13.1271</v>
      </c>
      <c r="H4958" s="15"/>
      <c r="I4958" s="15"/>
    </row>
    <row r="4959">
      <c r="A4959" s="18">
        <v>45665.0</v>
      </c>
      <c r="B4959" s="16" t="s">
        <v>5769</v>
      </c>
      <c r="C4959" s="16" t="s">
        <v>961</v>
      </c>
      <c r="D4959" s="16" t="s">
        <v>707</v>
      </c>
      <c r="E4959" s="16">
        <v>2023.0</v>
      </c>
      <c r="F4959" s="16">
        <v>49.3413</v>
      </c>
      <c r="G4959" s="16">
        <v>8.417</v>
      </c>
      <c r="H4959" s="15"/>
      <c r="I4959" s="15"/>
    </row>
    <row r="4960">
      <c r="A4960" s="18">
        <v>45665.0</v>
      </c>
      <c r="B4960" s="16" t="s">
        <v>5770</v>
      </c>
      <c r="C4960" s="16">
        <v>1.0</v>
      </c>
      <c r="D4960" s="16" t="s">
        <v>707</v>
      </c>
      <c r="E4960" s="16">
        <v>2023.0</v>
      </c>
      <c r="F4960" s="16">
        <v>48.5007</v>
      </c>
      <c r="G4960" s="16">
        <v>8.8206</v>
      </c>
      <c r="H4960" s="15"/>
      <c r="I4960" s="15"/>
    </row>
    <row r="4961">
      <c r="A4961" s="18">
        <v>45665.0</v>
      </c>
      <c r="B4961" s="16" t="s">
        <v>5771</v>
      </c>
      <c r="C4961" s="16">
        <v>2.0</v>
      </c>
      <c r="D4961" s="16" t="s">
        <v>707</v>
      </c>
      <c r="E4961" s="16">
        <v>2023.0</v>
      </c>
      <c r="F4961" s="16">
        <v>50.6252</v>
      </c>
      <c r="G4961" s="16">
        <v>7.6856</v>
      </c>
      <c r="H4961" s="15"/>
      <c r="I4961" s="15"/>
    </row>
    <row r="4962">
      <c r="A4962" s="18">
        <v>45665.0</v>
      </c>
      <c r="B4962" s="16" t="s">
        <v>5772</v>
      </c>
      <c r="C4962" s="16">
        <v>2.0</v>
      </c>
      <c r="D4962" s="16" t="s">
        <v>707</v>
      </c>
      <c r="E4962" s="16">
        <v>2023.0</v>
      </c>
      <c r="F4962" s="16">
        <v>48.9121</v>
      </c>
      <c r="G4962" s="16">
        <v>10.8965</v>
      </c>
      <c r="H4962" s="15"/>
      <c r="I4962" s="15"/>
    </row>
    <row r="4963">
      <c r="A4963" s="18">
        <v>45665.0</v>
      </c>
      <c r="B4963" s="16" t="s">
        <v>5773</v>
      </c>
      <c r="C4963" s="16" t="s">
        <v>2331</v>
      </c>
      <c r="D4963" s="16" t="s">
        <v>707</v>
      </c>
      <c r="E4963" s="16">
        <v>2023.0</v>
      </c>
      <c r="F4963" s="16">
        <v>48.7842</v>
      </c>
      <c r="G4963" s="16">
        <v>13.0433</v>
      </c>
      <c r="H4963" s="15"/>
      <c r="I4963" s="15"/>
    </row>
    <row r="4964">
      <c r="A4964" s="18">
        <v>45665.0</v>
      </c>
      <c r="B4964" s="16" t="s">
        <v>5774</v>
      </c>
      <c r="C4964" s="16" t="s">
        <v>1007</v>
      </c>
      <c r="D4964" s="16" t="s">
        <v>707</v>
      </c>
      <c r="E4964" s="16">
        <v>2023.0</v>
      </c>
      <c r="F4964" s="16">
        <v>50.5959</v>
      </c>
      <c r="G4964" s="16">
        <v>8.7271</v>
      </c>
      <c r="H4964" s="15"/>
      <c r="I4964" s="15"/>
    </row>
    <row r="4965">
      <c r="A4965" s="18">
        <v>45665.0</v>
      </c>
      <c r="B4965" s="16" t="s">
        <v>5775</v>
      </c>
      <c r="C4965" s="16" t="s">
        <v>1059</v>
      </c>
      <c r="D4965" s="16" t="s">
        <v>707</v>
      </c>
      <c r="E4965" s="16">
        <v>2023.0</v>
      </c>
      <c r="F4965" s="16">
        <v>49.7409</v>
      </c>
      <c r="G4965" s="16">
        <v>10.1911</v>
      </c>
      <c r="H4965" s="15"/>
      <c r="I4965" s="15"/>
    </row>
    <row r="4966">
      <c r="A4966" s="18">
        <v>45665.0</v>
      </c>
      <c r="B4966" s="16" t="s">
        <v>5776</v>
      </c>
      <c r="C4966" s="16" t="s">
        <v>1267</v>
      </c>
      <c r="D4966" s="16" t="s">
        <v>707</v>
      </c>
      <c r="E4966" s="16">
        <v>2023.0</v>
      </c>
      <c r="F4966" s="16">
        <v>51.2498</v>
      </c>
      <c r="G4966" s="16">
        <v>12.2186</v>
      </c>
      <c r="H4966" s="15"/>
      <c r="I4966" s="15"/>
    </row>
    <row r="4967">
      <c r="A4967" s="18">
        <v>45665.0</v>
      </c>
      <c r="B4967" s="16" t="s">
        <v>5777</v>
      </c>
      <c r="C4967" s="16" t="s">
        <v>1873</v>
      </c>
      <c r="D4967" s="16" t="s">
        <v>707</v>
      </c>
      <c r="E4967" s="16">
        <v>2023.0</v>
      </c>
      <c r="F4967" s="16">
        <v>50.5958</v>
      </c>
      <c r="G4967" s="16">
        <v>8.7181</v>
      </c>
      <c r="H4967" s="15"/>
      <c r="I4967" s="15"/>
    </row>
    <row r="4968">
      <c r="A4968" s="18">
        <v>45665.0</v>
      </c>
      <c r="B4968" s="16" t="s">
        <v>5778</v>
      </c>
      <c r="C4968" s="16" t="s">
        <v>1149</v>
      </c>
      <c r="D4968" s="16" t="s">
        <v>707</v>
      </c>
      <c r="E4968" s="16">
        <v>2023.0</v>
      </c>
      <c r="F4968" s="16">
        <v>49.2111</v>
      </c>
      <c r="G4968" s="16">
        <v>12.1195</v>
      </c>
      <c r="H4968" s="15"/>
      <c r="I4968" s="15"/>
    </row>
    <row r="4969">
      <c r="A4969" s="18">
        <v>45665.0</v>
      </c>
      <c r="B4969" s="16" t="s">
        <v>5779</v>
      </c>
      <c r="C4969" s="16" t="s">
        <v>1609</v>
      </c>
      <c r="D4969" s="16" t="s">
        <v>707</v>
      </c>
      <c r="E4969" s="16">
        <v>2023.0</v>
      </c>
      <c r="F4969" s="16">
        <v>48.8177</v>
      </c>
      <c r="G4969" s="16">
        <v>12.1639</v>
      </c>
      <c r="H4969" s="15"/>
      <c r="I4969" s="15"/>
    </row>
    <row r="4970">
      <c r="A4970" s="18">
        <v>45665.0</v>
      </c>
      <c r="B4970" s="16" t="s">
        <v>5780</v>
      </c>
      <c r="C4970" s="16" t="s">
        <v>959</v>
      </c>
      <c r="D4970" s="16" t="s">
        <v>707</v>
      </c>
      <c r="E4970" s="16">
        <v>2023.0</v>
      </c>
      <c r="F4970" s="16">
        <v>48.721</v>
      </c>
      <c r="G4970" s="16">
        <v>12.7229</v>
      </c>
      <c r="H4970" s="15"/>
      <c r="I4970" s="15"/>
    </row>
    <row r="4971">
      <c r="A4971" s="18">
        <v>45665.0</v>
      </c>
      <c r="B4971" s="16" t="s">
        <v>5781</v>
      </c>
      <c r="C4971" s="16" t="s">
        <v>1090</v>
      </c>
      <c r="D4971" s="16" t="s">
        <v>707</v>
      </c>
      <c r="E4971" s="16">
        <v>2023.0</v>
      </c>
      <c r="F4971" s="16">
        <v>48.3375</v>
      </c>
      <c r="G4971" s="16">
        <v>12.8278</v>
      </c>
      <c r="H4971" s="15"/>
      <c r="I4971" s="15"/>
    </row>
    <row r="4972">
      <c r="A4972" s="18">
        <v>45665.0</v>
      </c>
      <c r="B4972" s="16" t="s">
        <v>5782</v>
      </c>
      <c r="C4972" s="16" t="s">
        <v>959</v>
      </c>
      <c r="D4972" s="16" t="s">
        <v>707</v>
      </c>
      <c r="E4972" s="16">
        <v>2023.0</v>
      </c>
      <c r="F4972" s="16">
        <v>48.2485</v>
      </c>
      <c r="G4972" s="16">
        <v>12.8029</v>
      </c>
      <c r="H4972" s="15"/>
      <c r="I4972" s="15"/>
    </row>
    <row r="4973">
      <c r="A4973" s="18">
        <v>45665.0</v>
      </c>
      <c r="B4973" s="16" t="s">
        <v>5783</v>
      </c>
      <c r="C4973" s="16" t="s">
        <v>1051</v>
      </c>
      <c r="D4973" s="16" t="s">
        <v>707</v>
      </c>
      <c r="E4973" s="16">
        <v>2023.0</v>
      </c>
      <c r="F4973" s="16">
        <v>48.2472</v>
      </c>
      <c r="G4973" s="16">
        <v>12.8022</v>
      </c>
      <c r="H4973" s="15"/>
      <c r="I4973" s="15"/>
    </row>
    <row r="4974">
      <c r="A4974" s="18">
        <v>45665.0</v>
      </c>
      <c r="B4974" s="16" t="s">
        <v>5784</v>
      </c>
      <c r="C4974" s="16" t="s">
        <v>1004</v>
      </c>
      <c r="D4974" s="16" t="s">
        <v>707</v>
      </c>
      <c r="E4974" s="16">
        <v>2023.0</v>
      </c>
      <c r="F4974" s="16">
        <v>48.2458</v>
      </c>
      <c r="G4974" s="16">
        <v>12.8031</v>
      </c>
      <c r="H4974" s="15"/>
      <c r="I4974" s="15"/>
    </row>
    <row r="4975">
      <c r="A4975" s="18">
        <v>45665.0</v>
      </c>
      <c r="B4975" s="16" t="s">
        <v>5785</v>
      </c>
      <c r="C4975" s="16" t="s">
        <v>2770</v>
      </c>
      <c r="D4975" s="16" t="s">
        <v>707</v>
      </c>
      <c r="E4975" s="16">
        <v>2023.0</v>
      </c>
      <c r="F4975" s="16">
        <v>48.2595</v>
      </c>
      <c r="G4975" s="16">
        <v>12.6224</v>
      </c>
      <c r="H4975" s="15"/>
      <c r="I4975" s="15"/>
    </row>
    <row r="4976">
      <c r="A4976" s="18">
        <v>45665.0</v>
      </c>
      <c r="B4976" s="16" t="s">
        <v>5786</v>
      </c>
      <c r="C4976" s="16" t="s">
        <v>1080</v>
      </c>
      <c r="D4976" s="16" t="s">
        <v>707</v>
      </c>
      <c r="E4976" s="16">
        <v>2023.0</v>
      </c>
      <c r="F4976" s="16">
        <v>52.5816</v>
      </c>
      <c r="G4976" s="16">
        <v>11.7618</v>
      </c>
      <c r="H4976" s="15"/>
      <c r="I4976" s="15"/>
    </row>
    <row r="4977">
      <c r="A4977" s="18">
        <v>45665.0</v>
      </c>
      <c r="B4977" s="16" t="s">
        <v>5787</v>
      </c>
      <c r="C4977" s="16" t="s">
        <v>965</v>
      </c>
      <c r="D4977" s="16" t="s">
        <v>707</v>
      </c>
      <c r="E4977" s="16">
        <v>2023.0</v>
      </c>
      <c r="F4977" s="16">
        <v>52.5829</v>
      </c>
      <c r="G4977" s="16">
        <v>11.7627</v>
      </c>
      <c r="H4977" s="15"/>
      <c r="I4977" s="15"/>
    </row>
    <row r="4978">
      <c r="A4978" s="18">
        <v>45665.0</v>
      </c>
      <c r="B4978" s="16" t="s">
        <v>5788</v>
      </c>
      <c r="C4978" s="16">
        <v>3.0</v>
      </c>
      <c r="D4978" s="16" t="s">
        <v>707</v>
      </c>
      <c r="E4978" s="16">
        <v>2023.0</v>
      </c>
      <c r="F4978" s="16">
        <v>48.7495</v>
      </c>
      <c r="G4978" s="16">
        <v>13.1305</v>
      </c>
      <c r="H4978" s="15"/>
      <c r="I4978" s="15"/>
    </row>
    <row r="4979">
      <c r="A4979" s="18">
        <v>45665.0</v>
      </c>
      <c r="B4979" s="16" t="s">
        <v>5789</v>
      </c>
      <c r="C4979" s="16" t="s">
        <v>2457</v>
      </c>
      <c r="D4979" s="16" t="s">
        <v>707</v>
      </c>
      <c r="E4979" s="16">
        <v>2023.0</v>
      </c>
      <c r="F4979" s="16">
        <v>48.3079</v>
      </c>
      <c r="G4979" s="16">
        <v>12.4818</v>
      </c>
      <c r="H4979" s="15"/>
      <c r="I4979" s="15"/>
    </row>
    <row r="4980">
      <c r="A4980" s="18">
        <v>45665.0</v>
      </c>
      <c r="B4980" s="16" t="s">
        <v>5790</v>
      </c>
      <c r="C4980" s="16" t="s">
        <v>942</v>
      </c>
      <c r="D4980" s="16" t="s">
        <v>707</v>
      </c>
      <c r="E4980" s="16">
        <v>2023.0</v>
      </c>
      <c r="F4980" s="16">
        <v>51.8465</v>
      </c>
      <c r="G4980" s="16">
        <v>13.9534</v>
      </c>
      <c r="H4980" s="15"/>
      <c r="I4980" s="15"/>
    </row>
    <row r="4981">
      <c r="A4981" s="18">
        <v>45665.0</v>
      </c>
      <c r="B4981" s="16" t="s">
        <v>5791</v>
      </c>
      <c r="C4981" s="16" t="s">
        <v>1034</v>
      </c>
      <c r="D4981" s="16" t="s">
        <v>707</v>
      </c>
      <c r="E4981" s="16">
        <v>2023.0</v>
      </c>
      <c r="F4981" s="16">
        <v>48.3779</v>
      </c>
      <c r="G4981" s="16">
        <v>9.5167</v>
      </c>
      <c r="H4981" s="15"/>
      <c r="I4981" s="15"/>
    </row>
    <row r="4982">
      <c r="A4982" s="18">
        <v>45665.0</v>
      </c>
      <c r="B4982" s="16" t="s">
        <v>5792</v>
      </c>
      <c r="C4982" s="16" t="s">
        <v>1341</v>
      </c>
      <c r="D4982" s="16" t="s">
        <v>707</v>
      </c>
      <c r="E4982" s="16">
        <v>2023.0</v>
      </c>
      <c r="F4982" s="16">
        <v>48.393</v>
      </c>
      <c r="G4982" s="16">
        <v>8.6873</v>
      </c>
      <c r="H4982" s="15"/>
      <c r="I4982" s="15"/>
    </row>
    <row r="4983">
      <c r="A4983" s="18">
        <v>45665.0</v>
      </c>
      <c r="B4983" s="16" t="s">
        <v>5793</v>
      </c>
      <c r="C4983" s="16" t="s">
        <v>990</v>
      </c>
      <c r="D4983" s="16" t="s">
        <v>707</v>
      </c>
      <c r="E4983" s="16">
        <v>2023.0</v>
      </c>
      <c r="F4983" s="16">
        <v>48.9733</v>
      </c>
      <c r="G4983" s="16">
        <v>12.3034</v>
      </c>
      <c r="H4983" s="15"/>
      <c r="I4983" s="15"/>
    </row>
    <row r="4984">
      <c r="A4984" s="18">
        <v>45665.0</v>
      </c>
      <c r="B4984" s="16" t="s">
        <v>5794</v>
      </c>
      <c r="C4984" s="16" t="s">
        <v>1096</v>
      </c>
      <c r="D4984" s="16" t="s">
        <v>707</v>
      </c>
      <c r="E4984" s="16">
        <v>2023.0</v>
      </c>
      <c r="F4984" s="16">
        <v>48.6004</v>
      </c>
      <c r="G4984" s="16">
        <v>11.4413</v>
      </c>
      <c r="H4984" s="15"/>
      <c r="I4984" s="15"/>
    </row>
    <row r="4985">
      <c r="A4985" s="18">
        <v>45665.0</v>
      </c>
      <c r="B4985" s="16" t="s">
        <v>5795</v>
      </c>
      <c r="C4985" s="16" t="s">
        <v>1094</v>
      </c>
      <c r="D4985" s="16" t="s">
        <v>707</v>
      </c>
      <c r="E4985" s="16">
        <v>2023.0</v>
      </c>
      <c r="F4985" s="16">
        <v>49.5832</v>
      </c>
      <c r="G4985" s="16">
        <v>6.6711</v>
      </c>
      <c r="H4985" s="15"/>
      <c r="I4985" s="15"/>
    </row>
    <row r="4986">
      <c r="A4986" s="18">
        <v>45665.0</v>
      </c>
      <c r="B4986" s="16" t="s">
        <v>5796</v>
      </c>
      <c r="C4986" s="16" t="s">
        <v>2331</v>
      </c>
      <c r="D4986" s="16" t="s">
        <v>707</v>
      </c>
      <c r="E4986" s="16">
        <v>2023.0</v>
      </c>
      <c r="F4986" s="16">
        <v>50.3337</v>
      </c>
      <c r="G4986" s="16">
        <v>10.1587</v>
      </c>
      <c r="H4986" s="15"/>
      <c r="I4986" s="15"/>
    </row>
    <row r="4987">
      <c r="A4987" s="18">
        <v>45665.0</v>
      </c>
      <c r="B4987" s="16" t="s">
        <v>5797</v>
      </c>
      <c r="C4987" s="16" t="s">
        <v>942</v>
      </c>
      <c r="D4987" s="16" t="s">
        <v>707</v>
      </c>
      <c r="E4987" s="16">
        <v>2023.0</v>
      </c>
      <c r="F4987" s="16">
        <v>49.3711</v>
      </c>
      <c r="G4987" s="16">
        <v>7.2081</v>
      </c>
      <c r="H4987" s="15"/>
      <c r="I4987" s="15"/>
    </row>
    <row r="4988">
      <c r="A4988" s="18">
        <v>45665.0</v>
      </c>
      <c r="B4988" s="16" t="s">
        <v>5798</v>
      </c>
      <c r="C4988" s="16">
        <v>3.0</v>
      </c>
      <c r="D4988" s="16" t="s">
        <v>707</v>
      </c>
      <c r="E4988" s="16">
        <v>2023.0</v>
      </c>
      <c r="F4988" s="16">
        <v>52.3129</v>
      </c>
      <c r="G4988" s="16">
        <v>7.6222</v>
      </c>
      <c r="H4988" s="15"/>
      <c r="I4988" s="15"/>
    </row>
    <row r="4989">
      <c r="A4989" s="18">
        <v>45665.0</v>
      </c>
      <c r="B4989" s="16" t="s">
        <v>5799</v>
      </c>
      <c r="C4989" s="16">
        <v>3.0</v>
      </c>
      <c r="D4989" s="16" t="s">
        <v>707</v>
      </c>
      <c r="E4989" s="16">
        <v>2023.0</v>
      </c>
      <c r="F4989" s="16">
        <v>52.3126</v>
      </c>
      <c r="G4989" s="16">
        <v>7.6242</v>
      </c>
      <c r="H4989" s="15"/>
      <c r="I4989" s="15"/>
    </row>
    <row r="4990">
      <c r="A4990" s="18">
        <v>45665.0</v>
      </c>
      <c r="B4990" s="16" t="s">
        <v>5800</v>
      </c>
      <c r="C4990" s="16" t="s">
        <v>1034</v>
      </c>
      <c r="D4990" s="16" t="s">
        <v>707</v>
      </c>
      <c r="E4990" s="16">
        <v>2023.0</v>
      </c>
      <c r="F4990" s="16">
        <v>51.0378</v>
      </c>
      <c r="G4990" s="16">
        <v>6.489</v>
      </c>
      <c r="H4990" s="15"/>
      <c r="I4990" s="15"/>
    </row>
    <row r="4991">
      <c r="A4991" s="18">
        <v>45665.0</v>
      </c>
      <c r="B4991" s="16" t="s">
        <v>5801</v>
      </c>
      <c r="C4991" s="16" t="s">
        <v>946</v>
      </c>
      <c r="D4991" s="16" t="s">
        <v>707</v>
      </c>
      <c r="E4991" s="16">
        <v>2023.0</v>
      </c>
      <c r="F4991" s="16">
        <v>51.1714</v>
      </c>
      <c r="G4991" s="16">
        <v>6.6489</v>
      </c>
      <c r="H4991" s="15"/>
      <c r="I4991" s="15"/>
    </row>
    <row r="4992">
      <c r="A4992" s="18">
        <v>45665.0</v>
      </c>
      <c r="B4992" s="16" t="s">
        <v>5802</v>
      </c>
      <c r="C4992" s="16" t="s">
        <v>1436</v>
      </c>
      <c r="D4992" s="16" t="s">
        <v>707</v>
      </c>
      <c r="E4992" s="16">
        <v>2023.0</v>
      </c>
      <c r="F4992" s="16">
        <v>49.05</v>
      </c>
      <c r="G4992" s="16">
        <v>11.5215</v>
      </c>
      <c r="H4992" s="15"/>
      <c r="I4992" s="15"/>
    </row>
    <row r="4993">
      <c r="A4993" s="18">
        <v>45665.0</v>
      </c>
      <c r="B4993" s="16" t="s">
        <v>5803</v>
      </c>
      <c r="C4993" s="16" t="s">
        <v>959</v>
      </c>
      <c r="D4993" s="16" t="s">
        <v>707</v>
      </c>
      <c r="E4993" s="16">
        <v>2023.0</v>
      </c>
      <c r="F4993" s="16">
        <v>48.4498</v>
      </c>
      <c r="G4993" s="16">
        <v>7.9039</v>
      </c>
      <c r="H4993" s="15"/>
      <c r="I4993" s="15"/>
    </row>
    <row r="4994">
      <c r="A4994" s="18">
        <v>45665.0</v>
      </c>
      <c r="B4994" s="16" t="s">
        <v>5804</v>
      </c>
      <c r="C4994" s="16">
        <v>2.0</v>
      </c>
      <c r="D4994" s="16" t="s">
        <v>707</v>
      </c>
      <c r="E4994" s="16">
        <v>2023.0</v>
      </c>
      <c r="F4994" s="16">
        <v>48.879</v>
      </c>
      <c r="G4994" s="16">
        <v>10.4315</v>
      </c>
      <c r="H4994" s="15"/>
      <c r="I4994" s="15"/>
    </row>
    <row r="4995">
      <c r="A4995" s="18">
        <v>45665.0</v>
      </c>
      <c r="B4995" s="16" t="s">
        <v>5805</v>
      </c>
      <c r="C4995" s="16" t="s">
        <v>1011</v>
      </c>
      <c r="D4995" s="16" t="s">
        <v>707</v>
      </c>
      <c r="E4995" s="16">
        <v>2023.0</v>
      </c>
      <c r="F4995" s="16">
        <v>54.0381</v>
      </c>
      <c r="G4995" s="16">
        <v>9.4219</v>
      </c>
      <c r="H4995" s="15"/>
      <c r="I4995" s="15"/>
    </row>
    <row r="4996">
      <c r="A4996" s="18">
        <v>45665.0</v>
      </c>
      <c r="B4996" s="16" t="s">
        <v>5806</v>
      </c>
      <c r="C4996" s="16" t="s">
        <v>942</v>
      </c>
      <c r="D4996" s="16" t="s">
        <v>707</v>
      </c>
      <c r="E4996" s="16">
        <v>2023.0</v>
      </c>
      <c r="F4996" s="16">
        <v>51.822</v>
      </c>
      <c r="G4996" s="16">
        <v>7.1245</v>
      </c>
      <c r="H4996" s="15"/>
      <c r="I4996" s="15"/>
    </row>
    <row r="4997">
      <c r="A4997" s="18">
        <v>45665.0</v>
      </c>
      <c r="B4997" s="16" t="s">
        <v>5807</v>
      </c>
      <c r="C4997" s="16" t="s">
        <v>942</v>
      </c>
      <c r="D4997" s="16" t="s">
        <v>707</v>
      </c>
      <c r="E4997" s="16">
        <v>2023.0</v>
      </c>
      <c r="F4997" s="16">
        <v>53.2517</v>
      </c>
      <c r="G4997" s="16">
        <v>8.0346</v>
      </c>
      <c r="H4997" s="15"/>
      <c r="I4997" s="15"/>
    </row>
    <row r="4998">
      <c r="A4998" s="18">
        <v>45665.0</v>
      </c>
      <c r="B4998" s="16" t="s">
        <v>5808</v>
      </c>
      <c r="C4998" s="16">
        <v>1.0</v>
      </c>
      <c r="D4998" s="16" t="s">
        <v>707</v>
      </c>
      <c r="E4998" s="16">
        <v>2023.0</v>
      </c>
      <c r="F4998" s="16">
        <v>53.0309</v>
      </c>
      <c r="G4998" s="16">
        <v>12.6085</v>
      </c>
      <c r="H4998" s="15"/>
      <c r="I4998" s="15"/>
    </row>
    <row r="4999">
      <c r="A4999" s="18">
        <v>45665.0</v>
      </c>
      <c r="B4999" s="16" t="s">
        <v>5809</v>
      </c>
      <c r="C4999" s="16" t="s">
        <v>1059</v>
      </c>
      <c r="D4999" s="16" t="s">
        <v>707</v>
      </c>
      <c r="E4999" s="16">
        <v>2023.0</v>
      </c>
      <c r="F4999" s="16">
        <v>48.9707</v>
      </c>
      <c r="G4999" s="16">
        <v>12.3069</v>
      </c>
      <c r="H4999" s="15"/>
      <c r="I4999" s="15"/>
    </row>
    <row r="5000">
      <c r="A5000" s="18">
        <v>45665.0</v>
      </c>
      <c r="B5000" s="16" t="s">
        <v>5810</v>
      </c>
      <c r="C5000" s="16" t="s">
        <v>969</v>
      </c>
      <c r="D5000" s="16" t="s">
        <v>707</v>
      </c>
      <c r="E5000" s="16">
        <v>2023.0</v>
      </c>
      <c r="F5000" s="16">
        <v>49.3782</v>
      </c>
      <c r="G5000" s="16">
        <v>12.687</v>
      </c>
      <c r="H5000" s="15"/>
      <c r="I5000" s="15"/>
    </row>
    <row r="5001">
      <c r="A5001" s="18">
        <v>45665.0</v>
      </c>
      <c r="B5001" s="16" t="s">
        <v>5811</v>
      </c>
      <c r="C5001" s="16" t="s">
        <v>2331</v>
      </c>
      <c r="D5001" s="16" t="s">
        <v>707</v>
      </c>
      <c r="E5001" s="16">
        <v>2023.0</v>
      </c>
      <c r="F5001" s="16">
        <v>49.3601</v>
      </c>
      <c r="G5001" s="16">
        <v>9.351</v>
      </c>
      <c r="H5001" s="15"/>
      <c r="I5001" s="15"/>
    </row>
    <row r="5002">
      <c r="A5002" s="18">
        <v>45665.0</v>
      </c>
      <c r="B5002" s="16" t="s">
        <v>5812</v>
      </c>
      <c r="C5002" s="16" t="s">
        <v>1059</v>
      </c>
      <c r="D5002" s="16" t="s">
        <v>707</v>
      </c>
      <c r="E5002" s="16">
        <v>2023.0</v>
      </c>
      <c r="F5002" s="16">
        <v>53.0271</v>
      </c>
      <c r="G5002" s="16">
        <v>8.9015</v>
      </c>
      <c r="H5002" s="15"/>
      <c r="I5002" s="15"/>
    </row>
    <row r="5003">
      <c r="A5003" s="18">
        <v>45665.0</v>
      </c>
      <c r="B5003" s="16" t="s">
        <v>5813</v>
      </c>
      <c r="C5003" s="16" t="s">
        <v>2150</v>
      </c>
      <c r="D5003" s="16" t="s">
        <v>707</v>
      </c>
      <c r="E5003" s="16">
        <v>2023.0</v>
      </c>
      <c r="F5003" s="16">
        <v>49.4811</v>
      </c>
      <c r="G5003" s="16">
        <v>9.4482</v>
      </c>
      <c r="H5003" s="15"/>
      <c r="I5003" s="15"/>
    </row>
    <row r="5004">
      <c r="A5004" s="18">
        <v>45665.0</v>
      </c>
      <c r="B5004" s="16" t="s">
        <v>5814</v>
      </c>
      <c r="C5004" s="16" t="s">
        <v>1203</v>
      </c>
      <c r="D5004" s="16" t="s">
        <v>707</v>
      </c>
      <c r="E5004" s="16">
        <v>2023.0</v>
      </c>
      <c r="F5004" s="16">
        <v>49.4869</v>
      </c>
      <c r="G5004" s="16">
        <v>6.7191</v>
      </c>
      <c r="H5004" s="15"/>
      <c r="I5004" s="15"/>
    </row>
    <row r="5005">
      <c r="A5005" s="18">
        <v>45665.0</v>
      </c>
      <c r="B5005" s="16" t="s">
        <v>5815</v>
      </c>
      <c r="C5005" s="16" t="s">
        <v>1167</v>
      </c>
      <c r="D5005" s="16" t="s">
        <v>707</v>
      </c>
      <c r="E5005" s="16">
        <v>2023.0</v>
      </c>
      <c r="F5005" s="16">
        <v>48.8331</v>
      </c>
      <c r="G5005" s="16">
        <v>10.5399</v>
      </c>
      <c r="H5005" s="15"/>
      <c r="I5005" s="15"/>
    </row>
    <row r="5006">
      <c r="A5006" s="18">
        <v>45665.0</v>
      </c>
      <c r="B5006" s="16" t="s">
        <v>5816</v>
      </c>
      <c r="C5006" s="16">
        <v>3.0</v>
      </c>
      <c r="D5006" s="16" t="s">
        <v>707</v>
      </c>
      <c r="E5006" s="16">
        <v>2023.0</v>
      </c>
      <c r="F5006" s="16">
        <v>48.8349</v>
      </c>
      <c r="G5006" s="16">
        <v>10.5346</v>
      </c>
      <c r="H5006" s="15"/>
      <c r="I5006" s="15"/>
    </row>
    <row r="5007">
      <c r="A5007" s="18">
        <v>45665.0</v>
      </c>
      <c r="B5007" s="16" t="s">
        <v>5817</v>
      </c>
      <c r="C5007" s="16">
        <v>12.0</v>
      </c>
      <c r="D5007" s="16" t="s">
        <v>707</v>
      </c>
      <c r="E5007" s="16">
        <v>2023.0</v>
      </c>
      <c r="F5007" s="16">
        <v>53.4967</v>
      </c>
      <c r="G5007" s="16">
        <v>13.1102</v>
      </c>
      <c r="H5007" s="15"/>
      <c r="I5007" s="15"/>
    </row>
    <row r="5008">
      <c r="A5008" s="18">
        <v>45665.0</v>
      </c>
      <c r="B5008" s="16" t="s">
        <v>5818</v>
      </c>
      <c r="C5008" s="16" t="s">
        <v>1059</v>
      </c>
      <c r="D5008" s="16" t="s">
        <v>707</v>
      </c>
      <c r="E5008" s="16">
        <v>2023.0</v>
      </c>
      <c r="F5008" s="16">
        <v>51.2531</v>
      </c>
      <c r="G5008" s="16">
        <v>8.2063</v>
      </c>
      <c r="H5008" s="15"/>
      <c r="I5008" s="15"/>
    </row>
    <row r="5009">
      <c r="A5009" s="18">
        <v>45665.0</v>
      </c>
      <c r="B5009" s="16" t="s">
        <v>5819</v>
      </c>
      <c r="C5009" s="16">
        <v>3.0</v>
      </c>
      <c r="D5009" s="16" t="s">
        <v>707</v>
      </c>
      <c r="E5009" s="16">
        <v>2023.0</v>
      </c>
      <c r="F5009" s="16">
        <v>51.7711</v>
      </c>
      <c r="G5009" s="16">
        <v>8.0323</v>
      </c>
      <c r="H5009" s="15"/>
      <c r="I5009" s="15"/>
    </row>
    <row r="5010">
      <c r="A5010" s="18">
        <v>45665.0</v>
      </c>
      <c r="B5010" s="16" t="s">
        <v>5820</v>
      </c>
      <c r="C5010" s="16" t="s">
        <v>971</v>
      </c>
      <c r="D5010" s="16" t="s">
        <v>707</v>
      </c>
      <c r="E5010" s="16">
        <v>2023.0</v>
      </c>
      <c r="F5010" s="16">
        <v>50.2916</v>
      </c>
      <c r="G5010" s="16">
        <v>11.1219</v>
      </c>
      <c r="H5010" s="15"/>
      <c r="I5010" s="15"/>
    </row>
    <row r="5011">
      <c r="A5011" s="18">
        <v>45665.0</v>
      </c>
      <c r="B5011" s="16" t="s">
        <v>5821</v>
      </c>
      <c r="C5011" s="16" t="s">
        <v>971</v>
      </c>
      <c r="D5011" s="16" t="s">
        <v>707</v>
      </c>
      <c r="E5011" s="16">
        <v>2023.0</v>
      </c>
      <c r="F5011" s="16">
        <v>51.643</v>
      </c>
      <c r="G5011" s="16">
        <v>12.2157</v>
      </c>
      <c r="H5011" s="15"/>
      <c r="I5011" s="15"/>
    </row>
    <row r="5012">
      <c r="A5012" s="18">
        <v>45665.0</v>
      </c>
      <c r="B5012" s="16" t="s">
        <v>5822</v>
      </c>
      <c r="C5012" s="16">
        <v>2.0</v>
      </c>
      <c r="D5012" s="16" t="s">
        <v>707</v>
      </c>
      <c r="E5012" s="16">
        <v>2023.0</v>
      </c>
      <c r="F5012" s="16">
        <v>51.6437</v>
      </c>
      <c r="G5012" s="16">
        <v>12.2169</v>
      </c>
      <c r="H5012" s="15"/>
      <c r="I5012" s="15"/>
    </row>
    <row r="5013">
      <c r="A5013" s="18">
        <v>45665.0</v>
      </c>
      <c r="B5013" s="16" t="s">
        <v>5823</v>
      </c>
      <c r="C5013" s="16" t="s">
        <v>942</v>
      </c>
      <c r="D5013" s="16" t="s">
        <v>707</v>
      </c>
      <c r="E5013" s="16">
        <v>2023.0</v>
      </c>
      <c r="F5013" s="16">
        <v>49.9815</v>
      </c>
      <c r="G5013" s="16">
        <v>8.0398</v>
      </c>
      <c r="H5013" s="15"/>
      <c r="I5013" s="15"/>
    </row>
    <row r="5014">
      <c r="A5014" s="18">
        <v>45665.0</v>
      </c>
      <c r="B5014" s="16" t="s">
        <v>5824</v>
      </c>
      <c r="C5014" s="16" t="s">
        <v>1059</v>
      </c>
      <c r="D5014" s="16" t="s">
        <v>707</v>
      </c>
      <c r="E5014" s="16">
        <v>2023.0</v>
      </c>
      <c r="F5014" s="16">
        <v>50.8972</v>
      </c>
      <c r="G5014" s="16">
        <v>6.6787</v>
      </c>
      <c r="H5014" s="15"/>
      <c r="I5014" s="15"/>
    </row>
    <row r="5015">
      <c r="A5015" s="18">
        <v>45665.0</v>
      </c>
      <c r="B5015" s="16" t="s">
        <v>5825</v>
      </c>
      <c r="C5015" s="16" t="s">
        <v>4610</v>
      </c>
      <c r="D5015" s="16" t="s">
        <v>707</v>
      </c>
      <c r="E5015" s="16">
        <v>2023.0</v>
      </c>
      <c r="F5015" s="16">
        <v>53.3323</v>
      </c>
      <c r="G5015" s="16">
        <v>8.487</v>
      </c>
      <c r="H5015" s="15"/>
      <c r="I5015" s="15"/>
    </row>
    <row r="5016">
      <c r="A5016" s="18">
        <v>45665.0</v>
      </c>
      <c r="B5016" s="16" t="s">
        <v>5826</v>
      </c>
      <c r="C5016" s="16">
        <v>1.0</v>
      </c>
      <c r="D5016" s="16" t="s">
        <v>707</v>
      </c>
      <c r="E5016" s="16">
        <v>2023.0</v>
      </c>
      <c r="F5016" s="16">
        <v>48.8059</v>
      </c>
      <c r="G5016" s="16">
        <v>12.1679</v>
      </c>
      <c r="H5016" s="15"/>
      <c r="I5016" s="15"/>
    </row>
    <row r="5017">
      <c r="A5017" s="18">
        <v>45665.0</v>
      </c>
      <c r="B5017" s="16" t="s">
        <v>5827</v>
      </c>
      <c r="C5017" s="16" t="s">
        <v>961</v>
      </c>
      <c r="D5017" s="16" t="s">
        <v>707</v>
      </c>
      <c r="E5017" s="16">
        <v>2023.0</v>
      </c>
      <c r="F5017" s="16">
        <v>48.8056</v>
      </c>
      <c r="G5017" s="16">
        <v>12.1671</v>
      </c>
      <c r="H5017" s="15"/>
      <c r="I5017" s="15"/>
    </row>
    <row r="5018">
      <c r="A5018" s="18">
        <v>45665.0</v>
      </c>
      <c r="B5018" s="16" t="s">
        <v>5828</v>
      </c>
      <c r="C5018" s="16" t="s">
        <v>1310</v>
      </c>
      <c r="D5018" s="16" t="s">
        <v>707</v>
      </c>
      <c r="E5018" s="16">
        <v>2023.0</v>
      </c>
      <c r="F5018" s="16">
        <v>50.068</v>
      </c>
      <c r="G5018" s="16">
        <v>7.172</v>
      </c>
      <c r="H5018" s="15"/>
      <c r="I5018" s="15"/>
    </row>
    <row r="5019">
      <c r="A5019" s="18">
        <v>45665.0</v>
      </c>
      <c r="B5019" s="16" t="s">
        <v>5829</v>
      </c>
      <c r="C5019" s="16" t="s">
        <v>1172</v>
      </c>
      <c r="D5019" s="16" t="s">
        <v>707</v>
      </c>
      <c r="E5019" s="16">
        <v>2023.0</v>
      </c>
      <c r="F5019" s="16">
        <v>48.6683</v>
      </c>
      <c r="G5019" s="16">
        <v>12.0087</v>
      </c>
      <c r="H5019" s="15"/>
      <c r="I5019" s="15"/>
    </row>
    <row r="5020">
      <c r="A5020" s="18">
        <v>45665.0</v>
      </c>
      <c r="B5020" s="16" t="s">
        <v>5830</v>
      </c>
      <c r="C5020" s="16" t="s">
        <v>1436</v>
      </c>
      <c r="D5020" s="16" t="s">
        <v>707</v>
      </c>
      <c r="E5020" s="16">
        <v>2023.0</v>
      </c>
      <c r="F5020" s="16">
        <v>48.6687</v>
      </c>
      <c r="G5020" s="16">
        <v>12.0063</v>
      </c>
      <c r="H5020" s="15"/>
      <c r="I5020" s="15"/>
    </row>
    <row r="5021">
      <c r="A5021" s="18">
        <v>45665.0</v>
      </c>
      <c r="B5021" s="16" t="s">
        <v>5831</v>
      </c>
      <c r="C5021" s="16" t="s">
        <v>1172</v>
      </c>
      <c r="D5021" s="16" t="s">
        <v>707</v>
      </c>
      <c r="E5021" s="16">
        <v>2023.0</v>
      </c>
      <c r="F5021" s="16">
        <v>48.6666</v>
      </c>
      <c r="G5021" s="16">
        <v>12.0081</v>
      </c>
      <c r="H5021" s="15"/>
      <c r="I5021" s="15"/>
    </row>
    <row r="5022">
      <c r="A5022" s="18">
        <v>45665.0</v>
      </c>
      <c r="B5022" s="16" t="s">
        <v>5832</v>
      </c>
      <c r="C5022" s="16" t="s">
        <v>2736</v>
      </c>
      <c r="D5022" s="16" t="s">
        <v>707</v>
      </c>
      <c r="E5022" s="16">
        <v>2023.0</v>
      </c>
      <c r="F5022" s="16">
        <v>50.1312</v>
      </c>
      <c r="G5022" s="16">
        <v>10.6198</v>
      </c>
      <c r="H5022" s="15"/>
      <c r="I5022" s="15"/>
    </row>
    <row r="5023">
      <c r="A5023" s="18">
        <v>45665.0</v>
      </c>
      <c r="B5023" s="16" t="s">
        <v>5833</v>
      </c>
      <c r="C5023" s="16" t="s">
        <v>4533</v>
      </c>
      <c r="D5023" s="16" t="s">
        <v>707</v>
      </c>
      <c r="E5023" s="16">
        <v>2023.0</v>
      </c>
      <c r="F5023" s="16">
        <v>54.0875</v>
      </c>
      <c r="G5023" s="16">
        <v>10.0262</v>
      </c>
      <c r="H5023" s="15"/>
      <c r="I5023" s="15"/>
    </row>
    <row r="5024">
      <c r="A5024" s="18">
        <v>45665.0</v>
      </c>
      <c r="B5024" s="16" t="s">
        <v>5834</v>
      </c>
      <c r="C5024" s="16">
        <v>10.0</v>
      </c>
      <c r="D5024" s="16" t="s">
        <v>707</v>
      </c>
      <c r="E5024" s="16">
        <v>2023.0</v>
      </c>
      <c r="F5024" s="16">
        <v>49.2685</v>
      </c>
      <c r="G5024" s="16">
        <v>10.8111</v>
      </c>
      <c r="H5024" s="15"/>
      <c r="I5024" s="15"/>
    </row>
    <row r="5025">
      <c r="A5025" s="18">
        <v>45665.0</v>
      </c>
      <c r="B5025" s="16" t="s">
        <v>5835</v>
      </c>
      <c r="C5025" s="16" t="s">
        <v>1004</v>
      </c>
      <c r="D5025" s="16" t="s">
        <v>707</v>
      </c>
      <c r="E5025" s="16">
        <v>2023.0</v>
      </c>
      <c r="F5025" s="16">
        <v>48.9675</v>
      </c>
      <c r="G5025" s="16">
        <v>12.3171</v>
      </c>
      <c r="H5025" s="15"/>
      <c r="I5025" s="15"/>
    </row>
    <row r="5026">
      <c r="A5026" s="18">
        <v>45665.0</v>
      </c>
      <c r="B5026" s="16" t="s">
        <v>5836</v>
      </c>
      <c r="C5026" s="16" t="s">
        <v>946</v>
      </c>
      <c r="D5026" s="16" t="s">
        <v>707</v>
      </c>
      <c r="E5026" s="16">
        <v>2023.0</v>
      </c>
      <c r="F5026" s="16">
        <v>52.7951</v>
      </c>
      <c r="G5026" s="16">
        <v>7.2016</v>
      </c>
      <c r="H5026" s="15"/>
      <c r="I5026" s="15"/>
    </row>
    <row r="5027">
      <c r="A5027" s="18">
        <v>45665.0</v>
      </c>
      <c r="B5027" s="16" t="s">
        <v>5837</v>
      </c>
      <c r="C5027" s="16" t="s">
        <v>1055</v>
      </c>
      <c r="D5027" s="16" t="s">
        <v>707</v>
      </c>
      <c r="E5027" s="16">
        <v>2023.0</v>
      </c>
      <c r="F5027" s="16">
        <v>53.3856</v>
      </c>
      <c r="G5027" s="16">
        <v>10.0851</v>
      </c>
      <c r="H5027" s="15"/>
      <c r="I5027" s="15"/>
    </row>
    <row r="5028">
      <c r="A5028" s="18">
        <v>45665.0</v>
      </c>
      <c r="B5028" s="16" t="s">
        <v>5838</v>
      </c>
      <c r="C5028" s="16" t="s">
        <v>990</v>
      </c>
      <c r="D5028" s="16" t="s">
        <v>707</v>
      </c>
      <c r="E5028" s="16">
        <v>2023.0</v>
      </c>
      <c r="F5028" s="16">
        <v>51.7233</v>
      </c>
      <c r="G5028" s="16">
        <v>7.0461</v>
      </c>
      <c r="H5028" s="15"/>
      <c r="I5028" s="15"/>
    </row>
    <row r="5029">
      <c r="A5029" s="18">
        <v>45665.0</v>
      </c>
      <c r="B5029" s="16" t="s">
        <v>5839</v>
      </c>
      <c r="C5029" s="16" t="s">
        <v>1101</v>
      </c>
      <c r="D5029" s="16" t="s">
        <v>707</v>
      </c>
      <c r="E5029" s="16">
        <v>2023.0</v>
      </c>
      <c r="F5029" s="16">
        <v>51.8854</v>
      </c>
      <c r="G5029" s="16">
        <v>11.4864</v>
      </c>
      <c r="H5029" s="15"/>
      <c r="I5029" s="15"/>
    </row>
    <row r="5030">
      <c r="A5030" s="18">
        <v>45665.0</v>
      </c>
      <c r="B5030" s="16" t="s">
        <v>5840</v>
      </c>
      <c r="C5030" s="16">
        <v>1.0</v>
      </c>
      <c r="D5030" s="16" t="s">
        <v>707</v>
      </c>
      <c r="E5030" s="16">
        <v>2023.0</v>
      </c>
      <c r="F5030" s="16">
        <v>53.3387</v>
      </c>
      <c r="G5030" s="16">
        <v>13.6989</v>
      </c>
      <c r="H5030" s="15"/>
      <c r="I5030" s="15"/>
    </row>
    <row r="5031">
      <c r="A5031" s="18">
        <v>45665.0</v>
      </c>
      <c r="B5031" s="16" t="s">
        <v>5841</v>
      </c>
      <c r="C5031" s="16" t="s">
        <v>951</v>
      </c>
      <c r="D5031" s="16" t="s">
        <v>707</v>
      </c>
      <c r="E5031" s="16">
        <v>2023.0</v>
      </c>
      <c r="F5031" s="16">
        <v>51.984</v>
      </c>
      <c r="G5031" s="16">
        <v>8.795</v>
      </c>
      <c r="H5031" s="15"/>
      <c r="I5031" s="15"/>
    </row>
    <row r="5032">
      <c r="A5032" s="18">
        <v>45665.0</v>
      </c>
      <c r="B5032" s="16" t="s">
        <v>5842</v>
      </c>
      <c r="C5032" s="16" t="s">
        <v>942</v>
      </c>
      <c r="D5032" s="16" t="s">
        <v>707</v>
      </c>
      <c r="E5032" s="16">
        <v>2023.0</v>
      </c>
      <c r="F5032" s="16">
        <v>48.1066</v>
      </c>
      <c r="G5032" s="16">
        <v>9.4274</v>
      </c>
      <c r="H5032" s="15"/>
      <c r="I5032" s="15"/>
    </row>
    <row r="5033">
      <c r="A5033" s="18">
        <v>45665.0</v>
      </c>
      <c r="B5033" s="16" t="s">
        <v>5843</v>
      </c>
      <c r="C5033" s="16" t="s">
        <v>948</v>
      </c>
      <c r="D5033" s="16" t="s">
        <v>707</v>
      </c>
      <c r="E5033" s="16">
        <v>2023.0</v>
      </c>
      <c r="F5033" s="16">
        <v>52.2892</v>
      </c>
      <c r="G5033" s="16">
        <v>7.1776</v>
      </c>
      <c r="H5033" s="15"/>
      <c r="I5033" s="15"/>
    </row>
    <row r="5034">
      <c r="A5034" s="18">
        <v>45665.0</v>
      </c>
      <c r="B5034" s="16" t="s">
        <v>5844</v>
      </c>
      <c r="C5034" s="16">
        <v>3.0</v>
      </c>
      <c r="D5034" s="16" t="s">
        <v>707</v>
      </c>
      <c r="E5034" s="16">
        <v>2023.0</v>
      </c>
      <c r="F5034" s="16">
        <v>47.9066</v>
      </c>
      <c r="G5034" s="16">
        <v>10.2132</v>
      </c>
      <c r="H5034" s="15"/>
      <c r="I5034" s="15"/>
    </row>
    <row r="5035">
      <c r="A5035" s="18">
        <v>45665.0</v>
      </c>
      <c r="B5035" s="16" t="s">
        <v>5845</v>
      </c>
      <c r="C5035" s="16">
        <v>1.0</v>
      </c>
      <c r="D5035" s="16" t="s">
        <v>707</v>
      </c>
      <c r="E5035" s="16">
        <v>2023.0</v>
      </c>
      <c r="F5035" s="16">
        <v>47.8897</v>
      </c>
      <c r="G5035" s="16">
        <v>10.2565</v>
      </c>
      <c r="H5035" s="15"/>
      <c r="I5035" s="15"/>
    </row>
    <row r="5036">
      <c r="A5036" s="18">
        <v>45665.0</v>
      </c>
      <c r="B5036" s="16" t="s">
        <v>5846</v>
      </c>
      <c r="C5036" s="16" t="s">
        <v>978</v>
      </c>
      <c r="D5036" s="16" t="s">
        <v>707</v>
      </c>
      <c r="E5036" s="16">
        <v>2023.0</v>
      </c>
      <c r="F5036" s="16">
        <v>50.4674</v>
      </c>
      <c r="G5036" s="16">
        <v>9.6359</v>
      </c>
      <c r="H5036" s="15"/>
      <c r="I5036" s="15"/>
    </row>
    <row r="5037">
      <c r="A5037" s="18">
        <v>45665.0</v>
      </c>
      <c r="B5037" s="16" t="s">
        <v>5847</v>
      </c>
      <c r="C5037" s="16" t="s">
        <v>946</v>
      </c>
      <c r="D5037" s="16" t="s">
        <v>707</v>
      </c>
      <c r="E5037" s="16">
        <v>2023.0</v>
      </c>
      <c r="F5037" s="16">
        <v>51.5436</v>
      </c>
      <c r="G5037" s="16">
        <v>7.508</v>
      </c>
      <c r="H5037" s="15"/>
      <c r="I5037" s="15"/>
    </row>
    <row r="5038">
      <c r="A5038" s="18">
        <v>45665.0</v>
      </c>
      <c r="B5038" s="16" t="s">
        <v>5848</v>
      </c>
      <c r="C5038" s="16" t="s">
        <v>942</v>
      </c>
      <c r="D5038" s="16" t="s">
        <v>707</v>
      </c>
      <c r="E5038" s="16">
        <v>2023.0</v>
      </c>
      <c r="F5038" s="16">
        <v>51.5436</v>
      </c>
      <c r="G5038" s="16">
        <v>7.508</v>
      </c>
      <c r="H5038" s="15"/>
      <c r="I5038" s="15"/>
    </row>
    <row r="5039">
      <c r="A5039" s="18">
        <v>45665.0</v>
      </c>
      <c r="B5039" s="16" t="s">
        <v>5849</v>
      </c>
      <c r="C5039" s="16" t="s">
        <v>1051</v>
      </c>
      <c r="D5039" s="16" t="s">
        <v>707</v>
      </c>
      <c r="E5039" s="16">
        <v>2023.0</v>
      </c>
      <c r="F5039" s="16">
        <v>51.5958</v>
      </c>
      <c r="G5039" s="16">
        <v>8.5179</v>
      </c>
      <c r="H5039" s="15"/>
      <c r="I5039" s="15"/>
    </row>
    <row r="5040">
      <c r="A5040" s="18">
        <v>45665.0</v>
      </c>
      <c r="B5040" s="16" t="s">
        <v>5850</v>
      </c>
      <c r="C5040" s="16" t="s">
        <v>959</v>
      </c>
      <c r="D5040" s="16" t="s">
        <v>707</v>
      </c>
      <c r="E5040" s="16">
        <v>2023.0</v>
      </c>
      <c r="F5040" s="16">
        <v>50.773</v>
      </c>
      <c r="G5040" s="16">
        <v>6.5146</v>
      </c>
      <c r="H5040" s="15"/>
      <c r="I5040" s="15"/>
    </row>
    <row r="5041">
      <c r="A5041" s="18">
        <v>45665.0</v>
      </c>
      <c r="B5041" s="16" t="s">
        <v>5851</v>
      </c>
      <c r="C5041" s="16" t="s">
        <v>942</v>
      </c>
      <c r="D5041" s="16" t="s">
        <v>707</v>
      </c>
      <c r="E5041" s="16">
        <v>2023.0</v>
      </c>
      <c r="F5041" s="16">
        <v>52.0225</v>
      </c>
      <c r="G5041" s="16">
        <v>13.9397</v>
      </c>
      <c r="H5041" s="15"/>
      <c r="I5041" s="15"/>
    </row>
    <row r="5042">
      <c r="A5042" s="18">
        <v>45665.0</v>
      </c>
      <c r="B5042" s="16" t="s">
        <v>5852</v>
      </c>
      <c r="C5042" s="16" t="s">
        <v>942</v>
      </c>
      <c r="D5042" s="16" t="s">
        <v>707</v>
      </c>
      <c r="E5042" s="16">
        <v>2023.0</v>
      </c>
      <c r="F5042" s="16">
        <v>48.1215</v>
      </c>
      <c r="G5042" s="16">
        <v>7.7472</v>
      </c>
      <c r="H5042" s="15"/>
      <c r="I5042" s="15"/>
    </row>
    <row r="5043">
      <c r="A5043" s="18">
        <v>45665.0</v>
      </c>
      <c r="B5043" s="16" t="s">
        <v>5853</v>
      </c>
      <c r="C5043" s="16" t="s">
        <v>948</v>
      </c>
      <c r="D5043" s="16" t="s">
        <v>707</v>
      </c>
      <c r="E5043" s="16">
        <v>2023.0</v>
      </c>
      <c r="F5043" s="16">
        <v>49.5482</v>
      </c>
      <c r="G5043" s="16">
        <v>8.5932</v>
      </c>
      <c r="H5043" s="15"/>
      <c r="I5043" s="15"/>
    </row>
    <row r="5044">
      <c r="A5044" s="18">
        <v>45665.0</v>
      </c>
      <c r="B5044" s="16" t="s">
        <v>5854</v>
      </c>
      <c r="C5044" s="16" t="s">
        <v>946</v>
      </c>
      <c r="D5044" s="16" t="s">
        <v>707</v>
      </c>
      <c r="E5044" s="16">
        <v>2023.0</v>
      </c>
      <c r="F5044" s="16">
        <v>51.8403</v>
      </c>
      <c r="G5044" s="16">
        <v>7.4705</v>
      </c>
      <c r="H5044" s="15"/>
      <c r="I5044" s="15"/>
    </row>
    <row r="5045">
      <c r="A5045" s="18">
        <v>45665.0</v>
      </c>
      <c r="B5045" s="16" t="s">
        <v>5855</v>
      </c>
      <c r="C5045" s="16" t="s">
        <v>1203</v>
      </c>
      <c r="D5045" s="16" t="s">
        <v>707</v>
      </c>
      <c r="E5045" s="16">
        <v>2023.0</v>
      </c>
      <c r="F5045" s="16">
        <v>54.6177</v>
      </c>
      <c r="G5045" s="16">
        <v>9.36</v>
      </c>
      <c r="H5045" s="15"/>
      <c r="I5045" s="15"/>
    </row>
    <row r="5046">
      <c r="A5046" s="18">
        <v>45665.0</v>
      </c>
      <c r="B5046" s="16" t="s">
        <v>5856</v>
      </c>
      <c r="C5046" s="16" t="s">
        <v>5857</v>
      </c>
      <c r="D5046" s="16" t="s">
        <v>3574</v>
      </c>
      <c r="E5046" s="16">
        <v>2023.0</v>
      </c>
      <c r="F5046" s="16">
        <v>54.0571</v>
      </c>
      <c r="G5046" s="16">
        <v>9.9228</v>
      </c>
      <c r="H5046" s="15"/>
      <c r="I5046" s="15"/>
    </row>
    <row r="5047">
      <c r="A5047" s="18">
        <v>45665.0</v>
      </c>
      <c r="B5047" s="16" t="s">
        <v>5858</v>
      </c>
      <c r="C5047" s="16" t="s">
        <v>1690</v>
      </c>
      <c r="D5047" s="16" t="s">
        <v>707</v>
      </c>
      <c r="E5047" s="16">
        <v>2023.0</v>
      </c>
      <c r="F5047" s="16">
        <v>54.061</v>
      </c>
      <c r="G5047" s="16">
        <v>9.9176</v>
      </c>
      <c r="H5047" s="15"/>
      <c r="I5047" s="15"/>
    </row>
    <row r="5048">
      <c r="A5048" s="18">
        <v>45665.0</v>
      </c>
      <c r="B5048" s="16" t="s">
        <v>5859</v>
      </c>
      <c r="C5048" s="16" t="s">
        <v>4533</v>
      </c>
      <c r="D5048" s="16" t="s">
        <v>707</v>
      </c>
      <c r="E5048" s="16">
        <v>2023.0</v>
      </c>
      <c r="F5048" s="16">
        <v>54.7315</v>
      </c>
      <c r="G5048" s="16">
        <v>8.9335</v>
      </c>
      <c r="H5048" s="15"/>
      <c r="I5048" s="15"/>
    </row>
    <row r="5049">
      <c r="A5049" s="18">
        <v>45665.0</v>
      </c>
      <c r="B5049" s="16" t="s">
        <v>5860</v>
      </c>
      <c r="C5049" s="16" t="s">
        <v>3817</v>
      </c>
      <c r="D5049" s="16" t="s">
        <v>707</v>
      </c>
      <c r="E5049" s="16">
        <v>2023.0</v>
      </c>
      <c r="F5049" s="16">
        <v>49.7031</v>
      </c>
      <c r="G5049" s="16">
        <v>9.4809</v>
      </c>
      <c r="H5049" s="15"/>
      <c r="I5049" s="15"/>
    </row>
    <row r="5050">
      <c r="A5050" s="18">
        <v>45665.0</v>
      </c>
      <c r="B5050" s="16" t="s">
        <v>5861</v>
      </c>
      <c r="C5050" s="16" t="s">
        <v>1454</v>
      </c>
      <c r="D5050" s="16" t="s">
        <v>707</v>
      </c>
      <c r="E5050" s="16">
        <v>2023.0</v>
      </c>
      <c r="F5050" s="16">
        <v>52.9151</v>
      </c>
      <c r="G5050" s="16">
        <v>8.0498</v>
      </c>
      <c r="H5050" s="15"/>
      <c r="I5050" s="15"/>
    </row>
    <row r="5051">
      <c r="A5051" s="18">
        <v>45665.0</v>
      </c>
      <c r="B5051" s="16" t="s">
        <v>5862</v>
      </c>
      <c r="C5051" s="16" t="s">
        <v>1203</v>
      </c>
      <c r="D5051" s="16" t="s">
        <v>707</v>
      </c>
      <c r="E5051" s="16">
        <v>2023.0</v>
      </c>
      <c r="F5051" s="16">
        <v>50.4414</v>
      </c>
      <c r="G5051" s="16">
        <v>10.4698</v>
      </c>
      <c r="H5051" s="15"/>
      <c r="I5051" s="15"/>
    </row>
    <row r="5052">
      <c r="A5052" s="18">
        <v>45665.0</v>
      </c>
      <c r="B5052" s="16" t="s">
        <v>5863</v>
      </c>
      <c r="C5052" s="16" t="s">
        <v>2099</v>
      </c>
      <c r="D5052" s="16" t="s">
        <v>707</v>
      </c>
      <c r="E5052" s="16">
        <v>2023.0</v>
      </c>
      <c r="F5052" s="16">
        <v>50.1693</v>
      </c>
      <c r="G5052" s="16">
        <v>11.2976</v>
      </c>
      <c r="H5052" s="15"/>
      <c r="I5052" s="15"/>
    </row>
    <row r="5053">
      <c r="A5053" s="18">
        <v>45665.0</v>
      </c>
      <c r="B5053" s="16" t="s">
        <v>5864</v>
      </c>
      <c r="C5053" s="16" t="s">
        <v>1147</v>
      </c>
      <c r="D5053" s="16" t="s">
        <v>707</v>
      </c>
      <c r="E5053" s="16">
        <v>2023.0</v>
      </c>
      <c r="F5053" s="16">
        <v>51.1991</v>
      </c>
      <c r="G5053" s="16">
        <v>9.9903</v>
      </c>
      <c r="H5053" s="15"/>
      <c r="I5053" s="15"/>
    </row>
    <row r="5054">
      <c r="A5054" s="18">
        <v>45665.0</v>
      </c>
      <c r="B5054" s="16" t="s">
        <v>5865</v>
      </c>
      <c r="C5054" s="16">
        <v>2.0</v>
      </c>
      <c r="D5054" s="16" t="s">
        <v>707</v>
      </c>
      <c r="E5054" s="16">
        <v>2023.0</v>
      </c>
      <c r="F5054" s="16">
        <v>47.912</v>
      </c>
      <c r="G5054" s="16">
        <v>9.2696</v>
      </c>
      <c r="H5054" s="15"/>
      <c r="I5054" s="15"/>
    </row>
    <row r="5055">
      <c r="A5055" s="18">
        <v>45665.0</v>
      </c>
      <c r="B5055" s="16" t="s">
        <v>5866</v>
      </c>
      <c r="C5055" s="16" t="s">
        <v>942</v>
      </c>
      <c r="D5055" s="16" t="s">
        <v>707</v>
      </c>
      <c r="E5055" s="16">
        <v>2023.0</v>
      </c>
      <c r="F5055" s="16">
        <v>51.3965</v>
      </c>
      <c r="G5055" s="16">
        <v>7.22</v>
      </c>
      <c r="H5055" s="15"/>
      <c r="I5055" s="15"/>
    </row>
    <row r="5056">
      <c r="A5056" s="18">
        <v>45665.0</v>
      </c>
      <c r="B5056" s="16" t="s">
        <v>5867</v>
      </c>
      <c r="C5056" s="16" t="s">
        <v>1034</v>
      </c>
      <c r="D5056" s="16" t="s">
        <v>707</v>
      </c>
      <c r="E5056" s="16">
        <v>2023.0</v>
      </c>
      <c r="F5056" s="16">
        <v>50.4063</v>
      </c>
      <c r="G5056" s="16">
        <v>11.3353</v>
      </c>
      <c r="H5056" s="15"/>
      <c r="I5056" s="15"/>
    </row>
    <row r="5057">
      <c r="A5057" s="18">
        <v>45665.0</v>
      </c>
      <c r="B5057" s="16" t="s">
        <v>5868</v>
      </c>
      <c r="C5057" s="16" t="s">
        <v>1007</v>
      </c>
      <c r="D5057" s="16" t="s">
        <v>707</v>
      </c>
      <c r="E5057" s="16">
        <v>2023.0</v>
      </c>
      <c r="F5057" s="16">
        <v>48.6182</v>
      </c>
      <c r="G5057" s="16">
        <v>13.1657</v>
      </c>
      <c r="H5057" s="15"/>
      <c r="I5057" s="15"/>
    </row>
    <row r="5058">
      <c r="A5058" s="18">
        <v>45665.0</v>
      </c>
      <c r="B5058" s="16" t="s">
        <v>5869</v>
      </c>
      <c r="C5058" s="16">
        <v>2.0</v>
      </c>
      <c r="D5058" s="16" t="s">
        <v>707</v>
      </c>
      <c r="E5058" s="16">
        <v>2023.0</v>
      </c>
      <c r="F5058" s="16">
        <v>48.1939</v>
      </c>
      <c r="G5058" s="16">
        <v>10.055</v>
      </c>
      <c r="H5058" s="15"/>
      <c r="I5058" s="15"/>
    </row>
    <row r="5059">
      <c r="A5059" s="18">
        <v>45665.0</v>
      </c>
      <c r="B5059" s="16" t="s">
        <v>5870</v>
      </c>
      <c r="C5059" s="16" t="s">
        <v>1051</v>
      </c>
      <c r="D5059" s="16" t="s">
        <v>707</v>
      </c>
      <c r="E5059" s="16">
        <v>2023.0</v>
      </c>
      <c r="F5059" s="16">
        <v>49.8527</v>
      </c>
      <c r="G5059" s="16">
        <v>11.8801</v>
      </c>
      <c r="H5059" s="15"/>
      <c r="I5059" s="15"/>
    </row>
    <row r="5060">
      <c r="A5060" s="18">
        <v>45665.0</v>
      </c>
      <c r="B5060" s="16" t="s">
        <v>5871</v>
      </c>
      <c r="C5060" s="16">
        <v>2.0</v>
      </c>
      <c r="D5060" s="16" t="s">
        <v>707</v>
      </c>
      <c r="E5060" s="16">
        <v>2023.0</v>
      </c>
      <c r="F5060" s="16">
        <v>48.9319</v>
      </c>
      <c r="G5060" s="16">
        <v>12.0867</v>
      </c>
      <c r="H5060" s="15"/>
      <c r="I5060" s="15"/>
    </row>
    <row r="5061">
      <c r="A5061" s="18">
        <v>45665.0</v>
      </c>
      <c r="B5061" s="16" t="s">
        <v>5872</v>
      </c>
      <c r="C5061" s="16" t="s">
        <v>1051</v>
      </c>
      <c r="D5061" s="16" t="s">
        <v>707</v>
      </c>
      <c r="E5061" s="16">
        <v>2023.0</v>
      </c>
      <c r="F5061" s="16">
        <v>49.9861</v>
      </c>
      <c r="G5061" s="16">
        <v>10.2675</v>
      </c>
      <c r="H5061" s="15"/>
      <c r="I5061" s="15"/>
    </row>
    <row r="5062">
      <c r="A5062" s="18">
        <v>45665.0</v>
      </c>
      <c r="B5062" s="16" t="s">
        <v>5873</v>
      </c>
      <c r="C5062" s="16" t="s">
        <v>1039</v>
      </c>
      <c r="D5062" s="16" t="s">
        <v>707</v>
      </c>
      <c r="E5062" s="16">
        <v>2023.0</v>
      </c>
      <c r="F5062" s="16">
        <v>52.9239</v>
      </c>
      <c r="G5062" s="16">
        <v>9.2018</v>
      </c>
      <c r="H5062" s="15"/>
      <c r="I5062" s="15"/>
    </row>
    <row r="5063">
      <c r="A5063" s="18">
        <v>45665.0</v>
      </c>
      <c r="B5063" s="16" t="s">
        <v>5874</v>
      </c>
      <c r="C5063" s="16" t="s">
        <v>1099</v>
      </c>
      <c r="D5063" s="16" t="s">
        <v>707</v>
      </c>
      <c r="E5063" s="16">
        <v>2023.0</v>
      </c>
      <c r="F5063" s="16">
        <v>49.1738</v>
      </c>
      <c r="G5063" s="16">
        <v>10.3176</v>
      </c>
      <c r="H5063" s="15"/>
      <c r="I5063" s="15"/>
    </row>
    <row r="5064">
      <c r="A5064" s="18">
        <v>45665.0</v>
      </c>
      <c r="B5064" s="16" t="s">
        <v>5875</v>
      </c>
      <c r="C5064" s="16" t="s">
        <v>1055</v>
      </c>
      <c r="D5064" s="16" t="s">
        <v>707</v>
      </c>
      <c r="E5064" s="16">
        <v>2023.0</v>
      </c>
      <c r="F5064" s="16">
        <v>48.3682</v>
      </c>
      <c r="G5064" s="16">
        <v>13.0933</v>
      </c>
      <c r="H5064" s="15"/>
      <c r="I5064" s="15"/>
    </row>
    <row r="5065">
      <c r="A5065" s="18">
        <v>45665.0</v>
      </c>
      <c r="B5065" s="16" t="s">
        <v>5876</v>
      </c>
      <c r="C5065" s="16" t="s">
        <v>1059</v>
      </c>
      <c r="D5065" s="16" t="s">
        <v>707</v>
      </c>
      <c r="E5065" s="16">
        <v>2023.0</v>
      </c>
      <c r="F5065" s="16">
        <v>49.1313</v>
      </c>
      <c r="G5065" s="16">
        <v>10.2959</v>
      </c>
      <c r="H5065" s="15"/>
      <c r="I5065" s="15"/>
    </row>
    <row r="5066">
      <c r="A5066" s="18">
        <v>45665.0</v>
      </c>
      <c r="B5066" s="16" t="s">
        <v>5877</v>
      </c>
      <c r="C5066" s="16">
        <v>4.0</v>
      </c>
      <c r="D5066" s="16" t="s">
        <v>707</v>
      </c>
      <c r="E5066" s="16">
        <v>2023.0</v>
      </c>
      <c r="F5066" s="16">
        <v>48.514</v>
      </c>
      <c r="G5066" s="16">
        <v>12.5587</v>
      </c>
      <c r="H5066" s="15"/>
      <c r="I5066" s="15"/>
    </row>
    <row r="5067">
      <c r="A5067" s="18">
        <v>45665.0</v>
      </c>
      <c r="B5067" s="16" t="s">
        <v>5878</v>
      </c>
      <c r="C5067" s="16" t="s">
        <v>1055</v>
      </c>
      <c r="D5067" s="16" t="s">
        <v>707</v>
      </c>
      <c r="E5067" s="16">
        <v>2023.0</v>
      </c>
      <c r="F5067" s="16">
        <v>48.4738</v>
      </c>
      <c r="G5067" s="16">
        <v>12.535</v>
      </c>
      <c r="H5067" s="15"/>
      <c r="I5067" s="15"/>
    </row>
    <row r="5068">
      <c r="A5068" s="18">
        <v>45665.0</v>
      </c>
      <c r="B5068" s="16" t="s">
        <v>5879</v>
      </c>
      <c r="C5068" s="16" t="s">
        <v>1393</v>
      </c>
      <c r="D5068" s="16" t="s">
        <v>707</v>
      </c>
      <c r="E5068" s="16">
        <v>2023.0</v>
      </c>
      <c r="F5068" s="16">
        <v>48.4712</v>
      </c>
      <c r="G5068" s="16">
        <v>12.5465</v>
      </c>
      <c r="H5068" s="15"/>
      <c r="I5068" s="15"/>
    </row>
    <row r="5069">
      <c r="A5069" s="18">
        <v>45665.0</v>
      </c>
      <c r="B5069" s="16" t="s">
        <v>5880</v>
      </c>
      <c r="C5069" s="16">
        <v>3.0</v>
      </c>
      <c r="D5069" s="16" t="s">
        <v>707</v>
      </c>
      <c r="E5069" s="16">
        <v>2023.0</v>
      </c>
      <c r="F5069" s="16">
        <v>48.4669</v>
      </c>
      <c r="G5069" s="16">
        <v>12.5508</v>
      </c>
      <c r="H5069" s="15"/>
      <c r="I5069" s="15"/>
    </row>
    <row r="5070">
      <c r="A5070" s="18">
        <v>45665.0</v>
      </c>
      <c r="B5070" s="16" t="s">
        <v>5881</v>
      </c>
      <c r="C5070" s="16" t="s">
        <v>3169</v>
      </c>
      <c r="D5070" s="16" t="s">
        <v>707</v>
      </c>
      <c r="E5070" s="16">
        <v>2023.0</v>
      </c>
      <c r="F5070" s="16">
        <v>48.4232</v>
      </c>
      <c r="G5070" s="16">
        <v>12.5989</v>
      </c>
      <c r="H5070" s="15"/>
      <c r="I5070" s="15"/>
    </row>
    <row r="5071">
      <c r="A5071" s="18">
        <v>45665.0</v>
      </c>
      <c r="B5071" s="16" t="s">
        <v>5882</v>
      </c>
      <c r="C5071" s="16" t="s">
        <v>2821</v>
      </c>
      <c r="D5071" s="16" t="s">
        <v>707</v>
      </c>
      <c r="E5071" s="16">
        <v>2023.0</v>
      </c>
      <c r="F5071" s="16">
        <v>48.507</v>
      </c>
      <c r="G5071" s="16">
        <v>12.5579</v>
      </c>
      <c r="H5071" s="15"/>
      <c r="I5071" s="15"/>
    </row>
    <row r="5072">
      <c r="A5072" s="18">
        <v>45665.0</v>
      </c>
      <c r="B5072" s="16" t="s">
        <v>5883</v>
      </c>
      <c r="C5072" s="16" t="s">
        <v>1039</v>
      </c>
      <c r="D5072" s="16" t="s">
        <v>707</v>
      </c>
      <c r="E5072" s="16">
        <v>2023.0</v>
      </c>
      <c r="F5072" s="16">
        <v>48.4121</v>
      </c>
      <c r="G5072" s="16">
        <v>11.978</v>
      </c>
      <c r="H5072" s="15"/>
      <c r="I5072" s="15"/>
    </row>
    <row r="5073">
      <c r="A5073" s="18">
        <v>45665.0</v>
      </c>
      <c r="B5073" s="16" t="s">
        <v>5884</v>
      </c>
      <c r="C5073" s="16" t="s">
        <v>1059</v>
      </c>
      <c r="D5073" s="16" t="s">
        <v>707</v>
      </c>
      <c r="E5073" s="16">
        <v>2023.0</v>
      </c>
      <c r="F5073" s="16">
        <v>48.0693</v>
      </c>
      <c r="G5073" s="16">
        <v>11.7409</v>
      </c>
      <c r="H5073" s="15"/>
      <c r="I5073" s="15"/>
    </row>
    <row r="5074">
      <c r="A5074" s="18">
        <v>45665.0</v>
      </c>
      <c r="B5074" s="16" t="s">
        <v>5885</v>
      </c>
      <c r="C5074" s="16">
        <v>2.0</v>
      </c>
      <c r="D5074" s="16" t="s">
        <v>707</v>
      </c>
      <c r="E5074" s="16">
        <v>2023.0</v>
      </c>
      <c r="F5074" s="16">
        <v>48.8842</v>
      </c>
      <c r="G5074" s="16">
        <v>13.2063</v>
      </c>
      <c r="H5074" s="15"/>
      <c r="I5074" s="15"/>
    </row>
    <row r="5075">
      <c r="A5075" s="18">
        <v>45665.0</v>
      </c>
      <c r="B5075" s="16" t="s">
        <v>5886</v>
      </c>
      <c r="C5075" s="16">
        <v>6.0</v>
      </c>
      <c r="D5075" s="16" t="s">
        <v>707</v>
      </c>
      <c r="E5075" s="16">
        <v>2023.0</v>
      </c>
      <c r="F5075" s="16">
        <v>49.2026</v>
      </c>
      <c r="G5075" s="16">
        <v>9.6618</v>
      </c>
      <c r="H5075" s="15"/>
      <c r="I5075" s="15"/>
    </row>
    <row r="5076">
      <c r="A5076" s="18">
        <v>45665.0</v>
      </c>
      <c r="B5076" s="16" t="s">
        <v>5887</v>
      </c>
      <c r="C5076" s="16">
        <v>2.0</v>
      </c>
      <c r="D5076" s="16" t="s">
        <v>707</v>
      </c>
      <c r="E5076" s="16">
        <v>2023.0</v>
      </c>
      <c r="F5076" s="16">
        <v>52.0816</v>
      </c>
      <c r="G5076" s="16">
        <v>12.7074</v>
      </c>
      <c r="H5076" s="15"/>
      <c r="I5076" s="15"/>
    </row>
    <row r="5077">
      <c r="A5077" s="18">
        <v>45665.0</v>
      </c>
      <c r="B5077" s="16" t="s">
        <v>5888</v>
      </c>
      <c r="C5077" s="16" t="s">
        <v>4789</v>
      </c>
      <c r="D5077" s="16" t="s">
        <v>707</v>
      </c>
      <c r="E5077" s="16">
        <v>2023.0</v>
      </c>
      <c r="F5077" s="16">
        <v>48.2638</v>
      </c>
      <c r="G5077" s="16">
        <v>12.6264</v>
      </c>
      <c r="H5077" s="15"/>
      <c r="I5077" s="15"/>
    </row>
    <row r="5078">
      <c r="A5078" s="18">
        <v>45665.0</v>
      </c>
      <c r="B5078" s="16" t="s">
        <v>5889</v>
      </c>
      <c r="C5078" s="16" t="s">
        <v>2457</v>
      </c>
      <c r="D5078" s="16" t="s">
        <v>707</v>
      </c>
      <c r="E5078" s="16">
        <v>2023.0</v>
      </c>
      <c r="F5078" s="16">
        <v>48.4712</v>
      </c>
      <c r="G5078" s="16">
        <v>12.5431</v>
      </c>
      <c r="H5078" s="15"/>
      <c r="I5078" s="15"/>
    </row>
    <row r="5079">
      <c r="A5079" s="18">
        <v>45665.0</v>
      </c>
      <c r="B5079" s="16" t="s">
        <v>5890</v>
      </c>
      <c r="C5079" s="16">
        <v>1.0</v>
      </c>
      <c r="D5079" s="16" t="s">
        <v>707</v>
      </c>
      <c r="E5079" s="16">
        <v>2023.0</v>
      </c>
      <c r="F5079" s="16">
        <v>47.9908</v>
      </c>
      <c r="G5079" s="16">
        <v>10.8538</v>
      </c>
      <c r="H5079" s="15"/>
      <c r="I5079" s="15"/>
    </row>
    <row r="5080">
      <c r="A5080" s="18">
        <v>45665.0</v>
      </c>
      <c r="B5080" s="16" t="s">
        <v>5890</v>
      </c>
      <c r="C5080" s="16" t="s">
        <v>969</v>
      </c>
      <c r="D5080" s="16" t="s">
        <v>707</v>
      </c>
      <c r="E5080" s="16">
        <v>2023.0</v>
      </c>
      <c r="F5080" s="16">
        <v>47.9907</v>
      </c>
      <c r="G5080" s="16">
        <v>10.8539</v>
      </c>
      <c r="H5080" s="15"/>
      <c r="I5080" s="15"/>
    </row>
    <row r="5081">
      <c r="A5081" s="18">
        <v>45665.0</v>
      </c>
      <c r="B5081" s="16" t="s">
        <v>5891</v>
      </c>
      <c r="C5081" s="16" t="s">
        <v>959</v>
      </c>
      <c r="D5081" s="16" t="s">
        <v>707</v>
      </c>
      <c r="E5081" s="16">
        <v>2023.0</v>
      </c>
      <c r="F5081" s="16">
        <v>51.5344</v>
      </c>
      <c r="G5081" s="16">
        <v>14.3315</v>
      </c>
      <c r="H5081" s="15"/>
      <c r="I5081" s="15"/>
    </row>
    <row r="5082">
      <c r="A5082" s="18">
        <v>45665.0</v>
      </c>
      <c r="B5082" s="16" t="s">
        <v>5892</v>
      </c>
      <c r="C5082" s="16" t="s">
        <v>946</v>
      </c>
      <c r="D5082" s="16" t="s">
        <v>707</v>
      </c>
      <c r="E5082" s="16">
        <v>2023.0</v>
      </c>
      <c r="F5082" s="16">
        <v>51.8991</v>
      </c>
      <c r="G5082" s="16">
        <v>7.4935</v>
      </c>
      <c r="H5082" s="15"/>
      <c r="I5082" s="15"/>
    </row>
    <row r="5083">
      <c r="A5083" s="18">
        <v>45665.0</v>
      </c>
      <c r="B5083" s="16" t="s">
        <v>5893</v>
      </c>
      <c r="C5083" s="16" t="s">
        <v>5894</v>
      </c>
      <c r="D5083" s="16" t="s">
        <v>707</v>
      </c>
      <c r="E5083" s="16">
        <v>2023.0</v>
      </c>
      <c r="F5083" s="16">
        <v>50.0838</v>
      </c>
      <c r="G5083" s="16">
        <v>9.947</v>
      </c>
      <c r="H5083" s="15"/>
      <c r="I5083" s="15"/>
    </row>
    <row r="5084">
      <c r="A5084" s="18">
        <v>45665.0</v>
      </c>
      <c r="B5084" s="16" t="s">
        <v>5895</v>
      </c>
      <c r="C5084" s="16" t="s">
        <v>1101</v>
      </c>
      <c r="D5084" s="16" t="s">
        <v>707</v>
      </c>
      <c r="E5084" s="16">
        <v>2023.0</v>
      </c>
      <c r="F5084" s="16">
        <v>51.0385</v>
      </c>
      <c r="G5084" s="16">
        <v>11.0419</v>
      </c>
      <c r="H5084" s="15"/>
      <c r="I5084" s="15"/>
    </row>
    <row r="5085">
      <c r="A5085" s="18">
        <v>45665.0</v>
      </c>
      <c r="B5085" s="16" t="s">
        <v>5896</v>
      </c>
      <c r="C5085" s="16" t="s">
        <v>1147</v>
      </c>
      <c r="D5085" s="16" t="s">
        <v>707</v>
      </c>
      <c r="E5085" s="16">
        <v>2023.0</v>
      </c>
      <c r="F5085" s="16">
        <v>50.7728</v>
      </c>
      <c r="G5085" s="16">
        <v>10.3276</v>
      </c>
      <c r="H5085" s="15"/>
      <c r="I5085" s="15"/>
    </row>
    <row r="5086">
      <c r="A5086" s="18">
        <v>45665.0</v>
      </c>
      <c r="B5086" s="16" t="s">
        <v>5897</v>
      </c>
      <c r="C5086" s="16" t="s">
        <v>5898</v>
      </c>
      <c r="D5086" s="16" t="s">
        <v>707</v>
      </c>
      <c r="E5086" s="16">
        <v>2023.0</v>
      </c>
      <c r="F5086" s="16">
        <v>53.348</v>
      </c>
      <c r="G5086" s="16">
        <v>11.8155</v>
      </c>
      <c r="H5086" s="15"/>
      <c r="I5086" s="15"/>
    </row>
    <row r="5087">
      <c r="A5087" s="18">
        <v>45665.0</v>
      </c>
      <c r="B5087" s="16" t="s">
        <v>5899</v>
      </c>
      <c r="C5087" s="16" t="s">
        <v>1059</v>
      </c>
      <c r="D5087" s="16" t="s">
        <v>707</v>
      </c>
      <c r="E5087" s="16">
        <v>2023.0</v>
      </c>
      <c r="F5087" s="16">
        <v>48.7054</v>
      </c>
      <c r="G5087" s="16">
        <v>12.6946</v>
      </c>
      <c r="H5087" s="15"/>
      <c r="I5087" s="15"/>
    </row>
    <row r="5088">
      <c r="A5088" s="18">
        <v>45665.0</v>
      </c>
      <c r="B5088" s="16" t="s">
        <v>5900</v>
      </c>
      <c r="C5088" s="16" t="s">
        <v>5901</v>
      </c>
      <c r="D5088" s="16" t="s">
        <v>707</v>
      </c>
      <c r="E5088" s="16">
        <v>2023.0</v>
      </c>
      <c r="F5088" s="16">
        <v>51.0519</v>
      </c>
      <c r="G5088" s="16">
        <v>6.5287</v>
      </c>
      <c r="H5088" s="15"/>
      <c r="I5088" s="15"/>
    </row>
    <row r="5089">
      <c r="A5089" s="18">
        <v>45665.0</v>
      </c>
      <c r="B5089" s="16" t="s">
        <v>5902</v>
      </c>
      <c r="C5089" s="16" t="s">
        <v>946</v>
      </c>
      <c r="D5089" s="16" t="s">
        <v>707</v>
      </c>
      <c r="E5089" s="16">
        <v>2023.0</v>
      </c>
      <c r="F5089" s="16">
        <v>49.4436</v>
      </c>
      <c r="G5089" s="16">
        <v>8.5135</v>
      </c>
      <c r="H5089" s="15"/>
      <c r="I5089" s="15"/>
    </row>
    <row r="5090">
      <c r="A5090" s="18">
        <v>45665.0</v>
      </c>
      <c r="B5090" s="16" t="s">
        <v>5903</v>
      </c>
      <c r="C5090" s="16" t="s">
        <v>3505</v>
      </c>
      <c r="D5090" s="16" t="s">
        <v>707</v>
      </c>
      <c r="E5090" s="16">
        <v>2023.0</v>
      </c>
      <c r="F5090" s="16">
        <v>50.0608</v>
      </c>
      <c r="G5090" s="16">
        <v>7.2224</v>
      </c>
      <c r="H5090" s="15"/>
      <c r="I5090" s="15"/>
    </row>
    <row r="5091">
      <c r="A5091" s="18">
        <v>45665.0</v>
      </c>
      <c r="B5091" s="16" t="s">
        <v>5904</v>
      </c>
      <c r="C5091" s="16">
        <v>10.0</v>
      </c>
      <c r="D5091" s="16" t="s">
        <v>707</v>
      </c>
      <c r="E5091" s="16">
        <v>2023.0</v>
      </c>
      <c r="F5091" s="16">
        <v>53.8198</v>
      </c>
      <c r="G5091" s="16">
        <v>10.9472</v>
      </c>
      <c r="H5091" s="15"/>
      <c r="I5091" s="15"/>
    </row>
    <row r="5092">
      <c r="A5092" s="18">
        <v>45665.0</v>
      </c>
      <c r="B5092" s="16" t="s">
        <v>5905</v>
      </c>
      <c r="C5092" s="16">
        <v>2.0</v>
      </c>
      <c r="D5092" s="16" t="s">
        <v>707</v>
      </c>
      <c r="E5092" s="16">
        <v>2023.0</v>
      </c>
      <c r="F5092" s="16">
        <v>49.512</v>
      </c>
      <c r="G5092" s="16">
        <v>12.5379</v>
      </c>
      <c r="H5092" s="15"/>
      <c r="I5092" s="15"/>
    </row>
    <row r="5093">
      <c r="A5093" s="18">
        <v>45665.0</v>
      </c>
      <c r="B5093" s="16" t="s">
        <v>5906</v>
      </c>
      <c r="C5093" s="16" t="s">
        <v>1181</v>
      </c>
      <c r="D5093" s="16" t="s">
        <v>707</v>
      </c>
      <c r="E5093" s="16">
        <v>2023.0</v>
      </c>
      <c r="F5093" s="16">
        <v>50.1895</v>
      </c>
      <c r="G5093" s="16">
        <v>10.903</v>
      </c>
      <c r="H5093" s="15"/>
      <c r="I5093" s="15"/>
    </row>
    <row r="5094">
      <c r="A5094" s="18">
        <v>45665.0</v>
      </c>
      <c r="B5094" s="16" t="s">
        <v>5907</v>
      </c>
      <c r="C5094" s="16" t="s">
        <v>948</v>
      </c>
      <c r="D5094" s="16" t="s">
        <v>707</v>
      </c>
      <c r="E5094" s="16">
        <v>2023.0</v>
      </c>
      <c r="F5094" s="16">
        <v>52.0784</v>
      </c>
      <c r="G5094" s="16">
        <v>12.5224</v>
      </c>
      <c r="H5094" s="15"/>
      <c r="I5094" s="15"/>
    </row>
    <row r="5095">
      <c r="A5095" s="18">
        <v>45665.0</v>
      </c>
      <c r="B5095" s="16" t="s">
        <v>5908</v>
      </c>
      <c r="C5095" s="16" t="s">
        <v>1037</v>
      </c>
      <c r="D5095" s="16" t="s">
        <v>707</v>
      </c>
      <c r="E5095" s="16">
        <v>2023.0</v>
      </c>
      <c r="F5095" s="16">
        <v>48.0</v>
      </c>
      <c r="G5095" s="16">
        <v>10.0</v>
      </c>
      <c r="H5095" s="15"/>
      <c r="I5095" s="15"/>
    </row>
    <row r="5096">
      <c r="A5096" s="18">
        <v>45665.0</v>
      </c>
      <c r="B5096" s="16" t="s">
        <v>5909</v>
      </c>
      <c r="C5096" s="16" t="s">
        <v>1007</v>
      </c>
      <c r="D5096" s="16" t="s">
        <v>707</v>
      </c>
      <c r="E5096" s="16">
        <v>2023.0</v>
      </c>
      <c r="F5096" s="16">
        <v>48.5152</v>
      </c>
      <c r="G5096" s="16">
        <v>9.7616</v>
      </c>
      <c r="H5096" s="15"/>
      <c r="I5096" s="15"/>
    </row>
    <row r="5097">
      <c r="A5097" s="18">
        <v>45665.0</v>
      </c>
      <c r="B5097" s="16" t="s">
        <v>5910</v>
      </c>
      <c r="C5097" s="16">
        <v>1.0</v>
      </c>
      <c r="D5097" s="16" t="s">
        <v>707</v>
      </c>
      <c r="E5097" s="16">
        <v>2023.0</v>
      </c>
      <c r="F5097" s="16">
        <v>47.8914</v>
      </c>
      <c r="G5097" s="16">
        <v>7.6123</v>
      </c>
      <c r="H5097" s="15"/>
      <c r="I5097" s="15"/>
    </row>
    <row r="5098">
      <c r="A5098" s="18">
        <v>45665.0</v>
      </c>
      <c r="B5098" s="16" t="s">
        <v>5911</v>
      </c>
      <c r="C5098" s="16">
        <v>1.0</v>
      </c>
      <c r="D5098" s="16" t="s">
        <v>707</v>
      </c>
      <c r="E5098" s="16">
        <v>2023.0</v>
      </c>
      <c r="F5098" s="16">
        <v>50.2719</v>
      </c>
      <c r="G5098" s="16">
        <v>8.9725</v>
      </c>
      <c r="H5098" s="15"/>
      <c r="I5098" s="15"/>
    </row>
    <row r="5099">
      <c r="A5099" s="18">
        <v>45665.0</v>
      </c>
      <c r="B5099" s="16" t="s">
        <v>5912</v>
      </c>
      <c r="C5099" s="16" t="s">
        <v>2517</v>
      </c>
      <c r="D5099" s="16" t="s">
        <v>707</v>
      </c>
      <c r="E5099" s="16">
        <v>2023.0</v>
      </c>
      <c r="F5099" s="16">
        <v>52.0558</v>
      </c>
      <c r="G5099" s="16">
        <v>11.5708</v>
      </c>
      <c r="H5099" s="15"/>
      <c r="I5099" s="15"/>
    </row>
    <row r="5100">
      <c r="A5100" s="18">
        <v>45665.0</v>
      </c>
      <c r="B5100" s="16" t="s">
        <v>5913</v>
      </c>
      <c r="C5100" s="16" t="s">
        <v>978</v>
      </c>
      <c r="D5100" s="16" t="s">
        <v>707</v>
      </c>
      <c r="E5100" s="16">
        <v>2023.0</v>
      </c>
      <c r="F5100" s="16">
        <v>51.621</v>
      </c>
      <c r="G5100" s="16">
        <v>7.7872</v>
      </c>
      <c r="H5100" s="15"/>
      <c r="I5100" s="15"/>
    </row>
    <row r="5101">
      <c r="A5101" s="18">
        <v>45665.0</v>
      </c>
      <c r="B5101" s="16" t="s">
        <v>5914</v>
      </c>
      <c r="C5101" s="16" t="s">
        <v>1037</v>
      </c>
      <c r="D5101" s="16" t="s">
        <v>707</v>
      </c>
      <c r="E5101" s="16">
        <v>2023.0</v>
      </c>
      <c r="F5101" s="16">
        <v>52.4507</v>
      </c>
      <c r="G5101" s="16">
        <v>9.6957</v>
      </c>
      <c r="H5101" s="15"/>
      <c r="I5101" s="15"/>
    </row>
    <row r="5102">
      <c r="A5102" s="18">
        <v>45665.0</v>
      </c>
      <c r="B5102" s="16" t="s">
        <v>5915</v>
      </c>
      <c r="C5102" s="16" t="s">
        <v>1773</v>
      </c>
      <c r="D5102" s="16" t="s">
        <v>707</v>
      </c>
      <c r="E5102" s="16">
        <v>2023.0</v>
      </c>
      <c r="F5102" s="16">
        <v>50.0429</v>
      </c>
      <c r="G5102" s="16">
        <v>7.3354</v>
      </c>
      <c r="H5102" s="15"/>
      <c r="I5102" s="15"/>
    </row>
    <row r="5103">
      <c r="A5103" s="18">
        <v>45665.0</v>
      </c>
      <c r="B5103" s="16" t="s">
        <v>5916</v>
      </c>
      <c r="C5103" s="16">
        <v>4.0</v>
      </c>
      <c r="D5103" s="16" t="s">
        <v>707</v>
      </c>
      <c r="E5103" s="16">
        <v>2023.0</v>
      </c>
      <c r="F5103" s="16">
        <v>50.0317</v>
      </c>
      <c r="G5103" s="16">
        <v>7.4335</v>
      </c>
      <c r="H5103" s="15"/>
      <c r="I5103" s="15"/>
    </row>
    <row r="5104">
      <c r="A5104" s="18">
        <v>45665.0</v>
      </c>
      <c r="B5104" s="16" t="s">
        <v>5917</v>
      </c>
      <c r="C5104" s="16" t="s">
        <v>942</v>
      </c>
      <c r="D5104" s="16" t="s">
        <v>707</v>
      </c>
      <c r="E5104" s="16">
        <v>2023.0</v>
      </c>
      <c r="F5104" s="16">
        <v>51.9865</v>
      </c>
      <c r="G5104" s="16">
        <v>6.8885</v>
      </c>
      <c r="H5104" s="15"/>
      <c r="I5104" s="15"/>
    </row>
    <row r="5105">
      <c r="A5105" s="18">
        <v>45665.0</v>
      </c>
      <c r="B5105" s="16" t="s">
        <v>5918</v>
      </c>
      <c r="C5105" s="16" t="s">
        <v>951</v>
      </c>
      <c r="D5105" s="16" t="s">
        <v>707</v>
      </c>
      <c r="E5105" s="16">
        <v>2023.0</v>
      </c>
      <c r="F5105" s="16">
        <v>51.0684</v>
      </c>
      <c r="G5105" s="16">
        <v>10.6375</v>
      </c>
      <c r="H5105" s="15"/>
      <c r="I5105" s="15"/>
    </row>
    <row r="5106">
      <c r="A5106" s="18">
        <v>45665.0</v>
      </c>
      <c r="B5106" s="16" t="s">
        <v>5919</v>
      </c>
      <c r="C5106" s="16" t="s">
        <v>942</v>
      </c>
      <c r="D5106" s="16" t="s">
        <v>707</v>
      </c>
      <c r="E5106" s="16">
        <v>2023.0</v>
      </c>
      <c r="F5106" s="16">
        <v>51.1335</v>
      </c>
      <c r="G5106" s="16">
        <v>10.9627</v>
      </c>
      <c r="H5106" s="15"/>
      <c r="I5106" s="15"/>
    </row>
    <row r="5107">
      <c r="A5107" s="18">
        <v>45665.0</v>
      </c>
      <c r="B5107" s="16" t="s">
        <v>5920</v>
      </c>
      <c r="C5107" s="16" t="s">
        <v>1773</v>
      </c>
      <c r="D5107" s="16" t="s">
        <v>707</v>
      </c>
      <c r="E5107" s="16">
        <v>2023.0</v>
      </c>
      <c r="F5107" s="16">
        <v>51.1335</v>
      </c>
      <c r="G5107" s="16">
        <v>10.9627</v>
      </c>
      <c r="H5107" s="15"/>
      <c r="I5107" s="15"/>
    </row>
    <row r="5108">
      <c r="A5108" s="18">
        <v>45665.0</v>
      </c>
      <c r="B5108" s="16" t="s">
        <v>5921</v>
      </c>
      <c r="C5108" s="16" t="s">
        <v>1051</v>
      </c>
      <c r="D5108" s="16" t="s">
        <v>707</v>
      </c>
      <c r="E5108" s="16">
        <v>2023.0</v>
      </c>
      <c r="F5108" s="16">
        <v>47.9465</v>
      </c>
      <c r="G5108" s="16">
        <v>12.1284</v>
      </c>
      <c r="H5108" s="15"/>
      <c r="I5108" s="15"/>
    </row>
    <row r="5109">
      <c r="A5109" s="18">
        <v>45665.0</v>
      </c>
      <c r="B5109" s="16" t="s">
        <v>5922</v>
      </c>
      <c r="C5109" s="16" t="s">
        <v>982</v>
      </c>
      <c r="D5109" s="16" t="s">
        <v>707</v>
      </c>
      <c r="E5109" s="16">
        <v>2023.0</v>
      </c>
      <c r="F5109" s="16">
        <v>50.4452</v>
      </c>
      <c r="G5109" s="16">
        <v>7.6715</v>
      </c>
      <c r="H5109" s="15"/>
      <c r="I5109" s="15"/>
    </row>
    <row r="5110">
      <c r="A5110" s="18">
        <v>45665.0</v>
      </c>
      <c r="B5110" s="16" t="s">
        <v>5923</v>
      </c>
      <c r="C5110" s="16" t="s">
        <v>961</v>
      </c>
      <c r="D5110" s="16" t="s">
        <v>707</v>
      </c>
      <c r="E5110" s="16">
        <v>2023.0</v>
      </c>
      <c r="F5110" s="16">
        <v>49.9783</v>
      </c>
      <c r="G5110" s="16">
        <v>10.5716</v>
      </c>
      <c r="H5110" s="15"/>
      <c r="I5110" s="15"/>
    </row>
    <row r="5111">
      <c r="A5111" s="18">
        <v>45665.0</v>
      </c>
      <c r="B5111" s="16" t="s">
        <v>5924</v>
      </c>
      <c r="C5111" s="16" t="s">
        <v>990</v>
      </c>
      <c r="D5111" s="16" t="s">
        <v>707</v>
      </c>
      <c r="E5111" s="16">
        <v>2023.0</v>
      </c>
      <c r="F5111" s="16">
        <v>49.9783</v>
      </c>
      <c r="G5111" s="16">
        <v>10.5716</v>
      </c>
      <c r="H5111" s="15"/>
      <c r="I5111" s="15"/>
    </row>
    <row r="5112">
      <c r="A5112" s="18">
        <v>45665.0</v>
      </c>
      <c r="B5112" s="16" t="s">
        <v>5925</v>
      </c>
      <c r="C5112" s="16" t="s">
        <v>1172</v>
      </c>
      <c r="D5112" s="16" t="s">
        <v>707</v>
      </c>
      <c r="E5112" s="16">
        <v>2023.0</v>
      </c>
      <c r="F5112" s="16">
        <v>49.9783</v>
      </c>
      <c r="G5112" s="16">
        <v>10.5716</v>
      </c>
      <c r="H5112" s="15"/>
      <c r="I5112" s="15"/>
    </row>
    <row r="5113">
      <c r="A5113" s="18">
        <v>45665.0</v>
      </c>
      <c r="B5113" s="16" t="s">
        <v>5926</v>
      </c>
      <c r="C5113" s="16" t="s">
        <v>942</v>
      </c>
      <c r="D5113" s="16" t="s">
        <v>707</v>
      </c>
      <c r="E5113" s="16">
        <v>2023.0</v>
      </c>
      <c r="F5113" s="16">
        <v>49.5018</v>
      </c>
      <c r="G5113" s="16">
        <v>11.2919</v>
      </c>
      <c r="H5113" s="15"/>
      <c r="I5113" s="15"/>
    </row>
    <row r="5114">
      <c r="A5114" s="18">
        <v>45665.0</v>
      </c>
      <c r="B5114" s="16" t="s">
        <v>5927</v>
      </c>
      <c r="C5114" s="16" t="s">
        <v>1004</v>
      </c>
      <c r="D5114" s="16" t="s">
        <v>707</v>
      </c>
      <c r="E5114" s="16">
        <v>2023.0</v>
      </c>
      <c r="F5114" s="16">
        <v>49.0536</v>
      </c>
      <c r="G5114" s="16">
        <v>12.9443</v>
      </c>
      <c r="H5114" s="15"/>
      <c r="I5114" s="15"/>
    </row>
    <row r="5115">
      <c r="A5115" s="18">
        <v>45665.0</v>
      </c>
      <c r="B5115" s="16" t="s">
        <v>5928</v>
      </c>
      <c r="C5115" s="16" t="s">
        <v>2546</v>
      </c>
      <c r="D5115" s="16" t="s">
        <v>707</v>
      </c>
      <c r="E5115" s="16">
        <v>2023.0</v>
      </c>
      <c r="F5115" s="16">
        <v>51.0382</v>
      </c>
      <c r="G5115" s="16">
        <v>6.4867</v>
      </c>
      <c r="H5115" s="15"/>
      <c r="I5115" s="15"/>
    </row>
    <row r="5116">
      <c r="A5116" s="18">
        <v>45665.0</v>
      </c>
      <c r="B5116" s="16" t="s">
        <v>5929</v>
      </c>
      <c r="C5116" s="16" t="s">
        <v>948</v>
      </c>
      <c r="D5116" s="16" t="s">
        <v>707</v>
      </c>
      <c r="E5116" s="16">
        <v>2023.0</v>
      </c>
      <c r="F5116" s="16">
        <v>49.4718</v>
      </c>
      <c r="G5116" s="16">
        <v>8.4793</v>
      </c>
      <c r="H5116" s="15"/>
      <c r="I5116" s="15"/>
    </row>
    <row r="5117">
      <c r="A5117" s="18">
        <v>45665.0</v>
      </c>
      <c r="B5117" s="16" t="s">
        <v>5930</v>
      </c>
      <c r="C5117" s="16" t="s">
        <v>1034</v>
      </c>
      <c r="D5117" s="16" t="s">
        <v>707</v>
      </c>
      <c r="E5117" s="16">
        <v>2023.0</v>
      </c>
      <c r="F5117" s="16">
        <v>50.4085</v>
      </c>
      <c r="G5117" s="16">
        <v>7.483</v>
      </c>
      <c r="H5117" s="15"/>
      <c r="I5117" s="15"/>
    </row>
    <row r="5118">
      <c r="A5118" s="18">
        <v>45665.0</v>
      </c>
      <c r="B5118" s="16" t="s">
        <v>5931</v>
      </c>
      <c r="C5118" s="16">
        <v>10.0</v>
      </c>
      <c r="D5118" s="16" t="s">
        <v>707</v>
      </c>
      <c r="E5118" s="16">
        <v>2023.0</v>
      </c>
      <c r="F5118" s="16">
        <v>53.2477</v>
      </c>
      <c r="G5118" s="16">
        <v>14.0168</v>
      </c>
      <c r="H5118" s="15"/>
      <c r="I5118" s="15"/>
    </row>
    <row r="5119">
      <c r="A5119" s="18">
        <v>45665.0</v>
      </c>
      <c r="B5119" s="16" t="s">
        <v>5932</v>
      </c>
      <c r="C5119" s="16" t="s">
        <v>1720</v>
      </c>
      <c r="D5119" s="16" t="s">
        <v>707</v>
      </c>
      <c r="E5119" s="16">
        <v>2023.0</v>
      </c>
      <c r="F5119" s="16">
        <v>53.2477</v>
      </c>
      <c r="G5119" s="16">
        <v>14.0168</v>
      </c>
      <c r="H5119" s="15"/>
      <c r="I5119" s="15"/>
    </row>
    <row r="5120">
      <c r="A5120" s="18">
        <v>45665.0</v>
      </c>
      <c r="B5120" s="16" t="s">
        <v>5933</v>
      </c>
      <c r="C5120" s="16" t="s">
        <v>1059</v>
      </c>
      <c r="D5120" s="16" t="s">
        <v>707</v>
      </c>
      <c r="E5120" s="16">
        <v>2023.0</v>
      </c>
      <c r="F5120" s="16">
        <v>50.3505</v>
      </c>
      <c r="G5120" s="16">
        <v>7.4939</v>
      </c>
      <c r="H5120" s="15"/>
      <c r="I5120" s="15"/>
    </row>
    <row r="5121">
      <c r="A5121" s="18">
        <v>45665.0</v>
      </c>
      <c r="B5121" s="16" t="s">
        <v>5934</v>
      </c>
      <c r="C5121" s="16">
        <v>2.0</v>
      </c>
      <c r="D5121" s="16" t="s">
        <v>707</v>
      </c>
      <c r="E5121" s="16">
        <v>2023.0</v>
      </c>
      <c r="F5121" s="16">
        <v>53.8255</v>
      </c>
      <c r="G5121" s="16">
        <v>9.9752</v>
      </c>
      <c r="H5121" s="15"/>
      <c r="I5121" s="15"/>
    </row>
    <row r="5122">
      <c r="A5122" s="18">
        <v>45665.0</v>
      </c>
      <c r="B5122" s="16" t="s">
        <v>5935</v>
      </c>
      <c r="C5122" s="16">
        <v>1.0</v>
      </c>
      <c r="D5122" s="16" t="s">
        <v>707</v>
      </c>
      <c r="E5122" s="16">
        <v>2023.0</v>
      </c>
      <c r="F5122" s="16">
        <v>47.9697</v>
      </c>
      <c r="G5122" s="16">
        <v>11.9411</v>
      </c>
      <c r="H5122" s="15"/>
      <c r="I5122" s="15"/>
    </row>
    <row r="5123">
      <c r="A5123" s="18">
        <v>45665.0</v>
      </c>
      <c r="B5123" s="16" t="s">
        <v>5936</v>
      </c>
      <c r="C5123" s="16" t="s">
        <v>1432</v>
      </c>
      <c r="D5123" s="16" t="s">
        <v>707</v>
      </c>
      <c r="E5123" s="16">
        <v>2023.0</v>
      </c>
      <c r="F5123" s="16">
        <v>53.3498</v>
      </c>
      <c r="G5123" s="16">
        <v>11.787</v>
      </c>
      <c r="H5123" s="15"/>
      <c r="I5123" s="15"/>
    </row>
    <row r="5124">
      <c r="A5124" s="18">
        <v>45665.0</v>
      </c>
      <c r="B5124" s="16" t="s">
        <v>5937</v>
      </c>
      <c r="C5124" s="16" t="s">
        <v>951</v>
      </c>
      <c r="D5124" s="16" t="s">
        <v>707</v>
      </c>
      <c r="E5124" s="16">
        <v>2023.0</v>
      </c>
      <c r="F5124" s="16">
        <v>51.2848</v>
      </c>
      <c r="G5124" s="16">
        <v>9.5016</v>
      </c>
      <c r="H5124" s="15"/>
      <c r="I5124" s="15"/>
    </row>
    <row r="5125">
      <c r="A5125" s="18">
        <v>45665.0</v>
      </c>
      <c r="B5125" s="16" t="s">
        <v>5938</v>
      </c>
      <c r="C5125" s="16" t="s">
        <v>978</v>
      </c>
      <c r="D5125" s="16" t="s">
        <v>707</v>
      </c>
      <c r="E5125" s="16">
        <v>2023.0</v>
      </c>
      <c r="F5125" s="16">
        <v>52.307</v>
      </c>
      <c r="G5125" s="16">
        <v>7.4467</v>
      </c>
      <c r="H5125" s="15"/>
      <c r="I5125" s="15"/>
    </row>
    <row r="5126">
      <c r="A5126" s="18">
        <v>45665.0</v>
      </c>
      <c r="B5126" s="16" t="s">
        <v>5939</v>
      </c>
      <c r="C5126" s="16" t="s">
        <v>1167</v>
      </c>
      <c r="D5126" s="16" t="s">
        <v>707</v>
      </c>
      <c r="E5126" s="16">
        <v>2023.0</v>
      </c>
      <c r="F5126" s="16">
        <v>50.8542</v>
      </c>
      <c r="G5126" s="16">
        <v>9.5643</v>
      </c>
      <c r="H5126" s="15"/>
      <c r="I5126" s="15"/>
    </row>
    <row r="5127">
      <c r="A5127" s="18">
        <v>45665.0</v>
      </c>
      <c r="B5127" s="16" t="s">
        <v>5940</v>
      </c>
      <c r="C5127" s="16" t="s">
        <v>2331</v>
      </c>
      <c r="D5127" s="16" t="s">
        <v>707</v>
      </c>
      <c r="E5127" s="16">
        <v>2023.0</v>
      </c>
      <c r="F5127" s="16">
        <v>50.854</v>
      </c>
      <c r="G5127" s="16">
        <v>9.5648</v>
      </c>
      <c r="H5127" s="15"/>
      <c r="I5127" s="15"/>
    </row>
    <row r="5128">
      <c r="A5128" s="18">
        <v>45665.0</v>
      </c>
      <c r="B5128" s="16" t="s">
        <v>5941</v>
      </c>
      <c r="C5128" s="16" t="s">
        <v>1454</v>
      </c>
      <c r="D5128" s="16" t="s">
        <v>707</v>
      </c>
      <c r="E5128" s="16">
        <v>2023.0</v>
      </c>
      <c r="F5128" s="16">
        <v>48.1864</v>
      </c>
      <c r="G5128" s="16">
        <v>12.4531</v>
      </c>
      <c r="H5128" s="15"/>
      <c r="I5128" s="15"/>
    </row>
    <row r="5129">
      <c r="A5129" s="18">
        <v>45665.0</v>
      </c>
      <c r="B5129" s="16" t="s">
        <v>5942</v>
      </c>
      <c r="C5129" s="16" t="s">
        <v>4064</v>
      </c>
      <c r="D5129" s="16" t="s">
        <v>707</v>
      </c>
      <c r="E5129" s="16">
        <v>2023.0</v>
      </c>
      <c r="F5129" s="16">
        <v>48.181</v>
      </c>
      <c r="G5129" s="16">
        <v>12.4545</v>
      </c>
      <c r="H5129" s="15"/>
      <c r="I5129" s="15"/>
    </row>
    <row r="5130">
      <c r="A5130" s="18">
        <v>45665.0</v>
      </c>
      <c r="B5130" s="16" t="s">
        <v>5943</v>
      </c>
      <c r="C5130" s="16" t="s">
        <v>1751</v>
      </c>
      <c r="D5130" s="16" t="s">
        <v>707</v>
      </c>
      <c r="E5130" s="16">
        <v>2023.0</v>
      </c>
      <c r="F5130" s="16">
        <v>53.8465</v>
      </c>
      <c r="G5130" s="16">
        <v>9.4846</v>
      </c>
      <c r="H5130" s="15"/>
      <c r="I5130" s="15"/>
    </row>
    <row r="5131">
      <c r="A5131" s="18">
        <v>45665.0</v>
      </c>
      <c r="B5131" s="16" t="s">
        <v>5944</v>
      </c>
      <c r="C5131" s="16" t="s">
        <v>1432</v>
      </c>
      <c r="D5131" s="16" t="s">
        <v>707</v>
      </c>
      <c r="E5131" s="16">
        <v>2023.0</v>
      </c>
      <c r="F5131" s="16">
        <v>53.8463</v>
      </c>
      <c r="G5131" s="16">
        <v>9.4812</v>
      </c>
      <c r="H5131" s="15"/>
      <c r="I5131" s="15"/>
    </row>
    <row r="5132">
      <c r="A5132" s="18">
        <v>45665.0</v>
      </c>
      <c r="B5132" s="16" t="s">
        <v>5945</v>
      </c>
      <c r="C5132" s="16">
        <v>19.0</v>
      </c>
      <c r="D5132" s="16" t="s">
        <v>707</v>
      </c>
      <c r="E5132" s="16">
        <v>2023.0</v>
      </c>
      <c r="F5132" s="16">
        <v>53.8456</v>
      </c>
      <c r="G5132" s="16">
        <v>9.4828</v>
      </c>
      <c r="H5132" s="15"/>
      <c r="I5132" s="15"/>
    </row>
    <row r="5133">
      <c r="A5133" s="18">
        <v>45665.0</v>
      </c>
      <c r="B5133" s="16" t="s">
        <v>5946</v>
      </c>
      <c r="C5133" s="16" t="s">
        <v>1055</v>
      </c>
      <c r="D5133" s="16" t="s">
        <v>707</v>
      </c>
      <c r="E5133" s="16">
        <v>2023.0</v>
      </c>
      <c r="F5133" s="16">
        <v>50.9207</v>
      </c>
      <c r="G5133" s="16">
        <v>7.0014</v>
      </c>
      <c r="H5133" s="15"/>
      <c r="I5133" s="15"/>
    </row>
    <row r="5134">
      <c r="A5134" s="18">
        <v>45665.0</v>
      </c>
      <c r="B5134" s="16" t="s">
        <v>5947</v>
      </c>
      <c r="C5134" s="16" t="s">
        <v>2990</v>
      </c>
      <c r="D5134" s="16" t="s">
        <v>3574</v>
      </c>
      <c r="E5134" s="16">
        <v>2023.0</v>
      </c>
      <c r="F5134" s="16">
        <v>53.1379</v>
      </c>
      <c r="G5134" s="16">
        <v>8.5867</v>
      </c>
      <c r="H5134" s="15"/>
      <c r="I5134" s="15"/>
    </row>
    <row r="5135">
      <c r="A5135" s="18">
        <v>45665.0</v>
      </c>
      <c r="B5135" s="16" t="s">
        <v>5948</v>
      </c>
      <c r="C5135" s="16">
        <v>2.0</v>
      </c>
      <c r="D5135" s="16" t="s">
        <v>707</v>
      </c>
      <c r="E5135" s="16">
        <v>2023.0</v>
      </c>
      <c r="F5135" s="16">
        <v>49.2038</v>
      </c>
      <c r="G5135" s="16">
        <v>9.4777</v>
      </c>
      <c r="H5135" s="15"/>
      <c r="I5135" s="15"/>
    </row>
    <row r="5136">
      <c r="A5136" s="18">
        <v>45665.0</v>
      </c>
      <c r="B5136" s="16" t="s">
        <v>5949</v>
      </c>
      <c r="C5136" s="16" t="s">
        <v>1757</v>
      </c>
      <c r="D5136" s="16" t="s">
        <v>707</v>
      </c>
      <c r="E5136" s="16">
        <v>2023.0</v>
      </c>
      <c r="F5136" s="16">
        <v>50.0702</v>
      </c>
      <c r="G5136" s="16">
        <v>7.2571</v>
      </c>
      <c r="H5136" s="15"/>
      <c r="I5136" s="15"/>
    </row>
    <row r="5137">
      <c r="A5137" s="18">
        <v>45665.0</v>
      </c>
      <c r="B5137" s="16" t="s">
        <v>5950</v>
      </c>
      <c r="C5137" s="16" t="s">
        <v>1059</v>
      </c>
      <c r="D5137" s="16" t="s">
        <v>707</v>
      </c>
      <c r="E5137" s="16">
        <v>2023.0</v>
      </c>
      <c r="F5137" s="16">
        <v>48.3596</v>
      </c>
      <c r="G5137" s="16">
        <v>7.815</v>
      </c>
      <c r="H5137" s="15"/>
      <c r="I5137" s="15"/>
    </row>
    <row r="5138">
      <c r="A5138" s="18">
        <v>45665.0</v>
      </c>
      <c r="B5138" s="16" t="s">
        <v>5951</v>
      </c>
      <c r="C5138" s="16" t="s">
        <v>959</v>
      </c>
      <c r="D5138" s="16" t="s">
        <v>707</v>
      </c>
      <c r="E5138" s="16">
        <v>2023.0</v>
      </c>
      <c r="F5138" s="16">
        <v>49.2991</v>
      </c>
      <c r="G5138" s="16">
        <v>9.3436</v>
      </c>
      <c r="H5138" s="15"/>
      <c r="I5138" s="15"/>
    </row>
    <row r="5139">
      <c r="A5139" s="18">
        <v>45665.0</v>
      </c>
      <c r="B5139" s="16" t="s">
        <v>5952</v>
      </c>
      <c r="C5139" s="16" t="s">
        <v>1059</v>
      </c>
      <c r="D5139" s="16" t="s">
        <v>707</v>
      </c>
      <c r="E5139" s="16">
        <v>2023.0</v>
      </c>
      <c r="F5139" s="16">
        <v>49.515</v>
      </c>
      <c r="G5139" s="16">
        <v>8.5557</v>
      </c>
      <c r="H5139" s="15"/>
      <c r="I5139" s="15"/>
    </row>
    <row r="5140">
      <c r="A5140" s="18">
        <v>45665.0</v>
      </c>
      <c r="B5140" s="16" t="s">
        <v>5953</v>
      </c>
      <c r="C5140" s="16" t="s">
        <v>1059</v>
      </c>
      <c r="D5140" s="16" t="s">
        <v>707</v>
      </c>
      <c r="E5140" s="16">
        <v>2023.0</v>
      </c>
      <c r="F5140" s="16">
        <v>49.5136</v>
      </c>
      <c r="G5140" s="16">
        <v>8.5554</v>
      </c>
      <c r="H5140" s="15"/>
      <c r="I5140" s="15"/>
    </row>
    <row r="5141">
      <c r="A5141" s="18">
        <v>45665.0</v>
      </c>
      <c r="B5141" s="16" t="s">
        <v>5954</v>
      </c>
      <c r="C5141" s="16" t="s">
        <v>5955</v>
      </c>
      <c r="D5141" s="16" t="s">
        <v>707</v>
      </c>
      <c r="E5141" s="16">
        <v>2023.0</v>
      </c>
      <c r="F5141" s="16">
        <v>50.165</v>
      </c>
      <c r="G5141" s="16">
        <v>10.6691</v>
      </c>
      <c r="H5141" s="15"/>
      <c r="I5141" s="15"/>
    </row>
    <row r="5142">
      <c r="A5142" s="18">
        <v>45665.0</v>
      </c>
      <c r="B5142" s="16" t="s">
        <v>5956</v>
      </c>
      <c r="C5142" s="16" t="s">
        <v>965</v>
      </c>
      <c r="D5142" s="16" t="s">
        <v>707</v>
      </c>
      <c r="E5142" s="16">
        <v>2023.0</v>
      </c>
      <c r="F5142" s="16">
        <v>51.6761</v>
      </c>
      <c r="G5142" s="16">
        <v>7.0775</v>
      </c>
      <c r="H5142" s="15"/>
      <c r="I5142" s="15"/>
    </row>
    <row r="5143">
      <c r="A5143" s="18">
        <v>45665.0</v>
      </c>
      <c r="B5143" s="16" t="s">
        <v>5957</v>
      </c>
      <c r="C5143" s="16" t="s">
        <v>969</v>
      </c>
      <c r="D5143" s="16" t="s">
        <v>707</v>
      </c>
      <c r="E5143" s="16">
        <v>2023.0</v>
      </c>
      <c r="F5143" s="16">
        <v>50.8773</v>
      </c>
      <c r="G5143" s="16">
        <v>13.1797</v>
      </c>
      <c r="H5143" s="15"/>
      <c r="I5143" s="15"/>
    </row>
    <row r="5144">
      <c r="A5144" s="18">
        <v>45665.0</v>
      </c>
      <c r="B5144" s="16" t="s">
        <v>5958</v>
      </c>
      <c r="C5144" s="16" t="s">
        <v>1059</v>
      </c>
      <c r="D5144" s="16" t="s">
        <v>707</v>
      </c>
      <c r="E5144" s="16">
        <v>2023.0</v>
      </c>
      <c r="F5144" s="16">
        <v>50.0254</v>
      </c>
      <c r="G5144" s="16">
        <v>10.5395</v>
      </c>
      <c r="H5144" s="15"/>
      <c r="I5144" s="15"/>
    </row>
    <row r="5145">
      <c r="A5145" s="18">
        <v>45665.0</v>
      </c>
      <c r="B5145" s="16" t="s">
        <v>5959</v>
      </c>
      <c r="C5145" s="16">
        <v>2.0</v>
      </c>
      <c r="D5145" s="16" t="s">
        <v>707</v>
      </c>
      <c r="E5145" s="16">
        <v>2023.0</v>
      </c>
      <c r="F5145" s="16">
        <v>51.355</v>
      </c>
      <c r="G5145" s="16">
        <v>6.7768</v>
      </c>
      <c r="H5145" s="15"/>
      <c r="I5145" s="15"/>
    </row>
    <row r="5146">
      <c r="A5146" s="18">
        <v>45665.0</v>
      </c>
      <c r="B5146" s="16" t="s">
        <v>5960</v>
      </c>
      <c r="C5146" s="16" t="s">
        <v>969</v>
      </c>
      <c r="D5146" s="16" t="s">
        <v>707</v>
      </c>
      <c r="E5146" s="16">
        <v>2023.0</v>
      </c>
      <c r="F5146" s="16">
        <v>53.5023</v>
      </c>
      <c r="G5146" s="16">
        <v>8.4935</v>
      </c>
      <c r="H5146" s="15"/>
      <c r="I5146" s="15"/>
    </row>
    <row r="5147">
      <c r="A5147" s="18">
        <v>45665.0</v>
      </c>
      <c r="B5147" s="16" t="s">
        <v>5961</v>
      </c>
      <c r="C5147" s="16" t="s">
        <v>1055</v>
      </c>
      <c r="D5147" s="16" t="s">
        <v>707</v>
      </c>
      <c r="E5147" s="16">
        <v>2023.0</v>
      </c>
      <c r="F5147" s="16">
        <v>48.7255</v>
      </c>
      <c r="G5147" s="16">
        <v>12.1895</v>
      </c>
      <c r="H5147" s="15"/>
      <c r="I5147" s="15"/>
    </row>
    <row r="5148">
      <c r="A5148" s="18">
        <v>45665.0</v>
      </c>
      <c r="B5148" s="16" t="s">
        <v>5962</v>
      </c>
      <c r="C5148" s="16" t="s">
        <v>948</v>
      </c>
      <c r="D5148" s="16" t="s">
        <v>707</v>
      </c>
      <c r="E5148" s="16">
        <v>2023.0</v>
      </c>
      <c r="F5148" s="16">
        <v>49.2886</v>
      </c>
      <c r="G5148" s="16">
        <v>8.529</v>
      </c>
      <c r="H5148" s="15"/>
      <c r="I5148" s="15"/>
    </row>
    <row r="5149">
      <c r="A5149" s="18">
        <v>45665.0</v>
      </c>
      <c r="B5149" s="16" t="s">
        <v>5963</v>
      </c>
      <c r="C5149" s="16" t="s">
        <v>1099</v>
      </c>
      <c r="D5149" s="16" t="s">
        <v>707</v>
      </c>
      <c r="E5149" s="16">
        <v>2023.0</v>
      </c>
      <c r="F5149" s="16">
        <v>52.4903</v>
      </c>
      <c r="G5149" s="16">
        <v>8.0536</v>
      </c>
      <c r="H5149" s="15"/>
      <c r="I5149" s="15"/>
    </row>
    <row r="5150">
      <c r="A5150" s="18">
        <v>45665.0</v>
      </c>
      <c r="B5150" s="16" t="s">
        <v>5964</v>
      </c>
      <c r="C5150" s="16">
        <v>2.0</v>
      </c>
      <c r="D5150" s="16" t="s">
        <v>707</v>
      </c>
      <c r="E5150" s="16">
        <v>2023.0</v>
      </c>
      <c r="F5150" s="16">
        <v>52.4892</v>
      </c>
      <c r="G5150" s="16">
        <v>8.0536</v>
      </c>
      <c r="H5150" s="15"/>
      <c r="I5150" s="15"/>
    </row>
    <row r="5151">
      <c r="A5151" s="18">
        <v>45665.0</v>
      </c>
      <c r="B5151" s="16" t="s">
        <v>5965</v>
      </c>
      <c r="C5151" s="16" t="s">
        <v>1055</v>
      </c>
      <c r="D5151" s="16" t="s">
        <v>707</v>
      </c>
      <c r="E5151" s="16">
        <v>2023.0</v>
      </c>
      <c r="F5151" s="16">
        <v>52.4895</v>
      </c>
      <c r="G5151" s="16">
        <v>8.0536</v>
      </c>
      <c r="H5151" s="15"/>
      <c r="I5151" s="15"/>
    </row>
    <row r="5152">
      <c r="A5152" s="18">
        <v>45665.0</v>
      </c>
      <c r="B5152" s="16" t="s">
        <v>5966</v>
      </c>
      <c r="C5152" s="16">
        <v>13.0</v>
      </c>
      <c r="D5152" s="16" t="s">
        <v>707</v>
      </c>
      <c r="E5152" s="16">
        <v>2023.0</v>
      </c>
      <c r="F5152" s="16">
        <v>54.0402</v>
      </c>
      <c r="G5152" s="16">
        <v>9.4173</v>
      </c>
      <c r="H5152" s="15"/>
      <c r="I5152" s="15"/>
    </row>
    <row r="5153">
      <c r="A5153" s="18">
        <v>45665.0</v>
      </c>
      <c r="B5153" s="16" t="s">
        <v>5967</v>
      </c>
      <c r="C5153" s="16" t="s">
        <v>1850</v>
      </c>
      <c r="D5153" s="16" t="s">
        <v>707</v>
      </c>
      <c r="E5153" s="16">
        <v>2023.0</v>
      </c>
      <c r="F5153" s="16">
        <v>51.9434</v>
      </c>
      <c r="G5153" s="16">
        <v>11.1463</v>
      </c>
      <c r="H5153" s="15"/>
      <c r="I5153" s="15"/>
    </row>
    <row r="5154">
      <c r="A5154" s="18">
        <v>45665.0</v>
      </c>
      <c r="B5154" s="16" t="s">
        <v>5968</v>
      </c>
      <c r="C5154" s="16" t="s">
        <v>951</v>
      </c>
      <c r="D5154" s="16" t="s">
        <v>707</v>
      </c>
      <c r="E5154" s="16">
        <v>2023.0</v>
      </c>
      <c r="F5154" s="16">
        <v>52.1391</v>
      </c>
      <c r="G5154" s="16">
        <v>7.5494</v>
      </c>
      <c r="H5154" s="15"/>
      <c r="I5154" s="15"/>
    </row>
    <row r="5155">
      <c r="A5155" s="18">
        <v>45665.0</v>
      </c>
      <c r="B5155" s="16" t="s">
        <v>5969</v>
      </c>
      <c r="C5155" s="16" t="s">
        <v>961</v>
      </c>
      <c r="D5155" s="16" t="s">
        <v>707</v>
      </c>
      <c r="E5155" s="16">
        <v>2023.0</v>
      </c>
      <c r="F5155" s="16">
        <v>51.5316</v>
      </c>
      <c r="G5155" s="16">
        <v>7.7232</v>
      </c>
      <c r="H5155" s="15"/>
      <c r="I5155" s="15"/>
    </row>
    <row r="5156">
      <c r="A5156" s="18">
        <v>45665.0</v>
      </c>
      <c r="B5156" s="16" t="s">
        <v>5970</v>
      </c>
      <c r="C5156" s="16" t="s">
        <v>4064</v>
      </c>
      <c r="D5156" s="16" t="s">
        <v>707</v>
      </c>
      <c r="E5156" s="16">
        <v>2023.0</v>
      </c>
      <c r="F5156" s="16">
        <v>48.2551</v>
      </c>
      <c r="G5156" s="16">
        <v>12.4032</v>
      </c>
      <c r="H5156" s="15"/>
      <c r="I5156" s="15"/>
    </row>
    <row r="5157">
      <c r="A5157" s="18">
        <v>45665.0</v>
      </c>
      <c r="B5157" s="16" t="s">
        <v>5971</v>
      </c>
      <c r="C5157" s="16" t="s">
        <v>3223</v>
      </c>
      <c r="D5157" s="16" t="s">
        <v>707</v>
      </c>
      <c r="E5157" s="16">
        <v>2023.0</v>
      </c>
      <c r="F5157" s="16">
        <v>49.2484</v>
      </c>
      <c r="G5157" s="16">
        <v>10.64</v>
      </c>
      <c r="H5157" s="15"/>
      <c r="I5157" s="15"/>
    </row>
    <row r="5158">
      <c r="A5158" s="18">
        <v>45665.0</v>
      </c>
      <c r="B5158" s="16" t="s">
        <v>5972</v>
      </c>
      <c r="C5158" s="16" t="s">
        <v>1039</v>
      </c>
      <c r="D5158" s="16" t="s">
        <v>707</v>
      </c>
      <c r="E5158" s="16">
        <v>2023.0</v>
      </c>
      <c r="F5158" s="16">
        <v>52.1488</v>
      </c>
      <c r="G5158" s="16">
        <v>11.2672</v>
      </c>
      <c r="H5158" s="15"/>
      <c r="I5158" s="15"/>
    </row>
    <row r="5159">
      <c r="A5159" s="18">
        <v>45665.0</v>
      </c>
      <c r="B5159" s="16" t="s">
        <v>5973</v>
      </c>
      <c r="C5159" s="16" t="s">
        <v>948</v>
      </c>
      <c r="D5159" s="16" t="s">
        <v>707</v>
      </c>
      <c r="E5159" s="16">
        <v>2023.0</v>
      </c>
      <c r="F5159" s="16">
        <v>52.7754</v>
      </c>
      <c r="G5159" s="16">
        <v>12.8383</v>
      </c>
      <c r="H5159" s="15"/>
      <c r="I5159" s="15"/>
    </row>
    <row r="5160">
      <c r="A5160" s="18">
        <v>45665.0</v>
      </c>
      <c r="B5160" s="16" t="s">
        <v>5974</v>
      </c>
      <c r="C5160" s="16">
        <v>1.0</v>
      </c>
      <c r="D5160" s="16" t="s">
        <v>707</v>
      </c>
      <c r="E5160" s="16">
        <v>2023.0</v>
      </c>
      <c r="F5160" s="16">
        <v>51.7657</v>
      </c>
      <c r="G5160" s="16">
        <v>8.6926</v>
      </c>
      <c r="H5160" s="15"/>
      <c r="I5160" s="15"/>
    </row>
    <row r="5161">
      <c r="A5161" s="18">
        <v>45665.0</v>
      </c>
      <c r="B5161" s="16" t="s">
        <v>5975</v>
      </c>
      <c r="C5161" s="16" t="s">
        <v>959</v>
      </c>
      <c r="D5161" s="16" t="s">
        <v>707</v>
      </c>
      <c r="E5161" s="16">
        <v>2023.0</v>
      </c>
      <c r="F5161" s="16">
        <v>51.7648</v>
      </c>
      <c r="G5161" s="16">
        <v>8.6932</v>
      </c>
      <c r="H5161" s="15"/>
      <c r="I5161" s="15"/>
    </row>
    <row r="5162">
      <c r="A5162" s="18">
        <v>45665.0</v>
      </c>
      <c r="B5162" s="16" t="s">
        <v>5976</v>
      </c>
      <c r="C5162" s="16" t="s">
        <v>984</v>
      </c>
      <c r="D5162" s="16" t="s">
        <v>707</v>
      </c>
      <c r="E5162" s="16">
        <v>2023.0</v>
      </c>
      <c r="F5162" s="16">
        <v>51.0687</v>
      </c>
      <c r="G5162" s="16">
        <v>11.442</v>
      </c>
      <c r="H5162" s="15"/>
      <c r="I5162" s="15"/>
    </row>
    <row r="5163">
      <c r="A5163" s="18">
        <v>45665.0</v>
      </c>
      <c r="B5163" s="16" t="s">
        <v>5977</v>
      </c>
      <c r="C5163" s="16" t="s">
        <v>946</v>
      </c>
      <c r="D5163" s="16" t="s">
        <v>707</v>
      </c>
      <c r="E5163" s="16">
        <v>2023.0</v>
      </c>
      <c r="F5163" s="16">
        <v>49.5468</v>
      </c>
      <c r="G5163" s="16">
        <v>11.1467</v>
      </c>
      <c r="H5163" s="15"/>
      <c r="I5163" s="15"/>
    </row>
    <row r="5164">
      <c r="A5164" s="18">
        <v>45665.0</v>
      </c>
      <c r="B5164" s="16" t="s">
        <v>5978</v>
      </c>
      <c r="C5164" s="16" t="s">
        <v>1310</v>
      </c>
      <c r="D5164" s="16" t="s">
        <v>707</v>
      </c>
      <c r="E5164" s="16">
        <v>2023.0</v>
      </c>
      <c r="F5164" s="16">
        <v>48.7525</v>
      </c>
      <c r="G5164" s="16">
        <v>12.7816</v>
      </c>
      <c r="H5164" s="15"/>
      <c r="I5164" s="15"/>
    </row>
    <row r="5165">
      <c r="A5165" s="18">
        <v>45665.0</v>
      </c>
      <c r="B5165" s="16" t="s">
        <v>5979</v>
      </c>
      <c r="C5165" s="16" t="s">
        <v>1059</v>
      </c>
      <c r="D5165" s="16" t="s">
        <v>707</v>
      </c>
      <c r="E5165" s="16">
        <v>2023.0</v>
      </c>
      <c r="F5165" s="16">
        <v>48.7525</v>
      </c>
      <c r="G5165" s="16">
        <v>12.7762</v>
      </c>
      <c r="H5165" s="15"/>
      <c r="I5165" s="15"/>
    </row>
    <row r="5166">
      <c r="A5166" s="18">
        <v>45665.0</v>
      </c>
      <c r="B5166" s="16" t="s">
        <v>5980</v>
      </c>
      <c r="C5166" s="16" t="s">
        <v>1055</v>
      </c>
      <c r="D5166" s="16" t="s">
        <v>707</v>
      </c>
      <c r="E5166" s="16">
        <v>2023.0</v>
      </c>
      <c r="F5166" s="16">
        <v>48.7804</v>
      </c>
      <c r="G5166" s="16">
        <v>12.8257</v>
      </c>
      <c r="H5166" s="15"/>
      <c r="I5166" s="15"/>
    </row>
    <row r="5167">
      <c r="A5167" s="18">
        <v>45665.0</v>
      </c>
      <c r="B5167" s="16" t="s">
        <v>5981</v>
      </c>
      <c r="C5167" s="16" t="s">
        <v>1094</v>
      </c>
      <c r="D5167" s="16" t="s">
        <v>707</v>
      </c>
      <c r="E5167" s="16">
        <v>2023.0</v>
      </c>
      <c r="F5167" s="16">
        <v>51.0603</v>
      </c>
      <c r="G5167" s="16">
        <v>6.1272</v>
      </c>
      <c r="H5167" s="15"/>
      <c r="I5167" s="15"/>
    </row>
    <row r="5168">
      <c r="A5168" s="18">
        <v>45665.0</v>
      </c>
      <c r="B5168" s="16" t="s">
        <v>5982</v>
      </c>
      <c r="C5168" s="16">
        <v>2.0</v>
      </c>
      <c r="D5168" s="16" t="s">
        <v>707</v>
      </c>
      <c r="E5168" s="16">
        <v>2023.0</v>
      </c>
      <c r="F5168" s="16">
        <v>49.1113</v>
      </c>
      <c r="G5168" s="16">
        <v>9.8799</v>
      </c>
      <c r="H5168" s="15"/>
      <c r="I5168" s="15"/>
    </row>
    <row r="5169">
      <c r="A5169" s="18">
        <v>45665.0</v>
      </c>
      <c r="B5169" s="16" t="s">
        <v>5983</v>
      </c>
      <c r="C5169" s="16">
        <v>1.0</v>
      </c>
      <c r="D5169" s="16" t="s">
        <v>707</v>
      </c>
      <c r="E5169" s="16">
        <v>2023.0</v>
      </c>
      <c r="F5169" s="16">
        <v>52.5132</v>
      </c>
      <c r="G5169" s="16">
        <v>7.0794</v>
      </c>
      <c r="H5169" s="15"/>
      <c r="I5169" s="15"/>
    </row>
    <row r="5170">
      <c r="A5170" s="18">
        <v>45665.0</v>
      </c>
      <c r="B5170" s="16" t="s">
        <v>5984</v>
      </c>
      <c r="C5170" s="16" t="s">
        <v>946</v>
      </c>
      <c r="D5170" s="16" t="s">
        <v>707</v>
      </c>
      <c r="E5170" s="16">
        <v>2023.0</v>
      </c>
      <c r="F5170" s="16">
        <v>48.9397</v>
      </c>
      <c r="G5170" s="16">
        <v>10.6022</v>
      </c>
      <c r="H5170" s="15"/>
      <c r="I5170" s="15"/>
    </row>
    <row r="5171">
      <c r="A5171" s="18">
        <v>45665.0</v>
      </c>
      <c r="B5171" s="16" t="s">
        <v>5985</v>
      </c>
      <c r="C5171" s="16" t="s">
        <v>1059</v>
      </c>
      <c r="D5171" s="16" t="s">
        <v>707</v>
      </c>
      <c r="E5171" s="16">
        <v>2023.0</v>
      </c>
      <c r="F5171" s="16">
        <v>49.3862</v>
      </c>
      <c r="G5171" s="16">
        <v>9.6921</v>
      </c>
      <c r="H5171" s="15"/>
      <c r="I5171" s="15"/>
    </row>
    <row r="5172">
      <c r="A5172" s="18">
        <v>45665.0</v>
      </c>
      <c r="B5172" s="16" t="s">
        <v>5986</v>
      </c>
      <c r="C5172" s="16" t="s">
        <v>1039</v>
      </c>
      <c r="D5172" s="16" t="s">
        <v>707</v>
      </c>
      <c r="E5172" s="16">
        <v>2023.0</v>
      </c>
      <c r="F5172" s="16">
        <v>51.5036</v>
      </c>
      <c r="G5172" s="16">
        <v>8.4909</v>
      </c>
      <c r="H5172" s="15"/>
      <c r="I5172" s="15"/>
    </row>
    <row r="5173">
      <c r="A5173" s="18">
        <v>45665.0</v>
      </c>
      <c r="B5173" s="16" t="s">
        <v>5987</v>
      </c>
      <c r="C5173" s="16" t="s">
        <v>969</v>
      </c>
      <c r="D5173" s="16" t="s">
        <v>707</v>
      </c>
      <c r="E5173" s="16">
        <v>2023.0</v>
      </c>
      <c r="F5173" s="16">
        <v>48.9314</v>
      </c>
      <c r="G5173" s="16">
        <v>11.1562</v>
      </c>
      <c r="H5173" s="15"/>
      <c r="I5173" s="15"/>
    </row>
    <row r="5174">
      <c r="A5174" s="18">
        <v>45665.0</v>
      </c>
      <c r="B5174" s="16" t="s">
        <v>5988</v>
      </c>
      <c r="C5174" s="16" t="s">
        <v>961</v>
      </c>
      <c r="D5174" s="16" t="s">
        <v>707</v>
      </c>
      <c r="E5174" s="16">
        <v>2023.0</v>
      </c>
      <c r="F5174" s="16">
        <v>49.0083</v>
      </c>
      <c r="G5174" s="16">
        <v>10.9539</v>
      </c>
      <c r="H5174" s="15"/>
      <c r="I5174" s="15"/>
    </row>
    <row r="5175">
      <c r="A5175" s="18">
        <v>45665.0</v>
      </c>
      <c r="B5175" s="16" t="s">
        <v>5989</v>
      </c>
      <c r="C5175" s="16">
        <v>3.0</v>
      </c>
      <c r="D5175" s="16" t="s">
        <v>707</v>
      </c>
      <c r="E5175" s="16">
        <v>2023.0</v>
      </c>
      <c r="F5175" s="16">
        <v>49.2235</v>
      </c>
      <c r="G5175" s="16">
        <v>10.944</v>
      </c>
      <c r="H5175" s="15"/>
      <c r="I5175" s="15"/>
    </row>
    <row r="5176">
      <c r="A5176" s="18">
        <v>45665.0</v>
      </c>
      <c r="B5176" s="16" t="s">
        <v>5990</v>
      </c>
      <c r="C5176" s="16">
        <v>3.0</v>
      </c>
      <c r="D5176" s="16" t="s">
        <v>707</v>
      </c>
      <c r="E5176" s="16">
        <v>2023.0</v>
      </c>
      <c r="F5176" s="16">
        <v>49.2213</v>
      </c>
      <c r="G5176" s="16">
        <v>10.9344</v>
      </c>
      <c r="H5176" s="15"/>
      <c r="I5176" s="15"/>
    </row>
    <row r="5177">
      <c r="A5177" s="18">
        <v>45665.0</v>
      </c>
      <c r="B5177" s="16" t="s">
        <v>5991</v>
      </c>
      <c r="C5177" s="16" t="s">
        <v>1454</v>
      </c>
      <c r="D5177" s="16" t="s">
        <v>707</v>
      </c>
      <c r="E5177" s="16">
        <v>2023.0</v>
      </c>
      <c r="F5177" s="16">
        <v>51.7637</v>
      </c>
      <c r="G5177" s="16">
        <v>7.9037</v>
      </c>
      <c r="H5177" s="15"/>
      <c r="I5177" s="15"/>
    </row>
    <row r="5178">
      <c r="A5178" s="18">
        <v>45665.0</v>
      </c>
      <c r="B5178" s="16" t="s">
        <v>5992</v>
      </c>
      <c r="C5178" s="16" t="s">
        <v>978</v>
      </c>
      <c r="D5178" s="16" t="s">
        <v>707</v>
      </c>
      <c r="E5178" s="16">
        <v>2023.0</v>
      </c>
      <c r="F5178" s="16">
        <v>53.1058</v>
      </c>
      <c r="G5178" s="16">
        <v>11.115</v>
      </c>
      <c r="H5178" s="15"/>
      <c r="I5178" s="15"/>
    </row>
    <row r="5179">
      <c r="A5179" s="18">
        <v>45665.0</v>
      </c>
      <c r="B5179" s="16" t="s">
        <v>5993</v>
      </c>
      <c r="C5179" s="16" t="s">
        <v>1011</v>
      </c>
      <c r="D5179" s="16" t="s">
        <v>707</v>
      </c>
      <c r="E5179" s="16">
        <v>2023.0</v>
      </c>
      <c r="F5179" s="16">
        <v>48.4354</v>
      </c>
      <c r="G5179" s="16">
        <v>10.2253</v>
      </c>
      <c r="H5179" s="15"/>
      <c r="I5179" s="15"/>
    </row>
    <row r="5180">
      <c r="A5180" s="18">
        <v>45665.0</v>
      </c>
      <c r="B5180" s="16" t="s">
        <v>5994</v>
      </c>
      <c r="C5180" s="16">
        <v>4.0</v>
      </c>
      <c r="D5180" s="16" t="s">
        <v>707</v>
      </c>
      <c r="E5180" s="16">
        <v>2023.0</v>
      </c>
      <c r="F5180" s="16">
        <v>49.0984</v>
      </c>
      <c r="G5180" s="16">
        <v>8.5389</v>
      </c>
      <c r="H5180" s="15"/>
      <c r="I5180" s="15"/>
    </row>
    <row r="5181">
      <c r="A5181" s="18">
        <v>45665.0</v>
      </c>
      <c r="B5181" s="16" t="s">
        <v>5995</v>
      </c>
      <c r="C5181" s="16" t="s">
        <v>982</v>
      </c>
      <c r="D5181" s="16" t="s">
        <v>707</v>
      </c>
      <c r="E5181" s="16">
        <v>2023.0</v>
      </c>
      <c r="F5181" s="16">
        <v>47.5714</v>
      </c>
      <c r="G5181" s="16">
        <v>10.5645</v>
      </c>
      <c r="H5181" s="15"/>
      <c r="I5181" s="15"/>
    </row>
    <row r="5182">
      <c r="A5182" s="18">
        <v>45665.0</v>
      </c>
      <c r="B5182" s="16" t="s">
        <v>5996</v>
      </c>
      <c r="C5182" s="16" t="s">
        <v>5232</v>
      </c>
      <c r="D5182" s="16" t="s">
        <v>707</v>
      </c>
      <c r="E5182" s="16">
        <v>2023.0</v>
      </c>
      <c r="F5182" s="16">
        <v>50.4941</v>
      </c>
      <c r="G5182" s="16">
        <v>9.7266</v>
      </c>
      <c r="H5182" s="15"/>
      <c r="I5182" s="15"/>
    </row>
    <row r="5183">
      <c r="A5183" s="18">
        <v>45665.0</v>
      </c>
      <c r="B5183" s="16" t="s">
        <v>5997</v>
      </c>
      <c r="C5183" s="16">
        <v>1.0</v>
      </c>
      <c r="D5183" s="16" t="s">
        <v>707</v>
      </c>
      <c r="E5183" s="16">
        <v>2023.0</v>
      </c>
      <c r="F5183" s="16">
        <v>48.4963</v>
      </c>
      <c r="G5183" s="16">
        <v>9.9627</v>
      </c>
      <c r="H5183" s="15"/>
      <c r="I5183" s="15"/>
    </row>
    <row r="5184">
      <c r="A5184" s="18">
        <v>45665.0</v>
      </c>
      <c r="B5184" s="16" t="s">
        <v>5998</v>
      </c>
      <c r="C5184" s="16" t="s">
        <v>959</v>
      </c>
      <c r="D5184" s="16" t="s">
        <v>707</v>
      </c>
      <c r="E5184" s="16">
        <v>2023.0</v>
      </c>
      <c r="F5184" s="16">
        <v>48.0433</v>
      </c>
      <c r="G5184" s="16">
        <v>8.6414</v>
      </c>
      <c r="H5184" s="15"/>
      <c r="I5184" s="15"/>
    </row>
    <row r="5185">
      <c r="A5185" s="18">
        <v>45665.0</v>
      </c>
      <c r="B5185" s="16" t="s">
        <v>5999</v>
      </c>
      <c r="C5185" s="16" t="s">
        <v>969</v>
      </c>
      <c r="D5185" s="16" t="s">
        <v>707</v>
      </c>
      <c r="E5185" s="16">
        <v>2023.0</v>
      </c>
      <c r="F5185" s="16">
        <v>51.9297</v>
      </c>
      <c r="G5185" s="16">
        <v>9.1059</v>
      </c>
      <c r="H5185" s="15"/>
      <c r="I5185" s="15"/>
    </row>
    <row r="5186">
      <c r="A5186" s="18">
        <v>45665.0</v>
      </c>
      <c r="B5186" s="16" t="s">
        <v>6000</v>
      </c>
      <c r="C5186" s="16" t="s">
        <v>959</v>
      </c>
      <c r="D5186" s="16" t="s">
        <v>707</v>
      </c>
      <c r="E5186" s="16">
        <v>2023.0</v>
      </c>
      <c r="F5186" s="16">
        <v>52.7712</v>
      </c>
      <c r="G5186" s="16">
        <v>7.2753</v>
      </c>
      <c r="H5186" s="15"/>
      <c r="I5186" s="15"/>
    </row>
    <row r="5187">
      <c r="A5187" s="18">
        <v>45665.0</v>
      </c>
      <c r="B5187" s="16" t="s">
        <v>6001</v>
      </c>
      <c r="C5187" s="16" t="s">
        <v>1055</v>
      </c>
      <c r="D5187" s="16" t="s">
        <v>707</v>
      </c>
      <c r="E5187" s="16">
        <v>2023.0</v>
      </c>
      <c r="F5187" s="16">
        <v>54.4796</v>
      </c>
      <c r="G5187" s="16">
        <v>9.0828</v>
      </c>
      <c r="H5187" s="15"/>
      <c r="I5187" s="15"/>
    </row>
    <row r="5188">
      <c r="A5188" s="18">
        <v>45665.0</v>
      </c>
      <c r="B5188" s="16" t="s">
        <v>6002</v>
      </c>
      <c r="C5188" s="16" t="s">
        <v>1101</v>
      </c>
      <c r="D5188" s="16" t="s">
        <v>707</v>
      </c>
      <c r="E5188" s="16">
        <v>2023.0</v>
      </c>
      <c r="F5188" s="16">
        <v>51.6371</v>
      </c>
      <c r="G5188" s="16">
        <v>6.6263</v>
      </c>
      <c r="H5188" s="15"/>
      <c r="I5188" s="15"/>
    </row>
    <row r="5189">
      <c r="A5189" s="18">
        <v>45665.0</v>
      </c>
      <c r="B5189" s="16" t="s">
        <v>6003</v>
      </c>
      <c r="C5189" s="16" t="s">
        <v>946</v>
      </c>
      <c r="D5189" s="16" t="s">
        <v>707</v>
      </c>
      <c r="E5189" s="16">
        <v>2023.0</v>
      </c>
      <c r="F5189" s="16">
        <v>54.1185</v>
      </c>
      <c r="G5189" s="16">
        <v>9.9543</v>
      </c>
      <c r="H5189" s="15"/>
      <c r="I5189" s="15"/>
    </row>
    <row r="5190">
      <c r="A5190" s="18">
        <v>45665.0</v>
      </c>
      <c r="B5190" s="16" t="s">
        <v>6004</v>
      </c>
      <c r="C5190" s="16" t="s">
        <v>2546</v>
      </c>
      <c r="D5190" s="16" t="s">
        <v>707</v>
      </c>
      <c r="E5190" s="16">
        <v>2023.0</v>
      </c>
      <c r="F5190" s="16">
        <v>51.6784</v>
      </c>
      <c r="G5190" s="16">
        <v>14.4403</v>
      </c>
      <c r="H5190" s="15"/>
      <c r="I5190" s="15"/>
    </row>
    <row r="5191">
      <c r="A5191" s="18">
        <v>45665.0</v>
      </c>
      <c r="B5191" s="16" t="s">
        <v>6005</v>
      </c>
      <c r="C5191" s="16" t="s">
        <v>1085</v>
      </c>
      <c r="D5191" s="16" t="s">
        <v>707</v>
      </c>
      <c r="E5191" s="16">
        <v>2023.0</v>
      </c>
      <c r="F5191" s="16">
        <v>49.0457</v>
      </c>
      <c r="G5191" s="16">
        <v>8.9905</v>
      </c>
      <c r="H5191" s="15"/>
      <c r="I5191" s="15"/>
    </row>
    <row r="5192">
      <c r="A5192" s="18">
        <v>45665.0</v>
      </c>
      <c r="B5192" s="16" t="s">
        <v>6006</v>
      </c>
      <c r="C5192" s="16" t="s">
        <v>971</v>
      </c>
      <c r="D5192" s="16" t="s">
        <v>707</v>
      </c>
      <c r="E5192" s="16">
        <v>2023.0</v>
      </c>
      <c r="F5192" s="16">
        <v>49.0648</v>
      </c>
      <c r="G5192" s="16">
        <v>9.0366</v>
      </c>
      <c r="H5192" s="15"/>
      <c r="I5192" s="15"/>
    </row>
    <row r="5193">
      <c r="A5193" s="18">
        <v>45665.0</v>
      </c>
      <c r="B5193" s="16" t="s">
        <v>6007</v>
      </c>
      <c r="C5193" s="16" t="s">
        <v>969</v>
      </c>
      <c r="D5193" s="16" t="s">
        <v>707</v>
      </c>
      <c r="E5193" s="16">
        <v>2023.0</v>
      </c>
      <c r="F5193" s="16">
        <v>52.8353</v>
      </c>
      <c r="G5193" s="16">
        <v>8.3927</v>
      </c>
      <c r="H5193" s="15"/>
      <c r="I5193" s="15"/>
    </row>
    <row r="5194">
      <c r="A5194" s="18">
        <v>45665.0</v>
      </c>
      <c r="B5194" s="16" t="s">
        <v>6008</v>
      </c>
      <c r="C5194" s="16" t="s">
        <v>978</v>
      </c>
      <c r="D5194" s="16" t="s">
        <v>707</v>
      </c>
      <c r="E5194" s="16">
        <v>2023.0</v>
      </c>
      <c r="F5194" s="16">
        <v>51.4096</v>
      </c>
      <c r="G5194" s="16">
        <v>7.8289</v>
      </c>
      <c r="H5194" s="15"/>
      <c r="I5194" s="15"/>
    </row>
    <row r="5195">
      <c r="A5195" s="18">
        <v>45665.0</v>
      </c>
      <c r="B5195" s="16" t="s">
        <v>6009</v>
      </c>
      <c r="C5195" s="16" t="s">
        <v>948</v>
      </c>
      <c r="D5195" s="16" t="s">
        <v>707</v>
      </c>
      <c r="E5195" s="16">
        <v>2023.0</v>
      </c>
      <c r="F5195" s="16">
        <v>48.4937</v>
      </c>
      <c r="G5195" s="16">
        <v>7.823</v>
      </c>
      <c r="H5195" s="15"/>
      <c r="I5195" s="15"/>
    </row>
    <row r="5196">
      <c r="A5196" s="18">
        <v>45665.0</v>
      </c>
      <c r="B5196" s="16" t="s">
        <v>6010</v>
      </c>
      <c r="C5196" s="16">
        <v>3.0</v>
      </c>
      <c r="D5196" s="16" t="s">
        <v>707</v>
      </c>
      <c r="E5196" s="16">
        <v>2023.0</v>
      </c>
      <c r="F5196" s="16">
        <v>52.3164</v>
      </c>
      <c r="G5196" s="16">
        <v>7.8025</v>
      </c>
      <c r="H5196" s="15"/>
      <c r="I5196" s="15"/>
    </row>
    <row r="5197">
      <c r="A5197" s="18">
        <v>45665.0</v>
      </c>
      <c r="B5197" s="16" t="s">
        <v>6011</v>
      </c>
      <c r="C5197" s="16" t="s">
        <v>948</v>
      </c>
      <c r="D5197" s="16" t="s">
        <v>707</v>
      </c>
      <c r="E5197" s="16">
        <v>2023.0</v>
      </c>
      <c r="F5197" s="16">
        <v>53.9452</v>
      </c>
      <c r="G5197" s="16">
        <v>11.2232</v>
      </c>
      <c r="H5197" s="15"/>
      <c r="I5197" s="15"/>
    </row>
    <row r="5198">
      <c r="A5198" s="18">
        <v>45665.0</v>
      </c>
      <c r="B5198" s="16" t="s">
        <v>6012</v>
      </c>
      <c r="C5198" s="16" t="s">
        <v>961</v>
      </c>
      <c r="D5198" s="16" t="s">
        <v>707</v>
      </c>
      <c r="E5198" s="16">
        <v>2023.0</v>
      </c>
      <c r="F5198" s="16">
        <v>52.7538</v>
      </c>
      <c r="G5198" s="16">
        <v>8.2749</v>
      </c>
      <c r="H5198" s="15"/>
      <c r="I5198" s="15"/>
    </row>
    <row r="5199">
      <c r="A5199" s="18">
        <v>45665.0</v>
      </c>
      <c r="B5199" s="16" t="s">
        <v>6013</v>
      </c>
      <c r="C5199" s="16">
        <v>5.0</v>
      </c>
      <c r="D5199" s="16" t="s">
        <v>707</v>
      </c>
      <c r="E5199" s="16">
        <v>2023.0</v>
      </c>
      <c r="F5199" s="16">
        <v>50.3065</v>
      </c>
      <c r="G5199" s="16">
        <v>7.3088</v>
      </c>
      <c r="H5199" s="15"/>
      <c r="I5199" s="15"/>
    </row>
    <row r="5200">
      <c r="A5200" s="18">
        <v>45665.0</v>
      </c>
      <c r="B5200" s="16" t="s">
        <v>6014</v>
      </c>
      <c r="C5200" s="16" t="s">
        <v>1745</v>
      </c>
      <c r="D5200" s="16" t="s">
        <v>707</v>
      </c>
      <c r="E5200" s="16">
        <v>2023.0</v>
      </c>
      <c r="F5200" s="16">
        <v>48.886</v>
      </c>
      <c r="G5200" s="16">
        <v>9.5369</v>
      </c>
      <c r="H5200" s="15"/>
      <c r="I5200" s="15"/>
    </row>
    <row r="5201">
      <c r="A5201" s="18">
        <v>45665.0</v>
      </c>
      <c r="B5201" s="16" t="s">
        <v>6015</v>
      </c>
      <c r="C5201" s="16" t="s">
        <v>971</v>
      </c>
      <c r="D5201" s="16" t="s">
        <v>707</v>
      </c>
      <c r="E5201" s="16">
        <v>2023.0</v>
      </c>
      <c r="F5201" s="16">
        <v>52.4001</v>
      </c>
      <c r="G5201" s="16">
        <v>9.5867</v>
      </c>
      <c r="H5201" s="15"/>
      <c r="I5201" s="15"/>
    </row>
    <row r="5202">
      <c r="A5202" s="18">
        <v>45665.0</v>
      </c>
      <c r="B5202" s="16" t="s">
        <v>6016</v>
      </c>
      <c r="C5202" s="16" t="s">
        <v>1059</v>
      </c>
      <c r="D5202" s="16" t="s">
        <v>707</v>
      </c>
      <c r="E5202" s="16">
        <v>2023.0</v>
      </c>
      <c r="F5202" s="16">
        <v>52.562</v>
      </c>
      <c r="G5202" s="16">
        <v>13.2137</v>
      </c>
      <c r="H5202" s="15"/>
      <c r="I5202" s="15"/>
    </row>
    <row r="5203">
      <c r="A5203" s="18">
        <v>45665.0</v>
      </c>
      <c r="B5203" s="16" t="s">
        <v>6017</v>
      </c>
      <c r="C5203" s="16" t="s">
        <v>948</v>
      </c>
      <c r="D5203" s="16" t="s">
        <v>707</v>
      </c>
      <c r="E5203" s="16">
        <v>2023.0</v>
      </c>
      <c r="F5203" s="16">
        <v>48.894</v>
      </c>
      <c r="G5203" s="16">
        <v>9.9747</v>
      </c>
      <c r="H5203" s="15"/>
      <c r="I5203" s="15"/>
    </row>
    <row r="5204">
      <c r="A5204" s="18">
        <v>45665.0</v>
      </c>
      <c r="B5204" s="16" t="s">
        <v>6018</v>
      </c>
      <c r="C5204" s="16" t="s">
        <v>1055</v>
      </c>
      <c r="D5204" s="16" t="s">
        <v>707</v>
      </c>
      <c r="E5204" s="16">
        <v>2023.0</v>
      </c>
      <c r="F5204" s="16">
        <v>48.7991</v>
      </c>
      <c r="G5204" s="16">
        <v>9.8696</v>
      </c>
      <c r="H5204" s="15"/>
      <c r="I5204" s="15"/>
    </row>
    <row r="5205">
      <c r="A5205" s="18">
        <v>45665.0</v>
      </c>
      <c r="B5205" s="16" t="s">
        <v>6019</v>
      </c>
      <c r="C5205" s="16" t="s">
        <v>946</v>
      </c>
      <c r="D5205" s="16" t="s">
        <v>707</v>
      </c>
      <c r="E5205" s="16">
        <v>2023.0</v>
      </c>
      <c r="F5205" s="16">
        <v>48.7986</v>
      </c>
      <c r="G5205" s="16">
        <v>9.873</v>
      </c>
      <c r="H5205" s="15"/>
      <c r="I5205" s="15"/>
    </row>
    <row r="5206">
      <c r="A5206" s="18">
        <v>45665.0</v>
      </c>
      <c r="B5206" s="16" t="s">
        <v>6020</v>
      </c>
      <c r="C5206" s="16" t="s">
        <v>942</v>
      </c>
      <c r="D5206" s="16" t="s">
        <v>707</v>
      </c>
      <c r="E5206" s="16">
        <v>2023.0</v>
      </c>
      <c r="F5206" s="16">
        <v>51.8307</v>
      </c>
      <c r="G5206" s="16">
        <v>8.2115</v>
      </c>
      <c r="H5206" s="15"/>
      <c r="I5206" s="15"/>
    </row>
    <row r="5207">
      <c r="A5207" s="18">
        <v>45665.0</v>
      </c>
      <c r="B5207" s="16" t="s">
        <v>6021</v>
      </c>
      <c r="C5207" s="16" t="s">
        <v>942</v>
      </c>
      <c r="D5207" s="16" t="s">
        <v>707</v>
      </c>
      <c r="E5207" s="16">
        <v>2023.0</v>
      </c>
      <c r="F5207" s="16">
        <v>48.9813</v>
      </c>
      <c r="G5207" s="16">
        <v>11.1964</v>
      </c>
      <c r="H5207" s="15"/>
      <c r="I5207" s="15"/>
    </row>
    <row r="5208">
      <c r="A5208" s="18">
        <v>45665.0</v>
      </c>
      <c r="B5208" s="16" t="s">
        <v>6022</v>
      </c>
      <c r="C5208" s="16" t="s">
        <v>969</v>
      </c>
      <c r="D5208" s="16" t="s">
        <v>707</v>
      </c>
      <c r="E5208" s="16">
        <v>2023.0</v>
      </c>
      <c r="F5208" s="16">
        <v>50.6858</v>
      </c>
      <c r="G5208" s="16">
        <v>12.9239</v>
      </c>
      <c r="H5208" s="15"/>
      <c r="I5208" s="15"/>
    </row>
    <row r="5209">
      <c r="A5209" s="18">
        <v>45665.0</v>
      </c>
      <c r="B5209" s="16" t="s">
        <v>6023</v>
      </c>
      <c r="C5209" s="16">
        <v>5.0</v>
      </c>
      <c r="D5209" s="16" t="s">
        <v>707</v>
      </c>
      <c r="E5209" s="16">
        <v>2023.0</v>
      </c>
      <c r="F5209" s="16">
        <v>49.3269</v>
      </c>
      <c r="G5209" s="16">
        <v>10.9036</v>
      </c>
      <c r="H5209" s="15"/>
      <c r="I5209" s="15"/>
    </row>
    <row r="5210">
      <c r="A5210" s="18">
        <v>45665.0</v>
      </c>
      <c r="B5210" s="16" t="s">
        <v>6024</v>
      </c>
      <c r="C5210" s="16" t="s">
        <v>951</v>
      </c>
      <c r="D5210" s="16" t="s">
        <v>707</v>
      </c>
      <c r="E5210" s="16">
        <v>2023.0</v>
      </c>
      <c r="F5210" s="16">
        <v>51.2414</v>
      </c>
      <c r="G5210" s="16">
        <v>13.3019</v>
      </c>
      <c r="H5210" s="15"/>
      <c r="I5210" s="15"/>
    </row>
    <row r="5211">
      <c r="A5211" s="18">
        <v>45665.0</v>
      </c>
      <c r="B5211" s="16" t="s">
        <v>6025</v>
      </c>
      <c r="C5211" s="16" t="s">
        <v>951</v>
      </c>
      <c r="D5211" s="16" t="s">
        <v>707</v>
      </c>
      <c r="E5211" s="16">
        <v>2023.0</v>
      </c>
      <c r="F5211" s="16">
        <v>53.4266</v>
      </c>
      <c r="G5211" s="16">
        <v>11.8122</v>
      </c>
      <c r="H5211" s="15"/>
      <c r="I5211" s="15"/>
    </row>
    <row r="5212">
      <c r="A5212" s="18">
        <v>45665.0</v>
      </c>
      <c r="B5212" s="16" t="s">
        <v>6026</v>
      </c>
      <c r="C5212" s="16">
        <v>1.0</v>
      </c>
      <c r="D5212" s="16" t="s">
        <v>707</v>
      </c>
      <c r="E5212" s="16">
        <v>2023.0</v>
      </c>
      <c r="F5212" s="16">
        <v>52.4462</v>
      </c>
      <c r="G5212" s="16">
        <v>14.0817</v>
      </c>
      <c r="H5212" s="15"/>
      <c r="I5212" s="15"/>
    </row>
    <row r="5213">
      <c r="A5213" s="18">
        <v>45665.0</v>
      </c>
      <c r="B5213" s="16" t="s">
        <v>6027</v>
      </c>
      <c r="C5213" s="16">
        <v>7.0</v>
      </c>
      <c r="D5213" s="16" t="s">
        <v>707</v>
      </c>
      <c r="E5213" s="16">
        <v>2023.0</v>
      </c>
      <c r="F5213" s="16">
        <v>48.465</v>
      </c>
      <c r="G5213" s="16">
        <v>10.543</v>
      </c>
      <c r="H5213" s="15"/>
      <c r="I5213" s="15"/>
    </row>
    <row r="5214">
      <c r="A5214" s="18">
        <v>45665.0</v>
      </c>
      <c r="B5214" s="16" t="s">
        <v>6028</v>
      </c>
      <c r="C5214" s="16">
        <v>2.0</v>
      </c>
      <c r="D5214" s="16" t="s">
        <v>707</v>
      </c>
      <c r="E5214" s="16">
        <v>2023.0</v>
      </c>
      <c r="F5214" s="16">
        <v>48.465</v>
      </c>
      <c r="G5214" s="16">
        <v>10.544</v>
      </c>
      <c r="H5214" s="15"/>
      <c r="I5214" s="15"/>
    </row>
    <row r="5215">
      <c r="A5215" s="18">
        <v>45665.0</v>
      </c>
      <c r="B5215" s="16" t="s">
        <v>6029</v>
      </c>
      <c r="C5215" s="16" t="s">
        <v>1267</v>
      </c>
      <c r="D5215" s="16" t="s">
        <v>707</v>
      </c>
      <c r="E5215" s="16">
        <v>2023.0</v>
      </c>
      <c r="F5215" s="16">
        <v>51.7633</v>
      </c>
      <c r="G5215" s="16">
        <v>8.0795</v>
      </c>
      <c r="H5215" s="15"/>
      <c r="I5215" s="15"/>
    </row>
    <row r="5216">
      <c r="A5216" s="18">
        <v>45665.0</v>
      </c>
      <c r="B5216" s="16" t="s">
        <v>6030</v>
      </c>
      <c r="C5216" s="16" t="s">
        <v>1055</v>
      </c>
      <c r="D5216" s="16" t="s">
        <v>707</v>
      </c>
      <c r="E5216" s="16">
        <v>2023.0</v>
      </c>
      <c r="F5216" s="16">
        <v>51.7934</v>
      </c>
      <c r="G5216" s="16">
        <v>9.0586</v>
      </c>
      <c r="H5216" s="15"/>
      <c r="I5216" s="15"/>
    </row>
    <row r="5217">
      <c r="A5217" s="18">
        <v>45665.0</v>
      </c>
      <c r="B5217" s="16" t="s">
        <v>6031</v>
      </c>
      <c r="C5217" s="16" t="s">
        <v>6032</v>
      </c>
      <c r="D5217" s="16" t="s">
        <v>707</v>
      </c>
      <c r="E5217" s="16">
        <v>2023.0</v>
      </c>
      <c r="F5217" s="16">
        <v>50.8582</v>
      </c>
      <c r="G5217" s="16">
        <v>12.9479</v>
      </c>
      <c r="H5217" s="15"/>
      <c r="I5217" s="15"/>
    </row>
    <row r="5218">
      <c r="A5218" s="18">
        <v>45665.0</v>
      </c>
      <c r="B5218" s="16" t="s">
        <v>6033</v>
      </c>
      <c r="C5218" s="16" t="s">
        <v>1034</v>
      </c>
      <c r="D5218" s="16" t="s">
        <v>707</v>
      </c>
      <c r="E5218" s="16">
        <v>2023.0</v>
      </c>
      <c r="F5218" s="16">
        <v>51.7709</v>
      </c>
      <c r="G5218" s="16">
        <v>11.4481</v>
      </c>
      <c r="H5218" s="15"/>
      <c r="I5218" s="15"/>
    </row>
    <row r="5219">
      <c r="A5219" s="18">
        <v>45665.0</v>
      </c>
      <c r="B5219" s="16" t="s">
        <v>6034</v>
      </c>
      <c r="C5219" s="16" t="s">
        <v>946</v>
      </c>
      <c r="D5219" s="16" t="s">
        <v>707</v>
      </c>
      <c r="E5219" s="16">
        <v>2023.0</v>
      </c>
      <c r="F5219" s="16">
        <v>51.9623</v>
      </c>
      <c r="G5219" s="16">
        <v>9.5782</v>
      </c>
      <c r="H5219" s="15"/>
      <c r="I5219" s="15"/>
    </row>
    <row r="5220">
      <c r="A5220" s="18">
        <v>45665.0</v>
      </c>
      <c r="B5220" s="16" t="s">
        <v>6035</v>
      </c>
      <c r="C5220" s="16" t="s">
        <v>942</v>
      </c>
      <c r="D5220" s="16" t="s">
        <v>707</v>
      </c>
      <c r="E5220" s="16">
        <v>2023.0</v>
      </c>
      <c r="F5220" s="16">
        <v>52.3068</v>
      </c>
      <c r="G5220" s="16">
        <v>8.9237</v>
      </c>
      <c r="H5220" s="15"/>
      <c r="I5220" s="15"/>
    </row>
    <row r="5221">
      <c r="A5221" s="18">
        <v>45665.0</v>
      </c>
      <c r="B5221" s="16" t="s">
        <v>6036</v>
      </c>
      <c r="C5221" s="16">
        <v>2.0</v>
      </c>
      <c r="D5221" s="16" t="s">
        <v>707</v>
      </c>
      <c r="E5221" s="16">
        <v>2023.0</v>
      </c>
      <c r="F5221" s="16">
        <v>50.4049</v>
      </c>
      <c r="G5221" s="16">
        <v>7.4976</v>
      </c>
      <c r="H5221" s="15"/>
      <c r="I5221" s="15"/>
    </row>
    <row r="5222">
      <c r="A5222" s="18">
        <v>45665.0</v>
      </c>
      <c r="B5222" s="16" t="s">
        <v>6037</v>
      </c>
      <c r="C5222" s="16" t="s">
        <v>969</v>
      </c>
      <c r="D5222" s="16" t="s">
        <v>707</v>
      </c>
      <c r="E5222" s="16">
        <v>2023.0</v>
      </c>
      <c r="F5222" s="16">
        <v>47.822</v>
      </c>
      <c r="G5222" s="16">
        <v>9.6381</v>
      </c>
      <c r="H5222" s="15"/>
      <c r="I5222" s="15"/>
    </row>
    <row r="5223">
      <c r="A5223" s="18">
        <v>45665.0</v>
      </c>
      <c r="B5223" s="16" t="s">
        <v>6038</v>
      </c>
      <c r="C5223" s="16" t="s">
        <v>1055</v>
      </c>
      <c r="D5223" s="16" t="s">
        <v>707</v>
      </c>
      <c r="E5223" s="16">
        <v>2023.0</v>
      </c>
      <c r="F5223" s="16">
        <v>53.9296</v>
      </c>
      <c r="G5223" s="16">
        <v>11.1042</v>
      </c>
      <c r="H5223" s="15"/>
      <c r="I5223" s="15"/>
    </row>
    <row r="5224">
      <c r="A5224" s="18">
        <v>45665.0</v>
      </c>
      <c r="B5224" s="16" t="s">
        <v>6039</v>
      </c>
      <c r="C5224" s="16" t="s">
        <v>4064</v>
      </c>
      <c r="D5224" s="16" t="s">
        <v>707</v>
      </c>
      <c r="E5224" s="16">
        <v>2023.0</v>
      </c>
      <c r="F5224" s="16">
        <v>47.931</v>
      </c>
      <c r="G5224" s="16">
        <v>10.8638</v>
      </c>
      <c r="H5224" s="15"/>
      <c r="I5224" s="15"/>
    </row>
    <row r="5225">
      <c r="A5225" s="18">
        <v>45665.0</v>
      </c>
      <c r="B5225" s="16" t="s">
        <v>6040</v>
      </c>
      <c r="C5225" s="16" t="s">
        <v>1931</v>
      </c>
      <c r="D5225" s="16" t="s">
        <v>707</v>
      </c>
      <c r="E5225" s="16">
        <v>2023.0</v>
      </c>
      <c r="F5225" s="16">
        <v>48.0019</v>
      </c>
      <c r="G5225" s="16">
        <v>8.5544</v>
      </c>
      <c r="H5225" s="15"/>
      <c r="I5225" s="15"/>
    </row>
    <row r="5226">
      <c r="A5226" s="18">
        <v>45665.0</v>
      </c>
      <c r="B5226" s="16" t="s">
        <v>6041</v>
      </c>
      <c r="C5226" s="16" t="s">
        <v>990</v>
      </c>
      <c r="D5226" s="16" t="s">
        <v>707</v>
      </c>
      <c r="E5226" s="16">
        <v>2023.0</v>
      </c>
      <c r="F5226" s="16">
        <v>48.2536</v>
      </c>
      <c r="G5226" s="16">
        <v>12.2005</v>
      </c>
      <c r="H5226" s="15"/>
      <c r="I5226" s="15"/>
    </row>
    <row r="5227">
      <c r="A5227" s="18">
        <v>45665.0</v>
      </c>
      <c r="B5227" s="16" t="s">
        <v>6042</v>
      </c>
      <c r="C5227" s="16" t="s">
        <v>969</v>
      </c>
      <c r="D5227" s="16" t="s">
        <v>707</v>
      </c>
      <c r="E5227" s="16">
        <v>2023.0</v>
      </c>
      <c r="F5227" s="16">
        <v>48.3738</v>
      </c>
      <c r="G5227" s="16">
        <v>9.4331</v>
      </c>
      <c r="H5227" s="15"/>
      <c r="I5227" s="15"/>
    </row>
    <row r="5228">
      <c r="A5228" s="18">
        <v>45665.0</v>
      </c>
      <c r="B5228" s="16" t="s">
        <v>6043</v>
      </c>
      <c r="C5228" s="16" t="s">
        <v>946</v>
      </c>
      <c r="D5228" s="16" t="s">
        <v>707</v>
      </c>
      <c r="E5228" s="16">
        <v>2023.0</v>
      </c>
      <c r="F5228" s="16">
        <v>52.1232</v>
      </c>
      <c r="G5228" s="16">
        <v>14.635</v>
      </c>
      <c r="H5228" s="15"/>
      <c r="I5228" s="15"/>
    </row>
    <row r="5229">
      <c r="A5229" s="18">
        <v>45665.0</v>
      </c>
      <c r="B5229" s="16" t="s">
        <v>6044</v>
      </c>
      <c r="C5229" s="16" t="s">
        <v>951</v>
      </c>
      <c r="D5229" s="16" t="s">
        <v>707</v>
      </c>
      <c r="E5229" s="16">
        <v>2023.0</v>
      </c>
      <c r="F5229" s="16">
        <v>47.8895</v>
      </c>
      <c r="G5229" s="16">
        <v>10.883</v>
      </c>
      <c r="H5229" s="15"/>
      <c r="I5229" s="15"/>
    </row>
    <row r="5230">
      <c r="A5230" s="18">
        <v>45665.0</v>
      </c>
      <c r="B5230" s="16" t="s">
        <v>6045</v>
      </c>
      <c r="C5230" s="16" t="s">
        <v>1773</v>
      </c>
      <c r="D5230" s="16" t="s">
        <v>707</v>
      </c>
      <c r="E5230" s="16">
        <v>2023.0</v>
      </c>
      <c r="F5230" s="16">
        <v>50.3434</v>
      </c>
      <c r="G5230" s="16">
        <v>11.7884</v>
      </c>
      <c r="H5230" s="15"/>
      <c r="I5230" s="15"/>
    </row>
    <row r="5231">
      <c r="A5231" s="18">
        <v>45665.0</v>
      </c>
      <c r="B5231" s="16" t="s">
        <v>6046</v>
      </c>
      <c r="C5231" s="16" t="s">
        <v>1004</v>
      </c>
      <c r="D5231" s="16" t="s">
        <v>707</v>
      </c>
      <c r="E5231" s="16">
        <v>2023.0</v>
      </c>
      <c r="F5231" s="16">
        <v>49.4079</v>
      </c>
      <c r="G5231" s="16">
        <v>10.6832</v>
      </c>
      <c r="H5231" s="15"/>
      <c r="I5231" s="15"/>
    </row>
    <row r="5232">
      <c r="A5232" s="18">
        <v>45665.0</v>
      </c>
      <c r="B5232" s="16" t="s">
        <v>6047</v>
      </c>
      <c r="C5232" s="16" t="s">
        <v>946</v>
      </c>
      <c r="D5232" s="16" t="s">
        <v>707</v>
      </c>
      <c r="E5232" s="16">
        <v>2023.0</v>
      </c>
      <c r="F5232" s="16">
        <v>47.8938</v>
      </c>
      <c r="G5232" s="16">
        <v>8.4516</v>
      </c>
      <c r="H5232" s="15"/>
      <c r="I5232" s="15"/>
    </row>
    <row r="5233">
      <c r="A5233" s="18">
        <v>45665.0</v>
      </c>
      <c r="B5233" s="16" t="s">
        <v>6048</v>
      </c>
      <c r="C5233" s="16" t="s">
        <v>1055</v>
      </c>
      <c r="D5233" s="16" t="s">
        <v>707</v>
      </c>
      <c r="E5233" s="16">
        <v>2023.0</v>
      </c>
      <c r="F5233" s="16">
        <v>50.2243</v>
      </c>
      <c r="G5233" s="16">
        <v>10.5317</v>
      </c>
      <c r="H5233" s="15"/>
      <c r="I5233" s="15"/>
    </row>
    <row r="5234">
      <c r="A5234" s="18">
        <v>45665.0</v>
      </c>
      <c r="B5234" s="16" t="s">
        <v>6049</v>
      </c>
      <c r="C5234" s="16">
        <v>1.0</v>
      </c>
      <c r="D5234" s="16" t="s">
        <v>707</v>
      </c>
      <c r="E5234" s="16">
        <v>2023.0</v>
      </c>
      <c r="F5234" s="16">
        <v>51.0762</v>
      </c>
      <c r="G5234" s="16">
        <v>12.6625</v>
      </c>
      <c r="H5234" s="15"/>
      <c r="I5234" s="15"/>
    </row>
    <row r="5235">
      <c r="A5235" s="18">
        <v>45665.0</v>
      </c>
      <c r="B5235" s="16" t="s">
        <v>6050</v>
      </c>
      <c r="C5235" s="16" t="s">
        <v>1055</v>
      </c>
      <c r="D5235" s="16" t="s">
        <v>707</v>
      </c>
      <c r="E5235" s="16">
        <v>2023.0</v>
      </c>
      <c r="F5235" s="16">
        <v>48.5362</v>
      </c>
      <c r="G5235" s="16">
        <v>12.5696</v>
      </c>
      <c r="H5235" s="15"/>
      <c r="I5235" s="15"/>
    </row>
    <row r="5236">
      <c r="A5236" s="18">
        <v>45665.0</v>
      </c>
      <c r="B5236" s="16" t="s">
        <v>6051</v>
      </c>
      <c r="C5236" s="16" t="s">
        <v>1059</v>
      </c>
      <c r="D5236" s="16" t="s">
        <v>707</v>
      </c>
      <c r="E5236" s="16">
        <v>2023.0</v>
      </c>
      <c r="F5236" s="16">
        <v>48.4167</v>
      </c>
      <c r="G5236" s="16">
        <v>12.7474</v>
      </c>
      <c r="H5236" s="15"/>
      <c r="I5236" s="15"/>
    </row>
    <row r="5237">
      <c r="A5237" s="18">
        <v>45665.0</v>
      </c>
      <c r="B5237" s="16" t="s">
        <v>6052</v>
      </c>
      <c r="C5237" s="16" t="s">
        <v>959</v>
      </c>
      <c r="D5237" s="16" t="s">
        <v>707</v>
      </c>
      <c r="E5237" s="16">
        <v>2023.0</v>
      </c>
      <c r="F5237" s="16">
        <v>48.7271</v>
      </c>
      <c r="G5237" s="16">
        <v>13.5593</v>
      </c>
      <c r="H5237" s="15"/>
      <c r="I5237" s="15"/>
    </row>
    <row r="5238">
      <c r="A5238" s="18">
        <v>45665.0</v>
      </c>
      <c r="B5238" s="16" t="s">
        <v>6053</v>
      </c>
      <c r="C5238" s="16" t="s">
        <v>1051</v>
      </c>
      <c r="D5238" s="16" t="s">
        <v>707</v>
      </c>
      <c r="E5238" s="16">
        <v>2023.0</v>
      </c>
      <c r="F5238" s="16">
        <v>48.5756</v>
      </c>
      <c r="G5238" s="16">
        <v>13.2845</v>
      </c>
      <c r="H5238" s="15"/>
      <c r="I5238" s="15"/>
    </row>
    <row r="5239">
      <c r="A5239" s="18">
        <v>45665.0</v>
      </c>
      <c r="B5239" s="16" t="s">
        <v>6054</v>
      </c>
      <c r="C5239" s="16">
        <v>3.0</v>
      </c>
      <c r="D5239" s="16" t="s">
        <v>707</v>
      </c>
      <c r="E5239" s="16">
        <v>2023.0</v>
      </c>
      <c r="F5239" s="16">
        <v>48.6916</v>
      </c>
      <c r="G5239" s="16">
        <v>13.6797</v>
      </c>
      <c r="H5239" s="15"/>
      <c r="I5239" s="15"/>
    </row>
    <row r="5240">
      <c r="A5240" s="18">
        <v>45665.0</v>
      </c>
      <c r="B5240" s="16" t="s">
        <v>6055</v>
      </c>
      <c r="C5240" s="16" t="s">
        <v>1034</v>
      </c>
      <c r="D5240" s="16" t="s">
        <v>707</v>
      </c>
      <c r="E5240" s="16">
        <v>2023.0</v>
      </c>
      <c r="F5240" s="16">
        <v>48.9445</v>
      </c>
      <c r="G5240" s="16">
        <v>13.1684</v>
      </c>
      <c r="H5240" s="15"/>
      <c r="I5240" s="15"/>
    </row>
    <row r="5241">
      <c r="A5241" s="18">
        <v>45665.0</v>
      </c>
      <c r="B5241" s="16" t="s">
        <v>6056</v>
      </c>
      <c r="C5241" s="16" t="s">
        <v>990</v>
      </c>
      <c r="D5241" s="16" t="s">
        <v>707</v>
      </c>
      <c r="E5241" s="16">
        <v>2023.0</v>
      </c>
      <c r="F5241" s="16">
        <v>48.6602</v>
      </c>
      <c r="G5241" s="16">
        <v>13.6716</v>
      </c>
      <c r="H5241" s="15"/>
      <c r="I5241" s="15"/>
    </row>
    <row r="5242">
      <c r="A5242" s="18">
        <v>45665.0</v>
      </c>
      <c r="B5242" s="16" t="s">
        <v>6057</v>
      </c>
      <c r="C5242" s="16" t="s">
        <v>1059</v>
      </c>
      <c r="D5242" s="16" t="s">
        <v>707</v>
      </c>
      <c r="E5242" s="16">
        <v>2023.0</v>
      </c>
      <c r="F5242" s="16">
        <v>48.7497</v>
      </c>
      <c r="G5242" s="16">
        <v>13.5798</v>
      </c>
      <c r="H5242" s="15"/>
      <c r="I5242" s="15"/>
    </row>
    <row r="5243">
      <c r="A5243" s="18">
        <v>45665.0</v>
      </c>
      <c r="B5243" s="16" t="s">
        <v>6057</v>
      </c>
      <c r="C5243" s="16" t="s">
        <v>1059</v>
      </c>
      <c r="D5243" s="16" t="s">
        <v>707</v>
      </c>
      <c r="E5243" s="16">
        <v>2023.0</v>
      </c>
      <c r="F5243" s="16">
        <v>48.7499</v>
      </c>
      <c r="G5243" s="16">
        <v>13.5794</v>
      </c>
      <c r="H5243" s="15"/>
      <c r="I5243" s="15"/>
    </row>
    <row r="5244">
      <c r="A5244" s="18">
        <v>45665.0</v>
      </c>
      <c r="B5244" s="16" t="s">
        <v>6058</v>
      </c>
      <c r="C5244" s="16" t="s">
        <v>948</v>
      </c>
      <c r="D5244" s="16" t="s">
        <v>707</v>
      </c>
      <c r="E5244" s="16">
        <v>2023.0</v>
      </c>
      <c r="F5244" s="16">
        <v>48.0033</v>
      </c>
      <c r="G5244" s="16">
        <v>9.1151</v>
      </c>
      <c r="H5244" s="15"/>
      <c r="I5244" s="15"/>
    </row>
    <row r="5245">
      <c r="A5245" s="18">
        <v>45665.0</v>
      </c>
      <c r="B5245" s="16" t="s">
        <v>6059</v>
      </c>
      <c r="C5245" s="16" t="s">
        <v>942</v>
      </c>
      <c r="D5245" s="16" t="s">
        <v>707</v>
      </c>
      <c r="E5245" s="16">
        <v>2023.0</v>
      </c>
      <c r="F5245" s="16">
        <v>48.7704</v>
      </c>
      <c r="G5245" s="16">
        <v>12.8232</v>
      </c>
      <c r="H5245" s="15"/>
      <c r="I5245" s="15"/>
    </row>
    <row r="5246">
      <c r="A5246" s="18">
        <v>45665.0</v>
      </c>
      <c r="B5246" s="16" t="s">
        <v>6060</v>
      </c>
      <c r="C5246" s="16">
        <v>2.0</v>
      </c>
      <c r="D5246" s="16" t="s">
        <v>707</v>
      </c>
      <c r="E5246" s="16">
        <v>2023.0</v>
      </c>
      <c r="F5246" s="16">
        <v>48.5499</v>
      </c>
      <c r="G5246" s="16">
        <v>13.3577</v>
      </c>
      <c r="H5246" s="15"/>
      <c r="I5246" s="15"/>
    </row>
    <row r="5247">
      <c r="A5247" s="18">
        <v>45665.0</v>
      </c>
      <c r="B5247" s="16" t="s">
        <v>6061</v>
      </c>
      <c r="C5247" s="16" t="s">
        <v>971</v>
      </c>
      <c r="D5247" s="16" t="s">
        <v>707</v>
      </c>
      <c r="E5247" s="16">
        <v>2023.0</v>
      </c>
      <c r="F5247" s="16">
        <v>48.4762</v>
      </c>
      <c r="G5247" s="16">
        <v>12.496</v>
      </c>
      <c r="H5247" s="15"/>
      <c r="I5247" s="15"/>
    </row>
    <row r="5248">
      <c r="A5248" s="18">
        <v>45665.0</v>
      </c>
      <c r="B5248" s="16" t="s">
        <v>6062</v>
      </c>
      <c r="C5248" s="16" t="s">
        <v>1167</v>
      </c>
      <c r="D5248" s="16" t="s">
        <v>707</v>
      </c>
      <c r="E5248" s="16">
        <v>2023.0</v>
      </c>
      <c r="F5248" s="16">
        <v>48.5478</v>
      </c>
      <c r="G5248" s="16">
        <v>12.6886</v>
      </c>
      <c r="H5248" s="15"/>
      <c r="I5248" s="15"/>
    </row>
    <row r="5249">
      <c r="A5249" s="18">
        <v>45665.0</v>
      </c>
      <c r="B5249" s="16" t="s">
        <v>6063</v>
      </c>
      <c r="C5249" s="16" t="s">
        <v>1007</v>
      </c>
      <c r="D5249" s="16" t="s">
        <v>707</v>
      </c>
      <c r="E5249" s="16">
        <v>2023.0</v>
      </c>
      <c r="F5249" s="16">
        <v>49.2727</v>
      </c>
      <c r="G5249" s="16">
        <v>8.8929</v>
      </c>
      <c r="H5249" s="15"/>
      <c r="I5249" s="15"/>
    </row>
    <row r="5250">
      <c r="A5250" s="18">
        <v>45665.0</v>
      </c>
      <c r="B5250" s="16" t="s">
        <v>6064</v>
      </c>
      <c r="C5250" s="16" t="s">
        <v>1002</v>
      </c>
      <c r="D5250" s="16" t="s">
        <v>707</v>
      </c>
      <c r="E5250" s="16">
        <v>2023.0</v>
      </c>
      <c r="F5250" s="16">
        <v>48.9429</v>
      </c>
      <c r="G5250" s="16">
        <v>12.7219</v>
      </c>
      <c r="H5250" s="15"/>
      <c r="I5250" s="15"/>
    </row>
    <row r="5251">
      <c r="A5251" s="18">
        <v>45665.0</v>
      </c>
      <c r="B5251" s="16" t="s">
        <v>6065</v>
      </c>
      <c r="C5251" s="16" t="s">
        <v>1007</v>
      </c>
      <c r="D5251" s="16" t="s">
        <v>707</v>
      </c>
      <c r="E5251" s="16">
        <v>2023.0</v>
      </c>
      <c r="F5251" s="16">
        <v>49.7029</v>
      </c>
      <c r="G5251" s="16">
        <v>11.0433</v>
      </c>
      <c r="H5251" s="15"/>
      <c r="I5251" s="15"/>
    </row>
    <row r="5252">
      <c r="A5252" s="18">
        <v>45665.0</v>
      </c>
      <c r="B5252" s="16" t="s">
        <v>6066</v>
      </c>
      <c r="C5252" s="16">
        <v>4.0</v>
      </c>
      <c r="D5252" s="16" t="s">
        <v>707</v>
      </c>
      <c r="E5252" s="16">
        <v>2023.0</v>
      </c>
      <c r="F5252" s="16">
        <v>48.4684</v>
      </c>
      <c r="G5252" s="16">
        <v>8.5784</v>
      </c>
      <c r="H5252" s="15"/>
      <c r="I5252" s="15"/>
    </row>
    <row r="5253">
      <c r="A5253" s="18">
        <v>45665.0</v>
      </c>
      <c r="B5253" s="16" t="s">
        <v>6067</v>
      </c>
      <c r="C5253" s="16" t="s">
        <v>1055</v>
      </c>
      <c r="D5253" s="16" t="s">
        <v>707</v>
      </c>
      <c r="E5253" s="16">
        <v>2023.0</v>
      </c>
      <c r="F5253" s="16">
        <v>50.88</v>
      </c>
      <c r="G5253" s="16">
        <v>6.2167</v>
      </c>
      <c r="H5253" s="15"/>
      <c r="I5253" s="15"/>
    </row>
    <row r="5254">
      <c r="A5254" s="18">
        <v>45665.0</v>
      </c>
      <c r="B5254" s="16" t="s">
        <v>6068</v>
      </c>
      <c r="C5254" s="16" t="s">
        <v>4064</v>
      </c>
      <c r="D5254" s="16" t="s">
        <v>707</v>
      </c>
      <c r="E5254" s="16">
        <v>2023.0</v>
      </c>
      <c r="F5254" s="16">
        <v>49.4367</v>
      </c>
      <c r="G5254" s="16">
        <v>12.0276</v>
      </c>
      <c r="H5254" s="15"/>
      <c r="I5254" s="15"/>
    </row>
    <row r="5255">
      <c r="A5255" s="18">
        <v>45665.0</v>
      </c>
      <c r="B5255" s="16" t="s">
        <v>6069</v>
      </c>
      <c r="C5255" s="16" t="s">
        <v>942</v>
      </c>
      <c r="D5255" s="16" t="s">
        <v>707</v>
      </c>
      <c r="E5255" s="16">
        <v>2023.0</v>
      </c>
      <c r="F5255" s="16">
        <v>51.0902</v>
      </c>
      <c r="G5255" s="16">
        <v>8.736</v>
      </c>
      <c r="H5255" s="15"/>
      <c r="I5255" s="15"/>
    </row>
    <row r="5256">
      <c r="A5256" s="18">
        <v>45665.0</v>
      </c>
      <c r="B5256" s="16" t="s">
        <v>6070</v>
      </c>
      <c r="C5256" s="16" t="s">
        <v>982</v>
      </c>
      <c r="D5256" s="16" t="s">
        <v>707</v>
      </c>
      <c r="E5256" s="16">
        <v>2023.0</v>
      </c>
      <c r="F5256" s="16">
        <v>51.2901</v>
      </c>
      <c r="G5256" s="16">
        <v>8.865</v>
      </c>
      <c r="H5256" s="15"/>
      <c r="I5256" s="15"/>
    </row>
    <row r="5257">
      <c r="A5257" s="18">
        <v>45665.0</v>
      </c>
      <c r="B5257" s="16" t="s">
        <v>6071</v>
      </c>
      <c r="C5257" s="16" t="s">
        <v>1039</v>
      </c>
      <c r="D5257" s="16" t="s">
        <v>707</v>
      </c>
      <c r="E5257" s="16">
        <v>2023.0</v>
      </c>
      <c r="F5257" s="16">
        <v>52.6171</v>
      </c>
      <c r="G5257" s="16">
        <v>9.2121</v>
      </c>
      <c r="H5257" s="15"/>
      <c r="I5257" s="15"/>
    </row>
    <row r="5258">
      <c r="A5258" s="18">
        <v>45665.0</v>
      </c>
      <c r="B5258" s="16" t="s">
        <v>6072</v>
      </c>
      <c r="C5258" s="16" t="s">
        <v>946</v>
      </c>
      <c r="D5258" s="16" t="s">
        <v>707</v>
      </c>
      <c r="E5258" s="16">
        <v>2023.0</v>
      </c>
      <c r="F5258" s="16">
        <v>47.8838</v>
      </c>
      <c r="G5258" s="16">
        <v>10.6481</v>
      </c>
      <c r="H5258" s="15"/>
      <c r="I5258" s="15"/>
    </row>
    <row r="5259">
      <c r="A5259" s="18">
        <v>45665.0</v>
      </c>
      <c r="B5259" s="16" t="s">
        <v>6073</v>
      </c>
      <c r="C5259" s="16" t="s">
        <v>942</v>
      </c>
      <c r="D5259" s="16" t="s">
        <v>707</v>
      </c>
      <c r="E5259" s="16">
        <v>2023.0</v>
      </c>
      <c r="F5259" s="16">
        <v>49.2195</v>
      </c>
      <c r="G5259" s="16">
        <v>12.2939</v>
      </c>
      <c r="H5259" s="15"/>
      <c r="I5259" s="15"/>
    </row>
    <row r="5260">
      <c r="A5260" s="18">
        <v>45665.0</v>
      </c>
      <c r="B5260" s="16" t="s">
        <v>6074</v>
      </c>
      <c r="C5260" s="16" t="s">
        <v>2546</v>
      </c>
      <c r="D5260" s="16" t="s">
        <v>707</v>
      </c>
      <c r="E5260" s="16">
        <v>2023.0</v>
      </c>
      <c r="F5260" s="16">
        <v>50.9251</v>
      </c>
      <c r="G5260" s="16">
        <v>6.5169</v>
      </c>
      <c r="H5260" s="15"/>
      <c r="I5260" s="15"/>
    </row>
    <row r="5261">
      <c r="A5261" s="18">
        <v>45665.0</v>
      </c>
      <c r="B5261" s="16" t="s">
        <v>6075</v>
      </c>
      <c r="C5261" s="16" t="s">
        <v>1475</v>
      </c>
      <c r="D5261" s="16" t="s">
        <v>707</v>
      </c>
      <c r="E5261" s="16">
        <v>2023.0</v>
      </c>
      <c r="F5261" s="16">
        <v>48.2901</v>
      </c>
      <c r="G5261" s="16">
        <v>10.4797</v>
      </c>
      <c r="H5261" s="15"/>
      <c r="I5261" s="15"/>
    </row>
    <row r="5262">
      <c r="A5262" s="18">
        <v>45665.0</v>
      </c>
      <c r="B5262" s="16" t="s">
        <v>6076</v>
      </c>
      <c r="C5262" s="16" t="s">
        <v>1059</v>
      </c>
      <c r="D5262" s="16" t="s">
        <v>707</v>
      </c>
      <c r="E5262" s="16">
        <v>2023.0</v>
      </c>
      <c r="F5262" s="16">
        <v>48.6958</v>
      </c>
      <c r="G5262" s="16">
        <v>10.1653</v>
      </c>
      <c r="H5262" s="15"/>
      <c r="I5262" s="15"/>
    </row>
    <row r="5263">
      <c r="A5263" s="18">
        <v>45665.0</v>
      </c>
      <c r="B5263" s="16" t="s">
        <v>6077</v>
      </c>
      <c r="C5263" s="16" t="s">
        <v>942</v>
      </c>
      <c r="D5263" s="16" t="s">
        <v>707</v>
      </c>
      <c r="E5263" s="16">
        <v>2023.0</v>
      </c>
      <c r="F5263" s="16">
        <v>51.6975</v>
      </c>
      <c r="G5263" s="16">
        <v>7.3856</v>
      </c>
      <c r="H5263" s="15"/>
      <c r="I5263" s="15"/>
    </row>
    <row r="5264">
      <c r="A5264" s="18">
        <v>45665.0</v>
      </c>
      <c r="B5264" s="16" t="s">
        <v>6078</v>
      </c>
      <c r="C5264" s="16" t="s">
        <v>1051</v>
      </c>
      <c r="D5264" s="16" t="s">
        <v>707</v>
      </c>
      <c r="E5264" s="16">
        <v>2023.0</v>
      </c>
      <c r="F5264" s="16">
        <v>48.2845</v>
      </c>
      <c r="G5264" s="16">
        <v>12.6393</v>
      </c>
      <c r="H5264" s="15"/>
      <c r="I5264" s="15"/>
    </row>
    <row r="5265">
      <c r="A5265" s="18">
        <v>45665.0</v>
      </c>
      <c r="B5265" s="16" t="s">
        <v>6079</v>
      </c>
      <c r="C5265" s="16" t="s">
        <v>2331</v>
      </c>
      <c r="D5265" s="16" t="s">
        <v>707</v>
      </c>
      <c r="E5265" s="16">
        <v>2023.0</v>
      </c>
      <c r="F5265" s="16">
        <v>49.4243</v>
      </c>
      <c r="G5265" s="16">
        <v>11.8623</v>
      </c>
      <c r="H5265" s="15"/>
      <c r="I5265" s="15"/>
    </row>
    <row r="5266">
      <c r="A5266" s="18">
        <v>45665.0</v>
      </c>
      <c r="B5266" s="16" t="s">
        <v>6080</v>
      </c>
      <c r="C5266" s="16">
        <v>2.0</v>
      </c>
      <c r="D5266" s="16" t="s">
        <v>707</v>
      </c>
      <c r="E5266" s="16">
        <v>2023.0</v>
      </c>
      <c r="F5266" s="16">
        <v>48.9118</v>
      </c>
      <c r="G5266" s="16">
        <v>10.8979</v>
      </c>
      <c r="H5266" s="15"/>
      <c r="I5266" s="15"/>
    </row>
    <row r="5267">
      <c r="A5267" s="18">
        <v>45665.0</v>
      </c>
      <c r="B5267" s="16" t="s">
        <v>6081</v>
      </c>
      <c r="C5267" s="16" t="s">
        <v>1059</v>
      </c>
      <c r="D5267" s="16" t="s">
        <v>707</v>
      </c>
      <c r="E5267" s="16">
        <v>2023.0</v>
      </c>
      <c r="F5267" s="16">
        <v>54.341</v>
      </c>
      <c r="G5267" s="16">
        <v>9.0336</v>
      </c>
      <c r="H5267" s="15"/>
      <c r="I5267" s="15"/>
    </row>
    <row r="5268">
      <c r="A5268" s="18">
        <v>45665.0</v>
      </c>
      <c r="B5268" s="16" t="s">
        <v>6082</v>
      </c>
      <c r="C5268" s="16" t="s">
        <v>961</v>
      </c>
      <c r="D5268" s="16" t="s">
        <v>707</v>
      </c>
      <c r="E5268" s="16">
        <v>2023.0</v>
      </c>
      <c r="F5268" s="16">
        <v>54.341</v>
      </c>
      <c r="G5268" s="16">
        <v>9.0336</v>
      </c>
      <c r="H5268" s="15"/>
      <c r="I5268" s="15"/>
    </row>
    <row r="5269">
      <c r="A5269" s="18">
        <v>45665.0</v>
      </c>
      <c r="B5269" s="16" t="s">
        <v>6083</v>
      </c>
      <c r="C5269" s="16" t="s">
        <v>1055</v>
      </c>
      <c r="D5269" s="16" t="s">
        <v>707</v>
      </c>
      <c r="E5269" s="16">
        <v>2023.0</v>
      </c>
      <c r="F5269" s="16">
        <v>48.6552</v>
      </c>
      <c r="G5269" s="16">
        <v>12.564</v>
      </c>
      <c r="H5269" s="15"/>
      <c r="I5269" s="15"/>
    </row>
    <row r="5270">
      <c r="A5270" s="18">
        <v>45665.0</v>
      </c>
      <c r="B5270" s="16" t="s">
        <v>6084</v>
      </c>
      <c r="C5270" s="16" t="s">
        <v>961</v>
      </c>
      <c r="D5270" s="16" t="s">
        <v>707</v>
      </c>
      <c r="E5270" s="16">
        <v>2023.0</v>
      </c>
      <c r="F5270" s="16">
        <v>47.9954</v>
      </c>
      <c r="G5270" s="16">
        <v>10.1457</v>
      </c>
      <c r="H5270" s="15"/>
      <c r="I5270" s="15"/>
    </row>
    <row r="5271">
      <c r="A5271" s="18">
        <v>45665.0</v>
      </c>
      <c r="B5271" s="16" t="s">
        <v>6085</v>
      </c>
      <c r="C5271" s="16">
        <v>1.0</v>
      </c>
      <c r="D5271" s="16" t="s">
        <v>707</v>
      </c>
      <c r="E5271" s="16">
        <v>2023.0</v>
      </c>
      <c r="F5271" s="16">
        <v>53.1414</v>
      </c>
      <c r="G5271" s="16">
        <v>11.0316</v>
      </c>
      <c r="H5271" s="15"/>
      <c r="I5271" s="15"/>
    </row>
    <row r="5272">
      <c r="A5272" s="18">
        <v>45665.0</v>
      </c>
      <c r="B5272" s="16" t="s">
        <v>6086</v>
      </c>
      <c r="C5272" s="16" t="s">
        <v>1101</v>
      </c>
      <c r="D5272" s="16" t="s">
        <v>707</v>
      </c>
      <c r="E5272" s="16">
        <v>2023.0</v>
      </c>
      <c r="F5272" s="16">
        <v>48.8097</v>
      </c>
      <c r="G5272" s="16">
        <v>13.2922</v>
      </c>
      <c r="H5272" s="15"/>
      <c r="I5272" s="15"/>
    </row>
    <row r="5273">
      <c r="A5273" s="18">
        <v>45665.0</v>
      </c>
      <c r="B5273" s="16" t="s">
        <v>6087</v>
      </c>
      <c r="C5273" s="16" t="s">
        <v>1039</v>
      </c>
      <c r="D5273" s="16" t="s">
        <v>707</v>
      </c>
      <c r="E5273" s="16">
        <v>2023.0</v>
      </c>
      <c r="F5273" s="16">
        <v>48.9948</v>
      </c>
      <c r="G5273" s="16">
        <v>13.0555</v>
      </c>
      <c r="H5273" s="15"/>
      <c r="I5273" s="15"/>
    </row>
    <row r="5274">
      <c r="A5274" s="18">
        <v>45665.0</v>
      </c>
      <c r="B5274" s="16" t="s">
        <v>6088</v>
      </c>
      <c r="C5274" s="16" t="s">
        <v>1147</v>
      </c>
      <c r="D5274" s="16" t="s">
        <v>707</v>
      </c>
      <c r="E5274" s="16">
        <v>2023.0</v>
      </c>
      <c r="F5274" s="16">
        <v>49.4759</v>
      </c>
      <c r="G5274" s="16">
        <v>9.9581</v>
      </c>
      <c r="H5274" s="15"/>
      <c r="I5274" s="15"/>
    </row>
    <row r="5275">
      <c r="A5275" s="18">
        <v>45665.0</v>
      </c>
      <c r="B5275" s="16" t="s">
        <v>6089</v>
      </c>
      <c r="C5275" s="16" t="s">
        <v>2099</v>
      </c>
      <c r="D5275" s="16" t="s">
        <v>707</v>
      </c>
      <c r="E5275" s="16">
        <v>2023.0</v>
      </c>
      <c r="F5275" s="16">
        <v>48.5868</v>
      </c>
      <c r="G5275" s="16">
        <v>12.547</v>
      </c>
      <c r="H5275" s="15"/>
      <c r="I5275" s="15"/>
    </row>
    <row r="5276">
      <c r="A5276" s="18">
        <v>45665.0</v>
      </c>
      <c r="B5276" s="16" t="s">
        <v>6090</v>
      </c>
      <c r="C5276" s="16" t="s">
        <v>1037</v>
      </c>
      <c r="D5276" s="16" t="s">
        <v>707</v>
      </c>
      <c r="E5276" s="16">
        <v>2023.0</v>
      </c>
      <c r="F5276" s="16">
        <v>49.3255</v>
      </c>
      <c r="G5276" s="16">
        <v>6.8155</v>
      </c>
      <c r="H5276" s="15"/>
      <c r="I5276" s="15"/>
    </row>
    <row r="5277">
      <c r="A5277" s="18">
        <v>45665.0</v>
      </c>
      <c r="B5277" s="16" t="s">
        <v>6091</v>
      </c>
      <c r="C5277" s="16" t="s">
        <v>1051</v>
      </c>
      <c r="D5277" s="16" t="s">
        <v>707</v>
      </c>
      <c r="E5277" s="16">
        <v>2023.0</v>
      </c>
      <c r="F5277" s="16">
        <v>48.8821</v>
      </c>
      <c r="G5277" s="16">
        <v>9.0832</v>
      </c>
      <c r="H5277" s="15"/>
      <c r="I5277" s="15"/>
    </row>
    <row r="5278">
      <c r="A5278" s="18">
        <v>45665.0</v>
      </c>
      <c r="B5278" s="16" t="s">
        <v>6092</v>
      </c>
      <c r="C5278" s="16" t="s">
        <v>1055</v>
      </c>
      <c r="D5278" s="16" t="s">
        <v>707</v>
      </c>
      <c r="E5278" s="16">
        <v>2023.0</v>
      </c>
      <c r="F5278" s="16">
        <v>49.8624</v>
      </c>
      <c r="G5278" s="16">
        <v>11.8339</v>
      </c>
      <c r="H5278" s="15"/>
      <c r="I5278" s="15"/>
    </row>
    <row r="5279">
      <c r="A5279" s="18">
        <v>45665.0</v>
      </c>
      <c r="B5279" s="16" t="s">
        <v>6092</v>
      </c>
      <c r="C5279" s="16" t="s">
        <v>6093</v>
      </c>
      <c r="D5279" s="16" t="s">
        <v>707</v>
      </c>
      <c r="E5279" s="16">
        <v>2023.0</v>
      </c>
      <c r="F5279" s="16">
        <v>49.8624</v>
      </c>
      <c r="G5279" s="16">
        <v>11.8339</v>
      </c>
      <c r="H5279" s="15"/>
      <c r="I5279" s="15"/>
    </row>
    <row r="5280">
      <c r="A5280" s="18">
        <v>45665.0</v>
      </c>
      <c r="B5280" s="16" t="s">
        <v>6094</v>
      </c>
      <c r="C5280" s="16" t="s">
        <v>1096</v>
      </c>
      <c r="D5280" s="16" t="s">
        <v>707</v>
      </c>
      <c r="E5280" s="16">
        <v>2023.0</v>
      </c>
      <c r="F5280" s="16">
        <v>48.4937</v>
      </c>
      <c r="G5280" s="16">
        <v>12.7847</v>
      </c>
      <c r="H5280" s="15"/>
      <c r="I5280" s="15"/>
    </row>
    <row r="5281">
      <c r="A5281" s="18">
        <v>45665.0</v>
      </c>
      <c r="B5281" s="16" t="s">
        <v>6095</v>
      </c>
      <c r="C5281" s="16" t="s">
        <v>1039</v>
      </c>
      <c r="D5281" s="16" t="s">
        <v>707</v>
      </c>
      <c r="E5281" s="16">
        <v>2023.0</v>
      </c>
      <c r="F5281" s="16">
        <v>52.1367</v>
      </c>
      <c r="G5281" s="16">
        <v>10.3072</v>
      </c>
      <c r="H5281" s="15"/>
      <c r="I5281" s="15"/>
    </row>
    <row r="5282">
      <c r="A5282" s="18">
        <v>45665.0</v>
      </c>
      <c r="B5282" s="16" t="s">
        <v>6096</v>
      </c>
      <c r="C5282" s="16" t="s">
        <v>959</v>
      </c>
      <c r="D5282" s="16" t="s">
        <v>707</v>
      </c>
      <c r="E5282" s="16">
        <v>2023.0</v>
      </c>
      <c r="F5282" s="16">
        <v>49.8228</v>
      </c>
      <c r="G5282" s="16">
        <v>12.1337</v>
      </c>
      <c r="H5282" s="15"/>
      <c r="I5282" s="15"/>
    </row>
    <row r="5283">
      <c r="A5283" s="18">
        <v>45665.0</v>
      </c>
      <c r="B5283" s="16" t="s">
        <v>6097</v>
      </c>
      <c r="C5283" s="16" t="s">
        <v>942</v>
      </c>
      <c r="D5283" s="16" t="s">
        <v>707</v>
      </c>
      <c r="E5283" s="16">
        <v>2023.0</v>
      </c>
      <c r="F5283" s="16">
        <v>49.1213</v>
      </c>
      <c r="G5283" s="16">
        <v>9.9321</v>
      </c>
      <c r="H5283" s="15"/>
      <c r="I5283" s="15"/>
    </row>
    <row r="5284">
      <c r="A5284" s="18">
        <v>45665.0</v>
      </c>
      <c r="B5284" s="16" t="s">
        <v>6098</v>
      </c>
      <c r="C5284" s="16" t="s">
        <v>990</v>
      </c>
      <c r="D5284" s="16" t="s">
        <v>707</v>
      </c>
      <c r="E5284" s="16">
        <v>2023.0</v>
      </c>
      <c r="F5284" s="16">
        <v>49.1212</v>
      </c>
      <c r="G5284" s="16">
        <v>9.932</v>
      </c>
      <c r="H5284" s="15"/>
      <c r="I5284" s="15"/>
    </row>
    <row r="5285">
      <c r="A5285" s="18">
        <v>45665.0</v>
      </c>
      <c r="B5285" s="16" t="s">
        <v>6099</v>
      </c>
      <c r="C5285" s="16">
        <v>2.0</v>
      </c>
      <c r="D5285" s="16" t="s">
        <v>707</v>
      </c>
      <c r="E5285" s="16">
        <v>2023.0</v>
      </c>
      <c r="F5285" s="16">
        <v>52.5256</v>
      </c>
      <c r="G5285" s="16">
        <v>12.762</v>
      </c>
      <c r="H5285" s="15"/>
      <c r="I5285" s="15"/>
    </row>
    <row r="5286">
      <c r="A5286" s="18">
        <v>45665.0</v>
      </c>
      <c r="B5286" s="16" t="s">
        <v>6100</v>
      </c>
      <c r="C5286" s="16">
        <v>6.0</v>
      </c>
      <c r="D5286" s="16" t="s">
        <v>707</v>
      </c>
      <c r="E5286" s="16">
        <v>2023.0</v>
      </c>
      <c r="F5286" s="16">
        <v>49.217</v>
      </c>
      <c r="G5286" s="16">
        <v>7.4516</v>
      </c>
      <c r="H5286" s="15"/>
      <c r="I5286" s="15"/>
    </row>
    <row r="5287">
      <c r="A5287" s="18">
        <v>45665.0</v>
      </c>
      <c r="B5287" s="16" t="s">
        <v>6101</v>
      </c>
      <c r="C5287" s="16" t="s">
        <v>946</v>
      </c>
      <c r="D5287" s="16" t="s">
        <v>707</v>
      </c>
      <c r="E5287" s="16">
        <v>2023.0</v>
      </c>
      <c r="F5287" s="16">
        <v>48.7023</v>
      </c>
      <c r="G5287" s="16">
        <v>9.4167</v>
      </c>
      <c r="H5287" s="15"/>
      <c r="I5287" s="15"/>
    </row>
    <row r="5288">
      <c r="A5288" s="18">
        <v>45665.0</v>
      </c>
      <c r="B5288" s="16" t="s">
        <v>6102</v>
      </c>
      <c r="C5288" s="16" t="s">
        <v>1090</v>
      </c>
      <c r="D5288" s="16" t="s">
        <v>707</v>
      </c>
      <c r="E5288" s="16">
        <v>2023.0</v>
      </c>
      <c r="F5288" s="16">
        <v>52.1157</v>
      </c>
      <c r="G5288" s="16">
        <v>8.087</v>
      </c>
      <c r="H5288" s="15"/>
      <c r="I5288" s="15"/>
    </row>
    <row r="5289">
      <c r="A5289" s="18">
        <v>45665.0</v>
      </c>
      <c r="B5289" s="16" t="s">
        <v>6103</v>
      </c>
      <c r="C5289" s="16" t="s">
        <v>1386</v>
      </c>
      <c r="D5289" s="16" t="s">
        <v>707</v>
      </c>
      <c r="E5289" s="16">
        <v>2023.0</v>
      </c>
      <c r="F5289" s="16">
        <v>52.1157</v>
      </c>
      <c r="G5289" s="16">
        <v>8.087</v>
      </c>
      <c r="H5289" s="15"/>
      <c r="I5289" s="15"/>
    </row>
    <row r="5290">
      <c r="A5290" s="18">
        <v>45665.0</v>
      </c>
      <c r="B5290" s="16" t="s">
        <v>6104</v>
      </c>
      <c r="C5290" s="16">
        <v>5.0</v>
      </c>
      <c r="D5290" s="16" t="s">
        <v>707</v>
      </c>
      <c r="E5290" s="16">
        <v>2023.0</v>
      </c>
      <c r="F5290" s="16">
        <v>49.2117</v>
      </c>
      <c r="G5290" s="16">
        <v>11.5872</v>
      </c>
      <c r="H5290" s="15"/>
      <c r="I5290" s="15"/>
    </row>
    <row r="5291">
      <c r="A5291" s="18">
        <v>45665.0</v>
      </c>
      <c r="B5291" s="16" t="s">
        <v>6105</v>
      </c>
      <c r="C5291" s="16" t="s">
        <v>946</v>
      </c>
      <c r="D5291" s="16" t="s">
        <v>707</v>
      </c>
      <c r="E5291" s="16">
        <v>2023.0</v>
      </c>
      <c r="F5291" s="16">
        <v>47.7933</v>
      </c>
      <c r="G5291" s="16">
        <v>9.8438</v>
      </c>
      <c r="H5291" s="15"/>
      <c r="I5291" s="15"/>
    </row>
    <row r="5292">
      <c r="A5292" s="18">
        <v>45665.0</v>
      </c>
      <c r="B5292" s="16" t="s">
        <v>6106</v>
      </c>
      <c r="C5292" s="16" t="s">
        <v>1039</v>
      </c>
      <c r="D5292" s="16" t="s">
        <v>707</v>
      </c>
      <c r="E5292" s="16">
        <v>2023.0</v>
      </c>
      <c r="F5292" s="16">
        <v>47.8655</v>
      </c>
      <c r="G5292" s="16">
        <v>8.7259</v>
      </c>
      <c r="H5292" s="15"/>
      <c r="I5292" s="15"/>
    </row>
    <row r="5293">
      <c r="A5293" s="18">
        <v>45665.0</v>
      </c>
      <c r="B5293" s="16" t="s">
        <v>6107</v>
      </c>
      <c r="C5293" s="16" t="s">
        <v>1090</v>
      </c>
      <c r="D5293" s="16" t="s">
        <v>707</v>
      </c>
      <c r="E5293" s="16">
        <v>2023.0</v>
      </c>
      <c r="F5293" s="16">
        <v>52.8353</v>
      </c>
      <c r="G5293" s="16">
        <v>8.3927</v>
      </c>
      <c r="H5293" s="15"/>
      <c r="I5293" s="15"/>
    </row>
    <row r="5294">
      <c r="A5294" s="18">
        <v>45665.0</v>
      </c>
      <c r="B5294" s="16" t="s">
        <v>6108</v>
      </c>
      <c r="C5294" s="16" t="s">
        <v>946</v>
      </c>
      <c r="D5294" s="16" t="s">
        <v>707</v>
      </c>
      <c r="E5294" s="16">
        <v>2023.0</v>
      </c>
      <c r="F5294" s="16">
        <v>48.9592</v>
      </c>
      <c r="G5294" s="16">
        <v>10.1799</v>
      </c>
      <c r="H5294" s="15"/>
      <c r="I5294" s="15"/>
    </row>
    <row r="5295">
      <c r="A5295" s="18">
        <v>45665.0</v>
      </c>
      <c r="B5295" s="16" t="s">
        <v>6109</v>
      </c>
      <c r="C5295" s="16">
        <v>2.0</v>
      </c>
      <c r="D5295" s="16" t="s">
        <v>707</v>
      </c>
      <c r="E5295" s="16">
        <v>2023.0</v>
      </c>
      <c r="F5295" s="16">
        <v>52.1873</v>
      </c>
      <c r="G5295" s="16">
        <v>11.5993</v>
      </c>
      <c r="H5295" s="15"/>
      <c r="I5295" s="15"/>
    </row>
    <row r="5296">
      <c r="A5296" s="18">
        <v>45665.0</v>
      </c>
      <c r="B5296" s="16" t="s">
        <v>6110</v>
      </c>
      <c r="C5296" s="16">
        <v>2.0</v>
      </c>
      <c r="D5296" s="16" t="s">
        <v>707</v>
      </c>
      <c r="E5296" s="16">
        <v>2023.0</v>
      </c>
      <c r="F5296" s="16">
        <v>51.8485</v>
      </c>
      <c r="G5296" s="16">
        <v>6.2776</v>
      </c>
      <c r="H5296" s="15"/>
      <c r="I5296" s="15"/>
    </row>
    <row r="5297">
      <c r="A5297" s="18">
        <v>45665.0</v>
      </c>
      <c r="B5297" s="16" t="s">
        <v>6111</v>
      </c>
      <c r="C5297" s="16">
        <v>2.0</v>
      </c>
      <c r="D5297" s="16" t="s">
        <v>707</v>
      </c>
      <c r="E5297" s="16">
        <v>2023.0</v>
      </c>
      <c r="F5297" s="16">
        <v>48.0767</v>
      </c>
      <c r="G5297" s="16">
        <v>10.1291</v>
      </c>
      <c r="H5297" s="15"/>
      <c r="I5297" s="15"/>
    </row>
    <row r="5298">
      <c r="A5298" s="18">
        <v>45665.0</v>
      </c>
      <c r="B5298" s="16" t="s">
        <v>6112</v>
      </c>
      <c r="C5298" s="16" t="s">
        <v>959</v>
      </c>
      <c r="D5298" s="16" t="s">
        <v>707</v>
      </c>
      <c r="E5298" s="16">
        <v>2023.0</v>
      </c>
      <c r="F5298" s="16">
        <v>52.6933</v>
      </c>
      <c r="G5298" s="16">
        <v>7.6044</v>
      </c>
      <c r="H5298" s="15"/>
      <c r="I5298" s="15"/>
    </row>
    <row r="5299">
      <c r="A5299" s="18">
        <v>45665.0</v>
      </c>
      <c r="B5299" s="16" t="s">
        <v>6113</v>
      </c>
      <c r="C5299" s="16" t="s">
        <v>1609</v>
      </c>
      <c r="D5299" s="16" t="s">
        <v>707</v>
      </c>
      <c r="E5299" s="16">
        <v>2023.0</v>
      </c>
      <c r="F5299" s="16">
        <v>49.5577</v>
      </c>
      <c r="G5299" s="16">
        <v>7.143</v>
      </c>
      <c r="H5299" s="15"/>
      <c r="I5299" s="15"/>
    </row>
    <row r="5300">
      <c r="A5300" s="18">
        <v>45665.0</v>
      </c>
      <c r="B5300" s="16" t="s">
        <v>6114</v>
      </c>
      <c r="C5300" s="16" t="s">
        <v>1690</v>
      </c>
      <c r="D5300" s="16" t="s">
        <v>707</v>
      </c>
      <c r="E5300" s="16">
        <v>2023.0</v>
      </c>
      <c r="F5300" s="16">
        <v>49.4866</v>
      </c>
      <c r="G5300" s="16">
        <v>6.8502</v>
      </c>
      <c r="H5300" s="15"/>
      <c r="I5300" s="15"/>
    </row>
    <row r="5301">
      <c r="A5301" s="18">
        <v>45665.0</v>
      </c>
      <c r="B5301" s="16" t="s">
        <v>6115</v>
      </c>
      <c r="C5301" s="16" t="s">
        <v>6116</v>
      </c>
      <c r="D5301" s="16" t="s">
        <v>707</v>
      </c>
      <c r="E5301" s="16">
        <v>2023.0</v>
      </c>
      <c r="F5301" s="16">
        <v>49.8734</v>
      </c>
      <c r="G5301" s="16">
        <v>6.398</v>
      </c>
      <c r="H5301" s="15"/>
      <c r="I5301" s="15"/>
    </row>
    <row r="5302">
      <c r="A5302" s="18">
        <v>45665.0</v>
      </c>
      <c r="B5302" s="16" t="s">
        <v>6117</v>
      </c>
      <c r="C5302" s="16">
        <v>9.0</v>
      </c>
      <c r="D5302" s="16" t="s">
        <v>707</v>
      </c>
      <c r="E5302" s="16">
        <v>2023.0</v>
      </c>
      <c r="F5302" s="16">
        <v>49.0288</v>
      </c>
      <c r="G5302" s="16">
        <v>11.0775</v>
      </c>
      <c r="H5302" s="15"/>
      <c r="I5302" s="15"/>
    </row>
    <row r="5303">
      <c r="A5303" s="18">
        <v>45665.0</v>
      </c>
      <c r="B5303" s="16" t="s">
        <v>6118</v>
      </c>
      <c r="C5303" s="16" t="s">
        <v>1393</v>
      </c>
      <c r="D5303" s="16" t="s">
        <v>707</v>
      </c>
      <c r="E5303" s="16">
        <v>2023.0</v>
      </c>
      <c r="F5303" s="16">
        <v>49.0551</v>
      </c>
      <c r="G5303" s="16">
        <v>12.9274</v>
      </c>
      <c r="H5303" s="15"/>
      <c r="I5303" s="15"/>
    </row>
    <row r="5304">
      <c r="A5304" s="18">
        <v>45665.0</v>
      </c>
      <c r="B5304" s="16" t="s">
        <v>6119</v>
      </c>
      <c r="C5304" s="16" t="s">
        <v>1055</v>
      </c>
      <c r="D5304" s="16" t="s">
        <v>707</v>
      </c>
      <c r="E5304" s="16">
        <v>2023.0</v>
      </c>
      <c r="F5304" s="16">
        <v>53.7923</v>
      </c>
      <c r="G5304" s="16">
        <v>10.7523</v>
      </c>
      <c r="H5304" s="15"/>
      <c r="I5304" s="15"/>
    </row>
    <row r="5305">
      <c r="A5305" s="18">
        <v>45665.0</v>
      </c>
      <c r="B5305" s="16" t="s">
        <v>6120</v>
      </c>
      <c r="C5305" s="16" t="s">
        <v>946</v>
      </c>
      <c r="D5305" s="16" t="s">
        <v>707</v>
      </c>
      <c r="E5305" s="16">
        <v>2023.0</v>
      </c>
      <c r="F5305" s="16">
        <v>51.3122</v>
      </c>
      <c r="G5305" s="16">
        <v>13.261</v>
      </c>
      <c r="H5305" s="15"/>
      <c r="I5305" s="15"/>
    </row>
    <row r="5306">
      <c r="A5306" s="18">
        <v>45665.0</v>
      </c>
      <c r="B5306" s="16" t="s">
        <v>6121</v>
      </c>
      <c r="C5306" s="16" t="s">
        <v>942</v>
      </c>
      <c r="D5306" s="16" t="s">
        <v>707</v>
      </c>
      <c r="E5306" s="16">
        <v>2023.0</v>
      </c>
      <c r="F5306" s="16">
        <v>47.6867</v>
      </c>
      <c r="G5306" s="16">
        <v>9.392</v>
      </c>
      <c r="H5306" s="15"/>
      <c r="I5306" s="15"/>
    </row>
    <row r="5307">
      <c r="A5307" s="18">
        <v>45665.0</v>
      </c>
      <c r="B5307" s="16" t="s">
        <v>6122</v>
      </c>
      <c r="C5307" s="16">
        <v>1.0</v>
      </c>
      <c r="D5307" s="16" t="s">
        <v>707</v>
      </c>
      <c r="E5307" s="16">
        <v>2023.0</v>
      </c>
      <c r="F5307" s="16">
        <v>52.3903</v>
      </c>
      <c r="G5307" s="16">
        <v>13.7928</v>
      </c>
      <c r="H5307" s="15"/>
      <c r="I5307" s="15"/>
    </row>
    <row r="5308">
      <c r="A5308" s="18">
        <v>45665.0</v>
      </c>
      <c r="B5308" s="16" t="s">
        <v>6123</v>
      </c>
      <c r="C5308" s="16" t="s">
        <v>1039</v>
      </c>
      <c r="D5308" s="16" t="s">
        <v>707</v>
      </c>
      <c r="E5308" s="16">
        <v>2023.0</v>
      </c>
      <c r="F5308" s="16">
        <v>50.1089</v>
      </c>
      <c r="G5308" s="16">
        <v>11.8871</v>
      </c>
      <c r="H5308" s="15"/>
      <c r="I5308" s="15"/>
    </row>
    <row r="5309">
      <c r="A5309" s="18">
        <v>45665.0</v>
      </c>
      <c r="B5309" s="16" t="s">
        <v>6124</v>
      </c>
      <c r="C5309" s="16" t="s">
        <v>6125</v>
      </c>
      <c r="D5309" s="16" t="s">
        <v>707</v>
      </c>
      <c r="E5309" s="16">
        <v>2023.0</v>
      </c>
      <c r="F5309" s="16">
        <v>48.3296</v>
      </c>
      <c r="G5309" s="16">
        <v>9.6661</v>
      </c>
      <c r="H5309" s="15"/>
      <c r="I5309" s="15"/>
    </row>
    <row r="5310">
      <c r="A5310" s="18">
        <v>45665.0</v>
      </c>
      <c r="B5310" s="16" t="s">
        <v>6126</v>
      </c>
      <c r="C5310" s="16" t="s">
        <v>1384</v>
      </c>
      <c r="D5310" s="16" t="s">
        <v>707</v>
      </c>
      <c r="E5310" s="16">
        <v>2023.0</v>
      </c>
      <c r="F5310" s="16">
        <v>53.1806</v>
      </c>
      <c r="G5310" s="16">
        <v>8.1552</v>
      </c>
      <c r="H5310" s="15"/>
      <c r="I5310" s="15"/>
    </row>
    <row r="5311">
      <c r="A5311" s="18">
        <v>45665.0</v>
      </c>
      <c r="B5311" s="16" t="s">
        <v>6127</v>
      </c>
      <c r="C5311" s="16" t="s">
        <v>1004</v>
      </c>
      <c r="D5311" s="16" t="s">
        <v>707</v>
      </c>
      <c r="E5311" s="16">
        <v>2023.0</v>
      </c>
      <c r="F5311" s="16">
        <v>48.5694</v>
      </c>
      <c r="G5311" s="16">
        <v>9.8738</v>
      </c>
      <c r="H5311" s="15"/>
      <c r="I5311" s="15"/>
    </row>
    <row r="5312">
      <c r="A5312" s="18">
        <v>45665.0</v>
      </c>
      <c r="B5312" s="16" t="s">
        <v>6128</v>
      </c>
      <c r="C5312" s="16">
        <v>5.0</v>
      </c>
      <c r="D5312" s="16" t="s">
        <v>707</v>
      </c>
      <c r="E5312" s="16">
        <v>2023.0</v>
      </c>
      <c r="F5312" s="16">
        <v>50.0172</v>
      </c>
      <c r="G5312" s="16">
        <v>6.5855</v>
      </c>
      <c r="H5312" s="15"/>
      <c r="I5312" s="15"/>
    </row>
    <row r="5313">
      <c r="A5313" s="18">
        <v>45665.0</v>
      </c>
      <c r="B5313" s="16" t="s">
        <v>6128</v>
      </c>
      <c r="C5313" s="16" t="s">
        <v>1099</v>
      </c>
      <c r="D5313" s="16" t="s">
        <v>707</v>
      </c>
      <c r="E5313" s="16">
        <v>2023.0</v>
      </c>
      <c r="F5313" s="16">
        <v>50.0162</v>
      </c>
      <c r="G5313" s="16">
        <v>6.5965</v>
      </c>
      <c r="H5313" s="15"/>
      <c r="I5313" s="15"/>
    </row>
    <row r="5314">
      <c r="A5314" s="18">
        <v>45665.0</v>
      </c>
      <c r="B5314" s="16" t="s">
        <v>6128</v>
      </c>
      <c r="C5314" s="16">
        <v>2.0</v>
      </c>
      <c r="D5314" s="16" t="s">
        <v>707</v>
      </c>
      <c r="E5314" s="16">
        <v>2023.0</v>
      </c>
      <c r="F5314" s="16">
        <v>50.0165</v>
      </c>
      <c r="G5314" s="16">
        <v>6.6072</v>
      </c>
      <c r="H5314" s="15"/>
      <c r="I5314" s="15"/>
    </row>
    <row r="5315">
      <c r="A5315" s="18">
        <v>45665.0</v>
      </c>
      <c r="B5315" s="16" t="s">
        <v>6128</v>
      </c>
      <c r="C5315" s="16" t="s">
        <v>969</v>
      </c>
      <c r="D5315" s="16" t="s">
        <v>707</v>
      </c>
      <c r="E5315" s="16">
        <v>2023.0</v>
      </c>
      <c r="F5315" s="16">
        <v>50.017</v>
      </c>
      <c r="G5315" s="16">
        <v>6.6093</v>
      </c>
      <c r="H5315" s="15"/>
      <c r="I5315" s="15"/>
    </row>
    <row r="5316">
      <c r="A5316" s="18">
        <v>45665.0</v>
      </c>
      <c r="B5316" s="16" t="s">
        <v>6128</v>
      </c>
      <c r="C5316" s="16" t="s">
        <v>984</v>
      </c>
      <c r="D5316" s="16" t="s">
        <v>707</v>
      </c>
      <c r="E5316" s="16">
        <v>2023.0</v>
      </c>
      <c r="F5316" s="16">
        <v>50.0188</v>
      </c>
      <c r="G5316" s="16">
        <v>6.6139</v>
      </c>
      <c r="H5316" s="15"/>
      <c r="I5316" s="15"/>
    </row>
    <row r="5317">
      <c r="A5317" s="18">
        <v>45665.0</v>
      </c>
      <c r="B5317" s="16" t="s">
        <v>6129</v>
      </c>
      <c r="C5317" s="16" t="s">
        <v>1004</v>
      </c>
      <c r="D5317" s="16" t="s">
        <v>707</v>
      </c>
      <c r="E5317" s="16">
        <v>2023.0</v>
      </c>
      <c r="F5317" s="16">
        <v>51.7103</v>
      </c>
      <c r="G5317" s="16">
        <v>11.7095</v>
      </c>
      <c r="H5317" s="15"/>
      <c r="I5317" s="15"/>
    </row>
    <row r="5318">
      <c r="A5318" s="18">
        <v>45665.0</v>
      </c>
      <c r="B5318" s="16" t="s">
        <v>6130</v>
      </c>
      <c r="C5318" s="16">
        <v>1.0</v>
      </c>
      <c r="D5318" s="16" t="s">
        <v>707</v>
      </c>
      <c r="E5318" s="16">
        <v>2023.0</v>
      </c>
      <c r="F5318" s="16">
        <v>53.3765</v>
      </c>
      <c r="G5318" s="16">
        <v>10.7131</v>
      </c>
      <c r="H5318" s="15"/>
      <c r="I5318" s="15"/>
    </row>
    <row r="5319">
      <c r="A5319" s="18">
        <v>45665.0</v>
      </c>
      <c r="B5319" s="16" t="s">
        <v>6131</v>
      </c>
      <c r="C5319" s="16" t="s">
        <v>946</v>
      </c>
      <c r="D5319" s="16" t="s">
        <v>707</v>
      </c>
      <c r="E5319" s="16">
        <v>2023.0</v>
      </c>
      <c r="F5319" s="16">
        <v>49.2641</v>
      </c>
      <c r="G5319" s="16">
        <v>10.6862</v>
      </c>
      <c r="H5319" s="15"/>
      <c r="I5319" s="15"/>
    </row>
    <row r="5320">
      <c r="A5320" s="18">
        <v>45665.0</v>
      </c>
      <c r="B5320" s="16" t="s">
        <v>6132</v>
      </c>
      <c r="C5320" s="16" t="s">
        <v>1101</v>
      </c>
      <c r="D5320" s="16" t="s">
        <v>707</v>
      </c>
      <c r="E5320" s="16">
        <v>2023.0</v>
      </c>
      <c r="F5320" s="16">
        <v>49.2603</v>
      </c>
      <c r="G5320" s="16">
        <v>10.6795</v>
      </c>
      <c r="H5320" s="15"/>
      <c r="I5320" s="15"/>
    </row>
    <row r="5321">
      <c r="A5321" s="18">
        <v>45665.0</v>
      </c>
      <c r="B5321" s="16" t="s">
        <v>6133</v>
      </c>
      <c r="C5321" s="16">
        <v>2.0</v>
      </c>
      <c r="D5321" s="16" t="s">
        <v>707</v>
      </c>
      <c r="E5321" s="16">
        <v>2023.0</v>
      </c>
      <c r="F5321" s="16">
        <v>54.0699</v>
      </c>
      <c r="G5321" s="16">
        <v>11.8236</v>
      </c>
      <c r="H5321" s="15"/>
      <c r="I5321" s="15"/>
    </row>
    <row r="5322">
      <c r="A5322" s="18">
        <v>45665.0</v>
      </c>
      <c r="B5322" s="16" t="s">
        <v>6134</v>
      </c>
      <c r="C5322" s="16" t="s">
        <v>942</v>
      </c>
      <c r="D5322" s="16" t="s">
        <v>707</v>
      </c>
      <c r="E5322" s="16">
        <v>2023.0</v>
      </c>
      <c r="F5322" s="16">
        <v>52.1743</v>
      </c>
      <c r="G5322" s="16">
        <v>12.7705</v>
      </c>
      <c r="H5322" s="15"/>
      <c r="I5322" s="15"/>
    </row>
    <row r="5323">
      <c r="A5323" s="18">
        <v>45665.0</v>
      </c>
      <c r="B5323" s="16" t="s">
        <v>6135</v>
      </c>
      <c r="C5323" s="16" t="s">
        <v>1167</v>
      </c>
      <c r="D5323" s="16" t="s">
        <v>707</v>
      </c>
      <c r="E5323" s="16">
        <v>2023.0</v>
      </c>
      <c r="F5323" s="16">
        <v>51.9159</v>
      </c>
      <c r="G5323" s="16">
        <v>11.7124</v>
      </c>
      <c r="H5323" s="15"/>
      <c r="I5323" s="15"/>
    </row>
    <row r="5324">
      <c r="A5324" s="18">
        <v>45665.0</v>
      </c>
      <c r="B5324" s="16" t="s">
        <v>6136</v>
      </c>
      <c r="C5324" s="16" t="s">
        <v>1055</v>
      </c>
      <c r="D5324" s="16" t="s">
        <v>707</v>
      </c>
      <c r="E5324" s="16">
        <v>2023.0</v>
      </c>
      <c r="F5324" s="16">
        <v>52.539</v>
      </c>
      <c r="G5324" s="16">
        <v>11.831</v>
      </c>
      <c r="H5324" s="15"/>
      <c r="I5324" s="15"/>
    </row>
    <row r="5325">
      <c r="A5325" s="18">
        <v>45665.0</v>
      </c>
      <c r="B5325" s="16" t="s">
        <v>6137</v>
      </c>
      <c r="C5325" s="16" t="s">
        <v>1101</v>
      </c>
      <c r="D5325" s="16" t="s">
        <v>707</v>
      </c>
      <c r="E5325" s="16">
        <v>2023.0</v>
      </c>
      <c r="F5325" s="16">
        <v>52.5439</v>
      </c>
      <c r="G5325" s="16">
        <v>13.0765</v>
      </c>
      <c r="H5325" s="15"/>
      <c r="I5325" s="15"/>
    </row>
    <row r="5326">
      <c r="A5326" s="18">
        <v>45665.0</v>
      </c>
      <c r="B5326" s="16" t="s">
        <v>6138</v>
      </c>
      <c r="C5326" s="16" t="s">
        <v>969</v>
      </c>
      <c r="D5326" s="16" t="s">
        <v>707</v>
      </c>
      <c r="E5326" s="16">
        <v>2023.0</v>
      </c>
      <c r="F5326" s="16">
        <v>51.9917</v>
      </c>
      <c r="G5326" s="16">
        <v>12.8808</v>
      </c>
      <c r="H5326" s="15"/>
      <c r="I5326" s="15"/>
    </row>
    <row r="5327">
      <c r="A5327" s="18">
        <v>45665.0</v>
      </c>
      <c r="B5327" s="16" t="s">
        <v>6139</v>
      </c>
      <c r="C5327" s="16" t="s">
        <v>961</v>
      </c>
      <c r="D5327" s="16" t="s">
        <v>707</v>
      </c>
      <c r="E5327" s="16">
        <v>2023.0</v>
      </c>
      <c r="F5327" s="16">
        <v>52.748</v>
      </c>
      <c r="G5327" s="16">
        <v>13.6481</v>
      </c>
      <c r="H5327" s="15"/>
      <c r="I5327" s="15"/>
    </row>
    <row r="5328">
      <c r="A5328" s="18">
        <v>45665.0</v>
      </c>
      <c r="B5328" s="16" t="s">
        <v>6140</v>
      </c>
      <c r="C5328" s="16" t="s">
        <v>948</v>
      </c>
      <c r="D5328" s="16" t="s">
        <v>707</v>
      </c>
      <c r="E5328" s="16">
        <v>2023.0</v>
      </c>
      <c r="F5328" s="16">
        <v>52.8297</v>
      </c>
      <c r="G5328" s="16">
        <v>13.5808</v>
      </c>
      <c r="H5328" s="15"/>
      <c r="I5328" s="15"/>
    </row>
    <row r="5329">
      <c r="A5329" s="18">
        <v>45665.0</v>
      </c>
      <c r="B5329" s="16" t="s">
        <v>6141</v>
      </c>
      <c r="C5329" s="16" t="s">
        <v>961</v>
      </c>
      <c r="D5329" s="16" t="s">
        <v>707</v>
      </c>
      <c r="E5329" s="16">
        <v>2023.0</v>
      </c>
      <c r="F5329" s="16">
        <v>52.0229</v>
      </c>
      <c r="G5329" s="16">
        <v>13.9412</v>
      </c>
      <c r="H5329" s="15"/>
      <c r="I5329" s="15"/>
    </row>
    <row r="5330">
      <c r="A5330" s="18">
        <v>45665.0</v>
      </c>
      <c r="B5330" s="16" t="s">
        <v>6142</v>
      </c>
      <c r="C5330" s="16" t="s">
        <v>4533</v>
      </c>
      <c r="D5330" s="16" t="s">
        <v>707</v>
      </c>
      <c r="E5330" s="16">
        <v>2023.0</v>
      </c>
      <c r="F5330" s="16">
        <v>49.5535</v>
      </c>
      <c r="G5330" s="16">
        <v>8.0939</v>
      </c>
      <c r="H5330" s="15"/>
      <c r="I5330" s="15"/>
    </row>
    <row r="5331">
      <c r="A5331" s="18">
        <v>45665.0</v>
      </c>
      <c r="B5331" s="16" t="s">
        <v>6143</v>
      </c>
      <c r="C5331" s="16" t="s">
        <v>6093</v>
      </c>
      <c r="D5331" s="16" t="s">
        <v>707</v>
      </c>
      <c r="E5331" s="16">
        <v>2023.0</v>
      </c>
      <c r="F5331" s="16">
        <v>47.904</v>
      </c>
      <c r="G5331" s="16">
        <v>8.8443</v>
      </c>
      <c r="H5331" s="15"/>
      <c r="I5331" s="15"/>
    </row>
    <row r="5332">
      <c r="A5332" s="18">
        <v>45665.0</v>
      </c>
      <c r="B5332" s="16" t="s">
        <v>6144</v>
      </c>
      <c r="C5332" s="16">
        <v>3.0</v>
      </c>
      <c r="D5332" s="16" t="s">
        <v>707</v>
      </c>
      <c r="E5332" s="16">
        <v>2023.0</v>
      </c>
      <c r="F5332" s="16">
        <v>51.2628</v>
      </c>
      <c r="G5332" s="16">
        <v>11.1816</v>
      </c>
      <c r="H5332" s="15"/>
      <c r="I5332" s="15"/>
    </row>
    <row r="5333">
      <c r="A5333" s="18">
        <v>45665.0</v>
      </c>
      <c r="B5333" s="16" t="s">
        <v>6145</v>
      </c>
      <c r="C5333" s="16" t="s">
        <v>1172</v>
      </c>
      <c r="D5333" s="16" t="s">
        <v>707</v>
      </c>
      <c r="E5333" s="16">
        <v>2023.0</v>
      </c>
      <c r="F5333" s="16">
        <v>48.1992</v>
      </c>
      <c r="G5333" s="16">
        <v>10.4988</v>
      </c>
      <c r="H5333" s="15"/>
      <c r="I5333" s="15"/>
    </row>
    <row r="5334">
      <c r="A5334" s="18">
        <v>45665.0</v>
      </c>
      <c r="B5334" s="16" t="s">
        <v>6146</v>
      </c>
      <c r="C5334" s="16">
        <v>2.0</v>
      </c>
      <c r="D5334" s="16" t="s">
        <v>707</v>
      </c>
      <c r="E5334" s="16">
        <v>2023.0</v>
      </c>
      <c r="F5334" s="16">
        <v>54.1846</v>
      </c>
      <c r="G5334" s="16">
        <v>13.0548</v>
      </c>
      <c r="H5334" s="15"/>
      <c r="I5334" s="15"/>
    </row>
    <row r="5335">
      <c r="A5335" s="18">
        <v>45665.0</v>
      </c>
      <c r="B5335" s="16" t="s">
        <v>6147</v>
      </c>
      <c r="C5335" s="16" t="s">
        <v>1059</v>
      </c>
      <c r="D5335" s="16" t="s">
        <v>707</v>
      </c>
      <c r="E5335" s="16">
        <v>2023.0</v>
      </c>
      <c r="F5335" s="16">
        <v>52.8392</v>
      </c>
      <c r="G5335" s="16">
        <v>13.8521</v>
      </c>
      <c r="H5335" s="15"/>
      <c r="I5335" s="15"/>
    </row>
    <row r="5336">
      <c r="A5336" s="18">
        <v>45665.0</v>
      </c>
      <c r="B5336" s="16" t="s">
        <v>6148</v>
      </c>
      <c r="C5336" s="16" t="s">
        <v>1742</v>
      </c>
      <c r="D5336" s="16" t="s">
        <v>707</v>
      </c>
      <c r="E5336" s="16">
        <v>2023.0</v>
      </c>
      <c r="F5336" s="16">
        <v>52.8392</v>
      </c>
      <c r="G5336" s="16">
        <v>13.8521</v>
      </c>
      <c r="H5336" s="15"/>
      <c r="I5336" s="15"/>
    </row>
    <row r="5337">
      <c r="A5337" s="18">
        <v>45665.0</v>
      </c>
      <c r="B5337" s="16" t="s">
        <v>6149</v>
      </c>
      <c r="C5337" s="16" t="s">
        <v>1037</v>
      </c>
      <c r="D5337" s="16" t="s">
        <v>707</v>
      </c>
      <c r="E5337" s="16">
        <v>2023.0</v>
      </c>
      <c r="F5337" s="16">
        <v>48.7069</v>
      </c>
      <c r="G5337" s="16">
        <v>13.4033</v>
      </c>
      <c r="H5337" s="15"/>
      <c r="I5337" s="15"/>
    </row>
    <row r="5338">
      <c r="A5338" s="18">
        <v>45665.0</v>
      </c>
      <c r="B5338" s="16" t="s">
        <v>6150</v>
      </c>
      <c r="C5338" s="16" t="s">
        <v>1037</v>
      </c>
      <c r="D5338" s="16" t="s">
        <v>707</v>
      </c>
      <c r="E5338" s="16">
        <v>2023.0</v>
      </c>
      <c r="F5338" s="16">
        <v>48.7093</v>
      </c>
      <c r="G5338" s="16">
        <v>13.403</v>
      </c>
      <c r="H5338" s="15"/>
      <c r="I5338" s="15"/>
    </row>
    <row r="5339">
      <c r="A5339" s="18">
        <v>45665.0</v>
      </c>
      <c r="B5339" s="16" t="s">
        <v>6151</v>
      </c>
      <c r="C5339" s="16" t="s">
        <v>990</v>
      </c>
      <c r="D5339" s="16" t="s">
        <v>707</v>
      </c>
      <c r="E5339" s="16">
        <v>2023.0</v>
      </c>
      <c r="F5339" s="16">
        <v>49.493</v>
      </c>
      <c r="G5339" s="16">
        <v>10.0974</v>
      </c>
      <c r="H5339" s="15"/>
      <c r="I5339" s="15"/>
    </row>
    <row r="5340">
      <c r="A5340" s="18">
        <v>45665.0</v>
      </c>
      <c r="B5340" s="16" t="s">
        <v>6152</v>
      </c>
      <c r="C5340" s="16" t="s">
        <v>969</v>
      </c>
      <c r="D5340" s="16" t="s">
        <v>707</v>
      </c>
      <c r="E5340" s="16">
        <v>2023.0</v>
      </c>
      <c r="F5340" s="16">
        <v>52.2055</v>
      </c>
      <c r="G5340" s="16">
        <v>8.5813</v>
      </c>
      <c r="H5340" s="15"/>
      <c r="I5340" s="15"/>
    </row>
    <row r="5341">
      <c r="A5341" s="18">
        <v>45665.0</v>
      </c>
      <c r="B5341" s="16" t="s">
        <v>6153</v>
      </c>
      <c r="C5341" s="16" t="s">
        <v>1436</v>
      </c>
      <c r="D5341" s="16" t="s">
        <v>707</v>
      </c>
      <c r="E5341" s="16">
        <v>2023.0</v>
      </c>
      <c r="F5341" s="16">
        <v>53.0512</v>
      </c>
      <c r="G5341" s="16">
        <v>8.6224</v>
      </c>
      <c r="H5341" s="15"/>
      <c r="I5341" s="15"/>
    </row>
    <row r="5342">
      <c r="A5342" s="18">
        <v>45665.0</v>
      </c>
      <c r="B5342" s="16" t="s">
        <v>6154</v>
      </c>
      <c r="C5342" s="16" t="s">
        <v>969</v>
      </c>
      <c r="D5342" s="16" t="s">
        <v>707</v>
      </c>
      <c r="E5342" s="16">
        <v>2023.0</v>
      </c>
      <c r="F5342" s="16">
        <v>51.9933</v>
      </c>
      <c r="G5342" s="16">
        <v>8.4925</v>
      </c>
      <c r="H5342" s="15"/>
      <c r="I5342" s="15"/>
    </row>
    <row r="5343">
      <c r="A5343" s="18">
        <v>45665.0</v>
      </c>
      <c r="B5343" s="16" t="s">
        <v>6155</v>
      </c>
      <c r="C5343" s="16" t="s">
        <v>948</v>
      </c>
      <c r="D5343" s="16" t="s">
        <v>707</v>
      </c>
      <c r="E5343" s="16">
        <v>2023.0</v>
      </c>
      <c r="F5343" s="16">
        <v>51.6018</v>
      </c>
      <c r="G5343" s="16">
        <v>10.2012</v>
      </c>
      <c r="H5343" s="15"/>
      <c r="I5343" s="15"/>
    </row>
    <row r="5344">
      <c r="A5344" s="18">
        <v>45665.0</v>
      </c>
      <c r="B5344" s="16" t="s">
        <v>6156</v>
      </c>
      <c r="C5344" s="16" t="s">
        <v>951</v>
      </c>
      <c r="D5344" s="16" t="s">
        <v>707</v>
      </c>
      <c r="E5344" s="16">
        <v>2023.0</v>
      </c>
      <c r="F5344" s="16">
        <v>50.0204</v>
      </c>
      <c r="G5344" s="16">
        <v>6.6423</v>
      </c>
      <c r="H5344" s="15"/>
      <c r="I5344" s="15"/>
    </row>
    <row r="5345">
      <c r="A5345" s="18">
        <v>45665.0</v>
      </c>
      <c r="B5345" s="16" t="s">
        <v>6157</v>
      </c>
      <c r="C5345" s="16" t="s">
        <v>1034</v>
      </c>
      <c r="D5345" s="16" t="s">
        <v>707</v>
      </c>
      <c r="E5345" s="16">
        <v>2023.0</v>
      </c>
      <c r="F5345" s="16">
        <v>51.7848</v>
      </c>
      <c r="G5345" s="16">
        <v>10.2013</v>
      </c>
      <c r="H5345" s="15"/>
      <c r="I5345" s="15"/>
    </row>
    <row r="5346">
      <c r="A5346" s="18">
        <v>45665.0</v>
      </c>
      <c r="B5346" s="16" t="s">
        <v>6158</v>
      </c>
      <c r="C5346" s="16" t="s">
        <v>5342</v>
      </c>
      <c r="D5346" s="16" t="s">
        <v>707</v>
      </c>
      <c r="E5346" s="16">
        <v>2023.0</v>
      </c>
      <c r="F5346" s="16">
        <v>52.9305</v>
      </c>
      <c r="G5346" s="16">
        <v>12.6777</v>
      </c>
      <c r="H5346" s="15"/>
      <c r="I5346" s="15"/>
    </row>
    <row r="5347">
      <c r="A5347" s="18">
        <v>45665.0</v>
      </c>
      <c r="B5347" s="16" t="s">
        <v>6158</v>
      </c>
      <c r="C5347" s="16" t="s">
        <v>1051</v>
      </c>
      <c r="D5347" s="16" t="s">
        <v>707</v>
      </c>
      <c r="E5347" s="16">
        <v>2023.0</v>
      </c>
      <c r="F5347" s="16">
        <v>52.9305</v>
      </c>
      <c r="G5347" s="16">
        <v>12.6777</v>
      </c>
      <c r="H5347" s="15"/>
      <c r="I5347" s="15"/>
    </row>
    <row r="5348">
      <c r="A5348" s="18">
        <v>45665.0</v>
      </c>
      <c r="B5348" s="16" t="s">
        <v>6159</v>
      </c>
      <c r="C5348" s="16" t="s">
        <v>948</v>
      </c>
      <c r="D5348" s="16" t="s">
        <v>707</v>
      </c>
      <c r="E5348" s="16">
        <v>2023.0</v>
      </c>
      <c r="F5348" s="16">
        <v>53.0212</v>
      </c>
      <c r="G5348" s="16">
        <v>13.1878</v>
      </c>
      <c r="H5348" s="15"/>
      <c r="I5348" s="15"/>
    </row>
    <row r="5349">
      <c r="A5349" s="18">
        <v>45665.0</v>
      </c>
      <c r="B5349" s="16" t="s">
        <v>6160</v>
      </c>
      <c r="C5349" s="16" t="s">
        <v>1004</v>
      </c>
      <c r="D5349" s="16" t="s">
        <v>707</v>
      </c>
      <c r="E5349" s="16">
        <v>2023.0</v>
      </c>
      <c r="F5349" s="16">
        <v>51.6538</v>
      </c>
      <c r="G5349" s="16">
        <v>14.3227</v>
      </c>
      <c r="H5349" s="15"/>
      <c r="I5349" s="15"/>
    </row>
    <row r="5350">
      <c r="A5350" s="18">
        <v>45665.0</v>
      </c>
      <c r="B5350" s="16" t="s">
        <v>6161</v>
      </c>
      <c r="C5350" s="16" t="s">
        <v>1046</v>
      </c>
      <c r="D5350" s="16" t="s">
        <v>707</v>
      </c>
      <c r="E5350" s="16">
        <v>2023.0</v>
      </c>
      <c r="F5350" s="16">
        <v>51.9521</v>
      </c>
      <c r="G5350" s="16">
        <v>14.6487</v>
      </c>
      <c r="H5350" s="15"/>
      <c r="I5350" s="15"/>
    </row>
    <row r="5351">
      <c r="A5351" s="18">
        <v>45665.0</v>
      </c>
      <c r="B5351" s="16" t="s">
        <v>6162</v>
      </c>
      <c r="C5351" s="16" t="s">
        <v>1011</v>
      </c>
      <c r="D5351" s="16" t="s">
        <v>707</v>
      </c>
      <c r="E5351" s="16">
        <v>2023.0</v>
      </c>
      <c r="F5351" s="16">
        <v>49.6985</v>
      </c>
      <c r="G5351" s="16">
        <v>8.8058</v>
      </c>
      <c r="H5351" s="15"/>
      <c r="I5351" s="15"/>
    </row>
    <row r="5352">
      <c r="A5352" s="18">
        <v>45665.0</v>
      </c>
      <c r="B5352" s="16" t="s">
        <v>6163</v>
      </c>
      <c r="C5352" s="16" t="s">
        <v>961</v>
      </c>
      <c r="D5352" s="16" t="s">
        <v>707</v>
      </c>
      <c r="E5352" s="16">
        <v>2023.0</v>
      </c>
      <c r="F5352" s="16">
        <v>51.3006</v>
      </c>
      <c r="G5352" s="16">
        <v>10.2922</v>
      </c>
      <c r="H5352" s="15"/>
      <c r="I5352" s="15"/>
    </row>
    <row r="5353">
      <c r="A5353" s="18">
        <v>45665.0</v>
      </c>
      <c r="B5353" s="16" t="s">
        <v>6164</v>
      </c>
      <c r="C5353" s="16" t="s">
        <v>959</v>
      </c>
      <c r="D5353" s="16" t="s">
        <v>707</v>
      </c>
      <c r="E5353" s="16">
        <v>2023.0</v>
      </c>
      <c r="F5353" s="16">
        <v>52.8769</v>
      </c>
      <c r="G5353" s="16">
        <v>13.4474</v>
      </c>
      <c r="H5353" s="15"/>
      <c r="I5353" s="15"/>
    </row>
    <row r="5354">
      <c r="A5354" s="18">
        <v>45665.0</v>
      </c>
      <c r="B5354" s="16" t="s">
        <v>6165</v>
      </c>
      <c r="C5354" s="16" t="s">
        <v>948</v>
      </c>
      <c r="D5354" s="16" t="s">
        <v>707</v>
      </c>
      <c r="E5354" s="16">
        <v>2023.0</v>
      </c>
      <c r="F5354" s="16">
        <v>51.5831</v>
      </c>
      <c r="G5354" s="16">
        <v>7.2174</v>
      </c>
      <c r="H5354" s="15"/>
      <c r="I5354" s="15"/>
    </row>
    <row r="5355">
      <c r="A5355" s="18">
        <v>45665.0</v>
      </c>
      <c r="B5355" s="16" t="s">
        <v>6166</v>
      </c>
      <c r="C5355" s="16" t="s">
        <v>946</v>
      </c>
      <c r="D5355" s="16" t="s">
        <v>707</v>
      </c>
      <c r="E5355" s="16">
        <v>2023.0</v>
      </c>
      <c r="F5355" s="16">
        <v>52.4993</v>
      </c>
      <c r="G5355" s="16">
        <v>13.8394</v>
      </c>
      <c r="H5355" s="15"/>
      <c r="I5355" s="15"/>
    </row>
    <row r="5356">
      <c r="A5356" s="18">
        <v>45665.0</v>
      </c>
      <c r="B5356" s="16" t="s">
        <v>6167</v>
      </c>
      <c r="C5356" s="16">
        <v>2.0</v>
      </c>
      <c r="D5356" s="16" t="s">
        <v>707</v>
      </c>
      <c r="E5356" s="16">
        <v>2023.0</v>
      </c>
      <c r="F5356" s="16">
        <v>51.7148</v>
      </c>
      <c r="G5356" s="16">
        <v>13.4846</v>
      </c>
      <c r="H5356" s="15"/>
      <c r="I5356" s="15"/>
    </row>
    <row r="5357">
      <c r="A5357" s="18">
        <v>45665.0</v>
      </c>
      <c r="B5357" s="16" t="s">
        <v>6168</v>
      </c>
      <c r="C5357" s="16" t="s">
        <v>969</v>
      </c>
      <c r="D5357" s="16" t="s">
        <v>707</v>
      </c>
      <c r="E5357" s="16">
        <v>2023.0</v>
      </c>
      <c r="F5357" s="16">
        <v>51.4538</v>
      </c>
      <c r="G5357" s="16">
        <v>14.0092</v>
      </c>
      <c r="H5357" s="15"/>
      <c r="I5357" s="15"/>
    </row>
    <row r="5358">
      <c r="A5358" s="18">
        <v>45665.0</v>
      </c>
      <c r="B5358" s="16" t="s">
        <v>6169</v>
      </c>
      <c r="C5358" s="16" t="s">
        <v>1059</v>
      </c>
      <c r="D5358" s="16" t="s">
        <v>707</v>
      </c>
      <c r="E5358" s="16">
        <v>2023.0</v>
      </c>
      <c r="F5358" s="16">
        <v>51.3822</v>
      </c>
      <c r="G5358" s="16">
        <v>10.3339</v>
      </c>
      <c r="H5358" s="15"/>
      <c r="I5358" s="15"/>
    </row>
    <row r="5359">
      <c r="A5359" s="18">
        <v>45665.0</v>
      </c>
      <c r="B5359" s="16" t="s">
        <v>6170</v>
      </c>
      <c r="C5359" s="16" t="s">
        <v>6171</v>
      </c>
      <c r="D5359" s="16" t="s">
        <v>707</v>
      </c>
      <c r="E5359" s="16">
        <v>2023.0</v>
      </c>
      <c r="F5359" s="16">
        <v>51.2093</v>
      </c>
      <c r="G5359" s="16">
        <v>12.3789</v>
      </c>
      <c r="H5359" s="15"/>
      <c r="I5359" s="15"/>
    </row>
    <row r="5360">
      <c r="A5360" s="18">
        <v>45665.0</v>
      </c>
      <c r="B5360" s="16" t="s">
        <v>6172</v>
      </c>
      <c r="C5360" s="16" t="s">
        <v>6173</v>
      </c>
      <c r="D5360" s="16" t="s">
        <v>707</v>
      </c>
      <c r="E5360" s="16">
        <v>2023.0</v>
      </c>
      <c r="F5360" s="16">
        <v>48.2652</v>
      </c>
      <c r="G5360" s="16">
        <v>10.3371</v>
      </c>
      <c r="H5360" s="15"/>
      <c r="I5360" s="15"/>
    </row>
    <row r="5361">
      <c r="A5361" s="18">
        <v>45665.0</v>
      </c>
      <c r="B5361" s="16" t="s">
        <v>6174</v>
      </c>
      <c r="C5361" s="16" t="s">
        <v>6175</v>
      </c>
      <c r="D5361" s="16" t="s">
        <v>707</v>
      </c>
      <c r="E5361" s="16">
        <v>2023.0</v>
      </c>
      <c r="F5361" s="16">
        <v>49.1351</v>
      </c>
      <c r="G5361" s="16">
        <v>11.7856</v>
      </c>
      <c r="H5361" s="15"/>
      <c r="I5361" s="15"/>
    </row>
    <row r="5362">
      <c r="A5362" s="18">
        <v>45665.0</v>
      </c>
      <c r="B5362" s="16" t="s">
        <v>6176</v>
      </c>
      <c r="C5362" s="16" t="s">
        <v>5232</v>
      </c>
      <c r="D5362" s="16" t="s">
        <v>707</v>
      </c>
      <c r="E5362" s="16">
        <v>2023.0</v>
      </c>
      <c r="F5362" s="16">
        <v>53.202</v>
      </c>
      <c r="G5362" s="16">
        <v>11.6649</v>
      </c>
      <c r="H5362" s="15"/>
      <c r="I5362" s="15"/>
    </row>
    <row r="5363">
      <c r="A5363" s="18">
        <v>45665.0</v>
      </c>
      <c r="B5363" s="16" t="s">
        <v>6177</v>
      </c>
      <c r="C5363" s="16" t="s">
        <v>2184</v>
      </c>
      <c r="D5363" s="16" t="s">
        <v>707</v>
      </c>
      <c r="E5363" s="16">
        <v>2023.0</v>
      </c>
      <c r="F5363" s="16">
        <v>54.3449</v>
      </c>
      <c r="G5363" s="16">
        <v>11.0137</v>
      </c>
      <c r="H5363" s="15"/>
      <c r="I5363" s="15"/>
    </row>
    <row r="5364">
      <c r="A5364" s="18">
        <v>45665.0</v>
      </c>
      <c r="B5364" s="16" t="s">
        <v>6178</v>
      </c>
      <c r="C5364" s="16" t="s">
        <v>1099</v>
      </c>
      <c r="D5364" s="16" t="s">
        <v>707</v>
      </c>
      <c r="E5364" s="16">
        <v>2023.0</v>
      </c>
      <c r="F5364" s="16">
        <v>50.1177</v>
      </c>
      <c r="G5364" s="16">
        <v>7.3653</v>
      </c>
      <c r="H5364" s="15"/>
      <c r="I5364" s="15"/>
    </row>
    <row r="5365">
      <c r="A5365" s="18">
        <v>45665.0</v>
      </c>
      <c r="B5365" s="16" t="s">
        <v>6179</v>
      </c>
      <c r="C5365" s="16" t="s">
        <v>1931</v>
      </c>
      <c r="D5365" s="16" t="s">
        <v>707</v>
      </c>
      <c r="E5365" s="16">
        <v>2023.0</v>
      </c>
      <c r="F5365" s="16">
        <v>53.7571</v>
      </c>
      <c r="G5365" s="16">
        <v>12.3825</v>
      </c>
      <c r="H5365" s="15"/>
      <c r="I5365" s="15"/>
    </row>
    <row r="5366">
      <c r="A5366" s="18">
        <v>45665.0</v>
      </c>
      <c r="B5366" s="16" t="s">
        <v>6180</v>
      </c>
      <c r="C5366" s="16" t="s">
        <v>1059</v>
      </c>
      <c r="D5366" s="16" t="s">
        <v>707</v>
      </c>
      <c r="E5366" s="16">
        <v>2023.0</v>
      </c>
      <c r="F5366" s="16">
        <v>51.4983</v>
      </c>
      <c r="G5366" s="16">
        <v>13.8015</v>
      </c>
      <c r="H5366" s="15"/>
      <c r="I5366" s="15"/>
    </row>
    <row r="5367">
      <c r="A5367" s="18">
        <v>45665.0</v>
      </c>
      <c r="B5367" s="16" t="s">
        <v>6181</v>
      </c>
      <c r="C5367" s="16" t="s">
        <v>5558</v>
      </c>
      <c r="D5367" s="16" t="s">
        <v>707</v>
      </c>
      <c r="E5367" s="16">
        <v>2023.0</v>
      </c>
      <c r="F5367" s="16">
        <v>52.2634</v>
      </c>
      <c r="G5367" s="16">
        <v>10.7851</v>
      </c>
      <c r="H5367" s="15"/>
      <c r="I5367" s="15"/>
    </row>
    <row r="5368">
      <c r="A5368" s="18">
        <v>45665.0</v>
      </c>
      <c r="B5368" s="16" t="s">
        <v>6182</v>
      </c>
      <c r="C5368" s="16" t="s">
        <v>1051</v>
      </c>
      <c r="D5368" s="16" t="s">
        <v>707</v>
      </c>
      <c r="E5368" s="16">
        <v>2023.0</v>
      </c>
      <c r="F5368" s="16">
        <v>48.2165</v>
      </c>
      <c r="G5368" s="16">
        <v>11.2399</v>
      </c>
      <c r="H5368" s="15"/>
      <c r="I5368" s="15"/>
    </row>
    <row r="5369">
      <c r="A5369" s="18">
        <v>45665.0</v>
      </c>
      <c r="B5369" s="16" t="s">
        <v>6183</v>
      </c>
      <c r="C5369" s="16" t="s">
        <v>1436</v>
      </c>
      <c r="D5369" s="16" t="s">
        <v>707</v>
      </c>
      <c r="E5369" s="16">
        <v>2023.0</v>
      </c>
      <c r="F5369" s="16">
        <v>49.2094</v>
      </c>
      <c r="G5369" s="16">
        <v>10.6697</v>
      </c>
      <c r="H5369" s="15"/>
      <c r="I5369" s="15"/>
    </row>
    <row r="5370">
      <c r="A5370" s="18">
        <v>45665.0</v>
      </c>
      <c r="B5370" s="16" t="s">
        <v>6184</v>
      </c>
      <c r="C5370" s="16" t="s">
        <v>1059</v>
      </c>
      <c r="D5370" s="16" t="s">
        <v>707</v>
      </c>
      <c r="E5370" s="16">
        <v>2023.0</v>
      </c>
      <c r="F5370" s="16">
        <v>52.5883</v>
      </c>
      <c r="G5370" s="16">
        <v>11.8752</v>
      </c>
      <c r="H5370" s="15"/>
      <c r="I5370" s="15"/>
    </row>
    <row r="5371">
      <c r="A5371" s="18">
        <v>45665.0</v>
      </c>
      <c r="B5371" s="16" t="s">
        <v>6185</v>
      </c>
      <c r="C5371" s="16" t="s">
        <v>1034</v>
      </c>
      <c r="D5371" s="16" t="s">
        <v>707</v>
      </c>
      <c r="E5371" s="16">
        <v>2023.0</v>
      </c>
      <c r="F5371" s="16">
        <v>49.8262</v>
      </c>
      <c r="G5371" s="16">
        <v>7.1056</v>
      </c>
      <c r="H5371" s="15"/>
      <c r="I5371" s="15"/>
    </row>
    <row r="5372">
      <c r="A5372" s="18">
        <v>45665.0</v>
      </c>
      <c r="B5372" s="16" t="s">
        <v>6186</v>
      </c>
      <c r="C5372" s="16" t="s">
        <v>1101</v>
      </c>
      <c r="D5372" s="16" t="s">
        <v>707</v>
      </c>
      <c r="E5372" s="16">
        <v>2023.0</v>
      </c>
      <c r="F5372" s="16">
        <v>51.6016</v>
      </c>
      <c r="G5372" s="16">
        <v>14.1501</v>
      </c>
      <c r="H5372" s="15"/>
      <c r="I5372" s="15"/>
    </row>
    <row r="5373">
      <c r="A5373" s="18">
        <v>45665.0</v>
      </c>
      <c r="B5373" s="16" t="s">
        <v>6186</v>
      </c>
      <c r="C5373" s="16" t="s">
        <v>948</v>
      </c>
      <c r="D5373" s="16" t="s">
        <v>707</v>
      </c>
      <c r="E5373" s="16">
        <v>2023.0</v>
      </c>
      <c r="F5373" s="16">
        <v>51.6021</v>
      </c>
      <c r="G5373" s="16">
        <v>14.1384</v>
      </c>
      <c r="H5373" s="15"/>
      <c r="I5373" s="15"/>
    </row>
    <row r="5374">
      <c r="A5374" s="18">
        <v>45665.0</v>
      </c>
      <c r="B5374" s="16" t="s">
        <v>6186</v>
      </c>
      <c r="C5374" s="16" t="s">
        <v>1101</v>
      </c>
      <c r="D5374" s="16" t="s">
        <v>707</v>
      </c>
      <c r="E5374" s="16">
        <v>2023.0</v>
      </c>
      <c r="F5374" s="16">
        <v>51.5997</v>
      </c>
      <c r="G5374" s="16">
        <v>14.1412</v>
      </c>
      <c r="H5374" s="15"/>
      <c r="I5374" s="15"/>
    </row>
    <row r="5375">
      <c r="A5375" s="18">
        <v>45665.0</v>
      </c>
      <c r="B5375" s="16" t="s">
        <v>6186</v>
      </c>
      <c r="C5375" s="16" t="s">
        <v>1101</v>
      </c>
      <c r="D5375" s="16" t="s">
        <v>707</v>
      </c>
      <c r="E5375" s="16">
        <v>2023.0</v>
      </c>
      <c r="F5375" s="16">
        <v>51.6001</v>
      </c>
      <c r="G5375" s="16">
        <v>14.1399</v>
      </c>
      <c r="H5375" s="15"/>
      <c r="I5375" s="15"/>
    </row>
    <row r="5376">
      <c r="A5376" s="18">
        <v>45665.0</v>
      </c>
      <c r="B5376" s="16" t="s">
        <v>6186</v>
      </c>
      <c r="C5376" s="16" t="s">
        <v>2119</v>
      </c>
      <c r="D5376" s="16" t="s">
        <v>707</v>
      </c>
      <c r="E5376" s="16">
        <v>2023.0</v>
      </c>
      <c r="F5376" s="16">
        <v>51.5977</v>
      </c>
      <c r="G5376" s="16">
        <v>14.1389</v>
      </c>
      <c r="H5376" s="15"/>
      <c r="I5376" s="15"/>
    </row>
    <row r="5377">
      <c r="A5377" s="18">
        <v>45665.0</v>
      </c>
      <c r="B5377" s="16" t="s">
        <v>6186</v>
      </c>
      <c r="C5377" s="16" t="s">
        <v>1101</v>
      </c>
      <c r="D5377" s="16" t="s">
        <v>707</v>
      </c>
      <c r="E5377" s="16">
        <v>2023.0</v>
      </c>
      <c r="F5377" s="16">
        <v>51.6023</v>
      </c>
      <c r="G5377" s="16">
        <v>14.1518</v>
      </c>
      <c r="H5377" s="15"/>
      <c r="I5377" s="15"/>
    </row>
    <row r="5378">
      <c r="A5378" s="18">
        <v>45665.0</v>
      </c>
      <c r="B5378" s="16" t="s">
        <v>6186</v>
      </c>
      <c r="C5378" s="16" t="s">
        <v>1007</v>
      </c>
      <c r="D5378" s="16" t="s">
        <v>707</v>
      </c>
      <c r="E5378" s="16">
        <v>2023.0</v>
      </c>
      <c r="F5378" s="16">
        <v>51.6037</v>
      </c>
      <c r="G5378" s="16">
        <v>14.1548</v>
      </c>
      <c r="H5378" s="15"/>
      <c r="I5378" s="15"/>
    </row>
    <row r="5379">
      <c r="A5379" s="18">
        <v>45665.0</v>
      </c>
      <c r="B5379" s="16" t="s">
        <v>6186</v>
      </c>
      <c r="C5379" s="16" t="s">
        <v>5198</v>
      </c>
      <c r="D5379" s="16" t="s">
        <v>707</v>
      </c>
      <c r="E5379" s="16">
        <v>2023.0</v>
      </c>
      <c r="F5379" s="16">
        <v>51.603</v>
      </c>
      <c r="G5379" s="16">
        <v>14.1486</v>
      </c>
      <c r="H5379" s="15"/>
      <c r="I5379" s="15"/>
    </row>
    <row r="5380">
      <c r="A5380" s="18">
        <v>45665.0</v>
      </c>
      <c r="B5380" s="16" t="s">
        <v>6187</v>
      </c>
      <c r="C5380" s="16" t="s">
        <v>2990</v>
      </c>
      <c r="D5380" s="16" t="s">
        <v>707</v>
      </c>
      <c r="E5380" s="16">
        <v>2023.0</v>
      </c>
      <c r="F5380" s="16">
        <v>49.5721</v>
      </c>
      <c r="G5380" s="16">
        <v>7.7305</v>
      </c>
      <c r="H5380" s="15"/>
      <c r="I5380" s="15"/>
    </row>
    <row r="5381">
      <c r="A5381" s="18">
        <v>45665.0</v>
      </c>
      <c r="B5381" s="16" t="s">
        <v>6188</v>
      </c>
      <c r="C5381" s="16">
        <v>10.0</v>
      </c>
      <c r="D5381" s="16" t="s">
        <v>707</v>
      </c>
      <c r="E5381" s="16">
        <v>2023.0</v>
      </c>
      <c r="F5381" s="16">
        <v>49.4823</v>
      </c>
      <c r="G5381" s="16">
        <v>6.8066</v>
      </c>
      <c r="H5381" s="15"/>
      <c r="I5381" s="15"/>
    </row>
    <row r="5382">
      <c r="A5382" s="18">
        <v>45665.0</v>
      </c>
      <c r="B5382" s="16" t="s">
        <v>6189</v>
      </c>
      <c r="C5382" s="16">
        <v>3.0</v>
      </c>
      <c r="D5382" s="16" t="s">
        <v>707</v>
      </c>
      <c r="E5382" s="16">
        <v>2023.0</v>
      </c>
      <c r="F5382" s="16">
        <v>49.4823</v>
      </c>
      <c r="G5382" s="16">
        <v>6.8066</v>
      </c>
      <c r="H5382" s="15"/>
      <c r="I5382" s="15"/>
    </row>
    <row r="5383">
      <c r="A5383" s="18">
        <v>45665.0</v>
      </c>
      <c r="B5383" s="16" t="s">
        <v>6190</v>
      </c>
      <c r="C5383" s="16" t="s">
        <v>942</v>
      </c>
      <c r="D5383" s="16" t="s">
        <v>707</v>
      </c>
      <c r="E5383" s="16">
        <v>2023.0</v>
      </c>
      <c r="F5383" s="16">
        <v>52.7123</v>
      </c>
      <c r="G5383" s="16">
        <v>8.2816</v>
      </c>
      <c r="H5383" s="15"/>
      <c r="I5383" s="15"/>
    </row>
    <row r="5384">
      <c r="A5384" s="18">
        <v>45665.0</v>
      </c>
      <c r="B5384" s="16" t="s">
        <v>6191</v>
      </c>
      <c r="C5384" s="16" t="s">
        <v>946</v>
      </c>
      <c r="D5384" s="16" t="s">
        <v>707</v>
      </c>
      <c r="E5384" s="16">
        <v>2023.0</v>
      </c>
      <c r="F5384" s="16">
        <v>53.7303</v>
      </c>
      <c r="G5384" s="16">
        <v>11.1608</v>
      </c>
      <c r="H5384" s="15"/>
      <c r="I5384" s="15"/>
    </row>
    <row r="5385">
      <c r="A5385" s="18">
        <v>45665.0</v>
      </c>
      <c r="B5385" s="16" t="s">
        <v>6192</v>
      </c>
      <c r="C5385" s="16">
        <v>18.0</v>
      </c>
      <c r="D5385" s="16" t="s">
        <v>707</v>
      </c>
      <c r="E5385" s="16">
        <v>2023.0</v>
      </c>
      <c r="F5385" s="16">
        <v>53.5809</v>
      </c>
      <c r="G5385" s="16">
        <v>11.5362</v>
      </c>
      <c r="H5385" s="15"/>
      <c r="I5385" s="15"/>
    </row>
    <row r="5386">
      <c r="A5386" s="18">
        <v>45665.0</v>
      </c>
      <c r="B5386" s="16" t="s">
        <v>6193</v>
      </c>
      <c r="C5386" s="16" t="s">
        <v>990</v>
      </c>
      <c r="D5386" s="16" t="s">
        <v>707</v>
      </c>
      <c r="E5386" s="16">
        <v>2023.0</v>
      </c>
      <c r="F5386" s="16">
        <v>54.0911</v>
      </c>
      <c r="G5386" s="16">
        <v>13.108</v>
      </c>
      <c r="H5386" s="15"/>
      <c r="I5386" s="15"/>
    </row>
    <row r="5387">
      <c r="A5387" s="18">
        <v>45665.0</v>
      </c>
      <c r="B5387" s="16" t="s">
        <v>6194</v>
      </c>
      <c r="C5387" s="16" t="s">
        <v>951</v>
      </c>
      <c r="D5387" s="16" t="s">
        <v>707</v>
      </c>
      <c r="E5387" s="16">
        <v>2023.0</v>
      </c>
      <c r="F5387" s="16">
        <v>50.8989</v>
      </c>
      <c r="G5387" s="16">
        <v>13.6928</v>
      </c>
      <c r="H5387" s="15"/>
      <c r="I5387" s="15"/>
    </row>
    <row r="5388">
      <c r="A5388" s="18">
        <v>45665.0</v>
      </c>
      <c r="B5388" s="16" t="s">
        <v>6195</v>
      </c>
      <c r="C5388" s="16" t="s">
        <v>1167</v>
      </c>
      <c r="D5388" s="16" t="s">
        <v>707</v>
      </c>
      <c r="E5388" s="16">
        <v>2023.0</v>
      </c>
      <c r="F5388" s="16">
        <v>54.1352</v>
      </c>
      <c r="G5388" s="16">
        <v>11.9552</v>
      </c>
      <c r="H5388" s="15"/>
      <c r="I5388" s="15"/>
    </row>
    <row r="5389">
      <c r="A5389" s="18">
        <v>45665.0</v>
      </c>
      <c r="B5389" s="16" t="s">
        <v>6196</v>
      </c>
      <c r="C5389" s="16" t="s">
        <v>1055</v>
      </c>
      <c r="D5389" s="16" t="s">
        <v>707</v>
      </c>
      <c r="E5389" s="16">
        <v>2023.0</v>
      </c>
      <c r="F5389" s="16">
        <v>47.7954</v>
      </c>
      <c r="G5389" s="16">
        <v>8.245</v>
      </c>
      <c r="H5389" s="15"/>
      <c r="I5389" s="15"/>
    </row>
    <row r="5390">
      <c r="A5390" s="18">
        <v>45665.0</v>
      </c>
      <c r="B5390" s="16" t="s">
        <v>6197</v>
      </c>
      <c r="C5390" s="16" t="s">
        <v>946</v>
      </c>
      <c r="D5390" s="16" t="s">
        <v>707</v>
      </c>
      <c r="E5390" s="16">
        <v>2023.0</v>
      </c>
      <c r="F5390" s="16">
        <v>50.9342</v>
      </c>
      <c r="G5390" s="16">
        <v>14.5879</v>
      </c>
      <c r="H5390" s="15"/>
      <c r="I5390" s="15"/>
    </row>
    <row r="5391">
      <c r="A5391" s="18">
        <v>45665.0</v>
      </c>
      <c r="B5391" s="16" t="s">
        <v>6198</v>
      </c>
      <c r="C5391" s="16" t="s">
        <v>1101</v>
      </c>
      <c r="D5391" s="16" t="s">
        <v>707</v>
      </c>
      <c r="E5391" s="16">
        <v>2023.0</v>
      </c>
      <c r="F5391" s="16">
        <v>52.192</v>
      </c>
      <c r="G5391" s="16">
        <v>10.1021</v>
      </c>
      <c r="H5391" s="15"/>
      <c r="I5391" s="15"/>
    </row>
    <row r="5392">
      <c r="A5392" s="18">
        <v>45665.0</v>
      </c>
      <c r="B5392" s="16" t="s">
        <v>6199</v>
      </c>
      <c r="C5392" s="16">
        <v>16.0</v>
      </c>
      <c r="D5392" s="16" t="s">
        <v>707</v>
      </c>
      <c r="E5392" s="16">
        <v>2023.0</v>
      </c>
      <c r="F5392" s="16">
        <v>51.7084</v>
      </c>
      <c r="G5392" s="16">
        <v>14.479</v>
      </c>
      <c r="H5392" s="15"/>
      <c r="I5392" s="15"/>
    </row>
    <row r="5393">
      <c r="A5393" s="18">
        <v>45665.0</v>
      </c>
      <c r="B5393" s="16" t="s">
        <v>6200</v>
      </c>
      <c r="C5393" s="16" t="s">
        <v>969</v>
      </c>
      <c r="D5393" s="16" t="s">
        <v>707</v>
      </c>
      <c r="E5393" s="16">
        <v>2023.0</v>
      </c>
      <c r="F5393" s="16">
        <v>51.6839</v>
      </c>
      <c r="G5393" s="16">
        <v>14.2056</v>
      </c>
      <c r="H5393" s="15"/>
      <c r="I5393" s="15"/>
    </row>
    <row r="5394">
      <c r="A5394" s="18">
        <v>45665.0</v>
      </c>
      <c r="B5394" s="16" t="s">
        <v>6201</v>
      </c>
      <c r="C5394" s="16">
        <v>7.0</v>
      </c>
      <c r="D5394" s="16" t="s">
        <v>707</v>
      </c>
      <c r="E5394" s="16">
        <v>2023.0</v>
      </c>
      <c r="F5394" s="16">
        <v>47.8657</v>
      </c>
      <c r="G5394" s="16">
        <v>10.7561</v>
      </c>
      <c r="H5394" s="15"/>
      <c r="I5394" s="15"/>
    </row>
    <row r="5395">
      <c r="A5395" s="18">
        <v>45665.0</v>
      </c>
      <c r="B5395" s="16" t="s">
        <v>6202</v>
      </c>
      <c r="C5395" s="16" t="s">
        <v>959</v>
      </c>
      <c r="D5395" s="16" t="s">
        <v>707</v>
      </c>
      <c r="E5395" s="16">
        <v>2023.0</v>
      </c>
      <c r="F5395" s="16">
        <v>53.9972</v>
      </c>
      <c r="G5395" s="16">
        <v>13.3673</v>
      </c>
      <c r="H5395" s="15"/>
      <c r="I5395" s="15"/>
    </row>
    <row r="5396">
      <c r="A5396" s="18">
        <v>45665.0</v>
      </c>
      <c r="B5396" s="16" t="s">
        <v>6203</v>
      </c>
      <c r="C5396" s="16" t="s">
        <v>3169</v>
      </c>
      <c r="D5396" s="16" t="s">
        <v>707</v>
      </c>
      <c r="E5396" s="16">
        <v>2023.0</v>
      </c>
      <c r="F5396" s="16">
        <v>48.6572</v>
      </c>
      <c r="G5396" s="16">
        <v>10.2653</v>
      </c>
      <c r="H5396" s="15"/>
      <c r="I5396" s="15"/>
    </row>
    <row r="5397">
      <c r="A5397" s="18">
        <v>45665.0</v>
      </c>
      <c r="B5397" s="16" t="s">
        <v>6204</v>
      </c>
      <c r="C5397" s="16" t="s">
        <v>1267</v>
      </c>
      <c r="D5397" s="16" t="s">
        <v>707</v>
      </c>
      <c r="E5397" s="16">
        <v>2023.0</v>
      </c>
      <c r="F5397" s="16">
        <v>50.0162</v>
      </c>
      <c r="G5397" s="16">
        <v>6.2309</v>
      </c>
      <c r="H5397" s="15"/>
      <c r="I5397" s="15"/>
    </row>
    <row r="5398">
      <c r="A5398" s="18">
        <v>45665.0</v>
      </c>
      <c r="B5398" s="16" t="s">
        <v>6204</v>
      </c>
      <c r="C5398" s="16" t="s">
        <v>1773</v>
      </c>
      <c r="D5398" s="16" t="s">
        <v>707</v>
      </c>
      <c r="E5398" s="16">
        <v>2023.0</v>
      </c>
      <c r="F5398" s="16">
        <v>50.0177</v>
      </c>
      <c r="G5398" s="16">
        <v>6.3573</v>
      </c>
      <c r="H5398" s="15"/>
      <c r="I5398" s="15"/>
    </row>
    <row r="5399">
      <c r="A5399" s="18">
        <v>45665.0</v>
      </c>
      <c r="B5399" s="16" t="s">
        <v>6205</v>
      </c>
      <c r="C5399" s="16" t="s">
        <v>969</v>
      </c>
      <c r="D5399" s="16" t="s">
        <v>707</v>
      </c>
      <c r="E5399" s="16">
        <v>2023.0</v>
      </c>
      <c r="F5399" s="16">
        <v>52.5648</v>
      </c>
      <c r="G5399" s="16">
        <v>13.4593</v>
      </c>
      <c r="H5399" s="15"/>
      <c r="I5399" s="15"/>
    </row>
    <row r="5400">
      <c r="A5400" s="18">
        <v>45665.0</v>
      </c>
      <c r="B5400" s="16" t="s">
        <v>6206</v>
      </c>
      <c r="C5400" s="16" t="s">
        <v>1059</v>
      </c>
      <c r="D5400" s="16" t="s">
        <v>707</v>
      </c>
      <c r="E5400" s="16">
        <v>2023.0</v>
      </c>
      <c r="F5400" s="16">
        <v>51.6922</v>
      </c>
      <c r="G5400" s="16">
        <v>13.5192</v>
      </c>
      <c r="H5400" s="15"/>
      <c r="I5400" s="15"/>
    </row>
    <row r="5401">
      <c r="A5401" s="18">
        <v>45665.0</v>
      </c>
      <c r="B5401" s="16" t="s">
        <v>6207</v>
      </c>
      <c r="C5401" s="16" t="s">
        <v>961</v>
      </c>
      <c r="D5401" s="16" t="s">
        <v>707</v>
      </c>
      <c r="E5401" s="16">
        <v>2023.0</v>
      </c>
      <c r="F5401" s="16">
        <v>52.638</v>
      </c>
      <c r="G5401" s="16">
        <v>12.6927</v>
      </c>
      <c r="H5401" s="15"/>
      <c r="I5401" s="15"/>
    </row>
    <row r="5402">
      <c r="A5402" s="18">
        <v>45665.0</v>
      </c>
      <c r="B5402" s="16" t="s">
        <v>6208</v>
      </c>
      <c r="C5402" s="16" t="s">
        <v>1007</v>
      </c>
      <c r="D5402" s="16" t="s">
        <v>707</v>
      </c>
      <c r="E5402" s="16">
        <v>2023.0</v>
      </c>
      <c r="F5402" s="16">
        <v>53.8669</v>
      </c>
      <c r="G5402" s="16">
        <v>13.1051</v>
      </c>
      <c r="H5402" s="15"/>
      <c r="I5402" s="15"/>
    </row>
    <row r="5403">
      <c r="A5403" s="18">
        <v>45665.0</v>
      </c>
      <c r="B5403" s="16" t="s">
        <v>6209</v>
      </c>
      <c r="C5403" s="16" t="s">
        <v>942</v>
      </c>
      <c r="D5403" s="16" t="s">
        <v>707</v>
      </c>
      <c r="E5403" s="16">
        <v>2023.0</v>
      </c>
      <c r="F5403" s="16">
        <v>52.7169</v>
      </c>
      <c r="G5403" s="16">
        <v>14.1116</v>
      </c>
      <c r="H5403" s="15"/>
      <c r="I5403" s="15"/>
    </row>
    <row r="5404">
      <c r="A5404" s="18">
        <v>45665.0</v>
      </c>
      <c r="B5404" s="16" t="s">
        <v>6210</v>
      </c>
      <c r="C5404" s="16" t="s">
        <v>1090</v>
      </c>
      <c r="D5404" s="16" t="s">
        <v>707</v>
      </c>
      <c r="E5404" s="16">
        <v>2023.0</v>
      </c>
      <c r="F5404" s="16">
        <v>51.9142</v>
      </c>
      <c r="G5404" s="16">
        <v>12.7729</v>
      </c>
      <c r="H5404" s="15"/>
      <c r="I5404" s="15"/>
    </row>
    <row r="5405">
      <c r="A5405" s="18">
        <v>45665.0</v>
      </c>
      <c r="B5405" s="16" t="s">
        <v>6211</v>
      </c>
      <c r="C5405" s="16" t="s">
        <v>942</v>
      </c>
      <c r="D5405" s="16" t="s">
        <v>707</v>
      </c>
      <c r="E5405" s="16">
        <v>2023.0</v>
      </c>
      <c r="F5405" s="16">
        <v>51.3372</v>
      </c>
      <c r="G5405" s="16">
        <v>13.3588</v>
      </c>
      <c r="H5405" s="15"/>
      <c r="I5405" s="15"/>
    </row>
    <row r="5406">
      <c r="A5406" s="18">
        <v>45665.0</v>
      </c>
      <c r="B5406" s="16" t="s">
        <v>6212</v>
      </c>
      <c r="C5406" s="16" t="s">
        <v>1037</v>
      </c>
      <c r="D5406" s="16" t="s">
        <v>707</v>
      </c>
      <c r="E5406" s="16">
        <v>2023.0</v>
      </c>
      <c r="F5406" s="16">
        <v>52.786</v>
      </c>
      <c r="G5406" s="16">
        <v>12.5938</v>
      </c>
      <c r="H5406" s="15"/>
      <c r="I5406" s="15"/>
    </row>
    <row r="5407">
      <c r="A5407" s="18">
        <v>45665.0</v>
      </c>
      <c r="B5407" s="16" t="s">
        <v>6213</v>
      </c>
      <c r="C5407" s="16" t="s">
        <v>1059</v>
      </c>
      <c r="D5407" s="16" t="s">
        <v>707</v>
      </c>
      <c r="E5407" s="16">
        <v>2023.0</v>
      </c>
      <c r="F5407" s="16">
        <v>50.3942</v>
      </c>
      <c r="G5407" s="16">
        <v>11.8808</v>
      </c>
      <c r="H5407" s="15"/>
      <c r="I5407" s="15"/>
    </row>
    <row r="5408">
      <c r="A5408" s="18">
        <v>45665.0</v>
      </c>
      <c r="B5408" s="16" t="s">
        <v>6214</v>
      </c>
      <c r="C5408" s="16" t="s">
        <v>1059</v>
      </c>
      <c r="D5408" s="16" t="s">
        <v>707</v>
      </c>
      <c r="E5408" s="16">
        <v>2023.0</v>
      </c>
      <c r="F5408" s="16">
        <v>50.3939</v>
      </c>
      <c r="G5408" s="16">
        <v>11.8814</v>
      </c>
      <c r="H5408" s="15"/>
      <c r="I5408" s="15"/>
    </row>
    <row r="5409">
      <c r="A5409" s="18">
        <v>45665.0</v>
      </c>
      <c r="B5409" s="16" t="s">
        <v>6215</v>
      </c>
      <c r="C5409" s="16" t="s">
        <v>1096</v>
      </c>
      <c r="D5409" s="16" t="s">
        <v>707</v>
      </c>
      <c r="E5409" s="16">
        <v>2023.0</v>
      </c>
      <c r="F5409" s="16">
        <v>48.259</v>
      </c>
      <c r="G5409" s="16">
        <v>11.6134</v>
      </c>
      <c r="H5409" s="15"/>
      <c r="I5409" s="15"/>
    </row>
    <row r="5410">
      <c r="A5410" s="18">
        <v>45665.0</v>
      </c>
      <c r="B5410" s="16" t="s">
        <v>6216</v>
      </c>
      <c r="C5410" s="16" t="s">
        <v>2770</v>
      </c>
      <c r="D5410" s="16" t="s">
        <v>707</v>
      </c>
      <c r="E5410" s="16">
        <v>2023.0</v>
      </c>
      <c r="F5410" s="16">
        <v>54.2779</v>
      </c>
      <c r="G5410" s="16">
        <v>13.0895</v>
      </c>
      <c r="H5410" s="15"/>
      <c r="I5410" s="15"/>
    </row>
    <row r="5411">
      <c r="A5411" s="18">
        <v>45665.0</v>
      </c>
      <c r="B5411" s="16" t="s">
        <v>6217</v>
      </c>
      <c r="C5411" s="16" t="s">
        <v>1351</v>
      </c>
      <c r="D5411" s="16" t="s">
        <v>707</v>
      </c>
      <c r="E5411" s="16">
        <v>2023.0</v>
      </c>
      <c r="F5411" s="16">
        <v>49.0</v>
      </c>
      <c r="G5411" s="16">
        <v>12.0</v>
      </c>
      <c r="H5411" s="15"/>
      <c r="I5411" s="15"/>
    </row>
    <row r="5412">
      <c r="A5412" s="18">
        <v>45665.0</v>
      </c>
      <c r="B5412" s="16" t="s">
        <v>6218</v>
      </c>
      <c r="C5412" s="16" t="s">
        <v>965</v>
      </c>
      <c r="D5412" s="16" t="s">
        <v>707</v>
      </c>
      <c r="E5412" s="16">
        <v>2023.0</v>
      </c>
      <c r="F5412" s="16">
        <v>50.1695</v>
      </c>
      <c r="G5412" s="16">
        <v>11.3026</v>
      </c>
      <c r="H5412" s="15"/>
      <c r="I5412" s="15"/>
    </row>
    <row r="5413">
      <c r="A5413" s="18">
        <v>45665.0</v>
      </c>
      <c r="B5413" s="16" t="s">
        <v>6219</v>
      </c>
      <c r="C5413" s="16" t="s">
        <v>1037</v>
      </c>
      <c r="D5413" s="16" t="s">
        <v>707</v>
      </c>
      <c r="E5413" s="16">
        <v>2023.0</v>
      </c>
      <c r="F5413" s="16">
        <v>49.2076</v>
      </c>
      <c r="G5413" s="16">
        <v>9.6651</v>
      </c>
      <c r="H5413" s="15"/>
      <c r="I5413" s="15"/>
    </row>
    <row r="5414">
      <c r="A5414" s="18">
        <v>45665.0</v>
      </c>
      <c r="B5414" s="16" t="s">
        <v>6220</v>
      </c>
      <c r="C5414" s="16" t="s">
        <v>948</v>
      </c>
      <c r="D5414" s="16" t="s">
        <v>707</v>
      </c>
      <c r="E5414" s="16">
        <v>2023.0</v>
      </c>
      <c r="F5414" s="16">
        <v>51.5956</v>
      </c>
      <c r="G5414" s="16">
        <v>10.6121</v>
      </c>
      <c r="H5414" s="15"/>
      <c r="I5414" s="15"/>
    </row>
    <row r="5415">
      <c r="A5415" s="18">
        <v>45665.0</v>
      </c>
      <c r="B5415" s="16" t="s">
        <v>6221</v>
      </c>
      <c r="C5415" s="16" t="s">
        <v>1034</v>
      </c>
      <c r="D5415" s="16" t="s">
        <v>707</v>
      </c>
      <c r="E5415" s="16">
        <v>2023.0</v>
      </c>
      <c r="F5415" s="16">
        <v>48.923</v>
      </c>
      <c r="G5415" s="16">
        <v>8.7217</v>
      </c>
      <c r="H5415" s="15"/>
      <c r="I5415" s="15"/>
    </row>
    <row r="5416">
      <c r="A5416" s="18">
        <v>45665.0</v>
      </c>
      <c r="B5416" s="16" t="s">
        <v>6222</v>
      </c>
      <c r="C5416" s="16" t="s">
        <v>1039</v>
      </c>
      <c r="D5416" s="16" t="s">
        <v>707</v>
      </c>
      <c r="E5416" s="16">
        <v>2023.0</v>
      </c>
      <c r="F5416" s="16">
        <v>48.2595</v>
      </c>
      <c r="G5416" s="16">
        <v>8.4865</v>
      </c>
      <c r="H5416" s="15"/>
      <c r="I5416" s="15"/>
    </row>
    <row r="5417">
      <c r="A5417" s="18">
        <v>45665.0</v>
      </c>
      <c r="B5417" s="16" t="s">
        <v>6223</v>
      </c>
      <c r="C5417" s="16" t="s">
        <v>946</v>
      </c>
      <c r="D5417" s="16" t="s">
        <v>707</v>
      </c>
      <c r="E5417" s="16">
        <v>2023.0</v>
      </c>
      <c r="F5417" s="16">
        <v>51.1894</v>
      </c>
      <c r="G5417" s="16">
        <v>11.214</v>
      </c>
      <c r="H5417" s="15"/>
      <c r="I5417" s="15"/>
    </row>
    <row r="5418">
      <c r="A5418" s="18">
        <v>45665.0</v>
      </c>
      <c r="B5418" s="16" t="s">
        <v>6224</v>
      </c>
      <c r="C5418" s="16" t="s">
        <v>5342</v>
      </c>
      <c r="D5418" s="16" t="s">
        <v>707</v>
      </c>
      <c r="E5418" s="16">
        <v>2023.0</v>
      </c>
      <c r="F5418" s="16">
        <v>49.0636</v>
      </c>
      <c r="G5418" s="16">
        <v>12.9221</v>
      </c>
      <c r="H5418" s="15"/>
      <c r="I5418" s="15"/>
    </row>
    <row r="5419">
      <c r="A5419" s="18">
        <v>45665.0</v>
      </c>
      <c r="B5419" s="16" t="s">
        <v>6225</v>
      </c>
      <c r="C5419" s="16" t="s">
        <v>3817</v>
      </c>
      <c r="D5419" s="16" t="s">
        <v>707</v>
      </c>
      <c r="E5419" s="16">
        <v>2023.0</v>
      </c>
      <c r="F5419" s="16">
        <v>53.3432</v>
      </c>
      <c r="G5419" s="16">
        <v>11.8239</v>
      </c>
      <c r="H5419" s="15"/>
      <c r="I5419" s="15"/>
    </row>
    <row r="5420">
      <c r="A5420" s="18">
        <v>45665.0</v>
      </c>
      <c r="B5420" s="16" t="s">
        <v>6226</v>
      </c>
      <c r="C5420" s="16" t="s">
        <v>942</v>
      </c>
      <c r="D5420" s="16" t="s">
        <v>707</v>
      </c>
      <c r="E5420" s="16">
        <v>2023.0</v>
      </c>
      <c r="F5420" s="16">
        <v>51.1089</v>
      </c>
      <c r="G5420" s="16">
        <v>12.6098</v>
      </c>
      <c r="H5420" s="15"/>
      <c r="I5420" s="15"/>
    </row>
    <row r="5421">
      <c r="A5421" s="18">
        <v>45665.0</v>
      </c>
      <c r="B5421" s="16" t="s">
        <v>6227</v>
      </c>
      <c r="C5421" s="16" t="s">
        <v>942</v>
      </c>
      <c r="D5421" s="16" t="s">
        <v>707</v>
      </c>
      <c r="E5421" s="16">
        <v>2023.0</v>
      </c>
      <c r="F5421" s="16">
        <v>51.0945</v>
      </c>
      <c r="G5421" s="16">
        <v>11.791</v>
      </c>
      <c r="H5421" s="15"/>
      <c r="I5421" s="15"/>
    </row>
    <row r="5422">
      <c r="A5422" s="18">
        <v>45665.0</v>
      </c>
      <c r="B5422" s="16" t="s">
        <v>6228</v>
      </c>
      <c r="C5422" s="16" t="s">
        <v>1039</v>
      </c>
      <c r="D5422" s="16" t="s">
        <v>707</v>
      </c>
      <c r="E5422" s="16">
        <v>2023.0</v>
      </c>
      <c r="F5422" s="16">
        <v>50.9948</v>
      </c>
      <c r="G5422" s="16">
        <v>6.8211</v>
      </c>
      <c r="H5422" s="15"/>
      <c r="I5422" s="15"/>
    </row>
    <row r="5423">
      <c r="A5423" s="18">
        <v>45665.0</v>
      </c>
      <c r="B5423" s="16" t="s">
        <v>6229</v>
      </c>
      <c r="C5423" s="16" t="s">
        <v>942</v>
      </c>
      <c r="D5423" s="16" t="s">
        <v>707</v>
      </c>
      <c r="E5423" s="16">
        <v>2023.0</v>
      </c>
      <c r="F5423" s="16">
        <v>49.3054</v>
      </c>
      <c r="G5423" s="16">
        <v>9.5248</v>
      </c>
      <c r="H5423" s="15"/>
      <c r="I5423" s="15"/>
    </row>
    <row r="5424">
      <c r="A5424" s="18">
        <v>45665.0</v>
      </c>
      <c r="B5424" s="16" t="s">
        <v>828</v>
      </c>
      <c r="C5424" s="16" t="s">
        <v>1085</v>
      </c>
      <c r="D5424" s="16" t="s">
        <v>707</v>
      </c>
      <c r="E5424" s="16">
        <v>2023.0</v>
      </c>
      <c r="F5424" s="16">
        <v>51.81</v>
      </c>
      <c r="G5424" s="16">
        <v>11.1233</v>
      </c>
      <c r="H5424" s="15"/>
      <c r="I5424" s="15"/>
    </row>
    <row r="5425">
      <c r="A5425" s="18">
        <v>45665.0</v>
      </c>
      <c r="B5425" s="16" t="s">
        <v>6230</v>
      </c>
      <c r="C5425" s="16">
        <v>5.0</v>
      </c>
      <c r="D5425" s="16" t="s">
        <v>707</v>
      </c>
      <c r="E5425" s="16">
        <v>2023.0</v>
      </c>
      <c r="F5425" s="16">
        <v>53.0956</v>
      </c>
      <c r="G5425" s="16">
        <v>8.7248</v>
      </c>
      <c r="H5425" s="15"/>
      <c r="I5425" s="15"/>
    </row>
    <row r="5426">
      <c r="A5426" s="18">
        <v>45665.0</v>
      </c>
      <c r="B5426" s="16" t="s">
        <v>6231</v>
      </c>
      <c r="C5426" s="16" t="s">
        <v>1101</v>
      </c>
      <c r="D5426" s="16" t="s">
        <v>707</v>
      </c>
      <c r="E5426" s="16">
        <v>2023.0</v>
      </c>
      <c r="F5426" s="16">
        <v>51.4143</v>
      </c>
      <c r="G5426" s="16">
        <v>12.4349</v>
      </c>
      <c r="H5426" s="15"/>
      <c r="I5426" s="15"/>
    </row>
    <row r="5427">
      <c r="A5427" s="18">
        <v>45665.0</v>
      </c>
      <c r="B5427" s="16" t="s">
        <v>6232</v>
      </c>
      <c r="C5427" s="16">
        <v>3.0</v>
      </c>
      <c r="D5427" s="16" t="s">
        <v>707</v>
      </c>
      <c r="E5427" s="16">
        <v>2023.0</v>
      </c>
      <c r="F5427" s="16">
        <v>51.4146</v>
      </c>
      <c r="G5427" s="16">
        <v>12.4347</v>
      </c>
      <c r="H5427" s="15"/>
      <c r="I5427" s="15"/>
    </row>
    <row r="5428">
      <c r="A5428" s="18">
        <v>45665.0</v>
      </c>
      <c r="B5428" s="16" t="s">
        <v>6233</v>
      </c>
      <c r="C5428" s="16" t="s">
        <v>1085</v>
      </c>
      <c r="D5428" s="16" t="s">
        <v>707</v>
      </c>
      <c r="E5428" s="16">
        <v>2023.0</v>
      </c>
      <c r="F5428" s="16">
        <v>52.1888</v>
      </c>
      <c r="G5428" s="16">
        <v>11.6092</v>
      </c>
      <c r="H5428" s="15"/>
      <c r="I5428" s="15"/>
    </row>
    <row r="5429">
      <c r="A5429" s="18">
        <v>45665.0</v>
      </c>
      <c r="B5429" s="16" t="s">
        <v>6234</v>
      </c>
      <c r="C5429" s="16" t="s">
        <v>1267</v>
      </c>
      <c r="D5429" s="16" t="s">
        <v>707</v>
      </c>
      <c r="E5429" s="16">
        <v>2023.0</v>
      </c>
      <c r="F5429" s="16">
        <v>52.188</v>
      </c>
      <c r="G5429" s="16">
        <v>11.6115</v>
      </c>
      <c r="H5429" s="15"/>
      <c r="I5429" s="15"/>
    </row>
    <row r="5430">
      <c r="A5430" s="18">
        <v>45665.0</v>
      </c>
      <c r="B5430" s="16" t="s">
        <v>6235</v>
      </c>
      <c r="C5430" s="16" t="s">
        <v>959</v>
      </c>
      <c r="D5430" s="16" t="s">
        <v>707</v>
      </c>
      <c r="E5430" s="16">
        <v>2023.0</v>
      </c>
      <c r="F5430" s="16">
        <v>53.0956</v>
      </c>
      <c r="G5430" s="16">
        <v>8.7249</v>
      </c>
      <c r="H5430" s="15"/>
      <c r="I5430" s="15"/>
    </row>
    <row r="5431">
      <c r="A5431" s="18">
        <v>45665.0</v>
      </c>
      <c r="B5431" s="16" t="s">
        <v>6236</v>
      </c>
      <c r="C5431" s="16" t="s">
        <v>1101</v>
      </c>
      <c r="D5431" s="16" t="s">
        <v>707</v>
      </c>
      <c r="E5431" s="16">
        <v>2023.0</v>
      </c>
      <c r="F5431" s="16">
        <v>53.0956</v>
      </c>
      <c r="G5431" s="16">
        <v>8.7248</v>
      </c>
      <c r="H5431" s="15"/>
      <c r="I5431" s="15"/>
    </row>
    <row r="5432">
      <c r="A5432" s="18">
        <v>45665.0</v>
      </c>
      <c r="B5432" s="16" t="s">
        <v>6237</v>
      </c>
      <c r="C5432" s="16" t="s">
        <v>1351</v>
      </c>
      <c r="D5432" s="16" t="s">
        <v>707</v>
      </c>
      <c r="E5432" s="16">
        <v>2023.0</v>
      </c>
      <c r="F5432" s="16">
        <v>51.4131</v>
      </c>
      <c r="G5432" s="16">
        <v>12.4323</v>
      </c>
      <c r="H5432" s="15"/>
      <c r="I5432" s="15"/>
    </row>
    <row r="5433">
      <c r="A5433" s="18">
        <v>45665.0</v>
      </c>
      <c r="B5433" s="16" t="s">
        <v>6238</v>
      </c>
      <c r="C5433" s="16" t="s">
        <v>946</v>
      </c>
      <c r="D5433" s="16" t="s">
        <v>707</v>
      </c>
      <c r="E5433" s="16">
        <v>2023.0</v>
      </c>
      <c r="F5433" s="16">
        <v>51.4413</v>
      </c>
      <c r="G5433" s="16">
        <v>12.3805</v>
      </c>
      <c r="H5433" s="15"/>
      <c r="I5433" s="15"/>
    </row>
    <row r="5434">
      <c r="A5434" s="18">
        <v>45665.0</v>
      </c>
      <c r="B5434" s="16" t="s">
        <v>6239</v>
      </c>
      <c r="C5434" s="16" t="s">
        <v>1267</v>
      </c>
      <c r="D5434" s="16" t="s">
        <v>707</v>
      </c>
      <c r="E5434" s="16">
        <v>2023.0</v>
      </c>
      <c r="F5434" s="16">
        <v>51.4414</v>
      </c>
      <c r="G5434" s="16">
        <v>12.3799</v>
      </c>
      <c r="H5434" s="15"/>
      <c r="I5434" s="15"/>
    </row>
    <row r="5435">
      <c r="A5435" s="18">
        <v>45665.0</v>
      </c>
      <c r="B5435" s="16" t="s">
        <v>6240</v>
      </c>
      <c r="C5435" s="16" t="s">
        <v>1085</v>
      </c>
      <c r="D5435" s="16" t="s">
        <v>707</v>
      </c>
      <c r="E5435" s="16">
        <v>2023.0</v>
      </c>
      <c r="F5435" s="16">
        <v>51.4414</v>
      </c>
      <c r="G5435" s="16">
        <v>12.3883</v>
      </c>
      <c r="H5435" s="15"/>
      <c r="I5435" s="15"/>
    </row>
    <row r="5436">
      <c r="A5436" s="18">
        <v>45665.0</v>
      </c>
      <c r="B5436" s="16" t="s">
        <v>853</v>
      </c>
      <c r="C5436" s="16">
        <v>8.0</v>
      </c>
      <c r="D5436" s="16" t="s">
        <v>707</v>
      </c>
      <c r="E5436" s="16">
        <v>2023.0</v>
      </c>
      <c r="F5436" s="16">
        <v>48.8749</v>
      </c>
      <c r="G5436" s="16">
        <v>12.4889</v>
      </c>
      <c r="H5436" s="15"/>
      <c r="I5436" s="15"/>
    </row>
    <row r="5437">
      <c r="A5437" s="18">
        <v>45665.0</v>
      </c>
      <c r="B5437" s="16" t="s">
        <v>853</v>
      </c>
      <c r="C5437" s="16" t="s">
        <v>6241</v>
      </c>
      <c r="D5437" s="16" t="s">
        <v>707</v>
      </c>
      <c r="E5437" s="16">
        <v>2023.0</v>
      </c>
      <c r="F5437" s="16">
        <v>48.8747</v>
      </c>
      <c r="G5437" s="16">
        <v>12.4666</v>
      </c>
      <c r="H5437" s="15"/>
      <c r="I5437" s="15"/>
    </row>
    <row r="5438">
      <c r="A5438" s="18">
        <v>45665.0</v>
      </c>
      <c r="B5438" s="16" t="s">
        <v>853</v>
      </c>
      <c r="C5438" s="16" t="s">
        <v>984</v>
      </c>
      <c r="D5438" s="16" t="s">
        <v>707</v>
      </c>
      <c r="E5438" s="16">
        <v>2023.0</v>
      </c>
      <c r="F5438" s="16">
        <v>48.8753</v>
      </c>
      <c r="G5438" s="16">
        <v>12.5158</v>
      </c>
      <c r="H5438" s="15"/>
      <c r="I5438" s="15"/>
    </row>
    <row r="5439">
      <c r="A5439" s="18">
        <v>45665.0</v>
      </c>
      <c r="B5439" s="16" t="s">
        <v>853</v>
      </c>
      <c r="C5439" s="16" t="s">
        <v>3086</v>
      </c>
      <c r="D5439" s="16" t="s">
        <v>707</v>
      </c>
      <c r="E5439" s="16">
        <v>2023.0</v>
      </c>
      <c r="F5439" s="16">
        <v>48.8755</v>
      </c>
      <c r="G5439" s="16">
        <v>12.52</v>
      </c>
      <c r="H5439" s="15"/>
      <c r="I5439" s="15"/>
    </row>
    <row r="5440">
      <c r="A5440" s="18">
        <v>45665.0</v>
      </c>
      <c r="B5440" s="16" t="s">
        <v>6242</v>
      </c>
      <c r="C5440" s="16" t="s">
        <v>1931</v>
      </c>
      <c r="D5440" s="16" t="s">
        <v>707</v>
      </c>
      <c r="E5440" s="16">
        <v>2023.0</v>
      </c>
      <c r="F5440" s="16">
        <v>50.8833</v>
      </c>
      <c r="G5440" s="16">
        <v>8.8088</v>
      </c>
      <c r="H5440" s="15"/>
      <c r="I5440" s="15"/>
    </row>
    <row r="5441">
      <c r="A5441" s="18">
        <v>45665.0</v>
      </c>
      <c r="B5441" s="16" t="s">
        <v>6243</v>
      </c>
      <c r="C5441" s="16" t="s">
        <v>946</v>
      </c>
      <c r="D5441" s="16" t="s">
        <v>707</v>
      </c>
      <c r="E5441" s="16">
        <v>2023.0</v>
      </c>
      <c r="F5441" s="16">
        <v>49.4886</v>
      </c>
      <c r="G5441" s="16">
        <v>8.4535</v>
      </c>
      <c r="H5441" s="15"/>
      <c r="I5441" s="15"/>
    </row>
    <row r="5442">
      <c r="A5442" s="18">
        <v>45665.0</v>
      </c>
      <c r="B5442" s="16" t="s">
        <v>6244</v>
      </c>
      <c r="C5442" s="16" t="s">
        <v>1101</v>
      </c>
      <c r="D5442" s="16" t="s">
        <v>707</v>
      </c>
      <c r="E5442" s="16">
        <v>2023.0</v>
      </c>
      <c r="F5442" s="16">
        <v>53.2229</v>
      </c>
      <c r="G5442" s="16">
        <v>9.4724</v>
      </c>
      <c r="H5442" s="15"/>
      <c r="I5442" s="15"/>
    </row>
    <row r="5443">
      <c r="A5443" s="18">
        <v>45665.0</v>
      </c>
      <c r="B5443" s="16" t="s">
        <v>6245</v>
      </c>
      <c r="C5443" s="16" t="s">
        <v>1037</v>
      </c>
      <c r="D5443" s="16" t="s">
        <v>707</v>
      </c>
      <c r="E5443" s="16">
        <v>2023.0</v>
      </c>
      <c r="F5443" s="16">
        <v>51.1159</v>
      </c>
      <c r="G5443" s="16">
        <v>12.0902</v>
      </c>
      <c r="H5443" s="15"/>
      <c r="I5443" s="15"/>
    </row>
    <row r="5444">
      <c r="A5444" s="18">
        <v>45665.0</v>
      </c>
      <c r="B5444" s="16" t="s">
        <v>6246</v>
      </c>
      <c r="C5444" s="16" t="s">
        <v>978</v>
      </c>
      <c r="D5444" s="16" t="s">
        <v>707</v>
      </c>
      <c r="E5444" s="16">
        <v>2023.0</v>
      </c>
      <c r="F5444" s="16">
        <v>51.1159</v>
      </c>
      <c r="G5444" s="16">
        <v>12.0902</v>
      </c>
      <c r="H5444" s="15"/>
      <c r="I5444" s="15"/>
    </row>
    <row r="5445">
      <c r="A5445" s="18">
        <v>45665.0</v>
      </c>
      <c r="B5445" s="16" t="s">
        <v>6247</v>
      </c>
      <c r="C5445" s="16" t="s">
        <v>1039</v>
      </c>
      <c r="D5445" s="16" t="s">
        <v>707</v>
      </c>
      <c r="E5445" s="16">
        <v>2023.0</v>
      </c>
      <c r="F5445" s="16">
        <v>51.1159</v>
      </c>
      <c r="G5445" s="16">
        <v>12.0902</v>
      </c>
      <c r="H5445" s="15"/>
      <c r="I5445" s="15"/>
    </row>
    <row r="5446">
      <c r="A5446" s="18">
        <v>45665.0</v>
      </c>
      <c r="B5446" s="16" t="s">
        <v>6248</v>
      </c>
      <c r="C5446" s="16">
        <v>2.0</v>
      </c>
      <c r="D5446" s="16" t="s">
        <v>707</v>
      </c>
      <c r="E5446" s="16">
        <v>2023.0</v>
      </c>
      <c r="F5446" s="16">
        <v>51.1159</v>
      </c>
      <c r="G5446" s="16">
        <v>12.0902</v>
      </c>
      <c r="H5446" s="15"/>
      <c r="I5446" s="15"/>
    </row>
    <row r="5447">
      <c r="A5447" s="18">
        <v>45665.0</v>
      </c>
      <c r="B5447" s="16" t="s">
        <v>6249</v>
      </c>
      <c r="C5447" s="16" t="s">
        <v>1039</v>
      </c>
      <c r="D5447" s="16" t="s">
        <v>707</v>
      </c>
      <c r="E5447" s="16">
        <v>2023.0</v>
      </c>
      <c r="F5447" s="16">
        <v>51.1159</v>
      </c>
      <c r="G5447" s="16">
        <v>12.0902</v>
      </c>
      <c r="H5447" s="15"/>
      <c r="I5447" s="15"/>
    </row>
    <row r="5448">
      <c r="A5448" s="18">
        <v>45665.0</v>
      </c>
      <c r="B5448" s="16" t="s">
        <v>6250</v>
      </c>
      <c r="C5448" s="16" t="s">
        <v>1267</v>
      </c>
      <c r="D5448" s="16" t="s">
        <v>707</v>
      </c>
      <c r="E5448" s="16">
        <v>2023.0</v>
      </c>
      <c r="F5448" s="16">
        <v>51.2976</v>
      </c>
      <c r="G5448" s="16">
        <v>11.5943</v>
      </c>
      <c r="H5448" s="15"/>
      <c r="I5448" s="15"/>
    </row>
    <row r="5449">
      <c r="A5449" s="18">
        <v>45665.0</v>
      </c>
      <c r="B5449" s="16" t="s">
        <v>6251</v>
      </c>
      <c r="C5449" s="16" t="s">
        <v>948</v>
      </c>
      <c r="D5449" s="16" t="s">
        <v>707</v>
      </c>
      <c r="E5449" s="16">
        <v>2023.0</v>
      </c>
      <c r="F5449" s="16">
        <v>48.516</v>
      </c>
      <c r="G5449" s="16">
        <v>9.0659</v>
      </c>
      <c r="H5449" s="15"/>
      <c r="I5449" s="15"/>
    </row>
    <row r="5450">
      <c r="A5450" s="18">
        <v>45665.0</v>
      </c>
      <c r="B5450" s="16" t="s">
        <v>6252</v>
      </c>
      <c r="C5450" s="16" t="s">
        <v>969</v>
      </c>
      <c r="D5450" s="16" t="s">
        <v>707</v>
      </c>
      <c r="E5450" s="16">
        <v>2023.0</v>
      </c>
      <c r="F5450" s="16">
        <v>49.8648</v>
      </c>
      <c r="G5450" s="16">
        <v>6.8097</v>
      </c>
      <c r="H5450" s="15"/>
      <c r="I5450" s="15"/>
    </row>
    <row r="5451">
      <c r="A5451" s="18">
        <v>45665.0</v>
      </c>
      <c r="B5451" s="16" t="s">
        <v>6253</v>
      </c>
      <c r="C5451" s="16" t="s">
        <v>946</v>
      </c>
      <c r="D5451" s="16" t="s">
        <v>707</v>
      </c>
      <c r="E5451" s="16">
        <v>2023.0</v>
      </c>
      <c r="F5451" s="16">
        <v>51.6051</v>
      </c>
      <c r="G5451" s="16">
        <v>8.332</v>
      </c>
      <c r="H5451" s="15"/>
      <c r="I5451" s="15"/>
    </row>
    <row r="5452">
      <c r="A5452" s="18">
        <v>45665.0</v>
      </c>
      <c r="B5452" s="16" t="s">
        <v>6254</v>
      </c>
      <c r="C5452" s="16" t="s">
        <v>951</v>
      </c>
      <c r="D5452" s="16" t="s">
        <v>707</v>
      </c>
      <c r="E5452" s="16">
        <v>2023.0</v>
      </c>
      <c r="F5452" s="16">
        <v>53.9042</v>
      </c>
      <c r="G5452" s="16">
        <v>12.8711</v>
      </c>
      <c r="H5452" s="15"/>
      <c r="I5452" s="15"/>
    </row>
    <row r="5453">
      <c r="A5453" s="18">
        <v>45665.0</v>
      </c>
      <c r="B5453" s="16" t="s">
        <v>6255</v>
      </c>
      <c r="C5453" s="16">
        <v>3.0</v>
      </c>
      <c r="D5453" s="16" t="s">
        <v>707</v>
      </c>
      <c r="E5453" s="16">
        <v>2023.0</v>
      </c>
      <c r="F5453" s="16">
        <v>49.6953</v>
      </c>
      <c r="G5453" s="16">
        <v>10.8503</v>
      </c>
      <c r="H5453" s="15"/>
      <c r="I5453" s="15"/>
    </row>
    <row r="5454">
      <c r="A5454" s="18">
        <v>45665.0</v>
      </c>
      <c r="B5454" s="16" t="s">
        <v>6256</v>
      </c>
      <c r="C5454" s="16">
        <v>3.0</v>
      </c>
      <c r="D5454" s="16" t="s">
        <v>707</v>
      </c>
      <c r="E5454" s="16">
        <v>2023.0</v>
      </c>
      <c r="F5454" s="16">
        <v>49.6122</v>
      </c>
      <c r="G5454" s="16">
        <v>9.5321</v>
      </c>
      <c r="H5454" s="15"/>
      <c r="I5454" s="15"/>
    </row>
    <row r="5455">
      <c r="A5455" s="18">
        <v>45665.0</v>
      </c>
      <c r="B5455" s="16" t="s">
        <v>6257</v>
      </c>
      <c r="C5455" s="16">
        <v>2.0</v>
      </c>
      <c r="D5455" s="16" t="s">
        <v>707</v>
      </c>
      <c r="E5455" s="16">
        <v>2023.0</v>
      </c>
      <c r="F5455" s="16">
        <v>52.1789</v>
      </c>
      <c r="G5455" s="16">
        <v>11.434</v>
      </c>
      <c r="H5455" s="15"/>
      <c r="I5455" s="15"/>
    </row>
    <row r="5456">
      <c r="A5456" s="18">
        <v>45665.0</v>
      </c>
      <c r="B5456" s="16" t="s">
        <v>6258</v>
      </c>
      <c r="C5456" s="16" t="s">
        <v>1090</v>
      </c>
      <c r="D5456" s="16" t="s">
        <v>707</v>
      </c>
      <c r="E5456" s="16">
        <v>2023.0</v>
      </c>
      <c r="F5456" s="16">
        <v>50.9851</v>
      </c>
      <c r="G5456" s="16">
        <v>11.1141</v>
      </c>
      <c r="H5456" s="15"/>
      <c r="I5456" s="15"/>
    </row>
    <row r="5457">
      <c r="A5457" s="18">
        <v>45665.0</v>
      </c>
      <c r="B5457" s="16" t="s">
        <v>6259</v>
      </c>
      <c r="C5457" s="16" t="s">
        <v>1085</v>
      </c>
      <c r="D5457" s="16" t="s">
        <v>707</v>
      </c>
      <c r="E5457" s="16">
        <v>2023.0</v>
      </c>
      <c r="F5457" s="16">
        <v>48.777</v>
      </c>
      <c r="G5457" s="16">
        <v>11.5445</v>
      </c>
      <c r="H5457" s="15"/>
      <c r="I5457" s="15"/>
    </row>
    <row r="5458">
      <c r="A5458" s="18">
        <v>45665.0</v>
      </c>
      <c r="B5458" s="16" t="s">
        <v>6260</v>
      </c>
      <c r="C5458" s="16" t="s">
        <v>3505</v>
      </c>
      <c r="D5458" s="16" t="s">
        <v>707</v>
      </c>
      <c r="E5458" s="16">
        <v>2023.0</v>
      </c>
      <c r="F5458" s="16">
        <v>50.9753</v>
      </c>
      <c r="G5458" s="16">
        <v>6.2855</v>
      </c>
      <c r="H5458" s="15"/>
      <c r="I5458" s="15"/>
    </row>
    <row r="5459">
      <c r="A5459" s="18">
        <v>45665.0</v>
      </c>
      <c r="B5459" s="16" t="s">
        <v>6261</v>
      </c>
      <c r="C5459" s="16" t="s">
        <v>1399</v>
      </c>
      <c r="D5459" s="16" t="s">
        <v>707</v>
      </c>
      <c r="E5459" s="16">
        <v>2023.0</v>
      </c>
      <c r="F5459" s="16">
        <v>51.8849</v>
      </c>
      <c r="G5459" s="16">
        <v>12.569</v>
      </c>
      <c r="H5459" s="15"/>
      <c r="I5459" s="15"/>
    </row>
    <row r="5460">
      <c r="A5460" s="18">
        <v>45665.0</v>
      </c>
      <c r="B5460" s="16" t="s">
        <v>6262</v>
      </c>
      <c r="C5460" s="16" t="s">
        <v>946</v>
      </c>
      <c r="D5460" s="16" t="s">
        <v>707</v>
      </c>
      <c r="E5460" s="16">
        <v>2023.0</v>
      </c>
      <c r="F5460" s="16">
        <v>50.678</v>
      </c>
      <c r="G5460" s="16">
        <v>12.1286</v>
      </c>
      <c r="H5460" s="15"/>
      <c r="I5460" s="15"/>
    </row>
    <row r="5461">
      <c r="A5461" s="18">
        <v>45665.0</v>
      </c>
      <c r="B5461" s="16" t="s">
        <v>6263</v>
      </c>
      <c r="C5461" s="16">
        <v>7.0</v>
      </c>
      <c r="D5461" s="16" t="s">
        <v>707</v>
      </c>
      <c r="E5461" s="16">
        <v>2023.0</v>
      </c>
      <c r="F5461" s="16">
        <v>51.0435</v>
      </c>
      <c r="G5461" s="16">
        <v>10.937</v>
      </c>
      <c r="H5461" s="15"/>
      <c r="I5461" s="15"/>
    </row>
    <row r="5462">
      <c r="A5462" s="18">
        <v>45665.0</v>
      </c>
      <c r="B5462" s="16" t="s">
        <v>6264</v>
      </c>
      <c r="C5462" s="16" t="s">
        <v>1080</v>
      </c>
      <c r="D5462" s="16" t="s">
        <v>707</v>
      </c>
      <c r="E5462" s="16">
        <v>2023.0</v>
      </c>
      <c r="F5462" s="16">
        <v>52.2779</v>
      </c>
      <c r="G5462" s="16">
        <v>11.397</v>
      </c>
      <c r="H5462" s="15"/>
      <c r="I5462" s="15"/>
    </row>
    <row r="5463">
      <c r="A5463" s="18">
        <v>45665.0</v>
      </c>
      <c r="B5463" s="16" t="s">
        <v>6265</v>
      </c>
      <c r="C5463" s="16" t="s">
        <v>984</v>
      </c>
      <c r="D5463" s="16" t="s">
        <v>707</v>
      </c>
      <c r="E5463" s="16">
        <v>2023.0</v>
      </c>
      <c r="F5463" s="16">
        <v>49.7857</v>
      </c>
      <c r="G5463" s="16">
        <v>6.7376</v>
      </c>
      <c r="H5463" s="15"/>
      <c r="I5463" s="15"/>
    </row>
    <row r="5464">
      <c r="A5464" s="18">
        <v>45665.0</v>
      </c>
      <c r="B5464" s="16" t="s">
        <v>6266</v>
      </c>
      <c r="C5464" s="16" t="s">
        <v>1215</v>
      </c>
      <c r="D5464" s="16" t="s">
        <v>707</v>
      </c>
      <c r="E5464" s="16">
        <v>2023.0</v>
      </c>
      <c r="F5464" s="16">
        <v>49.7747</v>
      </c>
      <c r="G5464" s="16">
        <v>6.8557</v>
      </c>
      <c r="H5464" s="15"/>
      <c r="I5464" s="15"/>
    </row>
    <row r="5465">
      <c r="A5465" s="18">
        <v>45665.0</v>
      </c>
      <c r="B5465" s="16" t="s">
        <v>6267</v>
      </c>
      <c r="C5465" s="16" t="s">
        <v>1771</v>
      </c>
      <c r="D5465" s="16" t="s">
        <v>707</v>
      </c>
      <c r="E5465" s="16">
        <v>2023.0</v>
      </c>
      <c r="F5465" s="16">
        <v>50.8634</v>
      </c>
      <c r="G5465" s="16">
        <v>11.2497</v>
      </c>
      <c r="H5465" s="15"/>
      <c r="I5465" s="15"/>
    </row>
    <row r="5466">
      <c r="A5466" s="18">
        <v>45665.0</v>
      </c>
      <c r="B5466" s="16" t="s">
        <v>6268</v>
      </c>
      <c r="C5466" s="16" t="s">
        <v>6269</v>
      </c>
      <c r="D5466" s="16" t="s">
        <v>707</v>
      </c>
      <c r="E5466" s="16">
        <v>2023.0</v>
      </c>
      <c r="F5466" s="16">
        <v>50.1678</v>
      </c>
      <c r="G5466" s="16">
        <v>7.0747</v>
      </c>
      <c r="H5466" s="15"/>
      <c r="I5466" s="15"/>
    </row>
    <row r="5467">
      <c r="A5467" s="18">
        <v>45665.0</v>
      </c>
      <c r="B5467" s="16" t="s">
        <v>6270</v>
      </c>
      <c r="C5467" s="16" t="s">
        <v>1475</v>
      </c>
      <c r="D5467" s="16" t="s">
        <v>707</v>
      </c>
      <c r="E5467" s="16">
        <v>2023.0</v>
      </c>
      <c r="F5467" s="16">
        <v>53.5098</v>
      </c>
      <c r="G5467" s="16">
        <v>11.0896</v>
      </c>
      <c r="H5467" s="15"/>
      <c r="I5467" s="15"/>
    </row>
    <row r="5468">
      <c r="A5468" s="18">
        <v>45665.0</v>
      </c>
      <c r="B5468" s="16" t="s">
        <v>6271</v>
      </c>
      <c r="C5468" s="16" t="s">
        <v>1351</v>
      </c>
      <c r="D5468" s="16" t="s">
        <v>707</v>
      </c>
      <c r="E5468" s="16">
        <v>2023.0</v>
      </c>
      <c r="F5468" s="16">
        <v>48.5666</v>
      </c>
      <c r="G5468" s="16">
        <v>11.9297</v>
      </c>
      <c r="H5468" s="15"/>
      <c r="I5468" s="15"/>
    </row>
    <row r="5469">
      <c r="A5469" s="18">
        <v>45665.0</v>
      </c>
      <c r="B5469" s="16" t="s">
        <v>6272</v>
      </c>
      <c r="C5469" s="16" t="s">
        <v>1757</v>
      </c>
      <c r="D5469" s="16" t="s">
        <v>707</v>
      </c>
      <c r="E5469" s="16">
        <v>2023.0</v>
      </c>
      <c r="F5469" s="16">
        <v>48.3577</v>
      </c>
      <c r="G5469" s="16">
        <v>11.1987</v>
      </c>
      <c r="H5469" s="15"/>
      <c r="I5469" s="15"/>
    </row>
    <row r="5470">
      <c r="A5470" s="18">
        <v>45665.0</v>
      </c>
      <c r="B5470" s="16" t="s">
        <v>6273</v>
      </c>
      <c r="C5470" s="16" t="s">
        <v>2988</v>
      </c>
      <c r="D5470" s="16" t="s">
        <v>707</v>
      </c>
      <c r="E5470" s="16">
        <v>2023.0</v>
      </c>
      <c r="F5470" s="16">
        <v>48.565</v>
      </c>
      <c r="G5470" s="16">
        <v>11.9</v>
      </c>
      <c r="H5470" s="15"/>
      <c r="I5470" s="15"/>
    </row>
    <row r="5471">
      <c r="A5471" s="18">
        <v>45665.0</v>
      </c>
      <c r="B5471" s="16" t="s">
        <v>6274</v>
      </c>
      <c r="C5471" s="16" t="s">
        <v>1850</v>
      </c>
      <c r="D5471" s="16" t="s">
        <v>707</v>
      </c>
      <c r="E5471" s="16">
        <v>2023.0</v>
      </c>
      <c r="F5471" s="16">
        <v>49.2568</v>
      </c>
      <c r="G5471" s="16">
        <v>12.3389</v>
      </c>
      <c r="H5471" s="15"/>
      <c r="I5471" s="15"/>
    </row>
    <row r="5472">
      <c r="A5472" s="18">
        <v>45665.0</v>
      </c>
      <c r="B5472" s="16" t="s">
        <v>6275</v>
      </c>
      <c r="C5472" s="16" t="s">
        <v>5857</v>
      </c>
      <c r="D5472" s="16" t="s">
        <v>707</v>
      </c>
      <c r="E5472" s="16">
        <v>2023.0</v>
      </c>
      <c r="F5472" s="16">
        <v>48.4573</v>
      </c>
      <c r="G5472" s="16">
        <v>12.2863</v>
      </c>
      <c r="H5472" s="15"/>
      <c r="I5472" s="15"/>
    </row>
    <row r="5473">
      <c r="A5473" s="18">
        <v>45665.0</v>
      </c>
      <c r="B5473" s="16" t="s">
        <v>6276</v>
      </c>
      <c r="C5473" s="16">
        <v>8.0</v>
      </c>
      <c r="D5473" s="16" t="s">
        <v>707</v>
      </c>
      <c r="E5473" s="16">
        <v>2023.0</v>
      </c>
      <c r="F5473" s="16">
        <v>48.3935</v>
      </c>
      <c r="G5473" s="16">
        <v>11.2171</v>
      </c>
      <c r="H5473" s="15"/>
      <c r="I5473" s="15"/>
    </row>
    <row r="5474">
      <c r="A5474" s="18">
        <v>45665.0</v>
      </c>
      <c r="B5474" s="16" t="s">
        <v>6277</v>
      </c>
      <c r="C5474" s="16" t="s">
        <v>1461</v>
      </c>
      <c r="D5474" s="16" t="s">
        <v>707</v>
      </c>
      <c r="E5474" s="16">
        <v>2023.0</v>
      </c>
      <c r="F5474" s="16">
        <v>49.235</v>
      </c>
      <c r="G5474" s="16">
        <v>12.0446</v>
      </c>
      <c r="H5474" s="15"/>
      <c r="I5474" s="15"/>
    </row>
    <row r="5475">
      <c r="A5475" s="18">
        <v>45665.0</v>
      </c>
      <c r="B5475" s="16" t="s">
        <v>6278</v>
      </c>
      <c r="C5475" s="16" t="s">
        <v>1690</v>
      </c>
      <c r="D5475" s="16" t="s">
        <v>707</v>
      </c>
      <c r="E5475" s="16">
        <v>2023.0</v>
      </c>
      <c r="F5475" s="16">
        <v>49.1899</v>
      </c>
      <c r="G5475" s="16">
        <v>12.0698</v>
      </c>
      <c r="H5475" s="15"/>
      <c r="I5475" s="15"/>
    </row>
    <row r="5476">
      <c r="A5476" s="18">
        <v>45665.0</v>
      </c>
      <c r="B5476" s="16" t="s">
        <v>6279</v>
      </c>
      <c r="C5476" s="16" t="s">
        <v>969</v>
      </c>
      <c r="D5476" s="16" t="s">
        <v>707</v>
      </c>
      <c r="E5476" s="16">
        <v>2023.0</v>
      </c>
      <c r="F5476" s="16">
        <v>49.4669</v>
      </c>
      <c r="G5476" s="16">
        <v>6.9791</v>
      </c>
      <c r="H5476" s="15"/>
      <c r="I5476" s="15"/>
    </row>
    <row r="5477">
      <c r="A5477" s="18">
        <v>45665.0</v>
      </c>
      <c r="B5477" s="16" t="s">
        <v>6280</v>
      </c>
      <c r="C5477" s="16" t="s">
        <v>1007</v>
      </c>
      <c r="D5477" s="16" t="s">
        <v>707</v>
      </c>
      <c r="E5477" s="16">
        <v>2023.0</v>
      </c>
      <c r="F5477" s="16">
        <v>49.4669</v>
      </c>
      <c r="G5477" s="16">
        <v>6.9791</v>
      </c>
      <c r="H5477" s="15"/>
      <c r="I5477" s="15"/>
    </row>
    <row r="5478">
      <c r="A5478" s="18">
        <v>45665.0</v>
      </c>
      <c r="B5478" s="16" t="s">
        <v>6281</v>
      </c>
      <c r="C5478" s="16" t="s">
        <v>1384</v>
      </c>
      <c r="D5478" s="16" t="s">
        <v>707</v>
      </c>
      <c r="E5478" s="16">
        <v>2023.0</v>
      </c>
      <c r="F5478" s="16">
        <v>49.2483</v>
      </c>
      <c r="G5478" s="16">
        <v>12.2891</v>
      </c>
      <c r="H5478" s="15"/>
      <c r="I5478" s="15"/>
    </row>
    <row r="5479">
      <c r="A5479" s="18">
        <v>45665.0</v>
      </c>
      <c r="B5479" s="16" t="s">
        <v>6282</v>
      </c>
      <c r="C5479" s="16" t="s">
        <v>1039</v>
      </c>
      <c r="D5479" s="16" t="s">
        <v>707</v>
      </c>
      <c r="E5479" s="16">
        <v>2023.0</v>
      </c>
      <c r="F5479" s="16">
        <v>48.5537</v>
      </c>
      <c r="G5479" s="16">
        <v>12.0106</v>
      </c>
      <c r="H5479" s="15"/>
      <c r="I5479" s="15"/>
    </row>
    <row r="5480">
      <c r="A5480" s="18">
        <v>45665.0</v>
      </c>
      <c r="B5480" s="16" t="s">
        <v>6283</v>
      </c>
      <c r="C5480" s="16" t="s">
        <v>984</v>
      </c>
      <c r="D5480" s="16" t="s">
        <v>707</v>
      </c>
      <c r="E5480" s="16">
        <v>2023.0</v>
      </c>
      <c r="F5480" s="16">
        <v>49.4538</v>
      </c>
      <c r="G5480" s="16">
        <v>6.542</v>
      </c>
      <c r="H5480" s="15"/>
      <c r="I5480" s="15"/>
    </row>
    <row r="5481">
      <c r="A5481" s="18">
        <v>45665.0</v>
      </c>
      <c r="B5481" s="16" t="s">
        <v>6284</v>
      </c>
      <c r="C5481" s="16" t="s">
        <v>1007</v>
      </c>
      <c r="D5481" s="16" t="s">
        <v>707</v>
      </c>
      <c r="E5481" s="16">
        <v>2023.0</v>
      </c>
      <c r="F5481" s="16">
        <v>50.7404</v>
      </c>
      <c r="G5481" s="16">
        <v>9.2891</v>
      </c>
      <c r="H5481" s="15"/>
      <c r="I5481" s="15"/>
    </row>
    <row r="5482">
      <c r="A5482" s="18">
        <v>45665.0</v>
      </c>
      <c r="B5482" s="16" t="s">
        <v>6285</v>
      </c>
      <c r="C5482" s="16" t="s">
        <v>1059</v>
      </c>
      <c r="D5482" s="16" t="s">
        <v>707</v>
      </c>
      <c r="E5482" s="16">
        <v>2023.0</v>
      </c>
      <c r="F5482" s="16">
        <v>51.2854</v>
      </c>
      <c r="G5482" s="16">
        <v>7.0378</v>
      </c>
      <c r="H5482" s="15"/>
      <c r="I5482" s="15"/>
    </row>
    <row r="5483">
      <c r="A5483" s="18">
        <v>45665.0</v>
      </c>
      <c r="B5483" s="16" t="s">
        <v>6286</v>
      </c>
      <c r="C5483" s="16" t="s">
        <v>959</v>
      </c>
      <c r="D5483" s="16" t="s">
        <v>707</v>
      </c>
      <c r="E5483" s="16">
        <v>2023.0</v>
      </c>
      <c r="F5483" s="16">
        <v>51.285</v>
      </c>
      <c r="G5483" s="16">
        <v>7.0403</v>
      </c>
      <c r="H5483" s="15"/>
      <c r="I5483" s="15"/>
    </row>
    <row r="5484">
      <c r="A5484" s="18">
        <v>45665.0</v>
      </c>
      <c r="B5484" s="16" t="s">
        <v>6287</v>
      </c>
      <c r="C5484" s="16" t="s">
        <v>942</v>
      </c>
      <c r="D5484" s="16" t="s">
        <v>707</v>
      </c>
      <c r="E5484" s="16">
        <v>2023.0</v>
      </c>
      <c r="F5484" s="16">
        <v>52.1846</v>
      </c>
      <c r="G5484" s="16">
        <v>11.5941</v>
      </c>
      <c r="H5484" s="15"/>
      <c r="I5484" s="15"/>
    </row>
    <row r="5485">
      <c r="A5485" s="18">
        <v>45665.0</v>
      </c>
      <c r="B5485" s="16" t="s">
        <v>6288</v>
      </c>
      <c r="C5485" s="16" t="s">
        <v>1267</v>
      </c>
      <c r="D5485" s="16" t="s">
        <v>707</v>
      </c>
      <c r="E5485" s="16">
        <v>2023.0</v>
      </c>
      <c r="F5485" s="16">
        <v>48.1617</v>
      </c>
      <c r="G5485" s="16">
        <v>10.1291</v>
      </c>
      <c r="H5485" s="15"/>
      <c r="I5485" s="15"/>
    </row>
    <row r="5486">
      <c r="A5486" s="18">
        <v>45665.0</v>
      </c>
      <c r="B5486" s="16" t="s">
        <v>6289</v>
      </c>
      <c r="C5486" s="16">
        <v>2.0</v>
      </c>
      <c r="D5486" s="16" t="s">
        <v>707</v>
      </c>
      <c r="E5486" s="16">
        <v>2023.0</v>
      </c>
      <c r="F5486" s="16">
        <v>51.4736</v>
      </c>
      <c r="G5486" s="16">
        <v>13.8203</v>
      </c>
      <c r="H5486" s="15"/>
      <c r="I5486" s="15"/>
    </row>
    <row r="5487">
      <c r="A5487" s="18">
        <v>45665.0</v>
      </c>
      <c r="B5487" s="16" t="s">
        <v>6290</v>
      </c>
      <c r="C5487" s="16">
        <v>2.0</v>
      </c>
      <c r="D5487" s="16" t="s">
        <v>707</v>
      </c>
      <c r="E5487" s="16">
        <v>2023.0</v>
      </c>
      <c r="F5487" s="16">
        <v>50.0517</v>
      </c>
      <c r="G5487" s="16">
        <v>9.0359</v>
      </c>
      <c r="H5487" s="15"/>
      <c r="I5487" s="15"/>
    </row>
    <row r="5488">
      <c r="A5488" s="18">
        <v>45665.0</v>
      </c>
      <c r="B5488" s="16" t="s">
        <v>6291</v>
      </c>
      <c r="C5488" s="16" t="s">
        <v>942</v>
      </c>
      <c r="D5488" s="16" t="s">
        <v>707</v>
      </c>
      <c r="E5488" s="16">
        <v>2023.0</v>
      </c>
      <c r="F5488" s="16">
        <v>51.2908</v>
      </c>
      <c r="G5488" s="16">
        <v>6.5447</v>
      </c>
      <c r="H5488" s="15"/>
      <c r="I5488" s="15"/>
    </row>
    <row r="5489">
      <c r="A5489" s="18">
        <v>45665.0</v>
      </c>
      <c r="B5489" s="16" t="s">
        <v>6292</v>
      </c>
      <c r="C5489" s="16" t="s">
        <v>1436</v>
      </c>
      <c r="D5489" s="16" t="s">
        <v>707</v>
      </c>
      <c r="E5489" s="16">
        <v>2023.0</v>
      </c>
      <c r="F5489" s="16">
        <v>51.4121</v>
      </c>
      <c r="G5489" s="16">
        <v>12.164</v>
      </c>
      <c r="H5489" s="15"/>
      <c r="I5489" s="15"/>
    </row>
    <row r="5490">
      <c r="A5490" s="18">
        <v>45665.0</v>
      </c>
      <c r="B5490" s="16" t="s">
        <v>6293</v>
      </c>
      <c r="C5490" s="16" t="s">
        <v>1172</v>
      </c>
      <c r="D5490" s="16" t="s">
        <v>707</v>
      </c>
      <c r="E5490" s="16">
        <v>2023.0</v>
      </c>
      <c r="F5490" s="16">
        <v>51.5284</v>
      </c>
      <c r="G5490" s="16">
        <v>6.8135</v>
      </c>
      <c r="H5490" s="15"/>
      <c r="I5490" s="15"/>
    </row>
    <row r="5491">
      <c r="A5491" s="18">
        <v>45665.0</v>
      </c>
      <c r="B5491" s="16" t="s">
        <v>6294</v>
      </c>
      <c r="C5491" s="16" t="s">
        <v>5526</v>
      </c>
      <c r="D5491" s="16" t="s">
        <v>707</v>
      </c>
      <c r="E5491" s="16">
        <v>2023.0</v>
      </c>
      <c r="F5491" s="16">
        <v>51.7084</v>
      </c>
      <c r="G5491" s="16">
        <v>14.479</v>
      </c>
      <c r="H5491" s="15"/>
      <c r="I5491" s="15"/>
    </row>
    <row r="5492">
      <c r="A5492" s="18">
        <v>45665.0</v>
      </c>
      <c r="B5492" s="16" t="s">
        <v>6295</v>
      </c>
      <c r="C5492" s="16" t="s">
        <v>984</v>
      </c>
      <c r="D5492" s="16" t="s">
        <v>707</v>
      </c>
      <c r="E5492" s="16">
        <v>2023.0</v>
      </c>
      <c r="F5492" s="16">
        <v>51.1714</v>
      </c>
      <c r="G5492" s="16">
        <v>6.6489</v>
      </c>
      <c r="H5492" s="15"/>
      <c r="I5492" s="15"/>
    </row>
    <row r="5493">
      <c r="A5493" s="18">
        <v>45665.0</v>
      </c>
      <c r="B5493" s="16" t="s">
        <v>6296</v>
      </c>
      <c r="C5493" s="16" t="s">
        <v>1475</v>
      </c>
      <c r="D5493" s="16" t="s">
        <v>707</v>
      </c>
      <c r="E5493" s="16">
        <v>2023.0</v>
      </c>
      <c r="F5493" s="16">
        <v>52.8981</v>
      </c>
      <c r="G5493" s="16">
        <v>12.327</v>
      </c>
      <c r="H5493" s="15"/>
      <c r="I5493" s="15"/>
    </row>
    <row r="5494">
      <c r="A5494" s="18">
        <v>45665.0</v>
      </c>
      <c r="B5494" s="16" t="s">
        <v>6297</v>
      </c>
      <c r="C5494" s="16">
        <v>13.0</v>
      </c>
      <c r="D5494" s="16" t="s">
        <v>707</v>
      </c>
      <c r="E5494" s="16">
        <v>2023.0</v>
      </c>
      <c r="F5494" s="16">
        <v>49.519</v>
      </c>
      <c r="G5494" s="16">
        <v>6.9308</v>
      </c>
      <c r="H5494" s="15"/>
      <c r="I5494" s="15"/>
    </row>
    <row r="5495">
      <c r="A5495" s="18">
        <v>45665.0</v>
      </c>
      <c r="B5495" s="16" t="s">
        <v>6298</v>
      </c>
      <c r="C5495" s="16">
        <v>1.0</v>
      </c>
      <c r="D5495" s="16" t="s">
        <v>707</v>
      </c>
      <c r="E5495" s="16">
        <v>2023.0</v>
      </c>
      <c r="F5495" s="16">
        <v>48.9541</v>
      </c>
      <c r="G5495" s="16">
        <v>8.9539</v>
      </c>
      <c r="H5495" s="15"/>
      <c r="I5495" s="15"/>
    </row>
    <row r="5496">
      <c r="A5496" s="18">
        <v>45665.0</v>
      </c>
      <c r="B5496" s="16" t="s">
        <v>6299</v>
      </c>
      <c r="C5496" s="16" t="s">
        <v>942</v>
      </c>
      <c r="D5496" s="16" t="s">
        <v>707</v>
      </c>
      <c r="E5496" s="16">
        <v>2023.0</v>
      </c>
      <c r="F5496" s="16">
        <v>50.3111</v>
      </c>
      <c r="G5496" s="16">
        <v>7.3136</v>
      </c>
      <c r="H5496" s="15"/>
      <c r="I5496" s="15"/>
    </row>
    <row r="5497">
      <c r="A5497" s="18">
        <v>45665.0</v>
      </c>
      <c r="B5497" s="16" t="s">
        <v>6300</v>
      </c>
      <c r="C5497" s="16" t="s">
        <v>1384</v>
      </c>
      <c r="D5497" s="16" t="s">
        <v>707</v>
      </c>
      <c r="E5497" s="16">
        <v>2023.0</v>
      </c>
      <c r="F5497" s="16">
        <v>49.806</v>
      </c>
      <c r="G5497" s="16">
        <v>10.1163</v>
      </c>
      <c r="H5497" s="15"/>
      <c r="I5497" s="15"/>
    </row>
    <row r="5498">
      <c r="A5498" s="18">
        <v>45665.0</v>
      </c>
      <c r="B5498" s="16" t="s">
        <v>6301</v>
      </c>
      <c r="C5498" s="16" t="s">
        <v>948</v>
      </c>
      <c r="D5498" s="16" t="s">
        <v>707</v>
      </c>
      <c r="E5498" s="16">
        <v>2023.0</v>
      </c>
      <c r="F5498" s="16">
        <v>49.0331</v>
      </c>
      <c r="G5498" s="16">
        <v>12.0295</v>
      </c>
      <c r="H5498" s="15"/>
      <c r="I5498" s="15"/>
    </row>
    <row r="5499">
      <c r="A5499" s="18">
        <v>45665.0</v>
      </c>
      <c r="B5499" s="16" t="s">
        <v>6302</v>
      </c>
      <c r="C5499" s="16" t="s">
        <v>1172</v>
      </c>
      <c r="D5499" s="16" t="s">
        <v>707</v>
      </c>
      <c r="E5499" s="16">
        <v>2023.0</v>
      </c>
      <c r="F5499" s="16">
        <v>50.0192</v>
      </c>
      <c r="G5499" s="16">
        <v>6.1558</v>
      </c>
      <c r="H5499" s="15"/>
      <c r="I5499" s="15"/>
    </row>
    <row r="5500">
      <c r="A5500" s="18">
        <v>45665.0</v>
      </c>
      <c r="B5500" s="16" t="s">
        <v>6303</v>
      </c>
      <c r="C5500" s="16">
        <v>2.0</v>
      </c>
      <c r="D5500" s="16" t="s">
        <v>707</v>
      </c>
      <c r="E5500" s="16">
        <v>2023.0</v>
      </c>
      <c r="F5500" s="16">
        <v>51.4888</v>
      </c>
      <c r="G5500" s="16">
        <v>7.5613</v>
      </c>
      <c r="H5500" s="15"/>
      <c r="I5500" s="15"/>
    </row>
    <row r="5501">
      <c r="A5501" s="18">
        <v>45665.0</v>
      </c>
      <c r="B5501" s="16" t="s">
        <v>6304</v>
      </c>
      <c r="C5501" s="16">
        <v>16.0</v>
      </c>
      <c r="D5501" s="16" t="s">
        <v>707</v>
      </c>
      <c r="E5501" s="16">
        <v>2023.0</v>
      </c>
      <c r="F5501" s="16">
        <v>50.0118</v>
      </c>
      <c r="G5501" s="16">
        <v>6.2267</v>
      </c>
      <c r="H5501" s="15"/>
      <c r="I5501" s="15"/>
    </row>
    <row r="5502">
      <c r="A5502" s="18">
        <v>45665.0</v>
      </c>
      <c r="B5502" s="16" t="s">
        <v>6305</v>
      </c>
      <c r="C5502" s="16">
        <v>4.0</v>
      </c>
      <c r="D5502" s="16" t="s">
        <v>707</v>
      </c>
      <c r="E5502" s="16">
        <v>2023.0</v>
      </c>
      <c r="F5502" s="16">
        <v>50.0118</v>
      </c>
      <c r="G5502" s="16">
        <v>6.2267</v>
      </c>
      <c r="H5502" s="15"/>
      <c r="I5502" s="15"/>
    </row>
    <row r="5503">
      <c r="A5503" s="18">
        <v>45665.0</v>
      </c>
      <c r="B5503" s="16" t="s">
        <v>6306</v>
      </c>
      <c r="C5503" s="16" t="s">
        <v>2017</v>
      </c>
      <c r="D5503" s="16" t="s">
        <v>707</v>
      </c>
      <c r="E5503" s="16">
        <v>2023.0</v>
      </c>
      <c r="F5503" s="16">
        <v>50.0118</v>
      </c>
      <c r="G5503" s="16">
        <v>6.2267</v>
      </c>
      <c r="H5503" s="15"/>
      <c r="I5503" s="15"/>
    </row>
    <row r="5504">
      <c r="A5504" s="18">
        <v>45665.0</v>
      </c>
      <c r="B5504" s="16" t="s">
        <v>6307</v>
      </c>
      <c r="C5504" s="16">
        <v>12.0</v>
      </c>
      <c r="D5504" s="16" t="s">
        <v>707</v>
      </c>
      <c r="E5504" s="16">
        <v>2023.0</v>
      </c>
      <c r="F5504" s="16">
        <v>50.005</v>
      </c>
      <c r="G5504" s="16">
        <v>6.2421</v>
      </c>
      <c r="H5504" s="15"/>
      <c r="I5504" s="15"/>
    </row>
    <row r="5505">
      <c r="A5505" s="18">
        <v>45665.0</v>
      </c>
      <c r="B5505" s="16" t="s">
        <v>6308</v>
      </c>
      <c r="C5505" s="16" t="s">
        <v>971</v>
      </c>
      <c r="D5505" s="16" t="s">
        <v>707</v>
      </c>
      <c r="E5505" s="16">
        <v>2023.0</v>
      </c>
      <c r="F5505" s="16">
        <v>50.005</v>
      </c>
      <c r="G5505" s="16">
        <v>6.2421</v>
      </c>
      <c r="H5505" s="15"/>
      <c r="I5505" s="15"/>
    </row>
    <row r="5506">
      <c r="A5506" s="18">
        <v>45665.0</v>
      </c>
      <c r="B5506" s="16" t="s">
        <v>6309</v>
      </c>
      <c r="C5506" s="16" t="s">
        <v>959</v>
      </c>
      <c r="D5506" s="16" t="s">
        <v>707</v>
      </c>
      <c r="E5506" s="16">
        <v>2023.0</v>
      </c>
      <c r="F5506" s="16">
        <v>49.9906</v>
      </c>
      <c r="G5506" s="16">
        <v>6.3334</v>
      </c>
      <c r="H5506" s="15"/>
      <c r="I5506" s="15"/>
    </row>
    <row r="5507">
      <c r="A5507" s="18">
        <v>45665.0</v>
      </c>
      <c r="B5507" s="16" t="s">
        <v>6310</v>
      </c>
      <c r="C5507" s="16">
        <v>15.0</v>
      </c>
      <c r="D5507" s="16" t="s">
        <v>707</v>
      </c>
      <c r="E5507" s="16">
        <v>2023.0</v>
      </c>
      <c r="F5507" s="16">
        <v>49.9907</v>
      </c>
      <c r="G5507" s="16">
        <v>6.3334</v>
      </c>
      <c r="H5507" s="15"/>
      <c r="I5507" s="15"/>
    </row>
    <row r="5508">
      <c r="A5508" s="18">
        <v>45665.0</v>
      </c>
      <c r="B5508" s="16" t="s">
        <v>6311</v>
      </c>
      <c r="C5508" s="16">
        <v>17.0</v>
      </c>
      <c r="D5508" s="16" t="s">
        <v>707</v>
      </c>
      <c r="E5508" s="16">
        <v>2023.0</v>
      </c>
      <c r="F5508" s="16">
        <v>50.0206</v>
      </c>
      <c r="G5508" s="16">
        <v>6.2069</v>
      </c>
      <c r="H5508" s="15"/>
      <c r="I5508" s="15"/>
    </row>
    <row r="5509">
      <c r="A5509" s="18">
        <v>45665.0</v>
      </c>
      <c r="B5509" s="16" t="s">
        <v>6312</v>
      </c>
      <c r="C5509" s="16" t="s">
        <v>1399</v>
      </c>
      <c r="D5509" s="16" t="s">
        <v>707</v>
      </c>
      <c r="E5509" s="16">
        <v>2023.0</v>
      </c>
      <c r="F5509" s="16">
        <v>50.0206</v>
      </c>
      <c r="G5509" s="16">
        <v>6.2069</v>
      </c>
      <c r="H5509" s="15"/>
      <c r="I5509" s="15"/>
    </row>
    <row r="5510">
      <c r="A5510" s="18">
        <v>45665.0</v>
      </c>
      <c r="B5510" s="16" t="s">
        <v>6313</v>
      </c>
      <c r="C5510" s="16" t="s">
        <v>2150</v>
      </c>
      <c r="D5510" s="16" t="s">
        <v>707</v>
      </c>
      <c r="E5510" s="16">
        <v>2023.0</v>
      </c>
      <c r="F5510" s="16">
        <v>50.0191</v>
      </c>
      <c r="G5510" s="16">
        <v>6.188</v>
      </c>
      <c r="H5510" s="15"/>
      <c r="I5510" s="15"/>
    </row>
    <row r="5511">
      <c r="A5511" s="18">
        <v>45665.0</v>
      </c>
      <c r="B5511" s="16" t="s">
        <v>6314</v>
      </c>
      <c r="C5511" s="16">
        <v>13.0</v>
      </c>
      <c r="D5511" s="16" t="s">
        <v>707</v>
      </c>
      <c r="E5511" s="16">
        <v>2023.0</v>
      </c>
      <c r="F5511" s="16">
        <v>50.0177</v>
      </c>
      <c r="G5511" s="16">
        <v>6.3573</v>
      </c>
      <c r="H5511" s="15"/>
      <c r="I5511" s="15"/>
    </row>
    <row r="5512">
      <c r="A5512" s="18">
        <v>45665.0</v>
      </c>
      <c r="B5512" s="16" t="s">
        <v>6315</v>
      </c>
      <c r="C5512" s="16">
        <v>10.0</v>
      </c>
      <c r="D5512" s="16" t="s">
        <v>707</v>
      </c>
      <c r="E5512" s="16">
        <v>2023.0</v>
      </c>
      <c r="F5512" s="16">
        <v>49.0018</v>
      </c>
      <c r="G5512" s="16">
        <v>11.7472</v>
      </c>
      <c r="H5512" s="15"/>
      <c r="I5512" s="15"/>
    </row>
    <row r="5513">
      <c r="A5513" s="18">
        <v>45665.0</v>
      </c>
      <c r="B5513" s="16" t="s">
        <v>6316</v>
      </c>
      <c r="C5513" s="16" t="s">
        <v>1149</v>
      </c>
      <c r="D5513" s="16" t="s">
        <v>707</v>
      </c>
      <c r="E5513" s="16">
        <v>2023.0</v>
      </c>
      <c r="F5513" s="16">
        <v>49.0023</v>
      </c>
      <c r="G5513" s="16">
        <v>11.7519</v>
      </c>
      <c r="H5513" s="15"/>
      <c r="I5513" s="15"/>
    </row>
    <row r="5514">
      <c r="A5514" s="18">
        <v>45665.0</v>
      </c>
      <c r="B5514" s="16" t="s">
        <v>6317</v>
      </c>
      <c r="C5514" s="16">
        <v>4.0</v>
      </c>
      <c r="D5514" s="16" t="s">
        <v>707</v>
      </c>
      <c r="E5514" s="16">
        <v>2023.0</v>
      </c>
      <c r="F5514" s="16">
        <v>49.7011</v>
      </c>
      <c r="G5514" s="16">
        <v>9.9223</v>
      </c>
      <c r="H5514" s="15"/>
      <c r="I5514" s="15"/>
    </row>
    <row r="5515">
      <c r="A5515" s="18">
        <v>45665.0</v>
      </c>
      <c r="B5515" s="16" t="s">
        <v>6318</v>
      </c>
      <c r="C5515" s="16" t="s">
        <v>1351</v>
      </c>
      <c r="D5515" s="16" t="s">
        <v>707</v>
      </c>
      <c r="E5515" s="16">
        <v>2023.0</v>
      </c>
      <c r="F5515" s="16">
        <v>48.9096</v>
      </c>
      <c r="G5515" s="16">
        <v>12.218</v>
      </c>
      <c r="H5515" s="15"/>
      <c r="I5515" s="15"/>
    </row>
    <row r="5516">
      <c r="A5516" s="18">
        <v>45665.0</v>
      </c>
      <c r="B5516" s="16" t="s">
        <v>6319</v>
      </c>
      <c r="C5516" s="16" t="s">
        <v>1436</v>
      </c>
      <c r="D5516" s="16" t="s">
        <v>707</v>
      </c>
      <c r="E5516" s="16">
        <v>2023.0</v>
      </c>
      <c r="F5516" s="16">
        <v>50.2427</v>
      </c>
      <c r="G5516" s="16">
        <v>7.1547</v>
      </c>
      <c r="H5516" s="15"/>
      <c r="I5516" s="15"/>
    </row>
    <row r="5517">
      <c r="A5517" s="18">
        <v>45665.0</v>
      </c>
      <c r="B5517" s="16" t="s">
        <v>6320</v>
      </c>
      <c r="C5517" s="16" t="s">
        <v>2457</v>
      </c>
      <c r="D5517" s="16" t="s">
        <v>707</v>
      </c>
      <c r="E5517" s="16">
        <v>2023.0</v>
      </c>
      <c r="F5517" s="16">
        <v>50.2406</v>
      </c>
      <c r="G5517" s="16">
        <v>7.1605</v>
      </c>
      <c r="H5517" s="15"/>
      <c r="I5517" s="15"/>
    </row>
    <row r="5518">
      <c r="A5518" s="18">
        <v>45665.0</v>
      </c>
      <c r="B5518" s="16" t="s">
        <v>6321</v>
      </c>
      <c r="C5518" s="16" t="s">
        <v>1172</v>
      </c>
      <c r="D5518" s="16" t="s">
        <v>707</v>
      </c>
      <c r="E5518" s="16">
        <v>2023.0</v>
      </c>
      <c r="F5518" s="16">
        <v>48.6682</v>
      </c>
      <c r="G5518" s="16">
        <v>11.4552</v>
      </c>
      <c r="H5518" s="15"/>
      <c r="I5518" s="15"/>
    </row>
    <row r="5519">
      <c r="A5519" s="18">
        <v>45665.0</v>
      </c>
      <c r="B5519" s="16" t="s">
        <v>6322</v>
      </c>
      <c r="C5519" s="16" t="s">
        <v>1007</v>
      </c>
      <c r="D5519" s="16" t="s">
        <v>707</v>
      </c>
      <c r="E5519" s="16">
        <v>2023.0</v>
      </c>
      <c r="F5519" s="16">
        <v>48.9624</v>
      </c>
      <c r="G5519" s="16">
        <v>11.7375</v>
      </c>
      <c r="H5519" s="15"/>
      <c r="I5519" s="15"/>
    </row>
    <row r="5520">
      <c r="A5520" s="18">
        <v>45665.0</v>
      </c>
      <c r="B5520" s="16" t="s">
        <v>6323</v>
      </c>
      <c r="C5520" s="16">
        <v>3.0</v>
      </c>
      <c r="D5520" s="16" t="s">
        <v>707</v>
      </c>
      <c r="E5520" s="16">
        <v>2023.0</v>
      </c>
      <c r="F5520" s="16">
        <v>48.1225</v>
      </c>
      <c r="G5520" s="16">
        <v>9.2494</v>
      </c>
      <c r="H5520" s="15"/>
      <c r="I5520" s="15"/>
    </row>
    <row r="5521">
      <c r="A5521" s="18">
        <v>45665.0</v>
      </c>
      <c r="B5521" s="16" t="s">
        <v>6324</v>
      </c>
      <c r="C5521" s="16" t="s">
        <v>1402</v>
      </c>
      <c r="D5521" s="16" t="s">
        <v>707</v>
      </c>
      <c r="E5521" s="16">
        <v>2023.0</v>
      </c>
      <c r="F5521" s="16">
        <v>53.5692</v>
      </c>
      <c r="G5521" s="16">
        <v>13.1334</v>
      </c>
      <c r="H5521" s="15"/>
      <c r="I5521" s="15"/>
    </row>
    <row r="5522">
      <c r="A5522" s="18">
        <v>45665.0</v>
      </c>
      <c r="B5522" s="16" t="s">
        <v>6325</v>
      </c>
      <c r="C5522" s="16" t="s">
        <v>942</v>
      </c>
      <c r="D5522" s="16" t="s">
        <v>707</v>
      </c>
      <c r="E5522" s="16">
        <v>2023.0</v>
      </c>
      <c r="F5522" s="16">
        <v>48.255</v>
      </c>
      <c r="G5522" s="16">
        <v>10.8319</v>
      </c>
      <c r="H5522" s="15"/>
      <c r="I5522" s="15"/>
    </row>
    <row r="5523">
      <c r="A5523" s="18">
        <v>45665.0</v>
      </c>
      <c r="B5523" s="16" t="s">
        <v>6326</v>
      </c>
      <c r="C5523" s="16" t="s">
        <v>971</v>
      </c>
      <c r="D5523" s="16" t="s">
        <v>707</v>
      </c>
      <c r="E5523" s="16">
        <v>2023.0</v>
      </c>
      <c r="F5523" s="16">
        <v>48.6409</v>
      </c>
      <c r="G5523" s="16">
        <v>11.318</v>
      </c>
      <c r="H5523" s="15"/>
      <c r="I5523" s="15"/>
    </row>
    <row r="5524">
      <c r="A5524" s="18">
        <v>45665.0</v>
      </c>
      <c r="B5524" s="16" t="s">
        <v>6327</v>
      </c>
      <c r="C5524" s="16" t="s">
        <v>2392</v>
      </c>
      <c r="D5524" s="16" t="s">
        <v>707</v>
      </c>
      <c r="E5524" s="16">
        <v>2023.0</v>
      </c>
      <c r="F5524" s="16">
        <v>49.6328</v>
      </c>
      <c r="G5524" s="16">
        <v>11.023</v>
      </c>
      <c r="H5524" s="15"/>
      <c r="I5524" s="15"/>
    </row>
    <row r="5525">
      <c r="A5525" s="18">
        <v>45665.0</v>
      </c>
      <c r="B5525" s="16" t="s">
        <v>6328</v>
      </c>
      <c r="C5525" s="16" t="s">
        <v>2147</v>
      </c>
      <c r="D5525" s="16" t="s">
        <v>707</v>
      </c>
      <c r="E5525" s="16">
        <v>2023.0</v>
      </c>
      <c r="F5525" s="16">
        <v>47.8612</v>
      </c>
      <c r="G5525" s="16">
        <v>9.9121</v>
      </c>
      <c r="H5525" s="15"/>
      <c r="I5525" s="15"/>
    </row>
    <row r="5526">
      <c r="A5526" s="18">
        <v>45665.0</v>
      </c>
      <c r="B5526" s="16" t="s">
        <v>6329</v>
      </c>
      <c r="C5526" s="16">
        <v>10.0</v>
      </c>
      <c r="D5526" s="16" t="s">
        <v>707</v>
      </c>
      <c r="E5526" s="16">
        <v>2023.0</v>
      </c>
      <c r="F5526" s="16">
        <v>49.1452</v>
      </c>
      <c r="G5526" s="16">
        <v>11.9268</v>
      </c>
      <c r="H5526" s="15"/>
      <c r="I5526" s="15"/>
    </row>
    <row r="5527">
      <c r="A5527" s="18">
        <v>45665.0</v>
      </c>
      <c r="B5527" s="16" t="s">
        <v>6330</v>
      </c>
      <c r="C5527" s="16">
        <v>5.0</v>
      </c>
      <c r="D5527" s="16" t="s">
        <v>707</v>
      </c>
      <c r="E5527" s="16">
        <v>2023.0</v>
      </c>
      <c r="F5527" s="16">
        <v>49.1448</v>
      </c>
      <c r="G5527" s="16">
        <v>11.9288</v>
      </c>
      <c r="H5527" s="15"/>
      <c r="I5527" s="15"/>
    </row>
    <row r="5528">
      <c r="A5528" s="18">
        <v>45665.0</v>
      </c>
      <c r="B5528" s="16" t="s">
        <v>6331</v>
      </c>
      <c r="C5528" s="16" t="s">
        <v>969</v>
      </c>
      <c r="D5528" s="16" t="s">
        <v>707</v>
      </c>
      <c r="E5528" s="16">
        <v>2023.0</v>
      </c>
      <c r="F5528" s="16">
        <v>49.3467</v>
      </c>
      <c r="G5528" s="16">
        <v>11.8237</v>
      </c>
      <c r="H5528" s="15"/>
      <c r="I5528" s="15"/>
    </row>
    <row r="5529">
      <c r="A5529" s="18">
        <v>45665.0</v>
      </c>
      <c r="B5529" s="16" t="s">
        <v>6332</v>
      </c>
      <c r="C5529" s="16" t="s">
        <v>1055</v>
      </c>
      <c r="D5529" s="16" t="s">
        <v>707</v>
      </c>
      <c r="E5529" s="16">
        <v>2023.0</v>
      </c>
      <c r="F5529" s="16">
        <v>48.3672</v>
      </c>
      <c r="G5529" s="16">
        <v>10.5607</v>
      </c>
      <c r="H5529" s="15"/>
      <c r="I5529" s="15"/>
    </row>
    <row r="5530">
      <c r="A5530" s="18">
        <v>45665.0</v>
      </c>
      <c r="B5530" s="16" t="s">
        <v>6333</v>
      </c>
      <c r="C5530" s="16" t="s">
        <v>1267</v>
      </c>
      <c r="D5530" s="16" t="s">
        <v>707</v>
      </c>
      <c r="E5530" s="16">
        <v>2023.0</v>
      </c>
      <c r="F5530" s="16">
        <v>49.4866</v>
      </c>
      <c r="G5530" s="16">
        <v>11.9421</v>
      </c>
      <c r="H5530" s="15"/>
      <c r="I5530" s="15"/>
    </row>
    <row r="5531">
      <c r="A5531" s="18">
        <v>45665.0</v>
      </c>
      <c r="B5531" s="16" t="s">
        <v>6334</v>
      </c>
      <c r="C5531" s="16" t="s">
        <v>942</v>
      </c>
      <c r="D5531" s="16" t="s">
        <v>707</v>
      </c>
      <c r="E5531" s="16">
        <v>2023.0</v>
      </c>
      <c r="F5531" s="16">
        <v>50.2363</v>
      </c>
      <c r="G5531" s="16">
        <v>11.0515</v>
      </c>
      <c r="H5531" s="15"/>
      <c r="I5531" s="15"/>
    </row>
    <row r="5532">
      <c r="A5532" s="18">
        <v>45665.0</v>
      </c>
      <c r="B5532" s="16" t="s">
        <v>6335</v>
      </c>
      <c r="C5532" s="16" t="s">
        <v>4533</v>
      </c>
      <c r="D5532" s="16" t="s">
        <v>707</v>
      </c>
      <c r="E5532" s="16">
        <v>2023.0</v>
      </c>
      <c r="F5532" s="16">
        <v>50.1996</v>
      </c>
      <c r="G5532" s="16">
        <v>10.8936</v>
      </c>
      <c r="H5532" s="15"/>
      <c r="I5532" s="15"/>
    </row>
    <row r="5533">
      <c r="A5533" s="18">
        <v>45665.0</v>
      </c>
      <c r="B5533" s="16" t="s">
        <v>6336</v>
      </c>
      <c r="C5533" s="16" t="s">
        <v>969</v>
      </c>
      <c r="D5533" s="16" t="s">
        <v>707</v>
      </c>
      <c r="E5533" s="16">
        <v>2023.0</v>
      </c>
      <c r="F5533" s="16">
        <v>48.3209</v>
      </c>
      <c r="G5533" s="16">
        <v>9.5839</v>
      </c>
      <c r="H5533" s="15"/>
      <c r="I5533" s="15"/>
    </row>
    <row r="5534">
      <c r="A5534" s="18">
        <v>45665.0</v>
      </c>
      <c r="B5534" s="16" t="s">
        <v>6337</v>
      </c>
      <c r="C5534" s="16" t="s">
        <v>1037</v>
      </c>
      <c r="D5534" s="16" t="s">
        <v>707</v>
      </c>
      <c r="E5534" s="16">
        <v>2023.0</v>
      </c>
      <c r="F5534" s="16">
        <v>47.7604</v>
      </c>
      <c r="G5534" s="16">
        <v>11.5904</v>
      </c>
      <c r="H5534" s="15"/>
      <c r="I5534" s="15"/>
    </row>
    <row r="5535">
      <c r="A5535" s="18">
        <v>45665.0</v>
      </c>
      <c r="B5535" s="16" t="s">
        <v>6338</v>
      </c>
      <c r="C5535" s="16" t="s">
        <v>1267</v>
      </c>
      <c r="D5535" s="16" t="s">
        <v>707</v>
      </c>
      <c r="E5535" s="16">
        <v>2023.0</v>
      </c>
      <c r="F5535" s="16">
        <v>49.4697</v>
      </c>
      <c r="G5535" s="16">
        <v>11.8909</v>
      </c>
      <c r="H5535" s="15"/>
      <c r="I5535" s="15"/>
    </row>
    <row r="5536">
      <c r="A5536" s="18">
        <v>45665.0</v>
      </c>
      <c r="B5536" s="16" t="s">
        <v>6339</v>
      </c>
      <c r="C5536" s="16" t="s">
        <v>1004</v>
      </c>
      <c r="D5536" s="16" t="s">
        <v>707</v>
      </c>
      <c r="E5536" s="16">
        <v>2023.0</v>
      </c>
      <c r="F5536" s="16">
        <v>54.0218</v>
      </c>
      <c r="G5536" s="16">
        <v>9.0976</v>
      </c>
      <c r="H5536" s="15"/>
      <c r="I5536" s="15"/>
    </row>
    <row r="5537">
      <c r="A5537" s="18">
        <v>45665.0</v>
      </c>
      <c r="B5537" s="16" t="s">
        <v>6340</v>
      </c>
      <c r="C5537" s="16" t="s">
        <v>5898</v>
      </c>
      <c r="D5537" s="16" t="s">
        <v>707</v>
      </c>
      <c r="E5537" s="16">
        <v>2023.0</v>
      </c>
      <c r="F5537" s="16">
        <v>52.3503</v>
      </c>
      <c r="G5537" s="16">
        <v>12.8135</v>
      </c>
      <c r="H5537" s="15"/>
      <c r="I5537" s="15"/>
    </row>
    <row r="5538">
      <c r="A5538" s="18">
        <v>45665.0</v>
      </c>
      <c r="B5538" s="16" t="s">
        <v>6341</v>
      </c>
      <c r="C5538" s="16" t="s">
        <v>1037</v>
      </c>
      <c r="D5538" s="16" t="s">
        <v>707</v>
      </c>
      <c r="E5538" s="16">
        <v>2023.0</v>
      </c>
      <c r="F5538" s="16">
        <v>52.4037</v>
      </c>
      <c r="G5538" s="16">
        <v>9.531</v>
      </c>
      <c r="H5538" s="15"/>
      <c r="I5538" s="15"/>
    </row>
    <row r="5539">
      <c r="A5539" s="18">
        <v>45665.0</v>
      </c>
      <c r="B5539" s="16" t="s">
        <v>6342</v>
      </c>
      <c r="C5539" s="16" t="s">
        <v>6343</v>
      </c>
      <c r="D5539" s="16" t="s">
        <v>707</v>
      </c>
      <c r="E5539" s="16">
        <v>2023.0</v>
      </c>
      <c r="F5539" s="16">
        <v>48.8914</v>
      </c>
      <c r="G5539" s="16">
        <v>12.8301</v>
      </c>
      <c r="H5539" s="15"/>
      <c r="I5539" s="15"/>
    </row>
    <row r="5540">
      <c r="A5540" s="18">
        <v>45665.0</v>
      </c>
      <c r="B5540" s="16" t="s">
        <v>6344</v>
      </c>
      <c r="C5540" s="16" t="s">
        <v>5665</v>
      </c>
      <c r="D5540" s="16" t="s">
        <v>707</v>
      </c>
      <c r="E5540" s="16">
        <v>2023.0</v>
      </c>
      <c r="F5540" s="16">
        <v>50.0639</v>
      </c>
      <c r="G5540" s="16">
        <v>6.9088</v>
      </c>
      <c r="H5540" s="15"/>
      <c r="I5540" s="15"/>
    </row>
    <row r="5541">
      <c r="A5541" s="18">
        <v>45665.0</v>
      </c>
      <c r="B5541" s="16" t="s">
        <v>6345</v>
      </c>
      <c r="C5541" s="16" t="s">
        <v>990</v>
      </c>
      <c r="D5541" s="16" t="s">
        <v>707</v>
      </c>
      <c r="E5541" s="16">
        <v>2023.0</v>
      </c>
      <c r="F5541" s="16">
        <v>51.4025</v>
      </c>
      <c r="G5541" s="16">
        <v>9.7537</v>
      </c>
      <c r="H5541" s="15"/>
      <c r="I5541" s="15"/>
    </row>
    <row r="5542">
      <c r="A5542" s="18">
        <v>45665.0</v>
      </c>
      <c r="B5542" s="16" t="s">
        <v>6346</v>
      </c>
      <c r="C5542" s="16" t="s">
        <v>951</v>
      </c>
      <c r="D5542" s="16" t="s">
        <v>707</v>
      </c>
      <c r="E5542" s="16">
        <v>2023.0</v>
      </c>
      <c r="F5542" s="16">
        <v>50.1869</v>
      </c>
      <c r="G5542" s="16">
        <v>9.8576</v>
      </c>
      <c r="H5542" s="15"/>
      <c r="I5542" s="15"/>
    </row>
    <row r="5543">
      <c r="A5543" s="18">
        <v>45665.0</v>
      </c>
      <c r="B5543" s="16" t="s">
        <v>6347</v>
      </c>
      <c r="C5543" s="16" t="s">
        <v>1203</v>
      </c>
      <c r="D5543" s="16" t="s">
        <v>707</v>
      </c>
      <c r="E5543" s="16">
        <v>2023.0</v>
      </c>
      <c r="F5543" s="16">
        <v>49.3488</v>
      </c>
      <c r="G5543" s="16">
        <v>6.9575</v>
      </c>
      <c r="H5543" s="15"/>
      <c r="I5543" s="15"/>
    </row>
    <row r="5544">
      <c r="A5544" s="18">
        <v>45665.0</v>
      </c>
      <c r="B5544" s="16" t="s">
        <v>6348</v>
      </c>
      <c r="C5544" s="16" t="s">
        <v>1101</v>
      </c>
      <c r="D5544" s="16" t="s">
        <v>707</v>
      </c>
      <c r="E5544" s="16">
        <v>2023.0</v>
      </c>
      <c r="F5544" s="16">
        <v>48.9492</v>
      </c>
      <c r="G5544" s="16">
        <v>11.7895</v>
      </c>
      <c r="H5544" s="15"/>
      <c r="I5544" s="15"/>
    </row>
    <row r="5545">
      <c r="A5545" s="18">
        <v>45665.0</v>
      </c>
      <c r="B5545" s="16" t="s">
        <v>6349</v>
      </c>
      <c r="C5545" s="16" t="s">
        <v>1039</v>
      </c>
      <c r="D5545" s="16" t="s">
        <v>707</v>
      </c>
      <c r="E5545" s="16">
        <v>2023.0</v>
      </c>
      <c r="F5545" s="16">
        <v>48.7139</v>
      </c>
      <c r="G5545" s="16">
        <v>13.7291</v>
      </c>
      <c r="H5545" s="15"/>
      <c r="I5545" s="15"/>
    </row>
    <row r="5546">
      <c r="A5546" s="18">
        <v>45665.0</v>
      </c>
      <c r="B5546" s="16" t="s">
        <v>6350</v>
      </c>
      <c r="C5546" s="16" t="s">
        <v>1393</v>
      </c>
      <c r="D5546" s="16" t="s">
        <v>707</v>
      </c>
      <c r="E5546" s="16">
        <v>2023.0</v>
      </c>
      <c r="F5546" s="16">
        <v>49.5798</v>
      </c>
      <c r="G5546" s="16">
        <v>11.7993</v>
      </c>
      <c r="H5546" s="15"/>
      <c r="I5546" s="15"/>
    </row>
    <row r="5547">
      <c r="A5547" s="18">
        <v>45665.0</v>
      </c>
      <c r="B5547" s="16" t="s">
        <v>6351</v>
      </c>
      <c r="C5547" s="16">
        <v>5.0</v>
      </c>
      <c r="D5547" s="16" t="s">
        <v>707</v>
      </c>
      <c r="E5547" s="16">
        <v>2023.0</v>
      </c>
      <c r="F5547" s="16">
        <v>48.6893</v>
      </c>
      <c r="G5547" s="16">
        <v>12.1331</v>
      </c>
      <c r="H5547" s="15"/>
      <c r="I5547" s="15"/>
    </row>
    <row r="5548">
      <c r="A5548" s="18">
        <v>45665.0</v>
      </c>
      <c r="B5548" s="16" t="s">
        <v>6352</v>
      </c>
      <c r="C5548" s="16" t="s">
        <v>982</v>
      </c>
      <c r="D5548" s="16" t="s">
        <v>707</v>
      </c>
      <c r="E5548" s="16">
        <v>2023.0</v>
      </c>
      <c r="F5548" s="16">
        <v>48.9212</v>
      </c>
      <c r="G5548" s="16">
        <v>12.0435</v>
      </c>
      <c r="H5548" s="15"/>
      <c r="I5548" s="15"/>
    </row>
    <row r="5549">
      <c r="A5549" s="18">
        <v>45665.0</v>
      </c>
      <c r="B5549" s="16" t="s">
        <v>6353</v>
      </c>
      <c r="C5549" s="16" t="s">
        <v>1358</v>
      </c>
      <c r="D5549" s="16" t="s">
        <v>707</v>
      </c>
      <c r="E5549" s="16">
        <v>2023.0</v>
      </c>
      <c r="F5549" s="16">
        <v>49.565</v>
      </c>
      <c r="G5549" s="16">
        <v>7.6526</v>
      </c>
      <c r="H5549" s="15"/>
      <c r="I5549" s="15"/>
    </row>
    <row r="5550">
      <c r="A5550" s="18">
        <v>45665.0</v>
      </c>
      <c r="B5550" s="16" t="s">
        <v>6354</v>
      </c>
      <c r="C5550" s="16" t="s">
        <v>2498</v>
      </c>
      <c r="D5550" s="16" t="s">
        <v>707</v>
      </c>
      <c r="E5550" s="16">
        <v>2023.0</v>
      </c>
      <c r="F5550" s="16">
        <v>53.9298</v>
      </c>
      <c r="G5550" s="16">
        <v>12.3251</v>
      </c>
      <c r="H5550" s="15"/>
      <c r="I5550" s="15"/>
    </row>
    <row r="5551">
      <c r="A5551" s="18">
        <v>45665.0</v>
      </c>
      <c r="B5551" s="16" t="s">
        <v>6355</v>
      </c>
      <c r="C5551" s="16" t="s">
        <v>2990</v>
      </c>
      <c r="D5551" s="16" t="s">
        <v>707</v>
      </c>
      <c r="E5551" s="16">
        <v>2023.0</v>
      </c>
      <c r="F5551" s="16">
        <v>54.4361</v>
      </c>
      <c r="G5551" s="16">
        <v>9.5194</v>
      </c>
      <c r="H5551" s="15"/>
      <c r="I5551" s="15"/>
    </row>
    <row r="5552">
      <c r="A5552" s="18">
        <v>45665.0</v>
      </c>
      <c r="B5552" s="16" t="s">
        <v>6356</v>
      </c>
      <c r="C5552" s="16" t="s">
        <v>1475</v>
      </c>
      <c r="D5552" s="16" t="s">
        <v>707</v>
      </c>
      <c r="E5552" s="16">
        <v>2023.0</v>
      </c>
      <c r="F5552" s="16">
        <v>49.4101</v>
      </c>
      <c r="G5552" s="16">
        <v>11.8675</v>
      </c>
      <c r="H5552" s="15"/>
      <c r="I5552" s="15"/>
    </row>
    <row r="5553">
      <c r="A5553" s="18">
        <v>45665.0</v>
      </c>
      <c r="B5553" s="16" t="s">
        <v>6357</v>
      </c>
      <c r="C5553" s="16" t="s">
        <v>971</v>
      </c>
      <c r="D5553" s="16" t="s">
        <v>707</v>
      </c>
      <c r="E5553" s="16">
        <v>2023.0</v>
      </c>
      <c r="F5553" s="16">
        <v>50.846</v>
      </c>
      <c r="G5553" s="16">
        <v>12.5229</v>
      </c>
      <c r="H5553" s="15"/>
      <c r="I5553" s="15"/>
    </row>
    <row r="5554">
      <c r="A5554" s="18">
        <v>45665.0</v>
      </c>
      <c r="B5554" s="16" t="s">
        <v>6358</v>
      </c>
      <c r="C5554" s="16">
        <v>3.0</v>
      </c>
      <c r="D5554" s="16" t="s">
        <v>707</v>
      </c>
      <c r="E5554" s="16">
        <v>2023.0</v>
      </c>
      <c r="F5554" s="16">
        <v>52.6292</v>
      </c>
      <c r="G5554" s="16">
        <v>10.2506</v>
      </c>
      <c r="H5554" s="15"/>
      <c r="I5554" s="15"/>
    </row>
    <row r="5555">
      <c r="A5555" s="18">
        <v>45665.0</v>
      </c>
      <c r="B5555" s="16" t="s">
        <v>6359</v>
      </c>
      <c r="C5555" s="16" t="s">
        <v>4358</v>
      </c>
      <c r="D5555" s="16" t="s">
        <v>707</v>
      </c>
      <c r="E5555" s="16">
        <v>2023.0</v>
      </c>
      <c r="F5555" s="16">
        <v>52.6292</v>
      </c>
      <c r="G5555" s="16">
        <v>10.2506</v>
      </c>
      <c r="H5555" s="15"/>
      <c r="I5555" s="15"/>
    </row>
    <row r="5556">
      <c r="A5556" s="18">
        <v>45665.0</v>
      </c>
      <c r="B5556" s="16" t="s">
        <v>6360</v>
      </c>
      <c r="C5556" s="16" t="s">
        <v>1149</v>
      </c>
      <c r="D5556" s="16" t="s">
        <v>707</v>
      </c>
      <c r="E5556" s="16">
        <v>2023.0</v>
      </c>
      <c r="F5556" s="16">
        <v>49.4117</v>
      </c>
      <c r="G5556" s="16">
        <v>7.5449</v>
      </c>
      <c r="H5556" s="15"/>
      <c r="I5556" s="15"/>
    </row>
    <row r="5557">
      <c r="A5557" s="18">
        <v>45665.0</v>
      </c>
      <c r="B5557" s="16" t="s">
        <v>6361</v>
      </c>
      <c r="C5557" s="16" t="s">
        <v>2392</v>
      </c>
      <c r="D5557" s="16" t="s">
        <v>707</v>
      </c>
      <c r="E5557" s="16">
        <v>2023.0</v>
      </c>
      <c r="F5557" s="16">
        <v>49.6479</v>
      </c>
      <c r="G5557" s="16">
        <v>11.0558</v>
      </c>
      <c r="H5557" s="15"/>
      <c r="I5557" s="15"/>
    </row>
    <row r="5558">
      <c r="A5558" s="18">
        <v>45665.0</v>
      </c>
      <c r="B5558" s="16" t="s">
        <v>6362</v>
      </c>
      <c r="C5558" s="16" t="s">
        <v>1085</v>
      </c>
      <c r="D5558" s="16" t="s">
        <v>707</v>
      </c>
      <c r="E5558" s="16">
        <v>2023.0</v>
      </c>
      <c r="F5558" s="16">
        <v>49.7955</v>
      </c>
      <c r="G5558" s="16">
        <v>6.8747</v>
      </c>
      <c r="H5558" s="15"/>
      <c r="I5558" s="15"/>
    </row>
    <row r="5559">
      <c r="A5559" s="18">
        <v>45665.0</v>
      </c>
      <c r="B5559" s="16" t="s">
        <v>6363</v>
      </c>
      <c r="C5559" s="16" t="s">
        <v>6125</v>
      </c>
      <c r="D5559" s="16" t="s">
        <v>707</v>
      </c>
      <c r="E5559" s="16">
        <v>2023.0</v>
      </c>
      <c r="F5559" s="16">
        <v>52.6443</v>
      </c>
      <c r="G5559" s="16">
        <v>14.3258</v>
      </c>
      <c r="H5559" s="15"/>
      <c r="I5559" s="15"/>
    </row>
    <row r="5560">
      <c r="A5560" s="18">
        <v>45665.0</v>
      </c>
      <c r="B5560" s="16" t="s">
        <v>6364</v>
      </c>
      <c r="C5560" s="16" t="s">
        <v>1094</v>
      </c>
      <c r="D5560" s="16" t="s">
        <v>707</v>
      </c>
      <c r="E5560" s="16">
        <v>2023.0</v>
      </c>
      <c r="F5560" s="16">
        <v>54.4404</v>
      </c>
      <c r="G5560" s="16">
        <v>9.5699</v>
      </c>
      <c r="H5560" s="15"/>
      <c r="I5560" s="15"/>
    </row>
    <row r="5561">
      <c r="A5561" s="18">
        <v>45665.0</v>
      </c>
      <c r="B5561" s="16" t="s">
        <v>6365</v>
      </c>
      <c r="C5561" s="16" t="s">
        <v>961</v>
      </c>
      <c r="D5561" s="16" t="s">
        <v>707</v>
      </c>
      <c r="E5561" s="16">
        <v>2023.0</v>
      </c>
      <c r="F5561" s="16">
        <v>53.1655</v>
      </c>
      <c r="G5561" s="16">
        <v>12.3795</v>
      </c>
      <c r="H5561" s="15"/>
      <c r="I5561" s="15"/>
    </row>
    <row r="5562">
      <c r="A5562" s="18">
        <v>45665.0</v>
      </c>
      <c r="B5562" s="16" t="s">
        <v>6366</v>
      </c>
      <c r="C5562" s="16" t="s">
        <v>1167</v>
      </c>
      <c r="D5562" s="16" t="s">
        <v>707</v>
      </c>
      <c r="E5562" s="16">
        <v>2023.0</v>
      </c>
      <c r="F5562" s="16">
        <v>49.8045</v>
      </c>
      <c r="G5562" s="16">
        <v>9.5877</v>
      </c>
      <c r="H5562" s="15"/>
      <c r="I5562" s="15"/>
    </row>
    <row r="5563">
      <c r="A5563" s="18">
        <v>45665.0</v>
      </c>
      <c r="B5563" s="16" t="s">
        <v>6366</v>
      </c>
      <c r="C5563" s="16" t="s">
        <v>1745</v>
      </c>
      <c r="D5563" s="16" t="s">
        <v>707</v>
      </c>
      <c r="E5563" s="16">
        <v>2023.0</v>
      </c>
      <c r="F5563" s="16">
        <v>49.8075</v>
      </c>
      <c r="G5563" s="16">
        <v>9.5793</v>
      </c>
      <c r="H5563" s="15"/>
      <c r="I5563" s="15"/>
    </row>
    <row r="5564">
      <c r="A5564" s="18">
        <v>45665.0</v>
      </c>
      <c r="B5564" s="16" t="s">
        <v>6366</v>
      </c>
      <c r="C5564" s="16" t="s">
        <v>1461</v>
      </c>
      <c r="D5564" s="16" t="s">
        <v>707</v>
      </c>
      <c r="E5564" s="16">
        <v>2023.0</v>
      </c>
      <c r="F5564" s="16">
        <v>49.7931</v>
      </c>
      <c r="G5564" s="16">
        <v>9.5857</v>
      </c>
      <c r="H5564" s="15"/>
      <c r="I5564" s="15"/>
    </row>
    <row r="5565">
      <c r="A5565" s="18">
        <v>45665.0</v>
      </c>
      <c r="B5565" s="16" t="s">
        <v>6366</v>
      </c>
      <c r="C5565" s="16" t="s">
        <v>1771</v>
      </c>
      <c r="D5565" s="16" t="s">
        <v>707</v>
      </c>
      <c r="E5565" s="16">
        <v>2023.0</v>
      </c>
      <c r="F5565" s="16">
        <v>49.8021</v>
      </c>
      <c r="G5565" s="16">
        <v>9.5902</v>
      </c>
      <c r="H5565" s="15"/>
      <c r="I5565" s="15"/>
    </row>
    <row r="5566">
      <c r="A5566" s="18">
        <v>45665.0</v>
      </c>
      <c r="B5566" s="16" t="s">
        <v>6367</v>
      </c>
      <c r="C5566" s="16" t="s">
        <v>982</v>
      </c>
      <c r="D5566" s="16" t="s">
        <v>707</v>
      </c>
      <c r="E5566" s="16">
        <v>2023.0</v>
      </c>
      <c r="F5566" s="16">
        <v>48.2178</v>
      </c>
      <c r="G5566" s="16">
        <v>11.2399</v>
      </c>
      <c r="H5566" s="15"/>
      <c r="I5566" s="15"/>
    </row>
    <row r="5567">
      <c r="A5567" s="18">
        <v>45665.0</v>
      </c>
      <c r="B5567" s="16" t="s">
        <v>6368</v>
      </c>
      <c r="C5567" s="16" t="s">
        <v>1690</v>
      </c>
      <c r="D5567" s="16" t="s">
        <v>707</v>
      </c>
      <c r="E5567" s="16">
        <v>2023.0</v>
      </c>
      <c r="F5567" s="16">
        <v>49.6515</v>
      </c>
      <c r="G5567" s="16">
        <v>12.0602</v>
      </c>
      <c r="H5567" s="15"/>
      <c r="I5567" s="15"/>
    </row>
    <row r="5568">
      <c r="A5568" s="18">
        <v>45665.0</v>
      </c>
      <c r="B5568" s="16" t="s">
        <v>6369</v>
      </c>
      <c r="C5568" s="16" t="s">
        <v>961</v>
      </c>
      <c r="D5568" s="16" t="s">
        <v>707</v>
      </c>
      <c r="E5568" s="16">
        <v>2023.0</v>
      </c>
      <c r="F5568" s="16">
        <v>48.6385</v>
      </c>
      <c r="G5568" s="16">
        <v>11.714</v>
      </c>
      <c r="H5568" s="15"/>
      <c r="I5568" s="15"/>
    </row>
    <row r="5569">
      <c r="A5569" s="18">
        <v>45665.0</v>
      </c>
      <c r="B5569" s="16" t="s">
        <v>6370</v>
      </c>
      <c r="C5569" s="16" t="s">
        <v>948</v>
      </c>
      <c r="D5569" s="16" t="s">
        <v>707</v>
      </c>
      <c r="E5569" s="16">
        <v>2023.0</v>
      </c>
      <c r="F5569" s="16">
        <v>48.6385</v>
      </c>
      <c r="G5569" s="16">
        <v>11.714</v>
      </c>
      <c r="H5569" s="15"/>
      <c r="I5569" s="15"/>
    </row>
    <row r="5570">
      <c r="A5570" s="18">
        <v>45665.0</v>
      </c>
      <c r="B5570" s="16" t="s">
        <v>6371</v>
      </c>
      <c r="C5570" s="16" t="s">
        <v>1037</v>
      </c>
      <c r="D5570" s="16" t="s">
        <v>707</v>
      </c>
      <c r="E5570" s="16">
        <v>2023.0</v>
      </c>
      <c r="F5570" s="16">
        <v>49.9404</v>
      </c>
      <c r="G5570" s="16">
        <v>12.1865</v>
      </c>
      <c r="H5570" s="15"/>
      <c r="I5570" s="15"/>
    </row>
    <row r="5571">
      <c r="A5571" s="18">
        <v>45665.0</v>
      </c>
      <c r="B5571" s="16" t="s">
        <v>6372</v>
      </c>
      <c r="C5571" s="16" t="s">
        <v>1090</v>
      </c>
      <c r="D5571" s="16" t="s">
        <v>707</v>
      </c>
      <c r="E5571" s="16">
        <v>2023.0</v>
      </c>
      <c r="F5571" s="16">
        <v>48.914</v>
      </c>
      <c r="G5571" s="16">
        <v>10.6698</v>
      </c>
      <c r="H5571" s="15"/>
      <c r="I5571" s="15"/>
    </row>
    <row r="5572">
      <c r="A5572" s="18">
        <v>45665.0</v>
      </c>
      <c r="B5572" s="16" t="s">
        <v>6373</v>
      </c>
      <c r="C5572" s="16" t="s">
        <v>1773</v>
      </c>
      <c r="D5572" s="16" t="s">
        <v>707</v>
      </c>
      <c r="E5572" s="16">
        <v>2023.0</v>
      </c>
      <c r="F5572" s="16">
        <v>50.1718</v>
      </c>
      <c r="G5572" s="16">
        <v>9.1006</v>
      </c>
      <c r="H5572" s="15"/>
      <c r="I5572" s="15"/>
    </row>
    <row r="5573">
      <c r="A5573" s="18">
        <v>45665.0</v>
      </c>
      <c r="B5573" s="16" t="s">
        <v>6374</v>
      </c>
      <c r="C5573" s="16" t="s">
        <v>1215</v>
      </c>
      <c r="D5573" s="16" t="s">
        <v>707</v>
      </c>
      <c r="E5573" s="16">
        <v>2023.0</v>
      </c>
      <c r="F5573" s="16">
        <v>54.2207</v>
      </c>
      <c r="G5573" s="16">
        <v>9.027</v>
      </c>
      <c r="H5573" s="15"/>
      <c r="I5573" s="15"/>
    </row>
    <row r="5574">
      <c r="A5574" s="18">
        <v>45665.0</v>
      </c>
      <c r="B5574" s="16" t="s">
        <v>6375</v>
      </c>
      <c r="C5574" s="16" t="s">
        <v>1341</v>
      </c>
      <c r="D5574" s="16" t="s">
        <v>707</v>
      </c>
      <c r="E5574" s="16">
        <v>2023.0</v>
      </c>
      <c r="F5574" s="16">
        <v>50.1807</v>
      </c>
      <c r="G5574" s="16">
        <v>9.1196</v>
      </c>
      <c r="H5574" s="15"/>
      <c r="I5574" s="15"/>
    </row>
    <row r="5575">
      <c r="A5575" s="18">
        <v>45665.0</v>
      </c>
      <c r="B5575" s="16" t="s">
        <v>6376</v>
      </c>
      <c r="C5575" s="16" t="s">
        <v>1011</v>
      </c>
      <c r="D5575" s="16" t="s">
        <v>707</v>
      </c>
      <c r="E5575" s="16">
        <v>2023.0</v>
      </c>
      <c r="F5575" s="16">
        <v>49.4585</v>
      </c>
      <c r="G5575" s="16">
        <v>12.3588</v>
      </c>
      <c r="H5575" s="15"/>
      <c r="I5575" s="15"/>
    </row>
    <row r="5576">
      <c r="A5576" s="18">
        <v>45665.0</v>
      </c>
      <c r="B5576" s="16" t="s">
        <v>6377</v>
      </c>
      <c r="C5576" s="16" t="s">
        <v>1002</v>
      </c>
      <c r="D5576" s="16" t="s">
        <v>707</v>
      </c>
      <c r="E5576" s="16">
        <v>2023.0</v>
      </c>
      <c r="F5576" s="16">
        <v>49.421</v>
      </c>
      <c r="G5576" s="16">
        <v>12.3986</v>
      </c>
      <c r="H5576" s="15"/>
      <c r="I5576" s="15"/>
    </row>
    <row r="5577">
      <c r="A5577" s="18">
        <v>45665.0</v>
      </c>
      <c r="B5577" s="16" t="s">
        <v>6378</v>
      </c>
      <c r="C5577" s="16">
        <v>2.0</v>
      </c>
      <c r="D5577" s="16" t="s">
        <v>707</v>
      </c>
      <c r="E5577" s="16">
        <v>2023.0</v>
      </c>
      <c r="F5577" s="16">
        <v>48.401</v>
      </c>
      <c r="G5577" s="16">
        <v>10.872</v>
      </c>
      <c r="H5577" s="15"/>
      <c r="I5577" s="15"/>
    </row>
    <row r="5578">
      <c r="A5578" s="18">
        <v>45665.0</v>
      </c>
      <c r="B5578" s="16" t="s">
        <v>6379</v>
      </c>
      <c r="C5578" s="16" t="s">
        <v>4064</v>
      </c>
      <c r="D5578" s="16" t="s">
        <v>707</v>
      </c>
      <c r="E5578" s="16">
        <v>2023.0</v>
      </c>
      <c r="F5578" s="16">
        <v>49.4372</v>
      </c>
      <c r="G5578" s="16">
        <v>12.0276</v>
      </c>
      <c r="H5578" s="15"/>
      <c r="I5578" s="15"/>
    </row>
    <row r="5579">
      <c r="A5579" s="18">
        <v>45665.0</v>
      </c>
      <c r="B5579" s="16" t="s">
        <v>6380</v>
      </c>
      <c r="C5579" s="16">
        <v>12.0</v>
      </c>
      <c r="D5579" s="16" t="s">
        <v>707</v>
      </c>
      <c r="E5579" s="16">
        <v>2023.0</v>
      </c>
      <c r="F5579" s="16">
        <v>52.0263</v>
      </c>
      <c r="G5579" s="16">
        <v>11.2403</v>
      </c>
      <c r="H5579" s="15"/>
      <c r="I5579" s="15"/>
    </row>
    <row r="5580">
      <c r="A5580" s="18">
        <v>45665.0</v>
      </c>
      <c r="B5580" s="16" t="s">
        <v>6381</v>
      </c>
      <c r="C5580" s="16">
        <v>6.0</v>
      </c>
      <c r="D5580" s="16" t="s">
        <v>707</v>
      </c>
      <c r="E5580" s="16">
        <v>2023.0</v>
      </c>
      <c r="F5580" s="16">
        <v>49.7936</v>
      </c>
      <c r="G5580" s="16">
        <v>12.1838</v>
      </c>
      <c r="H5580" s="15"/>
      <c r="I5580" s="15"/>
    </row>
    <row r="5581">
      <c r="A5581" s="18">
        <v>45665.0</v>
      </c>
      <c r="B5581" s="16" t="s">
        <v>6382</v>
      </c>
      <c r="C5581" s="16">
        <v>2.0</v>
      </c>
      <c r="D5581" s="16" t="s">
        <v>707</v>
      </c>
      <c r="E5581" s="16">
        <v>2023.0</v>
      </c>
      <c r="F5581" s="16">
        <v>48.7315</v>
      </c>
      <c r="G5581" s="16">
        <v>13.6368</v>
      </c>
      <c r="H5581" s="15"/>
      <c r="I5581" s="15"/>
    </row>
    <row r="5582">
      <c r="A5582" s="18">
        <v>45665.0</v>
      </c>
      <c r="B5582" s="16" t="s">
        <v>6383</v>
      </c>
      <c r="C5582" s="16" t="s">
        <v>971</v>
      </c>
      <c r="D5582" s="16" t="s">
        <v>707</v>
      </c>
      <c r="E5582" s="16">
        <v>2023.0</v>
      </c>
      <c r="F5582" s="16">
        <v>54.1732</v>
      </c>
      <c r="G5582" s="16">
        <v>8.8996</v>
      </c>
      <c r="H5582" s="15"/>
      <c r="I5582" s="15"/>
    </row>
    <row r="5583">
      <c r="A5583" s="18">
        <v>45665.0</v>
      </c>
      <c r="B5583" s="16" t="s">
        <v>6384</v>
      </c>
      <c r="C5583" s="16" t="s">
        <v>1475</v>
      </c>
      <c r="D5583" s="16" t="s">
        <v>707</v>
      </c>
      <c r="E5583" s="16">
        <v>2023.0</v>
      </c>
      <c r="F5583" s="16">
        <v>51.5813</v>
      </c>
      <c r="G5583" s="16">
        <v>12.2449</v>
      </c>
      <c r="H5583" s="15"/>
      <c r="I5583" s="15"/>
    </row>
    <row r="5584">
      <c r="A5584" s="18">
        <v>45665.0</v>
      </c>
      <c r="B5584" s="16" t="s">
        <v>6385</v>
      </c>
      <c r="C5584" s="16" t="s">
        <v>1002</v>
      </c>
      <c r="D5584" s="16" t="s">
        <v>707</v>
      </c>
      <c r="E5584" s="16">
        <v>2023.0</v>
      </c>
      <c r="F5584" s="16">
        <v>47.9558</v>
      </c>
      <c r="G5584" s="16">
        <v>9.1131</v>
      </c>
      <c r="H5584" s="15"/>
      <c r="I5584" s="15"/>
    </row>
    <row r="5585">
      <c r="A5585" s="18">
        <v>45665.0</v>
      </c>
      <c r="B5585" s="16" t="s">
        <v>6386</v>
      </c>
      <c r="C5585" s="16" t="s">
        <v>1059</v>
      </c>
      <c r="D5585" s="16" t="s">
        <v>707</v>
      </c>
      <c r="E5585" s="16">
        <v>2023.0</v>
      </c>
      <c r="F5585" s="16">
        <v>49.6631</v>
      </c>
      <c r="G5585" s="16">
        <v>10.4372</v>
      </c>
      <c r="H5585" s="15"/>
      <c r="I5585" s="15"/>
    </row>
    <row r="5586">
      <c r="A5586" s="18">
        <v>45665.0</v>
      </c>
      <c r="B5586" s="16" t="s">
        <v>6387</v>
      </c>
      <c r="C5586" s="16">
        <v>14.0</v>
      </c>
      <c r="D5586" s="16" t="s">
        <v>707</v>
      </c>
      <c r="E5586" s="16">
        <v>2023.0</v>
      </c>
      <c r="F5586" s="16">
        <v>48.4119</v>
      </c>
      <c r="G5586" s="16">
        <v>11.2419</v>
      </c>
      <c r="H5586" s="15"/>
      <c r="I5586" s="15"/>
    </row>
    <row r="5587">
      <c r="A5587" s="18">
        <v>45665.0</v>
      </c>
      <c r="B5587" s="16" t="s">
        <v>6388</v>
      </c>
      <c r="C5587" s="16" t="s">
        <v>2457</v>
      </c>
      <c r="D5587" s="16" t="s">
        <v>707</v>
      </c>
      <c r="E5587" s="16">
        <v>2023.0</v>
      </c>
      <c r="F5587" s="16">
        <v>49.7516</v>
      </c>
      <c r="G5587" s="16">
        <v>10.9419</v>
      </c>
      <c r="H5587" s="15"/>
      <c r="I5587" s="15"/>
    </row>
    <row r="5588">
      <c r="A5588" s="18">
        <v>45665.0</v>
      </c>
      <c r="B5588" s="16" t="s">
        <v>6389</v>
      </c>
      <c r="C5588" s="16" t="s">
        <v>1598</v>
      </c>
      <c r="D5588" s="16" t="s">
        <v>707</v>
      </c>
      <c r="E5588" s="16">
        <v>2023.0</v>
      </c>
      <c r="F5588" s="16">
        <v>49.544</v>
      </c>
      <c r="G5588" s="16">
        <v>12.0232</v>
      </c>
      <c r="H5588" s="15"/>
      <c r="I5588" s="15"/>
    </row>
    <row r="5589">
      <c r="A5589" s="18">
        <v>45665.0</v>
      </c>
      <c r="B5589" s="16" t="s">
        <v>6390</v>
      </c>
      <c r="C5589" s="16" t="s">
        <v>3505</v>
      </c>
      <c r="D5589" s="16" t="s">
        <v>707</v>
      </c>
      <c r="E5589" s="16">
        <v>2023.0</v>
      </c>
      <c r="F5589" s="16">
        <v>49.4205</v>
      </c>
      <c r="G5589" s="16">
        <v>9.3431</v>
      </c>
      <c r="H5589" s="15"/>
      <c r="I5589" s="15"/>
    </row>
    <row r="5590">
      <c r="A5590" s="18">
        <v>45665.0</v>
      </c>
      <c r="B5590" s="16" t="s">
        <v>6391</v>
      </c>
      <c r="C5590" s="16">
        <v>5.0</v>
      </c>
      <c r="D5590" s="16" t="s">
        <v>707</v>
      </c>
      <c r="E5590" s="16">
        <v>2023.0</v>
      </c>
      <c r="F5590" s="16">
        <v>49.4629</v>
      </c>
      <c r="G5590" s="16">
        <v>10.4349</v>
      </c>
      <c r="H5590" s="15"/>
      <c r="I5590" s="15"/>
    </row>
    <row r="5591">
      <c r="A5591" s="18">
        <v>45665.0</v>
      </c>
      <c r="B5591" s="16" t="s">
        <v>6392</v>
      </c>
      <c r="C5591" s="16" t="s">
        <v>984</v>
      </c>
      <c r="D5591" s="16" t="s">
        <v>707</v>
      </c>
      <c r="E5591" s="16">
        <v>2023.0</v>
      </c>
      <c r="F5591" s="16">
        <v>48.939</v>
      </c>
      <c r="G5591" s="16">
        <v>12.6346</v>
      </c>
      <c r="H5591" s="15"/>
      <c r="I5591" s="15"/>
    </row>
    <row r="5592">
      <c r="A5592" s="18">
        <v>45665.0</v>
      </c>
      <c r="B5592" s="16" t="s">
        <v>6393</v>
      </c>
      <c r="C5592" s="16" t="s">
        <v>1039</v>
      </c>
      <c r="D5592" s="16" t="s">
        <v>707</v>
      </c>
      <c r="E5592" s="16">
        <v>2023.0</v>
      </c>
      <c r="F5592" s="16">
        <v>51.6445</v>
      </c>
      <c r="G5592" s="16">
        <v>6.2775</v>
      </c>
      <c r="H5592" s="15"/>
      <c r="I5592" s="15"/>
    </row>
    <row r="5593">
      <c r="A5593" s="18">
        <v>45665.0</v>
      </c>
      <c r="B5593" s="16" t="s">
        <v>6394</v>
      </c>
      <c r="C5593" s="16" t="s">
        <v>978</v>
      </c>
      <c r="D5593" s="16" t="s">
        <v>707</v>
      </c>
      <c r="E5593" s="16">
        <v>2023.0</v>
      </c>
      <c r="F5593" s="16">
        <v>51.0113</v>
      </c>
      <c r="G5593" s="16">
        <v>9.2931</v>
      </c>
      <c r="H5593" s="15"/>
      <c r="I5593" s="15"/>
    </row>
    <row r="5594">
      <c r="A5594" s="18">
        <v>45665.0</v>
      </c>
      <c r="B5594" s="16" t="s">
        <v>6395</v>
      </c>
      <c r="C5594" s="16" t="s">
        <v>1099</v>
      </c>
      <c r="D5594" s="16" t="s">
        <v>707</v>
      </c>
      <c r="E5594" s="16">
        <v>2023.0</v>
      </c>
      <c r="F5594" s="16">
        <v>48.6726</v>
      </c>
      <c r="G5594" s="16">
        <v>11.7323</v>
      </c>
      <c r="H5594" s="15"/>
      <c r="I5594" s="15"/>
    </row>
    <row r="5595">
      <c r="A5595" s="18">
        <v>45665.0</v>
      </c>
      <c r="B5595" s="16" t="s">
        <v>6396</v>
      </c>
      <c r="C5595" s="16" t="s">
        <v>948</v>
      </c>
      <c r="D5595" s="16" t="s">
        <v>707</v>
      </c>
      <c r="E5595" s="16">
        <v>2023.0</v>
      </c>
      <c r="F5595" s="16">
        <v>48.6725</v>
      </c>
      <c r="G5595" s="16">
        <v>11.7369</v>
      </c>
      <c r="H5595" s="15"/>
      <c r="I5595" s="15"/>
    </row>
    <row r="5596">
      <c r="A5596" s="18">
        <v>45665.0</v>
      </c>
      <c r="B5596" s="16" t="s">
        <v>6397</v>
      </c>
      <c r="C5596" s="16" t="s">
        <v>1059</v>
      </c>
      <c r="D5596" s="16" t="s">
        <v>707</v>
      </c>
      <c r="E5596" s="16">
        <v>2023.0</v>
      </c>
      <c r="F5596" s="16">
        <v>48.6655</v>
      </c>
      <c r="G5596" s="16">
        <v>11.737</v>
      </c>
      <c r="H5596" s="15"/>
      <c r="I5596" s="15"/>
    </row>
    <row r="5597">
      <c r="A5597" s="18">
        <v>45665.0</v>
      </c>
      <c r="B5597" s="16" t="s">
        <v>6398</v>
      </c>
      <c r="C5597" s="16" t="s">
        <v>1059</v>
      </c>
      <c r="D5597" s="16" t="s">
        <v>707</v>
      </c>
      <c r="E5597" s="16">
        <v>2023.0</v>
      </c>
      <c r="F5597" s="16">
        <v>48.6686</v>
      </c>
      <c r="G5597" s="16">
        <v>11.7334</v>
      </c>
      <c r="H5597" s="15"/>
      <c r="I5597" s="15"/>
    </row>
    <row r="5598">
      <c r="A5598" s="18">
        <v>45665.0</v>
      </c>
      <c r="B5598" s="16" t="s">
        <v>6399</v>
      </c>
      <c r="C5598" s="16" t="s">
        <v>946</v>
      </c>
      <c r="D5598" s="16" t="s">
        <v>707</v>
      </c>
      <c r="E5598" s="16">
        <v>2023.0</v>
      </c>
      <c r="F5598" s="16">
        <v>48.667</v>
      </c>
      <c r="G5598" s="16">
        <v>11.7332</v>
      </c>
      <c r="H5598" s="15"/>
      <c r="I5598" s="15"/>
    </row>
    <row r="5599">
      <c r="A5599" s="18">
        <v>45665.0</v>
      </c>
      <c r="B5599" s="16" t="s">
        <v>6400</v>
      </c>
      <c r="C5599" s="16" t="s">
        <v>1085</v>
      </c>
      <c r="D5599" s="16" t="s">
        <v>707</v>
      </c>
      <c r="E5599" s="16">
        <v>2023.0</v>
      </c>
      <c r="F5599" s="16">
        <v>52.6888</v>
      </c>
      <c r="G5599" s="16">
        <v>10.4802</v>
      </c>
      <c r="H5599" s="15"/>
      <c r="I5599" s="15"/>
    </row>
    <row r="5600">
      <c r="A5600" s="18">
        <v>45665.0</v>
      </c>
      <c r="B5600" s="16" t="s">
        <v>6401</v>
      </c>
      <c r="C5600" s="16" t="s">
        <v>961</v>
      </c>
      <c r="D5600" s="16" t="s">
        <v>707</v>
      </c>
      <c r="E5600" s="16">
        <v>2023.0</v>
      </c>
      <c r="F5600" s="16">
        <v>52.6894</v>
      </c>
      <c r="G5600" s="16">
        <v>10.4799</v>
      </c>
      <c r="H5600" s="15"/>
      <c r="I5600" s="15"/>
    </row>
    <row r="5601">
      <c r="A5601" s="18">
        <v>45665.0</v>
      </c>
      <c r="B5601" s="16" t="s">
        <v>6402</v>
      </c>
      <c r="C5601" s="16" t="s">
        <v>978</v>
      </c>
      <c r="D5601" s="16" t="s">
        <v>707</v>
      </c>
      <c r="E5601" s="16">
        <v>2023.0</v>
      </c>
      <c r="F5601" s="16">
        <v>48.8107</v>
      </c>
      <c r="G5601" s="16">
        <v>10.4752</v>
      </c>
      <c r="H5601" s="15"/>
      <c r="I5601" s="15"/>
    </row>
    <row r="5602">
      <c r="A5602" s="18">
        <v>45665.0</v>
      </c>
      <c r="B5602" s="16" t="s">
        <v>6403</v>
      </c>
      <c r="C5602" s="16" t="s">
        <v>1080</v>
      </c>
      <c r="D5602" s="16" t="s">
        <v>707</v>
      </c>
      <c r="E5602" s="16">
        <v>2023.0</v>
      </c>
      <c r="F5602" s="16">
        <v>48.8882</v>
      </c>
      <c r="G5602" s="16">
        <v>11.862</v>
      </c>
      <c r="H5602" s="15"/>
      <c r="I5602" s="15"/>
    </row>
    <row r="5603">
      <c r="A5603" s="18">
        <v>45665.0</v>
      </c>
      <c r="B5603" s="16" t="s">
        <v>6404</v>
      </c>
      <c r="C5603" s="16" t="s">
        <v>1007</v>
      </c>
      <c r="D5603" s="16" t="s">
        <v>707</v>
      </c>
      <c r="E5603" s="16">
        <v>2023.0</v>
      </c>
      <c r="F5603" s="16">
        <v>48.2912</v>
      </c>
      <c r="G5603" s="16">
        <v>10.4789</v>
      </c>
      <c r="H5603" s="15"/>
      <c r="I5603" s="15"/>
    </row>
    <row r="5604">
      <c r="A5604" s="18">
        <v>45665.0</v>
      </c>
      <c r="B5604" s="16" t="s">
        <v>6405</v>
      </c>
      <c r="C5604" s="16" t="s">
        <v>978</v>
      </c>
      <c r="D5604" s="16" t="s">
        <v>707</v>
      </c>
      <c r="E5604" s="16">
        <v>2023.0</v>
      </c>
      <c r="F5604" s="16">
        <v>48.8036</v>
      </c>
      <c r="G5604" s="16">
        <v>11.5971</v>
      </c>
      <c r="H5604" s="15"/>
      <c r="I5604" s="15"/>
    </row>
    <row r="5605">
      <c r="A5605" s="18">
        <v>45665.0</v>
      </c>
      <c r="B5605" s="16" t="s">
        <v>6406</v>
      </c>
      <c r="C5605" s="16">
        <v>10.0</v>
      </c>
      <c r="D5605" s="16" t="s">
        <v>707</v>
      </c>
      <c r="E5605" s="16">
        <v>2023.0</v>
      </c>
      <c r="F5605" s="16">
        <v>48.9725</v>
      </c>
      <c r="G5605" s="16">
        <v>10.7692</v>
      </c>
      <c r="H5605" s="15"/>
      <c r="I5605" s="15"/>
    </row>
    <row r="5606">
      <c r="A5606" s="18">
        <v>45665.0</v>
      </c>
      <c r="B5606" s="16" t="s">
        <v>6407</v>
      </c>
      <c r="C5606" s="16" t="s">
        <v>1690</v>
      </c>
      <c r="D5606" s="16" t="s">
        <v>707</v>
      </c>
      <c r="E5606" s="16">
        <v>2023.0</v>
      </c>
      <c r="F5606" s="16">
        <v>48.9729</v>
      </c>
      <c r="G5606" s="16">
        <v>10.7691</v>
      </c>
      <c r="H5606" s="15"/>
      <c r="I5606" s="15"/>
    </row>
    <row r="5607">
      <c r="A5607" s="18">
        <v>45665.0</v>
      </c>
      <c r="B5607" s="16" t="s">
        <v>6408</v>
      </c>
      <c r="C5607" s="16" t="s">
        <v>1051</v>
      </c>
      <c r="D5607" s="16" t="s">
        <v>707</v>
      </c>
      <c r="E5607" s="16">
        <v>2023.0</v>
      </c>
      <c r="F5607" s="16">
        <v>48.9726</v>
      </c>
      <c r="G5607" s="16">
        <v>10.7698</v>
      </c>
      <c r="H5607" s="15"/>
      <c r="I5607" s="15"/>
    </row>
    <row r="5608">
      <c r="A5608" s="18">
        <v>45665.0</v>
      </c>
      <c r="B5608" s="16" t="s">
        <v>6409</v>
      </c>
      <c r="C5608" s="16">
        <v>7.0</v>
      </c>
      <c r="D5608" s="16" t="s">
        <v>707</v>
      </c>
      <c r="E5608" s="16">
        <v>2023.0</v>
      </c>
      <c r="F5608" s="16">
        <v>50.3689</v>
      </c>
      <c r="G5608" s="16">
        <v>9.3963</v>
      </c>
      <c r="H5608" s="15"/>
      <c r="I5608" s="15"/>
    </row>
    <row r="5609">
      <c r="A5609" s="18">
        <v>45665.0</v>
      </c>
      <c r="B5609" s="16" t="s">
        <v>6410</v>
      </c>
      <c r="C5609" s="16" t="s">
        <v>1011</v>
      </c>
      <c r="D5609" s="16" t="s">
        <v>707</v>
      </c>
      <c r="E5609" s="16">
        <v>2023.0</v>
      </c>
      <c r="F5609" s="16">
        <v>47.8898</v>
      </c>
      <c r="G5609" s="16">
        <v>10.1656</v>
      </c>
      <c r="H5609" s="15"/>
      <c r="I5609" s="15"/>
    </row>
    <row r="5610">
      <c r="A5610" s="18">
        <v>45665.0</v>
      </c>
      <c r="B5610" s="16" t="s">
        <v>6411</v>
      </c>
      <c r="C5610" s="16" t="s">
        <v>1393</v>
      </c>
      <c r="D5610" s="16" t="s">
        <v>707</v>
      </c>
      <c r="E5610" s="16">
        <v>2023.0</v>
      </c>
      <c r="F5610" s="16">
        <v>49.415</v>
      </c>
      <c r="G5610" s="16">
        <v>11.826</v>
      </c>
      <c r="H5610" s="15"/>
      <c r="I5610" s="15"/>
    </row>
    <row r="5611">
      <c r="A5611" s="18">
        <v>45665.0</v>
      </c>
      <c r="B5611" s="16" t="s">
        <v>6412</v>
      </c>
      <c r="C5611" s="16" t="s">
        <v>1101</v>
      </c>
      <c r="D5611" s="16" t="s">
        <v>707</v>
      </c>
      <c r="E5611" s="16">
        <v>2023.0</v>
      </c>
      <c r="F5611" s="16">
        <v>48.3061</v>
      </c>
      <c r="G5611" s="16">
        <v>10.1124</v>
      </c>
      <c r="H5611" s="15"/>
      <c r="I5611" s="15"/>
    </row>
    <row r="5612">
      <c r="A5612" s="18">
        <v>45665.0</v>
      </c>
      <c r="B5612" s="16" t="s">
        <v>6413</v>
      </c>
      <c r="C5612" s="16" t="s">
        <v>1101</v>
      </c>
      <c r="D5612" s="16" t="s">
        <v>707</v>
      </c>
      <c r="E5612" s="16">
        <v>2023.0</v>
      </c>
      <c r="F5612" s="16">
        <v>51.2052</v>
      </c>
      <c r="G5612" s="16">
        <v>9.0784</v>
      </c>
      <c r="H5612" s="15"/>
      <c r="I5612" s="15"/>
    </row>
    <row r="5613">
      <c r="A5613" s="18">
        <v>45665.0</v>
      </c>
      <c r="B5613" s="16" t="s">
        <v>6414</v>
      </c>
      <c r="C5613" s="16" t="s">
        <v>4358</v>
      </c>
      <c r="D5613" s="16" t="s">
        <v>707</v>
      </c>
      <c r="E5613" s="16">
        <v>2023.0</v>
      </c>
      <c r="F5613" s="16">
        <v>50.2039</v>
      </c>
      <c r="G5613" s="16">
        <v>10.7521</v>
      </c>
      <c r="H5613" s="15"/>
      <c r="I5613" s="15"/>
    </row>
    <row r="5614">
      <c r="A5614" s="18">
        <v>45665.0</v>
      </c>
      <c r="B5614" s="16" t="s">
        <v>6415</v>
      </c>
      <c r="C5614" s="16" t="s">
        <v>969</v>
      </c>
      <c r="D5614" s="16" t="s">
        <v>707</v>
      </c>
      <c r="E5614" s="16">
        <v>2023.0</v>
      </c>
      <c r="F5614" s="16">
        <v>50.2054</v>
      </c>
      <c r="G5614" s="16">
        <v>10.7538</v>
      </c>
      <c r="H5614" s="15"/>
      <c r="I5614" s="15"/>
    </row>
    <row r="5615">
      <c r="A5615" s="18">
        <v>45665.0</v>
      </c>
      <c r="B5615" s="16" t="s">
        <v>6416</v>
      </c>
      <c r="C5615" s="16">
        <v>10.0</v>
      </c>
      <c r="D5615" s="16" t="s">
        <v>707</v>
      </c>
      <c r="E5615" s="16">
        <v>2023.0</v>
      </c>
      <c r="F5615" s="16">
        <v>49.6074</v>
      </c>
      <c r="G5615" s="16">
        <v>9.5474</v>
      </c>
      <c r="H5615" s="15"/>
      <c r="I5615" s="15"/>
    </row>
    <row r="5616">
      <c r="A5616" s="18">
        <v>45665.0</v>
      </c>
      <c r="B5616" s="16" t="s">
        <v>6417</v>
      </c>
      <c r="C5616" s="16" t="s">
        <v>1085</v>
      </c>
      <c r="D5616" s="16" t="s">
        <v>707</v>
      </c>
      <c r="E5616" s="16">
        <v>2023.0</v>
      </c>
      <c r="F5616" s="16">
        <v>49.6042</v>
      </c>
      <c r="G5616" s="16">
        <v>9.5474</v>
      </c>
      <c r="H5616" s="15"/>
      <c r="I5616" s="15"/>
    </row>
    <row r="5617">
      <c r="A5617" s="18">
        <v>45665.0</v>
      </c>
      <c r="B5617" s="16" t="s">
        <v>6418</v>
      </c>
      <c r="C5617" s="16">
        <v>4.0</v>
      </c>
      <c r="D5617" s="16" t="s">
        <v>707</v>
      </c>
      <c r="E5617" s="16">
        <v>2023.0</v>
      </c>
      <c r="F5617" s="16">
        <v>49.0513</v>
      </c>
      <c r="G5617" s="16">
        <v>12.1396</v>
      </c>
      <c r="H5617" s="15"/>
      <c r="I5617" s="15"/>
    </row>
    <row r="5618">
      <c r="A5618" s="18">
        <v>45665.0</v>
      </c>
      <c r="B5618" s="16" t="s">
        <v>6419</v>
      </c>
      <c r="C5618" s="16">
        <v>5.0</v>
      </c>
      <c r="D5618" s="16" t="s">
        <v>707</v>
      </c>
      <c r="E5618" s="16">
        <v>2023.0</v>
      </c>
      <c r="F5618" s="16">
        <v>49.9916</v>
      </c>
      <c r="G5618" s="16">
        <v>10.0727</v>
      </c>
      <c r="H5618" s="15"/>
      <c r="I5618" s="15"/>
    </row>
    <row r="5619">
      <c r="A5619" s="18">
        <v>45665.0</v>
      </c>
      <c r="B5619" s="16" t="s">
        <v>6420</v>
      </c>
      <c r="C5619" s="16">
        <v>10.0</v>
      </c>
      <c r="D5619" s="16" t="s">
        <v>707</v>
      </c>
      <c r="E5619" s="16">
        <v>2023.0</v>
      </c>
      <c r="F5619" s="16">
        <v>49.0096</v>
      </c>
      <c r="G5619" s="16">
        <v>10.6455</v>
      </c>
      <c r="H5619" s="15"/>
      <c r="I5619" s="15"/>
    </row>
    <row r="5620">
      <c r="A5620" s="18">
        <v>45665.0</v>
      </c>
      <c r="B5620" s="16" t="s">
        <v>6421</v>
      </c>
      <c r="C5620" s="16" t="s">
        <v>951</v>
      </c>
      <c r="D5620" s="16" t="s">
        <v>707</v>
      </c>
      <c r="E5620" s="16">
        <v>2023.0</v>
      </c>
      <c r="F5620" s="16">
        <v>49.0916</v>
      </c>
      <c r="G5620" s="16">
        <v>8.1225</v>
      </c>
      <c r="H5620" s="15"/>
      <c r="I5620" s="15"/>
    </row>
    <row r="5621">
      <c r="A5621" s="18">
        <v>45665.0</v>
      </c>
      <c r="B5621" s="16" t="s">
        <v>6422</v>
      </c>
      <c r="C5621" s="16">
        <v>10.0</v>
      </c>
      <c r="D5621" s="16" t="s">
        <v>707</v>
      </c>
      <c r="E5621" s="16">
        <v>2023.0</v>
      </c>
      <c r="F5621" s="16">
        <v>48.4678</v>
      </c>
      <c r="G5621" s="16">
        <v>10.5189</v>
      </c>
      <c r="H5621" s="15"/>
      <c r="I5621" s="15"/>
    </row>
    <row r="5622">
      <c r="A5622" s="18">
        <v>45665.0</v>
      </c>
      <c r="B5622" s="16" t="s">
        <v>6423</v>
      </c>
      <c r="C5622" s="16">
        <v>3.0</v>
      </c>
      <c r="D5622" s="16" t="s">
        <v>707</v>
      </c>
      <c r="E5622" s="16">
        <v>2023.0</v>
      </c>
      <c r="F5622" s="16">
        <v>49.2375</v>
      </c>
      <c r="G5622" s="16">
        <v>12.0457</v>
      </c>
      <c r="H5622" s="15"/>
      <c r="I5622" s="15"/>
    </row>
    <row r="5623">
      <c r="A5623" s="18">
        <v>45665.0</v>
      </c>
      <c r="B5623" s="16" t="s">
        <v>6424</v>
      </c>
      <c r="C5623" s="16" t="s">
        <v>948</v>
      </c>
      <c r="D5623" s="16" t="s">
        <v>707</v>
      </c>
      <c r="E5623" s="16">
        <v>2023.0</v>
      </c>
      <c r="F5623" s="16">
        <v>48.9075</v>
      </c>
      <c r="G5623" s="16">
        <v>10.9588</v>
      </c>
      <c r="H5623" s="15"/>
      <c r="I5623" s="15"/>
    </row>
    <row r="5624">
      <c r="A5624" s="18">
        <v>45665.0</v>
      </c>
      <c r="B5624" s="16" t="s">
        <v>6425</v>
      </c>
      <c r="C5624" s="16" t="s">
        <v>1149</v>
      </c>
      <c r="D5624" s="16" t="s">
        <v>707</v>
      </c>
      <c r="E5624" s="16">
        <v>2023.0</v>
      </c>
      <c r="F5624" s="16">
        <v>48.8813</v>
      </c>
      <c r="G5624" s="16">
        <v>10.9795</v>
      </c>
      <c r="H5624" s="15"/>
      <c r="I5624" s="15"/>
    </row>
    <row r="5625">
      <c r="A5625" s="18">
        <v>45665.0</v>
      </c>
      <c r="B5625" s="16" t="s">
        <v>6426</v>
      </c>
      <c r="C5625" s="16" t="s">
        <v>1149</v>
      </c>
      <c r="D5625" s="16" t="s">
        <v>707</v>
      </c>
      <c r="E5625" s="16">
        <v>2023.0</v>
      </c>
      <c r="F5625" s="16">
        <v>48.0505</v>
      </c>
      <c r="G5625" s="16">
        <v>11.6877</v>
      </c>
      <c r="H5625" s="15"/>
      <c r="I5625" s="15"/>
    </row>
    <row r="5626">
      <c r="A5626" s="18">
        <v>45665.0</v>
      </c>
      <c r="B5626" s="16" t="s">
        <v>6427</v>
      </c>
      <c r="C5626" s="16">
        <v>3.0</v>
      </c>
      <c r="D5626" s="16" t="s">
        <v>707</v>
      </c>
      <c r="E5626" s="16">
        <v>2023.0</v>
      </c>
      <c r="F5626" s="16">
        <v>51.4858</v>
      </c>
      <c r="G5626" s="16">
        <v>10.7478</v>
      </c>
      <c r="H5626" s="15"/>
      <c r="I5626" s="15"/>
    </row>
    <row r="5627">
      <c r="A5627" s="18">
        <v>45665.0</v>
      </c>
      <c r="B5627" s="16" t="s">
        <v>6428</v>
      </c>
      <c r="C5627" s="16" t="s">
        <v>1172</v>
      </c>
      <c r="D5627" s="16" t="s">
        <v>707</v>
      </c>
      <c r="E5627" s="16">
        <v>2023.0</v>
      </c>
      <c r="F5627" s="16">
        <v>54.1951</v>
      </c>
      <c r="G5627" s="16">
        <v>9.9017</v>
      </c>
      <c r="H5627" s="15"/>
      <c r="I5627" s="15"/>
    </row>
    <row r="5628">
      <c r="A5628" s="18">
        <v>45665.0</v>
      </c>
      <c r="B5628" s="16" t="s">
        <v>6429</v>
      </c>
      <c r="C5628" s="16" t="s">
        <v>1720</v>
      </c>
      <c r="D5628" s="16" t="s">
        <v>707</v>
      </c>
      <c r="E5628" s="16">
        <v>2023.0</v>
      </c>
      <c r="F5628" s="16">
        <v>50.0801</v>
      </c>
      <c r="G5628" s="16">
        <v>7.1073</v>
      </c>
      <c r="H5628" s="15"/>
      <c r="I5628" s="15"/>
    </row>
    <row r="5629">
      <c r="A5629" s="18">
        <v>45665.0</v>
      </c>
      <c r="B5629" s="16" t="s">
        <v>6430</v>
      </c>
      <c r="C5629" s="16" t="s">
        <v>1011</v>
      </c>
      <c r="D5629" s="16" t="s">
        <v>707</v>
      </c>
      <c r="E5629" s="16">
        <v>2023.0</v>
      </c>
      <c r="F5629" s="16">
        <v>52.8563</v>
      </c>
      <c r="G5629" s="16">
        <v>8.7469</v>
      </c>
      <c r="H5629" s="15"/>
      <c r="I5629" s="15"/>
    </row>
    <row r="5630">
      <c r="A5630" s="18">
        <v>45665.0</v>
      </c>
      <c r="B5630" s="16" t="s">
        <v>6431</v>
      </c>
      <c r="C5630" s="16" t="s">
        <v>1609</v>
      </c>
      <c r="D5630" s="16" t="s">
        <v>707</v>
      </c>
      <c r="E5630" s="16">
        <v>2023.0</v>
      </c>
      <c r="F5630" s="16">
        <v>52.5715</v>
      </c>
      <c r="G5630" s="16">
        <v>11.8658</v>
      </c>
      <c r="H5630" s="15"/>
      <c r="I5630" s="15"/>
    </row>
    <row r="5631">
      <c r="A5631" s="18">
        <v>45665.0</v>
      </c>
      <c r="B5631" s="16" t="s">
        <v>6432</v>
      </c>
      <c r="C5631" s="16">
        <v>3.0</v>
      </c>
      <c r="D5631" s="16" t="s">
        <v>707</v>
      </c>
      <c r="E5631" s="16">
        <v>2023.0</v>
      </c>
      <c r="F5631" s="16">
        <v>48.5665</v>
      </c>
      <c r="G5631" s="16">
        <v>11.9742</v>
      </c>
      <c r="H5631" s="15"/>
      <c r="I5631" s="15"/>
    </row>
    <row r="5632">
      <c r="A5632" s="18">
        <v>45665.0</v>
      </c>
      <c r="B5632" s="16" t="s">
        <v>6433</v>
      </c>
      <c r="C5632" s="16" t="s">
        <v>1007</v>
      </c>
      <c r="D5632" s="16" t="s">
        <v>707</v>
      </c>
      <c r="E5632" s="16">
        <v>2023.0</v>
      </c>
      <c r="F5632" s="16">
        <v>49.625</v>
      </c>
      <c r="G5632" s="16">
        <v>9.6931</v>
      </c>
      <c r="H5632" s="15"/>
      <c r="I5632" s="15"/>
    </row>
    <row r="5633">
      <c r="A5633" s="18">
        <v>45665.0</v>
      </c>
      <c r="B5633" s="16" t="s">
        <v>6434</v>
      </c>
      <c r="C5633" s="16" t="s">
        <v>1046</v>
      </c>
      <c r="D5633" s="16" t="s">
        <v>707</v>
      </c>
      <c r="E5633" s="16">
        <v>2023.0</v>
      </c>
      <c r="F5633" s="16">
        <v>49.7594</v>
      </c>
      <c r="G5633" s="16">
        <v>10.0324</v>
      </c>
      <c r="H5633" s="15"/>
      <c r="I5633" s="15"/>
    </row>
    <row r="5634">
      <c r="A5634" s="18">
        <v>45665.0</v>
      </c>
      <c r="B5634" s="16" t="s">
        <v>6435</v>
      </c>
      <c r="C5634" s="16" t="s">
        <v>1436</v>
      </c>
      <c r="D5634" s="16" t="s">
        <v>707</v>
      </c>
      <c r="E5634" s="16">
        <v>2023.0</v>
      </c>
      <c r="F5634" s="16">
        <v>47.8292</v>
      </c>
      <c r="G5634" s="16">
        <v>10.3381</v>
      </c>
      <c r="H5634" s="15"/>
      <c r="I5634" s="15"/>
    </row>
    <row r="5635">
      <c r="A5635" s="18">
        <v>45665.0</v>
      </c>
      <c r="B5635" s="16" t="s">
        <v>6436</v>
      </c>
      <c r="C5635" s="16" t="s">
        <v>1399</v>
      </c>
      <c r="D5635" s="16" t="s">
        <v>707</v>
      </c>
      <c r="E5635" s="16">
        <v>2023.0</v>
      </c>
      <c r="F5635" s="16">
        <v>50.1886</v>
      </c>
      <c r="G5635" s="16">
        <v>10.9818</v>
      </c>
      <c r="H5635" s="15"/>
      <c r="I5635" s="15"/>
    </row>
    <row r="5636">
      <c r="A5636" s="18">
        <v>45665.0</v>
      </c>
      <c r="B5636" s="16" t="s">
        <v>6437</v>
      </c>
      <c r="C5636" s="16" t="s">
        <v>1011</v>
      </c>
      <c r="D5636" s="16" t="s">
        <v>707</v>
      </c>
      <c r="E5636" s="16">
        <v>2023.0</v>
      </c>
      <c r="F5636" s="16">
        <v>47.7747</v>
      </c>
      <c r="G5636" s="16">
        <v>10.4948</v>
      </c>
      <c r="H5636" s="15"/>
      <c r="I5636" s="15"/>
    </row>
    <row r="5637">
      <c r="A5637" s="18">
        <v>45665.0</v>
      </c>
      <c r="B5637" s="16" t="s">
        <v>6438</v>
      </c>
      <c r="C5637" s="16" t="s">
        <v>969</v>
      </c>
      <c r="D5637" s="16" t="s">
        <v>707</v>
      </c>
      <c r="E5637" s="16">
        <v>2023.0</v>
      </c>
      <c r="F5637" s="16">
        <v>52.7802</v>
      </c>
      <c r="G5637" s="16">
        <v>8.2949</v>
      </c>
      <c r="H5637" s="15"/>
      <c r="I5637" s="15"/>
    </row>
    <row r="5638">
      <c r="A5638" s="18">
        <v>45665.0</v>
      </c>
      <c r="B5638" s="16" t="s">
        <v>6439</v>
      </c>
      <c r="C5638" s="16" t="s">
        <v>951</v>
      </c>
      <c r="D5638" s="16" t="s">
        <v>707</v>
      </c>
      <c r="E5638" s="16">
        <v>2023.0</v>
      </c>
      <c r="F5638" s="16">
        <v>51.7726</v>
      </c>
      <c r="G5638" s="16">
        <v>11.4426</v>
      </c>
      <c r="H5638" s="15"/>
      <c r="I5638" s="15"/>
    </row>
    <row r="5639">
      <c r="A5639" s="18">
        <v>45665.0</v>
      </c>
      <c r="B5639" s="16" t="s">
        <v>6440</v>
      </c>
      <c r="C5639" s="16" t="s">
        <v>1085</v>
      </c>
      <c r="D5639" s="16" t="s">
        <v>707</v>
      </c>
      <c r="E5639" s="16">
        <v>2023.0</v>
      </c>
      <c r="F5639" s="16">
        <v>51.6408</v>
      </c>
      <c r="G5639" s="16">
        <v>11.5672</v>
      </c>
      <c r="H5639" s="15"/>
      <c r="I5639" s="15"/>
    </row>
    <row r="5640">
      <c r="A5640" s="18">
        <v>45665.0</v>
      </c>
      <c r="B5640" s="16" t="s">
        <v>6441</v>
      </c>
      <c r="C5640" s="16" t="s">
        <v>948</v>
      </c>
      <c r="D5640" s="16" t="s">
        <v>707</v>
      </c>
      <c r="E5640" s="16">
        <v>2023.0</v>
      </c>
      <c r="F5640" s="16">
        <v>47.9563</v>
      </c>
      <c r="G5640" s="16">
        <v>10.1992</v>
      </c>
      <c r="H5640" s="15"/>
      <c r="I5640" s="15"/>
    </row>
    <row r="5641">
      <c r="A5641" s="18">
        <v>45665.0</v>
      </c>
      <c r="B5641" s="16" t="s">
        <v>6442</v>
      </c>
      <c r="C5641" s="16" t="s">
        <v>1461</v>
      </c>
      <c r="D5641" s="16" t="s">
        <v>707</v>
      </c>
      <c r="E5641" s="16">
        <v>2023.0</v>
      </c>
      <c r="F5641" s="16">
        <v>47.9549</v>
      </c>
      <c r="G5641" s="16">
        <v>10.1993</v>
      </c>
      <c r="H5641" s="15"/>
      <c r="I5641" s="15"/>
    </row>
    <row r="5642">
      <c r="A5642" s="18">
        <v>45665.0</v>
      </c>
      <c r="B5642" s="16" t="s">
        <v>6443</v>
      </c>
      <c r="C5642" s="16" t="s">
        <v>1598</v>
      </c>
      <c r="D5642" s="16" t="s">
        <v>707</v>
      </c>
      <c r="E5642" s="16">
        <v>2023.0</v>
      </c>
      <c r="F5642" s="16">
        <v>48.4309</v>
      </c>
      <c r="G5642" s="16">
        <v>10.2669</v>
      </c>
      <c r="H5642" s="15"/>
      <c r="I5642" s="15"/>
    </row>
    <row r="5643">
      <c r="A5643" s="18">
        <v>45665.0</v>
      </c>
      <c r="B5643" s="16" t="s">
        <v>6444</v>
      </c>
      <c r="C5643" s="16" t="s">
        <v>1099</v>
      </c>
      <c r="D5643" s="16" t="s">
        <v>707</v>
      </c>
      <c r="E5643" s="16">
        <v>2023.0</v>
      </c>
      <c r="F5643" s="16">
        <v>48.0972</v>
      </c>
      <c r="G5643" s="16">
        <v>10.3288</v>
      </c>
      <c r="H5643" s="15"/>
      <c r="I5643" s="15"/>
    </row>
    <row r="5644">
      <c r="A5644" s="18">
        <v>45665.0</v>
      </c>
      <c r="B5644" s="16" t="s">
        <v>6445</v>
      </c>
      <c r="C5644" s="16" t="s">
        <v>978</v>
      </c>
      <c r="D5644" s="16" t="s">
        <v>707</v>
      </c>
      <c r="E5644" s="16">
        <v>2023.0</v>
      </c>
      <c r="F5644" s="16">
        <v>52.3787</v>
      </c>
      <c r="G5644" s="16">
        <v>8.1806</v>
      </c>
      <c r="H5644" s="15"/>
      <c r="I5644" s="15"/>
    </row>
    <row r="5645">
      <c r="A5645" s="18">
        <v>45665.0</v>
      </c>
      <c r="B5645" s="16" t="s">
        <v>6446</v>
      </c>
      <c r="C5645" s="16" t="s">
        <v>969</v>
      </c>
      <c r="D5645" s="16" t="s">
        <v>707</v>
      </c>
      <c r="E5645" s="16">
        <v>2023.0</v>
      </c>
      <c r="F5645" s="16">
        <v>51.9244</v>
      </c>
      <c r="G5645" s="16">
        <v>8.0953</v>
      </c>
      <c r="H5645" s="15"/>
      <c r="I5645" s="15"/>
    </row>
    <row r="5646">
      <c r="A5646" s="18">
        <v>45665.0</v>
      </c>
      <c r="B5646" s="16" t="s">
        <v>6447</v>
      </c>
      <c r="C5646" s="16" t="s">
        <v>1059</v>
      </c>
      <c r="D5646" s="16" t="s">
        <v>707</v>
      </c>
      <c r="E5646" s="16">
        <v>2023.0</v>
      </c>
      <c r="F5646" s="16">
        <v>48.6968</v>
      </c>
      <c r="G5646" s="16">
        <v>9.0006</v>
      </c>
      <c r="H5646" s="15"/>
      <c r="I5646" s="15"/>
    </row>
    <row r="5647">
      <c r="A5647" s="18">
        <v>45665.0</v>
      </c>
      <c r="B5647" s="16" t="s">
        <v>6448</v>
      </c>
      <c r="C5647" s="16" t="s">
        <v>1051</v>
      </c>
      <c r="D5647" s="16" t="s">
        <v>707</v>
      </c>
      <c r="E5647" s="16">
        <v>2023.0</v>
      </c>
      <c r="F5647" s="16">
        <v>48.8551</v>
      </c>
      <c r="G5647" s="16">
        <v>8.184</v>
      </c>
      <c r="H5647" s="15"/>
      <c r="I5647" s="15"/>
    </row>
    <row r="5648">
      <c r="A5648" s="18">
        <v>45665.0</v>
      </c>
      <c r="B5648" s="16" t="s">
        <v>6449</v>
      </c>
      <c r="C5648" s="16">
        <v>5.0</v>
      </c>
      <c r="D5648" s="16" t="s">
        <v>707</v>
      </c>
      <c r="E5648" s="16">
        <v>2023.0</v>
      </c>
      <c r="F5648" s="16">
        <v>49.3035</v>
      </c>
      <c r="G5648" s="16">
        <v>11.0462</v>
      </c>
      <c r="H5648" s="15"/>
      <c r="I5648" s="15"/>
    </row>
    <row r="5649">
      <c r="A5649" s="18">
        <v>45665.0</v>
      </c>
      <c r="B5649" s="16" t="s">
        <v>6450</v>
      </c>
      <c r="C5649" s="16" t="s">
        <v>6451</v>
      </c>
      <c r="D5649" s="16" t="s">
        <v>707</v>
      </c>
      <c r="E5649" s="16">
        <v>2023.0</v>
      </c>
      <c r="F5649" s="16">
        <v>54.0855</v>
      </c>
      <c r="G5649" s="16">
        <v>9.9246</v>
      </c>
      <c r="H5649" s="15"/>
      <c r="I5649" s="15"/>
    </row>
    <row r="5650">
      <c r="A5650" s="18">
        <v>45665.0</v>
      </c>
      <c r="B5650" s="16" t="s">
        <v>6452</v>
      </c>
      <c r="C5650" s="16" t="s">
        <v>982</v>
      </c>
      <c r="D5650" s="16" t="s">
        <v>707</v>
      </c>
      <c r="E5650" s="16">
        <v>2023.0</v>
      </c>
      <c r="F5650" s="16">
        <v>51.1607</v>
      </c>
      <c r="G5650" s="16">
        <v>6.9063</v>
      </c>
      <c r="H5650" s="15"/>
      <c r="I5650" s="15"/>
    </row>
    <row r="5651">
      <c r="A5651" s="18">
        <v>45665.0</v>
      </c>
      <c r="B5651" s="16" t="s">
        <v>6453</v>
      </c>
      <c r="C5651" s="16">
        <v>1.0</v>
      </c>
      <c r="D5651" s="16" t="s">
        <v>707</v>
      </c>
      <c r="E5651" s="16">
        <v>2023.0</v>
      </c>
      <c r="F5651" s="16">
        <v>52.3184</v>
      </c>
      <c r="G5651" s="16">
        <v>7.6377</v>
      </c>
      <c r="H5651" s="15"/>
      <c r="I5651" s="15"/>
    </row>
    <row r="5652">
      <c r="A5652" s="18">
        <v>45665.0</v>
      </c>
      <c r="B5652" s="16" t="s">
        <v>6454</v>
      </c>
      <c r="C5652" s="16" t="s">
        <v>1039</v>
      </c>
      <c r="D5652" s="16" t="s">
        <v>707</v>
      </c>
      <c r="E5652" s="16">
        <v>2023.0</v>
      </c>
      <c r="F5652" s="16">
        <v>53.2389</v>
      </c>
      <c r="G5652" s="16">
        <v>13.6402</v>
      </c>
      <c r="H5652" s="15"/>
      <c r="I5652" s="15"/>
    </row>
    <row r="5653">
      <c r="A5653" s="18">
        <v>45665.0</v>
      </c>
      <c r="B5653" s="16" t="s">
        <v>6455</v>
      </c>
      <c r="C5653" s="16" t="s">
        <v>1085</v>
      </c>
      <c r="D5653" s="16" t="s">
        <v>707</v>
      </c>
      <c r="E5653" s="16">
        <v>2023.0</v>
      </c>
      <c r="F5653" s="16">
        <v>50.0177</v>
      </c>
      <c r="G5653" s="16">
        <v>6.6017</v>
      </c>
      <c r="H5653" s="15"/>
      <c r="I5653" s="15"/>
    </row>
    <row r="5654">
      <c r="A5654" s="18">
        <v>45665.0</v>
      </c>
      <c r="B5654" s="16" t="s">
        <v>6456</v>
      </c>
      <c r="C5654" s="16">
        <v>10.0</v>
      </c>
      <c r="D5654" s="16" t="s">
        <v>707</v>
      </c>
      <c r="E5654" s="16">
        <v>2023.0</v>
      </c>
      <c r="F5654" s="16">
        <v>48.8959</v>
      </c>
      <c r="G5654" s="16">
        <v>8.8973</v>
      </c>
      <c r="H5654" s="15"/>
      <c r="I5654" s="15"/>
    </row>
    <row r="5655">
      <c r="A5655" s="18">
        <v>45665.0</v>
      </c>
      <c r="B5655" s="16" t="s">
        <v>6457</v>
      </c>
      <c r="C5655" s="16" t="s">
        <v>5665</v>
      </c>
      <c r="D5655" s="16" t="s">
        <v>707</v>
      </c>
      <c r="E5655" s="16">
        <v>2023.0</v>
      </c>
      <c r="F5655" s="16">
        <v>51.3532</v>
      </c>
      <c r="G5655" s="16">
        <v>13.3327</v>
      </c>
      <c r="H5655" s="15"/>
      <c r="I5655" s="15"/>
    </row>
    <row r="5656">
      <c r="A5656" s="18">
        <v>45665.0</v>
      </c>
      <c r="B5656" s="16" t="s">
        <v>6458</v>
      </c>
      <c r="C5656" s="16">
        <v>1.0</v>
      </c>
      <c r="D5656" s="16" t="s">
        <v>707</v>
      </c>
      <c r="E5656" s="16">
        <v>2023.0</v>
      </c>
      <c r="F5656" s="16">
        <v>49.114</v>
      </c>
      <c r="G5656" s="16">
        <v>12.11</v>
      </c>
      <c r="H5656" s="15"/>
      <c r="I5656" s="15"/>
    </row>
    <row r="5657">
      <c r="A5657" s="18">
        <v>45665.0</v>
      </c>
      <c r="B5657" s="16" t="s">
        <v>6459</v>
      </c>
      <c r="C5657" s="16" t="s">
        <v>1436</v>
      </c>
      <c r="D5657" s="16" t="s">
        <v>707</v>
      </c>
      <c r="E5657" s="16">
        <v>2023.0</v>
      </c>
      <c r="F5657" s="16">
        <v>52.2087</v>
      </c>
      <c r="G5657" s="16">
        <v>7.0657</v>
      </c>
      <c r="H5657" s="15"/>
      <c r="I5657" s="15"/>
    </row>
    <row r="5658">
      <c r="A5658" s="18">
        <v>45665.0</v>
      </c>
      <c r="B5658" s="16" t="s">
        <v>6460</v>
      </c>
      <c r="C5658" s="16" t="s">
        <v>959</v>
      </c>
      <c r="D5658" s="16" t="s">
        <v>707</v>
      </c>
      <c r="E5658" s="16">
        <v>2023.0</v>
      </c>
      <c r="F5658" s="16">
        <v>50.495</v>
      </c>
      <c r="G5658" s="16">
        <v>12.2485</v>
      </c>
      <c r="H5658" s="15"/>
      <c r="I5658" s="15"/>
    </row>
    <row r="5659">
      <c r="A5659" s="18">
        <v>45665.0</v>
      </c>
      <c r="B5659" s="16" t="s">
        <v>6461</v>
      </c>
      <c r="C5659" s="16" t="s">
        <v>6462</v>
      </c>
      <c r="D5659" s="16" t="s">
        <v>707</v>
      </c>
      <c r="E5659" s="16">
        <v>2023.0</v>
      </c>
      <c r="F5659" s="16">
        <v>50.7106</v>
      </c>
      <c r="G5659" s="16">
        <v>12.5124</v>
      </c>
      <c r="H5659" s="15"/>
      <c r="I5659" s="15"/>
    </row>
    <row r="5660">
      <c r="A5660" s="18">
        <v>45665.0</v>
      </c>
      <c r="B5660" s="16" t="s">
        <v>6463</v>
      </c>
      <c r="C5660" s="16" t="s">
        <v>978</v>
      </c>
      <c r="D5660" s="16" t="s">
        <v>707</v>
      </c>
      <c r="E5660" s="16">
        <v>2023.0</v>
      </c>
      <c r="F5660" s="16">
        <v>52.6108</v>
      </c>
      <c r="G5660" s="16">
        <v>6.9547</v>
      </c>
      <c r="H5660" s="15"/>
      <c r="I5660" s="15"/>
    </row>
    <row r="5661">
      <c r="A5661" s="18">
        <v>45665.0</v>
      </c>
      <c r="B5661" s="16" t="s">
        <v>6464</v>
      </c>
      <c r="C5661" s="16" t="s">
        <v>4871</v>
      </c>
      <c r="D5661" s="16" t="s">
        <v>707</v>
      </c>
      <c r="E5661" s="16">
        <v>2023.0</v>
      </c>
      <c r="F5661" s="16">
        <v>49.1985</v>
      </c>
      <c r="G5661" s="16">
        <v>11.6206</v>
      </c>
      <c r="H5661" s="15"/>
      <c r="I5661" s="15"/>
    </row>
    <row r="5662">
      <c r="A5662" s="18">
        <v>45665.0</v>
      </c>
      <c r="B5662" s="16" t="s">
        <v>6465</v>
      </c>
      <c r="C5662" s="16" t="s">
        <v>1172</v>
      </c>
      <c r="D5662" s="16" t="s">
        <v>707</v>
      </c>
      <c r="E5662" s="16">
        <v>2023.0</v>
      </c>
      <c r="F5662" s="16">
        <v>49.2157</v>
      </c>
      <c r="G5662" s="16">
        <v>11.5782</v>
      </c>
      <c r="H5662" s="15"/>
      <c r="I5662" s="15"/>
    </row>
    <row r="5663">
      <c r="A5663" s="18">
        <v>45665.0</v>
      </c>
      <c r="B5663" s="16" t="s">
        <v>6466</v>
      </c>
      <c r="C5663" s="16" t="s">
        <v>1203</v>
      </c>
      <c r="D5663" s="16" t="s">
        <v>707</v>
      </c>
      <c r="E5663" s="16">
        <v>2023.0</v>
      </c>
      <c r="F5663" s="16">
        <v>49.2388</v>
      </c>
      <c r="G5663" s="16">
        <v>11.5782</v>
      </c>
      <c r="H5663" s="15"/>
      <c r="I5663" s="15"/>
    </row>
    <row r="5664">
      <c r="A5664" s="17">
        <v>45636.0</v>
      </c>
      <c r="B5664" s="16" t="s">
        <v>6467</v>
      </c>
      <c r="C5664" s="16" t="s">
        <v>948</v>
      </c>
      <c r="D5664" s="16" t="s">
        <v>707</v>
      </c>
      <c r="E5664" s="16">
        <v>2024.0</v>
      </c>
      <c r="F5664" s="16">
        <v>53.0044</v>
      </c>
      <c r="G5664" s="16">
        <v>9.9257</v>
      </c>
      <c r="H5664" s="15"/>
      <c r="I5664" s="15"/>
    </row>
    <row r="5665">
      <c r="A5665" s="17">
        <v>45636.0</v>
      </c>
      <c r="B5665" s="16" t="s">
        <v>6468</v>
      </c>
      <c r="C5665" s="16">
        <v>1.0</v>
      </c>
      <c r="D5665" s="16" t="s">
        <v>707</v>
      </c>
      <c r="E5665" s="16">
        <v>2024.0</v>
      </c>
      <c r="F5665" s="16">
        <v>51.5969</v>
      </c>
      <c r="G5665" s="16">
        <v>7.2307</v>
      </c>
      <c r="H5665" s="15"/>
      <c r="I5665" s="15"/>
    </row>
    <row r="5666">
      <c r="A5666" s="17">
        <v>45636.0</v>
      </c>
      <c r="B5666" s="16" t="s">
        <v>6469</v>
      </c>
      <c r="C5666" s="16">
        <v>1.0</v>
      </c>
      <c r="D5666" s="16" t="s">
        <v>707</v>
      </c>
      <c r="E5666" s="16">
        <v>2024.0</v>
      </c>
      <c r="F5666" s="16">
        <v>50.0049</v>
      </c>
      <c r="G5666" s="16">
        <v>7.0851</v>
      </c>
      <c r="H5666" s="15"/>
      <c r="I5666" s="15"/>
    </row>
    <row r="5667">
      <c r="A5667" s="17">
        <v>45636.0</v>
      </c>
      <c r="B5667" s="16" t="s">
        <v>6470</v>
      </c>
      <c r="C5667" s="16" t="s">
        <v>1039</v>
      </c>
      <c r="D5667" s="16" t="s">
        <v>707</v>
      </c>
      <c r="E5667" s="16">
        <v>2024.0</v>
      </c>
      <c r="F5667" s="16">
        <v>49.7456</v>
      </c>
      <c r="G5667" s="16">
        <v>10.1999</v>
      </c>
      <c r="H5667" s="15"/>
      <c r="I5667" s="15"/>
    </row>
    <row r="5668">
      <c r="A5668" s="17">
        <v>45636.0</v>
      </c>
      <c r="B5668" s="16" t="s">
        <v>6471</v>
      </c>
      <c r="C5668" s="16" t="s">
        <v>1004</v>
      </c>
      <c r="D5668" s="16" t="s">
        <v>707</v>
      </c>
      <c r="E5668" s="16">
        <v>2024.0</v>
      </c>
      <c r="F5668" s="16">
        <v>52.7183</v>
      </c>
      <c r="G5668" s="16">
        <v>7.18</v>
      </c>
      <c r="H5668" s="15"/>
      <c r="I5668" s="15"/>
    </row>
    <row r="5669">
      <c r="A5669" s="17">
        <v>45636.0</v>
      </c>
      <c r="B5669" s="16" t="s">
        <v>6472</v>
      </c>
      <c r="C5669" s="16" t="s">
        <v>2457</v>
      </c>
      <c r="D5669" s="16" t="s">
        <v>707</v>
      </c>
      <c r="E5669" s="16">
        <v>2024.0</v>
      </c>
      <c r="F5669" s="16">
        <v>50.0033</v>
      </c>
      <c r="G5669" s="16">
        <v>6.8202</v>
      </c>
      <c r="H5669" s="15"/>
      <c r="I5669" s="15"/>
    </row>
    <row r="5670">
      <c r="A5670" s="17">
        <v>45636.0</v>
      </c>
      <c r="B5670" s="16" t="s">
        <v>6473</v>
      </c>
      <c r="C5670" s="16" t="s">
        <v>1039</v>
      </c>
      <c r="D5670" s="16" t="s">
        <v>707</v>
      </c>
      <c r="E5670" s="16">
        <v>2024.0</v>
      </c>
      <c r="F5670" s="16">
        <v>51.3347</v>
      </c>
      <c r="G5670" s="16">
        <v>8.8549</v>
      </c>
      <c r="H5670" s="15"/>
      <c r="I5670" s="15"/>
    </row>
    <row r="5671">
      <c r="A5671" s="17">
        <v>45636.0</v>
      </c>
      <c r="B5671" s="16" t="s">
        <v>6474</v>
      </c>
      <c r="C5671" s="16" t="s">
        <v>948</v>
      </c>
      <c r="D5671" s="16" t="s">
        <v>707</v>
      </c>
      <c r="E5671" s="16">
        <v>2024.0</v>
      </c>
      <c r="F5671" s="16">
        <v>51.7085</v>
      </c>
      <c r="G5671" s="16">
        <v>11.5405</v>
      </c>
      <c r="H5671" s="15"/>
      <c r="I5671" s="15"/>
    </row>
    <row r="5672">
      <c r="A5672" s="17">
        <v>45636.0</v>
      </c>
      <c r="B5672" s="16" t="s">
        <v>6475</v>
      </c>
      <c r="C5672" s="16">
        <v>3.0</v>
      </c>
      <c r="D5672" s="16" t="s">
        <v>707</v>
      </c>
      <c r="E5672" s="16">
        <v>2024.0</v>
      </c>
      <c r="F5672" s="16">
        <v>50.2593</v>
      </c>
      <c r="G5672" s="16">
        <v>12.0452</v>
      </c>
      <c r="H5672" s="15"/>
      <c r="I5672" s="15"/>
    </row>
    <row r="5673">
      <c r="A5673" s="17">
        <v>45636.0</v>
      </c>
      <c r="B5673" s="16" t="s">
        <v>6476</v>
      </c>
      <c r="C5673" s="16" t="s">
        <v>969</v>
      </c>
      <c r="D5673" s="16" t="s">
        <v>707</v>
      </c>
      <c r="E5673" s="16">
        <v>2024.0</v>
      </c>
      <c r="F5673" s="16">
        <v>50.2464</v>
      </c>
      <c r="G5673" s="16">
        <v>12.0236</v>
      </c>
      <c r="H5673" s="15"/>
      <c r="I5673" s="15"/>
    </row>
    <row r="5674">
      <c r="A5674" s="17">
        <v>45636.0</v>
      </c>
      <c r="B5674" s="16" t="s">
        <v>6477</v>
      </c>
      <c r="C5674" s="16" t="s">
        <v>1037</v>
      </c>
      <c r="D5674" s="16" t="s">
        <v>707</v>
      </c>
      <c r="E5674" s="16">
        <v>2024.0</v>
      </c>
      <c r="F5674" s="16">
        <v>50.4559</v>
      </c>
      <c r="G5674" s="16">
        <v>7.4616</v>
      </c>
      <c r="H5674" s="15"/>
      <c r="I5674" s="15"/>
    </row>
    <row r="5675">
      <c r="A5675" s="17">
        <v>45636.0</v>
      </c>
      <c r="B5675" s="16" t="s">
        <v>6478</v>
      </c>
      <c r="C5675" s="16">
        <v>2.0</v>
      </c>
      <c r="D5675" s="16" t="s">
        <v>707</v>
      </c>
      <c r="E5675" s="16">
        <v>2024.0</v>
      </c>
      <c r="F5675" s="16">
        <v>48.7107</v>
      </c>
      <c r="G5675" s="16">
        <v>12.152</v>
      </c>
      <c r="H5675" s="15"/>
      <c r="I5675" s="15"/>
    </row>
    <row r="5676">
      <c r="A5676" s="17">
        <v>45636.0</v>
      </c>
      <c r="B5676" s="16" t="s">
        <v>6479</v>
      </c>
      <c r="C5676" s="16" t="s">
        <v>961</v>
      </c>
      <c r="D5676" s="16" t="s">
        <v>707</v>
      </c>
      <c r="E5676" s="16">
        <v>2024.0</v>
      </c>
      <c r="F5676" s="16">
        <v>52.9885</v>
      </c>
      <c r="G5676" s="16">
        <v>9.1818</v>
      </c>
      <c r="H5676" s="15"/>
      <c r="I5676" s="15"/>
    </row>
    <row r="5677">
      <c r="A5677" s="17">
        <v>45636.0</v>
      </c>
      <c r="B5677" s="16" t="s">
        <v>6480</v>
      </c>
      <c r="C5677" s="16" t="s">
        <v>1055</v>
      </c>
      <c r="D5677" s="16" t="s">
        <v>707</v>
      </c>
      <c r="E5677" s="16">
        <v>2024.0</v>
      </c>
      <c r="F5677" s="16">
        <v>51.7752</v>
      </c>
      <c r="G5677" s="16">
        <v>13.9654</v>
      </c>
      <c r="H5677" s="15"/>
      <c r="I5677" s="15"/>
    </row>
    <row r="5678">
      <c r="A5678" s="17">
        <v>45636.0</v>
      </c>
      <c r="B5678" s="16" t="s">
        <v>6481</v>
      </c>
      <c r="C5678" s="16" t="s">
        <v>1101</v>
      </c>
      <c r="D5678" s="16" t="s">
        <v>707</v>
      </c>
      <c r="E5678" s="16">
        <v>2024.0</v>
      </c>
      <c r="F5678" s="16">
        <v>53.4971</v>
      </c>
      <c r="G5678" s="16">
        <v>11.0956</v>
      </c>
      <c r="H5678" s="15"/>
      <c r="I5678" s="15"/>
    </row>
    <row r="5679">
      <c r="A5679" s="17">
        <v>45636.0</v>
      </c>
      <c r="B5679" s="16" t="s">
        <v>6482</v>
      </c>
      <c r="C5679" s="16">
        <v>2.0</v>
      </c>
      <c r="D5679" s="16" t="s">
        <v>707</v>
      </c>
      <c r="E5679" s="16">
        <v>2024.0</v>
      </c>
      <c r="F5679" s="16">
        <v>49.6383</v>
      </c>
      <c r="G5679" s="16">
        <v>8.6156</v>
      </c>
      <c r="H5679" s="15"/>
      <c r="I5679" s="15"/>
    </row>
    <row r="5680">
      <c r="A5680" s="17">
        <v>45636.0</v>
      </c>
      <c r="B5680" s="16" t="s">
        <v>6483</v>
      </c>
      <c r="C5680" s="16" t="s">
        <v>1004</v>
      </c>
      <c r="D5680" s="16" t="s">
        <v>707</v>
      </c>
      <c r="E5680" s="16">
        <v>2024.0</v>
      </c>
      <c r="F5680" s="16">
        <v>47.8636</v>
      </c>
      <c r="G5680" s="16">
        <v>12.7498</v>
      </c>
      <c r="H5680" s="15"/>
      <c r="I5680" s="15"/>
    </row>
    <row r="5681">
      <c r="A5681" s="17">
        <v>45636.0</v>
      </c>
      <c r="B5681" s="16" t="s">
        <v>6484</v>
      </c>
      <c r="C5681" s="16" t="s">
        <v>969</v>
      </c>
      <c r="D5681" s="16" t="s">
        <v>707</v>
      </c>
      <c r="E5681" s="16">
        <v>2024.0</v>
      </c>
      <c r="F5681" s="16">
        <v>50.0107</v>
      </c>
      <c r="G5681" s="16">
        <v>8.2231</v>
      </c>
      <c r="H5681" s="15"/>
      <c r="I5681" s="15"/>
    </row>
    <row r="5682">
      <c r="A5682" s="17">
        <v>45636.0</v>
      </c>
      <c r="B5682" s="16" t="s">
        <v>6485</v>
      </c>
      <c r="C5682" s="16" t="s">
        <v>1059</v>
      </c>
      <c r="D5682" s="16" t="s">
        <v>707</v>
      </c>
      <c r="E5682" s="16">
        <v>2024.0</v>
      </c>
      <c r="F5682" s="16">
        <v>52.3207</v>
      </c>
      <c r="G5682" s="16">
        <v>13.3003</v>
      </c>
      <c r="H5682" s="15"/>
      <c r="I5682" s="15"/>
    </row>
    <row r="5683">
      <c r="A5683" s="17">
        <v>45636.0</v>
      </c>
      <c r="B5683" s="16" t="s">
        <v>6486</v>
      </c>
      <c r="C5683" s="16" t="s">
        <v>4064</v>
      </c>
      <c r="D5683" s="16" t="s">
        <v>707</v>
      </c>
      <c r="E5683" s="16">
        <v>2024.0</v>
      </c>
      <c r="F5683" s="16">
        <v>52.0558</v>
      </c>
      <c r="G5683" s="16">
        <v>11.5709</v>
      </c>
      <c r="H5683" s="15"/>
      <c r="I5683" s="15"/>
    </row>
    <row r="5684">
      <c r="A5684" s="17">
        <v>45636.0</v>
      </c>
      <c r="B5684" s="16" t="s">
        <v>6487</v>
      </c>
      <c r="C5684" s="16" t="s">
        <v>1096</v>
      </c>
      <c r="D5684" s="16" t="s">
        <v>707</v>
      </c>
      <c r="E5684" s="16">
        <v>2024.0</v>
      </c>
      <c r="F5684" s="16">
        <v>49.7826</v>
      </c>
      <c r="G5684" s="16">
        <v>6.6766</v>
      </c>
      <c r="H5684" s="15"/>
      <c r="I5684" s="15"/>
    </row>
    <row r="5685">
      <c r="A5685" s="17">
        <v>45636.0</v>
      </c>
      <c r="B5685" s="16" t="s">
        <v>6488</v>
      </c>
      <c r="C5685" s="16" t="s">
        <v>946</v>
      </c>
      <c r="D5685" s="16" t="s">
        <v>707</v>
      </c>
      <c r="E5685" s="16">
        <v>2024.0</v>
      </c>
      <c r="F5685" s="16">
        <v>51.4834</v>
      </c>
      <c r="G5685" s="16">
        <v>12.0077</v>
      </c>
      <c r="H5685" s="15"/>
      <c r="I5685" s="15"/>
    </row>
    <row r="5686">
      <c r="A5686" s="17">
        <v>45636.0</v>
      </c>
      <c r="B5686" s="16" t="s">
        <v>6489</v>
      </c>
      <c r="C5686" s="16" t="s">
        <v>1039</v>
      </c>
      <c r="D5686" s="16" t="s">
        <v>707</v>
      </c>
      <c r="E5686" s="16">
        <v>2024.0</v>
      </c>
      <c r="F5686" s="16">
        <v>49.7768</v>
      </c>
      <c r="G5686" s="16">
        <v>6.5781</v>
      </c>
      <c r="H5686" s="15"/>
      <c r="I5686" s="15"/>
    </row>
    <row r="5687">
      <c r="A5687" s="17">
        <v>45636.0</v>
      </c>
      <c r="B5687" s="16" t="s">
        <v>6490</v>
      </c>
      <c r="C5687" s="16" t="s">
        <v>1101</v>
      </c>
      <c r="D5687" s="16" t="s">
        <v>707</v>
      </c>
      <c r="E5687" s="16">
        <v>2024.0</v>
      </c>
      <c r="F5687" s="16">
        <v>49.2855</v>
      </c>
      <c r="G5687" s="16">
        <v>8.6595</v>
      </c>
      <c r="H5687" s="15"/>
      <c r="I5687" s="15"/>
    </row>
    <row r="5688">
      <c r="A5688" s="17">
        <v>45636.0</v>
      </c>
      <c r="B5688" s="16" t="s">
        <v>6491</v>
      </c>
      <c r="C5688" s="16" t="s">
        <v>1094</v>
      </c>
      <c r="D5688" s="16" t="s">
        <v>707</v>
      </c>
      <c r="E5688" s="16">
        <v>2024.0</v>
      </c>
      <c r="F5688" s="16">
        <v>48.4303</v>
      </c>
      <c r="G5688" s="16">
        <v>10.3022</v>
      </c>
      <c r="H5688" s="15"/>
      <c r="I5688" s="15"/>
    </row>
    <row r="5689">
      <c r="A5689" s="17">
        <v>45636.0</v>
      </c>
      <c r="B5689" s="16" t="s">
        <v>6492</v>
      </c>
      <c r="C5689" s="16">
        <v>3.0</v>
      </c>
      <c r="D5689" s="16" t="s">
        <v>707</v>
      </c>
      <c r="E5689" s="16">
        <v>2024.0</v>
      </c>
      <c r="F5689" s="16">
        <v>48.3439</v>
      </c>
      <c r="G5689" s="16">
        <v>12.9046</v>
      </c>
      <c r="H5689" s="15"/>
      <c r="I5689" s="15"/>
    </row>
    <row r="5690">
      <c r="A5690" s="17">
        <v>45636.0</v>
      </c>
      <c r="B5690" s="16" t="s">
        <v>6493</v>
      </c>
      <c r="C5690" s="16" t="s">
        <v>969</v>
      </c>
      <c r="D5690" s="16" t="s">
        <v>707</v>
      </c>
      <c r="E5690" s="16">
        <v>2024.0</v>
      </c>
      <c r="F5690" s="16">
        <v>48.2761</v>
      </c>
      <c r="G5690" s="16">
        <v>12.5517</v>
      </c>
      <c r="H5690" s="15"/>
      <c r="I5690" s="15"/>
    </row>
    <row r="5691">
      <c r="A5691" s="17">
        <v>45636.0</v>
      </c>
      <c r="B5691" s="16" t="s">
        <v>6494</v>
      </c>
      <c r="C5691" s="16" t="s">
        <v>1059</v>
      </c>
      <c r="D5691" s="16" t="s">
        <v>707</v>
      </c>
      <c r="E5691" s="16">
        <v>2024.0</v>
      </c>
      <c r="F5691" s="16">
        <v>48.308</v>
      </c>
      <c r="G5691" s="16">
        <v>12.7753</v>
      </c>
      <c r="H5691" s="15"/>
      <c r="I5691" s="15"/>
    </row>
    <row r="5692">
      <c r="A5692" s="17">
        <v>45636.0</v>
      </c>
      <c r="B5692" s="16" t="s">
        <v>6495</v>
      </c>
      <c r="C5692" s="16" t="s">
        <v>961</v>
      </c>
      <c r="D5692" s="16" t="s">
        <v>707</v>
      </c>
      <c r="E5692" s="16">
        <v>2024.0</v>
      </c>
      <c r="F5692" s="16">
        <v>48.9968</v>
      </c>
      <c r="G5692" s="16">
        <v>12.2094</v>
      </c>
      <c r="H5692" s="15"/>
      <c r="I5692" s="15"/>
    </row>
    <row r="5693">
      <c r="A5693" s="17">
        <v>45636.0</v>
      </c>
      <c r="B5693" s="16" t="s">
        <v>6496</v>
      </c>
      <c r="C5693" s="16">
        <v>2.0</v>
      </c>
      <c r="D5693" s="16" t="s">
        <v>707</v>
      </c>
      <c r="E5693" s="16">
        <v>2024.0</v>
      </c>
      <c r="F5693" s="16">
        <v>53.5154</v>
      </c>
      <c r="G5693" s="16">
        <v>12.0936</v>
      </c>
      <c r="H5693" s="15"/>
      <c r="I5693" s="15"/>
    </row>
    <row r="5694">
      <c r="A5694" s="17">
        <v>45636.0</v>
      </c>
      <c r="B5694" s="16" t="s">
        <v>6497</v>
      </c>
      <c r="C5694" s="16">
        <v>5.0</v>
      </c>
      <c r="D5694" s="16" t="s">
        <v>707</v>
      </c>
      <c r="E5694" s="16">
        <v>2024.0</v>
      </c>
      <c r="F5694" s="16">
        <v>53.5146</v>
      </c>
      <c r="G5694" s="16">
        <v>12.0966</v>
      </c>
      <c r="H5694" s="15"/>
      <c r="I5694" s="15"/>
    </row>
    <row r="5695">
      <c r="A5695" s="17">
        <v>45636.0</v>
      </c>
      <c r="B5695" s="16" t="s">
        <v>6498</v>
      </c>
      <c r="C5695" s="16" t="s">
        <v>942</v>
      </c>
      <c r="D5695" s="16" t="s">
        <v>707</v>
      </c>
      <c r="E5695" s="16">
        <v>2024.0</v>
      </c>
      <c r="F5695" s="16">
        <v>48.9705</v>
      </c>
      <c r="G5695" s="16">
        <v>10.9088</v>
      </c>
      <c r="H5695" s="15"/>
      <c r="I5695" s="15"/>
    </row>
    <row r="5696">
      <c r="A5696" s="17">
        <v>45636.0</v>
      </c>
      <c r="B5696" s="16" t="s">
        <v>6499</v>
      </c>
      <c r="C5696" s="16" t="s">
        <v>969</v>
      </c>
      <c r="D5696" s="16" t="s">
        <v>707</v>
      </c>
      <c r="E5696" s="16">
        <v>2024.0</v>
      </c>
      <c r="F5696" s="16">
        <v>49.817</v>
      </c>
      <c r="G5696" s="16">
        <v>8.6153</v>
      </c>
      <c r="H5696" s="15"/>
      <c r="I5696" s="15"/>
    </row>
    <row r="5697">
      <c r="A5697" s="17">
        <v>45636.0</v>
      </c>
      <c r="B5697" s="16" t="s">
        <v>6500</v>
      </c>
      <c r="C5697" s="16" t="s">
        <v>1011</v>
      </c>
      <c r="D5697" s="16" t="s">
        <v>707</v>
      </c>
      <c r="E5697" s="16">
        <v>2024.0</v>
      </c>
      <c r="F5697" s="16">
        <v>51.8465</v>
      </c>
      <c r="G5697" s="16">
        <v>13.9534</v>
      </c>
      <c r="H5697" s="15"/>
      <c r="I5697" s="15"/>
    </row>
    <row r="5698">
      <c r="A5698" s="17">
        <v>45636.0</v>
      </c>
      <c r="B5698" s="16" t="s">
        <v>6501</v>
      </c>
      <c r="C5698" s="16" t="s">
        <v>1101</v>
      </c>
      <c r="D5698" s="16" t="s">
        <v>707</v>
      </c>
      <c r="E5698" s="16">
        <v>2024.0</v>
      </c>
      <c r="F5698" s="16">
        <v>49.2948</v>
      </c>
      <c r="G5698" s="16">
        <v>9.3726</v>
      </c>
      <c r="H5698" s="15"/>
      <c r="I5698" s="15"/>
    </row>
    <row r="5699">
      <c r="A5699" s="17">
        <v>45636.0</v>
      </c>
      <c r="B5699" s="16" t="s">
        <v>6502</v>
      </c>
      <c r="C5699" s="16">
        <v>9.0</v>
      </c>
      <c r="D5699" s="16" t="s">
        <v>707</v>
      </c>
      <c r="E5699" s="16">
        <v>2024.0</v>
      </c>
      <c r="F5699" s="16">
        <v>48.1751</v>
      </c>
      <c r="G5699" s="16">
        <v>8.5791</v>
      </c>
      <c r="H5699" s="15"/>
      <c r="I5699" s="15"/>
    </row>
    <row r="5700">
      <c r="A5700" s="17">
        <v>45636.0</v>
      </c>
      <c r="B5700" s="16" t="s">
        <v>6503</v>
      </c>
      <c r="C5700" s="16" t="s">
        <v>1384</v>
      </c>
      <c r="D5700" s="16" t="s">
        <v>707</v>
      </c>
      <c r="E5700" s="16">
        <v>2024.0</v>
      </c>
      <c r="F5700" s="16">
        <v>50.2441</v>
      </c>
      <c r="G5700" s="16">
        <v>12.0643</v>
      </c>
      <c r="H5700" s="15"/>
      <c r="I5700" s="15"/>
    </row>
    <row r="5701">
      <c r="A5701" s="17">
        <v>45636.0</v>
      </c>
      <c r="B5701" s="16" t="s">
        <v>6504</v>
      </c>
      <c r="C5701" s="16" t="s">
        <v>1002</v>
      </c>
      <c r="D5701" s="16" t="s">
        <v>707</v>
      </c>
      <c r="E5701" s="16">
        <v>2024.0</v>
      </c>
      <c r="F5701" s="16">
        <v>52.2621</v>
      </c>
      <c r="G5701" s="16">
        <v>11.638</v>
      </c>
      <c r="H5701" s="15"/>
      <c r="I5701" s="15"/>
    </row>
    <row r="5702">
      <c r="A5702" s="17">
        <v>45636.0</v>
      </c>
      <c r="B5702" s="16" t="s">
        <v>6505</v>
      </c>
      <c r="C5702" s="16">
        <v>2.0</v>
      </c>
      <c r="D5702" s="16" t="s">
        <v>707</v>
      </c>
      <c r="E5702" s="16">
        <v>2024.0</v>
      </c>
      <c r="F5702" s="16">
        <v>51.4848</v>
      </c>
      <c r="G5702" s="16">
        <v>12.0741</v>
      </c>
      <c r="H5702" s="15"/>
      <c r="I5702" s="15"/>
    </row>
    <row r="5703">
      <c r="A5703" s="17">
        <v>45636.0</v>
      </c>
      <c r="B5703" s="16" t="s">
        <v>6506</v>
      </c>
      <c r="C5703" s="16" t="s">
        <v>1085</v>
      </c>
      <c r="D5703" s="16" t="s">
        <v>707</v>
      </c>
      <c r="E5703" s="16">
        <v>2024.0</v>
      </c>
      <c r="F5703" s="16">
        <v>52.0389</v>
      </c>
      <c r="G5703" s="16">
        <v>8.3787</v>
      </c>
      <c r="H5703" s="15"/>
      <c r="I5703" s="15"/>
    </row>
    <row r="5704">
      <c r="A5704" s="17">
        <v>45636.0</v>
      </c>
      <c r="B5704" s="16" t="s">
        <v>6507</v>
      </c>
      <c r="C5704" s="16" t="s">
        <v>6032</v>
      </c>
      <c r="D5704" s="16" t="s">
        <v>707</v>
      </c>
      <c r="E5704" s="16">
        <v>2024.0</v>
      </c>
      <c r="F5704" s="16">
        <v>50.1527</v>
      </c>
      <c r="G5704" s="16">
        <v>10.4522</v>
      </c>
      <c r="H5704" s="15"/>
      <c r="I5704" s="15"/>
    </row>
    <row r="5705">
      <c r="A5705" s="17">
        <v>45636.0</v>
      </c>
      <c r="B5705" s="16" t="s">
        <v>6508</v>
      </c>
      <c r="C5705" s="16" t="s">
        <v>984</v>
      </c>
      <c r="D5705" s="16" t="s">
        <v>707</v>
      </c>
      <c r="E5705" s="16">
        <v>2024.0</v>
      </c>
      <c r="F5705" s="16">
        <v>53.4994</v>
      </c>
      <c r="G5705" s="16">
        <v>11.1052</v>
      </c>
      <c r="H5705" s="15"/>
      <c r="I5705" s="15"/>
    </row>
    <row r="5706">
      <c r="A5706" s="17">
        <v>45636.0</v>
      </c>
      <c r="B5706" s="16" t="s">
        <v>6509</v>
      </c>
      <c r="C5706" s="16">
        <v>15.0</v>
      </c>
      <c r="D5706" s="16" t="s">
        <v>707</v>
      </c>
      <c r="E5706" s="16">
        <v>2024.0</v>
      </c>
      <c r="F5706" s="16">
        <v>52.5659</v>
      </c>
      <c r="G5706" s="16">
        <v>14.574</v>
      </c>
      <c r="H5706" s="15"/>
      <c r="I5706" s="15"/>
    </row>
    <row r="5707">
      <c r="A5707" s="17">
        <v>45636.0</v>
      </c>
      <c r="B5707" s="16" t="s">
        <v>6510</v>
      </c>
      <c r="C5707" s="16" t="s">
        <v>959</v>
      </c>
      <c r="D5707" s="16" t="s">
        <v>707</v>
      </c>
      <c r="E5707" s="16">
        <v>2024.0</v>
      </c>
      <c r="F5707" s="16">
        <v>49.9494</v>
      </c>
      <c r="G5707" s="16">
        <v>9.0877</v>
      </c>
      <c r="H5707" s="15"/>
      <c r="I5707" s="15"/>
    </row>
    <row r="5708">
      <c r="A5708" s="17">
        <v>45636.0</v>
      </c>
      <c r="B5708" s="16" t="s">
        <v>6511</v>
      </c>
      <c r="C5708" s="16" t="s">
        <v>1094</v>
      </c>
      <c r="D5708" s="16" t="s">
        <v>707</v>
      </c>
      <c r="E5708" s="16">
        <v>2024.0</v>
      </c>
      <c r="F5708" s="16">
        <v>52.353</v>
      </c>
      <c r="G5708" s="16">
        <v>14.0898</v>
      </c>
      <c r="H5708" s="15"/>
      <c r="I5708" s="15"/>
    </row>
    <row r="5709">
      <c r="A5709" s="17">
        <v>45636.0</v>
      </c>
      <c r="B5709" s="16" t="s">
        <v>6512</v>
      </c>
      <c r="C5709" s="16">
        <v>2.0</v>
      </c>
      <c r="D5709" s="16" t="s">
        <v>707</v>
      </c>
      <c r="E5709" s="16">
        <v>2024.0</v>
      </c>
      <c r="F5709" s="16">
        <v>52.353</v>
      </c>
      <c r="G5709" s="16">
        <v>14.0898</v>
      </c>
      <c r="H5709" s="15"/>
      <c r="I5709" s="15"/>
    </row>
    <row r="5710">
      <c r="A5710" s="17">
        <v>45636.0</v>
      </c>
      <c r="B5710" s="16" t="s">
        <v>6513</v>
      </c>
      <c r="C5710" s="16" t="s">
        <v>984</v>
      </c>
      <c r="D5710" s="16" t="s">
        <v>707</v>
      </c>
      <c r="E5710" s="16">
        <v>2024.0</v>
      </c>
      <c r="F5710" s="16">
        <v>51.3865</v>
      </c>
      <c r="G5710" s="16">
        <v>11.6114</v>
      </c>
      <c r="H5710" s="15"/>
      <c r="I5710" s="15"/>
    </row>
    <row r="5711">
      <c r="A5711" s="17">
        <v>45636.0</v>
      </c>
      <c r="B5711" s="16" t="s">
        <v>6514</v>
      </c>
      <c r="C5711" s="16">
        <v>1.0</v>
      </c>
      <c r="D5711" s="16" t="s">
        <v>707</v>
      </c>
      <c r="E5711" s="16">
        <v>2024.0</v>
      </c>
      <c r="F5711" s="16">
        <v>53.0946</v>
      </c>
      <c r="G5711" s="16">
        <v>14.3242</v>
      </c>
      <c r="H5711" s="15"/>
      <c r="I5711" s="15"/>
    </row>
    <row r="5712">
      <c r="A5712" s="17">
        <v>45636.0</v>
      </c>
      <c r="B5712" s="16" t="s">
        <v>6515</v>
      </c>
      <c r="C5712" s="16">
        <v>6.0</v>
      </c>
      <c r="D5712" s="16" t="s">
        <v>707</v>
      </c>
      <c r="E5712" s="16">
        <v>2024.0</v>
      </c>
      <c r="F5712" s="16">
        <v>47.8319</v>
      </c>
      <c r="G5712" s="16">
        <v>11.0571</v>
      </c>
      <c r="H5712" s="15"/>
      <c r="I5712" s="15"/>
    </row>
    <row r="5713">
      <c r="A5713" s="17">
        <v>45636.0</v>
      </c>
      <c r="B5713" s="16" t="s">
        <v>6516</v>
      </c>
      <c r="C5713" s="16" t="s">
        <v>971</v>
      </c>
      <c r="D5713" s="16" t="s">
        <v>707</v>
      </c>
      <c r="E5713" s="16">
        <v>2024.0</v>
      </c>
      <c r="F5713" s="16">
        <v>47.6436</v>
      </c>
      <c r="G5713" s="16">
        <v>11.2204</v>
      </c>
      <c r="H5713" s="15"/>
      <c r="I5713" s="15"/>
    </row>
    <row r="5714">
      <c r="A5714" s="17">
        <v>45636.0</v>
      </c>
      <c r="B5714" s="16" t="s">
        <v>6517</v>
      </c>
      <c r="C5714" s="16" t="s">
        <v>1046</v>
      </c>
      <c r="D5714" s="16" t="s">
        <v>707</v>
      </c>
      <c r="E5714" s="16">
        <v>2024.0</v>
      </c>
      <c r="F5714" s="16">
        <v>47.8039</v>
      </c>
      <c r="G5714" s="16">
        <v>11.1089</v>
      </c>
      <c r="H5714" s="15"/>
      <c r="I5714" s="15"/>
    </row>
    <row r="5715">
      <c r="A5715" s="17">
        <v>45636.0</v>
      </c>
      <c r="B5715" s="16" t="s">
        <v>6518</v>
      </c>
      <c r="C5715" s="16">
        <v>6.0</v>
      </c>
      <c r="D5715" s="16" t="s">
        <v>707</v>
      </c>
      <c r="E5715" s="16">
        <v>2024.0</v>
      </c>
      <c r="F5715" s="16">
        <v>47.8027</v>
      </c>
      <c r="G5715" s="16">
        <v>10.8678</v>
      </c>
      <c r="H5715" s="15"/>
      <c r="I5715" s="15"/>
    </row>
    <row r="5716">
      <c r="A5716" s="17">
        <v>45636.0</v>
      </c>
      <c r="B5716" s="16" t="s">
        <v>6519</v>
      </c>
      <c r="C5716" s="16" t="s">
        <v>2457</v>
      </c>
      <c r="D5716" s="16" t="s">
        <v>707</v>
      </c>
      <c r="E5716" s="16">
        <v>2024.0</v>
      </c>
      <c r="F5716" s="16">
        <v>47.8101</v>
      </c>
      <c r="G5716" s="16">
        <v>11.0359</v>
      </c>
      <c r="H5716" s="15"/>
      <c r="I5716" s="15"/>
    </row>
    <row r="5717">
      <c r="A5717" s="17">
        <v>45636.0</v>
      </c>
      <c r="B5717" s="16" t="s">
        <v>6520</v>
      </c>
      <c r="C5717" s="16" t="s">
        <v>959</v>
      </c>
      <c r="D5717" s="16" t="s">
        <v>707</v>
      </c>
      <c r="E5717" s="16">
        <v>2024.0</v>
      </c>
      <c r="F5717" s="16">
        <v>48.2468</v>
      </c>
      <c r="G5717" s="16">
        <v>8.6145</v>
      </c>
      <c r="H5717" s="15"/>
      <c r="I5717" s="15"/>
    </row>
    <row r="5718">
      <c r="A5718" s="17">
        <v>45636.0</v>
      </c>
      <c r="B5718" s="16" t="s">
        <v>6521</v>
      </c>
      <c r="C5718" s="16" t="s">
        <v>2457</v>
      </c>
      <c r="D5718" s="16" t="s">
        <v>707</v>
      </c>
      <c r="E5718" s="16">
        <v>2024.0</v>
      </c>
      <c r="F5718" s="16">
        <v>50.1565</v>
      </c>
      <c r="G5718" s="16">
        <v>10.4745</v>
      </c>
      <c r="H5718" s="15"/>
      <c r="I5718" s="15"/>
    </row>
    <row r="5719">
      <c r="A5719" s="17">
        <v>45636.0</v>
      </c>
      <c r="B5719" s="16" t="s">
        <v>6522</v>
      </c>
      <c r="C5719" s="16" t="s">
        <v>1101</v>
      </c>
      <c r="D5719" s="16" t="s">
        <v>707</v>
      </c>
      <c r="E5719" s="16">
        <v>2024.0</v>
      </c>
      <c r="F5719" s="16">
        <v>53.7561</v>
      </c>
      <c r="G5719" s="16">
        <v>13.1116</v>
      </c>
      <c r="H5719" s="15"/>
      <c r="I5719" s="15"/>
    </row>
    <row r="5720">
      <c r="A5720" s="17">
        <v>45636.0</v>
      </c>
      <c r="B5720" s="16" t="s">
        <v>6523</v>
      </c>
      <c r="C5720" s="16" t="s">
        <v>969</v>
      </c>
      <c r="D5720" s="16" t="s">
        <v>707</v>
      </c>
      <c r="E5720" s="16">
        <v>2024.0</v>
      </c>
      <c r="F5720" s="16">
        <v>49.0703</v>
      </c>
      <c r="G5720" s="16">
        <v>10.6295</v>
      </c>
      <c r="H5720" s="15"/>
      <c r="I5720" s="15"/>
    </row>
    <row r="5721">
      <c r="A5721" s="17">
        <v>45636.0</v>
      </c>
      <c r="B5721" s="16" t="s">
        <v>6524</v>
      </c>
      <c r="C5721" s="16" t="s">
        <v>978</v>
      </c>
      <c r="D5721" s="16" t="s">
        <v>707</v>
      </c>
      <c r="E5721" s="16">
        <v>2024.0</v>
      </c>
      <c r="F5721" s="16">
        <v>48.4433</v>
      </c>
      <c r="G5721" s="16">
        <v>12.5732</v>
      </c>
      <c r="H5721" s="15"/>
      <c r="I5721" s="15"/>
    </row>
    <row r="5722">
      <c r="A5722" s="17">
        <v>45636.0</v>
      </c>
      <c r="B5722" s="16" t="s">
        <v>6525</v>
      </c>
      <c r="C5722" s="16" t="s">
        <v>1007</v>
      </c>
      <c r="D5722" s="16" t="s">
        <v>707</v>
      </c>
      <c r="E5722" s="16">
        <v>2024.0</v>
      </c>
      <c r="F5722" s="16">
        <v>54.0386</v>
      </c>
      <c r="G5722" s="16">
        <v>9.4253</v>
      </c>
      <c r="H5722" s="15"/>
      <c r="I5722" s="15"/>
    </row>
    <row r="5723">
      <c r="A5723" s="17">
        <v>45636.0</v>
      </c>
      <c r="B5723" s="16" t="s">
        <v>6526</v>
      </c>
      <c r="C5723" s="16" t="s">
        <v>942</v>
      </c>
      <c r="D5723" s="16" t="s">
        <v>707</v>
      </c>
      <c r="E5723" s="16">
        <v>2024.0</v>
      </c>
      <c r="F5723" s="16">
        <v>53.2577</v>
      </c>
      <c r="G5723" s="16">
        <v>8.0177</v>
      </c>
      <c r="H5723" s="15"/>
      <c r="I5723" s="15"/>
    </row>
    <row r="5724">
      <c r="A5724" s="17">
        <v>45636.0</v>
      </c>
      <c r="B5724" s="16" t="s">
        <v>6527</v>
      </c>
      <c r="C5724" s="16" t="s">
        <v>942</v>
      </c>
      <c r="D5724" s="16" t="s">
        <v>707</v>
      </c>
      <c r="E5724" s="16">
        <v>2024.0</v>
      </c>
      <c r="F5724" s="16">
        <v>53.2775</v>
      </c>
      <c r="G5724" s="16">
        <v>8.0435</v>
      </c>
      <c r="H5724" s="15"/>
      <c r="I5724" s="15"/>
    </row>
    <row r="5725">
      <c r="A5725" s="17">
        <v>45636.0</v>
      </c>
      <c r="B5725" s="16" t="s">
        <v>6528</v>
      </c>
      <c r="C5725" s="16">
        <v>6.0</v>
      </c>
      <c r="D5725" s="16" t="s">
        <v>707</v>
      </c>
      <c r="E5725" s="16">
        <v>2024.0</v>
      </c>
      <c r="F5725" s="16">
        <v>49.8577</v>
      </c>
      <c r="G5725" s="16">
        <v>7.8856</v>
      </c>
      <c r="H5725" s="15"/>
      <c r="I5725" s="15"/>
    </row>
    <row r="5726">
      <c r="A5726" s="17">
        <v>45636.0</v>
      </c>
      <c r="B5726" s="16" t="s">
        <v>6529</v>
      </c>
      <c r="C5726" s="16" t="s">
        <v>946</v>
      </c>
      <c r="D5726" s="16" t="s">
        <v>707</v>
      </c>
      <c r="E5726" s="16">
        <v>2024.0</v>
      </c>
      <c r="F5726" s="16">
        <v>51.7935</v>
      </c>
      <c r="G5726" s="16">
        <v>6.3869</v>
      </c>
      <c r="H5726" s="15"/>
      <c r="I5726" s="15"/>
    </row>
    <row r="5727">
      <c r="A5727" s="17">
        <v>45636.0</v>
      </c>
      <c r="B5727" s="16" t="s">
        <v>6530</v>
      </c>
      <c r="C5727" s="16" t="s">
        <v>1007</v>
      </c>
      <c r="D5727" s="16" t="s">
        <v>707</v>
      </c>
      <c r="E5727" s="16">
        <v>2024.0</v>
      </c>
      <c r="F5727" s="16">
        <v>47.9402</v>
      </c>
      <c r="G5727" s="16">
        <v>10.7244</v>
      </c>
      <c r="H5727" s="15"/>
      <c r="I5727" s="15"/>
    </row>
    <row r="5728">
      <c r="A5728" s="17">
        <v>45636.0</v>
      </c>
      <c r="B5728" s="16" t="s">
        <v>6531</v>
      </c>
      <c r="C5728" s="16" t="s">
        <v>1101</v>
      </c>
      <c r="D5728" s="16" t="s">
        <v>707</v>
      </c>
      <c r="E5728" s="16">
        <v>2024.0</v>
      </c>
      <c r="F5728" s="16">
        <v>47.9402</v>
      </c>
      <c r="G5728" s="16">
        <v>10.7244</v>
      </c>
      <c r="H5728" s="15"/>
      <c r="I5728" s="15"/>
    </row>
    <row r="5729">
      <c r="A5729" s="17">
        <v>45636.0</v>
      </c>
      <c r="B5729" s="16" t="s">
        <v>6532</v>
      </c>
      <c r="C5729" s="16" t="s">
        <v>946</v>
      </c>
      <c r="D5729" s="16" t="s">
        <v>707</v>
      </c>
      <c r="E5729" s="16">
        <v>2024.0</v>
      </c>
      <c r="F5729" s="16">
        <v>52.1995</v>
      </c>
      <c r="G5729" s="16">
        <v>7.813</v>
      </c>
      <c r="H5729" s="15"/>
      <c r="I5729" s="15"/>
    </row>
    <row r="5730">
      <c r="A5730" s="17">
        <v>45636.0</v>
      </c>
      <c r="B5730" s="16" t="s">
        <v>6533</v>
      </c>
      <c r="C5730" s="16" t="s">
        <v>969</v>
      </c>
      <c r="D5730" s="16" t="s">
        <v>707</v>
      </c>
      <c r="E5730" s="16">
        <v>2024.0</v>
      </c>
      <c r="F5730" s="16">
        <v>48.4919</v>
      </c>
      <c r="G5730" s="16">
        <v>11.5934</v>
      </c>
      <c r="H5730" s="15"/>
      <c r="I5730" s="15"/>
    </row>
    <row r="5731">
      <c r="A5731" s="17">
        <v>45636.0</v>
      </c>
      <c r="B5731" s="16" t="s">
        <v>6534</v>
      </c>
      <c r="C5731" s="16" t="s">
        <v>4064</v>
      </c>
      <c r="D5731" s="16" t="s">
        <v>707</v>
      </c>
      <c r="E5731" s="16">
        <v>2024.0</v>
      </c>
      <c r="F5731" s="16">
        <v>48.1213</v>
      </c>
      <c r="G5731" s="16">
        <v>9.6694</v>
      </c>
      <c r="H5731" s="15"/>
      <c r="I5731" s="15"/>
    </row>
    <row r="5732">
      <c r="A5732" s="17">
        <v>45636.0</v>
      </c>
      <c r="B5732" s="16" t="s">
        <v>6535</v>
      </c>
      <c r="C5732" s="16" t="s">
        <v>951</v>
      </c>
      <c r="D5732" s="16" t="s">
        <v>707</v>
      </c>
      <c r="E5732" s="16">
        <v>2024.0</v>
      </c>
      <c r="F5732" s="16">
        <v>48.3045</v>
      </c>
      <c r="G5732" s="16">
        <v>11.6294</v>
      </c>
      <c r="H5732" s="15"/>
      <c r="I5732" s="15"/>
    </row>
    <row r="5733">
      <c r="A5733" s="17">
        <v>45636.0</v>
      </c>
      <c r="B5733" s="16" t="s">
        <v>6536</v>
      </c>
      <c r="C5733" s="16" t="s">
        <v>951</v>
      </c>
      <c r="D5733" s="16" t="s">
        <v>707</v>
      </c>
      <c r="E5733" s="16">
        <v>2024.0</v>
      </c>
      <c r="F5733" s="16">
        <v>48.306</v>
      </c>
      <c r="G5733" s="16">
        <v>11.6289</v>
      </c>
      <c r="H5733" s="15"/>
      <c r="I5733" s="15"/>
    </row>
    <row r="5734">
      <c r="A5734" s="17">
        <v>45636.0</v>
      </c>
      <c r="B5734" s="16" t="s">
        <v>6537</v>
      </c>
      <c r="C5734" s="16" t="s">
        <v>969</v>
      </c>
      <c r="D5734" s="16" t="s">
        <v>707</v>
      </c>
      <c r="E5734" s="16">
        <v>2024.0</v>
      </c>
      <c r="F5734" s="16">
        <v>51.3617</v>
      </c>
      <c r="G5734" s="16">
        <v>8.3951</v>
      </c>
      <c r="H5734" s="15"/>
      <c r="I5734" s="15"/>
    </row>
    <row r="5735">
      <c r="A5735" s="17">
        <v>45636.0</v>
      </c>
      <c r="B5735" s="16" t="s">
        <v>6538</v>
      </c>
      <c r="C5735" s="16" t="s">
        <v>969</v>
      </c>
      <c r="D5735" s="16" t="s">
        <v>707</v>
      </c>
      <c r="E5735" s="16">
        <v>2024.0</v>
      </c>
      <c r="F5735" s="16">
        <v>52.8569</v>
      </c>
      <c r="G5735" s="16">
        <v>13.8219</v>
      </c>
      <c r="H5735" s="15"/>
      <c r="I5735" s="15"/>
    </row>
    <row r="5736">
      <c r="A5736" s="17">
        <v>45636.0</v>
      </c>
      <c r="B5736" s="16" t="s">
        <v>6539</v>
      </c>
      <c r="C5736" s="16" t="s">
        <v>946</v>
      </c>
      <c r="D5736" s="16" t="s">
        <v>707</v>
      </c>
      <c r="E5736" s="16">
        <v>2024.0</v>
      </c>
      <c r="F5736" s="16">
        <v>51.4381</v>
      </c>
      <c r="G5736" s="16">
        <v>7.0936</v>
      </c>
      <c r="H5736" s="15"/>
      <c r="I5736" s="15"/>
    </row>
    <row r="5737">
      <c r="A5737" s="17">
        <v>45636.0</v>
      </c>
      <c r="B5737" s="16" t="s">
        <v>6540</v>
      </c>
      <c r="C5737" s="16" t="s">
        <v>1051</v>
      </c>
      <c r="D5737" s="16" t="s">
        <v>707</v>
      </c>
      <c r="E5737" s="16">
        <v>2024.0</v>
      </c>
      <c r="F5737" s="16">
        <v>53.0198</v>
      </c>
      <c r="G5737" s="16">
        <v>11.727</v>
      </c>
      <c r="H5737" s="15"/>
      <c r="I5737" s="15"/>
    </row>
    <row r="5738">
      <c r="A5738" s="17">
        <v>45636.0</v>
      </c>
      <c r="B5738" s="16" t="s">
        <v>6541</v>
      </c>
      <c r="C5738" s="16">
        <v>14.0</v>
      </c>
      <c r="D5738" s="16" t="s">
        <v>707</v>
      </c>
      <c r="E5738" s="16">
        <v>2024.0</v>
      </c>
      <c r="F5738" s="16">
        <v>54.5169</v>
      </c>
      <c r="G5738" s="16">
        <v>9.2507</v>
      </c>
      <c r="H5738" s="15"/>
      <c r="I5738" s="15"/>
    </row>
    <row r="5739">
      <c r="A5739" s="17">
        <v>45636.0</v>
      </c>
      <c r="B5739" s="16" t="s">
        <v>6542</v>
      </c>
      <c r="C5739" s="16" t="s">
        <v>6451</v>
      </c>
      <c r="D5739" s="16" t="s">
        <v>707</v>
      </c>
      <c r="E5739" s="16">
        <v>2024.0</v>
      </c>
      <c r="F5739" s="16">
        <v>49.3627</v>
      </c>
      <c r="G5739" s="16">
        <v>9.2717</v>
      </c>
      <c r="H5739" s="15"/>
      <c r="I5739" s="15"/>
    </row>
    <row r="5740">
      <c r="A5740" s="17">
        <v>45636.0</v>
      </c>
      <c r="B5740" s="16" t="s">
        <v>6543</v>
      </c>
      <c r="C5740" s="16" t="s">
        <v>1002</v>
      </c>
      <c r="D5740" s="16" t="s">
        <v>707</v>
      </c>
      <c r="E5740" s="16">
        <v>2024.0</v>
      </c>
      <c r="F5740" s="16">
        <v>49.2558</v>
      </c>
      <c r="G5740" s="16">
        <v>9.8047</v>
      </c>
      <c r="H5740" s="15"/>
      <c r="I5740" s="15"/>
    </row>
    <row r="5741">
      <c r="A5741" s="17">
        <v>45636.0</v>
      </c>
      <c r="B5741" s="16" t="s">
        <v>6544</v>
      </c>
      <c r="C5741" s="16" t="s">
        <v>1598</v>
      </c>
      <c r="D5741" s="16" t="s">
        <v>707</v>
      </c>
      <c r="E5741" s="16">
        <v>2024.0</v>
      </c>
      <c r="F5741" s="16">
        <v>49.0252</v>
      </c>
      <c r="G5741" s="16">
        <v>11.074</v>
      </c>
      <c r="H5741" s="15"/>
      <c r="I5741" s="15"/>
    </row>
    <row r="5742">
      <c r="A5742" s="17">
        <v>45636.0</v>
      </c>
      <c r="B5742" s="16" t="s">
        <v>6545</v>
      </c>
      <c r="C5742" s="16" t="s">
        <v>948</v>
      </c>
      <c r="D5742" s="16" t="s">
        <v>707</v>
      </c>
      <c r="E5742" s="16">
        <v>2024.0</v>
      </c>
      <c r="F5742" s="16">
        <v>49.5602</v>
      </c>
      <c r="G5742" s="16">
        <v>6.8442</v>
      </c>
      <c r="H5742" s="15"/>
      <c r="I5742" s="15"/>
    </row>
    <row r="5743">
      <c r="A5743" s="17">
        <v>45636.0</v>
      </c>
      <c r="B5743" s="16" t="s">
        <v>6546</v>
      </c>
      <c r="C5743" s="16" t="s">
        <v>1034</v>
      </c>
      <c r="D5743" s="16" t="s">
        <v>707</v>
      </c>
      <c r="E5743" s="16">
        <v>2024.0</v>
      </c>
      <c r="F5743" s="16">
        <v>52.6519</v>
      </c>
      <c r="G5743" s="16">
        <v>11.6294</v>
      </c>
      <c r="H5743" s="15"/>
      <c r="I5743" s="15"/>
    </row>
    <row r="5744">
      <c r="A5744" s="17">
        <v>45636.0</v>
      </c>
      <c r="B5744" s="16" t="s">
        <v>6547</v>
      </c>
      <c r="C5744" s="16">
        <v>2.0</v>
      </c>
      <c r="D5744" s="16" t="s">
        <v>707</v>
      </c>
      <c r="E5744" s="16">
        <v>2024.0</v>
      </c>
      <c r="F5744" s="16">
        <v>51.4176</v>
      </c>
      <c r="G5744" s="16">
        <v>12.3893</v>
      </c>
      <c r="H5744" s="15"/>
      <c r="I5744" s="15"/>
    </row>
    <row r="5745">
      <c r="A5745" s="17">
        <v>45636.0</v>
      </c>
      <c r="B5745" s="16" t="s">
        <v>6548</v>
      </c>
      <c r="C5745" s="16" t="s">
        <v>978</v>
      </c>
      <c r="D5745" s="16" t="s">
        <v>707</v>
      </c>
      <c r="E5745" s="16">
        <v>2024.0</v>
      </c>
      <c r="F5745" s="16">
        <v>49.9933</v>
      </c>
      <c r="G5745" s="16">
        <v>10.8523</v>
      </c>
      <c r="H5745" s="15"/>
      <c r="I5745" s="15"/>
    </row>
    <row r="5746">
      <c r="A5746" s="17">
        <v>45636.0</v>
      </c>
      <c r="B5746" s="16" t="s">
        <v>6549</v>
      </c>
      <c r="C5746" s="16" t="s">
        <v>1055</v>
      </c>
      <c r="D5746" s="16" t="s">
        <v>707</v>
      </c>
      <c r="E5746" s="16">
        <v>2024.0</v>
      </c>
      <c r="F5746" s="16">
        <v>52.608</v>
      </c>
      <c r="G5746" s="16">
        <v>9.7327</v>
      </c>
      <c r="H5746" s="15"/>
      <c r="I5746" s="15"/>
    </row>
    <row r="5747">
      <c r="A5747" s="17">
        <v>45636.0</v>
      </c>
      <c r="B5747" s="16" t="s">
        <v>6550</v>
      </c>
      <c r="C5747" s="16" t="s">
        <v>942</v>
      </c>
      <c r="D5747" s="16" t="s">
        <v>707</v>
      </c>
      <c r="E5747" s="16">
        <v>2024.0</v>
      </c>
      <c r="F5747" s="16">
        <v>50.9525</v>
      </c>
      <c r="G5747" s="16">
        <v>7.9945</v>
      </c>
      <c r="H5747" s="15"/>
      <c r="I5747" s="15"/>
    </row>
    <row r="5748">
      <c r="A5748" s="17">
        <v>45636.0</v>
      </c>
      <c r="B5748" s="16" t="s">
        <v>6551</v>
      </c>
      <c r="C5748" s="16" t="s">
        <v>982</v>
      </c>
      <c r="D5748" s="16" t="s">
        <v>707</v>
      </c>
      <c r="E5748" s="16">
        <v>2024.0</v>
      </c>
      <c r="F5748" s="16">
        <v>49.3665</v>
      </c>
      <c r="G5748" s="16">
        <v>10.1562</v>
      </c>
      <c r="H5748" s="15"/>
      <c r="I5748" s="15"/>
    </row>
    <row r="5749">
      <c r="A5749" s="17">
        <v>45636.0</v>
      </c>
      <c r="B5749" s="16" t="s">
        <v>6552</v>
      </c>
      <c r="C5749" s="16" t="s">
        <v>942</v>
      </c>
      <c r="D5749" s="16" t="s">
        <v>707</v>
      </c>
      <c r="E5749" s="16">
        <v>2024.0</v>
      </c>
      <c r="F5749" s="16">
        <v>54.1452</v>
      </c>
      <c r="G5749" s="16">
        <v>13.6463</v>
      </c>
      <c r="H5749" s="15"/>
      <c r="I5749" s="15"/>
    </row>
    <row r="5750">
      <c r="A5750" s="17">
        <v>45636.0</v>
      </c>
      <c r="B5750" s="16" t="s">
        <v>6553</v>
      </c>
      <c r="C5750" s="16" t="s">
        <v>5901</v>
      </c>
      <c r="D5750" s="16" t="s">
        <v>707</v>
      </c>
      <c r="E5750" s="16">
        <v>2024.0</v>
      </c>
      <c r="F5750" s="16">
        <v>54.3618</v>
      </c>
      <c r="G5750" s="16">
        <v>9.8534</v>
      </c>
      <c r="H5750" s="15"/>
      <c r="I5750" s="15"/>
    </row>
    <row r="5751">
      <c r="A5751" s="17">
        <v>45636.0</v>
      </c>
      <c r="B5751" s="16" t="s">
        <v>6554</v>
      </c>
      <c r="C5751" s="16" t="s">
        <v>4533</v>
      </c>
      <c r="D5751" s="16" t="s">
        <v>707</v>
      </c>
      <c r="E5751" s="16">
        <v>2024.0</v>
      </c>
      <c r="F5751" s="16">
        <v>54.3619</v>
      </c>
      <c r="G5751" s="16">
        <v>9.8394</v>
      </c>
      <c r="H5751" s="15"/>
      <c r="I5751" s="15"/>
    </row>
    <row r="5752">
      <c r="A5752" s="17">
        <v>45636.0</v>
      </c>
      <c r="B5752" s="16" t="s">
        <v>6555</v>
      </c>
      <c r="C5752" s="16" t="s">
        <v>1720</v>
      </c>
      <c r="D5752" s="16" t="s">
        <v>707</v>
      </c>
      <c r="E5752" s="16">
        <v>2024.0</v>
      </c>
      <c r="F5752" s="16">
        <v>54.3623</v>
      </c>
      <c r="G5752" s="16">
        <v>9.8336</v>
      </c>
      <c r="H5752" s="15"/>
      <c r="I5752" s="15"/>
    </row>
    <row r="5753">
      <c r="A5753" s="17">
        <v>45636.0</v>
      </c>
      <c r="B5753" s="16" t="s">
        <v>6556</v>
      </c>
      <c r="C5753" s="16">
        <v>1.0</v>
      </c>
      <c r="D5753" s="16" t="s">
        <v>707</v>
      </c>
      <c r="E5753" s="16">
        <v>2024.0</v>
      </c>
      <c r="F5753" s="16">
        <v>49.2654</v>
      </c>
      <c r="G5753" s="16">
        <v>7.7154</v>
      </c>
      <c r="H5753" s="15"/>
      <c r="I5753" s="15"/>
    </row>
    <row r="5754">
      <c r="A5754" s="17">
        <v>45636.0</v>
      </c>
      <c r="B5754" s="16" t="s">
        <v>6557</v>
      </c>
      <c r="C5754" s="16" t="s">
        <v>1282</v>
      </c>
      <c r="D5754" s="16" t="s">
        <v>707</v>
      </c>
      <c r="E5754" s="16">
        <v>2024.0</v>
      </c>
      <c r="F5754" s="16">
        <v>48.8606</v>
      </c>
      <c r="G5754" s="16">
        <v>10.0576</v>
      </c>
      <c r="H5754" s="15"/>
      <c r="I5754" s="15"/>
    </row>
    <row r="5755">
      <c r="A5755" s="17">
        <v>45636.0</v>
      </c>
      <c r="B5755" s="16" t="s">
        <v>6558</v>
      </c>
      <c r="C5755" s="16" t="s">
        <v>946</v>
      </c>
      <c r="D5755" s="16" t="s">
        <v>707</v>
      </c>
      <c r="E5755" s="16">
        <v>2024.0</v>
      </c>
      <c r="F5755" s="16">
        <v>49.4733</v>
      </c>
      <c r="G5755" s="16">
        <v>11.085</v>
      </c>
      <c r="H5755" s="15"/>
      <c r="I5755" s="15"/>
    </row>
    <row r="5756">
      <c r="A5756" s="17">
        <v>45636.0</v>
      </c>
      <c r="B5756" s="16" t="s">
        <v>6559</v>
      </c>
      <c r="C5756" s="16">
        <v>6.0</v>
      </c>
      <c r="D5756" s="16" t="s">
        <v>707</v>
      </c>
      <c r="E5756" s="16">
        <v>2024.0</v>
      </c>
      <c r="F5756" s="16">
        <v>48.0899</v>
      </c>
      <c r="G5756" s="16">
        <v>11.2292</v>
      </c>
      <c r="H5756" s="15"/>
      <c r="I5756" s="15"/>
    </row>
    <row r="5757">
      <c r="A5757" s="17">
        <v>45636.0</v>
      </c>
      <c r="B5757" s="16" t="s">
        <v>6560</v>
      </c>
      <c r="C5757" s="16" t="s">
        <v>942</v>
      </c>
      <c r="D5757" s="16" t="s">
        <v>707</v>
      </c>
      <c r="E5757" s="16">
        <v>2024.0</v>
      </c>
      <c r="F5757" s="16">
        <v>48.8447</v>
      </c>
      <c r="G5757" s="16">
        <v>8.8206</v>
      </c>
      <c r="H5757" s="15"/>
      <c r="I5757" s="15"/>
    </row>
    <row r="5758">
      <c r="A5758" s="17">
        <v>45636.0</v>
      </c>
      <c r="B5758" s="16" t="s">
        <v>6561</v>
      </c>
      <c r="C5758" s="16">
        <v>2.0</v>
      </c>
      <c r="D5758" s="16" t="s">
        <v>707</v>
      </c>
      <c r="E5758" s="16">
        <v>2024.0</v>
      </c>
      <c r="F5758" s="16">
        <v>51.9065</v>
      </c>
      <c r="G5758" s="16">
        <v>8.6135</v>
      </c>
      <c r="H5758" s="15"/>
      <c r="I5758" s="15"/>
    </row>
    <row r="5759">
      <c r="A5759" s="17">
        <v>45636.0</v>
      </c>
      <c r="B5759" s="16" t="s">
        <v>6562</v>
      </c>
      <c r="C5759" s="16" t="s">
        <v>969</v>
      </c>
      <c r="D5759" s="16" t="s">
        <v>707</v>
      </c>
      <c r="E5759" s="16">
        <v>2024.0</v>
      </c>
      <c r="F5759" s="16">
        <v>49.0</v>
      </c>
      <c r="G5759" s="16">
        <v>9.0</v>
      </c>
      <c r="H5759" s="15"/>
      <c r="I5759" s="15"/>
    </row>
    <row r="5760">
      <c r="A5760" s="17">
        <v>45636.0</v>
      </c>
      <c r="B5760" s="16" t="s">
        <v>6563</v>
      </c>
      <c r="C5760" s="16" t="s">
        <v>1090</v>
      </c>
      <c r="D5760" s="16" t="s">
        <v>707</v>
      </c>
      <c r="E5760" s="16">
        <v>2024.0</v>
      </c>
      <c r="F5760" s="16">
        <v>51.0058</v>
      </c>
      <c r="G5760" s="16">
        <v>6.9397</v>
      </c>
      <c r="H5760" s="15"/>
      <c r="I5760" s="15"/>
    </row>
    <row r="5761">
      <c r="A5761" s="17">
        <v>45636.0</v>
      </c>
      <c r="B5761" s="16" t="s">
        <v>6564</v>
      </c>
      <c r="C5761" s="16" t="s">
        <v>1039</v>
      </c>
      <c r="D5761" s="16" t="s">
        <v>707</v>
      </c>
      <c r="E5761" s="16">
        <v>2024.0</v>
      </c>
      <c r="F5761" s="16">
        <v>53.2419</v>
      </c>
      <c r="G5761" s="16">
        <v>12.0573</v>
      </c>
      <c r="H5761" s="15"/>
      <c r="I5761" s="15"/>
    </row>
    <row r="5762">
      <c r="A5762" s="17">
        <v>45636.0</v>
      </c>
      <c r="B5762" s="16" t="s">
        <v>6565</v>
      </c>
      <c r="C5762" s="16" t="s">
        <v>1374</v>
      </c>
      <c r="D5762" s="16" t="s">
        <v>707</v>
      </c>
      <c r="E5762" s="16">
        <v>2024.0</v>
      </c>
      <c r="F5762" s="16">
        <v>53.2419</v>
      </c>
      <c r="G5762" s="16">
        <v>12.0573</v>
      </c>
      <c r="H5762" s="15"/>
      <c r="I5762" s="15"/>
    </row>
    <row r="5763">
      <c r="A5763" s="17">
        <v>45636.0</v>
      </c>
      <c r="B5763" s="16" t="s">
        <v>6566</v>
      </c>
      <c r="C5763" s="16" t="s">
        <v>959</v>
      </c>
      <c r="D5763" s="16" t="s">
        <v>707</v>
      </c>
      <c r="E5763" s="16">
        <v>2024.0</v>
      </c>
      <c r="F5763" s="16">
        <v>50.7173</v>
      </c>
      <c r="G5763" s="16">
        <v>11.9844</v>
      </c>
      <c r="H5763" s="15"/>
      <c r="I5763" s="15"/>
    </row>
    <row r="5764">
      <c r="A5764" s="17">
        <v>45636.0</v>
      </c>
      <c r="B5764" s="16" t="s">
        <v>6567</v>
      </c>
      <c r="C5764" s="16" t="s">
        <v>951</v>
      </c>
      <c r="D5764" s="16" t="s">
        <v>707</v>
      </c>
      <c r="E5764" s="16">
        <v>2024.0</v>
      </c>
      <c r="F5764" s="16">
        <v>48.3795</v>
      </c>
      <c r="G5764" s="16">
        <v>8.8953</v>
      </c>
      <c r="H5764" s="15"/>
      <c r="I5764" s="15"/>
    </row>
    <row r="5765">
      <c r="A5765" s="17">
        <v>45636.0</v>
      </c>
      <c r="B5765" s="16" t="s">
        <v>6568</v>
      </c>
      <c r="C5765" s="16" t="s">
        <v>990</v>
      </c>
      <c r="D5765" s="16" t="s">
        <v>707</v>
      </c>
      <c r="E5765" s="16">
        <v>2024.0</v>
      </c>
      <c r="F5765" s="16">
        <v>50.3759</v>
      </c>
      <c r="G5765" s="16">
        <v>9.9472</v>
      </c>
      <c r="H5765" s="15"/>
      <c r="I5765" s="15"/>
    </row>
    <row r="5766">
      <c r="A5766" s="17">
        <v>45636.0</v>
      </c>
      <c r="B5766" s="16" t="s">
        <v>6569</v>
      </c>
      <c r="C5766" s="16" t="s">
        <v>969</v>
      </c>
      <c r="D5766" s="16" t="s">
        <v>707</v>
      </c>
      <c r="E5766" s="16">
        <v>2024.0</v>
      </c>
      <c r="F5766" s="16">
        <v>51.1473</v>
      </c>
      <c r="G5766" s="16">
        <v>7.2556</v>
      </c>
      <c r="H5766" s="15"/>
      <c r="I5766" s="15"/>
    </row>
    <row r="5767">
      <c r="A5767" s="17">
        <v>45636.0</v>
      </c>
      <c r="B5767" s="16" t="s">
        <v>6570</v>
      </c>
      <c r="C5767" s="16" t="s">
        <v>1436</v>
      </c>
      <c r="D5767" s="16" t="s">
        <v>707</v>
      </c>
      <c r="E5767" s="16">
        <v>2024.0</v>
      </c>
      <c r="F5767" s="16">
        <v>53.921</v>
      </c>
      <c r="G5767" s="16">
        <v>13.0389</v>
      </c>
      <c r="H5767" s="15"/>
      <c r="I5767" s="15"/>
    </row>
    <row r="5768">
      <c r="A5768" s="17">
        <v>45636.0</v>
      </c>
      <c r="B5768" s="16" t="s">
        <v>6571</v>
      </c>
      <c r="C5768" s="16" t="s">
        <v>1282</v>
      </c>
      <c r="D5768" s="16" t="s">
        <v>707</v>
      </c>
      <c r="E5768" s="16">
        <v>2024.0</v>
      </c>
      <c r="F5768" s="16">
        <v>47.9037</v>
      </c>
      <c r="G5768" s="16">
        <v>10.8693</v>
      </c>
      <c r="H5768" s="15"/>
      <c r="I5768" s="15"/>
    </row>
    <row r="5769">
      <c r="A5769" s="17">
        <v>45636.0</v>
      </c>
      <c r="B5769" s="16" t="s">
        <v>6572</v>
      </c>
      <c r="C5769" s="16" t="s">
        <v>951</v>
      </c>
      <c r="D5769" s="16" t="s">
        <v>707</v>
      </c>
      <c r="E5769" s="16">
        <v>2024.0</v>
      </c>
      <c r="F5769" s="16">
        <v>52.8223</v>
      </c>
      <c r="G5769" s="16">
        <v>10.0827</v>
      </c>
      <c r="H5769" s="15"/>
      <c r="I5769" s="15"/>
    </row>
    <row r="5770">
      <c r="A5770" s="17">
        <v>45636.0</v>
      </c>
      <c r="B5770" s="16" t="s">
        <v>6573</v>
      </c>
      <c r="C5770" s="16" t="s">
        <v>948</v>
      </c>
      <c r="D5770" s="16" t="s">
        <v>707</v>
      </c>
      <c r="E5770" s="16">
        <v>2024.0</v>
      </c>
      <c r="F5770" s="16">
        <v>48.2136</v>
      </c>
      <c r="G5770" s="16">
        <v>9.9051</v>
      </c>
      <c r="H5770" s="15"/>
      <c r="I5770" s="15"/>
    </row>
    <row r="5771">
      <c r="A5771" s="17">
        <v>45636.0</v>
      </c>
      <c r="B5771" s="16" t="s">
        <v>6574</v>
      </c>
      <c r="C5771" s="16">
        <v>6.0</v>
      </c>
      <c r="D5771" s="16" t="s">
        <v>707</v>
      </c>
      <c r="E5771" s="16">
        <v>2024.0</v>
      </c>
      <c r="F5771" s="16">
        <v>53.3229</v>
      </c>
      <c r="G5771" s="16">
        <v>13.9895</v>
      </c>
      <c r="H5771" s="15"/>
      <c r="I5771" s="15"/>
    </row>
    <row r="5772">
      <c r="A5772" s="17">
        <v>45636.0</v>
      </c>
      <c r="B5772" s="16" t="s">
        <v>6575</v>
      </c>
      <c r="C5772" s="16">
        <v>3.0</v>
      </c>
      <c r="D5772" s="16" t="s">
        <v>707</v>
      </c>
      <c r="E5772" s="16">
        <v>2024.0</v>
      </c>
      <c r="F5772" s="16">
        <v>54.8229</v>
      </c>
      <c r="G5772" s="16">
        <v>8.8584</v>
      </c>
      <c r="H5772" s="15"/>
      <c r="I5772" s="15"/>
    </row>
    <row r="5773">
      <c r="A5773" s="17">
        <v>45636.0</v>
      </c>
      <c r="B5773" s="16" t="s">
        <v>6576</v>
      </c>
      <c r="C5773" s="16" t="s">
        <v>3048</v>
      </c>
      <c r="D5773" s="16" t="s">
        <v>707</v>
      </c>
      <c r="E5773" s="16">
        <v>2024.0</v>
      </c>
      <c r="F5773" s="16">
        <v>48.5943</v>
      </c>
      <c r="G5773" s="16">
        <v>10.1903</v>
      </c>
      <c r="H5773" s="15"/>
      <c r="I5773" s="15"/>
    </row>
    <row r="5774">
      <c r="A5774" s="17">
        <v>45636.0</v>
      </c>
      <c r="B5774" s="16" t="s">
        <v>6577</v>
      </c>
      <c r="C5774" s="16" t="s">
        <v>942</v>
      </c>
      <c r="D5774" s="16" t="s">
        <v>707</v>
      </c>
      <c r="E5774" s="16">
        <v>2024.0</v>
      </c>
      <c r="F5774" s="16">
        <v>50.9423</v>
      </c>
      <c r="G5774" s="16">
        <v>7.9967</v>
      </c>
      <c r="H5774" s="15"/>
      <c r="I5774" s="15"/>
    </row>
    <row r="5775">
      <c r="A5775" s="17">
        <v>45636.0</v>
      </c>
      <c r="B5775" s="16" t="s">
        <v>6578</v>
      </c>
      <c r="C5775" s="16" t="s">
        <v>1436</v>
      </c>
      <c r="D5775" s="16" t="s">
        <v>707</v>
      </c>
      <c r="E5775" s="16">
        <v>2024.0</v>
      </c>
      <c r="F5775" s="16">
        <v>51.0426</v>
      </c>
      <c r="G5775" s="16">
        <v>11.0407</v>
      </c>
      <c r="H5775" s="15"/>
      <c r="I5775" s="15"/>
    </row>
    <row r="5776">
      <c r="A5776" s="17">
        <v>45636.0</v>
      </c>
      <c r="B5776" s="16" t="s">
        <v>6579</v>
      </c>
      <c r="C5776" s="16">
        <v>2.0</v>
      </c>
      <c r="D5776" s="16" t="s">
        <v>707</v>
      </c>
      <c r="E5776" s="16">
        <v>2024.0</v>
      </c>
      <c r="F5776" s="16">
        <v>49.2242</v>
      </c>
      <c r="G5776" s="16">
        <v>11.2909</v>
      </c>
      <c r="H5776" s="15"/>
      <c r="I5776" s="15"/>
    </row>
    <row r="5777">
      <c r="A5777" s="17">
        <v>45636.0</v>
      </c>
      <c r="B5777" s="16" t="s">
        <v>6580</v>
      </c>
      <c r="C5777" s="16" t="s">
        <v>1351</v>
      </c>
      <c r="D5777" s="16" t="s">
        <v>707</v>
      </c>
      <c r="E5777" s="16">
        <v>2024.0</v>
      </c>
      <c r="F5777" s="16">
        <v>54.6159</v>
      </c>
      <c r="G5777" s="16">
        <v>9.3447</v>
      </c>
      <c r="H5777" s="15"/>
      <c r="I5777" s="15"/>
    </row>
    <row r="5778">
      <c r="A5778" s="17">
        <v>45636.0</v>
      </c>
      <c r="B5778" s="16" t="s">
        <v>6581</v>
      </c>
      <c r="C5778" s="16" t="s">
        <v>948</v>
      </c>
      <c r="D5778" s="16" t="s">
        <v>707</v>
      </c>
      <c r="E5778" s="16">
        <v>2024.0</v>
      </c>
      <c r="F5778" s="16">
        <v>54.6179</v>
      </c>
      <c r="G5778" s="16">
        <v>9.3447</v>
      </c>
      <c r="H5778" s="15"/>
      <c r="I5778" s="15"/>
    </row>
    <row r="5779">
      <c r="A5779" s="17">
        <v>45636.0</v>
      </c>
      <c r="B5779" s="16" t="s">
        <v>6582</v>
      </c>
      <c r="C5779" s="16" t="s">
        <v>4533</v>
      </c>
      <c r="D5779" s="16" t="s">
        <v>707</v>
      </c>
      <c r="E5779" s="16">
        <v>2024.0</v>
      </c>
      <c r="F5779" s="16">
        <v>54.616</v>
      </c>
      <c r="G5779" s="16">
        <v>9.3548</v>
      </c>
      <c r="H5779" s="15"/>
      <c r="I5779" s="15"/>
    </row>
    <row r="5780">
      <c r="A5780" s="17">
        <v>45636.0</v>
      </c>
      <c r="B5780" s="16" t="s">
        <v>6583</v>
      </c>
      <c r="C5780" s="16">
        <v>2.0</v>
      </c>
      <c r="D5780" s="16" t="s">
        <v>707</v>
      </c>
      <c r="E5780" s="16">
        <v>2024.0</v>
      </c>
      <c r="F5780" s="16">
        <v>48.1991</v>
      </c>
      <c r="G5780" s="16">
        <v>10.9665</v>
      </c>
      <c r="H5780" s="15"/>
      <c r="I5780" s="15"/>
    </row>
    <row r="5781">
      <c r="A5781" s="17">
        <v>45636.0</v>
      </c>
      <c r="B5781" s="16" t="s">
        <v>6584</v>
      </c>
      <c r="C5781" s="16" t="s">
        <v>1051</v>
      </c>
      <c r="D5781" s="16" t="s">
        <v>707</v>
      </c>
      <c r="E5781" s="16">
        <v>2024.0</v>
      </c>
      <c r="F5781" s="16">
        <v>52.56</v>
      </c>
      <c r="G5781" s="16">
        <v>13.606</v>
      </c>
      <c r="H5781" s="15"/>
      <c r="I5781" s="15"/>
    </row>
    <row r="5782">
      <c r="A5782" s="17">
        <v>45636.0</v>
      </c>
      <c r="B5782" s="16" t="s">
        <v>6585</v>
      </c>
      <c r="C5782" s="16" t="s">
        <v>942</v>
      </c>
      <c r="D5782" s="16" t="s">
        <v>707</v>
      </c>
      <c r="E5782" s="16">
        <v>2024.0</v>
      </c>
      <c r="F5782" s="16">
        <v>51.9404</v>
      </c>
      <c r="G5782" s="16">
        <v>6.872</v>
      </c>
      <c r="H5782" s="15"/>
      <c r="I5782" s="15"/>
    </row>
    <row r="5783">
      <c r="A5783" s="17">
        <v>45636.0</v>
      </c>
      <c r="B5783" s="16" t="s">
        <v>6586</v>
      </c>
      <c r="C5783" s="16" t="s">
        <v>969</v>
      </c>
      <c r="D5783" s="16" t="s">
        <v>707</v>
      </c>
      <c r="E5783" s="16">
        <v>2024.0</v>
      </c>
      <c r="F5783" s="16">
        <v>49.0153</v>
      </c>
      <c r="G5783" s="16">
        <v>8.4718</v>
      </c>
      <c r="H5783" s="15"/>
      <c r="I5783" s="15"/>
    </row>
    <row r="5784">
      <c r="A5784" s="17">
        <v>45636.0</v>
      </c>
      <c r="B5784" s="16" t="s">
        <v>6587</v>
      </c>
      <c r="C5784" s="16">
        <v>5.0</v>
      </c>
      <c r="D5784" s="16" t="s">
        <v>707</v>
      </c>
      <c r="E5784" s="16">
        <v>2024.0</v>
      </c>
      <c r="F5784" s="16">
        <v>48.3353</v>
      </c>
      <c r="G5784" s="16">
        <v>10.3002</v>
      </c>
      <c r="H5784" s="15"/>
      <c r="I5784" s="15"/>
    </row>
    <row r="5785">
      <c r="A5785" s="17">
        <v>45636.0</v>
      </c>
      <c r="B5785" s="16" t="s">
        <v>6588</v>
      </c>
      <c r="C5785" s="16">
        <v>2.0</v>
      </c>
      <c r="D5785" s="16" t="s">
        <v>707</v>
      </c>
      <c r="E5785" s="16">
        <v>2024.0</v>
      </c>
      <c r="F5785" s="16">
        <v>49.2009</v>
      </c>
      <c r="G5785" s="16">
        <v>10.7384</v>
      </c>
      <c r="H5785" s="15"/>
      <c r="I5785" s="15"/>
    </row>
    <row r="5786">
      <c r="A5786" s="17">
        <v>45636.0</v>
      </c>
      <c r="B5786" s="16" t="s">
        <v>6589</v>
      </c>
      <c r="C5786" s="16" t="s">
        <v>959</v>
      </c>
      <c r="D5786" s="16" t="s">
        <v>707</v>
      </c>
      <c r="E5786" s="16">
        <v>2024.0</v>
      </c>
      <c r="F5786" s="16">
        <v>48.7239</v>
      </c>
      <c r="G5786" s="16">
        <v>12.1865</v>
      </c>
      <c r="H5786" s="15"/>
      <c r="I5786" s="15"/>
    </row>
    <row r="5787">
      <c r="A5787" s="17">
        <v>45636.0</v>
      </c>
      <c r="B5787" s="16" t="s">
        <v>6590</v>
      </c>
      <c r="C5787" s="16" t="s">
        <v>1172</v>
      </c>
      <c r="D5787" s="16" t="s">
        <v>707</v>
      </c>
      <c r="E5787" s="16">
        <v>2024.0</v>
      </c>
      <c r="F5787" s="16">
        <v>49.7083</v>
      </c>
      <c r="G5787" s="16">
        <v>9.4885</v>
      </c>
      <c r="H5787" s="15"/>
      <c r="I5787" s="15"/>
    </row>
    <row r="5788">
      <c r="A5788" s="17">
        <v>45636.0</v>
      </c>
      <c r="B5788" s="16" t="s">
        <v>6591</v>
      </c>
      <c r="C5788" s="16" t="s">
        <v>951</v>
      </c>
      <c r="D5788" s="16" t="s">
        <v>707</v>
      </c>
      <c r="E5788" s="16">
        <v>2024.0</v>
      </c>
      <c r="F5788" s="16">
        <v>51.3709</v>
      </c>
      <c r="G5788" s="16">
        <v>7.6062</v>
      </c>
      <c r="H5788" s="15"/>
      <c r="I5788" s="15"/>
    </row>
    <row r="5789">
      <c r="A5789" s="17">
        <v>45636.0</v>
      </c>
      <c r="B5789" s="16" t="s">
        <v>6592</v>
      </c>
      <c r="C5789" s="16">
        <v>1.0</v>
      </c>
      <c r="D5789" s="16" t="s">
        <v>707</v>
      </c>
      <c r="E5789" s="16">
        <v>2024.0</v>
      </c>
      <c r="F5789" s="16">
        <v>54.2979</v>
      </c>
      <c r="G5789" s="16">
        <v>13.0996</v>
      </c>
      <c r="H5789" s="15"/>
      <c r="I5789" s="15"/>
    </row>
    <row r="5790">
      <c r="A5790" s="17">
        <v>45636.0</v>
      </c>
      <c r="B5790" s="16" t="s">
        <v>6593</v>
      </c>
      <c r="C5790" s="16" t="s">
        <v>1149</v>
      </c>
      <c r="D5790" s="16" t="s">
        <v>707</v>
      </c>
      <c r="E5790" s="16">
        <v>2024.0</v>
      </c>
      <c r="F5790" s="16">
        <v>48.568</v>
      </c>
      <c r="G5790" s="16">
        <v>11.5252</v>
      </c>
      <c r="H5790" s="15"/>
      <c r="I5790" s="15"/>
    </row>
    <row r="5791">
      <c r="A5791" s="17">
        <v>45636.0</v>
      </c>
      <c r="B5791" s="16" t="s">
        <v>6594</v>
      </c>
      <c r="C5791" s="16" t="s">
        <v>4064</v>
      </c>
      <c r="D5791" s="16" t="s">
        <v>707</v>
      </c>
      <c r="E5791" s="16">
        <v>2024.0</v>
      </c>
      <c r="F5791" s="16">
        <v>51.5534</v>
      </c>
      <c r="G5791" s="16">
        <v>13.202</v>
      </c>
      <c r="H5791" s="15"/>
      <c r="I5791" s="15"/>
    </row>
    <row r="5792">
      <c r="A5792" s="17">
        <v>45636.0</v>
      </c>
      <c r="B5792" s="16" t="s">
        <v>6595</v>
      </c>
      <c r="C5792" s="16" t="s">
        <v>1051</v>
      </c>
      <c r="D5792" s="16" t="s">
        <v>707</v>
      </c>
      <c r="E5792" s="16">
        <v>2024.0</v>
      </c>
      <c r="F5792" s="16">
        <v>51.7029</v>
      </c>
      <c r="G5792" s="16">
        <v>9.842</v>
      </c>
      <c r="H5792" s="15"/>
      <c r="I5792" s="15"/>
    </row>
    <row r="5793">
      <c r="A5793" s="17">
        <v>45636.0</v>
      </c>
      <c r="B5793" s="16" t="s">
        <v>6596</v>
      </c>
      <c r="C5793" s="16" t="s">
        <v>3169</v>
      </c>
      <c r="D5793" s="16" t="s">
        <v>707</v>
      </c>
      <c r="E5793" s="16">
        <v>2024.0</v>
      </c>
      <c r="F5793" s="16">
        <v>52.5639</v>
      </c>
      <c r="G5793" s="16">
        <v>9.7845</v>
      </c>
      <c r="H5793" s="15"/>
      <c r="I5793" s="15"/>
    </row>
    <row r="5794">
      <c r="A5794" s="17">
        <v>45636.0</v>
      </c>
      <c r="B5794" s="16" t="s">
        <v>6597</v>
      </c>
      <c r="C5794" s="16" t="s">
        <v>2821</v>
      </c>
      <c r="D5794" s="16" t="s">
        <v>707</v>
      </c>
      <c r="E5794" s="16">
        <v>2024.0</v>
      </c>
      <c r="F5794" s="16">
        <v>49.3648</v>
      </c>
      <c r="G5794" s="16">
        <v>11.604</v>
      </c>
      <c r="H5794" s="15"/>
      <c r="I5794" s="15"/>
    </row>
    <row r="5795">
      <c r="A5795" s="17">
        <v>45636.0</v>
      </c>
      <c r="B5795" s="16" t="s">
        <v>6598</v>
      </c>
      <c r="C5795" s="16" t="s">
        <v>1101</v>
      </c>
      <c r="D5795" s="16" t="s">
        <v>707</v>
      </c>
      <c r="E5795" s="16">
        <v>2024.0</v>
      </c>
      <c r="F5795" s="16">
        <v>49.3648</v>
      </c>
      <c r="G5795" s="16">
        <v>11.604</v>
      </c>
      <c r="H5795" s="15"/>
      <c r="I5795" s="15"/>
    </row>
    <row r="5796">
      <c r="A5796" s="17">
        <v>45636.0</v>
      </c>
      <c r="B5796" s="16" t="s">
        <v>6599</v>
      </c>
      <c r="C5796" s="16" t="s">
        <v>1979</v>
      </c>
      <c r="D5796" s="16" t="s">
        <v>707</v>
      </c>
      <c r="E5796" s="16">
        <v>2024.0</v>
      </c>
      <c r="F5796" s="16">
        <v>52.4073</v>
      </c>
      <c r="G5796" s="16">
        <v>11.3153</v>
      </c>
      <c r="H5796" s="15"/>
      <c r="I5796" s="15"/>
    </row>
    <row r="5797">
      <c r="A5797" s="17">
        <v>45636.0</v>
      </c>
      <c r="B5797" s="16" t="s">
        <v>6600</v>
      </c>
      <c r="C5797" s="16">
        <v>15.0</v>
      </c>
      <c r="D5797" s="16" t="s">
        <v>707</v>
      </c>
      <c r="E5797" s="16">
        <v>2024.0</v>
      </c>
      <c r="F5797" s="16">
        <v>49.2075</v>
      </c>
      <c r="G5797" s="16">
        <v>8.6228</v>
      </c>
      <c r="H5797" s="15"/>
      <c r="I5797" s="15"/>
    </row>
    <row r="5798">
      <c r="A5798" s="17">
        <v>45636.0</v>
      </c>
      <c r="B5798" s="16" t="s">
        <v>6601</v>
      </c>
      <c r="C5798" s="16" t="s">
        <v>1059</v>
      </c>
      <c r="D5798" s="16" t="s">
        <v>707</v>
      </c>
      <c r="E5798" s="16">
        <v>2024.0</v>
      </c>
      <c r="F5798" s="16">
        <v>51.776</v>
      </c>
      <c r="G5798" s="16">
        <v>11.3372</v>
      </c>
      <c r="H5798" s="15"/>
      <c r="I5798" s="15"/>
    </row>
    <row r="5799">
      <c r="A5799" s="17">
        <v>45636.0</v>
      </c>
      <c r="B5799" s="16" t="s">
        <v>6602</v>
      </c>
      <c r="C5799" s="16" t="s">
        <v>1055</v>
      </c>
      <c r="D5799" s="16" t="s">
        <v>707</v>
      </c>
      <c r="E5799" s="16">
        <v>2024.0</v>
      </c>
      <c r="F5799" s="16">
        <v>48.1588</v>
      </c>
      <c r="G5799" s="16">
        <v>7.6377</v>
      </c>
      <c r="H5799" s="15"/>
      <c r="I5799" s="15"/>
    </row>
    <row r="5800">
      <c r="A5800" s="17">
        <v>45636.0</v>
      </c>
      <c r="B5800" s="16" t="s">
        <v>6603</v>
      </c>
      <c r="C5800" s="16">
        <v>2.0</v>
      </c>
      <c r="D5800" s="16" t="s">
        <v>707</v>
      </c>
      <c r="E5800" s="16">
        <v>2024.0</v>
      </c>
      <c r="F5800" s="16">
        <v>52.8656</v>
      </c>
      <c r="G5800" s="16">
        <v>8.1413</v>
      </c>
      <c r="H5800" s="15"/>
      <c r="I5800" s="15"/>
    </row>
    <row r="5801">
      <c r="A5801" s="17">
        <v>45636.0</v>
      </c>
      <c r="B5801" s="16" t="s">
        <v>6604</v>
      </c>
      <c r="C5801" s="16">
        <v>1.0</v>
      </c>
      <c r="D5801" s="16" t="s">
        <v>707</v>
      </c>
      <c r="E5801" s="16">
        <v>2024.0</v>
      </c>
      <c r="F5801" s="16">
        <v>50.4597</v>
      </c>
      <c r="G5801" s="16">
        <v>6.6814</v>
      </c>
      <c r="H5801" s="15"/>
      <c r="I5801" s="15"/>
    </row>
    <row r="5802">
      <c r="A5802" s="17">
        <v>45636.0</v>
      </c>
      <c r="B5802" s="16" t="s">
        <v>6605</v>
      </c>
      <c r="C5802" s="16" t="s">
        <v>1099</v>
      </c>
      <c r="D5802" s="16" t="s">
        <v>707</v>
      </c>
      <c r="E5802" s="16">
        <v>2024.0</v>
      </c>
      <c r="F5802" s="16">
        <v>49.0294</v>
      </c>
      <c r="G5802" s="16">
        <v>12.9512</v>
      </c>
      <c r="H5802" s="15"/>
      <c r="I5802" s="15"/>
    </row>
    <row r="5803">
      <c r="A5803" s="17">
        <v>45636.0</v>
      </c>
      <c r="B5803" s="16" t="s">
        <v>6606</v>
      </c>
      <c r="C5803" s="16" t="s">
        <v>1007</v>
      </c>
      <c r="D5803" s="16" t="s">
        <v>707</v>
      </c>
      <c r="E5803" s="16">
        <v>2024.0</v>
      </c>
      <c r="F5803" s="16">
        <v>49.6616</v>
      </c>
      <c r="G5803" s="16">
        <v>10.0526</v>
      </c>
      <c r="H5803" s="15"/>
      <c r="I5803" s="15"/>
    </row>
    <row r="5804">
      <c r="A5804" s="17">
        <v>45636.0</v>
      </c>
      <c r="B5804" s="16" t="s">
        <v>6607</v>
      </c>
      <c r="C5804" s="16" t="s">
        <v>1059</v>
      </c>
      <c r="D5804" s="16" t="s">
        <v>707</v>
      </c>
      <c r="E5804" s="16">
        <v>2024.0</v>
      </c>
      <c r="F5804" s="16">
        <v>49.4669</v>
      </c>
      <c r="G5804" s="16">
        <v>11.6287</v>
      </c>
      <c r="H5804" s="15"/>
      <c r="I5804" s="15"/>
    </row>
    <row r="5805">
      <c r="A5805" s="17">
        <v>45636.0</v>
      </c>
      <c r="B5805" s="16" t="s">
        <v>6608</v>
      </c>
      <c r="C5805" s="16" t="s">
        <v>948</v>
      </c>
      <c r="D5805" s="16" t="s">
        <v>707</v>
      </c>
      <c r="E5805" s="16">
        <v>2024.0</v>
      </c>
      <c r="F5805" s="16">
        <v>47.9578</v>
      </c>
      <c r="G5805" s="16">
        <v>12.5148</v>
      </c>
      <c r="H5805" s="15"/>
      <c r="I5805" s="15"/>
    </row>
    <row r="5806">
      <c r="A5806" s="17">
        <v>45636.0</v>
      </c>
      <c r="B5806" s="16" t="s">
        <v>6609</v>
      </c>
      <c r="C5806" s="16" t="s">
        <v>951</v>
      </c>
      <c r="D5806" s="16" t="s">
        <v>707</v>
      </c>
      <c r="E5806" s="16">
        <v>2024.0</v>
      </c>
      <c r="F5806" s="16">
        <v>49.188</v>
      </c>
      <c r="G5806" s="16">
        <v>9.46</v>
      </c>
      <c r="H5806" s="15"/>
      <c r="I5806" s="15"/>
    </row>
    <row r="5807">
      <c r="A5807" s="17">
        <v>45636.0</v>
      </c>
      <c r="B5807" s="16" t="s">
        <v>6610</v>
      </c>
      <c r="C5807" s="16" t="s">
        <v>1099</v>
      </c>
      <c r="D5807" s="16" t="s">
        <v>707</v>
      </c>
      <c r="E5807" s="16">
        <v>2024.0</v>
      </c>
      <c r="F5807" s="16">
        <v>49.3336</v>
      </c>
      <c r="G5807" s="16">
        <v>9.5715</v>
      </c>
      <c r="H5807" s="15"/>
      <c r="I5807" s="15"/>
    </row>
    <row r="5808">
      <c r="A5808" s="17">
        <v>45636.0</v>
      </c>
      <c r="B5808" s="16" t="s">
        <v>6611</v>
      </c>
      <c r="C5808" s="16">
        <v>4.0</v>
      </c>
      <c r="D5808" s="16" t="s">
        <v>707</v>
      </c>
      <c r="E5808" s="16">
        <v>2024.0</v>
      </c>
      <c r="F5808" s="16">
        <v>47.8827</v>
      </c>
      <c r="G5808" s="16">
        <v>11.3716</v>
      </c>
      <c r="H5808" s="15"/>
      <c r="I5808" s="15"/>
    </row>
    <row r="5809">
      <c r="A5809" s="17">
        <v>45636.0</v>
      </c>
      <c r="B5809" s="16" t="s">
        <v>6612</v>
      </c>
      <c r="C5809" s="16" t="s">
        <v>969</v>
      </c>
      <c r="D5809" s="16" t="s">
        <v>707</v>
      </c>
      <c r="E5809" s="16">
        <v>2024.0</v>
      </c>
      <c r="F5809" s="16">
        <v>51.4625</v>
      </c>
      <c r="G5809" s="16">
        <v>13.5386</v>
      </c>
      <c r="H5809" s="15"/>
      <c r="I5809" s="15"/>
    </row>
    <row r="5810">
      <c r="A5810" s="17">
        <v>45636.0</v>
      </c>
      <c r="B5810" s="16" t="s">
        <v>6613</v>
      </c>
      <c r="C5810" s="16" t="s">
        <v>1101</v>
      </c>
      <c r="D5810" s="16" t="s">
        <v>707</v>
      </c>
      <c r="E5810" s="16">
        <v>2024.0</v>
      </c>
      <c r="F5810" s="16">
        <v>48.156</v>
      </c>
      <c r="G5810" s="16">
        <v>8.5546</v>
      </c>
      <c r="H5810" s="15"/>
      <c r="I5810" s="15"/>
    </row>
    <row r="5811">
      <c r="A5811" s="17">
        <v>45636.0</v>
      </c>
      <c r="B5811" s="16" t="s">
        <v>6614</v>
      </c>
      <c r="C5811" s="16" t="s">
        <v>1096</v>
      </c>
      <c r="D5811" s="16" t="s">
        <v>707</v>
      </c>
      <c r="E5811" s="16">
        <v>2024.0</v>
      </c>
      <c r="F5811" s="16">
        <v>49.1643</v>
      </c>
      <c r="G5811" s="16">
        <v>10.3607</v>
      </c>
      <c r="H5811" s="15"/>
      <c r="I5811" s="15"/>
    </row>
    <row r="5812">
      <c r="A5812" s="17">
        <v>45636.0</v>
      </c>
      <c r="B5812" s="16" t="s">
        <v>6615</v>
      </c>
      <c r="C5812" s="16" t="s">
        <v>1167</v>
      </c>
      <c r="D5812" s="16" t="s">
        <v>707</v>
      </c>
      <c r="E5812" s="16">
        <v>2024.0</v>
      </c>
      <c r="F5812" s="16">
        <v>49.1837</v>
      </c>
      <c r="G5812" s="16">
        <v>10.3381</v>
      </c>
      <c r="H5812" s="15"/>
      <c r="I5812" s="15"/>
    </row>
    <row r="5813">
      <c r="A5813" s="17">
        <v>45636.0</v>
      </c>
      <c r="B5813" s="16" t="s">
        <v>6616</v>
      </c>
      <c r="C5813" s="16" t="s">
        <v>1037</v>
      </c>
      <c r="D5813" s="16" t="s">
        <v>707</v>
      </c>
      <c r="E5813" s="16">
        <v>2024.0</v>
      </c>
      <c r="F5813" s="16">
        <v>48.4322</v>
      </c>
      <c r="G5813" s="16">
        <v>12.6607</v>
      </c>
      <c r="H5813" s="15"/>
      <c r="I5813" s="15"/>
    </row>
    <row r="5814">
      <c r="A5814" s="17">
        <v>45636.0</v>
      </c>
      <c r="B5814" s="16" t="s">
        <v>6617</v>
      </c>
      <c r="C5814" s="16" t="s">
        <v>1011</v>
      </c>
      <c r="D5814" s="16" t="s">
        <v>707</v>
      </c>
      <c r="E5814" s="16">
        <v>2024.0</v>
      </c>
      <c r="F5814" s="16">
        <v>48.4881</v>
      </c>
      <c r="G5814" s="16">
        <v>12.5613</v>
      </c>
      <c r="H5814" s="15"/>
      <c r="I5814" s="15"/>
    </row>
    <row r="5815">
      <c r="A5815" s="17">
        <v>45636.0</v>
      </c>
      <c r="B5815" s="16" t="s">
        <v>6618</v>
      </c>
      <c r="C5815" s="16" t="s">
        <v>1386</v>
      </c>
      <c r="D5815" s="16" t="s">
        <v>707</v>
      </c>
      <c r="E5815" s="16">
        <v>2024.0</v>
      </c>
      <c r="F5815" s="16">
        <v>48.4751</v>
      </c>
      <c r="G5815" s="16">
        <v>12.5483</v>
      </c>
      <c r="H5815" s="15"/>
      <c r="I5815" s="15"/>
    </row>
    <row r="5816">
      <c r="A5816" s="17">
        <v>45636.0</v>
      </c>
      <c r="B5816" s="16" t="s">
        <v>6619</v>
      </c>
      <c r="C5816" s="16" t="s">
        <v>982</v>
      </c>
      <c r="D5816" s="16" t="s">
        <v>707</v>
      </c>
      <c r="E5816" s="16">
        <v>2024.0</v>
      </c>
      <c r="F5816" s="16">
        <v>48.4712</v>
      </c>
      <c r="G5816" s="16">
        <v>12.5465</v>
      </c>
      <c r="H5816" s="15"/>
      <c r="I5816" s="15"/>
    </row>
    <row r="5817">
      <c r="A5817" s="17">
        <v>45636.0</v>
      </c>
      <c r="B5817" s="16" t="s">
        <v>6620</v>
      </c>
      <c r="C5817" s="16" t="s">
        <v>984</v>
      </c>
      <c r="D5817" s="16" t="s">
        <v>707</v>
      </c>
      <c r="E5817" s="16">
        <v>2024.0</v>
      </c>
      <c r="F5817" s="16">
        <v>48.4824</v>
      </c>
      <c r="G5817" s="16">
        <v>12.557</v>
      </c>
      <c r="H5817" s="15"/>
      <c r="I5817" s="15"/>
    </row>
    <row r="5818">
      <c r="A5818" s="17">
        <v>45636.0</v>
      </c>
      <c r="B5818" s="16" t="s">
        <v>6621</v>
      </c>
      <c r="C5818" s="16" t="s">
        <v>1267</v>
      </c>
      <c r="D5818" s="16" t="s">
        <v>707</v>
      </c>
      <c r="E5818" s="16">
        <v>2024.0</v>
      </c>
      <c r="F5818" s="16">
        <v>47.5806</v>
      </c>
      <c r="G5818" s="16">
        <v>8.389</v>
      </c>
      <c r="H5818" s="15"/>
      <c r="I5818" s="15"/>
    </row>
    <row r="5819">
      <c r="A5819" s="17">
        <v>45636.0</v>
      </c>
      <c r="B5819" s="16" t="s">
        <v>6622</v>
      </c>
      <c r="C5819" s="16" t="s">
        <v>951</v>
      </c>
      <c r="D5819" s="16" t="s">
        <v>707</v>
      </c>
      <c r="E5819" s="16">
        <v>2024.0</v>
      </c>
      <c r="F5819" s="16">
        <v>48.4712</v>
      </c>
      <c r="G5819" s="16">
        <v>12.5431</v>
      </c>
      <c r="H5819" s="15"/>
      <c r="I5819" s="15"/>
    </row>
    <row r="5820">
      <c r="A5820" s="17">
        <v>45636.0</v>
      </c>
      <c r="B5820" s="16" t="s">
        <v>6623</v>
      </c>
      <c r="C5820" s="16" t="s">
        <v>1055</v>
      </c>
      <c r="D5820" s="16" t="s">
        <v>707</v>
      </c>
      <c r="E5820" s="16">
        <v>2024.0</v>
      </c>
      <c r="F5820" s="16">
        <v>53.3501</v>
      </c>
      <c r="G5820" s="16">
        <v>10.2059</v>
      </c>
      <c r="H5820" s="15"/>
      <c r="I5820" s="15"/>
    </row>
    <row r="5821">
      <c r="A5821" s="17">
        <v>45636.0</v>
      </c>
      <c r="B5821" s="16" t="s">
        <v>6624</v>
      </c>
      <c r="C5821" s="16" t="s">
        <v>1436</v>
      </c>
      <c r="D5821" s="16" t="s">
        <v>707</v>
      </c>
      <c r="E5821" s="16">
        <v>2024.0</v>
      </c>
      <c r="F5821" s="16">
        <v>47.9904</v>
      </c>
      <c r="G5821" s="16">
        <v>10.8541</v>
      </c>
      <c r="H5821" s="15"/>
      <c r="I5821" s="15"/>
    </row>
    <row r="5822">
      <c r="A5822" s="17">
        <v>45636.0</v>
      </c>
      <c r="B5822" s="16" t="s">
        <v>6625</v>
      </c>
      <c r="C5822" s="16" t="s">
        <v>1436</v>
      </c>
      <c r="D5822" s="16" t="s">
        <v>707</v>
      </c>
      <c r="E5822" s="16">
        <v>2024.0</v>
      </c>
      <c r="F5822" s="16">
        <v>47.9905</v>
      </c>
      <c r="G5822" s="16">
        <v>10.8538</v>
      </c>
      <c r="H5822" s="15"/>
      <c r="I5822" s="15"/>
    </row>
    <row r="5823">
      <c r="A5823" s="17">
        <v>45636.0</v>
      </c>
      <c r="B5823" s="16" t="s">
        <v>6626</v>
      </c>
      <c r="C5823" s="16" t="s">
        <v>948</v>
      </c>
      <c r="D5823" s="16" t="s">
        <v>707</v>
      </c>
      <c r="E5823" s="16">
        <v>2024.0</v>
      </c>
      <c r="F5823" s="16">
        <v>50.989</v>
      </c>
      <c r="G5823" s="16">
        <v>6.267</v>
      </c>
      <c r="H5823" s="15"/>
      <c r="I5823" s="15"/>
    </row>
    <row r="5824">
      <c r="A5824" s="17">
        <v>45636.0</v>
      </c>
      <c r="B5824" s="16" t="s">
        <v>6627</v>
      </c>
      <c r="C5824" s="16" t="s">
        <v>1051</v>
      </c>
      <c r="D5824" s="16" t="s">
        <v>707</v>
      </c>
      <c r="E5824" s="16">
        <v>2024.0</v>
      </c>
      <c r="F5824" s="16">
        <v>49.1574</v>
      </c>
      <c r="G5824" s="16">
        <v>8.5014</v>
      </c>
      <c r="H5824" s="15"/>
      <c r="I5824" s="15"/>
    </row>
    <row r="5825">
      <c r="A5825" s="17">
        <v>45636.0</v>
      </c>
      <c r="B5825" s="16" t="s">
        <v>6628</v>
      </c>
      <c r="C5825" s="16" t="s">
        <v>3223</v>
      </c>
      <c r="D5825" s="16" t="s">
        <v>707</v>
      </c>
      <c r="E5825" s="16">
        <v>2024.0</v>
      </c>
      <c r="F5825" s="16">
        <v>49.5027</v>
      </c>
      <c r="G5825" s="16">
        <v>9.5007</v>
      </c>
      <c r="H5825" s="15"/>
      <c r="I5825" s="15"/>
    </row>
    <row r="5826">
      <c r="A5826" s="17">
        <v>45636.0</v>
      </c>
      <c r="B5826" s="16" t="s">
        <v>6629</v>
      </c>
      <c r="C5826" s="16" t="s">
        <v>1004</v>
      </c>
      <c r="D5826" s="16" t="s">
        <v>707</v>
      </c>
      <c r="E5826" s="16">
        <v>2024.0</v>
      </c>
      <c r="F5826" s="16">
        <v>53.3785</v>
      </c>
      <c r="G5826" s="16">
        <v>12.2418</v>
      </c>
      <c r="H5826" s="15"/>
      <c r="I5826" s="15"/>
    </row>
    <row r="5827">
      <c r="A5827" s="17">
        <v>45636.0</v>
      </c>
      <c r="B5827" s="16" t="s">
        <v>6630</v>
      </c>
      <c r="C5827" s="16" t="s">
        <v>969</v>
      </c>
      <c r="D5827" s="16" t="s">
        <v>707</v>
      </c>
      <c r="E5827" s="16">
        <v>2024.0</v>
      </c>
      <c r="F5827" s="16">
        <v>50.3377</v>
      </c>
      <c r="G5827" s="16">
        <v>10.2225</v>
      </c>
      <c r="H5827" s="15"/>
      <c r="I5827" s="15"/>
    </row>
    <row r="5828">
      <c r="A5828" s="17">
        <v>45636.0</v>
      </c>
      <c r="B5828" s="16" t="s">
        <v>6631</v>
      </c>
      <c r="C5828" s="16" t="s">
        <v>971</v>
      </c>
      <c r="D5828" s="16" t="s">
        <v>707</v>
      </c>
      <c r="E5828" s="16">
        <v>2024.0</v>
      </c>
      <c r="F5828" s="16">
        <v>53.6691</v>
      </c>
      <c r="G5828" s="16">
        <v>8.6564</v>
      </c>
      <c r="H5828" s="15"/>
      <c r="I5828" s="15"/>
    </row>
    <row r="5829">
      <c r="A5829" s="17">
        <v>45636.0</v>
      </c>
      <c r="B5829" s="16" t="s">
        <v>6632</v>
      </c>
      <c r="C5829" s="16" t="s">
        <v>1720</v>
      </c>
      <c r="D5829" s="16" t="s">
        <v>707</v>
      </c>
      <c r="E5829" s="16">
        <v>2024.0</v>
      </c>
      <c r="F5829" s="16">
        <v>50.0094</v>
      </c>
      <c r="G5829" s="16">
        <v>9.6994</v>
      </c>
      <c r="H5829" s="15"/>
      <c r="I5829" s="15"/>
    </row>
    <row r="5830">
      <c r="A5830" s="17">
        <v>45636.0</v>
      </c>
      <c r="B5830" s="16" t="s">
        <v>6633</v>
      </c>
      <c r="C5830" s="16" t="s">
        <v>6451</v>
      </c>
      <c r="D5830" s="16" t="s">
        <v>707</v>
      </c>
      <c r="E5830" s="16">
        <v>2024.0</v>
      </c>
      <c r="F5830" s="16">
        <v>52.8948</v>
      </c>
      <c r="G5830" s="16">
        <v>12.6868</v>
      </c>
      <c r="H5830" s="15"/>
      <c r="I5830" s="15"/>
    </row>
    <row r="5831">
      <c r="A5831" s="17">
        <v>45636.0</v>
      </c>
      <c r="B5831" s="16" t="s">
        <v>6634</v>
      </c>
      <c r="C5831" s="16" t="s">
        <v>948</v>
      </c>
      <c r="D5831" s="16" t="s">
        <v>707</v>
      </c>
      <c r="E5831" s="16">
        <v>2024.0</v>
      </c>
      <c r="F5831" s="16">
        <v>48.8117</v>
      </c>
      <c r="G5831" s="16">
        <v>9.5332</v>
      </c>
      <c r="H5831" s="15"/>
      <c r="I5831" s="15"/>
    </row>
    <row r="5832">
      <c r="A5832" s="17">
        <v>45636.0</v>
      </c>
      <c r="B5832" s="16" t="s">
        <v>6635</v>
      </c>
      <c r="C5832" s="16" t="s">
        <v>946</v>
      </c>
      <c r="D5832" s="16" t="s">
        <v>707</v>
      </c>
      <c r="E5832" s="16">
        <v>2024.0</v>
      </c>
      <c r="F5832" s="16">
        <v>52.3681</v>
      </c>
      <c r="G5832" s="16">
        <v>9.9911</v>
      </c>
      <c r="H5832" s="15"/>
      <c r="I5832" s="15"/>
    </row>
    <row r="5833">
      <c r="A5833" s="17">
        <v>45636.0</v>
      </c>
      <c r="B5833" s="16" t="s">
        <v>6636</v>
      </c>
      <c r="C5833" s="16" t="s">
        <v>1215</v>
      </c>
      <c r="D5833" s="16" t="s">
        <v>707</v>
      </c>
      <c r="E5833" s="16">
        <v>2024.0</v>
      </c>
      <c r="F5833" s="16">
        <v>51.4063</v>
      </c>
      <c r="G5833" s="16">
        <v>12.1924</v>
      </c>
      <c r="H5833" s="15"/>
      <c r="I5833" s="15"/>
    </row>
    <row r="5834">
      <c r="A5834" s="17">
        <v>45636.0</v>
      </c>
      <c r="B5834" s="16" t="s">
        <v>6637</v>
      </c>
      <c r="C5834" s="16" t="s">
        <v>1757</v>
      </c>
      <c r="D5834" s="16" t="s">
        <v>707</v>
      </c>
      <c r="E5834" s="16">
        <v>2024.0</v>
      </c>
      <c r="F5834" s="16">
        <v>50.0544</v>
      </c>
      <c r="G5834" s="16">
        <v>7.2253</v>
      </c>
      <c r="H5834" s="15"/>
      <c r="I5834" s="15"/>
    </row>
    <row r="5835">
      <c r="A5835" s="17">
        <v>45636.0</v>
      </c>
      <c r="B5835" s="16" t="s">
        <v>6638</v>
      </c>
      <c r="C5835" s="16" t="s">
        <v>1432</v>
      </c>
      <c r="D5835" s="16" t="s">
        <v>707</v>
      </c>
      <c r="E5835" s="16">
        <v>2024.0</v>
      </c>
      <c r="F5835" s="16">
        <v>50.0543</v>
      </c>
      <c r="G5835" s="16">
        <v>7.2228</v>
      </c>
      <c r="H5835" s="15"/>
      <c r="I5835" s="15"/>
    </row>
    <row r="5836">
      <c r="A5836" s="17">
        <v>45636.0</v>
      </c>
      <c r="B5836" s="16" t="s">
        <v>6639</v>
      </c>
      <c r="C5836" s="16">
        <v>6.0</v>
      </c>
      <c r="D5836" s="16" t="s">
        <v>707</v>
      </c>
      <c r="E5836" s="16">
        <v>2024.0</v>
      </c>
      <c r="F5836" s="16">
        <v>52.1376</v>
      </c>
      <c r="G5836" s="16">
        <v>7.5673</v>
      </c>
      <c r="H5836" s="15"/>
      <c r="I5836" s="15"/>
    </row>
    <row r="5837">
      <c r="A5837" s="17">
        <v>45636.0</v>
      </c>
      <c r="B5837" s="16" t="s">
        <v>6640</v>
      </c>
      <c r="C5837" s="16" t="s">
        <v>6641</v>
      </c>
      <c r="D5837" s="16" t="s">
        <v>707</v>
      </c>
      <c r="E5837" s="16">
        <v>2024.0</v>
      </c>
      <c r="F5837" s="16">
        <v>54.2226</v>
      </c>
      <c r="G5837" s="16">
        <v>9.853</v>
      </c>
      <c r="H5837" s="15"/>
      <c r="I5837" s="15"/>
    </row>
    <row r="5838">
      <c r="A5838" s="17">
        <v>45636.0</v>
      </c>
      <c r="B5838" s="16" t="s">
        <v>6642</v>
      </c>
      <c r="C5838" s="16" t="s">
        <v>6643</v>
      </c>
      <c r="D5838" s="16" t="s">
        <v>707</v>
      </c>
      <c r="E5838" s="16">
        <v>2024.0</v>
      </c>
      <c r="F5838" s="16">
        <v>50.189</v>
      </c>
      <c r="G5838" s="16">
        <v>10.9066</v>
      </c>
      <c r="H5838" s="15"/>
      <c r="I5838" s="15"/>
    </row>
    <row r="5839">
      <c r="A5839" s="17">
        <v>45636.0</v>
      </c>
      <c r="B5839" s="16" t="s">
        <v>6644</v>
      </c>
      <c r="C5839" s="16" t="s">
        <v>1059</v>
      </c>
      <c r="D5839" s="16" t="s">
        <v>707</v>
      </c>
      <c r="E5839" s="16">
        <v>2024.0</v>
      </c>
      <c r="F5839" s="16">
        <v>50.08</v>
      </c>
      <c r="G5839" s="16">
        <v>8.4788</v>
      </c>
      <c r="H5839" s="15"/>
      <c r="I5839" s="15"/>
    </row>
    <row r="5840">
      <c r="A5840" s="17">
        <v>45636.0</v>
      </c>
      <c r="B5840" s="16" t="s">
        <v>6645</v>
      </c>
      <c r="C5840" s="16" t="s">
        <v>1059</v>
      </c>
      <c r="D5840" s="16" t="s">
        <v>707</v>
      </c>
      <c r="E5840" s="16">
        <v>2024.0</v>
      </c>
      <c r="F5840" s="16">
        <v>47.7378</v>
      </c>
      <c r="G5840" s="16">
        <v>10.331</v>
      </c>
      <c r="H5840" s="15"/>
      <c r="I5840" s="15"/>
    </row>
    <row r="5841">
      <c r="A5841" s="17">
        <v>45636.0</v>
      </c>
      <c r="B5841" s="16" t="s">
        <v>6646</v>
      </c>
      <c r="C5841" s="16" t="s">
        <v>6647</v>
      </c>
      <c r="D5841" s="16" t="s">
        <v>707</v>
      </c>
      <c r="E5841" s="16">
        <v>2024.0</v>
      </c>
      <c r="F5841" s="16">
        <v>50.1903</v>
      </c>
      <c r="G5841" s="16">
        <v>10.7747</v>
      </c>
      <c r="H5841" s="15"/>
      <c r="I5841" s="15"/>
    </row>
    <row r="5842">
      <c r="A5842" s="17">
        <v>45636.0</v>
      </c>
      <c r="B5842" s="16" t="s">
        <v>6648</v>
      </c>
      <c r="C5842" s="16" t="s">
        <v>946</v>
      </c>
      <c r="D5842" s="16" t="s">
        <v>707</v>
      </c>
      <c r="E5842" s="16">
        <v>2024.0</v>
      </c>
      <c r="F5842" s="16">
        <v>51.9226</v>
      </c>
      <c r="G5842" s="16">
        <v>8.5942</v>
      </c>
      <c r="H5842" s="15"/>
      <c r="I5842" s="15"/>
    </row>
    <row r="5843">
      <c r="A5843" s="17">
        <v>45636.0</v>
      </c>
      <c r="B5843" s="16" t="s">
        <v>6649</v>
      </c>
      <c r="C5843" s="16" t="s">
        <v>1059</v>
      </c>
      <c r="D5843" s="16" t="s">
        <v>707</v>
      </c>
      <c r="E5843" s="16">
        <v>2024.0</v>
      </c>
      <c r="F5843" s="16">
        <v>50.8118</v>
      </c>
      <c r="G5843" s="16">
        <v>12.8484</v>
      </c>
      <c r="H5843" s="15"/>
      <c r="I5843" s="15"/>
    </row>
    <row r="5844">
      <c r="A5844" s="17">
        <v>45636.0</v>
      </c>
      <c r="B5844" s="16" t="s">
        <v>6650</v>
      </c>
      <c r="C5844" s="16" t="s">
        <v>6651</v>
      </c>
      <c r="D5844" s="16" t="s">
        <v>707</v>
      </c>
      <c r="E5844" s="16">
        <v>2024.0</v>
      </c>
      <c r="F5844" s="16">
        <v>50.04</v>
      </c>
      <c r="G5844" s="16">
        <v>7.3358</v>
      </c>
      <c r="H5844" s="15"/>
      <c r="I5844" s="15"/>
    </row>
    <row r="5845">
      <c r="A5845" s="17">
        <v>45636.0</v>
      </c>
      <c r="B5845" s="16" t="s">
        <v>6652</v>
      </c>
      <c r="C5845" s="16" t="s">
        <v>1757</v>
      </c>
      <c r="D5845" s="16" t="s">
        <v>707</v>
      </c>
      <c r="E5845" s="16">
        <v>2024.0</v>
      </c>
      <c r="F5845" s="16">
        <v>53.6501</v>
      </c>
      <c r="G5845" s="16">
        <v>9.2044</v>
      </c>
      <c r="H5845" s="15"/>
      <c r="I5845" s="15"/>
    </row>
    <row r="5846">
      <c r="A5846" s="17">
        <v>45636.0</v>
      </c>
      <c r="B5846" s="16" t="s">
        <v>6653</v>
      </c>
      <c r="C5846" s="16" t="s">
        <v>2184</v>
      </c>
      <c r="D5846" s="16" t="s">
        <v>707</v>
      </c>
      <c r="E5846" s="16">
        <v>2024.0</v>
      </c>
      <c r="F5846" s="16">
        <v>49.8206</v>
      </c>
      <c r="G5846" s="16">
        <v>10.7574</v>
      </c>
      <c r="H5846" s="15"/>
      <c r="I5846" s="15"/>
    </row>
    <row r="5847">
      <c r="A5847" s="17">
        <v>45636.0</v>
      </c>
      <c r="B5847" s="16" t="s">
        <v>6654</v>
      </c>
      <c r="C5847" s="16">
        <v>2.0</v>
      </c>
      <c r="D5847" s="16" t="s">
        <v>707</v>
      </c>
      <c r="E5847" s="16">
        <v>2024.0</v>
      </c>
      <c r="F5847" s="16">
        <v>48.0619</v>
      </c>
      <c r="G5847" s="16">
        <v>9.4209</v>
      </c>
      <c r="H5847" s="15"/>
      <c r="I5847" s="15"/>
    </row>
    <row r="5848">
      <c r="A5848" s="17">
        <v>45636.0</v>
      </c>
      <c r="B5848" s="16" t="s">
        <v>6655</v>
      </c>
      <c r="C5848" s="16" t="s">
        <v>2392</v>
      </c>
      <c r="D5848" s="16" t="s">
        <v>707</v>
      </c>
      <c r="E5848" s="16">
        <v>2024.0</v>
      </c>
      <c r="F5848" s="16">
        <v>49.5485</v>
      </c>
      <c r="G5848" s="16">
        <v>10.8595</v>
      </c>
      <c r="H5848" s="15"/>
      <c r="I5848" s="15"/>
    </row>
    <row r="5849">
      <c r="A5849" s="17">
        <v>45636.0</v>
      </c>
      <c r="B5849" s="16" t="s">
        <v>6656</v>
      </c>
      <c r="C5849" s="16" t="s">
        <v>1384</v>
      </c>
      <c r="D5849" s="16" t="s">
        <v>707</v>
      </c>
      <c r="E5849" s="16">
        <v>2024.0</v>
      </c>
      <c r="F5849" s="16">
        <v>47.9311</v>
      </c>
      <c r="G5849" s="16">
        <v>9.7352</v>
      </c>
      <c r="H5849" s="15"/>
      <c r="I5849" s="15"/>
    </row>
    <row r="5850">
      <c r="A5850" s="17">
        <v>45636.0</v>
      </c>
      <c r="B5850" s="16" t="s">
        <v>6657</v>
      </c>
      <c r="C5850" s="16" t="s">
        <v>948</v>
      </c>
      <c r="D5850" s="16" t="s">
        <v>707</v>
      </c>
      <c r="E5850" s="16">
        <v>2024.0</v>
      </c>
      <c r="F5850" s="16">
        <v>51.8319</v>
      </c>
      <c r="G5850" s="16">
        <v>6.2596</v>
      </c>
      <c r="H5850" s="15"/>
      <c r="I5850" s="15"/>
    </row>
    <row r="5851">
      <c r="A5851" s="17">
        <v>45636.0</v>
      </c>
      <c r="B5851" s="16" t="s">
        <v>6658</v>
      </c>
      <c r="C5851" s="16" t="s">
        <v>1475</v>
      </c>
      <c r="D5851" s="16" t="s">
        <v>707</v>
      </c>
      <c r="E5851" s="16">
        <v>2024.0</v>
      </c>
      <c r="F5851" s="16">
        <v>51.2846</v>
      </c>
      <c r="G5851" s="16">
        <v>7.2707</v>
      </c>
      <c r="H5851" s="15"/>
      <c r="I5851" s="15"/>
    </row>
    <row r="5852">
      <c r="A5852" s="17">
        <v>45636.0</v>
      </c>
      <c r="B5852" s="16" t="s">
        <v>6659</v>
      </c>
      <c r="C5852" s="16" t="s">
        <v>969</v>
      </c>
      <c r="D5852" s="16" t="s">
        <v>707</v>
      </c>
      <c r="E5852" s="16">
        <v>2024.0</v>
      </c>
      <c r="F5852" s="16">
        <v>50.9938</v>
      </c>
      <c r="G5852" s="16">
        <v>6.4333</v>
      </c>
      <c r="H5852" s="15"/>
      <c r="I5852" s="15"/>
    </row>
    <row r="5853">
      <c r="A5853" s="17">
        <v>45636.0</v>
      </c>
      <c r="B5853" s="16" t="s">
        <v>6660</v>
      </c>
      <c r="C5853" s="16" t="s">
        <v>2770</v>
      </c>
      <c r="D5853" s="16" t="s">
        <v>707</v>
      </c>
      <c r="E5853" s="16">
        <v>2024.0</v>
      </c>
      <c r="F5853" s="16">
        <v>49.1771</v>
      </c>
      <c r="G5853" s="16">
        <v>11.2212</v>
      </c>
      <c r="H5853" s="15"/>
      <c r="I5853" s="15"/>
    </row>
    <row r="5854">
      <c r="A5854" s="17">
        <v>45636.0</v>
      </c>
      <c r="B5854" s="16" t="s">
        <v>6661</v>
      </c>
      <c r="C5854" s="16" t="s">
        <v>959</v>
      </c>
      <c r="D5854" s="16" t="s">
        <v>707</v>
      </c>
      <c r="E5854" s="16">
        <v>2024.0</v>
      </c>
      <c r="F5854" s="16">
        <v>50.0878</v>
      </c>
      <c r="G5854" s="16">
        <v>8.769</v>
      </c>
      <c r="H5854" s="15"/>
      <c r="I5854" s="15"/>
    </row>
    <row r="5855">
      <c r="A5855" s="17">
        <v>45636.0</v>
      </c>
      <c r="B5855" s="16" t="s">
        <v>6662</v>
      </c>
      <c r="C5855" s="16">
        <v>1.0</v>
      </c>
      <c r="D5855" s="16" t="s">
        <v>707</v>
      </c>
      <c r="E5855" s="16">
        <v>2024.0</v>
      </c>
      <c r="F5855" s="16">
        <v>51.9852</v>
      </c>
      <c r="G5855" s="16">
        <v>8.343</v>
      </c>
      <c r="H5855" s="15"/>
      <c r="I5855" s="15"/>
    </row>
    <row r="5856">
      <c r="A5856" s="17">
        <v>45636.0</v>
      </c>
      <c r="B5856" s="16" t="s">
        <v>6663</v>
      </c>
      <c r="C5856" s="16" t="s">
        <v>1147</v>
      </c>
      <c r="D5856" s="16" t="s">
        <v>707</v>
      </c>
      <c r="E5856" s="16">
        <v>2024.0</v>
      </c>
      <c r="F5856" s="16">
        <v>48.1781</v>
      </c>
      <c r="G5856" s="16">
        <v>10.1757</v>
      </c>
      <c r="H5856" s="15"/>
      <c r="I5856" s="15"/>
    </row>
    <row r="5857">
      <c r="A5857" s="17">
        <v>45636.0</v>
      </c>
      <c r="B5857" s="16" t="s">
        <v>6664</v>
      </c>
      <c r="C5857" s="16" t="s">
        <v>1690</v>
      </c>
      <c r="D5857" s="16" t="s">
        <v>707</v>
      </c>
      <c r="E5857" s="16">
        <v>2024.0</v>
      </c>
      <c r="F5857" s="16">
        <v>50.2181</v>
      </c>
      <c r="G5857" s="16">
        <v>8.2487</v>
      </c>
      <c r="H5857" s="15"/>
      <c r="I5857" s="15"/>
    </row>
    <row r="5858">
      <c r="A5858" s="17">
        <v>45636.0</v>
      </c>
      <c r="B5858" s="16" t="s">
        <v>6665</v>
      </c>
      <c r="C5858" s="16">
        <v>10.0</v>
      </c>
      <c r="D5858" s="16" t="s">
        <v>707</v>
      </c>
      <c r="E5858" s="16">
        <v>2024.0</v>
      </c>
      <c r="F5858" s="16">
        <v>54.5086</v>
      </c>
      <c r="G5858" s="16">
        <v>9.2407</v>
      </c>
      <c r="H5858" s="15"/>
      <c r="I5858" s="15"/>
    </row>
    <row r="5859">
      <c r="A5859" s="17">
        <v>45636.0</v>
      </c>
      <c r="B5859" s="16" t="s">
        <v>6666</v>
      </c>
      <c r="C5859" s="16">
        <v>1.0</v>
      </c>
      <c r="D5859" s="16" t="s">
        <v>707</v>
      </c>
      <c r="E5859" s="16">
        <v>2024.0</v>
      </c>
      <c r="F5859" s="16">
        <v>48.3357</v>
      </c>
      <c r="G5859" s="16">
        <v>10.3004</v>
      </c>
      <c r="H5859" s="15"/>
      <c r="I5859" s="15"/>
    </row>
    <row r="5860">
      <c r="A5860" s="17">
        <v>45636.0</v>
      </c>
      <c r="B5860" s="16" t="s">
        <v>6667</v>
      </c>
      <c r="C5860" s="16" t="s">
        <v>946</v>
      </c>
      <c r="D5860" s="16" t="s">
        <v>707</v>
      </c>
      <c r="E5860" s="16">
        <v>2024.0</v>
      </c>
      <c r="F5860" s="16">
        <v>48.381</v>
      </c>
      <c r="G5860" s="16">
        <v>12.9777</v>
      </c>
      <c r="H5860" s="15"/>
      <c r="I5860" s="15"/>
    </row>
    <row r="5861">
      <c r="A5861" s="17">
        <v>45636.0</v>
      </c>
      <c r="B5861" s="16" t="s">
        <v>6668</v>
      </c>
      <c r="C5861" s="16" t="s">
        <v>942</v>
      </c>
      <c r="D5861" s="16" t="s">
        <v>707</v>
      </c>
      <c r="E5861" s="16">
        <v>2024.0</v>
      </c>
      <c r="F5861" s="16">
        <v>48.6247</v>
      </c>
      <c r="G5861" s="16">
        <v>12.8805</v>
      </c>
      <c r="H5861" s="15"/>
      <c r="I5861" s="15"/>
    </row>
    <row r="5862">
      <c r="A5862" s="17">
        <v>45636.0</v>
      </c>
      <c r="B5862" s="16" t="s">
        <v>6669</v>
      </c>
      <c r="C5862" s="16" t="s">
        <v>959</v>
      </c>
      <c r="D5862" s="16" t="s">
        <v>707</v>
      </c>
      <c r="E5862" s="16">
        <v>2024.0</v>
      </c>
      <c r="F5862" s="16">
        <v>50.3646</v>
      </c>
      <c r="G5862" s="16">
        <v>6.5601</v>
      </c>
      <c r="H5862" s="15"/>
      <c r="I5862" s="15"/>
    </row>
    <row r="5863">
      <c r="A5863" s="17">
        <v>45636.0</v>
      </c>
      <c r="B5863" s="16" t="s">
        <v>6670</v>
      </c>
      <c r="C5863" s="16" t="s">
        <v>1039</v>
      </c>
      <c r="D5863" s="16" t="s">
        <v>707</v>
      </c>
      <c r="E5863" s="16">
        <v>2024.0</v>
      </c>
      <c r="F5863" s="16">
        <v>51.9281</v>
      </c>
      <c r="G5863" s="16">
        <v>10.422</v>
      </c>
      <c r="H5863" s="15"/>
      <c r="I5863" s="15"/>
    </row>
    <row r="5864">
      <c r="A5864" s="17">
        <v>45636.0</v>
      </c>
      <c r="B5864" s="16" t="s">
        <v>6671</v>
      </c>
      <c r="C5864" s="16" t="s">
        <v>948</v>
      </c>
      <c r="D5864" s="16" t="s">
        <v>707</v>
      </c>
      <c r="E5864" s="16">
        <v>2024.0</v>
      </c>
      <c r="F5864" s="16">
        <v>49.0138</v>
      </c>
      <c r="G5864" s="16">
        <v>8.3291</v>
      </c>
      <c r="H5864" s="15"/>
      <c r="I5864" s="15"/>
    </row>
    <row r="5865">
      <c r="A5865" s="17">
        <v>45636.0</v>
      </c>
      <c r="B5865" s="16" t="s">
        <v>6672</v>
      </c>
      <c r="C5865" s="16" t="s">
        <v>6673</v>
      </c>
      <c r="D5865" s="16" t="s">
        <v>707</v>
      </c>
      <c r="E5865" s="16">
        <v>2024.0</v>
      </c>
      <c r="F5865" s="16">
        <v>48.6541</v>
      </c>
      <c r="G5865" s="16">
        <v>13.5468</v>
      </c>
      <c r="H5865" s="15"/>
      <c r="I5865" s="15"/>
    </row>
    <row r="5866">
      <c r="A5866" s="17">
        <v>45636.0</v>
      </c>
      <c r="B5866" s="16" t="s">
        <v>6674</v>
      </c>
      <c r="C5866" s="16" t="s">
        <v>948</v>
      </c>
      <c r="D5866" s="16" t="s">
        <v>707</v>
      </c>
      <c r="E5866" s="16">
        <v>2024.0</v>
      </c>
      <c r="F5866" s="16">
        <v>51.3318</v>
      </c>
      <c r="G5866" s="16">
        <v>9.4789</v>
      </c>
      <c r="H5866" s="15"/>
      <c r="I5866" s="15"/>
    </row>
    <row r="5867">
      <c r="A5867" s="17">
        <v>45636.0</v>
      </c>
      <c r="B5867" s="16" t="s">
        <v>6675</v>
      </c>
      <c r="C5867" s="16" t="s">
        <v>2498</v>
      </c>
      <c r="D5867" s="16" t="s">
        <v>707</v>
      </c>
      <c r="E5867" s="16">
        <v>2024.0</v>
      </c>
      <c r="F5867" s="16">
        <v>48.6481</v>
      </c>
      <c r="G5867" s="16">
        <v>13.5503</v>
      </c>
      <c r="H5867" s="15"/>
      <c r="I5867" s="15"/>
    </row>
    <row r="5868">
      <c r="A5868" s="17">
        <v>45636.0</v>
      </c>
      <c r="B5868" s="16" t="s">
        <v>6676</v>
      </c>
      <c r="C5868" s="16" t="s">
        <v>942</v>
      </c>
      <c r="D5868" s="16" t="s">
        <v>707</v>
      </c>
      <c r="E5868" s="16">
        <v>2024.0</v>
      </c>
      <c r="F5868" s="16">
        <v>50.9115</v>
      </c>
      <c r="G5868" s="16">
        <v>13.2738</v>
      </c>
      <c r="H5868" s="15"/>
      <c r="I5868" s="15"/>
    </row>
    <row r="5869">
      <c r="A5869" s="17">
        <v>45636.0</v>
      </c>
      <c r="B5869" s="16" t="s">
        <v>6677</v>
      </c>
      <c r="C5869" s="16" t="s">
        <v>1215</v>
      </c>
      <c r="D5869" s="16" t="s">
        <v>707</v>
      </c>
      <c r="E5869" s="16">
        <v>2024.0</v>
      </c>
      <c r="F5869" s="16">
        <v>51.6978</v>
      </c>
      <c r="G5869" s="16">
        <v>7.4861</v>
      </c>
      <c r="H5869" s="15"/>
      <c r="I5869" s="15"/>
    </row>
    <row r="5870">
      <c r="A5870" s="17">
        <v>45636.0</v>
      </c>
      <c r="B5870" s="16" t="s">
        <v>6678</v>
      </c>
      <c r="C5870" s="16" t="s">
        <v>4064</v>
      </c>
      <c r="D5870" s="16" t="s">
        <v>707</v>
      </c>
      <c r="E5870" s="16">
        <v>2024.0</v>
      </c>
      <c r="F5870" s="16">
        <v>53.4049</v>
      </c>
      <c r="G5870" s="16">
        <v>12.4429</v>
      </c>
      <c r="H5870" s="15"/>
      <c r="I5870" s="15"/>
    </row>
    <row r="5871">
      <c r="A5871" s="17">
        <v>45636.0</v>
      </c>
      <c r="B5871" s="16" t="s">
        <v>6679</v>
      </c>
      <c r="C5871" s="16" t="s">
        <v>2517</v>
      </c>
      <c r="D5871" s="16" t="s">
        <v>707</v>
      </c>
      <c r="E5871" s="16">
        <v>2024.0</v>
      </c>
      <c r="F5871" s="16">
        <v>54.0372</v>
      </c>
      <c r="G5871" s="16">
        <v>9.4304</v>
      </c>
      <c r="H5871" s="15"/>
      <c r="I5871" s="15"/>
    </row>
    <row r="5872">
      <c r="A5872" s="17">
        <v>45636.0</v>
      </c>
      <c r="B5872" s="16" t="s">
        <v>6680</v>
      </c>
      <c r="C5872" s="16">
        <v>1.0</v>
      </c>
      <c r="D5872" s="16" t="s">
        <v>707</v>
      </c>
      <c r="E5872" s="16">
        <v>2024.0</v>
      </c>
      <c r="F5872" s="16">
        <v>51.0872</v>
      </c>
      <c r="G5872" s="16">
        <v>6.6151</v>
      </c>
      <c r="H5872" s="15"/>
      <c r="I5872" s="15"/>
    </row>
    <row r="5873">
      <c r="A5873" s="17">
        <v>45636.0</v>
      </c>
      <c r="B5873" s="16" t="s">
        <v>6681</v>
      </c>
      <c r="C5873" s="16" t="s">
        <v>1101</v>
      </c>
      <c r="D5873" s="16" t="s">
        <v>707</v>
      </c>
      <c r="E5873" s="16">
        <v>2024.0</v>
      </c>
      <c r="F5873" s="16">
        <v>54.5098</v>
      </c>
      <c r="G5873" s="16">
        <v>9.2429</v>
      </c>
      <c r="H5873" s="15"/>
      <c r="I5873" s="15"/>
    </row>
    <row r="5874">
      <c r="A5874" s="17">
        <v>45636.0</v>
      </c>
      <c r="B5874" s="16" t="s">
        <v>6682</v>
      </c>
      <c r="C5874" s="16" t="s">
        <v>969</v>
      </c>
      <c r="D5874" s="16" t="s">
        <v>707</v>
      </c>
      <c r="E5874" s="16">
        <v>2024.0</v>
      </c>
      <c r="F5874" s="16">
        <v>52.2519</v>
      </c>
      <c r="G5874" s="16">
        <v>12.9876</v>
      </c>
      <c r="H5874" s="15"/>
      <c r="I5874" s="15"/>
    </row>
    <row r="5875">
      <c r="A5875" s="17">
        <v>45636.0</v>
      </c>
      <c r="B5875" s="16" t="s">
        <v>6683</v>
      </c>
      <c r="C5875" s="16" t="s">
        <v>1690</v>
      </c>
      <c r="D5875" s="16" t="s">
        <v>707</v>
      </c>
      <c r="E5875" s="16">
        <v>2024.0</v>
      </c>
      <c r="F5875" s="16">
        <v>48.0834</v>
      </c>
      <c r="G5875" s="16">
        <v>9.2756</v>
      </c>
      <c r="H5875" s="15"/>
      <c r="I5875" s="15"/>
    </row>
    <row r="5876">
      <c r="A5876" s="17">
        <v>45636.0</v>
      </c>
      <c r="B5876" s="16" t="s">
        <v>6684</v>
      </c>
      <c r="C5876" s="16" t="s">
        <v>1037</v>
      </c>
      <c r="D5876" s="16" t="s">
        <v>707</v>
      </c>
      <c r="E5876" s="16">
        <v>2024.0</v>
      </c>
      <c r="F5876" s="16">
        <v>52.442</v>
      </c>
      <c r="G5876" s="16">
        <v>7.0658</v>
      </c>
      <c r="H5876" s="15"/>
      <c r="I5876" s="15"/>
    </row>
    <row r="5877">
      <c r="A5877" s="17">
        <v>45636.0</v>
      </c>
      <c r="B5877" s="16" t="s">
        <v>6685</v>
      </c>
      <c r="C5877" s="16" t="s">
        <v>984</v>
      </c>
      <c r="D5877" s="16" t="s">
        <v>707</v>
      </c>
      <c r="E5877" s="16">
        <v>2024.0</v>
      </c>
      <c r="F5877" s="16">
        <v>54.219</v>
      </c>
      <c r="G5877" s="16">
        <v>10.8946</v>
      </c>
      <c r="H5877" s="15"/>
      <c r="I5877" s="15"/>
    </row>
    <row r="5878">
      <c r="A5878" s="17">
        <v>45636.0</v>
      </c>
      <c r="B5878" s="16" t="s">
        <v>6686</v>
      </c>
      <c r="C5878" s="16" t="s">
        <v>1149</v>
      </c>
      <c r="D5878" s="16" t="s">
        <v>707</v>
      </c>
      <c r="E5878" s="16">
        <v>2024.0</v>
      </c>
      <c r="F5878" s="16">
        <v>49.5151</v>
      </c>
      <c r="G5878" s="16">
        <v>9.0544</v>
      </c>
      <c r="H5878" s="15"/>
      <c r="I5878" s="15"/>
    </row>
    <row r="5879">
      <c r="A5879" s="17">
        <v>45636.0</v>
      </c>
      <c r="B5879" s="16" t="s">
        <v>6687</v>
      </c>
      <c r="C5879" s="16" t="s">
        <v>1011</v>
      </c>
      <c r="D5879" s="16" t="s">
        <v>707</v>
      </c>
      <c r="E5879" s="16">
        <v>2024.0</v>
      </c>
      <c r="F5879" s="16">
        <v>50.2129</v>
      </c>
      <c r="G5879" s="16">
        <v>11.7228</v>
      </c>
      <c r="H5879" s="15"/>
      <c r="I5879" s="15"/>
    </row>
    <row r="5880">
      <c r="A5880" s="17">
        <v>45636.0</v>
      </c>
      <c r="B5880" s="16" t="s">
        <v>6688</v>
      </c>
      <c r="C5880" s="16" t="s">
        <v>1432</v>
      </c>
      <c r="D5880" s="16" t="s">
        <v>707</v>
      </c>
      <c r="E5880" s="16">
        <v>2024.0</v>
      </c>
      <c r="F5880" s="16">
        <v>51.9718</v>
      </c>
      <c r="G5880" s="16">
        <v>13.8088</v>
      </c>
      <c r="H5880" s="15"/>
      <c r="I5880" s="15"/>
    </row>
    <row r="5881">
      <c r="A5881" s="17">
        <v>45636.0</v>
      </c>
      <c r="B5881" s="16" t="s">
        <v>6689</v>
      </c>
      <c r="C5881" s="16" t="s">
        <v>1055</v>
      </c>
      <c r="D5881" s="16" t="s">
        <v>707</v>
      </c>
      <c r="E5881" s="16">
        <v>2024.0</v>
      </c>
      <c r="F5881" s="16">
        <v>51.55</v>
      </c>
      <c r="G5881" s="16">
        <v>13.2287</v>
      </c>
      <c r="H5881" s="15"/>
      <c r="I5881" s="15"/>
    </row>
    <row r="5882">
      <c r="A5882" s="17">
        <v>45636.0</v>
      </c>
      <c r="B5882" s="16" t="s">
        <v>6690</v>
      </c>
      <c r="C5882" s="16" t="s">
        <v>969</v>
      </c>
      <c r="D5882" s="16" t="s">
        <v>707</v>
      </c>
      <c r="E5882" s="16">
        <v>2024.0</v>
      </c>
      <c r="F5882" s="16">
        <v>53.5659</v>
      </c>
      <c r="G5882" s="16">
        <v>9.5093</v>
      </c>
      <c r="H5882" s="15"/>
      <c r="I5882" s="15"/>
    </row>
    <row r="5883">
      <c r="A5883" s="17">
        <v>45636.0</v>
      </c>
      <c r="B5883" s="16" t="s">
        <v>6691</v>
      </c>
      <c r="C5883" s="16" t="s">
        <v>969</v>
      </c>
      <c r="D5883" s="16" t="s">
        <v>707</v>
      </c>
      <c r="E5883" s="16">
        <v>2024.0</v>
      </c>
      <c r="F5883" s="16">
        <v>49.0</v>
      </c>
      <c r="G5883" s="16">
        <v>9.0</v>
      </c>
      <c r="H5883" s="15"/>
      <c r="I5883" s="15"/>
    </row>
    <row r="5884">
      <c r="A5884" s="17">
        <v>45636.0</v>
      </c>
      <c r="B5884" s="16" t="s">
        <v>6692</v>
      </c>
      <c r="C5884" s="16">
        <v>11.0</v>
      </c>
      <c r="D5884" s="16" t="s">
        <v>707</v>
      </c>
      <c r="E5884" s="16">
        <v>2024.0</v>
      </c>
      <c r="F5884" s="16">
        <v>51.9718</v>
      </c>
      <c r="G5884" s="16">
        <v>13.8088</v>
      </c>
      <c r="H5884" s="15"/>
      <c r="I5884" s="15"/>
    </row>
    <row r="5885">
      <c r="A5885" s="17">
        <v>45636.0</v>
      </c>
      <c r="B5885" s="16" t="s">
        <v>6693</v>
      </c>
      <c r="C5885" s="16" t="s">
        <v>971</v>
      </c>
      <c r="D5885" s="16" t="s">
        <v>707</v>
      </c>
      <c r="E5885" s="16">
        <v>2024.0</v>
      </c>
      <c r="F5885" s="16">
        <v>51.9718</v>
      </c>
      <c r="G5885" s="16">
        <v>13.8088</v>
      </c>
      <c r="H5885" s="15"/>
      <c r="I5885" s="15"/>
    </row>
    <row r="5886">
      <c r="A5886" s="17">
        <v>45636.0</v>
      </c>
      <c r="B5886" s="16" t="s">
        <v>6694</v>
      </c>
      <c r="C5886" s="16">
        <v>2.0</v>
      </c>
      <c r="D5886" s="16" t="s">
        <v>707</v>
      </c>
      <c r="E5886" s="16">
        <v>2024.0</v>
      </c>
      <c r="F5886" s="16">
        <v>51.5402</v>
      </c>
      <c r="G5886" s="16">
        <v>7.1347</v>
      </c>
      <c r="H5886" s="15"/>
      <c r="I5886" s="15"/>
    </row>
    <row r="5887">
      <c r="A5887" s="17">
        <v>45636.0</v>
      </c>
      <c r="B5887" s="16" t="s">
        <v>6695</v>
      </c>
      <c r="C5887" s="16" t="s">
        <v>1215</v>
      </c>
      <c r="D5887" s="16" t="s">
        <v>707</v>
      </c>
      <c r="E5887" s="16">
        <v>2024.0</v>
      </c>
      <c r="F5887" s="16">
        <v>51.5649</v>
      </c>
      <c r="G5887" s="16">
        <v>7.9318</v>
      </c>
      <c r="H5887" s="15"/>
      <c r="I5887" s="15"/>
    </row>
    <row r="5888">
      <c r="A5888" s="17">
        <v>45636.0</v>
      </c>
      <c r="B5888" s="16" t="s">
        <v>6696</v>
      </c>
      <c r="C5888" s="16" t="s">
        <v>1055</v>
      </c>
      <c r="D5888" s="16" t="s">
        <v>707</v>
      </c>
      <c r="E5888" s="16">
        <v>2024.0</v>
      </c>
      <c r="F5888" s="16">
        <v>49.417</v>
      </c>
      <c r="G5888" s="16">
        <v>11.1151</v>
      </c>
      <c r="H5888" s="15"/>
      <c r="I5888" s="15"/>
    </row>
    <row r="5889">
      <c r="A5889" s="17">
        <v>45636.0</v>
      </c>
      <c r="B5889" s="16" t="s">
        <v>6697</v>
      </c>
      <c r="C5889" s="16">
        <v>1.0</v>
      </c>
      <c r="D5889" s="16" t="s">
        <v>707</v>
      </c>
      <c r="E5889" s="16">
        <v>2024.0</v>
      </c>
      <c r="F5889" s="16">
        <v>48.302</v>
      </c>
      <c r="G5889" s="16">
        <v>11.2126</v>
      </c>
      <c r="H5889" s="15"/>
      <c r="I5889" s="15"/>
    </row>
    <row r="5890">
      <c r="A5890" s="17">
        <v>45636.0</v>
      </c>
      <c r="B5890" s="16" t="s">
        <v>6698</v>
      </c>
      <c r="C5890" s="16" t="s">
        <v>4610</v>
      </c>
      <c r="D5890" s="16" t="s">
        <v>707</v>
      </c>
      <c r="E5890" s="16">
        <v>2024.0</v>
      </c>
      <c r="F5890" s="16">
        <v>54.3521</v>
      </c>
      <c r="G5890" s="16">
        <v>9.6812</v>
      </c>
      <c r="H5890" s="15"/>
      <c r="I5890" s="15"/>
    </row>
    <row r="5891">
      <c r="A5891" s="17">
        <v>45636.0</v>
      </c>
      <c r="B5891" s="16" t="s">
        <v>6699</v>
      </c>
      <c r="C5891" s="16" t="s">
        <v>959</v>
      </c>
      <c r="D5891" s="16" t="s">
        <v>707</v>
      </c>
      <c r="E5891" s="16">
        <v>2024.0</v>
      </c>
      <c r="F5891" s="16">
        <v>53.4735</v>
      </c>
      <c r="G5891" s="16">
        <v>9.7828</v>
      </c>
      <c r="H5891" s="15"/>
      <c r="I5891" s="15"/>
    </row>
    <row r="5892">
      <c r="A5892" s="17">
        <v>45636.0</v>
      </c>
      <c r="B5892" s="16" t="s">
        <v>6700</v>
      </c>
      <c r="C5892" s="16">
        <v>3.0</v>
      </c>
      <c r="D5892" s="16" t="s">
        <v>707</v>
      </c>
      <c r="E5892" s="16">
        <v>2024.0</v>
      </c>
      <c r="F5892" s="16">
        <v>50.497</v>
      </c>
      <c r="G5892" s="16">
        <v>7.7356</v>
      </c>
      <c r="H5892" s="15"/>
      <c r="I5892" s="15"/>
    </row>
    <row r="5893">
      <c r="A5893" s="17">
        <v>45636.0</v>
      </c>
      <c r="B5893" s="16" t="s">
        <v>6701</v>
      </c>
      <c r="C5893" s="16" t="s">
        <v>1059</v>
      </c>
      <c r="D5893" s="16" t="s">
        <v>707</v>
      </c>
      <c r="E5893" s="16">
        <v>2024.0</v>
      </c>
      <c r="F5893" s="16">
        <v>48.2548</v>
      </c>
      <c r="G5893" s="16">
        <v>12.4041</v>
      </c>
      <c r="H5893" s="15"/>
      <c r="I5893" s="15"/>
    </row>
    <row r="5894">
      <c r="A5894" s="17">
        <v>45636.0</v>
      </c>
      <c r="B5894" s="16" t="s">
        <v>6702</v>
      </c>
      <c r="C5894" s="16" t="s">
        <v>1402</v>
      </c>
      <c r="D5894" s="16" t="s">
        <v>707</v>
      </c>
      <c r="E5894" s="16">
        <v>2024.0</v>
      </c>
      <c r="F5894" s="16">
        <v>47.8821</v>
      </c>
      <c r="G5894" s="16">
        <v>9.7729</v>
      </c>
      <c r="H5894" s="15"/>
      <c r="I5894" s="15"/>
    </row>
    <row r="5895">
      <c r="A5895" s="17">
        <v>45636.0</v>
      </c>
      <c r="B5895" s="16" t="s">
        <v>6703</v>
      </c>
      <c r="C5895" s="16">
        <v>5.0</v>
      </c>
      <c r="D5895" s="16" t="s">
        <v>707</v>
      </c>
      <c r="E5895" s="16">
        <v>2024.0</v>
      </c>
      <c r="F5895" s="16">
        <v>50.1009</v>
      </c>
      <c r="G5895" s="16">
        <v>6.2336</v>
      </c>
      <c r="H5895" s="15"/>
      <c r="I5895" s="15"/>
    </row>
    <row r="5896">
      <c r="A5896" s="17">
        <v>45636.0</v>
      </c>
      <c r="B5896" s="16" t="s">
        <v>6704</v>
      </c>
      <c r="C5896" s="16" t="s">
        <v>948</v>
      </c>
      <c r="D5896" s="16" t="s">
        <v>707</v>
      </c>
      <c r="E5896" s="16">
        <v>2024.0</v>
      </c>
      <c r="F5896" s="16">
        <v>48.5527</v>
      </c>
      <c r="G5896" s="16">
        <v>12.0721</v>
      </c>
      <c r="H5896" s="15"/>
      <c r="I5896" s="15"/>
    </row>
    <row r="5897">
      <c r="A5897" s="17">
        <v>45636.0</v>
      </c>
      <c r="B5897" s="16" t="s">
        <v>6705</v>
      </c>
      <c r="C5897" s="16" t="s">
        <v>1055</v>
      </c>
      <c r="D5897" s="16" t="s">
        <v>707</v>
      </c>
      <c r="E5897" s="16">
        <v>2024.0</v>
      </c>
      <c r="F5897" s="16">
        <v>48.8989</v>
      </c>
      <c r="G5897" s="16">
        <v>12.6629</v>
      </c>
      <c r="H5897" s="15"/>
      <c r="I5897" s="15"/>
    </row>
    <row r="5898">
      <c r="A5898" s="17">
        <v>45636.0</v>
      </c>
      <c r="B5898" s="16" t="s">
        <v>6706</v>
      </c>
      <c r="C5898" s="16" t="s">
        <v>951</v>
      </c>
      <c r="D5898" s="16" t="s">
        <v>707</v>
      </c>
      <c r="E5898" s="16">
        <v>2024.0</v>
      </c>
      <c r="F5898" s="16">
        <v>52.7305</v>
      </c>
      <c r="G5898" s="16">
        <v>12.5767</v>
      </c>
      <c r="H5898" s="15"/>
      <c r="I5898" s="15"/>
    </row>
    <row r="5899">
      <c r="A5899" s="17">
        <v>45636.0</v>
      </c>
      <c r="B5899" s="16" t="s">
        <v>6707</v>
      </c>
      <c r="C5899" s="16">
        <v>1.0</v>
      </c>
      <c r="D5899" s="16" t="s">
        <v>707</v>
      </c>
      <c r="E5899" s="16">
        <v>2024.0</v>
      </c>
      <c r="F5899" s="16">
        <v>52.7548</v>
      </c>
      <c r="G5899" s="16">
        <v>12.8875</v>
      </c>
      <c r="H5899" s="15"/>
      <c r="I5899" s="15"/>
    </row>
    <row r="5900">
      <c r="A5900" s="17">
        <v>45636.0</v>
      </c>
      <c r="B5900" s="16" t="s">
        <v>6708</v>
      </c>
      <c r="C5900" s="16" t="s">
        <v>978</v>
      </c>
      <c r="D5900" s="16" t="s">
        <v>707</v>
      </c>
      <c r="E5900" s="16">
        <v>2024.0</v>
      </c>
      <c r="F5900" s="16">
        <v>51.9766</v>
      </c>
      <c r="G5900" s="16">
        <v>8.7379</v>
      </c>
      <c r="H5900" s="15"/>
      <c r="I5900" s="15"/>
    </row>
    <row r="5901">
      <c r="A5901" s="17">
        <v>45636.0</v>
      </c>
      <c r="B5901" s="16" t="s">
        <v>6709</v>
      </c>
      <c r="C5901" s="16">
        <v>4.0</v>
      </c>
      <c r="D5901" s="16" t="s">
        <v>707</v>
      </c>
      <c r="E5901" s="16">
        <v>2024.0</v>
      </c>
      <c r="F5901" s="16">
        <v>51.8949</v>
      </c>
      <c r="G5901" s="16">
        <v>9.0812</v>
      </c>
      <c r="H5901" s="15"/>
      <c r="I5901" s="15"/>
    </row>
    <row r="5902">
      <c r="A5902" s="17">
        <v>45636.0</v>
      </c>
      <c r="B5902" s="16" t="s">
        <v>6710</v>
      </c>
      <c r="C5902" s="16" t="s">
        <v>1007</v>
      </c>
      <c r="D5902" s="16" t="s">
        <v>707</v>
      </c>
      <c r="E5902" s="16">
        <v>2024.0</v>
      </c>
      <c r="F5902" s="16">
        <v>53.3936</v>
      </c>
      <c r="G5902" s="16">
        <v>8.1198</v>
      </c>
      <c r="H5902" s="15"/>
      <c r="I5902" s="15"/>
    </row>
    <row r="5903">
      <c r="A5903" s="17">
        <v>45636.0</v>
      </c>
      <c r="B5903" s="16" t="s">
        <v>6711</v>
      </c>
      <c r="C5903" s="16">
        <v>1.0</v>
      </c>
      <c r="D5903" s="16" t="s">
        <v>707</v>
      </c>
      <c r="E5903" s="16">
        <v>2024.0</v>
      </c>
      <c r="F5903" s="16">
        <v>51.413</v>
      </c>
      <c r="G5903" s="16">
        <v>12.454</v>
      </c>
      <c r="H5903" s="15"/>
      <c r="I5903" s="15"/>
    </row>
    <row r="5904">
      <c r="A5904" s="17">
        <v>45636.0</v>
      </c>
      <c r="B5904" s="16" t="s">
        <v>6712</v>
      </c>
      <c r="C5904" s="16" t="s">
        <v>1034</v>
      </c>
      <c r="D5904" s="16" t="s">
        <v>707</v>
      </c>
      <c r="E5904" s="16">
        <v>2024.0</v>
      </c>
      <c r="F5904" s="16">
        <v>52.272</v>
      </c>
      <c r="G5904" s="16">
        <v>8.0476</v>
      </c>
      <c r="H5904" s="15"/>
      <c r="I5904" s="15"/>
    </row>
    <row r="5905">
      <c r="A5905" s="17">
        <v>45636.0</v>
      </c>
      <c r="B5905" s="16" t="s">
        <v>6713</v>
      </c>
      <c r="C5905" s="16" t="s">
        <v>971</v>
      </c>
      <c r="D5905" s="16" t="s">
        <v>707</v>
      </c>
      <c r="E5905" s="16">
        <v>2024.0</v>
      </c>
      <c r="F5905" s="16">
        <v>52.1053</v>
      </c>
      <c r="G5905" s="16">
        <v>6.9858</v>
      </c>
      <c r="H5905" s="15"/>
      <c r="I5905" s="15"/>
    </row>
    <row r="5906">
      <c r="A5906" s="17">
        <v>45636.0</v>
      </c>
      <c r="B5906" s="16" t="s">
        <v>6714</v>
      </c>
      <c r="C5906" s="16">
        <v>8.0</v>
      </c>
      <c r="D5906" s="16" t="s">
        <v>707</v>
      </c>
      <c r="E5906" s="16">
        <v>2024.0</v>
      </c>
      <c r="F5906" s="16">
        <v>49.4162</v>
      </c>
      <c r="G5906" s="16">
        <v>11.4198</v>
      </c>
      <c r="H5906" s="15"/>
      <c r="I5906" s="15"/>
    </row>
    <row r="5907">
      <c r="A5907" s="17">
        <v>45636.0</v>
      </c>
      <c r="B5907" s="16" t="s">
        <v>6715</v>
      </c>
      <c r="C5907" s="16">
        <v>3.0</v>
      </c>
      <c r="D5907" s="16" t="s">
        <v>707</v>
      </c>
      <c r="E5907" s="16">
        <v>2024.0</v>
      </c>
      <c r="F5907" s="16">
        <v>49.4162</v>
      </c>
      <c r="G5907" s="16">
        <v>11.4198</v>
      </c>
      <c r="H5907" s="15"/>
      <c r="I5907" s="15"/>
    </row>
    <row r="5908">
      <c r="A5908" s="17">
        <v>45636.0</v>
      </c>
      <c r="B5908" s="16" t="s">
        <v>6716</v>
      </c>
      <c r="C5908" s="16">
        <v>9.0</v>
      </c>
      <c r="D5908" s="16" t="s">
        <v>707</v>
      </c>
      <c r="E5908" s="16">
        <v>2024.0</v>
      </c>
      <c r="F5908" s="16">
        <v>49.1451</v>
      </c>
      <c r="G5908" s="16">
        <v>10.5242</v>
      </c>
      <c r="H5908" s="15"/>
      <c r="I5908" s="15"/>
    </row>
    <row r="5909">
      <c r="A5909" s="17">
        <v>45636.0</v>
      </c>
      <c r="B5909" s="16" t="s">
        <v>6717</v>
      </c>
      <c r="C5909" s="16" t="s">
        <v>969</v>
      </c>
      <c r="D5909" s="16" t="s">
        <v>707</v>
      </c>
      <c r="E5909" s="16">
        <v>2024.0</v>
      </c>
      <c r="F5909" s="16">
        <v>49.145</v>
      </c>
      <c r="G5909" s="16">
        <v>10.5256</v>
      </c>
      <c r="H5909" s="15"/>
      <c r="I5909" s="15"/>
    </row>
    <row r="5910">
      <c r="A5910" s="17">
        <v>45636.0</v>
      </c>
      <c r="B5910" s="16" t="s">
        <v>6718</v>
      </c>
      <c r="C5910" s="16" t="s">
        <v>948</v>
      </c>
      <c r="D5910" s="16" t="s">
        <v>707</v>
      </c>
      <c r="E5910" s="16">
        <v>2024.0</v>
      </c>
      <c r="F5910" s="16">
        <v>49.4849</v>
      </c>
      <c r="G5910" s="16">
        <v>10.9539</v>
      </c>
      <c r="H5910" s="15"/>
      <c r="I5910" s="15"/>
    </row>
    <row r="5911">
      <c r="A5911" s="17">
        <v>45636.0</v>
      </c>
      <c r="B5911" s="16" t="s">
        <v>6719</v>
      </c>
      <c r="C5911" s="16" t="s">
        <v>990</v>
      </c>
      <c r="D5911" s="16" t="s">
        <v>707</v>
      </c>
      <c r="E5911" s="16">
        <v>2024.0</v>
      </c>
      <c r="F5911" s="16">
        <v>52.8832</v>
      </c>
      <c r="G5911" s="16">
        <v>8.2297</v>
      </c>
      <c r="H5911" s="15"/>
      <c r="I5911" s="15"/>
    </row>
    <row r="5912">
      <c r="A5912" s="17">
        <v>45636.0</v>
      </c>
      <c r="B5912" s="16" t="s">
        <v>6720</v>
      </c>
      <c r="C5912" s="16" t="s">
        <v>4064</v>
      </c>
      <c r="D5912" s="16" t="s">
        <v>707</v>
      </c>
      <c r="E5912" s="16">
        <v>2024.0</v>
      </c>
      <c r="F5912" s="16">
        <v>48.9923</v>
      </c>
      <c r="G5912" s="16">
        <v>12.2648</v>
      </c>
      <c r="H5912" s="15"/>
      <c r="I5912" s="15"/>
    </row>
    <row r="5913">
      <c r="A5913" s="17">
        <v>45636.0</v>
      </c>
      <c r="B5913" s="16" t="s">
        <v>6721</v>
      </c>
      <c r="C5913" s="16" t="s">
        <v>942</v>
      </c>
      <c r="D5913" s="16" t="s">
        <v>707</v>
      </c>
      <c r="E5913" s="16">
        <v>2024.0</v>
      </c>
      <c r="F5913" s="16">
        <v>49.7066</v>
      </c>
      <c r="G5913" s="16">
        <v>11.0555</v>
      </c>
      <c r="H5913" s="15"/>
      <c r="I5913" s="15"/>
    </row>
    <row r="5914">
      <c r="A5914" s="17">
        <v>45636.0</v>
      </c>
      <c r="B5914" s="16" t="s">
        <v>6722</v>
      </c>
      <c r="C5914" s="16" t="s">
        <v>969</v>
      </c>
      <c r="D5914" s="16" t="s">
        <v>707</v>
      </c>
      <c r="E5914" s="16">
        <v>2024.0</v>
      </c>
      <c r="F5914" s="16">
        <v>49.2215</v>
      </c>
      <c r="G5914" s="16">
        <v>9.206</v>
      </c>
      <c r="H5914" s="15"/>
      <c r="I5914" s="15"/>
    </row>
    <row r="5915">
      <c r="A5915" s="17">
        <v>45636.0</v>
      </c>
      <c r="B5915" s="16" t="s">
        <v>6723</v>
      </c>
      <c r="C5915" s="16" t="s">
        <v>982</v>
      </c>
      <c r="D5915" s="16" t="s">
        <v>707</v>
      </c>
      <c r="E5915" s="16">
        <v>2024.0</v>
      </c>
      <c r="F5915" s="16">
        <v>51.9153</v>
      </c>
      <c r="G5915" s="16">
        <v>7.3969</v>
      </c>
      <c r="H5915" s="15"/>
      <c r="I5915" s="15"/>
    </row>
    <row r="5916">
      <c r="A5916" s="17">
        <v>45636.0</v>
      </c>
      <c r="B5916" s="16" t="s">
        <v>6724</v>
      </c>
      <c r="C5916" s="16" t="s">
        <v>969</v>
      </c>
      <c r="D5916" s="16" t="s">
        <v>707</v>
      </c>
      <c r="E5916" s="16">
        <v>2024.0</v>
      </c>
      <c r="F5916" s="16">
        <v>50.8569</v>
      </c>
      <c r="G5916" s="16">
        <v>10.9388</v>
      </c>
      <c r="H5916" s="15"/>
      <c r="I5916" s="15"/>
    </row>
    <row r="5917">
      <c r="A5917" s="17">
        <v>45636.0</v>
      </c>
      <c r="B5917" s="16" t="s">
        <v>6725</v>
      </c>
      <c r="C5917" s="16" t="s">
        <v>1007</v>
      </c>
      <c r="D5917" s="16" t="s">
        <v>707</v>
      </c>
      <c r="E5917" s="16">
        <v>2024.0</v>
      </c>
      <c r="F5917" s="16">
        <v>48.6721</v>
      </c>
      <c r="G5917" s="16">
        <v>12.6133</v>
      </c>
      <c r="H5917" s="15"/>
      <c r="I5917" s="15"/>
    </row>
    <row r="5918">
      <c r="A5918" s="17">
        <v>45636.0</v>
      </c>
      <c r="B5918" s="16" t="s">
        <v>6726</v>
      </c>
      <c r="C5918" s="16" t="s">
        <v>1055</v>
      </c>
      <c r="D5918" s="16" t="s">
        <v>707</v>
      </c>
      <c r="E5918" s="16">
        <v>2024.0</v>
      </c>
      <c r="F5918" s="16">
        <v>52.5265</v>
      </c>
      <c r="G5918" s="16">
        <v>7.1661</v>
      </c>
      <c r="H5918" s="15"/>
      <c r="I5918" s="15"/>
    </row>
    <row r="5919">
      <c r="A5919" s="17">
        <v>45636.0</v>
      </c>
      <c r="B5919" s="16" t="s">
        <v>6727</v>
      </c>
      <c r="C5919" s="16" t="s">
        <v>978</v>
      </c>
      <c r="D5919" s="16" t="s">
        <v>707</v>
      </c>
      <c r="E5919" s="16">
        <v>2024.0</v>
      </c>
      <c r="F5919" s="16">
        <v>52.3502</v>
      </c>
      <c r="G5919" s="16">
        <v>7.281</v>
      </c>
      <c r="H5919" s="15"/>
      <c r="I5919" s="15"/>
    </row>
    <row r="5920">
      <c r="A5920" s="17">
        <v>45636.0</v>
      </c>
      <c r="B5920" s="16" t="s">
        <v>6728</v>
      </c>
      <c r="C5920" s="16">
        <v>3.0</v>
      </c>
      <c r="D5920" s="16" t="s">
        <v>707</v>
      </c>
      <c r="E5920" s="16">
        <v>2024.0</v>
      </c>
      <c r="F5920" s="16">
        <v>52.0266</v>
      </c>
      <c r="G5920" s="16">
        <v>8.3762</v>
      </c>
      <c r="H5920" s="15"/>
      <c r="I5920" s="15"/>
    </row>
    <row r="5921">
      <c r="A5921" s="17">
        <v>45636.0</v>
      </c>
      <c r="B5921" s="16" t="s">
        <v>6729</v>
      </c>
      <c r="C5921" s="16" t="s">
        <v>1080</v>
      </c>
      <c r="D5921" s="16" t="s">
        <v>707</v>
      </c>
      <c r="E5921" s="16">
        <v>2024.0</v>
      </c>
      <c r="F5921" s="16">
        <v>48.2866</v>
      </c>
      <c r="G5921" s="16">
        <v>9.2938</v>
      </c>
      <c r="H5921" s="15"/>
      <c r="I5921" s="15"/>
    </row>
    <row r="5922">
      <c r="A5922" s="17">
        <v>45636.0</v>
      </c>
      <c r="B5922" s="16" t="s">
        <v>6730</v>
      </c>
      <c r="C5922" s="16" t="s">
        <v>1771</v>
      </c>
      <c r="D5922" s="16" t="s">
        <v>707</v>
      </c>
      <c r="E5922" s="16">
        <v>2024.0</v>
      </c>
      <c r="F5922" s="16">
        <v>48.4594</v>
      </c>
      <c r="G5922" s="16">
        <v>9.9849</v>
      </c>
      <c r="H5922" s="15"/>
      <c r="I5922" s="15"/>
    </row>
    <row r="5923">
      <c r="A5923" s="17">
        <v>45636.0</v>
      </c>
      <c r="B5923" s="16" t="s">
        <v>6731</v>
      </c>
      <c r="C5923" s="16" t="s">
        <v>1039</v>
      </c>
      <c r="D5923" s="16" t="s">
        <v>707</v>
      </c>
      <c r="E5923" s="16">
        <v>2024.0</v>
      </c>
      <c r="F5923" s="16">
        <v>50.203</v>
      </c>
      <c r="G5923" s="16">
        <v>11.1281</v>
      </c>
      <c r="H5923" s="15"/>
      <c r="I5923" s="15"/>
    </row>
    <row r="5924">
      <c r="A5924" s="17">
        <v>45636.0</v>
      </c>
      <c r="B5924" s="16" t="s">
        <v>6732</v>
      </c>
      <c r="C5924" s="16" t="s">
        <v>1055</v>
      </c>
      <c r="D5924" s="16" t="s">
        <v>707</v>
      </c>
      <c r="E5924" s="16">
        <v>2024.0</v>
      </c>
      <c r="F5924" s="16">
        <v>48.1404</v>
      </c>
      <c r="G5924" s="16">
        <v>11.3678</v>
      </c>
      <c r="H5924" s="15"/>
      <c r="I5924" s="15"/>
    </row>
    <row r="5925">
      <c r="A5925" s="17">
        <v>45636.0</v>
      </c>
      <c r="B5925" s="16" t="s">
        <v>6733</v>
      </c>
      <c r="C5925" s="16" t="s">
        <v>1167</v>
      </c>
      <c r="D5925" s="16" t="s">
        <v>707</v>
      </c>
      <c r="E5925" s="16">
        <v>2024.0</v>
      </c>
      <c r="F5925" s="16">
        <v>48.9919</v>
      </c>
      <c r="G5925" s="16">
        <v>12.263</v>
      </c>
      <c r="H5925" s="15"/>
      <c r="I5925" s="15"/>
    </row>
    <row r="5926">
      <c r="A5926" s="17">
        <v>45636.0</v>
      </c>
      <c r="B5926" s="16" t="s">
        <v>6734</v>
      </c>
      <c r="C5926" s="16" t="s">
        <v>969</v>
      </c>
      <c r="D5926" s="16" t="s">
        <v>707</v>
      </c>
      <c r="E5926" s="16">
        <v>2024.0</v>
      </c>
      <c r="F5926" s="16">
        <v>52.5253</v>
      </c>
      <c r="G5926" s="16">
        <v>7.316</v>
      </c>
      <c r="H5926" s="15"/>
      <c r="I5926" s="15"/>
    </row>
    <row r="5927">
      <c r="A5927" s="17">
        <v>45636.0</v>
      </c>
      <c r="B5927" s="16" t="s">
        <v>6735</v>
      </c>
      <c r="C5927" s="16" t="s">
        <v>1167</v>
      </c>
      <c r="D5927" s="16" t="s">
        <v>707</v>
      </c>
      <c r="E5927" s="16">
        <v>2024.0</v>
      </c>
      <c r="F5927" s="16">
        <v>48.0391</v>
      </c>
      <c r="G5927" s="16">
        <v>10.5945</v>
      </c>
      <c r="H5927" s="15"/>
      <c r="I5927" s="15"/>
    </row>
    <row r="5928">
      <c r="A5928" s="17">
        <v>45636.0</v>
      </c>
      <c r="B5928" s="16" t="s">
        <v>6736</v>
      </c>
      <c r="C5928" s="16" t="s">
        <v>1436</v>
      </c>
      <c r="D5928" s="16" t="s">
        <v>707</v>
      </c>
      <c r="E5928" s="16">
        <v>2024.0</v>
      </c>
      <c r="F5928" s="16">
        <v>50.4194</v>
      </c>
      <c r="G5928" s="16">
        <v>7.4702</v>
      </c>
      <c r="H5928" s="15"/>
      <c r="I5928" s="15"/>
    </row>
    <row r="5929">
      <c r="A5929" s="17">
        <v>45636.0</v>
      </c>
      <c r="B5929" s="16" t="s">
        <v>6737</v>
      </c>
      <c r="C5929" s="16" t="s">
        <v>948</v>
      </c>
      <c r="D5929" s="16" t="s">
        <v>707</v>
      </c>
      <c r="E5929" s="16">
        <v>2024.0</v>
      </c>
      <c r="F5929" s="16">
        <v>48.7323</v>
      </c>
      <c r="G5929" s="16">
        <v>9.0201</v>
      </c>
      <c r="H5929" s="15"/>
      <c r="I5929" s="15"/>
    </row>
    <row r="5930">
      <c r="A5930" s="17">
        <v>45636.0</v>
      </c>
      <c r="B5930" s="16" t="s">
        <v>6738</v>
      </c>
      <c r="C5930" s="16" t="s">
        <v>959</v>
      </c>
      <c r="D5930" s="16" t="s">
        <v>707</v>
      </c>
      <c r="E5930" s="16">
        <v>2024.0</v>
      </c>
      <c r="F5930" s="16">
        <v>53.1181</v>
      </c>
      <c r="G5930" s="16">
        <v>7.9463</v>
      </c>
      <c r="H5930" s="15"/>
      <c r="I5930" s="15"/>
    </row>
    <row r="5931">
      <c r="A5931" s="17">
        <v>45636.0</v>
      </c>
      <c r="B5931" s="16" t="s">
        <v>6739</v>
      </c>
      <c r="C5931" s="16" t="s">
        <v>948</v>
      </c>
      <c r="D5931" s="16" t="s">
        <v>707</v>
      </c>
      <c r="E5931" s="16">
        <v>2024.0</v>
      </c>
      <c r="F5931" s="16">
        <v>52.7607</v>
      </c>
      <c r="G5931" s="16">
        <v>10.9567</v>
      </c>
      <c r="H5931" s="15"/>
      <c r="I5931" s="15"/>
    </row>
    <row r="5932">
      <c r="A5932" s="17">
        <v>45636.0</v>
      </c>
      <c r="B5932" s="16" t="s">
        <v>6740</v>
      </c>
      <c r="C5932" s="16">
        <v>5.0</v>
      </c>
      <c r="D5932" s="16" t="s">
        <v>707</v>
      </c>
      <c r="E5932" s="16">
        <v>2024.0</v>
      </c>
      <c r="F5932" s="16">
        <v>50.9498</v>
      </c>
      <c r="G5932" s="16">
        <v>6.1191</v>
      </c>
      <c r="H5932" s="15"/>
      <c r="I5932" s="15"/>
    </row>
    <row r="5933">
      <c r="A5933" s="17">
        <v>45636.0</v>
      </c>
      <c r="B5933" s="16" t="s">
        <v>6741</v>
      </c>
      <c r="C5933" s="16" t="s">
        <v>1055</v>
      </c>
      <c r="D5933" s="16" t="s">
        <v>707</v>
      </c>
      <c r="E5933" s="16">
        <v>2024.0</v>
      </c>
      <c r="F5933" s="16">
        <v>49.2328</v>
      </c>
      <c r="G5933" s="16">
        <v>11.9641</v>
      </c>
      <c r="H5933" s="15"/>
      <c r="I5933" s="15"/>
    </row>
    <row r="5934">
      <c r="A5934" s="17">
        <v>45636.0</v>
      </c>
      <c r="B5934" s="16" t="s">
        <v>6742</v>
      </c>
      <c r="C5934" s="16">
        <v>1.0</v>
      </c>
      <c r="D5934" s="16" t="s">
        <v>707</v>
      </c>
      <c r="E5934" s="16">
        <v>2024.0</v>
      </c>
      <c r="F5934" s="16">
        <v>48.9533</v>
      </c>
      <c r="G5934" s="16">
        <v>13.0724</v>
      </c>
      <c r="H5934" s="15"/>
      <c r="I5934" s="15"/>
    </row>
    <row r="5935">
      <c r="A5935" s="17">
        <v>45636.0</v>
      </c>
      <c r="B5935" s="16" t="s">
        <v>6743</v>
      </c>
      <c r="C5935" s="16" t="s">
        <v>942</v>
      </c>
      <c r="D5935" s="16" t="s">
        <v>707</v>
      </c>
      <c r="E5935" s="16">
        <v>2024.0</v>
      </c>
      <c r="F5935" s="16">
        <v>48.7199</v>
      </c>
      <c r="G5935" s="16">
        <v>13.5501</v>
      </c>
      <c r="H5935" s="15"/>
      <c r="I5935" s="15"/>
    </row>
    <row r="5936">
      <c r="A5936" s="17">
        <v>45636.0</v>
      </c>
      <c r="B5936" s="16" t="s">
        <v>6744</v>
      </c>
      <c r="C5936" s="16" t="s">
        <v>948</v>
      </c>
      <c r="D5936" s="16" t="s">
        <v>707</v>
      </c>
      <c r="E5936" s="16">
        <v>2024.0</v>
      </c>
      <c r="F5936" s="16">
        <v>49.1238</v>
      </c>
      <c r="G5936" s="16">
        <v>12.8883</v>
      </c>
      <c r="H5936" s="15"/>
      <c r="I5936" s="15"/>
    </row>
    <row r="5937">
      <c r="A5937" s="17">
        <v>45636.0</v>
      </c>
      <c r="B5937" s="16" t="s">
        <v>6745</v>
      </c>
      <c r="C5937" s="16" t="s">
        <v>1055</v>
      </c>
      <c r="D5937" s="16" t="s">
        <v>707</v>
      </c>
      <c r="E5937" s="16">
        <v>2024.0</v>
      </c>
      <c r="F5937" s="16">
        <v>48.7072</v>
      </c>
      <c r="G5937" s="16">
        <v>13.5531</v>
      </c>
      <c r="H5937" s="15"/>
      <c r="I5937" s="15"/>
    </row>
    <row r="5938">
      <c r="A5938" s="17">
        <v>45636.0</v>
      </c>
      <c r="B5938" s="16" t="s">
        <v>6746</v>
      </c>
      <c r="C5938" s="16" t="s">
        <v>1055</v>
      </c>
      <c r="D5938" s="16" t="s">
        <v>707</v>
      </c>
      <c r="E5938" s="16">
        <v>2024.0</v>
      </c>
      <c r="F5938" s="16">
        <v>49.2409</v>
      </c>
      <c r="G5938" s="16">
        <v>11.9805</v>
      </c>
      <c r="H5938" s="15"/>
      <c r="I5938" s="15"/>
    </row>
    <row r="5939">
      <c r="A5939" s="17">
        <v>45636.0</v>
      </c>
      <c r="B5939" s="16" t="s">
        <v>6747</v>
      </c>
      <c r="C5939" s="16" t="s">
        <v>959</v>
      </c>
      <c r="D5939" s="16" t="s">
        <v>707</v>
      </c>
      <c r="E5939" s="16">
        <v>2024.0</v>
      </c>
      <c r="F5939" s="16">
        <v>49.134</v>
      </c>
      <c r="G5939" s="16">
        <v>11.9327</v>
      </c>
      <c r="H5939" s="15"/>
      <c r="I5939" s="15"/>
    </row>
    <row r="5940">
      <c r="A5940" s="17">
        <v>45636.0</v>
      </c>
      <c r="B5940" s="16" t="s">
        <v>6748</v>
      </c>
      <c r="C5940" s="16">
        <v>2.0</v>
      </c>
      <c r="D5940" s="16" t="s">
        <v>707</v>
      </c>
      <c r="E5940" s="16">
        <v>2024.0</v>
      </c>
      <c r="F5940" s="16">
        <v>48.7609</v>
      </c>
      <c r="G5940" s="16">
        <v>13.5847</v>
      </c>
      <c r="H5940" s="15"/>
      <c r="I5940" s="15"/>
    </row>
    <row r="5941">
      <c r="A5941" s="17">
        <v>45636.0</v>
      </c>
      <c r="B5941" s="16" t="s">
        <v>6749</v>
      </c>
      <c r="C5941" s="16" t="s">
        <v>1955</v>
      </c>
      <c r="D5941" s="16" t="s">
        <v>707</v>
      </c>
      <c r="E5941" s="16">
        <v>2024.0</v>
      </c>
      <c r="F5941" s="16">
        <v>48.8011</v>
      </c>
      <c r="G5941" s="16">
        <v>12.4104</v>
      </c>
      <c r="H5941" s="15"/>
      <c r="I5941" s="15"/>
    </row>
    <row r="5942">
      <c r="A5942" s="17">
        <v>45636.0</v>
      </c>
      <c r="B5942" s="16" t="s">
        <v>6750</v>
      </c>
      <c r="C5942" s="16" t="s">
        <v>1039</v>
      </c>
      <c r="D5942" s="16" t="s">
        <v>707</v>
      </c>
      <c r="E5942" s="16">
        <v>2024.0</v>
      </c>
      <c r="F5942" s="16">
        <v>48.6461</v>
      </c>
      <c r="G5942" s="16">
        <v>13.7949</v>
      </c>
      <c r="H5942" s="15"/>
      <c r="I5942" s="15"/>
    </row>
    <row r="5943">
      <c r="A5943" s="17">
        <v>45636.0</v>
      </c>
      <c r="B5943" s="16" t="s">
        <v>6751</v>
      </c>
      <c r="C5943" s="16" t="s">
        <v>1037</v>
      </c>
      <c r="D5943" s="16" t="s">
        <v>707</v>
      </c>
      <c r="E5943" s="16">
        <v>2024.0</v>
      </c>
      <c r="F5943" s="16">
        <v>48.8106</v>
      </c>
      <c r="G5943" s="16">
        <v>12.1662</v>
      </c>
      <c r="H5943" s="15"/>
      <c r="I5943" s="15"/>
    </row>
    <row r="5944">
      <c r="A5944" s="17">
        <v>45636.0</v>
      </c>
      <c r="B5944" s="16" t="s">
        <v>6752</v>
      </c>
      <c r="C5944" s="16" t="s">
        <v>978</v>
      </c>
      <c r="D5944" s="16" t="s">
        <v>707</v>
      </c>
      <c r="E5944" s="16">
        <v>2024.0</v>
      </c>
      <c r="F5944" s="16">
        <v>48.5709</v>
      </c>
      <c r="G5944" s="16">
        <v>12.9908</v>
      </c>
      <c r="H5944" s="15"/>
      <c r="I5944" s="15"/>
    </row>
    <row r="5945">
      <c r="A5945" s="17">
        <v>45636.0</v>
      </c>
      <c r="B5945" s="16" t="s">
        <v>6753</v>
      </c>
      <c r="C5945" s="16" t="s">
        <v>1167</v>
      </c>
      <c r="D5945" s="16" t="s">
        <v>707</v>
      </c>
      <c r="E5945" s="16">
        <v>2024.0</v>
      </c>
      <c r="F5945" s="16">
        <v>48.8232</v>
      </c>
      <c r="G5945" s="16">
        <v>12.1671</v>
      </c>
      <c r="H5945" s="15"/>
      <c r="I5945" s="15"/>
    </row>
    <row r="5946">
      <c r="A5946" s="17">
        <v>45636.0</v>
      </c>
      <c r="B5946" s="16" t="s">
        <v>6754</v>
      </c>
      <c r="C5946" s="16" t="s">
        <v>984</v>
      </c>
      <c r="D5946" s="16" t="s">
        <v>707</v>
      </c>
      <c r="E5946" s="16">
        <v>2024.0</v>
      </c>
      <c r="F5946" s="16">
        <v>48.754</v>
      </c>
      <c r="G5946" s="16">
        <v>13.401</v>
      </c>
      <c r="H5946" s="15"/>
      <c r="I5946" s="15"/>
    </row>
    <row r="5947">
      <c r="A5947" s="17">
        <v>45636.0</v>
      </c>
      <c r="B5947" s="16" t="s">
        <v>6755</v>
      </c>
      <c r="C5947" s="16" t="s">
        <v>1004</v>
      </c>
      <c r="D5947" s="16" t="s">
        <v>707</v>
      </c>
      <c r="E5947" s="16">
        <v>2024.0</v>
      </c>
      <c r="F5947" s="16">
        <v>48.8838</v>
      </c>
      <c r="G5947" s="16">
        <v>13.3299</v>
      </c>
      <c r="H5947" s="15"/>
      <c r="I5947" s="15"/>
    </row>
    <row r="5948">
      <c r="A5948" s="17">
        <v>45636.0</v>
      </c>
      <c r="B5948" s="16" t="s">
        <v>6756</v>
      </c>
      <c r="C5948" s="16" t="s">
        <v>1771</v>
      </c>
      <c r="D5948" s="16" t="s">
        <v>707</v>
      </c>
      <c r="E5948" s="16">
        <v>2024.0</v>
      </c>
      <c r="F5948" s="16">
        <v>48.3027</v>
      </c>
      <c r="G5948" s="16">
        <v>12.9477</v>
      </c>
      <c r="H5948" s="15"/>
      <c r="I5948" s="15"/>
    </row>
    <row r="5949">
      <c r="A5949" s="17">
        <v>45636.0</v>
      </c>
      <c r="B5949" s="16" t="s">
        <v>6757</v>
      </c>
      <c r="C5949" s="16" t="s">
        <v>1475</v>
      </c>
      <c r="D5949" s="16" t="s">
        <v>707</v>
      </c>
      <c r="E5949" s="16">
        <v>2024.0</v>
      </c>
      <c r="F5949" s="16">
        <v>48.515</v>
      </c>
      <c r="G5949" s="16">
        <v>12.2379</v>
      </c>
      <c r="H5949" s="15"/>
      <c r="I5949" s="15"/>
    </row>
    <row r="5950">
      <c r="A5950" s="17">
        <v>45636.0</v>
      </c>
      <c r="B5950" s="16" t="s">
        <v>6758</v>
      </c>
      <c r="C5950" s="16">
        <v>1.0</v>
      </c>
      <c r="D5950" s="16" t="s">
        <v>707</v>
      </c>
      <c r="E5950" s="16">
        <v>2024.0</v>
      </c>
      <c r="F5950" s="16">
        <v>48.6738</v>
      </c>
      <c r="G5950" s="16">
        <v>13.0494</v>
      </c>
      <c r="H5950" s="15"/>
      <c r="I5950" s="15"/>
    </row>
    <row r="5951">
      <c r="A5951" s="17">
        <v>45636.0</v>
      </c>
      <c r="B5951" s="16" t="s">
        <v>6759</v>
      </c>
      <c r="C5951" s="16" t="s">
        <v>971</v>
      </c>
      <c r="D5951" s="16" t="s">
        <v>707</v>
      </c>
      <c r="E5951" s="16">
        <v>2024.0</v>
      </c>
      <c r="F5951" s="16">
        <v>48.0391</v>
      </c>
      <c r="G5951" s="16">
        <v>10.5945</v>
      </c>
      <c r="H5951" s="15"/>
      <c r="I5951" s="15"/>
    </row>
    <row r="5952">
      <c r="A5952" s="17">
        <v>45636.0</v>
      </c>
      <c r="B5952" s="16" t="s">
        <v>6760</v>
      </c>
      <c r="C5952" s="16" t="s">
        <v>1034</v>
      </c>
      <c r="D5952" s="16" t="s">
        <v>707</v>
      </c>
      <c r="E5952" s="16">
        <v>2024.0</v>
      </c>
      <c r="F5952" s="16">
        <v>49.8984</v>
      </c>
      <c r="G5952" s="16">
        <v>12.213</v>
      </c>
      <c r="H5952" s="15"/>
      <c r="I5952" s="15"/>
    </row>
    <row r="5953">
      <c r="A5953" s="17">
        <v>45636.0</v>
      </c>
      <c r="B5953" s="16" t="s">
        <v>6761</v>
      </c>
      <c r="C5953" s="16" t="s">
        <v>1037</v>
      </c>
      <c r="D5953" s="16" t="s">
        <v>707</v>
      </c>
      <c r="E5953" s="16">
        <v>2024.0</v>
      </c>
      <c r="F5953" s="16">
        <v>51.564</v>
      </c>
      <c r="G5953" s="16">
        <v>7.9299</v>
      </c>
      <c r="H5953" s="15"/>
      <c r="I5953" s="15"/>
    </row>
    <row r="5954">
      <c r="A5954" s="17">
        <v>45636.0</v>
      </c>
      <c r="B5954" s="16" t="s">
        <v>6762</v>
      </c>
      <c r="C5954" s="16" t="s">
        <v>951</v>
      </c>
      <c r="D5954" s="16" t="s">
        <v>707</v>
      </c>
      <c r="E5954" s="16">
        <v>2024.0</v>
      </c>
      <c r="F5954" s="16">
        <v>49.1571</v>
      </c>
      <c r="G5954" s="16">
        <v>12.4318</v>
      </c>
      <c r="H5954" s="15"/>
      <c r="I5954" s="15"/>
    </row>
    <row r="5955">
      <c r="A5955" s="17">
        <v>45636.0</v>
      </c>
      <c r="B5955" s="16" t="s">
        <v>6763</v>
      </c>
      <c r="C5955" s="16" t="s">
        <v>1037</v>
      </c>
      <c r="D5955" s="16" t="s">
        <v>707</v>
      </c>
      <c r="E5955" s="16">
        <v>2024.0</v>
      </c>
      <c r="F5955" s="16">
        <v>51.5354</v>
      </c>
      <c r="G5955" s="16">
        <v>14.3307</v>
      </c>
      <c r="H5955" s="15"/>
      <c r="I5955" s="15"/>
    </row>
    <row r="5956">
      <c r="A5956" s="17">
        <v>45636.0</v>
      </c>
      <c r="B5956" s="16" t="s">
        <v>6764</v>
      </c>
      <c r="C5956" s="16" t="s">
        <v>1059</v>
      </c>
      <c r="D5956" s="16" t="s">
        <v>707</v>
      </c>
      <c r="E5956" s="16">
        <v>2024.0</v>
      </c>
      <c r="F5956" s="16">
        <v>47.7705</v>
      </c>
      <c r="G5956" s="16">
        <v>11.1839</v>
      </c>
      <c r="H5956" s="15"/>
      <c r="I5956" s="15"/>
    </row>
    <row r="5957">
      <c r="A5957" s="17">
        <v>45636.0</v>
      </c>
      <c r="B5957" s="16" t="s">
        <v>6765</v>
      </c>
      <c r="C5957" s="16">
        <v>3.0</v>
      </c>
      <c r="D5957" s="16" t="s">
        <v>707</v>
      </c>
      <c r="E5957" s="16">
        <v>2024.0</v>
      </c>
      <c r="F5957" s="16">
        <v>51.5987</v>
      </c>
      <c r="G5957" s="16">
        <v>8.5274</v>
      </c>
      <c r="H5957" s="15"/>
      <c r="I5957" s="15"/>
    </row>
    <row r="5958">
      <c r="A5958" s="17">
        <v>45636.0</v>
      </c>
      <c r="B5958" s="16" t="s">
        <v>6766</v>
      </c>
      <c r="C5958" s="16" t="s">
        <v>4358</v>
      </c>
      <c r="D5958" s="16" t="s">
        <v>707</v>
      </c>
      <c r="E5958" s="16">
        <v>2024.0</v>
      </c>
      <c r="F5958" s="16">
        <v>48.0526</v>
      </c>
      <c r="G5958" s="16">
        <v>10.5072</v>
      </c>
      <c r="H5958" s="15"/>
      <c r="I5958" s="15"/>
    </row>
    <row r="5959">
      <c r="A5959" s="17">
        <v>45636.0</v>
      </c>
      <c r="B5959" s="16" t="s">
        <v>6767</v>
      </c>
      <c r="C5959" s="16">
        <v>11.0</v>
      </c>
      <c r="D5959" s="16" t="s">
        <v>707</v>
      </c>
      <c r="E5959" s="16">
        <v>2024.0</v>
      </c>
      <c r="F5959" s="16">
        <v>48.4087</v>
      </c>
      <c r="G5959" s="16">
        <v>12.8566</v>
      </c>
      <c r="H5959" s="15"/>
      <c r="I5959" s="15"/>
    </row>
    <row r="5960">
      <c r="A5960" s="17">
        <v>45636.0</v>
      </c>
      <c r="B5960" s="16" t="s">
        <v>6768</v>
      </c>
      <c r="C5960" s="16">
        <v>3.0</v>
      </c>
      <c r="D5960" s="16" t="s">
        <v>707</v>
      </c>
      <c r="E5960" s="16">
        <v>2024.0</v>
      </c>
      <c r="F5960" s="16">
        <v>54.0482</v>
      </c>
      <c r="G5960" s="16">
        <v>10.2369</v>
      </c>
      <c r="H5960" s="15"/>
      <c r="I5960" s="15"/>
    </row>
    <row r="5961">
      <c r="A5961" s="17">
        <v>45636.0</v>
      </c>
      <c r="B5961" s="16" t="s">
        <v>6769</v>
      </c>
      <c r="C5961" s="16">
        <v>2.0</v>
      </c>
      <c r="D5961" s="16" t="s">
        <v>707</v>
      </c>
      <c r="E5961" s="16">
        <v>2024.0</v>
      </c>
      <c r="F5961" s="16">
        <v>53.366</v>
      </c>
      <c r="G5961" s="16">
        <v>10.1058</v>
      </c>
      <c r="H5961" s="15"/>
      <c r="I5961" s="15"/>
    </row>
    <row r="5962">
      <c r="A5962" s="17">
        <v>45636.0</v>
      </c>
      <c r="B5962" s="16" t="s">
        <v>6770</v>
      </c>
      <c r="C5962" s="16" t="s">
        <v>1055</v>
      </c>
      <c r="D5962" s="16" t="s">
        <v>707</v>
      </c>
      <c r="E5962" s="16">
        <v>2024.0</v>
      </c>
      <c r="F5962" s="16">
        <v>48.6079</v>
      </c>
      <c r="G5962" s="16">
        <v>11.6572</v>
      </c>
      <c r="H5962" s="15"/>
      <c r="I5962" s="15"/>
    </row>
    <row r="5963">
      <c r="A5963" s="17">
        <v>45636.0</v>
      </c>
      <c r="B5963" s="16" t="s">
        <v>6771</v>
      </c>
      <c r="C5963" s="16">
        <v>7.0</v>
      </c>
      <c r="D5963" s="16" t="s">
        <v>707</v>
      </c>
      <c r="E5963" s="16">
        <v>2024.0</v>
      </c>
      <c r="F5963" s="16">
        <v>52.4411</v>
      </c>
      <c r="G5963" s="16">
        <v>10.591</v>
      </c>
      <c r="H5963" s="15"/>
      <c r="I5963" s="15"/>
    </row>
    <row r="5964">
      <c r="A5964" s="17">
        <v>45636.0</v>
      </c>
      <c r="B5964" s="16" t="s">
        <v>6772</v>
      </c>
      <c r="C5964" s="16" t="s">
        <v>946</v>
      </c>
      <c r="D5964" s="16" t="s">
        <v>707</v>
      </c>
      <c r="E5964" s="16">
        <v>2024.0</v>
      </c>
      <c r="F5964" s="16">
        <v>51.8362</v>
      </c>
      <c r="G5964" s="16">
        <v>7.3412</v>
      </c>
      <c r="H5964" s="15"/>
      <c r="I5964" s="15"/>
    </row>
    <row r="5965">
      <c r="A5965" s="17">
        <v>45636.0</v>
      </c>
      <c r="B5965" s="16" t="s">
        <v>6773</v>
      </c>
      <c r="C5965" s="16" t="s">
        <v>1399</v>
      </c>
      <c r="D5965" s="16" t="s">
        <v>707</v>
      </c>
      <c r="E5965" s="16">
        <v>2024.0</v>
      </c>
      <c r="F5965" s="16">
        <v>49.6638</v>
      </c>
      <c r="G5965" s="16">
        <v>8.0255</v>
      </c>
      <c r="H5965" s="15"/>
      <c r="I5965" s="15"/>
    </row>
    <row r="5966">
      <c r="A5966" s="17">
        <v>45636.0</v>
      </c>
      <c r="B5966" s="16" t="s">
        <v>6774</v>
      </c>
      <c r="C5966" s="16" t="s">
        <v>948</v>
      </c>
      <c r="D5966" s="16" t="s">
        <v>707</v>
      </c>
      <c r="E5966" s="16">
        <v>2024.0</v>
      </c>
      <c r="F5966" s="16">
        <v>53.8053</v>
      </c>
      <c r="G5966" s="16">
        <v>9.9542</v>
      </c>
      <c r="H5966" s="15"/>
      <c r="I5966" s="15"/>
    </row>
    <row r="5967">
      <c r="A5967" s="17">
        <v>45636.0</v>
      </c>
      <c r="B5967" s="16" t="s">
        <v>6775</v>
      </c>
      <c r="C5967" s="16" t="s">
        <v>1046</v>
      </c>
      <c r="D5967" s="16" t="s">
        <v>707</v>
      </c>
      <c r="E5967" s="16">
        <v>2024.0</v>
      </c>
      <c r="F5967" s="16">
        <v>49.7345</v>
      </c>
      <c r="G5967" s="16">
        <v>7.725</v>
      </c>
      <c r="H5967" s="15"/>
      <c r="I5967" s="15"/>
    </row>
    <row r="5968">
      <c r="A5968" s="17">
        <v>45636.0</v>
      </c>
      <c r="B5968" s="16" t="s">
        <v>6776</v>
      </c>
      <c r="C5968" s="16" t="s">
        <v>1034</v>
      </c>
      <c r="D5968" s="16" t="s">
        <v>707</v>
      </c>
      <c r="E5968" s="16">
        <v>2024.0</v>
      </c>
      <c r="F5968" s="16">
        <v>48.3804</v>
      </c>
      <c r="G5968" s="16">
        <v>12.8213</v>
      </c>
      <c r="H5968" s="15"/>
      <c r="I5968" s="15"/>
    </row>
    <row r="5969">
      <c r="A5969" s="17">
        <v>45636.0</v>
      </c>
      <c r="B5969" s="16" t="s">
        <v>6777</v>
      </c>
      <c r="C5969" s="16" t="s">
        <v>1037</v>
      </c>
      <c r="D5969" s="16" t="s">
        <v>707</v>
      </c>
      <c r="E5969" s="16">
        <v>2024.0</v>
      </c>
      <c r="F5969" s="16">
        <v>50.758</v>
      </c>
      <c r="G5969" s="16">
        <v>11.9632</v>
      </c>
      <c r="H5969" s="15"/>
      <c r="I5969" s="15"/>
    </row>
    <row r="5970">
      <c r="A5970" s="17">
        <v>45636.0</v>
      </c>
      <c r="B5970" s="16" t="s">
        <v>6778</v>
      </c>
      <c r="C5970" s="16" t="s">
        <v>1147</v>
      </c>
      <c r="D5970" s="16" t="s">
        <v>707</v>
      </c>
      <c r="E5970" s="16">
        <v>2024.0</v>
      </c>
      <c r="F5970" s="16">
        <v>49.6415</v>
      </c>
      <c r="G5970" s="16">
        <v>12.0632</v>
      </c>
      <c r="H5970" s="15"/>
      <c r="I5970" s="15"/>
    </row>
    <row r="5971">
      <c r="A5971" s="17">
        <v>45636.0</v>
      </c>
      <c r="B5971" s="16" t="s">
        <v>6779</v>
      </c>
      <c r="C5971" s="16" t="s">
        <v>1007</v>
      </c>
      <c r="D5971" s="16" t="s">
        <v>707</v>
      </c>
      <c r="E5971" s="16">
        <v>2024.0</v>
      </c>
      <c r="F5971" s="16">
        <v>48.9647</v>
      </c>
      <c r="G5971" s="16">
        <v>9.4268</v>
      </c>
      <c r="H5971" s="15"/>
      <c r="I5971" s="15"/>
    </row>
    <row r="5972">
      <c r="A5972" s="17">
        <v>45636.0</v>
      </c>
      <c r="B5972" s="16" t="s">
        <v>6780</v>
      </c>
      <c r="C5972" s="16" t="s">
        <v>942</v>
      </c>
      <c r="D5972" s="16" t="s">
        <v>707</v>
      </c>
      <c r="E5972" s="16">
        <v>2024.0</v>
      </c>
      <c r="F5972" s="16">
        <v>48.5092</v>
      </c>
      <c r="G5972" s="16">
        <v>11.5809</v>
      </c>
      <c r="H5972" s="15"/>
      <c r="I5972" s="15"/>
    </row>
    <row r="5973">
      <c r="A5973" s="17">
        <v>45636.0</v>
      </c>
      <c r="B5973" s="16" t="s">
        <v>6781</v>
      </c>
      <c r="C5973" s="16" t="s">
        <v>982</v>
      </c>
      <c r="D5973" s="16" t="s">
        <v>707</v>
      </c>
      <c r="E5973" s="16">
        <v>2024.0</v>
      </c>
      <c r="F5973" s="16">
        <v>48.1383</v>
      </c>
      <c r="G5973" s="16">
        <v>10.3431</v>
      </c>
      <c r="H5973" s="15"/>
      <c r="I5973" s="15"/>
    </row>
    <row r="5974">
      <c r="A5974" s="17">
        <v>45636.0</v>
      </c>
      <c r="B5974" s="16" t="s">
        <v>6782</v>
      </c>
      <c r="C5974" s="16" t="s">
        <v>1351</v>
      </c>
      <c r="D5974" s="16" t="s">
        <v>707</v>
      </c>
      <c r="E5974" s="16">
        <v>2024.0</v>
      </c>
      <c r="F5974" s="16">
        <v>48.558</v>
      </c>
      <c r="G5974" s="16">
        <v>10.9718</v>
      </c>
      <c r="H5974" s="15"/>
      <c r="I5974" s="15"/>
    </row>
    <row r="5975">
      <c r="A5975" s="17">
        <v>45636.0</v>
      </c>
      <c r="B5975" s="16" t="s">
        <v>6783</v>
      </c>
      <c r="C5975" s="16" t="s">
        <v>1461</v>
      </c>
      <c r="D5975" s="16" t="s">
        <v>707</v>
      </c>
      <c r="E5975" s="16">
        <v>2024.0</v>
      </c>
      <c r="F5975" s="16">
        <v>48.4593</v>
      </c>
      <c r="G5975" s="16">
        <v>11.1857</v>
      </c>
      <c r="H5975" s="15"/>
      <c r="I5975" s="15"/>
    </row>
    <row r="5976">
      <c r="A5976" s="17">
        <v>45636.0</v>
      </c>
      <c r="B5976" s="16" t="s">
        <v>6784</v>
      </c>
      <c r="C5976" s="16" t="s">
        <v>1609</v>
      </c>
      <c r="D5976" s="16" t="s">
        <v>707</v>
      </c>
      <c r="E5976" s="16">
        <v>2024.0</v>
      </c>
      <c r="F5976" s="16">
        <v>48.8841</v>
      </c>
      <c r="G5976" s="16">
        <v>8.8757</v>
      </c>
      <c r="H5976" s="15"/>
      <c r="I5976" s="15"/>
    </row>
    <row r="5977">
      <c r="A5977" s="17">
        <v>45636.0</v>
      </c>
      <c r="B5977" s="16" t="s">
        <v>6785</v>
      </c>
      <c r="C5977" s="16" t="s">
        <v>948</v>
      </c>
      <c r="D5977" s="16" t="s">
        <v>707</v>
      </c>
      <c r="E5977" s="16">
        <v>2024.0</v>
      </c>
      <c r="F5977" s="16">
        <v>49.858</v>
      </c>
      <c r="G5977" s="16">
        <v>7.8752</v>
      </c>
      <c r="H5977" s="15"/>
      <c r="I5977" s="15"/>
    </row>
    <row r="5978">
      <c r="A5978" s="17">
        <v>45636.0</v>
      </c>
      <c r="B5978" s="16" t="s">
        <v>6786</v>
      </c>
      <c r="C5978" s="16" t="s">
        <v>1055</v>
      </c>
      <c r="D5978" s="16" t="s">
        <v>707</v>
      </c>
      <c r="E5978" s="16">
        <v>2024.0</v>
      </c>
      <c r="F5978" s="16">
        <v>51.504</v>
      </c>
      <c r="G5978" s="16">
        <v>9.133</v>
      </c>
      <c r="H5978" s="15"/>
      <c r="I5978" s="15"/>
    </row>
    <row r="5979">
      <c r="A5979" s="17">
        <v>45636.0</v>
      </c>
      <c r="B5979" s="16" t="s">
        <v>6787</v>
      </c>
      <c r="C5979" s="16" t="s">
        <v>2099</v>
      </c>
      <c r="D5979" s="16" t="s">
        <v>707</v>
      </c>
      <c r="E5979" s="16">
        <v>2024.0</v>
      </c>
      <c r="F5979" s="16">
        <v>48.1295</v>
      </c>
      <c r="G5979" s="16">
        <v>8.573</v>
      </c>
      <c r="H5979" s="15"/>
      <c r="I5979" s="15"/>
    </row>
    <row r="5980">
      <c r="A5980" s="17">
        <v>45636.0</v>
      </c>
      <c r="B5980" s="16" t="s">
        <v>6788</v>
      </c>
      <c r="C5980" s="16" t="s">
        <v>1873</v>
      </c>
      <c r="D5980" s="16" t="s">
        <v>707</v>
      </c>
      <c r="E5980" s="16">
        <v>2024.0</v>
      </c>
      <c r="F5980" s="16">
        <v>48.465</v>
      </c>
      <c r="G5980" s="16">
        <v>13.315</v>
      </c>
      <c r="H5980" s="15"/>
      <c r="I5980" s="15"/>
    </row>
    <row r="5981">
      <c r="A5981" s="17">
        <v>45636.0</v>
      </c>
      <c r="B5981" s="16" t="s">
        <v>6789</v>
      </c>
      <c r="C5981" s="16">
        <v>6.0</v>
      </c>
      <c r="D5981" s="16" t="s">
        <v>707</v>
      </c>
      <c r="E5981" s="16">
        <v>2024.0</v>
      </c>
      <c r="F5981" s="16">
        <v>48.4783</v>
      </c>
      <c r="G5981" s="16">
        <v>13.3002</v>
      </c>
      <c r="H5981" s="15"/>
      <c r="I5981" s="15"/>
    </row>
    <row r="5982">
      <c r="A5982" s="17">
        <v>45636.0</v>
      </c>
      <c r="B5982" s="16" t="s">
        <v>6790</v>
      </c>
      <c r="C5982" s="16">
        <v>6.0</v>
      </c>
      <c r="D5982" s="16" t="s">
        <v>707</v>
      </c>
      <c r="E5982" s="16">
        <v>2024.0</v>
      </c>
      <c r="F5982" s="16">
        <v>48.4921</v>
      </c>
      <c r="G5982" s="16">
        <v>13.2613</v>
      </c>
      <c r="H5982" s="15"/>
      <c r="I5982" s="15"/>
    </row>
    <row r="5983">
      <c r="A5983" s="17">
        <v>45636.0</v>
      </c>
      <c r="B5983" s="16" t="s">
        <v>6791</v>
      </c>
      <c r="C5983" s="16" t="s">
        <v>1007</v>
      </c>
      <c r="D5983" s="16" t="s">
        <v>707</v>
      </c>
      <c r="E5983" s="16">
        <v>2024.0</v>
      </c>
      <c r="F5983" s="16">
        <v>50.5139</v>
      </c>
      <c r="G5983" s="16">
        <v>8.0451</v>
      </c>
      <c r="H5983" s="15"/>
      <c r="I5983" s="15"/>
    </row>
    <row r="5984">
      <c r="A5984" s="17">
        <v>45636.0</v>
      </c>
      <c r="B5984" s="16" t="s">
        <v>6792</v>
      </c>
      <c r="C5984" s="16" t="s">
        <v>5672</v>
      </c>
      <c r="D5984" s="16" t="s">
        <v>707</v>
      </c>
      <c r="E5984" s="16">
        <v>2024.0</v>
      </c>
      <c r="F5984" s="16">
        <v>48.5794</v>
      </c>
      <c r="G5984" s="16">
        <v>11.2532</v>
      </c>
      <c r="H5984" s="15"/>
      <c r="I5984" s="15"/>
    </row>
    <row r="5985">
      <c r="A5985" s="17">
        <v>45636.0</v>
      </c>
      <c r="B5985" s="16" t="s">
        <v>6793</v>
      </c>
      <c r="C5985" s="16" t="s">
        <v>1771</v>
      </c>
      <c r="D5985" s="16" t="s">
        <v>707</v>
      </c>
      <c r="E5985" s="16">
        <v>2024.0</v>
      </c>
      <c r="F5985" s="16">
        <v>48.2509</v>
      </c>
      <c r="G5985" s="16">
        <v>12.4282</v>
      </c>
      <c r="H5985" s="15"/>
      <c r="I5985" s="15"/>
    </row>
    <row r="5986">
      <c r="A5986" s="17">
        <v>45636.0</v>
      </c>
      <c r="B5986" s="16" t="s">
        <v>6794</v>
      </c>
      <c r="C5986" s="16" t="s">
        <v>951</v>
      </c>
      <c r="D5986" s="16" t="s">
        <v>707</v>
      </c>
      <c r="E5986" s="16">
        <v>2024.0</v>
      </c>
      <c r="F5986" s="16">
        <v>49.8411</v>
      </c>
      <c r="G5986" s="16">
        <v>10.9556</v>
      </c>
      <c r="H5986" s="15"/>
      <c r="I5986" s="15"/>
    </row>
    <row r="5987">
      <c r="A5987" s="17">
        <v>45636.0</v>
      </c>
      <c r="B5987" s="16" t="s">
        <v>6795</v>
      </c>
      <c r="C5987" s="16" t="s">
        <v>965</v>
      </c>
      <c r="D5987" s="16" t="s">
        <v>707</v>
      </c>
      <c r="E5987" s="16">
        <v>2024.0</v>
      </c>
      <c r="F5987" s="16">
        <v>50.7</v>
      </c>
      <c r="G5987" s="16">
        <v>8.3125</v>
      </c>
      <c r="H5987" s="15"/>
      <c r="I5987" s="15"/>
    </row>
    <row r="5988">
      <c r="A5988" s="17">
        <v>45636.0</v>
      </c>
      <c r="B5988" s="16" t="s">
        <v>6796</v>
      </c>
      <c r="C5988" s="16" t="s">
        <v>2756</v>
      </c>
      <c r="D5988" s="16" t="s">
        <v>707</v>
      </c>
      <c r="E5988" s="16">
        <v>2024.0</v>
      </c>
      <c r="F5988" s="16">
        <v>48.4368</v>
      </c>
      <c r="G5988" s="16">
        <v>12.8482</v>
      </c>
      <c r="H5988" s="15"/>
      <c r="I5988" s="15"/>
    </row>
    <row r="5989">
      <c r="A5989" s="17">
        <v>45636.0</v>
      </c>
      <c r="B5989" s="16" t="s">
        <v>6797</v>
      </c>
      <c r="C5989" s="16" t="s">
        <v>1080</v>
      </c>
      <c r="D5989" s="16" t="s">
        <v>707</v>
      </c>
      <c r="E5989" s="16">
        <v>2024.0</v>
      </c>
      <c r="F5989" s="16">
        <v>49.0857</v>
      </c>
      <c r="G5989" s="16">
        <v>10.9003</v>
      </c>
      <c r="H5989" s="15"/>
      <c r="I5989" s="15"/>
    </row>
    <row r="5990">
      <c r="A5990" s="17">
        <v>45636.0</v>
      </c>
      <c r="B5990" s="16" t="s">
        <v>6798</v>
      </c>
      <c r="C5990" s="16" t="s">
        <v>2331</v>
      </c>
      <c r="D5990" s="16" t="s">
        <v>707</v>
      </c>
      <c r="E5990" s="16">
        <v>2024.0</v>
      </c>
      <c r="F5990" s="16">
        <v>53.5102</v>
      </c>
      <c r="G5990" s="16">
        <v>13.7605</v>
      </c>
      <c r="H5990" s="15"/>
      <c r="I5990" s="15"/>
    </row>
    <row r="5991">
      <c r="A5991" s="17">
        <v>45636.0</v>
      </c>
      <c r="B5991" s="16" t="s">
        <v>6799</v>
      </c>
      <c r="C5991" s="16" t="s">
        <v>946</v>
      </c>
      <c r="D5991" s="16" t="s">
        <v>707</v>
      </c>
      <c r="E5991" s="16">
        <v>2024.0</v>
      </c>
      <c r="F5991" s="16">
        <v>48.8472</v>
      </c>
      <c r="G5991" s="16">
        <v>8.5186</v>
      </c>
      <c r="H5991" s="15"/>
      <c r="I5991" s="15"/>
    </row>
    <row r="5992">
      <c r="A5992" s="17">
        <v>45636.0</v>
      </c>
      <c r="B5992" s="16" t="s">
        <v>6800</v>
      </c>
      <c r="C5992" s="16" t="s">
        <v>6641</v>
      </c>
      <c r="D5992" s="16" t="s">
        <v>707</v>
      </c>
      <c r="E5992" s="16">
        <v>2024.0</v>
      </c>
      <c r="F5992" s="16">
        <v>48.3741</v>
      </c>
      <c r="G5992" s="16">
        <v>9.4807</v>
      </c>
      <c r="H5992" s="15"/>
      <c r="I5992" s="15"/>
    </row>
    <row r="5993">
      <c r="A5993" s="17">
        <v>45636.0</v>
      </c>
      <c r="B5993" s="16" t="s">
        <v>6801</v>
      </c>
      <c r="C5993" s="16">
        <v>2.0</v>
      </c>
      <c r="D5993" s="16" t="s">
        <v>707</v>
      </c>
      <c r="E5993" s="16">
        <v>2024.0</v>
      </c>
      <c r="F5993" s="16">
        <v>49.6805</v>
      </c>
      <c r="G5993" s="16">
        <v>12.0864</v>
      </c>
      <c r="H5993" s="15"/>
      <c r="I5993" s="15"/>
    </row>
    <row r="5994">
      <c r="A5994" s="17">
        <v>45636.0</v>
      </c>
      <c r="B5994" s="16" t="s">
        <v>6802</v>
      </c>
      <c r="C5994" s="16" t="s">
        <v>3505</v>
      </c>
      <c r="D5994" s="16" t="s">
        <v>707</v>
      </c>
      <c r="E5994" s="16">
        <v>2024.0</v>
      </c>
      <c r="F5994" s="16">
        <v>48.4302</v>
      </c>
      <c r="G5994" s="16">
        <v>12.8439</v>
      </c>
      <c r="H5994" s="15"/>
      <c r="I5994" s="15"/>
    </row>
    <row r="5995">
      <c r="A5995" s="17">
        <v>45636.0</v>
      </c>
      <c r="B5995" s="16" t="s">
        <v>6803</v>
      </c>
      <c r="C5995" s="16" t="s">
        <v>948</v>
      </c>
      <c r="D5995" s="16" t="s">
        <v>707</v>
      </c>
      <c r="E5995" s="16">
        <v>2024.0</v>
      </c>
      <c r="F5995" s="16">
        <v>48.1313</v>
      </c>
      <c r="G5995" s="16">
        <v>8.5722</v>
      </c>
      <c r="H5995" s="15"/>
      <c r="I5995" s="15"/>
    </row>
    <row r="5996">
      <c r="A5996" s="17">
        <v>45636.0</v>
      </c>
      <c r="B5996" s="16" t="s">
        <v>6804</v>
      </c>
      <c r="C5996" s="16" t="s">
        <v>1432</v>
      </c>
      <c r="D5996" s="16" t="s">
        <v>707</v>
      </c>
      <c r="E5996" s="16">
        <v>2024.0</v>
      </c>
      <c r="F5996" s="16">
        <v>48.1313</v>
      </c>
      <c r="G5996" s="16">
        <v>8.5722</v>
      </c>
      <c r="H5996" s="15"/>
      <c r="I5996" s="15"/>
    </row>
    <row r="5997">
      <c r="A5997" s="17">
        <v>45636.0</v>
      </c>
      <c r="B5997" s="16" t="s">
        <v>6805</v>
      </c>
      <c r="C5997" s="16" t="s">
        <v>942</v>
      </c>
      <c r="D5997" s="16" t="s">
        <v>707</v>
      </c>
      <c r="E5997" s="16">
        <v>2024.0</v>
      </c>
      <c r="F5997" s="16">
        <v>49.0963</v>
      </c>
      <c r="G5997" s="16">
        <v>9.6716</v>
      </c>
      <c r="H5997" s="15"/>
      <c r="I5997" s="15"/>
    </row>
    <row r="5998">
      <c r="A5998" s="17">
        <v>45636.0</v>
      </c>
      <c r="B5998" s="16" t="s">
        <v>6806</v>
      </c>
      <c r="C5998" s="16">
        <v>1.0</v>
      </c>
      <c r="D5998" s="16" t="s">
        <v>707</v>
      </c>
      <c r="E5998" s="16">
        <v>2024.0</v>
      </c>
      <c r="F5998" s="16">
        <v>48.394</v>
      </c>
      <c r="G5998" s="16">
        <v>13.3307</v>
      </c>
      <c r="H5998" s="15"/>
      <c r="I5998" s="15"/>
    </row>
    <row r="5999">
      <c r="A5999" s="17">
        <v>45636.0</v>
      </c>
      <c r="B5999" s="16" t="s">
        <v>6807</v>
      </c>
      <c r="C5999" s="16" t="s">
        <v>948</v>
      </c>
      <c r="D5999" s="16" t="s">
        <v>707</v>
      </c>
      <c r="E5999" s="16">
        <v>2024.0</v>
      </c>
      <c r="F5999" s="16">
        <v>51.55</v>
      </c>
      <c r="G5999" s="16">
        <v>13.3612</v>
      </c>
      <c r="H5999" s="15"/>
      <c r="I5999" s="15"/>
    </row>
    <row r="6000">
      <c r="A6000" s="17">
        <v>45636.0</v>
      </c>
      <c r="B6000" s="16" t="s">
        <v>6808</v>
      </c>
      <c r="C6000" s="16" t="s">
        <v>1436</v>
      </c>
      <c r="D6000" s="16" t="s">
        <v>707</v>
      </c>
      <c r="E6000" s="16">
        <v>2024.0</v>
      </c>
      <c r="F6000" s="16">
        <v>52.6536</v>
      </c>
      <c r="G6000" s="16">
        <v>9.125</v>
      </c>
      <c r="H6000" s="15"/>
      <c r="I6000" s="15"/>
    </row>
    <row r="6001">
      <c r="A6001" s="17">
        <v>45636.0</v>
      </c>
      <c r="B6001" s="16" t="s">
        <v>6809</v>
      </c>
      <c r="C6001" s="16" t="s">
        <v>969</v>
      </c>
      <c r="D6001" s="16" t="s">
        <v>707</v>
      </c>
      <c r="E6001" s="16">
        <v>2024.0</v>
      </c>
      <c r="F6001" s="16">
        <v>49.6702</v>
      </c>
      <c r="G6001" s="16">
        <v>8.5912</v>
      </c>
      <c r="H6001" s="15"/>
      <c r="I6001" s="15"/>
    </row>
    <row r="6002">
      <c r="A6002" s="17">
        <v>45636.0</v>
      </c>
      <c r="B6002" s="16" t="s">
        <v>6810</v>
      </c>
      <c r="C6002" s="16">
        <v>1.0</v>
      </c>
      <c r="D6002" s="16" t="s">
        <v>707</v>
      </c>
      <c r="E6002" s="16">
        <v>2024.0</v>
      </c>
      <c r="F6002" s="16">
        <v>51.4701</v>
      </c>
      <c r="G6002" s="16">
        <v>7.9256</v>
      </c>
      <c r="H6002" s="15"/>
      <c r="I6002" s="15"/>
    </row>
    <row r="6003">
      <c r="A6003" s="17">
        <v>45636.0</v>
      </c>
      <c r="B6003" s="16" t="s">
        <v>6811</v>
      </c>
      <c r="C6003" s="16" t="s">
        <v>946</v>
      </c>
      <c r="D6003" s="16" t="s">
        <v>707</v>
      </c>
      <c r="E6003" s="16">
        <v>2024.0</v>
      </c>
      <c r="F6003" s="16">
        <v>52.5012</v>
      </c>
      <c r="G6003" s="16">
        <v>13.2742</v>
      </c>
      <c r="H6003" s="15"/>
      <c r="I6003" s="15"/>
    </row>
    <row r="6004">
      <c r="A6004" s="17">
        <v>45636.0</v>
      </c>
      <c r="B6004" s="16" t="s">
        <v>6812</v>
      </c>
      <c r="C6004" s="16" t="s">
        <v>978</v>
      </c>
      <c r="D6004" s="16" t="s">
        <v>707</v>
      </c>
      <c r="E6004" s="16">
        <v>2024.0</v>
      </c>
      <c r="F6004" s="16">
        <v>52.3319</v>
      </c>
      <c r="G6004" s="16">
        <v>7.2471</v>
      </c>
      <c r="H6004" s="15"/>
      <c r="I6004" s="15"/>
    </row>
    <row r="6005">
      <c r="A6005" s="17">
        <v>45636.0</v>
      </c>
      <c r="B6005" s="16" t="s">
        <v>6813</v>
      </c>
      <c r="C6005" s="16" t="s">
        <v>948</v>
      </c>
      <c r="D6005" s="16" t="s">
        <v>707</v>
      </c>
      <c r="E6005" s="16">
        <v>2024.0</v>
      </c>
      <c r="F6005" s="16">
        <v>49.0407</v>
      </c>
      <c r="G6005" s="16">
        <v>10.9699</v>
      </c>
      <c r="H6005" s="15"/>
      <c r="I6005" s="15"/>
    </row>
    <row r="6006">
      <c r="A6006" s="17">
        <v>45636.0</v>
      </c>
      <c r="B6006" s="16" t="s">
        <v>6814</v>
      </c>
      <c r="C6006" s="16" t="s">
        <v>1167</v>
      </c>
      <c r="D6006" s="16" t="s">
        <v>707</v>
      </c>
      <c r="E6006" s="16">
        <v>2024.0</v>
      </c>
      <c r="F6006" s="16">
        <v>52.3119</v>
      </c>
      <c r="G6006" s="16">
        <v>10.0971</v>
      </c>
      <c r="H6006" s="15"/>
      <c r="I6006" s="15"/>
    </row>
    <row r="6007">
      <c r="A6007" s="17">
        <v>45636.0</v>
      </c>
      <c r="B6007" s="16" t="s">
        <v>6815</v>
      </c>
      <c r="C6007" s="16" t="s">
        <v>1055</v>
      </c>
      <c r="D6007" s="16" t="s">
        <v>707</v>
      </c>
      <c r="E6007" s="16">
        <v>2024.0</v>
      </c>
      <c r="F6007" s="16">
        <v>48.1802</v>
      </c>
      <c r="G6007" s="16">
        <v>12.8442</v>
      </c>
      <c r="H6007" s="15"/>
      <c r="I6007" s="15"/>
    </row>
    <row r="6008">
      <c r="A6008" s="17">
        <v>45636.0</v>
      </c>
      <c r="B6008" s="16" t="s">
        <v>6816</v>
      </c>
      <c r="C6008" s="16" t="s">
        <v>1007</v>
      </c>
      <c r="D6008" s="16" t="s">
        <v>707</v>
      </c>
      <c r="E6008" s="16">
        <v>2024.0</v>
      </c>
      <c r="F6008" s="16">
        <v>53.5183</v>
      </c>
      <c r="G6008" s="16">
        <v>13.9515</v>
      </c>
      <c r="H6008" s="15"/>
      <c r="I6008" s="15"/>
    </row>
    <row r="6009">
      <c r="A6009" s="17">
        <v>45636.0</v>
      </c>
      <c r="B6009" s="16" t="s">
        <v>6817</v>
      </c>
      <c r="C6009" s="16" t="s">
        <v>6818</v>
      </c>
      <c r="D6009" s="16" t="s">
        <v>707</v>
      </c>
      <c r="E6009" s="16">
        <v>2024.0</v>
      </c>
      <c r="F6009" s="16">
        <v>50.2258</v>
      </c>
      <c r="G6009" s="16">
        <v>11.3852</v>
      </c>
      <c r="H6009" s="15"/>
      <c r="I6009" s="15"/>
    </row>
    <row r="6010">
      <c r="A6010" s="17">
        <v>45636.0</v>
      </c>
      <c r="B6010" s="16" t="s">
        <v>6819</v>
      </c>
      <c r="C6010" s="16" t="s">
        <v>1101</v>
      </c>
      <c r="D6010" s="16" t="s">
        <v>707</v>
      </c>
      <c r="E6010" s="16">
        <v>2024.0</v>
      </c>
      <c r="F6010" s="16">
        <v>50.2969</v>
      </c>
      <c r="G6010" s="16">
        <v>10.1884</v>
      </c>
      <c r="H6010" s="15"/>
      <c r="I6010" s="15"/>
    </row>
    <row r="6011">
      <c r="A6011" s="17">
        <v>45636.0</v>
      </c>
      <c r="B6011" s="16" t="s">
        <v>6820</v>
      </c>
      <c r="C6011" s="16" t="s">
        <v>942</v>
      </c>
      <c r="D6011" s="16" t="s">
        <v>707</v>
      </c>
      <c r="E6011" s="16">
        <v>2024.0</v>
      </c>
      <c r="F6011" s="16">
        <v>49.0474</v>
      </c>
      <c r="G6011" s="16">
        <v>8.2949</v>
      </c>
      <c r="H6011" s="15"/>
      <c r="I6011" s="15"/>
    </row>
    <row r="6012">
      <c r="A6012" s="17">
        <v>45636.0</v>
      </c>
      <c r="B6012" s="16" t="s">
        <v>6821</v>
      </c>
      <c r="C6012" s="16" t="s">
        <v>1059</v>
      </c>
      <c r="D6012" s="16" t="s">
        <v>707</v>
      </c>
      <c r="E6012" s="16">
        <v>2024.0</v>
      </c>
      <c r="F6012" s="16">
        <v>49.1677</v>
      </c>
      <c r="G6012" s="16">
        <v>9.2236</v>
      </c>
      <c r="H6012" s="15"/>
      <c r="I6012" s="15"/>
    </row>
    <row r="6013">
      <c r="A6013" s="17">
        <v>45636.0</v>
      </c>
      <c r="B6013" s="16" t="s">
        <v>6822</v>
      </c>
      <c r="C6013" s="16" t="s">
        <v>969</v>
      </c>
      <c r="D6013" s="16" t="s">
        <v>707</v>
      </c>
      <c r="E6013" s="16">
        <v>2024.0</v>
      </c>
      <c r="F6013" s="16">
        <v>50.0454</v>
      </c>
      <c r="G6013" s="16">
        <v>8.9915</v>
      </c>
      <c r="H6013" s="15"/>
      <c r="I6013" s="15"/>
    </row>
    <row r="6014">
      <c r="A6014" s="17">
        <v>45636.0</v>
      </c>
      <c r="B6014" s="16" t="s">
        <v>6823</v>
      </c>
      <c r="C6014" s="16" t="s">
        <v>978</v>
      </c>
      <c r="D6014" s="16" t="s">
        <v>707</v>
      </c>
      <c r="E6014" s="16">
        <v>2024.0</v>
      </c>
      <c r="F6014" s="16">
        <v>49.6908</v>
      </c>
      <c r="G6014" s="16">
        <v>11.9752</v>
      </c>
      <c r="H6014" s="15"/>
      <c r="I6014" s="15"/>
    </row>
    <row r="6015">
      <c r="A6015" s="17">
        <v>45636.0</v>
      </c>
      <c r="B6015" s="16" t="s">
        <v>6824</v>
      </c>
      <c r="C6015" s="16" t="s">
        <v>959</v>
      </c>
      <c r="D6015" s="16" t="s">
        <v>707</v>
      </c>
      <c r="E6015" s="16">
        <v>2024.0</v>
      </c>
      <c r="F6015" s="16">
        <v>51.8306</v>
      </c>
      <c r="G6015" s="16">
        <v>8.1352</v>
      </c>
      <c r="H6015" s="15"/>
      <c r="I6015" s="15"/>
    </row>
    <row r="6016">
      <c r="A6016" s="17">
        <v>45636.0</v>
      </c>
      <c r="B6016" s="16" t="s">
        <v>6825</v>
      </c>
      <c r="C6016" s="16" t="s">
        <v>1055</v>
      </c>
      <c r="D6016" s="16" t="s">
        <v>707</v>
      </c>
      <c r="E6016" s="16">
        <v>2024.0</v>
      </c>
      <c r="F6016" s="16">
        <v>48.3556</v>
      </c>
      <c r="G6016" s="16">
        <v>11.7566</v>
      </c>
      <c r="H6016" s="15"/>
      <c r="I6016" s="15"/>
    </row>
    <row r="6017">
      <c r="A6017" s="17">
        <v>45636.0</v>
      </c>
      <c r="B6017" s="16" t="s">
        <v>6826</v>
      </c>
      <c r="C6017" s="16" t="s">
        <v>1059</v>
      </c>
      <c r="D6017" s="16" t="s">
        <v>707</v>
      </c>
      <c r="E6017" s="16">
        <v>2024.0</v>
      </c>
      <c r="F6017" s="16">
        <v>48.3554</v>
      </c>
      <c r="G6017" s="16">
        <v>11.7532</v>
      </c>
      <c r="H6017" s="15"/>
      <c r="I6017" s="15"/>
    </row>
    <row r="6018">
      <c r="A6018" s="17">
        <v>45636.0</v>
      </c>
      <c r="B6018" s="16" t="s">
        <v>6827</v>
      </c>
      <c r="C6018" s="16" t="s">
        <v>1059</v>
      </c>
      <c r="D6018" s="16" t="s">
        <v>707</v>
      </c>
      <c r="E6018" s="16">
        <v>2024.0</v>
      </c>
      <c r="F6018" s="16">
        <v>49.6695</v>
      </c>
      <c r="G6018" s="16">
        <v>8.5777</v>
      </c>
      <c r="H6018" s="15"/>
      <c r="I6018" s="15"/>
    </row>
    <row r="6019">
      <c r="A6019" s="17">
        <v>45636.0</v>
      </c>
      <c r="B6019" s="16" t="s">
        <v>6828</v>
      </c>
      <c r="C6019" s="16" t="s">
        <v>1034</v>
      </c>
      <c r="D6019" s="16" t="s">
        <v>707</v>
      </c>
      <c r="E6019" s="16">
        <v>2024.0</v>
      </c>
      <c r="F6019" s="16">
        <v>53.0112</v>
      </c>
      <c r="G6019" s="16">
        <v>13.179</v>
      </c>
      <c r="H6019" s="15"/>
      <c r="I6019" s="15"/>
    </row>
    <row r="6020">
      <c r="A6020" s="17">
        <v>45636.0</v>
      </c>
      <c r="B6020" s="16" t="s">
        <v>6829</v>
      </c>
      <c r="C6020" s="16" t="s">
        <v>2580</v>
      </c>
      <c r="D6020" s="16" t="s">
        <v>707</v>
      </c>
      <c r="E6020" s="16">
        <v>2024.0</v>
      </c>
      <c r="F6020" s="16">
        <v>50.2953</v>
      </c>
      <c r="G6020" s="16">
        <v>11.3447</v>
      </c>
      <c r="H6020" s="15"/>
      <c r="I6020" s="15"/>
    </row>
    <row r="6021">
      <c r="A6021" s="17">
        <v>45636.0</v>
      </c>
      <c r="B6021" s="16" t="s">
        <v>6830</v>
      </c>
      <c r="C6021" s="16" t="s">
        <v>946</v>
      </c>
      <c r="D6021" s="16" t="s">
        <v>707</v>
      </c>
      <c r="E6021" s="16">
        <v>2024.0</v>
      </c>
      <c r="F6021" s="16">
        <v>48.0202</v>
      </c>
      <c r="G6021" s="16">
        <v>12.5503</v>
      </c>
      <c r="H6021" s="15"/>
      <c r="I6021" s="15"/>
    </row>
    <row r="6022">
      <c r="A6022" s="17">
        <v>45636.0</v>
      </c>
      <c r="B6022" s="16" t="s">
        <v>6831</v>
      </c>
      <c r="C6022" s="16" t="s">
        <v>1037</v>
      </c>
      <c r="D6022" s="16" t="s">
        <v>707</v>
      </c>
      <c r="E6022" s="16">
        <v>2024.0</v>
      </c>
      <c r="F6022" s="16">
        <v>48.444</v>
      </c>
      <c r="G6022" s="16">
        <v>10.2126</v>
      </c>
      <c r="H6022" s="15"/>
      <c r="I6022" s="15"/>
    </row>
    <row r="6023">
      <c r="A6023" s="17">
        <v>45636.0</v>
      </c>
      <c r="B6023" s="16" t="s">
        <v>6832</v>
      </c>
      <c r="C6023" s="16" t="s">
        <v>1059</v>
      </c>
      <c r="D6023" s="16" t="s">
        <v>707</v>
      </c>
      <c r="E6023" s="16">
        <v>2024.0</v>
      </c>
      <c r="F6023" s="16">
        <v>51.6979</v>
      </c>
      <c r="G6023" s="16">
        <v>7.7789</v>
      </c>
      <c r="H6023" s="15"/>
      <c r="I6023" s="15"/>
    </row>
    <row r="6024">
      <c r="A6024" s="17">
        <v>45636.0</v>
      </c>
      <c r="B6024" s="16" t="s">
        <v>6833</v>
      </c>
      <c r="C6024" s="16" t="s">
        <v>1055</v>
      </c>
      <c r="D6024" s="16" t="s">
        <v>707</v>
      </c>
      <c r="E6024" s="16">
        <v>2024.0</v>
      </c>
      <c r="F6024" s="16">
        <v>53.5624</v>
      </c>
      <c r="G6024" s="16">
        <v>11.4234</v>
      </c>
      <c r="H6024" s="15"/>
      <c r="I6024" s="15"/>
    </row>
    <row r="6025">
      <c r="A6025" s="17">
        <v>45636.0</v>
      </c>
      <c r="B6025" s="16" t="s">
        <v>6834</v>
      </c>
      <c r="C6025" s="16" t="s">
        <v>969</v>
      </c>
      <c r="D6025" s="16" t="s">
        <v>707</v>
      </c>
      <c r="E6025" s="16">
        <v>2024.0</v>
      </c>
      <c r="F6025" s="16">
        <v>51.2831</v>
      </c>
      <c r="G6025" s="16">
        <v>9.5099</v>
      </c>
      <c r="H6025" s="15"/>
      <c r="I6025" s="15"/>
    </row>
    <row r="6026">
      <c r="A6026" s="17">
        <v>45636.0</v>
      </c>
      <c r="B6026" s="16" t="s">
        <v>6835</v>
      </c>
      <c r="C6026" s="16" t="s">
        <v>951</v>
      </c>
      <c r="D6026" s="16" t="s">
        <v>707</v>
      </c>
      <c r="E6026" s="16">
        <v>2024.0</v>
      </c>
      <c r="F6026" s="16">
        <v>48.1707</v>
      </c>
      <c r="G6026" s="16">
        <v>10.4623</v>
      </c>
      <c r="H6026" s="15"/>
      <c r="I6026" s="15"/>
    </row>
    <row r="6027">
      <c r="A6027" s="17">
        <v>45636.0</v>
      </c>
      <c r="B6027" s="16" t="s">
        <v>6836</v>
      </c>
      <c r="C6027" s="16" t="s">
        <v>961</v>
      </c>
      <c r="D6027" s="16" t="s">
        <v>707</v>
      </c>
      <c r="E6027" s="16">
        <v>2024.0</v>
      </c>
      <c r="F6027" s="16">
        <v>51.0322</v>
      </c>
      <c r="G6027" s="16">
        <v>6.6043</v>
      </c>
      <c r="H6027" s="15"/>
      <c r="I6027" s="15"/>
    </row>
    <row r="6028">
      <c r="A6028" s="17">
        <v>45636.0</v>
      </c>
      <c r="B6028" s="16" t="s">
        <v>6837</v>
      </c>
      <c r="C6028" s="16" t="s">
        <v>6647</v>
      </c>
      <c r="D6028" s="16" t="s">
        <v>707</v>
      </c>
      <c r="E6028" s="16">
        <v>2024.0</v>
      </c>
      <c r="F6028" s="16">
        <v>50.0515</v>
      </c>
      <c r="G6028" s="16">
        <v>12.0298</v>
      </c>
      <c r="H6028" s="15"/>
      <c r="I6028" s="15"/>
    </row>
    <row r="6029">
      <c r="A6029" s="17">
        <v>45636.0</v>
      </c>
      <c r="B6029" s="16" t="s">
        <v>6838</v>
      </c>
      <c r="C6029" s="16" t="s">
        <v>961</v>
      </c>
      <c r="D6029" s="16" t="s">
        <v>707</v>
      </c>
      <c r="E6029" s="16">
        <v>2024.0</v>
      </c>
      <c r="F6029" s="16">
        <v>51.4175</v>
      </c>
      <c r="G6029" s="16">
        <v>7.6875</v>
      </c>
      <c r="H6029" s="15"/>
      <c r="I6029" s="15"/>
    </row>
    <row r="6030">
      <c r="A6030" s="17">
        <v>45636.0</v>
      </c>
      <c r="B6030" s="16" t="s">
        <v>6839</v>
      </c>
      <c r="C6030" s="16" t="s">
        <v>971</v>
      </c>
      <c r="D6030" s="16" t="s">
        <v>707</v>
      </c>
      <c r="E6030" s="16">
        <v>2024.0</v>
      </c>
      <c r="F6030" s="16">
        <v>48.8977</v>
      </c>
      <c r="G6030" s="16">
        <v>12.7161</v>
      </c>
      <c r="H6030" s="15"/>
      <c r="I6030" s="15"/>
    </row>
    <row r="6031">
      <c r="A6031" s="17">
        <v>45636.0</v>
      </c>
      <c r="B6031" s="16" t="s">
        <v>6840</v>
      </c>
      <c r="C6031" s="16" t="s">
        <v>1059</v>
      </c>
      <c r="D6031" s="16" t="s">
        <v>707</v>
      </c>
      <c r="E6031" s="16">
        <v>2024.0</v>
      </c>
      <c r="F6031" s="16">
        <v>51.9242</v>
      </c>
      <c r="G6031" s="16">
        <v>8.4264</v>
      </c>
      <c r="H6031" s="15"/>
      <c r="I6031" s="15"/>
    </row>
    <row r="6032">
      <c r="A6032" s="17">
        <v>45636.0</v>
      </c>
      <c r="B6032" s="16" t="s">
        <v>6841</v>
      </c>
      <c r="C6032" s="16" t="s">
        <v>951</v>
      </c>
      <c r="D6032" s="16" t="s">
        <v>707</v>
      </c>
      <c r="E6032" s="16">
        <v>2024.0</v>
      </c>
      <c r="F6032" s="16">
        <v>51.0447</v>
      </c>
      <c r="G6032" s="16">
        <v>7.5333</v>
      </c>
      <c r="H6032" s="15"/>
      <c r="I6032" s="15"/>
    </row>
    <row r="6033">
      <c r="A6033" s="17">
        <v>45636.0</v>
      </c>
      <c r="B6033" s="16" t="s">
        <v>6842</v>
      </c>
      <c r="C6033" s="16" t="s">
        <v>946</v>
      </c>
      <c r="D6033" s="16" t="s">
        <v>707</v>
      </c>
      <c r="E6033" s="16">
        <v>2024.0</v>
      </c>
      <c r="F6033" s="16">
        <v>52.3079</v>
      </c>
      <c r="G6033" s="16">
        <v>8.4546</v>
      </c>
      <c r="H6033" s="15"/>
      <c r="I6033" s="15"/>
    </row>
    <row r="6034">
      <c r="A6034" s="17">
        <v>45636.0</v>
      </c>
      <c r="B6034" s="16" t="s">
        <v>6843</v>
      </c>
      <c r="C6034" s="16" t="s">
        <v>946</v>
      </c>
      <c r="D6034" s="16" t="s">
        <v>707</v>
      </c>
      <c r="E6034" s="16">
        <v>2024.0</v>
      </c>
      <c r="F6034" s="16">
        <v>48.7951</v>
      </c>
      <c r="G6034" s="16">
        <v>13.0173</v>
      </c>
      <c r="H6034" s="15"/>
      <c r="I6034" s="15"/>
    </row>
    <row r="6035">
      <c r="A6035" s="17">
        <v>45636.0</v>
      </c>
      <c r="B6035" s="16" t="s">
        <v>6844</v>
      </c>
      <c r="C6035" s="16" t="s">
        <v>1037</v>
      </c>
      <c r="D6035" s="16" t="s">
        <v>707</v>
      </c>
      <c r="E6035" s="16">
        <v>2024.0</v>
      </c>
      <c r="F6035" s="16">
        <v>52.322</v>
      </c>
      <c r="G6035" s="16">
        <v>7.4543</v>
      </c>
      <c r="H6035" s="15"/>
      <c r="I6035" s="15"/>
    </row>
    <row r="6036">
      <c r="A6036" s="17">
        <v>45636.0</v>
      </c>
      <c r="B6036" s="16" t="s">
        <v>6845</v>
      </c>
      <c r="C6036" s="16" t="s">
        <v>942</v>
      </c>
      <c r="D6036" s="16" t="s">
        <v>707</v>
      </c>
      <c r="E6036" s="16">
        <v>2024.0</v>
      </c>
      <c r="F6036" s="16">
        <v>50.7396</v>
      </c>
      <c r="G6036" s="16">
        <v>11.7675</v>
      </c>
      <c r="H6036" s="15"/>
      <c r="I6036" s="15"/>
    </row>
    <row r="6037">
      <c r="A6037" s="17">
        <v>45636.0</v>
      </c>
      <c r="B6037" s="16" t="s">
        <v>6846</v>
      </c>
      <c r="C6037" s="16" t="s">
        <v>969</v>
      </c>
      <c r="D6037" s="16" t="s">
        <v>707</v>
      </c>
      <c r="E6037" s="16">
        <v>2024.0</v>
      </c>
      <c r="F6037" s="16">
        <v>47.9667</v>
      </c>
      <c r="G6037" s="16">
        <v>9.3074</v>
      </c>
      <c r="H6037" s="15"/>
      <c r="I6037" s="15"/>
    </row>
    <row r="6038">
      <c r="A6038" s="17">
        <v>45636.0</v>
      </c>
      <c r="B6038" s="16" t="s">
        <v>6847</v>
      </c>
      <c r="C6038" s="16" t="s">
        <v>961</v>
      </c>
      <c r="D6038" s="16" t="s">
        <v>707</v>
      </c>
      <c r="E6038" s="16">
        <v>2024.0</v>
      </c>
      <c r="F6038" s="16">
        <v>53.9706</v>
      </c>
      <c r="G6038" s="16">
        <v>11.1574</v>
      </c>
      <c r="H6038" s="15"/>
      <c r="I6038" s="15"/>
    </row>
    <row r="6039">
      <c r="A6039" s="17">
        <v>45636.0</v>
      </c>
      <c r="B6039" s="16" t="s">
        <v>6848</v>
      </c>
      <c r="C6039" s="16">
        <v>1.0</v>
      </c>
      <c r="D6039" s="16" t="s">
        <v>707</v>
      </c>
      <c r="E6039" s="16">
        <v>2024.0</v>
      </c>
      <c r="F6039" s="16">
        <v>51.99</v>
      </c>
      <c r="G6039" s="16">
        <v>8.8062</v>
      </c>
      <c r="H6039" s="15"/>
      <c r="I6039" s="15"/>
    </row>
    <row r="6040">
      <c r="A6040" s="17">
        <v>45636.0</v>
      </c>
      <c r="B6040" s="16" t="s">
        <v>6849</v>
      </c>
      <c r="C6040" s="16" t="s">
        <v>1099</v>
      </c>
      <c r="D6040" s="16" t="s">
        <v>707</v>
      </c>
      <c r="E6040" s="16">
        <v>2024.0</v>
      </c>
      <c r="F6040" s="16">
        <v>49.7925</v>
      </c>
      <c r="G6040" s="16">
        <v>8.3617</v>
      </c>
      <c r="H6040" s="15"/>
      <c r="I6040" s="15"/>
    </row>
    <row r="6041">
      <c r="A6041" s="17">
        <v>45636.0</v>
      </c>
      <c r="B6041" s="16" t="s">
        <v>6850</v>
      </c>
      <c r="C6041" s="16" t="s">
        <v>4533</v>
      </c>
      <c r="D6041" s="16" t="s">
        <v>707</v>
      </c>
      <c r="E6041" s="16">
        <v>2024.0</v>
      </c>
      <c r="F6041" s="16">
        <v>51.5739</v>
      </c>
      <c r="G6041" s="16">
        <v>8.0622</v>
      </c>
      <c r="H6041" s="15"/>
      <c r="I6041" s="15"/>
    </row>
    <row r="6042">
      <c r="A6042" s="17">
        <v>45636.0</v>
      </c>
      <c r="B6042" s="16" t="s">
        <v>6851</v>
      </c>
      <c r="C6042" s="16" t="s">
        <v>1034</v>
      </c>
      <c r="D6042" s="16" t="s">
        <v>707</v>
      </c>
      <c r="E6042" s="16">
        <v>2024.0</v>
      </c>
      <c r="F6042" s="16">
        <v>48.6667</v>
      </c>
      <c r="G6042" s="16">
        <v>10.8061</v>
      </c>
      <c r="H6042" s="15"/>
      <c r="I6042" s="15"/>
    </row>
    <row r="6043">
      <c r="A6043" s="17">
        <v>45636.0</v>
      </c>
      <c r="B6043" s="16" t="s">
        <v>6852</v>
      </c>
      <c r="C6043" s="16" t="s">
        <v>1099</v>
      </c>
      <c r="D6043" s="16" t="s">
        <v>707</v>
      </c>
      <c r="E6043" s="16">
        <v>2024.0</v>
      </c>
      <c r="F6043" s="16">
        <v>48.6684</v>
      </c>
      <c r="G6043" s="16">
        <v>10.8174</v>
      </c>
      <c r="H6043" s="15"/>
      <c r="I6043" s="15"/>
    </row>
    <row r="6044">
      <c r="A6044" s="17">
        <v>45636.0</v>
      </c>
      <c r="B6044" s="16" t="s">
        <v>6853</v>
      </c>
      <c r="C6044" s="16" t="s">
        <v>961</v>
      </c>
      <c r="D6044" s="16" t="s">
        <v>707</v>
      </c>
      <c r="E6044" s="16">
        <v>2024.0</v>
      </c>
      <c r="F6044" s="16">
        <v>50.9114</v>
      </c>
      <c r="G6044" s="16">
        <v>10.4241</v>
      </c>
      <c r="H6044" s="15"/>
      <c r="I6044" s="15"/>
    </row>
    <row r="6045">
      <c r="A6045" s="17">
        <v>45636.0</v>
      </c>
      <c r="B6045" s="16" t="s">
        <v>6854</v>
      </c>
      <c r="C6045" s="16" t="s">
        <v>1099</v>
      </c>
      <c r="D6045" s="16" t="s">
        <v>707</v>
      </c>
      <c r="E6045" s="16">
        <v>2024.0</v>
      </c>
      <c r="F6045" s="16">
        <v>48.2708</v>
      </c>
      <c r="G6045" s="16">
        <v>9.4107</v>
      </c>
      <c r="H6045" s="15"/>
      <c r="I6045" s="15"/>
    </row>
    <row r="6046">
      <c r="A6046" s="17">
        <v>45636.0</v>
      </c>
      <c r="B6046" s="16" t="s">
        <v>6855</v>
      </c>
      <c r="C6046" s="16" t="s">
        <v>3817</v>
      </c>
      <c r="D6046" s="16" t="s">
        <v>707</v>
      </c>
      <c r="E6046" s="16">
        <v>2024.0</v>
      </c>
      <c r="F6046" s="16">
        <v>49.6628</v>
      </c>
      <c r="G6046" s="16">
        <v>11.0505</v>
      </c>
      <c r="H6046" s="15"/>
      <c r="I6046" s="15"/>
    </row>
    <row r="6047">
      <c r="A6047" s="17">
        <v>45636.0</v>
      </c>
      <c r="B6047" s="16" t="s">
        <v>6856</v>
      </c>
      <c r="C6047" s="16" t="s">
        <v>948</v>
      </c>
      <c r="D6047" s="16" t="s">
        <v>707</v>
      </c>
      <c r="E6047" s="16">
        <v>2024.0</v>
      </c>
      <c r="F6047" s="16">
        <v>51.78</v>
      </c>
      <c r="G6047" s="16">
        <v>9.392</v>
      </c>
      <c r="H6047" s="15"/>
      <c r="I6047" s="15"/>
    </row>
    <row r="6048">
      <c r="A6048" s="17">
        <v>45636.0</v>
      </c>
      <c r="B6048" s="16" t="s">
        <v>6857</v>
      </c>
      <c r="C6048" s="16" t="s">
        <v>1059</v>
      </c>
      <c r="D6048" s="16" t="s">
        <v>707</v>
      </c>
      <c r="E6048" s="16">
        <v>2024.0</v>
      </c>
      <c r="F6048" s="16">
        <v>51.5412</v>
      </c>
      <c r="G6048" s="16">
        <v>7.5024</v>
      </c>
      <c r="H6048" s="15"/>
      <c r="I6048" s="15"/>
    </row>
    <row r="6049">
      <c r="A6049" s="17">
        <v>45636.0</v>
      </c>
      <c r="B6049" s="16" t="s">
        <v>6858</v>
      </c>
      <c r="C6049" s="16" t="s">
        <v>1172</v>
      </c>
      <c r="D6049" s="16" t="s">
        <v>707</v>
      </c>
      <c r="E6049" s="16">
        <v>2024.0</v>
      </c>
      <c r="F6049" s="16">
        <v>52.1127</v>
      </c>
      <c r="G6049" s="16">
        <v>8.0502</v>
      </c>
      <c r="H6049" s="15"/>
      <c r="I6049" s="15"/>
    </row>
    <row r="6050">
      <c r="A6050" s="17">
        <v>45636.0</v>
      </c>
      <c r="B6050" s="16" t="s">
        <v>6859</v>
      </c>
      <c r="C6050" s="16" t="s">
        <v>959</v>
      </c>
      <c r="D6050" s="16" t="s">
        <v>707</v>
      </c>
      <c r="E6050" s="16">
        <v>2024.0</v>
      </c>
      <c r="F6050" s="16">
        <v>48.0406</v>
      </c>
      <c r="G6050" s="16">
        <v>10.5091</v>
      </c>
      <c r="H6050" s="15"/>
      <c r="I6050" s="15"/>
    </row>
    <row r="6051">
      <c r="A6051" s="17">
        <v>45636.0</v>
      </c>
      <c r="B6051" s="16" t="s">
        <v>6860</v>
      </c>
      <c r="C6051" s="16" t="s">
        <v>1037</v>
      </c>
      <c r="D6051" s="16" t="s">
        <v>707</v>
      </c>
      <c r="E6051" s="16">
        <v>2024.0</v>
      </c>
      <c r="F6051" s="16">
        <v>48.8686</v>
      </c>
      <c r="G6051" s="16">
        <v>12.8649</v>
      </c>
      <c r="H6051" s="15"/>
      <c r="I6051" s="15"/>
    </row>
    <row r="6052">
      <c r="A6052" s="17">
        <v>45636.0</v>
      </c>
      <c r="B6052" s="16" t="s">
        <v>6861</v>
      </c>
      <c r="C6052" s="16" t="s">
        <v>1215</v>
      </c>
      <c r="D6052" s="16" t="s">
        <v>707</v>
      </c>
      <c r="E6052" s="16">
        <v>2024.0</v>
      </c>
      <c r="F6052" s="16">
        <v>49.6478</v>
      </c>
      <c r="G6052" s="16">
        <v>7.4904</v>
      </c>
      <c r="H6052" s="15"/>
      <c r="I6052" s="15"/>
    </row>
    <row r="6053">
      <c r="A6053" s="17">
        <v>45636.0</v>
      </c>
      <c r="B6053" s="16" t="s">
        <v>6862</v>
      </c>
      <c r="C6053" s="16" t="s">
        <v>1011</v>
      </c>
      <c r="D6053" s="16" t="s">
        <v>707</v>
      </c>
      <c r="E6053" s="16">
        <v>2024.0</v>
      </c>
      <c r="F6053" s="16">
        <v>49.6478</v>
      </c>
      <c r="G6053" s="16">
        <v>7.4904</v>
      </c>
      <c r="H6053" s="15"/>
      <c r="I6053" s="15"/>
    </row>
    <row r="6054">
      <c r="A6054" s="17">
        <v>45636.0</v>
      </c>
      <c r="B6054" s="16" t="s">
        <v>6863</v>
      </c>
      <c r="C6054" s="16">
        <v>4.0</v>
      </c>
      <c r="D6054" s="16" t="s">
        <v>707</v>
      </c>
      <c r="E6054" s="16">
        <v>2024.0</v>
      </c>
      <c r="F6054" s="16">
        <v>48.2054</v>
      </c>
      <c r="G6054" s="16">
        <v>11.3482</v>
      </c>
      <c r="H6054" s="15"/>
      <c r="I6054" s="15"/>
    </row>
    <row r="6055">
      <c r="A6055" s="17">
        <v>45636.0</v>
      </c>
      <c r="B6055" s="16" t="s">
        <v>6864</v>
      </c>
      <c r="C6055" s="16">
        <v>2.0</v>
      </c>
      <c r="D6055" s="16" t="s">
        <v>707</v>
      </c>
      <c r="E6055" s="16">
        <v>2024.0</v>
      </c>
      <c r="F6055" s="16">
        <v>48.937</v>
      </c>
      <c r="G6055" s="16">
        <v>11.574</v>
      </c>
      <c r="H6055" s="15"/>
      <c r="I6055" s="15"/>
    </row>
    <row r="6056">
      <c r="A6056" s="17">
        <v>45636.0</v>
      </c>
      <c r="B6056" s="16" t="s">
        <v>6865</v>
      </c>
      <c r="C6056" s="16">
        <v>1.0</v>
      </c>
      <c r="D6056" s="16" t="s">
        <v>707</v>
      </c>
      <c r="E6056" s="16">
        <v>2024.0</v>
      </c>
      <c r="F6056" s="16">
        <v>48.7022</v>
      </c>
      <c r="G6056" s="16">
        <v>9.4146</v>
      </c>
      <c r="H6056" s="15"/>
      <c r="I6056" s="15"/>
    </row>
    <row r="6057">
      <c r="A6057" s="17">
        <v>45636.0</v>
      </c>
      <c r="B6057" s="16" t="s">
        <v>6866</v>
      </c>
      <c r="C6057" s="16">
        <v>2.0</v>
      </c>
      <c r="D6057" s="16" t="s">
        <v>707</v>
      </c>
      <c r="E6057" s="16">
        <v>2024.0</v>
      </c>
      <c r="F6057" s="16">
        <v>49.8018</v>
      </c>
      <c r="G6057" s="16">
        <v>10.1944</v>
      </c>
      <c r="H6057" s="15"/>
      <c r="I6057" s="15"/>
    </row>
    <row r="6058">
      <c r="A6058" s="17">
        <v>45636.0</v>
      </c>
      <c r="B6058" s="16" t="s">
        <v>6867</v>
      </c>
      <c r="C6058" s="16" t="s">
        <v>1037</v>
      </c>
      <c r="D6058" s="16" t="s">
        <v>707</v>
      </c>
      <c r="E6058" s="16">
        <v>2024.0</v>
      </c>
      <c r="F6058" s="16">
        <v>49.9812</v>
      </c>
      <c r="G6058" s="16">
        <v>8.9053</v>
      </c>
      <c r="H6058" s="15"/>
      <c r="I6058" s="15"/>
    </row>
    <row r="6059">
      <c r="A6059" s="17">
        <v>45636.0</v>
      </c>
      <c r="B6059" s="16" t="s">
        <v>6868</v>
      </c>
      <c r="C6059" s="16">
        <v>2.0</v>
      </c>
      <c r="D6059" s="16" t="s">
        <v>707</v>
      </c>
      <c r="E6059" s="16">
        <v>2024.0</v>
      </c>
      <c r="F6059" s="16">
        <v>50.4017</v>
      </c>
      <c r="G6059" s="16">
        <v>10.7915</v>
      </c>
      <c r="H6059" s="15"/>
      <c r="I6059" s="15"/>
    </row>
    <row r="6060">
      <c r="A6060" s="17">
        <v>45636.0</v>
      </c>
      <c r="B6060" s="16" t="s">
        <v>6869</v>
      </c>
      <c r="C6060" s="16" t="s">
        <v>1979</v>
      </c>
      <c r="D6060" s="16" t="s">
        <v>707</v>
      </c>
      <c r="E6060" s="16">
        <v>2024.0</v>
      </c>
      <c r="F6060" s="16">
        <v>48.0256</v>
      </c>
      <c r="G6060" s="16">
        <v>10.1412</v>
      </c>
      <c r="H6060" s="15"/>
      <c r="I6060" s="15"/>
    </row>
    <row r="6061">
      <c r="A6061" s="17">
        <v>45636.0</v>
      </c>
      <c r="B6061" s="16" t="s">
        <v>6870</v>
      </c>
      <c r="C6061" s="16" t="s">
        <v>951</v>
      </c>
      <c r="D6061" s="16" t="s">
        <v>707</v>
      </c>
      <c r="E6061" s="16">
        <v>2024.0</v>
      </c>
      <c r="F6061" s="16">
        <v>51.5487</v>
      </c>
      <c r="G6061" s="16">
        <v>12.3392</v>
      </c>
      <c r="H6061" s="15"/>
      <c r="I6061" s="15"/>
    </row>
    <row r="6062">
      <c r="A6062" s="17">
        <v>45636.0</v>
      </c>
      <c r="B6062" s="16" t="s">
        <v>6871</v>
      </c>
      <c r="C6062" s="16" t="s">
        <v>3223</v>
      </c>
      <c r="D6062" s="16" t="s">
        <v>707</v>
      </c>
      <c r="E6062" s="16">
        <v>2024.0</v>
      </c>
      <c r="F6062" s="16">
        <v>48.0257</v>
      </c>
      <c r="G6062" s="16">
        <v>10.1441</v>
      </c>
      <c r="H6062" s="15"/>
      <c r="I6062" s="15"/>
    </row>
    <row r="6063">
      <c r="A6063" s="17">
        <v>45636.0</v>
      </c>
      <c r="B6063" s="16" t="s">
        <v>6872</v>
      </c>
      <c r="C6063" s="16">
        <v>2.0</v>
      </c>
      <c r="D6063" s="16" t="s">
        <v>707</v>
      </c>
      <c r="E6063" s="16">
        <v>2024.0</v>
      </c>
      <c r="F6063" s="16">
        <v>51.5473</v>
      </c>
      <c r="G6063" s="16">
        <v>12.3424</v>
      </c>
      <c r="H6063" s="15"/>
      <c r="I6063" s="15"/>
    </row>
    <row r="6064">
      <c r="A6064" s="17">
        <v>45636.0</v>
      </c>
      <c r="B6064" s="16" t="s">
        <v>6873</v>
      </c>
      <c r="C6064" s="16" t="s">
        <v>946</v>
      </c>
      <c r="D6064" s="16" t="s">
        <v>707</v>
      </c>
      <c r="E6064" s="16">
        <v>2024.0</v>
      </c>
      <c r="F6064" s="16">
        <v>51.3</v>
      </c>
      <c r="G6064" s="16">
        <v>12.3167</v>
      </c>
      <c r="H6064" s="15"/>
      <c r="I6064" s="15"/>
    </row>
    <row r="6065">
      <c r="A6065" s="17">
        <v>45636.0</v>
      </c>
      <c r="B6065" s="16" t="s">
        <v>6874</v>
      </c>
      <c r="C6065" s="16">
        <v>9.0</v>
      </c>
      <c r="D6065" s="16" t="s">
        <v>707</v>
      </c>
      <c r="E6065" s="16">
        <v>2024.0</v>
      </c>
      <c r="F6065" s="16">
        <v>50.7627</v>
      </c>
      <c r="G6065" s="16">
        <v>8.6615</v>
      </c>
      <c r="H6065" s="15"/>
      <c r="I6065" s="15"/>
    </row>
    <row r="6066">
      <c r="A6066" s="17">
        <v>45636.0</v>
      </c>
      <c r="B6066" s="16" t="s">
        <v>6875</v>
      </c>
      <c r="C6066" s="16">
        <v>10.0</v>
      </c>
      <c r="D6066" s="16" t="s">
        <v>707</v>
      </c>
      <c r="E6066" s="16">
        <v>2024.0</v>
      </c>
      <c r="F6066" s="16">
        <v>49.4159</v>
      </c>
      <c r="G6066" s="16">
        <v>11.4024</v>
      </c>
      <c r="H6066" s="15"/>
      <c r="I6066" s="15"/>
    </row>
    <row r="6067">
      <c r="A6067" s="17">
        <v>45636.0</v>
      </c>
      <c r="B6067" s="16" t="s">
        <v>6876</v>
      </c>
      <c r="C6067" s="16">
        <v>1.0</v>
      </c>
      <c r="D6067" s="16" t="s">
        <v>707</v>
      </c>
      <c r="E6067" s="16">
        <v>2024.0</v>
      </c>
      <c r="F6067" s="16">
        <v>51.569</v>
      </c>
      <c r="G6067" s="16">
        <v>7.5023</v>
      </c>
      <c r="H6067" s="15"/>
      <c r="I6067" s="15"/>
    </row>
    <row r="6068">
      <c r="A6068" s="17">
        <v>45636.0</v>
      </c>
      <c r="B6068" s="16" t="s">
        <v>6877</v>
      </c>
      <c r="C6068" s="16" t="s">
        <v>1002</v>
      </c>
      <c r="D6068" s="16" t="s">
        <v>707</v>
      </c>
      <c r="E6068" s="16">
        <v>2024.0</v>
      </c>
      <c r="F6068" s="16">
        <v>52.142</v>
      </c>
      <c r="G6068" s="16">
        <v>11.1428</v>
      </c>
      <c r="H6068" s="15"/>
      <c r="I6068" s="15"/>
    </row>
    <row r="6069">
      <c r="A6069" s="17">
        <v>45636.0</v>
      </c>
      <c r="B6069" s="16" t="s">
        <v>6878</v>
      </c>
      <c r="C6069" s="16" t="s">
        <v>1059</v>
      </c>
      <c r="D6069" s="16" t="s">
        <v>707</v>
      </c>
      <c r="E6069" s="16">
        <v>2024.0</v>
      </c>
      <c r="F6069" s="16">
        <v>51.5069</v>
      </c>
      <c r="G6069" s="16">
        <v>13.8016</v>
      </c>
      <c r="H6069" s="15"/>
      <c r="I6069" s="15"/>
    </row>
    <row r="6070">
      <c r="A6070" s="17">
        <v>45636.0</v>
      </c>
      <c r="B6070" s="16" t="s">
        <v>6879</v>
      </c>
      <c r="C6070" s="16" t="s">
        <v>969</v>
      </c>
      <c r="D6070" s="16" t="s">
        <v>707</v>
      </c>
      <c r="E6070" s="16">
        <v>2024.0</v>
      </c>
      <c r="F6070" s="16">
        <v>51.5076</v>
      </c>
      <c r="G6070" s="16">
        <v>13.8021</v>
      </c>
      <c r="H6070" s="15"/>
      <c r="I6070" s="15"/>
    </row>
    <row r="6071">
      <c r="A6071" s="17">
        <v>45636.0</v>
      </c>
      <c r="B6071" s="16" t="s">
        <v>6880</v>
      </c>
      <c r="C6071" s="16" t="s">
        <v>1059</v>
      </c>
      <c r="D6071" s="16" t="s">
        <v>707</v>
      </c>
      <c r="E6071" s="16">
        <v>2024.0</v>
      </c>
      <c r="F6071" s="16">
        <v>50.7714</v>
      </c>
      <c r="G6071" s="16">
        <v>7.2336</v>
      </c>
      <c r="H6071" s="15"/>
      <c r="I6071" s="15"/>
    </row>
    <row r="6072">
      <c r="A6072" s="17">
        <v>45636.0</v>
      </c>
      <c r="B6072" s="16" t="s">
        <v>6881</v>
      </c>
      <c r="C6072" s="16" t="s">
        <v>951</v>
      </c>
      <c r="D6072" s="16" t="s">
        <v>707</v>
      </c>
      <c r="E6072" s="16">
        <v>2024.0</v>
      </c>
      <c r="F6072" s="16">
        <v>48.7539</v>
      </c>
      <c r="G6072" s="16">
        <v>13.3951</v>
      </c>
      <c r="H6072" s="15"/>
      <c r="I6072" s="15"/>
    </row>
    <row r="6073">
      <c r="A6073" s="17">
        <v>45636.0</v>
      </c>
      <c r="B6073" s="16" t="s">
        <v>6882</v>
      </c>
      <c r="C6073" s="16" t="s">
        <v>971</v>
      </c>
      <c r="D6073" s="16" t="s">
        <v>707</v>
      </c>
      <c r="E6073" s="16">
        <v>2024.0</v>
      </c>
      <c r="F6073" s="16">
        <v>51.015</v>
      </c>
      <c r="G6073" s="16">
        <v>12.752</v>
      </c>
      <c r="H6073" s="15"/>
      <c r="I6073" s="15"/>
    </row>
    <row r="6074">
      <c r="A6074" s="17">
        <v>45636.0</v>
      </c>
      <c r="B6074" s="16" t="s">
        <v>6883</v>
      </c>
      <c r="C6074" s="16" t="s">
        <v>1267</v>
      </c>
      <c r="D6074" s="16" t="s">
        <v>707</v>
      </c>
      <c r="E6074" s="16">
        <v>2024.0</v>
      </c>
      <c r="F6074" s="16">
        <v>51.6</v>
      </c>
      <c r="G6074" s="16">
        <v>14.1414</v>
      </c>
      <c r="H6074" s="15"/>
      <c r="I6074" s="15"/>
    </row>
    <row r="6075">
      <c r="A6075" s="17">
        <v>45636.0</v>
      </c>
      <c r="B6075" s="16" t="s">
        <v>6884</v>
      </c>
      <c r="C6075" s="16">
        <v>2.0</v>
      </c>
      <c r="D6075" s="16" t="s">
        <v>707</v>
      </c>
      <c r="E6075" s="16">
        <v>2024.0</v>
      </c>
      <c r="F6075" s="16">
        <v>50.7564</v>
      </c>
      <c r="G6075" s="16">
        <v>13.497</v>
      </c>
      <c r="H6075" s="15"/>
      <c r="I6075" s="15"/>
    </row>
    <row r="6076">
      <c r="A6076" s="17">
        <v>45636.0</v>
      </c>
      <c r="B6076" s="16" t="s">
        <v>6885</v>
      </c>
      <c r="C6076" s="16" t="s">
        <v>1436</v>
      </c>
      <c r="D6076" s="16" t="s">
        <v>707</v>
      </c>
      <c r="E6076" s="16">
        <v>2024.0</v>
      </c>
      <c r="F6076" s="16">
        <v>52.5436</v>
      </c>
      <c r="G6076" s="16">
        <v>13.0778</v>
      </c>
      <c r="H6076" s="15"/>
      <c r="I6076" s="15"/>
    </row>
    <row r="6077">
      <c r="A6077" s="17">
        <v>45636.0</v>
      </c>
      <c r="B6077" s="16" t="s">
        <v>6886</v>
      </c>
      <c r="C6077" s="16" t="s">
        <v>2988</v>
      </c>
      <c r="D6077" s="16" t="s">
        <v>707</v>
      </c>
      <c r="E6077" s="16">
        <v>2024.0</v>
      </c>
      <c r="F6077" s="16">
        <v>51.7709</v>
      </c>
      <c r="G6077" s="16">
        <v>14.5243</v>
      </c>
      <c r="H6077" s="15"/>
      <c r="I6077" s="15"/>
    </row>
    <row r="6078">
      <c r="A6078" s="17">
        <v>45636.0</v>
      </c>
      <c r="B6078" s="16" t="s">
        <v>6887</v>
      </c>
      <c r="C6078" s="16">
        <v>1.0</v>
      </c>
      <c r="D6078" s="16" t="s">
        <v>707</v>
      </c>
      <c r="E6078" s="16">
        <v>2024.0</v>
      </c>
      <c r="F6078" s="16">
        <v>52.2826</v>
      </c>
      <c r="G6078" s="16">
        <v>13.6814</v>
      </c>
      <c r="H6078" s="15"/>
      <c r="I6078" s="15"/>
    </row>
    <row r="6079">
      <c r="A6079" s="17">
        <v>45636.0</v>
      </c>
      <c r="B6079" s="16" t="s">
        <v>6888</v>
      </c>
      <c r="C6079" s="16" t="s">
        <v>6451</v>
      </c>
      <c r="D6079" s="16" t="s">
        <v>707</v>
      </c>
      <c r="E6079" s="16">
        <v>2024.0</v>
      </c>
      <c r="F6079" s="16">
        <v>51.7097</v>
      </c>
      <c r="G6079" s="16">
        <v>11.8663</v>
      </c>
      <c r="H6079" s="15"/>
      <c r="I6079" s="15"/>
    </row>
    <row r="6080">
      <c r="A6080" s="17">
        <v>45636.0</v>
      </c>
      <c r="B6080" s="16" t="s">
        <v>6889</v>
      </c>
      <c r="C6080" s="16" t="s">
        <v>1039</v>
      </c>
      <c r="D6080" s="16" t="s">
        <v>707</v>
      </c>
      <c r="E6080" s="16">
        <v>2024.0</v>
      </c>
      <c r="F6080" s="16">
        <v>51.6479</v>
      </c>
      <c r="G6080" s="16">
        <v>12.8828</v>
      </c>
      <c r="H6080" s="15"/>
      <c r="I6080" s="15"/>
    </row>
    <row r="6081">
      <c r="A6081" s="17">
        <v>45636.0</v>
      </c>
      <c r="B6081" s="16" t="s">
        <v>6890</v>
      </c>
      <c r="C6081" s="16" t="s">
        <v>946</v>
      </c>
      <c r="D6081" s="16" t="s">
        <v>707</v>
      </c>
      <c r="E6081" s="16">
        <v>2024.0</v>
      </c>
      <c r="F6081" s="16">
        <v>51.9004</v>
      </c>
      <c r="G6081" s="16">
        <v>13.8066</v>
      </c>
      <c r="H6081" s="15"/>
      <c r="I6081" s="15"/>
    </row>
    <row r="6082">
      <c r="A6082" s="17">
        <v>45636.0</v>
      </c>
      <c r="B6082" s="16" t="s">
        <v>6891</v>
      </c>
      <c r="C6082" s="16" t="s">
        <v>948</v>
      </c>
      <c r="D6082" s="16" t="s">
        <v>707</v>
      </c>
      <c r="E6082" s="16">
        <v>2024.0</v>
      </c>
      <c r="F6082" s="16">
        <v>47.7491</v>
      </c>
      <c r="G6082" s="16">
        <v>11.1888</v>
      </c>
      <c r="H6082" s="15"/>
      <c r="I6082" s="15"/>
    </row>
    <row r="6083">
      <c r="A6083" s="17">
        <v>45636.0</v>
      </c>
      <c r="B6083" s="16" t="s">
        <v>6892</v>
      </c>
      <c r="C6083" s="16" t="s">
        <v>1215</v>
      </c>
      <c r="D6083" s="16" t="s">
        <v>707</v>
      </c>
      <c r="E6083" s="16">
        <v>2024.0</v>
      </c>
      <c r="F6083" s="16">
        <v>47.7348</v>
      </c>
      <c r="G6083" s="16">
        <v>11.1897</v>
      </c>
      <c r="H6083" s="15"/>
      <c r="I6083" s="15"/>
    </row>
    <row r="6084">
      <c r="A6084" s="17">
        <v>45636.0</v>
      </c>
      <c r="B6084" s="16" t="s">
        <v>6893</v>
      </c>
      <c r="C6084" s="16" t="s">
        <v>1399</v>
      </c>
      <c r="D6084" s="16" t="s">
        <v>707</v>
      </c>
      <c r="E6084" s="16">
        <v>2024.0</v>
      </c>
      <c r="F6084" s="16">
        <v>51.3603</v>
      </c>
      <c r="G6084" s="16">
        <v>8.2372</v>
      </c>
      <c r="H6084" s="15"/>
      <c r="I6084" s="15"/>
    </row>
    <row r="6085">
      <c r="A6085" s="17">
        <v>45636.0</v>
      </c>
      <c r="B6085" s="16" t="s">
        <v>6894</v>
      </c>
      <c r="C6085" s="16">
        <v>10.0</v>
      </c>
      <c r="D6085" s="16" t="s">
        <v>707</v>
      </c>
      <c r="E6085" s="16">
        <v>2024.0</v>
      </c>
      <c r="F6085" s="16">
        <v>49.593</v>
      </c>
      <c r="G6085" s="16">
        <v>12.5324</v>
      </c>
      <c r="H6085" s="15"/>
      <c r="I6085" s="15"/>
    </row>
    <row r="6086">
      <c r="A6086" s="17">
        <v>45636.0</v>
      </c>
      <c r="B6086" s="16" t="s">
        <v>6895</v>
      </c>
      <c r="C6086" s="16" t="s">
        <v>951</v>
      </c>
      <c r="D6086" s="16" t="s">
        <v>707</v>
      </c>
      <c r="E6086" s="16">
        <v>2024.0</v>
      </c>
      <c r="F6086" s="16">
        <v>48.6874</v>
      </c>
      <c r="G6086" s="16">
        <v>13.2135</v>
      </c>
      <c r="H6086" s="15"/>
      <c r="I6086" s="15"/>
    </row>
    <row r="6087">
      <c r="A6087" s="17">
        <v>45636.0</v>
      </c>
      <c r="B6087" s="16" t="s">
        <v>6896</v>
      </c>
      <c r="C6087" s="16" t="s">
        <v>951</v>
      </c>
      <c r="D6087" s="16" t="s">
        <v>707</v>
      </c>
      <c r="E6087" s="16">
        <v>2024.0</v>
      </c>
      <c r="F6087" s="16">
        <v>52.7461</v>
      </c>
      <c r="G6087" s="16">
        <v>13.174</v>
      </c>
      <c r="H6087" s="15"/>
      <c r="I6087" s="15"/>
    </row>
    <row r="6088">
      <c r="A6088" s="17">
        <v>45636.0</v>
      </c>
      <c r="B6088" s="16" t="s">
        <v>6897</v>
      </c>
      <c r="C6088" s="16" t="s">
        <v>3048</v>
      </c>
      <c r="D6088" s="16" t="s">
        <v>707</v>
      </c>
      <c r="E6088" s="16">
        <v>2024.0</v>
      </c>
      <c r="F6088" s="16">
        <v>50.6706</v>
      </c>
      <c r="G6088" s="16">
        <v>11.6564</v>
      </c>
      <c r="H6088" s="15"/>
      <c r="I6088" s="15"/>
    </row>
    <row r="6089">
      <c r="A6089" s="17">
        <v>45636.0</v>
      </c>
      <c r="B6089" s="16" t="s">
        <v>6898</v>
      </c>
      <c r="C6089" s="16" t="s">
        <v>948</v>
      </c>
      <c r="D6089" s="16" t="s">
        <v>707</v>
      </c>
      <c r="E6089" s="16">
        <v>2024.0</v>
      </c>
      <c r="F6089" s="16">
        <v>52.8731</v>
      </c>
      <c r="G6089" s="16">
        <v>13.407</v>
      </c>
      <c r="H6089" s="15"/>
      <c r="I6089" s="15"/>
    </row>
    <row r="6090">
      <c r="A6090" s="17">
        <v>45636.0</v>
      </c>
      <c r="B6090" s="16" t="s">
        <v>6899</v>
      </c>
      <c r="C6090" s="16" t="s">
        <v>1310</v>
      </c>
      <c r="D6090" s="16" t="s">
        <v>707</v>
      </c>
      <c r="E6090" s="16">
        <v>2024.0</v>
      </c>
      <c r="F6090" s="16">
        <v>50.6928</v>
      </c>
      <c r="G6090" s="16">
        <v>10.9526</v>
      </c>
      <c r="H6090" s="15"/>
      <c r="I6090" s="15"/>
    </row>
    <row r="6091">
      <c r="A6091" s="17">
        <v>45636.0</v>
      </c>
      <c r="B6091" s="16" t="s">
        <v>6900</v>
      </c>
      <c r="C6091" s="16" t="s">
        <v>961</v>
      </c>
      <c r="D6091" s="16" t="s">
        <v>707</v>
      </c>
      <c r="E6091" s="16">
        <v>2024.0</v>
      </c>
      <c r="F6091" s="16">
        <v>51.7232</v>
      </c>
      <c r="G6091" s="16">
        <v>14.406</v>
      </c>
      <c r="H6091" s="15"/>
      <c r="I6091" s="15"/>
    </row>
    <row r="6092">
      <c r="A6092" s="17">
        <v>45636.0</v>
      </c>
      <c r="B6092" s="16" t="s">
        <v>6901</v>
      </c>
      <c r="C6092" s="16" t="s">
        <v>1085</v>
      </c>
      <c r="D6092" s="16" t="s">
        <v>707</v>
      </c>
      <c r="E6092" s="16">
        <v>2024.0</v>
      </c>
      <c r="F6092" s="16">
        <v>48.4837</v>
      </c>
      <c r="G6092" s="16">
        <v>12.3303</v>
      </c>
      <c r="H6092" s="15"/>
      <c r="I6092" s="15"/>
    </row>
    <row r="6093">
      <c r="A6093" s="17">
        <v>45636.0</v>
      </c>
      <c r="B6093" s="16" t="s">
        <v>6902</v>
      </c>
      <c r="C6093" s="16" t="s">
        <v>1101</v>
      </c>
      <c r="D6093" s="16" t="s">
        <v>707</v>
      </c>
      <c r="E6093" s="16">
        <v>2024.0</v>
      </c>
      <c r="F6093" s="16">
        <v>49.7588</v>
      </c>
      <c r="G6093" s="16">
        <v>11.0882</v>
      </c>
      <c r="H6093" s="15"/>
      <c r="I6093" s="15"/>
    </row>
    <row r="6094">
      <c r="A6094" s="17">
        <v>45636.0</v>
      </c>
      <c r="B6094" s="16" t="s">
        <v>6903</v>
      </c>
      <c r="C6094" s="16">
        <v>6.0</v>
      </c>
      <c r="D6094" s="16" t="s">
        <v>707</v>
      </c>
      <c r="E6094" s="16">
        <v>2024.0</v>
      </c>
      <c r="F6094" s="16">
        <v>49.5891</v>
      </c>
      <c r="G6094" s="16">
        <v>11.452</v>
      </c>
      <c r="H6094" s="15"/>
      <c r="I6094" s="15"/>
    </row>
    <row r="6095">
      <c r="A6095" s="17">
        <v>45636.0</v>
      </c>
      <c r="B6095" s="16" t="s">
        <v>6904</v>
      </c>
      <c r="C6095" s="16" t="s">
        <v>1085</v>
      </c>
      <c r="D6095" s="16" t="s">
        <v>707</v>
      </c>
      <c r="E6095" s="16">
        <v>2024.0</v>
      </c>
      <c r="F6095" s="16">
        <v>52.9865</v>
      </c>
      <c r="G6095" s="16">
        <v>12.9767</v>
      </c>
      <c r="H6095" s="15"/>
      <c r="I6095" s="15"/>
    </row>
    <row r="6096">
      <c r="A6096" s="17">
        <v>45636.0</v>
      </c>
      <c r="B6096" s="16" t="s">
        <v>6905</v>
      </c>
      <c r="C6096" s="16">
        <v>1.0</v>
      </c>
      <c r="D6096" s="16" t="s">
        <v>707</v>
      </c>
      <c r="E6096" s="16">
        <v>2024.0</v>
      </c>
      <c r="F6096" s="16">
        <v>51.3453</v>
      </c>
      <c r="G6096" s="16">
        <v>12.4566</v>
      </c>
      <c r="H6096" s="15"/>
      <c r="I6096" s="15"/>
    </row>
    <row r="6097">
      <c r="A6097" s="17">
        <v>45636.0</v>
      </c>
      <c r="B6097" s="16" t="s">
        <v>6906</v>
      </c>
      <c r="C6097" s="16" t="s">
        <v>948</v>
      </c>
      <c r="D6097" s="16" t="s">
        <v>707</v>
      </c>
      <c r="E6097" s="16">
        <v>2024.0</v>
      </c>
      <c r="F6097" s="16">
        <v>51.3454</v>
      </c>
      <c r="G6097" s="16">
        <v>12.4574</v>
      </c>
      <c r="H6097" s="15"/>
      <c r="I6097" s="15"/>
    </row>
    <row r="6098">
      <c r="A6098" s="17">
        <v>45636.0</v>
      </c>
      <c r="B6098" s="16" t="s">
        <v>6907</v>
      </c>
      <c r="C6098" s="16" t="s">
        <v>1059</v>
      </c>
      <c r="D6098" s="16" t="s">
        <v>707</v>
      </c>
      <c r="E6098" s="16">
        <v>2024.0</v>
      </c>
      <c r="F6098" s="16">
        <v>53.5736</v>
      </c>
      <c r="G6098" s="16">
        <v>13.474</v>
      </c>
      <c r="H6098" s="15"/>
      <c r="I6098" s="15"/>
    </row>
    <row r="6099">
      <c r="A6099" s="17">
        <v>45636.0</v>
      </c>
      <c r="B6099" s="16" t="s">
        <v>6908</v>
      </c>
      <c r="C6099" s="16" t="s">
        <v>961</v>
      </c>
      <c r="D6099" s="16" t="s">
        <v>707</v>
      </c>
      <c r="E6099" s="16">
        <v>2024.0</v>
      </c>
      <c r="F6099" s="16">
        <v>51.4893</v>
      </c>
      <c r="G6099" s="16">
        <v>7.5509</v>
      </c>
      <c r="H6099" s="15"/>
      <c r="I6099" s="15"/>
    </row>
    <row r="6100">
      <c r="A6100" s="17">
        <v>45636.0</v>
      </c>
      <c r="B6100" s="16" t="s">
        <v>6909</v>
      </c>
      <c r="C6100" s="16" t="s">
        <v>1034</v>
      </c>
      <c r="D6100" s="16" t="s">
        <v>707</v>
      </c>
      <c r="E6100" s="16">
        <v>2024.0</v>
      </c>
      <c r="F6100" s="16">
        <v>51.844</v>
      </c>
      <c r="G6100" s="16">
        <v>11.7525</v>
      </c>
      <c r="H6100" s="15"/>
      <c r="I6100" s="15"/>
    </row>
    <row r="6101">
      <c r="A6101" s="17">
        <v>45636.0</v>
      </c>
      <c r="B6101" s="16" t="s">
        <v>6910</v>
      </c>
      <c r="C6101" s="16" t="s">
        <v>942</v>
      </c>
      <c r="D6101" s="16" t="s">
        <v>707</v>
      </c>
      <c r="E6101" s="16">
        <v>2024.0</v>
      </c>
      <c r="F6101" s="16">
        <v>51.7838</v>
      </c>
      <c r="G6101" s="16">
        <v>14.1686</v>
      </c>
      <c r="H6101" s="15"/>
      <c r="I6101" s="15"/>
    </row>
    <row r="6102">
      <c r="A6102" s="17">
        <v>45636.0</v>
      </c>
      <c r="B6102" s="16" t="s">
        <v>6911</v>
      </c>
      <c r="C6102" s="16" t="s">
        <v>1101</v>
      </c>
      <c r="D6102" s="16" t="s">
        <v>707</v>
      </c>
      <c r="E6102" s="16">
        <v>2024.0</v>
      </c>
      <c r="F6102" s="16">
        <v>51.775</v>
      </c>
      <c r="G6102" s="16">
        <v>11.4805</v>
      </c>
      <c r="H6102" s="15"/>
      <c r="I6102" s="15"/>
    </row>
    <row r="6103">
      <c r="A6103" s="17">
        <v>45636.0</v>
      </c>
      <c r="B6103" s="16" t="s">
        <v>6912</v>
      </c>
      <c r="C6103" s="16" t="s">
        <v>1094</v>
      </c>
      <c r="D6103" s="16" t="s">
        <v>707</v>
      </c>
      <c r="E6103" s="16">
        <v>2024.0</v>
      </c>
      <c r="F6103" s="16">
        <v>51.8102</v>
      </c>
      <c r="G6103" s="16">
        <v>12.3436</v>
      </c>
      <c r="H6103" s="15"/>
      <c r="I6103" s="15"/>
    </row>
    <row r="6104">
      <c r="A6104" s="17">
        <v>45636.0</v>
      </c>
      <c r="B6104" s="16" t="s">
        <v>6913</v>
      </c>
      <c r="C6104" s="16" t="s">
        <v>961</v>
      </c>
      <c r="D6104" s="16" t="s">
        <v>707</v>
      </c>
      <c r="E6104" s="16">
        <v>2024.0</v>
      </c>
      <c r="F6104" s="16">
        <v>51.7661</v>
      </c>
      <c r="G6104" s="16">
        <v>11.3513</v>
      </c>
      <c r="H6104" s="15"/>
      <c r="I6104" s="15"/>
    </row>
    <row r="6105">
      <c r="A6105" s="17">
        <v>45636.0</v>
      </c>
      <c r="B6105" s="16" t="s">
        <v>6914</v>
      </c>
      <c r="C6105" s="16" t="s">
        <v>1609</v>
      </c>
      <c r="D6105" s="16" t="s">
        <v>707</v>
      </c>
      <c r="E6105" s="16">
        <v>2024.0</v>
      </c>
      <c r="F6105" s="16">
        <v>48.896</v>
      </c>
      <c r="G6105" s="16">
        <v>12.3375</v>
      </c>
      <c r="H6105" s="15"/>
      <c r="I6105" s="15"/>
    </row>
    <row r="6106">
      <c r="A6106" s="17">
        <v>45636.0</v>
      </c>
      <c r="B6106" s="16" t="s">
        <v>6915</v>
      </c>
      <c r="C6106" s="16" t="s">
        <v>948</v>
      </c>
      <c r="D6106" s="16" t="s">
        <v>707</v>
      </c>
      <c r="E6106" s="16">
        <v>2024.0</v>
      </c>
      <c r="F6106" s="16">
        <v>52.4752</v>
      </c>
      <c r="G6106" s="16">
        <v>12.278</v>
      </c>
      <c r="H6106" s="15"/>
      <c r="I6106" s="15"/>
    </row>
    <row r="6107">
      <c r="A6107" s="17">
        <v>45636.0</v>
      </c>
      <c r="B6107" s="16" t="s">
        <v>6916</v>
      </c>
      <c r="C6107" s="16" t="s">
        <v>1374</v>
      </c>
      <c r="D6107" s="16" t="s">
        <v>707</v>
      </c>
      <c r="E6107" s="16">
        <v>2024.0</v>
      </c>
      <c r="F6107" s="16">
        <v>49.815</v>
      </c>
      <c r="G6107" s="16">
        <v>6.8251</v>
      </c>
      <c r="H6107" s="15"/>
      <c r="I6107" s="15"/>
    </row>
    <row r="6108">
      <c r="A6108" s="17">
        <v>45636.0</v>
      </c>
      <c r="B6108" s="16" t="s">
        <v>6917</v>
      </c>
      <c r="C6108" s="16" t="s">
        <v>1059</v>
      </c>
      <c r="D6108" s="16" t="s">
        <v>707</v>
      </c>
      <c r="E6108" s="16">
        <v>2024.0</v>
      </c>
      <c r="F6108" s="16">
        <v>51.5546</v>
      </c>
      <c r="G6108" s="16">
        <v>14.5434</v>
      </c>
      <c r="H6108" s="15"/>
      <c r="I6108" s="15"/>
    </row>
    <row r="6109">
      <c r="A6109" s="17">
        <v>45636.0</v>
      </c>
      <c r="B6109" s="16" t="s">
        <v>6918</v>
      </c>
      <c r="C6109" s="16" t="s">
        <v>1090</v>
      </c>
      <c r="D6109" s="16" t="s">
        <v>707</v>
      </c>
      <c r="E6109" s="16">
        <v>2024.0</v>
      </c>
      <c r="F6109" s="16">
        <v>52.3191</v>
      </c>
      <c r="G6109" s="16">
        <v>9.9865</v>
      </c>
      <c r="H6109" s="15"/>
      <c r="I6109" s="15"/>
    </row>
    <row r="6110">
      <c r="A6110" s="17">
        <v>45636.0</v>
      </c>
      <c r="B6110" s="16" t="s">
        <v>6919</v>
      </c>
      <c r="C6110" s="16">
        <v>1.0</v>
      </c>
      <c r="D6110" s="16" t="s">
        <v>707</v>
      </c>
      <c r="E6110" s="16">
        <v>2024.0</v>
      </c>
      <c r="F6110" s="16">
        <v>48.2916</v>
      </c>
      <c r="G6110" s="16">
        <v>12.9533</v>
      </c>
      <c r="H6110" s="15"/>
      <c r="I6110" s="15"/>
    </row>
    <row r="6111">
      <c r="A6111" s="17">
        <v>45636.0</v>
      </c>
      <c r="B6111" s="16" t="s">
        <v>6920</v>
      </c>
      <c r="C6111" s="16" t="s">
        <v>942</v>
      </c>
      <c r="D6111" s="16" t="s">
        <v>707</v>
      </c>
      <c r="E6111" s="16">
        <v>2024.0</v>
      </c>
      <c r="F6111" s="16">
        <v>48.2916</v>
      </c>
      <c r="G6111" s="16">
        <v>12.9533</v>
      </c>
      <c r="H6111" s="15"/>
      <c r="I6111" s="15"/>
    </row>
    <row r="6112">
      <c r="A6112" s="17">
        <v>45636.0</v>
      </c>
      <c r="B6112" s="16" t="s">
        <v>6921</v>
      </c>
      <c r="C6112" s="16" t="s">
        <v>6032</v>
      </c>
      <c r="D6112" s="16" t="s">
        <v>707</v>
      </c>
      <c r="E6112" s="16">
        <v>2024.0</v>
      </c>
      <c r="F6112" s="16">
        <v>52.1971</v>
      </c>
      <c r="G6112" s="16">
        <v>11.2532</v>
      </c>
      <c r="H6112" s="15"/>
      <c r="I6112" s="15"/>
    </row>
    <row r="6113">
      <c r="A6113" s="17">
        <v>45636.0</v>
      </c>
      <c r="B6113" s="16" t="s">
        <v>6922</v>
      </c>
      <c r="C6113" s="16" t="s">
        <v>971</v>
      </c>
      <c r="D6113" s="16" t="s">
        <v>707</v>
      </c>
      <c r="E6113" s="16">
        <v>2024.0</v>
      </c>
      <c r="F6113" s="16">
        <v>52.1971</v>
      </c>
      <c r="G6113" s="16">
        <v>11.2532</v>
      </c>
      <c r="H6113" s="15"/>
      <c r="I6113" s="15"/>
    </row>
    <row r="6114">
      <c r="A6114" s="17">
        <v>45636.0</v>
      </c>
      <c r="B6114" s="16" t="s">
        <v>6923</v>
      </c>
      <c r="C6114" s="16" t="s">
        <v>1046</v>
      </c>
      <c r="D6114" s="16" t="s">
        <v>707</v>
      </c>
      <c r="E6114" s="16">
        <v>2024.0</v>
      </c>
      <c r="F6114" s="16">
        <v>50.0983</v>
      </c>
      <c r="G6114" s="16">
        <v>10.7475</v>
      </c>
      <c r="H6114" s="15"/>
      <c r="I6114" s="15"/>
    </row>
    <row r="6115">
      <c r="A6115" s="17">
        <v>45636.0</v>
      </c>
      <c r="B6115" s="16" t="s">
        <v>6924</v>
      </c>
      <c r="C6115" s="16" t="s">
        <v>2331</v>
      </c>
      <c r="D6115" s="16" t="s">
        <v>707</v>
      </c>
      <c r="E6115" s="16">
        <v>2024.0</v>
      </c>
      <c r="F6115" s="16">
        <v>49.5713</v>
      </c>
      <c r="G6115" s="16">
        <v>6.8743</v>
      </c>
      <c r="H6115" s="15"/>
      <c r="I6115" s="15"/>
    </row>
    <row r="6116">
      <c r="A6116" s="17">
        <v>45636.0</v>
      </c>
      <c r="B6116" s="16" t="s">
        <v>6925</v>
      </c>
      <c r="C6116" s="16" t="s">
        <v>1101</v>
      </c>
      <c r="D6116" s="16" t="s">
        <v>707</v>
      </c>
      <c r="E6116" s="16">
        <v>2024.0</v>
      </c>
      <c r="F6116" s="16">
        <v>51.8155</v>
      </c>
      <c r="G6116" s="16">
        <v>14.1787</v>
      </c>
      <c r="H6116" s="15"/>
      <c r="I6116" s="15"/>
    </row>
    <row r="6117">
      <c r="A6117" s="17">
        <v>45636.0</v>
      </c>
      <c r="B6117" s="16" t="s">
        <v>6926</v>
      </c>
      <c r="C6117" s="16" t="s">
        <v>978</v>
      </c>
      <c r="D6117" s="16" t="s">
        <v>707</v>
      </c>
      <c r="E6117" s="16">
        <v>2024.0</v>
      </c>
      <c r="F6117" s="16">
        <v>51.8896</v>
      </c>
      <c r="G6117" s="16">
        <v>8.4415</v>
      </c>
      <c r="H6117" s="15"/>
      <c r="I6117" s="15"/>
    </row>
    <row r="6118">
      <c r="A6118" s="17">
        <v>45636.0</v>
      </c>
      <c r="B6118" s="16" t="s">
        <v>6927</v>
      </c>
      <c r="C6118" s="16" t="s">
        <v>2147</v>
      </c>
      <c r="D6118" s="16" t="s">
        <v>707</v>
      </c>
      <c r="E6118" s="16">
        <v>2024.0</v>
      </c>
      <c r="F6118" s="16">
        <v>50.5884</v>
      </c>
      <c r="G6118" s="16">
        <v>10.9951</v>
      </c>
      <c r="H6118" s="15"/>
      <c r="I6118" s="15"/>
    </row>
    <row r="6119">
      <c r="A6119" s="17">
        <v>45636.0</v>
      </c>
      <c r="B6119" s="16" t="s">
        <v>6928</v>
      </c>
      <c r="C6119" s="16">
        <v>10.0</v>
      </c>
      <c r="D6119" s="16" t="s">
        <v>707</v>
      </c>
      <c r="E6119" s="16">
        <v>2024.0</v>
      </c>
      <c r="F6119" s="16">
        <v>52.1778</v>
      </c>
      <c r="G6119" s="16">
        <v>13.224</v>
      </c>
      <c r="H6119" s="15"/>
      <c r="I6119" s="15"/>
    </row>
    <row r="6120">
      <c r="A6120" s="17">
        <v>45636.0</v>
      </c>
      <c r="B6120" s="16" t="s">
        <v>6929</v>
      </c>
      <c r="C6120" s="16">
        <v>6.0</v>
      </c>
      <c r="D6120" s="16" t="s">
        <v>707</v>
      </c>
      <c r="E6120" s="16">
        <v>2024.0</v>
      </c>
      <c r="F6120" s="16">
        <v>47.9946</v>
      </c>
      <c r="G6120" s="16">
        <v>10.6892</v>
      </c>
      <c r="H6120" s="15"/>
      <c r="I6120" s="15"/>
    </row>
    <row r="6121">
      <c r="A6121" s="17">
        <v>45636.0</v>
      </c>
      <c r="B6121" s="16" t="s">
        <v>6930</v>
      </c>
      <c r="C6121" s="16" t="s">
        <v>1771</v>
      </c>
      <c r="D6121" s="16" t="s">
        <v>707</v>
      </c>
      <c r="E6121" s="16">
        <v>2024.0</v>
      </c>
      <c r="F6121" s="16">
        <v>54.2655</v>
      </c>
      <c r="G6121" s="16">
        <v>13.085</v>
      </c>
      <c r="H6121" s="15"/>
      <c r="I6121" s="15"/>
    </row>
    <row r="6122">
      <c r="A6122" s="17">
        <v>45636.0</v>
      </c>
      <c r="B6122" s="16" t="s">
        <v>6931</v>
      </c>
      <c r="C6122" s="16" t="s">
        <v>969</v>
      </c>
      <c r="D6122" s="16" t="s">
        <v>707</v>
      </c>
      <c r="E6122" s="16">
        <v>2024.0</v>
      </c>
      <c r="F6122" s="16">
        <v>54.2671</v>
      </c>
      <c r="G6122" s="16">
        <v>13.0839</v>
      </c>
      <c r="H6122" s="15"/>
      <c r="I6122" s="15"/>
    </row>
    <row r="6123">
      <c r="A6123" s="17">
        <v>45636.0</v>
      </c>
      <c r="B6123" s="16" t="s">
        <v>6932</v>
      </c>
      <c r="C6123" s="16">
        <v>2.0</v>
      </c>
      <c r="D6123" s="16" t="s">
        <v>707</v>
      </c>
      <c r="E6123" s="16">
        <v>2024.0</v>
      </c>
      <c r="F6123" s="16">
        <v>50.7666</v>
      </c>
      <c r="G6123" s="16">
        <v>6.1486</v>
      </c>
      <c r="H6123" s="15"/>
      <c r="I6123" s="15"/>
    </row>
    <row r="6124">
      <c r="A6124" s="17">
        <v>45636.0</v>
      </c>
      <c r="B6124" s="16" t="s">
        <v>6933</v>
      </c>
      <c r="C6124" s="16">
        <v>2.0</v>
      </c>
      <c r="D6124" s="16" t="s">
        <v>707</v>
      </c>
      <c r="E6124" s="16">
        <v>2024.0</v>
      </c>
      <c r="F6124" s="16">
        <v>50.6677</v>
      </c>
      <c r="G6124" s="16">
        <v>11.4876</v>
      </c>
      <c r="H6124" s="15"/>
      <c r="I6124" s="15"/>
    </row>
    <row r="6125">
      <c r="A6125" s="17">
        <v>45636.0</v>
      </c>
      <c r="B6125" s="16" t="s">
        <v>6934</v>
      </c>
      <c r="C6125" s="16" t="s">
        <v>951</v>
      </c>
      <c r="D6125" s="16" t="s">
        <v>707</v>
      </c>
      <c r="E6125" s="16">
        <v>2024.0</v>
      </c>
      <c r="F6125" s="16">
        <v>50.5795</v>
      </c>
      <c r="G6125" s="16">
        <v>6.2698</v>
      </c>
      <c r="H6125" s="15"/>
      <c r="I6125" s="15"/>
    </row>
    <row r="6126">
      <c r="A6126" s="17">
        <v>45636.0</v>
      </c>
      <c r="B6126" s="16" t="s">
        <v>6935</v>
      </c>
      <c r="C6126" s="16">
        <v>3.0</v>
      </c>
      <c r="D6126" s="16" t="s">
        <v>707</v>
      </c>
      <c r="E6126" s="16">
        <v>2024.0</v>
      </c>
      <c r="F6126" s="16">
        <v>49.0557</v>
      </c>
      <c r="G6126" s="16">
        <v>12.8263</v>
      </c>
      <c r="H6126" s="15"/>
      <c r="I6126" s="15"/>
    </row>
    <row r="6127">
      <c r="A6127" s="17">
        <v>45636.0</v>
      </c>
      <c r="B6127" s="16" t="s">
        <v>6936</v>
      </c>
      <c r="C6127" s="16" t="s">
        <v>1059</v>
      </c>
      <c r="D6127" s="16" t="s">
        <v>707</v>
      </c>
      <c r="E6127" s="16">
        <v>2024.0</v>
      </c>
      <c r="F6127" s="16">
        <v>53.9966</v>
      </c>
      <c r="G6127" s="16">
        <v>9.107</v>
      </c>
      <c r="H6127" s="15"/>
      <c r="I6127" s="15"/>
    </row>
    <row r="6128">
      <c r="A6128" s="17">
        <v>45636.0</v>
      </c>
      <c r="B6128" s="16" t="s">
        <v>6937</v>
      </c>
      <c r="C6128" s="16" t="s">
        <v>978</v>
      </c>
      <c r="D6128" s="16" t="s">
        <v>707</v>
      </c>
      <c r="E6128" s="16">
        <v>2024.0</v>
      </c>
      <c r="F6128" s="16">
        <v>48.3521</v>
      </c>
      <c r="G6128" s="16">
        <v>13.0125</v>
      </c>
      <c r="H6128" s="15"/>
      <c r="I6128" s="15"/>
    </row>
    <row r="6129">
      <c r="A6129" s="17">
        <v>45636.0</v>
      </c>
      <c r="B6129" s="16" t="s">
        <v>6938</v>
      </c>
      <c r="C6129" s="16" t="s">
        <v>1034</v>
      </c>
      <c r="D6129" s="16" t="s">
        <v>707</v>
      </c>
      <c r="E6129" s="16">
        <v>2024.0</v>
      </c>
      <c r="F6129" s="16">
        <v>48.9315</v>
      </c>
      <c r="G6129" s="16">
        <v>12.0917</v>
      </c>
      <c r="H6129" s="15"/>
      <c r="I6129" s="15"/>
    </row>
    <row r="6130">
      <c r="A6130" s="17">
        <v>45636.0</v>
      </c>
      <c r="B6130" s="16" t="s">
        <v>6939</v>
      </c>
      <c r="C6130" s="16">
        <v>3.0</v>
      </c>
      <c r="D6130" s="16" t="s">
        <v>707</v>
      </c>
      <c r="E6130" s="16">
        <v>2024.0</v>
      </c>
      <c r="F6130" s="16">
        <v>49.4374</v>
      </c>
      <c r="G6130" s="16">
        <v>8.3241</v>
      </c>
      <c r="H6130" s="15"/>
      <c r="I6130" s="15"/>
    </row>
    <row r="6131">
      <c r="A6131" s="17">
        <v>45636.0</v>
      </c>
      <c r="B6131" s="16" t="s">
        <v>6940</v>
      </c>
      <c r="C6131" s="16" t="s">
        <v>961</v>
      </c>
      <c r="D6131" s="16" t="s">
        <v>707</v>
      </c>
      <c r="E6131" s="16">
        <v>2024.0</v>
      </c>
      <c r="F6131" s="16">
        <v>52.1912</v>
      </c>
      <c r="G6131" s="16">
        <v>7.9623</v>
      </c>
      <c r="H6131" s="15"/>
      <c r="I6131" s="15"/>
    </row>
    <row r="6132">
      <c r="A6132" s="17">
        <v>45636.0</v>
      </c>
      <c r="B6132" s="16" t="s">
        <v>6941</v>
      </c>
      <c r="C6132" s="16" t="s">
        <v>1007</v>
      </c>
      <c r="D6132" s="16" t="s">
        <v>707</v>
      </c>
      <c r="E6132" s="16">
        <v>2024.0</v>
      </c>
      <c r="F6132" s="16">
        <v>48.2732</v>
      </c>
      <c r="G6132" s="16">
        <v>12.2737</v>
      </c>
      <c r="H6132" s="15"/>
      <c r="I6132" s="15"/>
    </row>
    <row r="6133">
      <c r="A6133" s="17">
        <v>45636.0</v>
      </c>
      <c r="B6133" s="16" t="s">
        <v>6942</v>
      </c>
      <c r="C6133" s="16" t="s">
        <v>969</v>
      </c>
      <c r="D6133" s="16" t="s">
        <v>707</v>
      </c>
      <c r="E6133" s="16">
        <v>2024.0</v>
      </c>
      <c r="F6133" s="16">
        <v>52.8812</v>
      </c>
      <c r="G6133" s="16">
        <v>8.1089</v>
      </c>
      <c r="H6133" s="15"/>
      <c r="I6133" s="15"/>
    </row>
    <row r="6134">
      <c r="A6134" s="17">
        <v>45636.0</v>
      </c>
      <c r="B6134" s="16" t="s">
        <v>6943</v>
      </c>
      <c r="C6134" s="16" t="s">
        <v>1002</v>
      </c>
      <c r="D6134" s="16" t="s">
        <v>707</v>
      </c>
      <c r="E6134" s="16">
        <v>2024.0</v>
      </c>
      <c r="F6134" s="16">
        <v>50.8806</v>
      </c>
      <c r="G6134" s="16">
        <v>10.9235</v>
      </c>
      <c r="H6134" s="15"/>
      <c r="I6134" s="15"/>
    </row>
    <row r="6135">
      <c r="A6135" s="17">
        <v>45636.0</v>
      </c>
      <c r="B6135" s="16" t="s">
        <v>6944</v>
      </c>
      <c r="C6135" s="16" t="s">
        <v>1090</v>
      </c>
      <c r="D6135" s="16" t="s">
        <v>707</v>
      </c>
      <c r="E6135" s="16">
        <v>2024.0</v>
      </c>
      <c r="F6135" s="16">
        <v>48.7576</v>
      </c>
      <c r="G6135" s="16">
        <v>10.3021</v>
      </c>
      <c r="H6135" s="15"/>
      <c r="I6135" s="15"/>
    </row>
    <row r="6136">
      <c r="A6136" s="17">
        <v>45636.0</v>
      </c>
      <c r="B6136" s="16" t="s">
        <v>6945</v>
      </c>
      <c r="C6136" s="16" t="s">
        <v>1090</v>
      </c>
      <c r="D6136" s="16" t="s">
        <v>707</v>
      </c>
      <c r="E6136" s="16">
        <v>2024.0</v>
      </c>
      <c r="F6136" s="16">
        <v>48.7576</v>
      </c>
      <c r="G6136" s="16">
        <v>10.3019</v>
      </c>
      <c r="H6136" s="15"/>
      <c r="I6136" s="15"/>
    </row>
    <row r="6137">
      <c r="A6137" s="17">
        <v>45636.0</v>
      </c>
      <c r="B6137" s="16" t="s">
        <v>6946</v>
      </c>
      <c r="C6137" s="16" t="s">
        <v>1090</v>
      </c>
      <c r="D6137" s="16" t="s">
        <v>707</v>
      </c>
      <c r="E6137" s="16">
        <v>2024.0</v>
      </c>
      <c r="F6137" s="16">
        <v>48.7576</v>
      </c>
      <c r="G6137" s="16">
        <v>10.3017</v>
      </c>
      <c r="H6137" s="15"/>
      <c r="I6137" s="15"/>
    </row>
    <row r="6138">
      <c r="A6138" s="17">
        <v>45636.0</v>
      </c>
      <c r="B6138" s="16" t="s">
        <v>6947</v>
      </c>
      <c r="C6138" s="16" t="s">
        <v>1055</v>
      </c>
      <c r="D6138" s="16" t="s">
        <v>707</v>
      </c>
      <c r="E6138" s="16">
        <v>2024.0</v>
      </c>
      <c r="F6138" s="16">
        <v>48.2839</v>
      </c>
      <c r="G6138" s="16">
        <v>8.1836</v>
      </c>
      <c r="H6138" s="15"/>
      <c r="I6138" s="15"/>
    </row>
    <row r="6139">
      <c r="A6139" s="17">
        <v>45636.0</v>
      </c>
      <c r="B6139" s="16" t="s">
        <v>6948</v>
      </c>
      <c r="C6139" s="16" t="s">
        <v>1773</v>
      </c>
      <c r="D6139" s="16" t="s">
        <v>707</v>
      </c>
      <c r="E6139" s="16">
        <v>2024.0</v>
      </c>
      <c r="F6139" s="16">
        <v>48.6826</v>
      </c>
      <c r="G6139" s="16">
        <v>12.621</v>
      </c>
      <c r="H6139" s="15"/>
      <c r="I6139" s="15"/>
    </row>
    <row r="6140">
      <c r="A6140" s="17">
        <v>45636.0</v>
      </c>
      <c r="B6140" s="16" t="s">
        <v>6949</v>
      </c>
      <c r="C6140" s="16">
        <v>1.0</v>
      </c>
      <c r="D6140" s="16" t="s">
        <v>707</v>
      </c>
      <c r="E6140" s="16">
        <v>2024.0</v>
      </c>
      <c r="F6140" s="16">
        <v>50.4961</v>
      </c>
      <c r="G6140" s="16">
        <v>12.179</v>
      </c>
      <c r="H6140" s="15"/>
      <c r="I6140" s="15"/>
    </row>
    <row r="6141">
      <c r="A6141" s="17">
        <v>45636.0</v>
      </c>
      <c r="B6141" s="16" t="s">
        <v>6950</v>
      </c>
      <c r="C6141" s="16" t="s">
        <v>1080</v>
      </c>
      <c r="D6141" s="16" t="s">
        <v>707</v>
      </c>
      <c r="E6141" s="16">
        <v>2024.0</v>
      </c>
      <c r="F6141" s="16">
        <v>52.3381</v>
      </c>
      <c r="G6141" s="16">
        <v>14.3238</v>
      </c>
      <c r="H6141" s="15"/>
      <c r="I6141" s="15"/>
    </row>
    <row r="6142">
      <c r="A6142" s="17">
        <v>45636.0</v>
      </c>
      <c r="B6142" s="16" t="s">
        <v>6951</v>
      </c>
      <c r="C6142" s="16" t="s">
        <v>948</v>
      </c>
      <c r="D6142" s="16" t="s">
        <v>707</v>
      </c>
      <c r="E6142" s="16">
        <v>2024.0</v>
      </c>
      <c r="F6142" s="16">
        <v>47.818</v>
      </c>
      <c r="G6142" s="16">
        <v>8.8735</v>
      </c>
      <c r="H6142" s="15"/>
      <c r="I6142" s="15"/>
    </row>
    <row r="6143">
      <c r="A6143" s="17">
        <v>45636.0</v>
      </c>
      <c r="B6143" s="16" t="s">
        <v>6952</v>
      </c>
      <c r="C6143" s="16" t="s">
        <v>948</v>
      </c>
      <c r="D6143" s="16" t="s">
        <v>707</v>
      </c>
      <c r="E6143" s="16">
        <v>2024.0</v>
      </c>
      <c r="F6143" s="16">
        <v>51.8099</v>
      </c>
      <c r="G6143" s="16">
        <v>11.1307</v>
      </c>
      <c r="H6143" s="15"/>
      <c r="I6143" s="15"/>
    </row>
    <row r="6144">
      <c r="A6144" s="17">
        <v>45636.0</v>
      </c>
      <c r="B6144" s="16" t="s">
        <v>6953</v>
      </c>
      <c r="C6144" s="16" t="s">
        <v>1059</v>
      </c>
      <c r="D6144" s="16" t="s">
        <v>707</v>
      </c>
      <c r="E6144" s="16">
        <v>2024.0</v>
      </c>
      <c r="F6144" s="16">
        <v>50.7758</v>
      </c>
      <c r="G6144" s="16">
        <v>6.2123</v>
      </c>
      <c r="H6144" s="15"/>
      <c r="I6144" s="15"/>
    </row>
    <row r="6145">
      <c r="A6145" s="17">
        <v>45636.0</v>
      </c>
      <c r="B6145" s="16" t="s">
        <v>6954</v>
      </c>
      <c r="C6145" s="16">
        <v>8.0</v>
      </c>
      <c r="D6145" s="16" t="s">
        <v>707</v>
      </c>
      <c r="E6145" s="16">
        <v>2024.0</v>
      </c>
      <c r="F6145" s="16">
        <v>53.253</v>
      </c>
      <c r="G6145" s="16">
        <v>14.022</v>
      </c>
      <c r="H6145" s="15"/>
      <c r="I6145" s="15"/>
    </row>
    <row r="6146">
      <c r="A6146" s="17">
        <v>45636.0</v>
      </c>
      <c r="B6146" s="16" t="s">
        <v>6955</v>
      </c>
      <c r="C6146" s="16" t="s">
        <v>2837</v>
      </c>
      <c r="D6146" s="16" t="s">
        <v>707</v>
      </c>
      <c r="E6146" s="16">
        <v>2024.0</v>
      </c>
      <c r="F6146" s="16">
        <v>50.9178</v>
      </c>
      <c r="G6146" s="16">
        <v>6.5162</v>
      </c>
      <c r="H6146" s="15"/>
      <c r="I6146" s="15"/>
    </row>
    <row r="6147">
      <c r="A6147" s="17">
        <v>45636.0</v>
      </c>
      <c r="B6147" s="16" t="s">
        <v>6956</v>
      </c>
      <c r="C6147" s="16" t="s">
        <v>1007</v>
      </c>
      <c r="D6147" s="16" t="s">
        <v>707</v>
      </c>
      <c r="E6147" s="16">
        <v>2024.0</v>
      </c>
      <c r="F6147" s="16">
        <v>48.7439</v>
      </c>
      <c r="G6147" s="16">
        <v>13.4123</v>
      </c>
      <c r="H6147" s="15"/>
      <c r="I6147" s="15"/>
    </row>
    <row r="6148">
      <c r="A6148" s="17">
        <v>45636.0</v>
      </c>
      <c r="B6148" s="16" t="s">
        <v>6957</v>
      </c>
      <c r="C6148" s="16" t="s">
        <v>5207</v>
      </c>
      <c r="D6148" s="16" t="s">
        <v>707</v>
      </c>
      <c r="E6148" s="16">
        <v>2024.0</v>
      </c>
      <c r="F6148" s="16">
        <v>50.0523</v>
      </c>
      <c r="G6148" s="16">
        <v>7.3285</v>
      </c>
      <c r="H6148" s="15"/>
      <c r="I6148" s="15"/>
    </row>
    <row r="6149">
      <c r="A6149" s="17">
        <v>45636.0</v>
      </c>
      <c r="B6149" s="16" t="s">
        <v>6958</v>
      </c>
      <c r="C6149" s="16" t="s">
        <v>951</v>
      </c>
      <c r="D6149" s="16" t="s">
        <v>707</v>
      </c>
      <c r="E6149" s="16">
        <v>2024.0</v>
      </c>
      <c r="F6149" s="16">
        <v>48.608</v>
      </c>
      <c r="G6149" s="16">
        <v>11.5823</v>
      </c>
      <c r="H6149" s="15"/>
      <c r="I6149" s="15"/>
    </row>
    <row r="6150">
      <c r="A6150" s="17">
        <v>45636.0</v>
      </c>
      <c r="B6150" s="16" t="s">
        <v>6959</v>
      </c>
      <c r="C6150" s="16" t="s">
        <v>984</v>
      </c>
      <c r="D6150" s="16" t="s">
        <v>707</v>
      </c>
      <c r="E6150" s="16">
        <v>2024.0</v>
      </c>
      <c r="F6150" s="16">
        <v>51.5084</v>
      </c>
      <c r="G6150" s="16">
        <v>7.6248</v>
      </c>
      <c r="H6150" s="15"/>
      <c r="I6150" s="15"/>
    </row>
    <row r="6151">
      <c r="A6151" s="17">
        <v>45636.0</v>
      </c>
      <c r="B6151" s="16" t="s">
        <v>6960</v>
      </c>
      <c r="C6151" s="16" t="s">
        <v>948</v>
      </c>
      <c r="D6151" s="16" t="s">
        <v>707</v>
      </c>
      <c r="E6151" s="16">
        <v>2024.0</v>
      </c>
      <c r="F6151" s="16">
        <v>53.0109</v>
      </c>
      <c r="G6151" s="16">
        <v>8.878</v>
      </c>
      <c r="H6151" s="15"/>
      <c r="I6151" s="15"/>
    </row>
    <row r="6152">
      <c r="A6152" s="17">
        <v>45636.0</v>
      </c>
      <c r="B6152" s="16" t="s">
        <v>6961</v>
      </c>
      <c r="C6152" s="16" t="s">
        <v>1374</v>
      </c>
      <c r="D6152" s="16" t="s">
        <v>707</v>
      </c>
      <c r="E6152" s="16">
        <v>2024.0</v>
      </c>
      <c r="F6152" s="16">
        <v>51.6494</v>
      </c>
      <c r="G6152" s="16">
        <v>11.9318</v>
      </c>
      <c r="H6152" s="15"/>
      <c r="I6152" s="15"/>
    </row>
    <row r="6153">
      <c r="A6153" s="17">
        <v>45636.0</v>
      </c>
      <c r="B6153" s="16" t="s">
        <v>6962</v>
      </c>
      <c r="C6153" s="16" t="s">
        <v>1745</v>
      </c>
      <c r="D6153" s="16" t="s">
        <v>707</v>
      </c>
      <c r="E6153" s="16">
        <v>2024.0</v>
      </c>
      <c r="F6153" s="16">
        <v>48.911</v>
      </c>
      <c r="G6153" s="16">
        <v>11.1348</v>
      </c>
      <c r="H6153" s="15"/>
      <c r="I6153" s="15"/>
    </row>
    <row r="6154">
      <c r="A6154" s="17">
        <v>45636.0</v>
      </c>
      <c r="B6154" s="16" t="s">
        <v>6963</v>
      </c>
      <c r="C6154" s="16" t="s">
        <v>961</v>
      </c>
      <c r="D6154" s="16" t="s">
        <v>707</v>
      </c>
      <c r="E6154" s="16">
        <v>2024.0</v>
      </c>
      <c r="F6154" s="16">
        <v>51.2906</v>
      </c>
      <c r="G6154" s="16">
        <v>6.5493</v>
      </c>
      <c r="H6154" s="15"/>
      <c r="I6154" s="15"/>
    </row>
    <row r="6155">
      <c r="A6155" s="17">
        <v>45636.0</v>
      </c>
      <c r="B6155" s="16" t="s">
        <v>6964</v>
      </c>
      <c r="C6155" s="16" t="s">
        <v>948</v>
      </c>
      <c r="D6155" s="16" t="s">
        <v>707</v>
      </c>
      <c r="E6155" s="16">
        <v>2024.0</v>
      </c>
      <c r="F6155" s="16">
        <v>48.2052</v>
      </c>
      <c r="G6155" s="16">
        <v>10.093</v>
      </c>
      <c r="H6155" s="15"/>
      <c r="I6155" s="15"/>
    </row>
    <row r="6156">
      <c r="A6156" s="17">
        <v>45636.0</v>
      </c>
      <c r="B6156" s="16" t="s">
        <v>6965</v>
      </c>
      <c r="C6156" s="16">
        <v>11.0</v>
      </c>
      <c r="D6156" s="16" t="s">
        <v>707</v>
      </c>
      <c r="E6156" s="16">
        <v>2024.0</v>
      </c>
      <c r="F6156" s="16">
        <v>49.9736</v>
      </c>
      <c r="G6156" s="16">
        <v>6.949</v>
      </c>
      <c r="H6156" s="15"/>
      <c r="I6156" s="15"/>
    </row>
    <row r="6157">
      <c r="A6157" s="17">
        <v>45636.0</v>
      </c>
      <c r="B6157" s="16" t="s">
        <v>6966</v>
      </c>
      <c r="C6157" s="16">
        <v>2.0</v>
      </c>
      <c r="D6157" s="16" t="s">
        <v>707</v>
      </c>
      <c r="E6157" s="16">
        <v>2024.0</v>
      </c>
      <c r="F6157" s="16">
        <v>48.2169</v>
      </c>
      <c r="G6157" s="16">
        <v>10.123</v>
      </c>
      <c r="H6157" s="15"/>
      <c r="I6157" s="15"/>
    </row>
    <row r="6158">
      <c r="A6158" s="17">
        <v>45636.0</v>
      </c>
      <c r="B6158" s="16" t="s">
        <v>6967</v>
      </c>
      <c r="C6158" s="16" t="s">
        <v>951</v>
      </c>
      <c r="D6158" s="16" t="s">
        <v>707</v>
      </c>
      <c r="E6158" s="16">
        <v>2024.0</v>
      </c>
      <c r="F6158" s="16">
        <v>48.2172</v>
      </c>
      <c r="G6158" s="16">
        <v>10.1229</v>
      </c>
      <c r="H6158" s="15"/>
      <c r="I6158" s="15"/>
    </row>
    <row r="6159">
      <c r="A6159" s="17">
        <v>45636.0</v>
      </c>
      <c r="B6159" s="16" t="s">
        <v>6968</v>
      </c>
      <c r="C6159" s="16" t="s">
        <v>1310</v>
      </c>
      <c r="D6159" s="16" t="s">
        <v>707</v>
      </c>
      <c r="E6159" s="16">
        <v>2024.0</v>
      </c>
      <c r="F6159" s="16">
        <v>49.7115</v>
      </c>
      <c r="G6159" s="16">
        <v>6.7019</v>
      </c>
      <c r="H6159" s="15"/>
      <c r="I6159" s="15"/>
    </row>
    <row r="6160">
      <c r="A6160" s="17">
        <v>45636.0</v>
      </c>
      <c r="B6160" s="16" t="s">
        <v>6969</v>
      </c>
      <c r="C6160" s="16" t="s">
        <v>5857</v>
      </c>
      <c r="D6160" s="16" t="s">
        <v>707</v>
      </c>
      <c r="E6160" s="16">
        <v>2024.0</v>
      </c>
      <c r="F6160" s="16">
        <v>53.2062</v>
      </c>
      <c r="G6160" s="16">
        <v>10.1319</v>
      </c>
      <c r="H6160" s="15"/>
      <c r="I6160" s="15"/>
    </row>
    <row r="6161">
      <c r="A6161" s="17">
        <v>45636.0</v>
      </c>
      <c r="B6161" s="16" t="s">
        <v>6970</v>
      </c>
      <c r="C6161" s="16">
        <v>2.0</v>
      </c>
      <c r="D6161" s="16" t="s">
        <v>707</v>
      </c>
      <c r="E6161" s="16">
        <v>2024.0</v>
      </c>
      <c r="F6161" s="16">
        <v>50.0307</v>
      </c>
      <c r="G6161" s="16">
        <v>8.1798</v>
      </c>
      <c r="H6161" s="15"/>
      <c r="I6161" s="15"/>
    </row>
    <row r="6162">
      <c r="A6162" s="17">
        <v>45636.0</v>
      </c>
      <c r="B6162" s="16" t="s">
        <v>6971</v>
      </c>
      <c r="C6162" s="16" t="s">
        <v>1386</v>
      </c>
      <c r="D6162" s="16" t="s">
        <v>707</v>
      </c>
      <c r="E6162" s="16">
        <v>2024.0</v>
      </c>
      <c r="F6162" s="16">
        <v>47.9972</v>
      </c>
      <c r="G6162" s="16">
        <v>9.4365</v>
      </c>
      <c r="H6162" s="15"/>
      <c r="I6162" s="15"/>
    </row>
    <row r="6163">
      <c r="A6163" s="17">
        <v>45636.0</v>
      </c>
      <c r="B6163" s="16" t="s">
        <v>6972</v>
      </c>
      <c r="C6163" s="16" t="s">
        <v>6973</v>
      </c>
      <c r="D6163" s="16" t="s">
        <v>707</v>
      </c>
      <c r="E6163" s="16">
        <v>2024.0</v>
      </c>
      <c r="F6163" s="16">
        <v>48.5445</v>
      </c>
      <c r="G6163" s="16">
        <v>12.5655</v>
      </c>
      <c r="H6163" s="15"/>
      <c r="I6163" s="15"/>
    </row>
    <row r="6164">
      <c r="A6164" s="17">
        <v>45636.0</v>
      </c>
      <c r="B6164" s="16" t="s">
        <v>6974</v>
      </c>
      <c r="C6164" s="16" t="s">
        <v>1090</v>
      </c>
      <c r="D6164" s="16" t="s">
        <v>707</v>
      </c>
      <c r="E6164" s="16">
        <v>2024.0</v>
      </c>
      <c r="F6164" s="16">
        <v>52.223</v>
      </c>
      <c r="G6164" s="16">
        <v>11.2067</v>
      </c>
      <c r="H6164" s="15"/>
      <c r="I6164" s="15"/>
    </row>
    <row r="6165">
      <c r="A6165" s="17">
        <v>45636.0</v>
      </c>
      <c r="B6165" s="16" t="s">
        <v>6975</v>
      </c>
      <c r="C6165" s="16" t="s">
        <v>946</v>
      </c>
      <c r="D6165" s="16" t="s">
        <v>707</v>
      </c>
      <c r="E6165" s="16">
        <v>2024.0</v>
      </c>
      <c r="F6165" s="16">
        <v>51.3044</v>
      </c>
      <c r="G6165" s="16">
        <v>11.4546</v>
      </c>
      <c r="H6165" s="15"/>
      <c r="I6165" s="15"/>
    </row>
    <row r="6166">
      <c r="A6166" s="17">
        <v>45636.0</v>
      </c>
      <c r="B6166" s="16" t="s">
        <v>6976</v>
      </c>
      <c r="C6166" s="16" t="s">
        <v>1267</v>
      </c>
      <c r="D6166" s="16" t="s">
        <v>707</v>
      </c>
      <c r="E6166" s="16">
        <v>2024.0</v>
      </c>
      <c r="F6166" s="16">
        <v>51.2394</v>
      </c>
      <c r="G6166" s="16">
        <v>10.1582</v>
      </c>
      <c r="H6166" s="15"/>
      <c r="I6166" s="15"/>
    </row>
    <row r="6167">
      <c r="A6167" s="17">
        <v>45636.0</v>
      </c>
      <c r="B6167" s="16" t="s">
        <v>6977</v>
      </c>
      <c r="C6167" s="16" t="s">
        <v>969</v>
      </c>
      <c r="D6167" s="16" t="s">
        <v>707</v>
      </c>
      <c r="E6167" s="16">
        <v>2024.0</v>
      </c>
      <c r="F6167" s="16">
        <v>51.3204</v>
      </c>
      <c r="G6167" s="16">
        <v>9.57</v>
      </c>
      <c r="H6167" s="15"/>
      <c r="I6167" s="15"/>
    </row>
    <row r="6168">
      <c r="A6168" s="17">
        <v>45636.0</v>
      </c>
      <c r="B6168" s="16" t="s">
        <v>6978</v>
      </c>
      <c r="C6168" s="16" t="s">
        <v>1581</v>
      </c>
      <c r="D6168" s="16" t="s">
        <v>707</v>
      </c>
      <c r="E6168" s="16">
        <v>2024.0</v>
      </c>
      <c r="F6168" s="16">
        <v>49.7375</v>
      </c>
      <c r="G6168" s="16">
        <v>11.6582</v>
      </c>
      <c r="H6168" s="15"/>
      <c r="I6168" s="15"/>
    </row>
    <row r="6169">
      <c r="A6169" s="17">
        <v>45636.0</v>
      </c>
      <c r="B6169" s="16" t="s">
        <v>6979</v>
      </c>
      <c r="C6169" s="16">
        <v>4.0</v>
      </c>
      <c r="D6169" s="16" t="s">
        <v>707</v>
      </c>
      <c r="E6169" s="16">
        <v>2024.0</v>
      </c>
      <c r="F6169" s="16">
        <v>51.2544</v>
      </c>
      <c r="G6169" s="16">
        <v>12.4276</v>
      </c>
      <c r="H6169" s="15"/>
      <c r="I6169" s="15"/>
    </row>
    <row r="6170">
      <c r="A6170" s="17">
        <v>45636.0</v>
      </c>
      <c r="B6170" s="16" t="s">
        <v>6980</v>
      </c>
      <c r="C6170" s="16">
        <v>3.0</v>
      </c>
      <c r="D6170" s="16" t="s">
        <v>707</v>
      </c>
      <c r="E6170" s="16">
        <v>2024.0</v>
      </c>
      <c r="F6170" s="16">
        <v>48.5924</v>
      </c>
      <c r="G6170" s="16">
        <v>11.7205</v>
      </c>
      <c r="H6170" s="15"/>
      <c r="I6170" s="15"/>
    </row>
    <row r="6171">
      <c r="A6171" s="17">
        <v>45636.0</v>
      </c>
      <c r="B6171" s="16" t="s">
        <v>6981</v>
      </c>
      <c r="C6171" s="16" t="s">
        <v>1609</v>
      </c>
      <c r="D6171" s="16" t="s">
        <v>707</v>
      </c>
      <c r="E6171" s="16">
        <v>2024.0</v>
      </c>
      <c r="F6171" s="16">
        <v>49.1968</v>
      </c>
      <c r="G6171" s="16">
        <v>11.2926</v>
      </c>
      <c r="H6171" s="15"/>
      <c r="I6171" s="15"/>
    </row>
    <row r="6172">
      <c r="A6172" s="17">
        <v>45636.0</v>
      </c>
      <c r="B6172" s="16" t="s">
        <v>6982</v>
      </c>
      <c r="C6172" s="16" t="s">
        <v>2990</v>
      </c>
      <c r="D6172" s="16" t="s">
        <v>707</v>
      </c>
      <c r="E6172" s="16">
        <v>2024.0</v>
      </c>
      <c r="F6172" s="16">
        <v>49.7399</v>
      </c>
      <c r="G6172" s="16">
        <v>11.6458</v>
      </c>
      <c r="H6172" s="15"/>
      <c r="I6172" s="15"/>
    </row>
    <row r="6173">
      <c r="A6173" s="17">
        <v>45636.0</v>
      </c>
      <c r="B6173" s="16" t="s">
        <v>6983</v>
      </c>
      <c r="C6173" s="16" t="s">
        <v>1167</v>
      </c>
      <c r="D6173" s="16" t="s">
        <v>707</v>
      </c>
      <c r="E6173" s="16">
        <v>2024.0</v>
      </c>
      <c r="F6173" s="16">
        <v>48.8261</v>
      </c>
      <c r="G6173" s="16">
        <v>12.1729</v>
      </c>
      <c r="H6173" s="15"/>
      <c r="I6173" s="15"/>
    </row>
    <row r="6174">
      <c r="A6174" s="17">
        <v>45636.0</v>
      </c>
      <c r="B6174" s="16" t="s">
        <v>6984</v>
      </c>
      <c r="C6174" s="16" t="s">
        <v>5137</v>
      </c>
      <c r="D6174" s="16" t="s">
        <v>707</v>
      </c>
      <c r="E6174" s="16">
        <v>2024.0</v>
      </c>
      <c r="F6174" s="16">
        <v>49.7449</v>
      </c>
      <c r="G6174" s="16">
        <v>11.692</v>
      </c>
      <c r="H6174" s="15"/>
      <c r="I6174" s="15"/>
    </row>
    <row r="6175">
      <c r="A6175" s="17">
        <v>45636.0</v>
      </c>
      <c r="B6175" s="16" t="s">
        <v>6985</v>
      </c>
      <c r="C6175" s="16" t="s">
        <v>951</v>
      </c>
      <c r="D6175" s="16" t="s">
        <v>707</v>
      </c>
      <c r="E6175" s="16">
        <v>2024.0</v>
      </c>
      <c r="F6175" s="16">
        <v>48.6087</v>
      </c>
      <c r="G6175" s="16">
        <v>11.6607</v>
      </c>
      <c r="H6175" s="15"/>
      <c r="I6175" s="15"/>
    </row>
    <row r="6176">
      <c r="A6176" s="17">
        <v>45636.0</v>
      </c>
      <c r="B6176" s="16" t="s">
        <v>6986</v>
      </c>
      <c r="C6176" s="16">
        <v>9.0</v>
      </c>
      <c r="D6176" s="16" t="s">
        <v>707</v>
      </c>
      <c r="E6176" s="16">
        <v>2024.0</v>
      </c>
      <c r="F6176" s="16">
        <v>49.7358</v>
      </c>
      <c r="G6176" s="16">
        <v>11.6458</v>
      </c>
      <c r="H6176" s="15"/>
      <c r="I6176" s="15"/>
    </row>
    <row r="6177">
      <c r="A6177" s="17">
        <v>45636.0</v>
      </c>
      <c r="B6177" s="16" t="s">
        <v>6987</v>
      </c>
      <c r="C6177" s="16" t="s">
        <v>1581</v>
      </c>
      <c r="D6177" s="16" t="s">
        <v>707</v>
      </c>
      <c r="E6177" s="16">
        <v>2024.0</v>
      </c>
      <c r="F6177" s="16">
        <v>49.7538</v>
      </c>
      <c r="G6177" s="16">
        <v>11.6263</v>
      </c>
      <c r="H6177" s="15"/>
      <c r="I6177" s="15"/>
    </row>
    <row r="6178">
      <c r="A6178" s="17">
        <v>45636.0</v>
      </c>
      <c r="B6178" s="16" t="s">
        <v>6988</v>
      </c>
      <c r="C6178" s="16" t="s">
        <v>978</v>
      </c>
      <c r="D6178" s="16" t="s">
        <v>707</v>
      </c>
      <c r="E6178" s="16">
        <v>2024.0</v>
      </c>
      <c r="F6178" s="16">
        <v>49.4674</v>
      </c>
      <c r="G6178" s="16">
        <v>6.9818</v>
      </c>
      <c r="H6178" s="15"/>
      <c r="I6178" s="15"/>
    </row>
    <row r="6179">
      <c r="A6179" s="17">
        <v>45636.0</v>
      </c>
      <c r="B6179" s="16" t="s">
        <v>6989</v>
      </c>
      <c r="C6179" s="16" t="s">
        <v>1055</v>
      </c>
      <c r="D6179" s="16" t="s">
        <v>707</v>
      </c>
      <c r="E6179" s="16">
        <v>2024.0</v>
      </c>
      <c r="F6179" s="16">
        <v>48.5284</v>
      </c>
      <c r="G6179" s="16">
        <v>10.3711</v>
      </c>
      <c r="H6179" s="15"/>
      <c r="I6179" s="15"/>
    </row>
    <row r="6180">
      <c r="A6180" s="17">
        <v>45636.0</v>
      </c>
      <c r="B6180" s="16" t="s">
        <v>6990</v>
      </c>
      <c r="C6180" s="16" t="s">
        <v>2821</v>
      </c>
      <c r="D6180" s="16" t="s">
        <v>707</v>
      </c>
      <c r="E6180" s="16">
        <v>2024.0</v>
      </c>
      <c r="F6180" s="16">
        <v>49.4957</v>
      </c>
      <c r="G6180" s="16">
        <v>10.8653</v>
      </c>
      <c r="H6180" s="15"/>
      <c r="I6180" s="15"/>
    </row>
    <row r="6181">
      <c r="A6181" s="17">
        <v>45636.0</v>
      </c>
      <c r="B6181" s="16" t="s">
        <v>6991</v>
      </c>
      <c r="C6181" s="16">
        <v>2.0</v>
      </c>
      <c r="D6181" s="16" t="s">
        <v>707</v>
      </c>
      <c r="E6181" s="16">
        <v>2024.0</v>
      </c>
      <c r="F6181" s="16">
        <v>49.4953</v>
      </c>
      <c r="G6181" s="16">
        <v>10.8671</v>
      </c>
      <c r="H6181" s="15"/>
      <c r="I6181" s="15"/>
    </row>
    <row r="6182">
      <c r="A6182" s="17">
        <v>45636.0</v>
      </c>
      <c r="B6182" s="16" t="s">
        <v>6992</v>
      </c>
      <c r="C6182" s="16" t="s">
        <v>1432</v>
      </c>
      <c r="D6182" s="16" t="s">
        <v>707</v>
      </c>
      <c r="E6182" s="16">
        <v>2024.0</v>
      </c>
      <c r="F6182" s="16">
        <v>54.1243</v>
      </c>
      <c r="G6182" s="16">
        <v>9.3861</v>
      </c>
      <c r="H6182" s="15"/>
      <c r="I6182" s="15"/>
    </row>
    <row r="6183">
      <c r="A6183" s="17">
        <v>45636.0</v>
      </c>
      <c r="B6183" s="16" t="s">
        <v>6993</v>
      </c>
      <c r="C6183" s="16" t="s">
        <v>6032</v>
      </c>
      <c r="D6183" s="16" t="s">
        <v>707</v>
      </c>
      <c r="E6183" s="16">
        <v>2024.0</v>
      </c>
      <c r="F6183" s="16">
        <v>54.1257</v>
      </c>
      <c r="G6183" s="16">
        <v>9.3781</v>
      </c>
      <c r="H6183" s="15"/>
      <c r="I6183" s="15"/>
    </row>
    <row r="6184">
      <c r="A6184" s="17">
        <v>45636.0</v>
      </c>
      <c r="B6184" s="16" t="s">
        <v>6994</v>
      </c>
      <c r="C6184" s="16" t="s">
        <v>2404</v>
      </c>
      <c r="D6184" s="16" t="s">
        <v>707</v>
      </c>
      <c r="E6184" s="16">
        <v>2024.0</v>
      </c>
      <c r="F6184" s="16">
        <v>48.4856</v>
      </c>
      <c r="G6184" s="16">
        <v>12.1257</v>
      </c>
      <c r="H6184" s="15"/>
      <c r="I6184" s="15"/>
    </row>
    <row r="6185">
      <c r="A6185" s="17">
        <v>45636.0</v>
      </c>
      <c r="B6185" s="16" t="s">
        <v>6995</v>
      </c>
      <c r="C6185" s="16">
        <v>7.0</v>
      </c>
      <c r="D6185" s="16" t="s">
        <v>707</v>
      </c>
      <c r="E6185" s="16">
        <v>2024.0</v>
      </c>
      <c r="F6185" s="16">
        <v>49.0687</v>
      </c>
      <c r="G6185" s="16">
        <v>12.1172</v>
      </c>
      <c r="H6185" s="15"/>
      <c r="I6185" s="15"/>
    </row>
    <row r="6186">
      <c r="A6186" s="17">
        <v>45636.0</v>
      </c>
      <c r="B6186" s="16" t="s">
        <v>6996</v>
      </c>
      <c r="C6186" s="16" t="s">
        <v>6171</v>
      </c>
      <c r="D6186" s="16" t="s">
        <v>707</v>
      </c>
      <c r="E6186" s="16">
        <v>2024.0</v>
      </c>
      <c r="F6186" s="16">
        <v>51.4426</v>
      </c>
      <c r="G6186" s="16">
        <v>14.1295</v>
      </c>
      <c r="H6186" s="15"/>
      <c r="I6186" s="15"/>
    </row>
    <row r="6187">
      <c r="A6187" s="17">
        <v>45636.0</v>
      </c>
      <c r="B6187" s="16" t="s">
        <v>6997</v>
      </c>
      <c r="C6187" s="16" t="s">
        <v>1037</v>
      </c>
      <c r="D6187" s="16" t="s">
        <v>707</v>
      </c>
      <c r="E6187" s="16">
        <v>2024.0</v>
      </c>
      <c r="F6187" s="16">
        <v>49.6246</v>
      </c>
      <c r="G6187" s="16">
        <v>12.0703</v>
      </c>
      <c r="H6187" s="15"/>
      <c r="I6187" s="15"/>
    </row>
    <row r="6188">
      <c r="A6188" s="17">
        <v>45636.0</v>
      </c>
      <c r="B6188" s="16" t="s">
        <v>6998</v>
      </c>
      <c r="C6188" s="16" t="s">
        <v>942</v>
      </c>
      <c r="D6188" s="16" t="s">
        <v>707</v>
      </c>
      <c r="E6188" s="16">
        <v>2024.0</v>
      </c>
      <c r="F6188" s="16">
        <v>49.8577</v>
      </c>
      <c r="G6188" s="16">
        <v>8.6724</v>
      </c>
      <c r="H6188" s="15"/>
      <c r="I6188" s="15"/>
    </row>
    <row r="6189">
      <c r="A6189" s="17">
        <v>45636.0</v>
      </c>
      <c r="B6189" s="16" t="s">
        <v>6999</v>
      </c>
      <c r="C6189" s="16" t="s">
        <v>1011</v>
      </c>
      <c r="D6189" s="16" t="s">
        <v>707</v>
      </c>
      <c r="E6189" s="16">
        <v>2024.0</v>
      </c>
      <c r="F6189" s="16">
        <v>52.837</v>
      </c>
      <c r="G6189" s="16">
        <v>11.2064</v>
      </c>
      <c r="H6189" s="15"/>
      <c r="I6189" s="15"/>
    </row>
    <row r="6190">
      <c r="A6190" s="17">
        <v>45636.0</v>
      </c>
      <c r="B6190" s="16" t="s">
        <v>7000</v>
      </c>
      <c r="C6190" s="16" t="s">
        <v>3505</v>
      </c>
      <c r="D6190" s="16" t="s">
        <v>707</v>
      </c>
      <c r="E6190" s="16">
        <v>2024.0</v>
      </c>
      <c r="F6190" s="16">
        <v>48.1217</v>
      </c>
      <c r="G6190" s="16">
        <v>9.6657</v>
      </c>
      <c r="H6190" s="15"/>
      <c r="I6190" s="15"/>
    </row>
    <row r="6191">
      <c r="A6191" s="17">
        <v>45636.0</v>
      </c>
      <c r="B6191" s="16" t="s">
        <v>7001</v>
      </c>
      <c r="C6191" s="16">
        <v>4.0</v>
      </c>
      <c r="D6191" s="16" t="s">
        <v>707</v>
      </c>
      <c r="E6191" s="16">
        <v>2024.0</v>
      </c>
      <c r="F6191" s="16">
        <v>48.1214</v>
      </c>
      <c r="G6191" s="16">
        <v>9.6773</v>
      </c>
      <c r="H6191" s="15"/>
      <c r="I6191" s="15"/>
    </row>
    <row r="6192">
      <c r="A6192" s="17">
        <v>45636.0</v>
      </c>
      <c r="B6192" s="16" t="s">
        <v>7002</v>
      </c>
      <c r="C6192" s="16" t="s">
        <v>948</v>
      </c>
      <c r="D6192" s="16" t="s">
        <v>707</v>
      </c>
      <c r="E6192" s="16">
        <v>2024.0</v>
      </c>
      <c r="F6192" s="16">
        <v>51.6459</v>
      </c>
      <c r="G6192" s="16">
        <v>8.5338</v>
      </c>
      <c r="H6192" s="15"/>
      <c r="I6192" s="15"/>
    </row>
    <row r="6193">
      <c r="A6193" s="17">
        <v>45636.0</v>
      </c>
      <c r="B6193" s="16" t="s">
        <v>7003</v>
      </c>
      <c r="C6193" s="16" t="s">
        <v>1090</v>
      </c>
      <c r="D6193" s="16" t="s">
        <v>707</v>
      </c>
      <c r="E6193" s="16">
        <v>2024.0</v>
      </c>
      <c r="F6193" s="16">
        <v>48.5195</v>
      </c>
      <c r="G6193" s="16">
        <v>9.8647</v>
      </c>
      <c r="H6193" s="15"/>
      <c r="I6193" s="15"/>
    </row>
    <row r="6194">
      <c r="A6194" s="17">
        <v>45636.0</v>
      </c>
      <c r="B6194" s="16" t="s">
        <v>7004</v>
      </c>
      <c r="C6194" s="16" t="s">
        <v>1374</v>
      </c>
      <c r="D6194" s="16" t="s">
        <v>707</v>
      </c>
      <c r="E6194" s="16">
        <v>2024.0</v>
      </c>
      <c r="F6194" s="16">
        <v>48.8079</v>
      </c>
      <c r="G6194" s="16">
        <v>12.1674</v>
      </c>
      <c r="H6194" s="15"/>
      <c r="I6194" s="15"/>
    </row>
    <row r="6195">
      <c r="A6195" s="17">
        <v>45636.0</v>
      </c>
      <c r="B6195" s="16" t="s">
        <v>7005</v>
      </c>
      <c r="C6195" s="16" t="s">
        <v>4358</v>
      </c>
      <c r="D6195" s="16" t="s">
        <v>707</v>
      </c>
      <c r="E6195" s="16">
        <v>2024.0</v>
      </c>
      <c r="F6195" s="16">
        <v>53.6195</v>
      </c>
      <c r="G6195" s="16">
        <v>8.6601</v>
      </c>
      <c r="H6195" s="15"/>
      <c r="I6195" s="15"/>
    </row>
    <row r="6196">
      <c r="A6196" s="17">
        <v>45636.0</v>
      </c>
      <c r="B6196" s="16" t="s">
        <v>7006</v>
      </c>
      <c r="C6196" s="16" t="s">
        <v>1055</v>
      </c>
      <c r="D6196" s="16" t="s">
        <v>707</v>
      </c>
      <c r="E6196" s="16">
        <v>2024.0</v>
      </c>
      <c r="F6196" s="16">
        <v>54.5242</v>
      </c>
      <c r="G6196" s="16">
        <v>9.4963</v>
      </c>
      <c r="H6196" s="15"/>
      <c r="I6196" s="15"/>
    </row>
    <row r="6197">
      <c r="A6197" s="17">
        <v>45636.0</v>
      </c>
      <c r="B6197" s="16" t="s">
        <v>7007</v>
      </c>
      <c r="C6197" s="16" t="s">
        <v>959</v>
      </c>
      <c r="D6197" s="16" t="s">
        <v>707</v>
      </c>
      <c r="E6197" s="16">
        <v>2024.0</v>
      </c>
      <c r="F6197" s="16">
        <v>48.7661</v>
      </c>
      <c r="G6197" s="16">
        <v>13.0656</v>
      </c>
      <c r="H6197" s="15"/>
      <c r="I6197" s="15"/>
    </row>
    <row r="6198">
      <c r="A6198" s="17">
        <v>45636.0</v>
      </c>
      <c r="B6198" s="16" t="s">
        <v>7008</v>
      </c>
      <c r="C6198" s="16">
        <v>10.0</v>
      </c>
      <c r="D6198" s="16" t="s">
        <v>707</v>
      </c>
      <c r="E6198" s="16">
        <v>2024.0</v>
      </c>
      <c r="F6198" s="16">
        <v>49.4812</v>
      </c>
      <c r="G6198" s="16">
        <v>11.8517</v>
      </c>
      <c r="H6198" s="15"/>
      <c r="I6198" s="15"/>
    </row>
    <row r="6199">
      <c r="A6199" s="17">
        <v>45636.0</v>
      </c>
      <c r="B6199" s="16" t="s">
        <v>7009</v>
      </c>
      <c r="C6199" s="16">
        <v>1.0</v>
      </c>
      <c r="D6199" s="16" t="s">
        <v>707</v>
      </c>
      <c r="E6199" s="16">
        <v>2024.0</v>
      </c>
      <c r="F6199" s="16">
        <v>51.5594</v>
      </c>
      <c r="G6199" s="16">
        <v>11.6742</v>
      </c>
      <c r="H6199" s="15"/>
      <c r="I6199" s="15"/>
    </row>
    <row r="6200">
      <c r="A6200" s="17">
        <v>45636.0</v>
      </c>
      <c r="B6200" s="16" t="s">
        <v>7010</v>
      </c>
      <c r="C6200" s="16" t="s">
        <v>1101</v>
      </c>
      <c r="D6200" s="16" t="s">
        <v>707</v>
      </c>
      <c r="E6200" s="16">
        <v>2024.0</v>
      </c>
      <c r="F6200" s="16">
        <v>48.9388</v>
      </c>
      <c r="G6200" s="16">
        <v>11.6715</v>
      </c>
      <c r="H6200" s="15"/>
      <c r="I6200" s="15"/>
    </row>
    <row r="6201">
      <c r="A6201" s="17">
        <v>45636.0</v>
      </c>
      <c r="B6201" s="16" t="s">
        <v>7011</v>
      </c>
      <c r="C6201" s="16" t="s">
        <v>1046</v>
      </c>
      <c r="D6201" s="16" t="s">
        <v>707</v>
      </c>
      <c r="E6201" s="16">
        <v>2024.0</v>
      </c>
      <c r="F6201" s="16">
        <v>52.5377</v>
      </c>
      <c r="G6201" s="16">
        <v>12.1916</v>
      </c>
      <c r="H6201" s="15"/>
      <c r="I6201" s="15"/>
    </row>
    <row r="6202">
      <c r="A6202" s="17">
        <v>45636.0</v>
      </c>
      <c r="B6202" s="16" t="s">
        <v>7012</v>
      </c>
      <c r="C6202" s="16" t="s">
        <v>7013</v>
      </c>
      <c r="D6202" s="16" t="s">
        <v>707</v>
      </c>
      <c r="E6202" s="16">
        <v>2024.0</v>
      </c>
      <c r="F6202" s="16">
        <v>52.5348</v>
      </c>
      <c r="G6202" s="16">
        <v>12.1854</v>
      </c>
      <c r="H6202" s="15"/>
      <c r="I6202" s="15"/>
    </row>
    <row r="6203">
      <c r="A6203" s="17">
        <v>45636.0</v>
      </c>
      <c r="B6203" s="16" t="s">
        <v>7014</v>
      </c>
      <c r="C6203" s="16">
        <v>1.0</v>
      </c>
      <c r="D6203" s="16" t="s">
        <v>707</v>
      </c>
      <c r="E6203" s="16">
        <v>2024.0</v>
      </c>
      <c r="F6203" s="16">
        <v>52.9626</v>
      </c>
      <c r="G6203" s="16">
        <v>12.175</v>
      </c>
      <c r="H6203" s="15"/>
      <c r="I6203" s="15"/>
    </row>
    <row r="6204">
      <c r="A6204" s="17">
        <v>45636.0</v>
      </c>
      <c r="B6204" s="16" t="s">
        <v>7015</v>
      </c>
      <c r="C6204" s="16" t="s">
        <v>969</v>
      </c>
      <c r="D6204" s="16" t="s">
        <v>707</v>
      </c>
      <c r="E6204" s="16">
        <v>2024.0</v>
      </c>
      <c r="F6204" s="16">
        <v>49.982</v>
      </c>
      <c r="G6204" s="16">
        <v>8.3864</v>
      </c>
      <c r="H6204" s="15"/>
      <c r="I6204" s="15"/>
    </row>
    <row r="6205">
      <c r="A6205" s="17">
        <v>45636.0</v>
      </c>
      <c r="B6205" s="16" t="s">
        <v>7016</v>
      </c>
      <c r="C6205" s="16" t="s">
        <v>1055</v>
      </c>
      <c r="D6205" s="16" t="s">
        <v>707</v>
      </c>
      <c r="E6205" s="16">
        <v>2024.0</v>
      </c>
      <c r="F6205" s="16">
        <v>52.9396</v>
      </c>
      <c r="G6205" s="16">
        <v>12.4256</v>
      </c>
      <c r="H6205" s="15"/>
      <c r="I6205" s="15"/>
    </row>
    <row r="6206">
      <c r="A6206" s="17">
        <v>45636.0</v>
      </c>
      <c r="B6206" s="16" t="s">
        <v>7017</v>
      </c>
      <c r="C6206" s="16" t="s">
        <v>2821</v>
      </c>
      <c r="D6206" s="16" t="s">
        <v>707</v>
      </c>
      <c r="E6206" s="16">
        <v>2024.0</v>
      </c>
      <c r="F6206" s="16">
        <v>51.3868</v>
      </c>
      <c r="G6206" s="16">
        <v>10.4444</v>
      </c>
      <c r="H6206" s="15"/>
      <c r="I6206" s="15"/>
    </row>
    <row r="6207">
      <c r="A6207" s="17">
        <v>45636.0</v>
      </c>
      <c r="B6207" s="16" t="s">
        <v>7018</v>
      </c>
      <c r="C6207" s="16">
        <v>2.0</v>
      </c>
      <c r="D6207" s="16" t="s">
        <v>707</v>
      </c>
      <c r="E6207" s="16">
        <v>2024.0</v>
      </c>
      <c r="F6207" s="16">
        <v>48.847</v>
      </c>
      <c r="G6207" s="16">
        <v>10.9411</v>
      </c>
      <c r="H6207" s="15"/>
      <c r="I6207" s="15"/>
    </row>
    <row r="6208">
      <c r="A6208" s="17">
        <v>45636.0</v>
      </c>
      <c r="B6208" s="16" t="s">
        <v>7019</v>
      </c>
      <c r="C6208" s="16" t="s">
        <v>1215</v>
      </c>
      <c r="D6208" s="16" t="s">
        <v>707</v>
      </c>
      <c r="E6208" s="16">
        <v>2024.0</v>
      </c>
      <c r="F6208" s="16">
        <v>51.4128</v>
      </c>
      <c r="G6208" s="16">
        <v>12.4476</v>
      </c>
      <c r="H6208" s="15"/>
      <c r="I6208" s="15"/>
    </row>
    <row r="6209">
      <c r="A6209" s="17">
        <v>45636.0</v>
      </c>
      <c r="B6209" s="16" t="s">
        <v>7020</v>
      </c>
      <c r="C6209" s="16" t="s">
        <v>2421</v>
      </c>
      <c r="D6209" s="16" t="s">
        <v>707</v>
      </c>
      <c r="E6209" s="16">
        <v>2024.0</v>
      </c>
      <c r="F6209" s="16">
        <v>51.027</v>
      </c>
      <c r="G6209" s="16">
        <v>6.457</v>
      </c>
      <c r="H6209" s="15"/>
      <c r="I6209" s="15"/>
    </row>
    <row r="6210">
      <c r="A6210" s="17">
        <v>45636.0</v>
      </c>
      <c r="B6210" s="16" t="s">
        <v>7021</v>
      </c>
      <c r="C6210" s="16" t="s">
        <v>946</v>
      </c>
      <c r="D6210" s="16" t="s">
        <v>707</v>
      </c>
      <c r="E6210" s="16">
        <v>2024.0</v>
      </c>
      <c r="F6210" s="16">
        <v>50.6421</v>
      </c>
      <c r="G6210" s="16">
        <v>7.3473</v>
      </c>
      <c r="H6210" s="15"/>
      <c r="I6210" s="15"/>
    </row>
    <row r="6211">
      <c r="A6211" s="17">
        <v>45636.0</v>
      </c>
      <c r="B6211" s="16" t="s">
        <v>7022</v>
      </c>
      <c r="C6211" s="16" t="s">
        <v>961</v>
      </c>
      <c r="D6211" s="16" t="s">
        <v>707</v>
      </c>
      <c r="E6211" s="16">
        <v>2024.0</v>
      </c>
      <c r="F6211" s="16">
        <v>50.6421</v>
      </c>
      <c r="G6211" s="16">
        <v>7.3473</v>
      </c>
      <c r="H6211" s="15"/>
      <c r="I6211" s="15"/>
    </row>
    <row r="6212">
      <c r="A6212" s="17">
        <v>45636.0</v>
      </c>
      <c r="B6212" s="16" t="s">
        <v>7023</v>
      </c>
      <c r="C6212" s="16" t="s">
        <v>942</v>
      </c>
      <c r="D6212" s="16" t="s">
        <v>707</v>
      </c>
      <c r="E6212" s="16">
        <v>2024.0</v>
      </c>
      <c r="F6212" s="16">
        <v>49.4391</v>
      </c>
      <c r="G6212" s="16">
        <v>10.994</v>
      </c>
      <c r="H6212" s="15"/>
      <c r="I6212" s="15"/>
    </row>
    <row r="6213">
      <c r="A6213" s="17">
        <v>45636.0</v>
      </c>
      <c r="B6213" s="16" t="s">
        <v>7024</v>
      </c>
      <c r="C6213" s="16" t="s">
        <v>1011</v>
      </c>
      <c r="D6213" s="16" t="s">
        <v>707</v>
      </c>
      <c r="E6213" s="16">
        <v>2024.0</v>
      </c>
      <c r="F6213" s="16">
        <v>52.2849</v>
      </c>
      <c r="G6213" s="16">
        <v>9.6053</v>
      </c>
      <c r="H6213" s="15"/>
      <c r="I6213" s="15"/>
    </row>
    <row r="6214">
      <c r="A6214" s="17">
        <v>45636.0</v>
      </c>
      <c r="B6214" s="16" t="s">
        <v>7025</v>
      </c>
      <c r="C6214" s="16" t="s">
        <v>1386</v>
      </c>
      <c r="D6214" s="16" t="s">
        <v>707</v>
      </c>
      <c r="E6214" s="16">
        <v>2024.0</v>
      </c>
      <c r="F6214" s="16">
        <v>49.9737</v>
      </c>
      <c r="G6214" s="16">
        <v>6.2048</v>
      </c>
      <c r="H6214" s="15"/>
      <c r="I6214" s="15"/>
    </row>
    <row r="6215">
      <c r="A6215" s="17">
        <v>45636.0</v>
      </c>
      <c r="B6215" s="16" t="s">
        <v>7026</v>
      </c>
      <c r="C6215" s="16" t="s">
        <v>982</v>
      </c>
      <c r="D6215" s="16" t="s">
        <v>707</v>
      </c>
      <c r="E6215" s="16">
        <v>2024.0</v>
      </c>
      <c r="F6215" s="16">
        <v>49.9791</v>
      </c>
      <c r="G6215" s="16">
        <v>6.2005</v>
      </c>
      <c r="H6215" s="15"/>
      <c r="I6215" s="15"/>
    </row>
    <row r="6216">
      <c r="A6216" s="17">
        <v>45636.0</v>
      </c>
      <c r="B6216" s="16" t="s">
        <v>7027</v>
      </c>
      <c r="C6216" s="16" t="s">
        <v>1147</v>
      </c>
      <c r="D6216" s="16" t="s">
        <v>707</v>
      </c>
      <c r="E6216" s="16">
        <v>2024.0</v>
      </c>
      <c r="F6216" s="16">
        <v>50.0021</v>
      </c>
      <c r="G6216" s="16">
        <v>6.1802</v>
      </c>
      <c r="H6216" s="15"/>
      <c r="I6216" s="15"/>
    </row>
    <row r="6217">
      <c r="A6217" s="17">
        <v>45636.0</v>
      </c>
      <c r="B6217" s="16" t="s">
        <v>7028</v>
      </c>
      <c r="C6217" s="16" t="s">
        <v>978</v>
      </c>
      <c r="D6217" s="16" t="s">
        <v>707</v>
      </c>
      <c r="E6217" s="16">
        <v>2024.0</v>
      </c>
      <c r="F6217" s="16">
        <v>51.114</v>
      </c>
      <c r="G6217" s="16">
        <v>10.9244</v>
      </c>
      <c r="H6217" s="15"/>
      <c r="I6217" s="15"/>
    </row>
    <row r="6218">
      <c r="A6218" s="17">
        <v>45636.0</v>
      </c>
      <c r="B6218" s="16" t="s">
        <v>7029</v>
      </c>
      <c r="C6218" s="16" t="s">
        <v>959</v>
      </c>
      <c r="D6218" s="16" t="s">
        <v>707</v>
      </c>
      <c r="E6218" s="16">
        <v>2024.0</v>
      </c>
      <c r="F6218" s="16">
        <v>51.3962</v>
      </c>
      <c r="G6218" s="16">
        <v>7.0831</v>
      </c>
      <c r="H6218" s="15"/>
      <c r="I6218" s="15"/>
    </row>
    <row r="6219">
      <c r="A6219" s="17">
        <v>45636.0</v>
      </c>
      <c r="B6219" s="16" t="s">
        <v>7030</v>
      </c>
      <c r="C6219" s="16">
        <v>2.0</v>
      </c>
      <c r="D6219" s="16" t="s">
        <v>707</v>
      </c>
      <c r="E6219" s="16">
        <v>2024.0</v>
      </c>
      <c r="F6219" s="16">
        <v>50.0021</v>
      </c>
      <c r="G6219" s="16">
        <v>6.1802</v>
      </c>
      <c r="H6219" s="15"/>
      <c r="I6219" s="15"/>
    </row>
    <row r="6220">
      <c r="A6220" s="17">
        <v>45636.0</v>
      </c>
      <c r="B6220" s="16" t="s">
        <v>7031</v>
      </c>
      <c r="C6220" s="16" t="s">
        <v>1011</v>
      </c>
      <c r="D6220" s="16" t="s">
        <v>707</v>
      </c>
      <c r="E6220" s="16">
        <v>2024.0</v>
      </c>
      <c r="F6220" s="16">
        <v>49.2013</v>
      </c>
      <c r="G6220" s="16">
        <v>10.74</v>
      </c>
      <c r="H6220" s="15"/>
      <c r="I6220" s="15"/>
    </row>
    <row r="6221">
      <c r="A6221" s="17">
        <v>45636.0</v>
      </c>
      <c r="B6221" s="16" t="s">
        <v>7032</v>
      </c>
      <c r="C6221" s="16" t="s">
        <v>942</v>
      </c>
      <c r="D6221" s="16" t="s">
        <v>707</v>
      </c>
      <c r="E6221" s="16">
        <v>2024.0</v>
      </c>
      <c r="F6221" s="16">
        <v>49.2009</v>
      </c>
      <c r="G6221" s="16">
        <v>10.7402</v>
      </c>
      <c r="H6221" s="15"/>
      <c r="I6221" s="15"/>
    </row>
    <row r="6222">
      <c r="A6222" s="17">
        <v>45636.0</v>
      </c>
      <c r="B6222" s="16" t="s">
        <v>7033</v>
      </c>
      <c r="C6222" s="16" t="s">
        <v>984</v>
      </c>
      <c r="D6222" s="16" t="s">
        <v>707</v>
      </c>
      <c r="E6222" s="16">
        <v>2024.0</v>
      </c>
      <c r="F6222" s="16">
        <v>47.8268</v>
      </c>
      <c r="G6222" s="16">
        <v>11.1313</v>
      </c>
      <c r="H6222" s="15"/>
      <c r="I6222" s="15"/>
    </row>
    <row r="6223">
      <c r="A6223" s="17">
        <v>45636.0</v>
      </c>
      <c r="B6223" s="16" t="s">
        <v>7034</v>
      </c>
      <c r="C6223" s="16">
        <v>2.0</v>
      </c>
      <c r="D6223" s="16" t="s">
        <v>707</v>
      </c>
      <c r="E6223" s="16">
        <v>2024.0</v>
      </c>
      <c r="F6223" s="16">
        <v>49.3127</v>
      </c>
      <c r="G6223" s="16">
        <v>10.7621</v>
      </c>
      <c r="H6223" s="15"/>
      <c r="I6223" s="15"/>
    </row>
    <row r="6224">
      <c r="A6224" s="17">
        <v>45636.0</v>
      </c>
      <c r="B6224" s="16" t="s">
        <v>7035</v>
      </c>
      <c r="C6224" s="16" t="s">
        <v>946</v>
      </c>
      <c r="D6224" s="16" t="s">
        <v>707</v>
      </c>
      <c r="E6224" s="16">
        <v>2024.0</v>
      </c>
      <c r="F6224" s="16">
        <v>49.4314</v>
      </c>
      <c r="G6224" s="16">
        <v>10.9467</v>
      </c>
      <c r="H6224" s="15"/>
      <c r="I6224" s="15"/>
    </row>
    <row r="6225">
      <c r="A6225" s="17">
        <v>45636.0</v>
      </c>
      <c r="B6225" s="16" t="s">
        <v>7036</v>
      </c>
      <c r="C6225" s="16" t="s">
        <v>1080</v>
      </c>
      <c r="D6225" s="16" t="s">
        <v>707</v>
      </c>
      <c r="E6225" s="16">
        <v>2024.0</v>
      </c>
      <c r="F6225" s="16">
        <v>49.4257</v>
      </c>
      <c r="G6225" s="16">
        <v>11.8549</v>
      </c>
      <c r="H6225" s="15"/>
      <c r="I6225" s="15"/>
    </row>
    <row r="6226">
      <c r="A6226" s="17">
        <v>45636.0</v>
      </c>
      <c r="B6226" s="16" t="s">
        <v>7037</v>
      </c>
      <c r="C6226" s="16" t="s">
        <v>1034</v>
      </c>
      <c r="D6226" s="16" t="s">
        <v>707</v>
      </c>
      <c r="E6226" s="16">
        <v>2024.0</v>
      </c>
      <c r="F6226" s="16">
        <v>48.9408</v>
      </c>
      <c r="G6226" s="16">
        <v>13.1003</v>
      </c>
      <c r="H6226" s="15"/>
      <c r="I6226" s="15"/>
    </row>
    <row r="6227">
      <c r="A6227" s="17">
        <v>45636.0</v>
      </c>
      <c r="B6227" s="16" t="s">
        <v>7038</v>
      </c>
      <c r="C6227" s="16">
        <v>4.0</v>
      </c>
      <c r="D6227" s="16" t="s">
        <v>707</v>
      </c>
      <c r="E6227" s="16">
        <v>2024.0</v>
      </c>
      <c r="F6227" s="16">
        <v>48.9973</v>
      </c>
      <c r="G6227" s="16">
        <v>12.2066</v>
      </c>
      <c r="H6227" s="15"/>
      <c r="I6227" s="15"/>
    </row>
    <row r="6228">
      <c r="A6228" s="17">
        <v>45636.0</v>
      </c>
      <c r="B6228" s="16" t="s">
        <v>7039</v>
      </c>
      <c r="C6228" s="16">
        <v>6.0</v>
      </c>
      <c r="D6228" s="16" t="s">
        <v>707</v>
      </c>
      <c r="E6228" s="16">
        <v>2024.0</v>
      </c>
      <c r="F6228" s="16">
        <v>48.9938</v>
      </c>
      <c r="G6228" s="16">
        <v>12.2571</v>
      </c>
      <c r="H6228" s="15"/>
      <c r="I6228" s="15"/>
    </row>
    <row r="6229">
      <c r="A6229" s="17">
        <v>45636.0</v>
      </c>
      <c r="B6229" s="16" t="s">
        <v>7040</v>
      </c>
      <c r="C6229" s="16" t="s">
        <v>2153</v>
      </c>
      <c r="D6229" s="16" t="s">
        <v>707</v>
      </c>
      <c r="E6229" s="16">
        <v>2024.0</v>
      </c>
      <c r="F6229" s="16">
        <v>51.5734</v>
      </c>
      <c r="G6229" s="16">
        <v>13.0974</v>
      </c>
      <c r="H6229" s="15"/>
      <c r="I6229" s="15"/>
    </row>
    <row r="6230">
      <c r="A6230" s="17">
        <v>45636.0</v>
      </c>
      <c r="B6230" s="16" t="s">
        <v>7041</v>
      </c>
      <c r="C6230" s="16">
        <v>12.0</v>
      </c>
      <c r="D6230" s="16" t="s">
        <v>707</v>
      </c>
      <c r="E6230" s="16">
        <v>2024.0</v>
      </c>
      <c r="F6230" s="16">
        <v>51.5722</v>
      </c>
      <c r="G6230" s="16">
        <v>13.1025</v>
      </c>
      <c r="H6230" s="15"/>
      <c r="I6230" s="15"/>
    </row>
    <row r="6231">
      <c r="A6231" s="17">
        <v>45636.0</v>
      </c>
      <c r="B6231" s="16" t="s">
        <v>7042</v>
      </c>
      <c r="C6231" s="16" t="s">
        <v>1002</v>
      </c>
      <c r="D6231" s="16" t="s">
        <v>707</v>
      </c>
      <c r="E6231" s="16">
        <v>2024.0</v>
      </c>
      <c r="F6231" s="16">
        <v>51.5694</v>
      </c>
      <c r="G6231" s="16">
        <v>13.103</v>
      </c>
      <c r="H6231" s="15"/>
      <c r="I6231" s="15"/>
    </row>
    <row r="6232">
      <c r="A6232" s="17">
        <v>45636.0</v>
      </c>
      <c r="B6232" s="16" t="s">
        <v>7043</v>
      </c>
      <c r="C6232" s="16">
        <v>2.0</v>
      </c>
      <c r="D6232" s="16" t="s">
        <v>707</v>
      </c>
      <c r="E6232" s="16">
        <v>2024.0</v>
      </c>
      <c r="F6232" s="16">
        <v>48.346</v>
      </c>
      <c r="G6232" s="16">
        <v>9.5396</v>
      </c>
      <c r="H6232" s="15"/>
      <c r="I6232" s="15"/>
    </row>
    <row r="6233">
      <c r="A6233" s="17">
        <v>45636.0</v>
      </c>
      <c r="B6233" s="16" t="s">
        <v>7044</v>
      </c>
      <c r="C6233" s="16" t="s">
        <v>1399</v>
      </c>
      <c r="D6233" s="16" t="s">
        <v>707</v>
      </c>
      <c r="E6233" s="16">
        <v>2024.0</v>
      </c>
      <c r="F6233" s="16">
        <v>48.6216</v>
      </c>
      <c r="G6233" s="16">
        <v>13.3452</v>
      </c>
      <c r="H6233" s="15"/>
      <c r="I6233" s="15"/>
    </row>
    <row r="6234">
      <c r="A6234" s="17">
        <v>45636.0</v>
      </c>
      <c r="B6234" s="16" t="s">
        <v>7045</v>
      </c>
      <c r="C6234" s="16" t="s">
        <v>942</v>
      </c>
      <c r="D6234" s="16" t="s">
        <v>707</v>
      </c>
      <c r="E6234" s="16">
        <v>2024.0</v>
      </c>
      <c r="F6234" s="16">
        <v>49.4577</v>
      </c>
      <c r="G6234" s="16">
        <v>10.3072</v>
      </c>
      <c r="H6234" s="15"/>
      <c r="I6234" s="15"/>
    </row>
    <row r="6235">
      <c r="A6235" s="17">
        <v>45636.0</v>
      </c>
      <c r="B6235" s="16" t="s">
        <v>7046</v>
      </c>
      <c r="C6235" s="16" t="s">
        <v>1039</v>
      </c>
      <c r="D6235" s="16" t="s">
        <v>707</v>
      </c>
      <c r="E6235" s="16">
        <v>2024.0</v>
      </c>
      <c r="F6235" s="16">
        <v>50.8475</v>
      </c>
      <c r="G6235" s="16">
        <v>12.6495</v>
      </c>
      <c r="H6235" s="15"/>
      <c r="I6235" s="15"/>
    </row>
    <row r="6236">
      <c r="A6236" s="17">
        <v>45636.0</v>
      </c>
      <c r="B6236" s="16" t="s">
        <v>7047</v>
      </c>
      <c r="C6236" s="16" t="s">
        <v>978</v>
      </c>
      <c r="D6236" s="16" t="s">
        <v>707</v>
      </c>
      <c r="E6236" s="16">
        <v>2024.0</v>
      </c>
      <c r="F6236" s="16">
        <v>49.0469</v>
      </c>
      <c r="G6236" s="16">
        <v>11.5657</v>
      </c>
      <c r="H6236" s="15"/>
      <c r="I6236" s="15"/>
    </row>
    <row r="6237">
      <c r="A6237" s="17">
        <v>45636.0</v>
      </c>
      <c r="B6237" s="16" t="s">
        <v>7048</v>
      </c>
      <c r="C6237" s="16" t="s">
        <v>1267</v>
      </c>
      <c r="D6237" s="16" t="s">
        <v>707</v>
      </c>
      <c r="E6237" s="16">
        <v>2024.0</v>
      </c>
      <c r="F6237" s="16">
        <v>49.0469</v>
      </c>
      <c r="G6237" s="16">
        <v>11.5656</v>
      </c>
      <c r="H6237" s="15"/>
      <c r="I6237" s="15"/>
    </row>
    <row r="6238">
      <c r="A6238" s="17">
        <v>45636.0</v>
      </c>
      <c r="B6238" s="16" t="s">
        <v>7049</v>
      </c>
      <c r="C6238" s="16" t="s">
        <v>1080</v>
      </c>
      <c r="D6238" s="16" t="s">
        <v>707</v>
      </c>
      <c r="E6238" s="16">
        <v>2024.0</v>
      </c>
      <c r="F6238" s="16">
        <v>47.8963</v>
      </c>
      <c r="G6238" s="16">
        <v>8.4529</v>
      </c>
      <c r="H6238" s="15"/>
      <c r="I6238" s="15"/>
    </row>
    <row r="6239">
      <c r="A6239" s="17">
        <v>45636.0</v>
      </c>
      <c r="B6239" s="16" t="s">
        <v>7050</v>
      </c>
      <c r="C6239" s="16" t="s">
        <v>5857</v>
      </c>
      <c r="D6239" s="16" t="s">
        <v>707</v>
      </c>
      <c r="E6239" s="16">
        <v>2024.0</v>
      </c>
      <c r="F6239" s="16">
        <v>54.1586</v>
      </c>
      <c r="G6239" s="16">
        <v>10.0272</v>
      </c>
      <c r="H6239" s="15"/>
      <c r="I6239" s="15"/>
    </row>
    <row r="6240">
      <c r="A6240" s="17">
        <v>45636.0</v>
      </c>
      <c r="B6240" s="16" t="s">
        <v>7051</v>
      </c>
      <c r="C6240" s="16" t="s">
        <v>2331</v>
      </c>
      <c r="D6240" s="16" t="s">
        <v>707</v>
      </c>
      <c r="E6240" s="16">
        <v>2024.0</v>
      </c>
      <c r="F6240" s="16">
        <v>48.9868</v>
      </c>
      <c r="G6240" s="16">
        <v>12.6555</v>
      </c>
      <c r="H6240" s="15"/>
      <c r="I6240" s="15"/>
    </row>
    <row r="6241">
      <c r="A6241" s="17">
        <v>45636.0</v>
      </c>
      <c r="B6241" s="16" t="s">
        <v>7052</v>
      </c>
      <c r="C6241" s="16" t="s">
        <v>1099</v>
      </c>
      <c r="D6241" s="16" t="s">
        <v>707</v>
      </c>
      <c r="E6241" s="16">
        <v>2024.0</v>
      </c>
      <c r="F6241" s="16">
        <v>54.1126</v>
      </c>
      <c r="G6241" s="16">
        <v>9.0816</v>
      </c>
      <c r="H6241" s="15"/>
      <c r="I6241" s="15"/>
    </row>
    <row r="6242">
      <c r="A6242" s="17">
        <v>45636.0</v>
      </c>
      <c r="B6242" s="16" t="s">
        <v>7053</v>
      </c>
      <c r="C6242" s="16">
        <v>10.0</v>
      </c>
      <c r="D6242" s="16" t="s">
        <v>707</v>
      </c>
      <c r="E6242" s="16">
        <v>2024.0</v>
      </c>
      <c r="F6242" s="16">
        <v>54.1126</v>
      </c>
      <c r="G6242" s="16">
        <v>9.0817</v>
      </c>
      <c r="H6242" s="15"/>
      <c r="I6242" s="15"/>
    </row>
    <row r="6243">
      <c r="A6243" s="17">
        <v>45636.0</v>
      </c>
      <c r="B6243" s="16" t="s">
        <v>7054</v>
      </c>
      <c r="C6243" s="16" t="s">
        <v>959</v>
      </c>
      <c r="D6243" s="16" t="s">
        <v>707</v>
      </c>
      <c r="E6243" s="16">
        <v>2024.0</v>
      </c>
      <c r="F6243" s="16">
        <v>49.7713</v>
      </c>
      <c r="G6243" s="16">
        <v>10.4965</v>
      </c>
      <c r="H6243" s="15"/>
      <c r="I6243" s="15"/>
    </row>
    <row r="6244">
      <c r="A6244" s="17">
        <v>45636.0</v>
      </c>
      <c r="B6244" s="16" t="s">
        <v>7055</v>
      </c>
      <c r="C6244" s="16" t="s">
        <v>971</v>
      </c>
      <c r="D6244" s="16" t="s">
        <v>707</v>
      </c>
      <c r="E6244" s="16">
        <v>2024.0</v>
      </c>
      <c r="F6244" s="16">
        <v>49.3475</v>
      </c>
      <c r="G6244" s="16">
        <v>12.5558</v>
      </c>
      <c r="H6244" s="15"/>
      <c r="I6244" s="15"/>
    </row>
    <row r="6245">
      <c r="A6245" s="17">
        <v>45636.0</v>
      </c>
      <c r="B6245" s="16" t="s">
        <v>7056</v>
      </c>
      <c r="C6245" s="16" t="s">
        <v>1374</v>
      </c>
      <c r="D6245" s="16" t="s">
        <v>707</v>
      </c>
      <c r="E6245" s="16">
        <v>2024.0</v>
      </c>
      <c r="F6245" s="16">
        <v>49.3458</v>
      </c>
      <c r="G6245" s="16">
        <v>12.5558</v>
      </c>
      <c r="H6245" s="15"/>
      <c r="I6245" s="15"/>
    </row>
    <row r="6246">
      <c r="A6246" s="17">
        <v>45636.0</v>
      </c>
      <c r="B6246" s="16" t="s">
        <v>7057</v>
      </c>
      <c r="C6246" s="16" t="s">
        <v>2457</v>
      </c>
      <c r="D6246" s="16" t="s">
        <v>707</v>
      </c>
      <c r="E6246" s="16">
        <v>2024.0</v>
      </c>
      <c r="F6246" s="16">
        <v>49.3462</v>
      </c>
      <c r="G6246" s="16">
        <v>12.5518</v>
      </c>
      <c r="H6246" s="15"/>
      <c r="I6246" s="15"/>
    </row>
    <row r="6247">
      <c r="A6247" s="17">
        <v>45636.0</v>
      </c>
      <c r="B6247" s="16" t="s">
        <v>7058</v>
      </c>
      <c r="C6247" s="16">
        <v>5.0</v>
      </c>
      <c r="D6247" s="16" t="s">
        <v>707</v>
      </c>
      <c r="E6247" s="16">
        <v>2024.0</v>
      </c>
      <c r="F6247" s="16">
        <v>48.8863</v>
      </c>
      <c r="G6247" s="16">
        <v>9.9193</v>
      </c>
      <c r="H6247" s="15"/>
      <c r="I6247" s="15"/>
    </row>
    <row r="6248">
      <c r="A6248" s="17">
        <v>45636.0</v>
      </c>
      <c r="B6248" s="16" t="s">
        <v>7059</v>
      </c>
      <c r="C6248" s="16">
        <v>7.0</v>
      </c>
      <c r="D6248" s="16" t="s">
        <v>707</v>
      </c>
      <c r="E6248" s="16">
        <v>2024.0</v>
      </c>
      <c r="F6248" s="16">
        <v>48.123</v>
      </c>
      <c r="G6248" s="16">
        <v>9.9771</v>
      </c>
      <c r="H6248" s="15"/>
      <c r="I6248" s="15"/>
    </row>
    <row r="6249">
      <c r="A6249" s="17">
        <v>45636.0</v>
      </c>
      <c r="B6249" s="16" t="s">
        <v>7060</v>
      </c>
      <c r="C6249" s="16" t="s">
        <v>1094</v>
      </c>
      <c r="D6249" s="16" t="s">
        <v>707</v>
      </c>
      <c r="E6249" s="16">
        <v>2024.0</v>
      </c>
      <c r="F6249" s="16">
        <v>48.1134</v>
      </c>
      <c r="G6249" s="16">
        <v>9.9776</v>
      </c>
      <c r="H6249" s="15"/>
      <c r="I6249" s="15"/>
    </row>
    <row r="6250">
      <c r="A6250" s="17">
        <v>45636.0</v>
      </c>
      <c r="B6250" s="16" t="s">
        <v>7061</v>
      </c>
      <c r="C6250" s="16" t="s">
        <v>4358</v>
      </c>
      <c r="D6250" s="16" t="s">
        <v>707</v>
      </c>
      <c r="E6250" s="16">
        <v>2024.0</v>
      </c>
      <c r="F6250" s="16">
        <v>50.727</v>
      </c>
      <c r="G6250" s="16">
        <v>12.5455</v>
      </c>
      <c r="H6250" s="15"/>
      <c r="I6250" s="15"/>
    </row>
    <row r="6251">
      <c r="A6251" s="17">
        <v>45636.0</v>
      </c>
      <c r="B6251" s="16" t="s">
        <v>7062</v>
      </c>
      <c r="C6251" s="16" t="s">
        <v>946</v>
      </c>
      <c r="D6251" s="16" t="s">
        <v>707</v>
      </c>
      <c r="E6251" s="16">
        <v>2024.0</v>
      </c>
      <c r="F6251" s="16">
        <v>48.9374</v>
      </c>
      <c r="G6251" s="16">
        <v>8.3605</v>
      </c>
      <c r="H6251" s="15"/>
      <c r="I6251" s="15"/>
    </row>
    <row r="6252">
      <c r="A6252" s="17">
        <v>45636.0</v>
      </c>
      <c r="B6252" s="16" t="s">
        <v>7063</v>
      </c>
      <c r="C6252" s="16" t="s">
        <v>951</v>
      </c>
      <c r="D6252" s="16" t="s">
        <v>707</v>
      </c>
      <c r="E6252" s="16">
        <v>2024.0</v>
      </c>
      <c r="F6252" s="16">
        <v>48.9382</v>
      </c>
      <c r="G6252" s="16">
        <v>8.3608</v>
      </c>
      <c r="H6252" s="15"/>
      <c r="I6252" s="15"/>
    </row>
    <row r="6253">
      <c r="A6253" s="17">
        <v>45636.0</v>
      </c>
      <c r="B6253" s="16" t="s">
        <v>7064</v>
      </c>
      <c r="C6253" s="16" t="s">
        <v>1149</v>
      </c>
      <c r="D6253" s="16" t="s">
        <v>707</v>
      </c>
      <c r="E6253" s="16">
        <v>2024.0</v>
      </c>
      <c r="F6253" s="16">
        <v>48.5326</v>
      </c>
      <c r="G6253" s="16">
        <v>8.6586</v>
      </c>
      <c r="H6253" s="15"/>
      <c r="I6253" s="15"/>
    </row>
    <row r="6254">
      <c r="A6254" s="17">
        <v>45636.0</v>
      </c>
      <c r="B6254" s="16" t="s">
        <v>7065</v>
      </c>
      <c r="C6254" s="16">
        <v>8.0</v>
      </c>
      <c r="D6254" s="16" t="s">
        <v>707</v>
      </c>
      <c r="E6254" s="16">
        <v>2024.0</v>
      </c>
      <c r="F6254" s="16">
        <v>49.0594</v>
      </c>
      <c r="G6254" s="16">
        <v>10.3779</v>
      </c>
      <c r="H6254" s="15"/>
      <c r="I6254" s="15"/>
    </row>
    <row r="6255">
      <c r="A6255" s="17">
        <v>45636.0</v>
      </c>
      <c r="B6255" s="16" t="s">
        <v>7066</v>
      </c>
      <c r="C6255" s="16" t="s">
        <v>6462</v>
      </c>
      <c r="D6255" s="16" t="s">
        <v>707</v>
      </c>
      <c r="E6255" s="16">
        <v>2024.0</v>
      </c>
      <c r="F6255" s="16">
        <v>54.5123</v>
      </c>
      <c r="G6255" s="16">
        <v>9.0382</v>
      </c>
      <c r="H6255" s="15"/>
      <c r="I6255" s="15"/>
    </row>
    <row r="6256">
      <c r="A6256" s="17">
        <v>45636.0</v>
      </c>
      <c r="B6256" s="16" t="s">
        <v>7067</v>
      </c>
      <c r="C6256" s="16" t="s">
        <v>948</v>
      </c>
      <c r="D6256" s="16" t="s">
        <v>707</v>
      </c>
      <c r="E6256" s="16">
        <v>2024.0</v>
      </c>
      <c r="F6256" s="16">
        <v>51.4025</v>
      </c>
      <c r="G6256" s="16">
        <v>9.7537</v>
      </c>
      <c r="H6256" s="15"/>
      <c r="I6256" s="15"/>
    </row>
    <row r="6257">
      <c r="A6257" s="17">
        <v>45636.0</v>
      </c>
      <c r="B6257" s="16" t="s">
        <v>7068</v>
      </c>
      <c r="C6257" s="16" t="s">
        <v>1436</v>
      </c>
      <c r="D6257" s="16" t="s">
        <v>707</v>
      </c>
      <c r="E6257" s="16">
        <v>2024.0</v>
      </c>
      <c r="F6257" s="16">
        <v>48.1573</v>
      </c>
      <c r="G6257" s="16">
        <v>12.7954</v>
      </c>
      <c r="H6257" s="15"/>
      <c r="I6257" s="15"/>
    </row>
    <row r="6258">
      <c r="A6258" s="17">
        <v>45636.0</v>
      </c>
      <c r="B6258" s="16" t="s">
        <v>7069</v>
      </c>
      <c r="C6258" s="16" t="s">
        <v>1310</v>
      </c>
      <c r="D6258" s="16" t="s">
        <v>707</v>
      </c>
      <c r="E6258" s="16">
        <v>2024.0</v>
      </c>
      <c r="F6258" s="16">
        <v>49.2479</v>
      </c>
      <c r="G6258" s="16">
        <v>12.5313</v>
      </c>
      <c r="H6258" s="15"/>
      <c r="I6258" s="15"/>
    </row>
    <row r="6259">
      <c r="A6259" s="17">
        <v>45636.0</v>
      </c>
      <c r="B6259" s="16" t="s">
        <v>7070</v>
      </c>
      <c r="C6259" s="16" t="s">
        <v>1096</v>
      </c>
      <c r="D6259" s="16" t="s">
        <v>707</v>
      </c>
      <c r="E6259" s="16">
        <v>2024.0</v>
      </c>
      <c r="F6259" s="16">
        <v>48.9302</v>
      </c>
      <c r="G6259" s="16">
        <v>12.7283</v>
      </c>
      <c r="H6259" s="15"/>
      <c r="I6259" s="15"/>
    </row>
    <row r="6260">
      <c r="A6260" s="17">
        <v>45636.0</v>
      </c>
      <c r="B6260" s="16" t="s">
        <v>7071</v>
      </c>
      <c r="C6260" s="16" t="s">
        <v>1090</v>
      </c>
      <c r="D6260" s="16" t="s">
        <v>707</v>
      </c>
      <c r="E6260" s="16">
        <v>2024.0</v>
      </c>
      <c r="F6260" s="16">
        <v>48.9318</v>
      </c>
      <c r="G6260" s="16">
        <v>12.724</v>
      </c>
      <c r="H6260" s="15"/>
      <c r="I6260" s="15"/>
    </row>
    <row r="6261">
      <c r="A6261" s="17">
        <v>45636.0</v>
      </c>
      <c r="B6261" s="16" t="s">
        <v>7072</v>
      </c>
      <c r="C6261" s="16" t="s">
        <v>1039</v>
      </c>
      <c r="D6261" s="16" t="s">
        <v>707</v>
      </c>
      <c r="E6261" s="16">
        <v>2024.0</v>
      </c>
      <c r="F6261" s="16">
        <v>48.4777</v>
      </c>
      <c r="G6261" s="16">
        <v>13.2628</v>
      </c>
      <c r="H6261" s="15"/>
      <c r="I6261" s="15"/>
    </row>
    <row r="6262">
      <c r="A6262" s="17">
        <v>45636.0</v>
      </c>
      <c r="B6262" s="16" t="s">
        <v>7073</v>
      </c>
      <c r="C6262" s="16" t="s">
        <v>1277</v>
      </c>
      <c r="D6262" s="16" t="s">
        <v>707</v>
      </c>
      <c r="E6262" s="16">
        <v>2024.0</v>
      </c>
      <c r="F6262" s="16">
        <v>48.8463</v>
      </c>
      <c r="G6262" s="16">
        <v>10.6884</v>
      </c>
      <c r="H6262" s="15"/>
      <c r="I6262" s="15"/>
    </row>
    <row r="6263">
      <c r="A6263" s="17">
        <v>45636.0</v>
      </c>
      <c r="B6263" s="16" t="s">
        <v>7074</v>
      </c>
      <c r="C6263" s="16" t="s">
        <v>982</v>
      </c>
      <c r="D6263" s="16" t="s">
        <v>707</v>
      </c>
      <c r="E6263" s="16">
        <v>2024.0</v>
      </c>
      <c r="F6263" s="16">
        <v>48.8447</v>
      </c>
      <c r="G6263" s="16">
        <v>10.6881</v>
      </c>
      <c r="H6263" s="15"/>
      <c r="I6263" s="15"/>
    </row>
    <row r="6264">
      <c r="A6264" s="17">
        <v>45636.0</v>
      </c>
      <c r="B6264" s="16" t="s">
        <v>7075</v>
      </c>
      <c r="C6264" s="16" t="s">
        <v>4064</v>
      </c>
      <c r="D6264" s="16" t="s">
        <v>707</v>
      </c>
      <c r="E6264" s="16">
        <v>2024.0</v>
      </c>
      <c r="F6264" s="16">
        <v>48.352</v>
      </c>
      <c r="G6264" s="16">
        <v>12.366</v>
      </c>
      <c r="H6264" s="15"/>
      <c r="I6264" s="15"/>
    </row>
    <row r="6265">
      <c r="A6265" s="17">
        <v>45636.0</v>
      </c>
      <c r="B6265" s="16" t="s">
        <v>7076</v>
      </c>
      <c r="C6265" s="16" t="s">
        <v>6641</v>
      </c>
      <c r="D6265" s="16" t="s">
        <v>707</v>
      </c>
      <c r="E6265" s="16">
        <v>2024.0</v>
      </c>
      <c r="F6265" s="16">
        <v>52.4805</v>
      </c>
      <c r="G6265" s="16">
        <v>12.3158</v>
      </c>
      <c r="H6265" s="15"/>
      <c r="I6265" s="15"/>
    </row>
    <row r="6266">
      <c r="A6266" s="17">
        <v>45636.0</v>
      </c>
      <c r="B6266" s="16" t="s">
        <v>7077</v>
      </c>
      <c r="C6266" s="16" t="s">
        <v>6641</v>
      </c>
      <c r="D6266" s="16" t="s">
        <v>707</v>
      </c>
      <c r="E6266" s="16">
        <v>2024.0</v>
      </c>
      <c r="F6266" s="16">
        <v>52.4797</v>
      </c>
      <c r="G6266" s="16">
        <v>12.3103</v>
      </c>
      <c r="H6266" s="15"/>
      <c r="I6266" s="15"/>
    </row>
    <row r="6267">
      <c r="A6267" s="17">
        <v>45636.0</v>
      </c>
      <c r="B6267" s="16" t="s">
        <v>7078</v>
      </c>
      <c r="C6267" s="16" t="s">
        <v>1979</v>
      </c>
      <c r="D6267" s="16" t="s">
        <v>707</v>
      </c>
      <c r="E6267" s="16">
        <v>2024.0</v>
      </c>
      <c r="F6267" s="16">
        <v>52.4798</v>
      </c>
      <c r="G6267" s="16">
        <v>12.3335</v>
      </c>
      <c r="H6267" s="15"/>
      <c r="I6267" s="15"/>
    </row>
    <row r="6268">
      <c r="A6268" s="17">
        <v>45636.0</v>
      </c>
      <c r="B6268" s="16" t="s">
        <v>7079</v>
      </c>
      <c r="C6268" s="16" t="s">
        <v>1771</v>
      </c>
      <c r="D6268" s="16" t="s">
        <v>707</v>
      </c>
      <c r="E6268" s="16">
        <v>2024.0</v>
      </c>
      <c r="F6268" s="16">
        <v>51.3166</v>
      </c>
      <c r="G6268" s="16">
        <v>10.1332</v>
      </c>
      <c r="H6268" s="15"/>
      <c r="I6268" s="15"/>
    </row>
    <row r="6269">
      <c r="A6269" s="17">
        <v>45636.0</v>
      </c>
      <c r="B6269" s="16" t="s">
        <v>7080</v>
      </c>
      <c r="C6269" s="16">
        <v>13.0</v>
      </c>
      <c r="D6269" s="16" t="s">
        <v>707</v>
      </c>
      <c r="E6269" s="16">
        <v>2024.0</v>
      </c>
      <c r="F6269" s="16">
        <v>49.7002</v>
      </c>
      <c r="G6269" s="16">
        <v>10.5903</v>
      </c>
      <c r="H6269" s="15"/>
      <c r="I6269" s="15"/>
    </row>
    <row r="6270">
      <c r="A6270" s="17">
        <v>45636.0</v>
      </c>
      <c r="B6270" s="16" t="s">
        <v>7081</v>
      </c>
      <c r="C6270" s="16" t="s">
        <v>961</v>
      </c>
      <c r="D6270" s="16" t="s">
        <v>707</v>
      </c>
      <c r="E6270" s="16">
        <v>2024.0</v>
      </c>
      <c r="F6270" s="16">
        <v>47.79</v>
      </c>
      <c r="G6270" s="16">
        <v>10.927</v>
      </c>
      <c r="H6270" s="15"/>
      <c r="I6270" s="15"/>
    </row>
    <row r="6271">
      <c r="A6271" s="17">
        <v>45636.0</v>
      </c>
      <c r="B6271" s="16" t="s">
        <v>7082</v>
      </c>
      <c r="C6271" s="16" t="s">
        <v>971</v>
      </c>
      <c r="D6271" s="16" t="s">
        <v>707</v>
      </c>
      <c r="E6271" s="16">
        <v>2024.0</v>
      </c>
      <c r="F6271" s="16">
        <v>48.666</v>
      </c>
      <c r="G6271" s="16">
        <v>13.6759</v>
      </c>
      <c r="H6271" s="15"/>
      <c r="I6271" s="15"/>
    </row>
    <row r="6272">
      <c r="A6272" s="17">
        <v>45636.0</v>
      </c>
      <c r="B6272" s="16" t="s">
        <v>7083</v>
      </c>
      <c r="C6272" s="16">
        <v>17.0</v>
      </c>
      <c r="D6272" s="16" t="s">
        <v>707</v>
      </c>
      <c r="E6272" s="16">
        <v>2024.0</v>
      </c>
      <c r="F6272" s="16">
        <v>50.0791</v>
      </c>
      <c r="G6272" s="16">
        <v>10.5835</v>
      </c>
      <c r="H6272" s="15"/>
      <c r="I6272" s="15"/>
    </row>
    <row r="6273">
      <c r="A6273" s="17">
        <v>45636.0</v>
      </c>
      <c r="B6273" s="16" t="s">
        <v>7084</v>
      </c>
      <c r="C6273" s="16" t="s">
        <v>978</v>
      </c>
      <c r="D6273" s="16" t="s">
        <v>707</v>
      </c>
      <c r="E6273" s="16">
        <v>2024.0</v>
      </c>
      <c r="F6273" s="16">
        <v>49.4004</v>
      </c>
      <c r="G6273" s="16">
        <v>11.9111</v>
      </c>
      <c r="H6273" s="15"/>
      <c r="I6273" s="15"/>
    </row>
    <row r="6274">
      <c r="A6274" s="17">
        <v>45636.0</v>
      </c>
      <c r="B6274" s="16" t="s">
        <v>7085</v>
      </c>
      <c r="C6274" s="16" t="s">
        <v>1147</v>
      </c>
      <c r="D6274" s="16" t="s">
        <v>707</v>
      </c>
      <c r="E6274" s="16">
        <v>2024.0</v>
      </c>
      <c r="F6274" s="16">
        <v>49.5762</v>
      </c>
      <c r="G6274" s="16">
        <v>8.4833</v>
      </c>
      <c r="H6274" s="15"/>
      <c r="I6274" s="15"/>
    </row>
    <row r="6275">
      <c r="A6275" s="17">
        <v>45636.0</v>
      </c>
      <c r="B6275" s="16" t="s">
        <v>7086</v>
      </c>
      <c r="C6275" s="16" t="s">
        <v>5857</v>
      </c>
      <c r="D6275" s="16" t="s">
        <v>707</v>
      </c>
      <c r="E6275" s="16">
        <v>2024.0</v>
      </c>
      <c r="F6275" s="16">
        <v>48.8697</v>
      </c>
      <c r="G6275" s="16">
        <v>11.7202</v>
      </c>
      <c r="H6275" s="15"/>
      <c r="I6275" s="15"/>
    </row>
    <row r="6276">
      <c r="A6276" s="17">
        <v>45636.0</v>
      </c>
      <c r="B6276" s="16" t="s">
        <v>7087</v>
      </c>
      <c r="C6276" s="16" t="s">
        <v>5894</v>
      </c>
      <c r="D6276" s="16" t="s">
        <v>707</v>
      </c>
      <c r="E6276" s="16">
        <v>2024.0</v>
      </c>
      <c r="F6276" s="16">
        <v>49.5282</v>
      </c>
      <c r="G6276" s="16">
        <v>9.0536</v>
      </c>
      <c r="H6276" s="15"/>
      <c r="I6276" s="15"/>
    </row>
    <row r="6277">
      <c r="A6277" s="17">
        <v>45636.0</v>
      </c>
      <c r="B6277" s="16" t="s">
        <v>7088</v>
      </c>
      <c r="C6277" s="16" t="s">
        <v>1310</v>
      </c>
      <c r="D6277" s="16" t="s">
        <v>707</v>
      </c>
      <c r="E6277" s="16">
        <v>2024.0</v>
      </c>
      <c r="F6277" s="16">
        <v>49.7176</v>
      </c>
      <c r="G6277" s="16">
        <v>10.7469</v>
      </c>
      <c r="H6277" s="15"/>
      <c r="I6277" s="15"/>
    </row>
    <row r="6278">
      <c r="A6278" s="17">
        <v>45636.0</v>
      </c>
      <c r="B6278" s="16" t="s">
        <v>7089</v>
      </c>
      <c r="C6278" s="16" t="s">
        <v>1351</v>
      </c>
      <c r="D6278" s="16" t="s">
        <v>707</v>
      </c>
      <c r="E6278" s="16">
        <v>2024.0</v>
      </c>
      <c r="F6278" s="16">
        <v>49.0595</v>
      </c>
      <c r="G6278" s="16">
        <v>12.6197</v>
      </c>
      <c r="H6278" s="15"/>
      <c r="I6278" s="15"/>
    </row>
    <row r="6279">
      <c r="A6279" s="17">
        <v>45636.0</v>
      </c>
      <c r="B6279" s="16" t="s">
        <v>7090</v>
      </c>
      <c r="C6279" s="16" t="s">
        <v>1267</v>
      </c>
      <c r="D6279" s="16" t="s">
        <v>707</v>
      </c>
      <c r="E6279" s="16">
        <v>2024.0</v>
      </c>
      <c r="F6279" s="16">
        <v>49.8274</v>
      </c>
      <c r="G6279" s="16">
        <v>10.296</v>
      </c>
      <c r="H6279" s="15"/>
      <c r="I6279" s="15"/>
    </row>
    <row r="6280">
      <c r="A6280" s="17">
        <v>45636.0</v>
      </c>
      <c r="B6280" s="16" t="s">
        <v>7091</v>
      </c>
      <c r="C6280" s="16" t="s">
        <v>1085</v>
      </c>
      <c r="D6280" s="16" t="s">
        <v>707</v>
      </c>
      <c r="E6280" s="16">
        <v>2024.0</v>
      </c>
      <c r="F6280" s="16">
        <v>50.3117</v>
      </c>
      <c r="G6280" s="16">
        <v>9.4239</v>
      </c>
      <c r="H6280" s="15"/>
      <c r="I6280" s="15"/>
    </row>
    <row r="6281">
      <c r="A6281" s="17">
        <v>45636.0</v>
      </c>
      <c r="B6281" s="16" t="s">
        <v>7092</v>
      </c>
      <c r="C6281" s="16" t="s">
        <v>4533</v>
      </c>
      <c r="D6281" s="16" t="s">
        <v>707</v>
      </c>
      <c r="E6281" s="16">
        <v>2024.0</v>
      </c>
      <c r="F6281" s="16">
        <v>50.3497</v>
      </c>
      <c r="G6281" s="16">
        <v>10.9134</v>
      </c>
      <c r="H6281" s="15"/>
      <c r="I6281" s="15"/>
    </row>
    <row r="6282">
      <c r="A6282" s="17">
        <v>45636.0</v>
      </c>
      <c r="B6282" s="16" t="s">
        <v>7093</v>
      </c>
      <c r="C6282" s="16" t="s">
        <v>1436</v>
      </c>
      <c r="D6282" s="16" t="s">
        <v>707</v>
      </c>
      <c r="E6282" s="16">
        <v>2024.0</v>
      </c>
      <c r="F6282" s="16">
        <v>48.9451</v>
      </c>
      <c r="G6282" s="16">
        <v>12.664</v>
      </c>
      <c r="H6282" s="15"/>
      <c r="I6282" s="15"/>
    </row>
    <row r="6283">
      <c r="A6283" s="17">
        <v>45636.0</v>
      </c>
      <c r="B6283" s="16" t="s">
        <v>7094</v>
      </c>
      <c r="C6283" s="16" t="s">
        <v>1690</v>
      </c>
      <c r="D6283" s="16" t="s">
        <v>707</v>
      </c>
      <c r="E6283" s="16">
        <v>2024.0</v>
      </c>
      <c r="F6283" s="16">
        <v>49.7612</v>
      </c>
      <c r="G6283" s="16">
        <v>10.7486</v>
      </c>
      <c r="H6283" s="15"/>
      <c r="I6283" s="15"/>
    </row>
    <row r="6284">
      <c r="A6284" s="17">
        <v>45636.0</v>
      </c>
      <c r="B6284" s="16" t="s">
        <v>7095</v>
      </c>
      <c r="C6284" s="16">
        <v>11.0</v>
      </c>
      <c r="D6284" s="16" t="s">
        <v>707</v>
      </c>
      <c r="E6284" s="16">
        <v>2024.0</v>
      </c>
      <c r="F6284" s="16">
        <v>49.7632</v>
      </c>
      <c r="G6284" s="16">
        <v>10.7513</v>
      </c>
      <c r="H6284" s="15"/>
      <c r="I6284" s="15"/>
    </row>
    <row r="6285">
      <c r="A6285" s="17">
        <v>45636.0</v>
      </c>
      <c r="B6285" s="16" t="s">
        <v>7096</v>
      </c>
      <c r="C6285" s="16">
        <v>10.0</v>
      </c>
      <c r="D6285" s="16" t="s">
        <v>707</v>
      </c>
      <c r="E6285" s="16">
        <v>2024.0</v>
      </c>
      <c r="F6285" s="16">
        <v>53.7517</v>
      </c>
      <c r="G6285" s="16">
        <v>13.8064</v>
      </c>
      <c r="H6285" s="15"/>
      <c r="I6285" s="15"/>
    </row>
    <row r="6286">
      <c r="A6286" s="17">
        <v>45636.0</v>
      </c>
      <c r="B6286" s="16" t="s">
        <v>7097</v>
      </c>
      <c r="C6286" s="16" t="s">
        <v>1147</v>
      </c>
      <c r="D6286" s="16" t="s">
        <v>707</v>
      </c>
      <c r="E6286" s="16">
        <v>2024.0</v>
      </c>
      <c r="F6286" s="16">
        <v>53.7537</v>
      </c>
      <c r="G6286" s="16">
        <v>13.805</v>
      </c>
      <c r="H6286" s="15"/>
      <c r="I6286" s="15"/>
    </row>
    <row r="6287">
      <c r="A6287" s="17">
        <v>45636.0</v>
      </c>
      <c r="B6287" s="16" t="s">
        <v>7098</v>
      </c>
      <c r="C6287" s="16" t="s">
        <v>990</v>
      </c>
      <c r="D6287" s="16" t="s">
        <v>707</v>
      </c>
      <c r="E6287" s="16">
        <v>2024.0</v>
      </c>
      <c r="F6287" s="16">
        <v>51.816</v>
      </c>
      <c r="G6287" s="16">
        <v>9.0422</v>
      </c>
      <c r="H6287" s="15"/>
      <c r="I6287" s="15"/>
    </row>
    <row r="6288">
      <c r="A6288" s="17">
        <v>45636.0</v>
      </c>
      <c r="B6288" s="16" t="s">
        <v>7099</v>
      </c>
      <c r="C6288" s="16" t="s">
        <v>1384</v>
      </c>
      <c r="D6288" s="16" t="s">
        <v>707</v>
      </c>
      <c r="E6288" s="16">
        <v>2024.0</v>
      </c>
      <c r="F6288" s="16">
        <v>51.814</v>
      </c>
      <c r="G6288" s="16">
        <v>9.0406</v>
      </c>
      <c r="H6288" s="15"/>
      <c r="I6288" s="15"/>
    </row>
    <row r="6289">
      <c r="A6289" s="17">
        <v>45636.0</v>
      </c>
      <c r="B6289" s="16" t="s">
        <v>7100</v>
      </c>
      <c r="C6289" s="16" t="s">
        <v>1007</v>
      </c>
      <c r="D6289" s="16" t="s">
        <v>707</v>
      </c>
      <c r="E6289" s="16">
        <v>2024.0</v>
      </c>
      <c r="F6289" s="16">
        <v>48.8248</v>
      </c>
      <c r="G6289" s="16">
        <v>12.1714</v>
      </c>
      <c r="H6289" s="15"/>
      <c r="I6289" s="15"/>
    </row>
    <row r="6290">
      <c r="A6290" s="17">
        <v>45636.0</v>
      </c>
      <c r="B6290" s="16" t="s">
        <v>7101</v>
      </c>
      <c r="C6290" s="16" t="s">
        <v>1101</v>
      </c>
      <c r="D6290" s="16" t="s">
        <v>707</v>
      </c>
      <c r="E6290" s="16">
        <v>2024.0</v>
      </c>
      <c r="F6290" s="16">
        <v>48.9425</v>
      </c>
      <c r="G6290" s="16">
        <v>12.7055</v>
      </c>
      <c r="H6290" s="15"/>
      <c r="I6290" s="15"/>
    </row>
    <row r="6291">
      <c r="A6291" s="17">
        <v>45636.0</v>
      </c>
      <c r="B6291" s="16" t="s">
        <v>7102</v>
      </c>
      <c r="C6291" s="16" t="s">
        <v>6171</v>
      </c>
      <c r="D6291" s="16" t="s">
        <v>707</v>
      </c>
      <c r="E6291" s="16">
        <v>2024.0</v>
      </c>
      <c r="F6291" s="16">
        <v>48.942</v>
      </c>
      <c r="G6291" s="16">
        <v>12.674</v>
      </c>
      <c r="H6291" s="15"/>
      <c r="I6291" s="15"/>
    </row>
    <row r="6292">
      <c r="A6292" s="17">
        <v>45636.0</v>
      </c>
      <c r="B6292" s="16" t="s">
        <v>7103</v>
      </c>
      <c r="C6292" s="16" t="s">
        <v>1101</v>
      </c>
      <c r="D6292" s="16" t="s">
        <v>707</v>
      </c>
      <c r="E6292" s="16">
        <v>2024.0</v>
      </c>
      <c r="F6292" s="16">
        <v>48.9633</v>
      </c>
      <c r="G6292" s="16">
        <v>12.1763</v>
      </c>
      <c r="H6292" s="15"/>
      <c r="I6292" s="15"/>
    </row>
    <row r="6293">
      <c r="A6293" s="17">
        <v>45636.0</v>
      </c>
      <c r="B6293" s="16" t="s">
        <v>7104</v>
      </c>
      <c r="C6293" s="16">
        <v>8.0</v>
      </c>
      <c r="D6293" s="16" t="s">
        <v>707</v>
      </c>
      <c r="E6293" s="16">
        <v>2024.0</v>
      </c>
      <c r="F6293" s="16">
        <v>49.4143</v>
      </c>
      <c r="G6293" s="16">
        <v>9.4229</v>
      </c>
      <c r="H6293" s="15"/>
      <c r="I6293" s="15"/>
    </row>
    <row r="6294">
      <c r="A6294" s="17">
        <v>45636.0</v>
      </c>
      <c r="B6294" s="16" t="s">
        <v>7105</v>
      </c>
      <c r="C6294" s="16">
        <v>8.0</v>
      </c>
      <c r="D6294" s="16" t="s">
        <v>707</v>
      </c>
      <c r="E6294" s="16">
        <v>2024.0</v>
      </c>
      <c r="F6294" s="16">
        <v>50.1766</v>
      </c>
      <c r="G6294" s="16">
        <v>9.4784</v>
      </c>
      <c r="H6294" s="15"/>
      <c r="I6294" s="15"/>
    </row>
    <row r="6295">
      <c r="A6295" s="17">
        <v>45636.0</v>
      </c>
      <c r="B6295" s="16" t="s">
        <v>7106</v>
      </c>
      <c r="C6295" s="16">
        <v>5.0</v>
      </c>
      <c r="D6295" s="16" t="s">
        <v>707</v>
      </c>
      <c r="E6295" s="16">
        <v>2024.0</v>
      </c>
      <c r="F6295" s="16">
        <v>48.7613</v>
      </c>
      <c r="G6295" s="16">
        <v>12.8495</v>
      </c>
      <c r="H6295" s="15"/>
      <c r="I6295" s="15"/>
    </row>
    <row r="6296">
      <c r="A6296" s="17">
        <v>45636.0</v>
      </c>
      <c r="B6296" s="16" t="s">
        <v>7107</v>
      </c>
      <c r="C6296" s="16" t="s">
        <v>1454</v>
      </c>
      <c r="D6296" s="16" t="s">
        <v>707</v>
      </c>
      <c r="E6296" s="16">
        <v>2024.0</v>
      </c>
      <c r="F6296" s="16">
        <v>48.6246</v>
      </c>
      <c r="G6296" s="16">
        <v>11.4972</v>
      </c>
      <c r="H6296" s="15"/>
      <c r="I6296" s="15"/>
    </row>
    <row r="6297">
      <c r="A6297" s="17">
        <v>45636.0</v>
      </c>
      <c r="B6297" s="16" t="s">
        <v>7108</v>
      </c>
      <c r="C6297" s="16" t="s">
        <v>969</v>
      </c>
      <c r="D6297" s="16" t="s">
        <v>707</v>
      </c>
      <c r="E6297" s="16">
        <v>2024.0</v>
      </c>
      <c r="F6297" s="16">
        <v>48.875</v>
      </c>
      <c r="G6297" s="16">
        <v>12.528</v>
      </c>
      <c r="H6297" s="15"/>
      <c r="I6297" s="15"/>
    </row>
    <row r="6298">
      <c r="A6298" s="17">
        <v>45636.0</v>
      </c>
      <c r="B6298" s="16" t="s">
        <v>7109</v>
      </c>
      <c r="C6298" s="16" t="s">
        <v>6973</v>
      </c>
      <c r="D6298" s="16" t="s">
        <v>707</v>
      </c>
      <c r="E6298" s="16">
        <v>2024.0</v>
      </c>
      <c r="F6298" s="16">
        <v>48.5444</v>
      </c>
      <c r="G6298" s="16">
        <v>12.5655</v>
      </c>
      <c r="H6298" s="15"/>
      <c r="I6298" s="15"/>
    </row>
    <row r="6299">
      <c r="A6299" s="17">
        <v>45636.0</v>
      </c>
      <c r="B6299" s="16" t="s">
        <v>7110</v>
      </c>
      <c r="C6299" s="16">
        <v>6.0</v>
      </c>
      <c r="D6299" s="16" t="s">
        <v>707</v>
      </c>
      <c r="E6299" s="16">
        <v>2024.0</v>
      </c>
      <c r="F6299" s="16">
        <v>50.27</v>
      </c>
      <c r="G6299" s="16">
        <v>9.3517</v>
      </c>
      <c r="H6299" s="15"/>
      <c r="I6299" s="15"/>
    </row>
    <row r="6300">
      <c r="A6300" s="17">
        <v>45636.0</v>
      </c>
      <c r="B6300" s="16" t="s">
        <v>7111</v>
      </c>
      <c r="C6300" s="16" t="s">
        <v>1172</v>
      </c>
      <c r="D6300" s="16" t="s">
        <v>707</v>
      </c>
      <c r="E6300" s="16">
        <v>2024.0</v>
      </c>
      <c r="F6300" s="16">
        <v>52.1013</v>
      </c>
      <c r="G6300" s="16">
        <v>8.5619</v>
      </c>
      <c r="H6300" s="15"/>
      <c r="I6300" s="15"/>
    </row>
    <row r="6301">
      <c r="A6301" s="17">
        <v>45636.0</v>
      </c>
      <c r="B6301" s="16" t="s">
        <v>7112</v>
      </c>
      <c r="C6301" s="16">
        <v>2.0</v>
      </c>
      <c r="D6301" s="16" t="s">
        <v>707</v>
      </c>
      <c r="E6301" s="16">
        <v>2024.0</v>
      </c>
      <c r="F6301" s="16">
        <v>48.5842</v>
      </c>
      <c r="G6301" s="16">
        <v>11.1963</v>
      </c>
      <c r="H6301" s="15"/>
      <c r="I6301" s="15"/>
    </row>
    <row r="6302">
      <c r="A6302" s="17">
        <v>45636.0</v>
      </c>
      <c r="B6302" s="16" t="s">
        <v>7113</v>
      </c>
      <c r="C6302" s="16" t="s">
        <v>1147</v>
      </c>
      <c r="D6302" s="16" t="s">
        <v>707</v>
      </c>
      <c r="E6302" s="16">
        <v>2024.0</v>
      </c>
      <c r="F6302" s="16">
        <v>49.139</v>
      </c>
      <c r="G6302" s="16">
        <v>9.037</v>
      </c>
      <c r="H6302" s="15"/>
      <c r="I6302" s="15"/>
    </row>
    <row r="6303">
      <c r="A6303" s="17">
        <v>45636.0</v>
      </c>
      <c r="B6303" s="16" t="s">
        <v>7114</v>
      </c>
      <c r="C6303" s="16">
        <v>5.0</v>
      </c>
      <c r="D6303" s="16" t="s">
        <v>707</v>
      </c>
      <c r="E6303" s="16">
        <v>2024.0</v>
      </c>
      <c r="F6303" s="16">
        <v>48.0089</v>
      </c>
      <c r="G6303" s="16">
        <v>10.3655</v>
      </c>
      <c r="H6303" s="15"/>
      <c r="I6303" s="15"/>
    </row>
    <row r="6304">
      <c r="A6304" s="17">
        <v>45636.0</v>
      </c>
      <c r="B6304" s="16" t="s">
        <v>7115</v>
      </c>
      <c r="C6304" s="16">
        <v>2.0</v>
      </c>
      <c r="D6304" s="16" t="s">
        <v>707</v>
      </c>
      <c r="E6304" s="16">
        <v>2024.0</v>
      </c>
      <c r="F6304" s="16">
        <v>49.4634</v>
      </c>
      <c r="G6304" s="16">
        <v>10.4336</v>
      </c>
      <c r="H6304" s="15"/>
      <c r="I6304" s="15"/>
    </row>
    <row r="6305">
      <c r="A6305" s="17">
        <v>45636.0</v>
      </c>
      <c r="B6305" s="16" t="s">
        <v>7116</v>
      </c>
      <c r="C6305" s="16">
        <v>6.0</v>
      </c>
      <c r="D6305" s="16" t="s">
        <v>707</v>
      </c>
      <c r="E6305" s="16">
        <v>2024.0</v>
      </c>
      <c r="F6305" s="16">
        <v>53.3895</v>
      </c>
      <c r="G6305" s="16">
        <v>13.0164</v>
      </c>
      <c r="H6305" s="15"/>
      <c r="I6305" s="15"/>
    </row>
    <row r="6306">
      <c r="A6306" s="17">
        <v>45636.0</v>
      </c>
      <c r="B6306" s="16" t="s">
        <v>7117</v>
      </c>
      <c r="C6306" s="16" t="s">
        <v>1215</v>
      </c>
      <c r="D6306" s="16" t="s">
        <v>707</v>
      </c>
      <c r="E6306" s="16">
        <v>2024.0</v>
      </c>
      <c r="F6306" s="16">
        <v>54.1244</v>
      </c>
      <c r="G6306" s="16">
        <v>13.0349</v>
      </c>
      <c r="H6306" s="15"/>
      <c r="I6306" s="15"/>
    </row>
    <row r="6307">
      <c r="A6307" s="17">
        <v>45636.0</v>
      </c>
      <c r="B6307" s="16" t="s">
        <v>7118</v>
      </c>
      <c r="C6307" s="16">
        <v>2.0</v>
      </c>
      <c r="D6307" s="16" t="s">
        <v>707</v>
      </c>
      <c r="E6307" s="16">
        <v>2024.0</v>
      </c>
      <c r="F6307" s="16">
        <v>49.0849</v>
      </c>
      <c r="G6307" s="16">
        <v>10.8986</v>
      </c>
      <c r="H6307" s="15"/>
      <c r="I6307" s="15"/>
    </row>
    <row r="6308">
      <c r="A6308" s="17">
        <v>45636.0</v>
      </c>
      <c r="B6308" s="16" t="s">
        <v>7119</v>
      </c>
      <c r="C6308" s="16" t="s">
        <v>1609</v>
      </c>
      <c r="D6308" s="16" t="s">
        <v>707</v>
      </c>
      <c r="E6308" s="16">
        <v>2024.0</v>
      </c>
      <c r="F6308" s="16">
        <v>49.7435</v>
      </c>
      <c r="G6308" s="16">
        <v>12.0836</v>
      </c>
      <c r="H6308" s="15"/>
      <c r="I6308" s="15"/>
    </row>
    <row r="6309">
      <c r="A6309" s="17">
        <v>45636.0</v>
      </c>
      <c r="B6309" s="16" t="s">
        <v>7120</v>
      </c>
      <c r="C6309" s="16" t="s">
        <v>2331</v>
      </c>
      <c r="D6309" s="16" t="s">
        <v>707</v>
      </c>
      <c r="E6309" s="16">
        <v>2024.0</v>
      </c>
      <c r="F6309" s="16">
        <v>48.5202</v>
      </c>
      <c r="G6309" s="16">
        <v>9.0934</v>
      </c>
      <c r="H6309" s="15"/>
      <c r="I6309" s="15"/>
    </row>
    <row r="6310">
      <c r="A6310" s="17">
        <v>45636.0</v>
      </c>
      <c r="B6310" s="16" t="s">
        <v>7121</v>
      </c>
      <c r="C6310" s="16" t="s">
        <v>1581</v>
      </c>
      <c r="D6310" s="16" t="s">
        <v>707</v>
      </c>
      <c r="E6310" s="16">
        <v>2024.0</v>
      </c>
      <c r="F6310" s="16">
        <v>50.3721</v>
      </c>
      <c r="G6310" s="16">
        <v>10.2889</v>
      </c>
      <c r="H6310" s="15"/>
      <c r="I6310" s="15"/>
    </row>
    <row r="6311">
      <c r="A6311" s="17">
        <v>45636.0</v>
      </c>
      <c r="B6311" s="16" t="s">
        <v>7122</v>
      </c>
      <c r="C6311" s="16">
        <v>4.0</v>
      </c>
      <c r="D6311" s="16" t="s">
        <v>707</v>
      </c>
      <c r="E6311" s="16">
        <v>2024.0</v>
      </c>
      <c r="F6311" s="16">
        <v>48.4369</v>
      </c>
      <c r="G6311" s="16">
        <v>12.3555</v>
      </c>
      <c r="H6311" s="15"/>
      <c r="I6311" s="15"/>
    </row>
    <row r="6312">
      <c r="A6312" s="17">
        <v>45636.0</v>
      </c>
      <c r="B6312" s="16" t="s">
        <v>7123</v>
      </c>
      <c r="C6312" s="16" t="s">
        <v>1282</v>
      </c>
      <c r="D6312" s="16" t="s">
        <v>707</v>
      </c>
      <c r="E6312" s="16">
        <v>2024.0</v>
      </c>
      <c r="F6312" s="16">
        <v>48.433</v>
      </c>
      <c r="G6312" s="16">
        <v>12.37</v>
      </c>
      <c r="H6312" s="15"/>
      <c r="I6312" s="15"/>
    </row>
    <row r="6313">
      <c r="A6313" s="17">
        <v>45636.0</v>
      </c>
      <c r="B6313" s="16" t="s">
        <v>7124</v>
      </c>
      <c r="C6313" s="16" t="s">
        <v>1099</v>
      </c>
      <c r="D6313" s="16" t="s">
        <v>707</v>
      </c>
      <c r="E6313" s="16">
        <v>2024.0</v>
      </c>
      <c r="F6313" s="16">
        <v>49.4194</v>
      </c>
      <c r="G6313" s="16">
        <v>9.9327</v>
      </c>
      <c r="H6313" s="15"/>
      <c r="I6313" s="15"/>
    </row>
    <row r="6314">
      <c r="A6314" s="17">
        <v>45636.0</v>
      </c>
      <c r="B6314" s="16" t="s">
        <v>7125</v>
      </c>
      <c r="C6314" s="16" t="s">
        <v>1085</v>
      </c>
      <c r="D6314" s="16" t="s">
        <v>707</v>
      </c>
      <c r="E6314" s="16">
        <v>2024.0</v>
      </c>
      <c r="F6314" s="16">
        <v>49.3015</v>
      </c>
      <c r="G6314" s="16">
        <v>12.1929</v>
      </c>
      <c r="H6314" s="15"/>
      <c r="I6314" s="15"/>
    </row>
    <row r="6315">
      <c r="A6315" s="17">
        <v>45636.0</v>
      </c>
      <c r="B6315" s="16" t="s">
        <v>7126</v>
      </c>
      <c r="C6315" s="16" t="s">
        <v>946</v>
      </c>
      <c r="D6315" s="16" t="s">
        <v>707</v>
      </c>
      <c r="E6315" s="16">
        <v>2024.0</v>
      </c>
      <c r="F6315" s="16">
        <v>49.989</v>
      </c>
      <c r="G6315" s="16">
        <v>10.0657</v>
      </c>
      <c r="H6315" s="15"/>
      <c r="I6315" s="15"/>
    </row>
    <row r="6316">
      <c r="A6316" s="17">
        <v>45636.0</v>
      </c>
      <c r="B6316" s="16" t="s">
        <v>7127</v>
      </c>
      <c r="C6316" s="16" t="s">
        <v>1454</v>
      </c>
      <c r="D6316" s="16" t="s">
        <v>707</v>
      </c>
      <c r="E6316" s="16">
        <v>2024.0</v>
      </c>
      <c r="F6316" s="16">
        <v>49.9891</v>
      </c>
      <c r="G6316" s="16">
        <v>10.0698</v>
      </c>
      <c r="H6316" s="15"/>
      <c r="I6316" s="15"/>
    </row>
    <row r="6317">
      <c r="A6317" s="17">
        <v>45636.0</v>
      </c>
      <c r="B6317" s="16" t="s">
        <v>7128</v>
      </c>
      <c r="C6317" s="16" t="s">
        <v>1147</v>
      </c>
      <c r="D6317" s="16" t="s">
        <v>707</v>
      </c>
      <c r="E6317" s="16">
        <v>2024.0</v>
      </c>
      <c r="F6317" s="16">
        <v>49.9896</v>
      </c>
      <c r="G6317" s="16">
        <v>10.0732</v>
      </c>
      <c r="H6317" s="15"/>
      <c r="I6317" s="15"/>
    </row>
    <row r="6318">
      <c r="A6318" s="17">
        <v>45636.0</v>
      </c>
      <c r="B6318" s="16" t="s">
        <v>7129</v>
      </c>
      <c r="C6318" s="16" t="s">
        <v>4064</v>
      </c>
      <c r="D6318" s="16" t="s">
        <v>707</v>
      </c>
      <c r="E6318" s="16">
        <v>2024.0</v>
      </c>
      <c r="F6318" s="16">
        <v>51.8143</v>
      </c>
      <c r="G6318" s="16">
        <v>11.0792</v>
      </c>
      <c r="H6318" s="15"/>
      <c r="I6318" s="15"/>
    </row>
    <row r="6319">
      <c r="A6319" s="17">
        <v>45636.0</v>
      </c>
      <c r="B6319" s="16" t="s">
        <v>7130</v>
      </c>
      <c r="C6319" s="16">
        <v>10.0</v>
      </c>
      <c r="D6319" s="16" t="s">
        <v>707</v>
      </c>
      <c r="E6319" s="16">
        <v>2024.0</v>
      </c>
      <c r="F6319" s="16">
        <v>51.8143</v>
      </c>
      <c r="G6319" s="16">
        <v>11.0792</v>
      </c>
      <c r="H6319" s="15"/>
      <c r="I6319" s="15"/>
    </row>
    <row r="6320">
      <c r="A6320" s="17">
        <v>45636.0</v>
      </c>
      <c r="B6320" s="16" t="s">
        <v>7131</v>
      </c>
      <c r="C6320" s="16" t="s">
        <v>4064</v>
      </c>
      <c r="D6320" s="16" t="s">
        <v>707</v>
      </c>
      <c r="E6320" s="16">
        <v>2024.0</v>
      </c>
      <c r="F6320" s="16">
        <v>51.8143</v>
      </c>
      <c r="G6320" s="16">
        <v>11.0792</v>
      </c>
      <c r="H6320" s="15"/>
      <c r="I6320" s="15"/>
    </row>
    <row r="6321">
      <c r="A6321" s="17">
        <v>45636.0</v>
      </c>
      <c r="B6321" s="16" t="s">
        <v>7132</v>
      </c>
      <c r="C6321" s="16" t="s">
        <v>1059</v>
      </c>
      <c r="D6321" s="16" t="s">
        <v>707</v>
      </c>
      <c r="E6321" s="16">
        <v>2024.0</v>
      </c>
      <c r="F6321" s="16">
        <v>51.8143</v>
      </c>
      <c r="G6321" s="16">
        <v>11.0792</v>
      </c>
      <c r="H6321" s="15"/>
      <c r="I6321" s="15"/>
    </row>
    <row r="6322">
      <c r="A6322" s="17">
        <v>45636.0</v>
      </c>
      <c r="B6322" s="16" t="s">
        <v>7133</v>
      </c>
      <c r="C6322" s="16" t="s">
        <v>4789</v>
      </c>
      <c r="D6322" s="16" t="s">
        <v>707</v>
      </c>
      <c r="E6322" s="16">
        <v>2024.0</v>
      </c>
      <c r="F6322" s="16">
        <v>48.6663</v>
      </c>
      <c r="G6322" s="16">
        <v>10.6088</v>
      </c>
      <c r="H6322" s="15"/>
      <c r="I6322" s="15"/>
    </row>
    <row r="6323">
      <c r="A6323" s="17">
        <v>45636.0</v>
      </c>
      <c r="B6323" s="16" t="s">
        <v>7134</v>
      </c>
      <c r="C6323" s="16" t="s">
        <v>1745</v>
      </c>
      <c r="D6323" s="16" t="s">
        <v>707</v>
      </c>
      <c r="E6323" s="16">
        <v>2024.0</v>
      </c>
      <c r="F6323" s="16">
        <v>52.987</v>
      </c>
      <c r="G6323" s="16">
        <v>13.2274</v>
      </c>
      <c r="H6323" s="15"/>
      <c r="I6323" s="15"/>
    </row>
    <row r="6324">
      <c r="A6324" s="17">
        <v>45636.0</v>
      </c>
      <c r="B6324" s="16" t="s">
        <v>7135</v>
      </c>
      <c r="C6324" s="16" t="s">
        <v>1393</v>
      </c>
      <c r="D6324" s="16" t="s">
        <v>707</v>
      </c>
      <c r="E6324" s="16">
        <v>2024.0</v>
      </c>
      <c r="F6324" s="16">
        <v>47.7723</v>
      </c>
      <c r="G6324" s="16">
        <v>10.3421</v>
      </c>
      <c r="H6324" s="15"/>
      <c r="I6324" s="15"/>
    </row>
    <row r="6325">
      <c r="A6325" s="17">
        <v>45636.0</v>
      </c>
      <c r="B6325" s="16" t="s">
        <v>7136</v>
      </c>
      <c r="C6325" s="16" t="s">
        <v>1046</v>
      </c>
      <c r="D6325" s="16" t="s">
        <v>707</v>
      </c>
      <c r="E6325" s="16">
        <v>2024.0</v>
      </c>
      <c r="F6325" s="16">
        <v>53.1192</v>
      </c>
      <c r="G6325" s="16">
        <v>9.2075</v>
      </c>
      <c r="H6325" s="15"/>
      <c r="I6325" s="15"/>
    </row>
    <row r="6326">
      <c r="A6326" s="17">
        <v>45636.0</v>
      </c>
      <c r="B6326" s="16" t="s">
        <v>7137</v>
      </c>
      <c r="C6326" s="16" t="s">
        <v>1181</v>
      </c>
      <c r="D6326" s="16" t="s">
        <v>707</v>
      </c>
      <c r="E6326" s="16">
        <v>2024.0</v>
      </c>
      <c r="F6326" s="16">
        <v>50.0838</v>
      </c>
      <c r="G6326" s="16">
        <v>7.1102</v>
      </c>
      <c r="H6326" s="15"/>
      <c r="I6326" s="15"/>
    </row>
    <row r="6327">
      <c r="A6327" s="17">
        <v>45636.0</v>
      </c>
      <c r="B6327" s="16" t="s">
        <v>7138</v>
      </c>
      <c r="C6327" s="16" t="s">
        <v>1046</v>
      </c>
      <c r="D6327" s="16" t="s">
        <v>707</v>
      </c>
      <c r="E6327" s="16">
        <v>2024.0</v>
      </c>
      <c r="F6327" s="16">
        <v>48.0367</v>
      </c>
      <c r="G6327" s="16">
        <v>11.6025</v>
      </c>
      <c r="H6327" s="15"/>
      <c r="I6327" s="15"/>
    </row>
    <row r="6328">
      <c r="A6328" s="17">
        <v>45636.0</v>
      </c>
      <c r="B6328" s="16" t="s">
        <v>7139</v>
      </c>
      <c r="C6328" s="16" t="s">
        <v>2580</v>
      </c>
      <c r="D6328" s="16" t="s">
        <v>707</v>
      </c>
      <c r="E6328" s="16">
        <v>2024.0</v>
      </c>
      <c r="F6328" s="16">
        <v>53.5165</v>
      </c>
      <c r="G6328" s="16">
        <v>11.4155</v>
      </c>
      <c r="H6328" s="15"/>
      <c r="I6328" s="15"/>
    </row>
    <row r="6329">
      <c r="A6329" s="17">
        <v>45636.0</v>
      </c>
      <c r="B6329" s="16" t="s">
        <v>7140</v>
      </c>
      <c r="C6329" s="16" t="s">
        <v>969</v>
      </c>
      <c r="D6329" s="16" t="s">
        <v>707</v>
      </c>
      <c r="E6329" s="16">
        <v>2024.0</v>
      </c>
      <c r="F6329" s="16">
        <v>50.6551</v>
      </c>
      <c r="G6329" s="16">
        <v>10.6613</v>
      </c>
      <c r="H6329" s="15"/>
      <c r="I6329" s="15"/>
    </row>
    <row r="6330">
      <c r="A6330" s="17">
        <v>45636.0</v>
      </c>
      <c r="B6330" s="16" t="s">
        <v>7141</v>
      </c>
      <c r="C6330" s="16" t="s">
        <v>1004</v>
      </c>
      <c r="D6330" s="16" t="s">
        <v>707</v>
      </c>
      <c r="E6330" s="16">
        <v>2024.0</v>
      </c>
      <c r="F6330" s="16">
        <v>51.677</v>
      </c>
      <c r="G6330" s="16">
        <v>7.928</v>
      </c>
      <c r="H6330" s="15"/>
      <c r="I6330" s="15"/>
    </row>
    <row r="6331">
      <c r="A6331" s="17">
        <v>45636.0</v>
      </c>
      <c r="B6331" s="16" t="s">
        <v>7142</v>
      </c>
      <c r="C6331" s="16" t="s">
        <v>1055</v>
      </c>
      <c r="D6331" s="16" t="s">
        <v>707</v>
      </c>
      <c r="E6331" s="16">
        <v>2024.0</v>
      </c>
      <c r="F6331" s="16">
        <v>52.3895</v>
      </c>
      <c r="G6331" s="16">
        <v>9.8056</v>
      </c>
      <c r="H6331" s="15"/>
      <c r="I6331" s="15"/>
    </row>
    <row r="6332">
      <c r="A6332" s="17">
        <v>45636.0</v>
      </c>
      <c r="B6332" s="16" t="s">
        <v>7143</v>
      </c>
      <c r="C6332" s="16" t="s">
        <v>942</v>
      </c>
      <c r="D6332" s="16" t="s">
        <v>707</v>
      </c>
      <c r="E6332" s="16">
        <v>2024.0</v>
      </c>
      <c r="F6332" s="16">
        <v>51.4488</v>
      </c>
      <c r="G6332" s="16">
        <v>7.5828</v>
      </c>
      <c r="H6332" s="15"/>
      <c r="I6332" s="15"/>
    </row>
    <row r="6333">
      <c r="A6333" s="17">
        <v>45636.0</v>
      </c>
      <c r="B6333" s="16" t="s">
        <v>7144</v>
      </c>
      <c r="C6333" s="16" t="s">
        <v>1399</v>
      </c>
      <c r="D6333" s="16" t="s">
        <v>707</v>
      </c>
      <c r="E6333" s="16">
        <v>2024.0</v>
      </c>
      <c r="F6333" s="16">
        <v>50.0341</v>
      </c>
      <c r="G6333" s="16">
        <v>7.2519</v>
      </c>
      <c r="H6333" s="15"/>
      <c r="I6333" s="15"/>
    </row>
    <row r="6334">
      <c r="A6334" s="17">
        <v>45636.0</v>
      </c>
      <c r="B6334" s="16" t="s">
        <v>7145</v>
      </c>
      <c r="C6334" s="16" t="s">
        <v>951</v>
      </c>
      <c r="D6334" s="16" t="s">
        <v>707</v>
      </c>
      <c r="E6334" s="16">
        <v>2024.0</v>
      </c>
      <c r="F6334" s="16">
        <v>52.019</v>
      </c>
      <c r="G6334" s="16">
        <v>7.4295</v>
      </c>
      <c r="H6334" s="15"/>
      <c r="I6334" s="15"/>
    </row>
    <row r="6335">
      <c r="A6335" s="17">
        <v>45636.0</v>
      </c>
      <c r="B6335" s="16" t="s">
        <v>7146</v>
      </c>
      <c r="C6335" s="16" t="s">
        <v>1085</v>
      </c>
      <c r="D6335" s="16" t="s">
        <v>707</v>
      </c>
      <c r="E6335" s="16">
        <v>2024.0</v>
      </c>
      <c r="F6335" s="16">
        <v>47.7695</v>
      </c>
      <c r="G6335" s="16">
        <v>9.0017</v>
      </c>
      <c r="H6335" s="15"/>
      <c r="I6335" s="15"/>
    </row>
    <row r="6336">
      <c r="A6336" s="17">
        <v>45636.0</v>
      </c>
      <c r="B6336" s="16" t="s">
        <v>7147</v>
      </c>
      <c r="C6336" s="16" t="s">
        <v>959</v>
      </c>
      <c r="D6336" s="16" t="s">
        <v>707</v>
      </c>
      <c r="E6336" s="16">
        <v>2024.0</v>
      </c>
      <c r="F6336" s="16">
        <v>54.5028</v>
      </c>
      <c r="G6336" s="16">
        <v>9.2958</v>
      </c>
      <c r="H6336" s="15"/>
      <c r="I6336" s="15"/>
    </row>
    <row r="6337">
      <c r="A6337" s="17">
        <v>45636.0</v>
      </c>
      <c r="B6337" s="16" t="s">
        <v>7148</v>
      </c>
      <c r="C6337" s="16" t="s">
        <v>961</v>
      </c>
      <c r="D6337" s="16" t="s">
        <v>707</v>
      </c>
      <c r="E6337" s="16">
        <v>2024.0</v>
      </c>
      <c r="F6337" s="16">
        <v>49.4389</v>
      </c>
      <c r="G6337" s="16">
        <v>8.5143</v>
      </c>
      <c r="H6337" s="15"/>
      <c r="I6337" s="15"/>
    </row>
    <row r="6338">
      <c r="A6338" s="17">
        <v>45636.0</v>
      </c>
      <c r="B6338" s="16" t="s">
        <v>7149</v>
      </c>
      <c r="C6338" s="16" t="s">
        <v>942</v>
      </c>
      <c r="D6338" s="16" t="s">
        <v>707</v>
      </c>
      <c r="E6338" s="16">
        <v>2024.0</v>
      </c>
      <c r="F6338" s="16">
        <v>49.9198</v>
      </c>
      <c r="G6338" s="16">
        <v>6.8552</v>
      </c>
      <c r="H6338" s="15"/>
      <c r="I6338" s="15"/>
    </row>
    <row r="6339">
      <c r="A6339" s="17">
        <v>45636.0</v>
      </c>
      <c r="B6339" s="16" t="s">
        <v>7150</v>
      </c>
      <c r="C6339" s="16" t="s">
        <v>948</v>
      </c>
      <c r="D6339" s="16" t="s">
        <v>707</v>
      </c>
      <c r="E6339" s="16">
        <v>2024.0</v>
      </c>
      <c r="F6339" s="16">
        <v>52.3546</v>
      </c>
      <c r="G6339" s="16">
        <v>11.3604</v>
      </c>
      <c r="H6339" s="15"/>
      <c r="I6339" s="15"/>
    </row>
    <row r="6340">
      <c r="A6340" s="17">
        <v>45636.0</v>
      </c>
      <c r="B6340" s="16" t="s">
        <v>7151</v>
      </c>
      <c r="C6340" s="16" t="s">
        <v>942</v>
      </c>
      <c r="D6340" s="16" t="s">
        <v>707</v>
      </c>
      <c r="E6340" s="16">
        <v>2024.0</v>
      </c>
      <c r="F6340" s="16">
        <v>53.8469</v>
      </c>
      <c r="G6340" s="16">
        <v>8.7019</v>
      </c>
      <c r="H6340" s="15"/>
      <c r="I6340" s="15"/>
    </row>
    <row r="6341">
      <c r="A6341" s="17">
        <v>45636.0</v>
      </c>
      <c r="B6341" s="16" t="s">
        <v>7152</v>
      </c>
      <c r="C6341" s="16" t="s">
        <v>2392</v>
      </c>
      <c r="D6341" s="16" t="s">
        <v>707</v>
      </c>
      <c r="E6341" s="16">
        <v>2024.0</v>
      </c>
      <c r="F6341" s="16">
        <v>49.5027</v>
      </c>
      <c r="G6341" s="16">
        <v>10.8379</v>
      </c>
      <c r="H6341" s="15"/>
      <c r="I6341" s="15"/>
    </row>
    <row r="6342">
      <c r="A6342" s="17">
        <v>45636.0</v>
      </c>
      <c r="B6342" s="16" t="s">
        <v>7153</v>
      </c>
      <c r="C6342" s="16" t="s">
        <v>965</v>
      </c>
      <c r="D6342" s="16" t="s">
        <v>707</v>
      </c>
      <c r="E6342" s="16">
        <v>2024.0</v>
      </c>
      <c r="F6342" s="16">
        <v>48.1774</v>
      </c>
      <c r="G6342" s="16">
        <v>10.1748</v>
      </c>
      <c r="H6342" s="15"/>
      <c r="I6342" s="15"/>
    </row>
    <row r="6343">
      <c r="A6343" s="17">
        <v>45636.0</v>
      </c>
      <c r="B6343" s="16" t="s">
        <v>7154</v>
      </c>
      <c r="C6343" s="16" t="s">
        <v>1432</v>
      </c>
      <c r="D6343" s="16" t="s">
        <v>707</v>
      </c>
      <c r="E6343" s="16">
        <v>2024.0</v>
      </c>
      <c r="F6343" s="16">
        <v>48.1774</v>
      </c>
      <c r="G6343" s="16">
        <v>10.1748</v>
      </c>
      <c r="H6343" s="15"/>
      <c r="I6343" s="15"/>
    </row>
    <row r="6344">
      <c r="A6344" s="17">
        <v>45636.0</v>
      </c>
      <c r="B6344" s="16" t="s">
        <v>7155</v>
      </c>
      <c r="C6344" s="16" t="s">
        <v>7156</v>
      </c>
      <c r="D6344" s="16" t="s">
        <v>707</v>
      </c>
      <c r="E6344" s="16">
        <v>2024.0</v>
      </c>
      <c r="F6344" s="16">
        <v>48.1845</v>
      </c>
      <c r="G6344" s="16">
        <v>10.1714</v>
      </c>
      <c r="H6344" s="15"/>
      <c r="I6344" s="15"/>
    </row>
    <row r="6345">
      <c r="A6345" s="17">
        <v>45636.0</v>
      </c>
      <c r="B6345" s="16" t="s">
        <v>7157</v>
      </c>
      <c r="C6345" s="16">
        <v>1.0</v>
      </c>
      <c r="D6345" s="16" t="s">
        <v>707</v>
      </c>
      <c r="E6345" s="16">
        <v>2024.0</v>
      </c>
      <c r="F6345" s="16">
        <v>51.6179</v>
      </c>
      <c r="G6345" s="16">
        <v>6.6626</v>
      </c>
      <c r="H6345" s="15"/>
      <c r="I6345" s="15"/>
    </row>
    <row r="6346">
      <c r="A6346" s="17">
        <v>45636.0</v>
      </c>
      <c r="B6346" s="16" t="s">
        <v>7158</v>
      </c>
      <c r="C6346" s="16" t="s">
        <v>946</v>
      </c>
      <c r="D6346" s="16" t="s">
        <v>707</v>
      </c>
      <c r="E6346" s="16">
        <v>2024.0</v>
      </c>
      <c r="F6346" s="16">
        <v>51.6179</v>
      </c>
      <c r="G6346" s="16">
        <v>6.6626</v>
      </c>
      <c r="H6346" s="15"/>
      <c r="I6346" s="15"/>
    </row>
    <row r="6347">
      <c r="A6347" s="17">
        <v>45636.0</v>
      </c>
      <c r="B6347" s="16" t="s">
        <v>7159</v>
      </c>
      <c r="C6347" s="16" t="s">
        <v>1215</v>
      </c>
      <c r="D6347" s="16" t="s">
        <v>707</v>
      </c>
      <c r="E6347" s="16">
        <v>2024.0</v>
      </c>
      <c r="F6347" s="16">
        <v>51.0451</v>
      </c>
      <c r="G6347" s="16">
        <v>11.0392</v>
      </c>
      <c r="H6347" s="15"/>
      <c r="I6347" s="15"/>
    </row>
    <row r="6348">
      <c r="A6348" s="17">
        <v>45636.0</v>
      </c>
      <c r="B6348" s="16" t="s">
        <v>7160</v>
      </c>
      <c r="C6348" s="16" t="s">
        <v>1090</v>
      </c>
      <c r="D6348" s="16" t="s">
        <v>707</v>
      </c>
      <c r="E6348" s="16">
        <v>2024.0</v>
      </c>
      <c r="F6348" s="16">
        <v>49.799</v>
      </c>
      <c r="G6348" s="16">
        <v>7.71</v>
      </c>
      <c r="H6348" s="15"/>
      <c r="I6348" s="15"/>
    </row>
    <row r="6349">
      <c r="A6349" s="17">
        <v>45636.0</v>
      </c>
      <c r="B6349" s="16" t="s">
        <v>7161</v>
      </c>
      <c r="C6349" s="16" t="s">
        <v>961</v>
      </c>
      <c r="D6349" s="16" t="s">
        <v>707</v>
      </c>
      <c r="E6349" s="16">
        <v>2024.0</v>
      </c>
      <c r="F6349" s="16">
        <v>49.3035</v>
      </c>
      <c r="G6349" s="16">
        <v>11.0462</v>
      </c>
      <c r="H6349" s="15"/>
      <c r="I6349" s="15"/>
    </row>
    <row r="6350">
      <c r="A6350" s="17">
        <v>45636.0</v>
      </c>
      <c r="B6350" s="16" t="s">
        <v>7162</v>
      </c>
      <c r="C6350" s="16" t="s">
        <v>6462</v>
      </c>
      <c r="D6350" s="16" t="s">
        <v>707</v>
      </c>
      <c r="E6350" s="16">
        <v>2024.0</v>
      </c>
      <c r="F6350" s="16">
        <v>53.9163</v>
      </c>
      <c r="G6350" s="16">
        <v>10.3845</v>
      </c>
      <c r="H6350" s="15"/>
      <c r="I6350" s="15"/>
    </row>
    <row r="6351">
      <c r="A6351" s="17">
        <v>45636.0</v>
      </c>
      <c r="B6351" s="16" t="s">
        <v>7163</v>
      </c>
      <c r="C6351" s="16" t="s">
        <v>946</v>
      </c>
      <c r="D6351" s="16" t="s">
        <v>707</v>
      </c>
      <c r="E6351" s="16">
        <v>2024.0</v>
      </c>
      <c r="F6351" s="16">
        <v>49.2027</v>
      </c>
      <c r="G6351" s="16">
        <v>9.4762</v>
      </c>
      <c r="H6351" s="15"/>
      <c r="I6351" s="15"/>
    </row>
    <row r="6352">
      <c r="A6352" s="17">
        <v>45636.0</v>
      </c>
      <c r="B6352" s="16" t="s">
        <v>7164</v>
      </c>
      <c r="C6352" s="16" t="s">
        <v>951</v>
      </c>
      <c r="D6352" s="16" t="s">
        <v>707</v>
      </c>
      <c r="E6352" s="16">
        <v>2024.0</v>
      </c>
      <c r="F6352" s="16">
        <v>51.8193</v>
      </c>
      <c r="G6352" s="16">
        <v>7.12</v>
      </c>
      <c r="H6352" s="15"/>
      <c r="I6352" s="15"/>
    </row>
    <row r="6353">
      <c r="A6353" s="17">
        <v>45636.0</v>
      </c>
      <c r="B6353" s="16" t="s">
        <v>7165</v>
      </c>
      <c r="C6353" s="16" t="s">
        <v>948</v>
      </c>
      <c r="D6353" s="16" t="s">
        <v>707</v>
      </c>
      <c r="E6353" s="16">
        <v>2024.0</v>
      </c>
      <c r="F6353" s="16">
        <v>50.8232</v>
      </c>
      <c r="G6353" s="16">
        <v>11.1089</v>
      </c>
      <c r="H6353" s="15"/>
      <c r="I6353" s="15"/>
    </row>
    <row r="6354">
      <c r="A6354" s="17">
        <v>45636.0</v>
      </c>
      <c r="B6354" s="16" t="s">
        <v>7166</v>
      </c>
      <c r="C6354" s="16">
        <v>2.0</v>
      </c>
      <c r="D6354" s="16" t="s">
        <v>707</v>
      </c>
      <c r="E6354" s="16">
        <v>2024.0</v>
      </c>
      <c r="F6354" s="16">
        <v>52.4829</v>
      </c>
      <c r="G6354" s="16">
        <v>7.2031</v>
      </c>
      <c r="H6354" s="15"/>
      <c r="I6354" s="15"/>
    </row>
    <row r="6355">
      <c r="A6355" s="17">
        <v>45636.0</v>
      </c>
      <c r="B6355" s="16" t="s">
        <v>7167</v>
      </c>
      <c r="C6355" s="16" t="s">
        <v>1055</v>
      </c>
      <c r="D6355" s="16" t="s">
        <v>707</v>
      </c>
      <c r="E6355" s="16">
        <v>2024.0</v>
      </c>
      <c r="F6355" s="16">
        <v>49.2499</v>
      </c>
      <c r="G6355" s="16">
        <v>10.453</v>
      </c>
      <c r="H6355" s="15"/>
      <c r="I6355" s="15"/>
    </row>
    <row r="6356">
      <c r="A6356" s="17">
        <v>45636.0</v>
      </c>
      <c r="B6356" s="16" t="s">
        <v>7168</v>
      </c>
      <c r="C6356" s="16" t="s">
        <v>3505</v>
      </c>
      <c r="D6356" s="16" t="s">
        <v>707</v>
      </c>
      <c r="E6356" s="16">
        <v>2024.0</v>
      </c>
      <c r="F6356" s="16">
        <v>48.1955</v>
      </c>
      <c r="G6356" s="16">
        <v>8.9507</v>
      </c>
      <c r="H6356" s="15"/>
      <c r="I6356" s="15"/>
    </row>
    <row r="6357">
      <c r="A6357" s="18">
        <v>45663.0</v>
      </c>
      <c r="B6357" s="16" t="s">
        <v>7169</v>
      </c>
      <c r="C6357" s="16">
        <v>16.0</v>
      </c>
      <c r="D6357" s="16" t="s">
        <v>707</v>
      </c>
      <c r="E6357" s="16">
        <v>2024.0</v>
      </c>
      <c r="F6357" s="16">
        <v>51.7543</v>
      </c>
      <c r="G6357" s="16">
        <v>14.5068</v>
      </c>
      <c r="H6357" s="15"/>
      <c r="I6357" s="15"/>
    </row>
    <row r="6358">
      <c r="A6358" s="18">
        <v>45665.0</v>
      </c>
      <c r="B6358" s="16" t="s">
        <v>7170</v>
      </c>
      <c r="C6358" s="16" t="s">
        <v>1282</v>
      </c>
      <c r="D6358" s="16" t="s">
        <v>707</v>
      </c>
      <c r="E6358" s="16">
        <v>2024.0</v>
      </c>
      <c r="F6358" s="16">
        <v>49.6175</v>
      </c>
      <c r="G6358" s="16">
        <v>8.4497</v>
      </c>
      <c r="H6358" s="15"/>
      <c r="I6358" s="15"/>
    </row>
    <row r="6359">
      <c r="A6359" s="18">
        <v>45665.0</v>
      </c>
      <c r="B6359" s="16" t="s">
        <v>7171</v>
      </c>
      <c r="C6359" s="16" t="s">
        <v>1351</v>
      </c>
      <c r="D6359" s="16" t="s">
        <v>707</v>
      </c>
      <c r="E6359" s="16">
        <v>2024.0</v>
      </c>
      <c r="F6359" s="16">
        <v>47.7683</v>
      </c>
      <c r="G6359" s="16">
        <v>10.5175</v>
      </c>
      <c r="H6359" s="15"/>
      <c r="I6359" s="15"/>
    </row>
    <row r="6360">
      <c r="A6360" s="18">
        <v>45665.0</v>
      </c>
      <c r="B6360" s="16" t="s">
        <v>7172</v>
      </c>
      <c r="C6360" s="16" t="s">
        <v>959</v>
      </c>
      <c r="D6360" s="16" t="s">
        <v>707</v>
      </c>
      <c r="E6360" s="16">
        <v>2024.0</v>
      </c>
      <c r="F6360" s="16">
        <v>47.7269</v>
      </c>
      <c r="G6360" s="16">
        <v>9.0445</v>
      </c>
      <c r="H6360" s="15"/>
      <c r="I6360" s="15"/>
    </row>
    <row r="6361">
      <c r="A6361" s="18">
        <v>45665.0</v>
      </c>
      <c r="B6361" s="16" t="s">
        <v>7173</v>
      </c>
      <c r="C6361" s="16" t="s">
        <v>2770</v>
      </c>
      <c r="D6361" s="16" t="s">
        <v>707</v>
      </c>
      <c r="E6361" s="16">
        <v>2024.0</v>
      </c>
      <c r="F6361" s="16">
        <v>50.6972</v>
      </c>
      <c r="G6361" s="16">
        <v>6.815</v>
      </c>
      <c r="H6361" s="15"/>
      <c r="I6361" s="15"/>
    </row>
    <row r="6362">
      <c r="A6362" s="18">
        <v>45665.0</v>
      </c>
      <c r="B6362" s="16" t="s">
        <v>7174</v>
      </c>
      <c r="C6362" s="16" t="s">
        <v>1282</v>
      </c>
      <c r="D6362" s="16" t="s">
        <v>707</v>
      </c>
      <c r="E6362" s="16">
        <v>2024.0</v>
      </c>
      <c r="F6362" s="16">
        <v>49.5603</v>
      </c>
      <c r="G6362" s="16">
        <v>8.8172</v>
      </c>
      <c r="H6362" s="15"/>
      <c r="I6362" s="15"/>
    </row>
    <row r="6363">
      <c r="A6363" s="18">
        <v>45665.0</v>
      </c>
      <c r="B6363" s="16" t="s">
        <v>7175</v>
      </c>
      <c r="C6363" s="16" t="s">
        <v>3048</v>
      </c>
      <c r="D6363" s="16" t="s">
        <v>707</v>
      </c>
      <c r="E6363" s="16">
        <v>2024.0</v>
      </c>
      <c r="F6363" s="16">
        <v>49.4692</v>
      </c>
      <c r="G6363" s="16">
        <v>6.4386</v>
      </c>
      <c r="H6363" s="15"/>
      <c r="I6363" s="15"/>
    </row>
    <row r="6364">
      <c r="A6364" s="18">
        <v>45665.0</v>
      </c>
      <c r="B6364" s="16" t="s">
        <v>7176</v>
      </c>
      <c r="C6364" s="16" t="s">
        <v>1745</v>
      </c>
      <c r="D6364" s="16" t="s">
        <v>707</v>
      </c>
      <c r="E6364" s="16">
        <v>2024.0</v>
      </c>
      <c r="F6364" s="16">
        <v>48.5529</v>
      </c>
      <c r="G6364" s="16">
        <v>11.2091</v>
      </c>
      <c r="H6364" s="15"/>
      <c r="I6364" s="15"/>
    </row>
    <row r="6365">
      <c r="A6365" s="18">
        <v>45665.0</v>
      </c>
      <c r="B6365" s="16" t="s">
        <v>7177</v>
      </c>
      <c r="C6365" s="16" t="s">
        <v>1096</v>
      </c>
      <c r="D6365" s="16" t="s">
        <v>707</v>
      </c>
      <c r="E6365" s="16">
        <v>2024.0</v>
      </c>
      <c r="F6365" s="16">
        <v>48.8581</v>
      </c>
      <c r="G6365" s="16">
        <v>11.813</v>
      </c>
      <c r="H6365" s="15"/>
      <c r="I6365" s="15"/>
    </row>
    <row r="6366">
      <c r="A6366" s="18">
        <v>45665.0</v>
      </c>
      <c r="B6366" s="16" t="s">
        <v>7178</v>
      </c>
      <c r="C6366" s="16" t="s">
        <v>1310</v>
      </c>
      <c r="D6366" s="16" t="s">
        <v>707</v>
      </c>
      <c r="E6366" s="16">
        <v>2024.0</v>
      </c>
      <c r="F6366" s="16">
        <v>52.31</v>
      </c>
      <c r="G6366" s="16">
        <v>11.3547</v>
      </c>
      <c r="H6366" s="15"/>
      <c r="I6366" s="15"/>
    </row>
    <row r="6367">
      <c r="A6367" s="18">
        <v>45665.0</v>
      </c>
      <c r="B6367" s="16" t="s">
        <v>7179</v>
      </c>
      <c r="C6367" s="16" t="s">
        <v>2580</v>
      </c>
      <c r="D6367" s="16" t="s">
        <v>707</v>
      </c>
      <c r="E6367" s="16">
        <v>2024.0</v>
      </c>
      <c r="F6367" s="16">
        <v>54.0378</v>
      </c>
      <c r="G6367" s="16">
        <v>9.446</v>
      </c>
      <c r="H6367" s="15"/>
      <c r="I6367" s="15"/>
    </row>
    <row r="6368">
      <c r="A6368" s="18">
        <v>45665.0</v>
      </c>
      <c r="B6368" s="16" t="s">
        <v>7180</v>
      </c>
      <c r="C6368" s="16" t="s">
        <v>1055</v>
      </c>
      <c r="D6368" s="16" t="s">
        <v>707</v>
      </c>
      <c r="E6368" s="16">
        <v>2024.0</v>
      </c>
      <c r="F6368" s="16">
        <v>48.2468</v>
      </c>
      <c r="G6368" s="16">
        <v>8.6139</v>
      </c>
      <c r="H6368" s="15"/>
      <c r="I6368" s="15"/>
    </row>
    <row r="6369">
      <c r="A6369" s="18">
        <v>45665.0</v>
      </c>
      <c r="B6369" s="16" t="s">
        <v>7181</v>
      </c>
      <c r="C6369" s="16" t="s">
        <v>1055</v>
      </c>
      <c r="D6369" s="16" t="s">
        <v>707</v>
      </c>
      <c r="E6369" s="16">
        <v>2024.0</v>
      </c>
      <c r="F6369" s="16">
        <v>51.2622</v>
      </c>
      <c r="G6369" s="16">
        <v>14.9671</v>
      </c>
      <c r="H6369" s="15"/>
      <c r="I6369" s="15"/>
    </row>
    <row r="6370">
      <c r="A6370" s="18">
        <v>45665.0</v>
      </c>
      <c r="B6370" s="16" t="s">
        <v>7182</v>
      </c>
      <c r="C6370" s="16" t="s">
        <v>1055</v>
      </c>
      <c r="D6370" s="16" t="s">
        <v>707</v>
      </c>
      <c r="E6370" s="16">
        <v>2024.0</v>
      </c>
      <c r="F6370" s="16">
        <v>47.8897</v>
      </c>
      <c r="G6370" s="16">
        <v>8.3715</v>
      </c>
      <c r="H6370" s="15"/>
      <c r="I6370" s="15"/>
    </row>
    <row r="6371">
      <c r="A6371" s="18">
        <v>45665.0</v>
      </c>
      <c r="B6371" s="16" t="s">
        <v>7183</v>
      </c>
      <c r="C6371" s="16">
        <v>2.0</v>
      </c>
      <c r="D6371" s="16" t="s">
        <v>707</v>
      </c>
      <c r="E6371" s="16">
        <v>2024.0</v>
      </c>
      <c r="F6371" s="16">
        <v>51.5051</v>
      </c>
      <c r="G6371" s="16">
        <v>7.3932</v>
      </c>
      <c r="H6371" s="15"/>
      <c r="I6371" s="15"/>
    </row>
    <row r="6372">
      <c r="A6372" s="18">
        <v>45665.0</v>
      </c>
      <c r="B6372" s="16" t="s">
        <v>7184</v>
      </c>
      <c r="C6372" s="16" t="s">
        <v>961</v>
      </c>
      <c r="D6372" s="16" t="s">
        <v>707</v>
      </c>
      <c r="E6372" s="16">
        <v>2024.0</v>
      </c>
      <c r="F6372" s="16">
        <v>53.5182</v>
      </c>
      <c r="G6372" s="16">
        <v>10.0956</v>
      </c>
      <c r="H6372" s="15"/>
      <c r="I6372" s="15"/>
    </row>
    <row r="6373">
      <c r="A6373" s="18">
        <v>45665.0</v>
      </c>
      <c r="B6373" s="16" t="s">
        <v>7185</v>
      </c>
      <c r="C6373" s="16" t="s">
        <v>1055</v>
      </c>
      <c r="D6373" s="16" t="s">
        <v>707</v>
      </c>
      <c r="E6373" s="16">
        <v>2024.0</v>
      </c>
      <c r="F6373" s="16">
        <v>49.5602</v>
      </c>
      <c r="G6373" s="16">
        <v>6.8442</v>
      </c>
      <c r="H6373" s="15"/>
      <c r="I6373" s="15"/>
    </row>
    <row r="6374">
      <c r="A6374" s="18">
        <v>45665.0</v>
      </c>
      <c r="B6374" s="16" t="s">
        <v>7186</v>
      </c>
      <c r="C6374" s="16" t="s">
        <v>1011</v>
      </c>
      <c r="D6374" s="16" t="s">
        <v>707</v>
      </c>
      <c r="E6374" s="16">
        <v>2024.0</v>
      </c>
      <c r="F6374" s="16">
        <v>49.5602</v>
      </c>
      <c r="G6374" s="16">
        <v>6.8442</v>
      </c>
      <c r="H6374" s="15"/>
      <c r="I6374" s="15"/>
    </row>
    <row r="6375">
      <c r="A6375" s="18">
        <v>45665.0</v>
      </c>
      <c r="B6375" s="16" t="s">
        <v>7187</v>
      </c>
      <c r="C6375" s="16">
        <v>3.0</v>
      </c>
      <c r="D6375" s="16" t="s">
        <v>707</v>
      </c>
      <c r="E6375" s="16">
        <v>2024.0</v>
      </c>
      <c r="F6375" s="16">
        <v>52.5899</v>
      </c>
      <c r="G6375" s="16">
        <v>13.3504</v>
      </c>
      <c r="H6375" s="15"/>
      <c r="I6375" s="15"/>
    </row>
    <row r="6376">
      <c r="A6376" s="18">
        <v>45665.0</v>
      </c>
      <c r="B6376" s="16" t="s">
        <v>7188</v>
      </c>
      <c r="C6376" s="16">
        <v>2.0</v>
      </c>
      <c r="D6376" s="16" t="s">
        <v>707</v>
      </c>
      <c r="E6376" s="16">
        <v>2024.0</v>
      </c>
      <c r="F6376" s="16">
        <v>49.0134</v>
      </c>
      <c r="G6376" s="16">
        <v>13.168</v>
      </c>
      <c r="H6376" s="15"/>
      <c r="I6376" s="15"/>
    </row>
    <row r="6377">
      <c r="A6377" s="18">
        <v>45665.0</v>
      </c>
      <c r="B6377" s="16" t="s">
        <v>7189</v>
      </c>
      <c r="C6377" s="16" t="s">
        <v>948</v>
      </c>
      <c r="D6377" s="16" t="s">
        <v>707</v>
      </c>
      <c r="E6377" s="16">
        <v>2024.0</v>
      </c>
      <c r="F6377" s="16">
        <v>49.9283</v>
      </c>
      <c r="G6377" s="16">
        <v>8.3309</v>
      </c>
      <c r="H6377" s="15"/>
      <c r="I6377" s="15"/>
    </row>
    <row r="6378">
      <c r="A6378" s="18">
        <v>45665.0</v>
      </c>
      <c r="B6378" s="16" t="s">
        <v>7190</v>
      </c>
      <c r="C6378" s="16" t="s">
        <v>1034</v>
      </c>
      <c r="D6378" s="16" t="s">
        <v>707</v>
      </c>
      <c r="E6378" s="16">
        <v>2024.0</v>
      </c>
      <c r="F6378" s="16">
        <v>48.9346</v>
      </c>
      <c r="G6378" s="16">
        <v>12.7013</v>
      </c>
      <c r="H6378" s="15"/>
      <c r="I6378" s="15"/>
    </row>
    <row r="6379">
      <c r="A6379" s="18">
        <v>45665.0</v>
      </c>
      <c r="B6379" s="16" t="s">
        <v>7191</v>
      </c>
      <c r="C6379" s="16" t="s">
        <v>4789</v>
      </c>
      <c r="D6379" s="16" t="s">
        <v>707</v>
      </c>
      <c r="E6379" s="16">
        <v>2024.0</v>
      </c>
      <c r="F6379" s="16">
        <v>49.8557</v>
      </c>
      <c r="G6379" s="16">
        <v>10.5885</v>
      </c>
      <c r="H6379" s="15"/>
      <c r="I6379" s="15"/>
    </row>
    <row r="6380">
      <c r="A6380" s="18">
        <v>45665.0</v>
      </c>
      <c r="B6380" s="16" t="s">
        <v>7192</v>
      </c>
      <c r="C6380" s="16" t="s">
        <v>1096</v>
      </c>
      <c r="D6380" s="16" t="s">
        <v>707</v>
      </c>
      <c r="E6380" s="16">
        <v>2024.0</v>
      </c>
      <c r="F6380" s="16">
        <v>50.294</v>
      </c>
      <c r="G6380" s="16">
        <v>10.9675</v>
      </c>
      <c r="H6380" s="15"/>
      <c r="I6380" s="15"/>
    </row>
    <row r="6381">
      <c r="A6381" s="18">
        <v>45665.0</v>
      </c>
      <c r="B6381" s="16" t="s">
        <v>7193</v>
      </c>
      <c r="C6381" s="16" t="s">
        <v>969</v>
      </c>
      <c r="D6381" s="16" t="s">
        <v>707</v>
      </c>
      <c r="E6381" s="16">
        <v>2024.0</v>
      </c>
      <c r="F6381" s="16">
        <v>51.4439</v>
      </c>
      <c r="G6381" s="16">
        <v>6.7726</v>
      </c>
      <c r="H6381" s="15"/>
      <c r="I6381" s="15"/>
    </row>
    <row r="6382">
      <c r="A6382" s="18">
        <v>45665.0</v>
      </c>
      <c r="B6382" s="16" t="s">
        <v>7194</v>
      </c>
      <c r="C6382" s="16" t="s">
        <v>1007</v>
      </c>
      <c r="D6382" s="16" t="s">
        <v>707</v>
      </c>
      <c r="E6382" s="16">
        <v>2024.0</v>
      </c>
      <c r="F6382" s="16">
        <v>51.6237</v>
      </c>
      <c r="G6382" s="16">
        <v>7.3245</v>
      </c>
      <c r="H6382" s="15"/>
      <c r="I6382" s="15"/>
    </row>
    <row r="6383">
      <c r="A6383" s="18">
        <v>45665.0</v>
      </c>
      <c r="B6383" s="16" t="s">
        <v>7195</v>
      </c>
      <c r="C6383" s="16" t="s">
        <v>1773</v>
      </c>
      <c r="D6383" s="16" t="s">
        <v>707</v>
      </c>
      <c r="E6383" s="16">
        <v>2024.0</v>
      </c>
      <c r="F6383" s="16">
        <v>51.8122</v>
      </c>
      <c r="G6383" s="16">
        <v>11.2181</v>
      </c>
      <c r="H6383" s="15"/>
      <c r="I6383" s="15"/>
    </row>
    <row r="6384">
      <c r="A6384" s="18">
        <v>45665.0</v>
      </c>
      <c r="B6384" s="16" t="s">
        <v>7196</v>
      </c>
      <c r="C6384" s="16" t="s">
        <v>969</v>
      </c>
      <c r="D6384" s="16" t="s">
        <v>707</v>
      </c>
      <c r="E6384" s="16">
        <v>2024.0</v>
      </c>
      <c r="F6384" s="16">
        <v>51.5342</v>
      </c>
      <c r="G6384" s="16">
        <v>7.5031</v>
      </c>
      <c r="H6384" s="15"/>
      <c r="I6384" s="15"/>
    </row>
    <row r="6385">
      <c r="A6385" s="18">
        <v>45665.0</v>
      </c>
      <c r="B6385" s="16" t="s">
        <v>7197</v>
      </c>
      <c r="C6385" s="16" t="s">
        <v>1055</v>
      </c>
      <c r="D6385" s="16" t="s">
        <v>707</v>
      </c>
      <c r="E6385" s="16">
        <v>2024.0</v>
      </c>
      <c r="F6385" s="16">
        <v>48.6969</v>
      </c>
      <c r="G6385" s="16">
        <v>12.8781</v>
      </c>
      <c r="H6385" s="15"/>
      <c r="I6385" s="15"/>
    </row>
    <row r="6386">
      <c r="A6386" s="18">
        <v>45665.0</v>
      </c>
      <c r="B6386" s="16" t="s">
        <v>7198</v>
      </c>
      <c r="C6386" s="16" t="s">
        <v>5857</v>
      </c>
      <c r="D6386" s="16" t="s">
        <v>707</v>
      </c>
      <c r="E6386" s="16">
        <v>2024.0</v>
      </c>
      <c r="F6386" s="16">
        <v>54.0588</v>
      </c>
      <c r="G6386" s="16">
        <v>9.9218</v>
      </c>
      <c r="H6386" s="15"/>
      <c r="I6386" s="15"/>
    </row>
    <row r="6387">
      <c r="A6387" s="18">
        <v>45665.0</v>
      </c>
      <c r="B6387" s="16" t="s">
        <v>7199</v>
      </c>
      <c r="C6387" s="16" t="s">
        <v>2988</v>
      </c>
      <c r="D6387" s="16" t="s">
        <v>707</v>
      </c>
      <c r="E6387" s="16">
        <v>2024.0</v>
      </c>
      <c r="F6387" s="16">
        <v>51.5335</v>
      </c>
      <c r="G6387" s="16">
        <v>13.8797</v>
      </c>
      <c r="H6387" s="15"/>
      <c r="I6387" s="15"/>
    </row>
    <row r="6388">
      <c r="A6388" s="18">
        <v>45665.0</v>
      </c>
      <c r="B6388" s="16" t="s">
        <v>7200</v>
      </c>
      <c r="C6388" s="16" t="s">
        <v>1059</v>
      </c>
      <c r="D6388" s="16" t="s">
        <v>707</v>
      </c>
      <c r="E6388" s="16">
        <v>2024.0</v>
      </c>
      <c r="F6388" s="16">
        <v>47.7894</v>
      </c>
      <c r="G6388" s="16">
        <v>9.6891</v>
      </c>
      <c r="H6388" s="15"/>
      <c r="I6388" s="15"/>
    </row>
    <row r="6389">
      <c r="A6389" s="18">
        <v>45665.0</v>
      </c>
      <c r="B6389" s="16" t="s">
        <v>7201</v>
      </c>
      <c r="C6389" s="16" t="s">
        <v>1055</v>
      </c>
      <c r="D6389" s="16" t="s">
        <v>707</v>
      </c>
      <c r="E6389" s="16">
        <v>2024.0</v>
      </c>
      <c r="F6389" s="16">
        <v>47.7894</v>
      </c>
      <c r="G6389" s="16">
        <v>9.6891</v>
      </c>
      <c r="H6389" s="15"/>
      <c r="I6389" s="15"/>
    </row>
    <row r="6390">
      <c r="A6390" s="18">
        <v>45665.0</v>
      </c>
      <c r="B6390" s="16" t="s">
        <v>7202</v>
      </c>
      <c r="C6390" s="16" t="s">
        <v>1101</v>
      </c>
      <c r="D6390" s="16" t="s">
        <v>707</v>
      </c>
      <c r="E6390" s="16">
        <v>2024.0</v>
      </c>
      <c r="F6390" s="16">
        <v>50.1972</v>
      </c>
      <c r="G6390" s="16">
        <v>6.3761</v>
      </c>
      <c r="H6390" s="15"/>
      <c r="I6390" s="15"/>
    </row>
    <row r="6391">
      <c r="A6391" s="18">
        <v>45665.0</v>
      </c>
      <c r="B6391" s="16" t="s">
        <v>7203</v>
      </c>
      <c r="C6391" s="16" t="s">
        <v>2404</v>
      </c>
      <c r="D6391" s="16" t="s">
        <v>707</v>
      </c>
      <c r="E6391" s="16">
        <v>2024.0</v>
      </c>
      <c r="F6391" s="16">
        <v>49.2385</v>
      </c>
      <c r="G6391" s="16">
        <v>11.4866</v>
      </c>
      <c r="H6391" s="15"/>
      <c r="I6391" s="15"/>
    </row>
    <row r="6392">
      <c r="A6392" s="18">
        <v>45665.0</v>
      </c>
      <c r="B6392" s="16" t="s">
        <v>7204</v>
      </c>
      <c r="C6392" s="16" t="s">
        <v>1002</v>
      </c>
      <c r="D6392" s="16" t="s">
        <v>707</v>
      </c>
      <c r="E6392" s="16">
        <v>2024.0</v>
      </c>
      <c r="F6392" s="16">
        <v>49.0862</v>
      </c>
      <c r="G6392" s="16">
        <v>9.8556</v>
      </c>
      <c r="H6392" s="15"/>
      <c r="I6392" s="15"/>
    </row>
    <row r="6393">
      <c r="A6393" s="18">
        <v>45665.0</v>
      </c>
      <c r="B6393" s="16" t="s">
        <v>7205</v>
      </c>
      <c r="C6393" s="16">
        <v>8.0</v>
      </c>
      <c r="D6393" s="16" t="s">
        <v>707</v>
      </c>
      <c r="E6393" s="16">
        <v>2024.0</v>
      </c>
      <c r="F6393" s="16">
        <v>49.4197</v>
      </c>
      <c r="G6393" s="16">
        <v>12.0468</v>
      </c>
      <c r="H6393" s="15"/>
      <c r="I6393" s="15"/>
    </row>
    <row r="6394">
      <c r="A6394" s="18">
        <v>45665.0</v>
      </c>
      <c r="B6394" s="16" t="s">
        <v>7206</v>
      </c>
      <c r="C6394" s="16">
        <v>2.0</v>
      </c>
      <c r="D6394" s="16" t="s">
        <v>707</v>
      </c>
      <c r="E6394" s="16">
        <v>2024.0</v>
      </c>
      <c r="F6394" s="16">
        <v>52.3594</v>
      </c>
      <c r="G6394" s="16">
        <v>10.7175</v>
      </c>
      <c r="H6394" s="15"/>
      <c r="I6394" s="15"/>
    </row>
    <row r="6395">
      <c r="A6395" s="18">
        <v>45665.0</v>
      </c>
      <c r="B6395" s="16" t="s">
        <v>7207</v>
      </c>
      <c r="C6395" s="16" t="s">
        <v>1055</v>
      </c>
      <c r="D6395" s="16" t="s">
        <v>707</v>
      </c>
      <c r="E6395" s="16">
        <v>2024.0</v>
      </c>
      <c r="F6395" s="16">
        <v>50.3103</v>
      </c>
      <c r="G6395" s="16">
        <v>10.9607</v>
      </c>
      <c r="H6395" s="15"/>
      <c r="I6395" s="15"/>
    </row>
    <row r="6396">
      <c r="A6396" s="18">
        <v>45665.0</v>
      </c>
      <c r="B6396" s="16" t="s">
        <v>7208</v>
      </c>
      <c r="C6396" s="16" t="s">
        <v>965</v>
      </c>
      <c r="D6396" s="16" t="s">
        <v>707</v>
      </c>
      <c r="E6396" s="16">
        <v>2024.0</v>
      </c>
      <c r="F6396" s="16">
        <v>50.5717</v>
      </c>
      <c r="G6396" s="16">
        <v>7.1006</v>
      </c>
      <c r="H6396" s="15"/>
      <c r="I6396" s="15"/>
    </row>
    <row r="6397">
      <c r="A6397" s="18">
        <v>45665.0</v>
      </c>
      <c r="B6397" s="16" t="s">
        <v>7209</v>
      </c>
      <c r="C6397" s="16">
        <v>7.0</v>
      </c>
      <c r="D6397" s="16" t="s">
        <v>707</v>
      </c>
      <c r="E6397" s="16">
        <v>2024.0</v>
      </c>
      <c r="F6397" s="16">
        <v>49.7688</v>
      </c>
      <c r="G6397" s="16">
        <v>8.4782</v>
      </c>
      <c r="H6397" s="15"/>
      <c r="I6397" s="15"/>
    </row>
    <row r="6398">
      <c r="A6398" s="18">
        <v>45665.0</v>
      </c>
      <c r="B6398" s="16" t="s">
        <v>7210</v>
      </c>
      <c r="C6398" s="16" t="s">
        <v>1055</v>
      </c>
      <c r="D6398" s="16" t="s">
        <v>707</v>
      </c>
      <c r="E6398" s="16">
        <v>2024.0</v>
      </c>
      <c r="F6398" s="16">
        <v>50.5285</v>
      </c>
      <c r="G6398" s="16">
        <v>8.6137</v>
      </c>
      <c r="H6398" s="15"/>
      <c r="I6398" s="15"/>
    </row>
    <row r="6399">
      <c r="A6399" s="18">
        <v>45665.0</v>
      </c>
      <c r="B6399" s="16" t="s">
        <v>7211</v>
      </c>
      <c r="C6399" s="16" t="s">
        <v>1310</v>
      </c>
      <c r="D6399" s="16" t="s">
        <v>707</v>
      </c>
      <c r="E6399" s="16">
        <v>2024.0</v>
      </c>
      <c r="F6399" s="16">
        <v>54.2813</v>
      </c>
      <c r="G6399" s="16">
        <v>9.6836</v>
      </c>
      <c r="H6399" s="15"/>
      <c r="I6399" s="15"/>
    </row>
    <row r="6400">
      <c r="A6400" s="18">
        <v>45665.0</v>
      </c>
      <c r="B6400" s="16" t="s">
        <v>7212</v>
      </c>
      <c r="C6400" s="16" t="s">
        <v>1039</v>
      </c>
      <c r="D6400" s="16" t="s">
        <v>707</v>
      </c>
      <c r="E6400" s="16">
        <v>2024.0</v>
      </c>
      <c r="F6400" s="16">
        <v>49.9142</v>
      </c>
      <c r="G6400" s="16">
        <v>7.9396</v>
      </c>
      <c r="H6400" s="15"/>
      <c r="I6400" s="15"/>
    </row>
    <row r="6401">
      <c r="A6401" s="18">
        <v>45665.0</v>
      </c>
      <c r="B6401" s="16" t="s">
        <v>7213</v>
      </c>
      <c r="C6401" s="16">
        <v>2.0</v>
      </c>
      <c r="D6401" s="16" t="s">
        <v>707</v>
      </c>
      <c r="E6401" s="16">
        <v>2024.0</v>
      </c>
      <c r="F6401" s="16">
        <v>51.4095</v>
      </c>
      <c r="G6401" s="16">
        <v>7.258</v>
      </c>
      <c r="H6401" s="15"/>
      <c r="I6401" s="15"/>
    </row>
    <row r="6402">
      <c r="A6402" s="18">
        <v>45665.0</v>
      </c>
      <c r="B6402" s="16" t="s">
        <v>7214</v>
      </c>
      <c r="C6402" s="16">
        <v>8.0</v>
      </c>
      <c r="D6402" s="16" t="s">
        <v>707</v>
      </c>
      <c r="E6402" s="16">
        <v>2024.0</v>
      </c>
      <c r="F6402" s="16">
        <v>48.8424</v>
      </c>
      <c r="G6402" s="16">
        <v>11.8323</v>
      </c>
      <c r="H6402" s="15"/>
      <c r="I6402" s="15"/>
    </row>
    <row r="6403">
      <c r="A6403" s="18">
        <v>45665.0</v>
      </c>
      <c r="B6403" s="16" t="s">
        <v>7215</v>
      </c>
      <c r="C6403" s="16">
        <v>1.0</v>
      </c>
      <c r="D6403" s="16" t="s">
        <v>707</v>
      </c>
      <c r="E6403" s="16">
        <v>2024.0</v>
      </c>
      <c r="F6403" s="16">
        <v>48.0848</v>
      </c>
      <c r="G6403" s="16">
        <v>9.1821</v>
      </c>
      <c r="H6403" s="15"/>
      <c r="I6403" s="15"/>
    </row>
    <row r="6404">
      <c r="A6404" s="18">
        <v>45665.0</v>
      </c>
      <c r="B6404" s="16" t="s">
        <v>7216</v>
      </c>
      <c r="C6404" s="16" t="s">
        <v>1101</v>
      </c>
      <c r="D6404" s="16" t="s">
        <v>707</v>
      </c>
      <c r="E6404" s="16">
        <v>2024.0</v>
      </c>
      <c r="F6404" s="16">
        <v>52.097</v>
      </c>
      <c r="G6404" s="16">
        <v>8.6212</v>
      </c>
      <c r="H6404" s="15"/>
      <c r="I6404" s="15"/>
    </row>
    <row r="6405">
      <c r="A6405" s="18">
        <v>45665.0</v>
      </c>
      <c r="B6405" s="16" t="s">
        <v>7217</v>
      </c>
      <c r="C6405" s="16">
        <v>5.0</v>
      </c>
      <c r="D6405" s="16" t="s">
        <v>707</v>
      </c>
      <c r="E6405" s="16">
        <v>2024.0</v>
      </c>
      <c r="F6405" s="16">
        <v>50.3039</v>
      </c>
      <c r="G6405" s="16">
        <v>7.3264</v>
      </c>
      <c r="H6405" s="15"/>
      <c r="I6405" s="15"/>
    </row>
    <row r="6406">
      <c r="A6406" s="18">
        <v>45665.0</v>
      </c>
      <c r="B6406" s="16" t="s">
        <v>7218</v>
      </c>
      <c r="C6406" s="16" t="s">
        <v>990</v>
      </c>
      <c r="D6406" s="16" t="s">
        <v>707</v>
      </c>
      <c r="E6406" s="16">
        <v>2024.0</v>
      </c>
      <c r="F6406" s="16">
        <v>51.6764</v>
      </c>
      <c r="G6406" s="16">
        <v>7.9295</v>
      </c>
      <c r="H6406" s="15"/>
      <c r="I6406" s="15"/>
    </row>
    <row r="6407">
      <c r="A6407" s="18">
        <v>45665.0</v>
      </c>
      <c r="B6407" s="16" t="s">
        <v>7219</v>
      </c>
      <c r="C6407" s="16" t="s">
        <v>961</v>
      </c>
      <c r="D6407" s="16" t="s">
        <v>707</v>
      </c>
      <c r="E6407" s="16">
        <v>2024.0</v>
      </c>
      <c r="F6407" s="16">
        <v>50.8917</v>
      </c>
      <c r="G6407" s="16">
        <v>6.6711</v>
      </c>
      <c r="H6407" s="15"/>
      <c r="I6407" s="15"/>
    </row>
    <row r="6408">
      <c r="A6408" s="18">
        <v>45665.0</v>
      </c>
      <c r="B6408" s="16" t="s">
        <v>7220</v>
      </c>
      <c r="C6408" s="16" t="s">
        <v>1149</v>
      </c>
      <c r="D6408" s="16" t="s">
        <v>707</v>
      </c>
      <c r="E6408" s="16">
        <v>2024.0</v>
      </c>
      <c r="F6408" s="16">
        <v>51.6919</v>
      </c>
      <c r="G6408" s="16">
        <v>6.4863</v>
      </c>
      <c r="H6408" s="15"/>
      <c r="I6408" s="15"/>
    </row>
    <row r="6409">
      <c r="A6409" s="18">
        <v>45665.0</v>
      </c>
      <c r="B6409" s="16" t="s">
        <v>7221</v>
      </c>
      <c r="C6409" s="16" t="s">
        <v>1007</v>
      </c>
      <c r="D6409" s="16" t="s">
        <v>707</v>
      </c>
      <c r="E6409" s="16">
        <v>2024.0</v>
      </c>
      <c r="F6409" s="16">
        <v>49.4054</v>
      </c>
      <c r="G6409" s="16">
        <v>11.9101</v>
      </c>
      <c r="H6409" s="15"/>
      <c r="I6409" s="15"/>
    </row>
    <row r="6410">
      <c r="A6410" s="18">
        <v>45665.0</v>
      </c>
      <c r="B6410" s="16" t="s">
        <v>7222</v>
      </c>
      <c r="C6410" s="16">
        <v>3.0</v>
      </c>
      <c r="D6410" s="16" t="s">
        <v>707</v>
      </c>
      <c r="E6410" s="16">
        <v>2024.0</v>
      </c>
      <c r="F6410" s="16">
        <v>50.0419</v>
      </c>
      <c r="G6410" s="16">
        <v>7.3657</v>
      </c>
      <c r="H6410" s="15"/>
      <c r="I6410" s="15"/>
    </row>
    <row r="6411">
      <c r="A6411" s="18">
        <v>45665.0</v>
      </c>
      <c r="B6411" s="16" t="s">
        <v>7223</v>
      </c>
      <c r="C6411" s="16" t="s">
        <v>6269</v>
      </c>
      <c r="D6411" s="16" t="s">
        <v>707</v>
      </c>
      <c r="E6411" s="16">
        <v>2024.0</v>
      </c>
      <c r="F6411" s="16">
        <v>53.1388</v>
      </c>
      <c r="G6411" s="16">
        <v>8.5867</v>
      </c>
      <c r="H6411" s="15"/>
      <c r="I6411" s="15"/>
    </row>
    <row r="6412">
      <c r="A6412" s="18">
        <v>45665.0</v>
      </c>
      <c r="B6412" s="16" t="s">
        <v>7224</v>
      </c>
      <c r="C6412" s="16" t="s">
        <v>2342</v>
      </c>
      <c r="D6412" s="16" t="s">
        <v>707</v>
      </c>
      <c r="E6412" s="16">
        <v>2024.0</v>
      </c>
      <c r="F6412" s="16">
        <v>51.6856</v>
      </c>
      <c r="G6412" s="16">
        <v>7.0789</v>
      </c>
      <c r="H6412" s="15"/>
      <c r="I6412" s="15"/>
    </row>
    <row r="6413">
      <c r="A6413" s="18">
        <v>45665.0</v>
      </c>
      <c r="B6413" s="16" t="s">
        <v>7225</v>
      </c>
      <c r="C6413" s="16" t="s">
        <v>942</v>
      </c>
      <c r="D6413" s="16" t="s">
        <v>707</v>
      </c>
      <c r="E6413" s="16">
        <v>2024.0</v>
      </c>
      <c r="F6413" s="16">
        <v>51.342</v>
      </c>
      <c r="G6413" s="16">
        <v>6.6762</v>
      </c>
      <c r="H6413" s="15"/>
      <c r="I6413" s="15"/>
    </row>
    <row r="6414">
      <c r="A6414" s="18">
        <v>45665.0</v>
      </c>
      <c r="B6414" s="16" t="s">
        <v>7226</v>
      </c>
      <c r="C6414" s="16">
        <v>2.0</v>
      </c>
      <c r="D6414" s="16" t="s">
        <v>707</v>
      </c>
      <c r="E6414" s="16">
        <v>2024.0</v>
      </c>
      <c r="F6414" s="16">
        <v>50.6671</v>
      </c>
      <c r="G6414" s="16">
        <v>9.6725</v>
      </c>
      <c r="H6414" s="15"/>
      <c r="I6414" s="15"/>
    </row>
    <row r="6415">
      <c r="A6415" s="18">
        <v>45665.0</v>
      </c>
      <c r="B6415" s="16" t="s">
        <v>7227</v>
      </c>
      <c r="C6415" s="16" t="s">
        <v>1051</v>
      </c>
      <c r="D6415" s="16" t="s">
        <v>707</v>
      </c>
      <c r="E6415" s="16">
        <v>2024.0</v>
      </c>
      <c r="F6415" s="16">
        <v>48.3827</v>
      </c>
      <c r="G6415" s="16">
        <v>10.0252</v>
      </c>
      <c r="H6415" s="15"/>
      <c r="I6415" s="15"/>
    </row>
    <row r="6416">
      <c r="A6416" s="18">
        <v>45665.0</v>
      </c>
      <c r="B6416" s="16" t="s">
        <v>7228</v>
      </c>
      <c r="C6416" s="16" t="s">
        <v>4064</v>
      </c>
      <c r="D6416" s="16" t="s">
        <v>707</v>
      </c>
      <c r="E6416" s="16">
        <v>2024.0</v>
      </c>
      <c r="F6416" s="16">
        <v>50.8687</v>
      </c>
      <c r="G6416" s="16">
        <v>9.1258</v>
      </c>
      <c r="H6416" s="15"/>
      <c r="I6416" s="15"/>
    </row>
    <row r="6417">
      <c r="A6417" s="18">
        <v>45665.0</v>
      </c>
      <c r="B6417" s="16" t="s">
        <v>5966</v>
      </c>
      <c r="C6417" s="16" t="s">
        <v>4533</v>
      </c>
      <c r="D6417" s="16" t="s">
        <v>707</v>
      </c>
      <c r="E6417" s="16">
        <v>2024.0</v>
      </c>
      <c r="F6417" s="16">
        <v>54.0382</v>
      </c>
      <c r="G6417" s="16">
        <v>9.4167</v>
      </c>
      <c r="H6417" s="15"/>
      <c r="I6417" s="15"/>
    </row>
    <row r="6418">
      <c r="A6418" s="18">
        <v>45665.0</v>
      </c>
      <c r="B6418" s="16" t="s">
        <v>7229</v>
      </c>
      <c r="C6418" s="16" t="s">
        <v>1055</v>
      </c>
      <c r="D6418" s="16" t="s">
        <v>707</v>
      </c>
      <c r="E6418" s="16">
        <v>2024.0</v>
      </c>
      <c r="F6418" s="16">
        <v>50.967</v>
      </c>
      <c r="G6418" s="16">
        <v>11.2631</v>
      </c>
      <c r="H6418" s="15"/>
      <c r="I6418" s="15"/>
    </row>
    <row r="6419">
      <c r="A6419" s="18">
        <v>45665.0</v>
      </c>
      <c r="B6419" s="16" t="s">
        <v>7230</v>
      </c>
      <c r="C6419" s="16" t="s">
        <v>4871</v>
      </c>
      <c r="D6419" s="16" t="s">
        <v>707</v>
      </c>
      <c r="E6419" s="16">
        <v>2024.0</v>
      </c>
      <c r="F6419" s="16">
        <v>54.0261</v>
      </c>
      <c r="G6419" s="16">
        <v>12.5909</v>
      </c>
      <c r="H6419" s="15"/>
      <c r="I6419" s="15"/>
    </row>
    <row r="6420">
      <c r="A6420" s="18">
        <v>45665.0</v>
      </c>
      <c r="B6420" s="16" t="s">
        <v>7231</v>
      </c>
      <c r="C6420" s="16" t="s">
        <v>1341</v>
      </c>
      <c r="D6420" s="16" t="s">
        <v>707</v>
      </c>
      <c r="E6420" s="16">
        <v>2024.0</v>
      </c>
      <c r="F6420" s="16">
        <v>49.9414</v>
      </c>
      <c r="G6420" s="16">
        <v>10.7692</v>
      </c>
      <c r="H6420" s="15"/>
      <c r="I6420" s="15"/>
    </row>
    <row r="6421">
      <c r="A6421" s="18">
        <v>45665.0</v>
      </c>
      <c r="B6421" s="16" t="s">
        <v>7232</v>
      </c>
      <c r="C6421" s="16" t="s">
        <v>1167</v>
      </c>
      <c r="D6421" s="16" t="s">
        <v>707</v>
      </c>
      <c r="E6421" s="16">
        <v>2024.0</v>
      </c>
      <c r="F6421" s="16">
        <v>52.6677</v>
      </c>
      <c r="G6421" s="16">
        <v>8.2633</v>
      </c>
      <c r="H6421" s="15"/>
      <c r="I6421" s="15"/>
    </row>
    <row r="6422">
      <c r="A6422" s="18">
        <v>45665.0</v>
      </c>
      <c r="B6422" s="16" t="s">
        <v>7233</v>
      </c>
      <c r="C6422" s="16" t="s">
        <v>978</v>
      </c>
      <c r="D6422" s="16" t="s">
        <v>707</v>
      </c>
      <c r="E6422" s="16">
        <v>2024.0</v>
      </c>
      <c r="F6422" s="16">
        <v>52.4178</v>
      </c>
      <c r="G6422" s="16">
        <v>12.527</v>
      </c>
      <c r="H6422" s="15"/>
      <c r="I6422" s="15"/>
    </row>
    <row r="6423">
      <c r="A6423" s="18">
        <v>45665.0</v>
      </c>
      <c r="B6423" s="16" t="s">
        <v>7234</v>
      </c>
      <c r="C6423" s="16" t="s">
        <v>942</v>
      </c>
      <c r="D6423" s="16" t="s">
        <v>707</v>
      </c>
      <c r="E6423" s="16">
        <v>2024.0</v>
      </c>
      <c r="F6423" s="16">
        <v>49.8307</v>
      </c>
      <c r="G6423" s="16">
        <v>9.9065</v>
      </c>
      <c r="H6423" s="15"/>
      <c r="I6423" s="15"/>
    </row>
    <row r="6424">
      <c r="A6424" s="18">
        <v>45665.0</v>
      </c>
      <c r="B6424" s="16" t="s">
        <v>7235</v>
      </c>
      <c r="C6424" s="16" t="s">
        <v>948</v>
      </c>
      <c r="D6424" s="16" t="s">
        <v>707</v>
      </c>
      <c r="E6424" s="16">
        <v>2024.0</v>
      </c>
      <c r="F6424" s="16">
        <v>52.5941</v>
      </c>
      <c r="G6424" s="16">
        <v>9.7425</v>
      </c>
      <c r="H6424" s="15"/>
      <c r="I6424" s="15"/>
    </row>
    <row r="6425">
      <c r="A6425" s="18">
        <v>45665.0</v>
      </c>
      <c r="B6425" s="16" t="s">
        <v>7236</v>
      </c>
      <c r="C6425" s="16" t="s">
        <v>1039</v>
      </c>
      <c r="D6425" s="16" t="s">
        <v>707</v>
      </c>
      <c r="E6425" s="16">
        <v>2024.0</v>
      </c>
      <c r="F6425" s="16">
        <v>53.9357</v>
      </c>
      <c r="G6425" s="16">
        <v>12.311</v>
      </c>
      <c r="H6425" s="15"/>
      <c r="I6425" s="15"/>
    </row>
    <row r="6426">
      <c r="A6426" s="18">
        <v>45665.0</v>
      </c>
      <c r="B6426" s="16" t="s">
        <v>7237</v>
      </c>
      <c r="C6426" s="16" t="s">
        <v>951</v>
      </c>
      <c r="D6426" s="16" t="s">
        <v>707</v>
      </c>
      <c r="E6426" s="16">
        <v>2024.0</v>
      </c>
      <c r="F6426" s="16">
        <v>48.0691</v>
      </c>
      <c r="G6426" s="16">
        <v>11.0058</v>
      </c>
      <c r="H6426" s="15"/>
      <c r="I6426" s="15"/>
    </row>
    <row r="6427">
      <c r="A6427" s="18">
        <v>45665.0</v>
      </c>
      <c r="B6427" s="16" t="s">
        <v>7238</v>
      </c>
      <c r="C6427" s="16" t="s">
        <v>942</v>
      </c>
      <c r="D6427" s="16" t="s">
        <v>707</v>
      </c>
      <c r="E6427" s="16">
        <v>2024.0</v>
      </c>
      <c r="F6427" s="16">
        <v>52.7017</v>
      </c>
      <c r="G6427" s="16">
        <v>8.28</v>
      </c>
      <c r="H6427" s="15"/>
      <c r="I6427" s="15"/>
    </row>
    <row r="6428">
      <c r="A6428" s="18">
        <v>45665.0</v>
      </c>
      <c r="B6428" s="16" t="s">
        <v>7239</v>
      </c>
      <c r="C6428" s="16" t="s">
        <v>1090</v>
      </c>
      <c r="D6428" s="16" t="s">
        <v>707</v>
      </c>
      <c r="E6428" s="16">
        <v>2024.0</v>
      </c>
      <c r="F6428" s="16">
        <v>51.9209</v>
      </c>
      <c r="G6428" s="16">
        <v>7.1728</v>
      </c>
      <c r="H6428" s="15"/>
      <c r="I6428" s="15"/>
    </row>
    <row r="6429">
      <c r="A6429" s="18">
        <v>45665.0</v>
      </c>
      <c r="B6429" s="16" t="s">
        <v>7240</v>
      </c>
      <c r="C6429" s="16">
        <v>1.0</v>
      </c>
      <c r="D6429" s="16" t="s">
        <v>707</v>
      </c>
      <c r="E6429" s="16">
        <v>2024.0</v>
      </c>
      <c r="F6429" s="16">
        <v>50.258</v>
      </c>
      <c r="G6429" s="16">
        <v>10.6832</v>
      </c>
      <c r="H6429" s="15"/>
      <c r="I6429" s="15"/>
    </row>
    <row r="6430">
      <c r="A6430" s="18">
        <v>45665.0</v>
      </c>
      <c r="B6430" s="16" t="s">
        <v>7241</v>
      </c>
      <c r="C6430" s="16">
        <v>1.0</v>
      </c>
      <c r="D6430" s="16" t="s">
        <v>707</v>
      </c>
      <c r="E6430" s="16">
        <v>2024.0</v>
      </c>
      <c r="F6430" s="16">
        <v>52.3115</v>
      </c>
      <c r="G6430" s="16">
        <v>10.286</v>
      </c>
      <c r="H6430" s="15"/>
      <c r="I6430" s="15"/>
    </row>
    <row r="6431">
      <c r="A6431" s="18">
        <v>45665.0</v>
      </c>
      <c r="B6431" s="16" t="s">
        <v>7242</v>
      </c>
      <c r="C6431" s="16" t="s">
        <v>978</v>
      </c>
      <c r="D6431" s="16" t="s">
        <v>707</v>
      </c>
      <c r="E6431" s="16">
        <v>2024.0</v>
      </c>
      <c r="F6431" s="16">
        <v>52.3115</v>
      </c>
      <c r="G6431" s="16">
        <v>10.286</v>
      </c>
      <c r="H6431" s="15"/>
      <c r="I6431" s="15"/>
    </row>
    <row r="6432">
      <c r="A6432" s="18">
        <v>45665.0</v>
      </c>
      <c r="B6432" s="16" t="s">
        <v>7243</v>
      </c>
      <c r="C6432" s="16" t="s">
        <v>2668</v>
      </c>
      <c r="D6432" s="16" t="s">
        <v>707</v>
      </c>
      <c r="E6432" s="16">
        <v>2024.0</v>
      </c>
      <c r="F6432" s="16">
        <v>50.9225</v>
      </c>
      <c r="G6432" s="16">
        <v>9.776</v>
      </c>
      <c r="H6432" s="15"/>
      <c r="I6432" s="15"/>
    </row>
    <row r="6433">
      <c r="A6433" s="18">
        <v>45665.0</v>
      </c>
      <c r="B6433" s="16" t="s">
        <v>7244</v>
      </c>
      <c r="C6433" s="16" t="s">
        <v>1039</v>
      </c>
      <c r="D6433" s="16" t="s">
        <v>707</v>
      </c>
      <c r="E6433" s="16">
        <v>2024.0</v>
      </c>
      <c r="F6433" s="16">
        <v>51.2903</v>
      </c>
      <c r="G6433" s="16">
        <v>8.8699</v>
      </c>
      <c r="H6433" s="15"/>
      <c r="I6433" s="15"/>
    </row>
    <row r="6434">
      <c r="A6434" s="18">
        <v>45665.0</v>
      </c>
      <c r="B6434" s="16" t="s">
        <v>7245</v>
      </c>
      <c r="C6434" s="16">
        <v>14.0</v>
      </c>
      <c r="D6434" s="16" t="s">
        <v>707</v>
      </c>
      <c r="E6434" s="16">
        <v>2024.0</v>
      </c>
      <c r="F6434" s="16">
        <v>47.9105</v>
      </c>
      <c r="G6434" s="16">
        <v>10.9394</v>
      </c>
      <c r="H6434" s="15"/>
      <c r="I6434" s="15"/>
    </row>
    <row r="6435">
      <c r="A6435" s="18">
        <v>45665.0</v>
      </c>
      <c r="B6435" s="16" t="s">
        <v>7246</v>
      </c>
      <c r="C6435" s="16" t="s">
        <v>948</v>
      </c>
      <c r="D6435" s="16" t="s">
        <v>707</v>
      </c>
      <c r="E6435" s="16">
        <v>2024.0</v>
      </c>
      <c r="F6435" s="16">
        <v>53.9673</v>
      </c>
      <c r="G6435" s="16">
        <v>12.6969</v>
      </c>
      <c r="H6435" s="15"/>
      <c r="I6435" s="15"/>
    </row>
    <row r="6436">
      <c r="A6436" s="18">
        <v>45665.0</v>
      </c>
      <c r="B6436" s="16" t="s">
        <v>7247</v>
      </c>
      <c r="C6436" s="16">
        <v>2.0</v>
      </c>
      <c r="D6436" s="16" t="s">
        <v>707</v>
      </c>
      <c r="E6436" s="16">
        <v>2024.0</v>
      </c>
      <c r="F6436" s="16">
        <v>51.5389</v>
      </c>
      <c r="G6436" s="16">
        <v>8.8375</v>
      </c>
      <c r="H6436" s="15"/>
      <c r="I6436" s="15"/>
    </row>
    <row r="6437">
      <c r="A6437" s="18">
        <v>45665.0</v>
      </c>
      <c r="B6437" s="16" t="s">
        <v>7248</v>
      </c>
      <c r="C6437" s="16" t="s">
        <v>1039</v>
      </c>
      <c r="D6437" s="16" t="s">
        <v>707</v>
      </c>
      <c r="E6437" s="16">
        <v>2024.0</v>
      </c>
      <c r="F6437" s="16">
        <v>51.5393</v>
      </c>
      <c r="G6437" s="16">
        <v>8.8354</v>
      </c>
      <c r="H6437" s="15"/>
      <c r="I6437" s="15"/>
    </row>
    <row r="6438">
      <c r="A6438" s="18">
        <v>45665.0</v>
      </c>
      <c r="B6438" s="16" t="s">
        <v>7249</v>
      </c>
      <c r="C6438" s="16" t="s">
        <v>1172</v>
      </c>
      <c r="D6438" s="16" t="s">
        <v>707</v>
      </c>
      <c r="E6438" s="16">
        <v>2024.0</v>
      </c>
      <c r="F6438" s="16">
        <v>51.8258</v>
      </c>
      <c r="G6438" s="16">
        <v>8.9763</v>
      </c>
      <c r="H6438" s="15"/>
      <c r="I6438" s="15"/>
    </row>
    <row r="6439">
      <c r="A6439" s="18">
        <v>45665.0</v>
      </c>
      <c r="B6439" s="16" t="s">
        <v>7250</v>
      </c>
      <c r="C6439" s="16" t="s">
        <v>1101</v>
      </c>
      <c r="D6439" s="16" t="s">
        <v>707</v>
      </c>
      <c r="E6439" s="16">
        <v>2024.0</v>
      </c>
      <c r="F6439" s="16">
        <v>48.7959</v>
      </c>
      <c r="G6439" s="16">
        <v>12.8776</v>
      </c>
      <c r="H6439" s="15"/>
      <c r="I6439" s="15"/>
    </row>
    <row r="6440">
      <c r="A6440" s="18">
        <v>45665.0</v>
      </c>
      <c r="B6440" s="16" t="s">
        <v>7251</v>
      </c>
      <c r="C6440" s="16" t="s">
        <v>1277</v>
      </c>
      <c r="D6440" s="16" t="s">
        <v>707</v>
      </c>
      <c r="E6440" s="16">
        <v>2024.0</v>
      </c>
      <c r="F6440" s="16">
        <v>49.7936</v>
      </c>
      <c r="G6440" s="16">
        <v>10.2503</v>
      </c>
      <c r="H6440" s="15"/>
      <c r="I6440" s="15"/>
    </row>
    <row r="6441">
      <c r="A6441" s="18">
        <v>45665.0</v>
      </c>
      <c r="B6441" s="16" t="s">
        <v>7252</v>
      </c>
      <c r="C6441" s="16" t="s">
        <v>4064</v>
      </c>
      <c r="D6441" s="16" t="s">
        <v>707</v>
      </c>
      <c r="E6441" s="16">
        <v>2024.0</v>
      </c>
      <c r="F6441" s="16">
        <v>50.0111</v>
      </c>
      <c r="G6441" s="16">
        <v>6.9295</v>
      </c>
      <c r="H6441" s="15"/>
      <c r="I6441" s="15"/>
    </row>
    <row r="6442">
      <c r="A6442" s="18">
        <v>45665.0</v>
      </c>
      <c r="B6442" s="16" t="s">
        <v>7253</v>
      </c>
      <c r="C6442" s="16" t="s">
        <v>951</v>
      </c>
      <c r="D6442" s="16" t="s">
        <v>707</v>
      </c>
      <c r="E6442" s="16">
        <v>2024.0</v>
      </c>
      <c r="F6442" s="16">
        <v>53.6218</v>
      </c>
      <c r="G6442" s="16">
        <v>7.1668</v>
      </c>
      <c r="H6442" s="15"/>
      <c r="I6442" s="15"/>
    </row>
    <row r="6443">
      <c r="A6443" s="18">
        <v>45665.0</v>
      </c>
      <c r="B6443" s="16" t="s">
        <v>7254</v>
      </c>
      <c r="C6443" s="16" t="s">
        <v>1090</v>
      </c>
      <c r="D6443" s="16" t="s">
        <v>707</v>
      </c>
      <c r="E6443" s="16">
        <v>2024.0</v>
      </c>
      <c r="F6443" s="16">
        <v>49.1962</v>
      </c>
      <c r="G6443" s="16">
        <v>12.4034</v>
      </c>
      <c r="H6443" s="15"/>
      <c r="I6443" s="15"/>
    </row>
    <row r="6444">
      <c r="A6444" s="18">
        <v>45665.0</v>
      </c>
      <c r="B6444" s="16" t="s">
        <v>7255</v>
      </c>
      <c r="C6444" s="16" t="s">
        <v>1690</v>
      </c>
      <c r="D6444" s="16" t="s">
        <v>707</v>
      </c>
      <c r="E6444" s="16">
        <v>2024.0</v>
      </c>
      <c r="F6444" s="16">
        <v>48.0164</v>
      </c>
      <c r="G6444" s="16">
        <v>10.8584</v>
      </c>
      <c r="H6444" s="15"/>
      <c r="I6444" s="15"/>
    </row>
    <row r="6445">
      <c r="A6445" s="18">
        <v>45665.0</v>
      </c>
      <c r="B6445" s="16" t="s">
        <v>7256</v>
      </c>
      <c r="C6445" s="16" t="s">
        <v>1773</v>
      </c>
      <c r="D6445" s="16" t="s">
        <v>707</v>
      </c>
      <c r="E6445" s="16">
        <v>2024.0</v>
      </c>
      <c r="F6445" s="16">
        <v>52.6083</v>
      </c>
      <c r="G6445" s="16">
        <v>11.836</v>
      </c>
      <c r="H6445" s="15"/>
      <c r="I6445" s="15"/>
    </row>
    <row r="6446">
      <c r="A6446" s="18">
        <v>45665.0</v>
      </c>
      <c r="B6446" s="16" t="s">
        <v>7257</v>
      </c>
      <c r="C6446" s="16" t="s">
        <v>1090</v>
      </c>
      <c r="D6446" s="16" t="s">
        <v>707</v>
      </c>
      <c r="E6446" s="16">
        <v>2024.0</v>
      </c>
      <c r="F6446" s="16">
        <v>51.7993</v>
      </c>
      <c r="G6446" s="16">
        <v>12.9508</v>
      </c>
      <c r="H6446" s="15"/>
      <c r="I6446" s="15"/>
    </row>
    <row r="6447">
      <c r="A6447" s="18">
        <v>45665.0</v>
      </c>
      <c r="B6447" s="16" t="s">
        <v>7258</v>
      </c>
      <c r="C6447" s="16">
        <v>2.0</v>
      </c>
      <c r="D6447" s="16" t="s">
        <v>707</v>
      </c>
      <c r="E6447" s="16">
        <v>2024.0</v>
      </c>
      <c r="F6447" s="16">
        <v>49.1517</v>
      </c>
      <c r="G6447" s="16">
        <v>11.2704</v>
      </c>
      <c r="H6447" s="15"/>
      <c r="I6447" s="15"/>
    </row>
    <row r="6448">
      <c r="A6448" s="18">
        <v>45665.0</v>
      </c>
      <c r="B6448" s="16" t="s">
        <v>7259</v>
      </c>
      <c r="C6448" s="16">
        <v>12.0</v>
      </c>
      <c r="D6448" s="16" t="s">
        <v>707</v>
      </c>
      <c r="E6448" s="16">
        <v>2024.0</v>
      </c>
      <c r="F6448" s="16">
        <v>51.8013</v>
      </c>
      <c r="G6448" s="16">
        <v>11.6238</v>
      </c>
      <c r="H6448" s="15"/>
      <c r="I6448" s="15"/>
    </row>
    <row r="6449">
      <c r="A6449" s="18">
        <v>45665.0</v>
      </c>
      <c r="B6449" s="16" t="s">
        <v>7260</v>
      </c>
      <c r="C6449" s="16" t="s">
        <v>948</v>
      </c>
      <c r="D6449" s="16" t="s">
        <v>707</v>
      </c>
      <c r="E6449" s="16">
        <v>2024.0</v>
      </c>
      <c r="F6449" s="16">
        <v>51.2262</v>
      </c>
      <c r="G6449" s="16">
        <v>14.9219</v>
      </c>
      <c r="H6449" s="15"/>
      <c r="I6449" s="15"/>
    </row>
    <row r="6450">
      <c r="A6450" s="18">
        <v>45665.0</v>
      </c>
      <c r="B6450" s="16" t="s">
        <v>7261</v>
      </c>
      <c r="C6450" s="16" t="s">
        <v>951</v>
      </c>
      <c r="D6450" s="16" t="s">
        <v>707</v>
      </c>
      <c r="E6450" s="16">
        <v>2024.0</v>
      </c>
      <c r="F6450" s="16">
        <v>48.6907</v>
      </c>
      <c r="G6450" s="16">
        <v>11.4539</v>
      </c>
      <c r="H6450" s="15"/>
      <c r="I6450" s="15"/>
    </row>
    <row r="6451">
      <c r="A6451" s="18">
        <v>45665.0</v>
      </c>
      <c r="B6451" s="16" t="s">
        <v>7262</v>
      </c>
      <c r="C6451" s="16" t="s">
        <v>1090</v>
      </c>
      <c r="D6451" s="16" t="s">
        <v>707</v>
      </c>
      <c r="E6451" s="16">
        <v>2024.0</v>
      </c>
      <c r="F6451" s="16">
        <v>49.4243</v>
      </c>
      <c r="G6451" s="16">
        <v>11.8623</v>
      </c>
      <c r="H6451" s="15"/>
      <c r="I6451" s="15"/>
    </row>
    <row r="6452">
      <c r="A6452" s="18">
        <v>45665.0</v>
      </c>
      <c r="B6452" s="16" t="s">
        <v>7263</v>
      </c>
      <c r="C6452" s="16" t="s">
        <v>990</v>
      </c>
      <c r="D6452" s="16" t="s">
        <v>707</v>
      </c>
      <c r="E6452" s="16">
        <v>2024.0</v>
      </c>
      <c r="F6452" s="16">
        <v>49.7904</v>
      </c>
      <c r="G6452" s="16">
        <v>10.1755</v>
      </c>
      <c r="H6452" s="15"/>
      <c r="I6452" s="15"/>
    </row>
    <row r="6453">
      <c r="A6453" s="18">
        <v>45665.0</v>
      </c>
      <c r="B6453" s="16" t="s">
        <v>7264</v>
      </c>
      <c r="C6453" s="16" t="s">
        <v>948</v>
      </c>
      <c r="D6453" s="16" t="s">
        <v>707</v>
      </c>
      <c r="E6453" s="16">
        <v>2024.0</v>
      </c>
      <c r="F6453" s="16">
        <v>48.2557</v>
      </c>
      <c r="G6453" s="16">
        <v>12.695</v>
      </c>
      <c r="H6453" s="15"/>
      <c r="I6453" s="15"/>
    </row>
    <row r="6454">
      <c r="A6454" s="18">
        <v>45665.0</v>
      </c>
      <c r="B6454" s="16" t="s">
        <v>7265</v>
      </c>
      <c r="C6454" s="16" t="s">
        <v>1055</v>
      </c>
      <c r="D6454" s="16" t="s">
        <v>707</v>
      </c>
      <c r="E6454" s="16">
        <v>2024.0</v>
      </c>
      <c r="F6454" s="16">
        <v>50.761</v>
      </c>
      <c r="G6454" s="16">
        <v>9.597</v>
      </c>
      <c r="H6454" s="15"/>
      <c r="I6454" s="15"/>
    </row>
    <row r="6455">
      <c r="A6455" s="18">
        <v>45665.0</v>
      </c>
      <c r="B6455" s="16" t="s">
        <v>7266</v>
      </c>
      <c r="C6455" s="16" t="s">
        <v>948</v>
      </c>
      <c r="D6455" s="16" t="s">
        <v>707</v>
      </c>
      <c r="E6455" s="16">
        <v>2024.0</v>
      </c>
      <c r="F6455" s="16">
        <v>50.761</v>
      </c>
      <c r="G6455" s="16">
        <v>9.597</v>
      </c>
      <c r="H6455" s="15"/>
      <c r="I6455" s="15"/>
    </row>
    <row r="6456">
      <c r="A6456" s="18">
        <v>45665.0</v>
      </c>
      <c r="B6456" s="16" t="s">
        <v>7267</v>
      </c>
      <c r="C6456" s="16" t="s">
        <v>2821</v>
      </c>
      <c r="D6456" s="16" t="s">
        <v>707</v>
      </c>
      <c r="E6456" s="16">
        <v>2024.0</v>
      </c>
      <c r="F6456" s="16">
        <v>53.9814</v>
      </c>
      <c r="G6456" s="16">
        <v>9.4955</v>
      </c>
      <c r="H6456" s="15"/>
      <c r="I6456" s="15"/>
    </row>
    <row r="6457">
      <c r="A6457" s="18">
        <v>45665.0</v>
      </c>
      <c r="B6457" s="16" t="s">
        <v>7268</v>
      </c>
      <c r="C6457" s="16" t="s">
        <v>959</v>
      </c>
      <c r="D6457" s="16" t="s">
        <v>707</v>
      </c>
      <c r="E6457" s="16">
        <v>2024.0</v>
      </c>
      <c r="F6457" s="16">
        <v>48.6822</v>
      </c>
      <c r="G6457" s="16">
        <v>8.9871</v>
      </c>
      <c r="H6457" s="15"/>
      <c r="I6457" s="15"/>
    </row>
    <row r="6458">
      <c r="A6458" s="18">
        <v>45665.0</v>
      </c>
      <c r="B6458" s="16" t="s">
        <v>7269</v>
      </c>
      <c r="C6458" s="16" t="s">
        <v>2580</v>
      </c>
      <c r="D6458" s="16" t="s">
        <v>707</v>
      </c>
      <c r="E6458" s="16">
        <v>2024.0</v>
      </c>
      <c r="F6458" s="16">
        <v>49.4415</v>
      </c>
      <c r="G6458" s="16">
        <v>7.1355</v>
      </c>
      <c r="H6458" s="15"/>
      <c r="I6458" s="15"/>
    </row>
    <row r="6459">
      <c r="A6459" s="18">
        <v>45665.0</v>
      </c>
      <c r="B6459" s="16" t="s">
        <v>7270</v>
      </c>
      <c r="C6459" s="16" t="s">
        <v>1351</v>
      </c>
      <c r="D6459" s="16" t="s">
        <v>707</v>
      </c>
      <c r="E6459" s="16">
        <v>2024.0</v>
      </c>
      <c r="F6459" s="16">
        <v>51.5056</v>
      </c>
      <c r="G6459" s="16">
        <v>12.6731</v>
      </c>
      <c r="H6459" s="15"/>
      <c r="I6459" s="15"/>
    </row>
    <row r="6460">
      <c r="A6460" s="18">
        <v>45665.0</v>
      </c>
      <c r="B6460" s="16" t="s">
        <v>7271</v>
      </c>
      <c r="C6460" s="16" t="s">
        <v>984</v>
      </c>
      <c r="D6460" s="16" t="s">
        <v>707</v>
      </c>
      <c r="E6460" s="16">
        <v>2024.0</v>
      </c>
      <c r="F6460" s="16">
        <v>49.5271</v>
      </c>
      <c r="G6460" s="16">
        <v>10.2587</v>
      </c>
      <c r="H6460" s="15"/>
      <c r="I6460" s="15"/>
    </row>
    <row r="6461">
      <c r="A6461" s="18">
        <v>45665.0</v>
      </c>
      <c r="B6461" s="16" t="s">
        <v>7272</v>
      </c>
      <c r="C6461" s="16" t="s">
        <v>1101</v>
      </c>
      <c r="D6461" s="16" t="s">
        <v>707</v>
      </c>
      <c r="E6461" s="16">
        <v>2024.0</v>
      </c>
      <c r="F6461" s="16">
        <v>53.2933</v>
      </c>
      <c r="G6461" s="16">
        <v>9.5007</v>
      </c>
      <c r="H6461" s="15"/>
      <c r="I6461" s="15"/>
    </row>
    <row r="6462">
      <c r="A6462" s="18">
        <v>45665.0</v>
      </c>
      <c r="B6462" s="16" t="s">
        <v>7273</v>
      </c>
      <c r="C6462" s="16" t="s">
        <v>1386</v>
      </c>
      <c r="D6462" s="16" t="s">
        <v>707</v>
      </c>
      <c r="E6462" s="16">
        <v>2024.0</v>
      </c>
      <c r="F6462" s="16">
        <v>50.3497</v>
      </c>
      <c r="G6462" s="16">
        <v>11.1948</v>
      </c>
      <c r="H6462" s="15"/>
      <c r="I6462" s="15"/>
    </row>
    <row r="6463">
      <c r="A6463" s="18">
        <v>45665.0</v>
      </c>
      <c r="B6463" s="16" t="s">
        <v>7274</v>
      </c>
      <c r="C6463" s="16" t="s">
        <v>1436</v>
      </c>
      <c r="D6463" s="16" t="s">
        <v>707</v>
      </c>
      <c r="E6463" s="16">
        <v>2024.0</v>
      </c>
      <c r="F6463" s="16">
        <v>51.9212</v>
      </c>
      <c r="G6463" s="16">
        <v>10.5509</v>
      </c>
      <c r="H6463" s="15"/>
      <c r="I6463" s="15"/>
    </row>
    <row r="6464">
      <c r="A6464" s="18">
        <v>45665.0</v>
      </c>
      <c r="B6464" s="16" t="s">
        <v>7275</v>
      </c>
      <c r="C6464" s="16" t="s">
        <v>1011</v>
      </c>
      <c r="D6464" s="16" t="s">
        <v>707</v>
      </c>
      <c r="E6464" s="16">
        <v>2024.0</v>
      </c>
      <c r="F6464" s="16">
        <v>48.8764</v>
      </c>
      <c r="G6464" s="16">
        <v>8.2608</v>
      </c>
      <c r="H6464" s="15"/>
      <c r="I6464" s="15"/>
    </row>
    <row r="6465">
      <c r="A6465" s="18">
        <v>45665.0</v>
      </c>
      <c r="B6465" s="16" t="s">
        <v>7276</v>
      </c>
      <c r="C6465" s="16" t="s">
        <v>2119</v>
      </c>
      <c r="D6465" s="16" t="s">
        <v>707</v>
      </c>
      <c r="E6465" s="16">
        <v>2024.0</v>
      </c>
      <c r="F6465" s="16">
        <v>51.3014</v>
      </c>
      <c r="G6465" s="16">
        <v>11.9521</v>
      </c>
      <c r="H6465" s="15"/>
      <c r="I6465" s="15"/>
    </row>
    <row r="6466">
      <c r="A6466" s="18">
        <v>45665.0</v>
      </c>
      <c r="B6466" s="16" t="s">
        <v>7277</v>
      </c>
      <c r="C6466" s="16" t="s">
        <v>1170</v>
      </c>
      <c r="D6466" s="16" t="s">
        <v>707</v>
      </c>
      <c r="E6466" s="16">
        <v>2024.0</v>
      </c>
      <c r="F6466" s="16">
        <v>49.7491</v>
      </c>
      <c r="G6466" s="16">
        <v>7.7966</v>
      </c>
      <c r="H6466" s="15"/>
      <c r="I6466" s="15"/>
    </row>
    <row r="6467">
      <c r="A6467" s="18">
        <v>45665.0</v>
      </c>
      <c r="B6467" s="16" t="s">
        <v>7278</v>
      </c>
      <c r="C6467" s="16" t="s">
        <v>1167</v>
      </c>
      <c r="D6467" s="16" t="s">
        <v>707</v>
      </c>
      <c r="E6467" s="16">
        <v>2024.0</v>
      </c>
      <c r="F6467" s="16">
        <v>51.1931</v>
      </c>
      <c r="G6467" s="16">
        <v>13.2685</v>
      </c>
      <c r="H6467" s="15"/>
      <c r="I6467" s="15"/>
    </row>
    <row r="6468">
      <c r="A6468" s="18">
        <v>45665.0</v>
      </c>
      <c r="B6468" s="16" t="s">
        <v>7279</v>
      </c>
      <c r="C6468" s="16" t="s">
        <v>1101</v>
      </c>
      <c r="D6468" s="16" t="s">
        <v>707</v>
      </c>
      <c r="E6468" s="16">
        <v>2024.0</v>
      </c>
      <c r="F6468" s="16">
        <v>52.3956</v>
      </c>
      <c r="G6468" s="16">
        <v>13.7893</v>
      </c>
      <c r="H6468" s="15"/>
      <c r="I6468" s="15"/>
    </row>
    <row r="6469">
      <c r="A6469" s="18">
        <v>45665.0</v>
      </c>
      <c r="B6469" s="16" t="s">
        <v>7280</v>
      </c>
      <c r="C6469" s="16" t="s">
        <v>1004</v>
      </c>
      <c r="D6469" s="16" t="s">
        <v>707</v>
      </c>
      <c r="E6469" s="16">
        <v>2024.0</v>
      </c>
      <c r="F6469" s="16">
        <v>52.3938</v>
      </c>
      <c r="G6469" s="16">
        <v>13.7911</v>
      </c>
      <c r="H6469" s="15"/>
      <c r="I6469" s="15"/>
    </row>
    <row r="6470">
      <c r="A6470" s="18">
        <v>45665.0</v>
      </c>
      <c r="B6470" s="16" t="s">
        <v>7281</v>
      </c>
      <c r="C6470" s="16" t="s">
        <v>1059</v>
      </c>
      <c r="D6470" s="16" t="s">
        <v>707</v>
      </c>
      <c r="E6470" s="16">
        <v>2024.0</v>
      </c>
      <c r="F6470" s="16">
        <v>52.3942</v>
      </c>
      <c r="G6470" s="16">
        <v>13.7998</v>
      </c>
      <c r="H6470" s="15"/>
      <c r="I6470" s="15"/>
    </row>
    <row r="6471">
      <c r="A6471" s="18">
        <v>45665.0</v>
      </c>
      <c r="B6471" s="16" t="s">
        <v>7282</v>
      </c>
      <c r="C6471" s="16" t="s">
        <v>946</v>
      </c>
      <c r="D6471" s="16" t="s">
        <v>707</v>
      </c>
      <c r="E6471" s="16">
        <v>2024.0</v>
      </c>
      <c r="F6471" s="16">
        <v>51.3127</v>
      </c>
      <c r="G6471" s="16">
        <v>12.0089</v>
      </c>
      <c r="H6471" s="15"/>
      <c r="I6471" s="15"/>
    </row>
    <row r="6472">
      <c r="A6472" s="18">
        <v>45665.0</v>
      </c>
      <c r="B6472" s="16" t="s">
        <v>7283</v>
      </c>
      <c r="C6472" s="16" t="s">
        <v>1046</v>
      </c>
      <c r="D6472" s="16" t="s">
        <v>707</v>
      </c>
      <c r="E6472" s="16">
        <v>2024.0</v>
      </c>
      <c r="F6472" s="16">
        <v>47.7458</v>
      </c>
      <c r="G6472" s="16">
        <v>11.3448</v>
      </c>
      <c r="H6472" s="15"/>
      <c r="I6472" s="15"/>
    </row>
    <row r="6473">
      <c r="A6473" s="18">
        <v>45665.0</v>
      </c>
      <c r="B6473" s="16" t="s">
        <v>7284</v>
      </c>
      <c r="C6473" s="16" t="s">
        <v>965</v>
      </c>
      <c r="D6473" s="16" t="s">
        <v>707</v>
      </c>
      <c r="E6473" s="16">
        <v>2024.0</v>
      </c>
      <c r="F6473" s="16">
        <v>52.0951</v>
      </c>
      <c r="G6473" s="16">
        <v>13.1416</v>
      </c>
      <c r="H6473" s="15"/>
      <c r="I6473" s="15"/>
    </row>
    <row r="6474">
      <c r="A6474" s="18">
        <v>45665.0</v>
      </c>
      <c r="B6474" s="16" t="s">
        <v>7285</v>
      </c>
      <c r="C6474" s="16" t="s">
        <v>948</v>
      </c>
      <c r="D6474" s="16" t="s">
        <v>707</v>
      </c>
      <c r="E6474" s="16">
        <v>2024.0</v>
      </c>
      <c r="F6474" s="16">
        <v>51.5333</v>
      </c>
      <c r="G6474" s="16">
        <v>7.5005</v>
      </c>
      <c r="H6474" s="15"/>
      <c r="I6474" s="15"/>
    </row>
    <row r="6475">
      <c r="A6475" s="18">
        <v>45665.0</v>
      </c>
      <c r="B6475" s="16" t="s">
        <v>7286</v>
      </c>
      <c r="C6475" s="16" t="s">
        <v>1080</v>
      </c>
      <c r="D6475" s="16" t="s">
        <v>707</v>
      </c>
      <c r="E6475" s="16">
        <v>2024.0</v>
      </c>
      <c r="F6475" s="16">
        <v>47.9242</v>
      </c>
      <c r="G6475" s="16">
        <v>11.4874</v>
      </c>
      <c r="H6475" s="15"/>
      <c r="I6475" s="15"/>
    </row>
    <row r="6476">
      <c r="A6476" s="18">
        <v>45665.0</v>
      </c>
      <c r="B6476" s="16" t="s">
        <v>7287</v>
      </c>
      <c r="C6476" s="16" t="s">
        <v>1055</v>
      </c>
      <c r="D6476" s="16" t="s">
        <v>707</v>
      </c>
      <c r="E6476" s="16">
        <v>2024.0</v>
      </c>
      <c r="F6476" s="16">
        <v>51.0994</v>
      </c>
      <c r="G6476" s="16">
        <v>12.6577</v>
      </c>
      <c r="H6476" s="15"/>
      <c r="I6476" s="15"/>
    </row>
    <row r="6477">
      <c r="A6477" s="18">
        <v>45665.0</v>
      </c>
      <c r="B6477" s="16" t="s">
        <v>7288</v>
      </c>
      <c r="C6477" s="16">
        <v>12.0</v>
      </c>
      <c r="D6477" s="16" t="s">
        <v>707</v>
      </c>
      <c r="E6477" s="16">
        <v>2024.0</v>
      </c>
      <c r="F6477" s="16">
        <v>52.2741</v>
      </c>
      <c r="G6477" s="16">
        <v>10.7068</v>
      </c>
      <c r="H6477" s="15"/>
      <c r="I6477" s="15"/>
    </row>
    <row r="6478">
      <c r="A6478" s="18">
        <v>45665.0</v>
      </c>
      <c r="B6478" s="16" t="s">
        <v>7289</v>
      </c>
      <c r="C6478" s="16" t="s">
        <v>961</v>
      </c>
      <c r="D6478" s="16" t="s">
        <v>707</v>
      </c>
      <c r="E6478" s="16">
        <v>2024.0</v>
      </c>
      <c r="F6478" s="16">
        <v>51.5602</v>
      </c>
      <c r="G6478" s="16">
        <v>6.9655</v>
      </c>
      <c r="H6478" s="15"/>
      <c r="I6478" s="15"/>
    </row>
    <row r="6479">
      <c r="A6479" s="18">
        <v>45665.0</v>
      </c>
      <c r="B6479" s="16" t="s">
        <v>7290</v>
      </c>
      <c r="C6479" s="16">
        <v>2.0</v>
      </c>
      <c r="D6479" s="16" t="s">
        <v>707</v>
      </c>
      <c r="E6479" s="16">
        <v>2024.0</v>
      </c>
      <c r="F6479" s="16">
        <v>52.3516</v>
      </c>
      <c r="G6479" s="16">
        <v>12.8138</v>
      </c>
      <c r="H6479" s="15"/>
      <c r="I6479" s="15"/>
    </row>
    <row r="6480">
      <c r="A6480" s="18">
        <v>45665.0</v>
      </c>
      <c r="B6480" s="16" t="s">
        <v>7291</v>
      </c>
      <c r="C6480" s="16">
        <v>7.0</v>
      </c>
      <c r="D6480" s="16" t="s">
        <v>707</v>
      </c>
      <c r="E6480" s="16">
        <v>2024.0</v>
      </c>
      <c r="F6480" s="16">
        <v>51.8014</v>
      </c>
      <c r="G6480" s="16">
        <v>11.6279</v>
      </c>
      <c r="H6480" s="15"/>
      <c r="I6480" s="15"/>
    </row>
    <row r="6481">
      <c r="A6481" s="18">
        <v>45665.0</v>
      </c>
      <c r="B6481" s="16" t="s">
        <v>7292</v>
      </c>
      <c r="C6481" s="16" t="s">
        <v>1609</v>
      </c>
      <c r="D6481" s="16" t="s">
        <v>707</v>
      </c>
      <c r="E6481" s="16">
        <v>2024.0</v>
      </c>
      <c r="F6481" s="16">
        <v>51.8513</v>
      </c>
      <c r="G6481" s="16">
        <v>11.105</v>
      </c>
      <c r="H6481" s="15"/>
      <c r="I6481" s="15"/>
    </row>
    <row r="6482">
      <c r="A6482" s="18">
        <v>45665.0</v>
      </c>
      <c r="B6482" s="16" t="s">
        <v>7293</v>
      </c>
      <c r="C6482" s="16" t="s">
        <v>942</v>
      </c>
      <c r="D6482" s="16" t="s">
        <v>707</v>
      </c>
      <c r="E6482" s="16">
        <v>2024.0</v>
      </c>
      <c r="F6482" s="16">
        <v>51.7029</v>
      </c>
      <c r="G6482" s="16">
        <v>7.7696</v>
      </c>
      <c r="H6482" s="15"/>
      <c r="I6482" s="15"/>
    </row>
    <row r="6483">
      <c r="A6483" s="18">
        <v>45665.0</v>
      </c>
      <c r="B6483" s="16" t="s">
        <v>7294</v>
      </c>
      <c r="C6483" s="16">
        <v>4.0</v>
      </c>
      <c r="D6483" s="16" t="s">
        <v>707</v>
      </c>
      <c r="E6483" s="16">
        <v>2024.0</v>
      </c>
      <c r="F6483" s="16">
        <v>52.7719</v>
      </c>
      <c r="G6483" s="16">
        <v>9.6136</v>
      </c>
      <c r="H6483" s="15"/>
      <c r="I6483" s="15"/>
    </row>
    <row r="6484">
      <c r="A6484" s="18">
        <v>45665.0</v>
      </c>
      <c r="B6484" s="16" t="s">
        <v>7295</v>
      </c>
      <c r="C6484" s="16" t="s">
        <v>942</v>
      </c>
      <c r="D6484" s="16" t="s">
        <v>707</v>
      </c>
      <c r="E6484" s="16">
        <v>2024.0</v>
      </c>
      <c r="F6484" s="16">
        <v>51.8276</v>
      </c>
      <c r="G6484" s="16">
        <v>8.6527</v>
      </c>
      <c r="H6484" s="15"/>
      <c r="I6484" s="15"/>
    </row>
    <row r="6485">
      <c r="A6485" s="18">
        <v>45665.0</v>
      </c>
      <c r="B6485" s="16" t="s">
        <v>7296</v>
      </c>
      <c r="C6485" s="16" t="s">
        <v>978</v>
      </c>
      <c r="D6485" s="16" t="s">
        <v>707</v>
      </c>
      <c r="E6485" s="16">
        <v>2024.0</v>
      </c>
      <c r="F6485" s="16">
        <v>52.8263</v>
      </c>
      <c r="G6485" s="16">
        <v>9.1499</v>
      </c>
      <c r="H6485" s="15"/>
      <c r="I6485" s="15"/>
    </row>
    <row r="6486">
      <c r="A6486" s="18">
        <v>45665.0</v>
      </c>
      <c r="B6486" s="16" t="s">
        <v>7297</v>
      </c>
      <c r="C6486" s="16" t="s">
        <v>942</v>
      </c>
      <c r="D6486" s="16" t="s">
        <v>707</v>
      </c>
      <c r="E6486" s="16">
        <v>2024.0</v>
      </c>
      <c r="F6486" s="16">
        <v>47.7337</v>
      </c>
      <c r="G6486" s="16">
        <v>11.2136</v>
      </c>
      <c r="H6486" s="15"/>
      <c r="I6486" s="15"/>
    </row>
    <row r="6487">
      <c r="A6487" s="18">
        <v>45665.0</v>
      </c>
      <c r="B6487" s="16" t="s">
        <v>7298</v>
      </c>
      <c r="C6487" s="16" t="s">
        <v>990</v>
      </c>
      <c r="D6487" s="16" t="s">
        <v>707</v>
      </c>
      <c r="E6487" s="16">
        <v>2024.0</v>
      </c>
      <c r="F6487" s="16">
        <v>52.6577</v>
      </c>
      <c r="G6487" s="16">
        <v>12.5041</v>
      </c>
      <c r="H6487" s="15"/>
      <c r="I6487" s="15"/>
    </row>
    <row r="6488">
      <c r="A6488" s="18">
        <v>45665.0</v>
      </c>
      <c r="B6488" s="16" t="s">
        <v>7299</v>
      </c>
      <c r="C6488" s="16" t="s">
        <v>942</v>
      </c>
      <c r="D6488" s="16" t="s">
        <v>707</v>
      </c>
      <c r="E6488" s="16">
        <v>2024.0</v>
      </c>
      <c r="F6488" s="16">
        <v>50.7134</v>
      </c>
      <c r="G6488" s="16">
        <v>12.4578</v>
      </c>
      <c r="H6488" s="15"/>
      <c r="I6488" s="15"/>
    </row>
    <row r="6489">
      <c r="A6489" s="18">
        <v>45665.0</v>
      </c>
      <c r="B6489" s="16" t="s">
        <v>7300</v>
      </c>
      <c r="C6489" s="16" t="s">
        <v>946</v>
      </c>
      <c r="D6489" s="16" t="s">
        <v>707</v>
      </c>
      <c r="E6489" s="16">
        <v>2024.0</v>
      </c>
      <c r="F6489" s="16">
        <v>52.1397</v>
      </c>
      <c r="G6489" s="16">
        <v>7.5613</v>
      </c>
      <c r="H6489" s="15"/>
      <c r="I6489" s="15"/>
    </row>
    <row r="6490">
      <c r="A6490" s="18">
        <v>45665.0</v>
      </c>
      <c r="B6490" s="16" t="s">
        <v>7301</v>
      </c>
      <c r="C6490" s="16" t="s">
        <v>1090</v>
      </c>
      <c r="D6490" s="16" t="s">
        <v>707</v>
      </c>
      <c r="E6490" s="16">
        <v>2024.0</v>
      </c>
      <c r="F6490" s="16">
        <v>52.1543</v>
      </c>
      <c r="G6490" s="16">
        <v>11.0361</v>
      </c>
      <c r="H6490" s="15"/>
      <c r="I6490" s="15"/>
    </row>
    <row r="6491">
      <c r="A6491" s="18">
        <v>45665.0</v>
      </c>
      <c r="B6491" s="16" t="s">
        <v>7302</v>
      </c>
      <c r="C6491" s="16" t="s">
        <v>959</v>
      </c>
      <c r="D6491" s="16" t="s">
        <v>707</v>
      </c>
      <c r="E6491" s="16">
        <v>2024.0</v>
      </c>
      <c r="F6491" s="16">
        <v>48.4038</v>
      </c>
      <c r="G6491" s="16">
        <v>13.2543</v>
      </c>
      <c r="H6491" s="15"/>
      <c r="I6491" s="15"/>
    </row>
    <row r="6492">
      <c r="A6492" s="18">
        <v>45665.0</v>
      </c>
      <c r="B6492" s="16" t="s">
        <v>7303</v>
      </c>
      <c r="C6492" s="16" t="s">
        <v>1745</v>
      </c>
      <c r="D6492" s="16" t="s">
        <v>707</v>
      </c>
      <c r="E6492" s="16">
        <v>2024.0</v>
      </c>
      <c r="F6492" s="16">
        <v>50.9132</v>
      </c>
      <c r="G6492" s="16">
        <v>6.7759</v>
      </c>
      <c r="H6492" s="15"/>
      <c r="I6492" s="15"/>
    </row>
    <row r="6493">
      <c r="A6493" s="18">
        <v>45665.0</v>
      </c>
      <c r="B6493" s="16" t="s">
        <v>7304</v>
      </c>
      <c r="C6493" s="16" t="s">
        <v>1267</v>
      </c>
      <c r="D6493" s="16" t="s">
        <v>707</v>
      </c>
      <c r="E6493" s="16">
        <v>2024.0</v>
      </c>
      <c r="F6493" s="16">
        <v>51.8689</v>
      </c>
      <c r="G6493" s="16">
        <v>7.1229</v>
      </c>
      <c r="H6493" s="15"/>
      <c r="I6493" s="15"/>
    </row>
    <row r="6494">
      <c r="A6494" s="18">
        <v>45665.0</v>
      </c>
      <c r="B6494" s="16" t="s">
        <v>7305</v>
      </c>
      <c r="C6494" s="16" t="s">
        <v>1215</v>
      </c>
      <c r="D6494" s="16" t="s">
        <v>707</v>
      </c>
      <c r="E6494" s="16">
        <v>2024.0</v>
      </c>
      <c r="F6494" s="16">
        <v>50.3655</v>
      </c>
      <c r="G6494" s="16">
        <v>11.5059</v>
      </c>
      <c r="H6494" s="15"/>
      <c r="I6494" s="15"/>
    </row>
    <row r="6495">
      <c r="A6495" s="18">
        <v>45665.0</v>
      </c>
      <c r="B6495" s="16" t="s">
        <v>7306</v>
      </c>
      <c r="C6495" s="16" t="s">
        <v>990</v>
      </c>
      <c r="D6495" s="16" t="s">
        <v>707</v>
      </c>
      <c r="E6495" s="16">
        <v>2024.0</v>
      </c>
      <c r="F6495" s="16">
        <v>47.7557</v>
      </c>
      <c r="G6495" s="16">
        <v>9.6748</v>
      </c>
      <c r="H6495" s="15"/>
      <c r="I6495" s="15"/>
    </row>
    <row r="6496">
      <c r="A6496" s="18">
        <v>45665.0</v>
      </c>
      <c r="B6496" s="16" t="s">
        <v>7307</v>
      </c>
      <c r="C6496" s="16" t="s">
        <v>1055</v>
      </c>
      <c r="D6496" s="16" t="s">
        <v>707</v>
      </c>
      <c r="E6496" s="16">
        <v>2024.0</v>
      </c>
      <c r="F6496" s="16">
        <v>47.7557</v>
      </c>
      <c r="G6496" s="16">
        <v>9.6748</v>
      </c>
      <c r="H6496" s="15"/>
      <c r="I6496" s="15"/>
    </row>
    <row r="6497">
      <c r="A6497" s="18">
        <v>45665.0</v>
      </c>
      <c r="B6497" s="16" t="s">
        <v>7308</v>
      </c>
      <c r="C6497" s="16" t="s">
        <v>1059</v>
      </c>
      <c r="D6497" s="16" t="s">
        <v>707</v>
      </c>
      <c r="E6497" s="16">
        <v>2024.0</v>
      </c>
      <c r="F6497" s="16">
        <v>51.6768</v>
      </c>
      <c r="G6497" s="16">
        <v>8.317</v>
      </c>
      <c r="H6497" s="15"/>
      <c r="I6497" s="15"/>
    </row>
    <row r="6498">
      <c r="A6498" s="18">
        <v>45665.0</v>
      </c>
      <c r="B6498" s="16" t="s">
        <v>7309</v>
      </c>
      <c r="C6498" s="16" t="s">
        <v>1055</v>
      </c>
      <c r="D6498" s="16" t="s">
        <v>707</v>
      </c>
      <c r="E6498" s="16">
        <v>2024.0</v>
      </c>
      <c r="F6498" s="16">
        <v>49.6318</v>
      </c>
      <c r="G6498" s="16">
        <v>12.1281</v>
      </c>
      <c r="H6498" s="15"/>
      <c r="I6498" s="15"/>
    </row>
    <row r="6499">
      <c r="A6499" s="18">
        <v>45665.0</v>
      </c>
      <c r="B6499" s="16" t="s">
        <v>7310</v>
      </c>
      <c r="C6499" s="16" t="s">
        <v>1037</v>
      </c>
      <c r="D6499" s="16" t="s">
        <v>707</v>
      </c>
      <c r="E6499" s="16">
        <v>2024.0</v>
      </c>
      <c r="F6499" s="16">
        <v>54.088</v>
      </c>
      <c r="G6499" s="16">
        <v>12.1945</v>
      </c>
      <c r="H6499" s="15"/>
      <c r="I6499" s="15"/>
    </row>
    <row r="6500">
      <c r="A6500" s="18">
        <v>45665.0</v>
      </c>
      <c r="B6500" s="16" t="s">
        <v>7311</v>
      </c>
      <c r="C6500" s="16" t="s">
        <v>1170</v>
      </c>
      <c r="D6500" s="16" t="s">
        <v>707</v>
      </c>
      <c r="E6500" s="16">
        <v>2024.0</v>
      </c>
      <c r="F6500" s="16">
        <v>50.3158</v>
      </c>
      <c r="G6500" s="16">
        <v>8.0574</v>
      </c>
      <c r="H6500" s="15"/>
      <c r="I6500" s="15"/>
    </row>
    <row r="6501">
      <c r="A6501" s="18">
        <v>45665.0</v>
      </c>
      <c r="B6501" s="16" t="s">
        <v>7312</v>
      </c>
      <c r="C6501" s="16" t="s">
        <v>959</v>
      </c>
      <c r="D6501" s="16" t="s">
        <v>707</v>
      </c>
      <c r="E6501" s="16">
        <v>2024.0</v>
      </c>
      <c r="F6501" s="16">
        <v>50.8039</v>
      </c>
      <c r="G6501" s="16">
        <v>10.6131</v>
      </c>
      <c r="H6501" s="15"/>
      <c r="I6501" s="15"/>
    </row>
    <row r="6502">
      <c r="A6502" s="18">
        <v>45665.0</v>
      </c>
      <c r="B6502" s="16" t="s">
        <v>7313</v>
      </c>
      <c r="C6502" s="16" t="s">
        <v>942</v>
      </c>
      <c r="D6502" s="16" t="s">
        <v>707</v>
      </c>
      <c r="E6502" s="16">
        <v>2024.0</v>
      </c>
      <c r="F6502" s="16">
        <v>49.4528</v>
      </c>
      <c r="G6502" s="16">
        <v>6.5373</v>
      </c>
      <c r="H6502" s="15"/>
      <c r="I6502" s="15"/>
    </row>
    <row r="6503">
      <c r="A6503" s="18">
        <v>45665.0</v>
      </c>
      <c r="B6503" s="16" t="s">
        <v>7314</v>
      </c>
      <c r="C6503" s="16" t="s">
        <v>1051</v>
      </c>
      <c r="D6503" s="16" t="s">
        <v>707</v>
      </c>
      <c r="E6503" s="16">
        <v>2024.0</v>
      </c>
      <c r="F6503" s="16">
        <v>52.1458</v>
      </c>
      <c r="G6503" s="16">
        <v>14.6535</v>
      </c>
      <c r="H6503" s="15"/>
      <c r="I6503" s="15"/>
    </row>
    <row r="6504">
      <c r="A6504" s="18">
        <v>45665.0</v>
      </c>
      <c r="B6504" s="16" t="s">
        <v>7315</v>
      </c>
      <c r="C6504" s="16" t="s">
        <v>1037</v>
      </c>
      <c r="D6504" s="16" t="s">
        <v>707</v>
      </c>
      <c r="E6504" s="16">
        <v>2024.0</v>
      </c>
      <c r="F6504" s="16">
        <v>50.7599</v>
      </c>
      <c r="G6504" s="16">
        <v>10.3128</v>
      </c>
      <c r="H6504" s="15"/>
      <c r="I6504" s="15"/>
    </row>
    <row r="6505">
      <c r="A6505" s="18">
        <v>45665.0</v>
      </c>
      <c r="B6505" s="16" t="s">
        <v>7316</v>
      </c>
      <c r="C6505" s="16">
        <v>11.0</v>
      </c>
      <c r="D6505" s="16" t="s">
        <v>707</v>
      </c>
      <c r="E6505" s="16">
        <v>2024.0</v>
      </c>
      <c r="F6505" s="16">
        <v>52.8317</v>
      </c>
      <c r="G6505" s="16">
        <v>11.2052</v>
      </c>
      <c r="H6505" s="15"/>
      <c r="I6505" s="15"/>
    </row>
    <row r="6506">
      <c r="A6506" s="18">
        <v>45665.0</v>
      </c>
      <c r="B6506" s="16" t="s">
        <v>7317</v>
      </c>
      <c r="C6506" s="16">
        <v>1.0</v>
      </c>
      <c r="D6506" s="16" t="s">
        <v>707</v>
      </c>
      <c r="E6506" s="16">
        <v>2024.0</v>
      </c>
      <c r="F6506" s="16">
        <v>53.9057</v>
      </c>
      <c r="G6506" s="16">
        <v>11.4504</v>
      </c>
      <c r="H6506" s="15"/>
      <c r="I6506" s="15"/>
    </row>
    <row r="6507">
      <c r="A6507" s="18">
        <v>45665.0</v>
      </c>
      <c r="B6507" s="16" t="s">
        <v>7318</v>
      </c>
      <c r="C6507" s="16" t="s">
        <v>3817</v>
      </c>
      <c r="D6507" s="16" t="s">
        <v>707</v>
      </c>
      <c r="E6507" s="16">
        <v>2024.0</v>
      </c>
      <c r="F6507" s="16">
        <v>51.2969</v>
      </c>
      <c r="G6507" s="16">
        <v>7.389</v>
      </c>
      <c r="H6507" s="15"/>
      <c r="I6507" s="15"/>
    </row>
    <row r="6508">
      <c r="A6508" s="18">
        <v>45665.0</v>
      </c>
      <c r="B6508" s="16" t="s">
        <v>7319</v>
      </c>
      <c r="C6508" s="16" t="s">
        <v>7320</v>
      </c>
      <c r="D6508" s="16" t="s">
        <v>707</v>
      </c>
      <c r="E6508" s="16">
        <v>2024.0</v>
      </c>
      <c r="F6508" s="16">
        <v>49.9846</v>
      </c>
      <c r="G6508" s="16">
        <v>6.1896</v>
      </c>
      <c r="H6508" s="15"/>
      <c r="I6508" s="15"/>
    </row>
    <row r="6509">
      <c r="A6509" s="18">
        <v>45665.0</v>
      </c>
      <c r="B6509" s="16" t="s">
        <v>7321</v>
      </c>
      <c r="C6509" s="16" t="s">
        <v>1034</v>
      </c>
      <c r="D6509" s="16" t="s">
        <v>707</v>
      </c>
      <c r="E6509" s="16">
        <v>2024.0</v>
      </c>
      <c r="F6509" s="16">
        <v>48.6247</v>
      </c>
      <c r="G6509" s="16">
        <v>12.8836</v>
      </c>
      <c r="H6509" s="15"/>
      <c r="I6509" s="15"/>
    </row>
    <row r="6510">
      <c r="A6510" s="18">
        <v>45665.0</v>
      </c>
      <c r="B6510" s="16" t="s">
        <v>7322</v>
      </c>
      <c r="C6510" s="16" t="s">
        <v>1461</v>
      </c>
      <c r="D6510" s="16" t="s">
        <v>707</v>
      </c>
      <c r="E6510" s="16">
        <v>2024.0</v>
      </c>
      <c r="F6510" s="16">
        <v>48.8006</v>
      </c>
      <c r="G6510" s="16">
        <v>10.9915</v>
      </c>
      <c r="H6510" s="15"/>
      <c r="I6510" s="15"/>
    </row>
    <row r="6511">
      <c r="A6511" s="18">
        <v>45665.0</v>
      </c>
      <c r="B6511" s="16" t="s">
        <v>7323</v>
      </c>
      <c r="C6511" s="16" t="s">
        <v>1393</v>
      </c>
      <c r="D6511" s="16" t="s">
        <v>707</v>
      </c>
      <c r="E6511" s="16">
        <v>2024.0</v>
      </c>
      <c r="F6511" s="16">
        <v>48.9133</v>
      </c>
      <c r="G6511" s="16">
        <v>12.7614</v>
      </c>
      <c r="H6511" s="15"/>
      <c r="I6511" s="15"/>
    </row>
    <row r="6512">
      <c r="A6512" s="18">
        <v>45665.0</v>
      </c>
      <c r="B6512" s="16" t="s">
        <v>7324</v>
      </c>
      <c r="C6512" s="16" t="s">
        <v>965</v>
      </c>
      <c r="D6512" s="16" t="s">
        <v>707</v>
      </c>
      <c r="E6512" s="16">
        <v>2024.0</v>
      </c>
      <c r="F6512" s="16">
        <v>48.8919</v>
      </c>
      <c r="G6512" s="16">
        <v>12.7656</v>
      </c>
      <c r="H6512" s="15"/>
      <c r="I6512" s="15"/>
    </row>
    <row r="6513">
      <c r="A6513" s="18">
        <v>45665.0</v>
      </c>
      <c r="B6513" s="16" t="s">
        <v>7325</v>
      </c>
      <c r="C6513" s="16" t="s">
        <v>1101</v>
      </c>
      <c r="D6513" s="16" t="s">
        <v>707</v>
      </c>
      <c r="E6513" s="16">
        <v>2024.0</v>
      </c>
      <c r="F6513" s="16">
        <v>47.9676</v>
      </c>
      <c r="G6513" s="16">
        <v>9.5211</v>
      </c>
      <c r="H6513" s="15"/>
      <c r="I6513" s="15"/>
    </row>
    <row r="6514">
      <c r="A6514" s="18">
        <v>45665.0</v>
      </c>
      <c r="B6514" s="16" t="s">
        <v>7326</v>
      </c>
      <c r="C6514" s="16" t="s">
        <v>948</v>
      </c>
      <c r="D6514" s="16" t="s">
        <v>707</v>
      </c>
      <c r="E6514" s="16">
        <v>2024.0</v>
      </c>
      <c r="F6514" s="16">
        <v>50.0045</v>
      </c>
      <c r="G6514" s="16">
        <v>10.7813</v>
      </c>
      <c r="H6514" s="15"/>
      <c r="I6514" s="15"/>
    </row>
    <row r="6515">
      <c r="A6515" s="18">
        <v>45665.0</v>
      </c>
      <c r="B6515" s="16" t="s">
        <v>7327</v>
      </c>
      <c r="C6515" s="16" t="s">
        <v>1282</v>
      </c>
      <c r="D6515" s="16" t="s">
        <v>707</v>
      </c>
      <c r="E6515" s="16">
        <v>2024.0</v>
      </c>
      <c r="F6515" s="16">
        <v>52.4327</v>
      </c>
      <c r="G6515" s="16">
        <v>12.4416</v>
      </c>
      <c r="H6515" s="15"/>
      <c r="I6515" s="15"/>
    </row>
    <row r="6516">
      <c r="A6516" s="18">
        <v>45665.0</v>
      </c>
      <c r="B6516" s="16" t="s">
        <v>7328</v>
      </c>
      <c r="C6516" s="16" t="s">
        <v>1341</v>
      </c>
      <c r="D6516" s="16" t="s">
        <v>707</v>
      </c>
      <c r="E6516" s="16">
        <v>2024.0</v>
      </c>
      <c r="F6516" s="16">
        <v>52.4327</v>
      </c>
      <c r="G6516" s="16">
        <v>12.4416</v>
      </c>
      <c r="H6516" s="15"/>
      <c r="I6516" s="15"/>
    </row>
    <row r="6517">
      <c r="A6517" s="18">
        <v>45665.0</v>
      </c>
      <c r="B6517" s="16" t="s">
        <v>7329</v>
      </c>
      <c r="C6517" s="16">
        <v>12.0</v>
      </c>
      <c r="D6517" s="16" t="s">
        <v>707</v>
      </c>
      <c r="E6517" s="16">
        <v>2024.0</v>
      </c>
      <c r="F6517" s="16">
        <v>49.5494</v>
      </c>
      <c r="G6517" s="16">
        <v>10.5882</v>
      </c>
      <c r="H6517" s="15"/>
      <c r="I6517" s="15"/>
    </row>
    <row r="6518">
      <c r="A6518" s="18">
        <v>45665.0</v>
      </c>
      <c r="B6518" s="16" t="s">
        <v>7330</v>
      </c>
      <c r="C6518" s="16" t="s">
        <v>3048</v>
      </c>
      <c r="D6518" s="16" t="s">
        <v>707</v>
      </c>
      <c r="E6518" s="16">
        <v>2024.0</v>
      </c>
      <c r="F6518" s="16">
        <v>51.9715</v>
      </c>
      <c r="G6518" s="16">
        <v>10.4092</v>
      </c>
      <c r="H6518" s="15"/>
      <c r="I6518" s="15"/>
    </row>
    <row r="6519">
      <c r="A6519" s="18">
        <v>45665.0</v>
      </c>
      <c r="B6519" s="16" t="s">
        <v>7331</v>
      </c>
      <c r="C6519" s="16">
        <v>4.0</v>
      </c>
      <c r="D6519" s="16" t="s">
        <v>707</v>
      </c>
      <c r="E6519" s="16">
        <v>2024.0</v>
      </c>
      <c r="F6519" s="16">
        <v>48.8191</v>
      </c>
      <c r="G6519" s="16">
        <v>11.3085</v>
      </c>
      <c r="H6519" s="15"/>
      <c r="I6519" s="15"/>
    </row>
    <row r="6520">
      <c r="A6520" s="18">
        <v>45665.0</v>
      </c>
      <c r="B6520" s="16" t="s">
        <v>7332</v>
      </c>
      <c r="C6520" s="16" t="s">
        <v>948</v>
      </c>
      <c r="D6520" s="16" t="s">
        <v>707</v>
      </c>
      <c r="E6520" s="16">
        <v>2024.0</v>
      </c>
      <c r="F6520" s="16">
        <v>48.3697</v>
      </c>
      <c r="G6520" s="16">
        <v>11.0387</v>
      </c>
      <c r="H6520" s="15"/>
      <c r="I6520" s="15"/>
    </row>
    <row r="6521">
      <c r="A6521" s="18">
        <v>45665.0</v>
      </c>
      <c r="B6521" s="16" t="s">
        <v>7333</v>
      </c>
      <c r="C6521" s="16">
        <v>1.0</v>
      </c>
      <c r="D6521" s="16" t="s">
        <v>707</v>
      </c>
      <c r="E6521" s="16">
        <v>2024.0</v>
      </c>
      <c r="F6521" s="16">
        <v>49.4956</v>
      </c>
      <c r="G6521" s="16">
        <v>10.9144</v>
      </c>
      <c r="H6521" s="15"/>
      <c r="I6521" s="15"/>
    </row>
    <row r="6522">
      <c r="A6522" s="18">
        <v>45665.0</v>
      </c>
      <c r="B6522" s="16" t="s">
        <v>7334</v>
      </c>
      <c r="C6522" s="16" t="s">
        <v>6171</v>
      </c>
      <c r="D6522" s="16" t="s">
        <v>707</v>
      </c>
      <c r="E6522" s="16">
        <v>2024.0</v>
      </c>
      <c r="F6522" s="16">
        <v>48.2497</v>
      </c>
      <c r="G6522" s="16">
        <v>9.3334</v>
      </c>
      <c r="H6522" s="15"/>
      <c r="I6522" s="15"/>
    </row>
    <row r="6523">
      <c r="A6523" s="18">
        <v>45665.0</v>
      </c>
      <c r="B6523" s="16" t="s">
        <v>7335</v>
      </c>
      <c r="C6523" s="16" t="s">
        <v>982</v>
      </c>
      <c r="D6523" s="16" t="s">
        <v>707</v>
      </c>
      <c r="E6523" s="16">
        <v>2024.0</v>
      </c>
      <c r="F6523" s="16">
        <v>48.2536</v>
      </c>
      <c r="G6523" s="16">
        <v>9.3298</v>
      </c>
      <c r="H6523" s="15"/>
      <c r="I6523" s="15"/>
    </row>
    <row r="6524">
      <c r="A6524" s="18">
        <v>45665.0</v>
      </c>
      <c r="B6524" s="16" t="s">
        <v>7336</v>
      </c>
      <c r="C6524" s="16" t="s">
        <v>2331</v>
      </c>
      <c r="D6524" s="16" t="s">
        <v>707</v>
      </c>
      <c r="E6524" s="16">
        <v>2024.0</v>
      </c>
      <c r="F6524" s="16">
        <v>48.5</v>
      </c>
      <c r="G6524" s="16">
        <v>8.6</v>
      </c>
      <c r="H6524" s="15"/>
      <c r="I6524" s="15"/>
    </row>
    <row r="6525">
      <c r="A6525" s="18">
        <v>45665.0</v>
      </c>
      <c r="B6525" s="16" t="s">
        <v>7337</v>
      </c>
      <c r="C6525" s="16" t="s">
        <v>1094</v>
      </c>
      <c r="D6525" s="16" t="s">
        <v>707</v>
      </c>
      <c r="E6525" s="16">
        <v>2024.0</v>
      </c>
      <c r="F6525" s="16">
        <v>48.5326</v>
      </c>
      <c r="G6525" s="16">
        <v>8.6729</v>
      </c>
      <c r="H6525" s="15"/>
      <c r="I6525" s="15"/>
    </row>
    <row r="6526">
      <c r="A6526" s="18">
        <v>45665.0</v>
      </c>
      <c r="B6526" s="16" t="s">
        <v>7338</v>
      </c>
      <c r="C6526" s="16">
        <v>9.0</v>
      </c>
      <c r="D6526" s="16" t="s">
        <v>707</v>
      </c>
      <c r="E6526" s="16">
        <v>2024.0</v>
      </c>
      <c r="F6526" s="16">
        <v>49.0093</v>
      </c>
      <c r="G6526" s="16">
        <v>11.5864</v>
      </c>
      <c r="H6526" s="15"/>
      <c r="I6526" s="15"/>
    </row>
    <row r="6527">
      <c r="A6527" s="18">
        <v>45665.0</v>
      </c>
      <c r="B6527" s="16" t="s">
        <v>7339</v>
      </c>
      <c r="C6527" s="16" t="s">
        <v>2150</v>
      </c>
      <c r="D6527" s="16" t="s">
        <v>707</v>
      </c>
      <c r="E6527" s="16">
        <v>2024.0</v>
      </c>
      <c r="F6527" s="16">
        <v>52.8249</v>
      </c>
      <c r="G6527" s="16">
        <v>11.3415</v>
      </c>
      <c r="H6527" s="15"/>
      <c r="I6527" s="15"/>
    </row>
    <row r="6528">
      <c r="A6528" s="18">
        <v>45665.0</v>
      </c>
      <c r="B6528" s="16" t="s">
        <v>7340</v>
      </c>
      <c r="C6528" s="16" t="s">
        <v>1085</v>
      </c>
      <c r="D6528" s="16" t="s">
        <v>707</v>
      </c>
      <c r="E6528" s="16">
        <v>2024.0</v>
      </c>
      <c r="F6528" s="16">
        <v>50.0795</v>
      </c>
      <c r="G6528" s="16">
        <v>10.544</v>
      </c>
      <c r="H6528" s="15"/>
      <c r="I6528" s="15"/>
    </row>
    <row r="6529">
      <c r="A6529" s="18">
        <v>45665.0</v>
      </c>
      <c r="B6529" s="16" t="s">
        <v>7341</v>
      </c>
      <c r="C6529" s="16">
        <v>16.0</v>
      </c>
      <c r="D6529" s="16" t="s">
        <v>707</v>
      </c>
      <c r="E6529" s="16">
        <v>2024.0</v>
      </c>
      <c r="F6529" s="16">
        <v>49.5561</v>
      </c>
      <c r="G6529" s="16">
        <v>10.6307</v>
      </c>
      <c r="H6529" s="15"/>
      <c r="I6529" s="15"/>
    </row>
    <row r="6530">
      <c r="A6530" s="18">
        <v>45665.0</v>
      </c>
      <c r="B6530" s="16" t="s">
        <v>7342</v>
      </c>
      <c r="C6530" s="16" t="s">
        <v>1085</v>
      </c>
      <c r="D6530" s="16" t="s">
        <v>707</v>
      </c>
      <c r="E6530" s="16">
        <v>2024.0</v>
      </c>
      <c r="F6530" s="16">
        <v>48.438</v>
      </c>
      <c r="G6530" s="16">
        <v>7.9027</v>
      </c>
      <c r="H6530" s="15"/>
      <c r="I6530" s="15"/>
    </row>
    <row r="6531">
      <c r="A6531" s="18">
        <v>45665.0</v>
      </c>
      <c r="B6531" s="16" t="s">
        <v>7343</v>
      </c>
      <c r="C6531" s="16" t="s">
        <v>1101</v>
      </c>
      <c r="D6531" s="16" t="s">
        <v>707</v>
      </c>
      <c r="E6531" s="16">
        <v>2024.0</v>
      </c>
      <c r="F6531" s="16">
        <v>48.4462</v>
      </c>
      <c r="G6531" s="16">
        <v>7.9081</v>
      </c>
      <c r="H6531" s="15"/>
      <c r="I6531" s="15"/>
    </row>
    <row r="6532">
      <c r="A6532" s="18">
        <v>45665.0</v>
      </c>
      <c r="B6532" s="16" t="s">
        <v>7344</v>
      </c>
      <c r="C6532" s="16" t="s">
        <v>990</v>
      </c>
      <c r="D6532" s="16" t="s">
        <v>707</v>
      </c>
      <c r="E6532" s="16">
        <v>2024.0</v>
      </c>
      <c r="F6532" s="16">
        <v>48.8707</v>
      </c>
      <c r="G6532" s="16">
        <v>13.5217</v>
      </c>
      <c r="H6532" s="15"/>
      <c r="I6532" s="15"/>
    </row>
    <row r="6533">
      <c r="A6533" s="18">
        <v>45665.0</v>
      </c>
      <c r="B6533" s="16" t="s">
        <v>7345</v>
      </c>
      <c r="C6533" s="16" t="s">
        <v>1609</v>
      </c>
      <c r="D6533" s="16" t="s">
        <v>707</v>
      </c>
      <c r="E6533" s="16">
        <v>2024.0</v>
      </c>
      <c r="F6533" s="16">
        <v>50.3823</v>
      </c>
      <c r="G6533" s="16">
        <v>10.4185</v>
      </c>
      <c r="H6533" s="15"/>
      <c r="I6533" s="15"/>
    </row>
    <row r="6534">
      <c r="A6534" s="18">
        <v>45665.0</v>
      </c>
      <c r="B6534" s="16" t="s">
        <v>7346</v>
      </c>
      <c r="C6534" s="16" t="s">
        <v>1581</v>
      </c>
      <c r="D6534" s="16" t="s">
        <v>707</v>
      </c>
      <c r="E6534" s="16">
        <v>2024.0</v>
      </c>
      <c r="F6534" s="16">
        <v>49.4838</v>
      </c>
      <c r="G6534" s="16">
        <v>10.4038</v>
      </c>
      <c r="H6534" s="15"/>
      <c r="I6534" s="15"/>
    </row>
    <row r="6535">
      <c r="A6535" s="18">
        <v>45665.0</v>
      </c>
      <c r="B6535" s="16" t="s">
        <v>7347</v>
      </c>
      <c r="C6535" s="16" t="s">
        <v>965</v>
      </c>
      <c r="D6535" s="16" t="s">
        <v>707</v>
      </c>
      <c r="E6535" s="16">
        <v>2024.0</v>
      </c>
      <c r="F6535" s="16">
        <v>50.1082</v>
      </c>
      <c r="G6535" s="16">
        <v>10.5467</v>
      </c>
      <c r="H6535" s="15"/>
      <c r="I6535" s="15"/>
    </row>
    <row r="6536">
      <c r="A6536" s="18">
        <v>45665.0</v>
      </c>
      <c r="B6536" s="16" t="s">
        <v>7348</v>
      </c>
      <c r="C6536" s="16" t="s">
        <v>7013</v>
      </c>
      <c r="D6536" s="16" t="s">
        <v>707</v>
      </c>
      <c r="E6536" s="16">
        <v>2024.0</v>
      </c>
      <c r="F6536" s="16">
        <v>50.365</v>
      </c>
      <c r="G6536" s="16">
        <v>6.5606</v>
      </c>
      <c r="H6536" s="15"/>
      <c r="I6536" s="15"/>
    </row>
    <row r="6537">
      <c r="A6537" s="18">
        <v>45665.0</v>
      </c>
      <c r="B6537" s="16" t="s">
        <v>7349</v>
      </c>
      <c r="C6537" s="16" t="s">
        <v>1598</v>
      </c>
      <c r="D6537" s="16" t="s">
        <v>707</v>
      </c>
      <c r="E6537" s="16">
        <v>2024.0</v>
      </c>
      <c r="F6537" s="16">
        <v>52.0159</v>
      </c>
      <c r="G6537" s="16">
        <v>10.4494</v>
      </c>
      <c r="H6537" s="15"/>
      <c r="I6537" s="15"/>
    </row>
    <row r="6538">
      <c r="A6538" s="18">
        <v>45665.0</v>
      </c>
      <c r="B6538" s="16" t="s">
        <v>7350</v>
      </c>
      <c r="C6538" s="16" t="s">
        <v>3223</v>
      </c>
      <c r="D6538" s="16" t="s">
        <v>707</v>
      </c>
      <c r="E6538" s="16">
        <v>2024.0</v>
      </c>
      <c r="F6538" s="16">
        <v>50.128</v>
      </c>
      <c r="G6538" s="16">
        <v>7.8462</v>
      </c>
      <c r="H6538" s="15"/>
      <c r="I6538" s="15"/>
    </row>
    <row r="6539">
      <c r="A6539" s="18">
        <v>45665.0</v>
      </c>
      <c r="B6539" s="16" t="s">
        <v>7351</v>
      </c>
      <c r="C6539" s="16">
        <v>12.0</v>
      </c>
      <c r="D6539" s="16" t="s">
        <v>707</v>
      </c>
      <c r="E6539" s="16">
        <v>2024.0</v>
      </c>
      <c r="F6539" s="16">
        <v>53.3089</v>
      </c>
      <c r="G6539" s="16">
        <v>12.7629</v>
      </c>
      <c r="H6539" s="15"/>
      <c r="I6539" s="15"/>
    </row>
    <row r="6540">
      <c r="A6540" s="18">
        <v>45665.0</v>
      </c>
      <c r="B6540" s="16" t="s">
        <v>7352</v>
      </c>
      <c r="C6540" s="16">
        <v>12.0</v>
      </c>
      <c r="D6540" s="16" t="s">
        <v>707</v>
      </c>
      <c r="E6540" s="16">
        <v>2024.0</v>
      </c>
      <c r="F6540" s="16">
        <v>52.1862</v>
      </c>
      <c r="G6540" s="16">
        <v>12.1525</v>
      </c>
      <c r="H6540" s="15"/>
      <c r="I6540" s="15"/>
    </row>
    <row r="6541">
      <c r="A6541" s="18">
        <v>45665.0</v>
      </c>
      <c r="B6541" s="16" t="s">
        <v>7353</v>
      </c>
      <c r="C6541" s="16" t="s">
        <v>1341</v>
      </c>
      <c r="D6541" s="16" t="s">
        <v>707</v>
      </c>
      <c r="E6541" s="16">
        <v>2024.0</v>
      </c>
      <c r="F6541" s="16">
        <v>49.5891</v>
      </c>
      <c r="G6541" s="16">
        <v>12.4279</v>
      </c>
      <c r="H6541" s="15"/>
      <c r="I6541" s="15"/>
    </row>
    <row r="6542">
      <c r="A6542" s="18">
        <v>45665.0</v>
      </c>
      <c r="B6542" s="16" t="s">
        <v>7354</v>
      </c>
      <c r="C6542" s="16" t="s">
        <v>1282</v>
      </c>
      <c r="D6542" s="16" t="s">
        <v>707</v>
      </c>
      <c r="E6542" s="16">
        <v>2024.0</v>
      </c>
      <c r="F6542" s="16">
        <v>49.1175</v>
      </c>
      <c r="G6542" s="16">
        <v>10.2311</v>
      </c>
      <c r="H6542" s="15"/>
      <c r="I6542" s="15"/>
    </row>
    <row r="6543">
      <c r="A6543" s="18">
        <v>45665.0</v>
      </c>
      <c r="B6543" s="16" t="s">
        <v>7355</v>
      </c>
      <c r="C6543" s="16" t="s">
        <v>1039</v>
      </c>
      <c r="D6543" s="16" t="s">
        <v>707</v>
      </c>
      <c r="E6543" s="16">
        <v>2024.0</v>
      </c>
      <c r="F6543" s="16">
        <v>49.3779</v>
      </c>
      <c r="G6543" s="16">
        <v>10.2192</v>
      </c>
      <c r="H6543" s="15"/>
      <c r="I6543" s="15"/>
    </row>
    <row r="6544">
      <c r="A6544" s="18">
        <v>45665.0</v>
      </c>
      <c r="B6544" s="16" t="s">
        <v>7356</v>
      </c>
      <c r="C6544" s="16">
        <v>9.0</v>
      </c>
      <c r="D6544" s="16" t="s">
        <v>707</v>
      </c>
      <c r="E6544" s="16">
        <v>2024.0</v>
      </c>
      <c r="F6544" s="16">
        <v>49.5491</v>
      </c>
      <c r="G6544" s="16">
        <v>10.5837</v>
      </c>
      <c r="H6544" s="15"/>
      <c r="I6544" s="15"/>
    </row>
    <row r="6545">
      <c r="A6545" s="18">
        <v>45665.0</v>
      </c>
      <c r="B6545" s="16" t="s">
        <v>7357</v>
      </c>
      <c r="C6545" s="16" t="s">
        <v>1085</v>
      </c>
      <c r="D6545" s="16" t="s">
        <v>707</v>
      </c>
      <c r="E6545" s="16">
        <v>2024.0</v>
      </c>
      <c r="F6545" s="16">
        <v>49.6874</v>
      </c>
      <c r="G6545" s="16">
        <v>11.3664</v>
      </c>
      <c r="H6545" s="15"/>
      <c r="I6545" s="15"/>
    </row>
    <row r="6546">
      <c r="A6546" s="18">
        <v>45665.0</v>
      </c>
      <c r="B6546" s="16" t="s">
        <v>7358</v>
      </c>
      <c r="C6546" s="16" t="s">
        <v>2668</v>
      </c>
      <c r="D6546" s="16" t="s">
        <v>707</v>
      </c>
      <c r="E6546" s="16">
        <v>2024.0</v>
      </c>
      <c r="F6546" s="16">
        <v>54.721</v>
      </c>
      <c r="G6546" s="16">
        <v>9.3973</v>
      </c>
      <c r="H6546" s="15"/>
      <c r="I6546" s="15"/>
    </row>
    <row r="6547">
      <c r="A6547" s="18">
        <v>45665.0</v>
      </c>
      <c r="B6547" s="16" t="s">
        <v>7359</v>
      </c>
      <c r="C6547" s="16">
        <v>9.0</v>
      </c>
      <c r="D6547" s="16" t="s">
        <v>707</v>
      </c>
      <c r="E6547" s="16">
        <v>2024.0</v>
      </c>
      <c r="F6547" s="16">
        <v>47.7458</v>
      </c>
      <c r="G6547" s="16">
        <v>10.7369</v>
      </c>
      <c r="H6547" s="15"/>
      <c r="I6547" s="15"/>
    </row>
    <row r="6548">
      <c r="A6548" s="18">
        <v>45665.0</v>
      </c>
      <c r="B6548" s="16" t="s">
        <v>7360</v>
      </c>
      <c r="C6548" s="16" t="s">
        <v>1873</v>
      </c>
      <c r="D6548" s="16" t="s">
        <v>707</v>
      </c>
      <c r="E6548" s="16">
        <v>2024.0</v>
      </c>
      <c r="F6548" s="16">
        <v>49.0</v>
      </c>
      <c r="G6548" s="16">
        <v>11.6924</v>
      </c>
      <c r="H6548" s="15"/>
      <c r="I6548" s="15"/>
    </row>
    <row r="6549">
      <c r="A6549" s="18">
        <v>45665.0</v>
      </c>
      <c r="B6549" s="16" t="s">
        <v>7361</v>
      </c>
      <c r="C6549" s="16">
        <v>9.0</v>
      </c>
      <c r="D6549" s="16" t="s">
        <v>707</v>
      </c>
      <c r="E6549" s="16">
        <v>2024.0</v>
      </c>
      <c r="F6549" s="16">
        <v>49.0113</v>
      </c>
      <c r="G6549" s="16">
        <v>11.6768</v>
      </c>
      <c r="H6549" s="15"/>
      <c r="I6549" s="15"/>
    </row>
    <row r="6550">
      <c r="A6550" s="18">
        <v>45665.0</v>
      </c>
      <c r="B6550" s="16" t="s">
        <v>7362</v>
      </c>
      <c r="C6550" s="16" t="s">
        <v>1751</v>
      </c>
      <c r="D6550" s="16" t="s">
        <v>707</v>
      </c>
      <c r="E6550" s="16">
        <v>2024.0</v>
      </c>
      <c r="F6550" s="16">
        <v>49.0892</v>
      </c>
      <c r="G6550" s="16">
        <v>10.9895</v>
      </c>
      <c r="H6550" s="15"/>
      <c r="I6550" s="15"/>
    </row>
    <row r="6551">
      <c r="A6551" s="18">
        <v>45665.0</v>
      </c>
      <c r="B6551" s="16" t="s">
        <v>7363</v>
      </c>
      <c r="C6551" s="16" t="s">
        <v>6175</v>
      </c>
      <c r="D6551" s="16" t="s">
        <v>707</v>
      </c>
      <c r="E6551" s="16">
        <v>2024.0</v>
      </c>
      <c r="F6551" s="16">
        <v>49.0781</v>
      </c>
      <c r="G6551" s="16">
        <v>11.5387</v>
      </c>
      <c r="H6551" s="15"/>
      <c r="I6551" s="15"/>
    </row>
    <row r="6552">
      <c r="A6552" s="18">
        <v>45665.0</v>
      </c>
      <c r="B6552" s="16" t="s">
        <v>7364</v>
      </c>
      <c r="C6552" s="16" t="s">
        <v>3505</v>
      </c>
      <c r="D6552" s="16" t="s">
        <v>707</v>
      </c>
      <c r="E6552" s="16">
        <v>2024.0</v>
      </c>
      <c r="F6552" s="16">
        <v>50.1242</v>
      </c>
      <c r="G6552" s="16">
        <v>10.0731</v>
      </c>
      <c r="H6552" s="15"/>
      <c r="I6552" s="15"/>
    </row>
    <row r="6553">
      <c r="A6553" s="18">
        <v>45665.0</v>
      </c>
      <c r="B6553" s="16" t="s">
        <v>7365</v>
      </c>
      <c r="C6553" s="16" t="s">
        <v>1051</v>
      </c>
      <c r="D6553" s="16" t="s">
        <v>707</v>
      </c>
      <c r="E6553" s="16">
        <v>2024.0</v>
      </c>
      <c r="F6553" s="16">
        <v>50.123</v>
      </c>
      <c r="G6553" s="16">
        <v>10.0746</v>
      </c>
      <c r="H6553" s="15"/>
      <c r="I6553" s="15"/>
    </row>
    <row r="6554">
      <c r="A6554" s="18">
        <v>45665.0</v>
      </c>
      <c r="B6554" s="16" t="s">
        <v>7366</v>
      </c>
      <c r="C6554" s="16" t="s">
        <v>1461</v>
      </c>
      <c r="D6554" s="16" t="s">
        <v>707</v>
      </c>
      <c r="E6554" s="16">
        <v>2024.0</v>
      </c>
      <c r="F6554" s="16">
        <v>47.9578</v>
      </c>
      <c r="G6554" s="16">
        <v>10.0386</v>
      </c>
      <c r="H6554" s="15"/>
      <c r="I6554" s="15"/>
    </row>
    <row r="6555">
      <c r="A6555" s="18">
        <v>45665.0</v>
      </c>
      <c r="B6555" s="16" t="s">
        <v>7367</v>
      </c>
      <c r="C6555" s="16">
        <v>5.0</v>
      </c>
      <c r="D6555" s="16" t="s">
        <v>707</v>
      </c>
      <c r="E6555" s="16">
        <v>2024.0</v>
      </c>
      <c r="F6555" s="16">
        <v>50.2598</v>
      </c>
      <c r="G6555" s="16">
        <v>11.0226</v>
      </c>
      <c r="H6555" s="15"/>
      <c r="I6555" s="15"/>
    </row>
    <row r="6556">
      <c r="A6556" s="18">
        <v>45665.0</v>
      </c>
      <c r="B6556" s="16" t="s">
        <v>7368</v>
      </c>
      <c r="C6556" s="16" t="s">
        <v>2392</v>
      </c>
      <c r="D6556" s="16" t="s">
        <v>707</v>
      </c>
      <c r="E6556" s="16">
        <v>2024.0</v>
      </c>
      <c r="F6556" s="16">
        <v>49.1265</v>
      </c>
      <c r="G6556" s="16">
        <v>12.2315</v>
      </c>
      <c r="H6556" s="15"/>
      <c r="I6556" s="15"/>
    </row>
    <row r="6557">
      <c r="A6557" s="18">
        <v>45665.0</v>
      </c>
      <c r="B6557" s="16" t="s">
        <v>7369</v>
      </c>
      <c r="C6557" s="16" t="s">
        <v>2893</v>
      </c>
      <c r="D6557" s="16" t="s">
        <v>707</v>
      </c>
      <c r="E6557" s="16">
        <v>2024.0</v>
      </c>
      <c r="F6557" s="16">
        <v>50.3701</v>
      </c>
      <c r="G6557" s="16">
        <v>10.2928</v>
      </c>
      <c r="H6557" s="15"/>
      <c r="I6557" s="15"/>
    </row>
    <row r="6558">
      <c r="A6558" s="18">
        <v>45665.0</v>
      </c>
      <c r="B6558" s="16" t="s">
        <v>7370</v>
      </c>
      <c r="C6558" s="16">
        <v>10.0</v>
      </c>
      <c r="D6558" s="16" t="s">
        <v>707</v>
      </c>
      <c r="E6558" s="16">
        <v>2024.0</v>
      </c>
      <c r="F6558" s="16">
        <v>49.3975</v>
      </c>
      <c r="G6558" s="16">
        <v>10.7623</v>
      </c>
      <c r="H6558" s="15"/>
      <c r="I6558" s="15"/>
    </row>
    <row r="6559">
      <c r="A6559" s="18">
        <v>45665.0</v>
      </c>
      <c r="B6559" s="16" t="s">
        <v>7371</v>
      </c>
      <c r="C6559" s="16" t="s">
        <v>4064</v>
      </c>
      <c r="D6559" s="16" t="s">
        <v>707</v>
      </c>
      <c r="E6559" s="16">
        <v>2024.0</v>
      </c>
      <c r="F6559" s="16">
        <v>49.1003</v>
      </c>
      <c r="G6559" s="16">
        <v>10.2157</v>
      </c>
      <c r="H6559" s="15"/>
      <c r="I6559" s="15"/>
    </row>
    <row r="6560">
      <c r="A6560" s="18">
        <v>45665.0</v>
      </c>
      <c r="B6560" s="16" t="s">
        <v>7372</v>
      </c>
      <c r="C6560" s="16" t="s">
        <v>5665</v>
      </c>
      <c r="D6560" s="16" t="s">
        <v>707</v>
      </c>
      <c r="E6560" s="16">
        <v>2024.0</v>
      </c>
      <c r="F6560" s="16">
        <v>50.1551</v>
      </c>
      <c r="G6560" s="16">
        <v>10.3085</v>
      </c>
      <c r="H6560" s="15"/>
      <c r="I6560" s="15"/>
    </row>
    <row r="6561">
      <c r="A6561" s="18">
        <v>45665.0</v>
      </c>
      <c r="B6561" s="16" t="s">
        <v>7373</v>
      </c>
      <c r="C6561" s="16" t="s">
        <v>1351</v>
      </c>
      <c r="D6561" s="16" t="s">
        <v>707</v>
      </c>
      <c r="E6561" s="16">
        <v>2024.0</v>
      </c>
      <c r="F6561" s="16">
        <v>49.5189</v>
      </c>
      <c r="G6561" s="16">
        <v>10.1963</v>
      </c>
      <c r="H6561" s="15"/>
      <c r="I6561" s="15"/>
    </row>
    <row r="6562">
      <c r="A6562" s="18">
        <v>45665.0</v>
      </c>
      <c r="B6562" s="16" t="s">
        <v>1971</v>
      </c>
      <c r="C6562" s="16" t="s">
        <v>1051</v>
      </c>
      <c r="D6562" s="16" t="s">
        <v>707</v>
      </c>
      <c r="E6562" s="16">
        <v>2024.0</v>
      </c>
      <c r="F6562" s="16">
        <v>49.8657</v>
      </c>
      <c r="G6562" s="16">
        <v>11.7922</v>
      </c>
      <c r="H6562" s="15"/>
      <c r="I6562" s="15"/>
    </row>
    <row r="6563">
      <c r="A6563" s="18">
        <v>45665.0</v>
      </c>
      <c r="B6563" s="16" t="s">
        <v>7374</v>
      </c>
      <c r="C6563" s="16">
        <v>7.0</v>
      </c>
      <c r="D6563" s="16" t="s">
        <v>707</v>
      </c>
      <c r="E6563" s="16">
        <v>2024.0</v>
      </c>
      <c r="F6563" s="16">
        <v>53.5124</v>
      </c>
      <c r="G6563" s="16">
        <v>11.4228</v>
      </c>
      <c r="H6563" s="15"/>
      <c r="I6563" s="15"/>
    </row>
    <row r="6564">
      <c r="A6564" s="18">
        <v>45665.0</v>
      </c>
      <c r="B6564" s="16" t="s">
        <v>7375</v>
      </c>
      <c r="C6564" s="16" t="s">
        <v>951</v>
      </c>
      <c r="D6564" s="16" t="s">
        <v>707</v>
      </c>
      <c r="E6564" s="16">
        <v>2024.0</v>
      </c>
      <c r="F6564" s="16">
        <v>49.7586</v>
      </c>
      <c r="G6564" s="16">
        <v>10.0562</v>
      </c>
      <c r="H6564" s="15"/>
      <c r="I6564" s="15"/>
    </row>
    <row r="6565">
      <c r="A6565" s="18">
        <v>45665.0</v>
      </c>
      <c r="B6565" s="16" t="s">
        <v>7376</v>
      </c>
      <c r="C6565" s="16">
        <v>2.0</v>
      </c>
      <c r="D6565" s="16" t="s">
        <v>707</v>
      </c>
      <c r="E6565" s="16">
        <v>2024.0</v>
      </c>
      <c r="F6565" s="16">
        <v>50.3341</v>
      </c>
      <c r="G6565" s="16">
        <v>10.7887</v>
      </c>
      <c r="H6565" s="15"/>
      <c r="I6565" s="15"/>
    </row>
    <row r="6566">
      <c r="A6566" s="18">
        <v>45665.0</v>
      </c>
      <c r="B6566" s="16" t="s">
        <v>7377</v>
      </c>
      <c r="C6566" s="16" t="s">
        <v>1037</v>
      </c>
      <c r="D6566" s="16" t="s">
        <v>707</v>
      </c>
      <c r="E6566" s="16">
        <v>2024.0</v>
      </c>
      <c r="F6566" s="16">
        <v>48.012</v>
      </c>
      <c r="G6566" s="16">
        <v>10.2491</v>
      </c>
      <c r="H6566" s="15"/>
      <c r="I6566" s="15"/>
    </row>
    <row r="6567">
      <c r="A6567" s="18">
        <v>45665.0</v>
      </c>
      <c r="B6567" s="16" t="s">
        <v>7378</v>
      </c>
      <c r="C6567" s="16" t="s">
        <v>2184</v>
      </c>
      <c r="D6567" s="16" t="s">
        <v>707</v>
      </c>
      <c r="E6567" s="16">
        <v>2024.0</v>
      </c>
      <c r="F6567" s="16">
        <v>48.2567</v>
      </c>
      <c r="G6567" s="16">
        <v>10.504</v>
      </c>
      <c r="H6567" s="15"/>
      <c r="I6567" s="15"/>
    </row>
    <row r="6568">
      <c r="A6568" s="18">
        <v>45665.0</v>
      </c>
      <c r="B6568" s="16" t="s">
        <v>7379</v>
      </c>
      <c r="C6568" s="16" t="s">
        <v>1051</v>
      </c>
      <c r="D6568" s="16" t="s">
        <v>707</v>
      </c>
      <c r="E6568" s="16">
        <v>2024.0</v>
      </c>
      <c r="F6568" s="16">
        <v>53.0598</v>
      </c>
      <c r="G6568" s="16">
        <v>8.9039</v>
      </c>
      <c r="H6568" s="15"/>
      <c r="I6568" s="15"/>
    </row>
    <row r="6569">
      <c r="A6569" s="18">
        <v>45665.0</v>
      </c>
      <c r="B6569" s="16" t="s">
        <v>7380</v>
      </c>
      <c r="C6569" s="16" t="s">
        <v>948</v>
      </c>
      <c r="D6569" s="16" t="s">
        <v>707</v>
      </c>
      <c r="E6569" s="16">
        <v>2024.0</v>
      </c>
      <c r="F6569" s="16">
        <v>48.2423</v>
      </c>
      <c r="G6569" s="16">
        <v>8.8443</v>
      </c>
      <c r="H6569" s="15"/>
      <c r="I6569" s="15"/>
    </row>
    <row r="6570">
      <c r="A6570" s="18">
        <v>45665.0</v>
      </c>
      <c r="B6570" s="16" t="s">
        <v>7381</v>
      </c>
      <c r="C6570" s="16" t="s">
        <v>946</v>
      </c>
      <c r="D6570" s="16" t="s">
        <v>707</v>
      </c>
      <c r="E6570" s="16">
        <v>2024.0</v>
      </c>
      <c r="F6570" s="16">
        <v>48.2418</v>
      </c>
      <c r="G6570" s="16">
        <v>8.8429</v>
      </c>
      <c r="H6570" s="15"/>
      <c r="I6570" s="15"/>
    </row>
    <row r="6571">
      <c r="A6571" s="18">
        <v>45665.0</v>
      </c>
      <c r="B6571" s="16" t="s">
        <v>7382</v>
      </c>
      <c r="C6571" s="16" t="s">
        <v>946</v>
      </c>
      <c r="D6571" s="16" t="s">
        <v>707</v>
      </c>
      <c r="E6571" s="16">
        <v>2024.0</v>
      </c>
      <c r="F6571" s="16">
        <v>47.7066</v>
      </c>
      <c r="G6571" s="16">
        <v>10.3306</v>
      </c>
      <c r="H6571" s="15"/>
      <c r="I6571" s="15"/>
    </row>
    <row r="6572">
      <c r="A6572" s="18">
        <v>45665.0</v>
      </c>
      <c r="B6572" s="16" t="s">
        <v>7383</v>
      </c>
      <c r="C6572" s="16">
        <v>3.0</v>
      </c>
      <c r="D6572" s="16" t="s">
        <v>707</v>
      </c>
      <c r="E6572" s="16">
        <v>2024.0</v>
      </c>
      <c r="F6572" s="16">
        <v>47.923</v>
      </c>
      <c r="G6572" s="16">
        <v>9.237</v>
      </c>
      <c r="H6572" s="15"/>
      <c r="I6572" s="15"/>
    </row>
    <row r="6573">
      <c r="A6573" s="18">
        <v>45665.0</v>
      </c>
      <c r="B6573" s="16" t="s">
        <v>7384</v>
      </c>
      <c r="C6573" s="16" t="s">
        <v>959</v>
      </c>
      <c r="D6573" s="16" t="s">
        <v>707</v>
      </c>
      <c r="E6573" s="16">
        <v>2024.0</v>
      </c>
      <c r="F6573" s="16">
        <v>48.6521</v>
      </c>
      <c r="G6573" s="16">
        <v>11.4773</v>
      </c>
      <c r="H6573" s="15"/>
      <c r="I6573" s="15"/>
    </row>
    <row r="6574">
      <c r="A6574" s="18">
        <v>45665.0</v>
      </c>
      <c r="B6574" s="16" t="s">
        <v>7385</v>
      </c>
      <c r="C6574" s="16" t="s">
        <v>1055</v>
      </c>
      <c r="D6574" s="16" t="s">
        <v>707</v>
      </c>
      <c r="E6574" s="16">
        <v>2024.0</v>
      </c>
      <c r="F6574" s="16">
        <v>47.7829</v>
      </c>
      <c r="G6574" s="16">
        <v>9.704</v>
      </c>
      <c r="H6574" s="15"/>
      <c r="I6574" s="15"/>
    </row>
    <row r="6575">
      <c r="A6575" s="18">
        <v>45665.0</v>
      </c>
      <c r="B6575" s="16" t="s">
        <v>7386</v>
      </c>
      <c r="C6575" s="16" t="s">
        <v>1039</v>
      </c>
      <c r="D6575" s="16" t="s">
        <v>707</v>
      </c>
      <c r="E6575" s="16">
        <v>2024.0</v>
      </c>
      <c r="F6575" s="16">
        <v>51.3537</v>
      </c>
      <c r="G6575" s="16">
        <v>13.3343</v>
      </c>
      <c r="H6575" s="15"/>
      <c r="I6575" s="15"/>
    </row>
    <row r="6576">
      <c r="A6576" s="18">
        <v>45665.0</v>
      </c>
      <c r="B6576" s="16" t="s">
        <v>7387</v>
      </c>
      <c r="C6576" s="16" t="s">
        <v>1277</v>
      </c>
      <c r="D6576" s="16" t="s">
        <v>707</v>
      </c>
      <c r="E6576" s="16">
        <v>2024.0</v>
      </c>
      <c r="F6576" s="16">
        <v>50.712</v>
      </c>
      <c r="G6576" s="16">
        <v>12.5172</v>
      </c>
      <c r="H6576" s="15"/>
      <c r="I6576" s="15"/>
    </row>
    <row r="6577">
      <c r="A6577" s="18">
        <v>45665.0</v>
      </c>
      <c r="B6577" s="16" t="s">
        <v>7388</v>
      </c>
      <c r="C6577" s="16" t="s">
        <v>6643</v>
      </c>
      <c r="D6577" s="16" t="s">
        <v>707</v>
      </c>
      <c r="E6577" s="16">
        <v>2024.0</v>
      </c>
      <c r="F6577" s="16">
        <v>48.5642</v>
      </c>
      <c r="G6577" s="16">
        <v>9.841</v>
      </c>
      <c r="H6577" s="15"/>
      <c r="I6577" s="15"/>
    </row>
    <row r="6578">
      <c r="A6578" s="18">
        <v>45329.0</v>
      </c>
      <c r="B6578" s="16" t="s">
        <v>7389</v>
      </c>
      <c r="C6578" s="16" t="s">
        <v>2546</v>
      </c>
      <c r="D6578" s="16" t="s">
        <v>7390</v>
      </c>
      <c r="E6578" s="16">
        <v>2025.0</v>
      </c>
      <c r="F6578" s="16">
        <v>53.5165</v>
      </c>
      <c r="G6578" s="16">
        <v>11.4155</v>
      </c>
      <c r="H6578" s="15"/>
      <c r="I6578" s="15"/>
    </row>
    <row r="6579">
      <c r="A6579" s="17">
        <v>45636.0</v>
      </c>
      <c r="B6579" s="16" t="s">
        <v>7391</v>
      </c>
      <c r="C6579" s="16">
        <v>4.0</v>
      </c>
      <c r="D6579" s="16" t="s">
        <v>7390</v>
      </c>
      <c r="E6579" s="16">
        <v>2025.0</v>
      </c>
      <c r="F6579" s="16">
        <v>53.9879</v>
      </c>
      <c r="G6579" s="16">
        <v>9.377</v>
      </c>
      <c r="H6579" s="15"/>
      <c r="I6579" s="15"/>
    </row>
    <row r="6580">
      <c r="A6580" s="17">
        <v>45636.0</v>
      </c>
      <c r="B6580" s="16" t="s">
        <v>7392</v>
      </c>
      <c r="C6580" s="16">
        <v>5.0</v>
      </c>
      <c r="D6580" s="16" t="s">
        <v>7390</v>
      </c>
      <c r="E6580" s="16">
        <v>2025.0</v>
      </c>
      <c r="F6580" s="16">
        <v>52.35</v>
      </c>
      <c r="G6580" s="16">
        <v>8.728</v>
      </c>
      <c r="H6580" s="15"/>
      <c r="I6580" s="15"/>
    </row>
    <row r="6581">
      <c r="A6581" s="17">
        <v>45636.0</v>
      </c>
      <c r="B6581" s="16" t="s">
        <v>7393</v>
      </c>
      <c r="C6581" s="16">
        <v>8.0</v>
      </c>
      <c r="D6581" s="16" t="s">
        <v>7390</v>
      </c>
      <c r="E6581" s="16">
        <v>2025.0</v>
      </c>
      <c r="F6581" s="16">
        <v>52.5814</v>
      </c>
      <c r="G6581" s="16">
        <v>11.7683</v>
      </c>
      <c r="H6581" s="15"/>
      <c r="I6581" s="15"/>
    </row>
    <row r="6582">
      <c r="A6582" s="17">
        <v>45636.0</v>
      </c>
      <c r="B6582" s="16" t="s">
        <v>7394</v>
      </c>
      <c r="C6582" s="16">
        <v>10.0</v>
      </c>
      <c r="D6582" s="16" t="s">
        <v>7390</v>
      </c>
      <c r="E6582" s="16">
        <v>2025.0</v>
      </c>
      <c r="F6582" s="16">
        <v>53.5386</v>
      </c>
      <c r="G6582" s="16">
        <v>12.0559</v>
      </c>
      <c r="H6582" s="15"/>
      <c r="I6582" s="15"/>
    </row>
    <row r="6583">
      <c r="A6583" s="17">
        <v>45636.0</v>
      </c>
      <c r="B6583" s="16" t="s">
        <v>7395</v>
      </c>
      <c r="C6583" s="16" t="s">
        <v>990</v>
      </c>
      <c r="D6583" s="16" t="s">
        <v>7390</v>
      </c>
      <c r="E6583" s="16">
        <v>2025.0</v>
      </c>
      <c r="F6583" s="16">
        <v>47.9727</v>
      </c>
      <c r="G6583" s="16">
        <v>9.1691</v>
      </c>
      <c r="H6583" s="15"/>
      <c r="I6583" s="15"/>
    </row>
    <row r="6584">
      <c r="A6584" s="17">
        <v>45636.0</v>
      </c>
      <c r="B6584" s="16" t="s">
        <v>7396</v>
      </c>
      <c r="C6584" s="16" t="s">
        <v>1374</v>
      </c>
      <c r="D6584" s="16" t="s">
        <v>7390</v>
      </c>
      <c r="E6584" s="16">
        <v>2025.0</v>
      </c>
      <c r="F6584" s="16">
        <v>48.252</v>
      </c>
      <c r="G6584" s="16">
        <v>9.671</v>
      </c>
      <c r="H6584" s="15"/>
      <c r="I6584" s="15"/>
    </row>
    <row r="6585">
      <c r="A6585" s="17">
        <v>45636.0</v>
      </c>
      <c r="B6585" s="16" t="s">
        <v>7397</v>
      </c>
      <c r="C6585" s="16" t="s">
        <v>4789</v>
      </c>
      <c r="D6585" s="16" t="s">
        <v>7390</v>
      </c>
      <c r="E6585" s="16">
        <v>2025.0</v>
      </c>
      <c r="F6585" s="16">
        <v>49.7909</v>
      </c>
      <c r="G6585" s="16">
        <v>9.1049</v>
      </c>
      <c r="H6585" s="15"/>
      <c r="I6585" s="15"/>
    </row>
    <row r="6586">
      <c r="A6586" s="17">
        <v>45636.0</v>
      </c>
      <c r="B6586" s="16" t="s">
        <v>7398</v>
      </c>
      <c r="C6586" s="16" t="s">
        <v>1011</v>
      </c>
      <c r="D6586" s="16" t="s">
        <v>7390</v>
      </c>
      <c r="E6586" s="16">
        <v>2025.0</v>
      </c>
      <c r="F6586" s="16">
        <v>51.1136</v>
      </c>
      <c r="G6586" s="16">
        <v>6.4355</v>
      </c>
      <c r="H6586" s="15"/>
      <c r="I6586" s="15"/>
    </row>
    <row r="6587">
      <c r="A6587" s="17">
        <v>45636.0</v>
      </c>
      <c r="B6587" s="16" t="s">
        <v>7399</v>
      </c>
      <c r="C6587" s="16" t="s">
        <v>942</v>
      </c>
      <c r="D6587" s="16" t="s">
        <v>7390</v>
      </c>
      <c r="E6587" s="16">
        <v>2025.0</v>
      </c>
      <c r="F6587" s="16">
        <v>52.3735</v>
      </c>
      <c r="G6587" s="16">
        <v>13.3241</v>
      </c>
      <c r="H6587" s="15"/>
      <c r="I6587" s="15"/>
    </row>
    <row r="6588">
      <c r="A6588" s="17">
        <v>45636.0</v>
      </c>
      <c r="B6588" s="16" t="s">
        <v>7400</v>
      </c>
      <c r="C6588" s="16" t="s">
        <v>1037</v>
      </c>
      <c r="D6588" s="16" t="s">
        <v>7390</v>
      </c>
      <c r="E6588" s="16">
        <v>2025.0</v>
      </c>
      <c r="F6588" s="16">
        <v>52.3733</v>
      </c>
      <c r="G6588" s="16">
        <v>13.3226</v>
      </c>
      <c r="H6588" s="15"/>
      <c r="I6588" s="15"/>
    </row>
    <row r="6589">
      <c r="A6589" s="17">
        <v>45636.0</v>
      </c>
      <c r="B6589" s="16" t="s">
        <v>7401</v>
      </c>
      <c r="C6589" s="16" t="s">
        <v>990</v>
      </c>
      <c r="D6589" s="16" t="s">
        <v>7390</v>
      </c>
      <c r="E6589" s="16">
        <v>2025.0</v>
      </c>
      <c r="F6589" s="16">
        <v>49.9465</v>
      </c>
      <c r="G6589" s="16">
        <v>6.5576</v>
      </c>
      <c r="H6589" s="15"/>
      <c r="I6589" s="15"/>
    </row>
    <row r="6590">
      <c r="A6590" s="17">
        <v>45636.0</v>
      </c>
      <c r="B6590" s="16" t="s">
        <v>7402</v>
      </c>
      <c r="C6590" s="16" t="s">
        <v>948</v>
      </c>
      <c r="D6590" s="16" t="s">
        <v>7390</v>
      </c>
      <c r="E6590" s="16">
        <v>2025.0</v>
      </c>
      <c r="F6590" s="16">
        <v>53.4387</v>
      </c>
      <c r="G6590" s="16">
        <v>8.4453</v>
      </c>
      <c r="H6590" s="15"/>
      <c r="I6590" s="15"/>
    </row>
    <row r="6591">
      <c r="A6591" s="17">
        <v>45636.0</v>
      </c>
      <c r="B6591" s="16" t="s">
        <v>7403</v>
      </c>
      <c r="C6591" s="16">
        <v>1.0</v>
      </c>
      <c r="D6591" s="16" t="s">
        <v>7390</v>
      </c>
      <c r="E6591" s="16">
        <v>2025.0</v>
      </c>
      <c r="F6591" s="16">
        <v>51.2385</v>
      </c>
      <c r="G6591" s="16">
        <v>13.3012</v>
      </c>
      <c r="H6591" s="15"/>
      <c r="I6591" s="15"/>
    </row>
    <row r="6592">
      <c r="A6592" s="17">
        <v>45636.0</v>
      </c>
      <c r="B6592" s="16" t="s">
        <v>7404</v>
      </c>
      <c r="C6592" s="16">
        <v>2.0</v>
      </c>
      <c r="D6592" s="16" t="s">
        <v>7390</v>
      </c>
      <c r="E6592" s="16">
        <v>2025.0</v>
      </c>
      <c r="F6592" s="16">
        <v>51.3191</v>
      </c>
      <c r="G6592" s="16">
        <v>13.2723</v>
      </c>
      <c r="H6592" s="15"/>
      <c r="I6592" s="15"/>
    </row>
    <row r="6593">
      <c r="A6593" s="17">
        <v>45636.0</v>
      </c>
      <c r="B6593" s="16" t="s">
        <v>7405</v>
      </c>
      <c r="C6593" s="16" t="s">
        <v>1690</v>
      </c>
      <c r="D6593" s="16" t="s">
        <v>7390</v>
      </c>
      <c r="E6593" s="16">
        <v>2025.0</v>
      </c>
      <c r="F6593" s="16">
        <v>53.1547</v>
      </c>
      <c r="G6593" s="16">
        <v>8.5596</v>
      </c>
      <c r="H6593" s="15"/>
      <c r="I6593" s="15"/>
    </row>
    <row r="6594">
      <c r="A6594" s="17">
        <v>45636.0</v>
      </c>
      <c r="B6594" s="16" t="s">
        <v>7406</v>
      </c>
      <c r="C6594" s="16" t="s">
        <v>1090</v>
      </c>
      <c r="D6594" s="16" t="s">
        <v>7390</v>
      </c>
      <c r="E6594" s="16">
        <v>2025.0</v>
      </c>
      <c r="F6594" s="16">
        <v>53.1539</v>
      </c>
      <c r="G6594" s="16">
        <v>8.5627</v>
      </c>
      <c r="H6594" s="15"/>
      <c r="I6594" s="15"/>
    </row>
    <row r="6595">
      <c r="A6595" s="17">
        <v>45636.0</v>
      </c>
      <c r="B6595" s="16" t="s">
        <v>7407</v>
      </c>
      <c r="C6595" s="16" t="s">
        <v>951</v>
      </c>
      <c r="D6595" s="16" t="s">
        <v>7390</v>
      </c>
      <c r="E6595" s="16">
        <v>2025.0</v>
      </c>
      <c r="F6595" s="16">
        <v>49.2794</v>
      </c>
      <c r="G6595" s="16">
        <v>8.9955</v>
      </c>
      <c r="H6595" s="15"/>
      <c r="I6595" s="15"/>
    </row>
    <row r="6596">
      <c r="A6596" s="17">
        <v>45636.0</v>
      </c>
      <c r="B6596" s="16" t="s">
        <v>7408</v>
      </c>
      <c r="C6596" s="16" t="s">
        <v>1310</v>
      </c>
      <c r="D6596" s="16" t="s">
        <v>7390</v>
      </c>
      <c r="E6596" s="16">
        <v>2025.0</v>
      </c>
      <c r="F6596" s="16">
        <v>48.7133</v>
      </c>
      <c r="G6596" s="16">
        <v>12.8059</v>
      </c>
      <c r="H6596" s="15"/>
      <c r="I6596" s="15"/>
    </row>
    <row r="6597">
      <c r="A6597" s="17">
        <v>45636.0</v>
      </c>
      <c r="B6597" s="16" t="s">
        <v>7409</v>
      </c>
      <c r="C6597" s="16" t="s">
        <v>1399</v>
      </c>
      <c r="D6597" s="16" t="s">
        <v>7390</v>
      </c>
      <c r="E6597" s="16">
        <v>2025.0</v>
      </c>
      <c r="F6597" s="16">
        <v>52.1408</v>
      </c>
      <c r="G6597" s="16">
        <v>8.0383</v>
      </c>
      <c r="H6597" s="15"/>
      <c r="I6597" s="15"/>
    </row>
    <row r="6598">
      <c r="A6598" s="17">
        <v>45636.0</v>
      </c>
      <c r="B6598" s="16" t="s">
        <v>7410</v>
      </c>
      <c r="C6598" s="16">
        <v>19.0</v>
      </c>
      <c r="D6598" s="16" t="s">
        <v>7390</v>
      </c>
      <c r="E6598" s="16">
        <v>2025.0</v>
      </c>
      <c r="F6598" s="16">
        <v>48.5316</v>
      </c>
      <c r="G6598" s="16">
        <v>12.898</v>
      </c>
      <c r="H6598" s="15"/>
      <c r="I6598" s="15"/>
    </row>
    <row r="6599">
      <c r="A6599" s="17">
        <v>45636.0</v>
      </c>
      <c r="B6599" s="16" t="s">
        <v>7411</v>
      </c>
      <c r="C6599" s="16" t="s">
        <v>2756</v>
      </c>
      <c r="D6599" s="16" t="s">
        <v>7390</v>
      </c>
      <c r="E6599" s="16">
        <v>2025.0</v>
      </c>
      <c r="F6599" s="16">
        <v>48.3164</v>
      </c>
      <c r="G6599" s="16">
        <v>12.2422</v>
      </c>
      <c r="H6599" s="15"/>
      <c r="I6599" s="15"/>
    </row>
    <row r="6600">
      <c r="A6600" s="17">
        <v>45636.0</v>
      </c>
      <c r="B6600" s="16" t="s">
        <v>7412</v>
      </c>
      <c r="C6600" s="16" t="s">
        <v>1037</v>
      </c>
      <c r="D6600" s="16" t="s">
        <v>7390</v>
      </c>
      <c r="E6600" s="16">
        <v>2025.0</v>
      </c>
      <c r="F6600" s="16">
        <v>47.7505</v>
      </c>
      <c r="G6600" s="16">
        <v>9.4965</v>
      </c>
      <c r="H6600" s="15"/>
      <c r="I6600" s="15"/>
    </row>
    <row r="6601">
      <c r="A6601" s="17">
        <v>45636.0</v>
      </c>
      <c r="B6601" s="16" t="s">
        <v>7413</v>
      </c>
      <c r="C6601" s="16" t="s">
        <v>961</v>
      </c>
      <c r="D6601" s="16" t="s">
        <v>7390</v>
      </c>
      <c r="E6601" s="16">
        <v>2025.0</v>
      </c>
      <c r="F6601" s="16">
        <v>49.3119</v>
      </c>
      <c r="G6601" s="16">
        <v>11.3605</v>
      </c>
      <c r="H6601" s="15"/>
      <c r="I6601" s="15"/>
    </row>
    <row r="6602">
      <c r="A6602" s="17">
        <v>45636.0</v>
      </c>
      <c r="B6602" s="16" t="s">
        <v>7414</v>
      </c>
      <c r="C6602" s="16" t="s">
        <v>1267</v>
      </c>
      <c r="D6602" s="16" t="s">
        <v>7390</v>
      </c>
      <c r="E6602" s="16">
        <v>2025.0</v>
      </c>
      <c r="F6602" s="16">
        <v>48.5886</v>
      </c>
      <c r="G6602" s="16">
        <v>12.1988</v>
      </c>
      <c r="H6602" s="15"/>
      <c r="I6602" s="15"/>
    </row>
    <row r="6603">
      <c r="A6603" s="17">
        <v>45636.0</v>
      </c>
      <c r="B6603" s="16" t="s">
        <v>7415</v>
      </c>
      <c r="C6603" s="16" t="s">
        <v>1011</v>
      </c>
      <c r="D6603" s="16" t="s">
        <v>7390</v>
      </c>
      <c r="E6603" s="16">
        <v>2025.0</v>
      </c>
      <c r="F6603" s="16">
        <v>50.5702</v>
      </c>
      <c r="G6603" s="16">
        <v>9.4355</v>
      </c>
      <c r="H6603" s="15"/>
      <c r="I6603" s="15"/>
    </row>
    <row r="6604">
      <c r="A6604" s="17">
        <v>45636.0</v>
      </c>
      <c r="B6604" s="16" t="s">
        <v>7416</v>
      </c>
      <c r="C6604" s="16" t="s">
        <v>951</v>
      </c>
      <c r="D6604" s="16" t="s">
        <v>7390</v>
      </c>
      <c r="E6604" s="16">
        <v>2025.0</v>
      </c>
      <c r="F6604" s="16">
        <v>52.611</v>
      </c>
      <c r="G6604" s="16">
        <v>8.2027</v>
      </c>
      <c r="H6604" s="15"/>
      <c r="I6604" s="15"/>
    </row>
    <row r="6605">
      <c r="A6605" s="17">
        <v>45636.0</v>
      </c>
      <c r="B6605" s="16" t="s">
        <v>7417</v>
      </c>
      <c r="C6605" s="16" t="s">
        <v>1461</v>
      </c>
      <c r="D6605" s="16" t="s">
        <v>7390</v>
      </c>
      <c r="E6605" s="16">
        <v>2025.0</v>
      </c>
      <c r="F6605" s="16">
        <v>52.872</v>
      </c>
      <c r="G6605" s="16">
        <v>9.3384</v>
      </c>
      <c r="H6605" s="15"/>
      <c r="I6605" s="15"/>
    </row>
    <row r="6606">
      <c r="A6606" s="17">
        <v>45636.0</v>
      </c>
      <c r="B6606" s="16" t="s">
        <v>7418</v>
      </c>
      <c r="C6606" s="16" t="s">
        <v>1167</v>
      </c>
      <c r="D6606" s="16" t="s">
        <v>7390</v>
      </c>
      <c r="E6606" s="16">
        <v>2025.0</v>
      </c>
      <c r="F6606" s="16">
        <v>53.0212</v>
      </c>
      <c r="G6606" s="16">
        <v>8.6427</v>
      </c>
      <c r="H6606" s="15"/>
      <c r="I6606" s="15"/>
    </row>
    <row r="6607">
      <c r="A6607" s="17">
        <v>45636.0</v>
      </c>
      <c r="B6607" s="16" t="s">
        <v>7419</v>
      </c>
      <c r="C6607" s="16">
        <v>1.0</v>
      </c>
      <c r="D6607" s="16" t="s">
        <v>707</v>
      </c>
      <c r="E6607" s="16">
        <v>2025.0</v>
      </c>
      <c r="F6607" s="16">
        <v>51.4376</v>
      </c>
      <c r="G6607" s="16">
        <v>6.8457</v>
      </c>
      <c r="H6607" s="15"/>
      <c r="I6607" s="15"/>
    </row>
    <row r="6608">
      <c r="A6608" s="17">
        <v>45636.0</v>
      </c>
      <c r="B6608" s="16" t="s">
        <v>7420</v>
      </c>
      <c r="C6608" s="16">
        <v>2.0</v>
      </c>
      <c r="D6608" s="16" t="s">
        <v>7390</v>
      </c>
      <c r="E6608" s="16">
        <v>2025.0</v>
      </c>
      <c r="F6608" s="16">
        <v>52.6692</v>
      </c>
      <c r="G6608" s="16">
        <v>7.9652</v>
      </c>
      <c r="H6608" s="15"/>
      <c r="I6608" s="15"/>
    </row>
    <row r="6609">
      <c r="A6609" s="17">
        <v>45636.0</v>
      </c>
      <c r="B6609" s="16" t="s">
        <v>7421</v>
      </c>
      <c r="C6609" s="16" t="s">
        <v>2392</v>
      </c>
      <c r="D6609" s="16" t="s">
        <v>7390</v>
      </c>
      <c r="E6609" s="16">
        <v>2025.0</v>
      </c>
      <c r="F6609" s="16">
        <v>52.7483</v>
      </c>
      <c r="G6609" s="16">
        <v>8.1779</v>
      </c>
      <c r="H6609" s="15"/>
      <c r="I6609" s="15"/>
    </row>
    <row r="6610">
      <c r="A6610" s="17">
        <v>45636.0</v>
      </c>
      <c r="B6610" s="16" t="s">
        <v>7422</v>
      </c>
      <c r="C6610" s="16" t="s">
        <v>1096</v>
      </c>
      <c r="D6610" s="16" t="s">
        <v>7390</v>
      </c>
      <c r="E6610" s="16">
        <v>2025.0</v>
      </c>
      <c r="F6610" s="16">
        <v>53.7207</v>
      </c>
      <c r="G6610" s="16">
        <v>12.9096</v>
      </c>
      <c r="H6610" s="15"/>
      <c r="I6610" s="15"/>
    </row>
    <row r="6611">
      <c r="A6611" s="17">
        <v>45636.0</v>
      </c>
      <c r="B6611" s="16" t="s">
        <v>7423</v>
      </c>
      <c r="C6611" s="16" t="s">
        <v>5196</v>
      </c>
      <c r="D6611" s="16" t="s">
        <v>7390</v>
      </c>
      <c r="E6611" s="16">
        <v>2025.0</v>
      </c>
      <c r="F6611" s="16">
        <v>53.4964</v>
      </c>
      <c r="G6611" s="16">
        <v>12.3854</v>
      </c>
      <c r="H6611" s="15"/>
      <c r="I6611" s="15"/>
    </row>
    <row r="6612">
      <c r="A6612" s="17">
        <v>45636.0</v>
      </c>
      <c r="B6612" s="16" t="s">
        <v>7424</v>
      </c>
      <c r="C6612" s="16" t="s">
        <v>1080</v>
      </c>
      <c r="D6612" s="16" t="s">
        <v>7390</v>
      </c>
      <c r="E6612" s="16">
        <v>2025.0</v>
      </c>
      <c r="F6612" s="16">
        <v>53.4957</v>
      </c>
      <c r="G6612" s="16">
        <v>12.3859</v>
      </c>
      <c r="H6612" s="15"/>
      <c r="I6612" s="15"/>
    </row>
    <row r="6613">
      <c r="A6613" s="17">
        <v>45636.0</v>
      </c>
      <c r="B6613" s="16" t="s">
        <v>7425</v>
      </c>
      <c r="C6613" s="16" t="s">
        <v>6818</v>
      </c>
      <c r="D6613" s="16" t="s">
        <v>7390</v>
      </c>
      <c r="E6613" s="16">
        <v>2025.0</v>
      </c>
      <c r="F6613" s="16">
        <v>53.493</v>
      </c>
      <c r="G6613" s="16">
        <v>12.391</v>
      </c>
      <c r="H6613" s="15"/>
      <c r="I6613" s="15"/>
    </row>
    <row r="6614">
      <c r="A6614" s="17">
        <v>45636.0</v>
      </c>
      <c r="B6614" s="16" t="s">
        <v>7426</v>
      </c>
      <c r="C6614" s="16">
        <v>9.0</v>
      </c>
      <c r="D6614" s="16" t="s">
        <v>7390</v>
      </c>
      <c r="E6614" s="16">
        <v>2025.0</v>
      </c>
      <c r="F6614" s="16">
        <v>54.0534</v>
      </c>
      <c r="G6614" s="16">
        <v>12.1996</v>
      </c>
      <c r="H6614" s="15"/>
      <c r="I6614" s="15"/>
    </row>
    <row r="6615">
      <c r="A6615" s="17">
        <v>45636.0</v>
      </c>
      <c r="B6615" s="16" t="s">
        <v>7427</v>
      </c>
      <c r="C6615" s="16" t="s">
        <v>959</v>
      </c>
      <c r="D6615" s="16" t="s">
        <v>7390</v>
      </c>
      <c r="E6615" s="16">
        <v>2025.0</v>
      </c>
      <c r="F6615" s="16">
        <v>51.514</v>
      </c>
      <c r="G6615" s="16">
        <v>6.9497</v>
      </c>
      <c r="H6615" s="15"/>
      <c r="I6615" s="15"/>
    </row>
    <row r="6616">
      <c r="A6616" s="17">
        <v>45636.0</v>
      </c>
      <c r="B6616" s="16" t="s">
        <v>7428</v>
      </c>
      <c r="C6616" s="16" t="s">
        <v>959</v>
      </c>
      <c r="D6616" s="16" t="s">
        <v>7390</v>
      </c>
      <c r="E6616" s="16">
        <v>2025.0</v>
      </c>
      <c r="F6616" s="16">
        <v>51.5147</v>
      </c>
      <c r="G6616" s="16">
        <v>6.9481</v>
      </c>
      <c r="H6616" s="15"/>
      <c r="I6616" s="15"/>
    </row>
    <row r="6617">
      <c r="A6617" s="17">
        <v>45636.0</v>
      </c>
      <c r="B6617" s="16" t="s">
        <v>7429</v>
      </c>
      <c r="C6617" s="16">
        <v>5.0</v>
      </c>
      <c r="D6617" s="16" t="s">
        <v>7390</v>
      </c>
      <c r="E6617" s="16">
        <v>2025.0</v>
      </c>
      <c r="F6617" s="16">
        <v>49.2097</v>
      </c>
      <c r="G6617" s="16">
        <v>10.922</v>
      </c>
      <c r="H6617" s="15"/>
      <c r="I6617" s="15"/>
    </row>
    <row r="6618">
      <c r="A6618" s="17">
        <v>45636.0</v>
      </c>
      <c r="B6618" s="16" t="s">
        <v>7430</v>
      </c>
      <c r="C6618" s="16" t="s">
        <v>948</v>
      </c>
      <c r="D6618" s="16" t="s">
        <v>7390</v>
      </c>
      <c r="E6618" s="16">
        <v>2025.0</v>
      </c>
      <c r="F6618" s="16">
        <v>53.1445</v>
      </c>
      <c r="G6618" s="16">
        <v>8.6929</v>
      </c>
      <c r="H6618" s="15"/>
      <c r="I6618" s="15"/>
    </row>
    <row r="6619">
      <c r="A6619" s="17">
        <v>45636.0</v>
      </c>
      <c r="B6619" s="16" t="s">
        <v>7431</v>
      </c>
      <c r="C6619" s="16" t="s">
        <v>1059</v>
      </c>
      <c r="D6619" s="16" t="s">
        <v>7390</v>
      </c>
      <c r="E6619" s="16">
        <v>2025.0</v>
      </c>
      <c r="F6619" s="16">
        <v>50.7823</v>
      </c>
      <c r="G6619" s="16">
        <v>8.3054</v>
      </c>
      <c r="H6619" s="15"/>
      <c r="I6619" s="15"/>
    </row>
    <row r="6620">
      <c r="A6620" s="17">
        <v>45636.0</v>
      </c>
      <c r="B6620" s="16" t="s">
        <v>7432</v>
      </c>
      <c r="C6620" s="16" t="s">
        <v>7433</v>
      </c>
      <c r="D6620" s="16" t="s">
        <v>7390</v>
      </c>
      <c r="E6620" s="16">
        <v>2025.0</v>
      </c>
      <c r="F6620" s="16">
        <v>53.7281</v>
      </c>
      <c r="G6620" s="16">
        <v>13.2281</v>
      </c>
      <c r="H6620" s="15"/>
      <c r="I6620" s="15"/>
    </row>
    <row r="6621">
      <c r="A6621" s="17">
        <v>45636.0</v>
      </c>
      <c r="B6621" s="16" t="s">
        <v>7434</v>
      </c>
      <c r="C6621" s="16">
        <v>9.0</v>
      </c>
      <c r="D6621" s="16" t="s">
        <v>7390</v>
      </c>
      <c r="E6621" s="16">
        <v>2025.0</v>
      </c>
      <c r="F6621" s="16">
        <v>51.0616</v>
      </c>
      <c r="G6621" s="16">
        <v>10.2859</v>
      </c>
      <c r="H6621" s="15"/>
      <c r="I6621" s="15"/>
    </row>
    <row r="6622">
      <c r="A6622" s="17">
        <v>45636.0</v>
      </c>
      <c r="B6622" s="16" t="s">
        <v>7435</v>
      </c>
      <c r="C6622" s="16">
        <v>5.0</v>
      </c>
      <c r="D6622" s="16" t="s">
        <v>7390</v>
      </c>
      <c r="E6622" s="16">
        <v>2025.0</v>
      </c>
      <c r="F6622" s="16">
        <v>50.9554</v>
      </c>
      <c r="G6622" s="16">
        <v>11.7953</v>
      </c>
      <c r="H6622" s="15"/>
      <c r="I6622" s="15"/>
    </row>
    <row r="6623">
      <c r="A6623" s="17">
        <v>45636.0</v>
      </c>
      <c r="B6623" s="16" t="s">
        <v>7436</v>
      </c>
      <c r="C6623" s="16">
        <v>4.0</v>
      </c>
      <c r="D6623" s="16" t="s">
        <v>7390</v>
      </c>
      <c r="E6623" s="16">
        <v>2025.0</v>
      </c>
      <c r="F6623" s="16">
        <v>48.5884</v>
      </c>
      <c r="G6623" s="16">
        <v>11.2726</v>
      </c>
      <c r="H6623" s="15"/>
      <c r="I6623" s="15"/>
    </row>
    <row r="6624">
      <c r="A6624" s="17">
        <v>45636.0</v>
      </c>
      <c r="B6624" s="16" t="s">
        <v>7437</v>
      </c>
      <c r="C6624" s="16" t="s">
        <v>1172</v>
      </c>
      <c r="D6624" s="16" t="s">
        <v>7390</v>
      </c>
      <c r="E6624" s="16">
        <v>2025.0</v>
      </c>
      <c r="F6624" s="16">
        <v>47.802</v>
      </c>
      <c r="G6624" s="16">
        <v>8.8654</v>
      </c>
      <c r="H6624" s="15"/>
      <c r="I6624" s="15"/>
    </row>
    <row r="6625">
      <c r="A6625" s="17">
        <v>45636.0</v>
      </c>
      <c r="B6625" s="16" t="s">
        <v>7438</v>
      </c>
      <c r="C6625" s="16" t="s">
        <v>959</v>
      </c>
      <c r="D6625" s="16" t="s">
        <v>7390</v>
      </c>
      <c r="E6625" s="16">
        <v>2025.0</v>
      </c>
      <c r="F6625" s="16">
        <v>51.4021</v>
      </c>
      <c r="G6625" s="16">
        <v>6.7286</v>
      </c>
      <c r="H6625" s="15"/>
      <c r="I6625" s="15"/>
    </row>
    <row r="6626">
      <c r="A6626" s="17">
        <v>45636.0</v>
      </c>
      <c r="B6626" s="16" t="s">
        <v>7439</v>
      </c>
      <c r="C6626" s="16" t="s">
        <v>1055</v>
      </c>
      <c r="D6626" s="16" t="s">
        <v>7390</v>
      </c>
      <c r="E6626" s="16">
        <v>2025.0</v>
      </c>
      <c r="F6626" s="16">
        <v>53.9006</v>
      </c>
      <c r="G6626" s="16">
        <v>9.1679</v>
      </c>
      <c r="H6626" s="15"/>
      <c r="I6626" s="15"/>
    </row>
    <row r="6627">
      <c r="A6627" s="17">
        <v>45636.0</v>
      </c>
      <c r="B6627" s="16" t="s">
        <v>7440</v>
      </c>
      <c r="C6627" s="16">
        <v>3.0</v>
      </c>
      <c r="D6627" s="16" t="s">
        <v>7390</v>
      </c>
      <c r="E6627" s="16">
        <v>2025.0</v>
      </c>
      <c r="F6627" s="16">
        <v>48.7346</v>
      </c>
      <c r="G6627" s="16">
        <v>13.5498</v>
      </c>
      <c r="H6627" s="15"/>
      <c r="I6627" s="15"/>
    </row>
    <row r="6628">
      <c r="A6628" s="17">
        <v>45636.0</v>
      </c>
      <c r="B6628" s="16" t="s">
        <v>7441</v>
      </c>
      <c r="C6628" s="16" t="s">
        <v>5672</v>
      </c>
      <c r="D6628" s="16" t="s">
        <v>7390</v>
      </c>
      <c r="E6628" s="16">
        <v>2025.0</v>
      </c>
      <c r="F6628" s="16">
        <v>53.6659</v>
      </c>
      <c r="G6628" s="16">
        <v>14.1205</v>
      </c>
      <c r="H6628" s="15"/>
      <c r="I6628" s="15"/>
    </row>
    <row r="6629">
      <c r="A6629" s="17">
        <v>45636.0</v>
      </c>
      <c r="B6629" s="16" t="s">
        <v>7442</v>
      </c>
      <c r="C6629" s="16" t="s">
        <v>1310</v>
      </c>
      <c r="D6629" s="16" t="s">
        <v>7390</v>
      </c>
      <c r="E6629" s="16">
        <v>2025.0</v>
      </c>
      <c r="F6629" s="16">
        <v>54.0774</v>
      </c>
      <c r="G6629" s="16">
        <v>9.1342</v>
      </c>
      <c r="H6629" s="15"/>
      <c r="I6629" s="15"/>
    </row>
    <row r="6630">
      <c r="A6630" s="17">
        <v>45636.0</v>
      </c>
      <c r="B6630" s="16" t="s">
        <v>7443</v>
      </c>
      <c r="C6630" s="16" t="s">
        <v>1011</v>
      </c>
      <c r="D6630" s="16" t="s">
        <v>7390</v>
      </c>
      <c r="E6630" s="16">
        <v>2025.0</v>
      </c>
      <c r="F6630" s="16">
        <v>50.3466</v>
      </c>
      <c r="G6630" s="16">
        <v>10.2037</v>
      </c>
      <c r="H6630" s="15"/>
      <c r="I6630" s="15"/>
    </row>
    <row r="6631">
      <c r="A6631" s="17">
        <v>45636.0</v>
      </c>
      <c r="B6631" s="16" t="s">
        <v>7444</v>
      </c>
      <c r="C6631" s="16" t="s">
        <v>1011</v>
      </c>
      <c r="D6631" s="16" t="s">
        <v>7390</v>
      </c>
      <c r="E6631" s="16">
        <v>2025.0</v>
      </c>
      <c r="F6631" s="16">
        <v>50.353</v>
      </c>
      <c r="G6631" s="16">
        <v>10.1721</v>
      </c>
      <c r="H6631" s="15"/>
      <c r="I6631" s="15"/>
    </row>
    <row r="6632">
      <c r="A6632" s="17">
        <v>45636.0</v>
      </c>
      <c r="B6632" s="16" t="s">
        <v>7445</v>
      </c>
      <c r="C6632" s="16" t="s">
        <v>1085</v>
      </c>
      <c r="D6632" s="16" t="s">
        <v>7390</v>
      </c>
      <c r="E6632" s="16">
        <v>2025.0</v>
      </c>
      <c r="F6632" s="16">
        <v>50.0758</v>
      </c>
      <c r="G6632" s="16">
        <v>12.1698</v>
      </c>
      <c r="H6632" s="15"/>
      <c r="I6632" s="15"/>
    </row>
    <row r="6633">
      <c r="A6633" s="17">
        <v>45636.0</v>
      </c>
      <c r="B6633" s="16" t="s">
        <v>7446</v>
      </c>
      <c r="C6633" s="16" t="s">
        <v>951</v>
      </c>
      <c r="D6633" s="16" t="s">
        <v>7390</v>
      </c>
      <c r="E6633" s="16">
        <v>2025.0</v>
      </c>
      <c r="F6633" s="16">
        <v>50.5559</v>
      </c>
      <c r="G6633" s="16">
        <v>8.3279</v>
      </c>
      <c r="H6633" s="15"/>
      <c r="I6633" s="15"/>
    </row>
    <row r="6634">
      <c r="A6634" s="17">
        <v>45636.0</v>
      </c>
      <c r="B6634" s="16" t="s">
        <v>7447</v>
      </c>
      <c r="C6634" s="16">
        <v>3.0</v>
      </c>
      <c r="D6634" s="16" t="s">
        <v>7390</v>
      </c>
      <c r="E6634" s="16">
        <v>2025.0</v>
      </c>
      <c r="F6634" s="16">
        <v>51.387</v>
      </c>
      <c r="G6634" s="16">
        <v>12.7664</v>
      </c>
      <c r="H6634" s="15"/>
      <c r="I6634" s="15"/>
    </row>
    <row r="6635">
      <c r="A6635" s="17">
        <v>45636.0</v>
      </c>
      <c r="B6635" s="16" t="s">
        <v>7448</v>
      </c>
      <c r="C6635" s="16">
        <v>1.0</v>
      </c>
      <c r="D6635" s="16" t="s">
        <v>7390</v>
      </c>
      <c r="E6635" s="16">
        <v>2025.0</v>
      </c>
      <c r="F6635" s="16">
        <v>52.0064</v>
      </c>
      <c r="G6635" s="16">
        <v>7.1163</v>
      </c>
      <c r="H6635" s="15"/>
      <c r="I6635" s="15"/>
    </row>
    <row r="6636">
      <c r="A6636" s="17">
        <v>45636.0</v>
      </c>
      <c r="B6636" s="16" t="s">
        <v>7449</v>
      </c>
      <c r="C6636" s="16" t="s">
        <v>1085</v>
      </c>
      <c r="D6636" s="16" t="s">
        <v>7390</v>
      </c>
      <c r="E6636" s="16">
        <v>2025.0</v>
      </c>
      <c r="F6636" s="16">
        <v>49.2049</v>
      </c>
      <c r="G6636" s="16">
        <v>9.6439</v>
      </c>
      <c r="H6636" s="15"/>
      <c r="I6636" s="15"/>
    </row>
    <row r="6637">
      <c r="A6637" s="17">
        <v>45636.0</v>
      </c>
      <c r="B6637" s="16" t="s">
        <v>7450</v>
      </c>
      <c r="C6637" s="16" t="s">
        <v>1096</v>
      </c>
      <c r="D6637" s="16" t="s">
        <v>7390</v>
      </c>
      <c r="E6637" s="16">
        <v>2025.0</v>
      </c>
      <c r="F6637" s="16">
        <v>49.1392</v>
      </c>
      <c r="G6637" s="16">
        <v>9.7421</v>
      </c>
      <c r="H6637" s="15"/>
      <c r="I6637" s="15"/>
    </row>
    <row r="6638">
      <c r="A6638" s="17">
        <v>45636.0</v>
      </c>
      <c r="B6638" s="16" t="s">
        <v>7451</v>
      </c>
      <c r="C6638" s="16" t="s">
        <v>2893</v>
      </c>
      <c r="D6638" s="16" t="s">
        <v>7390</v>
      </c>
      <c r="E6638" s="16">
        <v>2025.0</v>
      </c>
      <c r="F6638" s="16">
        <v>49.0953</v>
      </c>
      <c r="G6638" s="16">
        <v>9.8565</v>
      </c>
      <c r="H6638" s="15"/>
      <c r="I6638" s="15"/>
    </row>
    <row r="6639">
      <c r="A6639" s="17">
        <v>45636.0</v>
      </c>
      <c r="B6639" s="16" t="s">
        <v>7452</v>
      </c>
      <c r="C6639" s="16" t="s">
        <v>1351</v>
      </c>
      <c r="D6639" s="16" t="s">
        <v>7390</v>
      </c>
      <c r="E6639" s="16">
        <v>2025.0</v>
      </c>
      <c r="F6639" s="16">
        <v>53.5142</v>
      </c>
      <c r="G6639" s="16">
        <v>9.3692</v>
      </c>
      <c r="H6639" s="15"/>
      <c r="I6639" s="15"/>
    </row>
    <row r="6640">
      <c r="A6640" s="17">
        <v>45636.0</v>
      </c>
      <c r="B6640" s="16" t="s">
        <v>7453</v>
      </c>
      <c r="C6640" s="16" t="s">
        <v>2457</v>
      </c>
      <c r="D6640" s="16" t="s">
        <v>7390</v>
      </c>
      <c r="E6640" s="16">
        <v>2025.0</v>
      </c>
      <c r="F6640" s="16">
        <v>53.5122</v>
      </c>
      <c r="G6640" s="16">
        <v>9.3574</v>
      </c>
      <c r="H6640" s="15"/>
      <c r="I6640" s="15"/>
    </row>
    <row r="6641">
      <c r="A6641" s="17">
        <v>45636.0</v>
      </c>
      <c r="B6641" s="16" t="s">
        <v>7454</v>
      </c>
      <c r="C6641" s="16" t="s">
        <v>2392</v>
      </c>
      <c r="D6641" s="16" t="s">
        <v>7390</v>
      </c>
      <c r="E6641" s="16">
        <v>2025.0</v>
      </c>
      <c r="F6641" s="16">
        <v>50.0932</v>
      </c>
      <c r="G6641" s="16">
        <v>8.9638</v>
      </c>
      <c r="H6641" s="15"/>
      <c r="I6641" s="15"/>
    </row>
    <row r="6642">
      <c r="A6642" s="17">
        <v>45636.0</v>
      </c>
      <c r="B6642" s="16" t="s">
        <v>7455</v>
      </c>
      <c r="C6642" s="16" t="s">
        <v>2099</v>
      </c>
      <c r="D6642" s="16" t="s">
        <v>7390</v>
      </c>
      <c r="E6642" s="16">
        <v>2025.0</v>
      </c>
      <c r="F6642" s="16">
        <v>49.5</v>
      </c>
      <c r="G6642" s="16">
        <v>11.0802</v>
      </c>
      <c r="H6642" s="15"/>
      <c r="I6642" s="15"/>
    </row>
    <row r="6643">
      <c r="A6643" s="17">
        <v>45636.0</v>
      </c>
      <c r="B6643" s="16" t="s">
        <v>7456</v>
      </c>
      <c r="C6643" s="16">
        <v>4.0</v>
      </c>
      <c r="D6643" s="16" t="s">
        <v>7390</v>
      </c>
      <c r="E6643" s="16">
        <v>2025.0</v>
      </c>
      <c r="F6643" s="16">
        <v>49.1603</v>
      </c>
      <c r="G6643" s="16">
        <v>11.8407</v>
      </c>
      <c r="H6643" s="15"/>
      <c r="I6643" s="15"/>
    </row>
    <row r="6644">
      <c r="A6644" s="17">
        <v>45636.0</v>
      </c>
      <c r="B6644" s="16" t="s">
        <v>7457</v>
      </c>
      <c r="C6644" s="16" t="s">
        <v>1351</v>
      </c>
      <c r="D6644" s="16" t="s">
        <v>7390</v>
      </c>
      <c r="E6644" s="16">
        <v>2025.0</v>
      </c>
      <c r="F6644" s="16">
        <v>48.442</v>
      </c>
      <c r="G6644" s="16">
        <v>9.742</v>
      </c>
      <c r="H6644" s="15"/>
      <c r="I6644" s="15"/>
    </row>
    <row r="6645">
      <c r="A6645" s="17">
        <v>45636.0</v>
      </c>
      <c r="B6645" s="16" t="s">
        <v>7458</v>
      </c>
      <c r="C6645" s="16">
        <v>2.0</v>
      </c>
      <c r="D6645" s="16" t="s">
        <v>7390</v>
      </c>
      <c r="E6645" s="16">
        <v>2025.0</v>
      </c>
      <c r="F6645" s="16">
        <v>48.3903</v>
      </c>
      <c r="G6645" s="16">
        <v>12.5663</v>
      </c>
      <c r="H6645" s="15"/>
      <c r="I6645" s="15"/>
    </row>
    <row r="6646">
      <c r="A6646" s="17">
        <v>45636.0</v>
      </c>
      <c r="B6646" s="16" t="s">
        <v>7459</v>
      </c>
      <c r="C6646" s="16">
        <v>3.0</v>
      </c>
      <c r="D6646" s="16" t="s">
        <v>7390</v>
      </c>
      <c r="E6646" s="16">
        <v>2025.0</v>
      </c>
      <c r="F6646" s="16">
        <v>48.3903</v>
      </c>
      <c r="G6646" s="16">
        <v>12.5663</v>
      </c>
      <c r="H6646" s="15"/>
      <c r="I6646" s="15"/>
    </row>
    <row r="6647">
      <c r="A6647" s="17">
        <v>45636.0</v>
      </c>
      <c r="B6647" s="16" t="s">
        <v>7460</v>
      </c>
      <c r="C6647" s="16">
        <v>12.0</v>
      </c>
      <c r="D6647" s="16" t="s">
        <v>7390</v>
      </c>
      <c r="E6647" s="16">
        <v>2025.0</v>
      </c>
      <c r="F6647" s="16">
        <v>50.2414</v>
      </c>
      <c r="G6647" s="16">
        <v>9.306</v>
      </c>
      <c r="H6647" s="15"/>
      <c r="I6647" s="15"/>
    </row>
    <row r="6648">
      <c r="A6648" s="17">
        <v>45636.0</v>
      </c>
      <c r="B6648" s="16" t="s">
        <v>7461</v>
      </c>
      <c r="C6648" s="16" t="s">
        <v>984</v>
      </c>
      <c r="D6648" s="16" t="s">
        <v>7390</v>
      </c>
      <c r="E6648" s="16">
        <v>2025.0</v>
      </c>
      <c r="F6648" s="16">
        <v>51.0264</v>
      </c>
      <c r="G6648" s="16">
        <v>6.2759</v>
      </c>
      <c r="H6648" s="15"/>
      <c r="I6648" s="15"/>
    </row>
    <row r="6649">
      <c r="A6649" s="17">
        <v>45636.0</v>
      </c>
      <c r="B6649" s="16" t="s">
        <v>7462</v>
      </c>
      <c r="C6649" s="16" t="s">
        <v>971</v>
      </c>
      <c r="D6649" s="16" t="s">
        <v>7390</v>
      </c>
      <c r="E6649" s="16">
        <v>2025.0</v>
      </c>
      <c r="F6649" s="16">
        <v>49.9134</v>
      </c>
      <c r="G6649" s="16">
        <v>12.1475</v>
      </c>
      <c r="H6649" s="15"/>
      <c r="I6649" s="15"/>
    </row>
    <row r="6650">
      <c r="A6650" s="17">
        <v>45636.0</v>
      </c>
      <c r="B6650" s="16" t="s">
        <v>7463</v>
      </c>
      <c r="C6650" s="16" t="s">
        <v>1979</v>
      </c>
      <c r="D6650" s="16" t="s">
        <v>7390</v>
      </c>
      <c r="E6650" s="16">
        <v>2025.0</v>
      </c>
      <c r="F6650" s="16">
        <v>53.3521</v>
      </c>
      <c r="G6650" s="16">
        <v>11.8069</v>
      </c>
      <c r="H6650" s="15"/>
      <c r="I6650" s="15"/>
    </row>
    <row r="6651">
      <c r="A6651" s="17">
        <v>45636.0</v>
      </c>
      <c r="B6651" s="16" t="s">
        <v>7464</v>
      </c>
      <c r="C6651" s="16" t="s">
        <v>1461</v>
      </c>
      <c r="D6651" s="16" t="s">
        <v>7390</v>
      </c>
      <c r="E6651" s="16">
        <v>2025.0</v>
      </c>
      <c r="F6651" s="16">
        <v>53.3509</v>
      </c>
      <c r="G6651" s="16">
        <v>11.8132</v>
      </c>
      <c r="H6651" s="15"/>
      <c r="I6651" s="15"/>
    </row>
    <row r="6652">
      <c r="A6652" s="17">
        <v>45636.0</v>
      </c>
      <c r="B6652" s="16" t="s">
        <v>7465</v>
      </c>
      <c r="C6652" s="16" t="s">
        <v>961</v>
      </c>
      <c r="D6652" s="16" t="s">
        <v>7390</v>
      </c>
      <c r="E6652" s="16">
        <v>2025.0</v>
      </c>
      <c r="F6652" s="16">
        <v>50.3078</v>
      </c>
      <c r="G6652" s="16">
        <v>7.308</v>
      </c>
      <c r="H6652" s="15"/>
      <c r="I6652" s="15"/>
    </row>
    <row r="6653">
      <c r="A6653" s="17">
        <v>45636.0</v>
      </c>
      <c r="B6653" s="16" t="s">
        <v>7466</v>
      </c>
      <c r="C6653" s="16" t="s">
        <v>946</v>
      </c>
      <c r="D6653" s="16" t="s">
        <v>7390</v>
      </c>
      <c r="E6653" s="16">
        <v>2025.0</v>
      </c>
      <c r="F6653" s="16">
        <v>51.989</v>
      </c>
      <c r="G6653" s="16">
        <v>8.6219</v>
      </c>
      <c r="H6653" s="15"/>
      <c r="I6653" s="15"/>
    </row>
    <row r="6654">
      <c r="A6654" s="17">
        <v>45636.0</v>
      </c>
      <c r="B6654" s="16" t="s">
        <v>7467</v>
      </c>
      <c r="C6654" s="16" t="s">
        <v>1203</v>
      </c>
      <c r="D6654" s="16" t="s">
        <v>7390</v>
      </c>
      <c r="E6654" s="16">
        <v>2025.0</v>
      </c>
      <c r="F6654" s="16">
        <v>48.013</v>
      </c>
      <c r="G6654" s="16">
        <v>10.7008</v>
      </c>
      <c r="H6654" s="15"/>
      <c r="I6654" s="15"/>
    </row>
    <row r="6655">
      <c r="A6655" s="17">
        <v>45636.0</v>
      </c>
      <c r="B6655" s="16" t="s">
        <v>7468</v>
      </c>
      <c r="C6655" s="16" t="s">
        <v>942</v>
      </c>
      <c r="D6655" s="16" t="s">
        <v>7390</v>
      </c>
      <c r="E6655" s="16">
        <v>2025.0</v>
      </c>
      <c r="F6655" s="16">
        <v>50.9486</v>
      </c>
      <c r="G6655" s="16">
        <v>10.7329</v>
      </c>
      <c r="H6655" s="15"/>
      <c r="I6655" s="15"/>
    </row>
    <row r="6656">
      <c r="A6656" s="17">
        <v>45636.0</v>
      </c>
      <c r="B6656" s="16" t="s">
        <v>7469</v>
      </c>
      <c r="C6656" s="16">
        <v>5.0</v>
      </c>
      <c r="D6656" s="16" t="s">
        <v>7390</v>
      </c>
      <c r="E6656" s="16">
        <v>2025.0</v>
      </c>
      <c r="F6656" s="16">
        <v>54.8967</v>
      </c>
      <c r="G6656" s="16">
        <v>8.9512</v>
      </c>
      <c r="H6656" s="15"/>
      <c r="I6656" s="15"/>
    </row>
    <row r="6657">
      <c r="A6657" s="17">
        <v>45636.0</v>
      </c>
      <c r="B6657" s="16" t="s">
        <v>7470</v>
      </c>
      <c r="C6657" s="16" t="s">
        <v>969</v>
      </c>
      <c r="D6657" s="16" t="s">
        <v>7390</v>
      </c>
      <c r="E6657" s="16">
        <v>2025.0</v>
      </c>
      <c r="F6657" s="16">
        <v>48.5249</v>
      </c>
      <c r="G6657" s="16">
        <v>11.5383</v>
      </c>
      <c r="H6657" s="15"/>
      <c r="I6657" s="15"/>
    </row>
    <row r="6658">
      <c r="A6658" s="17">
        <v>45636.0</v>
      </c>
      <c r="B6658" s="16" t="s">
        <v>7471</v>
      </c>
      <c r="C6658" s="16" t="s">
        <v>1167</v>
      </c>
      <c r="D6658" s="16" t="s">
        <v>7390</v>
      </c>
      <c r="E6658" s="16">
        <v>2025.0</v>
      </c>
      <c r="F6658" s="16">
        <v>48.9755</v>
      </c>
      <c r="G6658" s="16">
        <v>12.1748</v>
      </c>
      <c r="H6658" s="15"/>
      <c r="I6658" s="15"/>
    </row>
    <row r="6659">
      <c r="A6659" s="17">
        <v>45636.0</v>
      </c>
      <c r="B6659" s="16" t="s">
        <v>7472</v>
      </c>
      <c r="C6659" s="16" t="s">
        <v>971</v>
      </c>
      <c r="D6659" s="16" t="s">
        <v>7390</v>
      </c>
      <c r="E6659" s="16">
        <v>2025.0</v>
      </c>
      <c r="F6659" s="16">
        <v>50.7824</v>
      </c>
      <c r="G6659" s="16">
        <v>6.5102</v>
      </c>
      <c r="H6659" s="15"/>
      <c r="I6659" s="15"/>
    </row>
    <row r="6660">
      <c r="A6660" s="17">
        <v>45636.0</v>
      </c>
      <c r="B6660" s="16" t="s">
        <v>7473</v>
      </c>
      <c r="C6660" s="16" t="s">
        <v>4789</v>
      </c>
      <c r="D6660" s="16" t="s">
        <v>7390</v>
      </c>
      <c r="E6660" s="16">
        <v>2025.0</v>
      </c>
      <c r="F6660" s="16">
        <v>52.7671</v>
      </c>
      <c r="G6660" s="16">
        <v>13.366</v>
      </c>
      <c r="H6660" s="15"/>
      <c r="I6660" s="15"/>
    </row>
    <row r="6661">
      <c r="A6661" s="17">
        <v>45636.0</v>
      </c>
      <c r="B6661" s="16" t="s">
        <v>7474</v>
      </c>
      <c r="C6661" s="16" t="s">
        <v>965</v>
      </c>
      <c r="D6661" s="16" t="s">
        <v>7390</v>
      </c>
      <c r="E6661" s="16">
        <v>2025.0</v>
      </c>
      <c r="F6661" s="16">
        <v>50.1303</v>
      </c>
      <c r="G6661" s="16">
        <v>8.9389</v>
      </c>
      <c r="H6661" s="15"/>
      <c r="I6661" s="15"/>
    </row>
    <row r="6662">
      <c r="A6662" s="17">
        <v>45636.0</v>
      </c>
      <c r="B6662" s="16" t="s">
        <v>7475</v>
      </c>
      <c r="C6662" s="16" t="s">
        <v>969</v>
      </c>
      <c r="D6662" s="16" t="s">
        <v>7390</v>
      </c>
      <c r="E6662" s="16">
        <v>2025.0</v>
      </c>
      <c r="F6662" s="16">
        <v>47.7856</v>
      </c>
      <c r="G6662" s="16">
        <v>9.6056</v>
      </c>
      <c r="H6662" s="15"/>
      <c r="I6662" s="15"/>
    </row>
    <row r="6663">
      <c r="A6663" s="17">
        <v>45636.0</v>
      </c>
      <c r="B6663" s="16" t="s">
        <v>7476</v>
      </c>
      <c r="C6663" s="16">
        <v>1.0</v>
      </c>
      <c r="D6663" s="16" t="s">
        <v>7390</v>
      </c>
      <c r="E6663" s="16">
        <v>2025.0</v>
      </c>
      <c r="F6663" s="16">
        <v>54.2356</v>
      </c>
      <c r="G6663" s="16">
        <v>12.3663</v>
      </c>
      <c r="H6663" s="15"/>
      <c r="I6663" s="15"/>
    </row>
    <row r="6664">
      <c r="A6664" s="17">
        <v>45636.0</v>
      </c>
      <c r="B6664" s="16" t="s">
        <v>7477</v>
      </c>
      <c r="C6664" s="16" t="s">
        <v>942</v>
      </c>
      <c r="D6664" s="16" t="s">
        <v>7390</v>
      </c>
      <c r="E6664" s="16">
        <v>2025.0</v>
      </c>
      <c r="F6664" s="16">
        <v>53.4776</v>
      </c>
      <c r="G6664" s="16">
        <v>9.9081</v>
      </c>
      <c r="H6664" s="15"/>
      <c r="I6664" s="15"/>
    </row>
    <row r="6665">
      <c r="A6665" s="17">
        <v>45636.0</v>
      </c>
      <c r="B6665" s="16" t="s">
        <v>7478</v>
      </c>
      <c r="C6665" s="16" t="s">
        <v>1055</v>
      </c>
      <c r="D6665" s="16" t="s">
        <v>7390</v>
      </c>
      <c r="E6665" s="16">
        <v>2025.0</v>
      </c>
      <c r="F6665" s="16">
        <v>54.7496</v>
      </c>
      <c r="G6665" s="16">
        <v>9.386</v>
      </c>
      <c r="H6665" s="15"/>
      <c r="I6665" s="15"/>
    </row>
    <row r="6666">
      <c r="A6666" s="17">
        <v>45636.0</v>
      </c>
      <c r="B6666" s="16" t="s">
        <v>7479</v>
      </c>
      <c r="C6666" s="16" t="s">
        <v>951</v>
      </c>
      <c r="D6666" s="16" t="s">
        <v>7390</v>
      </c>
      <c r="E6666" s="16">
        <v>2025.0</v>
      </c>
      <c r="F6666" s="16">
        <v>52.6627</v>
      </c>
      <c r="G6666" s="16">
        <v>8.2023</v>
      </c>
      <c r="H6666" s="15"/>
      <c r="I6666" s="15"/>
    </row>
    <row r="6667">
      <c r="A6667" s="17">
        <v>45636.0</v>
      </c>
      <c r="B6667" s="16" t="s">
        <v>7480</v>
      </c>
      <c r="C6667" s="16" t="s">
        <v>1004</v>
      </c>
      <c r="D6667" s="16" t="s">
        <v>7390</v>
      </c>
      <c r="E6667" s="16">
        <v>2025.0</v>
      </c>
      <c r="F6667" s="16">
        <v>49.546</v>
      </c>
      <c r="G6667" s="16">
        <v>10.8821</v>
      </c>
      <c r="H6667" s="15"/>
      <c r="I6667" s="15"/>
    </row>
    <row r="6668">
      <c r="A6668" s="17">
        <v>45636.0</v>
      </c>
      <c r="B6668" s="16" t="s">
        <v>7481</v>
      </c>
      <c r="C6668" s="16" t="s">
        <v>984</v>
      </c>
      <c r="D6668" s="16" t="s">
        <v>7390</v>
      </c>
      <c r="E6668" s="16">
        <v>2025.0</v>
      </c>
      <c r="F6668" s="16">
        <v>51.3495</v>
      </c>
      <c r="G6668" s="16">
        <v>12.5106</v>
      </c>
      <c r="H6668" s="15"/>
      <c r="I6668" s="15"/>
    </row>
    <row r="6669">
      <c r="A6669" s="17">
        <v>45636.0</v>
      </c>
      <c r="B6669" s="16" t="s">
        <v>7482</v>
      </c>
      <c r="C6669" s="16" t="s">
        <v>969</v>
      </c>
      <c r="D6669" s="16" t="s">
        <v>7390</v>
      </c>
      <c r="E6669" s="16">
        <v>2025.0</v>
      </c>
      <c r="F6669" s="16">
        <v>52.3117</v>
      </c>
      <c r="G6669" s="16">
        <v>10.5488</v>
      </c>
      <c r="H6669" s="15"/>
      <c r="I6669" s="15"/>
    </row>
    <row r="6670">
      <c r="A6670" s="17">
        <v>45636.0</v>
      </c>
      <c r="B6670" s="16" t="s">
        <v>7483</v>
      </c>
      <c r="C6670" s="16" t="s">
        <v>1310</v>
      </c>
      <c r="D6670" s="16" t="s">
        <v>7390</v>
      </c>
      <c r="E6670" s="16">
        <v>2025.0</v>
      </c>
      <c r="F6670" s="16">
        <v>52.5507</v>
      </c>
      <c r="G6670" s="16">
        <v>13.114</v>
      </c>
      <c r="H6670" s="15"/>
      <c r="I6670" s="15"/>
    </row>
    <row r="6671">
      <c r="A6671" s="17">
        <v>45636.0</v>
      </c>
      <c r="B6671" s="16" t="s">
        <v>7484</v>
      </c>
      <c r="C6671" s="16" t="s">
        <v>1051</v>
      </c>
      <c r="D6671" s="16" t="s">
        <v>7390</v>
      </c>
      <c r="E6671" s="16">
        <v>2025.0</v>
      </c>
      <c r="F6671" s="16">
        <v>52.4566</v>
      </c>
      <c r="G6671" s="16">
        <v>10.5503</v>
      </c>
      <c r="H6671" s="15"/>
      <c r="I6671" s="15"/>
    </row>
    <row r="6672">
      <c r="A6672" s="17">
        <v>45636.0</v>
      </c>
      <c r="B6672" s="16" t="s">
        <v>7485</v>
      </c>
      <c r="C6672" s="16" t="s">
        <v>1351</v>
      </c>
      <c r="D6672" s="16" t="s">
        <v>7390</v>
      </c>
      <c r="E6672" s="16">
        <v>2025.0</v>
      </c>
      <c r="F6672" s="16">
        <v>52.2379</v>
      </c>
      <c r="G6672" s="16">
        <v>12.0673</v>
      </c>
      <c r="H6672" s="15"/>
      <c r="I6672" s="15"/>
    </row>
    <row r="6673">
      <c r="A6673" s="17">
        <v>45636.0</v>
      </c>
      <c r="B6673" s="16" t="s">
        <v>7486</v>
      </c>
      <c r="C6673" s="16" t="s">
        <v>942</v>
      </c>
      <c r="D6673" s="16" t="s">
        <v>7390</v>
      </c>
      <c r="E6673" s="16">
        <v>2025.0</v>
      </c>
      <c r="F6673" s="16">
        <v>49.0697</v>
      </c>
      <c r="G6673" s="16">
        <v>8.2965</v>
      </c>
      <c r="H6673" s="15"/>
      <c r="I6673" s="15"/>
    </row>
    <row r="6674">
      <c r="A6674" s="17">
        <v>45636.0</v>
      </c>
      <c r="B6674" s="16" t="s">
        <v>7487</v>
      </c>
      <c r="C6674" s="16" t="s">
        <v>4871</v>
      </c>
      <c r="D6674" s="16" t="s">
        <v>7390</v>
      </c>
      <c r="E6674" s="16">
        <v>2025.0</v>
      </c>
      <c r="F6674" s="16">
        <v>48.1803</v>
      </c>
      <c r="G6674" s="16">
        <v>10.5363</v>
      </c>
      <c r="H6674" s="15"/>
      <c r="I6674" s="15"/>
    </row>
    <row r="6675">
      <c r="A6675" s="17">
        <v>45636.0</v>
      </c>
      <c r="B6675" s="16" t="s">
        <v>7488</v>
      </c>
      <c r="C6675" s="16" t="s">
        <v>1101</v>
      </c>
      <c r="D6675" s="16" t="s">
        <v>7390</v>
      </c>
      <c r="E6675" s="16">
        <v>2025.0</v>
      </c>
      <c r="F6675" s="16">
        <v>50.8898</v>
      </c>
      <c r="G6675" s="16">
        <v>9.8688</v>
      </c>
      <c r="H6675" s="15"/>
      <c r="I6675" s="15"/>
    </row>
    <row r="6676">
      <c r="A6676" s="17">
        <v>45636.0</v>
      </c>
      <c r="B6676" s="16" t="s">
        <v>7489</v>
      </c>
      <c r="C6676" s="16">
        <v>6.0</v>
      </c>
      <c r="D6676" s="16" t="s">
        <v>7390</v>
      </c>
      <c r="E6676" s="16">
        <v>2025.0</v>
      </c>
      <c r="F6676" s="16">
        <v>48.0305</v>
      </c>
      <c r="G6676" s="16">
        <v>11.6696</v>
      </c>
      <c r="H6676" s="15"/>
      <c r="I6676" s="15"/>
    </row>
    <row r="6677">
      <c r="A6677" s="17">
        <v>45636.0</v>
      </c>
      <c r="B6677" s="16" t="s">
        <v>7490</v>
      </c>
      <c r="C6677" s="16" t="s">
        <v>1007</v>
      </c>
      <c r="D6677" s="16" t="s">
        <v>7390</v>
      </c>
      <c r="E6677" s="16">
        <v>2025.0</v>
      </c>
      <c r="F6677" s="16">
        <v>48.1076</v>
      </c>
      <c r="G6677" s="16">
        <v>11.3419</v>
      </c>
      <c r="H6677" s="15"/>
      <c r="I6677" s="15"/>
    </row>
    <row r="6678">
      <c r="A6678" s="17">
        <v>45636.0</v>
      </c>
      <c r="B6678" s="16" t="s">
        <v>7491</v>
      </c>
      <c r="C6678" s="16" t="s">
        <v>2770</v>
      </c>
      <c r="D6678" s="16" t="s">
        <v>7390</v>
      </c>
      <c r="E6678" s="16">
        <v>2025.0</v>
      </c>
      <c r="F6678" s="16">
        <v>48.3354</v>
      </c>
      <c r="G6678" s="16">
        <v>11.7249</v>
      </c>
      <c r="H6678" s="15"/>
      <c r="I6678" s="15"/>
    </row>
    <row r="6679">
      <c r="A6679" s="17">
        <v>45636.0</v>
      </c>
      <c r="B6679" s="16" t="s">
        <v>7492</v>
      </c>
      <c r="C6679" s="16" t="s">
        <v>1181</v>
      </c>
      <c r="D6679" s="16" t="s">
        <v>7390</v>
      </c>
      <c r="E6679" s="16">
        <v>2025.0</v>
      </c>
      <c r="F6679" s="16">
        <v>48.2182</v>
      </c>
      <c r="G6679" s="16">
        <v>11.2367</v>
      </c>
      <c r="H6679" s="15"/>
      <c r="I6679" s="15"/>
    </row>
    <row r="6680">
      <c r="A6680" s="17">
        <v>45636.0</v>
      </c>
      <c r="B6680" s="16" t="s">
        <v>7493</v>
      </c>
      <c r="C6680" s="16" t="s">
        <v>951</v>
      </c>
      <c r="D6680" s="16" t="s">
        <v>7390</v>
      </c>
      <c r="E6680" s="16">
        <v>2025.0</v>
      </c>
      <c r="F6680" s="16">
        <v>51.0916</v>
      </c>
      <c r="G6680" s="16">
        <v>12.9794</v>
      </c>
      <c r="H6680" s="15"/>
      <c r="I6680" s="15"/>
    </row>
    <row r="6681">
      <c r="A6681" s="17">
        <v>45636.0</v>
      </c>
      <c r="B6681" s="16" t="s">
        <v>7494</v>
      </c>
      <c r="C6681" s="16" t="s">
        <v>959</v>
      </c>
      <c r="D6681" s="16" t="s">
        <v>7390</v>
      </c>
      <c r="E6681" s="16">
        <v>2025.0</v>
      </c>
      <c r="F6681" s="16">
        <v>52.4667</v>
      </c>
      <c r="G6681" s="16">
        <v>12.2482</v>
      </c>
      <c r="H6681" s="15"/>
      <c r="I6681" s="15"/>
    </row>
    <row r="6682">
      <c r="A6682" s="17">
        <v>45636.0</v>
      </c>
      <c r="B6682" s="16" t="s">
        <v>7495</v>
      </c>
      <c r="C6682" s="16" t="s">
        <v>1454</v>
      </c>
      <c r="D6682" s="16" t="s">
        <v>7390</v>
      </c>
      <c r="E6682" s="16">
        <v>2025.0</v>
      </c>
      <c r="F6682" s="16">
        <v>49.5943</v>
      </c>
      <c r="G6682" s="16">
        <v>11.9993</v>
      </c>
      <c r="H6682" s="15"/>
      <c r="I6682" s="15"/>
    </row>
    <row r="6683">
      <c r="A6683" s="17">
        <v>45636.0</v>
      </c>
      <c r="B6683" s="16" t="s">
        <v>7496</v>
      </c>
      <c r="C6683" s="16" t="s">
        <v>1051</v>
      </c>
      <c r="D6683" s="16" t="s">
        <v>7390</v>
      </c>
      <c r="E6683" s="16">
        <v>2025.0</v>
      </c>
      <c r="F6683" s="16">
        <v>53.4962</v>
      </c>
      <c r="G6683" s="16">
        <v>9.3298</v>
      </c>
      <c r="H6683" s="15"/>
      <c r="I6683" s="15"/>
    </row>
    <row r="6684">
      <c r="A6684" s="17">
        <v>45636.0</v>
      </c>
      <c r="B6684" s="16" t="s">
        <v>7497</v>
      </c>
      <c r="C6684" s="16" t="s">
        <v>2184</v>
      </c>
      <c r="D6684" s="16" t="s">
        <v>7390</v>
      </c>
      <c r="E6684" s="16">
        <v>2025.0</v>
      </c>
      <c r="F6684" s="16">
        <v>48.8217</v>
      </c>
      <c r="G6684" s="16">
        <v>11.4951</v>
      </c>
      <c r="H6684" s="15"/>
      <c r="I6684" s="15"/>
    </row>
    <row r="6685">
      <c r="A6685" s="17">
        <v>45636.0</v>
      </c>
      <c r="B6685" s="16" t="s">
        <v>7498</v>
      </c>
      <c r="C6685" s="16" t="s">
        <v>959</v>
      </c>
      <c r="D6685" s="16" t="s">
        <v>7390</v>
      </c>
      <c r="E6685" s="16">
        <v>2025.0</v>
      </c>
      <c r="F6685" s="16">
        <v>52.3389</v>
      </c>
      <c r="G6685" s="16">
        <v>7.4429</v>
      </c>
      <c r="H6685" s="15"/>
      <c r="I6685" s="15"/>
    </row>
    <row r="6686">
      <c r="A6686" s="17">
        <v>45636.0</v>
      </c>
      <c r="B6686" s="16" t="s">
        <v>7499</v>
      </c>
      <c r="C6686" s="16" t="s">
        <v>951</v>
      </c>
      <c r="D6686" s="16" t="s">
        <v>7390</v>
      </c>
      <c r="E6686" s="16">
        <v>2025.0</v>
      </c>
      <c r="F6686" s="16">
        <v>52.1674</v>
      </c>
      <c r="G6686" s="16">
        <v>12.7737</v>
      </c>
      <c r="H6686" s="15"/>
      <c r="I6686" s="15"/>
    </row>
    <row r="6687">
      <c r="A6687" s="17">
        <v>45636.0</v>
      </c>
      <c r="B6687" s="16" t="s">
        <v>7500</v>
      </c>
      <c r="C6687" s="16" t="s">
        <v>1461</v>
      </c>
      <c r="D6687" s="16" t="s">
        <v>7390</v>
      </c>
      <c r="E6687" s="16">
        <v>2025.0</v>
      </c>
      <c r="F6687" s="16">
        <v>51.8326</v>
      </c>
      <c r="G6687" s="16">
        <v>13.9833</v>
      </c>
      <c r="H6687" s="15"/>
      <c r="I6687" s="15"/>
    </row>
    <row r="6688">
      <c r="A6688" s="17">
        <v>45636.0</v>
      </c>
      <c r="B6688" s="16" t="s">
        <v>7501</v>
      </c>
      <c r="C6688" s="16" t="s">
        <v>971</v>
      </c>
      <c r="D6688" s="16" t="s">
        <v>7390</v>
      </c>
      <c r="E6688" s="16">
        <v>2025.0</v>
      </c>
      <c r="F6688" s="16">
        <v>52.5476</v>
      </c>
      <c r="G6688" s="16">
        <v>13.5213</v>
      </c>
      <c r="H6688" s="15"/>
      <c r="I6688" s="15"/>
    </row>
    <row r="6689">
      <c r="A6689" s="17">
        <v>45636.0</v>
      </c>
      <c r="B6689" s="16" t="s">
        <v>7502</v>
      </c>
      <c r="C6689" s="16" t="s">
        <v>1002</v>
      </c>
      <c r="D6689" s="16" t="s">
        <v>7390</v>
      </c>
      <c r="E6689" s="16">
        <v>2025.0</v>
      </c>
      <c r="F6689" s="16">
        <v>48.8703</v>
      </c>
      <c r="G6689" s="16">
        <v>8.1825</v>
      </c>
      <c r="H6689" s="15"/>
      <c r="I6689" s="15"/>
    </row>
    <row r="6690">
      <c r="A6690" s="17">
        <v>45636.0</v>
      </c>
      <c r="B6690" s="16" t="s">
        <v>7503</v>
      </c>
      <c r="C6690" s="16" t="s">
        <v>982</v>
      </c>
      <c r="D6690" s="16" t="s">
        <v>7390</v>
      </c>
      <c r="E6690" s="16">
        <v>2025.0</v>
      </c>
      <c r="F6690" s="16">
        <v>49.0355</v>
      </c>
      <c r="G6690" s="16">
        <v>10.3247</v>
      </c>
      <c r="H6690" s="15"/>
      <c r="I6690" s="15"/>
    </row>
    <row r="6691">
      <c r="A6691" s="17">
        <v>45636.0</v>
      </c>
      <c r="B6691" s="16" t="s">
        <v>7504</v>
      </c>
      <c r="C6691" s="16" t="s">
        <v>2150</v>
      </c>
      <c r="D6691" s="16" t="s">
        <v>7390</v>
      </c>
      <c r="E6691" s="16">
        <v>2025.0</v>
      </c>
      <c r="F6691" s="16">
        <v>51.4626</v>
      </c>
      <c r="G6691" s="16">
        <v>11.2162</v>
      </c>
      <c r="H6691" s="15"/>
      <c r="I6691" s="15"/>
    </row>
    <row r="6692">
      <c r="A6692" s="17">
        <v>45636.0</v>
      </c>
      <c r="B6692" s="16" t="s">
        <v>7505</v>
      </c>
      <c r="C6692" s="16" t="s">
        <v>946</v>
      </c>
      <c r="D6692" s="16" t="s">
        <v>7390</v>
      </c>
      <c r="E6692" s="16">
        <v>2025.0</v>
      </c>
      <c r="F6692" s="16">
        <v>52.5182</v>
      </c>
      <c r="G6692" s="16">
        <v>9.4864</v>
      </c>
      <c r="H6692" s="15"/>
      <c r="I6692" s="15"/>
    </row>
    <row r="6693">
      <c r="A6693" s="17">
        <v>45636.0</v>
      </c>
      <c r="B6693" s="16" t="s">
        <v>7506</v>
      </c>
      <c r="C6693" s="16" t="s">
        <v>1085</v>
      </c>
      <c r="D6693" s="16" t="s">
        <v>7390</v>
      </c>
      <c r="E6693" s="16">
        <v>2025.0</v>
      </c>
      <c r="F6693" s="16">
        <v>51.484</v>
      </c>
      <c r="G6693" s="16">
        <v>6.554</v>
      </c>
      <c r="H6693" s="15"/>
      <c r="I6693" s="15"/>
    </row>
    <row r="6694">
      <c r="A6694" s="17">
        <v>45636.0</v>
      </c>
      <c r="B6694" s="16" t="s">
        <v>7507</v>
      </c>
      <c r="C6694" s="16" t="s">
        <v>4358</v>
      </c>
      <c r="D6694" s="16" t="s">
        <v>7390</v>
      </c>
      <c r="E6694" s="16">
        <v>2025.0</v>
      </c>
      <c r="F6694" s="16">
        <v>49.4407</v>
      </c>
      <c r="G6694" s="16">
        <v>9.3145</v>
      </c>
      <c r="H6694" s="15"/>
      <c r="I6694" s="15"/>
    </row>
    <row r="6695">
      <c r="A6695" s="17">
        <v>45636.0</v>
      </c>
      <c r="B6695" s="16" t="s">
        <v>7508</v>
      </c>
      <c r="C6695" s="16" t="s">
        <v>1598</v>
      </c>
      <c r="D6695" s="16" t="s">
        <v>7390</v>
      </c>
      <c r="E6695" s="16">
        <v>2025.0</v>
      </c>
      <c r="F6695" s="16">
        <v>48.9722</v>
      </c>
      <c r="G6695" s="16">
        <v>11.5444</v>
      </c>
      <c r="H6695" s="15"/>
      <c r="I6695" s="15"/>
    </row>
    <row r="6696">
      <c r="A6696" s="17">
        <v>45636.0</v>
      </c>
      <c r="B6696" s="16" t="s">
        <v>7509</v>
      </c>
      <c r="C6696" s="16">
        <v>11.0</v>
      </c>
      <c r="D6696" s="16" t="s">
        <v>7390</v>
      </c>
      <c r="E6696" s="16">
        <v>2025.0</v>
      </c>
      <c r="F6696" s="16">
        <v>48.9678</v>
      </c>
      <c r="G6696" s="16">
        <v>11.5131</v>
      </c>
      <c r="H6696" s="15"/>
      <c r="I6696" s="15"/>
    </row>
    <row r="6697">
      <c r="A6697" s="17">
        <v>45636.0</v>
      </c>
      <c r="B6697" s="16" t="s">
        <v>7510</v>
      </c>
      <c r="C6697" s="16" t="s">
        <v>1039</v>
      </c>
      <c r="D6697" s="16" t="s">
        <v>7390</v>
      </c>
      <c r="E6697" s="16">
        <v>2025.0</v>
      </c>
      <c r="F6697" s="16">
        <v>48.9514</v>
      </c>
      <c r="G6697" s="16">
        <v>11.5316</v>
      </c>
      <c r="H6697" s="15"/>
      <c r="I6697" s="15"/>
    </row>
    <row r="6698">
      <c r="A6698" s="17">
        <v>45636.0</v>
      </c>
      <c r="B6698" s="16" t="s">
        <v>7511</v>
      </c>
      <c r="C6698" s="16" t="s">
        <v>1581</v>
      </c>
      <c r="D6698" s="16" t="s">
        <v>7390</v>
      </c>
      <c r="E6698" s="16">
        <v>2025.0</v>
      </c>
      <c r="F6698" s="16">
        <v>48.5188</v>
      </c>
      <c r="G6698" s="16">
        <v>11.2304</v>
      </c>
      <c r="H6698" s="15"/>
      <c r="I6698" s="15"/>
    </row>
    <row r="6699">
      <c r="A6699" s="17">
        <v>45636.0</v>
      </c>
      <c r="B6699" s="16" t="s">
        <v>7512</v>
      </c>
      <c r="C6699" s="16">
        <v>2.0</v>
      </c>
      <c r="D6699" s="16" t="s">
        <v>7390</v>
      </c>
      <c r="E6699" s="16">
        <v>2025.0</v>
      </c>
      <c r="F6699" s="16">
        <v>50.3584</v>
      </c>
      <c r="G6699" s="16">
        <v>10.9162</v>
      </c>
      <c r="H6699" s="15"/>
      <c r="I6699" s="15"/>
    </row>
    <row r="6700">
      <c r="A6700" s="17">
        <v>45636.0</v>
      </c>
      <c r="B6700" s="16" t="s">
        <v>7513</v>
      </c>
      <c r="C6700" s="16" t="s">
        <v>1581</v>
      </c>
      <c r="D6700" s="16" t="s">
        <v>7390</v>
      </c>
      <c r="E6700" s="16">
        <v>2025.0</v>
      </c>
      <c r="F6700" s="16">
        <v>48.6557</v>
      </c>
      <c r="G6700" s="16">
        <v>11.3887</v>
      </c>
      <c r="H6700" s="15"/>
      <c r="I6700" s="15"/>
    </row>
    <row r="6701">
      <c r="A6701" s="17">
        <v>45636.0</v>
      </c>
      <c r="B6701" s="16" t="s">
        <v>7514</v>
      </c>
      <c r="C6701" s="16" t="s">
        <v>1690</v>
      </c>
      <c r="D6701" s="16" t="s">
        <v>7390</v>
      </c>
      <c r="E6701" s="16">
        <v>2025.0</v>
      </c>
      <c r="F6701" s="16">
        <v>49.1946</v>
      </c>
      <c r="G6701" s="16">
        <v>11.6791</v>
      </c>
      <c r="H6701" s="15"/>
      <c r="I6701" s="15"/>
    </row>
    <row r="6702">
      <c r="A6702" s="17">
        <v>45636.0</v>
      </c>
      <c r="B6702" s="16" t="s">
        <v>7515</v>
      </c>
      <c r="C6702" s="16" t="s">
        <v>6673</v>
      </c>
      <c r="D6702" s="16" t="s">
        <v>7390</v>
      </c>
      <c r="E6702" s="16">
        <v>2025.0</v>
      </c>
      <c r="F6702" s="16">
        <v>50.157</v>
      </c>
      <c r="G6702" s="16">
        <v>11.8299</v>
      </c>
      <c r="H6702" s="15"/>
      <c r="I6702" s="15"/>
    </row>
    <row r="6703">
      <c r="A6703" s="17">
        <v>45636.0</v>
      </c>
      <c r="B6703" s="16" t="s">
        <v>7516</v>
      </c>
      <c r="C6703" s="16" t="s">
        <v>1101</v>
      </c>
      <c r="D6703" s="16" t="s">
        <v>7390</v>
      </c>
      <c r="E6703" s="16">
        <v>2025.0</v>
      </c>
      <c r="F6703" s="16">
        <v>49.2001</v>
      </c>
      <c r="G6703" s="16">
        <v>8.3105</v>
      </c>
      <c r="H6703" s="15"/>
      <c r="I6703" s="15"/>
    </row>
    <row r="6704">
      <c r="A6704" s="17">
        <v>45636.0</v>
      </c>
      <c r="B6704" s="16" t="s">
        <v>7517</v>
      </c>
      <c r="C6704" s="16" t="s">
        <v>1034</v>
      </c>
      <c r="D6704" s="16" t="s">
        <v>7390</v>
      </c>
      <c r="E6704" s="16">
        <v>2025.0</v>
      </c>
      <c r="F6704" s="16">
        <v>51.3723</v>
      </c>
      <c r="G6704" s="16">
        <v>6.64</v>
      </c>
      <c r="H6704" s="15"/>
      <c r="I6704" s="15"/>
    </row>
    <row r="6705">
      <c r="A6705" s="17">
        <v>45636.0</v>
      </c>
      <c r="B6705" s="16" t="s">
        <v>7518</v>
      </c>
      <c r="C6705" s="16" t="s">
        <v>1475</v>
      </c>
      <c r="D6705" s="16" t="s">
        <v>7390</v>
      </c>
      <c r="E6705" s="16">
        <v>2025.0</v>
      </c>
      <c r="F6705" s="16">
        <v>47.9131</v>
      </c>
      <c r="G6705" s="16">
        <v>9.0329</v>
      </c>
      <c r="H6705" s="15"/>
      <c r="I6705" s="15"/>
    </row>
    <row r="6706">
      <c r="A6706" s="17">
        <v>45636.0</v>
      </c>
      <c r="B6706" s="16" t="s">
        <v>7519</v>
      </c>
      <c r="C6706" s="16" t="s">
        <v>946</v>
      </c>
      <c r="D6706" s="16" t="s">
        <v>7390</v>
      </c>
      <c r="E6706" s="16">
        <v>2025.0</v>
      </c>
      <c r="F6706" s="16">
        <v>52.1353</v>
      </c>
      <c r="G6706" s="16">
        <v>7.0314</v>
      </c>
      <c r="H6706" s="15"/>
      <c r="I6706" s="15"/>
    </row>
    <row r="6707">
      <c r="A6707" s="17">
        <v>45636.0</v>
      </c>
      <c r="B6707" s="16" t="s">
        <v>7520</v>
      </c>
      <c r="C6707" s="16">
        <v>1.0</v>
      </c>
      <c r="D6707" s="16" t="s">
        <v>7390</v>
      </c>
      <c r="E6707" s="16">
        <v>2025.0</v>
      </c>
      <c r="F6707" s="16">
        <v>54.149</v>
      </c>
      <c r="G6707" s="16">
        <v>8.9345</v>
      </c>
      <c r="H6707" s="15"/>
      <c r="I6707" s="15"/>
    </row>
    <row r="6708">
      <c r="A6708" s="17">
        <v>45636.0</v>
      </c>
      <c r="B6708" s="16" t="s">
        <v>7521</v>
      </c>
      <c r="C6708" s="16" t="s">
        <v>942</v>
      </c>
      <c r="D6708" s="16" t="s">
        <v>7390</v>
      </c>
      <c r="E6708" s="16">
        <v>2025.0</v>
      </c>
      <c r="F6708" s="16">
        <v>51.9369</v>
      </c>
      <c r="G6708" s="16">
        <v>8.6532</v>
      </c>
      <c r="H6708" s="15"/>
      <c r="I6708" s="15"/>
    </row>
    <row r="6709">
      <c r="A6709" s="17">
        <v>45636.0</v>
      </c>
      <c r="B6709" s="16" t="s">
        <v>7522</v>
      </c>
      <c r="C6709" s="16" t="s">
        <v>1215</v>
      </c>
      <c r="D6709" s="16" t="s">
        <v>7390</v>
      </c>
      <c r="E6709" s="16">
        <v>2025.0</v>
      </c>
      <c r="F6709" s="16">
        <v>47.8182</v>
      </c>
      <c r="G6709" s="16">
        <v>12.9648</v>
      </c>
      <c r="H6709" s="15"/>
      <c r="I6709" s="15"/>
    </row>
    <row r="6710">
      <c r="A6710" s="17">
        <v>45636.0</v>
      </c>
      <c r="B6710" s="16" t="s">
        <v>7523</v>
      </c>
      <c r="C6710" s="16" t="s">
        <v>984</v>
      </c>
      <c r="D6710" s="16" t="s">
        <v>7390</v>
      </c>
      <c r="E6710" s="16">
        <v>2025.0</v>
      </c>
      <c r="F6710" s="16">
        <v>47.9576</v>
      </c>
      <c r="G6710" s="16">
        <v>12.5198</v>
      </c>
      <c r="H6710" s="15"/>
      <c r="I6710" s="15"/>
    </row>
    <row r="6711">
      <c r="A6711" s="17">
        <v>45636.0</v>
      </c>
      <c r="B6711" s="16" t="s">
        <v>7524</v>
      </c>
      <c r="C6711" s="16" t="s">
        <v>978</v>
      </c>
      <c r="D6711" s="16" t="s">
        <v>7390</v>
      </c>
      <c r="E6711" s="16">
        <v>2025.0</v>
      </c>
      <c r="F6711" s="16">
        <v>48.4309</v>
      </c>
      <c r="G6711" s="16">
        <v>13.383</v>
      </c>
      <c r="H6711" s="15"/>
      <c r="I6711" s="15"/>
    </row>
    <row r="6712">
      <c r="A6712" s="17">
        <v>45636.0</v>
      </c>
      <c r="B6712" s="16" t="s">
        <v>7525</v>
      </c>
      <c r="C6712" s="16" t="s">
        <v>3169</v>
      </c>
      <c r="D6712" s="16" t="s">
        <v>7390</v>
      </c>
      <c r="E6712" s="16">
        <v>2025.0</v>
      </c>
      <c r="F6712" s="16">
        <v>48.8226</v>
      </c>
      <c r="G6712" s="16">
        <v>11.4983</v>
      </c>
      <c r="H6712" s="15"/>
      <c r="I6712" s="15"/>
    </row>
    <row r="6713">
      <c r="A6713" s="17">
        <v>45636.0</v>
      </c>
      <c r="B6713" s="16" t="s">
        <v>7526</v>
      </c>
      <c r="C6713" s="16" t="s">
        <v>971</v>
      </c>
      <c r="D6713" s="16" t="s">
        <v>7390</v>
      </c>
      <c r="E6713" s="16">
        <v>2025.0</v>
      </c>
      <c r="F6713" s="16">
        <v>48.1957</v>
      </c>
      <c r="G6713" s="16">
        <v>10.4969</v>
      </c>
      <c r="H6713" s="15"/>
      <c r="I6713" s="15"/>
    </row>
    <row r="6714">
      <c r="A6714" s="17">
        <v>45636.0</v>
      </c>
      <c r="B6714" s="16" t="s">
        <v>7527</v>
      </c>
      <c r="C6714" s="16" t="s">
        <v>1203</v>
      </c>
      <c r="D6714" s="16" t="s">
        <v>7390</v>
      </c>
      <c r="E6714" s="16">
        <v>2025.0</v>
      </c>
      <c r="F6714" s="16">
        <v>48.1975</v>
      </c>
      <c r="G6714" s="16">
        <v>10.4978</v>
      </c>
      <c r="H6714" s="15"/>
      <c r="I6714" s="15"/>
    </row>
    <row r="6715">
      <c r="A6715" s="17">
        <v>45636.0</v>
      </c>
      <c r="B6715" s="16" t="s">
        <v>7528</v>
      </c>
      <c r="C6715" s="16" t="s">
        <v>1059</v>
      </c>
      <c r="D6715" s="16" t="s">
        <v>7390</v>
      </c>
      <c r="E6715" s="16">
        <v>2025.0</v>
      </c>
      <c r="F6715" s="16">
        <v>49.5124</v>
      </c>
      <c r="G6715" s="16">
        <v>7.1986</v>
      </c>
      <c r="H6715" s="15"/>
      <c r="I6715" s="15"/>
    </row>
    <row r="6716">
      <c r="A6716" s="17">
        <v>45636.0</v>
      </c>
      <c r="B6716" s="16" t="s">
        <v>7529</v>
      </c>
      <c r="C6716" s="16" t="s">
        <v>1745</v>
      </c>
      <c r="D6716" s="16" t="s">
        <v>7390</v>
      </c>
      <c r="E6716" s="16">
        <v>2025.0</v>
      </c>
      <c r="F6716" s="16">
        <v>49.6635</v>
      </c>
      <c r="G6716" s="16">
        <v>8.0264</v>
      </c>
      <c r="H6716" s="15"/>
      <c r="I6716" s="15"/>
    </row>
    <row r="6717">
      <c r="A6717" s="17">
        <v>45636.0</v>
      </c>
      <c r="B6717" s="16" t="s">
        <v>7530</v>
      </c>
      <c r="C6717" s="16" t="s">
        <v>1873</v>
      </c>
      <c r="D6717" s="16" t="s">
        <v>7390</v>
      </c>
      <c r="E6717" s="16">
        <v>2025.0</v>
      </c>
      <c r="F6717" s="16">
        <v>49.6144</v>
      </c>
      <c r="G6717" s="16">
        <v>8.6243</v>
      </c>
      <c r="H6717" s="15"/>
      <c r="I6717" s="15"/>
    </row>
    <row r="6718">
      <c r="A6718" s="17">
        <v>45636.0</v>
      </c>
      <c r="B6718" s="16" t="s">
        <v>7531</v>
      </c>
      <c r="C6718" s="16" t="s">
        <v>5955</v>
      </c>
      <c r="D6718" s="16" t="s">
        <v>7390</v>
      </c>
      <c r="E6718" s="16">
        <v>2025.0</v>
      </c>
      <c r="F6718" s="16">
        <v>52.1143</v>
      </c>
      <c r="G6718" s="16">
        <v>14.642</v>
      </c>
      <c r="H6718" s="15"/>
      <c r="I6718" s="15"/>
    </row>
    <row r="6719">
      <c r="A6719" s="17">
        <v>45636.0</v>
      </c>
      <c r="B6719" s="16" t="s">
        <v>7532</v>
      </c>
      <c r="C6719" s="16">
        <v>8.0</v>
      </c>
      <c r="D6719" s="16" t="s">
        <v>7390</v>
      </c>
      <c r="E6719" s="16">
        <v>2025.0</v>
      </c>
      <c r="F6719" s="16">
        <v>48.2169</v>
      </c>
      <c r="G6719" s="16">
        <v>11.1989</v>
      </c>
      <c r="H6719" s="15"/>
      <c r="I6719" s="15"/>
    </row>
    <row r="6720">
      <c r="A6720" s="17">
        <v>45636.0</v>
      </c>
      <c r="B6720" s="16" t="s">
        <v>7533</v>
      </c>
      <c r="C6720" s="16" t="s">
        <v>1037</v>
      </c>
      <c r="D6720" s="16" t="s">
        <v>7390</v>
      </c>
      <c r="E6720" s="16">
        <v>2025.0</v>
      </c>
      <c r="F6720" s="16">
        <v>51.5844</v>
      </c>
      <c r="G6720" s="16">
        <v>8.3596</v>
      </c>
      <c r="H6720" s="15"/>
      <c r="I6720" s="15"/>
    </row>
    <row r="6721">
      <c r="A6721" s="17">
        <v>45636.0</v>
      </c>
      <c r="B6721" s="16" t="s">
        <v>7534</v>
      </c>
      <c r="C6721" s="16" t="s">
        <v>1011</v>
      </c>
      <c r="D6721" s="16" t="s">
        <v>7390</v>
      </c>
      <c r="E6721" s="16">
        <v>2025.0</v>
      </c>
      <c r="F6721" s="16">
        <v>49.0085</v>
      </c>
      <c r="G6721" s="16">
        <v>11.6986</v>
      </c>
      <c r="H6721" s="15"/>
      <c r="I6721" s="15"/>
    </row>
    <row r="6722">
      <c r="A6722" s="17">
        <v>45636.0</v>
      </c>
      <c r="B6722" s="16" t="s">
        <v>7535</v>
      </c>
      <c r="C6722" s="16">
        <v>8.0</v>
      </c>
      <c r="D6722" s="16" t="s">
        <v>7390</v>
      </c>
      <c r="E6722" s="16">
        <v>2025.0</v>
      </c>
      <c r="F6722" s="16">
        <v>54.3984</v>
      </c>
      <c r="G6722" s="16">
        <v>9.6458</v>
      </c>
      <c r="H6722" s="15"/>
      <c r="I6722" s="15"/>
    </row>
    <row r="6723">
      <c r="A6723" s="17">
        <v>45636.0</v>
      </c>
      <c r="B6723" s="16" t="s">
        <v>7536</v>
      </c>
      <c r="C6723" s="16" t="s">
        <v>1004</v>
      </c>
      <c r="D6723" s="16" t="s">
        <v>7390</v>
      </c>
      <c r="E6723" s="16">
        <v>2025.0</v>
      </c>
      <c r="F6723" s="16">
        <v>52.8549</v>
      </c>
      <c r="G6723" s="16">
        <v>11.1223</v>
      </c>
      <c r="H6723" s="15"/>
      <c r="I6723" s="15"/>
    </row>
    <row r="6724">
      <c r="A6724" s="17">
        <v>45636.0</v>
      </c>
      <c r="B6724" s="16" t="s">
        <v>7537</v>
      </c>
      <c r="C6724" s="16" t="s">
        <v>1046</v>
      </c>
      <c r="D6724" s="16" t="s">
        <v>7390</v>
      </c>
      <c r="E6724" s="16">
        <v>2025.0</v>
      </c>
      <c r="F6724" s="16">
        <v>51.4727</v>
      </c>
      <c r="G6724" s="16">
        <v>11.2697</v>
      </c>
      <c r="H6724" s="15"/>
      <c r="I6724" s="15"/>
    </row>
    <row r="6725">
      <c r="A6725" s="17">
        <v>45636.0</v>
      </c>
      <c r="B6725" s="16" t="s">
        <v>7538</v>
      </c>
      <c r="C6725" s="16" t="s">
        <v>942</v>
      </c>
      <c r="D6725" s="16" t="s">
        <v>7390</v>
      </c>
      <c r="E6725" s="16">
        <v>2025.0</v>
      </c>
      <c r="F6725" s="16">
        <v>51.295</v>
      </c>
      <c r="G6725" s="16">
        <v>7.058</v>
      </c>
      <c r="H6725" s="15"/>
      <c r="I6725" s="15"/>
    </row>
    <row r="6726">
      <c r="A6726" s="17">
        <v>45636.0</v>
      </c>
      <c r="B6726" s="16" t="s">
        <v>7539</v>
      </c>
      <c r="C6726" s="16" t="s">
        <v>1037</v>
      </c>
      <c r="D6726" s="16" t="s">
        <v>7390</v>
      </c>
      <c r="E6726" s="16">
        <v>2025.0</v>
      </c>
      <c r="F6726" s="16">
        <v>47.9008</v>
      </c>
      <c r="G6726" s="16">
        <v>10.2451</v>
      </c>
      <c r="H6726" s="15"/>
      <c r="I6726" s="15"/>
    </row>
    <row r="6727">
      <c r="A6727" s="17">
        <v>45636.0</v>
      </c>
      <c r="B6727" s="16" t="s">
        <v>7540</v>
      </c>
      <c r="C6727" s="16" t="s">
        <v>959</v>
      </c>
      <c r="D6727" s="16" t="s">
        <v>7390</v>
      </c>
      <c r="E6727" s="16">
        <v>2025.0</v>
      </c>
      <c r="F6727" s="16">
        <v>52.5511</v>
      </c>
      <c r="G6727" s="16">
        <v>8.5897</v>
      </c>
      <c r="H6727" s="15"/>
      <c r="I6727" s="15"/>
    </row>
    <row r="6728">
      <c r="A6728" s="17">
        <v>45636.0</v>
      </c>
      <c r="B6728" s="16" t="s">
        <v>7541</v>
      </c>
      <c r="C6728" s="16" t="s">
        <v>1055</v>
      </c>
      <c r="D6728" s="16" t="s">
        <v>7390</v>
      </c>
      <c r="E6728" s="16">
        <v>2025.0</v>
      </c>
      <c r="F6728" s="16">
        <v>52.8354</v>
      </c>
      <c r="G6728" s="16">
        <v>7.7714</v>
      </c>
      <c r="H6728" s="15"/>
      <c r="I6728" s="15"/>
    </row>
    <row r="6729">
      <c r="A6729" s="17">
        <v>45636.0</v>
      </c>
      <c r="B6729" s="16" t="s">
        <v>7542</v>
      </c>
      <c r="C6729" s="16">
        <v>2.0</v>
      </c>
      <c r="D6729" s="16" t="s">
        <v>7390</v>
      </c>
      <c r="E6729" s="16">
        <v>2025.0</v>
      </c>
      <c r="F6729" s="16">
        <v>55.1482</v>
      </c>
      <c r="G6729" s="16">
        <v>7.5592</v>
      </c>
      <c r="H6729" s="15"/>
      <c r="I6729" s="15"/>
    </row>
    <row r="6730">
      <c r="A6730" s="17">
        <v>45636.0</v>
      </c>
      <c r="B6730" s="16" t="s">
        <v>7543</v>
      </c>
      <c r="C6730" s="16" t="s">
        <v>1090</v>
      </c>
      <c r="D6730" s="16" t="s">
        <v>7390</v>
      </c>
      <c r="E6730" s="16">
        <v>2025.0</v>
      </c>
      <c r="F6730" s="16">
        <v>51.9035</v>
      </c>
      <c r="G6730" s="16">
        <v>11.1096</v>
      </c>
      <c r="H6730" s="15"/>
      <c r="I6730" s="15"/>
    </row>
    <row r="6731">
      <c r="A6731" s="17">
        <v>45636.0</v>
      </c>
      <c r="B6731" s="16" t="s">
        <v>7544</v>
      </c>
      <c r="C6731" s="16" t="s">
        <v>1011</v>
      </c>
      <c r="D6731" s="16" t="s">
        <v>7390</v>
      </c>
      <c r="E6731" s="16">
        <v>2025.0</v>
      </c>
      <c r="F6731" s="16">
        <v>51.8978</v>
      </c>
      <c r="G6731" s="16">
        <v>11.1056</v>
      </c>
      <c r="H6731" s="15"/>
      <c r="I6731" s="15"/>
    </row>
    <row r="6732">
      <c r="A6732" s="17">
        <v>45636.0</v>
      </c>
      <c r="B6732" s="16" t="s">
        <v>7545</v>
      </c>
      <c r="C6732" s="16" t="s">
        <v>990</v>
      </c>
      <c r="D6732" s="16" t="s">
        <v>7390</v>
      </c>
      <c r="E6732" s="16">
        <v>2025.0</v>
      </c>
      <c r="F6732" s="16">
        <v>51.8978</v>
      </c>
      <c r="G6732" s="16">
        <v>11.1056</v>
      </c>
      <c r="H6732" s="15"/>
      <c r="I6732" s="15"/>
    </row>
    <row r="6733">
      <c r="A6733" s="17">
        <v>45636.0</v>
      </c>
      <c r="B6733" s="16" t="s">
        <v>7546</v>
      </c>
      <c r="C6733" s="16" t="s">
        <v>1215</v>
      </c>
      <c r="D6733" s="16" t="s">
        <v>7390</v>
      </c>
      <c r="E6733" s="16">
        <v>2025.0</v>
      </c>
      <c r="F6733" s="16">
        <v>51.8978</v>
      </c>
      <c r="G6733" s="16">
        <v>11.1056</v>
      </c>
      <c r="H6733" s="15"/>
      <c r="I6733" s="15"/>
    </row>
    <row r="6734">
      <c r="A6734" s="17">
        <v>45636.0</v>
      </c>
      <c r="B6734" s="16" t="s">
        <v>7547</v>
      </c>
      <c r="C6734" s="16" t="s">
        <v>1011</v>
      </c>
      <c r="D6734" s="16" t="s">
        <v>7390</v>
      </c>
      <c r="E6734" s="16">
        <v>2025.0</v>
      </c>
      <c r="F6734" s="16">
        <v>51.8978</v>
      </c>
      <c r="G6734" s="16">
        <v>11.1056</v>
      </c>
      <c r="H6734" s="15"/>
      <c r="I6734" s="15"/>
    </row>
    <row r="6735">
      <c r="A6735" s="17">
        <v>45636.0</v>
      </c>
      <c r="B6735" s="16" t="s">
        <v>7548</v>
      </c>
      <c r="C6735" s="16" t="s">
        <v>1215</v>
      </c>
      <c r="D6735" s="16" t="s">
        <v>7390</v>
      </c>
      <c r="E6735" s="16">
        <v>2025.0</v>
      </c>
      <c r="F6735" s="16">
        <v>51.8978</v>
      </c>
      <c r="G6735" s="16">
        <v>11.1056</v>
      </c>
      <c r="H6735" s="15"/>
      <c r="I6735" s="15"/>
    </row>
    <row r="6736">
      <c r="A6736" s="17">
        <v>45636.0</v>
      </c>
      <c r="B6736" s="16" t="s">
        <v>7549</v>
      </c>
      <c r="C6736" s="16">
        <v>2.0</v>
      </c>
      <c r="D6736" s="16" t="s">
        <v>7390</v>
      </c>
      <c r="E6736" s="16">
        <v>2025.0</v>
      </c>
      <c r="F6736" s="16">
        <v>50.5988</v>
      </c>
      <c r="G6736" s="16">
        <v>12.3241</v>
      </c>
      <c r="H6736" s="15"/>
      <c r="I6736" s="15"/>
    </row>
    <row r="6737">
      <c r="A6737" s="17">
        <v>45636.0</v>
      </c>
      <c r="B6737" s="16" t="s">
        <v>7550</v>
      </c>
      <c r="C6737" s="16" t="s">
        <v>969</v>
      </c>
      <c r="D6737" s="16" t="s">
        <v>7390</v>
      </c>
      <c r="E6737" s="16">
        <v>2025.0</v>
      </c>
      <c r="F6737" s="16">
        <v>49.7542</v>
      </c>
      <c r="G6737" s="16">
        <v>11.9671</v>
      </c>
      <c r="H6737" s="15"/>
      <c r="I6737" s="15"/>
    </row>
    <row r="6738">
      <c r="A6738" s="17">
        <v>45636.0</v>
      </c>
      <c r="B6738" s="16" t="s">
        <v>7551</v>
      </c>
      <c r="C6738" s="16" t="s">
        <v>1051</v>
      </c>
      <c r="D6738" s="16" t="s">
        <v>7390</v>
      </c>
      <c r="E6738" s="16">
        <v>2025.0</v>
      </c>
      <c r="F6738" s="16">
        <v>49.6377</v>
      </c>
      <c r="G6738" s="16">
        <v>11.8891</v>
      </c>
      <c r="H6738" s="15"/>
      <c r="I6738" s="15"/>
    </row>
    <row r="6739">
      <c r="A6739" s="17">
        <v>45636.0</v>
      </c>
      <c r="B6739" s="16" t="s">
        <v>7552</v>
      </c>
      <c r="C6739" s="16" t="s">
        <v>5137</v>
      </c>
      <c r="D6739" s="16" t="s">
        <v>7390</v>
      </c>
      <c r="E6739" s="16">
        <v>2025.0</v>
      </c>
      <c r="F6739" s="16">
        <v>50.9459</v>
      </c>
      <c r="G6739" s="16">
        <v>7.2571</v>
      </c>
      <c r="H6739" s="15"/>
      <c r="I6739" s="15"/>
    </row>
    <row r="6740">
      <c r="A6740" s="17">
        <v>45636.0</v>
      </c>
      <c r="B6740" s="16" t="s">
        <v>7553</v>
      </c>
      <c r="C6740" s="16" t="s">
        <v>6643</v>
      </c>
      <c r="D6740" s="16" t="s">
        <v>7390</v>
      </c>
      <c r="E6740" s="16">
        <v>2025.0</v>
      </c>
      <c r="F6740" s="16">
        <v>50.147</v>
      </c>
      <c r="G6740" s="16">
        <v>7.598</v>
      </c>
      <c r="H6740" s="15"/>
      <c r="I6740" s="15"/>
    </row>
    <row r="6741">
      <c r="A6741" s="17">
        <v>45636.0</v>
      </c>
      <c r="B6741" s="16" t="s">
        <v>7554</v>
      </c>
      <c r="C6741" s="16" t="s">
        <v>1096</v>
      </c>
      <c r="D6741" s="16" t="s">
        <v>7390</v>
      </c>
      <c r="E6741" s="16">
        <v>2025.0</v>
      </c>
      <c r="F6741" s="16">
        <v>53.9409</v>
      </c>
      <c r="G6741" s="16">
        <v>9.4624</v>
      </c>
      <c r="H6741" s="15"/>
      <c r="I6741" s="15"/>
    </row>
    <row r="6742">
      <c r="A6742" s="17">
        <v>45636.0</v>
      </c>
      <c r="B6742" s="16" t="s">
        <v>7555</v>
      </c>
      <c r="C6742" s="16" t="s">
        <v>1149</v>
      </c>
      <c r="D6742" s="16" t="s">
        <v>7390</v>
      </c>
      <c r="E6742" s="16">
        <v>2025.0</v>
      </c>
      <c r="F6742" s="16">
        <v>53.9404</v>
      </c>
      <c r="G6742" s="16">
        <v>9.46</v>
      </c>
      <c r="H6742" s="15"/>
      <c r="I6742" s="15"/>
    </row>
    <row r="6743">
      <c r="A6743" s="17">
        <v>45636.0</v>
      </c>
      <c r="B6743" s="16" t="s">
        <v>7556</v>
      </c>
      <c r="C6743" s="16" t="s">
        <v>7557</v>
      </c>
      <c r="D6743" s="16" t="s">
        <v>7390</v>
      </c>
      <c r="E6743" s="16">
        <v>2025.0</v>
      </c>
      <c r="F6743" s="16">
        <v>50.588</v>
      </c>
      <c r="G6743" s="16">
        <v>7.1223</v>
      </c>
      <c r="H6743" s="15"/>
      <c r="I6743" s="15"/>
    </row>
    <row r="6744">
      <c r="A6744" s="17">
        <v>45636.0</v>
      </c>
      <c r="B6744" s="16" t="s">
        <v>7558</v>
      </c>
      <c r="C6744" s="16" t="s">
        <v>1757</v>
      </c>
      <c r="D6744" s="16" t="s">
        <v>7390</v>
      </c>
      <c r="E6744" s="16">
        <v>2025.0</v>
      </c>
      <c r="F6744" s="16">
        <v>52.211</v>
      </c>
      <c r="G6744" s="16">
        <v>8.294</v>
      </c>
      <c r="H6744" s="15"/>
      <c r="I6744" s="15"/>
    </row>
    <row r="6745">
      <c r="A6745" s="17">
        <v>45636.0</v>
      </c>
      <c r="B6745" s="16" t="s">
        <v>7559</v>
      </c>
      <c r="C6745" s="16">
        <v>11.0</v>
      </c>
      <c r="D6745" s="16" t="s">
        <v>7390</v>
      </c>
      <c r="E6745" s="16">
        <v>2025.0</v>
      </c>
      <c r="F6745" s="16">
        <v>48.3219</v>
      </c>
      <c r="G6745" s="16">
        <v>10.2982</v>
      </c>
      <c r="H6745" s="15"/>
      <c r="I6745" s="15"/>
    </row>
    <row r="6746">
      <c r="A6746" s="17">
        <v>45636.0</v>
      </c>
      <c r="B6746" s="16" t="s">
        <v>7560</v>
      </c>
      <c r="C6746" s="16" t="s">
        <v>1454</v>
      </c>
      <c r="D6746" s="16" t="s">
        <v>7390</v>
      </c>
      <c r="E6746" s="16">
        <v>2025.0</v>
      </c>
      <c r="F6746" s="16">
        <v>47.9654</v>
      </c>
      <c r="G6746" s="16">
        <v>7.7074</v>
      </c>
      <c r="H6746" s="15"/>
      <c r="I6746" s="15"/>
    </row>
    <row r="6747">
      <c r="A6747" s="17">
        <v>45636.0</v>
      </c>
      <c r="B6747" s="16" t="s">
        <v>7561</v>
      </c>
      <c r="C6747" s="16" t="s">
        <v>2498</v>
      </c>
      <c r="D6747" s="16" t="s">
        <v>7390</v>
      </c>
      <c r="E6747" s="16">
        <v>2025.0</v>
      </c>
      <c r="F6747" s="16">
        <v>51.5845</v>
      </c>
      <c r="G6747" s="16">
        <v>13.1927</v>
      </c>
      <c r="H6747" s="15"/>
      <c r="I6747" s="15"/>
    </row>
    <row r="6748">
      <c r="A6748" s="17">
        <v>45636.0</v>
      </c>
      <c r="B6748" s="16" t="s">
        <v>7562</v>
      </c>
      <c r="C6748" s="16" t="s">
        <v>1094</v>
      </c>
      <c r="D6748" s="16" t="s">
        <v>7390</v>
      </c>
      <c r="E6748" s="16">
        <v>2025.0</v>
      </c>
      <c r="F6748" s="16">
        <v>47.9058</v>
      </c>
      <c r="G6748" s="16">
        <v>12.7169</v>
      </c>
      <c r="H6748" s="15"/>
      <c r="I6748" s="15"/>
    </row>
    <row r="6749">
      <c r="A6749" s="17">
        <v>45636.0</v>
      </c>
      <c r="B6749" s="16" t="s">
        <v>7563</v>
      </c>
      <c r="C6749" s="16" t="s">
        <v>1080</v>
      </c>
      <c r="D6749" s="16" t="s">
        <v>7390</v>
      </c>
      <c r="E6749" s="16">
        <v>2025.0</v>
      </c>
      <c r="F6749" s="16">
        <v>48.9557</v>
      </c>
      <c r="G6749" s="16">
        <v>8.729</v>
      </c>
      <c r="H6749" s="15"/>
      <c r="I6749" s="15"/>
    </row>
    <row r="6750">
      <c r="A6750" s="17">
        <v>45636.0</v>
      </c>
      <c r="B6750" s="16" t="s">
        <v>7564</v>
      </c>
      <c r="C6750" s="16" t="s">
        <v>1432</v>
      </c>
      <c r="D6750" s="16" t="s">
        <v>7390</v>
      </c>
      <c r="E6750" s="16">
        <v>2025.0</v>
      </c>
      <c r="F6750" s="16">
        <v>53.1625</v>
      </c>
      <c r="G6750" s="16">
        <v>8.1263</v>
      </c>
      <c r="H6750" s="15"/>
      <c r="I6750" s="15"/>
    </row>
    <row r="6751">
      <c r="A6751" s="17">
        <v>45636.0</v>
      </c>
      <c r="B6751" s="16" t="s">
        <v>7565</v>
      </c>
      <c r="C6751" s="16" t="s">
        <v>6647</v>
      </c>
      <c r="D6751" s="16" t="s">
        <v>7390</v>
      </c>
      <c r="E6751" s="16">
        <v>2025.0</v>
      </c>
      <c r="F6751" s="16">
        <v>49.7942</v>
      </c>
      <c r="G6751" s="16">
        <v>7.2198</v>
      </c>
      <c r="H6751" s="15"/>
      <c r="I6751" s="15"/>
    </row>
    <row r="6752">
      <c r="A6752" s="17">
        <v>45636.0</v>
      </c>
      <c r="B6752" s="16" t="s">
        <v>7566</v>
      </c>
      <c r="C6752" s="16" t="s">
        <v>1374</v>
      </c>
      <c r="D6752" s="16" t="s">
        <v>7390</v>
      </c>
      <c r="E6752" s="16">
        <v>2025.0</v>
      </c>
      <c r="F6752" s="16">
        <v>49.2498</v>
      </c>
      <c r="G6752" s="16">
        <v>8.1446</v>
      </c>
      <c r="H6752" s="15"/>
      <c r="I6752" s="15"/>
    </row>
    <row r="6753">
      <c r="A6753" s="17">
        <v>45636.0</v>
      </c>
      <c r="B6753" s="16" t="s">
        <v>7567</v>
      </c>
      <c r="C6753" s="16" t="s">
        <v>6032</v>
      </c>
      <c r="D6753" s="16" t="s">
        <v>7390</v>
      </c>
      <c r="E6753" s="16">
        <v>2025.0</v>
      </c>
      <c r="F6753" s="16">
        <v>51.8191</v>
      </c>
      <c r="G6753" s="16">
        <v>8.0807</v>
      </c>
      <c r="H6753" s="15"/>
      <c r="I6753" s="15"/>
    </row>
    <row r="6754">
      <c r="A6754" s="17">
        <v>45636.0</v>
      </c>
      <c r="B6754" s="16" t="s">
        <v>7568</v>
      </c>
      <c r="C6754" s="16" t="s">
        <v>1598</v>
      </c>
      <c r="D6754" s="16" t="s">
        <v>7390</v>
      </c>
      <c r="E6754" s="16">
        <v>2025.0</v>
      </c>
      <c r="F6754" s="16">
        <v>50.6576</v>
      </c>
      <c r="G6754" s="16">
        <v>6.8189</v>
      </c>
      <c r="H6754" s="15"/>
      <c r="I6754" s="15"/>
    </row>
    <row r="6755">
      <c r="A6755" s="17">
        <v>45636.0</v>
      </c>
      <c r="B6755" s="16" t="s">
        <v>7569</v>
      </c>
      <c r="C6755" s="16" t="s">
        <v>1172</v>
      </c>
      <c r="D6755" s="16" t="s">
        <v>7390</v>
      </c>
      <c r="E6755" s="16">
        <v>2025.0</v>
      </c>
      <c r="F6755" s="16">
        <v>48.4398</v>
      </c>
      <c r="G6755" s="16">
        <v>10.2083</v>
      </c>
      <c r="H6755" s="15"/>
      <c r="I6755" s="15"/>
    </row>
    <row r="6756">
      <c r="A6756" s="17">
        <v>45636.0</v>
      </c>
      <c r="B6756" s="16" t="s">
        <v>7570</v>
      </c>
      <c r="C6756" s="16" t="s">
        <v>3086</v>
      </c>
      <c r="D6756" s="16" t="s">
        <v>7390</v>
      </c>
      <c r="E6756" s="16">
        <v>2025.0</v>
      </c>
      <c r="F6756" s="16">
        <v>52.2692</v>
      </c>
      <c r="G6756" s="16">
        <v>10.7018</v>
      </c>
      <c r="H6756" s="15"/>
      <c r="I6756" s="15"/>
    </row>
    <row r="6757">
      <c r="A6757" s="17">
        <v>45636.0</v>
      </c>
      <c r="B6757" s="16" t="s">
        <v>7571</v>
      </c>
      <c r="C6757" s="16" t="s">
        <v>6643</v>
      </c>
      <c r="D6757" s="16" t="s">
        <v>7390</v>
      </c>
      <c r="E6757" s="16">
        <v>2025.0</v>
      </c>
      <c r="F6757" s="16">
        <v>49.5115</v>
      </c>
      <c r="G6757" s="16">
        <v>9.4968</v>
      </c>
      <c r="H6757" s="15"/>
      <c r="I6757" s="15"/>
    </row>
    <row r="6758">
      <c r="A6758" s="17">
        <v>45636.0</v>
      </c>
      <c r="B6758" s="16" t="s">
        <v>7572</v>
      </c>
      <c r="C6758" s="16" t="s">
        <v>2184</v>
      </c>
      <c r="D6758" s="16" t="s">
        <v>7390</v>
      </c>
      <c r="E6758" s="16">
        <v>2025.0</v>
      </c>
      <c r="F6758" s="16">
        <v>52.7672</v>
      </c>
      <c r="G6758" s="16">
        <v>9.6115</v>
      </c>
      <c r="H6758" s="15"/>
      <c r="I6758" s="15"/>
    </row>
    <row r="6759">
      <c r="A6759" s="17">
        <v>45636.0</v>
      </c>
      <c r="B6759" s="16" t="s">
        <v>7573</v>
      </c>
      <c r="C6759" s="16">
        <v>8.0</v>
      </c>
      <c r="D6759" s="16" t="s">
        <v>7390</v>
      </c>
      <c r="E6759" s="16">
        <v>2025.0</v>
      </c>
      <c r="F6759" s="16">
        <v>48.3623</v>
      </c>
      <c r="G6759" s="16">
        <v>9.7868</v>
      </c>
      <c r="H6759" s="15"/>
      <c r="I6759" s="15"/>
    </row>
    <row r="6760">
      <c r="A6760" s="17">
        <v>45636.0</v>
      </c>
      <c r="B6760" s="16" t="s">
        <v>7574</v>
      </c>
      <c r="C6760" s="16" t="s">
        <v>2990</v>
      </c>
      <c r="D6760" s="16" t="s">
        <v>7390</v>
      </c>
      <c r="E6760" s="16">
        <v>2025.0</v>
      </c>
      <c r="F6760" s="16">
        <v>49.7503</v>
      </c>
      <c r="G6760" s="16">
        <v>9.3672</v>
      </c>
      <c r="H6760" s="15"/>
      <c r="I6760" s="15"/>
    </row>
    <row r="6761">
      <c r="A6761" s="17">
        <v>45636.0</v>
      </c>
      <c r="B6761" s="16" t="s">
        <v>7575</v>
      </c>
      <c r="C6761" s="16" t="s">
        <v>1096</v>
      </c>
      <c r="D6761" s="16" t="s">
        <v>7390</v>
      </c>
      <c r="E6761" s="16">
        <v>2025.0</v>
      </c>
      <c r="F6761" s="16">
        <v>48.6594</v>
      </c>
      <c r="G6761" s="16">
        <v>11.4832</v>
      </c>
      <c r="H6761" s="15"/>
      <c r="I6761" s="15"/>
    </row>
    <row r="6762">
      <c r="A6762" s="17">
        <v>45636.0</v>
      </c>
      <c r="B6762" s="16" t="s">
        <v>7576</v>
      </c>
      <c r="C6762" s="16" t="s">
        <v>2099</v>
      </c>
      <c r="D6762" s="16" t="s">
        <v>7390</v>
      </c>
      <c r="E6762" s="16">
        <v>2025.0</v>
      </c>
      <c r="F6762" s="16">
        <v>49.4915</v>
      </c>
      <c r="G6762" s="16">
        <v>9.4668</v>
      </c>
      <c r="H6762" s="15"/>
      <c r="I6762" s="15"/>
    </row>
    <row r="6763">
      <c r="A6763" s="17">
        <v>45636.0</v>
      </c>
      <c r="B6763" s="16" t="s">
        <v>7577</v>
      </c>
      <c r="C6763" s="16">
        <v>4.0</v>
      </c>
      <c r="D6763" s="16" t="s">
        <v>7390</v>
      </c>
      <c r="E6763" s="16">
        <v>2025.0</v>
      </c>
      <c r="F6763" s="16">
        <v>47.8048</v>
      </c>
      <c r="G6763" s="16">
        <v>11.624</v>
      </c>
      <c r="H6763" s="15"/>
      <c r="I6763" s="15"/>
    </row>
    <row r="6764">
      <c r="A6764" s="17">
        <v>45636.0</v>
      </c>
      <c r="B6764" s="16" t="s">
        <v>7578</v>
      </c>
      <c r="C6764" s="16">
        <v>2.0</v>
      </c>
      <c r="D6764" s="16" t="s">
        <v>7390</v>
      </c>
      <c r="E6764" s="16">
        <v>2025.0</v>
      </c>
      <c r="F6764" s="16">
        <v>50.4134</v>
      </c>
      <c r="G6764" s="16">
        <v>10.8028</v>
      </c>
      <c r="H6764" s="15"/>
      <c r="I6764" s="15"/>
    </row>
    <row r="6765">
      <c r="A6765" s="17">
        <v>45636.0</v>
      </c>
      <c r="B6765" s="16" t="s">
        <v>7579</v>
      </c>
      <c r="C6765" s="16" t="s">
        <v>1167</v>
      </c>
      <c r="D6765" s="16" t="s">
        <v>7390</v>
      </c>
      <c r="E6765" s="16">
        <v>2025.0</v>
      </c>
      <c r="F6765" s="16">
        <v>52.2394</v>
      </c>
      <c r="G6765" s="16">
        <v>14.5787</v>
      </c>
      <c r="H6765" s="15"/>
      <c r="I6765" s="15"/>
    </row>
    <row r="6766">
      <c r="A6766" s="17">
        <v>45636.0</v>
      </c>
      <c r="B6766" s="16" t="s">
        <v>7580</v>
      </c>
      <c r="C6766" s="16">
        <v>2.0</v>
      </c>
      <c r="D6766" s="16" t="s">
        <v>7390</v>
      </c>
      <c r="E6766" s="16">
        <v>2025.0</v>
      </c>
      <c r="F6766" s="16">
        <v>51.4568</v>
      </c>
      <c r="G6766" s="16">
        <v>7.383</v>
      </c>
      <c r="H6766" s="15"/>
      <c r="I6766" s="15"/>
    </row>
    <row r="6767">
      <c r="A6767" s="17">
        <v>45636.0</v>
      </c>
      <c r="B6767" s="16" t="s">
        <v>7581</v>
      </c>
      <c r="C6767" s="16" t="s">
        <v>1037</v>
      </c>
      <c r="D6767" s="16" t="s">
        <v>7390</v>
      </c>
      <c r="E6767" s="16">
        <v>2025.0</v>
      </c>
      <c r="F6767" s="16">
        <v>50.3416</v>
      </c>
      <c r="G6767" s="16">
        <v>8.2185</v>
      </c>
      <c r="H6767" s="15"/>
      <c r="I6767" s="15"/>
    </row>
    <row r="6768">
      <c r="A6768" s="17">
        <v>45636.0</v>
      </c>
      <c r="B6768" s="16" t="s">
        <v>7582</v>
      </c>
      <c r="C6768" s="16" t="s">
        <v>969</v>
      </c>
      <c r="D6768" s="16" t="s">
        <v>7390</v>
      </c>
      <c r="E6768" s="16">
        <v>2025.0</v>
      </c>
      <c r="F6768" s="16">
        <v>51.2056</v>
      </c>
      <c r="G6768" s="16">
        <v>13.7255</v>
      </c>
      <c r="H6768" s="15"/>
      <c r="I6768" s="15"/>
    </row>
    <row r="6769">
      <c r="A6769" s="17">
        <v>45636.0</v>
      </c>
      <c r="B6769" s="16" t="s">
        <v>7583</v>
      </c>
      <c r="C6769" s="16" t="s">
        <v>969</v>
      </c>
      <c r="D6769" s="16" t="s">
        <v>7390</v>
      </c>
      <c r="E6769" s="16">
        <v>2025.0</v>
      </c>
      <c r="F6769" s="16">
        <v>50.857</v>
      </c>
      <c r="G6769" s="16">
        <v>12.1818</v>
      </c>
      <c r="H6769" s="15"/>
      <c r="I6769" s="15"/>
    </row>
    <row r="6770">
      <c r="A6770" s="17">
        <v>45636.0</v>
      </c>
      <c r="B6770" s="16" t="s">
        <v>7584</v>
      </c>
      <c r="C6770" s="16">
        <v>3.0</v>
      </c>
      <c r="D6770" s="16" t="s">
        <v>7390</v>
      </c>
      <c r="E6770" s="16">
        <v>2025.0</v>
      </c>
      <c r="F6770" s="16">
        <v>49.6297</v>
      </c>
      <c r="G6770" s="16">
        <v>8.2369</v>
      </c>
      <c r="H6770" s="15"/>
      <c r="I6770" s="15"/>
    </row>
    <row r="6771">
      <c r="A6771" s="17">
        <v>45636.0</v>
      </c>
      <c r="B6771" s="16" t="s">
        <v>7585</v>
      </c>
      <c r="C6771" s="16" t="s">
        <v>1059</v>
      </c>
      <c r="D6771" s="16" t="s">
        <v>7390</v>
      </c>
      <c r="E6771" s="16">
        <v>2025.0</v>
      </c>
      <c r="F6771" s="16">
        <v>49.665</v>
      </c>
      <c r="G6771" s="16">
        <v>8.3536</v>
      </c>
      <c r="H6771" s="15"/>
      <c r="I6771" s="15"/>
    </row>
    <row r="6772">
      <c r="A6772" s="17">
        <v>45636.0</v>
      </c>
      <c r="B6772" s="16" t="s">
        <v>7586</v>
      </c>
      <c r="C6772" s="16" t="s">
        <v>946</v>
      </c>
      <c r="D6772" s="16" t="s">
        <v>7390</v>
      </c>
      <c r="E6772" s="16">
        <v>2025.0</v>
      </c>
      <c r="F6772" s="16">
        <v>49.6461</v>
      </c>
      <c r="G6772" s="16">
        <v>8.3678</v>
      </c>
      <c r="H6772" s="15"/>
      <c r="I6772" s="15"/>
    </row>
    <row r="6773">
      <c r="A6773" s="17">
        <v>45636.0</v>
      </c>
      <c r="B6773" s="16" t="s">
        <v>7587</v>
      </c>
      <c r="C6773" s="16" t="s">
        <v>1436</v>
      </c>
      <c r="D6773" s="16" t="s">
        <v>7390</v>
      </c>
      <c r="E6773" s="16">
        <v>2025.0</v>
      </c>
      <c r="F6773" s="16">
        <v>51.9162</v>
      </c>
      <c r="G6773" s="16">
        <v>7.1834</v>
      </c>
      <c r="H6773" s="15"/>
      <c r="I6773" s="15"/>
    </row>
    <row r="6774">
      <c r="A6774" s="17">
        <v>45636.0</v>
      </c>
      <c r="B6774" s="16" t="s">
        <v>7588</v>
      </c>
      <c r="C6774" s="16" t="s">
        <v>1172</v>
      </c>
      <c r="D6774" s="16" t="s">
        <v>7390</v>
      </c>
      <c r="E6774" s="16">
        <v>2025.0</v>
      </c>
      <c r="F6774" s="16">
        <v>51.4534</v>
      </c>
      <c r="G6774" s="16">
        <v>11.2114</v>
      </c>
      <c r="H6774" s="15"/>
      <c r="I6774" s="15"/>
    </row>
    <row r="6775">
      <c r="A6775" s="17">
        <v>45636.0</v>
      </c>
      <c r="B6775" s="16" t="s">
        <v>7589</v>
      </c>
      <c r="C6775" s="16" t="s">
        <v>1055</v>
      </c>
      <c r="D6775" s="16" t="s">
        <v>7390</v>
      </c>
      <c r="E6775" s="16">
        <v>2025.0</v>
      </c>
      <c r="F6775" s="16">
        <v>50.9898</v>
      </c>
      <c r="G6775" s="16">
        <v>11.3435</v>
      </c>
      <c r="H6775" s="15"/>
      <c r="I6775" s="15"/>
    </row>
    <row r="6776">
      <c r="A6776" s="17">
        <v>45636.0</v>
      </c>
      <c r="B6776" s="16" t="s">
        <v>7590</v>
      </c>
      <c r="C6776" s="16" t="s">
        <v>1090</v>
      </c>
      <c r="D6776" s="16" t="s">
        <v>7390</v>
      </c>
      <c r="E6776" s="16">
        <v>2025.0</v>
      </c>
      <c r="F6776" s="16">
        <v>49.6118</v>
      </c>
      <c r="G6776" s="16">
        <v>12.2022</v>
      </c>
      <c r="H6776" s="15"/>
      <c r="I6776" s="15"/>
    </row>
    <row r="6777">
      <c r="A6777" s="17">
        <v>45636.0</v>
      </c>
      <c r="B6777" s="16" t="s">
        <v>7591</v>
      </c>
      <c r="C6777" s="16" t="s">
        <v>5955</v>
      </c>
      <c r="D6777" s="16" t="s">
        <v>7390</v>
      </c>
      <c r="E6777" s="16">
        <v>2025.0</v>
      </c>
      <c r="F6777" s="16">
        <v>53.3455</v>
      </c>
      <c r="G6777" s="16">
        <v>11.8298</v>
      </c>
      <c r="H6777" s="15"/>
      <c r="I6777" s="15"/>
    </row>
    <row r="6778">
      <c r="A6778" s="17">
        <v>45636.0</v>
      </c>
      <c r="B6778" s="16" t="s">
        <v>7592</v>
      </c>
      <c r="C6778" s="16" t="s">
        <v>2770</v>
      </c>
      <c r="D6778" s="16" t="s">
        <v>7390</v>
      </c>
      <c r="E6778" s="16">
        <v>2025.0</v>
      </c>
      <c r="F6778" s="16">
        <v>53.3453</v>
      </c>
      <c r="G6778" s="16">
        <v>11.8331</v>
      </c>
      <c r="H6778" s="15"/>
      <c r="I6778" s="15"/>
    </row>
    <row r="6779">
      <c r="A6779" s="17">
        <v>45636.0</v>
      </c>
      <c r="B6779" s="16" t="s">
        <v>7593</v>
      </c>
      <c r="C6779" s="16">
        <v>2.0</v>
      </c>
      <c r="D6779" s="16" t="s">
        <v>7390</v>
      </c>
      <c r="E6779" s="16">
        <v>2025.0</v>
      </c>
      <c r="F6779" s="16">
        <v>48.7935</v>
      </c>
      <c r="G6779" s="16">
        <v>9.861</v>
      </c>
      <c r="H6779" s="15"/>
      <c r="I6779" s="15"/>
    </row>
    <row r="6780">
      <c r="A6780" s="17">
        <v>45636.0</v>
      </c>
      <c r="B6780" s="16" t="s">
        <v>7594</v>
      </c>
      <c r="C6780" s="16" t="s">
        <v>942</v>
      </c>
      <c r="D6780" s="16" t="s">
        <v>7390</v>
      </c>
      <c r="E6780" s="16">
        <v>2025.0</v>
      </c>
      <c r="F6780" s="16">
        <v>52.0105</v>
      </c>
      <c r="G6780" s="16">
        <v>11.6921</v>
      </c>
      <c r="H6780" s="15"/>
      <c r="I6780" s="15"/>
    </row>
    <row r="6781">
      <c r="A6781" s="17">
        <v>45636.0</v>
      </c>
      <c r="B6781" s="16" t="s">
        <v>7595</v>
      </c>
      <c r="C6781" s="16" t="s">
        <v>1374</v>
      </c>
      <c r="D6781" s="16" t="s">
        <v>7390</v>
      </c>
      <c r="E6781" s="16">
        <v>2025.0</v>
      </c>
      <c r="F6781" s="16">
        <v>49.8461</v>
      </c>
      <c r="G6781" s="16">
        <v>12.1525</v>
      </c>
      <c r="H6781" s="15"/>
      <c r="I6781" s="15"/>
    </row>
    <row r="6782">
      <c r="A6782" s="17">
        <v>45636.0</v>
      </c>
      <c r="B6782" s="16" t="s">
        <v>7596</v>
      </c>
      <c r="C6782" s="16" t="s">
        <v>1609</v>
      </c>
      <c r="D6782" s="16" t="s">
        <v>7390</v>
      </c>
      <c r="E6782" s="16">
        <v>2025.0</v>
      </c>
      <c r="F6782" s="16">
        <v>53.94</v>
      </c>
      <c r="G6782" s="16">
        <v>12.77</v>
      </c>
      <c r="H6782" s="15"/>
      <c r="I6782" s="15"/>
    </row>
    <row r="6783">
      <c r="A6783" s="17">
        <v>45636.0</v>
      </c>
      <c r="B6783" s="16" t="s">
        <v>7597</v>
      </c>
      <c r="C6783" s="16" t="s">
        <v>1609</v>
      </c>
      <c r="D6783" s="16" t="s">
        <v>7390</v>
      </c>
      <c r="E6783" s="16">
        <v>2025.0</v>
      </c>
      <c r="F6783" s="16">
        <v>53.7</v>
      </c>
      <c r="G6783" s="16">
        <v>13.52</v>
      </c>
      <c r="H6783" s="15"/>
      <c r="I6783" s="15"/>
    </row>
    <row r="6784">
      <c r="A6784" s="17">
        <v>45636.0</v>
      </c>
      <c r="B6784" s="16" t="s">
        <v>7598</v>
      </c>
      <c r="C6784" s="16" t="s">
        <v>1690</v>
      </c>
      <c r="D6784" s="16" t="s">
        <v>7390</v>
      </c>
      <c r="E6784" s="16">
        <v>2025.0</v>
      </c>
      <c r="F6784" s="16">
        <v>49.3499</v>
      </c>
      <c r="G6784" s="16">
        <v>12.516</v>
      </c>
      <c r="H6784" s="15"/>
      <c r="I6784" s="15"/>
    </row>
    <row r="6785">
      <c r="A6785" s="17">
        <v>45636.0</v>
      </c>
      <c r="B6785" s="16" t="s">
        <v>7599</v>
      </c>
      <c r="C6785" s="16" t="s">
        <v>1037</v>
      </c>
      <c r="D6785" s="16" t="s">
        <v>7390</v>
      </c>
      <c r="E6785" s="16">
        <v>2025.0</v>
      </c>
      <c r="F6785" s="16">
        <v>53.6598</v>
      </c>
      <c r="G6785" s="16">
        <v>12.2661</v>
      </c>
      <c r="H6785" s="15"/>
      <c r="I6785" s="15"/>
    </row>
    <row r="6786">
      <c r="A6786" s="17">
        <v>45636.0</v>
      </c>
      <c r="B6786" s="16" t="s">
        <v>7600</v>
      </c>
      <c r="C6786" s="16" t="s">
        <v>2837</v>
      </c>
      <c r="D6786" s="16" t="s">
        <v>7390</v>
      </c>
      <c r="E6786" s="16">
        <v>2025.0</v>
      </c>
      <c r="F6786" s="16">
        <v>53.8221</v>
      </c>
      <c r="G6786" s="16">
        <v>12.3034</v>
      </c>
      <c r="H6786" s="15"/>
      <c r="I6786" s="15"/>
    </row>
    <row r="6787">
      <c r="A6787" s="17">
        <v>45636.0</v>
      </c>
      <c r="B6787" s="16" t="s">
        <v>7601</v>
      </c>
      <c r="C6787" s="16" t="s">
        <v>1203</v>
      </c>
      <c r="D6787" s="16" t="s">
        <v>7390</v>
      </c>
      <c r="E6787" s="16">
        <v>2025.0</v>
      </c>
      <c r="F6787" s="16">
        <v>48.1653</v>
      </c>
      <c r="G6787" s="16">
        <v>8.3962</v>
      </c>
      <c r="H6787" s="15"/>
      <c r="I6787" s="15"/>
    </row>
    <row r="6788">
      <c r="A6788" s="17">
        <v>45636.0</v>
      </c>
      <c r="B6788" s="16" t="s">
        <v>7602</v>
      </c>
      <c r="C6788" s="16" t="s">
        <v>5665</v>
      </c>
      <c r="D6788" s="16" t="s">
        <v>7390</v>
      </c>
      <c r="E6788" s="16">
        <v>2025.0</v>
      </c>
      <c r="F6788" s="16">
        <v>48.2017</v>
      </c>
      <c r="G6788" s="16">
        <v>8.5495</v>
      </c>
      <c r="H6788" s="15"/>
      <c r="I6788" s="15"/>
    </row>
    <row r="6789">
      <c r="A6789" s="17">
        <v>45636.0</v>
      </c>
      <c r="B6789" s="16" t="s">
        <v>7603</v>
      </c>
      <c r="C6789" s="16">
        <v>1.0</v>
      </c>
      <c r="D6789" s="16" t="s">
        <v>7390</v>
      </c>
      <c r="E6789" s="16">
        <v>2025.0</v>
      </c>
      <c r="F6789" s="16">
        <v>49.0882</v>
      </c>
      <c r="G6789" s="16">
        <v>12.1312</v>
      </c>
      <c r="H6789" s="15"/>
      <c r="I6789" s="15"/>
    </row>
    <row r="6790">
      <c r="A6790" s="17">
        <v>45636.0</v>
      </c>
      <c r="B6790" s="16" t="s">
        <v>7604</v>
      </c>
      <c r="C6790" s="16" t="s">
        <v>4064</v>
      </c>
      <c r="D6790" s="16" t="s">
        <v>7390</v>
      </c>
      <c r="E6790" s="16">
        <v>2025.0</v>
      </c>
      <c r="F6790" s="16">
        <v>51.6185</v>
      </c>
      <c r="G6790" s="16">
        <v>9.9099</v>
      </c>
      <c r="H6790" s="15"/>
      <c r="I6790" s="15"/>
    </row>
    <row r="6791">
      <c r="A6791" s="17">
        <v>45636.0</v>
      </c>
      <c r="B6791" s="16" t="s">
        <v>7605</v>
      </c>
      <c r="C6791" s="16">
        <v>5.0</v>
      </c>
      <c r="D6791" s="16" t="s">
        <v>7390</v>
      </c>
      <c r="E6791" s="16">
        <v>2025.0</v>
      </c>
      <c r="F6791" s="16">
        <v>51.6185</v>
      </c>
      <c r="G6791" s="16">
        <v>9.9099</v>
      </c>
      <c r="H6791" s="15"/>
      <c r="I6791" s="15"/>
    </row>
    <row r="6792">
      <c r="A6792" s="17">
        <v>45636.0</v>
      </c>
      <c r="B6792" s="16" t="s">
        <v>7606</v>
      </c>
      <c r="C6792" s="16" t="s">
        <v>1873</v>
      </c>
      <c r="D6792" s="16" t="s">
        <v>7390</v>
      </c>
      <c r="E6792" s="16">
        <v>2025.0</v>
      </c>
      <c r="F6792" s="16">
        <v>48.7755</v>
      </c>
      <c r="G6792" s="16">
        <v>8.1437</v>
      </c>
      <c r="H6792" s="15"/>
      <c r="I6792" s="15"/>
    </row>
    <row r="6793">
      <c r="A6793" s="17">
        <v>45636.0</v>
      </c>
      <c r="B6793" s="16" t="s">
        <v>7607</v>
      </c>
      <c r="C6793" s="16" t="s">
        <v>5232</v>
      </c>
      <c r="D6793" s="16" t="s">
        <v>7390</v>
      </c>
      <c r="E6793" s="16">
        <v>2025.0</v>
      </c>
      <c r="F6793" s="16">
        <v>50.3218</v>
      </c>
      <c r="G6793" s="16">
        <v>12.2735</v>
      </c>
      <c r="H6793" s="15"/>
      <c r="I6793" s="15"/>
    </row>
    <row r="6794">
      <c r="A6794" s="17">
        <v>45636.0</v>
      </c>
      <c r="B6794" s="16" t="s">
        <v>7608</v>
      </c>
      <c r="C6794" s="16" t="s">
        <v>942</v>
      </c>
      <c r="D6794" s="16" t="s">
        <v>7390</v>
      </c>
      <c r="E6794" s="16">
        <v>2025.0</v>
      </c>
      <c r="F6794" s="16">
        <v>52.5382</v>
      </c>
      <c r="G6794" s="16">
        <v>13.2281</v>
      </c>
      <c r="H6794" s="15"/>
      <c r="I6794" s="15"/>
    </row>
    <row r="6795">
      <c r="A6795" s="17">
        <v>45636.0</v>
      </c>
      <c r="B6795" s="16" t="s">
        <v>7609</v>
      </c>
      <c r="C6795" s="16">
        <v>1.0</v>
      </c>
      <c r="D6795" s="16" t="s">
        <v>7390</v>
      </c>
      <c r="E6795" s="16">
        <v>2025.0</v>
      </c>
      <c r="F6795" s="16">
        <v>50.58</v>
      </c>
      <c r="G6795" s="16">
        <v>10.9912</v>
      </c>
      <c r="H6795" s="15"/>
      <c r="I6795" s="15"/>
    </row>
    <row r="6796">
      <c r="A6796" s="17">
        <v>45636.0</v>
      </c>
      <c r="B6796" s="16" t="s">
        <v>7610</v>
      </c>
      <c r="C6796" s="16" t="s">
        <v>1004</v>
      </c>
      <c r="D6796" s="16" t="s">
        <v>7390</v>
      </c>
      <c r="E6796" s="16">
        <v>2025.0</v>
      </c>
      <c r="F6796" s="16">
        <v>49.3406</v>
      </c>
      <c r="G6796" s="16">
        <v>11.409</v>
      </c>
      <c r="H6796" s="15"/>
      <c r="I6796" s="15"/>
    </row>
    <row r="6797">
      <c r="A6797" s="17">
        <v>45636.0</v>
      </c>
      <c r="B6797" s="16" t="s">
        <v>7611</v>
      </c>
      <c r="C6797" s="16" t="s">
        <v>1007</v>
      </c>
      <c r="D6797" s="16" t="s">
        <v>7390</v>
      </c>
      <c r="E6797" s="16">
        <v>2025.0</v>
      </c>
      <c r="F6797" s="16">
        <v>49.4005</v>
      </c>
      <c r="G6797" s="16">
        <v>11.4683</v>
      </c>
      <c r="H6797" s="15"/>
      <c r="I6797" s="15"/>
    </row>
    <row r="6798">
      <c r="A6798" s="17">
        <v>45636.0</v>
      </c>
      <c r="B6798" s="16" t="s">
        <v>7612</v>
      </c>
      <c r="C6798" s="16">
        <v>11.0</v>
      </c>
      <c r="D6798" s="16" t="s">
        <v>7390</v>
      </c>
      <c r="E6798" s="16">
        <v>2025.0</v>
      </c>
      <c r="F6798" s="16">
        <v>49.2617</v>
      </c>
      <c r="G6798" s="16">
        <v>11.3769</v>
      </c>
      <c r="H6798" s="15"/>
      <c r="I6798" s="15"/>
    </row>
    <row r="6799">
      <c r="A6799" s="17">
        <v>45636.0</v>
      </c>
      <c r="B6799" s="16" t="s">
        <v>7613</v>
      </c>
      <c r="C6799" s="16" t="s">
        <v>942</v>
      </c>
      <c r="D6799" s="16" t="s">
        <v>7390</v>
      </c>
      <c r="E6799" s="16">
        <v>2025.0</v>
      </c>
      <c r="F6799" s="16">
        <v>48.1186</v>
      </c>
      <c r="G6799" s="16">
        <v>11.0934</v>
      </c>
      <c r="H6799" s="15"/>
      <c r="I6799" s="15"/>
    </row>
    <row r="6800">
      <c r="A6800" s="17">
        <v>45636.0</v>
      </c>
      <c r="B6800" s="16" t="s">
        <v>7614</v>
      </c>
      <c r="C6800" s="16" t="s">
        <v>3817</v>
      </c>
      <c r="D6800" s="16" t="s">
        <v>7390</v>
      </c>
      <c r="E6800" s="16">
        <v>2025.0</v>
      </c>
      <c r="F6800" s="16">
        <v>51.8055</v>
      </c>
      <c r="G6800" s="16">
        <v>7.2647</v>
      </c>
      <c r="H6800" s="15"/>
      <c r="I6800" s="15"/>
    </row>
    <row r="6801">
      <c r="A6801" s="17">
        <v>45636.0</v>
      </c>
      <c r="B6801" s="16" t="s">
        <v>7615</v>
      </c>
      <c r="C6801" s="16" t="s">
        <v>1037</v>
      </c>
      <c r="D6801" s="16" t="s">
        <v>7390</v>
      </c>
      <c r="E6801" s="16">
        <v>2025.0</v>
      </c>
      <c r="F6801" s="16">
        <v>48.4682</v>
      </c>
      <c r="G6801" s="16">
        <v>9.901</v>
      </c>
      <c r="H6801" s="15"/>
      <c r="I6801" s="15"/>
    </row>
    <row r="6802">
      <c r="A6802" s="17">
        <v>45636.0</v>
      </c>
      <c r="B6802" s="16" t="s">
        <v>7616</v>
      </c>
      <c r="C6802" s="16" t="s">
        <v>1055</v>
      </c>
      <c r="D6802" s="16" t="s">
        <v>7390</v>
      </c>
      <c r="E6802" s="16">
        <v>2025.0</v>
      </c>
      <c r="F6802" s="16">
        <v>50.1868</v>
      </c>
      <c r="G6802" s="16">
        <v>9.8587</v>
      </c>
      <c r="H6802" s="15"/>
      <c r="I6802" s="15"/>
    </row>
    <row r="6803">
      <c r="A6803" s="17">
        <v>45636.0</v>
      </c>
      <c r="B6803" s="16" t="s">
        <v>7617</v>
      </c>
      <c r="C6803" s="16">
        <v>5.0</v>
      </c>
      <c r="D6803" s="16" t="s">
        <v>7390</v>
      </c>
      <c r="E6803" s="16">
        <v>2025.0</v>
      </c>
      <c r="F6803" s="16">
        <v>49.5851</v>
      </c>
      <c r="G6803" s="16">
        <v>11.606</v>
      </c>
      <c r="H6803" s="15"/>
      <c r="I6803" s="15"/>
    </row>
    <row r="6804">
      <c r="A6804" s="17">
        <v>45636.0</v>
      </c>
      <c r="B6804" s="16" t="s">
        <v>7618</v>
      </c>
      <c r="C6804" s="16" t="s">
        <v>1745</v>
      </c>
      <c r="D6804" s="16" t="s">
        <v>7390</v>
      </c>
      <c r="E6804" s="16">
        <v>2025.0</v>
      </c>
      <c r="F6804" s="16">
        <v>48.008</v>
      </c>
      <c r="G6804" s="16">
        <v>8.5584</v>
      </c>
      <c r="H6804" s="15"/>
      <c r="I6804" s="15"/>
    </row>
    <row r="6805">
      <c r="A6805" s="17">
        <v>45636.0</v>
      </c>
      <c r="B6805" s="16" t="s">
        <v>7619</v>
      </c>
      <c r="C6805" s="16" t="s">
        <v>1167</v>
      </c>
      <c r="D6805" s="16" t="s">
        <v>7390</v>
      </c>
      <c r="E6805" s="16">
        <v>2025.0</v>
      </c>
      <c r="F6805" s="16">
        <v>48.616</v>
      </c>
      <c r="G6805" s="16">
        <v>10.9356</v>
      </c>
      <c r="H6805" s="15"/>
      <c r="I6805" s="15"/>
    </row>
    <row r="6806">
      <c r="A6806" s="17">
        <v>45636.0</v>
      </c>
      <c r="B6806" s="16" t="s">
        <v>7620</v>
      </c>
      <c r="C6806" s="16" t="s">
        <v>1099</v>
      </c>
      <c r="D6806" s="16" t="s">
        <v>7390</v>
      </c>
      <c r="E6806" s="16">
        <v>2025.0</v>
      </c>
      <c r="F6806" s="16">
        <v>48.2275</v>
      </c>
      <c r="G6806" s="16">
        <v>11.0849</v>
      </c>
      <c r="H6806" s="15"/>
      <c r="I6806" s="15"/>
    </row>
    <row r="6807">
      <c r="A6807" s="17">
        <v>45636.0</v>
      </c>
      <c r="B6807" s="16" t="s">
        <v>7621</v>
      </c>
      <c r="C6807" s="16" t="s">
        <v>1002</v>
      </c>
      <c r="D6807" s="16" t="s">
        <v>7390</v>
      </c>
      <c r="E6807" s="16">
        <v>2025.0</v>
      </c>
      <c r="F6807" s="16">
        <v>48.2275</v>
      </c>
      <c r="G6807" s="16">
        <v>11.0849</v>
      </c>
      <c r="H6807" s="15"/>
      <c r="I6807" s="15"/>
    </row>
    <row r="6808">
      <c r="A6808" s="17">
        <v>45636.0</v>
      </c>
      <c r="B6808" s="16" t="s">
        <v>7622</v>
      </c>
      <c r="C6808" s="16" t="s">
        <v>1399</v>
      </c>
      <c r="D6808" s="16" t="s">
        <v>7390</v>
      </c>
      <c r="E6808" s="16">
        <v>2025.0</v>
      </c>
      <c r="F6808" s="16">
        <v>53.2692</v>
      </c>
      <c r="G6808" s="16">
        <v>7.4884</v>
      </c>
      <c r="H6808" s="15"/>
      <c r="I6808" s="15"/>
    </row>
    <row r="6809">
      <c r="A6809" s="17">
        <v>45636.0</v>
      </c>
      <c r="B6809" s="16" t="s">
        <v>7623</v>
      </c>
      <c r="C6809" s="16" t="s">
        <v>1720</v>
      </c>
      <c r="D6809" s="16" t="s">
        <v>7390</v>
      </c>
      <c r="E6809" s="16">
        <v>2025.0</v>
      </c>
      <c r="F6809" s="16">
        <v>54.4458</v>
      </c>
      <c r="G6809" s="16">
        <v>9.5862</v>
      </c>
      <c r="H6809" s="15"/>
      <c r="I6809" s="15"/>
    </row>
    <row r="6810">
      <c r="A6810" s="17">
        <v>45636.0</v>
      </c>
      <c r="B6810" s="16" t="s">
        <v>7624</v>
      </c>
      <c r="C6810" s="16" t="s">
        <v>1436</v>
      </c>
      <c r="D6810" s="16" t="s">
        <v>7390</v>
      </c>
      <c r="E6810" s="16">
        <v>2025.0</v>
      </c>
      <c r="F6810" s="16">
        <v>48.47</v>
      </c>
      <c r="G6810" s="16">
        <v>10.81</v>
      </c>
      <c r="H6810" s="15"/>
      <c r="I6810" s="15"/>
    </row>
    <row r="6811">
      <c r="A6811" s="17">
        <v>45636.0</v>
      </c>
      <c r="B6811" s="16" t="s">
        <v>7625</v>
      </c>
      <c r="C6811" s="16" t="s">
        <v>2153</v>
      </c>
      <c r="D6811" s="16" t="s">
        <v>7390</v>
      </c>
      <c r="E6811" s="16">
        <v>2025.0</v>
      </c>
      <c r="F6811" s="16">
        <v>48.081</v>
      </c>
      <c r="G6811" s="16">
        <v>9.7515</v>
      </c>
      <c r="H6811" s="15"/>
      <c r="I6811" s="15"/>
    </row>
    <row r="6812">
      <c r="A6812" s="17">
        <v>45636.0</v>
      </c>
      <c r="B6812" s="16" t="s">
        <v>7626</v>
      </c>
      <c r="C6812" s="16" t="s">
        <v>7627</v>
      </c>
      <c r="D6812" s="16" t="s">
        <v>7390</v>
      </c>
      <c r="E6812" s="16">
        <v>2025.0</v>
      </c>
      <c r="F6812" s="16">
        <v>48.3332</v>
      </c>
      <c r="G6812" s="16">
        <v>13.1347</v>
      </c>
      <c r="H6812" s="15"/>
      <c r="I6812" s="15"/>
    </row>
    <row r="6813">
      <c r="A6813" s="17">
        <v>45636.0</v>
      </c>
      <c r="B6813" s="16" t="s">
        <v>7628</v>
      </c>
      <c r="C6813" s="16">
        <v>10.0</v>
      </c>
      <c r="D6813" s="16" t="s">
        <v>7390</v>
      </c>
      <c r="E6813" s="16">
        <v>2025.0</v>
      </c>
      <c r="F6813" s="16">
        <v>53.7514</v>
      </c>
      <c r="G6813" s="16">
        <v>13.8131</v>
      </c>
      <c r="H6813" s="15"/>
      <c r="I6813" s="15"/>
    </row>
    <row r="6814">
      <c r="A6814" s="17">
        <v>45636.0</v>
      </c>
      <c r="B6814" s="16" t="s">
        <v>7629</v>
      </c>
      <c r="C6814" s="16" t="s">
        <v>2392</v>
      </c>
      <c r="D6814" s="16" t="s">
        <v>7390</v>
      </c>
      <c r="E6814" s="16">
        <v>2025.0</v>
      </c>
      <c r="F6814" s="16">
        <v>53.7514</v>
      </c>
      <c r="G6814" s="16">
        <v>13.8131</v>
      </c>
      <c r="H6814" s="15"/>
      <c r="I6814" s="15"/>
    </row>
    <row r="6815">
      <c r="A6815" s="17">
        <v>45636.0</v>
      </c>
      <c r="B6815" s="16" t="s">
        <v>7630</v>
      </c>
      <c r="C6815" s="16" t="s">
        <v>2457</v>
      </c>
      <c r="D6815" s="16" t="s">
        <v>7390</v>
      </c>
      <c r="E6815" s="16">
        <v>2025.0</v>
      </c>
      <c r="F6815" s="16">
        <v>49.63</v>
      </c>
      <c r="G6815" s="16">
        <v>7.53</v>
      </c>
      <c r="H6815" s="15"/>
      <c r="I6815" s="15"/>
    </row>
    <row r="6816">
      <c r="A6816" s="17">
        <v>45636.0</v>
      </c>
      <c r="B6816" s="16" t="s">
        <v>7631</v>
      </c>
      <c r="C6816" s="16" t="s">
        <v>1386</v>
      </c>
      <c r="D6816" s="16" t="s">
        <v>7390</v>
      </c>
      <c r="E6816" s="16">
        <v>2025.0</v>
      </c>
      <c r="F6816" s="16">
        <v>49.0439</v>
      </c>
      <c r="G6816" s="16">
        <v>9.6449</v>
      </c>
      <c r="H6816" s="15"/>
      <c r="I6816" s="15"/>
    </row>
    <row r="6817">
      <c r="A6817" s="17">
        <v>45636.0</v>
      </c>
      <c r="B6817" s="16" t="s">
        <v>7632</v>
      </c>
      <c r="C6817" s="16" t="s">
        <v>1037</v>
      </c>
      <c r="D6817" s="16" t="s">
        <v>7390</v>
      </c>
      <c r="E6817" s="16">
        <v>2025.0</v>
      </c>
      <c r="F6817" s="16">
        <v>49.0114</v>
      </c>
      <c r="G6817" s="16">
        <v>11.6788</v>
      </c>
      <c r="H6817" s="15"/>
      <c r="I6817" s="15"/>
    </row>
    <row r="6818">
      <c r="A6818" s="17">
        <v>45636.0</v>
      </c>
      <c r="B6818" s="16" t="s">
        <v>7633</v>
      </c>
      <c r="C6818" s="16" t="s">
        <v>1181</v>
      </c>
      <c r="D6818" s="16" t="s">
        <v>7390</v>
      </c>
      <c r="E6818" s="16">
        <v>2025.0</v>
      </c>
      <c r="F6818" s="16">
        <v>50.3486</v>
      </c>
      <c r="G6818" s="16">
        <v>10.8818</v>
      </c>
      <c r="H6818" s="15"/>
      <c r="I6818" s="15"/>
    </row>
    <row r="6819">
      <c r="A6819" s="17">
        <v>45636.0</v>
      </c>
      <c r="B6819" s="16" t="s">
        <v>7634</v>
      </c>
      <c r="C6819" s="16" t="s">
        <v>5558</v>
      </c>
      <c r="D6819" s="16" t="s">
        <v>7390</v>
      </c>
      <c r="E6819" s="16">
        <v>2025.0</v>
      </c>
      <c r="F6819" s="16">
        <v>50.9612</v>
      </c>
      <c r="G6819" s="16">
        <v>13.9145</v>
      </c>
      <c r="H6819" s="15"/>
      <c r="I6819" s="15"/>
    </row>
    <row r="6820">
      <c r="A6820" s="17">
        <v>45636.0</v>
      </c>
      <c r="B6820" s="16" t="s">
        <v>7635</v>
      </c>
      <c r="C6820" s="16" t="s">
        <v>1101</v>
      </c>
      <c r="D6820" s="16" t="s">
        <v>7390</v>
      </c>
      <c r="E6820" s="16">
        <v>2025.0</v>
      </c>
      <c r="F6820" s="16">
        <v>48.7042</v>
      </c>
      <c r="G6820" s="16">
        <v>13.7703</v>
      </c>
      <c r="H6820" s="15"/>
      <c r="I6820" s="15"/>
    </row>
    <row r="6821">
      <c r="A6821" s="17">
        <v>45636.0</v>
      </c>
      <c r="B6821" s="16" t="s">
        <v>7636</v>
      </c>
      <c r="C6821" s="16">
        <v>10.0</v>
      </c>
      <c r="D6821" s="16" t="s">
        <v>7390</v>
      </c>
      <c r="E6821" s="16">
        <v>2025.0</v>
      </c>
      <c r="F6821" s="16">
        <v>49.5684</v>
      </c>
      <c r="G6821" s="16">
        <v>9.9614</v>
      </c>
      <c r="H6821" s="15"/>
      <c r="I6821" s="15"/>
    </row>
    <row r="6822">
      <c r="A6822" s="17">
        <v>45636.0</v>
      </c>
      <c r="B6822" s="16" t="s">
        <v>7637</v>
      </c>
      <c r="C6822" s="16" t="s">
        <v>1277</v>
      </c>
      <c r="D6822" s="16" t="s">
        <v>7390</v>
      </c>
      <c r="E6822" s="16">
        <v>2025.0</v>
      </c>
      <c r="F6822" s="16">
        <v>52.8224</v>
      </c>
      <c r="G6822" s="16">
        <v>11.3954</v>
      </c>
      <c r="H6822" s="15"/>
      <c r="I6822" s="15"/>
    </row>
    <row r="6823">
      <c r="A6823" s="17">
        <v>45636.0</v>
      </c>
      <c r="B6823" s="16" t="s">
        <v>7638</v>
      </c>
      <c r="C6823" s="16" t="s">
        <v>1384</v>
      </c>
      <c r="D6823" s="16" t="s">
        <v>7390</v>
      </c>
      <c r="E6823" s="16">
        <v>2025.0</v>
      </c>
      <c r="F6823" s="16">
        <v>49.2178</v>
      </c>
      <c r="G6823" s="16">
        <v>11.398</v>
      </c>
      <c r="H6823" s="15"/>
      <c r="I6823" s="15"/>
    </row>
    <row r="6824">
      <c r="A6824" s="17">
        <v>45636.0</v>
      </c>
      <c r="B6824" s="16" t="s">
        <v>7639</v>
      </c>
      <c r="C6824" s="16">
        <v>4.0</v>
      </c>
      <c r="D6824" s="16" t="s">
        <v>7390</v>
      </c>
      <c r="E6824" s="16">
        <v>2025.0</v>
      </c>
      <c r="F6824" s="16">
        <v>51.547</v>
      </c>
      <c r="G6824" s="16">
        <v>8.046</v>
      </c>
      <c r="H6824" s="15"/>
      <c r="I6824" s="15"/>
    </row>
    <row r="6825">
      <c r="A6825" s="17">
        <v>45636.0</v>
      </c>
      <c r="B6825" s="16" t="s">
        <v>7640</v>
      </c>
      <c r="C6825" s="16" t="s">
        <v>984</v>
      </c>
      <c r="D6825" s="16" t="s">
        <v>7390</v>
      </c>
      <c r="E6825" s="16">
        <v>2025.0</v>
      </c>
      <c r="F6825" s="16">
        <v>49.4723</v>
      </c>
      <c r="G6825" s="16">
        <v>12.3802</v>
      </c>
      <c r="H6825" s="15"/>
      <c r="I6825" s="15"/>
    </row>
    <row r="6826">
      <c r="A6826" s="17">
        <v>45636.0</v>
      </c>
      <c r="B6826" s="16" t="s">
        <v>7641</v>
      </c>
      <c r="C6826" s="16" t="s">
        <v>942</v>
      </c>
      <c r="D6826" s="16" t="s">
        <v>7390</v>
      </c>
      <c r="E6826" s="16">
        <v>2025.0</v>
      </c>
      <c r="F6826" s="16">
        <v>48.1186</v>
      </c>
      <c r="G6826" s="16">
        <v>11.0934</v>
      </c>
      <c r="H6826" s="15"/>
      <c r="I6826" s="15"/>
    </row>
    <row r="6827">
      <c r="A6827" s="17">
        <v>45636.0</v>
      </c>
      <c r="B6827" s="16" t="s">
        <v>7642</v>
      </c>
      <c r="C6827" s="16">
        <v>13.0</v>
      </c>
      <c r="D6827" s="16" t="s">
        <v>7390</v>
      </c>
      <c r="E6827" s="16">
        <v>2025.0</v>
      </c>
      <c r="F6827" s="16">
        <v>50.3743</v>
      </c>
      <c r="G6827" s="16">
        <v>9.401</v>
      </c>
      <c r="H6827" s="15"/>
      <c r="I6827" s="15"/>
    </row>
    <row r="6828">
      <c r="A6828" s="17">
        <v>45636.0</v>
      </c>
      <c r="B6828" s="16" t="s">
        <v>7643</v>
      </c>
      <c r="C6828" s="16" t="s">
        <v>3206</v>
      </c>
      <c r="D6828" s="16" t="s">
        <v>7390</v>
      </c>
      <c r="E6828" s="16">
        <v>2025.0</v>
      </c>
      <c r="F6828" s="16">
        <v>49.2434</v>
      </c>
      <c r="G6828" s="16">
        <v>9.6688</v>
      </c>
      <c r="H6828" s="15"/>
      <c r="I6828" s="15"/>
    </row>
    <row r="6829">
      <c r="A6829" s="17">
        <v>45636.0</v>
      </c>
      <c r="B6829" s="16" t="s">
        <v>7644</v>
      </c>
      <c r="C6829" s="16" t="s">
        <v>1147</v>
      </c>
      <c r="D6829" s="16" t="s">
        <v>7390</v>
      </c>
      <c r="E6829" s="16">
        <v>2025.0</v>
      </c>
      <c r="F6829" s="16">
        <v>48.4178</v>
      </c>
      <c r="G6829" s="16">
        <v>10.8435</v>
      </c>
      <c r="H6829" s="15"/>
      <c r="I6829" s="15"/>
    </row>
    <row r="6830">
      <c r="A6830" s="17">
        <v>45636.0</v>
      </c>
      <c r="B6830" s="16" t="s">
        <v>7645</v>
      </c>
      <c r="C6830" s="16" t="s">
        <v>984</v>
      </c>
      <c r="D6830" s="16" t="s">
        <v>7390</v>
      </c>
      <c r="E6830" s="16">
        <v>2025.0</v>
      </c>
      <c r="F6830" s="16">
        <v>49.2645</v>
      </c>
      <c r="G6830" s="16">
        <v>12.6469</v>
      </c>
      <c r="H6830" s="15"/>
      <c r="I6830" s="15"/>
    </row>
    <row r="6831">
      <c r="A6831" s="17">
        <v>45636.0</v>
      </c>
      <c r="B6831" s="16" t="s">
        <v>7646</v>
      </c>
      <c r="C6831" s="16" t="s">
        <v>3169</v>
      </c>
      <c r="D6831" s="16" t="s">
        <v>7390</v>
      </c>
      <c r="E6831" s="16">
        <v>2025.0</v>
      </c>
      <c r="F6831" s="16">
        <v>49.5617</v>
      </c>
      <c r="G6831" s="16">
        <v>12.2053</v>
      </c>
      <c r="H6831" s="15"/>
      <c r="I6831" s="15"/>
    </row>
    <row r="6832">
      <c r="A6832" s="17">
        <v>45636.0</v>
      </c>
      <c r="B6832" s="16" t="s">
        <v>7647</v>
      </c>
      <c r="C6832" s="16" t="s">
        <v>2150</v>
      </c>
      <c r="D6832" s="16" t="s">
        <v>7390</v>
      </c>
      <c r="E6832" s="16">
        <v>2025.0</v>
      </c>
      <c r="F6832" s="16">
        <v>47.6562</v>
      </c>
      <c r="G6832" s="16">
        <v>8.9101</v>
      </c>
      <c r="H6832" s="15"/>
      <c r="I6832" s="15"/>
    </row>
    <row r="6833">
      <c r="A6833" s="17">
        <v>45636.0</v>
      </c>
      <c r="B6833" s="16" t="s">
        <v>7648</v>
      </c>
      <c r="C6833" s="16" t="s">
        <v>1374</v>
      </c>
      <c r="D6833" s="16" t="s">
        <v>7390</v>
      </c>
      <c r="E6833" s="16">
        <v>2025.0</v>
      </c>
      <c r="F6833" s="16">
        <v>49.2178</v>
      </c>
      <c r="G6833" s="16">
        <v>9.5633</v>
      </c>
      <c r="H6833" s="15"/>
      <c r="I6833" s="15"/>
    </row>
    <row r="6834">
      <c r="A6834" s="17">
        <v>45636.0</v>
      </c>
      <c r="B6834" s="16" t="s">
        <v>7649</v>
      </c>
      <c r="C6834" s="16" t="s">
        <v>1690</v>
      </c>
      <c r="D6834" s="16" t="s">
        <v>7390</v>
      </c>
      <c r="E6834" s="16">
        <v>2025.0</v>
      </c>
      <c r="F6834" s="16">
        <v>54.3077</v>
      </c>
      <c r="G6834" s="16">
        <v>10.019</v>
      </c>
      <c r="H6834" s="15"/>
      <c r="I6834" s="15"/>
    </row>
    <row r="6835">
      <c r="A6835" s="17">
        <v>45636.0</v>
      </c>
      <c r="B6835" s="16" t="s">
        <v>7650</v>
      </c>
      <c r="C6835" s="16" t="s">
        <v>1059</v>
      </c>
      <c r="D6835" s="16" t="s">
        <v>7390</v>
      </c>
      <c r="E6835" s="16">
        <v>2025.0</v>
      </c>
      <c r="F6835" s="16">
        <v>53.7826</v>
      </c>
      <c r="G6835" s="16">
        <v>10.3601</v>
      </c>
      <c r="H6835" s="15"/>
      <c r="I6835" s="15"/>
    </row>
    <row r="6836">
      <c r="A6836" s="17">
        <v>45636.0</v>
      </c>
      <c r="B6836" s="16" t="s">
        <v>7651</v>
      </c>
      <c r="C6836" s="16" t="s">
        <v>1955</v>
      </c>
      <c r="D6836" s="16" t="s">
        <v>7390</v>
      </c>
      <c r="E6836" s="16">
        <v>2025.0</v>
      </c>
      <c r="F6836" s="16">
        <v>53.781</v>
      </c>
      <c r="G6836" s="16">
        <v>10.3588</v>
      </c>
      <c r="H6836" s="15"/>
      <c r="I6836" s="15"/>
    </row>
    <row r="6837">
      <c r="A6837" s="17">
        <v>45636.0</v>
      </c>
      <c r="B6837" s="16" t="s">
        <v>7652</v>
      </c>
      <c r="C6837" s="16">
        <v>18.0</v>
      </c>
      <c r="D6837" s="16" t="s">
        <v>7390</v>
      </c>
      <c r="E6837" s="16">
        <v>2025.0</v>
      </c>
      <c r="F6837" s="16">
        <v>52.3493</v>
      </c>
      <c r="G6837" s="16">
        <v>12.8058</v>
      </c>
      <c r="H6837" s="15"/>
      <c r="I6837" s="15"/>
    </row>
    <row r="6838">
      <c r="A6838" s="17">
        <v>45636.0</v>
      </c>
      <c r="B6838" s="16" t="s">
        <v>7653</v>
      </c>
      <c r="C6838" s="16" t="s">
        <v>1598</v>
      </c>
      <c r="D6838" s="16" t="s">
        <v>7390</v>
      </c>
      <c r="E6838" s="16">
        <v>2025.0</v>
      </c>
      <c r="F6838" s="16">
        <v>49.7579</v>
      </c>
      <c r="G6838" s="16">
        <v>10.057</v>
      </c>
      <c r="H6838" s="15"/>
      <c r="I6838" s="15"/>
    </row>
    <row r="6839">
      <c r="A6839" s="17">
        <v>45636.0</v>
      </c>
      <c r="B6839" s="16" t="s">
        <v>7654</v>
      </c>
      <c r="C6839" s="16" t="s">
        <v>1039</v>
      </c>
      <c r="D6839" s="16" t="s">
        <v>7390</v>
      </c>
      <c r="E6839" s="16">
        <v>2025.0</v>
      </c>
      <c r="F6839" s="16">
        <v>52.7132</v>
      </c>
      <c r="G6839" s="16">
        <v>14.2094</v>
      </c>
      <c r="H6839" s="15"/>
      <c r="I6839" s="15"/>
    </row>
    <row r="6840">
      <c r="A6840" s="17">
        <v>45636.0</v>
      </c>
      <c r="B6840" s="16" t="s">
        <v>7655</v>
      </c>
      <c r="C6840" s="16" t="s">
        <v>2457</v>
      </c>
      <c r="D6840" s="16" t="s">
        <v>7390</v>
      </c>
      <c r="E6840" s="16">
        <v>2025.0</v>
      </c>
      <c r="F6840" s="16">
        <v>52.2142</v>
      </c>
      <c r="G6840" s="16">
        <v>7.0827</v>
      </c>
      <c r="H6840" s="15"/>
      <c r="I6840" s="15"/>
    </row>
    <row r="6841">
      <c r="A6841" s="17">
        <v>45636.0</v>
      </c>
      <c r="B6841" s="16" t="s">
        <v>7656</v>
      </c>
      <c r="C6841" s="16" t="s">
        <v>1598</v>
      </c>
      <c r="D6841" s="16" t="s">
        <v>7390</v>
      </c>
      <c r="E6841" s="16">
        <v>2025.0</v>
      </c>
      <c r="F6841" s="16">
        <v>49.892</v>
      </c>
      <c r="G6841" s="16">
        <v>10.005</v>
      </c>
      <c r="H6841" s="15"/>
      <c r="I6841" s="15"/>
    </row>
    <row r="6842">
      <c r="A6842" s="17">
        <v>45636.0</v>
      </c>
      <c r="B6842" s="16" t="s">
        <v>7657</v>
      </c>
      <c r="C6842" s="16" t="s">
        <v>1080</v>
      </c>
      <c r="D6842" s="16" t="s">
        <v>7390</v>
      </c>
      <c r="E6842" s="16">
        <v>2025.0</v>
      </c>
      <c r="F6842" s="16">
        <v>51.6222</v>
      </c>
      <c r="G6842" s="16">
        <v>6.6557</v>
      </c>
      <c r="H6842" s="15"/>
      <c r="I6842" s="15"/>
    </row>
    <row r="6843">
      <c r="A6843" s="17">
        <v>45636.0</v>
      </c>
      <c r="B6843" s="16" t="s">
        <v>7658</v>
      </c>
      <c r="C6843" s="16" t="s">
        <v>942</v>
      </c>
      <c r="D6843" s="16" t="s">
        <v>7390</v>
      </c>
      <c r="E6843" s="16">
        <v>2025.0</v>
      </c>
      <c r="F6843" s="16">
        <v>47.9267</v>
      </c>
      <c r="G6843" s="16">
        <v>11.1049</v>
      </c>
      <c r="H6843" s="15"/>
      <c r="I6843" s="15"/>
    </row>
    <row r="6844">
      <c r="A6844" s="17">
        <v>45636.0</v>
      </c>
      <c r="B6844" s="16" t="s">
        <v>7659</v>
      </c>
      <c r="C6844" s="16" t="s">
        <v>942</v>
      </c>
      <c r="D6844" s="16" t="s">
        <v>7390</v>
      </c>
      <c r="E6844" s="16">
        <v>2025.0</v>
      </c>
      <c r="F6844" s="16">
        <v>47.9453</v>
      </c>
      <c r="G6844" s="16">
        <v>10.1268</v>
      </c>
      <c r="H6844" s="15"/>
      <c r="I6844" s="15"/>
    </row>
    <row r="6845">
      <c r="A6845" s="17">
        <v>45636.0</v>
      </c>
      <c r="B6845" s="16" t="s">
        <v>7660</v>
      </c>
      <c r="C6845" s="16">
        <v>1.0</v>
      </c>
      <c r="D6845" s="16" t="s">
        <v>7390</v>
      </c>
      <c r="E6845" s="16">
        <v>2025.0</v>
      </c>
      <c r="F6845" s="16">
        <v>48.7085</v>
      </c>
      <c r="G6845" s="16">
        <v>9.2482</v>
      </c>
      <c r="H6845" s="15"/>
      <c r="I6845" s="15"/>
    </row>
    <row r="6846">
      <c r="A6846" s="17">
        <v>45636.0</v>
      </c>
      <c r="B6846" s="16" t="s">
        <v>7661</v>
      </c>
      <c r="C6846" s="16">
        <v>1.0</v>
      </c>
      <c r="D6846" s="16" t="s">
        <v>7390</v>
      </c>
      <c r="E6846" s="16">
        <v>2025.0</v>
      </c>
      <c r="F6846" s="16">
        <v>48.6516</v>
      </c>
      <c r="G6846" s="16">
        <v>11.4811</v>
      </c>
      <c r="H6846" s="15"/>
      <c r="I6846" s="15"/>
    </row>
    <row r="6847">
      <c r="A6847" s="17">
        <v>45636.0</v>
      </c>
      <c r="B6847" s="16" t="s">
        <v>7662</v>
      </c>
      <c r="C6847" s="16" t="s">
        <v>946</v>
      </c>
      <c r="D6847" s="16" t="s">
        <v>7390</v>
      </c>
      <c r="E6847" s="16">
        <v>2025.0</v>
      </c>
      <c r="F6847" s="16">
        <v>50.823</v>
      </c>
      <c r="G6847" s="16">
        <v>12.4093</v>
      </c>
      <c r="H6847" s="15"/>
      <c r="I6847" s="15"/>
    </row>
    <row r="6848">
      <c r="A6848" s="17">
        <v>45636.0</v>
      </c>
      <c r="B6848" s="16" t="s">
        <v>7663</v>
      </c>
      <c r="C6848" s="16" t="s">
        <v>948</v>
      </c>
      <c r="D6848" s="16" t="s">
        <v>7390</v>
      </c>
      <c r="E6848" s="16">
        <v>2025.0</v>
      </c>
      <c r="F6848" s="16">
        <v>49.9573</v>
      </c>
      <c r="G6848" s="16">
        <v>7.4038</v>
      </c>
      <c r="H6848" s="15"/>
      <c r="I6848" s="15"/>
    </row>
    <row r="6849">
      <c r="A6849" s="17">
        <v>45636.0</v>
      </c>
      <c r="B6849" s="16" t="s">
        <v>7664</v>
      </c>
      <c r="C6849" s="16" t="s">
        <v>984</v>
      </c>
      <c r="D6849" s="16" t="s">
        <v>7390</v>
      </c>
      <c r="E6849" s="16">
        <v>2025.0</v>
      </c>
      <c r="F6849" s="16">
        <v>50.1627</v>
      </c>
      <c r="G6849" s="16">
        <v>8.9579</v>
      </c>
      <c r="H6849" s="15"/>
      <c r="I6849" s="15"/>
    </row>
    <row r="6850">
      <c r="A6850" s="17">
        <v>45636.0</v>
      </c>
      <c r="B6850" s="16" t="s">
        <v>7665</v>
      </c>
      <c r="C6850" s="16" t="s">
        <v>951</v>
      </c>
      <c r="D6850" s="16" t="s">
        <v>7390</v>
      </c>
      <c r="E6850" s="16">
        <v>2025.0</v>
      </c>
      <c r="F6850" s="16">
        <v>50.4813</v>
      </c>
      <c r="G6850" s="16">
        <v>9.7276</v>
      </c>
      <c r="H6850" s="15"/>
      <c r="I6850" s="15"/>
    </row>
    <row r="6851">
      <c r="A6851" s="17">
        <v>45636.0</v>
      </c>
      <c r="B6851" s="16" t="s">
        <v>7666</v>
      </c>
      <c r="C6851" s="16" t="s">
        <v>1267</v>
      </c>
      <c r="D6851" s="16" t="s">
        <v>7390</v>
      </c>
      <c r="E6851" s="16">
        <v>2025.0</v>
      </c>
      <c r="F6851" s="16">
        <v>51.3317</v>
      </c>
      <c r="G6851" s="16">
        <v>6.5857</v>
      </c>
      <c r="H6851" s="15"/>
      <c r="I6851" s="15"/>
    </row>
    <row r="6852">
      <c r="A6852" s="17">
        <v>45636.0</v>
      </c>
      <c r="B6852" s="16" t="s">
        <v>7667</v>
      </c>
      <c r="C6852" s="16" t="s">
        <v>1181</v>
      </c>
      <c r="D6852" s="16" t="s">
        <v>7390</v>
      </c>
      <c r="E6852" s="16">
        <v>2025.0</v>
      </c>
      <c r="F6852" s="16">
        <v>48.1694</v>
      </c>
      <c r="G6852" s="16">
        <v>9.2468</v>
      </c>
      <c r="H6852" s="15"/>
      <c r="I6852" s="15"/>
    </row>
    <row r="6853">
      <c r="A6853" s="18">
        <v>45665.0</v>
      </c>
      <c r="B6853" s="16" t="s">
        <v>7668</v>
      </c>
      <c r="C6853" s="16" t="s">
        <v>1773</v>
      </c>
      <c r="D6853" s="16" t="s">
        <v>7390</v>
      </c>
      <c r="E6853" s="16">
        <v>2025.0</v>
      </c>
      <c r="F6853" s="16">
        <v>49.5348</v>
      </c>
      <c r="G6853" s="16">
        <v>11.9893</v>
      </c>
      <c r="H6853" s="15"/>
      <c r="I6853" s="15"/>
    </row>
    <row r="6854">
      <c r="A6854" s="18">
        <v>45665.0</v>
      </c>
      <c r="B6854" s="16" t="s">
        <v>7669</v>
      </c>
      <c r="C6854" s="16" t="s">
        <v>969</v>
      </c>
      <c r="D6854" s="16" t="s">
        <v>7390</v>
      </c>
      <c r="E6854" s="16">
        <v>2025.0</v>
      </c>
      <c r="F6854" s="16">
        <v>48.6963</v>
      </c>
      <c r="G6854" s="16">
        <v>8.9836</v>
      </c>
      <c r="H6854" s="15"/>
      <c r="I6854" s="15"/>
    </row>
    <row r="6855">
      <c r="A6855" s="18">
        <v>45665.0</v>
      </c>
      <c r="B6855" s="16" t="s">
        <v>7670</v>
      </c>
      <c r="C6855" s="16" t="s">
        <v>1055</v>
      </c>
      <c r="D6855" s="16" t="s">
        <v>7390</v>
      </c>
      <c r="E6855" s="16">
        <v>2025.0</v>
      </c>
      <c r="F6855" s="16">
        <v>48.6999</v>
      </c>
      <c r="G6855" s="16">
        <v>8.9814</v>
      </c>
      <c r="H6855" s="15"/>
      <c r="I6855" s="15"/>
    </row>
    <row r="6856">
      <c r="A6856" s="18">
        <v>45665.0</v>
      </c>
      <c r="B6856" s="16" t="s">
        <v>7671</v>
      </c>
      <c r="C6856" s="16" t="s">
        <v>984</v>
      </c>
      <c r="D6856" s="16" t="s">
        <v>7390</v>
      </c>
      <c r="E6856" s="16">
        <v>2025.0</v>
      </c>
      <c r="F6856" s="16">
        <v>48.1798</v>
      </c>
      <c r="G6856" s="16">
        <v>10.0865</v>
      </c>
      <c r="H6856" s="15"/>
      <c r="I6856" s="15"/>
    </row>
    <row r="6857">
      <c r="A6857" s="18">
        <v>45665.0</v>
      </c>
      <c r="B6857" s="16" t="s">
        <v>7672</v>
      </c>
      <c r="C6857" s="16" t="s">
        <v>1172</v>
      </c>
      <c r="D6857" s="16" t="s">
        <v>7390</v>
      </c>
      <c r="E6857" s="16">
        <v>2025.0</v>
      </c>
      <c r="F6857" s="16">
        <v>51.7453</v>
      </c>
      <c r="G6857" s="16">
        <v>13.775</v>
      </c>
      <c r="H6857" s="15"/>
      <c r="I6857" s="15"/>
    </row>
    <row r="6858">
      <c r="A6858" s="18">
        <v>45665.0</v>
      </c>
      <c r="B6858" s="16" t="s">
        <v>7673</v>
      </c>
      <c r="C6858" s="16">
        <v>11.0</v>
      </c>
      <c r="D6858" s="16" t="s">
        <v>7390</v>
      </c>
      <c r="E6858" s="16">
        <v>2025.0</v>
      </c>
      <c r="F6858" s="16">
        <v>52.5105</v>
      </c>
      <c r="G6858" s="16">
        <v>14.4145</v>
      </c>
      <c r="H6858" s="15"/>
      <c r="I6858" s="15"/>
    </row>
    <row r="6859">
      <c r="A6859" s="18">
        <v>45665.0</v>
      </c>
      <c r="B6859" s="16" t="s">
        <v>7674</v>
      </c>
      <c r="C6859" s="16" t="s">
        <v>4789</v>
      </c>
      <c r="D6859" s="16" t="s">
        <v>7390</v>
      </c>
      <c r="E6859" s="16">
        <v>2025.0</v>
      </c>
      <c r="F6859" s="16">
        <v>51.7989</v>
      </c>
      <c r="G6859" s="16">
        <v>11.3197</v>
      </c>
      <c r="H6859" s="15"/>
      <c r="I6859" s="15"/>
    </row>
    <row r="6860">
      <c r="A6860" s="18">
        <v>45665.0</v>
      </c>
      <c r="B6860" s="16" t="s">
        <v>7675</v>
      </c>
      <c r="C6860" s="16" t="s">
        <v>942</v>
      </c>
      <c r="D6860" s="16" t="s">
        <v>7390</v>
      </c>
      <c r="E6860" s="16">
        <v>2025.0</v>
      </c>
      <c r="F6860" s="16">
        <v>50.0238</v>
      </c>
      <c r="G6860" s="16">
        <v>9.0459</v>
      </c>
      <c r="H6860" s="15"/>
      <c r="I6860" s="15"/>
    </row>
    <row r="6861">
      <c r="A6861" s="18">
        <v>45665.0</v>
      </c>
      <c r="B6861" s="16" t="s">
        <v>7676</v>
      </c>
      <c r="C6861" s="16" t="s">
        <v>969</v>
      </c>
      <c r="D6861" s="16" t="s">
        <v>7390</v>
      </c>
      <c r="E6861" s="16">
        <v>2025.0</v>
      </c>
      <c r="F6861" s="16">
        <v>51.3486</v>
      </c>
      <c r="G6861" s="16">
        <v>12.4786</v>
      </c>
      <c r="H6861" s="15"/>
      <c r="I6861" s="15"/>
    </row>
    <row r="6862">
      <c r="A6862" s="18">
        <v>45665.0</v>
      </c>
      <c r="B6862" s="16" t="s">
        <v>7677</v>
      </c>
      <c r="C6862" s="16">
        <v>17.0</v>
      </c>
      <c r="D6862" s="16" t="s">
        <v>7390</v>
      </c>
      <c r="E6862" s="16">
        <v>2025.0</v>
      </c>
      <c r="F6862" s="16">
        <v>49.9106</v>
      </c>
      <c r="G6862" s="16">
        <v>10.7363</v>
      </c>
      <c r="H6862" s="15"/>
      <c r="I6862" s="15"/>
    </row>
    <row r="6863">
      <c r="A6863" s="18">
        <v>45665.0</v>
      </c>
      <c r="B6863" s="16" t="s">
        <v>7678</v>
      </c>
      <c r="C6863" s="16" t="s">
        <v>1004</v>
      </c>
      <c r="D6863" s="16" t="s">
        <v>7390</v>
      </c>
      <c r="E6863" s="16">
        <v>2025.0</v>
      </c>
      <c r="F6863" s="16">
        <v>48.4656</v>
      </c>
      <c r="G6863" s="16">
        <v>9.9431</v>
      </c>
      <c r="H6863" s="15"/>
      <c r="I6863" s="15"/>
    </row>
    <row r="6864">
      <c r="A6864" s="18">
        <v>45665.0</v>
      </c>
      <c r="B6864" s="16" t="s">
        <v>7679</v>
      </c>
      <c r="C6864" s="16" t="s">
        <v>1011</v>
      </c>
      <c r="D6864" s="16" t="s">
        <v>7390</v>
      </c>
      <c r="E6864" s="16">
        <v>2025.0</v>
      </c>
      <c r="F6864" s="16">
        <v>52.7666</v>
      </c>
      <c r="G6864" s="16">
        <v>9.6077</v>
      </c>
      <c r="H6864" s="15"/>
      <c r="I6864" s="15"/>
    </row>
    <row r="6865">
      <c r="A6865" s="18">
        <v>45665.0</v>
      </c>
      <c r="B6865" s="16" t="s">
        <v>7680</v>
      </c>
      <c r="C6865" s="16">
        <v>17.0</v>
      </c>
      <c r="D6865" s="16" t="s">
        <v>7390</v>
      </c>
      <c r="E6865" s="16">
        <v>2025.0</v>
      </c>
      <c r="F6865" s="16">
        <v>49.8291</v>
      </c>
      <c r="G6865" s="16">
        <v>8.4824</v>
      </c>
      <c r="H6865" s="15"/>
      <c r="I6865" s="15"/>
    </row>
    <row r="6866">
      <c r="A6866" s="18">
        <v>45665.0</v>
      </c>
      <c r="B6866" s="16" t="s">
        <v>7681</v>
      </c>
      <c r="C6866" s="16" t="s">
        <v>948</v>
      </c>
      <c r="D6866" s="16" t="s">
        <v>7390</v>
      </c>
      <c r="E6866" s="16">
        <v>2025.0</v>
      </c>
      <c r="F6866" s="16">
        <v>50.8502</v>
      </c>
      <c r="G6866" s="16">
        <v>6.475</v>
      </c>
      <c r="H6866" s="15"/>
      <c r="I6866" s="15"/>
    </row>
    <row r="6867">
      <c r="A6867" s="18">
        <v>45665.0</v>
      </c>
      <c r="B6867" s="16" t="s">
        <v>7682</v>
      </c>
      <c r="C6867" s="16" t="s">
        <v>5955</v>
      </c>
      <c r="D6867" s="16" t="s">
        <v>7390</v>
      </c>
      <c r="E6867" s="16">
        <v>2025.0</v>
      </c>
      <c r="F6867" s="16">
        <v>49.9849</v>
      </c>
      <c r="G6867" s="16">
        <v>10.2654</v>
      </c>
      <c r="H6867" s="15"/>
      <c r="I6867" s="15"/>
    </row>
    <row r="6868">
      <c r="A6868" s="18">
        <v>45665.0</v>
      </c>
      <c r="B6868" s="16" t="s">
        <v>7683</v>
      </c>
      <c r="C6868" s="16" t="s">
        <v>1454</v>
      </c>
      <c r="D6868" s="16" t="s">
        <v>7390</v>
      </c>
      <c r="E6868" s="16">
        <v>2025.0</v>
      </c>
      <c r="F6868" s="16">
        <v>47.9859</v>
      </c>
      <c r="G6868" s="16">
        <v>10.8455</v>
      </c>
      <c r="H6868" s="15"/>
      <c r="I6868" s="15"/>
    </row>
    <row r="6869">
      <c r="A6869" s="18">
        <v>45665.0</v>
      </c>
      <c r="B6869" s="16" t="s">
        <v>7684</v>
      </c>
      <c r="C6869" s="16" t="s">
        <v>971</v>
      </c>
      <c r="D6869" s="16" t="s">
        <v>7390</v>
      </c>
      <c r="E6869" s="16">
        <v>2025.0</v>
      </c>
      <c r="F6869" s="16">
        <v>53.9443</v>
      </c>
      <c r="G6869" s="16">
        <v>10.8546</v>
      </c>
      <c r="H6869" s="15"/>
      <c r="I6869" s="15"/>
    </row>
    <row r="6870">
      <c r="A6870" s="18">
        <v>45665.0</v>
      </c>
      <c r="B6870" s="16" t="s">
        <v>7685</v>
      </c>
      <c r="C6870" s="16" t="s">
        <v>946</v>
      </c>
      <c r="D6870" s="16" t="s">
        <v>7390</v>
      </c>
      <c r="E6870" s="16">
        <v>2025.0</v>
      </c>
      <c r="F6870" s="16">
        <v>53.9425</v>
      </c>
      <c r="G6870" s="16">
        <v>10.8543</v>
      </c>
      <c r="H6870" s="15"/>
      <c r="I6870" s="15"/>
    </row>
    <row r="6871">
      <c r="A6871" s="18">
        <v>45665.0</v>
      </c>
      <c r="B6871" s="16" t="s">
        <v>7686</v>
      </c>
      <c r="C6871" s="16" t="s">
        <v>2153</v>
      </c>
      <c r="D6871" s="16" t="s">
        <v>7390</v>
      </c>
      <c r="E6871" s="16">
        <v>2025.0</v>
      </c>
      <c r="F6871" s="16">
        <v>50.7276</v>
      </c>
      <c r="G6871" s="16">
        <v>6.7843</v>
      </c>
      <c r="H6871" s="15"/>
      <c r="I6871" s="15"/>
    </row>
    <row r="6872">
      <c r="A6872" s="18">
        <v>45665.0</v>
      </c>
      <c r="B6872" s="16" t="s">
        <v>7687</v>
      </c>
      <c r="C6872" s="16" t="s">
        <v>961</v>
      </c>
      <c r="D6872" s="16" t="s">
        <v>7390</v>
      </c>
      <c r="E6872" s="16">
        <v>2025.0</v>
      </c>
      <c r="F6872" s="16">
        <v>48.4337</v>
      </c>
      <c r="G6872" s="16">
        <v>7.9788</v>
      </c>
      <c r="H6872" s="15"/>
      <c r="I6872" s="15"/>
    </row>
    <row r="6873">
      <c r="A6873" s="18">
        <v>45665.0</v>
      </c>
      <c r="B6873" s="16" t="s">
        <v>7688</v>
      </c>
      <c r="C6873" s="16" t="s">
        <v>1101</v>
      </c>
      <c r="D6873" s="16" t="s">
        <v>7390</v>
      </c>
      <c r="E6873" s="16">
        <v>2025.0</v>
      </c>
      <c r="F6873" s="16">
        <v>49.3598</v>
      </c>
      <c r="G6873" s="16">
        <v>9.4186</v>
      </c>
      <c r="H6873" s="15"/>
      <c r="I6873" s="15"/>
    </row>
    <row r="6874">
      <c r="A6874" s="18">
        <v>45665.0</v>
      </c>
      <c r="B6874" s="16" t="s">
        <v>7689</v>
      </c>
      <c r="C6874" s="16" t="s">
        <v>2099</v>
      </c>
      <c r="D6874" s="16" t="s">
        <v>7390</v>
      </c>
      <c r="E6874" s="16">
        <v>2025.0</v>
      </c>
      <c r="F6874" s="16">
        <v>49.4136</v>
      </c>
      <c r="G6874" s="16">
        <v>11.4195</v>
      </c>
      <c r="H6874" s="15"/>
      <c r="I6874" s="15"/>
    </row>
    <row r="6875">
      <c r="A6875" s="18">
        <v>45665.0</v>
      </c>
      <c r="B6875" s="16" t="s">
        <v>7690</v>
      </c>
      <c r="C6875" s="16" t="s">
        <v>1873</v>
      </c>
      <c r="D6875" s="16" t="s">
        <v>7390</v>
      </c>
      <c r="E6875" s="16">
        <v>2025.0</v>
      </c>
      <c r="F6875" s="16">
        <v>47.8207</v>
      </c>
      <c r="G6875" s="16">
        <v>11.9761</v>
      </c>
      <c r="H6875" s="15"/>
      <c r="I6875" s="15"/>
    </row>
    <row r="6876">
      <c r="A6876" s="18">
        <v>45665.0</v>
      </c>
      <c r="B6876" s="16" t="s">
        <v>7691</v>
      </c>
      <c r="C6876" s="16" t="s">
        <v>1282</v>
      </c>
      <c r="D6876" s="16" t="s">
        <v>7390</v>
      </c>
      <c r="E6876" s="16">
        <v>2025.0</v>
      </c>
      <c r="F6876" s="16">
        <v>52.7602</v>
      </c>
      <c r="G6876" s="16">
        <v>8.1874</v>
      </c>
      <c r="H6876" s="15"/>
      <c r="I6876" s="15"/>
    </row>
    <row r="6877">
      <c r="A6877" s="18">
        <v>45665.0</v>
      </c>
      <c r="B6877" s="16" t="s">
        <v>7692</v>
      </c>
      <c r="C6877" s="16">
        <v>9.0</v>
      </c>
      <c r="D6877" s="16" t="s">
        <v>7390</v>
      </c>
      <c r="E6877" s="16">
        <v>2025.0</v>
      </c>
      <c r="F6877" s="16">
        <v>49.149</v>
      </c>
      <c r="G6877" s="16">
        <v>11.8504</v>
      </c>
      <c r="H6877" s="15"/>
      <c r="I6877" s="15"/>
    </row>
    <row r="6878">
      <c r="A6878" s="18">
        <v>45665.0</v>
      </c>
      <c r="B6878" s="16" t="s">
        <v>7693</v>
      </c>
      <c r="C6878" s="16">
        <v>7.0</v>
      </c>
      <c r="D6878" s="16" t="s">
        <v>7390</v>
      </c>
      <c r="E6878" s="16">
        <v>2025.0</v>
      </c>
      <c r="F6878" s="16">
        <v>52.3373</v>
      </c>
      <c r="G6878" s="16">
        <v>11.6127</v>
      </c>
      <c r="H6878" s="15"/>
      <c r="I6878" s="15"/>
    </row>
    <row r="6879">
      <c r="A6879" s="18">
        <v>45665.0</v>
      </c>
      <c r="B6879" s="16" t="s">
        <v>7694</v>
      </c>
      <c r="C6879" s="16" t="s">
        <v>1011</v>
      </c>
      <c r="D6879" s="16" t="s">
        <v>7390</v>
      </c>
      <c r="E6879" s="16">
        <v>2025.0</v>
      </c>
      <c r="F6879" s="16">
        <v>48.9421</v>
      </c>
      <c r="G6879" s="16">
        <v>11.4455</v>
      </c>
      <c r="H6879" s="15"/>
      <c r="I6879" s="15"/>
    </row>
    <row r="6880">
      <c r="A6880" s="18">
        <v>45665.0</v>
      </c>
      <c r="B6880" s="16" t="s">
        <v>7695</v>
      </c>
      <c r="C6880" s="16" t="s">
        <v>1454</v>
      </c>
      <c r="D6880" s="16" t="s">
        <v>7390</v>
      </c>
      <c r="E6880" s="16">
        <v>2025.0</v>
      </c>
      <c r="F6880" s="16">
        <v>48.3377</v>
      </c>
      <c r="G6880" s="16">
        <v>10.6134</v>
      </c>
      <c r="H6880" s="15"/>
      <c r="I6880" s="15"/>
    </row>
    <row r="6881">
      <c r="A6881" s="18">
        <v>45665.0</v>
      </c>
      <c r="B6881" s="16" t="s">
        <v>7696</v>
      </c>
      <c r="C6881" s="16" t="s">
        <v>2893</v>
      </c>
      <c r="D6881" s="16" t="s">
        <v>7390</v>
      </c>
      <c r="E6881" s="16">
        <v>2025.0</v>
      </c>
      <c r="F6881" s="16">
        <v>49.5876</v>
      </c>
      <c r="G6881" s="16">
        <v>12.1042</v>
      </c>
      <c r="H6881" s="15"/>
      <c r="I6881" s="15"/>
    </row>
    <row r="6882">
      <c r="A6882" s="18">
        <v>45665.0</v>
      </c>
      <c r="B6882" s="16" t="s">
        <v>7697</v>
      </c>
      <c r="C6882" s="16" t="s">
        <v>1203</v>
      </c>
      <c r="D6882" s="16" t="s">
        <v>7390</v>
      </c>
      <c r="E6882" s="16">
        <v>2025.0</v>
      </c>
      <c r="F6882" s="16">
        <v>53.2738</v>
      </c>
      <c r="G6882" s="16">
        <v>8.812</v>
      </c>
      <c r="H6882" s="15"/>
      <c r="I6882" s="15"/>
    </row>
    <row r="6883">
      <c r="A6883" s="18">
        <v>45665.0</v>
      </c>
      <c r="B6883" s="16" t="s">
        <v>7698</v>
      </c>
      <c r="C6883" s="16">
        <v>7.0</v>
      </c>
      <c r="D6883" s="16" t="s">
        <v>7390</v>
      </c>
      <c r="E6883" s="16">
        <v>2025.0</v>
      </c>
      <c r="F6883" s="16">
        <v>50.1191</v>
      </c>
      <c r="G6883" s="16">
        <v>10.8506</v>
      </c>
      <c r="H6883" s="15"/>
      <c r="I6883" s="15"/>
    </row>
    <row r="6884">
      <c r="A6884" s="18">
        <v>45665.0</v>
      </c>
      <c r="B6884" s="16" t="s">
        <v>7699</v>
      </c>
      <c r="C6884" s="16">
        <v>8.0</v>
      </c>
      <c r="D6884" s="16" t="s">
        <v>7390</v>
      </c>
      <c r="E6884" s="16">
        <v>2025.0</v>
      </c>
      <c r="F6884" s="16">
        <v>49.6064</v>
      </c>
      <c r="G6884" s="16">
        <v>10.1758</v>
      </c>
      <c r="H6884" s="15"/>
      <c r="I6884" s="15"/>
    </row>
    <row r="6885">
      <c r="A6885" s="18">
        <v>45665.0</v>
      </c>
      <c r="B6885" s="16" t="s">
        <v>7700</v>
      </c>
      <c r="C6885" s="16" t="s">
        <v>1055</v>
      </c>
      <c r="D6885" s="16" t="s">
        <v>7390</v>
      </c>
      <c r="E6885" s="16">
        <v>2025.0</v>
      </c>
      <c r="F6885" s="16">
        <v>50.3523</v>
      </c>
      <c r="G6885" s="16">
        <v>10.9159</v>
      </c>
      <c r="H6885" s="15"/>
      <c r="I6885" s="15"/>
    </row>
    <row r="6886">
      <c r="A6886" s="18">
        <v>45665.0</v>
      </c>
      <c r="B6886" s="16" t="s">
        <v>7701</v>
      </c>
      <c r="C6886" s="16">
        <v>3.0</v>
      </c>
      <c r="D6886" s="16" t="s">
        <v>7390</v>
      </c>
      <c r="E6886" s="16">
        <v>2025.0</v>
      </c>
      <c r="F6886" s="16">
        <v>49.1646</v>
      </c>
      <c r="G6886" s="16">
        <v>10.2603</v>
      </c>
      <c r="H6886" s="15"/>
      <c r="I6886" s="15"/>
    </row>
    <row r="6887">
      <c r="A6887" s="18">
        <v>45665.0</v>
      </c>
      <c r="B6887" s="16" t="s">
        <v>7702</v>
      </c>
      <c r="C6887" s="16">
        <v>7.0</v>
      </c>
      <c r="D6887" s="16" t="s">
        <v>7390</v>
      </c>
      <c r="E6887" s="16">
        <v>2025.0</v>
      </c>
      <c r="F6887" s="16">
        <v>49.8589</v>
      </c>
      <c r="G6887" s="16">
        <v>10.1025</v>
      </c>
      <c r="H6887" s="15"/>
      <c r="I6887" s="15"/>
    </row>
    <row r="6888">
      <c r="A6888" s="18">
        <v>45665.0</v>
      </c>
      <c r="B6888" s="16" t="s">
        <v>7703</v>
      </c>
      <c r="C6888" s="16" t="s">
        <v>1461</v>
      </c>
      <c r="D6888" s="16" t="s">
        <v>7390</v>
      </c>
      <c r="E6888" s="16">
        <v>2025.0</v>
      </c>
      <c r="F6888" s="16">
        <v>48.4628</v>
      </c>
      <c r="G6888" s="16">
        <v>10.6335</v>
      </c>
      <c r="H6888" s="15"/>
      <c r="I6888" s="15"/>
    </row>
    <row r="6889">
      <c r="A6889" s="18">
        <v>45665.0</v>
      </c>
      <c r="B6889" s="16" t="s">
        <v>7704</v>
      </c>
      <c r="C6889" s="16">
        <v>11.0</v>
      </c>
      <c r="D6889" s="16" t="s">
        <v>7390</v>
      </c>
      <c r="E6889" s="16">
        <v>2025.0</v>
      </c>
      <c r="F6889" s="16">
        <v>48.7447</v>
      </c>
      <c r="G6889" s="16">
        <v>9.9616</v>
      </c>
      <c r="H6889" s="15"/>
      <c r="I6889" s="15"/>
    </row>
    <row r="6890">
      <c r="A6890" s="18">
        <v>45665.0</v>
      </c>
      <c r="B6890" s="16" t="s">
        <v>7705</v>
      </c>
      <c r="C6890" s="16" t="s">
        <v>1004</v>
      </c>
      <c r="D6890" s="16" t="s">
        <v>7390</v>
      </c>
      <c r="E6890" s="16">
        <v>2025.0</v>
      </c>
      <c r="F6890" s="16">
        <v>48.9416</v>
      </c>
      <c r="G6890" s="16">
        <v>11.1469</v>
      </c>
      <c r="H6890" s="15"/>
      <c r="I6890" s="15"/>
    </row>
    <row r="6891">
      <c r="A6891" s="18">
        <v>45665.0</v>
      </c>
      <c r="B6891" s="16" t="s">
        <v>7706</v>
      </c>
      <c r="C6891" s="16" t="s">
        <v>3817</v>
      </c>
      <c r="D6891" s="16" t="s">
        <v>7390</v>
      </c>
      <c r="E6891" s="16">
        <v>2025.0</v>
      </c>
      <c r="F6891" s="16">
        <v>49.6101</v>
      </c>
      <c r="G6891" s="16">
        <v>9.5367</v>
      </c>
      <c r="H6891" s="15"/>
      <c r="I6891" s="15"/>
    </row>
    <row r="6892">
      <c r="A6892" s="18">
        <v>45665.0</v>
      </c>
      <c r="B6892" s="16" t="s">
        <v>7707</v>
      </c>
      <c r="C6892" s="16" t="s">
        <v>3169</v>
      </c>
      <c r="D6892" s="16" t="s">
        <v>7390</v>
      </c>
      <c r="E6892" s="16">
        <v>2025.0</v>
      </c>
      <c r="F6892" s="16">
        <v>48.4932</v>
      </c>
      <c r="G6892" s="16">
        <v>11.5939</v>
      </c>
      <c r="H6892" s="15"/>
      <c r="I6892" s="15"/>
    </row>
    <row r="6893">
      <c r="A6893" s="18">
        <v>45665.0</v>
      </c>
      <c r="B6893" s="16" t="s">
        <v>7708</v>
      </c>
      <c r="C6893" s="16">
        <v>11.0</v>
      </c>
      <c r="D6893" s="16" t="s">
        <v>7390</v>
      </c>
      <c r="E6893" s="16">
        <v>2025.0</v>
      </c>
      <c r="F6893" s="16">
        <v>53.1694</v>
      </c>
      <c r="G6893" s="16">
        <v>11.6407</v>
      </c>
      <c r="H6893" s="15"/>
      <c r="I6893" s="15"/>
    </row>
    <row r="6894">
      <c r="A6894" s="18">
        <v>45665.0</v>
      </c>
      <c r="B6894" s="16" t="s">
        <v>7709</v>
      </c>
      <c r="C6894" s="16" t="s">
        <v>1310</v>
      </c>
      <c r="D6894" s="16" t="s">
        <v>7390</v>
      </c>
      <c r="E6894" s="16">
        <v>2025.0</v>
      </c>
      <c r="F6894" s="16">
        <v>49.2448</v>
      </c>
      <c r="G6894" s="16">
        <v>12.5129</v>
      </c>
      <c r="H6894" s="15"/>
      <c r="I6894" s="15"/>
    </row>
    <row r="6895">
      <c r="A6895" s="18">
        <v>45665.0</v>
      </c>
      <c r="B6895" s="16" t="s">
        <v>7710</v>
      </c>
      <c r="C6895" s="16" t="s">
        <v>1475</v>
      </c>
      <c r="D6895" s="16" t="s">
        <v>7390</v>
      </c>
      <c r="E6895" s="16">
        <v>2025.0</v>
      </c>
      <c r="F6895" s="16">
        <v>52.9439</v>
      </c>
      <c r="G6895" s="16">
        <v>12.6866</v>
      </c>
      <c r="H6895" s="15"/>
      <c r="I6895" s="15"/>
    </row>
    <row r="6896">
      <c r="A6896" s="18">
        <v>45665.0</v>
      </c>
      <c r="B6896" s="16" t="s">
        <v>7711</v>
      </c>
      <c r="C6896" s="16">
        <v>3.0</v>
      </c>
      <c r="D6896" s="16" t="s">
        <v>7390</v>
      </c>
      <c r="E6896" s="16">
        <v>2025.0</v>
      </c>
      <c r="F6896" s="16">
        <v>49.5497</v>
      </c>
      <c r="G6896" s="16">
        <v>8.6239</v>
      </c>
      <c r="H6896" s="15"/>
      <c r="I6896" s="15"/>
    </row>
    <row r="6897">
      <c r="A6897" s="18">
        <v>45665.0</v>
      </c>
      <c r="B6897" s="16" t="s">
        <v>7712</v>
      </c>
      <c r="C6897" s="16">
        <v>3.0</v>
      </c>
      <c r="D6897" s="16" t="s">
        <v>7390</v>
      </c>
      <c r="E6897" s="16">
        <v>2025.0</v>
      </c>
      <c r="F6897" s="16">
        <v>47.8993</v>
      </c>
      <c r="G6897" s="16">
        <v>11.4107</v>
      </c>
      <c r="H6897" s="15"/>
      <c r="I6897" s="15"/>
    </row>
    <row r="6898">
      <c r="A6898" s="18">
        <v>45665.0</v>
      </c>
      <c r="B6898" s="16" t="s">
        <v>7713</v>
      </c>
      <c r="C6898" s="16" t="s">
        <v>4533</v>
      </c>
      <c r="D6898" s="16" t="s">
        <v>7390</v>
      </c>
      <c r="E6898" s="16">
        <v>2025.0</v>
      </c>
      <c r="F6898" s="16">
        <v>50.4129</v>
      </c>
      <c r="G6898" s="16">
        <v>8.8778</v>
      </c>
      <c r="H6898" s="15"/>
      <c r="I6898" s="15"/>
    </row>
    <row r="6899">
      <c r="A6899" s="18">
        <v>45665.0</v>
      </c>
      <c r="B6899" s="16" t="s">
        <v>7714</v>
      </c>
      <c r="C6899" s="16">
        <v>17.0</v>
      </c>
      <c r="D6899" s="16" t="s">
        <v>7390</v>
      </c>
      <c r="E6899" s="16">
        <v>2025.0</v>
      </c>
      <c r="F6899" s="16">
        <v>53.9468</v>
      </c>
      <c r="G6899" s="16">
        <v>9.9465</v>
      </c>
      <c r="H6899" s="15"/>
      <c r="I6899" s="15"/>
    </row>
    <row r="6900">
      <c r="A6900" s="18">
        <v>45665.0</v>
      </c>
      <c r="B6900" s="16" t="s">
        <v>7715</v>
      </c>
      <c r="C6900" s="16" t="s">
        <v>1007</v>
      </c>
      <c r="D6900" s="16" t="s">
        <v>7390</v>
      </c>
      <c r="E6900" s="16">
        <v>2025.0</v>
      </c>
      <c r="F6900" s="16">
        <v>52.4584</v>
      </c>
      <c r="G6900" s="16">
        <v>8.0465</v>
      </c>
      <c r="H6900" s="15"/>
      <c r="I6900" s="15"/>
    </row>
    <row r="6901">
      <c r="A6901" s="18">
        <v>45665.0</v>
      </c>
      <c r="B6901" s="16" t="s">
        <v>859</v>
      </c>
      <c r="C6901" s="16" t="s">
        <v>1773</v>
      </c>
      <c r="D6901" s="16" t="s">
        <v>7390</v>
      </c>
      <c r="E6901" s="16">
        <v>2025.0</v>
      </c>
      <c r="F6901" s="16">
        <v>51.1727</v>
      </c>
      <c r="G6901" s="16">
        <v>12.4024</v>
      </c>
      <c r="H6901" s="15"/>
      <c r="I6901" s="15"/>
    </row>
    <row r="6902">
      <c r="A6902" s="17">
        <v>45636.0</v>
      </c>
      <c r="B6902" s="16" t="s">
        <v>7716</v>
      </c>
      <c r="C6902" s="16">
        <v>3.0</v>
      </c>
      <c r="D6902" s="16" t="s">
        <v>7390</v>
      </c>
      <c r="E6902" s="16">
        <v>2026.0</v>
      </c>
      <c r="F6902" s="16">
        <v>53.4108</v>
      </c>
      <c r="G6902" s="16">
        <v>14.1185</v>
      </c>
      <c r="H6902" s="15"/>
      <c r="I6902" s="15"/>
    </row>
    <row r="6903">
      <c r="A6903" s="17">
        <v>45636.0</v>
      </c>
      <c r="B6903" s="16" t="s">
        <v>7717</v>
      </c>
      <c r="C6903" s="16" t="s">
        <v>2331</v>
      </c>
      <c r="D6903" s="16" t="s">
        <v>7390</v>
      </c>
      <c r="E6903" s="16">
        <v>2026.0</v>
      </c>
      <c r="F6903" s="16">
        <v>54.0047</v>
      </c>
      <c r="G6903" s="16">
        <v>9.224</v>
      </c>
      <c r="H6903" s="15"/>
      <c r="I6903" s="15"/>
    </row>
    <row r="6904">
      <c r="A6904" s="17">
        <v>45636.0</v>
      </c>
      <c r="B6904" s="16" t="s">
        <v>7718</v>
      </c>
      <c r="C6904" s="16">
        <v>13.0</v>
      </c>
      <c r="D6904" s="16" t="s">
        <v>7390</v>
      </c>
      <c r="E6904" s="16">
        <v>2026.0</v>
      </c>
      <c r="F6904" s="16">
        <v>54.2221</v>
      </c>
      <c r="G6904" s="16">
        <v>13.0821</v>
      </c>
      <c r="H6904" s="15"/>
      <c r="I6904" s="15"/>
    </row>
    <row r="6905">
      <c r="A6905" s="17">
        <v>45636.0</v>
      </c>
      <c r="B6905" s="16" t="s">
        <v>7719</v>
      </c>
      <c r="C6905" s="16">
        <v>14.0</v>
      </c>
      <c r="D6905" s="16" t="s">
        <v>7390</v>
      </c>
      <c r="E6905" s="16">
        <v>2026.0</v>
      </c>
      <c r="F6905" s="16">
        <v>52.3236</v>
      </c>
      <c r="G6905" s="16">
        <v>14.4681</v>
      </c>
      <c r="H6905" s="15"/>
      <c r="I6905" s="15"/>
    </row>
    <row r="6906">
      <c r="A6906" s="17">
        <v>45636.0</v>
      </c>
      <c r="B6906" s="16" t="s">
        <v>7720</v>
      </c>
      <c r="C6906" s="16" t="s">
        <v>2184</v>
      </c>
      <c r="D6906" s="16" t="s">
        <v>7390</v>
      </c>
      <c r="E6906" s="16">
        <v>2026.0</v>
      </c>
      <c r="F6906" s="16">
        <v>52.1985</v>
      </c>
      <c r="G6906" s="16">
        <v>8.4168</v>
      </c>
      <c r="H6906" s="15"/>
      <c r="I6906" s="15"/>
    </row>
    <row r="6907">
      <c r="A6907" s="17">
        <v>45636.0</v>
      </c>
      <c r="B6907" s="16" t="s">
        <v>7721</v>
      </c>
      <c r="C6907" s="16" t="s">
        <v>4533</v>
      </c>
      <c r="D6907" s="16" t="s">
        <v>7390</v>
      </c>
      <c r="E6907" s="16">
        <v>2026.0</v>
      </c>
      <c r="F6907" s="16">
        <v>48.4356</v>
      </c>
      <c r="G6907" s="16">
        <v>12.6629</v>
      </c>
      <c r="H6907" s="15"/>
      <c r="I6907" s="15"/>
    </row>
    <row r="6908">
      <c r="A6908" s="17">
        <v>45636.0</v>
      </c>
      <c r="B6908" s="16" t="s">
        <v>7722</v>
      </c>
      <c r="C6908" s="16" t="s">
        <v>1004</v>
      </c>
      <c r="D6908" s="16" t="s">
        <v>7390</v>
      </c>
      <c r="E6908" s="16">
        <v>2026.0</v>
      </c>
      <c r="F6908" s="16">
        <v>48.4356</v>
      </c>
      <c r="G6908" s="16">
        <v>12.6629</v>
      </c>
      <c r="H6908" s="15"/>
      <c r="I6908" s="15"/>
    </row>
    <row r="6909">
      <c r="A6909" s="17">
        <v>45636.0</v>
      </c>
      <c r="B6909" s="16" t="s">
        <v>7723</v>
      </c>
      <c r="C6909" s="16">
        <v>10.0</v>
      </c>
      <c r="D6909" s="16" t="s">
        <v>7390</v>
      </c>
      <c r="E6909" s="16">
        <v>2026.0</v>
      </c>
      <c r="F6909" s="16">
        <v>53.9246</v>
      </c>
      <c r="G6909" s="16">
        <v>10.4363</v>
      </c>
      <c r="H6909" s="15"/>
      <c r="I6909" s="15"/>
    </row>
    <row r="6910">
      <c r="A6910" s="17">
        <v>45636.0</v>
      </c>
      <c r="B6910" s="16" t="s">
        <v>7724</v>
      </c>
      <c r="C6910" s="16" t="s">
        <v>1351</v>
      </c>
      <c r="D6910" s="16" t="s">
        <v>7390</v>
      </c>
      <c r="E6910" s="16">
        <v>2026.0</v>
      </c>
      <c r="F6910" s="16">
        <v>49.6917</v>
      </c>
      <c r="G6910" s="16">
        <v>10.9581</v>
      </c>
      <c r="H6910" s="15"/>
      <c r="I6910" s="15"/>
    </row>
    <row r="6911">
      <c r="A6911" s="17">
        <v>45636.0</v>
      </c>
      <c r="B6911" s="16" t="s">
        <v>7725</v>
      </c>
      <c r="C6911" s="16">
        <v>10.0</v>
      </c>
      <c r="D6911" s="16" t="s">
        <v>7390</v>
      </c>
      <c r="E6911" s="16">
        <v>2026.0</v>
      </c>
      <c r="F6911" s="16">
        <v>54.2858</v>
      </c>
      <c r="G6911" s="16">
        <v>10.6059</v>
      </c>
      <c r="H6911" s="15"/>
      <c r="I6911" s="15"/>
    </row>
    <row r="6912">
      <c r="A6912" s="17">
        <v>45636.0</v>
      </c>
      <c r="B6912" s="16" t="s">
        <v>7726</v>
      </c>
      <c r="C6912" s="16" t="s">
        <v>5232</v>
      </c>
      <c r="D6912" s="16" t="s">
        <v>7390</v>
      </c>
      <c r="E6912" s="16">
        <v>2026.0</v>
      </c>
      <c r="F6912" s="16">
        <v>54.0667</v>
      </c>
      <c r="G6912" s="16">
        <v>13.414</v>
      </c>
      <c r="H6912" s="15"/>
      <c r="I6912" s="15"/>
    </row>
    <row r="6913">
      <c r="A6913" s="17">
        <v>45636.0</v>
      </c>
      <c r="B6913" s="16" t="s">
        <v>7727</v>
      </c>
      <c r="C6913" s="16">
        <v>9.0</v>
      </c>
      <c r="D6913" s="16" t="s">
        <v>7390</v>
      </c>
      <c r="E6913" s="16">
        <v>2026.0</v>
      </c>
      <c r="F6913" s="16">
        <v>50.0898</v>
      </c>
      <c r="G6913" s="16">
        <v>9.9817</v>
      </c>
      <c r="H6913" s="15"/>
      <c r="I6913" s="15"/>
    </row>
    <row r="6914">
      <c r="A6914" s="17">
        <v>45636.0</v>
      </c>
      <c r="B6914" s="16" t="s">
        <v>7728</v>
      </c>
      <c r="C6914" s="16">
        <v>11.0</v>
      </c>
      <c r="D6914" s="16" t="s">
        <v>7390</v>
      </c>
      <c r="E6914" s="16">
        <v>2026.0</v>
      </c>
      <c r="F6914" s="16">
        <v>54.2245</v>
      </c>
      <c r="G6914" s="16">
        <v>10.8996</v>
      </c>
      <c r="H6914" s="15"/>
      <c r="I6914" s="15"/>
    </row>
    <row r="6915">
      <c r="A6915" s="17">
        <v>45636.0</v>
      </c>
      <c r="B6915" s="16" t="s">
        <v>7729</v>
      </c>
      <c r="C6915" s="16" t="s">
        <v>1172</v>
      </c>
      <c r="D6915" s="16" t="s">
        <v>7390</v>
      </c>
      <c r="E6915" s="16">
        <v>2026.0</v>
      </c>
      <c r="F6915" s="16">
        <v>48.9754</v>
      </c>
      <c r="G6915" s="16">
        <v>11.7477</v>
      </c>
      <c r="H6915" s="15"/>
      <c r="I6915" s="15"/>
    </row>
    <row r="6916">
      <c r="A6916" s="17">
        <v>45636.0</v>
      </c>
      <c r="B6916" s="16" t="s">
        <v>7730</v>
      </c>
      <c r="C6916" s="16" t="s">
        <v>3169</v>
      </c>
      <c r="D6916" s="16" t="s">
        <v>7390</v>
      </c>
      <c r="E6916" s="16">
        <v>2026.0</v>
      </c>
      <c r="F6916" s="16">
        <v>52.191</v>
      </c>
      <c r="G6916" s="16">
        <v>8.4889</v>
      </c>
      <c r="H6916" s="15"/>
      <c r="I6916" s="15"/>
    </row>
    <row r="6917">
      <c r="A6917" s="17">
        <v>45636.0</v>
      </c>
      <c r="B6917" s="16" t="s">
        <v>7731</v>
      </c>
      <c r="C6917" s="16">
        <v>17.0</v>
      </c>
      <c r="D6917" s="16" t="s">
        <v>7390</v>
      </c>
      <c r="E6917" s="16">
        <v>2026.0</v>
      </c>
      <c r="F6917" s="16">
        <v>50.1397</v>
      </c>
      <c r="G6917" s="16">
        <v>10.2344</v>
      </c>
      <c r="H6917" s="15"/>
      <c r="I6917" s="15"/>
    </row>
    <row r="6918">
      <c r="A6918" s="17">
        <v>45636.0</v>
      </c>
      <c r="B6918" s="16" t="s">
        <v>7732</v>
      </c>
      <c r="C6918" s="16" t="s">
        <v>6343</v>
      </c>
      <c r="D6918" s="16" t="s">
        <v>7390</v>
      </c>
      <c r="E6918" s="16">
        <v>2026.0</v>
      </c>
      <c r="F6918" s="16">
        <v>49.7223</v>
      </c>
      <c r="G6918" s="16">
        <v>7.4691</v>
      </c>
      <c r="H6918" s="15"/>
      <c r="I6918" s="15"/>
    </row>
    <row r="6919">
      <c r="A6919" s="17">
        <v>45636.0</v>
      </c>
      <c r="B6919" s="16" t="s">
        <v>7733</v>
      </c>
      <c r="C6919" s="16" t="s">
        <v>1277</v>
      </c>
      <c r="D6919" s="16" t="s">
        <v>7390</v>
      </c>
      <c r="E6919" s="16">
        <v>2026.0</v>
      </c>
      <c r="F6919" s="16">
        <v>49.6714</v>
      </c>
      <c r="G6919" s="16">
        <v>9.7828</v>
      </c>
      <c r="H6919" s="15"/>
      <c r="I6919" s="15"/>
    </row>
    <row r="6920">
      <c r="A6920" s="17">
        <v>45636.0</v>
      </c>
      <c r="B6920" s="16" t="s">
        <v>7734</v>
      </c>
      <c r="C6920" s="16" t="s">
        <v>1215</v>
      </c>
      <c r="D6920" s="16" t="s">
        <v>7390</v>
      </c>
      <c r="E6920" s="16">
        <v>2026.0</v>
      </c>
      <c r="F6920" s="16">
        <v>50.0274</v>
      </c>
      <c r="G6920" s="16">
        <v>7.2918</v>
      </c>
      <c r="H6920" s="15"/>
      <c r="I6920" s="15"/>
    </row>
    <row r="6921">
      <c r="A6921" s="17">
        <v>45636.0</v>
      </c>
      <c r="B6921" s="16" t="s">
        <v>7735</v>
      </c>
      <c r="C6921" s="16">
        <v>8.0</v>
      </c>
      <c r="D6921" s="16" t="s">
        <v>7390</v>
      </c>
      <c r="E6921" s="16">
        <v>2026.0</v>
      </c>
      <c r="F6921" s="16">
        <v>49.2203</v>
      </c>
      <c r="G6921" s="16">
        <v>10.7006</v>
      </c>
      <c r="H6921" s="15"/>
      <c r="I6921" s="15"/>
    </row>
    <row r="6922">
      <c r="A6922" s="17">
        <v>45636.0</v>
      </c>
      <c r="B6922" s="16" t="s">
        <v>7736</v>
      </c>
      <c r="C6922" s="16" t="s">
        <v>1055</v>
      </c>
      <c r="D6922" s="16" t="s">
        <v>7390</v>
      </c>
      <c r="E6922" s="16">
        <v>2026.0</v>
      </c>
      <c r="F6922" s="16">
        <v>48.6502</v>
      </c>
      <c r="G6922" s="16">
        <v>8.0808</v>
      </c>
      <c r="H6922" s="15"/>
      <c r="I6922" s="15"/>
    </row>
    <row r="6923">
      <c r="A6923" s="17">
        <v>45636.0</v>
      </c>
      <c r="B6923" s="16" t="s">
        <v>7737</v>
      </c>
      <c r="C6923" s="16" t="s">
        <v>1777</v>
      </c>
      <c r="D6923" s="16" t="s">
        <v>7390</v>
      </c>
      <c r="E6923" s="16">
        <v>2026.0</v>
      </c>
      <c r="F6923" s="16">
        <v>54.081</v>
      </c>
      <c r="G6923" s="16">
        <v>9.269</v>
      </c>
      <c r="H6923" s="15"/>
      <c r="I6923" s="15"/>
    </row>
    <row r="6924">
      <c r="A6924" s="17">
        <v>45636.0</v>
      </c>
      <c r="B6924" s="16" t="s">
        <v>7738</v>
      </c>
      <c r="C6924" s="16" t="s">
        <v>1402</v>
      </c>
      <c r="D6924" s="16" t="s">
        <v>7390</v>
      </c>
      <c r="E6924" s="16">
        <v>2026.0</v>
      </c>
      <c r="F6924" s="16">
        <v>50.0334</v>
      </c>
      <c r="G6924" s="16">
        <v>7.264</v>
      </c>
      <c r="H6924" s="15"/>
      <c r="I6924" s="15"/>
    </row>
    <row r="6925">
      <c r="A6925" s="17">
        <v>45636.0</v>
      </c>
      <c r="B6925" s="16" t="s">
        <v>7739</v>
      </c>
      <c r="C6925" s="16" t="s">
        <v>4789</v>
      </c>
      <c r="D6925" s="16" t="s">
        <v>7390</v>
      </c>
      <c r="E6925" s="16">
        <v>2026.0</v>
      </c>
      <c r="F6925" s="16">
        <v>48.2595</v>
      </c>
      <c r="G6925" s="16">
        <v>9.8597</v>
      </c>
      <c r="H6925" s="15"/>
      <c r="I6925" s="15"/>
    </row>
    <row r="6926">
      <c r="A6926" s="17">
        <v>45636.0</v>
      </c>
      <c r="B6926" s="16" t="s">
        <v>7740</v>
      </c>
      <c r="C6926" s="16">
        <v>15.0</v>
      </c>
      <c r="D6926" s="16" t="s">
        <v>7390</v>
      </c>
      <c r="E6926" s="16">
        <v>2026.0</v>
      </c>
      <c r="F6926" s="16">
        <v>54.2984</v>
      </c>
      <c r="G6926" s="16">
        <v>9.7607</v>
      </c>
      <c r="H6926" s="15"/>
      <c r="I6926" s="15"/>
    </row>
    <row r="6927">
      <c r="A6927" s="17">
        <v>45636.0</v>
      </c>
      <c r="B6927" s="16" t="s">
        <v>7741</v>
      </c>
      <c r="C6927" s="16">
        <v>19.0</v>
      </c>
      <c r="D6927" s="16" t="s">
        <v>7390</v>
      </c>
      <c r="E6927" s="16">
        <v>2026.0</v>
      </c>
      <c r="F6927" s="16">
        <v>51.4765</v>
      </c>
      <c r="G6927" s="16">
        <v>14.2105</v>
      </c>
      <c r="H6927" s="15"/>
      <c r="I6927" s="15"/>
    </row>
    <row r="6928">
      <c r="A6928" s="17">
        <v>45636.0</v>
      </c>
      <c r="B6928" s="16" t="s">
        <v>7742</v>
      </c>
      <c r="C6928" s="16" t="s">
        <v>2524</v>
      </c>
      <c r="D6928" s="16" t="s">
        <v>7390</v>
      </c>
      <c r="E6928" s="16">
        <v>2026.0</v>
      </c>
      <c r="F6928" s="16">
        <v>51.6687</v>
      </c>
      <c r="G6928" s="16">
        <v>14.2426</v>
      </c>
      <c r="H6928" s="15"/>
      <c r="I6928" s="15"/>
    </row>
    <row r="6929">
      <c r="A6929" s="17">
        <v>45636.0</v>
      </c>
      <c r="B6929" s="16" t="s">
        <v>7743</v>
      </c>
      <c r="C6929" s="16">
        <v>12.0</v>
      </c>
      <c r="D6929" s="16" t="s">
        <v>7390</v>
      </c>
      <c r="E6929" s="16">
        <v>2026.0</v>
      </c>
      <c r="F6929" s="16">
        <v>51.6735</v>
      </c>
      <c r="G6929" s="16">
        <v>14.2479</v>
      </c>
      <c r="H6929" s="15"/>
      <c r="I6929" s="15"/>
    </row>
    <row r="6930">
      <c r="A6930" s="17">
        <v>45636.0</v>
      </c>
      <c r="B6930" s="16" t="s">
        <v>7744</v>
      </c>
      <c r="C6930" s="16">
        <v>9.0</v>
      </c>
      <c r="D6930" s="16" t="s">
        <v>7390</v>
      </c>
      <c r="E6930" s="16">
        <v>2026.0</v>
      </c>
      <c r="F6930" s="16">
        <v>51.8609</v>
      </c>
      <c r="G6930" s="16">
        <v>13.9054</v>
      </c>
      <c r="H6930" s="15"/>
      <c r="I6930" s="15"/>
    </row>
    <row r="6931">
      <c r="A6931" s="17">
        <v>45636.0</v>
      </c>
      <c r="B6931" s="16" t="s">
        <v>7745</v>
      </c>
      <c r="C6931" s="16" t="s">
        <v>6462</v>
      </c>
      <c r="D6931" s="16" t="s">
        <v>7390</v>
      </c>
      <c r="E6931" s="16">
        <v>2026.0</v>
      </c>
      <c r="F6931" s="16">
        <v>51.8555</v>
      </c>
      <c r="G6931" s="16">
        <v>13.9106</v>
      </c>
      <c r="H6931" s="15"/>
      <c r="I6931" s="15"/>
    </row>
    <row r="6932">
      <c r="A6932" s="17">
        <v>45636.0</v>
      </c>
      <c r="B6932" s="16" t="s">
        <v>7746</v>
      </c>
      <c r="C6932" s="16">
        <v>8.0</v>
      </c>
      <c r="D6932" s="16" t="s">
        <v>7390</v>
      </c>
      <c r="E6932" s="16">
        <v>2026.0</v>
      </c>
      <c r="F6932" s="16">
        <v>52.9496</v>
      </c>
      <c r="G6932" s="16">
        <v>13.1764</v>
      </c>
      <c r="H6932" s="15"/>
      <c r="I6932" s="15"/>
    </row>
    <row r="6933">
      <c r="A6933" s="17">
        <v>45636.0</v>
      </c>
      <c r="B6933" s="16" t="s">
        <v>7747</v>
      </c>
      <c r="C6933" s="16">
        <v>8.0</v>
      </c>
      <c r="D6933" s="16" t="s">
        <v>7390</v>
      </c>
      <c r="E6933" s="16">
        <v>2026.0</v>
      </c>
      <c r="F6933" s="16">
        <v>52.9496</v>
      </c>
      <c r="G6933" s="16">
        <v>13.1764</v>
      </c>
      <c r="H6933" s="15"/>
      <c r="I6933" s="15"/>
    </row>
    <row r="6934">
      <c r="A6934" s="17">
        <v>45636.0</v>
      </c>
      <c r="B6934" s="16" t="s">
        <v>7748</v>
      </c>
      <c r="C6934" s="16" t="s">
        <v>1011</v>
      </c>
      <c r="D6934" s="16" t="s">
        <v>7390</v>
      </c>
      <c r="E6934" s="16">
        <v>2026.0</v>
      </c>
      <c r="F6934" s="16">
        <v>48.4035</v>
      </c>
      <c r="G6934" s="16">
        <v>11.5916</v>
      </c>
      <c r="H6934" s="15"/>
      <c r="I6934" s="15"/>
    </row>
    <row r="6935">
      <c r="A6935" s="17">
        <v>45636.0</v>
      </c>
      <c r="B6935" s="16" t="s">
        <v>7749</v>
      </c>
      <c r="C6935" s="16" t="s">
        <v>2988</v>
      </c>
      <c r="D6935" s="16" t="s">
        <v>7390</v>
      </c>
      <c r="E6935" s="16">
        <v>2026.0</v>
      </c>
      <c r="F6935" s="16">
        <v>49.287</v>
      </c>
      <c r="G6935" s="16">
        <v>12.2392</v>
      </c>
      <c r="H6935" s="15"/>
      <c r="I6935" s="15"/>
    </row>
    <row r="6936">
      <c r="A6936" s="17">
        <v>45636.0</v>
      </c>
      <c r="B6936" s="16" t="s">
        <v>7750</v>
      </c>
      <c r="C6936" s="16" t="s">
        <v>2392</v>
      </c>
      <c r="D6936" s="16" t="s">
        <v>7390</v>
      </c>
      <c r="E6936" s="16">
        <v>2026.0</v>
      </c>
      <c r="F6936" s="16">
        <v>48.9998</v>
      </c>
      <c r="G6936" s="16">
        <v>11.5822</v>
      </c>
      <c r="H6936" s="15"/>
      <c r="I6936" s="15"/>
    </row>
    <row r="6937">
      <c r="A6937" s="17">
        <v>45636.0</v>
      </c>
      <c r="B6937" s="16" t="s">
        <v>7751</v>
      </c>
      <c r="C6937" s="16" t="s">
        <v>5894</v>
      </c>
      <c r="D6937" s="16" t="s">
        <v>7390</v>
      </c>
      <c r="E6937" s="16">
        <v>2026.0</v>
      </c>
      <c r="F6937" s="16">
        <v>52.3325</v>
      </c>
      <c r="G6937" s="16">
        <v>7.0827</v>
      </c>
      <c r="H6937" s="15"/>
      <c r="I6937" s="15"/>
    </row>
    <row r="6938">
      <c r="A6938" s="17">
        <v>45636.0</v>
      </c>
      <c r="B6938" s="16" t="s">
        <v>7752</v>
      </c>
      <c r="C6938" s="16" t="s">
        <v>1037</v>
      </c>
      <c r="D6938" s="16" t="s">
        <v>7390</v>
      </c>
      <c r="E6938" s="16">
        <v>2026.0</v>
      </c>
      <c r="F6938" s="16">
        <v>49.3809</v>
      </c>
      <c r="G6938" s="16">
        <v>7.6038</v>
      </c>
      <c r="H6938" s="15"/>
      <c r="I6938" s="15"/>
    </row>
    <row r="6939">
      <c r="A6939" s="17">
        <v>45636.0</v>
      </c>
      <c r="B6939" s="16" t="s">
        <v>7753</v>
      </c>
      <c r="C6939" s="16">
        <v>12.0</v>
      </c>
      <c r="D6939" s="16" t="s">
        <v>7390</v>
      </c>
      <c r="E6939" s="16">
        <v>2026.0</v>
      </c>
      <c r="F6939" s="16">
        <v>51.5722</v>
      </c>
      <c r="G6939" s="16">
        <v>13.1034</v>
      </c>
      <c r="H6939" s="15"/>
      <c r="I6939" s="15"/>
    </row>
    <row r="6940">
      <c r="A6940" s="17">
        <v>45636.0</v>
      </c>
      <c r="B6940" s="16" t="s">
        <v>7754</v>
      </c>
      <c r="C6940" s="16" t="s">
        <v>961</v>
      </c>
      <c r="D6940" s="16" t="s">
        <v>7390</v>
      </c>
      <c r="E6940" s="16">
        <v>2026.0</v>
      </c>
      <c r="F6940" s="16">
        <v>49.1515</v>
      </c>
      <c r="G6940" s="16">
        <v>11.8418</v>
      </c>
      <c r="H6940" s="15"/>
      <c r="I6940" s="15"/>
    </row>
    <row r="6941">
      <c r="A6941" s="17">
        <v>45636.0</v>
      </c>
      <c r="B6941" s="16" t="s">
        <v>7755</v>
      </c>
      <c r="C6941" s="16" t="s">
        <v>1454</v>
      </c>
      <c r="D6941" s="16" t="s">
        <v>7390</v>
      </c>
      <c r="E6941" s="16">
        <v>2026.0</v>
      </c>
      <c r="F6941" s="16">
        <v>51.2027</v>
      </c>
      <c r="G6941" s="16">
        <v>14.2526</v>
      </c>
      <c r="H6941" s="15"/>
      <c r="I6941" s="15"/>
    </row>
    <row r="6942">
      <c r="A6942" s="17">
        <v>45636.0</v>
      </c>
      <c r="B6942" s="16" t="s">
        <v>7756</v>
      </c>
      <c r="C6942" s="16">
        <v>7.0</v>
      </c>
      <c r="D6942" s="16" t="s">
        <v>7390</v>
      </c>
      <c r="E6942" s="16">
        <v>2026.0</v>
      </c>
      <c r="F6942" s="16">
        <v>50.2929</v>
      </c>
      <c r="G6942" s="16">
        <v>8.2436</v>
      </c>
      <c r="H6942" s="15"/>
      <c r="I6942" s="15"/>
    </row>
    <row r="6943">
      <c r="A6943" s="17">
        <v>45636.0</v>
      </c>
      <c r="B6943" s="16" t="s">
        <v>7757</v>
      </c>
      <c r="C6943" s="16">
        <v>15.0</v>
      </c>
      <c r="D6943" s="16" t="s">
        <v>7390</v>
      </c>
      <c r="E6943" s="16">
        <v>2026.0</v>
      </c>
      <c r="F6943" s="16">
        <v>48.3955</v>
      </c>
      <c r="G6943" s="16">
        <v>11.0348</v>
      </c>
      <c r="H6943" s="15"/>
      <c r="I6943" s="15"/>
    </row>
    <row r="6944">
      <c r="A6944" s="17">
        <v>45636.0</v>
      </c>
      <c r="B6944" s="16" t="s">
        <v>7758</v>
      </c>
      <c r="C6944" s="16">
        <v>7.0</v>
      </c>
      <c r="D6944" s="16" t="s">
        <v>7390</v>
      </c>
      <c r="E6944" s="16">
        <v>2026.0</v>
      </c>
      <c r="F6944" s="16">
        <v>47.9604</v>
      </c>
      <c r="G6944" s="16">
        <v>11.0118</v>
      </c>
      <c r="H6944" s="15"/>
      <c r="I6944" s="15"/>
    </row>
    <row r="6945">
      <c r="A6945" s="17">
        <v>45636.0</v>
      </c>
      <c r="B6945" s="16" t="s">
        <v>7759</v>
      </c>
      <c r="C6945" s="16">
        <v>3.0</v>
      </c>
      <c r="D6945" s="16" t="s">
        <v>7390</v>
      </c>
      <c r="E6945" s="16">
        <v>2026.0</v>
      </c>
      <c r="F6945" s="16">
        <v>48.301</v>
      </c>
      <c r="G6945" s="16">
        <v>11.596</v>
      </c>
      <c r="H6945" s="15"/>
      <c r="I6945" s="15"/>
    </row>
    <row r="6946">
      <c r="A6946" s="17">
        <v>45636.0</v>
      </c>
      <c r="B6946" s="16" t="s">
        <v>7760</v>
      </c>
      <c r="C6946" s="16">
        <v>15.0</v>
      </c>
      <c r="D6946" s="16" t="s">
        <v>7390</v>
      </c>
      <c r="E6946" s="16">
        <v>2026.0</v>
      </c>
      <c r="F6946" s="16">
        <v>49.1527</v>
      </c>
      <c r="G6946" s="16">
        <v>10.2635</v>
      </c>
      <c r="H6946" s="15"/>
      <c r="I6946" s="15"/>
    </row>
    <row r="6947">
      <c r="A6947" s="17">
        <v>45636.0</v>
      </c>
      <c r="B6947" s="16" t="s">
        <v>7761</v>
      </c>
      <c r="C6947" s="16" t="s">
        <v>1751</v>
      </c>
      <c r="D6947" s="16" t="s">
        <v>7390</v>
      </c>
      <c r="E6947" s="16">
        <v>2026.0</v>
      </c>
      <c r="F6947" s="16">
        <v>49.1395</v>
      </c>
      <c r="G6947" s="16">
        <v>11.3478</v>
      </c>
      <c r="H6947" s="15"/>
      <c r="I6947" s="15"/>
    </row>
    <row r="6948">
      <c r="A6948" s="17">
        <v>45636.0</v>
      </c>
      <c r="B6948" s="16" t="s">
        <v>7762</v>
      </c>
      <c r="C6948" s="16">
        <v>5.0</v>
      </c>
      <c r="D6948" s="16" t="s">
        <v>7390</v>
      </c>
      <c r="E6948" s="16">
        <v>2026.0</v>
      </c>
      <c r="F6948" s="16">
        <v>49.6693</v>
      </c>
      <c r="G6948" s="16">
        <v>9.7726</v>
      </c>
      <c r="H6948" s="15"/>
      <c r="I6948" s="15"/>
    </row>
    <row r="6949">
      <c r="A6949" s="17">
        <v>45636.0</v>
      </c>
      <c r="B6949" s="16" t="s">
        <v>7763</v>
      </c>
      <c r="C6949" s="16">
        <v>9.0</v>
      </c>
      <c r="D6949" s="16" t="s">
        <v>7390</v>
      </c>
      <c r="E6949" s="16">
        <v>2026.0</v>
      </c>
      <c r="F6949" s="16">
        <v>49.2715</v>
      </c>
      <c r="G6949" s="16">
        <v>8.6773</v>
      </c>
      <c r="H6949" s="15"/>
      <c r="I6949" s="15"/>
    </row>
    <row r="6950">
      <c r="A6950" s="17">
        <v>45636.0</v>
      </c>
      <c r="B6950" s="16" t="s">
        <v>7764</v>
      </c>
      <c r="C6950" s="16" t="s">
        <v>1771</v>
      </c>
      <c r="D6950" s="16" t="s">
        <v>7390</v>
      </c>
      <c r="E6950" s="16">
        <v>2026.0</v>
      </c>
      <c r="F6950" s="16">
        <v>48.7939</v>
      </c>
      <c r="G6950" s="16">
        <v>11.3901</v>
      </c>
      <c r="H6950" s="15"/>
      <c r="I6950" s="15"/>
    </row>
    <row r="6951">
      <c r="A6951" s="17">
        <v>45636.0</v>
      </c>
      <c r="B6951" s="16" t="s">
        <v>7765</v>
      </c>
      <c r="C6951" s="16" t="s">
        <v>1374</v>
      </c>
      <c r="D6951" s="16" t="s">
        <v>7390</v>
      </c>
      <c r="E6951" s="16">
        <v>2026.0</v>
      </c>
      <c r="F6951" s="16">
        <v>48.1492</v>
      </c>
      <c r="G6951" s="16">
        <v>10.3497</v>
      </c>
      <c r="H6951" s="15"/>
      <c r="I6951" s="15"/>
    </row>
    <row r="6952">
      <c r="A6952" s="17">
        <v>45636.0</v>
      </c>
      <c r="B6952" s="16" t="s">
        <v>7766</v>
      </c>
      <c r="C6952" s="16" t="s">
        <v>969</v>
      </c>
      <c r="D6952" s="16" t="s">
        <v>7390</v>
      </c>
      <c r="E6952" s="16">
        <v>2026.0</v>
      </c>
      <c r="F6952" s="16">
        <v>48.7967</v>
      </c>
      <c r="G6952" s="16">
        <v>11.4647</v>
      </c>
      <c r="H6952" s="15"/>
      <c r="I6952" s="15"/>
    </row>
    <row r="6953">
      <c r="A6953" s="17">
        <v>45636.0</v>
      </c>
      <c r="B6953" s="16" t="s">
        <v>7767</v>
      </c>
      <c r="C6953" s="16" t="s">
        <v>1011</v>
      </c>
      <c r="D6953" s="16" t="s">
        <v>7390</v>
      </c>
      <c r="E6953" s="16">
        <v>2026.0</v>
      </c>
      <c r="F6953" s="16">
        <v>48.7722</v>
      </c>
      <c r="G6953" s="16">
        <v>12.193</v>
      </c>
      <c r="H6953" s="15"/>
      <c r="I6953" s="15"/>
    </row>
    <row r="6954">
      <c r="A6954" s="17">
        <v>45636.0</v>
      </c>
      <c r="B6954" s="16" t="s">
        <v>7768</v>
      </c>
      <c r="C6954" s="16" t="s">
        <v>1454</v>
      </c>
      <c r="D6954" s="16" t="s">
        <v>7390</v>
      </c>
      <c r="E6954" s="16">
        <v>2026.0</v>
      </c>
      <c r="F6954" s="16">
        <v>50.3218</v>
      </c>
      <c r="G6954" s="16">
        <v>10.9518</v>
      </c>
      <c r="H6954" s="15"/>
      <c r="I6954" s="15"/>
    </row>
    <row r="6955">
      <c r="A6955" s="17">
        <v>45636.0</v>
      </c>
      <c r="B6955" s="16" t="s">
        <v>7769</v>
      </c>
      <c r="C6955" s="16" t="s">
        <v>4358</v>
      </c>
      <c r="D6955" s="16" t="s">
        <v>7390</v>
      </c>
      <c r="E6955" s="16">
        <v>2026.0</v>
      </c>
      <c r="F6955" s="16">
        <v>51.5761</v>
      </c>
      <c r="G6955" s="16">
        <v>11.8987</v>
      </c>
      <c r="H6955" s="15"/>
      <c r="I6955" s="15"/>
    </row>
    <row r="6956">
      <c r="A6956" s="17">
        <v>45636.0</v>
      </c>
      <c r="B6956" s="16" t="s">
        <v>7770</v>
      </c>
      <c r="C6956" s="16">
        <v>3.0</v>
      </c>
      <c r="D6956" s="16" t="s">
        <v>7390</v>
      </c>
      <c r="E6956" s="16">
        <v>2026.0</v>
      </c>
      <c r="F6956" s="16">
        <v>48.9368</v>
      </c>
      <c r="G6956" s="16">
        <v>11.5754</v>
      </c>
      <c r="H6956" s="15"/>
      <c r="I6956" s="15"/>
    </row>
    <row r="6957">
      <c r="A6957" s="17">
        <v>45636.0</v>
      </c>
      <c r="B6957" s="16" t="s">
        <v>7771</v>
      </c>
      <c r="C6957" s="16" t="s">
        <v>1055</v>
      </c>
      <c r="D6957" s="16" t="s">
        <v>7390</v>
      </c>
      <c r="E6957" s="16">
        <v>2026.0</v>
      </c>
      <c r="F6957" s="16">
        <v>48.6492</v>
      </c>
      <c r="G6957" s="16">
        <v>11.5308</v>
      </c>
      <c r="H6957" s="15"/>
      <c r="I6957" s="15"/>
    </row>
    <row r="6958">
      <c r="A6958" s="17">
        <v>45636.0</v>
      </c>
      <c r="B6958" s="16" t="s">
        <v>7772</v>
      </c>
      <c r="C6958" s="16" t="s">
        <v>1085</v>
      </c>
      <c r="D6958" s="16" t="s">
        <v>7390</v>
      </c>
      <c r="E6958" s="16">
        <v>2026.0</v>
      </c>
      <c r="F6958" s="16">
        <v>48.6545</v>
      </c>
      <c r="G6958" s="16">
        <v>11.5054</v>
      </c>
      <c r="H6958" s="15"/>
      <c r="I6958" s="15"/>
    </row>
    <row r="6959">
      <c r="A6959" s="17">
        <v>45636.0</v>
      </c>
      <c r="B6959" s="16" t="s">
        <v>7773</v>
      </c>
      <c r="C6959" s="16" t="s">
        <v>1475</v>
      </c>
      <c r="D6959" s="16" t="s">
        <v>7390</v>
      </c>
      <c r="E6959" s="16">
        <v>2026.0</v>
      </c>
      <c r="F6959" s="16">
        <v>49.179</v>
      </c>
      <c r="G6959" s="16">
        <v>10.2436</v>
      </c>
      <c r="H6959" s="15"/>
      <c r="I6959" s="15"/>
    </row>
    <row r="6960">
      <c r="A6960" s="17">
        <v>45636.0</v>
      </c>
      <c r="B6960" s="16" t="s">
        <v>7774</v>
      </c>
      <c r="C6960" s="16">
        <v>15.0</v>
      </c>
      <c r="D6960" s="16" t="s">
        <v>7390</v>
      </c>
      <c r="E6960" s="16">
        <v>2026.0</v>
      </c>
      <c r="F6960" s="16">
        <v>48.6029</v>
      </c>
      <c r="G6960" s="16">
        <v>11.2994</v>
      </c>
      <c r="H6960" s="15"/>
      <c r="I6960" s="15"/>
    </row>
    <row r="6961">
      <c r="A6961" s="17">
        <v>45636.0</v>
      </c>
      <c r="B6961" s="16" t="s">
        <v>7775</v>
      </c>
      <c r="C6961" s="16">
        <v>15.0</v>
      </c>
      <c r="D6961" s="16" t="s">
        <v>7390</v>
      </c>
      <c r="E6961" s="16">
        <v>2026.0</v>
      </c>
      <c r="F6961" s="16">
        <v>48.5592</v>
      </c>
      <c r="G6961" s="16">
        <v>11.1755</v>
      </c>
      <c r="H6961" s="15"/>
      <c r="I6961" s="15"/>
    </row>
    <row r="6962">
      <c r="A6962" s="17">
        <v>45636.0</v>
      </c>
      <c r="B6962" s="16" t="s">
        <v>7776</v>
      </c>
      <c r="C6962" s="16" t="s">
        <v>948</v>
      </c>
      <c r="D6962" s="16" t="s">
        <v>7390</v>
      </c>
      <c r="E6962" s="16">
        <v>2026.0</v>
      </c>
      <c r="F6962" s="16">
        <v>48.4969</v>
      </c>
      <c r="G6962" s="16">
        <v>11.594</v>
      </c>
      <c r="H6962" s="15"/>
      <c r="I6962" s="15"/>
    </row>
    <row r="6963">
      <c r="A6963" s="17">
        <v>45636.0</v>
      </c>
      <c r="B6963" s="16" t="s">
        <v>7777</v>
      </c>
      <c r="C6963" s="16">
        <v>15.0</v>
      </c>
      <c r="D6963" s="16" t="s">
        <v>7390</v>
      </c>
      <c r="E6963" s="16">
        <v>2026.0</v>
      </c>
      <c r="F6963" s="16">
        <v>49.1802</v>
      </c>
      <c r="G6963" s="16">
        <v>11.6106</v>
      </c>
      <c r="H6963" s="15"/>
      <c r="I6963" s="15"/>
    </row>
    <row r="6964">
      <c r="A6964" s="17">
        <v>45636.0</v>
      </c>
      <c r="B6964" s="16" t="s">
        <v>7778</v>
      </c>
      <c r="C6964" s="16" t="s">
        <v>2770</v>
      </c>
      <c r="D6964" s="16" t="s">
        <v>7390</v>
      </c>
      <c r="E6964" s="16">
        <v>2026.0</v>
      </c>
      <c r="F6964" s="16">
        <v>48.7577</v>
      </c>
      <c r="G6964" s="16">
        <v>11.0738</v>
      </c>
      <c r="H6964" s="15"/>
      <c r="I6964" s="15"/>
    </row>
    <row r="6965">
      <c r="A6965" s="17">
        <v>45636.0</v>
      </c>
      <c r="B6965" s="16" t="s">
        <v>7779</v>
      </c>
      <c r="C6965" s="16" t="s">
        <v>1771</v>
      </c>
      <c r="D6965" s="16" t="s">
        <v>7390</v>
      </c>
      <c r="E6965" s="16">
        <v>2026.0</v>
      </c>
      <c r="F6965" s="16">
        <v>48.3772</v>
      </c>
      <c r="G6965" s="16">
        <v>11.4547</v>
      </c>
      <c r="H6965" s="15"/>
      <c r="I6965" s="15"/>
    </row>
    <row r="6966">
      <c r="A6966" s="17">
        <v>45636.0</v>
      </c>
      <c r="B6966" s="16" t="s">
        <v>7780</v>
      </c>
      <c r="C6966" s="16" t="s">
        <v>1149</v>
      </c>
      <c r="D6966" s="16" t="s">
        <v>7390</v>
      </c>
      <c r="E6966" s="16">
        <v>2026.0</v>
      </c>
      <c r="F6966" s="16">
        <v>47.6885</v>
      </c>
      <c r="G6966" s="16">
        <v>9.7895</v>
      </c>
      <c r="H6966" s="15"/>
      <c r="I6966" s="15"/>
    </row>
    <row r="6967">
      <c r="A6967" s="17">
        <v>45636.0</v>
      </c>
      <c r="B6967" s="16" t="s">
        <v>7781</v>
      </c>
      <c r="C6967" s="16">
        <v>15.0</v>
      </c>
      <c r="D6967" s="16" t="s">
        <v>7390</v>
      </c>
      <c r="E6967" s="16">
        <v>2026.0</v>
      </c>
      <c r="F6967" s="16">
        <v>48.103</v>
      </c>
      <c r="G6967" s="16">
        <v>10.9973</v>
      </c>
      <c r="H6967" s="15"/>
      <c r="I6967" s="15"/>
    </row>
    <row r="6968">
      <c r="A6968" s="17">
        <v>45636.0</v>
      </c>
      <c r="B6968" s="16" t="s">
        <v>7782</v>
      </c>
      <c r="C6968" s="16" t="s">
        <v>2770</v>
      </c>
      <c r="D6968" s="16" t="s">
        <v>7390</v>
      </c>
      <c r="E6968" s="16">
        <v>2026.0</v>
      </c>
      <c r="F6968" s="16">
        <v>49.5611</v>
      </c>
      <c r="G6968" s="16">
        <v>12.2013</v>
      </c>
      <c r="H6968" s="15"/>
      <c r="I6968" s="15"/>
    </row>
    <row r="6969">
      <c r="A6969" s="17">
        <v>45636.0</v>
      </c>
      <c r="B6969" s="16" t="s">
        <v>7783</v>
      </c>
      <c r="C6969" s="16" t="s">
        <v>1475</v>
      </c>
      <c r="D6969" s="16" t="s">
        <v>7390</v>
      </c>
      <c r="E6969" s="16">
        <v>2026.0</v>
      </c>
      <c r="F6969" s="16">
        <v>51.7064</v>
      </c>
      <c r="G6969" s="16">
        <v>7.663</v>
      </c>
      <c r="H6969" s="15"/>
      <c r="I6969" s="15"/>
    </row>
    <row r="6970">
      <c r="A6970" s="17">
        <v>45636.0</v>
      </c>
      <c r="B6970" s="16" t="s">
        <v>7784</v>
      </c>
      <c r="C6970" s="16">
        <v>7.0</v>
      </c>
      <c r="D6970" s="16" t="s">
        <v>7390</v>
      </c>
      <c r="E6970" s="16">
        <v>2026.0</v>
      </c>
      <c r="F6970" s="16">
        <v>48.6123</v>
      </c>
      <c r="G6970" s="16">
        <v>11.6886</v>
      </c>
      <c r="H6970" s="15"/>
      <c r="I6970" s="15"/>
    </row>
    <row r="6971">
      <c r="A6971" s="17">
        <v>45636.0</v>
      </c>
      <c r="B6971" s="16" t="s">
        <v>7785</v>
      </c>
      <c r="C6971" s="16">
        <v>4.0</v>
      </c>
      <c r="D6971" s="16" t="s">
        <v>7390</v>
      </c>
      <c r="E6971" s="16">
        <v>2026.0</v>
      </c>
      <c r="F6971" s="16">
        <v>54.4792</v>
      </c>
      <c r="G6971" s="16">
        <v>9.5517</v>
      </c>
      <c r="H6971" s="15"/>
      <c r="I6971" s="15"/>
    </row>
    <row r="6972">
      <c r="A6972" s="17">
        <v>45636.0</v>
      </c>
      <c r="B6972" s="16" t="s">
        <v>7786</v>
      </c>
      <c r="C6972" s="16">
        <v>5.0</v>
      </c>
      <c r="D6972" s="16" t="s">
        <v>7390</v>
      </c>
      <c r="E6972" s="16">
        <v>2026.0</v>
      </c>
      <c r="F6972" s="16">
        <v>52.3265</v>
      </c>
      <c r="G6972" s="16">
        <v>7.4205</v>
      </c>
      <c r="H6972" s="15"/>
      <c r="I6972" s="15"/>
    </row>
    <row r="6973">
      <c r="A6973" s="17">
        <v>45636.0</v>
      </c>
      <c r="B6973" s="16" t="s">
        <v>7787</v>
      </c>
      <c r="C6973" s="16" t="s">
        <v>1310</v>
      </c>
      <c r="D6973" s="16" t="s">
        <v>7390</v>
      </c>
      <c r="E6973" s="16">
        <v>2026.0</v>
      </c>
      <c r="F6973" s="16">
        <v>52.9684</v>
      </c>
      <c r="G6973" s="16">
        <v>9.2358</v>
      </c>
      <c r="H6973" s="15"/>
      <c r="I6973" s="15"/>
    </row>
    <row r="6974">
      <c r="A6974" s="17">
        <v>45636.0</v>
      </c>
      <c r="B6974" s="16" t="s">
        <v>7788</v>
      </c>
      <c r="C6974" s="16" t="s">
        <v>1341</v>
      </c>
      <c r="D6974" s="16" t="s">
        <v>7390</v>
      </c>
      <c r="E6974" s="16">
        <v>2026.0</v>
      </c>
      <c r="F6974" s="16">
        <v>49.3168</v>
      </c>
      <c r="G6974" s="16">
        <v>6.6647</v>
      </c>
      <c r="H6974" s="15"/>
      <c r="I6974" s="15"/>
    </row>
    <row r="6975">
      <c r="A6975" s="17">
        <v>45636.0</v>
      </c>
      <c r="B6975" s="16" t="s">
        <v>7789</v>
      </c>
      <c r="C6975" s="16" t="s">
        <v>5558</v>
      </c>
      <c r="D6975" s="16" t="s">
        <v>7390</v>
      </c>
      <c r="E6975" s="16">
        <v>2026.0</v>
      </c>
      <c r="F6975" s="16">
        <v>49.3099</v>
      </c>
      <c r="G6975" s="16">
        <v>6.65</v>
      </c>
      <c r="H6975" s="15"/>
      <c r="I6975" s="15"/>
    </row>
    <row r="6976">
      <c r="A6976" s="17">
        <v>45636.0</v>
      </c>
      <c r="B6976" s="16" t="s">
        <v>7790</v>
      </c>
      <c r="C6976" s="16">
        <v>17.0</v>
      </c>
      <c r="D6976" s="16" t="s">
        <v>7390</v>
      </c>
      <c r="E6976" s="16">
        <v>2026.0</v>
      </c>
      <c r="F6976" s="16">
        <v>53.9207</v>
      </c>
      <c r="G6976" s="16">
        <v>10.3523</v>
      </c>
      <c r="H6976" s="15"/>
      <c r="I6976" s="15"/>
    </row>
    <row r="6977">
      <c r="A6977" s="18">
        <v>45665.0</v>
      </c>
      <c r="B6977" s="16" t="s">
        <v>7791</v>
      </c>
      <c r="C6977" s="16">
        <v>19.0</v>
      </c>
      <c r="D6977" s="16" t="s">
        <v>7390</v>
      </c>
      <c r="E6977" s="16">
        <v>2026.0</v>
      </c>
      <c r="F6977" s="16">
        <v>50.4361</v>
      </c>
      <c r="G6977" s="16">
        <v>11.3974</v>
      </c>
      <c r="H6977" s="15"/>
      <c r="I6977" s="15"/>
    </row>
    <row r="6978">
      <c r="A6978" s="18">
        <v>45665.0</v>
      </c>
      <c r="B6978" s="16" t="s">
        <v>7792</v>
      </c>
      <c r="C6978" s="16" t="s">
        <v>959</v>
      </c>
      <c r="D6978" s="16" t="s">
        <v>7390</v>
      </c>
      <c r="E6978" s="16">
        <v>2026.0</v>
      </c>
      <c r="F6978" s="16">
        <v>52.9635</v>
      </c>
      <c r="G6978" s="16">
        <v>10.5856</v>
      </c>
      <c r="H6978" s="15"/>
      <c r="I6978" s="15"/>
    </row>
    <row r="6979">
      <c r="A6979" s="18">
        <v>45665.0</v>
      </c>
      <c r="B6979" s="16" t="s">
        <v>7793</v>
      </c>
      <c r="C6979" s="16">
        <v>15.0</v>
      </c>
      <c r="D6979" s="16" t="s">
        <v>7390</v>
      </c>
      <c r="E6979" s="16">
        <v>2026.0</v>
      </c>
      <c r="F6979" s="16">
        <v>51.6237</v>
      </c>
      <c r="G6979" s="16">
        <v>12.2485</v>
      </c>
      <c r="H6979" s="15"/>
      <c r="I6979" s="15"/>
    </row>
    <row r="6980">
      <c r="A6980" s="18">
        <v>45665.0</v>
      </c>
      <c r="B6980" s="16" t="s">
        <v>7794</v>
      </c>
      <c r="C6980" s="16" t="s">
        <v>1101</v>
      </c>
      <c r="D6980" s="16" t="s">
        <v>7390</v>
      </c>
      <c r="E6980" s="16">
        <v>2026.0</v>
      </c>
      <c r="F6980" s="16">
        <v>51.6101</v>
      </c>
      <c r="G6980" s="16">
        <v>12.2894</v>
      </c>
      <c r="H6980" s="15"/>
      <c r="I6980" s="15"/>
    </row>
    <row r="6981">
      <c r="A6981" s="18">
        <v>45665.0</v>
      </c>
      <c r="B6981" s="16" t="s">
        <v>7795</v>
      </c>
      <c r="C6981" s="16">
        <v>5.0</v>
      </c>
      <c r="D6981" s="16" t="s">
        <v>7390</v>
      </c>
      <c r="E6981" s="16">
        <v>2026.0</v>
      </c>
      <c r="F6981" s="16">
        <v>51.6102</v>
      </c>
      <c r="G6981" s="16">
        <v>12.2895</v>
      </c>
      <c r="H6981" s="15"/>
      <c r="I6981" s="15"/>
    </row>
    <row r="6982">
      <c r="A6982" s="18">
        <v>45665.0</v>
      </c>
      <c r="B6982" s="16" t="s">
        <v>7796</v>
      </c>
      <c r="C6982" s="16" t="s">
        <v>5665</v>
      </c>
      <c r="D6982" s="16" t="s">
        <v>7390</v>
      </c>
      <c r="E6982" s="16">
        <v>2026.0</v>
      </c>
      <c r="F6982" s="16">
        <v>51.8026</v>
      </c>
      <c r="G6982" s="16">
        <v>12.0941</v>
      </c>
      <c r="H6982" s="15"/>
      <c r="I6982" s="15"/>
    </row>
    <row r="6983">
      <c r="A6983" s="18">
        <v>45665.0</v>
      </c>
      <c r="B6983" s="16" t="s">
        <v>7796</v>
      </c>
      <c r="C6983" s="16" t="s">
        <v>5665</v>
      </c>
      <c r="D6983" s="16" t="s">
        <v>7390</v>
      </c>
      <c r="E6983" s="16">
        <v>2026.0</v>
      </c>
      <c r="F6983" s="16">
        <v>51.8025</v>
      </c>
      <c r="G6983" s="16">
        <v>12.094</v>
      </c>
      <c r="H6983" s="15"/>
      <c r="I6983" s="15"/>
    </row>
    <row r="6984">
      <c r="A6984" s="18">
        <v>45665.0</v>
      </c>
      <c r="B6984" s="16" t="s">
        <v>7796</v>
      </c>
      <c r="C6984" s="16" t="s">
        <v>5665</v>
      </c>
      <c r="D6984" s="16" t="s">
        <v>7390</v>
      </c>
      <c r="E6984" s="16">
        <v>2026.0</v>
      </c>
      <c r="F6984" s="16">
        <v>51.8023</v>
      </c>
      <c r="G6984" s="16">
        <v>12.0941</v>
      </c>
      <c r="H6984" s="15"/>
      <c r="I6984" s="15"/>
    </row>
    <row r="6985">
      <c r="A6985" s="18">
        <v>45665.0</v>
      </c>
      <c r="B6985" s="16" t="s">
        <v>7797</v>
      </c>
      <c r="C6985" s="16" t="s">
        <v>6241</v>
      </c>
      <c r="D6985" s="16" t="s">
        <v>7390</v>
      </c>
      <c r="E6985" s="16">
        <v>2026.0</v>
      </c>
      <c r="F6985" s="16">
        <v>48.404</v>
      </c>
      <c r="G6985" s="16">
        <v>11.4417</v>
      </c>
      <c r="H6985" s="15"/>
      <c r="I6985" s="15"/>
    </row>
    <row r="6986">
      <c r="A6986" s="18">
        <v>45665.0</v>
      </c>
      <c r="B6986" s="16" t="s">
        <v>7798</v>
      </c>
      <c r="C6986" s="16" t="s">
        <v>1181</v>
      </c>
      <c r="D6986" s="16" t="s">
        <v>7390</v>
      </c>
      <c r="E6986" s="16">
        <v>2026.0</v>
      </c>
      <c r="F6986" s="16">
        <v>49.1246</v>
      </c>
      <c r="G6986" s="16">
        <v>12.2283</v>
      </c>
      <c r="H6986" s="15"/>
      <c r="I6986" s="15"/>
    </row>
    <row r="6987">
      <c r="A6987" s="18">
        <v>45665.0</v>
      </c>
      <c r="B6987" s="16" t="s">
        <v>7799</v>
      </c>
      <c r="C6987" s="16">
        <v>13.0</v>
      </c>
      <c r="D6987" s="16" t="s">
        <v>7390</v>
      </c>
      <c r="E6987" s="16">
        <v>2026.0</v>
      </c>
      <c r="F6987" s="16">
        <v>50.1551</v>
      </c>
      <c r="G6987" s="16">
        <v>10.3085</v>
      </c>
      <c r="H6987" s="15"/>
      <c r="I6987" s="15"/>
    </row>
    <row r="6988">
      <c r="A6988" s="17">
        <v>45636.0</v>
      </c>
      <c r="B6988" s="16" t="s">
        <v>7800</v>
      </c>
      <c r="C6988" s="16" t="s">
        <v>1955</v>
      </c>
      <c r="D6988" s="16" t="s">
        <v>7390</v>
      </c>
      <c r="E6988" s="16">
        <v>2027.0</v>
      </c>
      <c r="F6988" s="16">
        <v>52.4611</v>
      </c>
      <c r="G6988" s="16">
        <v>12.338</v>
      </c>
      <c r="H6988" s="15"/>
      <c r="I6988" s="15"/>
    </row>
    <row r="6989">
      <c r="A6989" s="17">
        <v>45636.0</v>
      </c>
      <c r="B6989" s="16" t="s">
        <v>7801</v>
      </c>
      <c r="C6989" s="16" t="s">
        <v>6641</v>
      </c>
      <c r="D6989" s="16" t="s">
        <v>7390</v>
      </c>
      <c r="E6989" s="16">
        <v>2027.0</v>
      </c>
      <c r="F6989" s="16">
        <v>52.4611</v>
      </c>
      <c r="G6989" s="16">
        <v>12.338</v>
      </c>
      <c r="H6989" s="15"/>
      <c r="I6989" s="15"/>
    </row>
    <row r="6990">
      <c r="A6990" s="17">
        <v>45636.0</v>
      </c>
      <c r="B6990" s="16" t="s">
        <v>7802</v>
      </c>
      <c r="C6990" s="16" t="s">
        <v>7803</v>
      </c>
      <c r="D6990" s="16" t="s">
        <v>7390</v>
      </c>
      <c r="E6990" s="16">
        <v>2027.0</v>
      </c>
      <c r="F6990" s="16">
        <v>51.5773</v>
      </c>
      <c r="G6990" s="16">
        <v>13.0912</v>
      </c>
      <c r="H6990" s="15"/>
      <c r="I6990" s="15"/>
    </row>
    <row r="6991">
      <c r="A6991" s="17">
        <v>45636.0</v>
      </c>
      <c r="B6991" s="16" t="s">
        <v>7804</v>
      </c>
      <c r="C6991" s="16">
        <v>16.0</v>
      </c>
      <c r="D6991" s="16" t="s">
        <v>7390</v>
      </c>
      <c r="E6991" s="16">
        <v>2027.0</v>
      </c>
      <c r="F6991" s="16">
        <v>51.5681</v>
      </c>
      <c r="G6991" s="16">
        <v>13.1057</v>
      </c>
      <c r="H6991" s="15"/>
      <c r="I6991" s="15"/>
    </row>
    <row r="6992">
      <c r="A6992" s="17">
        <v>45636.0</v>
      </c>
      <c r="B6992" s="16" t="s">
        <v>7805</v>
      </c>
      <c r="C6992" s="16">
        <v>16.0</v>
      </c>
      <c r="D6992" s="16" t="s">
        <v>7390</v>
      </c>
      <c r="E6992" s="16">
        <v>2027.0</v>
      </c>
      <c r="F6992" s="16">
        <v>51.5702</v>
      </c>
      <c r="G6992" s="16">
        <v>13.1015</v>
      </c>
      <c r="H6992" s="15"/>
      <c r="I6992" s="15"/>
    </row>
    <row r="6993">
      <c r="A6993" s="17">
        <v>45636.0</v>
      </c>
      <c r="B6993" s="16" t="s">
        <v>7806</v>
      </c>
      <c r="C6993" s="16">
        <v>9.0</v>
      </c>
      <c r="D6993" s="16" t="s">
        <v>7390</v>
      </c>
      <c r="E6993" s="16">
        <v>2027.0</v>
      </c>
      <c r="F6993" s="16">
        <v>48.9535</v>
      </c>
      <c r="G6993" s="16">
        <v>11.0789</v>
      </c>
      <c r="H6993" s="15"/>
      <c r="I6993" s="15"/>
    </row>
    <row r="6994">
      <c r="A6994" s="17">
        <v>45636.0</v>
      </c>
      <c r="B6994" s="16" t="s">
        <v>7807</v>
      </c>
      <c r="C6994" s="16" t="s">
        <v>5196</v>
      </c>
      <c r="D6994" s="16" t="s">
        <v>7390</v>
      </c>
      <c r="E6994" s="16">
        <v>2027.0</v>
      </c>
      <c r="F6994" s="16">
        <v>53.845</v>
      </c>
      <c r="G6994" s="16">
        <v>12.2819</v>
      </c>
      <c r="H6994" s="15"/>
      <c r="I6994" s="15"/>
    </row>
    <row r="6995">
      <c r="A6995" s="17">
        <v>45636.0</v>
      </c>
      <c r="B6995" s="16" t="s">
        <v>7808</v>
      </c>
      <c r="C6995" s="16" t="s">
        <v>5196</v>
      </c>
      <c r="D6995" s="16" t="s">
        <v>7390</v>
      </c>
      <c r="E6995" s="16">
        <v>2027.0</v>
      </c>
      <c r="F6995" s="16">
        <v>53.8494</v>
      </c>
      <c r="G6995" s="16">
        <v>12.2694</v>
      </c>
      <c r="H6995" s="15"/>
      <c r="I6995" s="15"/>
    </row>
    <row r="6996">
      <c r="A6996" s="18">
        <v>45001.0</v>
      </c>
      <c r="B6996" s="16" t="s">
        <v>7809</v>
      </c>
      <c r="C6996" s="16">
        <v>9.0</v>
      </c>
      <c r="D6996" s="16" t="s">
        <v>7390</v>
      </c>
      <c r="E6996" s="15"/>
      <c r="F6996" s="16">
        <v>50.1234</v>
      </c>
      <c r="G6996" s="16">
        <v>10.0714</v>
      </c>
      <c r="H6996" s="15"/>
      <c r="I6996" s="15"/>
    </row>
    <row r="6997">
      <c r="A6997" s="18">
        <v>45329.0</v>
      </c>
      <c r="B6997" s="16" t="s">
        <v>7810</v>
      </c>
      <c r="C6997" s="16" t="s">
        <v>942</v>
      </c>
      <c r="D6997" s="16" t="s">
        <v>7390</v>
      </c>
      <c r="E6997" s="15"/>
      <c r="F6997" s="16">
        <v>52.517</v>
      </c>
      <c r="G6997" s="16">
        <v>13.4349</v>
      </c>
      <c r="H6997" s="15"/>
      <c r="I6997" s="15"/>
    </row>
    <row r="6998">
      <c r="A6998" s="18">
        <v>45329.0</v>
      </c>
      <c r="B6998" s="16" t="s">
        <v>7811</v>
      </c>
      <c r="C6998" s="16" t="s">
        <v>1055</v>
      </c>
      <c r="D6998" s="16" t="s">
        <v>7390</v>
      </c>
      <c r="E6998" s="15"/>
      <c r="F6998" s="16">
        <v>54.0516</v>
      </c>
      <c r="G6998" s="16">
        <v>10.2368</v>
      </c>
      <c r="H6998" s="15"/>
      <c r="I6998" s="15"/>
    </row>
    <row r="6999">
      <c r="A6999" s="18">
        <v>45329.0</v>
      </c>
      <c r="B6999" s="16" t="s">
        <v>7812</v>
      </c>
      <c r="C6999" s="16">
        <v>1.0</v>
      </c>
      <c r="D6999" s="16" t="s">
        <v>7390</v>
      </c>
      <c r="E6999" s="15"/>
      <c r="F6999" s="16">
        <v>50.3924</v>
      </c>
      <c r="G6999" s="16">
        <v>7.3905</v>
      </c>
      <c r="H6999" s="15"/>
      <c r="I6999" s="15"/>
    </row>
    <row r="7000">
      <c r="A7000" s="18">
        <v>45329.0</v>
      </c>
      <c r="B7000" s="16" t="s">
        <v>7813</v>
      </c>
      <c r="C7000" s="16">
        <v>8.0</v>
      </c>
      <c r="D7000" s="16" t="s">
        <v>7390</v>
      </c>
      <c r="E7000" s="15"/>
      <c r="F7000" s="16">
        <v>49.4157</v>
      </c>
      <c r="G7000" s="16">
        <v>11.419</v>
      </c>
      <c r="H7000" s="15"/>
      <c r="I7000" s="15"/>
    </row>
    <row r="7001">
      <c r="A7001" s="18">
        <v>45329.0</v>
      </c>
      <c r="B7001" s="16" t="s">
        <v>7814</v>
      </c>
      <c r="C7001" s="16">
        <v>3.0</v>
      </c>
      <c r="D7001" s="16" t="s">
        <v>7390</v>
      </c>
      <c r="E7001" s="15"/>
      <c r="F7001" s="16">
        <v>49.4157</v>
      </c>
      <c r="G7001" s="16">
        <v>11.419</v>
      </c>
      <c r="H7001" s="15"/>
      <c r="I7001" s="15"/>
    </row>
    <row r="7002">
      <c r="A7002" s="18">
        <v>45329.0</v>
      </c>
      <c r="B7002" s="16" t="s">
        <v>7815</v>
      </c>
      <c r="C7002" s="16" t="s">
        <v>959</v>
      </c>
      <c r="D7002" s="16" t="s">
        <v>7390</v>
      </c>
      <c r="E7002" s="15"/>
      <c r="F7002" s="16">
        <v>53.0491</v>
      </c>
      <c r="G7002" s="16">
        <v>8.6548</v>
      </c>
      <c r="H7002" s="15"/>
      <c r="I7002" s="15"/>
    </row>
    <row r="7003">
      <c r="A7003" s="18">
        <v>45329.0</v>
      </c>
      <c r="B7003" s="16" t="s">
        <v>7816</v>
      </c>
      <c r="C7003" s="16" t="s">
        <v>1007</v>
      </c>
      <c r="D7003" s="16" t="s">
        <v>7390</v>
      </c>
      <c r="E7003" s="15"/>
      <c r="F7003" s="16">
        <v>53.3934</v>
      </c>
      <c r="G7003" s="16">
        <v>8.1205</v>
      </c>
      <c r="H7003" s="15"/>
      <c r="I7003" s="15"/>
    </row>
    <row r="7004">
      <c r="A7004" s="18">
        <v>45329.0</v>
      </c>
      <c r="B7004" s="16" t="s">
        <v>7817</v>
      </c>
      <c r="C7004" s="16" t="s">
        <v>1039</v>
      </c>
      <c r="D7004" s="16" t="s">
        <v>7390</v>
      </c>
      <c r="E7004" s="15"/>
      <c r="F7004" s="16">
        <v>47.7114</v>
      </c>
      <c r="G7004" s="16">
        <v>7.8139</v>
      </c>
      <c r="H7004" s="15"/>
      <c r="I7004" s="15"/>
    </row>
    <row r="7005">
      <c r="A7005" s="17">
        <v>45636.0</v>
      </c>
      <c r="B7005" s="16" t="s">
        <v>7818</v>
      </c>
      <c r="C7005" s="16" t="s">
        <v>1007</v>
      </c>
      <c r="D7005" s="16" t="s">
        <v>7390</v>
      </c>
      <c r="E7005" s="15"/>
      <c r="F7005" s="16">
        <v>53.0247</v>
      </c>
      <c r="G7005" s="16">
        <v>8.9041</v>
      </c>
      <c r="H7005" s="15"/>
      <c r="I7005" s="15"/>
    </row>
    <row r="7006">
      <c r="A7006" s="17">
        <v>45636.0</v>
      </c>
      <c r="B7006" s="16" t="s">
        <v>7819</v>
      </c>
      <c r="C7006" s="16" t="s">
        <v>1007</v>
      </c>
      <c r="D7006" s="16" t="s">
        <v>7390</v>
      </c>
      <c r="E7006" s="15"/>
      <c r="F7006" s="16">
        <v>52.1639</v>
      </c>
      <c r="G7006" s="16">
        <v>9.0812</v>
      </c>
      <c r="H7006" s="15"/>
      <c r="I7006" s="15"/>
    </row>
    <row r="7007">
      <c r="A7007" s="17">
        <v>45636.0</v>
      </c>
      <c r="B7007" s="16" t="s">
        <v>7820</v>
      </c>
      <c r="C7007" s="16">
        <v>2.0</v>
      </c>
      <c r="D7007" s="16" t="s">
        <v>7390</v>
      </c>
      <c r="E7007" s="15"/>
      <c r="F7007" s="16">
        <v>51.1453</v>
      </c>
      <c r="G7007" s="16">
        <v>6.3462</v>
      </c>
      <c r="H7007" s="15"/>
      <c r="I7007" s="15"/>
    </row>
    <row r="7008">
      <c r="A7008" s="17">
        <v>45636.0</v>
      </c>
      <c r="B7008" s="16" t="s">
        <v>7821</v>
      </c>
      <c r="C7008" s="16" t="s">
        <v>951</v>
      </c>
      <c r="D7008" s="16" t="s">
        <v>7390</v>
      </c>
      <c r="E7008" s="15"/>
      <c r="F7008" s="16">
        <v>52.3755</v>
      </c>
      <c r="G7008" s="16">
        <v>9.8621</v>
      </c>
      <c r="H7008" s="15"/>
      <c r="I7008" s="15"/>
    </row>
    <row r="7009">
      <c r="A7009" s="17">
        <v>45636.0</v>
      </c>
      <c r="B7009" s="16" t="s">
        <v>7822</v>
      </c>
      <c r="C7009" s="16">
        <v>1.0</v>
      </c>
      <c r="D7009" s="16" t="s">
        <v>7390</v>
      </c>
      <c r="E7009" s="15"/>
      <c r="F7009" s="16">
        <v>48.1458</v>
      </c>
      <c r="G7009" s="16">
        <v>9.6438</v>
      </c>
      <c r="H7009" s="15"/>
      <c r="I7009" s="15"/>
    </row>
    <row r="7010">
      <c r="A7010" s="17">
        <v>45636.0</v>
      </c>
      <c r="B7010" s="16" t="s">
        <v>7823</v>
      </c>
      <c r="C7010" s="16">
        <v>2.0</v>
      </c>
      <c r="D7010" s="16" t="s">
        <v>7390</v>
      </c>
      <c r="E7010" s="15"/>
      <c r="F7010" s="16">
        <v>47.8897</v>
      </c>
      <c r="G7010" s="16">
        <v>8.3715</v>
      </c>
      <c r="H7010" s="15"/>
      <c r="I7010" s="15"/>
    </row>
    <row r="7011">
      <c r="A7011" s="17">
        <v>45636.0</v>
      </c>
      <c r="B7011" s="16" t="s">
        <v>7824</v>
      </c>
      <c r="C7011" s="16" t="s">
        <v>1267</v>
      </c>
      <c r="D7011" s="16" t="s">
        <v>7390</v>
      </c>
      <c r="E7011" s="15"/>
      <c r="F7011" s="16">
        <v>49.4179</v>
      </c>
      <c r="G7011" s="16">
        <v>7.2188</v>
      </c>
      <c r="H7011" s="15"/>
      <c r="I7011" s="15"/>
    </row>
    <row r="7012">
      <c r="A7012" s="17">
        <v>45636.0</v>
      </c>
      <c r="B7012" s="16" t="s">
        <v>7825</v>
      </c>
      <c r="C7012" s="16" t="s">
        <v>951</v>
      </c>
      <c r="D7012" s="16" t="s">
        <v>7390</v>
      </c>
      <c r="E7012" s="15"/>
      <c r="F7012" s="16">
        <v>50.4973</v>
      </c>
      <c r="G7012" s="16">
        <v>7.736</v>
      </c>
      <c r="H7012" s="15"/>
      <c r="I7012" s="15"/>
    </row>
    <row r="7013">
      <c r="A7013" s="17">
        <v>45636.0</v>
      </c>
      <c r="B7013" s="16" t="s">
        <v>7826</v>
      </c>
      <c r="C7013" s="16" t="s">
        <v>961</v>
      </c>
      <c r="D7013" s="16" t="s">
        <v>7390</v>
      </c>
      <c r="E7013" s="15"/>
      <c r="F7013" s="16">
        <v>50.4976</v>
      </c>
      <c r="G7013" s="16">
        <v>7.7359</v>
      </c>
      <c r="H7013" s="15"/>
      <c r="I7013" s="15"/>
    </row>
    <row r="7014">
      <c r="A7014" s="17">
        <v>45636.0</v>
      </c>
      <c r="B7014" s="16" t="s">
        <v>7827</v>
      </c>
      <c r="C7014" s="16" t="s">
        <v>1055</v>
      </c>
      <c r="D7014" s="16" t="s">
        <v>7390</v>
      </c>
      <c r="E7014" s="15"/>
      <c r="F7014" s="16">
        <v>50.4974</v>
      </c>
      <c r="G7014" s="16">
        <v>7.7352</v>
      </c>
      <c r="H7014" s="15"/>
      <c r="I7014" s="15"/>
    </row>
    <row r="7015">
      <c r="A7015" s="17">
        <v>45636.0</v>
      </c>
      <c r="B7015" s="16" t="s">
        <v>7828</v>
      </c>
      <c r="C7015" s="16" t="s">
        <v>971</v>
      </c>
      <c r="D7015" s="16" t="s">
        <v>7390</v>
      </c>
      <c r="E7015" s="15"/>
      <c r="F7015" s="16">
        <v>53.7045</v>
      </c>
      <c r="G7015" s="16">
        <v>7.9278</v>
      </c>
      <c r="H7015" s="15"/>
      <c r="I7015" s="15"/>
    </row>
    <row r="7016">
      <c r="A7016" s="17">
        <v>45636.0</v>
      </c>
      <c r="B7016" s="16" t="s">
        <v>7829</v>
      </c>
      <c r="C7016" s="16" t="s">
        <v>1004</v>
      </c>
      <c r="D7016" s="16" t="s">
        <v>7390</v>
      </c>
      <c r="E7016" s="15"/>
      <c r="F7016" s="16">
        <v>48.4758</v>
      </c>
      <c r="G7016" s="16">
        <v>9.9095</v>
      </c>
      <c r="H7016" s="15"/>
      <c r="I7016" s="15"/>
    </row>
    <row r="7017">
      <c r="A7017" s="17">
        <v>45636.0</v>
      </c>
      <c r="B7017" s="16" t="s">
        <v>7830</v>
      </c>
      <c r="C7017" s="16" t="s">
        <v>990</v>
      </c>
      <c r="D7017" s="16" t="s">
        <v>7390</v>
      </c>
      <c r="E7017" s="15"/>
      <c r="F7017" s="16">
        <v>53.0167</v>
      </c>
      <c r="G7017" s="16">
        <v>9.0597</v>
      </c>
      <c r="H7017" s="15"/>
      <c r="I7017" s="15"/>
    </row>
    <row r="7018">
      <c r="A7018" s="17">
        <v>45636.0</v>
      </c>
      <c r="B7018" s="16" t="s">
        <v>7831</v>
      </c>
      <c r="C7018" s="16" t="s">
        <v>1059</v>
      </c>
      <c r="D7018" s="16" t="s">
        <v>7390</v>
      </c>
      <c r="E7018" s="15"/>
      <c r="F7018" s="16">
        <v>53.3209</v>
      </c>
      <c r="G7018" s="16">
        <v>10.0608</v>
      </c>
      <c r="H7018" s="15"/>
      <c r="I7018" s="15"/>
    </row>
    <row r="7019">
      <c r="A7019" s="17">
        <v>45636.0</v>
      </c>
      <c r="B7019" s="16" t="s">
        <v>7832</v>
      </c>
      <c r="C7019" s="16" t="s">
        <v>1147</v>
      </c>
      <c r="D7019" s="16" t="s">
        <v>7390</v>
      </c>
      <c r="E7019" s="15"/>
      <c r="F7019" s="16">
        <v>48.2241</v>
      </c>
      <c r="G7019" s="16">
        <v>12.3233</v>
      </c>
      <c r="H7019" s="15"/>
      <c r="I7019" s="15"/>
    </row>
    <row r="7020">
      <c r="A7020" s="17">
        <v>45636.0</v>
      </c>
      <c r="B7020" s="16" t="s">
        <v>7833</v>
      </c>
      <c r="C7020" s="16" t="s">
        <v>4064</v>
      </c>
      <c r="D7020" s="16" t="s">
        <v>7390</v>
      </c>
      <c r="E7020" s="15"/>
      <c r="F7020" s="16">
        <v>49.1618</v>
      </c>
      <c r="G7020" s="16">
        <v>11.0125</v>
      </c>
      <c r="H7020" s="15"/>
      <c r="I7020" s="15"/>
    </row>
    <row r="7021">
      <c r="A7021" s="17">
        <v>45636.0</v>
      </c>
      <c r="B7021" s="16" t="s">
        <v>7834</v>
      </c>
      <c r="C7021" s="16" t="s">
        <v>1007</v>
      </c>
      <c r="D7021" s="16" t="s">
        <v>7390</v>
      </c>
      <c r="E7021" s="15"/>
      <c r="F7021" s="16">
        <v>51.3222</v>
      </c>
      <c r="G7021" s="16">
        <v>7.9012</v>
      </c>
      <c r="H7021" s="15"/>
      <c r="I7021" s="15"/>
    </row>
    <row r="7022">
      <c r="A7022" s="17">
        <v>45636.0</v>
      </c>
      <c r="B7022" s="16" t="s">
        <v>7835</v>
      </c>
      <c r="C7022" s="16" t="s">
        <v>1037</v>
      </c>
      <c r="D7022" s="16" t="s">
        <v>7390</v>
      </c>
      <c r="E7022" s="15"/>
      <c r="F7022" s="16">
        <v>52.877</v>
      </c>
      <c r="G7022" s="16">
        <v>12.8007</v>
      </c>
      <c r="H7022" s="15"/>
      <c r="I7022" s="15"/>
    </row>
    <row r="7023">
      <c r="A7023" s="17">
        <v>45636.0</v>
      </c>
      <c r="B7023" s="16" t="s">
        <v>7836</v>
      </c>
      <c r="C7023" s="16">
        <v>3.0</v>
      </c>
      <c r="D7023" s="16" t="s">
        <v>7390</v>
      </c>
      <c r="E7023" s="15"/>
      <c r="F7023" s="16">
        <v>50.1426</v>
      </c>
      <c r="G7023" s="16">
        <v>9.4068</v>
      </c>
      <c r="H7023" s="15"/>
      <c r="I7023" s="15"/>
    </row>
    <row r="7024">
      <c r="A7024" s="17">
        <v>45636.0</v>
      </c>
      <c r="B7024" s="16" t="s">
        <v>7837</v>
      </c>
      <c r="C7024" s="16">
        <v>5.0</v>
      </c>
      <c r="D7024" s="16" t="s">
        <v>7390</v>
      </c>
      <c r="E7024" s="15"/>
      <c r="F7024" s="16">
        <v>49.0223</v>
      </c>
      <c r="G7024" s="16">
        <v>13.263</v>
      </c>
      <c r="H7024" s="15"/>
      <c r="I7024" s="15"/>
    </row>
    <row r="7025">
      <c r="A7025" s="17">
        <v>45636.0</v>
      </c>
      <c r="B7025" s="16" t="s">
        <v>7838</v>
      </c>
      <c r="C7025" s="16" t="s">
        <v>1037</v>
      </c>
      <c r="D7025" s="16" t="s">
        <v>7390</v>
      </c>
      <c r="E7025" s="15"/>
      <c r="F7025" s="16">
        <v>47.9917</v>
      </c>
      <c r="G7025" s="16">
        <v>12.4582</v>
      </c>
      <c r="H7025" s="15"/>
      <c r="I7025" s="15"/>
    </row>
    <row r="7026">
      <c r="A7026" s="17">
        <v>45636.0</v>
      </c>
      <c r="B7026" s="16" t="s">
        <v>7839</v>
      </c>
      <c r="C7026" s="16">
        <v>5.0</v>
      </c>
      <c r="D7026" s="16" t="s">
        <v>7390</v>
      </c>
      <c r="E7026" s="15"/>
      <c r="F7026" s="16">
        <v>48.8514</v>
      </c>
      <c r="G7026" s="16">
        <v>12.0114</v>
      </c>
      <c r="H7026" s="15"/>
      <c r="I7026" s="15"/>
    </row>
    <row r="7027">
      <c r="A7027" s="17">
        <v>45636.0</v>
      </c>
      <c r="B7027" s="16" t="s">
        <v>7840</v>
      </c>
      <c r="C7027" s="16" t="s">
        <v>946</v>
      </c>
      <c r="D7027" s="16" t="s">
        <v>7390</v>
      </c>
      <c r="E7027" s="15"/>
      <c r="F7027" s="16">
        <v>48.6332</v>
      </c>
      <c r="G7027" s="16">
        <v>10.9522</v>
      </c>
      <c r="H7027" s="15"/>
      <c r="I7027" s="15"/>
    </row>
    <row r="7028">
      <c r="A7028" s="17">
        <v>45636.0</v>
      </c>
      <c r="B7028" s="16" t="s">
        <v>7841</v>
      </c>
      <c r="C7028" s="16" t="s">
        <v>1090</v>
      </c>
      <c r="D7028" s="16" t="s">
        <v>7390</v>
      </c>
      <c r="E7028" s="15"/>
      <c r="F7028" s="16">
        <v>51.0018</v>
      </c>
      <c r="G7028" s="16">
        <v>10.4492</v>
      </c>
      <c r="H7028" s="15"/>
      <c r="I7028" s="15"/>
    </row>
    <row r="7029">
      <c r="A7029" s="17">
        <v>45636.0</v>
      </c>
      <c r="B7029" s="16" t="s">
        <v>7842</v>
      </c>
      <c r="C7029" s="16" t="s">
        <v>951</v>
      </c>
      <c r="D7029" s="16" t="s">
        <v>7390</v>
      </c>
      <c r="E7029" s="15"/>
      <c r="F7029" s="16">
        <v>50.8438</v>
      </c>
      <c r="G7029" s="16">
        <v>6.4658</v>
      </c>
      <c r="H7029" s="15"/>
      <c r="I7029" s="15"/>
    </row>
    <row r="7030">
      <c r="A7030" s="17">
        <v>45636.0</v>
      </c>
      <c r="B7030" s="16" t="s">
        <v>7843</v>
      </c>
      <c r="C7030" s="16" t="s">
        <v>1055</v>
      </c>
      <c r="D7030" s="16" t="s">
        <v>7390</v>
      </c>
      <c r="E7030" s="15"/>
      <c r="F7030" s="16">
        <v>48.9435</v>
      </c>
      <c r="G7030" s="16">
        <v>8.9436</v>
      </c>
      <c r="H7030" s="15"/>
      <c r="I7030" s="15"/>
    </row>
    <row r="7031">
      <c r="A7031" s="17">
        <v>45636.0</v>
      </c>
      <c r="B7031" s="16" t="s">
        <v>7844</v>
      </c>
      <c r="C7031" s="16">
        <v>9.0</v>
      </c>
      <c r="D7031" s="16" t="s">
        <v>7390</v>
      </c>
      <c r="E7031" s="15"/>
      <c r="F7031" s="16">
        <v>53.9286</v>
      </c>
      <c r="G7031" s="16">
        <v>12.3361</v>
      </c>
      <c r="H7031" s="15"/>
      <c r="I7031" s="15"/>
    </row>
    <row r="7032">
      <c r="A7032" s="17">
        <v>45636.0</v>
      </c>
      <c r="B7032" s="16" t="s">
        <v>7845</v>
      </c>
      <c r="C7032" s="16">
        <v>1.0</v>
      </c>
      <c r="D7032" s="16" t="s">
        <v>7390</v>
      </c>
      <c r="E7032" s="15"/>
      <c r="F7032" s="16">
        <v>51.3596</v>
      </c>
      <c r="G7032" s="16">
        <v>6.9235</v>
      </c>
      <c r="H7032" s="15"/>
      <c r="I7032" s="15"/>
    </row>
    <row r="7033">
      <c r="A7033" s="17">
        <v>45636.0</v>
      </c>
      <c r="B7033" s="16" t="s">
        <v>7846</v>
      </c>
      <c r="C7033" s="16" t="s">
        <v>1059</v>
      </c>
      <c r="D7033" s="16" t="s">
        <v>7390</v>
      </c>
      <c r="E7033" s="15"/>
      <c r="F7033" s="16">
        <v>48.7489</v>
      </c>
      <c r="G7033" s="16">
        <v>12.9355</v>
      </c>
      <c r="H7033" s="15"/>
      <c r="I7033" s="15"/>
    </row>
    <row r="7034">
      <c r="A7034" s="17">
        <v>45636.0</v>
      </c>
      <c r="B7034" s="16" t="s">
        <v>7847</v>
      </c>
      <c r="C7034" s="16">
        <v>2.0</v>
      </c>
      <c r="D7034" s="16" t="s">
        <v>7390</v>
      </c>
      <c r="E7034" s="15"/>
      <c r="F7034" s="16">
        <v>48.7299</v>
      </c>
      <c r="G7034" s="16">
        <v>12.9752</v>
      </c>
      <c r="H7034" s="15"/>
      <c r="I7034" s="15"/>
    </row>
    <row r="7035">
      <c r="A7035" s="17">
        <v>45636.0</v>
      </c>
      <c r="B7035" s="16" t="s">
        <v>7848</v>
      </c>
      <c r="C7035" s="16" t="s">
        <v>7849</v>
      </c>
      <c r="D7035" s="16" t="s">
        <v>7390</v>
      </c>
      <c r="E7035" s="15"/>
      <c r="F7035" s="16">
        <v>49.3837</v>
      </c>
      <c r="G7035" s="16">
        <v>10.5121</v>
      </c>
      <c r="H7035" s="15"/>
      <c r="I7035" s="15"/>
    </row>
    <row r="7036">
      <c r="A7036" s="17">
        <v>45636.0</v>
      </c>
      <c r="B7036" s="16" t="s">
        <v>7850</v>
      </c>
      <c r="C7036" s="16" t="s">
        <v>1742</v>
      </c>
      <c r="D7036" s="16" t="s">
        <v>7390</v>
      </c>
      <c r="E7036" s="15"/>
      <c r="F7036" s="16">
        <v>49.3972</v>
      </c>
      <c r="G7036" s="16">
        <v>10.5412</v>
      </c>
      <c r="H7036" s="15"/>
      <c r="I7036" s="15"/>
    </row>
    <row r="7037">
      <c r="A7037" s="17">
        <v>45636.0</v>
      </c>
      <c r="B7037" s="16" t="s">
        <v>7851</v>
      </c>
      <c r="C7037" s="16">
        <v>1.0</v>
      </c>
      <c r="D7037" s="16" t="s">
        <v>7390</v>
      </c>
      <c r="E7037" s="15"/>
      <c r="F7037" s="16">
        <v>53.7353</v>
      </c>
      <c r="G7037" s="16">
        <v>10.0219</v>
      </c>
      <c r="H7037" s="15"/>
      <c r="I7037" s="15"/>
    </row>
    <row r="7038">
      <c r="A7038" s="17">
        <v>45636.0</v>
      </c>
      <c r="B7038" s="16" t="s">
        <v>7852</v>
      </c>
      <c r="C7038" s="16" t="s">
        <v>1037</v>
      </c>
      <c r="D7038" s="16" t="s">
        <v>7390</v>
      </c>
      <c r="E7038" s="15"/>
      <c r="F7038" s="16">
        <v>49.2313</v>
      </c>
      <c r="G7038" s="16">
        <v>8.3811</v>
      </c>
      <c r="H7038" s="15"/>
      <c r="I7038" s="15"/>
    </row>
    <row r="7039">
      <c r="A7039" s="17">
        <v>45636.0</v>
      </c>
      <c r="B7039" s="16" t="s">
        <v>7853</v>
      </c>
      <c r="C7039" s="16">
        <v>1.0</v>
      </c>
      <c r="D7039" s="16" t="s">
        <v>7390</v>
      </c>
      <c r="E7039" s="15"/>
      <c r="F7039" s="16">
        <v>50.8233</v>
      </c>
      <c r="G7039" s="16">
        <v>11.5835</v>
      </c>
      <c r="H7039" s="15"/>
      <c r="I7039" s="15"/>
    </row>
    <row r="7040">
      <c r="A7040" s="17">
        <v>45636.0</v>
      </c>
      <c r="B7040" s="16" t="s">
        <v>7854</v>
      </c>
      <c r="C7040" s="16" t="s">
        <v>1436</v>
      </c>
      <c r="D7040" s="16" t="s">
        <v>7390</v>
      </c>
      <c r="E7040" s="15"/>
      <c r="F7040" s="16">
        <v>48.8183</v>
      </c>
      <c r="G7040" s="16">
        <v>13.5659</v>
      </c>
      <c r="H7040" s="15"/>
      <c r="I7040" s="15"/>
    </row>
    <row r="7041">
      <c r="A7041" s="17">
        <v>45636.0</v>
      </c>
      <c r="B7041" s="16" t="s">
        <v>7855</v>
      </c>
      <c r="C7041" s="16" t="s">
        <v>1267</v>
      </c>
      <c r="D7041" s="16" t="s">
        <v>7390</v>
      </c>
      <c r="E7041" s="15"/>
      <c r="F7041" s="16">
        <v>48.0299</v>
      </c>
      <c r="G7041" s="16">
        <v>10.1194</v>
      </c>
      <c r="H7041" s="15"/>
      <c r="I7041" s="15"/>
    </row>
    <row r="7042">
      <c r="A7042" s="17">
        <v>45636.0</v>
      </c>
      <c r="B7042" s="16" t="s">
        <v>7856</v>
      </c>
      <c r="C7042" s="16" t="s">
        <v>7849</v>
      </c>
      <c r="D7042" s="16" t="s">
        <v>7390</v>
      </c>
      <c r="E7042" s="15"/>
      <c r="F7042" s="16">
        <v>51.5825</v>
      </c>
      <c r="G7042" s="16">
        <v>8.3044</v>
      </c>
      <c r="H7042" s="15"/>
      <c r="I7042" s="15"/>
    </row>
    <row r="7043">
      <c r="A7043" s="17">
        <v>45636.0</v>
      </c>
      <c r="B7043" s="16" t="s">
        <v>7857</v>
      </c>
      <c r="C7043" s="16" t="s">
        <v>1051</v>
      </c>
      <c r="D7043" s="16" t="s">
        <v>7390</v>
      </c>
      <c r="E7043" s="15"/>
      <c r="F7043" s="16">
        <v>49.3352</v>
      </c>
      <c r="G7043" s="16">
        <v>12.6345</v>
      </c>
      <c r="H7043" s="15"/>
      <c r="I7043" s="15"/>
    </row>
    <row r="7044">
      <c r="A7044" s="17">
        <v>45636.0</v>
      </c>
      <c r="B7044" s="16" t="s">
        <v>7858</v>
      </c>
      <c r="C7044" s="16" t="s">
        <v>1341</v>
      </c>
      <c r="D7044" s="16" t="s">
        <v>7390</v>
      </c>
      <c r="E7044" s="15"/>
      <c r="F7044" s="16">
        <v>48.5724</v>
      </c>
      <c r="G7044" s="16">
        <v>12.5194</v>
      </c>
      <c r="H7044" s="15"/>
      <c r="I7044" s="15"/>
    </row>
    <row r="7045">
      <c r="A7045" s="17">
        <v>45636.0</v>
      </c>
      <c r="B7045" s="16" t="s">
        <v>7859</v>
      </c>
      <c r="C7045" s="16" t="s">
        <v>1004</v>
      </c>
      <c r="D7045" s="16" t="s">
        <v>7390</v>
      </c>
      <c r="E7045" s="15"/>
      <c r="F7045" s="16">
        <v>48.2297</v>
      </c>
      <c r="G7045" s="16">
        <v>12.4886</v>
      </c>
      <c r="H7045" s="15"/>
      <c r="I7045" s="15"/>
    </row>
    <row r="7046">
      <c r="A7046" s="17">
        <v>45636.0</v>
      </c>
      <c r="B7046" s="16" t="s">
        <v>7860</v>
      </c>
      <c r="C7046" s="16">
        <v>1.0</v>
      </c>
      <c r="D7046" s="16" t="s">
        <v>7390</v>
      </c>
      <c r="E7046" s="15"/>
      <c r="F7046" s="16">
        <v>50.2037</v>
      </c>
      <c r="G7046" s="16">
        <v>8.2583</v>
      </c>
      <c r="H7046" s="15"/>
      <c r="I7046" s="15"/>
    </row>
    <row r="7047">
      <c r="A7047" s="17">
        <v>45636.0</v>
      </c>
      <c r="B7047" s="16" t="s">
        <v>7861</v>
      </c>
      <c r="C7047" s="16" t="s">
        <v>1436</v>
      </c>
      <c r="D7047" s="16" t="s">
        <v>7390</v>
      </c>
      <c r="E7047" s="15"/>
      <c r="F7047" s="16">
        <v>54.2433</v>
      </c>
      <c r="G7047" s="16">
        <v>9.0691</v>
      </c>
      <c r="H7047" s="15"/>
      <c r="I7047" s="15"/>
    </row>
    <row r="7048">
      <c r="A7048" s="17">
        <v>45636.0</v>
      </c>
      <c r="B7048" s="16" t="s">
        <v>7862</v>
      </c>
      <c r="C7048" s="16" t="s">
        <v>1955</v>
      </c>
      <c r="D7048" s="16" t="s">
        <v>7390</v>
      </c>
      <c r="E7048" s="15"/>
      <c r="F7048" s="16">
        <v>51.1669</v>
      </c>
      <c r="G7048" s="16">
        <v>12.3233</v>
      </c>
      <c r="H7048" s="15"/>
      <c r="I7048" s="15"/>
    </row>
    <row r="7049">
      <c r="A7049" s="17">
        <v>45636.0</v>
      </c>
      <c r="B7049" s="16" t="s">
        <v>7863</v>
      </c>
      <c r="C7049" s="16" t="s">
        <v>6171</v>
      </c>
      <c r="D7049" s="16" t="s">
        <v>7390</v>
      </c>
      <c r="E7049" s="15"/>
      <c r="F7049" s="16">
        <v>51.1669</v>
      </c>
      <c r="G7049" s="16">
        <v>12.3233</v>
      </c>
      <c r="H7049" s="15"/>
      <c r="I7049" s="15"/>
    </row>
    <row r="7050">
      <c r="A7050" s="17">
        <v>45636.0</v>
      </c>
      <c r="B7050" s="16" t="s">
        <v>7864</v>
      </c>
      <c r="C7050" s="16" t="s">
        <v>5207</v>
      </c>
      <c r="D7050" s="16" t="s">
        <v>7390</v>
      </c>
      <c r="E7050" s="15"/>
      <c r="F7050" s="16">
        <v>51.1669</v>
      </c>
      <c r="G7050" s="16">
        <v>12.3233</v>
      </c>
      <c r="H7050" s="15"/>
      <c r="I7050" s="15"/>
    </row>
    <row r="7051">
      <c r="A7051" s="17">
        <v>45636.0</v>
      </c>
      <c r="B7051" s="16" t="s">
        <v>7865</v>
      </c>
      <c r="C7051" s="16" t="s">
        <v>1080</v>
      </c>
      <c r="D7051" s="16" t="s">
        <v>7390</v>
      </c>
      <c r="E7051" s="15"/>
      <c r="F7051" s="16">
        <v>52.8159</v>
      </c>
      <c r="G7051" s="16">
        <v>9.0043</v>
      </c>
      <c r="H7051" s="15"/>
      <c r="I7051" s="15"/>
    </row>
    <row r="7052">
      <c r="A7052" s="17">
        <v>45636.0</v>
      </c>
      <c r="B7052" s="16" t="s">
        <v>7866</v>
      </c>
      <c r="C7052" s="16" t="s">
        <v>1090</v>
      </c>
      <c r="D7052" s="16" t="s">
        <v>7390</v>
      </c>
      <c r="E7052" s="15"/>
      <c r="F7052" s="16">
        <v>50.3759</v>
      </c>
      <c r="G7052" s="16">
        <v>9.9472</v>
      </c>
      <c r="H7052" s="15"/>
      <c r="I7052" s="15"/>
    </row>
    <row r="7053">
      <c r="A7053" s="17">
        <v>45636.0</v>
      </c>
      <c r="B7053" s="16" t="s">
        <v>7867</v>
      </c>
      <c r="C7053" s="16" t="s">
        <v>951</v>
      </c>
      <c r="D7053" s="16" t="s">
        <v>7390</v>
      </c>
      <c r="E7053" s="15"/>
      <c r="F7053" s="16">
        <v>50.9891</v>
      </c>
      <c r="G7053" s="16">
        <v>10.2702</v>
      </c>
      <c r="H7053" s="15"/>
      <c r="I7053" s="15"/>
    </row>
    <row r="7054">
      <c r="A7054" s="17">
        <v>45636.0</v>
      </c>
      <c r="B7054" s="16" t="s">
        <v>7868</v>
      </c>
      <c r="C7054" s="16" t="s">
        <v>942</v>
      </c>
      <c r="D7054" s="16" t="s">
        <v>7390</v>
      </c>
      <c r="E7054" s="15"/>
      <c r="F7054" s="16">
        <v>50.7914</v>
      </c>
      <c r="G7054" s="16">
        <v>6.1099</v>
      </c>
      <c r="H7054" s="15"/>
      <c r="I7054" s="15"/>
    </row>
    <row r="7055">
      <c r="A7055" s="17">
        <v>45636.0</v>
      </c>
      <c r="B7055" s="16" t="s">
        <v>7869</v>
      </c>
      <c r="C7055" s="16" t="s">
        <v>959</v>
      </c>
      <c r="D7055" s="16" t="s">
        <v>7390</v>
      </c>
      <c r="E7055" s="15"/>
      <c r="F7055" s="16">
        <v>48.3582</v>
      </c>
      <c r="G7055" s="16">
        <v>11.7882</v>
      </c>
      <c r="H7055" s="15"/>
      <c r="I7055" s="15"/>
    </row>
    <row r="7056">
      <c r="A7056" s="17">
        <v>45636.0</v>
      </c>
      <c r="B7056" s="16" t="s">
        <v>7870</v>
      </c>
      <c r="C7056" s="16" t="s">
        <v>1046</v>
      </c>
      <c r="D7056" s="16" t="s">
        <v>7390</v>
      </c>
      <c r="E7056" s="15"/>
      <c r="F7056" s="16">
        <v>51.9274</v>
      </c>
      <c r="G7056" s="16">
        <v>7.1594</v>
      </c>
      <c r="H7056" s="15"/>
      <c r="I7056" s="15"/>
    </row>
    <row r="7057">
      <c r="A7057" s="17">
        <v>45636.0</v>
      </c>
      <c r="B7057" s="16" t="s">
        <v>7871</v>
      </c>
      <c r="C7057" s="16" t="s">
        <v>948</v>
      </c>
      <c r="D7057" s="16" t="s">
        <v>7390</v>
      </c>
      <c r="E7057" s="15"/>
      <c r="F7057" s="16">
        <v>51.9799</v>
      </c>
      <c r="G7057" s="16">
        <v>10.9907</v>
      </c>
      <c r="H7057" s="15"/>
      <c r="I7057" s="15"/>
    </row>
    <row r="7058">
      <c r="A7058" s="17">
        <v>45636.0</v>
      </c>
      <c r="B7058" s="16" t="s">
        <v>7872</v>
      </c>
      <c r="C7058" s="16" t="s">
        <v>946</v>
      </c>
      <c r="D7058" s="16" t="s">
        <v>7390</v>
      </c>
      <c r="E7058" s="15"/>
      <c r="F7058" s="16">
        <v>51.6293</v>
      </c>
      <c r="G7058" s="16">
        <v>8.3387</v>
      </c>
      <c r="H7058" s="15"/>
      <c r="I7058" s="15"/>
    </row>
    <row r="7059">
      <c r="A7059" s="17">
        <v>45636.0</v>
      </c>
      <c r="B7059" s="16" t="s">
        <v>7873</v>
      </c>
      <c r="C7059" s="16" t="s">
        <v>1475</v>
      </c>
      <c r="D7059" s="16" t="s">
        <v>7390</v>
      </c>
      <c r="E7059" s="15"/>
      <c r="F7059" s="16">
        <v>51.6283</v>
      </c>
      <c r="G7059" s="16">
        <v>8.3359</v>
      </c>
      <c r="H7059" s="15"/>
      <c r="I7059" s="15"/>
    </row>
    <row r="7060">
      <c r="A7060" s="17">
        <v>45636.0</v>
      </c>
      <c r="B7060" s="16" t="s">
        <v>7874</v>
      </c>
      <c r="C7060" s="16" t="s">
        <v>1011</v>
      </c>
      <c r="D7060" s="16" t="s">
        <v>7390</v>
      </c>
      <c r="E7060" s="15"/>
      <c r="F7060" s="16">
        <v>49.4648</v>
      </c>
      <c r="G7060" s="16">
        <v>11.0111</v>
      </c>
      <c r="H7060" s="15"/>
      <c r="I7060" s="15"/>
    </row>
    <row r="7061">
      <c r="A7061" s="17">
        <v>45636.0</v>
      </c>
      <c r="B7061" s="16" t="s">
        <v>7875</v>
      </c>
      <c r="C7061" s="16" t="s">
        <v>1690</v>
      </c>
      <c r="D7061" s="16" t="s">
        <v>7390</v>
      </c>
      <c r="E7061" s="15"/>
      <c r="F7061" s="16">
        <v>49.4681</v>
      </c>
      <c r="G7061" s="16">
        <v>9.3879</v>
      </c>
      <c r="H7061" s="15"/>
      <c r="I7061" s="15"/>
    </row>
    <row r="7062">
      <c r="A7062" s="17">
        <v>45636.0</v>
      </c>
      <c r="B7062" s="16" t="s">
        <v>7876</v>
      </c>
      <c r="C7062" s="16" t="s">
        <v>969</v>
      </c>
      <c r="D7062" s="16" t="s">
        <v>7390</v>
      </c>
      <c r="E7062" s="15"/>
      <c r="F7062" s="16">
        <v>53.9116</v>
      </c>
      <c r="G7062" s="16">
        <v>9.7968</v>
      </c>
      <c r="H7062" s="15"/>
      <c r="I7062" s="15"/>
    </row>
    <row r="7063">
      <c r="A7063" s="17">
        <v>45636.0</v>
      </c>
      <c r="B7063" s="16" t="s">
        <v>7877</v>
      </c>
      <c r="C7063" s="16" t="s">
        <v>942</v>
      </c>
      <c r="D7063" s="16" t="s">
        <v>7390</v>
      </c>
      <c r="E7063" s="15"/>
      <c r="F7063" s="16">
        <v>51.3355</v>
      </c>
      <c r="G7063" s="16">
        <v>13.3652</v>
      </c>
      <c r="H7063" s="15"/>
      <c r="I7063" s="15"/>
    </row>
    <row r="7064">
      <c r="A7064" s="17">
        <v>45636.0</v>
      </c>
      <c r="B7064" s="16" t="s">
        <v>7878</v>
      </c>
      <c r="C7064" s="16" t="s">
        <v>1046</v>
      </c>
      <c r="D7064" s="16" t="s">
        <v>7390</v>
      </c>
      <c r="E7064" s="15"/>
      <c r="F7064" s="16">
        <v>48.9652</v>
      </c>
      <c r="G7064" s="16">
        <v>12.1786</v>
      </c>
      <c r="H7064" s="15"/>
      <c r="I7064" s="15"/>
    </row>
    <row r="7065">
      <c r="A7065" s="17">
        <v>45636.0</v>
      </c>
      <c r="B7065" s="16" t="s">
        <v>7879</v>
      </c>
      <c r="C7065" s="16" t="s">
        <v>959</v>
      </c>
      <c r="D7065" s="16" t="s">
        <v>7390</v>
      </c>
      <c r="E7065" s="15"/>
      <c r="F7065" s="16">
        <v>48.4856</v>
      </c>
      <c r="G7065" s="16">
        <v>7.9308</v>
      </c>
      <c r="H7065" s="15"/>
      <c r="I7065" s="15"/>
    </row>
    <row r="7066">
      <c r="A7066" s="17">
        <v>45636.0</v>
      </c>
      <c r="B7066" s="16" t="s">
        <v>7880</v>
      </c>
      <c r="C7066" s="16" t="s">
        <v>1039</v>
      </c>
      <c r="D7066" s="16" t="s">
        <v>7390</v>
      </c>
      <c r="E7066" s="15"/>
      <c r="F7066" s="16">
        <v>48.4836</v>
      </c>
      <c r="G7066" s="16">
        <v>7.9317</v>
      </c>
      <c r="H7066" s="15"/>
      <c r="I7066" s="15"/>
    </row>
    <row r="7067">
      <c r="A7067" s="17">
        <v>45636.0</v>
      </c>
      <c r="B7067" s="16" t="s">
        <v>7881</v>
      </c>
      <c r="C7067" s="16" t="s">
        <v>969</v>
      </c>
      <c r="D7067" s="16" t="s">
        <v>7390</v>
      </c>
      <c r="E7067" s="15"/>
      <c r="F7067" s="16">
        <v>51.2973</v>
      </c>
      <c r="G7067" s="16">
        <v>13.0712</v>
      </c>
      <c r="H7067" s="15"/>
      <c r="I7067" s="15"/>
    </row>
    <row r="7068">
      <c r="A7068" s="17">
        <v>45636.0</v>
      </c>
      <c r="B7068" s="16" t="s">
        <v>7882</v>
      </c>
      <c r="C7068" s="16" t="s">
        <v>1461</v>
      </c>
      <c r="D7068" s="16" t="s">
        <v>7390</v>
      </c>
      <c r="E7068" s="15"/>
      <c r="F7068" s="16">
        <v>53.2546</v>
      </c>
      <c r="G7068" s="16">
        <v>14.0016</v>
      </c>
      <c r="H7068" s="15"/>
      <c r="I7068" s="15"/>
    </row>
    <row r="7069">
      <c r="A7069" s="17">
        <v>45636.0</v>
      </c>
      <c r="B7069" s="16" t="s">
        <v>7883</v>
      </c>
      <c r="C7069" s="16" t="s">
        <v>942</v>
      </c>
      <c r="D7069" s="16" t="s">
        <v>7390</v>
      </c>
      <c r="E7069" s="15"/>
      <c r="F7069" s="16">
        <v>51.4934</v>
      </c>
      <c r="G7069" s="16">
        <v>7.2836</v>
      </c>
      <c r="H7069" s="15"/>
      <c r="I7069" s="15"/>
    </row>
    <row r="7070">
      <c r="A7070" s="17">
        <v>45636.0</v>
      </c>
      <c r="B7070" s="16" t="s">
        <v>7884</v>
      </c>
      <c r="C7070" s="16" t="s">
        <v>1055</v>
      </c>
      <c r="D7070" s="16" t="s">
        <v>7390</v>
      </c>
      <c r="E7070" s="15"/>
      <c r="F7070" s="16">
        <v>53.838</v>
      </c>
      <c r="G7070" s="16">
        <v>10.6662</v>
      </c>
      <c r="H7070" s="15"/>
      <c r="I7070" s="15"/>
    </row>
    <row r="7071">
      <c r="A7071" s="17">
        <v>45636.0</v>
      </c>
      <c r="B7071" s="16" t="s">
        <v>7885</v>
      </c>
      <c r="C7071" s="16" t="s">
        <v>1051</v>
      </c>
      <c r="D7071" s="16" t="s">
        <v>7390</v>
      </c>
      <c r="E7071" s="15"/>
      <c r="F7071" s="16">
        <v>48.0113</v>
      </c>
      <c r="G7071" s="16">
        <v>11.0744</v>
      </c>
      <c r="H7071" s="15"/>
      <c r="I7071" s="15"/>
    </row>
    <row r="7072">
      <c r="A7072" s="17">
        <v>45636.0</v>
      </c>
      <c r="B7072" s="16" t="s">
        <v>7886</v>
      </c>
      <c r="C7072" s="16" t="s">
        <v>1101</v>
      </c>
      <c r="D7072" s="16" t="s">
        <v>7390</v>
      </c>
      <c r="E7072" s="15"/>
      <c r="F7072" s="16">
        <v>48.5549</v>
      </c>
      <c r="G7072" s="16">
        <v>11.6743</v>
      </c>
      <c r="H7072" s="15"/>
      <c r="I7072" s="15"/>
    </row>
    <row r="7073">
      <c r="A7073" s="17">
        <v>45636.0</v>
      </c>
      <c r="B7073" s="16" t="s">
        <v>7887</v>
      </c>
      <c r="C7073" s="16" t="s">
        <v>2988</v>
      </c>
      <c r="D7073" s="16" t="s">
        <v>7390</v>
      </c>
      <c r="E7073" s="15"/>
      <c r="F7073" s="16">
        <v>49.7712</v>
      </c>
      <c r="G7073" s="16">
        <v>11.7224</v>
      </c>
      <c r="H7073" s="15"/>
      <c r="I7073" s="15"/>
    </row>
    <row r="7074">
      <c r="A7074" s="17">
        <v>45636.0</v>
      </c>
      <c r="B7074" s="16" t="s">
        <v>7888</v>
      </c>
      <c r="C7074" s="16" t="s">
        <v>1771</v>
      </c>
      <c r="D7074" s="16" t="s">
        <v>7390</v>
      </c>
      <c r="E7074" s="15"/>
      <c r="F7074" s="16">
        <v>53.807</v>
      </c>
      <c r="G7074" s="16">
        <v>13.4766</v>
      </c>
      <c r="H7074" s="15"/>
      <c r="I7074" s="15"/>
    </row>
    <row r="7075">
      <c r="A7075" s="17">
        <v>45636.0</v>
      </c>
      <c r="B7075" s="16" t="s">
        <v>7889</v>
      </c>
      <c r="C7075" s="16" t="s">
        <v>961</v>
      </c>
      <c r="D7075" s="16" t="s">
        <v>7390</v>
      </c>
      <c r="E7075" s="15"/>
      <c r="F7075" s="16">
        <v>49.7165</v>
      </c>
      <c r="G7075" s="16">
        <v>12.2226</v>
      </c>
      <c r="H7075" s="15"/>
      <c r="I7075" s="15"/>
    </row>
    <row r="7076">
      <c r="A7076" s="17">
        <v>45636.0</v>
      </c>
      <c r="B7076" s="16" t="s">
        <v>7890</v>
      </c>
      <c r="C7076" s="16" t="s">
        <v>1055</v>
      </c>
      <c r="D7076" s="16" t="s">
        <v>7390</v>
      </c>
      <c r="E7076" s="15"/>
      <c r="F7076" s="16">
        <v>48.7827</v>
      </c>
      <c r="G7076" s="16">
        <v>11.5103</v>
      </c>
      <c r="H7076" s="15"/>
      <c r="I7076" s="15"/>
    </row>
    <row r="7077">
      <c r="A7077" s="17">
        <v>45636.0</v>
      </c>
      <c r="B7077" s="16" t="s">
        <v>7891</v>
      </c>
      <c r="C7077" s="16" t="s">
        <v>969</v>
      </c>
      <c r="D7077" s="16" t="s">
        <v>7390</v>
      </c>
      <c r="E7077" s="15"/>
      <c r="F7077" s="16">
        <v>51.1167</v>
      </c>
      <c r="G7077" s="16">
        <v>12.4802</v>
      </c>
      <c r="H7077" s="15"/>
      <c r="I7077" s="15"/>
    </row>
    <row r="7078">
      <c r="A7078" s="17">
        <v>45636.0</v>
      </c>
      <c r="B7078" s="16" t="s">
        <v>7892</v>
      </c>
      <c r="C7078" s="16" t="s">
        <v>942</v>
      </c>
      <c r="D7078" s="16" t="s">
        <v>7390</v>
      </c>
      <c r="E7078" s="15"/>
      <c r="F7078" s="16">
        <v>52.5382</v>
      </c>
      <c r="G7078" s="16">
        <v>13.2281</v>
      </c>
      <c r="H7078" s="15"/>
      <c r="I7078" s="15"/>
    </row>
    <row r="7079">
      <c r="A7079" s="17">
        <v>45636.0</v>
      </c>
      <c r="B7079" s="16" t="s">
        <v>7893</v>
      </c>
      <c r="C7079" s="16" t="s">
        <v>990</v>
      </c>
      <c r="D7079" s="16" t="s">
        <v>7390</v>
      </c>
      <c r="E7079" s="15"/>
      <c r="F7079" s="16">
        <v>48.2053</v>
      </c>
      <c r="G7079" s="16">
        <v>12.8378</v>
      </c>
      <c r="H7079" s="15"/>
      <c r="I7079" s="15"/>
    </row>
    <row r="7080">
      <c r="A7080" s="17">
        <v>45636.0</v>
      </c>
      <c r="B7080" s="16" t="s">
        <v>7894</v>
      </c>
      <c r="C7080" s="16" t="s">
        <v>1101</v>
      </c>
      <c r="D7080" s="16" t="s">
        <v>7390</v>
      </c>
      <c r="E7080" s="15"/>
      <c r="F7080" s="16">
        <v>48.558</v>
      </c>
      <c r="G7080" s="16">
        <v>10.8639</v>
      </c>
      <c r="H7080" s="15"/>
      <c r="I7080" s="15"/>
    </row>
    <row r="7081">
      <c r="A7081" s="17">
        <v>45636.0</v>
      </c>
      <c r="B7081" s="16" t="s">
        <v>7895</v>
      </c>
      <c r="C7081" s="16" t="s">
        <v>6171</v>
      </c>
      <c r="D7081" s="16" t="s">
        <v>7390</v>
      </c>
      <c r="E7081" s="15"/>
      <c r="F7081" s="16">
        <v>47.8359</v>
      </c>
      <c r="G7081" s="16">
        <v>8.883</v>
      </c>
      <c r="H7081" s="15"/>
      <c r="I7081" s="15"/>
    </row>
    <row r="7082">
      <c r="A7082" s="17">
        <v>45636.0</v>
      </c>
      <c r="B7082" s="16" t="s">
        <v>7896</v>
      </c>
      <c r="C7082" s="16" t="s">
        <v>2404</v>
      </c>
      <c r="D7082" s="16" t="s">
        <v>7390</v>
      </c>
      <c r="E7082" s="15"/>
      <c r="F7082" s="16">
        <v>49.7406</v>
      </c>
      <c r="G7082" s="16">
        <v>12.0523</v>
      </c>
      <c r="H7082" s="15"/>
      <c r="I7082" s="15"/>
    </row>
    <row r="7083">
      <c r="A7083" s="17">
        <v>45636.0</v>
      </c>
      <c r="B7083" s="16" t="s">
        <v>7897</v>
      </c>
      <c r="C7083" s="16">
        <v>6.0</v>
      </c>
      <c r="D7083" s="16" t="s">
        <v>7390</v>
      </c>
      <c r="E7083" s="15"/>
      <c r="F7083" s="16">
        <v>48.7528</v>
      </c>
      <c r="G7083" s="16">
        <v>13.3898</v>
      </c>
      <c r="H7083" s="15"/>
      <c r="I7083" s="15"/>
    </row>
    <row r="7084">
      <c r="A7084" s="17">
        <v>45636.0</v>
      </c>
      <c r="B7084" s="16" t="s">
        <v>7898</v>
      </c>
      <c r="C7084" s="16">
        <v>10.0</v>
      </c>
      <c r="D7084" s="16" t="s">
        <v>7390</v>
      </c>
      <c r="E7084" s="15"/>
      <c r="F7084" s="16">
        <v>49.6559</v>
      </c>
      <c r="G7084" s="16">
        <v>7.8284</v>
      </c>
      <c r="H7084" s="15"/>
      <c r="I7084" s="15"/>
    </row>
    <row r="7085">
      <c r="A7085" s="17">
        <v>45636.0</v>
      </c>
      <c r="B7085" s="16" t="s">
        <v>7899</v>
      </c>
      <c r="C7085" s="16">
        <v>7.0</v>
      </c>
      <c r="D7085" s="16" t="s">
        <v>7390</v>
      </c>
      <c r="E7085" s="15"/>
      <c r="F7085" s="16">
        <v>49.656</v>
      </c>
      <c r="G7085" s="16">
        <v>7.8284</v>
      </c>
      <c r="H7085" s="15"/>
      <c r="I7085" s="15"/>
    </row>
    <row r="7086">
      <c r="A7086" s="17">
        <v>45636.0</v>
      </c>
      <c r="B7086" s="16" t="s">
        <v>7900</v>
      </c>
      <c r="C7086" s="16" t="s">
        <v>1436</v>
      </c>
      <c r="D7086" s="16" t="s">
        <v>7390</v>
      </c>
      <c r="E7086" s="15"/>
      <c r="F7086" s="16">
        <v>47.7387</v>
      </c>
      <c r="G7086" s="16">
        <v>7.8777</v>
      </c>
      <c r="H7086" s="15"/>
      <c r="I7086" s="15"/>
    </row>
    <row r="7087">
      <c r="A7087" s="17">
        <v>45636.0</v>
      </c>
      <c r="B7087" s="16" t="s">
        <v>7901</v>
      </c>
      <c r="C7087" s="16" t="s">
        <v>1051</v>
      </c>
      <c r="D7087" s="16" t="s">
        <v>7390</v>
      </c>
      <c r="E7087" s="15"/>
      <c r="F7087" s="16">
        <v>48.0447</v>
      </c>
      <c r="G7087" s="16">
        <v>7.5801</v>
      </c>
      <c r="H7087" s="15"/>
      <c r="I7087" s="15"/>
    </row>
    <row r="7088">
      <c r="A7088" s="17">
        <v>45636.0</v>
      </c>
      <c r="B7088" s="16" t="s">
        <v>7902</v>
      </c>
      <c r="C7088" s="16" t="s">
        <v>1011</v>
      </c>
      <c r="D7088" s="16" t="s">
        <v>7390</v>
      </c>
      <c r="E7088" s="15"/>
      <c r="F7088" s="16">
        <v>51.6646</v>
      </c>
      <c r="G7088" s="16">
        <v>10.2205</v>
      </c>
      <c r="H7088" s="15"/>
      <c r="I7088" s="15"/>
    </row>
    <row r="7089">
      <c r="A7089" s="17">
        <v>45636.0</v>
      </c>
      <c r="B7089" s="16" t="s">
        <v>7903</v>
      </c>
      <c r="C7089" s="16" t="s">
        <v>6647</v>
      </c>
      <c r="D7089" s="16" t="s">
        <v>7390</v>
      </c>
      <c r="E7089" s="15"/>
      <c r="F7089" s="16">
        <v>52.4095</v>
      </c>
      <c r="G7089" s="16">
        <v>14.3435</v>
      </c>
      <c r="H7089" s="15"/>
      <c r="I7089" s="15"/>
    </row>
    <row r="7090">
      <c r="A7090" s="17">
        <v>45636.0</v>
      </c>
      <c r="B7090" s="16" t="s">
        <v>7904</v>
      </c>
      <c r="C7090" s="16" t="s">
        <v>2524</v>
      </c>
      <c r="D7090" s="16" t="s">
        <v>7390</v>
      </c>
      <c r="E7090" s="15"/>
      <c r="F7090" s="16">
        <v>48.8533</v>
      </c>
      <c r="G7090" s="16">
        <v>11.7098</v>
      </c>
      <c r="H7090" s="15"/>
      <c r="I7090" s="15"/>
    </row>
    <row r="7091">
      <c r="A7091" s="17">
        <v>45636.0</v>
      </c>
      <c r="B7091" s="16" t="s">
        <v>7905</v>
      </c>
      <c r="C7091" s="16" t="s">
        <v>1039</v>
      </c>
      <c r="D7091" s="16" t="s">
        <v>7390</v>
      </c>
      <c r="E7091" s="15"/>
      <c r="F7091" s="16">
        <v>48.8489</v>
      </c>
      <c r="G7091" s="16">
        <v>11.6914</v>
      </c>
      <c r="H7091" s="15"/>
      <c r="I7091" s="15"/>
    </row>
    <row r="7092">
      <c r="A7092" s="17">
        <v>45636.0</v>
      </c>
      <c r="B7092" s="16" t="s">
        <v>7906</v>
      </c>
      <c r="C7092" s="16" t="s">
        <v>1007</v>
      </c>
      <c r="D7092" s="16" t="s">
        <v>7390</v>
      </c>
      <c r="E7092" s="15"/>
      <c r="F7092" s="16">
        <v>48.6236</v>
      </c>
      <c r="G7092" s="16">
        <v>13.4715</v>
      </c>
      <c r="H7092" s="15"/>
      <c r="I7092" s="15"/>
    </row>
    <row r="7093">
      <c r="A7093" s="17">
        <v>45636.0</v>
      </c>
      <c r="B7093" s="16" t="s">
        <v>7907</v>
      </c>
      <c r="C7093" s="16" t="s">
        <v>1384</v>
      </c>
      <c r="D7093" s="16" t="s">
        <v>7390</v>
      </c>
      <c r="E7093" s="15"/>
      <c r="F7093" s="16">
        <v>47.7393</v>
      </c>
      <c r="G7093" s="16">
        <v>10.8405</v>
      </c>
      <c r="H7093" s="15"/>
      <c r="I7093" s="15"/>
    </row>
    <row r="7094">
      <c r="A7094" s="17">
        <v>45636.0</v>
      </c>
      <c r="B7094" s="16" t="s">
        <v>7908</v>
      </c>
      <c r="C7094" s="16" t="s">
        <v>1609</v>
      </c>
      <c r="D7094" s="16" t="s">
        <v>7390</v>
      </c>
      <c r="E7094" s="15"/>
      <c r="F7094" s="16">
        <v>49.7433</v>
      </c>
      <c r="G7094" s="16">
        <v>12.084</v>
      </c>
      <c r="H7094" s="15"/>
      <c r="I7094" s="15"/>
    </row>
    <row r="7095">
      <c r="A7095" s="17">
        <v>45636.0</v>
      </c>
      <c r="B7095" s="16" t="s">
        <v>7909</v>
      </c>
      <c r="C7095" s="16">
        <v>15.0</v>
      </c>
      <c r="D7095" s="16" t="s">
        <v>7390</v>
      </c>
      <c r="E7095" s="15"/>
      <c r="F7095" s="16">
        <v>48.2365</v>
      </c>
      <c r="G7095" s="16">
        <v>10.5086</v>
      </c>
      <c r="H7095" s="15"/>
      <c r="I7095" s="15"/>
    </row>
    <row r="7096">
      <c r="A7096" s="17">
        <v>45636.0</v>
      </c>
      <c r="B7096" s="16" t="s">
        <v>7910</v>
      </c>
      <c r="C7096" s="16" t="s">
        <v>1007</v>
      </c>
      <c r="D7096" s="16" t="s">
        <v>7390</v>
      </c>
      <c r="E7096" s="15"/>
      <c r="F7096" s="16">
        <v>53.5139</v>
      </c>
      <c r="G7096" s="16">
        <v>11.6577</v>
      </c>
      <c r="H7096" s="15"/>
      <c r="I7096" s="15"/>
    </row>
    <row r="7097">
      <c r="A7097" s="17">
        <v>45636.0</v>
      </c>
      <c r="B7097" s="16" t="s">
        <v>7911</v>
      </c>
      <c r="C7097" s="16" t="s">
        <v>1007</v>
      </c>
      <c r="D7097" s="16" t="s">
        <v>7390</v>
      </c>
      <c r="E7097" s="15"/>
      <c r="F7097" s="16">
        <v>49.2031</v>
      </c>
      <c r="G7097" s="16">
        <v>9.5069</v>
      </c>
      <c r="H7097" s="15"/>
      <c r="I7097" s="15"/>
    </row>
    <row r="7098">
      <c r="A7098" s="18">
        <v>45665.0</v>
      </c>
      <c r="B7098" s="16" t="s">
        <v>7912</v>
      </c>
      <c r="C7098" s="16" t="s">
        <v>1374</v>
      </c>
      <c r="D7098" s="16" t="s">
        <v>7390</v>
      </c>
      <c r="E7098" s="15"/>
      <c r="F7098" s="16">
        <v>52.0832</v>
      </c>
      <c r="G7098" s="16">
        <v>12.8448</v>
      </c>
      <c r="H7098" s="15"/>
      <c r="I7098" s="15"/>
    </row>
    <row r="7099">
      <c r="A7099" s="18">
        <v>45665.0</v>
      </c>
      <c r="B7099" s="16" t="s">
        <v>7913</v>
      </c>
      <c r="C7099" s="16" t="s">
        <v>1436</v>
      </c>
      <c r="D7099" s="16" t="s">
        <v>7390</v>
      </c>
      <c r="E7099" s="15"/>
      <c r="F7099" s="16">
        <v>50.7244</v>
      </c>
      <c r="G7099" s="16">
        <v>6.8241</v>
      </c>
      <c r="H7099" s="15"/>
      <c r="I7099" s="15"/>
    </row>
    <row r="7100">
      <c r="A7100" s="18">
        <v>45665.0</v>
      </c>
      <c r="B7100" s="16" t="s">
        <v>7914</v>
      </c>
      <c r="C7100" s="16">
        <v>9.0</v>
      </c>
      <c r="D7100" s="16" t="s">
        <v>7390</v>
      </c>
      <c r="E7100" s="15"/>
      <c r="F7100" s="16">
        <v>51.0083</v>
      </c>
      <c r="G7100" s="16">
        <v>11.3531</v>
      </c>
      <c r="H7100" s="15"/>
      <c r="I7100" s="15"/>
    </row>
    <row r="7101">
      <c r="A7101" s="18">
        <v>45665.0</v>
      </c>
      <c r="B7101" s="16" t="s">
        <v>7915</v>
      </c>
      <c r="C7101" s="16">
        <v>2.0</v>
      </c>
      <c r="D7101" s="16" t="s">
        <v>7390</v>
      </c>
      <c r="E7101" s="15"/>
      <c r="F7101" s="16">
        <v>49.5396</v>
      </c>
      <c r="G7101" s="16">
        <v>8.3477</v>
      </c>
      <c r="H7101" s="15"/>
      <c r="I7101" s="15"/>
    </row>
    <row r="7102">
      <c r="A7102" s="18">
        <v>45665.0</v>
      </c>
      <c r="B7102" s="16" t="s">
        <v>7916</v>
      </c>
      <c r="C7102" s="16">
        <v>9.0</v>
      </c>
      <c r="D7102" s="16" t="s">
        <v>7390</v>
      </c>
      <c r="E7102" s="15"/>
      <c r="F7102" s="16">
        <v>51.6795</v>
      </c>
      <c r="G7102" s="16">
        <v>11.7795</v>
      </c>
      <c r="H7102" s="15"/>
      <c r="I7102" s="15"/>
    </row>
    <row r="7103">
      <c r="A7103" s="18">
        <v>45665.0</v>
      </c>
      <c r="B7103" s="16" t="s">
        <v>7917</v>
      </c>
      <c r="C7103" s="16" t="s">
        <v>1055</v>
      </c>
      <c r="D7103" s="16" t="s">
        <v>7390</v>
      </c>
      <c r="E7103" s="15"/>
      <c r="F7103" s="16">
        <v>52.075</v>
      </c>
      <c r="G7103" s="16">
        <v>13.5178</v>
      </c>
      <c r="H7103" s="15"/>
      <c r="I7103" s="15"/>
    </row>
    <row r="7104">
      <c r="A7104" s="18">
        <v>45665.0</v>
      </c>
      <c r="B7104" s="16" t="s">
        <v>7918</v>
      </c>
      <c r="C7104" s="16">
        <v>2.0</v>
      </c>
      <c r="D7104" s="16" t="s">
        <v>7390</v>
      </c>
      <c r="E7104" s="15"/>
      <c r="F7104" s="16">
        <v>52.075</v>
      </c>
      <c r="G7104" s="16">
        <v>13.5178</v>
      </c>
      <c r="H7104" s="15"/>
      <c r="I7104" s="15"/>
    </row>
    <row r="7105">
      <c r="A7105" s="18">
        <v>45665.0</v>
      </c>
      <c r="B7105" s="16" t="s">
        <v>7919</v>
      </c>
      <c r="C7105" s="16" t="s">
        <v>1059</v>
      </c>
      <c r="D7105" s="16" t="s">
        <v>7390</v>
      </c>
      <c r="E7105" s="15"/>
      <c r="F7105" s="16">
        <v>52.075</v>
      </c>
      <c r="G7105" s="16">
        <v>13.5178</v>
      </c>
      <c r="H7105" s="15"/>
      <c r="I7105" s="15"/>
    </row>
    <row r="7106">
      <c r="A7106" s="18">
        <v>45665.0</v>
      </c>
      <c r="B7106" s="16" t="s">
        <v>7920</v>
      </c>
      <c r="C7106" s="16" t="s">
        <v>959</v>
      </c>
      <c r="D7106" s="16" t="s">
        <v>7390</v>
      </c>
      <c r="E7106" s="15"/>
      <c r="F7106" s="16">
        <v>53.8172</v>
      </c>
      <c r="G7106" s="16">
        <v>11.3324</v>
      </c>
      <c r="H7106" s="15"/>
      <c r="I7106" s="15"/>
    </row>
    <row r="7107">
      <c r="A7107" s="18">
        <v>45665.0</v>
      </c>
      <c r="B7107" s="16" t="s">
        <v>7921</v>
      </c>
      <c r="C7107" s="16" t="s">
        <v>942</v>
      </c>
      <c r="D7107" s="16" t="s">
        <v>7390</v>
      </c>
      <c r="E7107" s="15"/>
      <c r="F7107" s="16">
        <v>51.5618</v>
      </c>
      <c r="G7107" s="16">
        <v>8.5366</v>
      </c>
      <c r="H7107" s="15"/>
      <c r="I7107" s="15"/>
    </row>
    <row r="7108">
      <c r="A7108" s="18">
        <v>45665.0</v>
      </c>
      <c r="B7108" s="16" t="s">
        <v>7922</v>
      </c>
      <c r="C7108" s="16" t="s">
        <v>969</v>
      </c>
      <c r="D7108" s="16" t="s">
        <v>7390</v>
      </c>
      <c r="E7108" s="15"/>
      <c r="F7108" s="16">
        <v>49.5112</v>
      </c>
      <c r="G7108" s="16">
        <v>10.7068</v>
      </c>
      <c r="H7108" s="15"/>
      <c r="I7108" s="15"/>
    </row>
    <row r="7109">
      <c r="A7109" s="18">
        <v>45665.0</v>
      </c>
      <c r="B7109" s="16" t="s">
        <v>7923</v>
      </c>
      <c r="C7109" s="16" t="s">
        <v>1007</v>
      </c>
      <c r="D7109" s="16" t="s">
        <v>7390</v>
      </c>
      <c r="E7109" s="15"/>
      <c r="F7109" s="16">
        <v>51.1109</v>
      </c>
      <c r="G7109" s="16">
        <v>13.5824</v>
      </c>
      <c r="H7109" s="15"/>
      <c r="I7109" s="15"/>
    </row>
    <row r="7110">
      <c r="A7110" s="18">
        <v>45665.0</v>
      </c>
      <c r="B7110" s="16" t="s">
        <v>7924</v>
      </c>
      <c r="C7110" s="16" t="s">
        <v>969</v>
      </c>
      <c r="D7110" s="16" t="s">
        <v>7390</v>
      </c>
      <c r="E7110" s="15"/>
      <c r="F7110" s="16">
        <v>52.3139</v>
      </c>
      <c r="G7110" s="16">
        <v>8.3814</v>
      </c>
      <c r="H7110" s="15"/>
      <c r="I7110" s="15"/>
    </row>
    <row r="7111">
      <c r="A7111" s="18">
        <v>45665.0</v>
      </c>
      <c r="B7111" s="16" t="s">
        <v>7925</v>
      </c>
      <c r="C7111" s="16">
        <v>8.0</v>
      </c>
      <c r="D7111" s="16" t="s">
        <v>7390</v>
      </c>
      <c r="E7111" s="15"/>
      <c r="F7111" s="16">
        <v>51.0217</v>
      </c>
      <c r="G7111" s="16">
        <v>7.6075</v>
      </c>
      <c r="H7111" s="15"/>
      <c r="I7111" s="15"/>
    </row>
    <row r="7112">
      <c r="A7112" s="18">
        <v>45665.0</v>
      </c>
      <c r="B7112" s="16" t="s">
        <v>7926</v>
      </c>
      <c r="C7112" s="16">
        <v>3.0</v>
      </c>
      <c r="D7112" s="16" t="s">
        <v>7390</v>
      </c>
      <c r="E7112" s="15"/>
      <c r="F7112" s="16">
        <v>52.2068</v>
      </c>
      <c r="G7112" s="16">
        <v>11.8914</v>
      </c>
      <c r="H7112" s="15"/>
      <c r="I7112" s="15"/>
    </row>
    <row r="7113">
      <c r="A7113" s="18">
        <v>45665.0</v>
      </c>
      <c r="B7113" s="16" t="s">
        <v>7927</v>
      </c>
      <c r="C7113" s="16" t="s">
        <v>1167</v>
      </c>
      <c r="D7113" s="16" t="s">
        <v>7390</v>
      </c>
      <c r="E7113" s="15"/>
      <c r="F7113" s="16">
        <v>48.8541</v>
      </c>
      <c r="G7113" s="16">
        <v>12.017</v>
      </c>
      <c r="H7113" s="15"/>
      <c r="I7113" s="15"/>
    </row>
    <row r="7114">
      <c r="A7114" s="18">
        <v>45665.0</v>
      </c>
      <c r="B7114" s="16" t="s">
        <v>7928</v>
      </c>
      <c r="C7114" s="16" t="s">
        <v>1004</v>
      </c>
      <c r="D7114" s="16" t="s">
        <v>7390</v>
      </c>
      <c r="E7114" s="15"/>
      <c r="F7114" s="16">
        <v>53.6683</v>
      </c>
      <c r="G7114" s="16">
        <v>12.4515</v>
      </c>
      <c r="H7114" s="15"/>
      <c r="I7114" s="15"/>
    </row>
    <row r="7115">
      <c r="A7115" s="18">
        <v>45665.0</v>
      </c>
      <c r="B7115" s="16" t="s">
        <v>7929</v>
      </c>
      <c r="C7115" s="16" t="s">
        <v>971</v>
      </c>
      <c r="D7115" s="16" t="s">
        <v>7390</v>
      </c>
      <c r="E7115" s="15"/>
      <c r="F7115" s="16">
        <v>53.8669</v>
      </c>
      <c r="G7115" s="16">
        <v>11.6241</v>
      </c>
      <c r="H7115" s="15"/>
      <c r="I7115" s="15"/>
    </row>
    <row r="7116">
      <c r="A7116" s="18">
        <v>45665.0</v>
      </c>
      <c r="B7116" s="16" t="s">
        <v>7930</v>
      </c>
      <c r="C7116" s="16">
        <v>5.0</v>
      </c>
      <c r="D7116" s="16" t="s">
        <v>7390</v>
      </c>
      <c r="E7116" s="15"/>
      <c r="F7116" s="16">
        <v>53.253</v>
      </c>
      <c r="G7116" s="16">
        <v>14.022</v>
      </c>
      <c r="H7116" s="15"/>
      <c r="I7116" s="15"/>
    </row>
    <row r="7117">
      <c r="A7117" s="18">
        <v>45665.0</v>
      </c>
      <c r="B7117" s="16" t="s">
        <v>7931</v>
      </c>
      <c r="C7117" s="16">
        <v>5.0</v>
      </c>
      <c r="D7117" s="16" t="s">
        <v>7390</v>
      </c>
      <c r="E7117" s="15"/>
      <c r="F7117" s="16">
        <v>53.2546</v>
      </c>
      <c r="G7117" s="16">
        <v>14.0016</v>
      </c>
      <c r="H7117" s="15"/>
      <c r="I7117" s="15"/>
    </row>
    <row r="7118">
      <c r="A7118" s="18">
        <v>45665.0</v>
      </c>
      <c r="B7118" s="16" t="s">
        <v>5307</v>
      </c>
      <c r="C7118" s="16" t="s">
        <v>959</v>
      </c>
      <c r="D7118" s="16" t="s">
        <v>7390</v>
      </c>
      <c r="E7118" s="15"/>
      <c r="F7118" s="16">
        <v>48.118</v>
      </c>
      <c r="G7118" s="16">
        <v>11.1142</v>
      </c>
      <c r="H7118" s="15"/>
      <c r="I7118" s="15"/>
    </row>
    <row r="7119">
      <c r="A7119" s="18">
        <v>45665.0</v>
      </c>
      <c r="B7119" s="16" t="s">
        <v>5307</v>
      </c>
      <c r="C7119" s="16" t="s">
        <v>959</v>
      </c>
      <c r="D7119" s="16" t="s">
        <v>7390</v>
      </c>
      <c r="E7119" s="15"/>
      <c r="F7119" s="16">
        <v>48.1191</v>
      </c>
      <c r="G7119" s="16">
        <v>11.1152</v>
      </c>
      <c r="H7119" s="15"/>
      <c r="I7119" s="15"/>
    </row>
    <row r="7120">
      <c r="A7120" s="18">
        <v>45665.0</v>
      </c>
      <c r="B7120" s="16" t="s">
        <v>7932</v>
      </c>
      <c r="C7120" s="16" t="s">
        <v>5857</v>
      </c>
      <c r="D7120" s="16" t="s">
        <v>7390</v>
      </c>
      <c r="E7120" s="15"/>
      <c r="F7120" s="16">
        <v>48.7295</v>
      </c>
      <c r="G7120" s="16">
        <v>12.9683</v>
      </c>
      <c r="H7120" s="15"/>
      <c r="I7120" s="15"/>
    </row>
    <row r="7121">
      <c r="A7121" s="18">
        <v>45665.0</v>
      </c>
      <c r="B7121" s="16" t="s">
        <v>7933</v>
      </c>
      <c r="C7121" s="16" t="s">
        <v>971</v>
      </c>
      <c r="D7121" s="16" t="s">
        <v>7390</v>
      </c>
      <c r="E7121" s="15"/>
      <c r="F7121" s="16">
        <v>52.7132</v>
      </c>
      <c r="G7121" s="16">
        <v>13.1264</v>
      </c>
      <c r="H7121" s="15"/>
      <c r="I7121" s="15"/>
    </row>
    <row r="7122">
      <c r="A7122" s="18">
        <v>45665.0</v>
      </c>
      <c r="B7122" s="16" t="s">
        <v>7934</v>
      </c>
      <c r="C7122" s="16" t="s">
        <v>1172</v>
      </c>
      <c r="D7122" s="16" t="s">
        <v>7390</v>
      </c>
      <c r="E7122" s="15"/>
      <c r="F7122" s="16">
        <v>51.7679</v>
      </c>
      <c r="G7122" s="16">
        <v>8.6933</v>
      </c>
      <c r="H7122" s="15"/>
      <c r="I7122" s="15"/>
    </row>
    <row r="7123">
      <c r="A7123" s="18">
        <v>45665.0</v>
      </c>
      <c r="B7123" s="16" t="s">
        <v>7935</v>
      </c>
      <c r="C7123" s="16" t="s">
        <v>1055</v>
      </c>
      <c r="D7123" s="16" t="s">
        <v>7390</v>
      </c>
      <c r="E7123" s="15"/>
      <c r="F7123" s="16">
        <v>53.4073</v>
      </c>
      <c r="G7123" s="16">
        <v>14.1304</v>
      </c>
      <c r="H7123" s="15"/>
      <c r="I7123" s="15"/>
    </row>
    <row r="7124">
      <c r="A7124" s="18">
        <v>45665.0</v>
      </c>
      <c r="B7124" s="16" t="s">
        <v>7936</v>
      </c>
      <c r="C7124" s="16" t="s">
        <v>1007</v>
      </c>
      <c r="D7124" s="16" t="s">
        <v>7390</v>
      </c>
      <c r="E7124" s="15"/>
      <c r="F7124" s="16">
        <v>53.5433</v>
      </c>
      <c r="G7124" s="16">
        <v>13.6527</v>
      </c>
      <c r="H7124" s="15"/>
      <c r="I7124" s="15"/>
    </row>
    <row r="7125">
      <c r="A7125" s="18">
        <v>45665.0</v>
      </c>
      <c r="B7125" s="16" t="s">
        <v>7937</v>
      </c>
      <c r="C7125" s="16" t="s">
        <v>1101</v>
      </c>
      <c r="D7125" s="16" t="s">
        <v>7390</v>
      </c>
      <c r="E7125" s="15"/>
      <c r="F7125" s="16">
        <v>50.5813</v>
      </c>
      <c r="G7125" s="16">
        <v>7.0852</v>
      </c>
      <c r="H7125" s="15"/>
      <c r="I7125" s="15"/>
    </row>
    <row r="7126">
      <c r="A7126" s="18">
        <v>45665.0</v>
      </c>
      <c r="B7126" s="16" t="s">
        <v>7938</v>
      </c>
      <c r="C7126" s="16" t="s">
        <v>1055</v>
      </c>
      <c r="D7126" s="16" t="s">
        <v>7390</v>
      </c>
      <c r="E7126" s="15"/>
      <c r="F7126" s="16">
        <v>53.6617</v>
      </c>
      <c r="G7126" s="16">
        <v>14.1076</v>
      </c>
      <c r="H7126" s="15"/>
      <c r="I7126" s="15"/>
    </row>
    <row r="7127">
      <c r="A7127" s="18">
        <v>45665.0</v>
      </c>
      <c r="B7127" s="16" t="s">
        <v>7939</v>
      </c>
      <c r="C7127" s="16">
        <v>5.0</v>
      </c>
      <c r="D7127" s="16" t="s">
        <v>7390</v>
      </c>
      <c r="E7127" s="15"/>
      <c r="F7127" s="16">
        <v>53.6617</v>
      </c>
      <c r="G7127" s="16">
        <v>14.108</v>
      </c>
      <c r="H7127" s="15"/>
      <c r="I7127" s="15"/>
    </row>
    <row r="7128">
      <c r="A7128" s="18">
        <v>45665.0</v>
      </c>
      <c r="B7128" s="16" t="s">
        <v>7940</v>
      </c>
      <c r="C7128" s="16" t="s">
        <v>1215</v>
      </c>
      <c r="D7128" s="16" t="s">
        <v>7390</v>
      </c>
      <c r="E7128" s="15"/>
      <c r="F7128" s="16">
        <v>49.0751</v>
      </c>
      <c r="G7128" s="16">
        <v>12.0972</v>
      </c>
      <c r="H7128" s="15"/>
      <c r="I7128" s="15"/>
    </row>
    <row r="7129">
      <c r="A7129" s="18">
        <v>45665.0</v>
      </c>
      <c r="B7129" s="16" t="s">
        <v>7941</v>
      </c>
      <c r="C7129" s="16" t="s">
        <v>1101</v>
      </c>
      <c r="D7129" s="16" t="s">
        <v>7390</v>
      </c>
      <c r="E7129" s="15"/>
      <c r="F7129" s="16">
        <v>48.7997</v>
      </c>
      <c r="G7129" s="16">
        <v>12.1709</v>
      </c>
      <c r="H7129" s="15"/>
      <c r="I7129" s="15"/>
    </row>
    <row r="7130">
      <c r="A7130" s="18">
        <v>45665.0</v>
      </c>
      <c r="B7130" s="16" t="s">
        <v>7942</v>
      </c>
      <c r="C7130" s="16" t="s">
        <v>946</v>
      </c>
      <c r="D7130" s="16" t="s">
        <v>7390</v>
      </c>
      <c r="E7130" s="15"/>
      <c r="F7130" s="16">
        <v>54.0325</v>
      </c>
      <c r="G7130" s="16">
        <v>9.9574</v>
      </c>
      <c r="H7130" s="15"/>
      <c r="I7130" s="15"/>
    </row>
    <row r="7131">
      <c r="A7131" s="18">
        <v>45665.0</v>
      </c>
      <c r="B7131" s="16" t="s">
        <v>7943</v>
      </c>
      <c r="C7131" s="16">
        <v>7.0</v>
      </c>
      <c r="D7131" s="16" t="s">
        <v>7390</v>
      </c>
      <c r="E7131" s="15"/>
      <c r="F7131" s="16">
        <v>51.377</v>
      </c>
      <c r="G7131" s="16">
        <v>11.5765</v>
      </c>
      <c r="H7131" s="15"/>
      <c r="I7131" s="15"/>
    </row>
    <row r="7132">
      <c r="A7132" s="18">
        <v>45665.0</v>
      </c>
      <c r="B7132" s="16" t="s">
        <v>7944</v>
      </c>
      <c r="C7132" s="16" t="s">
        <v>946</v>
      </c>
      <c r="D7132" s="16" t="s">
        <v>7390</v>
      </c>
      <c r="E7132" s="15"/>
      <c r="F7132" s="16">
        <v>52.7717</v>
      </c>
      <c r="G7132" s="16">
        <v>8.263</v>
      </c>
      <c r="H7132" s="15"/>
      <c r="I7132" s="15"/>
    </row>
    <row r="7133">
      <c r="A7133" s="18">
        <v>45665.0</v>
      </c>
      <c r="B7133" s="16" t="s">
        <v>3769</v>
      </c>
      <c r="C7133" s="16" t="s">
        <v>1004</v>
      </c>
      <c r="D7133" s="16" t="s">
        <v>7390</v>
      </c>
      <c r="E7133" s="15"/>
      <c r="F7133" s="16">
        <v>49.892</v>
      </c>
      <c r="G7133" s="16">
        <v>8.6193</v>
      </c>
      <c r="H7133" s="15"/>
      <c r="I7133" s="15"/>
    </row>
    <row r="7134">
      <c r="A7134" s="18">
        <v>45665.0</v>
      </c>
      <c r="B7134" s="16" t="s">
        <v>7945</v>
      </c>
      <c r="C7134" s="16">
        <v>10.0</v>
      </c>
      <c r="D7134" s="16" t="s">
        <v>7390</v>
      </c>
      <c r="E7134" s="15"/>
      <c r="F7134" s="16">
        <v>49.4646</v>
      </c>
      <c r="G7134" s="16">
        <v>11.8423</v>
      </c>
      <c r="H7134" s="15"/>
      <c r="I7134" s="15"/>
    </row>
    <row r="7135">
      <c r="A7135" s="18">
        <v>45665.0</v>
      </c>
      <c r="B7135" s="16" t="s">
        <v>7946</v>
      </c>
      <c r="C7135" s="16" t="s">
        <v>984</v>
      </c>
      <c r="D7135" s="16" t="s">
        <v>7390</v>
      </c>
      <c r="E7135" s="15"/>
      <c r="F7135" s="16">
        <v>49.5263</v>
      </c>
      <c r="G7135" s="16">
        <v>10.2597</v>
      </c>
      <c r="H7135" s="15"/>
      <c r="I7135" s="15"/>
    </row>
    <row r="7136">
      <c r="A7136" s="18">
        <v>45665.0</v>
      </c>
      <c r="B7136" s="16" t="s">
        <v>7947</v>
      </c>
      <c r="C7136" s="16" t="s">
        <v>1051</v>
      </c>
      <c r="D7136" s="16" t="s">
        <v>7390</v>
      </c>
      <c r="E7136" s="15"/>
      <c r="F7136" s="16">
        <v>50.4897</v>
      </c>
      <c r="G7136" s="16">
        <v>9.3031</v>
      </c>
      <c r="H7136" s="15"/>
      <c r="I7136" s="15"/>
    </row>
    <row r="7137">
      <c r="A7137" s="18">
        <v>45665.0</v>
      </c>
      <c r="B7137" s="16" t="s">
        <v>7948</v>
      </c>
      <c r="C7137" s="16">
        <v>15.0</v>
      </c>
      <c r="D7137" s="16" t="s">
        <v>7390</v>
      </c>
      <c r="E7137" s="15"/>
      <c r="F7137" s="16">
        <v>54.3847</v>
      </c>
      <c r="G7137" s="16">
        <v>13.3266</v>
      </c>
      <c r="H7137" s="15"/>
      <c r="I7137" s="15"/>
    </row>
    <row r="7138">
      <c r="A7138" s="18">
        <v>45665.0</v>
      </c>
      <c r="B7138" s="16" t="s">
        <v>7949</v>
      </c>
      <c r="C7138" s="16">
        <v>7.0</v>
      </c>
      <c r="D7138" s="16" t="s">
        <v>7390</v>
      </c>
      <c r="E7138" s="15"/>
      <c r="F7138" s="16">
        <v>51.0841</v>
      </c>
      <c r="G7138" s="16">
        <v>13.2895</v>
      </c>
      <c r="H7138" s="15"/>
      <c r="I7138" s="15"/>
    </row>
    <row r="7139">
      <c r="A7139" s="18">
        <v>45665.0</v>
      </c>
      <c r="B7139" s="16" t="s">
        <v>7950</v>
      </c>
      <c r="C7139" s="16">
        <v>3.0</v>
      </c>
      <c r="D7139" s="16" t="s">
        <v>7390</v>
      </c>
      <c r="E7139" s="15"/>
      <c r="F7139" s="16">
        <v>52.8935</v>
      </c>
      <c r="G7139" s="16">
        <v>11.7867</v>
      </c>
      <c r="H7139" s="15"/>
      <c r="I7139" s="15"/>
    </row>
    <row r="7140">
      <c r="A7140" s="18">
        <v>45665.0</v>
      </c>
      <c r="B7140" s="16" t="s">
        <v>7951</v>
      </c>
      <c r="C7140" s="16" t="s">
        <v>1167</v>
      </c>
      <c r="D7140" s="16" t="s">
        <v>7390</v>
      </c>
      <c r="E7140" s="15"/>
      <c r="F7140" s="16">
        <v>50.8003</v>
      </c>
      <c r="G7140" s="16">
        <v>6.4526</v>
      </c>
      <c r="H7140" s="15"/>
      <c r="I7140" s="15"/>
    </row>
    <row r="7141">
      <c r="A7141" s="18">
        <v>45665.0</v>
      </c>
      <c r="B7141" s="16" t="s">
        <v>7952</v>
      </c>
      <c r="C7141" s="16">
        <v>2.0</v>
      </c>
      <c r="D7141" s="16" t="s">
        <v>7390</v>
      </c>
      <c r="E7141" s="15"/>
      <c r="F7141" s="16">
        <v>52.7411</v>
      </c>
      <c r="G7141" s="16">
        <v>11.8853</v>
      </c>
      <c r="H7141" s="15"/>
      <c r="I7141" s="15"/>
    </row>
    <row r="7142">
      <c r="A7142" s="18">
        <v>45665.0</v>
      </c>
      <c r="B7142" s="16" t="s">
        <v>7953</v>
      </c>
      <c r="C7142" s="16">
        <v>3.0</v>
      </c>
      <c r="D7142" s="16" t="s">
        <v>7390</v>
      </c>
      <c r="E7142" s="15"/>
      <c r="F7142" s="16">
        <v>48.2587</v>
      </c>
      <c r="G7142" s="16">
        <v>12.1788</v>
      </c>
      <c r="H7142" s="15"/>
      <c r="I7142" s="15"/>
    </row>
    <row r="7143">
      <c r="A7143" s="18">
        <v>45665.0</v>
      </c>
      <c r="B7143" s="16" t="s">
        <v>7954</v>
      </c>
      <c r="C7143" s="16" t="s">
        <v>1055</v>
      </c>
      <c r="D7143" s="16" t="s">
        <v>7390</v>
      </c>
      <c r="E7143" s="15"/>
      <c r="F7143" s="16">
        <v>51.7845</v>
      </c>
      <c r="G7143" s="16">
        <v>11.3241</v>
      </c>
      <c r="H7143" s="15"/>
      <c r="I7143" s="15"/>
    </row>
    <row r="7144">
      <c r="A7144" s="18">
        <v>45665.0</v>
      </c>
      <c r="B7144" s="16" t="s">
        <v>7955</v>
      </c>
      <c r="C7144" s="16" t="s">
        <v>984</v>
      </c>
      <c r="D7144" s="16" t="s">
        <v>7390</v>
      </c>
      <c r="E7144" s="15"/>
      <c r="F7144" s="16">
        <v>49.0583</v>
      </c>
      <c r="G7144" s="16">
        <v>11.9205</v>
      </c>
      <c r="H7144" s="15"/>
      <c r="I7144" s="15"/>
    </row>
    <row r="7145">
      <c r="A7145" s="18">
        <v>45665.0</v>
      </c>
      <c r="B7145" s="16" t="s">
        <v>7956</v>
      </c>
      <c r="C7145" s="16">
        <v>7.0</v>
      </c>
      <c r="D7145" s="16" t="s">
        <v>7390</v>
      </c>
      <c r="E7145" s="15"/>
      <c r="F7145" s="16">
        <v>50.7364</v>
      </c>
      <c r="G7145" s="16">
        <v>7.9594</v>
      </c>
      <c r="H7145" s="15"/>
      <c r="I7145" s="15"/>
    </row>
    <row r="7146">
      <c r="A7146" s="18">
        <v>45665.0</v>
      </c>
      <c r="B7146" s="16" t="s">
        <v>7957</v>
      </c>
      <c r="C7146" s="16" t="s">
        <v>1037</v>
      </c>
      <c r="D7146" s="16" t="s">
        <v>7390</v>
      </c>
      <c r="E7146" s="15"/>
      <c r="F7146" s="16">
        <v>51.6495</v>
      </c>
      <c r="G7146" s="16">
        <v>8.6395</v>
      </c>
      <c r="H7146" s="15"/>
      <c r="I7146" s="15"/>
    </row>
    <row r="7147">
      <c r="A7147" s="18">
        <v>45670.0</v>
      </c>
      <c r="B7147" s="16" t="s">
        <v>7958</v>
      </c>
      <c r="C7147" s="16">
        <v>1.0</v>
      </c>
      <c r="D7147" s="16" t="s">
        <v>7390</v>
      </c>
      <c r="E7147" s="15"/>
      <c r="F7147" s="16">
        <v>48.0278</v>
      </c>
      <c r="G7147" s="16">
        <v>9.6171</v>
      </c>
      <c r="H7147" s="15"/>
      <c r="I7147" s="15"/>
    </row>
    <row r="7148">
      <c r="A7148" s="18">
        <v>45670.0</v>
      </c>
      <c r="B7148" s="16" t="s">
        <v>7959</v>
      </c>
      <c r="C7148" s="16">
        <v>2.0</v>
      </c>
      <c r="D7148" s="16" t="s">
        <v>7390</v>
      </c>
      <c r="E7148" s="15"/>
      <c r="F7148" s="16">
        <v>52.9881</v>
      </c>
      <c r="G7148" s="16">
        <v>9.1804</v>
      </c>
      <c r="H7148" s="15"/>
      <c r="I7148" s="15"/>
    </row>
    <row r="7149">
      <c r="A7149" s="18">
        <v>45670.0</v>
      </c>
      <c r="B7149" s="16" t="s">
        <v>7960</v>
      </c>
      <c r="C7149" s="16" t="s">
        <v>3505</v>
      </c>
      <c r="D7149" s="16" t="s">
        <v>7390</v>
      </c>
      <c r="E7149" s="15"/>
      <c r="F7149" s="16">
        <v>50.8706</v>
      </c>
      <c r="G7149" s="16">
        <v>6.6903</v>
      </c>
      <c r="H7149" s="15"/>
      <c r="I7149" s="15"/>
    </row>
    <row r="7150">
      <c r="A7150" s="18">
        <v>45670.0</v>
      </c>
      <c r="B7150" s="16" t="s">
        <v>7961</v>
      </c>
      <c r="C7150" s="16" t="s">
        <v>2546</v>
      </c>
      <c r="D7150" s="16" t="s">
        <v>7390</v>
      </c>
      <c r="E7150" s="15"/>
      <c r="F7150" s="16">
        <v>49.9835</v>
      </c>
      <c r="G7150" s="16">
        <v>10.2698</v>
      </c>
      <c r="H7150" s="15"/>
      <c r="I7150" s="15"/>
    </row>
    <row r="7151">
      <c r="A7151" s="18">
        <v>45670.0</v>
      </c>
      <c r="B7151" s="16" t="s">
        <v>7962</v>
      </c>
      <c r="C7151" s="16" t="s">
        <v>7433</v>
      </c>
      <c r="D7151" s="16" t="s">
        <v>7390</v>
      </c>
      <c r="E7151" s="15"/>
      <c r="F7151" s="16">
        <v>52.6546</v>
      </c>
      <c r="G7151" s="16">
        <v>9.392</v>
      </c>
      <c r="H7151" s="15"/>
      <c r="I7151" s="15"/>
    </row>
    <row r="7152">
      <c r="A7152" s="18">
        <v>45670.0</v>
      </c>
      <c r="B7152" s="16" t="s">
        <v>7963</v>
      </c>
      <c r="C7152" s="16">
        <v>1.0</v>
      </c>
      <c r="D7152" s="16" t="s">
        <v>7390</v>
      </c>
      <c r="E7152" s="15"/>
      <c r="F7152" s="16">
        <v>49.2247</v>
      </c>
      <c r="G7152" s="16">
        <v>10.2497</v>
      </c>
      <c r="H7152" s="15"/>
      <c r="I7152" s="15"/>
    </row>
    <row r="7153">
      <c r="A7153" s="18">
        <v>45670.0</v>
      </c>
      <c r="B7153" s="16" t="s">
        <v>7964</v>
      </c>
      <c r="C7153" s="16" t="s">
        <v>1090</v>
      </c>
      <c r="D7153" s="16" t="s">
        <v>7390</v>
      </c>
      <c r="E7153" s="15"/>
      <c r="F7153" s="16">
        <v>51.9209</v>
      </c>
      <c r="G7153" s="16">
        <v>7.1728</v>
      </c>
      <c r="H7153" s="15"/>
      <c r="I7153" s="15"/>
    </row>
    <row r="7154">
      <c r="A7154" s="18">
        <v>45670.0</v>
      </c>
      <c r="B7154" s="16" t="s">
        <v>7965</v>
      </c>
      <c r="C7154" s="16">
        <v>11.0</v>
      </c>
      <c r="D7154" s="16" t="s">
        <v>7390</v>
      </c>
      <c r="E7154" s="15"/>
      <c r="F7154" s="16">
        <v>51.9696</v>
      </c>
      <c r="G7154" s="16">
        <v>13.8094</v>
      </c>
      <c r="H7154" s="15"/>
      <c r="I7154" s="15"/>
    </row>
    <row r="7155">
      <c r="A7155" s="18">
        <v>45670.0</v>
      </c>
      <c r="B7155" s="16" t="s">
        <v>7965</v>
      </c>
      <c r="C7155" s="16">
        <v>13.0</v>
      </c>
      <c r="D7155" s="16" t="s">
        <v>7390</v>
      </c>
      <c r="E7155" s="15"/>
      <c r="F7155" s="16">
        <v>51.9719</v>
      </c>
      <c r="G7155" s="16">
        <v>13.8083</v>
      </c>
      <c r="H7155" s="15"/>
      <c r="I7155" s="15"/>
    </row>
    <row r="7156">
      <c r="A7156" s="15"/>
      <c r="B7156" s="15"/>
      <c r="C7156" s="15"/>
      <c r="D7156" s="15"/>
      <c r="E7156" s="15"/>
      <c r="F7156" s="15"/>
      <c r="G7156" s="15"/>
      <c r="H7156" s="15"/>
      <c r="I7156" s="15"/>
    </row>
    <row r="7157">
      <c r="A7157" s="15"/>
      <c r="B7157" s="15"/>
      <c r="C7157" s="15"/>
      <c r="D7157" s="15"/>
      <c r="E7157" s="15"/>
      <c r="F7157" s="15"/>
      <c r="G7157" s="15"/>
      <c r="H7157" s="15"/>
      <c r="I7157" s="15"/>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9.57"/>
  </cols>
  <sheetData>
    <row r="1">
      <c r="A1" s="20" t="s">
        <v>687</v>
      </c>
      <c r="B1" s="20" t="s">
        <v>40</v>
      </c>
      <c r="C1" s="21" t="s">
        <v>46</v>
      </c>
      <c r="D1" s="21" t="s">
        <v>47</v>
      </c>
    </row>
    <row r="2">
      <c r="A2" s="22" t="s">
        <v>7966</v>
      </c>
      <c r="B2" s="22" t="s">
        <v>7967</v>
      </c>
      <c r="C2" s="23">
        <v>51.7033128995464</v>
      </c>
      <c r="D2" s="23">
        <v>4.16253562875509</v>
      </c>
    </row>
    <row r="3">
      <c r="A3" s="24" t="s">
        <v>7968</v>
      </c>
      <c r="B3" s="24" t="s">
        <v>7967</v>
      </c>
      <c r="C3" s="25">
        <v>51.7033128995464</v>
      </c>
      <c r="D3" s="25">
        <v>4.16253562875509</v>
      </c>
    </row>
    <row r="4">
      <c r="A4" s="22" t="s">
        <v>7969</v>
      </c>
      <c r="B4" s="22" t="s">
        <v>7967</v>
      </c>
      <c r="C4" s="23">
        <v>53.4652079383533</v>
      </c>
      <c r="D4" s="23">
        <v>6.6329845630844</v>
      </c>
    </row>
    <row r="5">
      <c r="A5" s="24" t="s">
        <v>7970</v>
      </c>
      <c r="B5" s="24" t="s">
        <v>7971</v>
      </c>
      <c r="C5" s="25">
        <v>65.8405002614236</v>
      </c>
      <c r="D5" s="25">
        <v>13.1952674023743</v>
      </c>
    </row>
    <row r="6">
      <c r="A6" s="22" t="s">
        <v>7972</v>
      </c>
      <c r="B6" s="22" t="s">
        <v>7971</v>
      </c>
      <c r="C6" s="23">
        <v>65.8405002614236</v>
      </c>
      <c r="D6" s="23">
        <v>13.1952674023743</v>
      </c>
    </row>
    <row r="7">
      <c r="A7" s="24" t="s">
        <v>7973</v>
      </c>
      <c r="B7" s="24" t="s">
        <v>7974</v>
      </c>
      <c r="C7" s="25">
        <v>65.5854558141391</v>
      </c>
      <c r="D7" s="25">
        <v>22.1576613609812</v>
      </c>
    </row>
    <row r="8">
      <c r="A8" s="22" t="s">
        <v>7975</v>
      </c>
      <c r="B8" s="22" t="s">
        <v>7974</v>
      </c>
      <c r="C8" s="23">
        <v>65.5854558141391</v>
      </c>
      <c r="D8" s="23">
        <v>22.1576613609812</v>
      </c>
    </row>
    <row r="9">
      <c r="A9" s="24" t="s">
        <v>7976</v>
      </c>
      <c r="B9" s="24" t="s">
        <v>7977</v>
      </c>
      <c r="C9" s="25">
        <v>38.6720671761843</v>
      </c>
      <c r="D9" s="25">
        <v>-4.0530512629734</v>
      </c>
    </row>
    <row r="10">
      <c r="A10" s="22" t="s">
        <v>7978</v>
      </c>
      <c r="B10" s="22" t="s">
        <v>7977</v>
      </c>
      <c r="C10" s="23">
        <v>39.7185189541585</v>
      </c>
      <c r="D10" s="23">
        <v>2.86960178408616</v>
      </c>
    </row>
    <row r="11">
      <c r="A11" s="24" t="s">
        <v>7979</v>
      </c>
      <c r="B11" s="24" t="s">
        <v>7971</v>
      </c>
      <c r="C11" s="25">
        <v>69.3016341598521</v>
      </c>
      <c r="D11" s="25">
        <v>17.6108443858602</v>
      </c>
    </row>
    <row r="12">
      <c r="A12" s="22" t="s">
        <v>7980</v>
      </c>
      <c r="B12" s="22" t="s">
        <v>7981</v>
      </c>
      <c r="C12" s="23">
        <v>39.8183471417175</v>
      </c>
      <c r="D12" s="23">
        <v>-105.090849901139</v>
      </c>
    </row>
    <row r="13">
      <c r="A13" s="24" t="s">
        <v>7982</v>
      </c>
      <c r="B13" s="24" t="s">
        <v>7983</v>
      </c>
      <c r="C13" s="25">
        <v>37.4164872362064</v>
      </c>
      <c r="D13" s="25">
        <v>140.516114027268</v>
      </c>
    </row>
    <row r="14">
      <c r="A14" s="22" t="s">
        <v>7984</v>
      </c>
      <c r="B14" s="22" t="s">
        <v>7985</v>
      </c>
      <c r="C14" s="23">
        <v>47.4213266597849</v>
      </c>
      <c r="D14" s="23">
        <v>9.37471140069694</v>
      </c>
    </row>
    <row r="15">
      <c r="A15" s="24" t="s">
        <v>7986</v>
      </c>
      <c r="B15" s="24" t="s">
        <v>7987</v>
      </c>
      <c r="C15" s="25">
        <v>53.9034052944025</v>
      </c>
      <c r="D15" s="25">
        <v>12.2831689290693</v>
      </c>
    </row>
    <row r="16">
      <c r="A16" s="22" t="s">
        <v>7988</v>
      </c>
      <c r="B16" s="22" t="s">
        <v>7987</v>
      </c>
      <c r="C16" s="23">
        <v>48.5855970920068</v>
      </c>
      <c r="D16" s="23">
        <v>8.95827602188521</v>
      </c>
    </row>
    <row r="17">
      <c r="A17" s="24" t="s">
        <v>7989</v>
      </c>
      <c r="B17" s="24" t="s">
        <v>7987</v>
      </c>
      <c r="C17" s="25">
        <v>54.7451591701625</v>
      </c>
      <c r="D17" s="25">
        <v>8.57517039921521</v>
      </c>
    </row>
    <row r="18">
      <c r="A18" s="22" t="s">
        <v>7990</v>
      </c>
      <c r="B18" s="22" t="s">
        <v>7991</v>
      </c>
      <c r="C18" s="23">
        <v>59.0199905695718</v>
      </c>
      <c r="D18" s="23">
        <v>-2.98913603497804</v>
      </c>
    </row>
    <row r="19">
      <c r="A19" s="24" t="s">
        <v>7992</v>
      </c>
      <c r="B19" s="26" t="s">
        <v>7987</v>
      </c>
      <c r="C19" s="25">
        <v>47.539892415871</v>
      </c>
      <c r="D19" s="25">
        <v>7.71235351615059</v>
      </c>
    </row>
    <row r="20">
      <c r="A20" s="22" t="s">
        <v>135</v>
      </c>
      <c r="B20" s="22" t="s">
        <v>7987</v>
      </c>
      <c r="C20" s="23">
        <v>52.1503721</v>
      </c>
      <c r="D20" s="23">
        <v>10.3593147</v>
      </c>
    </row>
    <row r="21">
      <c r="A21" s="24" t="s">
        <v>7993</v>
      </c>
      <c r="B21" s="24" t="s">
        <v>7994</v>
      </c>
      <c r="C21" s="25">
        <v>0.0</v>
      </c>
      <c r="D21" s="25">
        <v>0.0</v>
      </c>
    </row>
    <row r="22">
      <c r="A22" s="22" t="s">
        <v>7995</v>
      </c>
      <c r="B22" s="22" t="s">
        <v>7971</v>
      </c>
      <c r="C22" s="23">
        <v>0.0</v>
      </c>
      <c r="D22" s="23">
        <v>0.0</v>
      </c>
    </row>
    <row r="23">
      <c r="A23" s="24" t="s">
        <v>7996</v>
      </c>
      <c r="B23" s="24" t="s">
        <v>7983</v>
      </c>
      <c r="C23" s="25">
        <v>35.667062892264</v>
      </c>
      <c r="D23" s="25">
        <v>139.749492478842</v>
      </c>
    </row>
    <row r="24">
      <c r="A24" s="22" t="s">
        <v>7997</v>
      </c>
      <c r="B24" s="22" t="s">
        <v>7983</v>
      </c>
      <c r="C24" s="23">
        <v>36.7307682181574</v>
      </c>
      <c r="D24" s="23">
        <v>137.218824139501</v>
      </c>
    </row>
    <row r="25">
      <c r="A25" s="24" t="s">
        <v>7998</v>
      </c>
      <c r="B25" s="24" t="s">
        <v>7983</v>
      </c>
      <c r="C25" s="25">
        <v>35.6482195530807</v>
      </c>
      <c r="D25" s="25">
        <v>136.050882042711</v>
      </c>
    </row>
    <row r="26">
      <c r="A26" s="22" t="s">
        <v>109</v>
      </c>
      <c r="B26" s="22" t="s">
        <v>7999</v>
      </c>
      <c r="C26" s="23">
        <v>48.3059078</v>
      </c>
      <c r="D26" s="23">
        <v>14.286198</v>
      </c>
    </row>
    <row r="27">
      <c r="A27" s="24" t="s">
        <v>8000</v>
      </c>
      <c r="B27" s="24" t="s">
        <v>8001</v>
      </c>
      <c r="C27" s="25">
        <v>0.0</v>
      </c>
      <c r="D27" s="25">
        <v>0.0</v>
      </c>
    </row>
    <row r="28">
      <c r="A28" s="22" t="s">
        <v>8002</v>
      </c>
      <c r="B28" s="22" t="s">
        <v>8003</v>
      </c>
      <c r="C28" s="23">
        <v>43.857349389357</v>
      </c>
      <c r="D28" s="23">
        <v>-79.3311241907939</v>
      </c>
    </row>
    <row r="29">
      <c r="A29" s="24" t="s">
        <v>8004</v>
      </c>
      <c r="B29" s="24" t="s">
        <v>7987</v>
      </c>
      <c r="C29" s="25">
        <v>49.1996961</v>
      </c>
      <c r="D29" s="25">
        <v>7.6087847</v>
      </c>
    </row>
    <row r="30">
      <c r="A30" s="22" t="s">
        <v>8005</v>
      </c>
      <c r="B30" s="22" t="s">
        <v>7987</v>
      </c>
      <c r="C30" s="23">
        <v>0.0</v>
      </c>
      <c r="D30" s="23">
        <v>0.0</v>
      </c>
    </row>
    <row r="31">
      <c r="A31" s="24" t="s">
        <v>8006</v>
      </c>
      <c r="B31" s="24" t="s">
        <v>7987</v>
      </c>
      <c r="C31" s="25">
        <v>54.7267065251096</v>
      </c>
      <c r="D31" s="25">
        <v>9.34759128465099</v>
      </c>
    </row>
    <row r="32">
      <c r="A32" s="22" t="s">
        <v>8007</v>
      </c>
      <c r="B32" s="22" t="s">
        <v>8008</v>
      </c>
      <c r="C32" s="23">
        <v>58.3933728463669</v>
      </c>
      <c r="D32" s="23">
        <v>24.5106865990083</v>
      </c>
    </row>
    <row r="33">
      <c r="A33" s="24" t="s">
        <v>8009</v>
      </c>
      <c r="B33" s="24" t="s">
        <v>8008</v>
      </c>
      <c r="C33" s="25">
        <v>56.972880256341</v>
      </c>
      <c r="D33" s="25">
        <v>24.0878747185499</v>
      </c>
    </row>
    <row r="34">
      <c r="A34" s="22" t="s">
        <v>8010</v>
      </c>
      <c r="B34" s="22" t="s">
        <v>8011</v>
      </c>
      <c r="C34" s="23">
        <v>49.8808904</v>
      </c>
      <c r="D34" s="23">
        <v>1.1415922</v>
      </c>
    </row>
    <row r="35">
      <c r="A35" s="24" t="s">
        <v>140</v>
      </c>
      <c r="B35" s="24" t="s">
        <v>7991</v>
      </c>
      <c r="C35" s="25">
        <v>53.0038078</v>
      </c>
      <c r="D35" s="25">
        <v>-2.2877425</v>
      </c>
    </row>
    <row r="36">
      <c r="A36" s="22" t="s">
        <v>8012</v>
      </c>
      <c r="B36" s="22" t="s">
        <v>8003</v>
      </c>
      <c r="C36" s="23">
        <v>0.0</v>
      </c>
      <c r="D36" s="23">
        <v>0.0</v>
      </c>
    </row>
    <row r="37">
      <c r="A37" s="24" t="s">
        <v>8013</v>
      </c>
      <c r="B37" s="24" t="s">
        <v>8011</v>
      </c>
      <c r="C37" s="25">
        <v>43.3113640879766</v>
      </c>
      <c r="D37" s="25">
        <v>-0.362005308809327</v>
      </c>
    </row>
    <row r="38">
      <c r="A38" s="22" t="s">
        <v>8014</v>
      </c>
      <c r="B38" s="22" t="s">
        <v>7985</v>
      </c>
      <c r="C38" s="23">
        <v>47.20726588562</v>
      </c>
      <c r="D38" s="23">
        <v>7.53450070109119</v>
      </c>
    </row>
    <row r="39">
      <c r="A39" s="24" t="s">
        <v>8015</v>
      </c>
      <c r="B39" s="24" t="s">
        <v>8016</v>
      </c>
      <c r="C39" s="25">
        <v>0.0</v>
      </c>
      <c r="D39" s="25">
        <v>0.0</v>
      </c>
    </row>
    <row r="40">
      <c r="A40" s="22" t="s">
        <v>8017</v>
      </c>
      <c r="B40" s="22" t="s">
        <v>7974</v>
      </c>
      <c r="C40" s="23">
        <v>58.0592699077098</v>
      </c>
      <c r="D40" s="23">
        <v>12.8168370826241</v>
      </c>
    </row>
    <row r="41">
      <c r="A41" s="24" t="s">
        <v>8018</v>
      </c>
      <c r="B41" s="24" t="s">
        <v>7981</v>
      </c>
      <c r="C41" s="25">
        <v>0.0</v>
      </c>
      <c r="D41" s="25">
        <v>0.0</v>
      </c>
    </row>
    <row r="42">
      <c r="A42" s="22" t="s">
        <v>8019</v>
      </c>
      <c r="B42" s="22" t="s">
        <v>7987</v>
      </c>
      <c r="C42" s="23">
        <v>0.0</v>
      </c>
      <c r="D42" s="23">
        <v>0.0</v>
      </c>
    </row>
    <row r="43">
      <c r="A43" s="24" t="s">
        <v>8020</v>
      </c>
      <c r="B43" s="24" t="s">
        <v>8021</v>
      </c>
      <c r="C43" s="25">
        <v>0.0</v>
      </c>
      <c r="D43" s="25">
        <v>0.0</v>
      </c>
    </row>
    <row r="44">
      <c r="A44" s="22" t="s">
        <v>8022</v>
      </c>
      <c r="B44" s="22" t="s">
        <v>8023</v>
      </c>
      <c r="C44" s="23">
        <v>0.0</v>
      </c>
      <c r="D44" s="23">
        <v>0.0</v>
      </c>
    </row>
    <row r="45">
      <c r="A45" s="24" t="s">
        <v>8024</v>
      </c>
      <c r="B45" s="24" t="s">
        <v>7983</v>
      </c>
      <c r="C45" s="25">
        <v>37.4690716894926</v>
      </c>
      <c r="D45" s="25">
        <v>138.841033699981</v>
      </c>
    </row>
    <row r="46">
      <c r="A46" s="22" t="s">
        <v>8025</v>
      </c>
      <c r="B46" s="22" t="s">
        <v>8026</v>
      </c>
      <c r="C46" s="23">
        <v>0.0</v>
      </c>
      <c r="D46" s="23">
        <v>0.0</v>
      </c>
    </row>
    <row r="47">
      <c r="A47" s="24" t="s">
        <v>8027</v>
      </c>
      <c r="B47" s="24" t="s">
        <v>7987</v>
      </c>
      <c r="C47" s="25">
        <v>49.012525083906</v>
      </c>
      <c r="D47" s="25">
        <v>8.41694446930896</v>
      </c>
    </row>
    <row r="48">
      <c r="A48" s="22" t="s">
        <v>8028</v>
      </c>
      <c r="B48" s="22" t="s">
        <v>7967</v>
      </c>
      <c r="C48" s="23">
        <v>0.0</v>
      </c>
      <c r="D48" s="23">
        <v>0.0</v>
      </c>
    </row>
    <row r="49">
      <c r="A49" s="24" t="s">
        <v>8029</v>
      </c>
      <c r="B49" s="24" t="s">
        <v>8026</v>
      </c>
      <c r="C49" s="25">
        <v>0.0</v>
      </c>
      <c r="D49" s="25">
        <v>0.0</v>
      </c>
    </row>
    <row r="50">
      <c r="A50" s="22" t="s">
        <v>8030</v>
      </c>
      <c r="B50" s="22" t="s">
        <v>8031</v>
      </c>
      <c r="C50" s="23">
        <v>0.0</v>
      </c>
      <c r="D50" s="23">
        <v>0.0</v>
      </c>
    </row>
    <row r="51">
      <c r="A51" s="24" t="s">
        <v>8032</v>
      </c>
      <c r="B51" s="24" t="s">
        <v>7987</v>
      </c>
      <c r="C51" s="25">
        <v>0.0</v>
      </c>
      <c r="D51" s="25">
        <v>0.0</v>
      </c>
    </row>
    <row r="52">
      <c r="A52" s="22" t="s">
        <v>8033</v>
      </c>
      <c r="B52" s="22" t="s">
        <v>7983</v>
      </c>
      <c r="C52" s="23">
        <v>35.6152862077757</v>
      </c>
      <c r="D52" s="23">
        <v>138.694296857064</v>
      </c>
    </row>
    <row r="53">
      <c r="A53" s="24" t="s">
        <v>8034</v>
      </c>
      <c r="B53" s="24" t="s">
        <v>8031</v>
      </c>
      <c r="C53" s="25">
        <v>0.0</v>
      </c>
      <c r="D53" s="25">
        <v>0.0</v>
      </c>
    </row>
    <row r="54">
      <c r="A54" s="22" t="s">
        <v>8035</v>
      </c>
      <c r="B54" s="22" t="s">
        <v>7983</v>
      </c>
      <c r="C54" s="23">
        <v>0.0</v>
      </c>
      <c r="D54" s="23">
        <v>0.0</v>
      </c>
    </row>
    <row r="55">
      <c r="A55" s="24" t="s">
        <v>8036</v>
      </c>
      <c r="B55" s="24" t="s">
        <v>7987</v>
      </c>
      <c r="C55" s="25">
        <v>0.0</v>
      </c>
      <c r="D55" s="25">
        <v>0.0</v>
      </c>
    </row>
    <row r="56">
      <c r="A56" s="22" t="s">
        <v>8037</v>
      </c>
      <c r="B56" s="22" t="s">
        <v>7987</v>
      </c>
      <c r="C56" s="23">
        <v>53.9122420858375</v>
      </c>
      <c r="D56" s="23">
        <v>9.13196747017375</v>
      </c>
    </row>
    <row r="57">
      <c r="A57" s="24" t="s">
        <v>101</v>
      </c>
      <c r="B57" s="24" t="s">
        <v>7987</v>
      </c>
      <c r="C57" s="25">
        <v>51.4914175773825</v>
      </c>
      <c r="D57" s="25">
        <v>6.72396950620628</v>
      </c>
    </row>
    <row r="58">
      <c r="A58" s="22" t="s">
        <v>8038</v>
      </c>
      <c r="B58" s="22" t="s">
        <v>7981</v>
      </c>
      <c r="C58" s="23">
        <v>0.0</v>
      </c>
      <c r="D58" s="23">
        <v>0.0</v>
      </c>
    </row>
    <row r="59">
      <c r="A59" s="24" t="s">
        <v>128</v>
      </c>
      <c r="B59" s="24" t="s">
        <v>7994</v>
      </c>
      <c r="C59" s="25">
        <v>56.6394192071214</v>
      </c>
      <c r="D59" s="25">
        <v>9.79841809008519</v>
      </c>
    </row>
    <row r="60">
      <c r="A60" s="22" t="s">
        <v>8039</v>
      </c>
      <c r="B60" s="22" t="s">
        <v>7991</v>
      </c>
      <c r="C60" s="23">
        <v>0.0</v>
      </c>
      <c r="D60" s="23">
        <v>0.0</v>
      </c>
    </row>
    <row r="61">
      <c r="A61" s="24" t="s">
        <v>8040</v>
      </c>
      <c r="B61" s="24" t="s">
        <v>8041</v>
      </c>
      <c r="C61" s="25">
        <v>0.0</v>
      </c>
      <c r="D61" s="25">
        <v>0.0</v>
      </c>
    </row>
    <row r="62">
      <c r="A62" s="22" t="s">
        <v>8042</v>
      </c>
      <c r="B62" s="22" t="s">
        <v>7987</v>
      </c>
      <c r="C62" s="23">
        <v>49.2644733</v>
      </c>
      <c r="D62" s="23">
        <v>9.401743</v>
      </c>
    </row>
    <row r="63">
      <c r="A63" s="24" t="s">
        <v>8043</v>
      </c>
      <c r="B63" s="24" t="s">
        <v>7971</v>
      </c>
      <c r="C63" s="25">
        <v>63.3432724721887</v>
      </c>
      <c r="D63" s="25">
        <v>10.3733299991462</v>
      </c>
    </row>
    <row r="64">
      <c r="A64" s="22" t="s">
        <v>106</v>
      </c>
      <c r="B64" s="22" t="s">
        <v>7999</v>
      </c>
      <c r="C64" s="23">
        <v>47.9902740795209</v>
      </c>
      <c r="D64" s="23">
        <v>13.5538178267574</v>
      </c>
    </row>
    <row r="65">
      <c r="A65" s="24" t="s">
        <v>8044</v>
      </c>
      <c r="B65" s="24" t="s">
        <v>7991</v>
      </c>
      <c r="C65" s="25">
        <v>59.1649150969301</v>
      </c>
      <c r="D65" s="25">
        <v>-2.78835603880386</v>
      </c>
    </row>
    <row r="66">
      <c r="A66" s="22" t="s">
        <v>8045</v>
      </c>
      <c r="B66" s="22" t="s">
        <v>7987</v>
      </c>
      <c r="C66" s="23">
        <v>54.7267065251096</v>
      </c>
      <c r="D66" s="23">
        <v>9.34759128465099</v>
      </c>
    </row>
    <row r="67">
      <c r="A67" s="24" t="s">
        <v>8046</v>
      </c>
      <c r="B67" s="24" t="s">
        <v>8047</v>
      </c>
      <c r="C67" s="25">
        <v>0.0</v>
      </c>
      <c r="D67" s="25">
        <v>0.0</v>
      </c>
    </row>
    <row r="68">
      <c r="A68" s="22" t="s">
        <v>8048</v>
      </c>
      <c r="B68" s="22" t="s">
        <v>8011</v>
      </c>
      <c r="C68" s="23">
        <v>48.7494006994356</v>
      </c>
      <c r="D68" s="23">
        <v>2.3501081970516</v>
      </c>
    </row>
    <row r="69">
      <c r="A69" s="24" t="s">
        <v>8049</v>
      </c>
      <c r="B69" s="24" t="s">
        <v>8001</v>
      </c>
      <c r="C69" s="25">
        <v>31.2506845078429</v>
      </c>
      <c r="D69" s="25">
        <v>121.436499513046</v>
      </c>
    </row>
    <row r="70">
      <c r="A70" s="22" t="s">
        <v>8050</v>
      </c>
      <c r="B70" s="22" t="s">
        <v>7987</v>
      </c>
      <c r="C70" s="23">
        <v>0.0</v>
      </c>
      <c r="D70" s="23">
        <v>0.0</v>
      </c>
    </row>
    <row r="71">
      <c r="A71" s="24" t="s">
        <v>8051</v>
      </c>
      <c r="B71" s="24" t="s">
        <v>7977</v>
      </c>
      <c r="C71" s="25">
        <v>0.0</v>
      </c>
      <c r="D71" s="25">
        <v>0.0</v>
      </c>
    </row>
    <row r="72">
      <c r="A72" s="22" t="s">
        <v>8052</v>
      </c>
      <c r="B72" s="22" t="s">
        <v>8047</v>
      </c>
      <c r="C72" s="23">
        <v>0.0</v>
      </c>
      <c r="D72" s="23">
        <v>0.0</v>
      </c>
    </row>
    <row r="73">
      <c r="A73" s="24" t="s">
        <v>8053</v>
      </c>
      <c r="B73" s="24" t="s">
        <v>7983</v>
      </c>
      <c r="C73" s="25">
        <v>0.0</v>
      </c>
      <c r="D73" s="25">
        <v>0.0</v>
      </c>
    </row>
    <row r="74">
      <c r="A74" s="22" t="s">
        <v>8054</v>
      </c>
      <c r="B74" s="22" t="s">
        <v>7987</v>
      </c>
      <c r="C74" s="23">
        <v>0.0</v>
      </c>
      <c r="D74" s="23">
        <v>0.0</v>
      </c>
    </row>
    <row r="75">
      <c r="A75" s="24" t="s">
        <v>8055</v>
      </c>
      <c r="B75" s="24" t="s">
        <v>7983</v>
      </c>
      <c r="C75" s="25">
        <v>0.0</v>
      </c>
      <c r="D75" s="25">
        <v>0.0</v>
      </c>
    </row>
    <row r="76">
      <c r="A76" s="22" t="s">
        <v>8056</v>
      </c>
      <c r="B76" s="22" t="s">
        <v>7983</v>
      </c>
      <c r="C76" s="23">
        <v>0.0</v>
      </c>
      <c r="D76" s="23">
        <v>0.0</v>
      </c>
    </row>
    <row r="77">
      <c r="A77" s="24" t="s">
        <v>8057</v>
      </c>
      <c r="B77" s="24" t="s">
        <v>7987</v>
      </c>
      <c r="C77" s="25">
        <v>0.0</v>
      </c>
      <c r="D77" s="25">
        <v>0.0</v>
      </c>
    </row>
    <row r="78">
      <c r="A78" s="22" t="s">
        <v>8058</v>
      </c>
      <c r="B78" s="22" t="s">
        <v>7974</v>
      </c>
      <c r="C78" s="23">
        <v>0.0</v>
      </c>
      <c r="D78" s="23">
        <v>0.0</v>
      </c>
    </row>
    <row r="79">
      <c r="A79" s="24" t="s">
        <v>8059</v>
      </c>
      <c r="B79" s="24" t="s">
        <v>7991</v>
      </c>
      <c r="C79" s="25">
        <v>54.5766899240601</v>
      </c>
      <c r="D79" s="25">
        <v>-1.25239305318711</v>
      </c>
    </row>
    <row r="80">
      <c r="A80" s="22" t="s">
        <v>8060</v>
      </c>
      <c r="B80" s="22" t="s">
        <v>7991</v>
      </c>
      <c r="C80" s="23">
        <v>53.277031209918</v>
      </c>
      <c r="D80" s="23">
        <v>-2.84186914778824</v>
      </c>
    </row>
    <row r="81">
      <c r="A81" s="24" t="s">
        <v>8061</v>
      </c>
      <c r="B81" s="24" t="s">
        <v>8001</v>
      </c>
      <c r="C81" s="25">
        <v>45.6682888467308</v>
      </c>
      <c r="D81" s="25">
        <v>122.84638008563</v>
      </c>
    </row>
    <row r="82">
      <c r="A82" s="22" t="s">
        <v>8062</v>
      </c>
      <c r="B82" s="22" t="s">
        <v>7987</v>
      </c>
      <c r="C82" s="23">
        <v>0.0</v>
      </c>
      <c r="D82" s="23">
        <v>0.0</v>
      </c>
    </row>
    <row r="83">
      <c r="A83" s="24" t="s">
        <v>8063</v>
      </c>
      <c r="B83" s="24" t="s">
        <v>8011</v>
      </c>
      <c r="C83" s="25">
        <v>0.0</v>
      </c>
      <c r="D83" s="25">
        <v>0.0</v>
      </c>
    </row>
    <row r="84">
      <c r="A84" s="22" t="s">
        <v>8064</v>
      </c>
      <c r="B84" s="22" t="s">
        <v>7994</v>
      </c>
      <c r="C84" s="23">
        <v>55.8209367581636</v>
      </c>
      <c r="D84" s="23">
        <v>12.5403704877297</v>
      </c>
    </row>
    <row r="85">
      <c r="A85" s="24" t="s">
        <v>8065</v>
      </c>
      <c r="B85" s="24" t="s">
        <v>7983</v>
      </c>
      <c r="C85" s="25">
        <v>0.0</v>
      </c>
      <c r="D85" s="25">
        <v>0.0</v>
      </c>
    </row>
    <row r="86">
      <c r="A86" s="22" t="s">
        <v>8066</v>
      </c>
      <c r="B86" s="22" t="s">
        <v>7983</v>
      </c>
      <c r="C86" s="23">
        <v>0.0</v>
      </c>
      <c r="D86" s="23">
        <v>0.0</v>
      </c>
    </row>
    <row r="87">
      <c r="A87" s="24" t="s">
        <v>8067</v>
      </c>
      <c r="B87" s="24" t="s">
        <v>7983</v>
      </c>
      <c r="C87" s="25">
        <v>0.0</v>
      </c>
      <c r="D87" s="25">
        <v>0.0</v>
      </c>
    </row>
    <row r="88">
      <c r="A88" s="22" t="s">
        <v>8068</v>
      </c>
      <c r="B88" s="22" t="s">
        <v>8069</v>
      </c>
      <c r="C88" s="23">
        <v>10.4210978412384</v>
      </c>
      <c r="D88" s="23">
        <v>-85.4209688633961</v>
      </c>
    </row>
    <row r="89">
      <c r="A89" s="24" t="s">
        <v>8070</v>
      </c>
      <c r="B89" s="24" t="s">
        <v>8071</v>
      </c>
      <c r="C89" s="25">
        <v>-21.2247270083931</v>
      </c>
      <c r="D89" s="25">
        <v>-68.2517899610998</v>
      </c>
    </row>
    <row r="90">
      <c r="A90" s="22" t="s">
        <v>8072</v>
      </c>
      <c r="B90" s="22" t="s">
        <v>7987</v>
      </c>
      <c r="C90" s="23">
        <v>0.0</v>
      </c>
      <c r="D90" s="23">
        <v>0.0</v>
      </c>
    </row>
    <row r="91">
      <c r="A91" s="24" t="s">
        <v>8073</v>
      </c>
      <c r="B91" s="24" t="s">
        <v>7987</v>
      </c>
      <c r="C91" s="25">
        <v>0.0</v>
      </c>
      <c r="D91" s="25">
        <v>0.0</v>
      </c>
    </row>
    <row r="92">
      <c r="A92" s="22" t="s">
        <v>8074</v>
      </c>
      <c r="B92" s="22" t="s">
        <v>7987</v>
      </c>
      <c r="C92" s="23">
        <v>51.43777627193</v>
      </c>
      <c r="D92" s="23">
        <v>12.046691721069</v>
      </c>
    </row>
    <row r="93">
      <c r="A93" s="24" t="s">
        <v>8075</v>
      </c>
      <c r="B93" s="24" t="s">
        <v>7987</v>
      </c>
      <c r="C93" s="25">
        <v>0.0</v>
      </c>
      <c r="D93" s="25">
        <v>0.0</v>
      </c>
    </row>
    <row r="94">
      <c r="A94" s="22" t="s">
        <v>8076</v>
      </c>
      <c r="B94" s="22" t="s">
        <v>7987</v>
      </c>
      <c r="C94" s="23">
        <v>53.5614269790593</v>
      </c>
      <c r="D94" s="23">
        <v>9.97725997737585</v>
      </c>
    </row>
    <row r="95">
      <c r="A95" s="24" t="s">
        <v>8077</v>
      </c>
      <c r="B95" s="24" t="s">
        <v>7987</v>
      </c>
      <c r="C95" s="25">
        <v>50.0598431422964</v>
      </c>
      <c r="D95" s="25">
        <v>12.1911371937966</v>
      </c>
    </row>
    <row r="96">
      <c r="A96" s="22" t="s">
        <v>8078</v>
      </c>
      <c r="B96" s="22" t="s">
        <v>7981</v>
      </c>
      <c r="C96" s="23">
        <v>0.0</v>
      </c>
      <c r="D96" s="23">
        <v>0.0</v>
      </c>
    </row>
    <row r="97">
      <c r="A97" s="24" t="s">
        <v>8079</v>
      </c>
      <c r="B97" s="24" t="s">
        <v>7971</v>
      </c>
      <c r="C97" s="25">
        <v>0.0</v>
      </c>
      <c r="D97" s="25">
        <v>0.0</v>
      </c>
    </row>
    <row r="98">
      <c r="A98" s="22" t="s">
        <v>8080</v>
      </c>
      <c r="B98" s="22" t="s">
        <v>7983</v>
      </c>
      <c r="C98" s="23">
        <v>0.0</v>
      </c>
      <c r="D98" s="23">
        <v>0.0</v>
      </c>
    </row>
    <row r="99">
      <c r="A99" s="24" t="s">
        <v>8081</v>
      </c>
      <c r="B99" s="24" t="s">
        <v>7983</v>
      </c>
      <c r="C99" s="25">
        <v>0.0</v>
      </c>
      <c r="D99" s="25">
        <v>0.0</v>
      </c>
    </row>
    <row r="100">
      <c r="A100" s="22" t="s">
        <v>8082</v>
      </c>
      <c r="B100" s="22" t="s">
        <v>7987</v>
      </c>
      <c r="C100" s="23">
        <v>53.4668459185399</v>
      </c>
      <c r="D100" s="23">
        <v>10.1383459731675</v>
      </c>
    </row>
    <row r="101">
      <c r="A101" s="24" t="s">
        <v>8083</v>
      </c>
      <c r="B101" s="24" t="s">
        <v>7987</v>
      </c>
      <c r="C101" s="25">
        <v>53.7119212461696</v>
      </c>
      <c r="D101" s="25">
        <v>13.2916374636138</v>
      </c>
    </row>
    <row r="102">
      <c r="A102" s="22" t="s">
        <v>8084</v>
      </c>
      <c r="B102" s="22" t="s">
        <v>7994</v>
      </c>
      <c r="C102" s="23">
        <v>0.0</v>
      </c>
      <c r="D102" s="23">
        <v>0.0</v>
      </c>
    </row>
    <row r="103">
      <c r="A103" s="24" t="s">
        <v>8085</v>
      </c>
      <c r="B103" s="24" t="s">
        <v>8003</v>
      </c>
      <c r="C103" s="25">
        <v>0.0</v>
      </c>
      <c r="D103" s="25">
        <v>0.0</v>
      </c>
    </row>
    <row r="104">
      <c r="A104" s="22" t="s">
        <v>8086</v>
      </c>
      <c r="B104" s="22" t="s">
        <v>8087</v>
      </c>
      <c r="C104" s="23">
        <v>50.7312748594555</v>
      </c>
      <c r="D104" s="23">
        <v>4.21926738062468</v>
      </c>
    </row>
    <row r="105">
      <c r="A105" s="24" t="s">
        <v>8088</v>
      </c>
      <c r="B105" s="24" t="s">
        <v>7985</v>
      </c>
      <c r="C105" s="25">
        <v>0.0</v>
      </c>
      <c r="D105" s="25">
        <v>0.0</v>
      </c>
    </row>
    <row r="106">
      <c r="A106" s="22" t="s">
        <v>8089</v>
      </c>
      <c r="B106" s="22" t="s">
        <v>7987</v>
      </c>
      <c r="C106" s="23">
        <v>0.0</v>
      </c>
      <c r="D106" s="23">
        <v>0.0</v>
      </c>
    </row>
    <row r="107">
      <c r="A107" s="24" t="s">
        <v>8090</v>
      </c>
      <c r="B107" s="24" t="s">
        <v>7974</v>
      </c>
      <c r="C107" s="25">
        <v>0.0</v>
      </c>
      <c r="D107" s="25">
        <v>0.0</v>
      </c>
    </row>
    <row r="108">
      <c r="A108" s="22" t="s">
        <v>8091</v>
      </c>
      <c r="B108" s="22" t="s">
        <v>7987</v>
      </c>
      <c r="C108" s="23">
        <v>0.0</v>
      </c>
      <c r="D108" s="23">
        <v>0.0</v>
      </c>
    </row>
    <row r="109">
      <c r="A109" s="24" t="s">
        <v>8092</v>
      </c>
      <c r="B109" s="24" t="s">
        <v>7983</v>
      </c>
      <c r="C109" s="25">
        <v>35.5171094101699</v>
      </c>
      <c r="D109" s="25">
        <v>139.75873479248</v>
      </c>
    </row>
    <row r="110">
      <c r="A110" s="22" t="s">
        <v>8093</v>
      </c>
      <c r="B110" s="22" t="s">
        <v>7987</v>
      </c>
      <c r="C110" s="23">
        <v>0.0</v>
      </c>
      <c r="D110" s="23">
        <v>0.0</v>
      </c>
    </row>
    <row r="111">
      <c r="A111" s="24" t="s">
        <v>8094</v>
      </c>
      <c r="B111" s="24" t="s">
        <v>7994</v>
      </c>
      <c r="C111" s="25">
        <v>0.0</v>
      </c>
      <c r="D111" s="25">
        <v>0.0</v>
      </c>
    </row>
    <row r="112">
      <c r="A112" s="22" t="s">
        <v>8095</v>
      </c>
      <c r="B112" s="22" t="s">
        <v>8047</v>
      </c>
      <c r="C112" s="23">
        <v>46.4740985384316</v>
      </c>
      <c r="D112" s="23">
        <v>11.3171937080776</v>
      </c>
    </row>
    <row r="113">
      <c r="A113" s="24" t="s">
        <v>79</v>
      </c>
      <c r="B113" s="24" t="s">
        <v>7987</v>
      </c>
      <c r="C113" s="25">
        <v>52.3699921358899</v>
      </c>
      <c r="D113" s="25">
        <v>13.5242988316558</v>
      </c>
    </row>
    <row r="114">
      <c r="A114" s="22" t="s">
        <v>8096</v>
      </c>
      <c r="B114" s="22" t="s">
        <v>7987</v>
      </c>
      <c r="C114" s="23">
        <v>0.0</v>
      </c>
      <c r="D114" s="23">
        <v>0.0</v>
      </c>
    </row>
    <row r="115">
      <c r="A115" s="24" t="s">
        <v>8097</v>
      </c>
      <c r="B115" s="24" t="s">
        <v>7987</v>
      </c>
      <c r="C115" s="25">
        <v>0.0</v>
      </c>
      <c r="D115" s="25">
        <v>0.0</v>
      </c>
    </row>
    <row r="116">
      <c r="A116" s="22" t="s">
        <v>8098</v>
      </c>
      <c r="B116" s="22" t="s">
        <v>7987</v>
      </c>
      <c r="C116" s="23">
        <v>52.8518701</v>
      </c>
      <c r="D116" s="23">
        <v>7.6764179</v>
      </c>
    </row>
    <row r="117">
      <c r="A117" s="24" t="s">
        <v>8099</v>
      </c>
      <c r="B117" s="24" t="s">
        <v>7994</v>
      </c>
      <c r="C117" s="25">
        <v>0.0</v>
      </c>
      <c r="D117" s="25">
        <v>0.0</v>
      </c>
    </row>
    <row r="118">
      <c r="A118" s="22" t="s">
        <v>70</v>
      </c>
      <c r="B118" s="22" t="s">
        <v>7987</v>
      </c>
      <c r="C118" s="23">
        <v>53.2003105413885</v>
      </c>
      <c r="D118" s="23">
        <v>12.2351124180165</v>
      </c>
    </row>
    <row r="119">
      <c r="A119" s="24" t="s">
        <v>8100</v>
      </c>
      <c r="B119" s="24" t="s">
        <v>7987</v>
      </c>
      <c r="C119" s="25">
        <v>0.0</v>
      </c>
      <c r="D119" s="25">
        <v>0.0</v>
      </c>
    </row>
    <row r="120">
      <c r="A120" s="22" t="s">
        <v>8101</v>
      </c>
      <c r="B120" s="22" t="s">
        <v>7971</v>
      </c>
      <c r="C120" s="23">
        <v>0.0</v>
      </c>
      <c r="D120" s="23">
        <v>0.0</v>
      </c>
    </row>
    <row r="121">
      <c r="A121" s="24" t="s">
        <v>8102</v>
      </c>
      <c r="B121" s="24" t="s">
        <v>7994</v>
      </c>
      <c r="C121" s="25">
        <v>55.591385038419</v>
      </c>
      <c r="D121" s="25">
        <v>9.75264367456355</v>
      </c>
    </row>
    <row r="122">
      <c r="A122" s="22" t="s">
        <v>8103</v>
      </c>
      <c r="B122" s="22" t="s">
        <v>7987</v>
      </c>
      <c r="C122" s="23">
        <v>0.0</v>
      </c>
      <c r="D122" s="23">
        <v>0.0</v>
      </c>
    </row>
    <row r="123">
      <c r="A123" s="24" t="s">
        <v>8104</v>
      </c>
      <c r="B123" s="24" t="s">
        <v>8021</v>
      </c>
      <c r="C123" s="25">
        <v>0.0</v>
      </c>
      <c r="D123" s="25">
        <v>0.0</v>
      </c>
    </row>
    <row r="124">
      <c r="A124" s="22" t="s">
        <v>8105</v>
      </c>
      <c r="B124" s="22" t="s">
        <v>7987</v>
      </c>
      <c r="C124" s="23">
        <v>0.0</v>
      </c>
      <c r="D124" s="23">
        <v>0.0</v>
      </c>
    </row>
    <row r="125">
      <c r="A125" s="24" t="s">
        <v>8106</v>
      </c>
      <c r="B125" s="24" t="s">
        <v>7987</v>
      </c>
      <c r="C125" s="25">
        <v>53.8232597278847</v>
      </c>
      <c r="D125" s="25">
        <v>9.28943551887401</v>
      </c>
    </row>
    <row r="126">
      <c r="A126" s="22" t="s">
        <v>8107</v>
      </c>
      <c r="B126" s="22" t="s">
        <v>8108</v>
      </c>
      <c r="C126" s="23">
        <v>0.0</v>
      </c>
      <c r="D126" s="23">
        <v>0.0</v>
      </c>
    </row>
    <row r="127">
      <c r="A127" s="24" t="s">
        <v>8109</v>
      </c>
      <c r="B127" s="24" t="s">
        <v>7977</v>
      </c>
      <c r="C127" s="25">
        <v>0.0</v>
      </c>
      <c r="D127" s="25">
        <v>0.0</v>
      </c>
    </row>
    <row r="128">
      <c r="A128" s="22" t="s">
        <v>8110</v>
      </c>
      <c r="B128" s="22" t="s">
        <v>7987</v>
      </c>
      <c r="C128" s="23">
        <v>50.8605615564851</v>
      </c>
      <c r="D128" s="23">
        <v>6.98058161550651</v>
      </c>
    </row>
    <row r="129">
      <c r="A129" s="24" t="s">
        <v>8111</v>
      </c>
      <c r="B129" s="24" t="s">
        <v>7987</v>
      </c>
      <c r="C129" s="25">
        <v>53.5142697661571</v>
      </c>
      <c r="D129" s="25">
        <v>9.95004694091784</v>
      </c>
    </row>
    <row r="130">
      <c r="A130" s="22" t="s">
        <v>8112</v>
      </c>
      <c r="B130" s="22" t="s">
        <v>7987</v>
      </c>
      <c r="C130" s="23">
        <v>51.6003055722097</v>
      </c>
      <c r="D130" s="23">
        <v>7.1383828014204</v>
      </c>
    </row>
    <row r="131">
      <c r="A131" s="24" t="s">
        <v>8113</v>
      </c>
      <c r="B131" s="24" t="s">
        <v>7987</v>
      </c>
      <c r="C131" s="25">
        <v>0.0</v>
      </c>
      <c r="D131" s="25">
        <v>0.0</v>
      </c>
    </row>
    <row r="132">
      <c r="A132" s="22" t="s">
        <v>8114</v>
      </c>
      <c r="B132" s="22" t="s">
        <v>7987</v>
      </c>
      <c r="C132" s="23">
        <v>0.0</v>
      </c>
      <c r="D132" s="23">
        <v>0.0</v>
      </c>
    </row>
    <row r="133">
      <c r="A133" s="24" t="s">
        <v>8115</v>
      </c>
      <c r="B133" s="24" t="s">
        <v>7987</v>
      </c>
      <c r="C133" s="25">
        <v>0.0</v>
      </c>
      <c r="D133" s="25">
        <v>0.0</v>
      </c>
    </row>
    <row r="134">
      <c r="A134" s="22" t="s">
        <v>8116</v>
      </c>
      <c r="B134" s="22" t="s">
        <v>8117</v>
      </c>
      <c r="C134" s="23">
        <v>0.0</v>
      </c>
      <c r="D134" s="23">
        <v>0.0</v>
      </c>
    </row>
    <row r="135">
      <c r="A135" s="24" t="s">
        <v>8118</v>
      </c>
      <c r="B135" s="24" t="s">
        <v>7991</v>
      </c>
      <c r="C135" s="25">
        <v>0.0</v>
      </c>
      <c r="D135" s="25">
        <v>0.0</v>
      </c>
    </row>
    <row r="136">
      <c r="A136" s="22" t="s">
        <v>8119</v>
      </c>
      <c r="B136" s="22" t="s">
        <v>7999</v>
      </c>
      <c r="C136" s="23">
        <v>0.0</v>
      </c>
      <c r="D136" s="23">
        <v>0.0</v>
      </c>
    </row>
    <row r="137">
      <c r="A137" s="24" t="s">
        <v>8120</v>
      </c>
      <c r="B137" s="24" t="s">
        <v>8041</v>
      </c>
      <c r="C137" s="25">
        <v>0.0</v>
      </c>
      <c r="D137" s="25">
        <v>0.0</v>
      </c>
    </row>
    <row r="138">
      <c r="A138" s="22" t="s">
        <v>8121</v>
      </c>
      <c r="B138" s="22" t="s">
        <v>8122</v>
      </c>
      <c r="C138" s="23">
        <v>63.844239</v>
      </c>
      <c r="D138" s="23">
        <v>-22.4317498</v>
      </c>
    </row>
    <row r="139">
      <c r="A139" s="24" t="s">
        <v>8123</v>
      </c>
      <c r="B139" s="24" t="s">
        <v>7987</v>
      </c>
      <c r="C139" s="25">
        <v>53.5459162654515</v>
      </c>
      <c r="D139" s="25">
        <v>10.0025167626962</v>
      </c>
    </row>
    <row r="140">
      <c r="A140" s="22" t="s">
        <v>8124</v>
      </c>
      <c r="B140" s="22" t="s">
        <v>7987</v>
      </c>
      <c r="C140" s="23">
        <v>0.0</v>
      </c>
      <c r="D140" s="23">
        <v>0.0</v>
      </c>
    </row>
    <row r="141">
      <c r="A141" s="24" t="s">
        <v>8125</v>
      </c>
      <c r="B141" s="24" t="s">
        <v>7987</v>
      </c>
      <c r="C141" s="25">
        <v>0.0</v>
      </c>
      <c r="D141" s="25">
        <v>0.0</v>
      </c>
    </row>
    <row r="142">
      <c r="A142" s="22" t="s">
        <v>8126</v>
      </c>
      <c r="B142" s="22" t="s">
        <v>8003</v>
      </c>
      <c r="C142" s="23">
        <v>0.0</v>
      </c>
      <c r="D142" s="23">
        <v>0.0</v>
      </c>
    </row>
    <row r="143">
      <c r="A143" s="24" t="s">
        <v>8127</v>
      </c>
      <c r="B143" s="24" t="s">
        <v>8128</v>
      </c>
      <c r="C143" s="25">
        <v>0.0</v>
      </c>
      <c r="D143" s="25">
        <v>0.0</v>
      </c>
    </row>
    <row r="144">
      <c r="A144" s="22" t="s">
        <v>8129</v>
      </c>
      <c r="B144" s="22" t="s">
        <v>7967</v>
      </c>
      <c r="C144" s="23">
        <v>0.0</v>
      </c>
      <c r="D144" s="23">
        <v>0.0</v>
      </c>
    </row>
    <row r="145">
      <c r="A145" s="24" t="s">
        <v>8130</v>
      </c>
      <c r="B145" s="24" t="s">
        <v>8003</v>
      </c>
      <c r="C145" s="25">
        <v>0.0</v>
      </c>
      <c r="D145" s="25">
        <v>0.0</v>
      </c>
    </row>
    <row r="146">
      <c r="A146" s="22" t="s">
        <v>8131</v>
      </c>
      <c r="B146" s="22" t="s">
        <v>7994</v>
      </c>
      <c r="C146" s="23">
        <v>0.0</v>
      </c>
      <c r="D146" s="23">
        <v>0.0</v>
      </c>
    </row>
    <row r="147">
      <c r="A147" s="24" t="s">
        <v>8132</v>
      </c>
      <c r="B147" s="24" t="s">
        <v>7977</v>
      </c>
      <c r="C147" s="25">
        <v>0.0</v>
      </c>
      <c r="D147" s="25">
        <v>0.0</v>
      </c>
    </row>
    <row r="148">
      <c r="A148" s="22" t="s">
        <v>8133</v>
      </c>
      <c r="B148" s="22" t="s">
        <v>8117</v>
      </c>
      <c r="C148" s="23">
        <v>0.0</v>
      </c>
      <c r="D148" s="23">
        <v>0.0</v>
      </c>
    </row>
    <row r="149">
      <c r="A149" s="24" t="s">
        <v>8134</v>
      </c>
      <c r="B149" s="24" t="s">
        <v>7981</v>
      </c>
      <c r="C149" s="25">
        <v>0.0</v>
      </c>
      <c r="D149" s="25">
        <v>0.0</v>
      </c>
    </row>
    <row r="150">
      <c r="A150" s="22" t="s">
        <v>8135</v>
      </c>
      <c r="B150" s="22" t="s">
        <v>7994</v>
      </c>
      <c r="C150" s="23">
        <v>0.0</v>
      </c>
      <c r="D150" s="23">
        <v>0.0</v>
      </c>
    </row>
    <row r="151">
      <c r="A151" s="24" t="s">
        <v>8136</v>
      </c>
      <c r="B151" s="24" t="s">
        <v>8108</v>
      </c>
      <c r="C151" s="25">
        <v>0.0</v>
      </c>
      <c r="D151" s="25">
        <v>0.0</v>
      </c>
    </row>
    <row r="152">
      <c r="A152" s="22" t="s">
        <v>8137</v>
      </c>
      <c r="B152" s="22" t="s">
        <v>8138</v>
      </c>
      <c r="C152" s="23">
        <v>-45.8662784348113</v>
      </c>
      <c r="D152" s="23">
        <v>-67.4891249119704</v>
      </c>
    </row>
    <row r="153">
      <c r="A153" s="24" t="s">
        <v>8139</v>
      </c>
      <c r="B153" s="24" t="s">
        <v>8140</v>
      </c>
      <c r="C153" s="25">
        <v>0.0</v>
      </c>
      <c r="D153" s="25">
        <v>0.0</v>
      </c>
    </row>
    <row r="154">
      <c r="A154" s="22" t="s">
        <v>8141</v>
      </c>
      <c r="B154" s="22" t="s">
        <v>8128</v>
      </c>
      <c r="C154" s="23">
        <v>0.0</v>
      </c>
      <c r="D154" s="23">
        <v>0.0</v>
      </c>
    </row>
    <row r="155">
      <c r="A155" s="24" t="s">
        <v>8142</v>
      </c>
      <c r="B155" s="24" t="s">
        <v>8011</v>
      </c>
      <c r="C155" s="25">
        <v>51.035664427963</v>
      </c>
      <c r="D155" s="25">
        <v>2.37743555004076</v>
      </c>
    </row>
    <row r="156">
      <c r="A156" s="22" t="s">
        <v>8143</v>
      </c>
      <c r="B156" s="22" t="s">
        <v>7987</v>
      </c>
      <c r="C156" s="23">
        <v>0.0</v>
      </c>
      <c r="D156" s="23">
        <v>0.0</v>
      </c>
    </row>
    <row r="157">
      <c r="A157" s="24" t="s">
        <v>8144</v>
      </c>
      <c r="B157" s="24" t="s">
        <v>7981</v>
      </c>
      <c r="C157" s="25">
        <v>0.0</v>
      </c>
      <c r="D157" s="25">
        <v>0.0</v>
      </c>
    </row>
    <row r="158">
      <c r="A158" s="22" t="s">
        <v>8145</v>
      </c>
      <c r="B158" s="22" t="s">
        <v>8117</v>
      </c>
      <c r="C158" s="23">
        <v>0.0</v>
      </c>
      <c r="D158" s="23">
        <v>0.0</v>
      </c>
    </row>
    <row r="159">
      <c r="A159" s="24" t="s">
        <v>8146</v>
      </c>
      <c r="B159" s="24" t="s">
        <v>8147</v>
      </c>
      <c r="C159" s="25">
        <v>0.0</v>
      </c>
      <c r="D159" s="25">
        <v>0.0</v>
      </c>
    </row>
    <row r="160">
      <c r="A160" s="22" t="s">
        <v>8148</v>
      </c>
      <c r="B160" s="22" t="s">
        <v>7991</v>
      </c>
      <c r="C160" s="23">
        <v>0.0</v>
      </c>
      <c r="D160" s="23">
        <v>0.0</v>
      </c>
    </row>
    <row r="161">
      <c r="A161" s="24" t="s">
        <v>8149</v>
      </c>
      <c r="B161" s="24" t="s">
        <v>7981</v>
      </c>
      <c r="C161" s="25">
        <v>0.0</v>
      </c>
      <c r="D161" s="25">
        <v>0.0</v>
      </c>
    </row>
    <row r="162">
      <c r="A162" s="22" t="s">
        <v>8150</v>
      </c>
      <c r="B162" s="22" t="s">
        <v>8128</v>
      </c>
      <c r="C162" s="23">
        <v>0.0</v>
      </c>
      <c r="D162" s="23">
        <v>0.0</v>
      </c>
    </row>
    <row r="163">
      <c r="A163" s="24" t="s">
        <v>8151</v>
      </c>
      <c r="B163" s="24" t="s">
        <v>8117</v>
      </c>
      <c r="C163" s="25">
        <v>0.0</v>
      </c>
      <c r="D163" s="25">
        <v>0.0</v>
      </c>
    </row>
    <row r="164">
      <c r="A164" s="22" t="s">
        <v>8152</v>
      </c>
      <c r="B164" s="22" t="s">
        <v>8147</v>
      </c>
      <c r="C164" s="23">
        <v>0.0</v>
      </c>
      <c r="D164" s="23">
        <v>0.0</v>
      </c>
    </row>
    <row r="165">
      <c r="A165" s="24" t="s">
        <v>8153</v>
      </c>
      <c r="B165" s="24" t="s">
        <v>7977</v>
      </c>
      <c r="C165" s="25">
        <v>0.0</v>
      </c>
      <c r="D165" s="25">
        <v>0.0</v>
      </c>
    </row>
    <row r="166">
      <c r="A166" s="22" t="s">
        <v>8154</v>
      </c>
      <c r="B166" s="22" t="s">
        <v>8047</v>
      </c>
      <c r="C166" s="23">
        <v>0.0</v>
      </c>
      <c r="D166" s="23">
        <v>0.0</v>
      </c>
    </row>
    <row r="167">
      <c r="A167" s="24" t="s">
        <v>8155</v>
      </c>
      <c r="B167" s="24" t="s">
        <v>8128</v>
      </c>
      <c r="C167" s="25">
        <v>0.0</v>
      </c>
      <c r="D167" s="25">
        <v>0.0</v>
      </c>
    </row>
    <row r="168">
      <c r="A168" s="22" t="s">
        <v>8156</v>
      </c>
      <c r="B168" s="22" t="s">
        <v>7977</v>
      </c>
      <c r="C168" s="23">
        <v>0.0</v>
      </c>
      <c r="D168" s="23">
        <v>0.0</v>
      </c>
    </row>
    <row r="169">
      <c r="A169" s="24" t="s">
        <v>8157</v>
      </c>
      <c r="B169" s="24" t="s">
        <v>8108</v>
      </c>
      <c r="C169" s="25">
        <v>0.0</v>
      </c>
      <c r="D169" s="25">
        <v>0.0</v>
      </c>
    </row>
    <row r="170">
      <c r="A170" s="22" t="s">
        <v>8158</v>
      </c>
      <c r="B170" s="22" t="s">
        <v>8108</v>
      </c>
      <c r="C170" s="23">
        <v>0.0</v>
      </c>
      <c r="D170" s="23">
        <v>0.0</v>
      </c>
    </row>
    <row r="171">
      <c r="A171" s="24" t="s">
        <v>8159</v>
      </c>
      <c r="B171" s="24" t="s">
        <v>7991</v>
      </c>
      <c r="C171" s="25">
        <v>0.0</v>
      </c>
      <c r="D171" s="25">
        <v>0.0</v>
      </c>
    </row>
    <row r="172">
      <c r="A172" s="22" t="s">
        <v>8160</v>
      </c>
      <c r="B172" s="22" t="s">
        <v>8161</v>
      </c>
      <c r="C172" s="23">
        <v>0.0</v>
      </c>
      <c r="D172" s="23">
        <v>0.0</v>
      </c>
    </row>
    <row r="173">
      <c r="A173" s="24" t="s">
        <v>91</v>
      </c>
      <c r="B173" s="24" t="s">
        <v>7987</v>
      </c>
      <c r="C173" s="25">
        <v>49.9962107275021</v>
      </c>
      <c r="D173" s="25">
        <v>8.24526901763009</v>
      </c>
    </row>
    <row r="174">
      <c r="A174" s="22" t="s">
        <v>89</v>
      </c>
      <c r="B174" s="22" t="s">
        <v>8047</v>
      </c>
      <c r="C174" s="23">
        <v>41.363128</v>
      </c>
      <c r="D174" s="23">
        <v>15.312347</v>
      </c>
    </row>
    <row r="175">
      <c r="A175" s="24" t="s">
        <v>8162</v>
      </c>
      <c r="B175" s="24" t="s">
        <v>7983</v>
      </c>
      <c r="C175" s="25">
        <v>0.0</v>
      </c>
      <c r="D175" s="25">
        <v>0.0</v>
      </c>
    </row>
    <row r="176">
      <c r="A176" s="22" t="s">
        <v>8163</v>
      </c>
      <c r="B176" s="22" t="s">
        <v>8108</v>
      </c>
      <c r="C176" s="23">
        <v>28.4292759316133</v>
      </c>
      <c r="D176" s="23">
        <v>77.1483887167265</v>
      </c>
    </row>
    <row r="177">
      <c r="A177" s="24" t="s">
        <v>8164</v>
      </c>
      <c r="B177" s="24" t="s">
        <v>8108</v>
      </c>
      <c r="C177" s="25">
        <v>28.6298657132545</v>
      </c>
      <c r="D177" s="25">
        <v>77.1769140656432</v>
      </c>
    </row>
    <row r="178">
      <c r="A178" s="22" t="s">
        <v>8165</v>
      </c>
      <c r="B178" s="22" t="s">
        <v>8011</v>
      </c>
      <c r="C178" s="23">
        <v>49.1064556573525</v>
      </c>
      <c r="D178" s="23">
        <v>7.07085164977362</v>
      </c>
    </row>
    <row r="179">
      <c r="A179" s="24" t="s">
        <v>8166</v>
      </c>
      <c r="B179" s="24" t="s">
        <v>8001</v>
      </c>
      <c r="C179" s="25">
        <v>0.0</v>
      </c>
      <c r="D179" s="25">
        <v>0.0</v>
      </c>
    </row>
    <row r="180">
      <c r="A180" s="22" t="s">
        <v>8167</v>
      </c>
      <c r="B180" s="22" t="s">
        <v>8003</v>
      </c>
      <c r="C180" s="23">
        <v>0.0</v>
      </c>
      <c r="D180" s="23">
        <v>0.0</v>
      </c>
    </row>
    <row r="181">
      <c r="A181" s="24" t="s">
        <v>8168</v>
      </c>
      <c r="B181" s="24" t="s">
        <v>8169</v>
      </c>
      <c r="C181" s="25">
        <v>34.0090636029905</v>
      </c>
      <c r="D181" s="25">
        <v>35.702567413094</v>
      </c>
    </row>
    <row r="182">
      <c r="A182" s="22" t="s">
        <v>8170</v>
      </c>
      <c r="B182" s="22" t="s">
        <v>8011</v>
      </c>
      <c r="C182" s="23">
        <v>45.1919953438537</v>
      </c>
      <c r="D182" s="23">
        <v>5.74991692516054</v>
      </c>
    </row>
    <row r="183">
      <c r="A183" s="24" t="s">
        <v>8171</v>
      </c>
      <c r="B183" s="24" t="s">
        <v>7971</v>
      </c>
      <c r="C183" s="25">
        <v>58.3414030079865</v>
      </c>
      <c r="D183" s="25">
        <v>8.58059371799155</v>
      </c>
    </row>
    <row r="184">
      <c r="A184" s="22" t="s">
        <v>8172</v>
      </c>
      <c r="B184" s="22" t="s">
        <v>7987</v>
      </c>
      <c r="C184" s="23">
        <v>0.0</v>
      </c>
      <c r="D184" s="23">
        <v>0.0</v>
      </c>
    </row>
    <row r="185">
      <c r="A185" s="24" t="s">
        <v>8173</v>
      </c>
      <c r="B185" s="24" t="s">
        <v>7994</v>
      </c>
      <c r="C185" s="25">
        <v>55.6287123821618</v>
      </c>
      <c r="D185" s="25">
        <v>12.4476626089976</v>
      </c>
    </row>
    <row r="186">
      <c r="A186" s="22" t="s">
        <v>8174</v>
      </c>
      <c r="B186" s="22" t="s">
        <v>8117</v>
      </c>
      <c r="C186" s="23">
        <v>41.373416878096</v>
      </c>
      <c r="D186" s="23">
        <v>23.4419511219338</v>
      </c>
    </row>
    <row r="187">
      <c r="A187" s="24" t="s">
        <v>8175</v>
      </c>
      <c r="B187" s="24" t="s">
        <v>7977</v>
      </c>
      <c r="C187" s="25">
        <v>0.0</v>
      </c>
      <c r="D187" s="25">
        <v>0.0</v>
      </c>
    </row>
    <row r="188">
      <c r="A188" s="22" t="s">
        <v>8176</v>
      </c>
      <c r="B188" s="22" t="s">
        <v>8177</v>
      </c>
      <c r="C188" s="23">
        <v>23.7</v>
      </c>
      <c r="D188" s="23">
        <v>-9.22</v>
      </c>
    </row>
    <row r="189">
      <c r="A189" s="24" t="s">
        <v>8178</v>
      </c>
      <c r="B189" s="24" t="s">
        <v>8087</v>
      </c>
      <c r="C189" s="25">
        <v>51.2409143652648</v>
      </c>
      <c r="D189" s="25">
        <v>4.4078311706411</v>
      </c>
    </row>
    <row r="190">
      <c r="A190" s="22" t="s">
        <v>8179</v>
      </c>
      <c r="B190" s="22" t="s">
        <v>7994</v>
      </c>
      <c r="C190" s="23">
        <v>55.8209367581636</v>
      </c>
      <c r="D190" s="23">
        <v>12.5403704877297</v>
      </c>
    </row>
    <row r="191">
      <c r="A191" s="24" t="s">
        <v>8180</v>
      </c>
      <c r="B191" s="24" t="s">
        <v>7994</v>
      </c>
      <c r="C191" s="25">
        <v>0.0</v>
      </c>
      <c r="D191" s="25">
        <v>0.0</v>
      </c>
    </row>
    <row r="192">
      <c r="A192" s="22" t="s">
        <v>8181</v>
      </c>
      <c r="B192" s="22" t="s">
        <v>7994</v>
      </c>
      <c r="C192" s="23">
        <v>0.0</v>
      </c>
      <c r="D192" s="23">
        <v>0.0</v>
      </c>
    </row>
    <row r="193">
      <c r="A193" s="24" t="s">
        <v>8182</v>
      </c>
      <c r="B193" s="24" t="s">
        <v>7994</v>
      </c>
      <c r="C193" s="25">
        <v>0.0</v>
      </c>
      <c r="D193" s="25">
        <v>0.0</v>
      </c>
    </row>
    <row r="194">
      <c r="A194" s="22" t="s">
        <v>8183</v>
      </c>
      <c r="B194" s="22" t="s">
        <v>7977</v>
      </c>
      <c r="C194" s="23">
        <v>38.6720671761843</v>
      </c>
      <c r="D194" s="23">
        <v>-4.0530512629734</v>
      </c>
    </row>
    <row r="195">
      <c r="A195" s="24" t="s">
        <v>8184</v>
      </c>
      <c r="B195" s="24" t="s">
        <v>8087</v>
      </c>
      <c r="C195" s="25">
        <v>51.3223317850662</v>
      </c>
      <c r="D195" s="25">
        <v>3.20870467310706</v>
      </c>
    </row>
    <row r="196">
      <c r="A196" s="22" t="s">
        <v>8185</v>
      </c>
      <c r="B196" s="22" t="s">
        <v>8087</v>
      </c>
      <c r="C196" s="23">
        <v>51.3223317850662</v>
      </c>
      <c r="D196" s="23">
        <v>3.20870467310706</v>
      </c>
    </row>
    <row r="197">
      <c r="A197" s="24" t="s">
        <v>8186</v>
      </c>
      <c r="B197" s="24" t="s">
        <v>8087</v>
      </c>
      <c r="C197" s="25">
        <v>50.4711453561847</v>
      </c>
      <c r="D197" s="25">
        <v>4.45872354276505</v>
      </c>
    </row>
    <row r="198">
      <c r="A198" s="22" t="s">
        <v>8187</v>
      </c>
      <c r="B198" s="22" t="s">
        <v>7994</v>
      </c>
      <c r="C198" s="23">
        <v>55.6759871279749</v>
      </c>
      <c r="D198" s="23">
        <v>12.5703295648344</v>
      </c>
    </row>
    <row r="199">
      <c r="A199" s="24" t="s">
        <v>8188</v>
      </c>
      <c r="B199" s="24" t="s">
        <v>7967</v>
      </c>
      <c r="C199" s="25">
        <v>53.1028443</v>
      </c>
      <c r="D199" s="25">
        <v>6.8694863</v>
      </c>
    </row>
    <row r="200">
      <c r="A200" s="22" t="s">
        <v>222</v>
      </c>
      <c r="B200" s="22" t="s">
        <v>7971</v>
      </c>
      <c r="C200" s="23">
        <v>70.7651749470771</v>
      </c>
      <c r="D200" s="23">
        <v>29.083687261382</v>
      </c>
    </row>
    <row r="201">
      <c r="A201" s="24" t="s">
        <v>8189</v>
      </c>
      <c r="B201" s="24" t="s">
        <v>7994</v>
      </c>
      <c r="C201" s="25">
        <v>0.0</v>
      </c>
      <c r="D201" s="25">
        <v>0.0</v>
      </c>
    </row>
    <row r="202">
      <c r="A202" s="22" t="s">
        <v>8190</v>
      </c>
      <c r="B202" s="22" t="s">
        <v>7994</v>
      </c>
      <c r="C202" s="23">
        <v>0.0</v>
      </c>
      <c r="D202" s="23">
        <v>0.0</v>
      </c>
    </row>
    <row r="203">
      <c r="A203" s="24" t="s">
        <v>8191</v>
      </c>
      <c r="B203" s="24" t="s">
        <v>7994</v>
      </c>
      <c r="C203" s="25">
        <v>0.0</v>
      </c>
      <c r="D203" s="25">
        <v>0.0</v>
      </c>
    </row>
    <row r="204">
      <c r="A204" s="22" t="s">
        <v>8192</v>
      </c>
      <c r="B204" s="22" t="s">
        <v>7994</v>
      </c>
      <c r="C204" s="23">
        <v>0.0</v>
      </c>
      <c r="D204" s="23">
        <v>0.0</v>
      </c>
    </row>
    <row r="205">
      <c r="A205" s="24" t="s">
        <v>8193</v>
      </c>
      <c r="B205" s="24" t="s">
        <v>7994</v>
      </c>
      <c r="C205" s="25">
        <v>0.0</v>
      </c>
      <c r="D205" s="25">
        <v>0.0</v>
      </c>
    </row>
    <row r="206">
      <c r="A206" s="22" t="s">
        <v>8194</v>
      </c>
      <c r="B206" s="22" t="s">
        <v>7994</v>
      </c>
      <c r="C206" s="23">
        <v>0.0</v>
      </c>
      <c r="D206" s="23">
        <v>0.0</v>
      </c>
    </row>
    <row r="207">
      <c r="A207" s="24" t="s">
        <v>8195</v>
      </c>
      <c r="B207" s="24" t="s">
        <v>7994</v>
      </c>
      <c r="C207" s="25">
        <v>0.0</v>
      </c>
      <c r="D207" s="25">
        <v>0.0</v>
      </c>
    </row>
    <row r="208">
      <c r="A208" s="22" t="s">
        <v>8196</v>
      </c>
      <c r="B208" s="22" t="s">
        <v>7994</v>
      </c>
      <c r="C208" s="23">
        <v>0.0</v>
      </c>
      <c r="D208" s="23">
        <v>0.0</v>
      </c>
    </row>
    <row r="209">
      <c r="A209" s="24" t="s">
        <v>8197</v>
      </c>
      <c r="B209" s="24" t="s">
        <v>7994</v>
      </c>
      <c r="C209" s="25">
        <v>0.0</v>
      </c>
      <c r="D209" s="25">
        <v>0.0</v>
      </c>
    </row>
    <row r="210">
      <c r="A210" s="22" t="s">
        <v>8198</v>
      </c>
      <c r="B210" s="22" t="s">
        <v>7994</v>
      </c>
      <c r="C210" s="23">
        <v>0.0</v>
      </c>
      <c r="D210" s="23">
        <v>0.0</v>
      </c>
    </row>
    <row r="211">
      <c r="A211" s="24" t="s">
        <v>8199</v>
      </c>
      <c r="B211" s="24" t="s">
        <v>7994</v>
      </c>
      <c r="C211" s="25">
        <v>55.6255437</v>
      </c>
      <c r="D211" s="25">
        <v>12.4550501</v>
      </c>
    </row>
    <row r="212">
      <c r="A212" s="22" t="s">
        <v>8200</v>
      </c>
      <c r="B212" s="22" t="s">
        <v>7994</v>
      </c>
      <c r="C212" s="23">
        <v>0.0</v>
      </c>
      <c r="D212" s="23">
        <v>0.0</v>
      </c>
    </row>
    <row r="213">
      <c r="A213" s="24" t="s">
        <v>8201</v>
      </c>
      <c r="B213" s="24" t="s">
        <v>7994</v>
      </c>
      <c r="C213" s="25">
        <v>55.4768385331629</v>
      </c>
      <c r="D213" s="25">
        <v>8.46209640920263</v>
      </c>
    </row>
    <row r="214">
      <c r="A214" s="22" t="s">
        <v>8202</v>
      </c>
      <c r="B214" s="22" t="s">
        <v>7994</v>
      </c>
      <c r="C214" s="23">
        <v>0.0</v>
      </c>
      <c r="D214" s="23">
        <v>0.0</v>
      </c>
    </row>
    <row r="215">
      <c r="A215" s="24" t="s">
        <v>8203</v>
      </c>
      <c r="B215" s="24" t="s">
        <v>7994</v>
      </c>
      <c r="C215" s="25">
        <v>56.1722054111664</v>
      </c>
      <c r="D215" s="25">
        <v>10.1571506035716</v>
      </c>
    </row>
    <row r="216">
      <c r="A216" s="22" t="s">
        <v>8204</v>
      </c>
      <c r="B216" s="22" t="s">
        <v>7994</v>
      </c>
      <c r="C216" s="23">
        <v>0.0</v>
      </c>
      <c r="D216" s="23">
        <v>0.0</v>
      </c>
    </row>
    <row r="217">
      <c r="A217" s="24" t="s">
        <v>8205</v>
      </c>
      <c r="B217" s="24" t="s">
        <v>7971</v>
      </c>
      <c r="C217" s="25">
        <v>0.0</v>
      </c>
      <c r="D217" s="25">
        <v>0.0</v>
      </c>
    </row>
    <row r="218">
      <c r="A218" s="22" t="s">
        <v>8206</v>
      </c>
      <c r="B218" s="22" t="s">
        <v>7971</v>
      </c>
      <c r="C218" s="23">
        <v>0.0</v>
      </c>
      <c r="D218" s="23">
        <v>0.0</v>
      </c>
    </row>
    <row r="219">
      <c r="A219" s="24" t="s">
        <v>8207</v>
      </c>
      <c r="B219" s="24" t="s">
        <v>7971</v>
      </c>
      <c r="C219" s="25">
        <v>0.0</v>
      </c>
      <c r="D219" s="25">
        <v>0.0</v>
      </c>
    </row>
    <row r="220">
      <c r="A220" s="22" t="s">
        <v>8208</v>
      </c>
      <c r="B220" s="22" t="s">
        <v>7971</v>
      </c>
      <c r="C220" s="23">
        <v>66.310371</v>
      </c>
      <c r="D220" s="23">
        <v>14.169271</v>
      </c>
    </row>
    <row r="221">
      <c r="A221" s="24" t="s">
        <v>8209</v>
      </c>
      <c r="B221" s="24" t="s">
        <v>7971</v>
      </c>
      <c r="C221" s="25">
        <v>0.0</v>
      </c>
      <c r="D221" s="25">
        <v>0.0</v>
      </c>
    </row>
    <row r="222">
      <c r="A222" s="22" t="s">
        <v>8210</v>
      </c>
      <c r="B222" s="22" t="s">
        <v>7991</v>
      </c>
      <c r="C222" s="23">
        <v>57.1791297504265</v>
      </c>
      <c r="D222" s="23">
        <v>-2.10165465605737</v>
      </c>
    </row>
    <row r="223">
      <c r="A223" s="24" t="s">
        <v>8211</v>
      </c>
      <c r="B223" s="24" t="s">
        <v>7971</v>
      </c>
      <c r="C223" s="25">
        <v>0.0</v>
      </c>
      <c r="D223" s="25">
        <v>0.0</v>
      </c>
    </row>
    <row r="224">
      <c r="A224" s="22" t="s">
        <v>8212</v>
      </c>
      <c r="B224" s="22" t="s">
        <v>7971</v>
      </c>
      <c r="C224" s="23">
        <v>59.1399087577647</v>
      </c>
      <c r="D224" s="23">
        <v>9.65477682192782</v>
      </c>
    </row>
    <row r="225">
      <c r="A225" s="24" t="s">
        <v>8213</v>
      </c>
      <c r="B225" s="24" t="s">
        <v>7991</v>
      </c>
      <c r="C225" s="25">
        <v>53.627311</v>
      </c>
      <c r="D225" s="25">
        <v>-0.241579</v>
      </c>
    </row>
    <row r="226">
      <c r="A226" s="22" t="s">
        <v>8214</v>
      </c>
      <c r="B226" s="22" t="s">
        <v>7991</v>
      </c>
      <c r="C226" s="23">
        <v>0.0</v>
      </c>
      <c r="D226" s="23">
        <v>0.0</v>
      </c>
    </row>
    <row r="227">
      <c r="A227" s="24" t="s">
        <v>8215</v>
      </c>
      <c r="B227" s="24" t="s">
        <v>7991</v>
      </c>
      <c r="C227" s="25">
        <v>0.0</v>
      </c>
      <c r="D227" s="25">
        <v>0.0</v>
      </c>
    </row>
    <row r="228">
      <c r="A228" s="22" t="s">
        <v>8216</v>
      </c>
      <c r="B228" s="22" t="s">
        <v>7991</v>
      </c>
      <c r="C228" s="23">
        <v>0.0</v>
      </c>
      <c r="D228" s="23">
        <v>0.0</v>
      </c>
    </row>
    <row r="229">
      <c r="A229" s="24" t="s">
        <v>8217</v>
      </c>
      <c r="B229" s="24" t="s">
        <v>7991</v>
      </c>
      <c r="C229" s="25">
        <v>57.1605931776635</v>
      </c>
      <c r="D229" s="25">
        <v>-2.11435923358071</v>
      </c>
    </row>
    <row r="230">
      <c r="A230" s="22" t="s">
        <v>8218</v>
      </c>
      <c r="B230" s="22" t="s">
        <v>7991</v>
      </c>
      <c r="C230" s="23">
        <v>56.1769692520123</v>
      </c>
      <c r="D230" s="23">
        <v>-3.01742926288249</v>
      </c>
    </row>
    <row r="231">
      <c r="A231" s="24" t="s">
        <v>8219</v>
      </c>
      <c r="B231" s="24" t="s">
        <v>7991</v>
      </c>
      <c r="C231" s="25">
        <v>0.0</v>
      </c>
      <c r="D231" s="25">
        <v>0.0</v>
      </c>
    </row>
    <row r="232">
      <c r="A232" s="22" t="s">
        <v>8220</v>
      </c>
      <c r="B232" s="22" t="s">
        <v>7991</v>
      </c>
      <c r="C232" s="23">
        <v>52.4624162755625</v>
      </c>
      <c r="D232" s="23">
        <v>-1.8405931</v>
      </c>
    </row>
    <row r="233">
      <c r="A233" s="24" t="s">
        <v>8221</v>
      </c>
      <c r="B233" s="24" t="s">
        <v>7991</v>
      </c>
      <c r="C233" s="25">
        <v>53.743618917531</v>
      </c>
      <c r="D233" s="25">
        <v>-0.249534750460349</v>
      </c>
    </row>
    <row r="234">
      <c r="A234" s="22" t="s">
        <v>8222</v>
      </c>
      <c r="B234" s="22" t="s">
        <v>7994</v>
      </c>
      <c r="C234" s="23">
        <v>55.6759871279749</v>
      </c>
      <c r="D234" s="23">
        <v>12.5703295648344</v>
      </c>
    </row>
    <row r="235">
      <c r="A235" s="24" t="s">
        <v>8223</v>
      </c>
      <c r="B235" s="24" t="s">
        <v>7994</v>
      </c>
      <c r="C235" s="25">
        <v>55.6759871279749</v>
      </c>
      <c r="D235" s="25">
        <v>12.5703295648344</v>
      </c>
    </row>
    <row r="236">
      <c r="A236" s="22" t="s">
        <v>8224</v>
      </c>
      <c r="B236" s="22" t="s">
        <v>7991</v>
      </c>
      <c r="C236" s="23">
        <v>55.7124915558958</v>
      </c>
      <c r="D236" s="23">
        <v>-4.34173242427328</v>
      </c>
    </row>
    <row r="237">
      <c r="A237" s="24" t="s">
        <v>8225</v>
      </c>
      <c r="B237" s="24" t="s">
        <v>7981</v>
      </c>
      <c r="C237" s="25">
        <v>30.0989819627013</v>
      </c>
      <c r="D237" s="25">
        <v>-90.9545251386236</v>
      </c>
    </row>
    <row r="238">
      <c r="A238" s="22" t="s">
        <v>8226</v>
      </c>
      <c r="B238" s="22" t="s">
        <v>7981</v>
      </c>
      <c r="C238" s="23">
        <v>34.0639689217403</v>
      </c>
      <c r="D238" s="23">
        <v>-117.645002442049</v>
      </c>
    </row>
    <row r="239">
      <c r="A239" s="24" t="s">
        <v>8227</v>
      </c>
      <c r="B239" s="24" t="s">
        <v>7987</v>
      </c>
      <c r="C239" s="25">
        <v>54.1903872939082</v>
      </c>
      <c r="D239" s="25">
        <v>9.10862940059004</v>
      </c>
    </row>
    <row r="240">
      <c r="A240" s="22" t="s">
        <v>8228</v>
      </c>
      <c r="B240" s="22" t="s">
        <v>7987</v>
      </c>
      <c r="C240" s="23">
        <v>52.4825565137023</v>
      </c>
      <c r="D240" s="23">
        <v>7.29966781182499</v>
      </c>
    </row>
    <row r="241">
      <c r="A241" s="24" t="s">
        <v>8229</v>
      </c>
      <c r="B241" s="24" t="s">
        <v>7987</v>
      </c>
      <c r="C241" s="25">
        <v>0.0</v>
      </c>
      <c r="D241" s="25">
        <v>0.0</v>
      </c>
    </row>
    <row r="242">
      <c r="A242" s="22" t="s">
        <v>8230</v>
      </c>
      <c r="B242" s="22" t="s">
        <v>7991</v>
      </c>
      <c r="C242" s="23">
        <v>54.9745554419954</v>
      </c>
      <c r="D242" s="23">
        <v>-6.4300041</v>
      </c>
    </row>
    <row r="243">
      <c r="A243" s="24" t="s">
        <v>8231</v>
      </c>
      <c r="B243" s="24" t="s">
        <v>8021</v>
      </c>
      <c r="C243" s="25">
        <v>-32.9616985615211</v>
      </c>
      <c r="D243" s="25">
        <v>137.767826938278</v>
      </c>
    </row>
    <row r="244">
      <c r="A244" s="22" t="s">
        <v>8232</v>
      </c>
      <c r="B244" s="22" t="s">
        <v>8087</v>
      </c>
      <c r="C244" s="23">
        <v>51.0409778907728</v>
      </c>
      <c r="D244" s="23">
        <v>3.84433114911818</v>
      </c>
    </row>
    <row r="245">
      <c r="A245" s="24" t="s">
        <v>8233</v>
      </c>
      <c r="B245" s="24" t="s">
        <v>7991</v>
      </c>
      <c r="C245" s="25">
        <v>0.0</v>
      </c>
      <c r="D245" s="25">
        <v>0.0</v>
      </c>
    </row>
    <row r="246">
      <c r="A246" s="22" t="s">
        <v>8234</v>
      </c>
      <c r="B246" s="22" t="s">
        <v>8021</v>
      </c>
      <c r="C246" s="23">
        <v>-20.317253</v>
      </c>
      <c r="D246" s="23">
        <v>121.042081</v>
      </c>
    </row>
    <row r="247">
      <c r="A247" s="24" t="s">
        <v>8235</v>
      </c>
      <c r="B247" s="24" t="s">
        <v>8047</v>
      </c>
      <c r="C247" s="25">
        <v>0.0</v>
      </c>
      <c r="D247" s="25">
        <v>0.0</v>
      </c>
    </row>
    <row r="248">
      <c r="A248" s="22" t="s">
        <v>8236</v>
      </c>
      <c r="B248" s="27" t="s">
        <v>8237</v>
      </c>
      <c r="C248" s="23">
        <v>0.0</v>
      </c>
      <c r="D248" s="23">
        <v>0.0</v>
      </c>
    </row>
    <row r="249">
      <c r="A249" s="24" t="s">
        <v>8238</v>
      </c>
      <c r="B249" s="24" t="s">
        <v>8021</v>
      </c>
      <c r="C249" s="25">
        <v>-26.871998346424</v>
      </c>
      <c r="D249" s="25">
        <v>115.979931834253</v>
      </c>
    </row>
    <row r="250">
      <c r="A250" s="22" t="s">
        <v>8239</v>
      </c>
      <c r="B250" s="22" t="s">
        <v>8240</v>
      </c>
      <c r="C250" s="23">
        <v>28.3059081292703</v>
      </c>
      <c r="D250" s="23">
        <v>34.8492849222152</v>
      </c>
    </row>
    <row r="251">
      <c r="A251" s="24" t="s">
        <v>8241</v>
      </c>
      <c r="B251" s="28" t="s">
        <v>8242</v>
      </c>
      <c r="C251" s="25">
        <v>0.0</v>
      </c>
      <c r="D251" s="25">
        <v>0.0</v>
      </c>
    </row>
    <row r="252">
      <c r="A252" s="22" t="s">
        <v>8243</v>
      </c>
      <c r="B252" s="22" t="s">
        <v>8021</v>
      </c>
      <c r="C252" s="23">
        <v>-28.7686023368381</v>
      </c>
      <c r="D252" s="23">
        <v>114.61199847754</v>
      </c>
    </row>
    <row r="253">
      <c r="A253" s="24" t="s">
        <v>8244</v>
      </c>
      <c r="B253" s="28" t="s">
        <v>8245</v>
      </c>
      <c r="C253" s="25">
        <v>0.0</v>
      </c>
      <c r="D253" s="25">
        <v>0.0</v>
      </c>
    </row>
    <row r="254">
      <c r="A254" s="22" t="s">
        <v>8246</v>
      </c>
      <c r="B254" s="27" t="s">
        <v>8021</v>
      </c>
      <c r="C254" s="23">
        <v>0.0</v>
      </c>
      <c r="D254" s="23">
        <v>0.0</v>
      </c>
    </row>
    <row r="255">
      <c r="A255" s="24" t="s">
        <v>8247</v>
      </c>
      <c r="B255" s="28" t="s">
        <v>8071</v>
      </c>
      <c r="C255" s="25">
        <v>-23.0953027437655</v>
      </c>
      <c r="D255" s="25">
        <v>-70.4331803013545</v>
      </c>
    </row>
    <row r="256">
      <c r="A256" s="22" t="s">
        <v>8248</v>
      </c>
      <c r="B256" s="27" t="s">
        <v>8071</v>
      </c>
      <c r="C256" s="23">
        <v>-23.0953027437655</v>
      </c>
      <c r="D256" s="23">
        <v>-70.4331803013545</v>
      </c>
    </row>
    <row r="257">
      <c r="A257" s="24" t="s">
        <v>8068</v>
      </c>
      <c r="B257" s="28" t="s">
        <v>8069</v>
      </c>
      <c r="C257" s="25">
        <v>10.4210978412384</v>
      </c>
      <c r="D257" s="25">
        <v>-85.4209688633961</v>
      </c>
    </row>
    <row r="258">
      <c r="A258" s="22" t="s">
        <v>8249</v>
      </c>
      <c r="B258" s="27" t="s">
        <v>7967</v>
      </c>
      <c r="C258" s="23">
        <v>53.4173183608964</v>
      </c>
      <c r="D258" s="23">
        <v>6.45003544898209</v>
      </c>
    </row>
    <row r="259">
      <c r="A259" s="24" t="s">
        <v>8250</v>
      </c>
      <c r="B259" s="28" t="s">
        <v>7967</v>
      </c>
      <c r="C259" s="25">
        <v>53.4173183608964</v>
      </c>
      <c r="D259" s="25">
        <v>6.45003544898209</v>
      </c>
    </row>
    <row r="260">
      <c r="A260" s="22" t="s">
        <v>8251</v>
      </c>
      <c r="B260" s="27" t="s">
        <v>8011</v>
      </c>
      <c r="C260" s="23">
        <v>43.8362335994639</v>
      </c>
      <c r="D260" s="23">
        <v>5.7834161152823</v>
      </c>
    </row>
    <row r="261">
      <c r="A261" s="24" t="s">
        <v>8252</v>
      </c>
      <c r="B261" s="28" t="s">
        <v>8003</v>
      </c>
      <c r="C261" s="25">
        <v>55.1261993747568</v>
      </c>
      <c r="D261" s="25">
        <v>-120.989763688201</v>
      </c>
    </row>
    <row r="262">
      <c r="A262" s="22" t="s">
        <v>8253</v>
      </c>
      <c r="B262" s="27" t="s">
        <v>7967</v>
      </c>
      <c r="C262" s="23">
        <v>51.9390689092845</v>
      </c>
      <c r="D262" s="23">
        <v>4.11009238416525</v>
      </c>
    </row>
    <row r="263">
      <c r="A263" s="24" t="s">
        <v>8254</v>
      </c>
      <c r="B263" s="24" t="s">
        <v>7977</v>
      </c>
      <c r="C263" s="25">
        <v>41.5351238477826</v>
      </c>
      <c r="D263" s="25">
        <v>-0.891003207720106</v>
      </c>
    </row>
    <row r="264">
      <c r="A264" s="22" t="s">
        <v>8255</v>
      </c>
      <c r="B264" s="22" t="s">
        <v>8001</v>
      </c>
      <c r="C264" s="23">
        <v>38.4925329030854</v>
      </c>
      <c r="D264" s="23">
        <v>106.23846956603</v>
      </c>
    </row>
    <row r="265">
      <c r="A265" s="24" t="s">
        <v>8256</v>
      </c>
      <c r="B265" s="24" t="s">
        <v>8021</v>
      </c>
      <c r="C265" s="25">
        <v>-22.0115481230646</v>
      </c>
      <c r="D265" s="25">
        <v>148.014037766604</v>
      </c>
    </row>
    <row r="266">
      <c r="A266" s="22" t="s">
        <v>8257</v>
      </c>
      <c r="B266" s="22" t="s">
        <v>7977</v>
      </c>
      <c r="C266" s="23">
        <v>43.21358</v>
      </c>
      <c r="D266" s="23">
        <v>-2.570276</v>
      </c>
    </row>
    <row r="267">
      <c r="A267" s="24" t="s">
        <v>8258</v>
      </c>
      <c r="B267" s="24" t="s">
        <v>7977</v>
      </c>
      <c r="C267" s="25">
        <v>42.7923563479284</v>
      </c>
      <c r="D267" s="25">
        <v>-5.63379294136779</v>
      </c>
    </row>
    <row r="268">
      <c r="A268" s="22" t="s">
        <v>8259</v>
      </c>
      <c r="B268" s="22" t="s">
        <v>7977</v>
      </c>
      <c r="C268" s="23">
        <v>41.3136662141263</v>
      </c>
      <c r="D268" s="23">
        <v>-0.928434670770528</v>
      </c>
    </row>
    <row r="269">
      <c r="A269" s="24" t="s">
        <v>8260</v>
      </c>
      <c r="B269" s="24" t="s">
        <v>7967</v>
      </c>
      <c r="C269" s="25">
        <v>53.4391204300336</v>
      </c>
      <c r="D269" s="25">
        <v>6.83653040082158</v>
      </c>
    </row>
    <row r="270">
      <c r="A270" s="22" t="s">
        <v>8261</v>
      </c>
      <c r="B270" s="22" t="s">
        <v>8021</v>
      </c>
      <c r="C270" s="23">
        <v>-24.5067188784556</v>
      </c>
      <c r="D270" s="23">
        <v>149.974438504567</v>
      </c>
    </row>
    <row r="271">
      <c r="A271" s="24" t="s">
        <v>8262</v>
      </c>
      <c r="B271" s="24" t="s">
        <v>7967</v>
      </c>
      <c r="C271" s="25">
        <v>52.3661016838894</v>
      </c>
      <c r="D271" s="25">
        <v>5.03477403347359</v>
      </c>
    </row>
    <row r="272">
      <c r="A272" s="22" t="s">
        <v>8263</v>
      </c>
      <c r="B272" s="22" t="s">
        <v>8001</v>
      </c>
      <c r="C272" s="23">
        <v>36.8664904092675</v>
      </c>
      <c r="D272" s="23">
        <v>119.208905036104</v>
      </c>
    </row>
    <row r="273">
      <c r="A273" s="24" t="s">
        <v>8264</v>
      </c>
      <c r="B273" s="24" t="s">
        <v>7967</v>
      </c>
      <c r="C273" s="25">
        <v>51.376054</v>
      </c>
      <c r="D273" s="25">
        <v>5.461407</v>
      </c>
    </row>
    <row r="274">
      <c r="A274" s="22" t="s">
        <v>8265</v>
      </c>
      <c r="B274" s="22" t="s">
        <v>8011</v>
      </c>
      <c r="C274" s="23">
        <v>46.9363159229428</v>
      </c>
      <c r="D274" s="23">
        <v>-2.06992707672759</v>
      </c>
    </row>
    <row r="275">
      <c r="A275" s="24" t="s">
        <v>8266</v>
      </c>
      <c r="B275" s="24" t="s">
        <v>8011</v>
      </c>
      <c r="C275" s="25">
        <v>47.6585099871112</v>
      </c>
      <c r="D275" s="25">
        <v>-2.76374994701691</v>
      </c>
    </row>
    <row r="276">
      <c r="A276" s="22" t="s">
        <v>8267</v>
      </c>
      <c r="B276" s="22" t="s">
        <v>8117</v>
      </c>
      <c r="C276" s="23">
        <v>0.0</v>
      </c>
      <c r="D276" s="23">
        <v>0.0</v>
      </c>
    </row>
    <row r="277">
      <c r="A277" s="24" t="s">
        <v>8268</v>
      </c>
      <c r="B277" s="24" t="s">
        <v>7977</v>
      </c>
      <c r="C277" s="25">
        <v>43.457355</v>
      </c>
      <c r="D277" s="25">
        <v>-7.947904</v>
      </c>
    </row>
    <row r="278">
      <c r="A278" s="22" t="s">
        <v>8269</v>
      </c>
      <c r="B278" s="22" t="s">
        <v>7977</v>
      </c>
      <c r="C278" s="23">
        <v>0.0</v>
      </c>
      <c r="D278" s="23">
        <v>0.0</v>
      </c>
    </row>
    <row r="279">
      <c r="A279" s="24" t="s">
        <v>8270</v>
      </c>
      <c r="B279" s="24" t="s">
        <v>8161</v>
      </c>
      <c r="C279" s="25">
        <v>0.0</v>
      </c>
      <c r="D279" s="25">
        <v>0.0</v>
      </c>
    </row>
    <row r="280">
      <c r="A280" s="22" t="s">
        <v>8271</v>
      </c>
      <c r="B280" s="22" t="s">
        <v>8161</v>
      </c>
      <c r="C280" s="23">
        <v>41.0677111323881</v>
      </c>
      <c r="D280" s="23">
        <v>-8.45970034603064</v>
      </c>
    </row>
    <row r="281">
      <c r="A281" s="24" t="s">
        <v>8272</v>
      </c>
      <c r="B281" s="24" t="s">
        <v>7987</v>
      </c>
      <c r="C281" s="25">
        <v>52.5586047735969</v>
      </c>
      <c r="D281" s="25">
        <v>7.31019332083824</v>
      </c>
    </row>
    <row r="282">
      <c r="A282" s="22" t="s">
        <v>8273</v>
      </c>
      <c r="B282" s="22" t="s">
        <v>7987</v>
      </c>
      <c r="C282" s="23">
        <v>50.0422587263487</v>
      </c>
      <c r="D282" s="23">
        <v>12.0304269338039</v>
      </c>
    </row>
    <row r="283">
      <c r="A283" s="24" t="s">
        <v>8274</v>
      </c>
      <c r="B283" s="24" t="s">
        <v>7987</v>
      </c>
      <c r="C283" s="25">
        <v>50.0422587263487</v>
      </c>
      <c r="D283" s="25">
        <v>12.0304269338039</v>
      </c>
    </row>
    <row r="284">
      <c r="A284" s="22" t="s">
        <v>8024</v>
      </c>
      <c r="B284" s="22" t="s">
        <v>7983</v>
      </c>
      <c r="C284" s="23">
        <v>0.0</v>
      </c>
      <c r="D284" s="23">
        <v>0.0</v>
      </c>
    </row>
    <row r="285">
      <c r="A285" s="24" t="s">
        <v>8275</v>
      </c>
      <c r="B285" s="24" t="s">
        <v>8276</v>
      </c>
      <c r="C285" s="25">
        <v>0.0</v>
      </c>
      <c r="D285" s="25">
        <v>0.0</v>
      </c>
    </row>
    <row r="286">
      <c r="A286" s="22" t="s">
        <v>8127</v>
      </c>
      <c r="B286" s="22" t="s">
        <v>8128</v>
      </c>
      <c r="C286" s="23">
        <v>0.0</v>
      </c>
      <c r="D286" s="23">
        <v>0.0</v>
      </c>
    </row>
    <row r="287">
      <c r="A287" s="24" t="s">
        <v>8277</v>
      </c>
      <c r="B287" s="24" t="s">
        <v>7967</v>
      </c>
      <c r="C287" s="25">
        <v>0.0</v>
      </c>
      <c r="D287" s="25">
        <v>0.0</v>
      </c>
    </row>
    <row r="288">
      <c r="A288" s="22" t="s">
        <v>8278</v>
      </c>
      <c r="B288" s="22" t="s">
        <v>7967</v>
      </c>
      <c r="C288" s="23">
        <v>53.2010335431834</v>
      </c>
      <c r="D288" s="23">
        <v>5.80305457732903</v>
      </c>
    </row>
    <row r="289">
      <c r="A289" s="24" t="s">
        <v>8279</v>
      </c>
      <c r="B289" s="24" t="s">
        <v>7987</v>
      </c>
      <c r="C289" s="25">
        <v>0.0</v>
      </c>
      <c r="D289" s="25">
        <v>0.0</v>
      </c>
    </row>
    <row r="290">
      <c r="A290" s="22" t="s">
        <v>8280</v>
      </c>
      <c r="B290" s="22" t="s">
        <v>8147</v>
      </c>
      <c r="C290" s="23">
        <v>0.0</v>
      </c>
      <c r="D290" s="23">
        <v>0.0</v>
      </c>
    </row>
    <row r="291">
      <c r="A291" s="24" t="s">
        <v>8281</v>
      </c>
      <c r="B291" s="24" t="s">
        <v>8011</v>
      </c>
      <c r="C291" s="25">
        <v>0.0</v>
      </c>
      <c r="D291" s="25">
        <v>0.0</v>
      </c>
    </row>
    <row r="292">
      <c r="A292" s="22" t="s">
        <v>8030</v>
      </c>
      <c r="B292" s="22" t="s">
        <v>8031</v>
      </c>
      <c r="C292" s="23">
        <v>0.0</v>
      </c>
      <c r="D292" s="23">
        <v>0.0</v>
      </c>
    </row>
    <row r="293">
      <c r="A293" s="24" t="s">
        <v>8282</v>
      </c>
      <c r="B293" s="24" t="s">
        <v>7987</v>
      </c>
      <c r="C293" s="25">
        <v>0.0</v>
      </c>
      <c r="D293" s="25">
        <v>0.0</v>
      </c>
    </row>
    <row r="294">
      <c r="A294" s="22" t="s">
        <v>8283</v>
      </c>
      <c r="B294" s="22" t="s">
        <v>7987</v>
      </c>
      <c r="C294" s="23">
        <v>0.0</v>
      </c>
      <c r="D294" s="23">
        <v>0.0</v>
      </c>
    </row>
    <row r="295">
      <c r="A295" s="24" t="s">
        <v>8284</v>
      </c>
      <c r="B295" s="24" t="s">
        <v>7967</v>
      </c>
      <c r="C295" s="25">
        <v>51.9682055250336</v>
      </c>
      <c r="D295" s="25">
        <v>4.03482864545204</v>
      </c>
    </row>
    <row r="296">
      <c r="A296" s="22" t="s">
        <v>8034</v>
      </c>
      <c r="B296" s="22" t="s">
        <v>8031</v>
      </c>
      <c r="C296" s="23">
        <v>0.0</v>
      </c>
      <c r="D296" s="23">
        <v>0.0</v>
      </c>
    </row>
    <row r="297">
      <c r="A297" s="24" t="s">
        <v>8285</v>
      </c>
      <c r="B297" s="24" t="s">
        <v>7985</v>
      </c>
      <c r="C297" s="25">
        <v>0.0</v>
      </c>
      <c r="D297" s="25">
        <v>0.0</v>
      </c>
    </row>
    <row r="298">
      <c r="A298" s="22" t="s">
        <v>8286</v>
      </c>
      <c r="B298" s="22" t="s">
        <v>7987</v>
      </c>
      <c r="C298" s="23">
        <v>0.0</v>
      </c>
      <c r="D298" s="23">
        <v>0.0</v>
      </c>
    </row>
    <row r="299">
      <c r="A299" s="24" t="s">
        <v>8287</v>
      </c>
      <c r="B299" s="24" t="s">
        <v>7985</v>
      </c>
      <c r="C299" s="25">
        <v>47.401656925312</v>
      </c>
      <c r="D299" s="25">
        <v>8.3950919954658</v>
      </c>
    </row>
    <row r="300">
      <c r="A300" s="22" t="s">
        <v>8288</v>
      </c>
      <c r="B300" s="22" t="s">
        <v>8011</v>
      </c>
      <c r="C300" s="23">
        <v>41.9458987606152</v>
      </c>
      <c r="D300" s="23">
        <v>8.99292974403506</v>
      </c>
    </row>
    <row r="301">
      <c r="A301" s="24" t="s">
        <v>8289</v>
      </c>
      <c r="B301" s="24" t="s">
        <v>8021</v>
      </c>
      <c r="C301" s="25">
        <v>0.0</v>
      </c>
      <c r="D301" s="25">
        <v>0.0</v>
      </c>
    </row>
    <row r="302">
      <c r="A302" s="22" t="s">
        <v>8290</v>
      </c>
      <c r="B302" s="22" t="s">
        <v>7987</v>
      </c>
      <c r="C302" s="23">
        <v>0.0</v>
      </c>
      <c r="D302" s="23">
        <v>0.0</v>
      </c>
    </row>
    <row r="303">
      <c r="A303" s="24" t="s">
        <v>8291</v>
      </c>
      <c r="B303" s="24" t="s">
        <v>8011</v>
      </c>
      <c r="C303" s="25">
        <v>43.6294328943334</v>
      </c>
      <c r="D303" s="25">
        <v>1.36862613760141</v>
      </c>
    </row>
    <row r="304">
      <c r="A304" s="22" t="s">
        <v>8292</v>
      </c>
      <c r="B304" s="22" t="s">
        <v>8011</v>
      </c>
      <c r="C304" s="23">
        <v>0.0</v>
      </c>
      <c r="D304" s="23">
        <v>0.0</v>
      </c>
    </row>
    <row r="305">
      <c r="A305" s="24" t="s">
        <v>8293</v>
      </c>
      <c r="B305" s="24" t="s">
        <v>7987</v>
      </c>
      <c r="C305" s="25">
        <v>0.0</v>
      </c>
      <c r="D305" s="25">
        <v>0.0</v>
      </c>
    </row>
    <row r="306">
      <c r="A306" s="22" t="s">
        <v>8294</v>
      </c>
      <c r="B306" s="22" t="s">
        <v>7987</v>
      </c>
      <c r="C306" s="23">
        <v>0.0</v>
      </c>
      <c r="D306" s="23">
        <v>0.0</v>
      </c>
    </row>
    <row r="307">
      <c r="A307" s="24" t="s">
        <v>8295</v>
      </c>
      <c r="B307" s="24" t="s">
        <v>7987</v>
      </c>
      <c r="C307" s="25">
        <v>0.0</v>
      </c>
      <c r="D307" s="25">
        <v>0.0</v>
      </c>
    </row>
    <row r="308">
      <c r="A308" s="22" t="s">
        <v>8296</v>
      </c>
      <c r="B308" s="22" t="s">
        <v>7987</v>
      </c>
      <c r="C308" s="23">
        <v>0.0</v>
      </c>
      <c r="D308" s="23">
        <v>0.0</v>
      </c>
    </row>
    <row r="309">
      <c r="A309" s="24" t="s">
        <v>8297</v>
      </c>
      <c r="B309" s="24" t="s">
        <v>7967</v>
      </c>
      <c r="C309" s="25">
        <v>0.0</v>
      </c>
      <c r="D309" s="25">
        <v>0.0</v>
      </c>
    </row>
    <row r="310">
      <c r="A310" s="22" t="s">
        <v>8298</v>
      </c>
      <c r="B310" s="22" t="s">
        <v>8047</v>
      </c>
      <c r="C310" s="23">
        <v>0.0</v>
      </c>
      <c r="D310" s="23">
        <v>0.0</v>
      </c>
    </row>
    <row r="311">
      <c r="A311" s="24" t="s">
        <v>8299</v>
      </c>
      <c r="B311" s="24" t="s">
        <v>7999</v>
      </c>
      <c r="C311" s="25">
        <v>0.0</v>
      </c>
      <c r="D311" s="25">
        <v>0.0</v>
      </c>
    </row>
    <row r="312">
      <c r="A312" s="22" t="s">
        <v>8300</v>
      </c>
      <c r="B312" s="22" t="s">
        <v>7999</v>
      </c>
      <c r="C312" s="23">
        <v>0.0</v>
      </c>
      <c r="D312" s="23">
        <v>0.0</v>
      </c>
    </row>
    <row r="313">
      <c r="A313" s="24" t="s">
        <v>8301</v>
      </c>
      <c r="B313" s="24" t="s">
        <v>7987</v>
      </c>
      <c r="C313" s="25">
        <v>0.0</v>
      </c>
      <c r="D313" s="25">
        <v>0.0</v>
      </c>
    </row>
    <row r="314">
      <c r="A314" s="22" t="s">
        <v>8302</v>
      </c>
      <c r="B314" s="22" t="s">
        <v>7977</v>
      </c>
      <c r="C314" s="23">
        <v>0.0</v>
      </c>
      <c r="D314" s="23">
        <v>0.0</v>
      </c>
    </row>
    <row r="315">
      <c r="A315" s="24" t="s">
        <v>8303</v>
      </c>
      <c r="B315" s="24" t="s">
        <v>7987</v>
      </c>
      <c r="C315" s="25">
        <v>0.0</v>
      </c>
      <c r="D315" s="25">
        <v>0.0</v>
      </c>
    </row>
    <row r="316">
      <c r="A316" s="22" t="s">
        <v>8304</v>
      </c>
      <c r="B316" s="22" t="s">
        <v>7985</v>
      </c>
      <c r="C316" s="23">
        <v>0.0</v>
      </c>
      <c r="D316" s="23">
        <v>0.0</v>
      </c>
    </row>
    <row r="317">
      <c r="A317" s="24" t="s">
        <v>8305</v>
      </c>
      <c r="B317" s="24" t="s">
        <v>8011</v>
      </c>
      <c r="C317" s="25">
        <v>0.0</v>
      </c>
      <c r="D317" s="25">
        <v>0.0</v>
      </c>
    </row>
    <row r="318">
      <c r="A318" s="22" t="s">
        <v>8306</v>
      </c>
      <c r="B318" s="22" t="s">
        <v>7977</v>
      </c>
      <c r="C318" s="23">
        <v>43.3554575803452</v>
      </c>
      <c r="D318" s="23">
        <v>-7.81361675652434</v>
      </c>
    </row>
    <row r="319">
      <c r="A319" s="24" t="s">
        <v>8307</v>
      </c>
      <c r="B319" s="24" t="s">
        <v>7974</v>
      </c>
      <c r="C319" s="25">
        <v>0.0</v>
      </c>
      <c r="D319" s="25">
        <v>0.0</v>
      </c>
    </row>
    <row r="320">
      <c r="A320" s="22" t="s">
        <v>8308</v>
      </c>
      <c r="B320" s="22" t="s">
        <v>7967</v>
      </c>
      <c r="C320" s="23">
        <v>0.0</v>
      </c>
      <c r="D320" s="23">
        <v>0.0</v>
      </c>
    </row>
    <row r="321">
      <c r="A321" s="24" t="s">
        <v>8309</v>
      </c>
      <c r="B321" s="24" t="s">
        <v>7999</v>
      </c>
      <c r="C321" s="25">
        <v>0.0</v>
      </c>
      <c r="D321" s="25">
        <v>0.0</v>
      </c>
    </row>
    <row r="322">
      <c r="A322" s="22" t="s">
        <v>8310</v>
      </c>
      <c r="B322" s="22" t="s">
        <v>7981</v>
      </c>
      <c r="C322" s="23">
        <v>0.0</v>
      </c>
      <c r="D322" s="23">
        <v>0.0</v>
      </c>
    </row>
    <row r="323">
      <c r="A323" s="24" t="s">
        <v>8311</v>
      </c>
      <c r="B323" s="24" t="s">
        <v>7985</v>
      </c>
      <c r="C323" s="25">
        <v>0.0</v>
      </c>
      <c r="D323" s="25">
        <v>0.0</v>
      </c>
    </row>
    <row r="324">
      <c r="A324" s="22" t="s">
        <v>8312</v>
      </c>
      <c r="B324" s="22" t="s">
        <v>7987</v>
      </c>
      <c r="C324" s="23">
        <v>0.0</v>
      </c>
      <c r="D324" s="23">
        <v>0.0</v>
      </c>
    </row>
    <row r="325">
      <c r="A325" s="24" t="s">
        <v>8313</v>
      </c>
      <c r="B325" s="24" t="s">
        <v>7985</v>
      </c>
      <c r="C325" s="25">
        <v>0.0</v>
      </c>
      <c r="D325" s="25">
        <v>0.0</v>
      </c>
    </row>
    <row r="326">
      <c r="A326" s="22" t="s">
        <v>8314</v>
      </c>
      <c r="B326" s="22" t="s">
        <v>7987</v>
      </c>
      <c r="C326" s="23">
        <v>0.0</v>
      </c>
      <c r="D326" s="23">
        <v>0.0</v>
      </c>
    </row>
    <row r="327">
      <c r="A327" s="24" t="s">
        <v>8315</v>
      </c>
      <c r="B327" s="24" t="s">
        <v>8122</v>
      </c>
      <c r="C327" s="25">
        <v>64.7729646250496</v>
      </c>
      <c r="D327" s="25">
        <v>-15.5668137861369</v>
      </c>
    </row>
    <row r="328">
      <c r="A328" s="22" t="s">
        <v>8316</v>
      </c>
      <c r="B328" s="22" t="s">
        <v>7987</v>
      </c>
      <c r="C328" s="23">
        <v>0.0</v>
      </c>
      <c r="D328" s="23">
        <v>0.0</v>
      </c>
    </row>
    <row r="329">
      <c r="A329" s="24" t="s">
        <v>8317</v>
      </c>
      <c r="B329" s="24" t="s">
        <v>7983</v>
      </c>
      <c r="C329" s="25">
        <v>0.0</v>
      </c>
      <c r="D329" s="25">
        <v>0.0</v>
      </c>
    </row>
    <row r="330">
      <c r="A330" s="22" t="s">
        <v>8318</v>
      </c>
      <c r="B330" s="22" t="s">
        <v>7981</v>
      </c>
      <c r="C330" s="23">
        <v>0.0</v>
      </c>
      <c r="D330" s="23">
        <v>0.0</v>
      </c>
    </row>
    <row r="331">
      <c r="A331" s="24" t="s">
        <v>8319</v>
      </c>
      <c r="B331" s="24" t="s">
        <v>7987</v>
      </c>
      <c r="C331" s="25">
        <v>0.0</v>
      </c>
      <c r="D331" s="25">
        <v>0.0</v>
      </c>
    </row>
    <row r="332">
      <c r="A332" s="22" t="s">
        <v>8320</v>
      </c>
      <c r="B332" s="22" t="s">
        <v>7981</v>
      </c>
      <c r="C332" s="23">
        <v>0.0</v>
      </c>
      <c r="D332" s="23">
        <v>0.0</v>
      </c>
    </row>
    <row r="333">
      <c r="A333" s="24" t="s">
        <v>8321</v>
      </c>
      <c r="B333" s="24" t="s">
        <v>7983</v>
      </c>
      <c r="C333" s="25">
        <v>42.6348581607321</v>
      </c>
      <c r="D333" s="25">
        <v>141.61484675284</v>
      </c>
    </row>
    <row r="334">
      <c r="A334" s="22" t="s">
        <v>8322</v>
      </c>
      <c r="B334" s="22" t="s">
        <v>7987</v>
      </c>
      <c r="C334" s="23">
        <v>0.0</v>
      </c>
      <c r="D334" s="23">
        <v>0.0</v>
      </c>
    </row>
    <row r="335">
      <c r="A335" s="24" t="s">
        <v>8323</v>
      </c>
      <c r="B335" s="24" t="s">
        <v>7983</v>
      </c>
      <c r="C335" s="25">
        <v>0.0</v>
      </c>
      <c r="D335" s="25">
        <v>0.0</v>
      </c>
    </row>
    <row r="336">
      <c r="A336" s="22" t="s">
        <v>8324</v>
      </c>
      <c r="B336" s="22" t="s">
        <v>7983</v>
      </c>
      <c r="C336" s="23">
        <v>0.0</v>
      </c>
      <c r="D336" s="23">
        <v>0.0</v>
      </c>
    </row>
    <row r="337">
      <c r="A337" s="24" t="s">
        <v>8325</v>
      </c>
      <c r="B337" s="24" t="s">
        <v>8011</v>
      </c>
      <c r="C337" s="25">
        <v>0.0</v>
      </c>
      <c r="D337" s="25">
        <v>0.0</v>
      </c>
    </row>
    <row r="338">
      <c r="A338" s="22" t="s">
        <v>8326</v>
      </c>
      <c r="B338" s="22" t="s">
        <v>7977</v>
      </c>
      <c r="C338" s="23">
        <v>0.0</v>
      </c>
      <c r="D338" s="23">
        <v>0.0</v>
      </c>
    </row>
    <row r="339">
      <c r="A339" s="24" t="s">
        <v>8327</v>
      </c>
      <c r="B339" s="24" t="s">
        <v>7977</v>
      </c>
      <c r="C339" s="25">
        <v>0.0</v>
      </c>
      <c r="D339" s="25">
        <v>0.0</v>
      </c>
    </row>
    <row r="340">
      <c r="A340" s="22" t="s">
        <v>8328</v>
      </c>
      <c r="B340" s="22" t="s">
        <v>7987</v>
      </c>
      <c r="C340" s="23">
        <v>0.0</v>
      </c>
      <c r="D340" s="23">
        <v>0.0</v>
      </c>
    </row>
    <row r="341">
      <c r="A341" s="24" t="s">
        <v>8329</v>
      </c>
      <c r="B341" s="24" t="s">
        <v>8011</v>
      </c>
      <c r="C341" s="25">
        <v>43.4369698295325</v>
      </c>
      <c r="D341" s="25">
        <v>4.94778991120009</v>
      </c>
    </row>
    <row r="342">
      <c r="A342" s="22" t="s">
        <v>8330</v>
      </c>
      <c r="B342" s="22" t="s">
        <v>7981</v>
      </c>
      <c r="C342" s="23">
        <v>19.8624735305071</v>
      </c>
      <c r="D342" s="23">
        <v>-155.555978903399</v>
      </c>
    </row>
    <row r="343">
      <c r="A343" s="24" t="s">
        <v>8331</v>
      </c>
      <c r="B343" s="24" t="s">
        <v>8011</v>
      </c>
      <c r="C343" s="25">
        <v>43.6272103894524</v>
      </c>
      <c r="D343" s="25">
        <v>7.04592502000701</v>
      </c>
    </row>
    <row r="344">
      <c r="A344" s="22" t="s">
        <v>8332</v>
      </c>
      <c r="B344" s="22" t="s">
        <v>8047</v>
      </c>
      <c r="C344" s="23">
        <v>0.0</v>
      </c>
      <c r="D344" s="23">
        <v>0.0</v>
      </c>
    </row>
    <row r="345">
      <c r="A345" s="24" t="s">
        <v>8333</v>
      </c>
      <c r="B345" s="24" t="s">
        <v>7983</v>
      </c>
      <c r="C345" s="25">
        <v>0.0</v>
      </c>
      <c r="D345" s="25">
        <v>0.0</v>
      </c>
    </row>
    <row r="346">
      <c r="A346" s="22" t="s">
        <v>8334</v>
      </c>
      <c r="B346" s="22" t="s">
        <v>7977</v>
      </c>
      <c r="C346" s="23">
        <v>0.0</v>
      </c>
      <c r="D346" s="23">
        <v>0.0</v>
      </c>
    </row>
    <row r="347">
      <c r="A347" s="24" t="s">
        <v>351</v>
      </c>
      <c r="B347" s="24" t="s">
        <v>7967</v>
      </c>
      <c r="C347" s="25">
        <v>52.25</v>
      </c>
      <c r="D347" s="25">
        <v>4.0</v>
      </c>
    </row>
    <row r="348">
      <c r="A348" s="22" t="s">
        <v>8335</v>
      </c>
      <c r="B348" s="22" t="s">
        <v>7977</v>
      </c>
      <c r="C348" s="23">
        <v>0.0</v>
      </c>
      <c r="D348" s="23">
        <v>0.0</v>
      </c>
    </row>
    <row r="349">
      <c r="A349" s="24" t="s">
        <v>8336</v>
      </c>
      <c r="B349" s="24" t="s">
        <v>7977</v>
      </c>
      <c r="C349" s="25">
        <v>0.0</v>
      </c>
      <c r="D349" s="25">
        <v>0.0</v>
      </c>
    </row>
    <row r="350">
      <c r="A350" s="22" t="s">
        <v>8337</v>
      </c>
      <c r="B350" s="22" t="s">
        <v>7987</v>
      </c>
      <c r="C350" s="23">
        <v>0.0</v>
      </c>
      <c r="D350" s="23">
        <v>0.0</v>
      </c>
    </row>
    <row r="351">
      <c r="A351" s="24" t="s">
        <v>8338</v>
      </c>
      <c r="B351" s="24" t="s">
        <v>7967</v>
      </c>
      <c r="C351" s="25">
        <v>0.0</v>
      </c>
      <c r="D351" s="25">
        <v>0.0</v>
      </c>
    </row>
    <row r="352">
      <c r="A352" s="22" t="s">
        <v>8339</v>
      </c>
      <c r="B352" s="22" t="s">
        <v>8003</v>
      </c>
      <c r="C352" s="23">
        <v>0.0</v>
      </c>
      <c r="D352" s="23">
        <v>0.0</v>
      </c>
    </row>
    <row r="353">
      <c r="A353" s="24" t="s">
        <v>8340</v>
      </c>
      <c r="B353" s="24" t="s">
        <v>7981</v>
      </c>
      <c r="C353" s="25">
        <v>42.4738944313001</v>
      </c>
      <c r="D353" s="25">
        <v>-83.2506001535109</v>
      </c>
    </row>
    <row r="354">
      <c r="A354" s="22" t="s">
        <v>8341</v>
      </c>
      <c r="B354" s="22" t="s">
        <v>7981</v>
      </c>
      <c r="C354" s="23">
        <v>39.8393403559606</v>
      </c>
      <c r="D354" s="23">
        <v>-105.159199300183</v>
      </c>
    </row>
    <row r="355">
      <c r="A355" s="24" t="s">
        <v>8342</v>
      </c>
      <c r="B355" s="24" t="s">
        <v>7981</v>
      </c>
      <c r="C355" s="25">
        <v>0.0</v>
      </c>
      <c r="D355" s="25">
        <v>0.0</v>
      </c>
    </row>
    <row r="356">
      <c r="A356" s="22" t="s">
        <v>8343</v>
      </c>
      <c r="B356" s="22" t="s">
        <v>8003</v>
      </c>
      <c r="C356" s="23">
        <v>0.0</v>
      </c>
      <c r="D356" s="23">
        <v>0.0</v>
      </c>
    </row>
    <row r="357">
      <c r="A357" s="24" t="s">
        <v>8344</v>
      </c>
      <c r="B357" s="24" t="s">
        <v>7999</v>
      </c>
      <c r="C357" s="25">
        <v>47.056358155419</v>
      </c>
      <c r="D357" s="25">
        <v>16.3282778207649</v>
      </c>
    </row>
    <row r="358">
      <c r="A358" s="22" t="s">
        <v>8345</v>
      </c>
      <c r="B358" s="22" t="s">
        <v>8001</v>
      </c>
      <c r="C358" s="23">
        <v>36.0741638356469</v>
      </c>
      <c r="D358" s="23">
        <v>103.832438158407</v>
      </c>
    </row>
    <row r="359">
      <c r="A359" s="24" t="s">
        <v>8346</v>
      </c>
      <c r="B359" s="24" t="s">
        <v>7967</v>
      </c>
      <c r="C359" s="25">
        <v>52.1364592390166</v>
      </c>
      <c r="D359" s="25">
        <v>6.20412925539135</v>
      </c>
    </row>
    <row r="360">
      <c r="A360" s="22" t="s">
        <v>8347</v>
      </c>
      <c r="B360" s="22" t="s">
        <v>7967</v>
      </c>
      <c r="C360" s="23">
        <v>0.0</v>
      </c>
      <c r="D360" s="23">
        <v>0.0</v>
      </c>
    </row>
    <row r="361">
      <c r="A361" s="24" t="s">
        <v>8348</v>
      </c>
      <c r="B361" s="24" t="s">
        <v>8011</v>
      </c>
      <c r="C361" s="25">
        <v>47.7974450087896</v>
      </c>
      <c r="D361" s="25">
        <v>3.56626991557318</v>
      </c>
    </row>
    <row r="362">
      <c r="A362" s="22" t="s">
        <v>8349</v>
      </c>
      <c r="B362" s="22" t="s">
        <v>7987</v>
      </c>
      <c r="C362" s="23">
        <v>0.0</v>
      </c>
      <c r="D362" s="23">
        <v>0.0</v>
      </c>
    </row>
    <row r="363">
      <c r="A363" s="24" t="s">
        <v>8350</v>
      </c>
      <c r="B363" s="24" t="s">
        <v>7981</v>
      </c>
      <c r="C363" s="25">
        <v>37.0465568053239</v>
      </c>
      <c r="D363" s="25">
        <v>-95.6039491508436</v>
      </c>
    </row>
    <row r="364">
      <c r="A364" s="22" t="s">
        <v>8351</v>
      </c>
      <c r="B364" s="22" t="s">
        <v>7981</v>
      </c>
      <c r="C364" s="23">
        <v>30.1841001998811</v>
      </c>
      <c r="D364" s="23">
        <v>-91.0038377156157</v>
      </c>
    </row>
    <row r="365">
      <c r="A365" s="24" t="s">
        <v>8352</v>
      </c>
      <c r="B365" s="24" t="s">
        <v>7981</v>
      </c>
      <c r="C365" s="25">
        <v>29.8873277421304</v>
      </c>
      <c r="D365" s="25">
        <v>-93.9293505280567</v>
      </c>
    </row>
    <row r="366">
      <c r="A366" s="22" t="s">
        <v>8353</v>
      </c>
      <c r="B366" s="22" t="s">
        <v>8108</v>
      </c>
      <c r="C366" s="23">
        <v>13.0896116248614</v>
      </c>
      <c r="D366" s="23">
        <v>80.2316563509909</v>
      </c>
    </row>
    <row r="367">
      <c r="A367" s="24" t="s">
        <v>8354</v>
      </c>
      <c r="B367" s="24" t="s">
        <v>8011</v>
      </c>
      <c r="C367" s="25">
        <v>49.4837896260745</v>
      </c>
      <c r="D367" s="25">
        <v>0.548355830337739</v>
      </c>
    </row>
    <row r="368">
      <c r="A368" s="22" t="s">
        <v>8355</v>
      </c>
      <c r="B368" s="22" t="s">
        <v>8003</v>
      </c>
      <c r="C368" s="23">
        <v>53.7965498006062</v>
      </c>
      <c r="D368" s="23">
        <v>-113.091752286177</v>
      </c>
    </row>
    <row r="369">
      <c r="A369" s="24" t="s">
        <v>8356</v>
      </c>
      <c r="B369" s="24" t="s">
        <v>8011</v>
      </c>
      <c r="C369" s="25">
        <v>0.0</v>
      </c>
      <c r="D369" s="25">
        <v>0.0</v>
      </c>
    </row>
    <row r="370">
      <c r="A370" s="22" t="s">
        <v>8357</v>
      </c>
      <c r="B370" s="22" t="s">
        <v>7987</v>
      </c>
      <c r="C370" s="23">
        <v>0.0</v>
      </c>
      <c r="D370" s="23">
        <v>0.0</v>
      </c>
    </row>
    <row r="371">
      <c r="A371" s="24" t="s">
        <v>8358</v>
      </c>
      <c r="B371" s="24" t="s">
        <v>8011</v>
      </c>
      <c r="C371" s="25">
        <v>47.2197851475973</v>
      </c>
      <c r="D371" s="25">
        <v>-1.56754856830343</v>
      </c>
    </row>
    <row r="372">
      <c r="A372" s="22" t="s">
        <v>8359</v>
      </c>
      <c r="B372" s="22" t="s">
        <v>7987</v>
      </c>
      <c r="C372" s="23">
        <v>51.2973442363618</v>
      </c>
      <c r="D372" s="23">
        <v>11.9973813222433</v>
      </c>
    </row>
    <row r="373">
      <c r="A373" s="24" t="s">
        <v>8360</v>
      </c>
      <c r="B373" s="24" t="s">
        <v>8003</v>
      </c>
      <c r="C373" s="25">
        <v>46.3821767043506</v>
      </c>
      <c r="D373" s="25">
        <v>-72.3726427258136</v>
      </c>
    </row>
    <row r="374">
      <c r="A374" s="22" t="s">
        <v>8361</v>
      </c>
      <c r="B374" s="22" t="s">
        <v>8001</v>
      </c>
      <c r="C374" s="23">
        <v>41.5608929670979</v>
      </c>
      <c r="D374" s="23">
        <v>115.733107055152</v>
      </c>
    </row>
    <row r="375">
      <c r="A375" s="24" t="s">
        <v>8362</v>
      </c>
      <c r="B375" s="24" t="s">
        <v>8003</v>
      </c>
      <c r="C375" s="25">
        <v>53.6029405759998</v>
      </c>
      <c r="D375" s="25">
        <v>-113.278503876637</v>
      </c>
    </row>
    <row r="376">
      <c r="A376" s="22" t="s">
        <v>8363</v>
      </c>
      <c r="B376" s="22" t="s">
        <v>8001</v>
      </c>
      <c r="C376" s="23">
        <v>40.81</v>
      </c>
      <c r="D376" s="23">
        <v>114.87944</v>
      </c>
    </row>
    <row r="377">
      <c r="A377" s="24" t="s">
        <v>216</v>
      </c>
      <c r="B377" s="24" t="s">
        <v>7999</v>
      </c>
      <c r="C377" s="25">
        <v>47.2523183694212</v>
      </c>
      <c r="D377" s="25">
        <v>11.328082857711</v>
      </c>
    </row>
    <row r="378">
      <c r="A378" s="22" t="s">
        <v>8364</v>
      </c>
      <c r="B378" s="22" t="s">
        <v>8365</v>
      </c>
      <c r="C378" s="23">
        <v>-23.9778775355858</v>
      </c>
      <c r="D378" s="23">
        <v>28.9167616534131</v>
      </c>
    </row>
    <row r="379">
      <c r="A379" s="24" t="s">
        <v>8366</v>
      </c>
      <c r="B379" s="24" t="s">
        <v>8071</v>
      </c>
      <c r="C379" s="25">
        <v>-33.3557806470571</v>
      </c>
      <c r="D379" s="25">
        <v>-70.7364924248186</v>
      </c>
    </row>
    <row r="380">
      <c r="A380" s="22" t="s">
        <v>8367</v>
      </c>
      <c r="B380" s="22" t="s">
        <v>7987</v>
      </c>
      <c r="C380" s="23">
        <v>51.264018</v>
      </c>
      <c r="D380" s="23">
        <v>7.1780374</v>
      </c>
    </row>
    <row r="381">
      <c r="A381" s="24" t="s">
        <v>8368</v>
      </c>
      <c r="B381" s="24" t="s">
        <v>7987</v>
      </c>
      <c r="C381" s="25">
        <v>52.1523434613963</v>
      </c>
      <c r="D381" s="25">
        <v>10.4066598815022</v>
      </c>
    </row>
    <row r="382">
      <c r="A382" s="22" t="s">
        <v>8369</v>
      </c>
      <c r="B382" s="22" t="s">
        <v>8001</v>
      </c>
      <c r="C382" s="23">
        <v>41.5608929670979</v>
      </c>
      <c r="D382" s="23">
        <v>115.733107055152</v>
      </c>
    </row>
    <row r="383">
      <c r="A383" s="24" t="s">
        <v>8370</v>
      </c>
      <c r="B383" s="24" t="s">
        <v>8371</v>
      </c>
      <c r="C383" s="25">
        <v>24.765625726133</v>
      </c>
      <c r="D383" s="25">
        <v>55.3676501696861</v>
      </c>
    </row>
    <row r="384">
      <c r="A384" s="22" t="s">
        <v>8372</v>
      </c>
      <c r="B384" s="22" t="s">
        <v>8021</v>
      </c>
      <c r="C384" s="23">
        <v>0.0</v>
      </c>
      <c r="D384" s="23">
        <v>0.0</v>
      </c>
    </row>
    <row r="385">
      <c r="A385" s="24" t="s">
        <v>8373</v>
      </c>
      <c r="B385" s="24" t="s">
        <v>7981</v>
      </c>
      <c r="C385" s="25">
        <v>0.0</v>
      </c>
      <c r="D385" s="25">
        <v>0.0</v>
      </c>
    </row>
    <row r="386">
      <c r="A386" s="22" t="s">
        <v>8374</v>
      </c>
      <c r="B386" s="22" t="s">
        <v>7967</v>
      </c>
      <c r="C386" s="23">
        <v>0.0</v>
      </c>
      <c r="D386" s="23">
        <v>0.0</v>
      </c>
    </row>
    <row r="387">
      <c r="A387" s="24" t="s">
        <v>8375</v>
      </c>
      <c r="B387" s="24" t="s">
        <v>8021</v>
      </c>
      <c r="C387" s="25">
        <v>-33.8685646617238</v>
      </c>
      <c r="D387" s="25">
        <v>151.204610583427</v>
      </c>
    </row>
    <row r="388">
      <c r="A388" s="22" t="s">
        <v>8376</v>
      </c>
      <c r="B388" s="22" t="s">
        <v>8021</v>
      </c>
      <c r="C388" s="23">
        <v>0.0</v>
      </c>
      <c r="D388" s="23">
        <v>0.0</v>
      </c>
    </row>
    <row r="389">
      <c r="A389" s="24" t="s">
        <v>8377</v>
      </c>
      <c r="B389" s="24" t="s">
        <v>7977</v>
      </c>
      <c r="C389" s="25">
        <v>28.5229643921094</v>
      </c>
      <c r="D389" s="25">
        <v>-16.2646393277277</v>
      </c>
    </row>
    <row r="390">
      <c r="A390" s="22" t="s">
        <v>8378</v>
      </c>
      <c r="B390" s="22" t="s">
        <v>7983</v>
      </c>
      <c r="C390" s="23">
        <v>0.0</v>
      </c>
      <c r="D390" s="23">
        <v>0.0</v>
      </c>
    </row>
    <row r="391">
      <c r="A391" s="24" t="s">
        <v>8379</v>
      </c>
      <c r="B391" s="24" t="s">
        <v>7999</v>
      </c>
      <c r="C391" s="25">
        <v>47.5174119030437</v>
      </c>
      <c r="D391" s="25">
        <v>16.4572751055955</v>
      </c>
    </row>
    <row r="392">
      <c r="A392" s="22" t="s">
        <v>8380</v>
      </c>
      <c r="B392" s="22" t="s">
        <v>8021</v>
      </c>
      <c r="C392" s="23">
        <v>0.0</v>
      </c>
      <c r="D392" s="23">
        <v>0.0</v>
      </c>
    </row>
    <row r="393">
      <c r="A393" s="24" t="s">
        <v>8381</v>
      </c>
      <c r="B393" s="24" t="s">
        <v>8003</v>
      </c>
      <c r="C393" s="25">
        <v>53.8393519492417</v>
      </c>
      <c r="D393" s="25">
        <v>-113.121072233127</v>
      </c>
    </row>
    <row r="394">
      <c r="A394" s="22" t="s">
        <v>8382</v>
      </c>
      <c r="B394" s="22" t="s">
        <v>8003</v>
      </c>
      <c r="C394" s="23">
        <v>53.9924938402302</v>
      </c>
      <c r="D394" s="23">
        <v>-113.126939534757</v>
      </c>
    </row>
    <row r="395">
      <c r="A395" s="24" t="s">
        <v>8383</v>
      </c>
      <c r="B395" s="24" t="s">
        <v>8021</v>
      </c>
      <c r="C395" s="25">
        <v>0.0</v>
      </c>
      <c r="D395" s="25">
        <v>0.0</v>
      </c>
    </row>
    <row r="396">
      <c r="A396" s="22" t="s">
        <v>8384</v>
      </c>
      <c r="B396" s="22" t="s">
        <v>8011</v>
      </c>
      <c r="C396" s="23">
        <v>0.0</v>
      </c>
      <c r="D396" s="23">
        <v>0.0</v>
      </c>
    </row>
    <row r="397">
      <c r="A397" s="24" t="s">
        <v>8167</v>
      </c>
      <c r="B397" s="24" t="s">
        <v>8003</v>
      </c>
      <c r="C397" s="25">
        <v>0.0</v>
      </c>
      <c r="D397" s="25">
        <v>0.0</v>
      </c>
    </row>
    <row r="398">
      <c r="A398" s="22" t="s">
        <v>8385</v>
      </c>
      <c r="B398" s="22" t="s">
        <v>7999</v>
      </c>
      <c r="C398" s="23">
        <v>0.0</v>
      </c>
      <c r="D398" s="23">
        <v>0.0</v>
      </c>
    </row>
    <row r="399">
      <c r="A399" s="24" t="s">
        <v>8386</v>
      </c>
      <c r="B399" s="24" t="s">
        <v>7987</v>
      </c>
      <c r="C399" s="25">
        <v>0.0</v>
      </c>
      <c r="D399" s="25">
        <v>0.0</v>
      </c>
    </row>
    <row r="400">
      <c r="A400" s="22" t="s">
        <v>8387</v>
      </c>
      <c r="B400" s="22" t="s">
        <v>8388</v>
      </c>
      <c r="C400" s="23">
        <v>19.6669277310332</v>
      </c>
      <c r="D400" s="23">
        <v>57.7254450103778</v>
      </c>
    </row>
    <row r="401">
      <c r="A401" s="24" t="s">
        <v>8389</v>
      </c>
      <c r="B401" s="24" t="s">
        <v>8021</v>
      </c>
      <c r="C401" s="25">
        <v>-20.6245443513308</v>
      </c>
      <c r="D401" s="25">
        <v>116.783187518457</v>
      </c>
    </row>
    <row r="402">
      <c r="A402" s="22" t="s">
        <v>8390</v>
      </c>
      <c r="B402" s="22" t="s">
        <v>8001</v>
      </c>
      <c r="C402" s="23">
        <v>40.81</v>
      </c>
      <c r="D402" s="23">
        <v>114.87944</v>
      </c>
    </row>
    <row r="403">
      <c r="A403" s="24" t="s">
        <v>8391</v>
      </c>
      <c r="B403" s="24" t="s">
        <v>8021</v>
      </c>
      <c r="C403" s="25">
        <v>-33.3531442</v>
      </c>
      <c r="D403" s="25">
        <v>138.2060764</v>
      </c>
    </row>
    <row r="404">
      <c r="A404" s="22" t="s">
        <v>8392</v>
      </c>
      <c r="B404" s="22" t="s">
        <v>8021</v>
      </c>
      <c r="C404" s="23">
        <v>-19.2589595593021</v>
      </c>
      <c r="D404" s="23">
        <v>146.816321846514</v>
      </c>
    </row>
    <row r="405">
      <c r="A405" s="24" t="s">
        <v>8393</v>
      </c>
      <c r="B405" s="24" t="s">
        <v>8021</v>
      </c>
      <c r="C405" s="25">
        <v>-23.8415355203833</v>
      </c>
      <c r="D405" s="25">
        <v>151.250589188345</v>
      </c>
    </row>
    <row r="406">
      <c r="A406" s="22" t="s">
        <v>8394</v>
      </c>
      <c r="B406" s="22" t="s">
        <v>8016</v>
      </c>
      <c r="C406" s="23">
        <v>0.0</v>
      </c>
      <c r="D406" s="23">
        <v>0.0</v>
      </c>
    </row>
    <row r="407">
      <c r="A407" s="24" t="s">
        <v>8395</v>
      </c>
      <c r="B407" s="24" t="s">
        <v>8117</v>
      </c>
      <c r="C407" s="25">
        <v>37.9948669893311</v>
      </c>
      <c r="D407" s="25">
        <v>23.714301745177</v>
      </c>
    </row>
    <row r="408">
      <c r="A408" s="22" t="s">
        <v>8396</v>
      </c>
      <c r="B408" s="22" t="s">
        <v>7981</v>
      </c>
      <c r="C408" s="23">
        <v>0.0</v>
      </c>
      <c r="D408" s="23">
        <v>0.0</v>
      </c>
    </row>
    <row r="409">
      <c r="A409" s="24" t="s">
        <v>8397</v>
      </c>
      <c r="B409" s="24" t="s">
        <v>8021</v>
      </c>
      <c r="C409" s="25">
        <v>0.0</v>
      </c>
      <c r="D409" s="25">
        <v>0.0</v>
      </c>
    </row>
    <row r="410">
      <c r="A410" s="22" t="s">
        <v>8398</v>
      </c>
      <c r="B410" s="22" t="s">
        <v>7967</v>
      </c>
      <c r="C410" s="23">
        <v>53.1980994526748</v>
      </c>
      <c r="D410" s="23">
        <v>5.79037176930896</v>
      </c>
    </row>
    <row r="411">
      <c r="A411" s="24" t="s">
        <v>8399</v>
      </c>
      <c r="B411" s="24" t="s">
        <v>8001</v>
      </c>
      <c r="C411" s="25">
        <v>39.9195170892587</v>
      </c>
      <c r="D411" s="25">
        <v>116.397311532019</v>
      </c>
    </row>
    <row r="412">
      <c r="A412" s="22" t="s">
        <v>8400</v>
      </c>
      <c r="B412" s="22" t="s">
        <v>8161</v>
      </c>
      <c r="C412" s="23">
        <v>39.0125452446287</v>
      </c>
      <c r="D412" s="23">
        <v>-8.95381025424339</v>
      </c>
    </row>
    <row r="413">
      <c r="A413" s="24" t="s">
        <v>8401</v>
      </c>
      <c r="B413" s="24" t="s">
        <v>7981</v>
      </c>
      <c r="C413" s="25">
        <v>36.2476699517917</v>
      </c>
      <c r="D413" s="25">
        <v>-115.355276992509</v>
      </c>
    </row>
    <row r="414">
      <c r="A414" s="22" t="s">
        <v>8402</v>
      </c>
      <c r="B414" s="22" t="s">
        <v>8071</v>
      </c>
      <c r="C414" s="23">
        <v>-52.0278233332627</v>
      </c>
      <c r="D414" s="23">
        <v>-72.3950137977037</v>
      </c>
    </row>
    <row r="415">
      <c r="A415" s="24" t="s">
        <v>8403</v>
      </c>
      <c r="B415" s="24" t="s">
        <v>7967</v>
      </c>
      <c r="C415" s="25">
        <v>51.9468389546096</v>
      </c>
      <c r="D415" s="25">
        <v>4.00975189191162</v>
      </c>
    </row>
    <row r="416">
      <c r="A416" s="22" t="s">
        <v>8404</v>
      </c>
      <c r="B416" s="22" t="s">
        <v>8021</v>
      </c>
      <c r="C416" s="23">
        <v>-19.3311686344704</v>
      </c>
      <c r="D416" s="23">
        <v>146.883995766265</v>
      </c>
    </row>
    <row r="417">
      <c r="A417" s="24" t="s">
        <v>8405</v>
      </c>
      <c r="B417" s="24" t="s">
        <v>7977</v>
      </c>
      <c r="C417" s="25">
        <v>41.3904683047587</v>
      </c>
      <c r="D417" s="25">
        <v>2.16988385449095</v>
      </c>
    </row>
    <row r="418">
      <c r="A418" s="22" t="s">
        <v>8406</v>
      </c>
      <c r="B418" s="22" t="s">
        <v>8087</v>
      </c>
      <c r="C418" s="23">
        <v>50.4711453561847</v>
      </c>
      <c r="D418" s="23">
        <v>4.45872354276505</v>
      </c>
    </row>
    <row r="419">
      <c r="A419" s="24" t="s">
        <v>8407</v>
      </c>
      <c r="B419" s="24" t="s">
        <v>7977</v>
      </c>
      <c r="C419" s="25">
        <v>38.6890841677747</v>
      </c>
      <c r="D419" s="25">
        <v>-4.10641149336091</v>
      </c>
    </row>
    <row r="420">
      <c r="A420" s="22" t="s">
        <v>8408</v>
      </c>
      <c r="B420" s="22" t="s">
        <v>7977</v>
      </c>
      <c r="C420" s="23">
        <v>37.1822851369487</v>
      </c>
      <c r="D420" s="23">
        <v>-6.88865570296401</v>
      </c>
    </row>
    <row r="421">
      <c r="A421" s="24" t="s">
        <v>8409</v>
      </c>
      <c r="B421" s="24" t="s">
        <v>8011</v>
      </c>
      <c r="C421" s="25">
        <v>45.8730893260979</v>
      </c>
      <c r="D421" s="25">
        <v>0.833451996796825</v>
      </c>
    </row>
    <row r="422">
      <c r="A422" s="22" t="s">
        <v>8410</v>
      </c>
      <c r="B422" s="22" t="s">
        <v>7987</v>
      </c>
      <c r="C422" s="23">
        <v>49.239995</v>
      </c>
      <c r="D422" s="23">
        <v>6.84135</v>
      </c>
    </row>
    <row r="423">
      <c r="A423" s="24" t="s">
        <v>8411</v>
      </c>
      <c r="B423" s="24" t="s">
        <v>7981</v>
      </c>
      <c r="C423" s="25">
        <v>34.7211822166102</v>
      </c>
      <c r="D423" s="25">
        <v>-118.166346756882</v>
      </c>
    </row>
    <row r="424">
      <c r="A424" s="22" t="s">
        <v>8412</v>
      </c>
      <c r="B424" s="22" t="s">
        <v>8413</v>
      </c>
      <c r="C424" s="23">
        <v>-34.8003441277612</v>
      </c>
      <c r="D424" s="23">
        <v>-56.1960983001438</v>
      </c>
    </row>
    <row r="425">
      <c r="A425" s="24" t="s">
        <v>8414</v>
      </c>
      <c r="B425" s="24" t="s">
        <v>7981</v>
      </c>
      <c r="C425" s="25">
        <v>40.5657915338582</v>
      </c>
      <c r="D425" s="25">
        <v>-96.8132642131967</v>
      </c>
    </row>
    <row r="426">
      <c r="A426" s="22" t="s">
        <v>8415</v>
      </c>
      <c r="B426" s="22" t="s">
        <v>7981</v>
      </c>
      <c r="C426" s="23">
        <v>40.5657915338582</v>
      </c>
      <c r="D426" s="23">
        <v>-96.8132642131967</v>
      </c>
    </row>
    <row r="427">
      <c r="A427" s="24" t="s">
        <v>8416</v>
      </c>
      <c r="B427" s="24" t="s">
        <v>7977</v>
      </c>
      <c r="C427" s="25">
        <v>37.1822851369487</v>
      </c>
      <c r="D427" s="25">
        <v>-6.88865570296401</v>
      </c>
    </row>
    <row r="428">
      <c r="A428" s="22" t="s">
        <v>8417</v>
      </c>
      <c r="B428" s="22" t="s">
        <v>7981</v>
      </c>
      <c r="C428" s="23">
        <v>47.4934484730822</v>
      </c>
      <c r="D428" s="23">
        <v>-120.303227967588</v>
      </c>
    </row>
    <row r="429">
      <c r="A429" s="24" t="s">
        <v>8418</v>
      </c>
      <c r="B429" s="24" t="s">
        <v>8001</v>
      </c>
      <c r="C429" s="25">
        <v>40.7541708417371</v>
      </c>
      <c r="D429" s="25">
        <v>115.032602305937</v>
      </c>
    </row>
    <row r="430">
      <c r="A430" s="22" t="s">
        <v>8419</v>
      </c>
      <c r="B430" s="22" t="s">
        <v>7967</v>
      </c>
      <c r="C430" s="23">
        <v>51.5710797804898</v>
      </c>
      <c r="D430" s="23">
        <v>5.26721793411254</v>
      </c>
    </row>
    <row r="431">
      <c r="A431" s="24" t="s">
        <v>8420</v>
      </c>
      <c r="B431" s="24" t="s">
        <v>7967</v>
      </c>
      <c r="C431" s="25">
        <v>52.632355588033</v>
      </c>
      <c r="D431" s="25">
        <v>4.74972314179003</v>
      </c>
    </row>
    <row r="432">
      <c r="A432" s="22" t="s">
        <v>8421</v>
      </c>
      <c r="B432" s="22" t="s">
        <v>8001</v>
      </c>
      <c r="C432" s="23">
        <v>40.7541708417371</v>
      </c>
      <c r="D432" s="23">
        <v>115.032602305937</v>
      </c>
    </row>
    <row r="433">
      <c r="A433" s="24" t="s">
        <v>8422</v>
      </c>
      <c r="B433" s="24" t="s">
        <v>7967</v>
      </c>
      <c r="C433" s="25">
        <v>52.0350254852841</v>
      </c>
      <c r="D433" s="25">
        <v>5.09920647809678</v>
      </c>
    </row>
    <row r="434">
      <c r="A434" s="22" t="s">
        <v>8423</v>
      </c>
      <c r="B434" s="22" t="s">
        <v>8147</v>
      </c>
      <c r="C434" s="23">
        <v>0.0</v>
      </c>
      <c r="D434" s="23">
        <v>0.0</v>
      </c>
    </row>
    <row r="435">
      <c r="A435" s="24" t="s">
        <v>8424</v>
      </c>
      <c r="B435" s="24" t="s">
        <v>7967</v>
      </c>
      <c r="C435" s="25">
        <v>53.0019687</v>
      </c>
      <c r="D435" s="25">
        <v>6.29213356390565</v>
      </c>
    </row>
    <row r="436">
      <c r="A436" s="22" t="s">
        <v>8425</v>
      </c>
      <c r="B436" s="22" t="s">
        <v>7987</v>
      </c>
      <c r="C436" s="23">
        <v>49.012525083906</v>
      </c>
      <c r="D436" s="23">
        <v>8.41694446930896</v>
      </c>
    </row>
    <row r="437">
      <c r="A437" s="24" t="s">
        <v>8426</v>
      </c>
      <c r="B437" s="24" t="s">
        <v>7987</v>
      </c>
      <c r="C437" s="25">
        <v>51.2814741688822</v>
      </c>
      <c r="D437" s="25">
        <v>11.9877187596523</v>
      </c>
    </row>
    <row r="438">
      <c r="A438" s="22" t="s">
        <v>8427</v>
      </c>
      <c r="B438" s="22" t="s">
        <v>8021</v>
      </c>
      <c r="C438" s="23">
        <v>-38.253187</v>
      </c>
      <c r="D438" s="23">
        <v>146.576518</v>
      </c>
    </row>
    <row r="439">
      <c r="A439" s="24" t="s">
        <v>8428</v>
      </c>
      <c r="B439" s="24" t="s">
        <v>7967</v>
      </c>
      <c r="C439" s="25">
        <v>51.9545383950763</v>
      </c>
      <c r="D439" s="25">
        <v>4.14507861702621</v>
      </c>
    </row>
    <row r="440">
      <c r="A440" s="22" t="s">
        <v>8429</v>
      </c>
      <c r="B440" s="22" t="s">
        <v>7974</v>
      </c>
      <c r="C440" s="23">
        <v>58.3487836770018</v>
      </c>
      <c r="D440" s="23">
        <v>11.4175033074146</v>
      </c>
    </row>
    <row r="441">
      <c r="A441" s="24" t="s">
        <v>8430</v>
      </c>
      <c r="B441" s="24" t="s">
        <v>8011</v>
      </c>
      <c r="C441" s="25">
        <v>0.0</v>
      </c>
      <c r="D441" s="25">
        <v>0.0</v>
      </c>
    </row>
    <row r="442">
      <c r="A442" s="22" t="s">
        <v>8431</v>
      </c>
      <c r="B442" s="22" t="s">
        <v>8021</v>
      </c>
      <c r="C442" s="23">
        <v>-23.8415355203833</v>
      </c>
      <c r="D442" s="23">
        <v>151.250589188345</v>
      </c>
    </row>
    <row r="443">
      <c r="A443" s="24" t="s">
        <v>8432</v>
      </c>
      <c r="B443" s="24" t="s">
        <v>8021</v>
      </c>
      <c r="C443" s="25">
        <v>-37.8648150963393</v>
      </c>
      <c r="D443" s="25">
        <v>144.834049951216</v>
      </c>
    </row>
    <row r="444">
      <c r="A444" s="22" t="s">
        <v>8433</v>
      </c>
      <c r="B444" s="22" t="s">
        <v>7967</v>
      </c>
      <c r="C444" s="23">
        <v>0.0</v>
      </c>
      <c r="D444" s="23">
        <v>0.0</v>
      </c>
    </row>
    <row r="445">
      <c r="A445" s="24" t="s">
        <v>8434</v>
      </c>
      <c r="B445" s="24" t="s">
        <v>8001</v>
      </c>
      <c r="C445" s="25">
        <v>36.5632228364683</v>
      </c>
      <c r="D445" s="25">
        <v>110.100825068466</v>
      </c>
    </row>
    <row r="446">
      <c r="A446" s="22" t="s">
        <v>8435</v>
      </c>
      <c r="B446" s="22" t="s">
        <v>8021</v>
      </c>
      <c r="C446" s="23">
        <v>-32.1512566625326</v>
      </c>
      <c r="D446" s="23">
        <v>115.810742714228</v>
      </c>
    </row>
    <row r="447">
      <c r="A447" s="24" t="s">
        <v>8436</v>
      </c>
      <c r="B447" s="24" t="s">
        <v>8437</v>
      </c>
      <c r="C447" s="25">
        <v>-23.8763155696626</v>
      </c>
      <c r="D447" s="25">
        <v>-57.0360119853961</v>
      </c>
    </row>
    <row r="448">
      <c r="A448" s="22" t="s">
        <v>8438</v>
      </c>
      <c r="B448" s="22" t="s">
        <v>8011</v>
      </c>
      <c r="C448" s="23">
        <v>49.4816475312608</v>
      </c>
      <c r="D448" s="23">
        <v>0.546334671651974</v>
      </c>
    </row>
    <row r="449">
      <c r="A449" s="24" t="s">
        <v>8439</v>
      </c>
      <c r="B449" s="24" t="s">
        <v>8011</v>
      </c>
      <c r="C449" s="25">
        <v>51.0336667184166</v>
      </c>
      <c r="D449" s="25">
        <v>2.36781971679909</v>
      </c>
    </row>
    <row r="450">
      <c r="A450" s="22" t="s">
        <v>8440</v>
      </c>
      <c r="B450" s="22" t="s">
        <v>8021</v>
      </c>
      <c r="C450" s="23">
        <v>-29.2453428049818</v>
      </c>
      <c r="D450" s="23">
        <v>114.934159115853</v>
      </c>
    </row>
    <row r="451">
      <c r="A451" s="24" t="s">
        <v>380</v>
      </c>
      <c r="B451" s="24" t="s">
        <v>7987</v>
      </c>
      <c r="C451" s="25">
        <v>51.4320151426758</v>
      </c>
      <c r="D451" s="25">
        <v>11.8618719963012</v>
      </c>
    </row>
    <row r="452">
      <c r="A452" s="22" t="s">
        <v>8441</v>
      </c>
      <c r="B452" s="22" t="s">
        <v>7967</v>
      </c>
      <c r="C452" s="23">
        <v>53.3344145029669</v>
      </c>
      <c r="D452" s="23">
        <v>6.92135994987017</v>
      </c>
    </row>
    <row r="453">
      <c r="A453" s="24" t="s">
        <v>8442</v>
      </c>
      <c r="B453" s="24" t="s">
        <v>7999</v>
      </c>
      <c r="C453" s="25">
        <v>48.1467281264798</v>
      </c>
      <c r="D453" s="25">
        <v>16.4957158798767</v>
      </c>
    </row>
    <row r="454">
      <c r="A454" s="22" t="s">
        <v>8443</v>
      </c>
      <c r="B454" s="22" t="s">
        <v>7981</v>
      </c>
      <c r="C454" s="23">
        <v>30.2284655540886</v>
      </c>
      <c r="D454" s="23">
        <v>-93.2098196849623</v>
      </c>
    </row>
    <row r="455">
      <c r="A455" s="24" t="s">
        <v>8444</v>
      </c>
      <c r="B455" s="24" t="s">
        <v>7967</v>
      </c>
      <c r="C455" s="25">
        <v>53.3344145029669</v>
      </c>
      <c r="D455" s="25">
        <v>6.92135994987017</v>
      </c>
    </row>
    <row r="456">
      <c r="A456" s="22" t="s">
        <v>8445</v>
      </c>
      <c r="B456" s="22" t="s">
        <v>7967</v>
      </c>
      <c r="C456" s="23">
        <v>52.4724692704042</v>
      </c>
      <c r="D456" s="23">
        <v>4.51429678082497</v>
      </c>
    </row>
    <row r="457">
      <c r="A457" s="24" t="s">
        <v>8446</v>
      </c>
      <c r="B457" s="24" t="s">
        <v>8011</v>
      </c>
      <c r="C457" s="25">
        <v>51.0336667184166</v>
      </c>
      <c r="D457" s="25">
        <v>2.36781971679909</v>
      </c>
    </row>
    <row r="458">
      <c r="A458" s="22" t="s">
        <v>8447</v>
      </c>
      <c r="B458" s="22" t="s">
        <v>7967</v>
      </c>
      <c r="C458" s="23">
        <v>53.3563430560509</v>
      </c>
      <c r="D458" s="23">
        <v>6.60491550828839</v>
      </c>
    </row>
    <row r="459">
      <c r="A459" s="24" t="s">
        <v>8448</v>
      </c>
      <c r="B459" s="24" t="s">
        <v>7981</v>
      </c>
      <c r="C459" s="25">
        <v>39.5337695153343</v>
      </c>
      <c r="D459" s="25">
        <v>-87.4259590772404</v>
      </c>
    </row>
    <row r="460">
      <c r="A460" s="22" t="s">
        <v>8449</v>
      </c>
      <c r="B460" s="22" t="s">
        <v>7987</v>
      </c>
      <c r="C460" s="23">
        <v>0.0</v>
      </c>
      <c r="D460" s="23">
        <v>0.0</v>
      </c>
    </row>
    <row r="461">
      <c r="A461" s="24" t="s">
        <v>8450</v>
      </c>
      <c r="B461" s="24" t="s">
        <v>7967</v>
      </c>
      <c r="C461" s="25">
        <v>51.8805104479971</v>
      </c>
      <c r="D461" s="25">
        <v>4.31564031724715</v>
      </c>
    </row>
    <row r="462">
      <c r="A462" s="22" t="s">
        <v>8451</v>
      </c>
      <c r="B462" s="22" t="s">
        <v>7967</v>
      </c>
      <c r="C462" s="23">
        <v>0.0</v>
      </c>
      <c r="D462" s="23">
        <v>0.0</v>
      </c>
    </row>
    <row r="463">
      <c r="A463" s="24" t="s">
        <v>8452</v>
      </c>
      <c r="B463" s="24" t="s">
        <v>7967</v>
      </c>
      <c r="C463" s="25">
        <v>0.0</v>
      </c>
      <c r="D463" s="25">
        <v>0.0</v>
      </c>
    </row>
    <row r="464">
      <c r="A464" s="22" t="s">
        <v>8453</v>
      </c>
      <c r="B464" s="22" t="s">
        <v>8117</v>
      </c>
      <c r="C464" s="23">
        <v>37.845672</v>
      </c>
      <c r="D464" s="23">
        <v>23.790579</v>
      </c>
    </row>
    <row r="465">
      <c r="A465" s="24" t="s">
        <v>8454</v>
      </c>
      <c r="B465" s="24" t="s">
        <v>8001</v>
      </c>
      <c r="C465" s="25">
        <v>45.622681</v>
      </c>
      <c r="D465" s="25">
        <v>122.848434</v>
      </c>
    </row>
    <row r="466">
      <c r="A466" s="22" t="s">
        <v>8455</v>
      </c>
      <c r="B466" s="22" t="s">
        <v>7977</v>
      </c>
      <c r="C466" s="23">
        <v>37.5697134762125</v>
      </c>
      <c r="D466" s="23">
        <v>-0.947449812336307</v>
      </c>
    </row>
    <row r="467">
      <c r="A467" s="24" t="s">
        <v>8456</v>
      </c>
      <c r="B467" s="24" t="s">
        <v>7967</v>
      </c>
      <c r="C467" s="25">
        <v>0.0</v>
      </c>
      <c r="D467" s="25">
        <v>0.0</v>
      </c>
    </row>
    <row r="468">
      <c r="A468" s="22" t="s">
        <v>8457</v>
      </c>
      <c r="B468" s="22" t="s">
        <v>7977</v>
      </c>
      <c r="C468" s="23">
        <v>0.0</v>
      </c>
      <c r="D468" s="23">
        <v>0.0</v>
      </c>
    </row>
    <row r="469">
      <c r="A469" s="24" t="s">
        <v>8458</v>
      </c>
      <c r="B469" s="24" t="s">
        <v>7981</v>
      </c>
      <c r="C469" s="25">
        <v>33.872533373318</v>
      </c>
      <c r="D469" s="25">
        <v>-117.960258640284</v>
      </c>
    </row>
    <row r="470">
      <c r="A470" s="22" t="s">
        <v>8459</v>
      </c>
      <c r="B470" s="22" t="s">
        <v>7967</v>
      </c>
      <c r="C470" s="23">
        <v>0.0</v>
      </c>
      <c r="D470" s="23">
        <v>0.0</v>
      </c>
    </row>
    <row r="471">
      <c r="A471" s="24" t="s">
        <v>8460</v>
      </c>
      <c r="B471" s="24" t="s">
        <v>7994</v>
      </c>
      <c r="C471" s="25">
        <v>0.0</v>
      </c>
      <c r="D471" s="25">
        <v>0.0</v>
      </c>
    </row>
    <row r="472">
      <c r="A472" s="22" t="s">
        <v>8461</v>
      </c>
      <c r="B472" s="22" t="s">
        <v>8011</v>
      </c>
      <c r="C472" s="23">
        <v>48.4896363854295</v>
      </c>
      <c r="D472" s="23">
        <v>-2.73560765688059</v>
      </c>
    </row>
    <row r="473">
      <c r="A473" s="24" t="s">
        <v>8462</v>
      </c>
      <c r="B473" s="24" t="s">
        <v>7981</v>
      </c>
      <c r="C473" s="25">
        <v>28.5327821834335</v>
      </c>
      <c r="D473" s="25">
        <v>-81.275830045946</v>
      </c>
    </row>
    <row r="474">
      <c r="A474" s="22" t="s">
        <v>8463</v>
      </c>
      <c r="B474" s="22" t="s">
        <v>7981</v>
      </c>
      <c r="C474" s="23">
        <v>30.6922285490441</v>
      </c>
      <c r="D474" s="23">
        <v>-97.2792182053063</v>
      </c>
    </row>
    <row r="475">
      <c r="A475" s="24" t="s">
        <v>8464</v>
      </c>
      <c r="B475" s="24" t="s">
        <v>7967</v>
      </c>
      <c r="C475" s="25">
        <v>53.3344145029669</v>
      </c>
      <c r="D475" s="25">
        <v>6.92135994987017</v>
      </c>
    </row>
    <row r="476">
      <c r="A476" s="22" t="s">
        <v>8465</v>
      </c>
      <c r="B476" s="22" t="s">
        <v>7967</v>
      </c>
      <c r="C476" s="23">
        <v>51.9556171691769</v>
      </c>
      <c r="D476" s="23">
        <v>4.01488970044649</v>
      </c>
    </row>
    <row r="477">
      <c r="A477" s="24" t="s">
        <v>8466</v>
      </c>
      <c r="B477" s="24" t="s">
        <v>7967</v>
      </c>
      <c r="C477" s="25">
        <v>0.0</v>
      </c>
      <c r="D477" s="25">
        <v>0.0</v>
      </c>
    </row>
    <row r="478">
      <c r="A478" s="22" t="s">
        <v>8467</v>
      </c>
      <c r="B478" s="22" t="s">
        <v>7967</v>
      </c>
      <c r="C478" s="23">
        <v>0.0</v>
      </c>
      <c r="D478" s="23">
        <v>0.0</v>
      </c>
    </row>
    <row r="479">
      <c r="A479" s="24" t="s">
        <v>8468</v>
      </c>
      <c r="B479" s="24" t="s">
        <v>8087</v>
      </c>
      <c r="C479" s="25">
        <v>51.1078242793118</v>
      </c>
      <c r="D479" s="25">
        <v>3.7501375967007</v>
      </c>
    </row>
    <row r="480">
      <c r="A480" s="22" t="s">
        <v>8469</v>
      </c>
      <c r="B480" s="22" t="s">
        <v>7967</v>
      </c>
      <c r="C480" s="23">
        <v>51.455464389284</v>
      </c>
      <c r="D480" s="23">
        <v>3.56485156907884</v>
      </c>
    </row>
    <row r="481">
      <c r="A481" s="24" t="s">
        <v>8470</v>
      </c>
      <c r="B481" s="24" t="s">
        <v>7994</v>
      </c>
      <c r="C481" s="25">
        <v>55.591385038419</v>
      </c>
      <c r="D481" s="25">
        <v>9.75264367456355</v>
      </c>
    </row>
    <row r="482">
      <c r="A482" s="22" t="s">
        <v>8471</v>
      </c>
      <c r="B482" s="22" t="s">
        <v>7994</v>
      </c>
      <c r="C482" s="23">
        <v>56.5653019471961</v>
      </c>
      <c r="D482" s="23">
        <v>9.02965887010113</v>
      </c>
    </row>
    <row r="483">
      <c r="A483" s="24" t="s">
        <v>8472</v>
      </c>
      <c r="B483" s="24" t="s">
        <v>8001</v>
      </c>
      <c r="C483" s="25">
        <v>40.7816321509114</v>
      </c>
      <c r="D483" s="25">
        <v>114.867657780727</v>
      </c>
    </row>
    <row r="484">
      <c r="A484" s="22" t="s">
        <v>8473</v>
      </c>
      <c r="B484" s="22" t="s">
        <v>7991</v>
      </c>
      <c r="C484" s="23">
        <v>57.1791297504265</v>
      </c>
      <c r="D484" s="23">
        <v>-2.10165465605737</v>
      </c>
    </row>
    <row r="485">
      <c r="A485" s="24" t="s">
        <v>8474</v>
      </c>
      <c r="B485" s="24" t="s">
        <v>8021</v>
      </c>
      <c r="C485" s="25">
        <v>-41.1128037745826</v>
      </c>
      <c r="D485" s="25">
        <v>146.857696859814</v>
      </c>
    </row>
    <row r="486">
      <c r="A486" s="22" t="s">
        <v>8475</v>
      </c>
      <c r="B486" s="22" t="s">
        <v>8011</v>
      </c>
      <c r="C486" s="23">
        <v>47.9022216296141</v>
      </c>
      <c r="D486" s="23">
        <v>1.90699063171274</v>
      </c>
    </row>
    <row r="487">
      <c r="A487" s="24" t="s">
        <v>8476</v>
      </c>
      <c r="B487" s="24" t="s">
        <v>7977</v>
      </c>
      <c r="C487" s="25">
        <v>43.1744410908543</v>
      </c>
      <c r="D487" s="25">
        <v>-8.40770048801785</v>
      </c>
    </row>
    <row r="488">
      <c r="A488" s="22" t="s">
        <v>8477</v>
      </c>
      <c r="B488" s="22" t="s">
        <v>7991</v>
      </c>
      <c r="C488" s="23">
        <v>0.0</v>
      </c>
      <c r="D488" s="23">
        <v>0.0</v>
      </c>
    </row>
    <row r="489">
      <c r="A489" s="24" t="s">
        <v>8478</v>
      </c>
      <c r="B489" s="24" t="s">
        <v>7977</v>
      </c>
      <c r="C489" s="25">
        <v>39.4490784424264</v>
      </c>
      <c r="D489" s="25">
        <v>-0.316883814420793</v>
      </c>
    </row>
    <row r="490">
      <c r="A490" s="22" t="s">
        <v>8479</v>
      </c>
      <c r="B490" s="22" t="s">
        <v>8001</v>
      </c>
      <c r="C490" s="23">
        <v>30.794755817405</v>
      </c>
      <c r="D490" s="23">
        <v>99.9175634223173</v>
      </c>
    </row>
    <row r="491">
      <c r="A491" s="24" t="s">
        <v>8480</v>
      </c>
      <c r="B491" s="24" t="s">
        <v>8087</v>
      </c>
      <c r="C491" s="25">
        <v>50.6454721398147</v>
      </c>
      <c r="D491" s="25">
        <v>5.44130282605139</v>
      </c>
    </row>
    <row r="492">
      <c r="A492" s="22" t="s">
        <v>8481</v>
      </c>
      <c r="B492" s="22" t="s">
        <v>8047</v>
      </c>
      <c r="C492" s="23">
        <v>0.0</v>
      </c>
      <c r="D492" s="23">
        <v>0.0</v>
      </c>
    </row>
    <row r="493">
      <c r="A493" s="24" t="s">
        <v>8482</v>
      </c>
      <c r="B493" s="24" t="s">
        <v>8087</v>
      </c>
      <c r="C493" s="25">
        <v>51.0409778907728</v>
      </c>
      <c r="D493" s="25">
        <v>3.84433114911818</v>
      </c>
    </row>
    <row r="494">
      <c r="A494" s="22" t="s">
        <v>8483</v>
      </c>
      <c r="B494" s="22" t="s">
        <v>8087</v>
      </c>
      <c r="C494" s="23">
        <v>50.7312748594555</v>
      </c>
      <c r="D494" s="23">
        <v>4.21926738062468</v>
      </c>
    </row>
    <row r="495">
      <c r="A495" s="24" t="s">
        <v>8484</v>
      </c>
      <c r="B495" s="24" t="s">
        <v>8021</v>
      </c>
      <c r="C495" s="25">
        <v>-41.1306284511302</v>
      </c>
      <c r="D495" s="25">
        <v>146.866701359541</v>
      </c>
    </row>
    <row r="496">
      <c r="A496" s="22" t="s">
        <v>8485</v>
      </c>
      <c r="B496" s="22" t="s">
        <v>7983</v>
      </c>
      <c r="C496" s="23">
        <v>35.6588203818834</v>
      </c>
      <c r="D496" s="23">
        <v>136.06324166222</v>
      </c>
    </row>
    <row r="497">
      <c r="A497" s="24" t="s">
        <v>8486</v>
      </c>
      <c r="B497" s="24" t="s">
        <v>7991</v>
      </c>
      <c r="C497" s="25">
        <v>56.1820017788318</v>
      </c>
      <c r="D497" s="25">
        <v>-3.01393683465731</v>
      </c>
    </row>
    <row r="498">
      <c r="A498" s="29" t="s">
        <v>8487</v>
      </c>
      <c r="B498" s="22" t="s">
        <v>7987</v>
      </c>
      <c r="C498" s="23">
        <v>51.4448541551683</v>
      </c>
      <c r="D498" s="23">
        <v>6.72219270453604</v>
      </c>
    </row>
    <row r="499">
      <c r="A499" s="24" t="s">
        <v>8488</v>
      </c>
      <c r="B499" s="24" t="s">
        <v>8047</v>
      </c>
      <c r="C499" s="25">
        <v>37.059597412754</v>
      </c>
      <c r="D499" s="25">
        <v>14.2662871867576</v>
      </c>
    </row>
    <row r="500">
      <c r="A500" s="22" t="s">
        <v>8489</v>
      </c>
      <c r="B500" s="22" t="s">
        <v>8047</v>
      </c>
      <c r="C500" s="23">
        <v>40.4928374895431</v>
      </c>
      <c r="D500" s="23">
        <v>17.1967156796423</v>
      </c>
    </row>
    <row r="501">
      <c r="A501" s="24" t="s">
        <v>8490</v>
      </c>
      <c r="B501" s="24" t="s">
        <v>7977</v>
      </c>
      <c r="C501" s="25">
        <v>43.233837397146</v>
      </c>
      <c r="D501" s="25">
        <v>-2.75007158472146</v>
      </c>
    </row>
    <row r="502">
      <c r="A502" s="22" t="s">
        <v>8491</v>
      </c>
      <c r="B502" s="22" t="s">
        <v>7977</v>
      </c>
      <c r="C502" s="23">
        <v>43.233837397146</v>
      </c>
      <c r="D502" s="23">
        <v>-2.75007158472146</v>
      </c>
    </row>
    <row r="503">
      <c r="A503" s="24" t="s">
        <v>8492</v>
      </c>
      <c r="B503" s="24" t="s">
        <v>8021</v>
      </c>
      <c r="C503" s="25">
        <v>0.0</v>
      </c>
      <c r="D503" s="25">
        <v>0.0</v>
      </c>
    </row>
    <row r="504">
      <c r="A504" s="22" t="s">
        <v>8493</v>
      </c>
      <c r="B504" s="22" t="s">
        <v>8003</v>
      </c>
      <c r="C504" s="23">
        <v>49.2259712936935</v>
      </c>
      <c r="D504" s="23">
        <v>5.01630170800372</v>
      </c>
    </row>
    <row r="505">
      <c r="A505" s="24" t="s">
        <v>8494</v>
      </c>
      <c r="B505" s="24" t="s">
        <v>8001</v>
      </c>
      <c r="C505" s="25">
        <v>40.0560648557825</v>
      </c>
      <c r="D505" s="25">
        <v>115.542919445508</v>
      </c>
    </row>
    <row r="506">
      <c r="A506" s="22" t="s">
        <v>8495</v>
      </c>
      <c r="B506" s="22" t="s">
        <v>7994</v>
      </c>
      <c r="C506" s="23">
        <v>56.545167783373</v>
      </c>
      <c r="D506" s="23">
        <v>9.15229585895749</v>
      </c>
    </row>
    <row r="507">
      <c r="A507" s="24" t="s">
        <v>8496</v>
      </c>
      <c r="B507" s="24" t="s">
        <v>8087</v>
      </c>
      <c r="C507" s="25">
        <v>50.3364084483453</v>
      </c>
      <c r="D507" s="25">
        <v>4.79180408997117</v>
      </c>
    </row>
    <row r="508">
      <c r="A508" s="22" t="s">
        <v>8497</v>
      </c>
      <c r="B508" s="22" t="s">
        <v>7987</v>
      </c>
      <c r="C508" s="23">
        <v>52.4825565137023</v>
      </c>
      <c r="D508" s="23">
        <v>7.29966781182499</v>
      </c>
    </row>
    <row r="509">
      <c r="A509" s="24" t="s">
        <v>8498</v>
      </c>
      <c r="B509" s="24" t="s">
        <v>7967</v>
      </c>
      <c r="C509" s="25">
        <v>53.4652079383533</v>
      </c>
      <c r="D509" s="25">
        <v>6.6329845630844</v>
      </c>
    </row>
    <row r="510">
      <c r="A510" s="22" t="s">
        <v>8499</v>
      </c>
      <c r="B510" s="22" t="s">
        <v>7987</v>
      </c>
      <c r="C510" s="23">
        <v>54.2023436057572</v>
      </c>
      <c r="D510" s="23">
        <v>7.92126860886418</v>
      </c>
    </row>
    <row r="511">
      <c r="A511" s="24" t="s">
        <v>8500</v>
      </c>
      <c r="B511" s="24" t="s">
        <v>8021</v>
      </c>
      <c r="C511" s="25">
        <v>-23.8415355203833</v>
      </c>
      <c r="D511" s="25">
        <v>151.250589188345</v>
      </c>
    </row>
    <row r="512">
      <c r="A512" s="22" t="s">
        <v>8501</v>
      </c>
      <c r="B512" s="22" t="s">
        <v>7994</v>
      </c>
      <c r="C512" s="23">
        <v>55.9451496843308</v>
      </c>
      <c r="D512" s="23">
        <v>9.09658139087656</v>
      </c>
    </row>
    <row r="513">
      <c r="A513" s="24" t="s">
        <v>8502</v>
      </c>
      <c r="B513" s="24" t="s">
        <v>8011</v>
      </c>
      <c r="C513" s="25">
        <v>44.648942</v>
      </c>
      <c r="D513" s="25">
        <v>-0.597759</v>
      </c>
    </row>
    <row r="514">
      <c r="A514" s="22" t="s">
        <v>8503</v>
      </c>
      <c r="B514" s="22" t="s">
        <v>7971</v>
      </c>
      <c r="C514" s="23">
        <v>0.0</v>
      </c>
      <c r="D514" s="23">
        <v>0.0</v>
      </c>
    </row>
    <row r="515">
      <c r="A515" s="24" t="s">
        <v>8504</v>
      </c>
      <c r="B515" s="24" t="s">
        <v>7977</v>
      </c>
      <c r="C515" s="25">
        <v>40.238279490519</v>
      </c>
      <c r="D515" s="25">
        <v>-3.69229745199495</v>
      </c>
    </row>
    <row r="516">
      <c r="A516" s="22" t="s">
        <v>8505</v>
      </c>
      <c r="B516" s="22" t="s">
        <v>7987</v>
      </c>
      <c r="C516" s="23">
        <v>51.3247111673379</v>
      </c>
      <c r="D516" s="23">
        <v>12.024311061848</v>
      </c>
    </row>
    <row r="517">
      <c r="A517" s="24" t="s">
        <v>8506</v>
      </c>
      <c r="B517" s="24" t="s">
        <v>8021</v>
      </c>
      <c r="C517" s="25">
        <v>-28.83006868708</v>
      </c>
      <c r="D517" s="25">
        <v>114.678351483145</v>
      </c>
    </row>
    <row r="518">
      <c r="A518" s="22" t="s">
        <v>8507</v>
      </c>
      <c r="B518" s="22" t="s">
        <v>8023</v>
      </c>
      <c r="C518" s="23">
        <v>54.3755637814544</v>
      </c>
      <c r="D518" s="23">
        <v>18.5870057200261</v>
      </c>
    </row>
    <row r="519">
      <c r="A519" s="24" t="s">
        <v>8508</v>
      </c>
      <c r="B519" s="24" t="s">
        <v>7987</v>
      </c>
      <c r="C519" s="25">
        <v>53.506730655775</v>
      </c>
      <c r="D519" s="25">
        <v>9.93654982232032</v>
      </c>
    </row>
    <row r="520">
      <c r="A520" s="22" t="s">
        <v>8509</v>
      </c>
      <c r="B520" s="22" t="s">
        <v>8021</v>
      </c>
      <c r="C520" s="23">
        <v>0.0</v>
      </c>
      <c r="D520" s="23">
        <v>0.0</v>
      </c>
    </row>
    <row r="521">
      <c r="A521" s="24" t="s">
        <v>8510</v>
      </c>
      <c r="B521" s="24" t="s">
        <v>8388</v>
      </c>
      <c r="C521" s="25">
        <v>0.0</v>
      </c>
      <c r="D521" s="25">
        <v>0.0</v>
      </c>
    </row>
    <row r="522">
      <c r="A522" s="22" t="s">
        <v>8511</v>
      </c>
      <c r="B522" s="22" t="s">
        <v>8016</v>
      </c>
      <c r="C522" s="23">
        <v>1.55311</v>
      </c>
      <c r="D522" s="23">
        <v>110.345032</v>
      </c>
    </row>
    <row r="523">
      <c r="A523" s="24" t="s">
        <v>8512</v>
      </c>
      <c r="B523" s="24" t="s">
        <v>7977</v>
      </c>
      <c r="C523" s="25">
        <v>43.4413266589649</v>
      </c>
      <c r="D523" s="25">
        <v>-7.86350659159537</v>
      </c>
    </row>
    <row r="524">
      <c r="A524" s="22" t="s">
        <v>157</v>
      </c>
      <c r="B524" s="22" t="s">
        <v>7987</v>
      </c>
      <c r="C524" s="23">
        <v>48.7310814176287</v>
      </c>
      <c r="D524" s="23">
        <v>9.318047704285</v>
      </c>
    </row>
    <row r="525">
      <c r="A525" s="24" t="s">
        <v>8513</v>
      </c>
      <c r="B525" s="24" t="s">
        <v>7977</v>
      </c>
      <c r="C525" s="25">
        <v>37.2619638810127</v>
      </c>
      <c r="D525" s="25">
        <v>-6.94128464616816</v>
      </c>
    </row>
    <row r="526">
      <c r="A526" s="22" t="s">
        <v>8514</v>
      </c>
      <c r="B526" s="22" t="s">
        <v>7977</v>
      </c>
      <c r="C526" s="23">
        <v>42.4374537317842</v>
      </c>
      <c r="D526" s="23">
        <v>-2.29122427151663</v>
      </c>
    </row>
    <row r="527">
      <c r="A527" s="24" t="s">
        <v>8515</v>
      </c>
      <c r="B527" s="24" t="s">
        <v>7977</v>
      </c>
      <c r="C527" s="25">
        <v>40.3456788668752</v>
      </c>
      <c r="D527" s="25">
        <v>-1.1063896443893</v>
      </c>
    </row>
    <row r="528">
      <c r="A528" s="22" t="s">
        <v>8516</v>
      </c>
      <c r="B528" s="22" t="s">
        <v>7977</v>
      </c>
      <c r="C528" s="23">
        <v>36.8337805501154</v>
      </c>
      <c r="D528" s="23">
        <v>-2.46467047823525</v>
      </c>
    </row>
    <row r="529">
      <c r="A529" s="24" t="s">
        <v>8517</v>
      </c>
      <c r="B529" s="24" t="s">
        <v>7977</v>
      </c>
      <c r="C529" s="25">
        <v>27.8743676461958</v>
      </c>
      <c r="D529" s="25">
        <v>-15.5066711471455</v>
      </c>
    </row>
    <row r="530">
      <c r="A530" s="22" t="s">
        <v>8518</v>
      </c>
      <c r="B530" s="22" t="s">
        <v>7977</v>
      </c>
      <c r="C530" s="23">
        <v>28.1224887893731</v>
      </c>
      <c r="D530" s="23">
        <v>-16.5755993192827</v>
      </c>
    </row>
    <row r="531">
      <c r="A531" s="24" t="s">
        <v>8519</v>
      </c>
      <c r="B531" s="24" t="s">
        <v>7977</v>
      </c>
      <c r="C531" s="25">
        <v>43.4647373329506</v>
      </c>
      <c r="D531" s="25">
        <v>-5.94612306154232</v>
      </c>
    </row>
    <row r="532">
      <c r="A532" s="22" t="s">
        <v>8520</v>
      </c>
      <c r="B532" s="22" t="s">
        <v>7977</v>
      </c>
      <c r="C532" s="23">
        <v>43.4647373329506</v>
      </c>
      <c r="D532" s="23">
        <v>-5.94612306154232</v>
      </c>
    </row>
    <row r="533">
      <c r="A533" s="24" t="s">
        <v>8521</v>
      </c>
      <c r="B533" s="24" t="s">
        <v>7991</v>
      </c>
      <c r="C533" s="25">
        <v>53.277031209918</v>
      </c>
      <c r="D533" s="25">
        <v>-2.84186914778824</v>
      </c>
    </row>
    <row r="534">
      <c r="A534" s="22" t="s">
        <v>8522</v>
      </c>
      <c r="B534" s="22" t="s">
        <v>8011</v>
      </c>
      <c r="C534" s="23">
        <v>45.7761475011321</v>
      </c>
      <c r="D534" s="23">
        <v>3.09519718475507</v>
      </c>
    </row>
    <row r="535">
      <c r="A535" s="24" t="s">
        <v>8523</v>
      </c>
      <c r="B535" s="24" t="s">
        <v>7977</v>
      </c>
      <c r="C535" s="25">
        <v>43.4362990600377</v>
      </c>
      <c r="D535" s="25">
        <v>-3.80398480978786</v>
      </c>
    </row>
    <row r="536">
      <c r="A536" s="22" t="s">
        <v>8524</v>
      </c>
      <c r="B536" s="22" t="s">
        <v>8021</v>
      </c>
      <c r="C536" s="23">
        <v>-26.914849</v>
      </c>
      <c r="D536" s="23">
        <v>150.747104</v>
      </c>
    </row>
    <row r="537">
      <c r="A537" s="24" t="s">
        <v>8525</v>
      </c>
      <c r="B537" s="24" t="s">
        <v>8371</v>
      </c>
      <c r="C537" s="25">
        <v>24.4852421565258</v>
      </c>
      <c r="D537" s="25">
        <v>54.3927280389778</v>
      </c>
    </row>
    <row r="538">
      <c r="A538" s="22" t="s">
        <v>8526</v>
      </c>
      <c r="B538" s="22" t="s">
        <v>7974</v>
      </c>
      <c r="C538" s="23">
        <v>58.3506380753564</v>
      </c>
      <c r="D538" s="23">
        <v>11.4360084573101</v>
      </c>
    </row>
    <row r="539">
      <c r="A539" s="24" t="s">
        <v>8527</v>
      </c>
      <c r="B539" s="24" t="s">
        <v>7967</v>
      </c>
      <c r="C539" s="25">
        <v>51.9633154414089</v>
      </c>
      <c r="D539" s="25">
        <v>4.02257408758894</v>
      </c>
    </row>
    <row r="540">
      <c r="A540" s="22" t="s">
        <v>8528</v>
      </c>
      <c r="B540" s="22" t="s">
        <v>7967</v>
      </c>
      <c r="C540" s="23">
        <v>51.9633154414089</v>
      </c>
      <c r="D540" s="23">
        <v>4.02257408758894</v>
      </c>
    </row>
    <row r="541">
      <c r="A541" s="24" t="s">
        <v>8529</v>
      </c>
      <c r="B541" s="24" t="s">
        <v>8021</v>
      </c>
      <c r="C541" s="25">
        <v>-36.1178304691026</v>
      </c>
      <c r="D541" s="25">
        <v>146.878647819972</v>
      </c>
    </row>
    <row r="542">
      <c r="A542" s="22" t="s">
        <v>8530</v>
      </c>
      <c r="B542" s="22" t="s">
        <v>7977</v>
      </c>
      <c r="C542" s="23">
        <v>39.9870635585894</v>
      </c>
      <c r="D542" s="23">
        <v>-0.0502947145619979</v>
      </c>
    </row>
    <row r="543">
      <c r="A543" s="24" t="s">
        <v>8531</v>
      </c>
      <c r="B543" s="24" t="s">
        <v>8047</v>
      </c>
      <c r="C543" s="25">
        <v>39.0867230620476</v>
      </c>
      <c r="D543" s="25">
        <v>9.02206468835765</v>
      </c>
    </row>
    <row r="544">
      <c r="A544" s="22" t="s">
        <v>418</v>
      </c>
      <c r="B544" s="22" t="s">
        <v>8011</v>
      </c>
      <c r="C544" s="23">
        <v>48.7788789906249</v>
      </c>
      <c r="D544" s="23">
        <v>2.43687449998177</v>
      </c>
    </row>
    <row r="545">
      <c r="A545" s="24" t="s">
        <v>8532</v>
      </c>
      <c r="B545" s="24" t="s">
        <v>7981</v>
      </c>
      <c r="C545" s="25">
        <v>33.8335398275229</v>
      </c>
      <c r="D545" s="25">
        <v>-116.550900734962</v>
      </c>
    </row>
    <row r="546">
      <c r="A546" s="22" t="s">
        <v>8533</v>
      </c>
      <c r="B546" s="22" t="s">
        <v>7974</v>
      </c>
      <c r="C546" s="23">
        <v>65.8289892026369</v>
      </c>
      <c r="D546" s="23">
        <v>21.6904535018585</v>
      </c>
    </row>
    <row r="547">
      <c r="A547" s="24" t="s">
        <v>8534</v>
      </c>
      <c r="B547" s="24" t="s">
        <v>7981</v>
      </c>
      <c r="C547" s="25">
        <v>43.0964478</v>
      </c>
      <c r="D547" s="25">
        <v>-78.3908559</v>
      </c>
    </row>
    <row r="548">
      <c r="A548" s="22" t="s">
        <v>8535</v>
      </c>
      <c r="B548" s="22" t="s">
        <v>7977</v>
      </c>
      <c r="C548" s="23">
        <v>43.3255995287192</v>
      </c>
      <c r="D548" s="23">
        <v>-3.11395301897643</v>
      </c>
    </row>
    <row r="549">
      <c r="A549" s="24" t="s">
        <v>8536</v>
      </c>
      <c r="B549" s="28" t="s">
        <v>8537</v>
      </c>
      <c r="C549" s="25">
        <v>0.0</v>
      </c>
      <c r="D549" s="25">
        <v>0.0</v>
      </c>
    </row>
    <row r="550">
      <c r="A550" s="22" t="s">
        <v>8538</v>
      </c>
      <c r="B550" s="22" t="s">
        <v>8539</v>
      </c>
      <c r="C550" s="23">
        <v>36.3471900389458</v>
      </c>
      <c r="D550" s="23">
        <v>126.546228050541</v>
      </c>
    </row>
    <row r="551">
      <c r="A551" s="24" t="s">
        <v>8540</v>
      </c>
      <c r="B551" s="24" t="s">
        <v>7981</v>
      </c>
      <c r="C551" s="25">
        <v>27.6435890582378</v>
      </c>
      <c r="D551" s="25">
        <v>-80.7899252629661</v>
      </c>
    </row>
    <row r="552">
      <c r="A552" s="22" t="s">
        <v>8541</v>
      </c>
      <c r="B552" s="22" t="s">
        <v>7987</v>
      </c>
      <c r="C552" s="23">
        <v>50.8605615564851</v>
      </c>
      <c r="D552" s="23">
        <v>6.98058161550651</v>
      </c>
    </row>
    <row r="553">
      <c r="A553" s="24" t="s">
        <v>8542</v>
      </c>
      <c r="B553" s="24" t="s">
        <v>7977</v>
      </c>
      <c r="C553" s="25">
        <v>40.12213</v>
      </c>
      <c r="D553" s="25">
        <v>-3.84704</v>
      </c>
    </row>
    <row r="554">
      <c r="A554" s="22" t="s">
        <v>8543</v>
      </c>
      <c r="B554" s="22" t="s">
        <v>8539</v>
      </c>
      <c r="C554" s="23">
        <v>35.212283027272</v>
      </c>
      <c r="D554" s="23">
        <v>128.611009060987</v>
      </c>
    </row>
    <row r="555">
      <c r="A555" s="24" t="s">
        <v>8544</v>
      </c>
      <c r="B555" s="24" t="s">
        <v>7987</v>
      </c>
      <c r="C555" s="25">
        <v>53.5295406441506</v>
      </c>
      <c r="D555" s="25">
        <v>8.12969320043866</v>
      </c>
    </row>
    <row r="556">
      <c r="A556" s="22" t="s">
        <v>8545</v>
      </c>
      <c r="B556" s="22" t="s">
        <v>8001</v>
      </c>
      <c r="C556" s="23">
        <v>36.830027221475</v>
      </c>
      <c r="D556" s="23">
        <v>118.111095381284</v>
      </c>
    </row>
    <row r="557">
      <c r="A557" s="24" t="s">
        <v>8546</v>
      </c>
      <c r="B557" s="24" t="s">
        <v>8001</v>
      </c>
      <c r="C557" s="25">
        <v>45.5829853885231</v>
      </c>
      <c r="D557" s="25">
        <v>84.8965072752076</v>
      </c>
    </row>
    <row r="558">
      <c r="A558" s="22" t="s">
        <v>8547</v>
      </c>
      <c r="B558" s="22" t="s">
        <v>7981</v>
      </c>
      <c r="C558" s="23">
        <v>47.2634167805805</v>
      </c>
      <c r="D558" s="23">
        <v>-101.796925772329</v>
      </c>
    </row>
    <row r="559">
      <c r="A559" s="24" t="s">
        <v>8548</v>
      </c>
      <c r="B559" s="24" t="s">
        <v>8371</v>
      </c>
      <c r="C559" s="25">
        <v>24.3349101126156</v>
      </c>
      <c r="D559" s="25">
        <v>54.4710100414084</v>
      </c>
    </row>
    <row r="560">
      <c r="A560" s="22" t="s">
        <v>8549</v>
      </c>
      <c r="B560" s="22" t="s">
        <v>7991</v>
      </c>
      <c r="C560" s="23">
        <v>54.4518687476416</v>
      </c>
      <c r="D560" s="23">
        <v>0.326742451910295</v>
      </c>
    </row>
    <row r="561">
      <c r="A561" s="24" t="s">
        <v>8550</v>
      </c>
      <c r="B561" s="24" t="s">
        <v>7981</v>
      </c>
      <c r="C561" s="25">
        <v>0.0</v>
      </c>
      <c r="D561" s="25">
        <v>0.0</v>
      </c>
    </row>
    <row r="562">
      <c r="A562" s="22" t="s">
        <v>8551</v>
      </c>
      <c r="B562" s="22" t="s">
        <v>7981</v>
      </c>
      <c r="C562" s="23">
        <v>0.0</v>
      </c>
      <c r="D562" s="23">
        <v>0.0</v>
      </c>
    </row>
    <row r="563">
      <c r="A563" s="24" t="s">
        <v>8552</v>
      </c>
      <c r="B563" s="24" t="s">
        <v>7981</v>
      </c>
      <c r="C563" s="25">
        <v>40.151128</v>
      </c>
      <c r="D563" s="25">
        <v>-74.213226</v>
      </c>
    </row>
    <row r="564">
      <c r="A564" s="22" t="s">
        <v>8553</v>
      </c>
      <c r="B564" s="22" t="s">
        <v>8026</v>
      </c>
      <c r="C564" s="23">
        <v>60.2931185411757</v>
      </c>
      <c r="D564" s="23">
        <v>25.0370785617732</v>
      </c>
    </row>
    <row r="565">
      <c r="A565" s="24" t="s">
        <v>8554</v>
      </c>
      <c r="B565" s="24" t="s">
        <v>8071</v>
      </c>
      <c r="C565" s="25">
        <v>-32.5230421190234</v>
      </c>
      <c r="D565" s="25">
        <v>-70.6823924843487</v>
      </c>
    </row>
    <row r="566">
      <c r="A566" s="22" t="s">
        <v>8555</v>
      </c>
      <c r="B566" s="22" t="s">
        <v>8001</v>
      </c>
      <c r="C566" s="23">
        <v>0.0</v>
      </c>
      <c r="D566" s="23">
        <v>0.0</v>
      </c>
    </row>
    <row r="567">
      <c r="A567" s="24" t="s">
        <v>8556</v>
      </c>
      <c r="B567" s="24" t="s">
        <v>8001</v>
      </c>
      <c r="C567" s="25">
        <v>0.0</v>
      </c>
      <c r="D567" s="25">
        <v>0.0</v>
      </c>
    </row>
    <row r="568">
      <c r="A568" s="22" t="s">
        <v>8557</v>
      </c>
      <c r="B568" s="22" t="s">
        <v>8001</v>
      </c>
      <c r="C568" s="23">
        <v>0.0</v>
      </c>
      <c r="D568" s="23">
        <v>0.0</v>
      </c>
    </row>
    <row r="569">
      <c r="A569" s="24" t="s">
        <v>8558</v>
      </c>
      <c r="B569" s="24" t="s">
        <v>8001</v>
      </c>
      <c r="C569" s="25">
        <v>40.0782830074194</v>
      </c>
      <c r="D569" s="25">
        <v>113.308181777702</v>
      </c>
    </row>
    <row r="570">
      <c r="A570" s="22" t="s">
        <v>8559</v>
      </c>
      <c r="B570" s="22" t="s">
        <v>8021</v>
      </c>
      <c r="C570" s="23">
        <v>-27.4717594042105</v>
      </c>
      <c r="D570" s="23">
        <v>153.044311992899</v>
      </c>
    </row>
    <row r="571">
      <c r="A571" s="24" t="s">
        <v>8560</v>
      </c>
      <c r="B571" s="24" t="s">
        <v>8047</v>
      </c>
      <c r="C571" s="25">
        <v>40.4432173029278</v>
      </c>
      <c r="D571" s="25">
        <v>17.2510136962265</v>
      </c>
    </row>
    <row r="572">
      <c r="A572" s="22" t="s">
        <v>8561</v>
      </c>
      <c r="B572" s="22" t="s">
        <v>8562</v>
      </c>
      <c r="C572" s="23">
        <v>0.0</v>
      </c>
      <c r="D572" s="23">
        <v>0.0</v>
      </c>
    </row>
    <row r="573">
      <c r="A573" s="24" t="s">
        <v>8561</v>
      </c>
      <c r="B573" s="24" t="s">
        <v>8563</v>
      </c>
      <c r="C573" s="25">
        <v>0.0</v>
      </c>
      <c r="D573" s="25">
        <v>0.0</v>
      </c>
    </row>
    <row r="574">
      <c r="A574" s="22" t="s">
        <v>8564</v>
      </c>
      <c r="B574" s="22" t="s">
        <v>8021</v>
      </c>
      <c r="C574" s="23">
        <v>0.0</v>
      </c>
      <c r="D574" s="23">
        <v>0.0</v>
      </c>
    </row>
    <row r="575">
      <c r="A575" s="24" t="s">
        <v>8565</v>
      </c>
      <c r="B575" s="24" t="s">
        <v>7991</v>
      </c>
      <c r="C575" s="25">
        <v>53.6740064201914</v>
      </c>
      <c r="D575" s="25">
        <v>-0.570627592253947</v>
      </c>
    </row>
    <row r="576">
      <c r="A576" s="22" t="s">
        <v>8566</v>
      </c>
      <c r="B576" s="22" t="s">
        <v>7991</v>
      </c>
      <c r="C576" s="23">
        <v>51.160774407405</v>
      </c>
      <c r="D576" s="23">
        <v>-0.175151716611809</v>
      </c>
    </row>
    <row r="577">
      <c r="A577" s="24" t="s">
        <v>8567</v>
      </c>
      <c r="B577" s="24" t="s">
        <v>8021</v>
      </c>
      <c r="C577" s="25">
        <v>0.0</v>
      </c>
      <c r="D577" s="25">
        <v>0.0</v>
      </c>
    </row>
    <row r="578">
      <c r="A578" s="22" t="s">
        <v>8568</v>
      </c>
      <c r="B578" s="22" t="s">
        <v>7991</v>
      </c>
      <c r="C578" s="23">
        <v>51.5593433417971</v>
      </c>
      <c r="D578" s="23">
        <v>-1.78200936414917</v>
      </c>
    </row>
    <row r="579">
      <c r="A579" s="24" t="s">
        <v>8569</v>
      </c>
      <c r="B579" s="24" t="s">
        <v>7991</v>
      </c>
      <c r="C579" s="25">
        <v>51.6043847211121</v>
      </c>
      <c r="D579" s="25">
        <v>-0.647719825717195</v>
      </c>
    </row>
    <row r="580">
      <c r="A580" s="22" t="s">
        <v>8570</v>
      </c>
      <c r="B580" s="22" t="s">
        <v>8021</v>
      </c>
      <c r="C580" s="23">
        <v>-23.8402075908997</v>
      </c>
      <c r="D580" s="23">
        <v>151.047341874176</v>
      </c>
    </row>
    <row r="581">
      <c r="A581" s="24" t="s">
        <v>8571</v>
      </c>
      <c r="B581" s="24" t="s">
        <v>7971</v>
      </c>
      <c r="C581" s="25">
        <v>59.1356284612505</v>
      </c>
      <c r="D581" s="25">
        <v>9.62824770579228</v>
      </c>
    </row>
    <row r="582">
      <c r="A582" s="22" t="s">
        <v>8572</v>
      </c>
      <c r="B582" s="22" t="s">
        <v>7967</v>
      </c>
      <c r="C582" s="23">
        <v>52.3661016838894</v>
      </c>
      <c r="D582" s="23">
        <v>5.03477403347359</v>
      </c>
    </row>
    <row r="583">
      <c r="A583" s="24" t="s">
        <v>8573</v>
      </c>
      <c r="B583" s="24" t="s">
        <v>7967</v>
      </c>
      <c r="C583" s="25">
        <v>51.9563851054581</v>
      </c>
      <c r="D583" s="25">
        <v>4.42022132090338</v>
      </c>
    </row>
    <row r="584">
      <c r="A584" s="22" t="s">
        <v>8574</v>
      </c>
      <c r="B584" s="22" t="s">
        <v>7991</v>
      </c>
      <c r="C584" s="23">
        <v>54.5523921178758</v>
      </c>
      <c r="D584" s="23">
        <v>-1.31191618074151</v>
      </c>
    </row>
    <row r="585">
      <c r="A585" s="24" t="s">
        <v>8575</v>
      </c>
      <c r="B585" s="24" t="s">
        <v>7991</v>
      </c>
      <c r="C585" s="25">
        <v>54.5523921178758</v>
      </c>
      <c r="D585" s="25">
        <v>-1.31191618074151</v>
      </c>
    </row>
    <row r="586">
      <c r="A586" s="22" t="s">
        <v>8576</v>
      </c>
      <c r="B586" s="22" t="s">
        <v>7983</v>
      </c>
      <c r="C586" s="23">
        <v>35.443707</v>
      </c>
      <c r="D586" s="23">
        <v>139.638031</v>
      </c>
    </row>
    <row r="587">
      <c r="A587" s="24" t="s">
        <v>8577</v>
      </c>
      <c r="B587" s="24" t="s">
        <v>8578</v>
      </c>
      <c r="C587" s="25">
        <v>-0.938827956168421</v>
      </c>
      <c r="D587" s="25">
        <v>122.79250042014</v>
      </c>
    </row>
    <row r="588">
      <c r="A588" s="22" t="s">
        <v>8579</v>
      </c>
      <c r="B588" s="22" t="s">
        <v>7971</v>
      </c>
      <c r="C588" s="23">
        <v>70.4799</v>
      </c>
      <c r="D588" s="23">
        <v>24.2633</v>
      </c>
    </row>
    <row r="589">
      <c r="A589" s="24" t="s">
        <v>8580</v>
      </c>
      <c r="B589" s="24" t="s">
        <v>7977</v>
      </c>
      <c r="C589" s="25">
        <v>41.5351238477826</v>
      </c>
      <c r="D589" s="25">
        <v>-0.891003207720106</v>
      </c>
    </row>
    <row r="590">
      <c r="A590" s="22" t="s">
        <v>8581</v>
      </c>
      <c r="B590" s="22" t="s">
        <v>8582</v>
      </c>
      <c r="C590" s="23">
        <v>13.1859485660397</v>
      </c>
      <c r="D590" s="23">
        <v>-59.5598885696657</v>
      </c>
    </row>
    <row r="591">
      <c r="A591" s="24" t="s">
        <v>8583</v>
      </c>
      <c r="B591" s="24" t="s">
        <v>8011</v>
      </c>
      <c r="C591" s="25">
        <v>5.6687327</v>
      </c>
      <c r="D591" s="25">
        <v>-53.7784043</v>
      </c>
    </row>
    <row r="592">
      <c r="A592" s="22" t="s">
        <v>8584</v>
      </c>
      <c r="B592" s="22" t="s">
        <v>8585</v>
      </c>
      <c r="C592" s="23">
        <v>10.4084449566323</v>
      </c>
      <c r="D592" s="23">
        <v>-61.4923717269837</v>
      </c>
    </row>
    <row r="593">
      <c r="A593" s="24" t="s">
        <v>8586</v>
      </c>
      <c r="B593" s="24" t="s">
        <v>8003</v>
      </c>
      <c r="C593" s="25">
        <v>0.0</v>
      </c>
      <c r="D593" s="25">
        <v>0.0</v>
      </c>
    </row>
    <row r="594">
      <c r="A594" s="22" t="s">
        <v>8587</v>
      </c>
      <c r="B594" s="22" t="s">
        <v>8588</v>
      </c>
      <c r="C594" s="23">
        <v>0.0</v>
      </c>
      <c r="D594" s="23">
        <v>0.0</v>
      </c>
    </row>
    <row r="595">
      <c r="A595" s="24" t="s">
        <v>8589</v>
      </c>
      <c r="B595" s="24" t="s">
        <v>8590</v>
      </c>
      <c r="C595" s="25">
        <v>-3.53092803394662</v>
      </c>
      <c r="D595" s="25">
        <v>-38.7923774582973</v>
      </c>
    </row>
    <row r="596">
      <c r="A596" s="22" t="s">
        <v>232</v>
      </c>
      <c r="B596" s="22" t="s">
        <v>8591</v>
      </c>
      <c r="C596" s="23">
        <v>46.4966066</v>
      </c>
      <c r="D596" s="23">
        <v>20.7015134</v>
      </c>
    </row>
    <row r="597">
      <c r="A597" s="24" t="s">
        <v>8592</v>
      </c>
      <c r="B597" s="24" t="s">
        <v>8003</v>
      </c>
      <c r="C597" s="25">
        <v>53.9270272563981</v>
      </c>
      <c r="D597" s="25">
        <v>-122.694135859341</v>
      </c>
    </row>
    <row r="598">
      <c r="A598" s="22" t="s">
        <v>8593</v>
      </c>
      <c r="B598" s="22" t="s">
        <v>8594</v>
      </c>
      <c r="C598" s="23">
        <v>23.0482273051446</v>
      </c>
      <c r="D598" s="23">
        <v>120.15202540513</v>
      </c>
    </row>
    <row r="599">
      <c r="A599" s="24" t="s">
        <v>8595</v>
      </c>
      <c r="B599" s="24" t="s">
        <v>7967</v>
      </c>
      <c r="C599" s="25">
        <v>0.0</v>
      </c>
      <c r="D599" s="25">
        <v>0.0</v>
      </c>
    </row>
    <row r="600">
      <c r="A600" s="22" t="s">
        <v>179</v>
      </c>
      <c r="B600" s="22" t="s">
        <v>7987</v>
      </c>
      <c r="C600" s="23">
        <v>53.4885377057354</v>
      </c>
      <c r="D600" s="23">
        <v>9.13239411576119</v>
      </c>
    </row>
    <row r="601">
      <c r="A601" s="24" t="s">
        <v>8596</v>
      </c>
      <c r="B601" s="24" t="s">
        <v>7987</v>
      </c>
      <c r="C601" s="25">
        <v>53.1373817854315</v>
      </c>
      <c r="D601" s="25">
        <v>8.69389952431443</v>
      </c>
    </row>
    <row r="602">
      <c r="A602" s="22" t="s">
        <v>8597</v>
      </c>
      <c r="B602" s="22" t="s">
        <v>7977</v>
      </c>
      <c r="C602" s="23">
        <v>41.6938981881955</v>
      </c>
      <c r="D602" s="23">
        <v>0.594861637569257</v>
      </c>
    </row>
    <row r="603">
      <c r="A603" s="24" t="s">
        <v>8598</v>
      </c>
      <c r="B603" s="24" t="s">
        <v>7981</v>
      </c>
      <c r="C603" s="25">
        <v>30.034577209652</v>
      </c>
      <c r="D603" s="25">
        <v>-90.7754767502425</v>
      </c>
    </row>
    <row r="604">
      <c r="A604" s="22" t="s">
        <v>8599</v>
      </c>
      <c r="B604" s="22" t="s">
        <v>8600</v>
      </c>
      <c r="C604" s="23">
        <v>23.0747691587073</v>
      </c>
      <c r="D604" s="23">
        <v>-109.584141340571</v>
      </c>
    </row>
    <row r="605">
      <c r="A605" s="24" t="s">
        <v>8601</v>
      </c>
      <c r="B605" s="24" t="s">
        <v>8602</v>
      </c>
      <c r="C605" s="25">
        <v>0.0</v>
      </c>
      <c r="D605" s="25">
        <v>0.0</v>
      </c>
    </row>
    <row r="606">
      <c r="A606" s="22" t="s">
        <v>8603</v>
      </c>
      <c r="B606" s="22" t="s">
        <v>8003</v>
      </c>
      <c r="C606" s="23">
        <v>45.4331520043935</v>
      </c>
      <c r="D606" s="23">
        <v>-75.7289653331989</v>
      </c>
    </row>
    <row r="607">
      <c r="A607" s="24" t="s">
        <v>8604</v>
      </c>
      <c r="B607" s="24" t="s">
        <v>7987</v>
      </c>
      <c r="C607" s="25">
        <v>48.171131</v>
      </c>
      <c r="D607" s="25">
        <v>12.831759</v>
      </c>
    </row>
    <row r="608">
      <c r="A608" s="22" t="s">
        <v>8605</v>
      </c>
      <c r="B608" s="22" t="s">
        <v>8001</v>
      </c>
      <c r="C608" s="23">
        <v>40.5138148869209</v>
      </c>
      <c r="D608" s="23">
        <v>116.121524302132</v>
      </c>
    </row>
    <row r="609">
      <c r="A609" s="24" t="s">
        <v>8606</v>
      </c>
      <c r="B609" s="24" t="s">
        <v>8001</v>
      </c>
      <c r="C609" s="25">
        <v>38.3166983812926</v>
      </c>
      <c r="D609" s="25">
        <v>116.840629569924</v>
      </c>
    </row>
    <row r="610">
      <c r="A610" s="22" t="s">
        <v>8607</v>
      </c>
      <c r="B610" s="22" t="s">
        <v>8001</v>
      </c>
      <c r="C610" s="23">
        <v>32.3109328603062</v>
      </c>
      <c r="D610" s="23">
        <v>120.380302538518</v>
      </c>
    </row>
    <row r="611">
      <c r="A611" s="24" t="s">
        <v>8608</v>
      </c>
      <c r="B611" s="24" t="s">
        <v>8001</v>
      </c>
      <c r="C611" s="25">
        <v>40.7861058042063</v>
      </c>
      <c r="D611" s="25">
        <v>114.846878554069</v>
      </c>
    </row>
    <row r="612">
      <c r="A612" s="22" t="s">
        <v>8609</v>
      </c>
      <c r="B612" s="22" t="s">
        <v>8001</v>
      </c>
      <c r="C612" s="23">
        <v>43.8142104604214</v>
      </c>
      <c r="D612" s="23">
        <v>126.466692422832</v>
      </c>
    </row>
    <row r="613">
      <c r="A613" s="24" t="s">
        <v>8610</v>
      </c>
      <c r="B613" s="24" t="s">
        <v>8001</v>
      </c>
      <c r="C613" s="25">
        <v>40.0782830074194</v>
      </c>
      <c r="D613" s="25">
        <v>113.308181777702</v>
      </c>
    </row>
    <row r="614">
      <c r="A614" s="22" t="s">
        <v>8611</v>
      </c>
      <c r="B614" s="22" t="s">
        <v>7999</v>
      </c>
      <c r="C614" s="23">
        <v>46.594983213755</v>
      </c>
      <c r="D614" s="23">
        <v>13.8562941774827</v>
      </c>
    </row>
    <row r="615">
      <c r="A615" s="24" t="s">
        <v>8612</v>
      </c>
      <c r="B615" s="24" t="s">
        <v>7999</v>
      </c>
      <c r="C615" s="25">
        <v>0.0</v>
      </c>
      <c r="D615" s="25">
        <v>0.0</v>
      </c>
    </row>
    <row r="616">
      <c r="A616" s="22" t="s">
        <v>8613</v>
      </c>
      <c r="B616" s="22" t="s">
        <v>8591</v>
      </c>
      <c r="C616" s="23">
        <v>47.7893799455305</v>
      </c>
      <c r="D616" s="23">
        <v>20.0682127856193</v>
      </c>
    </row>
    <row r="617">
      <c r="A617" s="24" t="s">
        <v>8614</v>
      </c>
      <c r="B617" s="24" t="s">
        <v>8023</v>
      </c>
      <c r="C617" s="25">
        <v>52.2875093003885</v>
      </c>
      <c r="D617" s="25">
        <v>18.2839036961008</v>
      </c>
    </row>
    <row r="618">
      <c r="A618" s="22" t="s">
        <v>8615</v>
      </c>
      <c r="B618" s="22" t="s">
        <v>7974</v>
      </c>
      <c r="C618" s="23">
        <v>58.0802055405609</v>
      </c>
      <c r="D618" s="23">
        <v>11.8180707455483</v>
      </c>
    </row>
    <row r="619">
      <c r="A619" s="24" t="s">
        <v>8616</v>
      </c>
      <c r="B619" s="24" t="s">
        <v>7985</v>
      </c>
      <c r="C619" s="25">
        <v>47.5602883002924</v>
      </c>
      <c r="D619" s="25">
        <v>7.6294168741863</v>
      </c>
    </row>
    <row r="620">
      <c r="A620" s="22" t="s">
        <v>8617</v>
      </c>
      <c r="B620" s="22" t="s">
        <v>8618</v>
      </c>
      <c r="C620" s="23">
        <v>46.1290320161843</v>
      </c>
      <c r="D620" s="23">
        <v>15.0945054818392</v>
      </c>
    </row>
    <row r="621">
      <c r="A621" s="24" t="s">
        <v>8619</v>
      </c>
      <c r="B621" s="24" t="s">
        <v>8620</v>
      </c>
      <c r="C621" s="25">
        <v>0.0</v>
      </c>
      <c r="D621" s="25">
        <v>0.0</v>
      </c>
    </row>
    <row r="622">
      <c r="A622" s="22" t="s">
        <v>8621</v>
      </c>
      <c r="B622" s="22" t="s">
        <v>8620</v>
      </c>
      <c r="C622" s="23">
        <v>0.0</v>
      </c>
      <c r="D622" s="23">
        <v>0.0</v>
      </c>
    </row>
    <row r="623">
      <c r="A623" s="24" t="s">
        <v>8622</v>
      </c>
      <c r="B623" s="24" t="s">
        <v>7987</v>
      </c>
      <c r="C623" s="25">
        <v>52.5586047735969</v>
      </c>
      <c r="D623" s="25">
        <v>7.31019332083824</v>
      </c>
    </row>
    <row r="624">
      <c r="A624" s="22" t="s">
        <v>8623</v>
      </c>
      <c r="B624" s="22" t="s">
        <v>7987</v>
      </c>
      <c r="C624" s="23">
        <v>0.0</v>
      </c>
      <c r="D624" s="23">
        <v>0.0</v>
      </c>
    </row>
    <row r="625">
      <c r="A625" s="24" t="s">
        <v>8624</v>
      </c>
      <c r="B625" s="24" t="s">
        <v>7987</v>
      </c>
      <c r="C625" s="25">
        <v>0.0</v>
      </c>
      <c r="D625" s="25">
        <v>0.0</v>
      </c>
    </row>
    <row r="626">
      <c r="A626" s="22" t="s">
        <v>8625</v>
      </c>
      <c r="B626" s="22" t="s">
        <v>7987</v>
      </c>
      <c r="C626" s="23">
        <v>0.0</v>
      </c>
      <c r="D626" s="23">
        <v>0.0</v>
      </c>
    </row>
    <row r="627">
      <c r="A627" s="24" t="s">
        <v>8626</v>
      </c>
      <c r="B627" s="24" t="s">
        <v>7987</v>
      </c>
      <c r="C627" s="25">
        <v>52.2283266433803</v>
      </c>
      <c r="D627" s="25">
        <v>11.0043476038046</v>
      </c>
    </row>
    <row r="628">
      <c r="A628" s="22" t="s">
        <v>8627</v>
      </c>
      <c r="B628" s="22" t="s">
        <v>7987</v>
      </c>
      <c r="C628" s="23">
        <v>0.0</v>
      </c>
      <c r="D628" s="23">
        <v>0.0</v>
      </c>
    </row>
    <row r="629">
      <c r="A629" s="24" t="s">
        <v>8628</v>
      </c>
      <c r="B629" s="24" t="s">
        <v>8618</v>
      </c>
      <c r="C629" s="25">
        <v>0.0</v>
      </c>
      <c r="D629" s="25">
        <v>0.0</v>
      </c>
    </row>
    <row r="630">
      <c r="A630" s="22" t="s">
        <v>8629</v>
      </c>
      <c r="B630" s="22" t="s">
        <v>8618</v>
      </c>
      <c r="C630" s="23">
        <v>46.3746746970699</v>
      </c>
      <c r="D630" s="23">
        <v>15.0529723524386</v>
      </c>
    </row>
    <row r="631">
      <c r="A631" s="24" t="s">
        <v>8630</v>
      </c>
      <c r="B631" s="24" t="s">
        <v>8618</v>
      </c>
      <c r="C631" s="25">
        <v>0.0</v>
      </c>
      <c r="D631" s="25">
        <v>0.0</v>
      </c>
    </row>
    <row r="632">
      <c r="A632" s="22" t="s">
        <v>8631</v>
      </c>
      <c r="B632" s="22" t="s">
        <v>8632</v>
      </c>
      <c r="C632" s="23">
        <v>0.0</v>
      </c>
      <c r="D632" s="23">
        <v>0.0</v>
      </c>
    </row>
    <row r="633">
      <c r="A633" s="24" t="s">
        <v>8633</v>
      </c>
      <c r="B633" s="24" t="s">
        <v>7991</v>
      </c>
      <c r="C633" s="25">
        <v>57.0652083105234</v>
      </c>
      <c r="D633" s="25">
        <v>-1.89828762993735</v>
      </c>
    </row>
    <row r="634">
      <c r="A634" s="22" t="s">
        <v>8634</v>
      </c>
      <c r="B634" s="22" t="s">
        <v>7991</v>
      </c>
      <c r="C634" s="23">
        <v>57.0652083105234</v>
      </c>
      <c r="D634" s="23">
        <v>-1.89828762993735</v>
      </c>
    </row>
    <row r="635">
      <c r="A635" s="24" t="s">
        <v>8635</v>
      </c>
      <c r="B635" s="24" t="s">
        <v>7991</v>
      </c>
      <c r="C635" s="25">
        <v>53.1423754721624</v>
      </c>
      <c r="D635" s="25">
        <v>-1.03530659348711</v>
      </c>
    </row>
    <row r="636">
      <c r="A636" s="22" t="s">
        <v>8636</v>
      </c>
      <c r="B636" s="22" t="s">
        <v>7991</v>
      </c>
      <c r="C636" s="23">
        <v>53.6548015517335</v>
      </c>
      <c r="D636" s="23">
        <v>-0.254668893129371</v>
      </c>
    </row>
    <row r="637">
      <c r="A637" s="24" t="s">
        <v>8637</v>
      </c>
      <c r="B637" s="24" t="s">
        <v>7967</v>
      </c>
      <c r="C637" s="25">
        <v>53.3590619008262</v>
      </c>
      <c r="D637" s="25">
        <v>4.87415460996007</v>
      </c>
    </row>
    <row r="638">
      <c r="A638" s="22" t="s">
        <v>8638</v>
      </c>
      <c r="B638" s="22" t="s">
        <v>8632</v>
      </c>
      <c r="C638" s="23">
        <v>48.5442993636312</v>
      </c>
      <c r="D638" s="23">
        <v>22.0774548454274</v>
      </c>
    </row>
    <row r="639">
      <c r="A639" s="24" t="s">
        <v>8639</v>
      </c>
      <c r="B639" s="24" t="s">
        <v>7987</v>
      </c>
      <c r="C639" s="25">
        <v>53.5249420751023</v>
      </c>
      <c r="D639" s="25">
        <v>7.63035953879019</v>
      </c>
    </row>
    <row r="640">
      <c r="A640" s="22" t="s">
        <v>8640</v>
      </c>
      <c r="B640" s="27" t="s">
        <v>8641</v>
      </c>
      <c r="C640" s="23">
        <v>56.6392304113284</v>
      </c>
      <c r="D640" s="23">
        <v>9.795671507972</v>
      </c>
    </row>
    <row r="641">
      <c r="A641" s="24" t="s">
        <v>8642</v>
      </c>
      <c r="B641" s="28" t="s">
        <v>8641</v>
      </c>
      <c r="C641" s="25">
        <v>56.6392304113284</v>
      </c>
      <c r="D641" s="25">
        <v>9.795671507972</v>
      </c>
    </row>
    <row r="642">
      <c r="A642" s="22" t="s">
        <v>8643</v>
      </c>
      <c r="B642" s="22" t="s">
        <v>8011</v>
      </c>
      <c r="C642" s="23">
        <v>0.0</v>
      </c>
      <c r="D642" s="23">
        <v>0.0</v>
      </c>
    </row>
    <row r="643">
      <c r="A643" s="24" t="s">
        <v>8644</v>
      </c>
      <c r="B643" s="24" t="s">
        <v>8047</v>
      </c>
      <c r="C643" s="25">
        <v>0.0</v>
      </c>
      <c r="D643" s="25">
        <v>0.0</v>
      </c>
    </row>
    <row r="644">
      <c r="A644" s="22" t="s">
        <v>8645</v>
      </c>
      <c r="B644" s="22" t="s">
        <v>8047</v>
      </c>
      <c r="C644" s="23">
        <v>41.0668789763343</v>
      </c>
      <c r="D644" s="23">
        <v>16.6825775917671</v>
      </c>
    </row>
    <row r="645">
      <c r="A645" s="24" t="s">
        <v>8646</v>
      </c>
      <c r="B645" s="24" t="s">
        <v>8647</v>
      </c>
      <c r="C645" s="25">
        <v>55.4138063398703</v>
      </c>
      <c r="D645" s="25">
        <v>23.5196801766094</v>
      </c>
    </row>
    <row r="646">
      <c r="A646" s="22" t="s">
        <v>8648</v>
      </c>
      <c r="B646" s="22" t="s">
        <v>8649</v>
      </c>
      <c r="C646" s="23">
        <v>56.9063693339242</v>
      </c>
      <c r="D646" s="23">
        <v>24.9149438799513</v>
      </c>
    </row>
    <row r="647">
      <c r="A647" s="24" t="s">
        <v>8650</v>
      </c>
      <c r="B647" s="24" t="s">
        <v>8632</v>
      </c>
      <c r="C647" s="25">
        <v>0.0</v>
      </c>
      <c r="D647" s="25">
        <v>0.0</v>
      </c>
    </row>
    <row r="648">
      <c r="A648" s="22" t="s">
        <v>8651</v>
      </c>
      <c r="B648" s="22" t="s">
        <v>8632</v>
      </c>
      <c r="C648" s="23">
        <v>48.8857680974633</v>
      </c>
      <c r="D648" s="23">
        <v>19.3628915911266</v>
      </c>
    </row>
    <row r="649">
      <c r="A649" s="24" t="s">
        <v>8652</v>
      </c>
      <c r="B649" s="24" t="s">
        <v>7987</v>
      </c>
      <c r="C649" s="25">
        <v>51.5962327512673</v>
      </c>
      <c r="D649" s="25">
        <v>7.13941106264352</v>
      </c>
    </row>
    <row r="650">
      <c r="A650" s="22" t="s">
        <v>8653</v>
      </c>
      <c r="B650" s="22" t="s">
        <v>8011</v>
      </c>
      <c r="C650" s="23">
        <v>47.2737738929495</v>
      </c>
      <c r="D650" s="23">
        <v>-2.21032492972901</v>
      </c>
    </row>
    <row r="651">
      <c r="A651" s="24" t="s">
        <v>8654</v>
      </c>
      <c r="B651" s="24" t="s">
        <v>8011</v>
      </c>
      <c r="C651" s="25">
        <v>49.9631309184685</v>
      </c>
      <c r="D651" s="25">
        <v>1.08968768256936</v>
      </c>
    </row>
    <row r="652">
      <c r="A652" s="22" t="s">
        <v>8655</v>
      </c>
      <c r="B652" s="22" t="s">
        <v>8011</v>
      </c>
      <c r="C652" s="23">
        <v>0.0</v>
      </c>
      <c r="D652" s="23">
        <v>0.0</v>
      </c>
    </row>
    <row r="653">
      <c r="A653" s="24" t="s">
        <v>8656</v>
      </c>
      <c r="B653" s="24" t="s">
        <v>7981</v>
      </c>
      <c r="C653" s="25">
        <v>0.0</v>
      </c>
      <c r="D653" s="25">
        <v>0.0</v>
      </c>
    </row>
    <row r="654">
      <c r="A654" s="22" t="s">
        <v>8657</v>
      </c>
      <c r="B654" s="22" t="s">
        <v>8071</v>
      </c>
      <c r="C654" s="23">
        <v>-26.3890171513679</v>
      </c>
      <c r="D654" s="23">
        <v>-70.0480882538443</v>
      </c>
    </row>
    <row r="655">
      <c r="A655" s="24" t="s">
        <v>8658</v>
      </c>
      <c r="B655" s="24" t="s">
        <v>7987</v>
      </c>
      <c r="C655" s="25">
        <v>0.0</v>
      </c>
      <c r="D655" s="25">
        <v>0.0</v>
      </c>
    </row>
    <row r="656">
      <c r="A656" s="22" t="s">
        <v>8659</v>
      </c>
      <c r="B656" s="22" t="s">
        <v>7987</v>
      </c>
      <c r="C656" s="23">
        <v>0.0</v>
      </c>
      <c r="D656" s="23">
        <v>0.0</v>
      </c>
    </row>
    <row r="657">
      <c r="A657" s="24" t="s">
        <v>8660</v>
      </c>
      <c r="B657" s="24" t="s">
        <v>7987</v>
      </c>
      <c r="C657" s="25">
        <v>54.2753582465275</v>
      </c>
      <c r="D657" s="25">
        <v>9.24436624698034</v>
      </c>
    </row>
    <row r="658">
      <c r="A658" s="22" t="s">
        <v>8661</v>
      </c>
      <c r="B658" s="22" t="s">
        <v>8071</v>
      </c>
      <c r="C658" s="23">
        <v>-52.0278233332627</v>
      </c>
      <c r="D658" s="23">
        <v>-72.3950137977037</v>
      </c>
    </row>
    <row r="659">
      <c r="A659" s="24" t="s">
        <v>8662</v>
      </c>
      <c r="B659" s="24" t="s">
        <v>8071</v>
      </c>
      <c r="C659" s="25">
        <v>-52.0278233332627</v>
      </c>
      <c r="D659" s="25">
        <v>-72.3950137977037</v>
      </c>
    </row>
    <row r="660">
      <c r="A660" s="22" t="s">
        <v>8663</v>
      </c>
      <c r="B660" s="22" t="s">
        <v>8021</v>
      </c>
      <c r="C660" s="23">
        <v>-37.8242600214915</v>
      </c>
      <c r="D660" s="23">
        <v>144.745564056749</v>
      </c>
    </row>
    <row r="661">
      <c r="A661" s="24" t="s">
        <v>8664</v>
      </c>
      <c r="B661" s="24" t="s">
        <v>8578</v>
      </c>
      <c r="C661" s="25">
        <v>-5.306544</v>
      </c>
      <c r="D661" s="25">
        <v>104.577194</v>
      </c>
    </row>
    <row r="662">
      <c r="A662" s="22" t="s">
        <v>8665</v>
      </c>
      <c r="B662" s="22" t="s">
        <v>8026</v>
      </c>
      <c r="C662" s="23">
        <v>61.3189210585131</v>
      </c>
      <c r="D662" s="23">
        <v>22.1256331937277</v>
      </c>
    </row>
    <row r="663">
      <c r="A663" s="24" t="s">
        <v>8666</v>
      </c>
      <c r="B663" s="24" t="s">
        <v>7977</v>
      </c>
      <c r="C663" s="25">
        <v>42.5188753942174</v>
      </c>
      <c r="D663" s="25">
        <v>-0.372457214855109</v>
      </c>
    </row>
    <row r="664">
      <c r="A664" s="22" t="s">
        <v>8667</v>
      </c>
      <c r="B664" s="22" t="s">
        <v>7981</v>
      </c>
      <c r="C664" s="23">
        <v>37.0617251366563</v>
      </c>
      <c r="D664" s="23">
        <v>-120.698269618401</v>
      </c>
    </row>
    <row r="665">
      <c r="A665" s="24" t="s">
        <v>8668</v>
      </c>
      <c r="B665" s="24" t="s">
        <v>8047</v>
      </c>
      <c r="C665" s="25">
        <v>45.1557330393387</v>
      </c>
      <c r="D665" s="25">
        <v>10.7897290299891</v>
      </c>
    </row>
    <row r="666">
      <c r="A666" s="22" t="s">
        <v>8669</v>
      </c>
      <c r="B666" s="22" t="s">
        <v>8026</v>
      </c>
      <c r="C666" s="23">
        <v>63.8413308048752</v>
      </c>
      <c r="D666" s="23">
        <v>23.1269603942447</v>
      </c>
    </row>
    <row r="667">
      <c r="A667" s="24" t="s">
        <v>8670</v>
      </c>
      <c r="B667" s="24" t="s">
        <v>8021</v>
      </c>
      <c r="C667" s="25">
        <v>-24.6776313913839</v>
      </c>
      <c r="D667" s="25">
        <v>113.613874878565</v>
      </c>
    </row>
    <row r="668">
      <c r="A668" s="22" t="s">
        <v>8671</v>
      </c>
      <c r="B668" s="22" t="s">
        <v>8001</v>
      </c>
      <c r="C668" s="23">
        <v>36.0735323190034</v>
      </c>
      <c r="D668" s="23">
        <v>120.394281968075</v>
      </c>
    </row>
    <row r="669">
      <c r="A669" s="24" t="s">
        <v>8672</v>
      </c>
      <c r="B669" s="24" t="s">
        <v>8071</v>
      </c>
      <c r="C669" s="25">
        <v>-52.0278233332627</v>
      </c>
      <c r="D669" s="25">
        <v>-72.3950137977037</v>
      </c>
    </row>
    <row r="670">
      <c r="A670" s="22" t="s">
        <v>8673</v>
      </c>
      <c r="B670" s="22" t="s">
        <v>7987</v>
      </c>
      <c r="C670" s="23">
        <v>54.1450728679173</v>
      </c>
      <c r="D670" s="23">
        <v>12.1093972362866</v>
      </c>
    </row>
    <row r="671">
      <c r="A671" s="24" t="s">
        <v>8674</v>
      </c>
      <c r="B671" s="24" t="s">
        <v>8047</v>
      </c>
      <c r="C671" s="25">
        <v>40.1325007093687</v>
      </c>
      <c r="D671" s="25">
        <v>9.02913199332542</v>
      </c>
    </row>
    <row r="672">
      <c r="A672" s="22" t="s">
        <v>8675</v>
      </c>
      <c r="B672" s="22" t="s">
        <v>7977</v>
      </c>
      <c r="C672" s="23">
        <v>39.9580042348676</v>
      </c>
      <c r="D672" s="23">
        <v>-0.00407231136722538</v>
      </c>
    </row>
    <row r="673">
      <c r="A673" s="24" t="s">
        <v>8676</v>
      </c>
      <c r="B673" s="24" t="s">
        <v>7987</v>
      </c>
      <c r="C673" s="25">
        <v>50.2307994</v>
      </c>
      <c r="D673" s="25">
        <v>7.1404855</v>
      </c>
    </row>
    <row r="674">
      <c r="A674" s="22" t="s">
        <v>8677</v>
      </c>
      <c r="B674" s="22" t="s">
        <v>7977</v>
      </c>
      <c r="C674" s="23">
        <v>0.0</v>
      </c>
      <c r="D674" s="23">
        <v>0.0</v>
      </c>
    </row>
    <row r="675">
      <c r="A675" s="24" t="s">
        <v>8678</v>
      </c>
      <c r="B675" s="24" t="s">
        <v>7977</v>
      </c>
      <c r="C675" s="25">
        <v>0.0</v>
      </c>
      <c r="D675" s="25">
        <v>0.0</v>
      </c>
    </row>
    <row r="676">
      <c r="A676" s="22" t="s">
        <v>8679</v>
      </c>
      <c r="B676" s="22" t="s">
        <v>8003</v>
      </c>
      <c r="C676" s="23">
        <v>53.712776</v>
      </c>
      <c r="D676" s="23">
        <v>-113.213333</v>
      </c>
    </row>
    <row r="677">
      <c r="A677" s="24" t="s">
        <v>8680</v>
      </c>
      <c r="B677" s="24" t="s">
        <v>8539</v>
      </c>
      <c r="C677" s="25">
        <v>35.516639477648</v>
      </c>
      <c r="D677" s="25">
        <v>129.444444699455</v>
      </c>
    </row>
    <row r="678">
      <c r="A678" s="22" t="s">
        <v>8681</v>
      </c>
      <c r="B678" s="22" t="s">
        <v>8021</v>
      </c>
      <c r="C678" s="23">
        <v>-27.4753896074049</v>
      </c>
      <c r="D678" s="23">
        <v>152.998689614009</v>
      </c>
    </row>
    <row r="679">
      <c r="A679" s="24" t="s">
        <v>8682</v>
      </c>
      <c r="B679" s="24" t="s">
        <v>7981</v>
      </c>
      <c r="C679" s="25">
        <v>38.6260157038178</v>
      </c>
      <c r="D679" s="25">
        <v>-90.195396813019</v>
      </c>
    </row>
    <row r="680">
      <c r="A680" s="22" t="s">
        <v>8683</v>
      </c>
      <c r="B680" s="22" t="s">
        <v>8047</v>
      </c>
      <c r="C680" s="23">
        <v>0.0</v>
      </c>
      <c r="D680" s="23">
        <v>0.0</v>
      </c>
    </row>
    <row r="681">
      <c r="A681" s="24" t="s">
        <v>8684</v>
      </c>
      <c r="B681" s="24" t="s">
        <v>7981</v>
      </c>
      <c r="C681" s="25">
        <v>31.3840314362777</v>
      </c>
      <c r="D681" s="25">
        <v>-102.031465972819</v>
      </c>
    </row>
    <row r="682">
      <c r="A682" s="22" t="s">
        <v>8685</v>
      </c>
      <c r="B682" s="22" t="s">
        <v>8388</v>
      </c>
      <c r="C682" s="23">
        <v>19.6866840412678</v>
      </c>
      <c r="D682" s="23">
        <v>56.8637803154941</v>
      </c>
    </row>
    <row r="683">
      <c r="A683" s="24" t="s">
        <v>8686</v>
      </c>
      <c r="B683" s="24" t="s">
        <v>7981</v>
      </c>
      <c r="C683" s="25">
        <v>32.7632892464245</v>
      </c>
      <c r="D683" s="25">
        <v>-97.3401307134511</v>
      </c>
    </row>
    <row r="684">
      <c r="A684" s="22" t="s">
        <v>8687</v>
      </c>
      <c r="B684" s="22" t="s">
        <v>7981</v>
      </c>
      <c r="C684" s="23">
        <v>0.0</v>
      </c>
      <c r="D684" s="23">
        <v>0.0</v>
      </c>
    </row>
    <row r="685">
      <c r="A685" s="24" t="s">
        <v>8688</v>
      </c>
      <c r="B685" s="24" t="s">
        <v>7967</v>
      </c>
      <c r="C685" s="25">
        <v>53.4391204300336</v>
      </c>
      <c r="D685" s="25">
        <v>6.83653040082158</v>
      </c>
    </row>
    <row r="686">
      <c r="A686" s="22" t="s">
        <v>8689</v>
      </c>
      <c r="B686" s="22" t="s">
        <v>7967</v>
      </c>
      <c r="C686" s="23">
        <v>53.4391204300336</v>
      </c>
      <c r="D686" s="23">
        <v>6.83653040082158</v>
      </c>
    </row>
    <row r="687">
      <c r="A687" s="24" t="s">
        <v>8690</v>
      </c>
      <c r="B687" s="24" t="s">
        <v>7967</v>
      </c>
      <c r="C687" s="25">
        <v>51.3206955203114</v>
      </c>
      <c r="D687" s="25">
        <v>3.81518543580864</v>
      </c>
    </row>
    <row r="688">
      <c r="A688" s="22" t="s">
        <v>8691</v>
      </c>
      <c r="B688" s="22" t="s">
        <v>8021</v>
      </c>
      <c r="C688" s="23">
        <v>-23.8402075908997</v>
      </c>
      <c r="D688" s="23">
        <v>151.047341874176</v>
      </c>
    </row>
    <row r="689">
      <c r="A689" s="24" t="s">
        <v>8692</v>
      </c>
      <c r="B689" s="24" t="s">
        <v>7967</v>
      </c>
      <c r="C689" s="25">
        <v>51.4189536432728</v>
      </c>
      <c r="D689" s="25">
        <v>3.72739827547602</v>
      </c>
    </row>
    <row r="690">
      <c r="A690" s="22" t="s">
        <v>8693</v>
      </c>
      <c r="B690" s="22" t="s">
        <v>7967</v>
      </c>
      <c r="C690" s="23">
        <v>50.9822994857122</v>
      </c>
      <c r="D690" s="23">
        <v>5.83153501584353</v>
      </c>
    </row>
    <row r="691">
      <c r="A691" s="24" t="s">
        <v>8694</v>
      </c>
      <c r="B691" s="24" t="s">
        <v>7967</v>
      </c>
      <c r="C691" s="25">
        <v>0.0</v>
      </c>
      <c r="D691" s="25">
        <v>0.0</v>
      </c>
    </row>
    <row r="692">
      <c r="A692" s="22" t="s">
        <v>8695</v>
      </c>
      <c r="B692" s="22" t="s">
        <v>7967</v>
      </c>
      <c r="C692" s="23">
        <v>52.8324441105914</v>
      </c>
      <c r="D692" s="23">
        <v>4.93873371024834</v>
      </c>
    </row>
    <row r="693">
      <c r="A693" s="24" t="s">
        <v>8696</v>
      </c>
      <c r="B693" s="24" t="s">
        <v>7967</v>
      </c>
      <c r="C693" s="25">
        <v>0.0</v>
      </c>
      <c r="D693" s="25">
        <v>0.0</v>
      </c>
    </row>
    <row r="694">
      <c r="A694" s="22" t="s">
        <v>8697</v>
      </c>
      <c r="B694" s="22" t="s">
        <v>8001</v>
      </c>
      <c r="C694" s="23">
        <v>39.6740578446643</v>
      </c>
      <c r="D694" s="23">
        <v>109.724756063919</v>
      </c>
    </row>
    <row r="695">
      <c r="A695" s="24" t="s">
        <v>8698</v>
      </c>
      <c r="B695" s="24" t="s">
        <v>8001</v>
      </c>
      <c r="C695" s="25">
        <v>41.8275499906397</v>
      </c>
      <c r="D695" s="25">
        <v>83.3949016620533</v>
      </c>
    </row>
    <row r="696">
      <c r="A696" s="22" t="s">
        <v>8699</v>
      </c>
      <c r="B696" s="22" t="s">
        <v>7981</v>
      </c>
      <c r="C696" s="23">
        <v>31.3909815703736</v>
      </c>
      <c r="D696" s="23">
        <v>-103.535958296125</v>
      </c>
    </row>
    <row r="697">
      <c r="A697" s="24" t="s">
        <v>8700</v>
      </c>
      <c r="B697" s="24" t="s">
        <v>7994</v>
      </c>
      <c r="C697" s="25">
        <v>56.5653019471961</v>
      </c>
      <c r="D697" s="25">
        <v>9.02965887010113</v>
      </c>
    </row>
    <row r="698">
      <c r="A698" s="22" t="s">
        <v>8701</v>
      </c>
      <c r="B698" s="22" t="s">
        <v>8702</v>
      </c>
      <c r="C698" s="23">
        <v>51.8404527235042</v>
      </c>
      <c r="D698" s="23">
        <v>-8.21832026462021</v>
      </c>
    </row>
    <row r="699">
      <c r="A699" s="24" t="s">
        <v>8703</v>
      </c>
      <c r="B699" s="24" t="s">
        <v>7994</v>
      </c>
      <c r="C699" s="25">
        <v>56.5653019471961</v>
      </c>
      <c r="D699" s="25">
        <v>9.02965887010113</v>
      </c>
    </row>
    <row r="700">
      <c r="A700" s="22" t="s">
        <v>8704</v>
      </c>
      <c r="B700" s="22" t="s">
        <v>8371</v>
      </c>
      <c r="C700" s="23">
        <v>24.4852421565258</v>
      </c>
      <c r="D700" s="23">
        <v>54.3927280389778</v>
      </c>
    </row>
    <row r="701">
      <c r="A701" s="24" t="s">
        <v>8705</v>
      </c>
      <c r="B701" s="24" t="s">
        <v>7994</v>
      </c>
      <c r="C701" s="25">
        <v>55.591385038419</v>
      </c>
      <c r="D701" s="25">
        <v>9.75264367456355</v>
      </c>
    </row>
    <row r="702">
      <c r="A702" s="22" t="s">
        <v>8706</v>
      </c>
      <c r="B702" s="22" t="s">
        <v>8147</v>
      </c>
      <c r="C702" s="23">
        <v>-39.3220512117082</v>
      </c>
      <c r="D702" s="23">
        <v>174.41011746982</v>
      </c>
    </row>
    <row r="703">
      <c r="A703" s="24" t="s">
        <v>8707</v>
      </c>
      <c r="B703" s="24" t="s">
        <v>8003</v>
      </c>
      <c r="C703" s="25">
        <v>0.0</v>
      </c>
      <c r="D703" s="25">
        <v>0.0</v>
      </c>
    </row>
    <row r="704">
      <c r="A704" s="22" t="s">
        <v>8708</v>
      </c>
      <c r="B704" s="22" t="s">
        <v>8539</v>
      </c>
      <c r="C704" s="23">
        <v>0.0</v>
      </c>
      <c r="D704" s="23">
        <v>0.0</v>
      </c>
    </row>
    <row r="705">
      <c r="A705" s="24" t="s">
        <v>8709</v>
      </c>
      <c r="B705" s="24" t="s">
        <v>7977</v>
      </c>
      <c r="C705" s="25">
        <v>43.4690706544209</v>
      </c>
      <c r="D705" s="25">
        <v>-8.214771432559</v>
      </c>
    </row>
    <row r="706">
      <c r="A706" s="22" t="s">
        <v>8710</v>
      </c>
      <c r="B706" s="22" t="s">
        <v>7981</v>
      </c>
      <c r="C706" s="23">
        <v>36.7316203241105</v>
      </c>
      <c r="D706" s="23">
        <v>-119.774025536526</v>
      </c>
    </row>
    <row r="707">
      <c r="A707" s="24" t="s">
        <v>8711</v>
      </c>
      <c r="B707" s="24" t="s">
        <v>8371</v>
      </c>
      <c r="C707" s="25">
        <v>24.4852421565258</v>
      </c>
      <c r="D707" s="25">
        <v>54.3927280389778</v>
      </c>
    </row>
    <row r="708">
      <c r="A708" s="22" t="s">
        <v>8712</v>
      </c>
      <c r="B708" s="22" t="s">
        <v>8713</v>
      </c>
      <c r="C708" s="23">
        <v>-13.3764926450458</v>
      </c>
      <c r="D708" s="23">
        <v>-72.0790796811622</v>
      </c>
    </row>
    <row r="709">
      <c r="A709" s="24" t="s">
        <v>8714</v>
      </c>
      <c r="B709" s="24" t="s">
        <v>8600</v>
      </c>
      <c r="C709" s="25">
        <v>18.4189682709287</v>
      </c>
      <c r="D709" s="25">
        <v>-93.2038347251087</v>
      </c>
    </row>
    <row r="710">
      <c r="A710" s="22" t="s">
        <v>8715</v>
      </c>
      <c r="B710" s="22" t="s">
        <v>8011</v>
      </c>
      <c r="C710" s="23">
        <v>43.6076906388699</v>
      </c>
      <c r="D710" s="23">
        <v>2.24104035004738</v>
      </c>
    </row>
    <row r="711">
      <c r="A711" s="24" t="s">
        <v>8716</v>
      </c>
      <c r="B711" s="24" t="s">
        <v>7987</v>
      </c>
      <c r="C711" s="25">
        <v>54.1450728679173</v>
      </c>
      <c r="D711" s="25">
        <v>12.1093972362866</v>
      </c>
    </row>
    <row r="712">
      <c r="A712" s="22" t="s">
        <v>8717</v>
      </c>
      <c r="B712" s="22" t="s">
        <v>7987</v>
      </c>
      <c r="C712" s="23">
        <v>47.8169292133467</v>
      </c>
      <c r="D712" s="23">
        <v>9.05731361911702</v>
      </c>
    </row>
    <row r="713">
      <c r="A713" s="24" t="s">
        <v>8718</v>
      </c>
      <c r="B713" s="24" t="s">
        <v>7981</v>
      </c>
      <c r="C713" s="25">
        <v>41.595232</v>
      </c>
      <c r="D713" s="25">
        <v>-83.089336</v>
      </c>
    </row>
    <row r="714">
      <c r="A714" s="22" t="s">
        <v>8719</v>
      </c>
      <c r="B714" s="22" t="s">
        <v>7981</v>
      </c>
      <c r="C714" s="23">
        <v>44.6224274886619</v>
      </c>
      <c r="D714" s="23">
        <v>-92.6402090188193</v>
      </c>
    </row>
    <row r="715">
      <c r="A715" s="24" t="s">
        <v>8720</v>
      </c>
      <c r="B715" s="24" t="s">
        <v>8003</v>
      </c>
      <c r="C715" s="25">
        <v>44.3185638607487</v>
      </c>
      <c r="D715" s="25">
        <v>-81.5739759826111</v>
      </c>
    </row>
    <row r="716">
      <c r="A716" s="22" t="s">
        <v>8721</v>
      </c>
      <c r="B716" s="22" t="s">
        <v>7991</v>
      </c>
      <c r="C716" s="23">
        <v>54.029655132164</v>
      </c>
      <c r="D716" s="23">
        <v>-2.91439577058126</v>
      </c>
    </row>
    <row r="717">
      <c r="A717" s="24" t="s">
        <v>8722</v>
      </c>
      <c r="B717" s="24" t="s">
        <v>8723</v>
      </c>
      <c r="C717" s="25">
        <v>67.4650088909096</v>
      </c>
      <c r="D717" s="25">
        <v>32.4814699306815</v>
      </c>
    </row>
    <row r="718">
      <c r="A718" s="22" t="s">
        <v>8724</v>
      </c>
      <c r="B718" s="22" t="s">
        <v>7987</v>
      </c>
      <c r="C718" s="23">
        <v>53.5395113375874</v>
      </c>
      <c r="D718" s="23">
        <v>8.59153290358285</v>
      </c>
    </row>
    <row r="719">
      <c r="A719" s="24" t="s">
        <v>8725</v>
      </c>
      <c r="B719" s="24" t="s">
        <v>7987</v>
      </c>
      <c r="C719" s="25">
        <v>53.5395113375874</v>
      </c>
      <c r="D719" s="25">
        <v>8.59153290358285</v>
      </c>
    </row>
    <row r="720">
      <c r="A720" s="22" t="s">
        <v>8726</v>
      </c>
      <c r="B720" s="22" t="s">
        <v>7987</v>
      </c>
      <c r="C720" s="23">
        <v>51.3247111673379</v>
      </c>
      <c r="D720" s="23">
        <v>12.024311061848</v>
      </c>
    </row>
    <row r="721">
      <c r="A721" s="24" t="s">
        <v>8727</v>
      </c>
      <c r="B721" s="24" t="s">
        <v>7987</v>
      </c>
      <c r="C721" s="25">
        <v>51.3247111673379</v>
      </c>
      <c r="D721" s="25">
        <v>12.024311061848</v>
      </c>
    </row>
    <row r="722">
      <c r="A722" s="22" t="s">
        <v>8728</v>
      </c>
      <c r="B722" s="22" t="s">
        <v>7987</v>
      </c>
      <c r="C722" s="23">
        <v>51.132421173516</v>
      </c>
      <c r="D722" s="23">
        <v>14.9632163265504</v>
      </c>
    </row>
    <row r="723">
      <c r="A723" s="24" t="s">
        <v>8729</v>
      </c>
      <c r="B723" s="24" t="s">
        <v>8023</v>
      </c>
      <c r="C723" s="25">
        <v>0.0</v>
      </c>
      <c r="D723" s="25">
        <v>0.0</v>
      </c>
    </row>
    <row r="724">
      <c r="A724" s="22" t="s">
        <v>8729</v>
      </c>
      <c r="B724" s="22" t="s">
        <v>8023</v>
      </c>
      <c r="C724" s="23">
        <v>0.0</v>
      </c>
      <c r="D724" s="23">
        <v>0.0</v>
      </c>
    </row>
    <row r="725">
      <c r="A725" s="24" t="s">
        <v>8729</v>
      </c>
      <c r="B725" s="24" t="s">
        <v>8023</v>
      </c>
      <c r="C725" s="25">
        <v>0.0</v>
      </c>
      <c r="D725" s="25">
        <v>0.0</v>
      </c>
    </row>
    <row r="726">
      <c r="A726" s="22" t="s">
        <v>8730</v>
      </c>
      <c r="B726" s="22" t="s">
        <v>8620</v>
      </c>
      <c r="C726" s="23">
        <v>50.5788308065142</v>
      </c>
      <c r="D726" s="23">
        <v>13.6078948749105</v>
      </c>
    </row>
    <row r="727">
      <c r="A727" s="24" t="s">
        <v>8731</v>
      </c>
      <c r="B727" s="24" t="s">
        <v>8620</v>
      </c>
      <c r="C727" s="25">
        <v>50.2704161311497</v>
      </c>
      <c r="D727" s="25">
        <v>14.5131943817664</v>
      </c>
    </row>
    <row r="728">
      <c r="A728" s="22" t="s">
        <v>8732</v>
      </c>
      <c r="B728" s="22" t="s">
        <v>8620</v>
      </c>
      <c r="C728" s="23">
        <v>50.2704161311497</v>
      </c>
      <c r="D728" s="23">
        <v>14.5131943817664</v>
      </c>
    </row>
    <row r="729">
      <c r="A729" s="24" t="s">
        <v>8729</v>
      </c>
      <c r="B729" s="24" t="s">
        <v>8632</v>
      </c>
      <c r="C729" s="25">
        <v>48.253797</v>
      </c>
      <c r="D729" s="25">
        <v>17.459326</v>
      </c>
    </row>
    <row r="730">
      <c r="A730" s="22" t="s">
        <v>8733</v>
      </c>
      <c r="B730" s="22" t="s">
        <v>8161</v>
      </c>
      <c r="C730" s="23">
        <v>37.9640325151618</v>
      </c>
      <c r="D730" s="23">
        <v>-8.81015788759686</v>
      </c>
    </row>
    <row r="731">
      <c r="A731" s="24" t="s">
        <v>8734</v>
      </c>
      <c r="B731" s="24" t="s">
        <v>8590</v>
      </c>
      <c r="C731" s="25">
        <v>-21.834349756669</v>
      </c>
      <c r="D731" s="25">
        <v>-41.0413268418608</v>
      </c>
    </row>
    <row r="732">
      <c r="A732" s="22" t="s">
        <v>8735</v>
      </c>
      <c r="B732" s="22" t="s">
        <v>8071</v>
      </c>
      <c r="C732" s="23">
        <v>-23.3990803648907</v>
      </c>
      <c r="D732" s="23">
        <v>-69.252182822016</v>
      </c>
    </row>
    <row r="733">
      <c r="A733" s="24" t="s">
        <v>8736</v>
      </c>
      <c r="B733" s="24" t="s">
        <v>8737</v>
      </c>
      <c r="C733" s="25">
        <v>10.3377980128273</v>
      </c>
      <c r="D733" s="25">
        <v>-75.4961297814963</v>
      </c>
    </row>
    <row r="734">
      <c r="A734" s="22" t="s">
        <v>8738</v>
      </c>
      <c r="B734" s="22" t="s">
        <v>8071</v>
      </c>
      <c r="C734" s="23">
        <v>-36.4212987744845</v>
      </c>
      <c r="D734" s="23">
        <v>-72.2016767257714</v>
      </c>
    </row>
    <row r="735">
      <c r="A735" s="24" t="s">
        <v>8739</v>
      </c>
      <c r="B735" s="24" t="s">
        <v>8071</v>
      </c>
      <c r="C735" s="25">
        <v>-23.3990803648907</v>
      </c>
      <c r="D735" s="25">
        <v>-69.252182822016</v>
      </c>
    </row>
    <row r="736">
      <c r="A736" s="22" t="s">
        <v>8740</v>
      </c>
      <c r="B736" s="22" t="s">
        <v>8437</v>
      </c>
      <c r="C736" s="23">
        <v>-25.3746804873853</v>
      </c>
      <c r="D736" s="23">
        <v>-57.5888511713066</v>
      </c>
    </row>
    <row r="737">
      <c r="A737" s="24" t="s">
        <v>8741</v>
      </c>
      <c r="B737" s="24" t="s">
        <v>8437</v>
      </c>
      <c r="C737" s="25">
        <v>-25.4800573449834</v>
      </c>
      <c r="D737" s="25">
        <v>-54.6507303129246</v>
      </c>
    </row>
    <row r="738">
      <c r="A738" s="22" t="s">
        <v>8742</v>
      </c>
      <c r="B738" s="22" t="s">
        <v>8437</v>
      </c>
      <c r="C738" s="23">
        <v>-27.2512439386559</v>
      </c>
      <c r="D738" s="23">
        <v>-55.8958657482911</v>
      </c>
    </row>
    <row r="739">
      <c r="A739" s="24" t="s">
        <v>8743</v>
      </c>
      <c r="B739" s="24" t="s">
        <v>8371</v>
      </c>
      <c r="C739" s="25">
        <v>24.4852421565258</v>
      </c>
      <c r="D739" s="25">
        <v>54.3927280389778</v>
      </c>
    </row>
    <row r="740">
      <c r="A740" s="22" t="s">
        <v>8744</v>
      </c>
      <c r="B740" s="22" t="s">
        <v>8021</v>
      </c>
      <c r="C740" s="23">
        <v>-27.8183498549838</v>
      </c>
      <c r="D740" s="23">
        <v>120.700606397719</v>
      </c>
    </row>
    <row r="741">
      <c r="A741" s="24" t="s">
        <v>8745</v>
      </c>
      <c r="B741" s="24" t="s">
        <v>8021</v>
      </c>
      <c r="C741" s="25">
        <v>-24.630832255186</v>
      </c>
      <c r="D741" s="25">
        <v>150.062441605893</v>
      </c>
    </row>
    <row r="742">
      <c r="A742" s="22" t="s">
        <v>8746</v>
      </c>
      <c r="B742" s="22" t="s">
        <v>7981</v>
      </c>
      <c r="C742" s="23">
        <v>30.9576827838782</v>
      </c>
      <c r="D742" s="23">
        <v>-81.6472285474262</v>
      </c>
    </row>
    <row r="743">
      <c r="A743" s="24" t="s">
        <v>8747</v>
      </c>
      <c r="B743" s="24" t="s">
        <v>8161</v>
      </c>
      <c r="C743" s="25">
        <v>39.4642875090179</v>
      </c>
      <c r="D743" s="25">
        <v>-8.11183460966613</v>
      </c>
    </row>
    <row r="744">
      <c r="A744" s="22" t="s">
        <v>8748</v>
      </c>
      <c r="B744" s="22" t="s">
        <v>8011</v>
      </c>
      <c r="C744" s="23">
        <v>47.2944762746786</v>
      </c>
      <c r="D744" s="23">
        <v>-2.51181965232479</v>
      </c>
    </row>
    <row r="745">
      <c r="A745" s="24" t="s">
        <v>8749</v>
      </c>
      <c r="B745" s="24" t="s">
        <v>8108</v>
      </c>
      <c r="C745" s="25">
        <v>28.3321560504665</v>
      </c>
      <c r="D745" s="25">
        <v>73.2815458441669</v>
      </c>
    </row>
    <row r="746">
      <c r="A746" s="22" t="s">
        <v>8750</v>
      </c>
      <c r="B746" s="22" t="s">
        <v>8562</v>
      </c>
      <c r="C746" s="23">
        <v>33.1298310698553</v>
      </c>
      <c r="D746" s="23">
        <v>-8.6220069588264</v>
      </c>
    </row>
    <row r="747">
      <c r="A747" s="24" t="s">
        <v>8751</v>
      </c>
      <c r="B747" s="24" t="s">
        <v>7974</v>
      </c>
      <c r="C747" s="25">
        <v>60.5578395893936</v>
      </c>
      <c r="D747" s="25">
        <v>16.2993350158126</v>
      </c>
    </row>
    <row r="748">
      <c r="A748" s="22" t="s">
        <v>8752</v>
      </c>
      <c r="B748" s="22" t="s">
        <v>8753</v>
      </c>
      <c r="C748" s="23">
        <v>42.7981635772725</v>
      </c>
      <c r="D748" s="23">
        <v>53.5988796159426</v>
      </c>
    </row>
    <row r="749">
      <c r="A749" s="24" t="s">
        <v>8754</v>
      </c>
      <c r="B749" s="24" t="s">
        <v>8021</v>
      </c>
      <c r="C749" s="25">
        <v>-30.7500912039308</v>
      </c>
      <c r="D749" s="25">
        <v>150.722775832668</v>
      </c>
    </row>
    <row r="750">
      <c r="A750" s="22" t="s">
        <v>8755</v>
      </c>
      <c r="B750" s="22" t="s">
        <v>8388</v>
      </c>
      <c r="C750" s="23">
        <v>19.6866840412678</v>
      </c>
      <c r="D750" s="23">
        <v>56.8637803154941</v>
      </c>
    </row>
    <row r="751">
      <c r="A751" s="24" t="s">
        <v>8756</v>
      </c>
      <c r="B751" s="24" t="s">
        <v>7987</v>
      </c>
      <c r="C751" s="25">
        <v>54.2023436057572</v>
      </c>
      <c r="D751" s="25">
        <v>7.92126860886418</v>
      </c>
    </row>
    <row r="752">
      <c r="A752" s="22" t="s">
        <v>8757</v>
      </c>
      <c r="B752" s="22" t="s">
        <v>8702</v>
      </c>
      <c r="C752" s="23">
        <v>51.8404527235042</v>
      </c>
      <c r="D752" s="23">
        <v>-8.21832026462021</v>
      </c>
    </row>
    <row r="753">
      <c r="A753" s="24" t="s">
        <v>8758</v>
      </c>
      <c r="B753" s="24" t="s">
        <v>8702</v>
      </c>
      <c r="C753" s="25">
        <v>51.8404527235042</v>
      </c>
      <c r="D753" s="25">
        <v>-8.21832026462021</v>
      </c>
    </row>
    <row r="754">
      <c r="A754" s="22" t="s">
        <v>8759</v>
      </c>
      <c r="B754" s="22" t="s">
        <v>7981</v>
      </c>
      <c r="C754" s="23">
        <v>40.2042419033545</v>
      </c>
      <c r="D754" s="23">
        <v>-74.1537604868933</v>
      </c>
    </row>
    <row r="755">
      <c r="A755" s="24" t="s">
        <v>8760</v>
      </c>
      <c r="B755" s="24" t="s">
        <v>8600</v>
      </c>
      <c r="C755" s="25">
        <v>21.257528</v>
      </c>
      <c r="D755" s="25">
        <v>-100.588878</v>
      </c>
    </row>
    <row r="756">
      <c r="A756" s="22" t="s">
        <v>8761</v>
      </c>
      <c r="B756" s="22" t="s">
        <v>8138</v>
      </c>
      <c r="C756" s="23">
        <v>0.0</v>
      </c>
      <c r="D756" s="23">
        <v>0.0</v>
      </c>
    </row>
    <row r="757">
      <c r="A757" s="24" t="s">
        <v>8762</v>
      </c>
      <c r="B757" s="24" t="s">
        <v>8600</v>
      </c>
      <c r="C757" s="25">
        <v>21.0194983093793</v>
      </c>
      <c r="D757" s="25">
        <v>-101.256678740318</v>
      </c>
    </row>
    <row r="758">
      <c r="A758" s="22" t="s">
        <v>8763</v>
      </c>
      <c r="B758" s="22" t="s">
        <v>8600</v>
      </c>
      <c r="C758" s="23">
        <v>24.0511122449776</v>
      </c>
      <c r="D758" s="23">
        <v>-104.522975191898</v>
      </c>
    </row>
    <row r="759">
      <c r="A759" s="24" t="s">
        <v>8764</v>
      </c>
      <c r="B759" s="24" t="s">
        <v>7977</v>
      </c>
      <c r="C759" s="25">
        <v>36.1406875875408</v>
      </c>
      <c r="D759" s="25">
        <v>-5.45260411398029</v>
      </c>
    </row>
    <row r="760">
      <c r="A760" s="22" t="s">
        <v>8765</v>
      </c>
      <c r="B760" s="22" t="s">
        <v>8003</v>
      </c>
      <c r="C760" s="23">
        <v>0.0</v>
      </c>
      <c r="D760" s="23">
        <v>0.0</v>
      </c>
    </row>
    <row r="761">
      <c r="A761" s="24" t="s">
        <v>8766</v>
      </c>
      <c r="B761" s="24" t="s">
        <v>7977</v>
      </c>
      <c r="C761" s="25">
        <v>42.9222604969113</v>
      </c>
      <c r="D761" s="25">
        <v>-9.27173449885589</v>
      </c>
    </row>
    <row r="762">
      <c r="A762" s="22" t="s">
        <v>8767</v>
      </c>
      <c r="B762" s="22" t="s">
        <v>8147</v>
      </c>
      <c r="C762" s="23">
        <v>-39.1197403185631</v>
      </c>
      <c r="D762" s="23">
        <v>173.93801228608</v>
      </c>
    </row>
    <row r="763">
      <c r="A763" s="24" t="s">
        <v>8768</v>
      </c>
      <c r="B763" s="24" t="s">
        <v>8147</v>
      </c>
      <c r="C763" s="25">
        <v>-39.3220512117082</v>
      </c>
      <c r="D763" s="25">
        <v>174.41011746982</v>
      </c>
    </row>
    <row r="764">
      <c r="A764" s="22" t="s">
        <v>8769</v>
      </c>
      <c r="B764" s="22" t="s">
        <v>8001</v>
      </c>
      <c r="C764" s="23">
        <v>0.0</v>
      </c>
      <c r="D764" s="23">
        <v>0.0</v>
      </c>
    </row>
    <row r="765">
      <c r="A765" s="24" t="s">
        <v>8770</v>
      </c>
      <c r="B765" s="24" t="s">
        <v>8371</v>
      </c>
      <c r="C765" s="25">
        <v>24.4852421565258</v>
      </c>
      <c r="D765" s="25">
        <v>54.3927280389778</v>
      </c>
    </row>
    <row r="766">
      <c r="A766" s="22" t="s">
        <v>8771</v>
      </c>
      <c r="B766" s="22" t="s">
        <v>8011</v>
      </c>
      <c r="C766" s="23">
        <v>0.0</v>
      </c>
      <c r="D766" s="23">
        <v>0.0</v>
      </c>
    </row>
    <row r="767">
      <c r="A767" s="24" t="s">
        <v>8772</v>
      </c>
      <c r="B767" s="24" t="s">
        <v>7987</v>
      </c>
      <c r="C767" s="25">
        <v>0.0</v>
      </c>
      <c r="D767" s="25">
        <v>0.0</v>
      </c>
    </row>
    <row r="768">
      <c r="A768" s="22" t="s">
        <v>8773</v>
      </c>
      <c r="B768" s="22" t="s">
        <v>7987</v>
      </c>
      <c r="C768" s="23">
        <v>49.3508843430566</v>
      </c>
      <c r="D768" s="23">
        <v>8.14456143785569</v>
      </c>
    </row>
    <row r="769">
      <c r="A769" s="24" t="s">
        <v>8774</v>
      </c>
      <c r="B769" s="24" t="s">
        <v>7981</v>
      </c>
      <c r="C769" s="25">
        <v>36.3793353239511</v>
      </c>
      <c r="D769" s="25">
        <v>-97.7630118261125</v>
      </c>
    </row>
    <row r="770">
      <c r="A770" s="22" t="s">
        <v>8775</v>
      </c>
      <c r="B770" s="22" t="s">
        <v>8702</v>
      </c>
      <c r="C770" s="23">
        <v>51.8420364109531</v>
      </c>
      <c r="D770" s="23">
        <v>-8.06769609490734</v>
      </c>
    </row>
    <row r="771">
      <c r="A771" s="24" t="s">
        <v>8776</v>
      </c>
      <c r="B771" s="24" t="s">
        <v>8117</v>
      </c>
      <c r="C771" s="25">
        <v>40.8181714170204</v>
      </c>
      <c r="D771" s="25">
        <v>24.4506513551094</v>
      </c>
    </row>
    <row r="772">
      <c r="A772" s="22" t="s">
        <v>8777</v>
      </c>
      <c r="B772" s="22" t="s">
        <v>8001</v>
      </c>
      <c r="C772" s="23">
        <v>35.762928</v>
      </c>
      <c r="D772" s="23">
        <v>114.980511</v>
      </c>
    </row>
    <row r="773">
      <c r="A773" s="24" t="s">
        <v>8778</v>
      </c>
      <c r="B773" s="24" t="s">
        <v>8001</v>
      </c>
      <c r="C773" s="25">
        <v>0.0</v>
      </c>
      <c r="D773" s="25">
        <v>0.0</v>
      </c>
    </row>
    <row r="774">
      <c r="A774" s="22" t="s">
        <v>8779</v>
      </c>
      <c r="B774" s="22" t="s">
        <v>8590</v>
      </c>
      <c r="C774" s="23">
        <v>-3.53092803394662</v>
      </c>
      <c r="D774" s="23">
        <v>-38.7923774582973</v>
      </c>
    </row>
    <row r="775">
      <c r="A775" s="24" t="s">
        <v>8780</v>
      </c>
      <c r="B775" s="24" t="s">
        <v>8590</v>
      </c>
      <c r="C775" s="25">
        <v>-3.53092803394662</v>
      </c>
      <c r="D775" s="25">
        <v>-38.7923774582973</v>
      </c>
    </row>
    <row r="776">
      <c r="A776" s="22" t="s">
        <v>8781</v>
      </c>
      <c r="B776" s="22" t="s">
        <v>8539</v>
      </c>
      <c r="C776" s="23">
        <v>0.0</v>
      </c>
      <c r="D776" s="23">
        <v>0.0</v>
      </c>
    </row>
    <row r="777">
      <c r="A777" s="24" t="s">
        <v>8782</v>
      </c>
      <c r="B777" s="24" t="s">
        <v>8702</v>
      </c>
      <c r="C777" s="25">
        <v>53.3613486818341</v>
      </c>
      <c r="D777" s="25">
        <v>-7.21069102479717</v>
      </c>
    </row>
    <row r="778">
      <c r="A778" s="22" t="s">
        <v>8783</v>
      </c>
      <c r="B778" s="22" t="s">
        <v>7974</v>
      </c>
      <c r="C778" s="23">
        <v>58.3501101279913</v>
      </c>
      <c r="D778" s="23">
        <v>11.4181565703246</v>
      </c>
    </row>
    <row r="779">
      <c r="A779" s="24" t="s">
        <v>8784</v>
      </c>
      <c r="B779" s="24" t="s">
        <v>8785</v>
      </c>
      <c r="C779" s="25">
        <v>24.1220145914996</v>
      </c>
      <c r="D779" s="25">
        <v>33.0220709388449</v>
      </c>
    </row>
    <row r="780">
      <c r="A780" s="22" t="s">
        <v>8786</v>
      </c>
      <c r="B780" s="22" t="s">
        <v>8787</v>
      </c>
      <c r="C780" s="23">
        <v>0.0</v>
      </c>
      <c r="D780" s="23">
        <v>0.0</v>
      </c>
    </row>
    <row r="781">
      <c r="A781" s="24" t="s">
        <v>8788</v>
      </c>
      <c r="B781" s="24" t="s">
        <v>7981</v>
      </c>
      <c r="C781" s="25">
        <v>30.925541</v>
      </c>
      <c r="D781" s="25">
        <v>-97.177594</v>
      </c>
    </row>
    <row r="782">
      <c r="A782" s="22" t="s">
        <v>8789</v>
      </c>
      <c r="B782" s="22" t="s">
        <v>7981</v>
      </c>
      <c r="C782" s="23">
        <v>0.0</v>
      </c>
      <c r="D782" s="23">
        <v>0.0</v>
      </c>
    </row>
    <row r="783">
      <c r="A783" s="24" t="s">
        <v>8790</v>
      </c>
      <c r="B783" s="24" t="s">
        <v>7981</v>
      </c>
      <c r="C783" s="25">
        <v>0.0</v>
      </c>
      <c r="D783" s="25">
        <v>0.0</v>
      </c>
    </row>
    <row r="784">
      <c r="A784" s="22" t="s">
        <v>8791</v>
      </c>
      <c r="B784" s="22" t="s">
        <v>7981</v>
      </c>
      <c r="C784" s="23">
        <v>0.0</v>
      </c>
      <c r="D784" s="23">
        <v>0.0</v>
      </c>
    </row>
    <row r="785">
      <c r="A785" s="24" t="s">
        <v>8792</v>
      </c>
      <c r="B785" s="24" t="s">
        <v>7981</v>
      </c>
      <c r="C785" s="25">
        <v>0.0</v>
      </c>
      <c r="D785" s="25">
        <v>0.0</v>
      </c>
    </row>
    <row r="786">
      <c r="A786" s="22" t="s">
        <v>8793</v>
      </c>
      <c r="B786" s="22" t="s">
        <v>7981</v>
      </c>
      <c r="C786" s="23">
        <v>0.0</v>
      </c>
      <c r="D786" s="23">
        <v>0.0</v>
      </c>
    </row>
    <row r="787">
      <c r="A787" s="24" t="s">
        <v>8794</v>
      </c>
      <c r="B787" s="24" t="s">
        <v>7977</v>
      </c>
      <c r="C787" s="25">
        <v>42.6041732363974</v>
      </c>
      <c r="D787" s="25">
        <v>-8.64601375807652</v>
      </c>
    </row>
    <row r="788">
      <c r="A788" s="22" t="s">
        <v>8795</v>
      </c>
      <c r="B788" s="22" t="s">
        <v>7977</v>
      </c>
      <c r="C788" s="23">
        <v>42.6041732363974</v>
      </c>
      <c r="D788" s="23">
        <v>-8.64601375807652</v>
      </c>
    </row>
    <row r="789">
      <c r="A789" s="24" t="s">
        <v>8796</v>
      </c>
      <c r="B789" s="24" t="s">
        <v>7981</v>
      </c>
      <c r="C789" s="25">
        <v>0.0</v>
      </c>
      <c r="D789" s="25">
        <v>0.0</v>
      </c>
    </row>
    <row r="790">
      <c r="A790" s="22" t="s">
        <v>8797</v>
      </c>
      <c r="B790" s="22" t="s">
        <v>7981</v>
      </c>
      <c r="C790" s="23">
        <v>0.0</v>
      </c>
      <c r="D790" s="23">
        <v>0.0</v>
      </c>
    </row>
    <row r="791">
      <c r="A791" s="24" t="s">
        <v>8798</v>
      </c>
      <c r="B791" s="24" t="s">
        <v>7981</v>
      </c>
      <c r="C791" s="25">
        <v>0.0</v>
      </c>
      <c r="D791" s="25">
        <v>0.0</v>
      </c>
    </row>
    <row r="792">
      <c r="A792" s="22" t="s">
        <v>8799</v>
      </c>
      <c r="B792" s="22" t="s">
        <v>8021</v>
      </c>
      <c r="C792" s="23">
        <v>-30.7477693522858</v>
      </c>
      <c r="D792" s="23">
        <v>121.465007906014</v>
      </c>
    </row>
    <row r="793">
      <c r="A793" s="24" t="s">
        <v>8800</v>
      </c>
      <c r="B793" s="24" t="s">
        <v>8021</v>
      </c>
      <c r="C793" s="25">
        <v>-26.4971082629098</v>
      </c>
      <c r="D793" s="25">
        <v>148.793833382439</v>
      </c>
    </row>
    <row r="794">
      <c r="A794" s="22" t="s">
        <v>8801</v>
      </c>
      <c r="B794" s="22" t="s">
        <v>8021</v>
      </c>
      <c r="C794" s="23">
        <v>0.0</v>
      </c>
      <c r="D794" s="23">
        <v>0.0</v>
      </c>
    </row>
    <row r="795">
      <c r="A795" s="24" t="s">
        <v>8802</v>
      </c>
      <c r="B795" s="24" t="s">
        <v>8021</v>
      </c>
      <c r="C795" s="25">
        <v>-24.86622</v>
      </c>
      <c r="D795" s="25">
        <v>152.3489</v>
      </c>
    </row>
    <row r="796">
      <c r="A796" s="22" t="s">
        <v>8803</v>
      </c>
      <c r="B796" s="22" t="s">
        <v>8021</v>
      </c>
      <c r="C796" s="23">
        <v>-16.2502030478146</v>
      </c>
      <c r="D796" s="23">
        <v>145.318979799325</v>
      </c>
    </row>
    <row r="797">
      <c r="A797" s="24" t="s">
        <v>8804</v>
      </c>
      <c r="B797" s="24" t="s">
        <v>8021</v>
      </c>
      <c r="C797" s="25">
        <v>-22.3626486829528</v>
      </c>
      <c r="D797" s="25">
        <v>122.738670732525</v>
      </c>
    </row>
    <row r="798">
      <c r="A798" s="22" t="s">
        <v>8805</v>
      </c>
      <c r="B798" s="22" t="s">
        <v>8021</v>
      </c>
      <c r="C798" s="23">
        <v>-41.131015832797</v>
      </c>
      <c r="D798" s="23">
        <v>146.8704778986</v>
      </c>
    </row>
    <row r="799">
      <c r="A799" s="24" t="s">
        <v>8806</v>
      </c>
      <c r="B799" s="24" t="s">
        <v>8021</v>
      </c>
      <c r="C799" s="25">
        <v>0.0</v>
      </c>
      <c r="D799" s="25">
        <v>0.0</v>
      </c>
    </row>
    <row r="800">
      <c r="A800" s="22" t="s">
        <v>8807</v>
      </c>
      <c r="B800" s="22" t="s">
        <v>8021</v>
      </c>
      <c r="C800" s="23">
        <v>-37.8084550738703</v>
      </c>
      <c r="D800" s="23">
        <v>144.940482168558</v>
      </c>
    </row>
    <row r="801">
      <c r="A801" s="24" t="s">
        <v>8808</v>
      </c>
      <c r="B801" s="24" t="s">
        <v>8021</v>
      </c>
      <c r="C801" s="25">
        <v>-38.361674</v>
      </c>
      <c r="D801" s="25">
        <v>141.603662</v>
      </c>
    </row>
    <row r="802">
      <c r="A802" s="22" t="s">
        <v>8809</v>
      </c>
      <c r="B802" s="22" t="s">
        <v>8021</v>
      </c>
      <c r="C802" s="23">
        <v>-37.8084550738703</v>
      </c>
      <c r="D802" s="23">
        <v>144.940482168558</v>
      </c>
    </row>
    <row r="803">
      <c r="A803" s="24" t="s">
        <v>8810</v>
      </c>
      <c r="B803" s="24" t="s">
        <v>8047</v>
      </c>
      <c r="C803" s="25">
        <v>0.0</v>
      </c>
      <c r="D803" s="25">
        <v>0.0</v>
      </c>
    </row>
    <row r="804">
      <c r="A804" s="22" t="s">
        <v>8811</v>
      </c>
      <c r="B804" s="22" t="s">
        <v>8023</v>
      </c>
      <c r="C804" s="23">
        <v>52.2875093003885</v>
      </c>
      <c r="D804" s="23">
        <v>18.2839036961008</v>
      </c>
    </row>
    <row r="805">
      <c r="A805" s="24" t="s">
        <v>8812</v>
      </c>
      <c r="B805" s="24" t="s">
        <v>8023</v>
      </c>
      <c r="C805" s="25">
        <v>52.2875093003885</v>
      </c>
      <c r="D805" s="25">
        <v>18.2839036961008</v>
      </c>
    </row>
    <row r="806">
      <c r="A806" s="22" t="s">
        <v>8813</v>
      </c>
      <c r="B806" s="22" t="s">
        <v>7987</v>
      </c>
      <c r="C806" s="23">
        <v>54.2023436057572</v>
      </c>
      <c r="D806" s="23">
        <v>7.92126860886418</v>
      </c>
    </row>
    <row r="807">
      <c r="A807" s="24" t="s">
        <v>8814</v>
      </c>
      <c r="B807" s="24" t="s">
        <v>7987</v>
      </c>
      <c r="C807" s="25">
        <v>0.0</v>
      </c>
      <c r="D807" s="25">
        <v>0.0</v>
      </c>
    </row>
    <row r="808">
      <c r="A808" s="22" t="s">
        <v>8815</v>
      </c>
      <c r="B808" s="22" t="s">
        <v>7977</v>
      </c>
      <c r="C808" s="23">
        <v>43.1744410908543</v>
      </c>
      <c r="D808" s="23">
        <v>-8.40770048801785</v>
      </c>
    </row>
    <row r="809">
      <c r="A809" s="24" t="s">
        <v>8816</v>
      </c>
      <c r="B809" s="24" t="s">
        <v>7985</v>
      </c>
      <c r="C809" s="25">
        <v>47.2008098662469</v>
      </c>
      <c r="D809" s="25">
        <v>8.76742044177939</v>
      </c>
    </row>
    <row r="810">
      <c r="A810" s="22" t="s">
        <v>8817</v>
      </c>
      <c r="B810" s="22" t="s">
        <v>7987</v>
      </c>
      <c r="C810" s="23">
        <v>51.4869445149605</v>
      </c>
      <c r="D810" s="23">
        <v>6.86631612642352</v>
      </c>
    </row>
    <row r="811">
      <c r="A811" s="24" t="s">
        <v>8818</v>
      </c>
      <c r="B811" s="24" t="s">
        <v>7987</v>
      </c>
      <c r="C811" s="25">
        <v>51.4869445149605</v>
      </c>
      <c r="D811" s="25">
        <v>6.86631612642352</v>
      </c>
    </row>
    <row r="812">
      <c r="A812" s="27" t="s">
        <v>8819</v>
      </c>
      <c r="B812" s="22" t="s">
        <v>7991</v>
      </c>
      <c r="C812" s="23">
        <v>53.4369442570234</v>
      </c>
      <c r="D812" s="23">
        <v>-2.40825504586318</v>
      </c>
    </row>
    <row r="813">
      <c r="A813" s="24" t="s">
        <v>8820</v>
      </c>
      <c r="B813" s="24" t="s">
        <v>8071</v>
      </c>
      <c r="C813" s="25">
        <v>-32.6076931610443</v>
      </c>
      <c r="D813" s="25">
        <v>-70.8989767549794</v>
      </c>
    </row>
    <row r="814">
      <c r="A814" s="22" t="s">
        <v>8821</v>
      </c>
      <c r="B814" s="22" t="s">
        <v>7987</v>
      </c>
      <c r="C814" s="23">
        <v>0.0</v>
      </c>
      <c r="D814" s="23">
        <v>0.0</v>
      </c>
    </row>
    <row r="815">
      <c r="A815" s="24" t="s">
        <v>8822</v>
      </c>
      <c r="B815" s="24" t="s">
        <v>8021</v>
      </c>
      <c r="C815" s="25">
        <v>-23.8305537301115</v>
      </c>
      <c r="D815" s="25">
        <v>151.149746813248</v>
      </c>
    </row>
    <row r="816">
      <c r="A816" s="22" t="s">
        <v>8823</v>
      </c>
      <c r="B816" s="22" t="s">
        <v>8071</v>
      </c>
      <c r="C816" s="23">
        <v>-33.2057241094507</v>
      </c>
      <c r="D816" s="23">
        <v>-70.678512244387</v>
      </c>
    </row>
    <row r="817">
      <c r="A817" s="24" t="s">
        <v>8824</v>
      </c>
      <c r="B817" s="24" t="s">
        <v>8108</v>
      </c>
      <c r="C817" s="25">
        <v>34.1541352068372</v>
      </c>
      <c r="D817" s="25">
        <v>77.5822724828901</v>
      </c>
    </row>
    <row r="818">
      <c r="A818" s="22" t="s">
        <v>8825</v>
      </c>
      <c r="B818" s="22" t="s">
        <v>7983</v>
      </c>
      <c r="C818" s="23">
        <v>43.4645490011479</v>
      </c>
      <c r="D818" s="23">
        <v>143.507192517125</v>
      </c>
    </row>
    <row r="819">
      <c r="A819" s="24" t="s">
        <v>8826</v>
      </c>
      <c r="B819" s="24" t="s">
        <v>7981</v>
      </c>
      <c r="C819" s="25">
        <v>31.3909815703736</v>
      </c>
      <c r="D819" s="25">
        <v>-103.535958296125</v>
      </c>
    </row>
    <row r="820">
      <c r="A820" s="22" t="s">
        <v>8827</v>
      </c>
      <c r="B820" s="22" t="s">
        <v>7971</v>
      </c>
      <c r="C820" s="23">
        <v>0.0</v>
      </c>
      <c r="D820" s="23">
        <v>0.0</v>
      </c>
    </row>
    <row r="821">
      <c r="A821" s="24" t="s">
        <v>8828</v>
      </c>
      <c r="B821" s="24" t="s">
        <v>7981</v>
      </c>
      <c r="C821" s="25">
        <v>0.0</v>
      </c>
      <c r="D821" s="25">
        <v>0.0</v>
      </c>
    </row>
    <row r="822">
      <c r="A822" s="22" t="s">
        <v>8829</v>
      </c>
      <c r="B822" s="22" t="s">
        <v>7981</v>
      </c>
      <c r="C822" s="23">
        <v>27.8068211420862</v>
      </c>
      <c r="D822" s="23">
        <v>-97.46050667027</v>
      </c>
    </row>
    <row r="823">
      <c r="A823" s="24" t="s">
        <v>8830</v>
      </c>
      <c r="B823" s="24" t="s">
        <v>7991</v>
      </c>
      <c r="C823" s="25">
        <v>57.969977521511</v>
      </c>
      <c r="D823" s="25">
        <v>-4.21404761653453</v>
      </c>
    </row>
    <row r="824">
      <c r="A824" s="22" t="s">
        <v>8831</v>
      </c>
      <c r="B824" s="22" t="s">
        <v>7981</v>
      </c>
      <c r="C824" s="23">
        <v>47.2632638919755</v>
      </c>
      <c r="D824" s="23">
        <v>-101.778294677318</v>
      </c>
    </row>
    <row r="825">
      <c r="A825" s="24" t="s">
        <v>8832</v>
      </c>
      <c r="B825" s="24" t="s">
        <v>7991</v>
      </c>
      <c r="C825" s="25">
        <v>52.5546208155033</v>
      </c>
      <c r="D825" s="25">
        <v>-1.46324408934596</v>
      </c>
    </row>
    <row r="826">
      <c r="A826" s="22" t="s">
        <v>8833</v>
      </c>
      <c r="B826" s="22" t="s">
        <v>8161</v>
      </c>
      <c r="C826" s="23">
        <v>37.95961407835</v>
      </c>
      <c r="D826" s="23">
        <v>-8.85858639904864</v>
      </c>
    </row>
    <row r="827">
      <c r="A827" s="24" t="s">
        <v>8834</v>
      </c>
      <c r="B827" s="24" t="s">
        <v>7977</v>
      </c>
      <c r="C827" s="25">
        <v>0.0</v>
      </c>
      <c r="D827" s="25">
        <v>0.0</v>
      </c>
    </row>
    <row r="828">
      <c r="A828" s="22" t="s">
        <v>8835</v>
      </c>
      <c r="B828" s="22" t="s">
        <v>8047</v>
      </c>
      <c r="C828" s="23">
        <v>45.9551623881343</v>
      </c>
      <c r="D828" s="23">
        <v>10.2912613472102</v>
      </c>
    </row>
    <row r="829">
      <c r="A829" s="24" t="s">
        <v>8836</v>
      </c>
      <c r="B829" s="24" t="s">
        <v>8161</v>
      </c>
      <c r="C829" s="25">
        <v>38.5713636360343</v>
      </c>
      <c r="D829" s="25">
        <v>-7.91255405243867</v>
      </c>
    </row>
    <row r="830">
      <c r="A830" s="22" t="s">
        <v>8837</v>
      </c>
      <c r="B830" s="22" t="s">
        <v>8161</v>
      </c>
      <c r="C830" s="23">
        <v>38.5713636360343</v>
      </c>
      <c r="D830" s="23">
        <v>-7.91255405243867</v>
      </c>
    </row>
    <row r="831">
      <c r="A831" s="24" t="s">
        <v>8838</v>
      </c>
      <c r="B831" s="24" t="s">
        <v>8161</v>
      </c>
      <c r="C831" s="25">
        <v>0.0</v>
      </c>
      <c r="D831" s="25">
        <v>0.0</v>
      </c>
    </row>
    <row r="832">
      <c r="A832" s="22" t="s">
        <v>8839</v>
      </c>
      <c r="B832" s="22" t="s">
        <v>8161</v>
      </c>
      <c r="C832" s="23">
        <v>37.9871639459431</v>
      </c>
      <c r="D832" s="23">
        <v>-8.84848160225188</v>
      </c>
    </row>
    <row r="833">
      <c r="A833" s="24" t="s">
        <v>8840</v>
      </c>
      <c r="B833" s="24" t="s">
        <v>8161</v>
      </c>
      <c r="C833" s="25">
        <v>37.95961407835</v>
      </c>
      <c r="D833" s="25">
        <v>-8.85858639904864</v>
      </c>
    </row>
    <row r="834">
      <c r="A834" s="22" t="s">
        <v>8841</v>
      </c>
      <c r="B834" s="22" t="s">
        <v>8562</v>
      </c>
      <c r="C834" s="23">
        <v>33.1267</v>
      </c>
      <c r="D834" s="23">
        <v>-8.62028</v>
      </c>
    </row>
    <row r="835">
      <c r="A835" s="24" t="s">
        <v>8842</v>
      </c>
      <c r="B835" s="24" t="s">
        <v>7977</v>
      </c>
      <c r="C835" s="25">
        <v>0.0</v>
      </c>
      <c r="D835" s="25">
        <v>0.0</v>
      </c>
    </row>
    <row r="836">
      <c r="A836" s="22" t="s">
        <v>8843</v>
      </c>
      <c r="B836" s="22" t="s">
        <v>8371</v>
      </c>
      <c r="C836" s="23">
        <v>24.3349101126156</v>
      </c>
      <c r="D836" s="23">
        <v>54.4710100414084</v>
      </c>
    </row>
    <row r="837">
      <c r="A837" s="24" t="s">
        <v>8844</v>
      </c>
      <c r="B837" s="24" t="s">
        <v>7991</v>
      </c>
      <c r="C837" s="25">
        <v>57.6826170947223</v>
      </c>
      <c r="D837" s="25">
        <v>-1.51363531585542</v>
      </c>
    </row>
    <row r="838">
      <c r="A838" s="22" t="s">
        <v>8845</v>
      </c>
      <c r="B838" s="22" t="s">
        <v>8785</v>
      </c>
      <c r="C838" s="23">
        <v>29.6489099140896</v>
      </c>
      <c r="D838" s="23">
        <v>32.3507303941584</v>
      </c>
    </row>
    <row r="839">
      <c r="A839" s="24" t="s">
        <v>8846</v>
      </c>
      <c r="B839" s="24" t="s">
        <v>7983</v>
      </c>
      <c r="C839" s="25">
        <v>35.6638021609207</v>
      </c>
      <c r="D839" s="25">
        <v>139.720174802004</v>
      </c>
    </row>
    <row r="840">
      <c r="A840" s="22" t="s">
        <v>8847</v>
      </c>
      <c r="B840" s="22" t="s">
        <v>8001</v>
      </c>
      <c r="C840" s="23">
        <v>39.6855892203848</v>
      </c>
      <c r="D840" s="23">
        <v>109.854354884424</v>
      </c>
    </row>
    <row r="841">
      <c r="A841" s="24" t="s">
        <v>177</v>
      </c>
      <c r="B841" s="24" t="s">
        <v>7971</v>
      </c>
      <c r="C841" s="25">
        <v>59.1212222803136</v>
      </c>
      <c r="D841" s="25">
        <v>9.63051569954815</v>
      </c>
    </row>
    <row r="842">
      <c r="A842" s="22" t="s">
        <v>8848</v>
      </c>
      <c r="B842" s="22" t="s">
        <v>7994</v>
      </c>
      <c r="C842" s="23">
        <v>55.4768385331629</v>
      </c>
      <c r="D842" s="23">
        <v>8.46209640920263</v>
      </c>
    </row>
    <row r="843">
      <c r="A843" s="24" t="s">
        <v>8849</v>
      </c>
      <c r="B843" s="24" t="s">
        <v>8001</v>
      </c>
      <c r="C843" s="25">
        <v>40.5183493173274</v>
      </c>
      <c r="D843" s="25">
        <v>114.941767224968</v>
      </c>
    </row>
    <row r="844">
      <c r="A844" s="22" t="s">
        <v>8850</v>
      </c>
      <c r="B844" s="22" t="s">
        <v>8003</v>
      </c>
      <c r="C844" s="23">
        <v>53.6978476930183</v>
      </c>
      <c r="D844" s="23">
        <v>-113.217084511778</v>
      </c>
    </row>
    <row r="845">
      <c r="A845" s="24" t="s">
        <v>8851</v>
      </c>
      <c r="B845" s="24" t="s">
        <v>7991</v>
      </c>
      <c r="C845" s="25">
        <v>53.639746518733</v>
      </c>
      <c r="D845" s="25">
        <v>-0.257045555211705</v>
      </c>
    </row>
    <row r="846">
      <c r="A846" s="22" t="s">
        <v>8852</v>
      </c>
      <c r="B846" s="22" t="s">
        <v>7987</v>
      </c>
      <c r="C846" s="23">
        <v>53.5249648633703</v>
      </c>
      <c r="D846" s="23">
        <v>9.90024184999308</v>
      </c>
    </row>
    <row r="847">
      <c r="A847" s="24" t="s">
        <v>8853</v>
      </c>
      <c r="B847" s="24" t="s">
        <v>8071</v>
      </c>
      <c r="C847" s="25">
        <v>-29.9589392638019</v>
      </c>
      <c r="D847" s="25">
        <v>-71.3390361117961</v>
      </c>
    </row>
    <row r="848">
      <c r="A848" s="22" t="s">
        <v>8854</v>
      </c>
      <c r="B848" s="22" t="s">
        <v>7967</v>
      </c>
      <c r="C848" s="23">
        <v>51.8808017364324</v>
      </c>
      <c r="D848" s="23">
        <v>4.31758183613009</v>
      </c>
    </row>
    <row r="849">
      <c r="A849" s="24" t="s">
        <v>8855</v>
      </c>
      <c r="B849" s="24" t="s">
        <v>8147</v>
      </c>
      <c r="C849" s="25">
        <v>-44.0778242644944</v>
      </c>
      <c r="D849" s="25">
        <v>170.540529115268</v>
      </c>
    </row>
    <row r="850">
      <c r="A850" s="22" t="s">
        <v>8856</v>
      </c>
      <c r="B850" s="22" t="s">
        <v>8011</v>
      </c>
      <c r="C850" s="23">
        <v>49.4864623019023</v>
      </c>
      <c r="D850" s="23">
        <v>0.217559311682759</v>
      </c>
    </row>
    <row r="851">
      <c r="A851" s="24" t="s">
        <v>8857</v>
      </c>
      <c r="B851" s="24" t="s">
        <v>7967</v>
      </c>
      <c r="C851" s="25">
        <v>51.455464389284</v>
      </c>
      <c r="D851" s="25">
        <v>3.56485156907884</v>
      </c>
    </row>
    <row r="852">
      <c r="A852" s="22" t="s">
        <v>8858</v>
      </c>
      <c r="B852" s="22" t="s">
        <v>7967</v>
      </c>
      <c r="C852" s="23">
        <v>51.3198235994645</v>
      </c>
      <c r="D852" s="23">
        <v>3.81552805542493</v>
      </c>
    </row>
    <row r="853">
      <c r="A853" s="24" t="s">
        <v>8859</v>
      </c>
      <c r="B853" s="24" t="s">
        <v>7974</v>
      </c>
      <c r="C853" s="25">
        <v>65.7314034120837</v>
      </c>
      <c r="D853" s="25">
        <v>21.9492628360798</v>
      </c>
    </row>
    <row r="854">
      <c r="A854" s="22" t="s">
        <v>8860</v>
      </c>
      <c r="B854" s="22" t="s">
        <v>7987</v>
      </c>
      <c r="C854" s="23">
        <v>52.8528701</v>
      </c>
      <c r="D854" s="23">
        <v>7.6764179</v>
      </c>
    </row>
    <row r="855">
      <c r="A855" s="24" t="s">
        <v>8861</v>
      </c>
      <c r="B855" s="24" t="s">
        <v>7971</v>
      </c>
      <c r="C855" s="25">
        <v>0.0</v>
      </c>
      <c r="D855" s="25">
        <v>0.0</v>
      </c>
    </row>
    <row r="856">
      <c r="A856" s="22" t="s">
        <v>8862</v>
      </c>
      <c r="B856" s="22" t="s">
        <v>8026</v>
      </c>
      <c r="C856" s="23">
        <v>63.093045227868</v>
      </c>
      <c r="D856" s="23">
        <v>21.6051729342017</v>
      </c>
    </row>
    <row r="857">
      <c r="A857" s="24" t="s">
        <v>8863</v>
      </c>
      <c r="B857" s="24" t="s">
        <v>8177</v>
      </c>
      <c r="C857" s="25">
        <v>19.171723</v>
      </c>
      <c r="D857" s="25">
        <v>-15.994444</v>
      </c>
    </row>
    <row r="858">
      <c r="A858" s="22" t="s">
        <v>8864</v>
      </c>
      <c r="B858" s="22" t="s">
        <v>7987</v>
      </c>
      <c r="C858" s="23">
        <v>52.4788303253576</v>
      </c>
      <c r="D858" s="23">
        <v>13.8298227371376</v>
      </c>
    </row>
    <row r="859">
      <c r="A859" s="24" t="s">
        <v>8865</v>
      </c>
      <c r="B859" s="24" t="s">
        <v>7987</v>
      </c>
      <c r="C859" s="25">
        <v>52.4788303253576</v>
      </c>
      <c r="D859" s="25">
        <v>13.8298227371376</v>
      </c>
    </row>
    <row r="860">
      <c r="A860" s="22" t="s">
        <v>8866</v>
      </c>
      <c r="B860" s="22" t="s">
        <v>8021</v>
      </c>
      <c r="C860" s="23">
        <v>-32.203</v>
      </c>
      <c r="D860" s="23">
        <v>115.773</v>
      </c>
    </row>
    <row r="861">
      <c r="A861" s="24" t="s">
        <v>8867</v>
      </c>
      <c r="B861" s="24" t="s">
        <v>8021</v>
      </c>
      <c r="C861" s="25">
        <v>-32.203</v>
      </c>
      <c r="D861" s="25">
        <v>115.773</v>
      </c>
    </row>
    <row r="862">
      <c r="A862" s="22" t="s">
        <v>8868</v>
      </c>
      <c r="B862" s="22" t="s">
        <v>8021</v>
      </c>
      <c r="C862" s="23">
        <v>-32.203</v>
      </c>
      <c r="D862" s="23">
        <v>115.773</v>
      </c>
    </row>
    <row r="863">
      <c r="A863" s="24" t="s">
        <v>8869</v>
      </c>
      <c r="B863" s="24" t="s">
        <v>7991</v>
      </c>
      <c r="C863" s="25">
        <v>58.8318121786481</v>
      </c>
      <c r="D863" s="25">
        <v>-3.10818543540961</v>
      </c>
    </row>
    <row r="864">
      <c r="A864" s="27" t="s">
        <v>8870</v>
      </c>
      <c r="B864" s="22" t="s">
        <v>7981</v>
      </c>
      <c r="C864" s="23">
        <v>29.720295189931</v>
      </c>
      <c r="D864" s="23">
        <v>-92.2121709934171</v>
      </c>
    </row>
    <row r="865">
      <c r="A865" s="24" t="s">
        <v>8871</v>
      </c>
      <c r="B865" s="24" t="s">
        <v>8011</v>
      </c>
      <c r="C865" s="25">
        <v>0.0</v>
      </c>
      <c r="D865" s="25">
        <v>0.0</v>
      </c>
    </row>
    <row r="866">
      <c r="A866" s="22" t="s">
        <v>8872</v>
      </c>
      <c r="B866" s="22" t="s">
        <v>8873</v>
      </c>
      <c r="C866" s="23">
        <v>-23.9386864557825</v>
      </c>
      <c r="D866" s="23">
        <v>14.4382420443189</v>
      </c>
    </row>
    <row r="867">
      <c r="A867" s="24" t="s">
        <v>8874</v>
      </c>
      <c r="B867" s="24" t="s">
        <v>8873</v>
      </c>
      <c r="C867" s="25">
        <v>-23.9386864557825</v>
      </c>
      <c r="D867" s="25">
        <v>14.4382420443189</v>
      </c>
    </row>
    <row r="868">
      <c r="A868" s="22" t="s">
        <v>8875</v>
      </c>
      <c r="B868" s="22" t="s">
        <v>8021</v>
      </c>
      <c r="C868" s="23">
        <v>-41.161972</v>
      </c>
      <c r="D868" s="23">
        <v>146.944028</v>
      </c>
    </row>
    <row r="869">
      <c r="A869" s="24" t="s">
        <v>8876</v>
      </c>
      <c r="B869" s="24" t="s">
        <v>8021</v>
      </c>
      <c r="C869" s="25">
        <v>-41.161972</v>
      </c>
      <c r="D869" s="25">
        <v>146.944028</v>
      </c>
    </row>
    <row r="870">
      <c r="A870" s="22" t="s">
        <v>8877</v>
      </c>
      <c r="B870" s="22" t="s">
        <v>8011</v>
      </c>
      <c r="C870" s="23">
        <v>45.8034975709794</v>
      </c>
      <c r="D870" s="23">
        <v>5.4209456136301</v>
      </c>
    </row>
    <row r="871">
      <c r="A871" s="24" t="s">
        <v>8878</v>
      </c>
      <c r="B871" s="24" t="s">
        <v>7985</v>
      </c>
      <c r="C871" s="25">
        <v>47.4842782925325</v>
      </c>
      <c r="D871" s="25">
        <v>8.20081012217759</v>
      </c>
    </row>
    <row r="872">
      <c r="A872" s="22" t="s">
        <v>8879</v>
      </c>
      <c r="B872" s="22" t="s">
        <v>7991</v>
      </c>
      <c r="C872" s="23">
        <v>50.8317057955361</v>
      </c>
      <c r="D872" s="23">
        <v>-0.235366150957089</v>
      </c>
    </row>
    <row r="873">
      <c r="A873" s="24" t="s">
        <v>8880</v>
      </c>
      <c r="B873" s="24" t="s">
        <v>7991</v>
      </c>
      <c r="C873" s="25">
        <v>50.8317057955361</v>
      </c>
      <c r="D873" s="25">
        <v>-0.235366150957089</v>
      </c>
    </row>
    <row r="874">
      <c r="A874" s="22" t="s">
        <v>8881</v>
      </c>
      <c r="B874" s="22" t="s">
        <v>7974</v>
      </c>
      <c r="C874" s="23">
        <v>57.7022110419584</v>
      </c>
      <c r="D874" s="23">
        <v>11.947645958932</v>
      </c>
    </row>
    <row r="875">
      <c r="A875" s="24" t="s">
        <v>8882</v>
      </c>
      <c r="B875" s="24" t="s">
        <v>7967</v>
      </c>
      <c r="C875" s="25">
        <v>53.6782329300612</v>
      </c>
      <c r="D875" s="25">
        <v>4.38178358436054</v>
      </c>
    </row>
    <row r="876">
      <c r="A876" s="22" t="s">
        <v>8883</v>
      </c>
      <c r="B876" s="22" t="s">
        <v>8539</v>
      </c>
      <c r="C876" s="23">
        <v>35.43317</v>
      </c>
      <c r="D876" s="23">
        <v>129.3429</v>
      </c>
    </row>
    <row r="877">
      <c r="A877" s="24" t="s">
        <v>8884</v>
      </c>
      <c r="B877" s="24" t="s">
        <v>8003</v>
      </c>
      <c r="C877" s="25">
        <v>53.796743099579</v>
      </c>
      <c r="D877" s="25">
        <v>-113.091151469817</v>
      </c>
    </row>
    <row r="878">
      <c r="A878" s="22" t="s">
        <v>8885</v>
      </c>
      <c r="B878" s="22" t="s">
        <v>7991</v>
      </c>
      <c r="C878" s="23">
        <v>58.6069150871962</v>
      </c>
      <c r="D878" s="23">
        <v>-2.69083787680891</v>
      </c>
    </row>
    <row r="879">
      <c r="A879" s="24" t="s">
        <v>8886</v>
      </c>
      <c r="B879" s="24" t="s">
        <v>7967</v>
      </c>
      <c r="C879" s="25">
        <v>51.3198235994645</v>
      </c>
      <c r="D879" s="25">
        <v>3.81552805542493</v>
      </c>
    </row>
    <row r="880">
      <c r="A880" s="22" t="s">
        <v>8887</v>
      </c>
      <c r="B880" s="22" t="s">
        <v>8437</v>
      </c>
      <c r="C880" s="23">
        <v>-25.4147978445457</v>
      </c>
      <c r="D880" s="23">
        <v>-54.6134807432928</v>
      </c>
    </row>
    <row r="881">
      <c r="A881" s="24" t="s">
        <v>8888</v>
      </c>
      <c r="B881" s="24" t="s">
        <v>8122</v>
      </c>
      <c r="C881" s="25">
        <v>66.0476467693398</v>
      </c>
      <c r="D881" s="25">
        <v>-17.3437866252937</v>
      </c>
    </row>
    <row r="882">
      <c r="A882" s="22" t="s">
        <v>8889</v>
      </c>
      <c r="B882" s="22" t="s">
        <v>8122</v>
      </c>
      <c r="C882" s="23">
        <v>66.0476467693398</v>
      </c>
      <c r="D882" s="23">
        <v>-17.3437866252937</v>
      </c>
    </row>
    <row r="883">
      <c r="A883" s="24" t="s">
        <v>8890</v>
      </c>
      <c r="B883" s="24" t="s">
        <v>8891</v>
      </c>
      <c r="C883" s="25">
        <v>-0.842934319370739</v>
      </c>
      <c r="D883" s="25">
        <v>36.318704915658</v>
      </c>
    </row>
    <row r="884">
      <c r="A884" s="22" t="s">
        <v>8892</v>
      </c>
      <c r="B884" s="22" t="s">
        <v>8785</v>
      </c>
      <c r="C884" s="23">
        <v>29.6333926321958</v>
      </c>
      <c r="D884" s="23">
        <v>32.3008063477238</v>
      </c>
    </row>
    <row r="885">
      <c r="A885" s="24" t="s">
        <v>8893</v>
      </c>
      <c r="B885" s="24" t="s">
        <v>7987</v>
      </c>
      <c r="C885" s="25">
        <v>0.0</v>
      </c>
      <c r="D885" s="25">
        <v>0.0</v>
      </c>
    </row>
    <row r="886">
      <c r="A886" s="22" t="s">
        <v>8894</v>
      </c>
      <c r="B886" s="22" t="s">
        <v>8021</v>
      </c>
      <c r="C886" s="23">
        <v>-19.3311686344704</v>
      </c>
      <c r="D886" s="23">
        <v>146.883995766265</v>
      </c>
    </row>
    <row r="887">
      <c r="A887" s="24" t="s">
        <v>8895</v>
      </c>
      <c r="B887" s="24" t="s">
        <v>7991</v>
      </c>
      <c r="C887" s="25">
        <v>54.5973009153763</v>
      </c>
      <c r="D887" s="25">
        <v>-1.20470023404359</v>
      </c>
    </row>
    <row r="888">
      <c r="A888" s="22" t="s">
        <v>8896</v>
      </c>
      <c r="B888" s="22" t="s">
        <v>7991</v>
      </c>
      <c r="C888" s="23">
        <v>54.5973009153763</v>
      </c>
      <c r="D888" s="23">
        <v>-1.20470023404359</v>
      </c>
    </row>
    <row r="889">
      <c r="A889" s="24" t="s">
        <v>8897</v>
      </c>
      <c r="B889" s="24" t="s">
        <v>7991</v>
      </c>
      <c r="C889" s="25">
        <v>53.4459447348258</v>
      </c>
      <c r="D889" s="25">
        <v>0.153631545886494</v>
      </c>
    </row>
    <row r="890">
      <c r="A890" s="22" t="s">
        <v>8898</v>
      </c>
      <c r="B890" s="22" t="s">
        <v>8899</v>
      </c>
      <c r="C890" s="23">
        <v>0.0</v>
      </c>
      <c r="D890" s="23">
        <v>0.0</v>
      </c>
    </row>
    <row r="891">
      <c r="A891" s="24" t="s">
        <v>8900</v>
      </c>
      <c r="B891" s="24" t="s">
        <v>8001</v>
      </c>
      <c r="C891" s="25">
        <v>24.5184968595092</v>
      </c>
      <c r="D891" s="25">
        <v>117.644338062525</v>
      </c>
    </row>
    <row r="892">
      <c r="A892" s="22" t="s">
        <v>8901</v>
      </c>
      <c r="B892" s="22" t="s">
        <v>8021</v>
      </c>
      <c r="C892" s="23">
        <v>-32.9242947965853</v>
      </c>
      <c r="D892" s="23">
        <v>151.787041626802</v>
      </c>
    </row>
    <row r="893">
      <c r="A893" s="24" t="s">
        <v>8902</v>
      </c>
      <c r="B893" s="24" t="s">
        <v>7981</v>
      </c>
      <c r="C893" s="25">
        <v>39.5428677662202</v>
      </c>
      <c r="D893" s="25">
        <v>-121.548156012574</v>
      </c>
    </row>
    <row r="894">
      <c r="A894" s="22" t="s">
        <v>8903</v>
      </c>
      <c r="B894" s="22" t="s">
        <v>8753</v>
      </c>
      <c r="C894" s="23">
        <v>49.1755153253704</v>
      </c>
      <c r="D894" s="23">
        <v>65.8478902943222</v>
      </c>
    </row>
    <row r="895">
      <c r="A895" s="24" t="s">
        <v>8904</v>
      </c>
      <c r="B895" s="24" t="s">
        <v>8138</v>
      </c>
      <c r="C895" s="25">
        <v>-39.9135880813656</v>
      </c>
      <c r="D895" s="25">
        <v>-64.9610966447293</v>
      </c>
    </row>
    <row r="896">
      <c r="A896" s="22" t="s">
        <v>8905</v>
      </c>
      <c r="B896" s="22" t="s">
        <v>8138</v>
      </c>
      <c r="C896" s="23">
        <v>-39.9135880813656</v>
      </c>
      <c r="D896" s="23">
        <v>-64.9610966447293</v>
      </c>
    </row>
    <row r="897">
      <c r="A897" s="24" t="s">
        <v>8906</v>
      </c>
      <c r="B897" s="24" t="s">
        <v>8138</v>
      </c>
      <c r="C897" s="25">
        <v>-39.9135880813656</v>
      </c>
      <c r="D897" s="25">
        <v>-64.9610966447293</v>
      </c>
    </row>
    <row r="898">
      <c r="A898" s="22" t="s">
        <v>8907</v>
      </c>
      <c r="B898" s="22" t="s">
        <v>8021</v>
      </c>
      <c r="C898" s="23">
        <v>-11.5866083492271</v>
      </c>
      <c r="D898" s="23">
        <v>130.881518242227</v>
      </c>
    </row>
    <row r="899">
      <c r="A899" s="24" t="s">
        <v>8908</v>
      </c>
      <c r="B899" s="24" t="s">
        <v>8021</v>
      </c>
      <c r="C899" s="25">
        <v>-11.5866083492271</v>
      </c>
      <c r="D899" s="25">
        <v>130.881518242227</v>
      </c>
    </row>
    <row r="900">
      <c r="A900" s="22" t="s">
        <v>8909</v>
      </c>
      <c r="B900" s="22" t="s">
        <v>7987</v>
      </c>
      <c r="C900" s="23">
        <v>52.3166897433429</v>
      </c>
      <c r="D900" s="23">
        <v>10.5106643005899</v>
      </c>
    </row>
    <row r="901">
      <c r="A901" s="24" t="s">
        <v>8910</v>
      </c>
      <c r="B901" s="24" t="s">
        <v>7991</v>
      </c>
      <c r="C901" s="25">
        <v>57.1791297504265</v>
      </c>
      <c r="D901" s="25">
        <v>-2.10165465605737</v>
      </c>
    </row>
    <row r="902">
      <c r="A902" s="22" t="s">
        <v>8911</v>
      </c>
      <c r="B902" s="22" t="s">
        <v>7987</v>
      </c>
      <c r="C902" s="23">
        <v>51.0711804636226</v>
      </c>
      <c r="D902" s="23">
        <v>6.8532302305271</v>
      </c>
    </row>
    <row r="903">
      <c r="A903" s="24" t="s">
        <v>8912</v>
      </c>
      <c r="B903" s="24" t="s">
        <v>7981</v>
      </c>
      <c r="C903" s="25">
        <v>36.7609226849742</v>
      </c>
      <c r="D903" s="25">
        <v>-119.772054900825</v>
      </c>
    </row>
    <row r="904">
      <c r="A904" s="22" t="s">
        <v>8913</v>
      </c>
      <c r="B904" s="22" t="s">
        <v>8914</v>
      </c>
      <c r="C904" s="23">
        <v>25.743290548071</v>
      </c>
      <c r="D904" s="23">
        <v>67.0760808523796</v>
      </c>
    </row>
    <row r="905">
      <c r="A905" s="24" t="s">
        <v>8915</v>
      </c>
      <c r="B905" s="24" t="s">
        <v>8047</v>
      </c>
      <c r="C905" s="25">
        <v>37.2728968032272</v>
      </c>
      <c r="D905" s="25">
        <v>15.012385111065</v>
      </c>
    </row>
    <row r="906">
      <c r="A906" s="22" t="s">
        <v>8916</v>
      </c>
      <c r="B906" s="22" t="s">
        <v>7991</v>
      </c>
      <c r="C906" s="23">
        <v>51.3770135919176</v>
      </c>
      <c r="D906" s="23">
        <v>1.12730544773322</v>
      </c>
    </row>
    <row r="907">
      <c r="A907" s="24" t="s">
        <v>8917</v>
      </c>
      <c r="B907" s="24" t="s">
        <v>8161</v>
      </c>
      <c r="C907" s="25">
        <v>39.669443045407</v>
      </c>
      <c r="D907" s="25">
        <v>-8.5132125350487</v>
      </c>
    </row>
    <row r="908">
      <c r="A908" s="22" t="s">
        <v>8918</v>
      </c>
      <c r="B908" s="22" t="s">
        <v>8011</v>
      </c>
      <c r="C908" s="23">
        <v>43.1319781817433</v>
      </c>
      <c r="D908" s="23">
        <v>1.62004782014926</v>
      </c>
    </row>
    <row r="909">
      <c r="A909" s="24" t="s">
        <v>8919</v>
      </c>
      <c r="B909" s="24" t="s">
        <v>8021</v>
      </c>
      <c r="C909" s="25">
        <v>-20.6245443513308</v>
      </c>
      <c r="D909" s="25">
        <v>116.783187518457</v>
      </c>
    </row>
    <row r="910">
      <c r="A910" s="22" t="s">
        <v>8920</v>
      </c>
      <c r="B910" s="22" t="s">
        <v>8071</v>
      </c>
      <c r="C910" s="23">
        <v>-52.276454565312</v>
      </c>
      <c r="D910" s="23">
        <v>-69.5229073126523</v>
      </c>
    </row>
    <row r="911">
      <c r="A911" s="24" t="s">
        <v>8921</v>
      </c>
      <c r="B911" s="24" t="s">
        <v>8021</v>
      </c>
      <c r="C911" s="25">
        <v>-23.8402075908997</v>
      </c>
      <c r="D911" s="25">
        <v>151.047341874176</v>
      </c>
    </row>
    <row r="912">
      <c r="A912" s="22" t="s">
        <v>8922</v>
      </c>
      <c r="B912" s="22" t="s">
        <v>8108</v>
      </c>
      <c r="C912" s="23">
        <v>27.3774751602916</v>
      </c>
      <c r="D912" s="23">
        <v>77.6858606999124</v>
      </c>
    </row>
    <row r="913">
      <c r="A913" s="24" t="s">
        <v>8923</v>
      </c>
      <c r="B913" s="24" t="s">
        <v>8108</v>
      </c>
      <c r="C913" s="25">
        <v>29.4770591757446</v>
      </c>
      <c r="D913" s="25">
        <v>76.8812315263293</v>
      </c>
    </row>
    <row r="914">
      <c r="A914" s="22" t="s">
        <v>8924</v>
      </c>
      <c r="B914" s="22" t="s">
        <v>8011</v>
      </c>
      <c r="C914" s="23">
        <v>47.7974450087896</v>
      </c>
      <c r="D914" s="23">
        <v>3.56626991557318</v>
      </c>
    </row>
    <row r="915">
      <c r="A915" s="24" t="s">
        <v>8925</v>
      </c>
      <c r="B915" s="24" t="s">
        <v>8147</v>
      </c>
      <c r="C915" s="25">
        <v>-36.8465417230633</v>
      </c>
      <c r="D915" s="25">
        <v>174.785640463253</v>
      </c>
    </row>
    <row r="916">
      <c r="A916" s="22" t="s">
        <v>8926</v>
      </c>
      <c r="B916" s="22" t="s">
        <v>7991</v>
      </c>
      <c r="C916" s="23">
        <v>51.5861725490326</v>
      </c>
      <c r="D916" s="23">
        <v>-2.84666909033039</v>
      </c>
    </row>
    <row r="917">
      <c r="A917" s="24" t="s">
        <v>8927</v>
      </c>
      <c r="B917" s="24" t="s">
        <v>7981</v>
      </c>
      <c r="C917" s="25">
        <v>33.7229054029132</v>
      </c>
      <c r="D917" s="25">
        <v>-90.0279269337475</v>
      </c>
    </row>
    <row r="918">
      <c r="A918" s="22" t="s">
        <v>8928</v>
      </c>
      <c r="B918" s="22" t="s">
        <v>8003</v>
      </c>
      <c r="C918" s="23">
        <v>49.5514647354486</v>
      </c>
      <c r="D918" s="23">
        <v>-114.724933064579</v>
      </c>
    </row>
    <row r="919">
      <c r="A919" s="24" t="s">
        <v>8929</v>
      </c>
      <c r="B919" s="24" t="s">
        <v>7991</v>
      </c>
      <c r="C919" s="25">
        <v>54.5867498663309</v>
      </c>
      <c r="D919" s="25">
        <v>-1.22874664648219</v>
      </c>
    </row>
    <row r="920">
      <c r="A920" s="22" t="s">
        <v>8930</v>
      </c>
      <c r="B920" s="22" t="s">
        <v>8047</v>
      </c>
      <c r="C920" s="23">
        <v>40.6326504175945</v>
      </c>
      <c r="D920" s="23">
        <v>17.9416778501729</v>
      </c>
    </row>
    <row r="921">
      <c r="A921" s="24" t="s">
        <v>8931</v>
      </c>
      <c r="B921" s="24" t="s">
        <v>7981</v>
      </c>
      <c r="C921" s="25">
        <v>43.0984863600474</v>
      </c>
      <c r="D921" s="25">
        <v>-79.0617535355327</v>
      </c>
    </row>
    <row r="922">
      <c r="A922" s="22" t="s">
        <v>8932</v>
      </c>
      <c r="B922" s="22" t="s">
        <v>8539</v>
      </c>
      <c r="C922" s="23">
        <v>35.188031529192</v>
      </c>
      <c r="D922" s="23">
        <v>128.590753691688</v>
      </c>
    </row>
    <row r="923">
      <c r="A923" s="24" t="s">
        <v>8933</v>
      </c>
      <c r="B923" s="24" t="s">
        <v>8021</v>
      </c>
      <c r="C923" s="25">
        <v>-32.4815540849408</v>
      </c>
      <c r="D923" s="25">
        <v>151.050595914068</v>
      </c>
    </row>
    <row r="924">
      <c r="A924" s="22" t="s">
        <v>8934</v>
      </c>
      <c r="B924" s="22" t="s">
        <v>7987</v>
      </c>
      <c r="C924" s="23">
        <v>53.5295406441506</v>
      </c>
      <c r="D924" s="23">
        <v>8.12969320043866</v>
      </c>
    </row>
    <row r="925">
      <c r="A925" s="24" t="s">
        <v>8935</v>
      </c>
      <c r="B925" s="24" t="s">
        <v>7974</v>
      </c>
      <c r="C925" s="25">
        <v>60.3692750686876</v>
      </c>
      <c r="D925" s="25">
        <v>18.1602595098593</v>
      </c>
    </row>
    <row r="926">
      <c r="A926" s="22" t="s">
        <v>8936</v>
      </c>
      <c r="B926" s="22" t="s">
        <v>8388</v>
      </c>
      <c r="C926" s="23">
        <v>17.0233710422322</v>
      </c>
      <c r="D926" s="23">
        <v>54.124774267586</v>
      </c>
    </row>
    <row r="927">
      <c r="A927" s="24" t="s">
        <v>8937</v>
      </c>
      <c r="B927" s="24" t="s">
        <v>7991</v>
      </c>
      <c r="C927" s="25">
        <v>51.5009866635143</v>
      </c>
      <c r="D927" s="25">
        <v>0.562990963891857</v>
      </c>
    </row>
    <row r="928">
      <c r="A928" s="22" t="s">
        <v>8938</v>
      </c>
      <c r="B928" s="22" t="s">
        <v>8108</v>
      </c>
      <c r="C928" s="23">
        <v>25.1731488138469</v>
      </c>
      <c r="D928" s="23">
        <v>82.5005445803328</v>
      </c>
    </row>
    <row r="929">
      <c r="A929" s="24" t="s">
        <v>8939</v>
      </c>
      <c r="B929" s="24" t="s">
        <v>8021</v>
      </c>
      <c r="C929" s="25">
        <v>-29.2453428049818</v>
      </c>
      <c r="D929" s="25">
        <v>114.934159115853</v>
      </c>
    </row>
    <row r="930">
      <c r="A930" s="22" t="s">
        <v>8940</v>
      </c>
      <c r="B930" s="22" t="s">
        <v>8021</v>
      </c>
      <c r="C930" s="23">
        <v>-34.4742633288829</v>
      </c>
      <c r="D930" s="23">
        <v>150.888021868027</v>
      </c>
    </row>
    <row r="931">
      <c r="A931" s="24" t="s">
        <v>8941</v>
      </c>
      <c r="B931" s="24" t="s">
        <v>8021</v>
      </c>
      <c r="C931" s="25">
        <v>-28.83006868708</v>
      </c>
      <c r="D931" s="25">
        <v>114.678351483145</v>
      </c>
    </row>
    <row r="932">
      <c r="A932" s="22" t="s">
        <v>8942</v>
      </c>
      <c r="B932" s="22" t="s">
        <v>8021</v>
      </c>
      <c r="C932" s="23">
        <v>-29.4737332197233</v>
      </c>
      <c r="D932" s="23">
        <v>115.080098618816</v>
      </c>
    </row>
    <row r="933">
      <c r="A933" s="24" t="s">
        <v>8943</v>
      </c>
      <c r="B933" s="24" t="s">
        <v>8021</v>
      </c>
      <c r="C933" s="25">
        <v>-29.4737332197233</v>
      </c>
      <c r="D933" s="25">
        <v>115.080098618816</v>
      </c>
    </row>
    <row r="934">
      <c r="A934" s="22" t="s">
        <v>8944</v>
      </c>
      <c r="B934" s="22" t="s">
        <v>7991</v>
      </c>
      <c r="C934" s="23">
        <v>56.0135132582581</v>
      </c>
      <c r="D934" s="23">
        <v>-3.69652919279354</v>
      </c>
    </row>
    <row r="935">
      <c r="A935" s="24" t="s">
        <v>8945</v>
      </c>
      <c r="B935" s="24" t="s">
        <v>7967</v>
      </c>
      <c r="C935" s="25">
        <v>51.8857555224209</v>
      </c>
      <c r="D935" s="25">
        <v>4.25634276930947</v>
      </c>
    </row>
    <row r="936">
      <c r="A936" s="22" t="s">
        <v>8946</v>
      </c>
      <c r="B936" s="22" t="s">
        <v>7967</v>
      </c>
      <c r="C936" s="23">
        <v>51.8697186805897</v>
      </c>
      <c r="D936" s="23">
        <v>4.28626487094617</v>
      </c>
    </row>
    <row r="937">
      <c r="A937" s="24" t="s">
        <v>8947</v>
      </c>
      <c r="B937" s="24" t="s">
        <v>8365</v>
      </c>
      <c r="C937" s="25">
        <v>-30.0517663498295</v>
      </c>
      <c r="D937" s="25">
        <v>18.7583380320615</v>
      </c>
    </row>
    <row r="938">
      <c r="A938" s="22" t="s">
        <v>8948</v>
      </c>
      <c r="B938" s="22" t="s">
        <v>8388</v>
      </c>
      <c r="C938" s="23">
        <v>18.632508497259</v>
      </c>
      <c r="D938" s="23">
        <v>53.9558812717681</v>
      </c>
    </row>
    <row r="939">
      <c r="A939" s="24" t="s">
        <v>8949</v>
      </c>
      <c r="B939" s="24" t="s">
        <v>7991</v>
      </c>
      <c r="C939" s="25">
        <v>50.8956152973799</v>
      </c>
      <c r="D939" s="25">
        <v>-1.3592919268736</v>
      </c>
    </row>
    <row r="940">
      <c r="A940" s="22" t="s">
        <v>8950</v>
      </c>
      <c r="B940" s="22" t="s">
        <v>8021</v>
      </c>
      <c r="C940" s="23">
        <v>-33.1693996466067</v>
      </c>
      <c r="D940" s="23">
        <v>138.011877075563</v>
      </c>
    </row>
    <row r="941">
      <c r="A941" s="24" t="s">
        <v>8951</v>
      </c>
      <c r="B941" s="24" t="s">
        <v>8021</v>
      </c>
      <c r="C941" s="25">
        <v>-33.1693996466067</v>
      </c>
      <c r="D941" s="25">
        <v>138.011877075563</v>
      </c>
    </row>
    <row r="942">
      <c r="A942" s="22" t="s">
        <v>8952</v>
      </c>
      <c r="B942" s="22" t="s">
        <v>7987</v>
      </c>
      <c r="C942" s="23">
        <v>52.4825565137023</v>
      </c>
      <c r="D942" s="23">
        <v>7.29966781182499</v>
      </c>
    </row>
    <row r="943">
      <c r="A943" s="24" t="s">
        <v>8953</v>
      </c>
      <c r="B943" s="24" t="s">
        <v>7987</v>
      </c>
      <c r="C943" s="25">
        <v>52.4825565137023</v>
      </c>
      <c r="D943" s="25">
        <v>7.29966781182499</v>
      </c>
    </row>
    <row r="944">
      <c r="A944" s="22" t="s">
        <v>8954</v>
      </c>
      <c r="B944" s="22" t="s">
        <v>7981</v>
      </c>
      <c r="C944" s="23">
        <v>41.2197643733599</v>
      </c>
      <c r="D944" s="23">
        <v>-78.0178283547209</v>
      </c>
    </row>
    <row r="945">
      <c r="A945" s="24" t="s">
        <v>8955</v>
      </c>
      <c r="B945" s="24" t="s">
        <v>8021</v>
      </c>
      <c r="C945" s="25">
        <v>-19.6470157775251</v>
      </c>
      <c r="D945" s="25">
        <v>134.178809229046</v>
      </c>
    </row>
    <row r="946">
      <c r="A946" s="22" t="s">
        <v>8956</v>
      </c>
      <c r="B946" s="22" t="s">
        <v>8021</v>
      </c>
      <c r="C946" s="23">
        <v>-19.6470157775251</v>
      </c>
      <c r="D946" s="23">
        <v>134.178809229046</v>
      </c>
    </row>
    <row r="947">
      <c r="A947" s="24" t="s">
        <v>8957</v>
      </c>
      <c r="B947" s="24" t="s">
        <v>8021</v>
      </c>
      <c r="C947" s="25">
        <v>-32.3696073251183</v>
      </c>
      <c r="D947" s="25">
        <v>150.979894681068</v>
      </c>
    </row>
    <row r="948">
      <c r="A948" s="22" t="s">
        <v>8958</v>
      </c>
      <c r="B948" s="22" t="s">
        <v>7981</v>
      </c>
      <c r="C948" s="23">
        <v>0.0</v>
      </c>
      <c r="D948" s="23">
        <v>0.0</v>
      </c>
    </row>
    <row r="949">
      <c r="A949" s="24" t="s">
        <v>8959</v>
      </c>
      <c r="B949" s="24" t="s">
        <v>8365</v>
      </c>
      <c r="C949" s="25">
        <v>-33.9238352071863</v>
      </c>
      <c r="D949" s="25">
        <v>25.6523711490143</v>
      </c>
    </row>
    <row r="950">
      <c r="A950" s="22" t="s">
        <v>8960</v>
      </c>
      <c r="B950" s="22" t="s">
        <v>8539</v>
      </c>
      <c r="C950" s="23">
        <v>37.0850780206244</v>
      </c>
      <c r="D950" s="23">
        <v>129.389676830691</v>
      </c>
    </row>
    <row r="951">
      <c r="A951" s="24" t="s">
        <v>8961</v>
      </c>
      <c r="B951" s="24" t="s">
        <v>8108</v>
      </c>
      <c r="C951" s="25">
        <v>11.7480072682973</v>
      </c>
      <c r="D951" s="25">
        <v>79.7709665036518</v>
      </c>
    </row>
    <row r="952">
      <c r="A952" s="22" t="s">
        <v>8962</v>
      </c>
      <c r="B952" s="22" t="s">
        <v>8108</v>
      </c>
      <c r="C952" s="23">
        <v>34.1537417922541</v>
      </c>
      <c r="D952" s="23">
        <v>77.5746314167347</v>
      </c>
    </row>
    <row r="953">
      <c r="A953" s="24" t="s">
        <v>8963</v>
      </c>
      <c r="B953" s="24" t="s">
        <v>8087</v>
      </c>
      <c r="C953" s="25">
        <v>51.0409778907728</v>
      </c>
      <c r="D953" s="25">
        <v>3.84433114911818</v>
      </c>
    </row>
    <row r="954">
      <c r="A954" s="22" t="s">
        <v>8964</v>
      </c>
      <c r="B954" s="22" t="s">
        <v>8001</v>
      </c>
      <c r="C954" s="23">
        <v>38.4925329030854</v>
      </c>
      <c r="D954" s="23">
        <v>106.23846956603</v>
      </c>
    </row>
    <row r="955">
      <c r="A955" s="24" t="s">
        <v>8965</v>
      </c>
      <c r="B955" s="24" t="s">
        <v>8365</v>
      </c>
      <c r="C955" s="25">
        <v>-33.9238352071863</v>
      </c>
      <c r="D955" s="25">
        <v>25.6523711490143</v>
      </c>
    </row>
    <row r="956">
      <c r="A956" s="22" t="s">
        <v>8966</v>
      </c>
      <c r="B956" s="22" t="s">
        <v>7981</v>
      </c>
      <c r="C956" s="23">
        <v>35.3525820509497</v>
      </c>
      <c r="D956" s="23">
        <v>-119.068161386695</v>
      </c>
    </row>
    <row r="957">
      <c r="A957" s="24" t="s">
        <v>8967</v>
      </c>
      <c r="B957" s="24" t="s">
        <v>7981</v>
      </c>
      <c r="C957" s="25">
        <v>41.2597100648204</v>
      </c>
      <c r="D957" s="25">
        <v>-110.964685455434</v>
      </c>
    </row>
    <row r="958">
      <c r="A958" s="22" t="s">
        <v>8968</v>
      </c>
      <c r="B958" s="22" t="s">
        <v>7981</v>
      </c>
      <c r="C958" s="23">
        <v>41.2597100648204</v>
      </c>
      <c r="D958" s="23">
        <v>-110.964685455434</v>
      </c>
    </row>
    <row r="959">
      <c r="A959" s="24" t="s">
        <v>8969</v>
      </c>
      <c r="B959" s="24" t="s">
        <v>8365</v>
      </c>
      <c r="C959" s="25">
        <v>-26.8098536779812</v>
      </c>
      <c r="D959" s="25">
        <v>27.8291352236842</v>
      </c>
    </row>
    <row r="960">
      <c r="A960" s="22" t="s">
        <v>8970</v>
      </c>
      <c r="B960" s="22" t="s">
        <v>8562</v>
      </c>
      <c r="C960" s="23">
        <v>31.1509044842985</v>
      </c>
      <c r="D960" s="23">
        <v>-9.84376940012575</v>
      </c>
    </row>
    <row r="961">
      <c r="A961" s="24" t="s">
        <v>8971</v>
      </c>
      <c r="B961" s="24" t="s">
        <v>8365</v>
      </c>
      <c r="C961" s="25">
        <v>-26.5453399830652</v>
      </c>
      <c r="D961" s="25">
        <v>29.1696719670635</v>
      </c>
    </row>
    <row r="962">
      <c r="A962" s="22" t="s">
        <v>8972</v>
      </c>
      <c r="B962" s="22" t="s">
        <v>8365</v>
      </c>
      <c r="C962" s="23">
        <v>-26.5453399830652</v>
      </c>
      <c r="D962" s="23">
        <v>29.1696719670635</v>
      </c>
    </row>
    <row r="963">
      <c r="A963" s="24" t="s">
        <v>8973</v>
      </c>
      <c r="B963" s="24" t="s">
        <v>8785</v>
      </c>
      <c r="C963" s="25">
        <v>29.8451332236916</v>
      </c>
      <c r="D963" s="25">
        <v>32.1628371320995</v>
      </c>
    </row>
    <row r="964">
      <c r="A964" s="22" t="s">
        <v>8974</v>
      </c>
      <c r="B964" s="22" t="s">
        <v>8071</v>
      </c>
      <c r="C964" s="23">
        <v>-50.615096291667</v>
      </c>
      <c r="D964" s="23">
        <v>-74.5013589002638</v>
      </c>
    </row>
    <row r="965">
      <c r="A965" s="24" t="s">
        <v>8975</v>
      </c>
      <c r="B965" s="24" t="s">
        <v>8071</v>
      </c>
      <c r="C965" s="25">
        <v>-32.9126976814101</v>
      </c>
      <c r="D965" s="25">
        <v>-71.4881534917297</v>
      </c>
    </row>
    <row r="966">
      <c r="A966" s="22" t="s">
        <v>8976</v>
      </c>
      <c r="B966" s="22" t="s">
        <v>8071</v>
      </c>
      <c r="C966" s="23">
        <v>-23.3990803648907</v>
      </c>
      <c r="D966" s="23">
        <v>-69.252182822016</v>
      </c>
    </row>
    <row r="967">
      <c r="A967" s="24" t="s">
        <v>8977</v>
      </c>
      <c r="B967" s="24" t="s">
        <v>8071</v>
      </c>
      <c r="C967" s="25">
        <v>-36.7512101302903</v>
      </c>
      <c r="D967" s="25">
        <v>-73.1249815484146</v>
      </c>
    </row>
    <row r="968">
      <c r="A968" s="22" t="s">
        <v>8978</v>
      </c>
      <c r="B968" s="22" t="s">
        <v>7977</v>
      </c>
      <c r="C968" s="23">
        <v>36.1851402237509</v>
      </c>
      <c r="D968" s="23">
        <v>-5.49260916811512</v>
      </c>
    </row>
    <row r="969">
      <c r="A969" s="24" t="s">
        <v>8979</v>
      </c>
      <c r="B969" s="24" t="s">
        <v>8980</v>
      </c>
      <c r="C969" s="25">
        <v>-5.54421881714217</v>
      </c>
      <c r="D969" s="25">
        <v>13.5574059880543</v>
      </c>
    </row>
    <row r="970">
      <c r="A970" s="22" t="s">
        <v>8981</v>
      </c>
      <c r="B970" s="22" t="s">
        <v>8001</v>
      </c>
      <c r="C970" s="23">
        <v>40.7816321509114</v>
      </c>
      <c r="D970" s="23">
        <v>114.867657780727</v>
      </c>
    </row>
    <row r="971">
      <c r="A971" s="24" t="s">
        <v>8982</v>
      </c>
      <c r="B971" s="24" t="s">
        <v>8016</v>
      </c>
      <c r="C971" s="25">
        <v>3.16772922820277</v>
      </c>
      <c r="D971" s="25">
        <v>113.003279715861</v>
      </c>
    </row>
    <row r="972">
      <c r="A972" s="22" t="s">
        <v>8983</v>
      </c>
      <c r="B972" s="22" t="s">
        <v>8016</v>
      </c>
      <c r="C972" s="23">
        <v>3.16772922820277</v>
      </c>
      <c r="D972" s="23">
        <v>113.003279715861</v>
      </c>
    </row>
    <row r="973">
      <c r="A973" s="24" t="s">
        <v>8984</v>
      </c>
      <c r="B973" s="24" t="s">
        <v>8016</v>
      </c>
      <c r="C973" s="25">
        <v>3.16772922820277</v>
      </c>
      <c r="D973" s="25">
        <v>113.003279715861</v>
      </c>
    </row>
    <row r="974">
      <c r="A974" s="22" t="s">
        <v>8985</v>
      </c>
      <c r="B974" s="22" t="s">
        <v>8371</v>
      </c>
      <c r="C974" s="23">
        <v>24.4852421565258</v>
      </c>
      <c r="D974" s="23">
        <v>54.3927280389778</v>
      </c>
    </row>
    <row r="975">
      <c r="A975" s="24" t="s">
        <v>8986</v>
      </c>
      <c r="B975" s="24" t="s">
        <v>7974</v>
      </c>
      <c r="C975" s="25">
        <v>57.4169938413905</v>
      </c>
      <c r="D975" s="25">
        <v>16.6730190153455</v>
      </c>
    </row>
    <row r="976">
      <c r="A976" s="22" t="s">
        <v>8987</v>
      </c>
      <c r="B976" s="22" t="s">
        <v>8011</v>
      </c>
      <c r="C976" s="23">
        <v>43.4168522123239</v>
      </c>
      <c r="D976" s="23">
        <v>4.83439803488868</v>
      </c>
    </row>
    <row r="977">
      <c r="A977" s="24" t="s">
        <v>8988</v>
      </c>
      <c r="B977" s="24" t="s">
        <v>8011</v>
      </c>
      <c r="C977" s="25">
        <v>43.4168522123239</v>
      </c>
      <c r="D977" s="25">
        <v>4.83439803488868</v>
      </c>
    </row>
    <row r="978">
      <c r="A978" s="22" t="s">
        <v>8989</v>
      </c>
      <c r="B978" s="22" t="s">
        <v>8011</v>
      </c>
      <c r="C978" s="23">
        <v>47.6192450919772</v>
      </c>
      <c r="D978" s="23">
        <v>6.86503785248722</v>
      </c>
    </row>
    <row r="979">
      <c r="A979" s="24" t="s">
        <v>8990</v>
      </c>
      <c r="B979" s="24" t="s">
        <v>7981</v>
      </c>
      <c r="C979" s="25">
        <v>33.9865765996311</v>
      </c>
      <c r="D979" s="25">
        <v>-118.476313802775</v>
      </c>
    </row>
    <row r="980">
      <c r="A980" s="22" t="s">
        <v>8991</v>
      </c>
      <c r="B980" s="22" t="s">
        <v>7994</v>
      </c>
      <c r="C980" s="23">
        <v>57.1224530376722</v>
      </c>
      <c r="D980" s="23">
        <v>8.59321939940426</v>
      </c>
    </row>
    <row r="981">
      <c r="A981" s="24" t="s">
        <v>8992</v>
      </c>
      <c r="B981" s="24" t="s">
        <v>7994</v>
      </c>
      <c r="C981" s="25">
        <v>57.1224530376722</v>
      </c>
      <c r="D981" s="25">
        <v>8.59321939940426</v>
      </c>
    </row>
    <row r="982">
      <c r="A982" s="22" t="s">
        <v>8993</v>
      </c>
      <c r="B982" s="22" t="s">
        <v>7987</v>
      </c>
      <c r="C982" s="23">
        <v>51.853127549675</v>
      </c>
      <c r="D982" s="23">
        <v>13.7097750119131</v>
      </c>
    </row>
    <row r="983">
      <c r="A983" s="24" t="s">
        <v>8994</v>
      </c>
      <c r="B983" s="24" t="s">
        <v>8437</v>
      </c>
      <c r="C983" s="25">
        <v>-25.4147978445457</v>
      </c>
      <c r="D983" s="25">
        <v>-54.6134807432928</v>
      </c>
    </row>
    <row r="984">
      <c r="A984" s="22" t="s">
        <v>8995</v>
      </c>
      <c r="B984" s="22" t="s">
        <v>8437</v>
      </c>
      <c r="C984" s="23">
        <v>-25.4147978445457</v>
      </c>
      <c r="D984" s="23">
        <v>-54.6134807432928</v>
      </c>
    </row>
    <row r="985">
      <c r="A985" s="24" t="s">
        <v>8996</v>
      </c>
      <c r="B985" s="24" t="s">
        <v>8437</v>
      </c>
      <c r="C985" s="25">
        <v>-25.4147978445457</v>
      </c>
      <c r="D985" s="25">
        <v>-54.6134807432928</v>
      </c>
    </row>
    <row r="986">
      <c r="A986" s="22" t="s">
        <v>8997</v>
      </c>
      <c r="B986" s="22" t="s">
        <v>8437</v>
      </c>
      <c r="C986" s="23">
        <v>-25.4147978445457</v>
      </c>
      <c r="D986" s="23">
        <v>-54.6134807432928</v>
      </c>
    </row>
    <row r="987">
      <c r="A987" s="24" t="s">
        <v>8998</v>
      </c>
      <c r="B987" s="24" t="s">
        <v>7991</v>
      </c>
      <c r="C987" s="25">
        <v>50.7157545409621</v>
      </c>
      <c r="D987" s="25">
        <v>-1.98428127360042</v>
      </c>
    </row>
    <row r="988">
      <c r="A988" s="22" t="s">
        <v>8999</v>
      </c>
      <c r="B988" s="22" t="s">
        <v>7977</v>
      </c>
      <c r="C988" s="23">
        <v>39.6801847454457</v>
      </c>
      <c r="D988" s="23">
        <v>-0.278295447714732</v>
      </c>
    </row>
    <row r="989">
      <c r="A989" s="24" t="s">
        <v>9000</v>
      </c>
      <c r="B989" s="24" t="s">
        <v>8023</v>
      </c>
      <c r="C989" s="25">
        <v>50.1606715475764</v>
      </c>
      <c r="D989" s="25">
        <v>19.4474161309661</v>
      </c>
    </row>
    <row r="990">
      <c r="A990" s="22" t="s">
        <v>9001</v>
      </c>
      <c r="B990" s="22" t="s">
        <v>8023</v>
      </c>
      <c r="C990" s="23">
        <v>55.0128437650918</v>
      </c>
      <c r="D990" s="23">
        <v>17.854748269755</v>
      </c>
    </row>
    <row r="991">
      <c r="A991" s="24" t="s">
        <v>9002</v>
      </c>
      <c r="B991" s="24" t="s">
        <v>7991</v>
      </c>
      <c r="C991" s="25">
        <v>51.6845551518729</v>
      </c>
      <c r="D991" s="25">
        <v>-4.98247284482957</v>
      </c>
    </row>
    <row r="992">
      <c r="A992" s="22" t="s">
        <v>9003</v>
      </c>
      <c r="B992" s="22" t="s">
        <v>8021</v>
      </c>
      <c r="C992" s="23">
        <v>-38.1037757910568</v>
      </c>
      <c r="D992" s="23">
        <v>144.362414598475</v>
      </c>
    </row>
    <row r="993">
      <c r="A993" s="24" t="s">
        <v>9004</v>
      </c>
      <c r="B993" s="24" t="s">
        <v>8161</v>
      </c>
      <c r="C993" s="25">
        <v>40.7597336293465</v>
      </c>
      <c r="D993" s="25">
        <v>-8.57326698465109</v>
      </c>
    </row>
    <row r="994">
      <c r="A994" s="22" t="s">
        <v>9005</v>
      </c>
      <c r="B994" s="22" t="s">
        <v>7971</v>
      </c>
      <c r="C994" s="23">
        <v>59.6788450757285</v>
      </c>
      <c r="D994" s="23">
        <v>6.35287471683493</v>
      </c>
    </row>
    <row r="995">
      <c r="A995" s="24" t="s">
        <v>9006</v>
      </c>
      <c r="B995" s="24" t="s">
        <v>8702</v>
      </c>
      <c r="C995" s="25">
        <v>54.1096426735225</v>
      </c>
      <c r="D995" s="25">
        <v>-9.03113627467893</v>
      </c>
    </row>
    <row r="996">
      <c r="A996" s="22" t="s">
        <v>9007</v>
      </c>
      <c r="B996" s="22" t="s">
        <v>7977</v>
      </c>
      <c r="C996" s="23">
        <v>39.4178380997624</v>
      </c>
      <c r="D996" s="23">
        <v>-3.21761548796866</v>
      </c>
    </row>
    <row r="997">
      <c r="A997" s="24" t="s">
        <v>9008</v>
      </c>
      <c r="B997" s="24" t="s">
        <v>8021</v>
      </c>
      <c r="C997" s="25">
        <v>-22.9185308716664</v>
      </c>
      <c r="D997" s="25">
        <v>144.373950768184</v>
      </c>
    </row>
    <row r="998">
      <c r="A998" s="22" t="s">
        <v>9009</v>
      </c>
      <c r="B998" s="22" t="s">
        <v>7994</v>
      </c>
      <c r="C998" s="23">
        <v>57.0519750902189</v>
      </c>
      <c r="D998" s="23">
        <v>9.9935988530856</v>
      </c>
    </row>
    <row r="999">
      <c r="A999" s="24" t="s">
        <v>9010</v>
      </c>
      <c r="B999" s="24" t="s">
        <v>7994</v>
      </c>
      <c r="C999" s="25">
        <v>56.6394192071214</v>
      </c>
      <c r="D999" s="25">
        <v>9.79841809008519</v>
      </c>
    </row>
    <row r="1000">
      <c r="A1000" s="22" t="s">
        <v>9011</v>
      </c>
      <c r="B1000" s="22" t="s">
        <v>7994</v>
      </c>
      <c r="C1000" s="23">
        <v>56.5653019471961</v>
      </c>
      <c r="D1000" s="23">
        <v>9.02965887010113</v>
      </c>
    </row>
    <row r="1001">
      <c r="A1001" s="24" t="s">
        <v>9012</v>
      </c>
      <c r="B1001" s="24" t="s">
        <v>7994</v>
      </c>
      <c r="C1001" s="25">
        <v>55.4768385331629</v>
      </c>
      <c r="D1001" s="25">
        <v>8.46209640920263</v>
      </c>
    </row>
    <row r="1002">
      <c r="A1002" s="22" t="s">
        <v>9013</v>
      </c>
      <c r="B1002" s="22" t="s">
        <v>7994</v>
      </c>
      <c r="C1002" s="23">
        <v>55.4768385331629</v>
      </c>
      <c r="D1002" s="23">
        <v>8.46209640920263</v>
      </c>
    </row>
    <row r="1003">
      <c r="A1003" s="24" t="s">
        <v>9014</v>
      </c>
      <c r="B1003" s="24" t="s">
        <v>7994</v>
      </c>
      <c r="C1003" s="25">
        <v>56.6378186659219</v>
      </c>
      <c r="D1003" s="25">
        <v>9.63439275047876</v>
      </c>
    </row>
    <row r="1004">
      <c r="A1004" s="22" t="s">
        <v>9015</v>
      </c>
      <c r="B1004" s="22" t="s">
        <v>7994</v>
      </c>
      <c r="C1004" s="23">
        <v>56.6378186659219</v>
      </c>
      <c r="D1004" s="23">
        <v>9.63439275047876</v>
      </c>
    </row>
    <row r="1005">
      <c r="A1005" s="24" t="s">
        <v>9016</v>
      </c>
      <c r="B1005" s="24" t="s">
        <v>7994</v>
      </c>
      <c r="C1005" s="25">
        <v>55.0457598618236</v>
      </c>
      <c r="D1005" s="25">
        <v>9.42673927834227</v>
      </c>
    </row>
    <row r="1006">
      <c r="A1006" s="22" t="s">
        <v>9017</v>
      </c>
      <c r="B1006" s="22" t="s">
        <v>7994</v>
      </c>
      <c r="C1006" s="23">
        <v>55.0457598618236</v>
      </c>
      <c r="D1006" s="23">
        <v>9.42673927834227</v>
      </c>
    </row>
    <row r="1007">
      <c r="A1007" s="24" t="s">
        <v>9018</v>
      </c>
      <c r="B1007" s="24" t="s">
        <v>7994</v>
      </c>
      <c r="C1007" s="25">
        <v>55.0170841687263</v>
      </c>
      <c r="D1007" s="25">
        <v>11.9173533096834</v>
      </c>
    </row>
    <row r="1008">
      <c r="A1008" s="22" t="s">
        <v>9019</v>
      </c>
      <c r="B1008" s="22" t="s">
        <v>7994</v>
      </c>
      <c r="C1008" s="23">
        <v>57.0519750902189</v>
      </c>
      <c r="D1008" s="23">
        <v>9.9935988530856</v>
      </c>
    </row>
    <row r="1009">
      <c r="A1009" s="24" t="s">
        <v>9020</v>
      </c>
      <c r="B1009" s="24" t="s">
        <v>7994</v>
      </c>
      <c r="C1009" s="25">
        <v>54.9322839518833</v>
      </c>
      <c r="D1009" s="25">
        <v>9.83623044894613</v>
      </c>
    </row>
    <row r="1010">
      <c r="A1010" s="22" t="s">
        <v>9021</v>
      </c>
      <c r="B1010" s="22" t="s">
        <v>8021</v>
      </c>
      <c r="C1010" s="23">
        <v>-27.4342485429379</v>
      </c>
      <c r="D1010" s="23">
        <v>153.124041361382</v>
      </c>
    </row>
    <row r="1011">
      <c r="A1011" s="24" t="s">
        <v>9022</v>
      </c>
      <c r="B1011" s="24" t="s">
        <v>8147</v>
      </c>
      <c r="C1011" s="25">
        <v>-35.8395859239381</v>
      </c>
      <c r="D1011" s="25">
        <v>174.487799068392</v>
      </c>
    </row>
    <row r="1012">
      <c r="A1012" s="22" t="s">
        <v>9023</v>
      </c>
      <c r="B1012" s="22" t="s">
        <v>7977</v>
      </c>
      <c r="C1012" s="23">
        <v>41.7584215245179</v>
      </c>
      <c r="D1012" s="23">
        <v>-0.385419714853298</v>
      </c>
    </row>
    <row r="1013">
      <c r="A1013" s="24" t="s">
        <v>9024</v>
      </c>
      <c r="B1013" s="24" t="s">
        <v>8021</v>
      </c>
      <c r="C1013" s="25">
        <v>-29.2174279586895</v>
      </c>
      <c r="D1013" s="25">
        <v>114.95188377406</v>
      </c>
    </row>
    <row r="1014">
      <c r="A1014" s="22" t="s">
        <v>9025</v>
      </c>
      <c r="B1014" s="22" t="s">
        <v>8021</v>
      </c>
      <c r="C1014" s="23">
        <v>-29.2174279586895</v>
      </c>
      <c r="D1014" s="23">
        <v>114.95188377406</v>
      </c>
    </row>
    <row r="1015">
      <c r="A1015" s="24" t="s">
        <v>9026</v>
      </c>
      <c r="B1015" s="24" t="s">
        <v>8011</v>
      </c>
      <c r="C1015" s="25">
        <v>47.7868564261854</v>
      </c>
      <c r="D1015" s="25">
        <v>7.49436290347816</v>
      </c>
    </row>
    <row r="1016">
      <c r="A1016" s="22" t="s">
        <v>9027</v>
      </c>
      <c r="B1016" s="22" t="s">
        <v>7981</v>
      </c>
      <c r="C1016" s="23">
        <v>47.5035450180445</v>
      </c>
      <c r="D1016" s="23">
        <v>-111.287042776499</v>
      </c>
    </row>
    <row r="1017">
      <c r="A1017" s="24" t="s">
        <v>9028</v>
      </c>
      <c r="B1017" s="24" t="s">
        <v>8003</v>
      </c>
      <c r="C1017" s="25">
        <v>45.8682149390967</v>
      </c>
      <c r="D1017" s="25">
        <v>-85.9002251095429</v>
      </c>
    </row>
    <row r="1018">
      <c r="A1018" s="22" t="s">
        <v>9029</v>
      </c>
      <c r="B1018" s="22" t="s">
        <v>7981</v>
      </c>
      <c r="C1018" s="23">
        <v>30.0889233395226</v>
      </c>
      <c r="D1018" s="23">
        <v>-90.4984166942733</v>
      </c>
    </row>
    <row r="1019">
      <c r="A1019" s="24" t="s">
        <v>9030</v>
      </c>
      <c r="B1019" s="24" t="s">
        <v>7977</v>
      </c>
      <c r="C1019" s="25">
        <v>38.7282474514421</v>
      </c>
      <c r="D1019" s="25">
        <v>-2.83087088038107</v>
      </c>
    </row>
    <row r="1020">
      <c r="A1020" s="22" t="s">
        <v>9031</v>
      </c>
      <c r="B1020" s="22" t="s">
        <v>8590</v>
      </c>
      <c r="C1020" s="23">
        <v>-3.53092803394662</v>
      </c>
      <c r="D1020" s="23">
        <v>-38.7923774582973</v>
      </c>
    </row>
    <row r="1021">
      <c r="A1021" s="24" t="s">
        <v>9032</v>
      </c>
      <c r="B1021" s="24" t="s">
        <v>8590</v>
      </c>
      <c r="C1021" s="25">
        <v>-4.94471520229253</v>
      </c>
      <c r="D1021" s="25">
        <v>-38.8200039778356</v>
      </c>
    </row>
    <row r="1022">
      <c r="A1022" s="22" t="s">
        <v>9033</v>
      </c>
      <c r="B1022" s="22" t="s">
        <v>8011</v>
      </c>
      <c r="C1022" s="23">
        <v>51.0337379763841</v>
      </c>
      <c r="D1022" s="23">
        <v>2.28818862790312</v>
      </c>
    </row>
    <row r="1023">
      <c r="A1023" s="24" t="s">
        <v>9034</v>
      </c>
      <c r="B1023" s="24" t="s">
        <v>7991</v>
      </c>
      <c r="C1023" s="25">
        <v>57.0919501244315</v>
      </c>
      <c r="D1023" s="25">
        <v>-4.25279725935409</v>
      </c>
    </row>
    <row r="1024">
      <c r="A1024" s="22" t="s">
        <v>9035</v>
      </c>
      <c r="B1024" s="22" t="s">
        <v>8071</v>
      </c>
      <c r="C1024" s="23">
        <v>-23.3990803648907</v>
      </c>
      <c r="D1024" s="23">
        <v>-69.252182822016</v>
      </c>
    </row>
    <row r="1025">
      <c r="A1025" s="24" t="s">
        <v>9036</v>
      </c>
      <c r="B1025" s="24" t="s">
        <v>8071</v>
      </c>
      <c r="C1025" s="25">
        <v>-23.3990803648907</v>
      </c>
      <c r="D1025" s="25">
        <v>-69.252182822016</v>
      </c>
    </row>
    <row r="1026">
      <c r="A1026" s="22" t="s">
        <v>9037</v>
      </c>
      <c r="B1026" s="22" t="s">
        <v>8071</v>
      </c>
      <c r="C1026" s="23">
        <v>-23.3990803648907</v>
      </c>
      <c r="D1026" s="23">
        <v>-69.252182822016</v>
      </c>
    </row>
    <row r="1027">
      <c r="A1027" s="24" t="s">
        <v>9038</v>
      </c>
      <c r="B1027" s="24" t="s">
        <v>8071</v>
      </c>
      <c r="C1027" s="25">
        <v>-50.615096291667</v>
      </c>
      <c r="D1027" s="25">
        <v>-74.5013589002638</v>
      </c>
    </row>
    <row r="1028">
      <c r="A1028" s="22" t="s">
        <v>9039</v>
      </c>
      <c r="B1028" s="22" t="s">
        <v>8071</v>
      </c>
      <c r="C1028" s="23">
        <v>-50.615096291667</v>
      </c>
      <c r="D1028" s="23">
        <v>-74.5013589002638</v>
      </c>
    </row>
    <row r="1029">
      <c r="A1029" s="24" t="s">
        <v>9040</v>
      </c>
      <c r="B1029" s="24" t="s">
        <v>7971</v>
      </c>
      <c r="C1029" s="25">
        <v>70.6929849708511</v>
      </c>
      <c r="D1029" s="25">
        <v>28.9164048317553</v>
      </c>
    </row>
    <row r="1030">
      <c r="A1030" s="22" t="s">
        <v>9041</v>
      </c>
      <c r="B1030" s="22" t="s">
        <v>7971</v>
      </c>
      <c r="C1030" s="23">
        <v>59.8971104008913</v>
      </c>
      <c r="D1030" s="23">
        <v>8.60811488160295</v>
      </c>
    </row>
    <row r="1031">
      <c r="A1031" s="24" t="s">
        <v>9042</v>
      </c>
      <c r="B1031" s="24" t="s">
        <v>7971</v>
      </c>
      <c r="C1031" s="25">
        <v>59.8971104008913</v>
      </c>
      <c r="D1031" s="25">
        <v>8.60811488160295</v>
      </c>
    </row>
    <row r="1032">
      <c r="A1032" s="22" t="s">
        <v>9043</v>
      </c>
      <c r="B1032" s="22" t="s">
        <v>7981</v>
      </c>
      <c r="C1032" s="23">
        <v>33.8297070764285</v>
      </c>
      <c r="D1032" s="23">
        <v>-114.103709163233</v>
      </c>
    </row>
    <row r="1033">
      <c r="A1033" s="24" t="s">
        <v>9044</v>
      </c>
      <c r="B1033" s="24" t="s">
        <v>7977</v>
      </c>
      <c r="C1033" s="25">
        <v>39.9580042348676</v>
      </c>
      <c r="D1033" s="25">
        <v>-0.00407231136722538</v>
      </c>
    </row>
    <row r="1034">
      <c r="A1034" s="22" t="s">
        <v>9045</v>
      </c>
      <c r="B1034" s="22" t="s">
        <v>7987</v>
      </c>
      <c r="C1034" s="23">
        <v>53.5295406441506</v>
      </c>
      <c r="D1034" s="23">
        <v>8.12969320043866</v>
      </c>
    </row>
    <row r="1035">
      <c r="A1035" s="24" t="s">
        <v>9046</v>
      </c>
      <c r="B1035" s="24" t="s">
        <v>8001</v>
      </c>
      <c r="C1035" s="25">
        <v>39.6217064512335</v>
      </c>
      <c r="D1035" s="25">
        <v>109.728046667016</v>
      </c>
    </row>
    <row r="1036">
      <c r="A1036" s="22" t="s">
        <v>9047</v>
      </c>
      <c r="B1036" s="22" t="s">
        <v>8161</v>
      </c>
      <c r="C1036" s="23">
        <v>39.7171290603057</v>
      </c>
      <c r="D1036" s="23">
        <v>-8.89838186033757</v>
      </c>
    </row>
    <row r="1037">
      <c r="A1037" s="24" t="s">
        <v>9048</v>
      </c>
      <c r="B1037" s="24" t="s">
        <v>8161</v>
      </c>
      <c r="C1037" s="25">
        <v>39.7171290603057</v>
      </c>
      <c r="D1037" s="25">
        <v>-8.89838186033757</v>
      </c>
    </row>
    <row r="1038">
      <c r="A1038" s="22" t="s">
        <v>9049</v>
      </c>
      <c r="B1038" s="22" t="s">
        <v>8001</v>
      </c>
      <c r="C1038" s="23">
        <v>39.7310901353144</v>
      </c>
      <c r="D1038" s="23">
        <v>115.969098680807</v>
      </c>
    </row>
    <row r="1039">
      <c r="A1039" s="24" t="s">
        <v>9050</v>
      </c>
      <c r="B1039" s="24" t="s">
        <v>7977</v>
      </c>
      <c r="C1039" s="25">
        <v>37.9919478923093</v>
      </c>
      <c r="D1039" s="25">
        <v>-1.10220897677113</v>
      </c>
    </row>
    <row r="1040">
      <c r="A1040" s="22" t="s">
        <v>9051</v>
      </c>
      <c r="B1040" s="27" t="s">
        <v>7977</v>
      </c>
      <c r="C1040" s="23">
        <v>40.1793745709376</v>
      </c>
      <c r="D1040" s="23">
        <v>-2.02492918219861</v>
      </c>
    </row>
    <row r="1041">
      <c r="A1041" s="24" t="s">
        <v>9052</v>
      </c>
      <c r="B1041" s="24" t="s">
        <v>7977</v>
      </c>
      <c r="C1041" s="25">
        <v>39.0734008031167</v>
      </c>
      <c r="D1041" s="25">
        <v>-5.12261733269946</v>
      </c>
    </row>
    <row r="1042">
      <c r="A1042" s="22" t="s">
        <v>9053</v>
      </c>
      <c r="B1042" s="22" t="s">
        <v>7977</v>
      </c>
      <c r="C1042" s="23">
        <v>39.0734008031167</v>
      </c>
      <c r="D1042" s="23">
        <v>-5.12261733269946</v>
      </c>
    </row>
    <row r="1043">
      <c r="A1043" s="24" t="s">
        <v>9054</v>
      </c>
      <c r="B1043" s="24" t="s">
        <v>8021</v>
      </c>
      <c r="C1043" s="25">
        <v>-32.6512706010151</v>
      </c>
      <c r="D1043" s="25">
        <v>151.004815481891</v>
      </c>
    </row>
    <row r="1044">
      <c r="A1044" s="22" t="s">
        <v>9055</v>
      </c>
      <c r="B1044" s="22" t="s">
        <v>8873</v>
      </c>
      <c r="C1044" s="23">
        <v>-22.0182124594526</v>
      </c>
      <c r="D1044" s="23">
        <v>14.9251300005224</v>
      </c>
    </row>
    <row r="1045">
      <c r="A1045" s="24" t="s">
        <v>9056</v>
      </c>
      <c r="B1045" s="24" t="s">
        <v>8590</v>
      </c>
      <c r="C1045" s="25">
        <v>-32.0367142764942</v>
      </c>
      <c r="D1045" s="25">
        <v>-52.075347135784</v>
      </c>
    </row>
    <row r="1046">
      <c r="A1046" s="22" t="s">
        <v>9057</v>
      </c>
      <c r="B1046" s="22" t="s">
        <v>8003</v>
      </c>
      <c r="C1046" s="23">
        <v>55.3268321494596</v>
      </c>
      <c r="D1046" s="23">
        <v>-125.332538964648</v>
      </c>
    </row>
    <row r="1047">
      <c r="A1047" s="24" t="s">
        <v>9058</v>
      </c>
      <c r="B1047" s="24" t="s">
        <v>7991</v>
      </c>
      <c r="C1047" s="25">
        <v>54.8465473779399</v>
      </c>
      <c r="D1047" s="25">
        <v>-5.78102635077524</v>
      </c>
    </row>
    <row r="1048">
      <c r="A1048" s="22" t="s">
        <v>9059</v>
      </c>
      <c r="B1048" s="22" t="s">
        <v>7991</v>
      </c>
      <c r="C1048" s="23">
        <v>51.9514180668966</v>
      </c>
      <c r="D1048" s="23">
        <v>1.33425464260219</v>
      </c>
    </row>
    <row r="1049">
      <c r="A1049" s="24" t="s">
        <v>9060</v>
      </c>
      <c r="B1049" s="24" t="s">
        <v>8021</v>
      </c>
      <c r="C1049" s="25">
        <v>-41.1283991202313</v>
      </c>
      <c r="D1049" s="25">
        <v>146.868151713653</v>
      </c>
    </row>
    <row r="1050">
      <c r="A1050" s="22" t="s">
        <v>9061</v>
      </c>
      <c r="B1050" s="22" t="s">
        <v>8026</v>
      </c>
      <c r="C1050" s="23">
        <v>64.6852122519613</v>
      </c>
      <c r="D1050" s="23">
        <v>24.4888832434783</v>
      </c>
    </row>
    <row r="1051">
      <c r="A1051" s="24" t="s">
        <v>9062</v>
      </c>
      <c r="B1051" s="24" t="s">
        <v>7981</v>
      </c>
      <c r="C1051" s="25">
        <v>29.7473312262183</v>
      </c>
      <c r="D1051" s="25">
        <v>-95.0010794281674</v>
      </c>
    </row>
    <row r="1052">
      <c r="A1052" s="22" t="s">
        <v>9063</v>
      </c>
      <c r="B1052" s="22" t="s">
        <v>7981</v>
      </c>
      <c r="C1052" s="23">
        <v>30.0806202344503</v>
      </c>
      <c r="D1052" s="23">
        <v>-94.1325704803665</v>
      </c>
    </row>
    <row r="1053">
      <c r="A1053" s="24" t="s">
        <v>9064</v>
      </c>
      <c r="B1053" s="24" t="s">
        <v>7981</v>
      </c>
      <c r="C1053" s="25">
        <v>30.0806202344503</v>
      </c>
      <c r="D1053" s="25">
        <v>-94.1325704803665</v>
      </c>
    </row>
    <row r="1054">
      <c r="A1054" s="22" t="s">
        <v>9065</v>
      </c>
      <c r="B1054" s="22" t="s">
        <v>7971</v>
      </c>
      <c r="C1054" s="23">
        <v>65.8405002614236</v>
      </c>
      <c r="D1054" s="23">
        <v>13.1952674023743</v>
      </c>
    </row>
    <row r="1055">
      <c r="A1055" s="24" t="s">
        <v>9066</v>
      </c>
      <c r="B1055" s="24" t="s">
        <v>8011</v>
      </c>
      <c r="C1055" s="25">
        <v>51.0337379763841</v>
      </c>
      <c r="D1055" s="25">
        <v>2.28818862790312</v>
      </c>
    </row>
    <row r="1056">
      <c r="A1056" s="22" t="s">
        <v>9067</v>
      </c>
      <c r="B1056" s="22" t="s">
        <v>8873</v>
      </c>
      <c r="C1056" s="23">
        <v>-22.6472389681159</v>
      </c>
      <c r="D1056" s="23">
        <v>14.5975758761669</v>
      </c>
    </row>
    <row r="1057">
      <c r="A1057" s="24" t="s">
        <v>9068</v>
      </c>
      <c r="B1057" s="24" t="s">
        <v>9069</v>
      </c>
      <c r="C1057" s="25">
        <v>-8.472778</v>
      </c>
      <c r="D1057" s="25">
        <v>13.373056</v>
      </c>
    </row>
    <row r="1058">
      <c r="A1058" s="22" t="s">
        <v>9070</v>
      </c>
      <c r="B1058" s="22" t="s">
        <v>8016</v>
      </c>
      <c r="C1058" s="23">
        <v>4.57041350166291</v>
      </c>
      <c r="D1058" s="23">
        <v>103.458201603972</v>
      </c>
    </row>
    <row r="1059">
      <c r="A1059" s="24" t="s">
        <v>9071</v>
      </c>
      <c r="B1059" s="24" t="s">
        <v>8388</v>
      </c>
      <c r="C1059" s="25">
        <v>19.67</v>
      </c>
      <c r="D1059" s="25">
        <v>57.73</v>
      </c>
    </row>
    <row r="1060">
      <c r="A1060" s="22" t="s">
        <v>9072</v>
      </c>
      <c r="B1060" s="22" t="s">
        <v>8388</v>
      </c>
      <c r="C1060" s="23">
        <v>19.67</v>
      </c>
      <c r="D1060" s="23">
        <v>57.73</v>
      </c>
    </row>
    <row r="1061">
      <c r="A1061" s="24" t="s">
        <v>9073</v>
      </c>
      <c r="B1061" s="24" t="s">
        <v>7987</v>
      </c>
      <c r="C1061" s="25">
        <v>52.2248658512686</v>
      </c>
      <c r="D1061" s="25">
        <v>7.88601939540456</v>
      </c>
    </row>
    <row r="1062">
      <c r="A1062" s="22" t="s">
        <v>9074</v>
      </c>
      <c r="B1062" s="22" t="s">
        <v>8737</v>
      </c>
      <c r="C1062" s="23">
        <v>10.3688565729078</v>
      </c>
      <c r="D1062" s="23">
        <v>-75.4961130611223</v>
      </c>
    </row>
    <row r="1063">
      <c r="A1063" s="24" t="s">
        <v>9075</v>
      </c>
      <c r="B1063" s="24" t="s">
        <v>7981</v>
      </c>
      <c r="C1063" s="25">
        <v>32.9103168142667</v>
      </c>
      <c r="D1063" s="25">
        <v>-111.763167890204</v>
      </c>
    </row>
    <row r="1064">
      <c r="A1064" s="22" t="s">
        <v>9076</v>
      </c>
      <c r="B1064" s="22" t="s">
        <v>7977</v>
      </c>
      <c r="C1064" s="23">
        <v>43.135942</v>
      </c>
      <c r="D1064" s="23">
        <v>-5.800384</v>
      </c>
    </row>
    <row r="1065">
      <c r="A1065" s="24" t="s">
        <v>9077</v>
      </c>
      <c r="B1065" s="24" t="s">
        <v>7977</v>
      </c>
      <c r="C1065" s="25">
        <v>41.5476</v>
      </c>
      <c r="D1065" s="25">
        <v>-5.6208</v>
      </c>
    </row>
    <row r="1066">
      <c r="A1066" s="22" t="s">
        <v>9078</v>
      </c>
      <c r="B1066" s="22" t="s">
        <v>7977</v>
      </c>
      <c r="C1066" s="23">
        <v>43.135942</v>
      </c>
      <c r="D1066" s="23">
        <v>-5.800384</v>
      </c>
    </row>
    <row r="1067">
      <c r="A1067" s="24" t="s">
        <v>9079</v>
      </c>
      <c r="B1067" s="24" t="s">
        <v>7977</v>
      </c>
      <c r="C1067" s="25">
        <v>43.5648</v>
      </c>
      <c r="D1067" s="25">
        <v>-5.7183</v>
      </c>
    </row>
    <row r="1068">
      <c r="A1068" s="22" t="s">
        <v>9080</v>
      </c>
      <c r="B1068" s="22" t="s">
        <v>7977</v>
      </c>
      <c r="C1068" s="23">
        <v>40.265848</v>
      </c>
      <c r="D1068" s="23">
        <v>-3.669364</v>
      </c>
    </row>
    <row r="1069">
      <c r="A1069" s="24" t="s">
        <v>9081</v>
      </c>
      <c r="B1069" s="24" t="s">
        <v>7977</v>
      </c>
      <c r="C1069" s="25">
        <v>37.844469</v>
      </c>
      <c r="D1069" s="25">
        <v>-4.729005</v>
      </c>
    </row>
    <row r="1070">
      <c r="A1070" s="22" t="s">
        <v>9082</v>
      </c>
      <c r="B1070" s="22" t="s">
        <v>7977</v>
      </c>
      <c r="C1070" s="23">
        <v>43.310751</v>
      </c>
      <c r="D1070" s="23">
        <v>-6.032763</v>
      </c>
    </row>
    <row r="1071">
      <c r="A1071" s="24" t="s">
        <v>9083</v>
      </c>
      <c r="B1071" s="24" t="s">
        <v>9084</v>
      </c>
      <c r="C1071" s="25">
        <v>46.635417</v>
      </c>
      <c r="D1071" s="25">
        <v>32.616867</v>
      </c>
    </row>
    <row r="1072">
      <c r="A1072" s="22" t="s">
        <v>9085</v>
      </c>
      <c r="B1072" s="22" t="s">
        <v>9084</v>
      </c>
      <c r="C1072" s="23">
        <v>46.635417</v>
      </c>
      <c r="D1072" s="23">
        <v>32.616867</v>
      </c>
    </row>
    <row r="1073">
      <c r="A1073" s="24" t="s">
        <v>9086</v>
      </c>
      <c r="B1073" s="24" t="s">
        <v>9084</v>
      </c>
      <c r="C1073" s="25">
        <v>46.635417</v>
      </c>
      <c r="D1073" s="25">
        <v>32.616867</v>
      </c>
    </row>
    <row r="1074">
      <c r="A1074" s="22" t="s">
        <v>9087</v>
      </c>
      <c r="B1074" s="22" t="s">
        <v>7971</v>
      </c>
      <c r="C1074" s="23">
        <v>59.981397</v>
      </c>
      <c r="D1074" s="23">
        <v>10.69413</v>
      </c>
    </row>
    <row r="1075">
      <c r="A1075" s="28" t="s">
        <v>9088</v>
      </c>
      <c r="B1075" s="24" t="s">
        <v>9089</v>
      </c>
      <c r="C1075" s="25">
        <v>43.823056</v>
      </c>
      <c r="D1075" s="25">
        <v>25.953889</v>
      </c>
    </row>
    <row r="1076">
      <c r="A1076" s="22" t="s">
        <v>9090</v>
      </c>
      <c r="B1076" s="22" t="s">
        <v>8011</v>
      </c>
      <c r="C1076" s="23">
        <v>49.154152</v>
      </c>
      <c r="D1076" s="23">
        <v>6.705371</v>
      </c>
    </row>
    <row r="1077">
      <c r="A1077" s="24" t="s">
        <v>9091</v>
      </c>
      <c r="B1077" s="24" t="s">
        <v>8011</v>
      </c>
      <c r="C1077" s="25">
        <v>49.154152</v>
      </c>
      <c r="D1077" s="25">
        <v>6.705371</v>
      </c>
    </row>
    <row r="1078">
      <c r="A1078" s="22" t="s">
        <v>9092</v>
      </c>
      <c r="B1078" s="22" t="s">
        <v>8011</v>
      </c>
      <c r="C1078" s="23">
        <v>45.702181</v>
      </c>
      <c r="D1078" s="23">
        <v>4.844148</v>
      </c>
    </row>
    <row r="1079">
      <c r="A1079" s="24" t="s">
        <v>9093</v>
      </c>
      <c r="B1079" s="24" t="s">
        <v>8011</v>
      </c>
      <c r="C1079" s="25">
        <v>43.022617</v>
      </c>
      <c r="D1079" s="25">
        <v>3.048236</v>
      </c>
    </row>
    <row r="1080">
      <c r="A1080" s="22" t="s">
        <v>9094</v>
      </c>
      <c r="B1080" s="22" t="s">
        <v>8011</v>
      </c>
      <c r="C1080" s="23">
        <v>43.793467</v>
      </c>
      <c r="D1080" s="23">
        <v>1.61243</v>
      </c>
    </row>
    <row r="1081">
      <c r="A1081" s="24" t="s">
        <v>9095</v>
      </c>
      <c r="B1081" s="24" t="s">
        <v>7987</v>
      </c>
      <c r="C1081" s="25">
        <v>52.4825565137023</v>
      </c>
      <c r="D1081" s="25">
        <v>7.29966781182499</v>
      </c>
    </row>
    <row r="1082">
      <c r="A1082" s="22" t="s">
        <v>9096</v>
      </c>
      <c r="B1082" s="22" t="s">
        <v>7987</v>
      </c>
      <c r="C1082" s="23">
        <v>52.4825565137023</v>
      </c>
      <c r="D1082" s="23">
        <v>7.29966781182499</v>
      </c>
    </row>
    <row r="1083">
      <c r="A1083" s="24" t="s">
        <v>9097</v>
      </c>
      <c r="B1083" s="24" t="s">
        <v>8021</v>
      </c>
      <c r="C1083" s="25">
        <v>-32.164525</v>
      </c>
      <c r="D1083" s="25">
        <v>115.793464</v>
      </c>
    </row>
    <row r="1084">
      <c r="A1084" s="22" t="s">
        <v>9098</v>
      </c>
      <c r="B1084" s="22" t="s">
        <v>8021</v>
      </c>
      <c r="C1084" s="23">
        <v>-32.164525</v>
      </c>
      <c r="D1084" s="23">
        <v>115.793464</v>
      </c>
    </row>
    <row r="1085">
      <c r="A1085" s="24" t="s">
        <v>9099</v>
      </c>
      <c r="B1085" s="24" t="s">
        <v>8021</v>
      </c>
      <c r="C1085" s="25">
        <v>-32.164525</v>
      </c>
      <c r="D1085" s="25">
        <v>115.793464</v>
      </c>
    </row>
    <row r="1086">
      <c r="A1086" s="22" t="s">
        <v>9100</v>
      </c>
      <c r="B1086" s="22" t="s">
        <v>8021</v>
      </c>
      <c r="C1086" s="23">
        <v>-32.653539</v>
      </c>
      <c r="D1086" s="23">
        <v>118.591182</v>
      </c>
    </row>
    <row r="1087">
      <c r="A1087" s="24" t="s">
        <v>9101</v>
      </c>
      <c r="B1087" s="24" t="s">
        <v>8021</v>
      </c>
      <c r="C1087" s="25">
        <v>-32.206526</v>
      </c>
      <c r="D1087" s="25">
        <v>115.821978</v>
      </c>
    </row>
    <row r="1088">
      <c r="A1088" s="22" t="s">
        <v>9102</v>
      </c>
      <c r="B1088" s="22" t="s">
        <v>8021</v>
      </c>
      <c r="C1088" s="23">
        <v>-32.243999</v>
      </c>
      <c r="D1088" s="23">
        <v>115.814003</v>
      </c>
    </row>
    <row r="1089">
      <c r="A1089" s="24" t="s">
        <v>9103</v>
      </c>
      <c r="B1089" s="24" t="s">
        <v>8021</v>
      </c>
      <c r="C1089" s="25">
        <v>-19.258965</v>
      </c>
      <c r="D1089" s="25">
        <v>146.816956</v>
      </c>
    </row>
    <row r="1090">
      <c r="A1090" s="22" t="s">
        <v>9104</v>
      </c>
      <c r="B1090" s="22" t="s">
        <v>7991</v>
      </c>
      <c r="C1090" s="23">
        <v>54.5423093211419</v>
      </c>
      <c r="D1090" s="23">
        <v>-1.245801640486</v>
      </c>
    </row>
    <row r="1091">
      <c r="A1091" s="24" t="s">
        <v>9105</v>
      </c>
      <c r="B1091" s="24" t="s">
        <v>7991</v>
      </c>
      <c r="C1091" s="25">
        <v>54.5423093211419</v>
      </c>
      <c r="D1091" s="25">
        <v>-1.245801640486</v>
      </c>
    </row>
    <row r="1092">
      <c r="A1092" s="22" t="s">
        <v>9106</v>
      </c>
      <c r="B1092" s="22" t="s">
        <v>7991</v>
      </c>
      <c r="C1092" s="23">
        <v>53.6537246625977</v>
      </c>
      <c r="D1092" s="23">
        <v>-0.331811276919424</v>
      </c>
    </row>
    <row r="1093">
      <c r="A1093" s="24" t="s">
        <v>9107</v>
      </c>
      <c r="B1093" s="24" t="s">
        <v>7987</v>
      </c>
      <c r="C1093" s="25">
        <v>53.52998</v>
      </c>
      <c r="D1093" s="25">
        <v>8.11253</v>
      </c>
    </row>
    <row r="1094">
      <c r="A1094" s="22" t="s">
        <v>9108</v>
      </c>
      <c r="B1094" s="22" t="s">
        <v>7987</v>
      </c>
      <c r="C1094" s="23">
        <v>53.1911535279741</v>
      </c>
      <c r="D1094" s="23">
        <v>8.33582784910707</v>
      </c>
    </row>
    <row r="1095">
      <c r="A1095" s="24" t="s">
        <v>9109</v>
      </c>
      <c r="B1095" s="24" t="s">
        <v>7987</v>
      </c>
      <c r="C1095" s="25">
        <v>50.0951170293398</v>
      </c>
      <c r="D1095" s="25">
        <v>8.53378270640634</v>
      </c>
    </row>
    <row r="1096">
      <c r="A1096" s="22" t="s">
        <v>9110</v>
      </c>
      <c r="B1096" s="22" t="s">
        <v>7987</v>
      </c>
      <c r="C1096" s="23">
        <v>53.489714</v>
      </c>
      <c r="D1096" s="23">
        <v>9.901124</v>
      </c>
    </row>
    <row r="1097">
      <c r="A1097" s="24" t="s">
        <v>9111</v>
      </c>
      <c r="B1097" s="24" t="s">
        <v>7987</v>
      </c>
      <c r="C1097" s="25">
        <v>51.927991</v>
      </c>
      <c r="D1097" s="25">
        <v>11.632033</v>
      </c>
    </row>
    <row r="1098">
      <c r="A1098" s="22" t="s">
        <v>9112</v>
      </c>
      <c r="B1098" s="22" t="s">
        <v>7987</v>
      </c>
      <c r="C1098" s="23">
        <v>51.927991</v>
      </c>
      <c r="D1098" s="23">
        <v>11.632033</v>
      </c>
    </row>
    <row r="1099">
      <c r="A1099" s="24" t="s">
        <v>9113</v>
      </c>
      <c r="B1099" s="24" t="s">
        <v>7987</v>
      </c>
      <c r="C1099" s="25">
        <v>51.43247</v>
      </c>
      <c r="D1099" s="25">
        <v>6.76516</v>
      </c>
    </row>
    <row r="1100">
      <c r="A1100" s="22" t="s">
        <v>9114</v>
      </c>
      <c r="B1100" s="22" t="s">
        <v>7987</v>
      </c>
      <c r="C1100" s="23">
        <v>53.1897</v>
      </c>
      <c r="D1100" s="23">
        <v>8.4087</v>
      </c>
    </row>
    <row r="1101">
      <c r="A1101" s="24" t="s">
        <v>9115</v>
      </c>
      <c r="B1101" s="24" t="s">
        <v>7987</v>
      </c>
      <c r="C1101" s="25">
        <v>51.217941</v>
      </c>
      <c r="D1101" s="25">
        <v>6.76168</v>
      </c>
    </row>
    <row r="1102">
      <c r="A1102" s="30" t="s">
        <v>9116</v>
      </c>
      <c r="B1102" s="22" t="s">
        <v>7987</v>
      </c>
      <c r="C1102" s="23">
        <v>51.2679011002081</v>
      </c>
      <c r="D1102" s="23">
        <v>12.4011818622458</v>
      </c>
    </row>
    <row r="1103">
      <c r="A1103" s="24" t="s">
        <v>9117</v>
      </c>
      <c r="B1103" s="24" t="s">
        <v>7987</v>
      </c>
      <c r="C1103" s="25">
        <v>52.784330196</v>
      </c>
      <c r="D1103" s="25">
        <v>7.300665464</v>
      </c>
    </row>
    <row r="1104">
      <c r="A1104" s="22" t="s">
        <v>9118</v>
      </c>
      <c r="B1104" s="22" t="s">
        <v>7987</v>
      </c>
      <c r="C1104" s="23">
        <v>54.083336</v>
      </c>
      <c r="D1104" s="23">
        <v>12.108811</v>
      </c>
    </row>
    <row r="1105">
      <c r="A1105" s="24" t="s">
        <v>9119</v>
      </c>
      <c r="B1105" s="24" t="s">
        <v>7987</v>
      </c>
      <c r="C1105" s="25">
        <v>52.2568329676866</v>
      </c>
      <c r="D1105" s="25">
        <v>10.480848312107</v>
      </c>
    </row>
    <row r="1106">
      <c r="A1106" s="22" t="s">
        <v>9120</v>
      </c>
      <c r="B1106" s="22" t="s">
        <v>7987</v>
      </c>
      <c r="C1106" s="23">
        <v>52.2568329676866</v>
      </c>
      <c r="D1106" s="23">
        <v>10.480848312107</v>
      </c>
    </row>
    <row r="1107">
      <c r="A1107" s="24" t="s">
        <v>9121</v>
      </c>
      <c r="B1107" s="24" t="s">
        <v>7974</v>
      </c>
      <c r="C1107" s="25">
        <v>65.0999996</v>
      </c>
      <c r="D1107" s="25">
        <v>17.0999996</v>
      </c>
    </row>
    <row r="1108">
      <c r="A1108" s="22" t="s">
        <v>9122</v>
      </c>
      <c r="B1108" s="22" t="s">
        <v>7974</v>
      </c>
      <c r="C1108" s="23">
        <v>56.8328966</v>
      </c>
      <c r="D1108" s="23">
        <v>13.9373471</v>
      </c>
    </row>
    <row r="1109">
      <c r="A1109" s="24" t="s">
        <v>9123</v>
      </c>
      <c r="B1109" s="24" t="s">
        <v>7974</v>
      </c>
      <c r="C1109" s="25">
        <v>62.1983366</v>
      </c>
      <c r="D1109" s="25">
        <v>17.5671981</v>
      </c>
    </row>
    <row r="1110">
      <c r="A1110" s="22" t="s">
        <v>9124</v>
      </c>
      <c r="B1110" s="22" t="s">
        <v>7974</v>
      </c>
      <c r="C1110" s="23">
        <v>65.584816</v>
      </c>
      <c r="D1110" s="23">
        <v>22.156704</v>
      </c>
    </row>
    <row r="1111">
      <c r="A1111" s="24" t="s">
        <v>9125</v>
      </c>
      <c r="B1111" s="24" t="s">
        <v>7974</v>
      </c>
      <c r="C1111" s="25">
        <v>58.217025</v>
      </c>
      <c r="D1111" s="25">
        <v>11.733398</v>
      </c>
    </row>
    <row r="1112">
      <c r="A1112" s="22" t="s">
        <v>9126</v>
      </c>
      <c r="B1112" s="22" t="s">
        <v>7974</v>
      </c>
      <c r="C1112" s="23">
        <v>59.3232643583416</v>
      </c>
      <c r="D1112" s="23">
        <v>18.0486519833303</v>
      </c>
    </row>
    <row r="1113">
      <c r="A1113" s="24" t="s">
        <v>9127</v>
      </c>
      <c r="B1113" s="24" t="s">
        <v>8026</v>
      </c>
      <c r="C1113" s="25">
        <v>60.1995487</v>
      </c>
      <c r="D1113" s="25">
        <v>20.3711715</v>
      </c>
    </row>
    <row r="1114">
      <c r="A1114" s="22" t="s">
        <v>9128</v>
      </c>
      <c r="B1114" s="22" t="s">
        <v>8026</v>
      </c>
      <c r="C1114" s="23">
        <v>60.3923</v>
      </c>
      <c r="D1114" s="23">
        <v>25.6651</v>
      </c>
    </row>
    <row r="1115">
      <c r="A1115" s="24" t="s">
        <v>9129</v>
      </c>
      <c r="B1115" s="24" t="s">
        <v>8026</v>
      </c>
      <c r="C1115" s="25">
        <v>60.3923</v>
      </c>
      <c r="D1115" s="25">
        <v>25.6651</v>
      </c>
    </row>
    <row r="1116">
      <c r="A1116" s="22" t="s">
        <v>9130</v>
      </c>
      <c r="B1116" s="22" t="s">
        <v>8026</v>
      </c>
      <c r="C1116" s="23">
        <v>60.3923</v>
      </c>
      <c r="D1116" s="23">
        <v>25.6651</v>
      </c>
    </row>
    <row r="1117">
      <c r="A1117" s="24" t="s">
        <v>9131</v>
      </c>
      <c r="B1117" s="24" t="s">
        <v>7977</v>
      </c>
      <c r="C1117" s="25">
        <v>43.135942</v>
      </c>
      <c r="D1117" s="25">
        <v>-5.800384</v>
      </c>
    </row>
    <row r="1118">
      <c r="A1118" s="22" t="s">
        <v>9132</v>
      </c>
      <c r="B1118" s="22" t="s">
        <v>7999</v>
      </c>
      <c r="C1118" s="23">
        <v>48.262398157192</v>
      </c>
      <c r="D1118" s="23">
        <v>15.6886018760215</v>
      </c>
    </row>
    <row r="1119">
      <c r="A1119" s="24" t="s">
        <v>9115</v>
      </c>
      <c r="B1119" s="24" t="s">
        <v>8023</v>
      </c>
      <c r="C1119" s="25">
        <v>50.5687422</v>
      </c>
      <c r="D1119" s="25">
        <v>19.2343995</v>
      </c>
    </row>
    <row r="1120">
      <c r="A1120" s="22" t="s">
        <v>9133</v>
      </c>
      <c r="B1120" s="22" t="s">
        <v>8023</v>
      </c>
      <c r="C1120" s="23">
        <v>52.7239607784318</v>
      </c>
      <c r="D1120" s="23">
        <v>20.8034437574075</v>
      </c>
    </row>
    <row r="1121">
      <c r="A1121" s="24" t="s">
        <v>9134</v>
      </c>
      <c r="B1121" s="24" t="s">
        <v>8023</v>
      </c>
      <c r="C1121" s="25">
        <v>52.7239607784318</v>
      </c>
      <c r="D1121" s="25">
        <v>20.8034437574075</v>
      </c>
    </row>
    <row r="1122">
      <c r="A1122" s="22" t="s">
        <v>9135</v>
      </c>
      <c r="B1122" s="22" t="s">
        <v>8023</v>
      </c>
      <c r="C1122" s="23">
        <v>0.0</v>
      </c>
      <c r="D1122" s="23">
        <v>0.0</v>
      </c>
    </row>
    <row r="1123">
      <c r="A1123" s="24" t="s">
        <v>9136</v>
      </c>
      <c r="B1123" s="24" t="s">
        <v>8023</v>
      </c>
      <c r="C1123" s="25">
        <v>0.0</v>
      </c>
      <c r="D1123" s="25">
        <v>0.0</v>
      </c>
    </row>
    <row r="1124">
      <c r="A1124" s="22" t="s">
        <v>9137</v>
      </c>
      <c r="B1124" s="22" t="s">
        <v>8021</v>
      </c>
      <c r="C1124" s="23">
        <v>-41.0667</v>
      </c>
      <c r="D1124" s="23">
        <v>146.767</v>
      </c>
    </row>
    <row r="1125">
      <c r="A1125" s="24" t="s">
        <v>9138</v>
      </c>
      <c r="B1125" s="24" t="s">
        <v>8021</v>
      </c>
      <c r="C1125" s="25">
        <v>-33.976002</v>
      </c>
      <c r="D1125" s="25">
        <v>151.218002</v>
      </c>
    </row>
    <row r="1126">
      <c r="A1126" s="22" t="s">
        <v>9139</v>
      </c>
      <c r="B1126" s="22" t="s">
        <v>8021</v>
      </c>
      <c r="C1126" s="23">
        <v>0.0</v>
      </c>
      <c r="D1126" s="23">
        <v>0.0</v>
      </c>
    </row>
    <row r="1127">
      <c r="A1127" s="24" t="s">
        <v>9140</v>
      </c>
      <c r="B1127" s="24" t="s">
        <v>7967</v>
      </c>
      <c r="C1127" s="25">
        <v>51.9647174080945</v>
      </c>
      <c r="D1127" s="25">
        <v>3.96305999589102</v>
      </c>
    </row>
    <row r="1128">
      <c r="A1128" s="22" t="s">
        <v>9141</v>
      </c>
      <c r="B1128" s="22" t="s">
        <v>7981</v>
      </c>
      <c r="C1128" s="23">
        <v>29.749907</v>
      </c>
      <c r="D1128" s="23">
        <v>-95.358421</v>
      </c>
    </row>
    <row r="1129">
      <c r="A1129" s="24" t="s">
        <v>9142</v>
      </c>
      <c r="B1129" s="24" t="s">
        <v>8785</v>
      </c>
      <c r="C1129" s="25">
        <v>29.659369</v>
      </c>
      <c r="D1129" s="25">
        <v>32.34481</v>
      </c>
    </row>
    <row r="1130">
      <c r="A1130" s="22" t="s">
        <v>9143</v>
      </c>
      <c r="B1130" s="22" t="s">
        <v>8785</v>
      </c>
      <c r="C1130" s="23">
        <v>29.659369</v>
      </c>
      <c r="D1130" s="23">
        <v>32.34481</v>
      </c>
    </row>
    <row r="1131">
      <c r="A1131" s="24" t="s">
        <v>9144</v>
      </c>
      <c r="B1131" s="24" t="s">
        <v>8117</v>
      </c>
      <c r="C1131" s="25">
        <v>38.041275</v>
      </c>
      <c r="D1131" s="25">
        <v>23.541812</v>
      </c>
    </row>
    <row r="1132">
      <c r="A1132" s="22" t="s">
        <v>9144</v>
      </c>
      <c r="B1132" s="22" t="s">
        <v>8117</v>
      </c>
      <c r="C1132" s="23">
        <v>38.041275</v>
      </c>
      <c r="D1132" s="23">
        <v>23.541812</v>
      </c>
    </row>
    <row r="1133">
      <c r="A1133" s="24" t="s">
        <v>9145</v>
      </c>
      <c r="B1133" s="24" t="s">
        <v>8117</v>
      </c>
      <c r="C1133" s="25">
        <v>37.938637</v>
      </c>
      <c r="D1133" s="25">
        <v>22.932238</v>
      </c>
    </row>
    <row r="1134">
      <c r="A1134" s="22" t="s">
        <v>9146</v>
      </c>
      <c r="B1134" s="22" t="s">
        <v>8618</v>
      </c>
      <c r="C1134" s="23">
        <v>46.2669467280171</v>
      </c>
      <c r="D1134" s="23">
        <v>15.4958561473294</v>
      </c>
    </row>
    <row r="1135">
      <c r="A1135" s="24" t="s">
        <v>9147</v>
      </c>
      <c r="B1135" s="24" t="s">
        <v>8008</v>
      </c>
      <c r="C1135" s="25">
        <v>59.436962</v>
      </c>
      <c r="D1135" s="25">
        <v>24.753574</v>
      </c>
    </row>
    <row r="1136">
      <c r="A1136" s="22" t="s">
        <v>9148</v>
      </c>
      <c r="B1136" s="22" t="s">
        <v>8008</v>
      </c>
      <c r="C1136" s="23">
        <v>59.436962</v>
      </c>
      <c r="D1136" s="23">
        <v>24.753574</v>
      </c>
    </row>
    <row r="1137">
      <c r="A1137" s="24" t="s">
        <v>9149</v>
      </c>
      <c r="B1137" s="24" t="s">
        <v>9150</v>
      </c>
      <c r="C1137" s="25">
        <v>49.7839374547199</v>
      </c>
      <c r="D1137" s="25">
        <v>6.02343189341234</v>
      </c>
    </row>
    <row r="1138">
      <c r="A1138" s="22" t="s">
        <v>9151</v>
      </c>
      <c r="B1138" s="22" t="s">
        <v>8087</v>
      </c>
      <c r="C1138" s="23">
        <v>51.0578126329887</v>
      </c>
      <c r="D1138" s="23">
        <v>3.73927501773233</v>
      </c>
    </row>
    <row r="1139">
      <c r="A1139" s="24" t="s">
        <v>9152</v>
      </c>
      <c r="B1139" s="24" t="s">
        <v>8649</v>
      </c>
      <c r="C1139" s="25">
        <v>56.9231537669751</v>
      </c>
      <c r="D1139" s="25">
        <v>25.2138883212293</v>
      </c>
    </row>
    <row r="1140">
      <c r="A1140" s="22" t="s">
        <v>9153</v>
      </c>
      <c r="B1140" s="22" t="s">
        <v>8649</v>
      </c>
      <c r="C1140" s="23">
        <v>57.3677481096117</v>
      </c>
      <c r="D1140" s="23">
        <v>24.8184049055508</v>
      </c>
    </row>
    <row r="1141">
      <c r="A1141" s="24" t="s">
        <v>9154</v>
      </c>
      <c r="B1141" s="24" t="s">
        <v>8161</v>
      </c>
      <c r="C1141" s="25">
        <v>38.708759</v>
      </c>
      <c r="D1141" s="25">
        <v>-7.400782</v>
      </c>
    </row>
    <row r="1142">
      <c r="A1142" s="22" t="s">
        <v>9155</v>
      </c>
      <c r="B1142" s="22" t="s">
        <v>8161</v>
      </c>
      <c r="C1142" s="23">
        <v>38.5244</v>
      </c>
      <c r="D1142" s="23">
        <v>-8.8882</v>
      </c>
    </row>
    <row r="1143">
      <c r="A1143" s="24" t="s">
        <v>9156</v>
      </c>
      <c r="B1143" s="24" t="s">
        <v>8021</v>
      </c>
      <c r="C1143" s="25">
        <v>-23.8415355203833</v>
      </c>
      <c r="D1143" s="25">
        <v>151.250589188345</v>
      </c>
    </row>
    <row r="1144">
      <c r="A1144" s="22" t="s">
        <v>9157</v>
      </c>
      <c r="B1144" s="22" t="s">
        <v>7981</v>
      </c>
      <c r="C1144" s="23">
        <v>39.352178</v>
      </c>
      <c r="D1144" s="23">
        <v>-112.57717</v>
      </c>
    </row>
    <row r="1145">
      <c r="A1145" s="24" t="s">
        <v>9158</v>
      </c>
      <c r="B1145" s="24" t="s">
        <v>7981</v>
      </c>
      <c r="C1145" s="25">
        <v>30.257695</v>
      </c>
      <c r="D1145" s="25">
        <v>-91.099271</v>
      </c>
    </row>
    <row r="1146">
      <c r="A1146" s="22" t="s">
        <v>9159</v>
      </c>
      <c r="B1146" s="22" t="s">
        <v>8591</v>
      </c>
      <c r="C1146" s="23">
        <v>47.308332</v>
      </c>
      <c r="D1146" s="23">
        <v>18.909671</v>
      </c>
    </row>
    <row r="1147">
      <c r="A1147" s="24" t="s">
        <v>9160</v>
      </c>
      <c r="B1147" s="24" t="s">
        <v>8785</v>
      </c>
      <c r="C1147" s="25">
        <v>29.659369</v>
      </c>
      <c r="D1147" s="25">
        <v>32.34481</v>
      </c>
    </row>
    <row r="1148">
      <c r="A1148" s="22" t="s">
        <v>9161</v>
      </c>
      <c r="B1148" s="22" t="s">
        <v>8785</v>
      </c>
      <c r="C1148" s="23">
        <v>29.659369</v>
      </c>
      <c r="D1148" s="23">
        <v>32.34481</v>
      </c>
    </row>
    <row r="1149">
      <c r="A1149" s="24" t="s">
        <v>9162</v>
      </c>
      <c r="B1149" s="24" t="s">
        <v>8785</v>
      </c>
      <c r="C1149" s="25">
        <v>29.659369</v>
      </c>
      <c r="D1149" s="25">
        <v>32.34481</v>
      </c>
    </row>
    <row r="1150">
      <c r="A1150" s="22" t="s">
        <v>9163</v>
      </c>
      <c r="B1150" s="22" t="s">
        <v>7981</v>
      </c>
      <c r="C1150" s="23">
        <v>36.2428395881232</v>
      </c>
      <c r="D1150" s="23">
        <v>-95.2761463170514</v>
      </c>
    </row>
    <row r="1151">
      <c r="A1151" s="24" t="s">
        <v>9163</v>
      </c>
      <c r="B1151" s="24" t="s">
        <v>7981</v>
      </c>
      <c r="C1151" s="25">
        <v>36.2428395881232</v>
      </c>
      <c r="D1151" s="25">
        <v>-95.2761463170514</v>
      </c>
    </row>
    <row r="1152">
      <c r="A1152" s="22" t="s">
        <v>9164</v>
      </c>
      <c r="B1152" s="22" t="s">
        <v>7977</v>
      </c>
      <c r="C1152" s="23">
        <v>43.3255995287192</v>
      </c>
      <c r="D1152" s="23">
        <v>-3.11395301897643</v>
      </c>
    </row>
    <row r="1153">
      <c r="A1153" s="24" t="s">
        <v>9165</v>
      </c>
      <c r="B1153" s="24" t="s">
        <v>8602</v>
      </c>
      <c r="C1153" s="25">
        <v>10.2333324</v>
      </c>
      <c r="D1153" s="25">
        <v>106.3833318</v>
      </c>
    </row>
    <row r="1154">
      <c r="A1154" s="22" t="s">
        <v>9166</v>
      </c>
      <c r="B1154" s="22" t="s">
        <v>8602</v>
      </c>
      <c r="C1154" s="23">
        <v>10.2333324</v>
      </c>
      <c r="D1154" s="23">
        <v>106.3833318</v>
      </c>
    </row>
    <row r="1155">
      <c r="A1155" s="24" t="s">
        <v>9167</v>
      </c>
      <c r="B1155" s="24" t="s">
        <v>7981</v>
      </c>
      <c r="C1155" s="25">
        <v>33.265263508499</v>
      </c>
      <c r="D1155" s="25">
        <v>-92.660997857399</v>
      </c>
    </row>
    <row r="1156">
      <c r="A1156" s="22" t="s">
        <v>9168</v>
      </c>
      <c r="B1156" s="22" t="s">
        <v>7977</v>
      </c>
      <c r="C1156" s="23">
        <v>43.457355</v>
      </c>
      <c r="D1156" s="23">
        <v>-7.947904</v>
      </c>
    </row>
    <row r="1157">
      <c r="A1157" s="24" t="s">
        <v>9168</v>
      </c>
      <c r="B1157" s="24" t="s">
        <v>7977</v>
      </c>
      <c r="C1157" s="25">
        <v>43.457355</v>
      </c>
      <c r="D1157" s="25">
        <v>-7.947904</v>
      </c>
    </row>
    <row r="1158">
      <c r="A1158" s="22" t="s">
        <v>9169</v>
      </c>
      <c r="B1158" s="22" t="s">
        <v>8620</v>
      </c>
      <c r="C1158" s="23">
        <v>50.2704161311497</v>
      </c>
      <c r="D1158" s="23">
        <v>14.5131943817664</v>
      </c>
    </row>
    <row r="1159">
      <c r="A1159" s="24" t="s">
        <v>9170</v>
      </c>
      <c r="B1159" s="24" t="s">
        <v>7987</v>
      </c>
      <c r="C1159" s="25">
        <v>53.5548105093506</v>
      </c>
      <c r="D1159" s="25">
        <v>8.57917324289646</v>
      </c>
    </row>
    <row r="1160">
      <c r="A1160" s="22" t="s">
        <v>9171</v>
      </c>
      <c r="B1160" s="22" t="s">
        <v>8785</v>
      </c>
      <c r="C1160" s="23">
        <v>31.25654</v>
      </c>
      <c r="D1160" s="23">
        <v>32.28411</v>
      </c>
    </row>
    <row r="1161">
      <c r="A1161" s="24" t="s">
        <v>9172</v>
      </c>
      <c r="B1161" s="24" t="s">
        <v>7987</v>
      </c>
      <c r="C1161" s="25">
        <v>53.3602460839282</v>
      </c>
      <c r="D1161" s="25">
        <v>7.21164166207105</v>
      </c>
    </row>
    <row r="1162">
      <c r="A1162" s="22" t="s">
        <v>9173</v>
      </c>
      <c r="B1162" s="22" t="s">
        <v>7987</v>
      </c>
      <c r="C1162" s="23">
        <v>51.5112143811435</v>
      </c>
      <c r="D1162" s="23">
        <v>13.349467188174</v>
      </c>
    </row>
    <row r="1163">
      <c r="A1163" s="24" t="s">
        <v>9174</v>
      </c>
      <c r="B1163" s="24" t="s">
        <v>7987</v>
      </c>
      <c r="C1163" s="25">
        <v>53.5667884842789</v>
      </c>
      <c r="D1163" s="25">
        <v>8.66087750653082</v>
      </c>
    </row>
    <row r="1164">
      <c r="A1164" s="22" t="s">
        <v>9175</v>
      </c>
      <c r="B1164" s="22" t="s">
        <v>9176</v>
      </c>
      <c r="C1164" s="23">
        <v>44.3858321159154</v>
      </c>
      <c r="D1164" s="23">
        <v>22.5216721301132</v>
      </c>
    </row>
    <row r="1165">
      <c r="A1165" s="24" t="s">
        <v>9177</v>
      </c>
      <c r="B1165" s="24" t="s">
        <v>8161</v>
      </c>
      <c r="C1165" s="25">
        <v>37.9588935688728</v>
      </c>
      <c r="D1165" s="25">
        <v>-8.86007328888969</v>
      </c>
    </row>
    <row r="1166">
      <c r="A1166" s="22" t="s">
        <v>9178</v>
      </c>
      <c r="B1166" s="22" t="s">
        <v>8539</v>
      </c>
      <c r="C1166" s="23">
        <v>0.0</v>
      </c>
      <c r="D1166" s="23">
        <v>0.0</v>
      </c>
    </row>
    <row r="1167">
      <c r="A1167" s="24" t="s">
        <v>9179</v>
      </c>
      <c r="B1167" s="24" t="s">
        <v>8539</v>
      </c>
      <c r="C1167" s="25">
        <v>36.20374717723</v>
      </c>
      <c r="D1167" s="25">
        <v>128.151743528246</v>
      </c>
    </row>
    <row r="1168">
      <c r="A1168" s="22" t="s">
        <v>9180</v>
      </c>
      <c r="B1168" s="22" t="s">
        <v>7981</v>
      </c>
      <c r="C1168" s="23">
        <v>30.471165</v>
      </c>
      <c r="D1168" s="23">
        <v>-91.147385</v>
      </c>
    </row>
    <row r="1169">
      <c r="A1169" s="24" t="s">
        <v>9181</v>
      </c>
      <c r="B1169" s="24" t="s">
        <v>7981</v>
      </c>
      <c r="C1169" s="25">
        <v>34.174261</v>
      </c>
      <c r="D1169" s="25">
        <v>-97.143625</v>
      </c>
    </row>
    <row r="1170">
      <c r="A1170" s="22" t="s">
        <v>9182</v>
      </c>
      <c r="B1170" s="22" t="s">
        <v>7981</v>
      </c>
      <c r="C1170" s="23">
        <v>41.748986</v>
      </c>
      <c r="D1170" s="23">
        <v>-72.989594</v>
      </c>
    </row>
    <row r="1171">
      <c r="A1171" s="24" t="s">
        <v>9183</v>
      </c>
      <c r="B1171" s="24" t="s">
        <v>7981</v>
      </c>
      <c r="C1171" s="25">
        <v>42.17564</v>
      </c>
      <c r="D1171" s="25">
        <v>-121.807182</v>
      </c>
    </row>
    <row r="1172">
      <c r="A1172" s="22" t="s">
        <v>9184</v>
      </c>
      <c r="B1172" s="22" t="s">
        <v>8011</v>
      </c>
      <c r="C1172" s="23">
        <v>44.909394</v>
      </c>
      <c r="D1172" s="23">
        <v>-0.536847</v>
      </c>
    </row>
    <row r="1173">
      <c r="A1173" s="24" t="s">
        <v>9185</v>
      </c>
      <c r="B1173" s="24" t="s">
        <v>8011</v>
      </c>
      <c r="C1173" s="25">
        <v>44.909394</v>
      </c>
      <c r="D1173" s="25">
        <v>-0.536847</v>
      </c>
    </row>
    <row r="1174">
      <c r="A1174" s="22" t="s">
        <v>9186</v>
      </c>
      <c r="B1174" s="22" t="s">
        <v>8011</v>
      </c>
      <c r="C1174" s="23">
        <v>43.3997339476077</v>
      </c>
      <c r="D1174" s="23">
        <v>5.10176032329623</v>
      </c>
    </row>
    <row r="1175">
      <c r="A1175" s="24" t="s">
        <v>9187</v>
      </c>
      <c r="B1175" s="24" t="s">
        <v>8011</v>
      </c>
      <c r="C1175" s="25">
        <v>47.5052983096142</v>
      </c>
      <c r="D1175" s="25">
        <v>0.364314178647569</v>
      </c>
    </row>
    <row r="1176">
      <c r="A1176" s="22" t="s">
        <v>9188</v>
      </c>
      <c r="B1176" s="22" t="s">
        <v>8011</v>
      </c>
      <c r="C1176" s="23">
        <v>47.319832054</v>
      </c>
      <c r="D1176" s="23">
        <v>5.038166514</v>
      </c>
    </row>
    <row r="1177">
      <c r="A1177" s="24" t="s">
        <v>9189</v>
      </c>
      <c r="B1177" s="24" t="s">
        <v>7991</v>
      </c>
      <c r="C1177" s="25">
        <v>51.7703079753887</v>
      </c>
      <c r="D1177" s="25">
        <v>-3.53466078829015</v>
      </c>
    </row>
    <row r="1178">
      <c r="A1178" s="22" t="s">
        <v>9190</v>
      </c>
      <c r="B1178" s="22" t="s">
        <v>7991</v>
      </c>
      <c r="C1178" s="23">
        <v>53.6277</v>
      </c>
      <c r="D1178" s="23">
        <v>-0.1918</v>
      </c>
    </row>
    <row r="1179">
      <c r="A1179" s="24" t="s">
        <v>9191</v>
      </c>
      <c r="B1179" s="24" t="s">
        <v>7991</v>
      </c>
      <c r="C1179" s="25">
        <v>59.0988651235103</v>
      </c>
      <c r="D1179" s="25">
        <v>-3.07423609344178</v>
      </c>
    </row>
    <row r="1180">
      <c r="A1180" s="22" t="s">
        <v>9192</v>
      </c>
      <c r="B1180" s="22" t="s">
        <v>7977</v>
      </c>
      <c r="C1180" s="23">
        <v>41.1189458754906</v>
      </c>
      <c r="D1180" s="23">
        <v>1.24338923261384</v>
      </c>
    </row>
    <row r="1181">
      <c r="A1181" s="24" t="s">
        <v>9193</v>
      </c>
      <c r="B1181" s="24" t="s">
        <v>7977</v>
      </c>
      <c r="C1181" s="25">
        <v>41.1189458754906</v>
      </c>
      <c r="D1181" s="25">
        <v>1.24338923261384</v>
      </c>
    </row>
    <row r="1182">
      <c r="A1182" s="22" t="s">
        <v>9194</v>
      </c>
      <c r="B1182" s="22" t="s">
        <v>7977</v>
      </c>
      <c r="C1182" s="23">
        <v>41.1189458754906</v>
      </c>
      <c r="D1182" s="23">
        <v>1.24338923261384</v>
      </c>
    </row>
    <row r="1183">
      <c r="A1183" s="24" t="s">
        <v>9195</v>
      </c>
      <c r="B1183" s="24" t="s">
        <v>8108</v>
      </c>
      <c r="C1183" s="25">
        <v>23.473324</v>
      </c>
      <c r="D1183" s="25">
        <v>77.947998</v>
      </c>
    </row>
    <row r="1184">
      <c r="A1184" s="22" t="s">
        <v>9196</v>
      </c>
      <c r="B1184" s="22" t="s">
        <v>8001</v>
      </c>
      <c r="C1184" s="23">
        <v>40.6643989546158</v>
      </c>
      <c r="D1184" s="23">
        <v>109.84298384509</v>
      </c>
    </row>
    <row r="1185">
      <c r="A1185" s="24" t="s">
        <v>9197</v>
      </c>
      <c r="B1185" s="24" t="s">
        <v>8001</v>
      </c>
      <c r="C1185" s="25">
        <v>40.2369739874703</v>
      </c>
      <c r="D1185" s="25">
        <v>97.5426285729633</v>
      </c>
    </row>
    <row r="1186">
      <c r="A1186" s="22" t="s">
        <v>9198</v>
      </c>
      <c r="B1186" s="22" t="s">
        <v>8001</v>
      </c>
      <c r="C1186" s="23">
        <v>36.066898</v>
      </c>
      <c r="D1186" s="23">
        <v>120.382698</v>
      </c>
    </row>
    <row r="1187">
      <c r="A1187" s="24" t="s">
        <v>9199</v>
      </c>
      <c r="B1187" s="24" t="s">
        <v>8108</v>
      </c>
      <c r="C1187" s="25">
        <v>0.0</v>
      </c>
      <c r="D1187" s="25">
        <v>0.0</v>
      </c>
    </row>
    <row r="1188">
      <c r="A1188" s="22" t="s">
        <v>9200</v>
      </c>
      <c r="B1188" s="22" t="s">
        <v>7987</v>
      </c>
      <c r="C1188" s="23">
        <v>54.117</v>
      </c>
      <c r="D1188" s="23">
        <v>13.733</v>
      </c>
    </row>
    <row r="1189">
      <c r="A1189" s="24" t="s">
        <v>9201</v>
      </c>
      <c r="B1189" s="24" t="s">
        <v>7987</v>
      </c>
      <c r="C1189" s="25">
        <v>54.117</v>
      </c>
      <c r="D1189" s="25">
        <v>13.733</v>
      </c>
    </row>
    <row r="1190">
      <c r="A1190" s="22" t="s">
        <v>9202</v>
      </c>
      <c r="B1190" s="22" t="s">
        <v>7974</v>
      </c>
      <c r="C1190" s="23">
        <v>60.5578395893936</v>
      </c>
      <c r="D1190" s="23">
        <v>16.2993350158126</v>
      </c>
    </row>
    <row r="1191">
      <c r="A1191" s="24" t="s">
        <v>9203</v>
      </c>
      <c r="B1191" s="24" t="s">
        <v>8011</v>
      </c>
      <c r="C1191" s="25">
        <v>48.8572441996414</v>
      </c>
      <c r="D1191" s="25">
        <v>2.35115065749247</v>
      </c>
    </row>
    <row r="1192">
      <c r="A1192" s="22" t="s">
        <v>9204</v>
      </c>
      <c r="B1192" s="22" t="s">
        <v>8001</v>
      </c>
      <c r="C1192" s="23">
        <v>35.762928</v>
      </c>
      <c r="D1192" s="23">
        <v>114.980511</v>
      </c>
    </row>
    <row r="1193">
      <c r="A1193" s="24" t="s">
        <v>9205</v>
      </c>
      <c r="B1193" s="24" t="s">
        <v>8001</v>
      </c>
      <c r="C1193" s="25">
        <v>35.762928</v>
      </c>
      <c r="D1193" s="25">
        <v>114.980511</v>
      </c>
    </row>
    <row r="1194">
      <c r="A1194" s="27" t="s">
        <v>9206</v>
      </c>
      <c r="B1194" s="22" t="s">
        <v>8001</v>
      </c>
      <c r="C1194" s="23">
        <v>45.4245345656202</v>
      </c>
      <c r="D1194" s="23">
        <v>123.485519964986</v>
      </c>
    </row>
    <row r="1195">
      <c r="A1195" s="24" t="s">
        <v>9207</v>
      </c>
      <c r="B1195" s="24" t="s">
        <v>8001</v>
      </c>
      <c r="C1195" s="25">
        <v>40.7816321509114</v>
      </c>
      <c r="D1195" s="25">
        <v>114.867657780727</v>
      </c>
    </row>
    <row r="1196">
      <c r="A1196" s="22" t="s">
        <v>9208</v>
      </c>
      <c r="B1196" s="22" t="s">
        <v>7971</v>
      </c>
      <c r="C1196" s="23">
        <v>70.4799</v>
      </c>
      <c r="D1196" s="23">
        <v>24.2633</v>
      </c>
    </row>
    <row r="1197">
      <c r="A1197" s="24" t="s">
        <v>9209</v>
      </c>
      <c r="B1197" s="24" t="s">
        <v>7971</v>
      </c>
      <c r="C1197" s="25">
        <v>70.4799</v>
      </c>
      <c r="D1197" s="25">
        <v>24.2633</v>
      </c>
    </row>
    <row r="1198">
      <c r="A1198" s="22" t="s">
        <v>9210</v>
      </c>
      <c r="B1198" s="22" t="s">
        <v>7974</v>
      </c>
      <c r="C1198" s="23">
        <v>62.3965762385459</v>
      </c>
      <c r="D1198" s="23">
        <v>17.3042056772326</v>
      </c>
    </row>
    <row r="1199">
      <c r="A1199" s="24" t="s">
        <v>9211</v>
      </c>
      <c r="B1199" s="24" t="s">
        <v>7987</v>
      </c>
      <c r="C1199" s="25">
        <v>52.1613923896665</v>
      </c>
      <c r="D1199" s="25">
        <v>10.431165376505</v>
      </c>
    </row>
    <row r="1200">
      <c r="A1200" s="22" t="s">
        <v>9212</v>
      </c>
      <c r="B1200" s="22" t="s">
        <v>7987</v>
      </c>
      <c r="C1200" s="23">
        <v>54.9353981843051</v>
      </c>
      <c r="D1200" s="23">
        <v>7.42589053057362</v>
      </c>
    </row>
    <row r="1201">
      <c r="A1201" s="24" t="s">
        <v>9213</v>
      </c>
      <c r="B1201" s="24" t="s">
        <v>7967</v>
      </c>
      <c r="C1201" s="25">
        <v>51.9468389546096</v>
      </c>
      <c r="D1201" s="25">
        <v>4.00975189191162</v>
      </c>
    </row>
    <row r="1202">
      <c r="A1202" s="22" t="s">
        <v>9214</v>
      </c>
      <c r="B1202" s="22" t="s">
        <v>7967</v>
      </c>
      <c r="C1202" s="23">
        <v>52.3661016838894</v>
      </c>
      <c r="D1202" s="23">
        <v>5.03477403347359</v>
      </c>
    </row>
    <row r="1203">
      <c r="A1203" s="24" t="s">
        <v>9215</v>
      </c>
      <c r="B1203" s="24" t="s">
        <v>8590</v>
      </c>
      <c r="C1203" s="25">
        <v>-12.6899679586959</v>
      </c>
      <c r="D1203" s="25">
        <v>-38.3179958243556</v>
      </c>
    </row>
    <row r="1204">
      <c r="A1204" s="22" t="s">
        <v>9216</v>
      </c>
      <c r="B1204" s="22" t="s">
        <v>8590</v>
      </c>
      <c r="C1204" s="23">
        <v>-12.6899679586959</v>
      </c>
      <c r="D1204" s="23">
        <v>-38.3179958243556</v>
      </c>
    </row>
    <row r="1205">
      <c r="A1205" s="24" t="s">
        <v>9217</v>
      </c>
      <c r="B1205" s="24" t="s">
        <v>8713</v>
      </c>
      <c r="C1205" s="25">
        <v>-9.39445057026364</v>
      </c>
      <c r="D1205" s="25">
        <v>-77.2299248690976</v>
      </c>
    </row>
    <row r="1206">
      <c r="A1206" s="22" t="s">
        <v>9218</v>
      </c>
      <c r="B1206" s="22" t="s">
        <v>7991</v>
      </c>
      <c r="C1206" s="23">
        <v>54.5917410207027</v>
      </c>
      <c r="D1206" s="23">
        <v>-1.14965592272594</v>
      </c>
    </row>
    <row r="1207">
      <c r="A1207" s="24" t="s">
        <v>9219</v>
      </c>
      <c r="B1207" s="24" t="s">
        <v>7991</v>
      </c>
      <c r="C1207" s="25">
        <v>54.5917410207027</v>
      </c>
      <c r="D1207" s="25">
        <v>-1.14965592272594</v>
      </c>
    </row>
    <row r="1208">
      <c r="A1208" s="22" t="s">
        <v>9220</v>
      </c>
      <c r="B1208" s="22" t="s">
        <v>8011</v>
      </c>
      <c r="C1208" s="23">
        <v>43.4230159307386</v>
      </c>
      <c r="D1208" s="23">
        <v>4.92126697295015</v>
      </c>
    </row>
    <row r="1209">
      <c r="A1209" s="24" t="s">
        <v>9221</v>
      </c>
      <c r="B1209" s="24" t="s">
        <v>7967</v>
      </c>
      <c r="C1209" s="25">
        <v>53.3344145029669</v>
      </c>
      <c r="D1209" s="25">
        <v>6.92135994987017</v>
      </c>
    </row>
    <row r="1210">
      <c r="A1210" s="22" t="s">
        <v>9222</v>
      </c>
      <c r="B1210" s="22" t="s">
        <v>8161</v>
      </c>
      <c r="C1210" s="23">
        <v>40.1758084073327</v>
      </c>
      <c r="D1210" s="23">
        <v>-8.88644498391011</v>
      </c>
    </row>
    <row r="1211">
      <c r="A1211" s="24" t="s">
        <v>9223</v>
      </c>
      <c r="B1211" s="24" t="s">
        <v>7974</v>
      </c>
      <c r="C1211" s="25">
        <v>63.1659624412185</v>
      </c>
      <c r="D1211" s="25">
        <v>17.2616883182055</v>
      </c>
    </row>
    <row r="1212">
      <c r="A1212" s="22" t="s">
        <v>9224</v>
      </c>
      <c r="B1212" s="22" t="s">
        <v>7981</v>
      </c>
      <c r="C1212" s="23">
        <v>29.6827181262762</v>
      </c>
      <c r="D1212" s="23">
        <v>-98.5830952289633</v>
      </c>
    </row>
    <row r="1213">
      <c r="A1213" s="24" t="s">
        <v>9225</v>
      </c>
      <c r="B1213" s="24" t="s">
        <v>8021</v>
      </c>
      <c r="C1213" s="25">
        <v>-38.1428035985816</v>
      </c>
      <c r="D1213" s="25">
        <v>144.366378819809</v>
      </c>
    </row>
    <row r="1214">
      <c r="A1214" s="22" t="s">
        <v>9226</v>
      </c>
      <c r="B1214" s="22" t="s">
        <v>8785</v>
      </c>
      <c r="C1214" s="23">
        <v>29.659369</v>
      </c>
      <c r="D1214" s="23">
        <v>32.34481</v>
      </c>
    </row>
    <row r="1215">
      <c r="A1215" s="24" t="s">
        <v>9227</v>
      </c>
      <c r="B1215" s="24" t="s">
        <v>8785</v>
      </c>
      <c r="C1215" s="25">
        <v>29.659369</v>
      </c>
      <c r="D1215" s="25">
        <v>32.34481</v>
      </c>
    </row>
    <row r="1216">
      <c r="A1216" s="22" t="s">
        <v>9228</v>
      </c>
      <c r="B1216" s="22" t="s">
        <v>8785</v>
      </c>
      <c r="C1216" s="23">
        <v>29.659369</v>
      </c>
      <c r="D1216" s="23">
        <v>32.34481</v>
      </c>
    </row>
    <row r="1217">
      <c r="A1217" s="24" t="s">
        <v>9229</v>
      </c>
      <c r="B1217" s="24" t="s">
        <v>8785</v>
      </c>
      <c r="C1217" s="25">
        <v>29.659369</v>
      </c>
      <c r="D1217" s="25">
        <v>32.34481</v>
      </c>
    </row>
    <row r="1218">
      <c r="A1218" s="22" t="s">
        <v>9230</v>
      </c>
      <c r="B1218" s="22" t="s">
        <v>7991</v>
      </c>
      <c r="C1218" s="23">
        <v>51.9514180668966</v>
      </c>
      <c r="D1218" s="23">
        <v>1.33425464260219</v>
      </c>
    </row>
    <row r="1219">
      <c r="A1219" s="24" t="s">
        <v>9231</v>
      </c>
      <c r="B1219" s="24" t="s">
        <v>7999</v>
      </c>
      <c r="C1219" s="25">
        <v>47.9816844051733</v>
      </c>
      <c r="D1219" s="25">
        <v>17.0060610809536</v>
      </c>
    </row>
    <row r="1220">
      <c r="A1220" s="22" t="s">
        <v>9232</v>
      </c>
      <c r="B1220" s="22" t="s">
        <v>7999</v>
      </c>
      <c r="C1220" s="23">
        <v>47.9816844051733</v>
      </c>
      <c r="D1220" s="23">
        <v>17.0060610809536</v>
      </c>
    </row>
    <row r="1221">
      <c r="A1221" s="24" t="s">
        <v>9233</v>
      </c>
      <c r="B1221" s="24" t="s">
        <v>8713</v>
      </c>
      <c r="C1221" s="25">
        <v>-13.2500148955281</v>
      </c>
      <c r="D1221" s="25">
        <v>-76.3035939226867</v>
      </c>
    </row>
    <row r="1222">
      <c r="A1222" s="22" t="s">
        <v>9234</v>
      </c>
      <c r="B1222" s="22" t="s">
        <v>8003</v>
      </c>
      <c r="C1222" s="23">
        <v>45.2836417311196</v>
      </c>
      <c r="D1222" s="23">
        <v>-66.0073141483031</v>
      </c>
    </row>
    <row r="1223">
      <c r="A1223" s="24" t="s">
        <v>9235</v>
      </c>
      <c r="B1223" s="24" t="s">
        <v>8087</v>
      </c>
      <c r="C1223" s="25">
        <v>51.2411278926226</v>
      </c>
      <c r="D1223" s="25">
        <v>4.40880687550732</v>
      </c>
    </row>
    <row r="1224">
      <c r="A1224" s="22" t="s">
        <v>9236</v>
      </c>
      <c r="B1224" s="22" t="s">
        <v>7987</v>
      </c>
      <c r="C1224" s="23">
        <v>50.0951170293398</v>
      </c>
      <c r="D1224" s="23">
        <v>8.53378270640634</v>
      </c>
    </row>
    <row r="1225">
      <c r="A1225" s="24" t="s">
        <v>9237</v>
      </c>
      <c r="B1225" s="24" t="s">
        <v>7981</v>
      </c>
      <c r="C1225" s="25">
        <v>27.6711890136464</v>
      </c>
      <c r="D1225" s="25">
        <v>-98.6140248195498</v>
      </c>
    </row>
    <row r="1226">
      <c r="A1226" s="22" t="s">
        <v>9238</v>
      </c>
      <c r="B1226" s="22" t="s">
        <v>7981</v>
      </c>
      <c r="C1226" s="23">
        <v>27.6711890136464</v>
      </c>
      <c r="D1226" s="23">
        <v>-98.6140248195498</v>
      </c>
    </row>
    <row r="1227">
      <c r="A1227" s="24" t="s">
        <v>9239</v>
      </c>
      <c r="B1227" s="24" t="s">
        <v>8003</v>
      </c>
      <c r="C1227" s="25">
        <v>44.9968280106751</v>
      </c>
      <c r="D1227" s="25">
        <v>-63.6183331505017</v>
      </c>
    </row>
    <row r="1228">
      <c r="A1228" s="22" t="s">
        <v>9240</v>
      </c>
      <c r="B1228" s="22" t="s">
        <v>8003</v>
      </c>
      <c r="C1228" s="23">
        <v>49.6141044888401</v>
      </c>
      <c r="D1228" s="23">
        <v>-66.5453402436497</v>
      </c>
    </row>
    <row r="1229">
      <c r="A1229" s="24" t="s">
        <v>9241</v>
      </c>
      <c r="B1229" s="24" t="s">
        <v>8011</v>
      </c>
      <c r="C1229" s="25">
        <v>43.334407996688</v>
      </c>
      <c r="D1229" s="25">
        <v>-0.354962612071143</v>
      </c>
    </row>
    <row r="1230">
      <c r="A1230" s="22" t="s">
        <v>9242</v>
      </c>
      <c r="B1230" s="22" t="s">
        <v>9243</v>
      </c>
      <c r="C1230" s="23">
        <v>7.92297889476613</v>
      </c>
      <c r="D1230" s="23">
        <v>79.9152343561583</v>
      </c>
    </row>
    <row r="1231">
      <c r="A1231" s="24" t="s">
        <v>9244</v>
      </c>
      <c r="B1231" s="24" t="s">
        <v>8047</v>
      </c>
      <c r="C1231" s="25">
        <v>39.1772879896997</v>
      </c>
      <c r="D1231" s="25">
        <v>9.37442902192081</v>
      </c>
    </row>
    <row r="1232">
      <c r="A1232" s="22" t="s">
        <v>9245</v>
      </c>
      <c r="B1232" s="22" t="s">
        <v>8011</v>
      </c>
      <c r="C1232" s="23">
        <v>-21.6968994129309</v>
      </c>
      <c r="D1232" s="23">
        <v>166.14074701644</v>
      </c>
    </row>
    <row r="1233">
      <c r="A1233" s="24" t="s">
        <v>9246</v>
      </c>
      <c r="B1233" s="24" t="s">
        <v>8578</v>
      </c>
      <c r="C1233" s="25">
        <v>-9.73432599929398</v>
      </c>
      <c r="D1233" s="25">
        <v>120.049178393703</v>
      </c>
    </row>
    <row r="1234">
      <c r="A1234" s="22" t="s">
        <v>9247</v>
      </c>
      <c r="B1234" s="22" t="s">
        <v>7991</v>
      </c>
      <c r="C1234" s="23">
        <v>51.0810568967906</v>
      </c>
      <c r="D1234" s="23">
        <v>-5.5885342270111</v>
      </c>
    </row>
    <row r="1235">
      <c r="A1235" s="24" t="s">
        <v>9248</v>
      </c>
      <c r="B1235" s="24" t="s">
        <v>7991</v>
      </c>
      <c r="C1235" s="25">
        <v>51.0810568967906</v>
      </c>
      <c r="D1235" s="25">
        <v>-5.5885342270111</v>
      </c>
    </row>
    <row r="1236">
      <c r="A1236" s="22" t="s">
        <v>9249</v>
      </c>
      <c r="B1236" s="22" t="s">
        <v>7967</v>
      </c>
      <c r="C1236" s="23">
        <v>53.1266000098152</v>
      </c>
      <c r="D1236" s="23">
        <v>6.58803165166935</v>
      </c>
    </row>
    <row r="1237">
      <c r="A1237" s="24" t="s">
        <v>9250</v>
      </c>
      <c r="B1237" s="24" t="s">
        <v>8578</v>
      </c>
      <c r="C1237" s="25">
        <v>1.78217686425388</v>
      </c>
      <c r="D1237" s="25">
        <v>99.0881245362779</v>
      </c>
    </row>
    <row r="1238">
      <c r="A1238" s="22" t="s">
        <v>9251</v>
      </c>
      <c r="B1238" s="22" t="s">
        <v>9252</v>
      </c>
      <c r="C1238" s="23">
        <v>17.1460142155956</v>
      </c>
      <c r="D1238" s="23">
        <v>10.5413131001222</v>
      </c>
    </row>
    <row r="1239">
      <c r="A1239" s="24" t="s">
        <v>9253</v>
      </c>
      <c r="B1239" s="24" t="s">
        <v>8021</v>
      </c>
      <c r="C1239" s="25">
        <v>-34.8055238620728</v>
      </c>
      <c r="D1239" s="25">
        <v>138.522764146592</v>
      </c>
    </row>
    <row r="1240">
      <c r="A1240" s="22" t="s">
        <v>9254</v>
      </c>
      <c r="B1240" s="22" t="s">
        <v>8413</v>
      </c>
      <c r="C1240" s="23">
        <v>-31.6850407418412</v>
      </c>
      <c r="D1240" s="23">
        <v>-55.8662218711876</v>
      </c>
    </row>
    <row r="1241">
      <c r="A1241" s="24" t="s">
        <v>9255</v>
      </c>
      <c r="B1241" s="24" t="s">
        <v>8138</v>
      </c>
      <c r="C1241" s="25">
        <v>-34.5656051105042</v>
      </c>
      <c r="D1241" s="25">
        <v>-58.3944168367812</v>
      </c>
    </row>
    <row r="1242">
      <c r="A1242" s="22" t="s">
        <v>9256</v>
      </c>
      <c r="B1242" s="22" t="s">
        <v>8590</v>
      </c>
      <c r="C1242" s="23">
        <v>-21.834349756669</v>
      </c>
      <c r="D1242" s="23">
        <v>-41.0413268418608</v>
      </c>
    </row>
    <row r="1243">
      <c r="A1243" s="24" t="s">
        <v>9257</v>
      </c>
      <c r="B1243" s="24" t="s">
        <v>8590</v>
      </c>
      <c r="C1243" s="25">
        <v>-21.834349756669</v>
      </c>
      <c r="D1243" s="25">
        <v>-41.0413268418608</v>
      </c>
    </row>
    <row r="1244">
      <c r="A1244" s="27" t="s">
        <v>9258</v>
      </c>
      <c r="B1244" s="22" t="s">
        <v>8371</v>
      </c>
      <c r="C1244" s="23">
        <v>24.4852421565258</v>
      </c>
      <c r="D1244" s="23">
        <v>54.3927280389778</v>
      </c>
    </row>
    <row r="1245">
      <c r="A1245" s="24" t="s">
        <v>9259</v>
      </c>
      <c r="B1245" s="24" t="s">
        <v>7991</v>
      </c>
      <c r="C1245" s="25">
        <v>54.1033981870329</v>
      </c>
      <c r="D1245" s="25">
        <v>-3.23274641010043</v>
      </c>
    </row>
    <row r="1246">
      <c r="A1246" s="22" t="s">
        <v>9260</v>
      </c>
      <c r="B1246" s="22" t="s">
        <v>7977</v>
      </c>
      <c r="C1246" s="23">
        <v>40.3383230276851</v>
      </c>
      <c r="D1246" s="23">
        <v>-3.69326955904086</v>
      </c>
    </row>
    <row r="1247">
      <c r="A1247" s="24" t="s">
        <v>9261</v>
      </c>
      <c r="B1247" s="24" t="s">
        <v>7987</v>
      </c>
      <c r="C1247" s="25">
        <v>50.9172829771668</v>
      </c>
      <c r="D1247" s="25">
        <v>6.39232889531632</v>
      </c>
    </row>
    <row r="1248">
      <c r="A1248" s="22" t="s">
        <v>9262</v>
      </c>
      <c r="B1248" s="22" t="s">
        <v>8578</v>
      </c>
      <c r="C1248" s="23">
        <v>5.14920046309308</v>
      </c>
      <c r="D1248" s="23">
        <v>97.4102860382685</v>
      </c>
    </row>
    <row r="1249">
      <c r="A1249" s="24" t="s">
        <v>9263</v>
      </c>
      <c r="B1249" s="24" t="s">
        <v>8108</v>
      </c>
      <c r="C1249" s="25">
        <v>10.2913897526231</v>
      </c>
      <c r="D1249" s="25">
        <v>78.8268326344017</v>
      </c>
    </row>
    <row r="1250">
      <c r="A1250" s="22" t="s">
        <v>9264</v>
      </c>
      <c r="B1250" s="22" t="s">
        <v>8590</v>
      </c>
      <c r="C1250" s="23">
        <v>-3.54866252274806</v>
      </c>
      <c r="D1250" s="23">
        <v>-38.8106202232962</v>
      </c>
    </row>
    <row r="1251">
      <c r="A1251" s="24" t="s">
        <v>9265</v>
      </c>
      <c r="B1251" s="24" t="s">
        <v>7987</v>
      </c>
      <c r="C1251" s="25">
        <v>53.9022511193561</v>
      </c>
      <c r="D1251" s="25">
        <v>9.05952825020645</v>
      </c>
    </row>
    <row r="1252">
      <c r="A1252" s="22" t="s">
        <v>9266</v>
      </c>
      <c r="B1252" s="22" t="s">
        <v>8071</v>
      </c>
      <c r="C1252" s="23">
        <v>-33.3954040261294</v>
      </c>
      <c r="D1252" s="23">
        <v>-70.7972381416889</v>
      </c>
    </row>
    <row r="1253">
      <c r="A1253" s="24" t="s">
        <v>9267</v>
      </c>
      <c r="B1253" s="24" t="s">
        <v>7981</v>
      </c>
      <c r="C1253" s="25">
        <v>44.8998508721067</v>
      </c>
      <c r="D1253" s="25">
        <v>-93.1807976593849</v>
      </c>
    </row>
    <row r="1254">
      <c r="A1254" s="22" t="s">
        <v>9268</v>
      </c>
      <c r="B1254" s="22" t="s">
        <v>7971</v>
      </c>
      <c r="C1254" s="23">
        <v>65.8414255792232</v>
      </c>
      <c r="D1254" s="23">
        <v>13.1851402125919</v>
      </c>
    </row>
    <row r="1255">
      <c r="A1255" s="24" t="s">
        <v>9269</v>
      </c>
      <c r="B1255" s="24" t="s">
        <v>7971</v>
      </c>
      <c r="C1255" s="25">
        <v>63.9584026593868</v>
      </c>
      <c r="D1255" s="25">
        <v>10.2498867944869</v>
      </c>
    </row>
    <row r="1256">
      <c r="A1256" s="22" t="s">
        <v>9270</v>
      </c>
      <c r="B1256" s="22" t="s">
        <v>7971</v>
      </c>
      <c r="C1256" s="23">
        <v>63.4129054408211</v>
      </c>
      <c r="D1256" s="23">
        <v>11.7405458508579</v>
      </c>
    </row>
    <row r="1257">
      <c r="A1257" s="24" t="s">
        <v>9271</v>
      </c>
      <c r="B1257" s="24" t="s">
        <v>8003</v>
      </c>
      <c r="C1257" s="25">
        <v>49.2851320721781</v>
      </c>
      <c r="D1257" s="25">
        <v>-122.960572709082</v>
      </c>
    </row>
    <row r="1258">
      <c r="A1258" s="22" t="s">
        <v>9272</v>
      </c>
      <c r="B1258" s="22" t="s">
        <v>8021</v>
      </c>
      <c r="C1258" s="23">
        <v>-27.3965337236573</v>
      </c>
      <c r="D1258" s="23">
        <v>153.174766720348</v>
      </c>
    </row>
    <row r="1259">
      <c r="A1259" s="24" t="s">
        <v>9273</v>
      </c>
      <c r="B1259" s="24" t="s">
        <v>7971</v>
      </c>
      <c r="C1259" s="25">
        <v>62.0872983074515</v>
      </c>
      <c r="D1259" s="25">
        <v>6.88101689767784</v>
      </c>
    </row>
    <row r="1260">
      <c r="A1260" s="22" t="s">
        <v>9274</v>
      </c>
      <c r="B1260" s="22" t="s">
        <v>7977</v>
      </c>
      <c r="C1260" s="23">
        <v>41.6181506379372</v>
      </c>
      <c r="D1260" s="23">
        <v>-4.81302460795548</v>
      </c>
    </row>
    <row r="1261">
      <c r="A1261" s="24" t="s">
        <v>9275</v>
      </c>
      <c r="B1261" s="24" t="s">
        <v>7977</v>
      </c>
      <c r="C1261" s="25">
        <v>41.7712520374144</v>
      </c>
      <c r="D1261" s="25">
        <v>-4.27240401874235</v>
      </c>
    </row>
    <row r="1262">
      <c r="A1262" s="22" t="s">
        <v>9276</v>
      </c>
      <c r="B1262" s="22" t="s">
        <v>8737</v>
      </c>
      <c r="C1262" s="23">
        <v>10.3377980128273</v>
      </c>
      <c r="D1262" s="23">
        <v>-75.4961297814963</v>
      </c>
    </row>
    <row r="1263">
      <c r="A1263" s="24" t="s">
        <v>9277</v>
      </c>
      <c r="B1263" s="24" t="s">
        <v>8737</v>
      </c>
      <c r="C1263" s="25">
        <v>7.07043129541693</v>
      </c>
      <c r="D1263" s="25">
        <v>-73.8819805124896</v>
      </c>
    </row>
    <row r="1264">
      <c r="A1264" s="22" t="s">
        <v>9278</v>
      </c>
      <c r="B1264" s="22" t="s">
        <v>8161</v>
      </c>
      <c r="C1264" s="23">
        <v>37.9640325151618</v>
      </c>
      <c r="D1264" s="23">
        <v>-8.81015788759686</v>
      </c>
    </row>
    <row r="1265">
      <c r="A1265" s="24" t="s">
        <v>9279</v>
      </c>
      <c r="B1265" s="24" t="s">
        <v>7994</v>
      </c>
      <c r="C1265" s="25">
        <v>55.2356237104273</v>
      </c>
      <c r="D1265" s="25">
        <v>3.03714641627014</v>
      </c>
    </row>
    <row r="1266">
      <c r="A1266" s="22" t="s">
        <v>9280</v>
      </c>
      <c r="B1266" s="22" t="s">
        <v>8021</v>
      </c>
      <c r="C1266" s="23">
        <v>-33.9115204505473</v>
      </c>
      <c r="D1266" s="23">
        <v>151.233030969284</v>
      </c>
    </row>
    <row r="1267">
      <c r="A1267" s="24" t="s">
        <v>9281</v>
      </c>
      <c r="B1267" s="24" t="s">
        <v>7981</v>
      </c>
      <c r="C1267" s="25">
        <v>46.7558672315456</v>
      </c>
      <c r="D1267" s="25">
        <v>-122.85943031591</v>
      </c>
    </row>
    <row r="1268">
      <c r="A1268" s="22" t="s">
        <v>9282</v>
      </c>
      <c r="B1268" s="22" t="s">
        <v>8161</v>
      </c>
      <c r="C1268" s="23">
        <v>37.9588935688728</v>
      </c>
      <c r="D1268" s="23">
        <v>-8.86007328888969</v>
      </c>
    </row>
    <row r="1269">
      <c r="A1269" s="24" t="s">
        <v>9283</v>
      </c>
      <c r="B1269" s="24" t="s">
        <v>9084</v>
      </c>
      <c r="C1269" s="25">
        <v>47.5265876274747</v>
      </c>
      <c r="D1269" s="25">
        <v>35.099903433631</v>
      </c>
    </row>
    <row r="1270">
      <c r="A1270" s="22" t="s">
        <v>9284</v>
      </c>
      <c r="B1270" s="22" t="s">
        <v>9084</v>
      </c>
      <c r="C1270" s="23">
        <v>47.5265876274747</v>
      </c>
      <c r="D1270" s="23">
        <v>35.099903433631</v>
      </c>
    </row>
    <row r="1271">
      <c r="A1271" s="24" t="s">
        <v>9285</v>
      </c>
      <c r="B1271" s="24" t="s">
        <v>9084</v>
      </c>
      <c r="C1271" s="25">
        <v>47.5265876274747</v>
      </c>
      <c r="D1271" s="25">
        <v>35.099903433631</v>
      </c>
    </row>
    <row r="1272">
      <c r="A1272" s="22" t="s">
        <v>9286</v>
      </c>
      <c r="B1272" s="22" t="s">
        <v>7987</v>
      </c>
      <c r="C1272" s="23">
        <v>51.515782682635</v>
      </c>
      <c r="D1272" s="23">
        <v>13.3481793824307</v>
      </c>
    </row>
    <row r="1273">
      <c r="A1273" s="24" t="s">
        <v>9287</v>
      </c>
      <c r="B1273" s="24" t="s">
        <v>7971</v>
      </c>
      <c r="C1273" s="25">
        <v>59.6504815475961</v>
      </c>
      <c r="D1273" s="25">
        <v>6.35389077438493</v>
      </c>
    </row>
    <row r="1274">
      <c r="A1274" s="22" t="s">
        <v>9288</v>
      </c>
      <c r="B1274" s="22" t="s">
        <v>8011</v>
      </c>
      <c r="C1274" s="23">
        <v>43.5772467972815</v>
      </c>
      <c r="D1274" s="23">
        <v>6.07306320488468</v>
      </c>
    </row>
    <row r="1275">
      <c r="A1275" s="24" t="s">
        <v>9289</v>
      </c>
      <c r="B1275" s="24" t="s">
        <v>8011</v>
      </c>
      <c r="C1275" s="25">
        <v>43.5772467972815</v>
      </c>
      <c r="D1275" s="25">
        <v>6.07306320488468</v>
      </c>
    </row>
    <row r="1276">
      <c r="A1276" s="22" t="s">
        <v>9290</v>
      </c>
      <c r="B1276" s="22" t="s">
        <v>7981</v>
      </c>
      <c r="C1276" s="23">
        <v>29.068964441012</v>
      </c>
      <c r="D1276" s="23">
        <v>-95.7042842613899</v>
      </c>
    </row>
    <row r="1277">
      <c r="A1277" s="24" t="s">
        <v>9291</v>
      </c>
      <c r="B1277" s="24" t="s">
        <v>8021</v>
      </c>
      <c r="C1277" s="25">
        <v>-41.06361</v>
      </c>
      <c r="D1277" s="25">
        <v>145.875275</v>
      </c>
    </row>
    <row r="1278">
      <c r="A1278" s="22" t="s">
        <v>9292</v>
      </c>
      <c r="B1278" s="22" t="s">
        <v>8021</v>
      </c>
      <c r="C1278" s="23">
        <v>-41.0893815492308</v>
      </c>
      <c r="D1278" s="23">
        <v>146.859557872849</v>
      </c>
    </row>
    <row r="1279">
      <c r="A1279" s="24" t="s">
        <v>9293</v>
      </c>
      <c r="B1279" s="24" t="s">
        <v>7974</v>
      </c>
      <c r="C1279" s="25">
        <v>61.3085694838416</v>
      </c>
      <c r="D1279" s="25">
        <v>17.0764411810074</v>
      </c>
    </row>
    <row r="1280">
      <c r="A1280" s="22" t="s">
        <v>9294</v>
      </c>
      <c r="B1280" s="22" t="s">
        <v>8539</v>
      </c>
      <c r="C1280" s="23">
        <v>33.3961158178269</v>
      </c>
      <c r="D1280" s="23">
        <v>126.581269345424</v>
      </c>
    </row>
    <row r="1281">
      <c r="A1281" s="24" t="s">
        <v>9295</v>
      </c>
      <c r="B1281" s="24" t="s">
        <v>9296</v>
      </c>
      <c r="C1281" s="25">
        <v>11.7205593325596</v>
      </c>
      <c r="D1281" s="25">
        <v>42.7729418358331</v>
      </c>
    </row>
    <row r="1282">
      <c r="A1282" s="22" t="s">
        <v>9297</v>
      </c>
      <c r="B1282" s="22" t="s">
        <v>8003</v>
      </c>
      <c r="C1282" s="23">
        <v>43.0984863600474</v>
      </c>
      <c r="D1282" s="23">
        <v>-79.0617535355327</v>
      </c>
    </row>
    <row r="1283">
      <c r="A1283" s="24" t="s">
        <v>9298</v>
      </c>
      <c r="B1283" s="24" t="s">
        <v>8031</v>
      </c>
      <c r="C1283" s="25">
        <v>1.27830362081958</v>
      </c>
      <c r="D1283" s="25">
        <v>103.785885180445</v>
      </c>
    </row>
    <row r="1284">
      <c r="A1284" s="22" t="s">
        <v>9299</v>
      </c>
      <c r="B1284" s="22" t="s">
        <v>8021</v>
      </c>
      <c r="C1284" s="23">
        <v>-32.93556</v>
      </c>
      <c r="D1284" s="23">
        <v>137.573215</v>
      </c>
    </row>
    <row r="1285">
      <c r="A1285" s="24" t="s">
        <v>9300</v>
      </c>
      <c r="B1285" s="24" t="s">
        <v>8413</v>
      </c>
      <c r="C1285" s="25">
        <v>-34.7141706608668</v>
      </c>
      <c r="D1285" s="25">
        <v>-54.0597910932897</v>
      </c>
    </row>
    <row r="1286">
      <c r="A1286" s="22" t="s">
        <v>9301</v>
      </c>
      <c r="B1286" s="22" t="s">
        <v>8388</v>
      </c>
      <c r="C1286" s="23">
        <v>19.6669277310332</v>
      </c>
      <c r="D1286" s="23">
        <v>57.7254450103778</v>
      </c>
    </row>
    <row r="1287">
      <c r="A1287" s="24" t="s">
        <v>9302</v>
      </c>
      <c r="B1287" s="24" t="s">
        <v>7981</v>
      </c>
      <c r="C1287" s="25">
        <v>30.0989819627013</v>
      </c>
      <c r="D1287" s="25">
        <v>-90.9545251386236</v>
      </c>
    </row>
    <row r="1288">
      <c r="A1288" s="22" t="s">
        <v>9303</v>
      </c>
      <c r="B1288" s="22" t="s">
        <v>7971</v>
      </c>
      <c r="C1288" s="23">
        <v>59.1399087577647</v>
      </c>
      <c r="D1288" s="23">
        <v>9.65477682192782</v>
      </c>
    </row>
    <row r="1289">
      <c r="A1289" s="24" t="s">
        <v>9303</v>
      </c>
      <c r="B1289" s="24" t="s">
        <v>7971</v>
      </c>
      <c r="C1289" s="25">
        <v>59.1399087577647</v>
      </c>
      <c r="D1289" s="25">
        <v>9.65477682192782</v>
      </c>
    </row>
    <row r="1290">
      <c r="A1290" s="22" t="s">
        <v>9304</v>
      </c>
      <c r="B1290" s="22" t="s">
        <v>8371</v>
      </c>
      <c r="C1290" s="23">
        <v>24.298933860178</v>
      </c>
      <c r="D1290" s="23">
        <v>54.3540001038411</v>
      </c>
    </row>
    <row r="1291">
      <c r="A1291" s="24" t="s">
        <v>9305</v>
      </c>
      <c r="B1291" s="24" t="s">
        <v>8371</v>
      </c>
      <c r="C1291" s="25">
        <v>24.298933860178</v>
      </c>
      <c r="D1291" s="25">
        <v>54.3540001038411</v>
      </c>
    </row>
    <row r="1292">
      <c r="A1292" s="22" t="s">
        <v>9306</v>
      </c>
      <c r="B1292" s="22" t="s">
        <v>7967</v>
      </c>
      <c r="C1292" s="23">
        <v>53.4998096093671</v>
      </c>
      <c r="D1292" s="23">
        <v>3.95002451521059</v>
      </c>
    </row>
    <row r="1293">
      <c r="A1293" s="24" t="s">
        <v>9307</v>
      </c>
      <c r="B1293" s="24" t="s">
        <v>7967</v>
      </c>
      <c r="C1293" s="25">
        <v>53.4998096093671</v>
      </c>
      <c r="D1293" s="25">
        <v>3.95002451521059</v>
      </c>
    </row>
    <row r="1294">
      <c r="A1294" s="22" t="s">
        <v>9308</v>
      </c>
      <c r="B1294" s="22" t="s">
        <v>8021</v>
      </c>
      <c r="C1294" s="23">
        <v>-26.298368</v>
      </c>
      <c r="D1294" s="23">
        <v>117.270077</v>
      </c>
    </row>
    <row r="1295">
      <c r="A1295" s="24" t="s">
        <v>9309</v>
      </c>
      <c r="B1295" s="24" t="s">
        <v>8021</v>
      </c>
      <c r="C1295" s="25">
        <v>-29.463478</v>
      </c>
      <c r="D1295" s="25">
        <v>115.13971</v>
      </c>
    </row>
    <row r="1296">
      <c r="A1296" s="22" t="s">
        <v>9310</v>
      </c>
      <c r="B1296" s="22" t="s">
        <v>8388</v>
      </c>
      <c r="C1296" s="23">
        <v>23.713641</v>
      </c>
      <c r="D1296" s="23">
        <v>58.044372</v>
      </c>
    </row>
    <row r="1297">
      <c r="A1297" s="24" t="s">
        <v>9311</v>
      </c>
      <c r="B1297" s="24" t="s">
        <v>8562</v>
      </c>
      <c r="C1297" s="25">
        <v>31.051878</v>
      </c>
      <c r="D1297" s="25">
        <v>-9.745255</v>
      </c>
    </row>
    <row r="1298">
      <c r="A1298" s="22" t="s">
        <v>9312</v>
      </c>
      <c r="B1298" s="22" t="s">
        <v>7991</v>
      </c>
      <c r="C1298" s="23">
        <v>53.400002</v>
      </c>
      <c r="D1298" s="23">
        <v>-2.983333</v>
      </c>
    </row>
    <row r="1299">
      <c r="A1299" s="24" t="s">
        <v>9313</v>
      </c>
      <c r="B1299" s="24" t="s">
        <v>7991</v>
      </c>
      <c r="C1299" s="25">
        <v>53.483959</v>
      </c>
      <c r="D1299" s="25">
        <v>-2.244644</v>
      </c>
    </row>
    <row r="1300">
      <c r="A1300" s="22" t="s">
        <v>9314</v>
      </c>
      <c r="B1300" s="22" t="s">
        <v>7991</v>
      </c>
      <c r="C1300" s="23">
        <v>51.509865</v>
      </c>
      <c r="D1300" s="23">
        <v>-0.118092</v>
      </c>
    </row>
    <row r="1301">
      <c r="A1301" s="24" t="s">
        <v>9315</v>
      </c>
      <c r="B1301" s="24" t="s">
        <v>7991</v>
      </c>
      <c r="C1301" s="25">
        <v>51.499998</v>
      </c>
      <c r="D1301" s="25">
        <v>0.583331</v>
      </c>
    </row>
    <row r="1302">
      <c r="A1302" s="22" t="s">
        <v>9316</v>
      </c>
      <c r="B1302" s="22" t="s">
        <v>8021</v>
      </c>
      <c r="C1302" s="23">
        <v>-12.462827</v>
      </c>
      <c r="D1302" s="23">
        <v>130.841782</v>
      </c>
    </row>
    <row r="1303">
      <c r="A1303" s="24" t="s">
        <v>9317</v>
      </c>
      <c r="B1303" s="24" t="s">
        <v>8001</v>
      </c>
      <c r="C1303" s="25">
        <v>40.650002</v>
      </c>
      <c r="D1303" s="25">
        <v>109.833336</v>
      </c>
    </row>
    <row r="1304">
      <c r="A1304" s="22" t="s">
        <v>9318</v>
      </c>
      <c r="B1304" s="22" t="s">
        <v>8001</v>
      </c>
      <c r="C1304" s="23">
        <v>40.650002</v>
      </c>
      <c r="D1304" s="23">
        <v>109.833336</v>
      </c>
    </row>
    <row r="1305">
      <c r="A1305" s="24" t="s">
        <v>9319</v>
      </c>
      <c r="B1305" s="24" t="s">
        <v>8365</v>
      </c>
      <c r="C1305" s="25">
        <v>-30.647854</v>
      </c>
      <c r="D1305" s="25">
        <v>24.011477</v>
      </c>
    </row>
    <row r="1306">
      <c r="A1306" s="22" t="s">
        <v>9320</v>
      </c>
      <c r="B1306" s="22" t="s">
        <v>8365</v>
      </c>
      <c r="C1306" s="23">
        <v>-30.647854</v>
      </c>
      <c r="D1306" s="23">
        <v>24.011477</v>
      </c>
    </row>
    <row r="1307">
      <c r="A1307" s="24" t="s">
        <v>9321</v>
      </c>
      <c r="B1307" s="24" t="s">
        <v>7981</v>
      </c>
      <c r="C1307" s="25">
        <v>42.983824</v>
      </c>
      <c r="D1307" s="25">
        <v>-93.96658</v>
      </c>
    </row>
    <row r="1308">
      <c r="A1308" s="22" t="s">
        <v>9322</v>
      </c>
      <c r="B1308" s="22" t="s">
        <v>7991</v>
      </c>
      <c r="C1308" s="23">
        <v>57.477772</v>
      </c>
      <c r="D1308" s="23">
        <v>-4.224721</v>
      </c>
    </row>
    <row r="1309">
      <c r="A1309" s="24" t="s">
        <v>9323</v>
      </c>
      <c r="B1309" s="24" t="s">
        <v>8388</v>
      </c>
      <c r="C1309" s="25">
        <v>24.5010816828439</v>
      </c>
      <c r="D1309" s="25">
        <v>56.628190828417</v>
      </c>
    </row>
    <row r="1310">
      <c r="A1310" s="22" t="s">
        <v>9324</v>
      </c>
      <c r="B1310" s="22" t="s">
        <v>8388</v>
      </c>
      <c r="C1310" s="23">
        <v>24.5010816828439</v>
      </c>
      <c r="D1310" s="23">
        <v>56.628190828417</v>
      </c>
    </row>
    <row r="1311">
      <c r="A1311" s="24" t="s">
        <v>9325</v>
      </c>
      <c r="B1311" s="24" t="s">
        <v>8108</v>
      </c>
      <c r="C1311" s="25">
        <v>13.9908834901355</v>
      </c>
      <c r="D1311" s="25">
        <v>75.3180523218253</v>
      </c>
    </row>
    <row r="1312">
      <c r="A1312" s="22" t="s">
        <v>9326</v>
      </c>
      <c r="B1312" s="22" t="s">
        <v>7991</v>
      </c>
      <c r="C1312" s="23">
        <v>52.5539074326874</v>
      </c>
      <c r="D1312" s="23">
        <v>-1.45980653239215</v>
      </c>
    </row>
    <row r="1313">
      <c r="A1313" s="24" t="s">
        <v>9327</v>
      </c>
      <c r="B1313" s="24" t="s">
        <v>7981</v>
      </c>
      <c r="C1313" s="25">
        <v>29.58187</v>
      </c>
      <c r="D1313" s="25">
        <v>-92.294868</v>
      </c>
    </row>
    <row r="1314">
      <c r="A1314" s="22" t="s">
        <v>9328</v>
      </c>
      <c r="B1314" s="22" t="s">
        <v>7983</v>
      </c>
      <c r="C1314" s="23">
        <v>35.5582553193862</v>
      </c>
      <c r="D1314" s="23">
        <v>139.703925109731</v>
      </c>
    </row>
    <row r="1315">
      <c r="A1315" s="24" t="s">
        <v>9329</v>
      </c>
      <c r="B1315" s="24" t="s">
        <v>8117</v>
      </c>
      <c r="C1315" s="25">
        <v>38.0676529829777</v>
      </c>
      <c r="D1315" s="25">
        <v>23.5060129854451</v>
      </c>
    </row>
    <row r="1316">
      <c r="A1316" s="22" t="s">
        <v>9330</v>
      </c>
      <c r="B1316" s="22" t="s">
        <v>8590</v>
      </c>
      <c r="C1316" s="23">
        <v>-8.39346819778973</v>
      </c>
      <c r="D1316" s="23">
        <v>-34.9676970474933</v>
      </c>
    </row>
    <row r="1317">
      <c r="A1317" s="24" t="s">
        <v>9331</v>
      </c>
      <c r="B1317" s="24" t="s">
        <v>8021</v>
      </c>
      <c r="C1317" s="25">
        <v>-25.9182983409697</v>
      </c>
      <c r="D1317" s="25">
        <v>113.552305873144</v>
      </c>
    </row>
    <row r="1318">
      <c r="A1318" s="22" t="s">
        <v>9332</v>
      </c>
      <c r="B1318" s="22" t="s">
        <v>8737</v>
      </c>
      <c r="C1318" s="23">
        <v>6.16816717393084</v>
      </c>
      <c r="D1318" s="23">
        <v>-75.6199383196116</v>
      </c>
    </row>
    <row r="1319">
      <c r="A1319" s="24" t="s">
        <v>9333</v>
      </c>
      <c r="B1319" s="24" t="s">
        <v>8011</v>
      </c>
      <c r="C1319" s="25">
        <v>46.9363159229428</v>
      </c>
      <c r="D1319" s="25">
        <v>-2.06992707672759</v>
      </c>
    </row>
    <row r="1320">
      <c r="A1320" s="22" t="s">
        <v>9334</v>
      </c>
      <c r="B1320" s="22" t="s">
        <v>8011</v>
      </c>
      <c r="C1320" s="23">
        <v>47.9336544506559</v>
      </c>
      <c r="D1320" s="23">
        <v>-2.67658575681505</v>
      </c>
    </row>
    <row r="1321">
      <c r="A1321" s="24" t="s">
        <v>9335</v>
      </c>
      <c r="B1321" s="24" t="s">
        <v>8001</v>
      </c>
      <c r="C1321" s="25">
        <v>40.2369739874703</v>
      </c>
      <c r="D1321" s="25">
        <v>97.5426285729633</v>
      </c>
    </row>
    <row r="1322">
      <c r="A1322" s="22" t="s">
        <v>9336</v>
      </c>
      <c r="B1322" s="22" t="s">
        <v>7981</v>
      </c>
      <c r="C1322" s="23">
        <v>34.0667917917026</v>
      </c>
      <c r="D1322" s="23">
        <v>-118.165475584659</v>
      </c>
    </row>
    <row r="1323">
      <c r="A1323" s="24" t="s">
        <v>9337</v>
      </c>
      <c r="B1323" s="24" t="s">
        <v>7977</v>
      </c>
      <c r="C1323" s="25">
        <v>37.3617362524511</v>
      </c>
      <c r="D1323" s="25">
        <v>-5.99365613841754</v>
      </c>
    </row>
    <row r="1324">
      <c r="A1324" s="22" t="s">
        <v>9338</v>
      </c>
      <c r="B1324" s="22" t="s">
        <v>7977</v>
      </c>
      <c r="C1324" s="23">
        <v>37.3617362524511</v>
      </c>
      <c r="D1324" s="23">
        <v>-5.99365613841754</v>
      </c>
    </row>
    <row r="1325">
      <c r="A1325" s="24" t="s">
        <v>9339</v>
      </c>
      <c r="B1325" s="24" t="s">
        <v>8539</v>
      </c>
      <c r="C1325" s="25">
        <v>33.3961158178269</v>
      </c>
      <c r="D1325" s="25">
        <v>126.581269345424</v>
      </c>
    </row>
    <row r="1326">
      <c r="A1326" s="22" t="s">
        <v>8417</v>
      </c>
      <c r="B1326" s="22" t="s">
        <v>7981</v>
      </c>
      <c r="C1326" s="23">
        <v>47.4934484730822</v>
      </c>
      <c r="D1326" s="23">
        <v>-120.303227967588</v>
      </c>
    </row>
    <row r="1327">
      <c r="A1327" s="24" t="s">
        <v>9340</v>
      </c>
      <c r="B1327" s="24" t="s">
        <v>7983</v>
      </c>
      <c r="C1327" s="25">
        <v>37.3654207722695</v>
      </c>
      <c r="D1327" s="25">
        <v>138.5836651782</v>
      </c>
    </row>
    <row r="1328">
      <c r="A1328" s="22" t="s">
        <v>9341</v>
      </c>
      <c r="B1328" s="22" t="s">
        <v>8011</v>
      </c>
      <c r="C1328" s="23">
        <v>48.5897517149273</v>
      </c>
      <c r="D1328" s="23">
        <v>2.94800529828935</v>
      </c>
    </row>
    <row r="1329">
      <c r="A1329" s="24" t="s">
        <v>9342</v>
      </c>
      <c r="B1329" s="24" t="s">
        <v>8388</v>
      </c>
      <c r="C1329" s="25">
        <v>22.5669574354741</v>
      </c>
      <c r="D1329" s="25">
        <v>59.5072768591234</v>
      </c>
    </row>
    <row r="1330">
      <c r="A1330" s="22" t="s">
        <v>9343</v>
      </c>
      <c r="B1330" s="22" t="s">
        <v>8388</v>
      </c>
      <c r="C1330" s="23">
        <v>19.6669277310332</v>
      </c>
      <c r="D1330" s="23">
        <v>57.7254450103778</v>
      </c>
    </row>
    <row r="1331">
      <c r="A1331" s="24" t="s">
        <v>9344</v>
      </c>
      <c r="B1331" s="24" t="s">
        <v>8388</v>
      </c>
      <c r="C1331" s="25">
        <v>18.632508497259</v>
      </c>
      <c r="D1331" s="25">
        <v>53.9558812717681</v>
      </c>
    </row>
    <row r="1332">
      <c r="A1332" s="22" t="s">
        <v>9345</v>
      </c>
      <c r="B1332" s="22" t="s">
        <v>7981</v>
      </c>
      <c r="C1332" s="23">
        <v>35.2873618329058</v>
      </c>
      <c r="D1332" s="23">
        <v>-84.7578453602363</v>
      </c>
    </row>
    <row r="1333">
      <c r="A1333" s="24" t="s">
        <v>9346</v>
      </c>
      <c r="B1333" s="24" t="s">
        <v>7981</v>
      </c>
      <c r="C1333" s="25">
        <v>35.2873618329058</v>
      </c>
      <c r="D1333" s="25">
        <v>-84.7578453602363</v>
      </c>
    </row>
    <row r="1334">
      <c r="A1334" s="22" t="s">
        <v>9347</v>
      </c>
      <c r="B1334" s="22" t="s">
        <v>7981</v>
      </c>
      <c r="C1334" s="23">
        <v>35.2873618329058</v>
      </c>
      <c r="D1334" s="23">
        <v>-84.7578453602363</v>
      </c>
    </row>
    <row r="1335">
      <c r="A1335" s="28" t="s">
        <v>9348</v>
      </c>
      <c r="B1335" s="24" t="s">
        <v>8001</v>
      </c>
      <c r="C1335" s="25">
        <v>43.0964349441502</v>
      </c>
      <c r="D1335" s="25">
        <v>109.713001314363</v>
      </c>
    </row>
    <row r="1336">
      <c r="A1336" s="22" t="s">
        <v>9349</v>
      </c>
      <c r="B1336" s="22" t="s">
        <v>8001</v>
      </c>
      <c r="C1336" s="23">
        <v>46.3772378452051</v>
      </c>
      <c r="D1336" s="23">
        <v>121.438703192164</v>
      </c>
    </row>
    <row r="1337">
      <c r="A1337" s="28" t="s">
        <v>9350</v>
      </c>
      <c r="B1337" s="24" t="s">
        <v>8001</v>
      </c>
      <c r="C1337" s="25">
        <v>42.2720905262963</v>
      </c>
      <c r="D1337" s="25">
        <v>118.890974193958</v>
      </c>
    </row>
    <row r="1338">
      <c r="A1338" s="22" t="s">
        <v>9351</v>
      </c>
      <c r="B1338" s="22" t="s">
        <v>8001</v>
      </c>
      <c r="C1338" s="23">
        <v>42.2720905262963</v>
      </c>
      <c r="D1338" s="23">
        <v>118.890974193958</v>
      </c>
    </row>
    <row r="1339">
      <c r="A1339" s="24" t="s">
        <v>9352</v>
      </c>
      <c r="B1339" s="24" t="s">
        <v>8001</v>
      </c>
      <c r="C1339" s="25">
        <v>39.4108107426835</v>
      </c>
      <c r="D1339" s="25">
        <v>109.750163403933</v>
      </c>
    </row>
    <row r="1340">
      <c r="A1340" s="22" t="s">
        <v>9353</v>
      </c>
      <c r="B1340" s="22" t="s">
        <v>8001</v>
      </c>
      <c r="C1340" s="23">
        <v>39.4761474467782</v>
      </c>
      <c r="D1340" s="23">
        <v>107.611079769583</v>
      </c>
    </row>
    <row r="1341">
      <c r="A1341" s="24" t="s">
        <v>9354</v>
      </c>
      <c r="B1341" s="24" t="s">
        <v>8001</v>
      </c>
      <c r="C1341" s="25">
        <v>40.2251654855244</v>
      </c>
      <c r="D1341" s="25">
        <v>109.695563497882</v>
      </c>
    </row>
    <row r="1342">
      <c r="A1342" s="22" t="s">
        <v>9355</v>
      </c>
      <c r="B1342" s="22" t="s">
        <v>8001</v>
      </c>
      <c r="C1342" s="23">
        <v>40.6603467702166</v>
      </c>
      <c r="D1342" s="23">
        <v>109.843022495452</v>
      </c>
    </row>
    <row r="1343">
      <c r="A1343" s="24" t="s">
        <v>9356</v>
      </c>
      <c r="B1343" s="24" t="s">
        <v>8001</v>
      </c>
      <c r="C1343" s="25">
        <v>41.0680602036988</v>
      </c>
      <c r="D1343" s="25">
        <v>113.312184413567</v>
      </c>
    </row>
    <row r="1344">
      <c r="A1344" s="27" t="s">
        <v>9357</v>
      </c>
      <c r="B1344" s="22" t="s">
        <v>7991</v>
      </c>
      <c r="C1344" s="23">
        <v>53.4369442570234</v>
      </c>
      <c r="D1344" s="23">
        <v>-2.40825504586318</v>
      </c>
    </row>
    <row r="1345">
      <c r="A1345" s="24" t="s">
        <v>9358</v>
      </c>
      <c r="B1345" s="24" t="s">
        <v>8108</v>
      </c>
      <c r="C1345" s="25">
        <v>21.1809015208844</v>
      </c>
      <c r="D1345" s="25">
        <v>72.7193087479201</v>
      </c>
    </row>
    <row r="1346">
      <c r="A1346" s="22" t="s">
        <v>9359</v>
      </c>
      <c r="B1346" s="22" t="s">
        <v>8108</v>
      </c>
      <c r="C1346" s="23">
        <v>28.5257589645063</v>
      </c>
      <c r="D1346" s="23">
        <v>77.5069559056058</v>
      </c>
    </row>
    <row r="1347">
      <c r="A1347" s="24" t="s">
        <v>9360</v>
      </c>
      <c r="B1347" s="26" t="s">
        <v>7987</v>
      </c>
      <c r="C1347" s="25">
        <v>47.539892415871</v>
      </c>
      <c r="D1347" s="25">
        <v>7.71235351615059</v>
      </c>
    </row>
    <row r="1348">
      <c r="A1348" s="22" t="s">
        <v>9361</v>
      </c>
      <c r="B1348" s="22" t="s">
        <v>7987</v>
      </c>
      <c r="C1348" s="23">
        <v>53.5295406441506</v>
      </c>
      <c r="D1348" s="23">
        <v>8.12969320043866</v>
      </c>
    </row>
    <row r="1349">
      <c r="A1349" s="24" t="s">
        <v>9362</v>
      </c>
      <c r="B1349" s="24" t="s">
        <v>8003</v>
      </c>
      <c r="C1349" s="25">
        <v>53.9154634541195</v>
      </c>
      <c r="D1349" s="25">
        <v>-122.753800661167</v>
      </c>
    </row>
    <row r="1350">
      <c r="A1350" s="22" t="s">
        <v>9363</v>
      </c>
      <c r="B1350" s="22" t="s">
        <v>8011</v>
      </c>
      <c r="C1350" s="23">
        <v>48.9640917434348</v>
      </c>
      <c r="D1350" s="23">
        <v>1.86828391130777</v>
      </c>
    </row>
    <row r="1351">
      <c r="A1351" s="24" t="s">
        <v>9364</v>
      </c>
      <c r="B1351" s="24" t="s">
        <v>7967</v>
      </c>
      <c r="C1351" s="25">
        <v>52.635994993993</v>
      </c>
      <c r="D1351" s="25">
        <v>4.74078575266932</v>
      </c>
    </row>
    <row r="1352">
      <c r="A1352" s="22" t="s">
        <v>9365</v>
      </c>
      <c r="B1352" s="22" t="s">
        <v>7967</v>
      </c>
      <c r="C1352" s="23">
        <v>52.2487711295556</v>
      </c>
      <c r="D1352" s="23">
        <v>5.21890479161453</v>
      </c>
    </row>
    <row r="1353">
      <c r="A1353" s="24" t="s">
        <v>9366</v>
      </c>
      <c r="B1353" s="24" t="s">
        <v>7967</v>
      </c>
      <c r="C1353" s="25">
        <v>0.0</v>
      </c>
      <c r="D1353" s="25">
        <v>0.0</v>
      </c>
    </row>
    <row r="1354">
      <c r="A1354" s="22" t="s">
        <v>9367</v>
      </c>
      <c r="B1354" s="22" t="s">
        <v>7967</v>
      </c>
      <c r="C1354" s="23">
        <v>52.2572052361781</v>
      </c>
      <c r="D1354" s="23">
        <v>6.2087563061523</v>
      </c>
    </row>
    <row r="1355">
      <c r="A1355" s="24" t="s">
        <v>9368</v>
      </c>
      <c r="B1355" s="24" t="s">
        <v>7981</v>
      </c>
      <c r="C1355" s="25">
        <v>37.4178804183599</v>
      </c>
      <c r="D1355" s="25">
        <v>-122.067137616486</v>
      </c>
    </row>
    <row r="1356">
      <c r="A1356" s="22" t="s">
        <v>9369</v>
      </c>
      <c r="B1356" s="22" t="s">
        <v>7967</v>
      </c>
      <c r="C1356" s="23">
        <v>0.0</v>
      </c>
      <c r="D1356" s="23">
        <v>0.0</v>
      </c>
    </row>
    <row r="1357">
      <c r="A1357" s="24" t="s">
        <v>9370</v>
      </c>
      <c r="B1357" s="24" t="s">
        <v>7967</v>
      </c>
      <c r="C1357" s="25">
        <v>0.0</v>
      </c>
      <c r="D1357" s="25">
        <v>0.0</v>
      </c>
    </row>
    <row r="1358">
      <c r="A1358" s="22" t="s">
        <v>9371</v>
      </c>
      <c r="B1358" s="22" t="s">
        <v>7967</v>
      </c>
      <c r="C1358" s="23">
        <v>0.0</v>
      </c>
      <c r="D1358" s="23">
        <v>0.0</v>
      </c>
    </row>
    <row r="1359">
      <c r="A1359" s="24" t="s">
        <v>9372</v>
      </c>
      <c r="B1359" s="24" t="s">
        <v>7971</v>
      </c>
      <c r="C1359" s="25">
        <v>68.4390284584935</v>
      </c>
      <c r="D1359" s="25">
        <v>17.4231920549209</v>
      </c>
    </row>
    <row r="1360">
      <c r="A1360" s="22" t="s">
        <v>9373</v>
      </c>
      <c r="B1360" s="22" t="s">
        <v>7981</v>
      </c>
      <c r="C1360" s="23">
        <v>43.4407090372512</v>
      </c>
      <c r="D1360" s="23">
        <v>-76.4130256884408</v>
      </c>
    </row>
    <row r="1361">
      <c r="A1361" s="24" t="s">
        <v>9374</v>
      </c>
      <c r="B1361" s="24" t="s">
        <v>8702</v>
      </c>
      <c r="C1361" s="25">
        <v>51.6499974</v>
      </c>
      <c r="D1361" s="25">
        <v>-9.7166638</v>
      </c>
    </row>
    <row r="1362">
      <c r="A1362" s="22" t="s">
        <v>9375</v>
      </c>
      <c r="B1362" s="22" t="s">
        <v>8590</v>
      </c>
      <c r="C1362" s="23">
        <v>-3.53092803394662</v>
      </c>
      <c r="D1362" s="23">
        <v>-38.7923774582973</v>
      </c>
    </row>
    <row r="1363">
      <c r="A1363" s="24" t="s">
        <v>9376</v>
      </c>
      <c r="B1363" s="24" t="s">
        <v>8562</v>
      </c>
      <c r="C1363" s="25">
        <v>31.051878</v>
      </c>
      <c r="D1363" s="25">
        <v>-9.745255</v>
      </c>
    </row>
    <row r="1364">
      <c r="A1364" s="22" t="s">
        <v>9377</v>
      </c>
      <c r="B1364" s="22" t="s">
        <v>8021</v>
      </c>
      <c r="C1364" s="23">
        <v>-20.5226762295693</v>
      </c>
      <c r="D1364" s="23">
        <v>147.818621069554</v>
      </c>
    </row>
    <row r="1365">
      <c r="A1365" s="24" t="s">
        <v>9378</v>
      </c>
      <c r="B1365" s="24" t="s">
        <v>7981</v>
      </c>
      <c r="C1365" s="25">
        <v>30.035508</v>
      </c>
      <c r="D1365" s="25">
        <v>-93.337624</v>
      </c>
    </row>
    <row r="1366">
      <c r="A1366" s="22" t="s">
        <v>9379</v>
      </c>
      <c r="B1366" s="22" t="s">
        <v>8071</v>
      </c>
      <c r="C1366" s="23">
        <v>-22.339335</v>
      </c>
      <c r="D1366" s="23">
        <v>-69.662196</v>
      </c>
    </row>
    <row r="1367">
      <c r="A1367" s="28" t="s">
        <v>9380</v>
      </c>
      <c r="B1367" s="24" t="s">
        <v>7977</v>
      </c>
      <c r="C1367" s="25">
        <v>36.20535</v>
      </c>
      <c r="D1367" s="25">
        <v>-5.382586</v>
      </c>
    </row>
    <row r="1368">
      <c r="A1368" s="27" t="s">
        <v>9381</v>
      </c>
      <c r="B1368" s="22" t="s">
        <v>7977</v>
      </c>
      <c r="C1368" s="23">
        <v>37.2619638810127</v>
      </c>
      <c r="D1368" s="23">
        <v>-6.94128464616816</v>
      </c>
    </row>
    <row r="1369">
      <c r="A1369" s="24" t="s">
        <v>9382</v>
      </c>
      <c r="B1369" s="24" t="s">
        <v>8785</v>
      </c>
      <c r="C1369" s="25">
        <v>31.437276</v>
      </c>
      <c r="D1369" s="25">
        <v>31.754646</v>
      </c>
    </row>
    <row r="1370">
      <c r="A1370" s="22" t="s">
        <v>9383</v>
      </c>
      <c r="B1370" s="22" t="s">
        <v>8578</v>
      </c>
      <c r="C1370" s="23">
        <v>0.553772264910035</v>
      </c>
      <c r="D1370" s="23">
        <v>117.571991411868</v>
      </c>
    </row>
    <row r="1371">
      <c r="A1371" s="24" t="s">
        <v>9384</v>
      </c>
      <c r="B1371" s="24" t="s">
        <v>9176</v>
      </c>
      <c r="C1371" s="25">
        <v>44.9387734232469</v>
      </c>
      <c r="D1371" s="25">
        <v>25.9959875752976</v>
      </c>
    </row>
    <row r="1372">
      <c r="A1372" s="22" t="s">
        <v>9385</v>
      </c>
      <c r="B1372" s="22" t="s">
        <v>9386</v>
      </c>
      <c r="C1372" s="23">
        <v>41.4880211242621</v>
      </c>
      <c r="D1372" s="23">
        <v>69.58351215507</v>
      </c>
    </row>
    <row r="1373">
      <c r="A1373" s="24" t="s">
        <v>9387</v>
      </c>
      <c r="B1373" s="24" t="s">
        <v>9386</v>
      </c>
      <c r="C1373" s="25">
        <v>41.4880211242621</v>
      </c>
      <c r="D1373" s="25">
        <v>69.58351215507</v>
      </c>
    </row>
    <row r="1374">
      <c r="A1374" s="22" t="s">
        <v>9388</v>
      </c>
      <c r="B1374" s="22" t="s">
        <v>8117</v>
      </c>
      <c r="C1374" s="23">
        <v>40.384982013509</v>
      </c>
      <c r="D1374" s="23">
        <v>21.4394375301537</v>
      </c>
    </row>
    <row r="1375">
      <c r="A1375" s="24" t="s">
        <v>9389</v>
      </c>
      <c r="B1375" s="24" t="s">
        <v>8026</v>
      </c>
      <c r="C1375" s="25">
        <v>63.8413308048752</v>
      </c>
      <c r="D1375" s="25">
        <v>23.1269603942447</v>
      </c>
    </row>
    <row r="1376">
      <c r="A1376" s="22" t="s">
        <v>9390</v>
      </c>
      <c r="B1376" s="22" t="s">
        <v>8021</v>
      </c>
      <c r="C1376" s="23">
        <v>-31.6544413088491</v>
      </c>
      <c r="D1376" s="23">
        <v>116.650375727315</v>
      </c>
    </row>
    <row r="1377">
      <c r="A1377" s="24" t="s">
        <v>9391</v>
      </c>
      <c r="B1377" s="24" t="s">
        <v>8021</v>
      </c>
      <c r="C1377" s="25">
        <v>-29.2453428049818</v>
      </c>
      <c r="D1377" s="25">
        <v>114.934159115853</v>
      </c>
    </row>
    <row r="1378">
      <c r="A1378" s="22" t="s">
        <v>9392</v>
      </c>
      <c r="B1378" s="22" t="s">
        <v>8021</v>
      </c>
      <c r="C1378" s="23">
        <v>-29.2453428049818</v>
      </c>
      <c r="D1378" s="23">
        <v>114.934159115853</v>
      </c>
    </row>
    <row r="1379">
      <c r="A1379" s="24" t="s">
        <v>9393</v>
      </c>
      <c r="B1379" s="24" t="s">
        <v>8047</v>
      </c>
      <c r="C1379" s="25">
        <v>42.1228450319685</v>
      </c>
      <c r="D1379" s="25">
        <v>13.767228454952</v>
      </c>
    </row>
    <row r="1380">
      <c r="A1380" s="22" t="s">
        <v>9394</v>
      </c>
      <c r="B1380" s="22" t="s">
        <v>8147</v>
      </c>
      <c r="C1380" s="23">
        <v>-39.0578289833498</v>
      </c>
      <c r="D1380" s="23">
        <v>174.031581219722</v>
      </c>
    </row>
    <row r="1381">
      <c r="A1381" s="24" t="s">
        <v>9395</v>
      </c>
      <c r="B1381" s="24" t="s">
        <v>8785</v>
      </c>
      <c r="C1381" s="25">
        <v>29.659369</v>
      </c>
      <c r="D1381" s="25">
        <v>32.34481</v>
      </c>
    </row>
    <row r="1382">
      <c r="A1382" s="22" t="s">
        <v>9396</v>
      </c>
      <c r="B1382" s="22" t="s">
        <v>8003</v>
      </c>
      <c r="C1382" s="23">
        <v>51.9188006880279</v>
      </c>
      <c r="D1382" s="23">
        <v>-109.135596708537</v>
      </c>
    </row>
    <row r="1383">
      <c r="A1383" s="24" t="s">
        <v>9397</v>
      </c>
      <c r="B1383" s="24" t="s">
        <v>8003</v>
      </c>
      <c r="C1383" s="25">
        <v>51.9188006880279</v>
      </c>
      <c r="D1383" s="25">
        <v>-109.135596708537</v>
      </c>
    </row>
    <row r="1384">
      <c r="A1384" s="22" t="s">
        <v>9398</v>
      </c>
      <c r="B1384" s="22" t="s">
        <v>8026</v>
      </c>
      <c r="C1384" s="23">
        <v>63.8413308048752</v>
      </c>
      <c r="D1384" s="23">
        <v>23.1269603942447</v>
      </c>
    </row>
    <row r="1385">
      <c r="A1385" s="24" t="s">
        <v>9399</v>
      </c>
      <c r="B1385" s="24" t="s">
        <v>8026</v>
      </c>
      <c r="C1385" s="25">
        <v>62.2754283902342</v>
      </c>
      <c r="D1385" s="25">
        <v>21.3813769030635</v>
      </c>
    </row>
    <row r="1386">
      <c r="A1386" s="22" t="s">
        <v>9400</v>
      </c>
      <c r="B1386" s="22" t="s">
        <v>8026</v>
      </c>
      <c r="C1386" s="23">
        <v>60.3923</v>
      </c>
      <c r="D1386" s="23">
        <v>25.6651</v>
      </c>
    </row>
    <row r="1387">
      <c r="A1387" s="24" t="s">
        <v>9401</v>
      </c>
      <c r="B1387" s="24" t="s">
        <v>7977</v>
      </c>
      <c r="C1387" s="25">
        <v>43.3141821945677</v>
      </c>
      <c r="D1387" s="25">
        <v>-5.87207263353258</v>
      </c>
    </row>
    <row r="1388">
      <c r="A1388" s="22" t="s">
        <v>9402</v>
      </c>
      <c r="B1388" s="22" t="s">
        <v>7977</v>
      </c>
      <c r="C1388" s="23">
        <v>43.3141821945677</v>
      </c>
      <c r="D1388" s="23">
        <v>-5.87207263353258</v>
      </c>
    </row>
    <row r="1389">
      <c r="A1389" s="24" t="s">
        <v>9403</v>
      </c>
      <c r="B1389" s="24" t="s">
        <v>7977</v>
      </c>
      <c r="C1389" s="25">
        <v>37.3396108837527</v>
      </c>
      <c r="D1389" s="25">
        <v>-5.84179377613354</v>
      </c>
    </row>
    <row r="1390">
      <c r="A1390" s="22" t="s">
        <v>9404</v>
      </c>
      <c r="B1390" s="22" t="s">
        <v>7977</v>
      </c>
      <c r="C1390" s="23">
        <v>41.3904683047587</v>
      </c>
      <c r="D1390" s="23">
        <v>2.16988385449095</v>
      </c>
    </row>
    <row r="1391">
      <c r="A1391" s="24" t="s">
        <v>9405</v>
      </c>
      <c r="B1391" s="24" t="s">
        <v>7977</v>
      </c>
      <c r="C1391" s="25">
        <v>41.1189458754906</v>
      </c>
      <c r="D1391" s="25">
        <v>1.24338923261384</v>
      </c>
    </row>
    <row r="1392">
      <c r="A1392" s="22" t="s">
        <v>9406</v>
      </c>
      <c r="B1392" s="22" t="s">
        <v>7977</v>
      </c>
      <c r="C1392" s="23">
        <v>37.2619638810127</v>
      </c>
      <c r="D1392" s="23">
        <v>-6.94128464616816</v>
      </c>
    </row>
    <row r="1393">
      <c r="A1393" s="24" t="s">
        <v>9407</v>
      </c>
      <c r="B1393" s="24" t="s">
        <v>7977</v>
      </c>
      <c r="C1393" s="25">
        <v>41.5719754341961</v>
      </c>
      <c r="D1393" s="25">
        <v>-0.741827787326854</v>
      </c>
    </row>
    <row r="1394">
      <c r="A1394" s="22" t="s">
        <v>9408</v>
      </c>
      <c r="B1394" s="22" t="s">
        <v>7977</v>
      </c>
      <c r="C1394" s="23">
        <v>37.7510872641628</v>
      </c>
      <c r="D1394" s="23">
        <v>-3.74192975277361</v>
      </c>
    </row>
    <row r="1395">
      <c r="A1395" s="24" t="s">
        <v>9409</v>
      </c>
      <c r="B1395" s="24" t="s">
        <v>7981</v>
      </c>
      <c r="C1395" s="25">
        <v>29.7593739999325</v>
      </c>
      <c r="D1395" s="25">
        <v>-95.3999181590959</v>
      </c>
    </row>
    <row r="1396">
      <c r="A1396" s="22" t="s">
        <v>9410</v>
      </c>
      <c r="B1396" s="22" t="s">
        <v>7999</v>
      </c>
      <c r="C1396" s="23">
        <v>47.2637590131018</v>
      </c>
      <c r="D1396" s="23">
        <v>15.1967448169806</v>
      </c>
    </row>
    <row r="1397">
      <c r="A1397" s="24" t="s">
        <v>9411</v>
      </c>
      <c r="B1397" s="24" t="s">
        <v>7999</v>
      </c>
      <c r="C1397" s="25">
        <v>47.1275196132739</v>
      </c>
      <c r="D1397" s="25">
        <v>15.3615397737585</v>
      </c>
    </row>
    <row r="1398">
      <c r="A1398" s="22" t="s">
        <v>9412</v>
      </c>
      <c r="B1398" s="22" t="s">
        <v>8138</v>
      </c>
      <c r="C1398" s="23">
        <v>-53.764171</v>
      </c>
      <c r="D1398" s="23">
        <v>-67.748406</v>
      </c>
    </row>
    <row r="1399">
      <c r="A1399" s="24" t="s">
        <v>9413</v>
      </c>
      <c r="B1399" s="24" t="s">
        <v>8003</v>
      </c>
      <c r="C1399" s="25">
        <v>45.583347</v>
      </c>
      <c r="D1399" s="25">
        <v>-61.339879</v>
      </c>
    </row>
    <row r="1400">
      <c r="A1400" s="22" t="s">
        <v>9414</v>
      </c>
      <c r="B1400" s="22" t="s">
        <v>7977</v>
      </c>
      <c r="C1400" s="23">
        <v>39.4715951369353</v>
      </c>
      <c r="D1400" s="23">
        <v>-0.366634623079343</v>
      </c>
    </row>
    <row r="1401">
      <c r="A1401" s="24" t="s">
        <v>9415</v>
      </c>
      <c r="B1401" s="24" t="s">
        <v>7977</v>
      </c>
      <c r="C1401" s="25">
        <v>43.3481320820077</v>
      </c>
      <c r="D1401" s="25">
        <v>-4.05037042271225</v>
      </c>
    </row>
    <row r="1402">
      <c r="A1402" s="22" t="s">
        <v>9416</v>
      </c>
      <c r="B1402" s="22" t="s">
        <v>7977</v>
      </c>
      <c r="C1402" s="23">
        <v>39.9724616151294</v>
      </c>
      <c r="D1402" s="23">
        <v>0.0245645516196747</v>
      </c>
    </row>
    <row r="1403">
      <c r="A1403" s="24" t="s">
        <v>9417</v>
      </c>
      <c r="B1403" s="24" t="s">
        <v>8026</v>
      </c>
      <c r="C1403" s="25">
        <v>63.8413308048752</v>
      </c>
      <c r="D1403" s="25">
        <v>23.1269603942447</v>
      </c>
    </row>
    <row r="1404">
      <c r="A1404" s="22" t="s">
        <v>9418</v>
      </c>
      <c r="B1404" s="22" t="s">
        <v>8021</v>
      </c>
      <c r="C1404" s="23">
        <v>-15.77422</v>
      </c>
      <c r="D1404" s="23">
        <v>128.740009</v>
      </c>
    </row>
    <row r="1405">
      <c r="A1405" s="24" t="s">
        <v>9419</v>
      </c>
      <c r="B1405" s="24" t="s">
        <v>8021</v>
      </c>
      <c r="C1405" s="25">
        <v>-20.7372486779086</v>
      </c>
      <c r="D1405" s="25">
        <v>121.601851050426</v>
      </c>
    </row>
    <row r="1406">
      <c r="A1406" s="22" t="s">
        <v>9420</v>
      </c>
      <c r="B1406" s="22" t="s">
        <v>8021</v>
      </c>
      <c r="C1406" s="23">
        <v>-20.7372486779086</v>
      </c>
      <c r="D1406" s="23">
        <v>121.601851050426</v>
      </c>
    </row>
    <row r="1407">
      <c r="A1407" s="24" t="s">
        <v>9421</v>
      </c>
      <c r="B1407" s="24" t="s">
        <v>8021</v>
      </c>
      <c r="C1407" s="25">
        <v>-20.317253</v>
      </c>
      <c r="D1407" s="25">
        <v>121.042081</v>
      </c>
    </row>
    <row r="1408">
      <c r="A1408" s="22" t="s">
        <v>9422</v>
      </c>
      <c r="B1408" s="22" t="s">
        <v>8590</v>
      </c>
      <c r="C1408" s="23">
        <v>-12.7342961435807</v>
      </c>
      <c r="D1408" s="23">
        <v>-38.4379374174864</v>
      </c>
    </row>
    <row r="1409">
      <c r="A1409" s="24" t="s">
        <v>9423</v>
      </c>
      <c r="B1409" s="24" t="s">
        <v>7967</v>
      </c>
      <c r="C1409" s="25">
        <v>52.3661016838894</v>
      </c>
      <c r="D1409" s="25">
        <v>5.03477403347359</v>
      </c>
    </row>
    <row r="1410">
      <c r="A1410" s="22" t="s">
        <v>9424</v>
      </c>
      <c r="B1410" s="22" t="s">
        <v>8003</v>
      </c>
      <c r="C1410" s="23">
        <v>45.583347</v>
      </c>
      <c r="D1410" s="23">
        <v>-61.339879</v>
      </c>
    </row>
    <row r="1411">
      <c r="A1411" s="24" t="s">
        <v>9425</v>
      </c>
      <c r="B1411" s="24" t="s">
        <v>8578</v>
      </c>
      <c r="C1411" s="25">
        <v>-5.94891905006924</v>
      </c>
      <c r="D1411" s="25">
        <v>106.018577707793</v>
      </c>
    </row>
    <row r="1412">
      <c r="A1412" s="22" t="s">
        <v>9426</v>
      </c>
      <c r="B1412" s="22" t="s">
        <v>8071</v>
      </c>
      <c r="C1412" s="23">
        <v>-23.099429662471</v>
      </c>
      <c r="D1412" s="23">
        <v>-70.4497590669984</v>
      </c>
    </row>
    <row r="1413">
      <c r="A1413" s="24" t="s">
        <v>9427</v>
      </c>
      <c r="B1413" s="24" t="s">
        <v>7981</v>
      </c>
      <c r="C1413" s="25">
        <v>34.0686614893204</v>
      </c>
      <c r="D1413" s="25">
        <v>-99.2304890249429</v>
      </c>
    </row>
    <row r="1414">
      <c r="A1414" s="22" t="s">
        <v>9428</v>
      </c>
      <c r="B1414" s="22" t="s">
        <v>8021</v>
      </c>
      <c r="C1414" s="23">
        <v>-33.0349314630449</v>
      </c>
      <c r="D1414" s="23">
        <v>137.575582376382</v>
      </c>
    </row>
    <row r="1415">
      <c r="A1415" s="24" t="s">
        <v>9429</v>
      </c>
      <c r="B1415" s="24" t="s">
        <v>8021</v>
      </c>
      <c r="C1415" s="25">
        <v>-32.7840523352758</v>
      </c>
      <c r="D1415" s="25">
        <v>115.88596711953</v>
      </c>
    </row>
    <row r="1416">
      <c r="A1416" s="22" t="s">
        <v>9430</v>
      </c>
      <c r="B1416" s="22" t="s">
        <v>7981</v>
      </c>
      <c r="C1416" s="23">
        <v>44.5695213399711</v>
      </c>
      <c r="D1416" s="23">
        <v>-92.7381030681496</v>
      </c>
    </row>
    <row r="1417">
      <c r="A1417" s="24" t="s">
        <v>9431</v>
      </c>
      <c r="B1417" s="24" t="s">
        <v>8590</v>
      </c>
      <c r="C1417" s="25">
        <v>-20.3103759796894</v>
      </c>
      <c r="D1417" s="25">
        <v>-40.2924451201083</v>
      </c>
    </row>
    <row r="1418">
      <c r="A1418" s="22" t="s">
        <v>9432</v>
      </c>
      <c r="B1418" s="22" t="s">
        <v>8590</v>
      </c>
      <c r="C1418" s="23">
        <v>-12.6899679586959</v>
      </c>
      <c r="D1418" s="23">
        <v>-38.3179958243556</v>
      </c>
    </row>
    <row r="1419">
      <c r="A1419" s="24" t="s">
        <v>9433</v>
      </c>
      <c r="B1419" s="24" t="s">
        <v>8003</v>
      </c>
      <c r="C1419" s="25">
        <v>53.8313477558839</v>
      </c>
      <c r="D1419" s="25">
        <v>-112.971247379397</v>
      </c>
    </row>
    <row r="1420">
      <c r="A1420" s="27" t="s">
        <v>9434</v>
      </c>
      <c r="B1420" s="22" t="s">
        <v>7977</v>
      </c>
      <c r="C1420" s="23">
        <v>37.2619638810127</v>
      </c>
      <c r="D1420" s="23">
        <v>-6.94128464616816</v>
      </c>
    </row>
    <row r="1421">
      <c r="A1421" s="24" t="s">
        <v>9435</v>
      </c>
      <c r="B1421" s="24" t="s">
        <v>8021</v>
      </c>
      <c r="C1421" s="25">
        <v>-32.3379048826763</v>
      </c>
      <c r="D1421" s="25">
        <v>135.958139262761</v>
      </c>
    </row>
    <row r="1422">
      <c r="A1422" s="22" t="s">
        <v>9436</v>
      </c>
      <c r="B1422" s="22" t="s">
        <v>7987</v>
      </c>
      <c r="C1422" s="23">
        <v>53.5295406441506</v>
      </c>
      <c r="D1422" s="23">
        <v>8.12969320043866</v>
      </c>
    </row>
    <row r="1423">
      <c r="A1423" s="24" t="s">
        <v>9437</v>
      </c>
      <c r="B1423" s="24" t="s">
        <v>8562</v>
      </c>
      <c r="C1423" s="25">
        <v>28.266656</v>
      </c>
      <c r="D1423" s="25">
        <v>-10.716838</v>
      </c>
    </row>
    <row r="1424">
      <c r="A1424" s="22" t="s">
        <v>9438</v>
      </c>
      <c r="B1424" s="22" t="s">
        <v>8161</v>
      </c>
      <c r="C1424" s="23">
        <v>40.64427</v>
      </c>
      <c r="D1424" s="23">
        <v>-8.64554</v>
      </c>
    </row>
    <row r="1425">
      <c r="A1425" s="24" t="s">
        <v>9439</v>
      </c>
      <c r="B1425" s="24" t="s">
        <v>8413</v>
      </c>
      <c r="C1425" s="25">
        <v>-32.3026802247784</v>
      </c>
      <c r="D1425" s="25">
        <v>-58.0863669394904</v>
      </c>
    </row>
    <row r="1426">
      <c r="A1426" s="22" t="s">
        <v>9440</v>
      </c>
      <c r="B1426" s="22" t="s">
        <v>7977</v>
      </c>
      <c r="C1426" s="23">
        <v>37.2488371305092</v>
      </c>
      <c r="D1426" s="23">
        <v>-6.90973543888513</v>
      </c>
    </row>
    <row r="1427">
      <c r="A1427" s="24" t="s">
        <v>9441</v>
      </c>
      <c r="B1427" s="24" t="s">
        <v>8023</v>
      </c>
      <c r="C1427" s="25">
        <v>50.3273768848514</v>
      </c>
      <c r="D1427" s="25">
        <v>22.3251081596896</v>
      </c>
    </row>
    <row r="1428">
      <c r="A1428" s="22" t="s">
        <v>9442</v>
      </c>
      <c r="B1428" s="22" t="s">
        <v>8108</v>
      </c>
      <c r="C1428" s="23">
        <v>23.2018954962698</v>
      </c>
      <c r="D1428" s="23">
        <v>75.8136993087529</v>
      </c>
    </row>
    <row r="1429">
      <c r="A1429" s="24" t="s">
        <v>9443</v>
      </c>
      <c r="B1429" s="24" t="s">
        <v>8108</v>
      </c>
      <c r="C1429" s="25">
        <v>30.0306918977109</v>
      </c>
      <c r="D1429" s="25">
        <v>76.3109550560845</v>
      </c>
    </row>
    <row r="1430">
      <c r="A1430" s="22" t="s">
        <v>9444</v>
      </c>
      <c r="B1430" s="22" t="s">
        <v>8087</v>
      </c>
      <c r="C1430" s="23">
        <v>51.2550437170548</v>
      </c>
      <c r="D1430" s="23">
        <v>4.34507718420176</v>
      </c>
    </row>
    <row r="1431">
      <c r="A1431" s="24" t="s">
        <v>9445</v>
      </c>
      <c r="B1431" s="24" t="s">
        <v>8001</v>
      </c>
      <c r="C1431" s="25">
        <v>38.1331411914258</v>
      </c>
      <c r="D1431" s="25">
        <v>77.1461625349378</v>
      </c>
    </row>
    <row r="1432">
      <c r="A1432" s="22" t="s">
        <v>9446</v>
      </c>
      <c r="B1432" s="22" t="s">
        <v>7987</v>
      </c>
      <c r="C1432" s="23">
        <v>54.1352831032426</v>
      </c>
      <c r="D1432" s="23">
        <v>12.116054205765</v>
      </c>
    </row>
    <row r="1433">
      <c r="A1433" s="24" t="s">
        <v>9447</v>
      </c>
      <c r="B1433" s="24" t="s">
        <v>7991</v>
      </c>
      <c r="C1433" s="25">
        <v>53.639746518733</v>
      </c>
      <c r="D1433" s="25">
        <v>-0.257045555211705</v>
      </c>
    </row>
    <row r="1434">
      <c r="A1434" s="22" t="s">
        <v>9448</v>
      </c>
      <c r="B1434" s="22" t="s">
        <v>7991</v>
      </c>
      <c r="C1434" s="23">
        <v>51.5009866635143</v>
      </c>
      <c r="D1434" s="23">
        <v>0.562990963891857</v>
      </c>
    </row>
    <row r="1435">
      <c r="A1435" s="24" t="s">
        <v>9449</v>
      </c>
      <c r="B1435" s="24" t="s">
        <v>7991</v>
      </c>
      <c r="C1435" s="25">
        <v>54.7819042325787</v>
      </c>
      <c r="D1435" s="25">
        <v>-1.34538743016266</v>
      </c>
    </row>
    <row r="1436">
      <c r="A1436" s="22" t="s">
        <v>9450</v>
      </c>
      <c r="B1436" s="22" t="s">
        <v>8578</v>
      </c>
      <c r="C1436" s="23">
        <v>-1.25952824515172</v>
      </c>
      <c r="D1436" s="23">
        <v>116.819218625787</v>
      </c>
    </row>
    <row r="1437">
      <c r="A1437" s="24" t="s">
        <v>9451</v>
      </c>
      <c r="B1437" s="24" t="s">
        <v>8108</v>
      </c>
      <c r="C1437" s="25">
        <v>19.5230476221858</v>
      </c>
      <c r="D1437" s="25">
        <v>80.3355374453956</v>
      </c>
    </row>
    <row r="1438">
      <c r="A1438" s="22" t="s">
        <v>9452</v>
      </c>
      <c r="B1438" s="22" t="s">
        <v>8108</v>
      </c>
      <c r="C1438" s="23">
        <v>22.3709187697086</v>
      </c>
      <c r="D1438" s="23">
        <v>73.1227507663705</v>
      </c>
    </row>
    <row r="1439">
      <c r="A1439" s="24" t="s">
        <v>9453</v>
      </c>
      <c r="B1439" s="24" t="s">
        <v>8047</v>
      </c>
      <c r="C1439" s="25">
        <v>45.4582488807649</v>
      </c>
      <c r="D1439" s="25">
        <v>12.2562711013163</v>
      </c>
    </row>
    <row r="1440">
      <c r="A1440" s="22" t="s">
        <v>9454</v>
      </c>
      <c r="B1440" s="22" t="s">
        <v>7967</v>
      </c>
      <c r="C1440" s="23">
        <v>51.3060081174489</v>
      </c>
      <c r="D1440" s="23">
        <v>3.8498667000111</v>
      </c>
    </row>
    <row r="1441">
      <c r="A1441" s="24" t="s">
        <v>9455</v>
      </c>
      <c r="B1441" s="24" t="s">
        <v>8388</v>
      </c>
      <c r="C1441" s="25">
        <v>22.645874050238</v>
      </c>
      <c r="D1441" s="25">
        <v>59.4653503958559</v>
      </c>
    </row>
    <row r="1442">
      <c r="A1442" s="22" t="s">
        <v>9456</v>
      </c>
      <c r="B1442" s="22" t="s">
        <v>7981</v>
      </c>
      <c r="C1442" s="23">
        <v>27.836764820865</v>
      </c>
      <c r="D1442" s="23">
        <v>-97.2034951819053</v>
      </c>
    </row>
    <row r="1443">
      <c r="A1443" s="24" t="s">
        <v>9457</v>
      </c>
      <c r="B1443" s="24" t="s">
        <v>7981</v>
      </c>
      <c r="C1443" s="25">
        <v>48.1659663059784</v>
      </c>
      <c r="D1443" s="25">
        <v>-100.840061305064</v>
      </c>
    </row>
    <row r="1444">
      <c r="A1444" s="22" t="s">
        <v>9458</v>
      </c>
      <c r="B1444" s="22" t="s">
        <v>7981</v>
      </c>
      <c r="C1444" s="23">
        <v>30.0935252434742</v>
      </c>
      <c r="D1444" s="23">
        <v>-94.2147905172389</v>
      </c>
    </row>
    <row r="1445">
      <c r="A1445" s="24" t="s">
        <v>9459</v>
      </c>
      <c r="B1445" s="24" t="s">
        <v>7981</v>
      </c>
      <c r="C1445" s="25">
        <v>32.8635023376061</v>
      </c>
      <c r="D1445" s="25">
        <v>-90.3822324056159</v>
      </c>
    </row>
    <row r="1446">
      <c r="A1446" s="22" t="s">
        <v>9460</v>
      </c>
      <c r="B1446" s="22" t="s">
        <v>7981</v>
      </c>
      <c r="C1446" s="23">
        <v>30.1861549586745</v>
      </c>
      <c r="D1446" s="23">
        <v>-90.9481962306886</v>
      </c>
    </row>
    <row r="1447">
      <c r="A1447" s="24" t="s">
        <v>9461</v>
      </c>
      <c r="B1447" s="24" t="s">
        <v>7981</v>
      </c>
      <c r="C1447" s="25">
        <v>40.6984234774802</v>
      </c>
      <c r="D1447" s="25">
        <v>-91.2254868657529</v>
      </c>
    </row>
    <row r="1448">
      <c r="A1448" s="22" t="s">
        <v>9462</v>
      </c>
      <c r="B1448" s="22" t="s">
        <v>7981</v>
      </c>
      <c r="C1448" s="23">
        <v>40.6984234774802</v>
      </c>
      <c r="D1448" s="23">
        <v>-91.2254868657529</v>
      </c>
    </row>
    <row r="1449">
      <c r="A1449" s="24" t="s">
        <v>9463</v>
      </c>
      <c r="B1449" s="24" t="s">
        <v>7981</v>
      </c>
      <c r="C1449" s="25">
        <v>35.2711004613519</v>
      </c>
      <c r="D1449" s="25">
        <v>-119.426847792404</v>
      </c>
    </row>
    <row r="1450">
      <c r="A1450" s="22" t="s">
        <v>9464</v>
      </c>
      <c r="B1450" s="22" t="s">
        <v>7981</v>
      </c>
      <c r="C1450" s="23">
        <v>27.8845342759862</v>
      </c>
      <c r="D1450" s="23">
        <v>-97.2653450968814</v>
      </c>
    </row>
    <row r="1451">
      <c r="A1451" s="24" t="s">
        <v>9465</v>
      </c>
      <c r="B1451" s="24" t="s">
        <v>7981</v>
      </c>
      <c r="C1451" s="25">
        <v>27.8845342759862</v>
      </c>
      <c r="D1451" s="25">
        <v>-97.2653450968814</v>
      </c>
    </row>
    <row r="1452">
      <c r="A1452" s="22" t="s">
        <v>9466</v>
      </c>
      <c r="B1452" s="22" t="s">
        <v>7981</v>
      </c>
      <c r="C1452" s="23">
        <v>38.046792303799</v>
      </c>
      <c r="D1452" s="23">
        <v>-122.256025964307</v>
      </c>
    </row>
    <row r="1453">
      <c r="A1453" s="24" t="s">
        <v>9467</v>
      </c>
      <c r="B1453" s="24" t="s">
        <v>7981</v>
      </c>
      <c r="C1453" s="25">
        <v>30.0200474759756</v>
      </c>
      <c r="D1453" s="25">
        <v>-90.8227440340705</v>
      </c>
    </row>
    <row r="1454">
      <c r="A1454" s="22" t="s">
        <v>9468</v>
      </c>
      <c r="B1454" s="22" t="s">
        <v>7981</v>
      </c>
      <c r="C1454" s="23">
        <v>43.4338944655544</v>
      </c>
      <c r="D1454" s="23">
        <v>-107.903023605264</v>
      </c>
    </row>
    <row r="1455">
      <c r="A1455" s="24" t="s">
        <v>9469</v>
      </c>
      <c r="B1455" s="24" t="s">
        <v>7981</v>
      </c>
      <c r="C1455" s="25">
        <v>29.4441167293377</v>
      </c>
      <c r="D1455" s="25">
        <v>-90.6693624554118</v>
      </c>
    </row>
    <row r="1456">
      <c r="A1456" s="22" t="s">
        <v>9470</v>
      </c>
      <c r="B1456" s="22" t="s">
        <v>7981</v>
      </c>
      <c r="C1456" s="23">
        <v>39.7521401168275</v>
      </c>
      <c r="D1456" s="23">
        <v>-122.965570235525</v>
      </c>
    </row>
    <row r="1457">
      <c r="A1457" s="24" t="s">
        <v>9471</v>
      </c>
      <c r="B1457" s="24" t="s">
        <v>8785</v>
      </c>
      <c r="C1457" s="25">
        <v>29.659369</v>
      </c>
      <c r="D1457" s="25">
        <v>32.34481</v>
      </c>
    </row>
    <row r="1458">
      <c r="A1458" s="22" t="s">
        <v>9472</v>
      </c>
      <c r="B1458" s="22" t="s">
        <v>8437</v>
      </c>
      <c r="C1458" s="23">
        <v>-25.5085388475998</v>
      </c>
      <c r="D1458" s="23">
        <v>-57.5609821637221</v>
      </c>
    </row>
    <row r="1459">
      <c r="A1459" s="24" t="s">
        <v>9473</v>
      </c>
      <c r="B1459" s="24" t="s">
        <v>7991</v>
      </c>
      <c r="C1459" s="25">
        <v>50.3961783988706</v>
      </c>
      <c r="D1459" s="25">
        <v>-3.99792956663153</v>
      </c>
    </row>
    <row r="1460">
      <c r="A1460" s="22" t="s">
        <v>206</v>
      </c>
      <c r="B1460" s="22" t="s">
        <v>7977</v>
      </c>
      <c r="C1460" s="23">
        <v>39.9649732792709</v>
      </c>
      <c r="D1460" s="23">
        <v>-0.258763321751508</v>
      </c>
    </row>
    <row r="1461">
      <c r="A1461" s="24" t="s">
        <v>9474</v>
      </c>
      <c r="B1461" s="24" t="s">
        <v>7977</v>
      </c>
      <c r="C1461" s="25">
        <v>39.9649732792709</v>
      </c>
      <c r="D1461" s="25">
        <v>-0.258763321751508</v>
      </c>
    </row>
    <row r="1462">
      <c r="A1462" s="22" t="s">
        <v>9475</v>
      </c>
      <c r="B1462" s="22" t="s">
        <v>7981</v>
      </c>
      <c r="C1462" s="23">
        <v>32.3780775408961</v>
      </c>
      <c r="D1462" s="23">
        <v>-82.5840085313282</v>
      </c>
    </row>
    <row r="1463">
      <c r="A1463" s="24" t="s">
        <v>9476</v>
      </c>
      <c r="B1463" s="24" t="s">
        <v>8785</v>
      </c>
      <c r="C1463" s="25">
        <v>28.1046417515799</v>
      </c>
      <c r="D1463" s="25">
        <v>32.173224067015</v>
      </c>
    </row>
    <row r="1464">
      <c r="A1464" s="22" t="s">
        <v>9477</v>
      </c>
      <c r="B1464" s="22" t="s">
        <v>7981</v>
      </c>
      <c r="C1464" s="23">
        <v>28.7033692877675</v>
      </c>
      <c r="D1464" s="23">
        <v>-96.9406361124884</v>
      </c>
    </row>
    <row r="1465">
      <c r="A1465" s="24" t="s">
        <v>9478</v>
      </c>
      <c r="B1465" s="24" t="s">
        <v>7987</v>
      </c>
      <c r="C1465" s="25">
        <v>48.6641306216014</v>
      </c>
      <c r="D1465" s="25">
        <v>11.9730214901096</v>
      </c>
    </row>
    <row r="1466">
      <c r="A1466" s="22" t="s">
        <v>9479</v>
      </c>
      <c r="B1466" s="22" t="s">
        <v>8388</v>
      </c>
      <c r="C1466" s="23">
        <v>19.6669277310332</v>
      </c>
      <c r="D1466" s="23">
        <v>57.7254450103778</v>
      </c>
    </row>
    <row r="1467">
      <c r="A1467" s="24" t="s">
        <v>9480</v>
      </c>
      <c r="B1467" s="24" t="s">
        <v>8117</v>
      </c>
      <c r="C1467" s="25">
        <v>38.7782267858296</v>
      </c>
      <c r="D1467" s="25">
        <v>22.7201600302207</v>
      </c>
    </row>
    <row r="1468">
      <c r="A1468" s="22" t="s">
        <v>9481</v>
      </c>
      <c r="B1468" s="22" t="s">
        <v>8891</v>
      </c>
      <c r="C1468" s="23">
        <v>-0.842934319370739</v>
      </c>
      <c r="D1468" s="23">
        <v>36.318704915658</v>
      </c>
    </row>
    <row r="1469">
      <c r="A1469" s="24" t="s">
        <v>9482</v>
      </c>
      <c r="B1469" s="24" t="s">
        <v>9296</v>
      </c>
      <c r="C1469" s="25">
        <v>11.7205593325596</v>
      </c>
      <c r="D1469" s="25">
        <v>42.7729418358331</v>
      </c>
    </row>
    <row r="1470">
      <c r="A1470" s="22" t="s">
        <v>9483</v>
      </c>
      <c r="B1470" s="22" t="s">
        <v>8600</v>
      </c>
      <c r="C1470" s="23">
        <v>24.0511122449776</v>
      </c>
      <c r="D1470" s="23">
        <v>-104.522975191898</v>
      </c>
    </row>
    <row r="1471">
      <c r="A1471" s="24" t="s">
        <v>9484</v>
      </c>
      <c r="B1471" s="24" t="s">
        <v>8047</v>
      </c>
      <c r="C1471" s="25">
        <v>39.3052296419816</v>
      </c>
      <c r="D1471" s="25">
        <v>17.4362805408174</v>
      </c>
    </row>
    <row r="1472">
      <c r="A1472" s="22" t="s">
        <v>9485</v>
      </c>
      <c r="B1472" s="22" t="s">
        <v>8371</v>
      </c>
      <c r="C1472" s="23">
        <v>24.298933860178</v>
      </c>
      <c r="D1472" s="23">
        <v>54.3540001038411</v>
      </c>
    </row>
    <row r="1473">
      <c r="A1473" s="24" t="s">
        <v>9486</v>
      </c>
      <c r="B1473" s="24" t="s">
        <v>7991</v>
      </c>
      <c r="C1473" s="25">
        <v>51.9156067553591</v>
      </c>
      <c r="D1473" s="25">
        <v>-1.14105214629842</v>
      </c>
    </row>
    <row r="1474">
      <c r="A1474" s="22" t="s">
        <v>9487</v>
      </c>
      <c r="B1474" s="22" t="s">
        <v>7991</v>
      </c>
      <c r="C1474" s="23">
        <v>51.8769816077563</v>
      </c>
      <c r="D1474" s="23">
        <v>-4.93068595596786</v>
      </c>
    </row>
    <row r="1475">
      <c r="A1475" s="24" t="s">
        <v>9488</v>
      </c>
      <c r="B1475" s="24" t="s">
        <v>8117</v>
      </c>
      <c r="C1475" s="25">
        <v>37.7733698737914</v>
      </c>
      <c r="D1475" s="25">
        <v>21.072480830667</v>
      </c>
    </row>
    <row r="1476">
      <c r="A1476" s="22" t="s">
        <v>9489</v>
      </c>
      <c r="B1476" s="22" t="s">
        <v>7977</v>
      </c>
      <c r="C1476" s="23">
        <v>42.2272868450773</v>
      </c>
      <c r="D1476" s="23">
        <v>-8.74042138243829</v>
      </c>
    </row>
    <row r="1477">
      <c r="A1477" s="24" t="s">
        <v>9490</v>
      </c>
      <c r="B1477" s="24" t="s">
        <v>7967</v>
      </c>
      <c r="C1477" s="25">
        <v>53.3344145029669</v>
      </c>
      <c r="D1477" s="25">
        <v>6.92135994987017</v>
      </c>
    </row>
    <row r="1478">
      <c r="A1478" s="22" t="s">
        <v>9491</v>
      </c>
      <c r="B1478" s="22" t="s">
        <v>9492</v>
      </c>
      <c r="C1478" s="23">
        <v>8.95813943062742</v>
      </c>
      <c r="D1478" s="23">
        <v>-79.5696423306991</v>
      </c>
    </row>
    <row r="1479">
      <c r="A1479" s="24" t="s">
        <v>9493</v>
      </c>
      <c r="B1479" s="24" t="s">
        <v>8047</v>
      </c>
      <c r="C1479" s="25">
        <v>40.8309622516676</v>
      </c>
      <c r="D1479" s="25">
        <v>8.37844130847618</v>
      </c>
    </row>
    <row r="1480">
      <c r="A1480" s="22" t="s">
        <v>9494</v>
      </c>
      <c r="B1480" s="22" t="s">
        <v>8047</v>
      </c>
      <c r="C1480" s="23">
        <v>40.8309622516676</v>
      </c>
      <c r="D1480" s="23">
        <v>8.37844130847618</v>
      </c>
    </row>
    <row r="1481">
      <c r="A1481" s="24" t="s">
        <v>9495</v>
      </c>
      <c r="B1481" s="24" t="s">
        <v>7991</v>
      </c>
      <c r="C1481" s="25">
        <v>53.2784189927593</v>
      </c>
      <c r="D1481" s="25">
        <v>-2.73726562410066</v>
      </c>
    </row>
    <row r="1482">
      <c r="A1482" s="22" t="s">
        <v>9496</v>
      </c>
      <c r="B1482" s="22" t="s">
        <v>7977</v>
      </c>
      <c r="C1482" s="23">
        <v>39.9934106692918</v>
      </c>
      <c r="D1482" s="23">
        <v>-0.0208546706238567</v>
      </c>
    </row>
    <row r="1483">
      <c r="A1483" s="24" t="s">
        <v>9497</v>
      </c>
      <c r="B1483" s="24" t="s">
        <v>7977</v>
      </c>
      <c r="C1483" s="25">
        <v>37.5970229786114</v>
      </c>
      <c r="D1483" s="25">
        <v>-1.00998327679861</v>
      </c>
    </row>
    <row r="1484">
      <c r="A1484" s="22" t="s">
        <v>9498</v>
      </c>
      <c r="B1484" s="22" t="s">
        <v>8071</v>
      </c>
      <c r="C1484" s="23">
        <v>-52.675479109211</v>
      </c>
      <c r="D1484" s="23">
        <v>-69.2546731957503</v>
      </c>
    </row>
    <row r="1485">
      <c r="A1485" s="24" t="s">
        <v>9499</v>
      </c>
      <c r="B1485" s="24" t="s">
        <v>8001</v>
      </c>
      <c r="C1485" s="25">
        <v>46.1247345031596</v>
      </c>
      <c r="D1485" s="25">
        <v>121.97467265715</v>
      </c>
    </row>
    <row r="1486">
      <c r="A1486" s="22" t="s">
        <v>9500</v>
      </c>
      <c r="B1486" s="22" t="s">
        <v>8001</v>
      </c>
      <c r="C1486" s="23">
        <v>43.8984135979575</v>
      </c>
      <c r="D1486" s="23">
        <v>116.034810175204</v>
      </c>
    </row>
    <row r="1487">
      <c r="A1487" s="24" t="s">
        <v>9501</v>
      </c>
      <c r="B1487" s="24" t="s">
        <v>8001</v>
      </c>
      <c r="C1487" s="25">
        <v>40.9438603541513</v>
      </c>
      <c r="D1487" s="25">
        <v>107.248845363403</v>
      </c>
    </row>
    <row r="1488">
      <c r="A1488" s="22" t="s">
        <v>9502</v>
      </c>
      <c r="B1488" s="22" t="s">
        <v>8001</v>
      </c>
      <c r="C1488" s="23">
        <v>43.8984135979575</v>
      </c>
      <c r="D1488" s="23">
        <v>116.034810175204</v>
      </c>
    </row>
    <row r="1489">
      <c r="A1489" s="28" t="s">
        <v>9503</v>
      </c>
      <c r="B1489" s="24" t="s">
        <v>8001</v>
      </c>
      <c r="C1489" s="25">
        <v>38.8586264930582</v>
      </c>
      <c r="D1489" s="25">
        <v>105.73515733974</v>
      </c>
    </row>
    <row r="1490">
      <c r="A1490" s="22" t="s">
        <v>9504</v>
      </c>
      <c r="B1490" s="22" t="s">
        <v>7999</v>
      </c>
      <c r="C1490" s="23">
        <v>48.3364984201889</v>
      </c>
      <c r="D1490" s="23">
        <v>14.2900021996381</v>
      </c>
    </row>
    <row r="1491">
      <c r="A1491" s="24" t="s">
        <v>9505</v>
      </c>
      <c r="B1491" s="24" t="s">
        <v>8590</v>
      </c>
      <c r="C1491" s="25">
        <v>-3.54461689820214</v>
      </c>
      <c r="D1491" s="25">
        <v>-38.8146377191775</v>
      </c>
    </row>
    <row r="1492">
      <c r="A1492" s="22" t="s">
        <v>9506</v>
      </c>
      <c r="B1492" s="22" t="s">
        <v>8539</v>
      </c>
      <c r="C1492" s="23">
        <v>35.0922802243938</v>
      </c>
      <c r="D1492" s="23">
        <v>128.364586683858</v>
      </c>
    </row>
    <row r="1493">
      <c r="A1493" s="24" t="s">
        <v>9507</v>
      </c>
      <c r="B1493" s="24" t="s">
        <v>8031</v>
      </c>
      <c r="C1493" s="25">
        <v>1.27519247218782</v>
      </c>
      <c r="D1493" s="25">
        <v>103.682691125496</v>
      </c>
    </row>
    <row r="1494">
      <c r="A1494" s="22" t="s">
        <v>9508</v>
      </c>
      <c r="B1494" s="22" t="s">
        <v>8108</v>
      </c>
      <c r="C1494" s="23">
        <v>1.09956501055449</v>
      </c>
      <c r="D1494" s="23">
        <v>104.482806950009</v>
      </c>
    </row>
    <row r="1495">
      <c r="A1495" s="24" t="s">
        <v>9509</v>
      </c>
      <c r="B1495" s="24" t="s">
        <v>8108</v>
      </c>
      <c r="C1495" s="25">
        <v>1.09956501055449</v>
      </c>
      <c r="D1495" s="25">
        <v>104.482806950009</v>
      </c>
    </row>
    <row r="1496">
      <c r="A1496" s="22" t="s">
        <v>9510</v>
      </c>
      <c r="B1496" s="22" t="s">
        <v>8108</v>
      </c>
      <c r="C1496" s="23">
        <v>1.09956501055449</v>
      </c>
      <c r="D1496" s="23">
        <v>104.482806950009</v>
      </c>
    </row>
    <row r="1497">
      <c r="A1497" s="24" t="s">
        <v>9511</v>
      </c>
      <c r="B1497" s="24" t="s">
        <v>8371</v>
      </c>
      <c r="C1497" s="25">
        <v>24.9691219445532</v>
      </c>
      <c r="D1497" s="25">
        <v>55.1323142117953</v>
      </c>
    </row>
    <row r="1498">
      <c r="A1498" s="22" t="s">
        <v>9512</v>
      </c>
      <c r="B1498" s="22" t="s">
        <v>8021</v>
      </c>
      <c r="C1498" s="23">
        <v>-20.1830783555979</v>
      </c>
      <c r="D1498" s="23">
        <v>145.011081869198</v>
      </c>
    </row>
    <row r="1499">
      <c r="A1499" s="24" t="s">
        <v>9512</v>
      </c>
      <c r="B1499" s="24" t="s">
        <v>8021</v>
      </c>
      <c r="C1499" s="25">
        <v>0.0</v>
      </c>
      <c r="D1499" s="25">
        <v>0.0</v>
      </c>
    </row>
    <row r="1500">
      <c r="A1500" s="22" t="s">
        <v>9513</v>
      </c>
      <c r="B1500" s="22" t="s">
        <v>8787</v>
      </c>
      <c r="C1500" s="23">
        <v>-20.193772632129</v>
      </c>
      <c r="D1500" s="23">
        <v>32.6494639935017</v>
      </c>
    </row>
    <row r="1501">
      <c r="A1501" s="24" t="s">
        <v>9514</v>
      </c>
      <c r="B1501" s="24" t="s">
        <v>8240</v>
      </c>
      <c r="C1501" s="25">
        <v>23.5591758777653</v>
      </c>
      <c r="D1501" s="25">
        <v>38.7020304333159</v>
      </c>
    </row>
    <row r="1502">
      <c r="A1502" s="22" t="s">
        <v>9515</v>
      </c>
      <c r="B1502" s="22" t="s">
        <v>8578</v>
      </c>
      <c r="C1502" s="23">
        <v>0.775089216122492</v>
      </c>
      <c r="D1502" s="23">
        <v>103.439606230315</v>
      </c>
    </row>
    <row r="1503">
      <c r="A1503" s="24" t="s">
        <v>9516</v>
      </c>
      <c r="B1503" s="24" t="s">
        <v>8041</v>
      </c>
      <c r="C1503" s="25">
        <v>14.9471860045103</v>
      </c>
      <c r="D1503" s="25">
        <v>100.918815004366</v>
      </c>
    </row>
    <row r="1504">
      <c r="A1504" s="22" t="s">
        <v>9517</v>
      </c>
      <c r="B1504" s="22" t="s">
        <v>7981</v>
      </c>
      <c r="C1504" s="23">
        <v>33.0228589588458</v>
      </c>
      <c r="D1504" s="23">
        <v>-98.6628373389148</v>
      </c>
    </row>
    <row r="1505">
      <c r="A1505" s="24" t="s">
        <v>9518</v>
      </c>
      <c r="B1505" s="24" t="s">
        <v>7981</v>
      </c>
      <c r="C1505" s="25">
        <v>35.4528086685199</v>
      </c>
      <c r="D1505" s="25">
        <v>-118.987787905765</v>
      </c>
    </row>
    <row r="1506">
      <c r="A1506" s="22" t="s">
        <v>9519</v>
      </c>
      <c r="B1506" s="22" t="s">
        <v>8021</v>
      </c>
      <c r="C1506" s="23">
        <v>-24.8715150331893</v>
      </c>
      <c r="D1506" s="23">
        <v>116.566952919499</v>
      </c>
    </row>
    <row r="1507">
      <c r="A1507" s="24" t="s">
        <v>9520</v>
      </c>
      <c r="B1507" s="24" t="s">
        <v>8021</v>
      </c>
      <c r="C1507" s="25">
        <v>-24.8715150331893</v>
      </c>
      <c r="D1507" s="25">
        <v>116.566952919499</v>
      </c>
    </row>
    <row r="1508">
      <c r="A1508" s="22" t="s">
        <v>9521</v>
      </c>
      <c r="B1508" s="22" t="s">
        <v>8021</v>
      </c>
      <c r="C1508" s="23">
        <v>-24.8715150331893</v>
      </c>
      <c r="D1508" s="23">
        <v>116.566952919499</v>
      </c>
    </row>
    <row r="1509">
      <c r="A1509" s="24" t="s">
        <v>9522</v>
      </c>
      <c r="B1509" s="24" t="s">
        <v>7994</v>
      </c>
      <c r="C1509" s="25">
        <v>56.4579505018526</v>
      </c>
      <c r="D1509" s="25">
        <v>8.92458382473043</v>
      </c>
    </row>
    <row r="1510">
      <c r="A1510" s="22" t="s">
        <v>9522</v>
      </c>
      <c r="B1510" s="22" t="s">
        <v>7994</v>
      </c>
      <c r="C1510" s="23">
        <v>56.4579505018526</v>
      </c>
      <c r="D1510" s="23">
        <v>8.92458382473043</v>
      </c>
    </row>
    <row r="1511">
      <c r="A1511" s="24" t="s">
        <v>9523</v>
      </c>
      <c r="B1511" s="24" t="s">
        <v>7977</v>
      </c>
      <c r="C1511" s="25">
        <v>43.2086208451703</v>
      </c>
      <c r="D1511" s="25">
        <v>-8.43789993335298</v>
      </c>
    </row>
    <row r="1512">
      <c r="A1512" s="22" t="s">
        <v>9524</v>
      </c>
      <c r="B1512" s="22" t="s">
        <v>8003</v>
      </c>
      <c r="C1512" s="23">
        <v>46.6976904753214</v>
      </c>
      <c r="D1512" s="23">
        <v>-72.8098677755457</v>
      </c>
    </row>
    <row r="1513">
      <c r="A1513" s="24" t="s">
        <v>9525</v>
      </c>
      <c r="B1513" s="24" t="s">
        <v>8026</v>
      </c>
      <c r="C1513" s="25">
        <v>60.0501163995222</v>
      </c>
      <c r="D1513" s="25">
        <v>24.0087549567843</v>
      </c>
    </row>
    <row r="1514">
      <c r="A1514" s="22" t="s">
        <v>9526</v>
      </c>
      <c r="B1514" s="22" t="s">
        <v>7974</v>
      </c>
      <c r="C1514" s="23">
        <v>64.827747353286</v>
      </c>
      <c r="D1514" s="23">
        <v>18.4514692320124</v>
      </c>
    </row>
    <row r="1515">
      <c r="A1515" s="24" t="s">
        <v>9527</v>
      </c>
      <c r="B1515" s="24" t="s">
        <v>8108</v>
      </c>
      <c r="C1515" s="25">
        <v>16.9888480591</v>
      </c>
      <c r="D1515" s="25">
        <v>82.2355597277334</v>
      </c>
    </row>
    <row r="1516">
      <c r="A1516" s="22" t="s">
        <v>9528</v>
      </c>
      <c r="B1516" s="22" t="s">
        <v>8071</v>
      </c>
      <c r="C1516" s="23">
        <v>-52.8395729333717</v>
      </c>
      <c r="D1516" s="23">
        <v>-70.2008508656903</v>
      </c>
    </row>
    <row r="1517">
      <c r="A1517" s="24" t="s">
        <v>9529</v>
      </c>
      <c r="B1517" s="24" t="s">
        <v>8087</v>
      </c>
      <c r="C1517" s="25">
        <v>51.252064866612</v>
      </c>
      <c r="D1517" s="25">
        <v>2.90765243875169</v>
      </c>
    </row>
    <row r="1518">
      <c r="A1518" s="22" t="s">
        <v>9530</v>
      </c>
      <c r="B1518" s="22" t="s">
        <v>8003</v>
      </c>
      <c r="C1518" s="23">
        <v>53.7140226225863</v>
      </c>
      <c r="D1518" s="23">
        <v>-113.207956381858</v>
      </c>
    </row>
    <row r="1519">
      <c r="A1519" s="24" t="s">
        <v>9531</v>
      </c>
      <c r="B1519" s="24" t="s">
        <v>7981</v>
      </c>
      <c r="C1519" s="25">
        <v>29.7942074112788</v>
      </c>
      <c r="D1519" s="25">
        <v>-92.5736165020838</v>
      </c>
    </row>
    <row r="1520">
      <c r="A1520" s="22" t="s">
        <v>9532</v>
      </c>
      <c r="B1520" s="22" t="s">
        <v>7991</v>
      </c>
      <c r="C1520" s="23">
        <v>53.8237939967852</v>
      </c>
      <c r="D1520" s="23">
        <v>-0.105366944817345</v>
      </c>
    </row>
    <row r="1521">
      <c r="A1521" s="24" t="s">
        <v>9533</v>
      </c>
      <c r="B1521" s="24" t="s">
        <v>7991</v>
      </c>
      <c r="C1521" s="25">
        <v>57.2334061565088</v>
      </c>
      <c r="D1521" s="25">
        <v>-2.34648167966755</v>
      </c>
    </row>
    <row r="1522">
      <c r="A1522" s="22" t="s">
        <v>9534</v>
      </c>
      <c r="B1522" s="22" t="s">
        <v>7991</v>
      </c>
      <c r="C1522" s="23">
        <v>57.2334061565088</v>
      </c>
      <c r="D1522" s="23">
        <v>-2.34648167966755</v>
      </c>
    </row>
    <row r="1523">
      <c r="A1523" s="24" t="s">
        <v>9535</v>
      </c>
      <c r="B1523" s="24" t="s">
        <v>8021</v>
      </c>
      <c r="C1523" s="25">
        <v>-38.1511736126328</v>
      </c>
      <c r="D1523" s="25">
        <v>146.789549978835</v>
      </c>
    </row>
    <row r="1524">
      <c r="A1524" s="22" t="s">
        <v>9536</v>
      </c>
      <c r="B1524" s="22" t="s">
        <v>8177</v>
      </c>
      <c r="C1524" s="23">
        <v>18.0775974108041</v>
      </c>
      <c r="D1524" s="23">
        <v>-15.9662688115245</v>
      </c>
    </row>
    <row r="1525">
      <c r="A1525" s="24" t="s">
        <v>9537</v>
      </c>
      <c r="B1525" s="24" t="s">
        <v>8177</v>
      </c>
      <c r="C1525" s="25">
        <v>18.0775974108041</v>
      </c>
      <c r="D1525" s="25">
        <v>-15.9662688115245</v>
      </c>
    </row>
    <row r="1526">
      <c r="A1526" s="22" t="s">
        <v>9538</v>
      </c>
      <c r="B1526" s="22" t="s">
        <v>8590</v>
      </c>
      <c r="C1526" s="23">
        <v>-29.2993956149261</v>
      </c>
      <c r="D1526" s="23">
        <v>-52.393027949611</v>
      </c>
    </row>
    <row r="1527">
      <c r="A1527" s="24" t="s">
        <v>9539</v>
      </c>
      <c r="B1527" s="24" t="s">
        <v>7971</v>
      </c>
      <c r="C1527" s="25">
        <v>62.476604963655</v>
      </c>
      <c r="D1527" s="25">
        <v>6.22118997199151</v>
      </c>
    </row>
    <row r="1528">
      <c r="A1528" s="22" t="s">
        <v>9540</v>
      </c>
      <c r="B1528" s="22" t="s">
        <v>7971</v>
      </c>
      <c r="C1528" s="23">
        <v>62.476604963655</v>
      </c>
      <c r="D1528" s="23">
        <v>6.22118997199151</v>
      </c>
    </row>
    <row r="1529">
      <c r="A1529" s="24" t="s">
        <v>9541</v>
      </c>
      <c r="B1529" s="24" t="s">
        <v>7987</v>
      </c>
      <c r="C1529" s="25">
        <v>53.1564853537341</v>
      </c>
      <c r="D1529" s="25">
        <v>8.69234048739408</v>
      </c>
    </row>
    <row r="1530">
      <c r="A1530" s="22" t="s">
        <v>9542</v>
      </c>
      <c r="B1530" s="22" t="s">
        <v>7977</v>
      </c>
      <c r="C1530" s="23">
        <v>42.5731400087339</v>
      </c>
      <c r="D1530" s="23">
        <v>-1.27783412802553</v>
      </c>
    </row>
    <row r="1531">
      <c r="A1531" s="24" t="s">
        <v>9543</v>
      </c>
      <c r="B1531" s="24" t="s">
        <v>7991</v>
      </c>
      <c r="C1531" s="25">
        <v>53.7688072228231</v>
      </c>
      <c r="D1531" s="25">
        <v>-0.326574707802377</v>
      </c>
    </row>
    <row r="1532">
      <c r="A1532" s="22" t="s">
        <v>9544</v>
      </c>
      <c r="B1532" s="22" t="s">
        <v>7991</v>
      </c>
      <c r="C1532" s="23">
        <v>57.1608917314843</v>
      </c>
      <c r="D1532" s="23">
        <v>-2.08086388378604</v>
      </c>
    </row>
    <row r="1533">
      <c r="A1533" s="24" t="s">
        <v>9545</v>
      </c>
      <c r="B1533" s="24" t="s">
        <v>8001</v>
      </c>
      <c r="C1533" s="25">
        <v>40.4707863802473</v>
      </c>
      <c r="D1533" s="25">
        <v>113.207589612722</v>
      </c>
    </row>
    <row r="1534">
      <c r="A1534" s="22" t="s">
        <v>9546</v>
      </c>
      <c r="B1534" s="22" t="s">
        <v>7987</v>
      </c>
      <c r="C1534" s="23">
        <v>51.1195374925335</v>
      </c>
      <c r="D1534" s="23">
        <v>12.5030656955765</v>
      </c>
    </row>
    <row r="1535">
      <c r="A1535" s="24" t="s">
        <v>9547</v>
      </c>
      <c r="B1535" s="24" t="s">
        <v>7987</v>
      </c>
      <c r="C1535" s="25">
        <v>51.1195374925335</v>
      </c>
      <c r="D1535" s="25">
        <v>12.5030656955765</v>
      </c>
    </row>
    <row r="1536">
      <c r="A1536" s="22" t="s">
        <v>9548</v>
      </c>
      <c r="B1536" s="22" t="s">
        <v>8047</v>
      </c>
      <c r="C1536" s="23">
        <v>37.2247389814287</v>
      </c>
      <c r="D1536" s="23">
        <v>15.1753949252129</v>
      </c>
    </row>
    <row r="1537">
      <c r="A1537" s="24" t="s">
        <v>9549</v>
      </c>
      <c r="B1537" s="24" t="s">
        <v>8785</v>
      </c>
      <c r="C1537" s="25">
        <v>29.6489099140896</v>
      </c>
      <c r="D1537" s="25">
        <v>32.3507303941584</v>
      </c>
    </row>
    <row r="1538">
      <c r="A1538" s="22" t="s">
        <v>9550</v>
      </c>
      <c r="B1538" s="22" t="s">
        <v>8003</v>
      </c>
      <c r="C1538" s="23">
        <v>48.5223958842751</v>
      </c>
      <c r="D1538" s="23">
        <v>-58.4347252755619</v>
      </c>
    </row>
    <row r="1539">
      <c r="A1539" s="24" t="s">
        <v>9551</v>
      </c>
      <c r="B1539" s="24" t="s">
        <v>7977</v>
      </c>
      <c r="C1539" s="25">
        <v>41.6181506379372</v>
      </c>
      <c r="D1539" s="25">
        <v>-4.81302460795548</v>
      </c>
    </row>
    <row r="1540">
      <c r="A1540" s="22" t="s">
        <v>9552</v>
      </c>
      <c r="B1540" s="22" t="s">
        <v>7977</v>
      </c>
      <c r="C1540" s="23">
        <v>38.7163108181324</v>
      </c>
      <c r="D1540" s="23">
        <v>-4.15795414622984</v>
      </c>
    </row>
    <row r="1541">
      <c r="A1541" s="24" t="s">
        <v>9553</v>
      </c>
      <c r="B1541" s="24" t="s">
        <v>9176</v>
      </c>
      <c r="C1541" s="25">
        <v>46.3263651107071</v>
      </c>
      <c r="D1541" s="25">
        <v>25.3606556820124</v>
      </c>
    </row>
    <row r="1542">
      <c r="A1542" s="22" t="s">
        <v>9554</v>
      </c>
      <c r="B1542" s="22" t="s">
        <v>7977</v>
      </c>
      <c r="C1542" s="23">
        <v>37.0528557893</v>
      </c>
      <c r="D1542" s="23">
        <v>-2.38994967817158</v>
      </c>
    </row>
    <row r="1543">
      <c r="A1543" s="24" t="s">
        <v>9555</v>
      </c>
      <c r="B1543" s="24" t="s">
        <v>8071</v>
      </c>
      <c r="C1543" s="25">
        <v>-52.2789852567838</v>
      </c>
      <c r="D1543" s="25">
        <v>-71.2794486451293</v>
      </c>
    </row>
    <row r="1544">
      <c r="A1544" s="22" t="s">
        <v>9556</v>
      </c>
      <c r="B1544" s="22" t="s">
        <v>7987</v>
      </c>
      <c r="C1544" s="23">
        <v>53.5695830004429</v>
      </c>
      <c r="D1544" s="23">
        <v>9.87014328409467</v>
      </c>
    </row>
    <row r="1545">
      <c r="A1545" s="24" t="s">
        <v>9557</v>
      </c>
      <c r="B1545" s="24" t="s">
        <v>7971</v>
      </c>
      <c r="C1545" s="25">
        <v>66.310371</v>
      </c>
      <c r="D1545" s="25">
        <v>14.169271</v>
      </c>
    </row>
    <row r="1546">
      <c r="A1546" s="22" t="s">
        <v>9558</v>
      </c>
      <c r="B1546" s="22" t="s">
        <v>8365</v>
      </c>
      <c r="C1546" s="23">
        <v>-34.0028212077119</v>
      </c>
      <c r="D1546" s="23">
        <v>24.7553618309595</v>
      </c>
    </row>
    <row r="1547">
      <c r="A1547" s="24" t="s">
        <v>9559</v>
      </c>
      <c r="B1547" s="24" t="s">
        <v>7981</v>
      </c>
      <c r="C1547" s="25">
        <v>29.7631481753487</v>
      </c>
      <c r="D1547" s="25">
        <v>-85.2328234890843</v>
      </c>
    </row>
    <row r="1548">
      <c r="A1548" s="22" t="s">
        <v>9560</v>
      </c>
      <c r="B1548" s="22" t="s">
        <v>7981</v>
      </c>
      <c r="C1548" s="23">
        <v>45.8738662505143</v>
      </c>
      <c r="D1548" s="23">
        <v>-96.7240235795632</v>
      </c>
    </row>
    <row r="1549">
      <c r="A1549" s="24" t="s">
        <v>9561</v>
      </c>
      <c r="B1549" s="24" t="s">
        <v>7987</v>
      </c>
      <c r="C1549" s="25">
        <v>53.3602460839282</v>
      </c>
      <c r="D1549" s="25">
        <v>7.21164166207105</v>
      </c>
    </row>
    <row r="1550">
      <c r="A1550" s="22" t="s">
        <v>9562</v>
      </c>
      <c r="B1550" s="22" t="s">
        <v>7994</v>
      </c>
      <c r="C1550" s="23">
        <v>55.8922890921463</v>
      </c>
      <c r="D1550" s="23">
        <v>8.47884034083438</v>
      </c>
    </row>
    <row r="1551">
      <c r="A1551" s="24" t="s">
        <v>9563</v>
      </c>
      <c r="B1551" s="24" t="s">
        <v>7981</v>
      </c>
      <c r="C1551" s="25">
        <v>34.7114329716142</v>
      </c>
      <c r="D1551" s="25">
        <v>-118.344687390685</v>
      </c>
    </row>
    <row r="1552">
      <c r="A1552" s="22" t="s">
        <v>9564</v>
      </c>
      <c r="B1552" s="22" t="s">
        <v>8021</v>
      </c>
      <c r="C1552" s="23">
        <v>-32.4657906406812</v>
      </c>
      <c r="D1552" s="23">
        <v>137.782015437897</v>
      </c>
    </row>
    <row r="1553">
      <c r="A1553" s="24" t="s">
        <v>9565</v>
      </c>
      <c r="B1553" s="24" t="s">
        <v>8021</v>
      </c>
      <c r="C1553" s="25">
        <v>-34.4502379010168</v>
      </c>
      <c r="D1553" s="25">
        <v>150.776679131108</v>
      </c>
    </row>
    <row r="1554">
      <c r="A1554" s="22" t="s">
        <v>9566</v>
      </c>
      <c r="B1554" s="22" t="s">
        <v>8365</v>
      </c>
      <c r="C1554" s="23">
        <v>-30.9537436306853</v>
      </c>
      <c r="D1554" s="23">
        <v>18.2868524492858</v>
      </c>
    </row>
    <row r="1555">
      <c r="A1555" s="24" t="s">
        <v>9567</v>
      </c>
      <c r="B1555" s="24" t="s">
        <v>8371</v>
      </c>
      <c r="C1555" s="25">
        <v>24.1458624955385</v>
      </c>
      <c r="D1555" s="25">
        <v>54.3257880185883</v>
      </c>
    </row>
    <row r="1556">
      <c r="A1556" s="22" t="s">
        <v>9568</v>
      </c>
      <c r="B1556" s="22" t="s">
        <v>7981</v>
      </c>
      <c r="C1556" s="23">
        <v>42.7364197285164</v>
      </c>
      <c r="D1556" s="23">
        <v>-107.598115561326</v>
      </c>
    </row>
    <row r="1557">
      <c r="A1557" s="24" t="s">
        <v>9569</v>
      </c>
      <c r="B1557" s="24" t="s">
        <v>9570</v>
      </c>
      <c r="C1557" s="25">
        <v>43.3129941226452</v>
      </c>
      <c r="D1557" s="25">
        <v>107.040545861841</v>
      </c>
    </row>
    <row r="1558">
      <c r="A1558" s="22" t="s">
        <v>9571</v>
      </c>
      <c r="B1558" s="22" t="s">
        <v>7981</v>
      </c>
      <c r="C1558" s="23">
        <v>30.728442543229</v>
      </c>
      <c r="D1558" s="23">
        <v>-88.585547230402</v>
      </c>
    </row>
    <row r="1559">
      <c r="A1559" s="24" t="s">
        <v>9572</v>
      </c>
      <c r="B1559" s="24" t="s">
        <v>8001</v>
      </c>
      <c r="C1559" s="25">
        <v>43.8012208463047</v>
      </c>
      <c r="D1559" s="25">
        <v>122.251264320879</v>
      </c>
    </row>
    <row r="1560">
      <c r="A1560" s="22" t="s">
        <v>9573</v>
      </c>
      <c r="B1560" s="22" t="s">
        <v>8600</v>
      </c>
      <c r="C1560" s="23">
        <v>19.439911375837</v>
      </c>
      <c r="D1560" s="23">
        <v>-90.4423027391538</v>
      </c>
    </row>
    <row r="1561">
      <c r="A1561" s="24" t="s">
        <v>9574</v>
      </c>
      <c r="B1561" s="24" t="s">
        <v>8600</v>
      </c>
      <c r="C1561" s="25">
        <v>19.439911375837</v>
      </c>
      <c r="D1561" s="25">
        <v>-90.4423027391538</v>
      </c>
    </row>
    <row r="1562">
      <c r="A1562" s="22" t="s">
        <v>9575</v>
      </c>
      <c r="B1562" s="22" t="s">
        <v>7983</v>
      </c>
      <c r="C1562" s="23">
        <v>37.7514678689435</v>
      </c>
      <c r="D1562" s="23">
        <v>140.493050925712</v>
      </c>
    </row>
    <row r="1563">
      <c r="A1563" s="24" t="s">
        <v>9576</v>
      </c>
      <c r="B1563" s="24" t="s">
        <v>8001</v>
      </c>
      <c r="C1563" s="25">
        <v>40.4654958582226</v>
      </c>
      <c r="D1563" s="25">
        <v>113.222221614873</v>
      </c>
    </row>
    <row r="1564">
      <c r="A1564" s="22" t="s">
        <v>9577</v>
      </c>
      <c r="B1564" s="22" t="s">
        <v>7987</v>
      </c>
      <c r="C1564" s="23">
        <v>48.7937151071925</v>
      </c>
      <c r="D1564" s="23">
        <v>9.80461616393821</v>
      </c>
    </row>
    <row r="1565">
      <c r="A1565" s="24" t="s">
        <v>9578</v>
      </c>
      <c r="B1565" s="24" t="s">
        <v>8047</v>
      </c>
      <c r="C1565" s="25">
        <v>40.7914594109269</v>
      </c>
      <c r="D1565" s="25">
        <v>8.27023838834964</v>
      </c>
    </row>
    <row r="1566">
      <c r="A1566" s="22" t="s">
        <v>9579</v>
      </c>
      <c r="B1566" s="22" t="s">
        <v>8047</v>
      </c>
      <c r="C1566" s="23">
        <v>40.7914594109269</v>
      </c>
      <c r="D1566" s="23">
        <v>8.27023838834964</v>
      </c>
    </row>
    <row r="1567">
      <c r="A1567" s="24" t="s">
        <v>9580</v>
      </c>
      <c r="B1567" s="24" t="s">
        <v>7974</v>
      </c>
      <c r="C1567" s="25">
        <v>55.7083499915144</v>
      </c>
      <c r="D1567" s="25">
        <v>16.043518293038</v>
      </c>
    </row>
    <row r="1568">
      <c r="A1568" s="22" t="s">
        <v>9581</v>
      </c>
      <c r="B1568" s="22" t="s">
        <v>7977</v>
      </c>
      <c r="C1568" s="23">
        <v>41.6833008554961</v>
      </c>
      <c r="D1568" s="23">
        <v>-0.922446717097776</v>
      </c>
    </row>
    <row r="1569">
      <c r="A1569" s="24" t="s">
        <v>9582</v>
      </c>
      <c r="B1569" s="24" t="s">
        <v>7977</v>
      </c>
      <c r="C1569" s="25">
        <v>41.6833008554961</v>
      </c>
      <c r="D1569" s="25">
        <v>0.0</v>
      </c>
    </row>
    <row r="1570">
      <c r="A1570" s="22" t="s">
        <v>9583</v>
      </c>
      <c r="B1570" s="22" t="s">
        <v>7977</v>
      </c>
      <c r="C1570" s="23">
        <v>36.1851402237509</v>
      </c>
      <c r="D1570" s="23">
        <v>-5.49260916811512</v>
      </c>
    </row>
    <row r="1571">
      <c r="A1571" s="24" t="s">
        <v>9584</v>
      </c>
      <c r="B1571" s="24" t="s">
        <v>7977</v>
      </c>
      <c r="C1571" s="25">
        <v>36.1851402237509</v>
      </c>
      <c r="D1571" s="25">
        <v>-5.49260916811512</v>
      </c>
    </row>
    <row r="1572">
      <c r="A1572" s="22" t="s">
        <v>9585</v>
      </c>
      <c r="B1572" s="22" t="s">
        <v>8702</v>
      </c>
      <c r="C1572" s="23">
        <v>53.699652055567</v>
      </c>
      <c r="D1572" s="23">
        <v>-7.72837916063634</v>
      </c>
    </row>
    <row r="1573">
      <c r="A1573" s="24" t="s">
        <v>9586</v>
      </c>
      <c r="B1573" s="24" t="s">
        <v>8003</v>
      </c>
      <c r="C1573" s="25">
        <v>47.8120850515615</v>
      </c>
      <c r="D1573" s="25">
        <v>-53.9119847557629</v>
      </c>
    </row>
    <row r="1574">
      <c r="A1574" s="22" t="s">
        <v>9587</v>
      </c>
      <c r="B1574" s="22" t="s">
        <v>7971</v>
      </c>
      <c r="C1574" s="23">
        <v>61.7685791880478</v>
      </c>
      <c r="D1574" s="23">
        <v>5.29727894668468</v>
      </c>
    </row>
    <row r="1575">
      <c r="A1575" s="24" t="s">
        <v>9588</v>
      </c>
      <c r="B1575" s="24" t="s">
        <v>7967</v>
      </c>
      <c r="C1575" s="25">
        <v>51.958861608754</v>
      </c>
      <c r="D1575" s="25">
        <v>4.05634190554556</v>
      </c>
    </row>
    <row r="1576">
      <c r="A1576" s="22" t="s">
        <v>9589</v>
      </c>
      <c r="B1576" s="22" t="s">
        <v>8737</v>
      </c>
      <c r="C1576" s="23">
        <v>10.1559214055513</v>
      </c>
      <c r="D1576" s="23">
        <v>-73.9874436411484</v>
      </c>
    </row>
    <row r="1577">
      <c r="A1577" s="24" t="s">
        <v>9590</v>
      </c>
      <c r="B1577" s="24" t="s">
        <v>7983</v>
      </c>
      <c r="C1577" s="25">
        <v>35.3663187648692</v>
      </c>
      <c r="D1577" s="25">
        <v>136.859727407587</v>
      </c>
    </row>
    <row r="1578">
      <c r="A1578" s="22" t="s">
        <v>9591</v>
      </c>
      <c r="B1578" s="22" t="s">
        <v>7983</v>
      </c>
      <c r="C1578" s="23">
        <v>35.3663187648692</v>
      </c>
      <c r="D1578" s="23">
        <v>136.859727407587</v>
      </c>
    </row>
    <row r="1579">
      <c r="A1579" s="24" t="s">
        <v>9592</v>
      </c>
      <c r="B1579" s="24" t="s">
        <v>7981</v>
      </c>
      <c r="C1579" s="25">
        <v>37.7566750562146</v>
      </c>
      <c r="D1579" s="25">
        <v>-82.1670745067602</v>
      </c>
    </row>
    <row r="1580">
      <c r="A1580" s="22" t="s">
        <v>9593</v>
      </c>
      <c r="B1580" s="22" t="s">
        <v>8713</v>
      </c>
      <c r="C1580" s="23">
        <v>-16.4091531531236</v>
      </c>
      <c r="D1580" s="23">
        <v>-71.5347211661349</v>
      </c>
    </row>
    <row r="1581">
      <c r="A1581" s="24" t="s">
        <v>9594</v>
      </c>
      <c r="B1581" s="24" t="s">
        <v>8138</v>
      </c>
      <c r="C1581" s="25">
        <v>-51.0322502875594</v>
      </c>
      <c r="D1581" s="25">
        <v>-69.4568767436419</v>
      </c>
    </row>
    <row r="1582">
      <c r="A1582" s="22" t="s">
        <v>9595</v>
      </c>
      <c r="B1582" s="22" t="s">
        <v>8003</v>
      </c>
      <c r="C1582" s="23">
        <v>45.583347</v>
      </c>
      <c r="D1582" s="23">
        <v>-61.339879</v>
      </c>
    </row>
    <row r="1583">
      <c r="A1583" s="24" t="s">
        <v>9596</v>
      </c>
      <c r="B1583" s="24" t="s">
        <v>7977</v>
      </c>
      <c r="C1583" s="25">
        <v>38.9992367889187</v>
      </c>
      <c r="D1583" s="25">
        <v>-1.8554395584503</v>
      </c>
    </row>
    <row r="1584">
      <c r="A1584" s="22" t="s">
        <v>9597</v>
      </c>
      <c r="B1584" s="22" t="s">
        <v>7977</v>
      </c>
      <c r="C1584" s="23">
        <v>38.9992367889187</v>
      </c>
      <c r="D1584" s="23">
        <v>-1.8554395584503</v>
      </c>
    </row>
    <row r="1585">
      <c r="A1585" s="24" t="s">
        <v>9598</v>
      </c>
      <c r="B1585" s="24" t="s">
        <v>8647</v>
      </c>
      <c r="C1585" s="25">
        <v>55.1347566593577</v>
      </c>
      <c r="D1585" s="25">
        <v>21.9061317575029</v>
      </c>
    </row>
    <row r="1586">
      <c r="A1586" s="22" t="s">
        <v>9599</v>
      </c>
      <c r="B1586" s="22" t="s">
        <v>7981</v>
      </c>
      <c r="C1586" s="23">
        <v>36.2413289997659</v>
      </c>
      <c r="D1586" s="23">
        <v>-95.6814020589108</v>
      </c>
    </row>
    <row r="1587">
      <c r="A1587" s="24" t="s">
        <v>9600</v>
      </c>
      <c r="B1587" s="24" t="s">
        <v>9601</v>
      </c>
      <c r="C1587" s="25">
        <v>15.563585209942</v>
      </c>
      <c r="D1587" s="25">
        <v>-61.4555530805733</v>
      </c>
    </row>
    <row r="1588">
      <c r="A1588" s="22" t="s">
        <v>9602</v>
      </c>
      <c r="B1588" s="22" t="s">
        <v>7977</v>
      </c>
      <c r="C1588" s="23">
        <v>38.7163108181324</v>
      </c>
      <c r="D1588" s="23">
        <v>-4.15795414622984</v>
      </c>
    </row>
    <row r="1589">
      <c r="A1589" s="24" t="s">
        <v>9603</v>
      </c>
      <c r="B1589" s="24" t="s">
        <v>7987</v>
      </c>
      <c r="C1589" s="25">
        <v>0.0</v>
      </c>
      <c r="D1589" s="25">
        <v>0.0</v>
      </c>
    </row>
    <row r="1590">
      <c r="A1590" s="22" t="s">
        <v>9604</v>
      </c>
      <c r="B1590" s="22" t="s">
        <v>8071</v>
      </c>
      <c r="C1590" s="23">
        <v>-26.7499987846264</v>
      </c>
      <c r="D1590" s="23">
        <v>-70.5545608856544</v>
      </c>
    </row>
    <row r="1591">
      <c r="A1591" s="24" t="s">
        <v>9605</v>
      </c>
      <c r="B1591" s="24" t="s">
        <v>8011</v>
      </c>
      <c r="C1591" s="25">
        <v>47.2169106942013</v>
      </c>
      <c r="D1591" s="25">
        <v>-1.55280229670032</v>
      </c>
    </row>
    <row r="1592">
      <c r="A1592" s="22" t="s">
        <v>9606</v>
      </c>
      <c r="B1592" s="22" t="s">
        <v>8108</v>
      </c>
      <c r="C1592" s="23">
        <v>12.9759638400835</v>
      </c>
      <c r="D1592" s="23">
        <v>77.5348021587731</v>
      </c>
    </row>
    <row r="1593">
      <c r="A1593" s="24" t="s">
        <v>9607</v>
      </c>
      <c r="B1593" s="24" t="s">
        <v>7983</v>
      </c>
      <c r="C1593" s="25">
        <v>34.9791318472056</v>
      </c>
      <c r="D1593" s="25">
        <v>136.84508777326</v>
      </c>
    </row>
    <row r="1594">
      <c r="A1594" s="22" t="s">
        <v>9608</v>
      </c>
      <c r="B1594" s="22" t="s">
        <v>8003</v>
      </c>
      <c r="C1594" s="23">
        <v>47.2937646032663</v>
      </c>
      <c r="D1594" s="23">
        <v>-53.9742061399226</v>
      </c>
    </row>
    <row r="1595">
      <c r="A1595" s="24" t="s">
        <v>9609</v>
      </c>
      <c r="B1595" s="24" t="s">
        <v>8590</v>
      </c>
      <c r="C1595" s="25">
        <v>-7.68217376662555</v>
      </c>
      <c r="D1595" s="25">
        <v>-42.5222369705834</v>
      </c>
    </row>
    <row r="1596">
      <c r="A1596" s="22" t="s">
        <v>9610</v>
      </c>
      <c r="B1596" s="22" t="s">
        <v>8590</v>
      </c>
      <c r="C1596" s="23">
        <v>-7.68217376662555</v>
      </c>
      <c r="D1596" s="23">
        <v>-42.5222369705834</v>
      </c>
    </row>
    <row r="1597">
      <c r="A1597" s="24" t="s">
        <v>9611</v>
      </c>
      <c r="B1597" s="24" t="s">
        <v>7974</v>
      </c>
      <c r="C1597" s="25">
        <v>59.5124292886059</v>
      </c>
      <c r="D1597" s="25">
        <v>15.9947878967248</v>
      </c>
    </row>
    <row r="1598">
      <c r="A1598" s="22" t="s">
        <v>9612</v>
      </c>
      <c r="B1598" s="22" t="s">
        <v>8003</v>
      </c>
      <c r="C1598" s="23">
        <v>46.3504010911844</v>
      </c>
      <c r="D1598" s="23">
        <v>-63.4115572100728</v>
      </c>
    </row>
    <row r="1599">
      <c r="A1599" s="24" t="s">
        <v>9613</v>
      </c>
      <c r="B1599" s="24" t="s">
        <v>7967</v>
      </c>
      <c r="C1599" s="25">
        <v>51.6918438028077</v>
      </c>
      <c r="D1599" s="25">
        <v>4.20952203529951</v>
      </c>
    </row>
    <row r="1600">
      <c r="A1600" s="22" t="s">
        <v>9614</v>
      </c>
      <c r="B1600" s="22" t="s">
        <v>7987</v>
      </c>
      <c r="C1600" s="23">
        <v>52.2687162354093</v>
      </c>
      <c r="D1600" s="23">
        <v>10.5100176489066</v>
      </c>
    </row>
    <row r="1601">
      <c r="A1601" s="24" t="s">
        <v>9615</v>
      </c>
      <c r="B1601" s="24" t="s">
        <v>7977</v>
      </c>
      <c r="C1601" s="25">
        <v>41.1856748098436</v>
      </c>
      <c r="D1601" s="25">
        <v>1.21743273719217</v>
      </c>
    </row>
    <row r="1602">
      <c r="A1602" s="22" t="s">
        <v>9616</v>
      </c>
      <c r="B1602" s="22" t="s">
        <v>7977</v>
      </c>
      <c r="C1602" s="23">
        <v>43.1577637857109</v>
      </c>
      <c r="D1602" s="23">
        <v>-8.00932152480751</v>
      </c>
    </row>
    <row r="1603">
      <c r="A1603" s="24" t="s">
        <v>9617</v>
      </c>
      <c r="B1603" s="24" t="s">
        <v>8008</v>
      </c>
      <c r="C1603" s="25">
        <v>59.9029347164406</v>
      </c>
      <c r="D1603" s="25">
        <v>24.5095813357372</v>
      </c>
    </row>
    <row r="1604">
      <c r="A1604" s="22" t="s">
        <v>9618</v>
      </c>
      <c r="B1604" s="22" t="s">
        <v>7977</v>
      </c>
      <c r="C1604" s="23">
        <v>38.6760226741535</v>
      </c>
      <c r="D1604" s="23">
        <v>-4.05777364654716</v>
      </c>
    </row>
    <row r="1605">
      <c r="A1605" s="24" t="s">
        <v>9619</v>
      </c>
      <c r="B1605" s="24" t="s">
        <v>8021</v>
      </c>
      <c r="C1605" s="25">
        <v>-37.9136751465855</v>
      </c>
      <c r="D1605" s="25">
        <v>145.448169950393</v>
      </c>
    </row>
    <row r="1606">
      <c r="A1606" s="22" t="s">
        <v>9620</v>
      </c>
      <c r="B1606" s="22" t="s">
        <v>7991</v>
      </c>
      <c r="C1606" s="23">
        <v>51.4311670747446</v>
      </c>
      <c r="D1606" s="23">
        <v>0.328778154967668</v>
      </c>
    </row>
    <row r="1607">
      <c r="A1607" s="24" t="s">
        <v>9621</v>
      </c>
      <c r="B1607" s="24" t="s">
        <v>7977</v>
      </c>
      <c r="C1607" s="25">
        <v>40.3412480339253</v>
      </c>
      <c r="D1607" s="25">
        <v>-1.12173587383863</v>
      </c>
    </row>
    <row r="1608">
      <c r="A1608" s="22" t="s">
        <v>9622</v>
      </c>
      <c r="B1608" s="22" t="s">
        <v>7977</v>
      </c>
      <c r="C1608" s="23">
        <v>43.3605536312833</v>
      </c>
      <c r="D1608" s="23">
        <v>-8.49002371860196</v>
      </c>
    </row>
    <row r="1609">
      <c r="A1609" s="24" t="s">
        <v>9623</v>
      </c>
      <c r="B1609" s="24" t="s">
        <v>7977</v>
      </c>
      <c r="C1609" s="25">
        <v>41.6523967045885</v>
      </c>
      <c r="D1609" s="25">
        <v>-0.903048983772471</v>
      </c>
    </row>
    <row r="1610">
      <c r="A1610" s="22" t="s">
        <v>9624</v>
      </c>
      <c r="B1610" s="22" t="s">
        <v>7981</v>
      </c>
      <c r="C1610" s="23">
        <v>46.9552772152261</v>
      </c>
      <c r="D1610" s="23">
        <v>-123.841915417813</v>
      </c>
    </row>
    <row r="1611">
      <c r="A1611" s="24" t="s">
        <v>9625</v>
      </c>
      <c r="B1611" s="24" t="s">
        <v>7987</v>
      </c>
      <c r="C1611" s="25">
        <v>49.5728858476376</v>
      </c>
      <c r="D1611" s="25">
        <v>10.8761673862823</v>
      </c>
    </row>
    <row r="1612">
      <c r="A1612" s="22" t="s">
        <v>9626</v>
      </c>
      <c r="B1612" s="22" t="s">
        <v>7981</v>
      </c>
      <c r="C1612" s="23">
        <v>34.7906481479028</v>
      </c>
      <c r="D1612" s="23">
        <v>-82.8551714899322</v>
      </c>
    </row>
    <row r="1613">
      <c r="A1613" s="24" t="s">
        <v>9627</v>
      </c>
      <c r="B1613" s="24" t="s">
        <v>7977</v>
      </c>
      <c r="C1613" s="25">
        <v>39.4178380997624</v>
      </c>
      <c r="D1613" s="25">
        <v>-3.21761548796866</v>
      </c>
    </row>
    <row r="1614">
      <c r="A1614" s="22" t="s">
        <v>9628</v>
      </c>
      <c r="B1614" s="22" t="s">
        <v>8023</v>
      </c>
      <c r="C1614" s="23">
        <v>50.2552876286798</v>
      </c>
      <c r="D1614" s="23">
        <v>19.0350018398115</v>
      </c>
    </row>
    <row r="1615">
      <c r="A1615" s="24" t="s">
        <v>9629</v>
      </c>
      <c r="B1615" s="24" t="s">
        <v>7991</v>
      </c>
      <c r="C1615" s="25">
        <v>53.7981119410234</v>
      </c>
      <c r="D1615" s="25">
        <v>-1.79487248021921</v>
      </c>
    </row>
    <row r="1616">
      <c r="A1616" s="22" t="s">
        <v>9630</v>
      </c>
      <c r="B1616" s="22" t="s">
        <v>7991</v>
      </c>
      <c r="C1616" s="23">
        <v>57.6821564490991</v>
      </c>
      <c r="D1616" s="23">
        <v>-4.03368441645542</v>
      </c>
    </row>
    <row r="1617">
      <c r="A1617" s="24" t="s">
        <v>9631</v>
      </c>
      <c r="B1617" s="24" t="s">
        <v>7991</v>
      </c>
      <c r="C1617" s="25">
        <v>53.2263306124098</v>
      </c>
      <c r="D1617" s="25">
        <v>-0.804093436344976</v>
      </c>
    </row>
    <row r="1618">
      <c r="A1618" s="22" t="s">
        <v>9632</v>
      </c>
      <c r="B1618" s="22" t="s">
        <v>7991</v>
      </c>
      <c r="C1618" s="23">
        <v>51.5538880842306</v>
      </c>
      <c r="D1618" s="23">
        <v>-3.57337808442771</v>
      </c>
    </row>
    <row r="1619">
      <c r="A1619" s="24" t="s">
        <v>9633</v>
      </c>
      <c r="B1619" s="24" t="s">
        <v>7991</v>
      </c>
      <c r="C1619" s="25">
        <v>54.0427694797672</v>
      </c>
      <c r="D1619" s="25">
        <v>-2.66632948079446</v>
      </c>
    </row>
    <row r="1620">
      <c r="A1620" s="22" t="s">
        <v>9634</v>
      </c>
      <c r="B1620" s="22" t="s">
        <v>7991</v>
      </c>
      <c r="C1620" s="23">
        <v>51.7138210675648</v>
      </c>
      <c r="D1620" s="23">
        <v>-5.03503315892466</v>
      </c>
    </row>
    <row r="1621">
      <c r="A1621" s="24" t="s">
        <v>9635</v>
      </c>
      <c r="B1621" s="24" t="s">
        <v>7983</v>
      </c>
      <c r="C1621" s="25">
        <v>35.5817868777354</v>
      </c>
      <c r="D1621" s="25">
        <v>138.629752182902</v>
      </c>
    </row>
    <row r="1622">
      <c r="A1622" s="22" t="s">
        <v>9636</v>
      </c>
      <c r="B1622" s="22" t="s">
        <v>8539</v>
      </c>
      <c r="C1622" s="23">
        <v>0.0</v>
      </c>
      <c r="D1622" s="23">
        <v>0.0</v>
      </c>
    </row>
    <row r="1623">
      <c r="A1623" s="24" t="s">
        <v>9637</v>
      </c>
      <c r="B1623" s="24" t="s">
        <v>8562</v>
      </c>
      <c r="C1623" s="25">
        <v>31.9150802186704</v>
      </c>
      <c r="D1623" s="25">
        <v>-6.13423629771616</v>
      </c>
    </row>
    <row r="1624">
      <c r="A1624" s="22" t="s">
        <v>9638</v>
      </c>
      <c r="B1624" s="22" t="s">
        <v>8047</v>
      </c>
      <c r="C1624" s="23">
        <v>41.1799207444629</v>
      </c>
      <c r="D1624" s="23">
        <v>16.6561080795936</v>
      </c>
    </row>
    <row r="1625">
      <c r="A1625" s="24" t="s">
        <v>9585</v>
      </c>
      <c r="B1625" s="24" t="s">
        <v>8008</v>
      </c>
      <c r="C1625" s="25">
        <v>58.6949228160264</v>
      </c>
      <c r="D1625" s="25">
        <v>25.5570394596788</v>
      </c>
    </row>
    <row r="1626">
      <c r="A1626" s="22" t="s">
        <v>9639</v>
      </c>
      <c r="B1626" s="22" t="s">
        <v>8011</v>
      </c>
      <c r="C1626" s="23">
        <v>48.5895522039812</v>
      </c>
      <c r="D1626" s="23">
        <v>2.45483706966318</v>
      </c>
    </row>
    <row r="1627">
      <c r="A1627" s="24" t="s">
        <v>9640</v>
      </c>
      <c r="B1627" s="24" t="s">
        <v>8539</v>
      </c>
      <c r="C1627" s="25">
        <v>37.5582294548829</v>
      </c>
      <c r="D1627" s="25">
        <v>127.008457909337</v>
      </c>
    </row>
    <row r="1628">
      <c r="A1628" s="22" t="s">
        <v>9641</v>
      </c>
      <c r="B1628" s="22" t="s">
        <v>7977</v>
      </c>
      <c r="C1628" s="23">
        <v>42.9383655901609</v>
      </c>
      <c r="D1628" s="23">
        <v>-1.71222141521622</v>
      </c>
    </row>
    <row r="1629">
      <c r="A1629" s="24" t="s">
        <v>9642</v>
      </c>
      <c r="B1629" s="24" t="s">
        <v>8702</v>
      </c>
      <c r="C1629" s="25">
        <v>53.8245248086156</v>
      </c>
      <c r="D1629" s="25">
        <v>-6.42897393744687</v>
      </c>
    </row>
    <row r="1630">
      <c r="A1630" s="22" t="s">
        <v>9643</v>
      </c>
      <c r="B1630" s="22" t="s">
        <v>8702</v>
      </c>
      <c r="C1630" s="23">
        <v>53.2966089746484</v>
      </c>
      <c r="D1630" s="23">
        <v>-7.22096104349862</v>
      </c>
    </row>
    <row r="1631">
      <c r="A1631" s="24" t="s">
        <v>9644</v>
      </c>
      <c r="B1631" s="24" t="s">
        <v>8702</v>
      </c>
      <c r="C1631" s="25">
        <v>53.9957672401246</v>
      </c>
      <c r="D1631" s="25">
        <v>-9.52015255901722</v>
      </c>
    </row>
    <row r="1632">
      <c r="A1632" s="22" t="s">
        <v>9645</v>
      </c>
      <c r="B1632" s="22" t="s">
        <v>8702</v>
      </c>
      <c r="C1632" s="23">
        <v>52.6791165999513</v>
      </c>
      <c r="D1632" s="23">
        <v>-9.06425607643631</v>
      </c>
    </row>
    <row r="1633">
      <c r="A1633" s="24" t="s">
        <v>9646</v>
      </c>
      <c r="B1633" s="24" t="s">
        <v>8702</v>
      </c>
      <c r="C1633" s="25">
        <v>51.8377185090546</v>
      </c>
      <c r="D1633" s="25">
        <v>-8.20522034086703</v>
      </c>
    </row>
    <row r="1634">
      <c r="A1634" s="22" t="s">
        <v>9647</v>
      </c>
      <c r="B1634" s="22" t="s">
        <v>7987</v>
      </c>
      <c r="C1634" s="23">
        <v>51.45565445873</v>
      </c>
      <c r="D1634" s="23">
        <v>6.76888638813079</v>
      </c>
    </row>
    <row r="1635">
      <c r="A1635" s="24" t="s">
        <v>9648</v>
      </c>
      <c r="B1635" s="24" t="s">
        <v>9649</v>
      </c>
      <c r="C1635" s="25">
        <v>29.4906412867415</v>
      </c>
      <c r="D1635" s="25">
        <v>34.988208201008</v>
      </c>
    </row>
    <row r="1636">
      <c r="A1636" s="22" t="s">
        <v>9650</v>
      </c>
      <c r="B1636" s="22" t="s">
        <v>7977</v>
      </c>
      <c r="C1636" s="23">
        <v>38.6009238839647</v>
      </c>
      <c r="D1636" s="23">
        <v>-3.85821545642448</v>
      </c>
    </row>
    <row r="1637">
      <c r="A1637" s="24" t="s">
        <v>9651</v>
      </c>
      <c r="B1637" s="24" t="s">
        <v>8021</v>
      </c>
      <c r="C1637" s="25">
        <v>-26.7463521256063</v>
      </c>
      <c r="D1637" s="25">
        <v>150.625441390265</v>
      </c>
    </row>
    <row r="1638">
      <c r="A1638" s="22" t="s">
        <v>9652</v>
      </c>
      <c r="B1638" s="22" t="s">
        <v>8021</v>
      </c>
      <c r="C1638" s="23">
        <v>-27.2631292935574</v>
      </c>
      <c r="D1638" s="23">
        <v>150.942306277066</v>
      </c>
    </row>
    <row r="1639">
      <c r="A1639" s="24" t="s">
        <v>9653</v>
      </c>
      <c r="B1639" s="24" t="s">
        <v>8021</v>
      </c>
      <c r="C1639" s="25">
        <v>-27.2631292935574</v>
      </c>
      <c r="D1639" s="25">
        <v>150.942306277066</v>
      </c>
    </row>
    <row r="1640">
      <c r="A1640" s="22" t="s">
        <v>9654</v>
      </c>
      <c r="B1640" s="22" t="s">
        <v>8001</v>
      </c>
      <c r="C1640" s="23">
        <v>39.6217064512335</v>
      </c>
      <c r="D1640" s="23">
        <v>109.728046667016</v>
      </c>
    </row>
    <row r="1641">
      <c r="A1641" s="24" t="s">
        <v>9655</v>
      </c>
      <c r="B1641" s="24" t="s">
        <v>7981</v>
      </c>
      <c r="C1641" s="25">
        <v>47.1443618862552</v>
      </c>
      <c r="D1641" s="25">
        <v>-119.244050681904</v>
      </c>
    </row>
    <row r="1642">
      <c r="A1642" s="22" t="s">
        <v>9656</v>
      </c>
      <c r="B1642" s="22" t="s">
        <v>8003</v>
      </c>
      <c r="C1642" s="23">
        <v>48.5223958842751</v>
      </c>
      <c r="D1642" s="23">
        <v>-58.4347252755619</v>
      </c>
    </row>
    <row r="1643">
      <c r="A1643" s="24" t="s">
        <v>9657</v>
      </c>
      <c r="B1643" s="24" t="s">
        <v>8001</v>
      </c>
      <c r="C1643" s="25">
        <v>31.2196846645682</v>
      </c>
      <c r="D1643" s="25">
        <v>121.444600993447</v>
      </c>
    </row>
    <row r="1644">
      <c r="A1644" s="22" t="s">
        <v>9658</v>
      </c>
      <c r="B1644" s="22" t="s">
        <v>8087</v>
      </c>
      <c r="C1644" s="23">
        <v>51.1721815456294</v>
      </c>
      <c r="D1644" s="23">
        <v>3.86683866039317</v>
      </c>
    </row>
    <row r="1645">
      <c r="A1645" s="24" t="s">
        <v>9659</v>
      </c>
      <c r="B1645" s="24" t="s">
        <v>8011</v>
      </c>
      <c r="C1645" s="25">
        <v>50.319258</v>
      </c>
      <c r="D1645" s="25">
        <v>3.385513</v>
      </c>
    </row>
    <row r="1646">
      <c r="A1646" s="22" t="s">
        <v>9660</v>
      </c>
      <c r="B1646" s="22" t="s">
        <v>8011</v>
      </c>
      <c r="C1646" s="23">
        <v>50.319258</v>
      </c>
      <c r="D1646" s="23">
        <v>3.385513</v>
      </c>
    </row>
    <row r="1647">
      <c r="A1647" s="24" t="s">
        <v>9661</v>
      </c>
      <c r="B1647" s="24" t="s">
        <v>8011</v>
      </c>
      <c r="C1647" s="25">
        <v>49.158542</v>
      </c>
      <c r="D1647" s="25">
        <v>6.707243</v>
      </c>
    </row>
    <row r="1648">
      <c r="A1648" s="22" t="s">
        <v>9662</v>
      </c>
      <c r="B1648" s="22" t="s">
        <v>8011</v>
      </c>
      <c r="C1648" s="23">
        <v>46.070767</v>
      </c>
      <c r="D1648" s="23">
        <v>6.426499</v>
      </c>
    </row>
    <row r="1649">
      <c r="A1649" s="24" t="s">
        <v>9663</v>
      </c>
      <c r="B1649" s="24" t="s">
        <v>8011</v>
      </c>
      <c r="C1649" s="25">
        <v>48.707409</v>
      </c>
      <c r="D1649" s="25">
        <v>2.296813</v>
      </c>
    </row>
    <row r="1650">
      <c r="A1650" s="22" t="s">
        <v>9664</v>
      </c>
      <c r="B1650" s="22" t="s">
        <v>7981</v>
      </c>
      <c r="C1650" s="23">
        <v>34.611987429994</v>
      </c>
      <c r="D1650" s="23">
        <v>-117.543812578548</v>
      </c>
    </row>
    <row r="1651">
      <c r="A1651" s="24" t="s">
        <v>9665</v>
      </c>
      <c r="B1651" s="24" t="s">
        <v>8785</v>
      </c>
      <c r="C1651" s="25">
        <v>29.6931824389789</v>
      </c>
      <c r="D1651" s="25">
        <v>32.3166154140095</v>
      </c>
    </row>
    <row r="1652">
      <c r="A1652" s="22" t="s">
        <v>9666</v>
      </c>
      <c r="B1652" s="22" t="s">
        <v>8785</v>
      </c>
      <c r="C1652" s="23">
        <v>30.4826815874054</v>
      </c>
      <c r="D1652" s="23">
        <v>32.4191012799522</v>
      </c>
    </row>
    <row r="1653">
      <c r="A1653" s="24" t="s">
        <v>9667</v>
      </c>
      <c r="B1653" s="24" t="s">
        <v>8785</v>
      </c>
      <c r="C1653" s="25">
        <v>30.4826815874054</v>
      </c>
      <c r="D1653" s="25">
        <v>32.4191012799522</v>
      </c>
    </row>
    <row r="1654">
      <c r="A1654" s="22" t="s">
        <v>9668</v>
      </c>
      <c r="B1654" s="22" t="s">
        <v>8873</v>
      </c>
      <c r="C1654" s="23">
        <v>-22.4897205431696</v>
      </c>
      <c r="D1654" s="23">
        <v>16.9544270733683</v>
      </c>
    </row>
    <row r="1655">
      <c r="A1655" s="24" t="s">
        <v>9669</v>
      </c>
      <c r="B1655" s="24" t="s">
        <v>8873</v>
      </c>
      <c r="C1655" s="25">
        <v>-22.4897205431696</v>
      </c>
      <c r="D1655" s="25">
        <v>16.9544270733683</v>
      </c>
    </row>
    <row r="1656">
      <c r="A1656" s="22" t="s">
        <v>9670</v>
      </c>
      <c r="B1656" s="22" t="s">
        <v>8873</v>
      </c>
      <c r="C1656" s="23">
        <v>-22.4897205431696</v>
      </c>
      <c r="D1656" s="23">
        <v>16.9544270733683</v>
      </c>
    </row>
    <row r="1657">
      <c r="A1657" s="24" t="s">
        <v>9671</v>
      </c>
      <c r="B1657" s="24" t="s">
        <v>8873</v>
      </c>
      <c r="C1657" s="25">
        <v>-22.4897205431696</v>
      </c>
      <c r="D1657" s="25">
        <v>16.9544270733683</v>
      </c>
    </row>
    <row r="1658">
      <c r="A1658" s="22" t="s">
        <v>9672</v>
      </c>
      <c r="B1658" s="22" t="s">
        <v>8011</v>
      </c>
      <c r="C1658" s="23">
        <v>51.0171748829956</v>
      </c>
      <c r="D1658" s="23">
        <v>2.41903116280467</v>
      </c>
    </row>
    <row r="1659">
      <c r="A1659" s="24" t="s">
        <v>9673</v>
      </c>
      <c r="B1659" s="24" t="s">
        <v>8011</v>
      </c>
      <c r="C1659" s="25">
        <v>43.2070120868973</v>
      </c>
      <c r="D1659" s="25">
        <v>1.01147326073728</v>
      </c>
    </row>
    <row r="1660">
      <c r="A1660" s="22" t="s">
        <v>9674</v>
      </c>
      <c r="B1660" s="22" t="s">
        <v>8011</v>
      </c>
      <c r="C1660" s="23">
        <v>48.784304934084</v>
      </c>
      <c r="D1660" s="23">
        <v>2.40247163986997</v>
      </c>
    </row>
    <row r="1661">
      <c r="A1661" s="24" t="s">
        <v>9675</v>
      </c>
      <c r="B1661" s="24" t="s">
        <v>8011</v>
      </c>
      <c r="C1661" s="25">
        <v>49.4910264446047</v>
      </c>
      <c r="D1661" s="25">
        <v>0.141837155546191</v>
      </c>
    </row>
    <row r="1662">
      <c r="A1662" s="22" t="s">
        <v>9676</v>
      </c>
      <c r="B1662" s="22" t="s">
        <v>8011</v>
      </c>
      <c r="C1662" s="23">
        <v>48.7678495264522</v>
      </c>
      <c r="D1662" s="23">
        <v>2.30620581628347</v>
      </c>
    </row>
    <row r="1663">
      <c r="A1663" s="24" t="s">
        <v>9677</v>
      </c>
      <c r="B1663" s="24" t="s">
        <v>8011</v>
      </c>
      <c r="C1663" s="25">
        <v>43.5746766320959</v>
      </c>
      <c r="D1663" s="25">
        <v>7.00197399040606</v>
      </c>
    </row>
    <row r="1664">
      <c r="A1664" s="22" t="s">
        <v>9678</v>
      </c>
      <c r="B1664" s="22" t="s">
        <v>8011</v>
      </c>
      <c r="C1664" s="23">
        <v>45.7091745975376</v>
      </c>
      <c r="D1664" s="23">
        <v>4.84949349829034</v>
      </c>
    </row>
    <row r="1665">
      <c r="A1665" s="24" t="s">
        <v>9679</v>
      </c>
      <c r="B1665" s="24" t="s">
        <v>8011</v>
      </c>
      <c r="C1665" s="25">
        <v>48.1097050412182</v>
      </c>
      <c r="D1665" s="25">
        <v>-1.01199036557909</v>
      </c>
    </row>
    <row r="1666">
      <c r="A1666" s="22" t="s">
        <v>9680</v>
      </c>
      <c r="B1666" s="22" t="s">
        <v>7991</v>
      </c>
      <c r="C1666" s="23">
        <v>53.307071534992</v>
      </c>
      <c r="D1666" s="23">
        <v>-4.63775646689211</v>
      </c>
    </row>
    <row r="1667">
      <c r="A1667" s="24" t="s">
        <v>9681</v>
      </c>
      <c r="B1667" s="24" t="s">
        <v>8021</v>
      </c>
      <c r="C1667" s="25">
        <v>-23.5084044634193</v>
      </c>
      <c r="D1667" s="25">
        <v>150.321245753449</v>
      </c>
    </row>
    <row r="1668">
      <c r="A1668" s="22" t="s">
        <v>9682</v>
      </c>
      <c r="B1668" s="22" t="s">
        <v>8047</v>
      </c>
      <c r="C1668" s="23">
        <v>45.1007835423131</v>
      </c>
      <c r="D1668" s="23">
        <v>8.91779212795064</v>
      </c>
    </row>
    <row r="1669">
      <c r="A1669" s="24" t="s">
        <v>9683</v>
      </c>
      <c r="B1669" s="24" t="s">
        <v>7991</v>
      </c>
      <c r="C1669" s="25">
        <v>53.743618917531</v>
      </c>
      <c r="D1669" s="25">
        <v>-0.249534750460349</v>
      </c>
    </row>
    <row r="1670">
      <c r="A1670" s="22" t="s">
        <v>9684</v>
      </c>
      <c r="B1670" s="22" t="s">
        <v>8161</v>
      </c>
      <c r="C1670" s="23">
        <v>37.9588935688728</v>
      </c>
      <c r="D1670" s="23">
        <v>-8.86007328888969</v>
      </c>
    </row>
    <row r="1671">
      <c r="A1671" s="24" t="s">
        <v>9685</v>
      </c>
      <c r="B1671" s="24" t="s">
        <v>8047</v>
      </c>
      <c r="C1671" s="25">
        <v>41.0668789763343</v>
      </c>
      <c r="D1671" s="25">
        <v>16.6825775917671</v>
      </c>
    </row>
    <row r="1672">
      <c r="A1672" s="22" t="s">
        <v>9686</v>
      </c>
      <c r="B1672" s="22" t="s">
        <v>8047</v>
      </c>
      <c r="C1672" s="23">
        <v>37.1073998432247</v>
      </c>
      <c r="D1672" s="23">
        <v>15.0170182032133</v>
      </c>
    </row>
    <row r="1673">
      <c r="A1673" s="24" t="s">
        <v>9687</v>
      </c>
      <c r="B1673" s="24" t="s">
        <v>8047</v>
      </c>
      <c r="C1673" s="25">
        <v>37.1073998432247</v>
      </c>
      <c r="D1673" s="25">
        <v>15.0170182032133</v>
      </c>
    </row>
    <row r="1674">
      <c r="A1674" s="22" t="s">
        <v>9688</v>
      </c>
      <c r="B1674" s="22" t="s">
        <v>8047</v>
      </c>
      <c r="C1674" s="23">
        <v>44.6460300404565</v>
      </c>
      <c r="D1674" s="23">
        <v>10.9235623748586</v>
      </c>
    </row>
    <row r="1675">
      <c r="A1675" s="31" t="s">
        <v>9689</v>
      </c>
      <c r="B1675" s="24" t="s">
        <v>7987</v>
      </c>
      <c r="C1675" s="25">
        <v>47.5957469807682</v>
      </c>
      <c r="D1675" s="25">
        <v>8.14713811233834</v>
      </c>
    </row>
    <row r="1676">
      <c r="A1676" s="22" t="s">
        <v>9690</v>
      </c>
      <c r="B1676" s="22" t="s">
        <v>8071</v>
      </c>
      <c r="C1676" s="23">
        <v>-22.339335</v>
      </c>
      <c r="D1676" s="23">
        <v>-69.662196</v>
      </c>
    </row>
    <row r="1677">
      <c r="A1677" s="24" t="s">
        <v>9691</v>
      </c>
      <c r="B1677" s="24" t="s">
        <v>8071</v>
      </c>
      <c r="C1677" s="25">
        <v>-37.3773000112154</v>
      </c>
      <c r="D1677" s="25">
        <v>-73.0315451070037</v>
      </c>
    </row>
    <row r="1678">
      <c r="A1678" s="22" t="s">
        <v>9692</v>
      </c>
      <c r="B1678" s="22" t="s">
        <v>8071</v>
      </c>
      <c r="C1678" s="23">
        <v>-37.3773000112154</v>
      </c>
      <c r="D1678" s="23">
        <v>-73.0315451070037</v>
      </c>
    </row>
    <row r="1679">
      <c r="A1679" s="24" t="s">
        <v>9693</v>
      </c>
      <c r="B1679" s="24" t="s">
        <v>8071</v>
      </c>
      <c r="C1679" s="25">
        <v>-37.3773000112154</v>
      </c>
      <c r="D1679" s="25">
        <v>-73.0315451070037</v>
      </c>
    </row>
    <row r="1680">
      <c r="A1680" s="22" t="s">
        <v>9694</v>
      </c>
      <c r="B1680" s="22" t="s">
        <v>8071</v>
      </c>
      <c r="C1680" s="23">
        <v>-37.3773000112154</v>
      </c>
      <c r="D1680" s="23">
        <v>-73.0315451070037</v>
      </c>
    </row>
    <row r="1681">
      <c r="A1681" s="24" t="s">
        <v>9695</v>
      </c>
      <c r="B1681" s="24" t="s">
        <v>8071</v>
      </c>
      <c r="C1681" s="25">
        <v>-45.71150350667</v>
      </c>
      <c r="D1681" s="25">
        <v>-73.0212660402224</v>
      </c>
    </row>
    <row r="1682">
      <c r="A1682" s="22" t="s">
        <v>9696</v>
      </c>
      <c r="B1682" s="22" t="s">
        <v>8071</v>
      </c>
      <c r="C1682" s="23">
        <v>-23.3990803648907</v>
      </c>
      <c r="D1682" s="23">
        <v>-69.252182822016</v>
      </c>
    </row>
    <row r="1683">
      <c r="A1683" s="24" t="s">
        <v>9697</v>
      </c>
      <c r="B1683" s="24" t="s">
        <v>8071</v>
      </c>
      <c r="C1683" s="25">
        <v>-33.4667665639997</v>
      </c>
      <c r="D1683" s="25">
        <v>-70.8760255453696</v>
      </c>
    </row>
    <row r="1684">
      <c r="A1684" s="22" t="s">
        <v>9698</v>
      </c>
      <c r="B1684" s="22" t="s">
        <v>8071</v>
      </c>
      <c r="C1684" s="23">
        <v>-50.615096291667</v>
      </c>
      <c r="D1684" s="23">
        <v>-74.5013589002638</v>
      </c>
    </row>
    <row r="1685">
      <c r="A1685" s="24" t="s">
        <v>9699</v>
      </c>
      <c r="B1685" s="24" t="s">
        <v>8737</v>
      </c>
      <c r="C1685" s="25">
        <v>7.06145535471596</v>
      </c>
      <c r="D1685" s="25">
        <v>-73.5358024849172</v>
      </c>
    </row>
    <row r="1686">
      <c r="A1686" s="22" t="s">
        <v>9700</v>
      </c>
      <c r="B1686" s="22" t="s">
        <v>8737</v>
      </c>
      <c r="C1686" s="23">
        <v>3.5996581061734</v>
      </c>
      <c r="D1686" s="23">
        <v>-76.3986090099248</v>
      </c>
    </row>
    <row r="1687">
      <c r="A1687" s="24" t="s">
        <v>9701</v>
      </c>
      <c r="B1687" s="24" t="s">
        <v>8737</v>
      </c>
      <c r="C1687" s="25">
        <v>7.04522407410878</v>
      </c>
      <c r="D1687" s="25">
        <v>-75.6643555031804</v>
      </c>
    </row>
    <row r="1688">
      <c r="A1688" s="22" t="s">
        <v>9702</v>
      </c>
      <c r="B1688" s="22" t="s">
        <v>8737</v>
      </c>
      <c r="C1688" s="23">
        <v>8.42775278988502</v>
      </c>
      <c r="D1688" s="23">
        <v>-76.5762207525574</v>
      </c>
    </row>
    <row r="1689">
      <c r="A1689" s="24" t="s">
        <v>9703</v>
      </c>
      <c r="B1689" s="24" t="s">
        <v>8737</v>
      </c>
      <c r="C1689" s="25">
        <v>9.42899670731238</v>
      </c>
      <c r="D1689" s="25">
        <v>-75.4709430996985</v>
      </c>
    </row>
    <row r="1690">
      <c r="A1690" s="22" t="s">
        <v>9704</v>
      </c>
      <c r="B1690" s="22" t="s">
        <v>8737</v>
      </c>
      <c r="C1690" s="23">
        <v>9.52920737724891</v>
      </c>
      <c r="D1690" s="23">
        <v>-75.5785266496022</v>
      </c>
    </row>
    <row r="1691">
      <c r="A1691" s="24" t="s">
        <v>9705</v>
      </c>
      <c r="B1691" s="24" t="s">
        <v>8737</v>
      </c>
      <c r="C1691" s="25">
        <v>9.47601383361257</v>
      </c>
      <c r="D1691" s="25">
        <v>-75.9593313354518</v>
      </c>
    </row>
    <row r="1692">
      <c r="A1692" s="22" t="s">
        <v>9706</v>
      </c>
      <c r="B1692" s="22" t="s">
        <v>8737</v>
      </c>
      <c r="C1692" s="23">
        <v>9.84208480128492</v>
      </c>
      <c r="D1692" s="23">
        <v>-74.8109525753114</v>
      </c>
    </row>
    <row r="1693">
      <c r="A1693" s="24" t="s">
        <v>9707</v>
      </c>
      <c r="B1693" s="24" t="s">
        <v>8737</v>
      </c>
      <c r="C1693" s="25">
        <v>8.22523374412547</v>
      </c>
      <c r="D1693" s="25">
        <v>-75.4658385957841</v>
      </c>
    </row>
    <row r="1694">
      <c r="A1694" s="22" t="s">
        <v>9708</v>
      </c>
      <c r="B1694" s="22" t="s">
        <v>8737</v>
      </c>
      <c r="C1694" s="23">
        <v>10.6302282870633</v>
      </c>
      <c r="D1694" s="23">
        <v>-74.924482227576</v>
      </c>
    </row>
    <row r="1695">
      <c r="A1695" s="24" t="s">
        <v>9709</v>
      </c>
      <c r="B1695" s="24" t="s">
        <v>8737</v>
      </c>
      <c r="C1695" s="25">
        <v>10.411669226466</v>
      </c>
      <c r="D1695" s="25">
        <v>-75.4975452399044</v>
      </c>
    </row>
    <row r="1696">
      <c r="A1696" s="22" t="s">
        <v>9710</v>
      </c>
      <c r="B1696" s="22" t="s">
        <v>8737</v>
      </c>
      <c r="C1696" s="23">
        <v>11.0758134543759</v>
      </c>
      <c r="D1696" s="23">
        <v>-74.8124798331968</v>
      </c>
    </row>
    <row r="1697">
      <c r="A1697" s="24" t="s">
        <v>9711</v>
      </c>
      <c r="B1697" s="24" t="s">
        <v>8737</v>
      </c>
      <c r="C1697" s="25">
        <v>5.41504936329133</v>
      </c>
      <c r="D1697" s="25">
        <v>-77.3636887493262</v>
      </c>
    </row>
    <row r="1698">
      <c r="A1698" s="22" t="s">
        <v>9712</v>
      </c>
      <c r="B1698" s="22" t="s">
        <v>8737</v>
      </c>
      <c r="C1698" s="23">
        <v>9.01778603134348</v>
      </c>
      <c r="D1698" s="23">
        <v>-76.1252511777842</v>
      </c>
    </row>
    <row r="1699">
      <c r="A1699" s="24" t="s">
        <v>9713</v>
      </c>
      <c r="B1699" s="24" t="s">
        <v>8737</v>
      </c>
      <c r="C1699" s="25">
        <v>4.68087749246425</v>
      </c>
      <c r="D1699" s="25">
        <v>-74.0704424438969</v>
      </c>
    </row>
    <row r="1700">
      <c r="A1700" s="22" t="s">
        <v>9714</v>
      </c>
      <c r="B1700" s="22" t="s">
        <v>8071</v>
      </c>
      <c r="C1700" s="23">
        <v>-23.3990803648907</v>
      </c>
      <c r="D1700" s="23">
        <v>-69.252182822016</v>
      </c>
    </row>
    <row r="1701">
      <c r="A1701" s="24" t="s">
        <v>9715</v>
      </c>
      <c r="B1701" s="24" t="s">
        <v>8071</v>
      </c>
      <c r="C1701" s="25">
        <v>-23.3990803648907</v>
      </c>
      <c r="D1701" s="25">
        <v>-69.252182822016</v>
      </c>
    </row>
    <row r="1702">
      <c r="A1702" s="22" t="s">
        <v>9716</v>
      </c>
      <c r="B1702" s="22" t="s">
        <v>8071</v>
      </c>
      <c r="C1702" s="23">
        <v>-23.3990803648907</v>
      </c>
      <c r="D1702" s="23">
        <v>-69.252182822016</v>
      </c>
    </row>
    <row r="1703">
      <c r="A1703" s="24" t="s">
        <v>9717</v>
      </c>
      <c r="B1703" s="24" t="s">
        <v>8071</v>
      </c>
      <c r="C1703" s="25">
        <v>-37.3773000112154</v>
      </c>
      <c r="D1703" s="25">
        <v>-73.0315451070037</v>
      </c>
    </row>
    <row r="1704">
      <c r="A1704" s="22" t="s">
        <v>9718</v>
      </c>
      <c r="B1704" s="22" t="s">
        <v>8071</v>
      </c>
      <c r="C1704" s="23">
        <v>-50.615096291667</v>
      </c>
      <c r="D1704" s="23">
        <v>-74.5013589002638</v>
      </c>
    </row>
    <row r="1705">
      <c r="A1705" s="24" t="s">
        <v>9719</v>
      </c>
      <c r="B1705" s="24" t="s">
        <v>8071</v>
      </c>
      <c r="C1705" s="25">
        <v>-23.3990803648907</v>
      </c>
      <c r="D1705" s="25">
        <v>-69.252182822016</v>
      </c>
    </row>
    <row r="1706">
      <c r="A1706" s="22" t="s">
        <v>9720</v>
      </c>
      <c r="B1706" s="22" t="s">
        <v>8071</v>
      </c>
      <c r="C1706" s="23">
        <v>-50.615096291667</v>
      </c>
      <c r="D1706" s="23">
        <v>-74.5013589002638</v>
      </c>
    </row>
    <row r="1707">
      <c r="A1707" s="24" t="s">
        <v>9721</v>
      </c>
      <c r="B1707" s="24" t="s">
        <v>8071</v>
      </c>
      <c r="C1707" s="25">
        <v>-23.3990803648907</v>
      </c>
      <c r="D1707" s="25">
        <v>-69.252182822016</v>
      </c>
    </row>
    <row r="1708">
      <c r="A1708" s="22" t="s">
        <v>9722</v>
      </c>
      <c r="B1708" s="22" t="s">
        <v>8071</v>
      </c>
      <c r="C1708" s="23">
        <v>-45.7268442817993</v>
      </c>
      <c r="D1708" s="23">
        <v>-73.1311293241695</v>
      </c>
    </row>
    <row r="1709">
      <c r="A1709" s="24" t="s">
        <v>9723</v>
      </c>
      <c r="B1709" s="24" t="s">
        <v>8071</v>
      </c>
      <c r="C1709" s="25">
        <v>-23.3990803648907</v>
      </c>
      <c r="D1709" s="25">
        <v>-69.252182822016</v>
      </c>
    </row>
    <row r="1710">
      <c r="A1710" s="22" t="s">
        <v>9724</v>
      </c>
      <c r="B1710" s="22" t="s">
        <v>8071</v>
      </c>
      <c r="C1710" s="23">
        <v>-23.3990803648907</v>
      </c>
      <c r="D1710" s="23">
        <v>-69.252182822016</v>
      </c>
    </row>
    <row r="1711">
      <c r="A1711" s="24" t="s">
        <v>9725</v>
      </c>
      <c r="B1711" s="24" t="s">
        <v>8071</v>
      </c>
      <c r="C1711" s="25">
        <v>-50.615096291667</v>
      </c>
      <c r="D1711" s="25">
        <v>-74.5013589002638</v>
      </c>
    </row>
    <row r="1712">
      <c r="A1712" s="22" t="s">
        <v>9726</v>
      </c>
      <c r="B1712" s="22" t="s">
        <v>8026</v>
      </c>
      <c r="C1712" s="23">
        <v>60.5267411092739</v>
      </c>
      <c r="D1712" s="23">
        <v>27.141011962863</v>
      </c>
    </row>
    <row r="1713">
      <c r="A1713" s="24" t="s">
        <v>9727</v>
      </c>
      <c r="B1713" s="24" t="s">
        <v>8591</v>
      </c>
      <c r="C1713" s="25">
        <v>47.8934703494515</v>
      </c>
      <c r="D1713" s="25">
        <v>20.7024755026607</v>
      </c>
    </row>
    <row r="1714">
      <c r="A1714" s="22" t="s">
        <v>104</v>
      </c>
      <c r="B1714" s="22" t="s">
        <v>8122</v>
      </c>
      <c r="C1714" s="23">
        <v>64.0364234782397</v>
      </c>
      <c r="D1714" s="23">
        <v>-21.4043909789244</v>
      </c>
    </row>
    <row r="1715">
      <c r="A1715" s="24" t="s">
        <v>9728</v>
      </c>
      <c r="B1715" s="24" t="s">
        <v>7974</v>
      </c>
      <c r="C1715" s="25">
        <v>60.1380057512096</v>
      </c>
      <c r="D1715" s="25">
        <v>15.4131249317878</v>
      </c>
    </row>
    <row r="1716">
      <c r="A1716" s="22" t="s">
        <v>191</v>
      </c>
      <c r="B1716" s="22" t="s">
        <v>7985</v>
      </c>
      <c r="C1716" s="23">
        <v>47.4005800104364</v>
      </c>
      <c r="D1716" s="23">
        <v>9.32816180963526</v>
      </c>
    </row>
    <row r="1717">
      <c r="A1717" s="24" t="s">
        <v>9729</v>
      </c>
      <c r="B1717" s="24" t="s">
        <v>7985</v>
      </c>
      <c r="C1717" s="25">
        <v>47.1739693425705</v>
      </c>
      <c r="D1717" s="25">
        <v>9.4816022236665</v>
      </c>
    </row>
    <row r="1718">
      <c r="A1718" s="22" t="s">
        <v>365</v>
      </c>
      <c r="B1718" s="22" t="s">
        <v>7991</v>
      </c>
      <c r="C1718" s="23">
        <v>56.6649947228489</v>
      </c>
      <c r="D1718" s="23">
        <v>-2.52812163682435</v>
      </c>
    </row>
    <row r="1719">
      <c r="A1719" s="24" t="s">
        <v>9730</v>
      </c>
      <c r="B1719" s="24" t="s">
        <v>8737</v>
      </c>
      <c r="C1719" s="25">
        <v>10.1559214055513</v>
      </c>
      <c r="D1719" s="25">
        <v>-74.2511154758471</v>
      </c>
    </row>
    <row r="1720">
      <c r="A1720" s="22" t="s">
        <v>9731</v>
      </c>
      <c r="B1720" s="22" t="s">
        <v>8737</v>
      </c>
      <c r="C1720" s="23">
        <v>7.72507505025574</v>
      </c>
      <c r="D1720" s="23">
        <v>-76.5802170158968</v>
      </c>
    </row>
    <row r="1721">
      <c r="A1721" s="24" t="s">
        <v>9732</v>
      </c>
      <c r="B1721" s="24" t="s">
        <v>8737</v>
      </c>
      <c r="C1721" s="25">
        <v>9.9395649929454</v>
      </c>
      <c r="D1721" s="25">
        <v>-73.7237717309302</v>
      </c>
    </row>
    <row r="1722">
      <c r="A1722" s="22" t="s">
        <v>9733</v>
      </c>
      <c r="B1722" s="22" t="s">
        <v>8737</v>
      </c>
      <c r="C1722" s="23">
        <v>8.24730251419912</v>
      </c>
      <c r="D1722" s="23">
        <v>-75.6134201502158</v>
      </c>
    </row>
    <row r="1723">
      <c r="A1723" s="24" t="s">
        <v>9734</v>
      </c>
      <c r="B1723" s="24" t="s">
        <v>8737</v>
      </c>
      <c r="C1723" s="25">
        <v>8.50678901075562</v>
      </c>
      <c r="D1723" s="25">
        <v>-74.7706688360509</v>
      </c>
    </row>
    <row r="1724">
      <c r="A1724" s="22" t="s">
        <v>9731</v>
      </c>
      <c r="B1724" s="22" t="s">
        <v>8737</v>
      </c>
      <c r="C1724" s="23">
        <v>8.24730251419912</v>
      </c>
      <c r="D1724" s="23">
        <v>-76.5802170158968</v>
      </c>
    </row>
    <row r="1725">
      <c r="A1725" s="24" t="s">
        <v>9735</v>
      </c>
      <c r="B1725" s="24" t="s">
        <v>8011</v>
      </c>
      <c r="C1725" s="25">
        <v>43.4168522123239</v>
      </c>
      <c r="D1725" s="25">
        <v>4.83439803488868</v>
      </c>
    </row>
    <row r="1726">
      <c r="A1726" s="22" t="s">
        <v>9736</v>
      </c>
      <c r="B1726" s="22" t="s">
        <v>8011</v>
      </c>
      <c r="C1726" s="23">
        <v>43.4168522123239</v>
      </c>
      <c r="D1726" s="23">
        <v>4.83439803488868</v>
      </c>
    </row>
    <row r="1727">
      <c r="A1727" s="24" t="s">
        <v>9737</v>
      </c>
      <c r="B1727" s="24" t="s">
        <v>8011</v>
      </c>
      <c r="C1727" s="25">
        <v>43.4168522123239</v>
      </c>
      <c r="D1727" s="25">
        <v>4.83439803488868</v>
      </c>
    </row>
    <row r="1728">
      <c r="A1728" s="22" t="s">
        <v>9738</v>
      </c>
      <c r="B1728" s="22" t="s">
        <v>8011</v>
      </c>
      <c r="C1728" s="23">
        <v>43.4168522123239</v>
      </c>
      <c r="D1728" s="23">
        <v>4.83439803488868</v>
      </c>
    </row>
    <row r="1729">
      <c r="A1729" s="24" t="s">
        <v>9739</v>
      </c>
      <c r="B1729" s="24" t="s">
        <v>8011</v>
      </c>
      <c r="C1729" s="25">
        <v>45.702181</v>
      </c>
      <c r="D1729" s="25">
        <v>4.844148</v>
      </c>
    </row>
    <row r="1730">
      <c r="A1730" s="22" t="s">
        <v>9740</v>
      </c>
      <c r="B1730" s="22" t="s">
        <v>8011</v>
      </c>
      <c r="C1730" s="23">
        <v>47.319832054</v>
      </c>
      <c r="D1730" s="23">
        <v>5.038166514</v>
      </c>
    </row>
    <row r="1731">
      <c r="A1731" s="24" t="s">
        <v>9741</v>
      </c>
      <c r="B1731" s="24" t="s">
        <v>8011</v>
      </c>
      <c r="C1731" s="25">
        <v>47.6192450919772</v>
      </c>
      <c r="D1731" s="25">
        <v>6.86503785248722</v>
      </c>
    </row>
    <row r="1732">
      <c r="A1732" s="22" t="s">
        <v>9742</v>
      </c>
      <c r="B1732" s="22" t="s">
        <v>8011</v>
      </c>
      <c r="C1732" s="23">
        <v>48.405691949255</v>
      </c>
      <c r="D1732" s="23">
        <v>-4.07693310946807</v>
      </c>
    </row>
    <row r="1733">
      <c r="A1733" s="24" t="s">
        <v>9743</v>
      </c>
      <c r="B1733" s="24" t="s">
        <v>8011</v>
      </c>
      <c r="C1733" s="25">
        <v>48.0836368723819</v>
      </c>
      <c r="D1733" s="25">
        <v>-2.28161249841114</v>
      </c>
    </row>
    <row r="1734">
      <c r="A1734" s="22" t="s">
        <v>9744</v>
      </c>
      <c r="B1734" s="22" t="s">
        <v>8011</v>
      </c>
      <c r="C1734" s="23">
        <v>42.4300677199898</v>
      </c>
      <c r="D1734" s="23">
        <v>9.20102326089924</v>
      </c>
    </row>
    <row r="1735">
      <c r="A1735" s="24" t="s">
        <v>9745</v>
      </c>
      <c r="B1735" s="24" t="s">
        <v>8011</v>
      </c>
      <c r="C1735" s="25">
        <v>41.9204141021491</v>
      </c>
      <c r="D1735" s="25">
        <v>8.73707223139806</v>
      </c>
    </row>
    <row r="1736">
      <c r="A1736" s="22" t="s">
        <v>9746</v>
      </c>
      <c r="B1736" s="22" t="s">
        <v>8011</v>
      </c>
      <c r="C1736" s="23">
        <v>42.6971029816831</v>
      </c>
      <c r="D1736" s="23">
        <v>9.45113717492356</v>
      </c>
    </row>
    <row r="1737">
      <c r="A1737" s="24" t="s">
        <v>9747</v>
      </c>
      <c r="B1737" s="24" t="s">
        <v>8011</v>
      </c>
      <c r="C1737" s="25">
        <v>48.1780557799083</v>
      </c>
      <c r="D1737" s="25">
        <v>6.44956618780518</v>
      </c>
    </row>
    <row r="1738">
      <c r="A1738" s="22" t="s">
        <v>9748</v>
      </c>
      <c r="B1738" s="22" t="s">
        <v>8011</v>
      </c>
      <c r="C1738" s="23">
        <v>49.3574650133655</v>
      </c>
      <c r="D1738" s="23">
        <v>6.16698329886576</v>
      </c>
    </row>
    <row r="1739">
      <c r="A1739" s="24" t="s">
        <v>9749</v>
      </c>
      <c r="B1739" s="24" t="s">
        <v>8011</v>
      </c>
      <c r="C1739" s="25">
        <v>49.3574650133655</v>
      </c>
      <c r="D1739" s="25">
        <v>6.16698329886576</v>
      </c>
    </row>
    <row r="1740">
      <c r="A1740" s="22" t="s">
        <v>9750</v>
      </c>
      <c r="B1740" s="22" t="s">
        <v>8011</v>
      </c>
      <c r="C1740" s="23">
        <v>50.3577678128777</v>
      </c>
      <c r="D1740" s="23">
        <v>3.51900267085151</v>
      </c>
    </row>
    <row r="1741">
      <c r="A1741" s="24" t="s">
        <v>9751</v>
      </c>
      <c r="B1741" s="24" t="s">
        <v>8011</v>
      </c>
      <c r="C1741" s="25">
        <v>50.3577678128777</v>
      </c>
      <c r="D1741" s="25">
        <v>3.51900267085151</v>
      </c>
    </row>
    <row r="1742">
      <c r="A1742" s="22" t="s">
        <v>9752</v>
      </c>
      <c r="B1742" s="22" t="s">
        <v>8011</v>
      </c>
      <c r="C1742" s="23">
        <v>43.89416822599</v>
      </c>
      <c r="D1742" s="23">
        <v>3.99862804287302</v>
      </c>
    </row>
    <row r="1743">
      <c r="A1743" s="24" t="s">
        <v>9753</v>
      </c>
      <c r="B1743" s="24" t="s">
        <v>8011</v>
      </c>
      <c r="C1743" s="25">
        <v>43.1256908528304</v>
      </c>
      <c r="D1743" s="25">
        <v>0.386603372573129</v>
      </c>
    </row>
    <row r="1744">
      <c r="A1744" s="22" t="s">
        <v>9754</v>
      </c>
      <c r="B1744" s="22" t="s">
        <v>8011</v>
      </c>
      <c r="C1744" s="23">
        <v>43.4385688933401</v>
      </c>
      <c r="D1744" s="23">
        <v>4.95044538769038</v>
      </c>
    </row>
    <row r="1745">
      <c r="A1745" s="24" t="s">
        <v>9755</v>
      </c>
      <c r="B1745" s="24" t="s">
        <v>8011</v>
      </c>
      <c r="C1745" s="25">
        <v>48.0268791072815</v>
      </c>
      <c r="D1745" s="25">
        <v>0.114277216511359</v>
      </c>
    </row>
    <row r="1746">
      <c r="A1746" s="22" t="s">
        <v>9756</v>
      </c>
      <c r="B1746" s="22" t="s">
        <v>8011</v>
      </c>
      <c r="C1746" s="23">
        <v>48.8144788760629</v>
      </c>
      <c r="D1746" s="23">
        <v>2.52925567573293</v>
      </c>
    </row>
    <row r="1747">
      <c r="A1747" s="24" t="s">
        <v>9757</v>
      </c>
      <c r="B1747" s="24" t="s">
        <v>8011</v>
      </c>
      <c r="C1747" s="25">
        <v>48.8144788760629</v>
      </c>
      <c r="D1747" s="25">
        <v>2.52925567573293</v>
      </c>
    </row>
    <row r="1748">
      <c r="A1748" s="22" t="s">
        <v>9758</v>
      </c>
      <c r="B1748" s="22" t="s">
        <v>8011</v>
      </c>
      <c r="C1748" s="23">
        <v>43.4139551441718</v>
      </c>
      <c r="D1748" s="23">
        <v>-0.620279241169652</v>
      </c>
    </row>
    <row r="1749">
      <c r="A1749" s="24" t="s">
        <v>9759</v>
      </c>
      <c r="B1749" s="24" t="s">
        <v>8011</v>
      </c>
      <c r="C1749" s="25">
        <v>44.8386182994371</v>
      </c>
      <c r="D1749" s="25">
        <v>-0.584642715316968</v>
      </c>
    </row>
    <row r="1750">
      <c r="A1750" s="22" t="s">
        <v>9760</v>
      </c>
      <c r="B1750" s="22" t="s">
        <v>8011</v>
      </c>
      <c r="C1750" s="23">
        <v>43.4133316605875</v>
      </c>
      <c r="D1750" s="23">
        <v>-0.618219304554587</v>
      </c>
    </row>
    <row r="1751">
      <c r="A1751" s="24" t="s">
        <v>9761</v>
      </c>
      <c r="B1751" s="24" t="s">
        <v>7981</v>
      </c>
      <c r="C1751" s="25">
        <v>33.2582468677006</v>
      </c>
      <c r="D1751" s="25">
        <v>-116.379092411948</v>
      </c>
    </row>
    <row r="1752">
      <c r="A1752" s="22" t="s">
        <v>9762</v>
      </c>
      <c r="B1752" s="22" t="s">
        <v>7981</v>
      </c>
      <c r="C1752" s="23">
        <v>37.7716057085934</v>
      </c>
      <c r="D1752" s="23">
        <v>-122.387352115804</v>
      </c>
    </row>
    <row r="1753">
      <c r="A1753" s="24" t="s">
        <v>9763</v>
      </c>
      <c r="B1753" s="24" t="s">
        <v>7981</v>
      </c>
      <c r="C1753" s="25">
        <v>41.3870348049205</v>
      </c>
      <c r="D1753" s="25">
        <v>-73.4689802586509</v>
      </c>
    </row>
    <row r="1754">
      <c r="A1754" s="22" t="s">
        <v>9764</v>
      </c>
      <c r="B1754" s="22" t="s">
        <v>7999</v>
      </c>
      <c r="C1754" s="23">
        <v>47.583996</v>
      </c>
      <c r="D1754" s="23">
        <v>12.1692134</v>
      </c>
    </row>
    <row r="1755">
      <c r="A1755" s="24" t="s">
        <v>9765</v>
      </c>
      <c r="B1755" s="24" t="s">
        <v>7999</v>
      </c>
      <c r="C1755" s="25">
        <v>47.4946272059998</v>
      </c>
      <c r="D1755" s="25">
        <v>10.7370149443023</v>
      </c>
    </row>
    <row r="1756">
      <c r="A1756" s="22" t="s">
        <v>306</v>
      </c>
      <c r="B1756" s="22" t="s">
        <v>7999</v>
      </c>
      <c r="C1756" s="23">
        <v>48.1816372961229</v>
      </c>
      <c r="D1756" s="23">
        <v>16.423432380782</v>
      </c>
    </row>
    <row r="1757">
      <c r="A1757" s="24" t="s">
        <v>9766</v>
      </c>
      <c r="B1757" s="24" t="s">
        <v>7999</v>
      </c>
      <c r="C1757" s="25">
        <v>47.583996</v>
      </c>
      <c r="D1757" s="25">
        <v>12.1692134</v>
      </c>
    </row>
    <row r="1758">
      <c r="A1758" s="22" t="s">
        <v>237</v>
      </c>
      <c r="B1758" s="22" t="s">
        <v>7999</v>
      </c>
      <c r="C1758" s="23">
        <v>46.7813377</v>
      </c>
      <c r="D1758" s="23">
        <v>15.5881617</v>
      </c>
    </row>
    <row r="1759">
      <c r="A1759" s="24" t="s">
        <v>349</v>
      </c>
      <c r="B1759" s="24" t="s">
        <v>7999</v>
      </c>
      <c r="C1759" s="25">
        <v>47.0592760259164</v>
      </c>
      <c r="D1759" s="25">
        <v>15.4601771792893</v>
      </c>
    </row>
    <row r="1760">
      <c r="A1760" s="22" t="s">
        <v>9767</v>
      </c>
      <c r="B1760" s="22" t="s">
        <v>7999</v>
      </c>
      <c r="C1760" s="23">
        <v>47.712001112809</v>
      </c>
      <c r="D1760" s="23">
        <v>14.1609956588841</v>
      </c>
    </row>
    <row r="1761">
      <c r="A1761" s="24" t="s">
        <v>9768</v>
      </c>
      <c r="B1761" s="24" t="s">
        <v>7999</v>
      </c>
      <c r="C1761" s="25">
        <v>46.9117041209547</v>
      </c>
      <c r="D1761" s="25">
        <v>15.4873618215583</v>
      </c>
    </row>
    <row r="1762">
      <c r="A1762" s="22" t="s">
        <v>9769</v>
      </c>
      <c r="B1762" s="22" t="s">
        <v>8008</v>
      </c>
      <c r="C1762" s="23">
        <v>58.3776701040608</v>
      </c>
      <c r="D1762" s="23">
        <v>26.7295957084019</v>
      </c>
    </row>
    <row r="1763">
      <c r="A1763" s="24" t="s">
        <v>9770</v>
      </c>
      <c r="B1763" s="24" t="s">
        <v>8008</v>
      </c>
      <c r="C1763" s="25">
        <v>59.3538419426786</v>
      </c>
      <c r="D1763" s="25">
        <v>24.0453019727331</v>
      </c>
    </row>
    <row r="1764">
      <c r="A1764" s="22" t="s">
        <v>9771</v>
      </c>
      <c r="B1764" s="22" t="s">
        <v>8008</v>
      </c>
      <c r="C1764" s="23">
        <v>59.4374977470437</v>
      </c>
      <c r="D1764" s="23">
        <v>24.9003984916742</v>
      </c>
    </row>
    <row r="1765">
      <c r="A1765" s="24" t="s">
        <v>9772</v>
      </c>
      <c r="B1765" s="24" t="s">
        <v>8008</v>
      </c>
      <c r="C1765" s="25">
        <v>59.2756366371454</v>
      </c>
      <c r="D1765" s="25">
        <v>27.9054387771757</v>
      </c>
    </row>
    <row r="1766">
      <c r="A1766" s="22" t="s">
        <v>9773</v>
      </c>
      <c r="B1766" s="22" t="s">
        <v>8026</v>
      </c>
      <c r="C1766" s="23">
        <v>63.854723</v>
      </c>
      <c r="D1766" s="23">
        <v>23.049399</v>
      </c>
    </row>
    <row r="1767">
      <c r="A1767" s="24" t="s">
        <v>9774</v>
      </c>
      <c r="B1767" s="24" t="s">
        <v>8026</v>
      </c>
      <c r="C1767" s="25">
        <v>65.739292294177</v>
      </c>
      <c r="D1767" s="25">
        <v>24.5496920105328</v>
      </c>
    </row>
    <row r="1768">
      <c r="A1768" s="22" t="s">
        <v>9775</v>
      </c>
      <c r="B1768" s="22" t="s">
        <v>8026</v>
      </c>
      <c r="C1768" s="23">
        <v>61.0384229856236</v>
      </c>
      <c r="D1768" s="23">
        <v>28.1817125322882</v>
      </c>
    </row>
    <row r="1769">
      <c r="A1769" s="24" t="s">
        <v>9776</v>
      </c>
      <c r="B1769" s="24" t="s">
        <v>8026</v>
      </c>
      <c r="C1769" s="25">
        <v>60.441521</v>
      </c>
      <c r="D1769" s="25">
        <v>26.894655</v>
      </c>
    </row>
    <row r="1770">
      <c r="A1770" s="22" t="s">
        <v>9777</v>
      </c>
      <c r="B1770" s="22" t="s">
        <v>8026</v>
      </c>
      <c r="C1770" s="23">
        <v>60.98987</v>
      </c>
      <c r="D1770" s="23">
        <v>25.719878</v>
      </c>
    </row>
    <row r="1771">
      <c r="A1771" s="24" t="s">
        <v>9778</v>
      </c>
      <c r="B1771" s="24" t="s">
        <v>8026</v>
      </c>
      <c r="C1771" s="25">
        <v>61.540897</v>
      </c>
      <c r="D1771" s="25">
        <v>23.981937</v>
      </c>
    </row>
    <row r="1772">
      <c r="A1772" s="22" t="s">
        <v>9779</v>
      </c>
      <c r="B1772" s="22" t="s">
        <v>8026</v>
      </c>
      <c r="C1772" s="23">
        <v>62.6199620287964</v>
      </c>
      <c r="D1772" s="23">
        <v>29.7025510521757</v>
      </c>
    </row>
    <row r="1773">
      <c r="A1773" s="24" t="s">
        <v>9780</v>
      </c>
      <c r="B1773" s="24" t="s">
        <v>8026</v>
      </c>
      <c r="C1773" s="25">
        <v>61.67155</v>
      </c>
      <c r="D1773" s="25">
        <v>27.28966</v>
      </c>
    </row>
    <row r="1774">
      <c r="A1774" s="22" t="s">
        <v>9781</v>
      </c>
      <c r="B1774" s="22" t="s">
        <v>8026</v>
      </c>
      <c r="C1774" s="23">
        <v>61.574804</v>
      </c>
      <c r="D1774" s="23">
        <v>21.55598</v>
      </c>
    </row>
    <row r="1775">
      <c r="A1775" s="24" t="s">
        <v>9782</v>
      </c>
      <c r="B1775" s="24" t="s">
        <v>8026</v>
      </c>
      <c r="C1775" s="25">
        <v>61.0697665275325</v>
      </c>
      <c r="D1775" s="25">
        <v>28.2469298988267</v>
      </c>
    </row>
    <row r="1776">
      <c r="A1776" s="22" t="s">
        <v>9783</v>
      </c>
      <c r="B1776" s="22" t="s">
        <v>8026</v>
      </c>
      <c r="C1776" s="23">
        <v>63.10121</v>
      </c>
      <c r="D1776" s="23">
        <v>21.601948</v>
      </c>
    </row>
    <row r="1777">
      <c r="A1777" s="24" t="s">
        <v>9784</v>
      </c>
      <c r="B1777" s="24" t="s">
        <v>8026</v>
      </c>
      <c r="C1777" s="25">
        <v>61.2937632191511</v>
      </c>
      <c r="D1777" s="25">
        <v>23.7408119114836</v>
      </c>
    </row>
    <row r="1778">
      <c r="A1778" s="22" t="s">
        <v>9785</v>
      </c>
      <c r="B1778" s="22" t="s">
        <v>8026</v>
      </c>
      <c r="C1778" s="23">
        <v>60.2107099201774</v>
      </c>
      <c r="D1778" s="23">
        <v>25.1400472587567</v>
      </c>
    </row>
    <row r="1779">
      <c r="A1779" s="24" t="s">
        <v>9786</v>
      </c>
      <c r="B1779" s="24" t="s">
        <v>9176</v>
      </c>
      <c r="C1779" s="25">
        <v>45.8403249602134</v>
      </c>
      <c r="D1779" s="25">
        <v>25.0435517659759</v>
      </c>
    </row>
    <row r="1780">
      <c r="A1780" s="22" t="s">
        <v>407</v>
      </c>
      <c r="B1780" s="22" t="s">
        <v>9176</v>
      </c>
      <c r="C1780" s="23">
        <v>46.567153</v>
      </c>
      <c r="D1780" s="23">
        <v>23.788949</v>
      </c>
    </row>
    <row r="1781">
      <c r="A1781" s="24" t="s">
        <v>9787</v>
      </c>
      <c r="B1781" s="24" t="s">
        <v>8161</v>
      </c>
      <c r="C1781" s="25">
        <v>37.9832689135513</v>
      </c>
      <c r="D1781" s="25">
        <v>-8.82367514254395</v>
      </c>
    </row>
    <row r="1782">
      <c r="A1782" s="22" t="s">
        <v>9788</v>
      </c>
      <c r="B1782" s="22" t="s">
        <v>8161</v>
      </c>
      <c r="C1782" s="23">
        <v>37.983268913513</v>
      </c>
      <c r="D1782" s="23">
        <v>-8.82367514254395</v>
      </c>
    </row>
    <row r="1783">
      <c r="A1783" s="24" t="s">
        <v>9789</v>
      </c>
      <c r="B1783" s="24" t="s">
        <v>8108</v>
      </c>
      <c r="C1783" s="25">
        <v>25.0917947210412</v>
      </c>
      <c r="D1783" s="25">
        <v>72.3779797117818</v>
      </c>
    </row>
    <row r="1784">
      <c r="A1784" s="29" t="s">
        <v>9790</v>
      </c>
      <c r="B1784" s="22" t="s">
        <v>8108</v>
      </c>
      <c r="C1784" s="23">
        <v>33.6019122017365</v>
      </c>
      <c r="D1784" s="23">
        <v>78.6573027622279</v>
      </c>
    </row>
    <row r="1785">
      <c r="A1785" s="24" t="s">
        <v>9791</v>
      </c>
      <c r="B1785" s="24" t="s">
        <v>7987</v>
      </c>
      <c r="C1785" s="25">
        <v>54.1302986718926</v>
      </c>
      <c r="D1785" s="25">
        <v>13.6264433712111</v>
      </c>
    </row>
    <row r="1786">
      <c r="A1786" s="22" t="s">
        <v>9792</v>
      </c>
      <c r="B1786" s="22" t="s">
        <v>7981</v>
      </c>
      <c r="C1786" s="23">
        <v>38.5743503095798</v>
      </c>
      <c r="D1786" s="23">
        <v>-121.525974677112</v>
      </c>
    </row>
    <row r="1787">
      <c r="A1787" s="24" t="s">
        <v>9793</v>
      </c>
      <c r="B1787" s="24" t="s">
        <v>7981</v>
      </c>
      <c r="C1787" s="25">
        <v>30.8195098280554</v>
      </c>
      <c r="D1787" s="25">
        <v>-92.5654207700248</v>
      </c>
    </row>
    <row r="1788">
      <c r="A1788" s="22" t="s">
        <v>9770</v>
      </c>
      <c r="B1788" s="22" t="s">
        <v>8008</v>
      </c>
      <c r="C1788" s="23">
        <v>59.3538419426786</v>
      </c>
      <c r="D1788" s="23">
        <v>24.0453019727331</v>
      </c>
    </row>
    <row r="1789">
      <c r="A1789" s="24" t="s">
        <v>9794</v>
      </c>
      <c r="B1789" s="24" t="s">
        <v>8026</v>
      </c>
      <c r="C1789" s="25">
        <v>60.1841738709636</v>
      </c>
      <c r="D1789" s="25">
        <v>24.8142177339411</v>
      </c>
    </row>
    <row r="1790">
      <c r="A1790" s="22" t="s">
        <v>9795</v>
      </c>
      <c r="B1790" s="22" t="s">
        <v>8108</v>
      </c>
      <c r="C1790" s="23">
        <v>14.7410833165014</v>
      </c>
      <c r="D1790" s="23">
        <v>75.0636378765073</v>
      </c>
    </row>
    <row r="1791">
      <c r="A1791" s="24" t="s">
        <v>9796</v>
      </c>
      <c r="B1791" s="24" t="s">
        <v>8108</v>
      </c>
      <c r="C1791" s="25">
        <v>0.0</v>
      </c>
      <c r="D1791" s="25">
        <v>0.0</v>
      </c>
    </row>
    <row r="1792">
      <c r="A1792" s="22" t="s">
        <v>9797</v>
      </c>
      <c r="B1792" s="22" t="s">
        <v>8108</v>
      </c>
      <c r="C1792" s="23">
        <v>25.1367723954927</v>
      </c>
      <c r="D1792" s="23">
        <v>82.5662404050943</v>
      </c>
    </row>
    <row r="1793">
      <c r="A1793" s="24" t="s">
        <v>9798</v>
      </c>
      <c r="B1793" s="24" t="s">
        <v>8108</v>
      </c>
      <c r="C1793" s="25">
        <v>28.5136386570959</v>
      </c>
      <c r="D1793" s="25">
        <v>77.298712548313</v>
      </c>
    </row>
    <row r="1794">
      <c r="A1794" s="22" t="s">
        <v>9799</v>
      </c>
      <c r="B1794" s="22" t="s">
        <v>8108</v>
      </c>
      <c r="C1794" s="23">
        <v>14.7975498591162</v>
      </c>
      <c r="D1794" s="23">
        <v>80.0292836640059</v>
      </c>
    </row>
    <row r="1795">
      <c r="A1795" s="24" t="s">
        <v>9800</v>
      </c>
      <c r="B1795" s="24" t="s">
        <v>8108</v>
      </c>
      <c r="C1795" s="25">
        <v>24.2398595175898</v>
      </c>
      <c r="D1795" s="25">
        <v>78.1502519076614</v>
      </c>
    </row>
    <row r="1796">
      <c r="A1796" s="22" t="s">
        <v>9801</v>
      </c>
      <c r="B1796" s="22" t="s">
        <v>8108</v>
      </c>
      <c r="C1796" s="23">
        <v>30.5527426993409</v>
      </c>
      <c r="D1796" s="23">
        <v>78.4278599643161</v>
      </c>
    </row>
    <row r="1797">
      <c r="A1797" s="24" t="s">
        <v>9802</v>
      </c>
      <c r="B1797" s="24" t="s">
        <v>8108</v>
      </c>
      <c r="C1797" s="25">
        <v>26.4218032451132</v>
      </c>
      <c r="D1797" s="25">
        <v>80.9159793620563</v>
      </c>
    </row>
    <row r="1798">
      <c r="A1798" s="22" t="s">
        <v>9803</v>
      </c>
      <c r="B1798" s="22" t="s">
        <v>8108</v>
      </c>
      <c r="C1798" s="23">
        <v>0.0</v>
      </c>
      <c r="D1798" s="23">
        <v>0.0</v>
      </c>
    </row>
    <row r="1799">
      <c r="A1799" s="24" t="s">
        <v>8163</v>
      </c>
      <c r="B1799" s="24" t="s">
        <v>8108</v>
      </c>
      <c r="C1799" s="25">
        <v>28.4328420078812</v>
      </c>
      <c r="D1799" s="25">
        <v>77.1521651986211</v>
      </c>
    </row>
    <row r="1800">
      <c r="A1800" s="22" t="s">
        <v>9804</v>
      </c>
      <c r="B1800" s="22" t="s">
        <v>8108</v>
      </c>
      <c r="C1800" s="23">
        <v>31.9360301552043</v>
      </c>
      <c r="D1800" s="23">
        <v>77.2019323078682</v>
      </c>
    </row>
    <row r="1801">
      <c r="A1801" s="24" t="s">
        <v>9805</v>
      </c>
      <c r="B1801" s="24" t="s">
        <v>8108</v>
      </c>
      <c r="C1801" s="25">
        <v>17.7039380976552</v>
      </c>
      <c r="D1801" s="25">
        <v>83.2193164958463</v>
      </c>
    </row>
    <row r="1802">
      <c r="A1802" s="22" t="s">
        <v>9806</v>
      </c>
      <c r="B1802" s="22" t="s">
        <v>8108</v>
      </c>
      <c r="C1802" s="23">
        <v>22.7274350023707</v>
      </c>
      <c r="D1802" s="23">
        <v>75.8569795481991</v>
      </c>
    </row>
    <row r="1803">
      <c r="A1803" s="24" t="s">
        <v>9807</v>
      </c>
      <c r="B1803" s="24" t="s">
        <v>8108</v>
      </c>
      <c r="C1803" s="25">
        <v>24.0459765869385</v>
      </c>
      <c r="D1803" s="25">
        <v>76.1766183827331</v>
      </c>
    </row>
    <row r="1804">
      <c r="A1804" s="22" t="s">
        <v>9808</v>
      </c>
      <c r="B1804" s="22" t="s">
        <v>8108</v>
      </c>
      <c r="C1804" s="23">
        <v>26.7506936598752</v>
      </c>
      <c r="D1804" s="23">
        <v>94.2031670481235</v>
      </c>
    </row>
    <row r="1805">
      <c r="A1805" s="24" t="s">
        <v>9809</v>
      </c>
      <c r="B1805" s="24" t="s">
        <v>8108</v>
      </c>
      <c r="C1805" s="25">
        <v>19.2243229793555</v>
      </c>
      <c r="D1805" s="25">
        <v>72.8679938757539</v>
      </c>
    </row>
    <row r="1806">
      <c r="A1806" s="22" t="s">
        <v>9810</v>
      </c>
      <c r="B1806" s="22" t="s">
        <v>8108</v>
      </c>
      <c r="C1806" s="23">
        <v>14.7410833165014</v>
      </c>
      <c r="D1806" s="23">
        <v>75.0636378765073</v>
      </c>
    </row>
    <row r="1807">
      <c r="A1807" s="24" t="s">
        <v>9811</v>
      </c>
      <c r="B1807" s="24" t="s">
        <v>8108</v>
      </c>
      <c r="C1807" s="25">
        <v>14.7410833165014</v>
      </c>
      <c r="D1807" s="25">
        <v>75.0636378765073</v>
      </c>
    </row>
    <row r="1808">
      <c r="A1808" s="22" t="s">
        <v>9812</v>
      </c>
      <c r="B1808" s="22" t="s">
        <v>8108</v>
      </c>
      <c r="C1808" s="23">
        <v>9.94445933506477</v>
      </c>
      <c r="D1808" s="23">
        <v>76.2652117514344</v>
      </c>
    </row>
    <row r="1809">
      <c r="A1809" s="24" t="s">
        <v>9813</v>
      </c>
      <c r="B1809" s="24" t="s">
        <v>8108</v>
      </c>
      <c r="C1809" s="25">
        <v>0.0</v>
      </c>
      <c r="D1809" s="25">
        <v>0.0</v>
      </c>
    </row>
    <row r="1810">
      <c r="A1810" s="22" t="s">
        <v>9814</v>
      </c>
      <c r="B1810" s="22" t="s">
        <v>8108</v>
      </c>
      <c r="C1810" s="23">
        <v>34.6581375618252</v>
      </c>
      <c r="D1810" s="23">
        <v>77.0919346655951</v>
      </c>
    </row>
    <row r="1811">
      <c r="A1811" s="24" t="s">
        <v>9815</v>
      </c>
      <c r="B1811" s="24" t="s">
        <v>8108</v>
      </c>
      <c r="C1811" s="25">
        <v>21.178604200526</v>
      </c>
      <c r="D1811" s="25">
        <v>72.6611986243126</v>
      </c>
    </row>
    <row r="1812">
      <c r="A1812" s="22" t="s">
        <v>9816</v>
      </c>
      <c r="B1812" s="22" t="s">
        <v>8108</v>
      </c>
      <c r="C1812" s="23">
        <v>23.5553595378511</v>
      </c>
      <c r="D1812" s="23">
        <v>77.1970923430614</v>
      </c>
    </row>
    <row r="1813">
      <c r="A1813" s="24" t="s">
        <v>9817</v>
      </c>
      <c r="B1813" s="24" t="s">
        <v>8108</v>
      </c>
      <c r="C1813" s="25">
        <v>0.0</v>
      </c>
      <c r="D1813" s="25">
        <v>0.0</v>
      </c>
    </row>
    <row r="1814">
      <c r="A1814" s="22" t="s">
        <v>9818</v>
      </c>
      <c r="B1814" s="22" t="s">
        <v>8108</v>
      </c>
      <c r="C1814" s="23">
        <v>19.5467276870142</v>
      </c>
      <c r="D1814" s="23">
        <v>75.5786032764628</v>
      </c>
    </row>
    <row r="1815">
      <c r="A1815" s="24" t="s">
        <v>9819</v>
      </c>
      <c r="B1815" s="24" t="s">
        <v>8108</v>
      </c>
      <c r="C1815" s="25">
        <v>21.1527411969057</v>
      </c>
      <c r="D1815" s="25">
        <v>79.0937922245582</v>
      </c>
    </row>
    <row r="1816">
      <c r="A1816" s="22" t="s">
        <v>9820</v>
      </c>
      <c r="B1816" s="22" t="s">
        <v>8108</v>
      </c>
      <c r="C1816" s="23">
        <v>17.6910437020223</v>
      </c>
      <c r="D1816" s="23">
        <v>83.0036055663404</v>
      </c>
    </row>
    <row r="1817">
      <c r="A1817" s="24" t="s">
        <v>9821</v>
      </c>
      <c r="B1817" s="24" t="s">
        <v>8108</v>
      </c>
      <c r="C1817" s="25">
        <v>24.0737830213287</v>
      </c>
      <c r="D1817" s="25">
        <v>84.1805595980033</v>
      </c>
    </row>
    <row r="1818">
      <c r="A1818" s="22" t="s">
        <v>9822</v>
      </c>
      <c r="B1818" s="22" t="s">
        <v>8108</v>
      </c>
      <c r="C1818" s="23">
        <v>26.5753466895561</v>
      </c>
      <c r="D1818" s="23">
        <v>93.7887104589141</v>
      </c>
    </row>
    <row r="1819">
      <c r="A1819" s="24" t="s">
        <v>9823</v>
      </c>
      <c r="B1819" s="24" t="s">
        <v>8108</v>
      </c>
      <c r="C1819" s="25">
        <v>14.894339913711</v>
      </c>
      <c r="D1819" s="25">
        <v>78.9654007364639</v>
      </c>
    </row>
    <row r="1820">
      <c r="A1820" s="22" t="s">
        <v>9824</v>
      </c>
      <c r="B1820" s="22" t="s">
        <v>8108</v>
      </c>
      <c r="C1820" s="23">
        <v>23.2147521874703</v>
      </c>
      <c r="D1820" s="23">
        <v>70.9049755715192</v>
      </c>
    </row>
    <row r="1821">
      <c r="A1821" s="24" t="s">
        <v>9825</v>
      </c>
      <c r="B1821" s="24" t="s">
        <v>8108</v>
      </c>
      <c r="C1821" s="25">
        <v>18.5288305007873</v>
      </c>
      <c r="D1821" s="25">
        <v>73.8591868597771</v>
      </c>
    </row>
    <row r="1822">
      <c r="A1822" s="22" t="s">
        <v>9826</v>
      </c>
      <c r="B1822" s="22" t="s">
        <v>8108</v>
      </c>
      <c r="C1822" s="23">
        <v>0.0</v>
      </c>
      <c r="D1822" s="23">
        <v>0.0</v>
      </c>
    </row>
    <row r="1823">
      <c r="A1823" s="24" t="s">
        <v>9827</v>
      </c>
      <c r="B1823" s="24" t="s">
        <v>8108</v>
      </c>
      <c r="C1823" s="25">
        <v>18.5288305007873</v>
      </c>
      <c r="D1823" s="25">
        <v>73.8591868597771</v>
      </c>
    </row>
    <row r="1824">
      <c r="A1824" s="22" t="s">
        <v>9828</v>
      </c>
      <c r="B1824" s="22" t="s">
        <v>8108</v>
      </c>
      <c r="C1824" s="23">
        <v>20.4793341102483</v>
      </c>
      <c r="D1824" s="23">
        <v>84.3557120617725</v>
      </c>
    </row>
    <row r="1825">
      <c r="A1825" s="24" t="s">
        <v>9829</v>
      </c>
      <c r="B1825" s="24" t="s">
        <v>8108</v>
      </c>
      <c r="C1825" s="25">
        <v>12.9860637717918</v>
      </c>
      <c r="D1825" s="25">
        <v>77.5959041796795</v>
      </c>
    </row>
    <row r="1826">
      <c r="A1826" s="22" t="s">
        <v>9830</v>
      </c>
      <c r="B1826" s="22" t="s">
        <v>8108</v>
      </c>
      <c r="C1826" s="23">
        <v>0.0</v>
      </c>
      <c r="D1826" s="23">
        <v>0.0</v>
      </c>
    </row>
    <row r="1827">
      <c r="A1827" s="24" t="s">
        <v>9831</v>
      </c>
      <c r="B1827" s="24" t="s">
        <v>8108</v>
      </c>
      <c r="C1827" s="25">
        <v>17.7000132965672</v>
      </c>
      <c r="D1827" s="25">
        <v>83.2694416137709</v>
      </c>
    </row>
    <row r="1828">
      <c r="A1828" s="22" t="s">
        <v>9832</v>
      </c>
      <c r="B1828" s="22" t="s">
        <v>8108</v>
      </c>
      <c r="C1828" s="23">
        <v>0.0</v>
      </c>
      <c r="D1828" s="23">
        <v>0.0</v>
      </c>
    </row>
    <row r="1829">
      <c r="A1829" s="24" t="s">
        <v>9833</v>
      </c>
      <c r="B1829" s="24" t="s">
        <v>8108</v>
      </c>
      <c r="C1829" s="25">
        <v>23.5224416810313</v>
      </c>
      <c r="D1829" s="25">
        <v>87.3072111968294</v>
      </c>
    </row>
    <row r="1830">
      <c r="A1830" s="22" t="s">
        <v>9834</v>
      </c>
      <c r="B1830" s="22" t="s">
        <v>8590</v>
      </c>
      <c r="C1830" s="23">
        <v>-23.5685464064058</v>
      </c>
      <c r="D1830" s="23">
        <v>-46.658470587758</v>
      </c>
    </row>
    <row r="1831">
      <c r="A1831" s="24" t="s">
        <v>9835</v>
      </c>
      <c r="B1831" s="24" t="s">
        <v>8590</v>
      </c>
      <c r="C1831" s="25">
        <v>-23.5685464064058</v>
      </c>
      <c r="D1831" s="25">
        <v>-46.658470587758</v>
      </c>
    </row>
    <row r="1832">
      <c r="A1832" s="22" t="s">
        <v>9836</v>
      </c>
      <c r="B1832" s="22" t="s">
        <v>8590</v>
      </c>
      <c r="C1832" s="23">
        <v>-4.70683866558346</v>
      </c>
      <c r="D1832" s="23">
        <v>-36.8392858861453</v>
      </c>
    </row>
    <row r="1833">
      <c r="A1833" s="24" t="s">
        <v>9837</v>
      </c>
      <c r="B1833" s="24" t="s">
        <v>7981</v>
      </c>
      <c r="C1833" s="25">
        <v>27.8845342759862</v>
      </c>
      <c r="D1833" s="25">
        <v>-97.2653450968814</v>
      </c>
    </row>
    <row r="1834">
      <c r="A1834" s="22" t="s">
        <v>9838</v>
      </c>
      <c r="B1834" s="22" t="s">
        <v>7981</v>
      </c>
      <c r="C1834" s="23">
        <v>28.8582220425448</v>
      </c>
      <c r="D1834" s="23">
        <v>-96.1058000989289</v>
      </c>
    </row>
    <row r="1835">
      <c r="A1835" s="24" t="s">
        <v>9839</v>
      </c>
      <c r="B1835" s="24" t="s">
        <v>7987</v>
      </c>
      <c r="C1835" s="25">
        <v>49.5072101344986</v>
      </c>
      <c r="D1835" s="25">
        <v>6.42774224942866</v>
      </c>
    </row>
    <row r="1836">
      <c r="A1836" s="22" t="s">
        <v>9840</v>
      </c>
      <c r="B1836" s="22" t="s">
        <v>7987</v>
      </c>
      <c r="C1836" s="23">
        <v>53.2115383003904</v>
      </c>
      <c r="D1836" s="23">
        <v>12.2184661748563</v>
      </c>
    </row>
    <row r="1837">
      <c r="A1837" s="24" t="s">
        <v>9841</v>
      </c>
      <c r="B1837" s="24" t="s">
        <v>8001</v>
      </c>
      <c r="C1837" s="25">
        <v>46.0622547141511</v>
      </c>
      <c r="D1837" s="25">
        <v>122.041625953866</v>
      </c>
    </row>
    <row r="1838">
      <c r="A1838" s="22" t="s">
        <v>9842</v>
      </c>
      <c r="B1838" s="22" t="s">
        <v>8026</v>
      </c>
      <c r="C1838" s="23">
        <v>63.8587738059714</v>
      </c>
      <c r="D1838" s="23">
        <v>23.0306352536322</v>
      </c>
    </row>
    <row r="1839">
      <c r="A1839" s="24" t="s">
        <v>9843</v>
      </c>
      <c r="B1839" s="24" t="s">
        <v>7981</v>
      </c>
      <c r="C1839" s="25">
        <v>28.6985965860373</v>
      </c>
      <c r="D1839" s="25">
        <v>-96.9576437884814</v>
      </c>
    </row>
    <row r="1840">
      <c r="A1840" s="22" t="s">
        <v>9844</v>
      </c>
      <c r="B1840" s="22" t="s">
        <v>7985</v>
      </c>
      <c r="C1840" s="23">
        <v>46.3230700009309</v>
      </c>
      <c r="D1840" s="23">
        <v>6.97194186722552</v>
      </c>
    </row>
    <row r="1841">
      <c r="A1841" s="24" t="s">
        <v>9845</v>
      </c>
      <c r="B1841" s="24" t="s">
        <v>7974</v>
      </c>
      <c r="C1841" s="25">
        <v>65.5854558141391</v>
      </c>
      <c r="D1841" s="25">
        <v>22.1576613609812</v>
      </c>
    </row>
    <row r="1842">
      <c r="A1842" s="22" t="s">
        <v>9846</v>
      </c>
      <c r="B1842" s="22" t="s">
        <v>7974</v>
      </c>
      <c r="C1842" s="23">
        <v>65.8289892026369</v>
      </c>
      <c r="D1842" s="23">
        <v>21.6904535018585</v>
      </c>
    </row>
    <row r="1843">
      <c r="A1843" s="24" t="s">
        <v>9847</v>
      </c>
      <c r="B1843" s="24" t="s">
        <v>8021</v>
      </c>
      <c r="C1843" s="25">
        <v>-15.7767627282992</v>
      </c>
      <c r="D1843" s="25">
        <v>128.750233278639</v>
      </c>
    </row>
    <row r="1844">
      <c r="A1844" s="22" t="s">
        <v>9848</v>
      </c>
      <c r="B1844" s="22" t="s">
        <v>8021</v>
      </c>
      <c r="C1844" s="23">
        <v>-34.1868836485371</v>
      </c>
      <c r="D1844" s="23">
        <v>136.315484197039</v>
      </c>
    </row>
    <row r="1845">
      <c r="A1845" s="24" t="s">
        <v>9849</v>
      </c>
      <c r="B1845" s="24" t="s">
        <v>8600</v>
      </c>
      <c r="C1845" s="25">
        <v>17.072432913075</v>
      </c>
      <c r="D1845" s="25">
        <v>-96.7269774948536</v>
      </c>
    </row>
    <row r="1846">
      <c r="A1846" s="22" t="s">
        <v>9850</v>
      </c>
      <c r="B1846" s="22" t="s">
        <v>8388</v>
      </c>
      <c r="C1846" s="23">
        <v>19.6402558893837</v>
      </c>
      <c r="D1846" s="23">
        <v>57.6771362958818</v>
      </c>
    </row>
    <row r="1847">
      <c r="A1847" s="24" t="s">
        <v>9851</v>
      </c>
      <c r="B1847" s="24" t="s">
        <v>9296</v>
      </c>
      <c r="C1847" s="25">
        <v>11.7205593325596</v>
      </c>
      <c r="D1847" s="25">
        <v>42.7729418358331</v>
      </c>
    </row>
    <row r="1848">
      <c r="A1848" s="22" t="s">
        <v>9852</v>
      </c>
      <c r="B1848" s="22" t="s">
        <v>8891</v>
      </c>
      <c r="C1848" s="23">
        <v>-4.06066882132557</v>
      </c>
      <c r="D1848" s="23">
        <v>39.6609196438798</v>
      </c>
    </row>
    <row r="1849">
      <c r="A1849" s="24" t="s">
        <v>9853</v>
      </c>
      <c r="B1849" s="24" t="s">
        <v>8011</v>
      </c>
      <c r="C1849" s="25">
        <v>49.4948890255158</v>
      </c>
      <c r="D1849" s="25">
        <v>0.10808378192232</v>
      </c>
    </row>
    <row r="1850">
      <c r="A1850" s="22" t="s">
        <v>9854</v>
      </c>
      <c r="B1850" s="22" t="s">
        <v>8365</v>
      </c>
      <c r="C1850" s="23">
        <v>-31.2105422756263</v>
      </c>
      <c r="D1850" s="23">
        <v>17.9275271853643</v>
      </c>
    </row>
    <row r="1851">
      <c r="A1851" s="24" t="s">
        <v>9855</v>
      </c>
      <c r="B1851" s="24" t="s">
        <v>7987</v>
      </c>
      <c r="C1851" s="25">
        <v>51.2605273710641</v>
      </c>
      <c r="D1851" s="25">
        <v>12.3503662197016</v>
      </c>
    </row>
    <row r="1852">
      <c r="A1852" s="22" t="s">
        <v>9856</v>
      </c>
      <c r="B1852" s="22" t="s">
        <v>8021</v>
      </c>
      <c r="C1852" s="23">
        <v>-29.4616163545643</v>
      </c>
      <c r="D1852" s="23">
        <v>149.833525576213</v>
      </c>
    </row>
    <row r="1853">
      <c r="A1853" s="24" t="s">
        <v>9857</v>
      </c>
      <c r="B1853" s="24" t="s">
        <v>7987</v>
      </c>
      <c r="C1853" s="25">
        <v>51.2605273710641</v>
      </c>
      <c r="D1853" s="25">
        <v>12.3503662197016</v>
      </c>
    </row>
    <row r="1854">
      <c r="A1854" s="22" t="s">
        <v>9858</v>
      </c>
      <c r="B1854" s="22" t="s">
        <v>8108</v>
      </c>
      <c r="C1854" s="23">
        <v>20.4690458273687</v>
      </c>
      <c r="D1854" s="23">
        <v>84.2351744409113</v>
      </c>
    </row>
    <row r="1855">
      <c r="A1855" s="24" t="s">
        <v>9859</v>
      </c>
      <c r="B1855" s="24" t="s">
        <v>8578</v>
      </c>
      <c r="C1855" s="25">
        <v>-7.51657642416924</v>
      </c>
      <c r="D1855" s="25">
        <v>112.144196120358</v>
      </c>
    </row>
    <row r="1856">
      <c r="A1856" s="22" t="s">
        <v>9860</v>
      </c>
      <c r="B1856" s="29" t="s">
        <v>7981</v>
      </c>
      <c r="C1856" s="23">
        <v>30.1923611013654</v>
      </c>
      <c r="D1856" s="23">
        <v>-90.9605584725617</v>
      </c>
    </row>
    <row r="1857">
      <c r="A1857" s="24" t="s">
        <v>9861</v>
      </c>
      <c r="B1857" s="24" t="s">
        <v>7977</v>
      </c>
      <c r="C1857" s="25">
        <v>36.5212131475424</v>
      </c>
      <c r="D1857" s="25">
        <v>-6.28066486611788</v>
      </c>
    </row>
    <row r="1858">
      <c r="A1858" s="22" t="s">
        <v>9862</v>
      </c>
      <c r="B1858" s="22" t="s">
        <v>9863</v>
      </c>
      <c r="C1858" s="23">
        <v>-22.7865526905832</v>
      </c>
      <c r="D1858" s="23">
        <v>34.7173605707429</v>
      </c>
    </row>
    <row r="1859">
      <c r="A1859" s="24" t="s">
        <v>9864</v>
      </c>
      <c r="B1859" s="24" t="s">
        <v>7991</v>
      </c>
      <c r="C1859" s="25">
        <v>52.8653675180097</v>
      </c>
      <c r="D1859" s="25">
        <v>-1.25433988510284</v>
      </c>
    </row>
    <row r="1860">
      <c r="A1860" s="22" t="s">
        <v>9865</v>
      </c>
      <c r="B1860" s="22" t="s">
        <v>7991</v>
      </c>
      <c r="C1860" s="23">
        <v>52.8653675180097</v>
      </c>
      <c r="D1860" s="23">
        <v>-1.25433988510284</v>
      </c>
    </row>
    <row r="1861">
      <c r="A1861" s="24" t="s">
        <v>9866</v>
      </c>
      <c r="B1861" s="24" t="s">
        <v>7987</v>
      </c>
      <c r="C1861" s="25">
        <v>54.1302986718926</v>
      </c>
      <c r="D1861" s="25">
        <v>13.6264433712111</v>
      </c>
    </row>
    <row r="1862">
      <c r="A1862" s="22" t="s">
        <v>9867</v>
      </c>
      <c r="B1862" s="22" t="s">
        <v>7987</v>
      </c>
      <c r="C1862" s="23">
        <v>54.1302986718926</v>
      </c>
      <c r="D1862" s="23">
        <v>13.6264433712111</v>
      </c>
    </row>
    <row r="1863">
      <c r="A1863" s="24" t="s">
        <v>9868</v>
      </c>
      <c r="B1863" s="32" t="s">
        <v>7981</v>
      </c>
      <c r="C1863" s="25">
        <v>38.9725641042096</v>
      </c>
      <c r="D1863" s="25">
        <v>-81.1329537540372</v>
      </c>
    </row>
    <row r="1864">
      <c r="A1864" s="22" t="s">
        <v>9869</v>
      </c>
      <c r="B1864" s="22" t="s">
        <v>8021</v>
      </c>
      <c r="C1864" s="23">
        <v>-28.7761722069864</v>
      </c>
      <c r="D1864" s="23">
        <v>114.609183849978</v>
      </c>
    </row>
    <row r="1865">
      <c r="A1865" s="24" t="s">
        <v>9870</v>
      </c>
      <c r="B1865" s="24" t="s">
        <v>7967</v>
      </c>
      <c r="C1865" s="25">
        <v>53.1595242004302</v>
      </c>
      <c r="D1865" s="25">
        <v>5.26656812664597</v>
      </c>
    </row>
    <row r="1866">
      <c r="A1866" s="22" t="s">
        <v>9871</v>
      </c>
      <c r="B1866" s="22" t="s">
        <v>8071</v>
      </c>
      <c r="C1866" s="23">
        <v>-25.4064574741164</v>
      </c>
      <c r="D1866" s="23">
        <v>-70.4799341887104</v>
      </c>
    </row>
    <row r="1867">
      <c r="A1867" s="24" t="s">
        <v>9872</v>
      </c>
      <c r="B1867" s="24" t="s">
        <v>8071</v>
      </c>
      <c r="C1867" s="25">
        <v>-25.4064574741164</v>
      </c>
      <c r="D1867" s="25">
        <v>-70.4799341887104</v>
      </c>
    </row>
    <row r="1868">
      <c r="A1868" s="22" t="s">
        <v>9873</v>
      </c>
      <c r="B1868" s="22" t="s">
        <v>8071</v>
      </c>
      <c r="C1868" s="23">
        <v>-25.4064574741164</v>
      </c>
      <c r="D1868" s="23">
        <v>-70.4799341887104</v>
      </c>
    </row>
    <row r="1869">
      <c r="A1869" s="24" t="s">
        <v>9874</v>
      </c>
      <c r="B1869" s="24" t="s">
        <v>8071</v>
      </c>
      <c r="C1869" s="25">
        <v>-25.4064574741164</v>
      </c>
      <c r="D1869" s="25">
        <v>-70.4799341887104</v>
      </c>
    </row>
    <row r="1870">
      <c r="A1870" s="22" t="s">
        <v>9875</v>
      </c>
      <c r="B1870" s="22" t="s">
        <v>8001</v>
      </c>
      <c r="C1870" s="23">
        <v>45.1468985491529</v>
      </c>
      <c r="D1870" s="23">
        <v>124.828845075208</v>
      </c>
    </row>
    <row r="1871">
      <c r="A1871" s="24" t="s">
        <v>9876</v>
      </c>
      <c r="B1871" s="24" t="s">
        <v>7971</v>
      </c>
      <c r="C1871" s="25">
        <v>61.031530350675</v>
      </c>
      <c r="D1871" s="25">
        <v>5.08745564130266</v>
      </c>
    </row>
    <row r="1872">
      <c r="A1872" s="22" t="s">
        <v>9877</v>
      </c>
      <c r="B1872" s="22" t="s">
        <v>8177</v>
      </c>
      <c r="C1872" s="23">
        <v>19.171723</v>
      </c>
      <c r="D1872" s="23">
        <v>-15.994444</v>
      </c>
    </row>
    <row r="1873">
      <c r="A1873" s="24" t="s">
        <v>9878</v>
      </c>
      <c r="B1873" s="24" t="s">
        <v>8021</v>
      </c>
      <c r="C1873" s="25">
        <v>-12.3032600505206</v>
      </c>
      <c r="D1873" s="25">
        <v>136.809879433453</v>
      </c>
    </row>
    <row r="1874">
      <c r="A1874" s="22" t="s">
        <v>9879</v>
      </c>
      <c r="B1874" s="22" t="s">
        <v>7987</v>
      </c>
      <c r="C1874" s="23">
        <v>52.4825565137023</v>
      </c>
      <c r="D1874" s="23">
        <v>7.29966781182499</v>
      </c>
    </row>
    <row r="1875">
      <c r="A1875" s="24" t="s">
        <v>9880</v>
      </c>
      <c r="B1875" s="24" t="s">
        <v>8161</v>
      </c>
      <c r="C1875" s="25">
        <v>37.9560097122579</v>
      </c>
      <c r="D1875" s="25">
        <v>-8.81848918981237</v>
      </c>
    </row>
    <row r="1876">
      <c r="A1876" s="22" t="s">
        <v>9881</v>
      </c>
      <c r="B1876" s="22" t="s">
        <v>8108</v>
      </c>
      <c r="C1876" s="23">
        <v>22.3709187697086</v>
      </c>
      <c r="D1876" s="23">
        <v>73.1227507663705</v>
      </c>
    </row>
    <row r="1877">
      <c r="A1877" s="24" t="s">
        <v>9882</v>
      </c>
      <c r="B1877" s="24" t="s">
        <v>8108</v>
      </c>
      <c r="C1877" s="25">
        <v>13.2803940405198</v>
      </c>
      <c r="D1877" s="25">
        <v>80.5624142374577</v>
      </c>
    </row>
    <row r="1878">
      <c r="A1878" s="22" t="s">
        <v>9883</v>
      </c>
      <c r="B1878" s="22" t="s">
        <v>8108</v>
      </c>
      <c r="C1878" s="23">
        <v>13.2803940405198</v>
      </c>
      <c r="D1878" s="23">
        <v>80.5624142374577</v>
      </c>
    </row>
    <row r="1879">
      <c r="A1879" s="24" t="s">
        <v>9884</v>
      </c>
      <c r="B1879" s="24" t="s">
        <v>8108</v>
      </c>
      <c r="C1879" s="25">
        <v>14.7410833165014</v>
      </c>
      <c r="D1879" s="25">
        <v>75.0636378765073</v>
      </c>
    </row>
    <row r="1880">
      <c r="A1880" s="22" t="s">
        <v>9885</v>
      </c>
      <c r="B1880" s="22" t="s">
        <v>8108</v>
      </c>
      <c r="C1880" s="23">
        <v>14.7410833165014</v>
      </c>
      <c r="D1880" s="23">
        <v>75.0636378765073</v>
      </c>
    </row>
    <row r="1881">
      <c r="A1881" s="24" t="s">
        <v>9886</v>
      </c>
      <c r="B1881" s="24" t="s">
        <v>7981</v>
      </c>
      <c r="C1881" s="25">
        <v>44.9278911142064</v>
      </c>
      <c r="D1881" s="25">
        <v>-74.8916921991964</v>
      </c>
    </row>
    <row r="1882">
      <c r="A1882" s="29" t="s">
        <v>9887</v>
      </c>
      <c r="B1882" s="29" t="s">
        <v>8578</v>
      </c>
      <c r="C1882" s="23">
        <v>0.0</v>
      </c>
      <c r="D1882" s="23">
        <v>0.0</v>
      </c>
    </row>
    <row r="1883">
      <c r="A1883" s="24" t="s">
        <v>9888</v>
      </c>
      <c r="B1883" s="24" t="s">
        <v>8021</v>
      </c>
      <c r="C1883" s="25">
        <v>-20.0560758263322</v>
      </c>
      <c r="D1883" s="25">
        <v>147.907235854906</v>
      </c>
    </row>
    <row r="1884">
      <c r="A1884" s="22" t="s">
        <v>9889</v>
      </c>
      <c r="B1884" s="22" t="s">
        <v>7991</v>
      </c>
      <c r="C1884" s="23">
        <v>55.3940099753337</v>
      </c>
      <c r="D1884" s="23">
        <v>-4.19157853203003</v>
      </c>
    </row>
    <row r="1885">
      <c r="A1885" s="24" t="s">
        <v>9890</v>
      </c>
      <c r="B1885" s="24" t="s">
        <v>7987</v>
      </c>
      <c r="C1885" s="25">
        <v>53.359480143554</v>
      </c>
      <c r="D1885" s="25">
        <v>7.20958867708828</v>
      </c>
    </row>
    <row r="1886">
      <c r="A1886" s="22" t="s">
        <v>9891</v>
      </c>
      <c r="B1886" s="22" t="s">
        <v>7971</v>
      </c>
      <c r="C1886" s="23">
        <v>59.27490187193</v>
      </c>
      <c r="D1886" s="23">
        <v>5.52592296694544</v>
      </c>
    </row>
    <row r="1887">
      <c r="A1887" s="24" t="s">
        <v>9892</v>
      </c>
      <c r="B1887" s="24" t="s">
        <v>8177</v>
      </c>
      <c r="C1887" s="25">
        <v>23.7</v>
      </c>
      <c r="D1887" s="25">
        <v>-9.22</v>
      </c>
    </row>
    <row r="1888">
      <c r="A1888" s="22" t="s">
        <v>9893</v>
      </c>
      <c r="B1888" s="22" t="s">
        <v>7981</v>
      </c>
      <c r="C1888" s="23">
        <v>29.6143275876274</v>
      </c>
      <c r="D1888" s="23">
        <v>-94.8999211411769</v>
      </c>
    </row>
    <row r="1889">
      <c r="A1889" s="24" t="s">
        <v>9894</v>
      </c>
      <c r="B1889" s="24" t="s">
        <v>8001</v>
      </c>
      <c r="C1889" s="25">
        <v>45.6256610172764</v>
      </c>
      <c r="D1889" s="25">
        <v>122.840992821297</v>
      </c>
    </row>
    <row r="1890">
      <c r="A1890" s="22" t="s">
        <v>9895</v>
      </c>
      <c r="B1890" s="22" t="s">
        <v>8590</v>
      </c>
      <c r="C1890" s="23">
        <v>-19.746794386517</v>
      </c>
      <c r="D1890" s="23">
        <v>-47.9330540832462</v>
      </c>
    </row>
    <row r="1891">
      <c r="A1891" s="24" t="s">
        <v>9896</v>
      </c>
      <c r="B1891" s="24" t="s">
        <v>7981</v>
      </c>
      <c r="C1891" s="25">
        <v>46.2794322667486</v>
      </c>
      <c r="D1891" s="25">
        <v>-119.272198629081</v>
      </c>
    </row>
    <row r="1892">
      <c r="A1892" s="22" t="s">
        <v>9897</v>
      </c>
      <c r="B1892" s="22" t="s">
        <v>8873</v>
      </c>
      <c r="C1892" s="23">
        <v>-22.97384909359</v>
      </c>
      <c r="D1892" s="23">
        <v>14.5190665163872</v>
      </c>
    </row>
    <row r="1893">
      <c r="A1893" s="24" t="s">
        <v>9898</v>
      </c>
      <c r="B1893" s="24" t="s">
        <v>7994</v>
      </c>
      <c r="C1893" s="25">
        <v>55.0090102393915</v>
      </c>
      <c r="D1893" s="25">
        <v>11.9111668084083</v>
      </c>
    </row>
    <row r="1894">
      <c r="A1894" s="22" t="s">
        <v>9899</v>
      </c>
      <c r="B1894" s="22" t="s">
        <v>8021</v>
      </c>
      <c r="C1894" s="23">
        <v>-27.4288441464941</v>
      </c>
      <c r="D1894" s="23">
        <v>153.184843656717</v>
      </c>
    </row>
    <row r="1895">
      <c r="A1895" s="24" t="s">
        <v>9900</v>
      </c>
      <c r="B1895" s="24" t="s">
        <v>7981</v>
      </c>
      <c r="C1895" s="25">
        <v>33.4485759351321</v>
      </c>
      <c r="D1895" s="25">
        <v>-112.071492652816</v>
      </c>
    </row>
    <row r="1896">
      <c r="A1896" s="22" t="s">
        <v>9901</v>
      </c>
      <c r="B1896" s="22" t="s">
        <v>8590</v>
      </c>
      <c r="C1896" s="23">
        <v>-7.68217376662555</v>
      </c>
      <c r="D1896" s="23">
        <v>-42.5222369705834</v>
      </c>
    </row>
    <row r="1897">
      <c r="A1897" s="24" t="s">
        <v>9902</v>
      </c>
      <c r="B1897" s="24" t="s">
        <v>8003</v>
      </c>
      <c r="C1897" s="25">
        <v>50.318944145324</v>
      </c>
      <c r="D1897" s="25">
        <v>-66.0749429104739</v>
      </c>
    </row>
    <row r="1898">
      <c r="A1898" s="22" t="s">
        <v>9903</v>
      </c>
      <c r="B1898" s="22" t="s">
        <v>8578</v>
      </c>
      <c r="C1898" s="23">
        <v>-6.19422490707724</v>
      </c>
      <c r="D1898" s="23">
        <v>106.820574273816</v>
      </c>
    </row>
    <row r="1899">
      <c r="A1899" s="24" t="s">
        <v>9904</v>
      </c>
      <c r="B1899" s="24" t="s">
        <v>7991</v>
      </c>
      <c r="C1899" s="25">
        <v>53.277031209918</v>
      </c>
      <c r="D1899" s="25">
        <v>-2.84186914778824</v>
      </c>
    </row>
    <row r="1900">
      <c r="A1900" s="22" t="s">
        <v>9905</v>
      </c>
      <c r="B1900" s="22" t="s">
        <v>8161</v>
      </c>
      <c r="C1900" s="23">
        <v>37.9588935688728</v>
      </c>
      <c r="D1900" s="23">
        <v>-8.86007328888969</v>
      </c>
    </row>
    <row r="1901">
      <c r="A1901" s="24" t="s">
        <v>9906</v>
      </c>
      <c r="B1901" s="24" t="s">
        <v>8021</v>
      </c>
      <c r="C1901" s="25">
        <v>-31.2735574431355</v>
      </c>
      <c r="D1901" s="25">
        <v>115.957761374424</v>
      </c>
    </row>
    <row r="1902">
      <c r="A1902" s="22" t="s">
        <v>9907</v>
      </c>
      <c r="B1902" s="22" t="s">
        <v>7971</v>
      </c>
      <c r="C1902" s="23">
        <v>60.5582877313865</v>
      </c>
      <c r="D1902" s="23">
        <v>4.83767676960779</v>
      </c>
    </row>
    <row r="1903">
      <c r="A1903" s="24" t="s">
        <v>9908</v>
      </c>
      <c r="B1903" s="24" t="s">
        <v>7981</v>
      </c>
      <c r="C1903" s="25">
        <v>29.7942074112788</v>
      </c>
      <c r="D1903" s="25">
        <v>-92.5736165020838</v>
      </c>
    </row>
    <row r="1904">
      <c r="A1904" s="22" t="s">
        <v>9909</v>
      </c>
      <c r="B1904" s="22" t="s">
        <v>8108</v>
      </c>
      <c r="C1904" s="23">
        <v>23.0212054254069</v>
      </c>
      <c r="D1904" s="23">
        <v>70.2124705737217</v>
      </c>
    </row>
    <row r="1905">
      <c r="A1905" s="24" t="s">
        <v>9910</v>
      </c>
      <c r="B1905" s="24" t="s">
        <v>8108</v>
      </c>
      <c r="C1905" s="25">
        <v>25.2190466216847</v>
      </c>
      <c r="D1905" s="25">
        <v>75.8644713014465</v>
      </c>
    </row>
    <row r="1906">
      <c r="A1906" s="22" t="s">
        <v>9911</v>
      </c>
      <c r="B1906" s="22" t="s">
        <v>8240</v>
      </c>
      <c r="C1906" s="23">
        <v>22.5257151417782</v>
      </c>
      <c r="D1906" s="23">
        <v>54.007737440483</v>
      </c>
    </row>
    <row r="1907">
      <c r="A1907" s="24" t="s">
        <v>9912</v>
      </c>
      <c r="B1907" s="24" t="s">
        <v>8785</v>
      </c>
      <c r="C1907" s="25">
        <v>29.673639376082</v>
      </c>
      <c r="D1907" s="25">
        <v>32.3348108807118</v>
      </c>
    </row>
    <row r="1908">
      <c r="A1908" s="22" t="s">
        <v>9913</v>
      </c>
      <c r="B1908" s="22" t="s">
        <v>7987</v>
      </c>
      <c r="C1908" s="23">
        <v>50.6736576816798</v>
      </c>
      <c r="D1908" s="23">
        <v>9.77469231889947</v>
      </c>
    </row>
    <row r="1909">
      <c r="A1909" s="24" t="s">
        <v>9914</v>
      </c>
      <c r="B1909" s="24" t="s">
        <v>8562</v>
      </c>
      <c r="C1909" s="25">
        <v>23.723174731851</v>
      </c>
      <c r="D1909" s="25">
        <v>-15.934762435401</v>
      </c>
    </row>
    <row r="1910">
      <c r="A1910" s="22" t="s">
        <v>9915</v>
      </c>
      <c r="B1910" s="22" t="s">
        <v>8008</v>
      </c>
      <c r="C1910" s="23">
        <v>59.51297111931</v>
      </c>
      <c r="D1910" s="23">
        <v>24.8209245595583</v>
      </c>
    </row>
    <row r="1911">
      <c r="A1911" s="24" t="s">
        <v>9916</v>
      </c>
      <c r="B1911" s="24" t="s">
        <v>8578</v>
      </c>
      <c r="C1911" s="25">
        <v>0.0</v>
      </c>
      <c r="D1911" s="25">
        <v>0.0</v>
      </c>
    </row>
    <row r="1912">
      <c r="A1912" s="22" t="s">
        <v>9917</v>
      </c>
      <c r="B1912" s="22" t="s">
        <v>8003</v>
      </c>
      <c r="C1912" s="23">
        <v>53.91748549153</v>
      </c>
      <c r="D1912" s="23">
        <v>-122.760666639468</v>
      </c>
    </row>
    <row r="1913">
      <c r="A1913" s="24" t="s">
        <v>9918</v>
      </c>
      <c r="B1913" s="24" t="s">
        <v>7977</v>
      </c>
      <c r="C1913" s="25">
        <v>41.817438704712</v>
      </c>
      <c r="D1913" s="25">
        <v>-2.44460852225901</v>
      </c>
    </row>
    <row r="1914">
      <c r="A1914" s="22" t="s">
        <v>9919</v>
      </c>
      <c r="B1914" s="22" t="s">
        <v>8026</v>
      </c>
      <c r="C1914" s="23">
        <v>60.1643636896243</v>
      </c>
      <c r="D1914" s="23">
        <v>20.0601246752107</v>
      </c>
    </row>
    <row r="1915">
      <c r="A1915" s="24" t="s">
        <v>9920</v>
      </c>
      <c r="B1915" s="24" t="s">
        <v>8365</v>
      </c>
      <c r="C1915" s="25">
        <v>-25.6551170753138</v>
      </c>
      <c r="D1915" s="25">
        <v>27.2514737040933</v>
      </c>
    </row>
    <row r="1916">
      <c r="A1916" s="22" t="s">
        <v>9921</v>
      </c>
      <c r="B1916" s="22" t="s">
        <v>7987</v>
      </c>
      <c r="C1916" s="23">
        <v>52.2958654137676</v>
      </c>
      <c r="D1916" s="23">
        <v>7.58637142327562</v>
      </c>
    </row>
    <row r="1917">
      <c r="A1917" s="24" t="s">
        <v>9922</v>
      </c>
      <c r="B1917" s="24" t="s">
        <v>7987</v>
      </c>
      <c r="C1917" s="25">
        <v>50.9881650612229</v>
      </c>
      <c r="D1917" s="25">
        <v>6.57199701319871</v>
      </c>
    </row>
    <row r="1918">
      <c r="A1918" s="22" t="s">
        <v>9923</v>
      </c>
      <c r="B1918" s="22" t="s">
        <v>8117</v>
      </c>
      <c r="C1918" s="23">
        <v>35.0119280766485</v>
      </c>
      <c r="D1918" s="23">
        <v>26.1367750384861</v>
      </c>
    </row>
    <row r="1919">
      <c r="A1919" s="24" t="s">
        <v>9924</v>
      </c>
      <c r="B1919" s="24" t="s">
        <v>7967</v>
      </c>
      <c r="C1919" s="25">
        <v>53.3344145029669</v>
      </c>
      <c r="D1919" s="25">
        <v>6.92135994987017</v>
      </c>
    </row>
    <row r="1920">
      <c r="A1920" s="22" t="s">
        <v>9925</v>
      </c>
      <c r="B1920" s="22" t="s">
        <v>8003</v>
      </c>
      <c r="C1920" s="23">
        <v>56.6498373497339</v>
      </c>
      <c r="D1920" s="23">
        <v>-76.4074312358329</v>
      </c>
    </row>
    <row r="1921">
      <c r="A1921" s="24" t="s">
        <v>9926</v>
      </c>
      <c r="B1921" s="24" t="s">
        <v>8011</v>
      </c>
      <c r="C1921" s="25">
        <v>45.3710126340364</v>
      </c>
      <c r="D1921" s="25">
        <v>5.99273404556225</v>
      </c>
    </row>
    <row r="1922">
      <c r="A1922" s="22" t="s">
        <v>9927</v>
      </c>
      <c r="B1922" s="22" t="s">
        <v>8873</v>
      </c>
      <c r="C1922" s="23">
        <v>-18.6212832033066</v>
      </c>
      <c r="D1922" s="23">
        <v>17.1691348270418</v>
      </c>
    </row>
    <row r="1923">
      <c r="A1923" s="24" t="s">
        <v>9928</v>
      </c>
      <c r="B1923" s="24" t="s">
        <v>8873</v>
      </c>
      <c r="C1923" s="25">
        <v>-18.6212832033066</v>
      </c>
      <c r="D1923" s="25">
        <v>17.1691348270418</v>
      </c>
    </row>
    <row r="1924">
      <c r="A1924" s="22" t="s">
        <v>9929</v>
      </c>
      <c r="B1924" s="22" t="s">
        <v>7987</v>
      </c>
      <c r="C1924" s="23">
        <v>54.1903872939082</v>
      </c>
      <c r="D1924" s="23">
        <v>9.10862940059004</v>
      </c>
    </row>
    <row r="1925">
      <c r="A1925" s="24" t="s">
        <v>9930</v>
      </c>
      <c r="B1925" s="24" t="s">
        <v>8021</v>
      </c>
      <c r="C1925" s="25">
        <v>-23.8415355203833</v>
      </c>
      <c r="D1925" s="25">
        <v>151.250589188345</v>
      </c>
    </row>
    <row r="1926">
      <c r="A1926" s="22" t="s">
        <v>9931</v>
      </c>
      <c r="B1926" s="22" t="s">
        <v>8021</v>
      </c>
      <c r="C1926" s="23">
        <v>-28.1688330657034</v>
      </c>
      <c r="D1926" s="23">
        <v>152.981454746062</v>
      </c>
    </row>
    <row r="1927">
      <c r="A1927" s="24" t="s">
        <v>9932</v>
      </c>
      <c r="B1927" s="24" t="s">
        <v>8785</v>
      </c>
      <c r="C1927" s="25">
        <v>29.6333926321958</v>
      </c>
      <c r="D1927" s="25">
        <v>32.3008063477238</v>
      </c>
    </row>
    <row r="1928">
      <c r="A1928" s="22" t="s">
        <v>9933</v>
      </c>
      <c r="B1928" s="22" t="s">
        <v>8021</v>
      </c>
      <c r="C1928" s="23">
        <v>-23.8415355203833</v>
      </c>
      <c r="D1928" s="23">
        <v>151.250589188345</v>
      </c>
    </row>
    <row r="1929">
      <c r="A1929" s="24" t="s">
        <v>9934</v>
      </c>
      <c r="B1929" s="24" t="s">
        <v>7967</v>
      </c>
      <c r="C1929" s="25">
        <v>51.958861608754</v>
      </c>
      <c r="D1929" s="25">
        <v>4.05634190554556</v>
      </c>
    </row>
    <row r="1930">
      <c r="A1930" s="22" t="s">
        <v>9935</v>
      </c>
      <c r="B1930" s="22" t="s">
        <v>8562</v>
      </c>
      <c r="C1930" s="23">
        <v>23.723174731851</v>
      </c>
      <c r="D1930" s="23">
        <v>-15.934762435401</v>
      </c>
    </row>
    <row r="1931">
      <c r="A1931" s="24" t="s">
        <v>9936</v>
      </c>
      <c r="B1931" s="24" t="s">
        <v>8562</v>
      </c>
      <c r="C1931" s="25">
        <v>23.723174731851</v>
      </c>
      <c r="D1931" s="25">
        <v>-15.934762435401</v>
      </c>
    </row>
    <row r="1932">
      <c r="A1932" s="22" t="s">
        <v>9937</v>
      </c>
      <c r="B1932" s="22" t="s">
        <v>7987</v>
      </c>
      <c r="C1932" s="23">
        <v>51.3247111673379</v>
      </c>
      <c r="D1932" s="23">
        <v>12.024311061848</v>
      </c>
    </row>
    <row r="1933">
      <c r="A1933" s="24" t="s">
        <v>9938</v>
      </c>
      <c r="B1933" s="24" t="s">
        <v>8001</v>
      </c>
      <c r="C1933" s="25">
        <v>46.0923824858943</v>
      </c>
      <c r="D1933" s="25">
        <v>122.036806643073</v>
      </c>
    </row>
    <row r="1934">
      <c r="A1934" s="22" t="s">
        <v>9939</v>
      </c>
      <c r="B1934" s="22" t="s">
        <v>8785</v>
      </c>
      <c r="C1934" s="23">
        <v>31.2665542268882</v>
      </c>
      <c r="D1934" s="23">
        <v>32.3004465182525</v>
      </c>
    </row>
    <row r="1935">
      <c r="A1935" s="24" t="s">
        <v>9940</v>
      </c>
      <c r="B1935" s="24" t="s">
        <v>7983</v>
      </c>
      <c r="C1935" s="25">
        <v>35.0196073650121</v>
      </c>
      <c r="D1935" s="25">
        <v>134.833137729952</v>
      </c>
    </row>
    <row r="1936">
      <c r="A1936" s="22" t="s">
        <v>9941</v>
      </c>
      <c r="B1936" s="22" t="s">
        <v>7967</v>
      </c>
      <c r="C1936" s="23">
        <v>53.3344145029669</v>
      </c>
      <c r="D1936" s="23">
        <v>6.92135994987017</v>
      </c>
    </row>
    <row r="1937">
      <c r="A1937" s="24" t="s">
        <v>9942</v>
      </c>
      <c r="B1937" s="24" t="s">
        <v>8785</v>
      </c>
      <c r="C1937" s="25">
        <v>29.659369</v>
      </c>
      <c r="D1937" s="25">
        <v>32.34481</v>
      </c>
    </row>
    <row r="1938">
      <c r="A1938" s="22" t="s">
        <v>9943</v>
      </c>
      <c r="B1938" s="22" t="s">
        <v>7981</v>
      </c>
      <c r="C1938" s="23">
        <v>29.8925834119319</v>
      </c>
      <c r="D1938" s="23">
        <v>-93.8957237628197</v>
      </c>
    </row>
    <row r="1939">
      <c r="A1939" s="24" t="s">
        <v>9944</v>
      </c>
      <c r="B1939" s="24" t="s">
        <v>8003</v>
      </c>
      <c r="C1939" s="25">
        <v>46.9154099346854</v>
      </c>
      <c r="D1939" s="25">
        <v>-72.6155259188843</v>
      </c>
    </row>
    <row r="1940">
      <c r="A1940" s="27" t="s">
        <v>9945</v>
      </c>
      <c r="B1940" s="22" t="s">
        <v>7977</v>
      </c>
      <c r="C1940" s="23">
        <v>37.2197957856124</v>
      </c>
      <c r="D1940" s="23">
        <v>-6.9371736040034</v>
      </c>
    </row>
    <row r="1941">
      <c r="A1941" s="24" t="s">
        <v>9946</v>
      </c>
      <c r="B1941" s="24" t="s">
        <v>8177</v>
      </c>
      <c r="C1941" s="25">
        <v>18.6211088216298</v>
      </c>
      <c r="D1941" s="25">
        <v>-12.4682963675008</v>
      </c>
    </row>
    <row r="1942">
      <c r="A1942" s="22" t="s">
        <v>9947</v>
      </c>
      <c r="B1942" s="22" t="s">
        <v>8785</v>
      </c>
      <c r="C1942" s="23">
        <v>29.659369</v>
      </c>
      <c r="D1942" s="23">
        <v>32.34481</v>
      </c>
    </row>
    <row r="1943">
      <c r="A1943" s="24" t="s">
        <v>9948</v>
      </c>
      <c r="B1943" s="24" t="s">
        <v>9949</v>
      </c>
      <c r="C1943" s="25">
        <v>18.452420186298</v>
      </c>
      <c r="D1943" s="25">
        <v>-68.9487855396054</v>
      </c>
    </row>
    <row r="1944">
      <c r="A1944" s="22" t="s">
        <v>9950</v>
      </c>
      <c r="B1944" s="22" t="s">
        <v>9951</v>
      </c>
      <c r="C1944" s="23">
        <v>24.9897100116978</v>
      </c>
      <c r="D1944" s="23">
        <v>51.5723527971168</v>
      </c>
    </row>
    <row r="1945">
      <c r="A1945" s="24" t="s">
        <v>235</v>
      </c>
      <c r="B1945" s="24" t="s">
        <v>7999</v>
      </c>
      <c r="C1945" s="25">
        <v>47.9851682548485</v>
      </c>
      <c r="D1945" s="25">
        <v>13.5608745428873</v>
      </c>
    </row>
    <row r="1946">
      <c r="A1946" s="22" t="s">
        <v>9952</v>
      </c>
      <c r="B1946" s="22" t="s">
        <v>7981</v>
      </c>
      <c r="C1946" s="23">
        <v>44.2739867416455</v>
      </c>
      <c r="D1946" s="23">
        <v>-105.455085541004</v>
      </c>
    </row>
    <row r="1947">
      <c r="A1947" s="24" t="s">
        <v>9953</v>
      </c>
      <c r="B1947" s="24" t="s">
        <v>7981</v>
      </c>
      <c r="C1947" s="25">
        <v>41.0591943069837</v>
      </c>
      <c r="D1947" s="25">
        <v>-104.891578101129</v>
      </c>
    </row>
    <row r="1948">
      <c r="A1948" s="22" t="s">
        <v>9954</v>
      </c>
      <c r="B1948" s="22" t="s">
        <v>8539</v>
      </c>
      <c r="C1948" s="23">
        <v>36.0612851899911</v>
      </c>
      <c r="D1948" s="23">
        <v>128.077667686249</v>
      </c>
    </row>
    <row r="1949">
      <c r="A1949" s="24" t="s">
        <v>9955</v>
      </c>
      <c r="B1949" s="24" t="s">
        <v>7987</v>
      </c>
      <c r="C1949" s="25">
        <v>52.2000340471413</v>
      </c>
      <c r="D1949" s="25">
        <v>7.62321869449201</v>
      </c>
    </row>
    <row r="1950">
      <c r="A1950" s="22" t="s">
        <v>9956</v>
      </c>
      <c r="B1950" s="22" t="s">
        <v>8026</v>
      </c>
      <c r="C1950" s="23">
        <v>60.4662594940638</v>
      </c>
      <c r="D1950" s="23">
        <v>25.1127157043182</v>
      </c>
    </row>
    <row r="1951">
      <c r="A1951" s="24" t="s">
        <v>9957</v>
      </c>
      <c r="B1951" s="24" t="s">
        <v>8026</v>
      </c>
      <c r="C1951" s="25">
        <v>61.5527379353427</v>
      </c>
      <c r="D1951" s="25">
        <v>23.974372407829</v>
      </c>
    </row>
    <row r="1952">
      <c r="A1952" s="22" t="s">
        <v>9958</v>
      </c>
      <c r="B1952" s="22" t="s">
        <v>8026</v>
      </c>
      <c r="C1952" s="23">
        <v>60.9827089143641</v>
      </c>
      <c r="D1952" s="23">
        <v>25.7894591105701</v>
      </c>
    </row>
    <row r="1953">
      <c r="A1953" s="24" t="s">
        <v>9959</v>
      </c>
      <c r="B1953" s="24" t="s">
        <v>8026</v>
      </c>
      <c r="C1953" s="25">
        <v>60.5249870379448</v>
      </c>
      <c r="D1953" s="25">
        <v>26.8525727205455</v>
      </c>
    </row>
    <row r="1954">
      <c r="A1954" s="22" t="s">
        <v>9960</v>
      </c>
      <c r="B1954" s="22" t="s">
        <v>8026</v>
      </c>
      <c r="C1954" s="23">
        <v>61.6703365432153</v>
      </c>
      <c r="D1954" s="23">
        <v>27.2900970047199</v>
      </c>
    </row>
    <row r="1955">
      <c r="A1955" s="24" t="s">
        <v>9961</v>
      </c>
      <c r="B1955" s="24" t="s">
        <v>8026</v>
      </c>
      <c r="C1955" s="25">
        <v>61.4887083214934</v>
      </c>
      <c r="D1955" s="25">
        <v>21.8112096891666</v>
      </c>
    </row>
    <row r="1956">
      <c r="A1956" s="22" t="s">
        <v>9962</v>
      </c>
      <c r="B1956" s="22" t="s">
        <v>8001</v>
      </c>
      <c r="C1956" s="23">
        <v>45.1468985491529</v>
      </c>
      <c r="D1956" s="23">
        <v>124.828845075208</v>
      </c>
    </row>
    <row r="1957">
      <c r="A1957" s="24" t="s">
        <v>9963</v>
      </c>
      <c r="B1957" s="24" t="s">
        <v>8001</v>
      </c>
      <c r="C1957" s="25">
        <v>39.6740578446643</v>
      </c>
      <c r="D1957" s="25">
        <v>109.724756063919</v>
      </c>
    </row>
    <row r="1958">
      <c r="A1958" s="22" t="s">
        <v>9964</v>
      </c>
      <c r="B1958" s="22" t="s">
        <v>8001</v>
      </c>
      <c r="C1958" s="23">
        <v>22.9933648645892</v>
      </c>
      <c r="D1958" s="23">
        <v>113.076252802835</v>
      </c>
    </row>
    <row r="1959">
      <c r="A1959" s="28" t="s">
        <v>9965</v>
      </c>
      <c r="B1959" s="24" t="s">
        <v>8001</v>
      </c>
      <c r="C1959" s="25">
        <v>44.0405971204557</v>
      </c>
      <c r="D1959" s="25">
        <v>87.2522958900573</v>
      </c>
    </row>
    <row r="1960">
      <c r="A1960" s="27" t="s">
        <v>9966</v>
      </c>
      <c r="B1960" s="22" t="s">
        <v>8001</v>
      </c>
      <c r="C1960" s="23">
        <v>38.920834</v>
      </c>
      <c r="D1960" s="23">
        <v>121.639168</v>
      </c>
    </row>
    <row r="1961">
      <c r="A1961" s="28" t="s">
        <v>9967</v>
      </c>
      <c r="B1961" s="24" t="s">
        <v>8001</v>
      </c>
      <c r="C1961" s="25">
        <v>44.0405971204557</v>
      </c>
      <c r="D1961" s="25">
        <v>87.2522958900573</v>
      </c>
    </row>
    <row r="1962">
      <c r="A1962" s="27" t="s">
        <v>9968</v>
      </c>
      <c r="B1962" s="22" t="s">
        <v>8001</v>
      </c>
      <c r="C1962" s="23">
        <v>44.0405971204557</v>
      </c>
      <c r="D1962" s="23">
        <v>87.2522958900573</v>
      </c>
    </row>
    <row r="1963">
      <c r="A1963" s="24" t="s">
        <v>9969</v>
      </c>
      <c r="B1963" s="24" t="s">
        <v>8713</v>
      </c>
      <c r="C1963" s="25">
        <v>-12.5020284718409</v>
      </c>
      <c r="D1963" s="25">
        <v>-76.7301004711636</v>
      </c>
    </row>
    <row r="1964">
      <c r="A1964" s="22" t="s">
        <v>9970</v>
      </c>
      <c r="B1964" s="22" t="s">
        <v>7987</v>
      </c>
      <c r="C1964" s="23">
        <v>52.8505195746245</v>
      </c>
      <c r="D1964" s="23">
        <v>7.70494151299893</v>
      </c>
    </row>
    <row r="1965">
      <c r="A1965" s="24" t="s">
        <v>9971</v>
      </c>
      <c r="B1965" s="24" t="s">
        <v>8003</v>
      </c>
      <c r="C1965" s="25">
        <v>54.7184761884051</v>
      </c>
      <c r="D1965" s="25">
        <v>-122.782168055715</v>
      </c>
    </row>
    <row r="1966">
      <c r="A1966" s="22" t="s">
        <v>9972</v>
      </c>
      <c r="B1966" s="22" t="s">
        <v>9649</v>
      </c>
      <c r="C1966" s="23">
        <v>29.4687545308148</v>
      </c>
      <c r="D1966" s="23">
        <v>34.9780013009407</v>
      </c>
    </row>
    <row r="1967">
      <c r="A1967" s="24" t="s">
        <v>9973</v>
      </c>
      <c r="B1967" s="24" t="s">
        <v>9649</v>
      </c>
      <c r="C1967" s="25">
        <v>0.0</v>
      </c>
      <c r="D1967" s="25">
        <v>0.0</v>
      </c>
    </row>
    <row r="1968">
      <c r="A1968" s="22" t="s">
        <v>9974</v>
      </c>
      <c r="B1968" s="22" t="s">
        <v>9649</v>
      </c>
      <c r="C1968" s="23">
        <v>0.0</v>
      </c>
      <c r="D1968" s="23">
        <v>0.0</v>
      </c>
    </row>
    <row r="1969">
      <c r="A1969" s="24" t="s">
        <v>9975</v>
      </c>
      <c r="B1969" s="24" t="s">
        <v>9649</v>
      </c>
      <c r="C1969" s="25">
        <v>0.0</v>
      </c>
      <c r="D1969" s="25">
        <v>0.0</v>
      </c>
    </row>
    <row r="1970">
      <c r="A1970" s="22" t="s">
        <v>9976</v>
      </c>
      <c r="B1970" s="22" t="s">
        <v>9649</v>
      </c>
      <c r="C1970" s="23">
        <v>0.0</v>
      </c>
      <c r="D1970" s="23">
        <v>0.0</v>
      </c>
    </row>
    <row r="1971">
      <c r="A1971" s="24" t="s">
        <v>9977</v>
      </c>
      <c r="B1971" s="24" t="s">
        <v>9649</v>
      </c>
      <c r="C1971" s="25">
        <v>0.0</v>
      </c>
      <c r="D1971" s="25">
        <v>0.0</v>
      </c>
    </row>
    <row r="1972">
      <c r="A1972" s="22" t="s">
        <v>9978</v>
      </c>
      <c r="B1972" s="22" t="s">
        <v>9649</v>
      </c>
      <c r="C1972" s="23">
        <v>0.0</v>
      </c>
      <c r="D1972" s="23">
        <v>0.0</v>
      </c>
    </row>
    <row r="1973">
      <c r="A1973" s="24" t="s">
        <v>9979</v>
      </c>
      <c r="B1973" s="24" t="s">
        <v>9649</v>
      </c>
      <c r="C1973" s="25">
        <v>0.0</v>
      </c>
      <c r="D1973" s="25">
        <v>0.0</v>
      </c>
    </row>
    <row r="1974">
      <c r="A1974" s="22" t="s">
        <v>9980</v>
      </c>
      <c r="B1974" s="22" t="s">
        <v>9649</v>
      </c>
      <c r="C1974" s="23">
        <v>0.0</v>
      </c>
      <c r="D1974" s="23">
        <v>0.0</v>
      </c>
    </row>
    <row r="1975">
      <c r="A1975" s="24" t="s">
        <v>9981</v>
      </c>
      <c r="B1975" s="24" t="s">
        <v>9649</v>
      </c>
      <c r="C1975" s="25">
        <v>0.0</v>
      </c>
      <c r="D1975" s="25">
        <v>0.0</v>
      </c>
    </row>
    <row r="1976">
      <c r="A1976" s="22" t="s">
        <v>9982</v>
      </c>
      <c r="B1976" s="22" t="s">
        <v>9649</v>
      </c>
      <c r="C1976" s="23">
        <v>0.0</v>
      </c>
      <c r="D1976" s="23">
        <v>0.0</v>
      </c>
    </row>
    <row r="1977">
      <c r="A1977" s="24" t="s">
        <v>9983</v>
      </c>
      <c r="B1977" s="24" t="s">
        <v>9984</v>
      </c>
      <c r="C1977" s="25">
        <v>44.0727466408729</v>
      </c>
      <c r="D1977" s="25">
        <v>22.1021008263228</v>
      </c>
    </row>
    <row r="1978">
      <c r="A1978" s="22" t="s">
        <v>9985</v>
      </c>
      <c r="B1978" s="22" t="s">
        <v>7987</v>
      </c>
      <c r="C1978" s="23">
        <v>52.329927267672</v>
      </c>
      <c r="D1978" s="23">
        <v>10.9050760825214</v>
      </c>
    </row>
    <row r="1979">
      <c r="A1979" s="24" t="s">
        <v>9986</v>
      </c>
      <c r="B1979" s="24" t="s">
        <v>8047</v>
      </c>
      <c r="C1979" s="25">
        <v>46.0052405699426</v>
      </c>
      <c r="D1979" s="25">
        <v>8.32512219874111</v>
      </c>
    </row>
    <row r="1980">
      <c r="A1980" s="22" t="s">
        <v>9987</v>
      </c>
      <c r="B1980" s="22" t="s">
        <v>7991</v>
      </c>
      <c r="C1980" s="23">
        <v>52.7713601535241</v>
      </c>
      <c r="D1980" s="23">
        <v>-1.20484782011225</v>
      </c>
    </row>
    <row r="1981">
      <c r="A1981" s="24" t="s">
        <v>9988</v>
      </c>
      <c r="B1981" s="24" t="s">
        <v>8620</v>
      </c>
      <c r="C1981" s="25">
        <v>49.2953970139537</v>
      </c>
      <c r="D1981" s="25">
        <v>14.1497448823086</v>
      </c>
    </row>
    <row r="1982">
      <c r="A1982" s="22" t="s">
        <v>9989</v>
      </c>
      <c r="B1982" s="22" t="s">
        <v>8001</v>
      </c>
      <c r="C1982" s="23">
        <v>0.0</v>
      </c>
      <c r="D1982" s="23">
        <v>0.0</v>
      </c>
    </row>
    <row r="1983">
      <c r="A1983" s="24" t="s">
        <v>9990</v>
      </c>
      <c r="B1983" s="24" t="s">
        <v>7987</v>
      </c>
      <c r="C1983" s="25">
        <v>50.6498168941204</v>
      </c>
      <c r="D1983" s="25">
        <v>10.6791241268308</v>
      </c>
    </row>
    <row r="1984">
      <c r="A1984" s="22" t="s">
        <v>9991</v>
      </c>
      <c r="B1984" s="22" t="s">
        <v>8011</v>
      </c>
      <c r="C1984" s="23">
        <v>45.360475960041</v>
      </c>
      <c r="D1984" s="23">
        <v>4.79679822921752</v>
      </c>
    </row>
    <row r="1985">
      <c r="A1985" s="24" t="s">
        <v>9992</v>
      </c>
      <c r="B1985" s="24" t="s">
        <v>7987</v>
      </c>
      <c r="C1985" s="25">
        <v>52.9440659030629</v>
      </c>
      <c r="D1985" s="25">
        <v>8.88382809681084</v>
      </c>
    </row>
    <row r="1986">
      <c r="A1986" s="22" t="s">
        <v>9993</v>
      </c>
      <c r="B1986" s="22" t="s">
        <v>8122</v>
      </c>
      <c r="C1986" s="23">
        <v>63.8106651053466</v>
      </c>
      <c r="D1986" s="23">
        <v>-22.682991206315</v>
      </c>
    </row>
    <row r="1987">
      <c r="A1987" s="24" t="s">
        <v>9994</v>
      </c>
      <c r="B1987" s="24" t="s">
        <v>7991</v>
      </c>
      <c r="C1987" s="25">
        <v>57.7075187710783</v>
      </c>
      <c r="D1987" s="25">
        <v>-4.02954635462174</v>
      </c>
    </row>
    <row r="1988">
      <c r="A1988" s="22" t="s">
        <v>9995</v>
      </c>
      <c r="B1988" s="22" t="s">
        <v>7977</v>
      </c>
      <c r="C1988" s="23">
        <v>36.5212131475424</v>
      </c>
      <c r="D1988" s="23">
        <v>-6.28066486611788</v>
      </c>
    </row>
    <row r="1989">
      <c r="A1989" s="24" t="s">
        <v>9996</v>
      </c>
      <c r="B1989" s="24" t="s">
        <v>7977</v>
      </c>
      <c r="C1989" s="25">
        <v>0.0</v>
      </c>
      <c r="D1989" s="25">
        <v>0.0</v>
      </c>
    </row>
    <row r="1990">
      <c r="A1990" s="22" t="s">
        <v>9997</v>
      </c>
      <c r="B1990" s="22" t="s">
        <v>7971</v>
      </c>
      <c r="C1990" s="23">
        <v>58.1449200162199</v>
      </c>
      <c r="D1990" s="23">
        <v>8.02465756689522</v>
      </c>
    </row>
    <row r="1991">
      <c r="A1991" s="24" t="s">
        <v>9998</v>
      </c>
      <c r="B1991" s="24" t="s">
        <v>7971</v>
      </c>
      <c r="C1991" s="25">
        <v>58.1449200162199</v>
      </c>
      <c r="D1991" s="25">
        <v>8.02465756689522</v>
      </c>
    </row>
    <row r="1992">
      <c r="A1992" s="22" t="s">
        <v>9999</v>
      </c>
      <c r="B1992" s="22" t="s">
        <v>7974</v>
      </c>
      <c r="C1992" s="23">
        <v>61.3198461552365</v>
      </c>
      <c r="D1992" s="23">
        <v>17.387107209766</v>
      </c>
    </row>
    <row r="1993">
      <c r="A1993" s="24" t="s">
        <v>10000</v>
      </c>
      <c r="B1993" s="24" t="s">
        <v>7987</v>
      </c>
      <c r="C1993" s="25">
        <v>61.3198461552365</v>
      </c>
      <c r="D1993" s="25">
        <v>17.387107209766</v>
      </c>
    </row>
    <row r="1994">
      <c r="A1994" s="22" t="s">
        <v>10001</v>
      </c>
      <c r="B1994" s="22" t="s">
        <v>8001</v>
      </c>
      <c r="C1994" s="23">
        <v>36.7931204059812</v>
      </c>
      <c r="D1994" s="23">
        <v>121.115067941697</v>
      </c>
    </row>
    <row r="1995">
      <c r="A1995" s="24" t="s">
        <v>10002</v>
      </c>
      <c r="B1995" s="24" t="s">
        <v>8108</v>
      </c>
      <c r="C1995" s="25">
        <v>22.2479233170989</v>
      </c>
      <c r="D1995" s="25">
        <v>71.6963615615984</v>
      </c>
    </row>
    <row r="1996">
      <c r="A1996" s="22" t="s">
        <v>10003</v>
      </c>
      <c r="B1996" s="22" t="s">
        <v>8108</v>
      </c>
      <c r="C1996" s="23">
        <v>8.31885343593635</v>
      </c>
      <c r="D1996" s="23">
        <v>77.7404485061997</v>
      </c>
    </row>
    <row r="1997">
      <c r="A1997" s="24" t="s">
        <v>10004</v>
      </c>
      <c r="B1997" s="24" t="s">
        <v>8108</v>
      </c>
      <c r="C1997" s="25">
        <v>18.3460778036498</v>
      </c>
      <c r="D1997" s="25">
        <v>81.8830456715631</v>
      </c>
    </row>
    <row r="1998">
      <c r="A1998" s="22" t="s">
        <v>10005</v>
      </c>
      <c r="B1998" s="22" t="s">
        <v>8108</v>
      </c>
      <c r="C1998" s="23">
        <v>19.1723836363939</v>
      </c>
      <c r="D1998" s="23">
        <v>83.4144668741305</v>
      </c>
    </row>
    <row r="1999">
      <c r="A1999" s="24" t="s">
        <v>10006</v>
      </c>
      <c r="B1999" s="24" t="s">
        <v>7994</v>
      </c>
      <c r="C1999" s="25">
        <v>54.9013410338146</v>
      </c>
      <c r="D1999" s="25">
        <v>9.35218267961373</v>
      </c>
    </row>
    <row r="2000">
      <c r="A2000" s="22" t="s">
        <v>10007</v>
      </c>
      <c r="B2000" s="22" t="s">
        <v>8041</v>
      </c>
      <c r="C2000" s="23">
        <v>13.6678267720799</v>
      </c>
      <c r="D2000" s="23">
        <v>100.622994394148</v>
      </c>
    </row>
    <row r="2001">
      <c r="A2001" s="24" t="s">
        <v>10008</v>
      </c>
      <c r="B2001" s="24" t="s">
        <v>8003</v>
      </c>
      <c r="C2001" s="25">
        <v>45.6342663969805</v>
      </c>
      <c r="D2001" s="25">
        <v>-73.5213112846543</v>
      </c>
    </row>
    <row r="2002">
      <c r="A2002" s="22" t="s">
        <v>10009</v>
      </c>
      <c r="B2002" s="22" t="s">
        <v>8001</v>
      </c>
      <c r="C2002" s="23">
        <v>47.355702506321</v>
      </c>
      <c r="D2002" s="23">
        <v>124.048273774773</v>
      </c>
    </row>
    <row r="2003">
      <c r="A2003" s="24" t="s">
        <v>10010</v>
      </c>
      <c r="B2003" s="24" t="s">
        <v>8001</v>
      </c>
      <c r="C2003" s="25">
        <v>47.355702506321</v>
      </c>
      <c r="D2003" s="25">
        <v>124.048273774773</v>
      </c>
    </row>
    <row r="2004">
      <c r="A2004" s="22" t="s">
        <v>10011</v>
      </c>
      <c r="B2004" s="22" t="s">
        <v>7987</v>
      </c>
      <c r="C2004" s="23">
        <v>48.6601919589153</v>
      </c>
      <c r="D2004" s="23">
        <v>10.1543361762755</v>
      </c>
    </row>
    <row r="2005">
      <c r="A2005" s="24" t="s">
        <v>10012</v>
      </c>
      <c r="B2005" s="24" t="s">
        <v>7987</v>
      </c>
      <c r="C2005" s="25">
        <v>53.5142697661571</v>
      </c>
      <c r="D2005" s="25">
        <v>9.95004694091784</v>
      </c>
    </row>
    <row r="2006">
      <c r="A2006" s="22" t="s">
        <v>10013</v>
      </c>
      <c r="B2006" s="22" t="s">
        <v>8122</v>
      </c>
      <c r="C2006" s="23">
        <v>64.0311682250677</v>
      </c>
      <c r="D2006" s="23">
        <v>-22.5681227263252</v>
      </c>
    </row>
    <row r="2007">
      <c r="A2007" s="24" t="s">
        <v>10014</v>
      </c>
      <c r="B2007" s="24" t="s">
        <v>7974</v>
      </c>
      <c r="C2007" s="25">
        <v>59.6654988945498</v>
      </c>
      <c r="D2007" s="25">
        <v>17.8987672677665</v>
      </c>
    </row>
    <row r="2008">
      <c r="A2008" s="22" t="s">
        <v>10015</v>
      </c>
      <c r="B2008" s="22" t="s">
        <v>7991</v>
      </c>
      <c r="C2008" s="23">
        <v>54.5917410207027</v>
      </c>
      <c r="D2008" s="23">
        <v>-1.14965592272594</v>
      </c>
    </row>
    <row r="2009">
      <c r="A2009" s="24" t="s">
        <v>10016</v>
      </c>
      <c r="B2009" s="24" t="s">
        <v>7991</v>
      </c>
      <c r="C2009" s="25">
        <v>54.5917410207027</v>
      </c>
      <c r="D2009" s="25">
        <v>-1.14965592272594</v>
      </c>
    </row>
    <row r="2010">
      <c r="A2010" s="22" t="s">
        <v>10017</v>
      </c>
      <c r="B2010" s="22" t="s">
        <v>7991</v>
      </c>
      <c r="C2010" s="23">
        <v>53.3595659806811</v>
      </c>
      <c r="D2010" s="23">
        <v>-1.48730120465321</v>
      </c>
    </row>
    <row r="2011">
      <c r="A2011" s="24" t="s">
        <v>10018</v>
      </c>
      <c r="B2011" s="24" t="s">
        <v>9089</v>
      </c>
      <c r="C2011" s="25">
        <v>0.0</v>
      </c>
      <c r="D2011" s="25">
        <v>0.0</v>
      </c>
    </row>
    <row r="2012">
      <c r="A2012" s="22" t="s">
        <v>10019</v>
      </c>
      <c r="B2012" s="22" t="s">
        <v>8003</v>
      </c>
      <c r="C2012" s="23">
        <v>48.5223958842751</v>
      </c>
      <c r="D2012" s="23">
        <v>-58.4347252755619</v>
      </c>
    </row>
    <row r="2013">
      <c r="A2013" s="24" t="s">
        <v>10020</v>
      </c>
      <c r="B2013" s="24" t="s">
        <v>8016</v>
      </c>
      <c r="C2013" s="25">
        <v>4.39009741673522</v>
      </c>
      <c r="D2013" s="25">
        <v>100.691448510058</v>
      </c>
    </row>
    <row r="2014">
      <c r="A2014" s="22" t="s">
        <v>10021</v>
      </c>
      <c r="B2014" s="22" t="s">
        <v>8365</v>
      </c>
      <c r="C2014" s="23">
        <v>-26.5370718775434</v>
      </c>
      <c r="D2014" s="23">
        <v>29.6171828672496</v>
      </c>
    </row>
    <row r="2015">
      <c r="A2015" s="24" t="s">
        <v>10022</v>
      </c>
      <c r="B2015" s="24" t="s">
        <v>10023</v>
      </c>
      <c r="C2015" s="25">
        <v>7.31340762698422</v>
      </c>
      <c r="D2015" s="25">
        <v>122.819841016067</v>
      </c>
    </row>
    <row r="2016">
      <c r="A2016" s="22" t="s">
        <v>10024</v>
      </c>
      <c r="B2016" s="22" t="s">
        <v>10025</v>
      </c>
      <c r="C2016" s="23">
        <v>-18.1154530849246</v>
      </c>
      <c r="D2016" s="23">
        <v>178.447084445086</v>
      </c>
    </row>
    <row r="2017">
      <c r="A2017" s="24" t="s">
        <v>10026</v>
      </c>
      <c r="B2017" s="24" t="s">
        <v>7991</v>
      </c>
      <c r="C2017" s="25">
        <v>56.5390163335948</v>
      </c>
      <c r="D2017" s="25">
        <v>-2.64363628965377</v>
      </c>
    </row>
    <row r="2018">
      <c r="A2018" s="22" t="s">
        <v>10027</v>
      </c>
      <c r="B2018" s="22" t="s">
        <v>10028</v>
      </c>
      <c r="C2018" s="23">
        <v>2.24145550895633</v>
      </c>
      <c r="D2018" s="23">
        <v>32.270496594245</v>
      </c>
    </row>
    <row r="2019">
      <c r="A2019" s="24" t="s">
        <v>10029</v>
      </c>
      <c r="B2019" s="24" t="s">
        <v>7981</v>
      </c>
      <c r="C2019" s="25">
        <v>28.6968447650673</v>
      </c>
      <c r="D2019" s="25">
        <v>-96.9625200144601</v>
      </c>
    </row>
    <row r="2020">
      <c r="A2020" s="22" t="s">
        <v>10030</v>
      </c>
      <c r="B2020" s="22" t="s">
        <v>8026</v>
      </c>
      <c r="C2020" s="23">
        <v>65.0241587953625</v>
      </c>
      <c r="D2020" s="23">
        <v>25.5070357803036</v>
      </c>
    </row>
    <row r="2021">
      <c r="A2021" s="24" t="s">
        <v>10031</v>
      </c>
      <c r="B2021" s="24" t="s">
        <v>7991</v>
      </c>
      <c r="C2021" s="25">
        <v>56.1158834996824</v>
      </c>
      <c r="D2021" s="25">
        <v>-3.92556830276871</v>
      </c>
    </row>
    <row r="2022">
      <c r="A2022" s="22" t="s">
        <v>10032</v>
      </c>
      <c r="B2022" s="22" t="s">
        <v>7991</v>
      </c>
      <c r="C2022" s="23">
        <v>53.5187366523907</v>
      </c>
      <c r="D2022" s="23">
        <v>-2.65991010432154</v>
      </c>
    </row>
    <row r="2023">
      <c r="A2023" s="24" t="s">
        <v>10033</v>
      </c>
      <c r="B2023" s="24" t="s">
        <v>7987</v>
      </c>
      <c r="C2023" s="25">
        <v>53.3761067777126</v>
      </c>
      <c r="D2023" s="25">
        <v>7.18769566422792</v>
      </c>
    </row>
    <row r="2024">
      <c r="A2024" s="22" t="s">
        <v>10034</v>
      </c>
      <c r="B2024" s="22" t="s">
        <v>7987</v>
      </c>
      <c r="C2024" s="23">
        <v>48.8410037441289</v>
      </c>
      <c r="D2024" s="23">
        <v>9.3092910773409</v>
      </c>
    </row>
    <row r="2025">
      <c r="A2025" s="24" t="s">
        <v>10035</v>
      </c>
      <c r="B2025" s="24" t="s">
        <v>7987</v>
      </c>
      <c r="C2025" s="25">
        <v>53.5719390049817</v>
      </c>
      <c r="D2025" s="25">
        <v>8.57391483185141</v>
      </c>
    </row>
    <row r="2026">
      <c r="A2026" s="22" t="s">
        <v>10036</v>
      </c>
      <c r="B2026" s="22" t="s">
        <v>7987</v>
      </c>
      <c r="C2026" s="23">
        <v>49.5078143782495</v>
      </c>
      <c r="D2026" s="23">
        <v>8.47769665131464</v>
      </c>
    </row>
    <row r="2027">
      <c r="A2027" s="24" t="s">
        <v>10037</v>
      </c>
      <c r="B2027" s="24" t="s">
        <v>8021</v>
      </c>
      <c r="C2027" s="25">
        <v>-26.6152073470805</v>
      </c>
      <c r="D2027" s="25">
        <v>143.1276063058</v>
      </c>
    </row>
    <row r="2028">
      <c r="A2028" s="22" t="s">
        <v>10038</v>
      </c>
      <c r="B2028" s="22" t="s">
        <v>7981</v>
      </c>
      <c r="C2028" s="23">
        <v>41.6154624571692</v>
      </c>
      <c r="D2028" s="23">
        <v>-87.2293375334636</v>
      </c>
    </row>
    <row r="2029">
      <c r="A2029" s="24" t="s">
        <v>10039</v>
      </c>
      <c r="B2029" s="24" t="s">
        <v>7981</v>
      </c>
      <c r="C2029" s="25">
        <v>31.5402592175429</v>
      </c>
      <c r="D2029" s="25">
        <v>-91.4346449003536</v>
      </c>
    </row>
    <row r="2030">
      <c r="A2030" s="22" t="s">
        <v>10040</v>
      </c>
      <c r="B2030" s="22" t="s">
        <v>7981</v>
      </c>
      <c r="C2030" s="23">
        <v>44.359220037864</v>
      </c>
      <c r="D2030" s="23">
        <v>-97.3822523590103</v>
      </c>
    </row>
    <row r="2031">
      <c r="A2031" s="24" t="s">
        <v>10041</v>
      </c>
      <c r="B2031" s="24" t="s">
        <v>7981</v>
      </c>
      <c r="C2031" s="25">
        <v>37.718882804798</v>
      </c>
      <c r="D2031" s="25">
        <v>-120.917731979687</v>
      </c>
    </row>
    <row r="2032">
      <c r="A2032" s="22" t="s">
        <v>10042</v>
      </c>
      <c r="B2032" s="22" t="s">
        <v>7981</v>
      </c>
      <c r="C2032" s="23">
        <v>30.7389730254395</v>
      </c>
      <c r="D2032" s="23">
        <v>-93.6403647151807</v>
      </c>
    </row>
    <row r="2033">
      <c r="A2033" s="24" t="s">
        <v>10043</v>
      </c>
      <c r="B2033" s="24" t="s">
        <v>8177</v>
      </c>
      <c r="C2033" s="25">
        <v>17.8994587644828</v>
      </c>
      <c r="D2033" s="25">
        <v>-15.9861333523998</v>
      </c>
    </row>
    <row r="2034">
      <c r="A2034" s="22" t="s">
        <v>10044</v>
      </c>
      <c r="B2034" s="22" t="s">
        <v>8590</v>
      </c>
      <c r="C2034" s="23">
        <v>-23.0019294506947</v>
      </c>
      <c r="D2034" s="23">
        <v>-43.415092445601</v>
      </c>
    </row>
    <row r="2035">
      <c r="A2035" s="24" t="s">
        <v>10045</v>
      </c>
      <c r="B2035" s="24" t="s">
        <v>7987</v>
      </c>
      <c r="C2035" s="25">
        <v>54.857682166</v>
      </c>
      <c r="D2035" s="25">
        <v>8.98928967719308</v>
      </c>
    </row>
    <row r="2036">
      <c r="A2036" s="22" t="s">
        <v>10046</v>
      </c>
      <c r="B2036" s="22" t="s">
        <v>7981</v>
      </c>
      <c r="C2036" s="23">
        <v>27.8062852390039</v>
      </c>
      <c r="D2036" s="23">
        <v>-97.4607367923113</v>
      </c>
    </row>
    <row r="2037">
      <c r="A2037" s="24" t="s">
        <v>10047</v>
      </c>
      <c r="B2037" s="24" t="s">
        <v>7987</v>
      </c>
      <c r="C2037" s="25">
        <v>54.1025873746056</v>
      </c>
      <c r="D2037" s="25">
        <v>9.98051544415043</v>
      </c>
    </row>
    <row r="2038">
      <c r="A2038" s="22" t="s">
        <v>10048</v>
      </c>
      <c r="B2038" s="22" t="s">
        <v>8011</v>
      </c>
      <c r="C2038" s="23">
        <v>49.4032830615112</v>
      </c>
      <c r="D2038" s="23">
        <v>1.01863378526841</v>
      </c>
    </row>
    <row r="2039">
      <c r="A2039" s="24" t="s">
        <v>10049</v>
      </c>
      <c r="B2039" s="24" t="s">
        <v>8011</v>
      </c>
      <c r="C2039" s="25">
        <v>47.2827132659348</v>
      </c>
      <c r="D2039" s="25">
        <v>-2.19243915733597</v>
      </c>
    </row>
    <row r="2040">
      <c r="A2040" s="22" t="s">
        <v>10050</v>
      </c>
      <c r="B2040" s="22" t="s">
        <v>8161</v>
      </c>
      <c r="C2040" s="23">
        <v>40.6504956691483</v>
      </c>
      <c r="D2040" s="23">
        <v>-8.63052140631941</v>
      </c>
    </row>
    <row r="2041">
      <c r="A2041" s="24" t="s">
        <v>10051</v>
      </c>
      <c r="B2041" s="24" t="s">
        <v>7991</v>
      </c>
      <c r="C2041" s="25">
        <v>54.5896324833949</v>
      </c>
      <c r="D2041" s="25">
        <v>-1.0974553209276</v>
      </c>
    </row>
    <row r="2042">
      <c r="A2042" s="22" t="s">
        <v>10052</v>
      </c>
      <c r="B2042" s="22" t="s">
        <v>7999</v>
      </c>
      <c r="C2042" s="23">
        <v>47.9902740795209</v>
      </c>
      <c r="D2042" s="23">
        <v>13.5538178267574</v>
      </c>
    </row>
    <row r="2043">
      <c r="A2043" s="24" t="s">
        <v>10053</v>
      </c>
      <c r="B2043" s="24" t="s">
        <v>8001</v>
      </c>
      <c r="C2043" s="25">
        <v>38.3157749991014</v>
      </c>
      <c r="D2043" s="25">
        <v>116.835802710577</v>
      </c>
    </row>
    <row r="2044">
      <c r="A2044" s="22" t="s">
        <v>10054</v>
      </c>
      <c r="B2044" s="22" t="s">
        <v>8891</v>
      </c>
      <c r="C2044" s="23">
        <v>39.1092693405338</v>
      </c>
      <c r="D2044" s="23">
        <v>22.2829454565787</v>
      </c>
    </row>
    <row r="2045">
      <c r="A2045" s="24" t="s">
        <v>10055</v>
      </c>
      <c r="B2045" s="24" t="s">
        <v>10056</v>
      </c>
      <c r="C2045" s="25">
        <v>35.0645569027904</v>
      </c>
      <c r="D2045" s="25">
        <v>33.0039068969373</v>
      </c>
    </row>
    <row r="2046">
      <c r="A2046" s="22" t="s">
        <v>10057</v>
      </c>
      <c r="B2046" s="22" t="s">
        <v>8891</v>
      </c>
      <c r="C2046" s="23">
        <v>-0.7569626596454</v>
      </c>
      <c r="D2046" s="23">
        <v>37.8116221331877</v>
      </c>
    </row>
    <row r="2047">
      <c r="A2047" s="24" t="s">
        <v>10058</v>
      </c>
      <c r="B2047" s="24" t="s">
        <v>8047</v>
      </c>
      <c r="C2047" s="25">
        <v>37.2010525323687</v>
      </c>
      <c r="D2047" s="25">
        <v>15.1834646537126</v>
      </c>
    </row>
    <row r="2048">
      <c r="A2048" s="22" t="s">
        <v>10059</v>
      </c>
      <c r="B2048" s="22" t="s">
        <v>7981</v>
      </c>
      <c r="C2048" s="23">
        <v>35.6215001494353</v>
      </c>
      <c r="D2048" s="23">
        <v>-119.688908493561</v>
      </c>
    </row>
    <row r="2049">
      <c r="A2049" s="24" t="s">
        <v>10060</v>
      </c>
      <c r="B2049" s="24" t="s">
        <v>7977</v>
      </c>
      <c r="C2049" s="25">
        <v>41.817438704712</v>
      </c>
      <c r="D2049" s="25">
        <v>-2.44460852225901</v>
      </c>
    </row>
    <row r="2050">
      <c r="A2050" s="22" t="s">
        <v>10061</v>
      </c>
      <c r="B2050" s="22" t="s">
        <v>8087</v>
      </c>
      <c r="C2050" s="23">
        <v>51.2410643042794</v>
      </c>
      <c r="D2050" s="23">
        <v>4.40442803559651</v>
      </c>
    </row>
    <row r="2051">
      <c r="A2051" s="24" t="s">
        <v>10062</v>
      </c>
      <c r="B2051" s="24" t="s">
        <v>8161</v>
      </c>
      <c r="C2051" s="25">
        <v>38.5705965982953</v>
      </c>
      <c r="D2051" s="25">
        <v>-7.91444660175755</v>
      </c>
    </row>
    <row r="2052">
      <c r="A2052" s="22" t="s">
        <v>10063</v>
      </c>
      <c r="B2052" s="22" t="s">
        <v>8590</v>
      </c>
      <c r="C2052" s="23">
        <v>-23.3047883523186</v>
      </c>
      <c r="D2052" s="23">
        <v>-45.9892649909943</v>
      </c>
    </row>
    <row r="2053">
      <c r="A2053" s="24" t="s">
        <v>10064</v>
      </c>
      <c r="B2053" s="24" t="s">
        <v>8011</v>
      </c>
      <c r="C2053" s="25">
        <v>49.154152</v>
      </c>
      <c r="D2053" s="25">
        <v>6.705371</v>
      </c>
    </row>
    <row r="2054">
      <c r="A2054" s="22" t="s">
        <v>10065</v>
      </c>
      <c r="B2054" s="22" t="s">
        <v>8011</v>
      </c>
      <c r="C2054" s="23">
        <v>45.1726447212503</v>
      </c>
      <c r="D2054" s="23">
        <v>-0.225200416111762</v>
      </c>
    </row>
    <row r="2055">
      <c r="A2055" s="24" t="s">
        <v>10066</v>
      </c>
      <c r="B2055" s="24" t="s">
        <v>8011</v>
      </c>
      <c r="C2055" s="25">
        <v>47.4991757714381</v>
      </c>
      <c r="D2055" s="25">
        <v>3.90319523320012</v>
      </c>
    </row>
    <row r="2056">
      <c r="A2056" s="22" t="s">
        <v>10067</v>
      </c>
      <c r="B2056" s="22" t="s">
        <v>8011</v>
      </c>
      <c r="C2056" s="23">
        <v>47.3908707572371</v>
      </c>
      <c r="D2056" s="23">
        <v>0.654220571005365</v>
      </c>
    </row>
    <row r="2057">
      <c r="A2057" s="24" t="s">
        <v>10068</v>
      </c>
      <c r="B2057" s="24" t="s">
        <v>8001</v>
      </c>
      <c r="C2057" s="25">
        <v>42.8780165283717</v>
      </c>
      <c r="D2057" s="25">
        <v>125.101658793693</v>
      </c>
    </row>
    <row r="2058">
      <c r="A2058" s="22" t="s">
        <v>10069</v>
      </c>
      <c r="B2058" s="22" t="s">
        <v>8108</v>
      </c>
      <c r="C2058" s="23">
        <v>21.178604200526</v>
      </c>
      <c r="D2058" s="23">
        <v>72.6611986243126</v>
      </c>
    </row>
    <row r="2059">
      <c r="A2059" s="24" t="s">
        <v>10070</v>
      </c>
      <c r="B2059" s="24" t="s">
        <v>8069</v>
      </c>
      <c r="C2059" s="25">
        <v>9.8775675833248</v>
      </c>
      <c r="D2059" s="25">
        <v>-83.4724941610153</v>
      </c>
    </row>
    <row r="2060">
      <c r="A2060" s="22" t="s">
        <v>284</v>
      </c>
      <c r="B2060" s="22" t="s">
        <v>7987</v>
      </c>
      <c r="C2060" s="23">
        <v>52.1064556527049</v>
      </c>
      <c r="D2060" s="23">
        <v>11.6493739996202</v>
      </c>
    </row>
    <row r="2061">
      <c r="A2061" s="24" t="s">
        <v>10071</v>
      </c>
      <c r="B2061" s="24" t="s">
        <v>10072</v>
      </c>
      <c r="C2061" s="25">
        <v>45.2885240577018</v>
      </c>
      <c r="D2061" s="25">
        <v>14.5334565746487</v>
      </c>
    </row>
    <row r="2062">
      <c r="A2062" s="22" t="s">
        <v>10073</v>
      </c>
      <c r="B2062" s="22" t="s">
        <v>9176</v>
      </c>
      <c r="C2062" s="23">
        <v>44.3458722434707</v>
      </c>
      <c r="D2062" s="23">
        <v>28.6430176142668</v>
      </c>
    </row>
    <row r="2063">
      <c r="A2063" s="28" t="s">
        <v>10074</v>
      </c>
      <c r="B2063" s="24" t="s">
        <v>8001</v>
      </c>
      <c r="C2063" s="25">
        <v>42.2720905262963</v>
      </c>
      <c r="D2063" s="25">
        <v>118.890974193958</v>
      </c>
    </row>
    <row r="2064">
      <c r="A2064" s="22" t="s">
        <v>10075</v>
      </c>
      <c r="B2064" s="22" t="s">
        <v>8021</v>
      </c>
      <c r="C2064" s="23">
        <v>-28.537447622541</v>
      </c>
      <c r="D2064" s="23">
        <v>150.2846210325</v>
      </c>
    </row>
    <row r="2065">
      <c r="A2065" s="24" t="s">
        <v>10076</v>
      </c>
      <c r="B2065" s="24" t="s">
        <v>8021</v>
      </c>
      <c r="C2065" s="25">
        <v>-28.537447622541</v>
      </c>
      <c r="D2065" s="25">
        <v>150.2846210325</v>
      </c>
    </row>
    <row r="2066">
      <c r="A2066" s="22" t="s">
        <v>10077</v>
      </c>
      <c r="B2066" s="22" t="s">
        <v>7967</v>
      </c>
      <c r="C2066" s="23">
        <v>51.4189536432728</v>
      </c>
      <c r="D2066" s="23">
        <v>3.72739827547602</v>
      </c>
    </row>
    <row r="2067">
      <c r="A2067" s="24" t="s">
        <v>10078</v>
      </c>
      <c r="B2067" s="24" t="s">
        <v>7967</v>
      </c>
      <c r="C2067" s="25">
        <v>51.4159226074984</v>
      </c>
      <c r="D2067" s="25">
        <v>4.18738247505048</v>
      </c>
    </row>
    <row r="2068">
      <c r="A2068" s="22" t="s">
        <v>10079</v>
      </c>
      <c r="B2068" s="22" t="s">
        <v>7967</v>
      </c>
      <c r="C2068" s="23">
        <v>51.7529181056375</v>
      </c>
      <c r="D2068" s="23">
        <v>4.16861069943974</v>
      </c>
    </row>
    <row r="2069">
      <c r="A2069" s="24" t="s">
        <v>10080</v>
      </c>
      <c r="B2069" s="24" t="s">
        <v>7967</v>
      </c>
      <c r="C2069" s="25">
        <v>51.7383512019451</v>
      </c>
      <c r="D2069" s="25">
        <v>4.240628273344</v>
      </c>
    </row>
    <row r="2070">
      <c r="A2070" s="22" t="s">
        <v>10081</v>
      </c>
      <c r="B2070" s="22" t="s">
        <v>7967</v>
      </c>
      <c r="C2070" s="23">
        <v>52.5388902903262</v>
      </c>
      <c r="D2070" s="23">
        <v>5.54894652475058</v>
      </c>
    </row>
    <row r="2071">
      <c r="A2071" s="24" t="s">
        <v>10082</v>
      </c>
      <c r="B2071" s="24" t="s">
        <v>7967</v>
      </c>
      <c r="C2071" s="25">
        <v>52.384690860303</v>
      </c>
      <c r="D2071" s="25">
        <v>5.41756977806103</v>
      </c>
    </row>
    <row r="2072">
      <c r="A2072" s="33" t="s">
        <v>10083</v>
      </c>
      <c r="B2072" s="22" t="s">
        <v>7967</v>
      </c>
      <c r="C2072" s="23">
        <v>52.4064112505596</v>
      </c>
      <c r="D2072" s="23">
        <v>4.75013527916019</v>
      </c>
    </row>
    <row r="2073">
      <c r="A2073" s="24" t="s">
        <v>10084</v>
      </c>
      <c r="B2073" s="24" t="s">
        <v>7967</v>
      </c>
      <c r="C2073" s="25">
        <v>52.3936110860026</v>
      </c>
      <c r="D2073" s="25">
        <v>4.65763797098238</v>
      </c>
    </row>
    <row r="2074">
      <c r="A2074" s="22" t="s">
        <v>10085</v>
      </c>
      <c r="B2074" s="22" t="s">
        <v>7967</v>
      </c>
      <c r="C2074" s="23">
        <v>52.7029124887235</v>
      </c>
      <c r="D2074" s="23">
        <v>5.87931409981145</v>
      </c>
    </row>
    <row r="2075">
      <c r="A2075" s="24" t="s">
        <v>10086</v>
      </c>
      <c r="B2075" s="24" t="s">
        <v>7967</v>
      </c>
      <c r="C2075" s="25">
        <v>52.9418844419474</v>
      </c>
      <c r="D2075" s="25">
        <v>6.90802869679471</v>
      </c>
    </row>
    <row r="2076">
      <c r="A2076" s="22" t="s">
        <v>10087</v>
      </c>
      <c r="B2076" s="22" t="s">
        <v>7991</v>
      </c>
      <c r="C2076" s="23">
        <v>54.0731128254385</v>
      </c>
      <c r="D2076" s="23">
        <v>-2.89958121602321</v>
      </c>
    </row>
    <row r="2077">
      <c r="A2077" s="24" t="s">
        <v>10088</v>
      </c>
      <c r="B2077" s="24" t="s">
        <v>7974</v>
      </c>
      <c r="C2077" s="25">
        <v>56.8440013108329</v>
      </c>
      <c r="D2077" s="25">
        <v>18.0244055375982</v>
      </c>
    </row>
    <row r="2078">
      <c r="A2078" s="22" t="s">
        <v>10089</v>
      </c>
      <c r="B2078" s="22" t="s">
        <v>7981</v>
      </c>
      <c r="C2078" s="23">
        <v>47.333763273233</v>
      </c>
      <c r="D2078" s="23">
        <v>-101.772015083176</v>
      </c>
    </row>
    <row r="2079">
      <c r="A2079" s="24" t="s">
        <v>10090</v>
      </c>
      <c r="B2079" s="24" t="s">
        <v>8001</v>
      </c>
      <c r="C2079" s="25">
        <v>36.5632228364683</v>
      </c>
      <c r="D2079" s="25">
        <v>110.100825068466</v>
      </c>
    </row>
    <row r="2080">
      <c r="A2080" s="22" t="s">
        <v>10091</v>
      </c>
      <c r="B2080" s="22" t="s">
        <v>8001</v>
      </c>
      <c r="C2080" s="23">
        <v>36.5632228364683</v>
      </c>
      <c r="D2080" s="23">
        <v>110.100825068466</v>
      </c>
    </row>
    <row r="2081">
      <c r="A2081" s="24" t="s">
        <v>10092</v>
      </c>
      <c r="B2081" s="24" t="s">
        <v>8003</v>
      </c>
      <c r="C2081" s="25">
        <v>50.6473133931551</v>
      </c>
      <c r="D2081" s="25">
        <v>-105.376353435732</v>
      </c>
    </row>
    <row r="2082">
      <c r="A2082" s="22" t="s">
        <v>10093</v>
      </c>
      <c r="B2082" s="22" t="s">
        <v>10072</v>
      </c>
      <c r="C2082" s="23">
        <v>45.4556935837814</v>
      </c>
      <c r="D2082" s="23">
        <v>16.7557155419129</v>
      </c>
    </row>
    <row r="2083">
      <c r="A2083" s="24" t="s">
        <v>10094</v>
      </c>
      <c r="B2083" s="24" t="s">
        <v>7981</v>
      </c>
      <c r="C2083" s="25">
        <v>48.3264590086492</v>
      </c>
      <c r="D2083" s="25">
        <v>-103.420803079571</v>
      </c>
    </row>
    <row r="2084">
      <c r="A2084" s="22" t="s">
        <v>10095</v>
      </c>
      <c r="B2084" s="22" t="s">
        <v>7981</v>
      </c>
      <c r="C2084" s="23">
        <v>30.24</v>
      </c>
      <c r="D2084" s="23">
        <v>-93.18</v>
      </c>
    </row>
    <row r="2085">
      <c r="A2085" s="24" t="s">
        <v>10096</v>
      </c>
      <c r="B2085" s="24" t="s">
        <v>8021</v>
      </c>
      <c r="C2085" s="25">
        <v>-20.6244122978571</v>
      </c>
      <c r="D2085" s="25">
        <v>116.783710389836</v>
      </c>
    </row>
    <row r="2086">
      <c r="A2086" s="22" t="s">
        <v>10097</v>
      </c>
      <c r="B2086" s="22" t="s">
        <v>7981</v>
      </c>
      <c r="C2086" s="23">
        <v>28.913235112747</v>
      </c>
      <c r="D2086" s="23">
        <v>-95.7621995310933</v>
      </c>
    </row>
    <row r="2087">
      <c r="A2087" s="24" t="s">
        <v>10098</v>
      </c>
      <c r="B2087" s="24" t="s">
        <v>8539</v>
      </c>
      <c r="C2087" s="25">
        <v>34.9144197494875</v>
      </c>
      <c r="D2087" s="25">
        <v>127.66570214959</v>
      </c>
    </row>
    <row r="2088">
      <c r="A2088" s="22" t="s">
        <v>10099</v>
      </c>
      <c r="B2088" s="22" t="s">
        <v>10100</v>
      </c>
      <c r="C2088" s="23">
        <v>32.8086476496874</v>
      </c>
      <c r="D2088" s="23">
        <v>9.71817545701757</v>
      </c>
    </row>
    <row r="2089">
      <c r="A2089" s="24" t="s">
        <v>10101</v>
      </c>
      <c r="B2089" s="24" t="s">
        <v>10100</v>
      </c>
      <c r="C2089" s="25">
        <v>32.8086476496874</v>
      </c>
      <c r="D2089" s="25">
        <v>9.71817545701757</v>
      </c>
    </row>
    <row r="2090">
      <c r="A2090" s="22" t="s">
        <v>10102</v>
      </c>
      <c r="B2090" s="22" t="s">
        <v>10072</v>
      </c>
      <c r="C2090" s="23">
        <v>45.289145799217</v>
      </c>
      <c r="D2090" s="23">
        <v>14.532670750989</v>
      </c>
    </row>
    <row r="2091">
      <c r="A2091" s="24" t="s">
        <v>10103</v>
      </c>
      <c r="B2091" s="24" t="s">
        <v>8021</v>
      </c>
      <c r="C2091" s="25">
        <v>-38.4370189772945</v>
      </c>
      <c r="D2091" s="25">
        <v>146.635529833934</v>
      </c>
    </row>
    <row r="2092">
      <c r="A2092" s="22" t="s">
        <v>10104</v>
      </c>
      <c r="B2092" s="22" t="s">
        <v>7981</v>
      </c>
      <c r="C2092" s="23">
        <v>38.723745100966</v>
      </c>
      <c r="D2092" s="23">
        <v>-82.101964763115</v>
      </c>
    </row>
    <row r="2093">
      <c r="A2093" s="24" t="s">
        <v>10105</v>
      </c>
      <c r="B2093" s="24" t="s">
        <v>7981</v>
      </c>
      <c r="C2093" s="25">
        <v>38.723745100966</v>
      </c>
      <c r="D2093" s="25">
        <v>-82.101964763115</v>
      </c>
    </row>
    <row r="2094">
      <c r="A2094" s="22" t="s">
        <v>10106</v>
      </c>
      <c r="B2094" s="22" t="s">
        <v>7981</v>
      </c>
      <c r="C2094" s="23">
        <v>38.723745100966</v>
      </c>
      <c r="D2094" s="23">
        <v>-82.101964763115</v>
      </c>
    </row>
    <row r="2095">
      <c r="A2095" s="24" t="s">
        <v>10107</v>
      </c>
      <c r="B2095" s="24" t="s">
        <v>7981</v>
      </c>
      <c r="C2095" s="25">
        <v>38.723745100966</v>
      </c>
      <c r="D2095" s="25">
        <v>-82.101964763115</v>
      </c>
    </row>
    <row r="2096">
      <c r="A2096" s="22" t="s">
        <v>10108</v>
      </c>
      <c r="B2096" s="22" t="s">
        <v>7981</v>
      </c>
      <c r="C2096" s="23">
        <v>53.796743099579</v>
      </c>
      <c r="D2096" s="23">
        <v>-113.091151469817</v>
      </c>
    </row>
    <row r="2097">
      <c r="A2097" s="24" t="s">
        <v>10109</v>
      </c>
      <c r="B2097" s="24" t="s">
        <v>7971</v>
      </c>
      <c r="C2097" s="25">
        <v>60.8027912977047</v>
      </c>
      <c r="D2097" s="25">
        <v>5.018351211969</v>
      </c>
    </row>
    <row r="2098">
      <c r="A2098" s="22" t="s">
        <v>10110</v>
      </c>
      <c r="B2098" s="22" t="s">
        <v>7981</v>
      </c>
      <c r="C2098" s="23">
        <v>33.4963936286278</v>
      </c>
      <c r="D2098" s="23">
        <v>-112.93286643472</v>
      </c>
    </row>
    <row r="2099">
      <c r="A2099" s="24" t="s">
        <v>10111</v>
      </c>
      <c r="B2099" s="24" t="s">
        <v>7987</v>
      </c>
      <c r="C2099" s="25">
        <v>52.1523434613963</v>
      </c>
      <c r="D2099" s="25">
        <v>10.4066598815022</v>
      </c>
    </row>
    <row r="2100">
      <c r="A2100" s="22" t="s">
        <v>10112</v>
      </c>
      <c r="B2100" s="22" t="s">
        <v>8539</v>
      </c>
      <c r="C2100" s="23">
        <v>35.717658315057</v>
      </c>
      <c r="D2100" s="23">
        <v>127.152888786892</v>
      </c>
    </row>
    <row r="2101">
      <c r="A2101" s="24" t="s">
        <v>10113</v>
      </c>
      <c r="B2101" s="24" t="s">
        <v>8047</v>
      </c>
      <c r="C2101" s="25">
        <v>40.5658421734616</v>
      </c>
      <c r="D2101" s="25">
        <v>18.0408215670188</v>
      </c>
    </row>
    <row r="2102">
      <c r="A2102" s="22" t="s">
        <v>10114</v>
      </c>
      <c r="B2102" s="22" t="s">
        <v>7977</v>
      </c>
      <c r="C2102" s="23">
        <v>41.3250902599708</v>
      </c>
      <c r="D2102" s="23">
        <v>-0.427870477158879</v>
      </c>
    </row>
    <row r="2103">
      <c r="A2103" s="24" t="s">
        <v>10115</v>
      </c>
      <c r="B2103" s="24" t="s">
        <v>7977</v>
      </c>
      <c r="C2103" s="25">
        <v>43.5333826397664</v>
      </c>
      <c r="D2103" s="25">
        <v>-5.69045214460794</v>
      </c>
    </row>
    <row r="2104">
      <c r="A2104" s="22" t="s">
        <v>10116</v>
      </c>
      <c r="B2104" s="22" t="s">
        <v>7977</v>
      </c>
      <c r="C2104" s="23">
        <v>41.2350754732715</v>
      </c>
      <c r="D2104" s="23">
        <v>-0.0489396207606994</v>
      </c>
    </row>
    <row r="2105">
      <c r="A2105" s="24" t="s">
        <v>10117</v>
      </c>
      <c r="B2105" s="24" t="s">
        <v>7977</v>
      </c>
      <c r="C2105" s="25">
        <v>43.4552206166376</v>
      </c>
      <c r="D2105" s="25">
        <v>-7.84226997511741</v>
      </c>
    </row>
    <row r="2106">
      <c r="A2106" s="22" t="s">
        <v>10118</v>
      </c>
      <c r="B2106" s="22" t="s">
        <v>7977</v>
      </c>
      <c r="C2106" s="23">
        <v>41.2464483150638</v>
      </c>
      <c r="D2106" s="23">
        <v>1.24650107892504</v>
      </c>
    </row>
    <row r="2107">
      <c r="A2107" s="24" t="s">
        <v>10119</v>
      </c>
      <c r="B2107" s="24" t="s">
        <v>7977</v>
      </c>
      <c r="C2107" s="25">
        <v>43.3515770530805</v>
      </c>
      <c r="D2107" s="25">
        <v>-3.07964171746844</v>
      </c>
    </row>
    <row r="2108">
      <c r="A2108" s="22" t="s">
        <v>10120</v>
      </c>
      <c r="B2108" s="22" t="s">
        <v>7977</v>
      </c>
      <c r="C2108" s="23">
        <v>37.3519706047812</v>
      </c>
      <c r="D2108" s="23">
        <v>-2.19448564045553</v>
      </c>
    </row>
    <row r="2109">
      <c r="A2109" s="24" t="s">
        <v>10121</v>
      </c>
      <c r="B2109" s="24" t="s">
        <v>7977</v>
      </c>
      <c r="C2109" s="25">
        <v>38.961207840834</v>
      </c>
      <c r="D2109" s="25">
        <v>-2.74531045365082</v>
      </c>
    </row>
    <row r="2110">
      <c r="A2110" s="22" t="s">
        <v>10122</v>
      </c>
      <c r="B2110" s="22" t="s">
        <v>7977</v>
      </c>
      <c r="C2110" s="23">
        <v>40.7441105913376</v>
      </c>
      <c r="D2110" s="23">
        <v>-3.02936738902857</v>
      </c>
    </row>
    <row r="2111">
      <c r="A2111" s="24" t="s">
        <v>10123</v>
      </c>
      <c r="B2111" s="24" t="s">
        <v>7981</v>
      </c>
      <c r="C2111" s="25">
        <v>31.5625625261817</v>
      </c>
      <c r="D2111" s="25">
        <v>-88.8452404601783</v>
      </c>
    </row>
    <row r="2112">
      <c r="A2112" s="22" t="s">
        <v>10124</v>
      </c>
      <c r="B2112" s="22" t="s">
        <v>7981</v>
      </c>
      <c r="C2112" s="23">
        <v>40.9191162340735</v>
      </c>
      <c r="D2112" s="23">
        <v>-100.158185265754</v>
      </c>
    </row>
    <row r="2113">
      <c r="A2113" s="24" t="s">
        <v>10125</v>
      </c>
      <c r="B2113" s="24" t="s">
        <v>8108</v>
      </c>
      <c r="C2113" s="25">
        <v>21.9263617017798</v>
      </c>
      <c r="D2113" s="25">
        <v>71.5400870910866</v>
      </c>
    </row>
    <row r="2114">
      <c r="A2114" s="22" t="s">
        <v>10126</v>
      </c>
      <c r="B2114" s="22" t="s">
        <v>8071</v>
      </c>
      <c r="C2114" s="23">
        <v>-22.43316896013</v>
      </c>
      <c r="D2114" s="23">
        <v>-68.9950676022945</v>
      </c>
    </row>
    <row r="2115">
      <c r="A2115" s="24" t="s">
        <v>10127</v>
      </c>
      <c r="B2115" s="24" t="s">
        <v>8071</v>
      </c>
      <c r="C2115" s="25">
        <v>-22.43316896013</v>
      </c>
      <c r="D2115" s="25">
        <v>-68.9950676022945</v>
      </c>
    </row>
    <row r="2116">
      <c r="A2116" s="22" t="s">
        <v>10128</v>
      </c>
      <c r="B2116" s="22" t="s">
        <v>8071</v>
      </c>
      <c r="C2116" s="23">
        <v>-22.43316896013</v>
      </c>
      <c r="D2116" s="23">
        <v>-68.9950676022945</v>
      </c>
    </row>
    <row r="2117">
      <c r="A2117" s="24" t="s">
        <v>10129</v>
      </c>
      <c r="B2117" s="24" t="s">
        <v>7971</v>
      </c>
      <c r="C2117" s="25">
        <v>66.3106212107965</v>
      </c>
      <c r="D2117" s="25">
        <v>14.1676406414196</v>
      </c>
    </row>
    <row r="2118">
      <c r="A2118" s="22" t="s">
        <v>10130</v>
      </c>
      <c r="B2118" s="22" t="s">
        <v>10028</v>
      </c>
      <c r="C2118" s="23">
        <v>2.25590568054653</v>
      </c>
      <c r="D2118" s="23">
        <v>32.2415899985208</v>
      </c>
    </row>
    <row r="2119">
      <c r="A2119" s="24" t="s">
        <v>10131</v>
      </c>
      <c r="B2119" s="24" t="s">
        <v>7991</v>
      </c>
      <c r="C2119" s="25">
        <v>54.9968366980604</v>
      </c>
      <c r="D2119" s="25">
        <v>-1.64731559600559</v>
      </c>
    </row>
    <row r="2120">
      <c r="A2120" s="22" t="s">
        <v>10132</v>
      </c>
      <c r="B2120" s="22" t="s">
        <v>7977</v>
      </c>
      <c r="C2120" s="23">
        <v>38.9460582207866</v>
      </c>
      <c r="D2120" s="23">
        <v>-2.00050095848156</v>
      </c>
    </row>
    <row r="2121">
      <c r="A2121" s="24" t="s">
        <v>10133</v>
      </c>
      <c r="B2121" s="24" t="s">
        <v>7987</v>
      </c>
      <c r="C2121" s="25">
        <v>51.4448541551683</v>
      </c>
      <c r="D2121" s="25">
        <v>6.72219270453604</v>
      </c>
    </row>
    <row r="2122">
      <c r="A2122" s="22" t="s">
        <v>10134</v>
      </c>
      <c r="B2122" s="22" t="s">
        <v>7977</v>
      </c>
      <c r="C2122" s="23">
        <v>41.481604823242</v>
      </c>
      <c r="D2122" s="23">
        <v>-2.5289754706679</v>
      </c>
    </row>
    <row r="2123">
      <c r="A2123" s="24" t="s">
        <v>10135</v>
      </c>
      <c r="B2123" s="24" t="s">
        <v>7991</v>
      </c>
      <c r="C2123" s="25">
        <v>54.5770019898215</v>
      </c>
      <c r="D2123" s="25">
        <v>-1.26373441603763</v>
      </c>
    </row>
    <row r="2124">
      <c r="A2124" s="22" t="s">
        <v>10136</v>
      </c>
      <c r="B2124" s="22" t="s">
        <v>10100</v>
      </c>
      <c r="C2124" s="23">
        <v>35.8831200621419</v>
      </c>
      <c r="D2124" s="23">
        <v>10.1304868961318</v>
      </c>
    </row>
    <row r="2125">
      <c r="A2125" s="24" t="s">
        <v>10137</v>
      </c>
      <c r="B2125" s="24" t="s">
        <v>10100</v>
      </c>
      <c r="C2125" s="25">
        <v>35.8831200621419</v>
      </c>
      <c r="D2125" s="25">
        <v>10.1304868961318</v>
      </c>
    </row>
    <row r="2126">
      <c r="A2126" s="22" t="s">
        <v>10138</v>
      </c>
      <c r="B2126" s="22" t="s">
        <v>7981</v>
      </c>
      <c r="C2126" s="23">
        <v>45.4416563381526</v>
      </c>
      <c r="D2126" s="23">
        <v>-122.468519682833</v>
      </c>
    </row>
    <row r="2127">
      <c r="A2127" s="24" t="s">
        <v>10139</v>
      </c>
      <c r="B2127" s="24" t="s">
        <v>8001</v>
      </c>
      <c r="C2127" s="25">
        <v>37.3854273227386</v>
      </c>
      <c r="D2127" s="25">
        <v>97.3148143704082</v>
      </c>
    </row>
    <row r="2128">
      <c r="A2128" s="22" t="s">
        <v>10140</v>
      </c>
      <c r="B2128" s="22" t="s">
        <v>8388</v>
      </c>
      <c r="C2128" s="23">
        <v>17.8219581736149</v>
      </c>
      <c r="D2128" s="23">
        <v>54.9678598676827</v>
      </c>
    </row>
    <row r="2129">
      <c r="A2129" s="24" t="s">
        <v>10141</v>
      </c>
      <c r="B2129" s="24" t="s">
        <v>8388</v>
      </c>
      <c r="C2129" s="25">
        <v>17.8219581736149</v>
      </c>
      <c r="D2129" s="25">
        <v>54.9678598676827</v>
      </c>
    </row>
    <row r="2130">
      <c r="A2130" s="22" t="s">
        <v>10142</v>
      </c>
      <c r="B2130" s="22" t="s">
        <v>8011</v>
      </c>
      <c r="C2130" s="23">
        <v>49.7460232844297</v>
      </c>
      <c r="D2130" s="23">
        <v>2.93022753280734</v>
      </c>
    </row>
    <row r="2131">
      <c r="A2131" s="24" t="s">
        <v>10143</v>
      </c>
      <c r="B2131" s="24" t="s">
        <v>8001</v>
      </c>
      <c r="C2131" s="25">
        <v>44.8034952040048</v>
      </c>
      <c r="D2131" s="25">
        <v>120.815819137878</v>
      </c>
    </row>
    <row r="2132">
      <c r="A2132" s="22" t="s">
        <v>10143</v>
      </c>
      <c r="B2132" s="22" t="s">
        <v>8001</v>
      </c>
      <c r="C2132" s="23">
        <v>44.8034952040048</v>
      </c>
      <c r="D2132" s="23">
        <v>120.815819137878</v>
      </c>
    </row>
    <row r="2133">
      <c r="A2133" s="24" t="s">
        <v>10144</v>
      </c>
      <c r="B2133" s="24" t="s">
        <v>8713</v>
      </c>
      <c r="C2133" s="25">
        <v>-16.748561665931</v>
      </c>
      <c r="D2133" s="25">
        <v>-71.8742528574287</v>
      </c>
    </row>
    <row r="2134">
      <c r="A2134" s="22" t="s">
        <v>10145</v>
      </c>
      <c r="B2134" s="22" t="s">
        <v>8873</v>
      </c>
      <c r="C2134" s="23">
        <v>-22.9533894366065</v>
      </c>
      <c r="D2134" s="23">
        <v>14.4921389187704</v>
      </c>
    </row>
    <row r="2135">
      <c r="A2135" s="24" t="s">
        <v>10146</v>
      </c>
      <c r="B2135" s="24" t="s">
        <v>7971</v>
      </c>
      <c r="C2135" s="25">
        <v>71.1054444602182</v>
      </c>
      <c r="D2135" s="25">
        <v>28.0697771873031</v>
      </c>
    </row>
    <row r="2136">
      <c r="A2136" s="22" t="s">
        <v>10147</v>
      </c>
      <c r="B2136" s="22" t="s">
        <v>7977</v>
      </c>
      <c r="C2136" s="23">
        <v>37.25542927422</v>
      </c>
      <c r="D2136" s="23">
        <v>-6.9661627686812</v>
      </c>
    </row>
    <row r="2137">
      <c r="A2137" s="24" t="s">
        <v>10148</v>
      </c>
      <c r="B2137" s="24" t="s">
        <v>7977</v>
      </c>
      <c r="C2137" s="25">
        <v>37.3656153181744</v>
      </c>
      <c r="D2137" s="25">
        <v>-6.9740391889453</v>
      </c>
    </row>
    <row r="2138">
      <c r="A2138" s="22" t="s">
        <v>10149</v>
      </c>
      <c r="B2138" s="22" t="s">
        <v>7977</v>
      </c>
      <c r="C2138" s="23">
        <v>37.3113394617013</v>
      </c>
      <c r="D2138" s="23">
        <v>-6.83711574501853</v>
      </c>
    </row>
    <row r="2139">
      <c r="A2139" s="24" t="s">
        <v>10150</v>
      </c>
      <c r="B2139" s="24" t="s">
        <v>8413</v>
      </c>
      <c r="C2139" s="25">
        <v>-33.9094905102472</v>
      </c>
      <c r="D2139" s="25">
        <v>-53.962409426766</v>
      </c>
    </row>
    <row r="2140">
      <c r="A2140" s="22" t="s">
        <v>10151</v>
      </c>
      <c r="B2140" s="22" t="s">
        <v>10152</v>
      </c>
      <c r="C2140" s="23">
        <v>35.7058126149046</v>
      </c>
      <c r="D2140" s="23">
        <v>-0.664628543017622</v>
      </c>
    </row>
    <row r="2141">
      <c r="A2141" s="24" t="s">
        <v>10153</v>
      </c>
      <c r="B2141" s="24" t="s">
        <v>8108</v>
      </c>
      <c r="C2141" s="25">
        <v>10.1545608659165</v>
      </c>
      <c r="D2141" s="25">
        <v>76.3788608354739</v>
      </c>
    </row>
    <row r="2142">
      <c r="A2142" s="22" t="s">
        <v>10154</v>
      </c>
      <c r="B2142" s="22" t="s">
        <v>8108</v>
      </c>
      <c r="C2142" s="23">
        <v>17.4941448365284</v>
      </c>
      <c r="D2142" s="23">
        <v>83.0025048368955</v>
      </c>
    </row>
    <row r="2143">
      <c r="A2143" s="24" t="s">
        <v>10155</v>
      </c>
      <c r="B2143" s="24" t="s">
        <v>8001</v>
      </c>
      <c r="C2143" s="25">
        <v>36.1689985861459</v>
      </c>
      <c r="D2143" s="25">
        <v>118.977609452134</v>
      </c>
    </row>
    <row r="2144">
      <c r="A2144" s="22" t="s">
        <v>10156</v>
      </c>
      <c r="B2144" s="22" t="s">
        <v>8001</v>
      </c>
      <c r="C2144" s="23">
        <v>46.0957117702211</v>
      </c>
      <c r="D2144" s="23">
        <v>122.050380816697</v>
      </c>
    </row>
    <row r="2145">
      <c r="A2145" s="24" t="s">
        <v>10157</v>
      </c>
      <c r="B2145" s="24" t="s">
        <v>8001</v>
      </c>
      <c r="C2145" s="25">
        <v>42.2876297915966</v>
      </c>
      <c r="D2145" s="25">
        <v>118.905017699862</v>
      </c>
    </row>
    <row r="2146">
      <c r="A2146" s="22" t="s">
        <v>10158</v>
      </c>
      <c r="B2146" s="22" t="s">
        <v>8001</v>
      </c>
      <c r="C2146" s="23">
        <v>35.7269611051694</v>
      </c>
      <c r="D2146" s="23">
        <v>107.185336246003</v>
      </c>
    </row>
    <row r="2147">
      <c r="A2147" s="24" t="s">
        <v>10159</v>
      </c>
      <c r="B2147" s="24" t="s">
        <v>8001</v>
      </c>
      <c r="C2147" s="25">
        <v>40.8388018446057</v>
      </c>
      <c r="D2147" s="25">
        <v>107.40683023617</v>
      </c>
    </row>
    <row r="2148">
      <c r="A2148" s="22" t="s">
        <v>10160</v>
      </c>
      <c r="B2148" s="22" t="s">
        <v>7967</v>
      </c>
      <c r="C2148" s="23">
        <v>53.4850309254238</v>
      </c>
      <c r="D2148" s="23">
        <v>6.43618861363811</v>
      </c>
    </row>
    <row r="2149">
      <c r="A2149" s="24" t="s">
        <v>10161</v>
      </c>
      <c r="B2149" s="24" t="s">
        <v>7981</v>
      </c>
      <c r="C2149" s="25">
        <v>40.1892555854629</v>
      </c>
      <c r="D2149" s="25">
        <v>-122.146347566007</v>
      </c>
    </row>
    <row r="2150">
      <c r="A2150" s="22" t="s">
        <v>10162</v>
      </c>
      <c r="B2150" s="22" t="s">
        <v>8108</v>
      </c>
      <c r="C2150" s="23">
        <v>20.2450473694553</v>
      </c>
      <c r="D2150" s="23">
        <v>86.1668502565203</v>
      </c>
    </row>
    <row r="2151">
      <c r="A2151" s="24" t="s">
        <v>10163</v>
      </c>
      <c r="B2151" s="24" t="s">
        <v>8108</v>
      </c>
      <c r="C2151" s="25">
        <v>19.3140707490764</v>
      </c>
      <c r="D2151" s="25">
        <v>85.0039560947029</v>
      </c>
    </row>
    <row r="2152">
      <c r="A2152" s="22" t="s">
        <v>10164</v>
      </c>
      <c r="B2152" s="22" t="s">
        <v>8108</v>
      </c>
      <c r="C2152" s="23">
        <v>19.3238515364283</v>
      </c>
      <c r="D2152" s="23">
        <v>84.9870382842889</v>
      </c>
    </row>
    <row r="2153">
      <c r="A2153" s="24" t="s">
        <v>10165</v>
      </c>
      <c r="B2153" s="24" t="s">
        <v>8600</v>
      </c>
      <c r="C2153" s="25">
        <v>26.4204807692208</v>
      </c>
      <c r="D2153" s="25">
        <v>-108.629113155999</v>
      </c>
    </row>
    <row r="2154">
      <c r="A2154" s="22" t="s">
        <v>10166</v>
      </c>
      <c r="B2154" s="22" t="s">
        <v>8602</v>
      </c>
      <c r="C2154" s="23">
        <v>16.6702730120863</v>
      </c>
      <c r="D2154" s="23">
        <v>107.154806544629</v>
      </c>
    </row>
    <row r="2155">
      <c r="A2155" s="24" t="s">
        <v>10167</v>
      </c>
      <c r="B2155" s="24" t="s">
        <v>8047</v>
      </c>
      <c r="C2155" s="25">
        <v>43.6086119145692</v>
      </c>
      <c r="D2155" s="25">
        <v>11.4673927067389</v>
      </c>
    </row>
    <row r="2156">
      <c r="A2156" s="22" t="s">
        <v>10168</v>
      </c>
      <c r="B2156" s="22" t="s">
        <v>8108</v>
      </c>
      <c r="C2156" s="23">
        <v>20.3137512592472</v>
      </c>
      <c r="D2156" s="23">
        <v>86.7034140216303</v>
      </c>
    </row>
    <row r="2157">
      <c r="A2157" s="24" t="s">
        <v>10169</v>
      </c>
      <c r="B2157" s="24" t="s">
        <v>8108</v>
      </c>
      <c r="C2157" s="25">
        <v>19.2772592538212</v>
      </c>
      <c r="D2157" s="25">
        <v>84.9404151665785</v>
      </c>
    </row>
    <row r="2158">
      <c r="A2158" s="22" t="s">
        <v>10170</v>
      </c>
      <c r="B2158" s="22" t="s">
        <v>8108</v>
      </c>
      <c r="C2158" s="23">
        <v>19.2772592538212</v>
      </c>
      <c r="D2158" s="23">
        <v>84.9404151665785</v>
      </c>
    </row>
    <row r="2159">
      <c r="A2159" s="24" t="s">
        <v>10171</v>
      </c>
      <c r="B2159" s="24" t="s">
        <v>8108</v>
      </c>
      <c r="C2159" s="25">
        <v>8.37488146398001</v>
      </c>
      <c r="D2159" s="25">
        <v>76.989836259798</v>
      </c>
    </row>
    <row r="2160">
      <c r="A2160" s="22" t="s">
        <v>10172</v>
      </c>
      <c r="B2160" s="22" t="s">
        <v>8108</v>
      </c>
      <c r="C2160" s="23">
        <v>8.37488146398001</v>
      </c>
      <c r="D2160" s="23">
        <v>76.989836259798</v>
      </c>
    </row>
    <row r="2161">
      <c r="A2161" s="24" t="s">
        <v>10173</v>
      </c>
      <c r="B2161" s="24" t="s">
        <v>8108</v>
      </c>
      <c r="C2161" s="25">
        <v>8.37488146398001</v>
      </c>
      <c r="D2161" s="25">
        <v>76.989836259798</v>
      </c>
    </row>
    <row r="2162">
      <c r="A2162" s="22" t="s">
        <v>10174</v>
      </c>
      <c r="B2162" s="22" t="s">
        <v>8578</v>
      </c>
      <c r="C2162" s="23">
        <v>-6.24013459572743</v>
      </c>
      <c r="D2162" s="23">
        <v>107.886113606934</v>
      </c>
    </row>
    <row r="2163">
      <c r="A2163" s="24" t="s">
        <v>10175</v>
      </c>
      <c r="B2163" s="24" t="s">
        <v>8578</v>
      </c>
      <c r="C2163" s="25">
        <v>-5.306544</v>
      </c>
      <c r="D2163" s="25">
        <v>104.577194</v>
      </c>
    </row>
    <row r="2164">
      <c r="A2164" s="22" t="s">
        <v>10176</v>
      </c>
      <c r="B2164" s="22" t="s">
        <v>8578</v>
      </c>
      <c r="C2164" s="23">
        <v>1.0593867176579</v>
      </c>
      <c r="D2164" s="23">
        <v>104.466911568652</v>
      </c>
    </row>
    <row r="2165">
      <c r="A2165" s="24" t="s">
        <v>10177</v>
      </c>
      <c r="B2165" s="24" t="s">
        <v>8578</v>
      </c>
      <c r="C2165" s="25">
        <v>1.24747122645081</v>
      </c>
      <c r="D2165" s="25">
        <v>124.642168576279</v>
      </c>
    </row>
    <row r="2166">
      <c r="A2166" s="22" t="s">
        <v>10178</v>
      </c>
      <c r="B2166" s="22" t="s">
        <v>8578</v>
      </c>
      <c r="C2166" s="23">
        <v>-5.94206935569126</v>
      </c>
      <c r="D2166" s="23">
        <v>106.037781362071</v>
      </c>
    </row>
    <row r="2167">
      <c r="A2167" s="24" t="s">
        <v>10179</v>
      </c>
      <c r="B2167" s="24" t="s">
        <v>8047</v>
      </c>
      <c r="C2167" s="25">
        <v>45.157</v>
      </c>
      <c r="D2167" s="25">
        <v>10.792</v>
      </c>
    </row>
    <row r="2168">
      <c r="A2168" s="22" t="s">
        <v>10180</v>
      </c>
      <c r="B2168" s="22" t="s">
        <v>8047</v>
      </c>
      <c r="C2168" s="23">
        <v>45.463</v>
      </c>
      <c r="D2168" s="23">
        <v>12.267</v>
      </c>
    </row>
    <row r="2169">
      <c r="A2169" s="24" t="s">
        <v>10181</v>
      </c>
      <c r="B2169" s="24" t="s">
        <v>8047</v>
      </c>
      <c r="C2169" s="25">
        <v>42.518</v>
      </c>
      <c r="D2169" s="25">
        <v>12.516</v>
      </c>
    </row>
    <row r="2170">
      <c r="A2170" s="22" t="s">
        <v>10182</v>
      </c>
      <c r="B2170" s="22" t="s">
        <v>8047</v>
      </c>
      <c r="C2170" s="23">
        <v>41.949</v>
      </c>
      <c r="D2170" s="23">
        <v>15.004</v>
      </c>
    </row>
    <row r="2171">
      <c r="A2171" s="24" t="s">
        <v>10183</v>
      </c>
      <c r="B2171" s="24" t="s">
        <v>8047</v>
      </c>
      <c r="C2171" s="25">
        <v>45.6354840370743</v>
      </c>
      <c r="D2171" s="25">
        <v>8.7139744017433</v>
      </c>
    </row>
    <row r="2172">
      <c r="A2172" s="22" t="s">
        <v>10184</v>
      </c>
      <c r="B2172" s="22" t="s">
        <v>8047</v>
      </c>
      <c r="C2172" s="23">
        <v>45.5428562245423</v>
      </c>
      <c r="D2172" s="23">
        <v>10.2504532968465</v>
      </c>
    </row>
    <row r="2173">
      <c r="A2173" s="24" t="s">
        <v>10185</v>
      </c>
      <c r="B2173" s="24" t="s">
        <v>8108</v>
      </c>
      <c r="C2173" s="25">
        <v>18.8729611475165</v>
      </c>
      <c r="D2173" s="25">
        <v>74.8669875110083</v>
      </c>
    </row>
    <row r="2174">
      <c r="A2174" s="22" t="s">
        <v>10186</v>
      </c>
      <c r="B2174" s="22" t="s">
        <v>7971</v>
      </c>
      <c r="C2174" s="23">
        <v>58.4497177460841</v>
      </c>
      <c r="D2174" s="23">
        <v>8.84933770982461</v>
      </c>
    </row>
    <row r="2175">
      <c r="A2175" s="24" t="s">
        <v>10187</v>
      </c>
      <c r="B2175" s="24" t="s">
        <v>7971</v>
      </c>
      <c r="C2175" s="25">
        <v>59.3099496853397</v>
      </c>
      <c r="D2175" s="25">
        <v>10.5184101668732</v>
      </c>
    </row>
    <row r="2176">
      <c r="A2176" s="22" t="s">
        <v>10188</v>
      </c>
      <c r="B2176" s="22" t="s">
        <v>8590</v>
      </c>
      <c r="C2176" s="23">
        <v>-3.53092803394662</v>
      </c>
      <c r="D2176" s="23">
        <v>-38.7923774582973</v>
      </c>
    </row>
    <row r="2177">
      <c r="A2177" s="24" t="s">
        <v>10189</v>
      </c>
      <c r="B2177" s="24" t="s">
        <v>8021</v>
      </c>
      <c r="C2177" s="25">
        <v>-23.8059755377543</v>
      </c>
      <c r="D2177" s="25">
        <v>151.060685014358</v>
      </c>
    </row>
    <row r="2178">
      <c r="A2178" s="22" t="s">
        <v>10190</v>
      </c>
      <c r="B2178" s="22" t="s">
        <v>8021</v>
      </c>
      <c r="C2178" s="23">
        <v>-23.8059755377543</v>
      </c>
      <c r="D2178" s="23">
        <v>151.060685014358</v>
      </c>
    </row>
    <row r="2179">
      <c r="A2179" s="24" t="s">
        <v>10191</v>
      </c>
      <c r="B2179" s="24" t="s">
        <v>8016</v>
      </c>
      <c r="C2179" s="25">
        <v>4.65068238189132</v>
      </c>
      <c r="D2179" s="25">
        <v>103.382167597631</v>
      </c>
    </row>
    <row r="2180">
      <c r="A2180" s="22" t="s">
        <v>10192</v>
      </c>
      <c r="B2180" s="22" t="s">
        <v>8069</v>
      </c>
      <c r="C2180" s="23">
        <v>9.41219525067958</v>
      </c>
      <c r="D2180" s="23">
        <v>-84.1040275145548</v>
      </c>
    </row>
    <row r="2181">
      <c r="A2181" s="24" t="s">
        <v>10193</v>
      </c>
      <c r="B2181" s="24" t="s">
        <v>8590</v>
      </c>
      <c r="C2181" s="25">
        <v>-8.39346819778973</v>
      </c>
      <c r="D2181" s="25">
        <v>-34.9676970474933</v>
      </c>
    </row>
    <row r="2182">
      <c r="A2182" s="22" t="s">
        <v>10194</v>
      </c>
      <c r="B2182" s="22" t="s">
        <v>8008</v>
      </c>
      <c r="C2182" s="23">
        <v>58.3958297153906</v>
      </c>
      <c r="D2182" s="23">
        <v>24.4399716302236</v>
      </c>
    </row>
    <row r="2183">
      <c r="A2183" s="24" t="s">
        <v>10195</v>
      </c>
      <c r="B2183" s="24" t="s">
        <v>8071</v>
      </c>
      <c r="C2183" s="25">
        <v>-53.4654375559453</v>
      </c>
      <c r="D2183" s="25">
        <v>-71.6168099613389</v>
      </c>
    </row>
    <row r="2184">
      <c r="A2184" s="22" t="s">
        <v>10196</v>
      </c>
      <c r="B2184" s="22" t="s">
        <v>8071</v>
      </c>
      <c r="C2184" s="23">
        <v>-51.4577196214412</v>
      </c>
      <c r="D2184" s="23">
        <v>-73.9239387272992</v>
      </c>
    </row>
    <row r="2185">
      <c r="A2185" s="24" t="s">
        <v>10197</v>
      </c>
      <c r="B2185" s="24" t="s">
        <v>8071</v>
      </c>
      <c r="C2185" s="25">
        <v>-23.4737506788131</v>
      </c>
      <c r="D2185" s="25">
        <v>-70.3886912879207</v>
      </c>
    </row>
    <row r="2186">
      <c r="A2186" s="22" t="s">
        <v>10198</v>
      </c>
      <c r="B2186" s="22" t="s">
        <v>8590</v>
      </c>
      <c r="C2186" s="23">
        <v>-3.53</v>
      </c>
      <c r="D2186" s="23">
        <v>-38.79</v>
      </c>
    </row>
    <row r="2187">
      <c r="A2187" s="24" t="s">
        <v>10199</v>
      </c>
      <c r="B2187" s="24" t="s">
        <v>8161</v>
      </c>
      <c r="C2187" s="25">
        <v>37.9934700544525</v>
      </c>
      <c r="D2187" s="25">
        <v>-8.85421195911899</v>
      </c>
    </row>
    <row r="2188">
      <c r="A2188" s="22" t="s">
        <v>10200</v>
      </c>
      <c r="B2188" s="22" t="s">
        <v>8590</v>
      </c>
      <c r="C2188" s="23">
        <v>-21.8667292150067</v>
      </c>
      <c r="D2188" s="23">
        <v>-41.0159843088845</v>
      </c>
    </row>
    <row r="2189">
      <c r="A2189" s="24" t="s">
        <v>10201</v>
      </c>
      <c r="B2189" s="24" t="s">
        <v>8021</v>
      </c>
      <c r="C2189" s="25">
        <v>-23.9650649571223</v>
      </c>
      <c r="D2189" s="25">
        <v>151.340716674184</v>
      </c>
    </row>
    <row r="2190">
      <c r="A2190" s="22" t="s">
        <v>10202</v>
      </c>
      <c r="B2190" s="22" t="s">
        <v>8001</v>
      </c>
      <c r="C2190" s="23">
        <v>38.920834</v>
      </c>
      <c r="D2190" s="23">
        <v>121.639168</v>
      </c>
    </row>
    <row r="2191">
      <c r="A2191" s="24" t="s">
        <v>10203</v>
      </c>
      <c r="B2191" s="24" t="s">
        <v>8003</v>
      </c>
      <c r="C2191" s="25">
        <v>50.2534908632488</v>
      </c>
      <c r="D2191" s="25">
        <v>-66.3511994627657</v>
      </c>
    </row>
    <row r="2192">
      <c r="A2192" s="22" t="s">
        <v>10204</v>
      </c>
      <c r="B2192" s="22" t="s">
        <v>8001</v>
      </c>
      <c r="C2192" s="23">
        <v>42.2230853192098</v>
      </c>
      <c r="D2192" s="23">
        <v>119.008006884662</v>
      </c>
    </row>
    <row r="2193">
      <c r="A2193" s="24" t="s">
        <v>10205</v>
      </c>
      <c r="B2193" s="24" t="s">
        <v>8001</v>
      </c>
      <c r="C2193" s="25">
        <v>42.2230853192098</v>
      </c>
      <c r="D2193" s="25">
        <v>119.008006884662</v>
      </c>
    </row>
    <row r="2194">
      <c r="A2194" s="22" t="s">
        <v>10206</v>
      </c>
      <c r="B2194" s="22" t="s">
        <v>8001</v>
      </c>
      <c r="C2194" s="23">
        <v>39.3255179900624</v>
      </c>
      <c r="D2194" s="23">
        <v>107.758773142999</v>
      </c>
    </row>
    <row r="2195">
      <c r="A2195" s="24" t="s">
        <v>10207</v>
      </c>
      <c r="B2195" s="24" t="s">
        <v>8001</v>
      </c>
      <c r="C2195" s="25">
        <v>39.7688254984121</v>
      </c>
      <c r="D2195" s="25">
        <v>109.742352188501</v>
      </c>
    </row>
    <row r="2196">
      <c r="A2196" s="22" t="s">
        <v>10208</v>
      </c>
      <c r="B2196" s="22" t="s">
        <v>8001</v>
      </c>
      <c r="C2196" s="23">
        <v>38.9172372691748</v>
      </c>
      <c r="D2196" s="23">
        <v>105.293768450861</v>
      </c>
    </row>
    <row r="2197">
      <c r="A2197" s="24" t="s">
        <v>10209</v>
      </c>
      <c r="B2197" s="24" t="s">
        <v>8001</v>
      </c>
      <c r="C2197" s="25">
        <v>38.9172372691748</v>
      </c>
      <c r="D2197" s="25">
        <v>105.293768450861</v>
      </c>
    </row>
    <row r="2198">
      <c r="A2198" s="22" t="s">
        <v>10210</v>
      </c>
      <c r="B2198" s="22" t="s">
        <v>8026</v>
      </c>
      <c r="C2198" s="23">
        <v>64.1431273175954</v>
      </c>
      <c r="D2198" s="23">
        <v>25.3466412638714</v>
      </c>
    </row>
    <row r="2199">
      <c r="A2199" s="24" t="s">
        <v>10211</v>
      </c>
      <c r="B2199" s="24" t="s">
        <v>8600</v>
      </c>
      <c r="C2199" s="25">
        <v>25.6973035165956</v>
      </c>
      <c r="D2199" s="25">
        <v>-109.07430968339</v>
      </c>
    </row>
    <row r="2200">
      <c r="A2200" s="22" t="s">
        <v>10212</v>
      </c>
      <c r="B2200" s="22" t="s">
        <v>8240</v>
      </c>
      <c r="C2200" s="23">
        <v>28.31</v>
      </c>
      <c r="D2200" s="23">
        <v>34.85</v>
      </c>
    </row>
    <row r="2201">
      <c r="A2201" s="24" t="s">
        <v>10213</v>
      </c>
      <c r="B2201" s="24" t="s">
        <v>7974</v>
      </c>
      <c r="C2201" s="25">
        <v>62.9248721891407</v>
      </c>
      <c r="D2201" s="25">
        <v>17.8416101962347</v>
      </c>
    </row>
    <row r="2202">
      <c r="A2202" s="22" t="s">
        <v>10214</v>
      </c>
      <c r="B2202" s="22" t="s">
        <v>8590</v>
      </c>
      <c r="C2202" s="23">
        <v>-3.53</v>
      </c>
      <c r="D2202" s="23">
        <v>-38.79</v>
      </c>
    </row>
    <row r="2203">
      <c r="A2203" s="24" t="s">
        <v>10215</v>
      </c>
      <c r="B2203" s="24" t="s">
        <v>8071</v>
      </c>
      <c r="C2203" s="25">
        <v>-23.4737506788131</v>
      </c>
      <c r="D2203" s="25">
        <v>-70.3886912879207</v>
      </c>
    </row>
    <row r="2204">
      <c r="A2204" s="22" t="s">
        <v>10216</v>
      </c>
      <c r="B2204" s="22" t="s">
        <v>8071</v>
      </c>
      <c r="C2204" s="23">
        <v>-23.4737506788131</v>
      </c>
      <c r="D2204" s="23">
        <v>-70.3886912879207</v>
      </c>
    </row>
    <row r="2205">
      <c r="A2205" s="24" t="s">
        <v>10217</v>
      </c>
      <c r="B2205" s="24" t="s">
        <v>8713</v>
      </c>
      <c r="C2205" s="25">
        <v>-16.4091531531236</v>
      </c>
      <c r="D2205" s="25">
        <v>-71.5347211661349</v>
      </c>
    </row>
    <row r="2206">
      <c r="A2206" s="22" t="s">
        <v>10218</v>
      </c>
      <c r="B2206" s="22" t="s">
        <v>8600</v>
      </c>
      <c r="C2206" s="23">
        <v>17.0722725675635</v>
      </c>
      <c r="D2206" s="23">
        <v>-96.7286404874975</v>
      </c>
    </row>
    <row r="2207">
      <c r="A2207" s="24" t="s">
        <v>10219</v>
      </c>
      <c r="B2207" s="24" t="s">
        <v>8590</v>
      </c>
      <c r="C2207" s="25">
        <v>-23.9658348972071</v>
      </c>
      <c r="D2207" s="25">
        <v>-46.3016325683692</v>
      </c>
    </row>
    <row r="2208">
      <c r="A2208" s="22" t="s">
        <v>10220</v>
      </c>
      <c r="B2208" s="22" t="s">
        <v>8737</v>
      </c>
      <c r="C2208" s="23">
        <v>8.24730251419912</v>
      </c>
      <c r="D2208" s="23">
        <v>-76.5802170158968</v>
      </c>
    </row>
    <row r="2209">
      <c r="A2209" s="24" t="s">
        <v>10221</v>
      </c>
      <c r="B2209" s="24" t="s">
        <v>8737</v>
      </c>
      <c r="C2209" s="25">
        <v>8.24730251419912</v>
      </c>
      <c r="D2209" s="25">
        <v>-76.5802170158968</v>
      </c>
    </row>
    <row r="2210">
      <c r="A2210" s="22" t="s">
        <v>10222</v>
      </c>
      <c r="B2210" s="22" t="s">
        <v>8590</v>
      </c>
      <c r="C2210" s="23">
        <v>-23.0086285730379</v>
      </c>
      <c r="D2210" s="23">
        <v>-44.4559855173439</v>
      </c>
    </row>
    <row r="2211">
      <c r="A2211" s="24" t="s">
        <v>10223</v>
      </c>
      <c r="B2211" s="24" t="s">
        <v>8071</v>
      </c>
      <c r="C2211" s="25">
        <v>-38.596839000199</v>
      </c>
      <c r="D2211" s="25">
        <v>-73.2662985046676</v>
      </c>
    </row>
    <row r="2212">
      <c r="A2212" s="22" t="s">
        <v>10224</v>
      </c>
      <c r="B2212" s="22" t="s">
        <v>8590</v>
      </c>
      <c r="C2212" s="23">
        <v>-3.55095800931114</v>
      </c>
      <c r="D2212" s="23">
        <v>-38.8294563169832</v>
      </c>
    </row>
    <row r="2213">
      <c r="A2213" s="24" t="s">
        <v>10225</v>
      </c>
      <c r="B2213" s="24" t="s">
        <v>7987</v>
      </c>
      <c r="C2213" s="25">
        <v>51.3870917285608</v>
      </c>
      <c r="D2213" s="25">
        <v>11.8672628096575</v>
      </c>
    </row>
    <row r="2214">
      <c r="A2214" s="22" t="s">
        <v>10226</v>
      </c>
      <c r="B2214" s="22" t="s">
        <v>8001</v>
      </c>
      <c r="C2214" s="23">
        <v>40.9970560815471</v>
      </c>
      <c r="D2214" s="23">
        <v>113.126216565237</v>
      </c>
    </row>
    <row r="2215">
      <c r="A2215" s="24" t="s">
        <v>10227</v>
      </c>
      <c r="B2215" s="24" t="s">
        <v>8071</v>
      </c>
      <c r="C2215" s="25">
        <v>-54.1051771502839</v>
      </c>
      <c r="D2215" s="25">
        <v>-68.1193262586878</v>
      </c>
    </row>
    <row r="2216">
      <c r="A2216" s="22" t="s">
        <v>10228</v>
      </c>
      <c r="B2216" s="22" t="s">
        <v>7977</v>
      </c>
      <c r="C2216" s="23">
        <v>39.1517062587045</v>
      </c>
      <c r="D2216" s="23">
        <v>-5.89713604170273</v>
      </c>
    </row>
    <row r="2217">
      <c r="A2217" s="24" t="s">
        <v>10229</v>
      </c>
      <c r="B2217" s="24" t="s">
        <v>7977</v>
      </c>
      <c r="C2217" s="25">
        <v>41.108611111</v>
      </c>
      <c r="D2217" s="25">
        <v>1.18944444444</v>
      </c>
    </row>
    <row r="2218">
      <c r="A2218" s="22" t="s">
        <v>10230</v>
      </c>
      <c r="B2218" s="22" t="s">
        <v>8047</v>
      </c>
      <c r="C2218" s="23">
        <v>0.0</v>
      </c>
      <c r="D2218" s="23">
        <v>0.0</v>
      </c>
    </row>
    <row r="2219">
      <c r="A2219" s="24" t="s">
        <v>10231</v>
      </c>
      <c r="B2219" s="24" t="s">
        <v>8047</v>
      </c>
      <c r="C2219" s="25">
        <v>41.8867342099192</v>
      </c>
      <c r="D2219" s="25">
        <v>12.5311326473152</v>
      </c>
    </row>
    <row r="2220">
      <c r="A2220" s="22" t="s">
        <v>10232</v>
      </c>
      <c r="B2220" s="22" t="s">
        <v>7987</v>
      </c>
      <c r="C2220" s="23">
        <v>48.993417</v>
      </c>
      <c r="D2220" s="23">
        <v>8.550129</v>
      </c>
    </row>
    <row r="2221">
      <c r="A2221" s="24" t="s">
        <v>10233</v>
      </c>
      <c r="B2221" s="24" t="s">
        <v>8108</v>
      </c>
      <c r="C2221" s="25">
        <v>24.0459765869385</v>
      </c>
      <c r="D2221" s="25">
        <v>76.1766183827331</v>
      </c>
    </row>
    <row r="2222">
      <c r="A2222" s="22" t="s">
        <v>10234</v>
      </c>
      <c r="B2222" s="22" t="s">
        <v>7977</v>
      </c>
      <c r="C2222" s="23">
        <v>39.9934106692918</v>
      </c>
      <c r="D2222" s="23">
        <v>-0.0208546706238567</v>
      </c>
    </row>
    <row r="2223">
      <c r="A2223" s="24" t="s">
        <v>10235</v>
      </c>
      <c r="B2223" s="24" t="s">
        <v>7977</v>
      </c>
      <c r="C2223" s="25">
        <v>41.3904683047587</v>
      </c>
      <c r="D2223" s="25">
        <v>2.16988385449095</v>
      </c>
    </row>
    <row r="2224">
      <c r="A2224" s="22" t="s">
        <v>10236</v>
      </c>
      <c r="B2224" s="22" t="s">
        <v>10237</v>
      </c>
      <c r="C2224" s="23">
        <v>26.036714147858</v>
      </c>
      <c r="D2224" s="23">
        <v>50.5368830508888</v>
      </c>
    </row>
    <row r="2225">
      <c r="A2225" s="24" t="s">
        <v>10238</v>
      </c>
      <c r="B2225" s="24" t="s">
        <v>8785</v>
      </c>
      <c r="C2225" s="25">
        <v>31.1313960128891</v>
      </c>
      <c r="D2225" s="25">
        <v>27.4213925735977</v>
      </c>
    </row>
    <row r="2226">
      <c r="A2226" s="22" t="s">
        <v>10239</v>
      </c>
      <c r="B2226" s="22" t="s">
        <v>8785</v>
      </c>
      <c r="C2226" s="23">
        <v>29.6569141353264</v>
      </c>
      <c r="D2226" s="23">
        <v>32.3378967099185</v>
      </c>
    </row>
    <row r="2227">
      <c r="A2227" s="24" t="s">
        <v>10240</v>
      </c>
      <c r="B2227" s="24" t="s">
        <v>8785</v>
      </c>
      <c r="C2227" s="25">
        <v>0.0</v>
      </c>
      <c r="D2227" s="25">
        <v>0.0</v>
      </c>
    </row>
    <row r="2228">
      <c r="A2228" s="22" t="s">
        <v>10241</v>
      </c>
      <c r="B2228" s="22" t="s">
        <v>7977</v>
      </c>
      <c r="C2228" s="23">
        <v>37.3891815324199</v>
      </c>
      <c r="D2228" s="23">
        <v>-5.98323936669221</v>
      </c>
    </row>
    <row r="2229">
      <c r="A2229" s="24" t="s">
        <v>10242</v>
      </c>
      <c r="B2229" s="24" t="s">
        <v>7977</v>
      </c>
      <c r="C2229" s="25">
        <v>37.3891815324199</v>
      </c>
      <c r="D2229" s="25">
        <v>-5.98323936669221</v>
      </c>
    </row>
    <row r="2230">
      <c r="A2230" s="22" t="s">
        <v>10243</v>
      </c>
      <c r="B2230" s="22" t="s">
        <v>7977</v>
      </c>
      <c r="C2230" s="23">
        <v>37.3891815324199</v>
      </c>
      <c r="D2230" s="23">
        <v>-5.98323936669221</v>
      </c>
    </row>
    <row r="2231">
      <c r="A2231" s="24" t="s">
        <v>10244</v>
      </c>
      <c r="B2231" s="24" t="s">
        <v>8365</v>
      </c>
      <c r="C2231" s="25">
        <v>-32.995119161771</v>
      </c>
      <c r="D2231" s="25">
        <v>17.992656849477</v>
      </c>
    </row>
    <row r="2232">
      <c r="A2232" s="22" t="s">
        <v>10245</v>
      </c>
      <c r="B2232" s="22" t="s">
        <v>9069</v>
      </c>
      <c r="C2232" s="23">
        <v>-9.7326393894419</v>
      </c>
      <c r="D2232" s="23">
        <v>15.4260907723946</v>
      </c>
    </row>
    <row r="2233">
      <c r="A2233" s="24" t="s">
        <v>10246</v>
      </c>
      <c r="B2233" s="24" t="s">
        <v>7981</v>
      </c>
      <c r="C2233" s="25">
        <v>25.9554298913569</v>
      </c>
      <c r="D2233" s="25">
        <v>-97.375614372712</v>
      </c>
    </row>
    <row r="2234">
      <c r="A2234" s="22" t="s">
        <v>10247</v>
      </c>
      <c r="B2234" s="22" t="s">
        <v>7974</v>
      </c>
      <c r="C2234" s="23">
        <v>65.6225330116392</v>
      </c>
      <c r="D2234" s="23">
        <v>22.1886228462873</v>
      </c>
    </row>
    <row r="2235">
      <c r="A2235" s="24" t="s">
        <v>10248</v>
      </c>
      <c r="B2235" s="24" t="s">
        <v>8539</v>
      </c>
      <c r="C2235" s="25">
        <v>0.0</v>
      </c>
      <c r="D2235" s="25">
        <v>0.0</v>
      </c>
    </row>
    <row r="2236">
      <c r="A2236" s="22" t="s">
        <v>10249</v>
      </c>
      <c r="B2236" s="22" t="s">
        <v>7994</v>
      </c>
      <c r="C2236" s="23">
        <v>55.4803656964349</v>
      </c>
      <c r="D2236" s="23">
        <v>9.12223280317703</v>
      </c>
    </row>
    <row r="2237">
      <c r="A2237" s="24" t="s">
        <v>10250</v>
      </c>
      <c r="B2237" s="24" t="s">
        <v>8600</v>
      </c>
      <c r="C2237" s="25">
        <v>29.4647640594241</v>
      </c>
      <c r="D2237" s="25">
        <v>-112.208944595666</v>
      </c>
    </row>
    <row r="2238">
      <c r="A2238" s="22" t="s">
        <v>10251</v>
      </c>
      <c r="B2238" s="22" t="s">
        <v>8600</v>
      </c>
      <c r="C2238" s="23">
        <v>29.4647640594241</v>
      </c>
      <c r="D2238" s="23">
        <v>-112.208944595666</v>
      </c>
    </row>
    <row r="2239">
      <c r="A2239" s="24" t="s">
        <v>10252</v>
      </c>
      <c r="B2239" s="24" t="s">
        <v>8001</v>
      </c>
      <c r="C2239" s="25">
        <v>34.050780694017</v>
      </c>
      <c r="D2239" s="25">
        <v>113.796998936743</v>
      </c>
    </row>
    <row r="2240">
      <c r="A2240" s="22" t="s">
        <v>10253</v>
      </c>
      <c r="B2240" s="22" t="s">
        <v>8001</v>
      </c>
      <c r="C2240" s="23">
        <v>37.4120770681614</v>
      </c>
      <c r="D2240" s="23">
        <v>118.719826556485</v>
      </c>
    </row>
    <row r="2241">
      <c r="A2241" s="24" t="s">
        <v>10254</v>
      </c>
      <c r="B2241" s="24" t="s">
        <v>8001</v>
      </c>
      <c r="C2241" s="25">
        <v>44.1201177758482</v>
      </c>
      <c r="D2241" s="25">
        <v>87.2458443861379</v>
      </c>
    </row>
    <row r="2242">
      <c r="A2242" s="22" t="s">
        <v>10255</v>
      </c>
      <c r="B2242" s="22" t="s">
        <v>8001</v>
      </c>
      <c r="C2242" s="23">
        <v>37.4177271861722</v>
      </c>
      <c r="D2242" s="23">
        <v>121.430625272712</v>
      </c>
    </row>
    <row r="2243">
      <c r="A2243" s="28" t="s">
        <v>10256</v>
      </c>
      <c r="B2243" s="24" t="s">
        <v>8001</v>
      </c>
      <c r="C2243" s="25">
        <v>41.1282450014997</v>
      </c>
      <c r="D2243" s="25">
        <v>121.110976987243</v>
      </c>
    </row>
    <row r="2244">
      <c r="A2244" s="22" t="s">
        <v>10257</v>
      </c>
      <c r="B2244" s="22" t="s">
        <v>8001</v>
      </c>
      <c r="C2244" s="23">
        <v>42.3003276145551</v>
      </c>
      <c r="D2244" s="23">
        <v>118.905704345328</v>
      </c>
    </row>
    <row r="2245">
      <c r="A2245" s="24" t="s">
        <v>10258</v>
      </c>
      <c r="B2245" s="24" t="s">
        <v>8001</v>
      </c>
      <c r="C2245" s="25">
        <v>40.6370890132863</v>
      </c>
      <c r="D2245" s="25">
        <v>122.271195528197</v>
      </c>
    </row>
    <row r="2246">
      <c r="A2246" s="22" t="s">
        <v>10259</v>
      </c>
      <c r="B2246" s="22" t="s">
        <v>8001</v>
      </c>
      <c r="C2246" s="23">
        <v>33.3653223761457</v>
      </c>
      <c r="D2246" s="23">
        <v>120.179080699451</v>
      </c>
    </row>
    <row r="2247">
      <c r="A2247" s="24" t="s">
        <v>10260</v>
      </c>
      <c r="B2247" s="24" t="s">
        <v>8001</v>
      </c>
      <c r="C2247" s="25">
        <v>32.1267586841422</v>
      </c>
      <c r="D2247" s="25">
        <v>118.781643194689</v>
      </c>
    </row>
    <row r="2248">
      <c r="A2248" s="22" t="s">
        <v>10261</v>
      </c>
      <c r="B2248" s="22" t="s">
        <v>8001</v>
      </c>
      <c r="C2248" s="23">
        <v>33.3653223761457</v>
      </c>
      <c r="D2248" s="23">
        <v>120.179080699451</v>
      </c>
    </row>
    <row r="2249">
      <c r="A2249" s="24" t="s">
        <v>10262</v>
      </c>
      <c r="B2249" s="24" t="s">
        <v>8590</v>
      </c>
      <c r="C2249" s="25">
        <v>-8.39346819778973</v>
      </c>
      <c r="D2249" s="25">
        <v>-34.9676970474933</v>
      </c>
    </row>
    <row r="2250">
      <c r="A2250" s="22" t="s">
        <v>10263</v>
      </c>
      <c r="B2250" s="22" t="s">
        <v>8001</v>
      </c>
      <c r="C2250" s="23">
        <v>36.6282727442959</v>
      </c>
      <c r="D2250" s="23">
        <v>114.440800371181</v>
      </c>
    </row>
    <row r="2251">
      <c r="A2251" s="24" t="s">
        <v>10264</v>
      </c>
      <c r="B2251" s="24" t="s">
        <v>8001</v>
      </c>
      <c r="C2251" s="25">
        <v>30.0027683517081</v>
      </c>
      <c r="D2251" s="25">
        <v>122.210475958779</v>
      </c>
    </row>
    <row r="2252">
      <c r="A2252" s="22" t="s">
        <v>10265</v>
      </c>
      <c r="B2252" s="22" t="s">
        <v>8001</v>
      </c>
      <c r="C2252" s="23">
        <v>26.6717820491934</v>
      </c>
      <c r="D2252" s="23">
        <v>107.973499139875</v>
      </c>
    </row>
    <row r="2253">
      <c r="A2253" s="24" t="s">
        <v>10266</v>
      </c>
      <c r="B2253" s="24" t="s">
        <v>8001</v>
      </c>
      <c r="C2253" s="25">
        <v>45.6256610172764</v>
      </c>
      <c r="D2253" s="25">
        <v>122.840992821297</v>
      </c>
    </row>
    <row r="2254">
      <c r="A2254" s="22" t="s">
        <v>10267</v>
      </c>
      <c r="B2254" s="22" t="s">
        <v>8001</v>
      </c>
      <c r="C2254" s="23">
        <v>46.6797626753215</v>
      </c>
      <c r="D2254" s="23">
        <v>131.165417352668</v>
      </c>
    </row>
    <row r="2255">
      <c r="A2255" s="28" t="s">
        <v>10268</v>
      </c>
      <c r="B2255" s="24" t="s">
        <v>8001</v>
      </c>
      <c r="C2255" s="25">
        <v>45.3119416772561</v>
      </c>
      <c r="D2255" s="25">
        <v>130.963420609269</v>
      </c>
    </row>
    <row r="2256">
      <c r="A2256" s="27" t="s">
        <v>10269</v>
      </c>
      <c r="B2256" s="22" t="s">
        <v>8001</v>
      </c>
      <c r="C2256" s="23">
        <v>29.6930292258961</v>
      </c>
      <c r="D2256" s="23">
        <v>115.651464337188</v>
      </c>
    </row>
    <row r="2257">
      <c r="A2257" s="28" t="s">
        <v>10270</v>
      </c>
      <c r="B2257" s="24" t="s">
        <v>8001</v>
      </c>
      <c r="C2257" s="25">
        <v>42.3003276145551</v>
      </c>
      <c r="D2257" s="25">
        <v>118.905704345328</v>
      </c>
    </row>
    <row r="2258">
      <c r="A2258" s="27" t="s">
        <v>10271</v>
      </c>
      <c r="B2258" s="22" t="s">
        <v>8001</v>
      </c>
      <c r="C2258" s="23">
        <v>43.657080269121</v>
      </c>
      <c r="D2258" s="23">
        <v>122.200916393583</v>
      </c>
    </row>
    <row r="2259">
      <c r="A2259" s="24" t="s">
        <v>10272</v>
      </c>
      <c r="B2259" s="24" t="s">
        <v>8001</v>
      </c>
      <c r="C2259" s="25">
        <v>34.6205416039302</v>
      </c>
      <c r="D2259" s="25">
        <v>119.106890144275</v>
      </c>
    </row>
    <row r="2260">
      <c r="A2260" s="22" t="s">
        <v>10273</v>
      </c>
      <c r="B2260" s="22" t="s">
        <v>8001</v>
      </c>
      <c r="C2260" s="23">
        <v>39.5172318501697</v>
      </c>
      <c r="D2260" s="23">
        <v>107.079938047575</v>
      </c>
    </row>
    <row r="2261">
      <c r="A2261" s="24" t="s">
        <v>10274</v>
      </c>
      <c r="B2261" s="24" t="s">
        <v>8001</v>
      </c>
      <c r="C2261" s="25">
        <v>45.1468985491529</v>
      </c>
      <c r="D2261" s="25">
        <v>124.828845075208</v>
      </c>
    </row>
    <row r="2262">
      <c r="A2262" s="22" t="s">
        <v>10275</v>
      </c>
      <c r="B2262" s="22" t="s">
        <v>8001</v>
      </c>
      <c r="C2262" s="23">
        <v>42.2818768085899</v>
      </c>
      <c r="D2262" s="23">
        <v>123.808967892541</v>
      </c>
    </row>
    <row r="2263">
      <c r="A2263" s="24" t="s">
        <v>10276</v>
      </c>
      <c r="B2263" s="24" t="s">
        <v>8001</v>
      </c>
      <c r="C2263" s="25">
        <v>21.4834298899254</v>
      </c>
      <c r="D2263" s="25">
        <v>109.184310370403</v>
      </c>
    </row>
    <row r="2264">
      <c r="A2264" s="22" t="s">
        <v>10277</v>
      </c>
      <c r="B2264" s="22" t="s">
        <v>8001</v>
      </c>
      <c r="C2264" s="23">
        <v>46.4282473146947</v>
      </c>
      <c r="D2264" s="23">
        <v>125.384251892132</v>
      </c>
    </row>
    <row r="2265">
      <c r="A2265" s="24" t="s">
        <v>10278</v>
      </c>
      <c r="B2265" s="24" t="s">
        <v>8001</v>
      </c>
      <c r="C2265" s="25">
        <v>46.4770581657455</v>
      </c>
      <c r="D2265" s="25">
        <v>121.984937612463</v>
      </c>
    </row>
    <row r="2266">
      <c r="A2266" s="22" t="s">
        <v>10279</v>
      </c>
      <c r="B2266" s="22" t="s">
        <v>8001</v>
      </c>
      <c r="C2266" s="23">
        <v>42.2818768085899</v>
      </c>
      <c r="D2266" s="23">
        <v>123.808967892541</v>
      </c>
    </row>
    <row r="2267">
      <c r="A2267" s="24" t="s">
        <v>10280</v>
      </c>
      <c r="B2267" s="24" t="s">
        <v>8001</v>
      </c>
      <c r="C2267" s="25">
        <v>33.3653223761457</v>
      </c>
      <c r="D2267" s="25">
        <v>120.179080699451</v>
      </c>
    </row>
    <row r="2268">
      <c r="A2268" s="22" t="s">
        <v>10281</v>
      </c>
      <c r="B2268" s="22" t="s">
        <v>8001</v>
      </c>
      <c r="C2268" s="23">
        <v>44.0158227343036</v>
      </c>
      <c r="D2268" s="23">
        <v>116.01121261231</v>
      </c>
    </row>
    <row r="2269">
      <c r="A2269" s="24" t="s">
        <v>10282</v>
      </c>
      <c r="B2269" s="24" t="s">
        <v>8001</v>
      </c>
      <c r="C2269" s="25">
        <v>35.9991819947524</v>
      </c>
      <c r="D2269" s="25">
        <v>118.172747647449</v>
      </c>
    </row>
    <row r="2270">
      <c r="A2270" s="22" t="s">
        <v>10283</v>
      </c>
      <c r="B2270" s="22" t="s">
        <v>8001</v>
      </c>
      <c r="C2270" s="23">
        <v>43.1846815116909</v>
      </c>
      <c r="D2270" s="23">
        <v>124.435746245173</v>
      </c>
    </row>
    <row r="2271">
      <c r="A2271" s="24" t="s">
        <v>10284</v>
      </c>
      <c r="B2271" s="24" t="s">
        <v>8001</v>
      </c>
      <c r="C2271" s="25">
        <v>45.1468985491529</v>
      </c>
      <c r="D2271" s="25">
        <v>124.828845075208</v>
      </c>
    </row>
    <row r="2272">
      <c r="A2272" s="22" t="s">
        <v>10285</v>
      </c>
      <c r="B2272" s="22" t="s">
        <v>8001</v>
      </c>
      <c r="C2272" s="23">
        <v>44.8618372716836</v>
      </c>
      <c r="D2272" s="23">
        <v>126.567507725282</v>
      </c>
    </row>
    <row r="2273">
      <c r="A2273" s="24" t="s">
        <v>10286</v>
      </c>
      <c r="B2273" s="24" t="s">
        <v>8590</v>
      </c>
      <c r="C2273" s="25">
        <v>-3.54515</v>
      </c>
      <c r="D2273" s="25">
        <v>-38.81322</v>
      </c>
    </row>
    <row r="2274">
      <c r="A2274" s="22" t="s">
        <v>10287</v>
      </c>
      <c r="B2274" s="22" t="s">
        <v>8590</v>
      </c>
      <c r="C2274" s="23">
        <v>-22.8623464</v>
      </c>
      <c r="D2274" s="23">
        <v>-43.2289807</v>
      </c>
    </row>
    <row r="2275">
      <c r="A2275" s="24" t="s">
        <v>10288</v>
      </c>
      <c r="B2275" s="24" t="s">
        <v>8590</v>
      </c>
      <c r="C2275" s="25">
        <v>-3.53092803394662</v>
      </c>
      <c r="D2275" s="25">
        <v>-38.7923774582973</v>
      </c>
    </row>
    <row r="2276">
      <c r="A2276" s="22" t="s">
        <v>10289</v>
      </c>
      <c r="B2276" s="22" t="s">
        <v>8011</v>
      </c>
      <c r="C2276" s="23">
        <v>49.3201991010035</v>
      </c>
      <c r="D2276" s="23">
        <v>6.11268439004312</v>
      </c>
    </row>
    <row r="2277">
      <c r="A2277" s="24" t="s">
        <v>10290</v>
      </c>
      <c r="B2277" s="24" t="s">
        <v>7977</v>
      </c>
      <c r="C2277" s="25">
        <v>37.3879805677215</v>
      </c>
      <c r="D2277" s="25">
        <v>-6.60613316575764</v>
      </c>
    </row>
    <row r="2278">
      <c r="A2278" s="22" t="s">
        <v>10291</v>
      </c>
      <c r="B2278" s="22" t="s">
        <v>7967</v>
      </c>
      <c r="C2278" s="23">
        <v>53.2682664935595</v>
      </c>
      <c r="D2278" s="23">
        <v>4.58977365493299</v>
      </c>
    </row>
    <row r="2279">
      <c r="A2279" s="24" t="s">
        <v>10292</v>
      </c>
      <c r="B2279" s="24" t="s">
        <v>8003</v>
      </c>
      <c r="C2279" s="25">
        <v>47.425092728062</v>
      </c>
      <c r="D2279" s="25">
        <v>-53.6254497653476</v>
      </c>
    </row>
    <row r="2280">
      <c r="A2280" s="22" t="s">
        <v>10293</v>
      </c>
      <c r="B2280" s="22" t="s">
        <v>8161</v>
      </c>
      <c r="C2280" s="23">
        <v>37.9640325151618</v>
      </c>
      <c r="D2280" s="23">
        <v>-8.81015788759686</v>
      </c>
    </row>
    <row r="2281">
      <c r="A2281" s="24" t="s">
        <v>10294</v>
      </c>
      <c r="B2281" s="24" t="s">
        <v>8161</v>
      </c>
      <c r="C2281" s="25">
        <v>37.9640325151618</v>
      </c>
      <c r="D2281" s="25">
        <v>-8.81015788759686</v>
      </c>
    </row>
    <row r="2282">
      <c r="A2282" s="27" t="s">
        <v>10295</v>
      </c>
      <c r="B2282" s="22" t="s">
        <v>8001</v>
      </c>
      <c r="C2282" s="23">
        <v>42.2720905262963</v>
      </c>
      <c r="D2282" s="23">
        <v>118.890974193958</v>
      </c>
    </row>
    <row r="2283">
      <c r="A2283" s="24" t="s">
        <v>10296</v>
      </c>
      <c r="B2283" s="24" t="s">
        <v>7977</v>
      </c>
      <c r="C2283" s="25">
        <v>39.9572137116035</v>
      </c>
      <c r="D2283" s="25">
        <v>0.0123494134243755</v>
      </c>
    </row>
    <row r="2284">
      <c r="A2284" s="22" t="s">
        <v>10297</v>
      </c>
      <c r="B2284" s="22" t="s">
        <v>7977</v>
      </c>
      <c r="C2284" s="23">
        <v>39.9572137116035</v>
      </c>
      <c r="D2284" s="23">
        <v>0.0123494134243755</v>
      </c>
    </row>
    <row r="2285">
      <c r="A2285" s="24" t="s">
        <v>10298</v>
      </c>
      <c r="B2285" s="24" t="s">
        <v>7977</v>
      </c>
      <c r="C2285" s="25">
        <v>39.9572137116035</v>
      </c>
      <c r="D2285" s="25">
        <v>0.0123494134243755</v>
      </c>
    </row>
    <row r="2286">
      <c r="A2286" s="22" t="s">
        <v>10299</v>
      </c>
      <c r="B2286" s="22" t="s">
        <v>7977</v>
      </c>
      <c r="C2286" s="23">
        <v>43.3592697868624</v>
      </c>
      <c r="D2286" s="23">
        <v>-8.40530897430623</v>
      </c>
    </row>
    <row r="2287">
      <c r="A2287" s="24" t="s">
        <v>10300</v>
      </c>
      <c r="B2287" s="24" t="s">
        <v>7977</v>
      </c>
      <c r="C2287" s="25">
        <v>43.3592697868624</v>
      </c>
      <c r="D2287" s="25">
        <v>-8.40530897430623</v>
      </c>
    </row>
    <row r="2288">
      <c r="A2288" s="22" t="s">
        <v>10301</v>
      </c>
      <c r="B2288" s="22" t="s">
        <v>7977</v>
      </c>
      <c r="C2288" s="23">
        <v>43.3592697868624</v>
      </c>
      <c r="D2288" s="23">
        <v>-8.40530897430623</v>
      </c>
    </row>
    <row r="2289">
      <c r="A2289" s="28" t="s">
        <v>10302</v>
      </c>
      <c r="B2289" s="24" t="s">
        <v>8001</v>
      </c>
      <c r="C2289" s="25">
        <v>41.0915781888478</v>
      </c>
      <c r="D2289" s="25">
        <v>107.045939473826</v>
      </c>
    </row>
    <row r="2290">
      <c r="A2290" s="27" t="s">
        <v>10303</v>
      </c>
      <c r="B2290" s="22" t="s">
        <v>7977</v>
      </c>
      <c r="C2290" s="23">
        <v>36.20535</v>
      </c>
      <c r="D2290" s="23">
        <v>-5.382586</v>
      </c>
    </row>
    <row r="2291">
      <c r="A2291" s="24" t="s">
        <v>10304</v>
      </c>
      <c r="B2291" s="24" t="s">
        <v>7981</v>
      </c>
      <c r="C2291" s="25">
        <v>30.0989819627013</v>
      </c>
      <c r="D2291" s="25">
        <v>-90.9545251386236</v>
      </c>
    </row>
    <row r="2292">
      <c r="A2292" s="22" t="s">
        <v>10305</v>
      </c>
      <c r="B2292" s="22" t="s">
        <v>8785</v>
      </c>
      <c r="C2292" s="23">
        <v>29.659369</v>
      </c>
      <c r="D2292" s="23">
        <v>32.34481</v>
      </c>
    </row>
    <row r="2293">
      <c r="A2293" s="24" t="s">
        <v>10306</v>
      </c>
      <c r="B2293" s="24" t="s">
        <v>8785</v>
      </c>
      <c r="C2293" s="25">
        <v>30.5664370510562</v>
      </c>
      <c r="D2293" s="25">
        <v>30.825847911698</v>
      </c>
    </row>
    <row r="2294">
      <c r="A2294" s="22" t="s">
        <v>10307</v>
      </c>
      <c r="B2294" s="22" t="s">
        <v>8785</v>
      </c>
      <c r="C2294" s="23">
        <v>29.659369</v>
      </c>
      <c r="D2294" s="23">
        <v>32.34481</v>
      </c>
    </row>
    <row r="2295">
      <c r="A2295" s="24" t="s">
        <v>10308</v>
      </c>
      <c r="B2295" s="24" t="s">
        <v>8785</v>
      </c>
      <c r="C2295" s="25">
        <v>29.659369</v>
      </c>
      <c r="D2295" s="25">
        <v>32.34481</v>
      </c>
    </row>
    <row r="2296">
      <c r="A2296" s="22" t="s">
        <v>10309</v>
      </c>
      <c r="B2296" s="22" t="s">
        <v>8785</v>
      </c>
      <c r="C2296" s="23">
        <v>31.2734199677773</v>
      </c>
      <c r="D2296" s="23">
        <v>30.0972977290455</v>
      </c>
    </row>
    <row r="2297">
      <c r="A2297" s="24" t="s">
        <v>10310</v>
      </c>
      <c r="B2297" s="24" t="s">
        <v>10311</v>
      </c>
      <c r="C2297" s="25">
        <v>29.8956798620234</v>
      </c>
      <c r="D2297" s="25">
        <v>35.0556415323061</v>
      </c>
    </row>
    <row r="2298">
      <c r="A2298" s="22" t="s">
        <v>10312</v>
      </c>
      <c r="B2298" s="22" t="s">
        <v>8562</v>
      </c>
      <c r="C2298" s="23">
        <v>33.6086838493573</v>
      </c>
      <c r="D2298" s="23">
        <v>-7.14751254214095</v>
      </c>
    </row>
    <row r="2299">
      <c r="A2299" s="24" t="s">
        <v>10313</v>
      </c>
      <c r="B2299" s="24" t="s">
        <v>8562</v>
      </c>
      <c r="C2299" s="25">
        <v>33.6086838493573</v>
      </c>
      <c r="D2299" s="25">
        <v>-7.14751254214095</v>
      </c>
    </row>
    <row r="2300">
      <c r="A2300" s="22" t="s">
        <v>10314</v>
      </c>
      <c r="B2300" s="22" t="s">
        <v>8562</v>
      </c>
      <c r="C2300" s="23">
        <v>23.7217462665987</v>
      </c>
      <c r="D2300" s="23">
        <v>-15.9445519029139</v>
      </c>
    </row>
    <row r="2301">
      <c r="A2301" s="24" t="s">
        <v>10315</v>
      </c>
      <c r="B2301" s="24" t="s">
        <v>8562</v>
      </c>
      <c r="C2301" s="25">
        <v>23.4586629986631</v>
      </c>
      <c r="D2301" s="25">
        <v>-13.9251000132505</v>
      </c>
    </row>
    <row r="2302">
      <c r="A2302" s="22" t="s">
        <v>10316</v>
      </c>
      <c r="B2302" s="22" t="s">
        <v>8562</v>
      </c>
      <c r="C2302" s="23">
        <v>23.4586629986631</v>
      </c>
      <c r="D2302" s="23">
        <v>-13.9251000132505</v>
      </c>
    </row>
    <row r="2303">
      <c r="A2303" s="24" t="s">
        <v>10317</v>
      </c>
      <c r="B2303" s="24" t="s">
        <v>8388</v>
      </c>
      <c r="C2303" s="25">
        <v>19.5281786915067</v>
      </c>
      <c r="D2303" s="25">
        <v>57.6169424510484</v>
      </c>
    </row>
    <row r="2304">
      <c r="A2304" s="22" t="s">
        <v>10318</v>
      </c>
      <c r="B2304" s="22" t="s">
        <v>8371</v>
      </c>
      <c r="C2304" s="23">
        <v>25.8947859132822</v>
      </c>
      <c r="D2304" s="23">
        <v>38.8333377357231</v>
      </c>
    </row>
    <row r="2305">
      <c r="A2305" s="24" t="s">
        <v>10319</v>
      </c>
      <c r="B2305" s="24" t="s">
        <v>8371</v>
      </c>
      <c r="C2305" s="25">
        <v>23.9727171876283</v>
      </c>
      <c r="D2305" s="25">
        <v>52.2303397716809</v>
      </c>
    </row>
    <row r="2306">
      <c r="A2306" s="22" t="s">
        <v>10320</v>
      </c>
      <c r="B2306" s="22" t="s">
        <v>8590</v>
      </c>
      <c r="C2306" s="23">
        <v>-21.8667292150067</v>
      </c>
      <c r="D2306" s="23">
        <v>-41.0159843088845</v>
      </c>
    </row>
    <row r="2307">
      <c r="A2307" s="24" t="s">
        <v>10321</v>
      </c>
      <c r="B2307" s="24" t="s">
        <v>8047</v>
      </c>
      <c r="C2307" s="25">
        <v>45.4395654452467</v>
      </c>
      <c r="D2307" s="25">
        <v>12.3175267827575</v>
      </c>
    </row>
    <row r="2308">
      <c r="A2308" s="22" t="s">
        <v>10322</v>
      </c>
      <c r="B2308" s="22" t="s">
        <v>8011</v>
      </c>
      <c r="C2308" s="23">
        <v>49.4872442438127</v>
      </c>
      <c r="D2308" s="23">
        <v>0.234639468239992</v>
      </c>
    </row>
    <row r="2309">
      <c r="A2309" s="24" t="s">
        <v>10323</v>
      </c>
      <c r="B2309" s="24" t="s">
        <v>8047</v>
      </c>
      <c r="C2309" s="25">
        <v>45.6231408218618</v>
      </c>
      <c r="D2309" s="25">
        <v>8.74547235064051</v>
      </c>
    </row>
    <row r="2310">
      <c r="A2310" s="22" t="s">
        <v>10324</v>
      </c>
      <c r="B2310" s="22" t="s">
        <v>8371</v>
      </c>
      <c r="C2310" s="23">
        <v>24.0165843950026</v>
      </c>
      <c r="D2310" s="23">
        <v>53.5411116584952</v>
      </c>
    </row>
    <row r="2311">
      <c r="A2311" s="24" t="s">
        <v>10325</v>
      </c>
      <c r="B2311" s="24" t="s">
        <v>8388</v>
      </c>
      <c r="C2311" s="25">
        <v>23.2273521618295</v>
      </c>
      <c r="D2311" s="25">
        <v>56.7805358858639</v>
      </c>
    </row>
    <row r="2312">
      <c r="A2312" s="22" t="s">
        <v>10326</v>
      </c>
      <c r="B2312" s="22" t="s">
        <v>8177</v>
      </c>
      <c r="C2312" s="23">
        <v>19.171723</v>
      </c>
      <c r="D2312" s="23">
        <v>-15.994444</v>
      </c>
    </row>
    <row r="2313">
      <c r="A2313" s="24" t="s">
        <v>10327</v>
      </c>
      <c r="B2313" s="24" t="s">
        <v>8071</v>
      </c>
      <c r="C2313" s="25">
        <v>-52.276454565312</v>
      </c>
      <c r="D2313" s="25">
        <v>-69.5229073126523</v>
      </c>
    </row>
    <row r="2314">
      <c r="A2314" s="22" t="s">
        <v>9437</v>
      </c>
      <c r="B2314" s="22" t="s">
        <v>8562</v>
      </c>
      <c r="C2314" s="23">
        <v>28.266656</v>
      </c>
      <c r="D2314" s="23">
        <v>-10.716838</v>
      </c>
    </row>
    <row r="2315">
      <c r="A2315" s="24" t="s">
        <v>10328</v>
      </c>
      <c r="B2315" s="24" t="s">
        <v>8026</v>
      </c>
      <c r="C2315" s="25">
        <v>63.8587738059714</v>
      </c>
      <c r="D2315" s="25">
        <v>23.0306352536322</v>
      </c>
    </row>
    <row r="2316">
      <c r="A2316" s="22" t="s">
        <v>10329</v>
      </c>
      <c r="B2316" s="22" t="s">
        <v>8590</v>
      </c>
      <c r="C2316" s="23">
        <v>-3.53092803394662</v>
      </c>
      <c r="D2316" s="23">
        <v>-38.7923774582973</v>
      </c>
    </row>
    <row r="2317">
      <c r="A2317" s="24" t="s">
        <v>10330</v>
      </c>
      <c r="B2317" s="24" t="s">
        <v>7971</v>
      </c>
      <c r="C2317" s="25">
        <v>68.4390284584935</v>
      </c>
      <c r="D2317" s="25">
        <v>17.4231920549209</v>
      </c>
    </row>
    <row r="2318">
      <c r="A2318" s="22" t="s">
        <v>10331</v>
      </c>
      <c r="B2318" s="22" t="s">
        <v>7999</v>
      </c>
      <c r="C2318" s="23">
        <v>47.3962448840061</v>
      </c>
      <c r="D2318" s="23">
        <v>11.7797860313073</v>
      </c>
    </row>
    <row r="2319">
      <c r="A2319" s="24" t="s">
        <v>10332</v>
      </c>
      <c r="B2319" s="24" t="s">
        <v>7991</v>
      </c>
      <c r="C2319" s="25">
        <v>55.4242923997855</v>
      </c>
      <c r="D2319" s="25">
        <v>-5.61231978751924</v>
      </c>
    </row>
    <row r="2320">
      <c r="A2320" s="22" t="s">
        <v>10333</v>
      </c>
      <c r="B2320" s="22" t="s">
        <v>7991</v>
      </c>
      <c r="C2320" s="23">
        <v>57.6821564490991</v>
      </c>
      <c r="D2320" s="23">
        <v>-4.03368441645542</v>
      </c>
    </row>
    <row r="2321">
      <c r="A2321" s="24" t="s">
        <v>10334</v>
      </c>
      <c r="B2321" s="24" t="s">
        <v>7991</v>
      </c>
      <c r="C2321" s="25">
        <v>51.6164249307748</v>
      </c>
      <c r="D2321" s="25">
        <v>-1.2499113724325</v>
      </c>
    </row>
    <row r="2322">
      <c r="A2322" s="22" t="s">
        <v>10335</v>
      </c>
      <c r="B2322" s="22" t="s">
        <v>7991</v>
      </c>
      <c r="C2322" s="23">
        <v>56.2069081318462</v>
      </c>
      <c r="D2322" s="23">
        <v>-3.17016120440091</v>
      </c>
    </row>
    <row r="2323">
      <c r="A2323" s="24" t="s">
        <v>10336</v>
      </c>
      <c r="B2323" s="24" t="s">
        <v>7991</v>
      </c>
      <c r="C2323" s="25">
        <v>0.0</v>
      </c>
      <c r="D2323" s="25">
        <v>0.0</v>
      </c>
    </row>
    <row r="2324">
      <c r="A2324" s="22" t="s">
        <v>10337</v>
      </c>
      <c r="B2324" s="22" t="s">
        <v>7991</v>
      </c>
      <c r="C2324" s="23">
        <v>51.6845551518729</v>
      </c>
      <c r="D2324" s="23">
        <v>-4.98247284482957</v>
      </c>
    </row>
    <row r="2325">
      <c r="A2325" s="24" t="s">
        <v>10338</v>
      </c>
      <c r="B2325" s="24" t="s">
        <v>7991</v>
      </c>
      <c r="C2325" s="25">
        <v>51.459277329711</v>
      </c>
      <c r="D2325" s="25">
        <v>0.346296995049041</v>
      </c>
    </row>
    <row r="2326">
      <c r="A2326" s="22" t="s">
        <v>10339</v>
      </c>
      <c r="B2326" s="22" t="s">
        <v>7991</v>
      </c>
      <c r="C2326" s="23">
        <v>51.459277329711</v>
      </c>
      <c r="D2326" s="23">
        <v>0.346296995049041</v>
      </c>
    </row>
    <row r="2327">
      <c r="A2327" s="24" t="s">
        <v>10340</v>
      </c>
      <c r="B2327" s="24" t="s">
        <v>7991</v>
      </c>
      <c r="C2327" s="25">
        <v>56.0224733999731</v>
      </c>
      <c r="D2327" s="25">
        <v>-3.7072495845919</v>
      </c>
    </row>
    <row r="2328">
      <c r="A2328" s="22" t="s">
        <v>10341</v>
      </c>
      <c r="B2328" s="22" t="s">
        <v>7991</v>
      </c>
      <c r="C2328" s="23">
        <v>58.209443745164</v>
      </c>
      <c r="D2328" s="23">
        <v>-6.37497959721141</v>
      </c>
    </row>
    <row r="2329">
      <c r="A2329" s="24" t="s">
        <v>10342</v>
      </c>
      <c r="B2329" s="24" t="s">
        <v>7991</v>
      </c>
      <c r="C2329" s="25">
        <v>58.209443745164</v>
      </c>
      <c r="D2329" s="25">
        <v>-6.37497959721141</v>
      </c>
    </row>
    <row r="2330">
      <c r="A2330" s="22" t="s">
        <v>10343</v>
      </c>
      <c r="B2330" s="22" t="s">
        <v>7991</v>
      </c>
      <c r="C2330" s="23">
        <v>58.4343059099618</v>
      </c>
      <c r="D2330" s="23">
        <v>-3.09907292026725</v>
      </c>
    </row>
    <row r="2331">
      <c r="A2331" s="24" t="s">
        <v>10344</v>
      </c>
      <c r="B2331" s="24" t="s">
        <v>7991</v>
      </c>
      <c r="C2331" s="25">
        <v>57.0652083105234</v>
      </c>
      <c r="D2331" s="25">
        <v>-1.89828762993735</v>
      </c>
    </row>
    <row r="2332">
      <c r="A2332" s="22" t="s">
        <v>385</v>
      </c>
      <c r="B2332" s="22" t="s">
        <v>7991</v>
      </c>
      <c r="C2332" s="23">
        <v>55.6703523182466</v>
      </c>
      <c r="D2332" s="23">
        <v>-3.78202922197223</v>
      </c>
    </row>
    <row r="2333">
      <c r="A2333" s="24" t="s">
        <v>10345</v>
      </c>
      <c r="B2333" s="24" t="s">
        <v>7991</v>
      </c>
      <c r="C2333" s="25">
        <v>53.2433360564151</v>
      </c>
      <c r="D2333" s="25">
        <v>-3.14913438746735</v>
      </c>
    </row>
    <row r="2334">
      <c r="A2334" s="22" t="s">
        <v>10346</v>
      </c>
      <c r="B2334" s="22" t="s">
        <v>7991</v>
      </c>
      <c r="C2334" s="23">
        <v>55.7124915558958</v>
      </c>
      <c r="D2334" s="23">
        <v>-4.34173242427328</v>
      </c>
    </row>
    <row r="2335">
      <c r="A2335" s="24" t="s">
        <v>10347</v>
      </c>
      <c r="B2335" s="24" t="s">
        <v>7991</v>
      </c>
      <c r="C2335" s="25">
        <v>53.1880953342262</v>
      </c>
      <c r="D2335" s="25">
        <v>-2.4431168749667</v>
      </c>
    </row>
    <row r="2336">
      <c r="A2336" s="22" t="s">
        <v>10348</v>
      </c>
      <c r="B2336" s="22" t="s">
        <v>7991</v>
      </c>
      <c r="C2336" s="23">
        <v>53.351875067109</v>
      </c>
      <c r="D2336" s="23">
        <v>-2.853197973472</v>
      </c>
    </row>
    <row r="2337">
      <c r="A2337" s="24" t="s">
        <v>10349</v>
      </c>
      <c r="B2337" s="24" t="s">
        <v>7991</v>
      </c>
      <c r="C2337" s="25">
        <v>53.4567697111173</v>
      </c>
      <c r="D2337" s="25">
        <v>-2.70563871293231</v>
      </c>
    </row>
    <row r="2338">
      <c r="A2338" s="22" t="s">
        <v>10350</v>
      </c>
      <c r="B2338" s="22" t="s">
        <v>7991</v>
      </c>
      <c r="C2338" s="23">
        <v>53.4496545797728</v>
      </c>
      <c r="D2338" s="23">
        <v>-2.31191090858402</v>
      </c>
    </row>
    <row r="2339">
      <c r="A2339" s="24" t="s">
        <v>10351</v>
      </c>
      <c r="B2339" s="24" t="s">
        <v>7991</v>
      </c>
      <c r="C2339" s="25">
        <v>53.2653003446884</v>
      </c>
      <c r="D2339" s="25">
        <v>-2.53129802765744</v>
      </c>
    </row>
    <row r="2340">
      <c r="A2340" s="22" t="s">
        <v>10352</v>
      </c>
      <c r="B2340" s="22" t="s">
        <v>7991</v>
      </c>
      <c r="C2340" s="23">
        <v>53.0403275893182</v>
      </c>
      <c r="D2340" s="23">
        <v>-3.01100281705849</v>
      </c>
    </row>
    <row r="2341">
      <c r="A2341" s="24" t="s">
        <v>10353</v>
      </c>
      <c r="B2341" s="24" t="s">
        <v>7991</v>
      </c>
      <c r="C2341" s="25">
        <v>54.7817312325722</v>
      </c>
      <c r="D2341" s="25">
        <v>-1.35412937691351</v>
      </c>
    </row>
    <row r="2342">
      <c r="A2342" s="22" t="s">
        <v>10354</v>
      </c>
      <c r="B2342" s="22" t="s">
        <v>7991</v>
      </c>
      <c r="C2342" s="23">
        <v>53.6532672740377</v>
      </c>
      <c r="D2342" s="23">
        <v>-0.228541170604675</v>
      </c>
    </row>
    <row r="2343">
      <c r="A2343" s="24" t="s">
        <v>10355</v>
      </c>
      <c r="B2343" s="24" t="s">
        <v>7991</v>
      </c>
      <c r="C2343" s="25">
        <v>53.0787214741014</v>
      </c>
      <c r="D2343" s="25">
        <v>-0.791358689326101</v>
      </c>
    </row>
    <row r="2344">
      <c r="A2344" s="22" t="s">
        <v>10356</v>
      </c>
      <c r="B2344" s="22" t="s">
        <v>7991</v>
      </c>
      <c r="C2344" s="23">
        <v>57.477772</v>
      </c>
      <c r="D2344" s="23">
        <v>-4.224721</v>
      </c>
    </row>
    <row r="2345">
      <c r="A2345" s="24" t="s">
        <v>425</v>
      </c>
      <c r="B2345" s="24" t="s">
        <v>7991</v>
      </c>
      <c r="C2345" s="25">
        <v>52.4743419462088</v>
      </c>
      <c r="D2345" s="25">
        <v>1.75848016837078</v>
      </c>
    </row>
    <row r="2346">
      <c r="A2346" s="22" t="s">
        <v>10357</v>
      </c>
      <c r="B2346" s="22" t="s">
        <v>7991</v>
      </c>
      <c r="C2346" s="23">
        <v>54.1418915058015</v>
      </c>
      <c r="D2346" s="23">
        <v>-7.58792519655979</v>
      </c>
    </row>
    <row r="2347">
      <c r="A2347" s="24" t="s">
        <v>10358</v>
      </c>
      <c r="B2347" s="24" t="s">
        <v>7991</v>
      </c>
      <c r="C2347" s="25">
        <v>53.7688072228231</v>
      </c>
      <c r="D2347" s="25">
        <v>-0.326574707802377</v>
      </c>
    </row>
    <row r="2348">
      <c r="A2348" s="22" t="s">
        <v>10359</v>
      </c>
      <c r="B2348" s="22" t="s">
        <v>7991</v>
      </c>
      <c r="C2348" s="23">
        <v>58.2118548658977</v>
      </c>
      <c r="D2348" s="23">
        <v>-6.38074074627379</v>
      </c>
    </row>
    <row r="2349">
      <c r="A2349" s="24" t="s">
        <v>10360</v>
      </c>
      <c r="B2349" s="24" t="s">
        <v>7991</v>
      </c>
      <c r="C2349" s="25">
        <v>54.5867498663309</v>
      </c>
      <c r="D2349" s="25">
        <v>-1.22874664648219</v>
      </c>
    </row>
    <row r="2350">
      <c r="A2350" s="22" t="s">
        <v>312</v>
      </c>
      <c r="B2350" s="22" t="s">
        <v>7991</v>
      </c>
      <c r="C2350" s="23">
        <v>51.5930417525773</v>
      </c>
      <c r="D2350" s="23">
        <v>-3.3365018152077</v>
      </c>
    </row>
    <row r="2351">
      <c r="A2351" s="24" t="s">
        <v>10361</v>
      </c>
      <c r="B2351" s="24" t="s">
        <v>7991</v>
      </c>
      <c r="C2351" s="25">
        <v>54.6121328485309</v>
      </c>
      <c r="D2351" s="25">
        <v>-1.14706566336267</v>
      </c>
    </row>
    <row r="2352">
      <c r="A2352" s="22" t="s">
        <v>10362</v>
      </c>
      <c r="B2352" s="22" t="s">
        <v>7991</v>
      </c>
      <c r="C2352" s="23">
        <v>52.2127249861766</v>
      </c>
      <c r="D2352" s="23">
        <v>1.6195398750286</v>
      </c>
    </row>
    <row r="2353">
      <c r="A2353" s="24" t="s">
        <v>10363</v>
      </c>
      <c r="B2353" s="24" t="s">
        <v>7991</v>
      </c>
      <c r="C2353" s="25">
        <v>60.4411724381022</v>
      </c>
      <c r="D2353" s="25">
        <v>-1.35320540601787</v>
      </c>
    </row>
    <row r="2354">
      <c r="A2354" s="22" t="s">
        <v>10364</v>
      </c>
      <c r="B2354" s="22" t="s">
        <v>7991</v>
      </c>
      <c r="C2354" s="23">
        <v>60.4411724381022</v>
      </c>
      <c r="D2354" s="23">
        <v>-1.35320540601787</v>
      </c>
    </row>
    <row r="2355">
      <c r="A2355" s="24" t="s">
        <v>10365</v>
      </c>
      <c r="B2355" s="24" t="s">
        <v>7991</v>
      </c>
      <c r="C2355" s="25">
        <v>56.0048461186043</v>
      </c>
      <c r="D2355" s="25">
        <v>-3.74097459521358</v>
      </c>
    </row>
    <row r="2356">
      <c r="A2356" s="22" t="s">
        <v>10366</v>
      </c>
      <c r="B2356" s="22" t="s">
        <v>7991</v>
      </c>
      <c r="C2356" s="23">
        <v>54.6121328485309</v>
      </c>
      <c r="D2356" s="23">
        <v>-1.14706566336267</v>
      </c>
    </row>
    <row r="2357">
      <c r="A2357" s="24" t="s">
        <v>10367</v>
      </c>
      <c r="B2357" s="24" t="s">
        <v>7971</v>
      </c>
      <c r="C2357" s="25">
        <v>58.274539724668</v>
      </c>
      <c r="D2357" s="25">
        <v>6.87557550327524</v>
      </c>
    </row>
    <row r="2358">
      <c r="A2358" s="22" t="s">
        <v>10368</v>
      </c>
      <c r="B2358" s="22" t="s">
        <v>8161</v>
      </c>
      <c r="C2358" s="23">
        <v>38.708759</v>
      </c>
      <c r="D2358" s="23">
        <v>-7.400782</v>
      </c>
    </row>
    <row r="2359">
      <c r="A2359" s="24" t="s">
        <v>10369</v>
      </c>
      <c r="B2359" s="24" t="s">
        <v>8161</v>
      </c>
      <c r="C2359" s="25">
        <v>38.708759</v>
      </c>
      <c r="D2359" s="25">
        <v>-7.400782</v>
      </c>
    </row>
    <row r="2360">
      <c r="A2360" s="22" t="s">
        <v>10370</v>
      </c>
      <c r="B2360" s="22" t="s">
        <v>8161</v>
      </c>
      <c r="C2360" s="23">
        <v>39.0276427976079</v>
      </c>
      <c r="D2360" s="23">
        <v>-8.95072745128153</v>
      </c>
    </row>
    <row r="2361">
      <c r="A2361" s="24" t="s">
        <v>10371</v>
      </c>
      <c r="B2361" s="24" t="s">
        <v>7971</v>
      </c>
      <c r="C2361" s="25">
        <v>58.2581890073359</v>
      </c>
      <c r="D2361" s="25">
        <v>8.36885577857304</v>
      </c>
    </row>
    <row r="2362">
      <c r="A2362" s="22" t="s">
        <v>10372</v>
      </c>
      <c r="B2362" s="22" t="s">
        <v>8026</v>
      </c>
      <c r="C2362" s="23">
        <v>65.9281666235933</v>
      </c>
      <c r="D2362" s="23">
        <v>26.5159553779312</v>
      </c>
    </row>
    <row r="2363">
      <c r="A2363" s="24" t="s">
        <v>10373</v>
      </c>
      <c r="B2363" s="24" t="s">
        <v>8161</v>
      </c>
      <c r="C2363" s="25">
        <v>39.8393616282428</v>
      </c>
      <c r="D2363" s="25">
        <v>-7.47857615857886</v>
      </c>
    </row>
    <row r="2364">
      <c r="A2364" s="22" t="s">
        <v>10374</v>
      </c>
      <c r="B2364" s="22" t="s">
        <v>8702</v>
      </c>
      <c r="C2364" s="23">
        <v>53.2935503275726</v>
      </c>
      <c r="D2364" s="23">
        <v>-9.0508070403353</v>
      </c>
    </row>
    <row r="2365">
      <c r="A2365" s="24" t="s">
        <v>10375</v>
      </c>
      <c r="B2365" s="24" t="s">
        <v>7971</v>
      </c>
      <c r="C2365" s="25">
        <v>66.0767906975041</v>
      </c>
      <c r="D2365" s="25">
        <v>13.8180892549231</v>
      </c>
    </row>
    <row r="2366">
      <c r="A2366" s="22" t="s">
        <v>10376</v>
      </c>
      <c r="B2366" s="22" t="s">
        <v>8026</v>
      </c>
      <c r="C2366" s="23">
        <v>60.4195283240131</v>
      </c>
      <c r="D2366" s="23">
        <v>21.8936821639348</v>
      </c>
    </row>
    <row r="2367">
      <c r="A2367" s="24" t="s">
        <v>10377</v>
      </c>
      <c r="B2367" s="24" t="s">
        <v>8026</v>
      </c>
      <c r="C2367" s="25">
        <v>61.4815410714378</v>
      </c>
      <c r="D2367" s="25">
        <v>21.8214197222701</v>
      </c>
    </row>
    <row r="2368">
      <c r="A2368" s="22" t="s">
        <v>10378</v>
      </c>
      <c r="B2368" s="22" t="s">
        <v>7971</v>
      </c>
      <c r="C2368" s="23">
        <v>67.2682486530116</v>
      </c>
      <c r="D2368" s="23">
        <v>14.3343841011791</v>
      </c>
    </row>
    <row r="2369">
      <c r="A2369" s="24" t="s">
        <v>10379</v>
      </c>
      <c r="B2369" s="24" t="s">
        <v>7971</v>
      </c>
      <c r="C2369" s="25">
        <v>63.1105539939779</v>
      </c>
      <c r="D2369" s="25">
        <v>7.73459350252472</v>
      </c>
    </row>
    <row r="2370">
      <c r="A2370" s="22" t="s">
        <v>10380</v>
      </c>
      <c r="B2370" s="22" t="s">
        <v>7971</v>
      </c>
      <c r="C2370" s="23">
        <v>66.021653702027</v>
      </c>
      <c r="D2370" s="23">
        <v>12.6305986242566</v>
      </c>
    </row>
    <row r="2371">
      <c r="A2371" s="24" t="s">
        <v>10381</v>
      </c>
      <c r="B2371" s="24" t="s">
        <v>8161</v>
      </c>
      <c r="C2371" s="25">
        <v>39.6543646316343</v>
      </c>
      <c r="D2371" s="25">
        <v>-7.66881403606777</v>
      </c>
    </row>
    <row r="2372">
      <c r="A2372" s="22" t="s">
        <v>10382</v>
      </c>
      <c r="B2372" s="22" t="s">
        <v>8161</v>
      </c>
      <c r="C2372" s="23">
        <v>40.7597336293465</v>
      </c>
      <c r="D2372" s="23">
        <v>-8.57326698465109</v>
      </c>
    </row>
    <row r="2373">
      <c r="A2373" s="24" t="s">
        <v>10383</v>
      </c>
      <c r="B2373" s="24" t="s">
        <v>8161</v>
      </c>
      <c r="C2373" s="25">
        <v>40.7597336293465</v>
      </c>
      <c r="D2373" s="25">
        <v>-8.57326698465109</v>
      </c>
    </row>
    <row r="2374">
      <c r="A2374" s="22" t="s">
        <v>10384</v>
      </c>
      <c r="B2374" s="22" t="s">
        <v>8161</v>
      </c>
      <c r="C2374" s="23">
        <v>40.7597336293465</v>
      </c>
      <c r="D2374" s="23">
        <v>-8.57326698465109</v>
      </c>
    </row>
    <row r="2375">
      <c r="A2375" s="24" t="s">
        <v>10385</v>
      </c>
      <c r="B2375" s="24" t="s">
        <v>8161</v>
      </c>
      <c r="C2375" s="25">
        <v>38.9505055058775</v>
      </c>
      <c r="D2375" s="25">
        <v>-8.99068505926226</v>
      </c>
    </row>
    <row r="2376">
      <c r="A2376" s="22" t="s">
        <v>10386</v>
      </c>
      <c r="B2376" s="22" t="s">
        <v>7971</v>
      </c>
      <c r="C2376" s="23">
        <v>60.1168393383125</v>
      </c>
      <c r="D2376" s="23">
        <v>6.56076908107976</v>
      </c>
    </row>
    <row r="2377">
      <c r="A2377" s="24" t="s">
        <v>10387</v>
      </c>
      <c r="B2377" s="24" t="s">
        <v>7971</v>
      </c>
      <c r="C2377" s="25">
        <v>59.7207793712225</v>
      </c>
      <c r="D2377" s="25">
        <v>11.4553460696702</v>
      </c>
    </row>
    <row r="2378">
      <c r="A2378" s="22" t="s">
        <v>10388</v>
      </c>
      <c r="B2378" s="22" t="s">
        <v>8161</v>
      </c>
      <c r="C2378" s="23">
        <v>37.95961407835</v>
      </c>
      <c r="D2378" s="23">
        <v>-8.85858639904864</v>
      </c>
    </row>
    <row r="2379">
      <c r="A2379" s="24" t="s">
        <v>10389</v>
      </c>
      <c r="B2379" s="24" t="s">
        <v>8161</v>
      </c>
      <c r="C2379" s="25">
        <v>37.95961407835</v>
      </c>
      <c r="D2379" s="25">
        <v>-8.85858639904864</v>
      </c>
    </row>
    <row r="2380">
      <c r="A2380" s="22" t="s">
        <v>10390</v>
      </c>
      <c r="B2380" s="22" t="s">
        <v>7971</v>
      </c>
      <c r="C2380" s="23">
        <v>61.2564293948886</v>
      </c>
      <c r="D2380" s="23">
        <v>4.96404920301617</v>
      </c>
    </row>
    <row r="2381">
      <c r="A2381" s="24" t="s">
        <v>10391</v>
      </c>
      <c r="B2381" s="24" t="s">
        <v>7971</v>
      </c>
      <c r="C2381" s="25">
        <v>61.5996884028299</v>
      </c>
      <c r="D2381" s="25">
        <v>5.03478031166522</v>
      </c>
    </row>
    <row r="2382">
      <c r="A2382" s="22" t="s">
        <v>10392</v>
      </c>
      <c r="B2382" s="22" t="s">
        <v>7971</v>
      </c>
      <c r="C2382" s="23">
        <v>66.3137936198188</v>
      </c>
      <c r="D2382" s="23">
        <v>14.1436084624909</v>
      </c>
    </row>
    <row r="2383">
      <c r="A2383" s="24" t="s">
        <v>10393</v>
      </c>
      <c r="B2383" s="24" t="s">
        <v>7971</v>
      </c>
      <c r="C2383" s="25">
        <v>58.3215303694938</v>
      </c>
      <c r="D2383" s="25">
        <v>6.96894573603009</v>
      </c>
    </row>
    <row r="2384">
      <c r="A2384" s="22" t="s">
        <v>10394</v>
      </c>
      <c r="B2384" s="22" t="s">
        <v>8122</v>
      </c>
      <c r="C2384" s="23">
        <v>64.0941504407508</v>
      </c>
      <c r="D2384" s="23">
        <v>-21.0098678566473</v>
      </c>
    </row>
    <row r="2385">
      <c r="A2385" s="24" t="s">
        <v>10395</v>
      </c>
      <c r="B2385" s="24" t="s">
        <v>7971</v>
      </c>
      <c r="C2385" s="25">
        <v>69.6837748018127</v>
      </c>
      <c r="D2385" s="25">
        <v>18.942733318055</v>
      </c>
    </row>
    <row r="2386">
      <c r="A2386" s="22" t="s">
        <v>10396</v>
      </c>
      <c r="B2386" s="22" t="s">
        <v>7971</v>
      </c>
      <c r="C2386" s="23">
        <v>65.8366296821912</v>
      </c>
      <c r="D2386" s="23">
        <v>13.1928629066478</v>
      </c>
    </row>
    <row r="2387">
      <c r="A2387" s="24" t="s">
        <v>10397</v>
      </c>
      <c r="B2387" s="24" t="s">
        <v>7971</v>
      </c>
      <c r="C2387" s="25">
        <v>59.0646984333412</v>
      </c>
      <c r="D2387" s="25">
        <v>5.92297661390578</v>
      </c>
    </row>
    <row r="2388">
      <c r="A2388" s="22" t="s">
        <v>10398</v>
      </c>
      <c r="B2388" s="22" t="s">
        <v>7971</v>
      </c>
      <c r="C2388" s="23">
        <v>64.8883753164936</v>
      </c>
      <c r="D2388" s="23">
        <v>11.3001687488317</v>
      </c>
    </row>
    <row r="2389">
      <c r="A2389" s="24" t="s">
        <v>10399</v>
      </c>
      <c r="B2389" s="24" t="s">
        <v>8161</v>
      </c>
      <c r="C2389" s="25">
        <v>37.95961407835</v>
      </c>
      <c r="D2389" s="25">
        <v>-8.85858639904864</v>
      </c>
    </row>
    <row r="2390">
      <c r="A2390" s="22" t="s">
        <v>10400</v>
      </c>
      <c r="B2390" s="22" t="s">
        <v>8737</v>
      </c>
      <c r="C2390" s="23">
        <v>11.7136293946544</v>
      </c>
      <c r="D2390" s="23">
        <v>-72.262314116682</v>
      </c>
    </row>
    <row r="2391">
      <c r="A2391" s="24" t="s">
        <v>10401</v>
      </c>
      <c r="B2391" s="24" t="s">
        <v>8737</v>
      </c>
      <c r="C2391" s="25">
        <v>11.015375177501</v>
      </c>
      <c r="D2391" s="25">
        <v>-74.8310444304737</v>
      </c>
    </row>
    <row r="2392">
      <c r="A2392" s="22" t="s">
        <v>10402</v>
      </c>
      <c r="B2392" s="22" t="s">
        <v>8737</v>
      </c>
      <c r="C2392" s="23">
        <v>10.4150537869232</v>
      </c>
      <c r="D2392" s="23">
        <v>-75.4695592501558</v>
      </c>
    </row>
    <row r="2393">
      <c r="A2393" s="24" t="s">
        <v>10403</v>
      </c>
      <c r="B2393" s="24" t="s">
        <v>8737</v>
      </c>
      <c r="C2393" s="25">
        <v>4.72492559644739</v>
      </c>
      <c r="D2393" s="25">
        <v>-74.0638768164008</v>
      </c>
    </row>
    <row r="2394">
      <c r="A2394" s="22" t="s">
        <v>10404</v>
      </c>
      <c r="B2394" s="22" t="s">
        <v>8737</v>
      </c>
      <c r="C2394" s="23">
        <v>10.4150537869232</v>
      </c>
      <c r="D2394" s="23">
        <v>-75.4695592501558</v>
      </c>
    </row>
    <row r="2395">
      <c r="A2395" s="24" t="s">
        <v>10405</v>
      </c>
      <c r="B2395" s="24" t="s">
        <v>8737</v>
      </c>
      <c r="C2395" s="25">
        <v>3.5996581061734</v>
      </c>
      <c r="D2395" s="25">
        <v>-76.3986090099248</v>
      </c>
    </row>
    <row r="2396">
      <c r="A2396" s="22" t="s">
        <v>10406</v>
      </c>
      <c r="B2396" s="22" t="s">
        <v>7987</v>
      </c>
      <c r="C2396" s="23">
        <v>45.3091476811621</v>
      </c>
      <c r="D2396" s="23">
        <v>5.90651219395378</v>
      </c>
    </row>
    <row r="2397">
      <c r="A2397" s="24" t="s">
        <v>10407</v>
      </c>
      <c r="B2397" s="24" t="s">
        <v>8026</v>
      </c>
      <c r="C2397" s="25">
        <v>64.1481340465755</v>
      </c>
      <c r="D2397" s="25">
        <v>25.3526030622652</v>
      </c>
    </row>
    <row r="2398">
      <c r="A2398" s="22" t="s">
        <v>10408</v>
      </c>
      <c r="B2398" s="22" t="s">
        <v>7977</v>
      </c>
      <c r="C2398" s="23">
        <v>37.3891815324199</v>
      </c>
      <c r="D2398" s="23">
        <v>-5.98323936669221</v>
      </c>
    </row>
    <row r="2399">
      <c r="A2399" s="24" t="s">
        <v>10409</v>
      </c>
      <c r="B2399" s="24" t="s">
        <v>8161</v>
      </c>
      <c r="C2399" s="25">
        <v>38.569406540783</v>
      </c>
      <c r="D2399" s="25">
        <v>-8.90006629780215</v>
      </c>
    </row>
    <row r="2400">
      <c r="A2400" s="22" t="s">
        <v>10410</v>
      </c>
      <c r="B2400" s="22" t="s">
        <v>8177</v>
      </c>
      <c r="C2400" s="23">
        <v>0.0</v>
      </c>
      <c r="D2400" s="23">
        <v>0.0</v>
      </c>
    </row>
    <row r="2401">
      <c r="A2401" s="24" t="s">
        <v>10411</v>
      </c>
      <c r="B2401" s="24" t="s">
        <v>8021</v>
      </c>
      <c r="C2401" s="25">
        <v>-19.6723795204984</v>
      </c>
      <c r="D2401" s="25">
        <v>134.187485346123</v>
      </c>
    </row>
    <row r="2402">
      <c r="A2402" s="22" t="s">
        <v>10412</v>
      </c>
      <c r="B2402" s="22" t="s">
        <v>7971</v>
      </c>
      <c r="C2402" s="23">
        <v>61.2202529063637</v>
      </c>
      <c r="D2402" s="23">
        <v>6.0753551182573</v>
      </c>
    </row>
    <row r="2403">
      <c r="A2403" s="24" t="s">
        <v>10413</v>
      </c>
      <c r="B2403" s="24" t="s">
        <v>7967</v>
      </c>
      <c r="C2403" s="25">
        <v>53.7736178010991</v>
      </c>
      <c r="D2403" s="25">
        <v>5.44323000358954</v>
      </c>
    </row>
    <row r="2404">
      <c r="A2404" s="22" t="s">
        <v>10414</v>
      </c>
      <c r="B2404" s="22" t="s">
        <v>7967</v>
      </c>
      <c r="C2404" s="23">
        <v>53.7736178010991</v>
      </c>
      <c r="D2404" s="23">
        <v>5.44323000358954</v>
      </c>
    </row>
    <row r="2405">
      <c r="A2405" s="24" t="s">
        <v>10415</v>
      </c>
      <c r="B2405" s="24" t="s">
        <v>8371</v>
      </c>
      <c r="C2405" s="25">
        <v>0.0</v>
      </c>
      <c r="D2405" s="25">
        <v>0.0</v>
      </c>
    </row>
    <row r="2406">
      <c r="A2406" s="22" t="s">
        <v>10416</v>
      </c>
      <c r="B2406" s="22" t="s">
        <v>8371</v>
      </c>
      <c r="C2406" s="23">
        <v>24.7288526284114</v>
      </c>
      <c r="D2406" s="23">
        <v>54.7466709548475</v>
      </c>
    </row>
    <row r="2407">
      <c r="A2407" s="24" t="s">
        <v>10417</v>
      </c>
      <c r="B2407" s="24" t="s">
        <v>7971</v>
      </c>
      <c r="C2407" s="25">
        <v>63.4140145735037</v>
      </c>
      <c r="D2407" s="25">
        <v>11.7444076660571</v>
      </c>
    </row>
    <row r="2408">
      <c r="A2408" s="22" t="s">
        <v>10418</v>
      </c>
      <c r="B2408" s="22" t="s">
        <v>7977</v>
      </c>
      <c r="C2408" s="23">
        <v>39.4197131078793</v>
      </c>
      <c r="D2408" s="23">
        <v>-2.73625002048484</v>
      </c>
    </row>
    <row r="2409">
      <c r="A2409" s="24" t="s">
        <v>10419</v>
      </c>
      <c r="B2409" s="24" t="s">
        <v>7971</v>
      </c>
      <c r="C2409" s="25">
        <v>59.2208946499704</v>
      </c>
      <c r="D2409" s="25">
        <v>10.9283040927471</v>
      </c>
    </row>
    <row r="2410">
      <c r="A2410" s="22" t="s">
        <v>10420</v>
      </c>
      <c r="B2410" s="22" t="s">
        <v>8026</v>
      </c>
      <c r="C2410" s="23">
        <v>63.8413308048189</v>
      </c>
      <c r="D2410" s="23">
        <v>23.1276471272785</v>
      </c>
    </row>
    <row r="2411">
      <c r="A2411" s="24" t="s">
        <v>10421</v>
      </c>
      <c r="B2411" s="24" t="s">
        <v>10056</v>
      </c>
      <c r="C2411" s="25">
        <v>34.9804426860334</v>
      </c>
      <c r="D2411" s="25">
        <v>33.3233157366327</v>
      </c>
    </row>
    <row r="2412">
      <c r="A2412" s="22" t="s">
        <v>10422</v>
      </c>
      <c r="B2412" s="22" t="s">
        <v>8026</v>
      </c>
      <c r="C2412" s="23">
        <v>60.8601377359819</v>
      </c>
      <c r="D2412" s="23">
        <v>26.746171136986</v>
      </c>
    </row>
    <row r="2413">
      <c r="A2413" s="24" t="s">
        <v>10423</v>
      </c>
      <c r="B2413" s="24" t="s">
        <v>8371</v>
      </c>
      <c r="C2413" s="25">
        <v>24.5497236767468</v>
      </c>
      <c r="D2413" s="25">
        <v>54.4690299098174</v>
      </c>
    </row>
    <row r="2414">
      <c r="A2414" s="22" t="s">
        <v>10424</v>
      </c>
      <c r="B2414" s="22" t="s">
        <v>8026</v>
      </c>
      <c r="C2414" s="23">
        <v>50.3492574117934</v>
      </c>
      <c r="D2414" s="23">
        <v>13.5739494442726</v>
      </c>
    </row>
    <row r="2415">
      <c r="A2415" s="24" t="s">
        <v>10425</v>
      </c>
      <c r="B2415" s="24" t="s">
        <v>7967</v>
      </c>
      <c r="C2415" s="25">
        <v>52.9590313398001</v>
      </c>
      <c r="D2415" s="25">
        <v>4.77520884229238</v>
      </c>
    </row>
    <row r="2416">
      <c r="A2416" s="22" t="s">
        <v>10426</v>
      </c>
      <c r="B2416" s="22" t="s">
        <v>8108</v>
      </c>
      <c r="C2416" s="23">
        <v>24.3090185259189</v>
      </c>
      <c r="D2416" s="23">
        <v>72.3520409903352</v>
      </c>
    </row>
    <row r="2417">
      <c r="A2417" s="24" t="s">
        <v>10427</v>
      </c>
      <c r="B2417" s="24" t="s">
        <v>7967</v>
      </c>
      <c r="C2417" s="25">
        <v>52.1180292718138</v>
      </c>
      <c r="D2417" s="25">
        <v>4.24063074491582</v>
      </c>
    </row>
    <row r="2418">
      <c r="A2418" s="22" t="s">
        <v>10428</v>
      </c>
      <c r="B2418" s="22" t="s">
        <v>8649</v>
      </c>
      <c r="C2418" s="23">
        <v>56.5201983678858</v>
      </c>
      <c r="D2418" s="23">
        <v>21.0149233125027</v>
      </c>
    </row>
    <row r="2419">
      <c r="A2419" s="24" t="s">
        <v>10429</v>
      </c>
      <c r="B2419" s="24" t="s">
        <v>8011</v>
      </c>
      <c r="C2419" s="25">
        <v>49.4959427495994</v>
      </c>
      <c r="D2419" s="25">
        <v>0.102074897612526</v>
      </c>
    </row>
    <row r="2420">
      <c r="A2420" s="22" t="s">
        <v>10430</v>
      </c>
      <c r="B2420" s="22" t="s">
        <v>7987</v>
      </c>
      <c r="C2420" s="23">
        <v>51.9385698082444</v>
      </c>
      <c r="D2420" s="23">
        <v>7.17208771040186</v>
      </c>
    </row>
    <row r="2421">
      <c r="A2421" s="24" t="s">
        <v>10431</v>
      </c>
      <c r="B2421" s="24" t="s">
        <v>7981</v>
      </c>
      <c r="C2421" s="25">
        <v>29.7292924683654</v>
      </c>
      <c r="D2421" s="25">
        <v>-95.3876086581628</v>
      </c>
    </row>
    <row r="2422">
      <c r="A2422" s="22" t="s">
        <v>10432</v>
      </c>
      <c r="B2422" s="22" t="s">
        <v>8388</v>
      </c>
      <c r="C2422" s="23">
        <v>23.2273521618295</v>
      </c>
      <c r="D2422" s="23">
        <v>56.7805358858639</v>
      </c>
    </row>
    <row r="2423">
      <c r="A2423" s="24" t="s">
        <v>10433</v>
      </c>
      <c r="B2423" s="24" t="s">
        <v>7981</v>
      </c>
      <c r="C2423" s="25">
        <v>29.6633969275901</v>
      </c>
      <c r="D2423" s="25">
        <v>-92.4646527100684</v>
      </c>
    </row>
    <row r="2424">
      <c r="A2424" s="22" t="s">
        <v>10434</v>
      </c>
      <c r="B2424" s="22" t="s">
        <v>8723</v>
      </c>
      <c r="C2424" s="23">
        <v>51.0309375340166</v>
      </c>
      <c r="D2424" s="23">
        <v>143.006479944282</v>
      </c>
    </row>
    <row r="2425">
      <c r="A2425" s="24" t="s">
        <v>10435</v>
      </c>
      <c r="B2425" s="24" t="s">
        <v>8108</v>
      </c>
      <c r="C2425" s="25">
        <v>23.6065433233785</v>
      </c>
      <c r="D2425" s="25">
        <v>69.8050889521937</v>
      </c>
    </row>
    <row r="2426">
      <c r="A2426" s="22" t="s">
        <v>10436</v>
      </c>
      <c r="B2426" s="22" t="s">
        <v>7981</v>
      </c>
      <c r="C2426" s="23">
        <v>30.7690315462377</v>
      </c>
      <c r="D2426" s="23">
        <v>-91.724449587438</v>
      </c>
    </row>
    <row r="2427">
      <c r="A2427" s="24" t="s">
        <v>10437</v>
      </c>
      <c r="B2427" s="24" t="s">
        <v>7981</v>
      </c>
      <c r="C2427" s="25">
        <v>29.755984245011</v>
      </c>
      <c r="D2427" s="25">
        <v>-95.3656615823773</v>
      </c>
    </row>
    <row r="2428">
      <c r="A2428" s="22" t="s">
        <v>10438</v>
      </c>
      <c r="B2428" s="22" t="s">
        <v>8031</v>
      </c>
      <c r="C2428" s="23">
        <v>1.27830362081958</v>
      </c>
      <c r="D2428" s="23">
        <v>103.785885180445</v>
      </c>
    </row>
    <row r="2429">
      <c r="A2429" s="24" t="s">
        <v>10439</v>
      </c>
      <c r="B2429" s="24" t="s">
        <v>8016</v>
      </c>
      <c r="C2429" s="25">
        <v>3.16772922820277</v>
      </c>
      <c r="D2429" s="25">
        <v>113.003279715861</v>
      </c>
    </row>
    <row r="2430">
      <c r="A2430" s="22" t="s">
        <v>10440</v>
      </c>
      <c r="B2430" s="22" t="s">
        <v>8003</v>
      </c>
      <c r="C2430" s="23">
        <v>48.5223958842751</v>
      </c>
      <c r="D2430" s="23">
        <v>-58.4347252755619</v>
      </c>
    </row>
    <row r="2431">
      <c r="A2431" s="24" t="s">
        <v>10441</v>
      </c>
      <c r="B2431" s="24" t="s">
        <v>7987</v>
      </c>
      <c r="C2431" s="25">
        <v>48.798544221273</v>
      </c>
      <c r="D2431" s="25">
        <v>9.14629896843646</v>
      </c>
    </row>
    <row r="2432">
      <c r="A2432" s="34"/>
      <c r="B2432" s="34"/>
      <c r="C2432" s="34"/>
      <c r="D2432" s="34"/>
    </row>
    <row r="2433">
      <c r="A2433" s="34"/>
      <c r="B2433" s="34"/>
      <c r="C2433" s="34"/>
      <c r="D2433" s="34"/>
    </row>
    <row r="2434">
      <c r="A2434" s="34"/>
      <c r="B2434" s="34"/>
      <c r="C2434" s="34"/>
      <c r="D2434" s="34"/>
    </row>
    <row r="2435">
      <c r="A2435" s="34"/>
      <c r="B2435" s="34"/>
      <c r="C2435" s="34"/>
      <c r="D2435" s="34"/>
    </row>
    <row r="2436">
      <c r="A2436" s="34"/>
      <c r="B2436" s="34"/>
      <c r="C2436" s="34"/>
      <c r="D2436" s="34"/>
    </row>
    <row r="2437">
      <c r="A2437" s="34"/>
      <c r="B2437" s="34"/>
      <c r="C2437" s="34"/>
      <c r="D2437" s="34"/>
    </row>
    <row r="2438">
      <c r="A2438" s="34"/>
      <c r="B2438" s="34"/>
      <c r="C2438" s="34"/>
      <c r="D2438" s="34"/>
    </row>
    <row r="2439">
      <c r="A2439" s="34"/>
      <c r="B2439" s="34"/>
      <c r="C2439" s="34"/>
      <c r="D2439" s="34"/>
    </row>
    <row r="2440">
      <c r="A2440" s="34"/>
      <c r="B2440" s="34"/>
      <c r="C2440" s="34"/>
      <c r="D2440" s="34"/>
    </row>
    <row r="2441">
      <c r="A2441" s="34"/>
      <c r="B2441" s="34"/>
      <c r="C2441" s="34"/>
      <c r="D2441" s="34"/>
    </row>
    <row r="2442">
      <c r="A2442" s="34"/>
      <c r="B2442" s="34"/>
      <c r="C2442" s="34"/>
      <c r="D2442" s="34"/>
    </row>
    <row r="2443">
      <c r="A2443" s="34"/>
      <c r="B2443" s="34"/>
      <c r="C2443" s="34"/>
      <c r="D2443" s="34"/>
    </row>
    <row r="2444">
      <c r="A2444" s="34"/>
      <c r="B2444" s="34"/>
      <c r="C2444" s="34"/>
      <c r="D2444" s="34"/>
    </row>
    <row r="2445">
      <c r="A2445" s="34"/>
      <c r="B2445" s="34"/>
      <c r="C2445" s="34"/>
      <c r="D2445" s="34"/>
    </row>
    <row r="2446">
      <c r="A2446" s="34"/>
      <c r="B2446" s="34"/>
      <c r="C2446" s="34"/>
      <c r="D2446" s="34"/>
    </row>
    <row r="2447">
      <c r="A2447" s="34"/>
      <c r="B2447" s="34"/>
      <c r="C2447" s="34"/>
      <c r="D2447" s="34"/>
    </row>
    <row r="2448">
      <c r="A2448" s="34"/>
      <c r="B2448" s="34"/>
      <c r="C2448" s="34"/>
      <c r="D2448" s="34"/>
    </row>
    <row r="2449">
      <c r="A2449" s="34"/>
      <c r="B2449" s="34"/>
      <c r="C2449" s="34"/>
      <c r="D2449" s="34"/>
    </row>
    <row r="2450">
      <c r="A2450" s="34"/>
      <c r="B2450" s="34"/>
      <c r="C2450" s="34"/>
      <c r="D2450" s="34"/>
    </row>
    <row r="2451">
      <c r="A2451" s="34"/>
      <c r="B2451" s="34"/>
      <c r="C2451" s="34"/>
      <c r="D2451" s="34"/>
    </row>
    <row r="2452">
      <c r="A2452" s="34"/>
      <c r="B2452" s="34"/>
      <c r="C2452" s="34"/>
      <c r="D2452" s="34"/>
    </row>
    <row r="2453">
      <c r="A2453" s="34"/>
      <c r="B2453" s="34"/>
      <c r="C2453" s="34"/>
      <c r="D2453" s="34"/>
    </row>
    <row r="2454">
      <c r="A2454" s="34"/>
      <c r="B2454" s="34"/>
      <c r="C2454" s="34"/>
      <c r="D2454" s="34"/>
    </row>
    <row r="2455">
      <c r="A2455" s="34"/>
      <c r="B2455" s="34"/>
      <c r="C2455" s="34"/>
      <c r="D2455" s="34"/>
    </row>
    <row r="2456">
      <c r="A2456" s="34"/>
      <c r="B2456" s="34"/>
      <c r="C2456" s="34"/>
      <c r="D2456" s="34"/>
    </row>
    <row r="2457">
      <c r="A2457" s="34"/>
      <c r="B2457" s="34"/>
      <c r="C2457" s="34"/>
      <c r="D2457" s="34"/>
    </row>
    <row r="2458">
      <c r="A2458" s="34"/>
      <c r="B2458" s="34"/>
      <c r="C2458" s="34"/>
      <c r="D2458" s="34"/>
    </row>
    <row r="2459">
      <c r="A2459" s="34"/>
      <c r="B2459" s="34"/>
      <c r="C2459" s="34"/>
      <c r="D2459" s="34"/>
    </row>
    <row r="2460">
      <c r="A2460" s="34"/>
      <c r="B2460" s="34"/>
      <c r="C2460" s="34"/>
      <c r="D2460" s="34"/>
    </row>
    <row r="2461">
      <c r="A2461" s="34"/>
      <c r="B2461" s="34"/>
      <c r="C2461" s="34"/>
      <c r="D2461" s="34"/>
    </row>
    <row r="2462">
      <c r="A2462" s="34"/>
      <c r="B2462" s="34"/>
      <c r="C2462" s="34"/>
      <c r="D2462" s="34"/>
    </row>
    <row r="2463">
      <c r="A2463" s="34"/>
      <c r="B2463" s="34"/>
      <c r="C2463" s="34"/>
      <c r="D2463" s="34"/>
    </row>
    <row r="2464">
      <c r="A2464" s="34"/>
      <c r="B2464" s="34"/>
      <c r="C2464" s="34"/>
      <c r="D2464" s="34"/>
    </row>
    <row r="2465">
      <c r="A2465" s="34"/>
      <c r="B2465" s="34"/>
      <c r="C2465" s="34"/>
      <c r="D2465" s="34"/>
    </row>
    <row r="2466">
      <c r="A2466" s="34"/>
      <c r="B2466" s="34"/>
      <c r="C2466" s="34"/>
      <c r="D2466" s="34"/>
    </row>
    <row r="2467">
      <c r="A2467" s="34"/>
      <c r="B2467" s="34"/>
      <c r="C2467" s="34"/>
      <c r="D2467" s="34"/>
    </row>
    <row r="2468">
      <c r="A2468" s="34"/>
      <c r="B2468" s="34"/>
      <c r="C2468" s="34"/>
      <c r="D2468" s="34"/>
    </row>
    <row r="2469">
      <c r="A2469" s="34"/>
      <c r="B2469" s="34"/>
      <c r="C2469" s="34"/>
      <c r="D2469" s="34"/>
    </row>
    <row r="2470">
      <c r="A2470" s="34"/>
      <c r="B2470" s="34"/>
      <c r="C2470" s="34"/>
      <c r="D2470" s="34"/>
    </row>
    <row r="2471">
      <c r="A2471" s="34"/>
      <c r="B2471" s="34"/>
      <c r="C2471" s="34"/>
      <c r="D2471" s="34"/>
    </row>
    <row r="2472">
      <c r="A2472" s="34"/>
      <c r="B2472" s="34"/>
      <c r="C2472" s="34"/>
      <c r="D2472" s="34"/>
    </row>
    <row r="2473">
      <c r="A2473" s="34"/>
      <c r="B2473" s="34"/>
      <c r="C2473" s="34"/>
      <c r="D2473" s="34"/>
    </row>
    <row r="2474">
      <c r="A2474" s="34"/>
      <c r="B2474" s="34"/>
      <c r="C2474" s="34"/>
      <c r="D2474" s="34"/>
    </row>
    <row r="2475">
      <c r="A2475" s="34"/>
      <c r="B2475" s="34"/>
      <c r="C2475" s="34"/>
      <c r="D2475" s="34"/>
    </row>
    <row r="2476">
      <c r="A2476" s="34"/>
      <c r="B2476" s="34"/>
      <c r="C2476" s="34"/>
      <c r="D2476" s="34"/>
    </row>
    <row r="2477">
      <c r="A2477" s="34"/>
      <c r="B2477" s="34"/>
      <c r="C2477" s="34"/>
      <c r="D2477" s="34"/>
    </row>
    <row r="2478">
      <c r="A2478" s="34"/>
      <c r="B2478" s="34"/>
      <c r="C2478" s="34"/>
      <c r="D2478" s="34"/>
    </row>
    <row r="2479">
      <c r="A2479" s="34"/>
      <c r="B2479" s="34"/>
      <c r="C2479" s="34"/>
      <c r="D2479" s="34"/>
    </row>
    <row r="2480">
      <c r="A2480" s="34"/>
      <c r="B2480" s="34"/>
      <c r="C2480" s="34"/>
      <c r="D2480" s="34"/>
    </row>
    <row r="2481">
      <c r="A2481" s="34"/>
      <c r="B2481" s="34"/>
      <c r="C2481" s="34"/>
      <c r="D2481" s="34"/>
    </row>
    <row r="2482">
      <c r="A2482" s="34"/>
      <c r="B2482" s="34"/>
      <c r="C2482" s="34"/>
      <c r="D2482" s="34"/>
    </row>
    <row r="2483">
      <c r="A2483" s="34"/>
      <c r="B2483" s="34"/>
      <c r="C2483" s="34"/>
      <c r="D2483" s="34"/>
    </row>
    <row r="2484">
      <c r="A2484" s="34"/>
      <c r="B2484" s="34"/>
      <c r="C2484" s="34"/>
      <c r="D2484" s="34"/>
    </row>
    <row r="2485">
      <c r="A2485" s="34"/>
      <c r="B2485" s="34"/>
      <c r="C2485" s="34"/>
      <c r="D2485" s="34"/>
    </row>
    <row r="2486">
      <c r="A2486" s="34"/>
      <c r="B2486" s="34"/>
      <c r="C2486" s="34"/>
      <c r="D2486" s="34"/>
    </row>
    <row r="2487">
      <c r="A2487" s="34"/>
      <c r="B2487" s="34"/>
      <c r="C2487" s="34"/>
      <c r="D2487" s="34"/>
    </row>
    <row r="2488">
      <c r="A2488" s="34"/>
      <c r="B2488" s="34"/>
      <c r="C2488" s="34"/>
      <c r="D2488" s="34"/>
    </row>
    <row r="2489">
      <c r="A2489" s="34"/>
      <c r="B2489" s="34"/>
      <c r="C2489" s="34"/>
      <c r="D2489" s="34"/>
    </row>
    <row r="2490">
      <c r="A2490" s="34"/>
      <c r="B2490" s="34"/>
      <c r="C2490" s="34"/>
      <c r="D2490" s="34"/>
    </row>
    <row r="2491">
      <c r="A2491" s="34"/>
      <c r="B2491" s="34"/>
      <c r="C2491" s="34"/>
      <c r="D2491" s="34"/>
    </row>
    <row r="2492">
      <c r="A2492" s="34"/>
      <c r="B2492" s="34"/>
      <c r="C2492" s="34"/>
      <c r="D2492" s="34"/>
    </row>
    <row r="2493">
      <c r="A2493" s="34"/>
      <c r="B2493" s="34"/>
      <c r="C2493" s="34"/>
      <c r="D2493" s="34"/>
    </row>
    <row r="2494">
      <c r="A2494" s="34"/>
      <c r="B2494" s="34"/>
      <c r="C2494" s="34"/>
      <c r="D2494" s="34"/>
    </row>
    <row r="2495">
      <c r="A2495" s="34"/>
      <c r="B2495" s="34"/>
      <c r="C2495" s="34"/>
      <c r="D2495" s="34"/>
    </row>
    <row r="2496">
      <c r="A2496" s="34"/>
      <c r="B2496" s="34"/>
      <c r="C2496" s="34"/>
      <c r="D2496" s="34"/>
    </row>
    <row r="2497">
      <c r="A2497" s="34"/>
      <c r="B2497" s="34"/>
      <c r="C2497" s="34"/>
      <c r="D2497" s="34"/>
    </row>
    <row r="2498">
      <c r="A2498" s="34"/>
      <c r="B2498" s="34"/>
      <c r="C2498" s="34"/>
      <c r="D2498" s="34"/>
    </row>
    <row r="2499">
      <c r="A2499" s="34"/>
      <c r="B2499" s="34"/>
      <c r="C2499" s="34"/>
      <c r="D2499" s="34"/>
    </row>
    <row r="2500">
      <c r="A2500" s="34"/>
      <c r="B2500" s="34"/>
      <c r="C2500" s="34"/>
      <c r="D2500" s="34"/>
    </row>
    <row r="2501">
      <c r="A2501" s="34"/>
      <c r="B2501" s="34"/>
      <c r="C2501" s="34"/>
      <c r="D2501" s="34"/>
    </row>
    <row r="2502">
      <c r="A2502" s="34"/>
      <c r="B2502" s="34"/>
      <c r="C2502" s="34"/>
      <c r="D2502" s="34"/>
    </row>
    <row r="2503">
      <c r="A2503" s="34"/>
      <c r="B2503" s="34"/>
      <c r="C2503" s="34"/>
      <c r="D2503" s="34"/>
    </row>
    <row r="2504">
      <c r="A2504" s="34"/>
      <c r="B2504" s="34"/>
      <c r="C2504" s="34"/>
      <c r="D2504" s="34"/>
    </row>
    <row r="2505">
      <c r="A2505" s="34"/>
      <c r="B2505" s="34"/>
      <c r="C2505" s="34"/>
      <c r="D2505" s="34"/>
    </row>
    <row r="2506">
      <c r="A2506" s="34"/>
      <c r="B2506" s="34"/>
      <c r="C2506" s="34"/>
      <c r="D2506" s="34"/>
    </row>
    <row r="2507">
      <c r="A2507" s="34"/>
      <c r="B2507" s="34"/>
      <c r="C2507" s="34"/>
      <c r="D2507" s="34"/>
    </row>
    <row r="2508">
      <c r="A2508" s="34"/>
      <c r="B2508" s="34"/>
      <c r="C2508" s="34"/>
      <c r="D2508" s="34"/>
    </row>
    <row r="2509">
      <c r="A2509" s="34"/>
      <c r="B2509" s="34"/>
      <c r="C2509" s="34"/>
      <c r="D2509" s="34"/>
    </row>
    <row r="2510">
      <c r="A2510" s="34"/>
      <c r="B2510" s="34"/>
      <c r="C2510" s="34"/>
      <c r="D2510" s="34"/>
    </row>
    <row r="2511">
      <c r="A2511" s="34"/>
      <c r="B2511" s="34"/>
      <c r="C2511" s="34"/>
      <c r="D2511" s="34"/>
    </row>
    <row r="2512">
      <c r="A2512" s="34"/>
      <c r="B2512" s="34"/>
      <c r="C2512" s="34"/>
      <c r="D2512" s="34"/>
    </row>
    <row r="2513">
      <c r="A2513" s="34"/>
      <c r="B2513" s="34"/>
      <c r="C2513" s="34"/>
      <c r="D2513" s="34"/>
    </row>
    <row r="2514">
      <c r="A2514" s="34"/>
      <c r="B2514" s="34"/>
      <c r="C2514" s="34"/>
      <c r="D2514" s="34"/>
    </row>
    <row r="2515">
      <c r="A2515" s="34"/>
      <c r="B2515" s="34"/>
      <c r="C2515" s="34"/>
      <c r="D2515" s="34"/>
    </row>
    <row r="2516">
      <c r="A2516" s="34"/>
      <c r="B2516" s="34"/>
      <c r="C2516" s="34"/>
      <c r="D2516" s="34"/>
    </row>
    <row r="2517">
      <c r="A2517" s="34"/>
      <c r="B2517" s="34"/>
      <c r="C2517" s="34"/>
      <c r="D2517" s="34"/>
    </row>
    <row r="2518">
      <c r="A2518" s="34"/>
      <c r="B2518" s="34"/>
      <c r="C2518" s="34"/>
      <c r="D2518" s="34"/>
    </row>
    <row r="2519">
      <c r="A2519" s="34"/>
      <c r="B2519" s="34"/>
      <c r="C2519" s="34"/>
      <c r="D2519" s="34"/>
    </row>
    <row r="2520">
      <c r="A2520" s="34"/>
      <c r="B2520" s="34"/>
      <c r="C2520" s="34"/>
      <c r="D2520" s="34"/>
    </row>
    <row r="2521">
      <c r="A2521" s="34"/>
      <c r="B2521" s="34"/>
      <c r="C2521" s="34"/>
      <c r="D2521" s="34"/>
    </row>
    <row r="2522">
      <c r="A2522" s="34"/>
      <c r="B2522" s="34"/>
      <c r="C2522" s="34"/>
      <c r="D2522" s="34"/>
    </row>
    <row r="2523">
      <c r="A2523" s="34"/>
      <c r="B2523" s="34"/>
      <c r="C2523" s="34"/>
      <c r="D2523" s="34"/>
    </row>
    <row r="2524">
      <c r="A2524" s="34"/>
      <c r="B2524" s="34"/>
      <c r="C2524" s="34"/>
      <c r="D2524" s="34"/>
    </row>
    <row r="2525">
      <c r="A2525" s="34"/>
      <c r="B2525" s="34"/>
      <c r="C2525" s="34"/>
      <c r="D2525" s="34"/>
    </row>
    <row r="2526">
      <c r="A2526" s="34"/>
      <c r="B2526" s="34"/>
      <c r="C2526" s="34"/>
      <c r="D2526" s="34"/>
    </row>
    <row r="2527">
      <c r="A2527" s="34"/>
      <c r="B2527" s="34"/>
      <c r="C2527" s="34"/>
      <c r="D2527" s="34"/>
    </row>
    <row r="2528">
      <c r="A2528" s="34"/>
      <c r="B2528" s="34"/>
      <c r="C2528" s="34"/>
      <c r="D2528" s="34"/>
    </row>
    <row r="2529">
      <c r="A2529" s="34"/>
      <c r="B2529" s="34"/>
      <c r="C2529" s="34"/>
      <c r="D2529" s="34"/>
    </row>
    <row r="2530">
      <c r="A2530" s="34"/>
      <c r="B2530" s="34"/>
      <c r="C2530" s="34"/>
      <c r="D2530" s="34"/>
    </row>
    <row r="2531">
      <c r="A2531" s="34"/>
      <c r="B2531" s="34"/>
      <c r="C2531" s="34"/>
      <c r="D2531" s="34"/>
    </row>
    <row r="2532">
      <c r="A2532" s="34"/>
      <c r="B2532" s="34"/>
      <c r="C2532" s="34"/>
      <c r="D2532" s="34"/>
    </row>
    <row r="2533">
      <c r="A2533" s="34"/>
      <c r="B2533" s="34"/>
      <c r="C2533" s="34"/>
      <c r="D2533" s="34"/>
    </row>
    <row r="2534">
      <c r="A2534" s="34"/>
      <c r="B2534" s="34"/>
      <c r="C2534" s="34"/>
      <c r="D2534" s="34"/>
    </row>
    <row r="2535">
      <c r="A2535" s="34"/>
      <c r="B2535" s="34"/>
      <c r="C2535" s="34"/>
      <c r="D2535" s="34"/>
    </row>
    <row r="2536">
      <c r="A2536" s="34"/>
      <c r="B2536" s="34"/>
      <c r="C2536" s="34"/>
      <c r="D2536" s="34"/>
    </row>
    <row r="2537">
      <c r="A2537" s="34"/>
      <c r="B2537" s="34"/>
      <c r="C2537" s="34"/>
      <c r="D2537" s="34"/>
    </row>
    <row r="2538">
      <c r="A2538" s="34"/>
      <c r="B2538" s="34"/>
      <c r="C2538" s="34"/>
      <c r="D2538" s="34"/>
    </row>
    <row r="2539">
      <c r="A2539" s="34"/>
      <c r="B2539" s="34"/>
      <c r="C2539" s="34"/>
      <c r="D2539" s="34"/>
    </row>
    <row r="2540">
      <c r="A2540" s="34"/>
      <c r="B2540" s="34"/>
      <c r="C2540" s="34"/>
      <c r="D2540" s="34"/>
    </row>
    <row r="2541">
      <c r="A2541" s="34"/>
      <c r="B2541" s="34"/>
      <c r="C2541" s="34"/>
      <c r="D2541" s="34"/>
    </row>
    <row r="2542">
      <c r="A2542" s="34"/>
      <c r="B2542" s="34"/>
      <c r="C2542" s="34"/>
      <c r="D2542" s="34"/>
    </row>
    <row r="2543">
      <c r="A2543" s="34"/>
      <c r="B2543" s="34"/>
      <c r="C2543" s="34"/>
      <c r="D2543" s="34"/>
    </row>
    <row r="2544">
      <c r="A2544" s="34"/>
      <c r="B2544" s="34"/>
      <c r="C2544" s="34"/>
      <c r="D2544" s="34"/>
    </row>
    <row r="2545">
      <c r="A2545" s="34"/>
      <c r="B2545" s="34"/>
      <c r="C2545" s="34"/>
      <c r="D2545" s="34"/>
    </row>
    <row r="2546">
      <c r="A2546" s="34"/>
      <c r="B2546" s="34"/>
      <c r="C2546" s="34"/>
      <c r="D2546" s="34"/>
    </row>
    <row r="2547">
      <c r="A2547" s="34"/>
      <c r="B2547" s="34"/>
      <c r="C2547" s="34"/>
      <c r="D2547" s="34"/>
    </row>
    <row r="2548">
      <c r="A2548" s="34"/>
      <c r="B2548" s="34"/>
      <c r="C2548" s="34"/>
      <c r="D2548" s="34"/>
    </row>
    <row r="2549">
      <c r="A2549" s="34"/>
      <c r="B2549" s="34"/>
      <c r="C2549" s="34"/>
      <c r="D2549" s="34"/>
    </row>
    <row r="2550">
      <c r="A2550" s="34"/>
      <c r="B2550" s="34"/>
      <c r="C2550" s="34"/>
      <c r="D2550" s="34"/>
    </row>
    <row r="2551">
      <c r="A2551" s="34"/>
      <c r="B2551" s="34"/>
      <c r="C2551" s="34"/>
      <c r="D2551" s="34"/>
    </row>
    <row r="2552">
      <c r="A2552" s="34"/>
      <c r="B2552" s="34"/>
      <c r="C2552" s="34"/>
      <c r="D2552" s="34"/>
    </row>
    <row r="2553">
      <c r="A2553" s="34"/>
      <c r="B2553" s="34"/>
      <c r="C2553" s="34"/>
      <c r="D2553" s="34"/>
    </row>
    <row r="2554">
      <c r="A2554" s="34"/>
      <c r="B2554" s="34"/>
      <c r="C2554" s="34"/>
      <c r="D2554" s="34"/>
    </row>
    <row r="2555">
      <c r="A2555" s="34"/>
      <c r="B2555" s="34"/>
      <c r="C2555" s="34"/>
      <c r="D2555" s="34"/>
    </row>
    <row r="2556">
      <c r="A2556" s="34"/>
      <c r="B2556" s="34"/>
      <c r="C2556" s="34"/>
      <c r="D2556" s="34"/>
    </row>
    <row r="2557">
      <c r="A2557" s="34"/>
      <c r="B2557" s="34"/>
      <c r="C2557" s="34"/>
      <c r="D2557" s="34"/>
    </row>
    <row r="2558">
      <c r="A2558" s="34"/>
      <c r="B2558" s="34"/>
      <c r="C2558" s="34"/>
      <c r="D2558" s="34"/>
    </row>
    <row r="2559">
      <c r="A2559" s="34"/>
      <c r="B2559" s="34"/>
      <c r="C2559" s="34"/>
      <c r="D2559" s="34"/>
    </row>
    <row r="2560">
      <c r="A2560" s="34"/>
      <c r="B2560" s="34"/>
      <c r="C2560" s="34"/>
      <c r="D2560" s="34"/>
    </row>
    <row r="2561">
      <c r="A2561" s="34"/>
      <c r="B2561" s="34"/>
      <c r="C2561" s="34"/>
      <c r="D2561" s="34"/>
    </row>
    <row r="2562">
      <c r="A2562" s="34"/>
      <c r="B2562" s="34"/>
      <c r="C2562" s="34"/>
      <c r="D2562" s="34"/>
    </row>
    <row r="2563">
      <c r="A2563" s="34"/>
      <c r="B2563" s="34"/>
      <c r="C2563" s="34"/>
      <c r="D2563" s="34"/>
    </row>
    <row r="2564">
      <c r="A2564" s="34"/>
      <c r="B2564" s="34"/>
      <c r="C2564" s="34"/>
      <c r="D2564" s="34"/>
    </row>
    <row r="2565">
      <c r="A2565" s="34"/>
      <c r="B2565" s="34"/>
      <c r="C2565" s="34"/>
      <c r="D2565" s="34"/>
    </row>
    <row r="2566">
      <c r="A2566" s="34"/>
      <c r="B2566" s="34"/>
      <c r="C2566" s="34"/>
      <c r="D2566" s="34"/>
    </row>
    <row r="2567">
      <c r="A2567" s="34"/>
      <c r="B2567" s="34"/>
      <c r="C2567" s="34"/>
      <c r="D2567" s="34"/>
    </row>
    <row r="2568">
      <c r="A2568" s="34"/>
      <c r="B2568" s="34"/>
      <c r="C2568" s="34"/>
      <c r="D2568" s="34"/>
    </row>
    <row r="2569">
      <c r="A2569" s="34"/>
      <c r="B2569" s="34"/>
      <c r="C2569" s="34"/>
      <c r="D2569" s="34"/>
    </row>
    <row r="2570">
      <c r="A2570" s="34"/>
      <c r="B2570" s="34"/>
      <c r="C2570" s="34"/>
      <c r="D2570" s="34"/>
    </row>
    <row r="2571">
      <c r="A2571" s="34"/>
      <c r="B2571" s="34"/>
      <c r="C2571" s="34"/>
      <c r="D2571" s="34"/>
    </row>
    <row r="2572">
      <c r="A2572" s="34"/>
      <c r="B2572" s="34"/>
      <c r="C2572" s="34"/>
      <c r="D2572" s="34"/>
    </row>
    <row r="2573">
      <c r="A2573" s="34"/>
      <c r="B2573" s="34"/>
      <c r="C2573" s="34"/>
      <c r="D2573" s="34"/>
    </row>
    <row r="2574">
      <c r="A2574" s="34"/>
      <c r="B2574" s="34"/>
      <c r="C2574" s="34"/>
      <c r="D2574" s="34"/>
    </row>
    <row r="2575">
      <c r="A2575" s="34"/>
      <c r="B2575" s="34"/>
      <c r="C2575" s="34"/>
      <c r="D2575" s="34"/>
    </row>
    <row r="2576">
      <c r="A2576" s="34"/>
      <c r="B2576" s="34"/>
      <c r="C2576" s="34"/>
      <c r="D2576" s="34"/>
    </row>
    <row r="2577">
      <c r="A2577" s="34"/>
      <c r="B2577" s="34"/>
      <c r="C2577" s="34"/>
      <c r="D2577" s="34"/>
    </row>
    <row r="2578">
      <c r="A2578" s="34"/>
      <c r="B2578" s="34"/>
      <c r="C2578" s="34"/>
      <c r="D2578" s="34"/>
    </row>
    <row r="2579">
      <c r="A2579" s="34"/>
      <c r="B2579" s="34"/>
      <c r="C2579" s="34"/>
      <c r="D2579" s="34"/>
    </row>
    <row r="2580">
      <c r="A2580" s="34"/>
      <c r="B2580" s="34"/>
      <c r="C2580" s="34"/>
      <c r="D2580" s="34"/>
    </row>
    <row r="2581">
      <c r="A2581" s="34"/>
      <c r="B2581" s="34"/>
      <c r="C2581" s="34"/>
      <c r="D2581" s="34"/>
    </row>
    <row r="2582">
      <c r="A2582" s="34"/>
      <c r="B2582" s="34"/>
      <c r="C2582" s="34"/>
      <c r="D2582" s="34"/>
    </row>
    <row r="2583">
      <c r="A2583" s="34"/>
      <c r="B2583" s="34"/>
      <c r="C2583" s="34"/>
      <c r="D2583" s="34"/>
    </row>
    <row r="2584">
      <c r="A2584" s="34"/>
      <c r="B2584" s="34"/>
      <c r="C2584" s="34"/>
      <c r="D2584" s="34"/>
    </row>
    <row r="2585">
      <c r="A2585" s="34"/>
      <c r="B2585" s="34"/>
      <c r="C2585" s="34"/>
      <c r="D2585" s="34"/>
    </row>
    <row r="2586">
      <c r="A2586" s="34"/>
      <c r="B2586" s="34"/>
      <c r="C2586" s="34"/>
      <c r="D2586" s="34"/>
    </row>
    <row r="2587">
      <c r="A2587" s="34"/>
      <c r="B2587" s="34"/>
      <c r="C2587" s="34"/>
      <c r="D2587" s="34"/>
    </row>
    <row r="2588">
      <c r="A2588" s="34"/>
      <c r="B2588" s="34"/>
      <c r="C2588" s="34"/>
      <c r="D2588" s="34"/>
    </row>
    <row r="2589">
      <c r="A2589" s="34"/>
      <c r="B2589" s="34"/>
      <c r="C2589" s="34"/>
      <c r="D2589" s="34"/>
    </row>
    <row r="2590">
      <c r="A2590" s="34"/>
      <c r="B2590" s="34"/>
      <c r="C2590" s="34"/>
      <c r="D2590" s="34"/>
    </row>
    <row r="2591">
      <c r="A2591" s="34"/>
      <c r="B2591" s="34"/>
      <c r="C2591" s="34"/>
      <c r="D2591" s="34"/>
    </row>
    <row r="2592">
      <c r="A2592" s="34"/>
      <c r="B2592" s="34"/>
      <c r="C2592" s="34"/>
      <c r="D2592" s="34"/>
    </row>
    <row r="2593">
      <c r="A2593" s="34"/>
      <c r="B2593" s="34"/>
      <c r="C2593" s="34"/>
      <c r="D2593" s="34"/>
    </row>
    <row r="2594">
      <c r="A2594" s="34"/>
      <c r="B2594" s="34"/>
      <c r="C2594" s="34"/>
      <c r="D2594" s="34"/>
    </row>
    <row r="2595">
      <c r="A2595" s="34"/>
      <c r="B2595" s="34"/>
      <c r="C2595" s="34"/>
      <c r="D2595" s="34"/>
    </row>
    <row r="2596">
      <c r="A2596" s="34"/>
      <c r="B2596" s="34"/>
      <c r="C2596" s="34"/>
      <c r="D2596" s="34"/>
    </row>
    <row r="2597">
      <c r="A2597" s="34"/>
      <c r="B2597" s="34"/>
      <c r="C2597" s="34"/>
      <c r="D2597" s="34"/>
    </row>
    <row r="2598">
      <c r="A2598" s="34"/>
      <c r="B2598" s="34"/>
      <c r="C2598" s="34"/>
      <c r="D2598" s="34"/>
    </row>
    <row r="2599">
      <c r="A2599" s="34"/>
      <c r="B2599" s="34"/>
      <c r="C2599" s="34"/>
      <c r="D2599" s="34"/>
    </row>
    <row r="2600">
      <c r="A2600" s="34"/>
      <c r="B2600" s="34"/>
      <c r="C2600" s="34"/>
      <c r="D2600" s="34"/>
    </row>
    <row r="2601">
      <c r="A2601" s="34"/>
      <c r="B2601" s="34"/>
      <c r="C2601" s="34"/>
      <c r="D2601" s="34"/>
    </row>
    <row r="2602">
      <c r="A2602" s="34"/>
      <c r="B2602" s="34"/>
      <c r="C2602" s="34"/>
      <c r="D2602" s="34"/>
    </row>
    <row r="2603">
      <c r="A2603" s="34"/>
      <c r="B2603" s="34"/>
      <c r="C2603" s="34"/>
      <c r="D2603" s="34"/>
    </row>
    <row r="2604">
      <c r="A2604" s="34"/>
      <c r="B2604" s="34"/>
      <c r="C2604" s="34"/>
      <c r="D2604" s="34"/>
    </row>
    <row r="2605">
      <c r="A2605" s="34"/>
      <c r="B2605" s="34"/>
      <c r="C2605" s="34"/>
      <c r="D2605" s="34"/>
    </row>
    <row r="2606">
      <c r="A2606" s="34"/>
      <c r="B2606" s="34"/>
      <c r="C2606" s="34"/>
      <c r="D2606" s="34"/>
    </row>
    <row r="2607">
      <c r="A2607" s="34"/>
      <c r="B2607" s="34"/>
      <c r="C2607" s="34"/>
      <c r="D2607" s="34"/>
    </row>
    <row r="2608">
      <c r="A2608" s="34"/>
      <c r="B2608" s="34"/>
      <c r="C2608" s="34"/>
      <c r="D2608" s="34"/>
    </row>
    <row r="2609">
      <c r="A2609" s="34"/>
      <c r="B2609" s="34"/>
      <c r="C2609" s="34"/>
      <c r="D2609" s="34"/>
    </row>
    <row r="2610">
      <c r="A2610" s="34"/>
      <c r="B2610" s="34"/>
      <c r="C2610" s="34"/>
      <c r="D2610" s="34"/>
    </row>
    <row r="2611">
      <c r="A2611" s="34"/>
      <c r="B2611" s="34"/>
      <c r="C2611" s="34"/>
      <c r="D2611" s="34"/>
    </row>
    <row r="2612">
      <c r="A2612" s="34"/>
      <c r="B2612" s="34"/>
      <c r="C2612" s="34"/>
      <c r="D2612" s="34"/>
    </row>
    <row r="2613">
      <c r="A2613" s="34"/>
      <c r="B2613" s="34"/>
      <c r="C2613" s="34"/>
      <c r="D2613" s="34"/>
    </row>
    <row r="2614">
      <c r="A2614" s="34"/>
      <c r="B2614" s="34"/>
      <c r="C2614" s="34"/>
      <c r="D2614" s="34"/>
    </row>
    <row r="2615">
      <c r="A2615" s="34"/>
      <c r="B2615" s="34"/>
      <c r="C2615" s="34"/>
      <c r="D2615" s="34"/>
    </row>
    <row r="2616">
      <c r="A2616" s="34"/>
      <c r="B2616" s="34"/>
      <c r="C2616" s="34"/>
      <c r="D2616" s="34"/>
    </row>
    <row r="2617">
      <c r="A2617" s="34"/>
      <c r="B2617" s="34"/>
      <c r="C2617" s="34"/>
      <c r="D2617" s="34"/>
    </row>
    <row r="2618">
      <c r="A2618" s="34"/>
      <c r="B2618" s="34"/>
      <c r="C2618" s="34"/>
      <c r="D2618" s="34"/>
    </row>
    <row r="2619">
      <c r="A2619" s="34"/>
      <c r="B2619" s="34"/>
      <c r="C2619" s="34"/>
      <c r="D2619" s="34"/>
    </row>
    <row r="2620">
      <c r="A2620" s="34"/>
      <c r="B2620" s="34"/>
      <c r="C2620" s="34"/>
      <c r="D2620" s="34"/>
    </row>
    <row r="2621">
      <c r="A2621" s="34"/>
      <c r="B2621" s="34"/>
      <c r="C2621" s="34"/>
      <c r="D2621" s="34"/>
    </row>
    <row r="2622">
      <c r="A2622" s="34"/>
      <c r="B2622" s="34"/>
      <c r="C2622" s="34"/>
      <c r="D2622" s="34"/>
    </row>
    <row r="2623">
      <c r="A2623" s="34"/>
      <c r="B2623" s="34"/>
      <c r="C2623" s="34"/>
      <c r="D2623" s="34"/>
    </row>
    <row r="2624">
      <c r="A2624" s="34"/>
      <c r="B2624" s="34"/>
      <c r="C2624" s="34"/>
      <c r="D2624" s="34"/>
    </row>
    <row r="2625">
      <c r="A2625" s="34"/>
      <c r="B2625" s="34"/>
      <c r="C2625" s="34"/>
      <c r="D2625" s="34"/>
    </row>
    <row r="2626">
      <c r="A2626" s="34"/>
      <c r="B2626" s="34"/>
      <c r="C2626" s="34"/>
      <c r="D2626" s="34"/>
    </row>
    <row r="2627">
      <c r="A2627" s="34"/>
      <c r="B2627" s="34"/>
      <c r="C2627" s="34"/>
      <c r="D2627" s="34"/>
    </row>
    <row r="2628">
      <c r="A2628" s="34"/>
      <c r="B2628" s="34"/>
      <c r="C2628" s="34"/>
      <c r="D2628" s="34"/>
    </row>
    <row r="2629">
      <c r="A2629" s="34"/>
      <c r="B2629" s="34"/>
      <c r="C2629" s="34"/>
      <c r="D2629" s="34"/>
    </row>
    <row r="2630">
      <c r="A2630" s="34"/>
      <c r="B2630" s="34"/>
      <c r="C2630" s="34"/>
      <c r="D2630" s="34"/>
    </row>
    <row r="2631">
      <c r="A2631" s="34"/>
      <c r="B2631" s="34"/>
      <c r="C2631" s="34"/>
      <c r="D2631" s="34"/>
    </row>
  </sheetData>
  <dataValidations>
    <dataValidation type="list" allowBlank="1" showErrorMessage="1" sqref="B2:B2016 B2018:B2100 B2102:B2110 B2114:B2431">
      <formula1>#REF!</formula1>
    </dataValidation>
  </dataValidations>
  <hyperlinks>
    <hyperlink r:id="rId1" ref="A1102"/>
    <hyperlink r:id="rId2" ref="A1675"/>
  </hyperlinks>
  <drawing r:id="rId3"/>
  <tableParts count="1">
    <tablePart r:id="rId5"/>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6" t="s">
        <v>700</v>
      </c>
      <c r="B1" s="16" t="s">
        <v>701</v>
      </c>
      <c r="C1" s="16" t="s">
        <v>702</v>
      </c>
      <c r="D1" s="16" t="s">
        <v>10442</v>
      </c>
      <c r="E1" s="16" t="s">
        <v>36</v>
      </c>
      <c r="F1" s="16" t="s">
        <v>703</v>
      </c>
      <c r="G1" s="16" t="s">
        <v>704</v>
      </c>
      <c r="H1" s="16" t="s">
        <v>705</v>
      </c>
      <c r="I1" s="15"/>
      <c r="J1" s="15"/>
    </row>
    <row r="2">
      <c r="A2" s="18">
        <v>45663.0</v>
      </c>
      <c r="B2" s="16" t="s">
        <v>10443</v>
      </c>
      <c r="C2" s="16">
        <v>50.0</v>
      </c>
      <c r="D2" s="16" t="s">
        <v>10444</v>
      </c>
      <c r="E2" s="16" t="s">
        <v>707</v>
      </c>
      <c r="F2" s="16">
        <v>2024.0</v>
      </c>
      <c r="G2" s="16">
        <v>51.4161</v>
      </c>
      <c r="H2" s="16">
        <v>11.8303</v>
      </c>
      <c r="I2" s="15"/>
      <c r="J2" s="15"/>
    </row>
    <row r="3">
      <c r="A3" s="18">
        <v>44656.0</v>
      </c>
      <c r="B3" s="16" t="s">
        <v>10445</v>
      </c>
      <c r="C3" s="16">
        <v>15.0</v>
      </c>
      <c r="D3" s="16" t="s">
        <v>10444</v>
      </c>
      <c r="E3" s="16" t="s">
        <v>707</v>
      </c>
      <c r="F3" s="16">
        <v>1997.0</v>
      </c>
      <c r="G3" s="16">
        <v>50.8086</v>
      </c>
      <c r="H3" s="16">
        <v>6.0244</v>
      </c>
      <c r="I3" s="15"/>
      <c r="J3" s="15"/>
    </row>
    <row r="4">
      <c r="A4" s="18">
        <v>45021.0</v>
      </c>
      <c r="B4" s="16" t="s">
        <v>10446</v>
      </c>
      <c r="C4" s="16">
        <v>12.0</v>
      </c>
      <c r="D4" s="16" t="s">
        <v>10444</v>
      </c>
      <c r="E4" s="16" t="s">
        <v>707</v>
      </c>
      <c r="F4" s="16">
        <v>2005.0</v>
      </c>
      <c r="G4" s="16">
        <v>53.6118</v>
      </c>
      <c r="H4" s="16">
        <v>7.7569</v>
      </c>
      <c r="I4" s="15"/>
      <c r="J4" s="15"/>
    </row>
    <row r="5">
      <c r="A5" s="18">
        <v>44656.0</v>
      </c>
      <c r="B5" s="16" t="s">
        <v>10446</v>
      </c>
      <c r="C5" s="16">
        <v>48.0</v>
      </c>
      <c r="D5" s="16" t="s">
        <v>10444</v>
      </c>
      <c r="E5" s="16" t="s">
        <v>707</v>
      </c>
      <c r="F5" s="16">
        <v>2015.0</v>
      </c>
      <c r="G5" s="16">
        <v>53.6189</v>
      </c>
      <c r="H5" s="16">
        <v>7.75</v>
      </c>
      <c r="I5" s="15"/>
      <c r="J5" s="15"/>
    </row>
    <row r="6">
      <c r="A6" s="18">
        <v>44656.0</v>
      </c>
      <c r="B6" s="16" t="s">
        <v>10447</v>
      </c>
      <c r="C6" s="16">
        <v>18.0</v>
      </c>
      <c r="D6" s="16" t="s">
        <v>10444</v>
      </c>
      <c r="E6" s="16" t="s">
        <v>707</v>
      </c>
      <c r="F6" s="16">
        <v>1999.0</v>
      </c>
      <c r="G6" s="16">
        <v>51.2269</v>
      </c>
      <c r="H6" s="16">
        <v>12.9269</v>
      </c>
      <c r="I6" s="15"/>
      <c r="J6" s="15"/>
    </row>
    <row r="7">
      <c r="A7" s="18">
        <v>44656.0</v>
      </c>
      <c r="B7" s="16" t="s">
        <v>10448</v>
      </c>
      <c r="C7" s="16">
        <v>21.0</v>
      </c>
      <c r="D7" s="16" t="s">
        <v>10444</v>
      </c>
      <c r="E7" s="16" t="s">
        <v>707</v>
      </c>
      <c r="F7" s="16">
        <v>2005.0</v>
      </c>
      <c r="G7" s="16">
        <v>52.3878</v>
      </c>
      <c r="H7" s="16">
        <v>8.4238</v>
      </c>
      <c r="I7" s="15"/>
      <c r="J7" s="15"/>
    </row>
    <row r="8">
      <c r="A8" s="18">
        <v>44656.0</v>
      </c>
      <c r="B8" s="16" t="s">
        <v>10449</v>
      </c>
      <c r="C8" s="16">
        <v>12.0</v>
      </c>
      <c r="D8" s="16" t="s">
        <v>10444</v>
      </c>
      <c r="E8" s="16" t="s">
        <v>707</v>
      </c>
      <c r="F8" s="16">
        <v>2014.0</v>
      </c>
      <c r="G8" s="16">
        <v>49.632</v>
      </c>
      <c r="H8" s="16">
        <v>7.0676</v>
      </c>
      <c r="I8" s="15"/>
      <c r="J8" s="15"/>
    </row>
    <row r="9">
      <c r="A9" s="18">
        <v>44656.0</v>
      </c>
      <c r="B9" s="16" t="s">
        <v>10450</v>
      </c>
      <c r="C9" s="16">
        <v>12.0</v>
      </c>
      <c r="D9" s="16" t="s">
        <v>10444</v>
      </c>
      <c r="E9" s="16" t="s">
        <v>707</v>
      </c>
      <c r="F9" s="15"/>
      <c r="G9" s="16">
        <v>52.2119</v>
      </c>
      <c r="H9" s="16">
        <v>11.4568</v>
      </c>
      <c r="I9" s="15"/>
      <c r="J9" s="15"/>
    </row>
    <row r="10">
      <c r="A10" s="18">
        <v>44656.0</v>
      </c>
      <c r="B10" s="16" t="s">
        <v>10451</v>
      </c>
      <c r="C10" s="16">
        <v>13.0</v>
      </c>
      <c r="D10" s="16" t="s">
        <v>10444</v>
      </c>
      <c r="E10" s="16" t="s">
        <v>707</v>
      </c>
      <c r="F10" s="16">
        <v>2003.0</v>
      </c>
      <c r="G10" s="16">
        <v>54.3135</v>
      </c>
      <c r="H10" s="16">
        <v>9.1139</v>
      </c>
      <c r="I10" s="15"/>
      <c r="J10" s="15"/>
    </row>
    <row r="11">
      <c r="A11" s="18">
        <v>44656.0</v>
      </c>
      <c r="B11" s="16" t="s">
        <v>10452</v>
      </c>
      <c r="C11" s="16">
        <v>18.0</v>
      </c>
      <c r="D11" s="16" t="s">
        <v>10444</v>
      </c>
      <c r="E11" s="16" t="s">
        <v>707</v>
      </c>
      <c r="F11" s="16">
        <v>2006.0</v>
      </c>
      <c r="G11" s="16">
        <v>51.3706</v>
      </c>
      <c r="H11" s="16">
        <v>8.8439</v>
      </c>
      <c r="I11" s="15"/>
      <c r="J11" s="15"/>
    </row>
    <row r="12">
      <c r="A12" s="18">
        <v>44656.0</v>
      </c>
      <c r="B12" s="16" t="s">
        <v>10453</v>
      </c>
      <c r="C12" s="16">
        <v>25.0</v>
      </c>
      <c r="D12" s="16" t="s">
        <v>10444</v>
      </c>
      <c r="E12" s="16" t="s">
        <v>707</v>
      </c>
      <c r="F12" s="16">
        <v>2017.0</v>
      </c>
      <c r="G12" s="16">
        <v>52.029</v>
      </c>
      <c r="H12" s="16">
        <v>6.9888</v>
      </c>
      <c r="I12" s="15"/>
      <c r="J12" s="15"/>
    </row>
    <row r="13">
      <c r="A13" s="18">
        <v>44656.0</v>
      </c>
      <c r="B13" s="16" t="s">
        <v>10454</v>
      </c>
      <c r="C13" s="16">
        <v>37.0</v>
      </c>
      <c r="D13" s="16" t="s">
        <v>10444</v>
      </c>
      <c r="E13" s="16" t="s">
        <v>707</v>
      </c>
      <c r="F13" s="16">
        <v>2011.0</v>
      </c>
      <c r="G13" s="16">
        <v>51.7965</v>
      </c>
      <c r="H13" s="16">
        <v>7.8822</v>
      </c>
      <c r="I13" s="15"/>
      <c r="J13" s="15"/>
    </row>
    <row r="14">
      <c r="A14" s="18">
        <v>44656.0</v>
      </c>
      <c r="B14" s="16" t="s">
        <v>10455</v>
      </c>
      <c r="C14" s="16">
        <v>22.0</v>
      </c>
      <c r="D14" s="16" t="s">
        <v>10444</v>
      </c>
      <c r="E14" s="16" t="s">
        <v>707</v>
      </c>
      <c r="F14" s="16">
        <v>2017.0</v>
      </c>
      <c r="G14" s="16">
        <v>53.387</v>
      </c>
      <c r="H14" s="16">
        <v>9.3836</v>
      </c>
      <c r="I14" s="15"/>
      <c r="J14" s="15"/>
    </row>
    <row r="15">
      <c r="A15" s="18">
        <v>44656.0</v>
      </c>
      <c r="B15" s="16" t="s">
        <v>10456</v>
      </c>
      <c r="C15" s="16">
        <v>11.0</v>
      </c>
      <c r="D15" s="16" t="s">
        <v>10444</v>
      </c>
      <c r="E15" s="16" t="s">
        <v>707</v>
      </c>
      <c r="F15" s="16">
        <v>2017.0</v>
      </c>
      <c r="G15" s="16">
        <v>49.5466</v>
      </c>
      <c r="H15" s="16">
        <v>9.5747</v>
      </c>
      <c r="I15" s="15"/>
      <c r="J15" s="15"/>
    </row>
    <row r="16">
      <c r="A16" s="18">
        <v>44656.0</v>
      </c>
      <c r="B16" s="16" t="s">
        <v>10457</v>
      </c>
      <c r="C16" s="16">
        <v>11.0</v>
      </c>
      <c r="D16" s="16" t="s">
        <v>10444</v>
      </c>
      <c r="E16" s="16" t="s">
        <v>707</v>
      </c>
      <c r="F16" s="16">
        <v>2017.0</v>
      </c>
      <c r="G16" s="16">
        <v>49.4832</v>
      </c>
      <c r="H16" s="16">
        <v>9.5687</v>
      </c>
      <c r="I16" s="15"/>
      <c r="J16" s="15"/>
    </row>
    <row r="17">
      <c r="A17" s="18">
        <v>44656.0</v>
      </c>
      <c r="B17" s="16" t="s">
        <v>10458</v>
      </c>
      <c r="C17" s="16">
        <v>17.0</v>
      </c>
      <c r="D17" s="16" t="s">
        <v>10444</v>
      </c>
      <c r="E17" s="16" t="s">
        <v>707</v>
      </c>
      <c r="F17" s="16">
        <v>2017.0</v>
      </c>
      <c r="G17" s="16">
        <v>52.4119</v>
      </c>
      <c r="H17" s="16">
        <v>8.0264</v>
      </c>
      <c r="I17" s="15"/>
      <c r="J17" s="15"/>
    </row>
    <row r="18">
      <c r="A18" s="18">
        <v>45006.0</v>
      </c>
      <c r="B18" s="16" t="s">
        <v>10459</v>
      </c>
      <c r="C18" s="16">
        <v>15.0</v>
      </c>
      <c r="D18" s="16" t="s">
        <v>10444</v>
      </c>
      <c r="E18" s="16" t="s">
        <v>707</v>
      </c>
      <c r="F18" s="16">
        <v>2002.0</v>
      </c>
      <c r="G18" s="16">
        <v>54.5238</v>
      </c>
      <c r="H18" s="16">
        <v>9.1935</v>
      </c>
      <c r="I18" s="15"/>
      <c r="J18" s="15"/>
    </row>
    <row r="19">
      <c r="A19" s="18">
        <v>45006.0</v>
      </c>
      <c r="B19" s="16" t="s">
        <v>10459</v>
      </c>
      <c r="C19" s="16">
        <v>10.0</v>
      </c>
      <c r="D19" s="16" t="s">
        <v>10444</v>
      </c>
      <c r="E19" s="16" t="s">
        <v>707</v>
      </c>
      <c r="F19" s="16">
        <v>2013.0</v>
      </c>
      <c r="G19" s="16">
        <v>54.5293</v>
      </c>
      <c r="H19" s="16">
        <v>9.2561</v>
      </c>
      <c r="I19" s="15"/>
      <c r="J19" s="15"/>
    </row>
    <row r="20">
      <c r="A20" s="18">
        <v>44656.0</v>
      </c>
      <c r="B20" s="16" t="s">
        <v>10460</v>
      </c>
      <c r="C20" s="16">
        <v>15.0</v>
      </c>
      <c r="D20" s="16" t="s">
        <v>10444</v>
      </c>
      <c r="E20" s="16" t="s">
        <v>707</v>
      </c>
      <c r="F20" s="16">
        <v>2002.0</v>
      </c>
      <c r="G20" s="16">
        <v>54.5335</v>
      </c>
      <c r="H20" s="16">
        <v>9.2756</v>
      </c>
      <c r="I20" s="15"/>
      <c r="J20" s="15"/>
    </row>
    <row r="21">
      <c r="A21" s="18">
        <v>45355.0</v>
      </c>
      <c r="B21" s="16" t="s">
        <v>10461</v>
      </c>
      <c r="C21" s="16">
        <v>112.0</v>
      </c>
      <c r="D21" s="16" t="s">
        <v>10462</v>
      </c>
      <c r="E21" s="16" t="s">
        <v>707</v>
      </c>
      <c r="F21" s="16">
        <v>2020.0</v>
      </c>
      <c r="G21" s="16">
        <v>54.4868</v>
      </c>
      <c r="H21" s="16">
        <v>6.2832</v>
      </c>
      <c r="I21" s="15"/>
      <c r="J21" s="15"/>
    </row>
    <row r="22">
      <c r="A22" s="18">
        <v>44656.0</v>
      </c>
      <c r="B22" s="16" t="s">
        <v>10463</v>
      </c>
      <c r="C22" s="16">
        <v>17.0</v>
      </c>
      <c r="D22" s="16" t="s">
        <v>10444</v>
      </c>
      <c r="E22" s="16" t="s">
        <v>707</v>
      </c>
      <c r="F22" s="16">
        <v>2014.0</v>
      </c>
      <c r="G22" s="16">
        <v>54.1386</v>
      </c>
      <c r="H22" s="16">
        <v>9.2541</v>
      </c>
      <c r="I22" s="15"/>
      <c r="J22" s="15"/>
    </row>
    <row r="23">
      <c r="A23" s="18">
        <v>45355.0</v>
      </c>
      <c r="B23" s="16" t="s">
        <v>10464</v>
      </c>
      <c r="C23" s="16">
        <v>31.0</v>
      </c>
      <c r="D23" s="16" t="s">
        <v>10444</v>
      </c>
      <c r="E23" s="16" t="s">
        <v>707</v>
      </c>
      <c r="F23" s="16">
        <v>2021.0</v>
      </c>
      <c r="G23" s="16">
        <v>52.6856</v>
      </c>
      <c r="H23" s="16">
        <v>13.6673</v>
      </c>
      <c r="I23" s="15"/>
      <c r="J23" s="15"/>
    </row>
    <row r="24">
      <c r="A24" s="18">
        <v>44656.0</v>
      </c>
      <c r="B24" s="16" t="s">
        <v>10465</v>
      </c>
      <c r="C24" s="16">
        <v>37.0</v>
      </c>
      <c r="D24" s="16" t="s">
        <v>10444</v>
      </c>
      <c r="E24" s="16" t="s">
        <v>707</v>
      </c>
      <c r="F24" s="16">
        <v>2021.0</v>
      </c>
      <c r="G24" s="16">
        <v>52.8026</v>
      </c>
      <c r="H24" s="16">
        <v>8.7922</v>
      </c>
      <c r="I24" s="15"/>
      <c r="J24" s="15"/>
    </row>
    <row r="25">
      <c r="A25" s="18">
        <v>45377.0</v>
      </c>
      <c r="B25" s="16" t="s">
        <v>10465</v>
      </c>
      <c r="C25" s="16">
        <v>55.0</v>
      </c>
      <c r="D25" s="16" t="s">
        <v>10444</v>
      </c>
      <c r="E25" s="16" t="s">
        <v>707</v>
      </c>
      <c r="F25" s="16">
        <v>2023.0</v>
      </c>
      <c r="G25" s="16">
        <v>52.7886</v>
      </c>
      <c r="H25" s="16">
        <v>8.7959</v>
      </c>
      <c r="I25" s="15"/>
      <c r="J25" s="15"/>
    </row>
    <row r="26">
      <c r="A26" s="18">
        <v>44656.0</v>
      </c>
      <c r="B26" s="16" t="s">
        <v>10466</v>
      </c>
      <c r="C26" s="16">
        <v>15.0</v>
      </c>
      <c r="D26" s="16" t="s">
        <v>10444</v>
      </c>
      <c r="E26" s="16" t="s">
        <v>707</v>
      </c>
      <c r="F26" s="16">
        <v>2016.0</v>
      </c>
      <c r="G26" s="16">
        <v>50.9133</v>
      </c>
      <c r="H26" s="16">
        <v>6.2767</v>
      </c>
      <c r="I26" s="15"/>
      <c r="J26" s="15"/>
    </row>
    <row r="27">
      <c r="A27" s="18">
        <v>45369.0</v>
      </c>
      <c r="B27" s="16" t="s">
        <v>10467</v>
      </c>
      <c r="C27" s="16">
        <v>42.0</v>
      </c>
      <c r="D27" s="16" t="s">
        <v>10444</v>
      </c>
      <c r="E27" s="16" t="s">
        <v>707</v>
      </c>
      <c r="F27" s="16">
        <v>2022.0</v>
      </c>
      <c r="G27" s="16">
        <v>53.5464</v>
      </c>
      <c r="H27" s="16">
        <v>9.0293</v>
      </c>
      <c r="I27" s="15"/>
      <c r="J27" s="15"/>
    </row>
    <row r="28">
      <c r="A28" s="18">
        <v>44656.0</v>
      </c>
      <c r="B28" s="16" t="s">
        <v>10468</v>
      </c>
      <c r="C28" s="16">
        <v>16.0</v>
      </c>
      <c r="D28" s="16" t="s">
        <v>10444</v>
      </c>
      <c r="E28" s="16" t="s">
        <v>707</v>
      </c>
      <c r="F28" s="16">
        <v>2012.0</v>
      </c>
      <c r="G28" s="16">
        <v>52.6915</v>
      </c>
      <c r="H28" s="16">
        <v>9.5279</v>
      </c>
      <c r="I28" s="15"/>
      <c r="J28" s="15"/>
    </row>
    <row r="29">
      <c r="A29" s="18">
        <v>44656.0</v>
      </c>
      <c r="B29" s="16" t="s">
        <v>10469</v>
      </c>
      <c r="C29" s="16">
        <v>10.0</v>
      </c>
      <c r="D29" s="16" t="s">
        <v>10444</v>
      </c>
      <c r="E29" s="16" t="s">
        <v>707</v>
      </c>
      <c r="F29" s="16">
        <v>2010.0</v>
      </c>
      <c r="G29" s="16">
        <v>52.5007</v>
      </c>
      <c r="H29" s="16">
        <v>7.9521</v>
      </c>
      <c r="I29" s="15"/>
      <c r="J29" s="15"/>
    </row>
    <row r="30">
      <c r="A30" s="18">
        <v>44656.0</v>
      </c>
      <c r="B30" s="16" t="s">
        <v>10470</v>
      </c>
      <c r="C30" s="16">
        <v>30.0</v>
      </c>
      <c r="D30" s="16" t="s">
        <v>10462</v>
      </c>
      <c r="E30" s="16" t="s">
        <v>707</v>
      </c>
      <c r="F30" s="16">
        <v>2009.0</v>
      </c>
      <c r="G30" s="16">
        <v>54.0167</v>
      </c>
      <c r="H30" s="16">
        <v>6.6</v>
      </c>
      <c r="I30" s="15"/>
      <c r="J30" s="15"/>
    </row>
    <row r="31">
      <c r="A31" s="18">
        <v>44656.0</v>
      </c>
      <c r="B31" s="16" t="s">
        <v>10470</v>
      </c>
      <c r="C31" s="16">
        <v>30.0</v>
      </c>
      <c r="D31" s="16" t="s">
        <v>10462</v>
      </c>
      <c r="E31" s="16" t="s">
        <v>707</v>
      </c>
      <c r="F31" s="16">
        <v>2010.0</v>
      </c>
      <c r="G31" s="16">
        <v>54.0167</v>
      </c>
      <c r="H31" s="16">
        <v>6.6</v>
      </c>
      <c r="I31" s="15"/>
      <c r="J31" s="15"/>
    </row>
    <row r="32">
      <c r="A32" s="18">
        <v>44656.0</v>
      </c>
      <c r="B32" s="16" t="s">
        <v>10471</v>
      </c>
      <c r="C32" s="16">
        <v>56.0</v>
      </c>
      <c r="D32" s="16" t="s">
        <v>10444</v>
      </c>
      <c r="E32" s="16" t="s">
        <v>707</v>
      </c>
      <c r="F32" s="16">
        <v>2005.0</v>
      </c>
      <c r="G32" s="16">
        <v>51.7015</v>
      </c>
      <c r="H32" s="16">
        <v>11.6784</v>
      </c>
      <c r="I32" s="15"/>
      <c r="J32" s="15"/>
    </row>
    <row r="33">
      <c r="A33" s="18">
        <v>44985.0</v>
      </c>
      <c r="B33" s="16" t="s">
        <v>10472</v>
      </c>
      <c r="C33" s="16">
        <v>26.0</v>
      </c>
      <c r="D33" s="16" t="s">
        <v>10444</v>
      </c>
      <c r="E33" s="16" t="s">
        <v>707</v>
      </c>
      <c r="F33" s="16">
        <v>2021.0</v>
      </c>
      <c r="G33" s="16">
        <v>53.5164</v>
      </c>
      <c r="H33" s="16">
        <v>11.3195</v>
      </c>
      <c r="I33" s="15"/>
      <c r="J33" s="15"/>
    </row>
    <row r="34">
      <c r="A34" s="18">
        <v>44656.0</v>
      </c>
      <c r="B34" s="16" t="s">
        <v>10473</v>
      </c>
      <c r="C34" s="16">
        <v>24.0</v>
      </c>
      <c r="D34" s="16" t="s">
        <v>10444</v>
      </c>
      <c r="E34" s="16" t="s">
        <v>707</v>
      </c>
      <c r="F34" s="16">
        <v>2015.0</v>
      </c>
      <c r="G34" s="16">
        <v>54.3841</v>
      </c>
      <c r="H34" s="16">
        <v>9.4538</v>
      </c>
      <c r="I34" s="15"/>
      <c r="J34" s="15"/>
    </row>
    <row r="35">
      <c r="A35" s="18">
        <v>44656.0</v>
      </c>
      <c r="B35" s="16" t="s">
        <v>10474</v>
      </c>
      <c r="C35" s="16">
        <v>10.0</v>
      </c>
      <c r="D35" s="16" t="s">
        <v>10444</v>
      </c>
      <c r="E35" s="16" t="s">
        <v>707</v>
      </c>
      <c r="F35" s="16">
        <v>2000.0</v>
      </c>
      <c r="G35" s="16">
        <v>50.5575</v>
      </c>
      <c r="H35" s="16">
        <v>9.1358</v>
      </c>
      <c r="I35" s="15"/>
      <c r="J35" s="15"/>
    </row>
    <row r="36">
      <c r="A36" s="18">
        <v>45369.0</v>
      </c>
      <c r="B36" s="16" t="s">
        <v>10475</v>
      </c>
      <c r="C36" s="16">
        <v>21.0</v>
      </c>
      <c r="D36" s="16" t="s">
        <v>10444</v>
      </c>
      <c r="E36" s="16" t="s">
        <v>707</v>
      </c>
      <c r="F36" s="16">
        <v>2022.0</v>
      </c>
      <c r="G36" s="16">
        <v>52.7109</v>
      </c>
      <c r="H36" s="16">
        <v>11.9227</v>
      </c>
      <c r="I36" s="15"/>
      <c r="J36" s="15"/>
    </row>
    <row r="37">
      <c r="A37" s="18">
        <v>45022.0</v>
      </c>
      <c r="B37" s="16" t="s">
        <v>10476</v>
      </c>
      <c r="C37" s="16">
        <v>26.0</v>
      </c>
      <c r="D37" s="16" t="s">
        <v>10444</v>
      </c>
      <c r="E37" s="16" t="s">
        <v>707</v>
      </c>
      <c r="F37" s="16">
        <v>2009.0</v>
      </c>
      <c r="G37" s="16">
        <v>53.825</v>
      </c>
      <c r="H37" s="16">
        <v>8.773</v>
      </c>
      <c r="I37" s="15"/>
      <c r="J37" s="15"/>
    </row>
    <row r="38">
      <c r="A38" s="18">
        <v>44656.0</v>
      </c>
      <c r="B38" s="16" t="s">
        <v>10476</v>
      </c>
      <c r="C38" s="16">
        <v>27.0</v>
      </c>
      <c r="D38" s="16" t="s">
        <v>10444</v>
      </c>
      <c r="E38" s="16" t="s">
        <v>707</v>
      </c>
      <c r="F38" s="16">
        <v>2016.0</v>
      </c>
      <c r="G38" s="16">
        <v>53.825</v>
      </c>
      <c r="H38" s="16">
        <v>8.773</v>
      </c>
      <c r="I38" s="15"/>
      <c r="J38" s="15"/>
    </row>
    <row r="39">
      <c r="A39" s="18">
        <v>45020.0</v>
      </c>
      <c r="B39" s="16" t="s">
        <v>10477</v>
      </c>
      <c r="C39" s="16">
        <v>18.0</v>
      </c>
      <c r="D39" s="16" t="s">
        <v>10444</v>
      </c>
      <c r="E39" s="16" t="s">
        <v>707</v>
      </c>
      <c r="F39" s="16">
        <v>2021.0</v>
      </c>
      <c r="G39" s="16">
        <v>53.1599</v>
      </c>
      <c r="H39" s="16">
        <v>10.6314</v>
      </c>
      <c r="I39" s="15"/>
      <c r="J39" s="15"/>
    </row>
    <row r="40">
      <c r="A40" s="18">
        <v>44656.0</v>
      </c>
      <c r="B40" s="16" t="s">
        <v>10478</v>
      </c>
      <c r="C40" s="16">
        <v>16.0</v>
      </c>
      <c r="D40" s="16" t="s">
        <v>10444</v>
      </c>
      <c r="E40" s="16" t="s">
        <v>707</v>
      </c>
      <c r="F40" s="16">
        <v>2017.0</v>
      </c>
      <c r="G40" s="16">
        <v>52.3098</v>
      </c>
      <c r="H40" s="16">
        <v>7.5092</v>
      </c>
      <c r="I40" s="15"/>
      <c r="J40" s="15"/>
    </row>
    <row r="41">
      <c r="A41" s="18">
        <v>44656.0</v>
      </c>
      <c r="B41" s="16" t="s">
        <v>10479</v>
      </c>
      <c r="C41" s="16">
        <v>10.0</v>
      </c>
      <c r="D41" s="16" t="s">
        <v>10444</v>
      </c>
      <c r="E41" s="16" t="s">
        <v>707</v>
      </c>
      <c r="F41" s="16">
        <v>2015.0</v>
      </c>
      <c r="G41" s="16">
        <v>53.6968</v>
      </c>
      <c r="H41" s="16">
        <v>13.2093</v>
      </c>
      <c r="I41" s="15"/>
      <c r="J41" s="15"/>
    </row>
    <row r="42">
      <c r="A42" s="18">
        <v>44656.0</v>
      </c>
      <c r="B42" s="16" t="s">
        <v>10480</v>
      </c>
      <c r="C42" s="16">
        <v>10.0</v>
      </c>
      <c r="D42" s="16" t="s">
        <v>10444</v>
      </c>
      <c r="E42" s="16" t="s">
        <v>707</v>
      </c>
      <c r="F42" s="16">
        <v>2003.0</v>
      </c>
      <c r="G42" s="16">
        <v>53.9311</v>
      </c>
      <c r="H42" s="16">
        <v>12.3038</v>
      </c>
      <c r="I42" s="15"/>
      <c r="J42" s="15"/>
    </row>
    <row r="43">
      <c r="A43" s="18">
        <v>44656.0</v>
      </c>
      <c r="B43" s="16" t="s">
        <v>10481</v>
      </c>
      <c r="C43" s="16">
        <v>14.0</v>
      </c>
      <c r="D43" s="16" t="s">
        <v>10444</v>
      </c>
      <c r="E43" s="16" t="s">
        <v>707</v>
      </c>
      <c r="F43" s="16">
        <v>2008.0</v>
      </c>
      <c r="G43" s="16">
        <v>50.0457</v>
      </c>
      <c r="H43" s="16">
        <v>7.4788</v>
      </c>
      <c r="I43" s="15"/>
      <c r="J43" s="15"/>
    </row>
    <row r="44">
      <c r="A44" s="18">
        <v>44656.0</v>
      </c>
      <c r="B44" s="16" t="s">
        <v>10482</v>
      </c>
      <c r="C44" s="16">
        <v>32.0</v>
      </c>
      <c r="D44" s="16" t="s">
        <v>10444</v>
      </c>
      <c r="E44" s="16" t="s">
        <v>707</v>
      </c>
      <c r="F44" s="16">
        <v>2009.0</v>
      </c>
      <c r="G44" s="16">
        <v>52.0342</v>
      </c>
      <c r="H44" s="16">
        <v>12.9708</v>
      </c>
      <c r="I44" s="15"/>
      <c r="J44" s="15"/>
    </row>
    <row r="45">
      <c r="A45" s="18">
        <v>44656.0</v>
      </c>
      <c r="B45" s="16" t="s">
        <v>10483</v>
      </c>
      <c r="C45" s="16">
        <v>14.0</v>
      </c>
      <c r="D45" s="16" t="s">
        <v>10444</v>
      </c>
      <c r="E45" s="16" t="s">
        <v>707</v>
      </c>
      <c r="F45" s="16">
        <v>2003.0</v>
      </c>
      <c r="G45" s="16">
        <v>52.6058</v>
      </c>
      <c r="H45" s="16">
        <v>13.7847</v>
      </c>
      <c r="I45" s="15"/>
      <c r="J45" s="15"/>
    </row>
    <row r="46">
      <c r="A46" s="18">
        <v>44656.0</v>
      </c>
      <c r="B46" s="16" t="s">
        <v>10484</v>
      </c>
      <c r="C46" s="16">
        <v>12.0</v>
      </c>
      <c r="D46" s="16" t="s">
        <v>10444</v>
      </c>
      <c r="E46" s="16" t="s">
        <v>707</v>
      </c>
      <c r="F46" s="16">
        <v>2006.0</v>
      </c>
      <c r="G46" s="16">
        <v>52.7336</v>
      </c>
      <c r="H46" s="16">
        <v>11.4497</v>
      </c>
      <c r="I46" s="15"/>
      <c r="J46" s="15"/>
    </row>
    <row r="47">
      <c r="A47" s="18">
        <v>44656.0</v>
      </c>
      <c r="B47" s="16" t="s">
        <v>10485</v>
      </c>
      <c r="C47" s="16">
        <v>32.0</v>
      </c>
      <c r="D47" s="16" t="s">
        <v>10444</v>
      </c>
      <c r="E47" s="16" t="s">
        <v>707</v>
      </c>
      <c r="F47" s="16">
        <v>2006.0</v>
      </c>
      <c r="G47" s="16">
        <v>52.7284</v>
      </c>
      <c r="H47" s="16">
        <v>11.4387</v>
      </c>
      <c r="I47" s="15"/>
      <c r="J47" s="15"/>
    </row>
    <row r="48">
      <c r="A48" s="18">
        <v>45022.0</v>
      </c>
      <c r="B48" s="16" t="s">
        <v>10486</v>
      </c>
      <c r="C48" s="16">
        <v>14.0</v>
      </c>
      <c r="D48" s="16" t="s">
        <v>10444</v>
      </c>
      <c r="E48" s="16" t="s">
        <v>707</v>
      </c>
      <c r="F48" s="16">
        <v>2012.0</v>
      </c>
      <c r="G48" s="16">
        <v>49.765</v>
      </c>
      <c r="H48" s="16">
        <v>8.0644</v>
      </c>
      <c r="I48" s="15"/>
      <c r="J48" s="15"/>
    </row>
    <row r="49">
      <c r="A49" s="18">
        <v>44656.0</v>
      </c>
      <c r="B49" s="16" t="s">
        <v>10487</v>
      </c>
      <c r="C49" s="16">
        <v>30.0</v>
      </c>
      <c r="D49" s="16" t="s">
        <v>10444</v>
      </c>
      <c r="E49" s="16" t="s">
        <v>707</v>
      </c>
      <c r="F49" s="16">
        <v>2018.0</v>
      </c>
      <c r="G49" s="16">
        <v>49.837</v>
      </c>
      <c r="H49" s="16">
        <v>7.0182</v>
      </c>
      <c r="I49" s="15"/>
      <c r="J49" s="15"/>
    </row>
    <row r="50">
      <c r="A50" s="18">
        <v>44656.0</v>
      </c>
      <c r="B50" s="16" t="s">
        <v>10488</v>
      </c>
      <c r="C50" s="16">
        <v>17.0</v>
      </c>
      <c r="D50" s="16" t="s">
        <v>10444</v>
      </c>
      <c r="E50" s="16" t="s">
        <v>707</v>
      </c>
      <c r="F50" s="16">
        <v>2002.0</v>
      </c>
      <c r="G50" s="16">
        <v>53.8311</v>
      </c>
      <c r="H50" s="16">
        <v>12.4808</v>
      </c>
      <c r="I50" s="15"/>
      <c r="J50" s="15"/>
    </row>
    <row r="51">
      <c r="A51" s="18">
        <v>44656.0</v>
      </c>
      <c r="B51" s="16" t="s">
        <v>10489</v>
      </c>
      <c r="C51" s="16">
        <v>11.0</v>
      </c>
      <c r="D51" s="16" t="s">
        <v>10444</v>
      </c>
      <c r="E51" s="16" t="s">
        <v>707</v>
      </c>
      <c r="F51" s="16">
        <v>2002.0</v>
      </c>
      <c r="G51" s="16">
        <v>51.7642</v>
      </c>
      <c r="H51" s="16">
        <v>11.6028</v>
      </c>
      <c r="I51" s="15"/>
      <c r="J51" s="15"/>
    </row>
    <row r="52">
      <c r="A52" s="18">
        <v>44656.0</v>
      </c>
      <c r="B52" s="16" t="s">
        <v>10490</v>
      </c>
      <c r="C52" s="16">
        <v>13.0</v>
      </c>
      <c r="D52" s="16" t="s">
        <v>10444</v>
      </c>
      <c r="E52" s="16" t="s">
        <v>707</v>
      </c>
      <c r="F52" s="16">
        <v>2016.0</v>
      </c>
      <c r="G52" s="16">
        <v>50.7382</v>
      </c>
      <c r="H52" s="16">
        <v>8.9048</v>
      </c>
      <c r="I52" s="15"/>
      <c r="J52" s="15"/>
    </row>
    <row r="53">
      <c r="A53" s="18">
        <v>44656.0</v>
      </c>
      <c r="B53" s="16" t="s">
        <v>10491</v>
      </c>
      <c r="C53" s="16">
        <v>302.0</v>
      </c>
      <c r="D53" s="16" t="s">
        <v>10462</v>
      </c>
      <c r="E53" s="16" t="s">
        <v>707</v>
      </c>
      <c r="F53" s="16">
        <v>2015.0</v>
      </c>
      <c r="G53" s="16">
        <v>54.52</v>
      </c>
      <c r="H53" s="16">
        <v>7.708</v>
      </c>
      <c r="I53" s="15"/>
      <c r="J53" s="15"/>
    </row>
    <row r="54">
      <c r="A54" s="18">
        <v>44656.0</v>
      </c>
      <c r="B54" s="16" t="s">
        <v>10492</v>
      </c>
      <c r="C54" s="16">
        <v>17.0</v>
      </c>
      <c r="D54" s="16" t="s">
        <v>10444</v>
      </c>
      <c r="E54" s="16" t="s">
        <v>707</v>
      </c>
      <c r="F54" s="16">
        <v>2017.0</v>
      </c>
      <c r="G54" s="16">
        <v>47.9594</v>
      </c>
      <c r="H54" s="16">
        <v>8.6766</v>
      </c>
      <c r="I54" s="15"/>
      <c r="J54" s="15"/>
    </row>
    <row r="55">
      <c r="A55" s="18">
        <v>44656.0</v>
      </c>
      <c r="B55" s="16" t="s">
        <v>10493</v>
      </c>
      <c r="C55" s="16">
        <v>26.0</v>
      </c>
      <c r="D55" s="16" t="s">
        <v>10444</v>
      </c>
      <c r="E55" s="16" t="s">
        <v>707</v>
      </c>
      <c r="F55" s="16">
        <v>2003.0</v>
      </c>
      <c r="G55" s="16">
        <v>52.5675</v>
      </c>
      <c r="H55" s="16">
        <v>9.0263</v>
      </c>
      <c r="I55" s="15"/>
      <c r="J55" s="15"/>
    </row>
    <row r="56">
      <c r="A56" s="18">
        <v>44656.0</v>
      </c>
      <c r="B56" s="16" t="s">
        <v>10494</v>
      </c>
      <c r="C56" s="16">
        <v>12.0</v>
      </c>
      <c r="D56" s="16" t="s">
        <v>10444</v>
      </c>
      <c r="E56" s="16" t="s">
        <v>707</v>
      </c>
      <c r="F56" s="16">
        <v>2016.0</v>
      </c>
      <c r="G56" s="16">
        <v>49.4773</v>
      </c>
      <c r="H56" s="16">
        <v>9.5807</v>
      </c>
      <c r="I56" s="15"/>
      <c r="J56" s="15"/>
    </row>
    <row r="57">
      <c r="A57" s="18">
        <v>44999.0</v>
      </c>
      <c r="B57" s="16" t="s">
        <v>10495</v>
      </c>
      <c r="C57" s="16">
        <v>10.0</v>
      </c>
      <c r="D57" s="16" t="s">
        <v>10444</v>
      </c>
      <c r="E57" s="16" t="s">
        <v>707</v>
      </c>
      <c r="F57" s="16">
        <v>2017.0</v>
      </c>
      <c r="G57" s="16">
        <v>49.2446</v>
      </c>
      <c r="H57" s="16">
        <v>10.6373</v>
      </c>
      <c r="I57" s="15"/>
      <c r="J57" s="15"/>
    </row>
    <row r="58">
      <c r="A58" s="18">
        <v>45351.0</v>
      </c>
      <c r="B58" s="16" t="s">
        <v>10496</v>
      </c>
      <c r="C58" s="16">
        <v>11.0</v>
      </c>
      <c r="D58" s="16" t="s">
        <v>10444</v>
      </c>
      <c r="E58" s="16" t="s">
        <v>707</v>
      </c>
      <c r="F58" s="16">
        <v>2023.0</v>
      </c>
      <c r="G58" s="16">
        <v>51.7356</v>
      </c>
      <c r="H58" s="16">
        <v>7.2729</v>
      </c>
      <c r="I58" s="15"/>
      <c r="J58" s="15"/>
    </row>
    <row r="59">
      <c r="A59" s="18">
        <v>44656.0</v>
      </c>
      <c r="B59" s="16" t="s">
        <v>10497</v>
      </c>
      <c r="C59" s="16">
        <v>12.0</v>
      </c>
      <c r="D59" s="16" t="s">
        <v>10444</v>
      </c>
      <c r="E59" s="16" t="s">
        <v>707</v>
      </c>
      <c r="F59" s="16">
        <v>2014.0</v>
      </c>
      <c r="G59" s="16">
        <v>53.5812</v>
      </c>
      <c r="H59" s="16">
        <v>8.0268</v>
      </c>
      <c r="I59" s="15"/>
      <c r="J59" s="15"/>
    </row>
    <row r="60">
      <c r="A60" s="18">
        <v>44656.0</v>
      </c>
      <c r="B60" s="16" t="s">
        <v>10498</v>
      </c>
      <c r="C60" s="16">
        <v>35.0</v>
      </c>
      <c r="D60" s="16" t="s">
        <v>10444</v>
      </c>
      <c r="E60" s="16" t="s">
        <v>707</v>
      </c>
      <c r="F60" s="16">
        <v>2001.0</v>
      </c>
      <c r="G60" s="16">
        <v>53.4563</v>
      </c>
      <c r="H60" s="16">
        <v>9.5942</v>
      </c>
      <c r="I60" s="15"/>
      <c r="J60" s="15"/>
    </row>
    <row r="61">
      <c r="A61" s="18">
        <v>44656.0</v>
      </c>
      <c r="B61" s="16" t="s">
        <v>10499</v>
      </c>
      <c r="C61" s="16">
        <v>11.0</v>
      </c>
      <c r="D61" s="16" t="s">
        <v>10444</v>
      </c>
      <c r="E61" s="16" t="s">
        <v>707</v>
      </c>
      <c r="F61" s="16">
        <v>2015.0</v>
      </c>
      <c r="G61" s="16">
        <v>53.4565</v>
      </c>
      <c r="H61" s="16">
        <v>8.921</v>
      </c>
      <c r="I61" s="15"/>
      <c r="J61" s="15"/>
    </row>
    <row r="62">
      <c r="A62" s="18">
        <v>45351.0</v>
      </c>
      <c r="B62" s="16" t="s">
        <v>10500</v>
      </c>
      <c r="C62" s="16">
        <v>257.0</v>
      </c>
      <c r="D62" s="16" t="s">
        <v>10462</v>
      </c>
      <c r="E62" s="16" t="s">
        <v>707</v>
      </c>
      <c r="F62" s="16">
        <v>2023.0</v>
      </c>
      <c r="G62" s="16">
        <v>54.8202</v>
      </c>
      <c r="H62" s="16">
        <v>13.6335</v>
      </c>
      <c r="I62" s="15"/>
      <c r="J62" s="15"/>
    </row>
    <row r="63">
      <c r="A63" s="18">
        <v>45369.0</v>
      </c>
      <c r="B63" s="16" t="s">
        <v>10501</v>
      </c>
      <c r="C63" s="16">
        <v>14.0</v>
      </c>
      <c r="D63" s="16" t="s">
        <v>10444</v>
      </c>
      <c r="E63" s="16" t="s">
        <v>707</v>
      </c>
      <c r="F63" s="16">
        <v>2022.0</v>
      </c>
      <c r="G63" s="16">
        <v>51.0404</v>
      </c>
      <c r="H63" s="16">
        <v>8.4364</v>
      </c>
      <c r="I63" s="15"/>
      <c r="J63" s="15"/>
    </row>
    <row r="64">
      <c r="A64" s="18">
        <v>44656.0</v>
      </c>
      <c r="B64" s="16" t="s">
        <v>10502</v>
      </c>
      <c r="C64" s="16">
        <v>384.0</v>
      </c>
      <c r="D64" s="16" t="s">
        <v>10462</v>
      </c>
      <c r="E64" s="16" t="s">
        <v>707</v>
      </c>
      <c r="F64" s="16">
        <v>2019.0</v>
      </c>
      <c r="G64" s="16">
        <v>54.78</v>
      </c>
      <c r="H64" s="16">
        <v>14.12</v>
      </c>
      <c r="I64" s="15"/>
      <c r="J64" s="15"/>
    </row>
    <row r="65">
      <c r="A65" s="18">
        <v>44656.0</v>
      </c>
      <c r="B65" s="16" t="s">
        <v>10503</v>
      </c>
      <c r="C65" s="16">
        <v>32.0</v>
      </c>
      <c r="D65" s="16" t="s">
        <v>10444</v>
      </c>
      <c r="E65" s="16" t="s">
        <v>707</v>
      </c>
      <c r="F65" s="16">
        <v>2001.0</v>
      </c>
      <c r="G65" s="16">
        <v>52.6745</v>
      </c>
      <c r="H65" s="16">
        <v>12.0035</v>
      </c>
      <c r="I65" s="15"/>
      <c r="J65" s="15"/>
    </row>
    <row r="66">
      <c r="A66" s="18">
        <v>44656.0</v>
      </c>
      <c r="B66" s="16" t="s">
        <v>10503</v>
      </c>
      <c r="C66" s="16">
        <v>86.0</v>
      </c>
      <c r="D66" s="16" t="s">
        <v>10444</v>
      </c>
      <c r="E66" s="16" t="s">
        <v>707</v>
      </c>
      <c r="F66" s="16">
        <v>2001.0</v>
      </c>
      <c r="G66" s="16">
        <v>52.6745</v>
      </c>
      <c r="H66" s="16">
        <v>12.0035</v>
      </c>
      <c r="I66" s="15"/>
      <c r="J66" s="15"/>
    </row>
    <row r="67">
      <c r="A67" s="18">
        <v>44656.0</v>
      </c>
      <c r="B67" s="16" t="s">
        <v>10504</v>
      </c>
      <c r="C67" s="16">
        <v>12.0</v>
      </c>
      <c r="D67" s="16" t="s">
        <v>10444</v>
      </c>
      <c r="E67" s="16" t="s">
        <v>707</v>
      </c>
      <c r="F67" s="16">
        <v>2002.0</v>
      </c>
      <c r="G67" s="16">
        <v>51.3628</v>
      </c>
      <c r="H67" s="16">
        <v>11.2935</v>
      </c>
      <c r="I67" s="15"/>
      <c r="J67" s="15"/>
    </row>
    <row r="68">
      <c r="A68" s="18">
        <v>44656.0</v>
      </c>
      <c r="B68" s="16" t="s">
        <v>10505</v>
      </c>
      <c r="C68" s="16">
        <v>11.0</v>
      </c>
      <c r="D68" s="16" t="s">
        <v>10444</v>
      </c>
      <c r="E68" s="16" t="s">
        <v>707</v>
      </c>
      <c r="F68" s="16">
        <v>2018.0</v>
      </c>
      <c r="G68" s="16">
        <v>50.1707</v>
      </c>
      <c r="H68" s="16">
        <v>6.1985</v>
      </c>
      <c r="I68" s="15"/>
      <c r="J68" s="15"/>
    </row>
    <row r="69">
      <c r="A69" s="18">
        <v>44656.0</v>
      </c>
      <c r="B69" s="16" t="s">
        <v>10506</v>
      </c>
      <c r="C69" s="16">
        <v>22.0</v>
      </c>
      <c r="D69" s="16" t="s">
        <v>10444</v>
      </c>
      <c r="E69" s="16" t="s">
        <v>707</v>
      </c>
      <c r="F69" s="16">
        <v>2019.0</v>
      </c>
      <c r="G69" s="16">
        <v>50.1259</v>
      </c>
      <c r="H69" s="16">
        <v>6.3243</v>
      </c>
      <c r="I69" s="15"/>
      <c r="J69" s="15"/>
    </row>
    <row r="70">
      <c r="A70" s="18">
        <v>44656.0</v>
      </c>
      <c r="B70" s="16" t="s">
        <v>10507</v>
      </c>
      <c r="C70" s="16">
        <v>22.0</v>
      </c>
      <c r="D70" s="16" t="s">
        <v>10444</v>
      </c>
      <c r="E70" s="16" t="s">
        <v>707</v>
      </c>
      <c r="F70" s="16">
        <v>2019.0</v>
      </c>
      <c r="G70" s="16">
        <v>50.1273</v>
      </c>
      <c r="H70" s="16">
        <v>6.3156</v>
      </c>
      <c r="I70" s="15"/>
      <c r="J70" s="15"/>
    </row>
    <row r="71">
      <c r="A71" s="18">
        <v>44656.0</v>
      </c>
      <c r="B71" s="16" t="s">
        <v>10508</v>
      </c>
      <c r="C71" s="16">
        <v>20.0</v>
      </c>
      <c r="D71" s="16" t="s">
        <v>10444</v>
      </c>
      <c r="E71" s="16" t="s">
        <v>707</v>
      </c>
      <c r="F71" s="16">
        <v>2009.0</v>
      </c>
      <c r="G71" s="16">
        <v>51.8031</v>
      </c>
      <c r="H71" s="16">
        <v>11.4914</v>
      </c>
      <c r="I71" s="15"/>
      <c r="J71" s="15"/>
    </row>
    <row r="72">
      <c r="A72" s="18">
        <v>44656.0</v>
      </c>
      <c r="B72" s="16" t="s">
        <v>10509</v>
      </c>
      <c r="C72" s="16">
        <v>14.0</v>
      </c>
      <c r="D72" s="16" t="s">
        <v>10444</v>
      </c>
      <c r="E72" s="16" t="s">
        <v>707</v>
      </c>
      <c r="F72" s="16">
        <v>2003.0</v>
      </c>
      <c r="G72" s="16">
        <v>51.8019</v>
      </c>
      <c r="H72" s="16">
        <v>11.4912</v>
      </c>
      <c r="I72" s="15"/>
      <c r="J72" s="15"/>
    </row>
    <row r="73">
      <c r="A73" s="18">
        <v>44656.0</v>
      </c>
      <c r="B73" s="16" t="s">
        <v>10510</v>
      </c>
      <c r="C73" s="16">
        <v>20.0</v>
      </c>
      <c r="D73" s="16" t="s">
        <v>10444</v>
      </c>
      <c r="E73" s="16" t="s">
        <v>707</v>
      </c>
      <c r="F73" s="16">
        <v>2007.0</v>
      </c>
      <c r="G73" s="16">
        <v>51.4316</v>
      </c>
      <c r="H73" s="16">
        <v>11.7118</v>
      </c>
      <c r="I73" s="15"/>
      <c r="J73" s="15"/>
    </row>
    <row r="74">
      <c r="A74" s="18">
        <v>44656.0</v>
      </c>
      <c r="B74" s="16" t="s">
        <v>10511</v>
      </c>
      <c r="C74" s="16">
        <v>27.0</v>
      </c>
      <c r="D74" s="16" t="s">
        <v>10444</v>
      </c>
      <c r="E74" s="16" t="s">
        <v>707</v>
      </c>
      <c r="F74" s="16">
        <v>2015.0</v>
      </c>
      <c r="G74" s="16">
        <v>51.6346</v>
      </c>
      <c r="H74" s="16">
        <v>8.9222</v>
      </c>
      <c r="I74" s="15"/>
      <c r="J74" s="15"/>
    </row>
    <row r="75">
      <c r="A75" s="18">
        <v>44656.0</v>
      </c>
      <c r="B75" s="16" t="s">
        <v>10512</v>
      </c>
      <c r="C75" s="16">
        <v>17.0</v>
      </c>
      <c r="D75" s="16" t="s">
        <v>10444</v>
      </c>
      <c r="E75" s="16" t="s">
        <v>707</v>
      </c>
      <c r="F75" s="16">
        <v>2017.0</v>
      </c>
      <c r="G75" s="16">
        <v>50.636</v>
      </c>
      <c r="H75" s="16">
        <v>8.4654</v>
      </c>
      <c r="I75" s="15"/>
      <c r="J75" s="15"/>
    </row>
    <row r="76">
      <c r="A76" s="18">
        <v>45002.0</v>
      </c>
      <c r="B76" s="16" t="s">
        <v>10513</v>
      </c>
      <c r="C76" s="16">
        <v>10.0</v>
      </c>
      <c r="D76" s="16" t="s">
        <v>10444</v>
      </c>
      <c r="E76" s="16" t="s">
        <v>707</v>
      </c>
      <c r="F76" s="16">
        <v>2017.0</v>
      </c>
      <c r="G76" s="16">
        <v>49.2859</v>
      </c>
      <c r="H76" s="16">
        <v>7.3606</v>
      </c>
      <c r="I76" s="15"/>
      <c r="J76" s="15"/>
    </row>
    <row r="77">
      <c r="A77" s="18">
        <v>44985.0</v>
      </c>
      <c r="B77" s="16" t="s">
        <v>10514</v>
      </c>
      <c r="C77" s="16">
        <v>17.0</v>
      </c>
      <c r="D77" s="16" t="s">
        <v>10444</v>
      </c>
      <c r="E77" s="16" t="s">
        <v>707</v>
      </c>
      <c r="F77" s="16">
        <v>2021.0</v>
      </c>
      <c r="G77" s="16">
        <v>54.1024</v>
      </c>
      <c r="H77" s="16">
        <v>9.8153</v>
      </c>
      <c r="I77" s="15"/>
      <c r="J77" s="15"/>
    </row>
    <row r="78">
      <c r="A78" s="18">
        <v>45034.0</v>
      </c>
      <c r="B78" s="16" t="s">
        <v>10515</v>
      </c>
      <c r="C78" s="16">
        <v>22.0</v>
      </c>
      <c r="D78" s="16" t="s">
        <v>10444</v>
      </c>
      <c r="E78" s="16" t="s">
        <v>707</v>
      </c>
      <c r="F78" s="16">
        <v>2022.0</v>
      </c>
      <c r="G78" s="16">
        <v>51.6494</v>
      </c>
      <c r="H78" s="16">
        <v>14.2919</v>
      </c>
      <c r="I78" s="15"/>
      <c r="J78" s="15"/>
    </row>
    <row r="79">
      <c r="A79" s="18">
        <v>45022.0</v>
      </c>
      <c r="B79" s="16" t="s">
        <v>10516</v>
      </c>
      <c r="C79" s="16">
        <v>11.0</v>
      </c>
      <c r="D79" s="16" t="s">
        <v>10444</v>
      </c>
      <c r="E79" s="16" t="s">
        <v>707</v>
      </c>
      <c r="F79" s="16">
        <v>1999.0</v>
      </c>
      <c r="G79" s="16">
        <v>52.0895</v>
      </c>
      <c r="H79" s="16">
        <v>11.114</v>
      </c>
      <c r="I79" s="15"/>
      <c r="J79" s="15"/>
    </row>
    <row r="80">
      <c r="A80" s="18">
        <v>44656.0</v>
      </c>
      <c r="B80" s="16" t="s">
        <v>10517</v>
      </c>
      <c r="C80" s="16">
        <v>46.0</v>
      </c>
      <c r="D80" s="16" t="s">
        <v>10444</v>
      </c>
      <c r="E80" s="16" t="s">
        <v>707</v>
      </c>
      <c r="F80" s="16">
        <v>2012.0</v>
      </c>
      <c r="G80" s="16">
        <v>53.3728</v>
      </c>
      <c r="H80" s="16">
        <v>9.5</v>
      </c>
      <c r="I80" s="15"/>
      <c r="J80" s="15"/>
    </row>
    <row r="81">
      <c r="A81" s="18">
        <v>44656.0</v>
      </c>
      <c r="B81" s="16" t="s">
        <v>10518</v>
      </c>
      <c r="C81" s="16">
        <v>11.0</v>
      </c>
      <c r="D81" s="16" t="s">
        <v>10444</v>
      </c>
      <c r="E81" s="16" t="s">
        <v>707</v>
      </c>
      <c r="F81" s="16">
        <v>2018.0</v>
      </c>
      <c r="G81" s="16">
        <v>52.3215</v>
      </c>
      <c r="H81" s="16">
        <v>7.084</v>
      </c>
      <c r="I81" s="15"/>
      <c r="J81" s="15"/>
    </row>
    <row r="82">
      <c r="A82" s="18">
        <v>44656.0</v>
      </c>
      <c r="B82" s="16" t="s">
        <v>10519</v>
      </c>
      <c r="C82" s="16">
        <v>12.0</v>
      </c>
      <c r="D82" s="16" t="s">
        <v>10444</v>
      </c>
      <c r="E82" s="16" t="s">
        <v>707</v>
      </c>
      <c r="F82" s="16">
        <v>2007.0</v>
      </c>
      <c r="G82" s="16">
        <v>51.2852</v>
      </c>
      <c r="H82" s="16">
        <v>9.2128</v>
      </c>
      <c r="I82" s="15"/>
      <c r="J82" s="15"/>
    </row>
    <row r="83">
      <c r="A83" s="18">
        <v>44656.0</v>
      </c>
      <c r="B83" s="16" t="s">
        <v>10520</v>
      </c>
      <c r="C83" s="16">
        <v>15.0</v>
      </c>
      <c r="D83" s="16" t="s">
        <v>10444</v>
      </c>
      <c r="E83" s="16" t="s">
        <v>707</v>
      </c>
      <c r="F83" s="16">
        <v>2014.0</v>
      </c>
      <c r="G83" s="16">
        <v>50.9028</v>
      </c>
      <c r="H83" s="16">
        <v>9.6946</v>
      </c>
      <c r="I83" s="15"/>
      <c r="J83" s="15"/>
    </row>
    <row r="84">
      <c r="A84" s="18">
        <v>44656.0</v>
      </c>
      <c r="B84" s="16" t="s">
        <v>10521</v>
      </c>
      <c r="C84" s="16">
        <v>19.0</v>
      </c>
      <c r="D84" s="16" t="s">
        <v>10444</v>
      </c>
      <c r="E84" s="16" t="s">
        <v>707</v>
      </c>
      <c r="F84" s="16">
        <v>2013.0</v>
      </c>
      <c r="G84" s="16">
        <v>50.9027</v>
      </c>
      <c r="H84" s="16">
        <v>8.3777</v>
      </c>
      <c r="I84" s="15"/>
      <c r="J84" s="15"/>
    </row>
    <row r="85">
      <c r="A85" s="18">
        <v>44656.0</v>
      </c>
      <c r="B85" s="16" t="s">
        <v>10522</v>
      </c>
      <c r="C85" s="16">
        <v>11.0</v>
      </c>
      <c r="D85" s="16" t="s">
        <v>10444</v>
      </c>
      <c r="E85" s="16" t="s">
        <v>707</v>
      </c>
      <c r="F85" s="16">
        <v>2001.0</v>
      </c>
      <c r="G85" s="16">
        <v>51.0387</v>
      </c>
      <c r="H85" s="16">
        <v>10.6284</v>
      </c>
      <c r="I85" s="15"/>
      <c r="J85" s="15"/>
    </row>
    <row r="86">
      <c r="A86" s="18">
        <v>44656.0</v>
      </c>
      <c r="B86" s="16" t="s">
        <v>10523</v>
      </c>
      <c r="C86" s="16">
        <v>11.0</v>
      </c>
      <c r="D86" s="16" t="s">
        <v>10444</v>
      </c>
      <c r="E86" s="16" t="s">
        <v>707</v>
      </c>
      <c r="F86" s="16">
        <v>2019.0</v>
      </c>
      <c r="G86" s="16">
        <v>48.0203</v>
      </c>
      <c r="H86" s="16">
        <v>9.5691</v>
      </c>
      <c r="I86" s="15"/>
      <c r="J86" s="15"/>
    </row>
    <row r="87">
      <c r="A87" s="18">
        <v>44656.0</v>
      </c>
      <c r="B87" s="16" t="s">
        <v>10524</v>
      </c>
      <c r="C87" s="16">
        <v>20.0</v>
      </c>
      <c r="D87" s="16" t="s">
        <v>10444</v>
      </c>
      <c r="E87" s="16" t="s">
        <v>707</v>
      </c>
      <c r="F87" s="16">
        <v>2006.0</v>
      </c>
      <c r="G87" s="16">
        <v>51.1528</v>
      </c>
      <c r="H87" s="16">
        <v>10.8388</v>
      </c>
      <c r="I87" s="15"/>
      <c r="J87" s="15"/>
    </row>
    <row r="88">
      <c r="A88" s="18">
        <v>44656.0</v>
      </c>
      <c r="B88" s="16" t="s">
        <v>10525</v>
      </c>
      <c r="C88" s="16">
        <v>25.0</v>
      </c>
      <c r="D88" s="16" t="s">
        <v>10444</v>
      </c>
      <c r="E88" s="16" t="s">
        <v>707</v>
      </c>
      <c r="F88" s="16">
        <v>2002.0</v>
      </c>
      <c r="G88" s="16">
        <v>52.6625</v>
      </c>
      <c r="H88" s="16">
        <v>8.0356</v>
      </c>
      <c r="I88" s="15"/>
      <c r="J88" s="15"/>
    </row>
    <row r="89">
      <c r="A89" s="18">
        <v>44656.0</v>
      </c>
      <c r="B89" s="16" t="s">
        <v>10526</v>
      </c>
      <c r="C89" s="16">
        <v>23.0</v>
      </c>
      <c r="D89" s="16" t="s">
        <v>10444</v>
      </c>
      <c r="E89" s="16" t="s">
        <v>707</v>
      </c>
      <c r="F89" s="16">
        <v>2002.0</v>
      </c>
      <c r="G89" s="16">
        <v>52.7431</v>
      </c>
      <c r="H89" s="16">
        <v>11.3514</v>
      </c>
      <c r="I89" s="15"/>
      <c r="J89" s="15"/>
    </row>
    <row r="90">
      <c r="A90" s="18">
        <v>44656.0</v>
      </c>
      <c r="B90" s="16" t="s">
        <v>10527</v>
      </c>
      <c r="C90" s="16">
        <v>10.0</v>
      </c>
      <c r="D90" s="16" t="s">
        <v>10444</v>
      </c>
      <c r="E90" s="16" t="s">
        <v>707</v>
      </c>
      <c r="F90" s="16">
        <v>2005.0</v>
      </c>
      <c r="G90" s="16">
        <v>52.1389</v>
      </c>
      <c r="H90" s="16">
        <v>10.9671</v>
      </c>
      <c r="I90" s="15"/>
      <c r="J90" s="15"/>
    </row>
    <row r="91">
      <c r="A91" s="18">
        <v>44656.0</v>
      </c>
      <c r="B91" s="16" t="s">
        <v>10527</v>
      </c>
      <c r="C91" s="16">
        <v>42.0</v>
      </c>
      <c r="D91" s="16" t="s">
        <v>10444</v>
      </c>
      <c r="E91" s="16" t="s">
        <v>707</v>
      </c>
      <c r="F91" s="15"/>
      <c r="G91" s="16">
        <v>52.1295</v>
      </c>
      <c r="H91" s="16">
        <v>11.1487</v>
      </c>
      <c r="I91" s="15"/>
      <c r="J91" s="15"/>
    </row>
    <row r="92">
      <c r="A92" s="18">
        <v>44656.0</v>
      </c>
      <c r="B92" s="16" t="s">
        <v>10528</v>
      </c>
      <c r="C92" s="16">
        <v>25.0</v>
      </c>
      <c r="D92" s="16" t="s">
        <v>10444</v>
      </c>
      <c r="E92" s="16" t="s">
        <v>707</v>
      </c>
      <c r="F92" s="16">
        <v>2015.0</v>
      </c>
      <c r="G92" s="16">
        <v>53.6292</v>
      </c>
      <c r="H92" s="16">
        <v>11.1234</v>
      </c>
      <c r="I92" s="15"/>
      <c r="J92" s="15"/>
    </row>
    <row r="93">
      <c r="A93" s="18">
        <v>45351.0</v>
      </c>
      <c r="B93" s="16" t="s">
        <v>10529</v>
      </c>
      <c r="C93" s="16">
        <v>14.0</v>
      </c>
      <c r="D93" s="16" t="s">
        <v>10444</v>
      </c>
      <c r="E93" s="16" t="s">
        <v>707</v>
      </c>
      <c r="F93" s="16">
        <v>2023.0</v>
      </c>
      <c r="G93" s="16">
        <v>50.8988</v>
      </c>
      <c r="H93" s="16">
        <v>6.1601</v>
      </c>
      <c r="I93" s="15"/>
      <c r="J93" s="15"/>
    </row>
    <row r="94">
      <c r="A94" s="18">
        <v>44656.0</v>
      </c>
      <c r="B94" s="16" t="s">
        <v>10530</v>
      </c>
      <c r="C94" s="16">
        <v>40.0</v>
      </c>
      <c r="D94" s="16" t="s">
        <v>10444</v>
      </c>
      <c r="E94" s="16" t="s">
        <v>707</v>
      </c>
      <c r="F94" s="16">
        <v>2014.0</v>
      </c>
      <c r="G94" s="16">
        <v>53.354</v>
      </c>
      <c r="H94" s="16">
        <v>7.582</v>
      </c>
      <c r="I94" s="15"/>
      <c r="J94" s="15"/>
    </row>
    <row r="95">
      <c r="A95" s="18">
        <v>44999.0</v>
      </c>
      <c r="B95" s="16" t="s">
        <v>10531</v>
      </c>
      <c r="C95" s="16">
        <v>10.0</v>
      </c>
      <c r="D95" s="16" t="s">
        <v>10444</v>
      </c>
      <c r="E95" s="16" t="s">
        <v>707</v>
      </c>
      <c r="F95" s="16">
        <v>2022.0</v>
      </c>
      <c r="G95" s="16">
        <v>52.7513</v>
      </c>
      <c r="H95" s="16">
        <v>8.1124</v>
      </c>
      <c r="I95" s="15"/>
      <c r="J95" s="15"/>
    </row>
    <row r="96">
      <c r="A96" s="18">
        <v>44656.0</v>
      </c>
      <c r="B96" s="16" t="s">
        <v>10532</v>
      </c>
      <c r="C96" s="16">
        <v>28.0</v>
      </c>
      <c r="D96" s="16" t="s">
        <v>10444</v>
      </c>
      <c r="E96" s="16" t="s">
        <v>707</v>
      </c>
      <c r="F96" s="16">
        <v>2007.0</v>
      </c>
      <c r="G96" s="16">
        <v>52.4583</v>
      </c>
      <c r="H96" s="16">
        <v>7.9382</v>
      </c>
      <c r="I96" s="15"/>
      <c r="J96" s="15"/>
    </row>
    <row r="97">
      <c r="A97" s="18">
        <v>45663.0</v>
      </c>
      <c r="B97" s="16" t="s">
        <v>10533</v>
      </c>
      <c r="C97" s="16">
        <v>476.0</v>
      </c>
      <c r="D97" s="16" t="s">
        <v>10462</v>
      </c>
      <c r="E97" s="16" t="s">
        <v>707</v>
      </c>
      <c r="F97" s="16">
        <v>2024.0</v>
      </c>
      <c r="G97" s="16">
        <v>54.8506</v>
      </c>
      <c r="H97" s="16">
        <v>13.8014</v>
      </c>
      <c r="I97" s="15"/>
      <c r="J97" s="15"/>
    </row>
    <row r="98">
      <c r="A98" s="18">
        <v>45351.0</v>
      </c>
      <c r="B98" s="16" t="s">
        <v>10534</v>
      </c>
      <c r="C98" s="16">
        <v>44.0</v>
      </c>
      <c r="D98" s="16" t="s">
        <v>10444</v>
      </c>
      <c r="E98" s="16" t="s">
        <v>707</v>
      </c>
      <c r="F98" s="16">
        <v>2023.0</v>
      </c>
      <c r="G98" s="16">
        <v>53.0219</v>
      </c>
      <c r="H98" s="16">
        <v>10.8147</v>
      </c>
      <c r="I98" s="15"/>
      <c r="J98" s="15"/>
    </row>
    <row r="99">
      <c r="A99" s="18">
        <v>45663.0</v>
      </c>
      <c r="B99" s="16" t="s">
        <v>10535</v>
      </c>
      <c r="C99" s="16">
        <v>17.0</v>
      </c>
      <c r="D99" s="16" t="s">
        <v>10444</v>
      </c>
      <c r="E99" s="16" t="s">
        <v>707</v>
      </c>
      <c r="F99" s="16">
        <v>2024.0</v>
      </c>
      <c r="G99" s="16">
        <v>52.1776</v>
      </c>
      <c r="H99" s="16">
        <v>10.2883</v>
      </c>
      <c r="I99" s="15"/>
      <c r="J99" s="15"/>
    </row>
    <row r="100">
      <c r="A100" s="18">
        <v>44656.0</v>
      </c>
      <c r="B100" s="16" t="s">
        <v>10536</v>
      </c>
      <c r="C100" s="16">
        <v>400.0</v>
      </c>
      <c r="D100" s="16" t="s">
        <v>10462</v>
      </c>
      <c r="E100" s="16" t="s">
        <v>707</v>
      </c>
      <c r="F100" s="16">
        <v>2013.0</v>
      </c>
      <c r="G100" s="16">
        <v>54.355</v>
      </c>
      <c r="H100" s="16">
        <v>5.98</v>
      </c>
      <c r="I100" s="15"/>
      <c r="J100" s="15"/>
    </row>
    <row r="101">
      <c r="A101" s="18">
        <v>44656.0</v>
      </c>
      <c r="B101" s="16" t="s">
        <v>10537</v>
      </c>
      <c r="C101" s="16">
        <v>14.0</v>
      </c>
      <c r="D101" s="16" t="s">
        <v>10444</v>
      </c>
      <c r="E101" s="16" t="s">
        <v>707</v>
      </c>
      <c r="F101" s="16">
        <v>2019.0</v>
      </c>
      <c r="G101" s="16">
        <v>53.222</v>
      </c>
      <c r="H101" s="16">
        <v>8.3997</v>
      </c>
      <c r="I101" s="15"/>
      <c r="J101" s="15"/>
    </row>
    <row r="102">
      <c r="A102" s="18">
        <v>44656.0</v>
      </c>
      <c r="B102" s="16" t="s">
        <v>10538</v>
      </c>
      <c r="C102" s="16">
        <v>22.0</v>
      </c>
      <c r="D102" s="16" t="s">
        <v>10444</v>
      </c>
      <c r="E102" s="16" t="s">
        <v>707</v>
      </c>
      <c r="F102" s="16">
        <v>2018.0</v>
      </c>
      <c r="G102" s="16">
        <v>53.3071</v>
      </c>
      <c r="H102" s="16">
        <v>10.3518</v>
      </c>
      <c r="I102" s="15"/>
      <c r="J102" s="15"/>
    </row>
    <row r="103">
      <c r="A103" s="18">
        <v>44656.0</v>
      </c>
      <c r="B103" s="16" t="s">
        <v>10539</v>
      </c>
      <c r="C103" s="16">
        <v>16.0</v>
      </c>
      <c r="D103" s="16" t="s">
        <v>10444</v>
      </c>
      <c r="E103" s="16" t="s">
        <v>707</v>
      </c>
      <c r="F103" s="16">
        <v>2018.0</v>
      </c>
      <c r="G103" s="16">
        <v>51.6319</v>
      </c>
      <c r="H103" s="16">
        <v>12.7531</v>
      </c>
      <c r="I103" s="15"/>
      <c r="J103" s="15"/>
    </row>
    <row r="104">
      <c r="A104" s="18">
        <v>44656.0</v>
      </c>
      <c r="B104" s="16" t="s">
        <v>10540</v>
      </c>
      <c r="C104" s="16">
        <v>16.0</v>
      </c>
      <c r="D104" s="16" t="s">
        <v>10444</v>
      </c>
      <c r="E104" s="16" t="s">
        <v>707</v>
      </c>
      <c r="F104" s="16">
        <v>2018.0</v>
      </c>
      <c r="G104" s="16">
        <v>51.6561</v>
      </c>
      <c r="H104" s="16">
        <v>13.3771</v>
      </c>
      <c r="I104" s="15"/>
      <c r="J104" s="15"/>
    </row>
    <row r="105">
      <c r="A105" s="18">
        <v>44656.0</v>
      </c>
      <c r="B105" s="16" t="s">
        <v>10541</v>
      </c>
      <c r="C105" s="16">
        <v>10.0</v>
      </c>
      <c r="D105" s="16" t="s">
        <v>10444</v>
      </c>
      <c r="E105" s="16" t="s">
        <v>707</v>
      </c>
      <c r="F105" s="16">
        <v>2015.0</v>
      </c>
      <c r="G105" s="16">
        <v>54.7373</v>
      </c>
      <c r="H105" s="16">
        <v>9.6707</v>
      </c>
      <c r="I105" s="15"/>
      <c r="J105" s="15"/>
    </row>
    <row r="106">
      <c r="A106" s="18">
        <v>44656.0</v>
      </c>
      <c r="B106" s="16" t="s">
        <v>10542</v>
      </c>
      <c r="C106" s="16">
        <v>33.0</v>
      </c>
      <c r="D106" s="16" t="s">
        <v>10444</v>
      </c>
      <c r="E106" s="16" t="s">
        <v>707</v>
      </c>
      <c r="F106" s="16">
        <v>2014.0</v>
      </c>
      <c r="G106" s="16">
        <v>53.4526</v>
      </c>
      <c r="H106" s="16">
        <v>12.1708</v>
      </c>
      <c r="I106" s="15"/>
      <c r="J106" s="15"/>
    </row>
    <row r="107">
      <c r="A107" s="18">
        <v>44656.0</v>
      </c>
      <c r="B107" s="16" t="s">
        <v>10542</v>
      </c>
      <c r="C107" s="16">
        <v>17.0</v>
      </c>
      <c r="D107" s="16" t="s">
        <v>10444</v>
      </c>
      <c r="E107" s="16" t="s">
        <v>707</v>
      </c>
      <c r="F107" s="16">
        <v>2016.0</v>
      </c>
      <c r="G107" s="16">
        <v>53.4526</v>
      </c>
      <c r="H107" s="16">
        <v>12.1708</v>
      </c>
      <c r="I107" s="15"/>
      <c r="J107" s="15"/>
    </row>
    <row r="108">
      <c r="A108" s="18">
        <v>44656.0</v>
      </c>
      <c r="B108" s="16" t="s">
        <v>10543</v>
      </c>
      <c r="C108" s="16">
        <v>22.0</v>
      </c>
      <c r="D108" s="16" t="s">
        <v>10444</v>
      </c>
      <c r="E108" s="16" t="s">
        <v>707</v>
      </c>
      <c r="F108" s="16">
        <v>2015.0</v>
      </c>
      <c r="G108" s="16">
        <v>54.0019</v>
      </c>
      <c r="H108" s="16">
        <v>9.0715</v>
      </c>
      <c r="I108" s="15"/>
      <c r="J108" s="15"/>
    </row>
    <row r="109">
      <c r="A109" s="18">
        <v>44656.0</v>
      </c>
      <c r="B109" s="16" t="s">
        <v>10544</v>
      </c>
      <c r="C109" s="16">
        <v>14.0</v>
      </c>
      <c r="D109" s="16" t="s">
        <v>10444</v>
      </c>
      <c r="E109" s="16" t="s">
        <v>707</v>
      </c>
      <c r="F109" s="16">
        <v>2012.0</v>
      </c>
      <c r="G109" s="16">
        <v>54.0129</v>
      </c>
      <c r="H109" s="16">
        <v>9.0169</v>
      </c>
      <c r="I109" s="15"/>
      <c r="J109" s="15"/>
    </row>
    <row r="110">
      <c r="A110" s="18">
        <v>45353.0</v>
      </c>
      <c r="B110" s="16" t="s">
        <v>10545</v>
      </c>
      <c r="C110" s="16">
        <v>32.0</v>
      </c>
      <c r="D110" s="16" t="s">
        <v>10444</v>
      </c>
      <c r="E110" s="16" t="s">
        <v>707</v>
      </c>
      <c r="F110" s="16">
        <v>2009.0</v>
      </c>
      <c r="G110" s="16">
        <v>53.1235</v>
      </c>
      <c r="H110" s="16">
        <v>9.5128</v>
      </c>
      <c r="I110" s="15"/>
      <c r="J110" s="15"/>
    </row>
    <row r="111">
      <c r="A111" s="18">
        <v>45351.0</v>
      </c>
      <c r="B111" s="16" t="s">
        <v>10545</v>
      </c>
      <c r="C111" s="16">
        <v>28.0</v>
      </c>
      <c r="D111" s="16" t="s">
        <v>10444</v>
      </c>
      <c r="E111" s="16" t="s">
        <v>707</v>
      </c>
      <c r="F111" s="16">
        <v>2023.0</v>
      </c>
      <c r="G111" s="16">
        <v>53.1191</v>
      </c>
      <c r="H111" s="16">
        <v>9.4985</v>
      </c>
      <c r="I111" s="15"/>
      <c r="J111" s="15"/>
    </row>
    <row r="112">
      <c r="A112" s="18">
        <v>44656.0</v>
      </c>
      <c r="B112" s="16" t="s">
        <v>10546</v>
      </c>
      <c r="C112" s="16">
        <v>14.0</v>
      </c>
      <c r="D112" s="16" t="s">
        <v>10444</v>
      </c>
      <c r="E112" s="16" t="s">
        <v>707</v>
      </c>
      <c r="F112" s="16">
        <v>2018.0</v>
      </c>
      <c r="G112" s="16">
        <v>53.8293</v>
      </c>
      <c r="H112" s="16">
        <v>13.3237</v>
      </c>
      <c r="I112" s="15"/>
      <c r="J112" s="15"/>
    </row>
    <row r="113">
      <c r="A113" s="18">
        <v>44656.0</v>
      </c>
      <c r="B113" s="16" t="s">
        <v>10547</v>
      </c>
      <c r="C113" s="16">
        <v>10.0</v>
      </c>
      <c r="D113" s="16" t="s">
        <v>10444</v>
      </c>
      <c r="E113" s="16" t="s">
        <v>707</v>
      </c>
      <c r="F113" s="16">
        <v>2002.0</v>
      </c>
      <c r="G113" s="16">
        <v>52.5992</v>
      </c>
      <c r="H113" s="16">
        <v>8.5667</v>
      </c>
      <c r="I113" s="15"/>
      <c r="J113" s="15"/>
    </row>
    <row r="114">
      <c r="A114" s="18">
        <v>44656.0</v>
      </c>
      <c r="B114" s="16" t="s">
        <v>10548</v>
      </c>
      <c r="C114" s="16">
        <v>18.0</v>
      </c>
      <c r="D114" s="16" t="s">
        <v>10444</v>
      </c>
      <c r="E114" s="16" t="s">
        <v>707</v>
      </c>
      <c r="F114" s="16">
        <v>2003.0</v>
      </c>
      <c r="G114" s="16">
        <v>53.4192</v>
      </c>
      <c r="H114" s="16">
        <v>10.5633</v>
      </c>
      <c r="I114" s="15"/>
      <c r="J114" s="15"/>
    </row>
    <row r="115">
      <c r="A115" s="18">
        <v>44656.0</v>
      </c>
      <c r="B115" s="16" t="s">
        <v>10549</v>
      </c>
      <c r="C115" s="16">
        <v>20.0</v>
      </c>
      <c r="D115" s="16" t="s">
        <v>10444</v>
      </c>
      <c r="E115" s="16" t="s">
        <v>707</v>
      </c>
      <c r="F115" s="16">
        <v>1997.0</v>
      </c>
      <c r="G115" s="16">
        <v>53.6942</v>
      </c>
      <c r="H115" s="16">
        <v>7.9283</v>
      </c>
      <c r="I115" s="15"/>
      <c r="J115" s="15"/>
    </row>
    <row r="116">
      <c r="A116" s="18">
        <v>44656.0</v>
      </c>
      <c r="B116" s="16" t="s">
        <v>10549</v>
      </c>
      <c r="C116" s="16">
        <v>30.0</v>
      </c>
      <c r="D116" s="16" t="s">
        <v>10444</v>
      </c>
      <c r="E116" s="16" t="s">
        <v>707</v>
      </c>
      <c r="F116" s="16">
        <v>2014.0</v>
      </c>
      <c r="G116" s="16">
        <v>53.6948</v>
      </c>
      <c r="H116" s="16">
        <v>7.931</v>
      </c>
      <c r="I116" s="15"/>
      <c r="J116" s="15"/>
    </row>
    <row r="117">
      <c r="A117" s="18">
        <v>44656.0</v>
      </c>
      <c r="B117" s="16" t="s">
        <v>10550</v>
      </c>
      <c r="C117" s="16">
        <v>26.0</v>
      </c>
      <c r="D117" s="16" t="s">
        <v>10444</v>
      </c>
      <c r="E117" s="16" t="s">
        <v>707</v>
      </c>
      <c r="F117" s="16">
        <v>2011.0</v>
      </c>
      <c r="G117" s="16">
        <v>52.5944</v>
      </c>
      <c r="H117" s="16">
        <v>7.5367</v>
      </c>
      <c r="I117" s="15"/>
      <c r="J117" s="15"/>
    </row>
    <row r="118">
      <c r="A118" s="18">
        <v>44656.0</v>
      </c>
      <c r="B118" s="16" t="s">
        <v>10551</v>
      </c>
      <c r="C118" s="16">
        <v>12.0</v>
      </c>
      <c r="D118" s="16" t="s">
        <v>10444</v>
      </c>
      <c r="E118" s="16" t="s">
        <v>707</v>
      </c>
      <c r="F118" s="16">
        <v>2013.0</v>
      </c>
      <c r="G118" s="16">
        <v>49.6659</v>
      </c>
      <c r="H118" s="16">
        <v>9.3328</v>
      </c>
      <c r="I118" s="15"/>
      <c r="J118" s="15"/>
    </row>
    <row r="119">
      <c r="A119" s="18">
        <v>44656.0</v>
      </c>
      <c r="B119" s="16" t="s">
        <v>10552</v>
      </c>
      <c r="C119" s="16">
        <v>19.0</v>
      </c>
      <c r="D119" s="16" t="s">
        <v>10444</v>
      </c>
      <c r="E119" s="16" t="s">
        <v>707</v>
      </c>
      <c r="F119" s="16">
        <v>2014.0</v>
      </c>
      <c r="G119" s="16">
        <v>54.8642</v>
      </c>
      <c r="H119" s="16">
        <v>9.1676</v>
      </c>
      <c r="I119" s="15"/>
      <c r="J119" s="15"/>
    </row>
    <row r="120">
      <c r="A120" s="18">
        <v>44656.0</v>
      </c>
      <c r="B120" s="16" t="s">
        <v>10553</v>
      </c>
      <c r="C120" s="16">
        <v>15.0</v>
      </c>
      <c r="D120" s="16" t="s">
        <v>10444</v>
      </c>
      <c r="E120" s="16" t="s">
        <v>707</v>
      </c>
      <c r="F120" s="16">
        <v>2015.0</v>
      </c>
      <c r="G120" s="16">
        <v>54.0124</v>
      </c>
      <c r="H120" s="16">
        <v>9.0566</v>
      </c>
      <c r="I120" s="15"/>
      <c r="J120" s="15"/>
    </row>
    <row r="121">
      <c r="A121" s="18">
        <v>45020.0</v>
      </c>
      <c r="B121" s="16" t="s">
        <v>10554</v>
      </c>
      <c r="C121" s="16">
        <v>16.0</v>
      </c>
      <c r="D121" s="16" t="s">
        <v>10444</v>
      </c>
      <c r="E121" s="16" t="s">
        <v>707</v>
      </c>
      <c r="F121" s="16">
        <v>2020.0</v>
      </c>
      <c r="G121" s="16">
        <v>51.7247</v>
      </c>
      <c r="H121" s="16">
        <v>7.993</v>
      </c>
      <c r="I121" s="15"/>
      <c r="J121" s="15"/>
    </row>
    <row r="122">
      <c r="A122" s="18">
        <v>44656.0</v>
      </c>
      <c r="B122" s="16" t="s">
        <v>10555</v>
      </c>
      <c r="C122" s="16">
        <v>24.0</v>
      </c>
      <c r="D122" s="16" t="s">
        <v>10444</v>
      </c>
      <c r="E122" s="16" t="s">
        <v>707</v>
      </c>
      <c r="F122" s="16">
        <v>2006.0</v>
      </c>
      <c r="G122" s="16">
        <v>51.0271</v>
      </c>
      <c r="H122" s="16">
        <v>6.4904</v>
      </c>
      <c r="I122" s="15"/>
      <c r="J122" s="15"/>
    </row>
    <row r="123">
      <c r="A123" s="18">
        <v>44656.0</v>
      </c>
      <c r="B123" s="16" t="s">
        <v>10556</v>
      </c>
      <c r="C123" s="16">
        <v>67.0</v>
      </c>
      <c r="D123" s="16" t="s">
        <v>10444</v>
      </c>
      <c r="E123" s="16" t="s">
        <v>707</v>
      </c>
      <c r="F123" s="16">
        <v>2015.0</v>
      </c>
      <c r="G123" s="16">
        <v>51.0404</v>
      </c>
      <c r="H123" s="16">
        <v>6.5262</v>
      </c>
      <c r="I123" s="15"/>
      <c r="J123" s="15"/>
    </row>
    <row r="124">
      <c r="A124" s="18">
        <v>45369.0</v>
      </c>
      <c r="B124" s="16" t="s">
        <v>10556</v>
      </c>
      <c r="C124" s="16">
        <v>29.0</v>
      </c>
      <c r="D124" s="16" t="s">
        <v>10444</v>
      </c>
      <c r="E124" s="16" t="s">
        <v>707</v>
      </c>
      <c r="F124" s="16">
        <v>2022.0</v>
      </c>
      <c r="G124" s="16">
        <v>51.0391</v>
      </c>
      <c r="H124" s="16">
        <v>6.5075</v>
      </c>
      <c r="I124" s="15"/>
      <c r="J124" s="15"/>
    </row>
    <row r="125">
      <c r="A125" s="18">
        <v>44656.0</v>
      </c>
      <c r="B125" s="16" t="s">
        <v>10557</v>
      </c>
      <c r="C125" s="16">
        <v>15.0</v>
      </c>
      <c r="D125" s="16" t="s">
        <v>10444</v>
      </c>
      <c r="E125" s="16" t="s">
        <v>707</v>
      </c>
      <c r="F125" s="16">
        <v>2017.0</v>
      </c>
      <c r="G125" s="16">
        <v>52.6385</v>
      </c>
      <c r="H125" s="16">
        <v>10.2739</v>
      </c>
      <c r="I125" s="15"/>
      <c r="J125" s="15"/>
    </row>
    <row r="126">
      <c r="A126" s="18">
        <v>44993.0</v>
      </c>
      <c r="B126" s="16" t="s">
        <v>10558</v>
      </c>
      <c r="C126" s="16">
        <v>11.0</v>
      </c>
      <c r="D126" s="16" t="s">
        <v>10444</v>
      </c>
      <c r="E126" s="16" t="s">
        <v>707</v>
      </c>
      <c r="F126" s="16">
        <v>2022.0</v>
      </c>
      <c r="G126" s="16">
        <v>52.4419</v>
      </c>
      <c r="H126" s="16">
        <v>14.0427</v>
      </c>
      <c r="I126" s="15"/>
      <c r="J126" s="15"/>
    </row>
    <row r="127">
      <c r="A127" s="18">
        <v>44656.0</v>
      </c>
      <c r="B127" s="16" t="s">
        <v>10559</v>
      </c>
      <c r="C127" s="16">
        <v>41.0</v>
      </c>
      <c r="D127" s="16" t="s">
        <v>10444</v>
      </c>
      <c r="E127" s="16" t="s">
        <v>707</v>
      </c>
      <c r="F127" s="16">
        <v>2018.0</v>
      </c>
      <c r="G127" s="16">
        <v>53.3943</v>
      </c>
      <c r="H127" s="16">
        <v>13.8414</v>
      </c>
      <c r="I127" s="15"/>
      <c r="J127" s="15"/>
    </row>
    <row r="128">
      <c r="A128" s="18">
        <v>45013.0</v>
      </c>
      <c r="B128" s="16" t="s">
        <v>10559</v>
      </c>
      <c r="C128" s="16">
        <v>11.0</v>
      </c>
      <c r="D128" s="16" t="s">
        <v>10444</v>
      </c>
      <c r="E128" s="16" t="s">
        <v>707</v>
      </c>
      <c r="F128" s="16">
        <v>2021.0</v>
      </c>
      <c r="G128" s="16">
        <v>53.3999</v>
      </c>
      <c r="H128" s="16">
        <v>13.8343</v>
      </c>
      <c r="I128" s="15"/>
      <c r="J128" s="15"/>
    </row>
    <row r="129">
      <c r="A129" s="18">
        <v>44656.0</v>
      </c>
      <c r="B129" s="16" t="s">
        <v>10560</v>
      </c>
      <c r="C129" s="16">
        <v>12.0</v>
      </c>
      <c r="D129" s="16" t="s">
        <v>10444</v>
      </c>
      <c r="E129" s="16" t="s">
        <v>707</v>
      </c>
      <c r="F129" s="16">
        <v>2000.0</v>
      </c>
      <c r="G129" s="16">
        <v>51.3425</v>
      </c>
      <c r="H129" s="16">
        <v>11.4223</v>
      </c>
      <c r="I129" s="15"/>
      <c r="J129" s="15"/>
    </row>
    <row r="130">
      <c r="A130" s="18">
        <v>44656.0</v>
      </c>
      <c r="B130" s="16" t="s">
        <v>10560</v>
      </c>
      <c r="C130" s="16">
        <v>14.0</v>
      </c>
      <c r="D130" s="16" t="s">
        <v>10444</v>
      </c>
      <c r="E130" s="16" t="s">
        <v>707</v>
      </c>
      <c r="F130" s="15"/>
      <c r="G130" s="16">
        <v>51.57</v>
      </c>
      <c r="H130" s="16">
        <v>11.7</v>
      </c>
      <c r="I130" s="15"/>
      <c r="J130" s="15"/>
    </row>
    <row r="131">
      <c r="A131" s="18">
        <v>44656.0</v>
      </c>
      <c r="B131" s="16" t="s">
        <v>10560</v>
      </c>
      <c r="C131" s="16">
        <v>10.0</v>
      </c>
      <c r="D131" s="16" t="s">
        <v>10444</v>
      </c>
      <c r="E131" s="16" t="s">
        <v>707</v>
      </c>
      <c r="F131" s="16">
        <v>2004.0</v>
      </c>
      <c r="G131" s="16">
        <v>51.5803</v>
      </c>
      <c r="H131" s="16">
        <v>11.7114</v>
      </c>
      <c r="I131" s="15"/>
      <c r="J131" s="15"/>
    </row>
    <row r="132">
      <c r="A132" s="18">
        <v>44656.0</v>
      </c>
      <c r="B132" s="16" t="s">
        <v>10560</v>
      </c>
      <c r="C132" s="16">
        <v>12.0</v>
      </c>
      <c r="D132" s="16" t="s">
        <v>10444</v>
      </c>
      <c r="E132" s="16" t="s">
        <v>707</v>
      </c>
      <c r="F132" s="16">
        <v>2010.0</v>
      </c>
      <c r="G132" s="16">
        <v>51.5831</v>
      </c>
      <c r="H132" s="16">
        <v>11.72</v>
      </c>
      <c r="I132" s="15"/>
      <c r="J132" s="15"/>
    </row>
    <row r="133">
      <c r="A133" s="18">
        <v>44656.0</v>
      </c>
      <c r="B133" s="16" t="s">
        <v>10561</v>
      </c>
      <c r="C133" s="16">
        <v>14.0</v>
      </c>
      <c r="D133" s="16" t="s">
        <v>10444</v>
      </c>
      <c r="E133" s="16" t="s">
        <v>707</v>
      </c>
      <c r="F133" s="16">
        <v>2003.0</v>
      </c>
      <c r="G133" s="16">
        <v>52.2035</v>
      </c>
      <c r="H133" s="16">
        <v>14.2439</v>
      </c>
      <c r="I133" s="15"/>
      <c r="J133" s="15"/>
    </row>
    <row r="134">
      <c r="A134" s="18">
        <v>44656.0</v>
      </c>
      <c r="B134" s="16" t="s">
        <v>10562</v>
      </c>
      <c r="C134" s="16">
        <v>20.0</v>
      </c>
      <c r="D134" s="16" t="s">
        <v>10444</v>
      </c>
      <c r="E134" s="16" t="s">
        <v>707</v>
      </c>
      <c r="F134" s="16">
        <v>2002.0</v>
      </c>
      <c r="G134" s="16">
        <v>52.191</v>
      </c>
      <c r="H134" s="16">
        <v>14.2146</v>
      </c>
      <c r="I134" s="15"/>
      <c r="J134" s="15"/>
    </row>
    <row r="135">
      <c r="A135" s="18">
        <v>44656.0</v>
      </c>
      <c r="B135" s="16" t="s">
        <v>10563</v>
      </c>
      <c r="C135" s="16">
        <v>16.0</v>
      </c>
      <c r="D135" s="16" t="s">
        <v>10444</v>
      </c>
      <c r="E135" s="16" t="s">
        <v>707</v>
      </c>
      <c r="F135" s="16">
        <v>2013.0</v>
      </c>
      <c r="G135" s="16">
        <v>53.8352</v>
      </c>
      <c r="H135" s="16">
        <v>13.0283</v>
      </c>
      <c r="I135" s="15"/>
      <c r="J135" s="15"/>
    </row>
    <row r="136">
      <c r="A136" s="18">
        <v>44656.0</v>
      </c>
      <c r="B136" s="16" t="s">
        <v>10564</v>
      </c>
      <c r="C136" s="16">
        <v>18.0</v>
      </c>
      <c r="D136" s="16" t="s">
        <v>10444</v>
      </c>
      <c r="E136" s="16" t="s">
        <v>707</v>
      </c>
      <c r="F136" s="16">
        <v>2012.0</v>
      </c>
      <c r="G136" s="16">
        <v>54.5736</v>
      </c>
      <c r="H136" s="16">
        <v>9.2135</v>
      </c>
      <c r="I136" s="15"/>
      <c r="J136" s="15"/>
    </row>
    <row r="137">
      <c r="A137" s="18">
        <v>45020.0</v>
      </c>
      <c r="B137" s="16" t="s">
        <v>10564</v>
      </c>
      <c r="C137" s="16">
        <v>19.0</v>
      </c>
      <c r="D137" s="16" t="s">
        <v>10444</v>
      </c>
      <c r="E137" s="16" t="s">
        <v>707</v>
      </c>
      <c r="F137" s="16">
        <v>2015.0</v>
      </c>
      <c r="G137" s="16">
        <v>54.58</v>
      </c>
      <c r="H137" s="16">
        <v>9.2123</v>
      </c>
      <c r="I137" s="15"/>
      <c r="J137" s="15"/>
    </row>
    <row r="138">
      <c r="A138" s="18">
        <v>44656.0</v>
      </c>
      <c r="B138" s="16" t="s">
        <v>10565</v>
      </c>
      <c r="C138" s="16">
        <v>15.0</v>
      </c>
      <c r="D138" s="16" t="s">
        <v>10444</v>
      </c>
      <c r="E138" s="16" t="s">
        <v>707</v>
      </c>
      <c r="F138" s="16">
        <v>2015.0</v>
      </c>
      <c r="G138" s="16">
        <v>53.8694</v>
      </c>
      <c r="H138" s="16">
        <v>9.3862</v>
      </c>
      <c r="I138" s="15"/>
      <c r="J138" s="15"/>
    </row>
    <row r="139">
      <c r="A139" s="18">
        <v>45369.0</v>
      </c>
      <c r="B139" s="16" t="s">
        <v>10566</v>
      </c>
      <c r="C139" s="16">
        <v>11.0</v>
      </c>
      <c r="D139" s="16" t="s">
        <v>10444</v>
      </c>
      <c r="E139" s="16" t="s">
        <v>707</v>
      </c>
      <c r="F139" s="16">
        <v>2022.0</v>
      </c>
      <c r="G139" s="16">
        <v>52.7023</v>
      </c>
      <c r="H139" s="16">
        <v>13.8493</v>
      </c>
      <c r="I139" s="15"/>
      <c r="J139" s="15"/>
    </row>
    <row r="140">
      <c r="A140" s="18">
        <v>44656.0</v>
      </c>
      <c r="B140" s="16" t="s">
        <v>10567</v>
      </c>
      <c r="C140" s="16">
        <v>16.0</v>
      </c>
      <c r="D140" s="16" t="s">
        <v>10444</v>
      </c>
      <c r="E140" s="16" t="s">
        <v>707</v>
      </c>
      <c r="F140" s="16">
        <v>2014.0</v>
      </c>
      <c r="G140" s="16">
        <v>52.6893</v>
      </c>
      <c r="H140" s="16">
        <v>13.8252</v>
      </c>
      <c r="I140" s="15"/>
      <c r="J140" s="15"/>
    </row>
    <row r="141">
      <c r="A141" s="18">
        <v>45351.0</v>
      </c>
      <c r="B141" s="16" t="s">
        <v>10568</v>
      </c>
      <c r="C141" s="16">
        <v>30.0</v>
      </c>
      <c r="D141" s="16" t="s">
        <v>10444</v>
      </c>
      <c r="E141" s="16" t="s">
        <v>707</v>
      </c>
      <c r="F141" s="16">
        <v>2023.0</v>
      </c>
      <c r="G141" s="16">
        <v>51.8845</v>
      </c>
      <c r="H141" s="16">
        <v>9.0656</v>
      </c>
      <c r="I141" s="15"/>
      <c r="J141" s="15"/>
    </row>
    <row r="142">
      <c r="A142" s="18">
        <v>44656.0</v>
      </c>
      <c r="B142" s="16" t="s">
        <v>10569</v>
      </c>
      <c r="C142" s="16">
        <v>16.0</v>
      </c>
      <c r="D142" s="16" t="s">
        <v>10444</v>
      </c>
      <c r="E142" s="16" t="s">
        <v>707</v>
      </c>
      <c r="F142" s="16">
        <v>2013.0</v>
      </c>
      <c r="G142" s="16">
        <v>50.102</v>
      </c>
      <c r="H142" s="16">
        <v>7.4955</v>
      </c>
      <c r="I142" s="15"/>
      <c r="J142" s="15"/>
    </row>
    <row r="143">
      <c r="A143" s="18">
        <v>44656.0</v>
      </c>
      <c r="B143" s="16" t="s">
        <v>10570</v>
      </c>
      <c r="C143" s="16">
        <v>16.0</v>
      </c>
      <c r="D143" s="16" t="s">
        <v>10444</v>
      </c>
      <c r="E143" s="16" t="s">
        <v>707</v>
      </c>
      <c r="F143" s="16">
        <v>2004.0</v>
      </c>
      <c r="G143" s="16">
        <v>53.8009</v>
      </c>
      <c r="H143" s="16">
        <v>8.9903</v>
      </c>
      <c r="I143" s="15"/>
      <c r="J143" s="15"/>
    </row>
    <row r="144">
      <c r="A144" s="18">
        <v>44656.0</v>
      </c>
      <c r="B144" s="16" t="s">
        <v>10571</v>
      </c>
      <c r="C144" s="16">
        <v>12.0</v>
      </c>
      <c r="D144" s="16" t="s">
        <v>10444</v>
      </c>
      <c r="E144" s="16" t="s">
        <v>707</v>
      </c>
      <c r="F144" s="16">
        <v>2014.0</v>
      </c>
      <c r="G144" s="16">
        <v>54.0936</v>
      </c>
      <c r="H144" s="16">
        <v>9.3579</v>
      </c>
      <c r="I144" s="15"/>
      <c r="J144" s="15"/>
    </row>
    <row r="145">
      <c r="A145" s="18">
        <v>44656.0</v>
      </c>
      <c r="B145" s="16" t="s">
        <v>10572</v>
      </c>
      <c r="C145" s="16">
        <v>28.0</v>
      </c>
      <c r="D145" s="16" t="s">
        <v>10444</v>
      </c>
      <c r="E145" s="16" t="s">
        <v>707</v>
      </c>
      <c r="F145" s="16">
        <v>2014.0</v>
      </c>
      <c r="G145" s="16">
        <v>54.0587</v>
      </c>
      <c r="H145" s="16">
        <v>9.2334</v>
      </c>
      <c r="I145" s="15"/>
      <c r="J145" s="15"/>
    </row>
    <row r="146">
      <c r="A146" s="18">
        <v>45369.0</v>
      </c>
      <c r="B146" s="16" t="s">
        <v>10573</v>
      </c>
      <c r="C146" s="16">
        <v>17.0</v>
      </c>
      <c r="D146" s="16" t="s">
        <v>10444</v>
      </c>
      <c r="E146" s="16" t="s">
        <v>707</v>
      </c>
      <c r="F146" s="16">
        <v>2022.0</v>
      </c>
      <c r="G146" s="16">
        <v>54.1003</v>
      </c>
      <c r="H146" s="16">
        <v>9.3829</v>
      </c>
      <c r="I146" s="15"/>
      <c r="J146" s="15"/>
    </row>
    <row r="147">
      <c r="A147" s="18">
        <v>44656.0</v>
      </c>
      <c r="B147" s="16" t="s">
        <v>10574</v>
      </c>
      <c r="C147" s="16">
        <v>18.0</v>
      </c>
      <c r="D147" s="16" t="s">
        <v>10444</v>
      </c>
      <c r="E147" s="16" t="s">
        <v>707</v>
      </c>
      <c r="F147" s="16">
        <v>2003.0</v>
      </c>
      <c r="G147" s="16">
        <v>53.3894</v>
      </c>
      <c r="H147" s="16">
        <v>7.857</v>
      </c>
      <c r="I147" s="15"/>
      <c r="J147" s="15"/>
    </row>
    <row r="148">
      <c r="A148" s="18">
        <v>44656.0</v>
      </c>
      <c r="B148" s="16" t="s">
        <v>10575</v>
      </c>
      <c r="C148" s="16">
        <v>13.0</v>
      </c>
      <c r="D148" s="16" t="s">
        <v>10444</v>
      </c>
      <c r="E148" s="16" t="s">
        <v>707</v>
      </c>
      <c r="F148" s="16">
        <v>2017.0</v>
      </c>
      <c r="G148" s="16">
        <v>50.0361</v>
      </c>
      <c r="H148" s="16">
        <v>7.6125</v>
      </c>
      <c r="I148" s="15"/>
      <c r="J148" s="15"/>
    </row>
    <row r="149">
      <c r="A149" s="18">
        <v>44656.0</v>
      </c>
      <c r="B149" s="16" t="s">
        <v>10576</v>
      </c>
      <c r="C149" s="16">
        <v>29.0</v>
      </c>
      <c r="D149" s="16" t="s">
        <v>10444</v>
      </c>
      <c r="E149" s="16" t="s">
        <v>707</v>
      </c>
      <c r="F149" s="16">
        <v>2003.0</v>
      </c>
      <c r="G149" s="16">
        <v>52.9389</v>
      </c>
      <c r="H149" s="16">
        <v>9.0289</v>
      </c>
      <c r="I149" s="15"/>
      <c r="J149" s="15"/>
    </row>
    <row r="150">
      <c r="A150" s="18">
        <v>44656.0</v>
      </c>
      <c r="B150" s="16" t="s">
        <v>10576</v>
      </c>
      <c r="C150" s="16">
        <v>18.0</v>
      </c>
      <c r="D150" s="16" t="s">
        <v>10444</v>
      </c>
      <c r="E150" s="16" t="s">
        <v>707</v>
      </c>
      <c r="F150" s="16">
        <v>2006.0</v>
      </c>
      <c r="G150" s="16">
        <v>52.9382</v>
      </c>
      <c r="H150" s="16">
        <v>9.029</v>
      </c>
      <c r="I150" s="15"/>
      <c r="J150" s="15"/>
    </row>
    <row r="151">
      <c r="A151" s="18">
        <v>44656.0</v>
      </c>
      <c r="B151" s="16" t="s">
        <v>10577</v>
      </c>
      <c r="C151" s="16">
        <v>13.0</v>
      </c>
      <c r="D151" s="16" t="s">
        <v>10444</v>
      </c>
      <c r="E151" s="16" t="s">
        <v>707</v>
      </c>
      <c r="F151" s="16">
        <v>2012.0</v>
      </c>
      <c r="G151" s="16">
        <v>49.093</v>
      </c>
      <c r="H151" s="16">
        <v>11.4897</v>
      </c>
      <c r="I151" s="15"/>
      <c r="J151" s="15"/>
    </row>
    <row r="152">
      <c r="A152" s="18">
        <v>44656.0</v>
      </c>
      <c r="B152" s="16" t="s">
        <v>10578</v>
      </c>
      <c r="C152" s="16">
        <v>12.0</v>
      </c>
      <c r="D152" s="16" t="s">
        <v>10444</v>
      </c>
      <c r="E152" s="16" t="s">
        <v>707</v>
      </c>
      <c r="F152" s="16">
        <v>2015.0</v>
      </c>
      <c r="G152" s="16">
        <v>47.983</v>
      </c>
      <c r="H152" s="16">
        <v>11.4083</v>
      </c>
      <c r="I152" s="15"/>
      <c r="J152" s="15"/>
    </row>
    <row r="153">
      <c r="A153" s="18">
        <v>44656.0</v>
      </c>
      <c r="B153" s="16" t="s">
        <v>10579</v>
      </c>
      <c r="C153" s="16">
        <v>16.0</v>
      </c>
      <c r="D153" s="16" t="s">
        <v>10444</v>
      </c>
      <c r="E153" s="16" t="s">
        <v>707</v>
      </c>
      <c r="F153" s="16">
        <v>2003.0</v>
      </c>
      <c r="G153" s="16">
        <v>53.2397</v>
      </c>
      <c r="H153" s="16">
        <v>11.842</v>
      </c>
      <c r="I153" s="15"/>
      <c r="J153" s="15"/>
    </row>
    <row r="154">
      <c r="A154" s="18">
        <v>44656.0</v>
      </c>
      <c r="B154" s="16" t="s">
        <v>10579</v>
      </c>
      <c r="C154" s="16">
        <v>12.0</v>
      </c>
      <c r="D154" s="16" t="s">
        <v>10444</v>
      </c>
      <c r="E154" s="16" t="s">
        <v>707</v>
      </c>
      <c r="F154" s="16">
        <v>2003.0</v>
      </c>
      <c r="G154" s="16">
        <v>53.2397</v>
      </c>
      <c r="H154" s="16">
        <v>11.842</v>
      </c>
      <c r="I154" s="15"/>
      <c r="J154" s="15"/>
    </row>
    <row r="155">
      <c r="A155" s="18">
        <v>44656.0</v>
      </c>
      <c r="B155" s="16" t="s">
        <v>10580</v>
      </c>
      <c r="C155" s="16">
        <v>38.0</v>
      </c>
      <c r="D155" s="16" t="s">
        <v>10444</v>
      </c>
      <c r="E155" s="16" t="s">
        <v>707</v>
      </c>
      <c r="F155" s="16">
        <v>2005.0</v>
      </c>
      <c r="G155" s="16">
        <v>52.595</v>
      </c>
      <c r="H155" s="16">
        <v>12.801</v>
      </c>
      <c r="I155" s="15"/>
      <c r="J155" s="15"/>
    </row>
    <row r="156">
      <c r="A156" s="18">
        <v>44656.0</v>
      </c>
      <c r="B156" s="16" t="s">
        <v>10581</v>
      </c>
      <c r="C156" s="16">
        <v>13.0</v>
      </c>
      <c r="D156" s="16" t="s">
        <v>10444</v>
      </c>
      <c r="E156" s="16" t="s">
        <v>707</v>
      </c>
      <c r="F156" s="16">
        <v>2017.0</v>
      </c>
      <c r="G156" s="16">
        <v>50.9809</v>
      </c>
      <c r="H156" s="16">
        <v>6.637</v>
      </c>
      <c r="I156" s="15"/>
      <c r="J156" s="15"/>
    </row>
    <row r="157">
      <c r="A157" s="18">
        <v>45370.0</v>
      </c>
      <c r="B157" s="16" t="s">
        <v>10582</v>
      </c>
      <c r="C157" s="16">
        <v>11.0</v>
      </c>
      <c r="D157" s="16" t="s">
        <v>10444</v>
      </c>
      <c r="E157" s="16" t="s">
        <v>707</v>
      </c>
      <c r="F157" s="16">
        <v>2024.0</v>
      </c>
      <c r="G157" s="16">
        <v>51.0124</v>
      </c>
      <c r="H157" s="16">
        <v>6.7107</v>
      </c>
      <c r="I157" s="15"/>
      <c r="J157" s="15"/>
    </row>
    <row r="158">
      <c r="A158" s="18">
        <v>44656.0</v>
      </c>
      <c r="B158" s="16" t="s">
        <v>10583</v>
      </c>
      <c r="C158" s="16">
        <v>12.0</v>
      </c>
      <c r="D158" s="16" t="s">
        <v>10444</v>
      </c>
      <c r="E158" s="16" t="s">
        <v>707</v>
      </c>
      <c r="F158" s="16">
        <v>1999.0</v>
      </c>
      <c r="G158" s="16">
        <v>53.4593</v>
      </c>
      <c r="H158" s="16">
        <v>14.1555</v>
      </c>
      <c r="I158" s="15"/>
      <c r="J158" s="15"/>
    </row>
    <row r="159">
      <c r="A159" s="18">
        <v>45663.0</v>
      </c>
      <c r="B159" s="16" t="s">
        <v>10584</v>
      </c>
      <c r="C159" s="16">
        <v>20.0</v>
      </c>
      <c r="D159" s="16" t="s">
        <v>10444</v>
      </c>
      <c r="E159" s="16" t="s">
        <v>707</v>
      </c>
      <c r="F159" s="16">
        <v>2024.0</v>
      </c>
      <c r="G159" s="16">
        <v>49.7778</v>
      </c>
      <c r="H159" s="16">
        <v>6.9379</v>
      </c>
      <c r="I159" s="15"/>
      <c r="J159" s="15"/>
    </row>
    <row r="160">
      <c r="A160" s="18">
        <v>44656.0</v>
      </c>
      <c r="B160" s="16" t="s">
        <v>10585</v>
      </c>
      <c r="C160" s="16">
        <v>13.0</v>
      </c>
      <c r="D160" s="16" t="s">
        <v>10444</v>
      </c>
      <c r="E160" s="16" t="s">
        <v>707</v>
      </c>
      <c r="F160" s="16">
        <v>2017.0</v>
      </c>
      <c r="G160" s="16">
        <v>49.7799</v>
      </c>
      <c r="H160" s="16">
        <v>6.9434</v>
      </c>
      <c r="I160" s="15"/>
      <c r="J160" s="15"/>
    </row>
    <row r="161">
      <c r="A161" s="18">
        <v>44656.0</v>
      </c>
      <c r="B161" s="16" t="s">
        <v>10586</v>
      </c>
      <c r="C161" s="16">
        <v>14.0</v>
      </c>
      <c r="D161" s="16" t="s">
        <v>10444</v>
      </c>
      <c r="E161" s="16" t="s">
        <v>707</v>
      </c>
      <c r="F161" s="16">
        <v>2015.0</v>
      </c>
      <c r="G161" s="16">
        <v>53.1397</v>
      </c>
      <c r="H161" s="16">
        <v>8.4196</v>
      </c>
      <c r="I161" s="15"/>
      <c r="J161" s="15"/>
    </row>
    <row r="162">
      <c r="A162" s="18">
        <v>44656.0</v>
      </c>
      <c r="B162" s="16" t="s">
        <v>10587</v>
      </c>
      <c r="C162" s="16">
        <v>30.0</v>
      </c>
      <c r="D162" s="16" t="s">
        <v>10444</v>
      </c>
      <c r="E162" s="16" t="s">
        <v>707</v>
      </c>
      <c r="F162" s="16">
        <v>2015.0</v>
      </c>
      <c r="G162" s="16">
        <v>50.7371</v>
      </c>
      <c r="H162" s="16">
        <v>9.5286</v>
      </c>
      <c r="I162" s="15"/>
      <c r="J162" s="15"/>
    </row>
    <row r="163">
      <c r="A163" s="18">
        <v>44656.0</v>
      </c>
      <c r="B163" s="16" t="s">
        <v>10588</v>
      </c>
      <c r="C163" s="16">
        <v>12.0</v>
      </c>
      <c r="D163" s="16" t="s">
        <v>10444</v>
      </c>
      <c r="E163" s="16" t="s">
        <v>707</v>
      </c>
      <c r="F163" s="16">
        <v>2014.0</v>
      </c>
      <c r="G163" s="16">
        <v>53.8936</v>
      </c>
      <c r="H163" s="16">
        <v>11.9183</v>
      </c>
      <c r="I163" s="15"/>
      <c r="J163" s="15"/>
    </row>
    <row r="164">
      <c r="A164" s="18">
        <v>44656.0</v>
      </c>
      <c r="B164" s="16" t="s">
        <v>10589</v>
      </c>
      <c r="C164" s="16">
        <v>10.0</v>
      </c>
      <c r="D164" s="16" t="s">
        <v>10444</v>
      </c>
      <c r="E164" s="16" t="s">
        <v>707</v>
      </c>
      <c r="F164" s="16">
        <v>2019.0</v>
      </c>
      <c r="G164" s="16">
        <v>50.7578</v>
      </c>
      <c r="H164" s="16">
        <v>12.6761</v>
      </c>
      <c r="I164" s="15"/>
      <c r="J164" s="15"/>
    </row>
    <row r="165">
      <c r="A165" s="18">
        <v>44656.0</v>
      </c>
      <c r="B165" s="16" t="s">
        <v>10590</v>
      </c>
      <c r="C165" s="16">
        <v>11.0</v>
      </c>
      <c r="D165" s="16" t="s">
        <v>10444</v>
      </c>
      <c r="E165" s="16" t="s">
        <v>707</v>
      </c>
      <c r="F165" s="16">
        <v>2003.0</v>
      </c>
      <c r="G165" s="16">
        <v>51.0357</v>
      </c>
      <c r="H165" s="16">
        <v>14.8262</v>
      </c>
      <c r="I165" s="15"/>
      <c r="J165" s="15"/>
    </row>
    <row r="166">
      <c r="A166" s="18">
        <v>45351.0</v>
      </c>
      <c r="B166" s="16" t="s">
        <v>10591</v>
      </c>
      <c r="C166" s="16">
        <v>22.0</v>
      </c>
      <c r="D166" s="16" t="s">
        <v>10444</v>
      </c>
      <c r="E166" s="16" t="s">
        <v>707</v>
      </c>
      <c r="F166" s="16">
        <v>2024.0</v>
      </c>
      <c r="G166" s="16">
        <v>53.2561</v>
      </c>
      <c r="H166" s="16">
        <v>13.9467</v>
      </c>
      <c r="I166" s="15"/>
      <c r="J166" s="15"/>
    </row>
    <row r="167">
      <c r="A167" s="18">
        <v>44656.0</v>
      </c>
      <c r="B167" s="16" t="s">
        <v>10592</v>
      </c>
      <c r="C167" s="16">
        <v>22.0</v>
      </c>
      <c r="D167" s="16" t="s">
        <v>10444</v>
      </c>
      <c r="E167" s="16" t="s">
        <v>707</v>
      </c>
      <c r="F167" s="16">
        <v>2001.0</v>
      </c>
      <c r="G167" s="16">
        <v>52.7035</v>
      </c>
      <c r="H167" s="16">
        <v>11.9169</v>
      </c>
      <c r="I167" s="15"/>
      <c r="J167" s="15"/>
    </row>
    <row r="168">
      <c r="A168" s="18">
        <v>44656.0</v>
      </c>
      <c r="B168" s="16" t="s">
        <v>10592</v>
      </c>
      <c r="C168" s="16">
        <v>55.0</v>
      </c>
      <c r="D168" s="16" t="s">
        <v>10444</v>
      </c>
      <c r="E168" s="16" t="s">
        <v>707</v>
      </c>
      <c r="F168" s="16">
        <v>2004.0</v>
      </c>
      <c r="G168" s="16">
        <v>52.7156</v>
      </c>
      <c r="H168" s="16">
        <v>11.9003</v>
      </c>
      <c r="I168" s="15"/>
      <c r="J168" s="15"/>
    </row>
    <row r="169">
      <c r="A169" s="18">
        <v>45373.0</v>
      </c>
      <c r="B169" s="16" t="s">
        <v>10593</v>
      </c>
      <c r="C169" s="16">
        <v>17.0</v>
      </c>
      <c r="D169" s="16" t="s">
        <v>10444</v>
      </c>
      <c r="E169" s="16" t="s">
        <v>707</v>
      </c>
      <c r="F169" s="16">
        <v>2023.0</v>
      </c>
      <c r="G169" s="16">
        <v>49.7398</v>
      </c>
      <c r="H169" s="16">
        <v>6.8773</v>
      </c>
      <c r="I169" s="15"/>
      <c r="J169" s="15"/>
    </row>
    <row r="170">
      <c r="A170" s="18">
        <v>44656.0</v>
      </c>
      <c r="B170" s="16" t="s">
        <v>10594</v>
      </c>
      <c r="C170" s="16">
        <v>12.0</v>
      </c>
      <c r="D170" s="16" t="s">
        <v>10444</v>
      </c>
      <c r="E170" s="16" t="s">
        <v>707</v>
      </c>
      <c r="F170" s="16">
        <v>2014.0</v>
      </c>
      <c r="G170" s="16">
        <v>49.3338</v>
      </c>
      <c r="H170" s="16">
        <v>10.1368</v>
      </c>
      <c r="I170" s="15"/>
      <c r="J170" s="15"/>
    </row>
    <row r="171">
      <c r="A171" s="18">
        <v>45664.0</v>
      </c>
      <c r="B171" s="16" t="s">
        <v>10595</v>
      </c>
      <c r="C171" s="16">
        <v>24.0</v>
      </c>
      <c r="D171" s="16" t="s">
        <v>10444</v>
      </c>
      <c r="E171" s="16" t="s">
        <v>707</v>
      </c>
      <c r="F171" s="16">
        <v>2024.0</v>
      </c>
      <c r="G171" s="16">
        <v>50.0894</v>
      </c>
      <c r="H171" s="16">
        <v>7.0449</v>
      </c>
      <c r="I171" s="15"/>
      <c r="J171" s="15"/>
    </row>
    <row r="172">
      <c r="A172" s="18">
        <v>44656.0</v>
      </c>
      <c r="B172" s="16" t="s">
        <v>10596</v>
      </c>
      <c r="C172" s="16">
        <v>14.0</v>
      </c>
      <c r="D172" s="16" t="s">
        <v>10444</v>
      </c>
      <c r="E172" s="16" t="s">
        <v>707</v>
      </c>
      <c r="F172" s="16">
        <v>2006.0</v>
      </c>
      <c r="G172" s="16">
        <v>53.0186</v>
      </c>
      <c r="H172" s="16">
        <v>10.6194</v>
      </c>
      <c r="I172" s="15"/>
      <c r="J172" s="15"/>
    </row>
    <row r="173">
      <c r="A173" s="18">
        <v>44656.0</v>
      </c>
      <c r="B173" s="16" t="s">
        <v>10597</v>
      </c>
      <c r="C173" s="16">
        <v>14.0</v>
      </c>
      <c r="D173" s="16" t="s">
        <v>10444</v>
      </c>
      <c r="E173" s="16" t="s">
        <v>707</v>
      </c>
      <c r="F173" s="15"/>
      <c r="G173" s="16">
        <v>53.632</v>
      </c>
      <c r="H173" s="16">
        <v>7.266</v>
      </c>
      <c r="I173" s="15"/>
      <c r="J173" s="15"/>
    </row>
    <row r="174">
      <c r="A174" s="18">
        <v>45022.0</v>
      </c>
      <c r="B174" s="16" t="s">
        <v>10598</v>
      </c>
      <c r="C174" s="16">
        <v>10.0</v>
      </c>
      <c r="D174" s="16" t="s">
        <v>10444</v>
      </c>
      <c r="E174" s="16" t="s">
        <v>707</v>
      </c>
      <c r="F174" s="16">
        <v>2009.0</v>
      </c>
      <c r="G174" s="16">
        <v>50.1056</v>
      </c>
      <c r="H174" s="16">
        <v>7.5342</v>
      </c>
      <c r="I174" s="15"/>
      <c r="J174" s="15"/>
    </row>
    <row r="175">
      <c r="A175" s="18">
        <v>45351.0</v>
      </c>
      <c r="B175" s="16" t="s">
        <v>10599</v>
      </c>
      <c r="C175" s="16">
        <v>22.0</v>
      </c>
      <c r="D175" s="16" t="s">
        <v>10444</v>
      </c>
      <c r="E175" s="16" t="s">
        <v>707</v>
      </c>
      <c r="F175" s="16">
        <v>2023.0</v>
      </c>
      <c r="G175" s="16">
        <v>49.8169</v>
      </c>
      <c r="H175" s="16">
        <v>8.1522</v>
      </c>
      <c r="I175" s="15"/>
      <c r="J175" s="15"/>
    </row>
    <row r="176">
      <c r="A176" s="18">
        <v>44656.0</v>
      </c>
      <c r="B176" s="16" t="s">
        <v>10600</v>
      </c>
      <c r="C176" s="16">
        <v>28.0</v>
      </c>
      <c r="D176" s="16" t="s">
        <v>10444</v>
      </c>
      <c r="E176" s="16" t="s">
        <v>707</v>
      </c>
      <c r="F176" s="16">
        <v>2011.0</v>
      </c>
      <c r="G176" s="16">
        <v>51.9713</v>
      </c>
      <c r="H176" s="16">
        <v>13.9743</v>
      </c>
      <c r="I176" s="15"/>
      <c r="J176" s="15"/>
    </row>
    <row r="177">
      <c r="A177" s="18">
        <v>45000.0</v>
      </c>
      <c r="B177" s="16" t="s">
        <v>10601</v>
      </c>
      <c r="C177" s="16">
        <v>11.0</v>
      </c>
      <c r="D177" s="16" t="s">
        <v>10444</v>
      </c>
      <c r="E177" s="16" t="s">
        <v>707</v>
      </c>
      <c r="F177" s="16">
        <v>2021.0</v>
      </c>
      <c r="G177" s="16">
        <v>52.3175</v>
      </c>
      <c r="H177" s="16">
        <v>14.3809</v>
      </c>
      <c r="I177" s="15"/>
      <c r="J177" s="15"/>
    </row>
    <row r="178">
      <c r="A178" s="18">
        <v>44985.0</v>
      </c>
      <c r="B178" s="16" t="s">
        <v>10602</v>
      </c>
      <c r="C178" s="16">
        <v>24.0</v>
      </c>
      <c r="D178" s="16" t="s">
        <v>10444</v>
      </c>
      <c r="E178" s="16" t="s">
        <v>707</v>
      </c>
      <c r="F178" s="16">
        <v>2022.0</v>
      </c>
      <c r="G178" s="16">
        <v>52.3065</v>
      </c>
      <c r="H178" s="16">
        <v>14.3896</v>
      </c>
      <c r="I178" s="15"/>
      <c r="J178" s="15"/>
    </row>
    <row r="179">
      <c r="A179" s="18">
        <v>44656.0</v>
      </c>
      <c r="B179" s="16" t="s">
        <v>10603</v>
      </c>
      <c r="C179" s="16">
        <v>27.0</v>
      </c>
      <c r="D179" s="16" t="s">
        <v>10444</v>
      </c>
      <c r="E179" s="16" t="s">
        <v>707</v>
      </c>
      <c r="F179" s="16">
        <v>2009.0</v>
      </c>
      <c r="G179" s="16">
        <v>51.9551</v>
      </c>
      <c r="H179" s="16">
        <v>11.6273</v>
      </c>
      <c r="I179" s="15"/>
      <c r="J179" s="15"/>
    </row>
    <row r="180">
      <c r="A180" s="18">
        <v>44656.0</v>
      </c>
      <c r="B180" s="16" t="s">
        <v>10604</v>
      </c>
      <c r="C180" s="16">
        <v>24.0</v>
      </c>
      <c r="D180" s="16" t="s">
        <v>10444</v>
      </c>
      <c r="E180" s="16" t="s">
        <v>707</v>
      </c>
      <c r="F180" s="16">
        <v>2002.0</v>
      </c>
      <c r="G180" s="16">
        <v>51.972</v>
      </c>
      <c r="H180" s="16">
        <v>11.6142</v>
      </c>
      <c r="I180" s="15"/>
      <c r="J180" s="15"/>
    </row>
    <row r="181">
      <c r="A181" s="18">
        <v>44656.0</v>
      </c>
      <c r="B181" s="16" t="s">
        <v>10605</v>
      </c>
      <c r="C181" s="16">
        <v>17.0</v>
      </c>
      <c r="D181" s="16" t="s">
        <v>10444</v>
      </c>
      <c r="E181" s="16" t="s">
        <v>707</v>
      </c>
      <c r="F181" s="16">
        <v>2021.0</v>
      </c>
      <c r="G181" s="16">
        <v>53.2744</v>
      </c>
      <c r="H181" s="16">
        <v>13.9629</v>
      </c>
      <c r="I181" s="15"/>
      <c r="J181" s="15"/>
    </row>
    <row r="182">
      <c r="A182" s="18">
        <v>44656.0</v>
      </c>
      <c r="B182" s="16" t="s">
        <v>10606</v>
      </c>
      <c r="C182" s="16">
        <v>10.0</v>
      </c>
      <c r="D182" s="16" t="s">
        <v>10444</v>
      </c>
      <c r="E182" s="16" t="s">
        <v>707</v>
      </c>
      <c r="F182" s="16">
        <v>2003.0</v>
      </c>
      <c r="G182" s="16">
        <v>50.7446</v>
      </c>
      <c r="H182" s="16">
        <v>9.2127</v>
      </c>
      <c r="I182" s="15"/>
      <c r="J182" s="15"/>
    </row>
    <row r="183">
      <c r="A183" s="18">
        <v>44656.0</v>
      </c>
      <c r="B183" s="16" t="s">
        <v>10607</v>
      </c>
      <c r="C183" s="16">
        <v>26.0</v>
      </c>
      <c r="D183" s="16" t="s">
        <v>10444</v>
      </c>
      <c r="E183" s="16" t="s">
        <v>707</v>
      </c>
      <c r="F183" s="16">
        <v>2003.0</v>
      </c>
      <c r="G183" s="16">
        <v>52.4969</v>
      </c>
      <c r="H183" s="16">
        <v>7.0564</v>
      </c>
      <c r="I183" s="15"/>
      <c r="J183" s="15"/>
    </row>
    <row r="184">
      <c r="A184" s="18">
        <v>44656.0</v>
      </c>
      <c r="B184" s="16" t="s">
        <v>10608</v>
      </c>
      <c r="C184" s="16">
        <v>28.0</v>
      </c>
      <c r="D184" s="16" t="s">
        <v>10444</v>
      </c>
      <c r="E184" s="16" t="s">
        <v>707</v>
      </c>
      <c r="F184" s="16">
        <v>2004.0</v>
      </c>
      <c r="G184" s="16">
        <v>52.5735</v>
      </c>
      <c r="H184" s="16">
        <v>7.6656</v>
      </c>
      <c r="I184" s="15"/>
      <c r="J184" s="15"/>
    </row>
    <row r="185">
      <c r="A185" s="18">
        <v>44656.0</v>
      </c>
      <c r="B185" s="16" t="s">
        <v>10609</v>
      </c>
      <c r="C185" s="16">
        <v>10.0</v>
      </c>
      <c r="D185" s="16" t="s">
        <v>10444</v>
      </c>
      <c r="E185" s="16" t="s">
        <v>707</v>
      </c>
      <c r="F185" s="16">
        <v>2015.0</v>
      </c>
      <c r="G185" s="16">
        <v>49.3713</v>
      </c>
      <c r="H185" s="16">
        <v>10.5425</v>
      </c>
      <c r="I185" s="15"/>
      <c r="J185" s="15"/>
    </row>
    <row r="186">
      <c r="A186" s="18">
        <v>44656.0</v>
      </c>
      <c r="B186" s="16" t="s">
        <v>10610</v>
      </c>
      <c r="C186" s="16">
        <v>21.0</v>
      </c>
      <c r="D186" s="16" t="s">
        <v>10444</v>
      </c>
      <c r="E186" s="16" t="s">
        <v>707</v>
      </c>
      <c r="F186" s="16">
        <v>2013.0</v>
      </c>
      <c r="G186" s="16">
        <v>51.8008</v>
      </c>
      <c r="H186" s="16">
        <v>11.4954</v>
      </c>
      <c r="I186" s="15"/>
      <c r="J186" s="15"/>
    </row>
    <row r="187">
      <c r="A187" s="18">
        <v>44656.0</v>
      </c>
      <c r="B187" s="16" t="s">
        <v>10611</v>
      </c>
      <c r="C187" s="16">
        <v>12.0</v>
      </c>
      <c r="D187" s="16" t="s">
        <v>10444</v>
      </c>
      <c r="E187" s="16" t="s">
        <v>707</v>
      </c>
      <c r="F187" s="15"/>
      <c r="G187" s="16">
        <v>49.3023</v>
      </c>
      <c r="H187" s="16">
        <v>9.9443</v>
      </c>
      <c r="I187" s="15"/>
      <c r="J187" s="15"/>
    </row>
    <row r="188">
      <c r="A188" s="18">
        <v>44656.0</v>
      </c>
      <c r="B188" s="16" t="s">
        <v>10612</v>
      </c>
      <c r="C188" s="16">
        <v>14.0</v>
      </c>
      <c r="D188" s="16" t="s">
        <v>10444</v>
      </c>
      <c r="E188" s="16" t="s">
        <v>707</v>
      </c>
      <c r="F188" s="16">
        <v>2012.0</v>
      </c>
      <c r="G188" s="16">
        <v>52.9058</v>
      </c>
      <c r="H188" s="16">
        <v>9.1208</v>
      </c>
      <c r="I188" s="15"/>
      <c r="J188" s="15"/>
    </row>
    <row r="189">
      <c r="A189" s="18">
        <v>44656.0</v>
      </c>
      <c r="B189" s="16" t="s">
        <v>10613</v>
      </c>
      <c r="C189" s="16">
        <v>34.0</v>
      </c>
      <c r="D189" s="16" t="s">
        <v>10444</v>
      </c>
      <c r="E189" s="16" t="s">
        <v>707</v>
      </c>
      <c r="F189" s="16">
        <v>2001.0</v>
      </c>
      <c r="G189" s="16">
        <v>52.7</v>
      </c>
      <c r="H189" s="16">
        <v>14.18</v>
      </c>
      <c r="I189" s="15"/>
      <c r="J189" s="15"/>
    </row>
    <row r="190">
      <c r="A190" s="18">
        <v>45369.0</v>
      </c>
      <c r="B190" s="16" t="s">
        <v>10614</v>
      </c>
      <c r="C190" s="16">
        <v>14.0</v>
      </c>
      <c r="D190" s="16" t="s">
        <v>10444</v>
      </c>
      <c r="E190" s="16" t="s">
        <v>707</v>
      </c>
      <c r="F190" s="16">
        <v>2022.0</v>
      </c>
      <c r="G190" s="16">
        <v>52.5944</v>
      </c>
      <c r="H190" s="16">
        <v>13.6672</v>
      </c>
      <c r="I190" s="15"/>
      <c r="J190" s="15"/>
    </row>
    <row r="191">
      <c r="A191" s="18">
        <v>44656.0</v>
      </c>
      <c r="B191" s="16" t="s">
        <v>10615</v>
      </c>
      <c r="C191" s="16">
        <v>14.0</v>
      </c>
      <c r="D191" s="16" t="s">
        <v>10444</v>
      </c>
      <c r="E191" s="16" t="s">
        <v>707</v>
      </c>
      <c r="F191" s="16">
        <v>2016.0</v>
      </c>
      <c r="G191" s="16">
        <v>48.4116</v>
      </c>
      <c r="H191" s="16">
        <v>11.1284</v>
      </c>
      <c r="I191" s="15"/>
      <c r="J191" s="15"/>
    </row>
    <row r="192">
      <c r="A192" s="18">
        <v>44656.0</v>
      </c>
      <c r="B192" s="16" t="s">
        <v>10616</v>
      </c>
      <c r="C192" s="16">
        <v>26.0</v>
      </c>
      <c r="D192" s="16" t="s">
        <v>10444</v>
      </c>
      <c r="E192" s="16" t="s">
        <v>707</v>
      </c>
      <c r="F192" s="16">
        <v>2015.0</v>
      </c>
      <c r="G192" s="16">
        <v>54.6865</v>
      </c>
      <c r="H192" s="16">
        <v>9.1781</v>
      </c>
      <c r="I192" s="15"/>
      <c r="J192" s="15"/>
    </row>
    <row r="193">
      <c r="A193" s="18">
        <v>44656.0</v>
      </c>
      <c r="B193" s="16" t="s">
        <v>10617</v>
      </c>
      <c r="C193" s="16">
        <v>10.0</v>
      </c>
      <c r="D193" s="16" t="s">
        <v>10444</v>
      </c>
      <c r="E193" s="16" t="s">
        <v>707</v>
      </c>
      <c r="F193" s="16">
        <v>2013.0</v>
      </c>
      <c r="G193" s="16">
        <v>51.4039</v>
      </c>
      <c r="H193" s="16">
        <v>12.4367</v>
      </c>
      <c r="I193" s="15"/>
      <c r="J193" s="15"/>
    </row>
    <row r="194">
      <c r="A194" s="18">
        <v>44656.0</v>
      </c>
      <c r="B194" s="16" t="s">
        <v>10618</v>
      </c>
      <c r="C194" s="16">
        <v>10.0</v>
      </c>
      <c r="D194" s="16" t="s">
        <v>10444</v>
      </c>
      <c r="E194" s="16" t="s">
        <v>707</v>
      </c>
      <c r="F194" s="16">
        <v>2012.0</v>
      </c>
      <c r="G194" s="16">
        <v>50.9176</v>
      </c>
      <c r="H194" s="16">
        <v>13.4138</v>
      </c>
      <c r="I194" s="15"/>
      <c r="J194" s="15"/>
    </row>
    <row r="195">
      <c r="A195" s="18">
        <v>44656.0</v>
      </c>
      <c r="B195" s="16" t="s">
        <v>10619</v>
      </c>
      <c r="C195" s="16">
        <v>12.0</v>
      </c>
      <c r="D195" s="16" t="s">
        <v>10444</v>
      </c>
      <c r="E195" s="16" t="s">
        <v>707</v>
      </c>
      <c r="F195" s="16">
        <v>2018.0</v>
      </c>
      <c r="G195" s="16">
        <v>49.4689</v>
      </c>
      <c r="H195" s="16">
        <v>9.6946</v>
      </c>
      <c r="I195" s="15"/>
      <c r="J195" s="15"/>
    </row>
    <row r="196">
      <c r="A196" s="18">
        <v>44656.0</v>
      </c>
      <c r="B196" s="16" t="s">
        <v>10620</v>
      </c>
      <c r="C196" s="16">
        <v>15.0</v>
      </c>
      <c r="D196" s="16" t="s">
        <v>10444</v>
      </c>
      <c r="E196" s="16" t="s">
        <v>707</v>
      </c>
      <c r="F196" s="16">
        <v>1999.0</v>
      </c>
      <c r="G196" s="16">
        <v>51.22</v>
      </c>
      <c r="H196" s="16">
        <v>12.93</v>
      </c>
      <c r="I196" s="15"/>
      <c r="J196" s="15"/>
    </row>
    <row r="197">
      <c r="A197" s="18">
        <v>45023.0</v>
      </c>
      <c r="B197" s="16" t="s">
        <v>10621</v>
      </c>
      <c r="C197" s="16">
        <v>12.0</v>
      </c>
      <c r="D197" s="16" t="s">
        <v>10444</v>
      </c>
      <c r="E197" s="16" t="s">
        <v>707</v>
      </c>
      <c r="F197" s="16">
        <v>2012.0</v>
      </c>
      <c r="G197" s="16">
        <v>53.4284</v>
      </c>
      <c r="H197" s="16">
        <v>8.0284</v>
      </c>
      <c r="I197" s="15"/>
      <c r="J197" s="15"/>
    </row>
    <row r="198">
      <c r="A198" s="18">
        <v>45023.0</v>
      </c>
      <c r="B198" s="16" t="s">
        <v>10621</v>
      </c>
      <c r="C198" s="16">
        <v>12.0</v>
      </c>
      <c r="D198" s="16" t="s">
        <v>10444</v>
      </c>
      <c r="E198" s="16" t="s">
        <v>707</v>
      </c>
      <c r="F198" s="16">
        <v>2014.0</v>
      </c>
      <c r="G198" s="16">
        <v>53.4315</v>
      </c>
      <c r="H198" s="16">
        <v>8.0209</v>
      </c>
      <c r="I198" s="15"/>
      <c r="J198" s="15"/>
    </row>
    <row r="199">
      <c r="A199" s="18">
        <v>44656.0</v>
      </c>
      <c r="B199" s="16" t="s">
        <v>10622</v>
      </c>
      <c r="C199" s="16">
        <v>21.0</v>
      </c>
      <c r="D199" s="16" t="s">
        <v>10444</v>
      </c>
      <c r="E199" s="16" t="s">
        <v>707</v>
      </c>
      <c r="F199" s="16">
        <v>2014.0</v>
      </c>
      <c r="G199" s="16">
        <v>54.583</v>
      </c>
      <c r="H199" s="16">
        <v>9.0683</v>
      </c>
      <c r="I199" s="15"/>
      <c r="J199" s="15"/>
    </row>
    <row r="200">
      <c r="A200" s="18">
        <v>44656.0</v>
      </c>
      <c r="B200" s="16" t="s">
        <v>10623</v>
      </c>
      <c r="C200" s="16">
        <v>12.0</v>
      </c>
      <c r="D200" s="16" t="s">
        <v>10444</v>
      </c>
      <c r="E200" s="16" t="s">
        <v>707</v>
      </c>
      <c r="F200" s="16">
        <v>2005.0</v>
      </c>
      <c r="G200" s="16">
        <v>52.3972</v>
      </c>
      <c r="H200" s="16">
        <v>8.34</v>
      </c>
      <c r="I200" s="15"/>
      <c r="J200" s="15"/>
    </row>
    <row r="201">
      <c r="A201" s="18">
        <v>45013.0</v>
      </c>
      <c r="B201" s="16" t="s">
        <v>10624</v>
      </c>
      <c r="C201" s="16">
        <v>25.0</v>
      </c>
      <c r="D201" s="16" t="s">
        <v>10444</v>
      </c>
      <c r="E201" s="16" t="s">
        <v>707</v>
      </c>
      <c r="F201" s="16">
        <v>2021.0</v>
      </c>
      <c r="G201" s="16">
        <v>52.6214</v>
      </c>
      <c r="H201" s="16">
        <v>10.8352</v>
      </c>
      <c r="I201" s="15"/>
      <c r="J201" s="15"/>
    </row>
    <row r="202">
      <c r="A202" s="18">
        <v>45369.0</v>
      </c>
      <c r="B202" s="16" t="s">
        <v>10625</v>
      </c>
      <c r="C202" s="16">
        <v>18.0</v>
      </c>
      <c r="D202" s="16" t="s">
        <v>10444</v>
      </c>
      <c r="E202" s="16" t="s">
        <v>707</v>
      </c>
      <c r="F202" s="16">
        <v>2022.0</v>
      </c>
      <c r="G202" s="16">
        <v>54.2298</v>
      </c>
      <c r="H202" s="16">
        <v>9.7601</v>
      </c>
      <c r="I202" s="15"/>
      <c r="J202" s="15"/>
    </row>
    <row r="203">
      <c r="A203" s="18">
        <v>44656.0</v>
      </c>
      <c r="B203" s="16" t="s">
        <v>10626</v>
      </c>
      <c r="C203" s="16">
        <v>19.0</v>
      </c>
      <c r="D203" s="16" t="s">
        <v>10444</v>
      </c>
      <c r="E203" s="16" t="s">
        <v>707</v>
      </c>
      <c r="F203" s="16">
        <v>2013.0</v>
      </c>
      <c r="G203" s="16">
        <v>54.2065</v>
      </c>
      <c r="H203" s="16">
        <v>9.8107</v>
      </c>
      <c r="I203" s="15"/>
      <c r="J203" s="15"/>
    </row>
    <row r="204">
      <c r="A204" s="18">
        <v>44656.0</v>
      </c>
      <c r="B204" s="16" t="s">
        <v>10627</v>
      </c>
      <c r="C204" s="16">
        <v>20.0</v>
      </c>
      <c r="D204" s="16" t="s">
        <v>10444</v>
      </c>
      <c r="E204" s="16" t="s">
        <v>707</v>
      </c>
      <c r="F204" s="16">
        <v>2015.0</v>
      </c>
      <c r="G204" s="16">
        <v>54.3531</v>
      </c>
      <c r="H204" s="16">
        <v>9.8437</v>
      </c>
      <c r="I204" s="15"/>
      <c r="J204" s="15"/>
    </row>
    <row r="205">
      <c r="A205" s="18">
        <v>44656.0</v>
      </c>
      <c r="B205" s="16" t="s">
        <v>10628</v>
      </c>
      <c r="C205" s="16">
        <v>16.0</v>
      </c>
      <c r="D205" s="16" t="s">
        <v>10444</v>
      </c>
      <c r="E205" s="16" t="s">
        <v>707</v>
      </c>
      <c r="F205" s="16">
        <v>2003.0</v>
      </c>
      <c r="G205" s="16">
        <v>51.5208</v>
      </c>
      <c r="H205" s="16">
        <v>10.7486</v>
      </c>
      <c r="I205" s="15"/>
      <c r="J205" s="15"/>
    </row>
    <row r="206">
      <c r="A206" s="18">
        <v>44656.0</v>
      </c>
      <c r="B206" s="16" t="s">
        <v>10629</v>
      </c>
      <c r="C206" s="16">
        <v>24.0</v>
      </c>
      <c r="D206" s="16" t="s">
        <v>10444</v>
      </c>
      <c r="E206" s="16" t="s">
        <v>707</v>
      </c>
      <c r="F206" s="16">
        <v>2017.0</v>
      </c>
      <c r="G206" s="16">
        <v>53.339</v>
      </c>
      <c r="H206" s="16">
        <v>8.2777</v>
      </c>
      <c r="I206" s="15"/>
      <c r="J206" s="15"/>
    </row>
    <row r="207">
      <c r="A207" s="18">
        <v>45351.0</v>
      </c>
      <c r="B207" s="16" t="s">
        <v>10630</v>
      </c>
      <c r="C207" s="16">
        <v>15.0</v>
      </c>
      <c r="D207" s="16" t="s">
        <v>10444</v>
      </c>
      <c r="E207" s="16" t="s">
        <v>707</v>
      </c>
      <c r="F207" s="16">
        <v>2023.0</v>
      </c>
      <c r="G207" s="16">
        <v>54.1129</v>
      </c>
      <c r="H207" s="16">
        <v>9.3538</v>
      </c>
      <c r="I207" s="15"/>
      <c r="J207" s="15"/>
    </row>
    <row r="208">
      <c r="A208" s="18">
        <v>45369.0</v>
      </c>
      <c r="B208" s="16" t="s">
        <v>10631</v>
      </c>
      <c r="C208" s="16">
        <v>16.0</v>
      </c>
      <c r="D208" s="16" t="s">
        <v>10444</v>
      </c>
      <c r="E208" s="16" t="s">
        <v>707</v>
      </c>
      <c r="F208" s="16">
        <v>2022.0</v>
      </c>
      <c r="G208" s="16">
        <v>51.6467</v>
      </c>
      <c r="H208" s="16">
        <v>8.7754</v>
      </c>
      <c r="I208" s="15"/>
      <c r="J208" s="15"/>
    </row>
    <row r="209">
      <c r="A209" s="18">
        <v>44656.0</v>
      </c>
      <c r="B209" s="16" t="s">
        <v>10632</v>
      </c>
      <c r="C209" s="16">
        <v>15.0</v>
      </c>
      <c r="D209" s="16" t="s">
        <v>10444</v>
      </c>
      <c r="E209" s="16" t="s">
        <v>707</v>
      </c>
      <c r="F209" s="16">
        <v>2018.0</v>
      </c>
      <c r="G209" s="16">
        <v>51.6288</v>
      </c>
      <c r="H209" s="16">
        <v>8.8015</v>
      </c>
      <c r="I209" s="15"/>
      <c r="J209" s="15"/>
    </row>
    <row r="210">
      <c r="A210" s="18">
        <v>45021.0</v>
      </c>
      <c r="B210" s="16" t="s">
        <v>10633</v>
      </c>
      <c r="C210" s="16">
        <v>16.0</v>
      </c>
      <c r="D210" s="16" t="s">
        <v>10444</v>
      </c>
      <c r="E210" s="16" t="s">
        <v>707</v>
      </c>
      <c r="F210" s="16">
        <v>2009.0</v>
      </c>
      <c r="G210" s="16">
        <v>54.6505</v>
      </c>
      <c r="H210" s="16">
        <v>8.8733</v>
      </c>
      <c r="I210" s="15"/>
      <c r="J210" s="15"/>
    </row>
    <row r="211">
      <c r="A211" s="18">
        <v>44656.0</v>
      </c>
      <c r="B211" s="16" t="s">
        <v>10633</v>
      </c>
      <c r="C211" s="16">
        <v>42.0</v>
      </c>
      <c r="D211" s="16" t="s">
        <v>10444</v>
      </c>
      <c r="E211" s="16" t="s">
        <v>707</v>
      </c>
      <c r="F211" s="16">
        <v>2014.0</v>
      </c>
      <c r="G211" s="16">
        <v>54.6455</v>
      </c>
      <c r="H211" s="16">
        <v>9.0172</v>
      </c>
      <c r="I211" s="15"/>
      <c r="J211" s="15"/>
    </row>
    <row r="212">
      <c r="A212" s="18">
        <v>44656.0</v>
      </c>
      <c r="B212" s="16" t="s">
        <v>10634</v>
      </c>
      <c r="C212" s="16">
        <v>12.0</v>
      </c>
      <c r="D212" s="16" t="s">
        <v>10444</v>
      </c>
      <c r="E212" s="16" t="s">
        <v>707</v>
      </c>
      <c r="F212" s="16">
        <v>2016.0</v>
      </c>
      <c r="G212" s="16">
        <v>52.9274</v>
      </c>
      <c r="H212" s="16">
        <v>7.5798</v>
      </c>
      <c r="I212" s="15"/>
      <c r="J212" s="15"/>
    </row>
    <row r="213">
      <c r="A213" s="18">
        <v>44656.0</v>
      </c>
      <c r="B213" s="16" t="s">
        <v>10634</v>
      </c>
      <c r="C213" s="16">
        <v>22.0</v>
      </c>
      <c r="D213" s="16" t="s">
        <v>10444</v>
      </c>
      <c r="E213" s="16" t="s">
        <v>707</v>
      </c>
      <c r="F213" s="16">
        <v>2017.0</v>
      </c>
      <c r="G213" s="16">
        <v>52.9255</v>
      </c>
      <c r="H213" s="16">
        <v>7.5686</v>
      </c>
      <c r="I213" s="15"/>
      <c r="J213" s="15"/>
    </row>
    <row r="214">
      <c r="A214" s="18">
        <v>44656.0</v>
      </c>
      <c r="B214" s="16" t="s">
        <v>10635</v>
      </c>
      <c r="C214" s="16">
        <v>312.0</v>
      </c>
      <c r="D214" s="16" t="s">
        <v>10462</v>
      </c>
      <c r="E214" s="16" t="s">
        <v>707</v>
      </c>
      <c r="F214" s="16">
        <v>2015.0</v>
      </c>
      <c r="G214" s="16">
        <v>53.9741</v>
      </c>
      <c r="H214" s="16">
        <v>6.4912</v>
      </c>
      <c r="I214" s="15"/>
      <c r="J214" s="15"/>
    </row>
    <row r="215">
      <c r="A215" s="18">
        <v>45012.0</v>
      </c>
      <c r="B215" s="16" t="s">
        <v>10636</v>
      </c>
      <c r="C215" s="16">
        <v>450.0</v>
      </c>
      <c r="D215" s="16" t="s">
        <v>10462</v>
      </c>
      <c r="E215" s="16" t="s">
        <v>707</v>
      </c>
      <c r="F215" s="16">
        <v>2019.0</v>
      </c>
      <c r="G215" s="16">
        <v>53.9665</v>
      </c>
      <c r="H215" s="16">
        <v>6.5493</v>
      </c>
      <c r="I215" s="15"/>
      <c r="J215" s="15"/>
    </row>
    <row r="216">
      <c r="A216" s="18">
        <v>44656.0</v>
      </c>
      <c r="B216" s="16" t="s">
        <v>10637</v>
      </c>
      <c r="C216" s="16">
        <v>33.0</v>
      </c>
      <c r="D216" s="16" t="s">
        <v>10444</v>
      </c>
      <c r="E216" s="16" t="s">
        <v>707</v>
      </c>
      <c r="F216" s="16">
        <v>2012.0</v>
      </c>
      <c r="G216" s="16">
        <v>51.9621</v>
      </c>
      <c r="H216" s="16">
        <v>11.6061</v>
      </c>
      <c r="I216" s="15"/>
      <c r="J216" s="15"/>
    </row>
    <row r="217">
      <c r="A217" s="18">
        <v>44656.0</v>
      </c>
      <c r="B217" s="16" t="s">
        <v>10638</v>
      </c>
      <c r="C217" s="16">
        <v>12.0</v>
      </c>
      <c r="D217" s="16" t="s">
        <v>10444</v>
      </c>
      <c r="E217" s="16" t="s">
        <v>707</v>
      </c>
      <c r="F217" s="16">
        <v>2012.0</v>
      </c>
      <c r="G217" s="16">
        <v>51.9621</v>
      </c>
      <c r="H217" s="16">
        <v>11.6061</v>
      </c>
      <c r="I217" s="15"/>
      <c r="J217" s="15"/>
    </row>
    <row r="218">
      <c r="A218" s="18">
        <v>45356.0</v>
      </c>
      <c r="B218" s="16" t="s">
        <v>10639</v>
      </c>
      <c r="C218" s="16">
        <v>25.0</v>
      </c>
      <c r="D218" s="16" t="s">
        <v>10444</v>
      </c>
      <c r="E218" s="16" t="s">
        <v>707</v>
      </c>
      <c r="F218" s="16">
        <v>2023.0</v>
      </c>
      <c r="G218" s="16">
        <v>51.9088</v>
      </c>
      <c r="H218" s="16">
        <v>10.1376</v>
      </c>
      <c r="I218" s="15"/>
      <c r="J218" s="15"/>
    </row>
    <row r="219">
      <c r="A219" s="18">
        <v>45013.0</v>
      </c>
      <c r="B219" s="16" t="s">
        <v>10640</v>
      </c>
      <c r="C219" s="16">
        <v>12.0</v>
      </c>
      <c r="D219" s="16" t="s">
        <v>10444</v>
      </c>
      <c r="E219" s="16" t="s">
        <v>707</v>
      </c>
      <c r="F219" s="16">
        <v>2010.0</v>
      </c>
      <c r="G219" s="16">
        <v>51.4585</v>
      </c>
      <c r="H219" s="16">
        <v>11.4718</v>
      </c>
      <c r="I219" s="15"/>
      <c r="J219" s="15"/>
    </row>
    <row r="220">
      <c r="A220" s="18">
        <v>44656.0</v>
      </c>
      <c r="B220" s="16" t="s">
        <v>10641</v>
      </c>
      <c r="C220" s="16">
        <v>37.0</v>
      </c>
      <c r="D220" s="16" t="s">
        <v>10444</v>
      </c>
      <c r="E220" s="16" t="s">
        <v>707</v>
      </c>
      <c r="F220" s="16">
        <v>2004.0</v>
      </c>
      <c r="G220" s="16">
        <v>52.1922</v>
      </c>
      <c r="H220" s="16">
        <v>11.3697</v>
      </c>
      <c r="I220" s="15"/>
      <c r="J220" s="15"/>
    </row>
    <row r="221">
      <c r="A221" s="18">
        <v>44656.0</v>
      </c>
      <c r="B221" s="16" t="s">
        <v>10641</v>
      </c>
      <c r="C221" s="16">
        <v>40.0</v>
      </c>
      <c r="D221" s="16" t="s">
        <v>10444</v>
      </c>
      <c r="E221" s="16" t="s">
        <v>707</v>
      </c>
      <c r="F221" s="15"/>
      <c r="G221" s="16">
        <v>52.1989</v>
      </c>
      <c r="H221" s="16">
        <v>11.375</v>
      </c>
      <c r="I221" s="15"/>
      <c r="J221" s="15"/>
    </row>
    <row r="222">
      <c r="A222" s="18">
        <v>44656.0</v>
      </c>
      <c r="B222" s="16" t="s">
        <v>10642</v>
      </c>
      <c r="C222" s="16">
        <v>20.0</v>
      </c>
      <c r="D222" s="16" t="s">
        <v>10444</v>
      </c>
      <c r="E222" s="16" t="s">
        <v>707</v>
      </c>
      <c r="F222" s="16">
        <v>2017.0</v>
      </c>
      <c r="G222" s="16">
        <v>52.499</v>
      </c>
      <c r="H222" s="16">
        <v>8.2501</v>
      </c>
      <c r="I222" s="15"/>
      <c r="J222" s="15"/>
    </row>
    <row r="223">
      <c r="A223" s="18">
        <v>44656.0</v>
      </c>
      <c r="B223" s="16" t="s">
        <v>10643</v>
      </c>
      <c r="C223" s="16">
        <v>12.0</v>
      </c>
      <c r="D223" s="16" t="s">
        <v>10444</v>
      </c>
      <c r="E223" s="16" t="s">
        <v>707</v>
      </c>
      <c r="F223" s="16">
        <v>2005.0</v>
      </c>
      <c r="G223" s="16">
        <v>53.3531</v>
      </c>
      <c r="H223" s="16">
        <v>7.253</v>
      </c>
      <c r="I223" s="15"/>
      <c r="J223" s="15"/>
    </row>
    <row r="224">
      <c r="A224" s="18">
        <v>44998.0</v>
      </c>
      <c r="B224" s="16" t="s">
        <v>10644</v>
      </c>
      <c r="C224" s="16">
        <v>21.0</v>
      </c>
      <c r="D224" s="16" t="s">
        <v>10444</v>
      </c>
      <c r="E224" s="16" t="s">
        <v>707</v>
      </c>
      <c r="F224" s="16">
        <v>2017.0</v>
      </c>
      <c r="G224" s="16">
        <v>52.7542</v>
      </c>
      <c r="H224" s="16">
        <v>8.6324</v>
      </c>
      <c r="I224" s="15"/>
      <c r="J224" s="15"/>
    </row>
    <row r="225">
      <c r="A225" s="18">
        <v>44656.0</v>
      </c>
      <c r="B225" s="16" t="s">
        <v>10645</v>
      </c>
      <c r="C225" s="16">
        <v>15.0</v>
      </c>
      <c r="D225" s="16" t="s">
        <v>10444</v>
      </c>
      <c r="E225" s="16" t="s">
        <v>707</v>
      </c>
      <c r="F225" s="16">
        <v>2014.0</v>
      </c>
      <c r="G225" s="16">
        <v>53.0282</v>
      </c>
      <c r="H225" s="16">
        <v>7.9276</v>
      </c>
      <c r="I225" s="15"/>
      <c r="J225" s="15"/>
    </row>
    <row r="226">
      <c r="A226" s="18">
        <v>44656.0</v>
      </c>
      <c r="B226" s="16" t="s">
        <v>10646</v>
      </c>
      <c r="C226" s="16">
        <v>31.0</v>
      </c>
      <c r="D226" s="16" t="s">
        <v>10444</v>
      </c>
      <c r="E226" s="16" t="s">
        <v>707</v>
      </c>
      <c r="F226" s="16">
        <v>2014.0</v>
      </c>
      <c r="G226" s="16">
        <v>53.0284</v>
      </c>
      <c r="H226" s="16">
        <v>7.9273</v>
      </c>
      <c r="I226" s="15"/>
      <c r="J226" s="15"/>
    </row>
    <row r="227">
      <c r="A227" s="18">
        <v>45664.0</v>
      </c>
      <c r="B227" s="16" t="s">
        <v>10647</v>
      </c>
      <c r="C227" s="16">
        <v>24.0</v>
      </c>
      <c r="D227" s="16" t="s">
        <v>10444</v>
      </c>
      <c r="E227" s="16" t="s">
        <v>707</v>
      </c>
      <c r="F227" s="16">
        <v>2024.0</v>
      </c>
      <c r="G227" s="16">
        <v>53.1477</v>
      </c>
      <c r="H227" s="16">
        <v>10.6402</v>
      </c>
      <c r="I227" s="15"/>
      <c r="J227" s="15"/>
    </row>
    <row r="228">
      <c r="A228" s="18">
        <v>44656.0</v>
      </c>
      <c r="B228" s="16" t="s">
        <v>10648</v>
      </c>
      <c r="C228" s="16">
        <v>10.0</v>
      </c>
      <c r="D228" s="16" t="s">
        <v>10444</v>
      </c>
      <c r="E228" s="16" t="s">
        <v>707</v>
      </c>
      <c r="F228" s="16">
        <v>2004.0</v>
      </c>
      <c r="G228" s="16">
        <v>49.5117</v>
      </c>
      <c r="H228" s="16">
        <v>9.5722</v>
      </c>
      <c r="I228" s="15"/>
      <c r="J228" s="15"/>
    </row>
    <row r="229">
      <c r="A229" s="18">
        <v>44656.0</v>
      </c>
      <c r="B229" s="16" t="s">
        <v>10649</v>
      </c>
      <c r="C229" s="16">
        <v>10.0</v>
      </c>
      <c r="D229" s="16" t="s">
        <v>10444</v>
      </c>
      <c r="E229" s="16" t="s">
        <v>707</v>
      </c>
      <c r="F229" s="16">
        <v>2017.0</v>
      </c>
      <c r="G229" s="16">
        <v>50.3105</v>
      </c>
      <c r="H229" s="16">
        <v>9.2491</v>
      </c>
      <c r="I229" s="15"/>
      <c r="J229" s="15"/>
    </row>
    <row r="230">
      <c r="A230" s="18">
        <v>44656.0</v>
      </c>
      <c r="B230" s="16" t="s">
        <v>10650</v>
      </c>
      <c r="C230" s="16">
        <v>24.0</v>
      </c>
      <c r="D230" s="16" t="s">
        <v>10444</v>
      </c>
      <c r="E230" s="16" t="s">
        <v>707</v>
      </c>
      <c r="F230" s="16">
        <v>2007.0</v>
      </c>
      <c r="G230" s="16">
        <v>54.8208</v>
      </c>
      <c r="H230" s="16">
        <v>8.8723</v>
      </c>
      <c r="I230" s="15"/>
      <c r="J230" s="15"/>
    </row>
    <row r="231">
      <c r="A231" s="18">
        <v>44656.0</v>
      </c>
      <c r="B231" s="16" t="s">
        <v>10651</v>
      </c>
      <c r="C231" s="16">
        <v>18.0</v>
      </c>
      <c r="D231" s="16" t="s">
        <v>10444</v>
      </c>
      <c r="E231" s="16" t="s">
        <v>707</v>
      </c>
      <c r="F231" s="16">
        <v>2006.0</v>
      </c>
      <c r="G231" s="16">
        <v>54.8236</v>
      </c>
      <c r="H231" s="16">
        <v>8.8819</v>
      </c>
      <c r="I231" s="15"/>
      <c r="J231" s="15"/>
    </row>
    <row r="232">
      <c r="A232" s="18">
        <v>44656.0</v>
      </c>
      <c r="B232" s="16" t="s">
        <v>10652</v>
      </c>
      <c r="C232" s="16">
        <v>20.0</v>
      </c>
      <c r="D232" s="16" t="s">
        <v>10444</v>
      </c>
      <c r="E232" s="16" t="s">
        <v>707</v>
      </c>
      <c r="F232" s="16">
        <v>2013.0</v>
      </c>
      <c r="G232" s="16">
        <v>54.8469</v>
      </c>
      <c r="H232" s="16">
        <v>8.9105</v>
      </c>
      <c r="I232" s="15"/>
      <c r="J232" s="15"/>
    </row>
    <row r="233">
      <c r="A233" s="18">
        <v>44656.0</v>
      </c>
      <c r="B233" s="16" t="s">
        <v>10653</v>
      </c>
      <c r="C233" s="16">
        <v>30.0</v>
      </c>
      <c r="D233" s="16" t="s">
        <v>10444</v>
      </c>
      <c r="E233" s="16" t="s">
        <v>707</v>
      </c>
      <c r="F233" s="16">
        <v>2021.0</v>
      </c>
      <c r="G233" s="16">
        <v>54.8535</v>
      </c>
      <c r="H233" s="16">
        <v>9.1071</v>
      </c>
      <c r="I233" s="15"/>
      <c r="J233" s="15"/>
    </row>
    <row r="234">
      <c r="A234" s="18">
        <v>45376.0</v>
      </c>
      <c r="B234" s="16" t="s">
        <v>10654</v>
      </c>
      <c r="C234" s="16">
        <v>21.0</v>
      </c>
      <c r="D234" s="16" t="s">
        <v>10444</v>
      </c>
      <c r="E234" s="16" t="s">
        <v>707</v>
      </c>
      <c r="F234" s="16">
        <v>2023.0</v>
      </c>
      <c r="G234" s="16">
        <v>50.6926</v>
      </c>
      <c r="H234" s="16">
        <v>9.3699</v>
      </c>
      <c r="I234" s="15"/>
      <c r="J234" s="15"/>
    </row>
    <row r="235">
      <c r="A235" s="18">
        <v>44656.0</v>
      </c>
      <c r="B235" s="16" t="s">
        <v>10655</v>
      </c>
      <c r="C235" s="16">
        <v>12.0</v>
      </c>
      <c r="D235" s="16" t="s">
        <v>10444</v>
      </c>
      <c r="E235" s="16" t="s">
        <v>707</v>
      </c>
      <c r="F235" s="16">
        <v>2016.0</v>
      </c>
      <c r="G235" s="16">
        <v>49.2374</v>
      </c>
      <c r="H235" s="16">
        <v>9.8145</v>
      </c>
      <c r="I235" s="15"/>
      <c r="J235" s="15"/>
    </row>
    <row r="236">
      <c r="A236" s="18">
        <v>44656.0</v>
      </c>
      <c r="B236" s="16" t="s">
        <v>10656</v>
      </c>
      <c r="C236" s="16">
        <v>15.0</v>
      </c>
      <c r="D236" s="16" t="s">
        <v>10444</v>
      </c>
      <c r="E236" s="16" t="s">
        <v>707</v>
      </c>
      <c r="F236" s="16">
        <v>2015.0</v>
      </c>
      <c r="G236" s="16">
        <v>54.8937</v>
      </c>
      <c r="H236" s="16">
        <v>8.9566</v>
      </c>
      <c r="I236" s="15"/>
      <c r="J236" s="15"/>
    </row>
    <row r="237">
      <c r="A237" s="18">
        <v>44656.0</v>
      </c>
      <c r="B237" s="16" t="s">
        <v>10656</v>
      </c>
      <c r="C237" s="16">
        <v>21.0</v>
      </c>
      <c r="D237" s="16" t="s">
        <v>10444</v>
      </c>
      <c r="E237" s="16" t="s">
        <v>707</v>
      </c>
      <c r="F237" s="16">
        <v>2017.0</v>
      </c>
      <c r="G237" s="16">
        <v>54.8937</v>
      </c>
      <c r="H237" s="16">
        <v>8.9566</v>
      </c>
      <c r="I237" s="15"/>
      <c r="J237" s="15"/>
    </row>
    <row r="238">
      <c r="A238" s="18">
        <v>44656.0</v>
      </c>
      <c r="B238" s="16" t="s">
        <v>10657</v>
      </c>
      <c r="C238" s="16">
        <v>18.0</v>
      </c>
      <c r="D238" s="16" t="s">
        <v>10444</v>
      </c>
      <c r="E238" s="16" t="s">
        <v>707</v>
      </c>
      <c r="F238" s="16">
        <v>2005.0</v>
      </c>
      <c r="G238" s="16">
        <v>50.9928</v>
      </c>
      <c r="H238" s="16">
        <v>5.9971</v>
      </c>
      <c r="I238" s="15"/>
      <c r="J238" s="15"/>
    </row>
    <row r="239">
      <c r="A239" s="18">
        <v>44656.0</v>
      </c>
      <c r="B239" s="16" t="s">
        <v>10658</v>
      </c>
      <c r="C239" s="16">
        <v>15.0</v>
      </c>
      <c r="D239" s="16" t="s">
        <v>10444</v>
      </c>
      <c r="E239" s="16" t="s">
        <v>707</v>
      </c>
      <c r="F239" s="16">
        <v>2016.0</v>
      </c>
      <c r="G239" s="16">
        <v>52.2606</v>
      </c>
      <c r="H239" s="16">
        <v>7.25</v>
      </c>
      <c r="I239" s="15"/>
      <c r="J239" s="15"/>
    </row>
    <row r="240">
      <c r="A240" s="18">
        <v>44656.0</v>
      </c>
      <c r="B240" s="16" t="s">
        <v>10658</v>
      </c>
      <c r="C240" s="16">
        <v>15.0</v>
      </c>
      <c r="D240" s="16" t="s">
        <v>10444</v>
      </c>
      <c r="E240" s="16" t="s">
        <v>707</v>
      </c>
      <c r="F240" s="16">
        <v>2016.0</v>
      </c>
      <c r="G240" s="16">
        <v>52.2606</v>
      </c>
      <c r="H240" s="16">
        <v>7.25</v>
      </c>
      <c r="I240" s="15"/>
      <c r="J240" s="15"/>
    </row>
    <row r="241">
      <c r="A241" s="18">
        <v>45664.0</v>
      </c>
      <c r="B241" s="16" t="s">
        <v>10659</v>
      </c>
      <c r="C241" s="16">
        <v>17.0</v>
      </c>
      <c r="D241" s="16" t="s">
        <v>10444</v>
      </c>
      <c r="E241" s="16" t="s">
        <v>707</v>
      </c>
      <c r="F241" s="16">
        <v>2024.0</v>
      </c>
      <c r="G241" s="16">
        <v>51.3299</v>
      </c>
      <c r="H241" s="16">
        <v>7.5599</v>
      </c>
      <c r="I241" s="15"/>
      <c r="J241" s="15"/>
    </row>
    <row r="242">
      <c r="A242" s="18">
        <v>45021.0</v>
      </c>
      <c r="B242" s="16" t="s">
        <v>10660</v>
      </c>
      <c r="C242" s="16">
        <v>13.0</v>
      </c>
      <c r="D242" s="16" t="s">
        <v>10444</v>
      </c>
      <c r="E242" s="16" t="s">
        <v>707</v>
      </c>
      <c r="F242" s="16">
        <v>2016.0</v>
      </c>
      <c r="G242" s="16">
        <v>51.7997</v>
      </c>
      <c r="H242" s="16">
        <v>9.1508</v>
      </c>
      <c r="I242" s="15"/>
      <c r="J242" s="15"/>
    </row>
    <row r="243">
      <c r="A243" s="18">
        <v>44656.0</v>
      </c>
      <c r="B243" s="16" t="s">
        <v>10661</v>
      </c>
      <c r="C243" s="16">
        <v>16.0</v>
      </c>
      <c r="D243" s="16" t="s">
        <v>10444</v>
      </c>
      <c r="E243" s="16" t="s">
        <v>707</v>
      </c>
      <c r="F243" s="16">
        <v>2003.0</v>
      </c>
      <c r="G243" s="16">
        <v>51.7961</v>
      </c>
      <c r="H243" s="16">
        <v>9.1604</v>
      </c>
      <c r="I243" s="15"/>
      <c r="J243" s="15"/>
    </row>
    <row r="244">
      <c r="A244" s="18">
        <v>44656.0</v>
      </c>
      <c r="B244" s="16" t="s">
        <v>10662</v>
      </c>
      <c r="C244" s="16">
        <v>15.0</v>
      </c>
      <c r="D244" s="16" t="s">
        <v>10444</v>
      </c>
      <c r="E244" s="16" t="s">
        <v>707</v>
      </c>
      <c r="F244" s="16">
        <v>2013.0</v>
      </c>
      <c r="G244" s="16">
        <v>53.8678</v>
      </c>
      <c r="H244" s="16">
        <v>12.2128</v>
      </c>
      <c r="I244" s="15"/>
      <c r="J244" s="15"/>
    </row>
    <row r="245">
      <c r="A245" s="18">
        <v>44656.0</v>
      </c>
      <c r="B245" s="16" t="s">
        <v>10663</v>
      </c>
      <c r="C245" s="16">
        <v>14.0</v>
      </c>
      <c r="D245" s="16" t="s">
        <v>10444</v>
      </c>
      <c r="E245" s="16" t="s">
        <v>707</v>
      </c>
      <c r="F245" s="16">
        <v>2005.0</v>
      </c>
      <c r="G245" s="16">
        <v>52.5751</v>
      </c>
      <c r="H245" s="16">
        <v>12.9371</v>
      </c>
      <c r="I245" s="15"/>
      <c r="J245" s="15"/>
    </row>
    <row r="246">
      <c r="A246" s="18">
        <v>44656.0</v>
      </c>
      <c r="B246" s="16" t="s">
        <v>10663</v>
      </c>
      <c r="C246" s="16">
        <v>14.0</v>
      </c>
      <c r="D246" s="16" t="s">
        <v>10444</v>
      </c>
      <c r="E246" s="16" t="s">
        <v>707</v>
      </c>
      <c r="F246" s="16">
        <v>2008.0</v>
      </c>
      <c r="G246" s="16">
        <v>52.5685</v>
      </c>
      <c r="H246" s="16">
        <v>12.9295</v>
      </c>
      <c r="I246" s="15"/>
      <c r="J246" s="15"/>
    </row>
    <row r="247">
      <c r="A247" s="18">
        <v>45021.0</v>
      </c>
      <c r="B247" s="16" t="s">
        <v>10664</v>
      </c>
      <c r="C247" s="16">
        <v>23.0</v>
      </c>
      <c r="D247" s="16" t="s">
        <v>10444</v>
      </c>
      <c r="E247" s="16" t="s">
        <v>707</v>
      </c>
      <c r="F247" s="16">
        <v>2015.0</v>
      </c>
      <c r="G247" s="16">
        <v>54.5782</v>
      </c>
      <c r="H247" s="16">
        <v>8.9782</v>
      </c>
      <c r="I247" s="15"/>
      <c r="J247" s="15"/>
    </row>
    <row r="248">
      <c r="A248" s="18">
        <v>44656.0</v>
      </c>
      <c r="B248" s="16" t="s">
        <v>10665</v>
      </c>
      <c r="C248" s="16">
        <v>21.0</v>
      </c>
      <c r="D248" s="16" t="s">
        <v>10444</v>
      </c>
      <c r="E248" s="16" t="s">
        <v>707</v>
      </c>
      <c r="F248" s="16">
        <v>2013.0</v>
      </c>
      <c r="G248" s="16">
        <v>53.6405</v>
      </c>
      <c r="H248" s="16">
        <v>13.1492</v>
      </c>
      <c r="I248" s="15"/>
      <c r="J248" s="15"/>
    </row>
    <row r="249">
      <c r="A249" s="18">
        <v>44656.0</v>
      </c>
      <c r="B249" s="16" t="s">
        <v>10666</v>
      </c>
      <c r="C249" s="16">
        <v>19.0</v>
      </c>
      <c r="D249" s="16" t="s">
        <v>10444</v>
      </c>
      <c r="E249" s="16" t="s">
        <v>707</v>
      </c>
      <c r="F249" s="16">
        <v>2012.0</v>
      </c>
      <c r="G249" s="16">
        <v>53.6457</v>
      </c>
      <c r="H249" s="16">
        <v>13.1881</v>
      </c>
      <c r="I249" s="15"/>
      <c r="J249" s="15"/>
    </row>
    <row r="250">
      <c r="A250" s="18">
        <v>44656.0</v>
      </c>
      <c r="B250" s="16" t="s">
        <v>10667</v>
      </c>
      <c r="C250" s="16">
        <v>13.0</v>
      </c>
      <c r="D250" s="16" t="s">
        <v>10444</v>
      </c>
      <c r="E250" s="16" t="s">
        <v>707</v>
      </c>
      <c r="F250" s="16">
        <v>2017.0</v>
      </c>
      <c r="G250" s="16">
        <v>49.7739</v>
      </c>
      <c r="H250" s="16">
        <v>6.9306</v>
      </c>
      <c r="I250" s="15"/>
      <c r="J250" s="15"/>
    </row>
    <row r="251">
      <c r="A251" s="18">
        <v>44656.0</v>
      </c>
      <c r="B251" s="16" t="s">
        <v>10668</v>
      </c>
      <c r="C251" s="16">
        <v>26.0</v>
      </c>
      <c r="D251" s="16" t="s">
        <v>10444</v>
      </c>
      <c r="E251" s="16" t="s">
        <v>707</v>
      </c>
      <c r="F251" s="16">
        <v>2018.0</v>
      </c>
      <c r="G251" s="16">
        <v>50.35</v>
      </c>
      <c r="H251" s="16">
        <v>9.4898</v>
      </c>
      <c r="I251" s="15"/>
      <c r="J251" s="15"/>
    </row>
    <row r="252">
      <c r="A252" s="18">
        <v>45021.0</v>
      </c>
      <c r="B252" s="16" t="s">
        <v>10669</v>
      </c>
      <c r="C252" s="16">
        <v>16.0</v>
      </c>
      <c r="D252" s="16" t="s">
        <v>10444</v>
      </c>
      <c r="E252" s="16" t="s">
        <v>707</v>
      </c>
      <c r="F252" s="16">
        <v>2014.0</v>
      </c>
      <c r="G252" s="16">
        <v>54.6241</v>
      </c>
      <c r="H252" s="16">
        <v>9.0182</v>
      </c>
      <c r="I252" s="15"/>
      <c r="J252" s="15"/>
    </row>
    <row r="253">
      <c r="A253" s="18">
        <v>45021.0</v>
      </c>
      <c r="B253" s="16" t="s">
        <v>10669</v>
      </c>
      <c r="C253" s="16">
        <v>16.0</v>
      </c>
      <c r="D253" s="16" t="s">
        <v>10444</v>
      </c>
      <c r="E253" s="16" t="s">
        <v>707</v>
      </c>
      <c r="F253" s="16">
        <v>2014.0</v>
      </c>
      <c r="G253" s="16">
        <v>54.5946</v>
      </c>
      <c r="H253" s="16">
        <v>8.9622</v>
      </c>
      <c r="I253" s="15"/>
      <c r="J253" s="15"/>
    </row>
    <row r="254">
      <c r="A254" s="18">
        <v>44656.0</v>
      </c>
      <c r="B254" s="16" t="s">
        <v>10670</v>
      </c>
      <c r="C254" s="16">
        <v>10.0</v>
      </c>
      <c r="D254" s="16" t="s">
        <v>10444</v>
      </c>
      <c r="E254" s="16" t="s">
        <v>707</v>
      </c>
      <c r="F254" s="16">
        <v>2002.0</v>
      </c>
      <c r="G254" s="16">
        <v>53.0273</v>
      </c>
      <c r="H254" s="16">
        <v>8.9348</v>
      </c>
      <c r="I254" s="15"/>
      <c r="J254" s="15"/>
    </row>
    <row r="255">
      <c r="A255" s="18">
        <v>44656.0</v>
      </c>
      <c r="B255" s="16" t="s">
        <v>10670</v>
      </c>
      <c r="C255" s="16">
        <v>12.0</v>
      </c>
      <c r="D255" s="16" t="s">
        <v>10444</v>
      </c>
      <c r="E255" s="16" t="s">
        <v>707</v>
      </c>
      <c r="F255" s="16">
        <v>2011.0</v>
      </c>
      <c r="G255" s="16">
        <v>53.0226</v>
      </c>
      <c r="H255" s="16">
        <v>8.932</v>
      </c>
      <c r="I255" s="15"/>
      <c r="J255" s="15"/>
    </row>
    <row r="256">
      <c r="A256" s="18">
        <v>44985.0</v>
      </c>
      <c r="B256" s="16" t="s">
        <v>10670</v>
      </c>
      <c r="C256" s="16">
        <v>13.0</v>
      </c>
      <c r="D256" s="16" t="s">
        <v>10444</v>
      </c>
      <c r="E256" s="16" t="s">
        <v>707</v>
      </c>
      <c r="F256" s="16">
        <v>2021.0</v>
      </c>
      <c r="G256" s="16">
        <v>53.0212</v>
      </c>
      <c r="H256" s="16">
        <v>8.9459</v>
      </c>
      <c r="I256" s="15"/>
      <c r="J256" s="15"/>
    </row>
    <row r="257">
      <c r="A257" s="18">
        <v>44656.0</v>
      </c>
      <c r="B257" s="16" t="s">
        <v>10671</v>
      </c>
      <c r="C257" s="16">
        <v>10.0</v>
      </c>
      <c r="D257" s="16" t="s">
        <v>10444</v>
      </c>
      <c r="E257" s="16" t="s">
        <v>707</v>
      </c>
      <c r="F257" s="16">
        <v>2008.0</v>
      </c>
      <c r="G257" s="16">
        <v>53.5589</v>
      </c>
      <c r="H257" s="16">
        <v>8.6237</v>
      </c>
      <c r="I257" s="15"/>
      <c r="J257" s="15"/>
    </row>
    <row r="258">
      <c r="A258" s="18">
        <v>44991.0</v>
      </c>
      <c r="B258" s="16" t="s">
        <v>10672</v>
      </c>
      <c r="C258" s="16">
        <v>28.0</v>
      </c>
      <c r="D258" s="16" t="s">
        <v>10444</v>
      </c>
      <c r="E258" s="16" t="s">
        <v>707</v>
      </c>
      <c r="F258" s="16">
        <v>2021.0</v>
      </c>
      <c r="G258" s="16">
        <v>53.4347</v>
      </c>
      <c r="H258" s="16">
        <v>9.3864</v>
      </c>
      <c r="I258" s="15"/>
      <c r="J258" s="15"/>
    </row>
    <row r="259">
      <c r="A259" s="18">
        <v>44999.0</v>
      </c>
      <c r="B259" s="16" t="s">
        <v>10673</v>
      </c>
      <c r="C259" s="16">
        <v>14.0</v>
      </c>
      <c r="D259" s="16" t="s">
        <v>10444</v>
      </c>
      <c r="E259" s="16" t="s">
        <v>707</v>
      </c>
      <c r="F259" s="16">
        <v>2022.0</v>
      </c>
      <c r="G259" s="16">
        <v>49.1044</v>
      </c>
      <c r="H259" s="16">
        <v>9.4355</v>
      </c>
      <c r="I259" s="15"/>
      <c r="J259" s="15"/>
    </row>
    <row r="260">
      <c r="A260" s="18">
        <v>44656.0</v>
      </c>
      <c r="B260" s="16" t="s">
        <v>10674</v>
      </c>
      <c r="C260" s="16">
        <v>15.0</v>
      </c>
      <c r="D260" s="16" t="s">
        <v>10444</v>
      </c>
      <c r="E260" s="16" t="s">
        <v>707</v>
      </c>
      <c r="F260" s="16">
        <v>2004.0</v>
      </c>
      <c r="G260" s="16">
        <v>52.7598</v>
      </c>
      <c r="H260" s="16">
        <v>13.8404</v>
      </c>
      <c r="I260" s="15"/>
      <c r="J260" s="15"/>
    </row>
    <row r="261">
      <c r="A261" s="18">
        <v>44656.0</v>
      </c>
      <c r="B261" s="16" t="s">
        <v>10675</v>
      </c>
      <c r="C261" s="16">
        <v>22.0</v>
      </c>
      <c r="D261" s="16" t="s">
        <v>10444</v>
      </c>
      <c r="E261" s="16" t="s">
        <v>707</v>
      </c>
      <c r="F261" s="16">
        <v>2009.0</v>
      </c>
      <c r="G261" s="16">
        <v>51.9575</v>
      </c>
      <c r="H261" s="16">
        <v>13.9839</v>
      </c>
      <c r="I261" s="15"/>
      <c r="J261" s="15"/>
    </row>
    <row r="262">
      <c r="A262" s="18">
        <v>45020.0</v>
      </c>
      <c r="B262" s="16" t="s">
        <v>10676</v>
      </c>
      <c r="C262" s="16">
        <v>12.0</v>
      </c>
      <c r="D262" s="16" t="s">
        <v>10444</v>
      </c>
      <c r="E262" s="16" t="s">
        <v>707</v>
      </c>
      <c r="F262" s="16">
        <v>2018.0</v>
      </c>
      <c r="G262" s="16">
        <v>51.4268</v>
      </c>
      <c r="H262" s="16">
        <v>8.6051</v>
      </c>
      <c r="I262" s="15"/>
      <c r="J262" s="15"/>
    </row>
    <row r="263">
      <c r="A263" s="18">
        <v>45021.0</v>
      </c>
      <c r="B263" s="16" t="s">
        <v>10677</v>
      </c>
      <c r="C263" s="16">
        <v>17.0</v>
      </c>
      <c r="D263" s="16" t="s">
        <v>10444</v>
      </c>
      <c r="E263" s="16" t="s">
        <v>707</v>
      </c>
      <c r="F263" s="16">
        <v>2018.0</v>
      </c>
      <c r="G263" s="16">
        <v>51.4026</v>
      </c>
      <c r="H263" s="16">
        <v>8.5213</v>
      </c>
      <c r="I263" s="15"/>
      <c r="J263" s="15"/>
    </row>
    <row r="264">
      <c r="A264" s="18">
        <v>44656.0</v>
      </c>
      <c r="B264" s="16" t="s">
        <v>10678</v>
      </c>
      <c r="C264" s="16">
        <v>10.0</v>
      </c>
      <c r="D264" s="16" t="s">
        <v>10444</v>
      </c>
      <c r="E264" s="16" t="s">
        <v>707</v>
      </c>
      <c r="F264" s="16">
        <v>2009.0</v>
      </c>
      <c r="G264" s="16">
        <v>52.5165</v>
      </c>
      <c r="H264" s="16">
        <v>10.2329</v>
      </c>
      <c r="I264" s="15"/>
      <c r="J264" s="15"/>
    </row>
    <row r="265">
      <c r="A265" s="18">
        <v>44656.0</v>
      </c>
      <c r="B265" s="16" t="s">
        <v>10679</v>
      </c>
      <c r="C265" s="16">
        <v>24.0</v>
      </c>
      <c r="D265" s="16" t="s">
        <v>10444</v>
      </c>
      <c r="E265" s="16" t="s">
        <v>707</v>
      </c>
      <c r="F265" s="16">
        <v>2016.0</v>
      </c>
      <c r="G265" s="16">
        <v>53.5388</v>
      </c>
      <c r="H265" s="16">
        <v>8.9545</v>
      </c>
      <c r="I265" s="15"/>
      <c r="J265" s="15"/>
    </row>
    <row r="266">
      <c r="A266" s="18">
        <v>44656.0</v>
      </c>
      <c r="B266" s="16" t="s">
        <v>10679</v>
      </c>
      <c r="C266" s="16">
        <v>12.0</v>
      </c>
      <c r="D266" s="16" t="s">
        <v>10444</v>
      </c>
      <c r="E266" s="16" t="s">
        <v>707</v>
      </c>
      <c r="F266" s="16">
        <v>2016.0</v>
      </c>
      <c r="G266" s="16">
        <v>53.5355</v>
      </c>
      <c r="H266" s="16">
        <v>8.9677</v>
      </c>
      <c r="I266" s="15"/>
      <c r="J266" s="15"/>
    </row>
    <row r="267">
      <c r="A267" s="18">
        <v>44985.0</v>
      </c>
      <c r="B267" s="16" t="s">
        <v>10680</v>
      </c>
      <c r="C267" s="16">
        <v>28.0</v>
      </c>
      <c r="D267" s="16" t="s">
        <v>10444</v>
      </c>
      <c r="E267" s="16" t="s">
        <v>707</v>
      </c>
      <c r="F267" s="16">
        <v>2021.0</v>
      </c>
      <c r="G267" s="16">
        <v>52.5514</v>
      </c>
      <c r="H267" s="16">
        <v>8.99</v>
      </c>
      <c r="I267" s="15"/>
      <c r="J267" s="15"/>
    </row>
    <row r="268">
      <c r="A268" s="18">
        <v>44985.0</v>
      </c>
      <c r="B268" s="16" t="s">
        <v>10680</v>
      </c>
      <c r="C268" s="16">
        <v>28.0</v>
      </c>
      <c r="D268" s="16" t="s">
        <v>10444</v>
      </c>
      <c r="E268" s="16" t="s">
        <v>707</v>
      </c>
      <c r="F268" s="16">
        <v>2021.0</v>
      </c>
      <c r="G268" s="16">
        <v>52.5514</v>
      </c>
      <c r="H268" s="16">
        <v>8.99</v>
      </c>
      <c r="I268" s="15"/>
      <c r="J268" s="15"/>
    </row>
    <row r="269">
      <c r="A269" s="18">
        <v>44656.0</v>
      </c>
      <c r="B269" s="16" t="s">
        <v>10680</v>
      </c>
      <c r="C269" s="16">
        <v>28.0</v>
      </c>
      <c r="D269" s="16" t="s">
        <v>10444</v>
      </c>
      <c r="E269" s="16" t="s">
        <v>707</v>
      </c>
      <c r="F269" s="16">
        <v>2021.0</v>
      </c>
      <c r="G269" s="16">
        <v>52.5514</v>
      </c>
      <c r="H269" s="16">
        <v>8.99</v>
      </c>
      <c r="I269" s="15"/>
      <c r="J269" s="15"/>
    </row>
    <row r="270">
      <c r="A270" s="18">
        <v>44656.0</v>
      </c>
      <c r="B270" s="16" t="s">
        <v>10681</v>
      </c>
      <c r="C270" s="16">
        <v>14.0</v>
      </c>
      <c r="D270" s="16" t="s">
        <v>10444</v>
      </c>
      <c r="E270" s="16" t="s">
        <v>707</v>
      </c>
      <c r="F270" s="16">
        <v>2005.0</v>
      </c>
      <c r="G270" s="16">
        <v>52.8289</v>
      </c>
      <c r="H270" s="16">
        <v>8.9889</v>
      </c>
      <c r="I270" s="15"/>
      <c r="J270" s="15"/>
    </row>
    <row r="271">
      <c r="A271" s="18">
        <v>44656.0</v>
      </c>
      <c r="B271" s="16" t="s">
        <v>10682</v>
      </c>
      <c r="C271" s="16">
        <v>12.0</v>
      </c>
      <c r="D271" s="16" t="s">
        <v>10444</v>
      </c>
      <c r="E271" s="16" t="s">
        <v>707</v>
      </c>
      <c r="F271" s="16">
        <v>2014.0</v>
      </c>
      <c r="G271" s="16">
        <v>48.3367</v>
      </c>
      <c r="H271" s="16">
        <v>11.1747</v>
      </c>
      <c r="I271" s="15"/>
      <c r="J271" s="15"/>
    </row>
    <row r="272">
      <c r="A272" s="18">
        <v>45002.0</v>
      </c>
      <c r="B272" s="16" t="s">
        <v>10683</v>
      </c>
      <c r="C272" s="16">
        <v>10.0</v>
      </c>
      <c r="D272" s="16" t="s">
        <v>10444</v>
      </c>
      <c r="E272" s="16" t="s">
        <v>707</v>
      </c>
      <c r="F272" s="16">
        <v>2014.0</v>
      </c>
      <c r="G272" s="16">
        <v>49.8953</v>
      </c>
      <c r="H272" s="16">
        <v>10.2924</v>
      </c>
      <c r="I272" s="15"/>
      <c r="J272" s="15"/>
    </row>
    <row r="273">
      <c r="A273" s="18">
        <v>44656.0</v>
      </c>
      <c r="B273" s="16" t="s">
        <v>10684</v>
      </c>
      <c r="C273" s="16">
        <v>20.0</v>
      </c>
      <c r="D273" s="16" t="s">
        <v>10444</v>
      </c>
      <c r="E273" s="16" t="s">
        <v>707</v>
      </c>
      <c r="F273" s="16">
        <v>2004.0</v>
      </c>
      <c r="G273" s="16">
        <v>53.8933</v>
      </c>
      <c r="H273" s="16">
        <v>9.2069</v>
      </c>
      <c r="I273" s="15"/>
      <c r="J273" s="15"/>
    </row>
    <row r="274">
      <c r="A274" s="18">
        <v>45021.0</v>
      </c>
      <c r="B274" s="16" t="s">
        <v>10684</v>
      </c>
      <c r="C274" s="16">
        <v>26.0</v>
      </c>
      <c r="D274" s="16" t="s">
        <v>10444</v>
      </c>
      <c r="E274" s="16" t="s">
        <v>707</v>
      </c>
      <c r="F274" s="16">
        <v>2016.0</v>
      </c>
      <c r="G274" s="16">
        <v>53.9283</v>
      </c>
      <c r="H274" s="16">
        <v>9.1138</v>
      </c>
      <c r="I274" s="15"/>
      <c r="J274" s="15"/>
    </row>
    <row r="275">
      <c r="A275" s="18">
        <v>44656.0</v>
      </c>
      <c r="B275" s="16" t="s">
        <v>10685</v>
      </c>
      <c r="C275" s="16">
        <v>36.0</v>
      </c>
      <c r="D275" s="16" t="s">
        <v>10444</v>
      </c>
      <c r="E275" s="16" t="s">
        <v>707</v>
      </c>
      <c r="F275" s="16">
        <v>2010.0</v>
      </c>
      <c r="G275" s="16">
        <v>53.9021</v>
      </c>
      <c r="H275" s="16">
        <v>9.0757</v>
      </c>
      <c r="I275" s="15"/>
      <c r="J275" s="15"/>
    </row>
    <row r="276">
      <c r="A276" s="18">
        <v>44656.0</v>
      </c>
      <c r="B276" s="16" t="s">
        <v>10686</v>
      </c>
      <c r="C276" s="16">
        <v>13.0</v>
      </c>
      <c r="D276" s="16" t="s">
        <v>10444</v>
      </c>
      <c r="E276" s="16" t="s">
        <v>707</v>
      </c>
      <c r="F276" s="16">
        <v>2021.0</v>
      </c>
      <c r="G276" s="16">
        <v>50.8961</v>
      </c>
      <c r="H276" s="16">
        <v>11.4899</v>
      </c>
      <c r="I276" s="15"/>
      <c r="J276" s="15"/>
    </row>
    <row r="277">
      <c r="A277" s="18">
        <v>45013.0</v>
      </c>
      <c r="B277" s="16" t="s">
        <v>10687</v>
      </c>
      <c r="C277" s="16">
        <v>10.0</v>
      </c>
      <c r="D277" s="16" t="s">
        <v>10444</v>
      </c>
      <c r="E277" s="16" t="s">
        <v>707</v>
      </c>
      <c r="F277" s="16">
        <v>2016.0</v>
      </c>
      <c r="G277" s="16">
        <v>49.7838</v>
      </c>
      <c r="H277" s="16">
        <v>11.5156</v>
      </c>
      <c r="I277" s="15"/>
      <c r="J277" s="15"/>
    </row>
    <row r="278">
      <c r="A278" s="18">
        <v>44656.0</v>
      </c>
      <c r="B278" s="16" t="s">
        <v>10688</v>
      </c>
      <c r="C278" s="16">
        <v>30.0</v>
      </c>
      <c r="D278" s="16" t="s">
        <v>10444</v>
      </c>
      <c r="E278" s="16" t="s">
        <v>707</v>
      </c>
      <c r="F278" s="16">
        <v>2018.0</v>
      </c>
      <c r="G278" s="16">
        <v>50.782</v>
      </c>
      <c r="H278" s="16">
        <v>9.745</v>
      </c>
      <c r="I278" s="15"/>
      <c r="J278" s="15"/>
    </row>
    <row r="279">
      <c r="A279" s="18">
        <v>44656.0</v>
      </c>
      <c r="B279" s="16" t="s">
        <v>10689</v>
      </c>
      <c r="C279" s="16">
        <v>17.0</v>
      </c>
      <c r="D279" s="16" t="s">
        <v>10444</v>
      </c>
      <c r="E279" s="16" t="s">
        <v>707</v>
      </c>
      <c r="F279" s="16">
        <v>2016.0</v>
      </c>
      <c r="G279" s="16">
        <v>50.7733</v>
      </c>
      <c r="H279" s="16">
        <v>9.7386</v>
      </c>
      <c r="I279" s="15"/>
      <c r="J279" s="15"/>
    </row>
    <row r="280">
      <c r="A280" s="18">
        <v>44656.0</v>
      </c>
      <c r="B280" s="16" t="s">
        <v>10690</v>
      </c>
      <c r="C280" s="16">
        <v>12.0</v>
      </c>
      <c r="D280" s="16" t="s">
        <v>10444</v>
      </c>
      <c r="E280" s="16" t="s">
        <v>707</v>
      </c>
      <c r="F280" s="16">
        <v>2012.0</v>
      </c>
      <c r="G280" s="16">
        <v>49.807</v>
      </c>
      <c r="H280" s="16">
        <v>11.5045</v>
      </c>
      <c r="I280" s="15"/>
      <c r="J280" s="15"/>
    </row>
    <row r="281">
      <c r="A281" s="18">
        <v>44656.0</v>
      </c>
      <c r="B281" s="16" t="s">
        <v>10691</v>
      </c>
      <c r="C281" s="16">
        <v>10.0</v>
      </c>
      <c r="D281" s="16" t="s">
        <v>10444</v>
      </c>
      <c r="E281" s="16" t="s">
        <v>707</v>
      </c>
      <c r="F281" s="15"/>
      <c r="G281" s="16">
        <v>51.664</v>
      </c>
      <c r="H281" s="16">
        <v>13.392</v>
      </c>
      <c r="I281" s="15"/>
      <c r="J281" s="15"/>
    </row>
    <row r="282">
      <c r="A282" s="18">
        <v>44656.0</v>
      </c>
      <c r="B282" s="16" t="s">
        <v>10692</v>
      </c>
      <c r="C282" s="16">
        <v>14.0</v>
      </c>
      <c r="D282" s="16" t="s">
        <v>10444</v>
      </c>
      <c r="E282" s="16" t="s">
        <v>707</v>
      </c>
      <c r="F282" s="16">
        <v>2012.0</v>
      </c>
      <c r="G282" s="16">
        <v>51.6552</v>
      </c>
      <c r="H282" s="16">
        <v>13.3793</v>
      </c>
      <c r="I282" s="15"/>
      <c r="J282" s="15"/>
    </row>
    <row r="283">
      <c r="A283" s="18">
        <v>44656.0</v>
      </c>
      <c r="B283" s="16" t="s">
        <v>10693</v>
      </c>
      <c r="C283" s="16">
        <v>20.0</v>
      </c>
      <c r="D283" s="16" t="s">
        <v>10444</v>
      </c>
      <c r="E283" s="16" t="s">
        <v>707</v>
      </c>
      <c r="F283" s="16">
        <v>2014.0</v>
      </c>
      <c r="G283" s="16">
        <v>51.6565</v>
      </c>
      <c r="H283" s="16">
        <v>13.3458</v>
      </c>
      <c r="I283" s="15"/>
      <c r="J283" s="15"/>
    </row>
    <row r="284">
      <c r="A284" s="18">
        <v>44656.0</v>
      </c>
      <c r="B284" s="16" t="s">
        <v>10693</v>
      </c>
      <c r="C284" s="16">
        <v>13.0</v>
      </c>
      <c r="D284" s="16" t="s">
        <v>10444</v>
      </c>
      <c r="E284" s="16" t="s">
        <v>707</v>
      </c>
      <c r="F284" s="16">
        <v>2016.0</v>
      </c>
      <c r="G284" s="16">
        <v>51.664</v>
      </c>
      <c r="H284" s="16">
        <v>13.3609</v>
      </c>
      <c r="I284" s="15"/>
      <c r="J284" s="15"/>
    </row>
    <row r="285">
      <c r="A285" s="18">
        <v>44656.0</v>
      </c>
      <c r="B285" s="16" t="s">
        <v>10694</v>
      </c>
      <c r="C285" s="16">
        <v>36.0</v>
      </c>
      <c r="D285" s="16" t="s">
        <v>10444</v>
      </c>
      <c r="E285" s="16" t="s">
        <v>707</v>
      </c>
      <c r="F285" s="16">
        <v>2009.0</v>
      </c>
      <c r="G285" s="16">
        <v>52.6492</v>
      </c>
      <c r="H285" s="16">
        <v>9.7042</v>
      </c>
      <c r="I285" s="15"/>
      <c r="J285" s="15"/>
    </row>
    <row r="286">
      <c r="A286" s="18">
        <v>44656.0</v>
      </c>
      <c r="B286" s="16" t="s">
        <v>10694</v>
      </c>
      <c r="C286" s="16">
        <v>13.0</v>
      </c>
      <c r="D286" s="16" t="s">
        <v>10444</v>
      </c>
      <c r="E286" s="16" t="s">
        <v>707</v>
      </c>
      <c r="F286" s="16">
        <v>2017.0</v>
      </c>
      <c r="G286" s="16">
        <v>52.6541</v>
      </c>
      <c r="H286" s="16">
        <v>9.6955</v>
      </c>
      <c r="I286" s="15"/>
      <c r="J286" s="15"/>
    </row>
    <row r="287">
      <c r="A287" s="18">
        <v>44656.0</v>
      </c>
      <c r="B287" s="16" t="s">
        <v>10695</v>
      </c>
      <c r="C287" s="16">
        <v>29.0</v>
      </c>
      <c r="D287" s="16" t="s">
        <v>10444</v>
      </c>
      <c r="E287" s="16" t="s">
        <v>707</v>
      </c>
      <c r="F287" s="16">
        <v>2015.0</v>
      </c>
      <c r="G287" s="16">
        <v>50.3358</v>
      </c>
      <c r="H287" s="16">
        <v>9.6421</v>
      </c>
      <c r="I287" s="15"/>
      <c r="J287" s="15"/>
    </row>
    <row r="288">
      <c r="A288" s="18">
        <v>44656.0</v>
      </c>
      <c r="B288" s="16" t="s">
        <v>10696</v>
      </c>
      <c r="C288" s="16">
        <v>21.0</v>
      </c>
      <c r="D288" s="16" t="s">
        <v>10444</v>
      </c>
      <c r="E288" s="16" t="s">
        <v>707</v>
      </c>
      <c r="F288" s="16">
        <v>2002.0</v>
      </c>
      <c r="G288" s="16">
        <v>52.1896</v>
      </c>
      <c r="H288" s="16">
        <v>14.1696</v>
      </c>
      <c r="I288" s="15"/>
      <c r="J288" s="15"/>
    </row>
    <row r="289">
      <c r="A289" s="18">
        <v>44656.0</v>
      </c>
      <c r="B289" s="16" t="s">
        <v>10697</v>
      </c>
      <c r="C289" s="16">
        <v>10.0</v>
      </c>
      <c r="D289" s="16" t="s">
        <v>10444</v>
      </c>
      <c r="E289" s="16" t="s">
        <v>707</v>
      </c>
      <c r="F289" s="16">
        <v>2013.0</v>
      </c>
      <c r="G289" s="16">
        <v>52.8583</v>
      </c>
      <c r="H289" s="16">
        <v>12.481</v>
      </c>
      <c r="I289" s="15"/>
      <c r="J289" s="15"/>
    </row>
    <row r="290">
      <c r="A290" s="18">
        <v>45013.0</v>
      </c>
      <c r="B290" s="16" t="s">
        <v>10698</v>
      </c>
      <c r="C290" s="16">
        <v>13.0</v>
      </c>
      <c r="D290" s="16" t="s">
        <v>10444</v>
      </c>
      <c r="E290" s="16" t="s">
        <v>707</v>
      </c>
      <c r="F290" s="16">
        <v>2017.0</v>
      </c>
      <c r="G290" s="16">
        <v>49.0228</v>
      </c>
      <c r="H290" s="16">
        <v>9.9716</v>
      </c>
      <c r="I290" s="15"/>
      <c r="J290" s="15"/>
    </row>
    <row r="291">
      <c r="A291" s="18">
        <v>44656.0</v>
      </c>
      <c r="B291" s="16" t="s">
        <v>10699</v>
      </c>
      <c r="C291" s="16">
        <v>10.0</v>
      </c>
      <c r="D291" s="16" t="s">
        <v>10444</v>
      </c>
      <c r="E291" s="16" t="s">
        <v>707</v>
      </c>
      <c r="F291" s="16">
        <v>1998.0</v>
      </c>
      <c r="G291" s="16">
        <v>52.1287</v>
      </c>
      <c r="H291" s="16">
        <v>11.1517</v>
      </c>
      <c r="I291" s="15"/>
      <c r="J291" s="15"/>
    </row>
    <row r="292">
      <c r="A292" s="18">
        <v>44656.0</v>
      </c>
      <c r="B292" s="16" t="s">
        <v>10700</v>
      </c>
      <c r="C292" s="16">
        <v>21.0</v>
      </c>
      <c r="D292" s="16" t="s">
        <v>10444</v>
      </c>
      <c r="E292" s="16" t="s">
        <v>707</v>
      </c>
      <c r="F292" s="16">
        <v>2006.0</v>
      </c>
      <c r="G292" s="16">
        <v>53.1991</v>
      </c>
      <c r="H292" s="16">
        <v>7.3004</v>
      </c>
      <c r="I292" s="15"/>
      <c r="J292" s="15"/>
    </row>
    <row r="293">
      <c r="A293" s="18">
        <v>44656.0</v>
      </c>
      <c r="B293" s="16" t="s">
        <v>10701</v>
      </c>
      <c r="C293" s="16">
        <v>20.0</v>
      </c>
      <c r="D293" s="16" t="s">
        <v>10444</v>
      </c>
      <c r="E293" s="16" t="s">
        <v>707</v>
      </c>
      <c r="F293" s="16">
        <v>2009.0</v>
      </c>
      <c r="G293" s="16">
        <v>51.5344</v>
      </c>
      <c r="H293" s="16">
        <v>8.5397</v>
      </c>
      <c r="I293" s="15"/>
      <c r="J293" s="15"/>
    </row>
    <row r="294">
      <c r="A294" s="18">
        <v>45664.0</v>
      </c>
      <c r="B294" s="16" t="s">
        <v>10702</v>
      </c>
      <c r="C294" s="16">
        <v>12.0</v>
      </c>
      <c r="D294" s="16" t="s">
        <v>10444</v>
      </c>
      <c r="E294" s="16" t="s">
        <v>707</v>
      </c>
      <c r="F294" s="16">
        <v>2024.0</v>
      </c>
      <c r="G294" s="16">
        <v>51.9732</v>
      </c>
      <c r="H294" s="16">
        <v>7.0454</v>
      </c>
      <c r="I294" s="15"/>
      <c r="J294" s="15"/>
    </row>
    <row r="295">
      <c r="A295" s="18">
        <v>44656.0</v>
      </c>
      <c r="B295" s="16" t="s">
        <v>10703</v>
      </c>
      <c r="C295" s="16">
        <v>16.0</v>
      </c>
      <c r="D295" s="16" t="s">
        <v>10444</v>
      </c>
      <c r="E295" s="16" t="s">
        <v>707</v>
      </c>
      <c r="F295" s="16">
        <v>2007.0</v>
      </c>
      <c r="G295" s="16">
        <v>52.2137</v>
      </c>
      <c r="H295" s="16">
        <v>11.829</v>
      </c>
      <c r="I295" s="15"/>
      <c r="J295" s="15"/>
    </row>
    <row r="296">
      <c r="A296" s="18">
        <v>44656.0</v>
      </c>
      <c r="B296" s="16" t="s">
        <v>10704</v>
      </c>
      <c r="C296" s="16">
        <v>24.0</v>
      </c>
      <c r="D296" s="16" t="s">
        <v>10444</v>
      </c>
      <c r="E296" s="16" t="s">
        <v>707</v>
      </c>
      <c r="F296" s="16">
        <v>2006.0</v>
      </c>
      <c r="G296" s="16">
        <v>51.1965</v>
      </c>
      <c r="H296" s="16">
        <v>11.9661</v>
      </c>
      <c r="I296" s="15"/>
      <c r="J296" s="15"/>
    </row>
    <row r="297">
      <c r="A297" s="18">
        <v>44999.0</v>
      </c>
      <c r="B297" s="16" t="s">
        <v>10705</v>
      </c>
      <c r="C297" s="16">
        <v>10.0</v>
      </c>
      <c r="D297" s="16" t="s">
        <v>10444</v>
      </c>
      <c r="E297" s="16" t="s">
        <v>707</v>
      </c>
      <c r="F297" s="16">
        <v>2017.0</v>
      </c>
      <c r="G297" s="16">
        <v>49.2319</v>
      </c>
      <c r="H297" s="16">
        <v>9.9468</v>
      </c>
      <c r="I297" s="15"/>
      <c r="J297" s="15"/>
    </row>
    <row r="298">
      <c r="A298" s="18">
        <v>44656.0</v>
      </c>
      <c r="B298" s="16" t="s">
        <v>10706</v>
      </c>
      <c r="C298" s="16">
        <v>12.0</v>
      </c>
      <c r="D298" s="16" t="s">
        <v>10444</v>
      </c>
      <c r="E298" s="16" t="s">
        <v>707</v>
      </c>
      <c r="F298" s="16">
        <v>2017.0</v>
      </c>
      <c r="G298" s="16">
        <v>53.0707</v>
      </c>
      <c r="H298" s="16">
        <v>7.5412</v>
      </c>
      <c r="I298" s="15"/>
      <c r="J298" s="15"/>
    </row>
    <row r="299">
      <c r="A299" s="18">
        <v>45013.0</v>
      </c>
      <c r="B299" s="16" t="s">
        <v>10707</v>
      </c>
      <c r="C299" s="16">
        <v>288.0</v>
      </c>
      <c r="D299" s="16" t="s">
        <v>10462</v>
      </c>
      <c r="E299" s="16" t="s">
        <v>707</v>
      </c>
      <c r="F299" s="16">
        <v>2015.0</v>
      </c>
      <c r="G299" s="16">
        <v>55.019</v>
      </c>
      <c r="H299" s="16">
        <v>7.774</v>
      </c>
      <c r="I299" s="15"/>
      <c r="J299" s="15"/>
    </row>
    <row r="300">
      <c r="A300" s="18">
        <v>44656.0</v>
      </c>
      <c r="B300" s="16" t="s">
        <v>10708</v>
      </c>
      <c r="C300" s="16">
        <v>13.0</v>
      </c>
      <c r="D300" s="16" t="s">
        <v>10444</v>
      </c>
      <c r="E300" s="16" t="s">
        <v>707</v>
      </c>
      <c r="F300" s="16">
        <v>1999.0</v>
      </c>
      <c r="G300" s="16">
        <v>53.3314</v>
      </c>
      <c r="H300" s="16">
        <v>12.4851</v>
      </c>
      <c r="I300" s="15"/>
      <c r="J300" s="15"/>
    </row>
    <row r="301">
      <c r="A301" s="18">
        <v>44656.0</v>
      </c>
      <c r="B301" s="16" t="s">
        <v>10708</v>
      </c>
      <c r="C301" s="16">
        <v>21.0</v>
      </c>
      <c r="D301" s="16" t="s">
        <v>10444</v>
      </c>
      <c r="E301" s="16" t="s">
        <v>707</v>
      </c>
      <c r="F301" s="16">
        <v>2016.0</v>
      </c>
      <c r="G301" s="16">
        <v>53.325</v>
      </c>
      <c r="H301" s="16">
        <v>12.5021</v>
      </c>
      <c r="I301" s="15"/>
      <c r="J301" s="15"/>
    </row>
    <row r="302">
      <c r="A302" s="18">
        <v>44656.0</v>
      </c>
      <c r="B302" s="16" t="s">
        <v>10709</v>
      </c>
      <c r="C302" s="16">
        <v>25.0</v>
      </c>
      <c r="D302" s="16" t="s">
        <v>10444</v>
      </c>
      <c r="E302" s="16" t="s">
        <v>707</v>
      </c>
      <c r="F302" s="16">
        <v>2007.0</v>
      </c>
      <c r="G302" s="16">
        <v>53.9128</v>
      </c>
      <c r="H302" s="16">
        <v>9.2283</v>
      </c>
      <c r="I302" s="15"/>
      <c r="J302" s="15"/>
    </row>
    <row r="303">
      <c r="A303" s="18">
        <v>44656.0</v>
      </c>
      <c r="B303" s="16" t="s">
        <v>10710</v>
      </c>
      <c r="C303" s="16">
        <v>12.0</v>
      </c>
      <c r="D303" s="16" t="s">
        <v>10444</v>
      </c>
      <c r="E303" s="16" t="s">
        <v>707</v>
      </c>
      <c r="F303" s="16">
        <v>2015.0</v>
      </c>
      <c r="G303" s="16">
        <v>54.1536</v>
      </c>
      <c r="H303" s="16">
        <v>8.9577</v>
      </c>
      <c r="I303" s="15"/>
      <c r="J303" s="15"/>
    </row>
    <row r="304">
      <c r="A304" s="18">
        <v>44656.0</v>
      </c>
      <c r="B304" s="16" t="s">
        <v>10711</v>
      </c>
      <c r="C304" s="16">
        <v>40.0</v>
      </c>
      <c r="D304" s="16" t="s">
        <v>10444</v>
      </c>
      <c r="E304" s="16" t="s">
        <v>707</v>
      </c>
      <c r="F304" s="16">
        <v>2012.0</v>
      </c>
      <c r="G304" s="16">
        <v>51.1712</v>
      </c>
      <c r="H304" s="16">
        <v>11.3546</v>
      </c>
      <c r="I304" s="15"/>
      <c r="J304" s="15"/>
    </row>
    <row r="305">
      <c r="A305" s="18">
        <v>44656.0</v>
      </c>
      <c r="B305" s="16" t="s">
        <v>10712</v>
      </c>
      <c r="C305" s="16">
        <v>37.0</v>
      </c>
      <c r="D305" s="16" t="s">
        <v>10444</v>
      </c>
      <c r="E305" s="16" t="s">
        <v>707</v>
      </c>
      <c r="F305" s="15"/>
      <c r="G305" s="16">
        <v>51.2389</v>
      </c>
      <c r="H305" s="16">
        <v>10.291</v>
      </c>
      <c r="I305" s="15"/>
      <c r="J305" s="15"/>
    </row>
    <row r="306">
      <c r="A306" s="18">
        <v>45351.0</v>
      </c>
      <c r="B306" s="16" t="s">
        <v>10713</v>
      </c>
      <c r="C306" s="16">
        <v>28.0</v>
      </c>
      <c r="D306" s="16" t="s">
        <v>10444</v>
      </c>
      <c r="E306" s="16" t="s">
        <v>707</v>
      </c>
      <c r="F306" s="16">
        <v>2023.0</v>
      </c>
      <c r="G306" s="16">
        <v>50.2601</v>
      </c>
      <c r="H306" s="16">
        <v>9.2305</v>
      </c>
      <c r="I306" s="15"/>
      <c r="J306" s="15"/>
    </row>
    <row r="307">
      <c r="A307" s="18">
        <v>45013.0</v>
      </c>
      <c r="B307" s="16" t="s">
        <v>10714</v>
      </c>
      <c r="C307" s="16">
        <v>15.0</v>
      </c>
      <c r="D307" s="16" t="s">
        <v>10444</v>
      </c>
      <c r="E307" s="16" t="s">
        <v>707</v>
      </c>
      <c r="F307" s="16">
        <v>2014.0</v>
      </c>
      <c r="G307" s="16">
        <v>51.7387</v>
      </c>
      <c r="H307" s="16">
        <v>13.8822</v>
      </c>
      <c r="I307" s="15"/>
      <c r="J307" s="15"/>
    </row>
    <row r="308">
      <c r="A308" s="18">
        <v>45013.0</v>
      </c>
      <c r="B308" s="16" t="s">
        <v>10714</v>
      </c>
      <c r="C308" s="16">
        <v>15.0</v>
      </c>
      <c r="D308" s="16" t="s">
        <v>10444</v>
      </c>
      <c r="E308" s="16" t="s">
        <v>707</v>
      </c>
      <c r="F308" s="16">
        <v>2014.0</v>
      </c>
      <c r="G308" s="16">
        <v>51.7482</v>
      </c>
      <c r="H308" s="16">
        <v>13.8825</v>
      </c>
      <c r="I308" s="15"/>
      <c r="J308" s="15"/>
    </row>
    <row r="309">
      <c r="A309" s="18">
        <v>44656.0</v>
      </c>
      <c r="B309" s="16" t="s">
        <v>10714</v>
      </c>
      <c r="C309" s="16">
        <v>15.0</v>
      </c>
      <c r="D309" s="16" t="s">
        <v>10444</v>
      </c>
      <c r="E309" s="16" t="s">
        <v>707</v>
      </c>
      <c r="F309" s="16">
        <v>2014.0</v>
      </c>
      <c r="G309" s="16">
        <v>51.445</v>
      </c>
      <c r="H309" s="16">
        <v>13.5234</v>
      </c>
      <c r="I309" s="15"/>
      <c r="J309" s="15"/>
    </row>
    <row r="310">
      <c r="A310" s="18">
        <v>44656.0</v>
      </c>
      <c r="B310" s="16" t="s">
        <v>10715</v>
      </c>
      <c r="C310" s="16">
        <v>21.0</v>
      </c>
      <c r="D310" s="16" t="s">
        <v>10444</v>
      </c>
      <c r="E310" s="16" t="s">
        <v>707</v>
      </c>
      <c r="F310" s="16">
        <v>2012.0</v>
      </c>
      <c r="G310" s="16">
        <v>51.7407</v>
      </c>
      <c r="H310" s="16">
        <v>13.8755</v>
      </c>
      <c r="I310" s="15"/>
      <c r="J310" s="15"/>
    </row>
    <row r="311">
      <c r="A311" s="18">
        <v>45022.0</v>
      </c>
      <c r="B311" s="16" t="s">
        <v>10716</v>
      </c>
      <c r="C311" s="16">
        <v>15.0</v>
      </c>
      <c r="D311" s="16" t="s">
        <v>10444</v>
      </c>
      <c r="E311" s="16" t="s">
        <v>707</v>
      </c>
      <c r="F311" s="16">
        <v>2016.0</v>
      </c>
      <c r="G311" s="16">
        <v>53.9365</v>
      </c>
      <c r="H311" s="16">
        <v>10.5649</v>
      </c>
      <c r="I311" s="15"/>
      <c r="J311" s="15"/>
    </row>
    <row r="312">
      <c r="A312" s="18">
        <v>44656.0</v>
      </c>
      <c r="B312" s="16" t="s">
        <v>10717</v>
      </c>
      <c r="C312" s="16">
        <v>17.0</v>
      </c>
      <c r="D312" s="16" t="s">
        <v>10444</v>
      </c>
      <c r="E312" s="16" t="s">
        <v>707</v>
      </c>
      <c r="F312" s="16">
        <v>2016.0</v>
      </c>
      <c r="G312" s="16">
        <v>52.7153</v>
      </c>
      <c r="H312" s="16">
        <v>11.2662</v>
      </c>
      <c r="I312" s="15"/>
      <c r="J312" s="15"/>
    </row>
    <row r="313">
      <c r="A313" s="18">
        <v>44656.0</v>
      </c>
      <c r="B313" s="16" t="s">
        <v>10718</v>
      </c>
      <c r="C313" s="16">
        <v>58.0</v>
      </c>
      <c r="D313" s="16" t="s">
        <v>10444</v>
      </c>
      <c r="E313" s="16" t="s">
        <v>707</v>
      </c>
      <c r="F313" s="16">
        <v>2015.0</v>
      </c>
      <c r="G313" s="16">
        <v>51.6199</v>
      </c>
      <c r="H313" s="16">
        <v>13.9825</v>
      </c>
      <c r="I313" s="15"/>
      <c r="J313" s="15"/>
    </row>
    <row r="314">
      <c r="A314" s="18">
        <v>44656.0</v>
      </c>
      <c r="B314" s="16" t="s">
        <v>10719</v>
      </c>
      <c r="C314" s="16">
        <v>14.0</v>
      </c>
      <c r="D314" s="16" t="s">
        <v>10444</v>
      </c>
      <c r="E314" s="16" t="s">
        <v>707</v>
      </c>
      <c r="F314" s="16">
        <v>2009.0</v>
      </c>
      <c r="G314" s="16">
        <v>52.209</v>
      </c>
      <c r="H314" s="16">
        <v>13.2979</v>
      </c>
      <c r="I314" s="15"/>
      <c r="J314" s="15"/>
    </row>
    <row r="315">
      <c r="A315" s="18">
        <v>44656.0</v>
      </c>
      <c r="B315" s="16" t="s">
        <v>10720</v>
      </c>
      <c r="C315" s="16">
        <v>10.0</v>
      </c>
      <c r="D315" s="16" t="s">
        <v>10444</v>
      </c>
      <c r="E315" s="16" t="s">
        <v>707</v>
      </c>
      <c r="F315" s="15"/>
      <c r="G315" s="16">
        <v>52.2502</v>
      </c>
      <c r="H315" s="16">
        <v>10.0068</v>
      </c>
      <c r="I315" s="15"/>
      <c r="J315" s="15"/>
    </row>
    <row r="316">
      <c r="A316" s="18">
        <v>44656.0</v>
      </c>
      <c r="B316" s="16" t="s">
        <v>10721</v>
      </c>
      <c r="C316" s="16">
        <v>12.0</v>
      </c>
      <c r="D316" s="16" t="s">
        <v>10444</v>
      </c>
      <c r="E316" s="16" t="s">
        <v>707</v>
      </c>
      <c r="F316" s="16">
        <v>2010.0</v>
      </c>
      <c r="G316" s="16">
        <v>52.9374</v>
      </c>
      <c r="H316" s="16">
        <v>10.956</v>
      </c>
      <c r="I316" s="15"/>
      <c r="J316" s="15"/>
    </row>
    <row r="317">
      <c r="A317" s="18">
        <v>44656.0</v>
      </c>
      <c r="B317" s="16" t="s">
        <v>10722</v>
      </c>
      <c r="C317" s="16">
        <v>33.0</v>
      </c>
      <c r="D317" s="16" t="s">
        <v>10444</v>
      </c>
      <c r="E317" s="16" t="s">
        <v>707</v>
      </c>
      <c r="F317" s="16">
        <v>2021.0</v>
      </c>
      <c r="G317" s="16">
        <v>51.8655</v>
      </c>
      <c r="H317" s="16">
        <v>7.1565</v>
      </c>
      <c r="I317" s="15"/>
      <c r="J317" s="15"/>
    </row>
    <row r="318">
      <c r="A318" s="18">
        <v>44656.0</v>
      </c>
      <c r="B318" s="16" t="s">
        <v>10722</v>
      </c>
      <c r="C318" s="16">
        <v>16.0</v>
      </c>
      <c r="D318" s="16" t="s">
        <v>10444</v>
      </c>
      <c r="E318" s="16" t="s">
        <v>707</v>
      </c>
      <c r="F318" s="16">
        <v>2021.0</v>
      </c>
      <c r="G318" s="16">
        <v>51.8859</v>
      </c>
      <c r="H318" s="16">
        <v>7.1431</v>
      </c>
      <c r="I318" s="15"/>
      <c r="J318" s="15"/>
    </row>
    <row r="319">
      <c r="A319" s="18">
        <v>44656.0</v>
      </c>
      <c r="B319" s="16" t="s">
        <v>10723</v>
      </c>
      <c r="C319" s="16">
        <v>36.0</v>
      </c>
      <c r="D319" s="16" t="s">
        <v>10444</v>
      </c>
      <c r="E319" s="16" t="s">
        <v>707</v>
      </c>
      <c r="F319" s="16">
        <v>2014.0</v>
      </c>
      <c r="G319" s="16">
        <v>50.2497</v>
      </c>
      <c r="H319" s="16">
        <v>9.2413</v>
      </c>
      <c r="I319" s="15"/>
      <c r="J319" s="15"/>
    </row>
    <row r="320">
      <c r="A320" s="18">
        <v>44656.0</v>
      </c>
      <c r="B320" s="16" t="s">
        <v>10724</v>
      </c>
      <c r="C320" s="16">
        <v>12.0</v>
      </c>
      <c r="D320" s="16" t="s">
        <v>10444</v>
      </c>
      <c r="E320" s="16" t="s">
        <v>707</v>
      </c>
      <c r="F320" s="16">
        <v>2015.0</v>
      </c>
      <c r="G320" s="16">
        <v>50.898</v>
      </c>
      <c r="H320" s="16">
        <v>11.5106</v>
      </c>
      <c r="I320" s="15"/>
      <c r="J320" s="15"/>
    </row>
    <row r="321">
      <c r="A321" s="18">
        <v>44656.0</v>
      </c>
      <c r="B321" s="16" t="s">
        <v>10725</v>
      </c>
      <c r="C321" s="16">
        <v>21.0</v>
      </c>
      <c r="D321" s="16" t="s">
        <v>10444</v>
      </c>
      <c r="E321" s="16" t="s">
        <v>707</v>
      </c>
      <c r="F321" s="16">
        <v>2015.0</v>
      </c>
      <c r="G321" s="16">
        <v>52.1279</v>
      </c>
      <c r="H321" s="16">
        <v>9.5044</v>
      </c>
      <c r="I321" s="15"/>
      <c r="J321" s="15"/>
    </row>
    <row r="322">
      <c r="A322" s="18">
        <v>44656.0</v>
      </c>
      <c r="B322" s="16" t="s">
        <v>10726</v>
      </c>
      <c r="C322" s="16">
        <v>19.0</v>
      </c>
      <c r="D322" s="16" t="s">
        <v>10444</v>
      </c>
      <c r="E322" s="16" t="s">
        <v>707</v>
      </c>
      <c r="F322" s="16">
        <v>2015.0</v>
      </c>
      <c r="G322" s="16">
        <v>52.124</v>
      </c>
      <c r="H322" s="16">
        <v>9.4921</v>
      </c>
      <c r="I322" s="15"/>
      <c r="J322" s="15"/>
    </row>
    <row r="323">
      <c r="A323" s="18">
        <v>44656.0</v>
      </c>
      <c r="B323" s="16" t="s">
        <v>10727</v>
      </c>
      <c r="C323" s="16">
        <v>28.0</v>
      </c>
      <c r="D323" s="16" t="s">
        <v>10444</v>
      </c>
      <c r="E323" s="16" t="s">
        <v>707</v>
      </c>
      <c r="F323" s="16">
        <v>2009.0</v>
      </c>
      <c r="G323" s="16">
        <v>51.4711</v>
      </c>
      <c r="H323" s="16">
        <v>14.2737</v>
      </c>
      <c r="I323" s="15"/>
      <c r="J323" s="15"/>
    </row>
    <row r="324">
      <c r="A324" s="18">
        <v>44656.0</v>
      </c>
      <c r="B324" s="16" t="s">
        <v>10728</v>
      </c>
      <c r="C324" s="16">
        <v>24.0</v>
      </c>
      <c r="D324" s="16" t="s">
        <v>10444</v>
      </c>
      <c r="E324" s="16" t="s">
        <v>707</v>
      </c>
      <c r="F324" s="16">
        <v>2005.0</v>
      </c>
      <c r="G324" s="16">
        <v>51.7769</v>
      </c>
      <c r="H324" s="16">
        <v>14.4603</v>
      </c>
      <c r="I324" s="15"/>
      <c r="J324" s="15"/>
    </row>
    <row r="325">
      <c r="A325" s="18">
        <v>44656.0</v>
      </c>
      <c r="B325" s="16" t="s">
        <v>10729</v>
      </c>
      <c r="C325" s="16">
        <v>16.0</v>
      </c>
      <c r="D325" s="16" t="s">
        <v>10444</v>
      </c>
      <c r="E325" s="16" t="s">
        <v>707</v>
      </c>
      <c r="F325" s="16">
        <v>2002.0</v>
      </c>
      <c r="G325" s="16">
        <v>52.9943</v>
      </c>
      <c r="H325" s="16">
        <v>14.048</v>
      </c>
      <c r="I325" s="15"/>
      <c r="J325" s="15"/>
    </row>
    <row r="326">
      <c r="A326" s="18">
        <v>44656.0</v>
      </c>
      <c r="B326" s="16" t="s">
        <v>10730</v>
      </c>
      <c r="C326" s="16">
        <v>13.0</v>
      </c>
      <c r="D326" s="16" t="s">
        <v>10444</v>
      </c>
      <c r="E326" s="16" t="s">
        <v>707</v>
      </c>
      <c r="F326" s="16">
        <v>2018.0</v>
      </c>
      <c r="G326" s="16">
        <v>53.4819</v>
      </c>
      <c r="H326" s="16">
        <v>10.2008</v>
      </c>
      <c r="I326" s="15"/>
      <c r="J326" s="15"/>
    </row>
    <row r="327">
      <c r="A327" s="18">
        <v>45664.0</v>
      </c>
      <c r="B327" s="16" t="s">
        <v>10731</v>
      </c>
      <c r="C327" s="16">
        <v>34.0</v>
      </c>
      <c r="D327" s="16" t="s">
        <v>10444</v>
      </c>
      <c r="E327" s="16" t="s">
        <v>707</v>
      </c>
      <c r="F327" s="16">
        <v>2024.0</v>
      </c>
      <c r="G327" s="16">
        <v>52.3181</v>
      </c>
      <c r="H327" s="16">
        <v>12.8589</v>
      </c>
      <c r="I327" s="15"/>
      <c r="J327" s="15"/>
    </row>
    <row r="328">
      <c r="A328" s="18">
        <v>44656.0</v>
      </c>
      <c r="B328" s="16" t="s">
        <v>10732</v>
      </c>
      <c r="C328" s="16">
        <v>17.0</v>
      </c>
      <c r="D328" s="16" t="s">
        <v>10444</v>
      </c>
      <c r="E328" s="16" t="s">
        <v>707</v>
      </c>
      <c r="F328" s="16">
        <v>2015.0</v>
      </c>
      <c r="G328" s="16">
        <v>54.7299</v>
      </c>
      <c r="H328" s="16">
        <v>8.7539</v>
      </c>
      <c r="I328" s="15"/>
      <c r="J328" s="15"/>
    </row>
    <row r="329">
      <c r="A329" s="18">
        <v>44656.0</v>
      </c>
      <c r="B329" s="16" t="s">
        <v>10732</v>
      </c>
      <c r="C329" s="16">
        <v>21.0</v>
      </c>
      <c r="D329" s="16" t="s">
        <v>10444</v>
      </c>
      <c r="E329" s="16" t="s">
        <v>707</v>
      </c>
      <c r="F329" s="16">
        <v>2020.0</v>
      </c>
      <c r="G329" s="16">
        <v>54.7299</v>
      </c>
      <c r="H329" s="16">
        <v>8.7549</v>
      </c>
      <c r="I329" s="15"/>
      <c r="J329" s="15"/>
    </row>
    <row r="330">
      <c r="A330" s="18">
        <v>45369.0</v>
      </c>
      <c r="B330" s="16" t="s">
        <v>10733</v>
      </c>
      <c r="C330" s="16">
        <v>20.0</v>
      </c>
      <c r="D330" s="16" t="s">
        <v>10444</v>
      </c>
      <c r="E330" s="16" t="s">
        <v>707</v>
      </c>
      <c r="F330" s="16">
        <v>2022.0</v>
      </c>
      <c r="G330" s="16">
        <v>51.7117</v>
      </c>
      <c r="H330" s="16">
        <v>8.8694</v>
      </c>
      <c r="I330" s="15"/>
      <c r="J330" s="15"/>
    </row>
    <row r="331">
      <c r="A331" s="18">
        <v>44656.0</v>
      </c>
      <c r="B331" s="16" t="s">
        <v>10734</v>
      </c>
      <c r="C331" s="16">
        <v>12.0</v>
      </c>
      <c r="D331" s="16" t="s">
        <v>10444</v>
      </c>
      <c r="E331" s="16" t="s">
        <v>707</v>
      </c>
      <c r="F331" s="16">
        <v>2016.0</v>
      </c>
      <c r="G331" s="16">
        <v>51.7156</v>
      </c>
      <c r="H331" s="16">
        <v>8.8697</v>
      </c>
      <c r="I331" s="15"/>
      <c r="J331" s="15"/>
    </row>
    <row r="332">
      <c r="A332" s="18">
        <v>45369.0</v>
      </c>
      <c r="B332" s="16" t="s">
        <v>10735</v>
      </c>
      <c r="C332" s="16">
        <v>11.0</v>
      </c>
      <c r="D332" s="16" t="s">
        <v>10444</v>
      </c>
      <c r="E332" s="16" t="s">
        <v>707</v>
      </c>
      <c r="F332" s="16">
        <v>2022.0</v>
      </c>
      <c r="G332" s="16">
        <v>52.1942</v>
      </c>
      <c r="H332" s="16">
        <v>9.5026</v>
      </c>
      <c r="I332" s="15"/>
      <c r="J332" s="15"/>
    </row>
    <row r="333">
      <c r="A333" s="18">
        <v>44656.0</v>
      </c>
      <c r="B333" s="16" t="s">
        <v>10736</v>
      </c>
      <c r="C333" s="16">
        <v>20.0</v>
      </c>
      <c r="D333" s="16" t="s">
        <v>10444</v>
      </c>
      <c r="E333" s="16" t="s">
        <v>707</v>
      </c>
      <c r="F333" s="16">
        <v>2021.0</v>
      </c>
      <c r="G333" s="16">
        <v>50.4021</v>
      </c>
      <c r="H333" s="16">
        <v>6.5466</v>
      </c>
      <c r="I333" s="15"/>
      <c r="J333" s="15"/>
    </row>
    <row r="334">
      <c r="A334" s="18">
        <v>45664.0</v>
      </c>
      <c r="B334" s="16" t="s">
        <v>10736</v>
      </c>
      <c r="C334" s="16">
        <v>15.0</v>
      </c>
      <c r="D334" s="16" t="s">
        <v>10444</v>
      </c>
      <c r="E334" s="16" t="s">
        <v>707</v>
      </c>
      <c r="F334" s="16">
        <v>2024.0</v>
      </c>
      <c r="G334" s="16">
        <v>50.4264</v>
      </c>
      <c r="H334" s="16">
        <v>6.4951</v>
      </c>
      <c r="I334" s="15"/>
      <c r="J334" s="15"/>
    </row>
    <row r="335">
      <c r="A335" s="18">
        <v>44656.0</v>
      </c>
      <c r="B335" s="16" t="s">
        <v>10737</v>
      </c>
      <c r="C335" s="16">
        <v>29.0</v>
      </c>
      <c r="D335" s="16" t="s">
        <v>10444</v>
      </c>
      <c r="E335" s="16" t="s">
        <v>707</v>
      </c>
      <c r="F335" s="16">
        <v>2016.0</v>
      </c>
      <c r="G335" s="16">
        <v>50.4084</v>
      </c>
      <c r="H335" s="16">
        <v>6.4728</v>
      </c>
      <c r="I335" s="15"/>
      <c r="J335" s="15"/>
    </row>
    <row r="336">
      <c r="A336" s="18">
        <v>44656.0</v>
      </c>
      <c r="B336" s="16" t="s">
        <v>10738</v>
      </c>
      <c r="C336" s="16">
        <v>36.0</v>
      </c>
      <c r="D336" s="16" t="s">
        <v>10444</v>
      </c>
      <c r="E336" s="16" t="s">
        <v>707</v>
      </c>
      <c r="F336" s="16">
        <v>2003.0</v>
      </c>
      <c r="G336" s="16">
        <v>53.1357</v>
      </c>
      <c r="H336" s="16">
        <v>10.7745</v>
      </c>
      <c r="I336" s="15"/>
      <c r="J336" s="15"/>
    </row>
    <row r="337">
      <c r="A337" s="18">
        <v>44656.0</v>
      </c>
      <c r="B337" s="16" t="s">
        <v>10739</v>
      </c>
      <c r="C337" s="16">
        <v>77.0</v>
      </c>
      <c r="D337" s="16" t="s">
        <v>10444</v>
      </c>
      <c r="E337" s="16" t="s">
        <v>707</v>
      </c>
      <c r="F337" s="16">
        <v>2005.0</v>
      </c>
      <c r="G337" s="16">
        <v>51.8675</v>
      </c>
      <c r="H337" s="16">
        <v>13.528</v>
      </c>
      <c r="I337" s="15"/>
      <c r="J337" s="15"/>
    </row>
    <row r="338">
      <c r="A338" s="18">
        <v>44998.0</v>
      </c>
      <c r="B338" s="16" t="s">
        <v>10740</v>
      </c>
      <c r="C338" s="16">
        <v>39.0</v>
      </c>
      <c r="D338" s="16" t="s">
        <v>10444</v>
      </c>
      <c r="E338" s="16" t="s">
        <v>707</v>
      </c>
      <c r="F338" s="16">
        <v>2022.0</v>
      </c>
      <c r="G338" s="16">
        <v>52.9445</v>
      </c>
      <c r="H338" s="16">
        <v>10.8389</v>
      </c>
      <c r="I338" s="15"/>
      <c r="J338" s="15"/>
    </row>
    <row r="339">
      <c r="A339" s="18">
        <v>44656.0</v>
      </c>
      <c r="B339" s="16" t="s">
        <v>10741</v>
      </c>
      <c r="C339" s="16">
        <v>21.0</v>
      </c>
      <c r="D339" s="16" t="s">
        <v>10444</v>
      </c>
      <c r="E339" s="16" t="s">
        <v>707</v>
      </c>
      <c r="F339" s="16">
        <v>2013.0</v>
      </c>
      <c r="G339" s="16">
        <v>53.9174</v>
      </c>
      <c r="H339" s="16">
        <v>12.5466</v>
      </c>
      <c r="I339" s="15"/>
      <c r="J339" s="15"/>
    </row>
    <row r="340">
      <c r="A340" s="18">
        <v>44656.0</v>
      </c>
      <c r="B340" s="16" t="s">
        <v>10742</v>
      </c>
      <c r="C340" s="16">
        <v>30.0</v>
      </c>
      <c r="D340" s="16" t="s">
        <v>10444</v>
      </c>
      <c r="E340" s="16" t="s">
        <v>707</v>
      </c>
      <c r="F340" s="16">
        <v>2002.0</v>
      </c>
      <c r="G340" s="16">
        <v>52.4992</v>
      </c>
      <c r="H340" s="16">
        <v>8.2486</v>
      </c>
      <c r="I340" s="15"/>
      <c r="J340" s="15"/>
    </row>
    <row r="341">
      <c r="A341" s="18">
        <v>44656.0</v>
      </c>
      <c r="B341" s="16" t="s">
        <v>10742</v>
      </c>
      <c r="C341" s="16">
        <v>20.0</v>
      </c>
      <c r="D341" s="16" t="s">
        <v>10444</v>
      </c>
      <c r="E341" s="16" t="s">
        <v>707</v>
      </c>
      <c r="F341" s="16">
        <v>2016.0</v>
      </c>
      <c r="G341" s="16">
        <v>53.6278</v>
      </c>
      <c r="H341" s="16">
        <v>7.1609</v>
      </c>
      <c r="I341" s="15"/>
      <c r="J341" s="15"/>
    </row>
    <row r="342">
      <c r="A342" s="18">
        <v>44656.0</v>
      </c>
      <c r="B342" s="16" t="s">
        <v>10742</v>
      </c>
      <c r="C342" s="16">
        <v>20.0</v>
      </c>
      <c r="D342" s="16" t="s">
        <v>10444</v>
      </c>
      <c r="E342" s="16" t="s">
        <v>707</v>
      </c>
      <c r="F342" s="16">
        <v>2017.0</v>
      </c>
      <c r="G342" s="16">
        <v>53.6278</v>
      </c>
      <c r="H342" s="16">
        <v>7.1609</v>
      </c>
      <c r="I342" s="15"/>
      <c r="J342" s="15"/>
    </row>
    <row r="343">
      <c r="A343" s="18">
        <v>44656.0</v>
      </c>
      <c r="B343" s="16" t="s">
        <v>10743</v>
      </c>
      <c r="C343" s="16">
        <v>12.0</v>
      </c>
      <c r="D343" s="16" t="s">
        <v>10444</v>
      </c>
      <c r="E343" s="16" t="s">
        <v>707</v>
      </c>
      <c r="F343" s="16">
        <v>2014.0</v>
      </c>
      <c r="G343" s="16">
        <v>53.8785</v>
      </c>
      <c r="H343" s="16">
        <v>9.3663</v>
      </c>
      <c r="I343" s="15"/>
      <c r="J343" s="15"/>
    </row>
    <row r="344">
      <c r="A344" s="18">
        <v>44656.0</v>
      </c>
      <c r="B344" s="16" t="s">
        <v>10744</v>
      </c>
      <c r="C344" s="16">
        <v>20.0</v>
      </c>
      <c r="D344" s="16" t="s">
        <v>10444</v>
      </c>
      <c r="E344" s="16" t="s">
        <v>707</v>
      </c>
      <c r="F344" s="16">
        <v>2009.0</v>
      </c>
      <c r="G344" s="16">
        <v>52.007</v>
      </c>
      <c r="H344" s="16">
        <v>12.8673</v>
      </c>
      <c r="I344" s="15"/>
      <c r="J344" s="15"/>
    </row>
    <row r="345">
      <c r="A345" s="18">
        <v>45022.0</v>
      </c>
      <c r="B345" s="16" t="s">
        <v>10744</v>
      </c>
      <c r="C345" s="16">
        <v>15.0</v>
      </c>
      <c r="D345" s="16" t="s">
        <v>10444</v>
      </c>
      <c r="E345" s="16" t="s">
        <v>707</v>
      </c>
      <c r="F345" s="16">
        <v>2017.0</v>
      </c>
      <c r="G345" s="16">
        <v>52.0167</v>
      </c>
      <c r="H345" s="16">
        <v>12.8585</v>
      </c>
      <c r="I345" s="15"/>
      <c r="J345" s="15"/>
    </row>
    <row r="346">
      <c r="A346" s="18">
        <v>44656.0</v>
      </c>
      <c r="B346" s="16" t="s">
        <v>10745</v>
      </c>
      <c r="C346" s="16">
        <v>17.0</v>
      </c>
      <c r="D346" s="16" t="s">
        <v>10444</v>
      </c>
      <c r="E346" s="16" t="s">
        <v>707</v>
      </c>
      <c r="F346" s="16">
        <v>2013.0</v>
      </c>
      <c r="G346" s="16">
        <v>52.01</v>
      </c>
      <c r="H346" s="16">
        <v>12.9036</v>
      </c>
      <c r="I346" s="15"/>
      <c r="J346" s="15"/>
    </row>
    <row r="347">
      <c r="A347" s="18">
        <v>45012.0</v>
      </c>
      <c r="B347" s="16" t="s">
        <v>10746</v>
      </c>
      <c r="C347" s="16">
        <v>288.0</v>
      </c>
      <c r="D347" s="16" t="s">
        <v>10462</v>
      </c>
      <c r="E347" s="16" t="s">
        <v>707</v>
      </c>
      <c r="F347" s="16">
        <v>2014.0</v>
      </c>
      <c r="G347" s="16">
        <v>55.14</v>
      </c>
      <c r="H347" s="16">
        <v>7.2</v>
      </c>
      <c r="I347" s="15"/>
      <c r="J347" s="15"/>
    </row>
    <row r="348">
      <c r="A348" s="18">
        <v>44656.0</v>
      </c>
      <c r="B348" s="16" t="s">
        <v>10747</v>
      </c>
      <c r="C348" s="16">
        <v>22.0</v>
      </c>
      <c r="D348" s="16" t="s">
        <v>10444</v>
      </c>
      <c r="E348" s="16" t="s">
        <v>707</v>
      </c>
      <c r="F348" s="16">
        <v>2006.0</v>
      </c>
      <c r="G348" s="16">
        <v>53.4983</v>
      </c>
      <c r="H348" s="16">
        <v>11.845</v>
      </c>
      <c r="I348" s="15"/>
      <c r="J348" s="15"/>
    </row>
    <row r="349">
      <c r="A349" s="18">
        <v>44656.0</v>
      </c>
      <c r="B349" s="16" t="s">
        <v>10748</v>
      </c>
      <c r="C349" s="16">
        <v>14.0</v>
      </c>
      <c r="D349" s="16" t="s">
        <v>10444</v>
      </c>
      <c r="E349" s="16" t="s">
        <v>707</v>
      </c>
      <c r="F349" s="16">
        <v>2011.0</v>
      </c>
      <c r="G349" s="16">
        <v>53.4939</v>
      </c>
      <c r="H349" s="16">
        <v>11.8572</v>
      </c>
      <c r="I349" s="15"/>
      <c r="J349" s="15"/>
    </row>
    <row r="350">
      <c r="A350" s="18">
        <v>44656.0</v>
      </c>
      <c r="B350" s="16" t="s">
        <v>10749</v>
      </c>
      <c r="C350" s="16">
        <v>32.0</v>
      </c>
      <c r="D350" s="16" t="s">
        <v>10444</v>
      </c>
      <c r="E350" s="16" t="s">
        <v>707</v>
      </c>
      <c r="F350" s="16">
        <v>2001.0</v>
      </c>
      <c r="G350" s="16">
        <v>51.5064</v>
      </c>
      <c r="H350" s="16">
        <v>9.2575</v>
      </c>
      <c r="I350" s="15"/>
      <c r="J350" s="15"/>
    </row>
    <row r="351">
      <c r="A351" s="18">
        <v>44656.0</v>
      </c>
      <c r="B351" s="16" t="s">
        <v>10750</v>
      </c>
      <c r="C351" s="16">
        <v>16.0</v>
      </c>
      <c r="D351" s="16" t="s">
        <v>10444</v>
      </c>
      <c r="E351" s="16" t="s">
        <v>707</v>
      </c>
      <c r="F351" s="16">
        <v>2003.0</v>
      </c>
      <c r="G351" s="16">
        <v>52.6102</v>
      </c>
      <c r="H351" s="16">
        <v>8.9638</v>
      </c>
      <c r="I351" s="15"/>
      <c r="J351" s="15"/>
    </row>
    <row r="352">
      <c r="A352" s="18">
        <v>44656.0</v>
      </c>
      <c r="B352" s="16" t="s">
        <v>10751</v>
      </c>
      <c r="C352" s="16">
        <v>18.0</v>
      </c>
      <c r="D352" s="16" t="s">
        <v>10444</v>
      </c>
      <c r="E352" s="16" t="s">
        <v>707</v>
      </c>
      <c r="F352" s="16">
        <v>2016.0</v>
      </c>
      <c r="G352" s="16">
        <v>53.6313</v>
      </c>
      <c r="H352" s="16">
        <v>8.6708</v>
      </c>
      <c r="I352" s="15"/>
      <c r="J352" s="15"/>
    </row>
    <row r="353">
      <c r="A353" s="18">
        <v>44656.0</v>
      </c>
      <c r="B353" s="16" t="s">
        <v>10752</v>
      </c>
      <c r="C353" s="16">
        <v>22.0</v>
      </c>
      <c r="D353" s="16" t="s">
        <v>10444</v>
      </c>
      <c r="E353" s="16" t="s">
        <v>707</v>
      </c>
      <c r="F353" s="16">
        <v>2004.0</v>
      </c>
      <c r="G353" s="16">
        <v>53.5157</v>
      </c>
      <c r="H353" s="16">
        <v>9.4634</v>
      </c>
      <c r="I353" s="15"/>
      <c r="J353" s="15"/>
    </row>
    <row r="354">
      <c r="A354" s="18">
        <v>44656.0</v>
      </c>
      <c r="B354" s="16" t="s">
        <v>10753</v>
      </c>
      <c r="C354" s="16">
        <v>12.0</v>
      </c>
      <c r="D354" s="16" t="s">
        <v>10444</v>
      </c>
      <c r="E354" s="16" t="s">
        <v>707</v>
      </c>
      <c r="F354" s="16">
        <v>2013.0</v>
      </c>
      <c r="G354" s="16">
        <v>48.9542</v>
      </c>
      <c r="H354" s="16">
        <v>11.4955</v>
      </c>
      <c r="I354" s="15"/>
      <c r="J354" s="15"/>
    </row>
    <row r="355">
      <c r="A355" s="18">
        <v>45369.0</v>
      </c>
      <c r="B355" s="16" t="s">
        <v>10754</v>
      </c>
      <c r="C355" s="16">
        <v>11.0</v>
      </c>
      <c r="D355" s="16" t="s">
        <v>10444</v>
      </c>
      <c r="E355" s="16" t="s">
        <v>707</v>
      </c>
      <c r="F355" s="16">
        <v>2023.0</v>
      </c>
      <c r="G355" s="16">
        <v>53.8056</v>
      </c>
      <c r="H355" s="16">
        <v>13.4678</v>
      </c>
      <c r="I355" s="15"/>
      <c r="J355" s="15"/>
    </row>
    <row r="356">
      <c r="A356" s="18">
        <v>44656.0</v>
      </c>
      <c r="B356" s="16" t="s">
        <v>10755</v>
      </c>
      <c r="C356" s="16">
        <v>20.0</v>
      </c>
      <c r="D356" s="16" t="s">
        <v>10444</v>
      </c>
      <c r="E356" s="16" t="s">
        <v>707</v>
      </c>
      <c r="F356" s="16">
        <v>2009.0</v>
      </c>
      <c r="G356" s="16">
        <v>54.0531</v>
      </c>
      <c r="H356" s="16">
        <v>13.2583</v>
      </c>
      <c r="I356" s="15"/>
      <c r="J356" s="15"/>
    </row>
    <row r="357">
      <c r="A357" s="18">
        <v>44656.0</v>
      </c>
      <c r="B357" s="16" t="s">
        <v>10756</v>
      </c>
      <c r="C357" s="16">
        <v>25.0</v>
      </c>
      <c r="D357" s="16" t="s">
        <v>10444</v>
      </c>
      <c r="E357" s="16" t="s">
        <v>707</v>
      </c>
      <c r="F357" s="16">
        <v>2018.0</v>
      </c>
      <c r="G357" s="16">
        <v>53.1871</v>
      </c>
      <c r="H357" s="16">
        <v>7.7061</v>
      </c>
      <c r="I357" s="15"/>
      <c r="J357" s="15"/>
    </row>
    <row r="358">
      <c r="A358" s="18">
        <v>44656.0</v>
      </c>
      <c r="B358" s="16" t="s">
        <v>10757</v>
      </c>
      <c r="C358" s="16">
        <v>260.0</v>
      </c>
      <c r="D358" s="16" t="s">
        <v>10462</v>
      </c>
      <c r="E358" s="16" t="s">
        <v>707</v>
      </c>
      <c r="F358" s="16">
        <v>2019.0</v>
      </c>
      <c r="G358" s="16">
        <v>54.3036</v>
      </c>
      <c r="H358" s="16">
        <v>5.7894</v>
      </c>
      <c r="I358" s="15"/>
      <c r="J358" s="15"/>
    </row>
    <row r="359">
      <c r="A359" s="18">
        <v>44656.0</v>
      </c>
      <c r="B359" s="16" t="s">
        <v>10758</v>
      </c>
      <c r="C359" s="16">
        <v>18.0</v>
      </c>
      <c r="D359" s="16" t="s">
        <v>10444</v>
      </c>
      <c r="E359" s="16" t="s">
        <v>707</v>
      </c>
      <c r="F359" s="16">
        <v>2017.0</v>
      </c>
      <c r="G359" s="16">
        <v>50.8068</v>
      </c>
      <c r="H359" s="16">
        <v>9.3208</v>
      </c>
      <c r="I359" s="15"/>
      <c r="J359" s="15"/>
    </row>
    <row r="360">
      <c r="A360" s="18">
        <v>44656.0</v>
      </c>
      <c r="B360" s="16" t="s">
        <v>10759</v>
      </c>
      <c r="C360" s="16">
        <v>10.0</v>
      </c>
      <c r="D360" s="16" t="s">
        <v>10444</v>
      </c>
      <c r="E360" s="16" t="s">
        <v>707</v>
      </c>
      <c r="F360" s="16">
        <v>2016.0</v>
      </c>
      <c r="G360" s="16">
        <v>54.8378</v>
      </c>
      <c r="H360" s="16">
        <v>8.7026</v>
      </c>
      <c r="I360" s="15"/>
      <c r="J360" s="15"/>
    </row>
    <row r="361">
      <c r="A361" s="18">
        <v>44656.0</v>
      </c>
      <c r="B361" s="16" t="s">
        <v>10760</v>
      </c>
      <c r="C361" s="16">
        <v>18.0</v>
      </c>
      <c r="D361" s="16" t="s">
        <v>10444</v>
      </c>
      <c r="E361" s="16" t="s">
        <v>707</v>
      </c>
      <c r="F361" s="16">
        <v>2016.0</v>
      </c>
      <c r="G361" s="16">
        <v>53.9422</v>
      </c>
      <c r="H361" s="16">
        <v>9.053</v>
      </c>
      <c r="I361" s="15"/>
      <c r="J361" s="15"/>
    </row>
    <row r="362">
      <c r="A362" s="18">
        <v>44656.0</v>
      </c>
      <c r="B362" s="16" t="s">
        <v>10761</v>
      </c>
      <c r="C362" s="16">
        <v>14.0</v>
      </c>
      <c r="D362" s="16" t="s">
        <v>10444</v>
      </c>
      <c r="E362" s="16" t="s">
        <v>707</v>
      </c>
      <c r="F362" s="16">
        <v>2009.0</v>
      </c>
      <c r="G362" s="16">
        <v>51.3346</v>
      </c>
      <c r="H362" s="16">
        <v>8.8521</v>
      </c>
      <c r="I362" s="15"/>
      <c r="J362" s="15"/>
    </row>
    <row r="363">
      <c r="A363" s="18">
        <v>44656.0</v>
      </c>
      <c r="B363" s="16" t="s">
        <v>10762</v>
      </c>
      <c r="C363" s="16">
        <v>18.0</v>
      </c>
      <c r="D363" s="16" t="s">
        <v>10444</v>
      </c>
      <c r="E363" s="16" t="s">
        <v>707</v>
      </c>
      <c r="F363" s="16">
        <v>2012.0</v>
      </c>
      <c r="G363" s="16">
        <v>52.4353</v>
      </c>
      <c r="H363" s="16">
        <v>8.7606</v>
      </c>
      <c r="I363" s="15"/>
      <c r="J363" s="15"/>
    </row>
    <row r="364">
      <c r="A364" s="18">
        <v>45356.0</v>
      </c>
      <c r="B364" s="16" t="s">
        <v>10763</v>
      </c>
      <c r="C364" s="16">
        <v>12.0</v>
      </c>
      <c r="D364" s="16" t="s">
        <v>10444</v>
      </c>
      <c r="E364" s="16" t="s">
        <v>707</v>
      </c>
      <c r="F364" s="16">
        <v>2023.0</v>
      </c>
      <c r="G364" s="16">
        <v>53.5457</v>
      </c>
      <c r="H364" s="16">
        <v>7.4957</v>
      </c>
      <c r="I364" s="15"/>
      <c r="J364" s="15"/>
    </row>
    <row r="365">
      <c r="A365" s="18">
        <v>44656.0</v>
      </c>
      <c r="B365" s="16" t="s">
        <v>10764</v>
      </c>
      <c r="C365" s="16">
        <v>14.0</v>
      </c>
      <c r="D365" s="16" t="s">
        <v>10444</v>
      </c>
      <c r="E365" s="16" t="s">
        <v>707</v>
      </c>
      <c r="F365" s="15"/>
      <c r="G365" s="16">
        <v>53.9543</v>
      </c>
      <c r="H365" s="16">
        <v>9.0981</v>
      </c>
      <c r="I365" s="15"/>
      <c r="J365" s="15"/>
    </row>
    <row r="366">
      <c r="A366" s="18">
        <v>44656.0</v>
      </c>
      <c r="B366" s="16" t="s">
        <v>10764</v>
      </c>
      <c r="C366" s="16">
        <v>10.0</v>
      </c>
      <c r="D366" s="16" t="s">
        <v>10444</v>
      </c>
      <c r="E366" s="16" t="s">
        <v>707</v>
      </c>
      <c r="F366" s="16">
        <v>2011.0</v>
      </c>
      <c r="G366" s="16">
        <v>53.9536</v>
      </c>
      <c r="H366" s="16">
        <v>9.1041</v>
      </c>
      <c r="I366" s="15"/>
      <c r="J366" s="15"/>
    </row>
    <row r="367">
      <c r="A367" s="18">
        <v>44656.0</v>
      </c>
      <c r="B367" s="16" t="s">
        <v>10765</v>
      </c>
      <c r="C367" s="16">
        <v>13.0</v>
      </c>
      <c r="D367" s="16" t="s">
        <v>10444</v>
      </c>
      <c r="E367" s="16" t="s">
        <v>707</v>
      </c>
      <c r="F367" s="16">
        <v>2015.0</v>
      </c>
      <c r="G367" s="16">
        <v>49.0438</v>
      </c>
      <c r="H367" s="16">
        <v>10.3909</v>
      </c>
      <c r="I367" s="15"/>
      <c r="J367" s="15"/>
    </row>
    <row r="368">
      <c r="A368" s="18">
        <v>44656.0</v>
      </c>
      <c r="B368" s="16" t="s">
        <v>10766</v>
      </c>
      <c r="C368" s="16">
        <v>16.0</v>
      </c>
      <c r="D368" s="16" t="s">
        <v>10444</v>
      </c>
      <c r="E368" s="16" t="s">
        <v>707</v>
      </c>
      <c r="F368" s="16">
        <v>2003.0</v>
      </c>
      <c r="G368" s="16">
        <v>52.6974</v>
      </c>
      <c r="H368" s="16">
        <v>8.1056</v>
      </c>
      <c r="I368" s="15"/>
      <c r="J368" s="15"/>
    </row>
    <row r="369">
      <c r="A369" s="18">
        <v>45034.0</v>
      </c>
      <c r="B369" s="16" t="s">
        <v>10767</v>
      </c>
      <c r="C369" s="16">
        <v>10.0</v>
      </c>
      <c r="D369" s="16" t="s">
        <v>10444</v>
      </c>
      <c r="E369" s="16" t="s">
        <v>707</v>
      </c>
      <c r="F369" s="16">
        <v>2000.0</v>
      </c>
      <c r="G369" s="16">
        <v>50.6128</v>
      </c>
      <c r="H369" s="16">
        <v>9.2775</v>
      </c>
      <c r="I369" s="15"/>
      <c r="J369" s="15"/>
    </row>
    <row r="370">
      <c r="A370" s="18">
        <v>45023.0</v>
      </c>
      <c r="B370" s="16" t="s">
        <v>10768</v>
      </c>
      <c r="C370" s="16">
        <v>12.0</v>
      </c>
      <c r="D370" s="16" t="s">
        <v>10444</v>
      </c>
      <c r="E370" s="16" t="s">
        <v>707</v>
      </c>
      <c r="F370" s="16">
        <v>2016.0</v>
      </c>
      <c r="G370" s="16">
        <v>53.9419</v>
      </c>
      <c r="H370" s="16">
        <v>10.5796</v>
      </c>
      <c r="I370" s="15"/>
      <c r="J370" s="15"/>
    </row>
    <row r="371">
      <c r="A371" s="18">
        <v>44656.0</v>
      </c>
      <c r="B371" s="16" t="s">
        <v>10769</v>
      </c>
      <c r="C371" s="16">
        <v>10.0</v>
      </c>
      <c r="D371" s="16" t="s">
        <v>10444</v>
      </c>
      <c r="E371" s="16" t="s">
        <v>707</v>
      </c>
      <c r="F371" s="16">
        <v>2013.0</v>
      </c>
      <c r="G371" s="16">
        <v>49.7504</v>
      </c>
      <c r="H371" s="16">
        <v>8.2738</v>
      </c>
      <c r="I371" s="15"/>
      <c r="J371" s="15"/>
    </row>
    <row r="372">
      <c r="A372" s="18">
        <v>44656.0</v>
      </c>
      <c r="B372" s="16" t="s">
        <v>10770</v>
      </c>
      <c r="C372" s="16">
        <v>13.0</v>
      </c>
      <c r="D372" s="16" t="s">
        <v>10444</v>
      </c>
      <c r="E372" s="16" t="s">
        <v>707</v>
      </c>
      <c r="F372" s="16">
        <v>2015.0</v>
      </c>
      <c r="G372" s="16">
        <v>52.6902</v>
      </c>
      <c r="H372" s="16">
        <v>11.5907</v>
      </c>
      <c r="I372" s="15"/>
      <c r="J372" s="15"/>
    </row>
    <row r="373">
      <c r="A373" s="18">
        <v>44656.0</v>
      </c>
      <c r="B373" s="16" t="s">
        <v>10770</v>
      </c>
      <c r="C373" s="16">
        <v>10.0</v>
      </c>
      <c r="D373" s="16" t="s">
        <v>10444</v>
      </c>
      <c r="E373" s="16" t="s">
        <v>707</v>
      </c>
      <c r="F373" s="16">
        <v>2016.0</v>
      </c>
      <c r="G373" s="16">
        <v>52.6944</v>
      </c>
      <c r="H373" s="16">
        <v>11.5783</v>
      </c>
      <c r="I373" s="15"/>
      <c r="J373" s="15"/>
    </row>
    <row r="374">
      <c r="A374" s="18">
        <v>44656.0</v>
      </c>
      <c r="B374" s="16" t="s">
        <v>10771</v>
      </c>
      <c r="C374" s="16">
        <v>14.0</v>
      </c>
      <c r="D374" s="16" t="s">
        <v>10444</v>
      </c>
      <c r="E374" s="16" t="s">
        <v>707</v>
      </c>
      <c r="F374" s="16">
        <v>2006.0</v>
      </c>
      <c r="G374" s="16">
        <v>52.6902</v>
      </c>
      <c r="H374" s="16">
        <v>11.59</v>
      </c>
      <c r="I374" s="15"/>
      <c r="J374" s="15"/>
    </row>
    <row r="375">
      <c r="A375" s="18">
        <v>44656.0</v>
      </c>
      <c r="B375" s="16" t="s">
        <v>10771</v>
      </c>
      <c r="C375" s="16">
        <v>14.0</v>
      </c>
      <c r="D375" s="16" t="s">
        <v>10444</v>
      </c>
      <c r="E375" s="16" t="s">
        <v>707</v>
      </c>
      <c r="F375" s="16">
        <v>2007.0</v>
      </c>
      <c r="G375" s="16">
        <v>52.6996</v>
      </c>
      <c r="H375" s="16">
        <v>11.5821</v>
      </c>
      <c r="I375" s="15"/>
      <c r="J375" s="15"/>
    </row>
    <row r="376">
      <c r="A376" s="18">
        <v>45356.0</v>
      </c>
      <c r="B376" s="16" t="s">
        <v>10772</v>
      </c>
      <c r="C376" s="16">
        <v>25.0</v>
      </c>
      <c r="D376" s="16" t="s">
        <v>10444</v>
      </c>
      <c r="E376" s="16" t="s">
        <v>707</v>
      </c>
      <c r="F376" s="16">
        <v>2023.0</v>
      </c>
      <c r="G376" s="16">
        <v>52.4897</v>
      </c>
      <c r="H376" s="16">
        <v>14.3789</v>
      </c>
      <c r="I376" s="15"/>
      <c r="J376" s="15"/>
    </row>
    <row r="377">
      <c r="A377" s="18">
        <v>45356.0</v>
      </c>
      <c r="B377" s="16" t="s">
        <v>10773</v>
      </c>
      <c r="C377" s="16">
        <v>18.0</v>
      </c>
      <c r="D377" s="16" t="s">
        <v>10444</v>
      </c>
      <c r="E377" s="16" t="s">
        <v>707</v>
      </c>
      <c r="F377" s="16">
        <v>2023.0</v>
      </c>
      <c r="G377" s="16">
        <v>54.761</v>
      </c>
      <c r="H377" s="16">
        <v>9.6688</v>
      </c>
      <c r="I377" s="15"/>
      <c r="J377" s="15"/>
    </row>
    <row r="378">
      <c r="A378" s="18">
        <v>44656.0</v>
      </c>
      <c r="B378" s="16" t="s">
        <v>10774</v>
      </c>
      <c r="C378" s="16">
        <v>12.0</v>
      </c>
      <c r="D378" s="16" t="s">
        <v>10444</v>
      </c>
      <c r="E378" s="16" t="s">
        <v>707</v>
      </c>
      <c r="F378" s="16">
        <v>2009.0</v>
      </c>
      <c r="G378" s="16">
        <v>51.6178</v>
      </c>
      <c r="H378" s="16">
        <v>11.8326</v>
      </c>
      <c r="I378" s="15"/>
      <c r="J378" s="15"/>
    </row>
    <row r="379">
      <c r="A379" s="18">
        <v>44656.0</v>
      </c>
      <c r="B379" s="16" t="s">
        <v>10775</v>
      </c>
      <c r="C379" s="16">
        <v>16.0</v>
      </c>
      <c r="D379" s="16" t="s">
        <v>10444</v>
      </c>
      <c r="E379" s="16" t="s">
        <v>707</v>
      </c>
      <c r="F379" s="16">
        <v>2009.0</v>
      </c>
      <c r="G379" s="16">
        <v>51.7006</v>
      </c>
      <c r="H379" s="16">
        <v>14.6417</v>
      </c>
      <c r="I379" s="15"/>
      <c r="J379" s="15"/>
    </row>
    <row r="380">
      <c r="A380" s="18">
        <v>45664.0</v>
      </c>
      <c r="B380" s="16" t="s">
        <v>10776</v>
      </c>
      <c r="C380" s="16">
        <v>18.0</v>
      </c>
      <c r="D380" s="16" t="s">
        <v>10444</v>
      </c>
      <c r="E380" s="16" t="s">
        <v>707</v>
      </c>
      <c r="F380" s="16">
        <v>2024.0</v>
      </c>
      <c r="G380" s="16">
        <v>52.0075</v>
      </c>
      <c r="H380" s="16">
        <v>9.0824</v>
      </c>
      <c r="I380" s="15"/>
      <c r="J380" s="15"/>
    </row>
    <row r="381">
      <c r="A381" s="18">
        <v>44656.0</v>
      </c>
      <c r="B381" s="16" t="s">
        <v>10777</v>
      </c>
      <c r="C381" s="16">
        <v>17.0</v>
      </c>
      <c r="D381" s="16" t="s">
        <v>10444</v>
      </c>
      <c r="E381" s="16" t="s">
        <v>707</v>
      </c>
      <c r="F381" s="16">
        <v>2006.0</v>
      </c>
      <c r="G381" s="16">
        <v>53.0281</v>
      </c>
      <c r="H381" s="16">
        <v>10.6997</v>
      </c>
      <c r="I381" s="15"/>
      <c r="J381" s="15"/>
    </row>
    <row r="382">
      <c r="A382" s="18">
        <v>44656.0</v>
      </c>
      <c r="B382" s="16" t="s">
        <v>10778</v>
      </c>
      <c r="C382" s="16">
        <v>16.0</v>
      </c>
      <c r="D382" s="16" t="s">
        <v>10444</v>
      </c>
      <c r="E382" s="16" t="s">
        <v>707</v>
      </c>
      <c r="F382" s="16">
        <v>2012.0</v>
      </c>
      <c r="G382" s="16">
        <v>49.756</v>
      </c>
      <c r="H382" s="16">
        <v>8.2874</v>
      </c>
      <c r="I382" s="15"/>
      <c r="J382" s="15"/>
    </row>
    <row r="383">
      <c r="A383" s="18">
        <v>44656.0</v>
      </c>
      <c r="B383" s="16" t="s">
        <v>10779</v>
      </c>
      <c r="C383" s="16">
        <v>20.0</v>
      </c>
      <c r="D383" s="16" t="s">
        <v>10444</v>
      </c>
      <c r="E383" s="16" t="s">
        <v>707</v>
      </c>
      <c r="F383" s="16">
        <v>2000.0</v>
      </c>
      <c r="G383" s="16">
        <v>51.7753</v>
      </c>
      <c r="H383" s="16">
        <v>12.6994</v>
      </c>
      <c r="I383" s="15"/>
      <c r="J383" s="15"/>
    </row>
    <row r="384">
      <c r="A384" s="18">
        <v>44656.0</v>
      </c>
      <c r="B384" s="16" t="s">
        <v>10780</v>
      </c>
      <c r="C384" s="16">
        <v>15.0</v>
      </c>
      <c r="D384" s="16" t="s">
        <v>10444</v>
      </c>
      <c r="E384" s="16" t="s">
        <v>707</v>
      </c>
      <c r="F384" s="16">
        <v>2002.0</v>
      </c>
      <c r="G384" s="16">
        <v>51.8334</v>
      </c>
      <c r="H384" s="16">
        <v>11.8675</v>
      </c>
      <c r="I384" s="15"/>
      <c r="J384" s="15"/>
    </row>
    <row r="385">
      <c r="A385" s="18">
        <v>45023.0</v>
      </c>
      <c r="B385" s="16" t="s">
        <v>10780</v>
      </c>
      <c r="C385" s="16">
        <v>11.0</v>
      </c>
      <c r="D385" s="16" t="s">
        <v>10444</v>
      </c>
      <c r="E385" s="16" t="s">
        <v>707</v>
      </c>
      <c r="F385" s="16">
        <v>2021.0</v>
      </c>
      <c r="G385" s="16">
        <v>51.8169</v>
      </c>
      <c r="H385" s="16">
        <v>11.8857</v>
      </c>
      <c r="I385" s="15"/>
      <c r="J385" s="15"/>
    </row>
    <row r="386">
      <c r="A386" s="18">
        <v>44656.0</v>
      </c>
      <c r="B386" s="16" t="s">
        <v>10781</v>
      </c>
      <c r="C386" s="16">
        <v>18.0</v>
      </c>
      <c r="D386" s="16" t="s">
        <v>10444</v>
      </c>
      <c r="E386" s="16" t="s">
        <v>707</v>
      </c>
      <c r="F386" s="16">
        <v>2001.0</v>
      </c>
      <c r="G386" s="16">
        <v>51.3955</v>
      </c>
      <c r="H386" s="16">
        <v>11.7215</v>
      </c>
      <c r="I386" s="15"/>
      <c r="J386" s="15"/>
    </row>
    <row r="387">
      <c r="A387" s="18">
        <v>44656.0</v>
      </c>
      <c r="B387" s="16" t="s">
        <v>10782</v>
      </c>
      <c r="C387" s="16">
        <v>18.0</v>
      </c>
      <c r="D387" s="16" t="s">
        <v>10444</v>
      </c>
      <c r="E387" s="16" t="s">
        <v>707</v>
      </c>
      <c r="F387" s="16">
        <v>2007.0</v>
      </c>
      <c r="G387" s="16">
        <v>50.7461</v>
      </c>
      <c r="H387" s="16">
        <v>13.3483</v>
      </c>
      <c r="I387" s="15"/>
      <c r="J387" s="15"/>
    </row>
    <row r="388">
      <c r="A388" s="18">
        <v>45034.0</v>
      </c>
      <c r="B388" s="16" t="s">
        <v>10783</v>
      </c>
      <c r="C388" s="16">
        <v>30.0</v>
      </c>
      <c r="D388" s="16" t="s">
        <v>10444</v>
      </c>
      <c r="E388" s="16" t="s">
        <v>707</v>
      </c>
      <c r="F388" s="16">
        <v>2011.0</v>
      </c>
      <c r="G388" s="16">
        <v>53.6538</v>
      </c>
      <c r="H388" s="16">
        <v>7.4134</v>
      </c>
      <c r="I388" s="15"/>
      <c r="J388" s="15"/>
    </row>
    <row r="389">
      <c r="A389" s="18">
        <v>45034.0</v>
      </c>
      <c r="B389" s="16" t="s">
        <v>10783</v>
      </c>
      <c r="C389" s="16">
        <v>12.0</v>
      </c>
      <c r="D389" s="16" t="s">
        <v>10444</v>
      </c>
      <c r="E389" s="16" t="s">
        <v>707</v>
      </c>
      <c r="F389" s="16">
        <v>2014.0</v>
      </c>
      <c r="G389" s="16">
        <v>53.6538</v>
      </c>
      <c r="H389" s="16">
        <v>7.4134</v>
      </c>
      <c r="I389" s="15"/>
      <c r="J389" s="15"/>
    </row>
    <row r="390">
      <c r="A390" s="18">
        <v>45034.0</v>
      </c>
      <c r="B390" s="16" t="s">
        <v>10783</v>
      </c>
      <c r="C390" s="16">
        <v>18.0</v>
      </c>
      <c r="D390" s="16" t="s">
        <v>10444</v>
      </c>
      <c r="E390" s="16" t="s">
        <v>707</v>
      </c>
      <c r="F390" s="16">
        <v>2015.0</v>
      </c>
      <c r="G390" s="16">
        <v>53.6538</v>
      </c>
      <c r="H390" s="16">
        <v>7.4134</v>
      </c>
      <c r="I390" s="15"/>
      <c r="J390" s="15"/>
    </row>
    <row r="391">
      <c r="A391" s="18">
        <v>44656.0</v>
      </c>
      <c r="B391" s="16" t="s">
        <v>10784</v>
      </c>
      <c r="C391" s="16">
        <v>26.0</v>
      </c>
      <c r="D391" s="16" t="s">
        <v>10444</v>
      </c>
      <c r="E391" s="16" t="s">
        <v>707</v>
      </c>
      <c r="F391" s="16">
        <v>2011.0</v>
      </c>
      <c r="G391" s="16">
        <v>52.9783</v>
      </c>
      <c r="H391" s="16">
        <v>7.4194</v>
      </c>
      <c r="I391" s="15"/>
      <c r="J391" s="15"/>
    </row>
    <row r="392">
      <c r="A392" s="18">
        <v>45369.0</v>
      </c>
      <c r="B392" s="16" t="s">
        <v>10785</v>
      </c>
      <c r="C392" s="16">
        <v>22.0</v>
      </c>
      <c r="D392" s="16" t="s">
        <v>10444</v>
      </c>
      <c r="E392" s="16" t="s">
        <v>707</v>
      </c>
      <c r="F392" s="16">
        <v>2022.0</v>
      </c>
      <c r="G392" s="16">
        <v>51.5981</v>
      </c>
      <c r="H392" s="16">
        <v>14.0697</v>
      </c>
      <c r="I392" s="15"/>
      <c r="J392" s="15"/>
    </row>
    <row r="393">
      <c r="A393" s="18">
        <v>44656.0</v>
      </c>
      <c r="B393" s="16" t="s">
        <v>10786</v>
      </c>
      <c r="C393" s="16">
        <v>12.0</v>
      </c>
      <c r="D393" s="16" t="s">
        <v>10444</v>
      </c>
      <c r="E393" s="16" t="s">
        <v>707</v>
      </c>
      <c r="F393" s="16">
        <v>2015.0</v>
      </c>
      <c r="G393" s="16">
        <v>53.2108</v>
      </c>
      <c r="H393" s="16">
        <v>9.6988</v>
      </c>
      <c r="I393" s="15"/>
      <c r="J393" s="15"/>
    </row>
    <row r="394">
      <c r="A394" s="18">
        <v>45357.0</v>
      </c>
      <c r="B394" s="16" t="s">
        <v>10787</v>
      </c>
      <c r="C394" s="16">
        <v>40.0</v>
      </c>
      <c r="D394" s="16" t="s">
        <v>10444</v>
      </c>
      <c r="E394" s="16" t="s">
        <v>707</v>
      </c>
      <c r="F394" s="16">
        <v>2016.0</v>
      </c>
      <c r="G394" s="16">
        <v>52.9758</v>
      </c>
      <c r="H394" s="16">
        <v>8.4869</v>
      </c>
      <c r="I394" s="15"/>
      <c r="J394" s="15"/>
    </row>
    <row r="395">
      <c r="A395" s="18">
        <v>44656.0</v>
      </c>
      <c r="B395" s="16" t="s">
        <v>10788</v>
      </c>
      <c r="C395" s="16">
        <v>25.0</v>
      </c>
      <c r="D395" s="16" t="s">
        <v>10444</v>
      </c>
      <c r="E395" s="16" t="s">
        <v>707</v>
      </c>
      <c r="F395" s="16">
        <v>2014.0</v>
      </c>
      <c r="G395" s="16">
        <v>54.625</v>
      </c>
      <c r="H395" s="16">
        <v>9.0718</v>
      </c>
      <c r="I395" s="15"/>
      <c r="J395" s="15"/>
    </row>
    <row r="396">
      <c r="A396" s="18">
        <v>44656.0</v>
      </c>
      <c r="B396" s="16" t="s">
        <v>10789</v>
      </c>
      <c r="C396" s="16">
        <v>11.0</v>
      </c>
      <c r="D396" s="16" t="s">
        <v>10444</v>
      </c>
      <c r="E396" s="16" t="s">
        <v>707</v>
      </c>
      <c r="F396" s="16">
        <v>2005.0</v>
      </c>
      <c r="G396" s="16">
        <v>51.8804</v>
      </c>
      <c r="H396" s="16">
        <v>14.3598</v>
      </c>
      <c r="I396" s="15"/>
      <c r="J396" s="15"/>
    </row>
    <row r="397">
      <c r="A397" s="18">
        <v>44656.0</v>
      </c>
      <c r="B397" s="16" t="s">
        <v>10790</v>
      </c>
      <c r="C397" s="16">
        <v>32.0</v>
      </c>
      <c r="D397" s="16" t="s">
        <v>10444</v>
      </c>
      <c r="E397" s="16" t="s">
        <v>707</v>
      </c>
      <c r="F397" s="16">
        <v>1995.0</v>
      </c>
      <c r="G397" s="16">
        <v>51.9897</v>
      </c>
      <c r="H397" s="16">
        <v>10.8333</v>
      </c>
      <c r="I397" s="15"/>
      <c r="J397" s="15"/>
    </row>
    <row r="398">
      <c r="A398" s="18">
        <v>44656.0</v>
      </c>
      <c r="B398" s="16" t="s">
        <v>10790</v>
      </c>
      <c r="C398" s="16">
        <v>28.0</v>
      </c>
      <c r="D398" s="16" t="s">
        <v>10444</v>
      </c>
      <c r="E398" s="16" t="s">
        <v>707</v>
      </c>
      <c r="F398" s="16">
        <v>2004.0</v>
      </c>
      <c r="G398" s="16">
        <v>51.9897</v>
      </c>
      <c r="H398" s="16">
        <v>10.8333</v>
      </c>
      <c r="I398" s="15"/>
      <c r="J398" s="15"/>
    </row>
    <row r="399">
      <c r="A399" s="18">
        <v>44656.0</v>
      </c>
      <c r="B399" s="16" t="s">
        <v>10791</v>
      </c>
      <c r="C399" s="16">
        <v>15.0</v>
      </c>
      <c r="D399" s="16" t="s">
        <v>10444</v>
      </c>
      <c r="E399" s="16" t="s">
        <v>707</v>
      </c>
      <c r="F399" s="16">
        <v>2005.0</v>
      </c>
      <c r="G399" s="16">
        <v>52.2087</v>
      </c>
      <c r="H399" s="16">
        <v>12.2806</v>
      </c>
      <c r="I399" s="15"/>
      <c r="J399" s="15"/>
    </row>
    <row r="400">
      <c r="A400" s="18">
        <v>44656.0</v>
      </c>
      <c r="B400" s="16" t="s">
        <v>10791</v>
      </c>
      <c r="C400" s="16">
        <v>10.0</v>
      </c>
      <c r="D400" s="16" t="s">
        <v>10444</v>
      </c>
      <c r="E400" s="16" t="s">
        <v>707</v>
      </c>
      <c r="F400" s="16">
        <v>2017.0</v>
      </c>
      <c r="G400" s="16">
        <v>52.2046</v>
      </c>
      <c r="H400" s="16">
        <v>12.278</v>
      </c>
      <c r="I400" s="15"/>
      <c r="J400" s="15"/>
    </row>
    <row r="401">
      <c r="A401" s="18">
        <v>45034.0</v>
      </c>
      <c r="B401" s="16" t="s">
        <v>10791</v>
      </c>
      <c r="C401" s="16">
        <v>13.0</v>
      </c>
      <c r="D401" s="16" t="s">
        <v>10444</v>
      </c>
      <c r="E401" s="16" t="s">
        <v>707</v>
      </c>
      <c r="F401" s="16">
        <v>2022.0</v>
      </c>
      <c r="G401" s="16">
        <v>52.2032</v>
      </c>
      <c r="H401" s="16">
        <v>12.2552</v>
      </c>
      <c r="I401" s="15"/>
      <c r="J401" s="15"/>
    </row>
    <row r="402">
      <c r="A402" s="18">
        <v>44656.0</v>
      </c>
      <c r="B402" s="16" t="s">
        <v>10792</v>
      </c>
      <c r="C402" s="16">
        <v>11.0</v>
      </c>
      <c r="D402" s="16" t="s">
        <v>10444</v>
      </c>
      <c r="E402" s="16" t="s">
        <v>707</v>
      </c>
      <c r="F402" s="16">
        <v>2016.0</v>
      </c>
      <c r="G402" s="16">
        <v>53.6801</v>
      </c>
      <c r="H402" s="16">
        <v>9.3589</v>
      </c>
      <c r="I402" s="15"/>
      <c r="J402" s="15"/>
    </row>
    <row r="403">
      <c r="A403" s="18">
        <v>44656.0</v>
      </c>
      <c r="B403" s="16" t="s">
        <v>10792</v>
      </c>
      <c r="C403" s="16">
        <v>11.0</v>
      </c>
      <c r="D403" s="16" t="s">
        <v>10444</v>
      </c>
      <c r="E403" s="16" t="s">
        <v>707</v>
      </c>
      <c r="F403" s="16">
        <v>2016.0</v>
      </c>
      <c r="G403" s="16">
        <v>53.6921</v>
      </c>
      <c r="H403" s="16">
        <v>9.364</v>
      </c>
      <c r="I403" s="15"/>
      <c r="J403" s="15"/>
    </row>
    <row r="404">
      <c r="A404" s="18">
        <v>45034.0</v>
      </c>
      <c r="B404" s="16" t="s">
        <v>10793</v>
      </c>
      <c r="C404" s="16">
        <v>12.0</v>
      </c>
      <c r="D404" s="16" t="s">
        <v>10444</v>
      </c>
      <c r="E404" s="16" t="s">
        <v>707</v>
      </c>
      <c r="F404" s="16">
        <v>2004.0</v>
      </c>
      <c r="G404" s="16">
        <v>51.7197</v>
      </c>
      <c r="H404" s="16">
        <v>11.5711</v>
      </c>
      <c r="I404" s="15"/>
      <c r="J404" s="15"/>
    </row>
    <row r="405">
      <c r="A405" s="18">
        <v>44656.0</v>
      </c>
      <c r="B405" s="16" t="s">
        <v>10793</v>
      </c>
      <c r="C405" s="16">
        <v>42.0</v>
      </c>
      <c r="D405" s="16" t="s">
        <v>10444</v>
      </c>
      <c r="E405" s="16" t="s">
        <v>707</v>
      </c>
      <c r="F405" s="16">
        <v>2020.0</v>
      </c>
      <c r="G405" s="16">
        <v>51.725</v>
      </c>
      <c r="H405" s="16">
        <v>11.5618</v>
      </c>
      <c r="I405" s="15"/>
      <c r="J405" s="15"/>
    </row>
    <row r="406">
      <c r="A406" s="18">
        <v>44656.0</v>
      </c>
      <c r="B406" s="16" t="s">
        <v>10794</v>
      </c>
      <c r="C406" s="16">
        <v>55.0</v>
      </c>
      <c r="D406" s="16" t="s">
        <v>10444</v>
      </c>
      <c r="E406" s="16" t="s">
        <v>707</v>
      </c>
      <c r="F406" s="16">
        <v>2016.0</v>
      </c>
      <c r="G406" s="16">
        <v>53.6339</v>
      </c>
      <c r="H406" s="16">
        <v>7.2658</v>
      </c>
      <c r="I406" s="15"/>
      <c r="J406" s="15"/>
    </row>
    <row r="407">
      <c r="A407" s="18">
        <v>45023.0</v>
      </c>
      <c r="B407" s="16" t="s">
        <v>10795</v>
      </c>
      <c r="C407" s="16">
        <v>14.0</v>
      </c>
      <c r="D407" s="16" t="s">
        <v>10444</v>
      </c>
      <c r="E407" s="16" t="s">
        <v>707</v>
      </c>
      <c r="F407" s="16">
        <v>2004.0</v>
      </c>
      <c r="G407" s="16">
        <v>51.9924</v>
      </c>
      <c r="H407" s="16">
        <v>10.8323</v>
      </c>
      <c r="I407" s="15"/>
      <c r="J407" s="15"/>
    </row>
    <row r="408">
      <c r="A408" s="18">
        <v>45023.0</v>
      </c>
      <c r="B408" s="16" t="s">
        <v>10795</v>
      </c>
      <c r="C408" s="16">
        <v>12.0</v>
      </c>
      <c r="D408" s="16" t="s">
        <v>10444</v>
      </c>
      <c r="E408" s="16" t="s">
        <v>707</v>
      </c>
      <c r="F408" s="16">
        <v>2004.0</v>
      </c>
      <c r="G408" s="16">
        <v>51.9946</v>
      </c>
      <c r="H408" s="16">
        <v>10.8225</v>
      </c>
      <c r="I408" s="15"/>
      <c r="J408" s="15"/>
    </row>
    <row r="409">
      <c r="A409" s="18">
        <v>45023.0</v>
      </c>
      <c r="B409" s="16" t="s">
        <v>10795</v>
      </c>
      <c r="C409" s="16">
        <v>12.0</v>
      </c>
      <c r="D409" s="16" t="s">
        <v>10444</v>
      </c>
      <c r="E409" s="16" t="s">
        <v>707</v>
      </c>
      <c r="F409" s="16">
        <v>2004.0</v>
      </c>
      <c r="G409" s="16">
        <v>51.9871</v>
      </c>
      <c r="H409" s="16">
        <v>10.8241</v>
      </c>
      <c r="I409" s="15"/>
      <c r="J409" s="15"/>
    </row>
    <row r="410">
      <c r="A410" s="18">
        <v>44656.0</v>
      </c>
      <c r="B410" s="16" t="s">
        <v>10796</v>
      </c>
      <c r="C410" s="16">
        <v>117.0</v>
      </c>
      <c r="D410" s="16" t="s">
        <v>10444</v>
      </c>
      <c r="E410" s="16" t="s">
        <v>707</v>
      </c>
      <c r="F410" s="16">
        <v>2003.0</v>
      </c>
      <c r="G410" s="16">
        <v>52.1655</v>
      </c>
      <c r="H410" s="16">
        <v>11.2811</v>
      </c>
      <c r="I410" s="15"/>
      <c r="J410" s="15"/>
    </row>
    <row r="411">
      <c r="A411" s="18">
        <v>45034.0</v>
      </c>
      <c r="B411" s="16" t="s">
        <v>10797</v>
      </c>
      <c r="C411" s="16">
        <v>55.0</v>
      </c>
      <c r="D411" s="16" t="s">
        <v>10444</v>
      </c>
      <c r="E411" s="16" t="s">
        <v>707</v>
      </c>
      <c r="F411" s="16">
        <v>2016.0</v>
      </c>
      <c r="G411" s="16">
        <v>51.8863</v>
      </c>
      <c r="H411" s="16">
        <v>13.7576</v>
      </c>
      <c r="I411" s="15"/>
      <c r="J411" s="15"/>
    </row>
    <row r="412">
      <c r="A412" s="18">
        <v>44656.0</v>
      </c>
      <c r="B412" s="16" t="s">
        <v>10798</v>
      </c>
      <c r="C412" s="16">
        <v>19.0</v>
      </c>
      <c r="D412" s="16" t="s">
        <v>10444</v>
      </c>
      <c r="E412" s="16" t="s">
        <v>707</v>
      </c>
      <c r="F412" s="16">
        <v>2020.0</v>
      </c>
      <c r="G412" s="16">
        <v>51.8948</v>
      </c>
      <c r="H412" s="16">
        <v>13.7412</v>
      </c>
      <c r="I412" s="15"/>
      <c r="J412" s="15"/>
    </row>
    <row r="413">
      <c r="A413" s="18">
        <v>44656.0</v>
      </c>
      <c r="B413" s="16" t="s">
        <v>10799</v>
      </c>
      <c r="C413" s="16">
        <v>40.0</v>
      </c>
      <c r="D413" s="16" t="s">
        <v>10444</v>
      </c>
      <c r="E413" s="16" t="s">
        <v>707</v>
      </c>
      <c r="F413" s="16">
        <v>2010.0</v>
      </c>
      <c r="G413" s="16">
        <v>51.8962</v>
      </c>
      <c r="H413" s="16">
        <v>13.7632</v>
      </c>
      <c r="I413" s="15"/>
      <c r="J413" s="15"/>
    </row>
    <row r="414">
      <c r="A414" s="18">
        <v>44656.0</v>
      </c>
      <c r="B414" s="16" t="s">
        <v>10800</v>
      </c>
      <c r="C414" s="16">
        <v>29.0</v>
      </c>
      <c r="D414" s="16" t="s">
        <v>10444</v>
      </c>
      <c r="E414" s="16" t="s">
        <v>707</v>
      </c>
      <c r="F414" s="16">
        <v>2003.0</v>
      </c>
      <c r="G414" s="16">
        <v>51.9023</v>
      </c>
      <c r="H414" s="16">
        <v>13.7901</v>
      </c>
      <c r="I414" s="15"/>
      <c r="J414" s="15"/>
    </row>
    <row r="415">
      <c r="A415" s="18">
        <v>44998.0</v>
      </c>
      <c r="B415" s="16" t="s">
        <v>10801</v>
      </c>
      <c r="C415" s="16">
        <v>12.0</v>
      </c>
      <c r="D415" s="16" t="s">
        <v>10444</v>
      </c>
      <c r="E415" s="16" t="s">
        <v>707</v>
      </c>
      <c r="F415" s="16">
        <v>2014.0</v>
      </c>
      <c r="G415" s="16">
        <v>52.8576</v>
      </c>
      <c r="H415" s="16">
        <v>8.3868</v>
      </c>
      <c r="I415" s="15"/>
      <c r="J415" s="15"/>
    </row>
    <row r="416">
      <c r="A416" s="18">
        <v>44999.0</v>
      </c>
      <c r="B416" s="16" t="s">
        <v>10802</v>
      </c>
      <c r="C416" s="16">
        <v>10.0</v>
      </c>
      <c r="D416" s="16" t="s">
        <v>10444</v>
      </c>
      <c r="E416" s="16" t="s">
        <v>707</v>
      </c>
      <c r="F416" s="16">
        <v>2017.0</v>
      </c>
      <c r="G416" s="16">
        <v>49.1997</v>
      </c>
      <c r="H416" s="16">
        <v>9.8886</v>
      </c>
      <c r="I416" s="15"/>
      <c r="J416" s="15"/>
    </row>
    <row r="417">
      <c r="A417" s="18">
        <v>44656.0</v>
      </c>
      <c r="B417" s="16" t="s">
        <v>10803</v>
      </c>
      <c r="C417" s="16">
        <v>10.0</v>
      </c>
      <c r="D417" s="16" t="s">
        <v>10444</v>
      </c>
      <c r="E417" s="16" t="s">
        <v>707</v>
      </c>
      <c r="F417" s="16">
        <v>2014.0</v>
      </c>
      <c r="G417" s="16">
        <v>51.6223</v>
      </c>
      <c r="H417" s="16">
        <v>6.9749</v>
      </c>
      <c r="I417" s="15"/>
      <c r="J417" s="15"/>
    </row>
    <row r="418">
      <c r="A418" s="18">
        <v>45351.0</v>
      </c>
      <c r="B418" s="16" t="s">
        <v>10804</v>
      </c>
      <c r="C418" s="16">
        <v>22.0</v>
      </c>
      <c r="D418" s="16" t="s">
        <v>10444</v>
      </c>
      <c r="E418" s="16" t="s">
        <v>707</v>
      </c>
      <c r="F418" s="16">
        <v>2023.0</v>
      </c>
      <c r="G418" s="16">
        <v>52.7495</v>
      </c>
      <c r="H418" s="16">
        <v>11.8167</v>
      </c>
      <c r="I418" s="15"/>
      <c r="J418" s="15"/>
    </row>
    <row r="419">
      <c r="A419" s="18">
        <v>44656.0</v>
      </c>
      <c r="B419" s="16" t="s">
        <v>10805</v>
      </c>
      <c r="C419" s="16">
        <v>26.0</v>
      </c>
      <c r="D419" s="16" t="s">
        <v>10444</v>
      </c>
      <c r="E419" s="16" t="s">
        <v>707</v>
      </c>
      <c r="F419" s="16">
        <v>2014.0</v>
      </c>
      <c r="G419" s="16">
        <v>52.8036</v>
      </c>
      <c r="H419" s="16">
        <v>9.6121</v>
      </c>
      <c r="I419" s="15"/>
      <c r="J419" s="15"/>
    </row>
    <row r="420">
      <c r="A420" s="18">
        <v>44656.0</v>
      </c>
      <c r="B420" s="16" t="s">
        <v>10805</v>
      </c>
      <c r="C420" s="16">
        <v>26.0</v>
      </c>
      <c r="D420" s="16" t="s">
        <v>10444</v>
      </c>
      <c r="E420" s="16" t="s">
        <v>707</v>
      </c>
      <c r="F420" s="16">
        <v>2015.0</v>
      </c>
      <c r="G420" s="16">
        <v>52.8336</v>
      </c>
      <c r="H420" s="16">
        <v>9.5274</v>
      </c>
      <c r="I420" s="15"/>
      <c r="J420" s="15"/>
    </row>
    <row r="421">
      <c r="A421" s="18">
        <v>44656.0</v>
      </c>
      <c r="B421" s="16" t="s">
        <v>10806</v>
      </c>
      <c r="C421" s="16">
        <v>12.0</v>
      </c>
      <c r="D421" s="16" t="s">
        <v>10444</v>
      </c>
      <c r="E421" s="16" t="s">
        <v>707</v>
      </c>
      <c r="F421" s="16">
        <v>2017.0</v>
      </c>
      <c r="G421" s="16">
        <v>52.67</v>
      </c>
      <c r="H421" s="16">
        <v>8.5132</v>
      </c>
      <c r="I421" s="15"/>
      <c r="J421" s="15"/>
    </row>
    <row r="422">
      <c r="A422" s="18">
        <v>44656.0</v>
      </c>
      <c r="B422" s="16" t="s">
        <v>10806</v>
      </c>
      <c r="C422" s="16">
        <v>12.0</v>
      </c>
      <c r="D422" s="16" t="s">
        <v>10444</v>
      </c>
      <c r="E422" s="16" t="s">
        <v>707</v>
      </c>
      <c r="F422" s="16">
        <v>2018.0</v>
      </c>
      <c r="G422" s="16">
        <v>52.6696</v>
      </c>
      <c r="H422" s="16">
        <v>8.5219</v>
      </c>
      <c r="I422" s="15"/>
      <c r="J422" s="15"/>
    </row>
    <row r="423">
      <c r="A423" s="18">
        <v>44656.0</v>
      </c>
      <c r="B423" s="16" t="s">
        <v>10807</v>
      </c>
      <c r="C423" s="16">
        <v>26.0</v>
      </c>
      <c r="D423" s="16" t="s">
        <v>10444</v>
      </c>
      <c r="E423" s="16" t="s">
        <v>707</v>
      </c>
      <c r="F423" s="16">
        <v>2016.0</v>
      </c>
      <c r="G423" s="16">
        <v>53.1827</v>
      </c>
      <c r="H423" s="16">
        <v>7.3472</v>
      </c>
      <c r="I423" s="15"/>
      <c r="J423" s="15"/>
    </row>
    <row r="424">
      <c r="A424" s="18">
        <v>44656.0</v>
      </c>
      <c r="B424" s="16" t="s">
        <v>10808</v>
      </c>
      <c r="C424" s="16">
        <v>11.0</v>
      </c>
      <c r="D424" s="16" t="s">
        <v>10444</v>
      </c>
      <c r="E424" s="16" t="s">
        <v>707</v>
      </c>
      <c r="F424" s="16">
        <v>2021.0</v>
      </c>
      <c r="G424" s="16">
        <v>50.9623</v>
      </c>
      <c r="H424" s="16">
        <v>10.524</v>
      </c>
      <c r="I424" s="15"/>
      <c r="J424" s="15"/>
    </row>
    <row r="425">
      <c r="A425" s="18">
        <v>45369.0</v>
      </c>
      <c r="B425" s="16" t="s">
        <v>10809</v>
      </c>
      <c r="C425" s="16">
        <v>17.0</v>
      </c>
      <c r="D425" s="16" t="s">
        <v>10444</v>
      </c>
      <c r="E425" s="16" t="s">
        <v>707</v>
      </c>
      <c r="F425" s="16">
        <v>2022.0</v>
      </c>
      <c r="G425" s="16">
        <v>53.5455</v>
      </c>
      <c r="H425" s="16">
        <v>9.0133</v>
      </c>
      <c r="I425" s="15"/>
      <c r="J425" s="15"/>
    </row>
    <row r="426">
      <c r="A426" s="18">
        <v>44656.0</v>
      </c>
      <c r="B426" s="16" t="s">
        <v>10810</v>
      </c>
      <c r="C426" s="16">
        <v>24.0</v>
      </c>
      <c r="D426" s="16" t="s">
        <v>10444</v>
      </c>
      <c r="E426" s="16" t="s">
        <v>707</v>
      </c>
      <c r="F426" s="16">
        <v>2012.0</v>
      </c>
      <c r="G426" s="16">
        <v>51.0495</v>
      </c>
      <c r="H426" s="16">
        <v>11.6315</v>
      </c>
      <c r="I426" s="15"/>
      <c r="J426" s="15"/>
    </row>
    <row r="427">
      <c r="A427" s="18">
        <v>44656.0</v>
      </c>
      <c r="B427" s="16" t="s">
        <v>10810</v>
      </c>
      <c r="C427" s="16">
        <v>35.0</v>
      </c>
      <c r="D427" s="16" t="s">
        <v>10444</v>
      </c>
      <c r="E427" s="16" t="s">
        <v>707</v>
      </c>
      <c r="F427" s="16">
        <v>2018.0</v>
      </c>
      <c r="G427" s="16">
        <v>51.0428</v>
      </c>
      <c r="H427" s="16">
        <v>11.6213</v>
      </c>
      <c r="I427" s="15"/>
      <c r="J427" s="15"/>
    </row>
    <row r="428">
      <c r="A428" s="18">
        <v>44656.0</v>
      </c>
      <c r="B428" s="16" t="s">
        <v>10811</v>
      </c>
      <c r="C428" s="16">
        <v>12.0</v>
      </c>
      <c r="D428" s="16" t="s">
        <v>10444</v>
      </c>
      <c r="E428" s="16" t="s">
        <v>707</v>
      </c>
      <c r="F428" s="16">
        <v>2002.0</v>
      </c>
      <c r="G428" s="16">
        <v>51.2402</v>
      </c>
      <c r="H428" s="16">
        <v>11.1508</v>
      </c>
      <c r="I428" s="15"/>
      <c r="J428" s="15"/>
    </row>
    <row r="429">
      <c r="A429" s="18">
        <v>44656.0</v>
      </c>
      <c r="B429" s="16" t="s">
        <v>10812</v>
      </c>
      <c r="C429" s="16">
        <v>16.0</v>
      </c>
      <c r="D429" s="16" t="s">
        <v>10444</v>
      </c>
      <c r="E429" s="16" t="s">
        <v>707</v>
      </c>
      <c r="F429" s="16">
        <v>2001.0</v>
      </c>
      <c r="G429" s="16">
        <v>51.9767</v>
      </c>
      <c r="H429" s="16">
        <v>11.4537</v>
      </c>
      <c r="I429" s="15"/>
      <c r="J429" s="15"/>
    </row>
    <row r="430">
      <c r="A430" s="18">
        <v>44656.0</v>
      </c>
      <c r="B430" s="16" t="s">
        <v>10812</v>
      </c>
      <c r="C430" s="16">
        <v>22.0</v>
      </c>
      <c r="D430" s="16" t="s">
        <v>10444</v>
      </c>
      <c r="E430" s="16" t="s">
        <v>707</v>
      </c>
      <c r="F430" s="16">
        <v>2005.0</v>
      </c>
      <c r="G430" s="16">
        <v>51.9791</v>
      </c>
      <c r="H430" s="16">
        <v>11.4574</v>
      </c>
      <c r="I430" s="15"/>
      <c r="J430" s="15"/>
    </row>
    <row r="431">
      <c r="A431" s="18">
        <v>45023.0</v>
      </c>
      <c r="B431" s="16" t="s">
        <v>10812</v>
      </c>
      <c r="C431" s="16">
        <v>10.0</v>
      </c>
      <c r="D431" s="16" t="s">
        <v>10444</v>
      </c>
      <c r="E431" s="16" t="s">
        <v>707</v>
      </c>
      <c r="F431" s="16">
        <v>2020.0</v>
      </c>
      <c r="G431" s="16">
        <v>51.9759</v>
      </c>
      <c r="H431" s="16">
        <v>11.4508</v>
      </c>
      <c r="I431" s="15"/>
      <c r="J431" s="15"/>
    </row>
    <row r="432">
      <c r="A432" s="18">
        <v>45023.0</v>
      </c>
      <c r="B432" s="16" t="s">
        <v>10813</v>
      </c>
      <c r="C432" s="16">
        <v>10.0</v>
      </c>
      <c r="D432" s="16" t="s">
        <v>10444</v>
      </c>
      <c r="E432" s="16" t="s">
        <v>707</v>
      </c>
      <c r="F432" s="16">
        <v>2018.0</v>
      </c>
      <c r="G432" s="16">
        <v>52.1046</v>
      </c>
      <c r="H432" s="16">
        <v>9.188</v>
      </c>
      <c r="I432" s="15"/>
      <c r="J432" s="15"/>
    </row>
    <row r="433">
      <c r="A433" s="18">
        <v>44656.0</v>
      </c>
      <c r="B433" s="16" t="s">
        <v>10814</v>
      </c>
      <c r="C433" s="16">
        <v>29.0</v>
      </c>
      <c r="D433" s="16" t="s">
        <v>10444</v>
      </c>
      <c r="E433" s="16" t="s">
        <v>707</v>
      </c>
      <c r="F433" s="16">
        <v>2014.0</v>
      </c>
      <c r="G433" s="16">
        <v>54.0679</v>
      </c>
      <c r="H433" s="16">
        <v>9.2452</v>
      </c>
      <c r="I433" s="15"/>
      <c r="J433" s="15"/>
    </row>
    <row r="434">
      <c r="A434" s="18">
        <v>44656.0</v>
      </c>
      <c r="B434" s="16" t="s">
        <v>10815</v>
      </c>
      <c r="C434" s="16">
        <v>19.0</v>
      </c>
      <c r="D434" s="16" t="s">
        <v>10444</v>
      </c>
      <c r="E434" s="16" t="s">
        <v>707</v>
      </c>
      <c r="F434" s="16">
        <v>2017.0</v>
      </c>
      <c r="G434" s="16">
        <v>53.0972</v>
      </c>
      <c r="H434" s="16">
        <v>10.1716</v>
      </c>
      <c r="I434" s="15"/>
      <c r="J434" s="15"/>
    </row>
    <row r="435">
      <c r="A435" s="18">
        <v>45356.0</v>
      </c>
      <c r="B435" s="16" t="s">
        <v>10816</v>
      </c>
      <c r="C435" s="16">
        <v>25.0</v>
      </c>
      <c r="D435" s="16" t="s">
        <v>10444</v>
      </c>
      <c r="E435" s="16" t="s">
        <v>707</v>
      </c>
      <c r="F435" s="16">
        <v>2023.0</v>
      </c>
      <c r="G435" s="16">
        <v>52.5779</v>
      </c>
      <c r="H435" s="16">
        <v>10.8226</v>
      </c>
      <c r="I435" s="15"/>
      <c r="J435" s="15"/>
    </row>
    <row r="436">
      <c r="A436" s="18">
        <v>44656.0</v>
      </c>
      <c r="B436" s="16" t="s">
        <v>10817</v>
      </c>
      <c r="C436" s="16">
        <v>10.0</v>
      </c>
      <c r="D436" s="16" t="s">
        <v>10444</v>
      </c>
      <c r="E436" s="16" t="s">
        <v>707</v>
      </c>
      <c r="F436" s="16">
        <v>2011.0</v>
      </c>
      <c r="G436" s="16">
        <v>54.7252</v>
      </c>
      <c r="H436" s="16">
        <v>9.1003</v>
      </c>
      <c r="I436" s="15"/>
      <c r="J436" s="15"/>
    </row>
    <row r="437">
      <c r="A437" s="18">
        <v>44656.0</v>
      </c>
      <c r="B437" s="16" t="s">
        <v>10818</v>
      </c>
      <c r="C437" s="16">
        <v>12.0</v>
      </c>
      <c r="D437" s="16" t="s">
        <v>10444</v>
      </c>
      <c r="E437" s="16" t="s">
        <v>707</v>
      </c>
      <c r="F437" s="16">
        <v>2006.0</v>
      </c>
      <c r="G437" s="16">
        <v>51.749</v>
      </c>
      <c r="H437" s="16">
        <v>14.117</v>
      </c>
      <c r="I437" s="15"/>
      <c r="J437" s="15"/>
    </row>
    <row r="438">
      <c r="A438" s="18">
        <v>44656.0</v>
      </c>
      <c r="B438" s="16" t="s">
        <v>10818</v>
      </c>
      <c r="C438" s="16">
        <v>12.0</v>
      </c>
      <c r="D438" s="16" t="s">
        <v>10444</v>
      </c>
      <c r="E438" s="16" t="s">
        <v>707</v>
      </c>
      <c r="F438" s="16">
        <v>2016.0</v>
      </c>
      <c r="G438" s="16">
        <v>51.7571</v>
      </c>
      <c r="H438" s="16">
        <v>14.1078</v>
      </c>
      <c r="I438" s="15"/>
      <c r="J438" s="15"/>
    </row>
    <row r="439">
      <c r="A439" s="18">
        <v>44656.0</v>
      </c>
      <c r="B439" s="16" t="s">
        <v>10819</v>
      </c>
      <c r="C439" s="16">
        <v>18.0</v>
      </c>
      <c r="D439" s="16" t="s">
        <v>10444</v>
      </c>
      <c r="E439" s="16" t="s">
        <v>707</v>
      </c>
      <c r="F439" s="16">
        <v>2007.0</v>
      </c>
      <c r="G439" s="16">
        <v>53.5344</v>
      </c>
      <c r="H439" s="16">
        <v>7.2276</v>
      </c>
      <c r="I439" s="15"/>
      <c r="J439" s="15"/>
    </row>
    <row r="440">
      <c r="A440" s="18">
        <v>44656.0</v>
      </c>
      <c r="B440" s="16" t="s">
        <v>10819</v>
      </c>
      <c r="C440" s="16">
        <v>12.0</v>
      </c>
      <c r="D440" s="16" t="s">
        <v>10444</v>
      </c>
      <c r="E440" s="16" t="s">
        <v>707</v>
      </c>
      <c r="F440" s="16">
        <v>2017.0</v>
      </c>
      <c r="G440" s="16">
        <v>53.5325</v>
      </c>
      <c r="H440" s="16">
        <v>7.2207</v>
      </c>
      <c r="I440" s="15"/>
      <c r="J440" s="15"/>
    </row>
    <row r="441">
      <c r="A441" s="18">
        <v>44656.0</v>
      </c>
      <c r="B441" s="16" t="s">
        <v>10820</v>
      </c>
      <c r="C441" s="16">
        <v>73.0</v>
      </c>
      <c r="D441" s="16" t="s">
        <v>10444</v>
      </c>
      <c r="E441" s="16" t="s">
        <v>707</v>
      </c>
      <c r="F441" s="16">
        <v>2014.0</v>
      </c>
      <c r="G441" s="16">
        <v>54.2013</v>
      </c>
      <c r="H441" s="16">
        <v>9.318</v>
      </c>
      <c r="I441" s="15"/>
      <c r="J441" s="15"/>
    </row>
    <row r="442">
      <c r="A442" s="18">
        <v>44656.0</v>
      </c>
      <c r="B442" s="16" t="s">
        <v>10821</v>
      </c>
      <c r="C442" s="16">
        <v>15.0</v>
      </c>
      <c r="D442" s="16" t="s">
        <v>10444</v>
      </c>
      <c r="E442" s="16" t="s">
        <v>707</v>
      </c>
      <c r="F442" s="16">
        <v>2016.0</v>
      </c>
      <c r="G442" s="16">
        <v>54.2449</v>
      </c>
      <c r="H442" s="16">
        <v>9.5162</v>
      </c>
      <c r="I442" s="15"/>
      <c r="J442" s="15"/>
    </row>
    <row r="443">
      <c r="A443" s="18">
        <v>44656.0</v>
      </c>
      <c r="B443" s="16" t="s">
        <v>10822</v>
      </c>
      <c r="C443" s="16">
        <v>23.0</v>
      </c>
      <c r="D443" s="16" t="s">
        <v>10444</v>
      </c>
      <c r="E443" s="16" t="s">
        <v>707</v>
      </c>
      <c r="F443" s="16">
        <v>2005.0</v>
      </c>
      <c r="G443" s="16">
        <v>50.3314</v>
      </c>
      <c r="H443" s="16">
        <v>6.439</v>
      </c>
      <c r="I443" s="15"/>
      <c r="J443" s="15"/>
    </row>
    <row r="444">
      <c r="A444" s="18">
        <v>45023.0</v>
      </c>
      <c r="B444" s="16" t="s">
        <v>10823</v>
      </c>
      <c r="C444" s="16">
        <v>15.0</v>
      </c>
      <c r="D444" s="16" t="s">
        <v>10444</v>
      </c>
      <c r="E444" s="16" t="s">
        <v>707</v>
      </c>
      <c r="F444" s="16">
        <v>2016.0</v>
      </c>
      <c r="G444" s="16">
        <v>51.5512</v>
      </c>
      <c r="H444" s="16">
        <v>8.7791</v>
      </c>
      <c r="I444" s="15"/>
      <c r="J444" s="15"/>
    </row>
    <row r="445">
      <c r="A445" s="18">
        <v>45023.0</v>
      </c>
      <c r="B445" s="16" t="s">
        <v>10823</v>
      </c>
      <c r="C445" s="16">
        <v>17.0</v>
      </c>
      <c r="D445" s="16" t="s">
        <v>10444</v>
      </c>
      <c r="E445" s="16" t="s">
        <v>707</v>
      </c>
      <c r="F445" s="16">
        <v>2016.0</v>
      </c>
      <c r="G445" s="16">
        <v>51.5505</v>
      </c>
      <c r="H445" s="16">
        <v>8.7732</v>
      </c>
      <c r="I445" s="15"/>
      <c r="J445" s="15"/>
    </row>
    <row r="446">
      <c r="A446" s="18">
        <v>44656.0</v>
      </c>
      <c r="B446" s="16" t="s">
        <v>10824</v>
      </c>
      <c r="C446" s="16">
        <v>17.0</v>
      </c>
      <c r="D446" s="16" t="s">
        <v>10444</v>
      </c>
      <c r="E446" s="16" t="s">
        <v>707</v>
      </c>
      <c r="F446" s="16">
        <v>1999.0</v>
      </c>
      <c r="G446" s="16">
        <v>52.1517</v>
      </c>
      <c r="H446" s="16">
        <v>11.2287</v>
      </c>
      <c r="I446" s="15"/>
      <c r="J446" s="15"/>
    </row>
    <row r="447">
      <c r="A447" s="18">
        <v>44656.0</v>
      </c>
      <c r="B447" s="16" t="s">
        <v>10824</v>
      </c>
      <c r="C447" s="16">
        <v>20.0</v>
      </c>
      <c r="D447" s="16" t="s">
        <v>10444</v>
      </c>
      <c r="E447" s="16" t="s">
        <v>707</v>
      </c>
      <c r="F447" s="16">
        <v>2006.0</v>
      </c>
      <c r="G447" s="16">
        <v>52.1566</v>
      </c>
      <c r="H447" s="16">
        <v>11.2535</v>
      </c>
      <c r="I447" s="15"/>
      <c r="J447" s="15"/>
    </row>
    <row r="448">
      <c r="A448" s="18">
        <v>44656.0</v>
      </c>
      <c r="B448" s="16" t="s">
        <v>10825</v>
      </c>
      <c r="C448" s="16">
        <v>12.0</v>
      </c>
      <c r="D448" s="16" t="s">
        <v>10444</v>
      </c>
      <c r="E448" s="16" t="s">
        <v>707</v>
      </c>
      <c r="F448" s="16">
        <v>2013.0</v>
      </c>
      <c r="G448" s="16">
        <v>49.7761</v>
      </c>
      <c r="H448" s="16">
        <v>8.3045</v>
      </c>
      <c r="I448" s="15"/>
      <c r="J448" s="15"/>
    </row>
    <row r="449">
      <c r="A449" s="18">
        <v>44656.0</v>
      </c>
      <c r="B449" s="16" t="s">
        <v>10825</v>
      </c>
      <c r="C449" s="16">
        <v>15.0</v>
      </c>
      <c r="D449" s="16" t="s">
        <v>10444</v>
      </c>
      <c r="E449" s="16" t="s">
        <v>707</v>
      </c>
      <c r="F449" s="16">
        <v>2014.0</v>
      </c>
      <c r="G449" s="16">
        <v>49.7892</v>
      </c>
      <c r="H449" s="16">
        <v>8.3148</v>
      </c>
      <c r="I449" s="15"/>
      <c r="J449" s="15"/>
    </row>
    <row r="450">
      <c r="A450" s="18">
        <v>44998.0</v>
      </c>
      <c r="B450" s="16" t="s">
        <v>10826</v>
      </c>
      <c r="C450" s="16">
        <v>16.0</v>
      </c>
      <c r="D450" s="16" t="s">
        <v>10444</v>
      </c>
      <c r="E450" s="16" t="s">
        <v>707</v>
      </c>
      <c r="F450" s="16">
        <v>2021.0</v>
      </c>
      <c r="G450" s="16">
        <v>49.5938</v>
      </c>
      <c r="H450" s="16">
        <v>7.6418</v>
      </c>
      <c r="I450" s="15"/>
      <c r="J450" s="15"/>
    </row>
    <row r="451">
      <c r="A451" s="18">
        <v>44656.0</v>
      </c>
      <c r="B451" s="16" t="s">
        <v>10827</v>
      </c>
      <c r="C451" s="16">
        <v>17.0</v>
      </c>
      <c r="D451" s="16" t="s">
        <v>10444</v>
      </c>
      <c r="E451" s="16" t="s">
        <v>707</v>
      </c>
      <c r="F451" s="16">
        <v>2021.0</v>
      </c>
      <c r="G451" s="16">
        <v>51.4367</v>
      </c>
      <c r="H451" s="16">
        <v>11.3749</v>
      </c>
      <c r="I451" s="15"/>
      <c r="J451" s="15"/>
    </row>
    <row r="452">
      <c r="A452" s="18">
        <v>44656.0</v>
      </c>
      <c r="B452" s="16" t="s">
        <v>10828</v>
      </c>
      <c r="C452" s="16">
        <v>12.0</v>
      </c>
      <c r="D452" s="16" t="s">
        <v>10444</v>
      </c>
      <c r="E452" s="16" t="s">
        <v>707</v>
      </c>
      <c r="F452" s="16">
        <v>2009.0</v>
      </c>
      <c r="G452" s="16">
        <v>49.8465</v>
      </c>
      <c r="H452" s="16">
        <v>6.5266</v>
      </c>
      <c r="I452" s="15"/>
      <c r="J452" s="15"/>
    </row>
    <row r="453">
      <c r="A453" s="18">
        <v>44656.0</v>
      </c>
      <c r="B453" s="16" t="s">
        <v>10829</v>
      </c>
      <c r="C453" s="16">
        <v>18.0</v>
      </c>
      <c r="D453" s="16" t="s">
        <v>10444</v>
      </c>
      <c r="E453" s="16" t="s">
        <v>707</v>
      </c>
      <c r="F453" s="16">
        <v>2006.0</v>
      </c>
      <c r="G453" s="16">
        <v>54.1647</v>
      </c>
      <c r="H453" s="16">
        <v>12.6788</v>
      </c>
      <c r="I453" s="15"/>
      <c r="J453" s="15"/>
    </row>
    <row r="454">
      <c r="A454" s="18">
        <v>44656.0</v>
      </c>
      <c r="B454" s="16" t="s">
        <v>10830</v>
      </c>
      <c r="C454" s="16">
        <v>44.0</v>
      </c>
      <c r="D454" s="16" t="s">
        <v>10444</v>
      </c>
      <c r="E454" s="16" t="s">
        <v>707</v>
      </c>
      <c r="F454" s="16">
        <v>2012.0</v>
      </c>
      <c r="G454" s="16">
        <v>51.8376</v>
      </c>
      <c r="H454" s="16">
        <v>12.8722</v>
      </c>
      <c r="I454" s="15"/>
      <c r="J454" s="15"/>
    </row>
    <row r="455">
      <c r="A455" s="18">
        <v>45351.0</v>
      </c>
      <c r="B455" s="16" t="s">
        <v>10831</v>
      </c>
      <c r="C455" s="16">
        <v>18.0</v>
      </c>
      <c r="D455" s="16" t="s">
        <v>10444</v>
      </c>
      <c r="E455" s="16" t="s">
        <v>707</v>
      </c>
      <c r="F455" s="16">
        <v>2022.0</v>
      </c>
      <c r="G455" s="16">
        <v>52.0746</v>
      </c>
      <c r="H455" s="16">
        <v>10.2909</v>
      </c>
      <c r="I455" s="15"/>
      <c r="J455" s="15"/>
    </row>
    <row r="456">
      <c r="A456" s="18">
        <v>45351.0</v>
      </c>
      <c r="B456" s="16" t="s">
        <v>10831</v>
      </c>
      <c r="C456" s="16">
        <v>18.0</v>
      </c>
      <c r="D456" s="16" t="s">
        <v>10444</v>
      </c>
      <c r="E456" s="16" t="s">
        <v>707</v>
      </c>
      <c r="F456" s="16">
        <v>2023.0</v>
      </c>
      <c r="G456" s="16">
        <v>52.0704</v>
      </c>
      <c r="H456" s="16">
        <v>10.2919</v>
      </c>
      <c r="I456" s="15"/>
      <c r="J456" s="15"/>
    </row>
    <row r="457">
      <c r="A457" s="18">
        <v>44656.0</v>
      </c>
      <c r="B457" s="16" t="s">
        <v>10832</v>
      </c>
      <c r="C457" s="16">
        <v>26.0</v>
      </c>
      <c r="D457" s="16" t="s">
        <v>10444</v>
      </c>
      <c r="E457" s="16" t="s">
        <v>707</v>
      </c>
      <c r="F457" s="16">
        <v>2016.0</v>
      </c>
      <c r="G457" s="16">
        <v>50.7917</v>
      </c>
      <c r="H457" s="16">
        <v>9.3578</v>
      </c>
      <c r="I457" s="15"/>
      <c r="J457" s="15"/>
    </row>
    <row r="458">
      <c r="A458" s="18">
        <v>44656.0</v>
      </c>
      <c r="B458" s="16" t="s">
        <v>10833</v>
      </c>
      <c r="C458" s="16">
        <v>14.0</v>
      </c>
      <c r="D458" s="16" t="s">
        <v>10444</v>
      </c>
      <c r="E458" s="16" t="s">
        <v>707</v>
      </c>
      <c r="F458" s="16">
        <v>2020.0</v>
      </c>
      <c r="G458" s="16">
        <v>50.0997</v>
      </c>
      <c r="H458" s="16">
        <v>9.9911</v>
      </c>
      <c r="I458" s="15"/>
      <c r="J458" s="15"/>
    </row>
    <row r="459">
      <c r="A459" s="18">
        <v>44656.0</v>
      </c>
      <c r="B459" s="16" t="s">
        <v>10834</v>
      </c>
      <c r="C459" s="16">
        <v>12.0</v>
      </c>
      <c r="D459" s="16" t="s">
        <v>10444</v>
      </c>
      <c r="E459" s="16" t="s">
        <v>707</v>
      </c>
      <c r="F459" s="16">
        <v>2016.0</v>
      </c>
      <c r="G459" s="16">
        <v>51.549</v>
      </c>
      <c r="H459" s="16">
        <v>8.8236</v>
      </c>
      <c r="I459" s="15"/>
      <c r="J459" s="15"/>
    </row>
    <row r="460">
      <c r="A460" s="18">
        <v>45377.0</v>
      </c>
      <c r="B460" s="16" t="s">
        <v>10834</v>
      </c>
      <c r="C460" s="16">
        <v>11.0</v>
      </c>
      <c r="D460" s="16" t="s">
        <v>10444</v>
      </c>
      <c r="E460" s="16" t="s">
        <v>707</v>
      </c>
      <c r="F460" s="16">
        <v>2023.0</v>
      </c>
      <c r="G460" s="16">
        <v>51.5428</v>
      </c>
      <c r="H460" s="16">
        <v>8.8254</v>
      </c>
      <c r="I460" s="15"/>
      <c r="J460" s="15"/>
    </row>
    <row r="461">
      <c r="A461" s="18">
        <v>44656.0</v>
      </c>
      <c r="B461" s="16" t="s">
        <v>10835</v>
      </c>
      <c r="C461" s="16">
        <v>13.0</v>
      </c>
      <c r="D461" s="16" t="s">
        <v>10444</v>
      </c>
      <c r="E461" s="16" t="s">
        <v>707</v>
      </c>
      <c r="F461" s="16">
        <v>2011.0</v>
      </c>
      <c r="G461" s="16">
        <v>53.4274</v>
      </c>
      <c r="H461" s="16">
        <v>8.0472</v>
      </c>
      <c r="I461" s="15"/>
      <c r="J461" s="15"/>
    </row>
    <row r="462">
      <c r="A462" s="18">
        <v>44656.0</v>
      </c>
      <c r="B462" s="16" t="s">
        <v>10836</v>
      </c>
      <c r="C462" s="16">
        <v>135.0</v>
      </c>
      <c r="D462" s="16" t="s">
        <v>10444</v>
      </c>
      <c r="E462" s="16" t="s">
        <v>707</v>
      </c>
      <c r="F462" s="16">
        <v>2012.0</v>
      </c>
      <c r="G462" s="16">
        <v>49.972</v>
      </c>
      <c r="H462" s="16">
        <v>7.67</v>
      </c>
      <c r="I462" s="15"/>
      <c r="J462" s="15"/>
    </row>
    <row r="463">
      <c r="A463" s="18">
        <v>44656.0</v>
      </c>
      <c r="B463" s="16" t="s">
        <v>10837</v>
      </c>
      <c r="C463" s="16">
        <v>15.0</v>
      </c>
      <c r="D463" s="16" t="s">
        <v>10444</v>
      </c>
      <c r="E463" s="16" t="s">
        <v>707</v>
      </c>
      <c r="F463" s="16">
        <v>2018.0</v>
      </c>
      <c r="G463" s="16">
        <v>51.4012</v>
      </c>
      <c r="H463" s="16">
        <v>9.8138</v>
      </c>
      <c r="I463" s="15"/>
      <c r="J463" s="15"/>
    </row>
    <row r="464">
      <c r="A464" s="18">
        <v>44656.0</v>
      </c>
      <c r="B464" s="16" t="s">
        <v>10838</v>
      </c>
      <c r="C464" s="16">
        <v>19.0</v>
      </c>
      <c r="D464" s="16" t="s">
        <v>10444</v>
      </c>
      <c r="E464" s="16" t="s">
        <v>707</v>
      </c>
      <c r="F464" s="16">
        <v>2009.0</v>
      </c>
      <c r="G464" s="16">
        <v>54.8865</v>
      </c>
      <c r="H464" s="16">
        <v>8.9889</v>
      </c>
      <c r="I464" s="15"/>
      <c r="J464" s="15"/>
    </row>
    <row r="465">
      <c r="A465" s="18">
        <v>44656.0</v>
      </c>
      <c r="B465" s="16" t="s">
        <v>10839</v>
      </c>
      <c r="C465" s="16">
        <v>30.0</v>
      </c>
      <c r="D465" s="16" t="s">
        <v>10444</v>
      </c>
      <c r="E465" s="16" t="s">
        <v>707</v>
      </c>
      <c r="F465" s="16">
        <v>2016.0</v>
      </c>
      <c r="G465" s="16">
        <v>49.0405</v>
      </c>
      <c r="H465" s="16">
        <v>10.1765</v>
      </c>
      <c r="I465" s="15"/>
      <c r="J465" s="15"/>
    </row>
    <row r="466">
      <c r="A466" s="18">
        <v>44656.0</v>
      </c>
      <c r="B466" s="16" t="s">
        <v>10840</v>
      </c>
      <c r="C466" s="16">
        <v>18.0</v>
      </c>
      <c r="D466" s="16" t="s">
        <v>10444</v>
      </c>
      <c r="E466" s="16" t="s">
        <v>707</v>
      </c>
      <c r="F466" s="16">
        <v>2008.0</v>
      </c>
      <c r="G466" s="16">
        <v>53.2185</v>
      </c>
      <c r="H466" s="16">
        <v>9.1663</v>
      </c>
      <c r="I466" s="15"/>
      <c r="J466" s="15"/>
    </row>
    <row r="467">
      <c r="A467" s="18">
        <v>44656.0</v>
      </c>
      <c r="B467" s="16" t="s">
        <v>10841</v>
      </c>
      <c r="C467" s="16">
        <v>20.0</v>
      </c>
      <c r="D467" s="16" t="s">
        <v>10444</v>
      </c>
      <c r="E467" s="16" t="s">
        <v>707</v>
      </c>
      <c r="F467" s="16">
        <v>2005.0</v>
      </c>
      <c r="G467" s="16">
        <v>51.4733</v>
      </c>
      <c r="H467" s="16">
        <v>14.3211</v>
      </c>
      <c r="I467" s="15"/>
      <c r="J467" s="15"/>
    </row>
    <row r="468">
      <c r="A468" s="18">
        <v>44656.0</v>
      </c>
      <c r="B468" s="16" t="s">
        <v>10842</v>
      </c>
      <c r="C468" s="16">
        <v>10.0</v>
      </c>
      <c r="D468" s="16" t="s">
        <v>10444</v>
      </c>
      <c r="E468" s="16" t="s">
        <v>707</v>
      </c>
      <c r="F468" s="16">
        <v>2006.0</v>
      </c>
      <c r="G468" s="16">
        <v>51.4483</v>
      </c>
      <c r="H468" s="16">
        <v>13.4819</v>
      </c>
      <c r="I468" s="15"/>
      <c r="J468" s="15"/>
    </row>
    <row r="469">
      <c r="A469" s="18">
        <v>44656.0</v>
      </c>
      <c r="B469" s="16" t="s">
        <v>10843</v>
      </c>
      <c r="C469" s="16">
        <v>14.0</v>
      </c>
      <c r="D469" s="16" t="s">
        <v>10444</v>
      </c>
      <c r="E469" s="16" t="s">
        <v>707</v>
      </c>
      <c r="F469" s="16">
        <v>2016.0</v>
      </c>
      <c r="G469" s="16">
        <v>50.4103</v>
      </c>
      <c r="H469" s="16">
        <v>7.9903</v>
      </c>
      <c r="I469" s="15"/>
      <c r="J469" s="15"/>
    </row>
    <row r="470">
      <c r="A470" s="18">
        <v>44656.0</v>
      </c>
      <c r="B470" s="16" t="s">
        <v>10844</v>
      </c>
      <c r="C470" s="16">
        <v>36.0</v>
      </c>
      <c r="D470" s="16" t="s">
        <v>10444</v>
      </c>
      <c r="E470" s="16" t="s">
        <v>707</v>
      </c>
      <c r="F470" s="16">
        <v>2017.0</v>
      </c>
      <c r="G470" s="16">
        <v>52.586</v>
      </c>
      <c r="H470" s="16">
        <v>6.764</v>
      </c>
      <c r="I470" s="15"/>
      <c r="J470" s="15"/>
    </row>
    <row r="471">
      <c r="A471" s="18">
        <v>44656.0</v>
      </c>
      <c r="B471" s="16" t="s">
        <v>10845</v>
      </c>
      <c r="C471" s="16">
        <v>33.0</v>
      </c>
      <c r="D471" s="16" t="s">
        <v>10444</v>
      </c>
      <c r="E471" s="16" t="s">
        <v>707</v>
      </c>
      <c r="F471" s="16">
        <v>2018.0</v>
      </c>
      <c r="G471" s="16">
        <v>52.6439</v>
      </c>
      <c r="H471" s="16">
        <v>6.8031</v>
      </c>
      <c r="I471" s="15"/>
      <c r="J471" s="15"/>
    </row>
    <row r="472">
      <c r="A472" s="18">
        <v>44656.0</v>
      </c>
      <c r="B472" s="16" t="s">
        <v>10846</v>
      </c>
      <c r="C472" s="16">
        <v>20.0</v>
      </c>
      <c r="D472" s="16" t="s">
        <v>10444</v>
      </c>
      <c r="E472" s="16" t="s">
        <v>707</v>
      </c>
      <c r="F472" s="16">
        <v>2014.0</v>
      </c>
      <c r="G472" s="16">
        <v>54.8168</v>
      </c>
      <c r="H472" s="16">
        <v>8.742</v>
      </c>
      <c r="I472" s="15"/>
      <c r="J472" s="15"/>
    </row>
    <row r="473">
      <c r="A473" s="18">
        <v>44656.0</v>
      </c>
      <c r="B473" s="16" t="s">
        <v>10847</v>
      </c>
      <c r="C473" s="16">
        <v>16.0</v>
      </c>
      <c r="D473" s="16" t="s">
        <v>10444</v>
      </c>
      <c r="E473" s="16" t="s">
        <v>707</v>
      </c>
      <c r="F473" s="16">
        <v>2003.0</v>
      </c>
      <c r="G473" s="16">
        <v>53.0154</v>
      </c>
      <c r="H473" s="16">
        <v>10.3249</v>
      </c>
      <c r="I473" s="15"/>
      <c r="J473" s="15"/>
    </row>
    <row r="474">
      <c r="A474" s="18">
        <v>44656.0</v>
      </c>
      <c r="B474" s="16" t="s">
        <v>10848</v>
      </c>
      <c r="C474" s="16">
        <v>16.0</v>
      </c>
      <c r="D474" s="16" t="s">
        <v>10444</v>
      </c>
      <c r="E474" s="16" t="s">
        <v>707</v>
      </c>
      <c r="F474" s="16">
        <v>2003.0</v>
      </c>
      <c r="G474" s="16">
        <v>52.2183</v>
      </c>
      <c r="H474" s="16">
        <v>7.5665</v>
      </c>
      <c r="I474" s="15"/>
      <c r="J474" s="15"/>
    </row>
    <row r="475">
      <c r="A475" s="18">
        <v>44656.0</v>
      </c>
      <c r="B475" s="16" t="s">
        <v>10848</v>
      </c>
      <c r="C475" s="16">
        <v>20.0</v>
      </c>
      <c r="D475" s="16" t="s">
        <v>10444</v>
      </c>
      <c r="E475" s="16" t="s">
        <v>707</v>
      </c>
      <c r="F475" s="16">
        <v>2015.0</v>
      </c>
      <c r="G475" s="16">
        <v>52.222</v>
      </c>
      <c r="H475" s="16">
        <v>7.5769</v>
      </c>
      <c r="I475" s="15"/>
      <c r="J475" s="15"/>
    </row>
    <row r="476">
      <c r="A476" s="18">
        <v>44656.0</v>
      </c>
      <c r="B476" s="16" t="s">
        <v>10849</v>
      </c>
      <c r="C476" s="16">
        <v>48.0</v>
      </c>
      <c r="D476" s="16" t="s">
        <v>10462</v>
      </c>
      <c r="E476" s="16" t="s">
        <v>707</v>
      </c>
      <c r="F476" s="16">
        <v>2010.0</v>
      </c>
      <c r="G476" s="16">
        <v>54.6391</v>
      </c>
      <c r="H476" s="16">
        <v>12.6616</v>
      </c>
      <c r="I476" s="15"/>
      <c r="J476" s="15"/>
    </row>
    <row r="477">
      <c r="A477" s="18">
        <v>44656.0</v>
      </c>
      <c r="B477" s="16" t="s">
        <v>10849</v>
      </c>
      <c r="C477" s="16">
        <v>288.0</v>
      </c>
      <c r="D477" s="16" t="s">
        <v>10462</v>
      </c>
      <c r="E477" s="16" t="s">
        <v>707</v>
      </c>
      <c r="F477" s="16">
        <v>2015.0</v>
      </c>
      <c r="G477" s="16">
        <v>54.9998</v>
      </c>
      <c r="H477" s="16">
        <v>13.1999</v>
      </c>
      <c r="I477" s="15"/>
      <c r="J477" s="15"/>
    </row>
    <row r="478">
      <c r="A478" s="18">
        <v>44656.0</v>
      </c>
      <c r="B478" s="16" t="s">
        <v>10850</v>
      </c>
      <c r="C478" s="16">
        <v>12.0</v>
      </c>
      <c r="D478" s="16" t="s">
        <v>10444</v>
      </c>
      <c r="E478" s="16" t="s">
        <v>707</v>
      </c>
      <c r="F478" s="16">
        <v>2017.0</v>
      </c>
      <c r="G478" s="16">
        <v>53.6523</v>
      </c>
      <c r="H478" s="16">
        <v>9.321</v>
      </c>
      <c r="I478" s="15"/>
      <c r="J478" s="15"/>
    </row>
    <row r="479">
      <c r="A479" s="18">
        <v>44656.0</v>
      </c>
      <c r="B479" s="16" t="s">
        <v>10851</v>
      </c>
      <c r="C479" s="16">
        <v>12.0</v>
      </c>
      <c r="D479" s="16" t="s">
        <v>10444</v>
      </c>
      <c r="E479" s="16" t="s">
        <v>707</v>
      </c>
      <c r="F479" s="16">
        <v>2014.0</v>
      </c>
      <c r="G479" s="16">
        <v>48.5478</v>
      </c>
      <c r="H479" s="16">
        <v>11.3714</v>
      </c>
      <c r="I479" s="15"/>
      <c r="J479" s="15"/>
    </row>
    <row r="480">
      <c r="A480" s="18">
        <v>44656.0</v>
      </c>
      <c r="B480" s="16" t="s">
        <v>10852</v>
      </c>
      <c r="C480" s="16">
        <v>18.0</v>
      </c>
      <c r="D480" s="16" t="s">
        <v>10444</v>
      </c>
      <c r="E480" s="16" t="s">
        <v>707</v>
      </c>
      <c r="F480" s="16">
        <v>2009.0</v>
      </c>
      <c r="G480" s="16">
        <v>51.8587</v>
      </c>
      <c r="H480" s="16">
        <v>7.9739</v>
      </c>
      <c r="I480" s="15"/>
      <c r="J480" s="15"/>
    </row>
    <row r="481">
      <c r="A481" s="18">
        <v>44656.0</v>
      </c>
      <c r="B481" s="16" t="s">
        <v>10853</v>
      </c>
      <c r="C481" s="16">
        <v>15.0</v>
      </c>
      <c r="D481" s="16" t="s">
        <v>10444</v>
      </c>
      <c r="E481" s="16" t="s">
        <v>707</v>
      </c>
      <c r="F481" s="16">
        <v>2012.0</v>
      </c>
      <c r="G481" s="16">
        <v>49.757</v>
      </c>
      <c r="H481" s="16">
        <v>8.0561</v>
      </c>
      <c r="I481" s="15"/>
      <c r="J481" s="15"/>
    </row>
    <row r="482">
      <c r="A482" s="18">
        <v>44656.0</v>
      </c>
      <c r="B482" s="16" t="s">
        <v>10854</v>
      </c>
      <c r="C482" s="16">
        <v>12.0</v>
      </c>
      <c r="D482" s="16" t="s">
        <v>10444</v>
      </c>
      <c r="E482" s="16" t="s">
        <v>707</v>
      </c>
      <c r="F482" s="16">
        <v>2005.0</v>
      </c>
      <c r="G482" s="16">
        <v>50.818</v>
      </c>
      <c r="H482" s="16">
        <v>6.7389</v>
      </c>
      <c r="I482" s="15"/>
      <c r="J482" s="15"/>
    </row>
    <row r="483">
      <c r="A483" s="18">
        <v>44656.0</v>
      </c>
      <c r="B483" s="16" t="s">
        <v>10855</v>
      </c>
      <c r="C483" s="16">
        <v>12.0</v>
      </c>
      <c r="D483" s="16" t="s">
        <v>10444</v>
      </c>
      <c r="E483" s="16" t="s">
        <v>707</v>
      </c>
      <c r="F483" s="16">
        <v>2004.0</v>
      </c>
      <c r="G483" s="16">
        <v>51.0103</v>
      </c>
      <c r="H483" s="16">
        <v>11.0398</v>
      </c>
      <c r="I483" s="15"/>
      <c r="J483" s="15"/>
    </row>
    <row r="484">
      <c r="A484" s="18">
        <v>45369.0</v>
      </c>
      <c r="B484" s="16" t="s">
        <v>10856</v>
      </c>
      <c r="C484" s="16">
        <v>23.0</v>
      </c>
      <c r="D484" s="16" t="s">
        <v>10444</v>
      </c>
      <c r="E484" s="16" t="s">
        <v>707</v>
      </c>
      <c r="F484" s="16">
        <v>2022.0</v>
      </c>
      <c r="G484" s="16">
        <v>51.595</v>
      </c>
      <c r="H484" s="16">
        <v>8.3193</v>
      </c>
      <c r="I484" s="15"/>
      <c r="J484" s="15"/>
    </row>
    <row r="485">
      <c r="A485" s="18">
        <v>44656.0</v>
      </c>
      <c r="B485" s="16" t="s">
        <v>10857</v>
      </c>
      <c r="C485" s="16">
        <v>14.0</v>
      </c>
      <c r="D485" s="16" t="s">
        <v>10444</v>
      </c>
      <c r="E485" s="16" t="s">
        <v>707</v>
      </c>
      <c r="F485" s="16">
        <v>2014.0</v>
      </c>
      <c r="G485" s="16">
        <v>52.5497</v>
      </c>
      <c r="H485" s="16">
        <v>6.9864</v>
      </c>
      <c r="I485" s="15"/>
      <c r="J485" s="15"/>
    </row>
    <row r="486">
      <c r="A486" s="18">
        <v>44656.0</v>
      </c>
      <c r="B486" s="16" t="s">
        <v>10858</v>
      </c>
      <c r="C486" s="16">
        <v>18.0</v>
      </c>
      <c r="D486" s="16" t="s">
        <v>10444</v>
      </c>
      <c r="E486" s="16" t="s">
        <v>707</v>
      </c>
      <c r="F486" s="16">
        <v>2017.0</v>
      </c>
      <c r="G486" s="16">
        <v>53.4505</v>
      </c>
      <c r="H486" s="16">
        <v>7.1048</v>
      </c>
      <c r="I486" s="15"/>
      <c r="J486" s="15"/>
    </row>
    <row r="487">
      <c r="A487" s="18">
        <v>44656.0</v>
      </c>
      <c r="B487" s="16" t="s">
        <v>10859</v>
      </c>
      <c r="C487" s="16">
        <v>13.0</v>
      </c>
      <c r="D487" s="16" t="s">
        <v>10444</v>
      </c>
      <c r="E487" s="16" t="s">
        <v>707</v>
      </c>
      <c r="F487" s="16">
        <v>2017.0</v>
      </c>
      <c r="G487" s="16">
        <v>50.8632</v>
      </c>
      <c r="H487" s="16">
        <v>6.2439</v>
      </c>
      <c r="I487" s="15"/>
      <c r="J487" s="15"/>
    </row>
    <row r="488">
      <c r="A488" s="18">
        <v>44656.0</v>
      </c>
      <c r="B488" s="16" t="s">
        <v>10859</v>
      </c>
      <c r="C488" s="16">
        <v>29.0</v>
      </c>
      <c r="D488" s="16" t="s">
        <v>10444</v>
      </c>
      <c r="E488" s="16" t="s">
        <v>707</v>
      </c>
      <c r="F488" s="16">
        <v>2017.0</v>
      </c>
      <c r="G488" s="16">
        <v>50.8756</v>
      </c>
      <c r="H488" s="16">
        <v>6.2899</v>
      </c>
      <c r="I488" s="15"/>
      <c r="J488" s="15"/>
    </row>
    <row r="489">
      <c r="A489" s="18">
        <v>44656.0</v>
      </c>
      <c r="B489" s="16" t="s">
        <v>10860</v>
      </c>
      <c r="C489" s="16">
        <v>40.0</v>
      </c>
      <c r="D489" s="16" t="s">
        <v>10444</v>
      </c>
      <c r="E489" s="16" t="s">
        <v>707</v>
      </c>
      <c r="F489" s="16">
        <v>2009.0</v>
      </c>
      <c r="G489" s="16">
        <v>51.4087</v>
      </c>
      <c r="H489" s="16">
        <v>11.7059</v>
      </c>
      <c r="I489" s="15"/>
      <c r="J489" s="15"/>
    </row>
    <row r="490">
      <c r="A490" s="18">
        <v>44656.0</v>
      </c>
      <c r="B490" s="16" t="s">
        <v>10861</v>
      </c>
      <c r="C490" s="16">
        <v>56.0</v>
      </c>
      <c r="D490" s="16" t="s">
        <v>10444</v>
      </c>
      <c r="E490" s="16" t="s">
        <v>707</v>
      </c>
      <c r="F490" s="16">
        <v>2001.0</v>
      </c>
      <c r="G490" s="16">
        <v>51.3956</v>
      </c>
      <c r="H490" s="16">
        <v>11.7092</v>
      </c>
      <c r="I490" s="15"/>
      <c r="J490" s="15"/>
    </row>
    <row r="491">
      <c r="A491" s="18">
        <v>44656.0</v>
      </c>
      <c r="B491" s="16" t="s">
        <v>10861</v>
      </c>
      <c r="C491" s="16">
        <v>18.0</v>
      </c>
      <c r="D491" s="16" t="s">
        <v>10444</v>
      </c>
      <c r="E491" s="16" t="s">
        <v>707</v>
      </c>
      <c r="F491" s="16">
        <v>2006.0</v>
      </c>
      <c r="G491" s="16">
        <v>51.3956</v>
      </c>
      <c r="H491" s="16">
        <v>11.7092</v>
      </c>
      <c r="I491" s="15"/>
      <c r="J491" s="15"/>
    </row>
    <row r="492">
      <c r="A492" s="18">
        <v>44656.0</v>
      </c>
      <c r="B492" s="16" t="s">
        <v>10861</v>
      </c>
      <c r="C492" s="16">
        <v>40.0</v>
      </c>
      <c r="D492" s="16" t="s">
        <v>10444</v>
      </c>
      <c r="E492" s="16" t="s">
        <v>707</v>
      </c>
      <c r="F492" s="16">
        <v>2010.0</v>
      </c>
      <c r="G492" s="16">
        <v>51.3956</v>
      </c>
      <c r="H492" s="16">
        <v>11.7092</v>
      </c>
      <c r="I492" s="15"/>
      <c r="J492" s="15"/>
    </row>
    <row r="493">
      <c r="A493" s="18">
        <v>45351.0</v>
      </c>
      <c r="B493" s="16" t="s">
        <v>10862</v>
      </c>
      <c r="C493" s="16">
        <v>20.0</v>
      </c>
      <c r="D493" s="16" t="s">
        <v>10444</v>
      </c>
      <c r="E493" s="16" t="s">
        <v>707</v>
      </c>
      <c r="F493" s="16">
        <v>2023.0</v>
      </c>
      <c r="G493" s="16">
        <v>54.5421</v>
      </c>
      <c r="H493" s="16">
        <v>9.3609</v>
      </c>
      <c r="I493" s="15"/>
      <c r="J493" s="15"/>
    </row>
    <row r="494">
      <c r="A494" s="18">
        <v>44999.0</v>
      </c>
      <c r="B494" s="16" t="s">
        <v>10863</v>
      </c>
      <c r="C494" s="16">
        <v>19.0</v>
      </c>
      <c r="D494" s="16" t="s">
        <v>10444</v>
      </c>
      <c r="E494" s="16" t="s">
        <v>707</v>
      </c>
      <c r="F494" s="16">
        <v>2022.0</v>
      </c>
      <c r="G494" s="16">
        <v>51.6184</v>
      </c>
      <c r="H494" s="16">
        <v>8.7351</v>
      </c>
      <c r="I494" s="15"/>
      <c r="J494" s="15"/>
    </row>
    <row r="495">
      <c r="A495" s="18">
        <v>44656.0</v>
      </c>
      <c r="B495" s="16" t="s">
        <v>10864</v>
      </c>
      <c r="C495" s="16">
        <v>14.0</v>
      </c>
      <c r="D495" s="16" t="s">
        <v>10444</v>
      </c>
      <c r="E495" s="16" t="s">
        <v>707</v>
      </c>
      <c r="F495" s="16">
        <v>2005.0</v>
      </c>
      <c r="G495" s="16">
        <v>52.5402</v>
      </c>
      <c r="H495" s="16">
        <v>12.8545</v>
      </c>
      <c r="I495" s="15"/>
      <c r="J495" s="15"/>
    </row>
    <row r="496">
      <c r="A496" s="18">
        <v>44656.0</v>
      </c>
      <c r="B496" s="16" t="s">
        <v>10864</v>
      </c>
      <c r="C496" s="16">
        <v>12.0</v>
      </c>
      <c r="D496" s="16" t="s">
        <v>10444</v>
      </c>
      <c r="E496" s="16" t="s">
        <v>707</v>
      </c>
      <c r="F496" s="16">
        <v>2005.0</v>
      </c>
      <c r="G496" s="16">
        <v>52.5605</v>
      </c>
      <c r="H496" s="16">
        <v>12.8849</v>
      </c>
      <c r="I496" s="15"/>
      <c r="J496" s="15"/>
    </row>
    <row r="497">
      <c r="A497" s="18">
        <v>45369.0</v>
      </c>
      <c r="B497" s="16" t="s">
        <v>10865</v>
      </c>
      <c r="C497" s="16">
        <v>12.0</v>
      </c>
      <c r="D497" s="16" t="s">
        <v>10444</v>
      </c>
      <c r="E497" s="16" t="s">
        <v>707</v>
      </c>
      <c r="F497" s="16">
        <v>2023.0</v>
      </c>
      <c r="G497" s="16">
        <v>53.161</v>
      </c>
      <c r="H497" s="16">
        <v>10.0821</v>
      </c>
      <c r="I497" s="15"/>
      <c r="J497" s="15"/>
    </row>
    <row r="498">
      <c r="A498" s="18">
        <v>44656.0</v>
      </c>
      <c r="B498" s="16" t="s">
        <v>10866</v>
      </c>
      <c r="C498" s="16">
        <v>10.0</v>
      </c>
      <c r="D498" s="16" t="s">
        <v>10444</v>
      </c>
      <c r="E498" s="16" t="s">
        <v>707</v>
      </c>
      <c r="F498" s="16">
        <v>2013.0</v>
      </c>
      <c r="G498" s="16">
        <v>51.8927</v>
      </c>
      <c r="H498" s="16">
        <v>7.872</v>
      </c>
      <c r="I498" s="15"/>
      <c r="J498" s="15"/>
    </row>
    <row r="499">
      <c r="A499" s="18">
        <v>44656.0</v>
      </c>
      <c r="B499" s="16" t="s">
        <v>10867</v>
      </c>
      <c r="C499" s="16">
        <v>10.0</v>
      </c>
      <c r="D499" s="16" t="s">
        <v>10444</v>
      </c>
      <c r="E499" s="16" t="s">
        <v>707</v>
      </c>
      <c r="F499" s="16">
        <v>2016.0</v>
      </c>
      <c r="G499" s="16">
        <v>52.4723</v>
      </c>
      <c r="H499" s="16">
        <v>7.7987</v>
      </c>
      <c r="I499" s="15"/>
      <c r="J499" s="15"/>
    </row>
    <row r="500">
      <c r="A500" s="18">
        <v>44656.0</v>
      </c>
      <c r="B500" s="16" t="s">
        <v>10868</v>
      </c>
      <c r="C500" s="16">
        <v>26.0</v>
      </c>
      <c r="D500" s="16" t="s">
        <v>10444</v>
      </c>
      <c r="E500" s="16" t="s">
        <v>707</v>
      </c>
      <c r="F500" s="16">
        <v>2012.0</v>
      </c>
      <c r="G500" s="16">
        <v>53.4266</v>
      </c>
      <c r="H500" s="16">
        <v>14.0565</v>
      </c>
      <c r="I500" s="15"/>
      <c r="J500" s="15"/>
    </row>
    <row r="501">
      <c r="A501" s="18">
        <v>44656.0</v>
      </c>
      <c r="B501" s="16" t="s">
        <v>10869</v>
      </c>
      <c r="C501" s="16">
        <v>10.0</v>
      </c>
      <c r="D501" s="16" t="s">
        <v>10444</v>
      </c>
      <c r="E501" s="16" t="s">
        <v>707</v>
      </c>
      <c r="F501" s="16">
        <v>2019.0</v>
      </c>
      <c r="G501" s="16">
        <v>54.7302</v>
      </c>
      <c r="H501" s="16">
        <v>8.8586</v>
      </c>
      <c r="I501" s="15"/>
      <c r="J501" s="15"/>
    </row>
    <row r="502">
      <c r="A502" s="18">
        <v>44656.0</v>
      </c>
      <c r="B502" s="16" t="s">
        <v>10870</v>
      </c>
      <c r="C502" s="16">
        <v>13.0</v>
      </c>
      <c r="D502" s="16" t="s">
        <v>10444</v>
      </c>
      <c r="E502" s="16" t="s">
        <v>707</v>
      </c>
      <c r="F502" s="16">
        <v>2021.0</v>
      </c>
      <c r="G502" s="16">
        <v>48.2126</v>
      </c>
      <c r="H502" s="16">
        <v>8.3105</v>
      </c>
      <c r="I502" s="15"/>
      <c r="J502" s="15"/>
    </row>
    <row r="503">
      <c r="A503" s="18">
        <v>44656.0</v>
      </c>
      <c r="B503" s="16" t="s">
        <v>10871</v>
      </c>
      <c r="C503" s="16">
        <v>16.0</v>
      </c>
      <c r="D503" s="16" t="s">
        <v>10444</v>
      </c>
      <c r="E503" s="16" t="s">
        <v>707</v>
      </c>
      <c r="F503" s="16">
        <v>2010.0</v>
      </c>
      <c r="G503" s="16">
        <v>51.7645</v>
      </c>
      <c r="H503" s="16">
        <v>11.3861</v>
      </c>
      <c r="I503" s="15"/>
      <c r="J503" s="15"/>
    </row>
    <row r="504">
      <c r="A504" s="18">
        <v>44656.0</v>
      </c>
      <c r="B504" s="16" t="s">
        <v>10872</v>
      </c>
      <c r="C504" s="16">
        <v>22.0</v>
      </c>
      <c r="D504" s="16" t="s">
        <v>10444</v>
      </c>
      <c r="E504" s="16" t="s">
        <v>707</v>
      </c>
      <c r="F504" s="16">
        <v>2005.0</v>
      </c>
      <c r="G504" s="16">
        <v>52.9203</v>
      </c>
      <c r="H504" s="16">
        <v>13.2919</v>
      </c>
      <c r="I504" s="15"/>
      <c r="J504" s="15"/>
    </row>
    <row r="505">
      <c r="A505" s="18">
        <v>44656.0</v>
      </c>
      <c r="B505" s="16" t="s">
        <v>10873</v>
      </c>
      <c r="C505" s="16">
        <v>14.0</v>
      </c>
      <c r="D505" s="16" t="s">
        <v>10444</v>
      </c>
      <c r="E505" s="16" t="s">
        <v>707</v>
      </c>
      <c r="F505" s="16">
        <v>2019.0</v>
      </c>
      <c r="G505" s="16">
        <v>53.2732</v>
      </c>
      <c r="H505" s="16">
        <v>13.9893</v>
      </c>
      <c r="I505" s="15"/>
      <c r="J505" s="15"/>
    </row>
    <row r="506">
      <c r="A506" s="18">
        <v>44656.0</v>
      </c>
      <c r="B506" s="16" t="s">
        <v>10874</v>
      </c>
      <c r="C506" s="16">
        <v>12.0</v>
      </c>
      <c r="D506" s="16" t="s">
        <v>10444</v>
      </c>
      <c r="E506" s="16" t="s">
        <v>707</v>
      </c>
      <c r="F506" s="16">
        <v>2004.0</v>
      </c>
      <c r="G506" s="16">
        <v>53.2672</v>
      </c>
      <c r="H506" s="16">
        <v>14.0387</v>
      </c>
      <c r="I506" s="15"/>
      <c r="J506" s="15"/>
    </row>
    <row r="507">
      <c r="A507" s="18">
        <v>44656.0</v>
      </c>
      <c r="B507" s="16" t="s">
        <v>10875</v>
      </c>
      <c r="C507" s="16">
        <v>32.0</v>
      </c>
      <c r="D507" s="16" t="s">
        <v>10444</v>
      </c>
      <c r="E507" s="16" t="s">
        <v>707</v>
      </c>
      <c r="F507" s="16">
        <v>2007.0</v>
      </c>
      <c r="G507" s="16">
        <v>51.412</v>
      </c>
      <c r="H507" s="16">
        <v>11.5794</v>
      </c>
      <c r="I507" s="15"/>
      <c r="J507" s="15"/>
    </row>
    <row r="508">
      <c r="A508" s="18">
        <v>44999.0</v>
      </c>
      <c r="B508" s="16" t="s">
        <v>10876</v>
      </c>
      <c r="C508" s="16">
        <v>22.0</v>
      </c>
      <c r="D508" s="16" t="s">
        <v>10444</v>
      </c>
      <c r="E508" s="16" t="s">
        <v>707</v>
      </c>
      <c r="F508" s="16">
        <v>2022.0</v>
      </c>
      <c r="G508" s="16">
        <v>54.2766</v>
      </c>
      <c r="H508" s="16">
        <v>10.805</v>
      </c>
      <c r="I508" s="15"/>
      <c r="J508" s="15"/>
    </row>
    <row r="509">
      <c r="A509" s="18">
        <v>44656.0</v>
      </c>
      <c r="B509" s="16" t="s">
        <v>10877</v>
      </c>
      <c r="C509" s="16">
        <v>10.0</v>
      </c>
      <c r="D509" s="16" t="s">
        <v>10444</v>
      </c>
      <c r="E509" s="16" t="s">
        <v>707</v>
      </c>
      <c r="F509" s="16">
        <v>2010.0</v>
      </c>
      <c r="G509" s="16">
        <v>50.3255</v>
      </c>
      <c r="H509" s="16">
        <v>12.0311</v>
      </c>
      <c r="I509" s="15"/>
      <c r="J509" s="15"/>
    </row>
    <row r="510">
      <c r="A510" s="18">
        <v>44656.0</v>
      </c>
      <c r="B510" s="16" t="s">
        <v>10878</v>
      </c>
      <c r="C510" s="16">
        <v>58.0</v>
      </c>
      <c r="D510" s="16" t="s">
        <v>10444</v>
      </c>
      <c r="E510" s="16" t="s">
        <v>707</v>
      </c>
      <c r="F510" s="16">
        <v>2006.0</v>
      </c>
      <c r="G510" s="16">
        <v>54.4835</v>
      </c>
      <c r="H510" s="16">
        <v>11.1101</v>
      </c>
      <c r="I510" s="15"/>
      <c r="J510" s="15"/>
    </row>
    <row r="511">
      <c r="A511" s="18">
        <v>44656.0</v>
      </c>
      <c r="B511" s="16" t="s">
        <v>10879</v>
      </c>
      <c r="C511" s="16">
        <v>14.0</v>
      </c>
      <c r="D511" s="16" t="s">
        <v>10444</v>
      </c>
      <c r="E511" s="16" t="s">
        <v>707</v>
      </c>
      <c r="F511" s="16">
        <v>2008.0</v>
      </c>
      <c r="G511" s="16">
        <v>54.5105</v>
      </c>
      <c r="H511" s="16">
        <v>11.0733</v>
      </c>
      <c r="I511" s="15"/>
      <c r="J511" s="15"/>
    </row>
    <row r="512">
      <c r="A512" s="18">
        <v>45022.0</v>
      </c>
      <c r="B512" s="16" t="s">
        <v>10880</v>
      </c>
      <c r="C512" s="16">
        <v>67.0</v>
      </c>
      <c r="D512" s="16" t="s">
        <v>10444</v>
      </c>
      <c r="E512" s="16" t="s">
        <v>707</v>
      </c>
      <c r="F512" s="16">
        <v>2021.0</v>
      </c>
      <c r="G512" s="16">
        <v>52.804</v>
      </c>
      <c r="H512" s="16">
        <v>7.2307</v>
      </c>
      <c r="I512" s="15"/>
      <c r="J512" s="15"/>
    </row>
    <row r="513">
      <c r="A513" s="18">
        <v>44656.0</v>
      </c>
      <c r="B513" s="16" t="s">
        <v>10881</v>
      </c>
      <c r="C513" s="16">
        <v>20.0</v>
      </c>
      <c r="D513" s="16" t="s">
        <v>10444</v>
      </c>
      <c r="E513" s="16" t="s">
        <v>707</v>
      </c>
      <c r="F513" s="16">
        <v>2001.0</v>
      </c>
      <c r="G513" s="16">
        <v>53.2596</v>
      </c>
      <c r="H513" s="16">
        <v>7.7831</v>
      </c>
      <c r="I513" s="15"/>
      <c r="J513" s="15"/>
    </row>
    <row r="514">
      <c r="A514" s="18">
        <v>44656.0</v>
      </c>
      <c r="B514" s="16" t="s">
        <v>10882</v>
      </c>
      <c r="C514" s="16">
        <v>11.0</v>
      </c>
      <c r="D514" s="16" t="s">
        <v>10444</v>
      </c>
      <c r="E514" s="16" t="s">
        <v>707</v>
      </c>
      <c r="F514" s="16">
        <v>2019.0</v>
      </c>
      <c r="G514" s="16">
        <v>49.5656</v>
      </c>
      <c r="H514" s="16">
        <v>12.173</v>
      </c>
      <c r="I514" s="15"/>
      <c r="J514" s="15"/>
    </row>
    <row r="515">
      <c r="A515" s="18">
        <v>44656.0</v>
      </c>
      <c r="B515" s="16" t="s">
        <v>10883</v>
      </c>
      <c r="C515" s="16">
        <v>17.0</v>
      </c>
      <c r="D515" s="16" t="s">
        <v>10444</v>
      </c>
      <c r="E515" s="16" t="s">
        <v>707</v>
      </c>
      <c r="F515" s="16">
        <v>2019.0</v>
      </c>
      <c r="G515" s="16">
        <v>52.9561</v>
      </c>
      <c r="H515" s="16">
        <v>8.9125</v>
      </c>
      <c r="I515" s="15"/>
      <c r="J515" s="15"/>
    </row>
    <row r="516">
      <c r="A516" s="18">
        <v>44656.0</v>
      </c>
      <c r="B516" s="16" t="s">
        <v>10884</v>
      </c>
      <c r="C516" s="16">
        <v>15.0</v>
      </c>
      <c r="D516" s="16" t="s">
        <v>10444</v>
      </c>
      <c r="E516" s="16" t="s">
        <v>707</v>
      </c>
      <c r="F516" s="16">
        <v>2014.0</v>
      </c>
      <c r="G516" s="16">
        <v>52.0199</v>
      </c>
      <c r="H516" s="16">
        <v>12.8628</v>
      </c>
      <c r="I516" s="15"/>
      <c r="J516" s="15"/>
    </row>
    <row r="517">
      <c r="A517" s="18">
        <v>44656.0</v>
      </c>
      <c r="B517" s="16" t="s">
        <v>10884</v>
      </c>
      <c r="C517" s="16">
        <v>13.0</v>
      </c>
      <c r="D517" s="16" t="s">
        <v>10444</v>
      </c>
      <c r="E517" s="16" t="s">
        <v>707</v>
      </c>
      <c r="F517" s="16">
        <v>2002.0</v>
      </c>
      <c r="G517" s="16">
        <v>51.9979</v>
      </c>
      <c r="H517" s="16">
        <v>12.8315</v>
      </c>
      <c r="I517" s="15"/>
      <c r="J517" s="15"/>
    </row>
    <row r="518">
      <c r="A518" s="18">
        <v>44656.0</v>
      </c>
      <c r="B518" s="16" t="s">
        <v>10884</v>
      </c>
      <c r="C518" s="16">
        <v>33.0</v>
      </c>
      <c r="D518" s="16" t="s">
        <v>10444</v>
      </c>
      <c r="E518" s="16" t="s">
        <v>707</v>
      </c>
      <c r="F518" s="16">
        <v>2015.0</v>
      </c>
      <c r="G518" s="16">
        <v>52.0199</v>
      </c>
      <c r="H518" s="16">
        <v>12.8628</v>
      </c>
      <c r="I518" s="15"/>
      <c r="J518" s="15"/>
    </row>
    <row r="519">
      <c r="A519" s="18">
        <v>44656.0</v>
      </c>
      <c r="B519" s="16" t="s">
        <v>10884</v>
      </c>
      <c r="C519" s="16">
        <v>32.0</v>
      </c>
      <c r="D519" s="16" t="s">
        <v>10444</v>
      </c>
      <c r="E519" s="16" t="s">
        <v>707</v>
      </c>
      <c r="F519" s="16">
        <v>2006.0</v>
      </c>
      <c r="G519" s="16">
        <v>52.0231</v>
      </c>
      <c r="H519" s="16">
        <v>12.8467</v>
      </c>
      <c r="I519" s="15"/>
      <c r="J519" s="15"/>
    </row>
    <row r="520">
      <c r="A520" s="18">
        <v>44656.0</v>
      </c>
      <c r="B520" s="16" t="s">
        <v>10884</v>
      </c>
      <c r="C520" s="16">
        <v>20.0</v>
      </c>
      <c r="D520" s="16" t="s">
        <v>10444</v>
      </c>
      <c r="E520" s="16" t="s">
        <v>707</v>
      </c>
      <c r="F520" s="16">
        <v>2006.0</v>
      </c>
      <c r="G520" s="16">
        <v>52.0062</v>
      </c>
      <c r="H520" s="16">
        <v>12.8435</v>
      </c>
      <c r="I520" s="15"/>
      <c r="J520" s="15"/>
    </row>
    <row r="521">
      <c r="A521" s="18">
        <v>44656.0</v>
      </c>
      <c r="B521" s="16" t="s">
        <v>10885</v>
      </c>
      <c r="C521" s="16">
        <v>15.0</v>
      </c>
      <c r="D521" s="16" t="s">
        <v>10444</v>
      </c>
      <c r="E521" s="16" t="s">
        <v>707</v>
      </c>
      <c r="F521" s="16">
        <v>2017.0</v>
      </c>
      <c r="G521" s="16">
        <v>51.1114</v>
      </c>
      <c r="H521" s="16">
        <v>9.4992</v>
      </c>
      <c r="I521" s="15"/>
      <c r="J521" s="15"/>
    </row>
    <row r="522">
      <c r="A522" s="18">
        <v>44999.0</v>
      </c>
      <c r="B522" s="16" t="s">
        <v>10886</v>
      </c>
      <c r="C522" s="16">
        <v>10.0</v>
      </c>
      <c r="D522" s="16" t="s">
        <v>10444</v>
      </c>
      <c r="E522" s="16" t="s">
        <v>707</v>
      </c>
      <c r="F522" s="16">
        <v>2017.0</v>
      </c>
      <c r="G522" s="16">
        <v>49.095</v>
      </c>
      <c r="H522" s="16">
        <v>10.1954</v>
      </c>
      <c r="I522" s="15"/>
      <c r="J522" s="15"/>
    </row>
    <row r="523">
      <c r="A523" s="18">
        <v>44656.0</v>
      </c>
      <c r="B523" s="16" t="s">
        <v>10887</v>
      </c>
      <c r="C523" s="16">
        <v>13.0</v>
      </c>
      <c r="D523" s="16" t="s">
        <v>10444</v>
      </c>
      <c r="E523" s="16" t="s">
        <v>707</v>
      </c>
      <c r="F523" s="16">
        <v>2018.0</v>
      </c>
      <c r="G523" s="16">
        <v>53.3573</v>
      </c>
      <c r="H523" s="16">
        <v>7.6942</v>
      </c>
      <c r="I523" s="15"/>
      <c r="J523" s="15"/>
    </row>
    <row r="524">
      <c r="A524" s="18">
        <v>44656.0</v>
      </c>
      <c r="B524" s="16" t="s">
        <v>10888</v>
      </c>
      <c r="C524" s="16">
        <v>12.0</v>
      </c>
      <c r="D524" s="16" t="s">
        <v>10444</v>
      </c>
      <c r="E524" s="16" t="s">
        <v>707</v>
      </c>
      <c r="F524" s="16">
        <v>2017.0</v>
      </c>
      <c r="G524" s="16">
        <v>49.6879</v>
      </c>
      <c r="H524" s="16">
        <v>7.7273</v>
      </c>
      <c r="I524" s="15"/>
      <c r="J524" s="15"/>
    </row>
    <row r="525">
      <c r="A525" s="18">
        <v>44656.0</v>
      </c>
      <c r="B525" s="16" t="s">
        <v>10889</v>
      </c>
      <c r="C525" s="16">
        <v>15.0</v>
      </c>
      <c r="D525" s="16" t="s">
        <v>10444</v>
      </c>
      <c r="E525" s="16" t="s">
        <v>707</v>
      </c>
      <c r="F525" s="16">
        <v>2002.0</v>
      </c>
      <c r="G525" s="16">
        <v>52.5288</v>
      </c>
      <c r="H525" s="16">
        <v>12.0476</v>
      </c>
      <c r="I525" s="15"/>
      <c r="J525" s="15"/>
    </row>
    <row r="526">
      <c r="A526" s="18">
        <v>44656.0</v>
      </c>
      <c r="B526" s="16" t="s">
        <v>10890</v>
      </c>
      <c r="C526" s="16">
        <v>12.0</v>
      </c>
      <c r="D526" s="16" t="s">
        <v>10444</v>
      </c>
      <c r="E526" s="16" t="s">
        <v>707</v>
      </c>
      <c r="F526" s="16">
        <v>2014.0</v>
      </c>
      <c r="G526" s="16">
        <v>52.5315</v>
      </c>
      <c r="H526" s="16">
        <v>12.0449</v>
      </c>
      <c r="I526" s="15"/>
      <c r="J526" s="15"/>
    </row>
    <row r="527">
      <c r="A527" s="18">
        <v>44656.0</v>
      </c>
      <c r="B527" s="16" t="s">
        <v>10891</v>
      </c>
      <c r="C527" s="16">
        <v>18.0</v>
      </c>
      <c r="D527" s="16" t="s">
        <v>10444</v>
      </c>
      <c r="E527" s="16" t="s">
        <v>707</v>
      </c>
      <c r="F527" s="16">
        <v>2020.0</v>
      </c>
      <c r="G527" s="16">
        <v>51.8363</v>
      </c>
      <c r="H527" s="16">
        <v>7.3555</v>
      </c>
      <c r="I527" s="15"/>
      <c r="J527" s="15"/>
    </row>
    <row r="528">
      <c r="A528" s="18">
        <v>44656.0</v>
      </c>
      <c r="B528" s="16" t="s">
        <v>10891</v>
      </c>
      <c r="C528" s="16">
        <v>12.0</v>
      </c>
      <c r="D528" s="16" t="s">
        <v>10444</v>
      </c>
      <c r="E528" s="16" t="s">
        <v>707</v>
      </c>
      <c r="F528" s="16">
        <v>2021.0</v>
      </c>
      <c r="G528" s="16">
        <v>51.8363</v>
      </c>
      <c r="H528" s="16">
        <v>7.3555</v>
      </c>
      <c r="I528" s="15"/>
      <c r="J528" s="15"/>
    </row>
    <row r="529">
      <c r="A529" s="18">
        <v>44656.0</v>
      </c>
      <c r="B529" s="16" t="s">
        <v>10892</v>
      </c>
      <c r="C529" s="16">
        <v>17.0</v>
      </c>
      <c r="D529" s="16" t="s">
        <v>10444</v>
      </c>
      <c r="E529" s="16" t="s">
        <v>707</v>
      </c>
      <c r="F529" s="16">
        <v>2002.0</v>
      </c>
      <c r="G529" s="16">
        <v>52.8018</v>
      </c>
      <c r="H529" s="16">
        <v>11.4014</v>
      </c>
      <c r="I529" s="15"/>
      <c r="J529" s="15"/>
    </row>
    <row r="530">
      <c r="A530" s="18">
        <v>44656.0</v>
      </c>
      <c r="B530" s="16" t="s">
        <v>10892</v>
      </c>
      <c r="C530" s="16">
        <v>17.0</v>
      </c>
      <c r="D530" s="16" t="s">
        <v>10444</v>
      </c>
      <c r="E530" s="16" t="s">
        <v>707</v>
      </c>
      <c r="F530" s="16">
        <v>2017.0</v>
      </c>
      <c r="G530" s="16">
        <v>52.8051</v>
      </c>
      <c r="H530" s="16">
        <v>11.4031</v>
      </c>
      <c r="I530" s="15"/>
      <c r="J530" s="15"/>
    </row>
    <row r="531">
      <c r="A531" s="18">
        <v>45664.0</v>
      </c>
      <c r="B531" s="16" t="s">
        <v>10893</v>
      </c>
      <c r="C531" s="16">
        <v>22.0</v>
      </c>
      <c r="D531" s="16" t="s">
        <v>10444</v>
      </c>
      <c r="E531" s="16" t="s">
        <v>707</v>
      </c>
      <c r="F531" s="16">
        <v>2024.0</v>
      </c>
      <c r="G531" s="16">
        <v>52.8518</v>
      </c>
      <c r="H531" s="16">
        <v>10.7417</v>
      </c>
      <c r="I531" s="15"/>
      <c r="J531" s="15"/>
    </row>
    <row r="532">
      <c r="A532" s="18">
        <v>45369.0</v>
      </c>
      <c r="B532" s="16" t="s">
        <v>10894</v>
      </c>
      <c r="C532" s="16">
        <v>21.0</v>
      </c>
      <c r="D532" s="16" t="s">
        <v>10444</v>
      </c>
      <c r="E532" s="16" t="s">
        <v>707</v>
      </c>
      <c r="F532" s="16">
        <v>2022.0</v>
      </c>
      <c r="G532" s="16">
        <v>52.0997</v>
      </c>
      <c r="H532" s="16">
        <v>10.4828</v>
      </c>
      <c r="I532" s="15"/>
      <c r="J532" s="15"/>
    </row>
    <row r="533">
      <c r="A533" s="18">
        <v>44656.0</v>
      </c>
      <c r="B533" s="16" t="s">
        <v>10895</v>
      </c>
      <c r="C533" s="16">
        <v>15.0</v>
      </c>
      <c r="D533" s="16" t="s">
        <v>10444</v>
      </c>
      <c r="E533" s="16" t="s">
        <v>707</v>
      </c>
      <c r="F533" s="16">
        <v>2013.0</v>
      </c>
      <c r="G533" s="16">
        <v>49.8832</v>
      </c>
      <c r="H533" s="16">
        <v>8.2856</v>
      </c>
      <c r="I533" s="15"/>
      <c r="J533" s="15"/>
    </row>
    <row r="534">
      <c r="A534" s="18">
        <v>44656.0</v>
      </c>
      <c r="B534" s="16" t="s">
        <v>10896</v>
      </c>
      <c r="C534" s="16">
        <v>17.0</v>
      </c>
      <c r="D534" s="16" t="s">
        <v>10444</v>
      </c>
      <c r="E534" s="16" t="s">
        <v>707</v>
      </c>
      <c r="F534" s="16">
        <v>2020.0</v>
      </c>
      <c r="G534" s="16">
        <v>50.166</v>
      </c>
      <c r="H534" s="16">
        <v>9.5214</v>
      </c>
      <c r="I534" s="15"/>
      <c r="J534" s="15"/>
    </row>
    <row r="535">
      <c r="A535" s="18">
        <v>44656.0</v>
      </c>
      <c r="B535" s="16" t="s">
        <v>10897</v>
      </c>
      <c r="C535" s="16">
        <v>14.0</v>
      </c>
      <c r="D535" s="16" t="s">
        <v>10444</v>
      </c>
      <c r="E535" s="16" t="s">
        <v>707</v>
      </c>
      <c r="F535" s="16">
        <v>2015.0</v>
      </c>
      <c r="G535" s="16">
        <v>54.735</v>
      </c>
      <c r="H535" s="16">
        <v>8.5715</v>
      </c>
      <c r="I535" s="15"/>
      <c r="J535" s="15"/>
    </row>
    <row r="536">
      <c r="A536" s="18">
        <v>44656.0</v>
      </c>
      <c r="B536" s="16" t="s">
        <v>10898</v>
      </c>
      <c r="C536" s="16">
        <v>13.0</v>
      </c>
      <c r="D536" s="16" t="s">
        <v>10444</v>
      </c>
      <c r="E536" s="16" t="s">
        <v>707</v>
      </c>
      <c r="F536" s="16">
        <v>2016.0</v>
      </c>
      <c r="G536" s="16">
        <v>49.6016</v>
      </c>
      <c r="H536" s="16">
        <v>7.2993</v>
      </c>
      <c r="I536" s="15"/>
      <c r="J536" s="15"/>
    </row>
    <row r="537">
      <c r="A537" s="18">
        <v>44656.0</v>
      </c>
      <c r="B537" s="16" t="s">
        <v>10899</v>
      </c>
      <c r="C537" s="16">
        <v>12.0</v>
      </c>
      <c r="D537" s="16" t="s">
        <v>10444</v>
      </c>
      <c r="E537" s="16" t="s">
        <v>707</v>
      </c>
      <c r="F537" s="16">
        <v>2006.0</v>
      </c>
      <c r="G537" s="16">
        <v>49.5646</v>
      </c>
      <c r="H537" s="16">
        <v>7.2712</v>
      </c>
      <c r="I537" s="15"/>
      <c r="J537" s="15"/>
    </row>
    <row r="538">
      <c r="A538" s="18">
        <v>44656.0</v>
      </c>
      <c r="B538" s="16" t="s">
        <v>10900</v>
      </c>
      <c r="C538" s="16">
        <v>16.0</v>
      </c>
      <c r="D538" s="16" t="s">
        <v>10444</v>
      </c>
      <c r="E538" s="16" t="s">
        <v>707</v>
      </c>
      <c r="F538" s="16">
        <v>2018.0</v>
      </c>
      <c r="G538" s="16">
        <v>51.803</v>
      </c>
      <c r="H538" s="16">
        <v>14.5801</v>
      </c>
      <c r="I538" s="15"/>
      <c r="J538" s="15"/>
    </row>
    <row r="539">
      <c r="A539" s="18">
        <v>44998.0</v>
      </c>
      <c r="B539" s="16" t="s">
        <v>10901</v>
      </c>
      <c r="C539" s="16">
        <v>14.0</v>
      </c>
      <c r="D539" s="16" t="s">
        <v>10444</v>
      </c>
      <c r="E539" s="16" t="s">
        <v>707</v>
      </c>
      <c r="F539" s="16">
        <v>2015.0</v>
      </c>
      <c r="G539" s="16">
        <v>49.7439</v>
      </c>
      <c r="H539" s="16">
        <v>8.1958</v>
      </c>
      <c r="I539" s="15"/>
      <c r="J539" s="15"/>
    </row>
    <row r="540">
      <c r="A540" s="18">
        <v>45664.0</v>
      </c>
      <c r="B540" s="16" t="s">
        <v>10902</v>
      </c>
      <c r="C540" s="16">
        <v>23.0</v>
      </c>
      <c r="D540" s="16" t="s">
        <v>10444</v>
      </c>
      <c r="E540" s="16" t="s">
        <v>707</v>
      </c>
      <c r="F540" s="16">
        <v>2024.0</v>
      </c>
      <c r="G540" s="16">
        <v>53.0442</v>
      </c>
      <c r="H540" s="16">
        <v>14.0415</v>
      </c>
      <c r="I540" s="15"/>
      <c r="J540" s="15"/>
    </row>
    <row r="541">
      <c r="A541" s="18">
        <v>44656.0</v>
      </c>
      <c r="B541" s="16" t="s">
        <v>10903</v>
      </c>
      <c r="C541" s="16">
        <v>20.0</v>
      </c>
      <c r="D541" s="16" t="s">
        <v>10444</v>
      </c>
      <c r="E541" s="16" t="s">
        <v>707</v>
      </c>
      <c r="F541" s="16">
        <v>2018.0</v>
      </c>
      <c r="G541" s="16">
        <v>49.0816</v>
      </c>
      <c r="H541" s="16">
        <v>8.0991</v>
      </c>
      <c r="I541" s="15"/>
      <c r="J541" s="15"/>
    </row>
    <row r="542">
      <c r="A542" s="18">
        <v>44656.0</v>
      </c>
      <c r="B542" s="16" t="s">
        <v>10904</v>
      </c>
      <c r="C542" s="16">
        <v>21.0</v>
      </c>
      <c r="D542" s="16" t="s">
        <v>10444</v>
      </c>
      <c r="E542" s="16" t="s">
        <v>707</v>
      </c>
      <c r="F542" s="16">
        <v>2014.0</v>
      </c>
      <c r="G542" s="16">
        <v>50.3915</v>
      </c>
      <c r="H542" s="16">
        <v>9.394</v>
      </c>
      <c r="I542" s="15"/>
      <c r="J542" s="15"/>
    </row>
    <row r="543">
      <c r="A543" s="18">
        <v>44656.0</v>
      </c>
      <c r="B543" s="16" t="s">
        <v>10905</v>
      </c>
      <c r="C543" s="16">
        <v>25.0</v>
      </c>
      <c r="D543" s="16" t="s">
        <v>10444</v>
      </c>
      <c r="E543" s="16" t="s">
        <v>707</v>
      </c>
      <c r="F543" s="15"/>
      <c r="G543" s="16">
        <v>51.5766</v>
      </c>
      <c r="H543" s="16">
        <v>12.2283</v>
      </c>
      <c r="I543" s="15"/>
      <c r="J543" s="15"/>
    </row>
    <row r="544">
      <c r="A544" s="18">
        <v>45369.0</v>
      </c>
      <c r="B544" s="16" t="s">
        <v>10906</v>
      </c>
      <c r="C544" s="16">
        <v>18.0</v>
      </c>
      <c r="D544" s="16" t="s">
        <v>10444</v>
      </c>
      <c r="E544" s="16" t="s">
        <v>707</v>
      </c>
      <c r="F544" s="16">
        <v>2022.0</v>
      </c>
      <c r="G544" s="16">
        <v>49.7099</v>
      </c>
      <c r="H544" s="16">
        <v>8.0629</v>
      </c>
      <c r="I544" s="15"/>
      <c r="J544" s="15"/>
    </row>
    <row r="545">
      <c r="A545" s="18">
        <v>44656.0</v>
      </c>
      <c r="B545" s="16" t="s">
        <v>10907</v>
      </c>
      <c r="C545" s="16">
        <v>12.0</v>
      </c>
      <c r="D545" s="16" t="s">
        <v>10444</v>
      </c>
      <c r="E545" s="16" t="s">
        <v>707</v>
      </c>
      <c r="F545" s="15"/>
      <c r="G545" s="16">
        <v>52.4413</v>
      </c>
      <c r="H545" s="16">
        <v>7.5591</v>
      </c>
      <c r="I545" s="15"/>
      <c r="J545" s="15"/>
    </row>
    <row r="546">
      <c r="A546" s="18">
        <v>44656.0</v>
      </c>
      <c r="B546" s="16" t="s">
        <v>10907</v>
      </c>
      <c r="C546" s="16">
        <v>24.0</v>
      </c>
      <c r="D546" s="16" t="s">
        <v>10444</v>
      </c>
      <c r="E546" s="16" t="s">
        <v>707</v>
      </c>
      <c r="F546" s="16">
        <v>2007.0</v>
      </c>
      <c r="G546" s="16">
        <v>52.4413</v>
      </c>
      <c r="H546" s="16">
        <v>7.5591</v>
      </c>
      <c r="I546" s="15"/>
      <c r="J546" s="15"/>
    </row>
    <row r="547">
      <c r="A547" s="18">
        <v>44656.0</v>
      </c>
      <c r="B547" s="16" t="s">
        <v>10907</v>
      </c>
      <c r="C547" s="16">
        <v>16.0</v>
      </c>
      <c r="D547" s="16" t="s">
        <v>10444</v>
      </c>
      <c r="E547" s="16" t="s">
        <v>707</v>
      </c>
      <c r="F547" s="15"/>
      <c r="G547" s="16">
        <v>52.4413</v>
      </c>
      <c r="H547" s="16">
        <v>7.5591</v>
      </c>
      <c r="I547" s="15"/>
      <c r="J547" s="15"/>
    </row>
    <row r="548">
      <c r="A548" s="18">
        <v>44656.0</v>
      </c>
      <c r="B548" s="16" t="s">
        <v>10908</v>
      </c>
      <c r="C548" s="16">
        <v>17.0</v>
      </c>
      <c r="D548" s="16" t="s">
        <v>10444</v>
      </c>
      <c r="E548" s="16" t="s">
        <v>707</v>
      </c>
      <c r="F548" s="16">
        <v>2016.0</v>
      </c>
      <c r="G548" s="16">
        <v>49.7567</v>
      </c>
      <c r="H548" s="16">
        <v>9.3672</v>
      </c>
      <c r="I548" s="15"/>
      <c r="J548" s="15"/>
    </row>
    <row r="549">
      <c r="A549" s="18">
        <v>45034.0</v>
      </c>
      <c r="B549" s="16" t="s">
        <v>10909</v>
      </c>
      <c r="C549" s="16">
        <v>34.0</v>
      </c>
      <c r="D549" s="16" t="s">
        <v>10444</v>
      </c>
      <c r="E549" s="16" t="s">
        <v>707</v>
      </c>
      <c r="F549" s="16">
        <v>2006.0</v>
      </c>
      <c r="G549" s="16">
        <v>52.6863</v>
      </c>
      <c r="H549" s="16">
        <v>13.8085</v>
      </c>
      <c r="I549" s="15"/>
      <c r="J549" s="15"/>
    </row>
    <row r="550">
      <c r="A550" s="18">
        <v>44656.0</v>
      </c>
      <c r="B550" s="16" t="s">
        <v>10910</v>
      </c>
      <c r="C550" s="16">
        <v>16.0</v>
      </c>
      <c r="D550" s="16" t="s">
        <v>10444</v>
      </c>
      <c r="E550" s="16" t="s">
        <v>707</v>
      </c>
      <c r="F550" s="16">
        <v>2006.0</v>
      </c>
      <c r="G550" s="16">
        <v>53.2967</v>
      </c>
      <c r="H550" s="16">
        <v>12.3337</v>
      </c>
      <c r="I550" s="15"/>
      <c r="J550" s="15"/>
    </row>
    <row r="551">
      <c r="A551" s="18">
        <v>45034.0</v>
      </c>
      <c r="B551" s="16" t="s">
        <v>10910</v>
      </c>
      <c r="C551" s="16">
        <v>18.0</v>
      </c>
      <c r="D551" s="16" t="s">
        <v>10444</v>
      </c>
      <c r="E551" s="16" t="s">
        <v>707</v>
      </c>
      <c r="F551" s="16">
        <v>2006.0</v>
      </c>
      <c r="G551" s="16">
        <v>52.2577</v>
      </c>
      <c r="H551" s="16">
        <v>12.2937</v>
      </c>
      <c r="I551" s="15"/>
      <c r="J551" s="15"/>
    </row>
    <row r="552">
      <c r="A552" s="18">
        <v>44656.0</v>
      </c>
      <c r="B552" s="16" t="s">
        <v>10911</v>
      </c>
      <c r="C552" s="16">
        <v>39.0</v>
      </c>
      <c r="D552" s="16" t="s">
        <v>10444</v>
      </c>
      <c r="E552" s="16" t="s">
        <v>707</v>
      </c>
      <c r="F552" s="16">
        <v>2016.0</v>
      </c>
      <c r="G552" s="16">
        <v>52.8625</v>
      </c>
      <c r="H552" s="16">
        <v>8.6599</v>
      </c>
      <c r="I552" s="15"/>
      <c r="J552" s="15"/>
    </row>
    <row r="553">
      <c r="A553" s="18">
        <v>44656.0</v>
      </c>
      <c r="B553" s="16" t="s">
        <v>10912</v>
      </c>
      <c r="C553" s="16">
        <v>10.0</v>
      </c>
      <c r="D553" s="16" t="s">
        <v>10444</v>
      </c>
      <c r="E553" s="16" t="s">
        <v>707</v>
      </c>
      <c r="F553" s="16">
        <v>2009.0</v>
      </c>
      <c r="G553" s="16">
        <v>53.6808</v>
      </c>
      <c r="H553" s="16">
        <v>13.5174</v>
      </c>
      <c r="I553" s="15"/>
      <c r="J553" s="15"/>
    </row>
    <row r="554">
      <c r="A554" s="18">
        <v>44656.0</v>
      </c>
      <c r="B554" s="16" t="s">
        <v>10913</v>
      </c>
      <c r="C554" s="16">
        <v>50.0</v>
      </c>
      <c r="D554" s="16" t="s">
        <v>10444</v>
      </c>
      <c r="E554" s="16" t="s">
        <v>707</v>
      </c>
      <c r="F554" s="16">
        <v>2018.0</v>
      </c>
      <c r="G554" s="16">
        <v>53.3753</v>
      </c>
      <c r="H554" s="16">
        <v>8.3836</v>
      </c>
      <c r="I554" s="15"/>
      <c r="J554" s="15"/>
    </row>
    <row r="555">
      <c r="A555" s="18">
        <v>44656.0</v>
      </c>
      <c r="B555" s="16" t="s">
        <v>10914</v>
      </c>
      <c r="C555" s="16">
        <v>15.0</v>
      </c>
      <c r="D555" s="16" t="s">
        <v>10444</v>
      </c>
      <c r="E555" s="16" t="s">
        <v>707</v>
      </c>
      <c r="F555" s="16">
        <v>2017.0</v>
      </c>
      <c r="G555" s="16">
        <v>53.0578</v>
      </c>
      <c r="H555" s="16">
        <v>7.5484</v>
      </c>
      <c r="I555" s="15"/>
      <c r="J555" s="15"/>
    </row>
    <row r="556">
      <c r="A556" s="18">
        <v>45000.0</v>
      </c>
      <c r="B556" s="16" t="s">
        <v>10915</v>
      </c>
      <c r="C556" s="16">
        <v>28.0</v>
      </c>
      <c r="D556" s="16" t="s">
        <v>10444</v>
      </c>
      <c r="E556" s="16" t="s">
        <v>707</v>
      </c>
      <c r="F556" s="16">
        <v>2009.0</v>
      </c>
      <c r="G556" s="16">
        <v>53.7963</v>
      </c>
      <c r="H556" s="16">
        <v>13.4079</v>
      </c>
      <c r="I556" s="15"/>
      <c r="J556" s="15"/>
    </row>
    <row r="557">
      <c r="A557" s="18">
        <v>45369.0</v>
      </c>
      <c r="B557" s="16" t="s">
        <v>10916</v>
      </c>
      <c r="C557" s="16">
        <v>14.0</v>
      </c>
      <c r="D557" s="16" t="s">
        <v>10444</v>
      </c>
      <c r="E557" s="16" t="s">
        <v>707</v>
      </c>
      <c r="F557" s="16">
        <v>2023.0</v>
      </c>
      <c r="G557" s="16">
        <v>50.0762</v>
      </c>
      <c r="H557" s="16">
        <v>9.9453</v>
      </c>
      <c r="I557" s="15"/>
      <c r="J557" s="15"/>
    </row>
    <row r="558">
      <c r="A558" s="18">
        <v>45664.0</v>
      </c>
      <c r="B558" s="16" t="s">
        <v>10917</v>
      </c>
      <c r="C558" s="16">
        <v>17.0</v>
      </c>
      <c r="D558" s="16" t="s">
        <v>10444</v>
      </c>
      <c r="E558" s="16" t="s">
        <v>707</v>
      </c>
      <c r="F558" s="16">
        <v>2024.0</v>
      </c>
      <c r="G558" s="16">
        <v>47.8948</v>
      </c>
      <c r="H558" s="16">
        <v>10.8015</v>
      </c>
      <c r="I558" s="15"/>
      <c r="J558" s="15"/>
    </row>
    <row r="559">
      <c r="A559" s="18">
        <v>45357.0</v>
      </c>
      <c r="B559" s="16" t="s">
        <v>10918</v>
      </c>
      <c r="C559" s="16">
        <v>12.0</v>
      </c>
      <c r="D559" s="16" t="s">
        <v>10444</v>
      </c>
      <c r="E559" s="16" t="s">
        <v>707</v>
      </c>
      <c r="F559" s="16">
        <v>2016.0</v>
      </c>
      <c r="G559" s="16">
        <v>47.8901</v>
      </c>
      <c r="H559" s="16">
        <v>10.7837</v>
      </c>
      <c r="I559" s="15"/>
      <c r="J559" s="15"/>
    </row>
    <row r="560">
      <c r="A560" s="18">
        <v>44656.0</v>
      </c>
      <c r="B560" s="16" t="s">
        <v>10919</v>
      </c>
      <c r="C560" s="16">
        <v>24.0</v>
      </c>
      <c r="D560" s="16" t="s">
        <v>10444</v>
      </c>
      <c r="E560" s="16" t="s">
        <v>707</v>
      </c>
      <c r="F560" s="16">
        <v>2016.0</v>
      </c>
      <c r="G560" s="16">
        <v>53.9861</v>
      </c>
      <c r="H560" s="16">
        <v>9.0334</v>
      </c>
      <c r="I560" s="15"/>
      <c r="J560" s="15"/>
    </row>
    <row r="561">
      <c r="A561" s="18">
        <v>44656.0</v>
      </c>
      <c r="B561" s="16" t="s">
        <v>10920</v>
      </c>
      <c r="C561" s="16">
        <v>16.0</v>
      </c>
      <c r="D561" s="16" t="s">
        <v>10444</v>
      </c>
      <c r="E561" s="16" t="s">
        <v>707</v>
      </c>
      <c r="F561" s="16">
        <v>2002.0</v>
      </c>
      <c r="G561" s="16">
        <v>52.0161</v>
      </c>
      <c r="H561" s="16">
        <v>8.0222</v>
      </c>
      <c r="I561" s="15"/>
      <c r="J561" s="15"/>
    </row>
    <row r="562">
      <c r="A562" s="18">
        <v>44656.0</v>
      </c>
      <c r="B562" s="16" t="s">
        <v>10921</v>
      </c>
      <c r="C562" s="16">
        <v>12.0</v>
      </c>
      <c r="D562" s="16" t="s">
        <v>10444</v>
      </c>
      <c r="E562" s="16" t="s">
        <v>707</v>
      </c>
      <c r="F562" s="16">
        <v>2014.0</v>
      </c>
      <c r="G562" s="16">
        <v>49.7622</v>
      </c>
      <c r="H562" s="16">
        <v>7.874</v>
      </c>
      <c r="I562" s="15"/>
      <c r="J562" s="15"/>
    </row>
    <row r="563">
      <c r="A563" s="18">
        <v>44656.0</v>
      </c>
      <c r="B563" s="16" t="s">
        <v>10922</v>
      </c>
      <c r="C563" s="16">
        <v>21.0</v>
      </c>
      <c r="D563" s="16" t="s">
        <v>10444</v>
      </c>
      <c r="E563" s="16" t="s">
        <v>707</v>
      </c>
      <c r="F563" s="16">
        <v>2018.0</v>
      </c>
      <c r="G563" s="16">
        <v>52.5059</v>
      </c>
      <c r="H563" s="16">
        <v>7.6162</v>
      </c>
      <c r="I563" s="15"/>
      <c r="J563" s="15"/>
    </row>
    <row r="564">
      <c r="A564" s="18">
        <v>45664.0</v>
      </c>
      <c r="B564" s="16" t="s">
        <v>10923</v>
      </c>
      <c r="C564" s="16">
        <v>21.0</v>
      </c>
      <c r="D564" s="16" t="s">
        <v>10444</v>
      </c>
      <c r="E564" s="16" t="s">
        <v>707</v>
      </c>
      <c r="F564" s="16">
        <v>2024.0</v>
      </c>
      <c r="G564" s="16">
        <v>51.4945</v>
      </c>
      <c r="H564" s="16">
        <v>9.1806</v>
      </c>
      <c r="I564" s="15"/>
      <c r="J564" s="15"/>
    </row>
    <row r="565">
      <c r="A565" s="18">
        <v>44656.0</v>
      </c>
      <c r="B565" s="16" t="s">
        <v>10924</v>
      </c>
      <c r="C565" s="16">
        <v>17.0</v>
      </c>
      <c r="D565" s="16" t="s">
        <v>10444</v>
      </c>
      <c r="E565" s="16" t="s">
        <v>707</v>
      </c>
      <c r="F565" s="16">
        <v>2018.0</v>
      </c>
      <c r="G565" s="16">
        <v>49.6493</v>
      </c>
      <c r="H565" s="16">
        <v>8.8551</v>
      </c>
      <c r="I565" s="15"/>
      <c r="J565" s="15"/>
    </row>
    <row r="566">
      <c r="A566" s="18">
        <v>44656.0</v>
      </c>
      <c r="B566" s="16" t="s">
        <v>10925</v>
      </c>
      <c r="C566" s="16">
        <v>15.0</v>
      </c>
      <c r="D566" s="16" t="s">
        <v>10444</v>
      </c>
      <c r="E566" s="16" t="s">
        <v>707</v>
      </c>
      <c r="F566" s="16">
        <v>2012.0</v>
      </c>
      <c r="G566" s="16">
        <v>49.815</v>
      </c>
      <c r="H566" s="16">
        <v>8.1642</v>
      </c>
      <c r="I566" s="15"/>
      <c r="J566" s="15"/>
    </row>
    <row r="567">
      <c r="A567" s="18">
        <v>44656.0</v>
      </c>
      <c r="B567" s="16" t="s">
        <v>10926</v>
      </c>
      <c r="C567" s="16">
        <v>22.0</v>
      </c>
      <c r="D567" s="16" t="s">
        <v>10444</v>
      </c>
      <c r="E567" s="16" t="s">
        <v>707</v>
      </c>
      <c r="F567" s="16">
        <v>2016.0</v>
      </c>
      <c r="G567" s="16">
        <v>51.9212</v>
      </c>
      <c r="H567" s="16">
        <v>12.8676</v>
      </c>
      <c r="I567" s="15"/>
      <c r="J567" s="15"/>
    </row>
    <row r="568">
      <c r="A568" s="18">
        <v>44656.0</v>
      </c>
      <c r="B568" s="16" t="s">
        <v>10927</v>
      </c>
      <c r="C568" s="16">
        <v>48.0</v>
      </c>
      <c r="D568" s="16" t="s">
        <v>10444</v>
      </c>
      <c r="E568" s="16" t="s">
        <v>707</v>
      </c>
      <c r="F568" s="16">
        <v>2017.0</v>
      </c>
      <c r="G568" s="16">
        <v>52.8378</v>
      </c>
      <c r="H568" s="16">
        <v>11.5917</v>
      </c>
      <c r="I568" s="15"/>
      <c r="J568" s="15"/>
    </row>
    <row r="569">
      <c r="A569" s="18">
        <v>44656.0</v>
      </c>
      <c r="B569" s="16" t="s">
        <v>10928</v>
      </c>
      <c r="C569" s="16">
        <v>14.0</v>
      </c>
      <c r="D569" s="16" t="s">
        <v>10444</v>
      </c>
      <c r="E569" s="16" t="s">
        <v>707</v>
      </c>
      <c r="F569" s="16">
        <v>2002.0</v>
      </c>
      <c r="G569" s="16">
        <v>53.5265</v>
      </c>
      <c r="H569" s="16">
        <v>11.2196</v>
      </c>
      <c r="I569" s="15"/>
      <c r="J569" s="15"/>
    </row>
    <row r="570">
      <c r="A570" s="18">
        <v>44656.0</v>
      </c>
      <c r="B570" s="16" t="s">
        <v>10929</v>
      </c>
      <c r="C570" s="16">
        <v>14.0</v>
      </c>
      <c r="D570" s="16" t="s">
        <v>10444</v>
      </c>
      <c r="E570" s="16" t="s">
        <v>707</v>
      </c>
      <c r="F570" s="16">
        <v>2017.0</v>
      </c>
      <c r="G570" s="16">
        <v>49.0005</v>
      </c>
      <c r="H570" s="16">
        <v>9.8061</v>
      </c>
      <c r="I570" s="15"/>
      <c r="J570" s="15"/>
    </row>
    <row r="571">
      <c r="A571" s="18">
        <v>45351.0</v>
      </c>
      <c r="B571" s="16" t="s">
        <v>10930</v>
      </c>
      <c r="C571" s="16">
        <v>35.0</v>
      </c>
      <c r="D571" s="16" t="s">
        <v>10444</v>
      </c>
      <c r="E571" s="16" t="s">
        <v>707</v>
      </c>
      <c r="F571" s="16">
        <v>2023.0</v>
      </c>
      <c r="G571" s="16">
        <v>50.9076</v>
      </c>
      <c r="H571" s="16">
        <v>9.9369</v>
      </c>
      <c r="I571" s="15"/>
      <c r="J571" s="15"/>
    </row>
    <row r="572">
      <c r="A572" s="18">
        <v>44656.0</v>
      </c>
      <c r="B572" s="16" t="s">
        <v>10931</v>
      </c>
      <c r="C572" s="16">
        <v>24.0</v>
      </c>
      <c r="D572" s="16" t="s">
        <v>10444</v>
      </c>
      <c r="E572" s="16" t="s">
        <v>707</v>
      </c>
      <c r="F572" s="16">
        <v>2015.0</v>
      </c>
      <c r="G572" s="16">
        <v>49.5415</v>
      </c>
      <c r="H572" s="16">
        <v>7.6076</v>
      </c>
      <c r="I572" s="15"/>
      <c r="J572" s="15"/>
    </row>
    <row r="573">
      <c r="A573" s="18">
        <v>44656.0</v>
      </c>
      <c r="B573" s="16" t="s">
        <v>10932</v>
      </c>
      <c r="C573" s="16">
        <v>14.0</v>
      </c>
      <c r="D573" s="16" t="s">
        <v>10444</v>
      </c>
      <c r="E573" s="16" t="s">
        <v>707</v>
      </c>
      <c r="F573" s="16">
        <v>2019.0</v>
      </c>
      <c r="G573" s="16">
        <v>50.454</v>
      </c>
      <c r="H573" s="16">
        <v>10.6101</v>
      </c>
      <c r="I573" s="15"/>
      <c r="J573" s="15"/>
    </row>
    <row r="574">
      <c r="A574" s="18">
        <v>44656.0</v>
      </c>
      <c r="B574" s="16" t="s">
        <v>10933</v>
      </c>
      <c r="C574" s="16">
        <v>10.0</v>
      </c>
      <c r="D574" s="16" t="s">
        <v>10444</v>
      </c>
      <c r="E574" s="16" t="s">
        <v>707</v>
      </c>
      <c r="F574" s="16">
        <v>2006.0</v>
      </c>
      <c r="G574" s="16">
        <v>52.2478</v>
      </c>
      <c r="H574" s="16">
        <v>13.5844</v>
      </c>
      <c r="I574" s="15"/>
      <c r="J574" s="15"/>
    </row>
    <row r="575">
      <c r="A575" s="18">
        <v>44656.0</v>
      </c>
      <c r="B575" s="16" t="s">
        <v>10934</v>
      </c>
      <c r="C575" s="16">
        <v>58.0</v>
      </c>
      <c r="D575" s="16" t="s">
        <v>10444</v>
      </c>
      <c r="E575" s="16" t="s">
        <v>707</v>
      </c>
      <c r="F575" s="16">
        <v>2006.0</v>
      </c>
      <c r="G575" s="16">
        <v>51.2099</v>
      </c>
      <c r="H575" s="16">
        <v>10.9495</v>
      </c>
      <c r="I575" s="15"/>
      <c r="J575" s="15"/>
    </row>
    <row r="576">
      <c r="A576" s="18">
        <v>44656.0</v>
      </c>
      <c r="B576" s="16" t="s">
        <v>10935</v>
      </c>
      <c r="C576" s="16">
        <v>10.0</v>
      </c>
      <c r="D576" s="16" t="s">
        <v>10444</v>
      </c>
      <c r="E576" s="16" t="s">
        <v>707</v>
      </c>
      <c r="F576" s="16">
        <v>2006.0</v>
      </c>
      <c r="G576" s="16">
        <v>52.8794</v>
      </c>
      <c r="H576" s="16">
        <v>12.5895</v>
      </c>
      <c r="I576" s="15"/>
      <c r="J576" s="15"/>
    </row>
    <row r="577">
      <c r="A577" s="18">
        <v>44656.0</v>
      </c>
      <c r="B577" s="16" t="s">
        <v>10936</v>
      </c>
      <c r="C577" s="16">
        <v>15.0</v>
      </c>
      <c r="D577" s="16" t="s">
        <v>10444</v>
      </c>
      <c r="E577" s="16" t="s">
        <v>707</v>
      </c>
      <c r="F577" s="16">
        <v>2014.0</v>
      </c>
      <c r="G577" s="16">
        <v>52.6518</v>
      </c>
      <c r="H577" s="16">
        <v>11.5821</v>
      </c>
      <c r="I577" s="15"/>
      <c r="J577" s="15"/>
    </row>
    <row r="578">
      <c r="A578" s="18">
        <v>44656.0</v>
      </c>
      <c r="B578" s="16" t="s">
        <v>10936</v>
      </c>
      <c r="C578" s="16">
        <v>10.0</v>
      </c>
      <c r="D578" s="16" t="s">
        <v>10444</v>
      </c>
      <c r="E578" s="16" t="s">
        <v>707</v>
      </c>
      <c r="F578" s="16">
        <v>2017.0</v>
      </c>
      <c r="G578" s="16">
        <v>52.6471</v>
      </c>
      <c r="H578" s="16">
        <v>11.5794</v>
      </c>
      <c r="I578" s="15"/>
      <c r="J578" s="15"/>
    </row>
    <row r="579">
      <c r="A579" s="18">
        <v>44656.0</v>
      </c>
      <c r="B579" s="16" t="s">
        <v>10937</v>
      </c>
      <c r="C579" s="16">
        <v>38.0</v>
      </c>
      <c r="D579" s="16" t="s">
        <v>10444</v>
      </c>
      <c r="E579" s="16" t="s">
        <v>707</v>
      </c>
      <c r="F579" s="16">
        <v>2012.0</v>
      </c>
      <c r="G579" s="16">
        <v>49.8072</v>
      </c>
      <c r="H579" s="16">
        <v>8.0208</v>
      </c>
      <c r="I579" s="15"/>
      <c r="J579" s="15"/>
    </row>
    <row r="580">
      <c r="A580" s="18">
        <v>45363.0</v>
      </c>
      <c r="B580" s="16" t="s">
        <v>10937</v>
      </c>
      <c r="C580" s="16">
        <v>17.0</v>
      </c>
      <c r="D580" s="16" t="s">
        <v>10444</v>
      </c>
      <c r="E580" s="16" t="s">
        <v>707</v>
      </c>
      <c r="F580" s="16">
        <v>2023.0</v>
      </c>
      <c r="G580" s="16">
        <v>49.8134</v>
      </c>
      <c r="H580" s="16">
        <v>8.0189</v>
      </c>
      <c r="I580" s="15"/>
      <c r="J580" s="15"/>
    </row>
    <row r="581">
      <c r="A581" s="18">
        <v>44985.0</v>
      </c>
      <c r="B581" s="16" t="s">
        <v>10938</v>
      </c>
      <c r="C581" s="16">
        <v>17.0</v>
      </c>
      <c r="D581" s="16" t="s">
        <v>10444</v>
      </c>
      <c r="E581" s="16" t="s">
        <v>707</v>
      </c>
      <c r="F581" s="16">
        <v>2021.0</v>
      </c>
      <c r="G581" s="16">
        <v>49.1349</v>
      </c>
      <c r="H581" s="16">
        <v>9.9605</v>
      </c>
      <c r="I581" s="15"/>
      <c r="J581" s="15"/>
    </row>
    <row r="582">
      <c r="A582" s="18">
        <v>44656.0</v>
      </c>
      <c r="B582" s="16" t="s">
        <v>10939</v>
      </c>
      <c r="C582" s="16">
        <v>24.0</v>
      </c>
      <c r="D582" s="16" t="s">
        <v>10444</v>
      </c>
      <c r="E582" s="16" t="s">
        <v>707</v>
      </c>
      <c r="F582" s="16">
        <v>2017.0</v>
      </c>
      <c r="G582" s="16">
        <v>50.4294</v>
      </c>
      <c r="H582" s="16">
        <v>11.9152</v>
      </c>
      <c r="I582" s="15"/>
      <c r="J582" s="15"/>
    </row>
    <row r="583">
      <c r="A583" s="18">
        <v>44656.0</v>
      </c>
      <c r="B583" s="16" t="s">
        <v>10940</v>
      </c>
      <c r="C583" s="16">
        <v>16.0</v>
      </c>
      <c r="D583" s="16" t="s">
        <v>10444</v>
      </c>
      <c r="E583" s="16" t="s">
        <v>707</v>
      </c>
      <c r="F583" s="16">
        <v>2006.0</v>
      </c>
      <c r="G583" s="16">
        <v>50.7354</v>
      </c>
      <c r="H583" s="16">
        <v>7.7971</v>
      </c>
      <c r="I583" s="15"/>
      <c r="J583" s="15"/>
    </row>
    <row r="584">
      <c r="A584" s="18">
        <v>45001.0</v>
      </c>
      <c r="B584" s="16" t="s">
        <v>10941</v>
      </c>
      <c r="C584" s="16">
        <v>20.0</v>
      </c>
      <c r="D584" s="16" t="s">
        <v>10444</v>
      </c>
      <c r="E584" s="16" t="s">
        <v>707</v>
      </c>
      <c r="F584" s="16">
        <v>2013.0</v>
      </c>
      <c r="G584" s="16">
        <v>53.5851</v>
      </c>
      <c r="H584" s="16">
        <v>8.9402</v>
      </c>
      <c r="I584" s="15"/>
      <c r="J584" s="15"/>
    </row>
    <row r="585">
      <c r="A585" s="18">
        <v>44656.0</v>
      </c>
      <c r="B585" s="16" t="s">
        <v>10942</v>
      </c>
      <c r="C585" s="16">
        <v>10.0</v>
      </c>
      <c r="D585" s="16" t="s">
        <v>10444</v>
      </c>
      <c r="E585" s="16" t="s">
        <v>707</v>
      </c>
      <c r="F585" s="16">
        <v>2005.0</v>
      </c>
      <c r="G585" s="16">
        <v>52.6039</v>
      </c>
      <c r="H585" s="16">
        <v>7.3428</v>
      </c>
      <c r="I585" s="15"/>
      <c r="J585" s="15"/>
    </row>
    <row r="586">
      <c r="A586" s="18">
        <v>44656.0</v>
      </c>
      <c r="B586" s="16" t="s">
        <v>10943</v>
      </c>
      <c r="C586" s="16">
        <v>24.0</v>
      </c>
      <c r="D586" s="16" t="s">
        <v>10444</v>
      </c>
      <c r="E586" s="16" t="s">
        <v>707</v>
      </c>
      <c r="F586" s="16">
        <v>2017.0</v>
      </c>
      <c r="G586" s="16">
        <v>50.4335</v>
      </c>
      <c r="H586" s="16">
        <v>11.9123</v>
      </c>
      <c r="I586" s="15"/>
      <c r="J586" s="15"/>
    </row>
    <row r="587">
      <c r="A587" s="18">
        <v>44656.0</v>
      </c>
      <c r="B587" s="16" t="s">
        <v>10944</v>
      </c>
      <c r="C587" s="16">
        <v>34.0</v>
      </c>
      <c r="D587" s="16" t="s">
        <v>10444</v>
      </c>
      <c r="E587" s="16" t="s">
        <v>707</v>
      </c>
      <c r="F587" s="16">
        <v>2000.0</v>
      </c>
      <c r="G587" s="16">
        <v>52.9943</v>
      </c>
      <c r="H587" s="16">
        <v>7.7586</v>
      </c>
      <c r="I587" s="15"/>
      <c r="J587" s="15"/>
    </row>
    <row r="588">
      <c r="A588" s="18">
        <v>44656.0</v>
      </c>
      <c r="B588" s="16" t="s">
        <v>10945</v>
      </c>
      <c r="C588" s="16">
        <v>12.0</v>
      </c>
      <c r="D588" s="16" t="s">
        <v>10444</v>
      </c>
      <c r="E588" s="16" t="s">
        <v>707</v>
      </c>
      <c r="F588" s="16">
        <v>2015.0</v>
      </c>
      <c r="G588" s="16">
        <v>52.5556</v>
      </c>
      <c r="H588" s="16">
        <v>8.0436</v>
      </c>
      <c r="I588" s="15"/>
      <c r="J588" s="15"/>
    </row>
    <row r="589">
      <c r="A589" s="18">
        <v>44656.0</v>
      </c>
      <c r="B589" s="16" t="s">
        <v>10946</v>
      </c>
      <c r="C589" s="16">
        <v>10.0</v>
      </c>
      <c r="D589" s="16" t="s">
        <v>10444</v>
      </c>
      <c r="E589" s="16" t="s">
        <v>707</v>
      </c>
      <c r="F589" s="16">
        <v>2005.0</v>
      </c>
      <c r="G589" s="16">
        <v>52.3241</v>
      </c>
      <c r="H589" s="16">
        <v>9.5338</v>
      </c>
      <c r="I589" s="15"/>
      <c r="J589" s="15"/>
    </row>
    <row r="590">
      <c r="A590" s="18">
        <v>45370.0</v>
      </c>
      <c r="B590" s="16" t="s">
        <v>10947</v>
      </c>
      <c r="C590" s="16">
        <v>14.0</v>
      </c>
      <c r="D590" s="16" t="s">
        <v>10444</v>
      </c>
      <c r="E590" s="16" t="s">
        <v>707</v>
      </c>
      <c r="F590" s="16">
        <v>2023.0</v>
      </c>
      <c r="G590" s="16">
        <v>50.9833</v>
      </c>
      <c r="H590" s="16">
        <v>6.2244</v>
      </c>
      <c r="I590" s="15"/>
      <c r="J590" s="15"/>
    </row>
    <row r="591">
      <c r="A591" s="18">
        <v>44656.0</v>
      </c>
      <c r="B591" s="16" t="s">
        <v>10948</v>
      </c>
      <c r="C591" s="16">
        <v>12.0</v>
      </c>
      <c r="D591" s="16" t="s">
        <v>10444</v>
      </c>
      <c r="E591" s="16" t="s">
        <v>707</v>
      </c>
      <c r="F591" s="16">
        <v>2013.0</v>
      </c>
      <c r="G591" s="16">
        <v>49.6367</v>
      </c>
      <c r="H591" s="16">
        <v>8.9497</v>
      </c>
      <c r="I591" s="15"/>
      <c r="J591" s="15"/>
    </row>
    <row r="592">
      <c r="A592" s="18">
        <v>44656.0</v>
      </c>
      <c r="B592" s="16" t="s">
        <v>10949</v>
      </c>
      <c r="C592" s="16">
        <v>17.0</v>
      </c>
      <c r="D592" s="16" t="s">
        <v>10444</v>
      </c>
      <c r="E592" s="16" t="s">
        <v>707</v>
      </c>
      <c r="F592" s="16">
        <v>2017.0</v>
      </c>
      <c r="G592" s="16">
        <v>50.959</v>
      </c>
      <c r="H592" s="16">
        <v>9.0165</v>
      </c>
      <c r="I592" s="15"/>
      <c r="J592" s="15"/>
    </row>
    <row r="593">
      <c r="A593" s="18">
        <v>44656.0</v>
      </c>
      <c r="B593" s="16" t="s">
        <v>10950</v>
      </c>
      <c r="C593" s="16">
        <v>18.0</v>
      </c>
      <c r="D593" s="16" t="s">
        <v>10444</v>
      </c>
      <c r="E593" s="16" t="s">
        <v>707</v>
      </c>
      <c r="F593" s="16">
        <v>2010.0</v>
      </c>
      <c r="G593" s="16">
        <v>53.4931</v>
      </c>
      <c r="H593" s="16">
        <v>7.4242</v>
      </c>
      <c r="I593" s="15"/>
      <c r="J593" s="15"/>
    </row>
    <row r="594">
      <c r="A594" s="18">
        <v>44656.0</v>
      </c>
      <c r="B594" s="16" t="s">
        <v>10951</v>
      </c>
      <c r="C594" s="16">
        <v>25.0</v>
      </c>
      <c r="D594" s="16" t="s">
        <v>10444</v>
      </c>
      <c r="E594" s="16" t="s">
        <v>707</v>
      </c>
      <c r="F594" s="16">
        <v>1999.0</v>
      </c>
      <c r="G594" s="16">
        <v>51.6451</v>
      </c>
      <c r="H594" s="16">
        <v>11.6571</v>
      </c>
      <c r="I594" s="15"/>
      <c r="J594" s="15"/>
    </row>
    <row r="595">
      <c r="A595" s="18">
        <v>45015.0</v>
      </c>
      <c r="B595" s="16" t="s">
        <v>10951</v>
      </c>
      <c r="C595" s="16">
        <v>30.0</v>
      </c>
      <c r="D595" s="16" t="s">
        <v>10444</v>
      </c>
      <c r="E595" s="16" t="s">
        <v>707</v>
      </c>
      <c r="F595" s="16">
        <v>2021.0</v>
      </c>
      <c r="G595" s="16">
        <v>51.6353</v>
      </c>
      <c r="H595" s="16">
        <v>11.6608</v>
      </c>
      <c r="I595" s="15"/>
      <c r="J595" s="15"/>
    </row>
    <row r="596">
      <c r="A596" s="18">
        <v>44656.0</v>
      </c>
      <c r="B596" s="16" t="s">
        <v>10952</v>
      </c>
      <c r="C596" s="16">
        <v>22.0</v>
      </c>
      <c r="D596" s="16" t="s">
        <v>10444</v>
      </c>
      <c r="E596" s="16" t="s">
        <v>707</v>
      </c>
      <c r="F596" s="16">
        <v>2018.0</v>
      </c>
      <c r="G596" s="16">
        <v>52.9821</v>
      </c>
      <c r="H596" s="16">
        <v>10.412</v>
      </c>
      <c r="I596" s="15"/>
      <c r="J596" s="15"/>
    </row>
    <row r="597">
      <c r="A597" s="18">
        <v>44656.0</v>
      </c>
      <c r="B597" s="16" t="s">
        <v>10953</v>
      </c>
      <c r="C597" s="16">
        <v>12.0</v>
      </c>
      <c r="D597" s="16" t="s">
        <v>10444</v>
      </c>
      <c r="E597" s="16" t="s">
        <v>707</v>
      </c>
      <c r="F597" s="16">
        <v>2005.0</v>
      </c>
      <c r="G597" s="16">
        <v>53.2356</v>
      </c>
      <c r="H597" s="16">
        <v>12.2201</v>
      </c>
      <c r="I597" s="15"/>
      <c r="J597" s="15"/>
    </row>
    <row r="598">
      <c r="A598" s="18">
        <v>44656.0</v>
      </c>
      <c r="B598" s="16" t="s">
        <v>10954</v>
      </c>
      <c r="C598" s="16">
        <v>14.0</v>
      </c>
      <c r="D598" s="16" t="s">
        <v>10444</v>
      </c>
      <c r="E598" s="16" t="s">
        <v>707</v>
      </c>
      <c r="F598" s="16">
        <v>2005.0</v>
      </c>
      <c r="G598" s="16">
        <v>53.2341</v>
      </c>
      <c r="H598" s="16">
        <v>12.2206</v>
      </c>
      <c r="I598" s="15"/>
      <c r="J598" s="15"/>
    </row>
    <row r="599">
      <c r="A599" s="18">
        <v>44656.0</v>
      </c>
      <c r="B599" s="16" t="s">
        <v>10955</v>
      </c>
      <c r="C599" s="16">
        <v>17.0</v>
      </c>
      <c r="D599" s="16" t="s">
        <v>10444</v>
      </c>
      <c r="E599" s="16" t="s">
        <v>707</v>
      </c>
      <c r="F599" s="16">
        <v>2018.0</v>
      </c>
      <c r="G599" s="16">
        <v>49.5184</v>
      </c>
      <c r="H599" s="16">
        <v>9.5163</v>
      </c>
      <c r="I599" s="15"/>
      <c r="J599" s="15"/>
    </row>
    <row r="600">
      <c r="A600" s="18">
        <v>44656.0</v>
      </c>
      <c r="B600" s="16" t="s">
        <v>10956</v>
      </c>
      <c r="C600" s="16">
        <v>12.0</v>
      </c>
      <c r="D600" s="16" t="s">
        <v>10444</v>
      </c>
      <c r="E600" s="16" t="s">
        <v>707</v>
      </c>
      <c r="F600" s="16">
        <v>2015.0</v>
      </c>
      <c r="G600" s="16">
        <v>49.2767</v>
      </c>
      <c r="H600" s="16">
        <v>10.8416</v>
      </c>
      <c r="I600" s="15"/>
      <c r="J600" s="15"/>
    </row>
    <row r="601">
      <c r="A601" s="18">
        <v>44985.0</v>
      </c>
      <c r="B601" s="16" t="s">
        <v>10957</v>
      </c>
      <c r="C601" s="16">
        <v>22.0</v>
      </c>
      <c r="D601" s="16" t="s">
        <v>10444</v>
      </c>
      <c r="E601" s="16" t="s">
        <v>707</v>
      </c>
      <c r="F601" s="16">
        <v>2021.0</v>
      </c>
      <c r="G601" s="16">
        <v>51.9132</v>
      </c>
      <c r="H601" s="16">
        <v>7.0251</v>
      </c>
      <c r="I601" s="15"/>
      <c r="J601" s="15"/>
    </row>
    <row r="602">
      <c r="A602" s="18">
        <v>44656.0</v>
      </c>
      <c r="B602" s="16" t="s">
        <v>10958</v>
      </c>
      <c r="C602" s="16">
        <v>17.0</v>
      </c>
      <c r="D602" s="16" t="s">
        <v>10444</v>
      </c>
      <c r="E602" s="16" t="s">
        <v>707</v>
      </c>
      <c r="F602" s="16">
        <v>2021.0</v>
      </c>
      <c r="G602" s="16">
        <v>51.9447</v>
      </c>
      <c r="H602" s="16">
        <v>6.9454</v>
      </c>
      <c r="I602" s="15"/>
      <c r="J602" s="15"/>
    </row>
    <row r="603">
      <c r="A603" s="18">
        <v>45370.0</v>
      </c>
      <c r="B603" s="16" t="s">
        <v>10959</v>
      </c>
      <c r="C603" s="16">
        <v>82.0</v>
      </c>
      <c r="D603" s="16" t="s">
        <v>10444</v>
      </c>
      <c r="E603" s="16" t="s">
        <v>707</v>
      </c>
      <c r="F603" s="16">
        <v>2024.0</v>
      </c>
      <c r="G603" s="16">
        <v>52.0736</v>
      </c>
      <c r="H603" s="16">
        <v>10.7999</v>
      </c>
      <c r="I603" s="15"/>
      <c r="J603" s="15"/>
    </row>
    <row r="604">
      <c r="A604" s="18">
        <v>44656.0</v>
      </c>
      <c r="B604" s="16" t="s">
        <v>10960</v>
      </c>
      <c r="C604" s="16">
        <v>10.0</v>
      </c>
      <c r="D604" s="16" t="s">
        <v>10444</v>
      </c>
      <c r="E604" s="16" t="s">
        <v>707</v>
      </c>
      <c r="F604" s="16">
        <v>2004.0</v>
      </c>
      <c r="G604" s="16">
        <v>52.0753</v>
      </c>
      <c r="H604" s="16">
        <v>10.7886</v>
      </c>
      <c r="I604" s="15"/>
      <c r="J604" s="15"/>
    </row>
    <row r="605">
      <c r="A605" s="18">
        <v>44656.0</v>
      </c>
      <c r="B605" s="16" t="s">
        <v>10960</v>
      </c>
      <c r="C605" s="16">
        <v>10.0</v>
      </c>
      <c r="D605" s="16" t="s">
        <v>10444</v>
      </c>
      <c r="E605" s="16" t="s">
        <v>707</v>
      </c>
      <c r="F605" s="16">
        <v>2007.0</v>
      </c>
      <c r="G605" s="16">
        <v>52.0753</v>
      </c>
      <c r="H605" s="16">
        <v>10.7886</v>
      </c>
      <c r="I605" s="15"/>
      <c r="J605" s="15"/>
    </row>
    <row r="606">
      <c r="A606" s="18">
        <v>44656.0</v>
      </c>
      <c r="B606" s="16" t="s">
        <v>10961</v>
      </c>
      <c r="C606" s="16">
        <v>29.0</v>
      </c>
      <c r="D606" s="16" t="s">
        <v>10444</v>
      </c>
      <c r="E606" s="16" t="s">
        <v>707</v>
      </c>
      <c r="F606" s="16">
        <v>2019.0</v>
      </c>
      <c r="G606" s="16">
        <v>51.6128</v>
      </c>
      <c r="H606" s="16">
        <v>10.1633</v>
      </c>
      <c r="I606" s="15"/>
      <c r="J606" s="15"/>
    </row>
    <row r="607">
      <c r="A607" s="18">
        <v>45370.0</v>
      </c>
      <c r="B607" s="16" t="s">
        <v>10962</v>
      </c>
      <c r="C607" s="16">
        <v>11.0</v>
      </c>
      <c r="D607" s="16" t="s">
        <v>10444</v>
      </c>
      <c r="E607" s="16" t="s">
        <v>707</v>
      </c>
      <c r="F607" s="16">
        <v>2022.0</v>
      </c>
      <c r="G607" s="16">
        <v>49.7831</v>
      </c>
      <c r="H607" s="16">
        <v>6.9874</v>
      </c>
      <c r="I607" s="15"/>
      <c r="J607" s="15"/>
    </row>
    <row r="608">
      <c r="A608" s="18">
        <v>44656.0</v>
      </c>
      <c r="B608" s="16" t="s">
        <v>10963</v>
      </c>
      <c r="C608" s="16">
        <v>12.0</v>
      </c>
      <c r="D608" s="16" t="s">
        <v>10444</v>
      </c>
      <c r="E608" s="16" t="s">
        <v>707</v>
      </c>
      <c r="F608" s="16">
        <v>2020.0</v>
      </c>
      <c r="G608" s="16">
        <v>51.7978</v>
      </c>
      <c r="H608" s="16">
        <v>11.5013</v>
      </c>
      <c r="I608" s="15"/>
      <c r="J608" s="15"/>
    </row>
    <row r="609">
      <c r="A609" s="18">
        <v>44656.0</v>
      </c>
      <c r="B609" s="16" t="s">
        <v>10964</v>
      </c>
      <c r="C609" s="16">
        <v>12.0</v>
      </c>
      <c r="D609" s="16" t="s">
        <v>10444</v>
      </c>
      <c r="E609" s="16" t="s">
        <v>707</v>
      </c>
      <c r="F609" s="16">
        <v>2017.0</v>
      </c>
      <c r="G609" s="16">
        <v>53.0464</v>
      </c>
      <c r="H609" s="16">
        <v>9.7574</v>
      </c>
      <c r="I609" s="15"/>
      <c r="J609" s="15"/>
    </row>
    <row r="610">
      <c r="A610" s="18">
        <v>44656.0</v>
      </c>
      <c r="B610" s="16" t="s">
        <v>10965</v>
      </c>
      <c r="C610" s="16">
        <v>11.0</v>
      </c>
      <c r="D610" s="16" t="s">
        <v>10444</v>
      </c>
      <c r="E610" s="16" t="s">
        <v>707</v>
      </c>
      <c r="F610" s="16">
        <v>2016.0</v>
      </c>
      <c r="G610" s="16">
        <v>52.1102</v>
      </c>
      <c r="H610" s="16">
        <v>7.9798</v>
      </c>
      <c r="I610" s="15"/>
      <c r="J610" s="15"/>
    </row>
    <row r="611">
      <c r="A611" s="18">
        <v>45357.0</v>
      </c>
      <c r="B611" s="16" t="s">
        <v>10966</v>
      </c>
      <c r="C611" s="16">
        <v>39.0</v>
      </c>
      <c r="D611" s="16" t="s">
        <v>10444</v>
      </c>
      <c r="E611" s="16" t="s">
        <v>707</v>
      </c>
      <c r="F611" s="16">
        <v>2023.0</v>
      </c>
      <c r="G611" s="16">
        <v>52.9332</v>
      </c>
      <c r="H611" s="16">
        <v>8.3441</v>
      </c>
      <c r="I611" s="15"/>
      <c r="J611" s="15"/>
    </row>
    <row r="612">
      <c r="A612" s="18">
        <v>44656.0</v>
      </c>
      <c r="B612" s="16" t="s">
        <v>10967</v>
      </c>
      <c r="C612" s="16">
        <v>18.0</v>
      </c>
      <c r="D612" s="16" t="s">
        <v>10444</v>
      </c>
      <c r="E612" s="16" t="s">
        <v>707</v>
      </c>
      <c r="F612" s="16">
        <v>2015.0</v>
      </c>
      <c r="G612" s="16">
        <v>53.8301</v>
      </c>
      <c r="H612" s="16">
        <v>12.3101</v>
      </c>
      <c r="I612" s="15"/>
      <c r="J612" s="15"/>
    </row>
    <row r="613">
      <c r="A613" s="18">
        <v>44656.0</v>
      </c>
      <c r="B613" s="16" t="s">
        <v>10968</v>
      </c>
      <c r="C613" s="16">
        <v>15.0</v>
      </c>
      <c r="D613" s="16" t="s">
        <v>10444</v>
      </c>
      <c r="E613" s="16" t="s">
        <v>707</v>
      </c>
      <c r="F613" s="16">
        <v>2003.0</v>
      </c>
      <c r="G613" s="16">
        <v>52.199</v>
      </c>
      <c r="H613" s="16">
        <v>14.0676</v>
      </c>
      <c r="I613" s="15"/>
      <c r="J613" s="15"/>
    </row>
    <row r="614">
      <c r="A614" s="18">
        <v>44656.0</v>
      </c>
      <c r="B614" s="16" t="s">
        <v>10969</v>
      </c>
      <c r="C614" s="16">
        <v>400.0</v>
      </c>
      <c r="D614" s="16" t="s">
        <v>10462</v>
      </c>
      <c r="E614" s="16" t="s">
        <v>707</v>
      </c>
      <c r="F614" s="16">
        <v>2015.0</v>
      </c>
      <c r="G614" s="16">
        <v>54.5</v>
      </c>
      <c r="H614" s="16">
        <v>6.358</v>
      </c>
      <c r="I614" s="15"/>
      <c r="J614" s="15"/>
    </row>
    <row r="615">
      <c r="A615" s="18">
        <v>45377.0</v>
      </c>
      <c r="B615" s="16" t="s">
        <v>10970</v>
      </c>
      <c r="C615" s="16">
        <v>11.0</v>
      </c>
      <c r="D615" s="16" t="s">
        <v>10444</v>
      </c>
      <c r="E615" s="16" t="s">
        <v>707</v>
      </c>
      <c r="F615" s="16">
        <v>2009.0</v>
      </c>
      <c r="G615" s="16">
        <v>48.6929</v>
      </c>
      <c r="H615" s="16">
        <v>9.9932</v>
      </c>
      <c r="I615" s="15"/>
      <c r="J615" s="15"/>
    </row>
    <row r="616">
      <c r="A616" s="18">
        <v>44656.0</v>
      </c>
      <c r="B616" s="16" t="s">
        <v>10971</v>
      </c>
      <c r="C616" s="16">
        <v>330.0</v>
      </c>
      <c r="D616" s="16" t="s">
        <v>10462</v>
      </c>
      <c r="E616" s="16" t="s">
        <v>707</v>
      </c>
      <c r="F616" s="16">
        <v>2017.0</v>
      </c>
      <c r="G616" s="16">
        <v>54.016</v>
      </c>
      <c r="H616" s="16">
        <v>6.983</v>
      </c>
      <c r="I616" s="15"/>
      <c r="J616" s="15"/>
    </row>
    <row r="617">
      <c r="A617" s="18">
        <v>44656.0</v>
      </c>
      <c r="B617" s="16" t="s">
        <v>10971</v>
      </c>
      <c r="C617" s="16">
        <v>252.0</v>
      </c>
      <c r="D617" s="16" t="s">
        <v>10462</v>
      </c>
      <c r="E617" s="16" t="s">
        <v>707</v>
      </c>
      <c r="F617" s="16">
        <v>2017.0</v>
      </c>
      <c r="G617" s="16">
        <v>54.075</v>
      </c>
      <c r="H617" s="16">
        <v>7.007</v>
      </c>
      <c r="I617" s="15"/>
      <c r="J617" s="15"/>
    </row>
    <row r="618">
      <c r="A618" s="17">
        <v>45580.0</v>
      </c>
      <c r="B618" s="16" t="s">
        <v>10971</v>
      </c>
      <c r="C618" s="16">
        <v>265.0</v>
      </c>
      <c r="D618" s="16" t="s">
        <v>10462</v>
      </c>
      <c r="E618" s="16" t="s">
        <v>707</v>
      </c>
      <c r="F618" s="16">
        <v>2024.0</v>
      </c>
      <c r="G618" s="16">
        <v>54.037</v>
      </c>
      <c r="H618" s="16">
        <v>7.11</v>
      </c>
      <c r="I618" s="15"/>
      <c r="J618" s="15"/>
    </row>
    <row r="619">
      <c r="A619" s="18">
        <v>44656.0</v>
      </c>
      <c r="B619" s="16" t="s">
        <v>10972</v>
      </c>
      <c r="C619" s="16">
        <v>12.0</v>
      </c>
      <c r="D619" s="16" t="s">
        <v>10444</v>
      </c>
      <c r="E619" s="16" t="s">
        <v>707</v>
      </c>
      <c r="F619" s="16">
        <v>2018.0</v>
      </c>
      <c r="G619" s="16">
        <v>49.3748</v>
      </c>
      <c r="H619" s="16">
        <v>6.9142</v>
      </c>
      <c r="I619" s="15"/>
      <c r="J619" s="15"/>
    </row>
    <row r="620">
      <c r="A620" s="18">
        <v>44656.0</v>
      </c>
      <c r="B620" s="16" t="s">
        <v>10973</v>
      </c>
      <c r="C620" s="16">
        <v>22.0</v>
      </c>
      <c r="D620" s="16" t="s">
        <v>10444</v>
      </c>
      <c r="E620" s="16" t="s">
        <v>707</v>
      </c>
      <c r="F620" s="16">
        <v>2005.0</v>
      </c>
      <c r="G620" s="16">
        <v>50.5825</v>
      </c>
      <c r="H620" s="16">
        <v>10.4127</v>
      </c>
      <c r="I620" s="15"/>
      <c r="J620" s="15"/>
    </row>
    <row r="621">
      <c r="A621" s="18">
        <v>44656.0</v>
      </c>
      <c r="B621" s="16" t="s">
        <v>10974</v>
      </c>
      <c r="C621" s="16">
        <v>12.0</v>
      </c>
      <c r="D621" s="16" t="s">
        <v>10444</v>
      </c>
      <c r="E621" s="16" t="s">
        <v>707</v>
      </c>
      <c r="F621" s="16">
        <v>2011.0</v>
      </c>
      <c r="G621" s="16">
        <v>52.5458</v>
      </c>
      <c r="H621" s="16">
        <v>6.8997</v>
      </c>
      <c r="I621" s="15"/>
      <c r="J621" s="15"/>
    </row>
    <row r="622">
      <c r="A622" s="18">
        <v>44656.0</v>
      </c>
      <c r="B622" s="16" t="s">
        <v>10975</v>
      </c>
      <c r="C622" s="16">
        <v>18.0</v>
      </c>
      <c r="D622" s="16" t="s">
        <v>10444</v>
      </c>
      <c r="E622" s="16" t="s">
        <v>707</v>
      </c>
      <c r="F622" s="16">
        <v>2001.0</v>
      </c>
      <c r="G622" s="16">
        <v>52.5428</v>
      </c>
      <c r="H622" s="16">
        <v>6.8931</v>
      </c>
      <c r="I622" s="15"/>
      <c r="J622" s="15"/>
    </row>
    <row r="623">
      <c r="A623" s="18">
        <v>44656.0</v>
      </c>
      <c r="B623" s="16" t="s">
        <v>10975</v>
      </c>
      <c r="C623" s="16">
        <v>12.0</v>
      </c>
      <c r="D623" s="16" t="s">
        <v>10444</v>
      </c>
      <c r="E623" s="16" t="s">
        <v>707</v>
      </c>
      <c r="F623" s="16">
        <v>2011.0</v>
      </c>
      <c r="G623" s="16">
        <v>52.5428</v>
      </c>
      <c r="H623" s="16">
        <v>6.8931</v>
      </c>
      <c r="I623" s="15"/>
      <c r="J623" s="15"/>
    </row>
    <row r="624">
      <c r="A624" s="18">
        <v>44656.0</v>
      </c>
      <c r="B624" s="16" t="s">
        <v>10976</v>
      </c>
      <c r="C624" s="16">
        <v>20.0</v>
      </c>
      <c r="D624" s="16" t="s">
        <v>10444</v>
      </c>
      <c r="E624" s="16" t="s">
        <v>707</v>
      </c>
      <c r="F624" s="16">
        <v>2017.0</v>
      </c>
      <c r="G624" s="16">
        <v>49.171</v>
      </c>
      <c r="H624" s="16">
        <v>8.2444</v>
      </c>
      <c r="I624" s="15"/>
      <c r="J624" s="15"/>
    </row>
    <row r="625">
      <c r="A625" s="18">
        <v>44656.0</v>
      </c>
      <c r="B625" s="16" t="s">
        <v>10977</v>
      </c>
      <c r="C625" s="16">
        <v>13.0</v>
      </c>
      <c r="D625" s="16" t="s">
        <v>10444</v>
      </c>
      <c r="E625" s="16" t="s">
        <v>707</v>
      </c>
      <c r="F625" s="16">
        <v>2014.0</v>
      </c>
      <c r="G625" s="16">
        <v>49.5739</v>
      </c>
      <c r="H625" s="16">
        <v>7.9797</v>
      </c>
      <c r="I625" s="15"/>
      <c r="J625" s="15"/>
    </row>
    <row r="626">
      <c r="A626" s="18">
        <v>44656.0</v>
      </c>
      <c r="B626" s="16" t="s">
        <v>10978</v>
      </c>
      <c r="C626" s="16">
        <v>14.0</v>
      </c>
      <c r="D626" s="16" t="s">
        <v>10444</v>
      </c>
      <c r="E626" s="16" t="s">
        <v>707</v>
      </c>
      <c r="F626" s="16">
        <v>2011.0</v>
      </c>
      <c r="G626" s="16">
        <v>49.5797</v>
      </c>
      <c r="H626" s="16">
        <v>10.1629</v>
      </c>
      <c r="I626" s="15"/>
      <c r="J626" s="15"/>
    </row>
    <row r="627">
      <c r="A627" s="18">
        <v>44656.0</v>
      </c>
      <c r="B627" s="16" t="s">
        <v>10979</v>
      </c>
      <c r="C627" s="16">
        <v>20.0</v>
      </c>
      <c r="D627" s="16" t="s">
        <v>10444</v>
      </c>
      <c r="E627" s="16" t="s">
        <v>707</v>
      </c>
      <c r="F627" s="16">
        <v>2018.0</v>
      </c>
      <c r="G627" s="16">
        <v>53.3112</v>
      </c>
      <c r="H627" s="16">
        <v>13.7051</v>
      </c>
      <c r="I627" s="15"/>
      <c r="J627" s="15"/>
    </row>
    <row r="628">
      <c r="A628" s="18">
        <v>44656.0</v>
      </c>
      <c r="B628" s="16" t="s">
        <v>10980</v>
      </c>
      <c r="C628" s="16">
        <v>13.0</v>
      </c>
      <c r="D628" s="16" t="s">
        <v>10444</v>
      </c>
      <c r="E628" s="16" t="s">
        <v>707</v>
      </c>
      <c r="F628" s="15"/>
      <c r="G628" s="16">
        <v>53.3172</v>
      </c>
      <c r="H628" s="16">
        <v>13.7161</v>
      </c>
      <c r="I628" s="15"/>
      <c r="J628" s="15"/>
    </row>
    <row r="629">
      <c r="A629" s="18">
        <v>44656.0</v>
      </c>
      <c r="B629" s="16" t="s">
        <v>10981</v>
      </c>
      <c r="C629" s="16">
        <v>10.0</v>
      </c>
      <c r="D629" s="16" t="s">
        <v>10444</v>
      </c>
      <c r="E629" s="16" t="s">
        <v>707</v>
      </c>
      <c r="F629" s="16">
        <v>2009.0</v>
      </c>
      <c r="G629" s="16">
        <v>51.6471</v>
      </c>
      <c r="H629" s="16">
        <v>13.8766</v>
      </c>
      <c r="I629" s="15"/>
      <c r="J629" s="15"/>
    </row>
    <row r="630">
      <c r="A630" s="18">
        <v>44656.0</v>
      </c>
      <c r="B630" s="16" t="s">
        <v>10982</v>
      </c>
      <c r="C630" s="16">
        <v>48.0</v>
      </c>
      <c r="D630" s="16" t="s">
        <v>10444</v>
      </c>
      <c r="E630" s="16" t="s">
        <v>707</v>
      </c>
      <c r="F630" s="16">
        <v>2014.0</v>
      </c>
      <c r="G630" s="16">
        <v>51.64</v>
      </c>
      <c r="H630" s="16">
        <v>13.8271</v>
      </c>
      <c r="I630" s="15"/>
      <c r="J630" s="15"/>
    </row>
    <row r="631">
      <c r="A631" s="18">
        <v>44656.0</v>
      </c>
      <c r="B631" s="16" t="s">
        <v>10982</v>
      </c>
      <c r="C631" s="16">
        <v>13.0</v>
      </c>
      <c r="D631" s="16" t="s">
        <v>10444</v>
      </c>
      <c r="E631" s="16" t="s">
        <v>707</v>
      </c>
      <c r="F631" s="16">
        <v>2015.0</v>
      </c>
      <c r="G631" s="16">
        <v>51.64</v>
      </c>
      <c r="H631" s="16">
        <v>13.8271</v>
      </c>
      <c r="I631" s="15"/>
      <c r="J631" s="15"/>
    </row>
    <row r="632">
      <c r="A632" s="18">
        <v>44656.0</v>
      </c>
      <c r="B632" s="16" t="s">
        <v>10982</v>
      </c>
      <c r="C632" s="16">
        <v>27.0</v>
      </c>
      <c r="D632" s="16" t="s">
        <v>10444</v>
      </c>
      <c r="E632" s="16" t="s">
        <v>707</v>
      </c>
      <c r="F632" s="16">
        <v>2016.0</v>
      </c>
      <c r="G632" s="16">
        <v>51.64</v>
      </c>
      <c r="H632" s="16">
        <v>13.8271</v>
      </c>
      <c r="I632" s="15"/>
      <c r="J632" s="15"/>
    </row>
    <row r="633">
      <c r="A633" s="18">
        <v>44656.0</v>
      </c>
      <c r="B633" s="16" t="s">
        <v>10983</v>
      </c>
      <c r="C633" s="16">
        <v>24.0</v>
      </c>
      <c r="D633" s="16" t="s">
        <v>10444</v>
      </c>
      <c r="E633" s="16" t="s">
        <v>707</v>
      </c>
      <c r="F633" s="16">
        <v>2014.0</v>
      </c>
      <c r="G633" s="16">
        <v>51.6342</v>
      </c>
      <c r="H633" s="16">
        <v>13.8312</v>
      </c>
      <c r="I633" s="15"/>
      <c r="J633" s="15"/>
    </row>
    <row r="634">
      <c r="A634" s="18">
        <v>44656.0</v>
      </c>
      <c r="B634" s="16" t="s">
        <v>10984</v>
      </c>
      <c r="C634" s="16">
        <v>26.0</v>
      </c>
      <c r="D634" s="16" t="s">
        <v>10444</v>
      </c>
      <c r="E634" s="16" t="s">
        <v>707</v>
      </c>
      <c r="F634" s="16">
        <v>2008.0</v>
      </c>
      <c r="G634" s="16">
        <v>52.3077</v>
      </c>
      <c r="H634" s="16">
        <v>12.596</v>
      </c>
      <c r="I634" s="15"/>
      <c r="J634" s="15"/>
    </row>
    <row r="635">
      <c r="A635" s="18">
        <v>44656.0</v>
      </c>
      <c r="B635" s="16" t="s">
        <v>10985</v>
      </c>
      <c r="C635" s="16">
        <v>18.0</v>
      </c>
      <c r="D635" s="16" t="s">
        <v>10444</v>
      </c>
      <c r="E635" s="16" t="s">
        <v>707</v>
      </c>
      <c r="F635" s="16">
        <v>2017.0</v>
      </c>
      <c r="G635" s="16">
        <v>53.3587</v>
      </c>
      <c r="H635" s="16">
        <v>8.4308</v>
      </c>
      <c r="I635" s="15"/>
      <c r="J635" s="15"/>
    </row>
    <row r="636">
      <c r="A636" s="18">
        <v>44656.0</v>
      </c>
      <c r="B636" s="16" t="s">
        <v>10986</v>
      </c>
      <c r="C636" s="16">
        <v>18.0</v>
      </c>
      <c r="D636" s="16" t="s">
        <v>10444</v>
      </c>
      <c r="E636" s="16" t="s">
        <v>707</v>
      </c>
      <c r="F636" s="16">
        <v>2008.0</v>
      </c>
      <c r="G636" s="16">
        <v>52.1186</v>
      </c>
      <c r="H636" s="16">
        <v>13.1888</v>
      </c>
      <c r="I636" s="15"/>
      <c r="J636" s="15"/>
    </row>
    <row r="637">
      <c r="A637" s="18">
        <v>45034.0</v>
      </c>
      <c r="B637" s="16" t="s">
        <v>10987</v>
      </c>
      <c r="C637" s="16">
        <v>10.0</v>
      </c>
      <c r="D637" s="16" t="s">
        <v>10444</v>
      </c>
      <c r="E637" s="16" t="s">
        <v>707</v>
      </c>
      <c r="F637" s="16">
        <v>2010.0</v>
      </c>
      <c r="G637" s="16">
        <v>52.9536</v>
      </c>
      <c r="H637" s="16">
        <v>12.1752</v>
      </c>
      <c r="I637" s="15"/>
      <c r="J637" s="15"/>
    </row>
    <row r="638">
      <c r="A638" s="18">
        <v>44656.0</v>
      </c>
      <c r="B638" s="16" t="s">
        <v>10988</v>
      </c>
      <c r="C638" s="16">
        <v>28.0</v>
      </c>
      <c r="D638" s="16" t="s">
        <v>10444</v>
      </c>
      <c r="E638" s="16" t="s">
        <v>707</v>
      </c>
      <c r="F638" s="15"/>
      <c r="G638" s="16">
        <v>52.9528</v>
      </c>
      <c r="H638" s="16">
        <v>12.1686</v>
      </c>
      <c r="I638" s="15"/>
      <c r="J638" s="15"/>
    </row>
    <row r="639">
      <c r="A639" s="18">
        <v>44656.0</v>
      </c>
      <c r="B639" s="16" t="s">
        <v>10989</v>
      </c>
      <c r="C639" s="16">
        <v>20.0</v>
      </c>
      <c r="D639" s="16" t="s">
        <v>10444</v>
      </c>
      <c r="E639" s="16" t="s">
        <v>707</v>
      </c>
      <c r="F639" s="16">
        <v>2003.0</v>
      </c>
      <c r="G639" s="16">
        <v>52.9521</v>
      </c>
      <c r="H639" s="16">
        <v>12.1734</v>
      </c>
      <c r="I639" s="15"/>
      <c r="J639" s="15"/>
    </row>
    <row r="640">
      <c r="A640" s="18">
        <v>45664.0</v>
      </c>
      <c r="B640" s="16" t="s">
        <v>10990</v>
      </c>
      <c r="C640" s="16">
        <v>17.0</v>
      </c>
      <c r="D640" s="16" t="s">
        <v>10444</v>
      </c>
      <c r="E640" s="16" t="s">
        <v>707</v>
      </c>
      <c r="F640" s="16">
        <v>2024.0</v>
      </c>
      <c r="G640" s="16">
        <v>54.5724</v>
      </c>
      <c r="H640" s="16">
        <v>9.3749</v>
      </c>
      <c r="I640" s="15"/>
      <c r="J640" s="15"/>
    </row>
    <row r="641">
      <c r="A641" s="18">
        <v>44998.0</v>
      </c>
      <c r="B641" s="16" t="s">
        <v>10991</v>
      </c>
      <c r="C641" s="16">
        <v>14.0</v>
      </c>
      <c r="D641" s="16" t="s">
        <v>10444</v>
      </c>
      <c r="E641" s="16" t="s">
        <v>707</v>
      </c>
      <c r="F641" s="16">
        <v>2021.0</v>
      </c>
      <c r="G641" s="16">
        <v>52.2469</v>
      </c>
      <c r="H641" s="16">
        <v>14.2382</v>
      </c>
      <c r="I641" s="15"/>
      <c r="J641" s="15"/>
    </row>
    <row r="642">
      <c r="A642" s="18">
        <v>44656.0</v>
      </c>
      <c r="B642" s="16" t="s">
        <v>10992</v>
      </c>
      <c r="C642" s="16">
        <v>18.0</v>
      </c>
      <c r="D642" s="16" t="s">
        <v>10444</v>
      </c>
      <c r="E642" s="16" t="s">
        <v>707</v>
      </c>
      <c r="F642" s="16">
        <v>2014.0</v>
      </c>
      <c r="G642" s="16">
        <v>52.2744</v>
      </c>
      <c r="H642" s="16">
        <v>11.9581</v>
      </c>
      <c r="I642" s="15"/>
      <c r="J642" s="15"/>
    </row>
    <row r="643">
      <c r="A643" s="18">
        <v>45664.0</v>
      </c>
      <c r="B643" s="16" t="s">
        <v>10993</v>
      </c>
      <c r="C643" s="16">
        <v>17.0</v>
      </c>
      <c r="D643" s="16" t="s">
        <v>10444</v>
      </c>
      <c r="E643" s="16" t="s">
        <v>707</v>
      </c>
      <c r="F643" s="16">
        <v>2024.0</v>
      </c>
      <c r="G643" s="16">
        <v>53.2186</v>
      </c>
      <c r="H643" s="16">
        <v>13.9823</v>
      </c>
      <c r="I643" s="15"/>
      <c r="J643" s="15"/>
    </row>
    <row r="644">
      <c r="A644" s="18">
        <v>44656.0</v>
      </c>
      <c r="B644" s="16" t="s">
        <v>10994</v>
      </c>
      <c r="C644" s="16">
        <v>14.0</v>
      </c>
      <c r="D644" s="16" t="s">
        <v>10444</v>
      </c>
      <c r="E644" s="16" t="s">
        <v>707</v>
      </c>
      <c r="F644" s="16">
        <v>2003.0</v>
      </c>
      <c r="G644" s="16">
        <v>53.0073</v>
      </c>
      <c r="H644" s="16">
        <v>13.1589</v>
      </c>
      <c r="I644" s="15"/>
      <c r="J644" s="15"/>
    </row>
    <row r="645">
      <c r="A645" s="18">
        <v>44656.0</v>
      </c>
      <c r="B645" s="16" t="s">
        <v>10995</v>
      </c>
      <c r="C645" s="16">
        <v>18.0</v>
      </c>
      <c r="D645" s="16" t="s">
        <v>10444</v>
      </c>
      <c r="E645" s="16" t="s">
        <v>707</v>
      </c>
      <c r="F645" s="16">
        <v>2004.0</v>
      </c>
      <c r="G645" s="16">
        <v>53.7061</v>
      </c>
      <c r="H645" s="16">
        <v>13.2989</v>
      </c>
      <c r="I645" s="15"/>
      <c r="J645" s="15"/>
    </row>
    <row r="646">
      <c r="A646" s="18">
        <v>45026.0</v>
      </c>
      <c r="B646" s="16" t="s">
        <v>10996</v>
      </c>
      <c r="C646" s="16">
        <v>14.0</v>
      </c>
      <c r="D646" s="16" t="s">
        <v>10444</v>
      </c>
      <c r="E646" s="16" t="s">
        <v>707</v>
      </c>
      <c r="F646" s="16">
        <v>2014.0</v>
      </c>
      <c r="G646" s="16">
        <v>52.6634</v>
      </c>
      <c r="H646" s="16">
        <v>11.7079</v>
      </c>
      <c r="I646" s="15"/>
      <c r="J646" s="15"/>
    </row>
    <row r="647">
      <c r="A647" s="18">
        <v>45026.0</v>
      </c>
      <c r="B647" s="16" t="s">
        <v>10996</v>
      </c>
      <c r="C647" s="16">
        <v>19.0</v>
      </c>
      <c r="D647" s="16" t="s">
        <v>10444</v>
      </c>
      <c r="E647" s="16" t="s">
        <v>707</v>
      </c>
      <c r="F647" s="16">
        <v>2020.0</v>
      </c>
      <c r="G647" s="16">
        <v>52.6831</v>
      </c>
      <c r="H647" s="16">
        <v>11.6844</v>
      </c>
      <c r="I647" s="15"/>
      <c r="J647" s="15"/>
    </row>
    <row r="648">
      <c r="A648" s="18">
        <v>44656.0</v>
      </c>
      <c r="B648" s="16" t="s">
        <v>10997</v>
      </c>
      <c r="C648" s="16">
        <v>12.0</v>
      </c>
      <c r="D648" s="16" t="s">
        <v>10444</v>
      </c>
      <c r="E648" s="16" t="s">
        <v>707</v>
      </c>
      <c r="F648" s="16">
        <v>2014.0</v>
      </c>
      <c r="G648" s="16">
        <v>53.4988</v>
      </c>
      <c r="H648" s="16">
        <v>11.8628</v>
      </c>
      <c r="I648" s="15"/>
      <c r="J648" s="15"/>
    </row>
    <row r="649">
      <c r="A649" s="18">
        <v>44656.0</v>
      </c>
      <c r="B649" s="16" t="s">
        <v>10998</v>
      </c>
      <c r="C649" s="16">
        <v>13.0</v>
      </c>
      <c r="D649" s="16" t="s">
        <v>10444</v>
      </c>
      <c r="E649" s="16" t="s">
        <v>707</v>
      </c>
      <c r="F649" s="16">
        <v>2017.0</v>
      </c>
      <c r="G649" s="16">
        <v>50.7239</v>
      </c>
      <c r="H649" s="16">
        <v>9.4937</v>
      </c>
      <c r="I649" s="15"/>
      <c r="J649" s="15"/>
    </row>
    <row r="650">
      <c r="A650" s="18">
        <v>44656.0</v>
      </c>
      <c r="B650" s="16" t="s">
        <v>10999</v>
      </c>
      <c r="C650" s="16">
        <v>20.0</v>
      </c>
      <c r="D650" s="16" t="s">
        <v>10444</v>
      </c>
      <c r="E650" s="16" t="s">
        <v>707</v>
      </c>
      <c r="F650" s="16">
        <v>2010.0</v>
      </c>
      <c r="G650" s="16">
        <v>51.671</v>
      </c>
      <c r="H650" s="16">
        <v>14.1348</v>
      </c>
      <c r="I650" s="15"/>
      <c r="J650" s="15"/>
    </row>
    <row r="651">
      <c r="A651" s="18">
        <v>44656.0</v>
      </c>
      <c r="B651" s="16" t="s">
        <v>11000</v>
      </c>
      <c r="C651" s="16">
        <v>15.0</v>
      </c>
      <c r="D651" s="16" t="s">
        <v>10444</v>
      </c>
      <c r="E651" s="16" t="s">
        <v>707</v>
      </c>
      <c r="F651" s="16">
        <v>2017.0</v>
      </c>
      <c r="G651" s="16">
        <v>49.4554</v>
      </c>
      <c r="H651" s="16">
        <v>8.8426</v>
      </c>
      <c r="I651" s="15"/>
      <c r="J651" s="15"/>
    </row>
    <row r="652">
      <c r="A652" s="18">
        <v>44656.0</v>
      </c>
      <c r="B652" s="16" t="s">
        <v>11001</v>
      </c>
      <c r="C652" s="16">
        <v>24.0</v>
      </c>
      <c r="D652" s="16" t="s">
        <v>10444</v>
      </c>
      <c r="E652" s="16" t="s">
        <v>707</v>
      </c>
      <c r="F652" s="16">
        <v>2018.0</v>
      </c>
      <c r="G652" s="16">
        <v>54.3398</v>
      </c>
      <c r="H652" s="16">
        <v>10.9984</v>
      </c>
      <c r="I652" s="15"/>
      <c r="J652" s="15"/>
    </row>
    <row r="653">
      <c r="A653" s="18">
        <v>44656.0</v>
      </c>
      <c r="B653" s="16" t="s">
        <v>11002</v>
      </c>
      <c r="C653" s="16">
        <v>22.0</v>
      </c>
      <c r="D653" s="16" t="s">
        <v>10444</v>
      </c>
      <c r="E653" s="16" t="s">
        <v>707</v>
      </c>
      <c r="F653" s="16">
        <v>2006.0</v>
      </c>
      <c r="G653" s="16">
        <v>51.2092</v>
      </c>
      <c r="H653" s="16">
        <v>10.9477</v>
      </c>
      <c r="I653" s="15"/>
      <c r="J653" s="15"/>
    </row>
    <row r="654">
      <c r="A654" s="18">
        <v>45351.0</v>
      </c>
      <c r="B654" s="16" t="s">
        <v>11003</v>
      </c>
      <c r="C654" s="16">
        <v>17.0</v>
      </c>
      <c r="D654" s="16" t="s">
        <v>10444</v>
      </c>
      <c r="E654" s="16" t="s">
        <v>707</v>
      </c>
      <c r="F654" s="16">
        <v>2023.0</v>
      </c>
      <c r="G654" s="16">
        <v>51.0611</v>
      </c>
      <c r="H654" s="16">
        <v>6.5331</v>
      </c>
      <c r="I654" s="15"/>
      <c r="J654" s="15"/>
    </row>
    <row r="655">
      <c r="A655" s="18">
        <v>44656.0</v>
      </c>
      <c r="B655" s="16" t="s">
        <v>11004</v>
      </c>
      <c r="C655" s="16">
        <v>17.0</v>
      </c>
      <c r="D655" s="16" t="s">
        <v>10444</v>
      </c>
      <c r="E655" s="16" t="s">
        <v>707</v>
      </c>
      <c r="F655" s="16">
        <v>2016.0</v>
      </c>
      <c r="G655" s="16">
        <v>53.8468</v>
      </c>
      <c r="H655" s="16">
        <v>9.5227</v>
      </c>
      <c r="I655" s="15"/>
      <c r="J655" s="15"/>
    </row>
    <row r="656">
      <c r="A656" s="18">
        <v>44656.0</v>
      </c>
      <c r="B656" s="16" t="s">
        <v>11005</v>
      </c>
      <c r="C656" s="16">
        <v>13.0</v>
      </c>
      <c r="D656" s="16" t="s">
        <v>10444</v>
      </c>
      <c r="E656" s="16" t="s">
        <v>707</v>
      </c>
      <c r="F656" s="16">
        <v>2015.0</v>
      </c>
      <c r="G656" s="16">
        <v>53.8495</v>
      </c>
      <c r="H656" s="16">
        <v>9.5509</v>
      </c>
      <c r="I656" s="15"/>
      <c r="J656" s="15"/>
    </row>
    <row r="657">
      <c r="A657" s="18">
        <v>45664.0</v>
      </c>
      <c r="B657" s="16" t="s">
        <v>11006</v>
      </c>
      <c r="C657" s="16">
        <v>17.0</v>
      </c>
      <c r="D657" s="16" t="s">
        <v>10444</v>
      </c>
      <c r="E657" s="16" t="s">
        <v>707</v>
      </c>
      <c r="F657" s="16">
        <v>2024.0</v>
      </c>
      <c r="G657" s="16">
        <v>49.6205</v>
      </c>
      <c r="H657" s="16">
        <v>6.9061</v>
      </c>
      <c r="I657" s="15"/>
      <c r="J657" s="15"/>
    </row>
    <row r="658">
      <c r="A658" s="18">
        <v>44656.0</v>
      </c>
      <c r="B658" s="16" t="s">
        <v>11007</v>
      </c>
      <c r="C658" s="16">
        <v>10.0</v>
      </c>
      <c r="D658" s="16" t="s">
        <v>10444</v>
      </c>
      <c r="E658" s="16" t="s">
        <v>707</v>
      </c>
      <c r="F658" s="16">
        <v>2009.0</v>
      </c>
      <c r="G658" s="16">
        <v>54.096</v>
      </c>
      <c r="H658" s="16">
        <v>12.9873</v>
      </c>
      <c r="I658" s="15"/>
      <c r="J658" s="15"/>
    </row>
    <row r="659">
      <c r="A659" s="18">
        <v>44656.0</v>
      </c>
      <c r="B659" s="16" t="s">
        <v>11008</v>
      </c>
      <c r="C659" s="16">
        <v>28.0</v>
      </c>
      <c r="D659" s="16" t="s">
        <v>10444</v>
      </c>
      <c r="E659" s="16" t="s">
        <v>707</v>
      </c>
      <c r="F659" s="16">
        <v>2018.0</v>
      </c>
      <c r="G659" s="16">
        <v>52.0194</v>
      </c>
      <c r="H659" s="16">
        <v>9.3891</v>
      </c>
      <c r="I659" s="15"/>
      <c r="J659" s="15"/>
    </row>
    <row r="660">
      <c r="A660" s="18">
        <v>44656.0</v>
      </c>
      <c r="B660" s="16" t="s">
        <v>11009</v>
      </c>
      <c r="C660" s="16">
        <v>14.0</v>
      </c>
      <c r="D660" s="16" t="s">
        <v>10444</v>
      </c>
      <c r="E660" s="16" t="s">
        <v>707</v>
      </c>
      <c r="F660" s="16">
        <v>2000.0</v>
      </c>
      <c r="G660" s="16">
        <v>54.2236</v>
      </c>
      <c r="H660" s="16">
        <v>10.9482</v>
      </c>
      <c r="I660" s="15"/>
      <c r="J660" s="15"/>
    </row>
    <row r="661">
      <c r="A661" s="18">
        <v>45026.0</v>
      </c>
      <c r="B661" s="16" t="s">
        <v>11009</v>
      </c>
      <c r="C661" s="16">
        <v>18.0</v>
      </c>
      <c r="D661" s="16" t="s">
        <v>10444</v>
      </c>
      <c r="E661" s="16" t="s">
        <v>707</v>
      </c>
      <c r="F661" s="16">
        <v>2000.0</v>
      </c>
      <c r="G661" s="16">
        <v>54.2236</v>
      </c>
      <c r="H661" s="16">
        <v>10.9482</v>
      </c>
      <c r="I661" s="15"/>
      <c r="J661" s="15"/>
    </row>
    <row r="662">
      <c r="A662" s="18">
        <v>44985.0</v>
      </c>
      <c r="B662" s="16" t="s">
        <v>11010</v>
      </c>
      <c r="C662" s="16">
        <v>11.0</v>
      </c>
      <c r="D662" s="16" t="s">
        <v>10444</v>
      </c>
      <c r="E662" s="16" t="s">
        <v>707</v>
      </c>
      <c r="F662" s="16">
        <v>2021.0</v>
      </c>
      <c r="G662" s="16">
        <v>52.182</v>
      </c>
      <c r="H662" s="16">
        <v>7.0838</v>
      </c>
      <c r="I662" s="15"/>
      <c r="J662" s="15"/>
    </row>
    <row r="663">
      <c r="A663" s="18">
        <v>44656.0</v>
      </c>
      <c r="B663" s="16" t="s">
        <v>11011</v>
      </c>
      <c r="C663" s="16">
        <v>24.0</v>
      </c>
      <c r="D663" s="16" t="s">
        <v>10444</v>
      </c>
      <c r="E663" s="16" t="s">
        <v>707</v>
      </c>
      <c r="F663" s="16">
        <v>2012.0</v>
      </c>
      <c r="G663" s="16">
        <v>51.9149</v>
      </c>
      <c r="H663" s="16">
        <v>11.2418</v>
      </c>
      <c r="I663" s="15"/>
      <c r="J663" s="15"/>
    </row>
    <row r="664">
      <c r="A664" s="18">
        <v>44656.0</v>
      </c>
      <c r="B664" s="16" t="s">
        <v>11012</v>
      </c>
      <c r="C664" s="16">
        <v>23.0</v>
      </c>
      <c r="D664" s="16" t="s">
        <v>10444</v>
      </c>
      <c r="E664" s="16" t="s">
        <v>707</v>
      </c>
      <c r="F664" s="16">
        <v>2012.0</v>
      </c>
      <c r="G664" s="16">
        <v>54.06</v>
      </c>
      <c r="H664" s="16">
        <v>13.2311</v>
      </c>
      <c r="I664" s="15"/>
      <c r="J664" s="15"/>
    </row>
    <row r="665">
      <c r="A665" s="18">
        <v>45370.0</v>
      </c>
      <c r="B665" s="16" t="s">
        <v>11013</v>
      </c>
      <c r="C665" s="16">
        <v>17.0</v>
      </c>
      <c r="D665" s="16" t="s">
        <v>10444</v>
      </c>
      <c r="E665" s="16" t="s">
        <v>707</v>
      </c>
      <c r="F665" s="16">
        <v>2022.0</v>
      </c>
      <c r="G665" s="16">
        <v>54.1516</v>
      </c>
      <c r="H665" s="16">
        <v>10.0924</v>
      </c>
      <c r="I665" s="15"/>
      <c r="J665" s="15"/>
    </row>
    <row r="666">
      <c r="A666" s="18">
        <v>44656.0</v>
      </c>
      <c r="B666" s="16" t="s">
        <v>11014</v>
      </c>
      <c r="C666" s="16">
        <v>10.0</v>
      </c>
      <c r="D666" s="16" t="s">
        <v>10444</v>
      </c>
      <c r="E666" s="16" t="s">
        <v>707</v>
      </c>
      <c r="F666" s="16">
        <v>2016.0</v>
      </c>
      <c r="G666" s="16">
        <v>52.8449</v>
      </c>
      <c r="H666" s="16">
        <v>11.2515</v>
      </c>
      <c r="I666" s="15"/>
      <c r="J666" s="15"/>
    </row>
    <row r="667">
      <c r="A667" s="18">
        <v>44656.0</v>
      </c>
      <c r="B667" s="16" t="s">
        <v>11015</v>
      </c>
      <c r="C667" s="16">
        <v>51.0</v>
      </c>
      <c r="D667" s="16" t="s">
        <v>10444</v>
      </c>
      <c r="E667" s="16" t="s">
        <v>707</v>
      </c>
      <c r="F667" s="16">
        <v>2011.0</v>
      </c>
      <c r="G667" s="16">
        <v>52.8106</v>
      </c>
      <c r="H667" s="16">
        <v>9.4347</v>
      </c>
      <c r="I667" s="15"/>
      <c r="J667" s="15"/>
    </row>
    <row r="668">
      <c r="A668" s="18">
        <v>44656.0</v>
      </c>
      <c r="B668" s="16" t="s">
        <v>11016</v>
      </c>
      <c r="C668" s="16">
        <v>10.0</v>
      </c>
      <c r="D668" s="16" t="s">
        <v>10444</v>
      </c>
      <c r="E668" s="16" t="s">
        <v>707</v>
      </c>
      <c r="F668" s="16">
        <v>2004.0</v>
      </c>
      <c r="G668" s="16">
        <v>53.0103</v>
      </c>
      <c r="H668" s="16">
        <v>8.6239</v>
      </c>
      <c r="I668" s="15"/>
      <c r="J668" s="15"/>
    </row>
    <row r="669">
      <c r="A669" s="18">
        <v>44656.0</v>
      </c>
      <c r="B669" s="16" t="s">
        <v>11017</v>
      </c>
      <c r="C669" s="16">
        <v>16.0</v>
      </c>
      <c r="D669" s="16" t="s">
        <v>10444</v>
      </c>
      <c r="E669" s="16" t="s">
        <v>707</v>
      </c>
      <c r="F669" s="16">
        <v>2009.0</v>
      </c>
      <c r="G669" s="16">
        <v>51.9839</v>
      </c>
      <c r="H669" s="16">
        <v>14.0767</v>
      </c>
      <c r="I669" s="15"/>
      <c r="J669" s="15"/>
    </row>
    <row r="670">
      <c r="A670" s="18">
        <v>44656.0</v>
      </c>
      <c r="B670" s="16" t="s">
        <v>11018</v>
      </c>
      <c r="C670" s="16">
        <v>12.0</v>
      </c>
      <c r="D670" s="16" t="s">
        <v>10444</v>
      </c>
      <c r="E670" s="16" t="s">
        <v>707</v>
      </c>
      <c r="F670" s="16">
        <v>2014.0</v>
      </c>
      <c r="G670" s="16">
        <v>53.5931</v>
      </c>
      <c r="H670" s="16">
        <v>11.8777</v>
      </c>
      <c r="I670" s="15"/>
      <c r="J670" s="15"/>
    </row>
    <row r="671">
      <c r="A671" s="18">
        <v>45370.0</v>
      </c>
      <c r="B671" s="16" t="s">
        <v>11019</v>
      </c>
      <c r="C671" s="16">
        <v>32.0</v>
      </c>
      <c r="D671" s="16" t="s">
        <v>10444</v>
      </c>
      <c r="E671" s="16" t="s">
        <v>707</v>
      </c>
      <c r="F671" s="16">
        <v>2022.0</v>
      </c>
      <c r="G671" s="16">
        <v>52.6568</v>
      </c>
      <c r="H671" s="16">
        <v>10.4059</v>
      </c>
      <c r="I671" s="15"/>
      <c r="J671" s="15"/>
    </row>
    <row r="672">
      <c r="A672" s="18">
        <v>45353.0</v>
      </c>
      <c r="B672" s="16" t="s">
        <v>11020</v>
      </c>
      <c r="C672" s="16">
        <v>23.0</v>
      </c>
      <c r="D672" s="16" t="s">
        <v>10444</v>
      </c>
      <c r="E672" s="16" t="s">
        <v>707</v>
      </c>
      <c r="F672" s="16">
        <v>2023.0</v>
      </c>
      <c r="G672" s="16">
        <v>53.0808</v>
      </c>
      <c r="H672" s="16">
        <v>12.0608</v>
      </c>
      <c r="I672" s="15"/>
      <c r="J672" s="15"/>
    </row>
    <row r="673">
      <c r="A673" s="18">
        <v>45012.0</v>
      </c>
      <c r="B673" s="16" t="s">
        <v>11021</v>
      </c>
      <c r="C673" s="16">
        <v>26.0</v>
      </c>
      <c r="D673" s="16" t="s">
        <v>10444</v>
      </c>
      <c r="E673" s="16" t="s">
        <v>707</v>
      </c>
      <c r="F673" s="16">
        <v>2009.0</v>
      </c>
      <c r="G673" s="16">
        <v>53.1652</v>
      </c>
      <c r="H673" s="16">
        <v>14.2732</v>
      </c>
      <c r="I673" s="15"/>
      <c r="J673" s="15"/>
    </row>
    <row r="674">
      <c r="A674" s="18">
        <v>44656.0</v>
      </c>
      <c r="B674" s="16" t="s">
        <v>11022</v>
      </c>
      <c r="C674" s="16">
        <v>12.0</v>
      </c>
      <c r="D674" s="16" t="s">
        <v>10444</v>
      </c>
      <c r="E674" s="16" t="s">
        <v>707</v>
      </c>
      <c r="F674" s="16">
        <v>2010.0</v>
      </c>
      <c r="G674" s="16">
        <v>52.1777</v>
      </c>
      <c r="H674" s="16">
        <v>11.4619</v>
      </c>
      <c r="I674" s="15"/>
      <c r="J674" s="15"/>
    </row>
    <row r="675">
      <c r="A675" s="18">
        <v>44656.0</v>
      </c>
      <c r="B675" s="16" t="s">
        <v>11023</v>
      </c>
      <c r="C675" s="16">
        <v>20.0</v>
      </c>
      <c r="D675" s="16" t="s">
        <v>10444</v>
      </c>
      <c r="E675" s="16" t="s">
        <v>707</v>
      </c>
      <c r="F675" s="16">
        <v>2006.0</v>
      </c>
      <c r="G675" s="16">
        <v>53.0097</v>
      </c>
      <c r="H675" s="16">
        <v>12.1</v>
      </c>
      <c r="I675" s="15"/>
      <c r="J675" s="15"/>
    </row>
    <row r="676">
      <c r="A676" s="18">
        <v>44656.0</v>
      </c>
      <c r="B676" s="16" t="s">
        <v>11024</v>
      </c>
      <c r="C676" s="16">
        <v>14.0</v>
      </c>
      <c r="D676" s="16" t="s">
        <v>10444</v>
      </c>
      <c r="E676" s="16" t="s">
        <v>707</v>
      </c>
      <c r="F676" s="16">
        <v>2010.0</v>
      </c>
      <c r="G676" s="16">
        <v>53.0042</v>
      </c>
      <c r="H676" s="16">
        <v>12.1023</v>
      </c>
      <c r="I676" s="15"/>
      <c r="J676" s="15"/>
    </row>
    <row r="677">
      <c r="A677" s="18">
        <v>44656.0</v>
      </c>
      <c r="B677" s="16" t="s">
        <v>11025</v>
      </c>
      <c r="C677" s="16">
        <v>14.0</v>
      </c>
      <c r="D677" s="16" t="s">
        <v>10444</v>
      </c>
      <c r="E677" s="16" t="s">
        <v>707</v>
      </c>
      <c r="F677" s="16">
        <v>2015.0</v>
      </c>
      <c r="G677" s="16">
        <v>51.9795</v>
      </c>
      <c r="H677" s="16">
        <v>13.4611</v>
      </c>
      <c r="I677" s="15"/>
      <c r="J677" s="15"/>
    </row>
    <row r="678">
      <c r="A678" s="18">
        <v>44656.0</v>
      </c>
      <c r="B678" s="16" t="s">
        <v>11026</v>
      </c>
      <c r="C678" s="16">
        <v>13.0</v>
      </c>
      <c r="D678" s="16" t="s">
        <v>10444</v>
      </c>
      <c r="E678" s="16" t="s">
        <v>707</v>
      </c>
      <c r="F678" s="16">
        <v>2016.0</v>
      </c>
      <c r="G678" s="16">
        <v>50.2381</v>
      </c>
      <c r="H678" s="16">
        <v>10.3721</v>
      </c>
      <c r="I678" s="15"/>
      <c r="J678" s="15"/>
    </row>
    <row r="679">
      <c r="A679" s="18">
        <v>44656.0</v>
      </c>
      <c r="B679" s="16" t="s">
        <v>11027</v>
      </c>
      <c r="C679" s="16">
        <v>15.0</v>
      </c>
      <c r="D679" s="16" t="s">
        <v>10444</v>
      </c>
      <c r="E679" s="16" t="s">
        <v>707</v>
      </c>
      <c r="F679" s="16">
        <v>2003.0</v>
      </c>
      <c r="G679" s="16">
        <v>51.3762</v>
      </c>
      <c r="H679" s="16">
        <v>10.7022</v>
      </c>
      <c r="I679" s="15"/>
      <c r="J679" s="15"/>
    </row>
    <row r="680">
      <c r="A680" s="18">
        <v>45370.0</v>
      </c>
      <c r="B680" s="16" t="s">
        <v>11028</v>
      </c>
      <c r="C680" s="16">
        <v>14.0</v>
      </c>
      <c r="D680" s="16" t="s">
        <v>10444</v>
      </c>
      <c r="E680" s="16" t="s">
        <v>707</v>
      </c>
      <c r="F680" s="16">
        <v>2012.0</v>
      </c>
      <c r="G680" s="16">
        <v>51.4245</v>
      </c>
      <c r="H680" s="16">
        <v>11.8436</v>
      </c>
      <c r="I680" s="15"/>
      <c r="J680" s="15"/>
    </row>
    <row r="681">
      <c r="A681" s="18">
        <v>45357.0</v>
      </c>
      <c r="B681" s="16" t="s">
        <v>11029</v>
      </c>
      <c r="C681" s="16">
        <v>18.0</v>
      </c>
      <c r="D681" s="16" t="s">
        <v>10444</v>
      </c>
      <c r="E681" s="16" t="s">
        <v>707</v>
      </c>
      <c r="F681" s="16">
        <v>2023.0</v>
      </c>
      <c r="G681" s="16">
        <v>53.9805</v>
      </c>
      <c r="H681" s="16">
        <v>9.929</v>
      </c>
      <c r="I681" s="15"/>
      <c r="J681" s="15"/>
    </row>
    <row r="682">
      <c r="A682" s="18">
        <v>44656.0</v>
      </c>
      <c r="B682" s="16" t="s">
        <v>11030</v>
      </c>
      <c r="C682" s="16">
        <v>22.0</v>
      </c>
      <c r="D682" s="16" t="s">
        <v>10444</v>
      </c>
      <c r="E682" s="16" t="s">
        <v>707</v>
      </c>
      <c r="F682" s="16">
        <v>2004.0</v>
      </c>
      <c r="G682" s="16">
        <v>51.3015</v>
      </c>
      <c r="H682" s="16">
        <v>10.9127</v>
      </c>
      <c r="I682" s="15"/>
      <c r="J682" s="15"/>
    </row>
    <row r="683">
      <c r="A683" s="18">
        <v>44656.0</v>
      </c>
      <c r="B683" s="16" t="s">
        <v>11031</v>
      </c>
      <c r="C683" s="16">
        <v>18.0</v>
      </c>
      <c r="D683" s="16" t="s">
        <v>10444</v>
      </c>
      <c r="E683" s="16" t="s">
        <v>707</v>
      </c>
      <c r="F683" s="16">
        <v>2011.0</v>
      </c>
      <c r="G683" s="16">
        <v>53.1381</v>
      </c>
      <c r="H683" s="16">
        <v>9.7177</v>
      </c>
      <c r="I683" s="15"/>
      <c r="J683" s="15"/>
    </row>
    <row r="684">
      <c r="A684" s="18">
        <v>44656.0</v>
      </c>
      <c r="B684" s="16" t="s">
        <v>11032</v>
      </c>
      <c r="C684" s="16">
        <v>10.0</v>
      </c>
      <c r="D684" s="16" t="s">
        <v>10444</v>
      </c>
      <c r="E684" s="16" t="s">
        <v>707</v>
      </c>
      <c r="F684" s="16">
        <v>2010.0</v>
      </c>
      <c r="G684" s="16">
        <v>54.7208</v>
      </c>
      <c r="H684" s="16">
        <v>9.2931</v>
      </c>
      <c r="I684" s="15"/>
      <c r="J684" s="15"/>
    </row>
    <row r="685">
      <c r="A685" s="18">
        <v>44656.0</v>
      </c>
      <c r="B685" s="16" t="s">
        <v>11033</v>
      </c>
      <c r="C685" s="16">
        <v>16.0</v>
      </c>
      <c r="D685" s="16" t="s">
        <v>10444</v>
      </c>
      <c r="E685" s="16" t="s">
        <v>707</v>
      </c>
      <c r="F685" s="16">
        <v>2013.0</v>
      </c>
      <c r="G685" s="16">
        <v>49.5419</v>
      </c>
      <c r="H685" s="16">
        <v>9.3889</v>
      </c>
      <c r="I685" s="15"/>
      <c r="J685" s="15"/>
    </row>
    <row r="686">
      <c r="A686" s="18">
        <v>44656.0</v>
      </c>
      <c r="B686" s="16" t="s">
        <v>11034</v>
      </c>
      <c r="C686" s="16">
        <v>24.0</v>
      </c>
      <c r="D686" s="16" t="s">
        <v>10444</v>
      </c>
      <c r="E686" s="16" t="s">
        <v>707</v>
      </c>
      <c r="F686" s="16">
        <v>2002.0</v>
      </c>
      <c r="G686" s="16">
        <v>51.1275</v>
      </c>
      <c r="H686" s="16">
        <v>10.7562</v>
      </c>
      <c r="I686" s="15"/>
      <c r="J686" s="15"/>
    </row>
    <row r="687">
      <c r="A687" s="18">
        <v>44656.0</v>
      </c>
      <c r="B687" s="16" t="s">
        <v>11035</v>
      </c>
      <c r="C687" s="16">
        <v>33.0</v>
      </c>
      <c r="D687" s="16" t="s">
        <v>10444</v>
      </c>
      <c r="E687" s="16" t="s">
        <v>707</v>
      </c>
      <c r="F687" s="16">
        <v>2009.0</v>
      </c>
      <c r="G687" s="16">
        <v>53.3606</v>
      </c>
      <c r="H687" s="16">
        <v>14.0938</v>
      </c>
      <c r="I687" s="15"/>
      <c r="J687" s="15"/>
    </row>
    <row r="688">
      <c r="A688" s="18">
        <v>44656.0</v>
      </c>
      <c r="B688" s="16" t="s">
        <v>11036</v>
      </c>
      <c r="C688" s="16">
        <v>13.0</v>
      </c>
      <c r="D688" s="16" t="s">
        <v>10444</v>
      </c>
      <c r="E688" s="16" t="s">
        <v>707</v>
      </c>
      <c r="F688" s="16">
        <v>2015.0</v>
      </c>
      <c r="G688" s="16">
        <v>53.3296</v>
      </c>
      <c r="H688" s="16">
        <v>13.9478</v>
      </c>
      <c r="I688" s="15"/>
      <c r="J688" s="15"/>
    </row>
    <row r="689">
      <c r="A689" s="18">
        <v>44656.0</v>
      </c>
      <c r="B689" s="16" t="s">
        <v>11037</v>
      </c>
      <c r="C689" s="16">
        <v>12.0</v>
      </c>
      <c r="D689" s="16" t="s">
        <v>10444</v>
      </c>
      <c r="E689" s="16" t="s">
        <v>707</v>
      </c>
      <c r="F689" s="16">
        <v>2000.0</v>
      </c>
      <c r="G689" s="16">
        <v>53.0639</v>
      </c>
      <c r="H689" s="16">
        <v>8.5436</v>
      </c>
      <c r="I689" s="15"/>
      <c r="J689" s="15"/>
    </row>
    <row r="690">
      <c r="A690" s="18">
        <v>45357.0</v>
      </c>
      <c r="B690" s="16" t="s">
        <v>11038</v>
      </c>
      <c r="C690" s="16">
        <v>18.0</v>
      </c>
      <c r="D690" s="16" t="s">
        <v>10444</v>
      </c>
      <c r="E690" s="16" t="s">
        <v>707</v>
      </c>
      <c r="F690" s="16">
        <v>2023.0</v>
      </c>
      <c r="G690" s="16">
        <v>54.0319</v>
      </c>
      <c r="H690" s="16">
        <v>9.0858</v>
      </c>
      <c r="I690" s="15"/>
      <c r="J690" s="15"/>
    </row>
    <row r="691">
      <c r="A691" s="18">
        <v>45357.0</v>
      </c>
      <c r="B691" s="16" t="s">
        <v>11038</v>
      </c>
      <c r="C691" s="16">
        <v>12.0</v>
      </c>
      <c r="D691" s="16" t="s">
        <v>10444</v>
      </c>
      <c r="E691" s="16" t="s">
        <v>707</v>
      </c>
      <c r="F691" s="16">
        <v>2023.0</v>
      </c>
      <c r="G691" s="16">
        <v>54.0219</v>
      </c>
      <c r="H691" s="16">
        <v>9.0796</v>
      </c>
      <c r="I691" s="15"/>
      <c r="J691" s="15"/>
    </row>
    <row r="692">
      <c r="A692" s="18">
        <v>44656.0</v>
      </c>
      <c r="B692" s="16" t="s">
        <v>11039</v>
      </c>
      <c r="C692" s="16">
        <v>15.0</v>
      </c>
      <c r="D692" s="16" t="s">
        <v>10444</v>
      </c>
      <c r="E692" s="16" t="s">
        <v>707</v>
      </c>
      <c r="F692" s="16">
        <v>2014.0</v>
      </c>
      <c r="G692" s="16">
        <v>49.6789</v>
      </c>
      <c r="H692" s="16">
        <v>8.2</v>
      </c>
      <c r="I692" s="15"/>
      <c r="J692" s="15"/>
    </row>
    <row r="693">
      <c r="A693" s="18">
        <v>44656.0</v>
      </c>
      <c r="B693" s="16" t="s">
        <v>11040</v>
      </c>
      <c r="C693" s="16">
        <v>20.0</v>
      </c>
      <c r="D693" s="16" t="s">
        <v>10444</v>
      </c>
      <c r="E693" s="16" t="s">
        <v>707</v>
      </c>
      <c r="F693" s="16">
        <v>2005.0</v>
      </c>
      <c r="G693" s="16">
        <v>52.0801</v>
      </c>
      <c r="H693" s="16">
        <v>14.3282</v>
      </c>
      <c r="I693" s="15"/>
      <c r="J693" s="15"/>
    </row>
    <row r="694">
      <c r="A694" s="18">
        <v>45000.0</v>
      </c>
      <c r="B694" s="16" t="s">
        <v>11040</v>
      </c>
      <c r="C694" s="16">
        <v>43.0</v>
      </c>
      <c r="D694" s="16" t="s">
        <v>10444</v>
      </c>
      <c r="E694" s="16" t="s">
        <v>707</v>
      </c>
      <c r="F694" s="16">
        <v>2021.0</v>
      </c>
      <c r="G694" s="16">
        <v>52.078</v>
      </c>
      <c r="H694" s="16">
        <v>14.3124</v>
      </c>
      <c r="I694" s="15"/>
      <c r="J694" s="15"/>
    </row>
    <row r="695">
      <c r="A695" s="18">
        <v>44656.0</v>
      </c>
      <c r="B695" s="16" t="s">
        <v>11041</v>
      </c>
      <c r="C695" s="16">
        <v>18.0</v>
      </c>
      <c r="D695" s="16" t="s">
        <v>10444</v>
      </c>
      <c r="E695" s="16" t="s">
        <v>707</v>
      </c>
      <c r="F695" s="16">
        <v>2012.0</v>
      </c>
      <c r="G695" s="16">
        <v>49.0719</v>
      </c>
      <c r="H695" s="16">
        <v>10.6807</v>
      </c>
      <c r="I695" s="15"/>
      <c r="J695" s="15"/>
    </row>
    <row r="696">
      <c r="A696" s="18">
        <v>45353.0</v>
      </c>
      <c r="B696" s="16" t="s">
        <v>11042</v>
      </c>
      <c r="C696" s="16">
        <v>16.0</v>
      </c>
      <c r="D696" s="16" t="s">
        <v>10444</v>
      </c>
      <c r="E696" s="16" t="s">
        <v>707</v>
      </c>
      <c r="F696" s="16">
        <v>2023.0</v>
      </c>
      <c r="G696" s="16">
        <v>49.6244</v>
      </c>
      <c r="H696" s="16">
        <v>6.9144</v>
      </c>
      <c r="I696" s="15"/>
      <c r="J696" s="15"/>
    </row>
    <row r="697">
      <c r="A697" s="18">
        <v>44656.0</v>
      </c>
      <c r="B697" s="16" t="s">
        <v>11043</v>
      </c>
      <c r="C697" s="16">
        <v>12.0</v>
      </c>
      <c r="D697" s="16" t="s">
        <v>10444</v>
      </c>
      <c r="E697" s="16" t="s">
        <v>707</v>
      </c>
      <c r="F697" s="16">
        <v>2018.0</v>
      </c>
      <c r="G697" s="16">
        <v>48.66</v>
      </c>
      <c r="H697" s="16">
        <v>9.9316</v>
      </c>
      <c r="I697" s="15"/>
      <c r="J697" s="15"/>
    </row>
    <row r="698">
      <c r="A698" s="18">
        <v>45036.0</v>
      </c>
      <c r="B698" s="16" t="s">
        <v>11044</v>
      </c>
      <c r="C698" s="16">
        <v>18.0</v>
      </c>
      <c r="D698" s="16" t="s">
        <v>10444</v>
      </c>
      <c r="E698" s="16" t="s">
        <v>707</v>
      </c>
      <c r="F698" s="16">
        <v>2021.0</v>
      </c>
      <c r="G698" s="16">
        <v>53.3251</v>
      </c>
      <c r="H698" s="16">
        <v>13.7638</v>
      </c>
      <c r="I698" s="15"/>
      <c r="J698" s="15"/>
    </row>
    <row r="699">
      <c r="A699" s="18">
        <v>45362.0</v>
      </c>
      <c r="B699" s="16" t="s">
        <v>11044</v>
      </c>
      <c r="C699" s="16">
        <v>40.0</v>
      </c>
      <c r="D699" s="16" t="s">
        <v>10444</v>
      </c>
      <c r="E699" s="16" t="s">
        <v>707</v>
      </c>
      <c r="F699" s="16">
        <v>2023.0</v>
      </c>
      <c r="G699" s="16">
        <v>53.3281</v>
      </c>
      <c r="H699" s="16">
        <v>13.7654</v>
      </c>
      <c r="I699" s="15"/>
      <c r="J699" s="15"/>
    </row>
    <row r="700">
      <c r="A700" s="18">
        <v>44656.0</v>
      </c>
      <c r="B700" s="16" t="s">
        <v>11045</v>
      </c>
      <c r="C700" s="16">
        <v>12.0</v>
      </c>
      <c r="D700" s="16" t="s">
        <v>10444</v>
      </c>
      <c r="E700" s="16" t="s">
        <v>707</v>
      </c>
      <c r="F700" s="16">
        <v>2017.0</v>
      </c>
      <c r="G700" s="16">
        <v>54.7089</v>
      </c>
      <c r="H700" s="16">
        <v>9.9157</v>
      </c>
      <c r="I700" s="15"/>
      <c r="J700" s="15"/>
    </row>
    <row r="701">
      <c r="A701" s="18">
        <v>44656.0</v>
      </c>
      <c r="B701" s="16" t="s">
        <v>11046</v>
      </c>
      <c r="C701" s="16">
        <v>27.0</v>
      </c>
      <c r="D701" s="16" t="s">
        <v>10444</v>
      </c>
      <c r="E701" s="16" t="s">
        <v>707</v>
      </c>
      <c r="F701" s="16">
        <v>2014.0</v>
      </c>
      <c r="G701" s="16">
        <v>54.7309</v>
      </c>
      <c r="H701" s="16">
        <v>9.1306</v>
      </c>
      <c r="I701" s="15"/>
      <c r="J701" s="15"/>
    </row>
    <row r="702">
      <c r="A702" s="18">
        <v>44656.0</v>
      </c>
      <c r="B702" s="16" t="s">
        <v>11047</v>
      </c>
      <c r="C702" s="16">
        <v>44.0</v>
      </c>
      <c r="D702" s="16" t="s">
        <v>10444</v>
      </c>
      <c r="E702" s="16" t="s">
        <v>707</v>
      </c>
      <c r="F702" s="16">
        <v>2013.0</v>
      </c>
      <c r="G702" s="16">
        <v>51.5475</v>
      </c>
      <c r="H702" s="16">
        <v>8.6966</v>
      </c>
      <c r="I702" s="15"/>
      <c r="J702" s="15"/>
    </row>
    <row r="703">
      <c r="A703" s="18">
        <v>44656.0</v>
      </c>
      <c r="B703" s="16" t="s">
        <v>11048</v>
      </c>
      <c r="C703" s="16">
        <v>14.0</v>
      </c>
      <c r="D703" s="16" t="s">
        <v>10444</v>
      </c>
      <c r="E703" s="16" t="s">
        <v>707</v>
      </c>
      <c r="F703" s="16">
        <v>2017.0</v>
      </c>
      <c r="G703" s="16">
        <v>53.1937</v>
      </c>
      <c r="H703" s="16">
        <v>10.389</v>
      </c>
      <c r="I703" s="15"/>
      <c r="J703" s="15"/>
    </row>
    <row r="704">
      <c r="A704" s="18">
        <v>44656.0</v>
      </c>
      <c r="B704" s="16" t="s">
        <v>11049</v>
      </c>
      <c r="C704" s="16">
        <v>22.0</v>
      </c>
      <c r="D704" s="16" t="s">
        <v>10444</v>
      </c>
      <c r="E704" s="16" t="s">
        <v>707</v>
      </c>
      <c r="F704" s="16">
        <v>2015.0</v>
      </c>
      <c r="G704" s="16">
        <v>54.1473</v>
      </c>
      <c r="H704" s="16">
        <v>9.4208</v>
      </c>
      <c r="I704" s="15"/>
      <c r="J704" s="15"/>
    </row>
    <row r="705">
      <c r="A705" s="18">
        <v>45665.0</v>
      </c>
      <c r="B705" s="16" t="s">
        <v>11050</v>
      </c>
      <c r="C705" s="16">
        <v>20.0</v>
      </c>
      <c r="D705" s="16" t="s">
        <v>10444</v>
      </c>
      <c r="E705" s="16" t="s">
        <v>707</v>
      </c>
      <c r="F705" s="16">
        <v>2024.0</v>
      </c>
      <c r="G705" s="16">
        <v>52.0856</v>
      </c>
      <c r="H705" s="16">
        <v>7.3712</v>
      </c>
      <c r="I705" s="15"/>
      <c r="J705" s="15"/>
    </row>
    <row r="706">
      <c r="A706" s="18">
        <v>44656.0</v>
      </c>
      <c r="B706" s="16" t="s">
        <v>11051</v>
      </c>
      <c r="C706" s="16">
        <v>14.0</v>
      </c>
      <c r="D706" s="16" t="s">
        <v>10444</v>
      </c>
      <c r="E706" s="16" t="s">
        <v>707</v>
      </c>
      <c r="F706" s="16">
        <v>2013.0</v>
      </c>
      <c r="G706" s="16">
        <v>50.7866</v>
      </c>
      <c r="H706" s="16">
        <v>8.161</v>
      </c>
      <c r="I706" s="15"/>
      <c r="J706" s="15"/>
    </row>
    <row r="707">
      <c r="A707" s="18">
        <v>44656.0</v>
      </c>
      <c r="B707" s="16" t="s">
        <v>11052</v>
      </c>
      <c r="C707" s="16">
        <v>14.0</v>
      </c>
      <c r="D707" s="16" t="s">
        <v>10444</v>
      </c>
      <c r="E707" s="16" t="s">
        <v>707</v>
      </c>
      <c r="F707" s="16">
        <v>2016.0</v>
      </c>
      <c r="G707" s="16">
        <v>50.1641</v>
      </c>
      <c r="H707" s="16">
        <v>11.3305</v>
      </c>
      <c r="I707" s="15"/>
      <c r="J707" s="15"/>
    </row>
    <row r="708">
      <c r="A708" s="18">
        <v>45035.0</v>
      </c>
      <c r="B708" s="16" t="s">
        <v>11053</v>
      </c>
      <c r="C708" s="16">
        <v>14.0</v>
      </c>
      <c r="D708" s="16" t="s">
        <v>10444</v>
      </c>
      <c r="E708" s="16" t="s">
        <v>707</v>
      </c>
      <c r="F708" s="16">
        <v>2014.0</v>
      </c>
      <c r="G708" s="16">
        <v>51.3811</v>
      </c>
      <c r="H708" s="16">
        <v>10.7257</v>
      </c>
      <c r="I708" s="15"/>
      <c r="J708" s="15"/>
    </row>
    <row r="709">
      <c r="A709" s="18">
        <v>45355.0</v>
      </c>
      <c r="B709" s="16" t="s">
        <v>11054</v>
      </c>
      <c r="C709" s="16">
        <v>14.0</v>
      </c>
      <c r="D709" s="16" t="s">
        <v>10444</v>
      </c>
      <c r="E709" s="16" t="s">
        <v>707</v>
      </c>
      <c r="F709" s="16">
        <v>2023.0</v>
      </c>
      <c r="G709" s="16">
        <v>49.5585</v>
      </c>
      <c r="H709" s="16">
        <v>9.3066</v>
      </c>
      <c r="I709" s="15"/>
      <c r="J709" s="15"/>
    </row>
    <row r="710">
      <c r="A710" s="18">
        <v>45026.0</v>
      </c>
      <c r="B710" s="16" t="s">
        <v>11055</v>
      </c>
      <c r="C710" s="16">
        <v>15.0</v>
      </c>
      <c r="D710" s="16" t="s">
        <v>10444</v>
      </c>
      <c r="E710" s="16" t="s">
        <v>707</v>
      </c>
      <c r="F710" s="16">
        <v>2016.0</v>
      </c>
      <c r="G710" s="16">
        <v>51.6305</v>
      </c>
      <c r="H710" s="16">
        <v>8.9367</v>
      </c>
      <c r="I710" s="15"/>
      <c r="J710" s="15"/>
    </row>
    <row r="711">
      <c r="A711" s="18">
        <v>45370.0</v>
      </c>
      <c r="B711" s="16" t="s">
        <v>11056</v>
      </c>
      <c r="C711" s="16">
        <v>14.0</v>
      </c>
      <c r="D711" s="16" t="s">
        <v>10444</v>
      </c>
      <c r="E711" s="16" t="s">
        <v>707</v>
      </c>
      <c r="F711" s="16">
        <v>2003.0</v>
      </c>
      <c r="G711" s="16">
        <v>52.1717</v>
      </c>
      <c r="H711" s="16">
        <v>11.2886</v>
      </c>
      <c r="I711" s="15"/>
      <c r="J711" s="15"/>
    </row>
    <row r="712">
      <c r="A712" s="18">
        <v>44656.0</v>
      </c>
      <c r="B712" s="16" t="s">
        <v>11057</v>
      </c>
      <c r="C712" s="16">
        <v>20.0</v>
      </c>
      <c r="D712" s="16" t="s">
        <v>10444</v>
      </c>
      <c r="E712" s="16" t="s">
        <v>707</v>
      </c>
      <c r="F712" s="16">
        <v>2006.0</v>
      </c>
      <c r="G712" s="16">
        <v>52.1731</v>
      </c>
      <c r="H712" s="16">
        <v>11.3019</v>
      </c>
      <c r="I712" s="15"/>
      <c r="J712" s="15"/>
    </row>
    <row r="713">
      <c r="A713" s="18">
        <v>45006.0</v>
      </c>
      <c r="B713" s="16" t="s">
        <v>11057</v>
      </c>
      <c r="C713" s="16">
        <v>10.0</v>
      </c>
      <c r="D713" s="16" t="s">
        <v>10444</v>
      </c>
      <c r="E713" s="16" t="s">
        <v>707</v>
      </c>
      <c r="F713" s="16">
        <v>2008.0</v>
      </c>
      <c r="G713" s="16">
        <v>52.1778</v>
      </c>
      <c r="H713" s="16">
        <v>11.3046</v>
      </c>
      <c r="I713" s="15"/>
      <c r="J713" s="15"/>
    </row>
    <row r="714">
      <c r="A714" s="18">
        <v>44656.0</v>
      </c>
      <c r="B714" s="16" t="s">
        <v>11057</v>
      </c>
      <c r="C714" s="16">
        <v>24.0</v>
      </c>
      <c r="D714" s="16" t="s">
        <v>10444</v>
      </c>
      <c r="E714" s="16" t="s">
        <v>707</v>
      </c>
      <c r="F714" s="15"/>
      <c r="G714" s="16">
        <v>52.1382</v>
      </c>
      <c r="H714" s="16">
        <v>11.6386</v>
      </c>
      <c r="I714" s="15"/>
      <c r="J714" s="15"/>
    </row>
    <row r="715">
      <c r="A715" s="18">
        <v>44656.0</v>
      </c>
      <c r="B715" s="16" t="s">
        <v>11058</v>
      </c>
      <c r="C715" s="16">
        <v>15.0</v>
      </c>
      <c r="D715" s="16" t="s">
        <v>10444</v>
      </c>
      <c r="E715" s="16" t="s">
        <v>707</v>
      </c>
      <c r="F715" s="16">
        <v>2009.0</v>
      </c>
      <c r="G715" s="16">
        <v>53.2627</v>
      </c>
      <c r="H715" s="16">
        <v>12.3125</v>
      </c>
      <c r="I715" s="15"/>
      <c r="J715" s="15"/>
    </row>
    <row r="716">
      <c r="A716" s="18">
        <v>44656.0</v>
      </c>
      <c r="B716" s="16" t="s">
        <v>11059</v>
      </c>
      <c r="C716" s="16">
        <v>18.0</v>
      </c>
      <c r="D716" s="16" t="s">
        <v>10444</v>
      </c>
      <c r="E716" s="16" t="s">
        <v>707</v>
      </c>
      <c r="F716" s="16">
        <v>2007.0</v>
      </c>
      <c r="G716" s="16">
        <v>53.2626</v>
      </c>
      <c r="H716" s="16">
        <v>12.3032</v>
      </c>
      <c r="I716" s="15"/>
      <c r="J716" s="15"/>
    </row>
    <row r="717">
      <c r="A717" s="18">
        <v>44656.0</v>
      </c>
      <c r="B717" s="16" t="s">
        <v>11060</v>
      </c>
      <c r="C717" s="16">
        <v>10.0</v>
      </c>
      <c r="D717" s="16" t="s">
        <v>10444</v>
      </c>
      <c r="E717" s="16" t="s">
        <v>707</v>
      </c>
      <c r="F717" s="16">
        <v>2000.0</v>
      </c>
      <c r="G717" s="16">
        <v>49.9361</v>
      </c>
      <c r="H717" s="16">
        <v>6.365</v>
      </c>
      <c r="I717" s="15"/>
      <c r="J717" s="15"/>
    </row>
    <row r="718">
      <c r="A718" s="18">
        <v>45030.0</v>
      </c>
      <c r="B718" s="16" t="s">
        <v>11061</v>
      </c>
      <c r="C718" s="16">
        <v>11.0</v>
      </c>
      <c r="D718" s="16" t="s">
        <v>10444</v>
      </c>
      <c r="E718" s="16" t="s">
        <v>707</v>
      </c>
      <c r="F718" s="16">
        <v>2022.0</v>
      </c>
      <c r="G718" s="16">
        <v>51.737</v>
      </c>
      <c r="H718" s="16">
        <v>7.1351</v>
      </c>
      <c r="I718" s="15"/>
      <c r="J718" s="15"/>
    </row>
    <row r="719">
      <c r="A719" s="18">
        <v>44656.0</v>
      </c>
      <c r="B719" s="16" t="s">
        <v>11062</v>
      </c>
      <c r="C719" s="16">
        <v>21.0</v>
      </c>
      <c r="D719" s="16" t="s">
        <v>10444</v>
      </c>
      <c r="E719" s="16" t="s">
        <v>707</v>
      </c>
      <c r="F719" s="16">
        <v>2016.0</v>
      </c>
      <c r="G719" s="16">
        <v>53.3218</v>
      </c>
      <c r="H719" s="16">
        <v>8.8027</v>
      </c>
      <c r="I719" s="15"/>
      <c r="J719" s="15"/>
    </row>
    <row r="720">
      <c r="A720" s="18">
        <v>44656.0</v>
      </c>
      <c r="B720" s="16" t="s">
        <v>11063</v>
      </c>
      <c r="C720" s="16">
        <v>12.0</v>
      </c>
      <c r="D720" s="16" t="s">
        <v>10444</v>
      </c>
      <c r="E720" s="16" t="s">
        <v>707</v>
      </c>
      <c r="F720" s="16">
        <v>2017.0</v>
      </c>
      <c r="G720" s="16">
        <v>53.4511</v>
      </c>
      <c r="H720" s="16">
        <v>10.2638</v>
      </c>
      <c r="I720" s="15"/>
      <c r="J720" s="15"/>
    </row>
    <row r="721">
      <c r="A721" s="18">
        <v>45377.0</v>
      </c>
      <c r="B721" s="16" t="s">
        <v>11064</v>
      </c>
      <c r="C721" s="16">
        <v>17.0</v>
      </c>
      <c r="D721" s="16" t="s">
        <v>10444</v>
      </c>
      <c r="E721" s="16" t="s">
        <v>707</v>
      </c>
      <c r="F721" s="16">
        <v>2016.0</v>
      </c>
      <c r="G721" s="16">
        <v>52.7937</v>
      </c>
      <c r="H721" s="16">
        <v>9.2832</v>
      </c>
      <c r="I721" s="15"/>
      <c r="J721" s="15"/>
    </row>
    <row r="722">
      <c r="A722" s="18">
        <v>44656.0</v>
      </c>
      <c r="B722" s="16" t="s">
        <v>11065</v>
      </c>
      <c r="C722" s="16">
        <v>19.0</v>
      </c>
      <c r="D722" s="16" t="s">
        <v>10444</v>
      </c>
      <c r="E722" s="16" t="s">
        <v>707</v>
      </c>
      <c r="F722" s="16">
        <v>2015.0</v>
      </c>
      <c r="G722" s="16">
        <v>54.1474</v>
      </c>
      <c r="H722" s="16">
        <v>9.4104</v>
      </c>
      <c r="I722" s="15"/>
      <c r="J722" s="15"/>
    </row>
    <row r="723">
      <c r="A723" s="18">
        <v>44656.0</v>
      </c>
      <c r="B723" s="16" t="s">
        <v>11066</v>
      </c>
      <c r="C723" s="16">
        <v>18.0</v>
      </c>
      <c r="D723" s="16" t="s">
        <v>10444</v>
      </c>
      <c r="E723" s="16" t="s">
        <v>707</v>
      </c>
      <c r="F723" s="16">
        <v>2007.0</v>
      </c>
      <c r="G723" s="16">
        <v>53.2452</v>
      </c>
      <c r="H723" s="16">
        <v>9.4543</v>
      </c>
      <c r="I723" s="15"/>
      <c r="J723" s="15"/>
    </row>
    <row r="724">
      <c r="A724" s="18">
        <v>45376.0</v>
      </c>
      <c r="B724" s="16" t="s">
        <v>11067</v>
      </c>
      <c r="C724" s="16">
        <v>11.0</v>
      </c>
      <c r="D724" s="16" t="s">
        <v>10444</v>
      </c>
      <c r="E724" s="16" t="s">
        <v>707</v>
      </c>
      <c r="F724" s="16">
        <v>2023.0</v>
      </c>
      <c r="G724" s="16">
        <v>51.4307</v>
      </c>
      <c r="H724" s="16">
        <v>8.6933</v>
      </c>
      <c r="I724" s="15"/>
      <c r="J724" s="15"/>
    </row>
    <row r="725">
      <c r="A725" s="18">
        <v>44656.0</v>
      </c>
      <c r="B725" s="16" t="s">
        <v>11068</v>
      </c>
      <c r="C725" s="16">
        <v>10.0</v>
      </c>
      <c r="D725" s="16" t="s">
        <v>10444</v>
      </c>
      <c r="E725" s="16" t="s">
        <v>707</v>
      </c>
      <c r="F725" s="16">
        <v>2018.0</v>
      </c>
      <c r="G725" s="16">
        <v>53.3256</v>
      </c>
      <c r="H725" s="16">
        <v>8.4806</v>
      </c>
      <c r="I725" s="15"/>
      <c r="J725" s="15"/>
    </row>
    <row r="726">
      <c r="A726" s="18">
        <v>44656.0</v>
      </c>
      <c r="B726" s="16" t="s">
        <v>11069</v>
      </c>
      <c r="C726" s="16">
        <v>12.0</v>
      </c>
      <c r="D726" s="16" t="s">
        <v>10444</v>
      </c>
      <c r="E726" s="16" t="s">
        <v>707</v>
      </c>
      <c r="F726" s="16">
        <v>2005.0</v>
      </c>
      <c r="G726" s="16">
        <v>53.4208</v>
      </c>
      <c r="H726" s="16">
        <v>7.0676</v>
      </c>
      <c r="I726" s="15"/>
      <c r="J726" s="15"/>
    </row>
    <row r="727">
      <c r="A727" s="18">
        <v>45357.0</v>
      </c>
      <c r="B727" s="16" t="s">
        <v>11070</v>
      </c>
      <c r="C727" s="16">
        <v>11.0</v>
      </c>
      <c r="D727" s="16" t="s">
        <v>10444</v>
      </c>
      <c r="E727" s="16" t="s">
        <v>707</v>
      </c>
      <c r="F727" s="16">
        <v>2023.0</v>
      </c>
      <c r="G727" s="16">
        <v>53.4596</v>
      </c>
      <c r="H727" s="16">
        <v>10.4412</v>
      </c>
      <c r="I727" s="15"/>
      <c r="J727" s="15"/>
    </row>
    <row r="728">
      <c r="A728" s="18">
        <v>44656.0</v>
      </c>
      <c r="B728" s="16" t="s">
        <v>11071</v>
      </c>
      <c r="C728" s="16">
        <v>17.0</v>
      </c>
      <c r="D728" s="16" t="s">
        <v>10444</v>
      </c>
      <c r="E728" s="16" t="s">
        <v>707</v>
      </c>
      <c r="F728" s="16">
        <v>2015.0</v>
      </c>
      <c r="G728" s="16">
        <v>52.8912</v>
      </c>
      <c r="H728" s="16">
        <v>9.4813</v>
      </c>
      <c r="I728" s="15"/>
      <c r="J728" s="15"/>
    </row>
    <row r="729">
      <c r="A729" s="18">
        <v>44656.0</v>
      </c>
      <c r="B729" s="16" t="s">
        <v>11072</v>
      </c>
      <c r="C729" s="16">
        <v>12.0</v>
      </c>
      <c r="D729" s="16" t="s">
        <v>10444</v>
      </c>
      <c r="E729" s="16" t="s">
        <v>707</v>
      </c>
      <c r="F729" s="16">
        <v>2014.0</v>
      </c>
      <c r="G729" s="16">
        <v>54.7268</v>
      </c>
      <c r="H729" s="16">
        <v>9.3067</v>
      </c>
      <c r="I729" s="15"/>
      <c r="J729" s="15"/>
    </row>
    <row r="730">
      <c r="A730" s="18">
        <v>44656.0</v>
      </c>
      <c r="B730" s="16" t="s">
        <v>11072</v>
      </c>
      <c r="C730" s="16">
        <v>28.0</v>
      </c>
      <c r="D730" s="16" t="s">
        <v>10444</v>
      </c>
      <c r="E730" s="16" t="s">
        <v>707</v>
      </c>
      <c r="F730" s="16">
        <v>2012.0</v>
      </c>
      <c r="G730" s="16">
        <v>54.7406</v>
      </c>
      <c r="H730" s="16">
        <v>9.2827</v>
      </c>
      <c r="I730" s="15"/>
      <c r="J730" s="15"/>
    </row>
    <row r="731">
      <c r="A731" s="18">
        <v>45355.0</v>
      </c>
      <c r="B731" s="16" t="s">
        <v>11073</v>
      </c>
      <c r="C731" s="16">
        <v>30.0</v>
      </c>
      <c r="D731" s="16" t="s">
        <v>10444</v>
      </c>
      <c r="E731" s="16" t="s">
        <v>707</v>
      </c>
      <c r="F731" s="16">
        <v>2023.0</v>
      </c>
      <c r="G731" s="16">
        <v>54.7507</v>
      </c>
      <c r="H731" s="16">
        <v>9.2759</v>
      </c>
      <c r="I731" s="15"/>
      <c r="J731" s="15"/>
    </row>
    <row r="732">
      <c r="A732" s="18">
        <v>45015.0</v>
      </c>
      <c r="B732" s="16" t="s">
        <v>11074</v>
      </c>
      <c r="C732" s="16">
        <v>11.0</v>
      </c>
      <c r="D732" s="16" t="s">
        <v>10444</v>
      </c>
      <c r="E732" s="16" t="s">
        <v>707</v>
      </c>
      <c r="F732" s="16">
        <v>2017.0</v>
      </c>
      <c r="G732" s="16">
        <v>52.5484</v>
      </c>
      <c r="H732" s="16">
        <v>7.6103</v>
      </c>
      <c r="I732" s="15"/>
      <c r="J732" s="15"/>
    </row>
    <row r="733">
      <c r="A733" s="18">
        <v>44656.0</v>
      </c>
      <c r="B733" s="16" t="s">
        <v>11075</v>
      </c>
      <c r="C733" s="16">
        <v>18.0</v>
      </c>
      <c r="D733" s="16" t="s">
        <v>10444</v>
      </c>
      <c r="E733" s="16" t="s">
        <v>707</v>
      </c>
      <c r="F733" s="16">
        <v>2003.0</v>
      </c>
      <c r="G733" s="16">
        <v>52.9705</v>
      </c>
      <c r="H733" s="16">
        <v>13.218</v>
      </c>
      <c r="I733" s="15"/>
      <c r="J733" s="15"/>
    </row>
    <row r="734">
      <c r="A734" s="18">
        <v>44656.0</v>
      </c>
      <c r="B734" s="16" t="s">
        <v>11076</v>
      </c>
      <c r="C734" s="16">
        <v>10.0</v>
      </c>
      <c r="D734" s="16" t="s">
        <v>10444</v>
      </c>
      <c r="E734" s="16" t="s">
        <v>707</v>
      </c>
      <c r="F734" s="16">
        <v>2013.0</v>
      </c>
      <c r="G734" s="16">
        <v>49.7239</v>
      </c>
      <c r="H734" s="16">
        <v>8.1746</v>
      </c>
      <c r="I734" s="15"/>
      <c r="J734" s="15"/>
    </row>
    <row r="735">
      <c r="A735" s="18">
        <v>44656.0</v>
      </c>
      <c r="B735" s="16" t="s">
        <v>11077</v>
      </c>
      <c r="C735" s="16">
        <v>20.0</v>
      </c>
      <c r="D735" s="16" t="s">
        <v>10444</v>
      </c>
      <c r="E735" s="16" t="s">
        <v>707</v>
      </c>
      <c r="F735" s="16">
        <v>2002.0</v>
      </c>
      <c r="G735" s="16">
        <v>52.9467</v>
      </c>
      <c r="H735" s="16">
        <v>10.6537</v>
      </c>
      <c r="I735" s="15"/>
      <c r="J735" s="15"/>
    </row>
    <row r="736">
      <c r="A736" s="18">
        <v>44656.0</v>
      </c>
      <c r="B736" s="16" t="s">
        <v>11078</v>
      </c>
      <c r="C736" s="16">
        <v>11.0</v>
      </c>
      <c r="D736" s="16" t="s">
        <v>10444</v>
      </c>
      <c r="E736" s="16" t="s">
        <v>707</v>
      </c>
      <c r="F736" s="15"/>
      <c r="G736" s="16">
        <v>53.0458</v>
      </c>
      <c r="H736" s="16">
        <v>10.3757</v>
      </c>
      <c r="I736" s="15"/>
      <c r="J736" s="15"/>
    </row>
    <row r="737">
      <c r="A737" s="18">
        <v>44656.0</v>
      </c>
      <c r="B737" s="16" t="s">
        <v>11078</v>
      </c>
      <c r="C737" s="16">
        <v>17.0</v>
      </c>
      <c r="D737" s="16" t="s">
        <v>10444</v>
      </c>
      <c r="E737" s="16" t="s">
        <v>707</v>
      </c>
      <c r="F737" s="16">
        <v>2002.0</v>
      </c>
      <c r="G737" s="16">
        <v>53.0486</v>
      </c>
      <c r="H737" s="16">
        <v>10.3257</v>
      </c>
      <c r="I737" s="15"/>
      <c r="J737" s="15"/>
    </row>
    <row r="738">
      <c r="A738" s="18">
        <v>44985.0</v>
      </c>
      <c r="B738" s="16" t="s">
        <v>11079</v>
      </c>
      <c r="C738" s="16">
        <v>32.0</v>
      </c>
      <c r="D738" s="16" t="s">
        <v>10444</v>
      </c>
      <c r="E738" s="16" t="s">
        <v>707</v>
      </c>
      <c r="F738" s="16">
        <v>2021.0</v>
      </c>
      <c r="G738" s="16">
        <v>53.051</v>
      </c>
      <c r="H738" s="16">
        <v>10.3127</v>
      </c>
      <c r="I738" s="15"/>
      <c r="J738" s="15"/>
    </row>
    <row r="739">
      <c r="A739" s="18">
        <v>44656.0</v>
      </c>
      <c r="B739" s="16" t="s">
        <v>11080</v>
      </c>
      <c r="C739" s="16">
        <v>18.0</v>
      </c>
      <c r="D739" s="16" t="s">
        <v>10444</v>
      </c>
      <c r="E739" s="16" t="s">
        <v>707</v>
      </c>
      <c r="F739" s="16">
        <v>2017.0</v>
      </c>
      <c r="G739" s="16">
        <v>53.1409</v>
      </c>
      <c r="H739" s="16">
        <v>7.8326</v>
      </c>
      <c r="I739" s="15"/>
      <c r="J739" s="15"/>
    </row>
    <row r="740">
      <c r="A740" s="18">
        <v>44656.0</v>
      </c>
      <c r="B740" s="16" t="s">
        <v>11081</v>
      </c>
      <c r="C740" s="16">
        <v>37.0</v>
      </c>
      <c r="D740" s="16" t="s">
        <v>10444</v>
      </c>
      <c r="E740" s="16" t="s">
        <v>707</v>
      </c>
      <c r="F740" s="16">
        <v>2017.0</v>
      </c>
      <c r="G740" s="16">
        <v>53.646</v>
      </c>
      <c r="H740" s="16">
        <v>7.5236</v>
      </c>
      <c r="I740" s="15"/>
      <c r="J740" s="15"/>
    </row>
    <row r="741">
      <c r="A741" s="18">
        <v>45665.0</v>
      </c>
      <c r="B741" s="16" t="s">
        <v>11082</v>
      </c>
      <c r="C741" s="16">
        <v>28.5</v>
      </c>
      <c r="D741" s="16" t="s">
        <v>10444</v>
      </c>
      <c r="E741" s="16" t="s">
        <v>707</v>
      </c>
      <c r="F741" s="16">
        <v>2024.0</v>
      </c>
      <c r="G741" s="16">
        <v>52.7461</v>
      </c>
      <c r="H741" s="16">
        <v>10.5465</v>
      </c>
      <c r="I741" s="15"/>
      <c r="J741" s="15"/>
    </row>
    <row r="742">
      <c r="A742" s="18">
        <v>44656.0</v>
      </c>
      <c r="B742" s="16" t="s">
        <v>11083</v>
      </c>
      <c r="C742" s="16">
        <v>11.0</v>
      </c>
      <c r="D742" s="16" t="s">
        <v>10444</v>
      </c>
      <c r="E742" s="16" t="s">
        <v>707</v>
      </c>
      <c r="F742" s="16">
        <v>2019.0</v>
      </c>
      <c r="G742" s="16">
        <v>52.181</v>
      </c>
      <c r="H742" s="16">
        <v>10.0244</v>
      </c>
      <c r="I742" s="15"/>
      <c r="J742" s="15"/>
    </row>
    <row r="743">
      <c r="A743" s="18">
        <v>45002.0</v>
      </c>
      <c r="B743" s="16" t="s">
        <v>11084</v>
      </c>
      <c r="C743" s="16">
        <v>22.0</v>
      </c>
      <c r="D743" s="16" t="s">
        <v>10444</v>
      </c>
      <c r="E743" s="16" t="s">
        <v>707</v>
      </c>
      <c r="F743" s="16">
        <v>2006.0</v>
      </c>
      <c r="G743" s="16">
        <v>50.616</v>
      </c>
      <c r="H743" s="16">
        <v>7.7655</v>
      </c>
      <c r="I743" s="15"/>
      <c r="J743" s="15"/>
    </row>
    <row r="744">
      <c r="A744" s="18">
        <v>44656.0</v>
      </c>
      <c r="B744" s="16" t="s">
        <v>11084</v>
      </c>
      <c r="C744" s="16">
        <v>12.0</v>
      </c>
      <c r="D744" s="16" t="s">
        <v>10444</v>
      </c>
      <c r="E744" s="16" t="s">
        <v>707</v>
      </c>
      <c r="F744" s="15"/>
      <c r="G744" s="16">
        <v>50.6143</v>
      </c>
      <c r="H744" s="16">
        <v>7.7613</v>
      </c>
      <c r="I744" s="15"/>
      <c r="J744" s="15"/>
    </row>
    <row r="745">
      <c r="A745" s="18">
        <v>44656.0</v>
      </c>
      <c r="B745" s="16" t="s">
        <v>11084</v>
      </c>
      <c r="C745" s="16">
        <v>19.0</v>
      </c>
      <c r="D745" s="16" t="s">
        <v>10444</v>
      </c>
      <c r="E745" s="16" t="s">
        <v>707</v>
      </c>
      <c r="F745" s="16">
        <v>2015.0</v>
      </c>
      <c r="G745" s="16">
        <v>50.6143</v>
      </c>
      <c r="H745" s="16">
        <v>7.7613</v>
      </c>
      <c r="I745" s="15"/>
      <c r="J745" s="15"/>
    </row>
    <row r="746">
      <c r="A746" s="18">
        <v>44656.0</v>
      </c>
      <c r="B746" s="16" t="s">
        <v>11085</v>
      </c>
      <c r="C746" s="16">
        <v>42.0</v>
      </c>
      <c r="D746" s="16" t="s">
        <v>10444</v>
      </c>
      <c r="E746" s="16" t="s">
        <v>707</v>
      </c>
      <c r="F746" s="16">
        <v>2015.0</v>
      </c>
      <c r="G746" s="16">
        <v>49.2936</v>
      </c>
      <c r="H746" s="16">
        <v>9.4135</v>
      </c>
      <c r="I746" s="15"/>
      <c r="J746" s="15"/>
    </row>
    <row r="747">
      <c r="A747" s="18">
        <v>44656.0</v>
      </c>
      <c r="B747" s="16" t="s">
        <v>11085</v>
      </c>
      <c r="C747" s="16">
        <v>12.0</v>
      </c>
      <c r="D747" s="16" t="s">
        <v>10444</v>
      </c>
      <c r="E747" s="16" t="s">
        <v>707</v>
      </c>
      <c r="F747" s="16">
        <v>2018.0</v>
      </c>
      <c r="G747" s="16">
        <v>49.2936</v>
      </c>
      <c r="H747" s="16">
        <v>9.4135</v>
      </c>
      <c r="I747" s="15"/>
      <c r="J747" s="15"/>
    </row>
    <row r="748">
      <c r="A748" s="18">
        <v>44656.0</v>
      </c>
      <c r="B748" s="16" t="s">
        <v>11086</v>
      </c>
      <c r="C748" s="16">
        <v>14.0</v>
      </c>
      <c r="D748" s="16" t="s">
        <v>10444</v>
      </c>
      <c r="E748" s="16" t="s">
        <v>707</v>
      </c>
      <c r="F748" s="16">
        <v>2013.0</v>
      </c>
      <c r="G748" s="16">
        <v>50.7928</v>
      </c>
      <c r="H748" s="16">
        <v>8.2808</v>
      </c>
      <c r="I748" s="15"/>
      <c r="J748" s="15"/>
    </row>
    <row r="749">
      <c r="A749" s="18">
        <v>45000.0</v>
      </c>
      <c r="B749" s="16" t="s">
        <v>11087</v>
      </c>
      <c r="C749" s="16">
        <v>10.0</v>
      </c>
      <c r="D749" s="16" t="s">
        <v>10444</v>
      </c>
      <c r="E749" s="16" t="s">
        <v>707</v>
      </c>
      <c r="F749" s="16">
        <v>2017.0</v>
      </c>
      <c r="G749" s="16">
        <v>47.6757</v>
      </c>
      <c r="H749" s="16">
        <v>7.9159</v>
      </c>
      <c r="I749" s="15"/>
      <c r="J749" s="15"/>
    </row>
    <row r="750">
      <c r="A750" s="18">
        <v>44656.0</v>
      </c>
      <c r="B750" s="16" t="s">
        <v>11088</v>
      </c>
      <c r="C750" s="16">
        <v>20.0</v>
      </c>
      <c r="D750" s="16" t="s">
        <v>10444</v>
      </c>
      <c r="E750" s="16" t="s">
        <v>707</v>
      </c>
      <c r="F750" s="16">
        <v>1999.0</v>
      </c>
      <c r="G750" s="16">
        <v>52.7157</v>
      </c>
      <c r="H750" s="16">
        <v>7.5338</v>
      </c>
      <c r="I750" s="15"/>
      <c r="J750" s="15"/>
    </row>
    <row r="751">
      <c r="A751" s="18">
        <v>44656.0</v>
      </c>
      <c r="B751" s="16" t="s">
        <v>11089</v>
      </c>
      <c r="C751" s="16">
        <v>28.0</v>
      </c>
      <c r="D751" s="16" t="s">
        <v>10444</v>
      </c>
      <c r="E751" s="16" t="s">
        <v>707</v>
      </c>
      <c r="F751" s="16">
        <v>2013.0</v>
      </c>
      <c r="G751" s="16">
        <v>54.0037</v>
      </c>
      <c r="H751" s="16">
        <v>9.86</v>
      </c>
      <c r="I751" s="15"/>
      <c r="J751" s="15"/>
    </row>
    <row r="752">
      <c r="A752" s="18">
        <v>45026.0</v>
      </c>
      <c r="B752" s="16" t="s">
        <v>11090</v>
      </c>
      <c r="C752" s="16">
        <v>12.0</v>
      </c>
      <c r="D752" s="16" t="s">
        <v>10444</v>
      </c>
      <c r="E752" s="16" t="s">
        <v>707</v>
      </c>
      <c r="F752" s="16">
        <v>2015.0</v>
      </c>
      <c r="G752" s="16">
        <v>51.6766</v>
      </c>
      <c r="H752" s="16">
        <v>8.8736</v>
      </c>
      <c r="I752" s="15"/>
      <c r="J752" s="15"/>
    </row>
    <row r="753">
      <c r="A753" s="18">
        <v>45026.0</v>
      </c>
      <c r="B753" s="16" t="s">
        <v>11090</v>
      </c>
      <c r="C753" s="16">
        <v>24.0</v>
      </c>
      <c r="D753" s="16" t="s">
        <v>10444</v>
      </c>
      <c r="E753" s="16" t="s">
        <v>707</v>
      </c>
      <c r="F753" s="16">
        <v>2016.0</v>
      </c>
      <c r="G753" s="16">
        <v>51.6613</v>
      </c>
      <c r="H753" s="16">
        <v>8.8602</v>
      </c>
      <c r="I753" s="15"/>
      <c r="J753" s="15"/>
    </row>
    <row r="754">
      <c r="A754" s="18">
        <v>44656.0</v>
      </c>
      <c r="B754" s="16" t="s">
        <v>11091</v>
      </c>
      <c r="C754" s="16">
        <v>12.0</v>
      </c>
      <c r="D754" s="16" t="s">
        <v>10444</v>
      </c>
      <c r="E754" s="16" t="s">
        <v>707</v>
      </c>
      <c r="F754" s="16">
        <v>2017.0</v>
      </c>
      <c r="G754" s="16">
        <v>50.6966</v>
      </c>
      <c r="H754" s="16">
        <v>8.757</v>
      </c>
      <c r="I754" s="15"/>
      <c r="J754" s="15"/>
    </row>
    <row r="755">
      <c r="A755" s="18">
        <v>44656.0</v>
      </c>
      <c r="B755" s="16" t="s">
        <v>11092</v>
      </c>
      <c r="C755" s="16">
        <v>34.0</v>
      </c>
      <c r="D755" s="16" t="s">
        <v>10444</v>
      </c>
      <c r="E755" s="16" t="s">
        <v>707</v>
      </c>
      <c r="F755" s="16">
        <v>2018.0</v>
      </c>
      <c r="G755" s="16">
        <v>52.9261</v>
      </c>
      <c r="H755" s="16">
        <v>7.5964</v>
      </c>
      <c r="I755" s="15"/>
      <c r="J755" s="15"/>
    </row>
    <row r="756">
      <c r="A756" s="18">
        <v>44656.0</v>
      </c>
      <c r="B756" s="16" t="s">
        <v>11093</v>
      </c>
      <c r="C756" s="16">
        <v>26.0</v>
      </c>
      <c r="D756" s="16" t="s">
        <v>10444</v>
      </c>
      <c r="E756" s="16" t="s">
        <v>707</v>
      </c>
      <c r="F756" s="16">
        <v>2016.0</v>
      </c>
      <c r="G756" s="16">
        <v>53.0407</v>
      </c>
      <c r="H756" s="16">
        <v>8.3311</v>
      </c>
      <c r="I756" s="15"/>
      <c r="J756" s="15"/>
    </row>
    <row r="757">
      <c r="A757" s="18">
        <v>44656.0</v>
      </c>
      <c r="B757" s="16" t="s">
        <v>11094</v>
      </c>
      <c r="C757" s="16">
        <v>18.0</v>
      </c>
      <c r="D757" s="16" t="s">
        <v>10444</v>
      </c>
      <c r="E757" s="16" t="s">
        <v>707</v>
      </c>
      <c r="F757" s="16">
        <v>2016.0</v>
      </c>
      <c r="G757" s="16">
        <v>51.6661</v>
      </c>
      <c r="H757" s="16">
        <v>10.2127</v>
      </c>
      <c r="I757" s="15"/>
      <c r="J757" s="15"/>
    </row>
    <row r="758">
      <c r="A758" s="18">
        <v>44656.0</v>
      </c>
      <c r="B758" s="16" t="s">
        <v>11095</v>
      </c>
      <c r="C758" s="16">
        <v>15.0</v>
      </c>
      <c r="D758" s="16" t="s">
        <v>10444</v>
      </c>
      <c r="E758" s="16" t="s">
        <v>707</v>
      </c>
      <c r="F758" s="16">
        <v>2017.0</v>
      </c>
      <c r="G758" s="16">
        <v>49.1212</v>
      </c>
      <c r="H758" s="16">
        <v>8.2303</v>
      </c>
      <c r="I758" s="15"/>
      <c r="J758" s="15"/>
    </row>
    <row r="759">
      <c r="A759" s="18">
        <v>44656.0</v>
      </c>
      <c r="B759" s="16" t="s">
        <v>11096</v>
      </c>
      <c r="C759" s="16">
        <v>13.0</v>
      </c>
      <c r="D759" s="16" t="s">
        <v>10444</v>
      </c>
      <c r="E759" s="16" t="s">
        <v>707</v>
      </c>
      <c r="F759" s="16">
        <v>2013.0</v>
      </c>
      <c r="G759" s="16">
        <v>52.2173</v>
      </c>
      <c r="H759" s="16">
        <v>7.4481</v>
      </c>
      <c r="I759" s="15"/>
      <c r="J759" s="15"/>
    </row>
    <row r="760">
      <c r="A760" s="18">
        <v>44985.0</v>
      </c>
      <c r="B760" s="16" t="s">
        <v>11097</v>
      </c>
      <c r="C760" s="16">
        <v>17.0</v>
      </c>
      <c r="D760" s="16" t="s">
        <v>10444</v>
      </c>
      <c r="E760" s="16" t="s">
        <v>707</v>
      </c>
      <c r="F760" s="16">
        <v>2021.0</v>
      </c>
      <c r="G760" s="16">
        <v>50.7219</v>
      </c>
      <c r="H760" s="16">
        <v>9.6613</v>
      </c>
      <c r="I760" s="15"/>
      <c r="J760" s="15"/>
    </row>
    <row r="761">
      <c r="A761" s="18">
        <v>44656.0</v>
      </c>
      <c r="B761" s="16" t="s">
        <v>11098</v>
      </c>
      <c r="C761" s="16">
        <v>15.0</v>
      </c>
      <c r="D761" s="16" t="s">
        <v>10444</v>
      </c>
      <c r="E761" s="16" t="s">
        <v>707</v>
      </c>
      <c r="F761" s="16">
        <v>2011.0</v>
      </c>
      <c r="G761" s="16">
        <v>49.5052</v>
      </c>
      <c r="H761" s="16">
        <v>7.2482</v>
      </c>
      <c r="I761" s="15"/>
      <c r="J761" s="15"/>
    </row>
    <row r="762">
      <c r="A762" s="18">
        <v>44656.0</v>
      </c>
      <c r="B762" s="16" t="s">
        <v>11099</v>
      </c>
      <c r="C762" s="16">
        <v>30.0</v>
      </c>
      <c r="D762" s="16" t="s">
        <v>10444</v>
      </c>
      <c r="E762" s="16" t="s">
        <v>707</v>
      </c>
      <c r="F762" s="16">
        <v>2016.0</v>
      </c>
      <c r="G762" s="16">
        <v>51.2976</v>
      </c>
      <c r="H762" s="16">
        <v>9.7676</v>
      </c>
      <c r="I762" s="15"/>
      <c r="J762" s="15"/>
    </row>
    <row r="763">
      <c r="A763" s="18">
        <v>45026.0</v>
      </c>
      <c r="B763" s="16" t="s">
        <v>11099</v>
      </c>
      <c r="C763" s="16">
        <v>21.0</v>
      </c>
      <c r="D763" s="16" t="s">
        <v>10444</v>
      </c>
      <c r="E763" s="16" t="s">
        <v>707</v>
      </c>
      <c r="F763" s="16">
        <v>2021.0</v>
      </c>
      <c r="G763" s="16">
        <v>51.2849</v>
      </c>
      <c r="H763" s="16">
        <v>9.7692</v>
      </c>
      <c r="I763" s="15"/>
      <c r="J763" s="15"/>
    </row>
    <row r="764">
      <c r="A764" s="18">
        <v>44656.0</v>
      </c>
      <c r="B764" s="16" t="s">
        <v>11100</v>
      </c>
      <c r="C764" s="16">
        <v>12.0</v>
      </c>
      <c r="D764" s="16" t="s">
        <v>10444</v>
      </c>
      <c r="E764" s="16" t="s">
        <v>707</v>
      </c>
      <c r="F764" s="16">
        <v>2005.0</v>
      </c>
      <c r="G764" s="16">
        <v>52.7544</v>
      </c>
      <c r="H764" s="16">
        <v>13.8431</v>
      </c>
      <c r="I764" s="15"/>
      <c r="J764" s="15"/>
    </row>
    <row r="765">
      <c r="A765" s="18">
        <v>44656.0</v>
      </c>
      <c r="B765" s="16" t="s">
        <v>11101</v>
      </c>
      <c r="C765" s="16">
        <v>12.0</v>
      </c>
      <c r="D765" s="16" t="s">
        <v>10444</v>
      </c>
      <c r="E765" s="16" t="s">
        <v>707</v>
      </c>
      <c r="F765" s="16">
        <v>2016.0</v>
      </c>
      <c r="G765" s="16">
        <v>51.5336</v>
      </c>
      <c r="H765" s="16">
        <v>8.4706</v>
      </c>
      <c r="I765" s="15"/>
      <c r="J765" s="15"/>
    </row>
    <row r="766">
      <c r="A766" s="18">
        <v>44656.0</v>
      </c>
      <c r="B766" s="16" t="s">
        <v>11102</v>
      </c>
      <c r="C766" s="16">
        <v>10.0</v>
      </c>
      <c r="D766" s="16" t="s">
        <v>10444</v>
      </c>
      <c r="E766" s="16" t="s">
        <v>707</v>
      </c>
      <c r="F766" s="16">
        <v>2012.0</v>
      </c>
      <c r="G766" s="16">
        <v>54.1722</v>
      </c>
      <c r="H766" s="16">
        <v>8.8715</v>
      </c>
      <c r="I766" s="15"/>
      <c r="J766" s="15"/>
    </row>
    <row r="767">
      <c r="A767" s="18">
        <v>44656.0</v>
      </c>
      <c r="B767" s="16" t="s">
        <v>11102</v>
      </c>
      <c r="C767" s="16">
        <v>21.0</v>
      </c>
      <c r="D767" s="16" t="s">
        <v>10444</v>
      </c>
      <c r="E767" s="16" t="s">
        <v>707</v>
      </c>
      <c r="F767" s="15"/>
      <c r="G767" s="16">
        <v>54.1751</v>
      </c>
      <c r="H767" s="16">
        <v>8.873</v>
      </c>
      <c r="I767" s="15"/>
      <c r="J767" s="15"/>
    </row>
    <row r="768">
      <c r="A768" s="18">
        <v>45002.0</v>
      </c>
      <c r="B768" s="16" t="s">
        <v>11102</v>
      </c>
      <c r="C768" s="16">
        <v>14.0</v>
      </c>
      <c r="D768" s="16" t="s">
        <v>10444</v>
      </c>
      <c r="E768" s="16" t="s">
        <v>707</v>
      </c>
      <c r="F768" s="16">
        <v>2010.0</v>
      </c>
      <c r="G768" s="16">
        <v>54.1732</v>
      </c>
      <c r="H768" s="16">
        <v>8.8542</v>
      </c>
      <c r="I768" s="15"/>
      <c r="J768" s="15"/>
    </row>
    <row r="769">
      <c r="A769" s="18">
        <v>44656.0</v>
      </c>
      <c r="B769" s="16" t="s">
        <v>11103</v>
      </c>
      <c r="C769" s="16">
        <v>17.0</v>
      </c>
      <c r="D769" s="16" t="s">
        <v>10444</v>
      </c>
      <c r="E769" s="16" t="s">
        <v>707</v>
      </c>
      <c r="F769" s="16">
        <v>2000.0</v>
      </c>
      <c r="G769" s="16">
        <v>53.0103</v>
      </c>
      <c r="H769" s="16">
        <v>7.2522</v>
      </c>
      <c r="I769" s="15"/>
      <c r="J769" s="15"/>
    </row>
    <row r="770">
      <c r="A770" s="18">
        <v>45006.0</v>
      </c>
      <c r="B770" s="16" t="s">
        <v>11104</v>
      </c>
      <c r="C770" s="16">
        <v>13.0</v>
      </c>
      <c r="D770" s="16" t="s">
        <v>10444</v>
      </c>
      <c r="E770" s="16" t="s">
        <v>707</v>
      </c>
      <c r="F770" s="16">
        <v>2016.0</v>
      </c>
      <c r="G770" s="16">
        <v>53.1972</v>
      </c>
      <c r="H770" s="16">
        <v>7.2344</v>
      </c>
      <c r="I770" s="15"/>
      <c r="J770" s="15"/>
    </row>
    <row r="771">
      <c r="A771" s="18">
        <v>44656.0</v>
      </c>
      <c r="B771" s="16" t="s">
        <v>11104</v>
      </c>
      <c r="C771" s="16">
        <v>21.0</v>
      </c>
      <c r="D771" s="16" t="s">
        <v>10444</v>
      </c>
      <c r="E771" s="16" t="s">
        <v>707</v>
      </c>
      <c r="F771" s="15"/>
      <c r="G771" s="16">
        <v>53.1984</v>
      </c>
      <c r="H771" s="16">
        <v>7.2332</v>
      </c>
      <c r="I771" s="15"/>
      <c r="J771" s="15"/>
    </row>
    <row r="772">
      <c r="A772" s="18">
        <v>44656.0</v>
      </c>
      <c r="B772" s="16" t="s">
        <v>11105</v>
      </c>
      <c r="C772" s="16">
        <v>18.0</v>
      </c>
      <c r="D772" s="16" t="s">
        <v>10444</v>
      </c>
      <c r="E772" s="16" t="s">
        <v>707</v>
      </c>
      <c r="F772" s="16">
        <v>2012.0</v>
      </c>
      <c r="G772" s="16">
        <v>52.0175</v>
      </c>
      <c r="H772" s="16">
        <v>13.1992</v>
      </c>
      <c r="I772" s="15"/>
      <c r="J772" s="15"/>
    </row>
    <row r="773">
      <c r="A773" s="18">
        <v>44656.0</v>
      </c>
      <c r="B773" s="16" t="s">
        <v>11105</v>
      </c>
      <c r="C773" s="16">
        <v>18.0</v>
      </c>
      <c r="D773" s="16" t="s">
        <v>10444</v>
      </c>
      <c r="E773" s="16" t="s">
        <v>707</v>
      </c>
      <c r="F773" s="16">
        <v>2016.0</v>
      </c>
      <c r="G773" s="16">
        <v>52.0277</v>
      </c>
      <c r="H773" s="16">
        <v>13.1773</v>
      </c>
      <c r="I773" s="15"/>
      <c r="J773" s="15"/>
    </row>
    <row r="774">
      <c r="A774" s="18">
        <v>44656.0</v>
      </c>
      <c r="B774" s="16" t="s">
        <v>11106</v>
      </c>
      <c r="C774" s="16">
        <v>13.0</v>
      </c>
      <c r="D774" s="16" t="s">
        <v>10444</v>
      </c>
      <c r="E774" s="16" t="s">
        <v>707</v>
      </c>
      <c r="F774" s="16">
        <v>2017.0</v>
      </c>
      <c r="G774" s="16">
        <v>50.1483</v>
      </c>
      <c r="H774" s="16">
        <v>12.0393</v>
      </c>
      <c r="I774" s="15"/>
      <c r="J774" s="15"/>
    </row>
    <row r="775">
      <c r="A775" s="18">
        <v>44656.0</v>
      </c>
      <c r="B775" s="16" t="s">
        <v>11107</v>
      </c>
      <c r="C775" s="16">
        <v>10.0</v>
      </c>
      <c r="D775" s="16" t="s">
        <v>10444</v>
      </c>
      <c r="E775" s="16" t="s">
        <v>707</v>
      </c>
      <c r="F775" s="16">
        <v>2017.0</v>
      </c>
      <c r="G775" s="16">
        <v>53.3349</v>
      </c>
      <c r="H775" s="16">
        <v>9.6149</v>
      </c>
      <c r="I775" s="15"/>
      <c r="J775" s="15"/>
    </row>
    <row r="776">
      <c r="A776" s="18">
        <v>44656.0</v>
      </c>
      <c r="B776" s="16" t="s">
        <v>11108</v>
      </c>
      <c r="C776" s="16">
        <v>30.0</v>
      </c>
      <c r="D776" s="16" t="s">
        <v>10444</v>
      </c>
      <c r="E776" s="16" t="s">
        <v>707</v>
      </c>
      <c r="F776" s="16">
        <v>2015.0</v>
      </c>
      <c r="G776" s="16">
        <v>50.2032</v>
      </c>
      <c r="H776" s="16">
        <v>7.9582</v>
      </c>
      <c r="I776" s="15"/>
      <c r="J776" s="15"/>
    </row>
    <row r="777">
      <c r="A777" s="18">
        <v>45665.0</v>
      </c>
      <c r="B777" s="16" t="s">
        <v>11109</v>
      </c>
      <c r="C777" s="16">
        <v>36.0</v>
      </c>
      <c r="D777" s="16" t="s">
        <v>10444</v>
      </c>
      <c r="E777" s="16" t="s">
        <v>707</v>
      </c>
      <c r="F777" s="16">
        <v>2024.0</v>
      </c>
      <c r="G777" s="16">
        <v>53.8372</v>
      </c>
      <c r="H777" s="16">
        <v>9.8493</v>
      </c>
      <c r="I777" s="15"/>
      <c r="J777" s="15"/>
    </row>
    <row r="778">
      <c r="A778" s="18">
        <v>44656.0</v>
      </c>
      <c r="B778" s="16" t="s">
        <v>11110</v>
      </c>
      <c r="C778" s="16">
        <v>11.0</v>
      </c>
      <c r="D778" s="16" t="s">
        <v>10444</v>
      </c>
      <c r="E778" s="16" t="s">
        <v>707</v>
      </c>
      <c r="F778" s="16">
        <v>2002.0</v>
      </c>
      <c r="G778" s="16">
        <v>50.6418</v>
      </c>
      <c r="H778" s="16">
        <v>6.5675</v>
      </c>
      <c r="I778" s="15"/>
      <c r="J778" s="15"/>
    </row>
    <row r="779">
      <c r="A779" s="18">
        <v>44656.0</v>
      </c>
      <c r="B779" s="16" t="s">
        <v>11111</v>
      </c>
      <c r="C779" s="16">
        <v>14.0</v>
      </c>
      <c r="D779" s="16" t="s">
        <v>10444</v>
      </c>
      <c r="E779" s="16" t="s">
        <v>707</v>
      </c>
      <c r="F779" s="16">
        <v>2001.0</v>
      </c>
      <c r="G779" s="16">
        <v>53.0916</v>
      </c>
      <c r="H779" s="16">
        <v>14.1807</v>
      </c>
      <c r="I779" s="15"/>
      <c r="J779" s="15"/>
    </row>
    <row r="780">
      <c r="A780" s="18">
        <v>44656.0</v>
      </c>
      <c r="B780" s="16" t="s">
        <v>11112</v>
      </c>
      <c r="C780" s="16">
        <v>18.0</v>
      </c>
      <c r="D780" s="16" t="s">
        <v>10444</v>
      </c>
      <c r="E780" s="16" t="s">
        <v>707</v>
      </c>
      <c r="F780" s="16">
        <v>2004.0</v>
      </c>
      <c r="G780" s="16">
        <v>51.1615</v>
      </c>
      <c r="H780" s="16">
        <v>6.2035</v>
      </c>
      <c r="I780" s="15"/>
      <c r="J780" s="15"/>
    </row>
    <row r="781">
      <c r="A781" s="18">
        <v>44656.0</v>
      </c>
      <c r="B781" s="16" t="s">
        <v>11113</v>
      </c>
      <c r="C781" s="16">
        <v>12.0</v>
      </c>
      <c r="D781" s="16" t="s">
        <v>10444</v>
      </c>
      <c r="E781" s="16" t="s">
        <v>707</v>
      </c>
      <c r="F781" s="16">
        <v>2000.0</v>
      </c>
      <c r="G781" s="16">
        <v>49.846</v>
      </c>
      <c r="H781" s="16">
        <v>6.5315</v>
      </c>
      <c r="I781" s="15"/>
      <c r="J781" s="15"/>
    </row>
    <row r="782">
      <c r="A782" s="18">
        <v>44985.0</v>
      </c>
      <c r="B782" s="16" t="s">
        <v>11114</v>
      </c>
      <c r="C782" s="16">
        <v>11.0</v>
      </c>
      <c r="D782" s="16" t="s">
        <v>10444</v>
      </c>
      <c r="E782" s="16" t="s">
        <v>707</v>
      </c>
      <c r="F782" s="16">
        <v>2021.0</v>
      </c>
      <c r="G782" s="16">
        <v>51.8648</v>
      </c>
      <c r="H782" s="16">
        <v>13.5609</v>
      </c>
      <c r="I782" s="15"/>
      <c r="J782" s="15"/>
    </row>
    <row r="783">
      <c r="A783" s="18">
        <v>45026.0</v>
      </c>
      <c r="B783" s="16" t="s">
        <v>11115</v>
      </c>
      <c r="C783" s="16">
        <v>13.0</v>
      </c>
      <c r="D783" s="16" t="s">
        <v>10444</v>
      </c>
      <c r="E783" s="16" t="s">
        <v>707</v>
      </c>
      <c r="F783" s="16">
        <v>2002.0</v>
      </c>
      <c r="G783" s="16">
        <v>51.8702</v>
      </c>
      <c r="H783" s="16">
        <v>13.5529</v>
      </c>
      <c r="I783" s="15"/>
      <c r="J783" s="15"/>
    </row>
    <row r="784">
      <c r="A784" s="18">
        <v>45026.0</v>
      </c>
      <c r="B784" s="16" t="s">
        <v>11115</v>
      </c>
      <c r="C784" s="16">
        <v>31.0</v>
      </c>
      <c r="D784" s="16" t="s">
        <v>10444</v>
      </c>
      <c r="E784" s="16" t="s">
        <v>707</v>
      </c>
      <c r="F784" s="16">
        <v>2003.0</v>
      </c>
      <c r="G784" s="16">
        <v>51.8695</v>
      </c>
      <c r="H784" s="16">
        <v>13.5538</v>
      </c>
      <c r="I784" s="15"/>
      <c r="J784" s="15"/>
    </row>
    <row r="785">
      <c r="A785" s="18">
        <v>45030.0</v>
      </c>
      <c r="B785" s="16" t="s">
        <v>11116</v>
      </c>
      <c r="C785" s="16">
        <v>35.0</v>
      </c>
      <c r="D785" s="16" t="s">
        <v>10444</v>
      </c>
      <c r="E785" s="16" t="s">
        <v>707</v>
      </c>
      <c r="F785" s="16">
        <v>2022.0</v>
      </c>
      <c r="G785" s="16">
        <v>54.6107</v>
      </c>
      <c r="H785" s="16">
        <v>9.4635</v>
      </c>
      <c r="I785" s="15"/>
      <c r="J785" s="15"/>
    </row>
    <row r="786">
      <c r="A786" s="18">
        <v>45357.0</v>
      </c>
      <c r="B786" s="16" t="s">
        <v>11117</v>
      </c>
      <c r="C786" s="16">
        <v>17.0</v>
      </c>
      <c r="D786" s="16" t="s">
        <v>10444</v>
      </c>
      <c r="E786" s="16" t="s">
        <v>707</v>
      </c>
      <c r="F786" s="16">
        <v>2023.0</v>
      </c>
      <c r="G786" s="16">
        <v>54.2044</v>
      </c>
      <c r="H786" s="16">
        <v>8.8555</v>
      </c>
      <c r="I786" s="15"/>
      <c r="J786" s="15"/>
    </row>
    <row r="787">
      <c r="A787" s="18">
        <v>44656.0</v>
      </c>
      <c r="B787" s="16" t="s">
        <v>11118</v>
      </c>
      <c r="C787" s="16">
        <v>18.0</v>
      </c>
      <c r="D787" s="16" t="s">
        <v>10444</v>
      </c>
      <c r="E787" s="16" t="s">
        <v>707</v>
      </c>
      <c r="F787" s="16">
        <v>2016.0</v>
      </c>
      <c r="G787" s="16">
        <v>54.0641</v>
      </c>
      <c r="H787" s="16">
        <v>13.3515</v>
      </c>
      <c r="I787" s="15"/>
      <c r="J787" s="15"/>
    </row>
    <row r="788">
      <c r="A788" s="18">
        <v>44656.0</v>
      </c>
      <c r="B788" s="16" t="s">
        <v>11119</v>
      </c>
      <c r="C788" s="16">
        <v>13.0</v>
      </c>
      <c r="D788" s="16" t="s">
        <v>10444</v>
      </c>
      <c r="E788" s="16" t="s">
        <v>707</v>
      </c>
      <c r="F788" s="16">
        <v>2012.0</v>
      </c>
      <c r="G788" s="16">
        <v>49.7453</v>
      </c>
      <c r="H788" s="16">
        <v>9.7073</v>
      </c>
      <c r="I788" s="15"/>
      <c r="J788" s="15"/>
    </row>
    <row r="789">
      <c r="A789" s="18">
        <v>44656.0</v>
      </c>
      <c r="B789" s="16" t="s">
        <v>11120</v>
      </c>
      <c r="C789" s="16">
        <v>10.0</v>
      </c>
      <c r="D789" s="16" t="s">
        <v>10444</v>
      </c>
      <c r="E789" s="16" t="s">
        <v>707</v>
      </c>
      <c r="F789" s="16">
        <v>2003.0</v>
      </c>
      <c r="G789" s="16">
        <v>52.1894</v>
      </c>
      <c r="H789" s="16">
        <v>11.004</v>
      </c>
      <c r="I789" s="15"/>
      <c r="J789" s="15"/>
    </row>
    <row r="790">
      <c r="A790" s="18">
        <v>45370.0</v>
      </c>
      <c r="B790" s="16" t="s">
        <v>11121</v>
      </c>
      <c r="C790" s="16">
        <v>13.0</v>
      </c>
      <c r="D790" s="16" t="s">
        <v>10444</v>
      </c>
      <c r="E790" s="16" t="s">
        <v>707</v>
      </c>
      <c r="F790" s="16">
        <v>2022.0</v>
      </c>
      <c r="G790" s="16">
        <v>54.2612</v>
      </c>
      <c r="H790" s="16">
        <v>9.0315</v>
      </c>
      <c r="I790" s="15"/>
      <c r="J790" s="15"/>
    </row>
    <row r="791">
      <c r="A791" s="18">
        <v>45363.0</v>
      </c>
      <c r="B791" s="16" t="s">
        <v>11122</v>
      </c>
      <c r="C791" s="16">
        <v>30.0</v>
      </c>
      <c r="D791" s="16" t="s">
        <v>10444</v>
      </c>
      <c r="E791" s="16" t="s">
        <v>707</v>
      </c>
      <c r="F791" s="16">
        <v>2014.0</v>
      </c>
      <c r="G791" s="16">
        <v>54.2544</v>
      </c>
      <c r="H791" s="16">
        <v>9.0252</v>
      </c>
      <c r="I791" s="15"/>
      <c r="J791" s="15"/>
    </row>
    <row r="792">
      <c r="A792" s="18">
        <v>45376.0</v>
      </c>
      <c r="B792" s="16" t="s">
        <v>11123</v>
      </c>
      <c r="C792" s="16">
        <v>10.0</v>
      </c>
      <c r="D792" s="16" t="s">
        <v>10444</v>
      </c>
      <c r="E792" s="16" t="s">
        <v>707</v>
      </c>
      <c r="F792" s="16">
        <v>2023.0</v>
      </c>
      <c r="G792" s="16">
        <v>54.2641</v>
      </c>
      <c r="H792" s="16">
        <v>9.0104</v>
      </c>
      <c r="I792" s="15"/>
      <c r="J792" s="15"/>
    </row>
    <row r="793">
      <c r="A793" s="18">
        <v>44656.0</v>
      </c>
      <c r="B793" s="16" t="s">
        <v>11124</v>
      </c>
      <c r="C793" s="16">
        <v>26.0</v>
      </c>
      <c r="D793" s="16" t="s">
        <v>10444</v>
      </c>
      <c r="E793" s="16" t="s">
        <v>707</v>
      </c>
      <c r="F793" s="16">
        <v>2017.0</v>
      </c>
      <c r="G793" s="16">
        <v>52.0287</v>
      </c>
      <c r="H793" s="16">
        <v>6.8976</v>
      </c>
      <c r="I793" s="15"/>
      <c r="J793" s="15"/>
    </row>
    <row r="794">
      <c r="A794" s="18">
        <v>44656.0</v>
      </c>
      <c r="B794" s="16" t="s">
        <v>11125</v>
      </c>
      <c r="C794" s="16">
        <v>10.0</v>
      </c>
      <c r="D794" s="16" t="s">
        <v>10444</v>
      </c>
      <c r="E794" s="16" t="s">
        <v>707</v>
      </c>
      <c r="F794" s="16">
        <v>2017.0</v>
      </c>
      <c r="G794" s="16">
        <v>52.9759</v>
      </c>
      <c r="H794" s="16">
        <v>8.5048</v>
      </c>
      <c r="I794" s="15"/>
      <c r="J794" s="15"/>
    </row>
    <row r="795">
      <c r="A795" s="18">
        <v>44656.0</v>
      </c>
      <c r="B795" s="16" t="s">
        <v>11126</v>
      </c>
      <c r="C795" s="16">
        <v>13.0</v>
      </c>
      <c r="D795" s="16" t="s">
        <v>10444</v>
      </c>
      <c r="E795" s="16" t="s">
        <v>707</v>
      </c>
      <c r="F795" s="16">
        <v>2017.0</v>
      </c>
      <c r="G795" s="16">
        <v>53.0189</v>
      </c>
      <c r="H795" s="16">
        <v>7.3856</v>
      </c>
      <c r="I795" s="15"/>
      <c r="J795" s="15"/>
    </row>
    <row r="796">
      <c r="A796" s="18">
        <v>44656.0</v>
      </c>
      <c r="B796" s="16" t="s">
        <v>11127</v>
      </c>
      <c r="C796" s="16">
        <v>13.0</v>
      </c>
      <c r="D796" s="16" t="s">
        <v>10444</v>
      </c>
      <c r="E796" s="16" t="s">
        <v>707</v>
      </c>
      <c r="F796" s="16">
        <v>2020.0</v>
      </c>
      <c r="G796" s="16">
        <v>51.099</v>
      </c>
      <c r="H796" s="16">
        <v>10.8212</v>
      </c>
      <c r="I796" s="15"/>
      <c r="J796" s="15"/>
    </row>
    <row r="797">
      <c r="A797" s="18">
        <v>44656.0</v>
      </c>
      <c r="B797" s="16" t="s">
        <v>11128</v>
      </c>
      <c r="C797" s="16">
        <v>14.0</v>
      </c>
      <c r="D797" s="16" t="s">
        <v>10444</v>
      </c>
      <c r="E797" s="16" t="s">
        <v>707</v>
      </c>
      <c r="F797" s="16">
        <v>2020.0</v>
      </c>
      <c r="G797" s="16">
        <v>50.2878</v>
      </c>
      <c r="H797" s="16">
        <v>8.1267</v>
      </c>
      <c r="I797" s="15"/>
      <c r="J797" s="15"/>
    </row>
    <row r="798">
      <c r="A798" s="18">
        <v>45358.0</v>
      </c>
      <c r="B798" s="16" t="s">
        <v>11129</v>
      </c>
      <c r="C798" s="16">
        <v>11.0</v>
      </c>
      <c r="D798" s="16" t="s">
        <v>10444</v>
      </c>
      <c r="E798" s="16" t="s">
        <v>707</v>
      </c>
      <c r="F798" s="16">
        <v>2023.0</v>
      </c>
      <c r="G798" s="16">
        <v>50.8654</v>
      </c>
      <c r="H798" s="16">
        <v>10.0211</v>
      </c>
      <c r="I798" s="15"/>
      <c r="J798" s="15"/>
    </row>
    <row r="799">
      <c r="A799" s="18">
        <v>44985.0</v>
      </c>
      <c r="B799" s="16" t="s">
        <v>11130</v>
      </c>
      <c r="C799" s="16">
        <v>21.0</v>
      </c>
      <c r="D799" s="16" t="s">
        <v>10444</v>
      </c>
      <c r="E799" s="16" t="s">
        <v>707</v>
      </c>
      <c r="F799" s="16">
        <v>2021.0</v>
      </c>
      <c r="G799" s="16">
        <v>50.8765</v>
      </c>
      <c r="H799" s="16">
        <v>9.9096</v>
      </c>
      <c r="I799" s="15"/>
      <c r="J799" s="15"/>
    </row>
    <row r="800">
      <c r="A800" s="18">
        <v>45665.0</v>
      </c>
      <c r="B800" s="16" t="s">
        <v>11131</v>
      </c>
      <c r="C800" s="16">
        <v>13.5</v>
      </c>
      <c r="D800" s="16" t="s">
        <v>10444</v>
      </c>
      <c r="E800" s="16" t="s">
        <v>707</v>
      </c>
      <c r="F800" s="16">
        <v>2024.0</v>
      </c>
      <c r="G800" s="16">
        <v>51.9863</v>
      </c>
      <c r="H800" s="16">
        <v>7.4628</v>
      </c>
      <c r="I800" s="15"/>
      <c r="J800" s="15"/>
    </row>
    <row r="801">
      <c r="A801" s="18">
        <v>44656.0</v>
      </c>
      <c r="B801" s="16" t="s">
        <v>11132</v>
      </c>
      <c r="C801" s="16">
        <v>12.0</v>
      </c>
      <c r="D801" s="16" t="s">
        <v>10444</v>
      </c>
      <c r="E801" s="16" t="s">
        <v>707</v>
      </c>
      <c r="F801" s="16">
        <v>2006.0</v>
      </c>
      <c r="G801" s="16">
        <v>52.8766</v>
      </c>
      <c r="H801" s="16">
        <v>10.0416</v>
      </c>
      <c r="I801" s="15"/>
      <c r="J801" s="15"/>
    </row>
    <row r="802">
      <c r="A802" s="18">
        <v>45035.0</v>
      </c>
      <c r="B802" s="16" t="s">
        <v>11133</v>
      </c>
      <c r="C802" s="16">
        <v>17.0</v>
      </c>
      <c r="D802" s="16" t="s">
        <v>10444</v>
      </c>
      <c r="E802" s="16" t="s">
        <v>707</v>
      </c>
      <c r="F802" s="16">
        <v>2003.0</v>
      </c>
      <c r="G802" s="16">
        <v>52.8753</v>
      </c>
      <c r="H802" s="16">
        <v>10.0392</v>
      </c>
      <c r="I802" s="15"/>
      <c r="J802" s="15"/>
    </row>
    <row r="803">
      <c r="A803" s="18">
        <v>44656.0</v>
      </c>
      <c r="B803" s="16" t="s">
        <v>11134</v>
      </c>
      <c r="C803" s="16">
        <v>10.0</v>
      </c>
      <c r="D803" s="16" t="s">
        <v>10444</v>
      </c>
      <c r="E803" s="16" t="s">
        <v>707</v>
      </c>
      <c r="F803" s="16">
        <v>2017.0</v>
      </c>
      <c r="G803" s="16">
        <v>53.3454</v>
      </c>
      <c r="H803" s="16">
        <v>7.9294</v>
      </c>
      <c r="I803" s="15"/>
      <c r="J803" s="15"/>
    </row>
    <row r="804">
      <c r="A804" s="18">
        <v>44656.0</v>
      </c>
      <c r="B804" s="16" t="s">
        <v>11135</v>
      </c>
      <c r="C804" s="16">
        <v>21.0</v>
      </c>
      <c r="D804" s="16" t="s">
        <v>10444</v>
      </c>
      <c r="E804" s="16" t="s">
        <v>707</v>
      </c>
      <c r="F804" s="16">
        <v>2012.0</v>
      </c>
      <c r="G804" s="16">
        <v>49.6531</v>
      </c>
      <c r="H804" s="16">
        <v>8.2972</v>
      </c>
      <c r="I804" s="15"/>
      <c r="J804" s="15"/>
    </row>
    <row r="805">
      <c r="A805" s="18">
        <v>44656.0</v>
      </c>
      <c r="B805" s="16" t="s">
        <v>11136</v>
      </c>
      <c r="C805" s="16">
        <v>22.0</v>
      </c>
      <c r="D805" s="16" t="s">
        <v>10444</v>
      </c>
      <c r="E805" s="16" t="s">
        <v>707</v>
      </c>
      <c r="F805" s="16">
        <v>2004.0</v>
      </c>
      <c r="G805" s="16">
        <v>52.8719</v>
      </c>
      <c r="H805" s="16">
        <v>10.0405</v>
      </c>
      <c r="I805" s="15"/>
      <c r="J805" s="15"/>
    </row>
    <row r="806">
      <c r="A806" s="18">
        <v>44656.0</v>
      </c>
      <c r="B806" s="16" t="s">
        <v>11137</v>
      </c>
      <c r="C806" s="16">
        <v>11.0</v>
      </c>
      <c r="D806" s="16" t="s">
        <v>10444</v>
      </c>
      <c r="E806" s="16" t="s">
        <v>707</v>
      </c>
      <c r="F806" s="16">
        <v>2005.0</v>
      </c>
      <c r="G806" s="16">
        <v>50.3531</v>
      </c>
      <c r="H806" s="16">
        <v>9.2808</v>
      </c>
      <c r="I806" s="15"/>
      <c r="J806" s="15"/>
    </row>
    <row r="807">
      <c r="A807" s="18">
        <v>45372.0</v>
      </c>
      <c r="B807" s="16" t="s">
        <v>11138</v>
      </c>
      <c r="C807" s="16">
        <v>17.0</v>
      </c>
      <c r="D807" s="16" t="s">
        <v>10444</v>
      </c>
      <c r="E807" s="16" t="s">
        <v>707</v>
      </c>
      <c r="F807" s="16">
        <v>2020.0</v>
      </c>
      <c r="G807" s="16">
        <v>51.5298</v>
      </c>
      <c r="H807" s="16">
        <v>8.8268</v>
      </c>
      <c r="I807" s="15"/>
      <c r="J807" s="15"/>
    </row>
    <row r="808">
      <c r="A808" s="18">
        <v>44656.0</v>
      </c>
      <c r="B808" s="16" t="s">
        <v>11139</v>
      </c>
      <c r="C808" s="16">
        <v>13.0</v>
      </c>
      <c r="D808" s="16" t="s">
        <v>10444</v>
      </c>
      <c r="E808" s="16" t="s">
        <v>707</v>
      </c>
      <c r="F808" s="16">
        <v>2004.0</v>
      </c>
      <c r="G808" s="16">
        <v>52.0139</v>
      </c>
      <c r="H808" s="16">
        <v>9.5326</v>
      </c>
      <c r="I808" s="15"/>
      <c r="J808" s="15"/>
    </row>
    <row r="809">
      <c r="A809" s="18">
        <v>44656.0</v>
      </c>
      <c r="B809" s="16" t="s">
        <v>11140</v>
      </c>
      <c r="C809" s="16">
        <v>12.0</v>
      </c>
      <c r="D809" s="16" t="s">
        <v>10444</v>
      </c>
      <c r="E809" s="16" t="s">
        <v>707</v>
      </c>
      <c r="F809" s="16">
        <v>2002.0</v>
      </c>
      <c r="G809" s="16">
        <v>51.0851</v>
      </c>
      <c r="H809" s="16">
        <v>13.3569</v>
      </c>
      <c r="I809" s="15"/>
      <c r="J809" s="15"/>
    </row>
    <row r="810">
      <c r="A810" s="18">
        <v>44656.0</v>
      </c>
      <c r="B810" s="16" t="s">
        <v>11141</v>
      </c>
      <c r="C810" s="16">
        <v>15.0</v>
      </c>
      <c r="D810" s="16" t="s">
        <v>10444</v>
      </c>
      <c r="E810" s="16" t="s">
        <v>707</v>
      </c>
      <c r="F810" s="16">
        <v>2000.0</v>
      </c>
      <c r="G810" s="16">
        <v>53.4344</v>
      </c>
      <c r="H810" s="16">
        <v>8.0345</v>
      </c>
      <c r="I810" s="15"/>
      <c r="J810" s="15"/>
    </row>
    <row r="811">
      <c r="A811" s="18">
        <v>44656.0</v>
      </c>
      <c r="B811" s="16" t="s">
        <v>11142</v>
      </c>
      <c r="C811" s="16">
        <v>10.0</v>
      </c>
      <c r="D811" s="16" t="s">
        <v>10444</v>
      </c>
      <c r="E811" s="16" t="s">
        <v>707</v>
      </c>
      <c r="F811" s="16">
        <v>2008.0</v>
      </c>
      <c r="G811" s="16">
        <v>51.0191</v>
      </c>
      <c r="H811" s="16">
        <v>8.1289</v>
      </c>
      <c r="I811" s="15"/>
      <c r="J811" s="15"/>
    </row>
    <row r="812">
      <c r="A812" s="18">
        <v>44656.0</v>
      </c>
      <c r="B812" s="16" t="s">
        <v>11143</v>
      </c>
      <c r="C812" s="16">
        <v>23.0</v>
      </c>
      <c r="D812" s="16" t="s">
        <v>10444</v>
      </c>
      <c r="E812" s="16" t="s">
        <v>707</v>
      </c>
      <c r="F812" s="16">
        <v>2009.0</v>
      </c>
      <c r="G812" s="16">
        <v>54.2162</v>
      </c>
      <c r="H812" s="16">
        <v>8.8599</v>
      </c>
      <c r="I812" s="15"/>
      <c r="J812" s="15"/>
    </row>
    <row r="813">
      <c r="A813" s="18">
        <v>44656.0</v>
      </c>
      <c r="B813" s="16" t="s">
        <v>11144</v>
      </c>
      <c r="C813" s="16">
        <v>15.0</v>
      </c>
      <c r="D813" s="16" t="s">
        <v>10444</v>
      </c>
      <c r="E813" s="16" t="s">
        <v>707</v>
      </c>
      <c r="F813" s="16">
        <v>2015.0</v>
      </c>
      <c r="G813" s="16">
        <v>50.8033</v>
      </c>
      <c r="H813" s="16">
        <v>8.5053</v>
      </c>
      <c r="I813" s="15"/>
      <c r="J813" s="15"/>
    </row>
    <row r="814">
      <c r="A814" s="18">
        <v>45027.0</v>
      </c>
      <c r="B814" s="16" t="s">
        <v>11145</v>
      </c>
      <c r="C814" s="16">
        <v>13.0</v>
      </c>
      <c r="D814" s="16" t="s">
        <v>10444</v>
      </c>
      <c r="E814" s="16" t="s">
        <v>707</v>
      </c>
      <c r="F814" s="16">
        <v>2021.0</v>
      </c>
      <c r="G814" s="16">
        <v>54.0083</v>
      </c>
      <c r="H814" s="16">
        <v>9.0953</v>
      </c>
      <c r="I814" s="15"/>
      <c r="J814" s="15"/>
    </row>
    <row r="815">
      <c r="A815" s="18">
        <v>44656.0</v>
      </c>
      <c r="B815" s="16" t="s">
        <v>11146</v>
      </c>
      <c r="C815" s="16">
        <v>14.0</v>
      </c>
      <c r="D815" s="16" t="s">
        <v>10444</v>
      </c>
      <c r="E815" s="16" t="s">
        <v>707</v>
      </c>
      <c r="F815" s="16">
        <v>2015.0</v>
      </c>
      <c r="G815" s="16">
        <v>49.4319</v>
      </c>
      <c r="H815" s="16">
        <v>7.2088</v>
      </c>
      <c r="I815" s="15"/>
      <c r="J815" s="15"/>
    </row>
    <row r="816">
      <c r="A816" s="18">
        <v>44656.0</v>
      </c>
      <c r="B816" s="16" t="s">
        <v>11147</v>
      </c>
      <c r="C816" s="16">
        <v>12.0</v>
      </c>
      <c r="D816" s="16" t="s">
        <v>10444</v>
      </c>
      <c r="E816" s="16" t="s">
        <v>707</v>
      </c>
      <c r="F816" s="16">
        <v>2017.0</v>
      </c>
      <c r="G816" s="16">
        <v>53.4362</v>
      </c>
      <c r="H816" s="16">
        <v>7.1921</v>
      </c>
      <c r="I816" s="15"/>
      <c r="J816" s="15"/>
    </row>
    <row r="817">
      <c r="A817" s="18">
        <v>44656.0</v>
      </c>
      <c r="B817" s="16" t="s">
        <v>11148</v>
      </c>
      <c r="C817" s="16">
        <v>10.0</v>
      </c>
      <c r="D817" s="16" t="s">
        <v>10444</v>
      </c>
      <c r="E817" s="16" t="s">
        <v>707</v>
      </c>
      <c r="F817" s="16">
        <v>2017.0</v>
      </c>
      <c r="G817" s="16">
        <v>50.4341</v>
      </c>
      <c r="H817" s="16">
        <v>9.4771</v>
      </c>
      <c r="I817" s="15"/>
      <c r="J817" s="15"/>
    </row>
    <row r="818">
      <c r="A818" s="18">
        <v>44656.0</v>
      </c>
      <c r="B818" s="16" t="s">
        <v>11148</v>
      </c>
      <c r="C818" s="16">
        <v>17.0</v>
      </c>
      <c r="D818" s="16" t="s">
        <v>10444</v>
      </c>
      <c r="E818" s="16" t="s">
        <v>707</v>
      </c>
      <c r="F818" s="16">
        <v>2018.0</v>
      </c>
      <c r="G818" s="16">
        <v>50.4341</v>
      </c>
      <c r="H818" s="16">
        <v>9.4771</v>
      </c>
      <c r="I818" s="15"/>
      <c r="J818" s="15"/>
    </row>
    <row r="819">
      <c r="A819" s="18">
        <v>44656.0</v>
      </c>
      <c r="B819" s="16" t="s">
        <v>11149</v>
      </c>
      <c r="C819" s="16">
        <v>12.0</v>
      </c>
      <c r="D819" s="16" t="s">
        <v>10444</v>
      </c>
      <c r="E819" s="16" t="s">
        <v>707</v>
      </c>
      <c r="F819" s="16">
        <v>1999.0</v>
      </c>
      <c r="G819" s="16">
        <v>50.3417</v>
      </c>
      <c r="H819" s="16">
        <v>6.4264</v>
      </c>
      <c r="I819" s="15"/>
      <c r="J819" s="15"/>
    </row>
    <row r="820">
      <c r="A820" s="18">
        <v>44656.0</v>
      </c>
      <c r="B820" s="16" t="s">
        <v>11150</v>
      </c>
      <c r="C820" s="16">
        <v>12.0</v>
      </c>
      <c r="D820" s="16" t="s">
        <v>10444</v>
      </c>
      <c r="E820" s="16" t="s">
        <v>707</v>
      </c>
      <c r="F820" s="15"/>
      <c r="G820" s="16">
        <v>50.3776</v>
      </c>
      <c r="H820" s="16">
        <v>11.9591</v>
      </c>
      <c r="I820" s="15"/>
      <c r="J820" s="15"/>
    </row>
    <row r="821">
      <c r="A821" s="18">
        <v>44656.0</v>
      </c>
      <c r="B821" s="16" t="s">
        <v>11150</v>
      </c>
      <c r="C821" s="16">
        <v>15.0</v>
      </c>
      <c r="D821" s="16" t="s">
        <v>10444</v>
      </c>
      <c r="E821" s="16" t="s">
        <v>707</v>
      </c>
      <c r="F821" s="15"/>
      <c r="G821" s="16">
        <v>50.3867</v>
      </c>
      <c r="H821" s="16">
        <v>11.9733</v>
      </c>
      <c r="I821" s="15"/>
      <c r="J821" s="15"/>
    </row>
    <row r="822">
      <c r="A822" s="18">
        <v>44656.0</v>
      </c>
      <c r="B822" s="16" t="s">
        <v>11151</v>
      </c>
      <c r="C822" s="16">
        <v>10.0</v>
      </c>
      <c r="D822" s="16" t="s">
        <v>10444</v>
      </c>
      <c r="E822" s="16" t="s">
        <v>707</v>
      </c>
      <c r="F822" s="16">
        <v>2012.0</v>
      </c>
      <c r="G822" s="16">
        <v>51.0329</v>
      </c>
      <c r="H822" s="16">
        <v>10.6377</v>
      </c>
      <c r="I822" s="15"/>
      <c r="J822" s="15"/>
    </row>
    <row r="823">
      <c r="A823" s="18">
        <v>44656.0</v>
      </c>
      <c r="B823" s="16" t="s">
        <v>11151</v>
      </c>
      <c r="C823" s="16">
        <v>17.0</v>
      </c>
      <c r="D823" s="16" t="s">
        <v>10444</v>
      </c>
      <c r="E823" s="16" t="s">
        <v>707</v>
      </c>
      <c r="F823" s="16">
        <v>2014.0</v>
      </c>
      <c r="G823" s="16">
        <v>51.0329</v>
      </c>
      <c r="H823" s="16">
        <v>10.6377</v>
      </c>
      <c r="I823" s="15"/>
      <c r="J823" s="15"/>
    </row>
    <row r="824">
      <c r="A824" s="18">
        <v>44656.0</v>
      </c>
      <c r="B824" s="16" t="s">
        <v>11152</v>
      </c>
      <c r="C824" s="16">
        <v>18.0</v>
      </c>
      <c r="D824" s="16" t="s">
        <v>10444</v>
      </c>
      <c r="E824" s="16" t="s">
        <v>707</v>
      </c>
      <c r="F824" s="16">
        <v>2012.0</v>
      </c>
      <c r="G824" s="16">
        <v>50.2353</v>
      </c>
      <c r="H824" s="16">
        <v>11.8403</v>
      </c>
      <c r="I824" s="15"/>
      <c r="J824" s="15"/>
    </row>
    <row r="825">
      <c r="A825" s="18">
        <v>45370.0</v>
      </c>
      <c r="B825" s="16" t="s">
        <v>11153</v>
      </c>
      <c r="C825" s="16">
        <v>17.0</v>
      </c>
      <c r="D825" s="16" t="s">
        <v>10444</v>
      </c>
      <c r="E825" s="16" t="s">
        <v>707</v>
      </c>
      <c r="F825" s="16">
        <v>2022.0</v>
      </c>
      <c r="G825" s="16">
        <v>52.4711</v>
      </c>
      <c r="H825" s="16">
        <v>8.8863</v>
      </c>
      <c r="I825" s="15"/>
      <c r="J825" s="15"/>
    </row>
    <row r="826">
      <c r="A826" s="18">
        <v>44998.0</v>
      </c>
      <c r="B826" s="16" t="s">
        <v>11154</v>
      </c>
      <c r="C826" s="16">
        <v>18.0</v>
      </c>
      <c r="D826" s="16" t="s">
        <v>10444</v>
      </c>
      <c r="E826" s="16" t="s">
        <v>707</v>
      </c>
      <c r="F826" s="16">
        <v>2018.0</v>
      </c>
      <c r="G826" s="16">
        <v>53.6278</v>
      </c>
      <c r="H826" s="16">
        <v>7.1609</v>
      </c>
      <c r="I826" s="15"/>
      <c r="J826" s="15"/>
    </row>
    <row r="827">
      <c r="A827" s="18">
        <v>44656.0</v>
      </c>
      <c r="B827" s="16" t="s">
        <v>11155</v>
      </c>
      <c r="C827" s="16">
        <v>497.0</v>
      </c>
      <c r="D827" s="16" t="s">
        <v>10462</v>
      </c>
      <c r="E827" s="16" t="s">
        <v>707</v>
      </c>
      <c r="F827" s="16">
        <v>2019.0</v>
      </c>
      <c r="G827" s="16">
        <v>54.4393</v>
      </c>
      <c r="H827" s="16">
        <v>6.3327</v>
      </c>
      <c r="I827" s="15"/>
      <c r="J827" s="15"/>
    </row>
    <row r="828">
      <c r="A828" s="18">
        <v>44656.0</v>
      </c>
      <c r="B828" s="16" t="s">
        <v>11156</v>
      </c>
      <c r="C828" s="16">
        <v>14.0</v>
      </c>
      <c r="D828" s="16" t="s">
        <v>10444</v>
      </c>
      <c r="E828" s="16" t="s">
        <v>707</v>
      </c>
      <c r="F828" s="16">
        <v>2007.0</v>
      </c>
      <c r="G828" s="16">
        <v>51.8801</v>
      </c>
      <c r="H828" s="16">
        <v>11.6548</v>
      </c>
      <c r="I828" s="15"/>
      <c r="J828" s="15"/>
    </row>
    <row r="829">
      <c r="A829" s="18">
        <v>44656.0</v>
      </c>
      <c r="B829" s="16" t="s">
        <v>11156</v>
      </c>
      <c r="C829" s="16">
        <v>13.0</v>
      </c>
      <c r="D829" s="16" t="s">
        <v>10444</v>
      </c>
      <c r="E829" s="16" t="s">
        <v>707</v>
      </c>
      <c r="F829" s="16">
        <v>2011.0</v>
      </c>
      <c r="G829" s="16">
        <v>51.8754</v>
      </c>
      <c r="H829" s="16">
        <v>11.6552</v>
      </c>
      <c r="I829" s="15"/>
      <c r="J829" s="15"/>
    </row>
    <row r="830">
      <c r="A830" s="18">
        <v>44656.0</v>
      </c>
      <c r="B830" s="16" t="s">
        <v>11157</v>
      </c>
      <c r="C830" s="16">
        <v>12.0</v>
      </c>
      <c r="D830" s="16" t="s">
        <v>10444</v>
      </c>
      <c r="E830" s="16" t="s">
        <v>707</v>
      </c>
      <c r="F830" s="16">
        <v>2017.0</v>
      </c>
      <c r="G830" s="16">
        <v>53.2532</v>
      </c>
      <c r="H830" s="16">
        <v>7.4267</v>
      </c>
      <c r="I830" s="15"/>
      <c r="J830" s="15"/>
    </row>
    <row r="831">
      <c r="A831" s="18">
        <v>44656.0</v>
      </c>
      <c r="B831" s="16" t="s">
        <v>11158</v>
      </c>
      <c r="C831" s="16">
        <v>75.0</v>
      </c>
      <c r="D831" s="16" t="s">
        <v>10444</v>
      </c>
      <c r="E831" s="16" t="s">
        <v>707</v>
      </c>
      <c r="F831" s="16">
        <v>2014.0</v>
      </c>
      <c r="G831" s="16">
        <v>53.9804</v>
      </c>
      <c r="H831" s="16">
        <v>11.942</v>
      </c>
      <c r="I831" s="15"/>
      <c r="J831" s="15"/>
    </row>
    <row r="832">
      <c r="A832" s="18">
        <v>44656.0</v>
      </c>
      <c r="B832" s="16" t="s">
        <v>11159</v>
      </c>
      <c r="C832" s="16">
        <v>21.0</v>
      </c>
      <c r="D832" s="16" t="s">
        <v>10444</v>
      </c>
      <c r="E832" s="16" t="s">
        <v>707</v>
      </c>
      <c r="F832" s="16">
        <v>2001.0</v>
      </c>
      <c r="G832" s="16">
        <v>53.62</v>
      </c>
      <c r="H832" s="16">
        <v>11.9047</v>
      </c>
      <c r="I832" s="15"/>
      <c r="J832" s="15"/>
    </row>
    <row r="833">
      <c r="A833" s="18">
        <v>44656.0</v>
      </c>
      <c r="B833" s="16" t="s">
        <v>11160</v>
      </c>
      <c r="C833" s="16">
        <v>17.0</v>
      </c>
      <c r="D833" s="16" t="s">
        <v>10444</v>
      </c>
      <c r="E833" s="16" t="s">
        <v>707</v>
      </c>
      <c r="F833" s="16">
        <v>2013.0</v>
      </c>
      <c r="G833" s="16">
        <v>50.6358</v>
      </c>
      <c r="H833" s="16">
        <v>8.499</v>
      </c>
      <c r="I833" s="15"/>
      <c r="J833" s="15"/>
    </row>
    <row r="834">
      <c r="A834" s="18">
        <v>44656.0</v>
      </c>
      <c r="B834" s="16" t="s">
        <v>11161</v>
      </c>
      <c r="C834" s="16">
        <v>14.0</v>
      </c>
      <c r="D834" s="16" t="s">
        <v>10444</v>
      </c>
      <c r="E834" s="16" t="s">
        <v>707</v>
      </c>
      <c r="F834" s="16">
        <v>2004.0</v>
      </c>
      <c r="G834" s="16">
        <v>53.1693</v>
      </c>
      <c r="H834" s="16">
        <v>14.2287</v>
      </c>
      <c r="I834" s="15"/>
      <c r="J834" s="15"/>
    </row>
    <row r="835">
      <c r="A835" s="18">
        <v>44656.0</v>
      </c>
      <c r="B835" s="16" t="s">
        <v>11162</v>
      </c>
      <c r="C835" s="16">
        <v>11.0</v>
      </c>
      <c r="D835" s="16" t="s">
        <v>10444</v>
      </c>
      <c r="E835" s="16" t="s">
        <v>707</v>
      </c>
      <c r="F835" s="15"/>
      <c r="G835" s="16">
        <v>53.2248</v>
      </c>
      <c r="H835" s="16">
        <v>13.9668</v>
      </c>
      <c r="I835" s="15"/>
      <c r="J835" s="15"/>
    </row>
    <row r="836">
      <c r="A836" s="18">
        <v>44656.0</v>
      </c>
      <c r="B836" s="16" t="s">
        <v>11162</v>
      </c>
      <c r="C836" s="16">
        <v>19.0</v>
      </c>
      <c r="D836" s="16" t="s">
        <v>10444</v>
      </c>
      <c r="E836" s="16" t="s">
        <v>707</v>
      </c>
      <c r="F836" s="16">
        <v>2017.0</v>
      </c>
      <c r="G836" s="16">
        <v>53.1333</v>
      </c>
      <c r="H836" s="16">
        <v>13.5775</v>
      </c>
      <c r="I836" s="15"/>
      <c r="J836" s="15"/>
    </row>
    <row r="837">
      <c r="A837" s="18">
        <v>44656.0</v>
      </c>
      <c r="B837" s="16" t="s">
        <v>11163</v>
      </c>
      <c r="C837" s="16">
        <v>17.0</v>
      </c>
      <c r="D837" s="16" t="s">
        <v>10444</v>
      </c>
      <c r="E837" s="16" t="s">
        <v>707</v>
      </c>
      <c r="F837" s="16">
        <v>2021.0</v>
      </c>
      <c r="G837" s="16">
        <v>48.3248</v>
      </c>
      <c r="H837" s="16">
        <v>8.1882</v>
      </c>
      <c r="I837" s="15"/>
      <c r="J837" s="15"/>
    </row>
    <row r="838">
      <c r="A838" s="18">
        <v>44656.0</v>
      </c>
      <c r="B838" s="16" t="s">
        <v>11164</v>
      </c>
      <c r="C838" s="16">
        <v>29.0</v>
      </c>
      <c r="D838" s="16" t="s">
        <v>10444</v>
      </c>
      <c r="E838" s="16" t="s">
        <v>707</v>
      </c>
      <c r="F838" s="16">
        <v>2014.0</v>
      </c>
      <c r="G838" s="16">
        <v>51.1508</v>
      </c>
      <c r="H838" s="16">
        <v>12.0619</v>
      </c>
      <c r="I838" s="15"/>
      <c r="J838" s="15"/>
    </row>
    <row r="839">
      <c r="A839" s="18">
        <v>45358.0</v>
      </c>
      <c r="B839" s="16" t="s">
        <v>11165</v>
      </c>
      <c r="C839" s="16">
        <v>23.0</v>
      </c>
      <c r="D839" s="16" t="s">
        <v>10444</v>
      </c>
      <c r="E839" s="16" t="s">
        <v>707</v>
      </c>
      <c r="F839" s="16">
        <v>2023.0</v>
      </c>
      <c r="G839" s="16">
        <v>50.8036</v>
      </c>
      <c r="H839" s="16">
        <v>9.9462</v>
      </c>
      <c r="I839" s="15"/>
      <c r="J839" s="15"/>
    </row>
    <row r="840">
      <c r="A840" s="18">
        <v>44656.0</v>
      </c>
      <c r="B840" s="16" t="s">
        <v>11166</v>
      </c>
      <c r="C840" s="16">
        <v>16.0</v>
      </c>
      <c r="D840" s="16" t="s">
        <v>10444</v>
      </c>
      <c r="E840" s="16" t="s">
        <v>707</v>
      </c>
      <c r="F840" s="16">
        <v>2002.0</v>
      </c>
      <c r="G840" s="16">
        <v>51.899</v>
      </c>
      <c r="H840" s="16">
        <v>13.3215</v>
      </c>
      <c r="I840" s="15"/>
      <c r="J840" s="15"/>
    </row>
    <row r="841">
      <c r="A841" s="18">
        <v>44656.0</v>
      </c>
      <c r="B841" s="16" t="s">
        <v>11166</v>
      </c>
      <c r="C841" s="16">
        <v>10.0</v>
      </c>
      <c r="D841" s="16" t="s">
        <v>10444</v>
      </c>
      <c r="E841" s="16" t="s">
        <v>707</v>
      </c>
      <c r="F841" s="16">
        <v>2015.0</v>
      </c>
      <c r="G841" s="16">
        <v>51.8977</v>
      </c>
      <c r="H841" s="16">
        <v>13.3246</v>
      </c>
      <c r="I841" s="15"/>
      <c r="J841" s="15"/>
    </row>
    <row r="842">
      <c r="A842" s="18">
        <v>44656.0</v>
      </c>
      <c r="B842" s="16" t="s">
        <v>11167</v>
      </c>
      <c r="C842" s="16">
        <v>10.0</v>
      </c>
      <c r="D842" s="16" t="s">
        <v>10444</v>
      </c>
      <c r="E842" s="16" t="s">
        <v>707</v>
      </c>
      <c r="F842" s="16">
        <v>2006.0</v>
      </c>
      <c r="G842" s="16">
        <v>52.2864</v>
      </c>
      <c r="H842" s="16">
        <v>14.4199</v>
      </c>
      <c r="I842" s="15"/>
      <c r="J842" s="15"/>
    </row>
    <row r="843">
      <c r="A843" s="18">
        <v>44656.0</v>
      </c>
      <c r="B843" s="16" t="s">
        <v>11168</v>
      </c>
      <c r="C843" s="16">
        <v>19.0</v>
      </c>
      <c r="D843" s="16" t="s">
        <v>10444</v>
      </c>
      <c r="E843" s="16" t="s">
        <v>707</v>
      </c>
      <c r="F843" s="16">
        <v>2015.0</v>
      </c>
      <c r="G843" s="16">
        <v>50.2387</v>
      </c>
      <c r="H843" s="16">
        <v>11.8421</v>
      </c>
      <c r="I843" s="15"/>
      <c r="J843" s="15"/>
    </row>
    <row r="844">
      <c r="A844" s="18">
        <v>44986.0</v>
      </c>
      <c r="B844" s="16" t="s">
        <v>11169</v>
      </c>
      <c r="C844" s="16">
        <v>17.0</v>
      </c>
      <c r="D844" s="16" t="s">
        <v>10444</v>
      </c>
      <c r="E844" s="16" t="s">
        <v>707</v>
      </c>
      <c r="F844" s="16">
        <v>2021.0</v>
      </c>
      <c r="G844" s="16">
        <v>52.0987</v>
      </c>
      <c r="H844" s="16">
        <v>12.8078</v>
      </c>
      <c r="I844" s="15"/>
      <c r="J844" s="15"/>
    </row>
    <row r="845">
      <c r="A845" s="18">
        <v>44991.0</v>
      </c>
      <c r="B845" s="16" t="s">
        <v>11170</v>
      </c>
      <c r="C845" s="16">
        <v>11.0</v>
      </c>
      <c r="D845" s="16" t="s">
        <v>10444</v>
      </c>
      <c r="E845" s="16" t="s">
        <v>707</v>
      </c>
      <c r="F845" s="16">
        <v>2016.0</v>
      </c>
      <c r="G845" s="16">
        <v>52.0972</v>
      </c>
      <c r="H845" s="16">
        <v>12.788</v>
      </c>
      <c r="I845" s="15"/>
      <c r="J845" s="15"/>
    </row>
    <row r="846">
      <c r="A846" s="18">
        <v>44991.0</v>
      </c>
      <c r="B846" s="16" t="s">
        <v>11170</v>
      </c>
      <c r="C846" s="16">
        <v>15.0</v>
      </c>
      <c r="D846" s="16" t="s">
        <v>10444</v>
      </c>
      <c r="E846" s="16" t="s">
        <v>707</v>
      </c>
      <c r="F846" s="16">
        <v>2015.0</v>
      </c>
      <c r="G846" s="16">
        <v>52.0925</v>
      </c>
      <c r="H846" s="16">
        <v>12.7796</v>
      </c>
      <c r="I846" s="15"/>
      <c r="J846" s="15"/>
    </row>
    <row r="847">
      <c r="A847" s="18">
        <v>44656.0</v>
      </c>
      <c r="B847" s="16" t="s">
        <v>11171</v>
      </c>
      <c r="C847" s="16">
        <v>22.0</v>
      </c>
      <c r="D847" s="16" t="s">
        <v>10444</v>
      </c>
      <c r="E847" s="16" t="s">
        <v>707</v>
      </c>
      <c r="F847" s="16">
        <v>2018.0</v>
      </c>
      <c r="G847" s="16">
        <v>51.6038</v>
      </c>
      <c r="H847" s="16">
        <v>10.1584</v>
      </c>
      <c r="I847" s="15"/>
      <c r="J847" s="15"/>
    </row>
    <row r="848">
      <c r="A848" s="18">
        <v>44656.0</v>
      </c>
      <c r="B848" s="16" t="s">
        <v>11172</v>
      </c>
      <c r="C848" s="16">
        <v>12.0</v>
      </c>
      <c r="D848" s="16" t="s">
        <v>10444</v>
      </c>
      <c r="E848" s="16" t="s">
        <v>707</v>
      </c>
      <c r="F848" s="16">
        <v>2003.0</v>
      </c>
      <c r="G848" s="16">
        <v>53.1382</v>
      </c>
      <c r="H848" s="16">
        <v>8.3827</v>
      </c>
      <c r="I848" s="15"/>
      <c r="J848" s="15"/>
    </row>
    <row r="849">
      <c r="A849" s="18">
        <v>45027.0</v>
      </c>
      <c r="B849" s="16" t="s">
        <v>11172</v>
      </c>
      <c r="C849" s="16">
        <v>16.0</v>
      </c>
      <c r="D849" s="16" t="s">
        <v>10444</v>
      </c>
      <c r="E849" s="16" t="s">
        <v>707</v>
      </c>
      <c r="F849" s="16">
        <v>2012.0</v>
      </c>
      <c r="G849" s="16">
        <v>53.1386</v>
      </c>
      <c r="H849" s="16">
        <v>8.3679</v>
      </c>
      <c r="I849" s="15"/>
      <c r="J849" s="15"/>
    </row>
    <row r="850">
      <c r="A850" s="18">
        <v>44656.0</v>
      </c>
      <c r="B850" s="16" t="s">
        <v>11173</v>
      </c>
      <c r="C850" s="16">
        <v>26.0</v>
      </c>
      <c r="D850" s="16" t="s">
        <v>10444</v>
      </c>
      <c r="E850" s="16" t="s">
        <v>707</v>
      </c>
      <c r="F850" s="16">
        <v>2005.0</v>
      </c>
      <c r="G850" s="16">
        <v>51.415</v>
      </c>
      <c r="H850" s="16">
        <v>11.8706</v>
      </c>
      <c r="I850" s="15"/>
      <c r="J850" s="15"/>
    </row>
    <row r="851">
      <c r="A851" s="18">
        <v>45358.0</v>
      </c>
      <c r="B851" s="16" t="s">
        <v>11174</v>
      </c>
      <c r="C851" s="16">
        <v>29.0</v>
      </c>
      <c r="D851" s="16" t="s">
        <v>10444</v>
      </c>
      <c r="E851" s="16" t="s">
        <v>707</v>
      </c>
      <c r="F851" s="16">
        <v>2023.0</v>
      </c>
      <c r="G851" s="16">
        <v>52.481</v>
      </c>
      <c r="H851" s="16">
        <v>7.6638</v>
      </c>
      <c r="I851" s="15"/>
      <c r="J851" s="15"/>
    </row>
    <row r="852">
      <c r="A852" s="18">
        <v>45358.0</v>
      </c>
      <c r="B852" s="16" t="s">
        <v>11175</v>
      </c>
      <c r="C852" s="16">
        <v>17.0</v>
      </c>
      <c r="D852" s="16" t="s">
        <v>10444</v>
      </c>
      <c r="E852" s="16" t="s">
        <v>707</v>
      </c>
      <c r="F852" s="16">
        <v>2023.0</v>
      </c>
      <c r="G852" s="16">
        <v>53.3584</v>
      </c>
      <c r="H852" s="16">
        <v>9.6861</v>
      </c>
      <c r="I852" s="15"/>
      <c r="J852" s="15"/>
    </row>
    <row r="853">
      <c r="A853" s="18">
        <v>44656.0</v>
      </c>
      <c r="B853" s="16" t="s">
        <v>11176</v>
      </c>
      <c r="C853" s="16">
        <v>24.0</v>
      </c>
      <c r="D853" s="16" t="s">
        <v>10444</v>
      </c>
      <c r="E853" s="16" t="s">
        <v>707</v>
      </c>
      <c r="F853" s="16">
        <v>2015.0</v>
      </c>
      <c r="G853" s="16">
        <v>52.1822</v>
      </c>
      <c r="H853" s="16">
        <v>7.3956</v>
      </c>
      <c r="I853" s="15"/>
      <c r="J853" s="15"/>
    </row>
    <row r="854">
      <c r="A854" s="18">
        <v>44656.0</v>
      </c>
      <c r="B854" s="16" t="s">
        <v>11176</v>
      </c>
      <c r="C854" s="16">
        <v>24.0</v>
      </c>
      <c r="D854" s="16" t="s">
        <v>10444</v>
      </c>
      <c r="E854" s="16" t="s">
        <v>707</v>
      </c>
      <c r="F854" s="16">
        <v>2016.0</v>
      </c>
      <c r="G854" s="16">
        <v>52.1512</v>
      </c>
      <c r="H854" s="16">
        <v>7.281</v>
      </c>
      <c r="I854" s="15"/>
      <c r="J854" s="15"/>
    </row>
    <row r="855">
      <c r="A855" s="18">
        <v>44656.0</v>
      </c>
      <c r="B855" s="16" t="s">
        <v>11177</v>
      </c>
      <c r="C855" s="16">
        <v>17.0</v>
      </c>
      <c r="D855" s="16" t="s">
        <v>10444</v>
      </c>
      <c r="E855" s="16" t="s">
        <v>707</v>
      </c>
      <c r="F855" s="16">
        <v>2002.0</v>
      </c>
      <c r="G855" s="16">
        <v>52.1788</v>
      </c>
      <c r="H855" s="16">
        <v>7.3812</v>
      </c>
      <c r="I855" s="15"/>
      <c r="J855" s="15"/>
    </row>
    <row r="856">
      <c r="A856" s="18">
        <v>44656.0</v>
      </c>
      <c r="B856" s="16" t="s">
        <v>11178</v>
      </c>
      <c r="C856" s="16">
        <v>10.0</v>
      </c>
      <c r="D856" s="16" t="s">
        <v>10444</v>
      </c>
      <c r="E856" s="16" t="s">
        <v>707</v>
      </c>
      <c r="F856" s="16">
        <v>2012.0</v>
      </c>
      <c r="G856" s="16">
        <v>52.8355</v>
      </c>
      <c r="H856" s="16">
        <v>9.5419</v>
      </c>
      <c r="I856" s="15"/>
      <c r="J856" s="15"/>
    </row>
    <row r="857">
      <c r="A857" s="18">
        <v>44656.0</v>
      </c>
      <c r="B857" s="16" t="s">
        <v>11179</v>
      </c>
      <c r="C857" s="16">
        <v>14.0</v>
      </c>
      <c r="D857" s="16" t="s">
        <v>10444</v>
      </c>
      <c r="E857" s="16" t="s">
        <v>707</v>
      </c>
      <c r="F857" s="16">
        <v>2004.0</v>
      </c>
      <c r="G857" s="16">
        <v>52.8708</v>
      </c>
      <c r="H857" s="16">
        <v>8.6735</v>
      </c>
      <c r="I857" s="15"/>
      <c r="J857" s="15"/>
    </row>
    <row r="858">
      <c r="A858" s="18">
        <v>44656.0</v>
      </c>
      <c r="B858" s="16" t="s">
        <v>11180</v>
      </c>
      <c r="C858" s="16">
        <v>46.0</v>
      </c>
      <c r="D858" s="16" t="s">
        <v>10444</v>
      </c>
      <c r="E858" s="16" t="s">
        <v>707</v>
      </c>
      <c r="F858" s="16">
        <v>2012.0</v>
      </c>
      <c r="G858" s="16">
        <v>53.6853</v>
      </c>
      <c r="H858" s="16">
        <v>8.6463</v>
      </c>
      <c r="I858" s="15"/>
      <c r="J858" s="15"/>
    </row>
    <row r="859">
      <c r="A859" s="18">
        <v>44656.0</v>
      </c>
      <c r="B859" s="16" t="s">
        <v>11181</v>
      </c>
      <c r="C859" s="16">
        <v>25.0</v>
      </c>
      <c r="D859" s="16" t="s">
        <v>10444</v>
      </c>
      <c r="E859" s="16" t="s">
        <v>707</v>
      </c>
      <c r="F859" s="16">
        <v>2006.0</v>
      </c>
      <c r="G859" s="16">
        <v>53.3809</v>
      </c>
      <c r="H859" s="16">
        <v>8.878</v>
      </c>
      <c r="I859" s="15"/>
      <c r="J859" s="15"/>
    </row>
    <row r="860">
      <c r="A860" s="18">
        <v>45358.0</v>
      </c>
      <c r="B860" s="16" t="s">
        <v>11182</v>
      </c>
      <c r="C860" s="16">
        <v>15.0</v>
      </c>
      <c r="D860" s="16" t="s">
        <v>10444</v>
      </c>
      <c r="E860" s="16" t="s">
        <v>707</v>
      </c>
      <c r="F860" s="16">
        <v>2023.0</v>
      </c>
      <c r="G860" s="16">
        <v>54.0564</v>
      </c>
      <c r="H860" s="16">
        <v>9.3402</v>
      </c>
      <c r="I860" s="15"/>
      <c r="J860" s="15"/>
    </row>
    <row r="861">
      <c r="A861" s="18">
        <v>45012.0</v>
      </c>
      <c r="B861" s="16" t="s">
        <v>11183</v>
      </c>
      <c r="C861" s="16">
        <v>13.0</v>
      </c>
      <c r="D861" s="16" t="s">
        <v>10444</v>
      </c>
      <c r="E861" s="16" t="s">
        <v>707</v>
      </c>
      <c r="F861" s="16">
        <v>2022.0</v>
      </c>
      <c r="G861" s="16">
        <v>54.1474</v>
      </c>
      <c r="H861" s="16">
        <v>9.438</v>
      </c>
      <c r="I861" s="15"/>
      <c r="J861" s="15"/>
    </row>
    <row r="862">
      <c r="A862" s="18">
        <v>45027.0</v>
      </c>
      <c r="B862" s="16" t="s">
        <v>11184</v>
      </c>
      <c r="C862" s="16">
        <v>13.0</v>
      </c>
      <c r="D862" s="16" t="s">
        <v>10444</v>
      </c>
      <c r="E862" s="16" t="s">
        <v>707</v>
      </c>
      <c r="F862" s="16">
        <v>2014.0</v>
      </c>
      <c r="G862" s="16">
        <v>54.816</v>
      </c>
      <c r="H862" s="16">
        <v>9.0942</v>
      </c>
      <c r="I862" s="15"/>
      <c r="J862" s="15"/>
    </row>
    <row r="863">
      <c r="A863" s="18">
        <v>45027.0</v>
      </c>
      <c r="B863" s="16" t="s">
        <v>11185</v>
      </c>
      <c r="C863" s="16">
        <v>13.0</v>
      </c>
      <c r="D863" s="16" t="s">
        <v>10444</v>
      </c>
      <c r="E863" s="16" t="s">
        <v>707</v>
      </c>
      <c r="F863" s="16">
        <v>2015.0</v>
      </c>
      <c r="G863" s="16">
        <v>54.792</v>
      </c>
      <c r="H863" s="16">
        <v>9.1348</v>
      </c>
      <c r="I863" s="15"/>
      <c r="J863" s="15"/>
    </row>
    <row r="864">
      <c r="A864" s="18">
        <v>45370.0</v>
      </c>
      <c r="B864" s="16" t="s">
        <v>11185</v>
      </c>
      <c r="C864" s="16">
        <v>19.0</v>
      </c>
      <c r="D864" s="16" t="s">
        <v>10444</v>
      </c>
      <c r="E864" s="16" t="s">
        <v>707</v>
      </c>
      <c r="F864" s="16">
        <v>2022.0</v>
      </c>
      <c r="G864" s="16">
        <v>54.7909</v>
      </c>
      <c r="H864" s="16">
        <v>9.1242</v>
      </c>
      <c r="I864" s="15"/>
      <c r="J864" s="15"/>
    </row>
    <row r="865">
      <c r="A865" s="18">
        <v>45358.0</v>
      </c>
      <c r="B865" s="16" t="s">
        <v>11186</v>
      </c>
      <c r="C865" s="16">
        <v>50.0</v>
      </c>
      <c r="D865" s="16" t="s">
        <v>10444</v>
      </c>
      <c r="E865" s="16" t="s">
        <v>707</v>
      </c>
      <c r="F865" s="16">
        <v>2024.0</v>
      </c>
      <c r="G865" s="16">
        <v>51.7999</v>
      </c>
      <c r="H865" s="16">
        <v>9.8085</v>
      </c>
      <c r="I865" s="15"/>
      <c r="J865" s="15"/>
    </row>
    <row r="866">
      <c r="A866" s="18">
        <v>44656.0</v>
      </c>
      <c r="B866" s="16" t="s">
        <v>11187</v>
      </c>
      <c r="C866" s="16">
        <v>15.0</v>
      </c>
      <c r="D866" s="16" t="s">
        <v>10444</v>
      </c>
      <c r="E866" s="16" t="s">
        <v>707</v>
      </c>
      <c r="F866" s="16">
        <v>2012.0</v>
      </c>
      <c r="G866" s="16">
        <v>53.2258</v>
      </c>
      <c r="H866" s="16">
        <v>7.3748</v>
      </c>
      <c r="I866" s="15"/>
      <c r="J866" s="15"/>
    </row>
    <row r="867">
      <c r="A867" s="18">
        <v>45002.0</v>
      </c>
      <c r="B867" s="16" t="s">
        <v>11188</v>
      </c>
      <c r="C867" s="16">
        <v>53.0</v>
      </c>
      <c r="D867" s="16" t="s">
        <v>10444</v>
      </c>
      <c r="E867" s="16" t="s">
        <v>707</v>
      </c>
      <c r="F867" s="16">
        <v>1998.0</v>
      </c>
      <c r="G867" s="16">
        <v>53.6</v>
      </c>
      <c r="H867" s="16">
        <v>7.45</v>
      </c>
      <c r="I867" s="15"/>
      <c r="J867" s="15"/>
    </row>
    <row r="868">
      <c r="A868" s="18">
        <v>44656.0</v>
      </c>
      <c r="B868" s="16" t="s">
        <v>11188</v>
      </c>
      <c r="C868" s="16">
        <v>32.0</v>
      </c>
      <c r="D868" s="16" t="s">
        <v>10444</v>
      </c>
      <c r="E868" s="16" t="s">
        <v>707</v>
      </c>
      <c r="F868" s="15"/>
      <c r="G868" s="16">
        <v>53.6179</v>
      </c>
      <c r="H868" s="16">
        <v>7.4487</v>
      </c>
      <c r="I868" s="15"/>
      <c r="J868" s="15"/>
    </row>
    <row r="869">
      <c r="A869" s="18">
        <v>44656.0</v>
      </c>
      <c r="B869" s="16" t="s">
        <v>11188</v>
      </c>
      <c r="C869" s="16">
        <v>14.0</v>
      </c>
      <c r="D869" s="16" t="s">
        <v>10444</v>
      </c>
      <c r="E869" s="16" t="s">
        <v>707</v>
      </c>
      <c r="F869" s="16">
        <v>2016.0</v>
      </c>
      <c r="G869" s="16">
        <v>53.6104</v>
      </c>
      <c r="H869" s="16">
        <v>7.4272</v>
      </c>
      <c r="I869" s="15"/>
      <c r="J869" s="15"/>
    </row>
    <row r="870">
      <c r="A870" s="18">
        <v>44656.0</v>
      </c>
      <c r="B870" s="16" t="s">
        <v>11188</v>
      </c>
      <c r="C870" s="16">
        <v>16.0</v>
      </c>
      <c r="D870" s="16" t="s">
        <v>10444</v>
      </c>
      <c r="E870" s="16" t="s">
        <v>707</v>
      </c>
      <c r="F870" s="15"/>
      <c r="G870" s="16">
        <v>53.6103</v>
      </c>
      <c r="H870" s="16">
        <v>7.4304</v>
      </c>
      <c r="I870" s="15"/>
      <c r="J870" s="15"/>
    </row>
    <row r="871">
      <c r="A871" s="18">
        <v>44656.0</v>
      </c>
      <c r="B871" s="16" t="s">
        <v>11189</v>
      </c>
      <c r="C871" s="16">
        <v>13.0</v>
      </c>
      <c r="D871" s="16" t="s">
        <v>10444</v>
      </c>
      <c r="E871" s="16" t="s">
        <v>707</v>
      </c>
      <c r="F871" s="16">
        <v>2014.0</v>
      </c>
      <c r="G871" s="16">
        <v>54.4243</v>
      </c>
      <c r="H871" s="16">
        <v>9.8588</v>
      </c>
      <c r="I871" s="15"/>
      <c r="J871" s="15"/>
    </row>
    <row r="872">
      <c r="A872" s="18">
        <v>44656.0</v>
      </c>
      <c r="B872" s="16" t="s">
        <v>11190</v>
      </c>
      <c r="C872" s="16">
        <v>13.0</v>
      </c>
      <c r="D872" s="16" t="s">
        <v>10444</v>
      </c>
      <c r="E872" s="16" t="s">
        <v>707</v>
      </c>
      <c r="F872" s="16">
        <v>2017.0</v>
      </c>
      <c r="G872" s="16">
        <v>51.9976</v>
      </c>
      <c r="H872" s="16">
        <v>7.0648</v>
      </c>
      <c r="I872" s="15"/>
      <c r="J872" s="15"/>
    </row>
    <row r="873">
      <c r="A873" s="18">
        <v>44656.0</v>
      </c>
      <c r="B873" s="16" t="s">
        <v>11191</v>
      </c>
      <c r="C873" s="16">
        <v>21.0</v>
      </c>
      <c r="D873" s="16" t="s">
        <v>10444</v>
      </c>
      <c r="E873" s="16" t="s">
        <v>707</v>
      </c>
      <c r="F873" s="16">
        <v>2014.0</v>
      </c>
      <c r="G873" s="16">
        <v>54.7188</v>
      </c>
      <c r="H873" s="16">
        <v>9.0528</v>
      </c>
      <c r="I873" s="15"/>
      <c r="J873" s="15"/>
    </row>
    <row r="874">
      <c r="A874" s="18">
        <v>44656.0</v>
      </c>
      <c r="B874" s="16" t="s">
        <v>11192</v>
      </c>
      <c r="C874" s="16">
        <v>30.0</v>
      </c>
      <c r="D874" s="16" t="s">
        <v>10444</v>
      </c>
      <c r="E874" s="16" t="s">
        <v>707</v>
      </c>
      <c r="F874" s="16">
        <v>2005.0</v>
      </c>
      <c r="G874" s="16">
        <v>50.2182</v>
      </c>
      <c r="H874" s="16">
        <v>7.8898</v>
      </c>
      <c r="I874" s="15"/>
      <c r="J874" s="15"/>
    </row>
    <row r="875">
      <c r="A875" s="18">
        <v>44656.0</v>
      </c>
      <c r="B875" s="16" t="s">
        <v>11192</v>
      </c>
      <c r="C875" s="16">
        <v>12.0</v>
      </c>
      <c r="D875" s="16" t="s">
        <v>10444</v>
      </c>
      <c r="E875" s="16" t="s">
        <v>707</v>
      </c>
      <c r="F875" s="16">
        <v>2008.0</v>
      </c>
      <c r="G875" s="16">
        <v>52.905</v>
      </c>
      <c r="H875" s="16">
        <v>12.3752</v>
      </c>
      <c r="I875" s="15"/>
      <c r="J875" s="15"/>
    </row>
    <row r="876">
      <c r="A876" s="18">
        <v>44656.0</v>
      </c>
      <c r="B876" s="16" t="s">
        <v>11193</v>
      </c>
      <c r="C876" s="16">
        <v>12.0</v>
      </c>
      <c r="D876" s="16" t="s">
        <v>10444</v>
      </c>
      <c r="E876" s="16" t="s">
        <v>707</v>
      </c>
      <c r="F876" s="16">
        <v>2016.0</v>
      </c>
      <c r="G876" s="16">
        <v>51.3262</v>
      </c>
      <c r="H876" s="16">
        <v>10.6236</v>
      </c>
      <c r="I876" s="15"/>
      <c r="J876" s="15"/>
    </row>
    <row r="877">
      <c r="A877" s="18">
        <v>44656.0</v>
      </c>
      <c r="B877" s="16" t="s">
        <v>11194</v>
      </c>
      <c r="C877" s="16">
        <v>10.0</v>
      </c>
      <c r="D877" s="16" t="s">
        <v>10444</v>
      </c>
      <c r="E877" s="16" t="s">
        <v>707</v>
      </c>
      <c r="F877" s="16">
        <v>2018.0</v>
      </c>
      <c r="G877" s="16">
        <v>50.7254</v>
      </c>
      <c r="H877" s="16">
        <v>9.3057</v>
      </c>
      <c r="I877" s="15"/>
      <c r="J877" s="15"/>
    </row>
    <row r="878">
      <c r="A878" s="18">
        <v>45027.0</v>
      </c>
      <c r="B878" s="16" t="s">
        <v>11195</v>
      </c>
      <c r="C878" s="16">
        <v>36.0</v>
      </c>
      <c r="D878" s="16" t="s">
        <v>10444</v>
      </c>
      <c r="E878" s="16" t="s">
        <v>707</v>
      </c>
      <c r="F878" s="16">
        <v>2020.0</v>
      </c>
      <c r="G878" s="16">
        <v>53.4681</v>
      </c>
      <c r="H878" s="16">
        <v>11.3499</v>
      </c>
      <c r="I878" s="15"/>
      <c r="J878" s="15"/>
    </row>
    <row r="879">
      <c r="A879" s="18">
        <v>44656.0</v>
      </c>
      <c r="B879" s="16" t="s">
        <v>11195</v>
      </c>
      <c r="C879" s="16">
        <v>58.0</v>
      </c>
      <c r="D879" s="16" t="s">
        <v>10444</v>
      </c>
      <c r="E879" s="16" t="s">
        <v>707</v>
      </c>
      <c r="F879" s="16">
        <v>2021.0</v>
      </c>
      <c r="G879" s="16">
        <v>53.7735</v>
      </c>
      <c r="H879" s="16">
        <v>12.5755</v>
      </c>
      <c r="I879" s="15"/>
      <c r="J879" s="15"/>
    </row>
    <row r="880">
      <c r="A880" s="18">
        <v>44656.0</v>
      </c>
      <c r="B880" s="16" t="s">
        <v>11196</v>
      </c>
      <c r="C880" s="16">
        <v>28.0</v>
      </c>
      <c r="D880" s="16" t="s">
        <v>10444</v>
      </c>
      <c r="E880" s="16" t="s">
        <v>707</v>
      </c>
      <c r="F880" s="16">
        <v>2014.0</v>
      </c>
      <c r="G880" s="16">
        <v>52.5357</v>
      </c>
      <c r="H880" s="16">
        <v>6.9074</v>
      </c>
      <c r="I880" s="15"/>
      <c r="J880" s="15"/>
    </row>
    <row r="881">
      <c r="A881" s="18">
        <v>44656.0</v>
      </c>
      <c r="B881" s="16" t="s">
        <v>11197</v>
      </c>
      <c r="C881" s="16">
        <v>12.0</v>
      </c>
      <c r="D881" s="16" t="s">
        <v>10444</v>
      </c>
      <c r="E881" s="16" t="s">
        <v>707</v>
      </c>
      <c r="F881" s="16">
        <v>2003.0</v>
      </c>
      <c r="G881" s="16">
        <v>53.7987</v>
      </c>
      <c r="H881" s="16">
        <v>11.4467</v>
      </c>
      <c r="I881" s="15"/>
      <c r="J881" s="15"/>
    </row>
    <row r="882">
      <c r="A882" s="18">
        <v>45370.0</v>
      </c>
      <c r="B882" s="16" t="s">
        <v>11198</v>
      </c>
      <c r="C882" s="16">
        <v>25.0</v>
      </c>
      <c r="D882" s="16" t="s">
        <v>10444</v>
      </c>
      <c r="E882" s="16" t="s">
        <v>707</v>
      </c>
      <c r="F882" s="16">
        <v>2022.0</v>
      </c>
      <c r="G882" s="16">
        <v>52.4009</v>
      </c>
      <c r="H882" s="16">
        <v>7.6445</v>
      </c>
      <c r="I882" s="15"/>
      <c r="J882" s="15"/>
    </row>
    <row r="883">
      <c r="A883" s="18">
        <v>44656.0</v>
      </c>
      <c r="B883" s="16" t="s">
        <v>11199</v>
      </c>
      <c r="C883" s="16">
        <v>30.0</v>
      </c>
      <c r="D883" s="16" t="s">
        <v>10444</v>
      </c>
      <c r="E883" s="16" t="s">
        <v>707</v>
      </c>
      <c r="F883" s="16">
        <v>2016.0</v>
      </c>
      <c r="G883" s="16">
        <v>49.8282</v>
      </c>
      <c r="H883" s="16">
        <v>6.9749</v>
      </c>
      <c r="I883" s="15"/>
      <c r="J883" s="15"/>
    </row>
    <row r="884">
      <c r="A884" s="18">
        <v>45002.0</v>
      </c>
      <c r="B884" s="16" t="s">
        <v>11200</v>
      </c>
      <c r="C884" s="16">
        <v>10.0</v>
      </c>
      <c r="D884" s="16" t="s">
        <v>10444</v>
      </c>
      <c r="E884" s="16" t="s">
        <v>707</v>
      </c>
      <c r="F884" s="16">
        <v>2018.0</v>
      </c>
      <c r="G884" s="16">
        <v>49.3393</v>
      </c>
      <c r="H884" s="16">
        <v>7.6338</v>
      </c>
      <c r="I884" s="15"/>
      <c r="J884" s="15"/>
    </row>
    <row r="885">
      <c r="A885" s="18">
        <v>44656.0</v>
      </c>
      <c r="B885" s="16" t="s">
        <v>11201</v>
      </c>
      <c r="C885" s="16">
        <v>12.0</v>
      </c>
      <c r="D885" s="16" t="s">
        <v>10444</v>
      </c>
      <c r="E885" s="16" t="s">
        <v>707</v>
      </c>
      <c r="F885" s="16">
        <v>2018.0</v>
      </c>
      <c r="G885" s="16">
        <v>49.6949</v>
      </c>
      <c r="H885" s="16">
        <v>7.8796</v>
      </c>
      <c r="I885" s="15"/>
      <c r="J885" s="15"/>
    </row>
    <row r="886">
      <c r="A886" s="18">
        <v>44656.0</v>
      </c>
      <c r="B886" s="16" t="s">
        <v>11202</v>
      </c>
      <c r="C886" s="16">
        <v>12.0</v>
      </c>
      <c r="D886" s="16" t="s">
        <v>10444</v>
      </c>
      <c r="E886" s="16" t="s">
        <v>707</v>
      </c>
      <c r="F886" s="16">
        <v>2014.0</v>
      </c>
      <c r="G886" s="16">
        <v>51.2115</v>
      </c>
      <c r="H886" s="16">
        <v>10.8462</v>
      </c>
      <c r="I886" s="15"/>
      <c r="J886" s="15"/>
    </row>
    <row r="887">
      <c r="A887" s="18">
        <v>44656.0</v>
      </c>
      <c r="B887" s="16" t="s">
        <v>11203</v>
      </c>
      <c r="C887" s="16">
        <v>12.0</v>
      </c>
      <c r="D887" s="16" t="s">
        <v>10444</v>
      </c>
      <c r="E887" s="16" t="s">
        <v>707</v>
      </c>
      <c r="F887" s="16">
        <v>2001.0</v>
      </c>
      <c r="G887" s="16">
        <v>53.923</v>
      </c>
      <c r="H887" s="16">
        <v>11.5533</v>
      </c>
      <c r="I887" s="15"/>
      <c r="J887" s="15"/>
    </row>
    <row r="888">
      <c r="A888" s="18">
        <v>44656.0</v>
      </c>
      <c r="B888" s="16" t="s">
        <v>11204</v>
      </c>
      <c r="C888" s="16">
        <v>10.0</v>
      </c>
      <c r="D888" s="16" t="s">
        <v>10444</v>
      </c>
      <c r="E888" s="16" t="s">
        <v>707</v>
      </c>
      <c r="F888" s="16">
        <v>1999.0</v>
      </c>
      <c r="G888" s="16">
        <v>53.8251</v>
      </c>
      <c r="H888" s="16">
        <v>9.6187</v>
      </c>
      <c r="I888" s="15"/>
      <c r="J888" s="15"/>
    </row>
    <row r="889">
      <c r="A889" s="18">
        <v>44998.0</v>
      </c>
      <c r="B889" s="16" t="s">
        <v>11205</v>
      </c>
      <c r="C889" s="16">
        <v>27.0</v>
      </c>
      <c r="D889" s="16" t="s">
        <v>10444</v>
      </c>
      <c r="E889" s="16" t="s">
        <v>707</v>
      </c>
      <c r="F889" s="16">
        <v>2017.0</v>
      </c>
      <c r="G889" s="16">
        <v>52.8451</v>
      </c>
      <c r="H889" s="16">
        <v>9.0604</v>
      </c>
      <c r="I889" s="15"/>
      <c r="J889" s="15"/>
    </row>
    <row r="890">
      <c r="A890" s="18">
        <v>45020.0</v>
      </c>
      <c r="B890" s="16" t="s">
        <v>11206</v>
      </c>
      <c r="C890" s="16">
        <v>13.0</v>
      </c>
      <c r="D890" s="16" t="s">
        <v>10444</v>
      </c>
      <c r="E890" s="16" t="s">
        <v>707</v>
      </c>
      <c r="F890" s="16">
        <v>2002.0</v>
      </c>
      <c r="G890" s="16">
        <v>53.0643</v>
      </c>
      <c r="H890" s="16">
        <v>8.3842</v>
      </c>
      <c r="I890" s="15"/>
      <c r="J890" s="15"/>
    </row>
    <row r="891">
      <c r="A891" s="18">
        <v>45000.0</v>
      </c>
      <c r="B891" s="16" t="s">
        <v>11207</v>
      </c>
      <c r="C891" s="16">
        <v>42.0</v>
      </c>
      <c r="D891" s="16" t="s">
        <v>10444</v>
      </c>
      <c r="E891" s="16" t="s">
        <v>707</v>
      </c>
      <c r="F891" s="16">
        <v>2021.0</v>
      </c>
      <c r="G891" s="16">
        <v>53.9897</v>
      </c>
      <c r="H891" s="16">
        <v>9.4053</v>
      </c>
      <c r="I891" s="15"/>
      <c r="J891" s="15"/>
    </row>
    <row r="892">
      <c r="A892" s="18">
        <v>44656.0</v>
      </c>
      <c r="B892" s="16" t="s">
        <v>11208</v>
      </c>
      <c r="C892" s="16">
        <v>18.0</v>
      </c>
      <c r="D892" s="16" t="s">
        <v>10444</v>
      </c>
      <c r="E892" s="16" t="s">
        <v>707</v>
      </c>
      <c r="F892" s="16">
        <v>2017.0</v>
      </c>
      <c r="G892" s="16">
        <v>49.0388</v>
      </c>
      <c r="H892" s="16">
        <v>10.0112</v>
      </c>
      <c r="I892" s="15"/>
      <c r="J892" s="15"/>
    </row>
    <row r="893">
      <c r="A893" s="18">
        <v>44656.0</v>
      </c>
      <c r="B893" s="16" t="s">
        <v>11209</v>
      </c>
      <c r="C893" s="16">
        <v>90.0</v>
      </c>
      <c r="D893" s="16" t="s">
        <v>10444</v>
      </c>
      <c r="E893" s="16" t="s">
        <v>707</v>
      </c>
      <c r="F893" s="16">
        <v>2017.0</v>
      </c>
      <c r="G893" s="16">
        <v>52.969</v>
      </c>
      <c r="H893" s="16">
        <v>7.6552</v>
      </c>
      <c r="I893" s="15"/>
      <c r="J893" s="15"/>
    </row>
    <row r="894">
      <c r="A894" s="18">
        <v>44656.0</v>
      </c>
      <c r="B894" s="16" t="s">
        <v>11210</v>
      </c>
      <c r="C894" s="16">
        <v>14.0</v>
      </c>
      <c r="D894" s="16" t="s">
        <v>10444</v>
      </c>
      <c r="E894" s="16" t="s">
        <v>707</v>
      </c>
      <c r="F894" s="16">
        <v>2020.0</v>
      </c>
      <c r="G894" s="16">
        <v>50.2878</v>
      </c>
      <c r="H894" s="16">
        <v>8.1274</v>
      </c>
      <c r="I894" s="15"/>
      <c r="J894" s="15"/>
    </row>
    <row r="895">
      <c r="A895" s="18">
        <v>44656.0</v>
      </c>
      <c r="B895" s="16" t="s">
        <v>11211</v>
      </c>
      <c r="C895" s="16">
        <v>31.0</v>
      </c>
      <c r="D895" s="16" t="s">
        <v>10444</v>
      </c>
      <c r="E895" s="16" t="s">
        <v>707</v>
      </c>
      <c r="F895" s="16">
        <v>2014.0</v>
      </c>
      <c r="G895" s="16">
        <v>49.6517</v>
      </c>
      <c r="H895" s="16">
        <v>8.0524</v>
      </c>
      <c r="I895" s="15"/>
      <c r="J895" s="15"/>
    </row>
    <row r="896">
      <c r="A896" s="18">
        <v>45370.0</v>
      </c>
      <c r="B896" s="16" t="s">
        <v>11212</v>
      </c>
      <c r="C896" s="16">
        <v>12.0</v>
      </c>
      <c r="D896" s="16" t="s">
        <v>10444</v>
      </c>
      <c r="E896" s="16" t="s">
        <v>707</v>
      </c>
      <c r="F896" s="16">
        <v>2006.0</v>
      </c>
      <c r="G896" s="16">
        <v>53.1825</v>
      </c>
      <c r="H896" s="16">
        <v>8.4079</v>
      </c>
      <c r="I896" s="15"/>
      <c r="J896" s="15"/>
    </row>
    <row r="897">
      <c r="A897" s="18">
        <v>44656.0</v>
      </c>
      <c r="B897" s="16" t="s">
        <v>11213</v>
      </c>
      <c r="C897" s="16">
        <v>12.0</v>
      </c>
      <c r="D897" s="16" t="s">
        <v>10444</v>
      </c>
      <c r="E897" s="16" t="s">
        <v>707</v>
      </c>
      <c r="F897" s="16">
        <v>2018.0</v>
      </c>
      <c r="G897" s="16">
        <v>51.6153</v>
      </c>
      <c r="H897" s="16">
        <v>6.777</v>
      </c>
      <c r="I897" s="15"/>
      <c r="J897" s="15"/>
    </row>
    <row r="898">
      <c r="A898" s="18">
        <v>44656.0</v>
      </c>
      <c r="B898" s="16" t="s">
        <v>11214</v>
      </c>
      <c r="C898" s="16">
        <v>12.0</v>
      </c>
      <c r="D898" s="16" t="s">
        <v>10444</v>
      </c>
      <c r="E898" s="16" t="s">
        <v>707</v>
      </c>
      <c r="F898" s="16">
        <v>2019.0</v>
      </c>
      <c r="G898" s="16">
        <v>50.665</v>
      </c>
      <c r="H898" s="16">
        <v>6.3265</v>
      </c>
      <c r="I898" s="15"/>
      <c r="J898" s="15"/>
    </row>
    <row r="899">
      <c r="A899" s="18">
        <v>44656.0</v>
      </c>
      <c r="B899" s="16" t="s">
        <v>11215</v>
      </c>
      <c r="C899" s="16">
        <v>56.0</v>
      </c>
      <c r="D899" s="16" t="s">
        <v>10444</v>
      </c>
      <c r="E899" s="16" t="s">
        <v>707</v>
      </c>
      <c r="F899" s="16">
        <v>2015.0</v>
      </c>
      <c r="G899" s="16">
        <v>52.5108</v>
      </c>
      <c r="H899" s="16">
        <v>11.774</v>
      </c>
      <c r="I899" s="15"/>
      <c r="J899" s="15"/>
    </row>
    <row r="900">
      <c r="A900" s="18">
        <v>44656.0</v>
      </c>
      <c r="B900" s="16" t="s">
        <v>11215</v>
      </c>
      <c r="C900" s="16">
        <v>56.0</v>
      </c>
      <c r="D900" s="16" t="s">
        <v>10444</v>
      </c>
      <c r="E900" s="16" t="s">
        <v>707</v>
      </c>
      <c r="F900" s="16">
        <v>2016.0</v>
      </c>
      <c r="G900" s="16">
        <v>52.5261</v>
      </c>
      <c r="H900" s="16">
        <v>11.7389</v>
      </c>
      <c r="I900" s="15"/>
      <c r="J900" s="15"/>
    </row>
    <row r="901">
      <c r="A901" s="18">
        <v>44656.0</v>
      </c>
      <c r="B901" s="16" t="s">
        <v>11215</v>
      </c>
      <c r="C901" s="16">
        <v>10.0</v>
      </c>
      <c r="D901" s="16" t="s">
        <v>10444</v>
      </c>
      <c r="E901" s="16" t="s">
        <v>707</v>
      </c>
      <c r="F901" s="16">
        <v>2017.0</v>
      </c>
      <c r="G901" s="16">
        <v>52.5347</v>
      </c>
      <c r="H901" s="16">
        <v>11.7321</v>
      </c>
      <c r="I901" s="15"/>
      <c r="J901" s="15"/>
    </row>
    <row r="902">
      <c r="A902" s="18">
        <v>44656.0</v>
      </c>
      <c r="B902" s="16" t="s">
        <v>11216</v>
      </c>
      <c r="C902" s="16">
        <v>21.0</v>
      </c>
      <c r="D902" s="16" t="s">
        <v>10444</v>
      </c>
      <c r="E902" s="16" t="s">
        <v>707</v>
      </c>
      <c r="F902" s="16">
        <v>2016.0</v>
      </c>
      <c r="G902" s="16">
        <v>51.5962</v>
      </c>
      <c r="H902" s="16">
        <v>8.8784</v>
      </c>
      <c r="I902" s="15"/>
      <c r="J902" s="15"/>
    </row>
    <row r="903">
      <c r="A903" s="18">
        <v>44656.0</v>
      </c>
      <c r="B903" s="16" t="s">
        <v>11216</v>
      </c>
      <c r="C903" s="16">
        <v>15.0</v>
      </c>
      <c r="D903" s="16" t="s">
        <v>10444</v>
      </c>
      <c r="E903" s="16" t="s">
        <v>707</v>
      </c>
      <c r="F903" s="16">
        <v>2016.0</v>
      </c>
      <c r="G903" s="16">
        <v>51.3527</v>
      </c>
      <c r="H903" s="16">
        <v>8.5254</v>
      </c>
      <c r="I903" s="15"/>
      <c r="J903" s="15"/>
    </row>
    <row r="904">
      <c r="A904" s="18">
        <v>44656.0</v>
      </c>
      <c r="B904" s="16" t="s">
        <v>11217</v>
      </c>
      <c r="C904" s="16">
        <v>11.0</v>
      </c>
      <c r="D904" s="16" t="s">
        <v>10444</v>
      </c>
      <c r="E904" s="16" t="s">
        <v>707</v>
      </c>
      <c r="F904" s="15"/>
      <c r="G904" s="16">
        <v>53.3829</v>
      </c>
      <c r="H904" s="16">
        <v>7.3703</v>
      </c>
      <c r="I904" s="15"/>
      <c r="J904" s="15"/>
    </row>
    <row r="905">
      <c r="A905" s="18">
        <v>44656.0</v>
      </c>
      <c r="B905" s="16" t="s">
        <v>11217</v>
      </c>
      <c r="C905" s="16">
        <v>30.0</v>
      </c>
      <c r="D905" s="16" t="s">
        <v>10444</v>
      </c>
      <c r="E905" s="16" t="s">
        <v>707</v>
      </c>
      <c r="F905" s="16">
        <v>2000.0</v>
      </c>
      <c r="G905" s="16">
        <v>53.3874</v>
      </c>
      <c r="H905" s="16">
        <v>7.3762</v>
      </c>
      <c r="I905" s="15"/>
      <c r="J905" s="15"/>
    </row>
    <row r="906">
      <c r="A906" s="18">
        <v>45355.0</v>
      </c>
      <c r="B906" s="16" t="s">
        <v>11218</v>
      </c>
      <c r="C906" s="16">
        <v>28.0</v>
      </c>
      <c r="D906" s="16" t="s">
        <v>10444</v>
      </c>
      <c r="E906" s="16" t="s">
        <v>707</v>
      </c>
      <c r="F906" s="16">
        <v>2024.0</v>
      </c>
      <c r="G906" s="16">
        <v>51.9093</v>
      </c>
      <c r="H906" s="16">
        <v>13.3884</v>
      </c>
      <c r="I906" s="15"/>
      <c r="J906" s="15"/>
    </row>
    <row r="907">
      <c r="A907" s="18">
        <v>44656.0</v>
      </c>
      <c r="B907" s="16" t="s">
        <v>11219</v>
      </c>
      <c r="C907" s="16">
        <v>12.0</v>
      </c>
      <c r="D907" s="16" t="s">
        <v>10444</v>
      </c>
      <c r="E907" s="16" t="s">
        <v>707</v>
      </c>
      <c r="F907" s="16">
        <v>2009.0</v>
      </c>
      <c r="G907" s="16">
        <v>51.8903</v>
      </c>
      <c r="H907" s="16">
        <v>13.3318</v>
      </c>
      <c r="I907" s="15"/>
      <c r="J907" s="15"/>
    </row>
    <row r="908">
      <c r="A908" s="18">
        <v>44656.0</v>
      </c>
      <c r="B908" s="16" t="s">
        <v>11220</v>
      </c>
      <c r="C908" s="16">
        <v>12.0</v>
      </c>
      <c r="D908" s="16" t="s">
        <v>10444</v>
      </c>
      <c r="E908" s="16" t="s">
        <v>707</v>
      </c>
      <c r="F908" s="16">
        <v>2013.0</v>
      </c>
      <c r="G908" s="16">
        <v>49.4228</v>
      </c>
      <c r="H908" s="16">
        <v>11.6631</v>
      </c>
      <c r="I908" s="15"/>
      <c r="J908" s="15"/>
    </row>
    <row r="909">
      <c r="A909" s="18">
        <v>44986.0</v>
      </c>
      <c r="B909" s="16" t="s">
        <v>11221</v>
      </c>
      <c r="C909" s="16">
        <v>29.0</v>
      </c>
      <c r="D909" s="16" t="s">
        <v>10444</v>
      </c>
      <c r="E909" s="16" t="s">
        <v>707</v>
      </c>
      <c r="F909" s="16">
        <v>2021.0</v>
      </c>
      <c r="G909" s="16">
        <v>52.4467</v>
      </c>
      <c r="H909" s="16">
        <v>10.1794</v>
      </c>
      <c r="I909" s="15"/>
      <c r="J909" s="15"/>
    </row>
    <row r="910">
      <c r="A910" s="18">
        <v>44656.0</v>
      </c>
      <c r="B910" s="16" t="s">
        <v>11222</v>
      </c>
      <c r="C910" s="16">
        <v>13.0</v>
      </c>
      <c r="D910" s="16" t="s">
        <v>10444</v>
      </c>
      <c r="E910" s="16" t="s">
        <v>707</v>
      </c>
      <c r="F910" s="16">
        <v>2004.0</v>
      </c>
      <c r="G910" s="16">
        <v>50.0836</v>
      </c>
      <c r="H910" s="16">
        <v>6.2911</v>
      </c>
      <c r="I910" s="15"/>
      <c r="J910" s="15"/>
    </row>
    <row r="911">
      <c r="A911" s="18">
        <v>45370.0</v>
      </c>
      <c r="B911" s="16" t="s">
        <v>11223</v>
      </c>
      <c r="C911" s="16">
        <v>19.0</v>
      </c>
      <c r="D911" s="16" t="s">
        <v>10444</v>
      </c>
      <c r="E911" s="16" t="s">
        <v>707</v>
      </c>
      <c r="F911" s="16">
        <v>2022.0</v>
      </c>
      <c r="G911" s="16">
        <v>54.7901</v>
      </c>
      <c r="H911" s="16">
        <v>9.1105</v>
      </c>
      <c r="I911" s="15"/>
      <c r="J911" s="15"/>
    </row>
    <row r="912">
      <c r="A912" s="18">
        <v>45665.0</v>
      </c>
      <c r="B912" s="16" t="s">
        <v>11223</v>
      </c>
      <c r="C912" s="16">
        <v>14.0</v>
      </c>
      <c r="D912" s="16" t="s">
        <v>10444</v>
      </c>
      <c r="E912" s="16" t="s">
        <v>707</v>
      </c>
      <c r="F912" s="16">
        <v>2024.0</v>
      </c>
      <c r="G912" s="16">
        <v>54.793</v>
      </c>
      <c r="H912" s="16">
        <v>9.1101</v>
      </c>
      <c r="I912" s="15"/>
      <c r="J912" s="15"/>
    </row>
    <row r="913">
      <c r="A913" s="18">
        <v>44656.0</v>
      </c>
      <c r="B913" s="16" t="s">
        <v>11224</v>
      </c>
      <c r="C913" s="16">
        <v>13.0</v>
      </c>
      <c r="D913" s="16" t="s">
        <v>10444</v>
      </c>
      <c r="E913" s="16" t="s">
        <v>707</v>
      </c>
      <c r="F913" s="16">
        <v>2016.0</v>
      </c>
      <c r="G913" s="16">
        <v>52.3571</v>
      </c>
      <c r="H913" s="16">
        <v>14.3691</v>
      </c>
      <c r="I913" s="15"/>
      <c r="J913" s="15"/>
    </row>
    <row r="914">
      <c r="A914" s="18">
        <v>44656.0</v>
      </c>
      <c r="B914" s="16" t="s">
        <v>11224</v>
      </c>
      <c r="C914" s="16">
        <v>12.0</v>
      </c>
      <c r="D914" s="16" t="s">
        <v>10444</v>
      </c>
      <c r="E914" s="16" t="s">
        <v>707</v>
      </c>
      <c r="F914" s="16">
        <v>2012.0</v>
      </c>
      <c r="G914" s="16">
        <v>52.3581</v>
      </c>
      <c r="H914" s="16">
        <v>14.3646</v>
      </c>
      <c r="I914" s="15"/>
      <c r="J914" s="15"/>
    </row>
    <row r="915">
      <c r="A915" s="18">
        <v>44986.0</v>
      </c>
      <c r="B915" s="16" t="s">
        <v>11224</v>
      </c>
      <c r="C915" s="16">
        <v>18.0</v>
      </c>
      <c r="D915" s="16" t="s">
        <v>10444</v>
      </c>
      <c r="E915" s="16" t="s">
        <v>707</v>
      </c>
      <c r="F915" s="16">
        <v>2021.0</v>
      </c>
      <c r="G915" s="16">
        <v>52.349</v>
      </c>
      <c r="H915" s="16">
        <v>14.3851</v>
      </c>
      <c r="I915" s="15"/>
      <c r="J915" s="15"/>
    </row>
    <row r="916">
      <c r="A916" s="18">
        <v>44656.0</v>
      </c>
      <c r="B916" s="16" t="s">
        <v>11224</v>
      </c>
      <c r="C916" s="16">
        <v>31.0</v>
      </c>
      <c r="D916" s="16" t="s">
        <v>10444</v>
      </c>
      <c r="E916" s="16" t="s">
        <v>707</v>
      </c>
      <c r="F916" s="16">
        <v>2017.0</v>
      </c>
      <c r="G916" s="16">
        <v>52.3571</v>
      </c>
      <c r="H916" s="16">
        <v>14.3691</v>
      </c>
      <c r="I916" s="15"/>
      <c r="J916" s="15"/>
    </row>
    <row r="917">
      <c r="A917" s="18">
        <v>44656.0</v>
      </c>
      <c r="B917" s="16" t="s">
        <v>11225</v>
      </c>
      <c r="C917" s="16">
        <v>20.0</v>
      </c>
      <c r="D917" s="16" t="s">
        <v>10444</v>
      </c>
      <c r="E917" s="16" t="s">
        <v>707</v>
      </c>
      <c r="F917" s="16">
        <v>2014.0</v>
      </c>
      <c r="G917" s="16">
        <v>54.644</v>
      </c>
      <c r="H917" s="16">
        <v>9.4331</v>
      </c>
      <c r="I917" s="15"/>
      <c r="J917" s="15"/>
    </row>
    <row r="918">
      <c r="A918" s="18">
        <v>45027.0</v>
      </c>
      <c r="B918" s="16" t="s">
        <v>11226</v>
      </c>
      <c r="C918" s="16">
        <v>44.0</v>
      </c>
      <c r="D918" s="16" t="s">
        <v>10444</v>
      </c>
      <c r="E918" s="16" t="s">
        <v>707</v>
      </c>
      <c r="F918" s="16">
        <v>2006.0</v>
      </c>
      <c r="G918" s="16">
        <v>52.0237</v>
      </c>
      <c r="H918" s="16">
        <v>13.1815</v>
      </c>
      <c r="I918" s="15"/>
      <c r="J918" s="15"/>
    </row>
    <row r="919">
      <c r="A919" s="18">
        <v>45027.0</v>
      </c>
      <c r="B919" s="16" t="s">
        <v>11226</v>
      </c>
      <c r="C919" s="16">
        <v>18.0</v>
      </c>
      <c r="D919" s="16" t="s">
        <v>10444</v>
      </c>
      <c r="E919" s="16" t="s">
        <v>707</v>
      </c>
      <c r="F919" s="16">
        <v>2007.0</v>
      </c>
      <c r="G919" s="16">
        <v>52.0055</v>
      </c>
      <c r="H919" s="16">
        <v>13.1961</v>
      </c>
      <c r="I919" s="15"/>
      <c r="J919" s="15"/>
    </row>
    <row r="920">
      <c r="A920" s="18">
        <v>45027.0</v>
      </c>
      <c r="B920" s="16" t="s">
        <v>11227</v>
      </c>
      <c r="C920" s="16">
        <v>12.0</v>
      </c>
      <c r="D920" s="16" t="s">
        <v>10444</v>
      </c>
      <c r="E920" s="16" t="s">
        <v>707</v>
      </c>
      <c r="F920" s="16">
        <v>2006.0</v>
      </c>
      <c r="G920" s="16">
        <v>53.6673</v>
      </c>
      <c r="H920" s="16">
        <v>8.5046</v>
      </c>
      <c r="I920" s="15"/>
      <c r="J920" s="15"/>
    </row>
    <row r="921">
      <c r="A921" s="18">
        <v>44656.0</v>
      </c>
      <c r="B921" s="16" t="s">
        <v>11228</v>
      </c>
      <c r="C921" s="16">
        <v>11.0</v>
      </c>
      <c r="D921" s="16" t="s">
        <v>10444</v>
      </c>
      <c r="E921" s="16" t="s">
        <v>707</v>
      </c>
      <c r="F921" s="16">
        <v>2003.0</v>
      </c>
      <c r="G921" s="16">
        <v>53.6134</v>
      </c>
      <c r="H921" s="16">
        <v>13.5428</v>
      </c>
      <c r="I921" s="15"/>
      <c r="J921" s="15"/>
    </row>
    <row r="922">
      <c r="A922" s="18">
        <v>44656.0</v>
      </c>
      <c r="B922" s="16" t="s">
        <v>11229</v>
      </c>
      <c r="C922" s="16">
        <v>15.0</v>
      </c>
      <c r="D922" s="16" t="s">
        <v>10444</v>
      </c>
      <c r="E922" s="16" t="s">
        <v>707</v>
      </c>
      <c r="F922" s="16">
        <v>2013.0</v>
      </c>
      <c r="G922" s="16">
        <v>52.7203</v>
      </c>
      <c r="H922" s="16">
        <v>11.4212</v>
      </c>
      <c r="I922" s="15"/>
      <c r="J922" s="15"/>
    </row>
    <row r="923">
      <c r="A923" s="18">
        <v>45370.0</v>
      </c>
      <c r="B923" s="16" t="s">
        <v>11229</v>
      </c>
      <c r="C923" s="16">
        <v>22.0</v>
      </c>
      <c r="D923" s="16" t="s">
        <v>10444</v>
      </c>
      <c r="E923" s="16" t="s">
        <v>707</v>
      </c>
      <c r="F923" s="16">
        <v>2020.0</v>
      </c>
      <c r="G923" s="16">
        <v>52.727</v>
      </c>
      <c r="H923" s="16">
        <v>11.4316</v>
      </c>
      <c r="I923" s="15"/>
      <c r="J923" s="15"/>
    </row>
    <row r="924">
      <c r="A924" s="18">
        <v>44656.0</v>
      </c>
      <c r="B924" s="16" t="s">
        <v>11230</v>
      </c>
      <c r="C924" s="16">
        <v>10.0</v>
      </c>
      <c r="D924" s="16" t="s">
        <v>10444</v>
      </c>
      <c r="E924" s="16" t="s">
        <v>707</v>
      </c>
      <c r="F924" s="16">
        <v>2008.0</v>
      </c>
      <c r="G924" s="16">
        <v>53.4552</v>
      </c>
      <c r="H924" s="16">
        <v>7.1238</v>
      </c>
      <c r="I924" s="15"/>
      <c r="J924" s="15"/>
    </row>
    <row r="925">
      <c r="A925" s="18">
        <v>44656.0</v>
      </c>
      <c r="B925" s="16" t="s">
        <v>11231</v>
      </c>
      <c r="C925" s="16">
        <v>10.0</v>
      </c>
      <c r="D925" s="16" t="s">
        <v>10444</v>
      </c>
      <c r="E925" s="16" t="s">
        <v>707</v>
      </c>
      <c r="F925" s="16">
        <v>2015.0</v>
      </c>
      <c r="G925" s="16">
        <v>54.668</v>
      </c>
      <c r="H925" s="16">
        <v>9.3468</v>
      </c>
      <c r="I925" s="15"/>
      <c r="J925" s="15"/>
    </row>
    <row r="926">
      <c r="A926" s="18">
        <v>44656.0</v>
      </c>
      <c r="B926" s="16" t="s">
        <v>11232</v>
      </c>
      <c r="C926" s="16">
        <v>10.0</v>
      </c>
      <c r="D926" s="16" t="s">
        <v>10444</v>
      </c>
      <c r="E926" s="16" t="s">
        <v>707</v>
      </c>
      <c r="F926" s="16">
        <v>2006.0</v>
      </c>
      <c r="G926" s="16">
        <v>51.7121</v>
      </c>
      <c r="H926" s="16">
        <v>12.2438</v>
      </c>
      <c r="I926" s="15"/>
      <c r="J926" s="15"/>
    </row>
    <row r="927">
      <c r="A927" s="18">
        <v>44656.0</v>
      </c>
      <c r="B927" s="16" t="s">
        <v>11233</v>
      </c>
      <c r="C927" s="16">
        <v>19.0</v>
      </c>
      <c r="D927" s="16" t="s">
        <v>10444</v>
      </c>
      <c r="E927" s="16" t="s">
        <v>707</v>
      </c>
      <c r="F927" s="16">
        <v>2016.0</v>
      </c>
      <c r="G927" s="16">
        <v>48.4095</v>
      </c>
      <c r="H927" s="16">
        <v>10.5209</v>
      </c>
      <c r="I927" s="15"/>
      <c r="J927" s="15"/>
    </row>
    <row r="928">
      <c r="A928" s="18">
        <v>44656.0</v>
      </c>
      <c r="B928" s="16" t="s">
        <v>11234</v>
      </c>
      <c r="C928" s="16">
        <v>12.0</v>
      </c>
      <c r="D928" s="16" t="s">
        <v>10444</v>
      </c>
      <c r="E928" s="16" t="s">
        <v>707</v>
      </c>
      <c r="F928" s="16">
        <v>2002.0</v>
      </c>
      <c r="G928" s="16">
        <v>53.5875</v>
      </c>
      <c r="H928" s="16">
        <v>7.9381</v>
      </c>
      <c r="I928" s="15"/>
      <c r="J928" s="15"/>
    </row>
    <row r="929">
      <c r="A929" s="18">
        <v>44656.0</v>
      </c>
      <c r="B929" s="16" t="s">
        <v>11235</v>
      </c>
      <c r="C929" s="16">
        <v>13.0</v>
      </c>
      <c r="D929" s="16" t="s">
        <v>10444</v>
      </c>
      <c r="E929" s="16" t="s">
        <v>707</v>
      </c>
      <c r="F929" s="16">
        <v>2014.0</v>
      </c>
      <c r="G929" s="16">
        <v>54.6343</v>
      </c>
      <c r="H929" s="16">
        <v>9.2177</v>
      </c>
      <c r="I929" s="15"/>
      <c r="J929" s="15"/>
    </row>
    <row r="930">
      <c r="A930" s="18">
        <v>45665.0</v>
      </c>
      <c r="B930" s="16" t="s">
        <v>11236</v>
      </c>
      <c r="C930" s="16">
        <v>13.0</v>
      </c>
      <c r="D930" s="16" t="s">
        <v>10444</v>
      </c>
      <c r="E930" s="16" t="s">
        <v>707</v>
      </c>
      <c r="F930" s="16">
        <v>2024.0</v>
      </c>
      <c r="G930" s="16">
        <v>54.6432</v>
      </c>
      <c r="H930" s="16">
        <v>9.2261</v>
      </c>
      <c r="I930" s="15"/>
      <c r="J930" s="15"/>
    </row>
    <row r="931">
      <c r="A931" s="18">
        <v>45377.0</v>
      </c>
      <c r="B931" s="16" t="s">
        <v>11237</v>
      </c>
      <c r="C931" s="16">
        <v>27.0</v>
      </c>
      <c r="D931" s="16" t="s">
        <v>10444</v>
      </c>
      <c r="E931" s="16" t="s">
        <v>707</v>
      </c>
      <c r="F931" s="16">
        <v>2021.0</v>
      </c>
      <c r="G931" s="16">
        <v>51.0529</v>
      </c>
      <c r="H931" s="16">
        <v>6.5033</v>
      </c>
      <c r="I931" s="15"/>
      <c r="J931" s="15"/>
    </row>
    <row r="932">
      <c r="A932" s="18">
        <v>44999.0</v>
      </c>
      <c r="B932" s="16" t="s">
        <v>11238</v>
      </c>
      <c r="C932" s="16">
        <v>11.0</v>
      </c>
      <c r="D932" s="16" t="s">
        <v>10444</v>
      </c>
      <c r="E932" s="16" t="s">
        <v>707</v>
      </c>
      <c r="F932" s="16">
        <v>2022.0</v>
      </c>
      <c r="G932" s="16">
        <v>50.8909</v>
      </c>
      <c r="H932" s="16">
        <v>6.3278</v>
      </c>
      <c r="I932" s="15"/>
      <c r="J932" s="15"/>
    </row>
    <row r="933">
      <c r="A933" s="18">
        <v>44999.0</v>
      </c>
      <c r="B933" s="16" t="s">
        <v>11239</v>
      </c>
      <c r="C933" s="16">
        <v>11.0</v>
      </c>
      <c r="D933" s="16" t="s">
        <v>10444</v>
      </c>
      <c r="E933" s="16" t="s">
        <v>707</v>
      </c>
      <c r="F933" s="16">
        <v>2022.0</v>
      </c>
      <c r="G933" s="16">
        <v>50.8904</v>
      </c>
      <c r="H933" s="16">
        <v>6.3165</v>
      </c>
      <c r="I933" s="15"/>
      <c r="J933" s="15"/>
    </row>
    <row r="934">
      <c r="A934" s="18">
        <v>44986.0</v>
      </c>
      <c r="B934" s="16" t="s">
        <v>11240</v>
      </c>
      <c r="C934" s="16">
        <v>14.0</v>
      </c>
      <c r="D934" s="16" t="s">
        <v>10444</v>
      </c>
      <c r="E934" s="16" t="s">
        <v>707</v>
      </c>
      <c r="F934" s="16">
        <v>2021.0</v>
      </c>
      <c r="G934" s="16">
        <v>50.9348</v>
      </c>
      <c r="H934" s="16">
        <v>6.2797</v>
      </c>
      <c r="I934" s="15"/>
      <c r="J934" s="15"/>
    </row>
    <row r="935">
      <c r="A935" s="18">
        <v>44656.0</v>
      </c>
      <c r="B935" s="16" t="s">
        <v>11241</v>
      </c>
      <c r="C935" s="16">
        <v>11.0</v>
      </c>
      <c r="D935" s="16" t="s">
        <v>10444</v>
      </c>
      <c r="E935" s="16" t="s">
        <v>707</v>
      </c>
      <c r="F935" s="16">
        <v>2005.0</v>
      </c>
      <c r="G935" s="16">
        <v>50.9307</v>
      </c>
      <c r="H935" s="16">
        <v>6.2719</v>
      </c>
      <c r="I935" s="15"/>
      <c r="J935" s="15"/>
    </row>
    <row r="936">
      <c r="A936" s="18">
        <v>45358.0</v>
      </c>
      <c r="B936" s="16" t="s">
        <v>11242</v>
      </c>
      <c r="C936" s="16">
        <v>21.0</v>
      </c>
      <c r="D936" s="16" t="s">
        <v>10444</v>
      </c>
      <c r="E936" s="16" t="s">
        <v>707</v>
      </c>
      <c r="F936" s="16">
        <v>2023.0</v>
      </c>
      <c r="G936" s="16">
        <v>47.9882</v>
      </c>
      <c r="H936" s="16">
        <v>8.6987</v>
      </c>
      <c r="I936" s="15"/>
      <c r="J936" s="15"/>
    </row>
    <row r="937">
      <c r="A937" s="18">
        <v>44656.0</v>
      </c>
      <c r="B937" s="16" t="s">
        <v>11243</v>
      </c>
      <c r="C937" s="16">
        <v>12.0</v>
      </c>
      <c r="D937" s="16" t="s">
        <v>10444</v>
      </c>
      <c r="E937" s="16" t="s">
        <v>707</v>
      </c>
      <c r="F937" s="16">
        <v>2002.0</v>
      </c>
      <c r="G937" s="16">
        <v>53.9659</v>
      </c>
      <c r="H937" s="16">
        <v>11.8986</v>
      </c>
      <c r="I937" s="15"/>
      <c r="J937" s="15"/>
    </row>
    <row r="938">
      <c r="A938" s="18">
        <v>44656.0</v>
      </c>
      <c r="B938" s="16" t="s">
        <v>11244</v>
      </c>
      <c r="C938" s="16">
        <v>16.0</v>
      </c>
      <c r="D938" s="16" t="s">
        <v>10444</v>
      </c>
      <c r="E938" s="16" t="s">
        <v>707</v>
      </c>
      <c r="F938" s="16">
        <v>2005.0</v>
      </c>
      <c r="G938" s="16">
        <v>51.9483</v>
      </c>
      <c r="H938" s="16">
        <v>13.1669</v>
      </c>
      <c r="I938" s="15"/>
      <c r="J938" s="15"/>
    </row>
    <row r="939">
      <c r="A939" s="18">
        <v>44656.0</v>
      </c>
      <c r="B939" s="16" t="s">
        <v>11245</v>
      </c>
      <c r="C939" s="16">
        <v>10.0</v>
      </c>
      <c r="D939" s="16" t="s">
        <v>10444</v>
      </c>
      <c r="E939" s="16" t="s">
        <v>707</v>
      </c>
      <c r="F939" s="16">
        <v>2006.0</v>
      </c>
      <c r="G939" s="16">
        <v>51.2405</v>
      </c>
      <c r="H939" s="16">
        <v>6.5869</v>
      </c>
      <c r="I939" s="15"/>
      <c r="J939" s="15"/>
    </row>
    <row r="940">
      <c r="A940" s="18">
        <v>44656.0</v>
      </c>
      <c r="B940" s="16" t="s">
        <v>11246</v>
      </c>
      <c r="C940" s="16">
        <v>17.0</v>
      </c>
      <c r="D940" s="16" t="s">
        <v>10444</v>
      </c>
      <c r="E940" s="16" t="s">
        <v>707</v>
      </c>
      <c r="F940" s="16">
        <v>2018.0</v>
      </c>
      <c r="G940" s="16">
        <v>49.6487</v>
      </c>
      <c r="H940" s="16">
        <v>8.8565</v>
      </c>
      <c r="I940" s="15"/>
      <c r="J940" s="15"/>
    </row>
    <row r="941">
      <c r="A941" s="18">
        <v>44656.0</v>
      </c>
      <c r="B941" s="16" t="s">
        <v>11247</v>
      </c>
      <c r="C941" s="16">
        <v>15.0</v>
      </c>
      <c r="D941" s="16" t="s">
        <v>10444</v>
      </c>
      <c r="E941" s="16" t="s">
        <v>707</v>
      </c>
      <c r="F941" s="16">
        <v>2015.0</v>
      </c>
      <c r="G941" s="16">
        <v>49.6075</v>
      </c>
      <c r="H941" s="16">
        <v>8.1242</v>
      </c>
      <c r="I941" s="15"/>
      <c r="J941" s="15"/>
    </row>
    <row r="942">
      <c r="A942" s="18">
        <v>45002.0</v>
      </c>
      <c r="B942" s="16" t="s">
        <v>11248</v>
      </c>
      <c r="C942" s="16">
        <v>10.0</v>
      </c>
      <c r="D942" s="16" t="s">
        <v>10444</v>
      </c>
      <c r="E942" s="16" t="s">
        <v>707</v>
      </c>
      <c r="F942" s="16">
        <v>2016.0</v>
      </c>
      <c r="G942" s="16">
        <v>50.2521</v>
      </c>
      <c r="H942" s="16">
        <v>7.2392</v>
      </c>
      <c r="I942" s="15"/>
      <c r="J942" s="15"/>
    </row>
    <row r="943">
      <c r="A943" s="18">
        <v>44656.0</v>
      </c>
      <c r="B943" s="16" t="s">
        <v>11249</v>
      </c>
      <c r="C943" s="16">
        <v>10.0</v>
      </c>
      <c r="D943" s="16" t="s">
        <v>10444</v>
      </c>
      <c r="E943" s="16" t="s">
        <v>707</v>
      </c>
      <c r="F943" s="16">
        <v>2003.0</v>
      </c>
      <c r="G943" s="16">
        <v>53.7916</v>
      </c>
      <c r="H943" s="16">
        <v>9.2489</v>
      </c>
      <c r="I943" s="15"/>
      <c r="J943" s="15"/>
    </row>
    <row r="944">
      <c r="A944" s="18">
        <v>44656.0</v>
      </c>
      <c r="B944" s="16" t="s">
        <v>11250</v>
      </c>
      <c r="C944" s="16">
        <v>23.0</v>
      </c>
      <c r="D944" s="16" t="s">
        <v>10444</v>
      </c>
      <c r="E944" s="16" t="s">
        <v>707</v>
      </c>
      <c r="F944" s="16">
        <v>2001.0</v>
      </c>
      <c r="G944" s="16">
        <v>52.6561</v>
      </c>
      <c r="H944" s="16">
        <v>11.3872</v>
      </c>
      <c r="I944" s="15"/>
      <c r="J944" s="15"/>
    </row>
    <row r="945">
      <c r="A945" s="18">
        <v>44656.0</v>
      </c>
      <c r="B945" s="16" t="s">
        <v>11251</v>
      </c>
      <c r="C945" s="16">
        <v>12.0</v>
      </c>
      <c r="D945" s="16" t="s">
        <v>10444</v>
      </c>
      <c r="E945" s="16" t="s">
        <v>707</v>
      </c>
      <c r="F945" s="16">
        <v>2017.0</v>
      </c>
      <c r="G945" s="16">
        <v>51.6585</v>
      </c>
      <c r="H945" s="16">
        <v>6.2061</v>
      </c>
      <c r="I945" s="15"/>
      <c r="J945" s="15"/>
    </row>
    <row r="946">
      <c r="A946" s="18">
        <v>44656.0</v>
      </c>
      <c r="B946" s="16" t="s">
        <v>11252</v>
      </c>
      <c r="C946" s="16">
        <v>40.0</v>
      </c>
      <c r="D946" s="16" t="s">
        <v>10444</v>
      </c>
      <c r="E946" s="16" t="s">
        <v>707</v>
      </c>
      <c r="F946" s="16">
        <v>2016.0</v>
      </c>
      <c r="G946" s="16">
        <v>52.4394</v>
      </c>
      <c r="H946" s="16">
        <v>8.1005</v>
      </c>
      <c r="I946" s="15"/>
      <c r="J946" s="15"/>
    </row>
    <row r="947">
      <c r="A947" s="18">
        <v>44656.0</v>
      </c>
      <c r="B947" s="16" t="s">
        <v>11253</v>
      </c>
      <c r="C947" s="16">
        <v>12.0</v>
      </c>
      <c r="D947" s="16" t="s">
        <v>10444</v>
      </c>
      <c r="E947" s="16" t="s">
        <v>707</v>
      </c>
      <c r="F947" s="16">
        <v>2016.0</v>
      </c>
      <c r="G947" s="16">
        <v>48.2869</v>
      </c>
      <c r="H947" s="16">
        <v>7.9929</v>
      </c>
      <c r="I947" s="15"/>
      <c r="J947" s="15"/>
    </row>
    <row r="948">
      <c r="A948" s="18">
        <v>44656.0</v>
      </c>
      <c r="B948" s="16" t="s">
        <v>11254</v>
      </c>
      <c r="C948" s="16">
        <v>13.0</v>
      </c>
      <c r="D948" s="16" t="s">
        <v>10444</v>
      </c>
      <c r="E948" s="16" t="s">
        <v>707</v>
      </c>
      <c r="F948" s="15"/>
      <c r="G948" s="16">
        <v>53.9105</v>
      </c>
      <c r="H948" s="16">
        <v>12.0224</v>
      </c>
      <c r="I948" s="15"/>
      <c r="J948" s="15"/>
    </row>
    <row r="949">
      <c r="A949" s="18">
        <v>44656.0</v>
      </c>
      <c r="B949" s="16" t="s">
        <v>11254</v>
      </c>
      <c r="C949" s="16">
        <v>20.0</v>
      </c>
      <c r="D949" s="16" t="s">
        <v>10444</v>
      </c>
      <c r="E949" s="16" t="s">
        <v>707</v>
      </c>
      <c r="F949" s="16">
        <v>2015.0</v>
      </c>
      <c r="G949" s="16">
        <v>53.9062</v>
      </c>
      <c r="H949" s="16">
        <v>12.0311</v>
      </c>
      <c r="I949" s="15"/>
      <c r="J949" s="15"/>
    </row>
    <row r="950">
      <c r="A950" s="18">
        <v>44656.0</v>
      </c>
      <c r="B950" s="16" t="s">
        <v>11255</v>
      </c>
      <c r="C950" s="16">
        <v>15.0</v>
      </c>
      <c r="D950" s="16" t="s">
        <v>10444</v>
      </c>
      <c r="E950" s="16" t="s">
        <v>707</v>
      </c>
      <c r="F950" s="16">
        <v>2017.0</v>
      </c>
      <c r="G950" s="16">
        <v>53.3685</v>
      </c>
      <c r="H950" s="16">
        <v>7.6068</v>
      </c>
      <c r="I950" s="15"/>
      <c r="J950" s="15"/>
    </row>
    <row r="951">
      <c r="A951" s="18">
        <v>44656.0</v>
      </c>
      <c r="B951" s="16" t="s">
        <v>11256</v>
      </c>
      <c r="C951" s="16">
        <v>21.0</v>
      </c>
      <c r="D951" s="16" t="s">
        <v>10444</v>
      </c>
      <c r="E951" s="16" t="s">
        <v>707</v>
      </c>
      <c r="F951" s="16">
        <v>2018.0</v>
      </c>
      <c r="G951" s="16">
        <v>54.0507</v>
      </c>
      <c r="H951" s="16">
        <v>13.1391</v>
      </c>
      <c r="I951" s="15"/>
      <c r="J951" s="15"/>
    </row>
    <row r="952">
      <c r="A952" s="18">
        <v>44656.0</v>
      </c>
      <c r="B952" s="16" t="s">
        <v>11257</v>
      </c>
      <c r="C952" s="16">
        <v>18.0</v>
      </c>
      <c r="D952" s="16" t="s">
        <v>10444</v>
      </c>
      <c r="E952" s="16" t="s">
        <v>707</v>
      </c>
      <c r="F952" s="16">
        <v>2014.0</v>
      </c>
      <c r="G952" s="16">
        <v>49.9973</v>
      </c>
      <c r="H952" s="16">
        <v>7.7288</v>
      </c>
      <c r="I952" s="15"/>
      <c r="J952" s="15"/>
    </row>
    <row r="953">
      <c r="A953" s="18">
        <v>44656.0</v>
      </c>
      <c r="B953" s="16" t="s">
        <v>11258</v>
      </c>
      <c r="C953" s="16">
        <v>15.0</v>
      </c>
      <c r="D953" s="16" t="s">
        <v>10444</v>
      </c>
      <c r="E953" s="16" t="s">
        <v>707</v>
      </c>
      <c r="F953" s="16">
        <v>2003.0</v>
      </c>
      <c r="G953" s="16">
        <v>52.9315</v>
      </c>
      <c r="H953" s="16">
        <v>12.6008</v>
      </c>
      <c r="I953" s="15"/>
      <c r="J953" s="15"/>
    </row>
    <row r="954">
      <c r="A954" s="18">
        <v>45667.0</v>
      </c>
      <c r="B954" s="16" t="s">
        <v>11259</v>
      </c>
      <c r="C954" s="16">
        <v>18.0</v>
      </c>
      <c r="D954" s="16" t="s">
        <v>10444</v>
      </c>
      <c r="E954" s="16" t="s">
        <v>707</v>
      </c>
      <c r="F954" s="16">
        <v>2024.0</v>
      </c>
      <c r="G954" s="16">
        <v>54.1259</v>
      </c>
      <c r="H954" s="16">
        <v>9.0231</v>
      </c>
      <c r="I954" s="15"/>
      <c r="J954" s="15"/>
    </row>
    <row r="955">
      <c r="A955" s="18">
        <v>45005.0</v>
      </c>
      <c r="B955" s="16" t="s">
        <v>11260</v>
      </c>
      <c r="C955" s="16">
        <v>16.0</v>
      </c>
      <c r="D955" s="16" t="s">
        <v>10444</v>
      </c>
      <c r="E955" s="16" t="s">
        <v>707</v>
      </c>
      <c r="F955" s="16">
        <v>2013.0</v>
      </c>
      <c r="G955" s="16">
        <v>50.0</v>
      </c>
      <c r="H955" s="16">
        <v>7.3714</v>
      </c>
      <c r="I955" s="15"/>
      <c r="J955" s="15"/>
    </row>
    <row r="956">
      <c r="A956" s="18">
        <v>44656.0</v>
      </c>
      <c r="B956" s="16" t="s">
        <v>11261</v>
      </c>
      <c r="C956" s="16">
        <v>12.0</v>
      </c>
      <c r="D956" s="16" t="s">
        <v>10444</v>
      </c>
      <c r="E956" s="16" t="s">
        <v>707</v>
      </c>
      <c r="F956" s="16">
        <v>2013.0</v>
      </c>
      <c r="G956" s="16">
        <v>50.0168</v>
      </c>
      <c r="H956" s="16">
        <v>7.3857</v>
      </c>
      <c r="I956" s="15"/>
      <c r="J956" s="15"/>
    </row>
    <row r="957">
      <c r="A957" s="18">
        <v>45358.0</v>
      </c>
      <c r="B957" s="16" t="s">
        <v>11262</v>
      </c>
      <c r="C957" s="16">
        <v>21.0</v>
      </c>
      <c r="D957" s="16" t="s">
        <v>10444</v>
      </c>
      <c r="E957" s="16" t="s">
        <v>707</v>
      </c>
      <c r="F957" s="16">
        <v>2023.0</v>
      </c>
      <c r="G957" s="16">
        <v>54.285</v>
      </c>
      <c r="H957" s="16">
        <v>8.9705</v>
      </c>
      <c r="I957" s="15"/>
      <c r="J957" s="15"/>
    </row>
    <row r="958">
      <c r="A958" s="18">
        <v>44656.0</v>
      </c>
      <c r="B958" s="16" t="s">
        <v>11263</v>
      </c>
      <c r="C958" s="16">
        <v>20.0</v>
      </c>
      <c r="D958" s="16" t="s">
        <v>10444</v>
      </c>
      <c r="E958" s="16" t="s">
        <v>707</v>
      </c>
      <c r="F958" s="16">
        <v>2007.0</v>
      </c>
      <c r="G958" s="16">
        <v>53.1489</v>
      </c>
      <c r="H958" s="16">
        <v>11.7763</v>
      </c>
      <c r="I958" s="15"/>
      <c r="J958" s="15"/>
    </row>
    <row r="959">
      <c r="A959" s="18">
        <v>44656.0</v>
      </c>
      <c r="B959" s="16" t="s">
        <v>11264</v>
      </c>
      <c r="C959" s="16">
        <v>12.0</v>
      </c>
      <c r="D959" s="16" t="s">
        <v>10444</v>
      </c>
      <c r="E959" s="16" t="s">
        <v>707</v>
      </c>
      <c r="F959" s="16">
        <v>2017.0</v>
      </c>
      <c r="G959" s="16">
        <v>53.1348</v>
      </c>
      <c r="H959" s="16">
        <v>11.7831</v>
      </c>
      <c r="I959" s="15"/>
      <c r="J959" s="15"/>
    </row>
    <row r="960">
      <c r="A960" s="18">
        <v>44656.0</v>
      </c>
      <c r="B960" s="16" t="s">
        <v>11265</v>
      </c>
      <c r="C960" s="16">
        <v>16.0</v>
      </c>
      <c r="D960" s="16" t="s">
        <v>10444</v>
      </c>
      <c r="E960" s="16" t="s">
        <v>707</v>
      </c>
      <c r="F960" s="16">
        <v>2002.0</v>
      </c>
      <c r="G960" s="16">
        <v>53.145</v>
      </c>
      <c r="H960" s="16">
        <v>11.7903</v>
      </c>
      <c r="I960" s="15"/>
      <c r="J960" s="15"/>
    </row>
    <row r="961">
      <c r="A961" s="18">
        <v>45358.0</v>
      </c>
      <c r="B961" s="16" t="s">
        <v>11266</v>
      </c>
      <c r="C961" s="16">
        <v>43.0</v>
      </c>
      <c r="D961" s="16" t="s">
        <v>10444</v>
      </c>
      <c r="E961" s="16" t="s">
        <v>707</v>
      </c>
      <c r="F961" s="16">
        <v>2023.0</v>
      </c>
      <c r="G961" s="16">
        <v>53.1522</v>
      </c>
      <c r="H961" s="16">
        <v>11.7741</v>
      </c>
      <c r="I961" s="15"/>
      <c r="J961" s="15"/>
    </row>
    <row r="962">
      <c r="A962" s="18">
        <v>44656.0</v>
      </c>
      <c r="B962" s="16" t="s">
        <v>11267</v>
      </c>
      <c r="C962" s="16">
        <v>18.0</v>
      </c>
      <c r="D962" s="16" t="s">
        <v>10444</v>
      </c>
      <c r="E962" s="16" t="s">
        <v>707</v>
      </c>
      <c r="F962" s="16">
        <v>2014.0</v>
      </c>
      <c r="G962" s="16">
        <v>50.0453</v>
      </c>
      <c r="H962" s="16">
        <v>11.2961</v>
      </c>
      <c r="I962" s="15"/>
      <c r="J962" s="15"/>
    </row>
    <row r="963">
      <c r="A963" s="18">
        <v>44999.0</v>
      </c>
      <c r="B963" s="16" t="s">
        <v>11268</v>
      </c>
      <c r="C963" s="16">
        <v>342.0</v>
      </c>
      <c r="D963" s="16" t="s">
        <v>10462</v>
      </c>
      <c r="E963" s="16" t="s">
        <v>707</v>
      </c>
      <c r="F963" s="16">
        <v>2022.0</v>
      </c>
      <c r="G963" s="16">
        <v>54.49</v>
      </c>
      <c r="H963" s="16">
        <v>7.7</v>
      </c>
      <c r="I963" s="15"/>
      <c r="J963" s="15"/>
    </row>
    <row r="964">
      <c r="A964" s="18">
        <v>44656.0</v>
      </c>
      <c r="B964" s="16" t="s">
        <v>11269</v>
      </c>
      <c r="C964" s="16">
        <v>57.0</v>
      </c>
      <c r="D964" s="16" t="s">
        <v>10444</v>
      </c>
      <c r="E964" s="16" t="s">
        <v>707</v>
      </c>
      <c r="F964" s="16">
        <v>2012.0</v>
      </c>
      <c r="G964" s="16">
        <v>52.5778</v>
      </c>
      <c r="H964" s="16">
        <v>11.5116</v>
      </c>
      <c r="I964" s="15"/>
      <c r="J964" s="15"/>
    </row>
    <row r="965">
      <c r="A965" s="18">
        <v>44656.0</v>
      </c>
      <c r="B965" s="16" t="s">
        <v>11270</v>
      </c>
      <c r="C965" s="16">
        <v>15.0</v>
      </c>
      <c r="D965" s="16" t="s">
        <v>10444</v>
      </c>
      <c r="E965" s="16" t="s">
        <v>707</v>
      </c>
      <c r="F965" s="16">
        <v>2014.0</v>
      </c>
      <c r="G965" s="16">
        <v>53.7592</v>
      </c>
      <c r="H965" s="16">
        <v>10.5611</v>
      </c>
      <c r="I965" s="15"/>
      <c r="J965" s="15"/>
    </row>
    <row r="966">
      <c r="A966" s="18">
        <v>44656.0</v>
      </c>
      <c r="B966" s="16" t="s">
        <v>11271</v>
      </c>
      <c r="C966" s="16">
        <v>10.0</v>
      </c>
      <c r="D966" s="16" t="s">
        <v>10444</v>
      </c>
      <c r="E966" s="16" t="s">
        <v>707</v>
      </c>
      <c r="F966" s="16">
        <v>2015.0</v>
      </c>
      <c r="G966" s="16">
        <v>53.9233</v>
      </c>
      <c r="H966" s="16">
        <v>9.0769</v>
      </c>
      <c r="I966" s="15"/>
      <c r="J966" s="15"/>
    </row>
    <row r="967">
      <c r="A967" s="18">
        <v>44999.0</v>
      </c>
      <c r="B967" s="16" t="s">
        <v>11271</v>
      </c>
      <c r="C967" s="16">
        <v>14.0</v>
      </c>
      <c r="D967" s="16" t="s">
        <v>10444</v>
      </c>
      <c r="E967" s="16" t="s">
        <v>707</v>
      </c>
      <c r="F967" s="16">
        <v>2022.0</v>
      </c>
      <c r="G967" s="16">
        <v>53.9213</v>
      </c>
      <c r="H967" s="16">
        <v>9.065</v>
      </c>
      <c r="I967" s="15"/>
      <c r="J967" s="15"/>
    </row>
    <row r="968">
      <c r="A968" s="18">
        <v>44985.0</v>
      </c>
      <c r="B968" s="16" t="s">
        <v>11272</v>
      </c>
      <c r="C968" s="16">
        <v>18.0</v>
      </c>
      <c r="D968" s="16" t="s">
        <v>10444</v>
      </c>
      <c r="E968" s="16" t="s">
        <v>707</v>
      </c>
      <c r="F968" s="16">
        <v>2022.0</v>
      </c>
      <c r="G968" s="16">
        <v>53.9252</v>
      </c>
      <c r="H968" s="16">
        <v>9.0632</v>
      </c>
      <c r="I968" s="15"/>
      <c r="J968" s="15"/>
    </row>
    <row r="969">
      <c r="A969" s="18">
        <v>44656.0</v>
      </c>
      <c r="B969" s="16" t="s">
        <v>11273</v>
      </c>
      <c r="C969" s="16">
        <v>14.0</v>
      </c>
      <c r="D969" s="16" t="s">
        <v>10444</v>
      </c>
      <c r="E969" s="16" t="s">
        <v>707</v>
      </c>
      <c r="F969" s="16">
        <v>2014.0</v>
      </c>
      <c r="G969" s="16">
        <v>51.0264</v>
      </c>
      <c r="H969" s="16">
        <v>11.0878</v>
      </c>
      <c r="I969" s="15"/>
      <c r="J969" s="15"/>
    </row>
    <row r="970">
      <c r="A970" s="18">
        <v>44656.0</v>
      </c>
      <c r="B970" s="16" t="s">
        <v>11274</v>
      </c>
      <c r="C970" s="16">
        <v>27.0</v>
      </c>
      <c r="D970" s="16" t="s">
        <v>10444</v>
      </c>
      <c r="E970" s="16" t="s">
        <v>707</v>
      </c>
      <c r="F970" s="16">
        <v>2016.0</v>
      </c>
      <c r="G970" s="16">
        <v>51.2482</v>
      </c>
      <c r="H970" s="16">
        <v>9.6517</v>
      </c>
      <c r="I970" s="15"/>
      <c r="J970" s="15"/>
    </row>
    <row r="971">
      <c r="A971" s="18">
        <v>44656.0</v>
      </c>
      <c r="B971" s="16" t="s">
        <v>11275</v>
      </c>
      <c r="C971" s="16">
        <v>12.0</v>
      </c>
      <c r="D971" s="16" t="s">
        <v>10444</v>
      </c>
      <c r="E971" s="16" t="s">
        <v>707</v>
      </c>
      <c r="F971" s="16">
        <v>2006.0</v>
      </c>
      <c r="G971" s="16">
        <v>51.5221</v>
      </c>
      <c r="H971" s="16">
        <v>13.3169</v>
      </c>
      <c r="I971" s="15"/>
      <c r="J971" s="15"/>
    </row>
    <row r="972">
      <c r="A972" s="18">
        <v>44656.0</v>
      </c>
      <c r="B972" s="16" t="s">
        <v>11276</v>
      </c>
      <c r="C972" s="16">
        <v>13.0</v>
      </c>
      <c r="D972" s="16" t="s">
        <v>10444</v>
      </c>
      <c r="E972" s="16" t="s">
        <v>707</v>
      </c>
      <c r="F972" s="16">
        <v>2016.0</v>
      </c>
      <c r="G972" s="16">
        <v>50.3722</v>
      </c>
      <c r="H972" s="16">
        <v>9.2193</v>
      </c>
      <c r="I972" s="15"/>
      <c r="J972" s="15"/>
    </row>
    <row r="973">
      <c r="A973" s="18">
        <v>44656.0</v>
      </c>
      <c r="B973" s="16" t="s">
        <v>11277</v>
      </c>
      <c r="C973" s="16">
        <v>15.0</v>
      </c>
      <c r="D973" s="16" t="s">
        <v>10444</v>
      </c>
      <c r="E973" s="16" t="s">
        <v>707</v>
      </c>
      <c r="F973" s="16">
        <v>2005.0</v>
      </c>
      <c r="G973" s="16">
        <v>51.779</v>
      </c>
      <c r="H973" s="16">
        <v>12.6802</v>
      </c>
      <c r="I973" s="15"/>
      <c r="J973" s="15"/>
    </row>
    <row r="974">
      <c r="A974" s="18">
        <v>44656.0</v>
      </c>
      <c r="B974" s="16" t="s">
        <v>11277</v>
      </c>
      <c r="C974" s="16">
        <v>10.0</v>
      </c>
      <c r="D974" s="16" t="s">
        <v>10444</v>
      </c>
      <c r="E974" s="16" t="s">
        <v>707</v>
      </c>
      <c r="F974" s="16">
        <v>2012.0</v>
      </c>
      <c r="G974" s="16">
        <v>51.7716</v>
      </c>
      <c r="H974" s="16">
        <v>12.7052</v>
      </c>
      <c r="I974" s="15"/>
      <c r="J974" s="15"/>
    </row>
    <row r="975">
      <c r="A975" s="18">
        <v>45034.0</v>
      </c>
      <c r="B975" s="16" t="s">
        <v>11277</v>
      </c>
      <c r="C975" s="16">
        <v>10.0</v>
      </c>
      <c r="D975" s="16" t="s">
        <v>10444</v>
      </c>
      <c r="E975" s="16" t="s">
        <v>707</v>
      </c>
      <c r="F975" s="16">
        <v>2014.0</v>
      </c>
      <c r="G975" s="16">
        <v>51.7773</v>
      </c>
      <c r="H975" s="16">
        <v>12.6654</v>
      </c>
      <c r="I975" s="15"/>
      <c r="J975" s="15"/>
    </row>
    <row r="976">
      <c r="A976" s="18">
        <v>44656.0</v>
      </c>
      <c r="B976" s="16" t="s">
        <v>11278</v>
      </c>
      <c r="C976" s="16">
        <v>22.0</v>
      </c>
      <c r="D976" s="16" t="s">
        <v>10444</v>
      </c>
      <c r="E976" s="16" t="s">
        <v>707</v>
      </c>
      <c r="F976" s="16">
        <v>2001.0</v>
      </c>
      <c r="G976" s="16">
        <v>53.1296</v>
      </c>
      <c r="H976" s="16">
        <v>12.2284</v>
      </c>
      <c r="I976" s="15"/>
      <c r="J976" s="15"/>
    </row>
    <row r="977">
      <c r="A977" s="18">
        <v>44656.0</v>
      </c>
      <c r="B977" s="16" t="s">
        <v>11278</v>
      </c>
      <c r="C977" s="16">
        <v>10.0</v>
      </c>
      <c r="D977" s="16" t="s">
        <v>10444</v>
      </c>
      <c r="E977" s="16" t="s">
        <v>707</v>
      </c>
      <c r="F977" s="16">
        <v>2016.0</v>
      </c>
      <c r="G977" s="16">
        <v>53.1352</v>
      </c>
      <c r="H977" s="16">
        <v>12.2149</v>
      </c>
      <c r="I977" s="15"/>
      <c r="J977" s="15"/>
    </row>
    <row r="978">
      <c r="A978" s="18">
        <v>44986.0</v>
      </c>
      <c r="B978" s="16" t="s">
        <v>11279</v>
      </c>
      <c r="C978" s="16">
        <v>20.0</v>
      </c>
      <c r="D978" s="16" t="s">
        <v>10444</v>
      </c>
      <c r="E978" s="16" t="s">
        <v>707</v>
      </c>
      <c r="F978" s="16">
        <v>2022.0</v>
      </c>
      <c r="G978" s="16">
        <v>51.4602</v>
      </c>
      <c r="H978" s="16">
        <v>6.4007</v>
      </c>
      <c r="I978" s="15"/>
      <c r="J978" s="15"/>
    </row>
    <row r="979">
      <c r="A979" s="18">
        <v>45362.0</v>
      </c>
      <c r="B979" s="16" t="s">
        <v>11280</v>
      </c>
      <c r="C979" s="16">
        <v>11.0</v>
      </c>
      <c r="D979" s="16" t="s">
        <v>10444</v>
      </c>
      <c r="E979" s="16" t="s">
        <v>707</v>
      </c>
      <c r="F979" s="16">
        <v>2023.0</v>
      </c>
      <c r="G979" s="16">
        <v>53.0607</v>
      </c>
      <c r="H979" s="16">
        <v>13.9917</v>
      </c>
      <c r="I979" s="15"/>
      <c r="J979" s="15"/>
    </row>
    <row r="980">
      <c r="A980" s="18">
        <v>45364.0</v>
      </c>
      <c r="B980" s="16" t="s">
        <v>11281</v>
      </c>
      <c r="C980" s="16">
        <v>66.0</v>
      </c>
      <c r="D980" s="16" t="s">
        <v>10444</v>
      </c>
      <c r="E980" s="16" t="s">
        <v>707</v>
      </c>
      <c r="F980" s="16">
        <v>2024.0</v>
      </c>
      <c r="G980" s="16">
        <v>54.0597</v>
      </c>
      <c r="H980" s="16">
        <v>10.6321</v>
      </c>
      <c r="I980" s="15"/>
      <c r="J980" s="15"/>
    </row>
    <row r="981">
      <c r="A981" s="18">
        <v>44656.0</v>
      </c>
      <c r="B981" s="16" t="s">
        <v>11282</v>
      </c>
      <c r="C981" s="16">
        <v>33.0</v>
      </c>
      <c r="D981" s="16" t="s">
        <v>10444</v>
      </c>
      <c r="E981" s="16" t="s">
        <v>707</v>
      </c>
      <c r="F981" s="15"/>
      <c r="G981" s="16">
        <v>50.1534</v>
      </c>
      <c r="H981" s="16">
        <v>6.2308</v>
      </c>
      <c r="I981" s="15"/>
      <c r="J981" s="15"/>
    </row>
    <row r="982">
      <c r="A982" s="18">
        <v>44656.0</v>
      </c>
      <c r="B982" s="16" t="s">
        <v>11283</v>
      </c>
      <c r="C982" s="16">
        <v>18.0</v>
      </c>
      <c r="D982" s="16" t="s">
        <v>10444</v>
      </c>
      <c r="E982" s="16" t="s">
        <v>707</v>
      </c>
      <c r="F982" s="15"/>
      <c r="G982" s="16">
        <v>52.5271</v>
      </c>
      <c r="H982" s="16">
        <v>12.8904</v>
      </c>
      <c r="I982" s="15"/>
      <c r="J982" s="15"/>
    </row>
    <row r="983">
      <c r="A983" s="18">
        <v>44656.0</v>
      </c>
      <c r="B983" s="16" t="s">
        <v>11283</v>
      </c>
      <c r="C983" s="16">
        <v>16.0</v>
      </c>
      <c r="D983" s="16" t="s">
        <v>10444</v>
      </c>
      <c r="E983" s="16" t="s">
        <v>707</v>
      </c>
      <c r="F983" s="16">
        <v>2009.0</v>
      </c>
      <c r="G983" s="16">
        <v>52.5262</v>
      </c>
      <c r="H983" s="16">
        <v>12.8931</v>
      </c>
      <c r="I983" s="15"/>
      <c r="J983" s="15"/>
    </row>
    <row r="984">
      <c r="A984" s="18">
        <v>45355.0</v>
      </c>
      <c r="B984" s="16" t="s">
        <v>11284</v>
      </c>
      <c r="C984" s="16">
        <v>12.0</v>
      </c>
      <c r="D984" s="16" t="s">
        <v>10444</v>
      </c>
      <c r="E984" s="16" t="s">
        <v>707</v>
      </c>
      <c r="F984" s="16">
        <v>2023.0</v>
      </c>
      <c r="G984" s="16">
        <v>51.3171</v>
      </c>
      <c r="H984" s="16">
        <v>10.5344</v>
      </c>
      <c r="I984" s="15"/>
      <c r="J984" s="15"/>
    </row>
    <row r="985">
      <c r="A985" s="18">
        <v>44656.0</v>
      </c>
      <c r="B985" s="16" t="s">
        <v>11285</v>
      </c>
      <c r="C985" s="16">
        <v>26.0</v>
      </c>
      <c r="D985" s="16" t="s">
        <v>10444</v>
      </c>
      <c r="E985" s="16" t="s">
        <v>707</v>
      </c>
      <c r="F985" s="16">
        <v>2016.0</v>
      </c>
      <c r="G985" s="16">
        <v>51.6642</v>
      </c>
      <c r="H985" s="16">
        <v>13.3609</v>
      </c>
      <c r="I985" s="15"/>
      <c r="J985" s="15"/>
    </row>
    <row r="986">
      <c r="A986" s="18">
        <v>44656.0</v>
      </c>
      <c r="B986" s="16" t="s">
        <v>11286</v>
      </c>
      <c r="C986" s="16">
        <v>53.0</v>
      </c>
      <c r="D986" s="16" t="s">
        <v>10444</v>
      </c>
      <c r="E986" s="16" t="s">
        <v>707</v>
      </c>
      <c r="F986" s="16">
        <v>2012.0</v>
      </c>
      <c r="G986" s="16">
        <v>49.1868</v>
      </c>
      <c r="H986" s="16">
        <v>9.9545</v>
      </c>
      <c r="I986" s="15"/>
      <c r="J986" s="15"/>
    </row>
    <row r="987">
      <c r="A987" s="18">
        <v>45012.0</v>
      </c>
      <c r="B987" s="16" t="s">
        <v>11287</v>
      </c>
      <c r="C987" s="16">
        <v>10.0</v>
      </c>
      <c r="D987" s="16" t="s">
        <v>10444</v>
      </c>
      <c r="E987" s="16" t="s">
        <v>707</v>
      </c>
      <c r="F987" s="16">
        <v>2016.0</v>
      </c>
      <c r="G987" s="16">
        <v>51.3059</v>
      </c>
      <c r="H987" s="16">
        <v>10.9297</v>
      </c>
      <c r="I987" s="15"/>
      <c r="J987" s="15"/>
    </row>
    <row r="988">
      <c r="A988" s="18">
        <v>45370.0</v>
      </c>
      <c r="B988" s="16" t="s">
        <v>11287</v>
      </c>
      <c r="C988" s="16">
        <v>11.0</v>
      </c>
      <c r="D988" s="16" t="s">
        <v>10444</v>
      </c>
      <c r="E988" s="16" t="s">
        <v>707</v>
      </c>
      <c r="F988" s="16">
        <v>2022.0</v>
      </c>
      <c r="G988" s="16">
        <v>51.3017</v>
      </c>
      <c r="H988" s="16">
        <v>10.925</v>
      </c>
      <c r="I988" s="15"/>
      <c r="J988" s="15"/>
    </row>
    <row r="989">
      <c r="A989" s="18">
        <v>44992.0</v>
      </c>
      <c r="B989" s="16" t="s">
        <v>11288</v>
      </c>
      <c r="C989" s="16">
        <v>14.0</v>
      </c>
      <c r="D989" s="16" t="s">
        <v>10444</v>
      </c>
      <c r="E989" s="16" t="s">
        <v>707</v>
      </c>
      <c r="F989" s="16">
        <v>2011.0</v>
      </c>
      <c r="G989" s="16">
        <v>51.1879</v>
      </c>
      <c r="H989" s="16">
        <v>10.7487</v>
      </c>
      <c r="I989" s="15"/>
      <c r="J989" s="15"/>
    </row>
    <row r="990">
      <c r="A990" s="18">
        <v>44656.0</v>
      </c>
      <c r="B990" s="16" t="s">
        <v>11288</v>
      </c>
      <c r="C990" s="16">
        <v>12.0</v>
      </c>
      <c r="D990" s="16" t="s">
        <v>10444</v>
      </c>
      <c r="E990" s="16" t="s">
        <v>707</v>
      </c>
      <c r="F990" s="16">
        <v>2014.0</v>
      </c>
      <c r="G990" s="16">
        <v>51.195</v>
      </c>
      <c r="H990" s="16">
        <v>10.727</v>
      </c>
      <c r="I990" s="15"/>
      <c r="J990" s="15"/>
    </row>
    <row r="991">
      <c r="A991" s="18">
        <v>45370.0</v>
      </c>
      <c r="B991" s="16" t="s">
        <v>11288</v>
      </c>
      <c r="C991" s="16">
        <v>15.0</v>
      </c>
      <c r="D991" s="16" t="s">
        <v>10444</v>
      </c>
      <c r="E991" s="16" t="s">
        <v>707</v>
      </c>
      <c r="F991" s="16">
        <v>2022.0</v>
      </c>
      <c r="G991" s="16">
        <v>51.1854</v>
      </c>
      <c r="H991" s="16">
        <v>10.7421</v>
      </c>
      <c r="I991" s="15"/>
      <c r="J991" s="15"/>
    </row>
    <row r="992">
      <c r="A992" s="18">
        <v>45005.0</v>
      </c>
      <c r="B992" s="16" t="s">
        <v>11289</v>
      </c>
      <c r="C992" s="16">
        <v>10.0</v>
      </c>
      <c r="D992" s="16" t="s">
        <v>10444</v>
      </c>
      <c r="E992" s="16" t="s">
        <v>707</v>
      </c>
      <c r="F992" s="16">
        <v>2017.0</v>
      </c>
      <c r="G992" s="16">
        <v>50.8457</v>
      </c>
      <c r="H992" s="16">
        <v>9.603</v>
      </c>
      <c r="I992" s="15"/>
      <c r="J992" s="15"/>
    </row>
    <row r="993">
      <c r="A993" s="18">
        <v>45370.0</v>
      </c>
      <c r="B993" s="16" t="s">
        <v>11290</v>
      </c>
      <c r="C993" s="16">
        <v>69.0</v>
      </c>
      <c r="D993" s="16" t="s">
        <v>10444</v>
      </c>
      <c r="E993" s="16" t="s">
        <v>707</v>
      </c>
      <c r="F993" s="16">
        <v>2014.0</v>
      </c>
      <c r="G993" s="16">
        <v>54.7906</v>
      </c>
      <c r="H993" s="16">
        <v>9.1849</v>
      </c>
      <c r="I993" s="15"/>
      <c r="J993" s="15"/>
    </row>
    <row r="994">
      <c r="A994" s="18">
        <v>45027.0</v>
      </c>
      <c r="B994" s="16" t="s">
        <v>11291</v>
      </c>
      <c r="C994" s="16">
        <v>16.0</v>
      </c>
      <c r="D994" s="16" t="s">
        <v>10444</v>
      </c>
      <c r="E994" s="16" t="s">
        <v>707</v>
      </c>
      <c r="F994" s="16">
        <v>2006.0</v>
      </c>
      <c r="G994" s="16">
        <v>53.4185</v>
      </c>
      <c r="H994" s="16">
        <v>8.9318</v>
      </c>
      <c r="I994" s="15"/>
      <c r="J994" s="15"/>
    </row>
    <row r="995">
      <c r="A995" s="18">
        <v>44656.0</v>
      </c>
      <c r="B995" s="16" t="s">
        <v>11292</v>
      </c>
      <c r="C995" s="16">
        <v>22.0</v>
      </c>
      <c r="D995" s="16" t="s">
        <v>10444</v>
      </c>
      <c r="E995" s="16" t="s">
        <v>707</v>
      </c>
      <c r="F995" s="16">
        <v>2006.0</v>
      </c>
      <c r="G995" s="16">
        <v>50.0567</v>
      </c>
      <c r="H995" s="16">
        <v>7.6309</v>
      </c>
      <c r="I995" s="15"/>
      <c r="J995" s="15"/>
    </row>
    <row r="996">
      <c r="A996" s="18">
        <v>44656.0</v>
      </c>
      <c r="B996" s="16" t="s">
        <v>11293</v>
      </c>
      <c r="C996" s="16">
        <v>12.0</v>
      </c>
      <c r="D996" s="16" t="s">
        <v>10444</v>
      </c>
      <c r="E996" s="16" t="s">
        <v>707</v>
      </c>
      <c r="F996" s="16">
        <v>2013.0</v>
      </c>
      <c r="G996" s="16">
        <v>50.0039</v>
      </c>
      <c r="H996" s="16">
        <v>7.4578</v>
      </c>
      <c r="I996" s="15"/>
      <c r="J996" s="15"/>
    </row>
    <row r="997">
      <c r="A997" s="18">
        <v>44656.0</v>
      </c>
      <c r="B997" s="16" t="s">
        <v>11294</v>
      </c>
      <c r="C997" s="16">
        <v>10.0</v>
      </c>
      <c r="D997" s="16" t="s">
        <v>10444</v>
      </c>
      <c r="E997" s="16" t="s">
        <v>707</v>
      </c>
      <c r="F997" s="16">
        <v>2006.0</v>
      </c>
      <c r="G997" s="16">
        <v>51.8217</v>
      </c>
      <c r="H997" s="16">
        <v>13.9408</v>
      </c>
      <c r="I997" s="15"/>
      <c r="J997" s="15"/>
    </row>
    <row r="998">
      <c r="A998" s="18">
        <v>44656.0</v>
      </c>
      <c r="B998" s="16" t="s">
        <v>11294</v>
      </c>
      <c r="C998" s="16">
        <v>16.0</v>
      </c>
      <c r="D998" s="16" t="s">
        <v>10444</v>
      </c>
      <c r="E998" s="16" t="s">
        <v>707</v>
      </c>
      <c r="F998" s="16">
        <v>2010.0</v>
      </c>
      <c r="G998" s="16">
        <v>51.8012</v>
      </c>
      <c r="H998" s="16">
        <v>13.9407</v>
      </c>
      <c r="I998" s="15"/>
      <c r="J998" s="15"/>
    </row>
    <row r="999">
      <c r="A999" s="18">
        <v>44656.0</v>
      </c>
      <c r="B999" s="16" t="s">
        <v>11294</v>
      </c>
      <c r="C999" s="16">
        <v>21.0</v>
      </c>
      <c r="D999" s="16" t="s">
        <v>10444</v>
      </c>
      <c r="E999" s="16" t="s">
        <v>707</v>
      </c>
      <c r="F999" s="16">
        <v>2019.0</v>
      </c>
      <c r="G999" s="16">
        <v>51.8142</v>
      </c>
      <c r="H999" s="16">
        <v>13.9435</v>
      </c>
      <c r="I999" s="15"/>
      <c r="J999" s="15"/>
    </row>
    <row r="1000">
      <c r="A1000" s="18">
        <v>44656.0</v>
      </c>
      <c r="B1000" s="16" t="s">
        <v>11295</v>
      </c>
      <c r="C1000" s="16">
        <v>10.0</v>
      </c>
      <c r="D1000" s="16" t="s">
        <v>10444</v>
      </c>
      <c r="E1000" s="16" t="s">
        <v>707</v>
      </c>
      <c r="F1000" s="16">
        <v>1998.0</v>
      </c>
      <c r="G1000" s="16">
        <v>53.5426</v>
      </c>
      <c r="H1000" s="16">
        <v>11.799</v>
      </c>
      <c r="I1000" s="15"/>
      <c r="J1000" s="15"/>
    </row>
    <row r="1001">
      <c r="A1001" s="18">
        <v>45377.0</v>
      </c>
      <c r="B1001" s="16" t="s">
        <v>11295</v>
      </c>
      <c r="C1001" s="16">
        <v>10.0</v>
      </c>
      <c r="D1001" s="16" t="s">
        <v>10444</v>
      </c>
      <c r="E1001" s="16" t="s">
        <v>707</v>
      </c>
      <c r="F1001" s="16">
        <v>2022.0</v>
      </c>
      <c r="G1001" s="16">
        <v>53.5484</v>
      </c>
      <c r="H1001" s="16">
        <v>11.8125</v>
      </c>
      <c r="I1001" s="15"/>
      <c r="J1001" s="15"/>
    </row>
    <row r="1002">
      <c r="A1002" s="18">
        <v>44656.0</v>
      </c>
      <c r="B1002" s="16" t="s">
        <v>11296</v>
      </c>
      <c r="C1002" s="16">
        <v>10.0</v>
      </c>
      <c r="D1002" s="16" t="s">
        <v>10444</v>
      </c>
      <c r="E1002" s="16" t="s">
        <v>707</v>
      </c>
      <c r="F1002" s="16">
        <v>2011.0</v>
      </c>
      <c r="G1002" s="16">
        <v>54.8532</v>
      </c>
      <c r="H1002" s="16">
        <v>8.6847</v>
      </c>
      <c r="I1002" s="15"/>
      <c r="J1002" s="15"/>
    </row>
    <row r="1003">
      <c r="A1003" s="18">
        <v>45028.0</v>
      </c>
      <c r="B1003" s="16" t="s">
        <v>11297</v>
      </c>
      <c r="C1003" s="16">
        <v>11.0</v>
      </c>
      <c r="D1003" s="16" t="s">
        <v>10444</v>
      </c>
      <c r="E1003" s="16" t="s">
        <v>707</v>
      </c>
      <c r="F1003" s="16">
        <v>1999.0</v>
      </c>
      <c r="G1003" s="16">
        <v>53.9131</v>
      </c>
      <c r="H1003" s="16">
        <v>13.6386</v>
      </c>
      <c r="I1003" s="15"/>
      <c r="J1003" s="15"/>
    </row>
    <row r="1004">
      <c r="A1004" s="18">
        <v>44656.0</v>
      </c>
      <c r="B1004" s="16" t="s">
        <v>11297</v>
      </c>
      <c r="C1004" s="16">
        <v>14.0</v>
      </c>
      <c r="D1004" s="16" t="s">
        <v>10444</v>
      </c>
      <c r="E1004" s="16" t="s">
        <v>707</v>
      </c>
      <c r="F1004" s="16">
        <v>2009.0</v>
      </c>
      <c r="G1004" s="16">
        <v>53.9148</v>
      </c>
      <c r="H1004" s="16">
        <v>13.6384</v>
      </c>
      <c r="I1004" s="15"/>
      <c r="J1004" s="15"/>
    </row>
    <row r="1005">
      <c r="A1005" s="18">
        <v>44656.0</v>
      </c>
      <c r="B1005" s="16" t="s">
        <v>11298</v>
      </c>
      <c r="C1005" s="16">
        <v>10.0</v>
      </c>
      <c r="D1005" s="16" t="s">
        <v>10444</v>
      </c>
      <c r="E1005" s="16" t="s">
        <v>707</v>
      </c>
      <c r="F1005" s="16">
        <v>2016.0</v>
      </c>
      <c r="G1005" s="16">
        <v>51.9807</v>
      </c>
      <c r="H1005" s="16">
        <v>14.1108</v>
      </c>
      <c r="I1005" s="15"/>
      <c r="J1005" s="15"/>
    </row>
    <row r="1006">
      <c r="A1006" s="18">
        <v>44656.0</v>
      </c>
      <c r="B1006" s="16" t="s">
        <v>11298</v>
      </c>
      <c r="C1006" s="16">
        <v>46.0</v>
      </c>
      <c r="D1006" s="16" t="s">
        <v>10444</v>
      </c>
      <c r="E1006" s="16" t="s">
        <v>707</v>
      </c>
      <c r="F1006" s="16">
        <v>2014.0</v>
      </c>
      <c r="G1006" s="16">
        <v>51.9807</v>
      </c>
      <c r="H1006" s="16">
        <v>14.1108</v>
      </c>
      <c r="I1006" s="15"/>
      <c r="J1006" s="15"/>
    </row>
    <row r="1007">
      <c r="A1007" s="18">
        <v>44656.0</v>
      </c>
      <c r="B1007" s="16" t="s">
        <v>11298</v>
      </c>
      <c r="C1007" s="16">
        <v>17.0</v>
      </c>
      <c r="D1007" s="16" t="s">
        <v>10444</v>
      </c>
      <c r="E1007" s="16" t="s">
        <v>707</v>
      </c>
      <c r="F1007" s="16">
        <v>2015.0</v>
      </c>
      <c r="G1007" s="16">
        <v>51.9807</v>
      </c>
      <c r="H1007" s="16">
        <v>14.1108</v>
      </c>
      <c r="I1007" s="15"/>
      <c r="J1007" s="15"/>
    </row>
    <row r="1008">
      <c r="A1008" s="18">
        <v>45370.0</v>
      </c>
      <c r="B1008" s="16" t="s">
        <v>11298</v>
      </c>
      <c r="C1008" s="16">
        <v>20.0</v>
      </c>
      <c r="D1008" s="16" t="s">
        <v>10444</v>
      </c>
      <c r="E1008" s="16" t="s">
        <v>707</v>
      </c>
      <c r="F1008" s="16">
        <v>2022.0</v>
      </c>
      <c r="G1008" s="16">
        <v>51.9901</v>
      </c>
      <c r="H1008" s="16">
        <v>14.0887</v>
      </c>
      <c r="I1008" s="15"/>
      <c r="J1008" s="15"/>
    </row>
    <row r="1009">
      <c r="A1009" s="18">
        <v>44656.0</v>
      </c>
      <c r="B1009" s="16" t="s">
        <v>11299</v>
      </c>
      <c r="C1009" s="16">
        <v>10.0</v>
      </c>
      <c r="D1009" s="16" t="s">
        <v>10444</v>
      </c>
      <c r="E1009" s="16" t="s">
        <v>707</v>
      </c>
      <c r="F1009" s="16">
        <v>2006.0</v>
      </c>
      <c r="G1009" s="16">
        <v>51.11</v>
      </c>
      <c r="H1009" s="16">
        <v>11.2655</v>
      </c>
      <c r="I1009" s="15"/>
      <c r="J1009" s="15"/>
    </row>
    <row r="1010">
      <c r="A1010" s="18">
        <v>44656.0</v>
      </c>
      <c r="B1010" s="16" t="s">
        <v>11300</v>
      </c>
      <c r="C1010" s="16">
        <v>18.0</v>
      </c>
      <c r="D1010" s="16" t="s">
        <v>10444</v>
      </c>
      <c r="E1010" s="16" t="s">
        <v>707</v>
      </c>
      <c r="F1010" s="16">
        <v>2002.0</v>
      </c>
      <c r="G1010" s="16">
        <v>51.8025</v>
      </c>
      <c r="H1010" s="16">
        <v>11.8832</v>
      </c>
      <c r="I1010" s="15"/>
      <c r="J1010" s="15"/>
    </row>
    <row r="1011">
      <c r="A1011" s="18">
        <v>44656.0</v>
      </c>
      <c r="B1011" s="16" t="s">
        <v>11301</v>
      </c>
      <c r="C1011" s="16">
        <v>16.0</v>
      </c>
      <c r="D1011" s="16" t="s">
        <v>10444</v>
      </c>
      <c r="E1011" s="16" t="s">
        <v>707</v>
      </c>
      <c r="F1011" s="16">
        <v>2006.0</v>
      </c>
      <c r="G1011" s="16">
        <v>53.44</v>
      </c>
      <c r="H1011" s="16">
        <v>13.7474</v>
      </c>
      <c r="I1011" s="15"/>
      <c r="J1011" s="15"/>
    </row>
    <row r="1012">
      <c r="A1012" s="18">
        <v>45012.0</v>
      </c>
      <c r="B1012" s="16" t="s">
        <v>11301</v>
      </c>
      <c r="C1012" s="16">
        <v>10.0</v>
      </c>
      <c r="D1012" s="16" t="s">
        <v>10444</v>
      </c>
      <c r="E1012" s="16" t="s">
        <v>707</v>
      </c>
      <c r="F1012" s="16">
        <v>2009.0</v>
      </c>
      <c r="G1012" s="16">
        <v>53.4296</v>
      </c>
      <c r="H1012" s="16">
        <v>13.757</v>
      </c>
      <c r="I1012" s="15"/>
      <c r="J1012" s="15"/>
    </row>
    <row r="1013">
      <c r="A1013" s="18">
        <v>44656.0</v>
      </c>
      <c r="B1013" s="16" t="s">
        <v>11302</v>
      </c>
      <c r="C1013" s="16">
        <v>89.0</v>
      </c>
      <c r="D1013" s="16" t="s">
        <v>10444</v>
      </c>
      <c r="E1013" s="16" t="s">
        <v>707</v>
      </c>
      <c r="F1013" s="16">
        <v>2015.0</v>
      </c>
      <c r="G1013" s="16">
        <v>51.5402</v>
      </c>
      <c r="H1013" s="16">
        <v>13.8691</v>
      </c>
      <c r="I1013" s="15"/>
      <c r="J1013" s="15"/>
    </row>
    <row r="1014">
      <c r="A1014" s="18">
        <v>44656.0</v>
      </c>
      <c r="B1014" s="16" t="s">
        <v>11302</v>
      </c>
      <c r="C1014" s="16">
        <v>17.0</v>
      </c>
      <c r="D1014" s="16" t="s">
        <v>10444</v>
      </c>
      <c r="E1014" s="16" t="s">
        <v>707</v>
      </c>
      <c r="F1014" s="15"/>
      <c r="G1014" s="16">
        <v>51.5216</v>
      </c>
      <c r="H1014" s="16">
        <v>13.8689</v>
      </c>
      <c r="I1014" s="15"/>
      <c r="J1014" s="15"/>
    </row>
    <row r="1015">
      <c r="A1015" s="18">
        <v>44656.0</v>
      </c>
      <c r="B1015" s="16" t="s">
        <v>11303</v>
      </c>
      <c r="C1015" s="16">
        <v>14.0</v>
      </c>
      <c r="D1015" s="16" t="s">
        <v>10444</v>
      </c>
      <c r="E1015" s="16" t="s">
        <v>707</v>
      </c>
      <c r="F1015" s="16">
        <v>2014.0</v>
      </c>
      <c r="G1015" s="16">
        <v>53.91</v>
      </c>
      <c r="H1015" s="16">
        <v>13.15</v>
      </c>
      <c r="I1015" s="15"/>
      <c r="J1015" s="15"/>
    </row>
    <row r="1016">
      <c r="A1016" s="18">
        <v>44656.0</v>
      </c>
      <c r="B1016" s="16" t="s">
        <v>11303</v>
      </c>
      <c r="C1016" s="16">
        <v>13.0</v>
      </c>
      <c r="D1016" s="16" t="s">
        <v>10444</v>
      </c>
      <c r="E1016" s="16" t="s">
        <v>707</v>
      </c>
      <c r="F1016" s="16">
        <v>2017.0</v>
      </c>
      <c r="G1016" s="16">
        <v>53.9125</v>
      </c>
      <c r="H1016" s="16">
        <v>13.1522</v>
      </c>
      <c r="I1016" s="15"/>
      <c r="J1016" s="15"/>
    </row>
    <row r="1017">
      <c r="A1017" s="18">
        <v>44656.0</v>
      </c>
      <c r="B1017" s="16" t="s">
        <v>11303</v>
      </c>
      <c r="C1017" s="16">
        <v>17.0</v>
      </c>
      <c r="D1017" s="16" t="s">
        <v>10444</v>
      </c>
      <c r="E1017" s="16" t="s">
        <v>707</v>
      </c>
      <c r="F1017" s="15"/>
      <c r="G1017" s="16">
        <v>53.9141</v>
      </c>
      <c r="H1017" s="16">
        <v>13.1522</v>
      </c>
      <c r="I1017" s="15"/>
      <c r="J1017" s="15"/>
    </row>
    <row r="1018">
      <c r="A1018" s="18">
        <v>44656.0</v>
      </c>
      <c r="B1018" s="16" t="s">
        <v>11304</v>
      </c>
      <c r="C1018" s="16">
        <v>11.0</v>
      </c>
      <c r="D1018" s="16" t="s">
        <v>10444</v>
      </c>
      <c r="E1018" s="16" t="s">
        <v>707</v>
      </c>
      <c r="F1018" s="16">
        <v>2021.0</v>
      </c>
      <c r="G1018" s="16">
        <v>52.9852</v>
      </c>
      <c r="H1018" s="16">
        <v>12.0799</v>
      </c>
      <c r="I1018" s="15"/>
      <c r="J1018" s="15"/>
    </row>
    <row r="1019">
      <c r="A1019" s="18">
        <v>45005.0</v>
      </c>
      <c r="B1019" s="16" t="s">
        <v>11305</v>
      </c>
      <c r="C1019" s="16">
        <v>18.0</v>
      </c>
      <c r="D1019" s="16" t="s">
        <v>10444</v>
      </c>
      <c r="E1019" s="16" t="s">
        <v>707</v>
      </c>
      <c r="F1019" s="16">
        <v>2016.0</v>
      </c>
      <c r="G1019" s="16">
        <v>53.2623</v>
      </c>
      <c r="H1019" s="16">
        <v>8.6255</v>
      </c>
      <c r="I1019" s="15"/>
      <c r="J1019" s="15"/>
    </row>
    <row r="1020">
      <c r="A1020" s="18">
        <v>44656.0</v>
      </c>
      <c r="B1020" s="16" t="s">
        <v>11306</v>
      </c>
      <c r="C1020" s="16">
        <v>28.0</v>
      </c>
      <c r="D1020" s="16" t="s">
        <v>10444</v>
      </c>
      <c r="E1020" s="16" t="s">
        <v>707</v>
      </c>
      <c r="F1020" s="16">
        <v>2007.0</v>
      </c>
      <c r="G1020" s="16">
        <v>54.466</v>
      </c>
      <c r="H1020" s="16">
        <v>11.2562</v>
      </c>
      <c r="I1020" s="15"/>
      <c r="J1020" s="15"/>
    </row>
    <row r="1021">
      <c r="A1021" s="18">
        <v>45376.0</v>
      </c>
      <c r="B1021" s="16" t="s">
        <v>11307</v>
      </c>
      <c r="C1021" s="16">
        <v>23.0</v>
      </c>
      <c r="D1021" s="16" t="s">
        <v>10444</v>
      </c>
      <c r="E1021" s="16" t="s">
        <v>707</v>
      </c>
      <c r="F1021" s="16">
        <v>2022.0</v>
      </c>
      <c r="G1021" s="16">
        <v>52.7517</v>
      </c>
      <c r="H1021" s="16">
        <v>13.8148</v>
      </c>
      <c r="I1021" s="15"/>
      <c r="J1021" s="15"/>
    </row>
    <row r="1022">
      <c r="A1022" s="18">
        <v>44656.0</v>
      </c>
      <c r="B1022" s="16" t="s">
        <v>11308</v>
      </c>
      <c r="C1022" s="16">
        <v>21.0</v>
      </c>
      <c r="D1022" s="16" t="s">
        <v>10444</v>
      </c>
      <c r="E1022" s="16" t="s">
        <v>707</v>
      </c>
      <c r="F1022" s="16">
        <v>2017.0</v>
      </c>
      <c r="G1022" s="16">
        <v>53.3799</v>
      </c>
      <c r="H1022" s="16">
        <v>14.0099</v>
      </c>
      <c r="I1022" s="15"/>
      <c r="J1022" s="15"/>
    </row>
    <row r="1023">
      <c r="A1023" s="18">
        <v>44656.0</v>
      </c>
      <c r="B1023" s="16" t="s">
        <v>11309</v>
      </c>
      <c r="C1023" s="16">
        <v>16.0</v>
      </c>
      <c r="D1023" s="16" t="s">
        <v>10444</v>
      </c>
      <c r="E1023" s="16" t="s">
        <v>707</v>
      </c>
      <c r="F1023" s="16">
        <v>2005.0</v>
      </c>
      <c r="G1023" s="16">
        <v>54.1744</v>
      </c>
      <c r="H1023" s="16">
        <v>12.465</v>
      </c>
      <c r="I1023" s="15"/>
      <c r="J1023" s="15"/>
    </row>
    <row r="1024">
      <c r="A1024" s="18">
        <v>44656.0</v>
      </c>
      <c r="B1024" s="16" t="s">
        <v>11310</v>
      </c>
      <c r="C1024" s="16">
        <v>20.0</v>
      </c>
      <c r="D1024" s="16" t="s">
        <v>10444</v>
      </c>
      <c r="E1024" s="16" t="s">
        <v>707</v>
      </c>
      <c r="F1024" s="16">
        <v>2011.0</v>
      </c>
      <c r="G1024" s="16">
        <v>50.0381</v>
      </c>
      <c r="H1024" s="16">
        <v>7.514</v>
      </c>
      <c r="I1024" s="15"/>
      <c r="J1024" s="15"/>
    </row>
    <row r="1025">
      <c r="A1025" s="18">
        <v>44656.0</v>
      </c>
      <c r="B1025" s="16" t="s">
        <v>11311</v>
      </c>
      <c r="C1025" s="16">
        <v>12.0</v>
      </c>
      <c r="D1025" s="16" t="s">
        <v>10444</v>
      </c>
      <c r="E1025" s="16" t="s">
        <v>707</v>
      </c>
      <c r="F1025" s="16">
        <v>1999.0</v>
      </c>
      <c r="G1025" s="16">
        <v>53.0997</v>
      </c>
      <c r="H1025" s="16">
        <v>7.5184</v>
      </c>
      <c r="I1025" s="15"/>
      <c r="J1025" s="15"/>
    </row>
    <row r="1026">
      <c r="A1026" s="18">
        <v>44656.0</v>
      </c>
      <c r="B1026" s="16" t="s">
        <v>11312</v>
      </c>
      <c r="C1026" s="16">
        <v>25.0</v>
      </c>
      <c r="D1026" s="16" t="s">
        <v>10444</v>
      </c>
      <c r="E1026" s="16" t="s">
        <v>707</v>
      </c>
      <c r="F1026" s="16">
        <v>2015.0</v>
      </c>
      <c r="G1026" s="16">
        <v>49.4845</v>
      </c>
      <c r="H1026" s="16">
        <v>10.0774</v>
      </c>
      <c r="I1026" s="15"/>
      <c r="J1026" s="15"/>
    </row>
    <row r="1027">
      <c r="A1027" s="18">
        <v>44656.0</v>
      </c>
      <c r="B1027" s="16" t="s">
        <v>11313</v>
      </c>
      <c r="C1027" s="16">
        <v>15.0</v>
      </c>
      <c r="D1027" s="16" t="s">
        <v>10444</v>
      </c>
      <c r="E1027" s="16" t="s">
        <v>707</v>
      </c>
      <c r="F1027" s="16">
        <v>2014.0</v>
      </c>
      <c r="G1027" s="16">
        <v>54.1811</v>
      </c>
      <c r="H1027" s="16">
        <v>10.7966</v>
      </c>
      <c r="I1027" s="15"/>
      <c r="J1027" s="15"/>
    </row>
    <row r="1028">
      <c r="A1028" s="18">
        <v>44656.0</v>
      </c>
      <c r="B1028" s="16" t="s">
        <v>11314</v>
      </c>
      <c r="C1028" s="16">
        <v>12.0</v>
      </c>
      <c r="D1028" s="16" t="s">
        <v>10444</v>
      </c>
      <c r="E1028" s="16" t="s">
        <v>707</v>
      </c>
      <c r="F1028" s="16">
        <v>2014.0</v>
      </c>
      <c r="G1028" s="16">
        <v>50.5985</v>
      </c>
      <c r="H1028" s="16">
        <v>8.1556</v>
      </c>
      <c r="I1028" s="15"/>
      <c r="J1028" s="15"/>
    </row>
    <row r="1029">
      <c r="A1029" s="18">
        <v>44656.0</v>
      </c>
      <c r="B1029" s="16" t="s">
        <v>11315</v>
      </c>
      <c r="C1029" s="16">
        <v>33.0</v>
      </c>
      <c r="D1029" s="16" t="s">
        <v>10444</v>
      </c>
      <c r="E1029" s="16" t="s">
        <v>707</v>
      </c>
      <c r="F1029" s="16">
        <v>2014.0</v>
      </c>
      <c r="G1029" s="16">
        <v>54.775</v>
      </c>
      <c r="H1029" s="16">
        <v>8.9044</v>
      </c>
      <c r="I1029" s="15"/>
      <c r="J1029" s="15"/>
    </row>
    <row r="1030">
      <c r="A1030" s="18">
        <v>44656.0</v>
      </c>
      <c r="B1030" s="16" t="s">
        <v>11316</v>
      </c>
      <c r="C1030" s="16">
        <v>48.0</v>
      </c>
      <c r="D1030" s="16" t="s">
        <v>10444</v>
      </c>
      <c r="E1030" s="16" t="s">
        <v>707</v>
      </c>
      <c r="F1030" s="15"/>
      <c r="G1030" s="16">
        <v>53.541</v>
      </c>
      <c r="H1030" s="16">
        <v>8.877</v>
      </c>
      <c r="I1030" s="15"/>
      <c r="J1030" s="15"/>
    </row>
    <row r="1031">
      <c r="A1031" s="18">
        <v>44656.0</v>
      </c>
      <c r="B1031" s="16" t="s">
        <v>11317</v>
      </c>
      <c r="C1031" s="16">
        <v>12.0</v>
      </c>
      <c r="D1031" s="16" t="s">
        <v>10444</v>
      </c>
      <c r="E1031" s="16" t="s">
        <v>707</v>
      </c>
      <c r="F1031" s="16">
        <v>2014.0</v>
      </c>
      <c r="G1031" s="16">
        <v>54.0458</v>
      </c>
      <c r="H1031" s="16">
        <v>9.4197</v>
      </c>
      <c r="I1031" s="15"/>
      <c r="J1031" s="15"/>
    </row>
    <row r="1032">
      <c r="A1032" s="18">
        <v>44656.0</v>
      </c>
      <c r="B1032" s="16" t="s">
        <v>11318</v>
      </c>
      <c r="C1032" s="16">
        <v>23.0</v>
      </c>
      <c r="D1032" s="16" t="s">
        <v>10444</v>
      </c>
      <c r="E1032" s="16" t="s">
        <v>707</v>
      </c>
      <c r="F1032" s="16">
        <v>2015.0</v>
      </c>
      <c r="G1032" s="16">
        <v>49.0511</v>
      </c>
      <c r="H1032" s="16">
        <v>9.794</v>
      </c>
      <c r="I1032" s="15"/>
      <c r="J1032" s="15"/>
    </row>
    <row r="1033">
      <c r="A1033" s="18">
        <v>44656.0</v>
      </c>
      <c r="B1033" s="16" t="s">
        <v>11319</v>
      </c>
      <c r="C1033" s="16">
        <v>29.0</v>
      </c>
      <c r="D1033" s="16" t="s">
        <v>10444</v>
      </c>
      <c r="E1033" s="16" t="s">
        <v>707</v>
      </c>
      <c r="F1033" s="16">
        <v>2015.0</v>
      </c>
      <c r="G1033" s="16">
        <v>50.1981</v>
      </c>
      <c r="H1033" s="16">
        <v>7.5672</v>
      </c>
      <c r="I1033" s="15"/>
      <c r="J1033" s="15"/>
    </row>
    <row r="1034">
      <c r="A1034" s="18">
        <v>44656.0</v>
      </c>
      <c r="B1034" s="16" t="s">
        <v>11319</v>
      </c>
      <c r="C1034" s="16">
        <v>29.0</v>
      </c>
      <c r="D1034" s="16" t="s">
        <v>10444</v>
      </c>
      <c r="E1034" s="16" t="s">
        <v>707</v>
      </c>
      <c r="F1034" s="16">
        <v>2015.0</v>
      </c>
      <c r="G1034" s="16">
        <v>50.1975</v>
      </c>
      <c r="H1034" s="16">
        <v>7.557</v>
      </c>
      <c r="I1034" s="15"/>
      <c r="J1034" s="15"/>
    </row>
    <row r="1035">
      <c r="A1035" s="18">
        <v>44656.0</v>
      </c>
      <c r="B1035" s="16" t="s">
        <v>11320</v>
      </c>
      <c r="C1035" s="16">
        <v>18.0</v>
      </c>
      <c r="D1035" s="16" t="s">
        <v>10444</v>
      </c>
      <c r="E1035" s="16" t="s">
        <v>707</v>
      </c>
      <c r="F1035" s="16">
        <v>2017.0</v>
      </c>
      <c r="G1035" s="16">
        <v>51.5632</v>
      </c>
      <c r="H1035" s="16">
        <v>13.1954</v>
      </c>
      <c r="I1035" s="15"/>
      <c r="J1035" s="15"/>
    </row>
    <row r="1036">
      <c r="A1036" s="18">
        <v>45362.0</v>
      </c>
      <c r="B1036" s="16" t="s">
        <v>11321</v>
      </c>
      <c r="C1036" s="16">
        <v>38.0</v>
      </c>
      <c r="D1036" s="16" t="s">
        <v>10444</v>
      </c>
      <c r="E1036" s="16" t="s">
        <v>707</v>
      </c>
      <c r="F1036" s="16">
        <v>2023.0</v>
      </c>
      <c r="G1036" s="16">
        <v>52.9149</v>
      </c>
      <c r="H1036" s="16">
        <v>10.7527</v>
      </c>
      <c r="I1036" s="15"/>
      <c r="J1036" s="15"/>
    </row>
    <row r="1037">
      <c r="A1037" s="18">
        <v>44656.0</v>
      </c>
      <c r="B1037" s="16" t="s">
        <v>11322</v>
      </c>
      <c r="C1037" s="16">
        <v>38.0</v>
      </c>
      <c r="D1037" s="16" t="s">
        <v>10444</v>
      </c>
      <c r="E1037" s="16" t="s">
        <v>707</v>
      </c>
      <c r="F1037" s="16">
        <v>2014.0</v>
      </c>
      <c r="G1037" s="16">
        <v>51.0396</v>
      </c>
      <c r="H1037" s="16">
        <v>6.5315</v>
      </c>
      <c r="I1037" s="15"/>
      <c r="J1037" s="15"/>
    </row>
    <row r="1038">
      <c r="A1038" s="18">
        <v>44998.0</v>
      </c>
      <c r="B1038" s="16" t="s">
        <v>11322</v>
      </c>
      <c r="C1038" s="16">
        <v>31.0</v>
      </c>
      <c r="D1038" s="16" t="s">
        <v>10444</v>
      </c>
      <c r="E1038" s="16" t="s">
        <v>707</v>
      </c>
      <c r="F1038" s="16">
        <v>2015.0</v>
      </c>
      <c r="G1038" s="16">
        <v>51.0396</v>
      </c>
      <c r="H1038" s="16">
        <v>6.5315</v>
      </c>
      <c r="I1038" s="15"/>
      <c r="J1038" s="15"/>
    </row>
    <row r="1039">
      <c r="A1039" s="18">
        <v>44656.0</v>
      </c>
      <c r="B1039" s="16" t="s">
        <v>11323</v>
      </c>
      <c r="C1039" s="16">
        <v>31.0</v>
      </c>
      <c r="D1039" s="16" t="s">
        <v>10444</v>
      </c>
      <c r="E1039" s="16" t="s">
        <v>707</v>
      </c>
      <c r="F1039" s="16">
        <v>2002.0</v>
      </c>
      <c r="G1039" s="16">
        <v>53.4956</v>
      </c>
      <c r="H1039" s="16">
        <v>7.6011</v>
      </c>
      <c r="I1039" s="15"/>
      <c r="J1039" s="15"/>
    </row>
    <row r="1040">
      <c r="A1040" s="18">
        <v>44656.0</v>
      </c>
      <c r="B1040" s="16" t="s">
        <v>11324</v>
      </c>
      <c r="C1040" s="16">
        <v>23.0</v>
      </c>
      <c r="D1040" s="16" t="s">
        <v>10444</v>
      </c>
      <c r="E1040" s="16" t="s">
        <v>707</v>
      </c>
      <c r="F1040" s="16">
        <v>2003.0</v>
      </c>
      <c r="G1040" s="16">
        <v>51.6862</v>
      </c>
      <c r="H1040" s="16">
        <v>11.7972</v>
      </c>
      <c r="I1040" s="15"/>
      <c r="J1040" s="15"/>
    </row>
    <row r="1041">
      <c r="A1041" s="18">
        <v>45362.0</v>
      </c>
      <c r="B1041" s="16" t="s">
        <v>11325</v>
      </c>
      <c r="C1041" s="16">
        <v>19.0</v>
      </c>
      <c r="D1041" s="16" t="s">
        <v>10444</v>
      </c>
      <c r="E1041" s="16" t="s">
        <v>707</v>
      </c>
      <c r="F1041" s="16">
        <v>2023.0</v>
      </c>
      <c r="G1041" s="16">
        <v>53.9984</v>
      </c>
      <c r="H1041" s="16">
        <v>8.9215</v>
      </c>
      <c r="I1041" s="15"/>
      <c r="J1041" s="15"/>
    </row>
    <row r="1042">
      <c r="A1042" s="18">
        <v>44656.0</v>
      </c>
      <c r="B1042" s="16" t="s">
        <v>11326</v>
      </c>
      <c r="C1042" s="16">
        <v>68.0</v>
      </c>
      <c r="D1042" s="16" t="s">
        <v>10444</v>
      </c>
      <c r="E1042" s="16" t="s">
        <v>707</v>
      </c>
      <c r="F1042" s="16">
        <v>2008.0</v>
      </c>
      <c r="G1042" s="16">
        <v>52.1613</v>
      </c>
      <c r="H1042" s="16">
        <v>11.8015</v>
      </c>
      <c r="I1042" s="15"/>
      <c r="J1042" s="15"/>
    </row>
    <row r="1043">
      <c r="A1043" s="18">
        <v>44656.0</v>
      </c>
      <c r="B1043" s="16" t="s">
        <v>11327</v>
      </c>
      <c r="C1043" s="16">
        <v>12.0</v>
      </c>
      <c r="D1043" s="16" t="s">
        <v>10444</v>
      </c>
      <c r="E1043" s="16" t="s">
        <v>707</v>
      </c>
      <c r="F1043" s="16">
        <v>2006.0</v>
      </c>
      <c r="G1043" s="16">
        <v>52.1674</v>
      </c>
      <c r="H1043" s="16">
        <v>11.7943</v>
      </c>
      <c r="I1043" s="15"/>
      <c r="J1043" s="15"/>
    </row>
    <row r="1044">
      <c r="A1044" s="18">
        <v>44656.0</v>
      </c>
      <c r="B1044" s="16" t="s">
        <v>11328</v>
      </c>
      <c r="C1044" s="16">
        <v>12.0</v>
      </c>
      <c r="D1044" s="16" t="s">
        <v>10444</v>
      </c>
      <c r="E1044" s="16" t="s">
        <v>707</v>
      </c>
      <c r="F1044" s="16">
        <v>2015.0</v>
      </c>
      <c r="G1044" s="16">
        <v>50.0444</v>
      </c>
      <c r="H1044" s="16">
        <v>12.1353</v>
      </c>
      <c r="I1044" s="15"/>
      <c r="J1044" s="15"/>
    </row>
    <row r="1045">
      <c r="A1045" s="18">
        <v>44656.0</v>
      </c>
      <c r="B1045" s="16" t="s">
        <v>11329</v>
      </c>
      <c r="C1045" s="16">
        <v>17.0</v>
      </c>
      <c r="D1045" s="16" t="s">
        <v>10444</v>
      </c>
      <c r="E1045" s="16" t="s">
        <v>707</v>
      </c>
      <c r="F1045" s="16">
        <v>2004.0</v>
      </c>
      <c r="G1045" s="16">
        <v>51.5194</v>
      </c>
      <c r="H1045" s="16">
        <v>13.2252</v>
      </c>
      <c r="I1045" s="15"/>
      <c r="J1045" s="15"/>
    </row>
    <row r="1046">
      <c r="A1046" s="18">
        <v>45012.0</v>
      </c>
      <c r="B1046" s="16" t="s">
        <v>11329</v>
      </c>
      <c r="C1046" s="16">
        <v>10.0</v>
      </c>
      <c r="D1046" s="16" t="s">
        <v>10444</v>
      </c>
      <c r="E1046" s="16" t="s">
        <v>707</v>
      </c>
      <c r="F1046" s="16">
        <v>2018.0</v>
      </c>
      <c r="G1046" s="16">
        <v>51.5237</v>
      </c>
      <c r="H1046" s="16">
        <v>13.2138</v>
      </c>
      <c r="I1046" s="15"/>
      <c r="J1046" s="15"/>
    </row>
    <row r="1047">
      <c r="A1047" s="18">
        <v>45034.0</v>
      </c>
      <c r="B1047" s="16" t="s">
        <v>11330</v>
      </c>
      <c r="C1047" s="16">
        <v>10.0</v>
      </c>
      <c r="D1047" s="16" t="s">
        <v>10444</v>
      </c>
      <c r="E1047" s="16" t="s">
        <v>707</v>
      </c>
      <c r="F1047" s="16">
        <v>2000.0</v>
      </c>
      <c r="G1047" s="16">
        <v>51.539</v>
      </c>
      <c r="H1047" s="16">
        <v>13.8335</v>
      </c>
      <c r="I1047" s="15"/>
      <c r="J1047" s="15"/>
    </row>
    <row r="1048">
      <c r="A1048" s="18">
        <v>44656.0</v>
      </c>
      <c r="B1048" s="16" t="s">
        <v>11331</v>
      </c>
      <c r="C1048" s="16">
        <v>39.0</v>
      </c>
      <c r="D1048" s="16" t="s">
        <v>10444</v>
      </c>
      <c r="E1048" s="16" t="s">
        <v>707</v>
      </c>
      <c r="F1048" s="16">
        <v>2005.0</v>
      </c>
      <c r="G1048" s="16">
        <v>51.773</v>
      </c>
      <c r="H1048" s="16">
        <v>12.1299</v>
      </c>
      <c r="I1048" s="15"/>
      <c r="J1048" s="15"/>
    </row>
    <row r="1049">
      <c r="A1049" s="18">
        <v>44656.0</v>
      </c>
      <c r="B1049" s="16" t="s">
        <v>11332</v>
      </c>
      <c r="C1049" s="16">
        <v>13.0</v>
      </c>
      <c r="D1049" s="16" t="s">
        <v>10444</v>
      </c>
      <c r="E1049" s="16" t="s">
        <v>707</v>
      </c>
      <c r="F1049" s="16">
        <v>2001.0</v>
      </c>
      <c r="G1049" s="16">
        <v>52.9127</v>
      </c>
      <c r="H1049" s="16">
        <v>12.2483</v>
      </c>
      <c r="I1049" s="15"/>
      <c r="J1049" s="15"/>
    </row>
    <row r="1050">
      <c r="A1050" s="18">
        <v>45002.0</v>
      </c>
      <c r="B1050" s="16" t="s">
        <v>11332</v>
      </c>
      <c r="C1050" s="16">
        <v>18.0</v>
      </c>
      <c r="D1050" s="16" t="s">
        <v>10444</v>
      </c>
      <c r="E1050" s="16" t="s">
        <v>707</v>
      </c>
      <c r="F1050" s="16">
        <v>2002.0</v>
      </c>
      <c r="G1050" s="16">
        <v>52.9121</v>
      </c>
      <c r="H1050" s="16">
        <v>12.2471</v>
      </c>
      <c r="I1050" s="15"/>
      <c r="J1050" s="15"/>
    </row>
    <row r="1051">
      <c r="A1051" s="18">
        <v>45028.0</v>
      </c>
      <c r="B1051" s="16" t="s">
        <v>11333</v>
      </c>
      <c r="C1051" s="16">
        <v>14.0</v>
      </c>
      <c r="D1051" s="16" t="s">
        <v>10444</v>
      </c>
      <c r="E1051" s="16" t="s">
        <v>707</v>
      </c>
      <c r="F1051" s="16">
        <v>2021.0</v>
      </c>
      <c r="G1051" s="16">
        <v>53.3371</v>
      </c>
      <c r="H1051" s="16">
        <v>14.2286</v>
      </c>
      <c r="I1051" s="15"/>
      <c r="J1051" s="15"/>
    </row>
    <row r="1052">
      <c r="A1052" s="18">
        <v>44656.0</v>
      </c>
      <c r="B1052" s="16" t="s">
        <v>11334</v>
      </c>
      <c r="C1052" s="16">
        <v>46.0</v>
      </c>
      <c r="D1052" s="16" t="s">
        <v>10444</v>
      </c>
      <c r="E1052" s="16" t="s">
        <v>707</v>
      </c>
      <c r="F1052" s="16">
        <v>2015.0</v>
      </c>
      <c r="G1052" s="16">
        <v>53.361</v>
      </c>
      <c r="H1052" s="16">
        <v>14.2876</v>
      </c>
      <c r="I1052" s="15"/>
      <c r="J1052" s="15"/>
    </row>
    <row r="1053">
      <c r="A1053" s="18">
        <v>44656.0</v>
      </c>
      <c r="B1053" s="16" t="s">
        <v>11335</v>
      </c>
      <c r="C1053" s="16">
        <v>13.0</v>
      </c>
      <c r="D1053" s="16" t="s">
        <v>10444</v>
      </c>
      <c r="E1053" s="16" t="s">
        <v>707</v>
      </c>
      <c r="F1053" s="16">
        <v>2014.0</v>
      </c>
      <c r="G1053" s="16">
        <v>49.2706</v>
      </c>
      <c r="H1053" s="16">
        <v>11.5519</v>
      </c>
      <c r="I1053" s="15"/>
      <c r="J1053" s="15"/>
    </row>
    <row r="1054">
      <c r="A1054" s="18">
        <v>44656.0</v>
      </c>
      <c r="B1054" s="16" t="s">
        <v>11336</v>
      </c>
      <c r="C1054" s="16">
        <v>18.0</v>
      </c>
      <c r="D1054" s="16" t="s">
        <v>10444</v>
      </c>
      <c r="E1054" s="16" t="s">
        <v>707</v>
      </c>
      <c r="F1054" s="16">
        <v>2016.0</v>
      </c>
      <c r="G1054" s="16">
        <v>53.0669</v>
      </c>
      <c r="H1054" s="16">
        <v>12.043</v>
      </c>
      <c r="I1054" s="15"/>
      <c r="J1054" s="15"/>
    </row>
    <row r="1055">
      <c r="A1055" s="18">
        <v>45028.0</v>
      </c>
      <c r="B1055" s="16" t="s">
        <v>11337</v>
      </c>
      <c r="C1055" s="16">
        <v>14.0</v>
      </c>
      <c r="D1055" s="16" t="s">
        <v>10444</v>
      </c>
      <c r="E1055" s="16" t="s">
        <v>707</v>
      </c>
      <c r="F1055" s="16">
        <v>2021.0</v>
      </c>
      <c r="G1055" s="16">
        <v>53.0597</v>
      </c>
      <c r="H1055" s="16">
        <v>12.0557</v>
      </c>
      <c r="I1055" s="15"/>
      <c r="J1055" s="15"/>
    </row>
    <row r="1056">
      <c r="A1056" s="18">
        <v>44656.0</v>
      </c>
      <c r="B1056" s="16" t="s">
        <v>11338</v>
      </c>
      <c r="C1056" s="16">
        <v>12.0</v>
      </c>
      <c r="D1056" s="16" t="s">
        <v>10444</v>
      </c>
      <c r="E1056" s="16" t="s">
        <v>707</v>
      </c>
      <c r="F1056" s="16">
        <v>2020.0</v>
      </c>
      <c r="G1056" s="16">
        <v>53.0648</v>
      </c>
      <c r="H1056" s="16">
        <v>12.0476</v>
      </c>
      <c r="I1056" s="15"/>
      <c r="J1056" s="15"/>
    </row>
    <row r="1057">
      <c r="A1057" s="18">
        <v>45370.0</v>
      </c>
      <c r="B1057" s="16" t="s">
        <v>11338</v>
      </c>
      <c r="C1057" s="16">
        <v>19.0</v>
      </c>
      <c r="D1057" s="16" t="s">
        <v>10444</v>
      </c>
      <c r="E1057" s="16" t="s">
        <v>707</v>
      </c>
      <c r="F1057" s="16">
        <v>2022.0</v>
      </c>
      <c r="G1057" s="16">
        <v>53.0588</v>
      </c>
      <c r="H1057" s="16">
        <v>12.0597</v>
      </c>
      <c r="I1057" s="15"/>
      <c r="J1057" s="15"/>
    </row>
    <row r="1058">
      <c r="A1058" s="18">
        <v>44656.0</v>
      </c>
      <c r="B1058" s="16" t="s">
        <v>11339</v>
      </c>
      <c r="C1058" s="16">
        <v>12.0</v>
      </c>
      <c r="D1058" s="16" t="s">
        <v>10444</v>
      </c>
      <c r="E1058" s="16" t="s">
        <v>707</v>
      </c>
      <c r="F1058" s="16">
        <v>2014.0</v>
      </c>
      <c r="G1058" s="16">
        <v>50.046</v>
      </c>
      <c r="H1058" s="16">
        <v>7.3671</v>
      </c>
      <c r="I1058" s="15"/>
      <c r="J1058" s="15"/>
    </row>
    <row r="1059">
      <c r="A1059" s="18">
        <v>45028.0</v>
      </c>
      <c r="B1059" s="16" t="s">
        <v>11340</v>
      </c>
      <c r="C1059" s="16">
        <v>11.0</v>
      </c>
      <c r="D1059" s="16" t="s">
        <v>10444</v>
      </c>
      <c r="E1059" s="16" t="s">
        <v>707</v>
      </c>
      <c r="F1059" s="16">
        <v>1999.0</v>
      </c>
      <c r="G1059" s="16">
        <v>51.1344</v>
      </c>
      <c r="H1059" s="16">
        <v>11.985</v>
      </c>
      <c r="I1059" s="15"/>
      <c r="J1059" s="15"/>
    </row>
    <row r="1060">
      <c r="A1060" s="18">
        <v>45370.0</v>
      </c>
      <c r="B1060" s="16" t="s">
        <v>11341</v>
      </c>
      <c r="C1060" s="16">
        <v>13.0</v>
      </c>
      <c r="D1060" s="16" t="s">
        <v>10444</v>
      </c>
      <c r="E1060" s="16" t="s">
        <v>707</v>
      </c>
      <c r="F1060" s="16">
        <v>2022.0</v>
      </c>
      <c r="G1060" s="16">
        <v>49.3957</v>
      </c>
      <c r="H1060" s="16">
        <v>9.6009</v>
      </c>
      <c r="I1060" s="15"/>
      <c r="J1060" s="15"/>
    </row>
    <row r="1061">
      <c r="A1061" s="18">
        <v>44656.0</v>
      </c>
      <c r="B1061" s="16" t="s">
        <v>11342</v>
      </c>
      <c r="C1061" s="16">
        <v>14.0</v>
      </c>
      <c r="D1061" s="16" t="s">
        <v>10444</v>
      </c>
      <c r="E1061" s="16" t="s">
        <v>707</v>
      </c>
      <c r="F1061" s="16">
        <v>2020.0</v>
      </c>
      <c r="G1061" s="16">
        <v>52.9798</v>
      </c>
      <c r="H1061" s="16">
        <v>9.3706</v>
      </c>
      <c r="I1061" s="15"/>
      <c r="J1061" s="15"/>
    </row>
    <row r="1062">
      <c r="A1062" s="18">
        <v>44656.0</v>
      </c>
      <c r="B1062" s="16" t="s">
        <v>11343</v>
      </c>
      <c r="C1062" s="16">
        <v>16.0</v>
      </c>
      <c r="D1062" s="16" t="s">
        <v>10444</v>
      </c>
      <c r="E1062" s="16" t="s">
        <v>707</v>
      </c>
      <c r="F1062" s="16">
        <v>2003.0</v>
      </c>
      <c r="G1062" s="16">
        <v>53.8189</v>
      </c>
      <c r="H1062" s="16">
        <v>9.4741</v>
      </c>
      <c r="I1062" s="15"/>
      <c r="J1062" s="15"/>
    </row>
    <row r="1063">
      <c r="A1063" s="18">
        <v>44656.0</v>
      </c>
      <c r="B1063" s="16" t="s">
        <v>11344</v>
      </c>
      <c r="C1063" s="16">
        <v>14.0</v>
      </c>
      <c r="D1063" s="16" t="s">
        <v>10444</v>
      </c>
      <c r="E1063" s="16" t="s">
        <v>707</v>
      </c>
      <c r="F1063" s="16">
        <v>1998.0</v>
      </c>
      <c r="G1063" s="16">
        <v>53.7188</v>
      </c>
      <c r="H1063" s="16">
        <v>8.6862</v>
      </c>
      <c r="I1063" s="15"/>
      <c r="J1063" s="15"/>
    </row>
    <row r="1064">
      <c r="A1064" s="18">
        <v>44656.0</v>
      </c>
      <c r="B1064" s="16" t="s">
        <v>11345</v>
      </c>
      <c r="C1064" s="16">
        <v>15.0</v>
      </c>
      <c r="D1064" s="16" t="s">
        <v>10444</v>
      </c>
      <c r="E1064" s="16" t="s">
        <v>707</v>
      </c>
      <c r="F1064" s="16">
        <v>2001.0</v>
      </c>
      <c r="G1064" s="16">
        <v>54.3014</v>
      </c>
      <c r="H1064" s="16">
        <v>10.9561</v>
      </c>
      <c r="I1064" s="15"/>
      <c r="J1064" s="15"/>
    </row>
    <row r="1065">
      <c r="A1065" s="18">
        <v>44656.0</v>
      </c>
      <c r="B1065" s="16" t="s">
        <v>11346</v>
      </c>
      <c r="C1065" s="16">
        <v>24.0</v>
      </c>
      <c r="D1065" s="16" t="s">
        <v>10444</v>
      </c>
      <c r="E1065" s="16" t="s">
        <v>707</v>
      </c>
      <c r="F1065" s="16">
        <v>2017.0</v>
      </c>
      <c r="G1065" s="16">
        <v>51.274</v>
      </c>
      <c r="H1065" s="16">
        <v>9.737</v>
      </c>
      <c r="I1065" s="15"/>
      <c r="J1065" s="15"/>
    </row>
    <row r="1066">
      <c r="A1066" s="18">
        <v>44656.0</v>
      </c>
      <c r="B1066" s="16" t="s">
        <v>11347</v>
      </c>
      <c r="C1066" s="16">
        <v>26.0</v>
      </c>
      <c r="D1066" s="16" t="s">
        <v>10444</v>
      </c>
      <c r="E1066" s="16" t="s">
        <v>707</v>
      </c>
      <c r="F1066" s="15"/>
      <c r="G1066" s="16">
        <v>52.8118</v>
      </c>
      <c r="H1066" s="16">
        <v>11.666</v>
      </c>
      <c r="I1066" s="15"/>
      <c r="J1066" s="15"/>
    </row>
    <row r="1067">
      <c r="A1067" s="18">
        <v>44656.0</v>
      </c>
      <c r="B1067" s="16" t="s">
        <v>11347</v>
      </c>
      <c r="C1067" s="16">
        <v>24.0</v>
      </c>
      <c r="D1067" s="16" t="s">
        <v>10444</v>
      </c>
      <c r="E1067" s="16" t="s">
        <v>707</v>
      </c>
      <c r="F1067" s="16">
        <v>2017.0</v>
      </c>
      <c r="G1067" s="16">
        <v>52.8164</v>
      </c>
      <c r="H1067" s="16">
        <v>11.666</v>
      </c>
      <c r="I1067" s="15"/>
      <c r="J1067" s="15"/>
    </row>
    <row r="1068">
      <c r="A1068" s="18">
        <v>44656.0</v>
      </c>
      <c r="B1068" s="16" t="s">
        <v>11348</v>
      </c>
      <c r="C1068" s="16">
        <v>10.0</v>
      </c>
      <c r="D1068" s="16" t="s">
        <v>10444</v>
      </c>
      <c r="E1068" s="16" t="s">
        <v>707</v>
      </c>
      <c r="F1068" s="16">
        <v>2005.0</v>
      </c>
      <c r="G1068" s="16">
        <v>53.2163</v>
      </c>
      <c r="H1068" s="16">
        <v>11.8134</v>
      </c>
      <c r="I1068" s="15"/>
      <c r="J1068" s="15"/>
    </row>
    <row r="1069">
      <c r="A1069" s="18">
        <v>44656.0</v>
      </c>
      <c r="B1069" s="16" t="s">
        <v>11349</v>
      </c>
      <c r="C1069" s="16">
        <v>31.0</v>
      </c>
      <c r="D1069" s="16" t="s">
        <v>10444</v>
      </c>
      <c r="E1069" s="16" t="s">
        <v>707</v>
      </c>
      <c r="F1069" s="16">
        <v>2010.0</v>
      </c>
      <c r="G1069" s="16">
        <v>53.9633</v>
      </c>
      <c r="H1069" s="16">
        <v>8.9832</v>
      </c>
      <c r="I1069" s="15"/>
      <c r="J1069" s="15"/>
    </row>
    <row r="1070">
      <c r="A1070" s="18">
        <v>44656.0</v>
      </c>
      <c r="B1070" s="16" t="s">
        <v>11350</v>
      </c>
      <c r="C1070" s="16">
        <v>10.0</v>
      </c>
      <c r="D1070" s="16" t="s">
        <v>10444</v>
      </c>
      <c r="E1070" s="16" t="s">
        <v>707</v>
      </c>
      <c r="F1070" s="16">
        <v>2008.0</v>
      </c>
      <c r="G1070" s="16">
        <v>53.0694</v>
      </c>
      <c r="H1070" s="16">
        <v>12.0396</v>
      </c>
      <c r="I1070" s="15"/>
      <c r="J1070" s="15"/>
    </row>
    <row r="1071">
      <c r="A1071" s="18">
        <v>44656.0</v>
      </c>
      <c r="B1071" s="16" t="s">
        <v>11351</v>
      </c>
      <c r="C1071" s="16">
        <v>14.0</v>
      </c>
      <c r="D1071" s="16" t="s">
        <v>10444</v>
      </c>
      <c r="E1071" s="16" t="s">
        <v>707</v>
      </c>
      <c r="F1071" s="16">
        <v>2017.0</v>
      </c>
      <c r="G1071" s="16">
        <v>49.8559</v>
      </c>
      <c r="H1071" s="16">
        <v>11.7176</v>
      </c>
      <c r="I1071" s="15"/>
      <c r="J1071" s="15"/>
    </row>
    <row r="1072">
      <c r="A1072" s="18">
        <v>45358.0</v>
      </c>
      <c r="B1072" s="16" t="s">
        <v>11352</v>
      </c>
      <c r="C1072" s="16">
        <v>15.0</v>
      </c>
      <c r="D1072" s="16" t="s">
        <v>10444</v>
      </c>
      <c r="E1072" s="16" t="s">
        <v>707</v>
      </c>
      <c r="F1072" s="16">
        <v>2023.0</v>
      </c>
      <c r="G1072" s="16">
        <v>54.0892</v>
      </c>
      <c r="H1072" s="16">
        <v>9.2441</v>
      </c>
      <c r="I1072" s="15"/>
      <c r="J1072" s="15"/>
    </row>
    <row r="1073">
      <c r="A1073" s="18">
        <v>44656.0</v>
      </c>
      <c r="B1073" s="16" t="s">
        <v>11353</v>
      </c>
      <c r="C1073" s="16">
        <v>12.0</v>
      </c>
      <c r="D1073" s="16" t="s">
        <v>10444</v>
      </c>
      <c r="E1073" s="16" t="s">
        <v>707</v>
      </c>
      <c r="F1073" s="16">
        <v>2005.0</v>
      </c>
      <c r="G1073" s="16">
        <v>52.7017</v>
      </c>
      <c r="H1073" s="16">
        <v>11.9301</v>
      </c>
      <c r="I1073" s="15"/>
      <c r="J1073" s="15"/>
    </row>
    <row r="1074">
      <c r="A1074" s="18">
        <v>45370.0</v>
      </c>
      <c r="B1074" s="16" t="s">
        <v>11354</v>
      </c>
      <c r="C1074" s="16">
        <v>20.0</v>
      </c>
      <c r="D1074" s="16" t="s">
        <v>10444</v>
      </c>
      <c r="E1074" s="16" t="s">
        <v>707</v>
      </c>
      <c r="F1074" s="16">
        <v>2022.0</v>
      </c>
      <c r="G1074" s="16">
        <v>52.6995</v>
      </c>
      <c r="H1074" s="16">
        <v>11.9278</v>
      </c>
      <c r="I1074" s="15"/>
      <c r="J1074" s="15"/>
    </row>
    <row r="1075">
      <c r="A1075" s="18">
        <v>44656.0</v>
      </c>
      <c r="B1075" s="16" t="s">
        <v>11355</v>
      </c>
      <c r="C1075" s="16">
        <v>14.0</v>
      </c>
      <c r="D1075" s="16" t="s">
        <v>10444</v>
      </c>
      <c r="E1075" s="16" t="s">
        <v>707</v>
      </c>
      <c r="F1075" s="16">
        <v>2012.0</v>
      </c>
      <c r="G1075" s="16">
        <v>53.5488</v>
      </c>
      <c r="H1075" s="16">
        <v>13.5416</v>
      </c>
      <c r="I1075" s="15"/>
      <c r="J1075" s="15"/>
    </row>
    <row r="1076">
      <c r="A1076" s="18">
        <v>44656.0</v>
      </c>
      <c r="B1076" s="16" t="s">
        <v>11355</v>
      </c>
      <c r="C1076" s="16">
        <v>11.0</v>
      </c>
      <c r="D1076" s="16" t="s">
        <v>10444</v>
      </c>
      <c r="E1076" s="16" t="s">
        <v>707</v>
      </c>
      <c r="F1076" s="16">
        <v>2015.0</v>
      </c>
      <c r="G1076" s="16">
        <v>53.5473</v>
      </c>
      <c r="H1076" s="16">
        <v>13.5376</v>
      </c>
      <c r="I1076" s="15"/>
      <c r="J1076" s="15"/>
    </row>
    <row r="1077">
      <c r="A1077" s="18">
        <v>44656.0</v>
      </c>
      <c r="B1077" s="16" t="s">
        <v>11356</v>
      </c>
      <c r="C1077" s="16">
        <v>12.0</v>
      </c>
      <c r="D1077" s="16" t="s">
        <v>10444</v>
      </c>
      <c r="E1077" s="16" t="s">
        <v>707</v>
      </c>
      <c r="F1077" s="16">
        <v>2018.0</v>
      </c>
      <c r="G1077" s="16">
        <v>50.3288</v>
      </c>
      <c r="H1077" s="16">
        <v>8.3236</v>
      </c>
      <c r="I1077" s="15"/>
      <c r="J1077" s="15"/>
    </row>
    <row r="1078">
      <c r="A1078" s="18">
        <v>45028.0</v>
      </c>
      <c r="B1078" s="16" t="s">
        <v>11357</v>
      </c>
      <c r="C1078" s="16">
        <v>14.0</v>
      </c>
      <c r="D1078" s="16" t="s">
        <v>10444</v>
      </c>
      <c r="E1078" s="16" t="s">
        <v>707</v>
      </c>
      <c r="F1078" s="16">
        <v>2004.0</v>
      </c>
      <c r="G1078" s="16">
        <v>52.7653</v>
      </c>
      <c r="H1078" s="16">
        <v>11.2891</v>
      </c>
      <c r="I1078" s="15"/>
      <c r="J1078" s="15"/>
    </row>
    <row r="1079">
      <c r="A1079" s="18">
        <v>44656.0</v>
      </c>
      <c r="B1079" s="16" t="s">
        <v>11358</v>
      </c>
      <c r="C1079" s="16">
        <v>20.0</v>
      </c>
      <c r="D1079" s="16" t="s">
        <v>10444</v>
      </c>
      <c r="E1079" s="16" t="s">
        <v>707</v>
      </c>
      <c r="F1079" s="16">
        <v>2003.0</v>
      </c>
      <c r="G1079" s="16">
        <v>54.2139</v>
      </c>
      <c r="H1079" s="16">
        <v>12.4939</v>
      </c>
      <c r="I1079" s="15"/>
      <c r="J1079" s="15"/>
    </row>
    <row r="1080">
      <c r="A1080" s="18">
        <v>44656.0</v>
      </c>
      <c r="B1080" s="16" t="s">
        <v>11359</v>
      </c>
      <c r="C1080" s="16">
        <v>43.0</v>
      </c>
      <c r="D1080" s="16" t="s">
        <v>10444</v>
      </c>
      <c r="E1080" s="16" t="s">
        <v>707</v>
      </c>
      <c r="F1080" s="16">
        <v>2017.0</v>
      </c>
      <c r="G1080" s="16">
        <v>53.6049</v>
      </c>
      <c r="H1080" s="16">
        <v>8.7981</v>
      </c>
      <c r="I1080" s="15"/>
      <c r="J1080" s="15"/>
    </row>
    <row r="1081">
      <c r="A1081" s="18">
        <v>45370.0</v>
      </c>
      <c r="B1081" s="16" t="s">
        <v>11360</v>
      </c>
      <c r="C1081" s="16">
        <v>22.0</v>
      </c>
      <c r="D1081" s="16" t="s">
        <v>10444</v>
      </c>
      <c r="E1081" s="16" t="s">
        <v>707</v>
      </c>
      <c r="F1081" s="16">
        <v>2022.0</v>
      </c>
      <c r="G1081" s="16">
        <v>53.3993</v>
      </c>
      <c r="H1081" s="16">
        <v>8.943</v>
      </c>
      <c r="I1081" s="15"/>
      <c r="J1081" s="15"/>
    </row>
    <row r="1082">
      <c r="A1082" s="18">
        <v>44656.0</v>
      </c>
      <c r="B1082" s="16" t="s">
        <v>11361</v>
      </c>
      <c r="C1082" s="16">
        <v>12.0</v>
      </c>
      <c r="D1082" s="16" t="s">
        <v>10444</v>
      </c>
      <c r="E1082" s="16" t="s">
        <v>707</v>
      </c>
      <c r="F1082" s="16">
        <v>2016.0</v>
      </c>
      <c r="G1082" s="16">
        <v>49.6558</v>
      </c>
      <c r="H1082" s="16">
        <v>9.5489</v>
      </c>
      <c r="I1082" s="15"/>
      <c r="J1082" s="15"/>
    </row>
    <row r="1083">
      <c r="A1083" s="18">
        <v>44656.0</v>
      </c>
      <c r="B1083" s="16" t="s">
        <v>11362</v>
      </c>
      <c r="C1083" s="16">
        <v>12.0</v>
      </c>
      <c r="D1083" s="16" t="s">
        <v>10444</v>
      </c>
      <c r="E1083" s="16" t="s">
        <v>707</v>
      </c>
      <c r="F1083" s="16">
        <v>2012.0</v>
      </c>
      <c r="G1083" s="16">
        <v>50.0097</v>
      </c>
      <c r="H1083" s="16">
        <v>7.517</v>
      </c>
      <c r="I1083" s="15"/>
      <c r="J1083" s="15"/>
    </row>
    <row r="1084">
      <c r="A1084" s="18">
        <v>44656.0</v>
      </c>
      <c r="B1084" s="16" t="s">
        <v>11363</v>
      </c>
      <c r="C1084" s="16">
        <v>10.0</v>
      </c>
      <c r="D1084" s="16" t="s">
        <v>10444</v>
      </c>
      <c r="E1084" s="16" t="s">
        <v>707</v>
      </c>
      <c r="F1084" s="16">
        <v>2002.0</v>
      </c>
      <c r="G1084" s="16">
        <v>52.0273</v>
      </c>
      <c r="H1084" s="16">
        <v>7.4507</v>
      </c>
      <c r="I1084" s="15"/>
      <c r="J1084" s="15"/>
    </row>
    <row r="1085">
      <c r="A1085" s="18">
        <v>44656.0</v>
      </c>
      <c r="B1085" s="16" t="s">
        <v>11364</v>
      </c>
      <c r="C1085" s="16">
        <v>15.0</v>
      </c>
      <c r="D1085" s="16" t="s">
        <v>10444</v>
      </c>
      <c r="E1085" s="16" t="s">
        <v>707</v>
      </c>
      <c r="F1085" s="16">
        <v>2015.0</v>
      </c>
      <c r="G1085" s="16">
        <v>50.3295</v>
      </c>
      <c r="H1085" s="16">
        <v>7.1339</v>
      </c>
      <c r="I1085" s="15"/>
      <c r="J1085" s="15"/>
    </row>
    <row r="1086">
      <c r="A1086" s="18">
        <v>44656.0</v>
      </c>
      <c r="B1086" s="16" t="s">
        <v>11365</v>
      </c>
      <c r="C1086" s="16">
        <v>18.0</v>
      </c>
      <c r="D1086" s="16" t="s">
        <v>10444</v>
      </c>
      <c r="E1086" s="16" t="s">
        <v>707</v>
      </c>
      <c r="F1086" s="15"/>
      <c r="G1086" s="16">
        <v>53.8909</v>
      </c>
      <c r="H1086" s="16">
        <v>11.9243</v>
      </c>
      <c r="I1086" s="15"/>
      <c r="J1086" s="15"/>
    </row>
    <row r="1087">
      <c r="A1087" s="18">
        <v>44656.0</v>
      </c>
      <c r="B1087" s="16" t="s">
        <v>11365</v>
      </c>
      <c r="C1087" s="16">
        <v>12.0</v>
      </c>
      <c r="D1087" s="16" t="s">
        <v>10444</v>
      </c>
      <c r="E1087" s="16" t="s">
        <v>707</v>
      </c>
      <c r="F1087" s="16">
        <v>2014.0</v>
      </c>
      <c r="G1087" s="16">
        <v>53.8909</v>
      </c>
      <c r="H1087" s="16">
        <v>11.9243</v>
      </c>
      <c r="I1087" s="15"/>
      <c r="J1087" s="15"/>
    </row>
    <row r="1088">
      <c r="A1088" s="18">
        <v>44656.0</v>
      </c>
      <c r="B1088" s="16" t="s">
        <v>11365</v>
      </c>
      <c r="C1088" s="16">
        <v>12.0</v>
      </c>
      <c r="D1088" s="16" t="s">
        <v>10444</v>
      </c>
      <c r="E1088" s="16" t="s">
        <v>707</v>
      </c>
      <c r="F1088" s="15"/>
      <c r="G1088" s="16">
        <v>53.8942</v>
      </c>
      <c r="H1088" s="16">
        <v>11.9358</v>
      </c>
      <c r="I1088" s="15"/>
      <c r="J1088" s="15"/>
    </row>
    <row r="1089">
      <c r="A1089" s="18">
        <v>44656.0</v>
      </c>
      <c r="B1089" s="16" t="s">
        <v>11366</v>
      </c>
      <c r="C1089" s="16">
        <v>37.0</v>
      </c>
      <c r="D1089" s="16" t="s">
        <v>10444</v>
      </c>
      <c r="E1089" s="16" t="s">
        <v>707</v>
      </c>
      <c r="F1089" s="16">
        <v>2014.0</v>
      </c>
      <c r="G1089" s="16">
        <v>52.5893</v>
      </c>
      <c r="H1089" s="16">
        <v>11.0631</v>
      </c>
      <c r="I1089" s="15"/>
      <c r="J1089" s="15"/>
    </row>
    <row r="1090">
      <c r="A1090" s="18">
        <v>44656.0</v>
      </c>
      <c r="B1090" s="16" t="s">
        <v>11367</v>
      </c>
      <c r="C1090" s="16">
        <v>13.0</v>
      </c>
      <c r="D1090" s="16" t="s">
        <v>10444</v>
      </c>
      <c r="E1090" s="16" t="s">
        <v>707</v>
      </c>
      <c r="F1090" s="16">
        <v>2003.0</v>
      </c>
      <c r="G1090" s="16">
        <v>53.4845</v>
      </c>
      <c r="H1090" s="16">
        <v>9.3567</v>
      </c>
      <c r="I1090" s="15"/>
      <c r="J1090" s="15"/>
    </row>
    <row r="1091">
      <c r="A1091" s="18">
        <v>45012.0</v>
      </c>
      <c r="B1091" s="16" t="s">
        <v>11367</v>
      </c>
      <c r="C1091" s="16">
        <v>27.0</v>
      </c>
      <c r="D1091" s="16" t="s">
        <v>10444</v>
      </c>
      <c r="E1091" s="16" t="s">
        <v>707</v>
      </c>
      <c r="F1091" s="16">
        <v>2004.0</v>
      </c>
      <c r="G1091" s="16">
        <v>53.4845</v>
      </c>
      <c r="H1091" s="16">
        <v>9.3567</v>
      </c>
      <c r="I1091" s="15"/>
      <c r="J1091" s="15"/>
    </row>
    <row r="1092">
      <c r="A1092" s="18">
        <v>44656.0</v>
      </c>
      <c r="B1092" s="16" t="s">
        <v>11367</v>
      </c>
      <c r="C1092" s="16">
        <v>13.0</v>
      </c>
      <c r="D1092" s="16" t="s">
        <v>10444</v>
      </c>
      <c r="E1092" s="16" t="s">
        <v>707</v>
      </c>
      <c r="F1092" s="16">
        <v>2017.0</v>
      </c>
      <c r="G1092" s="16">
        <v>53.283</v>
      </c>
      <c r="H1092" s="16">
        <v>9.2588</v>
      </c>
      <c r="I1092" s="15"/>
      <c r="J1092" s="15"/>
    </row>
    <row r="1093">
      <c r="A1093" s="18">
        <v>44656.0</v>
      </c>
      <c r="B1093" s="16" t="s">
        <v>11368</v>
      </c>
      <c r="C1093" s="16">
        <v>20.0</v>
      </c>
      <c r="D1093" s="16" t="s">
        <v>10444</v>
      </c>
      <c r="E1093" s="16" t="s">
        <v>707</v>
      </c>
      <c r="F1093" s="16">
        <v>2006.0</v>
      </c>
      <c r="G1093" s="16">
        <v>51.2125</v>
      </c>
      <c r="H1093" s="16">
        <v>10.857</v>
      </c>
      <c r="I1093" s="15"/>
      <c r="J1093" s="15"/>
    </row>
    <row r="1094">
      <c r="A1094" s="18">
        <v>44656.0</v>
      </c>
      <c r="B1094" s="16" t="s">
        <v>11368</v>
      </c>
      <c r="C1094" s="16">
        <v>12.0</v>
      </c>
      <c r="D1094" s="16" t="s">
        <v>10444</v>
      </c>
      <c r="E1094" s="16" t="s">
        <v>707</v>
      </c>
      <c r="F1094" s="15"/>
      <c r="G1094" s="16">
        <v>51.2125</v>
      </c>
      <c r="H1094" s="16">
        <v>10.857</v>
      </c>
      <c r="I1094" s="15"/>
      <c r="J1094" s="15"/>
    </row>
    <row r="1095">
      <c r="A1095" s="18">
        <v>44656.0</v>
      </c>
      <c r="B1095" s="16" t="s">
        <v>11369</v>
      </c>
      <c r="C1095" s="16">
        <v>10.0</v>
      </c>
      <c r="D1095" s="16" t="s">
        <v>10444</v>
      </c>
      <c r="E1095" s="16" t="s">
        <v>707</v>
      </c>
      <c r="F1095" s="16">
        <v>2006.0</v>
      </c>
      <c r="G1095" s="16">
        <v>52.9063</v>
      </c>
      <c r="H1095" s="16">
        <v>12.381</v>
      </c>
      <c r="I1095" s="15"/>
      <c r="J1095" s="15"/>
    </row>
    <row r="1096">
      <c r="A1096" s="18">
        <v>44656.0</v>
      </c>
      <c r="B1096" s="16" t="s">
        <v>11369</v>
      </c>
      <c r="C1096" s="16">
        <v>14.0</v>
      </c>
      <c r="D1096" s="16" t="s">
        <v>10444</v>
      </c>
      <c r="E1096" s="16" t="s">
        <v>707</v>
      </c>
      <c r="F1096" s="16">
        <v>2017.0</v>
      </c>
      <c r="G1096" s="16">
        <v>52.9814</v>
      </c>
      <c r="H1096" s="16">
        <v>12.3226</v>
      </c>
      <c r="I1096" s="15"/>
      <c r="J1096" s="15"/>
    </row>
    <row r="1097">
      <c r="A1097" s="18">
        <v>45028.0</v>
      </c>
      <c r="B1097" s="16" t="s">
        <v>11370</v>
      </c>
      <c r="C1097" s="16">
        <v>10.0</v>
      </c>
      <c r="D1097" s="16" t="s">
        <v>10444</v>
      </c>
      <c r="E1097" s="16" t="s">
        <v>707</v>
      </c>
      <c r="F1097" s="16">
        <v>2018.0</v>
      </c>
      <c r="G1097" s="16">
        <v>52.1024</v>
      </c>
      <c r="H1097" s="16">
        <v>9.1916</v>
      </c>
      <c r="I1097" s="15"/>
      <c r="J1097" s="15"/>
    </row>
    <row r="1098">
      <c r="A1098" s="18">
        <v>44656.0</v>
      </c>
      <c r="B1098" s="16" t="s">
        <v>11371</v>
      </c>
      <c r="C1098" s="16">
        <v>16.0</v>
      </c>
      <c r="D1098" s="16" t="s">
        <v>10444</v>
      </c>
      <c r="E1098" s="16" t="s">
        <v>707</v>
      </c>
      <c r="F1098" s="16">
        <v>1998.0</v>
      </c>
      <c r="G1098" s="16">
        <v>52.6299</v>
      </c>
      <c r="H1098" s="16">
        <v>9.4545</v>
      </c>
      <c r="I1098" s="15"/>
      <c r="J1098" s="15"/>
    </row>
    <row r="1099">
      <c r="A1099" s="18">
        <v>44656.0</v>
      </c>
      <c r="B1099" s="16" t="s">
        <v>11372</v>
      </c>
      <c r="C1099" s="16">
        <v>20.0</v>
      </c>
      <c r="D1099" s="16" t="s">
        <v>10444</v>
      </c>
      <c r="E1099" s="16" t="s">
        <v>707</v>
      </c>
      <c r="F1099" s="16">
        <v>2004.0</v>
      </c>
      <c r="G1099" s="16">
        <v>52.0771</v>
      </c>
      <c r="H1099" s="16">
        <v>7.4121</v>
      </c>
      <c r="I1099" s="15"/>
      <c r="J1099" s="15"/>
    </row>
    <row r="1100">
      <c r="A1100" s="18">
        <v>44656.0</v>
      </c>
      <c r="B1100" s="16" t="s">
        <v>11373</v>
      </c>
      <c r="C1100" s="16">
        <v>38.0</v>
      </c>
      <c r="D1100" s="16" t="s">
        <v>10444</v>
      </c>
      <c r="E1100" s="16" t="s">
        <v>707</v>
      </c>
      <c r="F1100" s="16">
        <v>2018.0</v>
      </c>
      <c r="G1100" s="16">
        <v>52.2325</v>
      </c>
      <c r="H1100" s="16">
        <v>7.6028</v>
      </c>
      <c r="I1100" s="15"/>
      <c r="J1100" s="15"/>
    </row>
    <row r="1101">
      <c r="A1101" s="18">
        <v>45355.0</v>
      </c>
      <c r="B1101" s="16" t="s">
        <v>11374</v>
      </c>
      <c r="C1101" s="16">
        <v>14.0</v>
      </c>
      <c r="D1101" s="16" t="s">
        <v>10444</v>
      </c>
      <c r="E1101" s="16" t="s">
        <v>707</v>
      </c>
      <c r="F1101" s="16">
        <v>2023.0</v>
      </c>
      <c r="G1101" s="16">
        <v>50.9353</v>
      </c>
      <c r="H1101" s="16">
        <v>8.2531</v>
      </c>
      <c r="I1101" s="15"/>
      <c r="J1101" s="15"/>
    </row>
    <row r="1102">
      <c r="A1102" s="18">
        <v>44656.0</v>
      </c>
      <c r="B1102" s="16" t="s">
        <v>11375</v>
      </c>
      <c r="C1102" s="16">
        <v>14.0</v>
      </c>
      <c r="D1102" s="16" t="s">
        <v>10444</v>
      </c>
      <c r="E1102" s="16" t="s">
        <v>707</v>
      </c>
      <c r="F1102" s="16">
        <v>2000.0</v>
      </c>
      <c r="G1102" s="16">
        <v>52.814</v>
      </c>
      <c r="H1102" s="16">
        <v>7.576</v>
      </c>
      <c r="I1102" s="15"/>
      <c r="J1102" s="15"/>
    </row>
    <row r="1103">
      <c r="A1103" s="18">
        <v>44656.0</v>
      </c>
      <c r="B1103" s="16" t="s">
        <v>11376</v>
      </c>
      <c r="C1103" s="16">
        <v>18.0</v>
      </c>
      <c r="D1103" s="16" t="s">
        <v>10444</v>
      </c>
      <c r="E1103" s="16" t="s">
        <v>707</v>
      </c>
      <c r="F1103" s="16">
        <v>2015.0</v>
      </c>
      <c r="G1103" s="16">
        <v>50.7364</v>
      </c>
      <c r="H1103" s="16">
        <v>8.4655</v>
      </c>
      <c r="I1103" s="15"/>
      <c r="J1103" s="15"/>
    </row>
    <row r="1104">
      <c r="A1104" s="18">
        <v>44656.0</v>
      </c>
      <c r="B1104" s="16" t="s">
        <v>11377</v>
      </c>
      <c r="C1104" s="16">
        <v>10.0</v>
      </c>
      <c r="D1104" s="16" t="s">
        <v>10444</v>
      </c>
      <c r="E1104" s="16" t="s">
        <v>707</v>
      </c>
      <c r="F1104" s="16">
        <v>2006.0</v>
      </c>
      <c r="G1104" s="16">
        <v>52.2419</v>
      </c>
      <c r="H1104" s="16">
        <v>10.2562</v>
      </c>
      <c r="I1104" s="15"/>
      <c r="J1104" s="15"/>
    </row>
    <row r="1105">
      <c r="A1105" s="18">
        <v>44656.0</v>
      </c>
      <c r="B1105" s="16" t="s">
        <v>11378</v>
      </c>
      <c r="C1105" s="16">
        <v>20.0</v>
      </c>
      <c r="D1105" s="16" t="s">
        <v>10444</v>
      </c>
      <c r="E1105" s="16" t="s">
        <v>707</v>
      </c>
      <c r="F1105" s="16">
        <v>2008.0</v>
      </c>
      <c r="G1105" s="16">
        <v>49.356</v>
      </c>
      <c r="H1105" s="16">
        <v>7.4443</v>
      </c>
      <c r="I1105" s="15"/>
      <c r="J1105" s="15"/>
    </row>
    <row r="1106">
      <c r="A1106" s="18">
        <v>44656.0</v>
      </c>
      <c r="B1106" s="16" t="s">
        <v>11379</v>
      </c>
      <c r="C1106" s="16">
        <v>11.0</v>
      </c>
      <c r="D1106" s="16" t="s">
        <v>10444</v>
      </c>
      <c r="E1106" s="16" t="s">
        <v>707</v>
      </c>
      <c r="F1106" s="16">
        <v>2002.0</v>
      </c>
      <c r="G1106" s="16">
        <v>50.6466</v>
      </c>
      <c r="H1106" s="16">
        <v>6.2805</v>
      </c>
      <c r="I1106" s="15"/>
      <c r="J1106" s="15"/>
    </row>
    <row r="1107">
      <c r="A1107" s="18">
        <v>44656.0</v>
      </c>
      <c r="B1107" s="16" t="s">
        <v>11380</v>
      </c>
      <c r="C1107" s="16">
        <v>22.0</v>
      </c>
      <c r="D1107" s="16" t="s">
        <v>10444</v>
      </c>
      <c r="E1107" s="16" t="s">
        <v>707</v>
      </c>
      <c r="F1107" s="16">
        <v>2009.0</v>
      </c>
      <c r="G1107" s="16">
        <v>53.6305</v>
      </c>
      <c r="H1107" s="16">
        <v>9.0533</v>
      </c>
      <c r="I1107" s="15"/>
      <c r="J1107" s="15"/>
    </row>
    <row r="1108">
      <c r="A1108" s="18">
        <v>44656.0</v>
      </c>
      <c r="B1108" s="16" t="s">
        <v>11381</v>
      </c>
      <c r="C1108" s="16">
        <v>12.0</v>
      </c>
      <c r="D1108" s="16" t="s">
        <v>10444</v>
      </c>
      <c r="E1108" s="16" t="s">
        <v>707</v>
      </c>
      <c r="F1108" s="16">
        <v>2016.0</v>
      </c>
      <c r="G1108" s="16">
        <v>53.2413</v>
      </c>
      <c r="H1108" s="16">
        <v>8.7292</v>
      </c>
      <c r="I1108" s="15"/>
      <c r="J1108" s="15"/>
    </row>
    <row r="1109">
      <c r="A1109" s="18">
        <v>44656.0</v>
      </c>
      <c r="B1109" s="16" t="s">
        <v>11382</v>
      </c>
      <c r="C1109" s="16">
        <v>11.0</v>
      </c>
      <c r="D1109" s="16" t="s">
        <v>10444</v>
      </c>
      <c r="E1109" s="16" t="s">
        <v>707</v>
      </c>
      <c r="F1109" s="16">
        <v>2000.0</v>
      </c>
      <c r="G1109" s="16">
        <v>53.6333</v>
      </c>
      <c r="H1109" s="16">
        <v>8.6689</v>
      </c>
      <c r="I1109" s="15"/>
      <c r="J1109" s="15"/>
    </row>
    <row r="1110">
      <c r="A1110" s="18">
        <v>45358.0</v>
      </c>
      <c r="B1110" s="16" t="s">
        <v>11383</v>
      </c>
      <c r="C1110" s="16">
        <v>11.0</v>
      </c>
      <c r="D1110" s="16" t="s">
        <v>10444</v>
      </c>
      <c r="E1110" s="16" t="s">
        <v>707</v>
      </c>
      <c r="F1110" s="16">
        <v>2023.0</v>
      </c>
      <c r="G1110" s="16">
        <v>49.5085</v>
      </c>
      <c r="H1110" s="16">
        <v>7.3176</v>
      </c>
      <c r="I1110" s="15"/>
      <c r="J1110" s="15"/>
    </row>
    <row r="1111">
      <c r="A1111" s="18">
        <v>44656.0</v>
      </c>
      <c r="B1111" s="16" t="s">
        <v>11384</v>
      </c>
      <c r="C1111" s="16">
        <v>36.0</v>
      </c>
      <c r="D1111" s="16" t="s">
        <v>10444</v>
      </c>
      <c r="E1111" s="16" t="s">
        <v>707</v>
      </c>
      <c r="F1111" s="16">
        <v>2017.0</v>
      </c>
      <c r="G1111" s="16">
        <v>49.2782</v>
      </c>
      <c r="H1111" s="16">
        <v>9.8806</v>
      </c>
      <c r="I1111" s="15"/>
      <c r="J1111" s="15"/>
    </row>
    <row r="1112">
      <c r="A1112" s="18">
        <v>44656.0</v>
      </c>
      <c r="B1112" s="16" t="s">
        <v>11385</v>
      </c>
      <c r="C1112" s="16">
        <v>18.0</v>
      </c>
      <c r="D1112" s="16" t="s">
        <v>10444</v>
      </c>
      <c r="E1112" s="16" t="s">
        <v>707</v>
      </c>
      <c r="F1112" s="16">
        <v>2001.0</v>
      </c>
      <c r="G1112" s="16">
        <v>51.0955</v>
      </c>
      <c r="H1112" s="16">
        <v>12.2651</v>
      </c>
      <c r="I1112" s="15"/>
      <c r="J1112" s="15"/>
    </row>
    <row r="1113">
      <c r="A1113" s="18">
        <v>44656.0</v>
      </c>
      <c r="B1113" s="16" t="s">
        <v>11386</v>
      </c>
      <c r="C1113" s="16">
        <v>14.0</v>
      </c>
      <c r="D1113" s="16" t="s">
        <v>10444</v>
      </c>
      <c r="E1113" s="16" t="s">
        <v>707</v>
      </c>
      <c r="F1113" s="16">
        <v>2011.0</v>
      </c>
      <c r="G1113" s="16">
        <v>54.6656</v>
      </c>
      <c r="H1113" s="16">
        <v>8.8743</v>
      </c>
      <c r="I1113" s="15"/>
      <c r="J1113" s="15"/>
    </row>
    <row r="1114">
      <c r="A1114" s="18">
        <v>44656.0</v>
      </c>
      <c r="B1114" s="16" t="s">
        <v>11386</v>
      </c>
      <c r="C1114" s="16">
        <v>20.0</v>
      </c>
      <c r="D1114" s="16" t="s">
        <v>10444</v>
      </c>
      <c r="E1114" s="16" t="s">
        <v>707</v>
      </c>
      <c r="F1114" s="16">
        <v>2017.0</v>
      </c>
      <c r="G1114" s="16">
        <v>54.6053</v>
      </c>
      <c r="H1114" s="16">
        <v>8.7853</v>
      </c>
      <c r="I1114" s="15"/>
      <c r="J1114" s="15"/>
    </row>
    <row r="1115">
      <c r="A1115" s="18">
        <v>44656.0</v>
      </c>
      <c r="B1115" s="16" t="s">
        <v>11387</v>
      </c>
      <c r="C1115" s="16">
        <v>14.0</v>
      </c>
      <c r="D1115" s="16" t="s">
        <v>10444</v>
      </c>
      <c r="E1115" s="16" t="s">
        <v>707</v>
      </c>
      <c r="F1115" s="16">
        <v>2006.0</v>
      </c>
      <c r="G1115" s="16">
        <v>51.4703</v>
      </c>
      <c r="H1115" s="16">
        <v>13.2504</v>
      </c>
      <c r="I1115" s="15"/>
      <c r="J1115" s="15"/>
    </row>
    <row r="1116">
      <c r="A1116" s="18">
        <v>44656.0</v>
      </c>
      <c r="B1116" s="16" t="s">
        <v>11388</v>
      </c>
      <c r="C1116" s="16">
        <v>15.0</v>
      </c>
      <c r="D1116" s="16" t="s">
        <v>10444</v>
      </c>
      <c r="E1116" s="16" t="s">
        <v>707</v>
      </c>
      <c r="F1116" s="16">
        <v>2014.0</v>
      </c>
      <c r="G1116" s="16">
        <v>49.5114</v>
      </c>
      <c r="H1116" s="16">
        <v>10.7508</v>
      </c>
      <c r="I1116" s="15"/>
      <c r="J1116" s="15"/>
    </row>
    <row r="1117">
      <c r="A1117" s="18">
        <v>44656.0</v>
      </c>
      <c r="B1117" s="16" t="s">
        <v>11389</v>
      </c>
      <c r="C1117" s="16">
        <v>13.0</v>
      </c>
      <c r="D1117" s="16" t="s">
        <v>10444</v>
      </c>
      <c r="E1117" s="16" t="s">
        <v>707</v>
      </c>
      <c r="F1117" s="16">
        <v>2014.0</v>
      </c>
      <c r="G1117" s="16">
        <v>50.2294</v>
      </c>
      <c r="H1117" s="16">
        <v>10.1617</v>
      </c>
      <c r="I1117" s="15"/>
      <c r="J1117" s="15"/>
    </row>
    <row r="1118">
      <c r="A1118" s="18">
        <v>44656.0</v>
      </c>
      <c r="B1118" s="16" t="s">
        <v>11390</v>
      </c>
      <c r="C1118" s="16">
        <v>20.0</v>
      </c>
      <c r="D1118" s="16" t="s">
        <v>10444</v>
      </c>
      <c r="E1118" s="16" t="s">
        <v>707</v>
      </c>
      <c r="F1118" s="16">
        <v>2009.0</v>
      </c>
      <c r="G1118" s="16">
        <v>52.6624</v>
      </c>
      <c r="H1118" s="16">
        <v>10.542</v>
      </c>
      <c r="I1118" s="15"/>
      <c r="J1118" s="15"/>
    </row>
    <row r="1119">
      <c r="A1119" s="18">
        <v>44656.0</v>
      </c>
      <c r="B1119" s="16" t="s">
        <v>11391</v>
      </c>
      <c r="C1119" s="16">
        <v>15.0</v>
      </c>
      <c r="D1119" s="16" t="s">
        <v>10444</v>
      </c>
      <c r="E1119" s="16" t="s">
        <v>707</v>
      </c>
      <c r="F1119" s="16">
        <v>2017.0</v>
      </c>
      <c r="G1119" s="16">
        <v>54.2117</v>
      </c>
      <c r="H1119" s="16">
        <v>9.9302</v>
      </c>
      <c r="I1119" s="15"/>
      <c r="J1119" s="15"/>
    </row>
    <row r="1120">
      <c r="A1120" s="18">
        <v>44656.0</v>
      </c>
      <c r="B1120" s="16" t="s">
        <v>11392</v>
      </c>
      <c r="C1120" s="16">
        <v>13.0</v>
      </c>
      <c r="D1120" s="16" t="s">
        <v>10444</v>
      </c>
      <c r="E1120" s="16" t="s">
        <v>707</v>
      </c>
      <c r="F1120" s="16">
        <v>2019.0</v>
      </c>
      <c r="G1120" s="16">
        <v>49.4432</v>
      </c>
      <c r="H1120" s="16">
        <v>7.769</v>
      </c>
      <c r="I1120" s="15"/>
      <c r="J1120" s="15"/>
    </row>
    <row r="1121">
      <c r="A1121" s="18">
        <v>45377.0</v>
      </c>
      <c r="B1121" s="16" t="s">
        <v>11393</v>
      </c>
      <c r="C1121" s="16">
        <v>11.0</v>
      </c>
      <c r="D1121" s="16" t="s">
        <v>10444</v>
      </c>
      <c r="E1121" s="16" t="s">
        <v>707</v>
      </c>
      <c r="F1121" s="16">
        <v>2004.0</v>
      </c>
      <c r="G1121" s="16">
        <v>53.7429</v>
      </c>
      <c r="H1121" s="16">
        <v>10.3994</v>
      </c>
      <c r="I1121" s="15"/>
      <c r="J1121" s="15"/>
    </row>
    <row r="1122">
      <c r="A1122" s="18">
        <v>44656.0</v>
      </c>
      <c r="B1122" s="16" t="s">
        <v>11394</v>
      </c>
      <c r="C1122" s="16">
        <v>16.0</v>
      </c>
      <c r="D1122" s="16" t="s">
        <v>10444</v>
      </c>
      <c r="E1122" s="16" t="s">
        <v>707</v>
      </c>
      <c r="F1122" s="16">
        <v>2011.0</v>
      </c>
      <c r="G1122" s="16">
        <v>51.5154</v>
      </c>
      <c r="H1122" s="16">
        <v>13.3223</v>
      </c>
      <c r="I1122" s="15"/>
      <c r="J1122" s="15"/>
    </row>
    <row r="1123">
      <c r="A1123" s="18">
        <v>44656.0</v>
      </c>
      <c r="B1123" s="16" t="s">
        <v>11395</v>
      </c>
      <c r="C1123" s="16">
        <v>17.0</v>
      </c>
      <c r="D1123" s="16" t="s">
        <v>10444</v>
      </c>
      <c r="E1123" s="16" t="s">
        <v>707</v>
      </c>
      <c r="F1123" s="16">
        <v>2017.0</v>
      </c>
      <c r="G1123" s="16">
        <v>49.4044</v>
      </c>
      <c r="H1123" s="16">
        <v>7.285</v>
      </c>
      <c r="I1123" s="15"/>
      <c r="J1123" s="15"/>
    </row>
    <row r="1124">
      <c r="A1124" s="18">
        <v>44656.0</v>
      </c>
      <c r="B1124" s="16" t="s">
        <v>11396</v>
      </c>
      <c r="C1124" s="16">
        <v>10.0</v>
      </c>
      <c r="D1124" s="16" t="s">
        <v>10444</v>
      </c>
      <c r="E1124" s="16" t="s">
        <v>707</v>
      </c>
      <c r="F1124" s="16">
        <v>2006.0</v>
      </c>
      <c r="G1124" s="16">
        <v>48.7725</v>
      </c>
      <c r="H1124" s="16">
        <v>10.0018</v>
      </c>
      <c r="I1124" s="15"/>
      <c r="J1124" s="15"/>
    </row>
    <row r="1125">
      <c r="A1125" s="18">
        <v>44656.0</v>
      </c>
      <c r="B1125" s="16" t="s">
        <v>11397</v>
      </c>
      <c r="C1125" s="16">
        <v>44.0</v>
      </c>
      <c r="D1125" s="16" t="s">
        <v>10444</v>
      </c>
      <c r="E1125" s="16" t="s">
        <v>707</v>
      </c>
      <c r="F1125" s="16">
        <v>2016.0</v>
      </c>
      <c r="G1125" s="16">
        <v>48.7423</v>
      </c>
      <c r="H1125" s="16">
        <v>9.8971</v>
      </c>
      <c r="I1125" s="15"/>
      <c r="J1125" s="15"/>
    </row>
    <row r="1126">
      <c r="A1126" s="18">
        <v>44656.0</v>
      </c>
      <c r="B1126" s="16" t="s">
        <v>11398</v>
      </c>
      <c r="C1126" s="16">
        <v>24.0</v>
      </c>
      <c r="D1126" s="16" t="s">
        <v>10444</v>
      </c>
      <c r="E1126" s="16" t="s">
        <v>707</v>
      </c>
      <c r="F1126" s="16">
        <v>2016.0</v>
      </c>
      <c r="G1126" s="16">
        <v>51.7729</v>
      </c>
      <c r="H1126" s="16">
        <v>7.1872</v>
      </c>
      <c r="I1126" s="15"/>
      <c r="J1126" s="15"/>
    </row>
    <row r="1127">
      <c r="A1127" s="18">
        <v>44656.0</v>
      </c>
      <c r="B1127" s="16" t="s">
        <v>11399</v>
      </c>
      <c r="C1127" s="16">
        <v>15.0</v>
      </c>
      <c r="D1127" s="16" t="s">
        <v>10444</v>
      </c>
      <c r="E1127" s="16" t="s">
        <v>707</v>
      </c>
      <c r="F1127" s="16">
        <v>2016.0</v>
      </c>
      <c r="G1127" s="16">
        <v>54.7774</v>
      </c>
      <c r="H1127" s="16">
        <v>8.9303</v>
      </c>
      <c r="I1127" s="15"/>
      <c r="J1127" s="15"/>
    </row>
    <row r="1128">
      <c r="A1128" s="18">
        <v>44656.0</v>
      </c>
      <c r="B1128" s="16" t="s">
        <v>11399</v>
      </c>
      <c r="C1128" s="16">
        <v>11.0</v>
      </c>
      <c r="D1128" s="16" t="s">
        <v>10444</v>
      </c>
      <c r="E1128" s="16" t="s">
        <v>707</v>
      </c>
      <c r="F1128" s="15"/>
      <c r="G1128" s="16">
        <v>54.779</v>
      </c>
      <c r="H1128" s="16">
        <v>8.9118</v>
      </c>
      <c r="I1128" s="15"/>
      <c r="J1128" s="15"/>
    </row>
    <row r="1129">
      <c r="A1129" s="18">
        <v>44656.0</v>
      </c>
      <c r="B1129" s="16" t="s">
        <v>11400</v>
      </c>
      <c r="C1129" s="16">
        <v>10.0</v>
      </c>
      <c r="D1129" s="16" t="s">
        <v>10444</v>
      </c>
      <c r="E1129" s="16" t="s">
        <v>707</v>
      </c>
      <c r="F1129" s="16">
        <v>2009.0</v>
      </c>
      <c r="G1129" s="16">
        <v>52.894</v>
      </c>
      <c r="H1129" s="16">
        <v>12.388</v>
      </c>
      <c r="I1129" s="15"/>
      <c r="J1129" s="15"/>
    </row>
    <row r="1130">
      <c r="A1130" s="18">
        <v>44656.0</v>
      </c>
      <c r="B1130" s="16" t="s">
        <v>11401</v>
      </c>
      <c r="C1130" s="16">
        <v>17.0</v>
      </c>
      <c r="D1130" s="16" t="s">
        <v>10444</v>
      </c>
      <c r="E1130" s="16" t="s">
        <v>707</v>
      </c>
      <c r="F1130" s="16">
        <v>2017.0</v>
      </c>
      <c r="G1130" s="16">
        <v>52.9927</v>
      </c>
      <c r="H1130" s="16">
        <v>7.3763</v>
      </c>
      <c r="I1130" s="15"/>
      <c r="J1130" s="15"/>
    </row>
    <row r="1131">
      <c r="A1131" s="18">
        <v>44656.0</v>
      </c>
      <c r="B1131" s="16" t="s">
        <v>11402</v>
      </c>
      <c r="C1131" s="16">
        <v>12.0</v>
      </c>
      <c r="D1131" s="16" t="s">
        <v>10444</v>
      </c>
      <c r="E1131" s="16" t="s">
        <v>707</v>
      </c>
      <c r="F1131" s="16">
        <v>2009.0</v>
      </c>
      <c r="G1131" s="16">
        <v>52.3519</v>
      </c>
      <c r="H1131" s="16">
        <v>10.0056</v>
      </c>
      <c r="I1131" s="15"/>
      <c r="J1131" s="15"/>
    </row>
    <row r="1132">
      <c r="A1132" s="18">
        <v>44656.0</v>
      </c>
      <c r="B1132" s="16" t="s">
        <v>11403</v>
      </c>
      <c r="C1132" s="16">
        <v>20.0</v>
      </c>
      <c r="D1132" s="16" t="s">
        <v>10444</v>
      </c>
      <c r="E1132" s="16" t="s">
        <v>707</v>
      </c>
      <c r="F1132" s="15"/>
      <c r="G1132" s="16">
        <v>52.3506</v>
      </c>
      <c r="H1132" s="16">
        <v>10.0002</v>
      </c>
      <c r="I1132" s="15"/>
      <c r="J1132" s="15"/>
    </row>
    <row r="1133">
      <c r="A1133" s="18">
        <v>44656.0</v>
      </c>
      <c r="B1133" s="16" t="s">
        <v>11404</v>
      </c>
      <c r="C1133" s="16">
        <v>12.0</v>
      </c>
      <c r="D1133" s="16" t="s">
        <v>10444</v>
      </c>
      <c r="E1133" s="16" t="s">
        <v>707</v>
      </c>
      <c r="F1133" s="16">
        <v>2013.0</v>
      </c>
      <c r="G1133" s="16">
        <v>49.5312</v>
      </c>
      <c r="H1133" s="16">
        <v>7.0838</v>
      </c>
      <c r="I1133" s="15"/>
      <c r="J1133" s="15"/>
    </row>
    <row r="1134">
      <c r="A1134" s="18">
        <v>44656.0</v>
      </c>
      <c r="B1134" s="16" t="s">
        <v>11405</v>
      </c>
      <c r="C1134" s="16">
        <v>18.0</v>
      </c>
      <c r="D1134" s="16" t="s">
        <v>10444</v>
      </c>
      <c r="E1134" s="16" t="s">
        <v>707</v>
      </c>
      <c r="F1134" s="16">
        <v>2004.0</v>
      </c>
      <c r="G1134" s="16">
        <v>52.5094</v>
      </c>
      <c r="H1134" s="16">
        <v>8.4265</v>
      </c>
      <c r="I1134" s="15"/>
      <c r="J1134" s="15"/>
    </row>
    <row r="1135">
      <c r="A1135" s="18">
        <v>44656.0</v>
      </c>
      <c r="B1135" s="16" t="s">
        <v>11406</v>
      </c>
      <c r="C1135" s="16">
        <v>16.0</v>
      </c>
      <c r="D1135" s="16" t="s">
        <v>10444</v>
      </c>
      <c r="E1135" s="16" t="s">
        <v>707</v>
      </c>
      <c r="F1135" s="16">
        <v>2000.0</v>
      </c>
      <c r="G1135" s="16">
        <v>52.5961</v>
      </c>
      <c r="H1135" s="16">
        <v>7.536</v>
      </c>
      <c r="I1135" s="15"/>
      <c r="J1135" s="15"/>
    </row>
    <row r="1136">
      <c r="A1136" s="18">
        <v>45355.0</v>
      </c>
      <c r="B1136" s="16" t="s">
        <v>11407</v>
      </c>
      <c r="C1136" s="16">
        <v>24.0</v>
      </c>
      <c r="D1136" s="16" t="s">
        <v>10444</v>
      </c>
      <c r="E1136" s="16" t="s">
        <v>707</v>
      </c>
      <c r="F1136" s="16">
        <v>2023.0</v>
      </c>
      <c r="G1136" s="16">
        <v>53.8902</v>
      </c>
      <c r="H1136" s="16">
        <v>9.851</v>
      </c>
      <c r="I1136" s="15"/>
      <c r="J1136" s="15"/>
    </row>
    <row r="1137">
      <c r="A1137" s="18">
        <v>44656.0</v>
      </c>
      <c r="B1137" s="16" t="s">
        <v>11408</v>
      </c>
      <c r="C1137" s="16">
        <v>10.0</v>
      </c>
      <c r="D1137" s="16" t="s">
        <v>10444</v>
      </c>
      <c r="E1137" s="16" t="s">
        <v>707</v>
      </c>
      <c r="F1137" s="15"/>
      <c r="G1137" s="16">
        <v>52.1743</v>
      </c>
      <c r="H1137" s="16">
        <v>10.2624</v>
      </c>
      <c r="I1137" s="15"/>
      <c r="J1137" s="15"/>
    </row>
    <row r="1138">
      <c r="A1138" s="18">
        <v>44656.0</v>
      </c>
      <c r="B1138" s="16" t="s">
        <v>11408</v>
      </c>
      <c r="C1138" s="16">
        <v>10.0</v>
      </c>
      <c r="D1138" s="16" t="s">
        <v>10444</v>
      </c>
      <c r="E1138" s="16" t="s">
        <v>707</v>
      </c>
      <c r="F1138" s="16">
        <v>2010.0</v>
      </c>
      <c r="G1138" s="16">
        <v>52.1743</v>
      </c>
      <c r="H1138" s="16">
        <v>10.2624</v>
      </c>
      <c r="I1138" s="15"/>
      <c r="J1138" s="15"/>
    </row>
    <row r="1139">
      <c r="A1139" s="18">
        <v>44656.0</v>
      </c>
      <c r="B1139" s="16" t="s">
        <v>11408</v>
      </c>
      <c r="C1139" s="16">
        <v>11.0</v>
      </c>
      <c r="D1139" s="16" t="s">
        <v>10444</v>
      </c>
      <c r="E1139" s="16" t="s">
        <v>707</v>
      </c>
      <c r="F1139" s="15"/>
      <c r="G1139" s="16">
        <v>52.1612</v>
      </c>
      <c r="H1139" s="16">
        <v>10.2597</v>
      </c>
      <c r="I1139" s="15"/>
      <c r="J1139" s="15"/>
    </row>
    <row r="1140">
      <c r="A1140" s="18">
        <v>44656.0</v>
      </c>
      <c r="B1140" s="16" t="s">
        <v>11408</v>
      </c>
      <c r="C1140" s="16">
        <v>14.0</v>
      </c>
      <c r="D1140" s="16" t="s">
        <v>10444</v>
      </c>
      <c r="E1140" s="16" t="s">
        <v>707</v>
      </c>
      <c r="F1140" s="15"/>
      <c r="G1140" s="16">
        <v>52.1612</v>
      </c>
      <c r="H1140" s="16">
        <v>10.2597</v>
      </c>
      <c r="I1140" s="15"/>
      <c r="J1140" s="15"/>
    </row>
    <row r="1141">
      <c r="A1141" s="18">
        <v>45029.0</v>
      </c>
      <c r="B1141" s="16" t="s">
        <v>11409</v>
      </c>
      <c r="C1141" s="16">
        <v>18.0</v>
      </c>
      <c r="D1141" s="16" t="s">
        <v>10444</v>
      </c>
      <c r="E1141" s="16" t="s">
        <v>707</v>
      </c>
      <c r="F1141" s="16">
        <v>2022.0</v>
      </c>
      <c r="G1141" s="16">
        <v>51.8808</v>
      </c>
      <c r="H1141" s="16">
        <v>7.1124</v>
      </c>
      <c r="I1141" s="15"/>
      <c r="J1141" s="15"/>
    </row>
    <row r="1142">
      <c r="A1142" s="18">
        <v>44656.0</v>
      </c>
      <c r="B1142" s="16" t="s">
        <v>11410</v>
      </c>
      <c r="C1142" s="16">
        <v>35.0</v>
      </c>
      <c r="D1142" s="16" t="s">
        <v>10444</v>
      </c>
      <c r="E1142" s="16" t="s">
        <v>707</v>
      </c>
      <c r="F1142" s="16">
        <v>2013.0</v>
      </c>
      <c r="G1142" s="16">
        <v>49.723</v>
      </c>
      <c r="H1142" s="16">
        <v>7.7158</v>
      </c>
      <c r="I1142" s="15"/>
      <c r="J1142" s="15"/>
    </row>
    <row r="1143">
      <c r="A1143" s="18">
        <v>44656.0</v>
      </c>
      <c r="B1143" s="16" t="s">
        <v>11411</v>
      </c>
      <c r="C1143" s="16">
        <v>11.0</v>
      </c>
      <c r="D1143" s="16" t="s">
        <v>10444</v>
      </c>
      <c r="E1143" s="16" t="s">
        <v>707</v>
      </c>
      <c r="F1143" s="16">
        <v>1997.0</v>
      </c>
      <c r="G1143" s="16">
        <v>51.6402</v>
      </c>
      <c r="H1143" s="16">
        <v>8.9306</v>
      </c>
      <c r="I1143" s="15"/>
      <c r="J1143" s="15"/>
    </row>
    <row r="1144">
      <c r="A1144" s="18">
        <v>44656.0</v>
      </c>
      <c r="B1144" s="16" t="s">
        <v>11412</v>
      </c>
      <c r="C1144" s="16">
        <v>17.0</v>
      </c>
      <c r="D1144" s="16" t="s">
        <v>10444</v>
      </c>
      <c r="E1144" s="16" t="s">
        <v>707</v>
      </c>
      <c r="F1144" s="16">
        <v>2020.0</v>
      </c>
      <c r="G1144" s="16">
        <v>50.1438</v>
      </c>
      <c r="H1144" s="16">
        <v>7.3223</v>
      </c>
      <c r="I1144" s="15"/>
      <c r="J1144" s="15"/>
    </row>
    <row r="1145">
      <c r="A1145" s="18">
        <v>44656.0</v>
      </c>
      <c r="B1145" s="16" t="s">
        <v>11413</v>
      </c>
      <c r="C1145" s="16">
        <v>24.0</v>
      </c>
      <c r="D1145" s="16" t="s">
        <v>10444</v>
      </c>
      <c r="E1145" s="16" t="s">
        <v>707</v>
      </c>
      <c r="F1145" s="16">
        <v>2014.0</v>
      </c>
      <c r="G1145" s="16">
        <v>51.6362</v>
      </c>
      <c r="H1145" s="16">
        <v>13.8143</v>
      </c>
      <c r="I1145" s="15"/>
      <c r="J1145" s="15"/>
    </row>
    <row r="1146">
      <c r="A1146" s="18">
        <v>44656.0</v>
      </c>
      <c r="B1146" s="16" t="s">
        <v>11413</v>
      </c>
      <c r="C1146" s="16">
        <v>24.0</v>
      </c>
      <c r="D1146" s="16" t="s">
        <v>10444</v>
      </c>
      <c r="E1146" s="16" t="s">
        <v>707</v>
      </c>
      <c r="F1146" s="16">
        <v>2016.0</v>
      </c>
      <c r="G1146" s="16">
        <v>51.6305</v>
      </c>
      <c r="H1146" s="16">
        <v>13.8007</v>
      </c>
      <c r="I1146" s="15"/>
      <c r="J1146" s="15"/>
    </row>
    <row r="1147">
      <c r="A1147" s="18">
        <v>44656.0</v>
      </c>
      <c r="B1147" s="16" t="s">
        <v>11414</v>
      </c>
      <c r="C1147" s="16">
        <v>14.0</v>
      </c>
      <c r="D1147" s="16" t="s">
        <v>10444</v>
      </c>
      <c r="E1147" s="16" t="s">
        <v>707</v>
      </c>
      <c r="F1147" s="16">
        <v>2003.0</v>
      </c>
      <c r="G1147" s="16">
        <v>52.775</v>
      </c>
      <c r="H1147" s="16">
        <v>11.2911</v>
      </c>
      <c r="I1147" s="15"/>
      <c r="J1147" s="15"/>
    </row>
    <row r="1148">
      <c r="A1148" s="18">
        <v>44998.0</v>
      </c>
      <c r="B1148" s="16" t="s">
        <v>11415</v>
      </c>
      <c r="C1148" s="16">
        <v>11.0</v>
      </c>
      <c r="D1148" s="16" t="s">
        <v>10444</v>
      </c>
      <c r="E1148" s="16" t="s">
        <v>707</v>
      </c>
      <c r="F1148" s="16">
        <v>2018.0</v>
      </c>
      <c r="G1148" s="16">
        <v>51.6223</v>
      </c>
      <c r="H1148" s="16">
        <v>6.9749</v>
      </c>
      <c r="I1148" s="15"/>
      <c r="J1148" s="15"/>
    </row>
    <row r="1149">
      <c r="A1149" s="18">
        <v>44656.0</v>
      </c>
      <c r="B1149" s="16" t="s">
        <v>11416</v>
      </c>
      <c r="C1149" s="16">
        <v>22.0</v>
      </c>
      <c r="D1149" s="16" t="s">
        <v>10444</v>
      </c>
      <c r="E1149" s="16" t="s">
        <v>707</v>
      </c>
      <c r="F1149" s="16">
        <v>2019.0</v>
      </c>
      <c r="G1149" s="16">
        <v>51.8628</v>
      </c>
      <c r="H1149" s="16">
        <v>13.1241</v>
      </c>
      <c r="I1149" s="15"/>
      <c r="J1149" s="15"/>
    </row>
    <row r="1150">
      <c r="A1150" s="18">
        <v>44656.0</v>
      </c>
      <c r="B1150" s="16" t="s">
        <v>11417</v>
      </c>
      <c r="C1150" s="16">
        <v>15.0</v>
      </c>
      <c r="D1150" s="16" t="s">
        <v>10444</v>
      </c>
      <c r="E1150" s="16" t="s">
        <v>707</v>
      </c>
      <c r="F1150" s="16">
        <v>2013.0</v>
      </c>
      <c r="G1150" s="16">
        <v>51.0314</v>
      </c>
      <c r="H1150" s="16">
        <v>11.9086</v>
      </c>
      <c r="I1150" s="15"/>
      <c r="J1150" s="15"/>
    </row>
    <row r="1151">
      <c r="A1151" s="18">
        <v>44656.0</v>
      </c>
      <c r="B1151" s="16" t="s">
        <v>11418</v>
      </c>
      <c r="C1151" s="16">
        <v>12.0</v>
      </c>
      <c r="D1151" s="16" t="s">
        <v>10444</v>
      </c>
      <c r="E1151" s="16" t="s">
        <v>707</v>
      </c>
      <c r="F1151" s="16">
        <v>2014.0</v>
      </c>
      <c r="G1151" s="16">
        <v>51.2986</v>
      </c>
      <c r="H1151" s="16">
        <v>9.3128</v>
      </c>
      <c r="I1151" s="15"/>
      <c r="J1151" s="15"/>
    </row>
    <row r="1152">
      <c r="A1152" s="18">
        <v>44656.0</v>
      </c>
      <c r="B1152" s="16" t="s">
        <v>11419</v>
      </c>
      <c r="C1152" s="16">
        <v>10.0</v>
      </c>
      <c r="D1152" s="16" t="s">
        <v>10444</v>
      </c>
      <c r="E1152" s="16" t="s">
        <v>707</v>
      </c>
      <c r="F1152" s="16">
        <v>2013.0</v>
      </c>
      <c r="G1152" s="16">
        <v>50.9758</v>
      </c>
      <c r="H1152" s="16">
        <v>6.203</v>
      </c>
      <c r="I1152" s="15"/>
      <c r="J1152" s="15"/>
    </row>
    <row r="1153">
      <c r="A1153" s="18">
        <v>44656.0</v>
      </c>
      <c r="B1153" s="16" t="s">
        <v>11420</v>
      </c>
      <c r="C1153" s="16">
        <v>15.0</v>
      </c>
      <c r="D1153" s="16" t="s">
        <v>10444</v>
      </c>
      <c r="E1153" s="16" t="s">
        <v>707</v>
      </c>
      <c r="F1153" s="16">
        <v>2014.0</v>
      </c>
      <c r="G1153" s="16">
        <v>52.6919</v>
      </c>
      <c r="H1153" s="16">
        <v>11.9276</v>
      </c>
      <c r="I1153" s="15"/>
      <c r="J1153" s="15"/>
    </row>
    <row r="1154">
      <c r="A1154" s="18">
        <v>44656.0</v>
      </c>
      <c r="B1154" s="16" t="s">
        <v>11421</v>
      </c>
      <c r="C1154" s="16">
        <v>22.0</v>
      </c>
      <c r="D1154" s="16" t="s">
        <v>10444</v>
      </c>
      <c r="E1154" s="16" t="s">
        <v>707</v>
      </c>
      <c r="F1154" s="16">
        <v>2016.0</v>
      </c>
      <c r="G1154" s="16">
        <v>50.7802</v>
      </c>
      <c r="H1154" s="16">
        <v>9.4288</v>
      </c>
      <c r="I1154" s="15"/>
      <c r="J1154" s="15"/>
    </row>
    <row r="1155">
      <c r="A1155" s="18">
        <v>44656.0</v>
      </c>
      <c r="B1155" s="16" t="s">
        <v>11422</v>
      </c>
      <c r="C1155" s="16">
        <v>20.0</v>
      </c>
      <c r="D1155" s="16" t="s">
        <v>10444</v>
      </c>
      <c r="E1155" s="16" t="s">
        <v>707</v>
      </c>
      <c r="F1155" s="16">
        <v>2003.0</v>
      </c>
      <c r="G1155" s="16">
        <v>52.5853</v>
      </c>
      <c r="H1155" s="16">
        <v>7.3455</v>
      </c>
      <c r="I1155" s="15"/>
      <c r="J1155" s="15"/>
    </row>
    <row r="1156">
      <c r="A1156" s="18">
        <v>45371.0</v>
      </c>
      <c r="B1156" s="16" t="s">
        <v>11423</v>
      </c>
      <c r="C1156" s="16">
        <v>16.0</v>
      </c>
      <c r="D1156" s="16" t="s">
        <v>10444</v>
      </c>
      <c r="E1156" s="16" t="s">
        <v>707</v>
      </c>
      <c r="F1156" s="16">
        <v>2022.0</v>
      </c>
      <c r="G1156" s="16">
        <v>54.7101</v>
      </c>
      <c r="H1156" s="16">
        <v>9.1569</v>
      </c>
      <c r="I1156" s="15"/>
      <c r="J1156" s="15"/>
    </row>
    <row r="1157">
      <c r="A1157" s="18">
        <v>44656.0</v>
      </c>
      <c r="B1157" s="16" t="s">
        <v>11424</v>
      </c>
      <c r="C1157" s="16">
        <v>15.0</v>
      </c>
      <c r="D1157" s="16" t="s">
        <v>10444</v>
      </c>
      <c r="E1157" s="16" t="s">
        <v>707</v>
      </c>
      <c r="F1157" s="16">
        <v>2001.0</v>
      </c>
      <c r="G1157" s="16">
        <v>50.9806</v>
      </c>
      <c r="H1157" s="16">
        <v>6.2676</v>
      </c>
      <c r="I1157" s="15"/>
      <c r="J1157" s="15"/>
    </row>
    <row r="1158">
      <c r="A1158" s="18">
        <v>44656.0</v>
      </c>
      <c r="B1158" s="16" t="s">
        <v>11425</v>
      </c>
      <c r="C1158" s="16">
        <v>26.0</v>
      </c>
      <c r="D1158" s="16" t="s">
        <v>10444</v>
      </c>
      <c r="E1158" s="16" t="s">
        <v>707</v>
      </c>
      <c r="F1158" s="16">
        <v>2016.0</v>
      </c>
      <c r="G1158" s="16">
        <v>51.014</v>
      </c>
      <c r="H1158" s="16">
        <v>6.3173</v>
      </c>
      <c r="I1158" s="15"/>
      <c r="J1158" s="15"/>
    </row>
    <row r="1159">
      <c r="A1159" s="18">
        <v>44656.0</v>
      </c>
      <c r="B1159" s="16" t="s">
        <v>11426</v>
      </c>
      <c r="C1159" s="16">
        <v>12.0</v>
      </c>
      <c r="D1159" s="16" t="s">
        <v>10444</v>
      </c>
      <c r="E1159" s="16" t="s">
        <v>707</v>
      </c>
      <c r="F1159" s="16">
        <v>2018.0</v>
      </c>
      <c r="G1159" s="16">
        <v>50.9618</v>
      </c>
      <c r="H1159" s="16">
        <v>6.347</v>
      </c>
      <c r="I1159" s="15"/>
      <c r="J1159" s="15"/>
    </row>
    <row r="1160">
      <c r="A1160" s="18">
        <v>44656.0</v>
      </c>
      <c r="B1160" s="16" t="s">
        <v>11427</v>
      </c>
      <c r="C1160" s="16">
        <v>36.0</v>
      </c>
      <c r="D1160" s="16" t="s">
        <v>10444</v>
      </c>
      <c r="E1160" s="16" t="s">
        <v>707</v>
      </c>
      <c r="F1160" s="16">
        <v>2021.0</v>
      </c>
      <c r="G1160" s="16">
        <v>50.9828</v>
      </c>
      <c r="H1160" s="16">
        <v>6.2432</v>
      </c>
      <c r="I1160" s="15"/>
      <c r="J1160" s="15"/>
    </row>
    <row r="1161">
      <c r="A1161" s="18">
        <v>44656.0</v>
      </c>
      <c r="B1161" s="16" t="s">
        <v>11428</v>
      </c>
      <c r="C1161" s="16">
        <v>11.0</v>
      </c>
      <c r="D1161" s="16" t="s">
        <v>10444</v>
      </c>
      <c r="E1161" s="16" t="s">
        <v>707</v>
      </c>
      <c r="F1161" s="16">
        <v>2000.0</v>
      </c>
      <c r="G1161" s="16">
        <v>51.0628</v>
      </c>
      <c r="H1161" s="16">
        <v>13.1203</v>
      </c>
      <c r="I1161" s="15"/>
      <c r="J1161" s="15"/>
    </row>
    <row r="1162">
      <c r="A1162" s="18">
        <v>44656.0</v>
      </c>
      <c r="B1162" s="16" t="s">
        <v>11429</v>
      </c>
      <c r="C1162" s="16">
        <v>14.0</v>
      </c>
      <c r="D1162" s="16" t="s">
        <v>10444</v>
      </c>
      <c r="E1162" s="16" t="s">
        <v>707</v>
      </c>
      <c r="F1162" s="16">
        <v>2015.0</v>
      </c>
      <c r="G1162" s="16">
        <v>51.7578</v>
      </c>
      <c r="H1162" s="16">
        <v>14.1042</v>
      </c>
      <c r="I1162" s="15"/>
      <c r="J1162" s="15"/>
    </row>
    <row r="1163">
      <c r="A1163" s="18">
        <v>45022.0</v>
      </c>
      <c r="B1163" s="16" t="s">
        <v>11430</v>
      </c>
      <c r="C1163" s="16">
        <v>18.0</v>
      </c>
      <c r="D1163" s="16" t="s">
        <v>10444</v>
      </c>
      <c r="E1163" s="16" t="s">
        <v>707</v>
      </c>
      <c r="F1163" s="16">
        <v>2008.0</v>
      </c>
      <c r="G1163" s="16">
        <v>52.3908</v>
      </c>
      <c r="H1163" s="16">
        <v>11.0925</v>
      </c>
      <c r="I1163" s="15"/>
      <c r="J1163" s="15"/>
    </row>
    <row r="1164">
      <c r="A1164" s="18">
        <v>44656.0</v>
      </c>
      <c r="B1164" s="16" t="s">
        <v>11431</v>
      </c>
      <c r="C1164" s="16">
        <v>18.0</v>
      </c>
      <c r="D1164" s="16" t="s">
        <v>10444</v>
      </c>
      <c r="E1164" s="16" t="s">
        <v>707</v>
      </c>
      <c r="F1164" s="16">
        <v>2007.0</v>
      </c>
      <c r="G1164" s="16">
        <v>53.4773</v>
      </c>
      <c r="H1164" s="16">
        <v>8.812</v>
      </c>
      <c r="I1164" s="15"/>
      <c r="J1164" s="15"/>
    </row>
    <row r="1165">
      <c r="A1165" s="18">
        <v>44999.0</v>
      </c>
      <c r="B1165" s="16" t="s">
        <v>11432</v>
      </c>
      <c r="C1165" s="16">
        <v>12.0</v>
      </c>
      <c r="D1165" s="16" t="s">
        <v>10444</v>
      </c>
      <c r="E1165" s="16" t="s">
        <v>707</v>
      </c>
      <c r="F1165" s="16">
        <v>2018.0</v>
      </c>
      <c r="G1165" s="16">
        <v>53.4013</v>
      </c>
      <c r="H1165" s="16">
        <v>8.657</v>
      </c>
      <c r="I1165" s="15"/>
      <c r="J1165" s="15"/>
    </row>
    <row r="1166">
      <c r="A1166" s="18">
        <v>44656.0</v>
      </c>
      <c r="B1166" s="16" t="s">
        <v>11433</v>
      </c>
      <c r="C1166" s="16">
        <v>14.0</v>
      </c>
      <c r="D1166" s="16" t="s">
        <v>10444</v>
      </c>
      <c r="E1166" s="16" t="s">
        <v>707</v>
      </c>
      <c r="F1166" s="16">
        <v>2010.0</v>
      </c>
      <c r="G1166" s="16">
        <v>52.796</v>
      </c>
      <c r="H1166" s="16">
        <v>7.7464</v>
      </c>
      <c r="I1166" s="15"/>
      <c r="J1166" s="15"/>
    </row>
    <row r="1167">
      <c r="A1167" s="18">
        <v>44656.0</v>
      </c>
      <c r="B1167" s="16" t="s">
        <v>11434</v>
      </c>
      <c r="C1167" s="16">
        <v>12.0</v>
      </c>
      <c r="D1167" s="16" t="s">
        <v>10444</v>
      </c>
      <c r="E1167" s="16" t="s">
        <v>707</v>
      </c>
      <c r="F1167" s="16">
        <v>2015.0</v>
      </c>
      <c r="G1167" s="16">
        <v>49.719</v>
      </c>
      <c r="H1167" s="16">
        <v>10.7569</v>
      </c>
      <c r="I1167" s="15"/>
      <c r="J1167" s="15"/>
    </row>
    <row r="1168">
      <c r="A1168" s="18">
        <v>44999.0</v>
      </c>
      <c r="B1168" s="16" t="s">
        <v>11435</v>
      </c>
      <c r="C1168" s="16">
        <v>10.0</v>
      </c>
      <c r="D1168" s="16" t="s">
        <v>10444</v>
      </c>
      <c r="E1168" s="16" t="s">
        <v>707</v>
      </c>
      <c r="F1168" s="16">
        <v>2015.0</v>
      </c>
      <c r="G1168" s="16">
        <v>54.0259</v>
      </c>
      <c r="H1168" s="16">
        <v>9.5487</v>
      </c>
      <c r="I1168" s="15"/>
      <c r="J1168" s="15"/>
    </row>
    <row r="1169">
      <c r="A1169" s="18">
        <v>44656.0</v>
      </c>
      <c r="B1169" s="16" t="s">
        <v>11435</v>
      </c>
      <c r="C1169" s="16">
        <v>17.0</v>
      </c>
      <c r="D1169" s="16" t="s">
        <v>10444</v>
      </c>
      <c r="E1169" s="16" t="s">
        <v>707</v>
      </c>
      <c r="F1169" s="16">
        <v>2018.0</v>
      </c>
      <c r="G1169" s="16">
        <v>54.0349</v>
      </c>
      <c r="H1169" s="16">
        <v>9.5418</v>
      </c>
      <c r="I1169" s="15"/>
      <c r="J1169" s="15"/>
    </row>
    <row r="1170">
      <c r="A1170" s="18">
        <v>45013.0</v>
      </c>
      <c r="B1170" s="16" t="s">
        <v>11436</v>
      </c>
      <c r="C1170" s="16">
        <v>13.0</v>
      </c>
      <c r="D1170" s="16" t="s">
        <v>10444</v>
      </c>
      <c r="E1170" s="16" t="s">
        <v>707</v>
      </c>
      <c r="F1170" s="16">
        <v>2017.0</v>
      </c>
      <c r="G1170" s="16">
        <v>52.9241</v>
      </c>
      <c r="H1170" s="16">
        <v>7.5801</v>
      </c>
      <c r="I1170" s="15"/>
      <c r="J1170" s="15"/>
    </row>
    <row r="1171">
      <c r="A1171" s="18">
        <v>44656.0</v>
      </c>
      <c r="B1171" s="16" t="s">
        <v>11436</v>
      </c>
      <c r="C1171" s="16">
        <v>12.0</v>
      </c>
      <c r="D1171" s="16" t="s">
        <v>10444</v>
      </c>
      <c r="E1171" s="16" t="s">
        <v>707</v>
      </c>
      <c r="F1171" s="15"/>
      <c r="G1171" s="16">
        <v>52.9241</v>
      </c>
      <c r="H1171" s="16">
        <v>7.5801</v>
      </c>
      <c r="I1171" s="15"/>
      <c r="J1171" s="15"/>
    </row>
    <row r="1172">
      <c r="A1172" s="18">
        <v>44656.0</v>
      </c>
      <c r="B1172" s="16" t="s">
        <v>11436</v>
      </c>
      <c r="C1172" s="16">
        <v>59.0</v>
      </c>
      <c r="D1172" s="16" t="s">
        <v>10444</v>
      </c>
      <c r="E1172" s="16" t="s">
        <v>707</v>
      </c>
      <c r="F1172" s="15"/>
      <c r="G1172" s="16">
        <v>52.9241</v>
      </c>
      <c r="H1172" s="16">
        <v>7.5801</v>
      </c>
      <c r="I1172" s="15"/>
      <c r="J1172" s="15"/>
    </row>
    <row r="1173">
      <c r="A1173" s="18">
        <v>44656.0</v>
      </c>
      <c r="B1173" s="16" t="s">
        <v>11437</v>
      </c>
      <c r="C1173" s="16">
        <v>12.0</v>
      </c>
      <c r="D1173" s="16" t="s">
        <v>10444</v>
      </c>
      <c r="E1173" s="16" t="s">
        <v>707</v>
      </c>
      <c r="F1173" s="16">
        <v>2004.0</v>
      </c>
      <c r="G1173" s="16">
        <v>53.7924</v>
      </c>
      <c r="H1173" s="16">
        <v>11.4479</v>
      </c>
      <c r="I1173" s="15"/>
      <c r="J1173" s="15"/>
    </row>
    <row r="1174">
      <c r="A1174" s="18">
        <v>45373.0</v>
      </c>
      <c r="B1174" s="16" t="s">
        <v>11438</v>
      </c>
      <c r="C1174" s="16">
        <v>10.0</v>
      </c>
      <c r="D1174" s="16" t="s">
        <v>10444</v>
      </c>
      <c r="E1174" s="16" t="s">
        <v>707</v>
      </c>
      <c r="F1174" s="16">
        <v>2023.0</v>
      </c>
      <c r="G1174" s="16">
        <v>51.0193</v>
      </c>
      <c r="H1174" s="16">
        <v>6.3046</v>
      </c>
      <c r="I1174" s="15"/>
      <c r="J1174" s="15"/>
    </row>
    <row r="1175">
      <c r="A1175" s="18">
        <v>44656.0</v>
      </c>
      <c r="B1175" s="16" t="s">
        <v>11439</v>
      </c>
      <c r="C1175" s="16">
        <v>10.0</v>
      </c>
      <c r="D1175" s="16" t="s">
        <v>10444</v>
      </c>
      <c r="E1175" s="16" t="s">
        <v>707</v>
      </c>
      <c r="F1175" s="16">
        <v>2001.0</v>
      </c>
      <c r="G1175" s="16">
        <v>51.0152</v>
      </c>
      <c r="H1175" s="16">
        <v>6.3059</v>
      </c>
      <c r="I1175" s="15"/>
      <c r="J1175" s="15"/>
    </row>
    <row r="1176">
      <c r="A1176" s="18">
        <v>44656.0</v>
      </c>
      <c r="B1176" s="16" t="s">
        <v>11440</v>
      </c>
      <c r="C1176" s="16">
        <v>17.0</v>
      </c>
      <c r="D1176" s="16" t="s">
        <v>10444</v>
      </c>
      <c r="E1176" s="16" t="s">
        <v>707</v>
      </c>
      <c r="F1176" s="16">
        <v>2013.0</v>
      </c>
      <c r="G1176" s="16">
        <v>54.6502</v>
      </c>
      <c r="H1176" s="16">
        <v>9.1772</v>
      </c>
      <c r="I1176" s="15"/>
      <c r="J1176" s="15"/>
    </row>
    <row r="1177">
      <c r="A1177" s="18">
        <v>44656.0</v>
      </c>
      <c r="B1177" s="16" t="s">
        <v>11440</v>
      </c>
      <c r="C1177" s="16">
        <v>15.0</v>
      </c>
      <c r="D1177" s="16" t="s">
        <v>10444</v>
      </c>
      <c r="E1177" s="16" t="s">
        <v>707</v>
      </c>
      <c r="F1177" s="16">
        <v>2015.0</v>
      </c>
      <c r="G1177" s="16">
        <v>54.6486</v>
      </c>
      <c r="H1177" s="16">
        <v>9.1764</v>
      </c>
      <c r="I1177" s="15"/>
      <c r="J1177" s="15"/>
    </row>
    <row r="1178">
      <c r="A1178" s="18">
        <v>44656.0</v>
      </c>
      <c r="B1178" s="16" t="s">
        <v>11441</v>
      </c>
      <c r="C1178" s="16">
        <v>16.0</v>
      </c>
      <c r="D1178" s="16" t="s">
        <v>10444</v>
      </c>
      <c r="E1178" s="16" t="s">
        <v>707</v>
      </c>
      <c r="F1178" s="16">
        <v>2010.0</v>
      </c>
      <c r="G1178" s="16">
        <v>51.4905</v>
      </c>
      <c r="H1178" s="16">
        <v>13.5637</v>
      </c>
      <c r="I1178" s="15"/>
      <c r="J1178" s="15"/>
    </row>
    <row r="1179">
      <c r="A1179" s="18">
        <v>44986.0</v>
      </c>
      <c r="B1179" s="16" t="s">
        <v>11442</v>
      </c>
      <c r="C1179" s="16">
        <v>13.0</v>
      </c>
      <c r="D1179" s="16" t="s">
        <v>10444</v>
      </c>
      <c r="E1179" s="16" t="s">
        <v>707</v>
      </c>
      <c r="F1179" s="16">
        <v>2021.0</v>
      </c>
      <c r="G1179" s="16">
        <v>53.4346</v>
      </c>
      <c r="H1179" s="16">
        <v>13.8041</v>
      </c>
      <c r="I1179" s="15"/>
      <c r="J1179" s="15"/>
    </row>
    <row r="1180">
      <c r="A1180" s="18">
        <v>44656.0</v>
      </c>
      <c r="B1180" s="16" t="s">
        <v>11443</v>
      </c>
      <c r="C1180" s="16">
        <v>18.0</v>
      </c>
      <c r="D1180" s="16" t="s">
        <v>10444</v>
      </c>
      <c r="E1180" s="16" t="s">
        <v>707</v>
      </c>
      <c r="F1180" s="16">
        <v>2009.0</v>
      </c>
      <c r="G1180" s="16">
        <v>52.928</v>
      </c>
      <c r="H1180" s="16">
        <v>11.1849</v>
      </c>
      <c r="I1180" s="15"/>
      <c r="J1180" s="15"/>
    </row>
    <row r="1181">
      <c r="A1181" s="18">
        <v>44656.0</v>
      </c>
      <c r="B1181" s="16" t="s">
        <v>11444</v>
      </c>
      <c r="C1181" s="16">
        <v>14.0</v>
      </c>
      <c r="D1181" s="16" t="s">
        <v>10444</v>
      </c>
      <c r="E1181" s="16" t="s">
        <v>707</v>
      </c>
      <c r="F1181" s="16">
        <v>2013.0</v>
      </c>
      <c r="G1181" s="16">
        <v>54.8741</v>
      </c>
      <c r="H1181" s="16">
        <v>8.6445</v>
      </c>
      <c r="I1181" s="15"/>
      <c r="J1181" s="15"/>
    </row>
    <row r="1182">
      <c r="A1182" s="18">
        <v>44656.0</v>
      </c>
      <c r="B1182" s="16" t="s">
        <v>11444</v>
      </c>
      <c r="C1182" s="16">
        <v>31.0</v>
      </c>
      <c r="D1182" s="16" t="s">
        <v>10444</v>
      </c>
      <c r="E1182" s="16" t="s">
        <v>707</v>
      </c>
      <c r="F1182" s="16">
        <v>2017.0</v>
      </c>
      <c r="G1182" s="16">
        <v>54.8536</v>
      </c>
      <c r="H1182" s="16">
        <v>8.6413</v>
      </c>
      <c r="I1182" s="15"/>
      <c r="J1182" s="15"/>
    </row>
    <row r="1183">
      <c r="A1183" s="18">
        <v>44656.0</v>
      </c>
      <c r="B1183" s="16" t="s">
        <v>11445</v>
      </c>
      <c r="C1183" s="16">
        <v>14.0</v>
      </c>
      <c r="D1183" s="16" t="s">
        <v>10444</v>
      </c>
      <c r="E1183" s="16" t="s">
        <v>707</v>
      </c>
      <c r="F1183" s="16">
        <v>2015.0</v>
      </c>
      <c r="G1183" s="16">
        <v>53.2456</v>
      </c>
      <c r="H1183" s="16">
        <v>14.1916</v>
      </c>
      <c r="I1183" s="15"/>
      <c r="J1183" s="15"/>
    </row>
    <row r="1184">
      <c r="A1184" s="18">
        <v>44656.0</v>
      </c>
      <c r="B1184" s="16" t="s">
        <v>11446</v>
      </c>
      <c r="C1184" s="16">
        <v>20.0</v>
      </c>
      <c r="D1184" s="16" t="s">
        <v>10444</v>
      </c>
      <c r="E1184" s="16" t="s">
        <v>707</v>
      </c>
      <c r="F1184" s="16">
        <v>2002.0</v>
      </c>
      <c r="G1184" s="16">
        <v>52.6934</v>
      </c>
      <c r="H1184" s="16">
        <v>14.0661</v>
      </c>
      <c r="I1184" s="15"/>
      <c r="J1184" s="15"/>
    </row>
    <row r="1185">
      <c r="A1185" s="18">
        <v>44656.0</v>
      </c>
      <c r="B1185" s="16" t="s">
        <v>11447</v>
      </c>
      <c r="C1185" s="16">
        <v>17.0</v>
      </c>
      <c r="D1185" s="16" t="s">
        <v>10444</v>
      </c>
      <c r="E1185" s="16" t="s">
        <v>707</v>
      </c>
      <c r="F1185" s="16">
        <v>2016.0</v>
      </c>
      <c r="G1185" s="16">
        <v>52.2033</v>
      </c>
      <c r="H1185" s="16">
        <v>13.2922</v>
      </c>
      <c r="I1185" s="15"/>
      <c r="J1185" s="15"/>
    </row>
    <row r="1186">
      <c r="A1186" s="18">
        <v>44656.0</v>
      </c>
      <c r="B1186" s="16" t="s">
        <v>11448</v>
      </c>
      <c r="C1186" s="16">
        <v>23.0</v>
      </c>
      <c r="D1186" s="16" t="s">
        <v>10444</v>
      </c>
      <c r="E1186" s="16" t="s">
        <v>707</v>
      </c>
      <c r="F1186" s="16">
        <v>2016.0</v>
      </c>
      <c r="G1186" s="16">
        <v>50.9683</v>
      </c>
      <c r="H1186" s="16">
        <v>9.5567</v>
      </c>
      <c r="I1186" s="15"/>
      <c r="J1186" s="15"/>
    </row>
    <row r="1187">
      <c r="A1187" s="18">
        <v>45028.0</v>
      </c>
      <c r="B1187" s="16" t="s">
        <v>11449</v>
      </c>
      <c r="C1187" s="16">
        <v>18.0</v>
      </c>
      <c r="D1187" s="16" t="s">
        <v>10444</v>
      </c>
      <c r="E1187" s="16" t="s">
        <v>707</v>
      </c>
      <c r="F1187" s="16">
        <v>2004.0</v>
      </c>
      <c r="G1187" s="16">
        <v>51.2016</v>
      </c>
      <c r="H1187" s="16">
        <v>14.9698</v>
      </c>
      <c r="I1187" s="15"/>
      <c r="J1187" s="15"/>
    </row>
    <row r="1188">
      <c r="A1188" s="18">
        <v>44656.0</v>
      </c>
      <c r="B1188" s="16" t="s">
        <v>11450</v>
      </c>
      <c r="C1188" s="16">
        <v>12.0</v>
      </c>
      <c r="D1188" s="16" t="s">
        <v>10444</v>
      </c>
      <c r="E1188" s="16" t="s">
        <v>707</v>
      </c>
      <c r="F1188" s="16">
        <v>2017.0</v>
      </c>
      <c r="G1188" s="16">
        <v>51.7018</v>
      </c>
      <c r="H1188" s="16">
        <v>6.7683</v>
      </c>
      <c r="I1188" s="15"/>
      <c r="J1188" s="15"/>
    </row>
    <row r="1189">
      <c r="A1189" s="18">
        <v>44656.0</v>
      </c>
      <c r="B1189" s="16" t="s">
        <v>11451</v>
      </c>
      <c r="C1189" s="16">
        <v>30.0</v>
      </c>
      <c r="D1189" s="16" t="s">
        <v>10444</v>
      </c>
      <c r="E1189" s="16" t="s">
        <v>707</v>
      </c>
      <c r="F1189" s="16">
        <v>2017.0</v>
      </c>
      <c r="G1189" s="16">
        <v>51.935</v>
      </c>
      <c r="H1189" s="16">
        <v>12.335</v>
      </c>
      <c r="I1189" s="15"/>
      <c r="J1189" s="15"/>
    </row>
    <row r="1190">
      <c r="A1190" s="18">
        <v>44656.0</v>
      </c>
      <c r="B1190" s="16" t="s">
        <v>11452</v>
      </c>
      <c r="C1190" s="16">
        <v>39.0</v>
      </c>
      <c r="D1190" s="16" t="s">
        <v>10444</v>
      </c>
      <c r="E1190" s="16" t="s">
        <v>707</v>
      </c>
      <c r="F1190" s="16">
        <v>2015.0</v>
      </c>
      <c r="G1190" s="16">
        <v>53.4528</v>
      </c>
      <c r="H1190" s="16">
        <v>8.7105</v>
      </c>
      <c r="I1190" s="15"/>
      <c r="J1190" s="15"/>
    </row>
    <row r="1191">
      <c r="A1191" s="18">
        <v>45355.0</v>
      </c>
      <c r="B1191" s="16" t="s">
        <v>11453</v>
      </c>
      <c r="C1191" s="16">
        <v>24.0</v>
      </c>
      <c r="D1191" s="16" t="s">
        <v>10444</v>
      </c>
      <c r="E1191" s="16" t="s">
        <v>707</v>
      </c>
      <c r="F1191" s="16">
        <v>2023.0</v>
      </c>
      <c r="G1191" s="16">
        <v>54.796</v>
      </c>
      <c r="H1191" s="16">
        <v>9.1218</v>
      </c>
      <c r="I1191" s="15"/>
      <c r="J1191" s="15"/>
    </row>
    <row r="1192">
      <c r="A1192" s="18">
        <v>44656.0</v>
      </c>
      <c r="B1192" s="16" t="s">
        <v>11454</v>
      </c>
      <c r="C1192" s="16">
        <v>14.0</v>
      </c>
      <c r="D1192" s="16" t="s">
        <v>10444</v>
      </c>
      <c r="E1192" s="16" t="s">
        <v>707</v>
      </c>
      <c r="F1192" s="16">
        <v>2013.0</v>
      </c>
      <c r="G1192" s="16">
        <v>54.6748</v>
      </c>
      <c r="H1192" s="16">
        <v>9.0976</v>
      </c>
      <c r="I1192" s="15"/>
      <c r="J1192" s="15"/>
    </row>
    <row r="1193">
      <c r="A1193" s="18">
        <v>45371.0</v>
      </c>
      <c r="B1193" s="16" t="s">
        <v>11455</v>
      </c>
      <c r="C1193" s="16">
        <v>21.0</v>
      </c>
      <c r="D1193" s="16" t="s">
        <v>10444</v>
      </c>
      <c r="E1193" s="16" t="s">
        <v>707</v>
      </c>
      <c r="F1193" s="16">
        <v>2022.0</v>
      </c>
      <c r="G1193" s="16">
        <v>51.4485</v>
      </c>
      <c r="H1193" s="16">
        <v>8.6977</v>
      </c>
      <c r="I1193" s="15"/>
      <c r="J1193" s="15"/>
    </row>
    <row r="1194">
      <c r="A1194" s="18">
        <v>44656.0</v>
      </c>
      <c r="B1194" s="16" t="s">
        <v>11456</v>
      </c>
      <c r="C1194" s="16">
        <v>24.0</v>
      </c>
      <c r="D1194" s="16" t="s">
        <v>10444</v>
      </c>
      <c r="E1194" s="16" t="s">
        <v>707</v>
      </c>
      <c r="F1194" s="16">
        <v>2004.0</v>
      </c>
      <c r="G1194" s="16">
        <v>51.4328</v>
      </c>
      <c r="H1194" s="16">
        <v>8.6793</v>
      </c>
      <c r="I1194" s="15"/>
      <c r="J1194" s="15"/>
    </row>
    <row r="1195">
      <c r="A1195" s="18">
        <v>44656.0</v>
      </c>
      <c r="B1195" s="16" t="s">
        <v>11456</v>
      </c>
      <c r="C1195" s="16">
        <v>12.0</v>
      </c>
      <c r="D1195" s="16" t="s">
        <v>10444</v>
      </c>
      <c r="E1195" s="16" t="s">
        <v>707</v>
      </c>
      <c r="F1195" s="15"/>
      <c r="G1195" s="16">
        <v>51.4328</v>
      </c>
      <c r="H1195" s="16">
        <v>8.6793</v>
      </c>
      <c r="I1195" s="15"/>
      <c r="J1195" s="15"/>
    </row>
    <row r="1196">
      <c r="A1196" s="18">
        <v>44656.0</v>
      </c>
      <c r="B1196" s="16" t="s">
        <v>11457</v>
      </c>
      <c r="C1196" s="16">
        <v>32.0</v>
      </c>
      <c r="D1196" s="16" t="s">
        <v>10444</v>
      </c>
      <c r="E1196" s="16" t="s">
        <v>707</v>
      </c>
      <c r="F1196" s="16">
        <v>2008.0</v>
      </c>
      <c r="G1196" s="16">
        <v>51.6544</v>
      </c>
      <c r="H1196" s="16">
        <v>12.2446</v>
      </c>
      <c r="I1196" s="15"/>
      <c r="J1196" s="15"/>
    </row>
    <row r="1197">
      <c r="A1197" s="18">
        <v>44656.0</v>
      </c>
      <c r="B1197" s="16" t="s">
        <v>11458</v>
      </c>
      <c r="C1197" s="16">
        <v>46.0</v>
      </c>
      <c r="D1197" s="16" t="s">
        <v>10444</v>
      </c>
      <c r="E1197" s="16" t="s">
        <v>707</v>
      </c>
      <c r="F1197" s="16">
        <v>2015.0</v>
      </c>
      <c r="G1197" s="16">
        <v>52.384</v>
      </c>
      <c r="H1197" s="16">
        <v>11.8199</v>
      </c>
      <c r="I1197" s="15"/>
      <c r="J1197" s="15"/>
    </row>
    <row r="1198">
      <c r="A1198" s="18">
        <v>44656.0</v>
      </c>
      <c r="B1198" s="16" t="s">
        <v>11459</v>
      </c>
      <c r="C1198" s="16">
        <v>21.0</v>
      </c>
      <c r="D1198" s="16" t="s">
        <v>10444</v>
      </c>
      <c r="E1198" s="16" t="s">
        <v>707</v>
      </c>
      <c r="F1198" s="16">
        <v>2017.0</v>
      </c>
      <c r="G1198" s="16">
        <v>49.0812</v>
      </c>
      <c r="H1198" s="16">
        <v>9.6414</v>
      </c>
      <c r="I1198" s="15"/>
      <c r="J1198" s="15"/>
    </row>
    <row r="1199">
      <c r="A1199" s="18">
        <v>44656.0</v>
      </c>
      <c r="B1199" s="16" t="s">
        <v>11460</v>
      </c>
      <c r="C1199" s="16">
        <v>12.0</v>
      </c>
      <c r="D1199" s="16" t="s">
        <v>10444</v>
      </c>
      <c r="E1199" s="16" t="s">
        <v>707</v>
      </c>
      <c r="F1199" s="16">
        <v>2014.0</v>
      </c>
      <c r="G1199" s="16">
        <v>50.8528</v>
      </c>
      <c r="H1199" s="16">
        <v>8.9792</v>
      </c>
      <c r="I1199" s="15"/>
      <c r="J1199" s="15"/>
    </row>
    <row r="1200">
      <c r="A1200" s="18">
        <v>44656.0</v>
      </c>
      <c r="B1200" s="16" t="s">
        <v>11461</v>
      </c>
      <c r="C1200" s="16">
        <v>13.0</v>
      </c>
      <c r="D1200" s="16" t="s">
        <v>10444</v>
      </c>
      <c r="E1200" s="16" t="s">
        <v>707</v>
      </c>
      <c r="F1200" s="16">
        <v>2017.0</v>
      </c>
      <c r="G1200" s="16">
        <v>52.4454</v>
      </c>
      <c r="H1200" s="16">
        <v>14.4859</v>
      </c>
      <c r="I1200" s="15"/>
      <c r="J1200" s="15"/>
    </row>
    <row r="1201">
      <c r="A1201" s="18">
        <v>44656.0</v>
      </c>
      <c r="B1201" s="16" t="s">
        <v>11462</v>
      </c>
      <c r="C1201" s="16">
        <v>11.0</v>
      </c>
      <c r="D1201" s="16" t="s">
        <v>10444</v>
      </c>
      <c r="E1201" s="16" t="s">
        <v>707</v>
      </c>
      <c r="F1201" s="16">
        <v>2002.0</v>
      </c>
      <c r="G1201" s="16">
        <v>52.013</v>
      </c>
      <c r="H1201" s="16">
        <v>12.8907</v>
      </c>
      <c r="I1201" s="15"/>
      <c r="J1201" s="15"/>
    </row>
    <row r="1202">
      <c r="A1202" s="18">
        <v>44656.0</v>
      </c>
      <c r="B1202" s="16" t="s">
        <v>11463</v>
      </c>
      <c r="C1202" s="16">
        <v>12.0</v>
      </c>
      <c r="D1202" s="16" t="s">
        <v>10444</v>
      </c>
      <c r="E1202" s="16" t="s">
        <v>707</v>
      </c>
      <c r="F1202" s="16">
        <v>1998.0</v>
      </c>
      <c r="G1202" s="16">
        <v>52.6184</v>
      </c>
      <c r="H1202" s="16">
        <v>9.5696</v>
      </c>
      <c r="I1202" s="15"/>
      <c r="J1202" s="15"/>
    </row>
    <row r="1203">
      <c r="A1203" s="18">
        <v>44656.0</v>
      </c>
      <c r="B1203" s="16" t="s">
        <v>11464</v>
      </c>
      <c r="C1203" s="16">
        <v>12.0</v>
      </c>
      <c r="D1203" s="16" t="s">
        <v>10444</v>
      </c>
      <c r="E1203" s="16" t="s">
        <v>707</v>
      </c>
      <c r="F1203" s="16">
        <v>2014.0</v>
      </c>
      <c r="G1203" s="16">
        <v>52.5313</v>
      </c>
      <c r="H1203" s="16">
        <v>12.0665</v>
      </c>
      <c r="I1203" s="15"/>
      <c r="J1203" s="15"/>
    </row>
    <row r="1204">
      <c r="A1204" s="18">
        <v>44656.0</v>
      </c>
      <c r="B1204" s="16" t="s">
        <v>11465</v>
      </c>
      <c r="C1204" s="16">
        <v>13.0</v>
      </c>
      <c r="D1204" s="16" t="s">
        <v>10444</v>
      </c>
      <c r="E1204" s="16" t="s">
        <v>707</v>
      </c>
      <c r="F1204" s="16">
        <v>2002.0</v>
      </c>
      <c r="G1204" s="16">
        <v>52.528</v>
      </c>
      <c r="H1204" s="16">
        <v>12.0413</v>
      </c>
      <c r="I1204" s="15"/>
      <c r="J1204" s="15"/>
    </row>
    <row r="1205">
      <c r="A1205" s="18">
        <v>44656.0</v>
      </c>
      <c r="B1205" s="16" t="s">
        <v>11466</v>
      </c>
      <c r="C1205" s="16">
        <v>12.0</v>
      </c>
      <c r="D1205" s="16" t="s">
        <v>10444</v>
      </c>
      <c r="E1205" s="16" t="s">
        <v>707</v>
      </c>
      <c r="F1205" s="16">
        <v>2014.0</v>
      </c>
      <c r="G1205" s="16">
        <v>52.5386</v>
      </c>
      <c r="H1205" s="16">
        <v>12.0769</v>
      </c>
      <c r="I1205" s="15"/>
      <c r="J1205" s="15"/>
    </row>
    <row r="1206">
      <c r="A1206" s="18">
        <v>44656.0</v>
      </c>
      <c r="B1206" s="16" t="s">
        <v>11467</v>
      </c>
      <c r="C1206" s="16">
        <v>33.0</v>
      </c>
      <c r="D1206" s="16" t="s">
        <v>10444</v>
      </c>
      <c r="E1206" s="16" t="s">
        <v>707</v>
      </c>
      <c r="F1206" s="16">
        <v>2016.0</v>
      </c>
      <c r="G1206" s="16">
        <v>54.1656</v>
      </c>
      <c r="H1206" s="16">
        <v>13.1917</v>
      </c>
      <c r="I1206" s="15"/>
      <c r="J1206" s="15"/>
    </row>
    <row r="1207">
      <c r="A1207" s="18">
        <v>44656.0</v>
      </c>
      <c r="B1207" s="16" t="s">
        <v>11468</v>
      </c>
      <c r="C1207" s="16">
        <v>14.0</v>
      </c>
      <c r="D1207" s="16" t="s">
        <v>10444</v>
      </c>
      <c r="E1207" s="16" t="s">
        <v>707</v>
      </c>
      <c r="F1207" s="16">
        <v>2002.0</v>
      </c>
      <c r="G1207" s="16">
        <v>53.6293</v>
      </c>
      <c r="H1207" s="16">
        <v>10.624</v>
      </c>
      <c r="I1207" s="15"/>
      <c r="J1207" s="15"/>
    </row>
    <row r="1208">
      <c r="A1208" s="18">
        <v>44656.0</v>
      </c>
      <c r="B1208" s="16" t="s">
        <v>11469</v>
      </c>
      <c r="C1208" s="16">
        <v>14.0</v>
      </c>
      <c r="D1208" s="16" t="s">
        <v>10444</v>
      </c>
      <c r="E1208" s="16" t="s">
        <v>707</v>
      </c>
      <c r="F1208" s="16">
        <v>2015.0</v>
      </c>
      <c r="G1208" s="16">
        <v>51.5346</v>
      </c>
      <c r="H1208" s="16">
        <v>11.335</v>
      </c>
      <c r="I1208" s="15"/>
      <c r="J1208" s="15"/>
    </row>
    <row r="1209">
      <c r="A1209" s="18">
        <v>44656.0</v>
      </c>
      <c r="B1209" s="16" t="s">
        <v>11470</v>
      </c>
      <c r="C1209" s="16">
        <v>12.0</v>
      </c>
      <c r="D1209" s="16" t="s">
        <v>10444</v>
      </c>
      <c r="E1209" s="16" t="s">
        <v>707</v>
      </c>
      <c r="F1209" s="16">
        <v>2019.0</v>
      </c>
      <c r="G1209" s="16">
        <v>50.5825</v>
      </c>
      <c r="H1209" s="16">
        <v>10.4127</v>
      </c>
      <c r="I1209" s="15"/>
      <c r="J1209" s="15"/>
    </row>
    <row r="1210">
      <c r="A1210" s="18">
        <v>45371.0</v>
      </c>
      <c r="B1210" s="16" t="s">
        <v>11471</v>
      </c>
      <c r="C1210" s="16">
        <v>40.0</v>
      </c>
      <c r="D1210" s="16" t="s">
        <v>10444</v>
      </c>
      <c r="E1210" s="16" t="s">
        <v>707</v>
      </c>
      <c r="F1210" s="16">
        <v>2022.0</v>
      </c>
      <c r="G1210" s="16">
        <v>53.0921</v>
      </c>
      <c r="H1210" s="16">
        <v>14.0877</v>
      </c>
      <c r="I1210" s="15"/>
      <c r="J1210" s="15"/>
    </row>
    <row r="1211">
      <c r="A1211" s="18">
        <v>44656.0</v>
      </c>
      <c r="B1211" s="16" t="s">
        <v>11472</v>
      </c>
      <c r="C1211" s="16">
        <v>23.0</v>
      </c>
      <c r="D1211" s="16" t="s">
        <v>10444</v>
      </c>
      <c r="E1211" s="16" t="s">
        <v>707</v>
      </c>
      <c r="F1211" s="16">
        <v>2007.0</v>
      </c>
      <c r="G1211" s="16">
        <v>52.579</v>
      </c>
      <c r="H1211" s="16">
        <v>12.893</v>
      </c>
      <c r="I1211" s="15"/>
      <c r="J1211" s="15"/>
    </row>
    <row r="1212">
      <c r="A1212" s="18">
        <v>44656.0</v>
      </c>
      <c r="B1212" s="16" t="s">
        <v>11473</v>
      </c>
      <c r="C1212" s="16">
        <v>30.0</v>
      </c>
      <c r="D1212" s="16" t="s">
        <v>10444</v>
      </c>
      <c r="E1212" s="16" t="s">
        <v>707</v>
      </c>
      <c r="F1212" s="16">
        <v>2009.0</v>
      </c>
      <c r="G1212" s="16">
        <v>52.9325</v>
      </c>
      <c r="H1212" s="16">
        <v>12.7078</v>
      </c>
      <c r="I1212" s="15"/>
      <c r="J1212" s="15"/>
    </row>
    <row r="1213">
      <c r="A1213" s="18">
        <v>44656.0</v>
      </c>
      <c r="B1213" s="16" t="s">
        <v>11474</v>
      </c>
      <c r="C1213" s="16">
        <v>16.0</v>
      </c>
      <c r="D1213" s="16" t="s">
        <v>10444</v>
      </c>
      <c r="E1213" s="16" t="s">
        <v>707</v>
      </c>
      <c r="F1213" s="16">
        <v>2009.0</v>
      </c>
      <c r="G1213" s="16">
        <v>51.9688</v>
      </c>
      <c r="H1213" s="16">
        <v>13.9799</v>
      </c>
      <c r="I1213" s="15"/>
      <c r="J1213" s="15"/>
    </row>
    <row r="1214">
      <c r="A1214" s="18">
        <v>44999.0</v>
      </c>
      <c r="B1214" s="16" t="s">
        <v>11475</v>
      </c>
      <c r="C1214" s="16">
        <v>12.0</v>
      </c>
      <c r="D1214" s="16" t="s">
        <v>10444</v>
      </c>
      <c r="E1214" s="16" t="s">
        <v>707</v>
      </c>
      <c r="F1214" s="16">
        <v>2022.0</v>
      </c>
      <c r="G1214" s="16">
        <v>49.708</v>
      </c>
      <c r="H1214" s="16">
        <v>10.5784</v>
      </c>
      <c r="I1214" s="15"/>
      <c r="J1214" s="15"/>
    </row>
    <row r="1215">
      <c r="A1215" s="18">
        <v>45028.0</v>
      </c>
      <c r="B1215" s="16" t="s">
        <v>11476</v>
      </c>
      <c r="C1215" s="16">
        <v>14.0</v>
      </c>
      <c r="D1215" s="16" t="s">
        <v>10444</v>
      </c>
      <c r="E1215" s="16" t="s">
        <v>707</v>
      </c>
      <c r="F1215" s="16">
        <v>2012.0</v>
      </c>
      <c r="G1215" s="16">
        <v>51.3822</v>
      </c>
      <c r="H1215" s="16">
        <v>8.8202</v>
      </c>
      <c r="I1215" s="15"/>
      <c r="J1215" s="15"/>
    </row>
    <row r="1216">
      <c r="A1216" s="18">
        <v>44656.0</v>
      </c>
      <c r="B1216" s="16" t="s">
        <v>11477</v>
      </c>
      <c r="C1216" s="16">
        <v>10.0</v>
      </c>
      <c r="D1216" s="16" t="s">
        <v>10444</v>
      </c>
      <c r="E1216" s="16" t="s">
        <v>707</v>
      </c>
      <c r="F1216" s="16">
        <v>2010.0</v>
      </c>
      <c r="G1216" s="16">
        <v>52.8527</v>
      </c>
      <c r="H1216" s="16">
        <v>9.0743</v>
      </c>
      <c r="I1216" s="15"/>
      <c r="J1216" s="15"/>
    </row>
    <row r="1217">
      <c r="A1217" s="18">
        <v>44656.0</v>
      </c>
      <c r="B1217" s="16" t="s">
        <v>11478</v>
      </c>
      <c r="C1217" s="16">
        <v>12.0</v>
      </c>
      <c r="D1217" s="16" t="s">
        <v>10444</v>
      </c>
      <c r="E1217" s="16" t="s">
        <v>707</v>
      </c>
      <c r="F1217" s="16">
        <v>2014.0</v>
      </c>
      <c r="G1217" s="16">
        <v>50.176</v>
      </c>
      <c r="H1217" s="16">
        <v>10.3096</v>
      </c>
      <c r="I1217" s="15"/>
      <c r="J1217" s="15"/>
    </row>
    <row r="1218">
      <c r="A1218" s="18">
        <v>44656.0</v>
      </c>
      <c r="B1218" s="16" t="s">
        <v>11479</v>
      </c>
      <c r="C1218" s="16">
        <v>14.0</v>
      </c>
      <c r="D1218" s="16" t="s">
        <v>10444</v>
      </c>
      <c r="E1218" s="16" t="s">
        <v>707</v>
      </c>
      <c r="F1218" s="16">
        <v>2007.0</v>
      </c>
      <c r="G1218" s="16">
        <v>50.0653</v>
      </c>
      <c r="H1218" s="16">
        <v>7.3546</v>
      </c>
      <c r="I1218" s="15"/>
      <c r="J1218" s="15"/>
    </row>
    <row r="1219">
      <c r="A1219" s="18">
        <v>44656.0</v>
      </c>
      <c r="B1219" s="16" t="s">
        <v>11480</v>
      </c>
      <c r="C1219" s="16">
        <v>16.0</v>
      </c>
      <c r="D1219" s="16" t="s">
        <v>10444</v>
      </c>
      <c r="E1219" s="16" t="s">
        <v>707</v>
      </c>
      <c r="F1219" s="16">
        <v>2007.0</v>
      </c>
      <c r="G1219" s="16">
        <v>50.0416</v>
      </c>
      <c r="H1219" s="16">
        <v>7.3439</v>
      </c>
      <c r="I1219" s="15"/>
      <c r="J1219" s="15"/>
    </row>
    <row r="1220">
      <c r="A1220" s="18">
        <v>44656.0</v>
      </c>
      <c r="B1220" s="16" t="s">
        <v>11481</v>
      </c>
      <c r="C1220" s="16">
        <v>15.0</v>
      </c>
      <c r="D1220" s="16" t="s">
        <v>10444</v>
      </c>
      <c r="E1220" s="16" t="s">
        <v>707</v>
      </c>
      <c r="F1220" s="16">
        <v>2019.0</v>
      </c>
      <c r="G1220" s="16">
        <v>53.274</v>
      </c>
      <c r="H1220" s="16">
        <v>13.9864</v>
      </c>
      <c r="I1220" s="15"/>
      <c r="J1220" s="15"/>
    </row>
    <row r="1221">
      <c r="A1221" s="18">
        <v>44986.0</v>
      </c>
      <c r="B1221" s="16" t="s">
        <v>11482</v>
      </c>
      <c r="C1221" s="16">
        <v>25.0</v>
      </c>
      <c r="D1221" s="16" t="s">
        <v>10444</v>
      </c>
      <c r="E1221" s="16" t="s">
        <v>707</v>
      </c>
      <c r="F1221" s="16">
        <v>2021.0</v>
      </c>
      <c r="G1221" s="16">
        <v>53.2777</v>
      </c>
      <c r="H1221" s="16">
        <v>13.9795</v>
      </c>
      <c r="I1221" s="15"/>
      <c r="J1221" s="15"/>
    </row>
    <row r="1222">
      <c r="A1222" s="18">
        <v>44656.0</v>
      </c>
      <c r="B1222" s="16" t="s">
        <v>11483</v>
      </c>
      <c r="C1222" s="16">
        <v>25.0</v>
      </c>
      <c r="D1222" s="16" t="s">
        <v>10444</v>
      </c>
      <c r="E1222" s="16" t="s">
        <v>707</v>
      </c>
      <c r="F1222" s="16">
        <v>2018.0</v>
      </c>
      <c r="G1222" s="16">
        <v>51.2724</v>
      </c>
      <c r="H1222" s="16">
        <v>13.2143</v>
      </c>
      <c r="I1222" s="15"/>
      <c r="J1222" s="15"/>
    </row>
    <row r="1223">
      <c r="A1223" s="18">
        <v>44656.0</v>
      </c>
      <c r="B1223" s="16" t="s">
        <v>11484</v>
      </c>
      <c r="C1223" s="16">
        <v>12.0</v>
      </c>
      <c r="D1223" s="16" t="s">
        <v>10444</v>
      </c>
      <c r="E1223" s="16" t="s">
        <v>707</v>
      </c>
      <c r="F1223" s="16">
        <v>2014.0</v>
      </c>
      <c r="G1223" s="16">
        <v>51.2797</v>
      </c>
      <c r="H1223" s="16">
        <v>13.2122</v>
      </c>
      <c r="I1223" s="15"/>
      <c r="J1223" s="15"/>
    </row>
    <row r="1224">
      <c r="A1224" s="18">
        <v>44656.0</v>
      </c>
      <c r="B1224" s="16" t="s">
        <v>11485</v>
      </c>
      <c r="C1224" s="16">
        <v>12.0</v>
      </c>
      <c r="D1224" s="16" t="s">
        <v>10444</v>
      </c>
      <c r="E1224" s="16" t="s">
        <v>707</v>
      </c>
      <c r="F1224" s="16">
        <v>2009.0</v>
      </c>
      <c r="G1224" s="16">
        <v>49.8764</v>
      </c>
      <c r="H1224" s="16">
        <v>6.5125</v>
      </c>
      <c r="I1224" s="15"/>
      <c r="J1224" s="15"/>
    </row>
    <row r="1225">
      <c r="A1225" s="18">
        <v>44656.0</v>
      </c>
      <c r="B1225" s="16" t="s">
        <v>11486</v>
      </c>
      <c r="C1225" s="16">
        <v>16.0</v>
      </c>
      <c r="D1225" s="16" t="s">
        <v>10444</v>
      </c>
      <c r="E1225" s="16" t="s">
        <v>707</v>
      </c>
      <c r="F1225" s="16">
        <v>2006.0</v>
      </c>
      <c r="G1225" s="16">
        <v>53.8331</v>
      </c>
      <c r="H1225" s="16">
        <v>13.5489</v>
      </c>
      <c r="I1225" s="15"/>
      <c r="J1225" s="15"/>
    </row>
    <row r="1226">
      <c r="A1226" s="18">
        <v>45026.0</v>
      </c>
      <c r="B1226" s="16" t="s">
        <v>11487</v>
      </c>
      <c r="C1226" s="16">
        <v>62.0</v>
      </c>
      <c r="D1226" s="16" t="s">
        <v>10444</v>
      </c>
      <c r="E1226" s="16" t="s">
        <v>707</v>
      </c>
      <c r="F1226" s="16">
        <v>2022.0</v>
      </c>
      <c r="G1226" s="16">
        <v>51.5322</v>
      </c>
      <c r="H1226" s="16">
        <v>8.8261</v>
      </c>
      <c r="I1226" s="15"/>
      <c r="J1226" s="15"/>
    </row>
    <row r="1227">
      <c r="A1227" s="18">
        <v>44656.0</v>
      </c>
      <c r="B1227" s="16" t="s">
        <v>11488</v>
      </c>
      <c r="C1227" s="16">
        <v>288.0</v>
      </c>
      <c r="D1227" s="16" t="s">
        <v>10462</v>
      </c>
      <c r="E1227" s="16" t="s">
        <v>707</v>
      </c>
      <c r="F1227" s="16">
        <v>2014.0</v>
      </c>
      <c r="G1227" s="16">
        <v>54.402</v>
      </c>
      <c r="H1227" s="16">
        <v>7.707</v>
      </c>
      <c r="I1227" s="15"/>
      <c r="J1227" s="15"/>
    </row>
    <row r="1228">
      <c r="A1228" s="18">
        <v>44656.0</v>
      </c>
      <c r="B1228" s="16" t="s">
        <v>11489</v>
      </c>
      <c r="C1228" s="16">
        <v>20.0</v>
      </c>
      <c r="D1228" s="16" t="s">
        <v>10444</v>
      </c>
      <c r="E1228" s="16" t="s">
        <v>707</v>
      </c>
      <c r="F1228" s="16">
        <v>2006.0</v>
      </c>
      <c r="G1228" s="16">
        <v>49.7533</v>
      </c>
      <c r="H1228" s="16">
        <v>6.8616</v>
      </c>
      <c r="I1228" s="15"/>
      <c r="J1228" s="15"/>
    </row>
    <row r="1229">
      <c r="A1229" s="18">
        <v>44656.0</v>
      </c>
      <c r="B1229" s="16" t="s">
        <v>11490</v>
      </c>
      <c r="C1229" s="16">
        <v>15.0</v>
      </c>
      <c r="D1229" s="16" t="s">
        <v>10444</v>
      </c>
      <c r="E1229" s="16" t="s">
        <v>707</v>
      </c>
      <c r="F1229" s="15"/>
      <c r="G1229" s="16">
        <v>52.3219</v>
      </c>
      <c r="H1229" s="16">
        <v>10.1074</v>
      </c>
      <c r="I1229" s="15"/>
      <c r="J1229" s="15"/>
    </row>
    <row r="1230">
      <c r="A1230" s="18">
        <v>44656.0</v>
      </c>
      <c r="B1230" s="16" t="s">
        <v>11490</v>
      </c>
      <c r="C1230" s="16">
        <v>13.0</v>
      </c>
      <c r="D1230" s="16" t="s">
        <v>10444</v>
      </c>
      <c r="E1230" s="16" t="s">
        <v>707</v>
      </c>
      <c r="F1230" s="16">
        <v>2016.0</v>
      </c>
      <c r="G1230" s="16">
        <v>52.3222</v>
      </c>
      <c r="H1230" s="16">
        <v>10.0982</v>
      </c>
      <c r="I1230" s="15"/>
      <c r="J1230" s="15"/>
    </row>
    <row r="1231">
      <c r="A1231" s="18">
        <v>44656.0</v>
      </c>
      <c r="B1231" s="16" t="s">
        <v>11490</v>
      </c>
      <c r="C1231" s="16">
        <v>13.0</v>
      </c>
      <c r="D1231" s="16" t="s">
        <v>10444</v>
      </c>
      <c r="E1231" s="16" t="s">
        <v>707</v>
      </c>
      <c r="F1231" s="16">
        <v>2000.0</v>
      </c>
      <c r="G1231" s="16">
        <v>52.3054</v>
      </c>
      <c r="H1231" s="16">
        <v>10.0946</v>
      </c>
      <c r="I1231" s="15"/>
      <c r="J1231" s="15"/>
    </row>
    <row r="1232">
      <c r="A1232" s="18">
        <v>44656.0</v>
      </c>
      <c r="B1232" s="16" t="s">
        <v>11491</v>
      </c>
      <c r="C1232" s="16">
        <v>12.0</v>
      </c>
      <c r="D1232" s="16" t="s">
        <v>10444</v>
      </c>
      <c r="E1232" s="16" t="s">
        <v>707</v>
      </c>
      <c r="F1232" s="16">
        <v>2016.0</v>
      </c>
      <c r="G1232" s="16">
        <v>51.3587</v>
      </c>
      <c r="H1232" s="16">
        <v>8.9552</v>
      </c>
      <c r="I1232" s="15"/>
      <c r="J1232" s="15"/>
    </row>
    <row r="1233">
      <c r="A1233" s="18">
        <v>44656.0</v>
      </c>
      <c r="B1233" s="16" t="s">
        <v>11492</v>
      </c>
      <c r="C1233" s="16">
        <v>16.0</v>
      </c>
      <c r="D1233" s="16" t="s">
        <v>10444</v>
      </c>
      <c r="E1233" s="16" t="s">
        <v>707</v>
      </c>
      <c r="F1233" s="16">
        <v>2010.0</v>
      </c>
      <c r="G1233" s="16">
        <v>52.5364</v>
      </c>
      <c r="H1233" s="16">
        <v>8.9478</v>
      </c>
      <c r="I1233" s="15"/>
      <c r="J1233" s="15"/>
    </row>
    <row r="1234">
      <c r="A1234" s="18">
        <v>44656.0</v>
      </c>
      <c r="B1234" s="16" t="s">
        <v>11493</v>
      </c>
      <c r="C1234" s="16">
        <v>12.0</v>
      </c>
      <c r="D1234" s="16" t="s">
        <v>10444</v>
      </c>
      <c r="E1234" s="16" t="s">
        <v>707</v>
      </c>
      <c r="F1234" s="16">
        <v>2015.0</v>
      </c>
      <c r="G1234" s="16">
        <v>52.7028</v>
      </c>
      <c r="H1234" s="16">
        <v>7.8248</v>
      </c>
      <c r="I1234" s="15"/>
      <c r="J1234" s="15"/>
    </row>
    <row r="1235">
      <c r="A1235" s="18">
        <v>44656.0</v>
      </c>
      <c r="B1235" s="16" t="s">
        <v>11494</v>
      </c>
      <c r="C1235" s="16">
        <v>11.0</v>
      </c>
      <c r="D1235" s="16" t="s">
        <v>10444</v>
      </c>
      <c r="E1235" s="16" t="s">
        <v>707</v>
      </c>
      <c r="F1235" s="16">
        <v>2000.0</v>
      </c>
      <c r="G1235" s="16">
        <v>52.6505</v>
      </c>
      <c r="H1235" s="16">
        <v>7.3632</v>
      </c>
      <c r="I1235" s="15"/>
      <c r="J1235" s="15"/>
    </row>
    <row r="1236">
      <c r="A1236" s="18">
        <v>44656.0</v>
      </c>
      <c r="B1236" s="16" t="s">
        <v>11495</v>
      </c>
      <c r="C1236" s="16">
        <v>11.0</v>
      </c>
      <c r="D1236" s="16" t="s">
        <v>10444</v>
      </c>
      <c r="E1236" s="16" t="s">
        <v>707</v>
      </c>
      <c r="F1236" s="16">
        <v>2001.0</v>
      </c>
      <c r="G1236" s="16">
        <v>52.6441</v>
      </c>
      <c r="H1236" s="16">
        <v>7.3504</v>
      </c>
      <c r="I1236" s="15"/>
      <c r="J1236" s="15"/>
    </row>
    <row r="1237">
      <c r="A1237" s="18">
        <v>44656.0</v>
      </c>
      <c r="B1237" s="16" t="s">
        <v>11496</v>
      </c>
      <c r="C1237" s="16">
        <v>396.0</v>
      </c>
      <c r="D1237" s="16" t="s">
        <v>10462</v>
      </c>
      <c r="E1237" s="16" t="s">
        <v>707</v>
      </c>
      <c r="F1237" s="16">
        <v>2019.0</v>
      </c>
      <c r="G1237" s="16">
        <v>54.0564</v>
      </c>
      <c r="H1237" s="16">
        <v>6.5536</v>
      </c>
      <c r="I1237" s="15"/>
      <c r="J1237" s="15"/>
    </row>
    <row r="1238">
      <c r="A1238" s="18">
        <v>44656.0</v>
      </c>
      <c r="B1238" s="16" t="s">
        <v>11497</v>
      </c>
      <c r="C1238" s="16">
        <v>10.0</v>
      </c>
      <c r="D1238" s="16" t="s">
        <v>10444</v>
      </c>
      <c r="E1238" s="16" t="s">
        <v>707</v>
      </c>
      <c r="F1238" s="16">
        <v>2014.0</v>
      </c>
      <c r="G1238" s="16">
        <v>53.2539</v>
      </c>
      <c r="H1238" s="16">
        <v>12.1372</v>
      </c>
      <c r="I1238" s="15"/>
      <c r="J1238" s="15"/>
    </row>
    <row r="1239">
      <c r="A1239" s="18">
        <v>45034.0</v>
      </c>
      <c r="B1239" s="16" t="s">
        <v>11498</v>
      </c>
      <c r="C1239" s="16">
        <v>10.0</v>
      </c>
      <c r="D1239" s="16" t="s">
        <v>10444</v>
      </c>
      <c r="E1239" s="16" t="s">
        <v>707</v>
      </c>
      <c r="F1239" s="16">
        <v>2017.0</v>
      </c>
      <c r="G1239" s="16">
        <v>49.9698</v>
      </c>
      <c r="H1239" s="16">
        <v>7.3795</v>
      </c>
      <c r="I1239" s="15"/>
      <c r="J1239" s="15"/>
    </row>
    <row r="1240">
      <c r="A1240" s="18">
        <v>45002.0</v>
      </c>
      <c r="B1240" s="16" t="s">
        <v>11499</v>
      </c>
      <c r="C1240" s="16">
        <v>14.0</v>
      </c>
      <c r="D1240" s="16" t="s">
        <v>10444</v>
      </c>
      <c r="E1240" s="16" t="s">
        <v>707</v>
      </c>
      <c r="F1240" s="16">
        <v>2004.0</v>
      </c>
      <c r="G1240" s="16">
        <v>53.2888</v>
      </c>
      <c r="H1240" s="16">
        <v>12.2156</v>
      </c>
      <c r="I1240" s="15"/>
      <c r="J1240" s="15"/>
    </row>
    <row r="1241">
      <c r="A1241" s="18">
        <v>44656.0</v>
      </c>
      <c r="B1241" s="16" t="s">
        <v>11500</v>
      </c>
      <c r="C1241" s="16">
        <v>12.0</v>
      </c>
      <c r="D1241" s="16" t="s">
        <v>10444</v>
      </c>
      <c r="E1241" s="16" t="s">
        <v>707</v>
      </c>
      <c r="F1241" s="16">
        <v>2015.0</v>
      </c>
      <c r="G1241" s="16">
        <v>54.7438</v>
      </c>
      <c r="H1241" s="16">
        <v>9.2726</v>
      </c>
      <c r="I1241" s="15"/>
      <c r="J1241" s="15"/>
    </row>
    <row r="1242">
      <c r="A1242" s="18">
        <v>44656.0</v>
      </c>
      <c r="B1242" s="16" t="s">
        <v>11501</v>
      </c>
      <c r="C1242" s="16">
        <v>35.0</v>
      </c>
      <c r="D1242" s="16" t="s">
        <v>10444</v>
      </c>
      <c r="E1242" s="16" t="s">
        <v>707</v>
      </c>
      <c r="F1242" s="16">
        <v>1999.0</v>
      </c>
      <c r="G1242" s="16">
        <v>53.7202</v>
      </c>
      <c r="H1242" s="16">
        <v>8.6546</v>
      </c>
      <c r="I1242" s="15"/>
      <c r="J1242" s="15"/>
    </row>
    <row r="1243">
      <c r="A1243" s="18">
        <v>44656.0</v>
      </c>
      <c r="B1243" s="16" t="s">
        <v>11502</v>
      </c>
      <c r="C1243" s="16">
        <v>18.0</v>
      </c>
      <c r="D1243" s="16" t="s">
        <v>10444</v>
      </c>
      <c r="E1243" s="16" t="s">
        <v>707</v>
      </c>
      <c r="F1243" s="16">
        <v>2015.0</v>
      </c>
      <c r="G1243" s="16">
        <v>51.054</v>
      </c>
      <c r="H1243" s="16">
        <v>10.3093</v>
      </c>
      <c r="I1243" s="15"/>
      <c r="J1243" s="15"/>
    </row>
    <row r="1244">
      <c r="A1244" s="18">
        <v>44656.0</v>
      </c>
      <c r="B1244" s="16" t="s">
        <v>11503</v>
      </c>
      <c r="C1244" s="16">
        <v>12.0</v>
      </c>
      <c r="D1244" s="16" t="s">
        <v>10444</v>
      </c>
      <c r="E1244" s="16" t="s">
        <v>707</v>
      </c>
      <c r="F1244" s="16">
        <v>2005.0</v>
      </c>
      <c r="G1244" s="16">
        <v>52.9968</v>
      </c>
      <c r="H1244" s="16">
        <v>13.2853</v>
      </c>
      <c r="I1244" s="15"/>
      <c r="J1244" s="15"/>
    </row>
    <row r="1245">
      <c r="A1245" s="18">
        <v>44656.0</v>
      </c>
      <c r="B1245" s="16" t="s">
        <v>11504</v>
      </c>
      <c r="C1245" s="16">
        <v>16.0</v>
      </c>
      <c r="D1245" s="16" t="s">
        <v>10444</v>
      </c>
      <c r="E1245" s="16" t="s">
        <v>707</v>
      </c>
      <c r="F1245" s="16">
        <v>2018.0</v>
      </c>
      <c r="G1245" s="16">
        <v>53.7447</v>
      </c>
      <c r="H1245" s="16">
        <v>11.7953</v>
      </c>
      <c r="I1245" s="15"/>
      <c r="J1245" s="15"/>
    </row>
    <row r="1246">
      <c r="A1246" s="18">
        <v>44656.0</v>
      </c>
      <c r="B1246" s="16" t="s">
        <v>11504</v>
      </c>
      <c r="C1246" s="16">
        <v>14.0</v>
      </c>
      <c r="D1246" s="16" t="s">
        <v>10444</v>
      </c>
      <c r="E1246" s="16" t="s">
        <v>707</v>
      </c>
      <c r="F1246" s="16">
        <v>2019.0</v>
      </c>
      <c r="G1246" s="16">
        <v>53.168</v>
      </c>
      <c r="H1246" s="16">
        <v>11.5608</v>
      </c>
      <c r="I1246" s="15"/>
      <c r="J1246" s="15"/>
    </row>
    <row r="1247">
      <c r="A1247" s="18">
        <v>44656.0</v>
      </c>
      <c r="B1247" s="16" t="s">
        <v>11504</v>
      </c>
      <c r="C1247" s="16">
        <v>14.0</v>
      </c>
      <c r="D1247" s="16" t="s">
        <v>10444</v>
      </c>
      <c r="E1247" s="16" t="s">
        <v>707</v>
      </c>
      <c r="F1247" s="16">
        <v>2018.0</v>
      </c>
      <c r="G1247" s="16">
        <v>53.7447</v>
      </c>
      <c r="H1247" s="16">
        <v>11.7953</v>
      </c>
      <c r="I1247" s="15"/>
      <c r="J1247" s="15"/>
    </row>
    <row r="1248">
      <c r="A1248" s="18">
        <v>44656.0</v>
      </c>
      <c r="B1248" s="16" t="s">
        <v>11505</v>
      </c>
      <c r="C1248" s="16">
        <v>12.0</v>
      </c>
      <c r="D1248" s="16" t="s">
        <v>10444</v>
      </c>
      <c r="E1248" s="16" t="s">
        <v>707</v>
      </c>
      <c r="F1248" s="16">
        <v>1999.0</v>
      </c>
      <c r="G1248" s="16">
        <v>53.1958</v>
      </c>
      <c r="H1248" s="16">
        <v>11.5657</v>
      </c>
      <c r="I1248" s="15"/>
      <c r="J1248" s="15"/>
    </row>
    <row r="1249">
      <c r="A1249" s="18">
        <v>44656.0</v>
      </c>
      <c r="B1249" s="16" t="s">
        <v>11505</v>
      </c>
      <c r="C1249" s="16">
        <v>35.0</v>
      </c>
      <c r="D1249" s="16" t="s">
        <v>10444</v>
      </c>
      <c r="E1249" s="16" t="s">
        <v>707</v>
      </c>
      <c r="F1249" s="16">
        <v>2018.0</v>
      </c>
      <c r="G1249" s="16">
        <v>53.4677</v>
      </c>
      <c r="H1249" s="16">
        <v>13.8568</v>
      </c>
      <c r="I1249" s="15"/>
      <c r="J1249" s="15"/>
    </row>
    <row r="1250">
      <c r="A1250" s="18">
        <v>44656.0</v>
      </c>
      <c r="B1250" s="16" t="s">
        <v>11506</v>
      </c>
      <c r="C1250" s="16">
        <v>14.0</v>
      </c>
      <c r="D1250" s="16" t="s">
        <v>10444</v>
      </c>
      <c r="E1250" s="16" t="s">
        <v>707</v>
      </c>
      <c r="F1250" s="16">
        <v>2001.0</v>
      </c>
      <c r="G1250" s="16">
        <v>54.1891</v>
      </c>
      <c r="H1250" s="16">
        <v>13.1581</v>
      </c>
      <c r="I1250" s="15"/>
      <c r="J1250" s="15"/>
    </row>
    <row r="1251">
      <c r="A1251" s="18">
        <v>44656.0</v>
      </c>
      <c r="B1251" s="16" t="s">
        <v>11507</v>
      </c>
      <c r="C1251" s="16">
        <v>18.0</v>
      </c>
      <c r="D1251" s="16" t="s">
        <v>10444</v>
      </c>
      <c r="E1251" s="16" t="s">
        <v>707</v>
      </c>
      <c r="F1251" s="16">
        <v>2001.0</v>
      </c>
      <c r="G1251" s="16">
        <v>53.8355</v>
      </c>
      <c r="H1251" s="16">
        <v>12.1148</v>
      </c>
      <c r="I1251" s="15"/>
      <c r="J1251" s="15"/>
    </row>
    <row r="1252">
      <c r="A1252" s="18">
        <v>45028.0</v>
      </c>
      <c r="B1252" s="16" t="s">
        <v>11508</v>
      </c>
      <c r="C1252" s="16">
        <v>24.0</v>
      </c>
      <c r="D1252" s="16" t="s">
        <v>10444</v>
      </c>
      <c r="E1252" s="16" t="s">
        <v>707</v>
      </c>
      <c r="F1252" s="16">
        <v>2020.0</v>
      </c>
      <c r="G1252" s="16">
        <v>51.5682</v>
      </c>
      <c r="H1252" s="16">
        <v>8.8007</v>
      </c>
      <c r="I1252" s="15"/>
      <c r="J1252" s="15"/>
    </row>
    <row r="1253">
      <c r="A1253" s="18">
        <v>44656.0</v>
      </c>
      <c r="B1253" s="16" t="s">
        <v>11509</v>
      </c>
      <c r="C1253" s="16">
        <v>23.0</v>
      </c>
      <c r="D1253" s="16" t="s">
        <v>10444</v>
      </c>
      <c r="E1253" s="16" t="s">
        <v>707</v>
      </c>
      <c r="F1253" s="16">
        <v>2018.0</v>
      </c>
      <c r="G1253" s="16">
        <v>50.9316</v>
      </c>
      <c r="H1253" s="16">
        <v>9.3497</v>
      </c>
      <c r="I1253" s="15"/>
      <c r="J1253" s="15"/>
    </row>
    <row r="1254">
      <c r="A1254" s="18">
        <v>44656.0</v>
      </c>
      <c r="B1254" s="16" t="s">
        <v>11510</v>
      </c>
      <c r="C1254" s="16">
        <v>11.0</v>
      </c>
      <c r="D1254" s="16" t="s">
        <v>10444</v>
      </c>
      <c r="E1254" s="16" t="s">
        <v>707</v>
      </c>
      <c r="F1254" s="16">
        <v>2001.0</v>
      </c>
      <c r="G1254" s="16">
        <v>53.2976</v>
      </c>
      <c r="H1254" s="16">
        <v>8.403</v>
      </c>
      <c r="I1254" s="15"/>
      <c r="J1254" s="15"/>
    </row>
    <row r="1255">
      <c r="A1255" s="18">
        <v>44656.0</v>
      </c>
      <c r="B1255" s="16" t="s">
        <v>11511</v>
      </c>
      <c r="C1255" s="16">
        <v>10.0</v>
      </c>
      <c r="D1255" s="16" t="s">
        <v>10444</v>
      </c>
      <c r="E1255" s="16" t="s">
        <v>707</v>
      </c>
      <c r="F1255" s="16">
        <v>2006.0</v>
      </c>
      <c r="G1255" s="16">
        <v>53.6321</v>
      </c>
      <c r="H1255" s="16">
        <v>9.0365</v>
      </c>
      <c r="I1255" s="15"/>
      <c r="J1255" s="15"/>
    </row>
    <row r="1256">
      <c r="A1256" s="18">
        <v>44656.0</v>
      </c>
      <c r="B1256" s="16" t="s">
        <v>11512</v>
      </c>
      <c r="C1256" s="16">
        <v>22.0</v>
      </c>
      <c r="D1256" s="16" t="s">
        <v>10444</v>
      </c>
      <c r="E1256" s="16" t="s">
        <v>707</v>
      </c>
      <c r="F1256" s="16">
        <v>2006.0</v>
      </c>
      <c r="G1256" s="16">
        <v>50.9094</v>
      </c>
      <c r="H1256" s="16">
        <v>10.9934</v>
      </c>
      <c r="I1256" s="15"/>
      <c r="J1256" s="15"/>
    </row>
    <row r="1257">
      <c r="A1257" s="18">
        <v>44656.0</v>
      </c>
      <c r="B1257" s="16" t="s">
        <v>11513</v>
      </c>
      <c r="C1257" s="16">
        <v>10.0</v>
      </c>
      <c r="D1257" s="16" t="s">
        <v>10444</v>
      </c>
      <c r="E1257" s="16" t="s">
        <v>707</v>
      </c>
      <c r="F1257" s="16">
        <v>2006.0</v>
      </c>
      <c r="G1257" s="16">
        <v>51.4749</v>
      </c>
      <c r="H1257" s="16">
        <v>13.3344</v>
      </c>
      <c r="I1257" s="15"/>
      <c r="J1257" s="15"/>
    </row>
    <row r="1258">
      <c r="A1258" s="18">
        <v>44656.0</v>
      </c>
      <c r="B1258" s="16" t="s">
        <v>11514</v>
      </c>
      <c r="C1258" s="16">
        <v>14.0</v>
      </c>
      <c r="D1258" s="16" t="s">
        <v>10444</v>
      </c>
      <c r="E1258" s="16" t="s">
        <v>707</v>
      </c>
      <c r="F1258" s="16">
        <v>2019.0</v>
      </c>
      <c r="G1258" s="16">
        <v>50.9044</v>
      </c>
      <c r="H1258" s="16">
        <v>12.3059</v>
      </c>
      <c r="I1258" s="15"/>
      <c r="J1258" s="15"/>
    </row>
    <row r="1259">
      <c r="A1259" s="18">
        <v>44656.0</v>
      </c>
      <c r="B1259" s="16" t="s">
        <v>11515</v>
      </c>
      <c r="C1259" s="16">
        <v>26.0</v>
      </c>
      <c r="D1259" s="16" t="s">
        <v>10444</v>
      </c>
      <c r="E1259" s="16" t="s">
        <v>707</v>
      </c>
      <c r="F1259" s="16">
        <v>2002.0</v>
      </c>
      <c r="G1259" s="16">
        <v>51.0736</v>
      </c>
      <c r="H1259" s="16">
        <v>11.7892</v>
      </c>
      <c r="I1259" s="15"/>
      <c r="J1259" s="15"/>
    </row>
    <row r="1260">
      <c r="A1260" s="18">
        <v>44656.0</v>
      </c>
      <c r="B1260" s="16" t="s">
        <v>11516</v>
      </c>
      <c r="C1260" s="16">
        <v>10.0</v>
      </c>
      <c r="D1260" s="16" t="s">
        <v>10444</v>
      </c>
      <c r="E1260" s="16" t="s">
        <v>707</v>
      </c>
      <c r="F1260" s="16">
        <v>2010.0</v>
      </c>
      <c r="G1260" s="16">
        <v>51.0739</v>
      </c>
      <c r="H1260" s="16">
        <v>11.7938</v>
      </c>
      <c r="I1260" s="15"/>
      <c r="J1260" s="15"/>
    </row>
    <row r="1261">
      <c r="A1261" s="18">
        <v>44656.0</v>
      </c>
      <c r="B1261" s="16" t="s">
        <v>11517</v>
      </c>
      <c r="C1261" s="16">
        <v>23.0</v>
      </c>
      <c r="D1261" s="16" t="s">
        <v>10444</v>
      </c>
      <c r="E1261" s="16" t="s">
        <v>707</v>
      </c>
      <c r="F1261" s="16">
        <v>2003.0</v>
      </c>
      <c r="G1261" s="16">
        <v>50.5233</v>
      </c>
      <c r="H1261" s="16">
        <v>6.2943</v>
      </c>
      <c r="I1261" s="15"/>
      <c r="J1261" s="15"/>
    </row>
    <row r="1262">
      <c r="A1262" s="18">
        <v>44656.0</v>
      </c>
      <c r="B1262" s="16" t="s">
        <v>11518</v>
      </c>
      <c r="C1262" s="16">
        <v>15.0</v>
      </c>
      <c r="D1262" s="16" t="s">
        <v>10444</v>
      </c>
      <c r="E1262" s="16" t="s">
        <v>707</v>
      </c>
      <c r="F1262" s="16">
        <v>2018.0</v>
      </c>
      <c r="G1262" s="16">
        <v>50.5367</v>
      </c>
      <c r="H1262" s="16">
        <v>6.3094</v>
      </c>
      <c r="I1262" s="15"/>
      <c r="J1262" s="15"/>
    </row>
    <row r="1263">
      <c r="A1263" s="18">
        <v>44656.0</v>
      </c>
      <c r="B1263" s="16" t="s">
        <v>11519</v>
      </c>
      <c r="C1263" s="16">
        <v>23.0</v>
      </c>
      <c r="D1263" s="16" t="s">
        <v>10444</v>
      </c>
      <c r="E1263" s="16" t="s">
        <v>707</v>
      </c>
      <c r="F1263" s="16">
        <v>2001.0</v>
      </c>
      <c r="G1263" s="16">
        <v>53.9492</v>
      </c>
      <c r="H1263" s="16">
        <v>9.3981</v>
      </c>
      <c r="I1263" s="15"/>
      <c r="J1263" s="15"/>
    </row>
    <row r="1264">
      <c r="A1264" s="18">
        <v>44656.0</v>
      </c>
      <c r="B1264" s="16" t="s">
        <v>11520</v>
      </c>
      <c r="C1264" s="16">
        <v>12.0</v>
      </c>
      <c r="D1264" s="16" t="s">
        <v>10444</v>
      </c>
      <c r="E1264" s="16" t="s">
        <v>707</v>
      </c>
      <c r="F1264" s="15"/>
      <c r="G1264" s="16">
        <v>53.3995</v>
      </c>
      <c r="H1264" s="16">
        <v>8.642</v>
      </c>
      <c r="I1264" s="15"/>
      <c r="J1264" s="15"/>
    </row>
    <row r="1265">
      <c r="A1265" s="18">
        <v>44656.0</v>
      </c>
      <c r="B1265" s="16" t="s">
        <v>11520</v>
      </c>
      <c r="C1265" s="16">
        <v>12.0</v>
      </c>
      <c r="D1265" s="16" t="s">
        <v>10444</v>
      </c>
      <c r="E1265" s="16" t="s">
        <v>707</v>
      </c>
      <c r="F1265" s="16">
        <v>2015.0</v>
      </c>
      <c r="G1265" s="16">
        <v>53.3997</v>
      </c>
      <c r="H1265" s="16">
        <v>8.6408</v>
      </c>
      <c r="I1265" s="15"/>
      <c r="J1265" s="15"/>
    </row>
    <row r="1266">
      <c r="A1266" s="18">
        <v>44656.0</v>
      </c>
      <c r="B1266" s="16" t="s">
        <v>11521</v>
      </c>
      <c r="C1266" s="16">
        <v>26.0</v>
      </c>
      <c r="D1266" s="16" t="s">
        <v>10444</v>
      </c>
      <c r="E1266" s="16" t="s">
        <v>707</v>
      </c>
      <c r="F1266" s="16">
        <v>2002.0</v>
      </c>
      <c r="G1266" s="16">
        <v>49.8337</v>
      </c>
      <c r="H1266" s="16">
        <v>7.1127</v>
      </c>
      <c r="I1266" s="15"/>
      <c r="J1266" s="15"/>
    </row>
    <row r="1267">
      <c r="A1267" s="18">
        <v>44656.0</v>
      </c>
      <c r="B1267" s="16" t="s">
        <v>11522</v>
      </c>
      <c r="C1267" s="16">
        <v>19.0</v>
      </c>
      <c r="D1267" s="16" t="s">
        <v>10444</v>
      </c>
      <c r="E1267" s="16" t="s">
        <v>707</v>
      </c>
      <c r="F1267" s="16">
        <v>2014.0</v>
      </c>
      <c r="G1267" s="16">
        <v>50.1125</v>
      </c>
      <c r="H1267" s="16">
        <v>7.323</v>
      </c>
      <c r="I1267" s="15"/>
      <c r="J1267" s="15"/>
    </row>
    <row r="1268">
      <c r="A1268" s="18">
        <v>44999.0</v>
      </c>
      <c r="B1268" s="16" t="s">
        <v>11523</v>
      </c>
      <c r="C1268" s="16">
        <v>11.0</v>
      </c>
      <c r="D1268" s="16" t="s">
        <v>10444</v>
      </c>
      <c r="E1268" s="16" t="s">
        <v>707</v>
      </c>
      <c r="F1268" s="16">
        <v>2022.0</v>
      </c>
      <c r="G1268" s="16">
        <v>50.7929</v>
      </c>
      <c r="H1268" s="16">
        <v>12.4739</v>
      </c>
      <c r="I1268" s="15"/>
      <c r="J1268" s="15"/>
    </row>
    <row r="1269">
      <c r="A1269" s="18">
        <v>44656.0</v>
      </c>
      <c r="B1269" s="16" t="s">
        <v>11524</v>
      </c>
      <c r="C1269" s="16">
        <v>15.0</v>
      </c>
      <c r="D1269" s="16" t="s">
        <v>10444</v>
      </c>
      <c r="E1269" s="16" t="s">
        <v>707</v>
      </c>
      <c r="F1269" s="16">
        <v>2014.0</v>
      </c>
      <c r="G1269" s="16">
        <v>53.7592</v>
      </c>
      <c r="H1269" s="16">
        <v>10.5607</v>
      </c>
      <c r="I1269" s="15"/>
      <c r="J1269" s="15"/>
    </row>
    <row r="1270">
      <c r="A1270" s="18">
        <v>44656.0</v>
      </c>
      <c r="B1270" s="16" t="s">
        <v>11525</v>
      </c>
      <c r="C1270" s="16">
        <v>10.0</v>
      </c>
      <c r="D1270" s="16" t="s">
        <v>10444</v>
      </c>
      <c r="E1270" s="16" t="s">
        <v>707</v>
      </c>
      <c r="F1270" s="16">
        <v>2012.0</v>
      </c>
      <c r="G1270" s="16">
        <v>52.4631</v>
      </c>
      <c r="H1270" s="16">
        <v>12.3986</v>
      </c>
      <c r="I1270" s="15"/>
      <c r="J1270" s="15"/>
    </row>
    <row r="1271">
      <c r="A1271" s="18">
        <v>44656.0</v>
      </c>
      <c r="B1271" s="16" t="s">
        <v>11526</v>
      </c>
      <c r="C1271" s="16">
        <v>32.0</v>
      </c>
      <c r="D1271" s="16" t="s">
        <v>10444</v>
      </c>
      <c r="E1271" s="16" t="s">
        <v>707</v>
      </c>
      <c r="F1271" s="16">
        <v>2012.0</v>
      </c>
      <c r="G1271" s="16">
        <v>50.6239</v>
      </c>
      <c r="H1271" s="16">
        <v>9.1405</v>
      </c>
      <c r="I1271" s="15"/>
      <c r="J1271" s="15"/>
    </row>
    <row r="1272">
      <c r="A1272" s="18">
        <v>44656.0</v>
      </c>
      <c r="B1272" s="16" t="s">
        <v>11526</v>
      </c>
      <c r="C1272" s="16">
        <v>32.0</v>
      </c>
      <c r="D1272" s="16" t="s">
        <v>10444</v>
      </c>
      <c r="E1272" s="16" t="s">
        <v>707</v>
      </c>
      <c r="F1272" s="16">
        <v>2015.0</v>
      </c>
      <c r="G1272" s="16">
        <v>50.6239</v>
      </c>
      <c r="H1272" s="16">
        <v>9.1405</v>
      </c>
      <c r="I1272" s="15"/>
      <c r="J1272" s="15"/>
    </row>
    <row r="1273">
      <c r="A1273" s="18">
        <v>44656.0</v>
      </c>
      <c r="B1273" s="16" t="s">
        <v>11527</v>
      </c>
      <c r="C1273" s="16">
        <v>12.0</v>
      </c>
      <c r="D1273" s="16" t="s">
        <v>10444</v>
      </c>
      <c r="E1273" s="16" t="s">
        <v>707</v>
      </c>
      <c r="F1273" s="16">
        <v>2003.0</v>
      </c>
      <c r="G1273" s="16">
        <v>53.1853</v>
      </c>
      <c r="H1273" s="16">
        <v>10.7778</v>
      </c>
      <c r="I1273" s="15"/>
      <c r="J1273" s="15"/>
    </row>
    <row r="1274">
      <c r="A1274" s="18">
        <v>44656.0</v>
      </c>
      <c r="B1274" s="16" t="s">
        <v>11528</v>
      </c>
      <c r="C1274" s="16">
        <v>23.0</v>
      </c>
      <c r="D1274" s="16" t="s">
        <v>10444</v>
      </c>
      <c r="E1274" s="16" t="s">
        <v>707</v>
      </c>
      <c r="F1274" s="16">
        <v>2001.0</v>
      </c>
      <c r="G1274" s="16">
        <v>53.7817</v>
      </c>
      <c r="H1274" s="16">
        <v>13.62</v>
      </c>
      <c r="I1274" s="15"/>
      <c r="J1274" s="15"/>
    </row>
    <row r="1275">
      <c r="A1275" s="18">
        <v>44656.0</v>
      </c>
      <c r="B1275" s="16" t="s">
        <v>11529</v>
      </c>
      <c r="C1275" s="16">
        <v>14.0</v>
      </c>
      <c r="D1275" s="16" t="s">
        <v>10444</v>
      </c>
      <c r="E1275" s="16" t="s">
        <v>707</v>
      </c>
      <c r="F1275" s="16">
        <v>2007.0</v>
      </c>
      <c r="G1275" s="16">
        <v>51.8678</v>
      </c>
      <c r="H1275" s="16">
        <v>12.7319</v>
      </c>
      <c r="I1275" s="15"/>
      <c r="J1275" s="15"/>
    </row>
    <row r="1276">
      <c r="A1276" s="18">
        <v>44656.0</v>
      </c>
      <c r="B1276" s="16" t="s">
        <v>11530</v>
      </c>
      <c r="C1276" s="16">
        <v>12.0</v>
      </c>
      <c r="D1276" s="16" t="s">
        <v>10444</v>
      </c>
      <c r="E1276" s="16" t="s">
        <v>707</v>
      </c>
      <c r="F1276" s="16">
        <v>2012.0</v>
      </c>
      <c r="G1276" s="16">
        <v>49.77</v>
      </c>
      <c r="H1276" s="16">
        <v>10.7512</v>
      </c>
      <c r="I1276" s="15"/>
      <c r="J1276" s="15"/>
    </row>
    <row r="1277">
      <c r="A1277" s="18">
        <v>45012.0</v>
      </c>
      <c r="B1277" s="16" t="s">
        <v>11531</v>
      </c>
      <c r="C1277" s="16">
        <v>12.0</v>
      </c>
      <c r="D1277" s="16" t="s">
        <v>10444</v>
      </c>
      <c r="E1277" s="16" t="s">
        <v>707</v>
      </c>
      <c r="F1277" s="16">
        <v>2018.0</v>
      </c>
      <c r="G1277" s="16">
        <v>53.5037</v>
      </c>
      <c r="H1277" s="16">
        <v>9.3345</v>
      </c>
      <c r="I1277" s="15"/>
      <c r="J1277" s="15"/>
    </row>
    <row r="1278">
      <c r="A1278" s="18">
        <v>45667.0</v>
      </c>
      <c r="B1278" s="16" t="s">
        <v>11532</v>
      </c>
      <c r="C1278" s="16">
        <v>45.0</v>
      </c>
      <c r="D1278" s="16" t="s">
        <v>10444</v>
      </c>
      <c r="E1278" s="16" t="s">
        <v>707</v>
      </c>
      <c r="F1278" s="16">
        <v>2024.0</v>
      </c>
      <c r="G1278" s="16">
        <v>52.2393</v>
      </c>
      <c r="H1278" s="16">
        <v>10.2659</v>
      </c>
      <c r="I1278" s="15"/>
      <c r="J1278" s="15"/>
    </row>
    <row r="1279">
      <c r="A1279" s="18">
        <v>44656.0</v>
      </c>
      <c r="B1279" s="16" t="s">
        <v>11533</v>
      </c>
      <c r="C1279" s="16">
        <v>13.0</v>
      </c>
      <c r="D1279" s="16" t="s">
        <v>10444</v>
      </c>
      <c r="E1279" s="16" t="s">
        <v>707</v>
      </c>
      <c r="F1279" s="16">
        <v>2018.0</v>
      </c>
      <c r="G1279" s="16">
        <v>50.667</v>
      </c>
      <c r="H1279" s="16">
        <v>6.1788</v>
      </c>
      <c r="I1279" s="15"/>
      <c r="J1279" s="15"/>
    </row>
    <row r="1280">
      <c r="A1280" s="18">
        <v>45667.0</v>
      </c>
      <c r="B1280" s="16" t="s">
        <v>11534</v>
      </c>
      <c r="C1280" s="16">
        <v>21.0</v>
      </c>
      <c r="D1280" s="16" t="s">
        <v>10444</v>
      </c>
      <c r="E1280" s="16" t="s">
        <v>707</v>
      </c>
      <c r="F1280" s="16">
        <v>2024.0</v>
      </c>
      <c r="G1280" s="16">
        <v>52.8623</v>
      </c>
      <c r="H1280" s="16">
        <v>10.805</v>
      </c>
      <c r="I1280" s="15"/>
      <c r="J1280" s="15"/>
    </row>
    <row r="1281">
      <c r="A1281" s="18">
        <v>44656.0</v>
      </c>
      <c r="B1281" s="16" t="s">
        <v>11535</v>
      </c>
      <c r="C1281" s="16">
        <v>26.0</v>
      </c>
      <c r="D1281" s="16" t="s">
        <v>10444</v>
      </c>
      <c r="E1281" s="16" t="s">
        <v>707</v>
      </c>
      <c r="F1281" s="16">
        <v>2005.0</v>
      </c>
      <c r="G1281" s="16">
        <v>53.3231</v>
      </c>
      <c r="H1281" s="16">
        <v>14.3708</v>
      </c>
      <c r="I1281" s="15"/>
      <c r="J1281" s="15"/>
    </row>
    <row r="1282">
      <c r="A1282" s="18">
        <v>44656.0</v>
      </c>
      <c r="B1282" s="16" t="s">
        <v>11536</v>
      </c>
      <c r="C1282" s="16">
        <v>12.0</v>
      </c>
      <c r="D1282" s="16" t="s">
        <v>10444</v>
      </c>
      <c r="E1282" s="16" t="s">
        <v>707</v>
      </c>
      <c r="F1282" s="16">
        <v>2006.0</v>
      </c>
      <c r="G1282" s="16">
        <v>52.9656</v>
      </c>
      <c r="H1282" s="16">
        <v>10.7545</v>
      </c>
      <c r="I1282" s="15"/>
      <c r="J1282" s="15"/>
    </row>
    <row r="1283">
      <c r="A1283" s="18">
        <v>45000.0</v>
      </c>
      <c r="B1283" s="16" t="s">
        <v>11536</v>
      </c>
      <c r="C1283" s="16">
        <v>11.0</v>
      </c>
      <c r="D1283" s="16" t="s">
        <v>10444</v>
      </c>
      <c r="E1283" s="16" t="s">
        <v>707</v>
      </c>
      <c r="F1283" s="16">
        <v>2021.0</v>
      </c>
      <c r="G1283" s="16">
        <v>52.9618</v>
      </c>
      <c r="H1283" s="16">
        <v>10.7457</v>
      </c>
      <c r="I1283" s="15"/>
      <c r="J1283" s="15"/>
    </row>
    <row r="1284">
      <c r="A1284" s="18">
        <v>44656.0</v>
      </c>
      <c r="B1284" s="16" t="s">
        <v>11537</v>
      </c>
      <c r="C1284" s="16">
        <v>38.0</v>
      </c>
      <c r="D1284" s="16" t="s">
        <v>10444</v>
      </c>
      <c r="E1284" s="16" t="s">
        <v>707</v>
      </c>
      <c r="F1284" s="16">
        <v>2021.0</v>
      </c>
      <c r="G1284" s="16">
        <v>48.7248</v>
      </c>
      <c r="H1284" s="16">
        <v>10.2143</v>
      </c>
      <c r="I1284" s="15"/>
      <c r="J1284" s="15"/>
    </row>
    <row r="1285">
      <c r="A1285" s="18">
        <v>44656.0</v>
      </c>
      <c r="B1285" s="16" t="s">
        <v>11538</v>
      </c>
      <c r="C1285" s="16">
        <v>15.0</v>
      </c>
      <c r="D1285" s="16" t="s">
        <v>10444</v>
      </c>
      <c r="E1285" s="16" t="s">
        <v>707</v>
      </c>
      <c r="F1285" s="16">
        <v>2002.0</v>
      </c>
      <c r="G1285" s="16">
        <v>52.5851</v>
      </c>
      <c r="H1285" s="16">
        <v>12.811</v>
      </c>
      <c r="I1285" s="15"/>
      <c r="J1285" s="15"/>
    </row>
    <row r="1286">
      <c r="A1286" s="18">
        <v>45028.0</v>
      </c>
      <c r="B1286" s="16" t="s">
        <v>11539</v>
      </c>
      <c r="C1286" s="16">
        <v>14.0</v>
      </c>
      <c r="D1286" s="16" t="s">
        <v>10444</v>
      </c>
      <c r="E1286" s="16" t="s">
        <v>707</v>
      </c>
      <c r="F1286" s="16">
        <v>2004.0</v>
      </c>
      <c r="G1286" s="16">
        <v>51.2471</v>
      </c>
      <c r="H1286" s="16">
        <v>13.144</v>
      </c>
      <c r="I1286" s="15"/>
      <c r="J1286" s="15"/>
    </row>
    <row r="1287">
      <c r="A1287" s="18">
        <v>44656.0</v>
      </c>
      <c r="B1287" s="16" t="s">
        <v>11540</v>
      </c>
      <c r="C1287" s="16">
        <v>11.0</v>
      </c>
      <c r="D1287" s="16" t="s">
        <v>10444</v>
      </c>
      <c r="E1287" s="16" t="s">
        <v>707</v>
      </c>
      <c r="F1287" s="16">
        <v>2001.0</v>
      </c>
      <c r="G1287" s="16">
        <v>53.455</v>
      </c>
      <c r="H1287" s="16">
        <v>13.8906</v>
      </c>
      <c r="I1287" s="15"/>
      <c r="J1287" s="15"/>
    </row>
    <row r="1288">
      <c r="A1288" s="18">
        <v>44656.0</v>
      </c>
      <c r="B1288" s="16" t="s">
        <v>11540</v>
      </c>
      <c r="C1288" s="16">
        <v>13.0</v>
      </c>
      <c r="D1288" s="16" t="s">
        <v>10444</v>
      </c>
      <c r="E1288" s="16" t="s">
        <v>707</v>
      </c>
      <c r="F1288" s="16">
        <v>2001.0</v>
      </c>
      <c r="G1288" s="16">
        <v>53.4571</v>
      </c>
      <c r="H1288" s="16">
        <v>13.8974</v>
      </c>
      <c r="I1288" s="15"/>
      <c r="J1288" s="15"/>
    </row>
    <row r="1289">
      <c r="A1289" s="18">
        <v>44656.0</v>
      </c>
      <c r="B1289" s="16" t="s">
        <v>11541</v>
      </c>
      <c r="C1289" s="16">
        <v>39.0</v>
      </c>
      <c r="D1289" s="16" t="s">
        <v>10444</v>
      </c>
      <c r="E1289" s="16" t="s">
        <v>707</v>
      </c>
      <c r="F1289" s="16">
        <v>2013.0</v>
      </c>
      <c r="G1289" s="16">
        <v>53.8775</v>
      </c>
      <c r="H1289" s="16">
        <v>13.4333</v>
      </c>
      <c r="I1289" s="15"/>
      <c r="J1289" s="15"/>
    </row>
    <row r="1290">
      <c r="A1290" s="18">
        <v>44998.0</v>
      </c>
      <c r="B1290" s="16" t="s">
        <v>11542</v>
      </c>
      <c r="C1290" s="16">
        <v>21.0</v>
      </c>
      <c r="D1290" s="16" t="s">
        <v>10444</v>
      </c>
      <c r="E1290" s="16" t="s">
        <v>707</v>
      </c>
      <c r="F1290" s="16">
        <v>2018.0</v>
      </c>
      <c r="G1290" s="16">
        <v>50.1124</v>
      </c>
      <c r="H1290" s="16">
        <v>8.6722</v>
      </c>
      <c r="I1290" s="15"/>
      <c r="J1290" s="15"/>
    </row>
    <row r="1291">
      <c r="A1291" s="18">
        <v>44656.0</v>
      </c>
      <c r="B1291" s="16" t="s">
        <v>11543</v>
      </c>
      <c r="C1291" s="16">
        <v>15.0</v>
      </c>
      <c r="D1291" s="16" t="s">
        <v>10444</v>
      </c>
      <c r="E1291" s="16" t="s">
        <v>707</v>
      </c>
      <c r="F1291" s="16">
        <v>2018.0</v>
      </c>
      <c r="G1291" s="16">
        <v>49.2486</v>
      </c>
      <c r="H1291" s="16">
        <v>10.74</v>
      </c>
      <c r="I1291" s="15"/>
      <c r="J1291" s="15"/>
    </row>
    <row r="1292">
      <c r="A1292" s="18">
        <v>44656.0</v>
      </c>
      <c r="B1292" s="16" t="s">
        <v>11544</v>
      </c>
      <c r="C1292" s="16">
        <v>14.0</v>
      </c>
      <c r="D1292" s="16" t="s">
        <v>10444</v>
      </c>
      <c r="E1292" s="16" t="s">
        <v>707</v>
      </c>
      <c r="F1292" s="15"/>
      <c r="G1292" s="16">
        <v>51.0834</v>
      </c>
      <c r="H1292" s="16">
        <v>10.4234</v>
      </c>
      <c r="I1292" s="15"/>
      <c r="J1292" s="15"/>
    </row>
    <row r="1293">
      <c r="A1293" s="18">
        <v>44656.0</v>
      </c>
      <c r="B1293" s="16" t="s">
        <v>11545</v>
      </c>
      <c r="C1293" s="16">
        <v>20.0</v>
      </c>
      <c r="D1293" s="16" t="s">
        <v>10444</v>
      </c>
      <c r="E1293" s="16" t="s">
        <v>707</v>
      </c>
      <c r="F1293" s="16">
        <v>2018.0</v>
      </c>
      <c r="G1293" s="16">
        <v>54.1629</v>
      </c>
      <c r="H1293" s="16">
        <v>12.5133</v>
      </c>
      <c r="I1293" s="15"/>
      <c r="J1293" s="15"/>
    </row>
    <row r="1294">
      <c r="A1294" s="18">
        <v>44656.0</v>
      </c>
      <c r="B1294" s="16" t="s">
        <v>11546</v>
      </c>
      <c r="C1294" s="16">
        <v>60.0</v>
      </c>
      <c r="D1294" s="16" t="s">
        <v>10444</v>
      </c>
      <c r="E1294" s="16" t="s">
        <v>707</v>
      </c>
      <c r="F1294" s="16">
        <v>2013.0</v>
      </c>
      <c r="G1294" s="16">
        <v>53.7786</v>
      </c>
      <c r="H1294" s="16">
        <v>13.7602</v>
      </c>
      <c r="I1294" s="15"/>
      <c r="J1294" s="15"/>
    </row>
    <row r="1295">
      <c r="A1295" s="18">
        <v>44656.0</v>
      </c>
      <c r="B1295" s="16" t="s">
        <v>11547</v>
      </c>
      <c r="C1295" s="16">
        <v>17.0</v>
      </c>
      <c r="D1295" s="16" t="s">
        <v>10444</v>
      </c>
      <c r="E1295" s="16" t="s">
        <v>707</v>
      </c>
      <c r="F1295" s="16">
        <v>2006.0</v>
      </c>
      <c r="G1295" s="16">
        <v>51.9422</v>
      </c>
      <c r="H1295" s="16">
        <v>14.0948</v>
      </c>
      <c r="I1295" s="15"/>
      <c r="J1295" s="15"/>
    </row>
    <row r="1296">
      <c r="A1296" s="18">
        <v>44656.0</v>
      </c>
      <c r="B1296" s="16" t="s">
        <v>11548</v>
      </c>
      <c r="C1296" s="16">
        <v>12.0</v>
      </c>
      <c r="D1296" s="16" t="s">
        <v>10444</v>
      </c>
      <c r="E1296" s="16" t="s">
        <v>707</v>
      </c>
      <c r="F1296" s="16">
        <v>2016.0</v>
      </c>
      <c r="G1296" s="16">
        <v>52.978</v>
      </c>
      <c r="H1296" s="16">
        <v>7.2075</v>
      </c>
      <c r="I1296" s="15"/>
      <c r="J1296" s="15"/>
    </row>
    <row r="1297">
      <c r="A1297" s="18">
        <v>45362.0</v>
      </c>
      <c r="B1297" s="16" t="s">
        <v>11548</v>
      </c>
      <c r="C1297" s="16">
        <v>11.0</v>
      </c>
      <c r="D1297" s="16" t="s">
        <v>10444</v>
      </c>
      <c r="E1297" s="16" t="s">
        <v>707</v>
      </c>
      <c r="F1297" s="16">
        <v>2023.0</v>
      </c>
      <c r="G1297" s="16">
        <v>52.9738</v>
      </c>
      <c r="H1297" s="16">
        <v>7.2148</v>
      </c>
      <c r="I1297" s="15"/>
      <c r="J1297" s="15"/>
    </row>
    <row r="1298">
      <c r="A1298" s="18">
        <v>44656.0</v>
      </c>
      <c r="B1298" s="16" t="s">
        <v>11549</v>
      </c>
      <c r="C1298" s="16">
        <v>10.0</v>
      </c>
      <c r="D1298" s="16" t="s">
        <v>10444</v>
      </c>
      <c r="E1298" s="16" t="s">
        <v>707</v>
      </c>
      <c r="F1298" s="16">
        <v>2017.0</v>
      </c>
      <c r="G1298" s="16">
        <v>53.85</v>
      </c>
      <c r="H1298" s="16">
        <v>9.5504</v>
      </c>
      <c r="I1298" s="15"/>
      <c r="J1298" s="15"/>
    </row>
    <row r="1299">
      <c r="A1299" s="18">
        <v>44656.0</v>
      </c>
      <c r="B1299" s="16" t="s">
        <v>11550</v>
      </c>
      <c r="C1299" s="16">
        <v>23.0</v>
      </c>
      <c r="D1299" s="16" t="s">
        <v>10444</v>
      </c>
      <c r="E1299" s="16" t="s">
        <v>707</v>
      </c>
      <c r="F1299" s="16">
        <v>2001.0</v>
      </c>
      <c r="G1299" s="16">
        <v>52.6657</v>
      </c>
      <c r="H1299" s="16">
        <v>11.2436</v>
      </c>
      <c r="I1299" s="15"/>
      <c r="J1299" s="15"/>
    </row>
    <row r="1300">
      <c r="A1300" s="18">
        <v>44656.0</v>
      </c>
      <c r="B1300" s="16" t="s">
        <v>11551</v>
      </c>
      <c r="C1300" s="16">
        <v>38.0</v>
      </c>
      <c r="D1300" s="16" t="s">
        <v>10444</v>
      </c>
      <c r="E1300" s="16" t="s">
        <v>707</v>
      </c>
      <c r="F1300" s="16">
        <v>1997.0</v>
      </c>
      <c r="G1300" s="16">
        <v>53.4198</v>
      </c>
      <c r="H1300" s="16">
        <v>14.0411</v>
      </c>
      <c r="I1300" s="15"/>
      <c r="J1300" s="15"/>
    </row>
    <row r="1301">
      <c r="A1301" s="18">
        <v>44656.0</v>
      </c>
      <c r="B1301" s="16" t="s">
        <v>11552</v>
      </c>
      <c r="C1301" s="16">
        <v>20.0</v>
      </c>
      <c r="D1301" s="16" t="s">
        <v>10444</v>
      </c>
      <c r="E1301" s="16" t="s">
        <v>707</v>
      </c>
      <c r="F1301" s="16">
        <v>2017.0</v>
      </c>
      <c r="G1301" s="16">
        <v>53.9068</v>
      </c>
      <c r="H1301" s="16">
        <v>10.4012</v>
      </c>
      <c r="I1301" s="15"/>
      <c r="J1301" s="15"/>
    </row>
    <row r="1302">
      <c r="A1302" s="18">
        <v>44656.0</v>
      </c>
      <c r="B1302" s="16" t="s">
        <v>11553</v>
      </c>
      <c r="C1302" s="16">
        <v>11.0</v>
      </c>
      <c r="D1302" s="16" t="s">
        <v>10444</v>
      </c>
      <c r="E1302" s="16" t="s">
        <v>707</v>
      </c>
      <c r="F1302" s="16">
        <v>2002.0</v>
      </c>
      <c r="G1302" s="16">
        <v>53.7857</v>
      </c>
      <c r="H1302" s="16">
        <v>8.9152</v>
      </c>
      <c r="I1302" s="15"/>
      <c r="J1302" s="15"/>
    </row>
    <row r="1303">
      <c r="A1303" s="18">
        <v>44656.0</v>
      </c>
      <c r="B1303" s="16" t="s">
        <v>11554</v>
      </c>
      <c r="C1303" s="16">
        <v>13.0</v>
      </c>
      <c r="D1303" s="16" t="s">
        <v>10444</v>
      </c>
      <c r="E1303" s="16" t="s">
        <v>707</v>
      </c>
      <c r="F1303" s="16">
        <v>2017.0</v>
      </c>
      <c r="G1303" s="16">
        <v>52.2254</v>
      </c>
      <c r="H1303" s="16">
        <v>7.4129</v>
      </c>
      <c r="I1303" s="15"/>
      <c r="J1303" s="15"/>
    </row>
    <row r="1304">
      <c r="A1304" s="18">
        <v>44656.0</v>
      </c>
      <c r="B1304" s="16" t="s">
        <v>11555</v>
      </c>
      <c r="C1304" s="16">
        <v>19.0</v>
      </c>
      <c r="D1304" s="16" t="s">
        <v>10444</v>
      </c>
      <c r="E1304" s="16" t="s">
        <v>707</v>
      </c>
      <c r="F1304" s="16">
        <v>2015.0</v>
      </c>
      <c r="G1304" s="16">
        <v>54.238</v>
      </c>
      <c r="H1304" s="16">
        <v>8.9582</v>
      </c>
      <c r="I1304" s="15"/>
      <c r="J1304" s="15"/>
    </row>
    <row r="1305">
      <c r="A1305" s="18">
        <v>45028.0</v>
      </c>
      <c r="B1305" s="16" t="s">
        <v>11555</v>
      </c>
      <c r="C1305" s="16">
        <v>19.0</v>
      </c>
      <c r="D1305" s="16" t="s">
        <v>10444</v>
      </c>
      <c r="E1305" s="16" t="s">
        <v>707</v>
      </c>
      <c r="F1305" s="16">
        <v>2015.0</v>
      </c>
      <c r="G1305" s="16">
        <v>54.2511</v>
      </c>
      <c r="H1305" s="16">
        <v>9.012</v>
      </c>
      <c r="I1305" s="15"/>
      <c r="J1305" s="15"/>
    </row>
    <row r="1306">
      <c r="A1306" s="18">
        <v>44986.0</v>
      </c>
      <c r="B1306" s="16" t="s">
        <v>11556</v>
      </c>
      <c r="C1306" s="16">
        <v>18.0</v>
      </c>
      <c r="D1306" s="16" t="s">
        <v>10444</v>
      </c>
      <c r="E1306" s="16" t="s">
        <v>707</v>
      </c>
      <c r="F1306" s="16">
        <v>2022.0</v>
      </c>
      <c r="G1306" s="16">
        <v>51.3061</v>
      </c>
      <c r="H1306" s="16">
        <v>7.771</v>
      </c>
      <c r="I1306" s="15"/>
      <c r="J1306" s="15"/>
    </row>
    <row r="1307">
      <c r="A1307" s="18">
        <v>44656.0</v>
      </c>
      <c r="B1307" s="16" t="s">
        <v>11557</v>
      </c>
      <c r="C1307" s="16">
        <v>18.0</v>
      </c>
      <c r="D1307" s="16" t="s">
        <v>10444</v>
      </c>
      <c r="E1307" s="16" t="s">
        <v>707</v>
      </c>
      <c r="F1307" s="16">
        <v>2011.0</v>
      </c>
      <c r="G1307" s="16">
        <v>50.0257</v>
      </c>
      <c r="H1307" s="16">
        <v>7.5054</v>
      </c>
      <c r="I1307" s="15"/>
      <c r="J1307" s="15"/>
    </row>
    <row r="1308">
      <c r="A1308" s="18">
        <v>44656.0</v>
      </c>
      <c r="B1308" s="16" t="s">
        <v>11558</v>
      </c>
      <c r="C1308" s="16">
        <v>30.0</v>
      </c>
      <c r="D1308" s="16" t="s">
        <v>10444</v>
      </c>
      <c r="E1308" s="16" t="s">
        <v>707</v>
      </c>
      <c r="F1308" s="16">
        <v>2013.0</v>
      </c>
      <c r="G1308" s="16">
        <v>53.6776</v>
      </c>
      <c r="H1308" s="16">
        <v>7.7381</v>
      </c>
      <c r="I1308" s="15"/>
      <c r="J1308" s="15"/>
    </row>
    <row r="1309">
      <c r="A1309" s="18">
        <v>44656.0</v>
      </c>
      <c r="B1309" s="16" t="s">
        <v>11559</v>
      </c>
      <c r="C1309" s="16">
        <v>21.0</v>
      </c>
      <c r="D1309" s="16" t="s">
        <v>10444</v>
      </c>
      <c r="E1309" s="16" t="s">
        <v>707</v>
      </c>
      <c r="F1309" s="16">
        <v>2018.0</v>
      </c>
      <c r="G1309" s="16">
        <v>51.0396</v>
      </c>
      <c r="H1309" s="16">
        <v>10.3386</v>
      </c>
      <c r="I1309" s="15"/>
      <c r="J1309" s="15"/>
    </row>
    <row r="1310">
      <c r="A1310" s="18">
        <v>45377.0</v>
      </c>
      <c r="B1310" s="16" t="s">
        <v>11559</v>
      </c>
      <c r="C1310" s="16">
        <v>13.0</v>
      </c>
      <c r="D1310" s="16" t="s">
        <v>10444</v>
      </c>
      <c r="E1310" s="16" t="s">
        <v>707</v>
      </c>
      <c r="F1310" s="16">
        <v>2023.0</v>
      </c>
      <c r="G1310" s="16">
        <v>54.3412</v>
      </c>
      <c r="H1310" s="16">
        <v>11.0089</v>
      </c>
      <c r="I1310" s="15"/>
      <c r="J1310" s="15"/>
    </row>
    <row r="1311">
      <c r="A1311" s="18">
        <v>44656.0</v>
      </c>
      <c r="B1311" s="16" t="s">
        <v>11560</v>
      </c>
      <c r="C1311" s="16">
        <v>10.0</v>
      </c>
      <c r="D1311" s="16" t="s">
        <v>10444</v>
      </c>
      <c r="E1311" s="16" t="s">
        <v>707</v>
      </c>
      <c r="F1311" s="16">
        <v>2000.0</v>
      </c>
      <c r="G1311" s="16">
        <v>51.0393</v>
      </c>
      <c r="H1311" s="16">
        <v>10.3233</v>
      </c>
      <c r="I1311" s="15"/>
      <c r="J1311" s="15"/>
    </row>
    <row r="1312">
      <c r="A1312" s="18">
        <v>44656.0</v>
      </c>
      <c r="B1312" s="16" t="s">
        <v>11561</v>
      </c>
      <c r="C1312" s="16">
        <v>16.0</v>
      </c>
      <c r="D1312" s="16" t="s">
        <v>10444</v>
      </c>
      <c r="E1312" s="16" t="s">
        <v>707</v>
      </c>
      <c r="F1312" s="16">
        <v>2013.0</v>
      </c>
      <c r="G1312" s="16">
        <v>52.9132</v>
      </c>
      <c r="H1312" s="16">
        <v>12.7429</v>
      </c>
      <c r="I1312" s="15"/>
      <c r="J1312" s="15"/>
    </row>
    <row r="1313">
      <c r="A1313" s="18">
        <v>44656.0</v>
      </c>
      <c r="B1313" s="16" t="s">
        <v>11562</v>
      </c>
      <c r="C1313" s="16">
        <v>15.0</v>
      </c>
      <c r="D1313" s="16" t="s">
        <v>10444</v>
      </c>
      <c r="E1313" s="16" t="s">
        <v>707</v>
      </c>
      <c r="F1313" s="16">
        <v>2017.0</v>
      </c>
      <c r="G1313" s="16">
        <v>53.5522</v>
      </c>
      <c r="H1313" s="16">
        <v>7.5094</v>
      </c>
      <c r="I1313" s="15"/>
      <c r="J1313" s="15"/>
    </row>
    <row r="1314">
      <c r="A1314" s="18">
        <v>44656.0</v>
      </c>
      <c r="B1314" s="16" t="s">
        <v>11563</v>
      </c>
      <c r="C1314" s="16">
        <v>35.0</v>
      </c>
      <c r="D1314" s="16" t="s">
        <v>10444</v>
      </c>
      <c r="E1314" s="16" t="s">
        <v>707</v>
      </c>
      <c r="F1314" s="16">
        <v>2005.0</v>
      </c>
      <c r="G1314" s="16">
        <v>52.3568</v>
      </c>
      <c r="H1314" s="16">
        <v>13.8817</v>
      </c>
      <c r="I1314" s="15"/>
      <c r="J1314" s="15"/>
    </row>
    <row r="1315">
      <c r="A1315" s="18">
        <v>44656.0</v>
      </c>
      <c r="B1315" s="16" t="s">
        <v>11564</v>
      </c>
      <c r="C1315" s="16">
        <v>27.0</v>
      </c>
      <c r="D1315" s="16" t="s">
        <v>10444</v>
      </c>
      <c r="E1315" s="16" t="s">
        <v>707</v>
      </c>
      <c r="F1315" s="16">
        <v>2016.0</v>
      </c>
      <c r="G1315" s="16">
        <v>52.8932</v>
      </c>
      <c r="H1315" s="16">
        <v>7.1996</v>
      </c>
      <c r="I1315" s="15"/>
      <c r="J1315" s="15"/>
    </row>
    <row r="1316">
      <c r="A1316" s="18">
        <v>44656.0</v>
      </c>
      <c r="B1316" s="16" t="s">
        <v>11565</v>
      </c>
      <c r="C1316" s="16">
        <v>22.0</v>
      </c>
      <c r="D1316" s="16" t="s">
        <v>10444</v>
      </c>
      <c r="E1316" s="16" t="s">
        <v>707</v>
      </c>
      <c r="F1316" s="16">
        <v>2012.0</v>
      </c>
      <c r="G1316" s="16">
        <v>51.618</v>
      </c>
      <c r="H1316" s="16">
        <v>11.847</v>
      </c>
      <c r="I1316" s="15"/>
      <c r="J1316" s="15"/>
    </row>
    <row r="1317">
      <c r="A1317" s="18">
        <v>44656.0</v>
      </c>
      <c r="B1317" s="16" t="s">
        <v>11566</v>
      </c>
      <c r="C1317" s="16">
        <v>15.0</v>
      </c>
      <c r="D1317" s="16" t="s">
        <v>10444</v>
      </c>
      <c r="E1317" s="16" t="s">
        <v>707</v>
      </c>
      <c r="F1317" s="16">
        <v>2011.0</v>
      </c>
      <c r="G1317" s="16">
        <v>54.8007</v>
      </c>
      <c r="H1317" s="16">
        <v>8.7786</v>
      </c>
      <c r="I1317" s="15"/>
      <c r="J1317" s="15"/>
    </row>
    <row r="1318">
      <c r="A1318" s="18">
        <v>44656.0</v>
      </c>
      <c r="B1318" s="16" t="s">
        <v>11567</v>
      </c>
      <c r="C1318" s="16">
        <v>12.0</v>
      </c>
      <c r="D1318" s="16" t="s">
        <v>10444</v>
      </c>
      <c r="E1318" s="16" t="s">
        <v>707</v>
      </c>
      <c r="F1318" s="16">
        <v>2006.0</v>
      </c>
      <c r="G1318" s="16">
        <v>52.2084</v>
      </c>
      <c r="H1318" s="16">
        <v>11.4777</v>
      </c>
      <c r="I1318" s="15"/>
      <c r="J1318" s="15"/>
    </row>
    <row r="1319">
      <c r="A1319" s="18">
        <v>44656.0</v>
      </c>
      <c r="B1319" s="16" t="s">
        <v>11568</v>
      </c>
      <c r="C1319" s="16">
        <v>17.0</v>
      </c>
      <c r="D1319" s="16" t="s">
        <v>10444</v>
      </c>
      <c r="E1319" s="16" t="s">
        <v>707</v>
      </c>
      <c r="F1319" s="16">
        <v>2013.0</v>
      </c>
      <c r="G1319" s="16">
        <v>49.6964</v>
      </c>
      <c r="H1319" s="16">
        <v>7.2078</v>
      </c>
      <c r="I1319" s="15"/>
      <c r="J1319" s="15"/>
    </row>
    <row r="1320">
      <c r="A1320" s="18">
        <v>44656.0</v>
      </c>
      <c r="B1320" s="16" t="s">
        <v>11569</v>
      </c>
      <c r="C1320" s="16">
        <v>19.0</v>
      </c>
      <c r="D1320" s="16" t="s">
        <v>10444</v>
      </c>
      <c r="E1320" s="16" t="s">
        <v>707</v>
      </c>
      <c r="F1320" s="16">
        <v>2014.0</v>
      </c>
      <c r="G1320" s="16">
        <v>49.7375</v>
      </c>
      <c r="H1320" s="16">
        <v>7.9055</v>
      </c>
      <c r="I1320" s="15"/>
      <c r="J1320" s="15"/>
    </row>
    <row r="1321">
      <c r="A1321" s="18">
        <v>44656.0</v>
      </c>
      <c r="B1321" s="16" t="s">
        <v>11570</v>
      </c>
      <c r="C1321" s="16">
        <v>15.0</v>
      </c>
      <c r="D1321" s="16" t="s">
        <v>10444</v>
      </c>
      <c r="E1321" s="16" t="s">
        <v>707</v>
      </c>
      <c r="F1321" s="16">
        <v>2014.0</v>
      </c>
      <c r="G1321" s="16">
        <v>52.3584</v>
      </c>
      <c r="H1321" s="16">
        <v>8.4625</v>
      </c>
      <c r="I1321" s="15"/>
      <c r="J1321" s="15"/>
    </row>
    <row r="1322">
      <c r="A1322" s="18">
        <v>44656.0</v>
      </c>
      <c r="B1322" s="16" t="s">
        <v>11571</v>
      </c>
      <c r="C1322" s="16">
        <v>12.0</v>
      </c>
      <c r="D1322" s="16" t="s">
        <v>10444</v>
      </c>
      <c r="E1322" s="16" t="s">
        <v>707</v>
      </c>
      <c r="F1322" s="16">
        <v>2005.0</v>
      </c>
      <c r="G1322" s="16">
        <v>49.5842</v>
      </c>
      <c r="H1322" s="16">
        <v>7.7261</v>
      </c>
      <c r="I1322" s="15"/>
      <c r="J1322" s="15"/>
    </row>
    <row r="1323">
      <c r="A1323" s="18">
        <v>44656.0</v>
      </c>
      <c r="B1323" s="16" t="s">
        <v>11572</v>
      </c>
      <c r="C1323" s="16">
        <v>12.0</v>
      </c>
      <c r="D1323" s="16" t="s">
        <v>10444</v>
      </c>
      <c r="E1323" s="16" t="s">
        <v>707</v>
      </c>
      <c r="F1323" s="16">
        <v>2020.0</v>
      </c>
      <c r="G1323" s="16">
        <v>51.198</v>
      </c>
      <c r="H1323" s="16">
        <v>6.1819</v>
      </c>
      <c r="I1323" s="15"/>
      <c r="J1323" s="15"/>
    </row>
    <row r="1324">
      <c r="A1324" s="18">
        <v>44656.0</v>
      </c>
      <c r="B1324" s="16" t="s">
        <v>11573</v>
      </c>
      <c r="C1324" s="16">
        <v>15.0</v>
      </c>
      <c r="D1324" s="16" t="s">
        <v>10444</v>
      </c>
      <c r="E1324" s="16" t="s">
        <v>707</v>
      </c>
      <c r="F1324" s="16">
        <v>2013.0</v>
      </c>
      <c r="G1324" s="16">
        <v>52.6501</v>
      </c>
      <c r="H1324" s="16">
        <v>9.5514</v>
      </c>
      <c r="I1324" s="15"/>
      <c r="J1324" s="15"/>
    </row>
    <row r="1325">
      <c r="A1325" s="18">
        <v>45667.0</v>
      </c>
      <c r="B1325" s="16" t="s">
        <v>11574</v>
      </c>
      <c r="C1325" s="16">
        <v>11.0</v>
      </c>
      <c r="D1325" s="16" t="s">
        <v>10444</v>
      </c>
      <c r="E1325" s="16" t="s">
        <v>707</v>
      </c>
      <c r="F1325" s="16">
        <v>2024.0</v>
      </c>
      <c r="G1325" s="16">
        <v>50.0731</v>
      </c>
      <c r="H1325" s="16">
        <v>6.8908</v>
      </c>
      <c r="I1325" s="15"/>
      <c r="J1325" s="15"/>
    </row>
    <row r="1326">
      <c r="A1326" s="18">
        <v>44656.0</v>
      </c>
      <c r="B1326" s="16" t="s">
        <v>11575</v>
      </c>
      <c r="C1326" s="16">
        <v>20.0</v>
      </c>
      <c r="D1326" s="16" t="s">
        <v>10444</v>
      </c>
      <c r="E1326" s="16" t="s">
        <v>707</v>
      </c>
      <c r="F1326" s="16">
        <v>2005.0</v>
      </c>
      <c r="G1326" s="16">
        <v>51.5748</v>
      </c>
      <c r="H1326" s="16">
        <v>6.4016</v>
      </c>
      <c r="I1326" s="15"/>
      <c r="J1326" s="15"/>
    </row>
    <row r="1327">
      <c r="A1327" s="18">
        <v>45371.0</v>
      </c>
      <c r="B1327" s="16" t="s">
        <v>11576</v>
      </c>
      <c r="C1327" s="16">
        <v>24.0</v>
      </c>
      <c r="D1327" s="16" t="s">
        <v>10444</v>
      </c>
      <c r="E1327" s="16" t="s">
        <v>707</v>
      </c>
      <c r="F1327" s="16">
        <v>2021.0</v>
      </c>
      <c r="G1327" s="16">
        <v>52.1022</v>
      </c>
      <c r="H1327" s="16">
        <v>12.7611</v>
      </c>
      <c r="I1327" s="15"/>
      <c r="J1327" s="15"/>
    </row>
    <row r="1328">
      <c r="A1328" s="18">
        <v>44656.0</v>
      </c>
      <c r="B1328" s="16" t="s">
        <v>11577</v>
      </c>
      <c r="C1328" s="16">
        <v>13.0</v>
      </c>
      <c r="D1328" s="16" t="s">
        <v>10444</v>
      </c>
      <c r="E1328" s="16" t="s">
        <v>707</v>
      </c>
      <c r="F1328" s="15"/>
      <c r="G1328" s="16">
        <v>52.4317</v>
      </c>
      <c r="H1328" s="16">
        <v>12.0503</v>
      </c>
      <c r="I1328" s="15"/>
      <c r="J1328" s="15"/>
    </row>
    <row r="1329">
      <c r="A1329" s="18">
        <v>45015.0</v>
      </c>
      <c r="B1329" s="16" t="s">
        <v>11577</v>
      </c>
      <c r="C1329" s="16">
        <v>12.0</v>
      </c>
      <c r="D1329" s="16" t="s">
        <v>10444</v>
      </c>
      <c r="E1329" s="16" t="s">
        <v>707</v>
      </c>
      <c r="F1329" s="16">
        <v>2003.0</v>
      </c>
      <c r="G1329" s="16">
        <v>52.4325</v>
      </c>
      <c r="H1329" s="16">
        <v>12.0455</v>
      </c>
      <c r="I1329" s="15"/>
      <c r="J1329" s="15"/>
    </row>
    <row r="1330">
      <c r="A1330" s="18">
        <v>44656.0</v>
      </c>
      <c r="B1330" s="16" t="s">
        <v>11578</v>
      </c>
      <c r="C1330" s="16">
        <v>10.0</v>
      </c>
      <c r="D1330" s="16" t="s">
        <v>10444</v>
      </c>
      <c r="E1330" s="16" t="s">
        <v>707</v>
      </c>
      <c r="F1330" s="16">
        <v>2006.0</v>
      </c>
      <c r="G1330" s="16">
        <v>54.0265</v>
      </c>
      <c r="H1330" s="16">
        <v>13.1</v>
      </c>
      <c r="I1330" s="15"/>
      <c r="J1330" s="15"/>
    </row>
    <row r="1331">
      <c r="A1331" s="18">
        <v>44656.0</v>
      </c>
      <c r="B1331" s="16" t="s">
        <v>11579</v>
      </c>
      <c r="C1331" s="16">
        <v>26.0</v>
      </c>
      <c r="D1331" s="16" t="s">
        <v>10444</v>
      </c>
      <c r="E1331" s="16" t="s">
        <v>707</v>
      </c>
      <c r="F1331" s="16">
        <v>2004.0</v>
      </c>
      <c r="G1331" s="16">
        <v>52.0875</v>
      </c>
      <c r="H1331" s="16">
        <v>12.78</v>
      </c>
      <c r="I1331" s="15"/>
      <c r="J1331" s="15"/>
    </row>
    <row r="1332">
      <c r="A1332" s="18">
        <v>44656.0</v>
      </c>
      <c r="B1332" s="16" t="s">
        <v>11580</v>
      </c>
      <c r="C1332" s="16">
        <v>24.0</v>
      </c>
      <c r="D1332" s="16" t="s">
        <v>10444</v>
      </c>
      <c r="E1332" s="16" t="s">
        <v>707</v>
      </c>
      <c r="F1332" s="16">
        <v>2017.0</v>
      </c>
      <c r="G1332" s="16">
        <v>53.4126</v>
      </c>
      <c r="H1332" s="16">
        <v>8.1085</v>
      </c>
      <c r="I1332" s="15"/>
      <c r="J1332" s="15"/>
    </row>
    <row r="1333">
      <c r="A1333" s="18">
        <v>44656.0</v>
      </c>
      <c r="B1333" s="16" t="s">
        <v>11581</v>
      </c>
      <c r="C1333" s="16">
        <v>11.0</v>
      </c>
      <c r="D1333" s="16" t="s">
        <v>10444</v>
      </c>
      <c r="E1333" s="16" t="s">
        <v>707</v>
      </c>
      <c r="F1333" s="16">
        <v>2017.0</v>
      </c>
      <c r="G1333" s="16">
        <v>48.9415</v>
      </c>
      <c r="H1333" s="16">
        <v>10.2847</v>
      </c>
      <c r="I1333" s="15"/>
      <c r="J1333" s="15"/>
    </row>
    <row r="1334">
      <c r="A1334" s="18">
        <v>44656.0</v>
      </c>
      <c r="B1334" s="16" t="s">
        <v>11582</v>
      </c>
      <c r="C1334" s="16">
        <v>21.0</v>
      </c>
      <c r="D1334" s="16" t="s">
        <v>10444</v>
      </c>
      <c r="E1334" s="16" t="s">
        <v>707</v>
      </c>
      <c r="F1334" s="16">
        <v>2017.0</v>
      </c>
      <c r="G1334" s="16">
        <v>48.9717</v>
      </c>
      <c r="H1334" s="16">
        <v>10.2824</v>
      </c>
      <c r="I1334" s="15"/>
      <c r="J1334" s="15"/>
    </row>
    <row r="1335">
      <c r="A1335" s="18">
        <v>44656.0</v>
      </c>
      <c r="B1335" s="16" t="s">
        <v>11583</v>
      </c>
      <c r="C1335" s="16">
        <v>17.0</v>
      </c>
      <c r="D1335" s="16" t="s">
        <v>10444</v>
      </c>
      <c r="E1335" s="16" t="s">
        <v>707</v>
      </c>
      <c r="F1335" s="16">
        <v>2017.0</v>
      </c>
      <c r="G1335" s="16">
        <v>49.633</v>
      </c>
      <c r="H1335" s="16">
        <v>6.938</v>
      </c>
      <c r="I1335" s="15"/>
      <c r="J1335" s="15"/>
    </row>
    <row r="1336">
      <c r="A1336" s="18">
        <v>44986.0</v>
      </c>
      <c r="B1336" s="16" t="s">
        <v>11584</v>
      </c>
      <c r="C1336" s="16">
        <v>21.0</v>
      </c>
      <c r="D1336" s="16" t="s">
        <v>10444</v>
      </c>
      <c r="E1336" s="16" t="s">
        <v>707</v>
      </c>
      <c r="F1336" s="16">
        <v>2021.0</v>
      </c>
      <c r="G1336" s="16">
        <v>54.6151</v>
      </c>
      <c r="H1336" s="16">
        <v>9.4206</v>
      </c>
      <c r="I1336" s="15"/>
      <c r="J1336" s="15"/>
    </row>
    <row r="1337">
      <c r="A1337" s="18">
        <v>44656.0</v>
      </c>
      <c r="B1337" s="16" t="s">
        <v>11585</v>
      </c>
      <c r="C1337" s="16">
        <v>45.0</v>
      </c>
      <c r="D1337" s="16" t="s">
        <v>10444</v>
      </c>
      <c r="E1337" s="16" t="s">
        <v>707</v>
      </c>
      <c r="F1337" s="16">
        <v>1993.0</v>
      </c>
      <c r="G1337" s="16">
        <v>53.6271</v>
      </c>
      <c r="H1337" s="16">
        <v>7.163</v>
      </c>
      <c r="I1337" s="15"/>
      <c r="J1337" s="15"/>
    </row>
    <row r="1338">
      <c r="A1338" s="18">
        <v>44656.0</v>
      </c>
      <c r="B1338" s="16" t="s">
        <v>11586</v>
      </c>
      <c r="C1338" s="16">
        <v>111.0</v>
      </c>
      <c r="D1338" s="16" t="s">
        <v>10462</v>
      </c>
      <c r="E1338" s="16" t="s">
        <v>707</v>
      </c>
      <c r="F1338" s="16">
        <v>2017.0</v>
      </c>
      <c r="G1338" s="16">
        <v>53.6796</v>
      </c>
      <c r="H1338" s="16">
        <v>8.1051</v>
      </c>
      <c r="I1338" s="15"/>
      <c r="J1338" s="15"/>
    </row>
    <row r="1339">
      <c r="A1339" s="18">
        <v>45028.0</v>
      </c>
      <c r="B1339" s="16" t="s">
        <v>11587</v>
      </c>
      <c r="C1339" s="16">
        <v>17.0</v>
      </c>
      <c r="D1339" s="16" t="s">
        <v>10444</v>
      </c>
      <c r="E1339" s="16" t="s">
        <v>707</v>
      </c>
      <c r="F1339" s="16">
        <v>2014.0</v>
      </c>
      <c r="G1339" s="16">
        <v>54.2566</v>
      </c>
      <c r="H1339" s="16">
        <v>9.1224</v>
      </c>
      <c r="I1339" s="15"/>
      <c r="J1339" s="15"/>
    </row>
    <row r="1340">
      <c r="A1340" s="18">
        <v>44656.0</v>
      </c>
      <c r="B1340" s="16" t="s">
        <v>11588</v>
      </c>
      <c r="C1340" s="16">
        <v>16.0</v>
      </c>
      <c r="D1340" s="16" t="s">
        <v>10444</v>
      </c>
      <c r="E1340" s="16" t="s">
        <v>707</v>
      </c>
      <c r="F1340" s="16">
        <v>2007.0</v>
      </c>
      <c r="G1340" s="16">
        <v>54.7988</v>
      </c>
      <c r="H1340" s="16">
        <v>8.7438</v>
      </c>
      <c r="I1340" s="15"/>
      <c r="J1340" s="15"/>
    </row>
    <row r="1341">
      <c r="A1341" s="18">
        <v>44656.0</v>
      </c>
      <c r="B1341" s="16" t="s">
        <v>11588</v>
      </c>
      <c r="C1341" s="16">
        <v>22.0</v>
      </c>
      <c r="D1341" s="16" t="s">
        <v>10444</v>
      </c>
      <c r="E1341" s="16" t="s">
        <v>707</v>
      </c>
      <c r="F1341" s="16">
        <v>2014.0</v>
      </c>
      <c r="G1341" s="16">
        <v>54.8001</v>
      </c>
      <c r="H1341" s="16">
        <v>8.7445</v>
      </c>
      <c r="I1341" s="15"/>
      <c r="J1341" s="15"/>
    </row>
    <row r="1342">
      <c r="A1342" s="18">
        <v>44656.0</v>
      </c>
      <c r="B1342" s="16" t="s">
        <v>11589</v>
      </c>
      <c r="C1342" s="16">
        <v>50.0</v>
      </c>
      <c r="D1342" s="16" t="s">
        <v>10444</v>
      </c>
      <c r="E1342" s="16" t="s">
        <v>707</v>
      </c>
      <c r="F1342" s="16">
        <v>1997.0</v>
      </c>
      <c r="G1342" s="16">
        <v>52.9237</v>
      </c>
      <c r="H1342" s="16">
        <v>7.6282</v>
      </c>
      <c r="I1342" s="15"/>
      <c r="J1342" s="15"/>
    </row>
    <row r="1343">
      <c r="A1343" s="18">
        <v>45362.0</v>
      </c>
      <c r="B1343" s="16" t="s">
        <v>11590</v>
      </c>
      <c r="C1343" s="16">
        <v>33.0</v>
      </c>
      <c r="D1343" s="16" t="s">
        <v>10444</v>
      </c>
      <c r="E1343" s="16" t="s">
        <v>707</v>
      </c>
      <c r="F1343" s="16">
        <v>2023.0</v>
      </c>
      <c r="G1343" s="16">
        <v>54.1324</v>
      </c>
      <c r="H1343" s="16">
        <v>9.0411</v>
      </c>
      <c r="I1343" s="15"/>
      <c r="J1343" s="15"/>
    </row>
    <row r="1344">
      <c r="A1344" s="18">
        <v>45362.0</v>
      </c>
      <c r="B1344" s="16" t="s">
        <v>11590</v>
      </c>
      <c r="C1344" s="16">
        <v>10.0</v>
      </c>
      <c r="D1344" s="16" t="s">
        <v>10444</v>
      </c>
      <c r="E1344" s="16" t="s">
        <v>707</v>
      </c>
      <c r="F1344" s="16">
        <v>2023.0</v>
      </c>
      <c r="G1344" s="16">
        <v>54.1304</v>
      </c>
      <c r="H1344" s="16">
        <v>9.044</v>
      </c>
      <c r="I1344" s="15"/>
      <c r="J1344" s="15"/>
    </row>
    <row r="1345">
      <c r="A1345" s="18">
        <v>44656.0</v>
      </c>
      <c r="B1345" s="16" t="s">
        <v>11591</v>
      </c>
      <c r="C1345" s="16">
        <v>24.0</v>
      </c>
      <c r="D1345" s="16" t="s">
        <v>10444</v>
      </c>
      <c r="E1345" s="16" t="s">
        <v>707</v>
      </c>
      <c r="F1345" s="15"/>
      <c r="G1345" s="16">
        <v>54.1951</v>
      </c>
      <c r="H1345" s="16">
        <v>9.0156</v>
      </c>
      <c r="I1345" s="15"/>
      <c r="J1345" s="15"/>
    </row>
    <row r="1346">
      <c r="A1346" s="18">
        <v>44656.0</v>
      </c>
      <c r="B1346" s="16" t="s">
        <v>11591</v>
      </c>
      <c r="C1346" s="16">
        <v>28.0</v>
      </c>
      <c r="D1346" s="16" t="s">
        <v>10444</v>
      </c>
      <c r="E1346" s="16" t="s">
        <v>707</v>
      </c>
      <c r="F1346" s="15"/>
      <c r="G1346" s="16">
        <v>54.1951</v>
      </c>
      <c r="H1346" s="16">
        <v>9.0156</v>
      </c>
      <c r="I1346" s="15"/>
      <c r="J1346" s="15"/>
    </row>
    <row r="1347">
      <c r="A1347" s="18">
        <v>44656.0</v>
      </c>
      <c r="B1347" s="16" t="s">
        <v>11591</v>
      </c>
      <c r="C1347" s="16">
        <v>10.0</v>
      </c>
      <c r="D1347" s="16" t="s">
        <v>10444</v>
      </c>
      <c r="E1347" s="16" t="s">
        <v>707</v>
      </c>
      <c r="F1347" s="15"/>
      <c r="G1347" s="16">
        <v>54.1951</v>
      </c>
      <c r="H1347" s="16">
        <v>9.0156</v>
      </c>
      <c r="I1347" s="15"/>
      <c r="J1347" s="15"/>
    </row>
    <row r="1348">
      <c r="A1348" s="18">
        <v>44656.0</v>
      </c>
      <c r="B1348" s="16" t="s">
        <v>11591</v>
      </c>
      <c r="C1348" s="16">
        <v>76.0</v>
      </c>
      <c r="D1348" s="16" t="s">
        <v>10444</v>
      </c>
      <c r="E1348" s="16" t="s">
        <v>707</v>
      </c>
      <c r="F1348" s="16">
        <v>2017.0</v>
      </c>
      <c r="G1348" s="16">
        <v>54.194</v>
      </c>
      <c r="H1348" s="16">
        <v>9.0169</v>
      </c>
      <c r="I1348" s="15"/>
      <c r="J1348" s="15"/>
    </row>
    <row r="1349">
      <c r="A1349" s="18">
        <v>44656.0</v>
      </c>
      <c r="B1349" s="16" t="s">
        <v>11592</v>
      </c>
      <c r="C1349" s="16">
        <v>30.0</v>
      </c>
      <c r="D1349" s="16" t="s">
        <v>10444</v>
      </c>
      <c r="E1349" s="16" t="s">
        <v>707</v>
      </c>
      <c r="F1349" s="16">
        <v>2003.0</v>
      </c>
      <c r="G1349" s="16">
        <v>52.2029</v>
      </c>
      <c r="H1349" s="16">
        <v>11.3655</v>
      </c>
      <c r="I1349" s="15"/>
      <c r="J1349" s="15"/>
    </row>
    <row r="1350">
      <c r="A1350" s="18">
        <v>44656.0</v>
      </c>
      <c r="B1350" s="16" t="s">
        <v>11593</v>
      </c>
      <c r="C1350" s="16">
        <v>18.0</v>
      </c>
      <c r="D1350" s="16" t="s">
        <v>10444</v>
      </c>
      <c r="E1350" s="16" t="s">
        <v>707</v>
      </c>
      <c r="F1350" s="16">
        <v>1997.0</v>
      </c>
      <c r="G1350" s="16">
        <v>53.7802</v>
      </c>
      <c r="H1350" s="16">
        <v>8.8209</v>
      </c>
      <c r="I1350" s="15"/>
      <c r="J1350" s="15"/>
    </row>
    <row r="1351">
      <c r="A1351" s="18">
        <v>44656.0</v>
      </c>
      <c r="B1351" s="16" t="s">
        <v>11594</v>
      </c>
      <c r="C1351" s="16">
        <v>28.0</v>
      </c>
      <c r="D1351" s="16" t="s">
        <v>10444</v>
      </c>
      <c r="E1351" s="16" t="s">
        <v>707</v>
      </c>
      <c r="F1351" s="16">
        <v>2007.0</v>
      </c>
      <c r="G1351" s="16">
        <v>48.6192</v>
      </c>
      <c r="H1351" s="16">
        <v>8.4628</v>
      </c>
      <c r="I1351" s="15"/>
      <c r="J1351" s="15"/>
    </row>
    <row r="1352">
      <c r="A1352" s="18">
        <v>44656.0</v>
      </c>
      <c r="B1352" s="16" t="s">
        <v>11595</v>
      </c>
      <c r="C1352" s="16">
        <v>332.0</v>
      </c>
      <c r="D1352" s="16" t="s">
        <v>10462</v>
      </c>
      <c r="E1352" s="16" t="s">
        <v>707</v>
      </c>
      <c r="F1352" s="16">
        <v>2017.0</v>
      </c>
      <c r="G1352" s="16">
        <v>54.444</v>
      </c>
      <c r="H1352" s="16">
        <v>7.682</v>
      </c>
      <c r="I1352" s="15"/>
      <c r="J1352" s="15"/>
    </row>
    <row r="1353">
      <c r="A1353" s="18">
        <v>44998.0</v>
      </c>
      <c r="B1353" s="16" t="s">
        <v>11596</v>
      </c>
      <c r="C1353" s="16">
        <v>332.0</v>
      </c>
      <c r="D1353" s="16" t="s">
        <v>10462</v>
      </c>
      <c r="E1353" s="16" t="s">
        <v>707</v>
      </c>
      <c r="F1353" s="16">
        <v>2017.0</v>
      </c>
      <c r="G1353" s="16">
        <v>54.444</v>
      </c>
      <c r="H1353" s="16">
        <v>7.682</v>
      </c>
      <c r="I1353" s="15"/>
      <c r="J1353" s="15"/>
    </row>
    <row r="1354">
      <c r="A1354" s="18">
        <v>45028.0</v>
      </c>
      <c r="B1354" s="16" t="s">
        <v>11597</v>
      </c>
      <c r="C1354" s="16">
        <v>12.0</v>
      </c>
      <c r="D1354" s="16" t="s">
        <v>10444</v>
      </c>
      <c r="E1354" s="16" t="s">
        <v>707</v>
      </c>
      <c r="F1354" s="16">
        <v>2010.0</v>
      </c>
      <c r="G1354" s="16">
        <v>54.5075</v>
      </c>
      <c r="H1354" s="16">
        <v>8.8925</v>
      </c>
      <c r="I1354" s="15"/>
      <c r="J1354" s="15"/>
    </row>
    <row r="1355">
      <c r="A1355" s="18">
        <v>45667.0</v>
      </c>
      <c r="B1355" s="16" t="s">
        <v>11598</v>
      </c>
      <c r="C1355" s="16">
        <v>21.0</v>
      </c>
      <c r="D1355" s="16" t="s">
        <v>10444</v>
      </c>
      <c r="E1355" s="16" t="s">
        <v>707</v>
      </c>
      <c r="F1355" s="16">
        <v>2024.0</v>
      </c>
      <c r="G1355" s="16">
        <v>51.4018</v>
      </c>
      <c r="H1355" s="16">
        <v>8.9803</v>
      </c>
      <c r="I1355" s="15"/>
      <c r="J1355" s="15"/>
    </row>
    <row r="1356">
      <c r="A1356" s="18">
        <v>44656.0</v>
      </c>
      <c r="B1356" s="16" t="s">
        <v>11599</v>
      </c>
      <c r="C1356" s="16">
        <v>14.0</v>
      </c>
      <c r="D1356" s="16" t="s">
        <v>10444</v>
      </c>
      <c r="E1356" s="16" t="s">
        <v>707</v>
      </c>
      <c r="F1356" s="16">
        <v>2016.0</v>
      </c>
      <c r="G1356" s="16">
        <v>54.232</v>
      </c>
      <c r="H1356" s="16">
        <v>8.9099</v>
      </c>
      <c r="I1356" s="15"/>
      <c r="J1356" s="15"/>
    </row>
    <row r="1357">
      <c r="A1357" s="18">
        <v>44656.0</v>
      </c>
      <c r="B1357" s="16" t="s">
        <v>11600</v>
      </c>
      <c r="C1357" s="16">
        <v>10.0</v>
      </c>
      <c r="D1357" s="16" t="s">
        <v>10444</v>
      </c>
      <c r="E1357" s="16" t="s">
        <v>707</v>
      </c>
      <c r="F1357" s="16">
        <v>2003.0</v>
      </c>
      <c r="G1357" s="16">
        <v>54.6034</v>
      </c>
      <c r="H1357" s="16">
        <v>9.1439</v>
      </c>
      <c r="I1357" s="15"/>
      <c r="J1357" s="15"/>
    </row>
    <row r="1358">
      <c r="A1358" s="18">
        <v>44656.0</v>
      </c>
      <c r="B1358" s="16" t="s">
        <v>11600</v>
      </c>
      <c r="C1358" s="16">
        <v>19.0</v>
      </c>
      <c r="D1358" s="16" t="s">
        <v>10444</v>
      </c>
      <c r="E1358" s="16" t="s">
        <v>707</v>
      </c>
      <c r="F1358" s="16">
        <v>2014.0</v>
      </c>
      <c r="G1358" s="16">
        <v>54.5971</v>
      </c>
      <c r="H1358" s="16">
        <v>9.1443</v>
      </c>
      <c r="I1358" s="15"/>
      <c r="J1358" s="15"/>
    </row>
    <row r="1359">
      <c r="A1359" s="18">
        <v>45377.0</v>
      </c>
      <c r="B1359" s="16" t="s">
        <v>11601</v>
      </c>
      <c r="C1359" s="16">
        <v>16.0</v>
      </c>
      <c r="D1359" s="16" t="s">
        <v>10444</v>
      </c>
      <c r="E1359" s="16" t="s">
        <v>707</v>
      </c>
      <c r="F1359" s="15"/>
      <c r="G1359" s="16">
        <v>53.6332</v>
      </c>
      <c r="H1359" s="16">
        <v>7.2544</v>
      </c>
      <c r="I1359" s="15"/>
      <c r="J1359" s="15"/>
    </row>
    <row r="1360">
      <c r="A1360" s="18">
        <v>45007.0</v>
      </c>
      <c r="B1360" s="16" t="s">
        <v>11602</v>
      </c>
      <c r="C1360" s="16">
        <v>13.0</v>
      </c>
      <c r="D1360" s="16" t="s">
        <v>10444</v>
      </c>
      <c r="E1360" s="16" t="s">
        <v>707</v>
      </c>
      <c r="F1360" s="16">
        <v>2022.0</v>
      </c>
      <c r="G1360" s="16">
        <v>53.9283</v>
      </c>
      <c r="H1360" s="16">
        <v>9.3102</v>
      </c>
      <c r="I1360" s="15"/>
      <c r="J1360" s="15"/>
    </row>
    <row r="1361">
      <c r="A1361" s="18">
        <v>45028.0</v>
      </c>
      <c r="B1361" s="16" t="s">
        <v>11603</v>
      </c>
      <c r="C1361" s="16">
        <v>22.0</v>
      </c>
      <c r="D1361" s="16" t="s">
        <v>10444</v>
      </c>
      <c r="E1361" s="16" t="s">
        <v>707</v>
      </c>
      <c r="F1361" s="16">
        <v>2014.0</v>
      </c>
      <c r="G1361" s="16">
        <v>53.9112</v>
      </c>
      <c r="H1361" s="16">
        <v>9.2923</v>
      </c>
      <c r="I1361" s="15"/>
      <c r="J1361" s="15"/>
    </row>
    <row r="1362">
      <c r="A1362" s="18">
        <v>44656.0</v>
      </c>
      <c r="B1362" s="16" t="s">
        <v>11604</v>
      </c>
      <c r="C1362" s="16">
        <v>14.0</v>
      </c>
      <c r="D1362" s="16" t="s">
        <v>10444</v>
      </c>
      <c r="E1362" s="16" t="s">
        <v>707</v>
      </c>
      <c r="F1362" s="16">
        <v>2011.0</v>
      </c>
      <c r="G1362" s="16">
        <v>49.9248</v>
      </c>
      <c r="H1362" s="16">
        <v>6.3207</v>
      </c>
      <c r="I1362" s="15"/>
      <c r="J1362" s="15"/>
    </row>
    <row r="1363">
      <c r="A1363" s="18">
        <v>44656.0</v>
      </c>
      <c r="B1363" s="16" t="s">
        <v>11604</v>
      </c>
      <c r="C1363" s="16">
        <v>18.0</v>
      </c>
      <c r="D1363" s="16" t="s">
        <v>10444</v>
      </c>
      <c r="E1363" s="16" t="s">
        <v>707</v>
      </c>
      <c r="F1363" s="16">
        <v>2011.0</v>
      </c>
      <c r="G1363" s="16">
        <v>49.9262</v>
      </c>
      <c r="H1363" s="16">
        <v>6.3183</v>
      </c>
      <c r="I1363" s="15"/>
      <c r="J1363" s="15"/>
    </row>
    <row r="1364">
      <c r="A1364" s="18">
        <v>44656.0</v>
      </c>
      <c r="B1364" s="16" t="s">
        <v>11605</v>
      </c>
      <c r="C1364" s="16">
        <v>13.0</v>
      </c>
      <c r="D1364" s="16" t="s">
        <v>10444</v>
      </c>
      <c r="E1364" s="16" t="s">
        <v>707</v>
      </c>
      <c r="F1364" s="16">
        <v>2015.0</v>
      </c>
      <c r="G1364" s="16">
        <v>50.0849</v>
      </c>
      <c r="H1364" s="16">
        <v>10.0753</v>
      </c>
      <c r="I1364" s="15"/>
      <c r="J1364" s="15"/>
    </row>
    <row r="1365">
      <c r="A1365" s="18">
        <v>44656.0</v>
      </c>
      <c r="B1365" s="16" t="s">
        <v>11606</v>
      </c>
      <c r="C1365" s="16">
        <v>12.0</v>
      </c>
      <c r="D1365" s="16" t="s">
        <v>10444</v>
      </c>
      <c r="E1365" s="16" t="s">
        <v>707</v>
      </c>
      <c r="F1365" s="16">
        <v>2002.0</v>
      </c>
      <c r="G1365" s="16">
        <v>49.6789</v>
      </c>
      <c r="H1365" s="16">
        <v>8.1233</v>
      </c>
      <c r="I1365" s="15"/>
      <c r="J1365" s="15"/>
    </row>
    <row r="1366">
      <c r="A1366" s="18">
        <v>44656.0</v>
      </c>
      <c r="B1366" s="16" t="s">
        <v>11607</v>
      </c>
      <c r="C1366" s="16">
        <v>39.0</v>
      </c>
      <c r="D1366" s="16" t="s">
        <v>10444</v>
      </c>
      <c r="E1366" s="16" t="s">
        <v>707</v>
      </c>
      <c r="F1366" s="16">
        <v>2014.0</v>
      </c>
      <c r="G1366" s="16">
        <v>54.5833</v>
      </c>
      <c r="H1366" s="16">
        <v>9.2187</v>
      </c>
      <c r="I1366" s="15"/>
      <c r="J1366" s="15"/>
    </row>
    <row r="1367">
      <c r="A1367" s="18">
        <v>44656.0</v>
      </c>
      <c r="B1367" s="16" t="s">
        <v>11608</v>
      </c>
      <c r="C1367" s="16">
        <v>33.0</v>
      </c>
      <c r="D1367" s="16" t="s">
        <v>10444</v>
      </c>
      <c r="E1367" s="16" t="s">
        <v>707</v>
      </c>
      <c r="F1367" s="16">
        <v>2017.0</v>
      </c>
      <c r="G1367" s="16">
        <v>50.324</v>
      </c>
      <c r="H1367" s="16">
        <v>6.4794</v>
      </c>
      <c r="I1367" s="15"/>
      <c r="J1367" s="15"/>
    </row>
    <row r="1368">
      <c r="A1368" s="18">
        <v>45667.0</v>
      </c>
      <c r="B1368" s="16" t="s">
        <v>11609</v>
      </c>
      <c r="C1368" s="16">
        <v>21.0</v>
      </c>
      <c r="D1368" s="16" t="s">
        <v>10444</v>
      </c>
      <c r="E1368" s="16" t="s">
        <v>707</v>
      </c>
      <c r="F1368" s="16">
        <v>2024.0</v>
      </c>
      <c r="G1368" s="16">
        <v>49.9847</v>
      </c>
      <c r="H1368" s="16">
        <v>6.2834</v>
      </c>
      <c r="I1368" s="15"/>
      <c r="J1368" s="15"/>
    </row>
    <row r="1369">
      <c r="A1369" s="18">
        <v>44656.0</v>
      </c>
      <c r="B1369" s="16" t="s">
        <v>11610</v>
      </c>
      <c r="C1369" s="16">
        <v>10.0</v>
      </c>
      <c r="D1369" s="16" t="s">
        <v>10444</v>
      </c>
      <c r="E1369" s="16" t="s">
        <v>707</v>
      </c>
      <c r="F1369" s="16">
        <v>2015.0</v>
      </c>
      <c r="G1369" s="16">
        <v>48.7701</v>
      </c>
      <c r="H1369" s="16">
        <v>10.121</v>
      </c>
      <c r="I1369" s="15"/>
      <c r="J1369" s="15"/>
    </row>
    <row r="1370">
      <c r="A1370" s="18">
        <v>44656.0</v>
      </c>
      <c r="B1370" s="16" t="s">
        <v>11611</v>
      </c>
      <c r="C1370" s="16">
        <v>18.0</v>
      </c>
      <c r="D1370" s="16" t="s">
        <v>10444</v>
      </c>
      <c r="E1370" s="16" t="s">
        <v>707</v>
      </c>
      <c r="F1370" s="16">
        <v>2012.0</v>
      </c>
      <c r="G1370" s="16">
        <v>50.2422</v>
      </c>
      <c r="H1370" s="16">
        <v>11.7808</v>
      </c>
      <c r="I1370" s="15"/>
      <c r="J1370" s="15"/>
    </row>
    <row r="1371">
      <c r="A1371" s="18">
        <v>44656.0</v>
      </c>
      <c r="B1371" s="16" t="s">
        <v>11612</v>
      </c>
      <c r="C1371" s="16">
        <v>46.0</v>
      </c>
      <c r="D1371" s="16" t="s">
        <v>10444</v>
      </c>
      <c r="E1371" s="16" t="s">
        <v>707</v>
      </c>
      <c r="F1371" s="16">
        <v>2011.0</v>
      </c>
      <c r="G1371" s="16">
        <v>51.1975</v>
      </c>
      <c r="H1371" s="16">
        <v>14.9819</v>
      </c>
      <c r="I1371" s="15"/>
      <c r="J1371" s="15"/>
    </row>
    <row r="1372">
      <c r="A1372" s="18">
        <v>44987.0</v>
      </c>
      <c r="B1372" s="16" t="s">
        <v>11613</v>
      </c>
      <c r="C1372" s="16">
        <v>15.0</v>
      </c>
      <c r="D1372" s="16" t="s">
        <v>10444</v>
      </c>
      <c r="E1372" s="16" t="s">
        <v>707</v>
      </c>
      <c r="F1372" s="16">
        <v>2022.0</v>
      </c>
      <c r="G1372" s="16">
        <v>53.7814</v>
      </c>
      <c r="H1372" s="16">
        <v>9.1536</v>
      </c>
      <c r="I1372" s="15"/>
      <c r="J1372" s="15"/>
    </row>
    <row r="1373">
      <c r="A1373" s="18">
        <v>44656.0</v>
      </c>
      <c r="B1373" s="16" t="s">
        <v>11614</v>
      </c>
      <c r="C1373" s="16">
        <v>18.0</v>
      </c>
      <c r="D1373" s="16" t="s">
        <v>10444</v>
      </c>
      <c r="E1373" s="16" t="s">
        <v>707</v>
      </c>
      <c r="F1373" s="16">
        <v>2016.0</v>
      </c>
      <c r="G1373" s="16">
        <v>53.9378</v>
      </c>
      <c r="H1373" s="16">
        <v>10.5722</v>
      </c>
      <c r="I1373" s="15"/>
      <c r="J1373" s="15"/>
    </row>
    <row r="1374">
      <c r="A1374" s="18">
        <v>44656.0</v>
      </c>
      <c r="B1374" s="16" t="s">
        <v>11614</v>
      </c>
      <c r="C1374" s="16">
        <v>42.0</v>
      </c>
      <c r="D1374" s="16" t="s">
        <v>10444</v>
      </c>
      <c r="E1374" s="16" t="s">
        <v>707</v>
      </c>
      <c r="F1374" s="15"/>
      <c r="G1374" s="16">
        <v>53.9378</v>
      </c>
      <c r="H1374" s="16">
        <v>10.5722</v>
      </c>
      <c r="I1374" s="15"/>
      <c r="J1374" s="15"/>
    </row>
    <row r="1375">
      <c r="A1375" s="18">
        <v>44656.0</v>
      </c>
      <c r="B1375" s="16" t="s">
        <v>11615</v>
      </c>
      <c r="C1375" s="16">
        <v>10.0</v>
      </c>
      <c r="D1375" s="16" t="s">
        <v>10444</v>
      </c>
      <c r="E1375" s="16" t="s">
        <v>707</v>
      </c>
      <c r="F1375" s="16">
        <v>2013.0</v>
      </c>
      <c r="G1375" s="16">
        <v>50.0966</v>
      </c>
      <c r="H1375" s="16">
        <v>7.6182</v>
      </c>
      <c r="I1375" s="15"/>
      <c r="J1375" s="15"/>
    </row>
    <row r="1376">
      <c r="A1376" s="18">
        <v>44656.0</v>
      </c>
      <c r="B1376" s="16" t="s">
        <v>11615</v>
      </c>
      <c r="C1376" s="16">
        <v>10.0</v>
      </c>
      <c r="D1376" s="16" t="s">
        <v>10444</v>
      </c>
      <c r="E1376" s="16" t="s">
        <v>707</v>
      </c>
      <c r="F1376" s="16">
        <v>2013.0</v>
      </c>
      <c r="G1376" s="16">
        <v>50.0969</v>
      </c>
      <c r="H1376" s="16">
        <v>7.6172</v>
      </c>
      <c r="I1376" s="15"/>
      <c r="J1376" s="15"/>
    </row>
    <row r="1377">
      <c r="A1377" s="18">
        <v>44656.0</v>
      </c>
      <c r="B1377" s="16" t="s">
        <v>11616</v>
      </c>
      <c r="C1377" s="16">
        <v>15.0</v>
      </c>
      <c r="D1377" s="16" t="s">
        <v>10444</v>
      </c>
      <c r="E1377" s="16" t="s">
        <v>707</v>
      </c>
      <c r="F1377" s="16">
        <v>2013.0</v>
      </c>
      <c r="G1377" s="16">
        <v>51.3956</v>
      </c>
      <c r="H1377" s="16">
        <v>11.7092</v>
      </c>
      <c r="I1377" s="15"/>
      <c r="J1377" s="15"/>
    </row>
    <row r="1378">
      <c r="A1378" s="18">
        <v>45000.0</v>
      </c>
      <c r="B1378" s="16" t="s">
        <v>11617</v>
      </c>
      <c r="C1378" s="16">
        <v>36.0</v>
      </c>
      <c r="D1378" s="16" t="s">
        <v>10444</v>
      </c>
      <c r="E1378" s="16" t="s">
        <v>707</v>
      </c>
      <c r="F1378" s="16">
        <v>2002.0</v>
      </c>
      <c r="G1378" s="16">
        <v>51.3915</v>
      </c>
      <c r="H1378" s="16">
        <v>11.7105</v>
      </c>
      <c r="I1378" s="15"/>
      <c r="J1378" s="15"/>
    </row>
    <row r="1379">
      <c r="A1379" s="18">
        <v>44656.0</v>
      </c>
      <c r="B1379" s="16" t="s">
        <v>11618</v>
      </c>
      <c r="C1379" s="16">
        <v>34.0</v>
      </c>
      <c r="D1379" s="16" t="s">
        <v>10444</v>
      </c>
      <c r="E1379" s="16" t="s">
        <v>707</v>
      </c>
      <c r="F1379" s="16">
        <v>2016.0</v>
      </c>
      <c r="G1379" s="16">
        <v>48.7615</v>
      </c>
      <c r="H1379" s="16">
        <v>10.1738</v>
      </c>
      <c r="I1379" s="15"/>
      <c r="J1379" s="15"/>
    </row>
    <row r="1380">
      <c r="A1380" s="18">
        <v>44656.0</v>
      </c>
      <c r="B1380" s="16" t="s">
        <v>11619</v>
      </c>
      <c r="C1380" s="16">
        <v>21.0</v>
      </c>
      <c r="D1380" s="16" t="s">
        <v>10444</v>
      </c>
      <c r="E1380" s="16" t="s">
        <v>707</v>
      </c>
      <c r="F1380" s="16">
        <v>2017.0</v>
      </c>
      <c r="G1380" s="16">
        <v>53.6204</v>
      </c>
      <c r="H1380" s="16">
        <v>7.5264</v>
      </c>
      <c r="I1380" s="15"/>
      <c r="J1380" s="15"/>
    </row>
    <row r="1381">
      <c r="A1381" s="18">
        <v>44656.0</v>
      </c>
      <c r="B1381" s="16" t="s">
        <v>11620</v>
      </c>
      <c r="C1381" s="16">
        <v>10.0</v>
      </c>
      <c r="D1381" s="16" t="s">
        <v>10444</v>
      </c>
      <c r="E1381" s="16" t="s">
        <v>707</v>
      </c>
      <c r="F1381" s="16">
        <v>2006.0</v>
      </c>
      <c r="G1381" s="16">
        <v>52.1523</v>
      </c>
      <c r="H1381" s="16">
        <v>11.4306</v>
      </c>
      <c r="I1381" s="15"/>
      <c r="J1381" s="15"/>
    </row>
    <row r="1382">
      <c r="A1382" s="18">
        <v>44656.0</v>
      </c>
      <c r="B1382" s="16" t="s">
        <v>11621</v>
      </c>
      <c r="C1382" s="16">
        <v>10.0</v>
      </c>
      <c r="D1382" s="16" t="s">
        <v>10444</v>
      </c>
      <c r="E1382" s="16" t="s">
        <v>707</v>
      </c>
      <c r="F1382" s="16">
        <v>2017.0</v>
      </c>
      <c r="G1382" s="16">
        <v>53.6807</v>
      </c>
      <c r="H1382" s="16">
        <v>8.9464</v>
      </c>
      <c r="I1382" s="15"/>
      <c r="J1382" s="15"/>
    </row>
    <row r="1383">
      <c r="A1383" s="18">
        <v>44656.0</v>
      </c>
      <c r="B1383" s="16" t="s">
        <v>11622</v>
      </c>
      <c r="C1383" s="16">
        <v>17.0</v>
      </c>
      <c r="D1383" s="16" t="s">
        <v>10444</v>
      </c>
      <c r="E1383" s="16" t="s">
        <v>707</v>
      </c>
      <c r="F1383" s="16">
        <v>2019.0</v>
      </c>
      <c r="G1383" s="16">
        <v>53.7894</v>
      </c>
      <c r="H1383" s="16">
        <v>9.1568</v>
      </c>
      <c r="I1383" s="15"/>
      <c r="J1383" s="15"/>
    </row>
    <row r="1384">
      <c r="A1384" s="18">
        <v>44656.0</v>
      </c>
      <c r="B1384" s="16" t="s">
        <v>11623</v>
      </c>
      <c r="C1384" s="16">
        <v>22.0</v>
      </c>
      <c r="D1384" s="16" t="s">
        <v>10444</v>
      </c>
      <c r="E1384" s="16" t="s">
        <v>707</v>
      </c>
      <c r="F1384" s="16">
        <v>2000.0</v>
      </c>
      <c r="G1384" s="16">
        <v>52.3903</v>
      </c>
      <c r="H1384" s="16">
        <v>10.1353</v>
      </c>
      <c r="I1384" s="15"/>
      <c r="J1384" s="15"/>
    </row>
    <row r="1385">
      <c r="A1385" s="18">
        <v>44656.0</v>
      </c>
      <c r="B1385" s="16" t="s">
        <v>11623</v>
      </c>
      <c r="C1385" s="16">
        <v>12.0</v>
      </c>
      <c r="D1385" s="16" t="s">
        <v>10444</v>
      </c>
      <c r="E1385" s="16" t="s">
        <v>707</v>
      </c>
      <c r="F1385" s="16">
        <v>2001.0</v>
      </c>
      <c r="G1385" s="16">
        <v>52.3903</v>
      </c>
      <c r="H1385" s="16">
        <v>10.1353</v>
      </c>
      <c r="I1385" s="15"/>
      <c r="J1385" s="15"/>
    </row>
    <row r="1386">
      <c r="A1386" s="18">
        <v>45371.0</v>
      </c>
      <c r="B1386" s="16" t="s">
        <v>11624</v>
      </c>
      <c r="C1386" s="16">
        <v>29.0</v>
      </c>
      <c r="D1386" s="16" t="s">
        <v>10444</v>
      </c>
      <c r="E1386" s="16" t="s">
        <v>707</v>
      </c>
      <c r="F1386" s="16">
        <v>2022.0</v>
      </c>
      <c r="G1386" s="16">
        <v>53.4555</v>
      </c>
      <c r="H1386" s="16">
        <v>9.0493</v>
      </c>
      <c r="I1386" s="15"/>
      <c r="J1386" s="15"/>
    </row>
    <row r="1387">
      <c r="A1387" s="18">
        <v>44656.0</v>
      </c>
      <c r="B1387" s="16" t="s">
        <v>11625</v>
      </c>
      <c r="C1387" s="16">
        <v>20.0</v>
      </c>
      <c r="D1387" s="16" t="s">
        <v>10444</v>
      </c>
      <c r="E1387" s="16" t="s">
        <v>707</v>
      </c>
      <c r="F1387" s="16">
        <v>2014.0</v>
      </c>
      <c r="G1387" s="16">
        <v>53.8644</v>
      </c>
      <c r="H1387" s="16">
        <v>12.088</v>
      </c>
      <c r="I1387" s="15"/>
      <c r="J1387" s="15"/>
    </row>
    <row r="1388">
      <c r="A1388" s="18">
        <v>44656.0</v>
      </c>
      <c r="B1388" s="16" t="s">
        <v>11626</v>
      </c>
      <c r="C1388" s="16">
        <v>15.0</v>
      </c>
      <c r="D1388" s="16" t="s">
        <v>10444</v>
      </c>
      <c r="E1388" s="16" t="s">
        <v>707</v>
      </c>
      <c r="F1388" s="16">
        <v>2014.0</v>
      </c>
      <c r="G1388" s="16">
        <v>49.1739</v>
      </c>
      <c r="H1388" s="16">
        <v>8.2025</v>
      </c>
      <c r="I1388" s="15"/>
      <c r="J1388" s="15"/>
    </row>
    <row r="1389">
      <c r="A1389" s="18">
        <v>44656.0</v>
      </c>
      <c r="B1389" s="16" t="s">
        <v>11627</v>
      </c>
      <c r="C1389" s="16">
        <v>12.0</v>
      </c>
      <c r="D1389" s="16" t="s">
        <v>10444</v>
      </c>
      <c r="E1389" s="16" t="s">
        <v>707</v>
      </c>
      <c r="F1389" s="16">
        <v>2013.0</v>
      </c>
      <c r="G1389" s="16">
        <v>49.4258</v>
      </c>
      <c r="H1389" s="16">
        <v>11.4457</v>
      </c>
      <c r="I1389" s="15"/>
      <c r="J1389" s="15"/>
    </row>
    <row r="1390">
      <c r="A1390" s="18">
        <v>44656.0</v>
      </c>
      <c r="B1390" s="16" t="s">
        <v>11628</v>
      </c>
      <c r="C1390" s="16">
        <v>13.0</v>
      </c>
      <c r="D1390" s="16" t="s">
        <v>10444</v>
      </c>
      <c r="E1390" s="16" t="s">
        <v>707</v>
      </c>
      <c r="F1390" s="16">
        <v>2011.0</v>
      </c>
      <c r="G1390" s="16">
        <v>54.713</v>
      </c>
      <c r="H1390" s="16">
        <v>9.0274</v>
      </c>
      <c r="I1390" s="15"/>
      <c r="J1390" s="15"/>
    </row>
    <row r="1391">
      <c r="A1391" s="18">
        <v>44656.0</v>
      </c>
      <c r="B1391" s="16" t="s">
        <v>11629</v>
      </c>
      <c r="C1391" s="16">
        <v>12.0</v>
      </c>
      <c r="D1391" s="16" t="s">
        <v>10444</v>
      </c>
      <c r="E1391" s="16" t="s">
        <v>707</v>
      </c>
      <c r="F1391" s="16">
        <v>2009.0</v>
      </c>
      <c r="G1391" s="16">
        <v>52.7074</v>
      </c>
      <c r="H1391" s="16">
        <v>8.8562</v>
      </c>
      <c r="I1391" s="15"/>
      <c r="J1391" s="15"/>
    </row>
    <row r="1392">
      <c r="A1392" s="18">
        <v>44656.0</v>
      </c>
      <c r="B1392" s="16" t="s">
        <v>11630</v>
      </c>
      <c r="C1392" s="16">
        <v>17.0</v>
      </c>
      <c r="D1392" s="16" t="s">
        <v>10444</v>
      </c>
      <c r="E1392" s="16" t="s">
        <v>707</v>
      </c>
      <c r="F1392" s="16">
        <v>2016.0</v>
      </c>
      <c r="G1392" s="16">
        <v>48.7933</v>
      </c>
      <c r="H1392" s="16">
        <v>10.3622</v>
      </c>
      <c r="I1392" s="15"/>
      <c r="J1392" s="15"/>
    </row>
    <row r="1393">
      <c r="A1393" s="18">
        <v>44656.0</v>
      </c>
      <c r="B1393" s="16" t="s">
        <v>11631</v>
      </c>
      <c r="C1393" s="16">
        <v>11.0</v>
      </c>
      <c r="D1393" s="16" t="s">
        <v>10444</v>
      </c>
      <c r="E1393" s="16" t="s">
        <v>707</v>
      </c>
      <c r="F1393" s="16">
        <v>2001.0</v>
      </c>
      <c r="G1393" s="16">
        <v>52.2696</v>
      </c>
      <c r="H1393" s="16">
        <v>7.2487</v>
      </c>
      <c r="I1393" s="15"/>
      <c r="J1393" s="15"/>
    </row>
    <row r="1394">
      <c r="A1394" s="18">
        <v>44656.0</v>
      </c>
      <c r="B1394" s="16" t="s">
        <v>11632</v>
      </c>
      <c r="C1394" s="16">
        <v>14.0</v>
      </c>
      <c r="D1394" s="16" t="s">
        <v>10444</v>
      </c>
      <c r="E1394" s="16" t="s">
        <v>707</v>
      </c>
      <c r="F1394" s="16">
        <v>2016.0</v>
      </c>
      <c r="G1394" s="16">
        <v>48.7174</v>
      </c>
      <c r="H1394" s="16">
        <v>10.3202</v>
      </c>
      <c r="I1394" s="15"/>
      <c r="J1394" s="15"/>
    </row>
    <row r="1395">
      <c r="A1395" s="18">
        <v>44656.0</v>
      </c>
      <c r="B1395" s="16" t="s">
        <v>11633</v>
      </c>
      <c r="C1395" s="16">
        <v>29.0</v>
      </c>
      <c r="D1395" s="16" t="s">
        <v>10444</v>
      </c>
      <c r="E1395" s="16" t="s">
        <v>707</v>
      </c>
      <c r="F1395" s="16">
        <v>2017.0</v>
      </c>
      <c r="G1395" s="16">
        <v>53.491</v>
      </c>
      <c r="H1395" s="16">
        <v>9.4822</v>
      </c>
      <c r="I1395" s="15"/>
      <c r="J1395" s="15"/>
    </row>
    <row r="1396">
      <c r="A1396" s="18">
        <v>45029.0</v>
      </c>
      <c r="B1396" s="16" t="s">
        <v>11634</v>
      </c>
      <c r="C1396" s="16">
        <v>13.0</v>
      </c>
      <c r="D1396" s="16" t="s">
        <v>10444</v>
      </c>
      <c r="E1396" s="16" t="s">
        <v>707</v>
      </c>
      <c r="F1396" s="16">
        <v>2018.0</v>
      </c>
      <c r="G1396" s="16">
        <v>52.6109</v>
      </c>
      <c r="H1396" s="16">
        <v>7.6551</v>
      </c>
      <c r="I1396" s="15"/>
      <c r="J1396" s="15"/>
    </row>
    <row r="1397">
      <c r="A1397" s="18">
        <v>44656.0</v>
      </c>
      <c r="B1397" s="16" t="s">
        <v>11635</v>
      </c>
      <c r="C1397" s="16">
        <v>12.0</v>
      </c>
      <c r="D1397" s="16" t="s">
        <v>10444</v>
      </c>
      <c r="E1397" s="16" t="s">
        <v>707</v>
      </c>
      <c r="F1397" s="16">
        <v>2006.0</v>
      </c>
      <c r="G1397" s="16">
        <v>52.952</v>
      </c>
      <c r="H1397" s="16">
        <v>8.9028</v>
      </c>
      <c r="I1397" s="15"/>
      <c r="J1397" s="15"/>
    </row>
    <row r="1398">
      <c r="A1398" s="18">
        <v>44656.0</v>
      </c>
      <c r="B1398" s="16" t="s">
        <v>11636</v>
      </c>
      <c r="C1398" s="16">
        <v>18.0</v>
      </c>
      <c r="D1398" s="16" t="s">
        <v>10444</v>
      </c>
      <c r="E1398" s="16" t="s">
        <v>707</v>
      </c>
      <c r="F1398" s="16">
        <v>2012.0</v>
      </c>
      <c r="G1398" s="16">
        <v>51.1737</v>
      </c>
      <c r="H1398" s="16">
        <v>11.3468</v>
      </c>
      <c r="I1398" s="15"/>
      <c r="J1398" s="15"/>
    </row>
    <row r="1399">
      <c r="A1399" s="18">
        <v>44993.0</v>
      </c>
      <c r="B1399" s="16" t="s">
        <v>11636</v>
      </c>
      <c r="C1399" s="16">
        <v>13.0</v>
      </c>
      <c r="D1399" s="16" t="s">
        <v>10444</v>
      </c>
      <c r="E1399" s="16" t="s">
        <v>707</v>
      </c>
      <c r="F1399" s="16">
        <v>2017.0</v>
      </c>
      <c r="G1399" s="16">
        <v>51.1845</v>
      </c>
      <c r="H1399" s="16">
        <v>11.3313</v>
      </c>
      <c r="I1399" s="15"/>
      <c r="J1399" s="15"/>
    </row>
    <row r="1400">
      <c r="A1400" s="18">
        <v>44987.0</v>
      </c>
      <c r="B1400" s="16" t="s">
        <v>11637</v>
      </c>
      <c r="C1400" s="16">
        <v>11.0</v>
      </c>
      <c r="D1400" s="16" t="s">
        <v>10444</v>
      </c>
      <c r="E1400" s="16" t="s">
        <v>707</v>
      </c>
      <c r="F1400" s="16">
        <v>2021.0</v>
      </c>
      <c r="G1400" s="16">
        <v>51.173</v>
      </c>
      <c r="H1400" s="16">
        <v>11.3231</v>
      </c>
      <c r="I1400" s="15"/>
      <c r="J1400" s="15"/>
    </row>
    <row r="1401">
      <c r="A1401" s="18">
        <v>45667.0</v>
      </c>
      <c r="B1401" s="16" t="s">
        <v>11638</v>
      </c>
      <c r="C1401" s="16">
        <v>11.0</v>
      </c>
      <c r="D1401" s="16" t="s">
        <v>10444</v>
      </c>
      <c r="E1401" s="16" t="s">
        <v>707</v>
      </c>
      <c r="F1401" s="16">
        <v>2024.0</v>
      </c>
      <c r="G1401" s="16">
        <v>54.0677</v>
      </c>
      <c r="H1401" s="16">
        <v>9.5272</v>
      </c>
      <c r="I1401" s="15"/>
      <c r="J1401" s="15"/>
    </row>
    <row r="1402">
      <c r="A1402" s="18">
        <v>44656.0</v>
      </c>
      <c r="B1402" s="16" t="s">
        <v>11639</v>
      </c>
      <c r="C1402" s="16">
        <v>10.0</v>
      </c>
      <c r="D1402" s="16" t="s">
        <v>10444</v>
      </c>
      <c r="E1402" s="16" t="s">
        <v>707</v>
      </c>
      <c r="F1402" s="16">
        <v>2016.0</v>
      </c>
      <c r="G1402" s="16">
        <v>53.2742</v>
      </c>
      <c r="H1402" s="16">
        <v>8.3835</v>
      </c>
      <c r="I1402" s="15"/>
      <c r="J1402" s="15"/>
    </row>
    <row r="1403">
      <c r="A1403" s="18">
        <v>45012.0</v>
      </c>
      <c r="B1403" s="16" t="s">
        <v>11639</v>
      </c>
      <c r="C1403" s="16">
        <v>20.0</v>
      </c>
      <c r="D1403" s="16" t="s">
        <v>10444</v>
      </c>
      <c r="E1403" s="16" t="s">
        <v>707</v>
      </c>
      <c r="F1403" s="16">
        <v>2017.0</v>
      </c>
      <c r="G1403" s="16">
        <v>53.2774</v>
      </c>
      <c r="H1403" s="16">
        <v>8.3813</v>
      </c>
      <c r="I1403" s="15"/>
      <c r="J1403" s="15"/>
    </row>
    <row r="1404">
      <c r="A1404" s="18">
        <v>44656.0</v>
      </c>
      <c r="B1404" s="16" t="s">
        <v>11640</v>
      </c>
      <c r="C1404" s="16">
        <v>12.0</v>
      </c>
      <c r="D1404" s="16" t="s">
        <v>10444</v>
      </c>
      <c r="E1404" s="16" t="s">
        <v>707</v>
      </c>
      <c r="F1404" s="16">
        <v>2014.0</v>
      </c>
      <c r="G1404" s="16">
        <v>53.1902</v>
      </c>
      <c r="H1404" s="16">
        <v>8.2667</v>
      </c>
      <c r="I1404" s="15"/>
      <c r="J1404" s="15"/>
    </row>
    <row r="1405">
      <c r="A1405" s="18">
        <v>44656.0</v>
      </c>
      <c r="B1405" s="16" t="s">
        <v>11641</v>
      </c>
      <c r="C1405" s="16">
        <v>12.0</v>
      </c>
      <c r="D1405" s="16" t="s">
        <v>10444</v>
      </c>
      <c r="E1405" s="16" t="s">
        <v>707</v>
      </c>
      <c r="F1405" s="16">
        <v>2010.0</v>
      </c>
      <c r="G1405" s="16">
        <v>52.8853</v>
      </c>
      <c r="H1405" s="16">
        <v>10.919</v>
      </c>
      <c r="I1405" s="15"/>
      <c r="J1405" s="15"/>
    </row>
    <row r="1406">
      <c r="A1406" s="18">
        <v>44999.0</v>
      </c>
      <c r="B1406" s="16" t="s">
        <v>11642</v>
      </c>
      <c r="C1406" s="16">
        <v>17.0</v>
      </c>
      <c r="D1406" s="16" t="s">
        <v>10444</v>
      </c>
      <c r="E1406" s="16" t="s">
        <v>707</v>
      </c>
      <c r="F1406" s="16">
        <v>2022.0</v>
      </c>
      <c r="G1406" s="16">
        <v>53.6037</v>
      </c>
      <c r="H1406" s="16">
        <v>9.2693</v>
      </c>
      <c r="I1406" s="15"/>
      <c r="J1406" s="15"/>
    </row>
    <row r="1407">
      <c r="A1407" s="18">
        <v>44656.0</v>
      </c>
      <c r="B1407" s="16" t="s">
        <v>11643</v>
      </c>
      <c r="C1407" s="16">
        <v>12.0</v>
      </c>
      <c r="D1407" s="16" t="s">
        <v>10444</v>
      </c>
      <c r="E1407" s="16" t="s">
        <v>707</v>
      </c>
      <c r="F1407" s="16">
        <v>2001.0</v>
      </c>
      <c r="G1407" s="16">
        <v>54.3959</v>
      </c>
      <c r="H1407" s="16">
        <v>8.9465</v>
      </c>
      <c r="I1407" s="15"/>
      <c r="J1407" s="15"/>
    </row>
    <row r="1408">
      <c r="A1408" s="18">
        <v>44656.0</v>
      </c>
      <c r="B1408" s="16" t="s">
        <v>11644</v>
      </c>
      <c r="C1408" s="16">
        <v>12.0</v>
      </c>
      <c r="D1408" s="16" t="s">
        <v>10444</v>
      </c>
      <c r="E1408" s="16" t="s">
        <v>707</v>
      </c>
      <c r="F1408" s="16">
        <v>2015.0</v>
      </c>
      <c r="G1408" s="16">
        <v>54.3905</v>
      </c>
      <c r="H1408" s="16">
        <v>8.9386</v>
      </c>
      <c r="I1408" s="15"/>
      <c r="J1408" s="15"/>
    </row>
    <row r="1409">
      <c r="A1409" s="18">
        <v>45667.0</v>
      </c>
      <c r="B1409" s="16" t="s">
        <v>11645</v>
      </c>
      <c r="C1409" s="16">
        <v>24.0</v>
      </c>
      <c r="D1409" s="16" t="s">
        <v>10444</v>
      </c>
      <c r="E1409" s="16" t="s">
        <v>707</v>
      </c>
      <c r="F1409" s="16">
        <v>2024.0</v>
      </c>
      <c r="G1409" s="16">
        <v>51.3103</v>
      </c>
      <c r="H1409" s="16">
        <v>8.4653</v>
      </c>
      <c r="I1409" s="15"/>
      <c r="J1409" s="15"/>
    </row>
    <row r="1410">
      <c r="A1410" s="18">
        <v>44656.0</v>
      </c>
      <c r="B1410" s="16" t="s">
        <v>11646</v>
      </c>
      <c r="C1410" s="16">
        <v>30.0</v>
      </c>
      <c r="D1410" s="16" t="s">
        <v>10444</v>
      </c>
      <c r="E1410" s="16" t="s">
        <v>707</v>
      </c>
      <c r="F1410" s="16">
        <v>2017.0</v>
      </c>
      <c r="G1410" s="16">
        <v>50.3199</v>
      </c>
      <c r="H1410" s="16">
        <v>6.4818</v>
      </c>
      <c r="I1410" s="15"/>
      <c r="J1410" s="15"/>
    </row>
    <row r="1411">
      <c r="A1411" s="18">
        <v>44656.0</v>
      </c>
      <c r="B1411" s="16" t="s">
        <v>11647</v>
      </c>
      <c r="C1411" s="16">
        <v>12.0</v>
      </c>
      <c r="D1411" s="16" t="s">
        <v>10444</v>
      </c>
      <c r="E1411" s="16" t="s">
        <v>707</v>
      </c>
      <c r="F1411" s="16">
        <v>2009.0</v>
      </c>
      <c r="G1411" s="16">
        <v>52.0267</v>
      </c>
      <c r="H1411" s="16">
        <v>11.2278</v>
      </c>
      <c r="I1411" s="15"/>
      <c r="J1411" s="15"/>
    </row>
    <row r="1412">
      <c r="A1412" s="18">
        <v>45029.0</v>
      </c>
      <c r="B1412" s="16" t="s">
        <v>11648</v>
      </c>
      <c r="C1412" s="16">
        <v>13.0</v>
      </c>
      <c r="D1412" s="16" t="s">
        <v>10444</v>
      </c>
      <c r="E1412" s="16" t="s">
        <v>707</v>
      </c>
      <c r="F1412" s="16">
        <v>2021.0</v>
      </c>
      <c r="G1412" s="16">
        <v>54.4478</v>
      </c>
      <c r="H1412" s="16">
        <v>9.2081</v>
      </c>
      <c r="I1412" s="15"/>
      <c r="J1412" s="15"/>
    </row>
    <row r="1413">
      <c r="A1413" s="18">
        <v>44656.0</v>
      </c>
      <c r="B1413" s="16" t="s">
        <v>11649</v>
      </c>
      <c r="C1413" s="16">
        <v>13.0</v>
      </c>
      <c r="D1413" s="16" t="s">
        <v>10444</v>
      </c>
      <c r="E1413" s="16" t="s">
        <v>707</v>
      </c>
      <c r="F1413" s="16">
        <v>2016.0</v>
      </c>
      <c r="G1413" s="16">
        <v>53.9256</v>
      </c>
      <c r="H1413" s="16">
        <v>9.1146</v>
      </c>
      <c r="I1413" s="15"/>
      <c r="J1413" s="15"/>
    </row>
    <row r="1414">
      <c r="A1414" s="18">
        <v>45359.0</v>
      </c>
      <c r="B1414" s="16" t="s">
        <v>11650</v>
      </c>
      <c r="C1414" s="16">
        <v>11.0</v>
      </c>
      <c r="D1414" s="16" t="s">
        <v>10444</v>
      </c>
      <c r="E1414" s="16" t="s">
        <v>707</v>
      </c>
      <c r="F1414" s="16">
        <v>2023.0</v>
      </c>
      <c r="G1414" s="16">
        <v>53.7804</v>
      </c>
      <c r="H1414" s="16">
        <v>8.9571</v>
      </c>
      <c r="I1414" s="15"/>
      <c r="J1414" s="15"/>
    </row>
    <row r="1415">
      <c r="A1415" s="18">
        <v>45377.0</v>
      </c>
      <c r="B1415" s="16" t="s">
        <v>11651</v>
      </c>
      <c r="C1415" s="16">
        <v>21.0</v>
      </c>
      <c r="D1415" s="16" t="s">
        <v>10444</v>
      </c>
      <c r="E1415" s="16" t="s">
        <v>707</v>
      </c>
      <c r="F1415" s="15"/>
      <c r="G1415" s="16">
        <v>52.8146</v>
      </c>
      <c r="H1415" s="16">
        <v>11.6596</v>
      </c>
      <c r="I1415" s="15"/>
      <c r="J1415" s="15"/>
    </row>
    <row r="1416">
      <c r="A1416" s="18">
        <v>44988.0</v>
      </c>
      <c r="B1416" s="16" t="s">
        <v>11652</v>
      </c>
      <c r="C1416" s="16">
        <v>18.0</v>
      </c>
      <c r="D1416" s="16" t="s">
        <v>10444</v>
      </c>
      <c r="E1416" s="16" t="s">
        <v>707</v>
      </c>
      <c r="F1416" s="16">
        <v>2016.0</v>
      </c>
      <c r="G1416" s="16">
        <v>52.4122</v>
      </c>
      <c r="H1416" s="16">
        <v>8.2275</v>
      </c>
      <c r="I1416" s="15"/>
      <c r="J1416" s="15"/>
    </row>
    <row r="1417">
      <c r="A1417" s="18">
        <v>44656.0</v>
      </c>
      <c r="B1417" s="16" t="s">
        <v>11653</v>
      </c>
      <c r="C1417" s="16">
        <v>18.0</v>
      </c>
      <c r="D1417" s="16" t="s">
        <v>10444</v>
      </c>
      <c r="E1417" s="16" t="s">
        <v>707</v>
      </c>
      <c r="F1417" s="15"/>
      <c r="G1417" s="16">
        <v>53.2605</v>
      </c>
      <c r="H1417" s="16">
        <v>8.7435</v>
      </c>
      <c r="I1417" s="15"/>
      <c r="J1417" s="15"/>
    </row>
    <row r="1418">
      <c r="A1418" s="18">
        <v>44656.0</v>
      </c>
      <c r="B1418" s="16" t="s">
        <v>11654</v>
      </c>
      <c r="C1418" s="16">
        <v>25.0</v>
      </c>
      <c r="D1418" s="16" t="s">
        <v>10444</v>
      </c>
      <c r="E1418" s="16" t="s">
        <v>707</v>
      </c>
      <c r="F1418" s="16">
        <v>2003.0</v>
      </c>
      <c r="G1418" s="16">
        <v>53.6261</v>
      </c>
      <c r="H1418" s="16">
        <v>7.2461</v>
      </c>
      <c r="I1418" s="15"/>
      <c r="J1418" s="15"/>
    </row>
    <row r="1419">
      <c r="A1419" s="18">
        <v>44656.0</v>
      </c>
      <c r="B1419" s="16" t="s">
        <v>11655</v>
      </c>
      <c r="C1419" s="16">
        <v>12.0</v>
      </c>
      <c r="D1419" s="16" t="s">
        <v>10444</v>
      </c>
      <c r="E1419" s="16" t="s">
        <v>707</v>
      </c>
      <c r="F1419" s="16">
        <v>2001.0</v>
      </c>
      <c r="G1419" s="16">
        <v>54.3508</v>
      </c>
      <c r="H1419" s="16">
        <v>9.8555</v>
      </c>
      <c r="I1419" s="15"/>
      <c r="J1419" s="15"/>
    </row>
    <row r="1420">
      <c r="A1420" s="18">
        <v>44656.0</v>
      </c>
      <c r="B1420" s="16" t="s">
        <v>11655</v>
      </c>
      <c r="C1420" s="16">
        <v>20.0</v>
      </c>
      <c r="D1420" s="16" t="s">
        <v>10444</v>
      </c>
      <c r="E1420" s="16" t="s">
        <v>707</v>
      </c>
      <c r="F1420" s="16">
        <v>2015.0</v>
      </c>
      <c r="G1420" s="16">
        <v>54.3493</v>
      </c>
      <c r="H1420" s="16">
        <v>9.8578</v>
      </c>
      <c r="I1420" s="15"/>
      <c r="J1420" s="15"/>
    </row>
    <row r="1421">
      <c r="A1421" s="18">
        <v>44656.0</v>
      </c>
      <c r="B1421" s="16" t="s">
        <v>11656</v>
      </c>
      <c r="C1421" s="16">
        <v>12.0</v>
      </c>
      <c r="D1421" s="16" t="s">
        <v>10444</v>
      </c>
      <c r="E1421" s="16" t="s">
        <v>707</v>
      </c>
      <c r="F1421" s="16">
        <v>2015.0</v>
      </c>
      <c r="G1421" s="16">
        <v>54.1184</v>
      </c>
      <c r="H1421" s="16">
        <v>9.5924</v>
      </c>
      <c r="I1421" s="15"/>
      <c r="J1421" s="15"/>
    </row>
    <row r="1422">
      <c r="A1422" s="18">
        <v>44656.0</v>
      </c>
      <c r="B1422" s="16" t="s">
        <v>11657</v>
      </c>
      <c r="C1422" s="16">
        <v>15.0</v>
      </c>
      <c r="D1422" s="16" t="s">
        <v>10444</v>
      </c>
      <c r="E1422" s="16" t="s">
        <v>707</v>
      </c>
      <c r="F1422" s="16">
        <v>2016.0</v>
      </c>
      <c r="G1422" s="16">
        <v>51.8298</v>
      </c>
      <c r="H1422" s="16">
        <v>8.2385</v>
      </c>
      <c r="I1422" s="15"/>
      <c r="J1422" s="15"/>
    </row>
    <row r="1423">
      <c r="A1423" s="18">
        <v>44656.0</v>
      </c>
      <c r="B1423" s="16" t="s">
        <v>11658</v>
      </c>
      <c r="C1423" s="16">
        <v>20.0</v>
      </c>
      <c r="D1423" s="16" t="s">
        <v>10444</v>
      </c>
      <c r="E1423" s="16" t="s">
        <v>707</v>
      </c>
      <c r="F1423" s="16">
        <v>2015.0</v>
      </c>
      <c r="G1423" s="16">
        <v>53.8644</v>
      </c>
      <c r="H1423" s="16">
        <v>12.088</v>
      </c>
      <c r="I1423" s="15"/>
      <c r="J1423" s="15"/>
    </row>
    <row r="1424">
      <c r="A1424" s="18">
        <v>44656.0</v>
      </c>
      <c r="B1424" s="16" t="s">
        <v>11659</v>
      </c>
      <c r="C1424" s="16">
        <v>16.0</v>
      </c>
      <c r="D1424" s="16" t="s">
        <v>10444</v>
      </c>
      <c r="E1424" s="16" t="s">
        <v>707</v>
      </c>
      <c r="F1424" s="16">
        <v>2007.0</v>
      </c>
      <c r="G1424" s="16">
        <v>51.2047</v>
      </c>
      <c r="H1424" s="16">
        <v>10.9879</v>
      </c>
      <c r="I1424" s="15"/>
      <c r="J1424" s="15"/>
    </row>
    <row r="1425">
      <c r="A1425" s="18">
        <v>44656.0</v>
      </c>
      <c r="B1425" s="16" t="s">
        <v>11660</v>
      </c>
      <c r="C1425" s="16">
        <v>17.0</v>
      </c>
      <c r="D1425" s="16" t="s">
        <v>10444</v>
      </c>
      <c r="E1425" s="16" t="s">
        <v>707</v>
      </c>
      <c r="F1425" s="16">
        <v>2017.0</v>
      </c>
      <c r="G1425" s="16">
        <v>49.4044</v>
      </c>
      <c r="H1425" s="16">
        <v>7.285</v>
      </c>
      <c r="I1425" s="15"/>
      <c r="J1425" s="15"/>
    </row>
    <row r="1426">
      <c r="A1426" s="18">
        <v>44656.0</v>
      </c>
      <c r="B1426" s="16" t="s">
        <v>11661</v>
      </c>
      <c r="C1426" s="16">
        <v>12.0</v>
      </c>
      <c r="D1426" s="16" t="s">
        <v>10444</v>
      </c>
      <c r="E1426" s="16" t="s">
        <v>707</v>
      </c>
      <c r="F1426" s="16">
        <v>2001.0</v>
      </c>
      <c r="G1426" s="16">
        <v>54.4122</v>
      </c>
      <c r="H1426" s="16">
        <v>9.5733</v>
      </c>
      <c r="I1426" s="15"/>
      <c r="J1426" s="15"/>
    </row>
    <row r="1427">
      <c r="A1427" s="18">
        <v>45359.0</v>
      </c>
      <c r="B1427" s="16" t="s">
        <v>11662</v>
      </c>
      <c r="C1427" s="16">
        <v>21.0</v>
      </c>
      <c r="D1427" s="16" t="s">
        <v>10444</v>
      </c>
      <c r="E1427" s="16" t="s">
        <v>707</v>
      </c>
      <c r="F1427" s="16">
        <v>2023.0</v>
      </c>
      <c r="G1427" s="16">
        <v>52.6357</v>
      </c>
      <c r="H1427" s="16">
        <v>9.1103</v>
      </c>
      <c r="I1427" s="15"/>
      <c r="J1427" s="15"/>
    </row>
    <row r="1428">
      <c r="A1428" s="18">
        <v>44656.0</v>
      </c>
      <c r="B1428" s="16" t="s">
        <v>11663</v>
      </c>
      <c r="C1428" s="16">
        <v>36.0</v>
      </c>
      <c r="D1428" s="16" t="s">
        <v>10444</v>
      </c>
      <c r="E1428" s="16" t="s">
        <v>707</v>
      </c>
      <c r="F1428" s="16">
        <v>1998.0</v>
      </c>
      <c r="G1428" s="16">
        <v>51.6632</v>
      </c>
      <c r="H1428" s="16">
        <v>8.9314</v>
      </c>
      <c r="I1428" s="15"/>
      <c r="J1428" s="15"/>
    </row>
    <row r="1429">
      <c r="A1429" s="18">
        <v>45359.0</v>
      </c>
      <c r="B1429" s="16" t="s">
        <v>11664</v>
      </c>
      <c r="C1429" s="16">
        <v>14.0</v>
      </c>
      <c r="D1429" s="16" t="s">
        <v>10444</v>
      </c>
      <c r="E1429" s="16" t="s">
        <v>707</v>
      </c>
      <c r="F1429" s="16">
        <v>2023.0</v>
      </c>
      <c r="G1429" s="16">
        <v>52.0411</v>
      </c>
      <c r="H1429" s="16">
        <v>7.5639</v>
      </c>
      <c r="I1429" s="15"/>
      <c r="J1429" s="15"/>
    </row>
    <row r="1430">
      <c r="A1430" s="18">
        <v>44656.0</v>
      </c>
      <c r="B1430" s="16" t="s">
        <v>11665</v>
      </c>
      <c r="C1430" s="16">
        <v>12.0</v>
      </c>
      <c r="D1430" s="16" t="s">
        <v>10444</v>
      </c>
      <c r="E1430" s="16" t="s">
        <v>707</v>
      </c>
      <c r="F1430" s="16">
        <v>2016.0</v>
      </c>
      <c r="G1430" s="16">
        <v>49.4873</v>
      </c>
      <c r="H1430" s="16">
        <v>12.2909</v>
      </c>
      <c r="I1430" s="15"/>
      <c r="J1430" s="15"/>
    </row>
    <row r="1431">
      <c r="A1431" s="18">
        <v>44656.0</v>
      </c>
      <c r="B1431" s="16" t="s">
        <v>11666</v>
      </c>
      <c r="C1431" s="16">
        <v>12.0</v>
      </c>
      <c r="D1431" s="16" t="s">
        <v>10444</v>
      </c>
      <c r="E1431" s="16" t="s">
        <v>707</v>
      </c>
      <c r="F1431" s="16">
        <v>2007.0</v>
      </c>
      <c r="G1431" s="16">
        <v>52.7078</v>
      </c>
      <c r="H1431" s="16">
        <v>8.9739</v>
      </c>
      <c r="I1431" s="15"/>
      <c r="J1431" s="15"/>
    </row>
    <row r="1432">
      <c r="A1432" s="18">
        <v>44656.0</v>
      </c>
      <c r="B1432" s="16" t="s">
        <v>11667</v>
      </c>
      <c r="C1432" s="16">
        <v>23.0</v>
      </c>
      <c r="D1432" s="16" t="s">
        <v>10444</v>
      </c>
      <c r="E1432" s="16" t="s">
        <v>707</v>
      </c>
      <c r="F1432" s="16">
        <v>2016.0</v>
      </c>
      <c r="G1432" s="16">
        <v>53.424</v>
      </c>
      <c r="H1432" s="16">
        <v>11.8962</v>
      </c>
      <c r="I1432" s="15"/>
      <c r="J1432" s="15"/>
    </row>
    <row r="1433">
      <c r="A1433" s="18">
        <v>44656.0</v>
      </c>
      <c r="B1433" s="16" t="s">
        <v>11668</v>
      </c>
      <c r="C1433" s="16">
        <v>24.0</v>
      </c>
      <c r="D1433" s="16" t="s">
        <v>10444</v>
      </c>
      <c r="E1433" s="16" t="s">
        <v>707</v>
      </c>
      <c r="F1433" s="16">
        <v>2014.0</v>
      </c>
      <c r="G1433" s="16">
        <v>53.4246</v>
      </c>
      <c r="H1433" s="16">
        <v>11.8951</v>
      </c>
      <c r="I1433" s="15"/>
      <c r="J1433" s="15"/>
    </row>
    <row r="1434">
      <c r="A1434" s="18">
        <v>44656.0</v>
      </c>
      <c r="B1434" s="16" t="s">
        <v>11669</v>
      </c>
      <c r="C1434" s="16">
        <v>19.0</v>
      </c>
      <c r="D1434" s="16" t="s">
        <v>10444</v>
      </c>
      <c r="E1434" s="16" t="s">
        <v>707</v>
      </c>
      <c r="F1434" s="16">
        <v>2016.0</v>
      </c>
      <c r="G1434" s="16">
        <v>52.3817</v>
      </c>
      <c r="H1434" s="16">
        <v>12.0282</v>
      </c>
      <c r="I1434" s="15"/>
      <c r="J1434" s="15"/>
    </row>
    <row r="1435">
      <c r="A1435" s="18">
        <v>44656.0</v>
      </c>
      <c r="B1435" s="16" t="s">
        <v>11670</v>
      </c>
      <c r="C1435" s="16">
        <v>15.0</v>
      </c>
      <c r="D1435" s="16" t="s">
        <v>10444</v>
      </c>
      <c r="E1435" s="16" t="s">
        <v>707</v>
      </c>
      <c r="F1435" s="16">
        <v>2003.0</v>
      </c>
      <c r="G1435" s="16">
        <v>52.949</v>
      </c>
      <c r="H1435" s="16">
        <v>14.0525</v>
      </c>
      <c r="I1435" s="15"/>
      <c r="J1435" s="15"/>
    </row>
    <row r="1436">
      <c r="A1436" s="18">
        <v>44987.0</v>
      </c>
      <c r="B1436" s="16" t="s">
        <v>11671</v>
      </c>
      <c r="C1436" s="16">
        <v>16.0</v>
      </c>
      <c r="D1436" s="16" t="s">
        <v>10444</v>
      </c>
      <c r="E1436" s="16" t="s">
        <v>707</v>
      </c>
      <c r="F1436" s="16">
        <v>2021.0</v>
      </c>
      <c r="G1436" s="16">
        <v>49.6594</v>
      </c>
      <c r="H1436" s="16">
        <v>6.6741</v>
      </c>
      <c r="I1436" s="15"/>
      <c r="J1436" s="15"/>
    </row>
    <row r="1437">
      <c r="A1437" s="18">
        <v>44656.0</v>
      </c>
      <c r="B1437" s="16" t="s">
        <v>11672</v>
      </c>
      <c r="C1437" s="16">
        <v>18.0</v>
      </c>
      <c r="D1437" s="16" t="s">
        <v>10444</v>
      </c>
      <c r="E1437" s="16" t="s">
        <v>707</v>
      </c>
      <c r="F1437" s="16">
        <v>2015.0</v>
      </c>
      <c r="G1437" s="16">
        <v>49.4897</v>
      </c>
      <c r="H1437" s="16">
        <v>6.4192</v>
      </c>
      <c r="I1437" s="15"/>
      <c r="J1437" s="15"/>
    </row>
    <row r="1438">
      <c r="A1438" s="18">
        <v>44656.0</v>
      </c>
      <c r="B1438" s="16" t="s">
        <v>11673</v>
      </c>
      <c r="C1438" s="16">
        <v>20.0</v>
      </c>
      <c r="D1438" s="16" t="s">
        <v>10444</v>
      </c>
      <c r="E1438" s="16" t="s">
        <v>707</v>
      </c>
      <c r="F1438" s="16">
        <v>2002.0</v>
      </c>
      <c r="G1438" s="16">
        <v>53.066</v>
      </c>
      <c r="H1438" s="16">
        <v>12.0605</v>
      </c>
      <c r="I1438" s="15"/>
      <c r="J1438" s="15"/>
    </row>
    <row r="1439">
      <c r="A1439" s="18">
        <v>45029.0</v>
      </c>
      <c r="B1439" s="16" t="s">
        <v>11674</v>
      </c>
      <c r="C1439" s="16">
        <v>18.0</v>
      </c>
      <c r="D1439" s="16" t="s">
        <v>10444</v>
      </c>
      <c r="E1439" s="16" t="s">
        <v>707</v>
      </c>
      <c r="F1439" s="16">
        <v>2009.0</v>
      </c>
      <c r="G1439" s="16">
        <v>53.457</v>
      </c>
      <c r="H1439" s="16">
        <v>7.0938</v>
      </c>
      <c r="I1439" s="15"/>
      <c r="J1439" s="15"/>
    </row>
    <row r="1440">
      <c r="A1440" s="18">
        <v>44656.0</v>
      </c>
      <c r="B1440" s="16" t="s">
        <v>11675</v>
      </c>
      <c r="C1440" s="16">
        <v>17.0</v>
      </c>
      <c r="D1440" s="16" t="s">
        <v>10444</v>
      </c>
      <c r="E1440" s="16" t="s">
        <v>707</v>
      </c>
      <c r="F1440" s="16">
        <v>2017.0</v>
      </c>
      <c r="G1440" s="16">
        <v>51.9791</v>
      </c>
      <c r="H1440" s="16">
        <v>13.3289</v>
      </c>
      <c r="I1440" s="15"/>
      <c r="J1440" s="15"/>
    </row>
    <row r="1441">
      <c r="A1441" s="18">
        <v>45355.0</v>
      </c>
      <c r="B1441" s="16" t="s">
        <v>11676</v>
      </c>
      <c r="C1441" s="16">
        <v>22.0</v>
      </c>
      <c r="D1441" s="16" t="s">
        <v>10444</v>
      </c>
      <c r="E1441" s="16" t="s">
        <v>707</v>
      </c>
      <c r="F1441" s="16">
        <v>2023.0</v>
      </c>
      <c r="G1441" s="16">
        <v>49.8472</v>
      </c>
      <c r="H1441" s="16">
        <v>7.5955</v>
      </c>
      <c r="I1441" s="15"/>
      <c r="J1441" s="15"/>
    </row>
    <row r="1442">
      <c r="A1442" s="18">
        <v>44998.0</v>
      </c>
      <c r="B1442" s="16" t="s">
        <v>11677</v>
      </c>
      <c r="C1442" s="16">
        <v>21.0</v>
      </c>
      <c r="D1442" s="16" t="s">
        <v>10444</v>
      </c>
      <c r="E1442" s="16" t="s">
        <v>707</v>
      </c>
      <c r="F1442" s="16">
        <v>2018.0</v>
      </c>
      <c r="G1442" s="16">
        <v>49.4741</v>
      </c>
      <c r="H1442" s="16">
        <v>8.5348</v>
      </c>
      <c r="I1442" s="15"/>
      <c r="J1442" s="15"/>
    </row>
    <row r="1443">
      <c r="A1443" s="18">
        <v>44656.0</v>
      </c>
      <c r="B1443" s="16" t="s">
        <v>11678</v>
      </c>
      <c r="C1443" s="16">
        <v>14.0</v>
      </c>
      <c r="D1443" s="16" t="s">
        <v>10444</v>
      </c>
      <c r="E1443" s="16" t="s">
        <v>707</v>
      </c>
      <c r="F1443" s="16">
        <v>2012.0</v>
      </c>
      <c r="G1443" s="16">
        <v>53.0766</v>
      </c>
      <c r="H1443" s="16">
        <v>14.0929</v>
      </c>
      <c r="I1443" s="15"/>
      <c r="J1443" s="15"/>
    </row>
    <row r="1444">
      <c r="A1444" s="18">
        <v>44656.0</v>
      </c>
      <c r="B1444" s="16" t="s">
        <v>11679</v>
      </c>
      <c r="C1444" s="16">
        <v>18.0</v>
      </c>
      <c r="D1444" s="16" t="s">
        <v>10444</v>
      </c>
      <c r="E1444" s="16" t="s">
        <v>707</v>
      </c>
      <c r="F1444" s="15"/>
      <c r="G1444" s="16">
        <v>53.0742</v>
      </c>
      <c r="H1444" s="16">
        <v>14.0819</v>
      </c>
      <c r="I1444" s="15"/>
      <c r="J1444" s="15"/>
    </row>
    <row r="1445">
      <c r="A1445" s="18">
        <v>44656.0</v>
      </c>
      <c r="B1445" s="16" t="s">
        <v>11680</v>
      </c>
      <c r="C1445" s="16">
        <v>10.0</v>
      </c>
      <c r="D1445" s="16" t="s">
        <v>10444</v>
      </c>
      <c r="E1445" s="16" t="s">
        <v>707</v>
      </c>
      <c r="F1445" s="16">
        <v>2006.0</v>
      </c>
      <c r="G1445" s="16">
        <v>53.2218</v>
      </c>
      <c r="H1445" s="16">
        <v>11.8865</v>
      </c>
      <c r="I1445" s="15"/>
      <c r="J1445" s="15"/>
    </row>
    <row r="1446">
      <c r="A1446" s="18">
        <v>44656.0</v>
      </c>
      <c r="B1446" s="16" t="s">
        <v>11681</v>
      </c>
      <c r="C1446" s="16">
        <v>16.0</v>
      </c>
      <c r="D1446" s="16" t="s">
        <v>10444</v>
      </c>
      <c r="E1446" s="16" t="s">
        <v>707</v>
      </c>
      <c r="F1446" s="16">
        <v>2010.0</v>
      </c>
      <c r="G1446" s="16">
        <v>53.5036</v>
      </c>
      <c r="H1446" s="16">
        <v>12.2324</v>
      </c>
      <c r="I1446" s="15"/>
      <c r="J1446" s="15"/>
    </row>
    <row r="1447">
      <c r="A1447" s="18">
        <v>44656.0</v>
      </c>
      <c r="B1447" s="16" t="s">
        <v>11681</v>
      </c>
      <c r="C1447" s="16">
        <v>21.0</v>
      </c>
      <c r="D1447" s="16" t="s">
        <v>10444</v>
      </c>
      <c r="E1447" s="16" t="s">
        <v>707</v>
      </c>
      <c r="F1447" s="16">
        <v>2010.0</v>
      </c>
      <c r="G1447" s="16">
        <v>53.5045</v>
      </c>
      <c r="H1447" s="16">
        <v>12.231</v>
      </c>
      <c r="I1447" s="15"/>
      <c r="J1447" s="15"/>
    </row>
    <row r="1448">
      <c r="A1448" s="18">
        <v>44656.0</v>
      </c>
      <c r="B1448" s="16" t="s">
        <v>11681</v>
      </c>
      <c r="C1448" s="16">
        <v>21.0</v>
      </c>
      <c r="D1448" s="16" t="s">
        <v>10444</v>
      </c>
      <c r="E1448" s="16" t="s">
        <v>707</v>
      </c>
      <c r="F1448" s="16">
        <v>2016.0</v>
      </c>
      <c r="G1448" s="16">
        <v>53.5073</v>
      </c>
      <c r="H1448" s="16">
        <v>12.2419</v>
      </c>
      <c r="I1448" s="15"/>
      <c r="J1448" s="15"/>
    </row>
    <row r="1449">
      <c r="A1449" s="18">
        <v>44656.0</v>
      </c>
      <c r="B1449" s="16" t="s">
        <v>11682</v>
      </c>
      <c r="C1449" s="16">
        <v>15.0</v>
      </c>
      <c r="D1449" s="16" t="s">
        <v>10444</v>
      </c>
      <c r="E1449" s="16" t="s">
        <v>707</v>
      </c>
      <c r="F1449" s="16">
        <v>2016.0</v>
      </c>
      <c r="G1449" s="16">
        <v>51.7309</v>
      </c>
      <c r="H1449" s="16">
        <v>11.6335</v>
      </c>
      <c r="I1449" s="15"/>
      <c r="J1449" s="15"/>
    </row>
    <row r="1450">
      <c r="A1450" s="18">
        <v>44656.0</v>
      </c>
      <c r="B1450" s="16" t="s">
        <v>11683</v>
      </c>
      <c r="C1450" s="16">
        <v>18.0</v>
      </c>
      <c r="D1450" s="16" t="s">
        <v>10444</v>
      </c>
      <c r="E1450" s="16" t="s">
        <v>707</v>
      </c>
      <c r="F1450" s="16">
        <v>2003.0</v>
      </c>
      <c r="G1450" s="16">
        <v>52.4558</v>
      </c>
      <c r="H1450" s="16">
        <v>14.5254</v>
      </c>
      <c r="I1450" s="15"/>
      <c r="J1450" s="15"/>
    </row>
    <row r="1451">
      <c r="A1451" s="18">
        <v>44656.0</v>
      </c>
      <c r="B1451" s="16" t="s">
        <v>11684</v>
      </c>
      <c r="C1451" s="16">
        <v>10.0</v>
      </c>
      <c r="D1451" s="16" t="s">
        <v>10444</v>
      </c>
      <c r="E1451" s="16" t="s">
        <v>707</v>
      </c>
      <c r="F1451" s="16">
        <v>2012.0</v>
      </c>
      <c r="G1451" s="16">
        <v>50.2994</v>
      </c>
      <c r="H1451" s="16">
        <v>7.2587</v>
      </c>
      <c r="I1451" s="15"/>
      <c r="J1451" s="15"/>
    </row>
    <row r="1452">
      <c r="A1452" s="18">
        <v>44656.0</v>
      </c>
      <c r="B1452" s="16" t="s">
        <v>11685</v>
      </c>
      <c r="C1452" s="16">
        <v>18.0</v>
      </c>
      <c r="D1452" s="16" t="s">
        <v>10444</v>
      </c>
      <c r="E1452" s="16" t="s">
        <v>707</v>
      </c>
      <c r="F1452" s="16">
        <v>2016.0</v>
      </c>
      <c r="G1452" s="16">
        <v>48.254</v>
      </c>
      <c r="H1452" s="16">
        <v>8.1106</v>
      </c>
      <c r="I1452" s="15"/>
      <c r="J1452" s="15"/>
    </row>
    <row r="1453">
      <c r="A1453" s="18">
        <v>44656.0</v>
      </c>
      <c r="B1453" s="16" t="s">
        <v>11686</v>
      </c>
      <c r="C1453" s="16">
        <v>18.0</v>
      </c>
      <c r="D1453" s="16" t="s">
        <v>10444</v>
      </c>
      <c r="E1453" s="16" t="s">
        <v>707</v>
      </c>
      <c r="F1453" s="16">
        <v>2004.0</v>
      </c>
      <c r="G1453" s="16">
        <v>53.1366</v>
      </c>
      <c r="H1453" s="16">
        <v>11.8116</v>
      </c>
      <c r="I1453" s="15"/>
      <c r="J1453" s="15"/>
    </row>
    <row r="1454">
      <c r="A1454" s="18">
        <v>44656.0</v>
      </c>
      <c r="B1454" s="16" t="s">
        <v>11686</v>
      </c>
      <c r="C1454" s="16">
        <v>10.0</v>
      </c>
      <c r="D1454" s="16" t="s">
        <v>10444</v>
      </c>
      <c r="E1454" s="16" t="s">
        <v>707</v>
      </c>
      <c r="F1454" s="16">
        <v>2009.0</v>
      </c>
      <c r="G1454" s="16">
        <v>53.1393</v>
      </c>
      <c r="H1454" s="16">
        <v>11.8088</v>
      </c>
      <c r="I1454" s="15"/>
      <c r="J1454" s="15"/>
    </row>
    <row r="1455">
      <c r="A1455" s="18">
        <v>45359.0</v>
      </c>
      <c r="B1455" s="16" t="s">
        <v>11687</v>
      </c>
      <c r="C1455" s="16">
        <v>22.0</v>
      </c>
      <c r="D1455" s="16" t="s">
        <v>10444</v>
      </c>
      <c r="E1455" s="16" t="s">
        <v>707</v>
      </c>
      <c r="F1455" s="16">
        <v>2023.0</v>
      </c>
      <c r="G1455" s="16">
        <v>53.1411</v>
      </c>
      <c r="H1455" s="16">
        <v>11.8379</v>
      </c>
      <c r="I1455" s="15"/>
      <c r="J1455" s="15"/>
    </row>
    <row r="1456">
      <c r="A1456" s="18">
        <v>44656.0</v>
      </c>
      <c r="B1456" s="16" t="s">
        <v>11688</v>
      </c>
      <c r="C1456" s="16">
        <v>10.0</v>
      </c>
      <c r="D1456" s="16" t="s">
        <v>10444</v>
      </c>
      <c r="E1456" s="16" t="s">
        <v>707</v>
      </c>
      <c r="F1456" s="16">
        <v>2005.0</v>
      </c>
      <c r="G1456" s="16">
        <v>53.3422</v>
      </c>
      <c r="H1456" s="16">
        <v>13.8918</v>
      </c>
      <c r="I1456" s="15"/>
      <c r="J1456" s="15"/>
    </row>
    <row r="1457">
      <c r="A1457" s="18">
        <v>44656.0</v>
      </c>
      <c r="B1457" s="16" t="s">
        <v>11689</v>
      </c>
      <c r="C1457" s="16">
        <v>39.0</v>
      </c>
      <c r="D1457" s="16" t="s">
        <v>10444</v>
      </c>
      <c r="E1457" s="16" t="s">
        <v>707</v>
      </c>
      <c r="F1457" s="16">
        <v>2007.0</v>
      </c>
      <c r="G1457" s="16">
        <v>54.4842</v>
      </c>
      <c r="H1457" s="16">
        <v>11.225</v>
      </c>
      <c r="I1457" s="15"/>
      <c r="J1457" s="15"/>
    </row>
    <row r="1458">
      <c r="A1458" s="18">
        <v>44656.0</v>
      </c>
      <c r="B1458" s="16" t="s">
        <v>11690</v>
      </c>
      <c r="C1458" s="16">
        <v>10.0</v>
      </c>
      <c r="D1458" s="16" t="s">
        <v>10444</v>
      </c>
      <c r="E1458" s="16" t="s">
        <v>707</v>
      </c>
      <c r="F1458" s="16">
        <v>2006.0</v>
      </c>
      <c r="G1458" s="16">
        <v>51.6784</v>
      </c>
      <c r="H1458" s="16">
        <v>12.9488</v>
      </c>
      <c r="I1458" s="15"/>
      <c r="J1458" s="15"/>
    </row>
    <row r="1459">
      <c r="A1459" s="18">
        <v>44656.0</v>
      </c>
      <c r="B1459" s="16" t="s">
        <v>11690</v>
      </c>
      <c r="C1459" s="16">
        <v>10.0</v>
      </c>
      <c r="D1459" s="16" t="s">
        <v>10444</v>
      </c>
      <c r="E1459" s="16" t="s">
        <v>707</v>
      </c>
      <c r="F1459" s="16">
        <v>2006.0</v>
      </c>
      <c r="G1459" s="16">
        <v>51.411</v>
      </c>
      <c r="H1459" s="16">
        <v>12.5714</v>
      </c>
      <c r="I1459" s="15"/>
      <c r="J1459" s="15"/>
    </row>
    <row r="1460">
      <c r="A1460" s="18">
        <v>44656.0</v>
      </c>
      <c r="B1460" s="16" t="s">
        <v>11691</v>
      </c>
      <c r="C1460" s="16">
        <v>26.0</v>
      </c>
      <c r="D1460" s="16" t="s">
        <v>10444</v>
      </c>
      <c r="E1460" s="16" t="s">
        <v>707</v>
      </c>
      <c r="F1460" s="16">
        <v>2005.0</v>
      </c>
      <c r="G1460" s="16">
        <v>52.3568</v>
      </c>
      <c r="H1460" s="16">
        <v>13.8817</v>
      </c>
      <c r="I1460" s="15"/>
      <c r="J1460" s="15"/>
    </row>
    <row r="1461">
      <c r="A1461" s="18">
        <v>44656.0</v>
      </c>
      <c r="B1461" s="16" t="s">
        <v>11692</v>
      </c>
      <c r="C1461" s="16">
        <v>12.0</v>
      </c>
      <c r="D1461" s="16" t="s">
        <v>10444</v>
      </c>
      <c r="E1461" s="16" t="s">
        <v>707</v>
      </c>
      <c r="F1461" s="16">
        <v>2005.0</v>
      </c>
      <c r="G1461" s="16">
        <v>52.9302</v>
      </c>
      <c r="H1461" s="16">
        <v>8.5481</v>
      </c>
      <c r="I1461" s="15"/>
      <c r="J1461" s="15"/>
    </row>
    <row r="1462">
      <c r="A1462" s="18">
        <v>44656.0</v>
      </c>
      <c r="B1462" s="16" t="s">
        <v>11693</v>
      </c>
      <c r="C1462" s="16">
        <v>10.0</v>
      </c>
      <c r="D1462" s="16" t="s">
        <v>10444</v>
      </c>
      <c r="E1462" s="16" t="s">
        <v>707</v>
      </c>
      <c r="F1462" s="16">
        <v>2014.0</v>
      </c>
      <c r="G1462" s="16">
        <v>53.1214</v>
      </c>
      <c r="H1462" s="16">
        <v>12.1269</v>
      </c>
      <c r="I1462" s="15"/>
      <c r="J1462" s="15"/>
    </row>
    <row r="1463">
      <c r="A1463" s="18">
        <v>44656.0</v>
      </c>
      <c r="B1463" s="16" t="s">
        <v>11694</v>
      </c>
      <c r="C1463" s="16">
        <v>29.0</v>
      </c>
      <c r="D1463" s="16" t="s">
        <v>10444</v>
      </c>
      <c r="E1463" s="16" t="s">
        <v>707</v>
      </c>
      <c r="F1463" s="16">
        <v>2017.0</v>
      </c>
      <c r="G1463" s="16">
        <v>51.1428</v>
      </c>
      <c r="H1463" s="16">
        <v>12.1631</v>
      </c>
      <c r="I1463" s="15"/>
      <c r="J1463" s="15"/>
    </row>
    <row r="1464">
      <c r="A1464" s="18">
        <v>45029.0</v>
      </c>
      <c r="B1464" s="16" t="s">
        <v>11695</v>
      </c>
      <c r="C1464" s="16">
        <v>18.0</v>
      </c>
      <c r="D1464" s="16" t="s">
        <v>10444</v>
      </c>
      <c r="E1464" s="16" t="s">
        <v>707</v>
      </c>
      <c r="F1464" s="16">
        <v>2016.0</v>
      </c>
      <c r="G1464" s="16">
        <v>53.9417</v>
      </c>
      <c r="H1464" s="16">
        <v>10.5457</v>
      </c>
      <c r="I1464" s="15"/>
      <c r="J1464" s="15"/>
    </row>
    <row r="1465">
      <c r="A1465" s="18">
        <v>44656.0</v>
      </c>
      <c r="B1465" s="16" t="s">
        <v>11696</v>
      </c>
      <c r="C1465" s="16">
        <v>11.0</v>
      </c>
      <c r="D1465" s="16" t="s">
        <v>10444</v>
      </c>
      <c r="E1465" s="16" t="s">
        <v>707</v>
      </c>
      <c r="F1465" s="16">
        <v>2013.0</v>
      </c>
      <c r="G1465" s="16">
        <v>51.5442</v>
      </c>
      <c r="H1465" s="16">
        <v>14.1684</v>
      </c>
      <c r="I1465" s="15"/>
      <c r="J1465" s="15"/>
    </row>
    <row r="1466">
      <c r="A1466" s="18">
        <v>44656.0</v>
      </c>
      <c r="B1466" s="16" t="s">
        <v>11697</v>
      </c>
      <c r="C1466" s="16">
        <v>20.0</v>
      </c>
      <c r="D1466" s="16" t="s">
        <v>10444</v>
      </c>
      <c r="E1466" s="16" t="s">
        <v>707</v>
      </c>
      <c r="F1466" s="16">
        <v>2007.0</v>
      </c>
      <c r="G1466" s="16">
        <v>53.1971</v>
      </c>
      <c r="H1466" s="16">
        <v>11.5655</v>
      </c>
      <c r="I1466" s="15"/>
      <c r="J1466" s="15"/>
    </row>
    <row r="1467">
      <c r="A1467" s="18">
        <v>45353.0</v>
      </c>
      <c r="B1467" s="16" t="s">
        <v>11698</v>
      </c>
      <c r="C1467" s="16">
        <v>14.0</v>
      </c>
      <c r="D1467" s="16" t="s">
        <v>10444</v>
      </c>
      <c r="E1467" s="16" t="s">
        <v>707</v>
      </c>
      <c r="F1467" s="16">
        <v>2006.0</v>
      </c>
      <c r="G1467" s="16">
        <v>52.6445</v>
      </c>
      <c r="H1467" s="16">
        <v>14.0146</v>
      </c>
      <c r="I1467" s="15"/>
      <c r="J1467" s="15"/>
    </row>
    <row r="1468">
      <c r="A1468" s="18">
        <v>45667.0</v>
      </c>
      <c r="B1468" s="16" t="s">
        <v>11698</v>
      </c>
      <c r="C1468" s="16">
        <v>38.0</v>
      </c>
      <c r="D1468" s="16" t="s">
        <v>10444</v>
      </c>
      <c r="E1468" s="16" t="s">
        <v>707</v>
      </c>
      <c r="F1468" s="16">
        <v>2024.0</v>
      </c>
      <c r="G1468" s="16">
        <v>52.6541</v>
      </c>
      <c r="H1468" s="16">
        <v>13.9861</v>
      </c>
      <c r="I1468" s="15"/>
      <c r="J1468" s="15"/>
    </row>
    <row r="1469">
      <c r="A1469" s="18">
        <v>44656.0</v>
      </c>
      <c r="B1469" s="16" t="s">
        <v>11699</v>
      </c>
      <c r="C1469" s="16">
        <v>14.0</v>
      </c>
      <c r="D1469" s="16" t="s">
        <v>10444</v>
      </c>
      <c r="E1469" s="16" t="s">
        <v>707</v>
      </c>
      <c r="F1469" s="16">
        <v>2002.0</v>
      </c>
      <c r="G1469" s="16">
        <v>52.3368</v>
      </c>
      <c r="H1469" s="16">
        <v>12.6255</v>
      </c>
      <c r="I1469" s="15"/>
      <c r="J1469" s="15"/>
    </row>
    <row r="1470">
      <c r="A1470" s="18">
        <v>44656.0</v>
      </c>
      <c r="B1470" s="16" t="s">
        <v>11700</v>
      </c>
      <c r="C1470" s="16">
        <v>17.0</v>
      </c>
      <c r="D1470" s="16" t="s">
        <v>10444</v>
      </c>
      <c r="E1470" s="16" t="s">
        <v>707</v>
      </c>
      <c r="F1470" s="16">
        <v>1999.0</v>
      </c>
      <c r="G1470" s="16">
        <v>54.0703</v>
      </c>
      <c r="H1470" s="16">
        <v>9.5326</v>
      </c>
      <c r="I1470" s="15"/>
      <c r="J1470" s="15"/>
    </row>
    <row r="1471">
      <c r="A1471" s="18">
        <v>44988.0</v>
      </c>
      <c r="B1471" s="16" t="s">
        <v>11701</v>
      </c>
      <c r="C1471" s="16">
        <v>20.0</v>
      </c>
      <c r="D1471" s="16" t="s">
        <v>10444</v>
      </c>
      <c r="E1471" s="16" t="s">
        <v>707</v>
      </c>
      <c r="F1471" s="16">
        <v>2017.0</v>
      </c>
      <c r="G1471" s="16">
        <v>51.2422</v>
      </c>
      <c r="H1471" s="16">
        <v>14.3016</v>
      </c>
      <c r="I1471" s="15"/>
      <c r="J1471" s="15"/>
    </row>
    <row r="1472">
      <c r="A1472" s="18">
        <v>44656.0</v>
      </c>
      <c r="B1472" s="16" t="s">
        <v>11702</v>
      </c>
      <c r="C1472" s="16">
        <v>10.0</v>
      </c>
      <c r="D1472" s="16" t="s">
        <v>10444</v>
      </c>
      <c r="E1472" s="16" t="s">
        <v>707</v>
      </c>
      <c r="F1472" s="16">
        <v>2004.0</v>
      </c>
      <c r="G1472" s="16">
        <v>53.1825</v>
      </c>
      <c r="H1472" s="16">
        <v>12.1246</v>
      </c>
      <c r="I1472" s="15"/>
      <c r="J1472" s="15"/>
    </row>
    <row r="1473">
      <c r="A1473" s="18">
        <v>44656.0</v>
      </c>
      <c r="B1473" s="16" t="s">
        <v>11703</v>
      </c>
      <c r="C1473" s="16">
        <v>62.0</v>
      </c>
      <c r="D1473" s="16" t="s">
        <v>10444</v>
      </c>
      <c r="E1473" s="16" t="s">
        <v>707</v>
      </c>
      <c r="F1473" s="16">
        <v>2004.0</v>
      </c>
      <c r="G1473" s="16">
        <v>53.2507</v>
      </c>
      <c r="H1473" s="16">
        <v>12.0407</v>
      </c>
      <c r="I1473" s="15"/>
      <c r="J1473" s="15"/>
    </row>
    <row r="1474">
      <c r="A1474" s="18">
        <v>44656.0</v>
      </c>
      <c r="B1474" s="16" t="s">
        <v>11704</v>
      </c>
      <c r="C1474" s="16">
        <v>25.0</v>
      </c>
      <c r="D1474" s="16" t="s">
        <v>10444</v>
      </c>
      <c r="E1474" s="16" t="s">
        <v>707</v>
      </c>
      <c r="F1474" s="16">
        <v>2017.0</v>
      </c>
      <c r="G1474" s="16">
        <v>52.0336</v>
      </c>
      <c r="H1474" s="16">
        <v>6.9836</v>
      </c>
      <c r="I1474" s="15"/>
      <c r="J1474" s="15"/>
    </row>
    <row r="1475">
      <c r="A1475" s="18">
        <v>44656.0</v>
      </c>
      <c r="B1475" s="16" t="s">
        <v>11705</v>
      </c>
      <c r="C1475" s="16">
        <v>14.0</v>
      </c>
      <c r="D1475" s="16" t="s">
        <v>10444</v>
      </c>
      <c r="E1475" s="16" t="s">
        <v>707</v>
      </c>
      <c r="F1475" s="16">
        <v>2001.0</v>
      </c>
      <c r="G1475" s="16">
        <v>53.9699</v>
      </c>
      <c r="H1475" s="16">
        <v>9.7675</v>
      </c>
      <c r="I1475" s="15"/>
      <c r="J1475" s="15"/>
    </row>
    <row r="1476">
      <c r="A1476" s="18">
        <v>44656.0</v>
      </c>
      <c r="B1476" s="16" t="s">
        <v>11705</v>
      </c>
      <c r="C1476" s="16">
        <v>10.0</v>
      </c>
      <c r="D1476" s="16" t="s">
        <v>10444</v>
      </c>
      <c r="E1476" s="16" t="s">
        <v>707</v>
      </c>
      <c r="F1476" s="16">
        <v>2011.0</v>
      </c>
      <c r="G1476" s="16">
        <v>53.9709</v>
      </c>
      <c r="H1476" s="16">
        <v>9.7675</v>
      </c>
      <c r="I1476" s="15"/>
      <c r="J1476" s="15"/>
    </row>
    <row r="1477">
      <c r="A1477" s="18">
        <v>44656.0</v>
      </c>
      <c r="B1477" s="16" t="s">
        <v>11706</v>
      </c>
      <c r="C1477" s="16">
        <v>13.0</v>
      </c>
      <c r="D1477" s="16" t="s">
        <v>10444</v>
      </c>
      <c r="E1477" s="16" t="s">
        <v>707</v>
      </c>
      <c r="F1477" s="16">
        <v>2003.0</v>
      </c>
      <c r="G1477" s="16">
        <v>51.4878</v>
      </c>
      <c r="H1477" s="16">
        <v>12.1418</v>
      </c>
      <c r="I1477" s="15"/>
      <c r="J1477" s="15"/>
    </row>
    <row r="1478">
      <c r="A1478" s="18">
        <v>45355.0</v>
      </c>
      <c r="B1478" s="16" t="s">
        <v>11707</v>
      </c>
      <c r="C1478" s="16">
        <v>15.0</v>
      </c>
      <c r="D1478" s="16" t="s">
        <v>10444</v>
      </c>
      <c r="E1478" s="16" t="s">
        <v>707</v>
      </c>
      <c r="F1478" s="16">
        <v>2023.0</v>
      </c>
      <c r="G1478" s="16">
        <v>51.7856</v>
      </c>
      <c r="H1478" s="16">
        <v>12.1075</v>
      </c>
      <c r="I1478" s="15"/>
      <c r="J1478" s="15"/>
    </row>
    <row r="1479">
      <c r="A1479" s="18">
        <v>44656.0</v>
      </c>
      <c r="B1479" s="16" t="s">
        <v>11708</v>
      </c>
      <c r="C1479" s="16">
        <v>12.0</v>
      </c>
      <c r="D1479" s="16" t="s">
        <v>10444</v>
      </c>
      <c r="E1479" s="16" t="s">
        <v>707</v>
      </c>
      <c r="F1479" s="16">
        <v>2000.0</v>
      </c>
      <c r="G1479" s="16">
        <v>51.7129</v>
      </c>
      <c r="H1479" s="16">
        <v>11.4643</v>
      </c>
      <c r="I1479" s="15"/>
      <c r="J1479" s="15"/>
    </row>
    <row r="1480">
      <c r="A1480" s="18">
        <v>45364.0</v>
      </c>
      <c r="B1480" s="16" t="s">
        <v>11709</v>
      </c>
      <c r="C1480" s="16">
        <v>14.0</v>
      </c>
      <c r="D1480" s="16" t="s">
        <v>10444</v>
      </c>
      <c r="E1480" s="16" t="s">
        <v>707</v>
      </c>
      <c r="F1480" s="16">
        <v>2002.0</v>
      </c>
      <c r="G1480" s="16">
        <v>52.5948</v>
      </c>
      <c r="H1480" s="16">
        <v>11.6473</v>
      </c>
      <c r="I1480" s="15"/>
      <c r="J1480" s="15"/>
    </row>
    <row r="1481">
      <c r="A1481" s="18">
        <v>45667.0</v>
      </c>
      <c r="B1481" s="16" t="s">
        <v>11709</v>
      </c>
      <c r="C1481" s="16">
        <v>17.0</v>
      </c>
      <c r="D1481" s="16" t="s">
        <v>10444</v>
      </c>
      <c r="E1481" s="16" t="s">
        <v>707</v>
      </c>
      <c r="F1481" s="16">
        <v>2024.0</v>
      </c>
      <c r="G1481" s="16">
        <v>52.5936</v>
      </c>
      <c r="H1481" s="16">
        <v>11.6432</v>
      </c>
      <c r="I1481" s="15"/>
      <c r="J1481" s="15"/>
    </row>
    <row r="1482">
      <c r="A1482" s="18">
        <v>44656.0</v>
      </c>
      <c r="B1482" s="16" t="s">
        <v>11710</v>
      </c>
      <c r="C1482" s="16">
        <v>24.0</v>
      </c>
      <c r="D1482" s="16" t="s">
        <v>10444</v>
      </c>
      <c r="E1482" s="16" t="s">
        <v>707</v>
      </c>
      <c r="F1482" s="16">
        <v>2009.0</v>
      </c>
      <c r="G1482" s="16">
        <v>53.1001</v>
      </c>
      <c r="H1482" s="16">
        <v>11.7952</v>
      </c>
      <c r="I1482" s="15"/>
      <c r="J1482" s="15"/>
    </row>
    <row r="1483">
      <c r="A1483" s="18">
        <v>45371.0</v>
      </c>
      <c r="B1483" s="16" t="s">
        <v>11711</v>
      </c>
      <c r="C1483" s="16">
        <v>14.0</v>
      </c>
      <c r="D1483" s="16" t="s">
        <v>10444</v>
      </c>
      <c r="E1483" s="16" t="s">
        <v>707</v>
      </c>
      <c r="F1483" s="16">
        <v>2022.0</v>
      </c>
      <c r="G1483" s="16">
        <v>53.7368</v>
      </c>
      <c r="H1483" s="16">
        <v>9.5951</v>
      </c>
      <c r="I1483" s="15"/>
      <c r="J1483" s="15"/>
    </row>
    <row r="1484">
      <c r="A1484" s="18">
        <v>44656.0</v>
      </c>
      <c r="B1484" s="16" t="s">
        <v>11712</v>
      </c>
      <c r="C1484" s="16">
        <v>15.0</v>
      </c>
      <c r="D1484" s="16" t="s">
        <v>10444</v>
      </c>
      <c r="E1484" s="16" t="s">
        <v>707</v>
      </c>
      <c r="F1484" s="16">
        <v>2015.0</v>
      </c>
      <c r="G1484" s="16">
        <v>50.6538</v>
      </c>
      <c r="H1484" s="16">
        <v>8.9222</v>
      </c>
      <c r="I1484" s="15"/>
      <c r="J1484" s="15"/>
    </row>
    <row r="1485">
      <c r="A1485" s="18">
        <v>45362.0</v>
      </c>
      <c r="B1485" s="16" t="s">
        <v>11713</v>
      </c>
      <c r="C1485" s="16">
        <v>21.0</v>
      </c>
      <c r="D1485" s="16" t="s">
        <v>10444</v>
      </c>
      <c r="E1485" s="16" t="s">
        <v>707</v>
      </c>
      <c r="F1485" s="16">
        <v>2023.0</v>
      </c>
      <c r="G1485" s="16">
        <v>53.9546</v>
      </c>
      <c r="H1485" s="16">
        <v>11.8667</v>
      </c>
      <c r="I1485" s="15"/>
      <c r="J1485" s="15"/>
    </row>
    <row r="1486">
      <c r="A1486" s="18">
        <v>45359.0</v>
      </c>
      <c r="B1486" s="16" t="s">
        <v>11714</v>
      </c>
      <c r="C1486" s="16">
        <v>17.0</v>
      </c>
      <c r="D1486" s="16" t="s">
        <v>10444</v>
      </c>
      <c r="E1486" s="16" t="s">
        <v>707</v>
      </c>
      <c r="F1486" s="16">
        <v>2023.0</v>
      </c>
      <c r="G1486" s="16">
        <v>51.4522</v>
      </c>
      <c r="H1486" s="16">
        <v>8.6794</v>
      </c>
      <c r="I1486" s="15"/>
      <c r="J1486" s="15"/>
    </row>
    <row r="1487">
      <c r="A1487" s="18">
        <v>44656.0</v>
      </c>
      <c r="B1487" s="16" t="s">
        <v>11715</v>
      </c>
      <c r="C1487" s="16">
        <v>13.0</v>
      </c>
      <c r="D1487" s="16" t="s">
        <v>10444</v>
      </c>
      <c r="E1487" s="16" t="s">
        <v>707</v>
      </c>
      <c r="F1487" s="16">
        <v>2000.0</v>
      </c>
      <c r="G1487" s="16">
        <v>54.063</v>
      </c>
      <c r="H1487" s="16">
        <v>13.0626</v>
      </c>
      <c r="I1487" s="15"/>
      <c r="J1487" s="15"/>
    </row>
    <row r="1488">
      <c r="A1488" s="18">
        <v>44656.0</v>
      </c>
      <c r="B1488" s="16" t="s">
        <v>11715</v>
      </c>
      <c r="C1488" s="16">
        <v>18.0</v>
      </c>
      <c r="D1488" s="16" t="s">
        <v>10444</v>
      </c>
      <c r="E1488" s="16" t="s">
        <v>707</v>
      </c>
      <c r="F1488" s="16">
        <v>2012.0</v>
      </c>
      <c r="G1488" s="16">
        <v>54.0658</v>
      </c>
      <c r="H1488" s="16">
        <v>13.0612</v>
      </c>
      <c r="I1488" s="15"/>
      <c r="J1488" s="15"/>
    </row>
    <row r="1489">
      <c r="A1489" s="18">
        <v>45029.0</v>
      </c>
      <c r="B1489" s="16" t="s">
        <v>11716</v>
      </c>
      <c r="C1489" s="16">
        <v>19.0</v>
      </c>
      <c r="D1489" s="16" t="s">
        <v>10444</v>
      </c>
      <c r="E1489" s="16" t="s">
        <v>707</v>
      </c>
      <c r="F1489" s="16">
        <v>2017.0</v>
      </c>
      <c r="G1489" s="16">
        <v>51.0167</v>
      </c>
      <c r="H1489" s="16">
        <v>6.1512</v>
      </c>
      <c r="I1489" s="15"/>
      <c r="J1489" s="15"/>
    </row>
    <row r="1490">
      <c r="A1490" s="18">
        <v>44656.0</v>
      </c>
      <c r="B1490" s="16" t="s">
        <v>11717</v>
      </c>
      <c r="C1490" s="16">
        <v>16.0</v>
      </c>
      <c r="D1490" s="16" t="s">
        <v>10444</v>
      </c>
      <c r="E1490" s="16" t="s">
        <v>707</v>
      </c>
      <c r="F1490" s="16">
        <v>2003.0</v>
      </c>
      <c r="G1490" s="16">
        <v>53.267</v>
      </c>
      <c r="H1490" s="16">
        <v>14.051</v>
      </c>
      <c r="I1490" s="15"/>
      <c r="J1490" s="15"/>
    </row>
    <row r="1491">
      <c r="A1491" s="18">
        <v>44656.0</v>
      </c>
      <c r="B1491" s="16" t="s">
        <v>11717</v>
      </c>
      <c r="C1491" s="16">
        <v>12.0</v>
      </c>
      <c r="D1491" s="16" t="s">
        <v>10444</v>
      </c>
      <c r="E1491" s="16" t="s">
        <v>707</v>
      </c>
      <c r="F1491" s="16">
        <v>2003.0</v>
      </c>
      <c r="G1491" s="16">
        <v>53.2665</v>
      </c>
      <c r="H1491" s="16">
        <v>14.051</v>
      </c>
      <c r="I1491" s="15"/>
      <c r="J1491" s="15"/>
    </row>
    <row r="1492">
      <c r="A1492" s="18">
        <v>44656.0</v>
      </c>
      <c r="B1492" s="16" t="s">
        <v>11717</v>
      </c>
      <c r="C1492" s="16">
        <v>15.0</v>
      </c>
      <c r="D1492" s="16" t="s">
        <v>10444</v>
      </c>
      <c r="E1492" s="16" t="s">
        <v>707</v>
      </c>
      <c r="F1492" s="16">
        <v>2003.0</v>
      </c>
      <c r="G1492" s="16">
        <v>53.2665</v>
      </c>
      <c r="H1492" s="16">
        <v>14.051</v>
      </c>
      <c r="I1492" s="15"/>
      <c r="J1492" s="15"/>
    </row>
    <row r="1493">
      <c r="A1493" s="18">
        <v>44656.0</v>
      </c>
      <c r="B1493" s="16" t="s">
        <v>11717</v>
      </c>
      <c r="C1493" s="16">
        <v>24.0</v>
      </c>
      <c r="D1493" s="16" t="s">
        <v>10444</v>
      </c>
      <c r="E1493" s="16" t="s">
        <v>707</v>
      </c>
      <c r="F1493" s="16">
        <v>2004.0</v>
      </c>
      <c r="G1493" s="16">
        <v>53.2665</v>
      </c>
      <c r="H1493" s="16">
        <v>14.051</v>
      </c>
      <c r="I1493" s="15"/>
      <c r="J1493" s="15"/>
    </row>
    <row r="1494">
      <c r="A1494" s="18">
        <v>44656.0</v>
      </c>
      <c r="B1494" s="16" t="s">
        <v>11718</v>
      </c>
      <c r="C1494" s="16">
        <v>19.0</v>
      </c>
      <c r="D1494" s="16" t="s">
        <v>10444</v>
      </c>
      <c r="E1494" s="16" t="s">
        <v>707</v>
      </c>
      <c r="F1494" s="16">
        <v>2015.0</v>
      </c>
      <c r="G1494" s="16">
        <v>54.4689</v>
      </c>
      <c r="H1494" s="16">
        <v>9.1632</v>
      </c>
      <c r="I1494" s="15"/>
      <c r="J1494" s="15"/>
    </row>
    <row r="1495">
      <c r="A1495" s="18">
        <v>45362.0</v>
      </c>
      <c r="B1495" s="16" t="s">
        <v>11718</v>
      </c>
      <c r="C1495" s="16">
        <v>14.0</v>
      </c>
      <c r="D1495" s="16" t="s">
        <v>10444</v>
      </c>
      <c r="E1495" s="16" t="s">
        <v>707</v>
      </c>
      <c r="F1495" s="16">
        <v>2023.0</v>
      </c>
      <c r="G1495" s="16">
        <v>54.4606</v>
      </c>
      <c r="H1495" s="16">
        <v>9.1432</v>
      </c>
      <c r="I1495" s="15"/>
      <c r="J1495" s="15"/>
    </row>
    <row r="1496">
      <c r="A1496" s="18">
        <v>45362.0</v>
      </c>
      <c r="B1496" s="16" t="s">
        <v>11719</v>
      </c>
      <c r="C1496" s="16">
        <v>17.0</v>
      </c>
      <c r="D1496" s="16" t="s">
        <v>10444</v>
      </c>
      <c r="E1496" s="16" t="s">
        <v>707</v>
      </c>
      <c r="F1496" s="16">
        <v>2023.0</v>
      </c>
      <c r="G1496" s="16">
        <v>53.2083</v>
      </c>
      <c r="H1496" s="16">
        <v>12.2515</v>
      </c>
      <c r="I1496" s="15"/>
      <c r="J1496" s="15"/>
    </row>
    <row r="1497">
      <c r="A1497" s="18">
        <v>44656.0</v>
      </c>
      <c r="B1497" s="16" t="s">
        <v>11720</v>
      </c>
      <c r="C1497" s="16">
        <v>10.0</v>
      </c>
      <c r="D1497" s="16" t="s">
        <v>10444</v>
      </c>
      <c r="E1497" s="16" t="s">
        <v>707</v>
      </c>
      <c r="F1497" s="16">
        <v>2019.0</v>
      </c>
      <c r="G1497" s="16">
        <v>49.6792</v>
      </c>
      <c r="H1497" s="16">
        <v>6.9232</v>
      </c>
      <c r="I1497" s="15"/>
      <c r="J1497" s="15"/>
    </row>
    <row r="1498">
      <c r="A1498" s="18">
        <v>44656.0</v>
      </c>
      <c r="B1498" s="16" t="s">
        <v>11721</v>
      </c>
      <c r="C1498" s="16">
        <v>29.0</v>
      </c>
      <c r="D1498" s="16" t="s">
        <v>10444</v>
      </c>
      <c r="E1498" s="16" t="s">
        <v>707</v>
      </c>
      <c r="F1498" s="16">
        <v>2013.0</v>
      </c>
      <c r="G1498" s="16">
        <v>51.1792</v>
      </c>
      <c r="H1498" s="16">
        <v>11.3282</v>
      </c>
      <c r="I1498" s="15"/>
      <c r="J1498" s="15"/>
    </row>
    <row r="1499">
      <c r="A1499" s="18">
        <v>44656.0</v>
      </c>
      <c r="B1499" s="16" t="s">
        <v>11722</v>
      </c>
      <c r="C1499" s="16">
        <v>12.0</v>
      </c>
      <c r="D1499" s="16" t="s">
        <v>10444</v>
      </c>
      <c r="E1499" s="16" t="s">
        <v>707</v>
      </c>
      <c r="F1499" s="16">
        <v>2005.0</v>
      </c>
      <c r="G1499" s="16">
        <v>51.1694</v>
      </c>
      <c r="H1499" s="16">
        <v>11.3596</v>
      </c>
      <c r="I1499" s="15"/>
      <c r="J1499" s="15"/>
    </row>
    <row r="1500">
      <c r="A1500" s="18">
        <v>44656.0</v>
      </c>
      <c r="B1500" s="16" t="s">
        <v>11723</v>
      </c>
      <c r="C1500" s="16">
        <v>12.0</v>
      </c>
      <c r="D1500" s="16" t="s">
        <v>10444</v>
      </c>
      <c r="E1500" s="16" t="s">
        <v>707</v>
      </c>
      <c r="F1500" s="16">
        <v>2017.0</v>
      </c>
      <c r="G1500" s="16">
        <v>48.3645</v>
      </c>
      <c r="H1500" s="16">
        <v>7.9795</v>
      </c>
      <c r="I1500" s="15"/>
      <c r="J1500" s="15"/>
    </row>
    <row r="1501">
      <c r="A1501" s="18">
        <v>44656.0</v>
      </c>
      <c r="B1501" s="16" t="s">
        <v>11724</v>
      </c>
      <c r="C1501" s="16">
        <v>15.0</v>
      </c>
      <c r="D1501" s="16" t="s">
        <v>10444</v>
      </c>
      <c r="E1501" s="16" t="s">
        <v>707</v>
      </c>
      <c r="F1501" s="16">
        <v>2017.0</v>
      </c>
      <c r="G1501" s="16">
        <v>50.8656</v>
      </c>
      <c r="H1501" s="16">
        <v>8.8919</v>
      </c>
      <c r="I1501" s="15"/>
      <c r="J1501" s="15"/>
    </row>
    <row r="1502">
      <c r="A1502" s="18">
        <v>44656.0</v>
      </c>
      <c r="B1502" s="16" t="s">
        <v>11725</v>
      </c>
      <c r="C1502" s="16">
        <v>16.0</v>
      </c>
      <c r="D1502" s="16" t="s">
        <v>10444</v>
      </c>
      <c r="E1502" s="16" t="s">
        <v>707</v>
      </c>
      <c r="F1502" s="16">
        <v>1998.0</v>
      </c>
      <c r="G1502" s="16">
        <v>54.0004</v>
      </c>
      <c r="H1502" s="16">
        <v>11.4301</v>
      </c>
      <c r="I1502" s="15"/>
      <c r="J1502" s="15"/>
    </row>
    <row r="1503">
      <c r="A1503" s="18">
        <v>44656.0</v>
      </c>
      <c r="B1503" s="16" t="s">
        <v>11726</v>
      </c>
      <c r="C1503" s="16">
        <v>10.0</v>
      </c>
      <c r="D1503" s="16" t="s">
        <v>10444</v>
      </c>
      <c r="E1503" s="16" t="s">
        <v>707</v>
      </c>
      <c r="F1503" s="16">
        <v>2015.0</v>
      </c>
      <c r="G1503" s="16">
        <v>49.4166</v>
      </c>
      <c r="H1503" s="16">
        <v>9.4882</v>
      </c>
      <c r="I1503" s="15"/>
      <c r="J1503" s="15"/>
    </row>
    <row r="1504">
      <c r="A1504" s="18">
        <v>44998.0</v>
      </c>
      <c r="B1504" s="16" t="s">
        <v>11727</v>
      </c>
      <c r="C1504" s="16">
        <v>17.0</v>
      </c>
      <c r="D1504" s="16" t="s">
        <v>10444</v>
      </c>
      <c r="E1504" s="16" t="s">
        <v>707</v>
      </c>
      <c r="F1504" s="16">
        <v>2012.0</v>
      </c>
      <c r="G1504" s="16">
        <v>50.2181</v>
      </c>
      <c r="H1504" s="16">
        <v>7.8393</v>
      </c>
      <c r="I1504" s="15"/>
      <c r="J1504" s="15"/>
    </row>
    <row r="1505">
      <c r="A1505" s="18">
        <v>44656.0</v>
      </c>
      <c r="B1505" s="16" t="s">
        <v>11728</v>
      </c>
      <c r="C1505" s="16">
        <v>22.0</v>
      </c>
      <c r="D1505" s="16" t="s">
        <v>10444</v>
      </c>
      <c r="E1505" s="16" t="s">
        <v>707</v>
      </c>
      <c r="F1505" s="16">
        <v>2009.0</v>
      </c>
      <c r="G1505" s="16">
        <v>52.466</v>
      </c>
      <c r="H1505" s="16">
        <v>12.1145</v>
      </c>
      <c r="I1505" s="15"/>
      <c r="J1505" s="15"/>
    </row>
    <row r="1506">
      <c r="A1506" s="18">
        <v>44656.0</v>
      </c>
      <c r="B1506" s="16" t="s">
        <v>11729</v>
      </c>
      <c r="C1506" s="16">
        <v>31.0</v>
      </c>
      <c r="D1506" s="16" t="s">
        <v>10444</v>
      </c>
      <c r="E1506" s="16" t="s">
        <v>707</v>
      </c>
      <c r="F1506" s="16">
        <v>2017.0</v>
      </c>
      <c r="G1506" s="16">
        <v>53.3447</v>
      </c>
      <c r="H1506" s="16">
        <v>12.0207</v>
      </c>
      <c r="I1506" s="15"/>
      <c r="J1506" s="15"/>
    </row>
    <row r="1507">
      <c r="A1507" s="18">
        <v>45355.0</v>
      </c>
      <c r="B1507" s="16" t="s">
        <v>11730</v>
      </c>
      <c r="C1507" s="16">
        <v>24.0</v>
      </c>
      <c r="D1507" s="16" t="s">
        <v>10444</v>
      </c>
      <c r="E1507" s="16" t="s">
        <v>707</v>
      </c>
      <c r="F1507" s="16">
        <v>2023.0</v>
      </c>
      <c r="G1507" s="16">
        <v>53.3897</v>
      </c>
      <c r="H1507" s="16">
        <v>9.6269</v>
      </c>
      <c r="I1507" s="15"/>
      <c r="J1507" s="15"/>
    </row>
    <row r="1508">
      <c r="A1508" s="18">
        <v>44656.0</v>
      </c>
      <c r="B1508" s="16" t="s">
        <v>11731</v>
      </c>
      <c r="C1508" s="16">
        <v>16.0</v>
      </c>
      <c r="D1508" s="16" t="s">
        <v>10444</v>
      </c>
      <c r="E1508" s="16" t="s">
        <v>707</v>
      </c>
      <c r="F1508" s="16">
        <v>2005.0</v>
      </c>
      <c r="G1508" s="16">
        <v>54.0519</v>
      </c>
      <c r="H1508" s="16">
        <v>9.5714</v>
      </c>
      <c r="I1508" s="15"/>
      <c r="J1508" s="15"/>
    </row>
    <row r="1509">
      <c r="A1509" s="18">
        <v>44656.0</v>
      </c>
      <c r="B1509" s="16" t="s">
        <v>11732</v>
      </c>
      <c r="C1509" s="16">
        <v>12.0</v>
      </c>
      <c r="D1509" s="16" t="s">
        <v>10444</v>
      </c>
      <c r="E1509" s="16" t="s">
        <v>707</v>
      </c>
      <c r="F1509" s="16">
        <v>2014.0</v>
      </c>
      <c r="G1509" s="16">
        <v>51.3326</v>
      </c>
      <c r="H1509" s="16">
        <v>13.1046</v>
      </c>
      <c r="I1509" s="15"/>
      <c r="J1509" s="15"/>
    </row>
    <row r="1510">
      <c r="A1510" s="18">
        <v>44656.0</v>
      </c>
      <c r="B1510" s="16" t="s">
        <v>11733</v>
      </c>
      <c r="C1510" s="16">
        <v>10.0</v>
      </c>
      <c r="D1510" s="16" t="s">
        <v>10444</v>
      </c>
      <c r="E1510" s="16" t="s">
        <v>707</v>
      </c>
      <c r="F1510" s="16">
        <v>2003.0</v>
      </c>
      <c r="G1510" s="16">
        <v>49.5194</v>
      </c>
      <c r="H1510" s="16">
        <v>7.5356</v>
      </c>
      <c r="I1510" s="15"/>
      <c r="J1510" s="15"/>
    </row>
    <row r="1511">
      <c r="A1511" s="18">
        <v>44656.0</v>
      </c>
      <c r="B1511" s="16" t="s">
        <v>11734</v>
      </c>
      <c r="C1511" s="16">
        <v>36.0</v>
      </c>
      <c r="D1511" s="16" t="s">
        <v>10444</v>
      </c>
      <c r="E1511" s="16" t="s">
        <v>707</v>
      </c>
      <c r="F1511" s="16">
        <v>2017.0</v>
      </c>
      <c r="G1511" s="16">
        <v>48.9738</v>
      </c>
      <c r="H1511" s="16">
        <v>11.1082</v>
      </c>
      <c r="I1511" s="15"/>
      <c r="J1511" s="15"/>
    </row>
    <row r="1512">
      <c r="A1512" s="18">
        <v>44656.0</v>
      </c>
      <c r="B1512" s="16" t="s">
        <v>11735</v>
      </c>
      <c r="C1512" s="16">
        <v>14.0</v>
      </c>
      <c r="D1512" s="16" t="s">
        <v>10444</v>
      </c>
      <c r="E1512" s="16" t="s">
        <v>707</v>
      </c>
      <c r="F1512" s="16">
        <v>2002.0</v>
      </c>
      <c r="G1512" s="16">
        <v>49.7714</v>
      </c>
      <c r="H1512" s="16">
        <v>6.5992</v>
      </c>
      <c r="I1512" s="15"/>
      <c r="J1512" s="15"/>
    </row>
    <row r="1513">
      <c r="A1513" s="18">
        <v>44656.0</v>
      </c>
      <c r="B1513" s="16" t="s">
        <v>11736</v>
      </c>
      <c r="C1513" s="16">
        <v>10.0</v>
      </c>
      <c r="D1513" s="16" t="s">
        <v>10444</v>
      </c>
      <c r="E1513" s="16" t="s">
        <v>707</v>
      </c>
      <c r="F1513" s="15"/>
      <c r="G1513" s="16">
        <v>51.761</v>
      </c>
      <c r="H1513" s="16">
        <v>11.3824</v>
      </c>
      <c r="I1513" s="15"/>
      <c r="J1513" s="15"/>
    </row>
    <row r="1514">
      <c r="A1514" s="18">
        <v>44656.0</v>
      </c>
      <c r="B1514" s="16" t="s">
        <v>11736</v>
      </c>
      <c r="C1514" s="16">
        <v>21.0</v>
      </c>
      <c r="D1514" s="16" t="s">
        <v>10444</v>
      </c>
      <c r="E1514" s="16" t="s">
        <v>707</v>
      </c>
      <c r="F1514" s="16">
        <v>2001.0</v>
      </c>
      <c r="G1514" s="16">
        <v>51.762</v>
      </c>
      <c r="H1514" s="16">
        <v>11.388</v>
      </c>
      <c r="I1514" s="15"/>
      <c r="J1514" s="15"/>
    </row>
    <row r="1515">
      <c r="A1515" s="18">
        <v>44656.0</v>
      </c>
      <c r="B1515" s="16" t="s">
        <v>11737</v>
      </c>
      <c r="C1515" s="16">
        <v>14.0</v>
      </c>
      <c r="D1515" s="16" t="s">
        <v>10444</v>
      </c>
      <c r="E1515" s="16" t="s">
        <v>707</v>
      </c>
      <c r="F1515" s="16">
        <v>2012.0</v>
      </c>
      <c r="G1515" s="16">
        <v>49.8295</v>
      </c>
      <c r="H1515" s="16">
        <v>9.6938</v>
      </c>
      <c r="I1515" s="15"/>
      <c r="J1515" s="15"/>
    </row>
    <row r="1516">
      <c r="A1516" s="18">
        <v>44656.0</v>
      </c>
      <c r="B1516" s="16" t="s">
        <v>11738</v>
      </c>
      <c r="C1516" s="16">
        <v>13.0</v>
      </c>
      <c r="D1516" s="16" t="s">
        <v>10444</v>
      </c>
      <c r="E1516" s="16" t="s">
        <v>707</v>
      </c>
      <c r="F1516" s="15"/>
      <c r="G1516" s="16">
        <v>52.1104</v>
      </c>
      <c r="H1516" s="16">
        <v>10.7021</v>
      </c>
      <c r="I1516" s="15"/>
      <c r="J1516" s="15"/>
    </row>
    <row r="1517">
      <c r="A1517" s="18">
        <v>44999.0</v>
      </c>
      <c r="B1517" s="16" t="s">
        <v>11739</v>
      </c>
      <c r="C1517" s="16">
        <v>11.0</v>
      </c>
      <c r="D1517" s="16" t="s">
        <v>10444</v>
      </c>
      <c r="E1517" s="16" t="s">
        <v>707</v>
      </c>
      <c r="F1517" s="16">
        <v>2022.0</v>
      </c>
      <c r="G1517" s="16">
        <v>54.1244</v>
      </c>
      <c r="H1517" s="16">
        <v>9.6333</v>
      </c>
      <c r="I1517" s="15"/>
      <c r="J1517" s="15"/>
    </row>
    <row r="1518">
      <c r="A1518" s="18">
        <v>44656.0</v>
      </c>
      <c r="B1518" s="16" t="s">
        <v>11740</v>
      </c>
      <c r="C1518" s="16">
        <v>19.0</v>
      </c>
      <c r="D1518" s="16" t="s">
        <v>10444</v>
      </c>
      <c r="E1518" s="16" t="s">
        <v>707</v>
      </c>
      <c r="F1518" s="16">
        <v>2017.0</v>
      </c>
      <c r="G1518" s="16">
        <v>52.8941</v>
      </c>
      <c r="H1518" s="16">
        <v>7.1912</v>
      </c>
      <c r="I1518" s="15"/>
      <c r="J1518" s="15"/>
    </row>
    <row r="1519">
      <c r="A1519" s="18">
        <v>44656.0</v>
      </c>
      <c r="B1519" s="16" t="s">
        <v>11740</v>
      </c>
      <c r="C1519" s="16">
        <v>26.0</v>
      </c>
      <c r="D1519" s="16" t="s">
        <v>10444</v>
      </c>
      <c r="E1519" s="16" t="s">
        <v>707</v>
      </c>
      <c r="F1519" s="16">
        <v>2018.0</v>
      </c>
      <c r="G1519" s="16">
        <v>52.8935</v>
      </c>
      <c r="H1519" s="16">
        <v>7.3695</v>
      </c>
      <c r="I1519" s="15"/>
      <c r="J1519" s="15"/>
    </row>
    <row r="1520">
      <c r="A1520" s="18">
        <v>45029.0</v>
      </c>
      <c r="B1520" s="16" t="s">
        <v>11741</v>
      </c>
      <c r="C1520" s="16">
        <v>24.0</v>
      </c>
      <c r="D1520" s="16" t="s">
        <v>10444</v>
      </c>
      <c r="E1520" s="16" t="s">
        <v>707</v>
      </c>
      <c r="F1520" s="16">
        <v>2016.0</v>
      </c>
      <c r="G1520" s="16">
        <v>53.8609</v>
      </c>
      <c r="H1520" s="16">
        <v>9.6125</v>
      </c>
      <c r="I1520" s="15"/>
      <c r="J1520" s="15"/>
    </row>
    <row r="1521">
      <c r="A1521" s="18">
        <v>45029.0</v>
      </c>
      <c r="B1521" s="16" t="s">
        <v>11741</v>
      </c>
      <c r="C1521" s="16">
        <v>28.0</v>
      </c>
      <c r="D1521" s="16" t="s">
        <v>10444</v>
      </c>
      <c r="E1521" s="16" t="s">
        <v>707</v>
      </c>
      <c r="F1521" s="16">
        <v>2016.0</v>
      </c>
      <c r="G1521" s="16">
        <v>53.8764</v>
      </c>
      <c r="H1521" s="16">
        <v>9.6011</v>
      </c>
      <c r="I1521" s="15"/>
      <c r="J1521" s="15"/>
    </row>
    <row r="1522">
      <c r="A1522" s="18">
        <v>44656.0</v>
      </c>
      <c r="B1522" s="16" t="s">
        <v>11742</v>
      </c>
      <c r="C1522" s="16">
        <v>15.0</v>
      </c>
      <c r="D1522" s="16" t="s">
        <v>10444</v>
      </c>
      <c r="E1522" s="16" t="s">
        <v>707</v>
      </c>
      <c r="F1522" s="16">
        <v>2014.0</v>
      </c>
      <c r="G1522" s="16">
        <v>49.9257</v>
      </c>
      <c r="H1522" s="16">
        <v>9.9042</v>
      </c>
      <c r="I1522" s="15"/>
      <c r="J1522" s="15"/>
    </row>
    <row r="1523">
      <c r="A1523" s="18">
        <v>44656.0</v>
      </c>
      <c r="B1523" s="16" t="s">
        <v>11743</v>
      </c>
      <c r="C1523" s="16">
        <v>16.0</v>
      </c>
      <c r="D1523" s="16" t="s">
        <v>10444</v>
      </c>
      <c r="E1523" s="16" t="s">
        <v>707</v>
      </c>
      <c r="F1523" s="16">
        <v>2021.0</v>
      </c>
      <c r="G1523" s="16">
        <v>50.3172</v>
      </c>
      <c r="H1523" s="16">
        <v>7.1557</v>
      </c>
      <c r="I1523" s="15"/>
      <c r="J1523" s="15"/>
    </row>
    <row r="1524">
      <c r="A1524" s="18">
        <v>44656.0</v>
      </c>
      <c r="B1524" s="16" t="s">
        <v>11744</v>
      </c>
      <c r="C1524" s="16">
        <v>13.0</v>
      </c>
      <c r="D1524" s="16" t="s">
        <v>10444</v>
      </c>
      <c r="E1524" s="16" t="s">
        <v>707</v>
      </c>
      <c r="F1524" s="16">
        <v>2003.0</v>
      </c>
      <c r="G1524" s="16">
        <v>51.4943</v>
      </c>
      <c r="H1524" s="16">
        <v>12.1401</v>
      </c>
      <c r="I1524" s="15"/>
      <c r="J1524" s="15"/>
    </row>
    <row r="1525">
      <c r="A1525" s="18">
        <v>44656.0</v>
      </c>
      <c r="B1525" s="16" t="s">
        <v>11745</v>
      </c>
      <c r="C1525" s="16">
        <v>21.0</v>
      </c>
      <c r="D1525" s="16" t="s">
        <v>10444</v>
      </c>
      <c r="E1525" s="16" t="s">
        <v>707</v>
      </c>
      <c r="F1525" s="16">
        <v>2014.0</v>
      </c>
      <c r="G1525" s="16">
        <v>54.5413</v>
      </c>
      <c r="H1525" s="16">
        <v>8.4908</v>
      </c>
      <c r="I1525" s="15"/>
      <c r="J1525" s="15"/>
    </row>
    <row r="1526">
      <c r="A1526" s="18">
        <v>44656.0</v>
      </c>
      <c r="B1526" s="16" t="s">
        <v>11745</v>
      </c>
      <c r="C1526" s="16">
        <v>41.0</v>
      </c>
      <c r="D1526" s="16" t="s">
        <v>10444</v>
      </c>
      <c r="E1526" s="16" t="s">
        <v>707</v>
      </c>
      <c r="F1526" s="16">
        <v>2020.0</v>
      </c>
      <c r="G1526" s="16">
        <v>54.5413</v>
      </c>
      <c r="H1526" s="16">
        <v>8.4908</v>
      </c>
      <c r="I1526" s="15"/>
      <c r="J1526" s="15"/>
    </row>
    <row r="1527">
      <c r="A1527" s="18">
        <v>45022.0</v>
      </c>
      <c r="B1527" s="16" t="s">
        <v>11745</v>
      </c>
      <c r="C1527" s="16">
        <v>72.0</v>
      </c>
      <c r="D1527" s="16" t="s">
        <v>10444</v>
      </c>
      <c r="E1527" s="16" t="s">
        <v>707</v>
      </c>
      <c r="F1527" s="16">
        <v>2022.0</v>
      </c>
      <c r="G1527" s="16">
        <v>54.6414</v>
      </c>
      <c r="H1527" s="16">
        <v>8.872</v>
      </c>
      <c r="I1527" s="15"/>
      <c r="J1527" s="15"/>
    </row>
    <row r="1528">
      <c r="A1528" s="18">
        <v>45022.0</v>
      </c>
      <c r="B1528" s="16" t="s">
        <v>11745</v>
      </c>
      <c r="C1528" s="16">
        <v>14.0</v>
      </c>
      <c r="D1528" s="16" t="s">
        <v>10444</v>
      </c>
      <c r="E1528" s="16" t="s">
        <v>707</v>
      </c>
      <c r="F1528" s="16">
        <v>2022.0</v>
      </c>
      <c r="G1528" s="16">
        <v>54.638</v>
      </c>
      <c r="H1528" s="16">
        <v>8.8699</v>
      </c>
      <c r="I1528" s="15"/>
      <c r="J1528" s="15"/>
    </row>
    <row r="1529">
      <c r="A1529" s="18">
        <v>44656.0</v>
      </c>
      <c r="B1529" s="16" t="s">
        <v>11746</v>
      </c>
      <c r="C1529" s="16">
        <v>14.0</v>
      </c>
      <c r="D1529" s="16" t="s">
        <v>10444</v>
      </c>
      <c r="E1529" s="16" t="s">
        <v>707</v>
      </c>
      <c r="F1529" s="16">
        <v>2000.0</v>
      </c>
      <c r="G1529" s="16">
        <v>50.293</v>
      </c>
      <c r="H1529" s="16">
        <v>6.5084</v>
      </c>
      <c r="I1529" s="15"/>
      <c r="J1529" s="15"/>
    </row>
    <row r="1530">
      <c r="A1530" s="18">
        <v>44656.0</v>
      </c>
      <c r="B1530" s="16" t="s">
        <v>11747</v>
      </c>
      <c r="C1530" s="16">
        <v>31.0</v>
      </c>
      <c r="D1530" s="16" t="s">
        <v>10444</v>
      </c>
      <c r="E1530" s="16" t="s">
        <v>707</v>
      </c>
      <c r="F1530" s="16">
        <v>2001.0</v>
      </c>
      <c r="G1530" s="16">
        <v>53.0978</v>
      </c>
      <c r="H1530" s="16">
        <v>7.2096</v>
      </c>
      <c r="I1530" s="15"/>
      <c r="J1530" s="15"/>
    </row>
    <row r="1531">
      <c r="A1531" s="18">
        <v>45667.0</v>
      </c>
      <c r="B1531" s="16" t="s">
        <v>11747</v>
      </c>
      <c r="C1531" s="16">
        <v>31.0</v>
      </c>
      <c r="D1531" s="16" t="s">
        <v>10444</v>
      </c>
      <c r="E1531" s="16" t="s">
        <v>707</v>
      </c>
      <c r="F1531" s="16">
        <v>2024.0</v>
      </c>
      <c r="G1531" s="16">
        <v>53.0993</v>
      </c>
      <c r="H1531" s="16">
        <v>7.2081</v>
      </c>
      <c r="I1531" s="15"/>
      <c r="J1531" s="15"/>
    </row>
    <row r="1532">
      <c r="A1532" s="18">
        <v>44656.0</v>
      </c>
      <c r="B1532" s="16" t="s">
        <v>11748</v>
      </c>
      <c r="C1532" s="16">
        <v>11.0</v>
      </c>
      <c r="D1532" s="16" t="s">
        <v>10444</v>
      </c>
      <c r="E1532" s="16" t="s">
        <v>707</v>
      </c>
      <c r="F1532" s="16">
        <v>2002.0</v>
      </c>
      <c r="G1532" s="16">
        <v>52.2144</v>
      </c>
      <c r="H1532" s="16">
        <v>7.4233</v>
      </c>
      <c r="I1532" s="15"/>
      <c r="J1532" s="15"/>
    </row>
    <row r="1533">
      <c r="A1533" s="18">
        <v>44656.0</v>
      </c>
      <c r="B1533" s="16" t="s">
        <v>11749</v>
      </c>
      <c r="C1533" s="16">
        <v>26.0</v>
      </c>
      <c r="D1533" s="16" t="s">
        <v>10444</v>
      </c>
      <c r="E1533" s="16" t="s">
        <v>707</v>
      </c>
      <c r="F1533" s="16">
        <v>2003.0</v>
      </c>
      <c r="G1533" s="16">
        <v>51.0834</v>
      </c>
      <c r="H1533" s="16">
        <v>10.4234</v>
      </c>
      <c r="I1533" s="15"/>
      <c r="J1533" s="15"/>
    </row>
    <row r="1534">
      <c r="A1534" s="18">
        <v>44656.0</v>
      </c>
      <c r="B1534" s="16" t="s">
        <v>11750</v>
      </c>
      <c r="C1534" s="16">
        <v>17.0</v>
      </c>
      <c r="D1534" s="16" t="s">
        <v>10444</v>
      </c>
      <c r="E1534" s="16" t="s">
        <v>707</v>
      </c>
      <c r="F1534" s="15"/>
      <c r="G1534" s="16">
        <v>52.9546</v>
      </c>
      <c r="H1534" s="16">
        <v>8.9036</v>
      </c>
      <c r="I1534" s="15"/>
      <c r="J1534" s="15"/>
    </row>
    <row r="1535">
      <c r="A1535" s="18">
        <v>44656.0</v>
      </c>
      <c r="B1535" s="16" t="s">
        <v>11751</v>
      </c>
      <c r="C1535" s="16">
        <v>16.0</v>
      </c>
      <c r="D1535" s="16" t="s">
        <v>10444</v>
      </c>
      <c r="E1535" s="16" t="s">
        <v>707</v>
      </c>
      <c r="F1535" s="16">
        <v>2013.0</v>
      </c>
      <c r="G1535" s="16">
        <v>50.0697</v>
      </c>
      <c r="H1535" s="16">
        <v>7.5833</v>
      </c>
      <c r="I1535" s="15"/>
      <c r="J1535" s="15"/>
    </row>
    <row r="1536">
      <c r="A1536" s="18">
        <v>45359.0</v>
      </c>
      <c r="B1536" s="16" t="s">
        <v>11752</v>
      </c>
      <c r="C1536" s="16">
        <v>34.0</v>
      </c>
      <c r="D1536" s="16" t="s">
        <v>10444</v>
      </c>
      <c r="E1536" s="16" t="s">
        <v>707</v>
      </c>
      <c r="F1536" s="16">
        <v>2023.0</v>
      </c>
      <c r="G1536" s="16">
        <v>53.7711</v>
      </c>
      <c r="H1536" s="16">
        <v>10.8465</v>
      </c>
      <c r="I1536" s="15"/>
      <c r="J1536" s="15"/>
    </row>
    <row r="1537">
      <c r="A1537" s="18">
        <v>45029.0</v>
      </c>
      <c r="B1537" s="16" t="s">
        <v>11753</v>
      </c>
      <c r="C1537" s="16">
        <v>12.0</v>
      </c>
      <c r="D1537" s="16" t="s">
        <v>10444</v>
      </c>
      <c r="E1537" s="16" t="s">
        <v>707</v>
      </c>
      <c r="F1537" s="16">
        <v>2022.0</v>
      </c>
      <c r="G1537" s="16">
        <v>54.2344</v>
      </c>
      <c r="H1537" s="16">
        <v>10.9462</v>
      </c>
      <c r="I1537" s="15"/>
      <c r="J1537" s="15"/>
    </row>
    <row r="1538">
      <c r="A1538" s="18">
        <v>44656.0</v>
      </c>
      <c r="B1538" s="16" t="s">
        <v>11754</v>
      </c>
      <c r="C1538" s="16">
        <v>13.0</v>
      </c>
      <c r="D1538" s="16" t="s">
        <v>10444</v>
      </c>
      <c r="E1538" s="16" t="s">
        <v>707</v>
      </c>
      <c r="F1538" s="16">
        <v>2016.0</v>
      </c>
      <c r="G1538" s="16">
        <v>52.4604</v>
      </c>
      <c r="H1538" s="16">
        <v>8.0474</v>
      </c>
      <c r="I1538" s="15"/>
      <c r="J1538" s="15"/>
    </row>
    <row r="1539">
      <c r="A1539" s="18">
        <v>44656.0</v>
      </c>
      <c r="B1539" s="16" t="s">
        <v>11755</v>
      </c>
      <c r="C1539" s="16">
        <v>10.0</v>
      </c>
      <c r="D1539" s="16" t="s">
        <v>10444</v>
      </c>
      <c r="E1539" s="16" t="s">
        <v>707</v>
      </c>
      <c r="F1539" s="16">
        <v>2007.0</v>
      </c>
      <c r="G1539" s="16">
        <v>51.411</v>
      </c>
      <c r="H1539" s="16">
        <v>11.2577</v>
      </c>
      <c r="I1539" s="15"/>
      <c r="J1539" s="15"/>
    </row>
    <row r="1540">
      <c r="A1540" s="18">
        <v>44656.0</v>
      </c>
      <c r="B1540" s="16" t="s">
        <v>11756</v>
      </c>
      <c r="C1540" s="16">
        <v>11.0</v>
      </c>
      <c r="D1540" s="16" t="s">
        <v>10444</v>
      </c>
      <c r="E1540" s="16" t="s">
        <v>707</v>
      </c>
      <c r="F1540" s="16">
        <v>2016.0</v>
      </c>
      <c r="G1540" s="16">
        <v>52.0903</v>
      </c>
      <c r="H1540" s="16">
        <v>12.7864</v>
      </c>
      <c r="I1540" s="15"/>
      <c r="J1540" s="15"/>
    </row>
    <row r="1541">
      <c r="A1541" s="18">
        <v>44656.0</v>
      </c>
      <c r="B1541" s="16" t="s">
        <v>11756</v>
      </c>
      <c r="C1541" s="16">
        <v>15.0</v>
      </c>
      <c r="D1541" s="16" t="s">
        <v>10444</v>
      </c>
      <c r="E1541" s="16" t="s">
        <v>707</v>
      </c>
      <c r="F1541" s="15"/>
      <c r="G1541" s="16">
        <v>52.0882</v>
      </c>
      <c r="H1541" s="16">
        <v>12.7913</v>
      </c>
      <c r="I1541" s="15"/>
      <c r="J1541" s="15"/>
    </row>
    <row r="1542">
      <c r="A1542" s="18">
        <v>44656.0</v>
      </c>
      <c r="B1542" s="16" t="s">
        <v>11757</v>
      </c>
      <c r="C1542" s="16">
        <v>113.0</v>
      </c>
      <c r="D1542" s="16" t="s">
        <v>10462</v>
      </c>
      <c r="E1542" s="16" t="s">
        <v>707</v>
      </c>
      <c r="F1542" s="16">
        <v>2014.0</v>
      </c>
      <c r="G1542" s="16">
        <v>53.6924</v>
      </c>
      <c r="H1542" s="16">
        <v>6.4754</v>
      </c>
      <c r="I1542" s="15"/>
      <c r="J1542" s="15"/>
    </row>
    <row r="1543">
      <c r="A1543" s="18">
        <v>45037.0</v>
      </c>
      <c r="B1543" s="16" t="s">
        <v>11758</v>
      </c>
      <c r="C1543" s="16">
        <v>10.0</v>
      </c>
      <c r="D1543" s="16" t="s">
        <v>10444</v>
      </c>
      <c r="E1543" s="16" t="s">
        <v>707</v>
      </c>
      <c r="F1543" s="16">
        <v>2007.0</v>
      </c>
      <c r="G1543" s="16">
        <v>53.5673</v>
      </c>
      <c r="H1543" s="16">
        <v>8.8868</v>
      </c>
      <c r="I1543" s="15"/>
      <c r="J1543" s="15"/>
    </row>
    <row r="1544">
      <c r="A1544" s="18">
        <v>44656.0</v>
      </c>
      <c r="B1544" s="16" t="s">
        <v>11759</v>
      </c>
      <c r="C1544" s="16">
        <v>12.0</v>
      </c>
      <c r="D1544" s="16" t="s">
        <v>10444</v>
      </c>
      <c r="E1544" s="16" t="s">
        <v>707</v>
      </c>
      <c r="F1544" s="16">
        <v>2016.0</v>
      </c>
      <c r="G1544" s="16">
        <v>51.2437</v>
      </c>
      <c r="H1544" s="16">
        <v>12.0664</v>
      </c>
      <c r="I1544" s="15"/>
      <c r="J1544" s="15"/>
    </row>
    <row r="1545">
      <c r="A1545" s="18">
        <v>44656.0</v>
      </c>
      <c r="B1545" s="16" t="s">
        <v>11759</v>
      </c>
      <c r="C1545" s="16">
        <v>14.0</v>
      </c>
      <c r="D1545" s="16" t="s">
        <v>10444</v>
      </c>
      <c r="E1545" s="16" t="s">
        <v>707</v>
      </c>
      <c r="F1545" s="16">
        <v>2017.0</v>
      </c>
      <c r="G1545" s="16">
        <v>51.2428</v>
      </c>
      <c r="H1545" s="16">
        <v>12.0705</v>
      </c>
      <c r="I1545" s="15"/>
      <c r="J1545" s="15"/>
    </row>
    <row r="1546">
      <c r="A1546" s="18">
        <v>44656.0</v>
      </c>
      <c r="B1546" s="16" t="s">
        <v>11760</v>
      </c>
      <c r="C1546" s="16">
        <v>12.0</v>
      </c>
      <c r="D1546" s="16" t="s">
        <v>10444</v>
      </c>
      <c r="E1546" s="16" t="s">
        <v>707</v>
      </c>
      <c r="F1546" s="16">
        <v>2014.0</v>
      </c>
      <c r="G1546" s="16">
        <v>51.3639</v>
      </c>
      <c r="H1546" s="16">
        <v>9.1936</v>
      </c>
      <c r="I1546" s="15"/>
      <c r="J1546" s="15"/>
    </row>
    <row r="1547">
      <c r="A1547" s="18">
        <v>44656.0</v>
      </c>
      <c r="B1547" s="16" t="s">
        <v>11761</v>
      </c>
      <c r="C1547" s="16">
        <v>14.0</v>
      </c>
      <c r="D1547" s="16" t="s">
        <v>10444</v>
      </c>
      <c r="E1547" s="16" t="s">
        <v>707</v>
      </c>
      <c r="F1547" s="16">
        <v>2001.0</v>
      </c>
      <c r="G1547" s="16">
        <v>54.1001</v>
      </c>
      <c r="H1547" s="16">
        <v>10.7706</v>
      </c>
      <c r="I1547" s="15"/>
      <c r="J1547" s="15"/>
    </row>
    <row r="1548">
      <c r="A1548" s="18">
        <v>44656.0</v>
      </c>
      <c r="B1548" s="16" t="s">
        <v>11762</v>
      </c>
      <c r="C1548" s="16">
        <v>12.0</v>
      </c>
      <c r="D1548" s="16" t="s">
        <v>10444</v>
      </c>
      <c r="E1548" s="16" t="s">
        <v>707</v>
      </c>
      <c r="F1548" s="16">
        <v>2001.0</v>
      </c>
      <c r="G1548" s="16">
        <v>53.9233</v>
      </c>
      <c r="H1548" s="16">
        <v>11.5537</v>
      </c>
      <c r="I1548" s="15"/>
      <c r="J1548" s="15"/>
    </row>
    <row r="1549">
      <c r="A1549" s="18">
        <v>44987.0</v>
      </c>
      <c r="B1549" s="16" t="s">
        <v>11763</v>
      </c>
      <c r="C1549" s="16">
        <v>17.0</v>
      </c>
      <c r="D1549" s="16" t="s">
        <v>10444</v>
      </c>
      <c r="E1549" s="16" t="s">
        <v>707</v>
      </c>
      <c r="F1549" s="16">
        <v>2022.0</v>
      </c>
      <c r="G1549" s="16">
        <v>50.4421</v>
      </c>
      <c r="H1549" s="16">
        <v>6.7109</v>
      </c>
      <c r="I1549" s="15"/>
      <c r="J1549" s="15"/>
    </row>
    <row r="1550">
      <c r="A1550" s="18">
        <v>44656.0</v>
      </c>
      <c r="B1550" s="16" t="s">
        <v>11764</v>
      </c>
      <c r="C1550" s="16">
        <v>15.0</v>
      </c>
      <c r="D1550" s="16" t="s">
        <v>10444</v>
      </c>
      <c r="E1550" s="16" t="s">
        <v>707</v>
      </c>
      <c r="F1550" s="16">
        <v>2016.0</v>
      </c>
      <c r="G1550" s="16">
        <v>51.2324</v>
      </c>
      <c r="H1550" s="16">
        <v>9.7082</v>
      </c>
      <c r="I1550" s="15"/>
      <c r="J1550" s="15"/>
    </row>
    <row r="1551">
      <c r="A1551" s="18">
        <v>44656.0</v>
      </c>
      <c r="B1551" s="16" t="s">
        <v>11765</v>
      </c>
      <c r="C1551" s="16">
        <v>15.0</v>
      </c>
      <c r="D1551" s="16" t="s">
        <v>10444</v>
      </c>
      <c r="E1551" s="16" t="s">
        <v>707</v>
      </c>
      <c r="F1551" s="16">
        <v>2016.0</v>
      </c>
      <c r="G1551" s="16">
        <v>47.7136</v>
      </c>
      <c r="H1551" s="16">
        <v>7.9349</v>
      </c>
      <c r="I1551" s="15"/>
      <c r="J1551" s="15"/>
    </row>
    <row r="1552">
      <c r="A1552" s="18">
        <v>44987.0</v>
      </c>
      <c r="B1552" s="16" t="s">
        <v>11766</v>
      </c>
      <c r="C1552" s="16">
        <v>13.0</v>
      </c>
      <c r="D1552" s="16" t="s">
        <v>10444</v>
      </c>
      <c r="E1552" s="16" t="s">
        <v>707</v>
      </c>
      <c r="F1552" s="16">
        <v>2022.0</v>
      </c>
      <c r="G1552" s="16">
        <v>51.173</v>
      </c>
      <c r="H1552" s="16">
        <v>11.356</v>
      </c>
      <c r="I1552" s="15"/>
      <c r="J1552" s="15"/>
    </row>
    <row r="1553">
      <c r="A1553" s="18">
        <v>44656.0</v>
      </c>
      <c r="B1553" s="16" t="s">
        <v>11767</v>
      </c>
      <c r="C1553" s="16">
        <v>13.0</v>
      </c>
      <c r="D1553" s="16" t="s">
        <v>10444</v>
      </c>
      <c r="E1553" s="16" t="s">
        <v>707</v>
      </c>
      <c r="F1553" s="16">
        <v>1999.0</v>
      </c>
      <c r="G1553" s="16">
        <v>53.4549</v>
      </c>
      <c r="H1553" s="16">
        <v>13.9611</v>
      </c>
      <c r="I1553" s="15"/>
      <c r="J1553" s="15"/>
    </row>
    <row r="1554">
      <c r="A1554" s="18">
        <v>44656.0</v>
      </c>
      <c r="B1554" s="16" t="s">
        <v>11768</v>
      </c>
      <c r="C1554" s="16">
        <v>11.0</v>
      </c>
      <c r="D1554" s="16" t="s">
        <v>10444</v>
      </c>
      <c r="E1554" s="16" t="s">
        <v>707</v>
      </c>
      <c r="F1554" s="16">
        <v>2007.0</v>
      </c>
      <c r="G1554" s="16">
        <v>52.0227</v>
      </c>
      <c r="H1554" s="16">
        <v>7.1647</v>
      </c>
      <c r="I1554" s="15"/>
      <c r="J1554" s="15"/>
    </row>
    <row r="1555">
      <c r="A1555" s="18">
        <v>45667.0</v>
      </c>
      <c r="B1555" s="16" t="s">
        <v>11769</v>
      </c>
      <c r="C1555" s="16">
        <v>11.0</v>
      </c>
      <c r="D1555" s="16" t="s">
        <v>10444</v>
      </c>
      <c r="E1555" s="16" t="s">
        <v>707</v>
      </c>
      <c r="F1555" s="16">
        <v>2024.0</v>
      </c>
      <c r="G1555" s="16">
        <v>53.3955</v>
      </c>
      <c r="H1555" s="16">
        <v>9.8968</v>
      </c>
      <c r="I1555" s="15"/>
      <c r="J1555" s="15"/>
    </row>
    <row r="1556">
      <c r="A1556" s="18">
        <v>44656.0</v>
      </c>
      <c r="B1556" s="16" t="s">
        <v>11770</v>
      </c>
      <c r="C1556" s="16">
        <v>12.0</v>
      </c>
      <c r="D1556" s="16" t="s">
        <v>10444</v>
      </c>
      <c r="E1556" s="16" t="s">
        <v>707</v>
      </c>
      <c r="F1556" s="16">
        <v>2003.0</v>
      </c>
      <c r="G1556" s="16">
        <v>51.8709</v>
      </c>
      <c r="H1556" s="16">
        <v>13.4968</v>
      </c>
      <c r="I1556" s="15"/>
      <c r="J1556" s="15"/>
    </row>
    <row r="1557">
      <c r="A1557" s="18">
        <v>44656.0</v>
      </c>
      <c r="B1557" s="16" t="s">
        <v>11771</v>
      </c>
      <c r="C1557" s="16">
        <v>14.0</v>
      </c>
      <c r="D1557" s="16" t="s">
        <v>10444</v>
      </c>
      <c r="E1557" s="16" t="s">
        <v>707</v>
      </c>
      <c r="F1557" s="16">
        <v>2003.0</v>
      </c>
      <c r="G1557" s="16">
        <v>51.0265</v>
      </c>
      <c r="H1557" s="16">
        <v>12.3912</v>
      </c>
      <c r="I1557" s="15"/>
      <c r="J1557" s="15"/>
    </row>
    <row r="1558">
      <c r="A1558" s="18">
        <v>44656.0</v>
      </c>
      <c r="B1558" s="16" t="s">
        <v>11772</v>
      </c>
      <c r="C1558" s="16">
        <v>15.0</v>
      </c>
      <c r="D1558" s="16" t="s">
        <v>10444</v>
      </c>
      <c r="E1558" s="16" t="s">
        <v>707</v>
      </c>
      <c r="F1558" s="16">
        <v>2013.0</v>
      </c>
      <c r="G1558" s="16">
        <v>52.8055</v>
      </c>
      <c r="H1558" s="16">
        <v>11.6569</v>
      </c>
      <c r="I1558" s="15"/>
      <c r="J1558" s="15"/>
    </row>
    <row r="1559">
      <c r="A1559" s="18">
        <v>44656.0</v>
      </c>
      <c r="B1559" s="16" t="s">
        <v>11772</v>
      </c>
      <c r="C1559" s="16">
        <v>15.0</v>
      </c>
      <c r="D1559" s="16" t="s">
        <v>10444</v>
      </c>
      <c r="E1559" s="16" t="s">
        <v>707</v>
      </c>
      <c r="F1559" s="16">
        <v>2013.0</v>
      </c>
      <c r="G1559" s="16">
        <v>52.8055</v>
      </c>
      <c r="H1559" s="16">
        <v>11.6569</v>
      </c>
      <c r="I1559" s="15"/>
      <c r="J1559" s="15"/>
    </row>
    <row r="1560">
      <c r="A1560" s="18">
        <v>45000.0</v>
      </c>
      <c r="B1560" s="16" t="s">
        <v>11773</v>
      </c>
      <c r="C1560" s="16">
        <v>10.0</v>
      </c>
      <c r="D1560" s="16" t="s">
        <v>10444</v>
      </c>
      <c r="E1560" s="16" t="s">
        <v>707</v>
      </c>
      <c r="F1560" s="16">
        <v>2016.0</v>
      </c>
      <c r="G1560" s="16">
        <v>49.3023</v>
      </c>
      <c r="H1560" s="16">
        <v>10.1267</v>
      </c>
      <c r="I1560" s="15"/>
      <c r="J1560" s="15"/>
    </row>
    <row r="1561">
      <c r="A1561" s="18">
        <v>44656.0</v>
      </c>
      <c r="B1561" s="16" t="s">
        <v>11774</v>
      </c>
      <c r="C1561" s="16">
        <v>17.0</v>
      </c>
      <c r="D1561" s="16" t="s">
        <v>10444</v>
      </c>
      <c r="E1561" s="16" t="s">
        <v>707</v>
      </c>
      <c r="F1561" s="16">
        <v>2018.0</v>
      </c>
      <c r="G1561" s="16">
        <v>50.8712</v>
      </c>
      <c r="H1561" s="16">
        <v>9.8125</v>
      </c>
      <c r="I1561" s="15"/>
      <c r="J1561" s="15"/>
    </row>
    <row r="1562">
      <c r="A1562" s="18">
        <v>44656.0</v>
      </c>
      <c r="B1562" s="16" t="s">
        <v>11775</v>
      </c>
      <c r="C1562" s="16">
        <v>21.0</v>
      </c>
      <c r="D1562" s="16" t="s">
        <v>10444</v>
      </c>
      <c r="E1562" s="16" t="s">
        <v>707</v>
      </c>
      <c r="F1562" s="16">
        <v>2018.0</v>
      </c>
      <c r="G1562" s="16">
        <v>51.4327</v>
      </c>
      <c r="H1562" s="16">
        <v>10.2136</v>
      </c>
      <c r="I1562" s="15"/>
      <c r="J1562" s="15"/>
    </row>
    <row r="1563">
      <c r="A1563" s="18">
        <v>44656.0</v>
      </c>
      <c r="B1563" s="16" t="s">
        <v>11776</v>
      </c>
      <c r="C1563" s="16">
        <v>15.0</v>
      </c>
      <c r="D1563" s="16" t="s">
        <v>10444</v>
      </c>
      <c r="E1563" s="16" t="s">
        <v>707</v>
      </c>
      <c r="F1563" s="16">
        <v>2015.0</v>
      </c>
      <c r="G1563" s="16">
        <v>49.855</v>
      </c>
      <c r="H1563" s="16">
        <v>11.5187</v>
      </c>
      <c r="I1563" s="15"/>
      <c r="J1563" s="15"/>
    </row>
    <row r="1564">
      <c r="A1564" s="18">
        <v>44656.0</v>
      </c>
      <c r="B1564" s="16" t="s">
        <v>11777</v>
      </c>
      <c r="C1564" s="16">
        <v>17.0</v>
      </c>
      <c r="D1564" s="16" t="s">
        <v>10444</v>
      </c>
      <c r="E1564" s="16" t="s">
        <v>707</v>
      </c>
      <c r="F1564" s="16">
        <v>1999.0</v>
      </c>
      <c r="G1564" s="16">
        <v>51.5861</v>
      </c>
      <c r="H1564" s="16">
        <v>11.7112</v>
      </c>
      <c r="I1564" s="15"/>
      <c r="J1564" s="15"/>
    </row>
    <row r="1565">
      <c r="A1565" s="18">
        <v>44656.0</v>
      </c>
      <c r="B1565" s="16" t="s">
        <v>11778</v>
      </c>
      <c r="C1565" s="16">
        <v>12.0</v>
      </c>
      <c r="D1565" s="16" t="s">
        <v>10444</v>
      </c>
      <c r="E1565" s="16" t="s">
        <v>707</v>
      </c>
      <c r="F1565" s="16">
        <v>2021.0</v>
      </c>
      <c r="G1565" s="16">
        <v>50.2013</v>
      </c>
      <c r="H1565" s="16">
        <v>11.4153</v>
      </c>
      <c r="I1565" s="15"/>
      <c r="J1565" s="15"/>
    </row>
    <row r="1566">
      <c r="A1566" s="18">
        <v>45034.0</v>
      </c>
      <c r="B1566" s="16" t="s">
        <v>11779</v>
      </c>
      <c r="C1566" s="16">
        <v>10.0</v>
      </c>
      <c r="D1566" s="16" t="s">
        <v>10444</v>
      </c>
      <c r="E1566" s="16" t="s">
        <v>707</v>
      </c>
      <c r="F1566" s="16">
        <v>2021.0</v>
      </c>
      <c r="G1566" s="16">
        <v>52.3516</v>
      </c>
      <c r="H1566" s="16">
        <v>13.2517</v>
      </c>
      <c r="I1566" s="15"/>
      <c r="J1566" s="15"/>
    </row>
    <row r="1567">
      <c r="A1567" s="18">
        <v>44656.0</v>
      </c>
      <c r="B1567" s="16" t="s">
        <v>11780</v>
      </c>
      <c r="C1567" s="16">
        <v>27.0</v>
      </c>
      <c r="D1567" s="16" t="s">
        <v>10444</v>
      </c>
      <c r="E1567" s="16" t="s">
        <v>707</v>
      </c>
      <c r="F1567" s="16">
        <v>2013.0</v>
      </c>
      <c r="G1567" s="16">
        <v>53.9036</v>
      </c>
      <c r="H1567" s="16">
        <v>12.1347</v>
      </c>
      <c r="I1567" s="15"/>
      <c r="J1567" s="15"/>
    </row>
    <row r="1568">
      <c r="A1568" s="18">
        <v>45037.0</v>
      </c>
      <c r="B1568" s="16" t="s">
        <v>11781</v>
      </c>
      <c r="C1568" s="16">
        <v>26.0</v>
      </c>
      <c r="D1568" s="16" t="s">
        <v>10444</v>
      </c>
      <c r="E1568" s="16" t="s">
        <v>707</v>
      </c>
      <c r="F1568" s="16">
        <v>2004.0</v>
      </c>
      <c r="G1568" s="16">
        <v>52.8697</v>
      </c>
      <c r="H1568" s="16">
        <v>7.14</v>
      </c>
      <c r="I1568" s="15"/>
      <c r="J1568" s="15"/>
    </row>
    <row r="1569">
      <c r="A1569" s="18">
        <v>45037.0</v>
      </c>
      <c r="B1569" s="16" t="s">
        <v>11781</v>
      </c>
      <c r="C1569" s="16">
        <v>35.0</v>
      </c>
      <c r="D1569" s="16" t="s">
        <v>10444</v>
      </c>
      <c r="E1569" s="16" t="s">
        <v>707</v>
      </c>
      <c r="F1569" s="16">
        <v>2011.0</v>
      </c>
      <c r="G1569" s="16">
        <v>52.8697</v>
      </c>
      <c r="H1569" s="16">
        <v>7.14</v>
      </c>
      <c r="I1569" s="15"/>
      <c r="J1569" s="15"/>
    </row>
    <row r="1570">
      <c r="A1570" s="18">
        <v>44656.0</v>
      </c>
      <c r="B1570" s="16" t="s">
        <v>11782</v>
      </c>
      <c r="C1570" s="16">
        <v>12.0</v>
      </c>
      <c r="D1570" s="16" t="s">
        <v>10444</v>
      </c>
      <c r="E1570" s="16" t="s">
        <v>707</v>
      </c>
      <c r="F1570" s="16">
        <v>2008.0</v>
      </c>
      <c r="G1570" s="16">
        <v>53.3494</v>
      </c>
      <c r="H1570" s="16">
        <v>7.0158</v>
      </c>
      <c r="I1570" s="15"/>
      <c r="J1570" s="15"/>
    </row>
    <row r="1571">
      <c r="A1571" s="18">
        <v>44656.0</v>
      </c>
      <c r="B1571" s="16" t="s">
        <v>11782</v>
      </c>
      <c r="C1571" s="16">
        <v>13.0</v>
      </c>
      <c r="D1571" s="16" t="s">
        <v>10444</v>
      </c>
      <c r="E1571" s="16" t="s">
        <v>707</v>
      </c>
      <c r="F1571" s="16">
        <v>2011.0</v>
      </c>
      <c r="G1571" s="16">
        <v>53.3494</v>
      </c>
      <c r="H1571" s="16">
        <v>7.0158</v>
      </c>
      <c r="I1571" s="15"/>
      <c r="J1571" s="15"/>
    </row>
    <row r="1572">
      <c r="A1572" s="18">
        <v>44656.0</v>
      </c>
      <c r="B1572" s="16" t="s">
        <v>11783</v>
      </c>
      <c r="C1572" s="16">
        <v>13.0</v>
      </c>
      <c r="D1572" s="16" t="s">
        <v>10444</v>
      </c>
      <c r="E1572" s="16" t="s">
        <v>707</v>
      </c>
      <c r="F1572" s="16">
        <v>2017.0</v>
      </c>
      <c r="G1572" s="16">
        <v>49.5561</v>
      </c>
      <c r="H1572" s="16">
        <v>7.2288</v>
      </c>
      <c r="I1572" s="15"/>
      <c r="J1572" s="15"/>
    </row>
    <row r="1573">
      <c r="A1573" s="18">
        <v>44656.0</v>
      </c>
      <c r="B1573" s="16" t="s">
        <v>11784</v>
      </c>
      <c r="C1573" s="16">
        <v>11.0</v>
      </c>
      <c r="D1573" s="16" t="s">
        <v>10444</v>
      </c>
      <c r="E1573" s="16" t="s">
        <v>707</v>
      </c>
      <c r="F1573" s="16">
        <v>2001.0</v>
      </c>
      <c r="G1573" s="16">
        <v>53.673</v>
      </c>
      <c r="H1573" s="16">
        <v>8.5893</v>
      </c>
      <c r="I1573" s="15"/>
      <c r="J1573" s="15"/>
    </row>
    <row r="1574">
      <c r="A1574" s="18">
        <v>44656.0</v>
      </c>
      <c r="B1574" s="16" t="s">
        <v>11785</v>
      </c>
      <c r="C1574" s="16">
        <v>21.0</v>
      </c>
      <c r="D1574" s="16" t="s">
        <v>10444</v>
      </c>
      <c r="E1574" s="16" t="s">
        <v>707</v>
      </c>
      <c r="F1574" s="16">
        <v>2013.0</v>
      </c>
      <c r="G1574" s="16">
        <v>52.1907</v>
      </c>
      <c r="H1574" s="16">
        <v>7.6216</v>
      </c>
      <c r="I1574" s="15"/>
      <c r="J1574" s="15"/>
    </row>
    <row r="1575">
      <c r="A1575" s="18">
        <v>44656.0</v>
      </c>
      <c r="B1575" s="16" t="s">
        <v>11785</v>
      </c>
      <c r="C1575" s="16">
        <v>18.0</v>
      </c>
      <c r="D1575" s="16" t="s">
        <v>10444</v>
      </c>
      <c r="E1575" s="16" t="s">
        <v>707</v>
      </c>
      <c r="F1575" s="16">
        <v>2018.0</v>
      </c>
      <c r="G1575" s="16">
        <v>52.2134</v>
      </c>
      <c r="H1575" s="16">
        <v>7.5881</v>
      </c>
      <c r="I1575" s="15"/>
      <c r="J1575" s="15"/>
    </row>
    <row r="1576">
      <c r="A1576" s="18">
        <v>45371.0</v>
      </c>
      <c r="B1576" s="16" t="s">
        <v>11786</v>
      </c>
      <c r="C1576" s="16">
        <v>19.0</v>
      </c>
      <c r="D1576" s="16" t="s">
        <v>10444</v>
      </c>
      <c r="E1576" s="16" t="s">
        <v>707</v>
      </c>
      <c r="F1576" s="16">
        <v>2022.0</v>
      </c>
      <c r="G1576" s="16">
        <v>50.7493</v>
      </c>
      <c r="H1576" s="16">
        <v>13.3738</v>
      </c>
      <c r="I1576" s="15"/>
      <c r="J1576" s="15"/>
    </row>
    <row r="1577">
      <c r="A1577" s="18">
        <v>44656.0</v>
      </c>
      <c r="B1577" s="16" t="s">
        <v>11787</v>
      </c>
      <c r="C1577" s="16">
        <v>24.0</v>
      </c>
      <c r="D1577" s="16" t="s">
        <v>10444</v>
      </c>
      <c r="E1577" s="16" t="s">
        <v>707</v>
      </c>
      <c r="F1577" s="16">
        <v>2015.0</v>
      </c>
      <c r="G1577" s="16">
        <v>50.0503</v>
      </c>
      <c r="H1577" s="16">
        <v>10.3506</v>
      </c>
      <c r="I1577" s="15"/>
      <c r="J1577" s="15"/>
    </row>
    <row r="1578">
      <c r="A1578" s="18">
        <v>44656.0</v>
      </c>
      <c r="B1578" s="16" t="s">
        <v>11788</v>
      </c>
      <c r="C1578" s="16">
        <v>26.0</v>
      </c>
      <c r="D1578" s="16" t="s">
        <v>10444</v>
      </c>
      <c r="E1578" s="16" t="s">
        <v>707</v>
      </c>
      <c r="F1578" s="16">
        <v>2004.0</v>
      </c>
      <c r="G1578" s="16">
        <v>51.5569</v>
      </c>
      <c r="H1578" s="16">
        <v>13.8328</v>
      </c>
      <c r="I1578" s="15"/>
      <c r="J1578" s="15"/>
    </row>
    <row r="1579">
      <c r="A1579" s="18">
        <v>44656.0</v>
      </c>
      <c r="B1579" s="16" t="s">
        <v>11789</v>
      </c>
      <c r="C1579" s="16">
        <v>29.0</v>
      </c>
      <c r="D1579" s="16" t="s">
        <v>10444</v>
      </c>
      <c r="E1579" s="16" t="s">
        <v>707</v>
      </c>
      <c r="F1579" s="16">
        <v>2020.0</v>
      </c>
      <c r="G1579" s="16">
        <v>52.1441</v>
      </c>
      <c r="H1579" s="16">
        <v>10.4003</v>
      </c>
      <c r="I1579" s="15"/>
      <c r="J1579" s="15"/>
    </row>
    <row r="1580">
      <c r="A1580" s="18">
        <v>44656.0</v>
      </c>
      <c r="B1580" s="16" t="s">
        <v>11789</v>
      </c>
      <c r="C1580" s="16">
        <v>13.0</v>
      </c>
      <c r="D1580" s="16" t="s">
        <v>10444</v>
      </c>
      <c r="E1580" s="16" t="s">
        <v>707</v>
      </c>
      <c r="F1580" s="16">
        <v>2020.0</v>
      </c>
      <c r="G1580" s="16">
        <v>52.1666</v>
      </c>
      <c r="H1580" s="16">
        <v>10.4146</v>
      </c>
      <c r="I1580" s="15"/>
      <c r="J1580" s="15"/>
    </row>
    <row r="1581">
      <c r="A1581" s="18">
        <v>44656.0</v>
      </c>
      <c r="B1581" s="16" t="s">
        <v>11790</v>
      </c>
      <c r="C1581" s="16">
        <v>10.0</v>
      </c>
      <c r="D1581" s="16" t="s">
        <v>10444</v>
      </c>
      <c r="E1581" s="16" t="s">
        <v>707</v>
      </c>
      <c r="F1581" s="16">
        <v>2007.0</v>
      </c>
      <c r="G1581" s="16">
        <v>52.0627</v>
      </c>
      <c r="H1581" s="16">
        <v>9.5228</v>
      </c>
      <c r="I1581" s="15"/>
      <c r="J1581" s="15"/>
    </row>
    <row r="1582">
      <c r="A1582" s="18">
        <v>45019.0</v>
      </c>
      <c r="B1582" s="16" t="s">
        <v>11791</v>
      </c>
      <c r="C1582" s="16">
        <v>288.0</v>
      </c>
      <c r="D1582" s="16" t="s">
        <v>10462</v>
      </c>
      <c r="E1582" s="16" t="s">
        <v>707</v>
      </c>
      <c r="F1582" s="16">
        <v>2016.0</v>
      </c>
      <c r="G1582" s="16">
        <v>55.19</v>
      </c>
      <c r="H1582" s="16">
        <v>6.86</v>
      </c>
      <c r="I1582" s="15"/>
      <c r="J1582" s="15"/>
    </row>
    <row r="1583">
      <c r="A1583" s="18">
        <v>44656.0</v>
      </c>
      <c r="B1583" s="16" t="s">
        <v>11792</v>
      </c>
      <c r="C1583" s="16">
        <v>12.0</v>
      </c>
      <c r="D1583" s="16" t="s">
        <v>10444</v>
      </c>
      <c r="E1583" s="16" t="s">
        <v>707</v>
      </c>
      <c r="F1583" s="16">
        <v>2015.0</v>
      </c>
      <c r="G1583" s="16">
        <v>53.4181</v>
      </c>
      <c r="H1583" s="16">
        <v>9.1543</v>
      </c>
      <c r="I1583" s="15"/>
      <c r="J1583" s="15"/>
    </row>
    <row r="1584">
      <c r="A1584" s="18">
        <v>45351.0</v>
      </c>
      <c r="B1584" s="16" t="s">
        <v>11793</v>
      </c>
      <c r="C1584" s="16">
        <v>23.0</v>
      </c>
      <c r="D1584" s="16" t="s">
        <v>10444</v>
      </c>
      <c r="E1584" s="16" t="s">
        <v>707</v>
      </c>
      <c r="F1584" s="16">
        <v>2023.0</v>
      </c>
      <c r="G1584" s="16">
        <v>53.4179</v>
      </c>
      <c r="H1584" s="16">
        <v>9.1702</v>
      </c>
      <c r="I1584" s="15"/>
      <c r="J1584" s="15"/>
    </row>
    <row r="1585">
      <c r="A1585" s="18">
        <v>44656.0</v>
      </c>
      <c r="B1585" s="16" t="s">
        <v>11794</v>
      </c>
      <c r="C1585" s="16">
        <v>16.0</v>
      </c>
      <c r="D1585" s="16" t="s">
        <v>10444</v>
      </c>
      <c r="E1585" s="16" t="s">
        <v>707</v>
      </c>
      <c r="F1585" s="16">
        <v>1999.0</v>
      </c>
      <c r="G1585" s="16">
        <v>53.5061</v>
      </c>
      <c r="H1585" s="16">
        <v>7.9886</v>
      </c>
      <c r="I1585" s="15"/>
      <c r="J1585" s="15"/>
    </row>
    <row r="1586">
      <c r="A1586" s="18">
        <v>44656.0</v>
      </c>
      <c r="B1586" s="16" t="s">
        <v>11795</v>
      </c>
      <c r="C1586" s="16">
        <v>15.0</v>
      </c>
      <c r="D1586" s="16" t="s">
        <v>10444</v>
      </c>
      <c r="E1586" s="16" t="s">
        <v>707</v>
      </c>
      <c r="F1586" s="16">
        <v>2013.0</v>
      </c>
      <c r="G1586" s="16">
        <v>50.2488</v>
      </c>
      <c r="H1586" s="16">
        <v>9.2316</v>
      </c>
      <c r="I1586" s="15"/>
      <c r="J1586" s="15"/>
    </row>
    <row r="1587">
      <c r="A1587" s="18">
        <v>44656.0</v>
      </c>
      <c r="B1587" s="16" t="s">
        <v>11796</v>
      </c>
      <c r="C1587" s="16">
        <v>13.0</v>
      </c>
      <c r="D1587" s="16" t="s">
        <v>10444</v>
      </c>
      <c r="E1587" s="16" t="s">
        <v>707</v>
      </c>
      <c r="F1587" s="16">
        <v>2017.0</v>
      </c>
      <c r="G1587" s="16">
        <v>52.2228</v>
      </c>
      <c r="H1587" s="16">
        <v>7.4165</v>
      </c>
      <c r="I1587" s="15"/>
      <c r="J1587" s="15"/>
    </row>
    <row r="1588">
      <c r="A1588" s="18">
        <v>44656.0</v>
      </c>
      <c r="B1588" s="16" t="s">
        <v>11797</v>
      </c>
      <c r="C1588" s="16">
        <v>10.0</v>
      </c>
      <c r="D1588" s="16" t="s">
        <v>10444</v>
      </c>
      <c r="E1588" s="16" t="s">
        <v>707</v>
      </c>
      <c r="F1588" s="16">
        <v>2004.0</v>
      </c>
      <c r="G1588" s="16">
        <v>50.2549</v>
      </c>
      <c r="H1588" s="16">
        <v>6.8969</v>
      </c>
      <c r="I1588" s="15"/>
      <c r="J1588" s="15"/>
    </row>
    <row r="1589">
      <c r="A1589" s="18">
        <v>44656.0</v>
      </c>
      <c r="B1589" s="16" t="s">
        <v>11798</v>
      </c>
      <c r="C1589" s="16">
        <v>16.0</v>
      </c>
      <c r="D1589" s="16" t="s">
        <v>10444</v>
      </c>
      <c r="E1589" s="16" t="s">
        <v>707</v>
      </c>
      <c r="F1589" s="16">
        <v>2012.0</v>
      </c>
      <c r="G1589" s="16">
        <v>53.8226</v>
      </c>
      <c r="H1589" s="16">
        <v>13.1154</v>
      </c>
      <c r="I1589" s="15"/>
      <c r="J1589" s="15"/>
    </row>
    <row r="1590">
      <c r="A1590" s="18">
        <v>45029.0</v>
      </c>
      <c r="B1590" s="16" t="s">
        <v>11799</v>
      </c>
      <c r="C1590" s="16">
        <v>11.0</v>
      </c>
      <c r="D1590" s="16" t="s">
        <v>10444</v>
      </c>
      <c r="E1590" s="16" t="s">
        <v>707</v>
      </c>
      <c r="F1590" s="16">
        <v>2004.0</v>
      </c>
      <c r="G1590" s="16">
        <v>52.0114</v>
      </c>
      <c r="H1590" s="16">
        <v>8.0098</v>
      </c>
      <c r="I1590" s="15"/>
      <c r="J1590" s="15"/>
    </row>
    <row r="1591">
      <c r="A1591" s="18">
        <v>45029.0</v>
      </c>
      <c r="B1591" s="16" t="s">
        <v>11800</v>
      </c>
      <c r="C1591" s="16">
        <v>73.0</v>
      </c>
      <c r="D1591" s="16" t="s">
        <v>10444</v>
      </c>
      <c r="E1591" s="16" t="s">
        <v>707</v>
      </c>
      <c r="F1591" s="16">
        <v>2013.0</v>
      </c>
      <c r="G1591" s="16">
        <v>53.0672</v>
      </c>
      <c r="H1591" s="16">
        <v>7.7505</v>
      </c>
      <c r="I1591" s="15"/>
      <c r="J1591" s="15"/>
    </row>
    <row r="1592">
      <c r="A1592" s="18">
        <v>44656.0</v>
      </c>
      <c r="B1592" s="16" t="s">
        <v>11801</v>
      </c>
      <c r="C1592" s="16">
        <v>23.0</v>
      </c>
      <c r="D1592" s="16" t="s">
        <v>10444</v>
      </c>
      <c r="E1592" s="16" t="s">
        <v>707</v>
      </c>
      <c r="F1592" s="16">
        <v>2000.0</v>
      </c>
      <c r="G1592" s="16">
        <v>51.0358</v>
      </c>
      <c r="H1592" s="16">
        <v>13.1989</v>
      </c>
      <c r="I1592" s="15"/>
      <c r="J1592" s="15"/>
    </row>
    <row r="1593">
      <c r="A1593" s="18">
        <v>44656.0</v>
      </c>
      <c r="B1593" s="16" t="s">
        <v>11801</v>
      </c>
      <c r="C1593" s="16">
        <v>11.0</v>
      </c>
      <c r="D1593" s="16" t="s">
        <v>10444</v>
      </c>
      <c r="E1593" s="16" t="s">
        <v>707</v>
      </c>
      <c r="F1593" s="16">
        <v>2001.0</v>
      </c>
      <c r="G1593" s="16">
        <v>51.0358</v>
      </c>
      <c r="H1593" s="16">
        <v>13.1989</v>
      </c>
      <c r="I1593" s="15"/>
      <c r="J1593" s="15"/>
    </row>
    <row r="1594">
      <c r="A1594" s="18">
        <v>44656.0</v>
      </c>
      <c r="B1594" s="16" t="s">
        <v>11802</v>
      </c>
      <c r="C1594" s="16">
        <v>17.0</v>
      </c>
      <c r="D1594" s="16" t="s">
        <v>10444</v>
      </c>
      <c r="E1594" s="16" t="s">
        <v>707</v>
      </c>
      <c r="F1594" s="16">
        <v>2000.0</v>
      </c>
      <c r="G1594" s="16">
        <v>52.1939</v>
      </c>
      <c r="H1594" s="16">
        <v>10.3847</v>
      </c>
      <c r="I1594" s="15"/>
      <c r="J1594" s="15"/>
    </row>
    <row r="1595">
      <c r="A1595" s="18">
        <v>45364.0</v>
      </c>
      <c r="B1595" s="16" t="s">
        <v>11803</v>
      </c>
      <c r="C1595" s="16">
        <v>17.0</v>
      </c>
      <c r="D1595" s="16" t="s">
        <v>10444</v>
      </c>
      <c r="E1595" s="16" t="s">
        <v>707</v>
      </c>
      <c r="F1595" s="16">
        <v>2023.0</v>
      </c>
      <c r="G1595" s="16">
        <v>53.8481</v>
      </c>
      <c r="H1595" s="16">
        <v>10.4112</v>
      </c>
      <c r="I1595" s="15"/>
      <c r="J1595" s="15"/>
    </row>
    <row r="1596">
      <c r="A1596" s="18">
        <v>44656.0</v>
      </c>
      <c r="B1596" s="16" t="s">
        <v>11804</v>
      </c>
      <c r="C1596" s="16">
        <v>17.0</v>
      </c>
      <c r="D1596" s="16" t="s">
        <v>10444</v>
      </c>
      <c r="E1596" s="16" t="s">
        <v>707</v>
      </c>
      <c r="F1596" s="16">
        <v>2017.0</v>
      </c>
      <c r="G1596" s="16">
        <v>54.7645</v>
      </c>
      <c r="H1596" s="16">
        <v>9.1563</v>
      </c>
      <c r="I1596" s="15"/>
      <c r="J1596" s="15"/>
    </row>
    <row r="1597">
      <c r="A1597" s="18">
        <v>44656.0</v>
      </c>
      <c r="B1597" s="16" t="s">
        <v>11804</v>
      </c>
      <c r="C1597" s="16">
        <v>10.0</v>
      </c>
      <c r="D1597" s="16" t="s">
        <v>10444</v>
      </c>
      <c r="E1597" s="16" t="s">
        <v>707</v>
      </c>
      <c r="F1597" s="16">
        <v>2018.0</v>
      </c>
      <c r="G1597" s="16">
        <v>54.7645</v>
      </c>
      <c r="H1597" s="16">
        <v>9.1563</v>
      </c>
      <c r="I1597" s="15"/>
      <c r="J1597" s="15"/>
    </row>
    <row r="1598">
      <c r="A1598" s="18">
        <v>44656.0</v>
      </c>
      <c r="B1598" s="16" t="s">
        <v>11805</v>
      </c>
      <c r="C1598" s="16">
        <v>23.0</v>
      </c>
      <c r="D1598" s="16" t="s">
        <v>10444</v>
      </c>
      <c r="E1598" s="16" t="s">
        <v>707</v>
      </c>
      <c r="F1598" s="16">
        <v>2017.0</v>
      </c>
      <c r="G1598" s="16">
        <v>53.337</v>
      </c>
      <c r="H1598" s="16">
        <v>10.1697</v>
      </c>
      <c r="I1598" s="15"/>
      <c r="J1598" s="15"/>
    </row>
    <row r="1599">
      <c r="A1599" s="18">
        <v>44656.0</v>
      </c>
      <c r="B1599" s="16" t="s">
        <v>11806</v>
      </c>
      <c r="C1599" s="16">
        <v>14.0</v>
      </c>
      <c r="D1599" s="16" t="s">
        <v>10444</v>
      </c>
      <c r="E1599" s="16" t="s">
        <v>707</v>
      </c>
      <c r="F1599" s="16">
        <v>2005.0</v>
      </c>
      <c r="G1599" s="16">
        <v>53.0663</v>
      </c>
      <c r="H1599" s="16">
        <v>7.7448</v>
      </c>
      <c r="I1599" s="15"/>
      <c r="J1599" s="15"/>
    </row>
    <row r="1600">
      <c r="A1600" s="18">
        <v>44656.0</v>
      </c>
      <c r="B1600" s="16" t="s">
        <v>11807</v>
      </c>
      <c r="C1600" s="16">
        <v>10.0</v>
      </c>
      <c r="D1600" s="16" t="s">
        <v>10444</v>
      </c>
      <c r="E1600" s="16" t="s">
        <v>707</v>
      </c>
      <c r="F1600" s="16">
        <v>2004.0</v>
      </c>
      <c r="G1600" s="16">
        <v>51.4484</v>
      </c>
      <c r="H1600" s="16">
        <v>14.369</v>
      </c>
      <c r="I1600" s="15"/>
      <c r="J1600" s="15"/>
    </row>
    <row r="1601">
      <c r="A1601" s="18">
        <v>44656.0</v>
      </c>
      <c r="B1601" s="16" t="s">
        <v>11808</v>
      </c>
      <c r="C1601" s="16">
        <v>10.0</v>
      </c>
      <c r="D1601" s="16" t="s">
        <v>10444</v>
      </c>
      <c r="E1601" s="16" t="s">
        <v>707</v>
      </c>
      <c r="F1601" s="16">
        <v>2016.0</v>
      </c>
      <c r="G1601" s="16">
        <v>51.9642</v>
      </c>
      <c r="H1601" s="16">
        <v>14.6083</v>
      </c>
      <c r="I1601" s="15"/>
      <c r="J1601" s="15"/>
    </row>
    <row r="1602">
      <c r="A1602" s="18">
        <v>44656.0</v>
      </c>
      <c r="B1602" s="16" t="s">
        <v>11809</v>
      </c>
      <c r="C1602" s="16">
        <v>12.0</v>
      </c>
      <c r="D1602" s="16" t="s">
        <v>10444</v>
      </c>
      <c r="E1602" s="16" t="s">
        <v>707</v>
      </c>
      <c r="F1602" s="16">
        <v>2009.0</v>
      </c>
      <c r="G1602" s="16">
        <v>51.9582</v>
      </c>
      <c r="H1602" s="16">
        <v>14.607</v>
      </c>
      <c r="I1602" s="15"/>
      <c r="J1602" s="15"/>
    </row>
    <row r="1603">
      <c r="A1603" s="18">
        <v>45364.0</v>
      </c>
      <c r="B1603" s="16" t="s">
        <v>11810</v>
      </c>
      <c r="C1603" s="16">
        <v>20.0</v>
      </c>
      <c r="D1603" s="16" t="s">
        <v>10444</v>
      </c>
      <c r="E1603" s="16" t="s">
        <v>707</v>
      </c>
      <c r="F1603" s="16">
        <v>2024.0</v>
      </c>
      <c r="G1603" s="16">
        <v>50.7977</v>
      </c>
      <c r="H1603" s="16">
        <v>9.8663</v>
      </c>
      <c r="I1603" s="15"/>
      <c r="J1603" s="15"/>
    </row>
    <row r="1604">
      <c r="A1604" s="18">
        <v>44656.0</v>
      </c>
      <c r="B1604" s="16" t="s">
        <v>11811</v>
      </c>
      <c r="C1604" s="16">
        <v>16.0</v>
      </c>
      <c r="D1604" s="16" t="s">
        <v>10444</v>
      </c>
      <c r="E1604" s="16" t="s">
        <v>707</v>
      </c>
      <c r="F1604" s="16">
        <v>2007.0</v>
      </c>
      <c r="G1604" s="16">
        <v>52.213</v>
      </c>
      <c r="H1604" s="16">
        <v>11.8291</v>
      </c>
      <c r="I1604" s="15"/>
      <c r="J1604" s="15"/>
    </row>
    <row r="1605">
      <c r="A1605" s="18">
        <v>45667.0</v>
      </c>
      <c r="B1605" s="16" t="s">
        <v>11812</v>
      </c>
      <c r="C1605" s="16">
        <v>11.0</v>
      </c>
      <c r="D1605" s="16" t="s">
        <v>10444</v>
      </c>
      <c r="E1605" s="16" t="s">
        <v>707</v>
      </c>
      <c r="F1605" s="16">
        <v>2024.0</v>
      </c>
      <c r="G1605" s="16">
        <v>51.9003</v>
      </c>
      <c r="H1605" s="16">
        <v>9.1433</v>
      </c>
      <c r="I1605" s="15"/>
      <c r="J1605" s="15"/>
    </row>
    <row r="1606">
      <c r="A1606" s="18">
        <v>44656.0</v>
      </c>
      <c r="B1606" s="16" t="s">
        <v>11813</v>
      </c>
      <c r="C1606" s="16">
        <v>15.0</v>
      </c>
      <c r="D1606" s="16" t="s">
        <v>10444</v>
      </c>
      <c r="E1606" s="16" t="s">
        <v>707</v>
      </c>
      <c r="F1606" s="16">
        <v>2014.0</v>
      </c>
      <c r="G1606" s="16">
        <v>49.3854</v>
      </c>
      <c r="H1606" s="16">
        <v>7.1481</v>
      </c>
      <c r="I1606" s="15"/>
      <c r="J1606" s="15"/>
    </row>
    <row r="1607">
      <c r="A1607" s="18">
        <v>44656.0</v>
      </c>
      <c r="B1607" s="16" t="s">
        <v>11814</v>
      </c>
      <c r="C1607" s="16">
        <v>17.0</v>
      </c>
      <c r="D1607" s="16" t="s">
        <v>10444</v>
      </c>
      <c r="E1607" s="16" t="s">
        <v>707</v>
      </c>
      <c r="F1607" s="16">
        <v>2017.0</v>
      </c>
      <c r="G1607" s="16">
        <v>50.1612</v>
      </c>
      <c r="H1607" s="16">
        <v>11.377</v>
      </c>
      <c r="I1607" s="15"/>
      <c r="J1607" s="15"/>
    </row>
    <row r="1608">
      <c r="A1608" s="18">
        <v>45026.0</v>
      </c>
      <c r="B1608" s="16" t="s">
        <v>11815</v>
      </c>
      <c r="C1608" s="16">
        <v>10.0</v>
      </c>
      <c r="D1608" s="16" t="s">
        <v>10444</v>
      </c>
      <c r="E1608" s="16" t="s">
        <v>707</v>
      </c>
      <c r="F1608" s="16">
        <v>2008.0</v>
      </c>
      <c r="G1608" s="16">
        <v>52.6568</v>
      </c>
      <c r="H1608" s="16">
        <v>11.7017</v>
      </c>
      <c r="I1608" s="15"/>
      <c r="J1608" s="15"/>
    </row>
    <row r="1609">
      <c r="A1609" s="18">
        <v>45026.0</v>
      </c>
      <c r="B1609" s="16" t="s">
        <v>11815</v>
      </c>
      <c r="C1609" s="16">
        <v>10.0</v>
      </c>
      <c r="D1609" s="16" t="s">
        <v>10444</v>
      </c>
      <c r="E1609" s="16" t="s">
        <v>707</v>
      </c>
      <c r="F1609" s="16">
        <v>2008.0</v>
      </c>
      <c r="G1609" s="16">
        <v>52.664</v>
      </c>
      <c r="H1609" s="16">
        <v>11.7135</v>
      </c>
      <c r="I1609" s="15"/>
      <c r="J1609" s="15"/>
    </row>
    <row r="1610">
      <c r="A1610" s="18">
        <v>44656.0</v>
      </c>
      <c r="B1610" s="16" t="s">
        <v>11815</v>
      </c>
      <c r="C1610" s="16">
        <v>10.0</v>
      </c>
      <c r="D1610" s="16" t="s">
        <v>10444</v>
      </c>
      <c r="E1610" s="16" t="s">
        <v>707</v>
      </c>
      <c r="F1610" s="16">
        <v>2008.0</v>
      </c>
      <c r="G1610" s="16">
        <v>52.6616</v>
      </c>
      <c r="H1610" s="16">
        <v>11.7066</v>
      </c>
      <c r="I1610" s="15"/>
      <c r="J1610" s="15"/>
    </row>
    <row r="1611">
      <c r="A1611" s="18">
        <v>45026.0</v>
      </c>
      <c r="B1611" s="16" t="s">
        <v>11815</v>
      </c>
      <c r="C1611" s="16">
        <v>10.0</v>
      </c>
      <c r="D1611" s="16" t="s">
        <v>10444</v>
      </c>
      <c r="E1611" s="16" t="s">
        <v>707</v>
      </c>
      <c r="F1611" s="16">
        <v>2009.0</v>
      </c>
      <c r="G1611" s="16">
        <v>52.6736</v>
      </c>
      <c r="H1611" s="16">
        <v>11.7062</v>
      </c>
      <c r="I1611" s="15"/>
      <c r="J1611" s="15"/>
    </row>
    <row r="1612">
      <c r="A1612" s="18">
        <v>44656.0</v>
      </c>
      <c r="B1612" s="16" t="s">
        <v>11815</v>
      </c>
      <c r="C1612" s="16">
        <v>10.0</v>
      </c>
      <c r="D1612" s="16" t="s">
        <v>10444</v>
      </c>
      <c r="E1612" s="16" t="s">
        <v>707</v>
      </c>
      <c r="F1612" s="16">
        <v>2009.0</v>
      </c>
      <c r="G1612" s="16">
        <v>52.6616</v>
      </c>
      <c r="H1612" s="16">
        <v>11.7066</v>
      </c>
      <c r="I1612" s="15"/>
      <c r="J1612" s="15"/>
    </row>
    <row r="1613">
      <c r="A1613" s="18">
        <v>44656.0</v>
      </c>
      <c r="B1613" s="16" t="s">
        <v>11816</v>
      </c>
      <c r="C1613" s="16">
        <v>33.0</v>
      </c>
      <c r="D1613" s="16" t="s">
        <v>10444</v>
      </c>
      <c r="E1613" s="16" t="s">
        <v>707</v>
      </c>
      <c r="F1613" s="16">
        <v>2020.0</v>
      </c>
      <c r="G1613" s="16">
        <v>51.5145</v>
      </c>
      <c r="H1613" s="16">
        <v>13.8687</v>
      </c>
      <c r="I1613" s="15"/>
      <c r="J1613" s="15"/>
    </row>
    <row r="1614">
      <c r="A1614" s="18">
        <v>44998.0</v>
      </c>
      <c r="B1614" s="16" t="s">
        <v>11817</v>
      </c>
      <c r="C1614" s="16">
        <v>28.0</v>
      </c>
      <c r="D1614" s="16" t="s">
        <v>10444</v>
      </c>
      <c r="E1614" s="16" t="s">
        <v>707</v>
      </c>
      <c r="F1614" s="16">
        <v>2007.0</v>
      </c>
      <c r="G1614" s="16">
        <v>51.2547</v>
      </c>
      <c r="H1614" s="16">
        <v>11.9825</v>
      </c>
      <c r="I1614" s="15"/>
      <c r="J1614" s="15"/>
    </row>
    <row r="1615">
      <c r="A1615" s="18">
        <v>44656.0</v>
      </c>
      <c r="B1615" s="16" t="s">
        <v>11818</v>
      </c>
      <c r="C1615" s="16">
        <v>37.0</v>
      </c>
      <c r="D1615" s="16" t="s">
        <v>10444</v>
      </c>
      <c r="E1615" s="16" t="s">
        <v>707</v>
      </c>
      <c r="F1615" s="16">
        <v>2010.0</v>
      </c>
      <c r="G1615" s="16">
        <v>52.1678</v>
      </c>
      <c r="H1615" s="16">
        <v>12.8294</v>
      </c>
      <c r="I1615" s="15"/>
      <c r="J1615" s="15"/>
    </row>
    <row r="1616">
      <c r="A1616" s="18">
        <v>45029.0</v>
      </c>
      <c r="B1616" s="16" t="s">
        <v>11818</v>
      </c>
      <c r="C1616" s="16">
        <v>15.0</v>
      </c>
      <c r="D1616" s="16" t="s">
        <v>10444</v>
      </c>
      <c r="E1616" s="16" t="s">
        <v>707</v>
      </c>
      <c r="F1616" s="16">
        <v>2016.0</v>
      </c>
      <c r="G1616" s="16">
        <v>52.1804</v>
      </c>
      <c r="H1616" s="16">
        <v>12.8349</v>
      </c>
      <c r="I1616" s="15"/>
      <c r="J1616" s="15"/>
    </row>
    <row r="1617">
      <c r="A1617" s="18">
        <v>45029.0</v>
      </c>
      <c r="B1617" s="16" t="s">
        <v>11819</v>
      </c>
      <c r="C1617" s="16">
        <v>12.0</v>
      </c>
      <c r="D1617" s="16" t="s">
        <v>10444</v>
      </c>
      <c r="E1617" s="16" t="s">
        <v>707</v>
      </c>
      <c r="F1617" s="16">
        <v>2016.0</v>
      </c>
      <c r="G1617" s="16">
        <v>54.5247</v>
      </c>
      <c r="H1617" s="16">
        <v>9.905</v>
      </c>
      <c r="I1617" s="15"/>
      <c r="J1617" s="15"/>
    </row>
    <row r="1618">
      <c r="A1618" s="18">
        <v>44656.0</v>
      </c>
      <c r="B1618" s="16" t="s">
        <v>11820</v>
      </c>
      <c r="C1618" s="16">
        <v>40.0</v>
      </c>
      <c r="D1618" s="16" t="s">
        <v>10444</v>
      </c>
      <c r="E1618" s="16" t="s">
        <v>707</v>
      </c>
      <c r="F1618" s="16">
        <v>2015.0</v>
      </c>
      <c r="G1618" s="16">
        <v>50.5057</v>
      </c>
      <c r="H1618" s="16">
        <v>6.3636</v>
      </c>
      <c r="I1618" s="15"/>
      <c r="J1618" s="15"/>
    </row>
    <row r="1619">
      <c r="A1619" s="18">
        <v>44656.0</v>
      </c>
      <c r="B1619" s="16" t="s">
        <v>11821</v>
      </c>
      <c r="C1619" s="16">
        <v>40.0</v>
      </c>
      <c r="D1619" s="16" t="s">
        <v>10444</v>
      </c>
      <c r="E1619" s="16" t="s">
        <v>707</v>
      </c>
      <c r="F1619" s="16">
        <v>2015.0</v>
      </c>
      <c r="G1619" s="16">
        <v>50.5459</v>
      </c>
      <c r="H1619" s="16">
        <v>6.444</v>
      </c>
      <c r="I1619" s="15"/>
      <c r="J1619" s="15"/>
    </row>
    <row r="1620">
      <c r="A1620" s="18">
        <v>44656.0</v>
      </c>
      <c r="B1620" s="16" t="s">
        <v>11822</v>
      </c>
      <c r="C1620" s="16">
        <v>16.0</v>
      </c>
      <c r="D1620" s="16" t="s">
        <v>10444</v>
      </c>
      <c r="E1620" s="16" t="s">
        <v>707</v>
      </c>
      <c r="F1620" s="16">
        <v>2009.0</v>
      </c>
      <c r="G1620" s="16">
        <v>51.7314</v>
      </c>
      <c r="H1620" s="16">
        <v>13.4105</v>
      </c>
      <c r="I1620" s="15"/>
      <c r="J1620" s="15"/>
    </row>
    <row r="1621">
      <c r="A1621" s="18">
        <v>44656.0</v>
      </c>
      <c r="B1621" s="16" t="s">
        <v>11823</v>
      </c>
      <c r="C1621" s="16">
        <v>12.0</v>
      </c>
      <c r="D1621" s="16" t="s">
        <v>10444</v>
      </c>
      <c r="E1621" s="16" t="s">
        <v>707</v>
      </c>
      <c r="F1621" s="16">
        <v>2006.0</v>
      </c>
      <c r="G1621" s="16">
        <v>51.0997</v>
      </c>
      <c r="H1621" s="16">
        <v>11.1891</v>
      </c>
      <c r="I1621" s="15"/>
      <c r="J1621" s="15"/>
    </row>
    <row r="1622">
      <c r="A1622" s="18">
        <v>44656.0</v>
      </c>
      <c r="B1622" s="16" t="s">
        <v>11824</v>
      </c>
      <c r="C1622" s="16">
        <v>15.0</v>
      </c>
      <c r="D1622" s="16" t="s">
        <v>10444</v>
      </c>
      <c r="E1622" s="16" t="s">
        <v>707</v>
      </c>
      <c r="F1622" s="16">
        <v>2015.0</v>
      </c>
      <c r="G1622" s="16">
        <v>50.2204</v>
      </c>
      <c r="H1622" s="16">
        <v>9.2899</v>
      </c>
      <c r="I1622" s="15"/>
      <c r="J1622" s="15"/>
    </row>
    <row r="1623">
      <c r="A1623" s="18">
        <v>44656.0</v>
      </c>
      <c r="B1623" s="16" t="s">
        <v>11825</v>
      </c>
      <c r="C1623" s="16">
        <v>11.0</v>
      </c>
      <c r="D1623" s="16" t="s">
        <v>10444</v>
      </c>
      <c r="E1623" s="16" t="s">
        <v>707</v>
      </c>
      <c r="F1623" s="16">
        <v>2002.0</v>
      </c>
      <c r="G1623" s="16">
        <v>50.3814</v>
      </c>
      <c r="H1623" s="16">
        <v>9.5677</v>
      </c>
      <c r="I1623" s="15"/>
      <c r="J1623" s="15"/>
    </row>
    <row r="1624">
      <c r="A1624" s="18">
        <v>44656.0</v>
      </c>
      <c r="B1624" s="16" t="s">
        <v>11826</v>
      </c>
      <c r="C1624" s="16">
        <v>28.0</v>
      </c>
      <c r="D1624" s="16" t="s">
        <v>10444</v>
      </c>
      <c r="E1624" s="16" t="s">
        <v>707</v>
      </c>
      <c r="F1624" s="16">
        <v>2015.0</v>
      </c>
      <c r="G1624" s="16">
        <v>50.3876</v>
      </c>
      <c r="H1624" s="16">
        <v>9.4753</v>
      </c>
      <c r="I1624" s="15"/>
      <c r="J1624" s="15"/>
    </row>
    <row r="1625">
      <c r="A1625" s="18">
        <v>44656.0</v>
      </c>
      <c r="B1625" s="16" t="s">
        <v>11827</v>
      </c>
      <c r="C1625" s="16">
        <v>13.0</v>
      </c>
      <c r="D1625" s="16" t="s">
        <v>10444</v>
      </c>
      <c r="E1625" s="16" t="s">
        <v>707</v>
      </c>
      <c r="F1625" s="16">
        <v>2020.0</v>
      </c>
      <c r="G1625" s="16">
        <v>52.4905</v>
      </c>
      <c r="H1625" s="16">
        <v>9.0505</v>
      </c>
      <c r="I1625" s="15"/>
      <c r="J1625" s="15"/>
    </row>
    <row r="1626">
      <c r="A1626" s="18">
        <v>44656.0</v>
      </c>
      <c r="B1626" s="16" t="s">
        <v>11828</v>
      </c>
      <c r="C1626" s="16">
        <v>16.0</v>
      </c>
      <c r="D1626" s="16" t="s">
        <v>10444</v>
      </c>
      <c r="E1626" s="16" t="s">
        <v>707</v>
      </c>
      <c r="F1626" s="16">
        <v>2008.0</v>
      </c>
      <c r="G1626" s="16">
        <v>52.6165</v>
      </c>
      <c r="H1626" s="16">
        <v>10.3641</v>
      </c>
      <c r="I1626" s="15"/>
      <c r="J1626" s="15"/>
    </row>
    <row r="1627">
      <c r="A1627" s="18">
        <v>44656.0</v>
      </c>
      <c r="B1627" s="16" t="s">
        <v>11828</v>
      </c>
      <c r="C1627" s="16">
        <v>12.0</v>
      </c>
      <c r="D1627" s="16" t="s">
        <v>10444</v>
      </c>
      <c r="E1627" s="16" t="s">
        <v>707</v>
      </c>
      <c r="F1627" s="16">
        <v>2010.0</v>
      </c>
      <c r="G1627" s="16">
        <v>52.6187</v>
      </c>
      <c r="H1627" s="16">
        <v>10.3597</v>
      </c>
      <c r="I1627" s="15"/>
      <c r="J1627" s="15"/>
    </row>
    <row r="1628">
      <c r="A1628" s="18">
        <v>44656.0</v>
      </c>
      <c r="B1628" s="16" t="s">
        <v>11829</v>
      </c>
      <c r="C1628" s="16">
        <v>13.0</v>
      </c>
      <c r="D1628" s="16" t="s">
        <v>10444</v>
      </c>
      <c r="E1628" s="16" t="s">
        <v>707</v>
      </c>
      <c r="F1628" s="16">
        <v>2017.0</v>
      </c>
      <c r="G1628" s="16">
        <v>53.3115</v>
      </c>
      <c r="H1628" s="16">
        <v>14.0732</v>
      </c>
      <c r="I1628" s="15"/>
      <c r="J1628" s="15"/>
    </row>
    <row r="1629">
      <c r="A1629" s="18">
        <v>45029.0</v>
      </c>
      <c r="B1629" s="16" t="s">
        <v>11830</v>
      </c>
      <c r="C1629" s="16">
        <v>26.0</v>
      </c>
      <c r="D1629" s="16" t="s">
        <v>10444</v>
      </c>
      <c r="E1629" s="16" t="s">
        <v>707</v>
      </c>
      <c r="F1629" s="16">
        <v>2017.0</v>
      </c>
      <c r="G1629" s="16">
        <v>54.7731</v>
      </c>
      <c r="H1629" s="16">
        <v>8.9284</v>
      </c>
      <c r="I1629" s="15"/>
      <c r="J1629" s="15"/>
    </row>
    <row r="1630">
      <c r="A1630" s="18">
        <v>44656.0</v>
      </c>
      <c r="B1630" s="16" t="s">
        <v>11831</v>
      </c>
      <c r="C1630" s="16">
        <v>10.0</v>
      </c>
      <c r="D1630" s="16" t="s">
        <v>10444</v>
      </c>
      <c r="E1630" s="16" t="s">
        <v>707</v>
      </c>
      <c r="F1630" s="16">
        <v>2019.0</v>
      </c>
      <c r="G1630" s="16">
        <v>49.6787</v>
      </c>
      <c r="H1630" s="16">
        <v>7.896</v>
      </c>
      <c r="I1630" s="15"/>
      <c r="J1630" s="15"/>
    </row>
    <row r="1631">
      <c r="A1631" s="18">
        <v>44656.0</v>
      </c>
      <c r="B1631" s="16" t="s">
        <v>11832</v>
      </c>
      <c r="C1631" s="16">
        <v>20.0</v>
      </c>
      <c r="D1631" s="16" t="s">
        <v>10444</v>
      </c>
      <c r="E1631" s="16" t="s">
        <v>707</v>
      </c>
      <c r="F1631" s="16">
        <v>2002.0</v>
      </c>
      <c r="G1631" s="16">
        <v>51.7672</v>
      </c>
      <c r="H1631" s="16">
        <v>12.7231</v>
      </c>
      <c r="I1631" s="15"/>
      <c r="J1631" s="15"/>
    </row>
    <row r="1632">
      <c r="A1632" s="18">
        <v>45355.0</v>
      </c>
      <c r="B1632" s="16" t="s">
        <v>11833</v>
      </c>
      <c r="C1632" s="16">
        <v>16.0</v>
      </c>
      <c r="D1632" s="16" t="s">
        <v>10444</v>
      </c>
      <c r="E1632" s="16" t="s">
        <v>707</v>
      </c>
      <c r="F1632" s="16">
        <v>2023.0</v>
      </c>
      <c r="G1632" s="16">
        <v>53.8079</v>
      </c>
      <c r="H1632" s="16">
        <v>9.5494</v>
      </c>
      <c r="I1632" s="15"/>
      <c r="J1632" s="15"/>
    </row>
    <row r="1633">
      <c r="A1633" s="18">
        <v>44656.0</v>
      </c>
      <c r="B1633" s="16" t="s">
        <v>11834</v>
      </c>
      <c r="C1633" s="16">
        <v>18.0</v>
      </c>
      <c r="D1633" s="16" t="s">
        <v>10444</v>
      </c>
      <c r="E1633" s="16" t="s">
        <v>707</v>
      </c>
      <c r="F1633" s="15"/>
      <c r="G1633" s="16">
        <v>53.2453</v>
      </c>
      <c r="H1633" s="16">
        <v>13.9151</v>
      </c>
      <c r="I1633" s="15"/>
      <c r="J1633" s="15"/>
    </row>
    <row r="1634">
      <c r="A1634" s="18">
        <v>44656.0</v>
      </c>
      <c r="B1634" s="16" t="s">
        <v>11835</v>
      </c>
      <c r="C1634" s="16">
        <v>13.0</v>
      </c>
      <c r="D1634" s="16" t="s">
        <v>10444</v>
      </c>
      <c r="E1634" s="16" t="s">
        <v>707</v>
      </c>
      <c r="F1634" s="16">
        <v>2004.0</v>
      </c>
      <c r="G1634" s="16">
        <v>52.7457</v>
      </c>
      <c r="H1634" s="16">
        <v>8.7917</v>
      </c>
      <c r="I1634" s="15"/>
      <c r="J1634" s="15"/>
    </row>
    <row r="1635">
      <c r="A1635" s="18">
        <v>44998.0</v>
      </c>
      <c r="B1635" s="16" t="s">
        <v>11835</v>
      </c>
      <c r="C1635" s="16">
        <v>18.0</v>
      </c>
      <c r="D1635" s="16" t="s">
        <v>10444</v>
      </c>
      <c r="E1635" s="16" t="s">
        <v>707</v>
      </c>
      <c r="F1635" s="16">
        <v>2004.0</v>
      </c>
      <c r="G1635" s="16">
        <v>52.7403</v>
      </c>
      <c r="H1635" s="16">
        <v>8.7673</v>
      </c>
      <c r="I1635" s="15"/>
      <c r="J1635" s="15"/>
    </row>
    <row r="1636">
      <c r="A1636" s="18">
        <v>44656.0</v>
      </c>
      <c r="B1636" s="16" t="s">
        <v>11836</v>
      </c>
      <c r="C1636" s="16">
        <v>19.0</v>
      </c>
      <c r="D1636" s="16" t="s">
        <v>10444</v>
      </c>
      <c r="E1636" s="16" t="s">
        <v>707</v>
      </c>
      <c r="F1636" s="16">
        <v>2019.0</v>
      </c>
      <c r="G1636" s="16">
        <v>53.8446</v>
      </c>
      <c r="H1636" s="16">
        <v>10.963</v>
      </c>
      <c r="I1636" s="15"/>
      <c r="J1636" s="15"/>
    </row>
    <row r="1637">
      <c r="A1637" s="18">
        <v>44656.0</v>
      </c>
      <c r="B1637" s="16" t="s">
        <v>11837</v>
      </c>
      <c r="C1637" s="16">
        <v>13.0</v>
      </c>
      <c r="D1637" s="16" t="s">
        <v>10444</v>
      </c>
      <c r="E1637" s="16" t="s">
        <v>707</v>
      </c>
      <c r="F1637" s="16">
        <v>2020.0</v>
      </c>
      <c r="G1637" s="16">
        <v>52.3886</v>
      </c>
      <c r="H1637" s="16">
        <v>13.5048</v>
      </c>
      <c r="I1637" s="15"/>
      <c r="J1637" s="15"/>
    </row>
    <row r="1638">
      <c r="A1638" s="18">
        <v>44656.0</v>
      </c>
      <c r="B1638" s="16" t="s">
        <v>11838</v>
      </c>
      <c r="C1638" s="16">
        <v>10.0</v>
      </c>
      <c r="D1638" s="16" t="s">
        <v>10444</v>
      </c>
      <c r="E1638" s="16" t="s">
        <v>707</v>
      </c>
      <c r="F1638" s="16">
        <v>2004.0</v>
      </c>
      <c r="G1638" s="16">
        <v>53.1812</v>
      </c>
      <c r="H1638" s="16">
        <v>12.1214</v>
      </c>
      <c r="I1638" s="15"/>
      <c r="J1638" s="15"/>
    </row>
    <row r="1639">
      <c r="A1639" s="18">
        <v>44656.0</v>
      </c>
      <c r="B1639" s="16" t="s">
        <v>11839</v>
      </c>
      <c r="C1639" s="16">
        <v>24.0</v>
      </c>
      <c r="D1639" s="16" t="s">
        <v>10444</v>
      </c>
      <c r="E1639" s="16" t="s">
        <v>707</v>
      </c>
      <c r="F1639" s="16">
        <v>2009.0</v>
      </c>
      <c r="G1639" s="16">
        <v>53.4303</v>
      </c>
      <c r="H1639" s="16">
        <v>14.0408</v>
      </c>
      <c r="I1639" s="15"/>
      <c r="J1639" s="15"/>
    </row>
    <row r="1640">
      <c r="A1640" s="18">
        <v>44656.0</v>
      </c>
      <c r="B1640" s="16" t="s">
        <v>11839</v>
      </c>
      <c r="C1640" s="16">
        <v>34.0</v>
      </c>
      <c r="D1640" s="16" t="s">
        <v>10444</v>
      </c>
      <c r="E1640" s="16" t="s">
        <v>707</v>
      </c>
      <c r="F1640" s="16">
        <v>2015.0</v>
      </c>
      <c r="G1640" s="16">
        <v>53.2407</v>
      </c>
      <c r="H1640" s="16">
        <v>14.1937</v>
      </c>
      <c r="I1640" s="15"/>
      <c r="J1640" s="15"/>
    </row>
    <row r="1641">
      <c r="A1641" s="18">
        <v>45029.0</v>
      </c>
      <c r="B1641" s="16" t="s">
        <v>11839</v>
      </c>
      <c r="C1641" s="16">
        <v>10.0</v>
      </c>
      <c r="D1641" s="16" t="s">
        <v>10444</v>
      </c>
      <c r="E1641" s="16" t="s">
        <v>707</v>
      </c>
      <c r="F1641" s="16">
        <v>2017.0</v>
      </c>
      <c r="G1641" s="16">
        <v>53.255</v>
      </c>
      <c r="H1641" s="16">
        <v>14.1788</v>
      </c>
      <c r="I1641" s="15"/>
      <c r="J1641" s="15"/>
    </row>
    <row r="1642">
      <c r="A1642" s="18">
        <v>45029.0</v>
      </c>
      <c r="B1642" s="16" t="s">
        <v>11839</v>
      </c>
      <c r="C1642" s="16">
        <v>17.0</v>
      </c>
      <c r="D1642" s="16" t="s">
        <v>10444</v>
      </c>
      <c r="E1642" s="16" t="s">
        <v>707</v>
      </c>
      <c r="F1642" s="16">
        <v>2021.0</v>
      </c>
      <c r="G1642" s="16">
        <v>53.3274</v>
      </c>
      <c r="H1642" s="16">
        <v>14.3944</v>
      </c>
      <c r="I1642" s="15"/>
      <c r="J1642" s="15"/>
    </row>
    <row r="1643">
      <c r="A1643" s="18">
        <v>44656.0</v>
      </c>
      <c r="B1643" s="16" t="s">
        <v>11840</v>
      </c>
      <c r="C1643" s="16">
        <v>12.0</v>
      </c>
      <c r="D1643" s="16" t="s">
        <v>10444</v>
      </c>
      <c r="E1643" s="16" t="s">
        <v>707</v>
      </c>
      <c r="F1643" s="16">
        <v>2012.0</v>
      </c>
      <c r="G1643" s="16">
        <v>50.0476</v>
      </c>
      <c r="H1643" s="16">
        <v>10.3467</v>
      </c>
      <c r="I1643" s="15"/>
      <c r="J1643" s="15"/>
    </row>
    <row r="1644">
      <c r="A1644" s="18">
        <v>44656.0</v>
      </c>
      <c r="B1644" s="16" t="s">
        <v>11841</v>
      </c>
      <c r="C1644" s="16">
        <v>22.0</v>
      </c>
      <c r="D1644" s="16" t="s">
        <v>10444</v>
      </c>
      <c r="E1644" s="16" t="s">
        <v>707</v>
      </c>
      <c r="F1644" s="16">
        <v>2007.0</v>
      </c>
      <c r="G1644" s="16">
        <v>51.9468</v>
      </c>
      <c r="H1644" s="16">
        <v>7.7891</v>
      </c>
      <c r="I1644" s="15"/>
      <c r="J1644" s="15"/>
    </row>
    <row r="1645">
      <c r="A1645" s="18">
        <v>44656.0</v>
      </c>
      <c r="B1645" s="16" t="s">
        <v>11842</v>
      </c>
      <c r="C1645" s="16">
        <v>17.0</v>
      </c>
      <c r="D1645" s="16" t="s">
        <v>10444</v>
      </c>
      <c r="E1645" s="16" t="s">
        <v>707</v>
      </c>
      <c r="F1645" s="16">
        <v>2017.0</v>
      </c>
      <c r="G1645" s="16">
        <v>54.1674</v>
      </c>
      <c r="H1645" s="16">
        <v>10.8271</v>
      </c>
      <c r="I1645" s="15"/>
      <c r="J1645" s="15"/>
    </row>
    <row r="1646">
      <c r="A1646" s="18">
        <v>45376.0</v>
      </c>
      <c r="B1646" s="16" t="s">
        <v>11843</v>
      </c>
      <c r="C1646" s="16">
        <v>11.0</v>
      </c>
      <c r="D1646" s="16" t="s">
        <v>10444</v>
      </c>
      <c r="E1646" s="16" t="s">
        <v>707</v>
      </c>
      <c r="F1646" s="16">
        <v>2023.0</v>
      </c>
      <c r="G1646" s="16">
        <v>52.0786</v>
      </c>
      <c r="H1646" s="16">
        <v>7.2006</v>
      </c>
      <c r="I1646" s="15"/>
      <c r="J1646" s="15"/>
    </row>
    <row r="1647">
      <c r="A1647" s="18">
        <v>45359.0</v>
      </c>
      <c r="B1647" s="16" t="s">
        <v>11844</v>
      </c>
      <c r="C1647" s="16">
        <v>16.0</v>
      </c>
      <c r="D1647" s="16" t="s">
        <v>10444</v>
      </c>
      <c r="E1647" s="16" t="s">
        <v>707</v>
      </c>
      <c r="F1647" s="16">
        <v>2023.0</v>
      </c>
      <c r="G1647" s="16">
        <v>52.081</v>
      </c>
      <c r="H1647" s="16">
        <v>7.2638</v>
      </c>
      <c r="I1647" s="15"/>
      <c r="J1647" s="15"/>
    </row>
    <row r="1648">
      <c r="A1648" s="18">
        <v>44656.0</v>
      </c>
      <c r="B1648" s="16" t="s">
        <v>11845</v>
      </c>
      <c r="C1648" s="16">
        <v>17.0</v>
      </c>
      <c r="D1648" s="16" t="s">
        <v>10444</v>
      </c>
      <c r="E1648" s="16" t="s">
        <v>707</v>
      </c>
      <c r="F1648" s="16">
        <v>2019.0</v>
      </c>
      <c r="G1648" s="16">
        <v>52.1054</v>
      </c>
      <c r="H1648" s="16">
        <v>7.1799</v>
      </c>
      <c r="I1648" s="15"/>
      <c r="J1648" s="15"/>
    </row>
    <row r="1649">
      <c r="A1649" s="18">
        <v>44656.0</v>
      </c>
      <c r="B1649" s="16" t="s">
        <v>11846</v>
      </c>
      <c r="C1649" s="16">
        <v>25.0</v>
      </c>
      <c r="D1649" s="16" t="s">
        <v>10444</v>
      </c>
      <c r="E1649" s="16" t="s">
        <v>707</v>
      </c>
      <c r="F1649" s="16">
        <v>2001.0</v>
      </c>
      <c r="G1649" s="16">
        <v>52.0952</v>
      </c>
      <c r="H1649" s="16">
        <v>7.277</v>
      </c>
      <c r="I1649" s="15"/>
      <c r="J1649" s="15"/>
    </row>
    <row r="1650">
      <c r="A1650" s="18">
        <v>44656.0</v>
      </c>
      <c r="B1650" s="16" t="s">
        <v>11847</v>
      </c>
      <c r="C1650" s="16">
        <v>15.0</v>
      </c>
      <c r="D1650" s="16" t="s">
        <v>10444</v>
      </c>
      <c r="E1650" s="16" t="s">
        <v>707</v>
      </c>
      <c r="F1650" s="16">
        <v>2004.0</v>
      </c>
      <c r="G1650" s="16">
        <v>51.9642</v>
      </c>
      <c r="H1650" s="16">
        <v>12.6079</v>
      </c>
      <c r="I1650" s="15"/>
      <c r="J1650" s="15"/>
    </row>
    <row r="1651">
      <c r="A1651" s="18">
        <v>45019.0</v>
      </c>
      <c r="B1651" s="16" t="s">
        <v>11848</v>
      </c>
      <c r="C1651" s="16">
        <v>10.0</v>
      </c>
      <c r="D1651" s="16" t="s">
        <v>10444</v>
      </c>
      <c r="E1651" s="16" t="s">
        <v>707</v>
      </c>
      <c r="F1651" s="16">
        <v>2022.0</v>
      </c>
      <c r="G1651" s="16">
        <v>52.9817</v>
      </c>
      <c r="H1651" s="16">
        <v>12.0874</v>
      </c>
      <c r="I1651" s="15"/>
      <c r="J1651" s="15"/>
    </row>
    <row r="1652">
      <c r="A1652" s="18">
        <v>44985.0</v>
      </c>
      <c r="B1652" s="16" t="s">
        <v>11849</v>
      </c>
      <c r="C1652" s="16">
        <v>19.0</v>
      </c>
      <c r="D1652" s="16" t="s">
        <v>10444</v>
      </c>
      <c r="E1652" s="16" t="s">
        <v>707</v>
      </c>
      <c r="F1652" s="16">
        <v>2022.0</v>
      </c>
      <c r="G1652" s="16">
        <v>52.9846</v>
      </c>
      <c r="H1652" s="16">
        <v>12.0946</v>
      </c>
      <c r="I1652" s="15"/>
      <c r="J1652" s="15"/>
    </row>
    <row r="1653">
      <c r="A1653" s="18">
        <v>44656.0</v>
      </c>
      <c r="B1653" s="16" t="s">
        <v>11850</v>
      </c>
      <c r="C1653" s="16">
        <v>20.0</v>
      </c>
      <c r="D1653" s="16" t="s">
        <v>10444</v>
      </c>
      <c r="E1653" s="16" t="s">
        <v>707</v>
      </c>
      <c r="F1653" s="16">
        <v>2001.0</v>
      </c>
      <c r="G1653" s="16">
        <v>54.5295</v>
      </c>
      <c r="H1653" s="16">
        <v>9.4127</v>
      </c>
      <c r="I1653" s="15"/>
      <c r="J1653" s="15"/>
    </row>
    <row r="1654">
      <c r="A1654" s="18">
        <v>44656.0</v>
      </c>
      <c r="B1654" s="16" t="s">
        <v>11851</v>
      </c>
      <c r="C1654" s="16">
        <v>18.0</v>
      </c>
      <c r="D1654" s="16" t="s">
        <v>10444</v>
      </c>
      <c r="E1654" s="16" t="s">
        <v>707</v>
      </c>
      <c r="F1654" s="16">
        <v>2001.0</v>
      </c>
      <c r="G1654" s="16">
        <v>51.0834</v>
      </c>
      <c r="H1654" s="16">
        <v>10.4234</v>
      </c>
      <c r="I1654" s="15"/>
      <c r="J1654" s="15"/>
    </row>
    <row r="1655">
      <c r="A1655" s="18">
        <v>44656.0</v>
      </c>
      <c r="B1655" s="16" t="s">
        <v>11852</v>
      </c>
      <c r="C1655" s="16">
        <v>16.0</v>
      </c>
      <c r="D1655" s="16" t="s">
        <v>10444</v>
      </c>
      <c r="E1655" s="16" t="s">
        <v>707</v>
      </c>
      <c r="F1655" s="16">
        <v>2001.0</v>
      </c>
      <c r="G1655" s="16">
        <v>52.1919</v>
      </c>
      <c r="H1655" s="16">
        <v>9.7401</v>
      </c>
      <c r="I1655" s="15"/>
      <c r="J1655" s="15"/>
    </row>
    <row r="1656">
      <c r="A1656" s="18">
        <v>44656.0</v>
      </c>
      <c r="B1656" s="16" t="s">
        <v>11853</v>
      </c>
      <c r="C1656" s="16">
        <v>10.0</v>
      </c>
      <c r="D1656" s="16" t="s">
        <v>10444</v>
      </c>
      <c r="E1656" s="16" t="s">
        <v>707</v>
      </c>
      <c r="F1656" s="16">
        <v>2015.0</v>
      </c>
      <c r="G1656" s="16">
        <v>54.147</v>
      </c>
      <c r="H1656" s="16">
        <v>9.866</v>
      </c>
      <c r="I1656" s="15"/>
      <c r="J1656" s="15"/>
    </row>
    <row r="1657">
      <c r="A1657" s="18">
        <v>44656.0</v>
      </c>
      <c r="B1657" s="16" t="s">
        <v>11854</v>
      </c>
      <c r="C1657" s="16">
        <v>12.0</v>
      </c>
      <c r="D1657" s="16" t="s">
        <v>10444</v>
      </c>
      <c r="E1657" s="16" t="s">
        <v>707</v>
      </c>
      <c r="F1657" s="16">
        <v>2014.0</v>
      </c>
      <c r="G1657" s="16">
        <v>54.2401</v>
      </c>
      <c r="H1657" s="16">
        <v>8.929</v>
      </c>
      <c r="I1657" s="15"/>
      <c r="J1657" s="15"/>
    </row>
    <row r="1658">
      <c r="A1658" s="18">
        <v>44656.0</v>
      </c>
      <c r="B1658" s="16" t="s">
        <v>11855</v>
      </c>
      <c r="C1658" s="16">
        <v>16.0</v>
      </c>
      <c r="D1658" s="16" t="s">
        <v>10444</v>
      </c>
      <c r="E1658" s="16" t="s">
        <v>707</v>
      </c>
      <c r="F1658" s="16">
        <v>2012.0</v>
      </c>
      <c r="G1658" s="16">
        <v>53.5784</v>
      </c>
      <c r="H1658" s="16">
        <v>8.3316</v>
      </c>
      <c r="I1658" s="15"/>
      <c r="J1658" s="15"/>
    </row>
    <row r="1659">
      <c r="A1659" s="18">
        <v>44656.0</v>
      </c>
      <c r="B1659" s="16" t="s">
        <v>11856</v>
      </c>
      <c r="C1659" s="16">
        <v>10.0</v>
      </c>
      <c r="D1659" s="16" t="s">
        <v>10444</v>
      </c>
      <c r="E1659" s="16" t="s">
        <v>707</v>
      </c>
      <c r="F1659" s="16">
        <v>2005.0</v>
      </c>
      <c r="G1659" s="16">
        <v>52.7567</v>
      </c>
      <c r="H1659" s="16">
        <v>8.8054</v>
      </c>
      <c r="I1659" s="15"/>
      <c r="J1659" s="15"/>
    </row>
    <row r="1660">
      <c r="A1660" s="18">
        <v>44656.0</v>
      </c>
      <c r="B1660" s="16" t="s">
        <v>11856</v>
      </c>
      <c r="C1660" s="16">
        <v>22.0</v>
      </c>
      <c r="D1660" s="16" t="s">
        <v>10444</v>
      </c>
      <c r="E1660" s="16" t="s">
        <v>707</v>
      </c>
      <c r="F1660" s="16">
        <v>2005.0</v>
      </c>
      <c r="G1660" s="16">
        <v>52.7258</v>
      </c>
      <c r="H1660" s="16">
        <v>8.8497</v>
      </c>
      <c r="I1660" s="15"/>
      <c r="J1660" s="15"/>
    </row>
    <row r="1661">
      <c r="A1661" s="18">
        <v>44656.0</v>
      </c>
      <c r="B1661" s="16" t="s">
        <v>11857</v>
      </c>
      <c r="C1661" s="16">
        <v>12.0</v>
      </c>
      <c r="D1661" s="16" t="s">
        <v>10444</v>
      </c>
      <c r="E1661" s="16" t="s">
        <v>707</v>
      </c>
      <c r="F1661" s="16">
        <v>2018.0</v>
      </c>
      <c r="G1661" s="16">
        <v>49.3094</v>
      </c>
      <c r="H1661" s="16">
        <v>7.8703</v>
      </c>
      <c r="I1661" s="15"/>
      <c r="J1661" s="15"/>
    </row>
    <row r="1662">
      <c r="A1662" s="18">
        <v>45371.0</v>
      </c>
      <c r="B1662" s="16" t="s">
        <v>11858</v>
      </c>
      <c r="C1662" s="16">
        <v>14.0</v>
      </c>
      <c r="D1662" s="16" t="s">
        <v>10444</v>
      </c>
      <c r="E1662" s="16" t="s">
        <v>707</v>
      </c>
      <c r="F1662" s="16">
        <v>2022.0</v>
      </c>
      <c r="G1662" s="16">
        <v>50.9394</v>
      </c>
      <c r="H1662" s="16">
        <v>9.1453</v>
      </c>
      <c r="I1662" s="15"/>
      <c r="J1662" s="15"/>
    </row>
    <row r="1663">
      <c r="A1663" s="18">
        <v>44656.0</v>
      </c>
      <c r="B1663" s="16" t="s">
        <v>11859</v>
      </c>
      <c r="C1663" s="16">
        <v>18.0</v>
      </c>
      <c r="D1663" s="16" t="s">
        <v>10444</v>
      </c>
      <c r="E1663" s="16" t="s">
        <v>707</v>
      </c>
      <c r="F1663" s="16">
        <v>2003.0</v>
      </c>
      <c r="G1663" s="16">
        <v>51.996</v>
      </c>
      <c r="H1663" s="16">
        <v>11.1346</v>
      </c>
      <c r="I1663" s="15"/>
      <c r="J1663" s="15"/>
    </row>
    <row r="1664">
      <c r="A1664" s="18">
        <v>44656.0</v>
      </c>
      <c r="B1664" s="16" t="s">
        <v>11859</v>
      </c>
      <c r="C1664" s="16">
        <v>10.0</v>
      </c>
      <c r="D1664" s="16" t="s">
        <v>10444</v>
      </c>
      <c r="E1664" s="16" t="s">
        <v>707</v>
      </c>
      <c r="F1664" s="16">
        <v>2011.0</v>
      </c>
      <c r="G1664" s="16">
        <v>51.9995</v>
      </c>
      <c r="H1664" s="16">
        <v>11.1469</v>
      </c>
      <c r="I1664" s="15"/>
      <c r="J1664" s="15"/>
    </row>
    <row r="1665">
      <c r="A1665" s="18">
        <v>44656.0</v>
      </c>
      <c r="B1665" s="16" t="s">
        <v>11860</v>
      </c>
      <c r="C1665" s="16">
        <v>12.0</v>
      </c>
      <c r="D1665" s="16" t="s">
        <v>10444</v>
      </c>
      <c r="E1665" s="16" t="s">
        <v>707</v>
      </c>
      <c r="F1665" s="16">
        <v>2013.0</v>
      </c>
      <c r="G1665" s="16">
        <v>49.934</v>
      </c>
      <c r="H1665" s="16">
        <v>10.1236</v>
      </c>
      <c r="I1665" s="15"/>
      <c r="J1665" s="15"/>
    </row>
    <row r="1666">
      <c r="A1666" s="18">
        <v>44656.0</v>
      </c>
      <c r="B1666" s="16" t="s">
        <v>11861</v>
      </c>
      <c r="C1666" s="16">
        <v>12.0</v>
      </c>
      <c r="D1666" s="16" t="s">
        <v>10444</v>
      </c>
      <c r="E1666" s="16" t="s">
        <v>707</v>
      </c>
      <c r="F1666" s="16">
        <v>2010.0</v>
      </c>
      <c r="G1666" s="16">
        <v>52.8892</v>
      </c>
      <c r="H1666" s="16">
        <v>8.9905</v>
      </c>
      <c r="I1666" s="15"/>
      <c r="J1666" s="15"/>
    </row>
    <row r="1667">
      <c r="A1667" s="18">
        <v>44656.0</v>
      </c>
      <c r="B1667" s="16" t="s">
        <v>11862</v>
      </c>
      <c r="C1667" s="16">
        <v>22.0</v>
      </c>
      <c r="D1667" s="16" t="s">
        <v>10444</v>
      </c>
      <c r="E1667" s="16" t="s">
        <v>707</v>
      </c>
      <c r="F1667" s="16">
        <v>2017.0</v>
      </c>
      <c r="G1667" s="16">
        <v>50.8935</v>
      </c>
      <c r="H1667" s="16">
        <v>8.4949</v>
      </c>
      <c r="I1667" s="15"/>
      <c r="J1667" s="15"/>
    </row>
    <row r="1668">
      <c r="A1668" s="18">
        <v>44656.0</v>
      </c>
      <c r="B1668" s="16" t="s">
        <v>11863</v>
      </c>
      <c r="C1668" s="16">
        <v>14.0</v>
      </c>
      <c r="D1668" s="16" t="s">
        <v>10444</v>
      </c>
      <c r="E1668" s="16" t="s">
        <v>707</v>
      </c>
      <c r="F1668" s="16">
        <v>2001.0</v>
      </c>
      <c r="G1668" s="16">
        <v>53.0916</v>
      </c>
      <c r="H1668" s="16">
        <v>14.1807</v>
      </c>
      <c r="I1668" s="15"/>
      <c r="J1668" s="15"/>
    </row>
    <row r="1669">
      <c r="A1669" s="18">
        <v>44656.0</v>
      </c>
      <c r="B1669" s="16" t="s">
        <v>11864</v>
      </c>
      <c r="C1669" s="16">
        <v>14.0</v>
      </c>
      <c r="D1669" s="16" t="s">
        <v>10444</v>
      </c>
      <c r="E1669" s="16" t="s">
        <v>707</v>
      </c>
      <c r="F1669" s="16">
        <v>2019.0</v>
      </c>
      <c r="G1669" s="16">
        <v>49.2749</v>
      </c>
      <c r="H1669" s="16">
        <v>8.3574</v>
      </c>
      <c r="I1669" s="15"/>
      <c r="J1669" s="15"/>
    </row>
    <row r="1670">
      <c r="A1670" s="18">
        <v>44656.0</v>
      </c>
      <c r="B1670" s="16" t="s">
        <v>11865</v>
      </c>
      <c r="C1670" s="16">
        <v>20.0</v>
      </c>
      <c r="D1670" s="16" t="s">
        <v>10444</v>
      </c>
      <c r="E1670" s="16" t="s">
        <v>707</v>
      </c>
      <c r="F1670" s="16">
        <v>2014.0</v>
      </c>
      <c r="G1670" s="16">
        <v>53.8621</v>
      </c>
      <c r="H1670" s="16">
        <v>12.0907</v>
      </c>
      <c r="I1670" s="15"/>
      <c r="J1670" s="15"/>
    </row>
    <row r="1671">
      <c r="A1671" s="18">
        <v>44656.0</v>
      </c>
      <c r="B1671" s="16" t="s">
        <v>11866</v>
      </c>
      <c r="C1671" s="16">
        <v>10.0</v>
      </c>
      <c r="D1671" s="16" t="s">
        <v>10444</v>
      </c>
      <c r="E1671" s="16" t="s">
        <v>707</v>
      </c>
      <c r="F1671" s="16">
        <v>2006.0</v>
      </c>
      <c r="G1671" s="16">
        <v>52.7247</v>
      </c>
      <c r="H1671" s="16">
        <v>8.6683</v>
      </c>
      <c r="I1671" s="15"/>
      <c r="J1671" s="15"/>
    </row>
    <row r="1672">
      <c r="A1672" s="18">
        <v>44656.0</v>
      </c>
      <c r="B1672" s="16" t="s">
        <v>11867</v>
      </c>
      <c r="C1672" s="16">
        <v>14.0</v>
      </c>
      <c r="D1672" s="16" t="s">
        <v>10444</v>
      </c>
      <c r="E1672" s="16" t="s">
        <v>707</v>
      </c>
      <c r="F1672" s="16">
        <v>2015.0</v>
      </c>
      <c r="G1672" s="16">
        <v>54.494</v>
      </c>
      <c r="H1672" s="16">
        <v>9.1612</v>
      </c>
      <c r="I1672" s="15"/>
      <c r="J1672" s="15"/>
    </row>
    <row r="1673">
      <c r="A1673" s="18">
        <v>44656.0</v>
      </c>
      <c r="B1673" s="16" t="s">
        <v>11868</v>
      </c>
      <c r="C1673" s="16">
        <v>16.0</v>
      </c>
      <c r="D1673" s="16" t="s">
        <v>10444</v>
      </c>
      <c r="E1673" s="16" t="s">
        <v>707</v>
      </c>
      <c r="F1673" s="16">
        <v>2009.0</v>
      </c>
      <c r="G1673" s="16">
        <v>52.9147</v>
      </c>
      <c r="H1673" s="16">
        <v>11.3033</v>
      </c>
      <c r="I1673" s="15"/>
      <c r="J1673" s="15"/>
    </row>
    <row r="1674">
      <c r="A1674" s="18">
        <v>44656.0</v>
      </c>
      <c r="B1674" s="16" t="s">
        <v>11869</v>
      </c>
      <c r="C1674" s="16">
        <v>18.0</v>
      </c>
      <c r="D1674" s="16" t="s">
        <v>10444</v>
      </c>
      <c r="E1674" s="16" t="s">
        <v>707</v>
      </c>
      <c r="F1674" s="16">
        <v>2016.0</v>
      </c>
      <c r="G1674" s="16">
        <v>51.667</v>
      </c>
      <c r="H1674" s="16">
        <v>10.2172</v>
      </c>
      <c r="I1674" s="15"/>
      <c r="J1674" s="15"/>
    </row>
    <row r="1675">
      <c r="A1675" s="18">
        <v>44656.0</v>
      </c>
      <c r="B1675" s="16" t="s">
        <v>11870</v>
      </c>
      <c r="C1675" s="16">
        <v>10.0</v>
      </c>
      <c r="D1675" s="16" t="s">
        <v>10444</v>
      </c>
      <c r="E1675" s="16" t="s">
        <v>707</v>
      </c>
      <c r="F1675" s="16">
        <v>2009.0</v>
      </c>
      <c r="G1675" s="16">
        <v>52.9865</v>
      </c>
      <c r="H1675" s="16">
        <v>10.4148</v>
      </c>
      <c r="I1675" s="15"/>
      <c r="J1675" s="15"/>
    </row>
    <row r="1676">
      <c r="A1676" s="18">
        <v>45029.0</v>
      </c>
      <c r="B1676" s="16" t="s">
        <v>11870</v>
      </c>
      <c r="C1676" s="16">
        <v>13.0</v>
      </c>
      <c r="D1676" s="16" t="s">
        <v>10444</v>
      </c>
      <c r="E1676" s="16" t="s">
        <v>707</v>
      </c>
      <c r="F1676" s="16">
        <v>2021.0</v>
      </c>
      <c r="G1676" s="16">
        <v>52.9877</v>
      </c>
      <c r="H1676" s="16">
        <v>10.4083</v>
      </c>
      <c r="I1676" s="15"/>
      <c r="J1676" s="15"/>
    </row>
    <row r="1677">
      <c r="A1677" s="18">
        <v>44656.0</v>
      </c>
      <c r="B1677" s="16" t="s">
        <v>11871</v>
      </c>
      <c r="C1677" s="16">
        <v>12.0</v>
      </c>
      <c r="D1677" s="16" t="s">
        <v>10444</v>
      </c>
      <c r="E1677" s="16" t="s">
        <v>707</v>
      </c>
      <c r="F1677" s="16">
        <v>2000.0</v>
      </c>
      <c r="G1677" s="16">
        <v>54.0067</v>
      </c>
      <c r="H1677" s="16">
        <v>10.6493</v>
      </c>
      <c r="I1677" s="15"/>
      <c r="J1677" s="15"/>
    </row>
    <row r="1678">
      <c r="A1678" s="18">
        <v>45020.0</v>
      </c>
      <c r="B1678" s="16" t="s">
        <v>11871</v>
      </c>
      <c r="C1678" s="16">
        <v>10.0</v>
      </c>
      <c r="D1678" s="16" t="s">
        <v>10444</v>
      </c>
      <c r="E1678" s="16" t="s">
        <v>707</v>
      </c>
      <c r="F1678" s="16">
        <v>2002.0</v>
      </c>
      <c r="G1678" s="16">
        <v>54.0073</v>
      </c>
      <c r="H1678" s="16">
        <v>10.6312</v>
      </c>
      <c r="I1678" s="15"/>
      <c r="J1678" s="15"/>
    </row>
    <row r="1679">
      <c r="A1679" s="18">
        <v>44656.0</v>
      </c>
      <c r="B1679" s="16" t="s">
        <v>11872</v>
      </c>
      <c r="C1679" s="16">
        <v>18.0</v>
      </c>
      <c r="D1679" s="16" t="s">
        <v>10444</v>
      </c>
      <c r="E1679" s="16" t="s">
        <v>707</v>
      </c>
      <c r="F1679" s="16">
        <v>2016.0</v>
      </c>
      <c r="G1679" s="16">
        <v>54.1177</v>
      </c>
      <c r="H1679" s="16">
        <v>9.4964</v>
      </c>
      <c r="I1679" s="15"/>
      <c r="J1679" s="15"/>
    </row>
    <row r="1680">
      <c r="A1680" s="18">
        <v>44656.0</v>
      </c>
      <c r="B1680" s="16" t="s">
        <v>11873</v>
      </c>
      <c r="C1680" s="16">
        <v>18.0</v>
      </c>
      <c r="D1680" s="16" t="s">
        <v>10444</v>
      </c>
      <c r="E1680" s="16" t="s">
        <v>707</v>
      </c>
      <c r="F1680" s="16">
        <v>2002.0</v>
      </c>
      <c r="G1680" s="16">
        <v>52.5442</v>
      </c>
      <c r="H1680" s="16">
        <v>14.3556</v>
      </c>
      <c r="I1680" s="15"/>
      <c r="J1680" s="15"/>
    </row>
    <row r="1681">
      <c r="A1681" s="18">
        <v>44656.0</v>
      </c>
      <c r="B1681" s="16" t="s">
        <v>11874</v>
      </c>
      <c r="C1681" s="16">
        <v>20.0</v>
      </c>
      <c r="D1681" s="16" t="s">
        <v>10444</v>
      </c>
      <c r="E1681" s="16" t="s">
        <v>707</v>
      </c>
      <c r="F1681" s="16">
        <v>2001.0</v>
      </c>
      <c r="G1681" s="16">
        <v>50.0836</v>
      </c>
      <c r="H1681" s="16">
        <v>6.2911</v>
      </c>
      <c r="I1681" s="15"/>
      <c r="J1681" s="15"/>
    </row>
    <row r="1682">
      <c r="A1682" s="18">
        <v>44656.0</v>
      </c>
      <c r="B1682" s="16" t="s">
        <v>11875</v>
      </c>
      <c r="C1682" s="16">
        <v>13.0</v>
      </c>
      <c r="D1682" s="16" t="s">
        <v>10444</v>
      </c>
      <c r="E1682" s="16" t="s">
        <v>707</v>
      </c>
      <c r="F1682" s="16">
        <v>2014.0</v>
      </c>
      <c r="G1682" s="16">
        <v>54.3769</v>
      </c>
      <c r="H1682" s="16">
        <v>9.8116</v>
      </c>
      <c r="I1682" s="15"/>
      <c r="J1682" s="15"/>
    </row>
    <row r="1683">
      <c r="A1683" s="18">
        <v>44656.0</v>
      </c>
      <c r="B1683" s="16" t="s">
        <v>11876</v>
      </c>
      <c r="C1683" s="16">
        <v>10.0</v>
      </c>
      <c r="D1683" s="16" t="s">
        <v>10444</v>
      </c>
      <c r="E1683" s="16" t="s">
        <v>707</v>
      </c>
      <c r="F1683" s="16">
        <v>2005.0</v>
      </c>
      <c r="G1683" s="16">
        <v>52.3396</v>
      </c>
      <c r="H1683" s="16">
        <v>9.9824</v>
      </c>
      <c r="I1683" s="15"/>
      <c r="J1683" s="15"/>
    </row>
    <row r="1684">
      <c r="A1684" s="18">
        <v>44656.0</v>
      </c>
      <c r="B1684" s="16" t="s">
        <v>11877</v>
      </c>
      <c r="C1684" s="16">
        <v>24.0</v>
      </c>
      <c r="D1684" s="16" t="s">
        <v>10444</v>
      </c>
      <c r="E1684" s="16" t="s">
        <v>707</v>
      </c>
      <c r="F1684" s="16">
        <v>2013.0</v>
      </c>
      <c r="G1684" s="16">
        <v>49.9448</v>
      </c>
      <c r="H1684" s="16">
        <v>7.6713</v>
      </c>
      <c r="I1684" s="15"/>
      <c r="J1684" s="15"/>
    </row>
    <row r="1685">
      <c r="A1685" s="18">
        <v>45005.0</v>
      </c>
      <c r="B1685" s="16" t="s">
        <v>11878</v>
      </c>
      <c r="C1685" s="16">
        <v>21.0</v>
      </c>
      <c r="D1685" s="16" t="s">
        <v>10444</v>
      </c>
      <c r="E1685" s="16" t="s">
        <v>707</v>
      </c>
      <c r="F1685" s="16">
        <v>2017.0</v>
      </c>
      <c r="G1685" s="16">
        <v>52.5049</v>
      </c>
      <c r="H1685" s="16">
        <v>7.7213</v>
      </c>
      <c r="I1685" s="15"/>
      <c r="J1685" s="15"/>
    </row>
    <row r="1686">
      <c r="A1686" s="18">
        <v>44656.0</v>
      </c>
      <c r="B1686" s="16" t="s">
        <v>11879</v>
      </c>
      <c r="C1686" s="16">
        <v>16.0</v>
      </c>
      <c r="D1686" s="16" t="s">
        <v>10444</v>
      </c>
      <c r="E1686" s="16" t="s">
        <v>707</v>
      </c>
      <c r="F1686" s="16">
        <v>2007.0</v>
      </c>
      <c r="G1686" s="16">
        <v>53.8764</v>
      </c>
      <c r="H1686" s="16">
        <v>10.8857</v>
      </c>
      <c r="I1686" s="15"/>
      <c r="J1686" s="15"/>
    </row>
    <row r="1687">
      <c r="A1687" s="18">
        <v>44656.0</v>
      </c>
      <c r="B1687" s="16" t="s">
        <v>11880</v>
      </c>
      <c r="C1687" s="16">
        <v>12.0</v>
      </c>
      <c r="D1687" s="16" t="s">
        <v>10444</v>
      </c>
      <c r="E1687" s="16" t="s">
        <v>707</v>
      </c>
      <c r="F1687" s="16">
        <v>2002.0</v>
      </c>
      <c r="G1687" s="16">
        <v>52.0049</v>
      </c>
      <c r="H1687" s="16">
        <v>14.6588</v>
      </c>
      <c r="I1687" s="15"/>
      <c r="J1687" s="15"/>
    </row>
    <row r="1688">
      <c r="A1688" s="18">
        <v>44656.0</v>
      </c>
      <c r="B1688" s="16" t="s">
        <v>11880</v>
      </c>
      <c r="C1688" s="16">
        <v>14.0</v>
      </c>
      <c r="D1688" s="16" t="s">
        <v>10444</v>
      </c>
      <c r="E1688" s="16" t="s">
        <v>707</v>
      </c>
      <c r="F1688" s="16">
        <v>2019.0</v>
      </c>
      <c r="G1688" s="16">
        <v>52.0096</v>
      </c>
      <c r="H1688" s="16">
        <v>14.6643</v>
      </c>
      <c r="I1688" s="15"/>
      <c r="J1688" s="15"/>
    </row>
    <row r="1689">
      <c r="A1689" s="18">
        <v>44656.0</v>
      </c>
      <c r="B1689" s="16" t="s">
        <v>11881</v>
      </c>
      <c r="C1689" s="16">
        <v>12.0</v>
      </c>
      <c r="D1689" s="16" t="s">
        <v>10444</v>
      </c>
      <c r="E1689" s="16" t="s">
        <v>707</v>
      </c>
      <c r="F1689" s="16">
        <v>2007.0</v>
      </c>
      <c r="G1689" s="16">
        <v>51.85</v>
      </c>
      <c r="H1689" s="16">
        <v>7.7712</v>
      </c>
      <c r="I1689" s="15"/>
      <c r="J1689" s="15"/>
    </row>
    <row r="1690">
      <c r="A1690" s="18">
        <v>44656.0</v>
      </c>
      <c r="B1690" s="16" t="s">
        <v>11882</v>
      </c>
      <c r="C1690" s="16">
        <v>13.0</v>
      </c>
      <c r="D1690" s="16" t="s">
        <v>10444</v>
      </c>
      <c r="E1690" s="16" t="s">
        <v>707</v>
      </c>
      <c r="F1690" s="16">
        <v>2018.0</v>
      </c>
      <c r="G1690" s="16">
        <v>52.476</v>
      </c>
      <c r="H1690" s="16">
        <v>7.6155</v>
      </c>
      <c r="I1690" s="15"/>
      <c r="J1690" s="15"/>
    </row>
    <row r="1691">
      <c r="A1691" s="18">
        <v>44656.0</v>
      </c>
      <c r="B1691" s="16" t="s">
        <v>11883</v>
      </c>
      <c r="C1691" s="16">
        <v>16.0</v>
      </c>
      <c r="D1691" s="16" t="s">
        <v>10444</v>
      </c>
      <c r="E1691" s="16" t="s">
        <v>707</v>
      </c>
      <c r="F1691" s="16">
        <v>2003.0</v>
      </c>
      <c r="G1691" s="16">
        <v>52.5127</v>
      </c>
      <c r="H1691" s="16">
        <v>11.2073</v>
      </c>
      <c r="I1691" s="15"/>
      <c r="J1691" s="15"/>
    </row>
    <row r="1692">
      <c r="A1692" s="18">
        <v>45362.0</v>
      </c>
      <c r="B1692" s="16" t="s">
        <v>11884</v>
      </c>
      <c r="C1692" s="16">
        <v>23.0</v>
      </c>
      <c r="D1692" s="16" t="s">
        <v>10444</v>
      </c>
      <c r="E1692" s="16" t="s">
        <v>707</v>
      </c>
      <c r="F1692" s="16">
        <v>2023.0</v>
      </c>
      <c r="G1692" s="16">
        <v>53.9062</v>
      </c>
      <c r="H1692" s="16">
        <v>13.1439</v>
      </c>
      <c r="I1692" s="15"/>
      <c r="J1692" s="15"/>
    </row>
    <row r="1693">
      <c r="A1693" s="18">
        <v>44656.0</v>
      </c>
      <c r="B1693" s="16" t="s">
        <v>11885</v>
      </c>
      <c r="C1693" s="16">
        <v>17.0</v>
      </c>
      <c r="D1693" s="16" t="s">
        <v>10444</v>
      </c>
      <c r="E1693" s="16" t="s">
        <v>707</v>
      </c>
      <c r="F1693" s="16">
        <v>2020.0</v>
      </c>
      <c r="G1693" s="16">
        <v>50.4078</v>
      </c>
      <c r="H1693" s="16">
        <v>8.4643</v>
      </c>
      <c r="I1693" s="15"/>
      <c r="J1693" s="15"/>
    </row>
    <row r="1694">
      <c r="A1694" s="18">
        <v>44656.0</v>
      </c>
      <c r="B1694" s="16" t="s">
        <v>11886</v>
      </c>
      <c r="C1694" s="16">
        <v>30.0</v>
      </c>
      <c r="D1694" s="16" t="s">
        <v>10444</v>
      </c>
      <c r="E1694" s="16" t="s">
        <v>707</v>
      </c>
      <c r="F1694" s="16">
        <v>2008.0</v>
      </c>
      <c r="G1694" s="16">
        <v>52.3324</v>
      </c>
      <c r="H1694" s="16">
        <v>11.1295</v>
      </c>
      <c r="I1694" s="15"/>
      <c r="J1694" s="15"/>
    </row>
    <row r="1695">
      <c r="A1695" s="18">
        <v>44656.0</v>
      </c>
      <c r="B1695" s="16" t="s">
        <v>11887</v>
      </c>
      <c r="C1695" s="16">
        <v>11.0</v>
      </c>
      <c r="D1695" s="16" t="s">
        <v>10444</v>
      </c>
      <c r="E1695" s="16" t="s">
        <v>707</v>
      </c>
      <c r="F1695" s="16">
        <v>2000.0</v>
      </c>
      <c r="G1695" s="16">
        <v>53.6361</v>
      </c>
      <c r="H1695" s="16">
        <v>8.6286</v>
      </c>
      <c r="I1695" s="15"/>
      <c r="J1695" s="15"/>
    </row>
    <row r="1696">
      <c r="A1696" s="18">
        <v>44656.0</v>
      </c>
      <c r="B1696" s="16" t="s">
        <v>11888</v>
      </c>
      <c r="C1696" s="16">
        <v>12.0</v>
      </c>
      <c r="D1696" s="16" t="s">
        <v>10444</v>
      </c>
      <c r="E1696" s="16" t="s">
        <v>707</v>
      </c>
      <c r="F1696" s="16">
        <v>2016.0</v>
      </c>
      <c r="G1696" s="16">
        <v>54.5254</v>
      </c>
      <c r="H1696" s="16">
        <v>9.3998</v>
      </c>
      <c r="I1696" s="15"/>
      <c r="J1696" s="15"/>
    </row>
    <row r="1697">
      <c r="A1697" s="18">
        <v>45355.0</v>
      </c>
      <c r="B1697" s="16" t="s">
        <v>11889</v>
      </c>
      <c r="C1697" s="16">
        <v>19.0</v>
      </c>
      <c r="D1697" s="16" t="s">
        <v>10444</v>
      </c>
      <c r="E1697" s="16" t="s">
        <v>707</v>
      </c>
      <c r="F1697" s="16">
        <v>2023.0</v>
      </c>
      <c r="G1697" s="16">
        <v>54.5391</v>
      </c>
      <c r="H1697" s="16">
        <v>9.3865</v>
      </c>
      <c r="I1697" s="15"/>
      <c r="J1697" s="15"/>
    </row>
    <row r="1698">
      <c r="A1698" s="18">
        <v>45012.0</v>
      </c>
      <c r="B1698" s="16" t="s">
        <v>11890</v>
      </c>
      <c r="C1698" s="16">
        <v>15.0</v>
      </c>
      <c r="D1698" s="16" t="s">
        <v>10444</v>
      </c>
      <c r="E1698" s="16" t="s">
        <v>707</v>
      </c>
      <c r="F1698" s="16">
        <v>2006.0</v>
      </c>
      <c r="G1698" s="16">
        <v>53.2511</v>
      </c>
      <c r="H1698" s="16">
        <v>12.1338</v>
      </c>
      <c r="I1698" s="15"/>
      <c r="J1698" s="15"/>
    </row>
    <row r="1699">
      <c r="A1699" s="18">
        <v>44656.0</v>
      </c>
      <c r="B1699" s="16" t="s">
        <v>11891</v>
      </c>
      <c r="C1699" s="16">
        <v>23.0</v>
      </c>
      <c r="D1699" s="16" t="s">
        <v>10444</v>
      </c>
      <c r="E1699" s="16" t="s">
        <v>707</v>
      </c>
      <c r="F1699" s="16">
        <v>2016.0</v>
      </c>
      <c r="G1699" s="16">
        <v>50.6489</v>
      </c>
      <c r="H1699" s="16">
        <v>6.2803</v>
      </c>
      <c r="I1699" s="15"/>
      <c r="J1699" s="15"/>
    </row>
    <row r="1700">
      <c r="A1700" s="18">
        <v>45006.0</v>
      </c>
      <c r="B1700" s="16" t="s">
        <v>11892</v>
      </c>
      <c r="C1700" s="16">
        <v>12.0</v>
      </c>
      <c r="D1700" s="16" t="s">
        <v>10444</v>
      </c>
      <c r="E1700" s="16" t="s">
        <v>707</v>
      </c>
      <c r="F1700" s="16">
        <v>2012.0</v>
      </c>
      <c r="G1700" s="16">
        <v>54.4452</v>
      </c>
      <c r="H1700" s="16">
        <v>8.9815</v>
      </c>
      <c r="I1700" s="15"/>
      <c r="J1700" s="15"/>
    </row>
    <row r="1701">
      <c r="A1701" s="18">
        <v>44656.0</v>
      </c>
      <c r="B1701" s="16" t="s">
        <v>11893</v>
      </c>
      <c r="C1701" s="16">
        <v>22.0</v>
      </c>
      <c r="D1701" s="16" t="s">
        <v>10444</v>
      </c>
      <c r="E1701" s="16" t="s">
        <v>707</v>
      </c>
      <c r="F1701" s="16">
        <v>2001.0</v>
      </c>
      <c r="G1701" s="16">
        <v>51.525</v>
      </c>
      <c r="H1701" s="16">
        <v>8.8278</v>
      </c>
      <c r="I1701" s="15"/>
      <c r="J1701" s="15"/>
    </row>
    <row r="1702">
      <c r="A1702" s="18">
        <v>44656.0</v>
      </c>
      <c r="B1702" s="16" t="s">
        <v>11893</v>
      </c>
      <c r="C1702" s="16">
        <v>23.0</v>
      </c>
      <c r="D1702" s="16" t="s">
        <v>10444</v>
      </c>
      <c r="E1702" s="16" t="s">
        <v>707</v>
      </c>
      <c r="F1702" s="16">
        <v>2002.0</v>
      </c>
      <c r="G1702" s="16">
        <v>51.525</v>
      </c>
      <c r="H1702" s="16">
        <v>8.8278</v>
      </c>
      <c r="I1702" s="15"/>
      <c r="J1702" s="15"/>
    </row>
    <row r="1703">
      <c r="A1703" s="18">
        <v>45359.0</v>
      </c>
      <c r="B1703" s="16" t="s">
        <v>11894</v>
      </c>
      <c r="C1703" s="16">
        <v>46.0</v>
      </c>
      <c r="D1703" s="16" t="s">
        <v>10444</v>
      </c>
      <c r="E1703" s="16" t="s">
        <v>707</v>
      </c>
      <c r="F1703" s="16">
        <v>2023.0</v>
      </c>
      <c r="G1703" s="16">
        <v>54.2549</v>
      </c>
      <c r="H1703" s="16">
        <v>10.8502</v>
      </c>
      <c r="I1703" s="15"/>
      <c r="J1703" s="15"/>
    </row>
    <row r="1704">
      <c r="A1704" s="18">
        <v>44999.0</v>
      </c>
      <c r="B1704" s="16" t="s">
        <v>11895</v>
      </c>
      <c r="C1704" s="16">
        <v>12.0</v>
      </c>
      <c r="D1704" s="16" t="s">
        <v>10444</v>
      </c>
      <c r="E1704" s="16" t="s">
        <v>707</v>
      </c>
      <c r="F1704" s="16">
        <v>2022.0</v>
      </c>
      <c r="G1704" s="16">
        <v>51.2169</v>
      </c>
      <c r="H1704" s="16">
        <v>12.9315</v>
      </c>
      <c r="I1704" s="15"/>
      <c r="J1704" s="15"/>
    </row>
    <row r="1705">
      <c r="A1705" s="18">
        <v>44656.0</v>
      </c>
      <c r="B1705" s="16" t="s">
        <v>11896</v>
      </c>
      <c r="C1705" s="16">
        <v>14.0</v>
      </c>
      <c r="D1705" s="16" t="s">
        <v>10444</v>
      </c>
      <c r="E1705" s="16" t="s">
        <v>707</v>
      </c>
      <c r="F1705" s="16">
        <v>2002.0</v>
      </c>
      <c r="G1705" s="16">
        <v>52.0301</v>
      </c>
      <c r="H1705" s="16">
        <v>7.1596</v>
      </c>
      <c r="I1705" s="15"/>
      <c r="J1705" s="15"/>
    </row>
    <row r="1706">
      <c r="A1706" s="18">
        <v>44656.0</v>
      </c>
      <c r="B1706" s="16" t="s">
        <v>11897</v>
      </c>
      <c r="C1706" s="16">
        <v>16.0</v>
      </c>
      <c r="D1706" s="16" t="s">
        <v>10444</v>
      </c>
      <c r="E1706" s="16" t="s">
        <v>707</v>
      </c>
      <c r="F1706" s="15"/>
      <c r="G1706" s="16">
        <v>52.8104</v>
      </c>
      <c r="H1706" s="16">
        <v>7.5111</v>
      </c>
      <c r="I1706" s="15"/>
      <c r="J1706" s="15"/>
    </row>
    <row r="1707">
      <c r="A1707" s="18">
        <v>44656.0</v>
      </c>
      <c r="B1707" s="16" t="s">
        <v>11897</v>
      </c>
      <c r="C1707" s="16">
        <v>21.0</v>
      </c>
      <c r="D1707" s="16" t="s">
        <v>10444</v>
      </c>
      <c r="E1707" s="16" t="s">
        <v>707</v>
      </c>
      <c r="F1707" s="16">
        <v>2018.0</v>
      </c>
      <c r="G1707" s="16">
        <v>52.8124</v>
      </c>
      <c r="H1707" s="16">
        <v>7.5037</v>
      </c>
      <c r="I1707" s="15"/>
      <c r="J1707" s="15"/>
    </row>
    <row r="1708">
      <c r="A1708" s="18">
        <v>44656.0</v>
      </c>
      <c r="B1708" s="16" t="s">
        <v>11897</v>
      </c>
      <c r="C1708" s="16">
        <v>11.0</v>
      </c>
      <c r="D1708" s="16" t="s">
        <v>10444</v>
      </c>
      <c r="E1708" s="16" t="s">
        <v>707</v>
      </c>
      <c r="F1708" s="15"/>
      <c r="G1708" s="16">
        <v>52.8124</v>
      </c>
      <c r="H1708" s="16">
        <v>7.5037</v>
      </c>
      <c r="I1708" s="15"/>
      <c r="J1708" s="15"/>
    </row>
    <row r="1709">
      <c r="A1709" s="18">
        <v>44656.0</v>
      </c>
      <c r="B1709" s="16" t="s">
        <v>11898</v>
      </c>
      <c r="C1709" s="16">
        <v>15.0</v>
      </c>
      <c r="D1709" s="16" t="s">
        <v>10444</v>
      </c>
      <c r="E1709" s="16" t="s">
        <v>707</v>
      </c>
      <c r="F1709" s="16">
        <v>2013.0</v>
      </c>
      <c r="G1709" s="16">
        <v>51.2344</v>
      </c>
      <c r="H1709" s="16">
        <v>9.5367</v>
      </c>
      <c r="I1709" s="15"/>
      <c r="J1709" s="15"/>
    </row>
    <row r="1710">
      <c r="A1710" s="18">
        <v>44656.0</v>
      </c>
      <c r="B1710" s="16" t="s">
        <v>11899</v>
      </c>
      <c r="C1710" s="16">
        <v>35.0</v>
      </c>
      <c r="D1710" s="16" t="s">
        <v>10444</v>
      </c>
      <c r="E1710" s="16" t="s">
        <v>707</v>
      </c>
      <c r="F1710" s="16">
        <v>2006.0</v>
      </c>
      <c r="G1710" s="16">
        <v>52.0628</v>
      </c>
      <c r="H1710" s="16">
        <v>10.7572</v>
      </c>
      <c r="I1710" s="15"/>
      <c r="J1710" s="15"/>
    </row>
    <row r="1711">
      <c r="A1711" s="18">
        <v>44656.0</v>
      </c>
      <c r="B1711" s="16" t="s">
        <v>11900</v>
      </c>
      <c r="C1711" s="16">
        <v>20.0</v>
      </c>
      <c r="D1711" s="16" t="s">
        <v>10444</v>
      </c>
      <c r="E1711" s="16" t="s">
        <v>707</v>
      </c>
      <c r="F1711" s="16">
        <v>2014.0</v>
      </c>
      <c r="G1711" s="16">
        <v>54.5821</v>
      </c>
      <c r="H1711" s="16">
        <v>9.2452</v>
      </c>
      <c r="I1711" s="15"/>
      <c r="J1711" s="15"/>
    </row>
    <row r="1712">
      <c r="A1712" s="18">
        <v>45364.0</v>
      </c>
      <c r="B1712" s="16" t="s">
        <v>11901</v>
      </c>
      <c r="C1712" s="16">
        <v>17.0</v>
      </c>
      <c r="D1712" s="16" t="s">
        <v>10444</v>
      </c>
      <c r="E1712" s="16" t="s">
        <v>707</v>
      </c>
      <c r="F1712" s="16">
        <v>2023.0</v>
      </c>
      <c r="G1712" s="16">
        <v>52.2561</v>
      </c>
      <c r="H1712" s="16">
        <v>10.1393</v>
      </c>
      <c r="I1712" s="15"/>
      <c r="J1712" s="15"/>
    </row>
    <row r="1713">
      <c r="A1713" s="18">
        <v>44656.0</v>
      </c>
      <c r="B1713" s="16" t="s">
        <v>11902</v>
      </c>
      <c r="C1713" s="16">
        <v>24.0</v>
      </c>
      <c r="D1713" s="16" t="s">
        <v>10444</v>
      </c>
      <c r="E1713" s="16" t="s">
        <v>707</v>
      </c>
      <c r="F1713" s="16">
        <v>2005.0</v>
      </c>
      <c r="G1713" s="16">
        <v>53.0222</v>
      </c>
      <c r="H1713" s="16">
        <v>9.9223</v>
      </c>
      <c r="I1713" s="15"/>
      <c r="J1713" s="15"/>
    </row>
    <row r="1714">
      <c r="A1714" s="18">
        <v>44656.0</v>
      </c>
      <c r="B1714" s="16" t="s">
        <v>11903</v>
      </c>
      <c r="C1714" s="16">
        <v>13.0</v>
      </c>
      <c r="D1714" s="16" t="s">
        <v>10444</v>
      </c>
      <c r="E1714" s="16" t="s">
        <v>707</v>
      </c>
      <c r="F1714" s="16">
        <v>2016.0</v>
      </c>
      <c r="G1714" s="16">
        <v>50.255</v>
      </c>
      <c r="H1714" s="16">
        <v>11.1366</v>
      </c>
      <c r="I1714" s="15"/>
      <c r="J1714" s="15"/>
    </row>
    <row r="1715">
      <c r="A1715" s="18">
        <v>44656.0</v>
      </c>
      <c r="B1715" s="16" t="s">
        <v>11904</v>
      </c>
      <c r="C1715" s="16">
        <v>75.0</v>
      </c>
      <c r="D1715" s="16" t="s">
        <v>10444</v>
      </c>
      <c r="E1715" s="16" t="s">
        <v>707</v>
      </c>
      <c r="F1715" s="16">
        <v>2005.0</v>
      </c>
      <c r="G1715" s="16">
        <v>52.0292</v>
      </c>
      <c r="H1715" s="16">
        <v>11.3679</v>
      </c>
      <c r="I1715" s="15"/>
      <c r="J1715" s="15"/>
    </row>
    <row r="1716">
      <c r="A1716" s="18">
        <v>44656.0</v>
      </c>
      <c r="B1716" s="16" t="s">
        <v>11905</v>
      </c>
      <c r="C1716" s="16">
        <v>12.0</v>
      </c>
      <c r="D1716" s="16" t="s">
        <v>10444</v>
      </c>
      <c r="E1716" s="16" t="s">
        <v>707</v>
      </c>
      <c r="F1716" s="16">
        <v>2014.0</v>
      </c>
      <c r="G1716" s="16">
        <v>51.0898</v>
      </c>
      <c r="H1716" s="16">
        <v>9.8577</v>
      </c>
      <c r="I1716" s="15"/>
      <c r="J1716" s="15"/>
    </row>
    <row r="1717">
      <c r="A1717" s="18">
        <v>45033.0</v>
      </c>
      <c r="B1717" s="16" t="s">
        <v>11906</v>
      </c>
      <c r="C1717" s="16">
        <v>11.0</v>
      </c>
      <c r="D1717" s="16" t="s">
        <v>10444</v>
      </c>
      <c r="E1717" s="16" t="s">
        <v>707</v>
      </c>
      <c r="F1717" s="16">
        <v>2021.0</v>
      </c>
      <c r="G1717" s="16">
        <v>54.7321</v>
      </c>
      <c r="H1717" s="16">
        <v>9.6842</v>
      </c>
      <c r="I1717" s="15"/>
      <c r="J1717" s="15"/>
    </row>
    <row r="1718">
      <c r="A1718" s="18">
        <v>44656.0</v>
      </c>
      <c r="B1718" s="16" t="s">
        <v>11907</v>
      </c>
      <c r="C1718" s="16">
        <v>13.0</v>
      </c>
      <c r="D1718" s="16" t="s">
        <v>10444</v>
      </c>
      <c r="E1718" s="16" t="s">
        <v>707</v>
      </c>
      <c r="F1718" s="16">
        <v>2016.0</v>
      </c>
      <c r="G1718" s="16">
        <v>49.6242</v>
      </c>
      <c r="H1718" s="16">
        <v>7.0444</v>
      </c>
      <c r="I1718" s="15"/>
      <c r="J1718" s="15"/>
    </row>
    <row r="1719">
      <c r="A1719" s="18">
        <v>44998.0</v>
      </c>
      <c r="B1719" s="16" t="s">
        <v>11908</v>
      </c>
      <c r="C1719" s="16">
        <v>18.0</v>
      </c>
      <c r="D1719" s="16" t="s">
        <v>10444</v>
      </c>
      <c r="E1719" s="16" t="s">
        <v>707</v>
      </c>
      <c r="F1719" s="16">
        <v>2016.0</v>
      </c>
      <c r="G1719" s="16">
        <v>52.8717</v>
      </c>
      <c r="H1719" s="16">
        <v>7.6396</v>
      </c>
      <c r="I1719" s="15"/>
      <c r="J1719" s="15"/>
    </row>
    <row r="1720">
      <c r="A1720" s="18">
        <v>44656.0</v>
      </c>
      <c r="B1720" s="16" t="s">
        <v>11909</v>
      </c>
      <c r="C1720" s="16">
        <v>28.0</v>
      </c>
      <c r="D1720" s="16" t="s">
        <v>10444</v>
      </c>
      <c r="E1720" s="16" t="s">
        <v>707</v>
      </c>
      <c r="F1720" s="15"/>
      <c r="G1720" s="16">
        <v>51.9055</v>
      </c>
      <c r="H1720" s="16">
        <v>11.2389</v>
      </c>
      <c r="I1720" s="15"/>
      <c r="J1720" s="15"/>
    </row>
    <row r="1721">
      <c r="A1721" s="18">
        <v>44656.0</v>
      </c>
      <c r="B1721" s="16" t="s">
        <v>11910</v>
      </c>
      <c r="C1721" s="16">
        <v>14.0</v>
      </c>
      <c r="D1721" s="16" t="s">
        <v>10444</v>
      </c>
      <c r="E1721" s="16" t="s">
        <v>707</v>
      </c>
      <c r="F1721" s="16">
        <v>2004.0</v>
      </c>
      <c r="G1721" s="16">
        <v>53.043</v>
      </c>
      <c r="H1721" s="16">
        <v>13.222</v>
      </c>
      <c r="I1721" s="15"/>
      <c r="J1721" s="15"/>
    </row>
    <row r="1722">
      <c r="A1722" s="18">
        <v>44656.0</v>
      </c>
      <c r="B1722" s="16" t="s">
        <v>11911</v>
      </c>
      <c r="C1722" s="16">
        <v>24.0</v>
      </c>
      <c r="D1722" s="16" t="s">
        <v>10444</v>
      </c>
      <c r="E1722" s="16" t="s">
        <v>707</v>
      </c>
      <c r="F1722" s="16">
        <v>2007.0</v>
      </c>
      <c r="G1722" s="16">
        <v>52.1644</v>
      </c>
      <c r="H1722" s="16">
        <v>11.8014</v>
      </c>
      <c r="I1722" s="15"/>
      <c r="J1722" s="15"/>
    </row>
    <row r="1723">
      <c r="A1723" s="18">
        <v>44656.0</v>
      </c>
      <c r="B1723" s="16" t="s">
        <v>11912</v>
      </c>
      <c r="C1723" s="16">
        <v>15.0</v>
      </c>
      <c r="D1723" s="16" t="s">
        <v>10444</v>
      </c>
      <c r="E1723" s="16" t="s">
        <v>707</v>
      </c>
      <c r="F1723" s="16">
        <v>2014.0</v>
      </c>
      <c r="G1723" s="16">
        <v>54.7788</v>
      </c>
      <c r="H1723" s="16">
        <v>9.0945</v>
      </c>
      <c r="I1723" s="15"/>
      <c r="J1723" s="15"/>
    </row>
    <row r="1724">
      <c r="A1724" s="18">
        <v>44656.0</v>
      </c>
      <c r="B1724" s="16" t="s">
        <v>11913</v>
      </c>
      <c r="C1724" s="16">
        <v>34.0</v>
      </c>
      <c r="D1724" s="16" t="s">
        <v>10444</v>
      </c>
      <c r="E1724" s="16" t="s">
        <v>707</v>
      </c>
      <c r="F1724" s="16">
        <v>2021.0</v>
      </c>
      <c r="G1724" s="16">
        <v>52.3299</v>
      </c>
      <c r="H1724" s="16">
        <v>13.761</v>
      </c>
      <c r="I1724" s="15"/>
      <c r="J1724" s="15"/>
    </row>
    <row r="1725">
      <c r="A1725" s="18">
        <v>45037.0</v>
      </c>
      <c r="B1725" s="16" t="s">
        <v>11914</v>
      </c>
      <c r="C1725" s="16">
        <v>23.0</v>
      </c>
      <c r="D1725" s="16" t="s">
        <v>10444</v>
      </c>
      <c r="E1725" s="16" t="s">
        <v>707</v>
      </c>
      <c r="F1725" s="16">
        <v>2009.0</v>
      </c>
      <c r="G1725" s="16">
        <v>51.549</v>
      </c>
      <c r="H1725" s="16">
        <v>14.4306</v>
      </c>
      <c r="I1725" s="15"/>
      <c r="J1725" s="15"/>
    </row>
    <row r="1726">
      <c r="A1726" s="18">
        <v>45037.0</v>
      </c>
      <c r="B1726" s="16" t="s">
        <v>11914</v>
      </c>
      <c r="C1726" s="16">
        <v>13.0</v>
      </c>
      <c r="D1726" s="16" t="s">
        <v>10444</v>
      </c>
      <c r="E1726" s="16" t="s">
        <v>707</v>
      </c>
      <c r="F1726" s="16">
        <v>2016.0</v>
      </c>
      <c r="G1726" s="16">
        <v>51.5442</v>
      </c>
      <c r="H1726" s="16">
        <v>14.4458</v>
      </c>
      <c r="I1726" s="15"/>
      <c r="J1726" s="15"/>
    </row>
    <row r="1727">
      <c r="A1727" s="18">
        <v>45037.0</v>
      </c>
      <c r="B1727" s="16" t="s">
        <v>11914</v>
      </c>
      <c r="C1727" s="16">
        <v>11.0</v>
      </c>
      <c r="D1727" s="16" t="s">
        <v>10444</v>
      </c>
      <c r="E1727" s="16" t="s">
        <v>707</v>
      </c>
      <c r="F1727" s="16">
        <v>2019.0</v>
      </c>
      <c r="G1727" s="16">
        <v>51.5542</v>
      </c>
      <c r="H1727" s="16">
        <v>14.4318</v>
      </c>
      <c r="I1727" s="15"/>
      <c r="J1727" s="15"/>
    </row>
    <row r="1728">
      <c r="A1728" s="18">
        <v>45371.0</v>
      </c>
      <c r="B1728" s="16" t="s">
        <v>11915</v>
      </c>
      <c r="C1728" s="16">
        <v>22.0</v>
      </c>
      <c r="D1728" s="16" t="s">
        <v>10444</v>
      </c>
      <c r="E1728" s="16" t="s">
        <v>707</v>
      </c>
      <c r="F1728" s="16">
        <v>2002.0</v>
      </c>
      <c r="G1728" s="16">
        <v>52.2205</v>
      </c>
      <c r="H1728" s="16">
        <v>11.1642</v>
      </c>
      <c r="I1728" s="15"/>
      <c r="J1728" s="15"/>
    </row>
    <row r="1729">
      <c r="A1729" s="18">
        <v>44656.0</v>
      </c>
      <c r="B1729" s="16" t="s">
        <v>11916</v>
      </c>
      <c r="C1729" s="16">
        <v>10.0</v>
      </c>
      <c r="D1729" s="16" t="s">
        <v>10444</v>
      </c>
      <c r="E1729" s="16" t="s">
        <v>707</v>
      </c>
      <c r="F1729" s="16">
        <v>2009.0</v>
      </c>
      <c r="G1729" s="16">
        <v>52.2198</v>
      </c>
      <c r="H1729" s="16">
        <v>9.6728</v>
      </c>
      <c r="I1729" s="15"/>
      <c r="J1729" s="15"/>
    </row>
    <row r="1730">
      <c r="A1730" s="18">
        <v>45364.0</v>
      </c>
      <c r="B1730" s="16" t="s">
        <v>11917</v>
      </c>
      <c r="C1730" s="16">
        <v>17.0</v>
      </c>
      <c r="D1730" s="16" t="s">
        <v>10444</v>
      </c>
      <c r="E1730" s="16" t="s">
        <v>707</v>
      </c>
      <c r="F1730" s="16">
        <v>2024.0</v>
      </c>
      <c r="G1730" s="16">
        <v>54.4879</v>
      </c>
      <c r="H1730" s="16">
        <v>9.2382</v>
      </c>
      <c r="I1730" s="15"/>
      <c r="J1730" s="15"/>
    </row>
    <row r="1731">
      <c r="A1731" s="18">
        <v>44656.0</v>
      </c>
      <c r="B1731" s="16" t="s">
        <v>11918</v>
      </c>
      <c r="C1731" s="16">
        <v>26.0</v>
      </c>
      <c r="D1731" s="16" t="s">
        <v>10444</v>
      </c>
      <c r="E1731" s="16" t="s">
        <v>707</v>
      </c>
      <c r="F1731" s="16">
        <v>2013.0</v>
      </c>
      <c r="G1731" s="16">
        <v>54.0517</v>
      </c>
      <c r="H1731" s="16">
        <v>12.005</v>
      </c>
      <c r="I1731" s="15"/>
      <c r="J1731" s="15"/>
    </row>
    <row r="1732">
      <c r="A1732" s="18">
        <v>44656.0</v>
      </c>
      <c r="B1732" s="16" t="s">
        <v>11919</v>
      </c>
      <c r="C1732" s="16">
        <v>11.0</v>
      </c>
      <c r="D1732" s="16" t="s">
        <v>10444</v>
      </c>
      <c r="E1732" s="16" t="s">
        <v>707</v>
      </c>
      <c r="F1732" s="16">
        <v>2019.0</v>
      </c>
      <c r="G1732" s="16">
        <v>54.1705</v>
      </c>
      <c r="H1732" s="16">
        <v>12.0815</v>
      </c>
      <c r="I1732" s="15"/>
      <c r="J1732" s="15"/>
    </row>
    <row r="1733">
      <c r="A1733" s="18">
        <v>44656.0</v>
      </c>
      <c r="B1733" s="16" t="s">
        <v>11920</v>
      </c>
      <c r="C1733" s="16">
        <v>20.0</v>
      </c>
      <c r="D1733" s="16" t="s">
        <v>10444</v>
      </c>
      <c r="E1733" s="16" t="s">
        <v>707</v>
      </c>
      <c r="F1733" s="16">
        <v>2017.0</v>
      </c>
      <c r="G1733" s="16">
        <v>51.9687</v>
      </c>
      <c r="H1733" s="16">
        <v>6.9262</v>
      </c>
      <c r="I1733" s="15"/>
      <c r="J1733" s="15"/>
    </row>
    <row r="1734">
      <c r="A1734" s="18">
        <v>44656.0</v>
      </c>
      <c r="B1734" s="16" t="s">
        <v>11921</v>
      </c>
      <c r="C1734" s="16">
        <v>12.0</v>
      </c>
      <c r="D1734" s="16" t="s">
        <v>10444</v>
      </c>
      <c r="E1734" s="16" t="s">
        <v>707</v>
      </c>
      <c r="F1734" s="16">
        <v>2002.0</v>
      </c>
      <c r="G1734" s="16">
        <v>50.0619</v>
      </c>
      <c r="H1734" s="16">
        <v>6.5369</v>
      </c>
      <c r="I1734" s="15"/>
      <c r="J1734" s="15"/>
    </row>
    <row r="1735">
      <c r="A1735" s="18">
        <v>44656.0</v>
      </c>
      <c r="B1735" s="16" t="s">
        <v>11922</v>
      </c>
      <c r="C1735" s="16">
        <v>14.0</v>
      </c>
      <c r="D1735" s="16" t="s">
        <v>10444</v>
      </c>
      <c r="E1735" s="16" t="s">
        <v>707</v>
      </c>
      <c r="F1735" s="16">
        <v>2015.0</v>
      </c>
      <c r="G1735" s="16">
        <v>50.1487</v>
      </c>
      <c r="H1735" s="16">
        <v>11.7524</v>
      </c>
      <c r="I1735" s="15"/>
      <c r="J1735" s="15"/>
    </row>
    <row r="1736">
      <c r="A1736" s="18">
        <v>45371.0</v>
      </c>
      <c r="B1736" s="16" t="s">
        <v>11923</v>
      </c>
      <c r="C1736" s="16">
        <v>18.0</v>
      </c>
      <c r="D1736" s="16" t="s">
        <v>10444</v>
      </c>
      <c r="E1736" s="16" t="s">
        <v>707</v>
      </c>
      <c r="F1736" s="16">
        <v>2022.0</v>
      </c>
      <c r="G1736" s="16">
        <v>50.6914</v>
      </c>
      <c r="H1736" s="16">
        <v>8.7708</v>
      </c>
      <c r="I1736" s="15"/>
      <c r="J1736" s="15"/>
    </row>
    <row r="1737">
      <c r="A1737" s="18">
        <v>44656.0</v>
      </c>
      <c r="B1737" s="16" t="s">
        <v>11924</v>
      </c>
      <c r="C1737" s="16">
        <v>30.0</v>
      </c>
      <c r="D1737" s="16" t="s">
        <v>10444</v>
      </c>
      <c r="E1737" s="16" t="s">
        <v>707</v>
      </c>
      <c r="F1737" s="16">
        <v>2013.0</v>
      </c>
      <c r="G1737" s="16">
        <v>53.6361</v>
      </c>
      <c r="H1737" s="16">
        <v>7.6906</v>
      </c>
      <c r="I1737" s="15"/>
      <c r="J1737" s="15"/>
    </row>
    <row r="1738">
      <c r="A1738" s="18">
        <v>44656.0</v>
      </c>
      <c r="B1738" s="16" t="s">
        <v>11925</v>
      </c>
      <c r="C1738" s="16">
        <v>27.0</v>
      </c>
      <c r="D1738" s="16" t="s">
        <v>10444</v>
      </c>
      <c r="E1738" s="16" t="s">
        <v>707</v>
      </c>
      <c r="F1738" s="16">
        <v>2009.0</v>
      </c>
      <c r="G1738" s="16">
        <v>52.1789</v>
      </c>
      <c r="H1738" s="16">
        <v>11.8891</v>
      </c>
      <c r="I1738" s="15"/>
      <c r="J1738" s="15"/>
    </row>
    <row r="1739">
      <c r="A1739" s="18">
        <v>44656.0</v>
      </c>
      <c r="B1739" s="16" t="s">
        <v>11926</v>
      </c>
      <c r="C1739" s="16">
        <v>27.0</v>
      </c>
      <c r="D1739" s="16" t="s">
        <v>10444</v>
      </c>
      <c r="E1739" s="16" t="s">
        <v>707</v>
      </c>
      <c r="F1739" s="15"/>
      <c r="G1739" s="16">
        <v>52.1382</v>
      </c>
      <c r="H1739" s="16">
        <v>11.6386</v>
      </c>
      <c r="I1739" s="15"/>
      <c r="J1739" s="15"/>
    </row>
    <row r="1740">
      <c r="A1740" s="18">
        <v>45371.0</v>
      </c>
      <c r="B1740" s="16" t="s">
        <v>11927</v>
      </c>
      <c r="C1740" s="16">
        <v>13.0</v>
      </c>
      <c r="D1740" s="16" t="s">
        <v>10444</v>
      </c>
      <c r="E1740" s="16" t="s">
        <v>707</v>
      </c>
      <c r="F1740" s="16">
        <v>2022.0</v>
      </c>
      <c r="G1740" s="16">
        <v>53.8328</v>
      </c>
      <c r="H1740" s="16">
        <v>9.5752</v>
      </c>
      <c r="I1740" s="15"/>
      <c r="J1740" s="15"/>
    </row>
    <row r="1741">
      <c r="A1741" s="18">
        <v>45351.0</v>
      </c>
      <c r="B1741" s="16" t="s">
        <v>11928</v>
      </c>
      <c r="C1741" s="16">
        <v>21.0</v>
      </c>
      <c r="D1741" s="16" t="s">
        <v>10444</v>
      </c>
      <c r="E1741" s="16" t="s">
        <v>707</v>
      </c>
      <c r="F1741" s="16">
        <v>2023.0</v>
      </c>
      <c r="G1741" s="16">
        <v>51.8557</v>
      </c>
      <c r="H1741" s="16">
        <v>9.0587</v>
      </c>
      <c r="I1741" s="15"/>
      <c r="J1741" s="15"/>
    </row>
    <row r="1742">
      <c r="A1742" s="18">
        <v>44656.0</v>
      </c>
      <c r="B1742" s="16" t="s">
        <v>11929</v>
      </c>
      <c r="C1742" s="16">
        <v>30.0</v>
      </c>
      <c r="D1742" s="16" t="s">
        <v>10444</v>
      </c>
      <c r="E1742" s="16" t="s">
        <v>707</v>
      </c>
      <c r="F1742" s="16">
        <v>2001.0</v>
      </c>
      <c r="G1742" s="16">
        <v>52.6051</v>
      </c>
      <c r="H1742" s="16">
        <v>11.8594</v>
      </c>
      <c r="I1742" s="15"/>
      <c r="J1742" s="15"/>
    </row>
    <row r="1743">
      <c r="A1743" s="18">
        <v>45667.0</v>
      </c>
      <c r="B1743" s="16" t="s">
        <v>11930</v>
      </c>
      <c r="C1743" s="16">
        <v>11.0</v>
      </c>
      <c r="D1743" s="16" t="s">
        <v>10444</v>
      </c>
      <c r="E1743" s="16" t="s">
        <v>707</v>
      </c>
      <c r="F1743" s="16">
        <v>2024.0</v>
      </c>
      <c r="G1743" s="16">
        <v>51.5251</v>
      </c>
      <c r="H1743" s="16">
        <v>6.2112</v>
      </c>
      <c r="I1743" s="15"/>
      <c r="J1743" s="15"/>
    </row>
    <row r="1744">
      <c r="A1744" s="18">
        <v>44656.0</v>
      </c>
      <c r="B1744" s="16" t="s">
        <v>11931</v>
      </c>
      <c r="C1744" s="16">
        <v>11.0</v>
      </c>
      <c r="D1744" s="16" t="s">
        <v>10444</v>
      </c>
      <c r="E1744" s="16" t="s">
        <v>707</v>
      </c>
      <c r="F1744" s="16">
        <v>2003.0</v>
      </c>
      <c r="G1744" s="16">
        <v>52.6071</v>
      </c>
      <c r="H1744" s="16">
        <v>9.4025</v>
      </c>
      <c r="I1744" s="15"/>
      <c r="J1744" s="15"/>
    </row>
    <row r="1745">
      <c r="A1745" s="18">
        <v>44656.0</v>
      </c>
      <c r="B1745" s="16" t="s">
        <v>11932</v>
      </c>
      <c r="C1745" s="16">
        <v>60.0</v>
      </c>
      <c r="D1745" s="16" t="s">
        <v>10444</v>
      </c>
      <c r="E1745" s="16" t="s">
        <v>707</v>
      </c>
      <c r="F1745" s="16">
        <v>2015.0</v>
      </c>
      <c r="G1745" s="16">
        <v>53.9363</v>
      </c>
      <c r="H1745" s="16">
        <v>10.5436</v>
      </c>
      <c r="I1745" s="15"/>
      <c r="J1745" s="15"/>
    </row>
    <row r="1746">
      <c r="A1746" s="18">
        <v>44998.0</v>
      </c>
      <c r="B1746" s="16" t="s">
        <v>11933</v>
      </c>
      <c r="C1746" s="16">
        <v>16.0</v>
      </c>
      <c r="D1746" s="16" t="s">
        <v>10444</v>
      </c>
      <c r="E1746" s="16" t="s">
        <v>707</v>
      </c>
      <c r="F1746" s="16">
        <v>2004.0</v>
      </c>
      <c r="G1746" s="16">
        <v>52.7502</v>
      </c>
      <c r="H1746" s="16">
        <v>8.6549</v>
      </c>
      <c r="I1746" s="15"/>
      <c r="J1746" s="15"/>
    </row>
    <row r="1747">
      <c r="A1747" s="18">
        <v>45355.0</v>
      </c>
      <c r="B1747" s="16" t="s">
        <v>11934</v>
      </c>
      <c r="C1747" s="16">
        <v>13.0</v>
      </c>
      <c r="D1747" s="16" t="s">
        <v>10444</v>
      </c>
      <c r="E1747" s="16" t="s">
        <v>707</v>
      </c>
      <c r="F1747" s="16">
        <v>2023.0</v>
      </c>
      <c r="G1747" s="16">
        <v>54.7652</v>
      </c>
      <c r="H1747" s="16">
        <v>9.1374</v>
      </c>
      <c r="I1747" s="15"/>
      <c r="J1747" s="15"/>
    </row>
    <row r="1748">
      <c r="A1748" s="18">
        <v>44656.0</v>
      </c>
      <c r="B1748" s="16" t="s">
        <v>11935</v>
      </c>
      <c r="C1748" s="16">
        <v>18.0</v>
      </c>
      <c r="D1748" s="16" t="s">
        <v>10444</v>
      </c>
      <c r="E1748" s="16" t="s">
        <v>707</v>
      </c>
      <c r="F1748" s="16">
        <v>2011.0</v>
      </c>
      <c r="G1748" s="16">
        <v>53.4867</v>
      </c>
      <c r="H1748" s="16">
        <v>8.3702</v>
      </c>
      <c r="I1748" s="15"/>
      <c r="J1748" s="15"/>
    </row>
    <row r="1749">
      <c r="A1749" s="18">
        <v>44656.0</v>
      </c>
      <c r="B1749" s="16" t="s">
        <v>11936</v>
      </c>
      <c r="C1749" s="16">
        <v>23.0</v>
      </c>
      <c r="D1749" s="16" t="s">
        <v>10444</v>
      </c>
      <c r="E1749" s="16" t="s">
        <v>707</v>
      </c>
      <c r="F1749" s="16">
        <v>2014.0</v>
      </c>
      <c r="G1749" s="16">
        <v>52.7583</v>
      </c>
      <c r="H1749" s="16">
        <v>11.7105</v>
      </c>
      <c r="I1749" s="15"/>
      <c r="J1749" s="15"/>
    </row>
    <row r="1750">
      <c r="A1750" s="18">
        <v>45029.0</v>
      </c>
      <c r="B1750" s="16" t="s">
        <v>11937</v>
      </c>
      <c r="C1750" s="16">
        <v>27.0</v>
      </c>
      <c r="D1750" s="16" t="s">
        <v>10444</v>
      </c>
      <c r="E1750" s="16" t="s">
        <v>707</v>
      </c>
      <c r="F1750" s="16">
        <v>2003.0</v>
      </c>
      <c r="G1750" s="16">
        <v>51.1439</v>
      </c>
      <c r="H1750" s="16">
        <v>11.9707</v>
      </c>
      <c r="I1750" s="15"/>
      <c r="J1750" s="15"/>
    </row>
    <row r="1751">
      <c r="A1751" s="18">
        <v>44656.0</v>
      </c>
      <c r="B1751" s="16" t="s">
        <v>11937</v>
      </c>
      <c r="C1751" s="16">
        <v>18.0</v>
      </c>
      <c r="D1751" s="16" t="s">
        <v>10444</v>
      </c>
      <c r="E1751" s="16" t="s">
        <v>707</v>
      </c>
      <c r="F1751" s="16">
        <v>2010.0</v>
      </c>
      <c r="G1751" s="16">
        <v>51.1173</v>
      </c>
      <c r="H1751" s="16">
        <v>11.9512</v>
      </c>
      <c r="I1751" s="15"/>
      <c r="J1751" s="15"/>
    </row>
    <row r="1752">
      <c r="A1752" s="18">
        <v>44656.0</v>
      </c>
      <c r="B1752" s="16" t="s">
        <v>11938</v>
      </c>
      <c r="C1752" s="16">
        <v>15.0</v>
      </c>
      <c r="D1752" s="16" t="s">
        <v>10444</v>
      </c>
      <c r="E1752" s="16" t="s">
        <v>707</v>
      </c>
      <c r="F1752" s="16">
        <v>2007.0</v>
      </c>
      <c r="G1752" s="16">
        <v>51.9653</v>
      </c>
      <c r="H1752" s="16">
        <v>12.6151</v>
      </c>
      <c r="I1752" s="15"/>
      <c r="J1752" s="15"/>
    </row>
    <row r="1753">
      <c r="A1753" s="18">
        <v>45033.0</v>
      </c>
      <c r="B1753" s="16" t="s">
        <v>11939</v>
      </c>
      <c r="C1753" s="16">
        <v>30.0</v>
      </c>
      <c r="D1753" s="16" t="s">
        <v>10444</v>
      </c>
      <c r="E1753" s="16" t="s">
        <v>707</v>
      </c>
      <c r="F1753" s="16">
        <v>2015.0</v>
      </c>
      <c r="G1753" s="16">
        <v>52.0051</v>
      </c>
      <c r="H1753" s="16">
        <v>12.1334</v>
      </c>
      <c r="I1753" s="15"/>
      <c r="J1753" s="15"/>
    </row>
    <row r="1754">
      <c r="A1754" s="18">
        <v>44656.0</v>
      </c>
      <c r="B1754" s="16" t="s">
        <v>11939</v>
      </c>
      <c r="C1754" s="16">
        <v>14.0</v>
      </c>
      <c r="D1754" s="16" t="s">
        <v>10444</v>
      </c>
      <c r="E1754" s="16" t="s">
        <v>707</v>
      </c>
      <c r="F1754" s="15"/>
      <c r="G1754" s="16">
        <v>52.0041</v>
      </c>
      <c r="H1754" s="16">
        <v>12.1291</v>
      </c>
      <c r="I1754" s="15"/>
      <c r="J1754" s="15"/>
    </row>
    <row r="1755">
      <c r="A1755" s="18">
        <v>45355.0</v>
      </c>
      <c r="B1755" s="16" t="s">
        <v>11940</v>
      </c>
      <c r="C1755" s="16">
        <v>29.0</v>
      </c>
      <c r="D1755" s="16" t="s">
        <v>10444</v>
      </c>
      <c r="E1755" s="16" t="s">
        <v>707</v>
      </c>
      <c r="F1755" s="16">
        <v>2023.0</v>
      </c>
      <c r="G1755" s="16">
        <v>53.1916</v>
      </c>
      <c r="H1755" s="16">
        <v>11.4125</v>
      </c>
      <c r="I1755" s="15"/>
      <c r="J1755" s="15"/>
    </row>
    <row r="1756">
      <c r="A1756" s="18">
        <v>44656.0</v>
      </c>
      <c r="B1756" s="16" t="s">
        <v>11941</v>
      </c>
      <c r="C1756" s="16">
        <v>33.0</v>
      </c>
      <c r="D1756" s="16" t="s">
        <v>10444</v>
      </c>
      <c r="E1756" s="16" t="s">
        <v>707</v>
      </c>
      <c r="F1756" s="16">
        <v>2018.0</v>
      </c>
      <c r="G1756" s="16">
        <v>48.8176</v>
      </c>
      <c r="H1756" s="16">
        <v>8.5222</v>
      </c>
      <c r="I1756" s="15"/>
      <c r="J1756" s="15"/>
    </row>
    <row r="1757">
      <c r="A1757" s="18">
        <v>44656.0</v>
      </c>
      <c r="B1757" s="16" t="s">
        <v>11942</v>
      </c>
      <c r="C1757" s="16">
        <v>14.0</v>
      </c>
      <c r="D1757" s="16" t="s">
        <v>10444</v>
      </c>
      <c r="E1757" s="16" t="s">
        <v>707</v>
      </c>
      <c r="F1757" s="16">
        <v>2004.0</v>
      </c>
      <c r="G1757" s="16">
        <v>50.6425</v>
      </c>
      <c r="H1757" s="16">
        <v>6.3443</v>
      </c>
      <c r="I1757" s="15"/>
      <c r="J1757" s="15"/>
    </row>
    <row r="1758">
      <c r="A1758" s="18">
        <v>44656.0</v>
      </c>
      <c r="B1758" s="16" t="s">
        <v>11943</v>
      </c>
      <c r="C1758" s="16">
        <v>34.0</v>
      </c>
      <c r="D1758" s="16" t="s">
        <v>10444</v>
      </c>
      <c r="E1758" s="16" t="s">
        <v>707</v>
      </c>
      <c r="F1758" s="16">
        <v>2017.0</v>
      </c>
      <c r="G1758" s="16">
        <v>50.3762</v>
      </c>
      <c r="H1758" s="16">
        <v>10.296</v>
      </c>
      <c r="I1758" s="15"/>
      <c r="J1758" s="15"/>
    </row>
    <row r="1759">
      <c r="A1759" s="18">
        <v>44656.0</v>
      </c>
      <c r="B1759" s="16" t="s">
        <v>11944</v>
      </c>
      <c r="C1759" s="16">
        <v>13.0</v>
      </c>
      <c r="D1759" s="16" t="s">
        <v>10444</v>
      </c>
      <c r="E1759" s="16" t="s">
        <v>707</v>
      </c>
      <c r="F1759" s="16">
        <v>2016.0</v>
      </c>
      <c r="G1759" s="16">
        <v>51.3486</v>
      </c>
      <c r="H1759" s="16">
        <v>13.3772</v>
      </c>
      <c r="I1759" s="15"/>
      <c r="J1759" s="15"/>
    </row>
    <row r="1760">
      <c r="A1760" s="18">
        <v>44656.0</v>
      </c>
      <c r="B1760" s="16" t="s">
        <v>11945</v>
      </c>
      <c r="C1760" s="16">
        <v>12.0</v>
      </c>
      <c r="D1760" s="16" t="s">
        <v>10444</v>
      </c>
      <c r="E1760" s="16" t="s">
        <v>707</v>
      </c>
      <c r="F1760" s="16">
        <v>2015.0</v>
      </c>
      <c r="G1760" s="16">
        <v>52.1967</v>
      </c>
      <c r="H1760" s="16">
        <v>7.3478</v>
      </c>
      <c r="I1760" s="15"/>
      <c r="J1760" s="15"/>
    </row>
    <row r="1761">
      <c r="A1761" s="18">
        <v>44656.0</v>
      </c>
      <c r="B1761" s="16" t="s">
        <v>11946</v>
      </c>
      <c r="C1761" s="16">
        <v>14.0</v>
      </c>
      <c r="D1761" s="16" t="s">
        <v>10444</v>
      </c>
      <c r="E1761" s="16" t="s">
        <v>707</v>
      </c>
      <c r="F1761" s="16">
        <v>2016.0</v>
      </c>
      <c r="G1761" s="16">
        <v>54.26</v>
      </c>
      <c r="H1761" s="16">
        <v>8.9485</v>
      </c>
      <c r="I1761" s="15"/>
      <c r="J1761" s="15"/>
    </row>
    <row r="1762">
      <c r="A1762" s="18">
        <v>44656.0</v>
      </c>
      <c r="B1762" s="16" t="s">
        <v>11947</v>
      </c>
      <c r="C1762" s="16">
        <v>50.0</v>
      </c>
      <c r="D1762" s="16" t="s">
        <v>10444</v>
      </c>
      <c r="E1762" s="16" t="s">
        <v>707</v>
      </c>
      <c r="F1762" s="16">
        <v>2018.0</v>
      </c>
      <c r="G1762" s="16">
        <v>53.3457</v>
      </c>
      <c r="H1762" s="16">
        <v>8.3956</v>
      </c>
      <c r="I1762" s="15"/>
      <c r="J1762" s="15"/>
    </row>
    <row r="1763">
      <c r="A1763" s="18">
        <v>44656.0</v>
      </c>
      <c r="B1763" s="16" t="s">
        <v>11948</v>
      </c>
      <c r="C1763" s="16">
        <v>35.0</v>
      </c>
      <c r="D1763" s="16" t="s">
        <v>10444</v>
      </c>
      <c r="E1763" s="16" t="s">
        <v>707</v>
      </c>
      <c r="F1763" s="16">
        <v>2005.0</v>
      </c>
      <c r="G1763" s="16">
        <v>52.8977</v>
      </c>
      <c r="H1763" s="16">
        <v>12.2784</v>
      </c>
      <c r="I1763" s="15"/>
      <c r="J1763" s="15"/>
    </row>
    <row r="1764">
      <c r="A1764" s="18">
        <v>45377.0</v>
      </c>
      <c r="B1764" s="16" t="s">
        <v>11949</v>
      </c>
      <c r="C1764" s="16">
        <v>10.0</v>
      </c>
      <c r="D1764" s="16" t="s">
        <v>10444</v>
      </c>
      <c r="E1764" s="16" t="s">
        <v>707</v>
      </c>
      <c r="F1764" s="16">
        <v>2023.0</v>
      </c>
      <c r="G1764" s="16">
        <v>53.8546</v>
      </c>
      <c r="H1764" s="16">
        <v>10.0925</v>
      </c>
      <c r="I1764" s="15"/>
      <c r="J1764" s="15"/>
    </row>
    <row r="1765">
      <c r="A1765" s="18">
        <v>44656.0</v>
      </c>
      <c r="B1765" s="16" t="s">
        <v>11950</v>
      </c>
      <c r="C1765" s="16">
        <v>33.0</v>
      </c>
      <c r="D1765" s="16" t="s">
        <v>10444</v>
      </c>
      <c r="E1765" s="16" t="s">
        <v>707</v>
      </c>
      <c r="F1765" s="16">
        <v>2013.0</v>
      </c>
      <c r="G1765" s="16">
        <v>53.3297</v>
      </c>
      <c r="H1765" s="16">
        <v>11.9897</v>
      </c>
      <c r="I1765" s="15"/>
      <c r="J1765" s="15"/>
    </row>
    <row r="1766">
      <c r="A1766" s="18">
        <v>44656.0</v>
      </c>
      <c r="B1766" s="16" t="s">
        <v>11951</v>
      </c>
      <c r="C1766" s="16">
        <v>10.0</v>
      </c>
      <c r="D1766" s="16" t="s">
        <v>10444</v>
      </c>
      <c r="E1766" s="16" t="s">
        <v>707</v>
      </c>
      <c r="F1766" s="16">
        <v>2017.0</v>
      </c>
      <c r="G1766" s="16">
        <v>53.8333</v>
      </c>
      <c r="H1766" s="16">
        <v>9.5761</v>
      </c>
      <c r="I1766" s="15"/>
      <c r="J1766" s="15"/>
    </row>
    <row r="1767">
      <c r="A1767" s="18">
        <v>44656.0</v>
      </c>
      <c r="B1767" s="16" t="s">
        <v>11952</v>
      </c>
      <c r="C1767" s="16">
        <v>12.0</v>
      </c>
      <c r="D1767" s="16" t="s">
        <v>10444</v>
      </c>
      <c r="E1767" s="16" t="s">
        <v>707</v>
      </c>
      <c r="F1767" s="16">
        <v>2017.0</v>
      </c>
      <c r="G1767" s="16">
        <v>53.8246</v>
      </c>
      <c r="H1767" s="16">
        <v>9.5611</v>
      </c>
      <c r="I1767" s="15"/>
      <c r="J1767" s="15"/>
    </row>
    <row r="1768">
      <c r="A1768" s="18">
        <v>44656.0</v>
      </c>
      <c r="B1768" s="16" t="s">
        <v>11953</v>
      </c>
      <c r="C1768" s="16">
        <v>16.0</v>
      </c>
      <c r="D1768" s="16" t="s">
        <v>10444</v>
      </c>
      <c r="E1768" s="16" t="s">
        <v>707</v>
      </c>
      <c r="F1768" s="16">
        <v>2012.0</v>
      </c>
      <c r="G1768" s="16">
        <v>52.5556</v>
      </c>
      <c r="H1768" s="16">
        <v>9.4109</v>
      </c>
      <c r="I1768" s="15"/>
      <c r="J1768" s="15"/>
    </row>
    <row r="1769">
      <c r="A1769" s="18">
        <v>44656.0</v>
      </c>
      <c r="B1769" s="16" t="s">
        <v>11954</v>
      </c>
      <c r="C1769" s="16">
        <v>23.0</v>
      </c>
      <c r="D1769" s="16" t="s">
        <v>10444</v>
      </c>
      <c r="E1769" s="16" t="s">
        <v>707</v>
      </c>
      <c r="F1769" s="16">
        <v>2008.0</v>
      </c>
      <c r="G1769" s="16">
        <v>54.671</v>
      </c>
      <c r="H1769" s="16">
        <v>9.2033</v>
      </c>
      <c r="I1769" s="15"/>
      <c r="J1769" s="15"/>
    </row>
    <row r="1770">
      <c r="A1770" s="18">
        <v>44656.0</v>
      </c>
      <c r="B1770" s="16" t="s">
        <v>11955</v>
      </c>
      <c r="C1770" s="16">
        <v>36.0</v>
      </c>
      <c r="D1770" s="16" t="s">
        <v>10444</v>
      </c>
      <c r="E1770" s="16" t="s">
        <v>707</v>
      </c>
      <c r="F1770" s="16">
        <v>2014.0</v>
      </c>
      <c r="G1770" s="16">
        <v>54.8912</v>
      </c>
      <c r="H1770" s="16">
        <v>8.9055</v>
      </c>
      <c r="I1770" s="15"/>
      <c r="J1770" s="15"/>
    </row>
    <row r="1771">
      <c r="A1771" s="18">
        <v>44656.0</v>
      </c>
      <c r="B1771" s="16" t="s">
        <v>11956</v>
      </c>
      <c r="C1771" s="16">
        <v>20.0</v>
      </c>
      <c r="D1771" s="16" t="s">
        <v>10444</v>
      </c>
      <c r="E1771" s="16" t="s">
        <v>707</v>
      </c>
      <c r="F1771" s="16">
        <v>2016.0</v>
      </c>
      <c r="G1771" s="16">
        <v>48.2578</v>
      </c>
      <c r="H1771" s="16">
        <v>7.9255</v>
      </c>
      <c r="I1771" s="15"/>
      <c r="J1771" s="15"/>
    </row>
    <row r="1772">
      <c r="A1772" s="18">
        <v>44656.0</v>
      </c>
      <c r="B1772" s="16" t="s">
        <v>11957</v>
      </c>
      <c r="C1772" s="16">
        <v>15.0</v>
      </c>
      <c r="D1772" s="16" t="s">
        <v>10444</v>
      </c>
      <c r="E1772" s="16" t="s">
        <v>707</v>
      </c>
      <c r="F1772" s="16">
        <v>2016.0</v>
      </c>
      <c r="G1772" s="16">
        <v>52.6421</v>
      </c>
      <c r="H1772" s="16">
        <v>8.8096</v>
      </c>
      <c r="I1772" s="15"/>
      <c r="J1772" s="15"/>
    </row>
    <row r="1773">
      <c r="A1773" s="18">
        <v>45667.0</v>
      </c>
      <c r="B1773" s="16" t="s">
        <v>11958</v>
      </c>
      <c r="C1773" s="16">
        <v>39.0</v>
      </c>
      <c r="D1773" s="16" t="s">
        <v>10444</v>
      </c>
      <c r="E1773" s="16" t="s">
        <v>707</v>
      </c>
      <c r="F1773" s="16">
        <v>2024.0</v>
      </c>
      <c r="G1773" s="16">
        <v>48.9907</v>
      </c>
      <c r="H1773" s="16">
        <v>9.8456</v>
      </c>
      <c r="I1773" s="15"/>
      <c r="J1773" s="15"/>
    </row>
    <row r="1774">
      <c r="A1774" s="18">
        <v>44987.0</v>
      </c>
      <c r="B1774" s="16" t="s">
        <v>11959</v>
      </c>
      <c r="C1774" s="16">
        <v>20.0</v>
      </c>
      <c r="D1774" s="16" t="s">
        <v>10444</v>
      </c>
      <c r="E1774" s="16" t="s">
        <v>707</v>
      </c>
      <c r="F1774" s="16">
        <v>2021.0</v>
      </c>
      <c r="G1774" s="16">
        <v>52.5518</v>
      </c>
      <c r="H1774" s="16">
        <v>7.6187</v>
      </c>
      <c r="I1774" s="15"/>
      <c r="J1774" s="15"/>
    </row>
    <row r="1775">
      <c r="A1775" s="18">
        <v>44656.0</v>
      </c>
      <c r="B1775" s="16" t="s">
        <v>11960</v>
      </c>
      <c r="C1775" s="16">
        <v>12.0</v>
      </c>
      <c r="D1775" s="16" t="s">
        <v>10444</v>
      </c>
      <c r="E1775" s="16" t="s">
        <v>707</v>
      </c>
      <c r="F1775" s="16">
        <v>2015.0</v>
      </c>
      <c r="G1775" s="16">
        <v>51.6634</v>
      </c>
      <c r="H1775" s="16">
        <v>11.4376</v>
      </c>
      <c r="I1775" s="15"/>
      <c r="J1775" s="15"/>
    </row>
    <row r="1776">
      <c r="A1776" s="18">
        <v>44656.0</v>
      </c>
      <c r="B1776" s="16" t="s">
        <v>11961</v>
      </c>
      <c r="C1776" s="16">
        <v>11.0</v>
      </c>
      <c r="D1776" s="16" t="s">
        <v>10444</v>
      </c>
      <c r="E1776" s="16" t="s">
        <v>707</v>
      </c>
      <c r="F1776" s="16">
        <v>2004.0</v>
      </c>
      <c r="G1776" s="16">
        <v>50.4959</v>
      </c>
      <c r="H1776" s="16">
        <v>11.8158</v>
      </c>
      <c r="I1776" s="15"/>
      <c r="J1776" s="15"/>
    </row>
    <row r="1777">
      <c r="A1777" s="18">
        <v>44656.0</v>
      </c>
      <c r="B1777" s="16" t="s">
        <v>11962</v>
      </c>
      <c r="C1777" s="16">
        <v>12.0</v>
      </c>
      <c r="D1777" s="16" t="s">
        <v>10444</v>
      </c>
      <c r="E1777" s="16" t="s">
        <v>707</v>
      </c>
      <c r="F1777" s="16">
        <v>2014.0</v>
      </c>
      <c r="G1777" s="16">
        <v>49.8564</v>
      </c>
      <c r="H1777" s="16">
        <v>11.5289</v>
      </c>
      <c r="I1777" s="15"/>
      <c r="J1777" s="15"/>
    </row>
    <row r="1778">
      <c r="A1778" s="18">
        <v>45033.0</v>
      </c>
      <c r="B1778" s="16" t="s">
        <v>11963</v>
      </c>
      <c r="C1778" s="16">
        <v>11.0</v>
      </c>
      <c r="D1778" s="16" t="s">
        <v>10444</v>
      </c>
      <c r="E1778" s="16" t="s">
        <v>707</v>
      </c>
      <c r="F1778" s="16">
        <v>2022.0</v>
      </c>
      <c r="G1778" s="16">
        <v>53.2865</v>
      </c>
      <c r="H1778" s="16">
        <v>14.3817</v>
      </c>
      <c r="I1778" s="15"/>
      <c r="J1778" s="15"/>
    </row>
    <row r="1779">
      <c r="A1779" s="18">
        <v>44656.0</v>
      </c>
      <c r="B1779" s="16" t="s">
        <v>11964</v>
      </c>
      <c r="C1779" s="16">
        <v>14.0</v>
      </c>
      <c r="D1779" s="16" t="s">
        <v>10444</v>
      </c>
      <c r="E1779" s="16" t="s">
        <v>707</v>
      </c>
      <c r="F1779" s="16">
        <v>2000.0</v>
      </c>
      <c r="G1779" s="16">
        <v>53.7666</v>
      </c>
      <c r="H1779" s="16">
        <v>12.0191</v>
      </c>
      <c r="I1779" s="15"/>
      <c r="J1779" s="15"/>
    </row>
    <row r="1780">
      <c r="A1780" s="18">
        <v>44998.0</v>
      </c>
      <c r="B1780" s="16" t="s">
        <v>11965</v>
      </c>
      <c r="C1780" s="16">
        <v>31.0</v>
      </c>
      <c r="D1780" s="16" t="s">
        <v>10444</v>
      </c>
      <c r="E1780" s="16" t="s">
        <v>707</v>
      </c>
      <c r="F1780" s="16">
        <v>2018.0</v>
      </c>
      <c r="G1780" s="16">
        <v>53.8476</v>
      </c>
      <c r="H1780" s="16">
        <v>10.6688</v>
      </c>
      <c r="I1780" s="15"/>
      <c r="J1780" s="15"/>
    </row>
    <row r="1781">
      <c r="A1781" s="18">
        <v>44656.0</v>
      </c>
      <c r="B1781" s="16" t="s">
        <v>11966</v>
      </c>
      <c r="C1781" s="16">
        <v>21.0</v>
      </c>
      <c r="D1781" s="16" t="s">
        <v>10444</v>
      </c>
      <c r="E1781" s="16" t="s">
        <v>707</v>
      </c>
      <c r="F1781" s="16">
        <v>2016.0</v>
      </c>
      <c r="G1781" s="16">
        <v>54.3401</v>
      </c>
      <c r="H1781" s="16">
        <v>8.7157</v>
      </c>
      <c r="I1781" s="15"/>
      <c r="J1781" s="15"/>
    </row>
    <row r="1782">
      <c r="A1782" s="18">
        <v>44656.0</v>
      </c>
      <c r="B1782" s="16" t="s">
        <v>11967</v>
      </c>
      <c r="C1782" s="16">
        <v>12.0</v>
      </c>
      <c r="D1782" s="16" t="s">
        <v>10444</v>
      </c>
      <c r="E1782" s="16" t="s">
        <v>707</v>
      </c>
      <c r="F1782" s="16">
        <v>2017.0</v>
      </c>
      <c r="G1782" s="16">
        <v>53.0682</v>
      </c>
      <c r="H1782" s="16">
        <v>10.2858</v>
      </c>
      <c r="I1782" s="15"/>
      <c r="J1782" s="15"/>
    </row>
    <row r="1783">
      <c r="A1783" s="18">
        <v>44999.0</v>
      </c>
      <c r="B1783" s="16" t="s">
        <v>11968</v>
      </c>
      <c r="C1783" s="16">
        <v>17.0</v>
      </c>
      <c r="D1783" s="16" t="s">
        <v>10444</v>
      </c>
      <c r="E1783" s="16" t="s">
        <v>707</v>
      </c>
      <c r="F1783" s="16">
        <v>2022.0</v>
      </c>
      <c r="G1783" s="16">
        <v>52.337</v>
      </c>
      <c r="H1783" s="16">
        <v>13.2484</v>
      </c>
      <c r="I1783" s="15"/>
      <c r="J1783" s="15"/>
    </row>
    <row r="1784">
      <c r="A1784" s="18">
        <v>45365.0</v>
      </c>
      <c r="B1784" s="16" t="s">
        <v>11968</v>
      </c>
      <c r="C1784" s="16">
        <v>17.0</v>
      </c>
      <c r="D1784" s="16" t="s">
        <v>10444</v>
      </c>
      <c r="E1784" s="16" t="s">
        <v>707</v>
      </c>
      <c r="F1784" s="16">
        <v>2023.0</v>
      </c>
      <c r="G1784" s="16">
        <v>52.3481</v>
      </c>
      <c r="H1784" s="16">
        <v>13.2465</v>
      </c>
      <c r="I1784" s="15"/>
      <c r="J1784" s="15"/>
    </row>
    <row r="1785">
      <c r="A1785" s="18">
        <v>44656.0</v>
      </c>
      <c r="B1785" s="16" t="s">
        <v>11969</v>
      </c>
      <c r="C1785" s="16">
        <v>38.0</v>
      </c>
      <c r="D1785" s="16" t="s">
        <v>10444</v>
      </c>
      <c r="E1785" s="16" t="s">
        <v>707</v>
      </c>
      <c r="F1785" s="16">
        <v>2018.0</v>
      </c>
      <c r="G1785" s="16">
        <v>52.6895</v>
      </c>
      <c r="H1785" s="16">
        <v>13.6379</v>
      </c>
      <c r="I1785" s="15"/>
      <c r="J1785" s="15"/>
    </row>
    <row r="1786">
      <c r="A1786" s="18">
        <v>44656.0</v>
      </c>
      <c r="B1786" s="16" t="s">
        <v>11970</v>
      </c>
      <c r="C1786" s="16">
        <v>15.0</v>
      </c>
      <c r="D1786" s="16" t="s">
        <v>10444</v>
      </c>
      <c r="E1786" s="16" t="s">
        <v>707</v>
      </c>
      <c r="F1786" s="16">
        <v>2013.0</v>
      </c>
      <c r="G1786" s="16">
        <v>52.691</v>
      </c>
      <c r="H1786" s="16">
        <v>13.6807</v>
      </c>
      <c r="I1786" s="15"/>
      <c r="J1786" s="15"/>
    </row>
    <row r="1787">
      <c r="A1787" s="18">
        <v>44656.0</v>
      </c>
      <c r="B1787" s="16" t="s">
        <v>11971</v>
      </c>
      <c r="C1787" s="16">
        <v>20.0</v>
      </c>
      <c r="D1787" s="16" t="s">
        <v>10444</v>
      </c>
      <c r="E1787" s="16" t="s">
        <v>707</v>
      </c>
      <c r="F1787" s="16">
        <v>2001.0</v>
      </c>
      <c r="G1787" s="16">
        <v>53.0777</v>
      </c>
      <c r="H1787" s="16">
        <v>9.6742</v>
      </c>
      <c r="I1787" s="15"/>
      <c r="J1787" s="15"/>
    </row>
    <row r="1788">
      <c r="A1788" s="18">
        <v>44999.0</v>
      </c>
      <c r="B1788" s="16" t="s">
        <v>11972</v>
      </c>
      <c r="C1788" s="16">
        <v>15.0</v>
      </c>
      <c r="D1788" s="16" t="s">
        <v>10444</v>
      </c>
      <c r="E1788" s="16" t="s">
        <v>707</v>
      </c>
      <c r="F1788" s="16">
        <v>2022.0</v>
      </c>
      <c r="G1788" s="16">
        <v>54.1043</v>
      </c>
      <c r="H1788" s="16">
        <v>9.4013</v>
      </c>
      <c r="I1788" s="15"/>
      <c r="J1788" s="15"/>
    </row>
    <row r="1789">
      <c r="A1789" s="18">
        <v>44656.0</v>
      </c>
      <c r="B1789" s="16" t="s">
        <v>11973</v>
      </c>
      <c r="C1789" s="16">
        <v>15.0</v>
      </c>
      <c r="D1789" s="16" t="s">
        <v>10444</v>
      </c>
      <c r="E1789" s="16" t="s">
        <v>707</v>
      </c>
      <c r="F1789" s="16">
        <v>2015.0</v>
      </c>
      <c r="G1789" s="16">
        <v>49.0534</v>
      </c>
      <c r="H1789" s="16">
        <v>11.2384</v>
      </c>
      <c r="I1789" s="15"/>
      <c r="J1789" s="15"/>
    </row>
    <row r="1790">
      <c r="A1790" s="18">
        <v>45005.0</v>
      </c>
      <c r="B1790" s="16" t="s">
        <v>11974</v>
      </c>
      <c r="C1790" s="16">
        <v>11.0</v>
      </c>
      <c r="D1790" s="16" t="s">
        <v>10444</v>
      </c>
      <c r="E1790" s="16" t="s">
        <v>707</v>
      </c>
      <c r="F1790" s="16">
        <v>2003.0</v>
      </c>
      <c r="G1790" s="16">
        <v>52.9433</v>
      </c>
      <c r="H1790" s="16">
        <v>9.0285</v>
      </c>
      <c r="I1790" s="15"/>
      <c r="J1790" s="15"/>
    </row>
    <row r="1791">
      <c r="A1791" s="18">
        <v>45359.0</v>
      </c>
      <c r="B1791" s="16" t="s">
        <v>11975</v>
      </c>
      <c r="C1791" s="16">
        <v>16.0</v>
      </c>
      <c r="D1791" s="16" t="s">
        <v>10444</v>
      </c>
      <c r="E1791" s="16" t="s">
        <v>707</v>
      </c>
      <c r="F1791" s="16">
        <v>2023.0</v>
      </c>
      <c r="G1791" s="16">
        <v>53.2438</v>
      </c>
      <c r="H1791" s="16">
        <v>10.6621</v>
      </c>
      <c r="I1791" s="15"/>
      <c r="J1791" s="15"/>
    </row>
    <row r="1792">
      <c r="A1792" s="18">
        <v>44656.0</v>
      </c>
      <c r="B1792" s="16" t="s">
        <v>11976</v>
      </c>
      <c r="C1792" s="16">
        <v>12.0</v>
      </c>
      <c r="D1792" s="16" t="s">
        <v>10444</v>
      </c>
      <c r="E1792" s="16" t="s">
        <v>707</v>
      </c>
      <c r="F1792" s="16">
        <v>2002.0</v>
      </c>
      <c r="G1792" s="16">
        <v>51.2422</v>
      </c>
      <c r="H1792" s="16">
        <v>14.1548</v>
      </c>
      <c r="I1792" s="15"/>
      <c r="J1792" s="15"/>
    </row>
    <row r="1793">
      <c r="A1793" s="18">
        <v>44656.0</v>
      </c>
      <c r="B1793" s="16" t="s">
        <v>11977</v>
      </c>
      <c r="C1793" s="16">
        <v>30.0</v>
      </c>
      <c r="D1793" s="16" t="s">
        <v>10444</v>
      </c>
      <c r="E1793" s="16" t="s">
        <v>707</v>
      </c>
      <c r="F1793" s="16">
        <v>2012.0</v>
      </c>
      <c r="G1793" s="16">
        <v>52.8745</v>
      </c>
      <c r="H1793" s="16">
        <v>9.4624</v>
      </c>
      <c r="I1793" s="15"/>
      <c r="J1793" s="15"/>
    </row>
    <row r="1794">
      <c r="A1794" s="18">
        <v>44656.0</v>
      </c>
      <c r="B1794" s="16" t="s">
        <v>11978</v>
      </c>
      <c r="C1794" s="16">
        <v>14.0</v>
      </c>
      <c r="D1794" s="16" t="s">
        <v>10444</v>
      </c>
      <c r="E1794" s="16" t="s">
        <v>707</v>
      </c>
      <c r="F1794" s="16">
        <v>2002.0</v>
      </c>
      <c r="G1794" s="16">
        <v>52.9792</v>
      </c>
      <c r="H1794" s="16">
        <v>7.9237</v>
      </c>
      <c r="I1794" s="15"/>
      <c r="J1794" s="15"/>
    </row>
    <row r="1795">
      <c r="A1795" s="18">
        <v>44656.0</v>
      </c>
      <c r="B1795" s="16" t="s">
        <v>11979</v>
      </c>
      <c r="C1795" s="16">
        <v>15.0</v>
      </c>
      <c r="D1795" s="16" t="s">
        <v>10444</v>
      </c>
      <c r="E1795" s="16" t="s">
        <v>707</v>
      </c>
      <c r="F1795" s="16">
        <v>2017.0</v>
      </c>
      <c r="G1795" s="16">
        <v>52.9648</v>
      </c>
      <c r="H1795" s="16">
        <v>7.975</v>
      </c>
      <c r="I1795" s="15"/>
      <c r="J1795" s="15"/>
    </row>
    <row r="1796">
      <c r="A1796" s="18">
        <v>44656.0</v>
      </c>
      <c r="B1796" s="16" t="s">
        <v>11980</v>
      </c>
      <c r="C1796" s="16">
        <v>16.0</v>
      </c>
      <c r="D1796" s="16" t="s">
        <v>10444</v>
      </c>
      <c r="E1796" s="16" t="s">
        <v>707</v>
      </c>
      <c r="F1796" s="16">
        <v>2020.0</v>
      </c>
      <c r="G1796" s="16">
        <v>50.6994</v>
      </c>
      <c r="H1796" s="16">
        <v>6.5067</v>
      </c>
      <c r="I1796" s="15"/>
      <c r="J1796" s="15"/>
    </row>
    <row r="1797">
      <c r="A1797" s="18">
        <v>44656.0</v>
      </c>
      <c r="B1797" s="16" t="s">
        <v>11981</v>
      </c>
      <c r="C1797" s="16">
        <v>14.0</v>
      </c>
      <c r="D1797" s="16" t="s">
        <v>10444</v>
      </c>
      <c r="E1797" s="16" t="s">
        <v>707</v>
      </c>
      <c r="F1797" s="16">
        <v>2009.0</v>
      </c>
      <c r="G1797" s="16">
        <v>52.9443</v>
      </c>
      <c r="H1797" s="16">
        <v>11.2566</v>
      </c>
      <c r="I1797" s="15"/>
      <c r="J1797" s="15"/>
    </row>
    <row r="1798">
      <c r="A1798" s="18">
        <v>44656.0</v>
      </c>
      <c r="B1798" s="16" t="s">
        <v>11982</v>
      </c>
      <c r="C1798" s="16">
        <v>14.0</v>
      </c>
      <c r="D1798" s="16" t="s">
        <v>10444</v>
      </c>
      <c r="E1798" s="16" t="s">
        <v>707</v>
      </c>
      <c r="F1798" s="16">
        <v>2005.0</v>
      </c>
      <c r="G1798" s="16">
        <v>51.7058</v>
      </c>
      <c r="H1798" s="16">
        <v>12.2369</v>
      </c>
      <c r="I1798" s="15"/>
      <c r="J1798" s="15"/>
    </row>
    <row r="1799">
      <c r="A1799" s="18">
        <v>44656.0</v>
      </c>
      <c r="B1799" s="16" t="s">
        <v>11983</v>
      </c>
      <c r="C1799" s="16">
        <v>24.0</v>
      </c>
      <c r="D1799" s="16" t="s">
        <v>10444</v>
      </c>
      <c r="E1799" s="16" t="s">
        <v>707</v>
      </c>
      <c r="F1799" s="16">
        <v>2015.0</v>
      </c>
      <c r="G1799" s="16">
        <v>49.9815</v>
      </c>
      <c r="H1799" s="16">
        <v>11.3757</v>
      </c>
      <c r="I1799" s="15"/>
      <c r="J1799" s="15"/>
    </row>
    <row r="1800">
      <c r="A1800" s="18">
        <v>45355.0</v>
      </c>
      <c r="B1800" s="16" t="s">
        <v>11984</v>
      </c>
      <c r="C1800" s="16">
        <v>36.0</v>
      </c>
      <c r="D1800" s="16" t="s">
        <v>10444</v>
      </c>
      <c r="E1800" s="16" t="s">
        <v>707</v>
      </c>
      <c r="F1800" s="16">
        <v>2023.0</v>
      </c>
      <c r="G1800" s="16">
        <v>54.2238</v>
      </c>
      <c r="H1800" s="16">
        <v>9.0303</v>
      </c>
      <c r="I1800" s="15"/>
      <c r="J1800" s="15"/>
    </row>
    <row r="1801">
      <c r="A1801" s="18">
        <v>44656.0</v>
      </c>
      <c r="B1801" s="16" t="s">
        <v>11985</v>
      </c>
      <c r="C1801" s="16">
        <v>11.0</v>
      </c>
      <c r="D1801" s="16" t="s">
        <v>10444</v>
      </c>
      <c r="E1801" s="16" t="s">
        <v>707</v>
      </c>
      <c r="F1801" s="16">
        <v>2006.0</v>
      </c>
      <c r="G1801" s="16">
        <v>51.0374</v>
      </c>
      <c r="H1801" s="16">
        <v>13.2115</v>
      </c>
      <c r="I1801" s="15"/>
      <c r="J1801" s="15"/>
    </row>
    <row r="1802">
      <c r="A1802" s="18">
        <v>44656.0</v>
      </c>
      <c r="B1802" s="16" t="s">
        <v>11986</v>
      </c>
      <c r="C1802" s="16">
        <v>13.0</v>
      </c>
      <c r="D1802" s="16" t="s">
        <v>10444</v>
      </c>
      <c r="E1802" s="16" t="s">
        <v>707</v>
      </c>
      <c r="F1802" s="16">
        <v>2001.0</v>
      </c>
      <c r="G1802" s="16">
        <v>54.1342</v>
      </c>
      <c r="H1802" s="16">
        <v>9.8661</v>
      </c>
      <c r="I1802" s="15"/>
      <c r="J1802" s="15"/>
    </row>
    <row r="1803">
      <c r="A1803" s="18">
        <v>44656.0</v>
      </c>
      <c r="B1803" s="16" t="s">
        <v>11987</v>
      </c>
      <c r="C1803" s="16">
        <v>28.0</v>
      </c>
      <c r="D1803" s="16" t="s">
        <v>10444</v>
      </c>
      <c r="E1803" s="16" t="s">
        <v>707</v>
      </c>
      <c r="F1803" s="16">
        <v>2015.0</v>
      </c>
      <c r="G1803" s="16">
        <v>51.0834</v>
      </c>
      <c r="H1803" s="16">
        <v>10.4234</v>
      </c>
      <c r="I1803" s="15"/>
      <c r="J1803" s="15"/>
    </row>
    <row r="1804">
      <c r="A1804" s="18">
        <v>44656.0</v>
      </c>
      <c r="B1804" s="16" t="s">
        <v>11988</v>
      </c>
      <c r="C1804" s="16">
        <v>19.0</v>
      </c>
      <c r="D1804" s="16" t="s">
        <v>10444</v>
      </c>
      <c r="E1804" s="16" t="s">
        <v>707</v>
      </c>
      <c r="F1804" s="16">
        <v>2015.0</v>
      </c>
      <c r="G1804" s="16">
        <v>49.0298</v>
      </c>
      <c r="H1804" s="16">
        <v>11.2162</v>
      </c>
      <c r="I1804" s="15"/>
      <c r="J1804" s="15"/>
    </row>
    <row r="1805">
      <c r="A1805" s="18">
        <v>44656.0</v>
      </c>
      <c r="B1805" s="16" t="s">
        <v>11989</v>
      </c>
      <c r="C1805" s="16">
        <v>20.0</v>
      </c>
      <c r="D1805" s="16" t="s">
        <v>10444</v>
      </c>
      <c r="E1805" s="16" t="s">
        <v>707</v>
      </c>
      <c r="F1805" s="16">
        <v>2012.0</v>
      </c>
      <c r="G1805" s="16">
        <v>51.0272</v>
      </c>
      <c r="H1805" s="16">
        <v>6.4232</v>
      </c>
      <c r="I1805" s="15"/>
      <c r="J1805" s="15"/>
    </row>
    <row r="1806">
      <c r="A1806" s="18">
        <v>44656.0</v>
      </c>
      <c r="B1806" s="16" t="s">
        <v>11990</v>
      </c>
      <c r="C1806" s="16">
        <v>12.0</v>
      </c>
      <c r="D1806" s="16" t="s">
        <v>10444</v>
      </c>
      <c r="E1806" s="16" t="s">
        <v>707</v>
      </c>
      <c r="F1806" s="16">
        <v>2012.0</v>
      </c>
      <c r="G1806" s="16">
        <v>51.0266</v>
      </c>
      <c r="H1806" s="16">
        <v>6.423</v>
      </c>
      <c r="I1806" s="15"/>
      <c r="J1806" s="15"/>
    </row>
    <row r="1807">
      <c r="A1807" s="18">
        <v>45033.0</v>
      </c>
      <c r="B1807" s="16" t="s">
        <v>11991</v>
      </c>
      <c r="C1807" s="16">
        <v>15.0</v>
      </c>
      <c r="D1807" s="16" t="s">
        <v>10444</v>
      </c>
      <c r="E1807" s="16" t="s">
        <v>707</v>
      </c>
      <c r="F1807" s="16">
        <v>2016.0</v>
      </c>
      <c r="G1807" s="16">
        <v>54.2504</v>
      </c>
      <c r="H1807" s="16">
        <v>8.9617</v>
      </c>
      <c r="I1807" s="15"/>
      <c r="J1807" s="15"/>
    </row>
    <row r="1808">
      <c r="A1808" s="18">
        <v>44656.0</v>
      </c>
      <c r="B1808" s="16" t="s">
        <v>11992</v>
      </c>
      <c r="C1808" s="16">
        <v>64.0</v>
      </c>
      <c r="D1808" s="16" t="s">
        <v>10444</v>
      </c>
      <c r="E1808" s="16" t="s">
        <v>707</v>
      </c>
      <c r="F1808" s="16">
        <v>2006.0</v>
      </c>
      <c r="G1808" s="16">
        <v>51.1282</v>
      </c>
      <c r="H1808" s="16">
        <v>10.7515</v>
      </c>
      <c r="I1808" s="15"/>
      <c r="J1808" s="15"/>
    </row>
    <row r="1809">
      <c r="A1809" s="18">
        <v>44656.0</v>
      </c>
      <c r="B1809" s="16" t="s">
        <v>11993</v>
      </c>
      <c r="C1809" s="16">
        <v>12.0</v>
      </c>
      <c r="D1809" s="16" t="s">
        <v>10444</v>
      </c>
      <c r="E1809" s="16" t="s">
        <v>707</v>
      </c>
      <c r="F1809" s="16">
        <v>2013.0</v>
      </c>
      <c r="G1809" s="16">
        <v>50.4053</v>
      </c>
      <c r="H1809" s="16">
        <v>11.884</v>
      </c>
      <c r="I1809" s="15"/>
      <c r="J1809" s="15"/>
    </row>
    <row r="1810">
      <c r="A1810" s="18">
        <v>44656.0</v>
      </c>
      <c r="B1810" s="16" t="s">
        <v>11994</v>
      </c>
      <c r="C1810" s="16">
        <v>12.0</v>
      </c>
      <c r="D1810" s="16" t="s">
        <v>10444</v>
      </c>
      <c r="E1810" s="16" t="s">
        <v>707</v>
      </c>
      <c r="F1810" s="16">
        <v>2018.0</v>
      </c>
      <c r="G1810" s="16">
        <v>53.3781</v>
      </c>
      <c r="H1810" s="16">
        <v>13.9725</v>
      </c>
      <c r="I1810" s="15"/>
      <c r="J1810" s="15"/>
    </row>
    <row r="1811">
      <c r="A1811" s="18">
        <v>44656.0</v>
      </c>
      <c r="B1811" s="16" t="s">
        <v>11995</v>
      </c>
      <c r="C1811" s="16">
        <v>12.0</v>
      </c>
      <c r="D1811" s="16" t="s">
        <v>10444</v>
      </c>
      <c r="E1811" s="16" t="s">
        <v>707</v>
      </c>
      <c r="F1811" s="16">
        <v>2017.0</v>
      </c>
      <c r="G1811" s="16">
        <v>51.7618</v>
      </c>
      <c r="H1811" s="16">
        <v>11.8233</v>
      </c>
      <c r="I1811" s="15"/>
      <c r="J1811" s="15"/>
    </row>
    <row r="1812">
      <c r="A1812" s="18">
        <v>44656.0</v>
      </c>
      <c r="B1812" s="16" t="s">
        <v>11996</v>
      </c>
      <c r="C1812" s="16">
        <v>13.0</v>
      </c>
      <c r="D1812" s="16" t="s">
        <v>10444</v>
      </c>
      <c r="E1812" s="16" t="s">
        <v>707</v>
      </c>
      <c r="F1812" s="16">
        <v>2001.0</v>
      </c>
      <c r="G1812" s="16">
        <v>51.6599</v>
      </c>
      <c r="H1812" s="16">
        <v>11.9473</v>
      </c>
      <c r="I1812" s="15"/>
      <c r="J1812" s="15"/>
    </row>
    <row r="1813">
      <c r="A1813" s="18">
        <v>45033.0</v>
      </c>
      <c r="B1813" s="16" t="s">
        <v>11996</v>
      </c>
      <c r="C1813" s="16">
        <v>16.0</v>
      </c>
      <c r="D1813" s="16" t="s">
        <v>10444</v>
      </c>
      <c r="E1813" s="16" t="s">
        <v>707</v>
      </c>
      <c r="F1813" s="16">
        <v>2012.0</v>
      </c>
      <c r="G1813" s="16">
        <v>51.657</v>
      </c>
      <c r="H1813" s="16">
        <v>11.9454</v>
      </c>
      <c r="I1813" s="15"/>
      <c r="J1813" s="15"/>
    </row>
    <row r="1814">
      <c r="A1814" s="18">
        <v>45019.0</v>
      </c>
      <c r="B1814" s="16" t="s">
        <v>11997</v>
      </c>
      <c r="C1814" s="16">
        <v>20.0</v>
      </c>
      <c r="D1814" s="16" t="s">
        <v>10444</v>
      </c>
      <c r="E1814" s="16" t="s">
        <v>707</v>
      </c>
      <c r="F1814" s="16">
        <v>2004.0</v>
      </c>
      <c r="G1814" s="16">
        <v>52.0544</v>
      </c>
      <c r="H1814" s="16">
        <v>14.3313</v>
      </c>
      <c r="I1814" s="15"/>
      <c r="J1814" s="15"/>
    </row>
    <row r="1815">
      <c r="A1815" s="18">
        <v>45362.0</v>
      </c>
      <c r="B1815" s="16" t="s">
        <v>11997</v>
      </c>
      <c r="C1815" s="16">
        <v>17.0</v>
      </c>
      <c r="D1815" s="16" t="s">
        <v>10444</v>
      </c>
      <c r="E1815" s="16" t="s">
        <v>707</v>
      </c>
      <c r="F1815" s="16">
        <v>2023.0</v>
      </c>
      <c r="G1815" s="16">
        <v>52.0563</v>
      </c>
      <c r="H1815" s="16">
        <v>14.3079</v>
      </c>
      <c r="I1815" s="15"/>
      <c r="J1815" s="15"/>
    </row>
    <row r="1816">
      <c r="A1816" s="18">
        <v>45362.0</v>
      </c>
      <c r="B1816" s="16" t="s">
        <v>11997</v>
      </c>
      <c r="C1816" s="16">
        <v>34.0</v>
      </c>
      <c r="D1816" s="16" t="s">
        <v>10444</v>
      </c>
      <c r="E1816" s="16" t="s">
        <v>707</v>
      </c>
      <c r="F1816" s="16">
        <v>2024.0</v>
      </c>
      <c r="G1816" s="16">
        <v>52.0507</v>
      </c>
      <c r="H1816" s="16">
        <v>14.3135</v>
      </c>
      <c r="I1816" s="15"/>
      <c r="J1816" s="15"/>
    </row>
    <row r="1817">
      <c r="A1817" s="18">
        <v>45006.0</v>
      </c>
      <c r="B1817" s="16" t="s">
        <v>11998</v>
      </c>
      <c r="C1817" s="16">
        <v>29.0</v>
      </c>
      <c r="D1817" s="16" t="s">
        <v>10444</v>
      </c>
      <c r="E1817" s="16" t="s">
        <v>707</v>
      </c>
      <c r="F1817" s="16">
        <v>2014.0</v>
      </c>
      <c r="G1817" s="16">
        <v>54.542</v>
      </c>
      <c r="H1817" s="16">
        <v>9.3039</v>
      </c>
      <c r="I1817" s="15"/>
      <c r="J1817" s="15"/>
    </row>
    <row r="1818">
      <c r="A1818" s="18">
        <v>44998.0</v>
      </c>
      <c r="B1818" s="16" t="s">
        <v>11999</v>
      </c>
      <c r="C1818" s="16">
        <v>29.0</v>
      </c>
      <c r="D1818" s="16" t="s">
        <v>10444</v>
      </c>
      <c r="E1818" s="16" t="s">
        <v>707</v>
      </c>
      <c r="F1818" s="16">
        <v>2018.0</v>
      </c>
      <c r="G1818" s="16">
        <v>50.2181</v>
      </c>
      <c r="H1818" s="16">
        <v>7.8393</v>
      </c>
      <c r="I1818" s="15"/>
      <c r="J1818" s="15"/>
    </row>
    <row r="1819">
      <c r="A1819" s="18">
        <v>44656.0</v>
      </c>
      <c r="B1819" s="16" t="s">
        <v>12000</v>
      </c>
      <c r="C1819" s="16">
        <v>10.0</v>
      </c>
      <c r="D1819" s="16" t="s">
        <v>10444</v>
      </c>
      <c r="E1819" s="16" t="s">
        <v>707</v>
      </c>
      <c r="F1819" s="16">
        <v>2020.0</v>
      </c>
      <c r="G1819" s="16">
        <v>51.546</v>
      </c>
      <c r="H1819" s="16">
        <v>9.335</v>
      </c>
      <c r="I1819" s="15"/>
      <c r="J1819" s="15"/>
    </row>
    <row r="1820">
      <c r="A1820" s="18">
        <v>44656.0</v>
      </c>
      <c r="B1820" s="16" t="s">
        <v>12001</v>
      </c>
      <c r="C1820" s="16">
        <v>10.0</v>
      </c>
      <c r="D1820" s="16" t="s">
        <v>10444</v>
      </c>
      <c r="E1820" s="16" t="s">
        <v>707</v>
      </c>
      <c r="F1820" s="16">
        <v>2016.0</v>
      </c>
      <c r="G1820" s="16">
        <v>52.3592</v>
      </c>
      <c r="H1820" s="16">
        <v>14.3784</v>
      </c>
      <c r="I1820" s="15"/>
      <c r="J1820" s="15"/>
    </row>
    <row r="1821">
      <c r="A1821" s="18">
        <v>45016.0</v>
      </c>
      <c r="B1821" s="16" t="s">
        <v>12001</v>
      </c>
      <c r="C1821" s="16">
        <v>18.0</v>
      </c>
      <c r="D1821" s="16" t="s">
        <v>10444</v>
      </c>
      <c r="E1821" s="16" t="s">
        <v>707</v>
      </c>
      <c r="F1821" s="16">
        <v>2022.0</v>
      </c>
      <c r="G1821" s="16">
        <v>52.3931</v>
      </c>
      <c r="H1821" s="16">
        <v>14.4278</v>
      </c>
      <c r="I1821" s="15"/>
      <c r="J1821" s="15"/>
    </row>
    <row r="1822">
      <c r="A1822" s="18">
        <v>45365.0</v>
      </c>
      <c r="B1822" s="16" t="s">
        <v>12002</v>
      </c>
      <c r="C1822" s="16">
        <v>18.0</v>
      </c>
      <c r="D1822" s="16" t="s">
        <v>10444</v>
      </c>
      <c r="E1822" s="16" t="s">
        <v>707</v>
      </c>
      <c r="F1822" s="16">
        <v>2023.0</v>
      </c>
      <c r="G1822" s="16">
        <v>51.9131</v>
      </c>
      <c r="H1822" s="16">
        <v>10.0163</v>
      </c>
      <c r="I1822" s="15"/>
      <c r="J1822" s="15"/>
    </row>
    <row r="1823">
      <c r="A1823" s="18">
        <v>44656.0</v>
      </c>
      <c r="B1823" s="16" t="s">
        <v>12003</v>
      </c>
      <c r="C1823" s="16">
        <v>200.0</v>
      </c>
      <c r="D1823" s="16" t="s">
        <v>10462</v>
      </c>
      <c r="E1823" s="16" t="s">
        <v>707</v>
      </c>
      <c r="F1823" s="16">
        <v>2014.0</v>
      </c>
      <c r="G1823" s="16">
        <v>54.0417</v>
      </c>
      <c r="H1823" s="16">
        <v>6.4667</v>
      </c>
      <c r="I1823" s="15"/>
      <c r="J1823" s="15"/>
    </row>
    <row r="1824">
      <c r="A1824" s="18">
        <v>44656.0</v>
      </c>
      <c r="B1824" s="16" t="s">
        <v>12003</v>
      </c>
      <c r="C1824" s="16">
        <v>203.0</v>
      </c>
      <c r="D1824" s="16" t="s">
        <v>10462</v>
      </c>
      <c r="E1824" s="16" t="s">
        <v>707</v>
      </c>
      <c r="F1824" s="16">
        <v>2015.0</v>
      </c>
      <c r="G1824" s="16">
        <v>54.0417</v>
      </c>
      <c r="H1824" s="16">
        <v>6.4667</v>
      </c>
      <c r="I1824" s="15"/>
      <c r="J1824" s="15"/>
    </row>
    <row r="1825">
      <c r="A1825" s="18">
        <v>44656.0</v>
      </c>
      <c r="B1825" s="16" t="s">
        <v>12004</v>
      </c>
      <c r="C1825" s="16">
        <v>14.0</v>
      </c>
      <c r="D1825" s="16" t="s">
        <v>10444</v>
      </c>
      <c r="E1825" s="16" t="s">
        <v>707</v>
      </c>
      <c r="F1825" s="16">
        <v>2017.0</v>
      </c>
      <c r="G1825" s="16">
        <v>49.856</v>
      </c>
      <c r="H1825" s="16">
        <v>11.7176</v>
      </c>
      <c r="I1825" s="15"/>
      <c r="J1825" s="15"/>
    </row>
    <row r="1826">
      <c r="A1826" s="18">
        <v>44656.0</v>
      </c>
      <c r="B1826" s="16" t="s">
        <v>12005</v>
      </c>
      <c r="C1826" s="16">
        <v>12.0</v>
      </c>
      <c r="D1826" s="16" t="s">
        <v>10444</v>
      </c>
      <c r="E1826" s="16" t="s">
        <v>707</v>
      </c>
      <c r="F1826" s="16">
        <v>2013.0</v>
      </c>
      <c r="G1826" s="16">
        <v>51.5761</v>
      </c>
      <c r="H1826" s="16">
        <v>11.6183</v>
      </c>
      <c r="I1826" s="15"/>
      <c r="J1826" s="15"/>
    </row>
    <row r="1827">
      <c r="A1827" s="18">
        <v>44656.0</v>
      </c>
      <c r="B1827" s="16" t="s">
        <v>12005</v>
      </c>
      <c r="C1827" s="16">
        <v>14.0</v>
      </c>
      <c r="D1827" s="16" t="s">
        <v>10444</v>
      </c>
      <c r="E1827" s="16" t="s">
        <v>707</v>
      </c>
      <c r="F1827" s="16">
        <v>2013.0</v>
      </c>
      <c r="G1827" s="16">
        <v>51.5761</v>
      </c>
      <c r="H1827" s="16">
        <v>11.6183</v>
      </c>
      <c r="I1827" s="15"/>
      <c r="J1827" s="15"/>
    </row>
    <row r="1828">
      <c r="A1828" s="18">
        <v>44656.0</v>
      </c>
      <c r="B1828" s="16" t="s">
        <v>12006</v>
      </c>
      <c r="C1828" s="16">
        <v>33.0</v>
      </c>
      <c r="D1828" s="16" t="s">
        <v>10444</v>
      </c>
      <c r="E1828" s="16" t="s">
        <v>707</v>
      </c>
      <c r="F1828" s="16">
        <v>2016.0</v>
      </c>
      <c r="G1828" s="16">
        <v>52.3454</v>
      </c>
      <c r="H1828" s="16">
        <v>13.7327</v>
      </c>
      <c r="I1828" s="15"/>
      <c r="J1828" s="15"/>
    </row>
    <row r="1829">
      <c r="A1829" s="18">
        <v>44656.0</v>
      </c>
      <c r="B1829" s="16" t="s">
        <v>12007</v>
      </c>
      <c r="C1829" s="16">
        <v>19.0</v>
      </c>
      <c r="D1829" s="16" t="s">
        <v>10444</v>
      </c>
      <c r="E1829" s="16" t="s">
        <v>707</v>
      </c>
      <c r="F1829" s="16">
        <v>2017.0</v>
      </c>
      <c r="G1829" s="16">
        <v>49.9554</v>
      </c>
      <c r="H1829" s="16">
        <v>11.4169</v>
      </c>
      <c r="I1829" s="15"/>
      <c r="J1829" s="15"/>
    </row>
    <row r="1830">
      <c r="A1830" s="18">
        <v>45008.0</v>
      </c>
      <c r="B1830" s="16" t="s">
        <v>12008</v>
      </c>
      <c r="C1830" s="16">
        <v>18.0</v>
      </c>
      <c r="D1830" s="16" t="s">
        <v>10444</v>
      </c>
      <c r="E1830" s="16" t="s">
        <v>707</v>
      </c>
      <c r="F1830" s="16">
        <v>2001.0</v>
      </c>
      <c r="G1830" s="16">
        <v>54.0758</v>
      </c>
      <c r="H1830" s="16">
        <v>12.7797</v>
      </c>
      <c r="I1830" s="15"/>
      <c r="J1830" s="15"/>
    </row>
    <row r="1831">
      <c r="A1831" s="18">
        <v>44656.0</v>
      </c>
      <c r="B1831" s="16" t="s">
        <v>12008</v>
      </c>
      <c r="C1831" s="16">
        <v>17.0</v>
      </c>
      <c r="D1831" s="16" t="s">
        <v>10444</v>
      </c>
      <c r="E1831" s="16" t="s">
        <v>707</v>
      </c>
      <c r="F1831" s="16">
        <v>2017.0</v>
      </c>
      <c r="G1831" s="16">
        <v>54.0755</v>
      </c>
      <c r="H1831" s="16">
        <v>12.7814</v>
      </c>
      <c r="I1831" s="15"/>
      <c r="J1831" s="15"/>
    </row>
    <row r="1832">
      <c r="A1832" s="18">
        <v>44656.0</v>
      </c>
      <c r="B1832" s="16" t="s">
        <v>12009</v>
      </c>
      <c r="C1832" s="16">
        <v>26.0</v>
      </c>
      <c r="D1832" s="16" t="s">
        <v>10444</v>
      </c>
      <c r="E1832" s="16" t="s">
        <v>707</v>
      </c>
      <c r="F1832" s="16">
        <v>2003.0</v>
      </c>
      <c r="G1832" s="16">
        <v>54.2751</v>
      </c>
      <c r="H1832" s="16">
        <v>12.6305</v>
      </c>
      <c r="I1832" s="15"/>
      <c r="J1832" s="15"/>
    </row>
    <row r="1833">
      <c r="A1833" s="18">
        <v>44656.0</v>
      </c>
      <c r="B1833" s="16" t="s">
        <v>12010</v>
      </c>
      <c r="C1833" s="16">
        <v>20.0</v>
      </c>
      <c r="D1833" s="16" t="s">
        <v>10444</v>
      </c>
      <c r="E1833" s="16" t="s">
        <v>707</v>
      </c>
      <c r="F1833" s="16">
        <v>2002.0</v>
      </c>
      <c r="G1833" s="16">
        <v>53.0676</v>
      </c>
      <c r="H1833" s="16">
        <v>12.0604</v>
      </c>
      <c r="I1833" s="15"/>
      <c r="J1833" s="15"/>
    </row>
    <row r="1834">
      <c r="A1834" s="18">
        <v>44656.0</v>
      </c>
      <c r="B1834" s="16" t="s">
        <v>12011</v>
      </c>
      <c r="C1834" s="16">
        <v>13.0</v>
      </c>
      <c r="D1834" s="16" t="s">
        <v>10444</v>
      </c>
      <c r="E1834" s="16" t="s">
        <v>707</v>
      </c>
      <c r="F1834" s="16">
        <v>2015.0</v>
      </c>
      <c r="G1834" s="16">
        <v>51.0207</v>
      </c>
      <c r="H1834" s="16">
        <v>10.56</v>
      </c>
      <c r="I1834" s="15"/>
      <c r="J1834" s="15"/>
    </row>
    <row r="1835">
      <c r="A1835" s="18">
        <v>44656.0</v>
      </c>
      <c r="B1835" s="16" t="s">
        <v>12012</v>
      </c>
      <c r="C1835" s="16">
        <v>22.0</v>
      </c>
      <c r="D1835" s="16" t="s">
        <v>10444</v>
      </c>
      <c r="E1835" s="16" t="s">
        <v>707</v>
      </c>
      <c r="F1835" s="16">
        <v>2021.0</v>
      </c>
      <c r="G1835" s="16">
        <v>51.9167</v>
      </c>
      <c r="H1835" s="16">
        <v>7.0264</v>
      </c>
      <c r="I1835" s="15"/>
      <c r="J1835" s="15"/>
    </row>
    <row r="1836">
      <c r="A1836" s="18">
        <v>44656.0</v>
      </c>
      <c r="B1836" s="16" t="s">
        <v>12013</v>
      </c>
      <c r="C1836" s="16">
        <v>24.0</v>
      </c>
      <c r="D1836" s="16" t="s">
        <v>10444</v>
      </c>
      <c r="E1836" s="16" t="s">
        <v>707</v>
      </c>
      <c r="F1836" s="16">
        <v>2017.0</v>
      </c>
      <c r="G1836" s="16">
        <v>54.6073</v>
      </c>
      <c r="H1836" s="16">
        <v>9.6664</v>
      </c>
      <c r="I1836" s="15"/>
      <c r="J1836" s="15"/>
    </row>
    <row r="1837">
      <c r="A1837" s="18">
        <v>44656.0</v>
      </c>
      <c r="B1837" s="16" t="s">
        <v>12014</v>
      </c>
      <c r="C1837" s="16">
        <v>40.0</v>
      </c>
      <c r="D1837" s="16" t="s">
        <v>10444</v>
      </c>
      <c r="E1837" s="16" t="s">
        <v>707</v>
      </c>
      <c r="F1837" s="15"/>
      <c r="G1837" s="16">
        <v>52.6612</v>
      </c>
      <c r="H1837" s="16">
        <v>7.0745</v>
      </c>
      <c r="I1837" s="15"/>
      <c r="J1837" s="15"/>
    </row>
    <row r="1838">
      <c r="A1838" s="18">
        <v>44656.0</v>
      </c>
      <c r="B1838" s="16" t="s">
        <v>12015</v>
      </c>
      <c r="C1838" s="16">
        <v>22.0</v>
      </c>
      <c r="D1838" s="16" t="s">
        <v>10444</v>
      </c>
      <c r="E1838" s="16" t="s">
        <v>707</v>
      </c>
      <c r="F1838" s="16">
        <v>2004.0</v>
      </c>
      <c r="G1838" s="16">
        <v>52.6643</v>
      </c>
      <c r="H1838" s="16">
        <v>7.0768</v>
      </c>
      <c r="I1838" s="15"/>
      <c r="J1838" s="15"/>
    </row>
    <row r="1839">
      <c r="A1839" s="18">
        <v>44656.0</v>
      </c>
      <c r="B1839" s="16" t="s">
        <v>12016</v>
      </c>
      <c r="C1839" s="16">
        <v>12.0</v>
      </c>
      <c r="D1839" s="16" t="s">
        <v>10444</v>
      </c>
      <c r="E1839" s="16" t="s">
        <v>707</v>
      </c>
      <c r="F1839" s="16">
        <v>2009.0</v>
      </c>
      <c r="G1839" s="16">
        <v>52.824</v>
      </c>
      <c r="H1839" s="16">
        <v>8.6582</v>
      </c>
      <c r="I1839" s="15"/>
      <c r="J1839" s="15"/>
    </row>
    <row r="1840">
      <c r="A1840" s="18">
        <v>44998.0</v>
      </c>
      <c r="B1840" s="16" t="s">
        <v>12017</v>
      </c>
      <c r="C1840" s="16">
        <v>14.0</v>
      </c>
      <c r="D1840" s="16" t="s">
        <v>10444</v>
      </c>
      <c r="E1840" s="16" t="s">
        <v>707</v>
      </c>
      <c r="F1840" s="16">
        <v>2002.0</v>
      </c>
      <c r="G1840" s="16">
        <v>52.7742</v>
      </c>
      <c r="H1840" s="16">
        <v>8.6422</v>
      </c>
      <c r="I1840" s="15"/>
      <c r="J1840" s="15"/>
    </row>
    <row r="1841">
      <c r="A1841" s="18">
        <v>44656.0</v>
      </c>
      <c r="B1841" s="16" t="s">
        <v>12018</v>
      </c>
      <c r="C1841" s="16">
        <v>164.0</v>
      </c>
      <c r="D1841" s="16" t="s">
        <v>10444</v>
      </c>
      <c r="E1841" s="16" t="s">
        <v>707</v>
      </c>
      <c r="F1841" s="15"/>
      <c r="G1841" s="16">
        <v>53.3784</v>
      </c>
      <c r="H1841" s="16">
        <v>13.9491</v>
      </c>
      <c r="I1841" s="15"/>
      <c r="J1841" s="15"/>
    </row>
    <row r="1842">
      <c r="A1842" s="18">
        <v>45033.0</v>
      </c>
      <c r="B1842" s="16" t="s">
        <v>12019</v>
      </c>
      <c r="C1842" s="16">
        <v>22.0</v>
      </c>
      <c r="D1842" s="16" t="s">
        <v>10444</v>
      </c>
      <c r="E1842" s="16" t="s">
        <v>707</v>
      </c>
      <c r="F1842" s="16">
        <v>2020.0</v>
      </c>
      <c r="G1842" s="16">
        <v>53.3853</v>
      </c>
      <c r="H1842" s="16">
        <v>13.9461</v>
      </c>
      <c r="I1842" s="15"/>
      <c r="J1842" s="15"/>
    </row>
    <row r="1843">
      <c r="A1843" s="18">
        <v>44656.0</v>
      </c>
      <c r="B1843" s="16" t="s">
        <v>12020</v>
      </c>
      <c r="C1843" s="16">
        <v>33.0</v>
      </c>
      <c r="D1843" s="16" t="s">
        <v>10444</v>
      </c>
      <c r="E1843" s="16" t="s">
        <v>707</v>
      </c>
      <c r="F1843" s="16">
        <v>2016.0</v>
      </c>
      <c r="G1843" s="16">
        <v>52.3461</v>
      </c>
      <c r="H1843" s="16">
        <v>13.7348</v>
      </c>
      <c r="I1843" s="15"/>
      <c r="J1843" s="15"/>
    </row>
    <row r="1844">
      <c r="A1844" s="18">
        <v>44999.0</v>
      </c>
      <c r="B1844" s="16" t="s">
        <v>12021</v>
      </c>
      <c r="C1844" s="16">
        <v>10.0</v>
      </c>
      <c r="D1844" s="16" t="s">
        <v>10444</v>
      </c>
      <c r="E1844" s="16" t="s">
        <v>707</v>
      </c>
      <c r="F1844" s="16">
        <v>2017.0</v>
      </c>
      <c r="G1844" s="16">
        <v>51.5754</v>
      </c>
      <c r="H1844" s="16">
        <v>13.3083</v>
      </c>
      <c r="I1844" s="15"/>
      <c r="J1844" s="15"/>
    </row>
    <row r="1845">
      <c r="A1845" s="18">
        <v>44656.0</v>
      </c>
      <c r="B1845" s="16" t="s">
        <v>12022</v>
      </c>
      <c r="C1845" s="16">
        <v>12.0</v>
      </c>
      <c r="D1845" s="16" t="s">
        <v>10444</v>
      </c>
      <c r="E1845" s="16" t="s">
        <v>707</v>
      </c>
      <c r="F1845" s="16">
        <v>2006.0</v>
      </c>
      <c r="G1845" s="16">
        <v>51.5711</v>
      </c>
      <c r="H1845" s="16">
        <v>13.2942</v>
      </c>
      <c r="I1845" s="15"/>
      <c r="J1845" s="15"/>
    </row>
    <row r="1846">
      <c r="A1846" s="18">
        <v>45667.0</v>
      </c>
      <c r="B1846" s="16" t="s">
        <v>12023</v>
      </c>
      <c r="C1846" s="16">
        <v>34.0</v>
      </c>
      <c r="D1846" s="16" t="s">
        <v>10444</v>
      </c>
      <c r="E1846" s="16" t="s">
        <v>707</v>
      </c>
      <c r="F1846" s="16">
        <v>2024.0</v>
      </c>
      <c r="G1846" s="16">
        <v>52.0912</v>
      </c>
      <c r="H1846" s="16">
        <v>10.7814</v>
      </c>
      <c r="I1846" s="15"/>
      <c r="J1846" s="15"/>
    </row>
    <row r="1847">
      <c r="A1847" s="18">
        <v>44656.0</v>
      </c>
      <c r="B1847" s="16" t="s">
        <v>12024</v>
      </c>
      <c r="C1847" s="16">
        <v>30.0</v>
      </c>
      <c r="D1847" s="16" t="s">
        <v>10444</v>
      </c>
      <c r="E1847" s="16" t="s">
        <v>707</v>
      </c>
      <c r="F1847" s="15"/>
      <c r="G1847" s="16">
        <v>53.4941</v>
      </c>
      <c r="H1847" s="16">
        <v>11.4408</v>
      </c>
      <c r="I1847" s="15"/>
      <c r="J1847" s="15"/>
    </row>
    <row r="1848">
      <c r="A1848" s="18">
        <v>45363.0</v>
      </c>
      <c r="B1848" s="16" t="s">
        <v>12025</v>
      </c>
      <c r="C1848" s="16">
        <v>16.0</v>
      </c>
      <c r="D1848" s="16" t="s">
        <v>10444</v>
      </c>
      <c r="E1848" s="16" t="s">
        <v>707</v>
      </c>
      <c r="F1848" s="16">
        <v>2023.0</v>
      </c>
      <c r="G1848" s="16">
        <v>54.4062</v>
      </c>
      <c r="H1848" s="16">
        <v>8.9529</v>
      </c>
      <c r="I1848" s="15"/>
      <c r="J1848" s="15"/>
    </row>
    <row r="1849">
      <c r="A1849" s="18">
        <v>44999.0</v>
      </c>
      <c r="B1849" s="16" t="s">
        <v>12026</v>
      </c>
      <c r="C1849" s="16">
        <v>20.0</v>
      </c>
      <c r="D1849" s="16" t="s">
        <v>10444</v>
      </c>
      <c r="E1849" s="16" t="s">
        <v>707</v>
      </c>
      <c r="F1849" s="16">
        <v>2017.0</v>
      </c>
      <c r="G1849" s="16">
        <v>52.4773</v>
      </c>
      <c r="H1849" s="16">
        <v>10.2011</v>
      </c>
      <c r="I1849" s="15"/>
      <c r="J1849" s="15"/>
    </row>
    <row r="1850">
      <c r="A1850" s="18">
        <v>44656.0</v>
      </c>
      <c r="B1850" s="16" t="s">
        <v>12027</v>
      </c>
      <c r="C1850" s="16">
        <v>23.0</v>
      </c>
      <c r="D1850" s="16" t="s">
        <v>10444</v>
      </c>
      <c r="E1850" s="16" t="s">
        <v>707</v>
      </c>
      <c r="F1850" s="16">
        <v>2003.0</v>
      </c>
      <c r="G1850" s="16">
        <v>52.1898</v>
      </c>
      <c r="H1850" s="16">
        <v>11.2767</v>
      </c>
      <c r="I1850" s="15"/>
      <c r="J1850" s="15"/>
    </row>
    <row r="1851">
      <c r="A1851" s="18">
        <v>44656.0</v>
      </c>
      <c r="B1851" s="16" t="s">
        <v>12028</v>
      </c>
      <c r="C1851" s="16">
        <v>43.0</v>
      </c>
      <c r="D1851" s="16" t="s">
        <v>10444</v>
      </c>
      <c r="E1851" s="16" t="s">
        <v>707</v>
      </c>
      <c r="F1851" s="16">
        <v>2014.0</v>
      </c>
      <c r="G1851" s="16">
        <v>52.0608</v>
      </c>
      <c r="H1851" s="16">
        <v>14.363</v>
      </c>
      <c r="I1851" s="15"/>
      <c r="J1851" s="15"/>
    </row>
    <row r="1852">
      <c r="A1852" s="18">
        <v>44656.0</v>
      </c>
      <c r="B1852" s="16" t="s">
        <v>12029</v>
      </c>
      <c r="C1852" s="16">
        <v>16.0</v>
      </c>
      <c r="D1852" s="16" t="s">
        <v>10444</v>
      </c>
      <c r="E1852" s="16" t="s">
        <v>707</v>
      </c>
      <c r="F1852" s="16">
        <v>2013.0</v>
      </c>
      <c r="G1852" s="16">
        <v>50.5975</v>
      </c>
      <c r="H1852" s="16">
        <v>9.1762</v>
      </c>
      <c r="I1852" s="15"/>
      <c r="J1852" s="15"/>
    </row>
    <row r="1853">
      <c r="A1853" s="18">
        <v>44656.0</v>
      </c>
      <c r="B1853" s="16" t="s">
        <v>12030</v>
      </c>
      <c r="C1853" s="16">
        <v>18.0</v>
      </c>
      <c r="D1853" s="16" t="s">
        <v>10444</v>
      </c>
      <c r="E1853" s="16" t="s">
        <v>707</v>
      </c>
      <c r="F1853" s="16">
        <v>2007.0</v>
      </c>
      <c r="G1853" s="16">
        <v>50.75</v>
      </c>
      <c r="H1853" s="16">
        <v>13.3517</v>
      </c>
      <c r="I1853" s="15"/>
      <c r="J1853" s="15"/>
    </row>
    <row r="1854">
      <c r="A1854" s="18">
        <v>44656.0</v>
      </c>
      <c r="B1854" s="16" t="s">
        <v>12031</v>
      </c>
      <c r="C1854" s="16">
        <v>14.0</v>
      </c>
      <c r="D1854" s="16" t="s">
        <v>10444</v>
      </c>
      <c r="E1854" s="16" t="s">
        <v>707</v>
      </c>
      <c r="F1854" s="16">
        <v>2006.0</v>
      </c>
      <c r="G1854" s="16">
        <v>51.9226</v>
      </c>
      <c r="H1854" s="16">
        <v>11.5505</v>
      </c>
      <c r="I1854" s="15"/>
      <c r="J1854" s="15"/>
    </row>
    <row r="1855">
      <c r="A1855" s="18">
        <v>44656.0</v>
      </c>
      <c r="B1855" s="16" t="s">
        <v>12031</v>
      </c>
      <c r="C1855" s="16">
        <v>18.0</v>
      </c>
      <c r="D1855" s="16" t="s">
        <v>10444</v>
      </c>
      <c r="E1855" s="16" t="s">
        <v>707</v>
      </c>
      <c r="F1855" s="16">
        <v>2013.0</v>
      </c>
      <c r="G1855" s="16">
        <v>51.9348</v>
      </c>
      <c r="H1855" s="16">
        <v>11.5312</v>
      </c>
      <c r="I1855" s="15"/>
      <c r="J1855" s="15"/>
    </row>
    <row r="1856">
      <c r="A1856" s="18">
        <v>44656.0</v>
      </c>
      <c r="B1856" s="16" t="s">
        <v>12032</v>
      </c>
      <c r="C1856" s="16">
        <v>10.0</v>
      </c>
      <c r="D1856" s="16" t="s">
        <v>10444</v>
      </c>
      <c r="E1856" s="16" t="s">
        <v>707</v>
      </c>
      <c r="F1856" s="16">
        <v>2011.0</v>
      </c>
      <c r="G1856" s="16">
        <v>49.98</v>
      </c>
      <c r="H1856" s="16">
        <v>7.4501</v>
      </c>
      <c r="I1856" s="15"/>
      <c r="J1856" s="15"/>
    </row>
    <row r="1857">
      <c r="A1857" s="18">
        <v>44656.0</v>
      </c>
      <c r="B1857" s="16" t="s">
        <v>12033</v>
      </c>
      <c r="C1857" s="16">
        <v>25.0</v>
      </c>
      <c r="D1857" s="16" t="s">
        <v>10444</v>
      </c>
      <c r="E1857" s="16" t="s">
        <v>707</v>
      </c>
      <c r="F1857" s="16">
        <v>1996.0</v>
      </c>
      <c r="G1857" s="16">
        <v>53.6472</v>
      </c>
      <c r="H1857" s="16">
        <v>7.5263</v>
      </c>
      <c r="I1857" s="15"/>
      <c r="J1857" s="15"/>
    </row>
    <row r="1858">
      <c r="A1858" s="18">
        <v>44656.0</v>
      </c>
      <c r="B1858" s="16" t="s">
        <v>12034</v>
      </c>
      <c r="C1858" s="16">
        <v>20.0</v>
      </c>
      <c r="D1858" s="16" t="s">
        <v>10444</v>
      </c>
      <c r="E1858" s="16" t="s">
        <v>707</v>
      </c>
      <c r="F1858" s="16">
        <v>1996.0</v>
      </c>
      <c r="G1858" s="16">
        <v>53.6441</v>
      </c>
      <c r="H1858" s="16">
        <v>7.5254</v>
      </c>
      <c r="I1858" s="15"/>
      <c r="J1858" s="15"/>
    </row>
    <row r="1859">
      <c r="A1859" s="18">
        <v>44656.0</v>
      </c>
      <c r="B1859" s="16" t="s">
        <v>12035</v>
      </c>
      <c r="C1859" s="16">
        <v>33.0</v>
      </c>
      <c r="D1859" s="16" t="s">
        <v>10444</v>
      </c>
      <c r="E1859" s="16" t="s">
        <v>707</v>
      </c>
      <c r="F1859" s="16">
        <v>2014.0</v>
      </c>
      <c r="G1859" s="16">
        <v>53.3114</v>
      </c>
      <c r="H1859" s="16">
        <v>8.6076</v>
      </c>
      <c r="I1859" s="15"/>
      <c r="J1859" s="15"/>
    </row>
    <row r="1860">
      <c r="A1860" s="18">
        <v>44656.0</v>
      </c>
      <c r="B1860" s="16" t="s">
        <v>12036</v>
      </c>
      <c r="C1860" s="16">
        <v>13.0</v>
      </c>
      <c r="D1860" s="16" t="s">
        <v>10444</v>
      </c>
      <c r="E1860" s="16" t="s">
        <v>707</v>
      </c>
      <c r="F1860" s="16">
        <v>2017.0</v>
      </c>
      <c r="G1860" s="16">
        <v>52.3164</v>
      </c>
      <c r="H1860" s="16">
        <v>7.5346</v>
      </c>
      <c r="I1860" s="15"/>
      <c r="J1860" s="15"/>
    </row>
    <row r="1861">
      <c r="A1861" s="18">
        <v>45363.0</v>
      </c>
      <c r="B1861" s="16" t="s">
        <v>12037</v>
      </c>
      <c r="C1861" s="16">
        <v>17.0</v>
      </c>
      <c r="D1861" s="16" t="s">
        <v>10444</v>
      </c>
      <c r="E1861" s="16" t="s">
        <v>707</v>
      </c>
      <c r="F1861" s="16">
        <v>2023.0</v>
      </c>
      <c r="G1861" s="16">
        <v>54.0103</v>
      </c>
      <c r="H1861" s="16">
        <v>9.3548</v>
      </c>
      <c r="I1861" s="15"/>
      <c r="J1861" s="15"/>
    </row>
    <row r="1862">
      <c r="A1862" s="18">
        <v>44656.0</v>
      </c>
      <c r="B1862" s="16" t="s">
        <v>12038</v>
      </c>
      <c r="C1862" s="16">
        <v>17.0</v>
      </c>
      <c r="D1862" s="16" t="s">
        <v>10444</v>
      </c>
      <c r="E1862" s="16" t="s">
        <v>707</v>
      </c>
      <c r="F1862" s="16">
        <v>2015.0</v>
      </c>
      <c r="G1862" s="16">
        <v>53.4201</v>
      </c>
      <c r="H1862" s="16">
        <v>8.0588</v>
      </c>
      <c r="I1862" s="15"/>
      <c r="J1862" s="15"/>
    </row>
    <row r="1863">
      <c r="A1863" s="18">
        <v>44656.0</v>
      </c>
      <c r="B1863" s="16" t="s">
        <v>12039</v>
      </c>
      <c r="C1863" s="16">
        <v>85.0</v>
      </c>
      <c r="D1863" s="16" t="s">
        <v>10444</v>
      </c>
      <c r="E1863" s="16" t="s">
        <v>707</v>
      </c>
      <c r="F1863" s="16">
        <v>2014.0</v>
      </c>
      <c r="G1863" s="16">
        <v>54.6308</v>
      </c>
      <c r="H1863" s="16">
        <v>9.0936</v>
      </c>
      <c r="I1863" s="15"/>
      <c r="J1863" s="15"/>
    </row>
    <row r="1864">
      <c r="A1864" s="18">
        <v>44656.0</v>
      </c>
      <c r="B1864" s="16" t="s">
        <v>12040</v>
      </c>
      <c r="C1864" s="16">
        <v>402.0</v>
      </c>
      <c r="D1864" s="16" t="s">
        <v>10462</v>
      </c>
      <c r="E1864" s="16" t="s">
        <v>707</v>
      </c>
      <c r="F1864" s="16">
        <v>2017.0</v>
      </c>
      <c r="G1864" s="16">
        <v>54.321</v>
      </c>
      <c r="H1864" s="16">
        <v>5.86</v>
      </c>
      <c r="I1864" s="15"/>
      <c r="J1864" s="15"/>
    </row>
    <row r="1865">
      <c r="A1865" s="18">
        <v>44656.0</v>
      </c>
      <c r="B1865" s="16" t="s">
        <v>12041</v>
      </c>
      <c r="C1865" s="16">
        <v>12.0</v>
      </c>
      <c r="D1865" s="16" t="s">
        <v>10444</v>
      </c>
      <c r="E1865" s="16" t="s">
        <v>707</v>
      </c>
      <c r="F1865" s="16">
        <v>2015.0</v>
      </c>
      <c r="G1865" s="16">
        <v>49.2132</v>
      </c>
      <c r="H1865" s="16">
        <v>11.5993</v>
      </c>
      <c r="I1865" s="15"/>
      <c r="J1865" s="15"/>
    </row>
    <row r="1866">
      <c r="A1866" s="18">
        <v>44656.0</v>
      </c>
      <c r="B1866" s="16" t="s">
        <v>12042</v>
      </c>
      <c r="C1866" s="16">
        <v>27.0</v>
      </c>
      <c r="D1866" s="16" t="s">
        <v>10444</v>
      </c>
      <c r="E1866" s="16" t="s">
        <v>707</v>
      </c>
      <c r="F1866" s="16">
        <v>2015.0</v>
      </c>
      <c r="G1866" s="16">
        <v>49.8484</v>
      </c>
      <c r="H1866" s="16">
        <v>7.0539</v>
      </c>
      <c r="I1866" s="15"/>
      <c r="J1866" s="15"/>
    </row>
    <row r="1867">
      <c r="A1867" s="18">
        <v>44999.0</v>
      </c>
      <c r="B1867" s="16" t="s">
        <v>12043</v>
      </c>
      <c r="C1867" s="16">
        <v>12.0</v>
      </c>
      <c r="D1867" s="16" t="s">
        <v>10444</v>
      </c>
      <c r="E1867" s="16" t="s">
        <v>707</v>
      </c>
      <c r="F1867" s="16">
        <v>2016.0</v>
      </c>
      <c r="G1867" s="16">
        <v>51.7558</v>
      </c>
      <c r="H1867" s="16">
        <v>14.1108</v>
      </c>
      <c r="I1867" s="15"/>
      <c r="J1867" s="15"/>
    </row>
    <row r="1868">
      <c r="A1868" s="18">
        <v>45371.0</v>
      </c>
      <c r="B1868" s="16" t="s">
        <v>12044</v>
      </c>
      <c r="C1868" s="16">
        <v>17.0</v>
      </c>
      <c r="D1868" s="16" t="s">
        <v>10444</v>
      </c>
      <c r="E1868" s="16" t="s">
        <v>707</v>
      </c>
      <c r="F1868" s="16">
        <v>2022.0</v>
      </c>
      <c r="G1868" s="16">
        <v>53.9561</v>
      </c>
      <c r="H1868" s="16">
        <v>9.0426</v>
      </c>
      <c r="I1868" s="15"/>
      <c r="J1868" s="15"/>
    </row>
    <row r="1869">
      <c r="A1869" s="18">
        <v>45365.0</v>
      </c>
      <c r="B1869" s="16" t="s">
        <v>12045</v>
      </c>
      <c r="C1869" s="16">
        <v>13.0</v>
      </c>
      <c r="D1869" s="16" t="s">
        <v>10444</v>
      </c>
      <c r="E1869" s="16" t="s">
        <v>707</v>
      </c>
      <c r="F1869" s="16">
        <v>2023.0</v>
      </c>
      <c r="G1869" s="16">
        <v>51.1401</v>
      </c>
      <c r="H1869" s="16">
        <v>11.968</v>
      </c>
      <c r="I1869" s="15"/>
      <c r="J1869" s="15"/>
    </row>
    <row r="1870">
      <c r="A1870" s="18">
        <v>45667.0</v>
      </c>
      <c r="B1870" s="16" t="s">
        <v>12045</v>
      </c>
      <c r="C1870" s="16">
        <v>14.0</v>
      </c>
      <c r="D1870" s="16" t="s">
        <v>10444</v>
      </c>
      <c r="E1870" s="16" t="s">
        <v>707</v>
      </c>
      <c r="F1870" s="16">
        <v>2024.0</v>
      </c>
      <c r="G1870" s="16">
        <v>51.1425</v>
      </c>
      <c r="H1870" s="16">
        <v>11.958</v>
      </c>
      <c r="I1870" s="15"/>
      <c r="J1870" s="15"/>
    </row>
    <row r="1871">
      <c r="A1871" s="18">
        <v>45033.0</v>
      </c>
      <c r="B1871" s="16" t="s">
        <v>12045</v>
      </c>
      <c r="C1871" s="16">
        <v>26.0</v>
      </c>
      <c r="D1871" s="16" t="s">
        <v>10444</v>
      </c>
      <c r="E1871" s="16" t="s">
        <v>707</v>
      </c>
      <c r="F1871" s="16">
        <v>2020.0</v>
      </c>
      <c r="G1871" s="16">
        <v>51.1443</v>
      </c>
      <c r="H1871" s="16">
        <v>11.9531</v>
      </c>
      <c r="I1871" s="15"/>
      <c r="J1871" s="15"/>
    </row>
    <row r="1872">
      <c r="A1872" s="18">
        <v>44656.0</v>
      </c>
      <c r="B1872" s="16" t="s">
        <v>12046</v>
      </c>
      <c r="C1872" s="16">
        <v>12.0</v>
      </c>
      <c r="D1872" s="16" t="s">
        <v>10444</v>
      </c>
      <c r="E1872" s="16" t="s">
        <v>707</v>
      </c>
      <c r="F1872" s="16">
        <v>2011.0</v>
      </c>
      <c r="G1872" s="16">
        <v>50.2983</v>
      </c>
      <c r="H1872" s="16">
        <v>12.0063</v>
      </c>
      <c r="I1872" s="15"/>
      <c r="J1872" s="15"/>
    </row>
    <row r="1873">
      <c r="A1873" s="18">
        <v>45667.0</v>
      </c>
      <c r="B1873" s="16" t="s">
        <v>12047</v>
      </c>
      <c r="C1873" s="16">
        <v>22.0</v>
      </c>
      <c r="D1873" s="16" t="s">
        <v>10444</v>
      </c>
      <c r="E1873" s="16" t="s">
        <v>707</v>
      </c>
      <c r="F1873" s="16">
        <v>2024.0</v>
      </c>
      <c r="G1873" s="16">
        <v>51.2634</v>
      </c>
      <c r="H1873" s="16">
        <v>6.3056</v>
      </c>
      <c r="I1873" s="15"/>
      <c r="J1873" s="15"/>
    </row>
    <row r="1874">
      <c r="A1874" s="18">
        <v>44999.0</v>
      </c>
      <c r="B1874" s="16" t="s">
        <v>12048</v>
      </c>
      <c r="C1874" s="16">
        <v>14.0</v>
      </c>
      <c r="D1874" s="16" t="s">
        <v>10444</v>
      </c>
      <c r="E1874" s="16" t="s">
        <v>707</v>
      </c>
      <c r="F1874" s="16">
        <v>2019.0</v>
      </c>
      <c r="G1874" s="16">
        <v>53.594</v>
      </c>
      <c r="H1874" s="16">
        <v>9.2149</v>
      </c>
      <c r="I1874" s="15"/>
      <c r="J1874" s="15"/>
    </row>
    <row r="1875">
      <c r="A1875" s="18">
        <v>45667.0</v>
      </c>
      <c r="B1875" s="16" t="s">
        <v>12049</v>
      </c>
      <c r="C1875" s="16">
        <v>17.0</v>
      </c>
      <c r="D1875" s="16" t="s">
        <v>10444</v>
      </c>
      <c r="E1875" s="16" t="s">
        <v>707</v>
      </c>
      <c r="F1875" s="16">
        <v>2024.0</v>
      </c>
      <c r="G1875" s="16">
        <v>50.7912</v>
      </c>
      <c r="H1875" s="16">
        <v>9.2232</v>
      </c>
      <c r="I1875" s="15"/>
      <c r="J1875" s="15"/>
    </row>
    <row r="1876">
      <c r="A1876" s="18">
        <v>44656.0</v>
      </c>
      <c r="B1876" s="16" t="s">
        <v>12050</v>
      </c>
      <c r="C1876" s="16">
        <v>10.0</v>
      </c>
      <c r="D1876" s="16" t="s">
        <v>10444</v>
      </c>
      <c r="E1876" s="16" t="s">
        <v>707</v>
      </c>
      <c r="F1876" s="16">
        <v>2017.0</v>
      </c>
      <c r="G1876" s="16">
        <v>51.114</v>
      </c>
      <c r="H1876" s="16">
        <v>11.2047</v>
      </c>
      <c r="I1876" s="15"/>
      <c r="J1876" s="15"/>
    </row>
    <row r="1877">
      <c r="A1877" s="18">
        <v>44656.0</v>
      </c>
      <c r="B1877" s="16" t="s">
        <v>12051</v>
      </c>
      <c r="C1877" s="16">
        <v>17.0</v>
      </c>
      <c r="D1877" s="16" t="s">
        <v>10444</v>
      </c>
      <c r="E1877" s="16" t="s">
        <v>707</v>
      </c>
      <c r="F1877" s="16">
        <v>2006.0</v>
      </c>
      <c r="G1877" s="16">
        <v>51.14</v>
      </c>
      <c r="H1877" s="16">
        <v>11.24</v>
      </c>
      <c r="I1877" s="15"/>
      <c r="J1877" s="15"/>
    </row>
    <row r="1878">
      <c r="A1878" s="18">
        <v>44656.0</v>
      </c>
      <c r="B1878" s="16" t="s">
        <v>12051</v>
      </c>
      <c r="C1878" s="16">
        <v>32.0</v>
      </c>
      <c r="D1878" s="16" t="s">
        <v>10444</v>
      </c>
      <c r="E1878" s="16" t="s">
        <v>707</v>
      </c>
      <c r="F1878" s="16">
        <v>2012.0</v>
      </c>
      <c r="G1878" s="16">
        <v>50.38</v>
      </c>
      <c r="H1878" s="16">
        <v>9.0797</v>
      </c>
      <c r="I1878" s="15"/>
      <c r="J1878" s="15"/>
    </row>
    <row r="1879">
      <c r="A1879" s="18">
        <v>45371.0</v>
      </c>
      <c r="B1879" s="16" t="s">
        <v>12052</v>
      </c>
      <c r="C1879" s="16">
        <v>11.0</v>
      </c>
      <c r="D1879" s="16" t="s">
        <v>10444</v>
      </c>
      <c r="E1879" s="16" t="s">
        <v>707</v>
      </c>
      <c r="F1879" s="16">
        <v>2023.0</v>
      </c>
      <c r="G1879" s="16">
        <v>53.0231</v>
      </c>
      <c r="H1879" s="16">
        <v>9.2187</v>
      </c>
      <c r="I1879" s="15"/>
      <c r="J1879" s="15"/>
    </row>
    <row r="1880">
      <c r="A1880" s="18">
        <v>45667.0</v>
      </c>
      <c r="B1880" s="16" t="s">
        <v>12053</v>
      </c>
      <c r="C1880" s="16">
        <v>33.0</v>
      </c>
      <c r="D1880" s="16" t="s">
        <v>10444</v>
      </c>
      <c r="E1880" s="16" t="s">
        <v>707</v>
      </c>
      <c r="F1880" s="16">
        <v>2024.0</v>
      </c>
      <c r="G1880" s="16">
        <v>52.3678</v>
      </c>
      <c r="H1880" s="16">
        <v>10.8684</v>
      </c>
      <c r="I1880" s="15"/>
      <c r="J1880" s="15"/>
    </row>
    <row r="1881">
      <c r="A1881" s="18">
        <v>44656.0</v>
      </c>
      <c r="B1881" s="16" t="s">
        <v>12054</v>
      </c>
      <c r="C1881" s="16">
        <v>12.0</v>
      </c>
      <c r="D1881" s="16" t="s">
        <v>10444</v>
      </c>
      <c r="E1881" s="16" t="s">
        <v>707</v>
      </c>
      <c r="F1881" s="16">
        <v>2013.0</v>
      </c>
      <c r="G1881" s="16">
        <v>53.893</v>
      </c>
      <c r="H1881" s="16">
        <v>13.3303</v>
      </c>
      <c r="I1881" s="15"/>
      <c r="J1881" s="15"/>
    </row>
    <row r="1882">
      <c r="A1882" s="18">
        <v>44656.0</v>
      </c>
      <c r="B1882" s="16" t="s">
        <v>12054</v>
      </c>
      <c r="C1882" s="16">
        <v>12.0</v>
      </c>
      <c r="D1882" s="16" t="s">
        <v>10444</v>
      </c>
      <c r="E1882" s="16" t="s">
        <v>707</v>
      </c>
      <c r="F1882" s="16">
        <v>2016.0</v>
      </c>
      <c r="G1882" s="16">
        <v>53.9222</v>
      </c>
      <c r="H1882" s="16">
        <v>13.349</v>
      </c>
      <c r="I1882" s="15"/>
      <c r="J1882" s="15"/>
    </row>
    <row r="1883">
      <c r="A1883" s="18">
        <v>44656.0</v>
      </c>
      <c r="B1883" s="16" t="s">
        <v>12055</v>
      </c>
      <c r="C1883" s="16">
        <v>11.0</v>
      </c>
      <c r="D1883" s="16" t="s">
        <v>10444</v>
      </c>
      <c r="E1883" s="16" t="s">
        <v>707</v>
      </c>
      <c r="F1883" s="16">
        <v>2006.0</v>
      </c>
      <c r="G1883" s="16">
        <v>52.4634</v>
      </c>
      <c r="H1883" s="16">
        <v>7.7697</v>
      </c>
      <c r="I1883" s="15"/>
      <c r="J1883" s="15"/>
    </row>
    <row r="1884">
      <c r="A1884" s="18">
        <v>44656.0</v>
      </c>
      <c r="B1884" s="16" t="s">
        <v>12056</v>
      </c>
      <c r="C1884" s="16">
        <v>22.0</v>
      </c>
      <c r="D1884" s="16" t="s">
        <v>10444</v>
      </c>
      <c r="E1884" s="16" t="s">
        <v>707</v>
      </c>
      <c r="F1884" s="16">
        <v>2017.0</v>
      </c>
      <c r="G1884" s="16">
        <v>52.3724</v>
      </c>
      <c r="H1884" s="16">
        <v>8.1566</v>
      </c>
      <c r="I1884" s="15"/>
      <c r="J1884" s="15"/>
    </row>
    <row r="1885">
      <c r="A1885" s="18">
        <v>45037.0</v>
      </c>
      <c r="B1885" s="16" t="s">
        <v>12057</v>
      </c>
      <c r="C1885" s="16">
        <v>28.0</v>
      </c>
      <c r="D1885" s="16" t="s">
        <v>10444</v>
      </c>
      <c r="E1885" s="16" t="s">
        <v>707</v>
      </c>
      <c r="F1885" s="16">
        <v>2017.0</v>
      </c>
      <c r="G1885" s="16">
        <v>53.1384</v>
      </c>
      <c r="H1885" s="16">
        <v>12.1083</v>
      </c>
      <c r="I1885" s="15"/>
      <c r="J1885" s="15"/>
    </row>
    <row r="1886">
      <c r="A1886" s="18">
        <v>44656.0</v>
      </c>
      <c r="B1886" s="16" t="s">
        <v>12057</v>
      </c>
      <c r="C1886" s="16">
        <v>21.0</v>
      </c>
      <c r="D1886" s="16" t="s">
        <v>10444</v>
      </c>
      <c r="E1886" s="16" t="s">
        <v>707</v>
      </c>
      <c r="F1886" s="16">
        <v>2017.0</v>
      </c>
      <c r="G1886" s="16">
        <v>53.1316</v>
      </c>
      <c r="H1886" s="16">
        <v>12.1117</v>
      </c>
      <c r="I1886" s="15"/>
      <c r="J1886" s="15"/>
    </row>
    <row r="1887">
      <c r="A1887" s="18">
        <v>44656.0</v>
      </c>
      <c r="B1887" s="16" t="s">
        <v>12058</v>
      </c>
      <c r="C1887" s="16">
        <v>12.0</v>
      </c>
      <c r="D1887" s="16" t="s">
        <v>10444</v>
      </c>
      <c r="E1887" s="16" t="s">
        <v>707</v>
      </c>
      <c r="F1887" s="16">
        <v>2017.0</v>
      </c>
      <c r="G1887" s="16">
        <v>52.0968</v>
      </c>
      <c r="H1887" s="16">
        <v>6.8097</v>
      </c>
      <c r="I1887" s="15"/>
      <c r="J1887" s="15"/>
    </row>
    <row r="1888">
      <c r="A1888" s="18">
        <v>44656.0</v>
      </c>
      <c r="B1888" s="16" t="s">
        <v>12059</v>
      </c>
      <c r="C1888" s="16">
        <v>12.0</v>
      </c>
      <c r="D1888" s="16" t="s">
        <v>10444</v>
      </c>
      <c r="E1888" s="16" t="s">
        <v>707</v>
      </c>
      <c r="F1888" s="16">
        <v>2017.0</v>
      </c>
      <c r="G1888" s="16">
        <v>52.0589</v>
      </c>
      <c r="H1888" s="16">
        <v>6.8565</v>
      </c>
      <c r="I1888" s="15"/>
      <c r="J1888" s="15"/>
    </row>
    <row r="1889">
      <c r="A1889" s="18">
        <v>44656.0</v>
      </c>
      <c r="B1889" s="16" t="s">
        <v>12060</v>
      </c>
      <c r="C1889" s="16">
        <v>12.0</v>
      </c>
      <c r="D1889" s="16" t="s">
        <v>10444</v>
      </c>
      <c r="E1889" s="16" t="s">
        <v>707</v>
      </c>
      <c r="F1889" s="16">
        <v>2016.0</v>
      </c>
      <c r="G1889" s="16">
        <v>54.5213</v>
      </c>
      <c r="H1889" s="16">
        <v>9.91</v>
      </c>
      <c r="I1889" s="15"/>
      <c r="J1889" s="15"/>
    </row>
    <row r="1890">
      <c r="A1890" s="18">
        <v>44656.0</v>
      </c>
      <c r="B1890" s="16" t="s">
        <v>12061</v>
      </c>
      <c r="C1890" s="16">
        <v>16.0</v>
      </c>
      <c r="D1890" s="16" t="s">
        <v>10444</v>
      </c>
      <c r="E1890" s="16" t="s">
        <v>707</v>
      </c>
      <c r="F1890" s="16">
        <v>2013.0</v>
      </c>
      <c r="G1890" s="16">
        <v>49.6233</v>
      </c>
      <c r="H1890" s="16">
        <v>8.1556</v>
      </c>
      <c r="I1890" s="15"/>
      <c r="J1890" s="15"/>
    </row>
    <row r="1891">
      <c r="A1891" s="18">
        <v>44656.0</v>
      </c>
      <c r="B1891" s="16" t="s">
        <v>12062</v>
      </c>
      <c r="C1891" s="16">
        <v>10.0</v>
      </c>
      <c r="D1891" s="16" t="s">
        <v>10444</v>
      </c>
      <c r="E1891" s="16" t="s">
        <v>707</v>
      </c>
      <c r="F1891" s="16">
        <v>2017.0</v>
      </c>
      <c r="G1891" s="16">
        <v>49.6047</v>
      </c>
      <c r="H1891" s="16">
        <v>6.8869</v>
      </c>
      <c r="I1891" s="15"/>
      <c r="J1891" s="15"/>
    </row>
    <row r="1892">
      <c r="A1892" s="18">
        <v>45034.0</v>
      </c>
      <c r="B1892" s="16" t="s">
        <v>12063</v>
      </c>
      <c r="C1892" s="16">
        <v>10.0</v>
      </c>
      <c r="D1892" s="16" t="s">
        <v>10444</v>
      </c>
      <c r="E1892" s="16" t="s">
        <v>707</v>
      </c>
      <c r="F1892" s="16">
        <v>2020.0</v>
      </c>
      <c r="G1892" s="16">
        <v>49.5526</v>
      </c>
      <c r="H1892" s="16">
        <v>6.9458</v>
      </c>
      <c r="I1892" s="15"/>
      <c r="J1892" s="15"/>
    </row>
    <row r="1893">
      <c r="A1893" s="18">
        <v>44656.0</v>
      </c>
      <c r="B1893" s="16" t="s">
        <v>12064</v>
      </c>
      <c r="C1893" s="16">
        <v>12.0</v>
      </c>
      <c r="D1893" s="16" t="s">
        <v>10444</v>
      </c>
      <c r="E1893" s="16" t="s">
        <v>707</v>
      </c>
      <c r="F1893" s="16">
        <v>2015.0</v>
      </c>
      <c r="G1893" s="16">
        <v>47.9847</v>
      </c>
      <c r="H1893" s="16">
        <v>11.4069</v>
      </c>
      <c r="I1893" s="15"/>
      <c r="J1893" s="15"/>
    </row>
    <row r="1894">
      <c r="A1894" s="18">
        <v>45005.0</v>
      </c>
      <c r="B1894" s="16" t="s">
        <v>12065</v>
      </c>
      <c r="C1894" s="16">
        <v>10.0</v>
      </c>
      <c r="D1894" s="16" t="s">
        <v>10444</v>
      </c>
      <c r="E1894" s="16" t="s">
        <v>707</v>
      </c>
      <c r="F1894" s="16">
        <v>2013.0</v>
      </c>
      <c r="G1894" s="16">
        <v>50.0113</v>
      </c>
      <c r="H1894" s="16">
        <v>7.5981</v>
      </c>
      <c r="I1894" s="15"/>
      <c r="J1894" s="15"/>
    </row>
    <row r="1895">
      <c r="A1895" s="18">
        <v>44995.0</v>
      </c>
      <c r="B1895" s="16" t="s">
        <v>12066</v>
      </c>
      <c r="C1895" s="16">
        <v>19.0</v>
      </c>
      <c r="D1895" s="16" t="s">
        <v>10444</v>
      </c>
      <c r="E1895" s="16" t="s">
        <v>707</v>
      </c>
      <c r="F1895" s="16">
        <v>2022.0</v>
      </c>
      <c r="G1895" s="16">
        <v>51.9736</v>
      </c>
      <c r="H1895" s="16">
        <v>13.306</v>
      </c>
      <c r="I1895" s="15"/>
      <c r="J1895" s="15"/>
    </row>
    <row r="1896">
      <c r="A1896" s="18">
        <v>44656.0</v>
      </c>
      <c r="B1896" s="16" t="s">
        <v>12067</v>
      </c>
      <c r="C1896" s="16">
        <v>18.0</v>
      </c>
      <c r="D1896" s="16" t="s">
        <v>10444</v>
      </c>
      <c r="E1896" s="16" t="s">
        <v>707</v>
      </c>
      <c r="F1896" s="16">
        <v>2004.0</v>
      </c>
      <c r="G1896" s="16">
        <v>50.6517</v>
      </c>
      <c r="H1896" s="16">
        <v>8.1067</v>
      </c>
      <c r="I1896" s="15"/>
      <c r="J1896" s="15"/>
    </row>
    <row r="1897">
      <c r="A1897" s="18">
        <v>44656.0</v>
      </c>
      <c r="B1897" s="16" t="s">
        <v>12068</v>
      </c>
      <c r="C1897" s="16">
        <v>12.0</v>
      </c>
      <c r="D1897" s="16" t="s">
        <v>10444</v>
      </c>
      <c r="E1897" s="16" t="s">
        <v>707</v>
      </c>
      <c r="F1897" s="16">
        <v>2011.0</v>
      </c>
      <c r="G1897" s="16">
        <v>52.9369</v>
      </c>
      <c r="H1897" s="16">
        <v>7.2022</v>
      </c>
      <c r="I1897" s="15"/>
      <c r="J1897" s="15"/>
    </row>
    <row r="1898">
      <c r="A1898" s="18">
        <v>45021.0</v>
      </c>
      <c r="B1898" s="16" t="s">
        <v>12069</v>
      </c>
      <c r="C1898" s="16">
        <v>14.0</v>
      </c>
      <c r="D1898" s="16" t="s">
        <v>10444</v>
      </c>
      <c r="E1898" s="16" t="s">
        <v>707</v>
      </c>
      <c r="F1898" s="16">
        <v>2020.0</v>
      </c>
      <c r="G1898" s="16">
        <v>51.044</v>
      </c>
      <c r="H1898" s="16">
        <v>6.0171</v>
      </c>
      <c r="I1898" s="15"/>
      <c r="J1898" s="15"/>
    </row>
    <row r="1899">
      <c r="A1899" s="18">
        <v>44656.0</v>
      </c>
      <c r="B1899" s="16" t="s">
        <v>12070</v>
      </c>
      <c r="C1899" s="16">
        <v>12.0</v>
      </c>
      <c r="D1899" s="16" t="s">
        <v>10444</v>
      </c>
      <c r="E1899" s="16" t="s">
        <v>707</v>
      </c>
      <c r="F1899" s="16">
        <v>2015.0</v>
      </c>
      <c r="G1899" s="16">
        <v>51.066</v>
      </c>
      <c r="H1899" s="16">
        <v>5.988</v>
      </c>
      <c r="I1899" s="15"/>
      <c r="J1899" s="15"/>
    </row>
    <row r="1900">
      <c r="A1900" s="18">
        <v>45365.0</v>
      </c>
      <c r="B1900" s="16" t="s">
        <v>12071</v>
      </c>
      <c r="C1900" s="16">
        <v>28.0</v>
      </c>
      <c r="D1900" s="16" t="s">
        <v>10444</v>
      </c>
      <c r="E1900" s="16" t="s">
        <v>707</v>
      </c>
      <c r="F1900" s="16">
        <v>2023.0</v>
      </c>
      <c r="G1900" s="16">
        <v>51.0722</v>
      </c>
      <c r="H1900" s="16">
        <v>6.0463</v>
      </c>
      <c r="I1900" s="15"/>
      <c r="J1900" s="15"/>
    </row>
    <row r="1901">
      <c r="A1901" s="18">
        <v>44656.0</v>
      </c>
      <c r="B1901" s="16" t="s">
        <v>12072</v>
      </c>
      <c r="C1901" s="16">
        <v>14.0</v>
      </c>
      <c r="D1901" s="16" t="s">
        <v>10444</v>
      </c>
      <c r="E1901" s="16" t="s">
        <v>707</v>
      </c>
      <c r="F1901" s="16">
        <v>2007.0</v>
      </c>
      <c r="G1901" s="16">
        <v>48.837</v>
      </c>
      <c r="H1901" s="16">
        <v>10.2104</v>
      </c>
      <c r="I1901" s="15"/>
      <c r="J1901" s="15"/>
    </row>
    <row r="1902">
      <c r="A1902" s="18">
        <v>44656.0</v>
      </c>
      <c r="B1902" s="16" t="s">
        <v>12072</v>
      </c>
      <c r="C1902" s="16">
        <v>17.0</v>
      </c>
      <c r="D1902" s="16" t="s">
        <v>10444</v>
      </c>
      <c r="E1902" s="16" t="s">
        <v>707</v>
      </c>
      <c r="F1902" s="16">
        <v>2017.0</v>
      </c>
      <c r="G1902" s="16">
        <v>47.96</v>
      </c>
      <c r="H1902" s="16">
        <v>8.6773</v>
      </c>
      <c r="I1902" s="15"/>
      <c r="J1902" s="15"/>
    </row>
    <row r="1903">
      <c r="A1903" s="18">
        <v>45365.0</v>
      </c>
      <c r="B1903" s="16" t="s">
        <v>12073</v>
      </c>
      <c r="C1903" s="16">
        <v>28.0</v>
      </c>
      <c r="D1903" s="16" t="s">
        <v>10444</v>
      </c>
      <c r="E1903" s="16" t="s">
        <v>707</v>
      </c>
      <c r="F1903" s="16">
        <v>2003.0</v>
      </c>
      <c r="G1903" s="16">
        <v>51.9862</v>
      </c>
      <c r="H1903" s="16">
        <v>13.7242</v>
      </c>
      <c r="I1903" s="15"/>
      <c r="J1903" s="15"/>
    </row>
    <row r="1904">
      <c r="A1904" s="18">
        <v>45033.0</v>
      </c>
      <c r="B1904" s="16" t="s">
        <v>12074</v>
      </c>
      <c r="C1904" s="16">
        <v>14.0</v>
      </c>
      <c r="D1904" s="16" t="s">
        <v>10444</v>
      </c>
      <c r="E1904" s="16" t="s">
        <v>707</v>
      </c>
      <c r="F1904" s="16">
        <v>2013.0</v>
      </c>
      <c r="G1904" s="16">
        <v>54.1606</v>
      </c>
      <c r="H1904" s="16">
        <v>8.9656</v>
      </c>
      <c r="I1904" s="15"/>
      <c r="J1904" s="15"/>
    </row>
    <row r="1905">
      <c r="A1905" s="18">
        <v>44656.0</v>
      </c>
      <c r="B1905" s="16" t="s">
        <v>12075</v>
      </c>
      <c r="C1905" s="16">
        <v>12.0</v>
      </c>
      <c r="D1905" s="16" t="s">
        <v>10444</v>
      </c>
      <c r="E1905" s="16" t="s">
        <v>707</v>
      </c>
      <c r="F1905" s="16">
        <v>2014.0</v>
      </c>
      <c r="G1905" s="16">
        <v>49.5333</v>
      </c>
      <c r="H1905" s="16">
        <v>10.1911</v>
      </c>
      <c r="I1905" s="15"/>
      <c r="J1905" s="15"/>
    </row>
    <row r="1906">
      <c r="A1906" s="18">
        <v>44656.0</v>
      </c>
      <c r="B1906" s="16" t="s">
        <v>12076</v>
      </c>
      <c r="C1906" s="16">
        <v>18.0</v>
      </c>
      <c r="D1906" s="16" t="s">
        <v>10444</v>
      </c>
      <c r="E1906" s="16" t="s">
        <v>707</v>
      </c>
      <c r="F1906" s="16">
        <v>2014.0</v>
      </c>
      <c r="G1906" s="16">
        <v>52.7464</v>
      </c>
      <c r="H1906" s="16">
        <v>11.8266</v>
      </c>
      <c r="I1906" s="15"/>
      <c r="J1906" s="15"/>
    </row>
    <row r="1907">
      <c r="A1907" s="18">
        <v>44656.0</v>
      </c>
      <c r="B1907" s="16" t="s">
        <v>12077</v>
      </c>
      <c r="C1907" s="16">
        <v>14.0</v>
      </c>
      <c r="D1907" s="16" t="s">
        <v>10444</v>
      </c>
      <c r="E1907" s="16" t="s">
        <v>707</v>
      </c>
      <c r="F1907" s="16">
        <v>2008.0</v>
      </c>
      <c r="G1907" s="16">
        <v>51.9087</v>
      </c>
      <c r="H1907" s="16">
        <v>13.3036</v>
      </c>
      <c r="I1907" s="15"/>
      <c r="J1907" s="15"/>
    </row>
    <row r="1908">
      <c r="A1908" s="18">
        <v>45359.0</v>
      </c>
      <c r="B1908" s="16" t="s">
        <v>12078</v>
      </c>
      <c r="C1908" s="16">
        <v>16.0</v>
      </c>
      <c r="D1908" s="16" t="s">
        <v>10444</v>
      </c>
      <c r="E1908" s="16" t="s">
        <v>707</v>
      </c>
      <c r="F1908" s="16">
        <v>2023.0</v>
      </c>
      <c r="G1908" s="16">
        <v>54.6617</v>
      </c>
      <c r="H1908" s="16">
        <v>9.3146</v>
      </c>
      <c r="I1908" s="15"/>
      <c r="J1908" s="15"/>
    </row>
    <row r="1909">
      <c r="A1909" s="18">
        <v>45033.0</v>
      </c>
      <c r="B1909" s="16" t="s">
        <v>12079</v>
      </c>
      <c r="C1909" s="16">
        <v>12.0</v>
      </c>
      <c r="D1909" s="16" t="s">
        <v>10444</v>
      </c>
      <c r="E1909" s="16" t="s">
        <v>707</v>
      </c>
      <c r="F1909" s="16">
        <v>2014.0</v>
      </c>
      <c r="G1909" s="16">
        <v>54.6617</v>
      </c>
      <c r="H1909" s="16">
        <v>9.3116</v>
      </c>
      <c r="I1909" s="15"/>
      <c r="J1909" s="15"/>
    </row>
    <row r="1910">
      <c r="A1910" s="18">
        <v>44656.0</v>
      </c>
      <c r="B1910" s="16" t="s">
        <v>12080</v>
      </c>
      <c r="C1910" s="16">
        <v>22.0</v>
      </c>
      <c r="D1910" s="16" t="s">
        <v>10444</v>
      </c>
      <c r="E1910" s="16" t="s">
        <v>707</v>
      </c>
      <c r="F1910" s="16">
        <v>2013.0</v>
      </c>
      <c r="G1910" s="16">
        <v>54.678</v>
      </c>
      <c r="H1910" s="16">
        <v>9.2844</v>
      </c>
      <c r="I1910" s="15"/>
      <c r="J1910" s="15"/>
    </row>
    <row r="1911">
      <c r="A1911" s="18">
        <v>44656.0</v>
      </c>
      <c r="B1911" s="16" t="s">
        <v>12081</v>
      </c>
      <c r="C1911" s="16">
        <v>25.0</v>
      </c>
      <c r="D1911" s="16" t="s">
        <v>10444</v>
      </c>
      <c r="E1911" s="16" t="s">
        <v>707</v>
      </c>
      <c r="F1911" s="16">
        <v>2015.0</v>
      </c>
      <c r="G1911" s="16">
        <v>54.6777</v>
      </c>
      <c r="H1911" s="16">
        <v>9.295</v>
      </c>
      <c r="I1911" s="15"/>
      <c r="J1911" s="15"/>
    </row>
    <row r="1912">
      <c r="A1912" s="18">
        <v>44656.0</v>
      </c>
      <c r="B1912" s="16" t="s">
        <v>12081</v>
      </c>
      <c r="C1912" s="16">
        <v>42.0</v>
      </c>
      <c r="D1912" s="16" t="s">
        <v>10444</v>
      </c>
      <c r="E1912" s="16" t="s">
        <v>707</v>
      </c>
      <c r="F1912" s="16">
        <v>2015.0</v>
      </c>
      <c r="G1912" s="16">
        <v>54.677</v>
      </c>
      <c r="H1912" s="16">
        <v>9.2873</v>
      </c>
      <c r="I1912" s="15"/>
      <c r="J1912" s="15"/>
    </row>
    <row r="1913">
      <c r="A1913" s="18">
        <v>44656.0</v>
      </c>
      <c r="B1913" s="16" t="s">
        <v>12082</v>
      </c>
      <c r="C1913" s="16">
        <v>12.0</v>
      </c>
      <c r="D1913" s="16" t="s">
        <v>10444</v>
      </c>
      <c r="E1913" s="16" t="s">
        <v>707</v>
      </c>
      <c r="F1913" s="16">
        <v>2014.0</v>
      </c>
      <c r="G1913" s="16">
        <v>53.4529</v>
      </c>
      <c r="H1913" s="16">
        <v>10.5639</v>
      </c>
      <c r="I1913" s="15"/>
      <c r="J1913" s="15"/>
    </row>
    <row r="1914">
      <c r="A1914" s="18">
        <v>44656.0</v>
      </c>
      <c r="B1914" s="16" t="s">
        <v>12083</v>
      </c>
      <c r="C1914" s="16">
        <v>20.0</v>
      </c>
      <c r="D1914" s="16" t="s">
        <v>10444</v>
      </c>
      <c r="E1914" s="16" t="s">
        <v>707</v>
      </c>
      <c r="F1914" s="15"/>
      <c r="G1914" s="16">
        <v>53.6094</v>
      </c>
      <c r="H1914" s="16">
        <v>7.9772</v>
      </c>
      <c r="I1914" s="15"/>
      <c r="J1914" s="15"/>
    </row>
    <row r="1915">
      <c r="A1915" s="18">
        <v>44656.0</v>
      </c>
      <c r="B1915" s="16" t="s">
        <v>12084</v>
      </c>
      <c r="C1915" s="16">
        <v>14.0</v>
      </c>
      <c r="D1915" s="16" t="s">
        <v>10444</v>
      </c>
      <c r="E1915" s="16" t="s">
        <v>707</v>
      </c>
      <c r="F1915" s="16">
        <v>2018.0</v>
      </c>
      <c r="G1915" s="16">
        <v>51.5834</v>
      </c>
      <c r="H1915" s="16">
        <v>11.801</v>
      </c>
      <c r="I1915" s="15"/>
      <c r="J1915" s="15"/>
    </row>
    <row r="1916">
      <c r="A1916" s="18">
        <v>44656.0</v>
      </c>
      <c r="B1916" s="16" t="s">
        <v>12085</v>
      </c>
      <c r="C1916" s="16">
        <v>12.0</v>
      </c>
      <c r="D1916" s="16" t="s">
        <v>10444</v>
      </c>
      <c r="E1916" s="16" t="s">
        <v>707</v>
      </c>
      <c r="F1916" s="16">
        <v>2002.0</v>
      </c>
      <c r="G1916" s="16">
        <v>51.4475</v>
      </c>
      <c r="H1916" s="16">
        <v>11.7626</v>
      </c>
      <c r="I1916" s="15"/>
      <c r="J1916" s="15"/>
    </row>
    <row r="1917">
      <c r="A1917" s="18">
        <v>45365.0</v>
      </c>
      <c r="B1917" s="16" t="s">
        <v>12085</v>
      </c>
      <c r="C1917" s="16">
        <v>17.0</v>
      </c>
      <c r="D1917" s="16" t="s">
        <v>10444</v>
      </c>
      <c r="E1917" s="16" t="s">
        <v>707</v>
      </c>
      <c r="F1917" s="16">
        <v>2023.0</v>
      </c>
      <c r="G1917" s="16">
        <v>51.4524</v>
      </c>
      <c r="H1917" s="16">
        <v>11.7647</v>
      </c>
      <c r="I1917" s="15"/>
      <c r="J1917" s="15"/>
    </row>
    <row r="1918">
      <c r="A1918" s="18">
        <v>44656.0</v>
      </c>
      <c r="B1918" s="16" t="s">
        <v>12086</v>
      </c>
      <c r="C1918" s="16">
        <v>14.0</v>
      </c>
      <c r="D1918" s="16" t="s">
        <v>10444</v>
      </c>
      <c r="E1918" s="16" t="s">
        <v>707</v>
      </c>
      <c r="F1918" s="16">
        <v>2009.0</v>
      </c>
      <c r="G1918" s="16">
        <v>51.9113</v>
      </c>
      <c r="H1918" s="16">
        <v>7.9315</v>
      </c>
      <c r="I1918" s="15"/>
      <c r="J1918" s="15"/>
    </row>
    <row r="1919">
      <c r="A1919" s="18">
        <v>44656.0</v>
      </c>
      <c r="B1919" s="16" t="s">
        <v>12087</v>
      </c>
      <c r="C1919" s="16">
        <v>43.0</v>
      </c>
      <c r="D1919" s="16" t="s">
        <v>10444</v>
      </c>
      <c r="E1919" s="16" t="s">
        <v>707</v>
      </c>
      <c r="F1919" s="16">
        <v>2021.0</v>
      </c>
      <c r="G1919" s="16">
        <v>53.2651</v>
      </c>
      <c r="H1919" s="16">
        <v>12.2941</v>
      </c>
      <c r="I1919" s="15"/>
      <c r="J1919" s="15"/>
    </row>
    <row r="1920">
      <c r="A1920" s="18">
        <v>45013.0</v>
      </c>
      <c r="B1920" s="16" t="s">
        <v>12088</v>
      </c>
      <c r="C1920" s="16">
        <v>17.0</v>
      </c>
      <c r="D1920" s="16" t="s">
        <v>10444</v>
      </c>
      <c r="E1920" s="16" t="s">
        <v>707</v>
      </c>
      <c r="F1920" s="16">
        <v>2017.0</v>
      </c>
      <c r="G1920" s="16">
        <v>50.6539</v>
      </c>
      <c r="H1920" s="16">
        <v>9.4604</v>
      </c>
      <c r="I1920" s="15"/>
      <c r="J1920" s="15"/>
    </row>
    <row r="1921">
      <c r="A1921" s="18">
        <v>44656.0</v>
      </c>
      <c r="B1921" s="16" t="s">
        <v>12089</v>
      </c>
      <c r="C1921" s="16">
        <v>14.0</v>
      </c>
      <c r="D1921" s="16" t="s">
        <v>10444</v>
      </c>
      <c r="E1921" s="16" t="s">
        <v>707</v>
      </c>
      <c r="F1921" s="16">
        <v>2002.0</v>
      </c>
      <c r="G1921" s="16">
        <v>52.4761</v>
      </c>
      <c r="H1921" s="16">
        <v>9.1319</v>
      </c>
      <c r="I1921" s="15"/>
      <c r="J1921" s="15"/>
    </row>
    <row r="1922">
      <c r="A1922" s="18">
        <v>44656.0</v>
      </c>
      <c r="B1922" s="16" t="s">
        <v>12090</v>
      </c>
      <c r="C1922" s="16">
        <v>15.0</v>
      </c>
      <c r="D1922" s="16" t="s">
        <v>10444</v>
      </c>
      <c r="E1922" s="16" t="s">
        <v>707</v>
      </c>
      <c r="F1922" s="16">
        <v>2020.0</v>
      </c>
      <c r="G1922" s="16">
        <v>53.1487</v>
      </c>
      <c r="H1922" s="16">
        <v>11.8057</v>
      </c>
      <c r="I1922" s="15"/>
      <c r="J1922" s="15"/>
    </row>
    <row r="1923">
      <c r="A1923" s="18">
        <v>44656.0</v>
      </c>
      <c r="B1923" s="16" t="s">
        <v>12091</v>
      </c>
      <c r="C1923" s="16">
        <v>10.0</v>
      </c>
      <c r="D1923" s="16" t="s">
        <v>10444</v>
      </c>
      <c r="E1923" s="16" t="s">
        <v>707</v>
      </c>
      <c r="F1923" s="16">
        <v>2017.0</v>
      </c>
      <c r="G1923" s="16">
        <v>50.0178</v>
      </c>
      <c r="H1923" s="16">
        <v>11.1413</v>
      </c>
      <c r="I1923" s="15"/>
      <c r="J1923" s="15"/>
    </row>
    <row r="1924">
      <c r="A1924" s="18">
        <v>44656.0</v>
      </c>
      <c r="B1924" s="16" t="s">
        <v>12092</v>
      </c>
      <c r="C1924" s="16">
        <v>26.0</v>
      </c>
      <c r="D1924" s="16" t="s">
        <v>10444</v>
      </c>
      <c r="E1924" s="16" t="s">
        <v>707</v>
      </c>
      <c r="F1924" s="16">
        <v>2007.0</v>
      </c>
      <c r="G1924" s="16">
        <v>50.1889</v>
      </c>
      <c r="H1924" s="16">
        <v>6.3349</v>
      </c>
      <c r="I1924" s="15"/>
      <c r="J1924" s="15"/>
    </row>
    <row r="1925">
      <c r="A1925" s="18">
        <v>44656.0</v>
      </c>
      <c r="B1925" s="16" t="s">
        <v>12093</v>
      </c>
      <c r="C1925" s="16">
        <v>14.0</v>
      </c>
      <c r="D1925" s="16" t="s">
        <v>10444</v>
      </c>
      <c r="E1925" s="16" t="s">
        <v>707</v>
      </c>
      <c r="F1925" s="16">
        <v>2010.0</v>
      </c>
      <c r="G1925" s="16">
        <v>50.1285</v>
      </c>
      <c r="H1925" s="16">
        <v>6.4982</v>
      </c>
      <c r="I1925" s="15"/>
      <c r="J1925" s="15"/>
    </row>
    <row r="1926">
      <c r="A1926" s="18">
        <v>44656.0</v>
      </c>
      <c r="B1926" s="16" t="s">
        <v>12094</v>
      </c>
      <c r="C1926" s="16">
        <v>20.0</v>
      </c>
      <c r="D1926" s="16" t="s">
        <v>10444</v>
      </c>
      <c r="E1926" s="16" t="s">
        <v>707</v>
      </c>
      <c r="F1926" s="16">
        <v>1998.0</v>
      </c>
      <c r="G1926" s="16">
        <v>53.1983</v>
      </c>
      <c r="H1926" s="16">
        <v>7.31</v>
      </c>
      <c r="I1926" s="15"/>
      <c r="J1926" s="15"/>
    </row>
    <row r="1927">
      <c r="A1927" s="18">
        <v>44656.0</v>
      </c>
      <c r="B1927" s="16" t="s">
        <v>12095</v>
      </c>
      <c r="C1927" s="16">
        <v>28.0</v>
      </c>
      <c r="D1927" s="16" t="s">
        <v>10444</v>
      </c>
      <c r="E1927" s="16" t="s">
        <v>707</v>
      </c>
      <c r="F1927" s="16">
        <v>2006.0</v>
      </c>
      <c r="G1927" s="16">
        <v>51.9099</v>
      </c>
      <c r="H1927" s="16">
        <v>11.2401</v>
      </c>
      <c r="I1927" s="15"/>
      <c r="J1927" s="15"/>
    </row>
    <row r="1928">
      <c r="A1928" s="18">
        <v>44656.0</v>
      </c>
      <c r="B1928" s="16" t="s">
        <v>12096</v>
      </c>
      <c r="C1928" s="16">
        <v>12.0</v>
      </c>
      <c r="D1928" s="16" t="s">
        <v>10444</v>
      </c>
      <c r="E1928" s="16" t="s">
        <v>707</v>
      </c>
      <c r="F1928" s="16">
        <v>2009.0</v>
      </c>
      <c r="G1928" s="16">
        <v>54.191</v>
      </c>
      <c r="H1928" s="16">
        <v>8.9651</v>
      </c>
      <c r="I1928" s="15"/>
      <c r="J1928" s="15"/>
    </row>
    <row r="1929">
      <c r="A1929" s="18">
        <v>44656.0</v>
      </c>
      <c r="B1929" s="16" t="s">
        <v>12097</v>
      </c>
      <c r="C1929" s="16">
        <v>12.0</v>
      </c>
      <c r="D1929" s="16" t="s">
        <v>10444</v>
      </c>
      <c r="E1929" s="16" t="s">
        <v>707</v>
      </c>
      <c r="F1929" s="16">
        <v>2013.0</v>
      </c>
      <c r="G1929" s="16">
        <v>51.5191</v>
      </c>
      <c r="H1929" s="16">
        <v>8.6091</v>
      </c>
      <c r="I1929" s="15"/>
      <c r="J1929" s="15"/>
    </row>
    <row r="1930">
      <c r="A1930" s="18">
        <v>44656.0</v>
      </c>
      <c r="B1930" s="16" t="s">
        <v>12098</v>
      </c>
      <c r="C1930" s="16">
        <v>13.0</v>
      </c>
      <c r="D1930" s="16" t="s">
        <v>10444</v>
      </c>
      <c r="E1930" s="16" t="s">
        <v>707</v>
      </c>
      <c r="F1930" s="16">
        <v>2011.0</v>
      </c>
      <c r="G1930" s="16">
        <v>50.4015</v>
      </c>
      <c r="H1930" s="16">
        <v>7.161</v>
      </c>
      <c r="I1930" s="15"/>
      <c r="J1930" s="15"/>
    </row>
    <row r="1931">
      <c r="A1931" s="18">
        <v>44656.0</v>
      </c>
      <c r="B1931" s="16" t="s">
        <v>12099</v>
      </c>
      <c r="C1931" s="16">
        <v>18.0</v>
      </c>
      <c r="D1931" s="16" t="s">
        <v>10444</v>
      </c>
      <c r="E1931" s="16" t="s">
        <v>707</v>
      </c>
      <c r="F1931" s="16">
        <v>2014.0</v>
      </c>
      <c r="G1931" s="16">
        <v>54.172</v>
      </c>
      <c r="H1931" s="16">
        <v>8.8923</v>
      </c>
      <c r="I1931" s="15"/>
      <c r="J1931" s="15"/>
    </row>
    <row r="1932">
      <c r="A1932" s="18">
        <v>44999.0</v>
      </c>
      <c r="B1932" s="16" t="s">
        <v>12100</v>
      </c>
      <c r="C1932" s="16">
        <v>17.0</v>
      </c>
      <c r="D1932" s="16" t="s">
        <v>10444</v>
      </c>
      <c r="E1932" s="16" t="s">
        <v>707</v>
      </c>
      <c r="F1932" s="16">
        <v>2014.0</v>
      </c>
      <c r="G1932" s="16">
        <v>50.3069</v>
      </c>
      <c r="H1932" s="16">
        <v>8.3628</v>
      </c>
      <c r="I1932" s="15"/>
      <c r="J1932" s="15"/>
    </row>
    <row r="1933">
      <c r="A1933" s="18">
        <v>44656.0</v>
      </c>
      <c r="B1933" s="16" t="s">
        <v>12101</v>
      </c>
      <c r="C1933" s="16">
        <v>12.0</v>
      </c>
      <c r="D1933" s="16" t="s">
        <v>10444</v>
      </c>
      <c r="E1933" s="16" t="s">
        <v>707</v>
      </c>
      <c r="F1933" s="16">
        <v>2002.0</v>
      </c>
      <c r="G1933" s="16">
        <v>50.8981</v>
      </c>
      <c r="H1933" s="16">
        <v>11.5121</v>
      </c>
      <c r="I1933" s="15"/>
      <c r="J1933" s="15"/>
    </row>
    <row r="1934">
      <c r="A1934" s="18">
        <v>44656.0</v>
      </c>
      <c r="B1934" s="16" t="s">
        <v>12102</v>
      </c>
      <c r="C1934" s="16">
        <v>10.0</v>
      </c>
      <c r="D1934" s="16" t="s">
        <v>10444</v>
      </c>
      <c r="E1934" s="16" t="s">
        <v>707</v>
      </c>
      <c r="F1934" s="16">
        <v>2018.0</v>
      </c>
      <c r="G1934" s="16">
        <v>50.4361</v>
      </c>
      <c r="H1934" s="16">
        <v>11.9232</v>
      </c>
      <c r="I1934" s="15"/>
      <c r="J1934" s="15"/>
    </row>
    <row r="1935">
      <c r="A1935" s="18">
        <v>44656.0</v>
      </c>
      <c r="B1935" s="16" t="s">
        <v>12103</v>
      </c>
      <c r="C1935" s="16">
        <v>12.0</v>
      </c>
      <c r="D1935" s="16" t="s">
        <v>10444</v>
      </c>
      <c r="E1935" s="16" t="s">
        <v>707</v>
      </c>
      <c r="F1935" s="16">
        <v>2015.0</v>
      </c>
      <c r="G1935" s="16">
        <v>49.5882</v>
      </c>
      <c r="H1935" s="16">
        <v>6.8047</v>
      </c>
      <c r="I1935" s="15"/>
      <c r="J1935" s="15"/>
    </row>
    <row r="1936">
      <c r="A1936" s="18">
        <v>44656.0</v>
      </c>
      <c r="B1936" s="16" t="s">
        <v>12104</v>
      </c>
      <c r="C1936" s="16">
        <v>17.0</v>
      </c>
      <c r="D1936" s="16" t="s">
        <v>10444</v>
      </c>
      <c r="E1936" s="16" t="s">
        <v>707</v>
      </c>
      <c r="F1936" s="16">
        <v>2016.0</v>
      </c>
      <c r="G1936" s="16">
        <v>49.3301</v>
      </c>
      <c r="H1936" s="16">
        <v>9.598</v>
      </c>
      <c r="I1936" s="15"/>
      <c r="J1936" s="15"/>
    </row>
    <row r="1937">
      <c r="A1937" s="18">
        <v>44656.0</v>
      </c>
      <c r="B1937" s="16" t="s">
        <v>12105</v>
      </c>
      <c r="C1937" s="16">
        <v>18.0</v>
      </c>
      <c r="D1937" s="16" t="s">
        <v>10444</v>
      </c>
      <c r="E1937" s="16" t="s">
        <v>707</v>
      </c>
      <c r="F1937" s="16">
        <v>2016.0</v>
      </c>
      <c r="G1937" s="16">
        <v>50.8763</v>
      </c>
      <c r="H1937" s="16">
        <v>8.5124</v>
      </c>
      <c r="I1937" s="15"/>
      <c r="J1937" s="15"/>
    </row>
    <row r="1938">
      <c r="A1938" s="18">
        <v>45371.0</v>
      </c>
      <c r="B1938" s="16" t="s">
        <v>12106</v>
      </c>
      <c r="C1938" s="16">
        <v>12.0</v>
      </c>
      <c r="D1938" s="16" t="s">
        <v>10444</v>
      </c>
      <c r="E1938" s="16" t="s">
        <v>707</v>
      </c>
      <c r="F1938" s="16">
        <v>2023.0</v>
      </c>
      <c r="G1938" s="16">
        <v>50.3428</v>
      </c>
      <c r="H1938" s="16">
        <v>10.3381</v>
      </c>
      <c r="I1938" s="15"/>
      <c r="J1938" s="15"/>
    </row>
    <row r="1939">
      <c r="A1939" s="18">
        <v>45371.0</v>
      </c>
      <c r="B1939" s="16" t="s">
        <v>12106</v>
      </c>
      <c r="C1939" s="16">
        <v>12.0</v>
      </c>
      <c r="D1939" s="16" t="s">
        <v>10444</v>
      </c>
      <c r="E1939" s="16" t="s">
        <v>707</v>
      </c>
      <c r="F1939" s="16">
        <v>2022.0</v>
      </c>
      <c r="G1939" s="16">
        <v>50.3505</v>
      </c>
      <c r="H1939" s="16">
        <v>10.3816</v>
      </c>
      <c r="I1939" s="15"/>
      <c r="J1939" s="15"/>
    </row>
    <row r="1940">
      <c r="A1940" s="18">
        <v>44656.0</v>
      </c>
      <c r="B1940" s="16" t="s">
        <v>12107</v>
      </c>
      <c r="C1940" s="16">
        <v>12.0</v>
      </c>
      <c r="D1940" s="16" t="s">
        <v>10444</v>
      </c>
      <c r="E1940" s="16" t="s">
        <v>707</v>
      </c>
      <c r="F1940" s="16">
        <v>2013.0</v>
      </c>
      <c r="G1940" s="16">
        <v>52.382</v>
      </c>
      <c r="H1940" s="16">
        <v>11.7211</v>
      </c>
      <c r="I1940" s="15"/>
      <c r="J1940" s="15"/>
    </row>
    <row r="1941">
      <c r="A1941" s="18">
        <v>44656.0</v>
      </c>
      <c r="B1941" s="16" t="s">
        <v>12108</v>
      </c>
      <c r="C1941" s="16">
        <v>17.0</v>
      </c>
      <c r="D1941" s="16" t="s">
        <v>10444</v>
      </c>
      <c r="E1941" s="16" t="s">
        <v>707</v>
      </c>
      <c r="F1941" s="16">
        <v>2017.0</v>
      </c>
      <c r="G1941" s="16">
        <v>53.256</v>
      </c>
      <c r="H1941" s="16">
        <v>10.5846</v>
      </c>
      <c r="I1941" s="15"/>
      <c r="J1941" s="15"/>
    </row>
    <row r="1942">
      <c r="A1942" s="18">
        <v>44656.0</v>
      </c>
      <c r="B1942" s="16" t="s">
        <v>12109</v>
      </c>
      <c r="C1942" s="16">
        <v>18.0</v>
      </c>
      <c r="D1942" s="16" t="s">
        <v>10444</v>
      </c>
      <c r="E1942" s="16" t="s">
        <v>707</v>
      </c>
      <c r="F1942" s="16">
        <v>2007.0</v>
      </c>
      <c r="G1942" s="16">
        <v>49.7145</v>
      </c>
      <c r="H1942" s="16">
        <v>9.6874</v>
      </c>
      <c r="I1942" s="15"/>
      <c r="J1942" s="15"/>
    </row>
    <row r="1943">
      <c r="A1943" s="18">
        <v>44656.0</v>
      </c>
      <c r="B1943" s="16" t="s">
        <v>12110</v>
      </c>
      <c r="C1943" s="16">
        <v>20.0</v>
      </c>
      <c r="D1943" s="16" t="s">
        <v>10444</v>
      </c>
      <c r="E1943" s="16" t="s">
        <v>707</v>
      </c>
      <c r="F1943" s="16">
        <v>2007.0</v>
      </c>
      <c r="G1943" s="16">
        <v>51.9479</v>
      </c>
      <c r="H1943" s="16">
        <v>13.1694</v>
      </c>
      <c r="I1943" s="15"/>
      <c r="J1943" s="15"/>
    </row>
    <row r="1944">
      <c r="A1944" s="18">
        <v>44656.0</v>
      </c>
      <c r="B1944" s="16" t="s">
        <v>12111</v>
      </c>
      <c r="C1944" s="16">
        <v>42.0</v>
      </c>
      <c r="D1944" s="16" t="s">
        <v>10444</v>
      </c>
      <c r="E1944" s="16" t="s">
        <v>707</v>
      </c>
      <c r="F1944" s="16">
        <v>2011.0</v>
      </c>
      <c r="G1944" s="16">
        <v>53.7161</v>
      </c>
      <c r="H1944" s="16">
        <v>13.3233</v>
      </c>
      <c r="I1944" s="15"/>
      <c r="J1944" s="15"/>
    </row>
    <row r="1945">
      <c r="A1945" s="18">
        <v>44656.0</v>
      </c>
      <c r="B1945" s="16" t="s">
        <v>12111</v>
      </c>
      <c r="C1945" s="16">
        <v>41.0</v>
      </c>
      <c r="D1945" s="16" t="s">
        <v>10444</v>
      </c>
      <c r="E1945" s="16" t="s">
        <v>707</v>
      </c>
      <c r="F1945" s="16">
        <v>2012.0</v>
      </c>
      <c r="G1945" s="16">
        <v>53.6973</v>
      </c>
      <c r="H1945" s="16">
        <v>13.3025</v>
      </c>
      <c r="I1945" s="15"/>
      <c r="J1945" s="15"/>
    </row>
    <row r="1946">
      <c r="A1946" s="18">
        <v>44656.0</v>
      </c>
      <c r="B1946" s="16" t="s">
        <v>12111</v>
      </c>
      <c r="C1946" s="16">
        <v>53.0</v>
      </c>
      <c r="D1946" s="16" t="s">
        <v>10444</v>
      </c>
      <c r="E1946" s="16" t="s">
        <v>707</v>
      </c>
      <c r="F1946" s="16">
        <v>2013.0</v>
      </c>
      <c r="G1946" s="16">
        <v>53.727</v>
      </c>
      <c r="H1946" s="16">
        <v>13.3362</v>
      </c>
      <c r="I1946" s="15"/>
      <c r="J1946" s="15"/>
    </row>
    <row r="1947">
      <c r="A1947" s="18">
        <v>44656.0</v>
      </c>
      <c r="B1947" s="16" t="s">
        <v>12112</v>
      </c>
      <c r="C1947" s="16">
        <v>30.0</v>
      </c>
      <c r="D1947" s="16" t="s">
        <v>10444</v>
      </c>
      <c r="E1947" s="16" t="s">
        <v>707</v>
      </c>
      <c r="F1947" s="16">
        <v>2009.0</v>
      </c>
      <c r="G1947" s="16">
        <v>52.5075</v>
      </c>
      <c r="H1947" s="16">
        <v>13.9592</v>
      </c>
      <c r="I1947" s="15"/>
      <c r="J1947" s="15"/>
    </row>
    <row r="1948">
      <c r="A1948" s="18">
        <v>44656.0</v>
      </c>
      <c r="B1948" s="16" t="s">
        <v>12113</v>
      </c>
      <c r="C1948" s="16">
        <v>16.0</v>
      </c>
      <c r="D1948" s="16" t="s">
        <v>10444</v>
      </c>
      <c r="E1948" s="16" t="s">
        <v>707</v>
      </c>
      <c r="F1948" s="16">
        <v>2001.0</v>
      </c>
      <c r="G1948" s="16">
        <v>53.4954</v>
      </c>
      <c r="H1948" s="16">
        <v>11.9939</v>
      </c>
      <c r="I1948" s="15"/>
      <c r="J1948" s="15"/>
    </row>
    <row r="1949">
      <c r="A1949" s="18">
        <v>44656.0</v>
      </c>
      <c r="B1949" s="16" t="s">
        <v>12113</v>
      </c>
      <c r="C1949" s="16">
        <v>13.0</v>
      </c>
      <c r="D1949" s="16" t="s">
        <v>10444</v>
      </c>
      <c r="E1949" s="16" t="s">
        <v>707</v>
      </c>
      <c r="F1949" s="16">
        <v>2003.0</v>
      </c>
      <c r="G1949" s="16">
        <v>53.4954</v>
      </c>
      <c r="H1949" s="16">
        <v>11.9939</v>
      </c>
      <c r="I1949" s="15"/>
      <c r="J1949" s="15"/>
    </row>
    <row r="1950">
      <c r="A1950" s="18">
        <v>44656.0</v>
      </c>
      <c r="B1950" s="16" t="s">
        <v>12114</v>
      </c>
      <c r="C1950" s="16">
        <v>11.0</v>
      </c>
      <c r="D1950" s="16" t="s">
        <v>10444</v>
      </c>
      <c r="E1950" s="16" t="s">
        <v>707</v>
      </c>
      <c r="F1950" s="16">
        <v>2001.0</v>
      </c>
      <c r="G1950" s="16">
        <v>53.2159</v>
      </c>
      <c r="H1950" s="16">
        <v>12.4418</v>
      </c>
      <c r="I1950" s="15"/>
      <c r="J1950" s="15"/>
    </row>
    <row r="1951">
      <c r="A1951" s="18">
        <v>44656.0</v>
      </c>
      <c r="B1951" s="16" t="s">
        <v>12115</v>
      </c>
      <c r="C1951" s="16">
        <v>32.0</v>
      </c>
      <c r="D1951" s="16" t="s">
        <v>10444</v>
      </c>
      <c r="E1951" s="16" t="s">
        <v>707</v>
      </c>
      <c r="F1951" s="16">
        <v>2003.0</v>
      </c>
      <c r="G1951" s="16">
        <v>52.5501</v>
      </c>
      <c r="H1951" s="16">
        <v>12.8849</v>
      </c>
      <c r="I1951" s="15"/>
      <c r="J1951" s="15"/>
    </row>
    <row r="1952">
      <c r="A1952" s="18">
        <v>44656.0</v>
      </c>
      <c r="B1952" s="16" t="s">
        <v>12116</v>
      </c>
      <c r="C1952" s="16">
        <v>11.0</v>
      </c>
      <c r="D1952" s="16" t="s">
        <v>10444</v>
      </c>
      <c r="E1952" s="16" t="s">
        <v>707</v>
      </c>
      <c r="F1952" s="16">
        <v>2002.0</v>
      </c>
      <c r="G1952" s="16">
        <v>49.7305</v>
      </c>
      <c r="H1952" s="16">
        <v>9.6098</v>
      </c>
      <c r="I1952" s="15"/>
      <c r="J1952" s="15"/>
    </row>
    <row r="1953">
      <c r="A1953" s="18">
        <v>44656.0</v>
      </c>
      <c r="B1953" s="16" t="s">
        <v>12117</v>
      </c>
      <c r="C1953" s="16">
        <v>15.0</v>
      </c>
      <c r="D1953" s="16" t="s">
        <v>10444</v>
      </c>
      <c r="E1953" s="16" t="s">
        <v>707</v>
      </c>
      <c r="F1953" s="16">
        <v>2002.0</v>
      </c>
      <c r="G1953" s="16">
        <v>53.1414</v>
      </c>
      <c r="H1953" s="16">
        <v>8.6714</v>
      </c>
      <c r="I1953" s="15"/>
      <c r="J1953" s="15"/>
    </row>
    <row r="1954">
      <c r="A1954" s="18">
        <v>44656.0</v>
      </c>
      <c r="B1954" s="16" t="s">
        <v>12118</v>
      </c>
      <c r="C1954" s="16">
        <v>12.0</v>
      </c>
      <c r="D1954" s="16" t="s">
        <v>10444</v>
      </c>
      <c r="E1954" s="16" t="s">
        <v>707</v>
      </c>
      <c r="F1954" s="16">
        <v>2002.0</v>
      </c>
      <c r="G1954" s="16">
        <v>53.1407</v>
      </c>
      <c r="H1954" s="16">
        <v>8.6671</v>
      </c>
      <c r="I1954" s="15"/>
      <c r="J1954" s="15"/>
    </row>
    <row r="1955">
      <c r="A1955" s="18">
        <v>44656.0</v>
      </c>
      <c r="B1955" s="16" t="s">
        <v>12119</v>
      </c>
      <c r="C1955" s="16">
        <v>12.0</v>
      </c>
      <c r="D1955" s="16" t="s">
        <v>10444</v>
      </c>
      <c r="E1955" s="16" t="s">
        <v>707</v>
      </c>
      <c r="F1955" s="16">
        <v>2014.0</v>
      </c>
      <c r="G1955" s="16">
        <v>54.1862</v>
      </c>
      <c r="H1955" s="16">
        <v>8.9592</v>
      </c>
      <c r="I1955" s="15"/>
      <c r="J1955" s="15"/>
    </row>
    <row r="1956">
      <c r="A1956" s="18">
        <v>44656.0</v>
      </c>
      <c r="B1956" s="16" t="s">
        <v>12120</v>
      </c>
      <c r="C1956" s="16">
        <v>16.0</v>
      </c>
      <c r="D1956" s="16" t="s">
        <v>10444</v>
      </c>
      <c r="E1956" s="16" t="s">
        <v>707</v>
      </c>
      <c r="F1956" s="16">
        <v>2010.0</v>
      </c>
      <c r="G1956" s="16">
        <v>54.2459</v>
      </c>
      <c r="H1956" s="16">
        <v>8.9037</v>
      </c>
      <c r="I1956" s="15"/>
      <c r="J1956" s="15"/>
    </row>
    <row r="1957">
      <c r="A1957" s="18">
        <v>45422.0</v>
      </c>
      <c r="B1957" s="16" t="s">
        <v>12121</v>
      </c>
      <c r="C1957" s="16">
        <v>12.0</v>
      </c>
      <c r="D1957" s="16" t="s">
        <v>10444</v>
      </c>
      <c r="E1957" s="16" t="s">
        <v>707</v>
      </c>
      <c r="F1957" s="16">
        <v>2013.0</v>
      </c>
      <c r="G1957" s="16">
        <v>53.853</v>
      </c>
      <c r="H1957" s="16">
        <v>9.086</v>
      </c>
      <c r="I1957" s="15"/>
      <c r="J1957" s="15"/>
    </row>
    <row r="1958">
      <c r="A1958" s="18">
        <v>44656.0</v>
      </c>
      <c r="B1958" s="16" t="s">
        <v>12122</v>
      </c>
      <c r="C1958" s="16">
        <v>32.0</v>
      </c>
      <c r="D1958" s="16" t="s">
        <v>10444</v>
      </c>
      <c r="E1958" s="16" t="s">
        <v>707</v>
      </c>
      <c r="F1958" s="15"/>
      <c r="G1958" s="16">
        <v>52.1642</v>
      </c>
      <c r="H1958" s="16">
        <v>10.5402</v>
      </c>
      <c r="I1958" s="15"/>
      <c r="J1958" s="15"/>
    </row>
    <row r="1959">
      <c r="A1959" s="18">
        <v>44656.0</v>
      </c>
      <c r="B1959" s="16" t="s">
        <v>12123</v>
      </c>
      <c r="C1959" s="16">
        <v>12.0</v>
      </c>
      <c r="D1959" s="16" t="s">
        <v>10444</v>
      </c>
      <c r="E1959" s="16" t="s">
        <v>707</v>
      </c>
      <c r="F1959" s="15"/>
      <c r="G1959" s="16">
        <v>53.0057</v>
      </c>
      <c r="H1959" s="16">
        <v>8.2199</v>
      </c>
      <c r="I1959" s="15"/>
      <c r="J1959" s="15"/>
    </row>
    <row r="1960">
      <c r="A1960" s="18">
        <v>44656.0</v>
      </c>
      <c r="B1960" s="16" t="s">
        <v>12124</v>
      </c>
      <c r="C1960" s="16">
        <v>13.0</v>
      </c>
      <c r="D1960" s="16" t="s">
        <v>10444</v>
      </c>
      <c r="E1960" s="16" t="s">
        <v>707</v>
      </c>
      <c r="F1960" s="15"/>
      <c r="G1960" s="16">
        <v>53.9274</v>
      </c>
      <c r="H1960" s="16">
        <v>9.1226</v>
      </c>
      <c r="I1960" s="15"/>
      <c r="J1960" s="15"/>
    </row>
    <row r="1961">
      <c r="A1961" s="18">
        <v>44656.0</v>
      </c>
      <c r="B1961" s="16" t="s">
        <v>12124</v>
      </c>
      <c r="C1961" s="16">
        <v>15.0</v>
      </c>
      <c r="D1961" s="16" t="s">
        <v>10444</v>
      </c>
      <c r="E1961" s="16" t="s">
        <v>707</v>
      </c>
      <c r="F1961" s="16">
        <v>2017.0</v>
      </c>
      <c r="G1961" s="16">
        <v>53.9318</v>
      </c>
      <c r="H1961" s="16">
        <v>9.1395</v>
      </c>
      <c r="I1961" s="15"/>
      <c r="J1961" s="15"/>
    </row>
    <row r="1962">
      <c r="A1962" s="18">
        <v>44656.0</v>
      </c>
      <c r="B1962" s="16" t="s">
        <v>12125</v>
      </c>
      <c r="C1962" s="16">
        <v>16.0</v>
      </c>
      <c r="D1962" s="16" t="s">
        <v>10444</v>
      </c>
      <c r="E1962" s="16" t="s">
        <v>707</v>
      </c>
      <c r="F1962" s="16">
        <v>2011.0</v>
      </c>
      <c r="G1962" s="16">
        <v>51.9597</v>
      </c>
      <c r="H1962" s="16">
        <v>11.369</v>
      </c>
      <c r="I1962" s="15"/>
      <c r="J1962" s="15"/>
    </row>
    <row r="1963">
      <c r="A1963" s="18">
        <v>44656.0</v>
      </c>
      <c r="B1963" s="16" t="s">
        <v>12126</v>
      </c>
      <c r="C1963" s="16">
        <v>23.0</v>
      </c>
      <c r="D1963" s="16" t="s">
        <v>10444</v>
      </c>
      <c r="E1963" s="16" t="s">
        <v>707</v>
      </c>
      <c r="F1963" s="16">
        <v>2016.0</v>
      </c>
      <c r="G1963" s="16">
        <v>51.302</v>
      </c>
      <c r="H1963" s="16">
        <v>10.9036</v>
      </c>
      <c r="I1963" s="15"/>
      <c r="J1963" s="15"/>
    </row>
    <row r="1964">
      <c r="A1964" s="18">
        <v>44656.0</v>
      </c>
      <c r="B1964" s="16" t="s">
        <v>12127</v>
      </c>
      <c r="C1964" s="16">
        <v>23.0</v>
      </c>
      <c r="D1964" s="16" t="s">
        <v>10444</v>
      </c>
      <c r="E1964" s="16" t="s">
        <v>707</v>
      </c>
      <c r="F1964" s="16">
        <v>2017.0</v>
      </c>
      <c r="G1964" s="16">
        <v>53.6089</v>
      </c>
      <c r="H1964" s="16">
        <v>8.0275</v>
      </c>
      <c r="I1964" s="15"/>
      <c r="J1964" s="15"/>
    </row>
    <row r="1965">
      <c r="A1965" s="18">
        <v>45355.0</v>
      </c>
      <c r="B1965" s="16" t="s">
        <v>12128</v>
      </c>
      <c r="C1965" s="16">
        <v>18.0</v>
      </c>
      <c r="D1965" s="16" t="s">
        <v>10444</v>
      </c>
      <c r="E1965" s="16" t="s">
        <v>707</v>
      </c>
      <c r="F1965" s="16">
        <v>2004.0</v>
      </c>
      <c r="G1965" s="16">
        <v>50.6514</v>
      </c>
      <c r="H1965" s="16">
        <v>8.1006</v>
      </c>
      <c r="I1965" s="15"/>
      <c r="J1965" s="15"/>
    </row>
    <row r="1966">
      <c r="A1966" s="18">
        <v>44656.0</v>
      </c>
      <c r="B1966" s="16" t="s">
        <v>12129</v>
      </c>
      <c r="C1966" s="16">
        <v>21.0</v>
      </c>
      <c r="D1966" s="16" t="s">
        <v>10444</v>
      </c>
      <c r="E1966" s="16" t="s">
        <v>707</v>
      </c>
      <c r="F1966" s="16">
        <v>2007.0</v>
      </c>
      <c r="G1966" s="16">
        <v>54.5103</v>
      </c>
      <c r="H1966" s="16">
        <v>11.0567</v>
      </c>
      <c r="I1966" s="15"/>
      <c r="J1966" s="15"/>
    </row>
    <row r="1967">
      <c r="A1967" s="18">
        <v>44656.0</v>
      </c>
      <c r="B1967" s="16" t="s">
        <v>12130</v>
      </c>
      <c r="C1967" s="16">
        <v>16.0</v>
      </c>
      <c r="D1967" s="16" t="s">
        <v>10444</v>
      </c>
      <c r="E1967" s="16" t="s">
        <v>707</v>
      </c>
      <c r="F1967" s="16">
        <v>2013.0</v>
      </c>
      <c r="G1967" s="16">
        <v>53.1294</v>
      </c>
      <c r="H1967" s="16">
        <v>7.4169</v>
      </c>
      <c r="I1967" s="15"/>
      <c r="J1967" s="15"/>
    </row>
    <row r="1968">
      <c r="A1968" s="18">
        <v>44656.0</v>
      </c>
      <c r="B1968" s="16" t="s">
        <v>12131</v>
      </c>
      <c r="C1968" s="16">
        <v>18.0</v>
      </c>
      <c r="D1968" s="16" t="s">
        <v>10444</v>
      </c>
      <c r="E1968" s="16" t="s">
        <v>707</v>
      </c>
      <c r="F1968" s="16">
        <v>2012.0</v>
      </c>
      <c r="G1968" s="16">
        <v>52.5497</v>
      </c>
      <c r="H1968" s="16">
        <v>8.4392</v>
      </c>
      <c r="I1968" s="15"/>
      <c r="J1968" s="15"/>
    </row>
    <row r="1969">
      <c r="A1969" s="18">
        <v>44656.0</v>
      </c>
      <c r="B1969" s="16" t="s">
        <v>12132</v>
      </c>
      <c r="C1969" s="16">
        <v>20.0</v>
      </c>
      <c r="D1969" s="16" t="s">
        <v>10444</v>
      </c>
      <c r="E1969" s="16" t="s">
        <v>707</v>
      </c>
      <c r="F1969" s="16">
        <v>2006.0</v>
      </c>
      <c r="G1969" s="16">
        <v>52.7551</v>
      </c>
      <c r="H1969" s="16">
        <v>10.5514</v>
      </c>
      <c r="I1969" s="15"/>
      <c r="J1969" s="15"/>
    </row>
    <row r="1970">
      <c r="A1970" s="18">
        <v>44656.0</v>
      </c>
      <c r="B1970" s="16" t="s">
        <v>12132</v>
      </c>
      <c r="C1970" s="16">
        <v>14.0</v>
      </c>
      <c r="D1970" s="16" t="s">
        <v>10444</v>
      </c>
      <c r="E1970" s="16" t="s">
        <v>707</v>
      </c>
      <c r="F1970" s="16">
        <v>2014.0</v>
      </c>
      <c r="G1970" s="16">
        <v>52.7551</v>
      </c>
      <c r="H1970" s="16">
        <v>10.5514</v>
      </c>
      <c r="I1970" s="15"/>
      <c r="J1970" s="15"/>
    </row>
    <row r="1971">
      <c r="A1971" s="18">
        <v>44656.0</v>
      </c>
      <c r="B1971" s="16" t="s">
        <v>12133</v>
      </c>
      <c r="C1971" s="16">
        <v>10.0</v>
      </c>
      <c r="D1971" s="16" t="s">
        <v>10444</v>
      </c>
      <c r="E1971" s="16" t="s">
        <v>707</v>
      </c>
      <c r="F1971" s="16">
        <v>2003.0</v>
      </c>
      <c r="G1971" s="16">
        <v>52.2478</v>
      </c>
      <c r="H1971" s="16">
        <v>7.2677</v>
      </c>
      <c r="I1971" s="15"/>
      <c r="J1971" s="15"/>
    </row>
    <row r="1972">
      <c r="A1972" s="18">
        <v>44656.0</v>
      </c>
      <c r="B1972" s="16" t="s">
        <v>12134</v>
      </c>
      <c r="C1972" s="16">
        <v>19.0</v>
      </c>
      <c r="D1972" s="16" t="s">
        <v>10444</v>
      </c>
      <c r="E1972" s="16" t="s">
        <v>707</v>
      </c>
      <c r="F1972" s="16">
        <v>2013.0</v>
      </c>
      <c r="G1972" s="16">
        <v>51.017</v>
      </c>
      <c r="H1972" s="16">
        <v>11.7731</v>
      </c>
      <c r="I1972" s="15"/>
      <c r="J1972" s="15"/>
    </row>
    <row r="1973">
      <c r="A1973" s="18">
        <v>44656.0</v>
      </c>
      <c r="B1973" s="16" t="s">
        <v>12135</v>
      </c>
      <c r="C1973" s="16">
        <v>21.0</v>
      </c>
      <c r="D1973" s="16" t="s">
        <v>10444</v>
      </c>
      <c r="E1973" s="16" t="s">
        <v>707</v>
      </c>
      <c r="F1973" s="16">
        <v>2003.0</v>
      </c>
      <c r="G1973" s="16">
        <v>51.0151</v>
      </c>
      <c r="H1973" s="16">
        <v>11.7616</v>
      </c>
      <c r="I1973" s="15"/>
      <c r="J1973" s="15"/>
    </row>
    <row r="1974">
      <c r="A1974" s="18">
        <v>44656.0</v>
      </c>
      <c r="B1974" s="16" t="s">
        <v>12135</v>
      </c>
      <c r="C1974" s="16">
        <v>15.0</v>
      </c>
      <c r="D1974" s="16" t="s">
        <v>10444</v>
      </c>
      <c r="E1974" s="16" t="s">
        <v>707</v>
      </c>
      <c r="F1974" s="15"/>
      <c r="G1974" s="16">
        <v>51.02</v>
      </c>
      <c r="H1974" s="16">
        <v>11.76</v>
      </c>
      <c r="I1974" s="15"/>
      <c r="J1974" s="15"/>
    </row>
    <row r="1975">
      <c r="A1975" s="18">
        <v>44656.0</v>
      </c>
      <c r="B1975" s="16" t="s">
        <v>12135</v>
      </c>
      <c r="C1975" s="16">
        <v>24.0</v>
      </c>
      <c r="D1975" s="16" t="s">
        <v>10444</v>
      </c>
      <c r="E1975" s="16" t="s">
        <v>707</v>
      </c>
      <c r="F1975" s="15"/>
      <c r="G1975" s="16">
        <v>51.0178</v>
      </c>
      <c r="H1975" s="16">
        <v>11.7701</v>
      </c>
      <c r="I1975" s="15"/>
      <c r="J1975" s="15"/>
    </row>
    <row r="1976">
      <c r="A1976" s="18">
        <v>44656.0</v>
      </c>
      <c r="B1976" s="16" t="s">
        <v>12136</v>
      </c>
      <c r="C1976" s="16">
        <v>19.0</v>
      </c>
      <c r="D1976" s="16" t="s">
        <v>10444</v>
      </c>
      <c r="E1976" s="16" t="s">
        <v>707</v>
      </c>
      <c r="F1976" s="16">
        <v>2017.0</v>
      </c>
      <c r="G1976" s="16">
        <v>53.1873</v>
      </c>
      <c r="H1976" s="16">
        <v>10.2603</v>
      </c>
      <c r="I1976" s="15"/>
      <c r="J1976" s="15"/>
    </row>
    <row r="1977">
      <c r="A1977" s="18">
        <v>44656.0</v>
      </c>
      <c r="B1977" s="16" t="s">
        <v>12137</v>
      </c>
      <c r="C1977" s="16">
        <v>25.0</v>
      </c>
      <c r="D1977" s="16" t="s">
        <v>10444</v>
      </c>
      <c r="E1977" s="16" t="s">
        <v>707</v>
      </c>
      <c r="F1977" s="16">
        <v>2011.0</v>
      </c>
      <c r="G1977" s="16">
        <v>51.5832</v>
      </c>
      <c r="H1977" s="16">
        <v>8.6562</v>
      </c>
      <c r="I1977" s="15"/>
      <c r="J1977" s="15"/>
    </row>
    <row r="1978">
      <c r="A1978" s="18">
        <v>44656.0</v>
      </c>
      <c r="B1978" s="16" t="s">
        <v>12138</v>
      </c>
      <c r="C1978" s="16">
        <v>11.0</v>
      </c>
      <c r="D1978" s="16" t="s">
        <v>10444</v>
      </c>
      <c r="E1978" s="16" t="s">
        <v>707</v>
      </c>
      <c r="F1978" s="16">
        <v>2001.0</v>
      </c>
      <c r="G1978" s="16">
        <v>53.9565</v>
      </c>
      <c r="H1978" s="16">
        <v>9.9371</v>
      </c>
      <c r="I1978" s="15"/>
      <c r="J1978" s="15"/>
    </row>
    <row r="1979">
      <c r="A1979" s="18">
        <v>45033.0</v>
      </c>
      <c r="B1979" s="16" t="s">
        <v>12139</v>
      </c>
      <c r="C1979" s="16">
        <v>18.0</v>
      </c>
      <c r="D1979" s="16" t="s">
        <v>10444</v>
      </c>
      <c r="E1979" s="16" t="s">
        <v>707</v>
      </c>
      <c r="F1979" s="16">
        <v>2010.0</v>
      </c>
      <c r="G1979" s="16">
        <v>53.9723</v>
      </c>
      <c r="H1979" s="16">
        <v>9.9323</v>
      </c>
      <c r="I1979" s="15"/>
      <c r="J1979" s="15"/>
    </row>
    <row r="1980">
      <c r="A1980" s="18">
        <v>45359.0</v>
      </c>
      <c r="B1980" s="16" t="s">
        <v>12140</v>
      </c>
      <c r="C1980" s="16">
        <v>17.0</v>
      </c>
      <c r="D1980" s="16" t="s">
        <v>10444</v>
      </c>
      <c r="E1980" s="16" t="s">
        <v>707</v>
      </c>
      <c r="F1980" s="16">
        <v>2024.0</v>
      </c>
      <c r="G1980" s="16">
        <v>54.262</v>
      </c>
      <c r="H1980" s="16">
        <v>9.1301</v>
      </c>
      <c r="I1980" s="15"/>
      <c r="J1980" s="15"/>
    </row>
    <row r="1981">
      <c r="A1981" s="18">
        <v>44656.0</v>
      </c>
      <c r="B1981" s="16" t="s">
        <v>12141</v>
      </c>
      <c r="C1981" s="16">
        <v>20.0</v>
      </c>
      <c r="D1981" s="16" t="s">
        <v>10444</v>
      </c>
      <c r="E1981" s="16" t="s">
        <v>707</v>
      </c>
      <c r="F1981" s="16">
        <v>2000.0</v>
      </c>
      <c r="G1981" s="16">
        <v>53.3839</v>
      </c>
      <c r="H1981" s="16">
        <v>7.7857</v>
      </c>
      <c r="I1981" s="15"/>
      <c r="J1981" s="15"/>
    </row>
    <row r="1982">
      <c r="A1982" s="18">
        <v>45033.0</v>
      </c>
      <c r="B1982" s="16" t="s">
        <v>12142</v>
      </c>
      <c r="C1982" s="16">
        <v>12.0</v>
      </c>
      <c r="D1982" s="16" t="s">
        <v>10444</v>
      </c>
      <c r="E1982" s="16" t="s">
        <v>707</v>
      </c>
      <c r="F1982" s="16">
        <v>2010.0</v>
      </c>
      <c r="G1982" s="16">
        <v>53.38</v>
      </c>
      <c r="H1982" s="16">
        <v>7.7723</v>
      </c>
      <c r="I1982" s="15"/>
      <c r="J1982" s="15"/>
    </row>
    <row r="1983">
      <c r="A1983" s="18">
        <v>45033.0</v>
      </c>
      <c r="B1983" s="16" t="s">
        <v>12142</v>
      </c>
      <c r="C1983" s="16">
        <v>18.0</v>
      </c>
      <c r="D1983" s="16" t="s">
        <v>10444</v>
      </c>
      <c r="E1983" s="16" t="s">
        <v>707</v>
      </c>
      <c r="F1983" s="16">
        <v>2013.0</v>
      </c>
      <c r="G1983" s="16">
        <v>53.3844</v>
      </c>
      <c r="H1983" s="16">
        <v>7.7879</v>
      </c>
      <c r="I1983" s="15"/>
      <c r="J1983" s="15"/>
    </row>
    <row r="1984">
      <c r="A1984" s="18">
        <v>45019.0</v>
      </c>
      <c r="B1984" s="16" t="s">
        <v>12143</v>
      </c>
      <c r="C1984" s="16">
        <v>350.0</v>
      </c>
      <c r="D1984" s="16" t="s">
        <v>10462</v>
      </c>
      <c r="E1984" s="16" t="s">
        <v>707</v>
      </c>
      <c r="F1984" s="16">
        <v>2018.0</v>
      </c>
      <c r="G1984" s="16">
        <v>54.834</v>
      </c>
      <c r="H1984" s="16">
        <v>14.068</v>
      </c>
      <c r="I1984" s="15"/>
      <c r="J1984" s="15"/>
    </row>
    <row r="1985">
      <c r="A1985" s="18">
        <v>44656.0</v>
      </c>
      <c r="B1985" s="16" t="s">
        <v>12144</v>
      </c>
      <c r="C1985" s="16">
        <v>11.0</v>
      </c>
      <c r="D1985" s="16" t="s">
        <v>10444</v>
      </c>
      <c r="E1985" s="16" t="s">
        <v>707</v>
      </c>
      <c r="F1985" s="16">
        <v>2002.0</v>
      </c>
      <c r="G1985" s="16">
        <v>51.8763</v>
      </c>
      <c r="H1985" s="16">
        <v>13.5324</v>
      </c>
      <c r="I1985" s="15"/>
      <c r="J1985" s="15"/>
    </row>
    <row r="1986">
      <c r="A1986" s="18">
        <v>44656.0</v>
      </c>
      <c r="B1986" s="16" t="s">
        <v>12145</v>
      </c>
      <c r="C1986" s="16">
        <v>14.0</v>
      </c>
      <c r="D1986" s="16" t="s">
        <v>10444</v>
      </c>
      <c r="E1986" s="16" t="s">
        <v>707</v>
      </c>
      <c r="F1986" s="16">
        <v>2014.0</v>
      </c>
      <c r="G1986" s="16">
        <v>52.8797</v>
      </c>
      <c r="H1986" s="16">
        <v>12.5994</v>
      </c>
      <c r="I1986" s="15"/>
      <c r="J1986" s="15"/>
    </row>
    <row r="1987">
      <c r="A1987" s="18">
        <v>44999.0</v>
      </c>
      <c r="B1987" s="16" t="s">
        <v>12146</v>
      </c>
      <c r="C1987" s="16">
        <v>22.0</v>
      </c>
      <c r="D1987" s="16" t="s">
        <v>10444</v>
      </c>
      <c r="E1987" s="16" t="s">
        <v>707</v>
      </c>
      <c r="F1987" s="16">
        <v>2022.0</v>
      </c>
      <c r="G1987" s="16">
        <v>52.4863</v>
      </c>
      <c r="H1987" s="16">
        <v>10.2371</v>
      </c>
      <c r="I1987" s="15"/>
      <c r="J1987" s="15"/>
    </row>
    <row r="1988">
      <c r="A1988" s="18">
        <v>45371.0</v>
      </c>
      <c r="B1988" s="16" t="s">
        <v>12146</v>
      </c>
      <c r="C1988" s="16">
        <v>14.0</v>
      </c>
      <c r="D1988" s="16" t="s">
        <v>10444</v>
      </c>
      <c r="E1988" s="16" t="s">
        <v>707</v>
      </c>
      <c r="F1988" s="16">
        <v>2022.0</v>
      </c>
      <c r="G1988" s="16">
        <v>52.4887</v>
      </c>
      <c r="H1988" s="16">
        <v>10.2305</v>
      </c>
      <c r="I1988" s="15"/>
      <c r="J1988" s="15"/>
    </row>
    <row r="1989">
      <c r="A1989" s="18">
        <v>45365.0</v>
      </c>
      <c r="B1989" s="16" t="s">
        <v>12147</v>
      </c>
      <c r="C1989" s="16">
        <v>40.0</v>
      </c>
      <c r="D1989" s="16" t="s">
        <v>10444</v>
      </c>
      <c r="E1989" s="16" t="s">
        <v>707</v>
      </c>
      <c r="F1989" s="16">
        <v>2023.0</v>
      </c>
      <c r="G1989" s="16">
        <v>54.0053</v>
      </c>
      <c r="H1989" s="16">
        <v>9.8303</v>
      </c>
      <c r="I1989" s="15"/>
      <c r="J1989" s="15"/>
    </row>
    <row r="1990">
      <c r="A1990" s="18">
        <v>45365.0</v>
      </c>
      <c r="B1990" s="16" t="s">
        <v>12148</v>
      </c>
      <c r="C1990" s="16">
        <v>16.0</v>
      </c>
      <c r="D1990" s="16" t="s">
        <v>10444</v>
      </c>
      <c r="E1990" s="16" t="s">
        <v>707</v>
      </c>
      <c r="F1990" s="16">
        <v>2023.0</v>
      </c>
      <c r="G1990" s="16">
        <v>54.1336</v>
      </c>
      <c r="H1990" s="16">
        <v>13.1568</v>
      </c>
      <c r="I1990" s="15"/>
      <c r="J1990" s="15"/>
    </row>
    <row r="1991">
      <c r="A1991" s="18">
        <v>44656.0</v>
      </c>
      <c r="B1991" s="16" t="s">
        <v>12149</v>
      </c>
      <c r="C1991" s="16">
        <v>11.0</v>
      </c>
      <c r="D1991" s="16" t="s">
        <v>10444</v>
      </c>
      <c r="E1991" s="16" t="s">
        <v>707</v>
      </c>
      <c r="F1991" s="16">
        <v>2002.0</v>
      </c>
      <c r="G1991" s="16">
        <v>53.1761</v>
      </c>
      <c r="H1991" s="16">
        <v>12.2706</v>
      </c>
      <c r="I1991" s="15"/>
      <c r="J1991" s="15"/>
    </row>
    <row r="1992">
      <c r="A1992" s="18">
        <v>44656.0</v>
      </c>
      <c r="B1992" s="16" t="s">
        <v>12150</v>
      </c>
      <c r="C1992" s="16">
        <v>17.0</v>
      </c>
      <c r="D1992" s="16" t="s">
        <v>10444</v>
      </c>
      <c r="E1992" s="16" t="s">
        <v>707</v>
      </c>
      <c r="F1992" s="16">
        <v>1998.0</v>
      </c>
      <c r="G1992" s="16">
        <v>53.5036</v>
      </c>
      <c r="H1992" s="16">
        <v>13.8372</v>
      </c>
      <c r="I1992" s="15"/>
      <c r="J1992" s="15"/>
    </row>
    <row r="1993">
      <c r="A1993" s="18">
        <v>44656.0</v>
      </c>
      <c r="B1993" s="16" t="s">
        <v>12151</v>
      </c>
      <c r="C1993" s="16">
        <v>18.0</v>
      </c>
      <c r="D1993" s="16" t="s">
        <v>10444</v>
      </c>
      <c r="E1993" s="16" t="s">
        <v>707</v>
      </c>
      <c r="F1993" s="16">
        <v>2009.0</v>
      </c>
      <c r="G1993" s="16">
        <v>53.1927</v>
      </c>
      <c r="H1993" s="16">
        <v>9.0585</v>
      </c>
      <c r="I1993" s="15"/>
      <c r="J1993" s="15"/>
    </row>
    <row r="1994">
      <c r="A1994" s="18">
        <v>45355.0</v>
      </c>
      <c r="B1994" s="16" t="s">
        <v>12151</v>
      </c>
      <c r="C1994" s="16">
        <v>27.0</v>
      </c>
      <c r="D1994" s="16" t="s">
        <v>10444</v>
      </c>
      <c r="E1994" s="16" t="s">
        <v>707</v>
      </c>
      <c r="F1994" s="16">
        <v>2023.0</v>
      </c>
      <c r="G1994" s="16">
        <v>53.1786</v>
      </c>
      <c r="H1994" s="16">
        <v>9.0779</v>
      </c>
      <c r="I1994" s="15"/>
      <c r="J1994" s="15"/>
    </row>
    <row r="1995">
      <c r="A1995" s="18">
        <v>44656.0</v>
      </c>
      <c r="B1995" s="16" t="s">
        <v>12152</v>
      </c>
      <c r="C1995" s="16">
        <v>12.0</v>
      </c>
      <c r="D1995" s="16" t="s">
        <v>10444</v>
      </c>
      <c r="E1995" s="16" t="s">
        <v>707</v>
      </c>
      <c r="F1995" s="16">
        <v>2007.0</v>
      </c>
      <c r="G1995" s="16">
        <v>51.513</v>
      </c>
      <c r="H1995" s="16">
        <v>11.4632</v>
      </c>
      <c r="I1995" s="15"/>
      <c r="J1995" s="15"/>
    </row>
    <row r="1996">
      <c r="A1996" s="18">
        <v>45355.0</v>
      </c>
      <c r="B1996" s="16" t="s">
        <v>12153</v>
      </c>
      <c r="C1996" s="16">
        <v>12.0</v>
      </c>
      <c r="D1996" s="16" t="s">
        <v>10444</v>
      </c>
      <c r="E1996" s="16" t="s">
        <v>707</v>
      </c>
      <c r="F1996" s="16">
        <v>2023.0</v>
      </c>
      <c r="G1996" s="16">
        <v>54.2987</v>
      </c>
      <c r="H1996" s="16">
        <v>9.1993</v>
      </c>
      <c r="I1996" s="15"/>
      <c r="J1996" s="15"/>
    </row>
    <row r="1997">
      <c r="A1997" s="18">
        <v>44656.0</v>
      </c>
      <c r="B1997" s="16" t="s">
        <v>12154</v>
      </c>
      <c r="C1997" s="16">
        <v>15.0</v>
      </c>
      <c r="D1997" s="16" t="s">
        <v>10444</v>
      </c>
      <c r="E1997" s="16" t="s">
        <v>707</v>
      </c>
      <c r="F1997" s="16">
        <v>1999.0</v>
      </c>
      <c r="G1997" s="16">
        <v>54.1718</v>
      </c>
      <c r="H1997" s="16">
        <v>8.8915</v>
      </c>
      <c r="I1997" s="15"/>
      <c r="J1997" s="15"/>
    </row>
    <row r="1998">
      <c r="A1998" s="18">
        <v>44656.0</v>
      </c>
      <c r="B1998" s="16" t="s">
        <v>12155</v>
      </c>
      <c r="C1998" s="16">
        <v>12.0</v>
      </c>
      <c r="D1998" s="16" t="s">
        <v>10444</v>
      </c>
      <c r="E1998" s="16" t="s">
        <v>707</v>
      </c>
      <c r="F1998" s="16">
        <v>2014.0</v>
      </c>
      <c r="G1998" s="16">
        <v>50.2564</v>
      </c>
      <c r="H1998" s="16">
        <v>10.1297</v>
      </c>
      <c r="I1998" s="15"/>
      <c r="J1998" s="15"/>
    </row>
    <row r="1999">
      <c r="A1999" s="18">
        <v>44656.0</v>
      </c>
      <c r="B1999" s="16" t="s">
        <v>12156</v>
      </c>
      <c r="C1999" s="16">
        <v>10.0</v>
      </c>
      <c r="D1999" s="16" t="s">
        <v>10444</v>
      </c>
      <c r="E1999" s="16" t="s">
        <v>707</v>
      </c>
      <c r="F1999" s="16">
        <v>2019.0</v>
      </c>
      <c r="G1999" s="16">
        <v>49.6735</v>
      </c>
      <c r="H1999" s="16">
        <v>7.9108</v>
      </c>
      <c r="I1999" s="15"/>
      <c r="J1999" s="15"/>
    </row>
    <row r="2000">
      <c r="A2000" s="18">
        <v>44656.0</v>
      </c>
      <c r="B2000" s="16" t="s">
        <v>12157</v>
      </c>
      <c r="C2000" s="16">
        <v>17.0</v>
      </c>
      <c r="D2000" s="16" t="s">
        <v>10444</v>
      </c>
      <c r="E2000" s="16" t="s">
        <v>707</v>
      </c>
      <c r="F2000" s="16">
        <v>2017.0</v>
      </c>
      <c r="G2000" s="16">
        <v>54.7777</v>
      </c>
      <c r="H2000" s="16">
        <v>9.1171</v>
      </c>
      <c r="I2000" s="15"/>
      <c r="J2000" s="15"/>
    </row>
    <row r="2001">
      <c r="A2001" s="18">
        <v>44656.0</v>
      </c>
      <c r="B2001" s="16" t="s">
        <v>12158</v>
      </c>
      <c r="C2001" s="16">
        <v>21.0</v>
      </c>
      <c r="D2001" s="16" t="s">
        <v>10444</v>
      </c>
      <c r="E2001" s="16" t="s">
        <v>707</v>
      </c>
      <c r="F2001" s="16">
        <v>2014.0</v>
      </c>
      <c r="G2001" s="16">
        <v>50.4446</v>
      </c>
      <c r="H2001" s="16">
        <v>9.4126</v>
      </c>
      <c r="I2001" s="15"/>
      <c r="J2001" s="15"/>
    </row>
    <row r="2002">
      <c r="A2002" s="18">
        <v>44656.0</v>
      </c>
      <c r="B2002" s="16" t="s">
        <v>12159</v>
      </c>
      <c r="C2002" s="16">
        <v>12.0</v>
      </c>
      <c r="D2002" s="16" t="s">
        <v>10444</v>
      </c>
      <c r="E2002" s="16" t="s">
        <v>707</v>
      </c>
      <c r="F2002" s="16">
        <v>2006.0</v>
      </c>
      <c r="G2002" s="16">
        <v>52.8531</v>
      </c>
      <c r="H2002" s="16">
        <v>8.516</v>
      </c>
      <c r="I2002" s="15"/>
      <c r="J2002" s="15"/>
    </row>
    <row r="2003">
      <c r="A2003" s="18">
        <v>45667.0</v>
      </c>
      <c r="B2003" s="16" t="s">
        <v>12160</v>
      </c>
      <c r="C2003" s="16">
        <v>20.0</v>
      </c>
      <c r="D2003" s="16" t="s">
        <v>10444</v>
      </c>
      <c r="E2003" s="16" t="s">
        <v>707</v>
      </c>
      <c r="F2003" s="16">
        <v>2024.0</v>
      </c>
      <c r="G2003" s="16">
        <v>52.0712</v>
      </c>
      <c r="H2003" s="16">
        <v>10.7909</v>
      </c>
      <c r="I2003" s="15"/>
      <c r="J2003" s="15"/>
    </row>
    <row r="2004">
      <c r="A2004" s="18">
        <v>44999.0</v>
      </c>
      <c r="B2004" s="16" t="s">
        <v>12161</v>
      </c>
      <c r="C2004" s="16">
        <v>20.0</v>
      </c>
      <c r="D2004" s="16" t="s">
        <v>10444</v>
      </c>
      <c r="E2004" s="16" t="s">
        <v>707</v>
      </c>
      <c r="F2004" s="16">
        <v>2018.0</v>
      </c>
      <c r="G2004" s="16">
        <v>53.6278</v>
      </c>
      <c r="H2004" s="16">
        <v>7.1609</v>
      </c>
      <c r="I2004" s="15"/>
      <c r="J2004" s="15"/>
    </row>
    <row r="2005">
      <c r="A2005" s="18">
        <v>44656.0</v>
      </c>
      <c r="B2005" s="16" t="s">
        <v>12162</v>
      </c>
      <c r="C2005" s="16">
        <v>13.0</v>
      </c>
      <c r="D2005" s="16" t="s">
        <v>10444</v>
      </c>
      <c r="E2005" s="16" t="s">
        <v>707</v>
      </c>
      <c r="F2005" s="16">
        <v>2017.0</v>
      </c>
      <c r="G2005" s="16">
        <v>53.3248</v>
      </c>
      <c r="H2005" s="16">
        <v>10.1133</v>
      </c>
      <c r="I2005" s="15"/>
      <c r="J2005" s="15"/>
    </row>
    <row r="2006">
      <c r="A2006" s="18">
        <v>45001.0</v>
      </c>
      <c r="B2006" s="16" t="s">
        <v>12163</v>
      </c>
      <c r="C2006" s="16">
        <v>10.0</v>
      </c>
      <c r="D2006" s="16" t="s">
        <v>10444</v>
      </c>
      <c r="E2006" s="16" t="s">
        <v>707</v>
      </c>
      <c r="F2006" s="16">
        <v>2017.0</v>
      </c>
      <c r="G2006" s="16">
        <v>48.7784</v>
      </c>
      <c r="H2006" s="16">
        <v>9.4665</v>
      </c>
      <c r="I2006" s="15"/>
      <c r="J2006" s="15"/>
    </row>
    <row r="2007">
      <c r="A2007" s="18">
        <v>44656.0</v>
      </c>
      <c r="B2007" s="16" t="s">
        <v>12164</v>
      </c>
      <c r="C2007" s="16">
        <v>15.0</v>
      </c>
      <c r="D2007" s="16" t="s">
        <v>10444</v>
      </c>
      <c r="E2007" s="16" t="s">
        <v>707</v>
      </c>
      <c r="F2007" s="16">
        <v>2013.0</v>
      </c>
      <c r="G2007" s="16">
        <v>49.7764</v>
      </c>
      <c r="H2007" s="16">
        <v>8.3036</v>
      </c>
      <c r="I2007" s="15"/>
      <c r="J2007" s="15"/>
    </row>
    <row r="2008">
      <c r="A2008" s="18">
        <v>44656.0</v>
      </c>
      <c r="B2008" s="16" t="s">
        <v>12165</v>
      </c>
      <c r="C2008" s="16">
        <v>12.0</v>
      </c>
      <c r="D2008" s="16" t="s">
        <v>10444</v>
      </c>
      <c r="E2008" s="16" t="s">
        <v>707</v>
      </c>
      <c r="F2008" s="16">
        <v>2008.0</v>
      </c>
      <c r="G2008" s="16">
        <v>50.191</v>
      </c>
      <c r="H2008" s="16">
        <v>6.2306</v>
      </c>
      <c r="I2008" s="15"/>
      <c r="J2008" s="15"/>
    </row>
    <row r="2009">
      <c r="A2009" s="18">
        <v>45373.0</v>
      </c>
      <c r="B2009" s="16" t="s">
        <v>12166</v>
      </c>
      <c r="C2009" s="16">
        <v>14.0</v>
      </c>
      <c r="D2009" s="16" t="s">
        <v>10444</v>
      </c>
      <c r="E2009" s="16" t="s">
        <v>707</v>
      </c>
      <c r="F2009" s="16">
        <v>2023.0</v>
      </c>
      <c r="G2009" s="16">
        <v>49.5363</v>
      </c>
      <c r="H2009" s="16">
        <v>6.5567</v>
      </c>
      <c r="I2009" s="15"/>
      <c r="J2009" s="15"/>
    </row>
    <row r="2010">
      <c r="A2010" s="18">
        <v>44656.0</v>
      </c>
      <c r="B2010" s="16" t="s">
        <v>12167</v>
      </c>
      <c r="C2010" s="16">
        <v>14.0</v>
      </c>
      <c r="D2010" s="16" t="s">
        <v>10444</v>
      </c>
      <c r="E2010" s="16" t="s">
        <v>707</v>
      </c>
      <c r="F2010" s="16">
        <v>2017.0</v>
      </c>
      <c r="G2010" s="16">
        <v>51.469</v>
      </c>
      <c r="H2010" s="16">
        <v>10.6581</v>
      </c>
      <c r="I2010" s="15"/>
      <c r="J2010" s="15"/>
    </row>
    <row r="2011">
      <c r="A2011" s="18">
        <v>44656.0</v>
      </c>
      <c r="B2011" s="16" t="s">
        <v>12167</v>
      </c>
      <c r="C2011" s="16">
        <v>11.0</v>
      </c>
      <c r="D2011" s="16" t="s">
        <v>10444</v>
      </c>
      <c r="E2011" s="16" t="s">
        <v>707</v>
      </c>
      <c r="F2011" s="16">
        <v>2017.0</v>
      </c>
      <c r="G2011" s="16">
        <v>51.4649</v>
      </c>
      <c r="H2011" s="16">
        <v>10.6693</v>
      </c>
      <c r="I2011" s="15"/>
      <c r="J2011" s="15"/>
    </row>
    <row r="2012">
      <c r="A2012" s="18">
        <v>44656.0</v>
      </c>
      <c r="B2012" s="16" t="s">
        <v>12168</v>
      </c>
      <c r="C2012" s="16">
        <v>10.0</v>
      </c>
      <c r="D2012" s="16" t="s">
        <v>10444</v>
      </c>
      <c r="E2012" s="16" t="s">
        <v>707</v>
      </c>
      <c r="F2012" s="16">
        <v>2006.0</v>
      </c>
      <c r="G2012" s="16">
        <v>50.2136</v>
      </c>
      <c r="H2012" s="16">
        <v>7.2076</v>
      </c>
      <c r="I2012" s="15"/>
      <c r="J2012" s="15"/>
    </row>
    <row r="2013">
      <c r="A2013" s="18">
        <v>44656.0</v>
      </c>
      <c r="B2013" s="16" t="s">
        <v>12169</v>
      </c>
      <c r="C2013" s="16">
        <v>13.0</v>
      </c>
      <c r="D2013" s="16" t="s">
        <v>10444</v>
      </c>
      <c r="E2013" s="16" t="s">
        <v>707</v>
      </c>
      <c r="F2013" s="16">
        <v>2015.0</v>
      </c>
      <c r="G2013" s="16">
        <v>54.333</v>
      </c>
      <c r="H2013" s="16">
        <v>9.1261</v>
      </c>
      <c r="I2013" s="15"/>
      <c r="J2013" s="15"/>
    </row>
    <row r="2014">
      <c r="A2014" s="18">
        <v>44656.0</v>
      </c>
      <c r="B2014" s="16" t="s">
        <v>12170</v>
      </c>
      <c r="C2014" s="16">
        <v>18.0</v>
      </c>
      <c r="D2014" s="16" t="s">
        <v>10444</v>
      </c>
      <c r="E2014" s="16" t="s">
        <v>707</v>
      </c>
      <c r="F2014" s="16">
        <v>2016.0</v>
      </c>
      <c r="G2014" s="16">
        <v>52.4345</v>
      </c>
      <c r="H2014" s="16">
        <v>8.0639</v>
      </c>
      <c r="I2014" s="15"/>
      <c r="J2014" s="15"/>
    </row>
    <row r="2015">
      <c r="A2015" s="18">
        <v>44656.0</v>
      </c>
      <c r="B2015" s="16" t="s">
        <v>12171</v>
      </c>
      <c r="C2015" s="16">
        <v>12.0</v>
      </c>
      <c r="D2015" s="16" t="s">
        <v>10444</v>
      </c>
      <c r="E2015" s="16" t="s">
        <v>707</v>
      </c>
      <c r="F2015" s="15"/>
      <c r="G2015" s="16">
        <v>53.3979</v>
      </c>
      <c r="H2015" s="16">
        <v>8.648</v>
      </c>
      <c r="I2015" s="15"/>
      <c r="J2015" s="15"/>
    </row>
    <row r="2016">
      <c r="A2016" s="18">
        <v>45667.0</v>
      </c>
      <c r="B2016" s="16" t="s">
        <v>12172</v>
      </c>
      <c r="C2016" s="16">
        <v>16.0</v>
      </c>
      <c r="D2016" s="16" t="s">
        <v>10444</v>
      </c>
      <c r="E2016" s="16" t="s">
        <v>707</v>
      </c>
      <c r="F2016" s="16">
        <v>2024.0</v>
      </c>
      <c r="G2016" s="16">
        <v>51.491</v>
      </c>
      <c r="H2016" s="16">
        <v>8.8214</v>
      </c>
      <c r="I2016" s="15"/>
      <c r="J2016" s="15"/>
    </row>
    <row r="2017">
      <c r="A2017" s="18">
        <v>45363.0</v>
      </c>
      <c r="B2017" s="16" t="s">
        <v>12172</v>
      </c>
      <c r="C2017" s="16">
        <v>25.0</v>
      </c>
      <c r="D2017" s="16" t="s">
        <v>10444</v>
      </c>
      <c r="E2017" s="16" t="s">
        <v>707</v>
      </c>
      <c r="F2017" s="16">
        <v>2023.0</v>
      </c>
      <c r="G2017" s="16">
        <v>51.4973</v>
      </c>
      <c r="H2017" s="16">
        <v>8.8179</v>
      </c>
      <c r="I2017" s="15"/>
      <c r="J2017" s="15"/>
    </row>
    <row r="2018">
      <c r="A2018" s="18">
        <v>45371.0</v>
      </c>
      <c r="B2018" s="16" t="s">
        <v>12173</v>
      </c>
      <c r="C2018" s="16">
        <v>48.0</v>
      </c>
      <c r="D2018" s="16" t="s">
        <v>10444</v>
      </c>
      <c r="E2018" s="16" t="s">
        <v>707</v>
      </c>
      <c r="F2018" s="16">
        <v>2022.0</v>
      </c>
      <c r="G2018" s="16">
        <v>53.1087</v>
      </c>
      <c r="H2018" s="16">
        <v>9.4659</v>
      </c>
      <c r="I2018" s="15"/>
      <c r="J2018" s="15"/>
    </row>
    <row r="2019">
      <c r="A2019" s="18">
        <v>44656.0</v>
      </c>
      <c r="B2019" s="16" t="s">
        <v>12174</v>
      </c>
      <c r="C2019" s="16">
        <v>11.0</v>
      </c>
      <c r="D2019" s="16" t="s">
        <v>10444</v>
      </c>
      <c r="E2019" s="16" t="s">
        <v>707</v>
      </c>
      <c r="F2019" s="16">
        <v>2012.0</v>
      </c>
      <c r="G2019" s="16">
        <v>53.3716</v>
      </c>
      <c r="H2019" s="16">
        <v>9.507</v>
      </c>
      <c r="I2019" s="15"/>
      <c r="J2019" s="15"/>
    </row>
    <row r="2020">
      <c r="A2020" s="18">
        <v>44656.0</v>
      </c>
      <c r="B2020" s="16" t="s">
        <v>12175</v>
      </c>
      <c r="C2020" s="16">
        <v>21.0</v>
      </c>
      <c r="D2020" s="16" t="s">
        <v>10444</v>
      </c>
      <c r="E2020" s="16" t="s">
        <v>707</v>
      </c>
      <c r="F2020" s="16">
        <v>2012.0</v>
      </c>
      <c r="G2020" s="16">
        <v>54.158</v>
      </c>
      <c r="H2020" s="16">
        <v>9.044</v>
      </c>
      <c r="I2020" s="15"/>
      <c r="J2020" s="15"/>
    </row>
    <row r="2021">
      <c r="A2021" s="18">
        <v>45008.0</v>
      </c>
      <c r="B2021" s="16" t="s">
        <v>12175</v>
      </c>
      <c r="C2021" s="16">
        <v>42.0</v>
      </c>
      <c r="D2021" s="16" t="s">
        <v>10444</v>
      </c>
      <c r="E2021" s="16" t="s">
        <v>707</v>
      </c>
      <c r="F2021" s="16">
        <v>2023.0</v>
      </c>
      <c r="G2021" s="16">
        <v>54.1657</v>
      </c>
      <c r="H2021" s="16">
        <v>9.0205</v>
      </c>
      <c r="I2021" s="15"/>
      <c r="J2021" s="15"/>
    </row>
    <row r="2022">
      <c r="A2022" s="18">
        <v>44656.0</v>
      </c>
      <c r="B2022" s="16" t="s">
        <v>12176</v>
      </c>
      <c r="C2022" s="16">
        <v>10.0</v>
      </c>
      <c r="D2022" s="16" t="s">
        <v>10444</v>
      </c>
      <c r="E2022" s="16" t="s">
        <v>707</v>
      </c>
      <c r="F2022" s="16">
        <v>2005.0</v>
      </c>
      <c r="G2022" s="16">
        <v>51.699</v>
      </c>
      <c r="H2022" s="16">
        <v>12.2447</v>
      </c>
      <c r="I2022" s="15"/>
      <c r="J2022" s="15"/>
    </row>
    <row r="2023">
      <c r="A2023" s="18">
        <v>44656.0</v>
      </c>
      <c r="B2023" s="16" t="s">
        <v>12177</v>
      </c>
      <c r="C2023" s="16">
        <v>44.0</v>
      </c>
      <c r="D2023" s="16" t="s">
        <v>10444</v>
      </c>
      <c r="E2023" s="16" t="s">
        <v>707</v>
      </c>
      <c r="F2023" s="16">
        <v>2008.0</v>
      </c>
      <c r="G2023" s="16">
        <v>53.3958</v>
      </c>
      <c r="H2023" s="16">
        <v>14.1684</v>
      </c>
      <c r="I2023" s="15"/>
      <c r="J2023" s="15"/>
    </row>
    <row r="2024">
      <c r="A2024" s="18">
        <v>44656.0</v>
      </c>
      <c r="B2024" s="16" t="s">
        <v>12178</v>
      </c>
      <c r="C2024" s="16">
        <v>14.0</v>
      </c>
      <c r="D2024" s="16" t="s">
        <v>10444</v>
      </c>
      <c r="E2024" s="16" t="s">
        <v>707</v>
      </c>
      <c r="F2024" s="16">
        <v>2003.0</v>
      </c>
      <c r="G2024" s="16">
        <v>53.9913</v>
      </c>
      <c r="H2024" s="16">
        <v>13.6213</v>
      </c>
      <c r="I2024" s="15"/>
      <c r="J2024" s="15"/>
    </row>
    <row r="2025">
      <c r="A2025" s="18">
        <v>44656.0</v>
      </c>
      <c r="B2025" s="16" t="s">
        <v>12179</v>
      </c>
      <c r="C2025" s="16">
        <v>21.0</v>
      </c>
      <c r="D2025" s="16" t="s">
        <v>10444</v>
      </c>
      <c r="E2025" s="16" t="s">
        <v>707</v>
      </c>
      <c r="F2025" s="15"/>
      <c r="G2025" s="16">
        <v>51.2135</v>
      </c>
      <c r="H2025" s="16">
        <v>13.3349</v>
      </c>
      <c r="I2025" s="15"/>
      <c r="J2025" s="15"/>
    </row>
    <row r="2026">
      <c r="A2026" s="18">
        <v>44656.0</v>
      </c>
      <c r="B2026" s="16" t="s">
        <v>12179</v>
      </c>
      <c r="C2026" s="16">
        <v>18.0</v>
      </c>
      <c r="D2026" s="16" t="s">
        <v>10444</v>
      </c>
      <c r="E2026" s="16" t="s">
        <v>707</v>
      </c>
      <c r="F2026" s="15"/>
      <c r="G2026" s="16">
        <v>51.2117</v>
      </c>
      <c r="H2026" s="16">
        <v>13.2817</v>
      </c>
      <c r="I2026" s="15"/>
      <c r="J2026" s="15"/>
    </row>
    <row r="2027">
      <c r="A2027" s="18">
        <v>44987.0</v>
      </c>
      <c r="B2027" s="16" t="s">
        <v>12180</v>
      </c>
      <c r="C2027" s="16">
        <v>17.0</v>
      </c>
      <c r="D2027" s="16" t="s">
        <v>10444</v>
      </c>
      <c r="E2027" s="16" t="s">
        <v>707</v>
      </c>
      <c r="F2027" s="16">
        <v>2019.0</v>
      </c>
      <c r="G2027" s="16">
        <v>52.7511</v>
      </c>
      <c r="H2027" s="16">
        <v>13.9397</v>
      </c>
      <c r="I2027" s="15"/>
      <c r="J2027" s="15"/>
    </row>
    <row r="2028">
      <c r="A2028" s="18">
        <v>44656.0</v>
      </c>
      <c r="B2028" s="16" t="s">
        <v>12180</v>
      </c>
      <c r="C2028" s="16">
        <v>11.0</v>
      </c>
      <c r="D2028" s="16" t="s">
        <v>10444</v>
      </c>
      <c r="E2028" s="16" t="s">
        <v>707</v>
      </c>
      <c r="F2028" s="16">
        <v>2021.0</v>
      </c>
      <c r="G2028" s="16">
        <v>52.7535</v>
      </c>
      <c r="H2028" s="16">
        <v>13.925</v>
      </c>
      <c r="I2028" s="15"/>
      <c r="J2028" s="15"/>
    </row>
    <row r="2029">
      <c r="A2029" s="18">
        <v>45022.0</v>
      </c>
      <c r="B2029" s="16" t="s">
        <v>12181</v>
      </c>
      <c r="C2029" s="16">
        <v>17.0</v>
      </c>
      <c r="D2029" s="16" t="s">
        <v>10444</v>
      </c>
      <c r="E2029" s="16" t="s">
        <v>707</v>
      </c>
      <c r="F2029" s="16">
        <v>2020.0</v>
      </c>
      <c r="G2029" s="16">
        <v>52.7588</v>
      </c>
      <c r="H2029" s="16">
        <v>13.9446</v>
      </c>
      <c r="I2029" s="15"/>
      <c r="J2029" s="15"/>
    </row>
    <row r="2030">
      <c r="A2030" s="18">
        <v>44656.0</v>
      </c>
      <c r="B2030" s="16" t="s">
        <v>12182</v>
      </c>
      <c r="C2030" s="16">
        <v>30.0</v>
      </c>
      <c r="D2030" s="16" t="s">
        <v>10444</v>
      </c>
      <c r="E2030" s="16" t="s">
        <v>707</v>
      </c>
      <c r="F2030" s="15"/>
      <c r="G2030" s="16">
        <v>51.7106</v>
      </c>
      <c r="H2030" s="16">
        <v>11.9124</v>
      </c>
      <c r="I2030" s="15"/>
      <c r="J2030" s="15"/>
    </row>
    <row r="2031">
      <c r="A2031" s="18">
        <v>44656.0</v>
      </c>
      <c r="B2031" s="16" t="s">
        <v>12182</v>
      </c>
      <c r="C2031" s="16">
        <v>22.0</v>
      </c>
      <c r="D2031" s="16" t="s">
        <v>10444</v>
      </c>
      <c r="E2031" s="16" t="s">
        <v>707</v>
      </c>
      <c r="F2031" s="16">
        <v>2019.0</v>
      </c>
      <c r="G2031" s="16">
        <v>51.7103</v>
      </c>
      <c r="H2031" s="16">
        <v>11.913</v>
      </c>
      <c r="I2031" s="15"/>
      <c r="J2031" s="15"/>
    </row>
    <row r="2032">
      <c r="A2032" s="18">
        <v>44656.0</v>
      </c>
      <c r="B2032" s="16" t="s">
        <v>12183</v>
      </c>
      <c r="C2032" s="16">
        <v>17.0</v>
      </c>
      <c r="D2032" s="16" t="s">
        <v>10444</v>
      </c>
      <c r="E2032" s="16" t="s">
        <v>707</v>
      </c>
      <c r="F2032" s="16">
        <v>2017.0</v>
      </c>
      <c r="G2032" s="16">
        <v>48.9635</v>
      </c>
      <c r="H2032" s="16">
        <v>11.1124</v>
      </c>
      <c r="I2032" s="15"/>
      <c r="J2032" s="15"/>
    </row>
    <row r="2033">
      <c r="A2033" s="18">
        <v>44656.0</v>
      </c>
      <c r="B2033" s="16" t="s">
        <v>12184</v>
      </c>
      <c r="C2033" s="16">
        <v>21.0</v>
      </c>
      <c r="D2033" s="16" t="s">
        <v>10444</v>
      </c>
      <c r="E2033" s="16" t="s">
        <v>707</v>
      </c>
      <c r="F2033" s="16">
        <v>2012.0</v>
      </c>
      <c r="G2033" s="16">
        <v>49.6555</v>
      </c>
      <c r="H2033" s="16">
        <v>8.2883</v>
      </c>
      <c r="I2033" s="15"/>
      <c r="J2033" s="15"/>
    </row>
    <row r="2034">
      <c r="A2034" s="18">
        <v>44656.0</v>
      </c>
      <c r="B2034" s="16" t="s">
        <v>12185</v>
      </c>
      <c r="C2034" s="16">
        <v>14.0</v>
      </c>
      <c r="D2034" s="16" t="s">
        <v>10444</v>
      </c>
      <c r="E2034" s="16" t="s">
        <v>707</v>
      </c>
      <c r="F2034" s="16">
        <v>2005.0</v>
      </c>
      <c r="G2034" s="16">
        <v>52.1215</v>
      </c>
      <c r="H2034" s="16">
        <v>11.1696</v>
      </c>
      <c r="I2034" s="15"/>
      <c r="J2034" s="15"/>
    </row>
    <row r="2035">
      <c r="A2035" s="18">
        <v>44656.0</v>
      </c>
      <c r="B2035" s="16" t="s">
        <v>12186</v>
      </c>
      <c r="C2035" s="16">
        <v>10.0</v>
      </c>
      <c r="D2035" s="16" t="s">
        <v>10444</v>
      </c>
      <c r="E2035" s="16" t="s">
        <v>707</v>
      </c>
      <c r="F2035" s="16">
        <v>2009.0</v>
      </c>
      <c r="G2035" s="16">
        <v>49.8301</v>
      </c>
      <c r="H2035" s="16">
        <v>8.1383</v>
      </c>
      <c r="I2035" s="15"/>
      <c r="J2035" s="15"/>
    </row>
    <row r="2036">
      <c r="A2036" s="18">
        <v>44656.0</v>
      </c>
      <c r="B2036" s="16" t="s">
        <v>12186</v>
      </c>
      <c r="C2036" s="16">
        <v>15.0</v>
      </c>
      <c r="D2036" s="16" t="s">
        <v>10444</v>
      </c>
      <c r="E2036" s="16" t="s">
        <v>707</v>
      </c>
      <c r="F2036" s="15"/>
      <c r="G2036" s="16">
        <v>49.8425</v>
      </c>
      <c r="H2036" s="16">
        <v>8.1292</v>
      </c>
      <c r="I2036" s="15"/>
      <c r="J2036" s="15"/>
    </row>
    <row r="2037">
      <c r="A2037" s="18">
        <v>44656.0</v>
      </c>
      <c r="B2037" s="16" t="s">
        <v>12186</v>
      </c>
      <c r="C2037" s="16">
        <v>13.0</v>
      </c>
      <c r="D2037" s="16" t="s">
        <v>10444</v>
      </c>
      <c r="E2037" s="16" t="s">
        <v>707</v>
      </c>
      <c r="F2037" s="15"/>
      <c r="G2037" s="16">
        <v>49.8307</v>
      </c>
      <c r="H2037" s="16">
        <v>8.1424</v>
      </c>
      <c r="I2037" s="15"/>
      <c r="J2037" s="15"/>
    </row>
    <row r="2038">
      <c r="A2038" s="18">
        <v>44656.0</v>
      </c>
      <c r="B2038" s="16" t="s">
        <v>12187</v>
      </c>
      <c r="C2038" s="16">
        <v>12.0</v>
      </c>
      <c r="D2038" s="16" t="s">
        <v>10444</v>
      </c>
      <c r="E2038" s="16" t="s">
        <v>707</v>
      </c>
      <c r="F2038" s="16">
        <v>2011.0</v>
      </c>
      <c r="G2038" s="16">
        <v>49.8344</v>
      </c>
      <c r="H2038" s="16">
        <v>8.1494</v>
      </c>
      <c r="I2038" s="15"/>
      <c r="J2038" s="15"/>
    </row>
    <row r="2039">
      <c r="A2039" s="18">
        <v>44656.0</v>
      </c>
      <c r="B2039" s="16" t="s">
        <v>12188</v>
      </c>
      <c r="C2039" s="16">
        <v>14.0</v>
      </c>
      <c r="D2039" s="16" t="s">
        <v>10444</v>
      </c>
      <c r="E2039" s="16" t="s">
        <v>707</v>
      </c>
      <c r="F2039" s="16">
        <v>2020.0</v>
      </c>
      <c r="G2039" s="16">
        <v>52.0908</v>
      </c>
      <c r="H2039" s="16">
        <v>7.9408</v>
      </c>
      <c r="I2039" s="15"/>
      <c r="J2039" s="15"/>
    </row>
    <row r="2040">
      <c r="A2040" s="18">
        <v>44656.0</v>
      </c>
      <c r="B2040" s="16" t="s">
        <v>12189</v>
      </c>
      <c r="C2040" s="16">
        <v>10.0</v>
      </c>
      <c r="D2040" s="16" t="s">
        <v>10444</v>
      </c>
      <c r="E2040" s="16" t="s">
        <v>707</v>
      </c>
      <c r="F2040" s="16">
        <v>2010.0</v>
      </c>
      <c r="G2040" s="16">
        <v>53.6424</v>
      </c>
      <c r="H2040" s="16">
        <v>8.5669</v>
      </c>
      <c r="I2040" s="15"/>
      <c r="J2040" s="15"/>
    </row>
    <row r="2041">
      <c r="A2041" s="18">
        <v>44656.0</v>
      </c>
      <c r="B2041" s="16" t="s">
        <v>12190</v>
      </c>
      <c r="C2041" s="16">
        <v>10.0</v>
      </c>
      <c r="D2041" s="16" t="s">
        <v>10444</v>
      </c>
      <c r="E2041" s="16" t="s">
        <v>707</v>
      </c>
      <c r="F2041" s="16">
        <v>2005.0</v>
      </c>
      <c r="G2041" s="16">
        <v>52.6846</v>
      </c>
      <c r="H2041" s="16">
        <v>14.0664</v>
      </c>
      <c r="I2041" s="15"/>
      <c r="J2041" s="15"/>
    </row>
    <row r="2042">
      <c r="A2042" s="18">
        <v>44656.0</v>
      </c>
      <c r="B2042" s="16" t="s">
        <v>12190</v>
      </c>
      <c r="C2042" s="16">
        <v>20.0</v>
      </c>
      <c r="D2042" s="16" t="s">
        <v>10444</v>
      </c>
      <c r="E2042" s="16" t="s">
        <v>707</v>
      </c>
      <c r="F2042" s="15"/>
      <c r="G2042" s="16">
        <v>52.6864</v>
      </c>
      <c r="H2042" s="16">
        <v>14.0679</v>
      </c>
      <c r="I2042" s="15"/>
      <c r="J2042" s="15"/>
    </row>
    <row r="2043">
      <c r="A2043" s="18">
        <v>44656.0</v>
      </c>
      <c r="B2043" s="16" t="s">
        <v>12191</v>
      </c>
      <c r="C2043" s="16">
        <v>34.0</v>
      </c>
      <c r="D2043" s="16" t="s">
        <v>10444</v>
      </c>
      <c r="E2043" s="16" t="s">
        <v>707</v>
      </c>
      <c r="F2043" s="16">
        <v>2015.0</v>
      </c>
      <c r="G2043" s="16">
        <v>54.2032</v>
      </c>
      <c r="H2043" s="16">
        <v>9.4046</v>
      </c>
      <c r="I2043" s="15"/>
      <c r="J2043" s="15"/>
    </row>
    <row r="2044">
      <c r="A2044" s="18">
        <v>44656.0</v>
      </c>
      <c r="B2044" s="16" t="s">
        <v>12192</v>
      </c>
      <c r="C2044" s="16">
        <v>10.0</v>
      </c>
      <c r="D2044" s="16" t="s">
        <v>10444</v>
      </c>
      <c r="E2044" s="16" t="s">
        <v>707</v>
      </c>
      <c r="F2044" s="16">
        <v>2009.0</v>
      </c>
      <c r="G2044" s="16">
        <v>52.582</v>
      </c>
      <c r="H2044" s="16">
        <v>9.4876</v>
      </c>
      <c r="I2044" s="15"/>
      <c r="J2044" s="15"/>
    </row>
    <row r="2045">
      <c r="A2045" s="18">
        <v>44656.0</v>
      </c>
      <c r="B2045" s="16" t="s">
        <v>12193</v>
      </c>
      <c r="C2045" s="16">
        <v>41.0</v>
      </c>
      <c r="D2045" s="16" t="s">
        <v>10444</v>
      </c>
      <c r="E2045" s="16" t="s">
        <v>707</v>
      </c>
      <c r="F2045" s="16">
        <v>2002.0</v>
      </c>
      <c r="G2045" s="16">
        <v>51.1965</v>
      </c>
      <c r="H2045" s="16">
        <v>11.9661</v>
      </c>
      <c r="I2045" s="15"/>
      <c r="J2045" s="15"/>
    </row>
    <row r="2046">
      <c r="A2046" s="18">
        <v>44656.0</v>
      </c>
      <c r="B2046" s="16" t="s">
        <v>12194</v>
      </c>
      <c r="C2046" s="16">
        <v>12.0</v>
      </c>
      <c r="D2046" s="16" t="s">
        <v>10444</v>
      </c>
      <c r="E2046" s="16" t="s">
        <v>707</v>
      </c>
      <c r="F2046" s="16">
        <v>2004.0</v>
      </c>
      <c r="G2046" s="16">
        <v>54.4017</v>
      </c>
      <c r="H2046" s="16">
        <v>10.0228</v>
      </c>
      <c r="I2046" s="15"/>
      <c r="J2046" s="15"/>
    </row>
    <row r="2047">
      <c r="A2047" s="18">
        <v>45377.0</v>
      </c>
      <c r="B2047" s="16" t="s">
        <v>12195</v>
      </c>
      <c r="C2047" s="16">
        <v>11.0</v>
      </c>
      <c r="D2047" s="16" t="s">
        <v>10444</v>
      </c>
      <c r="E2047" s="16" t="s">
        <v>707</v>
      </c>
      <c r="F2047" s="16">
        <v>2023.0</v>
      </c>
      <c r="G2047" s="16">
        <v>53.1949</v>
      </c>
      <c r="H2047" s="16">
        <v>10.5165</v>
      </c>
      <c r="I2047" s="15"/>
      <c r="J2047" s="15"/>
    </row>
    <row r="2048">
      <c r="A2048" s="18">
        <v>44656.0</v>
      </c>
      <c r="B2048" s="16" t="s">
        <v>12196</v>
      </c>
      <c r="C2048" s="16">
        <v>10.0</v>
      </c>
      <c r="D2048" s="16" t="s">
        <v>10444</v>
      </c>
      <c r="E2048" s="16" t="s">
        <v>707</v>
      </c>
      <c r="F2048" s="16">
        <v>2007.0</v>
      </c>
      <c r="G2048" s="16">
        <v>52.4005</v>
      </c>
      <c r="H2048" s="16">
        <v>14.4421</v>
      </c>
      <c r="I2048" s="15"/>
      <c r="J2048" s="15"/>
    </row>
    <row r="2049">
      <c r="A2049" s="18">
        <v>45667.0</v>
      </c>
      <c r="B2049" s="16" t="s">
        <v>12197</v>
      </c>
      <c r="C2049" s="16">
        <v>21.0</v>
      </c>
      <c r="D2049" s="16" t="s">
        <v>10444</v>
      </c>
      <c r="E2049" s="16" t="s">
        <v>707</v>
      </c>
      <c r="F2049" s="16">
        <v>2024.0</v>
      </c>
      <c r="G2049" s="16">
        <v>52.5522</v>
      </c>
      <c r="H2049" s="16">
        <v>14.2312</v>
      </c>
      <c r="I2049" s="15"/>
      <c r="J2049" s="15"/>
    </row>
    <row r="2050">
      <c r="A2050" s="18">
        <v>45371.0</v>
      </c>
      <c r="B2050" s="16" t="s">
        <v>12198</v>
      </c>
      <c r="C2050" s="16">
        <v>21.0</v>
      </c>
      <c r="D2050" s="16" t="s">
        <v>10444</v>
      </c>
      <c r="E2050" s="16" t="s">
        <v>707</v>
      </c>
      <c r="F2050" s="16">
        <v>2023.0</v>
      </c>
      <c r="G2050" s="16">
        <v>52.9369</v>
      </c>
      <c r="H2050" s="16">
        <v>8.5158</v>
      </c>
      <c r="I2050" s="15"/>
      <c r="J2050" s="15"/>
    </row>
    <row r="2051">
      <c r="A2051" s="18">
        <v>44656.0</v>
      </c>
      <c r="B2051" s="16" t="s">
        <v>12199</v>
      </c>
      <c r="C2051" s="16">
        <v>10.0</v>
      </c>
      <c r="D2051" s="16" t="s">
        <v>10444</v>
      </c>
      <c r="E2051" s="16" t="s">
        <v>707</v>
      </c>
      <c r="F2051" s="16">
        <v>2011.0</v>
      </c>
      <c r="G2051" s="16">
        <v>51.1667</v>
      </c>
      <c r="H2051" s="16">
        <v>11.0262</v>
      </c>
      <c r="I2051" s="15"/>
      <c r="J2051" s="15"/>
    </row>
    <row r="2052">
      <c r="A2052" s="18">
        <v>45033.0</v>
      </c>
      <c r="B2052" s="16" t="s">
        <v>12200</v>
      </c>
      <c r="C2052" s="16">
        <v>56.0</v>
      </c>
      <c r="D2052" s="16" t="s">
        <v>10444</v>
      </c>
      <c r="E2052" s="16" t="s">
        <v>707</v>
      </c>
      <c r="F2052" s="16">
        <v>2006.0</v>
      </c>
      <c r="G2052" s="16">
        <v>49.8931</v>
      </c>
      <c r="H2052" s="16">
        <v>9.8789</v>
      </c>
      <c r="I2052" s="15"/>
      <c r="J2052" s="15"/>
    </row>
    <row r="2053">
      <c r="A2053" s="18">
        <v>44656.0</v>
      </c>
      <c r="B2053" s="16" t="s">
        <v>12201</v>
      </c>
      <c r="C2053" s="16">
        <v>27.0</v>
      </c>
      <c r="D2053" s="16" t="s">
        <v>10444</v>
      </c>
      <c r="E2053" s="16" t="s">
        <v>707</v>
      </c>
      <c r="F2053" s="16">
        <v>2001.0</v>
      </c>
      <c r="G2053" s="16">
        <v>54.1022</v>
      </c>
      <c r="H2053" s="16">
        <v>13.6107</v>
      </c>
      <c r="I2053" s="15"/>
      <c r="J2053" s="15"/>
    </row>
    <row r="2054">
      <c r="A2054" s="18">
        <v>44656.0</v>
      </c>
      <c r="B2054" s="16" t="s">
        <v>12202</v>
      </c>
      <c r="C2054" s="16">
        <v>16.0</v>
      </c>
      <c r="D2054" s="16" t="s">
        <v>10444</v>
      </c>
      <c r="E2054" s="16" t="s">
        <v>707</v>
      </c>
      <c r="F2054" s="16">
        <v>2009.0</v>
      </c>
      <c r="G2054" s="16">
        <v>53.0094</v>
      </c>
      <c r="H2054" s="16">
        <v>12.366</v>
      </c>
      <c r="I2054" s="15"/>
      <c r="J2054" s="15"/>
    </row>
    <row r="2055">
      <c r="A2055" s="18">
        <v>44656.0</v>
      </c>
      <c r="B2055" s="16" t="s">
        <v>12203</v>
      </c>
      <c r="C2055" s="16">
        <v>70.0</v>
      </c>
      <c r="D2055" s="16" t="s">
        <v>10444</v>
      </c>
      <c r="E2055" s="16" t="s">
        <v>707</v>
      </c>
      <c r="F2055" s="16">
        <v>2000.0</v>
      </c>
      <c r="G2055" s="16">
        <v>53.342</v>
      </c>
      <c r="H2055" s="16">
        <v>7.0675</v>
      </c>
      <c r="I2055" s="15"/>
      <c r="J2055" s="15"/>
    </row>
    <row r="2056">
      <c r="A2056" s="18">
        <v>44999.0</v>
      </c>
      <c r="B2056" s="16" t="s">
        <v>12204</v>
      </c>
      <c r="C2056" s="16">
        <v>30.0</v>
      </c>
      <c r="D2056" s="16" t="s">
        <v>10444</v>
      </c>
      <c r="E2056" s="16" t="s">
        <v>707</v>
      </c>
      <c r="F2056" s="16">
        <v>2016.0</v>
      </c>
      <c r="G2056" s="16">
        <v>51.887</v>
      </c>
      <c r="H2056" s="16">
        <v>13.4858</v>
      </c>
      <c r="I2056" s="15"/>
      <c r="J2056" s="15"/>
    </row>
    <row r="2057">
      <c r="A2057" s="18">
        <v>44656.0</v>
      </c>
      <c r="B2057" s="16" t="s">
        <v>12205</v>
      </c>
      <c r="C2057" s="16">
        <v>22.0</v>
      </c>
      <c r="D2057" s="16" t="s">
        <v>10444</v>
      </c>
      <c r="E2057" s="16" t="s">
        <v>707</v>
      </c>
      <c r="F2057" s="16">
        <v>2021.0</v>
      </c>
      <c r="G2057" s="16">
        <v>52.6501</v>
      </c>
      <c r="H2057" s="16">
        <v>10.4169</v>
      </c>
      <c r="I2057" s="15"/>
      <c r="J2057" s="15"/>
    </row>
    <row r="2058">
      <c r="A2058" s="18">
        <v>44656.0</v>
      </c>
      <c r="B2058" s="16" t="s">
        <v>12206</v>
      </c>
      <c r="C2058" s="16">
        <v>12.0</v>
      </c>
      <c r="D2058" s="16" t="s">
        <v>10444</v>
      </c>
      <c r="E2058" s="16" t="s">
        <v>707</v>
      </c>
      <c r="F2058" s="16">
        <v>2014.0</v>
      </c>
      <c r="G2058" s="16">
        <v>50.3671</v>
      </c>
      <c r="H2058" s="16">
        <v>11.8808</v>
      </c>
      <c r="I2058" s="15"/>
      <c r="J2058" s="15"/>
    </row>
    <row r="2059">
      <c r="A2059" s="18">
        <v>44988.0</v>
      </c>
      <c r="B2059" s="16" t="s">
        <v>12207</v>
      </c>
      <c r="C2059" s="16">
        <v>14.0</v>
      </c>
      <c r="D2059" s="16" t="s">
        <v>10444</v>
      </c>
      <c r="E2059" s="16" t="s">
        <v>707</v>
      </c>
      <c r="F2059" s="16">
        <v>2016.0</v>
      </c>
      <c r="G2059" s="16">
        <v>52.8953</v>
      </c>
      <c r="H2059" s="16">
        <v>12.3724</v>
      </c>
      <c r="I2059" s="15"/>
      <c r="J2059" s="15"/>
    </row>
    <row r="2060">
      <c r="A2060" s="18">
        <v>44656.0</v>
      </c>
      <c r="B2060" s="16" t="s">
        <v>12208</v>
      </c>
      <c r="C2060" s="16">
        <v>10.0</v>
      </c>
      <c r="D2060" s="16" t="s">
        <v>10444</v>
      </c>
      <c r="E2060" s="16" t="s">
        <v>707</v>
      </c>
      <c r="F2060" s="16">
        <v>2002.0</v>
      </c>
      <c r="G2060" s="16">
        <v>51.5307</v>
      </c>
      <c r="H2060" s="16">
        <v>14.4049</v>
      </c>
      <c r="I2060" s="15"/>
      <c r="J2060" s="15"/>
    </row>
    <row r="2061">
      <c r="A2061" s="18">
        <v>44656.0</v>
      </c>
      <c r="B2061" s="16" t="s">
        <v>12209</v>
      </c>
      <c r="C2061" s="16">
        <v>13.0</v>
      </c>
      <c r="D2061" s="16" t="s">
        <v>10444</v>
      </c>
      <c r="E2061" s="16" t="s">
        <v>707</v>
      </c>
      <c r="F2061" s="15"/>
      <c r="G2061" s="16">
        <v>50.2183</v>
      </c>
      <c r="H2061" s="16">
        <v>7.2105</v>
      </c>
      <c r="I2061" s="15"/>
      <c r="J2061" s="15"/>
    </row>
    <row r="2062">
      <c r="A2062" s="18">
        <v>44999.0</v>
      </c>
      <c r="B2062" s="16" t="s">
        <v>12210</v>
      </c>
      <c r="C2062" s="16">
        <v>12.0</v>
      </c>
      <c r="D2062" s="16" t="s">
        <v>10444</v>
      </c>
      <c r="E2062" s="16" t="s">
        <v>707</v>
      </c>
      <c r="F2062" s="16">
        <v>2011.0</v>
      </c>
      <c r="G2062" s="16">
        <v>49.229</v>
      </c>
      <c r="H2062" s="16">
        <v>11.5675</v>
      </c>
      <c r="I2062" s="15"/>
      <c r="J2062" s="15"/>
    </row>
    <row r="2063">
      <c r="A2063" s="18">
        <v>45033.0</v>
      </c>
      <c r="B2063" s="16" t="s">
        <v>12211</v>
      </c>
      <c r="C2063" s="16">
        <v>16.0</v>
      </c>
      <c r="D2063" s="16" t="s">
        <v>10444</v>
      </c>
      <c r="E2063" s="16" t="s">
        <v>707</v>
      </c>
      <c r="F2063" s="16">
        <v>2009.0</v>
      </c>
      <c r="G2063" s="16">
        <v>52.168</v>
      </c>
      <c r="H2063" s="16">
        <v>11.8858</v>
      </c>
      <c r="I2063" s="15"/>
      <c r="J2063" s="15"/>
    </row>
    <row r="2064">
      <c r="A2064" s="18">
        <v>44656.0</v>
      </c>
      <c r="B2064" s="16" t="s">
        <v>12212</v>
      </c>
      <c r="C2064" s="16">
        <v>15.0</v>
      </c>
      <c r="D2064" s="16" t="s">
        <v>10444</v>
      </c>
      <c r="E2064" s="16" t="s">
        <v>707</v>
      </c>
      <c r="F2064" s="16">
        <v>2001.0</v>
      </c>
      <c r="G2064" s="16">
        <v>52.4952</v>
      </c>
      <c r="H2064" s="16">
        <v>13.9425</v>
      </c>
      <c r="I2064" s="15"/>
      <c r="J2064" s="15"/>
    </row>
    <row r="2065">
      <c r="A2065" s="18">
        <v>44656.0</v>
      </c>
      <c r="B2065" s="16" t="s">
        <v>12213</v>
      </c>
      <c r="C2065" s="16">
        <v>30.0</v>
      </c>
      <c r="D2065" s="16" t="s">
        <v>10444</v>
      </c>
      <c r="E2065" s="16" t="s">
        <v>707</v>
      </c>
      <c r="F2065" s="16">
        <v>2003.0</v>
      </c>
      <c r="G2065" s="16">
        <v>52.3399</v>
      </c>
      <c r="H2065" s="16">
        <v>12.327</v>
      </c>
      <c r="I2065" s="15"/>
      <c r="J2065" s="15"/>
    </row>
    <row r="2066">
      <c r="A2066" s="18">
        <v>44656.0</v>
      </c>
      <c r="B2066" s="16" t="s">
        <v>12214</v>
      </c>
      <c r="C2066" s="16">
        <v>12.0</v>
      </c>
      <c r="D2066" s="16" t="s">
        <v>10444</v>
      </c>
      <c r="E2066" s="16" t="s">
        <v>707</v>
      </c>
      <c r="F2066" s="16">
        <v>2003.0</v>
      </c>
      <c r="G2066" s="16">
        <v>51.2572</v>
      </c>
      <c r="H2066" s="16">
        <v>14.9967</v>
      </c>
      <c r="I2066" s="15"/>
      <c r="J2066" s="15"/>
    </row>
    <row r="2067">
      <c r="A2067" s="18">
        <v>44656.0</v>
      </c>
      <c r="B2067" s="16" t="s">
        <v>12215</v>
      </c>
      <c r="C2067" s="16">
        <v>40.0</v>
      </c>
      <c r="D2067" s="16" t="s">
        <v>10444</v>
      </c>
      <c r="E2067" s="16" t="s">
        <v>707</v>
      </c>
      <c r="F2067" s="16">
        <v>2007.0</v>
      </c>
      <c r="G2067" s="16">
        <v>53.5399</v>
      </c>
      <c r="H2067" s="16">
        <v>11.8186</v>
      </c>
      <c r="I2067" s="15"/>
      <c r="J2067" s="15"/>
    </row>
    <row r="2068">
      <c r="A2068" s="18">
        <v>44656.0</v>
      </c>
      <c r="B2068" s="16" t="s">
        <v>12216</v>
      </c>
      <c r="C2068" s="16">
        <v>19.0</v>
      </c>
      <c r="D2068" s="16" t="s">
        <v>10444</v>
      </c>
      <c r="E2068" s="16" t="s">
        <v>707</v>
      </c>
      <c r="F2068" s="16">
        <v>2013.0</v>
      </c>
      <c r="G2068" s="16">
        <v>48.6887</v>
      </c>
      <c r="H2068" s="16">
        <v>10.2848</v>
      </c>
      <c r="I2068" s="15"/>
      <c r="J2068" s="15"/>
    </row>
    <row r="2069">
      <c r="A2069" s="18">
        <v>44656.0</v>
      </c>
      <c r="B2069" s="16" t="s">
        <v>12217</v>
      </c>
      <c r="C2069" s="16">
        <v>10.0</v>
      </c>
      <c r="D2069" s="16" t="s">
        <v>10444</v>
      </c>
      <c r="E2069" s="16" t="s">
        <v>707</v>
      </c>
      <c r="F2069" s="16">
        <v>2011.0</v>
      </c>
      <c r="G2069" s="16">
        <v>50.8708</v>
      </c>
      <c r="H2069" s="16">
        <v>12.3917</v>
      </c>
      <c r="I2069" s="15"/>
      <c r="J2069" s="15"/>
    </row>
    <row r="2070">
      <c r="A2070" s="18">
        <v>44656.0</v>
      </c>
      <c r="B2070" s="16" t="s">
        <v>12218</v>
      </c>
      <c r="C2070" s="16">
        <v>14.0</v>
      </c>
      <c r="D2070" s="16" t="s">
        <v>10444</v>
      </c>
      <c r="E2070" s="16" t="s">
        <v>707</v>
      </c>
      <c r="F2070" s="16">
        <v>2013.0</v>
      </c>
      <c r="G2070" s="16">
        <v>50.7053</v>
      </c>
      <c r="H2070" s="16">
        <v>6.7674</v>
      </c>
      <c r="I2070" s="15"/>
      <c r="J2070" s="15"/>
    </row>
    <row r="2071">
      <c r="A2071" s="18">
        <v>44656.0</v>
      </c>
      <c r="B2071" s="16" t="s">
        <v>12219</v>
      </c>
      <c r="C2071" s="16">
        <v>10.0</v>
      </c>
      <c r="D2071" s="16" t="s">
        <v>10444</v>
      </c>
      <c r="E2071" s="16" t="s">
        <v>707</v>
      </c>
      <c r="F2071" s="16">
        <v>2014.0</v>
      </c>
      <c r="G2071" s="16">
        <v>50.0501</v>
      </c>
      <c r="H2071" s="16">
        <v>11.3201</v>
      </c>
      <c r="I2071" s="15"/>
      <c r="J2071" s="15"/>
    </row>
    <row r="2072">
      <c r="A2072" s="18">
        <v>44656.0</v>
      </c>
      <c r="B2072" s="16" t="s">
        <v>12220</v>
      </c>
      <c r="C2072" s="16">
        <v>18.0</v>
      </c>
      <c r="D2072" s="16" t="s">
        <v>10444</v>
      </c>
      <c r="E2072" s="16" t="s">
        <v>707</v>
      </c>
      <c r="F2072" s="16">
        <v>2009.0</v>
      </c>
      <c r="G2072" s="16">
        <v>53.1902</v>
      </c>
      <c r="H2072" s="16">
        <v>9.0492</v>
      </c>
      <c r="I2072" s="15"/>
      <c r="J2072" s="15"/>
    </row>
    <row r="2073">
      <c r="A2073" s="18">
        <v>44656.0</v>
      </c>
      <c r="B2073" s="16" t="s">
        <v>12221</v>
      </c>
      <c r="C2073" s="16">
        <v>24.0</v>
      </c>
      <c r="D2073" s="16" t="s">
        <v>10444</v>
      </c>
      <c r="E2073" s="16" t="s">
        <v>707</v>
      </c>
      <c r="F2073" s="16">
        <v>2014.0</v>
      </c>
      <c r="G2073" s="16">
        <v>54.7859</v>
      </c>
      <c r="H2073" s="16">
        <v>8.8996</v>
      </c>
      <c r="I2073" s="15"/>
      <c r="J2073" s="15"/>
    </row>
    <row r="2074">
      <c r="A2074" s="18">
        <v>44656.0</v>
      </c>
      <c r="B2074" s="16" t="s">
        <v>12222</v>
      </c>
      <c r="C2074" s="16">
        <v>10.0</v>
      </c>
      <c r="D2074" s="16" t="s">
        <v>10444</v>
      </c>
      <c r="E2074" s="16" t="s">
        <v>707</v>
      </c>
      <c r="F2074" s="16">
        <v>2006.0</v>
      </c>
      <c r="G2074" s="16">
        <v>53.363</v>
      </c>
      <c r="H2074" s="16">
        <v>7.7041</v>
      </c>
      <c r="I2074" s="15"/>
      <c r="J2074" s="15"/>
    </row>
    <row r="2075">
      <c r="A2075" s="15"/>
      <c r="B2075" s="15"/>
      <c r="C2075" s="15"/>
      <c r="D2075" s="15"/>
      <c r="E2075" s="15"/>
      <c r="F2075" s="15"/>
      <c r="G2075" s="15"/>
      <c r="H2075" s="15"/>
      <c r="I2075" s="15"/>
      <c r="J2075" s="15"/>
    </row>
    <row r="2076">
      <c r="A2076" s="15"/>
      <c r="B2076" s="15"/>
      <c r="C2076" s="15"/>
      <c r="D2076" s="15"/>
      <c r="E2076" s="15"/>
      <c r="F2076" s="15"/>
      <c r="G2076" s="15"/>
      <c r="H2076" s="15"/>
      <c r="I2076" s="15"/>
      <c r="J2076" s="15"/>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BD02"/>
    <pageSetUpPr/>
  </sheetPr>
  <sheetViews>
    <sheetView workbookViewId="0"/>
  </sheetViews>
  <sheetFormatPr customHeight="1" defaultColWidth="14.43" defaultRowHeight="15.75"/>
  <cols>
    <col customWidth="1" min="1" max="21" width="9.43"/>
  </cols>
  <sheetData>
    <row r="1">
      <c r="A1" s="35"/>
      <c r="B1" s="35"/>
      <c r="C1" s="35"/>
      <c r="D1" s="35"/>
      <c r="E1" s="35"/>
      <c r="F1" s="35"/>
      <c r="G1" s="35"/>
      <c r="H1" s="35"/>
      <c r="I1" s="35"/>
      <c r="J1" s="35"/>
      <c r="K1" s="35"/>
      <c r="L1" s="35"/>
      <c r="M1" s="35"/>
      <c r="N1" s="35"/>
      <c r="O1" s="35"/>
      <c r="P1" s="35"/>
      <c r="Q1" s="35"/>
      <c r="R1" s="35"/>
      <c r="S1" s="35"/>
      <c r="T1" s="35"/>
      <c r="U1" s="35"/>
      <c r="V1" s="35"/>
      <c r="W1" s="35"/>
      <c r="X1" s="35"/>
      <c r="Y1" s="35"/>
      <c r="Z1" s="35"/>
    </row>
    <row r="2">
      <c r="A2" s="35"/>
      <c r="B2" s="35"/>
      <c r="C2" s="35"/>
      <c r="D2" s="35"/>
      <c r="E2" s="35"/>
      <c r="F2" s="35"/>
      <c r="G2" s="35"/>
      <c r="H2" s="35"/>
      <c r="I2" s="35"/>
      <c r="J2" s="35"/>
      <c r="K2" s="35"/>
      <c r="L2" s="35"/>
      <c r="M2" s="35"/>
      <c r="N2" s="35"/>
      <c r="O2" s="35"/>
      <c r="P2" s="35"/>
      <c r="Q2" s="35"/>
      <c r="R2" s="35"/>
      <c r="S2" s="35"/>
      <c r="T2" s="35"/>
      <c r="U2" s="35"/>
      <c r="V2" s="35"/>
      <c r="W2" s="35"/>
      <c r="X2" s="35"/>
      <c r="Y2" s="35"/>
      <c r="Z2" s="35"/>
    </row>
    <row r="3">
      <c r="A3" s="35"/>
      <c r="B3" s="35"/>
      <c r="C3" s="35"/>
      <c r="D3" s="35"/>
      <c r="E3" s="35"/>
      <c r="F3" s="35"/>
      <c r="G3" s="35"/>
      <c r="H3" s="35"/>
      <c r="I3" s="35"/>
      <c r="J3" s="35"/>
      <c r="K3" s="35"/>
      <c r="L3" s="35"/>
      <c r="M3" s="35"/>
      <c r="N3" s="35"/>
      <c r="O3" s="35"/>
      <c r="P3" s="35"/>
      <c r="Q3" s="35"/>
      <c r="R3" s="35"/>
      <c r="S3" s="35"/>
      <c r="T3" s="35"/>
      <c r="U3" s="35"/>
      <c r="V3" s="35"/>
      <c r="W3" s="35"/>
      <c r="X3" s="35"/>
      <c r="Y3" s="35"/>
      <c r="Z3" s="35"/>
    </row>
    <row r="4">
      <c r="A4" s="36"/>
      <c r="B4" s="36"/>
      <c r="C4" s="36"/>
      <c r="D4" s="36"/>
      <c r="E4" s="36"/>
      <c r="F4" s="36"/>
      <c r="G4" s="36"/>
      <c r="H4" s="36"/>
      <c r="I4" s="36"/>
      <c r="J4" s="36"/>
      <c r="K4" s="36"/>
      <c r="L4" s="36"/>
      <c r="M4" s="36"/>
      <c r="N4" s="36"/>
      <c r="O4" s="36"/>
      <c r="P4" s="36"/>
      <c r="Q4" s="36"/>
      <c r="R4" s="36"/>
      <c r="S4" s="36"/>
      <c r="T4" s="36"/>
      <c r="U4" s="36"/>
      <c r="V4" s="36"/>
      <c r="W4" s="36"/>
      <c r="X4" s="36"/>
      <c r="Y4" s="36"/>
      <c r="Z4" s="36"/>
    </row>
    <row r="5">
      <c r="A5" s="36"/>
      <c r="B5" s="35"/>
      <c r="C5" s="35"/>
      <c r="D5" s="35"/>
      <c r="E5" s="35"/>
      <c r="F5" s="35"/>
      <c r="G5" s="35"/>
      <c r="H5" s="35"/>
      <c r="I5" s="35"/>
      <c r="J5" s="35"/>
      <c r="K5" s="35"/>
      <c r="L5" s="35"/>
      <c r="M5" s="35"/>
      <c r="N5" s="35"/>
      <c r="O5" s="35"/>
      <c r="P5" s="35"/>
      <c r="Q5" s="36"/>
      <c r="R5" s="36"/>
      <c r="S5" s="36"/>
      <c r="T5" s="36"/>
      <c r="U5" s="36"/>
      <c r="V5" s="36"/>
      <c r="W5" s="36"/>
      <c r="X5" s="36"/>
      <c r="Y5" s="36"/>
      <c r="Z5" s="36"/>
    </row>
    <row r="6">
      <c r="A6" s="36"/>
      <c r="B6" s="37"/>
      <c r="C6" s="37"/>
      <c r="D6" s="37"/>
      <c r="E6" s="37"/>
      <c r="F6" s="37"/>
      <c r="G6" s="37"/>
      <c r="H6" s="37"/>
      <c r="I6" s="37"/>
      <c r="J6" s="37"/>
      <c r="K6" s="37"/>
      <c r="L6" s="37"/>
      <c r="M6" s="37"/>
      <c r="N6" s="37"/>
      <c r="O6" s="37"/>
      <c r="P6" s="37"/>
      <c r="Q6" s="36"/>
      <c r="R6" s="36"/>
      <c r="S6" s="36"/>
      <c r="T6" s="36"/>
      <c r="U6" s="36"/>
      <c r="V6" s="36"/>
      <c r="W6" s="36"/>
      <c r="X6" s="36"/>
      <c r="Y6" s="36"/>
      <c r="Z6" s="36"/>
    </row>
    <row r="7">
      <c r="A7" s="36"/>
      <c r="B7" s="38"/>
      <c r="C7" s="38"/>
      <c r="D7" s="38"/>
      <c r="E7" s="38"/>
      <c r="F7" s="38"/>
      <c r="G7" s="38"/>
      <c r="H7" s="38"/>
      <c r="I7" s="38"/>
      <c r="J7" s="38"/>
      <c r="K7" s="38"/>
      <c r="L7" s="38"/>
      <c r="M7" s="38"/>
      <c r="N7" s="38"/>
      <c r="O7" s="38"/>
      <c r="P7" s="38"/>
      <c r="Q7" s="36"/>
      <c r="R7" s="36"/>
      <c r="S7" s="36"/>
      <c r="T7" s="36"/>
      <c r="U7" s="36"/>
      <c r="V7" s="36"/>
      <c r="W7" s="36"/>
      <c r="X7" s="36"/>
      <c r="Y7" s="36"/>
      <c r="Z7" s="36"/>
    </row>
    <row r="8">
      <c r="A8" s="36"/>
      <c r="B8" s="38"/>
      <c r="C8" s="38"/>
      <c r="D8" s="38"/>
      <c r="E8" s="38"/>
      <c r="F8" s="38"/>
      <c r="G8" s="38"/>
      <c r="H8" s="38"/>
      <c r="I8" s="38"/>
      <c r="J8" s="38"/>
      <c r="K8" s="38"/>
      <c r="L8" s="38"/>
      <c r="M8" s="38"/>
      <c r="N8" s="38"/>
      <c r="O8" s="38"/>
      <c r="P8" s="38"/>
      <c r="Q8" s="36"/>
      <c r="R8" s="36"/>
      <c r="S8" s="36"/>
      <c r="T8" s="36"/>
      <c r="U8" s="36"/>
      <c r="V8" s="36"/>
      <c r="W8" s="36"/>
      <c r="X8" s="36"/>
      <c r="Y8" s="36"/>
      <c r="Z8" s="36"/>
    </row>
    <row r="9">
      <c r="A9" s="36"/>
      <c r="B9" s="38"/>
      <c r="C9" s="38"/>
      <c r="D9" s="38"/>
      <c r="E9" s="38"/>
      <c r="F9" s="38"/>
      <c r="G9" s="38"/>
      <c r="H9" s="38"/>
      <c r="I9" s="38"/>
      <c r="J9" s="38"/>
      <c r="K9" s="38"/>
      <c r="L9" s="38"/>
      <c r="M9" s="38"/>
      <c r="N9" s="38"/>
      <c r="O9" s="38"/>
      <c r="P9" s="38"/>
      <c r="Q9" s="36"/>
      <c r="R9" s="36"/>
      <c r="S9" s="36"/>
      <c r="T9" s="36"/>
      <c r="U9" s="36"/>
      <c r="V9" s="36"/>
      <c r="W9" s="36"/>
      <c r="X9" s="36"/>
      <c r="Y9" s="36"/>
      <c r="Z9" s="36"/>
    </row>
    <row r="10">
      <c r="A10" s="36"/>
      <c r="B10" s="37"/>
      <c r="C10" s="37"/>
      <c r="D10" s="37"/>
      <c r="E10" s="37"/>
      <c r="F10" s="37"/>
      <c r="G10" s="37"/>
      <c r="H10" s="37"/>
      <c r="I10" s="37"/>
      <c r="J10" s="37"/>
      <c r="K10" s="37"/>
      <c r="L10" s="37"/>
      <c r="M10" s="37"/>
      <c r="N10" s="37"/>
      <c r="O10" s="37"/>
      <c r="P10" s="37"/>
      <c r="Q10" s="36"/>
      <c r="R10" s="36"/>
      <c r="S10" s="36"/>
      <c r="T10" s="36"/>
      <c r="U10" s="36"/>
      <c r="V10" s="36"/>
      <c r="W10" s="36"/>
      <c r="X10" s="36"/>
      <c r="Y10" s="36"/>
      <c r="Z10" s="36"/>
    </row>
    <row r="11">
      <c r="A11" s="36"/>
      <c r="B11" s="37"/>
      <c r="C11" s="37"/>
      <c r="D11" s="37"/>
      <c r="E11" s="37"/>
      <c r="F11" s="37"/>
      <c r="G11" s="37"/>
      <c r="H11" s="37"/>
      <c r="I11" s="37"/>
      <c r="J11" s="37"/>
      <c r="K11" s="37"/>
      <c r="L11" s="37"/>
      <c r="M11" s="37"/>
      <c r="N11" s="37"/>
      <c r="O11" s="37"/>
      <c r="P11" s="37"/>
      <c r="Q11" s="36"/>
      <c r="R11" s="36"/>
      <c r="S11" s="36"/>
      <c r="T11" s="36"/>
      <c r="U11" s="36"/>
      <c r="V11" s="36"/>
      <c r="W11" s="36"/>
      <c r="X11" s="36"/>
      <c r="Y11" s="36"/>
      <c r="Z11" s="36"/>
    </row>
    <row r="12">
      <c r="A12" s="36"/>
      <c r="B12" s="37"/>
      <c r="C12" s="37"/>
      <c r="D12" s="37"/>
      <c r="E12" s="37"/>
      <c r="F12" s="37"/>
      <c r="G12" s="37"/>
      <c r="H12" s="37"/>
      <c r="I12" s="37"/>
      <c r="J12" s="37"/>
      <c r="K12" s="37"/>
      <c r="L12" s="37"/>
      <c r="M12" s="37"/>
      <c r="N12" s="37"/>
      <c r="O12" s="37"/>
      <c r="P12" s="37"/>
      <c r="Q12" s="36"/>
      <c r="R12" s="36"/>
      <c r="S12" s="36"/>
      <c r="T12" s="36"/>
      <c r="U12" s="36"/>
      <c r="V12" s="36"/>
      <c r="W12" s="36"/>
      <c r="X12" s="36"/>
      <c r="Y12" s="36"/>
      <c r="Z12" s="36"/>
    </row>
    <row r="13">
      <c r="A13" s="36"/>
      <c r="B13" s="37"/>
      <c r="C13" s="37"/>
      <c r="D13" s="37"/>
      <c r="E13" s="37"/>
      <c r="F13" s="37"/>
      <c r="G13" s="37"/>
      <c r="H13" s="37"/>
      <c r="I13" s="37"/>
      <c r="J13" s="37"/>
      <c r="K13" s="37"/>
      <c r="L13" s="37"/>
      <c r="M13" s="37"/>
      <c r="N13" s="37"/>
      <c r="O13" s="37"/>
      <c r="P13" s="37"/>
      <c r="Q13" s="36"/>
      <c r="R13" s="36"/>
      <c r="S13" s="36"/>
      <c r="T13" s="36"/>
      <c r="U13" s="36"/>
      <c r="V13" s="36"/>
      <c r="W13" s="36"/>
      <c r="X13" s="36"/>
      <c r="Y13" s="36"/>
      <c r="Z13" s="36"/>
    </row>
    <row r="14">
      <c r="A14" s="36"/>
      <c r="B14" s="35"/>
      <c r="C14" s="35"/>
      <c r="D14" s="35"/>
      <c r="E14" s="35"/>
      <c r="F14" s="35"/>
      <c r="G14" s="35"/>
      <c r="H14" s="35"/>
      <c r="I14" s="35"/>
      <c r="J14" s="35"/>
      <c r="K14" s="35"/>
      <c r="L14" s="35"/>
      <c r="M14" s="35"/>
      <c r="N14" s="35"/>
      <c r="O14" s="35"/>
      <c r="P14" s="35"/>
      <c r="Q14" s="36"/>
      <c r="R14" s="36"/>
      <c r="S14" s="36"/>
      <c r="T14" s="36"/>
      <c r="U14" s="36"/>
      <c r="V14" s="36"/>
      <c r="W14" s="36"/>
      <c r="X14" s="36"/>
      <c r="Y14" s="36"/>
      <c r="Z14" s="36"/>
    </row>
    <row r="15">
      <c r="A15" s="36"/>
      <c r="B15" s="35"/>
      <c r="C15" s="36"/>
      <c r="D15" s="39"/>
      <c r="E15" s="39"/>
      <c r="F15" s="39"/>
      <c r="G15" s="39"/>
      <c r="H15" s="39"/>
      <c r="I15" s="39"/>
      <c r="J15" s="39"/>
      <c r="K15" s="39"/>
      <c r="L15" s="39"/>
      <c r="M15" s="39"/>
      <c r="N15" s="39"/>
      <c r="O15" s="39"/>
      <c r="P15" s="39"/>
      <c r="Q15" s="36"/>
      <c r="R15" s="36"/>
      <c r="S15" s="36"/>
      <c r="T15" s="36"/>
      <c r="U15" s="36"/>
      <c r="V15" s="36"/>
      <c r="W15" s="36"/>
      <c r="X15" s="36"/>
      <c r="Y15" s="36"/>
      <c r="Z15" s="36"/>
    </row>
    <row r="16">
      <c r="A16" s="36"/>
      <c r="B16" s="37"/>
      <c r="C16" s="36"/>
      <c r="D16" s="39"/>
      <c r="E16" s="39"/>
      <c r="F16" s="39"/>
      <c r="G16" s="39"/>
      <c r="H16" s="39"/>
      <c r="I16" s="39"/>
      <c r="J16" s="39"/>
      <c r="K16" s="39"/>
      <c r="L16" s="39"/>
      <c r="M16" s="39"/>
      <c r="N16" s="39"/>
      <c r="O16" s="39"/>
      <c r="P16" s="39"/>
      <c r="Q16" s="36"/>
      <c r="R16" s="36"/>
      <c r="S16" s="36"/>
      <c r="T16" s="36"/>
      <c r="U16" s="36"/>
      <c r="V16" s="36"/>
      <c r="W16" s="36"/>
      <c r="X16" s="36"/>
      <c r="Y16" s="36"/>
      <c r="Z16" s="36"/>
    </row>
    <row r="17">
      <c r="A17" s="36"/>
      <c r="B17" s="37"/>
      <c r="C17" s="36"/>
      <c r="D17" s="39"/>
      <c r="E17" s="39"/>
      <c r="F17" s="39"/>
      <c r="G17" s="39"/>
      <c r="H17" s="39"/>
      <c r="I17" s="39"/>
      <c r="J17" s="39"/>
      <c r="K17" s="39"/>
      <c r="L17" s="39"/>
      <c r="M17" s="39"/>
      <c r="N17" s="39"/>
      <c r="O17" s="39"/>
      <c r="P17" s="39"/>
      <c r="Q17" s="36"/>
      <c r="R17" s="36"/>
      <c r="S17" s="36"/>
      <c r="T17" s="36"/>
      <c r="U17" s="36"/>
      <c r="V17" s="36"/>
      <c r="W17" s="36"/>
      <c r="X17" s="36"/>
      <c r="Y17" s="36"/>
      <c r="Z17" s="36"/>
    </row>
    <row r="18">
      <c r="A18" s="36"/>
      <c r="B18" s="37"/>
      <c r="C18" s="36"/>
      <c r="D18" s="39"/>
      <c r="E18" s="39"/>
      <c r="F18" s="39"/>
      <c r="G18" s="39"/>
      <c r="H18" s="39"/>
      <c r="I18" s="39"/>
      <c r="J18" s="39"/>
      <c r="K18" s="39"/>
      <c r="L18" s="39"/>
      <c r="M18" s="39"/>
      <c r="N18" s="39"/>
      <c r="O18" s="39"/>
      <c r="P18" s="39"/>
      <c r="Q18" s="36"/>
      <c r="R18" s="36"/>
      <c r="S18" s="36"/>
      <c r="T18" s="36"/>
      <c r="U18" s="36"/>
      <c r="V18" s="36"/>
      <c r="W18" s="36"/>
      <c r="X18" s="36"/>
      <c r="Y18" s="36"/>
      <c r="Z18" s="36"/>
    </row>
    <row r="19">
      <c r="A19" s="36"/>
      <c r="B19" s="37"/>
      <c r="C19" s="36"/>
      <c r="D19" s="39"/>
      <c r="E19" s="39"/>
      <c r="F19" s="39"/>
      <c r="G19" s="39"/>
      <c r="H19" s="39"/>
      <c r="I19" s="39"/>
      <c r="J19" s="39"/>
      <c r="K19" s="39"/>
      <c r="L19" s="39"/>
      <c r="M19" s="39"/>
      <c r="N19" s="39"/>
      <c r="O19" s="39"/>
      <c r="P19" s="39"/>
      <c r="Q19" s="36"/>
      <c r="R19" s="36"/>
      <c r="S19" s="36"/>
      <c r="T19" s="36"/>
      <c r="U19" s="36"/>
      <c r="V19" s="36"/>
      <c r="W19" s="36"/>
      <c r="X19" s="36"/>
      <c r="Y19" s="36"/>
      <c r="Z19" s="36"/>
    </row>
    <row r="20">
      <c r="A20" s="36"/>
      <c r="B20" s="37"/>
      <c r="C20" s="37"/>
      <c r="D20" s="37"/>
      <c r="E20" s="37"/>
      <c r="F20" s="37"/>
      <c r="G20" s="37"/>
      <c r="H20" s="37"/>
      <c r="I20" s="37"/>
      <c r="J20" s="37"/>
      <c r="K20" s="37"/>
      <c r="L20" s="37"/>
      <c r="M20" s="37"/>
      <c r="N20" s="37"/>
      <c r="O20" s="37"/>
      <c r="P20" s="37"/>
      <c r="Q20" s="36"/>
      <c r="R20" s="36"/>
      <c r="S20" s="36"/>
      <c r="T20" s="36"/>
      <c r="U20" s="36"/>
      <c r="V20" s="36"/>
      <c r="W20" s="36"/>
      <c r="X20" s="36"/>
      <c r="Y20" s="36"/>
      <c r="Z20" s="36"/>
    </row>
    <row r="21" ht="15.75" customHeight="1">
      <c r="A21" s="36"/>
      <c r="B21" s="37"/>
      <c r="C21" s="37"/>
      <c r="D21" s="37"/>
      <c r="E21" s="37"/>
      <c r="F21" s="37"/>
      <c r="G21" s="37"/>
      <c r="H21" s="37"/>
      <c r="I21" s="37"/>
      <c r="J21" s="37"/>
      <c r="K21" s="37"/>
      <c r="L21" s="37"/>
      <c r="M21" s="37"/>
      <c r="N21" s="37"/>
      <c r="O21" s="37"/>
      <c r="P21" s="37"/>
      <c r="Q21" s="36"/>
      <c r="R21" s="36"/>
      <c r="S21" s="36"/>
      <c r="T21" s="36"/>
      <c r="U21" s="36"/>
      <c r="V21" s="36"/>
      <c r="W21" s="36"/>
      <c r="X21" s="36"/>
      <c r="Y21" s="36"/>
      <c r="Z21" s="36"/>
    </row>
    <row r="22" ht="15.75" customHeight="1">
      <c r="A22" s="36"/>
      <c r="B22" s="40"/>
      <c r="C22" s="36"/>
      <c r="D22" s="36"/>
      <c r="E22" s="36"/>
      <c r="F22" s="35"/>
      <c r="G22" s="35"/>
      <c r="H22" s="35"/>
      <c r="I22" s="35"/>
      <c r="J22" s="35"/>
      <c r="K22" s="35"/>
      <c r="L22" s="35"/>
      <c r="M22" s="35"/>
      <c r="N22" s="35"/>
      <c r="O22" s="35"/>
      <c r="P22" s="35"/>
      <c r="Q22" s="36"/>
      <c r="R22" s="36"/>
      <c r="S22" s="36"/>
      <c r="T22" s="36"/>
      <c r="U22" s="36"/>
      <c r="V22" s="36"/>
      <c r="W22" s="36"/>
      <c r="X22" s="36"/>
      <c r="Y22" s="36"/>
      <c r="Z22" s="36"/>
    </row>
    <row r="23" ht="15.75" customHeight="1">
      <c r="A23" s="36"/>
      <c r="B23" s="40"/>
      <c r="C23" s="41"/>
      <c r="D23" s="41"/>
      <c r="E23" s="41"/>
      <c r="F23" s="41"/>
      <c r="G23" s="35"/>
      <c r="H23" s="35"/>
      <c r="I23" s="35"/>
      <c r="J23" s="42"/>
      <c r="K23" s="42"/>
      <c r="L23" s="42"/>
      <c r="M23" s="42"/>
      <c r="N23" s="42"/>
      <c r="O23" s="42"/>
      <c r="P23" s="42"/>
      <c r="Q23" s="36"/>
      <c r="R23" s="36"/>
      <c r="S23" s="36"/>
      <c r="T23" s="36"/>
      <c r="U23" s="36"/>
      <c r="V23" s="36"/>
      <c r="W23" s="36"/>
      <c r="X23" s="36"/>
      <c r="Y23" s="36"/>
      <c r="Z23" s="36"/>
    </row>
    <row r="24" ht="15.75" customHeight="1">
      <c r="A24" s="36"/>
      <c r="B24" s="35"/>
      <c r="C24" s="35"/>
      <c r="D24" s="35"/>
      <c r="E24" s="35"/>
      <c r="F24" s="35"/>
      <c r="G24" s="35"/>
      <c r="H24" s="35"/>
      <c r="I24" s="35"/>
      <c r="J24" s="35"/>
      <c r="K24" s="35"/>
      <c r="L24" s="35"/>
      <c r="M24" s="35"/>
      <c r="N24" s="35"/>
      <c r="O24" s="35"/>
      <c r="P24" s="35"/>
      <c r="Q24" s="36"/>
      <c r="R24" s="36"/>
      <c r="S24" s="36"/>
      <c r="T24" s="36"/>
      <c r="U24" s="36"/>
      <c r="V24" s="36"/>
      <c r="W24" s="36"/>
      <c r="X24" s="36"/>
      <c r="Y24" s="36"/>
      <c r="Z24" s="36"/>
    </row>
    <row r="25" ht="15.75" customHeight="1">
      <c r="A25" s="36"/>
      <c r="B25" s="35"/>
      <c r="C25" s="35"/>
      <c r="D25" s="35"/>
      <c r="E25" s="35"/>
      <c r="F25" s="35"/>
      <c r="G25" s="35"/>
      <c r="H25" s="35"/>
      <c r="I25" s="35"/>
      <c r="J25" s="35"/>
      <c r="K25" s="35"/>
      <c r="L25" s="35"/>
      <c r="M25" s="35"/>
      <c r="N25" s="35"/>
      <c r="O25" s="35"/>
      <c r="P25" s="35"/>
      <c r="Q25" s="36"/>
      <c r="R25" s="36"/>
      <c r="S25" s="36"/>
      <c r="T25" s="36"/>
      <c r="U25" s="36"/>
      <c r="V25" s="36"/>
      <c r="W25" s="36"/>
      <c r="X25" s="36"/>
      <c r="Y25" s="36"/>
      <c r="Z25" s="36"/>
    </row>
    <row r="26" ht="15.75" customHeight="1">
      <c r="A26" s="35"/>
      <c r="B26" s="35"/>
      <c r="C26" s="35"/>
      <c r="D26" s="35"/>
      <c r="E26" s="35"/>
      <c r="F26" s="35"/>
      <c r="G26" s="35"/>
      <c r="H26" s="35"/>
      <c r="I26" s="35"/>
      <c r="J26" s="35"/>
      <c r="K26" s="35"/>
      <c r="L26" s="35"/>
      <c r="M26" s="35"/>
      <c r="N26" s="35"/>
      <c r="O26" s="35"/>
      <c r="P26" s="35"/>
      <c r="Q26" s="35"/>
      <c r="R26" s="35"/>
      <c r="S26" s="35"/>
      <c r="T26" s="35"/>
      <c r="U26" s="35"/>
      <c r="V26" s="35"/>
      <c r="W26" s="35"/>
      <c r="X26" s="35"/>
      <c r="Y26" s="35"/>
      <c r="Z26" s="35"/>
    </row>
    <row r="27" ht="15.75" customHeight="1">
      <c r="A27" s="35"/>
      <c r="B27" s="35"/>
      <c r="C27" s="35"/>
      <c r="D27" s="35"/>
      <c r="E27" s="35"/>
      <c r="F27" s="35"/>
      <c r="G27" s="35"/>
      <c r="H27" s="35"/>
      <c r="I27" s="35"/>
      <c r="J27" s="35"/>
      <c r="K27" s="35"/>
      <c r="L27" s="35"/>
      <c r="M27" s="35"/>
      <c r="N27" s="35"/>
      <c r="O27" s="35"/>
      <c r="P27" s="35"/>
      <c r="Q27" s="35"/>
      <c r="R27" s="35"/>
      <c r="S27" s="35"/>
      <c r="T27" s="35"/>
      <c r="U27" s="35"/>
      <c r="V27" s="35"/>
      <c r="W27" s="35"/>
      <c r="X27" s="35"/>
      <c r="Y27" s="35"/>
      <c r="Z27" s="35"/>
    </row>
    <row r="28" ht="15.75" customHeight="1">
      <c r="A28" s="35"/>
      <c r="B28" s="35"/>
      <c r="C28" s="35"/>
      <c r="D28" s="35"/>
      <c r="E28" s="35"/>
      <c r="F28" s="35"/>
      <c r="G28" s="35"/>
      <c r="H28" s="35"/>
      <c r="I28" s="35"/>
      <c r="J28" s="35"/>
      <c r="K28" s="35"/>
      <c r="L28" s="35"/>
      <c r="M28" s="35"/>
      <c r="N28" s="35"/>
      <c r="O28" s="35"/>
      <c r="P28" s="35"/>
      <c r="Q28" s="35"/>
      <c r="R28" s="35"/>
      <c r="S28" s="35"/>
      <c r="T28" s="35"/>
      <c r="U28" s="35"/>
      <c r="V28" s="35"/>
      <c r="W28" s="35"/>
      <c r="X28" s="35"/>
      <c r="Y28" s="35"/>
      <c r="Z28" s="35"/>
    </row>
    <row r="29" ht="15.75" customHeight="1">
      <c r="A29" s="35"/>
      <c r="B29" s="35"/>
      <c r="C29" s="35"/>
      <c r="D29" s="35"/>
      <c r="E29" s="35"/>
      <c r="F29" s="35"/>
      <c r="G29" s="35"/>
      <c r="H29" s="35"/>
      <c r="I29" s="35"/>
      <c r="J29" s="35"/>
      <c r="K29" s="35"/>
      <c r="L29" s="35"/>
      <c r="M29" s="35"/>
      <c r="N29" s="35"/>
      <c r="O29" s="35"/>
      <c r="P29" s="35"/>
      <c r="Q29" s="35"/>
      <c r="R29" s="35"/>
      <c r="S29" s="35"/>
      <c r="T29" s="35"/>
      <c r="U29" s="35"/>
      <c r="V29" s="35"/>
      <c r="W29" s="35"/>
      <c r="X29" s="35"/>
      <c r="Y29" s="35"/>
      <c r="Z29" s="35"/>
    </row>
    <row r="30" ht="15.75" customHeight="1">
      <c r="A30" s="35"/>
      <c r="B30" s="35"/>
      <c r="C30" s="35"/>
      <c r="D30" s="35"/>
      <c r="E30" s="35"/>
      <c r="F30" s="35"/>
      <c r="G30" s="35"/>
      <c r="H30" s="35"/>
      <c r="I30" s="35"/>
      <c r="J30" s="35"/>
      <c r="K30" s="35"/>
      <c r="L30" s="35"/>
      <c r="M30" s="35"/>
      <c r="N30" s="35"/>
      <c r="O30" s="35"/>
      <c r="P30" s="35"/>
      <c r="Q30" s="35"/>
      <c r="R30" s="35"/>
      <c r="S30" s="35"/>
      <c r="T30" s="35"/>
      <c r="U30" s="35"/>
      <c r="V30" s="35"/>
      <c r="W30" s="35"/>
      <c r="X30" s="35"/>
      <c r="Y30" s="35"/>
      <c r="Z30" s="35"/>
    </row>
    <row r="31" ht="15.75" customHeight="1">
      <c r="A31" s="35"/>
      <c r="B31" s="35"/>
      <c r="C31" s="35"/>
      <c r="D31" s="35"/>
      <c r="E31" s="35"/>
      <c r="F31" s="35"/>
      <c r="G31" s="35"/>
      <c r="H31" s="35"/>
      <c r="I31" s="35"/>
      <c r="J31" s="35"/>
      <c r="K31" s="35"/>
      <c r="L31" s="35"/>
      <c r="M31" s="35"/>
      <c r="N31" s="35"/>
      <c r="O31" s="35"/>
      <c r="P31" s="35"/>
      <c r="Q31" s="35"/>
      <c r="R31" s="35"/>
      <c r="S31" s="35"/>
      <c r="T31" s="35"/>
      <c r="U31" s="35"/>
      <c r="V31" s="35"/>
      <c r="W31" s="35"/>
      <c r="X31" s="35"/>
      <c r="Y31" s="35"/>
      <c r="Z31" s="35"/>
    </row>
    <row r="32" ht="15.75" customHeight="1">
      <c r="A32" s="35"/>
      <c r="B32" s="35"/>
      <c r="C32" s="35"/>
      <c r="D32" s="35"/>
      <c r="E32" s="35"/>
      <c r="F32" s="35"/>
      <c r="G32" s="35"/>
      <c r="H32" s="35"/>
      <c r="I32" s="35"/>
      <c r="J32" s="35"/>
      <c r="K32" s="35"/>
      <c r="L32" s="35"/>
      <c r="M32" s="35"/>
      <c r="N32" s="35"/>
      <c r="O32" s="35"/>
      <c r="P32" s="35"/>
      <c r="Q32" s="35"/>
      <c r="R32" s="35"/>
      <c r="S32" s="35"/>
      <c r="T32" s="35"/>
      <c r="U32" s="35"/>
      <c r="V32" s="35"/>
      <c r="W32" s="35"/>
      <c r="X32" s="35"/>
      <c r="Y32" s="35"/>
      <c r="Z32" s="35"/>
    </row>
    <row r="33" ht="15.75" customHeight="1">
      <c r="A33" s="35"/>
      <c r="B33" s="35"/>
      <c r="C33" s="35"/>
      <c r="D33" s="35"/>
      <c r="E33" s="35"/>
      <c r="F33" s="35"/>
      <c r="G33" s="35"/>
      <c r="H33" s="35"/>
      <c r="I33" s="35"/>
      <c r="J33" s="35"/>
      <c r="K33" s="35"/>
      <c r="L33" s="35"/>
      <c r="M33" s="35"/>
      <c r="N33" s="35"/>
      <c r="O33" s="35"/>
      <c r="P33" s="35"/>
      <c r="Q33" s="35"/>
      <c r="R33" s="35"/>
      <c r="S33" s="35"/>
      <c r="T33" s="35"/>
      <c r="U33" s="35"/>
      <c r="V33" s="35"/>
      <c r="W33" s="35"/>
      <c r="X33" s="35"/>
      <c r="Y33" s="35"/>
      <c r="Z33" s="35"/>
    </row>
    <row r="34" ht="15.75" customHeight="1">
      <c r="A34" s="35"/>
      <c r="B34" s="35"/>
      <c r="C34" s="35"/>
      <c r="D34" s="35"/>
      <c r="E34" s="35"/>
      <c r="F34" s="35"/>
      <c r="G34" s="35"/>
      <c r="H34" s="35"/>
      <c r="I34" s="35"/>
      <c r="J34" s="35"/>
      <c r="K34" s="35"/>
      <c r="L34" s="35"/>
      <c r="M34" s="35"/>
      <c r="N34" s="35"/>
      <c r="O34" s="35"/>
      <c r="P34" s="35"/>
      <c r="Q34" s="35"/>
      <c r="R34" s="35"/>
      <c r="S34" s="35"/>
      <c r="T34" s="35"/>
      <c r="U34" s="35"/>
      <c r="V34" s="35"/>
      <c r="W34" s="35"/>
      <c r="X34" s="35"/>
      <c r="Y34" s="35"/>
      <c r="Z34" s="35"/>
    </row>
    <row r="35" ht="15.75" customHeight="1">
      <c r="A35" s="35"/>
      <c r="B35" s="35"/>
      <c r="C35" s="35"/>
      <c r="D35" s="35"/>
      <c r="E35" s="35"/>
      <c r="F35" s="35"/>
      <c r="G35" s="35"/>
      <c r="H35" s="35"/>
      <c r="I35" s="35"/>
      <c r="J35" s="35"/>
      <c r="K35" s="35"/>
      <c r="L35" s="35"/>
      <c r="M35" s="35"/>
      <c r="N35" s="35"/>
      <c r="O35" s="35"/>
      <c r="P35" s="35"/>
      <c r="Q35" s="35"/>
      <c r="R35" s="35"/>
      <c r="S35" s="35"/>
      <c r="T35" s="35"/>
      <c r="U35" s="35"/>
      <c r="V35" s="35"/>
      <c r="W35" s="35"/>
      <c r="X35" s="35"/>
      <c r="Y35" s="35"/>
      <c r="Z35" s="35"/>
    </row>
    <row r="36" ht="15.75" customHeight="1">
      <c r="A36" s="35"/>
      <c r="B36" s="35"/>
      <c r="C36" s="35"/>
      <c r="D36" s="35"/>
      <c r="E36" s="35"/>
      <c r="F36" s="35"/>
      <c r="G36" s="35"/>
      <c r="H36" s="35"/>
      <c r="I36" s="35"/>
      <c r="J36" s="35"/>
      <c r="K36" s="35"/>
      <c r="L36" s="35"/>
      <c r="M36" s="35"/>
      <c r="N36" s="35"/>
      <c r="O36" s="35"/>
      <c r="P36" s="35"/>
      <c r="Q36" s="35"/>
      <c r="R36" s="35"/>
      <c r="S36" s="35"/>
      <c r="T36" s="35"/>
      <c r="U36" s="35"/>
      <c r="V36" s="35"/>
      <c r="W36" s="35"/>
      <c r="X36" s="35"/>
      <c r="Y36" s="35"/>
      <c r="Z36" s="35"/>
    </row>
    <row r="37" ht="15.75" customHeight="1">
      <c r="A37" s="35"/>
      <c r="B37" s="35"/>
      <c r="C37" s="35"/>
      <c r="D37" s="35"/>
      <c r="E37" s="35"/>
      <c r="F37" s="35"/>
      <c r="G37" s="35"/>
      <c r="H37" s="35"/>
      <c r="I37" s="35"/>
      <c r="J37" s="35"/>
      <c r="K37" s="35"/>
      <c r="L37" s="35"/>
      <c r="M37" s="35"/>
      <c r="N37" s="35"/>
      <c r="O37" s="35"/>
      <c r="P37" s="35"/>
      <c r="Q37" s="35"/>
      <c r="R37" s="35"/>
      <c r="S37" s="35"/>
      <c r="T37" s="35"/>
      <c r="U37" s="35"/>
      <c r="V37" s="35"/>
      <c r="W37" s="35"/>
      <c r="X37" s="35"/>
      <c r="Y37" s="35"/>
      <c r="Z37" s="35"/>
    </row>
    <row r="38" ht="15.75" customHeight="1">
      <c r="A38" s="35"/>
      <c r="B38" s="35"/>
      <c r="C38" s="35"/>
      <c r="D38" s="35"/>
      <c r="E38" s="35"/>
      <c r="F38" s="35"/>
      <c r="G38" s="35"/>
      <c r="H38" s="35"/>
      <c r="I38" s="35"/>
      <c r="J38" s="35"/>
      <c r="K38" s="35"/>
      <c r="L38" s="35"/>
      <c r="M38" s="35"/>
      <c r="N38" s="35"/>
      <c r="O38" s="35"/>
      <c r="P38" s="35"/>
      <c r="Q38" s="35"/>
      <c r="R38" s="35"/>
      <c r="S38" s="35"/>
      <c r="T38" s="35"/>
      <c r="U38" s="35"/>
      <c r="V38" s="35"/>
      <c r="W38" s="35"/>
      <c r="X38" s="35"/>
      <c r="Y38" s="35"/>
      <c r="Z38" s="35"/>
    </row>
    <row r="39" ht="15.75" customHeight="1">
      <c r="A39" s="35"/>
      <c r="B39" s="35"/>
      <c r="C39" s="35"/>
      <c r="D39" s="35"/>
      <c r="E39" s="35"/>
      <c r="F39" s="35"/>
      <c r="G39" s="35"/>
      <c r="H39" s="35"/>
      <c r="I39" s="35"/>
      <c r="J39" s="35"/>
      <c r="K39" s="35"/>
      <c r="L39" s="35"/>
      <c r="M39" s="35"/>
      <c r="N39" s="35"/>
      <c r="O39" s="35"/>
      <c r="P39" s="35"/>
      <c r="Q39" s="35"/>
      <c r="R39" s="35"/>
      <c r="S39" s="35"/>
      <c r="T39" s="35"/>
      <c r="U39" s="35"/>
      <c r="V39" s="35"/>
      <c r="W39" s="35"/>
      <c r="X39" s="35"/>
      <c r="Y39" s="35"/>
      <c r="Z39" s="35"/>
    </row>
    <row r="40" ht="15.75" customHeight="1">
      <c r="A40" s="35"/>
      <c r="B40" s="35"/>
      <c r="C40" s="35"/>
      <c r="D40" s="35"/>
      <c r="E40" s="35"/>
      <c r="F40" s="35"/>
      <c r="G40" s="35"/>
      <c r="H40" s="35"/>
      <c r="I40" s="35"/>
      <c r="J40" s="35"/>
      <c r="K40" s="35"/>
      <c r="L40" s="35"/>
      <c r="M40" s="35"/>
      <c r="N40" s="35"/>
      <c r="O40" s="35"/>
      <c r="P40" s="35"/>
      <c r="Q40" s="35"/>
      <c r="R40" s="35"/>
      <c r="S40" s="35"/>
      <c r="T40" s="35"/>
      <c r="U40" s="35"/>
      <c r="V40" s="35"/>
      <c r="W40" s="35"/>
      <c r="X40" s="35"/>
      <c r="Y40" s="35"/>
      <c r="Z40" s="35"/>
    </row>
    <row r="41" ht="15.75" customHeight="1">
      <c r="A41" s="35"/>
      <c r="B41" s="35"/>
      <c r="C41" s="35"/>
      <c r="D41" s="35"/>
      <c r="E41" s="35"/>
      <c r="F41" s="35"/>
      <c r="G41" s="35"/>
      <c r="H41" s="35"/>
      <c r="I41" s="35"/>
      <c r="J41" s="35"/>
      <c r="K41" s="35"/>
      <c r="L41" s="35"/>
      <c r="M41" s="35"/>
      <c r="N41" s="35"/>
      <c r="O41" s="35"/>
      <c r="P41" s="35"/>
      <c r="Q41" s="35"/>
      <c r="R41" s="35"/>
      <c r="S41" s="35"/>
      <c r="T41" s="35"/>
      <c r="U41" s="35"/>
      <c r="V41" s="35"/>
      <c r="W41" s="35"/>
      <c r="X41" s="35"/>
      <c r="Y41" s="35"/>
      <c r="Z41" s="35"/>
    </row>
    <row r="42" ht="15.75" customHeight="1">
      <c r="A42" s="35"/>
      <c r="B42" s="35"/>
      <c r="C42" s="35"/>
      <c r="D42" s="35"/>
      <c r="E42" s="35"/>
      <c r="F42" s="35"/>
      <c r="G42" s="35"/>
      <c r="H42" s="35"/>
      <c r="I42" s="35"/>
      <c r="J42" s="35"/>
      <c r="K42" s="35"/>
      <c r="L42" s="35"/>
      <c r="M42" s="35"/>
      <c r="N42" s="35"/>
      <c r="O42" s="35"/>
      <c r="P42" s="35"/>
      <c r="Q42" s="35"/>
      <c r="R42" s="35"/>
      <c r="S42" s="35"/>
      <c r="T42" s="35"/>
      <c r="U42" s="35"/>
      <c r="V42" s="35"/>
      <c r="W42" s="35"/>
      <c r="X42" s="35"/>
      <c r="Y42" s="35"/>
      <c r="Z42" s="35"/>
    </row>
    <row r="43" ht="15.75" customHeight="1">
      <c r="A43" s="35"/>
      <c r="B43" s="35"/>
      <c r="C43" s="35"/>
      <c r="D43" s="35"/>
      <c r="E43" s="35"/>
      <c r="F43" s="35"/>
      <c r="G43" s="35"/>
      <c r="H43" s="35"/>
      <c r="I43" s="35"/>
      <c r="J43" s="35"/>
      <c r="K43" s="35"/>
      <c r="L43" s="35"/>
      <c r="M43" s="35"/>
      <c r="N43" s="35"/>
      <c r="O43" s="35"/>
      <c r="P43" s="35"/>
      <c r="Q43" s="35"/>
      <c r="R43" s="35"/>
      <c r="S43" s="35"/>
      <c r="T43" s="35"/>
      <c r="U43" s="35"/>
      <c r="V43" s="35"/>
      <c r="W43" s="35"/>
      <c r="X43" s="35"/>
      <c r="Y43" s="35"/>
      <c r="Z43" s="35"/>
    </row>
    <row r="44" ht="15.75" customHeight="1">
      <c r="A44" s="35"/>
      <c r="B44" s="35"/>
      <c r="C44" s="35"/>
      <c r="D44" s="35"/>
      <c r="E44" s="35"/>
      <c r="F44" s="35"/>
      <c r="G44" s="35"/>
      <c r="H44" s="35"/>
      <c r="I44" s="35"/>
      <c r="J44" s="35"/>
      <c r="K44" s="35"/>
      <c r="L44" s="35"/>
      <c r="M44" s="35"/>
      <c r="N44" s="35"/>
      <c r="O44" s="35"/>
      <c r="P44" s="35"/>
      <c r="Q44" s="35"/>
      <c r="R44" s="35"/>
      <c r="S44" s="35"/>
      <c r="T44" s="35"/>
      <c r="U44" s="35"/>
      <c r="V44" s="35"/>
      <c r="W44" s="35"/>
      <c r="X44" s="35"/>
      <c r="Y44" s="35"/>
      <c r="Z44" s="35"/>
    </row>
    <row r="45" ht="15.75" customHeight="1">
      <c r="A45" s="35"/>
      <c r="B45" s="35"/>
      <c r="C45" s="35"/>
      <c r="D45" s="35"/>
      <c r="E45" s="35"/>
      <c r="F45" s="35"/>
      <c r="G45" s="35"/>
      <c r="H45" s="35"/>
      <c r="I45" s="35"/>
      <c r="J45" s="35"/>
      <c r="K45" s="35"/>
      <c r="L45" s="35"/>
      <c r="M45" s="35"/>
      <c r="N45" s="35"/>
      <c r="O45" s="35"/>
      <c r="P45" s="35"/>
      <c r="Q45" s="35"/>
      <c r="R45" s="35"/>
      <c r="S45" s="35"/>
      <c r="T45" s="35"/>
      <c r="U45" s="35"/>
      <c r="V45" s="35"/>
      <c r="W45" s="35"/>
      <c r="X45" s="35"/>
      <c r="Y45" s="35"/>
      <c r="Z45" s="35"/>
    </row>
    <row r="46" ht="15.75" customHeight="1">
      <c r="A46" s="35"/>
      <c r="B46" s="35"/>
      <c r="C46" s="35"/>
      <c r="D46" s="35"/>
      <c r="E46" s="35"/>
      <c r="F46" s="35"/>
      <c r="G46" s="35"/>
      <c r="H46" s="35"/>
      <c r="I46" s="35"/>
      <c r="J46" s="35"/>
      <c r="K46" s="35"/>
      <c r="L46" s="35"/>
      <c r="M46" s="35"/>
      <c r="N46" s="35"/>
      <c r="O46" s="35"/>
      <c r="P46" s="35"/>
      <c r="Q46" s="35"/>
      <c r="R46" s="35"/>
      <c r="S46" s="35"/>
      <c r="T46" s="35"/>
      <c r="U46" s="35"/>
      <c r="V46" s="35"/>
      <c r="W46" s="35"/>
      <c r="X46" s="35"/>
      <c r="Y46" s="35"/>
      <c r="Z46" s="35"/>
    </row>
    <row r="47" ht="15.75" customHeight="1">
      <c r="A47" s="35"/>
      <c r="B47" s="35"/>
      <c r="C47" s="35"/>
      <c r="D47" s="35"/>
      <c r="E47" s="35"/>
      <c r="F47" s="35"/>
      <c r="G47" s="35"/>
      <c r="H47" s="35"/>
      <c r="I47" s="35"/>
      <c r="J47" s="35"/>
      <c r="K47" s="35"/>
      <c r="L47" s="35"/>
      <c r="M47" s="35"/>
      <c r="N47" s="35"/>
      <c r="O47" s="35"/>
      <c r="P47" s="35"/>
      <c r="Q47" s="35"/>
      <c r="R47" s="35"/>
      <c r="S47" s="35"/>
      <c r="T47" s="35"/>
      <c r="U47" s="35"/>
      <c r="V47" s="35"/>
      <c r="W47" s="35"/>
      <c r="X47" s="35"/>
      <c r="Y47" s="35"/>
      <c r="Z47" s="35"/>
    </row>
    <row r="48" ht="15.75" customHeight="1">
      <c r="A48" s="35"/>
      <c r="B48" s="35"/>
      <c r="C48" s="35"/>
      <c r="D48" s="35"/>
      <c r="E48" s="35"/>
      <c r="F48" s="35"/>
      <c r="G48" s="35"/>
      <c r="H48" s="35"/>
      <c r="I48" s="35"/>
      <c r="J48" s="35"/>
      <c r="K48" s="35"/>
      <c r="L48" s="35"/>
      <c r="M48" s="35"/>
      <c r="N48" s="35"/>
      <c r="O48" s="35"/>
      <c r="P48" s="35"/>
      <c r="Q48" s="35"/>
      <c r="R48" s="35"/>
      <c r="S48" s="35"/>
      <c r="T48" s="35"/>
      <c r="U48" s="35"/>
      <c r="V48" s="35"/>
      <c r="W48" s="35"/>
      <c r="X48" s="35"/>
      <c r="Y48" s="35"/>
      <c r="Z48" s="35"/>
    </row>
    <row r="49" ht="15.75" customHeight="1">
      <c r="A49" s="35"/>
      <c r="B49" s="35"/>
      <c r="C49" s="35"/>
      <c r="D49" s="35"/>
      <c r="E49" s="35"/>
      <c r="F49" s="35"/>
      <c r="G49" s="35"/>
      <c r="H49" s="35"/>
      <c r="I49" s="35"/>
      <c r="J49" s="35"/>
      <c r="K49" s="35"/>
      <c r="L49" s="35"/>
      <c r="M49" s="35"/>
      <c r="N49" s="35"/>
      <c r="O49" s="35"/>
      <c r="P49" s="35"/>
      <c r="Q49" s="35"/>
      <c r="R49" s="35"/>
      <c r="S49" s="35"/>
      <c r="T49" s="35"/>
      <c r="U49" s="35"/>
      <c r="V49" s="35"/>
      <c r="W49" s="35"/>
      <c r="X49" s="35"/>
      <c r="Y49" s="35"/>
      <c r="Z49" s="35"/>
    </row>
    <row r="50" ht="15.75" customHeight="1">
      <c r="A50" s="35"/>
      <c r="B50" s="35"/>
      <c r="C50" s="35"/>
      <c r="D50" s="35"/>
      <c r="E50" s="35"/>
      <c r="F50" s="35"/>
      <c r="G50" s="35"/>
      <c r="H50" s="35"/>
      <c r="I50" s="35"/>
      <c r="J50" s="35"/>
      <c r="K50" s="35"/>
      <c r="L50" s="35"/>
      <c r="M50" s="35"/>
      <c r="N50" s="35"/>
      <c r="O50" s="35"/>
      <c r="P50" s="35"/>
      <c r="Q50" s="35"/>
      <c r="R50" s="35"/>
      <c r="S50" s="35"/>
      <c r="T50" s="35"/>
      <c r="U50" s="35"/>
      <c r="V50" s="35"/>
      <c r="W50" s="35"/>
      <c r="X50" s="35"/>
      <c r="Y50" s="35"/>
      <c r="Z50" s="35"/>
    </row>
    <row r="51" ht="15.75" customHeight="1">
      <c r="A51" s="35"/>
      <c r="B51" s="35"/>
      <c r="C51" s="35"/>
      <c r="D51" s="35"/>
      <c r="E51" s="35"/>
      <c r="F51" s="35"/>
      <c r="G51" s="35"/>
      <c r="H51" s="35"/>
      <c r="I51" s="35"/>
      <c r="J51" s="35"/>
      <c r="K51" s="35"/>
      <c r="L51" s="35"/>
      <c r="M51" s="35"/>
      <c r="N51" s="35"/>
      <c r="O51" s="35"/>
      <c r="P51" s="35"/>
      <c r="Q51" s="35"/>
      <c r="R51" s="35"/>
      <c r="S51" s="35"/>
      <c r="T51" s="35"/>
      <c r="U51" s="35"/>
      <c r="V51" s="35"/>
      <c r="W51" s="35"/>
      <c r="X51" s="35"/>
      <c r="Y51" s="35"/>
      <c r="Z51" s="35"/>
    </row>
    <row r="52" ht="15.75" customHeight="1">
      <c r="A52" s="35"/>
      <c r="B52" s="35"/>
      <c r="C52" s="35"/>
      <c r="D52" s="35"/>
      <c r="E52" s="35"/>
      <c r="F52" s="35"/>
      <c r="G52" s="35"/>
      <c r="H52" s="35"/>
      <c r="I52" s="35"/>
      <c r="J52" s="35"/>
      <c r="K52" s="35"/>
      <c r="L52" s="35"/>
      <c r="M52" s="35"/>
      <c r="N52" s="35"/>
      <c r="O52" s="35"/>
      <c r="P52" s="35"/>
      <c r="Q52" s="35"/>
      <c r="R52" s="35"/>
      <c r="S52" s="35"/>
      <c r="T52" s="35"/>
      <c r="U52" s="35"/>
      <c r="V52" s="35"/>
      <c r="W52" s="35"/>
      <c r="X52" s="35"/>
      <c r="Y52" s="35"/>
      <c r="Z52" s="35"/>
    </row>
    <row r="53" ht="15.75" customHeight="1">
      <c r="A53" s="35"/>
      <c r="B53" s="35"/>
      <c r="C53" s="35"/>
      <c r="D53" s="35"/>
      <c r="E53" s="35"/>
      <c r="F53" s="35"/>
      <c r="G53" s="35"/>
      <c r="H53" s="35"/>
      <c r="I53" s="35"/>
      <c r="J53" s="35"/>
      <c r="K53" s="35"/>
      <c r="L53" s="35"/>
      <c r="M53" s="35"/>
      <c r="N53" s="35"/>
      <c r="O53" s="35"/>
      <c r="P53" s="35"/>
      <c r="Q53" s="35"/>
      <c r="R53" s="35"/>
      <c r="S53" s="35"/>
      <c r="T53" s="35"/>
      <c r="U53" s="35"/>
      <c r="V53" s="35"/>
      <c r="W53" s="35"/>
      <c r="X53" s="35"/>
      <c r="Y53" s="35"/>
      <c r="Z53" s="35"/>
    </row>
    <row r="54" ht="15.75" customHeight="1">
      <c r="A54" s="35"/>
      <c r="B54" s="35"/>
      <c r="C54" s="35"/>
      <c r="D54" s="35"/>
      <c r="E54" s="35"/>
      <c r="F54" s="35"/>
      <c r="G54" s="35"/>
      <c r="H54" s="35"/>
      <c r="I54" s="35"/>
      <c r="J54" s="35"/>
      <c r="K54" s="35"/>
      <c r="L54" s="35"/>
      <c r="M54" s="35"/>
      <c r="N54" s="35"/>
      <c r="O54" s="35"/>
      <c r="P54" s="35"/>
      <c r="Q54" s="35"/>
      <c r="R54" s="35"/>
      <c r="S54" s="35"/>
      <c r="T54" s="35"/>
      <c r="U54" s="35"/>
      <c r="V54" s="35"/>
      <c r="W54" s="35"/>
      <c r="X54" s="35"/>
      <c r="Y54" s="35"/>
      <c r="Z54" s="35"/>
    </row>
    <row r="55" ht="15.75" customHeight="1">
      <c r="A55" s="35"/>
      <c r="B55" s="35"/>
      <c r="C55" s="35"/>
      <c r="D55" s="35"/>
      <c r="E55" s="35"/>
      <c r="F55" s="35"/>
      <c r="G55" s="35"/>
      <c r="H55" s="35"/>
      <c r="I55" s="35"/>
      <c r="J55" s="35"/>
      <c r="K55" s="35"/>
      <c r="L55" s="35"/>
      <c r="M55" s="35"/>
      <c r="N55" s="35"/>
      <c r="O55" s="35"/>
      <c r="P55" s="35"/>
      <c r="Q55" s="35"/>
      <c r="R55" s="35"/>
      <c r="S55" s="35"/>
      <c r="T55" s="35"/>
      <c r="U55" s="35"/>
      <c r="V55" s="35"/>
      <c r="W55" s="35"/>
      <c r="X55" s="35"/>
      <c r="Y55" s="35"/>
      <c r="Z55" s="35"/>
    </row>
    <row r="56" ht="15.75" customHeight="1">
      <c r="A56" s="35"/>
      <c r="B56" s="35"/>
      <c r="C56" s="35"/>
      <c r="D56" s="35"/>
      <c r="E56" s="35"/>
      <c r="F56" s="35"/>
      <c r="G56" s="35"/>
      <c r="H56" s="35"/>
      <c r="I56" s="35"/>
      <c r="J56" s="35"/>
      <c r="K56" s="35"/>
      <c r="L56" s="35"/>
      <c r="M56" s="35"/>
      <c r="N56" s="35"/>
      <c r="O56" s="35"/>
      <c r="P56" s="35"/>
      <c r="Q56" s="35"/>
      <c r="R56" s="35"/>
      <c r="S56" s="35"/>
      <c r="T56" s="35"/>
      <c r="U56" s="35"/>
      <c r="V56" s="35"/>
      <c r="W56" s="35"/>
      <c r="X56" s="35"/>
      <c r="Y56" s="35"/>
      <c r="Z56" s="35"/>
    </row>
    <row r="57" ht="15.75" customHeight="1">
      <c r="A57" s="35"/>
      <c r="B57" s="35"/>
      <c r="C57" s="35"/>
      <c r="D57" s="35"/>
      <c r="E57" s="35"/>
      <c r="F57" s="35"/>
      <c r="G57" s="35"/>
      <c r="H57" s="35"/>
      <c r="I57" s="35"/>
      <c r="J57" s="35"/>
      <c r="K57" s="35"/>
      <c r="L57" s="35"/>
      <c r="M57" s="35"/>
      <c r="N57" s="35"/>
      <c r="O57" s="35"/>
      <c r="P57" s="35"/>
      <c r="Q57" s="35"/>
      <c r="R57" s="35"/>
      <c r="S57" s="35"/>
      <c r="T57" s="35"/>
      <c r="U57" s="35"/>
      <c r="V57" s="35"/>
      <c r="W57" s="35"/>
      <c r="X57" s="35"/>
      <c r="Y57" s="35"/>
      <c r="Z57" s="35"/>
    </row>
    <row r="58" ht="15.75" customHeight="1">
      <c r="A58" s="35"/>
      <c r="B58" s="35"/>
      <c r="C58" s="35"/>
      <c r="D58" s="35"/>
      <c r="E58" s="35"/>
      <c r="F58" s="35"/>
      <c r="G58" s="35"/>
      <c r="H58" s="35"/>
      <c r="I58" s="35"/>
      <c r="J58" s="35"/>
      <c r="K58" s="35"/>
      <c r="L58" s="35"/>
      <c r="M58" s="35"/>
      <c r="N58" s="35"/>
      <c r="O58" s="35"/>
      <c r="P58" s="35"/>
      <c r="Q58" s="35"/>
      <c r="R58" s="35"/>
      <c r="S58" s="35"/>
      <c r="T58" s="35"/>
      <c r="U58" s="35"/>
      <c r="V58" s="35"/>
      <c r="W58" s="35"/>
      <c r="X58" s="35"/>
      <c r="Y58" s="35"/>
      <c r="Z58" s="35"/>
    </row>
    <row r="59" ht="15.75" customHeight="1">
      <c r="A59" s="35"/>
      <c r="B59" s="35"/>
      <c r="C59" s="35"/>
      <c r="D59" s="35"/>
      <c r="E59" s="35"/>
      <c r="F59" s="35"/>
      <c r="G59" s="35"/>
      <c r="H59" s="35"/>
      <c r="I59" s="35"/>
      <c r="J59" s="35"/>
      <c r="K59" s="35"/>
      <c r="L59" s="35"/>
      <c r="M59" s="35"/>
      <c r="N59" s="35"/>
      <c r="O59" s="35"/>
      <c r="P59" s="35"/>
      <c r="Q59" s="35"/>
      <c r="R59" s="35"/>
      <c r="S59" s="35"/>
      <c r="T59" s="35"/>
      <c r="U59" s="35"/>
      <c r="V59" s="35"/>
      <c r="W59" s="35"/>
      <c r="X59" s="35"/>
      <c r="Y59" s="35"/>
      <c r="Z59" s="35"/>
    </row>
    <row r="60" ht="15.75" customHeight="1">
      <c r="A60" s="35"/>
      <c r="B60" s="35"/>
      <c r="C60" s="35"/>
      <c r="D60" s="35"/>
      <c r="E60" s="35"/>
      <c r="F60" s="35"/>
      <c r="G60" s="35"/>
      <c r="H60" s="35"/>
      <c r="I60" s="35"/>
      <c r="J60" s="35"/>
      <c r="K60" s="35"/>
      <c r="L60" s="35"/>
      <c r="M60" s="35"/>
      <c r="N60" s="35"/>
      <c r="O60" s="35"/>
      <c r="P60" s="35"/>
      <c r="Q60" s="35"/>
      <c r="R60" s="35"/>
      <c r="S60" s="35"/>
      <c r="T60" s="35"/>
      <c r="U60" s="35"/>
      <c r="V60" s="35"/>
      <c r="W60" s="35"/>
      <c r="X60" s="35"/>
      <c r="Y60" s="35"/>
      <c r="Z60" s="35"/>
    </row>
    <row r="61" ht="15.75" customHeight="1">
      <c r="A61" s="35"/>
      <c r="B61" s="35"/>
      <c r="C61" s="35"/>
      <c r="D61" s="35"/>
      <c r="E61" s="35"/>
      <c r="F61" s="35"/>
      <c r="G61" s="35"/>
      <c r="H61" s="35"/>
      <c r="I61" s="35"/>
      <c r="J61" s="35"/>
      <c r="K61" s="35"/>
      <c r="L61" s="35"/>
      <c r="M61" s="35"/>
      <c r="N61" s="35"/>
      <c r="O61" s="35"/>
      <c r="P61" s="35"/>
      <c r="Q61" s="35"/>
      <c r="R61" s="35"/>
      <c r="S61" s="35"/>
      <c r="T61" s="35"/>
      <c r="U61" s="35"/>
      <c r="V61" s="35"/>
      <c r="W61" s="35"/>
      <c r="X61" s="35"/>
      <c r="Y61" s="35"/>
      <c r="Z61" s="35"/>
    </row>
    <row r="62" ht="15.75" customHeight="1">
      <c r="A62" s="35"/>
      <c r="B62" s="35"/>
      <c r="C62" s="35"/>
      <c r="D62" s="35"/>
      <c r="E62" s="35"/>
      <c r="F62" s="35"/>
      <c r="G62" s="35"/>
      <c r="H62" s="35"/>
      <c r="I62" s="35"/>
      <c r="J62" s="35"/>
      <c r="K62" s="35"/>
      <c r="L62" s="35"/>
      <c r="M62" s="35"/>
      <c r="N62" s="35"/>
      <c r="O62" s="35"/>
      <c r="P62" s="35"/>
      <c r="Q62" s="35"/>
      <c r="R62" s="35"/>
      <c r="S62" s="35"/>
      <c r="T62" s="35"/>
      <c r="U62" s="35"/>
      <c r="V62" s="35"/>
      <c r="W62" s="35"/>
      <c r="X62" s="35"/>
      <c r="Y62" s="35"/>
      <c r="Z62" s="35"/>
    </row>
    <row r="63" ht="15.75" customHeight="1">
      <c r="A63" s="35"/>
      <c r="B63" s="35"/>
      <c r="C63" s="35"/>
      <c r="D63" s="35"/>
      <c r="E63" s="35"/>
      <c r="F63" s="35"/>
      <c r="G63" s="35"/>
      <c r="H63" s="35"/>
      <c r="I63" s="35"/>
      <c r="J63" s="35"/>
      <c r="K63" s="35"/>
      <c r="L63" s="35"/>
      <c r="M63" s="35"/>
      <c r="N63" s="35"/>
      <c r="O63" s="35"/>
      <c r="P63" s="35"/>
      <c r="Q63" s="35"/>
      <c r="R63" s="35"/>
      <c r="S63" s="35"/>
      <c r="T63" s="35"/>
      <c r="U63" s="35"/>
      <c r="V63" s="35"/>
      <c r="W63" s="35"/>
      <c r="X63" s="35"/>
      <c r="Y63" s="35"/>
      <c r="Z63" s="35"/>
    </row>
    <row r="64" ht="15.75" customHeight="1">
      <c r="A64" s="35"/>
      <c r="B64" s="35"/>
      <c r="C64" s="35"/>
      <c r="D64" s="35"/>
      <c r="E64" s="35"/>
      <c r="F64" s="35"/>
      <c r="G64" s="35"/>
      <c r="H64" s="35"/>
      <c r="I64" s="35"/>
      <c r="J64" s="35"/>
      <c r="K64" s="35"/>
      <c r="L64" s="35"/>
      <c r="M64" s="35"/>
      <c r="N64" s="35"/>
      <c r="O64" s="35"/>
      <c r="P64" s="35"/>
      <c r="Q64" s="35"/>
      <c r="R64" s="35"/>
      <c r="S64" s="35"/>
      <c r="T64" s="35"/>
      <c r="U64" s="35"/>
      <c r="V64" s="35"/>
      <c r="W64" s="35"/>
      <c r="X64" s="35"/>
      <c r="Y64" s="35"/>
      <c r="Z64" s="35"/>
    </row>
    <row r="65" ht="15.75" customHeight="1">
      <c r="A65" s="35"/>
      <c r="B65" s="35"/>
      <c r="C65" s="35"/>
      <c r="D65" s="35"/>
      <c r="E65" s="35"/>
      <c r="F65" s="35"/>
      <c r="G65" s="35"/>
      <c r="H65" s="35"/>
      <c r="I65" s="35"/>
      <c r="J65" s="35"/>
      <c r="K65" s="35"/>
      <c r="L65" s="35"/>
      <c r="M65" s="35"/>
      <c r="N65" s="35"/>
      <c r="O65" s="35"/>
      <c r="P65" s="35"/>
      <c r="Q65" s="35"/>
      <c r="R65" s="35"/>
      <c r="S65" s="35"/>
      <c r="T65" s="35"/>
      <c r="U65" s="35"/>
      <c r="V65" s="35"/>
      <c r="W65" s="35"/>
      <c r="X65" s="35"/>
      <c r="Y65" s="35"/>
      <c r="Z65" s="35"/>
    </row>
    <row r="66" ht="15.75" customHeight="1">
      <c r="A66" s="35"/>
      <c r="B66" s="35"/>
      <c r="C66" s="35"/>
      <c r="D66" s="35"/>
      <c r="E66" s="35"/>
      <c r="F66" s="35"/>
      <c r="G66" s="35"/>
      <c r="H66" s="35"/>
      <c r="I66" s="35"/>
      <c r="J66" s="35"/>
      <c r="K66" s="35"/>
      <c r="L66" s="35"/>
      <c r="M66" s="35"/>
      <c r="N66" s="35"/>
      <c r="O66" s="35"/>
      <c r="P66" s="35"/>
      <c r="Q66" s="35"/>
      <c r="R66" s="35"/>
      <c r="S66" s="35"/>
      <c r="T66" s="35"/>
      <c r="U66" s="35"/>
      <c r="V66" s="35"/>
      <c r="W66" s="35"/>
      <c r="X66" s="35"/>
      <c r="Y66" s="35"/>
      <c r="Z66" s="35"/>
    </row>
    <row r="67" ht="15.75" customHeight="1">
      <c r="A67" s="35"/>
      <c r="B67" s="35"/>
      <c r="C67" s="35"/>
      <c r="D67" s="35"/>
      <c r="E67" s="35"/>
      <c r="F67" s="35"/>
      <c r="G67" s="35"/>
      <c r="H67" s="35"/>
      <c r="I67" s="35"/>
      <c r="J67" s="35"/>
      <c r="K67" s="35"/>
      <c r="L67" s="35"/>
      <c r="M67" s="35"/>
      <c r="N67" s="35"/>
      <c r="O67" s="35"/>
      <c r="P67" s="35"/>
      <c r="Q67" s="35"/>
      <c r="R67" s="35"/>
      <c r="S67" s="35"/>
      <c r="T67" s="35"/>
      <c r="U67" s="35"/>
      <c r="V67" s="35"/>
      <c r="W67" s="35"/>
      <c r="X67" s="35"/>
      <c r="Y67" s="35"/>
      <c r="Z67" s="35"/>
    </row>
    <row r="68" ht="15.75" customHeight="1">
      <c r="A68" s="35"/>
      <c r="B68" s="35"/>
      <c r="C68" s="35"/>
      <c r="D68" s="35"/>
      <c r="E68" s="35"/>
      <c r="F68" s="35"/>
      <c r="G68" s="35"/>
      <c r="H68" s="35"/>
      <c r="I68" s="35"/>
      <c r="J68" s="35"/>
      <c r="K68" s="35"/>
      <c r="L68" s="35"/>
      <c r="M68" s="35"/>
      <c r="N68" s="35"/>
      <c r="O68" s="35"/>
      <c r="P68" s="35"/>
      <c r="Q68" s="35"/>
      <c r="R68" s="35"/>
      <c r="S68" s="35"/>
      <c r="T68" s="35"/>
      <c r="U68" s="35"/>
      <c r="V68" s="35"/>
      <c r="W68" s="35"/>
      <c r="X68" s="35"/>
      <c r="Y68" s="35"/>
      <c r="Z68" s="35"/>
    </row>
    <row r="69" ht="15.75" customHeight="1">
      <c r="A69" s="35"/>
      <c r="B69" s="35"/>
      <c r="C69" s="35"/>
      <c r="D69" s="35"/>
      <c r="E69" s="35"/>
      <c r="F69" s="35"/>
      <c r="G69" s="35"/>
      <c r="H69" s="35"/>
      <c r="I69" s="35"/>
      <c r="J69" s="35"/>
      <c r="K69" s="35"/>
      <c r="L69" s="35"/>
      <c r="M69" s="35"/>
      <c r="N69" s="35"/>
      <c r="O69" s="35"/>
      <c r="P69" s="35"/>
      <c r="Q69" s="35"/>
      <c r="R69" s="35"/>
      <c r="S69" s="35"/>
      <c r="T69" s="35"/>
      <c r="U69" s="35"/>
      <c r="V69" s="35"/>
      <c r="W69" s="35"/>
      <c r="X69" s="35"/>
      <c r="Y69" s="35"/>
      <c r="Z69" s="35"/>
    </row>
    <row r="70" ht="15.75" customHeight="1">
      <c r="A70" s="35"/>
      <c r="B70" s="35"/>
      <c r="C70" s="35"/>
      <c r="D70" s="35"/>
      <c r="E70" s="35"/>
      <c r="F70" s="35"/>
      <c r="G70" s="35"/>
      <c r="H70" s="35"/>
      <c r="I70" s="35"/>
      <c r="J70" s="35"/>
      <c r="K70" s="35"/>
      <c r="L70" s="35"/>
      <c r="M70" s="35"/>
      <c r="N70" s="35"/>
      <c r="O70" s="35"/>
      <c r="P70" s="35"/>
      <c r="Q70" s="35"/>
      <c r="R70" s="35"/>
      <c r="S70" s="35"/>
      <c r="T70" s="35"/>
      <c r="U70" s="35"/>
      <c r="V70" s="35"/>
      <c r="W70" s="35"/>
      <c r="X70" s="35"/>
      <c r="Y70" s="35"/>
      <c r="Z70" s="35"/>
    </row>
    <row r="71" ht="15.75" customHeight="1">
      <c r="A71" s="35"/>
      <c r="B71" s="35"/>
      <c r="C71" s="35"/>
      <c r="D71" s="35"/>
      <c r="E71" s="35"/>
      <c r="F71" s="35"/>
      <c r="G71" s="35"/>
      <c r="H71" s="35"/>
      <c r="I71" s="35"/>
      <c r="J71" s="35"/>
      <c r="K71" s="35"/>
      <c r="L71" s="35"/>
      <c r="M71" s="35"/>
      <c r="N71" s="35"/>
      <c r="O71" s="35"/>
      <c r="P71" s="35"/>
      <c r="Q71" s="35"/>
      <c r="R71" s="35"/>
      <c r="S71" s="35"/>
      <c r="T71" s="35"/>
      <c r="U71" s="35"/>
      <c r="V71" s="35"/>
      <c r="W71" s="35"/>
      <c r="X71" s="35"/>
      <c r="Y71" s="35"/>
      <c r="Z71" s="35"/>
    </row>
    <row r="72" ht="15.75" customHeight="1">
      <c r="A72" s="35"/>
      <c r="B72" s="35"/>
      <c r="C72" s="35"/>
      <c r="D72" s="35"/>
      <c r="E72" s="35"/>
      <c r="F72" s="35"/>
      <c r="G72" s="35"/>
      <c r="H72" s="35"/>
      <c r="I72" s="35"/>
      <c r="J72" s="35"/>
      <c r="K72" s="35"/>
      <c r="L72" s="35"/>
      <c r="M72" s="35"/>
      <c r="N72" s="35"/>
      <c r="O72" s="35"/>
      <c r="P72" s="35"/>
      <c r="Q72" s="35"/>
      <c r="R72" s="35"/>
      <c r="S72" s="35"/>
      <c r="T72" s="35"/>
      <c r="U72" s="35"/>
      <c r="V72" s="35"/>
      <c r="W72" s="35"/>
      <c r="X72" s="35"/>
      <c r="Y72" s="35"/>
      <c r="Z72" s="35"/>
    </row>
    <row r="73" ht="15.75" customHeight="1">
      <c r="A73" s="35"/>
      <c r="B73" s="35"/>
      <c r="C73" s="35"/>
      <c r="D73" s="35"/>
      <c r="E73" s="35"/>
      <c r="F73" s="35"/>
      <c r="G73" s="35"/>
      <c r="H73" s="35"/>
      <c r="I73" s="35"/>
      <c r="J73" s="35"/>
      <c r="K73" s="35"/>
      <c r="L73" s="35"/>
      <c r="M73" s="35"/>
      <c r="N73" s="35"/>
      <c r="O73" s="35"/>
      <c r="P73" s="35"/>
      <c r="Q73" s="35"/>
      <c r="R73" s="35"/>
      <c r="S73" s="35"/>
      <c r="T73" s="35"/>
      <c r="U73" s="35"/>
      <c r="V73" s="35"/>
      <c r="W73" s="35"/>
      <c r="X73" s="35"/>
      <c r="Y73" s="35"/>
      <c r="Z73" s="35"/>
    </row>
    <row r="74" ht="15.75" customHeight="1">
      <c r="A74" s="35"/>
      <c r="B74" s="35"/>
      <c r="C74" s="35"/>
      <c r="D74" s="35"/>
      <c r="E74" s="35"/>
      <c r="F74" s="35"/>
      <c r="G74" s="35"/>
      <c r="H74" s="35"/>
      <c r="I74" s="35"/>
      <c r="J74" s="35"/>
      <c r="K74" s="35"/>
      <c r="L74" s="35"/>
      <c r="M74" s="35"/>
      <c r="N74" s="35"/>
      <c r="O74" s="35"/>
      <c r="P74" s="35"/>
      <c r="Q74" s="35"/>
      <c r="R74" s="35"/>
      <c r="S74" s="35"/>
      <c r="T74" s="35"/>
      <c r="U74" s="35"/>
      <c r="V74" s="35"/>
      <c r="W74" s="35"/>
      <c r="X74" s="35"/>
      <c r="Y74" s="35"/>
      <c r="Z74" s="35"/>
    </row>
    <row r="75" ht="15.75" customHeight="1">
      <c r="A75" s="35"/>
      <c r="B75" s="35"/>
      <c r="C75" s="35"/>
      <c r="D75" s="35"/>
      <c r="E75" s="35"/>
      <c r="F75" s="35"/>
      <c r="G75" s="35"/>
      <c r="H75" s="35"/>
      <c r="I75" s="35"/>
      <c r="J75" s="35"/>
      <c r="K75" s="35"/>
      <c r="L75" s="35"/>
      <c r="M75" s="35"/>
      <c r="N75" s="35"/>
      <c r="O75" s="35"/>
      <c r="P75" s="35"/>
      <c r="Q75" s="35"/>
      <c r="R75" s="35"/>
      <c r="S75" s="35"/>
      <c r="T75" s="35"/>
      <c r="U75" s="35"/>
      <c r="V75" s="35"/>
      <c r="W75" s="35"/>
      <c r="X75" s="35"/>
      <c r="Y75" s="35"/>
      <c r="Z75" s="35"/>
    </row>
    <row r="76" ht="15.75" customHeight="1">
      <c r="A76" s="35"/>
      <c r="B76" s="35"/>
      <c r="C76" s="35"/>
      <c r="D76" s="35"/>
      <c r="E76" s="35"/>
      <c r="F76" s="35"/>
      <c r="G76" s="35"/>
      <c r="H76" s="35"/>
      <c r="I76" s="35"/>
      <c r="J76" s="35"/>
      <c r="K76" s="35"/>
      <c r="L76" s="35"/>
      <c r="M76" s="35"/>
      <c r="N76" s="35"/>
      <c r="O76" s="35"/>
      <c r="P76" s="35"/>
      <c r="Q76" s="35"/>
      <c r="R76" s="35"/>
      <c r="S76" s="35"/>
      <c r="T76" s="35"/>
      <c r="U76" s="35"/>
      <c r="V76" s="35"/>
      <c r="W76" s="35"/>
      <c r="X76" s="35"/>
      <c r="Y76" s="35"/>
      <c r="Z76" s="35"/>
    </row>
    <row r="77" ht="15.75" customHeight="1">
      <c r="A77" s="35"/>
      <c r="B77" s="35"/>
      <c r="C77" s="35"/>
      <c r="D77" s="35"/>
      <c r="E77" s="35"/>
      <c r="F77" s="35"/>
      <c r="G77" s="35"/>
      <c r="H77" s="35"/>
      <c r="I77" s="35"/>
      <c r="J77" s="35"/>
      <c r="K77" s="35"/>
      <c r="L77" s="35"/>
      <c r="M77" s="35"/>
      <c r="N77" s="35"/>
      <c r="O77" s="35"/>
      <c r="P77" s="35"/>
      <c r="Q77" s="35"/>
      <c r="R77" s="35"/>
      <c r="S77" s="35"/>
      <c r="T77" s="35"/>
      <c r="U77" s="35"/>
      <c r="V77" s="35"/>
      <c r="W77" s="35"/>
      <c r="X77" s="35"/>
      <c r="Y77" s="35"/>
      <c r="Z77" s="35"/>
    </row>
    <row r="78" ht="15.75" customHeight="1">
      <c r="A78" s="35"/>
      <c r="B78" s="35"/>
      <c r="C78" s="35"/>
      <c r="D78" s="35"/>
      <c r="E78" s="35"/>
      <c r="F78" s="35"/>
      <c r="G78" s="35"/>
      <c r="H78" s="35"/>
      <c r="I78" s="35"/>
      <c r="J78" s="35"/>
      <c r="K78" s="35"/>
      <c r="L78" s="35"/>
      <c r="M78" s="35"/>
      <c r="N78" s="35"/>
      <c r="O78" s="35"/>
      <c r="P78" s="35"/>
      <c r="Q78" s="35"/>
      <c r="R78" s="35"/>
      <c r="S78" s="35"/>
      <c r="T78" s="35"/>
      <c r="U78" s="35"/>
      <c r="V78" s="35"/>
      <c r="W78" s="35"/>
      <c r="X78" s="35"/>
      <c r="Y78" s="35"/>
      <c r="Z78" s="35"/>
    </row>
    <row r="79" ht="15.75" customHeight="1">
      <c r="A79" s="35"/>
      <c r="B79" s="35"/>
      <c r="C79" s="35"/>
      <c r="D79" s="35"/>
      <c r="E79" s="35"/>
      <c r="F79" s="35"/>
      <c r="G79" s="35"/>
      <c r="H79" s="35"/>
      <c r="I79" s="35"/>
      <c r="J79" s="35"/>
      <c r="K79" s="35"/>
      <c r="L79" s="35"/>
      <c r="M79" s="35"/>
      <c r="N79" s="35"/>
      <c r="O79" s="35"/>
      <c r="P79" s="35"/>
      <c r="Q79" s="35"/>
      <c r="R79" s="35"/>
      <c r="S79" s="35"/>
      <c r="T79" s="35"/>
      <c r="U79" s="35"/>
      <c r="V79" s="35"/>
      <c r="W79" s="35"/>
      <c r="X79" s="35"/>
      <c r="Y79" s="35"/>
      <c r="Z79" s="35"/>
    </row>
    <row r="80" ht="15.75" customHeight="1">
      <c r="A80" s="35"/>
      <c r="B80" s="35"/>
      <c r="C80" s="35"/>
      <c r="D80" s="35"/>
      <c r="E80" s="35"/>
      <c r="F80" s="35"/>
      <c r="G80" s="35"/>
      <c r="H80" s="35"/>
      <c r="I80" s="35"/>
      <c r="J80" s="35"/>
      <c r="K80" s="35"/>
      <c r="L80" s="35"/>
      <c r="M80" s="35"/>
      <c r="N80" s="35"/>
      <c r="O80" s="35"/>
      <c r="P80" s="35"/>
      <c r="Q80" s="35"/>
      <c r="R80" s="35"/>
      <c r="S80" s="35"/>
      <c r="T80" s="35"/>
      <c r="U80" s="35"/>
      <c r="V80" s="35"/>
      <c r="W80" s="35"/>
      <c r="X80" s="35"/>
      <c r="Y80" s="35"/>
      <c r="Z80" s="35"/>
    </row>
    <row r="81" ht="15.75" customHeight="1">
      <c r="A81" s="35"/>
      <c r="B81" s="35"/>
      <c r="C81" s="35"/>
      <c r="D81" s="35"/>
      <c r="E81" s="35"/>
      <c r="F81" s="35"/>
      <c r="G81" s="35"/>
      <c r="H81" s="35"/>
      <c r="I81" s="35"/>
      <c r="J81" s="35"/>
      <c r="K81" s="35"/>
      <c r="L81" s="35"/>
      <c r="M81" s="35"/>
      <c r="N81" s="35"/>
      <c r="O81" s="35"/>
      <c r="P81" s="35"/>
      <c r="Q81" s="35"/>
      <c r="R81" s="35"/>
      <c r="S81" s="35"/>
      <c r="T81" s="35"/>
      <c r="U81" s="35"/>
      <c r="V81" s="35"/>
      <c r="W81" s="35"/>
      <c r="X81" s="35"/>
      <c r="Y81" s="35"/>
      <c r="Z81" s="35"/>
    </row>
    <row r="82" ht="15.75" customHeight="1">
      <c r="A82" s="35"/>
      <c r="B82" s="35"/>
      <c r="C82" s="35"/>
      <c r="D82" s="35"/>
      <c r="E82" s="35"/>
      <c r="F82" s="35"/>
      <c r="G82" s="35"/>
      <c r="H82" s="35"/>
      <c r="I82" s="35"/>
      <c r="J82" s="35"/>
      <c r="K82" s="35"/>
      <c r="L82" s="35"/>
      <c r="M82" s="35"/>
      <c r="N82" s="35"/>
      <c r="O82" s="35"/>
      <c r="P82" s="35"/>
      <c r="Q82" s="35"/>
      <c r="R82" s="35"/>
      <c r="S82" s="35"/>
      <c r="T82" s="35"/>
      <c r="U82" s="35"/>
      <c r="V82" s="35"/>
      <c r="W82" s="35"/>
      <c r="X82" s="35"/>
      <c r="Y82" s="35"/>
      <c r="Z82" s="35"/>
    </row>
    <row r="83" ht="15.75" customHeight="1">
      <c r="A83" s="35"/>
      <c r="B83" s="35"/>
      <c r="C83" s="35"/>
      <c r="D83" s="35"/>
      <c r="E83" s="35"/>
      <c r="F83" s="35"/>
      <c r="G83" s="35"/>
      <c r="H83" s="35"/>
      <c r="I83" s="35"/>
      <c r="J83" s="35"/>
      <c r="K83" s="35"/>
      <c r="L83" s="35"/>
      <c r="M83" s="35"/>
      <c r="N83" s="35"/>
      <c r="O83" s="35"/>
      <c r="P83" s="35"/>
      <c r="Q83" s="35"/>
      <c r="R83" s="35"/>
      <c r="S83" s="35"/>
      <c r="T83" s="35"/>
      <c r="U83" s="35"/>
      <c r="V83" s="35"/>
      <c r="W83" s="35"/>
      <c r="X83" s="35"/>
      <c r="Y83" s="35"/>
      <c r="Z83" s="35"/>
    </row>
    <row r="84" ht="15.75" customHeight="1">
      <c r="A84" s="35"/>
      <c r="B84" s="35"/>
      <c r="C84" s="35"/>
      <c r="D84" s="35"/>
      <c r="E84" s="35"/>
      <c r="F84" s="35"/>
      <c r="G84" s="35"/>
      <c r="H84" s="35"/>
      <c r="I84" s="35"/>
      <c r="J84" s="35"/>
      <c r="K84" s="35"/>
      <c r="L84" s="35"/>
      <c r="M84" s="35"/>
      <c r="N84" s="35"/>
      <c r="O84" s="35"/>
      <c r="P84" s="35"/>
      <c r="Q84" s="35"/>
      <c r="R84" s="35"/>
      <c r="S84" s="35"/>
      <c r="T84" s="35"/>
      <c r="U84" s="35"/>
      <c r="V84" s="35"/>
      <c r="W84" s="35"/>
      <c r="X84" s="35"/>
      <c r="Y84" s="35"/>
      <c r="Z84" s="35"/>
    </row>
    <row r="85" ht="15.75" customHeight="1">
      <c r="A85" s="35"/>
      <c r="B85" s="35"/>
      <c r="C85" s="35"/>
      <c r="D85" s="35"/>
      <c r="E85" s="35"/>
      <c r="F85" s="35"/>
      <c r="G85" s="35"/>
      <c r="H85" s="35"/>
      <c r="I85" s="35"/>
      <c r="J85" s="35"/>
      <c r="K85" s="35"/>
      <c r="L85" s="35"/>
      <c r="M85" s="35"/>
      <c r="N85" s="35"/>
      <c r="O85" s="35"/>
      <c r="P85" s="35"/>
      <c r="Q85" s="35"/>
      <c r="R85" s="35"/>
      <c r="S85" s="35"/>
      <c r="T85" s="35"/>
      <c r="U85" s="35"/>
      <c r="V85" s="35"/>
      <c r="W85" s="35"/>
      <c r="X85" s="35"/>
      <c r="Y85" s="35"/>
      <c r="Z85" s="35"/>
    </row>
    <row r="86" ht="15.75" customHeight="1">
      <c r="A86" s="35"/>
      <c r="B86" s="35"/>
      <c r="C86" s="35"/>
      <c r="D86" s="35"/>
      <c r="E86" s="35"/>
      <c r="F86" s="35"/>
      <c r="G86" s="35"/>
      <c r="H86" s="35"/>
      <c r="I86" s="35"/>
      <c r="J86" s="35"/>
      <c r="K86" s="35"/>
      <c r="L86" s="35"/>
      <c r="M86" s="35"/>
      <c r="N86" s="35"/>
      <c r="O86" s="35"/>
      <c r="P86" s="35"/>
      <c r="Q86" s="35"/>
      <c r="R86" s="35"/>
      <c r="S86" s="35"/>
      <c r="T86" s="35"/>
      <c r="U86" s="35"/>
      <c r="V86" s="35"/>
      <c r="W86" s="35"/>
      <c r="X86" s="35"/>
      <c r="Y86" s="35"/>
      <c r="Z86" s="35"/>
    </row>
    <row r="87" ht="15.75" customHeight="1">
      <c r="A87" s="35"/>
      <c r="B87" s="35"/>
      <c r="C87" s="35"/>
      <c r="D87" s="35"/>
      <c r="E87" s="35"/>
      <c r="F87" s="35"/>
      <c r="G87" s="35"/>
      <c r="H87" s="35"/>
      <c r="I87" s="35"/>
      <c r="J87" s="35"/>
      <c r="K87" s="35"/>
      <c r="L87" s="35"/>
      <c r="M87" s="35"/>
      <c r="N87" s="35"/>
      <c r="O87" s="35"/>
      <c r="P87" s="35"/>
      <c r="Q87" s="35"/>
      <c r="R87" s="35"/>
      <c r="S87" s="35"/>
      <c r="T87" s="35"/>
      <c r="U87" s="35"/>
      <c r="V87" s="35"/>
      <c r="W87" s="35"/>
      <c r="X87" s="35"/>
      <c r="Y87" s="35"/>
      <c r="Z87" s="35"/>
    </row>
    <row r="88" ht="15.75" customHeight="1">
      <c r="A88" s="35"/>
      <c r="B88" s="35"/>
      <c r="C88" s="35"/>
      <c r="D88" s="35"/>
      <c r="E88" s="35"/>
      <c r="F88" s="35"/>
      <c r="G88" s="35"/>
      <c r="H88" s="35"/>
      <c r="I88" s="35"/>
      <c r="J88" s="35"/>
      <c r="K88" s="35"/>
      <c r="L88" s="35"/>
      <c r="M88" s="35"/>
      <c r="N88" s="35"/>
      <c r="O88" s="35"/>
      <c r="P88" s="35"/>
      <c r="Q88" s="35"/>
      <c r="R88" s="35"/>
      <c r="S88" s="35"/>
      <c r="T88" s="35"/>
      <c r="U88" s="35"/>
      <c r="V88" s="35"/>
      <c r="W88" s="35"/>
      <c r="X88" s="35"/>
      <c r="Y88" s="35"/>
      <c r="Z88" s="35"/>
    </row>
    <row r="89" ht="15.75" customHeight="1">
      <c r="A89" s="35"/>
      <c r="B89" s="35"/>
      <c r="C89" s="35"/>
      <c r="D89" s="35"/>
      <c r="E89" s="35"/>
      <c r="F89" s="35"/>
      <c r="G89" s="35"/>
      <c r="H89" s="35"/>
      <c r="I89" s="35"/>
      <c r="J89" s="35"/>
      <c r="K89" s="35"/>
      <c r="L89" s="35"/>
      <c r="M89" s="35"/>
      <c r="N89" s="35"/>
      <c r="O89" s="35"/>
      <c r="P89" s="35"/>
      <c r="Q89" s="35"/>
      <c r="R89" s="35"/>
      <c r="S89" s="35"/>
      <c r="T89" s="35"/>
      <c r="U89" s="35"/>
      <c r="V89" s="35"/>
      <c r="W89" s="35"/>
      <c r="X89" s="35"/>
      <c r="Y89" s="35"/>
      <c r="Z89" s="35"/>
    </row>
    <row r="90" ht="15.75" customHeight="1">
      <c r="A90" s="35"/>
      <c r="B90" s="35"/>
      <c r="C90" s="35"/>
      <c r="D90" s="35"/>
      <c r="E90" s="35"/>
      <c r="F90" s="35"/>
      <c r="G90" s="35"/>
      <c r="H90" s="35"/>
      <c r="I90" s="35"/>
      <c r="J90" s="35"/>
      <c r="K90" s="35"/>
      <c r="L90" s="35"/>
      <c r="M90" s="35"/>
      <c r="N90" s="35"/>
      <c r="O90" s="35"/>
      <c r="P90" s="35"/>
      <c r="Q90" s="35"/>
      <c r="R90" s="35"/>
      <c r="S90" s="35"/>
      <c r="T90" s="35"/>
      <c r="U90" s="35"/>
      <c r="V90" s="35"/>
      <c r="W90" s="35"/>
      <c r="X90" s="35"/>
      <c r="Y90" s="35"/>
      <c r="Z90" s="35"/>
    </row>
    <row r="91" ht="15.75" customHeight="1">
      <c r="A91" s="35"/>
      <c r="B91" s="35"/>
      <c r="C91" s="35"/>
      <c r="D91" s="35"/>
      <c r="E91" s="35"/>
      <c r="F91" s="35"/>
      <c r="G91" s="35"/>
      <c r="H91" s="35"/>
      <c r="I91" s="35"/>
      <c r="J91" s="35"/>
      <c r="K91" s="35"/>
      <c r="L91" s="35"/>
      <c r="M91" s="35"/>
      <c r="N91" s="35"/>
      <c r="O91" s="35"/>
      <c r="P91" s="35"/>
      <c r="Q91" s="35"/>
      <c r="R91" s="35"/>
      <c r="S91" s="35"/>
      <c r="T91" s="35"/>
      <c r="U91" s="35"/>
      <c r="V91" s="35"/>
      <c r="W91" s="35"/>
      <c r="X91" s="35"/>
      <c r="Y91" s="35"/>
      <c r="Z91" s="35"/>
    </row>
    <row r="92" ht="15.75" customHeight="1">
      <c r="A92" s="35"/>
      <c r="B92" s="35"/>
      <c r="C92" s="35"/>
      <c r="D92" s="35"/>
      <c r="E92" s="35"/>
      <c r="F92" s="35"/>
      <c r="G92" s="35"/>
      <c r="H92" s="35"/>
      <c r="I92" s="35"/>
      <c r="J92" s="35"/>
      <c r="K92" s="35"/>
      <c r="L92" s="35"/>
      <c r="M92" s="35"/>
      <c r="N92" s="35"/>
      <c r="O92" s="35"/>
      <c r="P92" s="35"/>
      <c r="Q92" s="35"/>
      <c r="R92" s="35"/>
      <c r="S92" s="35"/>
      <c r="T92" s="35"/>
      <c r="U92" s="35"/>
      <c r="V92" s="35"/>
      <c r="W92" s="35"/>
      <c r="X92" s="35"/>
      <c r="Y92" s="35"/>
      <c r="Z92" s="35"/>
    </row>
    <row r="93" ht="15.75" customHeight="1">
      <c r="A93" s="35"/>
      <c r="B93" s="35"/>
      <c r="C93" s="35"/>
      <c r="D93" s="35"/>
      <c r="E93" s="35"/>
      <c r="F93" s="35"/>
      <c r="G93" s="35"/>
      <c r="H93" s="35"/>
      <c r="I93" s="35"/>
      <c r="J93" s="35"/>
      <c r="K93" s="35"/>
      <c r="L93" s="35"/>
      <c r="M93" s="35"/>
      <c r="N93" s="35"/>
      <c r="O93" s="35"/>
      <c r="P93" s="35"/>
      <c r="Q93" s="35"/>
      <c r="R93" s="35"/>
      <c r="S93" s="35"/>
      <c r="T93" s="35"/>
      <c r="U93" s="35"/>
      <c r="V93" s="35"/>
      <c r="W93" s="35"/>
      <c r="X93" s="35"/>
      <c r="Y93" s="35"/>
      <c r="Z93" s="35"/>
    </row>
    <row r="94" ht="15.75" customHeight="1">
      <c r="A94" s="35"/>
      <c r="B94" s="35"/>
      <c r="C94" s="35"/>
      <c r="D94" s="35"/>
      <c r="E94" s="35"/>
      <c r="F94" s="35"/>
      <c r="G94" s="35"/>
      <c r="H94" s="35"/>
      <c r="I94" s="35"/>
      <c r="J94" s="35"/>
      <c r="K94" s="35"/>
      <c r="L94" s="35"/>
      <c r="M94" s="35"/>
      <c r="N94" s="35"/>
      <c r="O94" s="35"/>
      <c r="P94" s="35"/>
      <c r="Q94" s="35"/>
      <c r="R94" s="35"/>
      <c r="S94" s="35"/>
      <c r="T94" s="35"/>
      <c r="U94" s="35"/>
      <c r="V94" s="35"/>
      <c r="W94" s="35"/>
      <c r="X94" s="35"/>
      <c r="Y94" s="35"/>
      <c r="Z94" s="35"/>
    </row>
    <row r="95" ht="15.75" customHeight="1">
      <c r="A95" s="35"/>
      <c r="B95" s="35"/>
      <c r="C95" s="35"/>
      <c r="D95" s="35"/>
      <c r="E95" s="35"/>
      <c r="F95" s="35"/>
      <c r="G95" s="35"/>
      <c r="H95" s="35"/>
      <c r="I95" s="35"/>
      <c r="J95" s="35"/>
      <c r="K95" s="35"/>
      <c r="L95" s="35"/>
      <c r="M95" s="35"/>
      <c r="N95" s="35"/>
      <c r="O95" s="35"/>
      <c r="P95" s="35"/>
      <c r="Q95" s="35"/>
      <c r="R95" s="35"/>
      <c r="S95" s="35"/>
      <c r="T95" s="35"/>
      <c r="U95" s="35"/>
      <c r="V95" s="35"/>
      <c r="W95" s="35"/>
      <c r="X95" s="35"/>
      <c r="Y95" s="35"/>
      <c r="Z95" s="35"/>
    </row>
    <row r="96" ht="15.75" customHeight="1">
      <c r="A96" s="35"/>
      <c r="B96" s="35"/>
      <c r="C96" s="35"/>
      <c r="D96" s="35"/>
      <c r="E96" s="35"/>
      <c r="F96" s="35"/>
      <c r="G96" s="35"/>
      <c r="H96" s="35"/>
      <c r="I96" s="35"/>
      <c r="J96" s="35"/>
      <c r="K96" s="35"/>
      <c r="L96" s="35"/>
      <c r="M96" s="35"/>
      <c r="N96" s="35"/>
      <c r="O96" s="35"/>
      <c r="P96" s="35"/>
      <c r="Q96" s="35"/>
      <c r="R96" s="35"/>
      <c r="S96" s="35"/>
      <c r="T96" s="35"/>
      <c r="U96" s="35"/>
      <c r="V96" s="35"/>
      <c r="W96" s="35"/>
      <c r="X96" s="35"/>
      <c r="Y96" s="35"/>
      <c r="Z96" s="35"/>
    </row>
    <row r="97" ht="15.75" customHeight="1">
      <c r="A97" s="35"/>
      <c r="B97" s="35"/>
      <c r="C97" s="35"/>
      <c r="D97" s="35"/>
      <c r="E97" s="35"/>
      <c r="F97" s="35"/>
      <c r="G97" s="35"/>
      <c r="H97" s="35"/>
      <c r="I97" s="35"/>
      <c r="J97" s="35"/>
      <c r="K97" s="35"/>
      <c r="L97" s="35"/>
      <c r="M97" s="35"/>
      <c r="N97" s="35"/>
      <c r="O97" s="35"/>
      <c r="P97" s="35"/>
      <c r="Q97" s="35"/>
      <c r="R97" s="35"/>
      <c r="S97" s="35"/>
      <c r="T97" s="35"/>
      <c r="U97" s="35"/>
      <c r="V97" s="35"/>
      <c r="W97" s="35"/>
      <c r="X97" s="35"/>
      <c r="Y97" s="35"/>
      <c r="Z97" s="35"/>
    </row>
    <row r="98" ht="15.75" customHeight="1">
      <c r="A98" s="35"/>
      <c r="B98" s="35"/>
      <c r="C98" s="35"/>
      <c r="D98" s="35"/>
      <c r="E98" s="35"/>
      <c r="F98" s="35"/>
      <c r="G98" s="35"/>
      <c r="H98" s="35"/>
      <c r="I98" s="35"/>
      <c r="J98" s="35"/>
      <c r="K98" s="35"/>
      <c r="L98" s="35"/>
      <c r="M98" s="35"/>
      <c r="N98" s="35"/>
      <c r="O98" s="35"/>
      <c r="P98" s="35"/>
      <c r="Q98" s="35"/>
      <c r="R98" s="35"/>
      <c r="S98" s="35"/>
      <c r="T98" s="35"/>
      <c r="U98" s="35"/>
      <c r="V98" s="35"/>
      <c r="W98" s="35"/>
      <c r="X98" s="35"/>
      <c r="Y98" s="35"/>
      <c r="Z98" s="35"/>
    </row>
    <row r="99" ht="15.75" customHeight="1">
      <c r="A99" s="35"/>
      <c r="B99" s="35"/>
      <c r="C99" s="35"/>
      <c r="D99" s="35"/>
      <c r="E99" s="35"/>
      <c r="F99" s="35"/>
      <c r="G99" s="35"/>
      <c r="H99" s="35"/>
      <c r="I99" s="35"/>
      <c r="J99" s="35"/>
      <c r="K99" s="35"/>
      <c r="L99" s="35"/>
      <c r="M99" s="35"/>
      <c r="N99" s="35"/>
      <c r="O99" s="35"/>
      <c r="P99" s="35"/>
      <c r="Q99" s="35"/>
      <c r="R99" s="35"/>
      <c r="S99" s="35"/>
      <c r="T99" s="35"/>
      <c r="U99" s="35"/>
      <c r="V99" s="35"/>
      <c r="W99" s="35"/>
      <c r="X99" s="35"/>
      <c r="Y99" s="35"/>
      <c r="Z99" s="35"/>
    </row>
    <row r="100" ht="15.75" customHeight="1">
      <c r="A100" s="35"/>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row>
    <row r="101" ht="15.75" customHeight="1">
      <c r="A101" s="35"/>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row>
    <row r="102" ht="15.75" customHeight="1">
      <c r="A102" s="35"/>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row>
    <row r="103" ht="15.75" customHeight="1">
      <c r="A103" s="35"/>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row>
    <row r="104" ht="15.75" customHeight="1">
      <c r="A104" s="35"/>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row>
    <row r="105" ht="15.75" customHeight="1">
      <c r="A105" s="35"/>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row>
    <row r="106" ht="15.75" customHeight="1">
      <c r="A106" s="35"/>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row>
    <row r="107" ht="15.75" customHeight="1">
      <c r="A107" s="35"/>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row>
    <row r="108" ht="15.75" customHeight="1">
      <c r="A108" s="35"/>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row>
    <row r="109" ht="15.75" customHeight="1">
      <c r="A109" s="35"/>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row>
    <row r="110" ht="15.75" customHeight="1">
      <c r="A110" s="35"/>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row>
    <row r="111" ht="15.75" customHeight="1">
      <c r="A111" s="35"/>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row>
    <row r="112" ht="15.75" customHeight="1">
      <c r="A112" s="35"/>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row>
    <row r="113" ht="15.75" customHeight="1">
      <c r="A113" s="35"/>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row>
    <row r="114" ht="15.75" customHeight="1">
      <c r="A114" s="35"/>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row>
    <row r="115" ht="15.75" customHeight="1">
      <c r="A115" s="35"/>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row>
    <row r="116" ht="15.75" customHeight="1">
      <c r="A116" s="35"/>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row>
    <row r="117" ht="15.75" customHeight="1">
      <c r="A117" s="35"/>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row>
    <row r="118" ht="15.75" customHeight="1">
      <c r="A118" s="35"/>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row>
    <row r="119" ht="15.75" customHeight="1">
      <c r="A119" s="35"/>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row>
    <row r="120" ht="15.75" customHeight="1">
      <c r="A120" s="35"/>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row>
    <row r="121" ht="15.75" customHeight="1">
      <c r="A121" s="35"/>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row>
    <row r="122" ht="15.75" customHeight="1">
      <c r="A122" s="35"/>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row>
    <row r="123" ht="15.75" customHeight="1">
      <c r="A123" s="35"/>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row>
    <row r="124" ht="15.75" customHeight="1">
      <c r="A124" s="35"/>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row>
    <row r="125" ht="15.75" customHeight="1">
      <c r="A125" s="35"/>
      <c r="B125" s="35"/>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row>
    <row r="126" ht="15.75" customHeight="1">
      <c r="A126" s="35"/>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row>
    <row r="127" ht="15.75" customHeight="1">
      <c r="A127" s="35"/>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row>
    <row r="128" ht="15.75" customHeight="1">
      <c r="A128" s="35"/>
      <c r="B128" s="35"/>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row>
    <row r="129" ht="15.75" customHeight="1">
      <c r="A129" s="35"/>
      <c r="B129" s="35"/>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row>
    <row r="130" ht="15.75" customHeight="1">
      <c r="A130" s="35"/>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row>
    <row r="131" ht="15.75" customHeight="1">
      <c r="A131" s="35"/>
      <c r="B131" s="35"/>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row>
    <row r="132" ht="15.75" customHeight="1">
      <c r="A132" s="35"/>
      <c r="B132" s="35"/>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row>
    <row r="133" ht="15.75" customHeight="1">
      <c r="A133" s="35"/>
      <c r="B133" s="35"/>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row>
    <row r="134" ht="15.75" customHeight="1">
      <c r="A134" s="35"/>
      <c r="B134" s="35"/>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row>
    <row r="135" ht="15.75" customHeight="1">
      <c r="A135" s="35"/>
      <c r="B135" s="35"/>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row>
    <row r="136" ht="15.75" customHeight="1">
      <c r="A136" s="35"/>
      <c r="B136" s="35"/>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row>
    <row r="137" ht="15.75" customHeight="1">
      <c r="A137" s="35"/>
      <c r="B137" s="35"/>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35"/>
    </row>
    <row r="138" ht="15.75" customHeight="1">
      <c r="A138" s="35"/>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row>
    <row r="139" ht="15.75" customHeight="1">
      <c r="A139" s="35"/>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row>
    <row r="140" ht="15.75" customHeight="1">
      <c r="A140" s="35"/>
      <c r="B140" s="35"/>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row>
    <row r="141" ht="15.75" customHeight="1">
      <c r="A141" s="35"/>
      <c r="B141" s="35"/>
      <c r="C141" s="35"/>
      <c r="D141" s="35"/>
      <c r="E141" s="35"/>
      <c r="F141" s="35"/>
      <c r="G141" s="35"/>
      <c r="H141" s="35"/>
      <c r="I141" s="35"/>
      <c r="J141" s="35"/>
      <c r="K141" s="35"/>
      <c r="L141" s="35"/>
      <c r="M141" s="35"/>
      <c r="N141" s="35"/>
      <c r="O141" s="35"/>
      <c r="P141" s="35"/>
      <c r="Q141" s="35"/>
      <c r="R141" s="35"/>
      <c r="S141" s="35"/>
      <c r="T141" s="35"/>
      <c r="U141" s="35"/>
      <c r="V141" s="35"/>
      <c r="W141" s="35"/>
      <c r="X141" s="35"/>
      <c r="Y141" s="35"/>
      <c r="Z141" s="35"/>
    </row>
    <row r="142" ht="15.75" customHeight="1">
      <c r="A142" s="35"/>
      <c r="B142" s="35"/>
      <c r="C142" s="35"/>
      <c r="D142" s="35"/>
      <c r="E142" s="35"/>
      <c r="F142" s="35"/>
      <c r="G142" s="35"/>
      <c r="H142" s="35"/>
      <c r="I142" s="35"/>
      <c r="J142" s="35"/>
      <c r="K142" s="35"/>
      <c r="L142" s="35"/>
      <c r="M142" s="35"/>
      <c r="N142" s="35"/>
      <c r="O142" s="35"/>
      <c r="P142" s="35"/>
      <c r="Q142" s="35"/>
      <c r="R142" s="35"/>
      <c r="S142" s="35"/>
      <c r="T142" s="35"/>
      <c r="U142" s="35"/>
      <c r="V142" s="35"/>
      <c r="W142" s="35"/>
      <c r="X142" s="35"/>
      <c r="Y142" s="35"/>
      <c r="Z142" s="35"/>
    </row>
    <row r="143" ht="15.75" customHeight="1">
      <c r="A143" s="35"/>
      <c r="B143" s="35"/>
      <c r="C143" s="35"/>
      <c r="D143" s="35"/>
      <c r="E143" s="35"/>
      <c r="F143" s="35"/>
      <c r="G143" s="35"/>
      <c r="H143" s="35"/>
      <c r="I143" s="35"/>
      <c r="J143" s="35"/>
      <c r="K143" s="35"/>
      <c r="L143" s="35"/>
      <c r="M143" s="35"/>
      <c r="N143" s="35"/>
      <c r="O143" s="35"/>
      <c r="P143" s="35"/>
      <c r="Q143" s="35"/>
      <c r="R143" s="35"/>
      <c r="S143" s="35"/>
      <c r="T143" s="35"/>
      <c r="U143" s="35"/>
      <c r="V143" s="35"/>
      <c r="W143" s="35"/>
      <c r="X143" s="35"/>
      <c r="Y143" s="35"/>
      <c r="Z143" s="35"/>
    </row>
    <row r="144" ht="15.75" customHeight="1">
      <c r="A144" s="35"/>
      <c r="B144" s="35"/>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row>
    <row r="145" ht="15.75" customHeight="1">
      <c r="A145" s="35"/>
      <c r="B145" s="35"/>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row>
    <row r="146" ht="15.75" customHeight="1">
      <c r="A146" s="35"/>
      <c r="B146" s="35"/>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row>
    <row r="147" ht="15.75" customHeight="1">
      <c r="A147" s="35"/>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row>
    <row r="148" ht="15.75" customHeight="1">
      <c r="A148" s="35"/>
      <c r="B148" s="35"/>
      <c r="C148" s="35"/>
      <c r="D148" s="35"/>
      <c r="E148" s="35"/>
      <c r="F148" s="35"/>
      <c r="G148" s="35"/>
      <c r="H148" s="35"/>
      <c r="I148" s="35"/>
      <c r="J148" s="35"/>
      <c r="K148" s="35"/>
      <c r="L148" s="35"/>
      <c r="M148" s="35"/>
      <c r="N148" s="35"/>
      <c r="O148" s="35"/>
      <c r="P148" s="35"/>
      <c r="Q148" s="35"/>
      <c r="R148" s="35"/>
      <c r="S148" s="35"/>
      <c r="T148" s="35"/>
      <c r="U148" s="35"/>
      <c r="V148" s="35"/>
      <c r="W148" s="35"/>
      <c r="X148" s="35"/>
      <c r="Y148" s="35"/>
      <c r="Z148" s="35"/>
    </row>
    <row r="149" ht="15.75" customHeight="1">
      <c r="A149" s="35"/>
      <c r="B149" s="35"/>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row>
    <row r="150" ht="15.75" customHeight="1">
      <c r="A150" s="35"/>
      <c r="B150" s="35"/>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row>
    <row r="151" ht="15.75" customHeight="1">
      <c r="A151" s="35"/>
      <c r="B151" s="35"/>
      <c r="C151" s="35"/>
      <c r="D151" s="35"/>
      <c r="E151" s="35"/>
      <c r="F151" s="35"/>
      <c r="G151" s="35"/>
      <c r="H151" s="35"/>
      <c r="I151" s="35"/>
      <c r="J151" s="35"/>
      <c r="K151" s="35"/>
      <c r="L151" s="35"/>
      <c r="M151" s="35"/>
      <c r="N151" s="35"/>
      <c r="O151" s="35"/>
      <c r="P151" s="35"/>
      <c r="Q151" s="35"/>
      <c r="R151" s="35"/>
      <c r="S151" s="35"/>
      <c r="T151" s="35"/>
      <c r="U151" s="35"/>
      <c r="V151" s="35"/>
      <c r="W151" s="35"/>
      <c r="X151" s="35"/>
      <c r="Y151" s="35"/>
      <c r="Z151" s="35"/>
    </row>
    <row r="152" ht="15.75" customHeight="1">
      <c r="A152" s="35"/>
      <c r="B152" s="35"/>
      <c r="C152" s="35"/>
      <c r="D152" s="35"/>
      <c r="E152" s="35"/>
      <c r="F152" s="35"/>
      <c r="G152" s="35"/>
      <c r="H152" s="35"/>
      <c r="I152" s="35"/>
      <c r="J152" s="35"/>
      <c r="K152" s="35"/>
      <c r="L152" s="35"/>
      <c r="M152" s="35"/>
      <c r="N152" s="35"/>
      <c r="O152" s="35"/>
      <c r="P152" s="35"/>
      <c r="Q152" s="35"/>
      <c r="R152" s="35"/>
      <c r="S152" s="35"/>
      <c r="T152" s="35"/>
      <c r="U152" s="35"/>
      <c r="V152" s="35"/>
      <c r="W152" s="35"/>
      <c r="X152" s="35"/>
      <c r="Y152" s="35"/>
      <c r="Z152" s="35"/>
    </row>
    <row r="153" ht="15.75" customHeight="1">
      <c r="A153" s="35"/>
      <c r="B153" s="35"/>
      <c r="C153" s="35"/>
      <c r="D153" s="35"/>
      <c r="E153" s="35"/>
      <c r="F153" s="35"/>
      <c r="G153" s="35"/>
      <c r="H153" s="35"/>
      <c r="I153" s="35"/>
      <c r="J153" s="35"/>
      <c r="K153" s="35"/>
      <c r="L153" s="35"/>
      <c r="M153" s="35"/>
      <c r="N153" s="35"/>
      <c r="O153" s="35"/>
      <c r="P153" s="35"/>
      <c r="Q153" s="35"/>
      <c r="R153" s="35"/>
      <c r="S153" s="35"/>
      <c r="T153" s="35"/>
      <c r="U153" s="35"/>
      <c r="V153" s="35"/>
      <c r="W153" s="35"/>
      <c r="X153" s="35"/>
      <c r="Y153" s="35"/>
      <c r="Z153" s="35"/>
    </row>
    <row r="154" ht="15.75" customHeight="1">
      <c r="A154" s="35"/>
      <c r="B154" s="35"/>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35"/>
    </row>
    <row r="155" ht="15.75" customHeight="1">
      <c r="A155" s="35"/>
      <c r="B155" s="35"/>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row>
    <row r="156" ht="15.75" customHeight="1">
      <c r="A156" s="35"/>
      <c r="B156" s="35"/>
      <c r="C156" s="35"/>
      <c r="D156" s="35"/>
      <c r="E156" s="35"/>
      <c r="F156" s="35"/>
      <c r="G156" s="35"/>
      <c r="H156" s="35"/>
      <c r="I156" s="35"/>
      <c r="J156" s="35"/>
      <c r="K156" s="35"/>
      <c r="L156" s="35"/>
      <c r="M156" s="35"/>
      <c r="N156" s="35"/>
      <c r="O156" s="35"/>
      <c r="P156" s="35"/>
      <c r="Q156" s="35"/>
      <c r="R156" s="35"/>
      <c r="S156" s="35"/>
      <c r="T156" s="35"/>
      <c r="U156" s="35"/>
      <c r="V156" s="35"/>
      <c r="W156" s="35"/>
      <c r="X156" s="35"/>
      <c r="Y156" s="35"/>
      <c r="Z156" s="35"/>
    </row>
    <row r="157" ht="15.75" customHeight="1">
      <c r="A157" s="35"/>
      <c r="B157" s="35"/>
      <c r="C157" s="35"/>
      <c r="D157" s="35"/>
      <c r="E157" s="35"/>
      <c r="F157" s="35"/>
      <c r="G157" s="35"/>
      <c r="H157" s="35"/>
      <c r="I157" s="35"/>
      <c r="J157" s="35"/>
      <c r="K157" s="35"/>
      <c r="L157" s="35"/>
      <c r="M157" s="35"/>
      <c r="N157" s="35"/>
      <c r="O157" s="35"/>
      <c r="P157" s="35"/>
      <c r="Q157" s="35"/>
      <c r="R157" s="35"/>
      <c r="S157" s="35"/>
      <c r="T157" s="35"/>
      <c r="U157" s="35"/>
      <c r="V157" s="35"/>
      <c r="W157" s="35"/>
      <c r="X157" s="35"/>
      <c r="Y157" s="35"/>
      <c r="Z157" s="35"/>
    </row>
    <row r="158" ht="15.75" customHeight="1">
      <c r="A158" s="35"/>
      <c r="B158" s="35"/>
      <c r="C158" s="35"/>
      <c r="D158" s="35"/>
      <c r="E158" s="35"/>
      <c r="F158" s="35"/>
      <c r="G158" s="35"/>
      <c r="H158" s="35"/>
      <c r="I158" s="35"/>
      <c r="J158" s="35"/>
      <c r="K158" s="35"/>
      <c r="L158" s="35"/>
      <c r="M158" s="35"/>
      <c r="N158" s="35"/>
      <c r="O158" s="35"/>
      <c r="P158" s="35"/>
      <c r="Q158" s="35"/>
      <c r="R158" s="35"/>
      <c r="S158" s="35"/>
      <c r="T158" s="35"/>
      <c r="U158" s="35"/>
      <c r="V158" s="35"/>
      <c r="W158" s="35"/>
      <c r="X158" s="35"/>
      <c r="Y158" s="35"/>
      <c r="Z158" s="35"/>
    </row>
    <row r="159" ht="15.75" customHeight="1">
      <c r="A159" s="35"/>
      <c r="B159" s="35"/>
      <c r="C159" s="35"/>
      <c r="D159" s="35"/>
      <c r="E159" s="35"/>
      <c r="F159" s="35"/>
      <c r="G159" s="35"/>
      <c r="H159" s="35"/>
      <c r="I159" s="35"/>
      <c r="J159" s="35"/>
      <c r="K159" s="35"/>
      <c r="L159" s="35"/>
      <c r="M159" s="35"/>
      <c r="N159" s="35"/>
      <c r="O159" s="35"/>
      <c r="P159" s="35"/>
      <c r="Q159" s="35"/>
      <c r="R159" s="35"/>
      <c r="S159" s="35"/>
      <c r="T159" s="35"/>
      <c r="U159" s="35"/>
      <c r="V159" s="35"/>
      <c r="W159" s="35"/>
      <c r="X159" s="35"/>
      <c r="Y159" s="35"/>
      <c r="Z159" s="35"/>
    </row>
    <row r="160" ht="15.75" customHeight="1">
      <c r="A160" s="35"/>
      <c r="B160" s="35"/>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35"/>
    </row>
    <row r="161" ht="15.75" customHeight="1">
      <c r="A161" s="35"/>
      <c r="B161" s="35"/>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35"/>
    </row>
    <row r="162" ht="15.75" customHeight="1">
      <c r="A162" s="35"/>
      <c r="B162" s="35"/>
      <c r="C162" s="35"/>
      <c r="D162" s="35"/>
      <c r="E162" s="35"/>
      <c r="F162" s="35"/>
      <c r="G162" s="35"/>
      <c r="H162" s="35"/>
      <c r="I162" s="35"/>
      <c r="J162" s="35"/>
      <c r="K162" s="35"/>
      <c r="L162" s="35"/>
      <c r="M162" s="35"/>
      <c r="N162" s="35"/>
      <c r="O162" s="35"/>
      <c r="P162" s="35"/>
      <c r="Q162" s="35"/>
      <c r="R162" s="35"/>
      <c r="S162" s="35"/>
      <c r="T162" s="35"/>
      <c r="U162" s="35"/>
      <c r="V162" s="35"/>
      <c r="W162" s="35"/>
      <c r="X162" s="35"/>
      <c r="Y162" s="35"/>
      <c r="Z162" s="35"/>
    </row>
    <row r="163" ht="15.75" customHeight="1">
      <c r="A163" s="35"/>
      <c r="B163" s="35"/>
      <c r="C163" s="35"/>
      <c r="D163" s="35"/>
      <c r="E163" s="35"/>
      <c r="F163" s="35"/>
      <c r="G163" s="35"/>
      <c r="H163" s="35"/>
      <c r="I163" s="35"/>
      <c r="J163" s="35"/>
      <c r="K163" s="35"/>
      <c r="L163" s="35"/>
      <c r="M163" s="35"/>
      <c r="N163" s="35"/>
      <c r="O163" s="35"/>
      <c r="P163" s="35"/>
      <c r="Q163" s="35"/>
      <c r="R163" s="35"/>
      <c r="S163" s="35"/>
      <c r="T163" s="35"/>
      <c r="U163" s="35"/>
      <c r="V163" s="35"/>
      <c r="W163" s="35"/>
      <c r="X163" s="35"/>
      <c r="Y163" s="35"/>
      <c r="Z163" s="35"/>
    </row>
    <row r="164" ht="15.75" customHeight="1">
      <c r="A164" s="35"/>
      <c r="B164" s="35"/>
      <c r="C164" s="35"/>
      <c r="D164" s="35"/>
      <c r="E164" s="35"/>
      <c r="F164" s="35"/>
      <c r="G164" s="35"/>
      <c r="H164" s="35"/>
      <c r="I164" s="35"/>
      <c r="J164" s="35"/>
      <c r="K164" s="35"/>
      <c r="L164" s="35"/>
      <c r="M164" s="35"/>
      <c r="N164" s="35"/>
      <c r="O164" s="35"/>
      <c r="P164" s="35"/>
      <c r="Q164" s="35"/>
      <c r="R164" s="35"/>
      <c r="S164" s="35"/>
      <c r="T164" s="35"/>
      <c r="U164" s="35"/>
      <c r="V164" s="35"/>
      <c r="W164" s="35"/>
      <c r="X164" s="35"/>
      <c r="Y164" s="35"/>
      <c r="Z164" s="35"/>
    </row>
    <row r="165" ht="15.75" customHeight="1">
      <c r="A165" s="35"/>
      <c r="B165" s="35"/>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35"/>
    </row>
    <row r="166" ht="15.75" customHeight="1">
      <c r="A166" s="35"/>
      <c r="B166" s="35"/>
      <c r="C166" s="35"/>
      <c r="D166" s="35"/>
      <c r="E166" s="35"/>
      <c r="F166" s="35"/>
      <c r="G166" s="35"/>
      <c r="H166" s="35"/>
      <c r="I166" s="35"/>
      <c r="J166" s="35"/>
      <c r="K166" s="35"/>
      <c r="L166" s="35"/>
      <c r="M166" s="35"/>
      <c r="N166" s="35"/>
      <c r="O166" s="35"/>
      <c r="P166" s="35"/>
      <c r="Q166" s="35"/>
      <c r="R166" s="35"/>
      <c r="S166" s="35"/>
      <c r="T166" s="35"/>
      <c r="U166" s="35"/>
      <c r="V166" s="35"/>
      <c r="W166" s="35"/>
      <c r="X166" s="35"/>
      <c r="Y166" s="35"/>
      <c r="Z166" s="35"/>
    </row>
    <row r="167" ht="15.75" customHeight="1">
      <c r="A167" s="35"/>
      <c r="B167" s="35"/>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35"/>
    </row>
    <row r="168" ht="15.75" customHeight="1">
      <c r="A168" s="35"/>
      <c r="B168" s="35"/>
      <c r="C168" s="35"/>
      <c r="D168" s="35"/>
      <c r="E168" s="35"/>
      <c r="F168" s="35"/>
      <c r="G168" s="35"/>
      <c r="H168" s="35"/>
      <c r="I168" s="35"/>
      <c r="J168" s="35"/>
      <c r="K168" s="35"/>
      <c r="L168" s="35"/>
      <c r="M168" s="35"/>
      <c r="N168" s="35"/>
      <c r="O168" s="35"/>
      <c r="P168" s="35"/>
      <c r="Q168" s="35"/>
      <c r="R168" s="35"/>
      <c r="S168" s="35"/>
      <c r="T168" s="35"/>
      <c r="U168" s="35"/>
      <c r="V168" s="35"/>
      <c r="W168" s="35"/>
      <c r="X168" s="35"/>
      <c r="Y168" s="35"/>
      <c r="Z168" s="35"/>
    </row>
    <row r="169" ht="15.75" customHeight="1">
      <c r="A169" s="35"/>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row>
    <row r="170" ht="15.75" customHeight="1">
      <c r="A170" s="35"/>
      <c r="B170" s="35"/>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35"/>
    </row>
    <row r="171" ht="15.75" customHeight="1">
      <c r="A171" s="35"/>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row>
    <row r="172" ht="15.75" customHeight="1">
      <c r="A172" s="35"/>
      <c r="B172" s="35"/>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35"/>
    </row>
    <row r="173" ht="15.75" customHeight="1">
      <c r="A173" s="35"/>
      <c r="B173" s="35"/>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row>
    <row r="174" ht="15.75" customHeight="1">
      <c r="A174" s="35"/>
      <c r="B174" s="35"/>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row>
    <row r="175" ht="15.75" customHeight="1">
      <c r="A175" s="35"/>
      <c r="B175" s="35"/>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row>
    <row r="176" ht="15.75" customHeight="1">
      <c r="A176" s="35"/>
      <c r="B176" s="35"/>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row>
    <row r="177" ht="15.75" customHeight="1">
      <c r="A177" s="35"/>
      <c r="B177" s="35"/>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row>
    <row r="178" ht="15.75" customHeight="1">
      <c r="A178" s="35"/>
      <c r="B178" s="35"/>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row>
    <row r="179" ht="15.75" customHeight="1">
      <c r="A179" s="35"/>
      <c r="B179" s="35"/>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row>
    <row r="180" ht="15.75" customHeight="1">
      <c r="A180" s="35"/>
      <c r="B180" s="35"/>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row>
    <row r="181" ht="15.75" customHeight="1">
      <c r="A181" s="35"/>
      <c r="B181" s="35"/>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row>
    <row r="182" ht="15.75" customHeight="1">
      <c r="A182" s="35"/>
      <c r="B182" s="35"/>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row>
    <row r="183" ht="15.75" customHeight="1">
      <c r="A183" s="35"/>
      <c r="B183" s="35"/>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row>
    <row r="184" ht="15.75" customHeight="1">
      <c r="A184" s="35"/>
      <c r="B184" s="35"/>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row>
    <row r="185" ht="15.75" customHeight="1">
      <c r="A185" s="35"/>
      <c r="B185" s="35"/>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row>
    <row r="186" ht="15.75" customHeight="1">
      <c r="A186" s="35"/>
      <c r="B186" s="35"/>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row>
    <row r="187" ht="15.75" customHeight="1">
      <c r="A187" s="35"/>
      <c r="B187" s="35"/>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row>
    <row r="188" ht="15.75" customHeight="1">
      <c r="A188" s="35"/>
      <c r="B188" s="35"/>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row>
    <row r="189" ht="15.75" customHeight="1">
      <c r="A189" s="35"/>
      <c r="B189" s="35"/>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row>
    <row r="190" ht="15.75" customHeight="1">
      <c r="A190" s="35"/>
      <c r="B190" s="35"/>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row>
    <row r="191" ht="15.75" customHeight="1">
      <c r="A191" s="35"/>
      <c r="B191" s="35"/>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row>
    <row r="192" ht="15.75" customHeight="1">
      <c r="A192" s="35"/>
      <c r="B192" s="35"/>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row>
    <row r="193" ht="15.75" customHeight="1">
      <c r="A193" s="35"/>
      <c r="B193" s="35"/>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row>
    <row r="194" ht="15.75" customHeight="1">
      <c r="A194" s="35"/>
      <c r="B194" s="35"/>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row>
    <row r="195" ht="15.75" customHeight="1">
      <c r="A195" s="35"/>
      <c r="B195" s="35"/>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row>
    <row r="196" ht="15.75" customHeight="1">
      <c r="A196" s="35"/>
      <c r="B196" s="35"/>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row>
    <row r="197" ht="15.75" customHeight="1">
      <c r="A197" s="35"/>
      <c r="B197" s="35"/>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row>
    <row r="198" ht="15.75" customHeight="1">
      <c r="A198" s="35"/>
      <c r="B198" s="35"/>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row>
    <row r="199" ht="15.75" customHeight="1">
      <c r="A199" s="35"/>
      <c r="B199" s="35"/>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row>
    <row r="200" ht="15.75" customHeight="1">
      <c r="A200" s="35"/>
      <c r="B200" s="35"/>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row>
    <row r="201" ht="15.75" customHeight="1">
      <c r="A201" s="35"/>
      <c r="B201" s="35"/>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row>
    <row r="202" ht="15.75" customHeight="1">
      <c r="A202" s="35"/>
      <c r="B202" s="35"/>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row>
    <row r="203" ht="15.75" customHeight="1">
      <c r="A203" s="35"/>
      <c r="B203" s="35"/>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row>
    <row r="204" ht="15.75" customHeight="1">
      <c r="A204" s="35"/>
      <c r="B204" s="35"/>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row>
    <row r="205" ht="15.75" customHeight="1">
      <c r="A205" s="35"/>
      <c r="B205" s="35"/>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row>
    <row r="206" ht="15.75" customHeight="1">
      <c r="A206" s="35"/>
      <c r="B206" s="35"/>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row>
    <row r="207" ht="15.75" customHeight="1">
      <c r="A207" s="35"/>
      <c r="B207" s="35"/>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row>
    <row r="208" ht="15.75" customHeight="1">
      <c r="A208" s="35"/>
      <c r="B208" s="35"/>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row>
    <row r="209" ht="15.75" customHeight="1">
      <c r="A209" s="35"/>
      <c r="B209" s="35"/>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row>
    <row r="210" ht="15.75" customHeight="1">
      <c r="A210" s="35"/>
      <c r="B210" s="35"/>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row>
    <row r="211" ht="15.75" customHeight="1">
      <c r="A211" s="35"/>
      <c r="B211" s="35"/>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row>
    <row r="212" ht="15.75" customHeight="1">
      <c r="A212" s="35"/>
      <c r="B212" s="35"/>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row>
    <row r="213" ht="15.75" customHeight="1">
      <c r="A213" s="35"/>
      <c r="B213" s="35"/>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row>
    <row r="214" ht="15.75" customHeight="1">
      <c r="A214" s="35"/>
      <c r="B214" s="35"/>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row>
    <row r="215" ht="15.75" customHeight="1">
      <c r="A215" s="35"/>
      <c r="B215" s="35"/>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row>
    <row r="216" ht="15.75" customHeight="1">
      <c r="A216" s="35"/>
      <c r="B216" s="35"/>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row>
    <row r="217" ht="15.75" customHeight="1">
      <c r="A217" s="35"/>
      <c r="B217" s="35"/>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row>
    <row r="218" ht="15.75" customHeight="1">
      <c r="A218" s="35"/>
      <c r="B218" s="35"/>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row>
    <row r="219" ht="15.75" customHeight="1">
      <c r="A219" s="35"/>
      <c r="B219" s="35"/>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row>
    <row r="220" ht="15.75" customHeight="1">
      <c r="A220" s="35"/>
      <c r="B220" s="35"/>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row>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printOptions/>
  <pageMargins bottom="0.75" footer="0.0" header="0.0" left="0.7" right="0.7" top="0.75"/>
  <pageSetup paperSize="9" orientation="portrait"/>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BD02"/>
    <pageSetUpPr/>
  </sheetPr>
  <sheetViews>
    <sheetView workbookViewId="0"/>
  </sheetViews>
  <sheetFormatPr customHeight="1" defaultColWidth="14.43" defaultRowHeight="15.75"/>
  <cols>
    <col customWidth="1" min="1" max="25" width="11.43"/>
    <col customWidth="1" hidden="1" min="26" max="26" width="8.71"/>
  </cols>
  <sheetData>
    <row r="1">
      <c r="A1" s="43"/>
      <c r="B1" s="43"/>
      <c r="C1" s="44"/>
      <c r="D1" s="44"/>
      <c r="E1" s="43"/>
      <c r="F1" s="43"/>
      <c r="G1" s="43"/>
      <c r="H1" s="43"/>
      <c r="I1" s="43"/>
      <c r="J1" s="43"/>
      <c r="K1" s="43"/>
      <c r="L1" s="43"/>
      <c r="M1" s="43"/>
      <c r="N1" s="43"/>
      <c r="O1" s="43"/>
      <c r="P1" s="43"/>
      <c r="Q1" s="43"/>
      <c r="R1" s="43"/>
      <c r="S1" s="43"/>
      <c r="T1" s="43"/>
      <c r="U1" s="43"/>
      <c r="V1" s="43"/>
      <c r="W1" s="43"/>
      <c r="X1" s="43"/>
      <c r="Y1" s="43"/>
      <c r="Z1" s="43"/>
    </row>
    <row r="2">
      <c r="A2" s="43"/>
      <c r="B2" s="43"/>
      <c r="C2" s="43"/>
      <c r="D2" s="43"/>
      <c r="E2" s="43"/>
      <c r="F2" s="43"/>
      <c r="G2" s="43"/>
      <c r="H2" s="43"/>
      <c r="I2" s="43"/>
      <c r="J2" s="43"/>
      <c r="K2" s="43"/>
      <c r="L2" s="43"/>
      <c r="M2" s="43"/>
      <c r="N2" s="43"/>
      <c r="O2" s="43"/>
      <c r="P2" s="43"/>
      <c r="Q2" s="43"/>
      <c r="R2" s="43"/>
      <c r="S2" s="43"/>
      <c r="T2" s="43"/>
      <c r="U2" s="43"/>
      <c r="V2" s="43"/>
      <c r="W2" s="43"/>
      <c r="X2" s="43"/>
      <c r="Y2" s="43"/>
      <c r="Z2" s="43"/>
    </row>
    <row r="3">
      <c r="A3" s="43"/>
      <c r="B3" s="43"/>
      <c r="C3" s="43"/>
      <c r="D3" s="43"/>
      <c r="E3" s="43"/>
      <c r="F3" s="43"/>
      <c r="G3" s="43"/>
      <c r="H3" s="43"/>
      <c r="I3" s="43"/>
      <c r="J3" s="43"/>
      <c r="K3" s="43"/>
      <c r="L3" s="43"/>
      <c r="M3" s="43"/>
      <c r="N3" s="43"/>
      <c r="O3" s="43"/>
      <c r="P3" s="43"/>
      <c r="Q3" s="43"/>
      <c r="R3" s="43"/>
      <c r="S3" s="43"/>
      <c r="T3" s="43"/>
      <c r="U3" s="43"/>
      <c r="V3" s="43"/>
      <c r="W3" s="43"/>
      <c r="X3" s="43"/>
      <c r="Y3" s="43"/>
      <c r="Z3" s="43"/>
    </row>
    <row r="4">
      <c r="A4" s="45"/>
      <c r="B4" s="45"/>
      <c r="C4" s="45"/>
      <c r="D4" s="45"/>
      <c r="E4" s="45"/>
      <c r="F4" s="45"/>
      <c r="G4" s="45"/>
      <c r="H4" s="45"/>
      <c r="I4" s="45"/>
      <c r="J4" s="45"/>
      <c r="K4" s="45"/>
      <c r="L4" s="45"/>
      <c r="M4" s="45"/>
      <c r="N4" s="45"/>
      <c r="O4" s="45"/>
      <c r="P4" s="45"/>
      <c r="Q4" s="45"/>
      <c r="R4" s="45"/>
      <c r="S4" s="45"/>
      <c r="T4" s="45"/>
      <c r="U4" s="45"/>
      <c r="V4" s="45"/>
      <c r="W4" s="45"/>
      <c r="X4" s="45"/>
      <c r="Y4" s="45"/>
      <c r="Z4" s="45"/>
    </row>
    <row r="5">
      <c r="A5" s="45"/>
      <c r="B5" s="46" t="s">
        <v>12223</v>
      </c>
      <c r="C5" s="43"/>
      <c r="D5" s="43"/>
      <c r="E5" s="43"/>
      <c r="F5" s="43"/>
      <c r="G5" s="43"/>
      <c r="H5" s="43"/>
      <c r="I5" s="43"/>
      <c r="J5" s="43"/>
      <c r="K5" s="43"/>
      <c r="L5" s="43"/>
      <c r="M5" s="43"/>
      <c r="N5" s="43"/>
      <c r="O5" s="43"/>
      <c r="P5" s="43"/>
      <c r="Q5" s="45"/>
      <c r="R5" s="45"/>
      <c r="S5" s="45"/>
      <c r="T5" s="45"/>
      <c r="U5" s="45"/>
      <c r="V5" s="45"/>
      <c r="W5" s="45"/>
      <c r="X5" s="45"/>
      <c r="Y5" s="45"/>
      <c r="Z5" s="45"/>
    </row>
    <row r="6">
      <c r="A6" s="45"/>
      <c r="B6" s="47" t="s">
        <v>52</v>
      </c>
      <c r="C6" s="48"/>
      <c r="D6" s="48"/>
      <c r="E6" s="48"/>
      <c r="F6" s="48"/>
      <c r="G6" s="48"/>
      <c r="H6" s="48"/>
      <c r="I6" s="48"/>
      <c r="J6" s="48"/>
      <c r="K6" s="48"/>
      <c r="L6" s="48"/>
      <c r="M6" s="48"/>
      <c r="N6" s="48"/>
      <c r="O6" s="48"/>
      <c r="P6" s="48"/>
      <c r="Q6" s="45"/>
      <c r="R6" s="45"/>
      <c r="S6" s="45"/>
      <c r="T6" s="45"/>
      <c r="U6" s="45"/>
      <c r="V6" s="45"/>
      <c r="W6" s="45"/>
      <c r="X6" s="45"/>
      <c r="Y6" s="45"/>
      <c r="Z6" s="45"/>
    </row>
    <row r="7">
      <c r="A7" s="45"/>
      <c r="B7" s="49" t="s">
        <v>12224</v>
      </c>
      <c r="C7" s="43"/>
      <c r="D7" s="43"/>
      <c r="E7" s="49" t="s">
        <v>12225</v>
      </c>
      <c r="F7" s="50"/>
      <c r="G7" s="50"/>
      <c r="H7" s="50"/>
      <c r="I7" s="50"/>
      <c r="J7" s="50"/>
      <c r="K7" s="50"/>
      <c r="L7" s="50"/>
      <c r="M7" s="50"/>
      <c r="N7" s="50"/>
      <c r="O7" s="50"/>
      <c r="P7" s="50"/>
      <c r="Q7" s="45"/>
      <c r="R7" s="45"/>
      <c r="S7" s="45"/>
      <c r="T7" s="45"/>
      <c r="U7" s="45"/>
      <c r="V7" s="45"/>
      <c r="W7" s="45"/>
      <c r="X7" s="45"/>
      <c r="Y7" s="45"/>
      <c r="Z7" s="45"/>
    </row>
    <row r="8">
      <c r="A8" s="45"/>
      <c r="B8" s="49" t="s">
        <v>12226</v>
      </c>
      <c r="C8" s="43"/>
      <c r="D8" s="43"/>
      <c r="E8" s="49" t="s">
        <v>12227</v>
      </c>
      <c r="F8" s="50"/>
      <c r="G8" s="50"/>
      <c r="H8" s="50"/>
      <c r="I8" s="50"/>
      <c r="J8" s="50"/>
      <c r="K8" s="50"/>
      <c r="L8" s="50"/>
      <c r="M8" s="50"/>
      <c r="N8" s="50"/>
      <c r="O8" s="50"/>
      <c r="P8" s="50"/>
      <c r="Q8" s="45"/>
      <c r="R8" s="45"/>
      <c r="S8" s="45"/>
      <c r="T8" s="45"/>
      <c r="U8" s="45"/>
      <c r="V8" s="45"/>
      <c r="W8" s="45"/>
      <c r="X8" s="45"/>
      <c r="Y8" s="45"/>
      <c r="Z8" s="45"/>
    </row>
    <row r="9">
      <c r="A9" s="45"/>
      <c r="B9" s="49" t="s">
        <v>12228</v>
      </c>
      <c r="C9" s="43"/>
      <c r="D9" s="43"/>
      <c r="E9" s="49" t="s">
        <v>12229</v>
      </c>
      <c r="F9" s="50"/>
      <c r="G9" s="50"/>
      <c r="H9" s="50"/>
      <c r="I9" s="50"/>
      <c r="J9" s="50"/>
      <c r="K9" s="50"/>
      <c r="L9" s="50"/>
      <c r="M9" s="50"/>
      <c r="N9" s="50"/>
      <c r="O9" s="50"/>
      <c r="P9" s="50"/>
      <c r="Q9" s="45"/>
      <c r="R9" s="45"/>
      <c r="S9" s="45"/>
      <c r="T9" s="45"/>
      <c r="U9" s="45"/>
      <c r="V9" s="45"/>
      <c r="W9" s="45"/>
      <c r="X9" s="45"/>
      <c r="Y9" s="45"/>
      <c r="Z9" s="45"/>
    </row>
    <row r="10">
      <c r="A10" s="45"/>
      <c r="B10" s="49" t="s">
        <v>12230</v>
      </c>
      <c r="C10" s="43"/>
      <c r="D10" s="43"/>
      <c r="E10" s="49" t="s">
        <v>12231</v>
      </c>
      <c r="F10" s="48"/>
      <c r="G10" s="48"/>
      <c r="H10" s="48"/>
      <c r="I10" s="48"/>
      <c r="J10" s="48"/>
      <c r="K10" s="48"/>
      <c r="L10" s="48"/>
      <c r="M10" s="48"/>
      <c r="N10" s="48"/>
      <c r="O10" s="48"/>
      <c r="P10" s="48"/>
      <c r="Q10" s="45"/>
      <c r="R10" s="45"/>
      <c r="S10" s="45"/>
      <c r="T10" s="45"/>
      <c r="U10" s="45"/>
      <c r="V10" s="45"/>
      <c r="W10" s="45"/>
      <c r="X10" s="45"/>
      <c r="Y10" s="45"/>
      <c r="Z10" s="45"/>
    </row>
    <row r="11">
      <c r="A11" s="45"/>
      <c r="B11" s="48"/>
      <c r="C11" s="48"/>
      <c r="D11" s="48"/>
      <c r="E11" s="48"/>
      <c r="F11" s="48"/>
      <c r="G11" s="48"/>
      <c r="H11" s="48"/>
      <c r="I11" s="48"/>
      <c r="J11" s="48"/>
      <c r="K11" s="48"/>
      <c r="L11" s="48"/>
      <c r="M11" s="48"/>
      <c r="N11" s="48"/>
      <c r="O11" s="48"/>
      <c r="P11" s="48"/>
      <c r="Q11" s="45"/>
      <c r="R11" s="45"/>
      <c r="S11" s="45"/>
      <c r="T11" s="45"/>
      <c r="U11" s="45"/>
      <c r="V11" s="45"/>
      <c r="W11" s="45"/>
      <c r="X11" s="45"/>
      <c r="Y11" s="45"/>
      <c r="Z11" s="45"/>
    </row>
    <row r="12">
      <c r="A12" s="45"/>
      <c r="B12" s="47" t="s">
        <v>12232</v>
      </c>
      <c r="C12" s="43"/>
      <c r="D12" s="43"/>
      <c r="E12" s="43"/>
      <c r="F12" s="48"/>
      <c r="G12" s="48"/>
      <c r="H12" s="48"/>
      <c r="I12" s="48"/>
      <c r="J12" s="48"/>
      <c r="K12" s="48"/>
      <c r="L12" s="48"/>
      <c r="M12" s="48"/>
      <c r="N12" s="48"/>
      <c r="O12" s="48"/>
      <c r="P12" s="48"/>
      <c r="Q12" s="45"/>
      <c r="R12" s="45"/>
      <c r="S12" s="45"/>
      <c r="T12" s="45"/>
      <c r="U12" s="45"/>
      <c r="V12" s="45"/>
      <c r="W12" s="45"/>
      <c r="X12" s="45"/>
      <c r="Y12" s="45"/>
      <c r="Z12" s="45"/>
    </row>
    <row r="13">
      <c r="A13" s="45"/>
      <c r="B13" s="49" t="s">
        <v>12233</v>
      </c>
      <c r="C13" s="43"/>
      <c r="D13" s="43"/>
      <c r="E13" s="49" t="s">
        <v>12234</v>
      </c>
      <c r="F13" s="48"/>
      <c r="G13" s="48"/>
      <c r="H13" s="48"/>
      <c r="I13" s="48"/>
      <c r="J13" s="48"/>
      <c r="K13" s="48"/>
      <c r="L13" s="48"/>
      <c r="M13" s="48"/>
      <c r="N13" s="48"/>
      <c r="O13" s="48"/>
      <c r="P13" s="48"/>
      <c r="Q13" s="45"/>
      <c r="R13" s="45"/>
      <c r="S13" s="45"/>
      <c r="T13" s="45"/>
      <c r="U13" s="45"/>
      <c r="V13" s="45"/>
      <c r="W13" s="45"/>
      <c r="X13" s="45"/>
      <c r="Y13" s="45"/>
      <c r="Z13" s="45"/>
    </row>
    <row r="14">
      <c r="A14" s="45"/>
      <c r="B14" s="49" t="s">
        <v>12235</v>
      </c>
      <c r="C14" s="43"/>
      <c r="D14" s="43"/>
      <c r="E14" s="49" t="s">
        <v>12236</v>
      </c>
      <c r="F14" s="43"/>
      <c r="G14" s="43"/>
      <c r="H14" s="43"/>
      <c r="I14" s="43"/>
      <c r="J14" s="43"/>
      <c r="K14" s="43"/>
      <c r="L14" s="43"/>
      <c r="M14" s="43"/>
      <c r="N14" s="43"/>
      <c r="O14" s="43"/>
      <c r="P14" s="43"/>
      <c r="Q14" s="45"/>
      <c r="R14" s="45"/>
      <c r="S14" s="45"/>
      <c r="T14" s="45"/>
      <c r="U14" s="45"/>
      <c r="V14" s="45"/>
      <c r="W14" s="45"/>
      <c r="X14" s="45"/>
      <c r="Y14" s="45"/>
      <c r="Z14" s="45"/>
    </row>
    <row r="15">
      <c r="A15" s="45"/>
      <c r="B15" s="49" t="s">
        <v>12237</v>
      </c>
      <c r="C15" s="43"/>
      <c r="D15" s="43"/>
      <c r="E15" s="49" t="s">
        <v>12238</v>
      </c>
      <c r="F15" s="51"/>
      <c r="G15" s="51"/>
      <c r="H15" s="51"/>
      <c r="I15" s="51"/>
      <c r="J15" s="51"/>
      <c r="K15" s="51"/>
      <c r="L15" s="51"/>
      <c r="M15" s="51"/>
      <c r="N15" s="51"/>
      <c r="O15" s="51"/>
      <c r="P15" s="51"/>
      <c r="Q15" s="45"/>
      <c r="R15" s="45"/>
      <c r="S15" s="45"/>
      <c r="T15" s="45"/>
      <c r="U15" s="45"/>
      <c r="V15" s="45"/>
      <c r="W15" s="45"/>
      <c r="X15" s="45"/>
      <c r="Y15" s="45"/>
      <c r="Z15" s="45"/>
    </row>
    <row r="16">
      <c r="A16" s="43"/>
      <c r="B16" s="48"/>
      <c r="C16" s="43"/>
      <c r="D16" s="51"/>
      <c r="E16" s="51"/>
      <c r="F16" s="51"/>
      <c r="G16" s="51"/>
      <c r="H16" s="51"/>
      <c r="I16" s="51"/>
      <c r="J16" s="51"/>
      <c r="K16" s="51"/>
      <c r="L16" s="51"/>
      <c r="M16" s="51"/>
      <c r="N16" s="51"/>
      <c r="O16" s="51"/>
      <c r="P16" s="51"/>
      <c r="Q16" s="45"/>
      <c r="R16" s="45"/>
      <c r="S16" s="45"/>
      <c r="T16" s="45"/>
      <c r="U16" s="45"/>
      <c r="V16" s="45"/>
      <c r="W16" s="45"/>
      <c r="X16" s="45"/>
      <c r="Y16" s="45"/>
      <c r="Z16" s="45"/>
    </row>
    <row r="17">
      <c r="A17" s="43"/>
      <c r="B17" s="52" t="s">
        <v>12239</v>
      </c>
      <c r="C17" s="43"/>
      <c r="D17" s="51"/>
      <c r="E17" s="51"/>
      <c r="F17" s="51"/>
      <c r="G17" s="51"/>
      <c r="H17" s="51"/>
      <c r="I17" s="51"/>
      <c r="J17" s="51"/>
      <c r="K17" s="51"/>
      <c r="L17" s="51"/>
      <c r="M17" s="51"/>
      <c r="N17" s="51"/>
      <c r="O17" s="51"/>
      <c r="P17" s="51"/>
      <c r="Q17" s="45"/>
      <c r="R17" s="45"/>
      <c r="S17" s="45"/>
      <c r="T17" s="45"/>
      <c r="U17" s="45"/>
      <c r="V17" s="45"/>
      <c r="W17" s="45"/>
      <c r="X17" s="45"/>
      <c r="Y17" s="45"/>
      <c r="Z17" s="45"/>
    </row>
    <row r="18">
      <c r="A18" s="43"/>
      <c r="B18" s="53" t="s">
        <v>12240</v>
      </c>
      <c r="C18" s="43"/>
      <c r="D18" s="51"/>
      <c r="E18" s="51"/>
      <c r="F18" s="51"/>
      <c r="G18" s="51"/>
      <c r="H18" s="51"/>
      <c r="I18" s="51"/>
      <c r="J18" s="51"/>
      <c r="K18" s="51"/>
      <c r="L18" s="51"/>
      <c r="M18" s="51"/>
      <c r="N18" s="51"/>
      <c r="O18" s="51"/>
      <c r="P18" s="51"/>
      <c r="Q18" s="45"/>
      <c r="R18" s="45"/>
      <c r="S18" s="45"/>
      <c r="T18" s="45"/>
      <c r="U18" s="45"/>
      <c r="V18" s="45"/>
      <c r="W18" s="45"/>
      <c r="X18" s="45"/>
      <c r="Y18" s="45"/>
      <c r="Z18" s="45"/>
    </row>
    <row r="19">
      <c r="A19" s="43"/>
      <c r="B19" s="43"/>
      <c r="C19" s="43"/>
      <c r="D19" s="51"/>
      <c r="E19" s="51"/>
      <c r="F19" s="51"/>
      <c r="G19" s="51"/>
      <c r="H19" s="51"/>
      <c r="I19" s="51"/>
      <c r="J19" s="51"/>
      <c r="K19" s="51"/>
      <c r="L19" s="51"/>
      <c r="M19" s="51"/>
      <c r="N19" s="51"/>
      <c r="O19" s="51"/>
      <c r="P19" s="51"/>
      <c r="Q19" s="45"/>
      <c r="R19" s="45"/>
      <c r="S19" s="45"/>
      <c r="T19" s="45"/>
      <c r="U19" s="45"/>
      <c r="V19" s="45"/>
      <c r="W19" s="45"/>
      <c r="X19" s="45"/>
      <c r="Y19" s="45"/>
      <c r="Z19" s="45"/>
    </row>
    <row r="20">
      <c r="A20" s="43"/>
      <c r="B20" s="52" t="s">
        <v>12241</v>
      </c>
      <c r="C20" s="48"/>
      <c r="D20" s="48"/>
      <c r="E20" s="48"/>
      <c r="F20" s="48"/>
      <c r="G20" s="48"/>
      <c r="H20" s="48"/>
      <c r="I20" s="48"/>
      <c r="J20" s="48"/>
      <c r="K20" s="48"/>
      <c r="L20" s="48"/>
      <c r="M20" s="48"/>
      <c r="N20" s="48"/>
      <c r="O20" s="48"/>
      <c r="P20" s="48"/>
      <c r="Q20" s="45"/>
      <c r="R20" s="45"/>
      <c r="S20" s="45"/>
      <c r="T20" s="45"/>
      <c r="U20" s="45"/>
      <c r="V20" s="45"/>
      <c r="W20" s="45"/>
      <c r="X20" s="45"/>
      <c r="Y20" s="45"/>
      <c r="Z20" s="45"/>
    </row>
    <row r="21" ht="15.75" customHeight="1">
      <c r="A21" s="43"/>
      <c r="B21" s="53" t="s">
        <v>12242</v>
      </c>
      <c r="C21" s="48"/>
      <c r="D21" s="48"/>
      <c r="E21" s="48"/>
      <c r="F21" s="48"/>
      <c r="G21" s="48"/>
      <c r="H21" s="48"/>
      <c r="I21" s="48"/>
      <c r="J21" s="48"/>
      <c r="K21" s="48"/>
      <c r="L21" s="48"/>
      <c r="M21" s="48"/>
      <c r="N21" s="48"/>
      <c r="O21" s="48"/>
      <c r="P21" s="48"/>
      <c r="Q21" s="45"/>
      <c r="R21" s="45"/>
      <c r="S21" s="45"/>
      <c r="T21" s="45"/>
      <c r="U21" s="45"/>
      <c r="V21" s="45"/>
      <c r="W21" s="45"/>
      <c r="X21" s="45"/>
      <c r="Y21" s="45"/>
      <c r="Z21" s="45"/>
    </row>
    <row r="22" ht="15.75" customHeight="1">
      <c r="A22" s="43"/>
      <c r="B22" s="54"/>
      <c r="C22" s="43"/>
      <c r="D22" s="45"/>
      <c r="E22" s="45"/>
      <c r="F22" s="43"/>
      <c r="G22" s="43"/>
      <c r="H22" s="43"/>
      <c r="I22" s="43"/>
      <c r="J22" s="43"/>
      <c r="K22" s="43"/>
      <c r="L22" s="43"/>
      <c r="M22" s="43"/>
      <c r="N22" s="43"/>
      <c r="O22" s="43"/>
      <c r="P22" s="43"/>
      <c r="Q22" s="45"/>
      <c r="R22" s="45"/>
      <c r="S22" s="45"/>
      <c r="T22" s="45"/>
      <c r="U22" s="45"/>
      <c r="V22" s="45"/>
      <c r="W22" s="45"/>
      <c r="X22" s="45"/>
      <c r="Y22" s="45"/>
      <c r="Z22" s="45"/>
    </row>
    <row r="23" ht="15.75" customHeight="1">
      <c r="A23" s="43"/>
      <c r="B23" s="54"/>
      <c r="C23" s="55"/>
      <c r="D23" s="55"/>
      <c r="E23" s="55"/>
      <c r="F23" s="55"/>
      <c r="G23" s="43"/>
      <c r="H23" s="43"/>
      <c r="I23" s="43"/>
      <c r="J23" s="48"/>
      <c r="K23" s="48"/>
      <c r="L23" s="48"/>
      <c r="M23" s="48"/>
      <c r="N23" s="48"/>
      <c r="O23" s="48"/>
      <c r="P23" s="48"/>
      <c r="Q23" s="45"/>
      <c r="R23" s="45"/>
      <c r="S23" s="45"/>
      <c r="T23" s="45"/>
      <c r="U23" s="45"/>
      <c r="V23" s="45"/>
      <c r="W23" s="45"/>
      <c r="X23" s="45"/>
      <c r="Y23" s="45"/>
      <c r="Z23" s="45"/>
    </row>
    <row r="24" ht="15.75" customHeight="1">
      <c r="A24" s="45"/>
      <c r="B24" s="46" t="s">
        <v>12243</v>
      </c>
      <c r="C24" s="56"/>
      <c r="D24" s="56"/>
      <c r="E24" s="56"/>
      <c r="F24" s="43"/>
      <c r="G24" s="43"/>
      <c r="H24" s="43"/>
      <c r="I24" s="43"/>
      <c r="J24" s="43"/>
      <c r="K24" s="43"/>
      <c r="L24" s="43"/>
      <c r="M24" s="43"/>
      <c r="N24" s="43"/>
      <c r="O24" s="43"/>
      <c r="P24" s="43"/>
      <c r="Q24" s="45"/>
      <c r="R24" s="45"/>
      <c r="S24" s="45"/>
      <c r="T24" s="45"/>
      <c r="U24" s="45"/>
      <c r="V24" s="45"/>
      <c r="W24" s="45"/>
      <c r="X24" s="45"/>
      <c r="Y24" s="45"/>
      <c r="Z24" s="45"/>
    </row>
    <row r="25" ht="15.75" customHeight="1">
      <c r="A25" s="45"/>
      <c r="B25" s="47" t="s">
        <v>12244</v>
      </c>
      <c r="C25" s="56"/>
      <c r="D25" s="56"/>
      <c r="E25" s="56"/>
      <c r="F25" s="43"/>
      <c r="G25" s="43"/>
      <c r="H25" s="43"/>
      <c r="I25" s="43"/>
      <c r="J25" s="43"/>
      <c r="K25" s="43"/>
      <c r="L25" s="43"/>
      <c r="M25" s="43"/>
      <c r="N25" s="43"/>
      <c r="O25" s="43"/>
      <c r="P25" s="43"/>
      <c r="Q25" s="45"/>
      <c r="R25" s="45"/>
      <c r="S25" s="45"/>
      <c r="T25" s="45"/>
      <c r="U25" s="45"/>
      <c r="V25" s="45"/>
      <c r="W25" s="45"/>
      <c r="X25" s="45"/>
      <c r="Y25" s="45"/>
      <c r="Z25" s="45"/>
    </row>
    <row r="26" ht="15.75" customHeight="1">
      <c r="A26" s="43"/>
      <c r="B26" s="49" t="s">
        <v>12245</v>
      </c>
      <c r="C26" s="56"/>
      <c r="D26" s="56"/>
      <c r="E26" s="53" t="s">
        <v>12246</v>
      </c>
      <c r="F26" s="43"/>
      <c r="G26" s="43"/>
      <c r="H26" s="43"/>
      <c r="I26" s="43"/>
      <c r="J26" s="43"/>
      <c r="K26" s="43"/>
      <c r="L26" s="43"/>
      <c r="M26" s="43"/>
      <c r="N26" s="43"/>
      <c r="O26" s="43"/>
      <c r="P26" s="43"/>
      <c r="Q26" s="43"/>
      <c r="R26" s="43"/>
      <c r="S26" s="43"/>
      <c r="T26" s="43"/>
      <c r="U26" s="43"/>
      <c r="V26" s="43"/>
      <c r="W26" s="43"/>
      <c r="X26" s="43"/>
      <c r="Y26" s="43"/>
      <c r="Z26" s="43"/>
    </row>
    <row r="27" ht="15.75" customHeight="1">
      <c r="A27" s="43"/>
      <c r="B27" s="49" t="s">
        <v>12247</v>
      </c>
      <c r="C27" s="56"/>
      <c r="D27" s="56"/>
      <c r="E27" s="53" t="s">
        <v>12248</v>
      </c>
      <c r="F27" s="43"/>
      <c r="G27" s="43"/>
      <c r="H27" s="43"/>
      <c r="I27" s="43"/>
      <c r="J27" s="43"/>
      <c r="K27" s="43"/>
      <c r="L27" s="43"/>
      <c r="M27" s="43"/>
      <c r="N27" s="43"/>
      <c r="O27" s="43"/>
      <c r="P27" s="43"/>
      <c r="Q27" s="43"/>
      <c r="R27" s="43"/>
      <c r="S27" s="43"/>
      <c r="T27" s="43"/>
      <c r="U27" s="43"/>
      <c r="V27" s="43"/>
      <c r="W27" s="43"/>
      <c r="X27" s="43"/>
      <c r="Y27" s="43"/>
      <c r="Z27" s="43"/>
    </row>
    <row r="28" ht="15.75" customHeight="1">
      <c r="A28" s="43"/>
      <c r="B28" s="49" t="s">
        <v>12249</v>
      </c>
      <c r="C28" s="56"/>
      <c r="D28" s="56"/>
      <c r="E28" s="53" t="s">
        <v>12250</v>
      </c>
      <c r="F28" s="43"/>
      <c r="G28" s="43"/>
      <c r="H28" s="43"/>
      <c r="I28" s="43"/>
      <c r="J28" s="43"/>
      <c r="K28" s="43"/>
      <c r="L28" s="43"/>
      <c r="M28" s="43"/>
      <c r="N28" s="43"/>
      <c r="O28" s="43"/>
      <c r="P28" s="43"/>
      <c r="Q28" s="43"/>
      <c r="R28" s="43"/>
      <c r="S28" s="43"/>
      <c r="T28" s="43"/>
      <c r="U28" s="43"/>
      <c r="V28" s="43"/>
      <c r="W28" s="43"/>
      <c r="X28" s="43"/>
      <c r="Y28" s="43"/>
      <c r="Z28" s="43"/>
    </row>
    <row r="29" ht="15.75" customHeight="1">
      <c r="A29" s="43"/>
      <c r="B29" s="49" t="s">
        <v>64</v>
      </c>
      <c r="C29" s="56"/>
      <c r="D29" s="56"/>
      <c r="E29" s="56"/>
      <c r="F29" s="43"/>
      <c r="G29" s="43"/>
      <c r="H29" s="43"/>
      <c r="I29" s="43"/>
      <c r="J29" s="43"/>
      <c r="K29" s="43"/>
      <c r="L29" s="43"/>
      <c r="M29" s="43"/>
      <c r="N29" s="43"/>
      <c r="O29" s="43"/>
      <c r="P29" s="43"/>
      <c r="Q29" s="43"/>
      <c r="R29" s="43"/>
      <c r="S29" s="43"/>
      <c r="T29" s="43"/>
      <c r="U29" s="43"/>
      <c r="V29" s="43"/>
      <c r="W29" s="43"/>
      <c r="X29" s="43"/>
      <c r="Y29" s="43"/>
      <c r="Z29" s="43"/>
    </row>
    <row r="30" ht="15.75" customHeight="1">
      <c r="A30" s="43"/>
      <c r="B30" s="49" t="s">
        <v>174</v>
      </c>
      <c r="C30" s="56"/>
      <c r="D30" s="56"/>
      <c r="E30" s="56"/>
      <c r="F30" s="43"/>
      <c r="G30" s="43"/>
      <c r="H30" s="43"/>
      <c r="I30" s="43"/>
      <c r="J30" s="43"/>
      <c r="K30" s="43"/>
      <c r="L30" s="43"/>
      <c r="M30" s="43"/>
      <c r="N30" s="43"/>
      <c r="O30" s="43"/>
      <c r="P30" s="43"/>
      <c r="Q30" s="43"/>
      <c r="R30" s="43"/>
      <c r="S30" s="43"/>
      <c r="T30" s="43"/>
      <c r="U30" s="43"/>
      <c r="V30" s="43"/>
      <c r="W30" s="43"/>
      <c r="X30" s="43"/>
      <c r="Y30" s="43"/>
      <c r="Z30" s="43"/>
    </row>
    <row r="31" ht="15.75" customHeight="1">
      <c r="A31" s="43"/>
      <c r="B31" s="49" t="s">
        <v>12251</v>
      </c>
      <c r="C31" s="56"/>
      <c r="D31" s="56"/>
      <c r="E31" s="53" t="s">
        <v>12252</v>
      </c>
      <c r="F31" s="43"/>
      <c r="G31" s="43"/>
      <c r="H31" s="43"/>
      <c r="I31" s="43"/>
      <c r="J31" s="43"/>
      <c r="K31" s="43"/>
      <c r="L31" s="43"/>
      <c r="M31" s="43"/>
      <c r="N31" s="43"/>
      <c r="O31" s="43"/>
      <c r="P31" s="43"/>
      <c r="Q31" s="43"/>
      <c r="R31" s="43"/>
      <c r="S31" s="43"/>
      <c r="T31" s="43"/>
      <c r="U31" s="43"/>
      <c r="V31" s="43"/>
      <c r="W31" s="43"/>
      <c r="X31" s="43"/>
      <c r="Y31" s="43"/>
      <c r="Z31" s="43"/>
    </row>
    <row r="32" ht="15.75" customHeight="1">
      <c r="A32" s="43"/>
      <c r="B32" s="49"/>
      <c r="C32" s="56"/>
      <c r="D32" s="56"/>
      <c r="E32" s="53"/>
      <c r="F32" s="43"/>
      <c r="G32" s="43"/>
      <c r="H32" s="43"/>
      <c r="I32" s="43"/>
      <c r="J32" s="43"/>
      <c r="K32" s="43"/>
      <c r="L32" s="43"/>
      <c r="M32" s="43"/>
      <c r="N32" s="43"/>
      <c r="O32" s="43"/>
      <c r="P32" s="43"/>
      <c r="Q32" s="43"/>
      <c r="R32" s="43"/>
      <c r="S32" s="43"/>
      <c r="T32" s="43"/>
      <c r="U32" s="43"/>
      <c r="V32" s="43"/>
      <c r="W32" s="43"/>
      <c r="X32" s="43"/>
      <c r="Y32" s="43"/>
      <c r="Z32" s="43"/>
    </row>
    <row r="33" ht="15.75" customHeight="1">
      <c r="A33" s="43"/>
      <c r="B33" s="47" t="s">
        <v>12253</v>
      </c>
      <c r="C33" s="56"/>
      <c r="D33" s="56"/>
      <c r="E33" s="56"/>
      <c r="F33" s="43"/>
      <c r="G33" s="43"/>
      <c r="H33" s="43"/>
      <c r="I33" s="43"/>
      <c r="J33" s="43"/>
      <c r="K33" s="43"/>
      <c r="L33" s="43"/>
      <c r="M33" s="43"/>
      <c r="N33" s="43"/>
      <c r="O33" s="43"/>
      <c r="P33" s="43"/>
      <c r="Q33" s="43"/>
      <c r="R33" s="43"/>
      <c r="S33" s="43"/>
      <c r="T33" s="43"/>
      <c r="U33" s="43"/>
      <c r="V33" s="43"/>
      <c r="W33" s="43"/>
      <c r="X33" s="43"/>
      <c r="Y33" s="43"/>
      <c r="Z33" s="43"/>
    </row>
    <row r="34" ht="15.75" customHeight="1">
      <c r="A34" s="43"/>
      <c r="B34" s="49" t="s">
        <v>95</v>
      </c>
      <c r="C34" s="56"/>
      <c r="D34" s="56"/>
      <c r="E34" s="53" t="s">
        <v>12254</v>
      </c>
      <c r="F34" s="43"/>
      <c r="G34" s="43"/>
      <c r="H34" s="43"/>
      <c r="I34" s="43"/>
      <c r="J34" s="43"/>
      <c r="K34" s="43"/>
      <c r="L34" s="43"/>
      <c r="M34" s="43"/>
      <c r="N34" s="43"/>
      <c r="O34" s="43"/>
      <c r="P34" s="43"/>
      <c r="Q34" s="43"/>
      <c r="R34" s="43"/>
      <c r="S34" s="43"/>
      <c r="T34" s="43"/>
      <c r="U34" s="43"/>
      <c r="V34" s="43"/>
      <c r="W34" s="43"/>
      <c r="X34" s="43"/>
      <c r="Y34" s="43"/>
      <c r="Z34" s="43"/>
    </row>
    <row r="35" ht="15.75" customHeight="1">
      <c r="A35" s="43"/>
      <c r="B35" s="49" t="s">
        <v>174</v>
      </c>
      <c r="C35" s="56"/>
      <c r="D35" s="56"/>
      <c r="E35" s="53" t="s">
        <v>12255</v>
      </c>
      <c r="F35" s="43"/>
      <c r="G35" s="43"/>
      <c r="H35" s="43"/>
      <c r="I35" s="43"/>
      <c r="J35" s="43"/>
      <c r="K35" s="43"/>
      <c r="L35" s="43"/>
      <c r="M35" s="43"/>
      <c r="N35" s="43"/>
      <c r="O35" s="43"/>
      <c r="P35" s="43"/>
      <c r="Q35" s="43"/>
      <c r="R35" s="43"/>
      <c r="S35" s="43"/>
      <c r="T35" s="43"/>
      <c r="U35" s="43"/>
      <c r="V35" s="43"/>
      <c r="W35" s="43"/>
      <c r="X35" s="43"/>
      <c r="Y35" s="43"/>
      <c r="Z35" s="43"/>
    </row>
    <row r="36" ht="15.75" customHeight="1">
      <c r="A36" s="43"/>
      <c r="B36" s="49" t="s">
        <v>64</v>
      </c>
      <c r="C36" s="56"/>
      <c r="D36" s="56"/>
      <c r="E36" s="53" t="s">
        <v>12256</v>
      </c>
      <c r="F36" s="43"/>
      <c r="G36" s="43"/>
      <c r="H36" s="43"/>
      <c r="I36" s="43"/>
      <c r="J36" s="43"/>
      <c r="K36" s="43"/>
      <c r="L36" s="43"/>
      <c r="M36" s="43"/>
      <c r="N36" s="43"/>
      <c r="O36" s="43"/>
      <c r="P36" s="43"/>
      <c r="Q36" s="43"/>
      <c r="R36" s="43"/>
      <c r="S36" s="43"/>
      <c r="T36" s="43"/>
      <c r="U36" s="43"/>
      <c r="V36" s="43"/>
      <c r="W36" s="43"/>
      <c r="X36" s="43"/>
      <c r="Y36" s="43"/>
      <c r="Z36" s="43"/>
    </row>
    <row r="37" ht="15.75" customHeight="1">
      <c r="A37" s="43"/>
      <c r="B37" s="49" t="s">
        <v>12257</v>
      </c>
      <c r="C37" s="56"/>
      <c r="D37" s="56"/>
      <c r="E37" s="53" t="s">
        <v>12258</v>
      </c>
      <c r="F37" s="43"/>
      <c r="G37" s="43"/>
      <c r="H37" s="43"/>
      <c r="I37" s="43"/>
      <c r="J37" s="43"/>
      <c r="K37" s="43"/>
      <c r="L37" s="43"/>
      <c r="M37" s="43"/>
      <c r="N37" s="43"/>
      <c r="O37" s="43"/>
      <c r="P37" s="43"/>
      <c r="Q37" s="43"/>
      <c r="R37" s="43"/>
      <c r="S37" s="43"/>
      <c r="T37" s="43"/>
      <c r="U37" s="43"/>
      <c r="V37" s="43"/>
      <c r="W37" s="43"/>
      <c r="X37" s="43"/>
      <c r="Y37" s="43"/>
      <c r="Z37" s="43"/>
    </row>
    <row r="38" ht="15.75" customHeight="1">
      <c r="A38" s="43"/>
      <c r="B38" s="49" t="s">
        <v>12259</v>
      </c>
      <c r="C38" s="56"/>
      <c r="D38" s="56"/>
      <c r="E38" s="53" t="s">
        <v>12260</v>
      </c>
      <c r="F38" s="43"/>
      <c r="G38" s="43"/>
      <c r="H38" s="43"/>
      <c r="I38" s="43"/>
      <c r="J38" s="43"/>
      <c r="K38" s="43"/>
      <c r="L38" s="43"/>
      <c r="M38" s="43"/>
      <c r="N38" s="43"/>
      <c r="O38" s="43"/>
      <c r="P38" s="43"/>
      <c r="Q38" s="43"/>
      <c r="R38" s="43"/>
      <c r="S38" s="43"/>
      <c r="T38" s="43"/>
      <c r="U38" s="43"/>
      <c r="V38" s="43"/>
      <c r="W38" s="43"/>
      <c r="X38" s="43"/>
      <c r="Y38" s="43"/>
      <c r="Z38" s="43"/>
    </row>
    <row r="39" ht="15.75" customHeight="1">
      <c r="A39" s="43"/>
      <c r="B39" s="49" t="s">
        <v>53</v>
      </c>
      <c r="C39" s="56"/>
      <c r="D39" s="56"/>
      <c r="E39" s="53" t="s">
        <v>12261</v>
      </c>
      <c r="F39" s="43"/>
      <c r="G39" s="43"/>
      <c r="H39" s="43"/>
      <c r="I39" s="43"/>
      <c r="J39" s="43"/>
      <c r="K39" s="43"/>
      <c r="L39" s="43"/>
      <c r="M39" s="43"/>
      <c r="N39" s="43"/>
      <c r="O39" s="43"/>
      <c r="P39" s="43"/>
      <c r="Q39" s="43"/>
      <c r="R39" s="43"/>
      <c r="S39" s="43"/>
      <c r="T39" s="43"/>
      <c r="U39" s="43"/>
      <c r="V39" s="43"/>
      <c r="W39" s="43"/>
      <c r="X39" s="43"/>
      <c r="Y39" s="43"/>
      <c r="Z39" s="43"/>
    </row>
    <row r="40" ht="15.75" customHeight="1">
      <c r="A40" s="43"/>
      <c r="B40" s="49" t="s">
        <v>12262</v>
      </c>
      <c r="C40" s="56"/>
      <c r="D40" s="56"/>
      <c r="E40" s="53" t="s">
        <v>12263</v>
      </c>
      <c r="F40" s="43"/>
      <c r="G40" s="43"/>
      <c r="H40" s="43"/>
      <c r="I40" s="43"/>
      <c r="J40" s="43"/>
      <c r="K40" s="43"/>
      <c r="L40" s="43"/>
      <c r="M40" s="43"/>
      <c r="N40" s="43"/>
      <c r="O40" s="43"/>
      <c r="P40" s="43"/>
      <c r="Q40" s="43"/>
      <c r="R40" s="43"/>
      <c r="S40" s="43"/>
      <c r="T40" s="43"/>
      <c r="U40" s="43"/>
      <c r="V40" s="43"/>
      <c r="W40" s="43"/>
      <c r="X40" s="43"/>
      <c r="Y40" s="43"/>
      <c r="Z40" s="43"/>
    </row>
    <row r="41" ht="15.75" customHeight="1">
      <c r="A41" s="43"/>
      <c r="B41" s="49" t="s">
        <v>12264</v>
      </c>
      <c r="C41" s="56"/>
      <c r="D41" s="56"/>
      <c r="E41" s="53" t="s">
        <v>12265</v>
      </c>
      <c r="F41" s="43"/>
      <c r="G41" s="43"/>
      <c r="H41" s="43"/>
      <c r="I41" s="43"/>
      <c r="J41" s="43"/>
      <c r="K41" s="43"/>
      <c r="L41" s="43"/>
      <c r="M41" s="43"/>
      <c r="N41" s="43"/>
      <c r="O41" s="43"/>
      <c r="P41" s="43"/>
      <c r="Q41" s="43"/>
      <c r="R41" s="43"/>
      <c r="S41" s="43"/>
      <c r="T41" s="43"/>
      <c r="U41" s="43"/>
      <c r="V41" s="43"/>
      <c r="W41" s="43"/>
      <c r="X41" s="43"/>
      <c r="Y41" s="43"/>
      <c r="Z41" s="43"/>
    </row>
    <row r="42" ht="15.75" customHeight="1">
      <c r="A42" s="43"/>
      <c r="B42" s="49" t="s">
        <v>12266</v>
      </c>
      <c r="C42" s="56"/>
      <c r="D42" s="56"/>
      <c r="E42" s="53" t="s">
        <v>12267</v>
      </c>
      <c r="F42" s="43"/>
      <c r="G42" s="43"/>
      <c r="H42" s="43"/>
      <c r="I42" s="43"/>
      <c r="J42" s="43"/>
      <c r="K42" s="43"/>
      <c r="L42" s="43"/>
      <c r="M42" s="43"/>
      <c r="N42" s="43"/>
      <c r="O42" s="43"/>
      <c r="P42" s="43"/>
      <c r="Q42" s="43"/>
      <c r="R42" s="43"/>
      <c r="S42" s="43"/>
      <c r="T42" s="43"/>
      <c r="U42" s="43"/>
      <c r="V42" s="43"/>
      <c r="W42" s="43"/>
      <c r="X42" s="43"/>
      <c r="Y42" s="43"/>
      <c r="Z42" s="43"/>
    </row>
    <row r="43" ht="15.75" customHeight="1">
      <c r="A43" s="43"/>
      <c r="B43" s="53" t="s">
        <v>12268</v>
      </c>
      <c r="C43" s="56"/>
      <c r="D43" s="56"/>
      <c r="E43" s="53" t="s">
        <v>12269</v>
      </c>
      <c r="F43" s="43"/>
      <c r="G43" s="43"/>
      <c r="H43" s="43"/>
      <c r="I43" s="43"/>
      <c r="J43" s="43"/>
      <c r="K43" s="43"/>
      <c r="L43" s="43"/>
      <c r="M43" s="43"/>
      <c r="N43" s="43"/>
      <c r="O43" s="43"/>
      <c r="P43" s="43"/>
      <c r="Q43" s="43"/>
      <c r="R43" s="43"/>
      <c r="S43" s="43"/>
      <c r="T43" s="43"/>
      <c r="U43" s="43"/>
      <c r="V43" s="43"/>
      <c r="W43" s="43"/>
      <c r="X43" s="43"/>
      <c r="Y43" s="43"/>
      <c r="Z43" s="43"/>
    </row>
    <row r="44" ht="15.75" customHeight="1">
      <c r="A44" s="43"/>
      <c r="B44" s="53" t="s">
        <v>12270</v>
      </c>
      <c r="C44" s="56"/>
      <c r="D44" s="56"/>
      <c r="E44" s="53" t="s">
        <v>12271</v>
      </c>
      <c r="F44" s="43"/>
      <c r="G44" s="43"/>
      <c r="H44" s="43"/>
      <c r="I44" s="43"/>
      <c r="J44" s="43"/>
      <c r="K44" s="43"/>
      <c r="L44" s="43"/>
      <c r="M44" s="43"/>
      <c r="N44" s="43"/>
      <c r="O44" s="43"/>
      <c r="P44" s="43"/>
      <c r="Q44" s="43"/>
      <c r="R44" s="43"/>
      <c r="S44" s="43"/>
      <c r="T44" s="43"/>
      <c r="U44" s="43"/>
      <c r="V44" s="43"/>
      <c r="W44" s="43"/>
      <c r="X44" s="43"/>
      <c r="Y44" s="43"/>
      <c r="Z44" s="43"/>
    </row>
    <row r="45" ht="15.75" customHeight="1">
      <c r="A45" s="43"/>
      <c r="B45" s="53" t="s">
        <v>12251</v>
      </c>
      <c r="C45" s="56"/>
      <c r="D45" s="56"/>
      <c r="E45" s="53" t="s">
        <v>12272</v>
      </c>
      <c r="F45" s="43"/>
      <c r="G45" s="43"/>
      <c r="H45" s="43"/>
      <c r="I45" s="43"/>
      <c r="J45" s="43"/>
      <c r="K45" s="43"/>
      <c r="L45" s="43"/>
      <c r="M45" s="43"/>
      <c r="N45" s="43"/>
      <c r="O45" s="43"/>
      <c r="P45" s="43"/>
      <c r="Q45" s="43"/>
      <c r="R45" s="43"/>
      <c r="S45" s="43"/>
      <c r="T45" s="43"/>
      <c r="U45" s="43"/>
      <c r="V45" s="43"/>
      <c r="W45" s="43"/>
      <c r="X45" s="43"/>
      <c r="Y45" s="43"/>
      <c r="Z45" s="43"/>
    </row>
    <row r="46" ht="15.75" customHeight="1">
      <c r="A46" s="43"/>
      <c r="B46" s="53" t="s">
        <v>12273</v>
      </c>
      <c r="C46" s="56"/>
      <c r="D46" s="56"/>
      <c r="E46" s="53" t="s">
        <v>12274</v>
      </c>
      <c r="F46" s="43"/>
      <c r="G46" s="43"/>
      <c r="H46" s="43"/>
      <c r="I46" s="43"/>
      <c r="J46" s="43"/>
      <c r="K46" s="43"/>
      <c r="L46" s="43"/>
      <c r="M46" s="43"/>
      <c r="N46" s="43"/>
      <c r="O46" s="43"/>
      <c r="P46" s="43"/>
      <c r="Q46" s="43"/>
      <c r="R46" s="43"/>
      <c r="S46" s="43"/>
      <c r="T46" s="43"/>
      <c r="U46" s="43"/>
      <c r="V46" s="43"/>
      <c r="W46" s="43"/>
      <c r="X46" s="43"/>
      <c r="Y46" s="43"/>
      <c r="Z46" s="43"/>
    </row>
    <row r="47" ht="15.75" customHeight="1">
      <c r="A47" s="43"/>
      <c r="B47" s="53" t="s">
        <v>12275</v>
      </c>
      <c r="C47" s="56"/>
      <c r="D47" s="53" t="s">
        <v>12276</v>
      </c>
      <c r="E47" s="53" t="s">
        <v>12277</v>
      </c>
      <c r="F47" s="43"/>
      <c r="G47" s="43"/>
      <c r="H47" s="43"/>
      <c r="I47" s="43"/>
      <c r="J47" s="43"/>
      <c r="K47" s="43"/>
      <c r="L47" s="43"/>
      <c r="M47" s="43"/>
      <c r="N47" s="43"/>
      <c r="O47" s="43"/>
      <c r="P47" s="43"/>
      <c r="Q47" s="43"/>
      <c r="R47" s="43"/>
      <c r="S47" s="43"/>
      <c r="T47" s="43"/>
      <c r="U47" s="43"/>
      <c r="V47" s="43"/>
      <c r="W47" s="43"/>
      <c r="X47" s="43"/>
      <c r="Y47" s="43"/>
      <c r="Z47" s="43"/>
    </row>
    <row r="48" ht="15.75" customHeight="1">
      <c r="A48" s="43"/>
      <c r="B48" s="43"/>
      <c r="C48" s="43"/>
      <c r="D48" s="43"/>
      <c r="E48" s="43"/>
      <c r="F48" s="43"/>
      <c r="G48" s="43"/>
      <c r="H48" s="43"/>
      <c r="I48" s="43"/>
      <c r="J48" s="43"/>
      <c r="K48" s="43"/>
      <c r="L48" s="43"/>
      <c r="M48" s="43"/>
      <c r="N48" s="43"/>
      <c r="O48" s="43"/>
      <c r="P48" s="43"/>
      <c r="Q48" s="43"/>
      <c r="R48" s="43"/>
      <c r="S48" s="43"/>
      <c r="T48" s="43"/>
      <c r="U48" s="43"/>
      <c r="V48" s="43"/>
      <c r="W48" s="43"/>
      <c r="X48" s="43"/>
      <c r="Y48" s="43"/>
      <c r="Z48" s="43"/>
    </row>
    <row r="49" ht="15.75" customHeight="1">
      <c r="A49" s="43"/>
      <c r="B49" s="46" t="s">
        <v>12278</v>
      </c>
      <c r="C49" s="56"/>
      <c r="D49" s="43"/>
      <c r="E49" s="43"/>
      <c r="F49" s="43"/>
      <c r="G49" s="43"/>
      <c r="H49" s="43"/>
      <c r="I49" s="43"/>
      <c r="J49" s="43"/>
      <c r="K49" s="43"/>
      <c r="L49" s="43"/>
      <c r="M49" s="43"/>
      <c r="N49" s="43"/>
      <c r="O49" s="43"/>
      <c r="P49" s="43"/>
      <c r="Q49" s="43"/>
      <c r="R49" s="43"/>
      <c r="S49" s="43"/>
      <c r="T49" s="43"/>
      <c r="U49" s="43"/>
      <c r="V49" s="43"/>
      <c r="W49" s="43"/>
      <c r="X49" s="43"/>
      <c r="Y49" s="43"/>
      <c r="Z49" s="43"/>
    </row>
    <row r="50" ht="15.75" customHeight="1">
      <c r="A50" s="43"/>
      <c r="B50" s="57" t="s">
        <v>12279</v>
      </c>
      <c r="C50" s="56"/>
      <c r="D50" s="43"/>
      <c r="E50" s="43"/>
      <c r="F50" s="43"/>
      <c r="G50" s="43"/>
      <c r="H50" s="43"/>
      <c r="I50" s="43"/>
      <c r="J50" s="43"/>
      <c r="K50" s="43"/>
      <c r="L50" s="43"/>
      <c r="M50" s="43"/>
      <c r="N50" s="43"/>
      <c r="O50" s="43"/>
      <c r="P50" s="43"/>
      <c r="Q50" s="43"/>
      <c r="R50" s="43"/>
      <c r="S50" s="43"/>
      <c r="T50" s="43"/>
      <c r="U50" s="43"/>
      <c r="V50" s="43"/>
      <c r="W50" s="43"/>
      <c r="X50" s="43"/>
      <c r="Y50" s="43"/>
      <c r="Z50" s="43"/>
    </row>
    <row r="51" ht="15.75" customHeight="1">
      <c r="A51" s="43"/>
      <c r="B51" s="53" t="s">
        <v>12280</v>
      </c>
      <c r="C51" s="56"/>
      <c r="D51" s="43"/>
      <c r="E51" s="43"/>
      <c r="F51" s="43"/>
      <c r="G51" s="43"/>
      <c r="H51" s="43"/>
      <c r="I51" s="43"/>
      <c r="J51" s="43"/>
      <c r="K51" s="43"/>
      <c r="L51" s="43"/>
      <c r="M51" s="43"/>
      <c r="N51" s="43"/>
      <c r="O51" s="43"/>
      <c r="P51" s="43"/>
      <c r="Q51" s="43"/>
      <c r="R51" s="43"/>
      <c r="S51" s="43"/>
      <c r="T51" s="43"/>
      <c r="U51" s="43"/>
      <c r="V51" s="43"/>
      <c r="W51" s="43"/>
      <c r="X51" s="43"/>
      <c r="Y51" s="43"/>
      <c r="Z51" s="43"/>
    </row>
    <row r="52" ht="15.75" customHeight="1">
      <c r="A52" s="43"/>
      <c r="B52" s="56"/>
      <c r="C52" s="53" t="s">
        <v>12281</v>
      </c>
      <c r="D52" s="43"/>
      <c r="E52" s="43"/>
      <c r="F52" s="43"/>
      <c r="G52" s="43"/>
      <c r="H52" s="43"/>
      <c r="I52" s="43"/>
      <c r="J52" s="43"/>
      <c r="K52" s="43"/>
      <c r="L52" s="43"/>
      <c r="M52" s="43"/>
      <c r="N52" s="43"/>
      <c r="O52" s="43"/>
      <c r="P52" s="43"/>
      <c r="Q52" s="43"/>
      <c r="R52" s="43"/>
      <c r="S52" s="43"/>
      <c r="T52" s="43"/>
      <c r="U52" s="43"/>
      <c r="V52" s="43"/>
      <c r="W52" s="43"/>
      <c r="X52" s="43"/>
      <c r="Y52" s="43"/>
      <c r="Z52" s="43"/>
    </row>
    <row r="53" ht="15.75" customHeight="1">
      <c r="A53" s="43"/>
      <c r="B53" s="56"/>
      <c r="C53" s="53" t="s">
        <v>12282</v>
      </c>
      <c r="D53" s="43"/>
      <c r="E53" s="43"/>
      <c r="F53" s="43"/>
      <c r="G53" s="43"/>
      <c r="H53" s="43"/>
      <c r="I53" s="43"/>
      <c r="J53" s="43"/>
      <c r="K53" s="43"/>
      <c r="L53" s="43"/>
      <c r="M53" s="43"/>
      <c r="N53" s="43"/>
      <c r="O53" s="43"/>
      <c r="P53" s="43"/>
      <c r="Q53" s="43"/>
      <c r="R53" s="43"/>
      <c r="S53" s="43"/>
      <c r="T53" s="43"/>
      <c r="U53" s="43"/>
      <c r="V53" s="43"/>
      <c r="W53" s="43"/>
      <c r="X53" s="43"/>
      <c r="Y53" s="43"/>
      <c r="Z53" s="43"/>
    </row>
    <row r="54" ht="15.75" customHeight="1">
      <c r="A54" s="43"/>
      <c r="B54" s="56"/>
      <c r="C54" s="53" t="s">
        <v>12283</v>
      </c>
      <c r="D54" s="43"/>
      <c r="E54" s="43"/>
      <c r="F54" s="43"/>
      <c r="G54" s="43"/>
      <c r="H54" s="43"/>
      <c r="I54" s="43"/>
      <c r="J54" s="43"/>
      <c r="K54" s="43"/>
      <c r="L54" s="43"/>
      <c r="M54" s="43"/>
      <c r="N54" s="43"/>
      <c r="O54" s="43"/>
      <c r="P54" s="43"/>
      <c r="Q54" s="43"/>
      <c r="R54" s="43"/>
      <c r="S54" s="43"/>
      <c r="T54" s="43"/>
      <c r="U54" s="43"/>
      <c r="V54" s="43"/>
      <c r="W54" s="43"/>
      <c r="X54" s="43"/>
      <c r="Y54" s="43"/>
      <c r="Z54" s="43"/>
    </row>
    <row r="55" ht="15.75" customHeight="1">
      <c r="A55" s="43"/>
      <c r="B55" s="56"/>
      <c r="C55" s="53" t="s">
        <v>12284</v>
      </c>
      <c r="D55" s="43"/>
      <c r="E55" s="43"/>
      <c r="F55" s="43"/>
      <c r="G55" s="43"/>
      <c r="H55" s="43"/>
      <c r="I55" s="43"/>
      <c r="J55" s="43"/>
      <c r="K55" s="43"/>
      <c r="L55" s="43"/>
      <c r="M55" s="43"/>
      <c r="N55" s="43"/>
      <c r="O55" s="43"/>
      <c r="P55" s="43"/>
      <c r="Q55" s="43"/>
      <c r="R55" s="43"/>
      <c r="S55" s="43"/>
      <c r="T55" s="43"/>
      <c r="U55" s="43"/>
      <c r="V55" s="43"/>
      <c r="W55" s="43"/>
      <c r="X55" s="43"/>
      <c r="Y55" s="43"/>
      <c r="Z55" s="43"/>
    </row>
    <row r="56" ht="15.75" customHeight="1">
      <c r="A56" s="43"/>
      <c r="B56" s="53" t="s">
        <v>12285</v>
      </c>
      <c r="C56" s="53"/>
      <c r="D56" s="49"/>
      <c r="E56" s="49"/>
      <c r="F56" s="49"/>
      <c r="G56" s="49"/>
      <c r="H56" s="49"/>
      <c r="I56" s="49"/>
      <c r="J56" s="49"/>
      <c r="K56" s="49"/>
      <c r="L56" s="49"/>
      <c r="M56" s="43"/>
      <c r="N56" s="43"/>
      <c r="O56" s="43"/>
      <c r="P56" s="43"/>
      <c r="Q56" s="43"/>
      <c r="R56" s="43"/>
      <c r="S56" s="43"/>
      <c r="T56" s="43"/>
      <c r="U56" s="43"/>
      <c r="V56" s="43"/>
      <c r="W56" s="43"/>
      <c r="X56" s="43"/>
      <c r="Y56" s="43"/>
      <c r="Z56" s="43"/>
    </row>
    <row r="57" ht="15.75" customHeight="1">
      <c r="A57" s="43"/>
      <c r="B57" s="53"/>
      <c r="D57" s="53"/>
      <c r="E57" s="53"/>
      <c r="F57" s="58">
        <v>0.57</v>
      </c>
      <c r="G57" s="53"/>
      <c r="H57" s="49"/>
      <c r="I57" s="49"/>
      <c r="J57" s="49"/>
      <c r="K57" s="49"/>
      <c r="L57" s="49"/>
      <c r="M57" s="43"/>
      <c r="N57" s="43"/>
      <c r="O57" s="43"/>
      <c r="P57" s="43"/>
      <c r="Q57" s="43"/>
      <c r="R57" s="43"/>
      <c r="S57" s="43"/>
      <c r="T57" s="43"/>
      <c r="U57" s="43"/>
      <c r="V57" s="43"/>
      <c r="W57" s="43"/>
      <c r="X57" s="43"/>
      <c r="Y57" s="43"/>
      <c r="Z57" s="43"/>
    </row>
    <row r="58" ht="15.75" customHeight="1">
      <c r="A58" s="43"/>
      <c r="B58" s="53"/>
      <c r="C58" s="53" t="s">
        <v>12286</v>
      </c>
      <c r="D58" s="53"/>
      <c r="E58" s="53"/>
      <c r="F58" s="58">
        <v>0.7</v>
      </c>
      <c r="G58" s="53"/>
      <c r="H58" s="49"/>
      <c r="I58" s="49"/>
      <c r="J58" s="49"/>
      <c r="K58" s="49"/>
      <c r="L58" s="49"/>
      <c r="M58" s="43"/>
      <c r="N58" s="43"/>
      <c r="O58" s="43"/>
      <c r="P58" s="43"/>
      <c r="Q58" s="43"/>
      <c r="R58" s="43"/>
      <c r="S58" s="43"/>
      <c r="T58" s="43"/>
      <c r="U58" s="43"/>
      <c r="V58" s="43"/>
      <c r="W58" s="43"/>
      <c r="X58" s="43"/>
      <c r="Y58" s="43"/>
      <c r="Z58" s="43"/>
    </row>
    <row r="59" ht="15.75" customHeight="1">
      <c r="A59" s="43"/>
      <c r="B59" s="53"/>
      <c r="C59" s="53" t="s">
        <v>12287</v>
      </c>
      <c r="D59" s="53"/>
      <c r="E59" s="53"/>
      <c r="F59" s="58">
        <v>0.57</v>
      </c>
      <c r="G59" s="53"/>
      <c r="H59" s="49"/>
      <c r="I59" s="49"/>
      <c r="J59" s="49"/>
      <c r="K59" s="49"/>
      <c r="L59" s="49"/>
      <c r="M59" s="43"/>
      <c r="N59" s="43"/>
      <c r="O59" s="43"/>
      <c r="P59" s="43"/>
      <c r="Q59" s="43"/>
      <c r="R59" s="43"/>
      <c r="S59" s="43"/>
      <c r="T59" s="43"/>
      <c r="U59" s="43"/>
      <c r="V59" s="43"/>
      <c r="W59" s="43"/>
      <c r="X59" s="43"/>
      <c r="Y59" s="43"/>
      <c r="Z59" s="43"/>
    </row>
    <row r="60" ht="15.75" customHeight="1">
      <c r="A60" s="43"/>
      <c r="B60" s="53"/>
      <c r="C60" s="53" t="s">
        <v>12288</v>
      </c>
      <c r="D60" s="53"/>
      <c r="E60" s="53"/>
      <c r="F60" s="58">
        <v>0.8</v>
      </c>
      <c r="G60" s="53"/>
      <c r="H60" s="49"/>
      <c r="I60" s="49"/>
      <c r="J60" s="49"/>
      <c r="K60" s="49"/>
      <c r="L60" s="49"/>
      <c r="M60" s="43"/>
      <c r="N60" s="43"/>
      <c r="O60" s="43"/>
      <c r="P60" s="43"/>
      <c r="Q60" s="43"/>
      <c r="R60" s="43"/>
      <c r="S60" s="43"/>
      <c r="T60" s="43"/>
      <c r="U60" s="43"/>
      <c r="V60" s="43"/>
      <c r="W60" s="43"/>
      <c r="X60" s="43"/>
      <c r="Y60" s="43"/>
      <c r="Z60" s="43"/>
    </row>
    <row r="61" ht="15.75" customHeight="1">
      <c r="A61" s="43"/>
      <c r="B61" s="53"/>
      <c r="C61" s="53" t="s">
        <v>12289</v>
      </c>
      <c r="D61" s="53"/>
      <c r="E61" s="53"/>
      <c r="F61" s="58">
        <v>0.57</v>
      </c>
      <c r="G61" s="53"/>
      <c r="H61" s="49"/>
      <c r="I61" s="49"/>
      <c r="J61" s="49"/>
      <c r="K61" s="49"/>
      <c r="L61" s="49"/>
      <c r="M61" s="43"/>
      <c r="N61" s="43"/>
      <c r="O61" s="43"/>
      <c r="P61" s="43"/>
      <c r="Q61" s="43"/>
      <c r="R61" s="43"/>
      <c r="S61" s="43"/>
      <c r="T61" s="43"/>
      <c r="U61" s="43"/>
      <c r="V61" s="43"/>
      <c r="W61" s="43"/>
      <c r="X61" s="43"/>
      <c r="Y61" s="43"/>
      <c r="Z61" s="43"/>
    </row>
    <row r="62" ht="15.75" customHeight="1">
      <c r="A62" s="43"/>
      <c r="B62" s="53"/>
      <c r="C62" s="53" t="s">
        <v>12290</v>
      </c>
      <c r="D62" s="53"/>
      <c r="E62" s="53"/>
      <c r="F62" s="58">
        <v>0.8</v>
      </c>
      <c r="G62" s="53"/>
      <c r="H62" s="49"/>
      <c r="I62" s="49"/>
      <c r="J62" s="49"/>
      <c r="K62" s="49"/>
      <c r="L62" s="49"/>
      <c r="M62" s="43"/>
      <c r="N62" s="43"/>
      <c r="O62" s="43"/>
      <c r="P62" s="43"/>
      <c r="Q62" s="43"/>
      <c r="R62" s="43"/>
      <c r="S62" s="43"/>
      <c r="T62" s="43"/>
      <c r="U62" s="43"/>
      <c r="V62" s="43"/>
      <c r="W62" s="43"/>
      <c r="X62" s="43"/>
      <c r="Y62" s="43"/>
      <c r="Z62" s="43"/>
    </row>
    <row r="63" ht="15.75" customHeight="1">
      <c r="A63" s="43"/>
      <c r="B63" s="53"/>
      <c r="C63" s="53"/>
      <c r="D63" s="53" t="s">
        <v>12291</v>
      </c>
      <c r="E63" s="53"/>
      <c r="F63" s="58">
        <v>0.3</v>
      </c>
      <c r="G63" s="49"/>
      <c r="H63" s="49"/>
      <c r="I63" s="49"/>
      <c r="J63" s="49"/>
      <c r="K63" s="49"/>
      <c r="L63" s="49"/>
      <c r="M63" s="43"/>
      <c r="N63" s="43"/>
      <c r="O63" s="43"/>
      <c r="P63" s="43"/>
      <c r="Q63" s="43"/>
      <c r="R63" s="43"/>
      <c r="S63" s="43"/>
      <c r="T63" s="43"/>
      <c r="U63" s="43"/>
      <c r="V63" s="43"/>
      <c r="W63" s="43"/>
      <c r="X63" s="43"/>
      <c r="Y63" s="43"/>
      <c r="Z63" s="43"/>
    </row>
    <row r="64" ht="15.75" customHeight="1">
      <c r="A64" s="43"/>
      <c r="B64" s="53"/>
      <c r="C64" s="53"/>
      <c r="D64" s="53" t="s">
        <v>12292</v>
      </c>
      <c r="E64" s="53"/>
      <c r="F64" s="58">
        <v>0.4</v>
      </c>
      <c r="G64" s="49"/>
      <c r="H64" s="49"/>
      <c r="I64" s="49"/>
      <c r="J64" s="49"/>
      <c r="K64" s="49"/>
      <c r="L64" s="49"/>
      <c r="M64" s="43"/>
      <c r="N64" s="43"/>
      <c r="O64" s="43"/>
      <c r="P64" s="43"/>
      <c r="Q64" s="43"/>
      <c r="R64" s="43"/>
      <c r="S64" s="43"/>
      <c r="T64" s="43"/>
      <c r="U64" s="43"/>
      <c r="V64" s="43"/>
      <c r="W64" s="43"/>
      <c r="X64" s="43"/>
      <c r="Y64" s="43"/>
      <c r="Z64" s="43"/>
    </row>
    <row r="65" ht="15.75" customHeight="1">
      <c r="A65" s="43"/>
      <c r="B65" s="53"/>
      <c r="C65" s="53"/>
      <c r="D65" s="53" t="s">
        <v>12293</v>
      </c>
      <c r="E65" s="53"/>
      <c r="F65" s="58">
        <v>0.55</v>
      </c>
      <c r="G65" s="49"/>
      <c r="H65" s="49"/>
      <c r="I65" s="49"/>
      <c r="J65" s="49"/>
      <c r="K65" s="49"/>
      <c r="L65" s="49"/>
      <c r="M65" s="43"/>
      <c r="N65" s="43"/>
      <c r="O65" s="43"/>
      <c r="P65" s="43"/>
      <c r="Q65" s="43"/>
      <c r="R65" s="43"/>
      <c r="S65" s="43"/>
      <c r="T65" s="43"/>
      <c r="U65" s="43"/>
      <c r="V65" s="43"/>
      <c r="W65" s="43"/>
      <c r="X65" s="43"/>
      <c r="Y65" s="43"/>
      <c r="Z65" s="43"/>
    </row>
    <row r="66" ht="15.75" customHeight="1">
      <c r="A66" s="43"/>
      <c r="B66" s="53"/>
      <c r="C66" s="53"/>
      <c r="D66" s="53" t="s">
        <v>12294</v>
      </c>
      <c r="E66" s="53"/>
      <c r="F66" s="58">
        <v>0.8</v>
      </c>
      <c r="G66" s="49"/>
      <c r="H66" s="49"/>
      <c r="I66" s="49"/>
      <c r="J66" s="49"/>
      <c r="K66" s="49"/>
      <c r="L66" s="49"/>
      <c r="M66" s="43"/>
      <c r="N66" s="43"/>
      <c r="O66" s="43"/>
      <c r="P66" s="43"/>
      <c r="Q66" s="43"/>
      <c r="R66" s="43"/>
      <c r="S66" s="43"/>
      <c r="T66" s="43"/>
      <c r="U66" s="43"/>
      <c r="V66" s="43"/>
      <c r="W66" s="43"/>
      <c r="X66" s="43"/>
      <c r="Y66" s="43"/>
      <c r="Z66" s="43"/>
    </row>
    <row r="67" ht="15.75" customHeight="1">
      <c r="A67" s="43"/>
      <c r="B67" s="53"/>
      <c r="C67" s="53"/>
      <c r="D67" s="53" t="s">
        <v>12295</v>
      </c>
      <c r="E67" s="53"/>
      <c r="F67" s="58">
        <v>0.5</v>
      </c>
      <c r="G67" s="49"/>
      <c r="H67" s="49"/>
      <c r="I67" s="49"/>
      <c r="J67" s="49"/>
      <c r="K67" s="49"/>
      <c r="L67" s="49"/>
      <c r="M67" s="43"/>
      <c r="N67" s="43"/>
      <c r="O67" s="43"/>
      <c r="P67" s="43"/>
      <c r="Q67" s="43"/>
      <c r="R67" s="43"/>
      <c r="S67" s="43"/>
      <c r="T67" s="43"/>
      <c r="U67" s="43"/>
      <c r="V67" s="43"/>
      <c r="W67" s="43"/>
      <c r="X67" s="43"/>
      <c r="Y67" s="43"/>
      <c r="Z67" s="43"/>
    </row>
    <row r="68" ht="15.75" customHeight="1">
      <c r="A68" s="43"/>
      <c r="B68" s="53"/>
      <c r="C68" s="53"/>
      <c r="D68" s="53" t="s">
        <v>12296</v>
      </c>
      <c r="E68" s="53"/>
      <c r="F68" s="58">
        <v>0.5</v>
      </c>
      <c r="G68" s="49"/>
      <c r="H68" s="49"/>
      <c r="I68" s="49"/>
      <c r="J68" s="49"/>
      <c r="K68" s="49"/>
      <c r="L68" s="49"/>
      <c r="M68" s="43"/>
      <c r="N68" s="43"/>
      <c r="O68" s="43"/>
      <c r="P68" s="43"/>
      <c r="Q68" s="43"/>
      <c r="R68" s="43"/>
      <c r="S68" s="43"/>
      <c r="T68" s="43"/>
      <c r="U68" s="43"/>
      <c r="V68" s="43"/>
      <c r="W68" s="43"/>
      <c r="X68" s="43"/>
      <c r="Y68" s="43"/>
      <c r="Z68" s="43"/>
    </row>
    <row r="69" ht="15.75" customHeight="1">
      <c r="A69" s="43"/>
      <c r="B69" s="53"/>
      <c r="C69" s="53"/>
      <c r="D69" s="53" t="s">
        <v>12289</v>
      </c>
      <c r="E69" s="53"/>
      <c r="F69" s="58">
        <v>0.5</v>
      </c>
      <c r="G69" s="49"/>
      <c r="H69" s="49"/>
      <c r="I69" s="49"/>
      <c r="J69" s="49"/>
      <c r="K69" s="49"/>
      <c r="L69" s="49"/>
      <c r="M69" s="43"/>
      <c r="N69" s="43"/>
      <c r="O69" s="43"/>
      <c r="P69" s="43"/>
      <c r="Q69" s="43"/>
      <c r="R69" s="43"/>
      <c r="S69" s="43"/>
      <c r="T69" s="43"/>
      <c r="U69" s="43"/>
      <c r="V69" s="43"/>
      <c r="W69" s="43"/>
      <c r="X69" s="43"/>
      <c r="Y69" s="43"/>
      <c r="Z69" s="43"/>
    </row>
    <row r="70" ht="15.75" customHeight="1">
      <c r="A70" s="43"/>
      <c r="B70" s="53"/>
      <c r="C70" s="53"/>
      <c r="D70" s="49"/>
      <c r="E70" s="49"/>
      <c r="F70" s="49"/>
      <c r="G70" s="49"/>
      <c r="H70" s="49"/>
      <c r="I70" s="49"/>
      <c r="J70" s="49"/>
      <c r="K70" s="49"/>
      <c r="L70" s="49"/>
      <c r="M70" s="43"/>
      <c r="N70" s="43"/>
      <c r="O70" s="43"/>
      <c r="P70" s="43"/>
      <c r="Q70" s="43"/>
      <c r="R70" s="43"/>
      <c r="S70" s="43"/>
      <c r="T70" s="43"/>
      <c r="U70" s="43"/>
      <c r="V70" s="43"/>
      <c r="W70" s="43"/>
      <c r="X70" s="43"/>
      <c r="Y70" s="43"/>
      <c r="Z70" s="43"/>
    </row>
    <row r="71" ht="18.0" customHeight="1">
      <c r="A71" s="43"/>
      <c r="B71" s="59" t="s">
        <v>12297</v>
      </c>
      <c r="C71" s="60"/>
      <c r="D71" s="60"/>
      <c r="E71" s="60"/>
      <c r="F71" s="60"/>
      <c r="G71" s="60"/>
      <c r="H71" s="60"/>
      <c r="I71" s="60"/>
      <c r="J71" s="60"/>
      <c r="K71" s="60"/>
      <c r="L71" s="60"/>
      <c r="M71" s="60"/>
      <c r="N71" s="60"/>
      <c r="O71" s="60"/>
      <c r="P71" s="60"/>
      <c r="Q71" s="60"/>
      <c r="R71" s="60"/>
      <c r="S71" s="60"/>
      <c r="T71" s="60"/>
      <c r="U71" s="60"/>
      <c r="V71" s="60"/>
      <c r="W71" s="60"/>
      <c r="X71" s="43"/>
      <c r="Y71" s="43"/>
      <c r="Z71" s="43"/>
    </row>
    <row r="72" ht="15.75" customHeight="1">
      <c r="A72" s="43"/>
      <c r="B72" s="61"/>
      <c r="X72" s="43"/>
      <c r="Y72" s="43"/>
      <c r="Z72" s="43"/>
    </row>
    <row r="73" ht="15.75" customHeight="1">
      <c r="A73" s="43"/>
      <c r="B73" s="56"/>
      <c r="C73" s="53" t="s">
        <v>12298</v>
      </c>
      <c r="D73" s="43"/>
      <c r="E73" s="43"/>
      <c r="F73" s="43"/>
      <c r="G73" s="43"/>
      <c r="H73" s="43"/>
      <c r="I73" s="43"/>
      <c r="J73" s="43"/>
      <c r="K73" s="43"/>
      <c r="L73" s="43"/>
      <c r="M73" s="43"/>
      <c r="N73" s="43"/>
      <c r="O73" s="43"/>
      <c r="P73" s="43"/>
      <c r="Q73" s="43"/>
      <c r="R73" s="43"/>
      <c r="S73" s="43"/>
      <c r="T73" s="43"/>
      <c r="U73" s="43"/>
      <c r="V73" s="43"/>
      <c r="W73" s="43"/>
      <c r="X73" s="43"/>
      <c r="Y73" s="43"/>
      <c r="Z73" s="43"/>
    </row>
    <row r="74" ht="15.75" customHeight="1">
      <c r="A74" s="43"/>
      <c r="B74" s="56"/>
      <c r="C74" s="53" t="s">
        <v>12299</v>
      </c>
      <c r="D74" s="43"/>
      <c r="E74" s="43"/>
      <c r="F74" s="43"/>
      <c r="G74" s="43"/>
      <c r="H74" s="43"/>
      <c r="I74" s="43"/>
      <c r="J74" s="43"/>
      <c r="K74" s="43"/>
      <c r="L74" s="43"/>
      <c r="M74" s="43"/>
      <c r="N74" s="43"/>
      <c r="O74" s="43"/>
      <c r="P74" s="43"/>
      <c r="Q74" s="43"/>
      <c r="R74" s="43"/>
      <c r="S74" s="43"/>
      <c r="T74" s="43"/>
      <c r="U74" s="43"/>
      <c r="V74" s="43"/>
      <c r="W74" s="43"/>
      <c r="X74" s="43"/>
      <c r="Y74" s="43"/>
      <c r="Z74" s="43"/>
    </row>
    <row r="75" ht="18.0" customHeight="1">
      <c r="A75" s="43"/>
      <c r="B75" s="59" t="s">
        <v>12300</v>
      </c>
      <c r="C75" s="60"/>
      <c r="D75" s="60"/>
      <c r="E75" s="60"/>
      <c r="F75" s="60"/>
      <c r="G75" s="60"/>
      <c r="H75" s="60"/>
      <c r="I75" s="60"/>
      <c r="J75" s="60"/>
      <c r="K75" s="60"/>
      <c r="L75" s="60"/>
      <c r="M75" s="60"/>
      <c r="N75" s="60"/>
      <c r="O75" s="60"/>
      <c r="P75" s="60"/>
      <c r="Q75" s="60"/>
      <c r="R75" s="60"/>
      <c r="S75" s="60"/>
      <c r="T75" s="60"/>
      <c r="U75" s="60"/>
      <c r="V75" s="60"/>
      <c r="W75" s="60"/>
      <c r="X75" s="60"/>
      <c r="Y75" s="43"/>
      <c r="Z75" s="43"/>
    </row>
    <row r="76" ht="15.75" customHeight="1">
      <c r="A76" s="43"/>
      <c r="B76" s="61"/>
      <c r="Y76" s="43"/>
      <c r="Z76" s="43"/>
    </row>
    <row r="77" ht="15.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5.75" customHeight="1">
      <c r="A78" s="43"/>
      <c r="B78" s="62" t="s">
        <v>12301</v>
      </c>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5.75" customHeight="1">
      <c r="A79" s="43"/>
      <c r="B79" s="53" t="s">
        <v>12302</v>
      </c>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75" customHeight="1">
      <c r="A80" s="43"/>
      <c r="B80" s="53" t="s">
        <v>12303</v>
      </c>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5.75" customHeight="1">
      <c r="A81" s="43"/>
      <c r="B81" s="53" t="s">
        <v>12304</v>
      </c>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5.75" customHeight="1">
      <c r="A82" s="43"/>
      <c r="B82" s="53" t="s">
        <v>12305</v>
      </c>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5.75" customHeight="1">
      <c r="A83" s="43"/>
      <c r="B83" s="53" t="s">
        <v>12306</v>
      </c>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5.75" customHeight="1">
      <c r="A84" s="43"/>
      <c r="B84" s="53" t="s">
        <v>12307</v>
      </c>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5.75" customHeight="1">
      <c r="A85" s="43"/>
      <c r="B85" s="53" t="s">
        <v>12308</v>
      </c>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75" customHeight="1">
      <c r="A86" s="43"/>
      <c r="B86" s="53" t="s">
        <v>12309</v>
      </c>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5.75" customHeight="1">
      <c r="A87" s="43"/>
      <c r="B87" s="53" t="s">
        <v>12310</v>
      </c>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5.75" customHeight="1">
      <c r="A88" s="43"/>
      <c r="B88" s="53" t="s">
        <v>12311</v>
      </c>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5.75" customHeight="1">
      <c r="A89" s="43"/>
      <c r="B89" s="53" t="s">
        <v>12312</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75" customHeight="1">
      <c r="A90" s="43"/>
      <c r="B90" s="53" t="s">
        <v>12313</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75" customHeight="1">
      <c r="A91" s="43"/>
      <c r="B91" s="53" t="s">
        <v>12314</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75" customHeight="1">
      <c r="A92" s="43"/>
      <c r="B92" s="53" t="s">
        <v>12315</v>
      </c>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75" customHeight="1">
      <c r="A93" s="43"/>
      <c r="B93" s="53" t="s">
        <v>12316</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75" customHeight="1">
      <c r="A94" s="43"/>
      <c r="B94" s="53" t="s">
        <v>12317</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75" customHeight="1">
      <c r="A95" s="43"/>
      <c r="B95" s="53" t="s">
        <v>12318</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75" customHeight="1">
      <c r="A96" s="43"/>
      <c r="B96" s="53" t="s">
        <v>12319</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75" customHeight="1">
      <c r="A97" s="43"/>
      <c r="B97" s="53" t="s">
        <v>12320</v>
      </c>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75" customHeight="1">
      <c r="A98" s="43"/>
      <c r="B98" s="53" t="s">
        <v>12321</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75" customHeight="1">
      <c r="A100" s="43"/>
      <c r="B100" s="62" t="s">
        <v>12322</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75" customHeight="1">
      <c r="A102" s="43"/>
      <c r="B102" s="63" t="s">
        <v>12323</v>
      </c>
      <c r="C102" s="63"/>
      <c r="D102" s="63"/>
      <c r="E102" s="63"/>
      <c r="F102" s="63"/>
      <c r="G102" s="63"/>
      <c r="H102" s="63"/>
      <c r="I102" s="43"/>
      <c r="J102" s="43"/>
      <c r="K102" s="43"/>
      <c r="L102" s="43"/>
      <c r="M102" s="43"/>
      <c r="N102" s="43"/>
      <c r="O102" s="43"/>
      <c r="P102" s="43"/>
      <c r="Q102" s="43"/>
      <c r="R102" s="43"/>
      <c r="S102" s="43"/>
      <c r="T102" s="43"/>
      <c r="U102" s="43"/>
      <c r="V102" s="43"/>
      <c r="W102" s="43"/>
      <c r="X102" s="43"/>
      <c r="Y102" s="43"/>
      <c r="Z102" s="43"/>
    </row>
    <row r="103" ht="15.75" customHeight="1">
      <c r="A103" s="43"/>
      <c r="B103" s="64" t="s">
        <v>12324</v>
      </c>
      <c r="C103" s="65"/>
      <c r="D103" s="65"/>
      <c r="E103" s="65"/>
      <c r="F103" s="65"/>
      <c r="G103" s="65"/>
      <c r="H103" s="65"/>
      <c r="I103" s="43"/>
      <c r="J103" s="43"/>
      <c r="K103" s="43"/>
      <c r="L103" s="43"/>
      <c r="M103" s="43"/>
      <c r="N103" s="43"/>
      <c r="O103" s="43"/>
      <c r="P103" s="43"/>
      <c r="Q103" s="43"/>
      <c r="R103" s="43"/>
      <c r="S103" s="43"/>
      <c r="T103" s="43"/>
      <c r="U103" s="43"/>
      <c r="V103" s="43"/>
      <c r="W103" s="43"/>
      <c r="X103" s="43"/>
      <c r="Y103" s="43"/>
      <c r="Z103" s="43"/>
    </row>
    <row r="104" ht="15.75" customHeight="1">
      <c r="A104" s="43"/>
      <c r="B104" s="66" t="s">
        <v>12325</v>
      </c>
      <c r="C104" s="66"/>
      <c r="D104" s="66"/>
      <c r="E104" s="66"/>
      <c r="F104" s="66"/>
      <c r="G104" s="66"/>
      <c r="H104" s="66"/>
      <c r="I104" s="43"/>
      <c r="J104" s="43"/>
      <c r="K104" s="43"/>
      <c r="L104" s="43"/>
      <c r="M104" s="43"/>
      <c r="N104" s="43"/>
      <c r="O104" s="43"/>
      <c r="P104" s="43"/>
      <c r="Q104" s="43"/>
      <c r="R104" s="43"/>
      <c r="S104" s="43"/>
      <c r="T104" s="43"/>
      <c r="U104" s="43"/>
      <c r="V104" s="43"/>
      <c r="W104" s="43"/>
      <c r="X104" s="43"/>
      <c r="Y104" s="43"/>
      <c r="Z104" s="43"/>
    </row>
    <row r="105" ht="15.75" customHeight="1">
      <c r="A105" s="43"/>
      <c r="B105" s="67" t="s">
        <v>12326</v>
      </c>
      <c r="C105" s="67"/>
      <c r="D105" s="67"/>
      <c r="E105" s="67"/>
      <c r="F105" s="67"/>
      <c r="G105" s="67"/>
      <c r="H105" s="67"/>
      <c r="I105" s="43"/>
      <c r="J105" s="43"/>
      <c r="K105" s="43"/>
      <c r="L105" s="43"/>
      <c r="M105" s="43"/>
      <c r="N105" s="43"/>
      <c r="O105" s="43"/>
      <c r="P105" s="43"/>
      <c r="Q105" s="43"/>
      <c r="R105" s="43"/>
      <c r="S105" s="43"/>
      <c r="T105" s="43"/>
      <c r="U105" s="43"/>
      <c r="V105" s="43"/>
      <c r="W105" s="43"/>
      <c r="X105" s="43"/>
      <c r="Y105" s="43"/>
      <c r="Z105" s="43"/>
    </row>
    <row r="106" ht="15.75" customHeight="1">
      <c r="A106" s="43"/>
      <c r="B106" s="68" t="s">
        <v>12327</v>
      </c>
      <c r="C106" s="68"/>
      <c r="D106" s="68"/>
      <c r="E106" s="68"/>
      <c r="F106" s="68"/>
      <c r="G106" s="68"/>
      <c r="H106" s="68"/>
      <c r="I106" s="43"/>
      <c r="J106" s="43"/>
      <c r="K106" s="43"/>
      <c r="L106" s="43"/>
      <c r="M106" s="43"/>
      <c r="N106" s="43"/>
      <c r="O106" s="43"/>
      <c r="P106" s="43"/>
      <c r="Q106" s="43"/>
      <c r="R106" s="43"/>
      <c r="S106" s="43"/>
      <c r="T106" s="43"/>
      <c r="U106" s="43"/>
      <c r="V106" s="43"/>
      <c r="W106" s="43"/>
      <c r="X106" s="43"/>
      <c r="Y106" s="43"/>
      <c r="Z106" s="43"/>
    </row>
    <row r="107" ht="15.75" customHeight="1">
      <c r="A107" s="43"/>
      <c r="B107" s="48"/>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75" customHeight="1">
      <c r="A108" s="43"/>
      <c r="B108" s="69"/>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5.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5.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5.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5.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5.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5.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5.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5.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5.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5.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5.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5.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5.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5.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5.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5.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5.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5.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5.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5.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5.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5.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5.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5.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5.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5.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5.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5.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5.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5.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5.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5.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5.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5.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5.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5.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5.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5.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5.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5.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5.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5.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5.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5.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5.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5.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5.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5.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5.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5.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5.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5.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5.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5.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5.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5.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5.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5.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5.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5.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5.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5.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5.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5.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5.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5.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5.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5.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5.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5.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5.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5.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5.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5.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5.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5.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5.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5.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5.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5.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5.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5.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5.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5.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5.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5.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5.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5.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5.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5.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5.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5.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5.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5.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5.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5.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5.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5.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5.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5.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5.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5.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5.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5.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5.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5.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5.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5.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5.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5.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5.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5.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5.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5.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5.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5.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5.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5.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5.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5.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5.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5.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5.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5.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5.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5.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5.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5.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5.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5.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5.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5.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5.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5.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5.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5.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5.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5.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5.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5.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5.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5.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5.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5.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5.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5.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5.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5.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5.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5.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5.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5.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5.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5.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5.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5.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5.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5.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5.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5.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5.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5.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5.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5.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5.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5.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5.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5.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5.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5.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5.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5.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5.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5.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5.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5.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5.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5.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5.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2">
    <mergeCell ref="B71:W72"/>
    <mergeCell ref="B75:X76"/>
  </mergeCells>
  <conditionalFormatting sqref="B104">
    <cfRule type="expression" dxfId="4" priority="1" stopIfTrue="1">
      <formula>#REF!="Confidential"</formula>
    </cfRule>
  </conditionalFormatting>
  <conditionalFormatting sqref="B106">
    <cfRule type="expression" dxfId="4" priority="2" stopIfTrue="1">
      <formula>#REF!="Confidential"</formula>
    </cfRule>
  </conditionalFormatting>
  <conditionalFormatting sqref="C104">
    <cfRule type="expression" dxfId="4" priority="3" stopIfTrue="1">
      <formula>#REF!="Confidential"</formula>
    </cfRule>
  </conditionalFormatting>
  <conditionalFormatting sqref="C106:H106">
    <cfRule type="expression" dxfId="4" priority="4" stopIfTrue="1">
      <formula>#REF!="Confidential"</formula>
    </cfRule>
  </conditionalFormatting>
  <conditionalFormatting sqref="D104:H104">
    <cfRule type="expression" dxfId="4" priority="5" stopIfTrue="1">
      <formula>#REF!="Confidential"</formula>
    </cfRule>
  </conditionalFormatting>
  <printOptions/>
  <pageMargins bottom="0.75" footer="0.0" header="0.0" left="0.7" right="0.7" top="0.75"/>
  <pageSetup paperSize="9" orientation="portrait"/>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4BFF"/>
    <pageSetUpPr/>
  </sheetPr>
  <sheetViews>
    <sheetView workbookViewId="0">
      <pane xSplit="3.0" ySplit="4.0" topLeftCell="D5" activePane="bottomRight" state="frozen"/>
      <selection activeCell="D1" sqref="D1" pane="topRight"/>
      <selection activeCell="A5" sqref="A5" pane="bottomLeft"/>
      <selection activeCell="D5" sqref="D5" pane="bottomRight"/>
    </sheetView>
  </sheetViews>
  <sheetFormatPr customHeight="1" defaultColWidth="14.43" defaultRowHeight="15.75"/>
  <cols>
    <col customWidth="1" min="1" max="1" width="5.57"/>
    <col customWidth="1" min="2" max="2" width="51.43"/>
    <col customWidth="1" min="3" max="3" width="10.43"/>
    <col customWidth="1" min="4" max="4" width="5.86"/>
    <col customWidth="1" min="5" max="5" width="6.57"/>
    <col customWidth="1" min="6" max="6" width="14.57"/>
    <col customWidth="1" min="7" max="7" width="16.43"/>
    <col customWidth="1" min="8" max="8" width="20.0"/>
    <col customWidth="1" min="9" max="10" width="19.57"/>
    <col customWidth="1" min="11" max="11" width="8.57"/>
    <col customWidth="1" min="12" max="25" width="3.57"/>
    <col customWidth="1" min="26" max="26" width="25.43"/>
    <col customWidth="1" min="27" max="29" width="14.43"/>
    <col customWidth="1" min="30" max="30" width="21.43"/>
    <col customWidth="1" min="31" max="31" width="12.57"/>
    <col customWidth="1" min="32" max="34" width="15.29"/>
    <col customWidth="1" hidden="1" min="35" max="35" width="16.43"/>
    <col customWidth="1" hidden="1" min="36" max="36" width="14.43"/>
    <col customWidth="1" hidden="1" min="37" max="41" width="8.57"/>
  </cols>
  <sheetData>
    <row r="1" ht="63.0" customHeight="1">
      <c r="A1" s="70" t="s">
        <v>12328</v>
      </c>
      <c r="B1" s="71"/>
      <c r="C1" s="71"/>
      <c r="D1" s="71"/>
      <c r="E1" s="71"/>
      <c r="F1" s="71"/>
      <c r="G1" s="71"/>
      <c r="H1" s="71"/>
      <c r="I1" s="71"/>
      <c r="J1" s="71"/>
      <c r="K1" s="71"/>
      <c r="L1" s="71"/>
      <c r="M1" s="71"/>
      <c r="N1" s="71"/>
      <c r="O1" s="71"/>
      <c r="P1" s="71"/>
      <c r="Q1" s="71"/>
      <c r="R1" s="71"/>
      <c r="S1" s="71"/>
      <c r="T1" s="71"/>
      <c r="U1" s="71"/>
      <c r="V1" s="71"/>
      <c r="W1" s="71"/>
      <c r="X1" s="71"/>
      <c r="Y1" s="71"/>
      <c r="Z1" s="71"/>
      <c r="AA1" s="71"/>
      <c r="AB1" s="71"/>
      <c r="AC1" s="71"/>
      <c r="AD1" s="71"/>
      <c r="AE1" s="71"/>
      <c r="AF1" s="72"/>
      <c r="AG1" s="73"/>
      <c r="AH1" s="73"/>
      <c r="AI1" s="74"/>
      <c r="AJ1" s="74"/>
      <c r="AK1" s="75"/>
      <c r="AL1" s="75"/>
      <c r="AM1" s="75"/>
      <c r="AN1" s="75"/>
      <c r="AO1" s="75"/>
    </row>
    <row r="2" ht="27.75" customHeight="1">
      <c r="A2" s="76" t="s">
        <v>12329</v>
      </c>
      <c r="B2" s="76" t="s">
        <v>687</v>
      </c>
      <c r="C2" s="76" t="s">
        <v>40</v>
      </c>
      <c r="D2" s="77" t="s">
        <v>12330</v>
      </c>
      <c r="E2" s="77" t="s">
        <v>12331</v>
      </c>
      <c r="F2" s="78" t="s">
        <v>36</v>
      </c>
      <c r="G2" s="78" t="s">
        <v>688</v>
      </c>
      <c r="H2" s="79"/>
      <c r="I2" s="79"/>
      <c r="J2" s="80"/>
      <c r="K2" s="81" t="s">
        <v>12332</v>
      </c>
      <c r="L2" s="82" t="s">
        <v>12333</v>
      </c>
      <c r="M2" s="83"/>
      <c r="N2" s="83"/>
      <c r="O2" s="83"/>
      <c r="P2" s="83"/>
      <c r="Q2" s="83"/>
      <c r="R2" s="83"/>
      <c r="S2" s="83"/>
      <c r="T2" s="83"/>
      <c r="U2" s="83"/>
      <c r="V2" s="83"/>
      <c r="W2" s="83"/>
      <c r="X2" s="83"/>
      <c r="Y2" s="83"/>
      <c r="Z2" s="84" t="s">
        <v>12334</v>
      </c>
      <c r="AA2" s="85" t="s">
        <v>12335</v>
      </c>
      <c r="AB2" s="86"/>
      <c r="AC2" s="86"/>
      <c r="AD2" s="87"/>
      <c r="AE2" s="76" t="s">
        <v>12336</v>
      </c>
      <c r="AF2" s="84" t="s">
        <v>12337</v>
      </c>
      <c r="AG2" s="88"/>
      <c r="AH2" s="89"/>
      <c r="AI2" s="90"/>
      <c r="AJ2" s="91"/>
      <c r="AK2" s="92"/>
      <c r="AL2" s="92"/>
      <c r="AM2" s="92"/>
      <c r="AN2" s="92"/>
      <c r="AO2" s="92"/>
    </row>
    <row r="3" ht="75.0" customHeight="1">
      <c r="A3" s="93"/>
      <c r="B3" s="93"/>
      <c r="C3" s="93"/>
      <c r="D3" s="93"/>
      <c r="E3" s="93"/>
      <c r="F3" s="94"/>
      <c r="G3" s="94"/>
      <c r="H3" s="95" t="s">
        <v>12338</v>
      </c>
      <c r="I3" s="95" t="s">
        <v>12339</v>
      </c>
      <c r="J3" s="95" t="s">
        <v>12340</v>
      </c>
      <c r="K3" s="96"/>
      <c r="L3" s="97" t="s">
        <v>95</v>
      </c>
      <c r="M3" s="97" t="s">
        <v>174</v>
      </c>
      <c r="N3" s="97" t="s">
        <v>64</v>
      </c>
      <c r="O3" s="97" t="s">
        <v>12341</v>
      </c>
      <c r="P3" s="97" t="s">
        <v>12259</v>
      </c>
      <c r="Q3" s="97" t="s">
        <v>53</v>
      </c>
      <c r="R3" s="97" t="s">
        <v>12262</v>
      </c>
      <c r="S3" s="97" t="s">
        <v>12264</v>
      </c>
      <c r="T3" s="97" t="s">
        <v>12266</v>
      </c>
      <c r="U3" s="97" t="s">
        <v>12268</v>
      </c>
      <c r="V3" s="97" t="s">
        <v>12270</v>
      </c>
      <c r="W3" s="97" t="s">
        <v>12251</v>
      </c>
      <c r="X3" s="97" t="s">
        <v>12342</v>
      </c>
      <c r="Y3" s="97" t="s">
        <v>12343</v>
      </c>
      <c r="Z3" s="96"/>
      <c r="AA3" s="94" t="s">
        <v>12344</v>
      </c>
      <c r="AB3" s="94" t="s">
        <v>12345</v>
      </c>
      <c r="AC3" s="94" t="s">
        <v>12346</v>
      </c>
      <c r="AD3" s="94" t="s">
        <v>12347</v>
      </c>
      <c r="AE3" s="93"/>
      <c r="AF3" s="98"/>
      <c r="AG3" s="99" t="s">
        <v>12348</v>
      </c>
      <c r="AH3" s="100"/>
      <c r="AI3" s="101" t="s">
        <v>12349</v>
      </c>
      <c r="AJ3" s="102" t="s">
        <v>12350</v>
      </c>
      <c r="AK3" s="92"/>
      <c r="AL3" s="92"/>
      <c r="AM3" s="92"/>
      <c r="AN3" s="92"/>
      <c r="AO3" s="92"/>
    </row>
    <row r="4" ht="74.25" customHeight="1">
      <c r="A4" s="103" t="s">
        <v>12329</v>
      </c>
      <c r="B4" s="103" t="s">
        <v>687</v>
      </c>
      <c r="C4" s="103" t="s">
        <v>40</v>
      </c>
      <c r="D4" s="104" t="s">
        <v>12330</v>
      </c>
      <c r="E4" s="104" t="s">
        <v>12331</v>
      </c>
      <c r="F4" s="105" t="s">
        <v>36</v>
      </c>
      <c r="G4" s="105" t="s">
        <v>688</v>
      </c>
      <c r="H4" s="105" t="s">
        <v>12351</v>
      </c>
      <c r="I4" s="103" t="s">
        <v>12352</v>
      </c>
      <c r="J4" s="106" t="s">
        <v>12353</v>
      </c>
      <c r="K4" s="105" t="s">
        <v>12332</v>
      </c>
      <c r="L4" s="107" t="s">
        <v>12354</v>
      </c>
      <c r="M4" s="107" t="s">
        <v>12355</v>
      </c>
      <c r="N4" s="107" t="s">
        <v>12356</v>
      </c>
      <c r="O4" s="107" t="s">
        <v>12357</v>
      </c>
      <c r="P4" s="107" t="s">
        <v>12358</v>
      </c>
      <c r="Q4" s="107" t="s">
        <v>12359</v>
      </c>
      <c r="R4" s="107" t="s">
        <v>12360</v>
      </c>
      <c r="S4" s="107" t="s">
        <v>12361</v>
      </c>
      <c r="T4" s="107" t="s">
        <v>12362</v>
      </c>
      <c r="U4" s="107" t="s">
        <v>12363</v>
      </c>
      <c r="V4" s="107" t="s">
        <v>12364</v>
      </c>
      <c r="W4" s="107" t="s">
        <v>12365</v>
      </c>
      <c r="X4" s="107" t="s">
        <v>12366</v>
      </c>
      <c r="Y4" s="107" t="s">
        <v>12367</v>
      </c>
      <c r="Z4" s="105" t="s">
        <v>12334</v>
      </c>
      <c r="AA4" s="105" t="s">
        <v>12368</v>
      </c>
      <c r="AB4" s="105" t="s">
        <v>12369</v>
      </c>
      <c r="AC4" s="105" t="s">
        <v>12370</v>
      </c>
      <c r="AD4" s="105" t="s">
        <v>12371</v>
      </c>
      <c r="AE4" s="103" t="s">
        <v>12372</v>
      </c>
      <c r="AF4" s="108" t="s">
        <v>12373</v>
      </c>
      <c r="AG4" s="103" t="s">
        <v>46</v>
      </c>
      <c r="AH4" s="103" t="s">
        <v>47</v>
      </c>
      <c r="AI4" s="109" t="s">
        <v>12374</v>
      </c>
      <c r="AJ4" s="110" t="s">
        <v>12375</v>
      </c>
      <c r="AK4" s="92"/>
      <c r="AL4" s="92"/>
      <c r="AM4" s="92"/>
      <c r="AN4" s="92"/>
      <c r="AO4" s="92"/>
    </row>
    <row r="5" ht="34.5" customHeight="1">
      <c r="A5" s="111"/>
      <c r="B5" s="112" t="s">
        <v>12376</v>
      </c>
      <c r="C5" s="112"/>
      <c r="D5" s="112"/>
      <c r="E5" s="112"/>
      <c r="F5" s="112" t="s">
        <v>12241</v>
      </c>
      <c r="G5" s="112" t="s">
        <v>12235</v>
      </c>
      <c r="H5" s="112"/>
      <c r="I5" s="112"/>
      <c r="J5" s="112"/>
      <c r="K5" s="112"/>
      <c r="L5" s="112"/>
      <c r="M5" s="112"/>
      <c r="N5" s="112"/>
      <c r="O5" s="112"/>
      <c r="P5" s="112"/>
      <c r="Q5" s="112"/>
      <c r="R5" s="112"/>
      <c r="S5" s="112"/>
      <c r="T5" s="112"/>
      <c r="U5" s="112"/>
      <c r="V5" s="112"/>
      <c r="W5" s="112"/>
      <c r="X5" s="112"/>
      <c r="Y5" s="112"/>
      <c r="Z5" s="112" t="s">
        <v>12377</v>
      </c>
      <c r="AA5" s="113"/>
      <c r="AB5" s="113">
        <f>IF(Projects!$AI5="Electrolysis",
AA5/VLOOKUP(G5,ElectrolysisConvF,3,FALSE),
AC5*10^6/(H2dens*HoursInYear))</f>
        <v>3535952.238</v>
      </c>
      <c r="AC5" s="113">
        <v>2756.76980302521</v>
      </c>
      <c r="AD5" s="112"/>
      <c r="AE5" s="114">
        <f>IF(AND(G5&lt;&gt;"NG w CCUS",G5&lt;&gt;"Oil w CCUS",G5&lt;&gt;"Coal w CCUS"),AB5,AD5*10^3/(HoursInYear*IF(G5="NG w CCUS",0.9105,1.9075)))</f>
        <v>0</v>
      </c>
      <c r="AF5" s="112"/>
      <c r="AG5" s="112"/>
      <c r="AH5" s="112"/>
      <c r="AI5" s="115" t="s">
        <v>12378</v>
      </c>
      <c r="AJ5" s="116"/>
      <c r="AK5" s="117"/>
      <c r="AL5" s="92"/>
      <c r="AM5" s="92"/>
      <c r="AN5" s="92"/>
      <c r="AO5" s="92"/>
    </row>
    <row r="6" ht="34.5" customHeight="1">
      <c r="A6" s="111"/>
      <c r="B6" s="112" t="s">
        <v>12376</v>
      </c>
      <c r="C6" s="112"/>
      <c r="D6" s="112"/>
      <c r="E6" s="112"/>
      <c r="F6" s="112" t="s">
        <v>12241</v>
      </c>
      <c r="G6" s="112" t="s">
        <v>12241</v>
      </c>
      <c r="H6" s="112" t="s">
        <v>12379</v>
      </c>
      <c r="I6" s="112"/>
      <c r="J6" s="112"/>
      <c r="K6" s="112"/>
      <c r="L6" s="112"/>
      <c r="M6" s="112"/>
      <c r="N6" s="112"/>
      <c r="O6" s="112"/>
      <c r="P6" s="112"/>
      <c r="Q6" s="112"/>
      <c r="R6" s="112"/>
      <c r="S6" s="112"/>
      <c r="T6" s="112"/>
      <c r="U6" s="112"/>
      <c r="V6" s="112"/>
      <c r="W6" s="112"/>
      <c r="X6" s="112"/>
      <c r="Y6" s="112"/>
      <c r="Z6" s="112" t="s">
        <v>12380</v>
      </c>
      <c r="AA6" s="113"/>
      <c r="AB6" s="113">
        <f>IF(Projects!$AI6="Electrolysis",
AA6/VLOOKUP(G6,ElectrolysisConvF,3,FALSE),
AC6*10^6/(H2dens*HoursInYear))</f>
        <v>625564.8931</v>
      </c>
      <c r="AC6" s="113">
        <v>487.71541327144195</v>
      </c>
      <c r="AD6" s="112"/>
      <c r="AE6" s="113">
        <v>0.0</v>
      </c>
      <c r="AF6" s="112"/>
      <c r="AG6" s="112"/>
      <c r="AH6" s="112"/>
      <c r="AI6" s="115" t="s">
        <v>12241</v>
      </c>
      <c r="AJ6" s="116"/>
      <c r="AK6" s="117"/>
      <c r="AL6" s="117"/>
      <c r="AM6" s="117"/>
      <c r="AN6" s="117"/>
      <c r="AO6" s="117"/>
    </row>
    <row r="7" ht="34.5" customHeight="1">
      <c r="A7" s="111"/>
      <c r="B7" s="112" t="s">
        <v>12376</v>
      </c>
      <c r="C7" s="112"/>
      <c r="D7" s="112"/>
      <c r="E7" s="112"/>
      <c r="F7" s="112" t="s">
        <v>12241</v>
      </c>
      <c r="G7" s="112" t="s">
        <v>12381</v>
      </c>
      <c r="H7" s="112" t="s">
        <v>12379</v>
      </c>
      <c r="I7" s="112"/>
      <c r="J7" s="112"/>
      <c r="K7" s="112"/>
      <c r="L7" s="112"/>
      <c r="M7" s="112"/>
      <c r="N7" s="112"/>
      <c r="O7" s="112"/>
      <c r="P7" s="112"/>
      <c r="Q7" s="112"/>
      <c r="R7" s="112"/>
      <c r="S7" s="112"/>
      <c r="T7" s="112"/>
      <c r="U7" s="112"/>
      <c r="V7" s="112"/>
      <c r="W7" s="112"/>
      <c r="X7" s="112"/>
      <c r="Y7" s="112"/>
      <c r="Z7" s="112" t="s">
        <v>12382</v>
      </c>
      <c r="AA7" s="113">
        <v>17443.883124189444</v>
      </c>
      <c r="AB7" s="113">
        <f>IF(Projects!$AI7="Electrolysis",
AA7/VLOOKUP(G7,ElectrolysisConvF,3,FALSE),
AC7*10^6/(H2dens*HoursInYear))</f>
        <v>3876418.472</v>
      </c>
      <c r="AC7" s="113">
        <f t="shared" ref="AC7:AC9" si="1">AB7*0.089*24*365/10^6</f>
        <v>3022.210898</v>
      </c>
      <c r="AD7" s="112"/>
      <c r="AE7" s="113">
        <f t="shared" ref="AE7:AE11" si="2">IF(AND(G7&lt;&gt;"NG w CCUS",G7&lt;&gt;"Oil w CCUS",G7&lt;&gt;"Coal w CCUS"),AB7,AD7*10^3/(HoursInYear*IF(G7="NG w CCUS",0.9105,1.9075)))</f>
        <v>3876418.472</v>
      </c>
      <c r="AF7" s="112"/>
      <c r="AG7" s="112"/>
      <c r="AH7" s="112"/>
      <c r="AI7" s="115" t="s">
        <v>12383</v>
      </c>
      <c r="AJ7" s="116"/>
      <c r="AK7" s="117"/>
      <c r="AL7" s="117"/>
      <c r="AM7" s="117"/>
      <c r="AN7" s="117"/>
      <c r="AO7" s="117"/>
    </row>
    <row r="8" ht="34.5" customHeight="1">
      <c r="A8" s="111"/>
      <c r="B8" s="112" t="s">
        <v>12384</v>
      </c>
      <c r="C8" s="112"/>
      <c r="D8" s="112"/>
      <c r="E8" s="112"/>
      <c r="F8" s="112" t="s">
        <v>12385</v>
      </c>
      <c r="G8" s="112" t="s">
        <v>12226</v>
      </c>
      <c r="H8" s="112"/>
      <c r="I8" s="112"/>
      <c r="J8" s="112"/>
      <c r="K8" s="112"/>
      <c r="L8" s="112"/>
      <c r="M8" s="112"/>
      <c r="N8" s="112"/>
      <c r="O8" s="112"/>
      <c r="P8" s="112"/>
      <c r="Q8" s="112"/>
      <c r="R8" s="112"/>
      <c r="S8" s="112"/>
      <c r="T8" s="112"/>
      <c r="U8" s="112"/>
      <c r="V8" s="112"/>
      <c r="W8" s="112"/>
      <c r="X8" s="112"/>
      <c r="Y8" s="112"/>
      <c r="Z8" s="112" t="s">
        <v>12386</v>
      </c>
      <c r="AA8" s="113">
        <v>6.541399999999999</v>
      </c>
      <c r="AB8" s="113">
        <f>IF(Projects!$AI8="Electrolysis",
AA8/VLOOKUP(G8,ElectrolysisConvF,3,FALSE),
AC8*10^6/(H2dens*HoursInYear))</f>
        <v>1257.961538</v>
      </c>
      <c r="AC8" s="113">
        <f t="shared" si="1"/>
        <v>0.9807571338</v>
      </c>
      <c r="AD8" s="112"/>
      <c r="AE8" s="113">
        <f t="shared" si="2"/>
        <v>1257.961538</v>
      </c>
      <c r="AF8" s="112"/>
      <c r="AG8" s="112"/>
      <c r="AH8" s="112"/>
      <c r="AI8" s="115" t="s">
        <v>12383</v>
      </c>
      <c r="AJ8" s="116"/>
      <c r="AK8" s="117"/>
      <c r="AL8" s="117"/>
      <c r="AM8" s="117"/>
      <c r="AN8" s="117"/>
      <c r="AO8" s="117"/>
    </row>
    <row r="9" ht="34.5" customHeight="1">
      <c r="A9" s="111"/>
      <c r="B9" s="112" t="s">
        <v>12384</v>
      </c>
      <c r="C9" s="112"/>
      <c r="D9" s="112"/>
      <c r="E9" s="112"/>
      <c r="F9" s="112" t="s">
        <v>12385</v>
      </c>
      <c r="G9" s="112" t="s">
        <v>12224</v>
      </c>
      <c r="H9" s="112"/>
      <c r="I9" s="112"/>
      <c r="J9" s="112"/>
      <c r="K9" s="112"/>
      <c r="L9" s="112"/>
      <c r="M9" s="112"/>
      <c r="N9" s="112"/>
      <c r="O9" s="112"/>
      <c r="P9" s="112"/>
      <c r="Q9" s="112"/>
      <c r="R9" s="112"/>
      <c r="S9" s="112"/>
      <c r="T9" s="112"/>
      <c r="U9" s="112"/>
      <c r="V9" s="112"/>
      <c r="W9" s="112"/>
      <c r="X9" s="112"/>
      <c r="Y9" s="112"/>
      <c r="Z9" s="112" t="s">
        <v>12387</v>
      </c>
      <c r="AA9" s="113">
        <v>141.76015428659377</v>
      </c>
      <c r="AB9" s="113">
        <f>IF(Projects!$AI9="Electrolysis",
AA9/VLOOKUP(G9,ElectrolysisConvF,3,FALSE),
AC9*10^6/(H2dens*HoursInYear))</f>
        <v>30817.42484</v>
      </c>
      <c r="AC9" s="113">
        <f t="shared" si="1"/>
        <v>24.02649711</v>
      </c>
      <c r="AD9" s="112"/>
      <c r="AE9" s="113">
        <f t="shared" si="2"/>
        <v>30817.42484</v>
      </c>
      <c r="AF9" s="112"/>
      <c r="AG9" s="112"/>
      <c r="AH9" s="112"/>
      <c r="AI9" s="115" t="s">
        <v>12383</v>
      </c>
      <c r="AJ9" s="116"/>
      <c r="AK9" s="117"/>
      <c r="AL9" s="117"/>
      <c r="AM9" s="117"/>
      <c r="AN9" s="117"/>
      <c r="AO9" s="117"/>
    </row>
    <row r="10" ht="34.5" customHeight="1">
      <c r="A10" s="111"/>
      <c r="B10" s="118" t="s">
        <v>12388</v>
      </c>
      <c r="C10" s="119"/>
      <c r="D10" s="119"/>
      <c r="E10" s="119"/>
      <c r="F10" s="119" t="s">
        <v>12385</v>
      </c>
      <c r="G10" s="119" t="s">
        <v>12389</v>
      </c>
      <c r="H10" s="119"/>
      <c r="I10" s="119"/>
      <c r="J10" s="119"/>
      <c r="K10" s="119"/>
      <c r="L10" s="119"/>
      <c r="M10" s="119"/>
      <c r="N10" s="119"/>
      <c r="O10" s="119"/>
      <c r="P10" s="119"/>
      <c r="Q10" s="119"/>
      <c r="R10" s="119"/>
      <c r="S10" s="119"/>
      <c r="T10" s="119"/>
      <c r="U10" s="119"/>
      <c r="V10" s="119"/>
      <c r="W10" s="119"/>
      <c r="X10" s="119"/>
      <c r="Y10" s="119"/>
      <c r="Z10" s="119" t="s">
        <v>12390</v>
      </c>
      <c r="AA10" s="120">
        <v>78.3938000000001</v>
      </c>
      <c r="AB10" s="121"/>
      <c r="AC10" s="122"/>
      <c r="AD10" s="121"/>
      <c r="AE10" s="121" t="str">
        <f t="shared" si="2"/>
        <v/>
      </c>
      <c r="AF10" s="123"/>
      <c r="AG10" s="123"/>
      <c r="AH10" s="123"/>
      <c r="AI10" s="115" t="s">
        <v>12383</v>
      </c>
      <c r="AJ10" s="116"/>
      <c r="AK10" s="117"/>
      <c r="AL10" s="117"/>
      <c r="AM10" s="117"/>
      <c r="AN10" s="117"/>
      <c r="AO10" s="117"/>
    </row>
    <row r="11" ht="34.5" customHeight="1">
      <c r="A11" s="111"/>
      <c r="B11" s="118" t="s">
        <v>12391</v>
      </c>
      <c r="C11" s="119"/>
      <c r="D11" s="119"/>
      <c r="E11" s="119"/>
      <c r="F11" s="119" t="s">
        <v>12241</v>
      </c>
      <c r="G11" s="119" t="s">
        <v>12224</v>
      </c>
      <c r="H11" s="119"/>
      <c r="I11" s="119"/>
      <c r="J11" s="119"/>
      <c r="K11" s="119"/>
      <c r="L11" s="119"/>
      <c r="M11" s="119"/>
      <c r="N11" s="119"/>
      <c r="O11" s="119"/>
      <c r="P11" s="119"/>
      <c r="Q11" s="119"/>
      <c r="R11" s="119"/>
      <c r="S11" s="119"/>
      <c r="T11" s="119"/>
      <c r="U11" s="119"/>
      <c r="V11" s="119"/>
      <c r="W11" s="119"/>
      <c r="X11" s="119"/>
      <c r="Y11" s="119"/>
      <c r="Z11" s="119" t="s">
        <v>12392</v>
      </c>
      <c r="AA11" s="120">
        <v>46.55634404362967</v>
      </c>
      <c r="AB11" s="121"/>
      <c r="AC11" s="122"/>
      <c r="AD11" s="121"/>
      <c r="AE11" s="121" t="str">
        <f t="shared" si="2"/>
        <v/>
      </c>
      <c r="AF11" s="123"/>
      <c r="AG11" s="123"/>
      <c r="AH11" s="123"/>
      <c r="AI11" s="115" t="s">
        <v>12383</v>
      </c>
      <c r="AJ11" s="116"/>
      <c r="AK11" s="117"/>
      <c r="AL11" s="117"/>
      <c r="AM11" s="117"/>
      <c r="AN11" s="117"/>
      <c r="AO11" s="117"/>
    </row>
    <row r="12" ht="34.5" customHeight="1">
      <c r="A12" s="111">
        <v>3.0</v>
      </c>
      <c r="B12" s="111" t="s">
        <v>7966</v>
      </c>
      <c r="C12" s="111" t="s">
        <v>7967</v>
      </c>
      <c r="D12" s="111">
        <v>2025.0</v>
      </c>
      <c r="E12" s="111"/>
      <c r="F12" s="111" t="s">
        <v>12393</v>
      </c>
      <c r="G12" s="111" t="s">
        <v>12381</v>
      </c>
      <c r="H12" s="111" t="s">
        <v>12230</v>
      </c>
      <c r="I12" s="111" t="s">
        <v>12394</v>
      </c>
      <c r="J12" s="111" t="s">
        <v>12295</v>
      </c>
      <c r="K12" s="111" t="s">
        <v>30</v>
      </c>
      <c r="L12" s="111"/>
      <c r="M12" s="111"/>
      <c r="N12" s="111"/>
      <c r="O12" s="111"/>
      <c r="P12" s="111"/>
      <c r="Q12" s="111">
        <v>1.0</v>
      </c>
      <c r="R12" s="111"/>
      <c r="S12" s="111"/>
      <c r="T12" s="111"/>
      <c r="U12" s="111"/>
      <c r="V12" s="111"/>
      <c r="W12" s="111"/>
      <c r="X12" s="111"/>
      <c r="Y12" s="111"/>
      <c r="Z12" s="111" t="s">
        <v>12395</v>
      </c>
      <c r="AA12" s="124">
        <v>2.5</v>
      </c>
      <c r="AB12" s="125">
        <f>IF(Projects!$AI12="Electrolysis",
AA12/VLOOKUP(G12,ElectrolysisConvF,3,FALSE),
AC12*10^6/(H2dens*HoursInYear))</f>
        <v>555.5555556</v>
      </c>
      <c r="AC12" s="126">
        <f t="shared" ref="AC12:AC14" si="3">AB12*H2dens*HoursInYear/10^6</f>
        <v>0.4331333333</v>
      </c>
      <c r="AD12" s="125"/>
      <c r="AE12" s="125">
        <f t="shared" ref="AE12:AE88" si="4">AB12</f>
        <v>555.5555556</v>
      </c>
      <c r="AF12" s="127" t="s">
        <v>12396</v>
      </c>
      <c r="AG12" s="127">
        <v>51.7033128995464</v>
      </c>
      <c r="AH12" s="127">
        <v>4.16253562875509</v>
      </c>
      <c r="AI12" s="115" t="s">
        <v>12383</v>
      </c>
      <c r="AJ12" s="116">
        <v>0.5</v>
      </c>
      <c r="AK12" s="117"/>
      <c r="AL12" s="117"/>
      <c r="AM12" s="117"/>
      <c r="AN12" s="117"/>
      <c r="AO12" s="117"/>
    </row>
    <row r="13" ht="34.5" customHeight="1">
      <c r="A13" s="111">
        <v>4.0</v>
      </c>
      <c r="B13" s="111" t="s">
        <v>7968</v>
      </c>
      <c r="C13" s="111" t="s">
        <v>7967</v>
      </c>
      <c r="D13" s="111">
        <v>2030.0</v>
      </c>
      <c r="E13" s="111"/>
      <c r="F13" s="111" t="s">
        <v>12397</v>
      </c>
      <c r="G13" s="111" t="s">
        <v>12381</v>
      </c>
      <c r="H13" s="111" t="s">
        <v>12230</v>
      </c>
      <c r="I13" s="111" t="s">
        <v>12394</v>
      </c>
      <c r="J13" s="111" t="s">
        <v>12295</v>
      </c>
      <c r="K13" s="111" t="s">
        <v>30</v>
      </c>
      <c r="L13" s="111"/>
      <c r="M13" s="111"/>
      <c r="N13" s="111"/>
      <c r="O13" s="111"/>
      <c r="P13" s="111"/>
      <c r="Q13" s="111">
        <v>1.0</v>
      </c>
      <c r="R13" s="111"/>
      <c r="S13" s="111"/>
      <c r="T13" s="111"/>
      <c r="U13" s="111"/>
      <c r="V13" s="111"/>
      <c r="W13" s="111"/>
      <c r="X13" s="111"/>
      <c r="Y13" s="111"/>
      <c r="Z13" s="111" t="s">
        <v>12398</v>
      </c>
      <c r="AA13" s="124">
        <v>23.5</v>
      </c>
      <c r="AB13" s="125">
        <f>IF(Projects!$AI13="Electrolysis",
AA13/VLOOKUP(G13,ElectrolysisConvF,3,FALSE),
AC13*10^6/(H2dens*HoursInYear))</f>
        <v>5222.222222</v>
      </c>
      <c r="AC13" s="126">
        <f t="shared" si="3"/>
        <v>4.071453333</v>
      </c>
      <c r="AD13" s="125"/>
      <c r="AE13" s="125">
        <f t="shared" si="4"/>
        <v>5222.222222</v>
      </c>
      <c r="AF13" s="127" t="s">
        <v>12396</v>
      </c>
      <c r="AG13" s="127">
        <v>51.7033128995464</v>
      </c>
      <c r="AH13" s="127">
        <v>4.16253562875509</v>
      </c>
      <c r="AI13" s="115" t="s">
        <v>12383</v>
      </c>
      <c r="AJ13" s="116">
        <v>0.5</v>
      </c>
      <c r="AK13" s="117"/>
      <c r="AL13" s="117"/>
      <c r="AM13" s="117"/>
      <c r="AN13" s="117"/>
      <c r="AO13" s="117"/>
    </row>
    <row r="14" ht="34.5" customHeight="1">
      <c r="A14" s="111">
        <v>5.0</v>
      </c>
      <c r="B14" s="111" t="s">
        <v>7969</v>
      </c>
      <c r="C14" s="111" t="s">
        <v>7967</v>
      </c>
      <c r="D14" s="111">
        <v>2030.0</v>
      </c>
      <c r="E14" s="111"/>
      <c r="F14" s="111" t="s">
        <v>12399</v>
      </c>
      <c r="G14" s="111" t="s">
        <v>12381</v>
      </c>
      <c r="H14" s="111" t="s">
        <v>12230</v>
      </c>
      <c r="I14" s="111" t="s">
        <v>12394</v>
      </c>
      <c r="J14" s="111" t="s">
        <v>12293</v>
      </c>
      <c r="K14" s="111" t="s">
        <v>30</v>
      </c>
      <c r="L14" s="111">
        <v>1.0</v>
      </c>
      <c r="M14" s="111"/>
      <c r="N14" s="111"/>
      <c r="O14" s="111"/>
      <c r="P14" s="111">
        <v>1.0</v>
      </c>
      <c r="Q14" s="111"/>
      <c r="R14" s="111"/>
      <c r="S14" s="111"/>
      <c r="T14" s="111"/>
      <c r="U14" s="111"/>
      <c r="V14" s="111"/>
      <c r="W14" s="111"/>
      <c r="X14" s="111"/>
      <c r="Y14" s="111"/>
      <c r="Z14" s="111" t="s">
        <v>12400</v>
      </c>
      <c r="AA14" s="124">
        <v>4000.0</v>
      </c>
      <c r="AB14" s="125">
        <f>IF(Projects!$AI14="Electrolysis",
AA14/VLOOKUP(G14,ElectrolysisConvF,3,FALSE),
AC14*10^6/(H2dens*HoursInYear))</f>
        <v>888888.8889</v>
      </c>
      <c r="AC14" s="126">
        <f t="shared" si="3"/>
        <v>693.0133333</v>
      </c>
      <c r="AD14" s="125"/>
      <c r="AE14" s="125">
        <f t="shared" si="4"/>
        <v>888888.8889</v>
      </c>
      <c r="AF14" s="127" t="s">
        <v>12401</v>
      </c>
      <c r="AG14" s="127">
        <v>53.4652079383533</v>
      </c>
      <c r="AH14" s="127">
        <v>6.6329845630844</v>
      </c>
      <c r="AI14" s="115" t="s">
        <v>12383</v>
      </c>
      <c r="AJ14" s="116">
        <v>0.55</v>
      </c>
      <c r="AK14" s="117"/>
      <c r="AL14" s="117"/>
      <c r="AM14" s="117"/>
      <c r="AN14" s="117"/>
      <c r="AO14" s="117"/>
    </row>
    <row r="15" ht="33.75" customHeight="1">
      <c r="A15" s="111">
        <v>6.0</v>
      </c>
      <c r="B15" s="111" t="s">
        <v>7970</v>
      </c>
      <c r="C15" s="111" t="s">
        <v>7971</v>
      </c>
      <c r="D15" s="111">
        <v>2028.0</v>
      </c>
      <c r="E15" s="111"/>
      <c r="F15" s="111" t="s">
        <v>12393</v>
      </c>
      <c r="G15" s="111" t="s">
        <v>12228</v>
      </c>
      <c r="H15" s="111"/>
      <c r="I15" s="111" t="s">
        <v>12394</v>
      </c>
      <c r="J15" s="111" t="s">
        <v>12295</v>
      </c>
      <c r="K15" s="111" t="s">
        <v>12251</v>
      </c>
      <c r="L15" s="111"/>
      <c r="M15" s="111"/>
      <c r="N15" s="111"/>
      <c r="O15" s="111"/>
      <c r="P15" s="111"/>
      <c r="Q15" s="111"/>
      <c r="R15" s="111"/>
      <c r="S15" s="111"/>
      <c r="T15" s="111"/>
      <c r="U15" s="111"/>
      <c r="V15" s="111"/>
      <c r="W15" s="111">
        <v>1.0</v>
      </c>
      <c r="X15" s="111"/>
      <c r="Y15" s="111"/>
      <c r="Z15" s="128" t="s">
        <v>12402</v>
      </c>
      <c r="AA15" s="129">
        <f>IF(Projects!$AI15="Electrolysis",
AB15*VLOOKUP(G15,ElectrolysisConvF,3,FALSE),
"")</f>
        <v>50.26358319</v>
      </c>
      <c r="AB15" s="125">
        <f t="shared" ref="AB15:AB16" si="5">AC15/(H2dens*HoursInYear/10^6)</f>
        <v>13227.25873</v>
      </c>
      <c r="AC15" s="126">
        <f>12.5*0.803*0.045/0.73/0.12/Projects!$AJ15</f>
        <v>10.3125</v>
      </c>
      <c r="AD15" s="125"/>
      <c r="AE15" s="125">
        <f t="shared" si="4"/>
        <v>13227.25873</v>
      </c>
      <c r="AF15" s="127" t="s">
        <v>12403</v>
      </c>
      <c r="AG15" s="127">
        <v>65.8405002614236</v>
      </c>
      <c r="AH15" s="127">
        <v>13.1952674023743</v>
      </c>
      <c r="AI15" s="115" t="s">
        <v>12383</v>
      </c>
      <c r="AJ15" s="116">
        <v>0.5</v>
      </c>
      <c r="AK15" s="117"/>
      <c r="AL15" s="117"/>
      <c r="AM15" s="117"/>
      <c r="AN15" s="117"/>
      <c r="AO15" s="117"/>
    </row>
    <row r="16" ht="33.75" customHeight="1">
      <c r="A16" s="111">
        <v>7.0</v>
      </c>
      <c r="B16" s="111" t="s">
        <v>7972</v>
      </c>
      <c r="C16" s="111" t="s">
        <v>7971</v>
      </c>
      <c r="D16" s="111">
        <v>2028.0</v>
      </c>
      <c r="E16" s="111"/>
      <c r="F16" s="111" t="s">
        <v>12399</v>
      </c>
      <c r="G16" s="111" t="s">
        <v>12228</v>
      </c>
      <c r="H16" s="111"/>
      <c r="I16" s="111" t="s">
        <v>12394</v>
      </c>
      <c r="J16" s="111" t="s">
        <v>12295</v>
      </c>
      <c r="K16" s="111" t="s">
        <v>12251</v>
      </c>
      <c r="L16" s="111"/>
      <c r="M16" s="111"/>
      <c r="N16" s="111"/>
      <c r="O16" s="111"/>
      <c r="P16" s="111"/>
      <c r="Q16" s="111"/>
      <c r="R16" s="111"/>
      <c r="S16" s="111"/>
      <c r="T16" s="111"/>
      <c r="U16" s="111"/>
      <c r="V16" s="111"/>
      <c r="W16" s="111">
        <v>1.0</v>
      </c>
      <c r="X16" s="111"/>
      <c r="Y16" s="111"/>
      <c r="Z16" s="128" t="s">
        <v>12404</v>
      </c>
      <c r="AA16" s="129">
        <f>IF(Projects!$AI16="Electrolysis",
AB16*VLOOKUP(G16,ElectrolysisConvF,3,FALSE),
"")</f>
        <v>50.26358319</v>
      </c>
      <c r="AB16" s="125">
        <f t="shared" si="5"/>
        <v>13227.25873</v>
      </c>
      <c r="AC16" s="126">
        <f>12.5*0.803*0.045/0.73/0.12/Projects!$AJ16</f>
        <v>10.3125</v>
      </c>
      <c r="AD16" s="125"/>
      <c r="AE16" s="125">
        <f t="shared" si="4"/>
        <v>13227.25873</v>
      </c>
      <c r="AF16" s="127" t="s">
        <v>12405</v>
      </c>
      <c r="AG16" s="127">
        <v>65.8405002614236</v>
      </c>
      <c r="AH16" s="127">
        <v>13.1952674023743</v>
      </c>
      <c r="AI16" s="115" t="s">
        <v>12383</v>
      </c>
      <c r="AJ16" s="116">
        <v>0.5</v>
      </c>
      <c r="AK16" s="117"/>
      <c r="AL16" s="117"/>
      <c r="AM16" s="117"/>
      <c r="AN16" s="117"/>
      <c r="AO16" s="117"/>
    </row>
    <row r="17" ht="33.75" customHeight="1">
      <c r="A17" s="111">
        <v>8.0</v>
      </c>
      <c r="B17" s="111" t="s">
        <v>7973</v>
      </c>
      <c r="C17" s="111" t="s">
        <v>7974</v>
      </c>
      <c r="D17" s="111">
        <v>2021.0</v>
      </c>
      <c r="E17" s="111"/>
      <c r="F17" s="111" t="s">
        <v>12385</v>
      </c>
      <c r="G17" s="111" t="s">
        <v>12224</v>
      </c>
      <c r="H17" s="111"/>
      <c r="I17" s="111" t="s">
        <v>12406</v>
      </c>
      <c r="J17" s="111"/>
      <c r="K17" s="111" t="s">
        <v>30</v>
      </c>
      <c r="L17" s="111"/>
      <c r="M17" s="111"/>
      <c r="N17" s="111"/>
      <c r="O17" s="111">
        <v>1.0</v>
      </c>
      <c r="P17" s="111"/>
      <c r="Q17" s="111"/>
      <c r="R17" s="111"/>
      <c r="S17" s="111"/>
      <c r="T17" s="111"/>
      <c r="U17" s="111"/>
      <c r="V17" s="111"/>
      <c r="W17" s="111"/>
      <c r="X17" s="111"/>
      <c r="Y17" s="111"/>
      <c r="Z17" s="111" t="s">
        <v>12407</v>
      </c>
      <c r="AA17" s="124">
        <v>4.5</v>
      </c>
      <c r="AB17" s="125">
        <f>IF(Projects!$AI17="Electrolysis",
AA17/VLOOKUP(G17,ElectrolysisConvF,3,FALSE),
AC17*10^6/(H2dens*HoursInYear))</f>
        <v>978.2608696</v>
      </c>
      <c r="AC17" s="126">
        <f t="shared" ref="AC17:AC31" si="6">AB17*H2dens*HoursInYear/10^6</f>
        <v>0.7626913043</v>
      </c>
      <c r="AD17" s="125"/>
      <c r="AE17" s="125">
        <f t="shared" si="4"/>
        <v>978.2608696</v>
      </c>
      <c r="AF17" s="127" t="s">
        <v>12408</v>
      </c>
      <c r="AG17" s="127">
        <v>65.5854558141391</v>
      </c>
      <c r="AH17" s="127">
        <v>22.1576613609812</v>
      </c>
      <c r="AI17" s="115" t="s">
        <v>12383</v>
      </c>
      <c r="AJ17" s="116">
        <v>0.57</v>
      </c>
      <c r="AK17" s="117"/>
      <c r="AL17" s="117"/>
      <c r="AM17" s="117"/>
      <c r="AN17" s="117"/>
      <c r="AO17" s="117"/>
    </row>
    <row r="18" ht="34.5" customHeight="1">
      <c r="A18" s="111">
        <v>9.0</v>
      </c>
      <c r="B18" s="111" t="s">
        <v>7975</v>
      </c>
      <c r="C18" s="111" t="s">
        <v>7974</v>
      </c>
      <c r="D18" s="111">
        <v>2025.0</v>
      </c>
      <c r="E18" s="111"/>
      <c r="F18" s="111" t="s">
        <v>12393</v>
      </c>
      <c r="G18" s="111" t="s">
        <v>12224</v>
      </c>
      <c r="H18" s="111"/>
      <c r="I18" s="111" t="s">
        <v>12406</v>
      </c>
      <c r="J18" s="111"/>
      <c r="K18" s="111" t="s">
        <v>30</v>
      </c>
      <c r="L18" s="111"/>
      <c r="M18" s="111"/>
      <c r="N18" s="111"/>
      <c r="O18" s="111">
        <v>1.0</v>
      </c>
      <c r="P18" s="111"/>
      <c r="Q18" s="111"/>
      <c r="R18" s="111"/>
      <c r="S18" s="111"/>
      <c r="T18" s="111"/>
      <c r="U18" s="111"/>
      <c r="V18" s="111"/>
      <c r="W18" s="111"/>
      <c r="X18" s="111"/>
      <c r="Y18" s="111"/>
      <c r="Z18" s="111" t="s">
        <v>12409</v>
      </c>
      <c r="AA18" s="126">
        <v>500.0</v>
      </c>
      <c r="AB18" s="125">
        <f>IF(Projects!$AI18="Electrolysis",
AA18/VLOOKUP(G18,ElectrolysisConvF,3,FALSE),
AC18*10^6/(H2dens*HoursInYear))</f>
        <v>108695.6522</v>
      </c>
      <c r="AC18" s="126">
        <f t="shared" si="6"/>
        <v>84.74347826</v>
      </c>
      <c r="AD18" s="125"/>
      <c r="AE18" s="125">
        <f t="shared" si="4"/>
        <v>108695.6522</v>
      </c>
      <c r="AF18" s="127" t="s">
        <v>12410</v>
      </c>
      <c r="AG18" s="127">
        <v>65.5854558141391</v>
      </c>
      <c r="AH18" s="127">
        <v>22.1576613609812</v>
      </c>
      <c r="AI18" s="115" t="s">
        <v>12383</v>
      </c>
      <c r="AJ18" s="116">
        <v>0.57</v>
      </c>
      <c r="AK18" s="117"/>
      <c r="AL18" s="117"/>
      <c r="AM18" s="117"/>
      <c r="AN18" s="117"/>
      <c r="AO18" s="117"/>
    </row>
    <row r="19" ht="34.5" customHeight="1">
      <c r="A19" s="111">
        <v>10.0</v>
      </c>
      <c r="B19" s="111" t="s">
        <v>7976</v>
      </c>
      <c r="C19" s="111" t="s">
        <v>7977</v>
      </c>
      <c r="D19" s="111">
        <v>2022.0</v>
      </c>
      <c r="E19" s="111"/>
      <c r="F19" s="111" t="s">
        <v>12385</v>
      </c>
      <c r="G19" s="111" t="s">
        <v>12226</v>
      </c>
      <c r="H19" s="111"/>
      <c r="I19" s="111" t="s">
        <v>12394</v>
      </c>
      <c r="J19" s="111" t="s">
        <v>12291</v>
      </c>
      <c r="K19" s="111" t="s">
        <v>174</v>
      </c>
      <c r="L19" s="111"/>
      <c r="M19" s="111">
        <v>1.0</v>
      </c>
      <c r="N19" s="111"/>
      <c r="O19" s="111"/>
      <c r="P19" s="111"/>
      <c r="Q19" s="111"/>
      <c r="R19" s="111"/>
      <c r="S19" s="111"/>
      <c r="T19" s="111"/>
      <c r="U19" s="111"/>
      <c r="V19" s="111"/>
      <c r="W19" s="111"/>
      <c r="X19" s="111"/>
      <c r="Y19" s="111"/>
      <c r="Z19" s="111" t="s">
        <v>12411</v>
      </c>
      <c r="AA19" s="124">
        <v>20.0</v>
      </c>
      <c r="AB19" s="125">
        <f>IF(Projects!$AI19="Electrolysis",
AA19/VLOOKUP(G19,ElectrolysisConvF,3,FALSE),
AC19*10^6/(H2dens*HoursInYear))</f>
        <v>3846.153846</v>
      </c>
      <c r="AC19" s="126">
        <f t="shared" si="6"/>
        <v>2.998615385</v>
      </c>
      <c r="AD19" s="125"/>
      <c r="AE19" s="125">
        <f t="shared" si="4"/>
        <v>3846.153846</v>
      </c>
      <c r="AF19" s="127" t="s">
        <v>12412</v>
      </c>
      <c r="AG19" s="127">
        <v>38.6720671761843</v>
      </c>
      <c r="AH19" s="127">
        <v>-4.0530512629734</v>
      </c>
      <c r="AI19" s="115" t="s">
        <v>12383</v>
      </c>
      <c r="AJ19" s="116">
        <v>0.3</v>
      </c>
      <c r="AK19" s="117"/>
      <c r="AL19" s="117"/>
      <c r="AM19" s="117"/>
      <c r="AN19" s="117"/>
      <c r="AO19" s="117"/>
    </row>
    <row r="20" ht="33.75" customHeight="1">
      <c r="A20" s="111">
        <v>11.0</v>
      </c>
      <c r="B20" s="111" t="s">
        <v>7978</v>
      </c>
      <c r="C20" s="111" t="s">
        <v>7977</v>
      </c>
      <c r="D20" s="111">
        <v>2022.0</v>
      </c>
      <c r="E20" s="111"/>
      <c r="F20" s="111" t="s">
        <v>12385</v>
      </c>
      <c r="G20" s="111" t="s">
        <v>12226</v>
      </c>
      <c r="H20" s="111"/>
      <c r="I20" s="111" t="s">
        <v>12394</v>
      </c>
      <c r="J20" s="111" t="s">
        <v>12291</v>
      </c>
      <c r="K20" s="111" t="s">
        <v>30</v>
      </c>
      <c r="L20" s="111"/>
      <c r="M20" s="111"/>
      <c r="N20" s="111"/>
      <c r="O20" s="111"/>
      <c r="P20" s="111">
        <v>1.0</v>
      </c>
      <c r="Q20" s="111">
        <v>1.0</v>
      </c>
      <c r="R20" s="111"/>
      <c r="S20" s="111"/>
      <c r="T20" s="111"/>
      <c r="U20" s="111"/>
      <c r="V20" s="111"/>
      <c r="W20" s="111"/>
      <c r="X20" s="111">
        <v>1.0</v>
      </c>
      <c r="Y20" s="111"/>
      <c r="Z20" s="111" t="s">
        <v>12413</v>
      </c>
      <c r="AA20" s="124">
        <v>2.5</v>
      </c>
      <c r="AB20" s="125">
        <f>IF(Projects!$AI20="Electrolysis",
AA20/VLOOKUP(G20,ElectrolysisConvF,3,FALSE),
AC20*10^6/(H2dens*HoursInYear))</f>
        <v>480.7692308</v>
      </c>
      <c r="AC20" s="126">
        <f t="shared" si="6"/>
        <v>0.3748269231</v>
      </c>
      <c r="AD20" s="125"/>
      <c r="AE20" s="125">
        <f t="shared" si="4"/>
        <v>480.7692308</v>
      </c>
      <c r="AF20" s="127" t="s">
        <v>12414</v>
      </c>
      <c r="AG20" s="127">
        <v>39.7185189541585</v>
      </c>
      <c r="AH20" s="127">
        <v>2.86960178408616</v>
      </c>
      <c r="AI20" s="115" t="s">
        <v>12383</v>
      </c>
      <c r="AJ20" s="116">
        <v>0.3</v>
      </c>
      <c r="AK20" s="117"/>
      <c r="AL20" s="117"/>
      <c r="AM20" s="117"/>
      <c r="AN20" s="117"/>
      <c r="AO20" s="117"/>
    </row>
    <row r="21" ht="34.5" customHeight="1">
      <c r="A21" s="111">
        <v>14.0</v>
      </c>
      <c r="B21" s="111" t="s">
        <v>7979</v>
      </c>
      <c r="C21" s="111" t="s">
        <v>7971</v>
      </c>
      <c r="D21" s="111">
        <v>2025.0</v>
      </c>
      <c r="E21" s="111"/>
      <c r="F21" s="111" t="s">
        <v>12393</v>
      </c>
      <c r="G21" s="111" t="s">
        <v>12381</v>
      </c>
      <c r="H21" s="111" t="s">
        <v>12230</v>
      </c>
      <c r="I21" s="111" t="s">
        <v>12406</v>
      </c>
      <c r="J21" s="111"/>
      <c r="K21" s="111" t="s">
        <v>12415</v>
      </c>
      <c r="L21" s="111"/>
      <c r="M21" s="111"/>
      <c r="N21" s="111">
        <v>1.0</v>
      </c>
      <c r="O21" s="111"/>
      <c r="P21" s="111"/>
      <c r="Q21" s="111"/>
      <c r="R21" s="111"/>
      <c r="S21" s="111"/>
      <c r="T21" s="111"/>
      <c r="U21" s="111"/>
      <c r="V21" s="111"/>
      <c r="W21" s="111"/>
      <c r="X21" s="111"/>
      <c r="Y21" s="111"/>
      <c r="Z21" s="111" t="s">
        <v>12416</v>
      </c>
      <c r="AA21" s="124">
        <v>110.0</v>
      </c>
      <c r="AB21" s="125">
        <f>IF(Projects!$AI21="Electrolysis",
AA21/VLOOKUP(G21,ElectrolysisConvF,3,FALSE),
AC21*10^6/(H2dens*HoursInYear))</f>
        <v>24444.44444</v>
      </c>
      <c r="AC21" s="126">
        <f t="shared" si="6"/>
        <v>19.05786667</v>
      </c>
      <c r="AD21" s="125"/>
      <c r="AE21" s="125">
        <f t="shared" si="4"/>
        <v>24444.44444</v>
      </c>
      <c r="AF21" s="127" t="s">
        <v>12417</v>
      </c>
      <c r="AG21" s="127">
        <v>69.3016341598521</v>
      </c>
      <c r="AH21" s="127">
        <v>17.6108443858602</v>
      </c>
      <c r="AI21" s="115" t="s">
        <v>12383</v>
      </c>
      <c r="AJ21" s="116">
        <v>0.57</v>
      </c>
      <c r="AK21" s="117"/>
      <c r="AL21" s="117"/>
      <c r="AM21" s="117"/>
      <c r="AN21" s="117"/>
      <c r="AO21" s="117"/>
    </row>
    <row r="22" ht="34.5" customHeight="1">
      <c r="A22" s="111">
        <v>15.0</v>
      </c>
      <c r="B22" s="111" t="s">
        <v>7980</v>
      </c>
      <c r="C22" s="111" t="s">
        <v>7981</v>
      </c>
      <c r="D22" s="111">
        <v>2022.0</v>
      </c>
      <c r="E22" s="111"/>
      <c r="F22" s="111" t="s">
        <v>12418</v>
      </c>
      <c r="G22" s="111" t="s">
        <v>12226</v>
      </c>
      <c r="H22" s="111"/>
      <c r="I22" s="111" t="s">
        <v>12419</v>
      </c>
      <c r="J22" s="111"/>
      <c r="K22" s="111" t="s">
        <v>30</v>
      </c>
      <c r="L22" s="111"/>
      <c r="M22" s="111"/>
      <c r="N22" s="111"/>
      <c r="O22" s="111"/>
      <c r="P22" s="111"/>
      <c r="Q22" s="111"/>
      <c r="R22" s="111"/>
      <c r="S22" s="111"/>
      <c r="T22" s="111"/>
      <c r="U22" s="111"/>
      <c r="V22" s="111"/>
      <c r="W22" s="111"/>
      <c r="X22" s="111"/>
      <c r="Y22" s="111"/>
      <c r="Z22" s="111" t="s">
        <v>12420</v>
      </c>
      <c r="AA22" s="124">
        <v>1.0</v>
      </c>
      <c r="AB22" s="125">
        <f>IF(Projects!$AI22="Electrolysis",
AA22/VLOOKUP(G22,ElectrolysisConvF,3,FALSE),
AC22*10^6/(H2dens*HoursInYear))</f>
        <v>192.3076923</v>
      </c>
      <c r="AC22" s="126">
        <f t="shared" si="6"/>
        <v>0.1499307692</v>
      </c>
      <c r="AD22" s="125"/>
      <c r="AE22" s="125">
        <f t="shared" si="4"/>
        <v>192.3076923</v>
      </c>
      <c r="AF22" s="127" t="s">
        <v>12421</v>
      </c>
      <c r="AG22" s="127">
        <v>39.8183471417175</v>
      </c>
      <c r="AH22" s="127">
        <v>-105.090849901139</v>
      </c>
      <c r="AI22" s="115" t="s">
        <v>12383</v>
      </c>
      <c r="AJ22" s="116">
        <v>0.57</v>
      </c>
      <c r="AK22" s="117"/>
      <c r="AL22" s="117"/>
      <c r="AM22" s="117"/>
      <c r="AN22" s="117"/>
      <c r="AO22" s="117"/>
    </row>
    <row r="23" ht="34.5" customHeight="1">
      <c r="A23" s="111">
        <v>16.0</v>
      </c>
      <c r="B23" s="111" t="s">
        <v>7982</v>
      </c>
      <c r="C23" s="111" t="s">
        <v>7983</v>
      </c>
      <c r="D23" s="111">
        <v>2020.0</v>
      </c>
      <c r="E23" s="111">
        <v>2023.0</v>
      </c>
      <c r="F23" s="111" t="s">
        <v>12385</v>
      </c>
      <c r="G23" s="111" t="s">
        <v>12224</v>
      </c>
      <c r="H23" s="111"/>
      <c r="I23" s="111" t="s">
        <v>12394</v>
      </c>
      <c r="J23" s="111" t="s">
        <v>12291</v>
      </c>
      <c r="K23" s="111" t="s">
        <v>30</v>
      </c>
      <c r="L23" s="111"/>
      <c r="M23" s="111"/>
      <c r="N23" s="111"/>
      <c r="O23" s="111"/>
      <c r="P23" s="111"/>
      <c r="Q23" s="111">
        <v>1.0</v>
      </c>
      <c r="R23" s="111">
        <v>1.0</v>
      </c>
      <c r="S23" s="111"/>
      <c r="T23" s="111"/>
      <c r="U23" s="111"/>
      <c r="V23" s="111"/>
      <c r="W23" s="111"/>
      <c r="X23" s="111"/>
      <c r="Y23" s="111"/>
      <c r="Z23" s="111" t="s">
        <v>12422</v>
      </c>
      <c r="AA23" s="124">
        <v>10.0</v>
      </c>
      <c r="AB23" s="125">
        <f>IF(Projects!$AI23="Electrolysis",
AA23/VLOOKUP(G23,ElectrolysisConvF,3,FALSE),
AC23*10^6/(H2dens*HoursInYear))</f>
        <v>2173.913043</v>
      </c>
      <c r="AC23" s="126">
        <f t="shared" si="6"/>
        <v>1.694869565</v>
      </c>
      <c r="AD23" s="125"/>
      <c r="AE23" s="125">
        <f t="shared" si="4"/>
        <v>2173.913043</v>
      </c>
      <c r="AF23" s="127" t="s">
        <v>12423</v>
      </c>
      <c r="AG23" s="127">
        <v>37.4164872362064</v>
      </c>
      <c r="AH23" s="127">
        <v>140.516114027268</v>
      </c>
      <c r="AI23" s="115" t="s">
        <v>12383</v>
      </c>
      <c r="AJ23" s="116">
        <v>0.3</v>
      </c>
      <c r="AK23" s="117"/>
      <c r="AL23" s="117"/>
      <c r="AM23" s="117"/>
      <c r="AN23" s="117"/>
      <c r="AO23" s="117"/>
    </row>
    <row r="24" ht="34.5" customHeight="1">
      <c r="A24" s="111">
        <v>17.0</v>
      </c>
      <c r="B24" s="111" t="s">
        <v>7984</v>
      </c>
      <c r="C24" s="111" t="s">
        <v>7985</v>
      </c>
      <c r="D24" s="111">
        <v>2020.0</v>
      </c>
      <c r="E24" s="111"/>
      <c r="F24" s="111" t="s">
        <v>12385</v>
      </c>
      <c r="G24" s="111" t="s">
        <v>12226</v>
      </c>
      <c r="H24" s="111"/>
      <c r="I24" s="111" t="s">
        <v>12394</v>
      </c>
      <c r="J24" s="111" t="s">
        <v>12294</v>
      </c>
      <c r="K24" s="111" t="s">
        <v>30</v>
      </c>
      <c r="L24" s="111"/>
      <c r="M24" s="111"/>
      <c r="N24" s="111"/>
      <c r="O24" s="111"/>
      <c r="P24" s="111"/>
      <c r="Q24" s="111">
        <v>1.0</v>
      </c>
      <c r="R24" s="111"/>
      <c r="S24" s="111"/>
      <c r="T24" s="111"/>
      <c r="U24" s="111"/>
      <c r="V24" s="111"/>
      <c r="W24" s="111"/>
      <c r="X24" s="111"/>
      <c r="Y24" s="111"/>
      <c r="Z24" s="111" t="s">
        <v>12424</v>
      </c>
      <c r="AA24" s="124">
        <v>2.0</v>
      </c>
      <c r="AB24" s="125">
        <f>IF(Projects!$AI24="Electrolysis",
AA24/VLOOKUP(G24,ElectrolysisConvF,3,FALSE),
AC24*10^6/(H2dens*HoursInYear))</f>
        <v>384.6153846</v>
      </c>
      <c r="AC24" s="126">
        <f t="shared" si="6"/>
        <v>0.2998615385</v>
      </c>
      <c r="AD24" s="125"/>
      <c r="AE24" s="125">
        <f t="shared" si="4"/>
        <v>384.6153846</v>
      </c>
      <c r="AF24" s="127" t="s">
        <v>12425</v>
      </c>
      <c r="AG24" s="127">
        <v>47.4213266597849</v>
      </c>
      <c r="AH24" s="127">
        <v>9.37471140069694</v>
      </c>
      <c r="AI24" s="115" t="s">
        <v>12383</v>
      </c>
      <c r="AJ24" s="116">
        <v>0.8</v>
      </c>
      <c r="AK24" s="117"/>
      <c r="AL24" s="117"/>
      <c r="AM24" s="117"/>
      <c r="AN24" s="117"/>
      <c r="AO24" s="117"/>
    </row>
    <row r="25" ht="34.5" customHeight="1">
      <c r="A25" s="111">
        <v>18.0</v>
      </c>
      <c r="B25" s="111" t="s">
        <v>7986</v>
      </c>
      <c r="C25" s="111" t="s">
        <v>7987</v>
      </c>
      <c r="D25" s="111">
        <v>2021.0</v>
      </c>
      <c r="E25" s="111"/>
      <c r="F25" s="111" t="s">
        <v>12385</v>
      </c>
      <c r="G25" s="111" t="s">
        <v>12224</v>
      </c>
      <c r="H25" s="111"/>
      <c r="I25" s="111" t="s">
        <v>12406</v>
      </c>
      <c r="J25" s="111"/>
      <c r="K25" s="111" t="s">
        <v>30</v>
      </c>
      <c r="L25" s="111"/>
      <c r="M25" s="111"/>
      <c r="N25" s="111"/>
      <c r="O25" s="111"/>
      <c r="P25" s="111"/>
      <c r="Q25" s="111">
        <v>1.0</v>
      </c>
      <c r="R25" s="111"/>
      <c r="S25" s="111"/>
      <c r="T25" s="111">
        <v>1.0</v>
      </c>
      <c r="U25" s="111"/>
      <c r="V25" s="111"/>
      <c r="W25" s="111"/>
      <c r="X25" s="111"/>
      <c r="Y25" s="111"/>
      <c r="Z25" s="111" t="s">
        <v>12424</v>
      </c>
      <c r="AA25" s="124">
        <v>2.0</v>
      </c>
      <c r="AB25" s="125">
        <f>IF(Projects!$AI25="Electrolysis",
AA25/VLOOKUP(G25,ElectrolysisConvF,3,FALSE),
AC25*10^6/(H2dens*HoursInYear))</f>
        <v>434.7826087</v>
      </c>
      <c r="AC25" s="126">
        <f t="shared" si="6"/>
        <v>0.338973913</v>
      </c>
      <c r="AD25" s="125"/>
      <c r="AE25" s="125">
        <f t="shared" si="4"/>
        <v>434.7826087</v>
      </c>
      <c r="AF25" s="127" t="s">
        <v>12426</v>
      </c>
      <c r="AG25" s="127">
        <v>53.9034052944025</v>
      </c>
      <c r="AH25" s="127">
        <v>12.2831689290693</v>
      </c>
      <c r="AI25" s="115" t="s">
        <v>12383</v>
      </c>
      <c r="AJ25" s="116">
        <v>0.57</v>
      </c>
      <c r="AK25" s="117"/>
      <c r="AL25" s="117"/>
      <c r="AM25" s="117"/>
      <c r="AN25" s="117"/>
      <c r="AO25" s="117"/>
    </row>
    <row r="26" ht="34.5" customHeight="1">
      <c r="A26" s="111">
        <v>19.0</v>
      </c>
      <c r="B26" s="111" t="s">
        <v>7988</v>
      </c>
      <c r="C26" s="111" t="s">
        <v>7987</v>
      </c>
      <c r="D26" s="111">
        <v>2020.0</v>
      </c>
      <c r="E26" s="111"/>
      <c r="F26" s="111" t="s">
        <v>12385</v>
      </c>
      <c r="G26" s="111" t="s">
        <v>12226</v>
      </c>
      <c r="H26" s="111"/>
      <c r="I26" s="111" t="s">
        <v>12394</v>
      </c>
      <c r="J26" s="111" t="s">
        <v>12294</v>
      </c>
      <c r="K26" s="111" t="s">
        <v>30</v>
      </c>
      <c r="L26" s="111"/>
      <c r="M26" s="111"/>
      <c r="N26" s="111"/>
      <c r="O26" s="111"/>
      <c r="P26" s="111"/>
      <c r="Q26" s="111">
        <v>1.0</v>
      </c>
      <c r="R26" s="111"/>
      <c r="S26" s="111"/>
      <c r="T26" s="111"/>
      <c r="U26" s="111"/>
      <c r="V26" s="111"/>
      <c r="W26" s="111"/>
      <c r="X26" s="111"/>
      <c r="Y26" s="111"/>
      <c r="Z26" s="111" t="s">
        <v>12427</v>
      </c>
      <c r="AA26" s="124">
        <v>1.3</v>
      </c>
      <c r="AB26" s="125">
        <f>IF(Projects!$AI26="Electrolysis",
AA26/VLOOKUP(G26,ElectrolysisConvF,3,FALSE),
AC26*10^6/(H2dens*HoursInYear))</f>
        <v>250</v>
      </c>
      <c r="AC26" s="126">
        <f t="shared" si="6"/>
        <v>0.19491</v>
      </c>
      <c r="AD26" s="125"/>
      <c r="AE26" s="125">
        <f t="shared" si="4"/>
        <v>250</v>
      </c>
      <c r="AF26" s="127" t="s">
        <v>12428</v>
      </c>
      <c r="AG26" s="127">
        <v>48.5855970920068</v>
      </c>
      <c r="AH26" s="127">
        <v>8.95827602188521</v>
      </c>
      <c r="AI26" s="115" t="s">
        <v>12383</v>
      </c>
      <c r="AJ26" s="116">
        <v>0.8</v>
      </c>
      <c r="AK26" s="117"/>
      <c r="AL26" s="117"/>
      <c r="AM26" s="117"/>
      <c r="AN26" s="117"/>
      <c r="AO26" s="117"/>
    </row>
    <row r="27" ht="34.5" customHeight="1">
      <c r="A27" s="111">
        <v>20.0</v>
      </c>
      <c r="B27" s="111" t="s">
        <v>7989</v>
      </c>
      <c r="C27" s="111" t="s">
        <v>7987</v>
      </c>
      <c r="D27" s="111">
        <v>2020.0</v>
      </c>
      <c r="E27" s="111"/>
      <c r="F27" s="111" t="s">
        <v>12385</v>
      </c>
      <c r="G27" s="111" t="s">
        <v>12226</v>
      </c>
      <c r="H27" s="111"/>
      <c r="I27" s="111" t="s">
        <v>12394</v>
      </c>
      <c r="J27" s="111" t="s">
        <v>12292</v>
      </c>
      <c r="K27" s="111" t="s">
        <v>30</v>
      </c>
      <c r="L27" s="111"/>
      <c r="M27" s="111"/>
      <c r="N27" s="111"/>
      <c r="O27" s="111"/>
      <c r="P27" s="111"/>
      <c r="Q27" s="111">
        <v>1.0</v>
      </c>
      <c r="R27" s="111"/>
      <c r="S27" s="111"/>
      <c r="T27" s="111"/>
      <c r="U27" s="111"/>
      <c r="V27" s="111"/>
      <c r="W27" s="111"/>
      <c r="X27" s="111"/>
      <c r="Y27" s="111"/>
      <c r="Z27" s="111" t="s">
        <v>12429</v>
      </c>
      <c r="AA27" s="124">
        <v>1.125</v>
      </c>
      <c r="AB27" s="125">
        <f>IF(Projects!$AI27="Electrolysis",
AA27/VLOOKUP(G27,ElectrolysisConvF,3,FALSE),
AC27*10^6/(H2dens*HoursInYear))</f>
        <v>216.3461538</v>
      </c>
      <c r="AC27" s="126">
        <f t="shared" si="6"/>
        <v>0.1686721154</v>
      </c>
      <c r="AD27" s="125"/>
      <c r="AE27" s="125">
        <f t="shared" si="4"/>
        <v>216.3461538</v>
      </c>
      <c r="AF27" s="127" t="s">
        <v>12430</v>
      </c>
      <c r="AG27" s="127">
        <v>54.7451591701625</v>
      </c>
      <c r="AH27" s="127">
        <v>8.57517039921521</v>
      </c>
      <c r="AI27" s="115" t="s">
        <v>12383</v>
      </c>
      <c r="AJ27" s="116">
        <v>0.4</v>
      </c>
      <c r="AK27" s="117"/>
      <c r="AL27" s="117"/>
      <c r="AM27" s="117"/>
      <c r="AN27" s="117"/>
      <c r="AO27" s="117"/>
    </row>
    <row r="28" ht="27.75" customHeight="1">
      <c r="A28" s="111">
        <v>22.0</v>
      </c>
      <c r="B28" s="111" t="s">
        <v>7990</v>
      </c>
      <c r="C28" s="111" t="s">
        <v>7991</v>
      </c>
      <c r="D28" s="111">
        <v>2019.0</v>
      </c>
      <c r="E28" s="111"/>
      <c r="F28" s="111" t="s">
        <v>12385</v>
      </c>
      <c r="G28" s="111" t="s">
        <v>12226</v>
      </c>
      <c r="H28" s="111"/>
      <c r="I28" s="111" t="s">
        <v>12394</v>
      </c>
      <c r="J28" s="111" t="s">
        <v>12292</v>
      </c>
      <c r="K28" s="111" t="s">
        <v>30</v>
      </c>
      <c r="L28" s="111"/>
      <c r="M28" s="111"/>
      <c r="N28" s="111"/>
      <c r="O28" s="111"/>
      <c r="P28" s="111"/>
      <c r="Q28" s="111">
        <v>1.0</v>
      </c>
      <c r="R28" s="111">
        <v>1.0</v>
      </c>
      <c r="S28" s="111">
        <v>1.0</v>
      </c>
      <c r="T28" s="111"/>
      <c r="U28" s="111">
        <v>1.0</v>
      </c>
      <c r="V28" s="111"/>
      <c r="W28" s="111"/>
      <c r="X28" s="111"/>
      <c r="Y28" s="111"/>
      <c r="Z28" s="111" t="s">
        <v>12420</v>
      </c>
      <c r="AA28" s="124">
        <v>1.0</v>
      </c>
      <c r="AB28" s="125">
        <f>IF(Projects!$AI28="Electrolysis",
AA28/VLOOKUP(G28,ElectrolysisConvF,3,FALSE),
AC28*10^6/(H2dens*HoursInYear))</f>
        <v>192.3076923</v>
      </c>
      <c r="AC28" s="126">
        <f t="shared" si="6"/>
        <v>0.1499307692</v>
      </c>
      <c r="AD28" s="125"/>
      <c r="AE28" s="125">
        <f t="shared" si="4"/>
        <v>192.3076923</v>
      </c>
      <c r="AF28" s="127" t="s">
        <v>12431</v>
      </c>
      <c r="AG28" s="127">
        <v>59.0199905695718</v>
      </c>
      <c r="AH28" s="127">
        <v>-2.98913603497804</v>
      </c>
      <c r="AI28" s="115" t="s">
        <v>12383</v>
      </c>
      <c r="AJ28" s="116">
        <v>0.4</v>
      </c>
      <c r="AK28" s="117"/>
      <c r="AL28" s="117"/>
      <c r="AM28" s="117"/>
      <c r="AN28" s="117"/>
      <c r="AO28" s="117"/>
    </row>
    <row r="29" ht="32.25" customHeight="1">
      <c r="A29" s="111">
        <v>23.0</v>
      </c>
      <c r="B29" s="111" t="s">
        <v>7992</v>
      </c>
      <c r="C29" s="130" t="s">
        <v>7987</v>
      </c>
      <c r="D29" s="111">
        <v>2020.0</v>
      </c>
      <c r="E29" s="111"/>
      <c r="F29" s="111" t="s">
        <v>12385</v>
      </c>
      <c r="G29" s="111" t="s">
        <v>12224</v>
      </c>
      <c r="H29" s="111"/>
      <c r="I29" s="111" t="s">
        <v>12394</v>
      </c>
      <c r="J29" s="111" t="s">
        <v>12294</v>
      </c>
      <c r="K29" s="111" t="s">
        <v>30</v>
      </c>
      <c r="L29" s="111"/>
      <c r="M29" s="111"/>
      <c r="N29" s="111"/>
      <c r="O29" s="111"/>
      <c r="P29" s="111"/>
      <c r="Q29" s="111"/>
      <c r="R29" s="111">
        <v>1.0</v>
      </c>
      <c r="S29" s="111"/>
      <c r="T29" s="111"/>
      <c r="U29" s="111"/>
      <c r="V29" s="111"/>
      <c r="W29" s="111"/>
      <c r="X29" s="111"/>
      <c r="Y29" s="111"/>
      <c r="Z29" s="111" t="s">
        <v>12427</v>
      </c>
      <c r="AA29" s="124">
        <v>1.3</v>
      </c>
      <c r="AB29" s="125">
        <f>IF(Projects!$AI29="Electrolysis",
AA29/VLOOKUP(G29,ElectrolysisConvF,3,FALSE),
AC29*10^6/(H2dens*HoursInYear))</f>
        <v>282.6086957</v>
      </c>
      <c r="AC29" s="126">
        <f t="shared" si="6"/>
        <v>0.2203330435</v>
      </c>
      <c r="AD29" s="125"/>
      <c r="AE29" s="125">
        <f t="shared" si="4"/>
        <v>282.6086957</v>
      </c>
      <c r="AF29" s="127" t="s">
        <v>12432</v>
      </c>
      <c r="AG29" s="127">
        <v>47.539892415871</v>
      </c>
      <c r="AH29" s="127">
        <v>7.71235351615059</v>
      </c>
      <c r="AI29" s="115" t="s">
        <v>12383</v>
      </c>
      <c r="AJ29" s="116">
        <v>0.8</v>
      </c>
      <c r="AK29" s="117"/>
      <c r="AL29" s="117"/>
      <c r="AM29" s="117"/>
      <c r="AN29" s="117"/>
      <c r="AO29" s="117"/>
    </row>
    <row r="30" ht="34.5" customHeight="1">
      <c r="A30" s="111">
        <v>24.0</v>
      </c>
      <c r="B30" s="111" t="s">
        <v>135</v>
      </c>
      <c r="C30" s="111" t="s">
        <v>7987</v>
      </c>
      <c r="D30" s="111">
        <v>2020.0</v>
      </c>
      <c r="E30" s="111"/>
      <c r="F30" s="111" t="s">
        <v>12385</v>
      </c>
      <c r="G30" s="111" t="s">
        <v>12228</v>
      </c>
      <c r="H30" s="111"/>
      <c r="I30" s="111" t="s">
        <v>12406</v>
      </c>
      <c r="J30" s="111"/>
      <c r="K30" s="111" t="s">
        <v>30</v>
      </c>
      <c r="L30" s="111"/>
      <c r="M30" s="111"/>
      <c r="N30" s="111"/>
      <c r="O30" s="111">
        <v>1.0</v>
      </c>
      <c r="P30" s="111"/>
      <c r="Q30" s="111"/>
      <c r="R30" s="111"/>
      <c r="S30" s="111"/>
      <c r="T30" s="111"/>
      <c r="U30" s="111"/>
      <c r="V30" s="111"/>
      <c r="W30" s="111"/>
      <c r="X30" s="111"/>
      <c r="Y30" s="111"/>
      <c r="Z30" s="111" t="s">
        <v>12433</v>
      </c>
      <c r="AA30" s="124">
        <v>0.7</v>
      </c>
      <c r="AB30" s="125">
        <v>200.0</v>
      </c>
      <c r="AC30" s="126">
        <f t="shared" si="6"/>
        <v>0.155928</v>
      </c>
      <c r="AD30" s="125"/>
      <c r="AE30" s="125">
        <f t="shared" si="4"/>
        <v>200</v>
      </c>
      <c r="AF30" s="127" t="s">
        <v>12434</v>
      </c>
      <c r="AG30" s="127">
        <v>52.1503721</v>
      </c>
      <c r="AH30" s="127">
        <v>10.3593147</v>
      </c>
      <c r="AI30" s="115" t="s">
        <v>12383</v>
      </c>
      <c r="AJ30" s="116">
        <v>0.57</v>
      </c>
      <c r="AK30" s="117"/>
      <c r="AL30" s="117"/>
      <c r="AM30" s="117"/>
      <c r="AN30" s="117"/>
      <c r="AO30" s="117"/>
    </row>
    <row r="31" ht="34.5" customHeight="1">
      <c r="A31" s="111">
        <v>25.0</v>
      </c>
      <c r="B31" s="111" t="s">
        <v>7993</v>
      </c>
      <c r="C31" s="111" t="s">
        <v>7994</v>
      </c>
      <c r="D31" s="111">
        <v>2020.0</v>
      </c>
      <c r="E31" s="111"/>
      <c r="F31" s="111" t="s">
        <v>12385</v>
      </c>
      <c r="G31" s="111" t="s">
        <v>12381</v>
      </c>
      <c r="H31" s="111" t="s">
        <v>12230</v>
      </c>
      <c r="I31" s="111" t="s">
        <v>12406</v>
      </c>
      <c r="J31" s="111"/>
      <c r="K31" s="111" t="s">
        <v>12415</v>
      </c>
      <c r="L31" s="111"/>
      <c r="M31" s="111"/>
      <c r="N31" s="111">
        <v>1.0</v>
      </c>
      <c r="O31" s="111"/>
      <c r="P31" s="111"/>
      <c r="Q31" s="111"/>
      <c r="R31" s="111"/>
      <c r="S31" s="111"/>
      <c r="T31" s="111"/>
      <c r="U31" s="111"/>
      <c r="V31" s="111"/>
      <c r="W31" s="111"/>
      <c r="X31" s="111"/>
      <c r="Y31" s="111"/>
      <c r="Z31" s="111" t="s">
        <v>12435</v>
      </c>
      <c r="AA31" s="124">
        <v>0.25</v>
      </c>
      <c r="AB31" s="125">
        <v>50.0</v>
      </c>
      <c r="AC31" s="126">
        <f t="shared" si="6"/>
        <v>0.038982</v>
      </c>
      <c r="AD31" s="125"/>
      <c r="AE31" s="125">
        <f t="shared" si="4"/>
        <v>50</v>
      </c>
      <c r="AF31" s="127" t="s">
        <v>12436</v>
      </c>
      <c r="AG31" s="127">
        <v>0.0</v>
      </c>
      <c r="AH31" s="127">
        <v>0.0</v>
      </c>
      <c r="AI31" s="115" t="s">
        <v>12383</v>
      </c>
      <c r="AJ31" s="116">
        <v>0.57</v>
      </c>
      <c r="AK31" s="117"/>
      <c r="AL31" s="117"/>
      <c r="AM31" s="117"/>
      <c r="AN31" s="117"/>
      <c r="AO31" s="117"/>
    </row>
    <row r="32" ht="34.5" customHeight="1">
      <c r="A32" s="111">
        <v>26.0</v>
      </c>
      <c r="B32" s="111" t="s">
        <v>7995</v>
      </c>
      <c r="C32" s="111" t="s">
        <v>7971</v>
      </c>
      <c r="D32" s="111">
        <v>2020.0</v>
      </c>
      <c r="E32" s="111">
        <v>2022.0</v>
      </c>
      <c r="F32" s="111" t="s">
        <v>12437</v>
      </c>
      <c r="G32" s="111" t="s">
        <v>12226</v>
      </c>
      <c r="H32" s="111"/>
      <c r="I32" s="111" t="s">
        <v>12394</v>
      </c>
      <c r="J32" s="111" t="s">
        <v>12295</v>
      </c>
      <c r="K32" s="111" t="s">
        <v>30</v>
      </c>
      <c r="L32" s="111"/>
      <c r="M32" s="111"/>
      <c r="N32" s="111"/>
      <c r="O32" s="111"/>
      <c r="P32" s="111"/>
      <c r="Q32" s="111"/>
      <c r="R32" s="111">
        <v>1.0</v>
      </c>
      <c r="S32" s="111"/>
      <c r="T32" s="111"/>
      <c r="U32" s="111"/>
      <c r="V32" s="111"/>
      <c r="W32" s="111"/>
      <c r="X32" s="111"/>
      <c r="Y32" s="111"/>
      <c r="Z32" s="111" t="s">
        <v>12438</v>
      </c>
      <c r="AA32" s="124"/>
      <c r="AB32" s="125"/>
      <c r="AC32" s="126"/>
      <c r="AD32" s="125"/>
      <c r="AE32" s="125" t="str">
        <f t="shared" si="4"/>
        <v/>
      </c>
      <c r="AF32" s="127" t="s">
        <v>12439</v>
      </c>
      <c r="AG32" s="127">
        <v>0.0</v>
      </c>
      <c r="AH32" s="127">
        <v>0.0</v>
      </c>
      <c r="AI32" s="115" t="s">
        <v>12383</v>
      </c>
      <c r="AJ32" s="116">
        <v>0.5</v>
      </c>
      <c r="AK32" s="117"/>
      <c r="AL32" s="117"/>
      <c r="AM32" s="117"/>
      <c r="AN32" s="117"/>
      <c r="AO32" s="117"/>
    </row>
    <row r="33" ht="34.5" customHeight="1">
      <c r="A33" s="111">
        <v>27.0</v>
      </c>
      <c r="B33" s="111" t="s">
        <v>7996</v>
      </c>
      <c r="C33" s="111" t="s">
        <v>7983</v>
      </c>
      <c r="D33" s="111">
        <v>2020.0</v>
      </c>
      <c r="E33" s="111"/>
      <c r="F33" s="111" t="s">
        <v>12385</v>
      </c>
      <c r="G33" s="111" t="s">
        <v>12226</v>
      </c>
      <c r="H33" s="111"/>
      <c r="I33" s="111" t="s">
        <v>12406</v>
      </c>
      <c r="J33" s="111"/>
      <c r="K33" s="111" t="s">
        <v>30</v>
      </c>
      <c r="L33" s="111"/>
      <c r="M33" s="111"/>
      <c r="N33" s="111"/>
      <c r="O33" s="111"/>
      <c r="P33" s="111"/>
      <c r="Q33" s="111"/>
      <c r="R33" s="111">
        <v>1.0</v>
      </c>
      <c r="S33" s="111"/>
      <c r="T33" s="111"/>
      <c r="U33" s="111"/>
      <c r="V33" s="111"/>
      <c r="W33" s="111"/>
      <c r="X33" s="111"/>
      <c r="Y33" s="111"/>
      <c r="Z33" s="111" t="s">
        <v>12440</v>
      </c>
      <c r="AA33" s="129">
        <f>IF(Projects!$AI33="Electrolysis",
AB33*VLOOKUP(G33,ElectrolysisConvF,3,FALSE),
"")</f>
        <v>0.0052</v>
      </c>
      <c r="AB33" s="125">
        <v>1.0</v>
      </c>
      <c r="AC33" s="126">
        <f t="shared" ref="AC33:AC54" si="7">AB33*H2dens*HoursInYear/10^6</f>
        <v>0.00077964</v>
      </c>
      <c r="AD33" s="125"/>
      <c r="AE33" s="125">
        <f t="shared" si="4"/>
        <v>1</v>
      </c>
      <c r="AF33" s="127" t="s">
        <v>12441</v>
      </c>
      <c r="AG33" s="127">
        <v>35.667062892264</v>
      </c>
      <c r="AH33" s="127">
        <v>139.749492478842</v>
      </c>
      <c r="AI33" s="115" t="s">
        <v>12383</v>
      </c>
      <c r="AJ33" s="116">
        <v>0.57</v>
      </c>
      <c r="AK33" s="117"/>
      <c r="AL33" s="117"/>
      <c r="AM33" s="117"/>
      <c r="AN33" s="117"/>
      <c r="AO33" s="117"/>
    </row>
    <row r="34" ht="33.75" customHeight="1">
      <c r="A34" s="111">
        <v>28.0</v>
      </c>
      <c r="B34" s="111" t="s">
        <v>7997</v>
      </c>
      <c r="C34" s="111" t="s">
        <v>7983</v>
      </c>
      <c r="D34" s="111">
        <v>2020.0</v>
      </c>
      <c r="E34" s="111"/>
      <c r="F34" s="111" t="s">
        <v>12385</v>
      </c>
      <c r="G34" s="111" t="s">
        <v>12226</v>
      </c>
      <c r="H34" s="111"/>
      <c r="I34" s="111" t="s">
        <v>12406</v>
      </c>
      <c r="J34" s="111"/>
      <c r="K34" s="111" t="s">
        <v>30</v>
      </c>
      <c r="L34" s="111"/>
      <c r="M34" s="111"/>
      <c r="N34" s="111"/>
      <c r="O34" s="111"/>
      <c r="P34" s="111"/>
      <c r="Q34" s="111"/>
      <c r="R34" s="111">
        <v>1.0</v>
      </c>
      <c r="S34" s="111"/>
      <c r="T34" s="111"/>
      <c r="U34" s="111"/>
      <c r="V34" s="111"/>
      <c r="W34" s="111"/>
      <c r="X34" s="111"/>
      <c r="Y34" s="111"/>
      <c r="Z34" s="111" t="s">
        <v>12440</v>
      </c>
      <c r="AA34" s="129">
        <f>IF(Projects!$AI34="Electrolysis",
AB34*VLOOKUP(G34,ElectrolysisConvF,3,FALSE),
"")</f>
        <v>0.0052</v>
      </c>
      <c r="AB34" s="125">
        <v>1.0</v>
      </c>
      <c r="AC34" s="126">
        <f t="shared" si="7"/>
        <v>0.00077964</v>
      </c>
      <c r="AD34" s="125"/>
      <c r="AE34" s="125">
        <f t="shared" si="4"/>
        <v>1</v>
      </c>
      <c r="AF34" s="127" t="s">
        <v>12442</v>
      </c>
      <c r="AG34" s="127">
        <v>36.7307682181574</v>
      </c>
      <c r="AH34" s="127">
        <v>137.218824139501</v>
      </c>
      <c r="AI34" s="115" t="s">
        <v>12383</v>
      </c>
      <c r="AJ34" s="116">
        <v>0.57</v>
      </c>
      <c r="AK34" s="117"/>
      <c r="AL34" s="117"/>
      <c r="AM34" s="117"/>
      <c r="AN34" s="117"/>
      <c r="AO34" s="117"/>
    </row>
    <row r="35" ht="34.5" customHeight="1">
      <c r="A35" s="111">
        <v>29.0</v>
      </c>
      <c r="B35" s="111" t="s">
        <v>7998</v>
      </c>
      <c r="C35" s="111" t="s">
        <v>7983</v>
      </c>
      <c r="D35" s="111">
        <v>2020.0</v>
      </c>
      <c r="E35" s="111"/>
      <c r="F35" s="111" t="s">
        <v>12385</v>
      </c>
      <c r="G35" s="111" t="s">
        <v>12226</v>
      </c>
      <c r="H35" s="111"/>
      <c r="I35" s="111" t="s">
        <v>12406</v>
      </c>
      <c r="J35" s="111"/>
      <c r="K35" s="111" t="s">
        <v>30</v>
      </c>
      <c r="L35" s="111"/>
      <c r="M35" s="111"/>
      <c r="N35" s="111"/>
      <c r="O35" s="111"/>
      <c r="P35" s="111"/>
      <c r="Q35" s="111">
        <v>1.0</v>
      </c>
      <c r="R35" s="111"/>
      <c r="S35" s="111"/>
      <c r="T35" s="111"/>
      <c r="U35" s="111"/>
      <c r="V35" s="111"/>
      <c r="W35" s="111"/>
      <c r="X35" s="111"/>
      <c r="Y35" s="111"/>
      <c r="Z35" s="111" t="s">
        <v>12440</v>
      </c>
      <c r="AA35" s="129">
        <f>IF(Projects!$AI35="Electrolysis",
AB35*VLOOKUP(G35,ElectrolysisConvF,3,FALSE),
"")</f>
        <v>0.0052</v>
      </c>
      <c r="AB35" s="125">
        <v>1.0</v>
      </c>
      <c r="AC35" s="126">
        <f t="shared" si="7"/>
        <v>0.00077964</v>
      </c>
      <c r="AD35" s="125"/>
      <c r="AE35" s="125">
        <f t="shared" si="4"/>
        <v>1</v>
      </c>
      <c r="AF35" s="127" t="s">
        <v>12443</v>
      </c>
      <c r="AG35" s="127">
        <v>35.6482195530807</v>
      </c>
      <c r="AH35" s="127">
        <v>136.050882042711</v>
      </c>
      <c r="AI35" s="115" t="s">
        <v>12383</v>
      </c>
      <c r="AJ35" s="116">
        <v>0.57</v>
      </c>
      <c r="AK35" s="117"/>
      <c r="AL35" s="117"/>
      <c r="AM35" s="117"/>
      <c r="AN35" s="117"/>
      <c r="AO35" s="117"/>
    </row>
    <row r="36" ht="34.5" customHeight="1">
      <c r="A36" s="111">
        <v>30.0</v>
      </c>
      <c r="B36" s="111" t="s">
        <v>109</v>
      </c>
      <c r="C36" s="111" t="s">
        <v>7999</v>
      </c>
      <c r="D36" s="111">
        <v>2019.0</v>
      </c>
      <c r="E36" s="111"/>
      <c r="F36" s="111" t="s">
        <v>12385</v>
      </c>
      <c r="G36" s="111" t="s">
        <v>12226</v>
      </c>
      <c r="H36" s="111"/>
      <c r="I36" s="111" t="s">
        <v>12406</v>
      </c>
      <c r="J36" s="111"/>
      <c r="K36" s="111" t="s">
        <v>30</v>
      </c>
      <c r="L36" s="111"/>
      <c r="M36" s="111"/>
      <c r="N36" s="111"/>
      <c r="O36" s="111">
        <v>1.0</v>
      </c>
      <c r="P36" s="111"/>
      <c r="Q36" s="111"/>
      <c r="R36" s="111"/>
      <c r="S36" s="111"/>
      <c r="T36" s="111"/>
      <c r="U36" s="111"/>
      <c r="V36" s="111"/>
      <c r="W36" s="111"/>
      <c r="X36" s="111"/>
      <c r="Y36" s="111"/>
      <c r="Z36" s="111" t="s">
        <v>12444</v>
      </c>
      <c r="AA36" s="124">
        <v>6.0</v>
      </c>
      <c r="AB36" s="125">
        <f>IF(Projects!$AI36="Electrolysis",
AA36/VLOOKUP(G36,ElectrolysisConvF,3,FALSE),
AC36*10^6/(H2dens*HoursInYear))</f>
        <v>1153.846154</v>
      </c>
      <c r="AC36" s="126">
        <f t="shared" si="7"/>
        <v>0.8995846154</v>
      </c>
      <c r="AD36" s="125"/>
      <c r="AE36" s="125">
        <f t="shared" si="4"/>
        <v>1153.846154</v>
      </c>
      <c r="AF36" s="127" t="s">
        <v>12445</v>
      </c>
      <c r="AG36" s="127">
        <v>48.3059078</v>
      </c>
      <c r="AH36" s="127">
        <v>14.286198</v>
      </c>
      <c r="AI36" s="115" t="s">
        <v>12383</v>
      </c>
      <c r="AJ36" s="116">
        <v>0.57</v>
      </c>
      <c r="AK36" s="117"/>
      <c r="AL36" s="117"/>
      <c r="AM36" s="117"/>
      <c r="AN36" s="117"/>
      <c r="AO36" s="117"/>
    </row>
    <row r="37" ht="34.5" customHeight="1">
      <c r="A37" s="111">
        <v>31.0</v>
      </c>
      <c r="B37" s="111" t="s">
        <v>8000</v>
      </c>
      <c r="C37" s="111" t="s">
        <v>8001</v>
      </c>
      <c r="D37" s="111">
        <v>2019.0</v>
      </c>
      <c r="E37" s="111"/>
      <c r="F37" s="111" t="s">
        <v>12385</v>
      </c>
      <c r="G37" s="111" t="s">
        <v>12226</v>
      </c>
      <c r="H37" s="111"/>
      <c r="I37" s="111" t="s">
        <v>12394</v>
      </c>
      <c r="J37" s="111" t="s">
        <v>12296</v>
      </c>
      <c r="K37" s="111" t="s">
        <v>30</v>
      </c>
      <c r="L37" s="111"/>
      <c r="M37" s="111"/>
      <c r="N37" s="111"/>
      <c r="O37" s="111"/>
      <c r="P37" s="111"/>
      <c r="Q37" s="111">
        <v>1.0</v>
      </c>
      <c r="R37" s="111"/>
      <c r="S37" s="111"/>
      <c r="T37" s="111"/>
      <c r="U37" s="111"/>
      <c r="V37" s="111"/>
      <c r="W37" s="111"/>
      <c r="X37" s="111"/>
      <c r="Y37" s="111"/>
      <c r="Z37" s="111" t="s">
        <v>12446</v>
      </c>
      <c r="AA37" s="124">
        <v>4.0</v>
      </c>
      <c r="AB37" s="125">
        <f>IF(Projects!$AI37="Electrolysis",
AA37/VLOOKUP(G37,ElectrolysisConvF,3,FALSE),
AC37*10^6/(H2dens*HoursInYear))</f>
        <v>769.2307692</v>
      </c>
      <c r="AC37" s="126">
        <f t="shared" si="7"/>
        <v>0.5997230769</v>
      </c>
      <c r="AD37" s="125"/>
      <c r="AE37" s="125">
        <f t="shared" si="4"/>
        <v>769.2307692</v>
      </c>
      <c r="AF37" s="127" t="s">
        <v>12447</v>
      </c>
      <c r="AG37" s="127">
        <v>0.0</v>
      </c>
      <c r="AH37" s="127">
        <v>0.0</v>
      </c>
      <c r="AI37" s="115" t="s">
        <v>12383</v>
      </c>
      <c r="AJ37" s="116">
        <v>0.5</v>
      </c>
      <c r="AK37" s="117"/>
      <c r="AL37" s="117"/>
      <c r="AM37" s="117"/>
      <c r="AN37" s="117"/>
      <c r="AO37" s="117"/>
    </row>
    <row r="38" ht="29.25" customHeight="1">
      <c r="A38" s="111">
        <v>33.0</v>
      </c>
      <c r="B38" s="111" t="s">
        <v>8002</v>
      </c>
      <c r="C38" s="111" t="s">
        <v>8003</v>
      </c>
      <c r="D38" s="111">
        <v>2019.0</v>
      </c>
      <c r="E38" s="111"/>
      <c r="F38" s="111" t="s">
        <v>12385</v>
      </c>
      <c r="G38" s="111" t="s">
        <v>12226</v>
      </c>
      <c r="H38" s="111"/>
      <c r="I38" s="111" t="s">
        <v>12406</v>
      </c>
      <c r="J38" s="111"/>
      <c r="K38" s="111" t="s">
        <v>30</v>
      </c>
      <c r="L38" s="111"/>
      <c r="M38" s="111"/>
      <c r="N38" s="111"/>
      <c r="O38" s="111"/>
      <c r="P38" s="111"/>
      <c r="Q38" s="111"/>
      <c r="R38" s="111"/>
      <c r="S38" s="111">
        <v>1.0</v>
      </c>
      <c r="T38" s="111"/>
      <c r="U38" s="111"/>
      <c r="V38" s="111"/>
      <c r="W38" s="111"/>
      <c r="X38" s="111"/>
      <c r="Y38" s="111"/>
      <c r="Z38" s="111" t="s">
        <v>12413</v>
      </c>
      <c r="AA38" s="124">
        <v>2.5</v>
      </c>
      <c r="AB38" s="125">
        <f>IF(Projects!$AI38="Electrolysis",
AA38/VLOOKUP(G38,ElectrolysisConvF,3,FALSE),
AC38*10^6/(H2dens*HoursInYear))</f>
        <v>480.7692308</v>
      </c>
      <c r="AC38" s="126">
        <f t="shared" si="7"/>
        <v>0.3748269231</v>
      </c>
      <c r="AD38" s="125"/>
      <c r="AE38" s="125">
        <f t="shared" si="4"/>
        <v>480.7692308</v>
      </c>
      <c r="AF38" s="127" t="s">
        <v>12448</v>
      </c>
      <c r="AG38" s="127">
        <v>43.857349389357</v>
      </c>
      <c r="AH38" s="127">
        <v>-79.3311241907939</v>
      </c>
      <c r="AI38" s="115" t="s">
        <v>12383</v>
      </c>
      <c r="AJ38" s="116">
        <v>0.57</v>
      </c>
      <c r="AK38" s="117"/>
      <c r="AL38" s="117"/>
      <c r="AM38" s="117"/>
      <c r="AN38" s="117"/>
      <c r="AO38" s="117"/>
    </row>
    <row r="39" ht="34.5" customHeight="1">
      <c r="A39" s="111">
        <v>34.0</v>
      </c>
      <c r="B39" s="111" t="s">
        <v>8004</v>
      </c>
      <c r="C39" s="111" t="s">
        <v>7987</v>
      </c>
      <c r="D39" s="111">
        <v>2019.0</v>
      </c>
      <c r="E39" s="111"/>
      <c r="F39" s="111" t="s">
        <v>12385</v>
      </c>
      <c r="G39" s="111" t="s">
        <v>12381</v>
      </c>
      <c r="H39" s="111" t="s">
        <v>12230</v>
      </c>
      <c r="I39" s="111" t="s">
        <v>12394</v>
      </c>
      <c r="J39" s="111" t="s">
        <v>12295</v>
      </c>
      <c r="K39" s="111" t="s">
        <v>12449</v>
      </c>
      <c r="L39" s="111"/>
      <c r="M39" s="111"/>
      <c r="N39" s="111"/>
      <c r="O39" s="111"/>
      <c r="P39" s="111"/>
      <c r="Q39" s="111"/>
      <c r="R39" s="111"/>
      <c r="S39" s="111"/>
      <c r="T39" s="111"/>
      <c r="U39" s="111"/>
      <c r="V39" s="111"/>
      <c r="W39" s="111"/>
      <c r="X39" s="111">
        <v>1.0</v>
      </c>
      <c r="Y39" s="111"/>
      <c r="Z39" s="111" t="s">
        <v>12413</v>
      </c>
      <c r="AA39" s="124">
        <v>2.5</v>
      </c>
      <c r="AB39" s="125">
        <f>IF(Projects!$AI39="Electrolysis",
AA39/VLOOKUP(G39,ElectrolysisConvF,3,FALSE),
AC39*10^6/(H2dens*HoursInYear))</f>
        <v>555.5555556</v>
      </c>
      <c r="AC39" s="126">
        <f t="shared" si="7"/>
        <v>0.4331333333</v>
      </c>
      <c r="AD39" s="125"/>
      <c r="AE39" s="125">
        <f t="shared" si="4"/>
        <v>555.5555556</v>
      </c>
      <c r="AF39" s="127" t="s">
        <v>12450</v>
      </c>
      <c r="AG39" s="127">
        <v>49.1996961</v>
      </c>
      <c r="AH39" s="127">
        <v>7.6087847</v>
      </c>
      <c r="AI39" s="115" t="s">
        <v>12383</v>
      </c>
      <c r="AJ39" s="116">
        <v>0.5</v>
      </c>
      <c r="AK39" s="117"/>
      <c r="AL39" s="117"/>
      <c r="AM39" s="117"/>
      <c r="AN39" s="117"/>
      <c r="AO39" s="117"/>
    </row>
    <row r="40" ht="34.5" customHeight="1">
      <c r="A40" s="111">
        <v>36.0</v>
      </c>
      <c r="B40" s="111" t="s">
        <v>8005</v>
      </c>
      <c r="C40" s="111" t="s">
        <v>7987</v>
      </c>
      <c r="D40" s="111">
        <v>2019.0</v>
      </c>
      <c r="E40" s="111">
        <v>2021.0</v>
      </c>
      <c r="F40" s="111" t="s">
        <v>12418</v>
      </c>
      <c r="G40" s="111" t="s">
        <v>12226</v>
      </c>
      <c r="H40" s="111"/>
      <c r="I40" s="111" t="s">
        <v>12406</v>
      </c>
      <c r="J40" s="111"/>
      <c r="K40" s="111" t="s">
        <v>12415</v>
      </c>
      <c r="L40" s="111"/>
      <c r="M40" s="111"/>
      <c r="N40" s="111">
        <v>1.0</v>
      </c>
      <c r="O40" s="111"/>
      <c r="P40" s="111"/>
      <c r="Q40" s="111"/>
      <c r="R40" s="111"/>
      <c r="S40" s="111"/>
      <c r="T40" s="111"/>
      <c r="U40" s="111"/>
      <c r="V40" s="111"/>
      <c r="W40" s="111"/>
      <c r="X40" s="111"/>
      <c r="Y40" s="111"/>
      <c r="Z40" s="111" t="s">
        <v>12451</v>
      </c>
      <c r="AA40" s="124">
        <v>1.0</v>
      </c>
      <c r="AB40" s="125">
        <f>IF(Projects!$AI40="Electrolysis",
AA40/VLOOKUP(G40,ElectrolysisConvF,3,FALSE),
AC40*10^6/(H2dens*HoursInYear))</f>
        <v>192.3076923</v>
      </c>
      <c r="AC40" s="126">
        <f t="shared" si="7"/>
        <v>0.1499307692</v>
      </c>
      <c r="AD40" s="125"/>
      <c r="AE40" s="125">
        <f t="shared" si="4"/>
        <v>192.3076923</v>
      </c>
      <c r="AF40" s="127" t="s">
        <v>12452</v>
      </c>
      <c r="AG40" s="127">
        <v>0.0</v>
      </c>
      <c r="AH40" s="127">
        <v>0.0</v>
      </c>
      <c r="AI40" s="115" t="s">
        <v>12383</v>
      </c>
      <c r="AJ40" s="116">
        <v>0.57</v>
      </c>
      <c r="AK40" s="117"/>
      <c r="AL40" s="117"/>
      <c r="AM40" s="117"/>
      <c r="AN40" s="117"/>
      <c r="AO40" s="117"/>
    </row>
    <row r="41" ht="34.5" customHeight="1">
      <c r="A41" s="111">
        <v>37.0</v>
      </c>
      <c r="B41" s="111" t="s">
        <v>8006</v>
      </c>
      <c r="C41" s="111" t="s">
        <v>7987</v>
      </c>
      <c r="D41" s="111">
        <v>2020.0</v>
      </c>
      <c r="E41" s="111"/>
      <c r="F41" s="111" t="s">
        <v>12385</v>
      </c>
      <c r="G41" s="111" t="s">
        <v>12226</v>
      </c>
      <c r="H41" s="111"/>
      <c r="I41" s="111" t="s">
        <v>12394</v>
      </c>
      <c r="J41" s="111" t="s">
        <v>12292</v>
      </c>
      <c r="K41" s="111" t="s">
        <v>30</v>
      </c>
      <c r="L41" s="111"/>
      <c r="M41" s="111"/>
      <c r="N41" s="111"/>
      <c r="O41" s="111"/>
      <c r="P41" s="111"/>
      <c r="Q41" s="111"/>
      <c r="R41" s="111">
        <v>1.0</v>
      </c>
      <c r="S41" s="111"/>
      <c r="T41" s="111"/>
      <c r="U41" s="111"/>
      <c r="V41" s="111"/>
      <c r="W41" s="111"/>
      <c r="X41" s="111"/>
      <c r="Y41" s="111"/>
      <c r="Z41" s="111" t="s">
        <v>12420</v>
      </c>
      <c r="AA41" s="124">
        <v>1.0</v>
      </c>
      <c r="AB41" s="125">
        <f>IF(Projects!$AI41="Electrolysis",
AA41/VLOOKUP(G41,ElectrolysisConvF,3,FALSE),
AC41*10^6/(H2dens*HoursInYear))</f>
        <v>192.3076923</v>
      </c>
      <c r="AC41" s="126">
        <f t="shared" si="7"/>
        <v>0.1499307692</v>
      </c>
      <c r="AD41" s="125"/>
      <c r="AE41" s="125">
        <f t="shared" si="4"/>
        <v>192.3076923</v>
      </c>
      <c r="AF41" s="127" t="s">
        <v>12453</v>
      </c>
      <c r="AG41" s="127">
        <v>54.7267065251096</v>
      </c>
      <c r="AH41" s="127">
        <v>9.34759128465099</v>
      </c>
      <c r="AI41" s="115" t="s">
        <v>12383</v>
      </c>
      <c r="AJ41" s="116">
        <v>0.4</v>
      </c>
      <c r="AK41" s="117"/>
      <c r="AL41" s="117"/>
      <c r="AM41" s="117"/>
      <c r="AN41" s="117"/>
      <c r="AO41" s="117"/>
    </row>
    <row r="42" ht="34.5" customHeight="1">
      <c r="A42" s="111">
        <v>38.0</v>
      </c>
      <c r="B42" s="111" t="s">
        <v>8007</v>
      </c>
      <c r="C42" s="111" t="s">
        <v>8008</v>
      </c>
      <c r="D42" s="111">
        <v>2019.0</v>
      </c>
      <c r="E42" s="111"/>
      <c r="F42" s="111" t="s">
        <v>12385</v>
      </c>
      <c r="G42" s="111" t="s">
        <v>12224</v>
      </c>
      <c r="H42" s="111"/>
      <c r="I42" s="111" t="s">
        <v>12419</v>
      </c>
      <c r="J42" s="111"/>
      <c r="K42" s="111" t="s">
        <v>30</v>
      </c>
      <c r="L42" s="111"/>
      <c r="M42" s="111"/>
      <c r="N42" s="111"/>
      <c r="O42" s="111"/>
      <c r="P42" s="111"/>
      <c r="Q42" s="111">
        <v>1.0</v>
      </c>
      <c r="R42" s="111"/>
      <c r="S42" s="111"/>
      <c r="T42" s="111"/>
      <c r="U42" s="111"/>
      <c r="V42" s="111"/>
      <c r="W42" s="111"/>
      <c r="X42" s="111"/>
      <c r="Y42" s="111"/>
      <c r="Z42" s="111" t="s">
        <v>12454</v>
      </c>
      <c r="AA42" s="124">
        <v>1.0</v>
      </c>
      <c r="AB42" s="125">
        <f>IF(Projects!$AI42="Electrolysis",
AA42/VLOOKUP(G42,ElectrolysisConvF,3,FALSE),
AC42*10^6/(H2dens*HoursInYear))</f>
        <v>217.3913043</v>
      </c>
      <c r="AC42" s="126">
        <f t="shared" si="7"/>
        <v>0.1694869565</v>
      </c>
      <c r="AD42" s="125"/>
      <c r="AE42" s="125">
        <f t="shared" si="4"/>
        <v>217.3913043</v>
      </c>
      <c r="AF42" s="127"/>
      <c r="AG42" s="127">
        <v>58.3933728463669</v>
      </c>
      <c r="AH42" s="127">
        <v>24.5106865990083</v>
      </c>
      <c r="AI42" s="115" t="s">
        <v>12383</v>
      </c>
      <c r="AJ42" s="116">
        <v>0.57</v>
      </c>
      <c r="AK42" s="117"/>
      <c r="AL42" s="117"/>
      <c r="AM42" s="117"/>
      <c r="AN42" s="117"/>
      <c r="AO42" s="117"/>
    </row>
    <row r="43" ht="34.5" customHeight="1">
      <c r="A43" s="111">
        <v>40.0</v>
      </c>
      <c r="B43" s="111" t="s">
        <v>8009</v>
      </c>
      <c r="C43" s="111" t="s">
        <v>8008</v>
      </c>
      <c r="D43" s="111">
        <v>2019.0</v>
      </c>
      <c r="E43" s="111"/>
      <c r="F43" s="111" t="s">
        <v>12385</v>
      </c>
      <c r="G43" s="111" t="s">
        <v>12226</v>
      </c>
      <c r="H43" s="111"/>
      <c r="I43" s="111" t="s">
        <v>12419</v>
      </c>
      <c r="J43" s="111"/>
      <c r="K43" s="111" t="s">
        <v>30</v>
      </c>
      <c r="L43" s="111"/>
      <c r="M43" s="111"/>
      <c r="N43" s="111"/>
      <c r="O43" s="111"/>
      <c r="P43" s="111"/>
      <c r="Q43" s="111">
        <v>1.0</v>
      </c>
      <c r="R43" s="111"/>
      <c r="S43" s="111"/>
      <c r="T43" s="111"/>
      <c r="U43" s="111"/>
      <c r="V43" s="111"/>
      <c r="W43" s="111"/>
      <c r="X43" s="111"/>
      <c r="Y43" s="111"/>
      <c r="Z43" s="111" t="s">
        <v>12455</v>
      </c>
      <c r="AA43" s="129">
        <f>IF(Projects!$AI43="Electrolysis",
AB43*VLOOKUP(G43,ElectrolysisConvF,3,FALSE),
"")</f>
        <v>0.728</v>
      </c>
      <c r="AB43" s="125">
        <v>140.0</v>
      </c>
      <c r="AC43" s="126">
        <f t="shared" si="7"/>
        <v>0.1091496</v>
      </c>
      <c r="AD43" s="125"/>
      <c r="AE43" s="125">
        <f t="shared" si="4"/>
        <v>140</v>
      </c>
      <c r="AF43" s="127" t="s">
        <v>12456</v>
      </c>
      <c r="AG43" s="127">
        <v>56.972880256341</v>
      </c>
      <c r="AH43" s="127">
        <v>24.0878747185499</v>
      </c>
      <c r="AI43" s="115" t="s">
        <v>12383</v>
      </c>
      <c r="AJ43" s="116">
        <v>0.57</v>
      </c>
      <c r="AK43" s="117"/>
      <c r="AL43" s="117"/>
      <c r="AM43" s="117"/>
      <c r="AN43" s="117"/>
      <c r="AO43" s="117"/>
    </row>
    <row r="44" ht="34.5" customHeight="1">
      <c r="A44" s="111">
        <v>41.0</v>
      </c>
      <c r="B44" s="111" t="s">
        <v>8010</v>
      </c>
      <c r="C44" s="111" t="s">
        <v>8011</v>
      </c>
      <c r="D44" s="111">
        <v>2019.0</v>
      </c>
      <c r="E44" s="111"/>
      <c r="F44" s="111" t="s">
        <v>12385</v>
      </c>
      <c r="G44" s="111" t="s">
        <v>12224</v>
      </c>
      <c r="H44" s="111"/>
      <c r="I44" s="111" t="s">
        <v>12406</v>
      </c>
      <c r="J44" s="111"/>
      <c r="K44" s="111" t="s">
        <v>30</v>
      </c>
      <c r="L44" s="111"/>
      <c r="M44" s="111"/>
      <c r="N44" s="111"/>
      <c r="O44" s="111"/>
      <c r="P44" s="111"/>
      <c r="Q44" s="111">
        <v>1.0</v>
      </c>
      <c r="R44" s="111"/>
      <c r="S44" s="111"/>
      <c r="T44" s="111"/>
      <c r="U44" s="111"/>
      <c r="V44" s="111"/>
      <c r="W44" s="111"/>
      <c r="X44" s="111"/>
      <c r="Y44" s="111"/>
      <c r="Z44" s="111" t="s">
        <v>12457</v>
      </c>
      <c r="AA44" s="124">
        <v>0.5</v>
      </c>
      <c r="AB44" s="125">
        <f>IF(Projects!$AI44="Electrolysis",
AA44/VLOOKUP(G44,ElectrolysisConvF,3,FALSE),
AC44*10^6/(H2dens*HoursInYear))</f>
        <v>108.6956522</v>
      </c>
      <c r="AC44" s="126">
        <f t="shared" si="7"/>
        <v>0.08474347826</v>
      </c>
      <c r="AD44" s="125"/>
      <c r="AE44" s="125">
        <f t="shared" si="4"/>
        <v>108.6956522</v>
      </c>
      <c r="AF44" s="127"/>
      <c r="AG44" s="127">
        <v>49.8808904</v>
      </c>
      <c r="AH44" s="127">
        <v>1.1415922</v>
      </c>
      <c r="AI44" s="115" t="s">
        <v>12383</v>
      </c>
      <c r="AJ44" s="116">
        <v>0.57</v>
      </c>
      <c r="AK44" s="117"/>
      <c r="AL44" s="117"/>
      <c r="AM44" s="117"/>
      <c r="AN44" s="117"/>
      <c r="AO44" s="117"/>
    </row>
    <row r="45" ht="34.5" customHeight="1">
      <c r="A45" s="111">
        <v>42.0</v>
      </c>
      <c r="B45" s="111" t="s">
        <v>140</v>
      </c>
      <c r="C45" s="111" t="s">
        <v>7991</v>
      </c>
      <c r="D45" s="111">
        <v>2020.0</v>
      </c>
      <c r="E45" s="111"/>
      <c r="F45" s="111" t="s">
        <v>12385</v>
      </c>
      <c r="G45" s="111" t="s">
        <v>12226</v>
      </c>
      <c r="H45" s="111"/>
      <c r="I45" s="111" t="s">
        <v>12406</v>
      </c>
      <c r="J45" s="111"/>
      <c r="K45" s="111" t="s">
        <v>30</v>
      </c>
      <c r="L45" s="111"/>
      <c r="M45" s="111"/>
      <c r="N45" s="111"/>
      <c r="O45" s="111"/>
      <c r="P45" s="111"/>
      <c r="Q45" s="111"/>
      <c r="R45" s="111"/>
      <c r="S45" s="111">
        <v>1.0</v>
      </c>
      <c r="T45" s="111"/>
      <c r="U45" s="111"/>
      <c r="V45" s="111"/>
      <c r="W45" s="111"/>
      <c r="X45" s="111"/>
      <c r="Y45" s="111"/>
      <c r="Z45" s="111" t="s">
        <v>12457</v>
      </c>
      <c r="AA45" s="124">
        <v>0.5</v>
      </c>
      <c r="AB45" s="125">
        <f>IF(Projects!$AI45="Electrolysis",
AA45/VLOOKUP(G45,ElectrolysisConvF,3,FALSE),
AC45*10^6/(H2dens*HoursInYear))</f>
        <v>96.15384615</v>
      </c>
      <c r="AC45" s="126">
        <f t="shared" si="7"/>
        <v>0.07496538462</v>
      </c>
      <c r="AD45" s="125"/>
      <c r="AE45" s="125">
        <f t="shared" si="4"/>
        <v>96.15384615</v>
      </c>
      <c r="AF45" s="127" t="s">
        <v>12458</v>
      </c>
      <c r="AG45" s="127">
        <v>53.0038078</v>
      </c>
      <c r="AH45" s="127">
        <v>-2.2877425</v>
      </c>
      <c r="AI45" s="115" t="s">
        <v>12383</v>
      </c>
      <c r="AJ45" s="116">
        <v>0.57</v>
      </c>
      <c r="AK45" s="117"/>
      <c r="AL45" s="117"/>
      <c r="AM45" s="117"/>
      <c r="AN45" s="117"/>
      <c r="AO45" s="117"/>
    </row>
    <row r="46" ht="34.5" customHeight="1">
      <c r="A46" s="111">
        <v>43.0</v>
      </c>
      <c r="B46" s="111" t="s">
        <v>8012</v>
      </c>
      <c r="C46" s="111" t="s">
        <v>8003</v>
      </c>
      <c r="D46" s="111">
        <v>2019.0</v>
      </c>
      <c r="E46" s="111"/>
      <c r="F46" s="111" t="s">
        <v>12385</v>
      </c>
      <c r="G46" s="111" t="s">
        <v>12224</v>
      </c>
      <c r="H46" s="111"/>
      <c r="I46" s="111" t="s">
        <v>12419</v>
      </c>
      <c r="J46" s="111"/>
      <c r="K46" s="111" t="s">
        <v>30</v>
      </c>
      <c r="L46" s="111"/>
      <c r="M46" s="111"/>
      <c r="N46" s="111"/>
      <c r="O46" s="111"/>
      <c r="P46" s="111"/>
      <c r="Q46" s="111">
        <v>1.0</v>
      </c>
      <c r="R46" s="111"/>
      <c r="S46" s="111"/>
      <c r="T46" s="111"/>
      <c r="U46" s="111"/>
      <c r="V46" s="111"/>
      <c r="W46" s="111"/>
      <c r="X46" s="111"/>
      <c r="Y46" s="111"/>
      <c r="Z46" s="111" t="s">
        <v>12459</v>
      </c>
      <c r="AA46" s="124">
        <v>0.5</v>
      </c>
      <c r="AB46" s="125">
        <f>IF(Projects!$AI46="Electrolysis",
AA46/VLOOKUP(G46,ElectrolysisConvF,3,FALSE),
AC46*10^6/(H2dens*HoursInYear))</f>
        <v>108.6956522</v>
      </c>
      <c r="AC46" s="126">
        <f t="shared" si="7"/>
        <v>0.08474347826</v>
      </c>
      <c r="AD46" s="125"/>
      <c r="AE46" s="125">
        <f t="shared" si="4"/>
        <v>108.6956522</v>
      </c>
      <c r="AF46" s="127" t="s">
        <v>12460</v>
      </c>
      <c r="AG46" s="127">
        <v>0.0</v>
      </c>
      <c r="AH46" s="127">
        <v>0.0</v>
      </c>
      <c r="AI46" s="115" t="s">
        <v>12383</v>
      </c>
      <c r="AJ46" s="116">
        <v>0.57</v>
      </c>
      <c r="AK46" s="117"/>
      <c r="AL46" s="117"/>
      <c r="AM46" s="117"/>
      <c r="AN46" s="117"/>
      <c r="AO46" s="117"/>
    </row>
    <row r="47" ht="34.5" customHeight="1">
      <c r="A47" s="111">
        <v>44.0</v>
      </c>
      <c r="B47" s="111" t="s">
        <v>8013</v>
      </c>
      <c r="C47" s="111" t="s">
        <v>8011</v>
      </c>
      <c r="D47" s="111">
        <v>2019.0</v>
      </c>
      <c r="E47" s="111"/>
      <c r="F47" s="111" t="s">
        <v>12385</v>
      </c>
      <c r="G47" s="111" t="s">
        <v>12226</v>
      </c>
      <c r="H47" s="111"/>
      <c r="I47" s="111" t="s">
        <v>12406</v>
      </c>
      <c r="J47" s="111"/>
      <c r="K47" s="111" t="s">
        <v>30</v>
      </c>
      <c r="L47" s="111"/>
      <c r="M47" s="111"/>
      <c r="N47" s="111"/>
      <c r="O47" s="111"/>
      <c r="P47" s="111"/>
      <c r="Q47" s="111">
        <v>1.0</v>
      </c>
      <c r="R47" s="111"/>
      <c r="S47" s="111"/>
      <c r="T47" s="111"/>
      <c r="U47" s="111"/>
      <c r="V47" s="111"/>
      <c r="W47" s="111"/>
      <c r="X47" s="111"/>
      <c r="Y47" s="111"/>
      <c r="Z47" s="111" t="s">
        <v>12461</v>
      </c>
      <c r="AA47" s="124">
        <v>0.75</v>
      </c>
      <c r="AB47" s="125">
        <f>IF(Projects!$AI47="Electrolysis",
AA47/VLOOKUP(G47,ElectrolysisConvF,3,FALSE),
AC47*10^6/(H2dens*HoursInYear))</f>
        <v>144.2307692</v>
      </c>
      <c r="AC47" s="126">
        <f t="shared" si="7"/>
        <v>0.1124480769</v>
      </c>
      <c r="AD47" s="125"/>
      <c r="AE47" s="125">
        <f t="shared" si="4"/>
        <v>144.2307692</v>
      </c>
      <c r="AF47" s="127" t="s">
        <v>12462</v>
      </c>
      <c r="AG47" s="127">
        <v>43.3113640879766</v>
      </c>
      <c r="AH47" s="127">
        <v>-0.362005308809327</v>
      </c>
      <c r="AI47" s="115" t="s">
        <v>12383</v>
      </c>
      <c r="AJ47" s="116">
        <v>0.57</v>
      </c>
      <c r="AK47" s="117"/>
      <c r="AL47" s="117"/>
      <c r="AM47" s="117"/>
      <c r="AN47" s="117"/>
      <c r="AO47" s="117"/>
    </row>
    <row r="48" ht="34.5" customHeight="1">
      <c r="A48" s="111">
        <v>46.0</v>
      </c>
      <c r="B48" s="111" t="s">
        <v>8014</v>
      </c>
      <c r="C48" s="111" t="s">
        <v>7985</v>
      </c>
      <c r="D48" s="111">
        <v>2019.0</v>
      </c>
      <c r="E48" s="111"/>
      <c r="F48" s="111" t="s">
        <v>12385</v>
      </c>
      <c r="G48" s="111" t="s">
        <v>12226</v>
      </c>
      <c r="H48" s="111"/>
      <c r="I48" s="111" t="s">
        <v>12406</v>
      </c>
      <c r="J48" s="111"/>
      <c r="K48" s="111" t="s">
        <v>12449</v>
      </c>
      <c r="L48" s="111"/>
      <c r="M48" s="111"/>
      <c r="N48" s="111"/>
      <c r="O48" s="111"/>
      <c r="P48" s="111"/>
      <c r="Q48" s="111"/>
      <c r="R48" s="111"/>
      <c r="S48" s="111"/>
      <c r="T48" s="111"/>
      <c r="U48" s="111"/>
      <c r="V48" s="111"/>
      <c r="W48" s="111"/>
      <c r="X48" s="111">
        <v>1.0</v>
      </c>
      <c r="Y48" s="111"/>
      <c r="Z48" s="111" t="s">
        <v>12463</v>
      </c>
      <c r="AA48" s="124">
        <v>0.35</v>
      </c>
      <c r="AB48" s="125">
        <f>IF(Projects!$AI48="Electrolysis",
AA48/VLOOKUP(G48,ElectrolysisConvF,3,FALSE),
AC48*10^6/(H2dens*HoursInYear))</f>
        <v>67.30769231</v>
      </c>
      <c r="AC48" s="126">
        <f t="shared" si="7"/>
        <v>0.05247576923</v>
      </c>
      <c r="AD48" s="125"/>
      <c r="AE48" s="125">
        <f t="shared" si="4"/>
        <v>67.30769231</v>
      </c>
      <c r="AF48" s="127" t="s">
        <v>12464</v>
      </c>
      <c r="AG48" s="127">
        <v>47.20726588562</v>
      </c>
      <c r="AH48" s="127">
        <v>7.53450070109119</v>
      </c>
      <c r="AI48" s="115" t="s">
        <v>12383</v>
      </c>
      <c r="AJ48" s="116">
        <v>0.57</v>
      </c>
      <c r="AK48" s="117"/>
      <c r="AL48" s="117"/>
      <c r="AM48" s="117"/>
      <c r="AN48" s="117"/>
      <c r="AO48" s="117"/>
    </row>
    <row r="49" ht="34.5" customHeight="1">
      <c r="A49" s="111">
        <v>49.0</v>
      </c>
      <c r="B49" s="111" t="s">
        <v>8015</v>
      </c>
      <c r="C49" s="111" t="s">
        <v>8016</v>
      </c>
      <c r="D49" s="111">
        <v>2019.0</v>
      </c>
      <c r="E49" s="111"/>
      <c r="F49" s="111" t="s">
        <v>12385</v>
      </c>
      <c r="G49" s="111" t="s">
        <v>12224</v>
      </c>
      <c r="H49" s="111"/>
      <c r="I49" s="111" t="s">
        <v>12419</v>
      </c>
      <c r="J49" s="111"/>
      <c r="K49" s="111" t="s">
        <v>30</v>
      </c>
      <c r="L49" s="111"/>
      <c r="M49" s="111"/>
      <c r="N49" s="111"/>
      <c r="O49" s="111"/>
      <c r="P49" s="111"/>
      <c r="Q49" s="111">
        <v>1.0</v>
      </c>
      <c r="R49" s="111"/>
      <c r="S49" s="111"/>
      <c r="T49" s="111"/>
      <c r="U49" s="111"/>
      <c r="V49" s="111"/>
      <c r="W49" s="111"/>
      <c r="X49" s="111"/>
      <c r="Y49" s="111"/>
      <c r="Z49" s="111" t="s">
        <v>12465</v>
      </c>
      <c r="AA49" s="129">
        <f>IF(Projects!$AI49="Electrolysis",
AB49*VLOOKUP(G49,ElectrolysisConvF,3,FALSE),
"")</f>
        <v>0.276</v>
      </c>
      <c r="AB49" s="125">
        <v>60.0</v>
      </c>
      <c r="AC49" s="126">
        <f t="shared" si="7"/>
        <v>0.0467784</v>
      </c>
      <c r="AD49" s="125"/>
      <c r="AE49" s="125">
        <f t="shared" si="4"/>
        <v>60</v>
      </c>
      <c r="AF49" s="127" t="s">
        <v>12466</v>
      </c>
      <c r="AG49" s="127">
        <v>0.0</v>
      </c>
      <c r="AH49" s="127">
        <v>0.0</v>
      </c>
      <c r="AI49" s="115" t="s">
        <v>12383</v>
      </c>
      <c r="AJ49" s="116">
        <v>0.57</v>
      </c>
      <c r="AK49" s="117"/>
      <c r="AL49" s="117"/>
      <c r="AM49" s="117"/>
      <c r="AN49" s="117"/>
      <c r="AO49" s="117"/>
    </row>
    <row r="50" ht="34.5" customHeight="1">
      <c r="A50" s="111">
        <v>50.0</v>
      </c>
      <c r="B50" s="111" t="s">
        <v>8017</v>
      </c>
      <c r="C50" s="111" t="s">
        <v>7974</v>
      </c>
      <c r="D50" s="111">
        <v>2019.0</v>
      </c>
      <c r="E50" s="111"/>
      <c r="F50" s="111" t="s">
        <v>12385</v>
      </c>
      <c r="G50" s="111" t="s">
        <v>12224</v>
      </c>
      <c r="H50" s="111"/>
      <c r="I50" s="111" t="s">
        <v>12394</v>
      </c>
      <c r="J50" s="111" t="s">
        <v>12291</v>
      </c>
      <c r="K50" s="111" t="s">
        <v>30</v>
      </c>
      <c r="L50" s="111"/>
      <c r="M50" s="111"/>
      <c r="N50" s="111"/>
      <c r="O50" s="111"/>
      <c r="P50" s="111"/>
      <c r="Q50" s="111"/>
      <c r="R50" s="111"/>
      <c r="S50" s="111">
        <v>1.0</v>
      </c>
      <c r="T50" s="111"/>
      <c r="U50" s="111"/>
      <c r="V50" s="111"/>
      <c r="W50" s="111"/>
      <c r="X50" s="111"/>
      <c r="Y50" s="111"/>
      <c r="Z50" s="111" t="s">
        <v>12465</v>
      </c>
      <c r="AA50" s="129">
        <f>IF(Projects!$AI50="Electrolysis",
AB50*VLOOKUP(G50,ElectrolysisConvF,3,FALSE),
"")</f>
        <v>0.276</v>
      </c>
      <c r="AB50" s="125">
        <v>60.0</v>
      </c>
      <c r="AC50" s="126">
        <f t="shared" si="7"/>
        <v>0.0467784</v>
      </c>
      <c r="AD50" s="125"/>
      <c r="AE50" s="125">
        <f t="shared" si="4"/>
        <v>60</v>
      </c>
      <c r="AF50" s="127"/>
      <c r="AG50" s="127">
        <v>58.0592699077098</v>
      </c>
      <c r="AH50" s="127">
        <v>12.8168370826241</v>
      </c>
      <c r="AI50" s="115" t="s">
        <v>12383</v>
      </c>
      <c r="AJ50" s="116">
        <v>0.3</v>
      </c>
      <c r="AK50" s="117"/>
      <c r="AL50" s="117"/>
      <c r="AM50" s="117"/>
      <c r="AN50" s="117"/>
      <c r="AO50" s="117"/>
    </row>
    <row r="51" ht="34.5" customHeight="1">
      <c r="A51" s="111">
        <v>51.0</v>
      </c>
      <c r="B51" s="111" t="s">
        <v>8018</v>
      </c>
      <c r="C51" s="111" t="s">
        <v>7981</v>
      </c>
      <c r="D51" s="111">
        <v>2019.0</v>
      </c>
      <c r="E51" s="111"/>
      <c r="F51" s="111" t="s">
        <v>12385</v>
      </c>
      <c r="G51" s="111" t="s">
        <v>12381</v>
      </c>
      <c r="H51" s="111" t="s">
        <v>12230</v>
      </c>
      <c r="I51" s="111" t="s">
        <v>12419</v>
      </c>
      <c r="J51" s="111"/>
      <c r="K51" s="111" t="s">
        <v>12449</v>
      </c>
      <c r="L51" s="111"/>
      <c r="M51" s="111"/>
      <c r="N51" s="111"/>
      <c r="O51" s="111"/>
      <c r="P51" s="111"/>
      <c r="Q51" s="111"/>
      <c r="R51" s="111"/>
      <c r="S51" s="111"/>
      <c r="T51" s="111"/>
      <c r="U51" s="111"/>
      <c r="V51" s="111"/>
      <c r="W51" s="111"/>
      <c r="X51" s="111">
        <v>1.0</v>
      </c>
      <c r="Y51" s="111"/>
      <c r="Z51" s="111" t="s">
        <v>12467</v>
      </c>
      <c r="AA51" s="124">
        <v>0.25</v>
      </c>
      <c r="AB51" s="125">
        <f>IF(Projects!$AI51="Electrolysis",
AA51/VLOOKUP(G51,ElectrolysisConvF,3,FALSE),
AC51*10^6/(H2dens*HoursInYear))</f>
        <v>55.55555556</v>
      </c>
      <c r="AC51" s="126">
        <f t="shared" si="7"/>
        <v>0.04331333333</v>
      </c>
      <c r="AD51" s="125"/>
      <c r="AE51" s="125">
        <f t="shared" si="4"/>
        <v>55.55555556</v>
      </c>
      <c r="AF51" s="127" t="s">
        <v>12468</v>
      </c>
      <c r="AG51" s="127">
        <v>0.0</v>
      </c>
      <c r="AH51" s="127">
        <v>0.0</v>
      </c>
      <c r="AI51" s="115" t="s">
        <v>12383</v>
      </c>
      <c r="AJ51" s="116">
        <v>0.57</v>
      </c>
      <c r="AK51" s="117"/>
      <c r="AL51" s="117"/>
      <c r="AM51" s="117"/>
      <c r="AN51" s="117"/>
      <c r="AO51" s="117"/>
    </row>
    <row r="52" ht="34.5" customHeight="1">
      <c r="A52" s="111">
        <v>52.0</v>
      </c>
      <c r="B52" s="111" t="s">
        <v>8019</v>
      </c>
      <c r="C52" s="111" t="s">
        <v>7987</v>
      </c>
      <c r="D52" s="111">
        <v>2019.0</v>
      </c>
      <c r="E52" s="111"/>
      <c r="F52" s="111" t="s">
        <v>12385</v>
      </c>
      <c r="G52" s="111" t="s">
        <v>12226</v>
      </c>
      <c r="H52" s="111"/>
      <c r="I52" s="111" t="s">
        <v>12406</v>
      </c>
      <c r="J52" s="111"/>
      <c r="K52" s="111" t="s">
        <v>30</v>
      </c>
      <c r="L52" s="111"/>
      <c r="M52" s="111"/>
      <c r="N52" s="111"/>
      <c r="O52" s="111"/>
      <c r="P52" s="111"/>
      <c r="Q52" s="111"/>
      <c r="R52" s="111"/>
      <c r="S52" s="111">
        <v>1.0</v>
      </c>
      <c r="T52" s="111"/>
      <c r="U52" s="111"/>
      <c r="V52" s="111"/>
      <c r="W52" s="111"/>
      <c r="X52" s="111"/>
      <c r="Y52" s="111"/>
      <c r="Z52" s="111" t="s">
        <v>12469</v>
      </c>
      <c r="AA52" s="124">
        <v>0.2</v>
      </c>
      <c r="AB52" s="125">
        <f>IF(Projects!$AI52="Electrolysis",
AA52/VLOOKUP(G52,ElectrolysisConvF,3,FALSE),
AC52*10^6/(H2dens*HoursInYear))</f>
        <v>38.46153846</v>
      </c>
      <c r="AC52" s="126">
        <f t="shared" si="7"/>
        <v>0.02998615385</v>
      </c>
      <c r="AD52" s="125"/>
      <c r="AE52" s="125">
        <f t="shared" si="4"/>
        <v>38.46153846</v>
      </c>
      <c r="AF52" s="127" t="s">
        <v>12470</v>
      </c>
      <c r="AG52" s="127">
        <v>0.0</v>
      </c>
      <c r="AH52" s="127">
        <v>0.0</v>
      </c>
      <c r="AI52" s="115" t="s">
        <v>12383</v>
      </c>
      <c r="AJ52" s="116">
        <v>0.57</v>
      </c>
      <c r="AK52" s="117"/>
      <c r="AL52" s="117"/>
      <c r="AM52" s="117"/>
      <c r="AN52" s="117"/>
      <c r="AO52" s="117"/>
    </row>
    <row r="53" ht="34.5" customHeight="1">
      <c r="A53" s="111">
        <v>54.0</v>
      </c>
      <c r="B53" s="111" t="s">
        <v>8020</v>
      </c>
      <c r="C53" s="111" t="s">
        <v>8021</v>
      </c>
      <c r="D53" s="111">
        <v>2019.0</v>
      </c>
      <c r="E53" s="111"/>
      <c r="F53" s="111" t="s">
        <v>12385</v>
      </c>
      <c r="G53" s="111" t="s">
        <v>12226</v>
      </c>
      <c r="H53" s="111"/>
      <c r="I53" s="111" t="s">
        <v>12406</v>
      </c>
      <c r="J53" s="111"/>
      <c r="K53" s="111" t="s">
        <v>30</v>
      </c>
      <c r="L53" s="111"/>
      <c r="M53" s="111"/>
      <c r="N53" s="111"/>
      <c r="O53" s="111"/>
      <c r="P53" s="111"/>
      <c r="Q53" s="111"/>
      <c r="R53" s="111">
        <v>1.0</v>
      </c>
      <c r="S53" s="111"/>
      <c r="T53" s="111"/>
      <c r="U53" s="111">
        <v>1.0</v>
      </c>
      <c r="V53" s="111"/>
      <c r="W53" s="111"/>
      <c r="X53" s="111"/>
      <c r="Y53" s="111"/>
      <c r="Z53" s="111" t="s">
        <v>12471</v>
      </c>
      <c r="AA53" s="124">
        <v>0.15</v>
      </c>
      <c r="AB53" s="125">
        <f>IF(Projects!$AI53="Electrolysis",
AA53/VLOOKUP(G53,ElectrolysisConvF,3,FALSE),
AC53*10^6/(H2dens*HoursInYear))</f>
        <v>28.84615385</v>
      </c>
      <c r="AC53" s="126">
        <f t="shared" si="7"/>
        <v>0.02248961538</v>
      </c>
      <c r="AD53" s="125"/>
      <c r="AE53" s="125">
        <f t="shared" si="4"/>
        <v>28.84615385</v>
      </c>
      <c r="AF53" s="127" t="s">
        <v>12472</v>
      </c>
      <c r="AG53" s="127">
        <v>0.0</v>
      </c>
      <c r="AH53" s="127">
        <v>0.0</v>
      </c>
      <c r="AI53" s="115" t="s">
        <v>12383</v>
      </c>
      <c r="AJ53" s="116">
        <v>0.57</v>
      </c>
      <c r="AK53" s="117"/>
      <c r="AL53" s="117"/>
      <c r="AM53" s="117"/>
      <c r="AN53" s="117"/>
      <c r="AO53" s="117"/>
    </row>
    <row r="54" ht="34.5" customHeight="1">
      <c r="A54" s="111">
        <v>55.0</v>
      </c>
      <c r="B54" s="111" t="s">
        <v>8022</v>
      </c>
      <c r="C54" s="111" t="s">
        <v>8023</v>
      </c>
      <c r="D54" s="111">
        <v>2019.0</v>
      </c>
      <c r="E54" s="111"/>
      <c r="F54" s="111" t="s">
        <v>12385</v>
      </c>
      <c r="G54" s="111" t="s">
        <v>12381</v>
      </c>
      <c r="H54" s="111" t="s">
        <v>12230</v>
      </c>
      <c r="I54" s="111" t="s">
        <v>12406</v>
      </c>
      <c r="J54" s="111"/>
      <c r="K54" s="111" t="s">
        <v>12449</v>
      </c>
      <c r="L54" s="111"/>
      <c r="M54" s="111"/>
      <c r="N54" s="111"/>
      <c r="O54" s="111"/>
      <c r="P54" s="111"/>
      <c r="Q54" s="111"/>
      <c r="R54" s="111"/>
      <c r="S54" s="111"/>
      <c r="T54" s="111"/>
      <c r="U54" s="111"/>
      <c r="V54" s="111"/>
      <c r="W54" s="111"/>
      <c r="X54" s="111">
        <v>1.0</v>
      </c>
      <c r="Y54" s="111"/>
      <c r="Z54" s="111" t="s">
        <v>12473</v>
      </c>
      <c r="AA54" s="129">
        <f>IF(Projects!$AI54="Electrolysis",
AB54*VLOOKUP(G54,ElectrolysisConvF,3,FALSE),
"")</f>
        <v>0.081</v>
      </c>
      <c r="AB54" s="125">
        <v>18.0</v>
      </c>
      <c r="AC54" s="126">
        <f t="shared" si="7"/>
        <v>0.01403352</v>
      </c>
      <c r="AD54" s="125"/>
      <c r="AE54" s="125">
        <f t="shared" si="4"/>
        <v>18</v>
      </c>
      <c r="AF54" s="127" t="s">
        <v>12474</v>
      </c>
      <c r="AG54" s="127">
        <v>0.0</v>
      </c>
      <c r="AH54" s="127">
        <v>0.0</v>
      </c>
      <c r="AI54" s="115" t="s">
        <v>12383</v>
      </c>
      <c r="AJ54" s="116">
        <v>0.57</v>
      </c>
      <c r="AK54" s="117"/>
      <c r="AL54" s="117"/>
      <c r="AM54" s="117"/>
      <c r="AN54" s="117"/>
      <c r="AO54" s="117"/>
    </row>
    <row r="55" ht="34.5" customHeight="1">
      <c r="A55" s="111">
        <v>56.0</v>
      </c>
      <c r="B55" s="111" t="s">
        <v>8024</v>
      </c>
      <c r="C55" s="111" t="s">
        <v>7983</v>
      </c>
      <c r="D55" s="111">
        <v>2019.0</v>
      </c>
      <c r="E55" s="111"/>
      <c r="F55" s="111" t="s">
        <v>12418</v>
      </c>
      <c r="G55" s="111" t="s">
        <v>12381</v>
      </c>
      <c r="H55" s="111" t="s">
        <v>12230</v>
      </c>
      <c r="I55" s="111" t="s">
        <v>12287</v>
      </c>
      <c r="J55" s="111"/>
      <c r="K55" s="111"/>
      <c r="L55" s="111"/>
      <c r="M55" s="111"/>
      <c r="N55" s="111"/>
      <c r="O55" s="111"/>
      <c r="P55" s="111"/>
      <c r="Q55" s="111"/>
      <c r="R55" s="111"/>
      <c r="S55" s="111"/>
      <c r="T55" s="111"/>
      <c r="U55" s="111"/>
      <c r="V55" s="111"/>
      <c r="W55" s="111"/>
      <c r="X55" s="111"/>
      <c r="Y55" s="111"/>
      <c r="Z55" s="111"/>
      <c r="AA55" s="124"/>
      <c r="AB55" s="125"/>
      <c r="AC55" s="126"/>
      <c r="AD55" s="125"/>
      <c r="AE55" s="125" t="str">
        <f t="shared" si="4"/>
        <v/>
      </c>
      <c r="AF55" s="127"/>
      <c r="AG55" s="127">
        <v>37.4690716894926</v>
      </c>
      <c r="AH55" s="127">
        <v>138.841033699981</v>
      </c>
      <c r="AI55" s="115" t="s">
        <v>12383</v>
      </c>
      <c r="AJ55" s="116">
        <v>0.57</v>
      </c>
      <c r="AK55" s="117"/>
      <c r="AL55" s="117"/>
      <c r="AM55" s="117"/>
      <c r="AN55" s="117"/>
      <c r="AO55" s="117"/>
    </row>
    <row r="56" ht="34.5" customHeight="1">
      <c r="A56" s="111">
        <v>58.0</v>
      </c>
      <c r="B56" s="111" t="s">
        <v>8025</v>
      </c>
      <c r="C56" s="111" t="s">
        <v>8026</v>
      </c>
      <c r="D56" s="111">
        <v>2019.0</v>
      </c>
      <c r="E56" s="111"/>
      <c r="F56" s="111" t="s">
        <v>12418</v>
      </c>
      <c r="G56" s="111" t="s">
        <v>12226</v>
      </c>
      <c r="H56" s="111"/>
      <c r="I56" s="111" t="s">
        <v>12419</v>
      </c>
      <c r="J56" s="111"/>
      <c r="K56" s="111" t="s">
        <v>12251</v>
      </c>
      <c r="L56" s="111"/>
      <c r="M56" s="111"/>
      <c r="N56" s="111"/>
      <c r="O56" s="111"/>
      <c r="P56" s="111"/>
      <c r="Q56" s="111"/>
      <c r="R56" s="111"/>
      <c r="S56" s="111"/>
      <c r="T56" s="111"/>
      <c r="U56" s="111"/>
      <c r="V56" s="111"/>
      <c r="W56" s="111">
        <v>1.0</v>
      </c>
      <c r="X56" s="111"/>
      <c r="Y56" s="111"/>
      <c r="Z56" s="111" t="s">
        <v>12475</v>
      </c>
      <c r="AA56" s="124">
        <v>0.025</v>
      </c>
      <c r="AB56" s="125">
        <f>IF(Projects!$AI56="Electrolysis",
AA56/VLOOKUP(G56,ElectrolysisConvF,3,FALSE),
AC56*10^6/(H2dens*HoursInYear))</f>
        <v>4.807692308</v>
      </c>
      <c r="AC56" s="126">
        <f t="shared" ref="AC56:AC64" si="8">AB56*H2dens*HoursInYear/10^6</f>
        <v>0.003748269231</v>
      </c>
      <c r="AD56" s="125"/>
      <c r="AE56" s="125">
        <f t="shared" si="4"/>
        <v>4.807692308</v>
      </c>
      <c r="AF56" s="127" t="s">
        <v>12476</v>
      </c>
      <c r="AG56" s="127">
        <v>0.0</v>
      </c>
      <c r="AH56" s="127">
        <v>0.0</v>
      </c>
      <c r="AI56" s="115" t="s">
        <v>12383</v>
      </c>
      <c r="AJ56" s="116">
        <v>0.57</v>
      </c>
      <c r="AK56" s="117"/>
      <c r="AL56" s="117"/>
      <c r="AM56" s="117"/>
      <c r="AN56" s="117"/>
      <c r="AO56" s="117"/>
    </row>
    <row r="57" ht="34.5" customHeight="1">
      <c r="A57" s="111">
        <v>59.0</v>
      </c>
      <c r="B57" s="111" t="s">
        <v>8027</v>
      </c>
      <c r="C57" s="111" t="s">
        <v>7987</v>
      </c>
      <c r="D57" s="111">
        <v>2021.0</v>
      </c>
      <c r="E57" s="111"/>
      <c r="F57" s="111" t="s">
        <v>12418</v>
      </c>
      <c r="G57" s="111" t="s">
        <v>12228</v>
      </c>
      <c r="H57" s="111"/>
      <c r="I57" s="111" t="s">
        <v>12419</v>
      </c>
      <c r="J57" s="111"/>
      <c r="K57" s="111" t="s">
        <v>12251</v>
      </c>
      <c r="L57" s="111"/>
      <c r="M57" s="111"/>
      <c r="N57" s="111"/>
      <c r="O57" s="111"/>
      <c r="P57" s="111"/>
      <c r="Q57" s="111"/>
      <c r="R57" s="111"/>
      <c r="S57" s="111"/>
      <c r="T57" s="111"/>
      <c r="U57" s="111"/>
      <c r="V57" s="111"/>
      <c r="W57" s="111">
        <v>1.0</v>
      </c>
      <c r="X57" s="111"/>
      <c r="Y57" s="111"/>
      <c r="Z57" s="111" t="s">
        <v>12477</v>
      </c>
      <c r="AA57" s="124">
        <v>0.01</v>
      </c>
      <c r="AB57" s="125">
        <f>IF(Projects!$AI57="Electrolysis",
AA57/VLOOKUP(G57,ElectrolysisConvF,3,FALSE),
AC57*10^6/(H2dens*HoursInYear))</f>
        <v>2.631578947</v>
      </c>
      <c r="AC57" s="126">
        <f t="shared" si="8"/>
        <v>0.002051684211</v>
      </c>
      <c r="AD57" s="125"/>
      <c r="AE57" s="125">
        <f t="shared" si="4"/>
        <v>2.631578947</v>
      </c>
      <c r="AF57" s="127" t="s">
        <v>12478</v>
      </c>
      <c r="AG57" s="127">
        <v>49.012525083906</v>
      </c>
      <c r="AH57" s="127">
        <v>8.41694446930896</v>
      </c>
      <c r="AI57" s="115" t="s">
        <v>12383</v>
      </c>
      <c r="AJ57" s="116">
        <v>0.57</v>
      </c>
      <c r="AK57" s="117"/>
      <c r="AL57" s="117"/>
      <c r="AM57" s="117"/>
      <c r="AN57" s="117"/>
      <c r="AO57" s="117"/>
    </row>
    <row r="58" ht="34.5" customHeight="1">
      <c r="A58" s="111">
        <v>60.0</v>
      </c>
      <c r="B58" s="111" t="s">
        <v>8028</v>
      </c>
      <c r="C58" s="111" t="s">
        <v>7967</v>
      </c>
      <c r="D58" s="111">
        <v>2019.0</v>
      </c>
      <c r="E58" s="111"/>
      <c r="F58" s="111" t="s">
        <v>12418</v>
      </c>
      <c r="G58" s="111" t="s">
        <v>12226</v>
      </c>
      <c r="H58" s="111"/>
      <c r="I58" s="111" t="s">
        <v>12406</v>
      </c>
      <c r="J58" s="111"/>
      <c r="K58" s="111" t="s">
        <v>30</v>
      </c>
      <c r="L58" s="111"/>
      <c r="M58" s="111"/>
      <c r="N58" s="111"/>
      <c r="O58" s="111"/>
      <c r="P58" s="111"/>
      <c r="Q58" s="111"/>
      <c r="R58" s="111"/>
      <c r="S58" s="111">
        <v>1.0</v>
      </c>
      <c r="T58" s="111"/>
      <c r="U58" s="111"/>
      <c r="V58" s="111"/>
      <c r="W58" s="111"/>
      <c r="X58" s="111"/>
      <c r="Y58" s="111"/>
      <c r="Z58" s="111" t="s">
        <v>12479</v>
      </c>
      <c r="AA58" s="124">
        <v>0.007</v>
      </c>
      <c r="AB58" s="125">
        <f>IF(Projects!$AI58="Electrolysis",
AA58/VLOOKUP(G58,ElectrolysisConvF,3,FALSE),
AC58*10^6/(H2dens*HoursInYear))</f>
        <v>1.346153846</v>
      </c>
      <c r="AC58" s="126">
        <f t="shared" si="8"/>
        <v>0.001049515385</v>
      </c>
      <c r="AD58" s="125"/>
      <c r="AE58" s="125">
        <f t="shared" si="4"/>
        <v>1.346153846</v>
      </c>
      <c r="AF58" s="127" t="s">
        <v>12480</v>
      </c>
      <c r="AG58" s="127">
        <v>0.0</v>
      </c>
      <c r="AH58" s="127">
        <v>0.0</v>
      </c>
      <c r="AI58" s="115" t="s">
        <v>12383</v>
      </c>
      <c r="AJ58" s="116">
        <v>0.57</v>
      </c>
      <c r="AK58" s="117"/>
      <c r="AL58" s="117"/>
      <c r="AM58" s="117"/>
      <c r="AN58" s="117"/>
      <c r="AO58" s="117"/>
    </row>
    <row r="59" ht="34.5" customHeight="1">
      <c r="A59" s="111">
        <v>61.0</v>
      </c>
      <c r="B59" s="111" t="s">
        <v>8029</v>
      </c>
      <c r="C59" s="111" t="s">
        <v>8026</v>
      </c>
      <c r="D59" s="111">
        <v>2019.0</v>
      </c>
      <c r="E59" s="111"/>
      <c r="F59" s="111" t="s">
        <v>12418</v>
      </c>
      <c r="G59" s="111" t="s">
        <v>12228</v>
      </c>
      <c r="H59" s="111"/>
      <c r="I59" s="111" t="s">
        <v>12419</v>
      </c>
      <c r="J59" s="111"/>
      <c r="K59" s="111" t="s">
        <v>12481</v>
      </c>
      <c r="L59" s="111"/>
      <c r="M59" s="111"/>
      <c r="N59" s="111"/>
      <c r="O59" s="111"/>
      <c r="P59" s="111"/>
      <c r="Q59" s="111"/>
      <c r="R59" s="111">
        <v>1.0</v>
      </c>
      <c r="S59" s="111"/>
      <c r="T59" s="111"/>
      <c r="U59" s="111"/>
      <c r="V59" s="111"/>
      <c r="W59" s="111">
        <v>1.0</v>
      </c>
      <c r="X59" s="111"/>
      <c r="Y59" s="111"/>
      <c r="Z59" s="111" t="s">
        <v>12482</v>
      </c>
      <c r="AA59" s="124">
        <v>0.006</v>
      </c>
      <c r="AB59" s="125">
        <f>IF(Projects!$AI59="Electrolysis",
AA59/VLOOKUP(G59,ElectrolysisConvF,3,FALSE),
AC59*10^6/(H2dens*HoursInYear))</f>
        <v>1.578947368</v>
      </c>
      <c r="AC59" s="126">
        <f t="shared" si="8"/>
        <v>0.001231010526</v>
      </c>
      <c r="AD59" s="125"/>
      <c r="AE59" s="125">
        <f t="shared" si="4"/>
        <v>1.578947368</v>
      </c>
      <c r="AF59" s="127" t="s">
        <v>12483</v>
      </c>
      <c r="AG59" s="127">
        <v>0.0</v>
      </c>
      <c r="AH59" s="127">
        <v>0.0</v>
      </c>
      <c r="AI59" s="115" t="s">
        <v>12383</v>
      </c>
      <c r="AJ59" s="116">
        <v>0.57</v>
      </c>
      <c r="AK59" s="117"/>
      <c r="AL59" s="117"/>
      <c r="AM59" s="117"/>
      <c r="AN59" s="117"/>
      <c r="AO59" s="117"/>
    </row>
    <row r="60" ht="34.5" customHeight="1">
      <c r="A60" s="111">
        <v>62.0</v>
      </c>
      <c r="B60" s="111" t="s">
        <v>8030</v>
      </c>
      <c r="C60" s="111" t="s">
        <v>8031</v>
      </c>
      <c r="D60" s="111">
        <v>2019.0</v>
      </c>
      <c r="E60" s="111"/>
      <c r="F60" s="111" t="s">
        <v>12385</v>
      </c>
      <c r="G60" s="111" t="s">
        <v>12226</v>
      </c>
      <c r="H60" s="111"/>
      <c r="I60" s="111" t="s">
        <v>12419</v>
      </c>
      <c r="J60" s="111"/>
      <c r="K60" s="111" t="s">
        <v>30</v>
      </c>
      <c r="L60" s="111"/>
      <c r="M60" s="111"/>
      <c r="N60" s="111"/>
      <c r="O60" s="111"/>
      <c r="P60" s="111"/>
      <c r="Q60" s="111">
        <v>1.0</v>
      </c>
      <c r="R60" s="111"/>
      <c r="S60" s="111"/>
      <c r="T60" s="111"/>
      <c r="U60" s="111"/>
      <c r="V60" s="111"/>
      <c r="W60" s="111"/>
      <c r="X60" s="111"/>
      <c r="Y60" s="111"/>
      <c r="Z60" s="111" t="s">
        <v>12484</v>
      </c>
      <c r="AA60" s="129">
        <f>IF(Projects!$AI60="Electrolysis",
AB60*VLOOKUP(G60,ElectrolysisConvF,3,FALSE),
"")</f>
        <v>0.0052</v>
      </c>
      <c r="AB60" s="125">
        <v>1.0</v>
      </c>
      <c r="AC60" s="126">
        <f t="shared" si="8"/>
        <v>0.00077964</v>
      </c>
      <c r="AD60" s="125"/>
      <c r="AE60" s="125">
        <f t="shared" si="4"/>
        <v>1</v>
      </c>
      <c r="AF60" s="127" t="s">
        <v>12485</v>
      </c>
      <c r="AG60" s="127">
        <v>0.0</v>
      </c>
      <c r="AH60" s="127">
        <v>0.0</v>
      </c>
      <c r="AI60" s="115" t="s">
        <v>12383</v>
      </c>
      <c r="AJ60" s="116">
        <v>0.57</v>
      </c>
      <c r="AK60" s="117"/>
      <c r="AL60" s="117"/>
      <c r="AM60" s="117"/>
      <c r="AN60" s="117"/>
      <c r="AO60" s="117"/>
    </row>
    <row r="61" ht="34.5" customHeight="1">
      <c r="A61" s="111">
        <v>63.0</v>
      </c>
      <c r="B61" s="111" t="s">
        <v>8032</v>
      </c>
      <c r="C61" s="111" t="s">
        <v>7987</v>
      </c>
      <c r="D61" s="111">
        <v>2018.0</v>
      </c>
      <c r="E61" s="111"/>
      <c r="F61" s="111" t="s">
        <v>12385</v>
      </c>
      <c r="G61" s="111" t="s">
        <v>12226</v>
      </c>
      <c r="H61" s="111"/>
      <c r="I61" s="111" t="s">
        <v>12406</v>
      </c>
      <c r="J61" s="111"/>
      <c r="K61" s="111" t="s">
        <v>12449</v>
      </c>
      <c r="L61" s="111"/>
      <c r="M61" s="111"/>
      <c r="N61" s="111"/>
      <c r="O61" s="111"/>
      <c r="P61" s="111"/>
      <c r="Q61" s="111"/>
      <c r="R61" s="111"/>
      <c r="S61" s="111"/>
      <c r="T61" s="111"/>
      <c r="U61" s="111"/>
      <c r="V61" s="111"/>
      <c r="W61" s="111"/>
      <c r="X61" s="111">
        <v>1.0</v>
      </c>
      <c r="Y61" s="111"/>
      <c r="Z61" s="111" t="s">
        <v>12486</v>
      </c>
      <c r="AA61" s="124">
        <v>1.0</v>
      </c>
      <c r="AB61" s="125">
        <f>IF(Projects!$AI61="Electrolysis",
AA61/VLOOKUP(G61,ElectrolysisConvF,3,FALSE),
AC61*10^6/(H2dens*HoursInYear))</f>
        <v>192.3076923</v>
      </c>
      <c r="AC61" s="126">
        <f t="shared" si="8"/>
        <v>0.1499307692</v>
      </c>
      <c r="AD61" s="125"/>
      <c r="AE61" s="125">
        <f t="shared" si="4"/>
        <v>192.3076923</v>
      </c>
      <c r="AF61" s="127" t="s">
        <v>12487</v>
      </c>
      <c r="AG61" s="127">
        <v>0.0</v>
      </c>
      <c r="AH61" s="127">
        <v>0.0</v>
      </c>
      <c r="AI61" s="115" t="s">
        <v>12383</v>
      </c>
      <c r="AJ61" s="116">
        <v>0.57</v>
      </c>
      <c r="AK61" s="117"/>
      <c r="AL61" s="117"/>
      <c r="AM61" s="117"/>
      <c r="AN61" s="117"/>
      <c r="AO61" s="117"/>
    </row>
    <row r="62" ht="34.5" customHeight="1">
      <c r="A62" s="111">
        <v>64.0</v>
      </c>
      <c r="B62" s="111" t="s">
        <v>8033</v>
      </c>
      <c r="C62" s="111" t="s">
        <v>7983</v>
      </c>
      <c r="D62" s="111">
        <v>2019.0</v>
      </c>
      <c r="E62" s="111"/>
      <c r="F62" s="111" t="s">
        <v>12385</v>
      </c>
      <c r="G62" s="111" t="s">
        <v>12226</v>
      </c>
      <c r="H62" s="111"/>
      <c r="I62" s="111" t="s">
        <v>12419</v>
      </c>
      <c r="J62" s="111"/>
      <c r="K62" s="111" t="s">
        <v>30</v>
      </c>
      <c r="L62" s="111"/>
      <c r="M62" s="111"/>
      <c r="N62" s="111"/>
      <c r="O62" s="111"/>
      <c r="P62" s="111"/>
      <c r="Q62" s="111"/>
      <c r="R62" s="111"/>
      <c r="S62" s="111"/>
      <c r="T62" s="111">
        <v>1.0</v>
      </c>
      <c r="U62" s="111"/>
      <c r="V62" s="111"/>
      <c r="W62" s="111"/>
      <c r="X62" s="111"/>
      <c r="Y62" s="111"/>
      <c r="Z62" s="111" t="s">
        <v>12488</v>
      </c>
      <c r="AA62" s="124">
        <v>1.5</v>
      </c>
      <c r="AB62" s="125">
        <f>IF(Projects!$AI62="Electrolysis",
AA62/VLOOKUP(G62,ElectrolysisConvF,3,FALSE),
AC62*10^6/(H2dens*HoursInYear))</f>
        <v>288.4615385</v>
      </c>
      <c r="AC62" s="126">
        <f t="shared" si="8"/>
        <v>0.2248961538</v>
      </c>
      <c r="AD62" s="125"/>
      <c r="AE62" s="125">
        <f t="shared" si="4"/>
        <v>288.4615385</v>
      </c>
      <c r="AF62" s="127" t="s">
        <v>12489</v>
      </c>
      <c r="AG62" s="127">
        <v>35.6152862077757</v>
      </c>
      <c r="AH62" s="127">
        <v>138.694296857064</v>
      </c>
      <c r="AI62" s="115" t="s">
        <v>12383</v>
      </c>
      <c r="AJ62" s="116">
        <v>0.57</v>
      </c>
      <c r="AK62" s="117"/>
      <c r="AL62" s="117"/>
      <c r="AM62" s="117"/>
      <c r="AN62" s="117"/>
      <c r="AO62" s="117"/>
    </row>
    <row r="63" ht="34.5" customHeight="1">
      <c r="A63" s="111">
        <v>65.0</v>
      </c>
      <c r="B63" s="111" t="s">
        <v>8034</v>
      </c>
      <c r="C63" s="111" t="s">
        <v>8031</v>
      </c>
      <c r="D63" s="111">
        <v>2019.0</v>
      </c>
      <c r="E63" s="111"/>
      <c r="F63" s="111" t="s">
        <v>12385</v>
      </c>
      <c r="G63" s="111" t="s">
        <v>12381</v>
      </c>
      <c r="H63" s="111" t="s">
        <v>12230</v>
      </c>
      <c r="I63" s="111" t="s">
        <v>12287</v>
      </c>
      <c r="J63" s="111"/>
      <c r="K63" s="111" t="s">
        <v>30</v>
      </c>
      <c r="L63" s="111"/>
      <c r="M63" s="111"/>
      <c r="N63" s="111"/>
      <c r="O63" s="111"/>
      <c r="P63" s="111"/>
      <c r="Q63" s="111">
        <v>1.0</v>
      </c>
      <c r="R63" s="111">
        <v>1.0</v>
      </c>
      <c r="S63" s="111"/>
      <c r="T63" s="111"/>
      <c r="U63" s="111"/>
      <c r="V63" s="111"/>
      <c r="W63" s="111"/>
      <c r="X63" s="111"/>
      <c r="Y63" s="111"/>
      <c r="Z63" s="111" t="s">
        <v>12438</v>
      </c>
      <c r="AA63" s="124">
        <v>0.05</v>
      </c>
      <c r="AB63" s="125">
        <f>IF(Projects!$AI63="Electrolysis",
AA63/VLOOKUP(G63,ElectrolysisConvF,3,FALSE),
AC63*10^6/(H2dens*HoursInYear))</f>
        <v>11.11111111</v>
      </c>
      <c r="AC63" s="126">
        <f t="shared" si="8"/>
        <v>0.008662666667</v>
      </c>
      <c r="AD63" s="125"/>
      <c r="AE63" s="125">
        <f t="shared" si="4"/>
        <v>11.11111111</v>
      </c>
      <c r="AF63" s="127" t="s">
        <v>12490</v>
      </c>
      <c r="AG63" s="127">
        <v>0.0</v>
      </c>
      <c r="AH63" s="127">
        <v>0.0</v>
      </c>
      <c r="AI63" s="115" t="s">
        <v>12383</v>
      </c>
      <c r="AJ63" s="116">
        <v>0.57</v>
      </c>
      <c r="AK63" s="117"/>
      <c r="AL63" s="117"/>
      <c r="AM63" s="117"/>
      <c r="AN63" s="117"/>
      <c r="AO63" s="117"/>
    </row>
    <row r="64" ht="34.5" customHeight="1">
      <c r="A64" s="111">
        <v>66.0</v>
      </c>
      <c r="B64" s="111" t="s">
        <v>8035</v>
      </c>
      <c r="C64" s="111" t="s">
        <v>7983</v>
      </c>
      <c r="D64" s="111">
        <v>2019.0</v>
      </c>
      <c r="E64" s="111"/>
      <c r="F64" s="111" t="s">
        <v>12385</v>
      </c>
      <c r="G64" s="111" t="s">
        <v>12381</v>
      </c>
      <c r="H64" s="111" t="s">
        <v>12230</v>
      </c>
      <c r="I64" s="111" t="s">
        <v>12394</v>
      </c>
      <c r="J64" s="111" t="s">
        <v>12296</v>
      </c>
      <c r="K64" s="111" t="s">
        <v>30</v>
      </c>
      <c r="L64" s="111"/>
      <c r="M64" s="111"/>
      <c r="N64" s="111"/>
      <c r="O64" s="111"/>
      <c r="P64" s="111"/>
      <c r="Q64" s="111">
        <v>1.0</v>
      </c>
      <c r="R64" s="111"/>
      <c r="S64" s="111"/>
      <c r="T64" s="111"/>
      <c r="U64" s="111"/>
      <c r="V64" s="111"/>
      <c r="W64" s="111"/>
      <c r="X64" s="111"/>
      <c r="Y64" s="111"/>
      <c r="Z64" s="111" t="s">
        <v>12491</v>
      </c>
      <c r="AA64" s="129">
        <f>IF(Projects!$AI64="Electrolysis",
AB64*VLOOKUP(G64,ElectrolysisConvF,3,FALSE),
"")</f>
        <v>0.045</v>
      </c>
      <c r="AB64" s="125">
        <v>10.0</v>
      </c>
      <c r="AC64" s="126">
        <f t="shared" si="8"/>
        <v>0.0077964</v>
      </c>
      <c r="AD64" s="125"/>
      <c r="AE64" s="125">
        <f t="shared" si="4"/>
        <v>10</v>
      </c>
      <c r="AF64" s="127" t="s">
        <v>12492</v>
      </c>
      <c r="AG64" s="127">
        <v>0.0</v>
      </c>
      <c r="AH64" s="127">
        <v>0.0</v>
      </c>
      <c r="AI64" s="115" t="s">
        <v>12383</v>
      </c>
      <c r="AJ64" s="116">
        <v>0.5</v>
      </c>
      <c r="AK64" s="117"/>
      <c r="AL64" s="117"/>
      <c r="AM64" s="117"/>
      <c r="AN64" s="117"/>
      <c r="AO64" s="117"/>
    </row>
    <row r="65" ht="27.0" customHeight="1">
      <c r="A65" s="111">
        <v>67.0</v>
      </c>
      <c r="B65" s="111" t="s">
        <v>8036</v>
      </c>
      <c r="C65" s="111" t="s">
        <v>7987</v>
      </c>
      <c r="D65" s="111">
        <v>2019.0</v>
      </c>
      <c r="E65" s="111"/>
      <c r="F65" s="111" t="s">
        <v>12385</v>
      </c>
      <c r="G65" s="111" t="s">
        <v>12381</v>
      </c>
      <c r="H65" s="111" t="s">
        <v>12230</v>
      </c>
      <c r="I65" s="111" t="s">
        <v>12394</v>
      </c>
      <c r="J65" s="111" t="s">
        <v>12296</v>
      </c>
      <c r="K65" s="111" t="s">
        <v>30</v>
      </c>
      <c r="L65" s="111"/>
      <c r="M65" s="111"/>
      <c r="N65" s="111"/>
      <c r="O65" s="111"/>
      <c r="P65" s="111"/>
      <c r="Q65" s="111">
        <v>1.0</v>
      </c>
      <c r="R65" s="111"/>
      <c r="S65" s="111"/>
      <c r="T65" s="111"/>
      <c r="U65" s="111"/>
      <c r="V65" s="111"/>
      <c r="W65" s="111"/>
      <c r="X65" s="111"/>
      <c r="Y65" s="111"/>
      <c r="Z65" s="111"/>
      <c r="AA65" s="124"/>
      <c r="AB65" s="125"/>
      <c r="AC65" s="126"/>
      <c r="AD65" s="125"/>
      <c r="AE65" s="125" t="str">
        <f t="shared" si="4"/>
        <v/>
      </c>
      <c r="AF65" s="127" t="s">
        <v>12493</v>
      </c>
      <c r="AG65" s="127">
        <v>0.0</v>
      </c>
      <c r="AH65" s="127">
        <v>0.0</v>
      </c>
      <c r="AI65" s="115" t="s">
        <v>12383</v>
      </c>
      <c r="AJ65" s="116">
        <v>0.5</v>
      </c>
      <c r="AK65" s="117"/>
      <c r="AL65" s="117"/>
      <c r="AM65" s="117"/>
      <c r="AN65" s="117"/>
      <c r="AO65" s="117"/>
    </row>
    <row r="66" ht="34.5" customHeight="1">
      <c r="A66" s="111">
        <v>68.0</v>
      </c>
      <c r="B66" s="111" t="s">
        <v>8037</v>
      </c>
      <c r="C66" s="111" t="s">
        <v>7987</v>
      </c>
      <c r="D66" s="111">
        <v>2019.0</v>
      </c>
      <c r="E66" s="111"/>
      <c r="F66" s="111" t="s">
        <v>12385</v>
      </c>
      <c r="G66" s="111" t="s">
        <v>12226</v>
      </c>
      <c r="H66" s="111"/>
      <c r="I66" s="111" t="s">
        <v>12394</v>
      </c>
      <c r="J66" s="111" t="s">
        <v>12292</v>
      </c>
      <c r="K66" s="111" t="s">
        <v>30</v>
      </c>
      <c r="L66" s="111"/>
      <c r="M66" s="111"/>
      <c r="N66" s="111"/>
      <c r="O66" s="111"/>
      <c r="P66" s="111"/>
      <c r="Q66" s="111">
        <v>1.0</v>
      </c>
      <c r="R66" s="111"/>
      <c r="S66" s="111">
        <v>1.0</v>
      </c>
      <c r="T66" s="111"/>
      <c r="U66" s="111"/>
      <c r="V66" s="111"/>
      <c r="W66" s="111"/>
      <c r="X66" s="111"/>
      <c r="Y66" s="111"/>
      <c r="Z66" s="111" t="s">
        <v>12494</v>
      </c>
      <c r="AA66" s="124">
        <v>2.4</v>
      </c>
      <c r="AB66" s="125">
        <f>IF(Projects!$AI66="Electrolysis",
AA66/VLOOKUP(G66,ElectrolysisConvF,3,FALSE),
AC66*10^6/(H2dens*HoursInYear))</f>
        <v>461.5384615</v>
      </c>
      <c r="AC66" s="126">
        <f t="shared" ref="AC66:AC87" si="9">AB66*H2dens*HoursInYear/10^6</f>
        <v>0.3598338462</v>
      </c>
      <c r="AD66" s="125"/>
      <c r="AE66" s="125">
        <f t="shared" si="4"/>
        <v>461.5384615</v>
      </c>
      <c r="AF66" s="127" t="s">
        <v>12495</v>
      </c>
      <c r="AG66" s="127">
        <v>53.9122420858375</v>
      </c>
      <c r="AH66" s="127">
        <v>9.13196747017375</v>
      </c>
      <c r="AI66" s="115" t="s">
        <v>12383</v>
      </c>
      <c r="AJ66" s="116">
        <v>0.4</v>
      </c>
      <c r="AK66" s="117"/>
      <c r="AL66" s="117"/>
      <c r="AM66" s="117"/>
      <c r="AN66" s="117"/>
      <c r="AO66" s="117"/>
    </row>
    <row r="67" ht="34.5" customHeight="1">
      <c r="A67" s="111">
        <v>69.0</v>
      </c>
      <c r="B67" s="111" t="s">
        <v>101</v>
      </c>
      <c r="C67" s="111" t="s">
        <v>7987</v>
      </c>
      <c r="D67" s="111">
        <v>2018.0</v>
      </c>
      <c r="E67" s="111"/>
      <c r="F67" s="111" t="s">
        <v>12385</v>
      </c>
      <c r="G67" s="111" t="s">
        <v>12224</v>
      </c>
      <c r="H67" s="111"/>
      <c r="I67" s="111" t="s">
        <v>12406</v>
      </c>
      <c r="J67" s="111"/>
      <c r="K67" s="111" t="s">
        <v>12481</v>
      </c>
      <c r="L67" s="111"/>
      <c r="M67" s="111">
        <v>1.0</v>
      </c>
      <c r="N67" s="111">
        <v>1.0</v>
      </c>
      <c r="O67" s="111"/>
      <c r="P67" s="111">
        <v>1.0</v>
      </c>
      <c r="Q67" s="111"/>
      <c r="R67" s="111"/>
      <c r="S67" s="111"/>
      <c r="T67" s="111"/>
      <c r="U67" s="111"/>
      <c r="V67" s="111"/>
      <c r="W67" s="111"/>
      <c r="X67" s="111"/>
      <c r="Y67" s="111"/>
      <c r="Z67" s="111" t="s">
        <v>12424</v>
      </c>
      <c r="AA67" s="124">
        <v>2.0</v>
      </c>
      <c r="AB67" s="125">
        <f>IF(Projects!$AI67="Electrolysis",
AA67/VLOOKUP(G67,ElectrolysisConvF,3,FALSE),
AC67*10^6/(H2dens*HoursInYear))</f>
        <v>434.7826087</v>
      </c>
      <c r="AC67" s="126">
        <f t="shared" si="9"/>
        <v>0.338973913</v>
      </c>
      <c r="AD67" s="125"/>
      <c r="AE67" s="125">
        <f t="shared" si="4"/>
        <v>434.7826087</v>
      </c>
      <c r="AF67" s="127" t="s">
        <v>12496</v>
      </c>
      <c r="AG67" s="127">
        <v>51.4914175773825</v>
      </c>
      <c r="AH67" s="127">
        <v>6.72396950620628</v>
      </c>
      <c r="AI67" s="115" t="s">
        <v>12383</v>
      </c>
      <c r="AJ67" s="116">
        <v>0.57</v>
      </c>
      <c r="AK67" s="117"/>
      <c r="AL67" s="117"/>
      <c r="AM67" s="117"/>
      <c r="AN67" s="117"/>
      <c r="AO67" s="117"/>
    </row>
    <row r="68" ht="34.5" customHeight="1">
      <c r="A68" s="111">
        <v>70.0</v>
      </c>
      <c r="B68" s="111" t="s">
        <v>8038</v>
      </c>
      <c r="C68" s="111" t="s">
        <v>7981</v>
      </c>
      <c r="D68" s="111">
        <v>2018.0</v>
      </c>
      <c r="E68" s="111"/>
      <c r="F68" s="111" t="s">
        <v>12385</v>
      </c>
      <c r="G68" s="111" t="s">
        <v>12226</v>
      </c>
      <c r="H68" s="111"/>
      <c r="I68" s="111" t="s">
        <v>12419</v>
      </c>
      <c r="J68" s="111"/>
      <c r="K68" s="111" t="s">
        <v>30</v>
      </c>
      <c r="L68" s="111"/>
      <c r="M68" s="111"/>
      <c r="N68" s="111"/>
      <c r="O68" s="111"/>
      <c r="P68" s="111"/>
      <c r="Q68" s="111">
        <v>1.0</v>
      </c>
      <c r="R68" s="111"/>
      <c r="S68" s="111"/>
      <c r="T68" s="111"/>
      <c r="U68" s="111"/>
      <c r="V68" s="111"/>
      <c r="W68" s="111"/>
      <c r="X68" s="111"/>
      <c r="Y68" s="111"/>
      <c r="Z68" s="111" t="s">
        <v>12497</v>
      </c>
      <c r="AA68" s="124">
        <v>1.5</v>
      </c>
      <c r="AB68" s="125">
        <f>IF(Projects!$AI68="Electrolysis",
AA68/VLOOKUP(G68,ElectrolysisConvF,3,FALSE),
AC68*10^6/(H2dens*HoursInYear))</f>
        <v>288.4615385</v>
      </c>
      <c r="AC68" s="126">
        <f t="shared" si="9"/>
        <v>0.2248961538</v>
      </c>
      <c r="AD68" s="125"/>
      <c r="AE68" s="125">
        <f t="shared" si="4"/>
        <v>288.4615385</v>
      </c>
      <c r="AF68" s="127" t="s">
        <v>12498</v>
      </c>
      <c r="AG68" s="127">
        <v>0.0</v>
      </c>
      <c r="AH68" s="127">
        <v>0.0</v>
      </c>
      <c r="AI68" s="115" t="s">
        <v>12383</v>
      </c>
      <c r="AJ68" s="116">
        <v>0.57</v>
      </c>
      <c r="AK68" s="117"/>
      <c r="AL68" s="117"/>
      <c r="AM68" s="117"/>
      <c r="AN68" s="117"/>
      <c r="AO68" s="117"/>
    </row>
    <row r="69" ht="34.5" customHeight="1">
      <c r="A69" s="111">
        <v>71.0</v>
      </c>
      <c r="B69" s="111" t="s">
        <v>128</v>
      </c>
      <c r="C69" s="111" t="s">
        <v>7994</v>
      </c>
      <c r="D69" s="111">
        <v>2020.0</v>
      </c>
      <c r="E69" s="111"/>
      <c r="F69" s="111" t="s">
        <v>12385</v>
      </c>
      <c r="G69" s="111" t="s">
        <v>12226</v>
      </c>
      <c r="H69" s="111"/>
      <c r="I69" s="111" t="s">
        <v>12394</v>
      </c>
      <c r="J69" s="111" t="s">
        <v>12292</v>
      </c>
      <c r="K69" s="111" t="s">
        <v>30</v>
      </c>
      <c r="L69" s="111"/>
      <c r="M69" s="111"/>
      <c r="N69" s="111"/>
      <c r="O69" s="111"/>
      <c r="P69" s="111"/>
      <c r="Q69" s="111">
        <v>1.0</v>
      </c>
      <c r="R69" s="111"/>
      <c r="S69" s="111">
        <v>1.0</v>
      </c>
      <c r="T69" s="111"/>
      <c r="U69" s="111"/>
      <c r="V69" s="111"/>
      <c r="W69" s="111"/>
      <c r="X69" s="111"/>
      <c r="Y69" s="111"/>
      <c r="Z69" s="111" t="s">
        <v>12488</v>
      </c>
      <c r="AA69" s="124">
        <v>1.5</v>
      </c>
      <c r="AB69" s="125">
        <f>IF(Projects!$AI69="Electrolysis",
AA69/VLOOKUP(G69,ElectrolysisConvF,3,FALSE),
AC69*10^6/(H2dens*HoursInYear))</f>
        <v>288.4615385</v>
      </c>
      <c r="AC69" s="126">
        <f t="shared" si="9"/>
        <v>0.2248961538</v>
      </c>
      <c r="AD69" s="125"/>
      <c r="AE69" s="125">
        <f t="shared" si="4"/>
        <v>288.4615385</v>
      </c>
      <c r="AF69" s="127" t="s">
        <v>12499</v>
      </c>
      <c r="AG69" s="127">
        <v>56.6394192071214</v>
      </c>
      <c r="AH69" s="127">
        <v>9.79841809008519</v>
      </c>
      <c r="AI69" s="115" t="s">
        <v>12383</v>
      </c>
      <c r="AJ69" s="116">
        <v>0.4</v>
      </c>
      <c r="AK69" s="117"/>
      <c r="AL69" s="117"/>
      <c r="AM69" s="117"/>
      <c r="AN69" s="117"/>
      <c r="AO69" s="117"/>
    </row>
    <row r="70" ht="34.5" customHeight="1">
      <c r="A70" s="111">
        <v>72.0</v>
      </c>
      <c r="B70" s="111" t="s">
        <v>8039</v>
      </c>
      <c r="C70" s="111" t="s">
        <v>7991</v>
      </c>
      <c r="D70" s="111">
        <v>2018.0</v>
      </c>
      <c r="E70" s="111"/>
      <c r="F70" s="111" t="s">
        <v>12385</v>
      </c>
      <c r="G70" s="111" t="s">
        <v>12224</v>
      </c>
      <c r="H70" s="111"/>
      <c r="I70" s="111" t="s">
        <v>12419</v>
      </c>
      <c r="J70" s="111"/>
      <c r="K70" s="111" t="s">
        <v>30</v>
      </c>
      <c r="L70" s="111"/>
      <c r="M70" s="111"/>
      <c r="N70" s="111"/>
      <c r="O70" s="111"/>
      <c r="P70" s="111"/>
      <c r="Q70" s="111"/>
      <c r="R70" s="111"/>
      <c r="S70" s="111"/>
      <c r="T70" s="111">
        <v>1.0</v>
      </c>
      <c r="U70" s="111">
        <v>1.0</v>
      </c>
      <c r="V70" s="111"/>
      <c r="W70" s="111"/>
      <c r="X70" s="111"/>
      <c r="Y70" s="111"/>
      <c r="Z70" s="111" t="s">
        <v>12500</v>
      </c>
      <c r="AA70" s="124">
        <v>1.0</v>
      </c>
      <c r="AB70" s="125">
        <f>IF(Projects!$AI70="Electrolysis",
AA70/VLOOKUP(G70,ElectrolysisConvF,3,FALSE),
AC70*10^6/(H2dens*HoursInYear))</f>
        <v>217.3913043</v>
      </c>
      <c r="AC70" s="126">
        <f t="shared" si="9"/>
        <v>0.1694869565</v>
      </c>
      <c r="AD70" s="125"/>
      <c r="AE70" s="125">
        <f t="shared" si="4"/>
        <v>217.3913043</v>
      </c>
      <c r="AF70" s="127" t="s">
        <v>12501</v>
      </c>
      <c r="AG70" s="127">
        <v>0.0</v>
      </c>
      <c r="AH70" s="127">
        <v>0.0</v>
      </c>
      <c r="AI70" s="115" t="s">
        <v>12383</v>
      </c>
      <c r="AJ70" s="116">
        <v>0.57</v>
      </c>
      <c r="AK70" s="117"/>
      <c r="AL70" s="117"/>
      <c r="AM70" s="117"/>
      <c r="AN70" s="117"/>
      <c r="AO70" s="117"/>
    </row>
    <row r="71" ht="34.5" customHeight="1">
      <c r="A71" s="111">
        <v>73.0</v>
      </c>
      <c r="B71" s="111" t="s">
        <v>8040</v>
      </c>
      <c r="C71" s="111" t="s">
        <v>8041</v>
      </c>
      <c r="D71" s="111">
        <v>2018.0</v>
      </c>
      <c r="E71" s="111"/>
      <c r="F71" s="111" t="s">
        <v>12385</v>
      </c>
      <c r="G71" s="111" t="s">
        <v>12226</v>
      </c>
      <c r="H71" s="111"/>
      <c r="I71" s="111" t="s">
        <v>12419</v>
      </c>
      <c r="J71" s="111"/>
      <c r="K71" s="111" t="s">
        <v>30</v>
      </c>
      <c r="L71" s="111"/>
      <c r="M71" s="111"/>
      <c r="N71" s="111"/>
      <c r="O71" s="111"/>
      <c r="P71" s="111"/>
      <c r="Q71" s="111"/>
      <c r="R71" s="111">
        <v>1.0</v>
      </c>
      <c r="S71" s="111"/>
      <c r="T71" s="111"/>
      <c r="U71" s="111"/>
      <c r="V71" s="111"/>
      <c r="W71" s="111"/>
      <c r="X71" s="111"/>
      <c r="Y71" s="111"/>
      <c r="Z71" s="111" t="s">
        <v>12500</v>
      </c>
      <c r="AA71" s="124">
        <v>1.0</v>
      </c>
      <c r="AB71" s="125">
        <f>IF(Projects!$AI71="Electrolysis",
AA71/VLOOKUP(G71,ElectrolysisConvF,3,FALSE),
AC71*10^6/(H2dens*HoursInYear))</f>
        <v>192.3076923</v>
      </c>
      <c r="AC71" s="126">
        <f t="shared" si="9"/>
        <v>0.1499307692</v>
      </c>
      <c r="AD71" s="125"/>
      <c r="AE71" s="125">
        <f t="shared" si="4"/>
        <v>192.3076923</v>
      </c>
      <c r="AF71" s="127" t="s">
        <v>12502</v>
      </c>
      <c r="AG71" s="127">
        <v>0.0</v>
      </c>
      <c r="AH71" s="127">
        <v>0.0</v>
      </c>
      <c r="AI71" s="115" t="s">
        <v>12383</v>
      </c>
      <c r="AJ71" s="116">
        <v>0.57</v>
      </c>
      <c r="AK71" s="117"/>
      <c r="AL71" s="117"/>
      <c r="AM71" s="117"/>
      <c r="AN71" s="117"/>
      <c r="AO71" s="117"/>
    </row>
    <row r="72" ht="34.5" customHeight="1">
      <c r="A72" s="111">
        <v>74.0</v>
      </c>
      <c r="B72" s="111" t="s">
        <v>8042</v>
      </c>
      <c r="C72" s="111" t="s">
        <v>7987</v>
      </c>
      <c r="D72" s="111">
        <v>2020.0</v>
      </c>
      <c r="E72" s="111"/>
      <c r="F72" s="111" t="s">
        <v>12385</v>
      </c>
      <c r="G72" s="111" t="s">
        <v>12226</v>
      </c>
      <c r="H72" s="111"/>
      <c r="I72" s="111" t="s">
        <v>12419</v>
      </c>
      <c r="J72" s="111"/>
      <c r="K72" s="111" t="s">
        <v>30</v>
      </c>
      <c r="L72" s="111"/>
      <c r="M72" s="111"/>
      <c r="N72" s="111"/>
      <c r="O72" s="111"/>
      <c r="P72" s="111"/>
      <c r="Q72" s="111">
        <v>1.0</v>
      </c>
      <c r="R72" s="111">
        <v>1.0</v>
      </c>
      <c r="S72" s="111"/>
      <c r="T72" s="111">
        <v>1.0</v>
      </c>
      <c r="U72" s="111"/>
      <c r="V72" s="111"/>
      <c r="W72" s="111"/>
      <c r="X72" s="111"/>
      <c r="Y72" s="111"/>
      <c r="Z72" s="111" t="s">
        <v>12503</v>
      </c>
      <c r="AA72" s="124">
        <v>0.8</v>
      </c>
      <c r="AB72" s="125">
        <f>IF(Projects!$AI72="Electrolysis",
AA72/VLOOKUP(G72,ElectrolysisConvF,3,FALSE),
AC72*10^6/(H2dens*HoursInYear))</f>
        <v>153.8461538</v>
      </c>
      <c r="AC72" s="126">
        <f t="shared" si="9"/>
        <v>0.1199446154</v>
      </c>
      <c r="AD72" s="125"/>
      <c r="AE72" s="125">
        <f t="shared" si="4"/>
        <v>153.8461538</v>
      </c>
      <c r="AF72" s="127" t="s">
        <v>12504</v>
      </c>
      <c r="AG72" s="127">
        <v>49.2644733</v>
      </c>
      <c r="AH72" s="127">
        <v>9.401743</v>
      </c>
      <c r="AI72" s="115" t="s">
        <v>12383</v>
      </c>
      <c r="AJ72" s="116">
        <v>0.57</v>
      </c>
      <c r="AK72" s="117"/>
      <c r="AL72" s="117"/>
      <c r="AM72" s="117"/>
      <c r="AN72" s="117"/>
      <c r="AO72" s="117"/>
    </row>
    <row r="73" ht="34.5" customHeight="1">
      <c r="A73" s="111">
        <v>75.0</v>
      </c>
      <c r="B73" s="111" t="s">
        <v>8043</v>
      </c>
      <c r="C73" s="111" t="s">
        <v>7971</v>
      </c>
      <c r="D73" s="111">
        <v>2017.0</v>
      </c>
      <c r="E73" s="111"/>
      <c r="F73" s="111" t="s">
        <v>12385</v>
      </c>
      <c r="G73" s="111" t="s">
        <v>12224</v>
      </c>
      <c r="H73" s="111"/>
      <c r="I73" s="111" t="s">
        <v>12394</v>
      </c>
      <c r="J73" s="111" t="s">
        <v>12291</v>
      </c>
      <c r="K73" s="111" t="s">
        <v>30</v>
      </c>
      <c r="L73" s="111"/>
      <c r="M73" s="111"/>
      <c r="N73" s="111"/>
      <c r="O73" s="111"/>
      <c r="P73" s="111"/>
      <c r="Q73" s="111">
        <v>1.0</v>
      </c>
      <c r="R73" s="111"/>
      <c r="S73" s="111"/>
      <c r="T73" s="111"/>
      <c r="U73" s="111"/>
      <c r="V73" s="111"/>
      <c r="W73" s="111"/>
      <c r="X73" s="111"/>
      <c r="Y73" s="111"/>
      <c r="Z73" s="111" t="s">
        <v>12505</v>
      </c>
      <c r="AA73" s="124">
        <v>0.7</v>
      </c>
      <c r="AB73" s="125">
        <f>IF(Projects!$AI73="Electrolysis",
AA73/VLOOKUP(G73,ElectrolysisConvF,3,FALSE),
AC73*10^6/(H2dens*HoursInYear))</f>
        <v>152.173913</v>
      </c>
      <c r="AC73" s="126">
        <f t="shared" si="9"/>
        <v>0.1186408696</v>
      </c>
      <c r="AD73" s="125"/>
      <c r="AE73" s="125">
        <f t="shared" si="4"/>
        <v>152.173913</v>
      </c>
      <c r="AF73" s="127" t="s">
        <v>12506</v>
      </c>
      <c r="AG73" s="127">
        <v>63.3432724721887</v>
      </c>
      <c r="AH73" s="127">
        <v>10.3733299991462</v>
      </c>
      <c r="AI73" s="115" t="s">
        <v>12383</v>
      </c>
      <c r="AJ73" s="116">
        <v>0.3</v>
      </c>
      <c r="AK73" s="117"/>
      <c r="AL73" s="117"/>
      <c r="AM73" s="117"/>
      <c r="AN73" s="117"/>
      <c r="AO73" s="117"/>
    </row>
    <row r="74" ht="34.5" customHeight="1">
      <c r="A74" s="111">
        <v>76.0</v>
      </c>
      <c r="B74" s="111" t="s">
        <v>106</v>
      </c>
      <c r="C74" s="111" t="s">
        <v>7999</v>
      </c>
      <c r="D74" s="111">
        <v>2018.0</v>
      </c>
      <c r="E74" s="111"/>
      <c r="F74" s="111" t="s">
        <v>12385</v>
      </c>
      <c r="G74" s="111" t="s">
        <v>12224</v>
      </c>
      <c r="H74" s="111"/>
      <c r="I74" s="111" t="s">
        <v>12394</v>
      </c>
      <c r="J74" s="111" t="s">
        <v>12291</v>
      </c>
      <c r="K74" s="111" t="s">
        <v>12449</v>
      </c>
      <c r="L74" s="111"/>
      <c r="M74" s="111"/>
      <c r="N74" s="111"/>
      <c r="O74" s="111"/>
      <c r="P74" s="111"/>
      <c r="Q74" s="111"/>
      <c r="R74" s="111"/>
      <c r="S74" s="111"/>
      <c r="T74" s="111"/>
      <c r="U74" s="111"/>
      <c r="V74" s="111"/>
      <c r="W74" s="111"/>
      <c r="X74" s="111">
        <v>1.0</v>
      </c>
      <c r="Y74" s="111"/>
      <c r="Z74" s="111" t="s">
        <v>12507</v>
      </c>
      <c r="AA74" s="124">
        <v>0.6</v>
      </c>
      <c r="AB74" s="125">
        <f>IF(Projects!$AI74="Electrolysis",
AA74/VLOOKUP(G74,ElectrolysisConvF,3,FALSE),
AC74*10^6/(H2dens*HoursInYear))</f>
        <v>130.4347826</v>
      </c>
      <c r="AC74" s="126">
        <f t="shared" si="9"/>
        <v>0.1016921739</v>
      </c>
      <c r="AD74" s="125"/>
      <c r="AE74" s="125">
        <f t="shared" si="4"/>
        <v>130.4347826</v>
      </c>
      <c r="AF74" s="127" t="s">
        <v>12508</v>
      </c>
      <c r="AG74" s="127">
        <v>47.9902740795209</v>
      </c>
      <c r="AH74" s="127">
        <v>13.5538178267574</v>
      </c>
      <c r="AI74" s="115" t="s">
        <v>12383</v>
      </c>
      <c r="AJ74" s="116">
        <v>0.3</v>
      </c>
      <c r="AK74" s="117"/>
      <c r="AL74" s="117"/>
      <c r="AM74" s="117"/>
      <c r="AN74" s="117"/>
      <c r="AO74" s="117"/>
    </row>
    <row r="75" ht="34.5" customHeight="1">
      <c r="A75" s="111">
        <v>77.0</v>
      </c>
      <c r="B75" s="111" t="s">
        <v>8044</v>
      </c>
      <c r="C75" s="111" t="s">
        <v>7991</v>
      </c>
      <c r="D75" s="111">
        <v>2017.0</v>
      </c>
      <c r="E75" s="111"/>
      <c r="F75" s="111" t="s">
        <v>12385</v>
      </c>
      <c r="G75" s="111" t="s">
        <v>12226</v>
      </c>
      <c r="H75" s="111"/>
      <c r="I75" s="111" t="s">
        <v>12394</v>
      </c>
      <c r="J75" s="111" t="s">
        <v>12292</v>
      </c>
      <c r="K75" s="111" t="s">
        <v>30</v>
      </c>
      <c r="L75" s="111"/>
      <c r="M75" s="111"/>
      <c r="N75" s="111"/>
      <c r="O75" s="111"/>
      <c r="P75" s="111"/>
      <c r="Q75" s="111">
        <v>1.0</v>
      </c>
      <c r="R75" s="111">
        <v>1.0</v>
      </c>
      <c r="S75" s="111">
        <v>1.0</v>
      </c>
      <c r="T75" s="111"/>
      <c r="U75" s="111"/>
      <c r="V75" s="111"/>
      <c r="W75" s="111"/>
      <c r="X75" s="111"/>
      <c r="Y75" s="111"/>
      <c r="Z75" s="111" t="s">
        <v>12509</v>
      </c>
      <c r="AA75" s="124">
        <v>0.7</v>
      </c>
      <c r="AB75" s="125">
        <f>IF(Projects!$AI75="Electrolysis",
AA75/VLOOKUP(G75,ElectrolysisConvF,3,FALSE),
AC75*10^6/(H2dens*HoursInYear))</f>
        <v>134.6153846</v>
      </c>
      <c r="AC75" s="126">
        <f t="shared" si="9"/>
        <v>0.1049515385</v>
      </c>
      <c r="AD75" s="125"/>
      <c r="AE75" s="125">
        <f t="shared" si="4"/>
        <v>134.6153846</v>
      </c>
      <c r="AF75" s="127" t="s">
        <v>12510</v>
      </c>
      <c r="AG75" s="127">
        <v>59.1649150969301</v>
      </c>
      <c r="AH75" s="127">
        <v>-2.78835603880386</v>
      </c>
      <c r="AI75" s="115" t="s">
        <v>12383</v>
      </c>
      <c r="AJ75" s="116">
        <v>0.4</v>
      </c>
      <c r="AK75" s="117"/>
      <c r="AL75" s="117"/>
      <c r="AM75" s="117"/>
      <c r="AN75" s="117"/>
      <c r="AO75" s="117"/>
    </row>
    <row r="76" ht="34.5" customHeight="1">
      <c r="A76" s="111">
        <v>80.0</v>
      </c>
      <c r="B76" s="111" t="s">
        <v>8045</v>
      </c>
      <c r="C76" s="111" t="s">
        <v>7987</v>
      </c>
      <c r="D76" s="111">
        <v>2018.0</v>
      </c>
      <c r="E76" s="111"/>
      <c r="F76" s="111" t="s">
        <v>12385</v>
      </c>
      <c r="G76" s="111" t="s">
        <v>12226</v>
      </c>
      <c r="H76" s="111"/>
      <c r="I76" s="111" t="s">
        <v>12394</v>
      </c>
      <c r="J76" s="111" t="s">
        <v>12292</v>
      </c>
      <c r="K76" s="111" t="s">
        <v>30</v>
      </c>
      <c r="L76" s="111"/>
      <c r="M76" s="111"/>
      <c r="N76" s="111"/>
      <c r="O76" s="111"/>
      <c r="P76" s="111"/>
      <c r="Q76" s="111"/>
      <c r="R76" s="111"/>
      <c r="S76" s="111">
        <v>1.0</v>
      </c>
      <c r="T76" s="111"/>
      <c r="U76" s="111"/>
      <c r="V76" s="111"/>
      <c r="W76" s="111"/>
      <c r="X76" s="111"/>
      <c r="Y76" s="111"/>
      <c r="Z76" s="111" t="s">
        <v>12511</v>
      </c>
      <c r="AA76" s="124">
        <v>0.225</v>
      </c>
      <c r="AB76" s="125">
        <f>IF(Projects!$AI76="Electrolysis",
AA76/VLOOKUP(G76,ElectrolysisConvF,3,FALSE),
AC76*10^6/(H2dens*HoursInYear))</f>
        <v>43.26923077</v>
      </c>
      <c r="AC76" s="126">
        <f t="shared" si="9"/>
        <v>0.03373442308</v>
      </c>
      <c r="AD76" s="125"/>
      <c r="AE76" s="125">
        <f t="shared" si="4"/>
        <v>43.26923077</v>
      </c>
      <c r="AF76" s="127" t="s">
        <v>12512</v>
      </c>
      <c r="AG76" s="127">
        <v>54.7267065251096</v>
      </c>
      <c r="AH76" s="127">
        <v>9.34759128465099</v>
      </c>
      <c r="AI76" s="115" t="s">
        <v>12383</v>
      </c>
      <c r="AJ76" s="116">
        <v>0.4</v>
      </c>
      <c r="AK76" s="117"/>
      <c r="AL76" s="117"/>
      <c r="AM76" s="117"/>
      <c r="AN76" s="117"/>
      <c r="AO76" s="117"/>
    </row>
    <row r="77" ht="34.5" customHeight="1">
      <c r="A77" s="111">
        <v>82.0</v>
      </c>
      <c r="B77" s="111" t="s">
        <v>8046</v>
      </c>
      <c r="C77" s="111" t="s">
        <v>8047</v>
      </c>
      <c r="D77" s="111">
        <v>2018.0</v>
      </c>
      <c r="E77" s="111"/>
      <c r="F77" s="111" t="s">
        <v>12385</v>
      </c>
      <c r="G77" s="111" t="s">
        <v>12226</v>
      </c>
      <c r="H77" s="111"/>
      <c r="I77" s="111" t="s">
        <v>12406</v>
      </c>
      <c r="J77" s="111"/>
      <c r="K77" s="111" t="s">
        <v>12449</v>
      </c>
      <c r="L77" s="111"/>
      <c r="M77" s="111"/>
      <c r="N77" s="111"/>
      <c r="O77" s="111"/>
      <c r="P77" s="111"/>
      <c r="Q77" s="111"/>
      <c r="R77" s="111"/>
      <c r="S77" s="111"/>
      <c r="T77" s="111"/>
      <c r="U77" s="111"/>
      <c r="V77" s="111"/>
      <c r="W77" s="111"/>
      <c r="X77" s="111">
        <v>1.0</v>
      </c>
      <c r="Y77" s="111"/>
      <c r="Z77" s="111" t="s">
        <v>12513</v>
      </c>
      <c r="AA77" s="124">
        <v>0.2</v>
      </c>
      <c r="AB77" s="125">
        <f>IF(Projects!$AI77="Electrolysis",
AA77/VLOOKUP(G77,ElectrolysisConvF,3,FALSE),
AC77*10^6/(H2dens*HoursInYear))</f>
        <v>38.46153846</v>
      </c>
      <c r="AC77" s="126">
        <f t="shared" si="9"/>
        <v>0.02998615385</v>
      </c>
      <c r="AD77" s="125"/>
      <c r="AE77" s="125">
        <f t="shared" si="4"/>
        <v>38.46153846</v>
      </c>
      <c r="AF77" s="127" t="s">
        <v>12464</v>
      </c>
      <c r="AG77" s="127">
        <v>0.0</v>
      </c>
      <c r="AH77" s="127">
        <v>0.0</v>
      </c>
      <c r="AI77" s="115" t="s">
        <v>12383</v>
      </c>
      <c r="AJ77" s="116">
        <v>0.57</v>
      </c>
      <c r="AK77" s="117"/>
      <c r="AL77" s="117"/>
      <c r="AM77" s="117"/>
      <c r="AN77" s="117"/>
      <c r="AO77" s="117"/>
    </row>
    <row r="78" ht="34.5" customHeight="1">
      <c r="A78" s="111">
        <v>83.0</v>
      </c>
      <c r="B78" s="111" t="s">
        <v>8048</v>
      </c>
      <c r="C78" s="111" t="s">
        <v>8011</v>
      </c>
      <c r="D78" s="111">
        <v>2018.0</v>
      </c>
      <c r="E78" s="111"/>
      <c r="F78" s="111" t="s">
        <v>12385</v>
      </c>
      <c r="G78" s="111" t="s">
        <v>12226</v>
      </c>
      <c r="H78" s="111"/>
      <c r="I78" s="111" t="s">
        <v>12419</v>
      </c>
      <c r="J78" s="111"/>
      <c r="K78" s="111" t="s">
        <v>30</v>
      </c>
      <c r="L78" s="111"/>
      <c r="M78" s="111"/>
      <c r="N78" s="111"/>
      <c r="O78" s="111"/>
      <c r="P78" s="111"/>
      <c r="Q78" s="111">
        <v>1.0</v>
      </c>
      <c r="R78" s="111"/>
      <c r="S78" s="111"/>
      <c r="T78" s="111"/>
      <c r="U78" s="111"/>
      <c r="V78" s="111"/>
      <c r="W78" s="111"/>
      <c r="X78" s="111"/>
      <c r="Y78" s="111"/>
      <c r="Z78" s="111" t="s">
        <v>12514</v>
      </c>
      <c r="AA78" s="129">
        <f>IF(Projects!$AI78="Electrolysis",
AB78*VLOOKUP(G78,ElectrolysisConvF,3,FALSE),
"")</f>
        <v>0.1924</v>
      </c>
      <c r="AB78" s="125">
        <v>37.0</v>
      </c>
      <c r="AC78" s="126">
        <f t="shared" si="9"/>
        <v>0.02884668</v>
      </c>
      <c r="AD78" s="125"/>
      <c r="AE78" s="125">
        <f t="shared" si="4"/>
        <v>37</v>
      </c>
      <c r="AF78" s="127" t="s">
        <v>12515</v>
      </c>
      <c r="AG78" s="127">
        <v>48.7494006994356</v>
      </c>
      <c r="AH78" s="127">
        <v>2.3501081970516</v>
      </c>
      <c r="AI78" s="115" t="s">
        <v>12383</v>
      </c>
      <c r="AJ78" s="116">
        <v>0.57</v>
      </c>
      <c r="AK78" s="117"/>
      <c r="AL78" s="117"/>
      <c r="AM78" s="117"/>
      <c r="AN78" s="117"/>
      <c r="AO78" s="117"/>
    </row>
    <row r="79" ht="34.5" customHeight="1">
      <c r="A79" s="111">
        <v>85.0</v>
      </c>
      <c r="B79" s="111" t="s">
        <v>8049</v>
      </c>
      <c r="C79" s="111" t="s">
        <v>8001</v>
      </c>
      <c r="D79" s="111">
        <v>2018.0</v>
      </c>
      <c r="E79" s="111"/>
      <c r="F79" s="111" t="s">
        <v>12385</v>
      </c>
      <c r="G79" s="111" t="s">
        <v>12381</v>
      </c>
      <c r="H79" s="111" t="s">
        <v>12230</v>
      </c>
      <c r="I79" s="111" t="s">
        <v>12394</v>
      </c>
      <c r="J79" s="111" t="s">
        <v>12291</v>
      </c>
      <c r="K79" s="111" t="s">
        <v>30</v>
      </c>
      <c r="L79" s="111"/>
      <c r="M79" s="111"/>
      <c r="N79" s="111"/>
      <c r="O79" s="111"/>
      <c r="P79" s="111"/>
      <c r="Q79" s="111">
        <v>1.0</v>
      </c>
      <c r="R79" s="111"/>
      <c r="S79" s="111"/>
      <c r="T79" s="111"/>
      <c r="U79" s="111"/>
      <c r="V79" s="111"/>
      <c r="W79" s="111"/>
      <c r="X79" s="111"/>
      <c r="Y79" s="111"/>
      <c r="Z79" s="111" t="s">
        <v>12516</v>
      </c>
      <c r="AA79" s="129">
        <f>IF(Projects!$AI79="Electrolysis",
AB79*VLOOKUP(G79,ElectrolysisConvF,3,FALSE),
"")</f>
        <v>0.1125</v>
      </c>
      <c r="AB79" s="125">
        <v>25.0</v>
      </c>
      <c r="AC79" s="126">
        <f t="shared" si="9"/>
        <v>0.019491</v>
      </c>
      <c r="AD79" s="125"/>
      <c r="AE79" s="125">
        <f t="shared" si="4"/>
        <v>25</v>
      </c>
      <c r="AF79" s="127"/>
      <c r="AG79" s="127">
        <v>31.2506845078429</v>
      </c>
      <c r="AH79" s="127">
        <v>121.436499513046</v>
      </c>
      <c r="AI79" s="115" t="s">
        <v>12383</v>
      </c>
      <c r="AJ79" s="116">
        <v>0.3</v>
      </c>
      <c r="AK79" s="117"/>
      <c r="AL79" s="117"/>
      <c r="AM79" s="117"/>
      <c r="AN79" s="117"/>
      <c r="AO79" s="117"/>
    </row>
    <row r="80" ht="34.5" customHeight="1">
      <c r="A80" s="111">
        <v>87.0</v>
      </c>
      <c r="B80" s="111" t="s">
        <v>8050</v>
      </c>
      <c r="C80" s="111" t="s">
        <v>7987</v>
      </c>
      <c r="D80" s="111">
        <v>2018.0</v>
      </c>
      <c r="E80" s="111"/>
      <c r="F80" s="111" t="s">
        <v>12385</v>
      </c>
      <c r="G80" s="111" t="s">
        <v>12226</v>
      </c>
      <c r="H80" s="111"/>
      <c r="I80" s="111" t="s">
        <v>12419</v>
      </c>
      <c r="J80" s="111"/>
      <c r="K80" s="111" t="s">
        <v>12449</v>
      </c>
      <c r="L80" s="111"/>
      <c r="M80" s="111"/>
      <c r="N80" s="111"/>
      <c r="O80" s="111"/>
      <c r="P80" s="111"/>
      <c r="Q80" s="111"/>
      <c r="R80" s="111"/>
      <c r="S80" s="111"/>
      <c r="T80" s="111"/>
      <c r="U80" s="111"/>
      <c r="V80" s="111"/>
      <c r="W80" s="111"/>
      <c r="X80" s="111">
        <v>1.0</v>
      </c>
      <c r="Y80" s="111"/>
      <c r="Z80" s="111" t="s">
        <v>12517</v>
      </c>
      <c r="AA80" s="124">
        <v>0.05</v>
      </c>
      <c r="AB80" s="125">
        <f>IF(Projects!$AI80="Electrolysis",
AA80/VLOOKUP(G80,ElectrolysisConvF,3,FALSE),
AC80*10^6/(H2dens*HoursInYear))</f>
        <v>9.615384615</v>
      </c>
      <c r="AC80" s="126">
        <f t="shared" si="9"/>
        <v>0.007496538462</v>
      </c>
      <c r="AD80" s="125"/>
      <c r="AE80" s="125">
        <f t="shared" si="4"/>
        <v>9.615384615</v>
      </c>
      <c r="AF80" s="127"/>
      <c r="AG80" s="127">
        <v>0.0</v>
      </c>
      <c r="AH80" s="127">
        <v>0.0</v>
      </c>
      <c r="AI80" s="115" t="s">
        <v>12383</v>
      </c>
      <c r="AJ80" s="116">
        <v>0.57</v>
      </c>
      <c r="AK80" s="117"/>
      <c r="AL80" s="117"/>
      <c r="AM80" s="117"/>
      <c r="AN80" s="117"/>
      <c r="AO80" s="117"/>
    </row>
    <row r="81" ht="34.5" customHeight="1">
      <c r="A81" s="111">
        <v>88.0</v>
      </c>
      <c r="B81" s="111" t="s">
        <v>8051</v>
      </c>
      <c r="C81" s="111" t="s">
        <v>7977</v>
      </c>
      <c r="D81" s="111">
        <v>2018.0</v>
      </c>
      <c r="E81" s="111"/>
      <c r="F81" s="111" t="s">
        <v>12385</v>
      </c>
      <c r="G81" s="111" t="s">
        <v>12228</v>
      </c>
      <c r="H81" s="111"/>
      <c r="I81" s="111" t="s">
        <v>12419</v>
      </c>
      <c r="J81" s="111"/>
      <c r="K81" s="111" t="s">
        <v>12449</v>
      </c>
      <c r="L81" s="111"/>
      <c r="M81" s="111"/>
      <c r="N81" s="111"/>
      <c r="O81" s="111"/>
      <c r="P81" s="111"/>
      <c r="Q81" s="111"/>
      <c r="R81" s="111"/>
      <c r="S81" s="111"/>
      <c r="T81" s="111"/>
      <c r="U81" s="111"/>
      <c r="V81" s="111"/>
      <c r="W81" s="111"/>
      <c r="X81" s="111">
        <v>1.0</v>
      </c>
      <c r="Y81" s="111"/>
      <c r="Z81" s="111" t="s">
        <v>12518</v>
      </c>
      <c r="AA81" s="129">
        <f>IF(Projects!$AI81="Electrolysis",
AB81*VLOOKUP(G81,ElectrolysisConvF,3,FALSE),
"")</f>
        <v>0.03344</v>
      </c>
      <c r="AB81" s="125">
        <v>8.8</v>
      </c>
      <c r="AC81" s="126">
        <f t="shared" si="9"/>
        <v>0.006860832</v>
      </c>
      <c r="AD81" s="125"/>
      <c r="AE81" s="125">
        <f t="shared" si="4"/>
        <v>8.8</v>
      </c>
      <c r="AF81" s="127" t="s">
        <v>12519</v>
      </c>
      <c r="AG81" s="127">
        <v>0.0</v>
      </c>
      <c r="AH81" s="127">
        <v>0.0</v>
      </c>
      <c r="AI81" s="115" t="s">
        <v>12383</v>
      </c>
      <c r="AJ81" s="116">
        <v>0.57</v>
      </c>
      <c r="AK81" s="117"/>
      <c r="AL81" s="117"/>
      <c r="AM81" s="117"/>
      <c r="AN81" s="117"/>
      <c r="AO81" s="117"/>
    </row>
    <row r="82" ht="34.5" customHeight="1">
      <c r="A82" s="111">
        <v>89.0</v>
      </c>
      <c r="B82" s="111" t="s">
        <v>8052</v>
      </c>
      <c r="C82" s="111" t="s">
        <v>8047</v>
      </c>
      <c r="D82" s="111">
        <v>2018.0</v>
      </c>
      <c r="E82" s="111"/>
      <c r="F82" s="111" t="s">
        <v>12385</v>
      </c>
      <c r="G82" s="111" t="s">
        <v>12228</v>
      </c>
      <c r="H82" s="111"/>
      <c r="I82" s="111" t="s">
        <v>12419</v>
      </c>
      <c r="J82" s="111"/>
      <c r="K82" s="111" t="s">
        <v>30</v>
      </c>
      <c r="L82" s="111"/>
      <c r="M82" s="111"/>
      <c r="N82" s="111"/>
      <c r="O82" s="111"/>
      <c r="P82" s="111"/>
      <c r="Q82" s="111"/>
      <c r="R82" s="111">
        <v>1.0</v>
      </c>
      <c r="S82" s="111"/>
      <c r="T82" s="111"/>
      <c r="U82" s="111"/>
      <c r="V82" s="111"/>
      <c r="W82" s="111"/>
      <c r="X82" s="111"/>
      <c r="Y82" s="111"/>
      <c r="Z82" s="111" t="s">
        <v>12520</v>
      </c>
      <c r="AA82" s="129">
        <f>IF(Projects!$AI82="Electrolysis",
AB82*VLOOKUP(G82,ElectrolysisConvF,3,FALSE),
"")</f>
        <v>0.038</v>
      </c>
      <c r="AB82" s="125">
        <v>10.0</v>
      </c>
      <c r="AC82" s="126">
        <f t="shared" si="9"/>
        <v>0.0077964</v>
      </c>
      <c r="AD82" s="125"/>
      <c r="AE82" s="125">
        <f t="shared" si="4"/>
        <v>10</v>
      </c>
      <c r="AF82" s="127" t="s">
        <v>12521</v>
      </c>
      <c r="AG82" s="127">
        <v>0.0</v>
      </c>
      <c r="AH82" s="127">
        <v>0.0</v>
      </c>
      <c r="AI82" s="115" t="s">
        <v>12383</v>
      </c>
      <c r="AJ82" s="116">
        <v>0.57</v>
      </c>
      <c r="AK82" s="117"/>
      <c r="AL82" s="117"/>
      <c r="AM82" s="117"/>
      <c r="AN82" s="117"/>
      <c r="AO82" s="117"/>
    </row>
    <row r="83" ht="34.5" customHeight="1">
      <c r="A83" s="111">
        <v>90.0</v>
      </c>
      <c r="B83" s="111" t="s">
        <v>8053</v>
      </c>
      <c r="C83" s="111" t="s">
        <v>7983</v>
      </c>
      <c r="D83" s="111">
        <v>2018.0</v>
      </c>
      <c r="E83" s="111"/>
      <c r="F83" s="111" t="s">
        <v>12385</v>
      </c>
      <c r="G83" s="111" t="s">
        <v>12226</v>
      </c>
      <c r="H83" s="111"/>
      <c r="I83" s="111" t="s">
        <v>12419</v>
      </c>
      <c r="J83" s="111"/>
      <c r="K83" s="111" t="s">
        <v>30</v>
      </c>
      <c r="L83" s="111"/>
      <c r="M83" s="111"/>
      <c r="N83" s="111"/>
      <c r="O83" s="111"/>
      <c r="P83" s="111"/>
      <c r="Q83" s="111"/>
      <c r="R83" s="111">
        <v>1.0</v>
      </c>
      <c r="S83" s="111"/>
      <c r="T83" s="111"/>
      <c r="U83" s="111"/>
      <c r="V83" s="111"/>
      <c r="W83" s="111"/>
      <c r="X83" s="111"/>
      <c r="Y83" s="111"/>
      <c r="Z83" s="111" t="s">
        <v>12475</v>
      </c>
      <c r="AA83" s="124">
        <v>0.025</v>
      </c>
      <c r="AB83" s="125">
        <f>IF(Projects!$AI83="Electrolysis",
AA83/VLOOKUP(G83,ElectrolysisConvF,3,FALSE),
AC83*10^6/(H2dens*HoursInYear))</f>
        <v>4.807692308</v>
      </c>
      <c r="AC83" s="126">
        <f t="shared" si="9"/>
        <v>0.003748269231</v>
      </c>
      <c r="AD83" s="125"/>
      <c r="AE83" s="125">
        <f t="shared" si="4"/>
        <v>4.807692308</v>
      </c>
      <c r="AF83" s="127" t="s">
        <v>12522</v>
      </c>
      <c r="AG83" s="127">
        <v>0.0</v>
      </c>
      <c r="AH83" s="127">
        <v>0.0</v>
      </c>
      <c r="AI83" s="115" t="s">
        <v>12383</v>
      </c>
      <c r="AJ83" s="116">
        <v>0.57</v>
      </c>
      <c r="AK83" s="117"/>
      <c r="AL83" s="117"/>
      <c r="AM83" s="117"/>
      <c r="AN83" s="117"/>
      <c r="AO83" s="117"/>
    </row>
    <row r="84" ht="34.5" customHeight="1">
      <c r="A84" s="111">
        <v>92.0</v>
      </c>
      <c r="B84" s="111" t="s">
        <v>8054</v>
      </c>
      <c r="C84" s="111" t="s">
        <v>7987</v>
      </c>
      <c r="D84" s="111">
        <v>2018.0</v>
      </c>
      <c r="E84" s="111"/>
      <c r="F84" s="111" t="s">
        <v>12385</v>
      </c>
      <c r="G84" s="111" t="s">
        <v>12224</v>
      </c>
      <c r="H84" s="111"/>
      <c r="I84" s="111" t="s">
        <v>12406</v>
      </c>
      <c r="J84" s="111"/>
      <c r="K84" s="111" t="s">
        <v>12449</v>
      </c>
      <c r="L84" s="111"/>
      <c r="M84" s="111"/>
      <c r="N84" s="111"/>
      <c r="O84" s="111"/>
      <c r="P84" s="111"/>
      <c r="Q84" s="111"/>
      <c r="R84" s="111"/>
      <c r="S84" s="111"/>
      <c r="T84" s="111"/>
      <c r="U84" s="111"/>
      <c r="V84" s="111"/>
      <c r="W84" s="111"/>
      <c r="X84" s="111">
        <v>1.0</v>
      </c>
      <c r="Y84" s="111"/>
      <c r="Z84" s="111" t="s">
        <v>12523</v>
      </c>
      <c r="AA84" s="129">
        <f>IF(Projects!$AI84="Electrolysis",
AB84*VLOOKUP(G84,ElectrolysisConvF,3,FALSE),
"")</f>
        <v>0.0184</v>
      </c>
      <c r="AB84" s="125">
        <v>4.0</v>
      </c>
      <c r="AC84" s="126">
        <f t="shared" si="9"/>
        <v>0.00311856</v>
      </c>
      <c r="AD84" s="125"/>
      <c r="AE84" s="125">
        <f t="shared" si="4"/>
        <v>4</v>
      </c>
      <c r="AF84" s="127" t="s">
        <v>12524</v>
      </c>
      <c r="AG84" s="127">
        <v>0.0</v>
      </c>
      <c r="AH84" s="127">
        <v>0.0</v>
      </c>
      <c r="AI84" s="115" t="s">
        <v>12383</v>
      </c>
      <c r="AJ84" s="116">
        <v>0.57</v>
      </c>
      <c r="AK84" s="117"/>
      <c r="AL84" s="117"/>
      <c r="AM84" s="117"/>
      <c r="AN84" s="117"/>
      <c r="AO84" s="117"/>
    </row>
    <row r="85" ht="34.5" customHeight="1">
      <c r="A85" s="111">
        <v>93.0</v>
      </c>
      <c r="B85" s="111" t="s">
        <v>8055</v>
      </c>
      <c r="C85" s="111" t="s">
        <v>7983</v>
      </c>
      <c r="D85" s="111">
        <v>2018.0</v>
      </c>
      <c r="E85" s="111"/>
      <c r="F85" s="111" t="s">
        <v>12385</v>
      </c>
      <c r="G85" s="111" t="s">
        <v>12226</v>
      </c>
      <c r="H85" s="111"/>
      <c r="I85" s="111" t="s">
        <v>12419</v>
      </c>
      <c r="J85" s="111"/>
      <c r="K85" s="111" t="s">
        <v>30</v>
      </c>
      <c r="L85" s="111"/>
      <c r="M85" s="111"/>
      <c r="N85" s="111"/>
      <c r="O85" s="111"/>
      <c r="P85" s="111"/>
      <c r="Q85" s="111"/>
      <c r="R85" s="111">
        <v>1.0</v>
      </c>
      <c r="S85" s="111"/>
      <c r="T85" s="111"/>
      <c r="U85" s="111"/>
      <c r="V85" s="111"/>
      <c r="W85" s="111"/>
      <c r="X85" s="111"/>
      <c r="Y85" s="111"/>
      <c r="Z85" s="111" t="s">
        <v>12484</v>
      </c>
      <c r="AA85" s="129">
        <f>IF(Projects!$AI85="Electrolysis",
AB85*VLOOKUP(G85,ElectrolysisConvF,3,FALSE),
"")</f>
        <v>0.0052</v>
      </c>
      <c r="AB85" s="125">
        <v>1.0</v>
      </c>
      <c r="AC85" s="126">
        <f t="shared" si="9"/>
        <v>0.00077964</v>
      </c>
      <c r="AD85" s="125"/>
      <c r="AE85" s="125">
        <f t="shared" si="4"/>
        <v>1</v>
      </c>
      <c r="AF85" s="127" t="s">
        <v>12525</v>
      </c>
      <c r="AG85" s="127">
        <v>0.0</v>
      </c>
      <c r="AH85" s="127">
        <v>0.0</v>
      </c>
      <c r="AI85" s="115" t="s">
        <v>12383</v>
      </c>
      <c r="AJ85" s="116">
        <v>0.57</v>
      </c>
      <c r="AK85" s="117"/>
      <c r="AL85" s="117"/>
      <c r="AM85" s="117"/>
      <c r="AN85" s="117"/>
      <c r="AO85" s="117"/>
    </row>
    <row r="86" ht="34.5" customHeight="1">
      <c r="A86" s="111">
        <v>94.0</v>
      </c>
      <c r="B86" s="111" t="s">
        <v>8056</v>
      </c>
      <c r="C86" s="111" t="s">
        <v>7983</v>
      </c>
      <c r="D86" s="111">
        <v>2018.0</v>
      </c>
      <c r="E86" s="111"/>
      <c r="F86" s="111" t="s">
        <v>12385</v>
      </c>
      <c r="G86" s="111" t="s">
        <v>12226</v>
      </c>
      <c r="H86" s="111"/>
      <c r="I86" s="111" t="s">
        <v>12419</v>
      </c>
      <c r="J86" s="111"/>
      <c r="K86" s="111" t="s">
        <v>30</v>
      </c>
      <c r="L86" s="111"/>
      <c r="M86" s="111"/>
      <c r="N86" s="111"/>
      <c r="O86" s="111"/>
      <c r="P86" s="111"/>
      <c r="Q86" s="111"/>
      <c r="R86" s="111"/>
      <c r="S86" s="111"/>
      <c r="T86" s="111">
        <v>1.0</v>
      </c>
      <c r="U86" s="111"/>
      <c r="V86" s="111"/>
      <c r="W86" s="111"/>
      <c r="X86" s="111"/>
      <c r="Y86" s="111"/>
      <c r="Z86" s="111" t="s">
        <v>12484</v>
      </c>
      <c r="AA86" s="129">
        <f>IF(Projects!$AI86="Electrolysis",
AB86*VLOOKUP(G86,ElectrolysisConvF,3,FALSE),
"")</f>
        <v>0.0052</v>
      </c>
      <c r="AB86" s="125">
        <v>1.0</v>
      </c>
      <c r="AC86" s="126">
        <f t="shared" si="9"/>
        <v>0.00077964</v>
      </c>
      <c r="AD86" s="125"/>
      <c r="AE86" s="125">
        <f t="shared" si="4"/>
        <v>1</v>
      </c>
      <c r="AF86" s="127"/>
      <c r="AG86" s="127">
        <v>0.0</v>
      </c>
      <c r="AH86" s="127">
        <v>0.0</v>
      </c>
      <c r="AI86" s="115" t="s">
        <v>12383</v>
      </c>
      <c r="AJ86" s="116">
        <v>0.57</v>
      </c>
      <c r="AK86" s="117"/>
      <c r="AL86" s="117"/>
      <c r="AM86" s="117"/>
      <c r="AN86" s="117"/>
      <c r="AO86" s="117"/>
    </row>
    <row r="87" ht="34.5" customHeight="1">
      <c r="A87" s="111">
        <v>95.0</v>
      </c>
      <c r="B87" s="111" t="s">
        <v>8057</v>
      </c>
      <c r="C87" s="111" t="s">
        <v>7987</v>
      </c>
      <c r="D87" s="111">
        <v>2018.0</v>
      </c>
      <c r="E87" s="111"/>
      <c r="F87" s="111" t="s">
        <v>12385</v>
      </c>
      <c r="G87" s="111" t="s">
        <v>12381</v>
      </c>
      <c r="H87" s="111" t="s">
        <v>12230</v>
      </c>
      <c r="I87" s="111" t="s">
        <v>12419</v>
      </c>
      <c r="J87" s="111"/>
      <c r="K87" s="111" t="s">
        <v>12449</v>
      </c>
      <c r="L87" s="111"/>
      <c r="M87" s="111"/>
      <c r="N87" s="111"/>
      <c r="O87" s="111"/>
      <c r="P87" s="111"/>
      <c r="Q87" s="111"/>
      <c r="R87" s="111"/>
      <c r="S87" s="111"/>
      <c r="T87" s="111"/>
      <c r="U87" s="111"/>
      <c r="V87" s="111"/>
      <c r="W87" s="111"/>
      <c r="X87" s="111">
        <v>1.0</v>
      </c>
      <c r="Y87" s="111"/>
      <c r="Z87" s="111" t="s">
        <v>12526</v>
      </c>
      <c r="AA87" s="129">
        <f>IF(Projects!$AI87="Electrolysis",
AB87*VLOOKUP(G87,ElectrolysisConvF,3,FALSE),
"")</f>
        <v>0.001125</v>
      </c>
      <c r="AB87" s="125">
        <v>0.25</v>
      </c>
      <c r="AC87" s="126">
        <f t="shared" si="9"/>
        <v>0.00019491</v>
      </c>
      <c r="AD87" s="125"/>
      <c r="AE87" s="125">
        <f t="shared" si="4"/>
        <v>0.25</v>
      </c>
      <c r="AF87" s="127" t="s">
        <v>12527</v>
      </c>
      <c r="AG87" s="127">
        <v>0.0</v>
      </c>
      <c r="AH87" s="127">
        <v>0.0</v>
      </c>
      <c r="AI87" s="115" t="s">
        <v>12383</v>
      </c>
      <c r="AJ87" s="116">
        <v>0.57</v>
      </c>
      <c r="AK87" s="117"/>
      <c r="AL87" s="117"/>
      <c r="AM87" s="117"/>
      <c r="AN87" s="117"/>
      <c r="AO87" s="117"/>
    </row>
    <row r="88" ht="34.5" customHeight="1">
      <c r="A88" s="111">
        <v>96.0</v>
      </c>
      <c r="B88" s="111" t="s">
        <v>8058</v>
      </c>
      <c r="C88" s="111" t="s">
        <v>7974</v>
      </c>
      <c r="D88" s="111">
        <v>2018.0</v>
      </c>
      <c r="E88" s="111"/>
      <c r="F88" s="111" t="s">
        <v>12385</v>
      </c>
      <c r="G88" s="111" t="s">
        <v>12226</v>
      </c>
      <c r="H88" s="111"/>
      <c r="I88" s="111" t="s">
        <v>12419</v>
      </c>
      <c r="J88" s="111"/>
      <c r="K88" s="111" t="s">
        <v>30</v>
      </c>
      <c r="L88" s="111"/>
      <c r="M88" s="111"/>
      <c r="N88" s="111"/>
      <c r="O88" s="111"/>
      <c r="P88" s="111"/>
      <c r="Q88" s="111">
        <v>1.0</v>
      </c>
      <c r="R88" s="111"/>
      <c r="S88" s="111"/>
      <c r="T88" s="111"/>
      <c r="U88" s="111"/>
      <c r="V88" s="111"/>
      <c r="W88" s="111"/>
      <c r="X88" s="111"/>
      <c r="Y88" s="111"/>
      <c r="Z88" s="111"/>
      <c r="AA88" s="124"/>
      <c r="AB88" s="125"/>
      <c r="AC88" s="126"/>
      <c r="AD88" s="125"/>
      <c r="AE88" s="125" t="str">
        <f t="shared" si="4"/>
        <v/>
      </c>
      <c r="AF88" s="127" t="s">
        <v>12528</v>
      </c>
      <c r="AG88" s="127">
        <v>0.0</v>
      </c>
      <c r="AH88" s="127">
        <v>0.0</v>
      </c>
      <c r="AI88" s="115" t="s">
        <v>12383</v>
      </c>
      <c r="AJ88" s="116">
        <v>0.57</v>
      </c>
      <c r="AK88" s="117"/>
      <c r="AL88" s="117"/>
      <c r="AM88" s="117"/>
      <c r="AN88" s="117"/>
      <c r="AO88" s="117"/>
    </row>
    <row r="89" ht="34.5" customHeight="1">
      <c r="A89" s="111">
        <v>97.0</v>
      </c>
      <c r="B89" s="111" t="s">
        <v>8059</v>
      </c>
      <c r="C89" s="111" t="s">
        <v>7991</v>
      </c>
      <c r="D89" s="111">
        <v>2035.0</v>
      </c>
      <c r="E89" s="111"/>
      <c r="F89" s="111" t="s">
        <v>12397</v>
      </c>
      <c r="G89" s="111" t="s">
        <v>12235</v>
      </c>
      <c r="H89" s="111" t="s">
        <v>12529</v>
      </c>
      <c r="I89" s="111"/>
      <c r="J89" s="111"/>
      <c r="K89" s="111" t="s">
        <v>30</v>
      </c>
      <c r="L89" s="111">
        <v>1.0</v>
      </c>
      <c r="M89" s="111"/>
      <c r="N89" s="111"/>
      <c r="O89" s="111"/>
      <c r="P89" s="111">
        <v>1.0</v>
      </c>
      <c r="Q89" s="111">
        <v>1.0</v>
      </c>
      <c r="R89" s="111"/>
      <c r="S89" s="111">
        <v>1.0</v>
      </c>
      <c r="T89" s="111"/>
      <c r="U89" s="111"/>
      <c r="V89" s="111"/>
      <c r="W89" s="111"/>
      <c r="X89" s="111"/>
      <c r="Y89" s="111"/>
      <c r="Z89" s="111" t="s">
        <v>12530</v>
      </c>
      <c r="AA89" s="124"/>
      <c r="AB89" s="125">
        <f>IF(Projects!$AI89="Electrolysis",
AA89/VLOOKUP(G89,ElectrolysisConvF,3,FALSE),
AC89*10^6/(H2dens*HoursInYear))</f>
        <v>3890730.337</v>
      </c>
      <c r="AC89" s="126">
        <f>12150*HoursInYear*0.95*3.6/120/1000</f>
        <v>3033.369</v>
      </c>
      <c r="AD89" s="125">
        <v>1.5E7</v>
      </c>
      <c r="AE89" s="125">
        <f t="shared" ref="AE89:AE90" si="10">IF(AND(G89&lt;&gt;"NG w CCUS",G89&lt;&gt;"Oil w CCUS",G89&lt;&gt;"Coal w CCUS"),AB89,AD89*10^3/(HoursInYear*IF(G89="NG w CCUS",0.9105,1.9075)))</f>
        <v>1880646.642</v>
      </c>
      <c r="AF89" s="127" t="s">
        <v>12531</v>
      </c>
      <c r="AG89" s="127">
        <v>54.5766899240601</v>
      </c>
      <c r="AH89" s="127">
        <v>-1.25239305318711</v>
      </c>
      <c r="AI89" s="115" t="s">
        <v>12378</v>
      </c>
      <c r="AJ89" s="116">
        <v>0.9</v>
      </c>
      <c r="AK89" s="117"/>
      <c r="AL89" s="117"/>
      <c r="AM89" s="117"/>
      <c r="AN89" s="117"/>
      <c r="AO89" s="117"/>
    </row>
    <row r="90" ht="34.5" customHeight="1">
      <c r="A90" s="111">
        <v>111.0</v>
      </c>
      <c r="B90" s="111" t="s">
        <v>8060</v>
      </c>
      <c r="C90" s="111" t="s">
        <v>7991</v>
      </c>
      <c r="D90" s="111">
        <v>2027.0</v>
      </c>
      <c r="E90" s="111"/>
      <c r="F90" s="111" t="s">
        <v>12399</v>
      </c>
      <c r="G90" s="111" t="s">
        <v>12235</v>
      </c>
      <c r="H90" s="111" t="s">
        <v>12529</v>
      </c>
      <c r="I90" s="111"/>
      <c r="J90" s="111"/>
      <c r="K90" s="111" t="s">
        <v>30</v>
      </c>
      <c r="L90" s="111">
        <v>1.0</v>
      </c>
      <c r="M90" s="111"/>
      <c r="N90" s="111"/>
      <c r="O90" s="111"/>
      <c r="P90" s="111">
        <v>1.0</v>
      </c>
      <c r="Q90" s="111">
        <v>1.0</v>
      </c>
      <c r="R90" s="111">
        <v>1.0</v>
      </c>
      <c r="S90" s="111">
        <v>1.0</v>
      </c>
      <c r="T90" s="111"/>
      <c r="U90" s="111"/>
      <c r="V90" s="111"/>
      <c r="W90" s="111"/>
      <c r="X90" s="111"/>
      <c r="Y90" s="111"/>
      <c r="Z90" s="111" t="s">
        <v>12532</v>
      </c>
      <c r="AA90" s="124"/>
      <c r="AB90" s="125">
        <f>AC90/365/24/0.089*10^6</f>
        <v>115437.8944</v>
      </c>
      <c r="AC90" s="126">
        <f>3*3.6/0.12</f>
        <v>90</v>
      </c>
      <c r="AD90" s="131">
        <f>0.65*10^6</f>
        <v>650000</v>
      </c>
      <c r="AE90" s="125">
        <f t="shared" si="10"/>
        <v>81494.6878</v>
      </c>
      <c r="AF90" s="127" t="s">
        <v>12533</v>
      </c>
      <c r="AG90" s="127">
        <v>53.277031209918</v>
      </c>
      <c r="AH90" s="127">
        <v>-2.84186914778824</v>
      </c>
      <c r="AI90" s="115" t="s">
        <v>12378</v>
      </c>
      <c r="AJ90" s="116">
        <v>0.9</v>
      </c>
      <c r="AK90" s="117"/>
      <c r="AL90" s="117"/>
      <c r="AM90" s="117"/>
      <c r="AN90" s="117"/>
      <c r="AO90" s="117"/>
    </row>
    <row r="91" ht="34.5" customHeight="1">
      <c r="A91" s="111">
        <v>113.0</v>
      </c>
      <c r="B91" s="111" t="s">
        <v>8061</v>
      </c>
      <c r="C91" s="111" t="s">
        <v>8001</v>
      </c>
      <c r="D91" s="111">
        <v>2035.0</v>
      </c>
      <c r="E91" s="111"/>
      <c r="F91" s="111" t="s">
        <v>12397</v>
      </c>
      <c r="G91" s="111" t="s">
        <v>12381</v>
      </c>
      <c r="H91" s="111" t="s">
        <v>12230</v>
      </c>
      <c r="I91" s="111" t="s">
        <v>12394</v>
      </c>
      <c r="J91" s="111" t="s">
        <v>12295</v>
      </c>
      <c r="K91" s="111" t="s">
        <v>30</v>
      </c>
      <c r="L91" s="111"/>
      <c r="M91" s="111"/>
      <c r="N91" s="111"/>
      <c r="O91" s="111"/>
      <c r="P91" s="111"/>
      <c r="Q91" s="111"/>
      <c r="R91" s="111"/>
      <c r="S91" s="111"/>
      <c r="T91" s="111"/>
      <c r="U91" s="111"/>
      <c r="V91" s="111"/>
      <c r="W91" s="111"/>
      <c r="X91" s="111"/>
      <c r="Y91" s="111"/>
      <c r="Z91" s="111" t="s">
        <v>12534</v>
      </c>
      <c r="AA91" s="129">
        <f>IF(Projects!$AI91="Electrolysis",
AB91*VLOOKUP(G91,ElectrolysisConvF,3,FALSE),
"")</f>
        <v>11543.78944</v>
      </c>
      <c r="AB91" s="125">
        <f>AC91/(H2dens*HoursInYear/10^6)</f>
        <v>2565286.543</v>
      </c>
      <c r="AC91" s="126">
        <f>1000/Projects!$AJ91</f>
        <v>2000</v>
      </c>
      <c r="AD91" s="125"/>
      <c r="AE91" s="125"/>
      <c r="AF91" s="127" t="s">
        <v>12535</v>
      </c>
      <c r="AG91" s="127">
        <v>45.6682888467308</v>
      </c>
      <c r="AH91" s="127">
        <v>122.84638008563</v>
      </c>
      <c r="AI91" s="115" t="s">
        <v>12383</v>
      </c>
      <c r="AJ91" s="116">
        <v>0.5</v>
      </c>
      <c r="AK91" s="117"/>
      <c r="AL91" s="117"/>
      <c r="AM91" s="117"/>
      <c r="AN91" s="117"/>
      <c r="AO91" s="117"/>
    </row>
    <row r="92" ht="34.5" customHeight="1">
      <c r="A92" s="111">
        <v>115.0</v>
      </c>
      <c r="B92" s="111" t="s">
        <v>8062</v>
      </c>
      <c r="C92" s="111" t="s">
        <v>7987</v>
      </c>
      <c r="D92" s="111">
        <v>2017.0</v>
      </c>
      <c r="E92" s="111"/>
      <c r="F92" s="111" t="s">
        <v>12385</v>
      </c>
      <c r="G92" s="111" t="s">
        <v>12224</v>
      </c>
      <c r="H92" s="111"/>
      <c r="I92" s="111" t="s">
        <v>12419</v>
      </c>
      <c r="J92" s="111"/>
      <c r="K92" s="111" t="s">
        <v>30</v>
      </c>
      <c r="L92" s="111"/>
      <c r="M92" s="111"/>
      <c r="N92" s="111"/>
      <c r="O92" s="111"/>
      <c r="P92" s="111"/>
      <c r="Q92" s="111"/>
      <c r="R92" s="111">
        <v>1.0</v>
      </c>
      <c r="S92" s="111"/>
      <c r="T92" s="111">
        <v>1.0</v>
      </c>
      <c r="U92" s="111"/>
      <c r="V92" s="111"/>
      <c r="W92" s="111"/>
      <c r="X92" s="111"/>
      <c r="Y92" s="111"/>
      <c r="Z92" s="111" t="s">
        <v>12536</v>
      </c>
      <c r="AA92" s="124">
        <v>0.0625</v>
      </c>
      <c r="AB92" s="125">
        <f>IF(Projects!$AI92="Electrolysis",
AA92/VLOOKUP(G92,ElectrolysisConvF,3,FALSE),
AC92*10^6/(H2dens*HoursInYear))</f>
        <v>13.58695652</v>
      </c>
      <c r="AC92" s="126">
        <f t="shared" ref="AC92:AC99" si="11">AB92*H2dens*HoursInYear/10^6</f>
        <v>0.01059293478</v>
      </c>
      <c r="AD92" s="125"/>
      <c r="AE92" s="125">
        <f t="shared" ref="AE92:AE231" si="12">AB92</f>
        <v>13.58695652</v>
      </c>
      <c r="AF92" s="127" t="s">
        <v>12537</v>
      </c>
      <c r="AG92" s="127">
        <v>0.0</v>
      </c>
      <c r="AH92" s="127">
        <v>0.0</v>
      </c>
      <c r="AI92" s="115" t="s">
        <v>12383</v>
      </c>
      <c r="AJ92" s="116">
        <v>0.57</v>
      </c>
      <c r="AK92" s="117"/>
      <c r="AL92" s="117"/>
      <c r="AM92" s="117"/>
      <c r="AN92" s="117"/>
      <c r="AO92" s="117"/>
    </row>
    <row r="93" ht="34.5" customHeight="1">
      <c r="A93" s="111">
        <v>119.0</v>
      </c>
      <c r="B93" s="111" t="s">
        <v>8063</v>
      </c>
      <c r="C93" s="111" t="s">
        <v>8011</v>
      </c>
      <c r="D93" s="111">
        <v>2017.0</v>
      </c>
      <c r="E93" s="111"/>
      <c r="F93" s="111" t="s">
        <v>12385</v>
      </c>
      <c r="G93" s="111" t="s">
        <v>12226</v>
      </c>
      <c r="H93" s="111"/>
      <c r="I93" s="111" t="s">
        <v>12419</v>
      </c>
      <c r="J93" s="111"/>
      <c r="K93" s="111" t="s">
        <v>30</v>
      </c>
      <c r="L93" s="111"/>
      <c r="M93" s="111"/>
      <c r="N93" s="111"/>
      <c r="O93" s="111"/>
      <c r="P93" s="111"/>
      <c r="Q93" s="111">
        <v>1.0</v>
      </c>
      <c r="R93" s="111">
        <v>1.0</v>
      </c>
      <c r="S93" s="111"/>
      <c r="T93" s="111"/>
      <c r="U93" s="111"/>
      <c r="V93" s="111"/>
      <c r="W93" s="111"/>
      <c r="X93" s="111"/>
      <c r="Y93" s="111"/>
      <c r="Z93" s="111" t="s">
        <v>12538</v>
      </c>
      <c r="AA93" s="129">
        <f>IF(Projects!$AI93="Electrolysis",
AB93*VLOOKUP(G93,ElectrolysisConvF,3,FALSE),
"")</f>
        <v>0.0468</v>
      </c>
      <c r="AB93" s="125">
        <v>9.0</v>
      </c>
      <c r="AC93" s="126">
        <f t="shared" si="11"/>
        <v>0.00701676</v>
      </c>
      <c r="AD93" s="125"/>
      <c r="AE93" s="125">
        <f t="shared" si="12"/>
        <v>9</v>
      </c>
      <c r="AF93" s="127" t="s">
        <v>12539</v>
      </c>
      <c r="AG93" s="127">
        <v>0.0</v>
      </c>
      <c r="AH93" s="127">
        <v>0.0</v>
      </c>
      <c r="AI93" s="115" t="s">
        <v>12383</v>
      </c>
      <c r="AJ93" s="116">
        <v>0.57</v>
      </c>
      <c r="AK93" s="117"/>
      <c r="AL93" s="117"/>
      <c r="AM93" s="117"/>
      <c r="AN93" s="117"/>
      <c r="AO93" s="117"/>
    </row>
    <row r="94" ht="34.5" customHeight="1">
      <c r="A94" s="111">
        <v>120.0</v>
      </c>
      <c r="B94" s="111" t="s">
        <v>8064</v>
      </c>
      <c r="C94" s="111" t="s">
        <v>7994</v>
      </c>
      <c r="D94" s="111">
        <v>2017.0</v>
      </c>
      <c r="E94" s="111">
        <v>2020.0</v>
      </c>
      <c r="F94" s="111" t="s">
        <v>12418</v>
      </c>
      <c r="G94" s="111" t="s">
        <v>12228</v>
      </c>
      <c r="H94" s="111"/>
      <c r="I94" s="111" t="s">
        <v>12419</v>
      </c>
      <c r="J94" s="111"/>
      <c r="K94" s="111" t="s">
        <v>12449</v>
      </c>
      <c r="L94" s="111"/>
      <c r="M94" s="111"/>
      <c r="N94" s="111"/>
      <c r="O94" s="111"/>
      <c r="P94" s="111"/>
      <c r="Q94" s="111"/>
      <c r="R94" s="111"/>
      <c r="S94" s="111"/>
      <c r="T94" s="111"/>
      <c r="U94" s="111"/>
      <c r="V94" s="111"/>
      <c r="W94" s="111"/>
      <c r="X94" s="111">
        <v>1.0</v>
      </c>
      <c r="Y94" s="111"/>
      <c r="Z94" s="111" t="s">
        <v>12540</v>
      </c>
      <c r="AA94" s="129">
        <f>IF(Projects!$AI94="Electrolysis",
AB94*VLOOKUP(G94,ElectrolysisConvF,3,FALSE),
"")</f>
        <v>0.038</v>
      </c>
      <c r="AB94" s="125">
        <v>10.0</v>
      </c>
      <c r="AC94" s="126">
        <f t="shared" si="11"/>
        <v>0.0077964</v>
      </c>
      <c r="AD94" s="125"/>
      <c r="AE94" s="125">
        <f t="shared" si="12"/>
        <v>10</v>
      </c>
      <c r="AF94" s="127" t="s">
        <v>12541</v>
      </c>
      <c r="AG94" s="127">
        <v>55.8209367581636</v>
      </c>
      <c r="AH94" s="127">
        <v>12.5403704877297</v>
      </c>
      <c r="AI94" s="115" t="s">
        <v>12383</v>
      </c>
      <c r="AJ94" s="116">
        <v>0.57</v>
      </c>
      <c r="AK94" s="117"/>
      <c r="AL94" s="117"/>
      <c r="AM94" s="117"/>
      <c r="AN94" s="117"/>
      <c r="AO94" s="117"/>
    </row>
    <row r="95" ht="34.5" customHeight="1">
      <c r="A95" s="111">
        <v>121.0</v>
      </c>
      <c r="B95" s="111" t="s">
        <v>8065</v>
      </c>
      <c r="C95" s="111" t="s">
        <v>7983</v>
      </c>
      <c r="D95" s="111">
        <v>2017.0</v>
      </c>
      <c r="E95" s="111"/>
      <c r="F95" s="111" t="s">
        <v>12385</v>
      </c>
      <c r="G95" s="111" t="s">
        <v>12226</v>
      </c>
      <c r="H95" s="111"/>
      <c r="I95" s="111" t="s">
        <v>12419</v>
      </c>
      <c r="J95" s="111"/>
      <c r="K95" s="111" t="s">
        <v>30</v>
      </c>
      <c r="L95" s="111"/>
      <c r="M95" s="111"/>
      <c r="N95" s="111"/>
      <c r="O95" s="111"/>
      <c r="P95" s="111"/>
      <c r="Q95" s="111"/>
      <c r="R95" s="111">
        <v>1.0</v>
      </c>
      <c r="S95" s="111"/>
      <c r="T95" s="111"/>
      <c r="U95" s="111"/>
      <c r="V95" s="111"/>
      <c r="W95" s="111"/>
      <c r="X95" s="111"/>
      <c r="Y95" s="111"/>
      <c r="Z95" s="111" t="s">
        <v>12440</v>
      </c>
      <c r="AA95" s="129">
        <f>IF(Projects!$AI95="Electrolysis",
AB95*VLOOKUP(G95,ElectrolysisConvF,3,FALSE),
"")</f>
        <v>0.0052</v>
      </c>
      <c r="AB95" s="125">
        <v>1.0</v>
      </c>
      <c r="AC95" s="126">
        <f t="shared" si="11"/>
        <v>0.00077964</v>
      </c>
      <c r="AD95" s="125"/>
      <c r="AE95" s="125">
        <f t="shared" si="12"/>
        <v>1</v>
      </c>
      <c r="AF95" s="127" t="s">
        <v>12542</v>
      </c>
      <c r="AG95" s="127">
        <v>0.0</v>
      </c>
      <c r="AH95" s="127">
        <v>0.0</v>
      </c>
      <c r="AI95" s="115" t="s">
        <v>12383</v>
      </c>
      <c r="AJ95" s="116">
        <v>0.57</v>
      </c>
      <c r="AK95" s="117"/>
      <c r="AL95" s="117"/>
      <c r="AM95" s="117"/>
      <c r="AN95" s="117"/>
      <c r="AO95" s="117"/>
    </row>
    <row r="96" ht="34.5" customHeight="1">
      <c r="A96" s="111">
        <v>122.0</v>
      </c>
      <c r="B96" s="111" t="s">
        <v>8066</v>
      </c>
      <c r="C96" s="111" t="s">
        <v>7983</v>
      </c>
      <c r="D96" s="111">
        <v>2017.0</v>
      </c>
      <c r="E96" s="111"/>
      <c r="F96" s="111" t="s">
        <v>12385</v>
      </c>
      <c r="G96" s="111" t="s">
        <v>12226</v>
      </c>
      <c r="H96" s="111"/>
      <c r="I96" s="111" t="s">
        <v>12419</v>
      </c>
      <c r="J96" s="111"/>
      <c r="K96" s="111" t="s">
        <v>30</v>
      </c>
      <c r="L96" s="111"/>
      <c r="M96" s="111"/>
      <c r="N96" s="111"/>
      <c r="O96" s="111"/>
      <c r="P96" s="111"/>
      <c r="Q96" s="111">
        <v>1.0</v>
      </c>
      <c r="R96" s="111"/>
      <c r="S96" s="111"/>
      <c r="T96" s="111"/>
      <c r="U96" s="111"/>
      <c r="V96" s="111"/>
      <c r="W96" s="111"/>
      <c r="X96" s="111"/>
      <c r="Y96" s="111"/>
      <c r="Z96" s="111" t="s">
        <v>12440</v>
      </c>
      <c r="AA96" s="129">
        <f>IF(Projects!$AI96="Electrolysis",
AB96*VLOOKUP(G96,ElectrolysisConvF,3,FALSE),
"")</f>
        <v>0.0052</v>
      </c>
      <c r="AB96" s="125">
        <v>1.0</v>
      </c>
      <c r="AC96" s="126">
        <f t="shared" si="11"/>
        <v>0.00077964</v>
      </c>
      <c r="AD96" s="125"/>
      <c r="AE96" s="125">
        <f t="shared" si="12"/>
        <v>1</v>
      </c>
      <c r="AF96" s="127" t="s">
        <v>12543</v>
      </c>
      <c r="AG96" s="127">
        <v>0.0</v>
      </c>
      <c r="AH96" s="127">
        <v>0.0</v>
      </c>
      <c r="AI96" s="115" t="s">
        <v>12383</v>
      </c>
      <c r="AJ96" s="116">
        <v>0.57</v>
      </c>
      <c r="AK96" s="117"/>
      <c r="AL96" s="117"/>
      <c r="AM96" s="117"/>
      <c r="AN96" s="117"/>
      <c r="AO96" s="117"/>
    </row>
    <row r="97" ht="34.5" customHeight="1">
      <c r="A97" s="111">
        <v>123.0</v>
      </c>
      <c r="B97" s="111" t="s">
        <v>8067</v>
      </c>
      <c r="C97" s="111" t="s">
        <v>7983</v>
      </c>
      <c r="D97" s="111">
        <v>2017.0</v>
      </c>
      <c r="E97" s="111"/>
      <c r="F97" s="111" t="s">
        <v>12385</v>
      </c>
      <c r="G97" s="111" t="s">
        <v>12226</v>
      </c>
      <c r="H97" s="111"/>
      <c r="I97" s="111" t="s">
        <v>12419</v>
      </c>
      <c r="J97" s="111"/>
      <c r="K97" s="111" t="s">
        <v>30</v>
      </c>
      <c r="L97" s="111"/>
      <c r="M97" s="111"/>
      <c r="N97" s="111"/>
      <c r="O97" s="111"/>
      <c r="P97" s="111"/>
      <c r="Q97" s="111">
        <v>1.0</v>
      </c>
      <c r="R97" s="111"/>
      <c r="S97" s="111"/>
      <c r="T97" s="111"/>
      <c r="U97" s="111"/>
      <c r="V97" s="111"/>
      <c r="W97" s="111"/>
      <c r="X97" s="111"/>
      <c r="Y97" s="111"/>
      <c r="Z97" s="111" t="s">
        <v>12440</v>
      </c>
      <c r="AA97" s="129">
        <f>IF(Projects!$AI97="Electrolysis",
AB97*VLOOKUP(G97,ElectrolysisConvF,3,FALSE),
"")</f>
        <v>0.0052</v>
      </c>
      <c r="AB97" s="125">
        <v>1.0</v>
      </c>
      <c r="AC97" s="126">
        <f t="shared" si="11"/>
        <v>0.00077964</v>
      </c>
      <c r="AD97" s="125"/>
      <c r="AE97" s="125">
        <f t="shared" si="12"/>
        <v>1</v>
      </c>
      <c r="AF97" s="127" t="s">
        <v>12544</v>
      </c>
      <c r="AG97" s="127">
        <v>0.0</v>
      </c>
      <c r="AH97" s="127">
        <v>0.0</v>
      </c>
      <c r="AI97" s="115" t="s">
        <v>12383</v>
      </c>
      <c r="AJ97" s="116">
        <v>0.57</v>
      </c>
      <c r="AK97" s="117"/>
      <c r="AL97" s="117"/>
      <c r="AM97" s="117"/>
      <c r="AN97" s="117"/>
      <c r="AO97" s="117"/>
    </row>
    <row r="98" ht="34.5" customHeight="1">
      <c r="A98" s="111">
        <v>124.0</v>
      </c>
      <c r="B98" s="111" t="s">
        <v>8068</v>
      </c>
      <c r="C98" s="111" t="s">
        <v>8069</v>
      </c>
      <c r="D98" s="111">
        <v>2017.0</v>
      </c>
      <c r="E98" s="111"/>
      <c r="F98" s="111" t="s">
        <v>12385</v>
      </c>
      <c r="G98" s="111" t="s">
        <v>12226</v>
      </c>
      <c r="H98" s="111"/>
      <c r="I98" s="111" t="s">
        <v>12394</v>
      </c>
      <c r="J98" s="111" t="s">
        <v>12295</v>
      </c>
      <c r="K98" s="111" t="s">
        <v>30</v>
      </c>
      <c r="L98" s="111"/>
      <c r="M98" s="111"/>
      <c r="N98" s="111"/>
      <c r="O98" s="111"/>
      <c r="P98" s="111"/>
      <c r="Q98" s="111">
        <v>1.0</v>
      </c>
      <c r="R98" s="111"/>
      <c r="S98" s="111"/>
      <c r="T98" s="111"/>
      <c r="U98" s="111"/>
      <c r="V98" s="111"/>
      <c r="W98" s="111"/>
      <c r="X98" s="111"/>
      <c r="Y98" s="111"/>
      <c r="Z98" s="111" t="s">
        <v>12440</v>
      </c>
      <c r="AA98" s="129">
        <f>IF(Projects!$AI98="Electrolysis",
AB98*VLOOKUP(G98,ElectrolysisConvF,3,FALSE),
"")</f>
        <v>0.0052</v>
      </c>
      <c r="AB98" s="125">
        <v>1.0</v>
      </c>
      <c r="AC98" s="126">
        <f t="shared" si="11"/>
        <v>0.00077964</v>
      </c>
      <c r="AD98" s="125"/>
      <c r="AE98" s="125">
        <f t="shared" si="12"/>
        <v>1</v>
      </c>
      <c r="AF98" s="127"/>
      <c r="AG98" s="127">
        <v>10.4210978412384</v>
      </c>
      <c r="AH98" s="127">
        <v>-85.4209688633961</v>
      </c>
      <c r="AI98" s="115" t="s">
        <v>12383</v>
      </c>
      <c r="AJ98" s="116">
        <v>0.5</v>
      </c>
      <c r="AK98" s="117"/>
      <c r="AL98" s="117"/>
      <c r="AM98" s="117"/>
      <c r="AN98" s="117"/>
      <c r="AO98" s="117"/>
    </row>
    <row r="99" ht="34.5" customHeight="1">
      <c r="A99" s="111">
        <v>125.0</v>
      </c>
      <c r="B99" s="111" t="s">
        <v>8070</v>
      </c>
      <c r="C99" s="111" t="s">
        <v>8071</v>
      </c>
      <c r="D99" s="111">
        <v>2017.0</v>
      </c>
      <c r="E99" s="111"/>
      <c r="F99" s="111" t="s">
        <v>12385</v>
      </c>
      <c r="G99" s="111" t="s">
        <v>12381</v>
      </c>
      <c r="H99" s="111" t="s">
        <v>12230</v>
      </c>
      <c r="I99" s="111" t="s">
        <v>12394</v>
      </c>
      <c r="J99" s="111" t="s">
        <v>12295</v>
      </c>
      <c r="K99" s="111" t="s">
        <v>30</v>
      </c>
      <c r="L99" s="111"/>
      <c r="M99" s="111"/>
      <c r="N99" s="111"/>
      <c r="O99" s="111"/>
      <c r="P99" s="111"/>
      <c r="Q99" s="111"/>
      <c r="R99" s="111">
        <v>1.0</v>
      </c>
      <c r="S99" s="111"/>
      <c r="T99" s="111"/>
      <c r="U99" s="111"/>
      <c r="V99" s="111"/>
      <c r="W99" s="111"/>
      <c r="X99" s="111"/>
      <c r="Y99" s="111"/>
      <c r="Z99" s="111" t="s">
        <v>12438</v>
      </c>
      <c r="AA99" s="124">
        <v>0.05</v>
      </c>
      <c r="AB99" s="125">
        <f>IF(Projects!$AI99="Electrolysis",
AA99/VLOOKUP(G99,ElectrolysisConvF,3,FALSE),
AC99*10^6/(H2dens*HoursInYear))</f>
        <v>11.11111111</v>
      </c>
      <c r="AC99" s="126">
        <f t="shared" si="11"/>
        <v>0.008662666667</v>
      </c>
      <c r="AD99" s="125"/>
      <c r="AE99" s="125">
        <f t="shared" si="12"/>
        <v>11.11111111</v>
      </c>
      <c r="AF99" s="127" t="s">
        <v>12545</v>
      </c>
      <c r="AG99" s="127">
        <v>-21.2247270083931</v>
      </c>
      <c r="AH99" s="127">
        <v>-68.2517899610998</v>
      </c>
      <c r="AI99" s="115" t="s">
        <v>12383</v>
      </c>
      <c r="AJ99" s="116">
        <v>0.5</v>
      </c>
      <c r="AK99" s="117"/>
      <c r="AL99" s="117"/>
      <c r="AM99" s="117"/>
      <c r="AN99" s="117"/>
      <c r="AO99" s="117"/>
    </row>
    <row r="100" ht="34.5" customHeight="1">
      <c r="A100" s="111">
        <v>126.0</v>
      </c>
      <c r="B100" s="111" t="s">
        <v>8072</v>
      </c>
      <c r="C100" s="111" t="s">
        <v>7987</v>
      </c>
      <c r="D100" s="111">
        <v>2017.0</v>
      </c>
      <c r="E100" s="111"/>
      <c r="F100" s="111" t="s">
        <v>12418</v>
      </c>
      <c r="G100" s="111" t="s">
        <v>12226</v>
      </c>
      <c r="H100" s="111"/>
      <c r="I100" s="111" t="s">
        <v>12419</v>
      </c>
      <c r="J100" s="111"/>
      <c r="K100" s="111" t="s">
        <v>30</v>
      </c>
      <c r="L100" s="111"/>
      <c r="M100" s="111"/>
      <c r="N100" s="111"/>
      <c r="O100" s="111"/>
      <c r="P100" s="111"/>
      <c r="Q100" s="111"/>
      <c r="R100" s="111">
        <v>1.0</v>
      </c>
      <c r="S100" s="111"/>
      <c r="T100" s="111"/>
      <c r="U100" s="111"/>
      <c r="V100" s="111"/>
      <c r="W100" s="111"/>
      <c r="X100" s="111"/>
      <c r="Y100" s="111"/>
      <c r="Z100" s="111"/>
      <c r="AA100" s="124"/>
      <c r="AB100" s="125"/>
      <c r="AC100" s="126"/>
      <c r="AD100" s="125"/>
      <c r="AE100" s="125" t="str">
        <f t="shared" si="12"/>
        <v/>
      </c>
      <c r="AF100" s="127"/>
      <c r="AG100" s="127">
        <v>0.0</v>
      </c>
      <c r="AH100" s="127">
        <v>0.0</v>
      </c>
      <c r="AI100" s="115" t="s">
        <v>12383</v>
      </c>
      <c r="AJ100" s="116">
        <v>0.57</v>
      </c>
      <c r="AK100" s="117"/>
      <c r="AL100" s="117"/>
      <c r="AM100" s="117"/>
      <c r="AN100" s="117"/>
      <c r="AO100" s="117"/>
    </row>
    <row r="101" ht="34.5" customHeight="1">
      <c r="A101" s="111">
        <v>127.0</v>
      </c>
      <c r="B101" s="111" t="s">
        <v>8073</v>
      </c>
      <c r="C101" s="111" t="s">
        <v>7987</v>
      </c>
      <c r="D101" s="111">
        <v>2016.0</v>
      </c>
      <c r="E101" s="111"/>
      <c r="F101" s="111" t="s">
        <v>12385</v>
      </c>
      <c r="G101" s="111" t="s">
        <v>12226</v>
      </c>
      <c r="H101" s="111"/>
      <c r="I101" s="111" t="s">
        <v>12406</v>
      </c>
      <c r="J101" s="111"/>
      <c r="K101" s="111" t="s">
        <v>30</v>
      </c>
      <c r="L101" s="111"/>
      <c r="M101" s="111"/>
      <c r="N101" s="111"/>
      <c r="O101" s="111"/>
      <c r="P101" s="111"/>
      <c r="Q101" s="111"/>
      <c r="R101" s="111">
        <v>1.0</v>
      </c>
      <c r="S101" s="111">
        <v>1.0</v>
      </c>
      <c r="T101" s="111">
        <v>1.0</v>
      </c>
      <c r="U101" s="111"/>
      <c r="V101" s="111"/>
      <c r="W101" s="111"/>
      <c r="X101" s="111"/>
      <c r="Y101" s="111"/>
      <c r="Z101" s="111" t="s">
        <v>12546</v>
      </c>
      <c r="AA101" s="124">
        <v>1.25</v>
      </c>
      <c r="AB101" s="125">
        <f>IF(Projects!$AI101="Electrolysis",
AA101/VLOOKUP(G101,ElectrolysisConvF,3,FALSE),
AC101*10^6/(H2dens*HoursInYear))</f>
        <v>240.3846154</v>
      </c>
      <c r="AC101" s="126">
        <f t="shared" ref="AC101:AC119" si="13">AB101*H2dens*HoursInYear/10^6</f>
        <v>0.1874134615</v>
      </c>
      <c r="AD101" s="125"/>
      <c r="AE101" s="125">
        <f t="shared" si="12"/>
        <v>240.3846154</v>
      </c>
      <c r="AF101" s="127" t="s">
        <v>12547</v>
      </c>
      <c r="AG101" s="127">
        <v>0.0</v>
      </c>
      <c r="AH101" s="127">
        <v>0.0</v>
      </c>
      <c r="AI101" s="115" t="s">
        <v>12383</v>
      </c>
      <c r="AJ101" s="116">
        <v>0.57</v>
      </c>
      <c r="AK101" s="117"/>
      <c r="AL101" s="117"/>
      <c r="AM101" s="117"/>
      <c r="AN101" s="117"/>
      <c r="AO101" s="117"/>
    </row>
    <row r="102" ht="34.5" customHeight="1">
      <c r="A102" s="111">
        <v>130.0</v>
      </c>
      <c r="B102" s="111" t="s">
        <v>8074</v>
      </c>
      <c r="C102" s="111" t="s">
        <v>7987</v>
      </c>
      <c r="D102" s="111"/>
      <c r="E102" s="111"/>
      <c r="F102" s="111" t="s">
        <v>12399</v>
      </c>
      <c r="G102" s="111" t="s">
        <v>12226</v>
      </c>
      <c r="H102" s="111"/>
      <c r="I102" s="111" t="s">
        <v>12419</v>
      </c>
      <c r="J102" s="111"/>
      <c r="K102" s="111" t="s">
        <v>30</v>
      </c>
      <c r="L102" s="111">
        <v>1.0</v>
      </c>
      <c r="M102" s="111"/>
      <c r="N102" s="111"/>
      <c r="O102" s="111"/>
      <c r="P102" s="111">
        <v>1.0</v>
      </c>
      <c r="Q102" s="111"/>
      <c r="R102" s="111">
        <v>1.0</v>
      </c>
      <c r="S102" s="111"/>
      <c r="T102" s="111"/>
      <c r="U102" s="111"/>
      <c r="V102" s="111"/>
      <c r="W102" s="111"/>
      <c r="X102" s="111"/>
      <c r="Y102" s="111"/>
      <c r="Z102" s="111" t="s">
        <v>12548</v>
      </c>
      <c r="AA102" s="124">
        <v>120.0</v>
      </c>
      <c r="AB102" s="125">
        <f>IF(Projects!$AI102="Electrolysis",
AA102/VLOOKUP(G102,ElectrolysisConvF,3,FALSE),
AC102*10^6/(H2dens*HoursInYear))</f>
        <v>23076.92308</v>
      </c>
      <c r="AC102" s="126">
        <f t="shared" si="13"/>
        <v>17.99169231</v>
      </c>
      <c r="AD102" s="125"/>
      <c r="AE102" s="125">
        <f t="shared" si="12"/>
        <v>23076.92308</v>
      </c>
      <c r="AF102" s="127" t="s">
        <v>12549</v>
      </c>
      <c r="AG102" s="127">
        <v>51.43777627193</v>
      </c>
      <c r="AH102" s="127">
        <v>12.046691721069</v>
      </c>
      <c r="AI102" s="115" t="s">
        <v>12383</v>
      </c>
      <c r="AJ102" s="116">
        <v>0.57</v>
      </c>
      <c r="AK102" s="117"/>
      <c r="AL102" s="117"/>
      <c r="AM102" s="117"/>
      <c r="AN102" s="117"/>
      <c r="AO102" s="117"/>
    </row>
    <row r="103" ht="34.5" customHeight="1">
      <c r="A103" s="111">
        <v>134.0</v>
      </c>
      <c r="B103" s="111" t="s">
        <v>8075</v>
      </c>
      <c r="C103" s="111" t="s">
        <v>7987</v>
      </c>
      <c r="D103" s="111">
        <v>2016.0</v>
      </c>
      <c r="E103" s="111"/>
      <c r="F103" s="111" t="s">
        <v>12385</v>
      </c>
      <c r="G103" s="111" t="s">
        <v>12226</v>
      </c>
      <c r="H103" s="111"/>
      <c r="I103" s="111" t="s">
        <v>12419</v>
      </c>
      <c r="J103" s="111"/>
      <c r="K103" s="111" t="s">
        <v>30</v>
      </c>
      <c r="L103" s="111"/>
      <c r="M103" s="111"/>
      <c r="N103" s="111"/>
      <c r="O103" s="111"/>
      <c r="P103" s="111"/>
      <c r="Q103" s="111"/>
      <c r="R103" s="111"/>
      <c r="S103" s="111">
        <v>1.0</v>
      </c>
      <c r="T103" s="111"/>
      <c r="U103" s="111"/>
      <c r="V103" s="111"/>
      <c r="W103" s="111"/>
      <c r="X103" s="111"/>
      <c r="Y103" s="111"/>
      <c r="Z103" s="111" t="s">
        <v>12513</v>
      </c>
      <c r="AA103" s="124">
        <v>0.2</v>
      </c>
      <c r="AB103" s="125">
        <f>IF(Projects!$AI103="Electrolysis",
AA103/VLOOKUP(G103,ElectrolysisConvF,3,FALSE),
AC103*10^6/(H2dens*HoursInYear))</f>
        <v>38.46153846</v>
      </c>
      <c r="AC103" s="126">
        <f t="shared" si="13"/>
        <v>0.02998615385</v>
      </c>
      <c r="AD103" s="125"/>
      <c r="AE103" s="125">
        <f t="shared" si="12"/>
        <v>38.46153846</v>
      </c>
      <c r="AF103" s="127" t="s">
        <v>12550</v>
      </c>
      <c r="AG103" s="127">
        <v>0.0</v>
      </c>
      <c r="AH103" s="127">
        <v>0.0</v>
      </c>
      <c r="AI103" s="115" t="s">
        <v>12383</v>
      </c>
      <c r="AJ103" s="116">
        <v>0.57</v>
      </c>
      <c r="AK103" s="117"/>
      <c r="AL103" s="117"/>
      <c r="AM103" s="117"/>
      <c r="AN103" s="117"/>
      <c r="AO103" s="117"/>
    </row>
    <row r="104" ht="34.5" customHeight="1">
      <c r="A104" s="111">
        <v>135.0</v>
      </c>
      <c r="B104" s="111" t="s">
        <v>8076</v>
      </c>
      <c r="C104" s="111" t="s">
        <v>7987</v>
      </c>
      <c r="D104" s="111">
        <v>2016.0</v>
      </c>
      <c r="E104" s="111"/>
      <c r="F104" s="111" t="s">
        <v>12385</v>
      </c>
      <c r="G104" s="111" t="s">
        <v>12226</v>
      </c>
      <c r="H104" s="111"/>
      <c r="I104" s="111" t="s">
        <v>12406</v>
      </c>
      <c r="J104" s="111"/>
      <c r="K104" s="111" t="s">
        <v>30</v>
      </c>
      <c r="L104" s="111"/>
      <c r="M104" s="111"/>
      <c r="N104" s="111"/>
      <c r="O104" s="111"/>
      <c r="P104" s="111"/>
      <c r="Q104" s="111">
        <v>1.0</v>
      </c>
      <c r="R104" s="111"/>
      <c r="S104" s="111"/>
      <c r="T104" s="111"/>
      <c r="U104" s="111"/>
      <c r="V104" s="111"/>
      <c r="W104" s="111"/>
      <c r="X104" s="111"/>
      <c r="Y104" s="111"/>
      <c r="Z104" s="111" t="s">
        <v>12551</v>
      </c>
      <c r="AA104" s="124">
        <v>0.185</v>
      </c>
      <c r="AB104" s="125">
        <f>IF(Projects!$AI104="Electrolysis",
AA104/VLOOKUP(G104,ElectrolysisConvF,3,FALSE),
AC104*10^6/(H2dens*HoursInYear))</f>
        <v>35.57692308</v>
      </c>
      <c r="AC104" s="126">
        <f t="shared" si="13"/>
        <v>0.02773719231</v>
      </c>
      <c r="AD104" s="125"/>
      <c r="AE104" s="125">
        <f t="shared" si="12"/>
        <v>35.57692308</v>
      </c>
      <c r="AF104" s="127" t="s">
        <v>12552</v>
      </c>
      <c r="AG104" s="127">
        <v>53.5614269790593</v>
      </c>
      <c r="AH104" s="127">
        <v>9.97725997737585</v>
      </c>
      <c r="AI104" s="115" t="s">
        <v>12383</v>
      </c>
      <c r="AJ104" s="116">
        <v>0.57</v>
      </c>
      <c r="AK104" s="117"/>
      <c r="AL104" s="117"/>
      <c r="AM104" s="117"/>
      <c r="AN104" s="117"/>
      <c r="AO104" s="117"/>
    </row>
    <row r="105" ht="34.5" customHeight="1">
      <c r="A105" s="111">
        <v>136.0</v>
      </c>
      <c r="B105" s="111" t="s">
        <v>8077</v>
      </c>
      <c r="C105" s="111" t="s">
        <v>7987</v>
      </c>
      <c r="D105" s="111">
        <v>2016.0</v>
      </c>
      <c r="E105" s="111">
        <v>2017.0</v>
      </c>
      <c r="F105" s="111" t="s">
        <v>12418</v>
      </c>
      <c r="G105" s="111" t="s">
        <v>12226</v>
      </c>
      <c r="H105" s="111"/>
      <c r="I105" s="111" t="s">
        <v>12394</v>
      </c>
      <c r="J105" s="111" t="s">
        <v>12291</v>
      </c>
      <c r="K105" s="111" t="s">
        <v>30</v>
      </c>
      <c r="L105" s="111"/>
      <c r="M105" s="111"/>
      <c r="N105" s="111"/>
      <c r="O105" s="111"/>
      <c r="P105" s="111"/>
      <c r="Q105" s="111"/>
      <c r="R105" s="111">
        <v>1.0</v>
      </c>
      <c r="S105" s="111">
        <v>1.0</v>
      </c>
      <c r="T105" s="111"/>
      <c r="U105" s="111"/>
      <c r="V105" s="111"/>
      <c r="W105" s="111"/>
      <c r="X105" s="111"/>
      <c r="Y105" s="111"/>
      <c r="Z105" s="111" t="s">
        <v>12553</v>
      </c>
      <c r="AA105" s="124">
        <v>0.075</v>
      </c>
      <c r="AB105" s="125">
        <f>IF(Projects!$AI105="Electrolysis",
AA105/VLOOKUP(G105,ElectrolysisConvF,3,FALSE),
AC105*10^6/(H2dens*HoursInYear))</f>
        <v>14.42307692</v>
      </c>
      <c r="AC105" s="126">
        <f t="shared" si="13"/>
        <v>0.01124480769</v>
      </c>
      <c r="AD105" s="125"/>
      <c r="AE105" s="125">
        <f t="shared" si="12"/>
        <v>14.42307692</v>
      </c>
      <c r="AF105" s="127" t="s">
        <v>12554</v>
      </c>
      <c r="AG105" s="127">
        <v>50.0598431422964</v>
      </c>
      <c r="AH105" s="127">
        <v>12.1911371937966</v>
      </c>
      <c r="AI105" s="115" t="s">
        <v>12383</v>
      </c>
      <c r="AJ105" s="116">
        <v>0.3</v>
      </c>
      <c r="AK105" s="117"/>
      <c r="AL105" s="117"/>
      <c r="AM105" s="117"/>
      <c r="AN105" s="117"/>
      <c r="AO105" s="117"/>
    </row>
    <row r="106" ht="34.5" customHeight="1">
      <c r="A106" s="111">
        <v>137.0</v>
      </c>
      <c r="B106" s="111" t="s">
        <v>8078</v>
      </c>
      <c r="C106" s="111" t="s">
        <v>7981</v>
      </c>
      <c r="D106" s="111">
        <v>2016.0</v>
      </c>
      <c r="E106" s="111"/>
      <c r="F106" s="111" t="s">
        <v>12418</v>
      </c>
      <c r="G106" s="111" t="s">
        <v>12228</v>
      </c>
      <c r="H106" s="111"/>
      <c r="I106" s="111" t="s">
        <v>12419</v>
      </c>
      <c r="J106" s="111"/>
      <c r="K106" s="111" t="s">
        <v>30</v>
      </c>
      <c r="L106" s="111"/>
      <c r="M106" s="111"/>
      <c r="N106" s="111"/>
      <c r="O106" s="111"/>
      <c r="P106" s="111"/>
      <c r="Q106" s="111"/>
      <c r="R106" s="111">
        <v>1.0</v>
      </c>
      <c r="S106" s="111"/>
      <c r="T106" s="111"/>
      <c r="U106" s="111"/>
      <c r="V106" s="111"/>
      <c r="W106" s="111"/>
      <c r="X106" s="111"/>
      <c r="Y106" s="111"/>
      <c r="Z106" s="111" t="s">
        <v>12555</v>
      </c>
      <c r="AA106" s="124">
        <v>0.05</v>
      </c>
      <c r="AB106" s="125">
        <f>IF(Projects!$AI106="Electrolysis",
AA106/VLOOKUP(G106,ElectrolysisConvF,3,FALSE),
AC106*10^6/(H2dens*HoursInYear))</f>
        <v>13.15789474</v>
      </c>
      <c r="AC106" s="126">
        <f t="shared" si="13"/>
        <v>0.01025842105</v>
      </c>
      <c r="AD106" s="125"/>
      <c r="AE106" s="125">
        <f t="shared" si="12"/>
        <v>13.15789474</v>
      </c>
      <c r="AF106" s="127" t="s">
        <v>12556</v>
      </c>
      <c r="AG106" s="127">
        <v>0.0</v>
      </c>
      <c r="AH106" s="127">
        <v>0.0</v>
      </c>
      <c r="AI106" s="115" t="s">
        <v>12383</v>
      </c>
      <c r="AJ106" s="116">
        <v>0.57</v>
      </c>
      <c r="AK106" s="117"/>
      <c r="AL106" s="117"/>
      <c r="AM106" s="117"/>
      <c r="AN106" s="117"/>
      <c r="AO106" s="117"/>
    </row>
    <row r="107" ht="34.5" customHeight="1">
      <c r="A107" s="111">
        <v>138.0</v>
      </c>
      <c r="B107" s="111" t="s">
        <v>8079</v>
      </c>
      <c r="C107" s="111" t="s">
        <v>7971</v>
      </c>
      <c r="D107" s="111">
        <v>2016.0</v>
      </c>
      <c r="E107" s="111"/>
      <c r="F107" s="111" t="s">
        <v>12385</v>
      </c>
      <c r="G107" s="111" t="s">
        <v>12226</v>
      </c>
      <c r="H107" s="111"/>
      <c r="I107" s="111" t="s">
        <v>12419</v>
      </c>
      <c r="J107" s="111"/>
      <c r="K107" s="111" t="s">
        <v>30</v>
      </c>
      <c r="L107" s="111"/>
      <c r="M107" s="111"/>
      <c r="N107" s="111"/>
      <c r="O107" s="111"/>
      <c r="P107" s="111"/>
      <c r="Q107" s="111"/>
      <c r="R107" s="111">
        <v>1.0</v>
      </c>
      <c r="S107" s="111"/>
      <c r="T107" s="111"/>
      <c r="U107" s="111"/>
      <c r="V107" s="111"/>
      <c r="W107" s="111"/>
      <c r="X107" s="111"/>
      <c r="Y107" s="111"/>
      <c r="Z107" s="111" t="s">
        <v>12557</v>
      </c>
      <c r="AA107" s="129">
        <f>IF(Projects!$AI107="Electrolysis",
AB107*VLOOKUP(G107,ElectrolysisConvF,3,FALSE),
"")</f>
        <v>0.0104</v>
      </c>
      <c r="AB107" s="125">
        <v>2.0</v>
      </c>
      <c r="AC107" s="126">
        <f t="shared" si="13"/>
        <v>0.00155928</v>
      </c>
      <c r="AD107" s="125"/>
      <c r="AE107" s="125">
        <f t="shared" si="12"/>
        <v>2</v>
      </c>
      <c r="AF107" s="127" t="s">
        <v>12558</v>
      </c>
      <c r="AG107" s="127">
        <v>0.0</v>
      </c>
      <c r="AH107" s="127">
        <v>0.0</v>
      </c>
      <c r="AI107" s="115" t="s">
        <v>12383</v>
      </c>
      <c r="AJ107" s="116">
        <v>0.57</v>
      </c>
      <c r="AK107" s="117"/>
      <c r="AL107" s="117"/>
      <c r="AM107" s="117"/>
      <c r="AN107" s="117"/>
      <c r="AO107" s="117"/>
    </row>
    <row r="108" ht="34.5" customHeight="1">
      <c r="A108" s="111">
        <v>139.0</v>
      </c>
      <c r="B108" s="111" t="s">
        <v>8080</v>
      </c>
      <c r="C108" s="111" t="s">
        <v>7983</v>
      </c>
      <c r="D108" s="111">
        <v>2016.0</v>
      </c>
      <c r="E108" s="111"/>
      <c r="F108" s="111" t="s">
        <v>12385</v>
      </c>
      <c r="G108" s="111" t="s">
        <v>12226</v>
      </c>
      <c r="H108" s="111"/>
      <c r="I108" s="111" t="s">
        <v>12406</v>
      </c>
      <c r="J108" s="111"/>
      <c r="K108" s="111" t="s">
        <v>30</v>
      </c>
      <c r="L108" s="111"/>
      <c r="M108" s="111"/>
      <c r="N108" s="111"/>
      <c r="O108" s="111"/>
      <c r="P108" s="111"/>
      <c r="Q108" s="111"/>
      <c r="R108" s="111">
        <v>1.0</v>
      </c>
      <c r="S108" s="111"/>
      <c r="T108" s="111"/>
      <c r="U108" s="111"/>
      <c r="V108" s="111"/>
      <c r="W108" s="111"/>
      <c r="X108" s="111"/>
      <c r="Y108" s="111"/>
      <c r="Z108" s="111" t="s">
        <v>12484</v>
      </c>
      <c r="AA108" s="129">
        <f>IF(Projects!$AI108="Electrolysis",
AB108*VLOOKUP(G108,ElectrolysisConvF,3,FALSE),
"")</f>
        <v>0.0052</v>
      </c>
      <c r="AB108" s="125">
        <v>1.0</v>
      </c>
      <c r="AC108" s="126">
        <f t="shared" si="13"/>
        <v>0.00077964</v>
      </c>
      <c r="AD108" s="125"/>
      <c r="AE108" s="125">
        <f t="shared" si="12"/>
        <v>1</v>
      </c>
      <c r="AF108" s="127" t="s">
        <v>12559</v>
      </c>
      <c r="AG108" s="127">
        <v>0.0</v>
      </c>
      <c r="AH108" s="127">
        <v>0.0</v>
      </c>
      <c r="AI108" s="115" t="s">
        <v>12383</v>
      </c>
      <c r="AJ108" s="116">
        <v>0.57</v>
      </c>
      <c r="AK108" s="117"/>
      <c r="AL108" s="117"/>
      <c r="AM108" s="117"/>
      <c r="AN108" s="117"/>
      <c r="AO108" s="117"/>
    </row>
    <row r="109" ht="34.5" customHeight="1">
      <c r="A109" s="111">
        <v>140.0</v>
      </c>
      <c r="B109" s="111" t="s">
        <v>8081</v>
      </c>
      <c r="C109" s="111" t="s">
        <v>7983</v>
      </c>
      <c r="D109" s="111">
        <v>2016.0</v>
      </c>
      <c r="E109" s="111"/>
      <c r="F109" s="111" t="s">
        <v>12385</v>
      </c>
      <c r="G109" s="111" t="s">
        <v>12226</v>
      </c>
      <c r="H109" s="111"/>
      <c r="I109" s="111" t="s">
        <v>12406</v>
      </c>
      <c r="J109" s="111"/>
      <c r="K109" s="111" t="s">
        <v>30</v>
      </c>
      <c r="L109" s="111"/>
      <c r="M109" s="111"/>
      <c r="N109" s="111"/>
      <c r="O109" s="111"/>
      <c r="P109" s="111"/>
      <c r="Q109" s="111"/>
      <c r="R109" s="111">
        <v>1.0</v>
      </c>
      <c r="S109" s="111"/>
      <c r="T109" s="111"/>
      <c r="U109" s="111"/>
      <c r="V109" s="111"/>
      <c r="W109" s="111"/>
      <c r="X109" s="111"/>
      <c r="Y109" s="111"/>
      <c r="Z109" s="111" t="s">
        <v>12484</v>
      </c>
      <c r="AA109" s="129">
        <f>IF(Projects!$AI109="Electrolysis",
AB109*VLOOKUP(G109,ElectrolysisConvF,3,FALSE),
"")</f>
        <v>0.0052</v>
      </c>
      <c r="AB109" s="125">
        <v>1.0</v>
      </c>
      <c r="AC109" s="126">
        <f t="shared" si="13"/>
        <v>0.00077964</v>
      </c>
      <c r="AD109" s="125"/>
      <c r="AE109" s="125">
        <f t="shared" si="12"/>
        <v>1</v>
      </c>
      <c r="AF109" s="127" t="s">
        <v>12560</v>
      </c>
      <c r="AG109" s="127">
        <v>0.0</v>
      </c>
      <c r="AH109" s="127">
        <v>0.0</v>
      </c>
      <c r="AI109" s="115" t="s">
        <v>12383</v>
      </c>
      <c r="AJ109" s="116">
        <v>0.57</v>
      </c>
      <c r="AK109" s="117"/>
      <c r="AL109" s="117"/>
      <c r="AM109" s="117"/>
      <c r="AN109" s="117"/>
      <c r="AO109" s="117"/>
    </row>
    <row r="110" ht="34.5" customHeight="1">
      <c r="A110" s="111">
        <v>142.0</v>
      </c>
      <c r="B110" s="111" t="s">
        <v>8082</v>
      </c>
      <c r="C110" s="111" t="s">
        <v>7987</v>
      </c>
      <c r="D110" s="111">
        <v>2015.0</v>
      </c>
      <c r="E110" s="111">
        <v>2023.0</v>
      </c>
      <c r="F110" s="111" t="s">
        <v>12418</v>
      </c>
      <c r="G110" s="111" t="s">
        <v>12226</v>
      </c>
      <c r="H110" s="111"/>
      <c r="I110" s="111" t="s">
        <v>12394</v>
      </c>
      <c r="J110" s="111" t="s">
        <v>12292</v>
      </c>
      <c r="K110" s="111" t="s">
        <v>30</v>
      </c>
      <c r="L110" s="111"/>
      <c r="M110" s="111"/>
      <c r="N110" s="111"/>
      <c r="O110" s="111"/>
      <c r="P110" s="111"/>
      <c r="Q110" s="111">
        <v>1.0</v>
      </c>
      <c r="R110" s="111"/>
      <c r="S110" s="111"/>
      <c r="T110" s="111"/>
      <c r="U110" s="111"/>
      <c r="V110" s="111"/>
      <c r="W110" s="111"/>
      <c r="X110" s="111"/>
      <c r="Y110" s="111"/>
      <c r="Z110" s="111" t="s">
        <v>12488</v>
      </c>
      <c r="AA110" s="124">
        <v>1.5</v>
      </c>
      <c r="AB110" s="125">
        <f>IF(Projects!$AI110="Electrolysis",
AA110/VLOOKUP(G110,ElectrolysisConvF,3,FALSE),
AC110*10^6/(H2dens*HoursInYear))</f>
        <v>288.4615385</v>
      </c>
      <c r="AC110" s="126">
        <f t="shared" si="13"/>
        <v>0.2248961538</v>
      </c>
      <c r="AD110" s="125"/>
      <c r="AE110" s="125">
        <f t="shared" si="12"/>
        <v>288.4615385</v>
      </c>
      <c r="AF110" s="127" t="s">
        <v>12561</v>
      </c>
      <c r="AG110" s="127">
        <v>53.4668459185399</v>
      </c>
      <c r="AH110" s="127">
        <v>10.1383459731675</v>
      </c>
      <c r="AI110" s="115" t="s">
        <v>12383</v>
      </c>
      <c r="AJ110" s="116">
        <v>0.4</v>
      </c>
      <c r="AK110" s="117"/>
      <c r="AL110" s="117"/>
      <c r="AM110" s="117"/>
      <c r="AN110" s="117"/>
      <c r="AO110" s="117"/>
    </row>
    <row r="111" ht="34.5" customHeight="1">
      <c r="A111" s="111">
        <v>143.0</v>
      </c>
      <c r="B111" s="111" t="s">
        <v>8083</v>
      </c>
      <c r="C111" s="111" t="s">
        <v>7987</v>
      </c>
      <c r="D111" s="111">
        <v>2015.0</v>
      </c>
      <c r="E111" s="111"/>
      <c r="F111" s="111" t="s">
        <v>12385</v>
      </c>
      <c r="G111" s="111" t="s">
        <v>12224</v>
      </c>
      <c r="H111" s="111"/>
      <c r="I111" s="111" t="s">
        <v>12394</v>
      </c>
      <c r="J111" s="111" t="s">
        <v>12292</v>
      </c>
      <c r="K111" s="111" t="s">
        <v>30</v>
      </c>
      <c r="L111" s="111"/>
      <c r="M111" s="111"/>
      <c r="N111" s="111"/>
      <c r="O111" s="111"/>
      <c r="P111" s="111"/>
      <c r="Q111" s="111"/>
      <c r="R111" s="111">
        <v>1.0</v>
      </c>
      <c r="S111" s="111"/>
      <c r="T111" s="111"/>
      <c r="U111" s="111"/>
      <c r="V111" s="111"/>
      <c r="W111" s="111"/>
      <c r="X111" s="111"/>
      <c r="Y111" s="111"/>
      <c r="Z111" s="111" t="s">
        <v>12562</v>
      </c>
      <c r="AA111" s="124">
        <v>1.0</v>
      </c>
      <c r="AB111" s="125">
        <f>IF(Projects!$AI111="Electrolysis",
AA111/VLOOKUP(G111,ElectrolysisConvF,3,FALSE),
AC111*10^6/(H2dens*HoursInYear))</f>
        <v>217.3913043</v>
      </c>
      <c r="AC111" s="126">
        <f t="shared" si="13"/>
        <v>0.1694869565</v>
      </c>
      <c r="AD111" s="125"/>
      <c r="AE111" s="125">
        <f t="shared" si="12"/>
        <v>217.3913043</v>
      </c>
      <c r="AF111" s="127" t="s">
        <v>12563</v>
      </c>
      <c r="AG111" s="127">
        <v>53.7119212461696</v>
      </c>
      <c r="AH111" s="127">
        <v>13.2916374636138</v>
      </c>
      <c r="AI111" s="115" t="s">
        <v>12383</v>
      </c>
      <c r="AJ111" s="116">
        <v>0.4</v>
      </c>
      <c r="AK111" s="117"/>
      <c r="AL111" s="117"/>
      <c r="AM111" s="117"/>
      <c r="AN111" s="117"/>
      <c r="AO111" s="117"/>
    </row>
    <row r="112" ht="34.5" customHeight="1">
      <c r="A112" s="111">
        <v>146.0</v>
      </c>
      <c r="B112" s="111" t="s">
        <v>8084</v>
      </c>
      <c r="C112" s="111" t="s">
        <v>7994</v>
      </c>
      <c r="D112" s="111">
        <v>2015.0</v>
      </c>
      <c r="E112" s="111"/>
      <c r="F112" s="111" t="s">
        <v>12385</v>
      </c>
      <c r="G112" s="111" t="s">
        <v>12224</v>
      </c>
      <c r="H112" s="111"/>
      <c r="I112" s="111" t="s">
        <v>12419</v>
      </c>
      <c r="J112" s="111"/>
      <c r="K112" s="111" t="s">
        <v>12449</v>
      </c>
      <c r="L112" s="111"/>
      <c r="M112" s="111"/>
      <c r="N112" s="111"/>
      <c r="O112" s="111"/>
      <c r="P112" s="111"/>
      <c r="Q112" s="111"/>
      <c r="R112" s="111"/>
      <c r="S112" s="111"/>
      <c r="T112" s="111"/>
      <c r="U112" s="111"/>
      <c r="V112" s="111"/>
      <c r="W112" s="111"/>
      <c r="X112" s="111">
        <v>1.0</v>
      </c>
      <c r="Y112" s="111"/>
      <c r="Z112" s="111" t="s">
        <v>12564</v>
      </c>
      <c r="AA112" s="124">
        <v>0.5</v>
      </c>
      <c r="AB112" s="125">
        <f>IF(Projects!$AI112="Electrolysis",
AA112/VLOOKUP(G112,ElectrolysisConvF,3,FALSE),
AC112*10^6/(H2dens*HoursInYear))</f>
        <v>108.6956522</v>
      </c>
      <c r="AC112" s="126">
        <f t="shared" si="13"/>
        <v>0.08474347826</v>
      </c>
      <c r="AD112" s="125"/>
      <c r="AE112" s="125">
        <f t="shared" si="12"/>
        <v>108.6956522</v>
      </c>
      <c r="AF112" s="127" t="s">
        <v>12565</v>
      </c>
      <c r="AG112" s="127">
        <v>0.0</v>
      </c>
      <c r="AH112" s="127">
        <v>0.0</v>
      </c>
      <c r="AI112" s="115" t="s">
        <v>12383</v>
      </c>
      <c r="AJ112" s="116">
        <v>0.57</v>
      </c>
      <c r="AK112" s="117"/>
      <c r="AL112" s="117"/>
      <c r="AM112" s="117"/>
      <c r="AN112" s="117"/>
      <c r="AO112" s="117"/>
    </row>
    <row r="113" ht="34.5" customHeight="1">
      <c r="A113" s="111">
        <v>147.0</v>
      </c>
      <c r="B113" s="111" t="s">
        <v>8085</v>
      </c>
      <c r="C113" s="111" t="s">
        <v>8003</v>
      </c>
      <c r="D113" s="111">
        <v>2015.0</v>
      </c>
      <c r="E113" s="111">
        <v>2023.0</v>
      </c>
      <c r="F113" s="111" t="s">
        <v>12418</v>
      </c>
      <c r="G113" s="111" t="s">
        <v>12224</v>
      </c>
      <c r="H113" s="111"/>
      <c r="I113" s="111" t="s">
        <v>12419</v>
      </c>
      <c r="J113" s="111"/>
      <c r="K113" s="111" t="s">
        <v>30</v>
      </c>
      <c r="L113" s="111"/>
      <c r="M113" s="111"/>
      <c r="N113" s="111"/>
      <c r="O113" s="111"/>
      <c r="P113" s="111"/>
      <c r="Q113" s="111"/>
      <c r="R113" s="111">
        <v>1.0</v>
      </c>
      <c r="S113" s="111"/>
      <c r="T113" s="111"/>
      <c r="U113" s="111"/>
      <c r="V113" s="111"/>
      <c r="W113" s="111"/>
      <c r="X113" s="111"/>
      <c r="Y113" s="111"/>
      <c r="Z113" s="111" t="s">
        <v>12465</v>
      </c>
      <c r="AA113" s="129">
        <f>IF(Projects!$AI113="Electrolysis",
AB113*VLOOKUP(G113,ElectrolysisConvF,3,FALSE),
"")</f>
        <v>0.276</v>
      </c>
      <c r="AB113" s="125">
        <v>60.0</v>
      </c>
      <c r="AC113" s="126">
        <f t="shared" si="13"/>
        <v>0.0467784</v>
      </c>
      <c r="AD113" s="125"/>
      <c r="AE113" s="125">
        <f t="shared" si="12"/>
        <v>60</v>
      </c>
      <c r="AF113" s="127" t="s">
        <v>12566</v>
      </c>
      <c r="AG113" s="127">
        <v>0.0</v>
      </c>
      <c r="AH113" s="127">
        <v>0.0</v>
      </c>
      <c r="AI113" s="115" t="s">
        <v>12383</v>
      </c>
      <c r="AJ113" s="116">
        <v>0.57</v>
      </c>
      <c r="AK113" s="117"/>
      <c r="AL113" s="117"/>
      <c r="AM113" s="117"/>
      <c r="AN113" s="117"/>
      <c r="AO113" s="117"/>
    </row>
    <row r="114" ht="34.5" customHeight="1">
      <c r="A114" s="111">
        <v>148.0</v>
      </c>
      <c r="B114" s="111" t="s">
        <v>8086</v>
      </c>
      <c r="C114" s="111" t="s">
        <v>8087</v>
      </c>
      <c r="D114" s="111">
        <v>2015.0</v>
      </c>
      <c r="E114" s="111"/>
      <c r="F114" s="111" t="s">
        <v>12385</v>
      </c>
      <c r="G114" s="111" t="s">
        <v>12224</v>
      </c>
      <c r="H114" s="111"/>
      <c r="I114" s="111" t="s">
        <v>12394</v>
      </c>
      <c r="J114" s="111" t="s">
        <v>12292</v>
      </c>
      <c r="K114" s="111" t="s">
        <v>30</v>
      </c>
      <c r="L114" s="111"/>
      <c r="M114" s="111"/>
      <c r="N114" s="111"/>
      <c r="O114" s="111"/>
      <c r="P114" s="111"/>
      <c r="Q114" s="111">
        <v>1.0</v>
      </c>
      <c r="R114" s="111"/>
      <c r="S114" s="111"/>
      <c r="T114" s="111"/>
      <c r="U114" s="111"/>
      <c r="V114" s="111"/>
      <c r="W114" s="111"/>
      <c r="X114" s="111"/>
      <c r="Y114" s="111"/>
      <c r="Z114" s="111" t="s">
        <v>12567</v>
      </c>
      <c r="AA114" s="124">
        <v>0.3</v>
      </c>
      <c r="AB114" s="125">
        <f>IF(Projects!$AI114="Electrolysis",
AA114/VLOOKUP(G114,ElectrolysisConvF,3,FALSE),
AC114*10^6/(H2dens*HoursInYear))</f>
        <v>65.2173913</v>
      </c>
      <c r="AC114" s="126">
        <f t="shared" si="13"/>
        <v>0.05084608696</v>
      </c>
      <c r="AD114" s="125"/>
      <c r="AE114" s="125">
        <f t="shared" si="12"/>
        <v>65.2173913</v>
      </c>
      <c r="AF114" s="127" t="s">
        <v>12568</v>
      </c>
      <c r="AG114" s="127">
        <v>50.7312748594555</v>
      </c>
      <c r="AH114" s="127">
        <v>4.21926738062468</v>
      </c>
      <c r="AI114" s="115" t="s">
        <v>12383</v>
      </c>
      <c r="AJ114" s="116">
        <v>0.4</v>
      </c>
      <c r="AK114" s="117"/>
      <c r="AL114" s="117"/>
      <c r="AM114" s="117"/>
      <c r="AN114" s="117"/>
      <c r="AO114" s="117"/>
    </row>
    <row r="115" ht="34.5" customHeight="1">
      <c r="A115" s="111">
        <v>149.0</v>
      </c>
      <c r="B115" s="111" t="s">
        <v>8088</v>
      </c>
      <c r="C115" s="111" t="s">
        <v>7985</v>
      </c>
      <c r="D115" s="111">
        <v>2015.0</v>
      </c>
      <c r="E115" s="111"/>
      <c r="F115" s="111" t="s">
        <v>12418</v>
      </c>
      <c r="G115" s="111" t="s">
        <v>12226</v>
      </c>
      <c r="H115" s="111"/>
      <c r="I115" s="111" t="s">
        <v>12419</v>
      </c>
      <c r="J115" s="111"/>
      <c r="K115" s="111" t="s">
        <v>30</v>
      </c>
      <c r="L115" s="111"/>
      <c r="M115" s="111"/>
      <c r="N115" s="111"/>
      <c r="O115" s="111"/>
      <c r="P115" s="111"/>
      <c r="Q115" s="111"/>
      <c r="R115" s="111"/>
      <c r="S115" s="111">
        <v>1.0</v>
      </c>
      <c r="T115" s="111"/>
      <c r="U115" s="111"/>
      <c r="V115" s="111"/>
      <c r="W115" s="111"/>
      <c r="X115" s="111"/>
      <c r="Y115" s="111"/>
      <c r="Z115" s="111" t="s">
        <v>12569</v>
      </c>
      <c r="AA115" s="124">
        <v>0.7</v>
      </c>
      <c r="AB115" s="125">
        <f>IF(Projects!$AI115="Electrolysis",
AA115/VLOOKUP(G115,ElectrolysisConvF,3,FALSE),
AC115*10^6/(H2dens*HoursInYear))</f>
        <v>134.6153846</v>
      </c>
      <c r="AC115" s="126">
        <f t="shared" si="13"/>
        <v>0.1049515385</v>
      </c>
      <c r="AD115" s="125"/>
      <c r="AE115" s="125">
        <f t="shared" si="12"/>
        <v>134.6153846</v>
      </c>
      <c r="AF115" s="127" t="s">
        <v>12570</v>
      </c>
      <c r="AG115" s="127">
        <v>0.0</v>
      </c>
      <c r="AH115" s="127">
        <v>0.0</v>
      </c>
      <c r="AI115" s="115" t="s">
        <v>12383</v>
      </c>
      <c r="AJ115" s="116">
        <v>0.57</v>
      </c>
      <c r="AK115" s="117"/>
      <c r="AL115" s="117"/>
      <c r="AM115" s="117"/>
      <c r="AN115" s="117"/>
      <c r="AO115" s="117"/>
    </row>
    <row r="116" ht="34.5" customHeight="1">
      <c r="A116" s="111">
        <v>151.0</v>
      </c>
      <c r="B116" s="111" t="s">
        <v>8089</v>
      </c>
      <c r="C116" s="111" t="s">
        <v>7987</v>
      </c>
      <c r="D116" s="111">
        <v>2015.0</v>
      </c>
      <c r="E116" s="111">
        <v>2017.0</v>
      </c>
      <c r="F116" s="111" t="s">
        <v>12418</v>
      </c>
      <c r="G116" s="111" t="s">
        <v>12226</v>
      </c>
      <c r="H116" s="111"/>
      <c r="I116" s="111" t="s">
        <v>12406</v>
      </c>
      <c r="J116" s="111"/>
      <c r="K116" s="111" t="s">
        <v>30</v>
      </c>
      <c r="L116" s="111"/>
      <c r="M116" s="111"/>
      <c r="N116" s="111"/>
      <c r="O116" s="111"/>
      <c r="P116" s="111"/>
      <c r="Q116" s="111"/>
      <c r="R116" s="111">
        <v>1.0</v>
      </c>
      <c r="S116" s="111">
        <v>1.0</v>
      </c>
      <c r="T116" s="111">
        <v>1.0</v>
      </c>
      <c r="U116" s="111"/>
      <c r="V116" s="111"/>
      <c r="W116" s="111"/>
      <c r="X116" s="111"/>
      <c r="Y116" s="111"/>
      <c r="Z116" s="111" t="s">
        <v>12471</v>
      </c>
      <c r="AA116" s="124">
        <v>0.15</v>
      </c>
      <c r="AB116" s="125">
        <f>IF(Projects!$AI116="Electrolysis",
AA116/VLOOKUP(G116,ElectrolysisConvF,3,FALSE),
AC116*10^6/(H2dens*HoursInYear))</f>
        <v>28.84615385</v>
      </c>
      <c r="AC116" s="126">
        <f t="shared" si="13"/>
        <v>0.02248961538</v>
      </c>
      <c r="AD116" s="125"/>
      <c r="AE116" s="125">
        <f t="shared" si="12"/>
        <v>28.84615385</v>
      </c>
      <c r="AF116" s="127" t="s">
        <v>12571</v>
      </c>
      <c r="AG116" s="127">
        <v>0.0</v>
      </c>
      <c r="AH116" s="127">
        <v>0.0</v>
      </c>
      <c r="AI116" s="115" t="s">
        <v>12383</v>
      </c>
      <c r="AJ116" s="116">
        <v>0.57</v>
      </c>
      <c r="AK116" s="117"/>
      <c r="AL116" s="117"/>
      <c r="AM116" s="117"/>
      <c r="AN116" s="117"/>
      <c r="AO116" s="117"/>
    </row>
    <row r="117" ht="34.5" customHeight="1">
      <c r="A117" s="111">
        <v>155.0</v>
      </c>
      <c r="B117" s="111" t="s">
        <v>8090</v>
      </c>
      <c r="C117" s="111" t="s">
        <v>7974</v>
      </c>
      <c r="D117" s="111">
        <v>2015.0</v>
      </c>
      <c r="E117" s="111"/>
      <c r="F117" s="111" t="s">
        <v>12418</v>
      </c>
      <c r="G117" s="111" t="s">
        <v>12226</v>
      </c>
      <c r="H117" s="111"/>
      <c r="I117" s="111" t="s">
        <v>12419</v>
      </c>
      <c r="J117" s="111"/>
      <c r="K117" s="111" t="s">
        <v>12449</v>
      </c>
      <c r="L117" s="111"/>
      <c r="M117" s="111"/>
      <c r="N117" s="111"/>
      <c r="O117" s="111"/>
      <c r="P117" s="111"/>
      <c r="Q117" s="111"/>
      <c r="R117" s="111"/>
      <c r="S117" s="111"/>
      <c r="T117" s="111"/>
      <c r="U117" s="111"/>
      <c r="V117" s="111"/>
      <c r="W117" s="111"/>
      <c r="X117" s="111">
        <v>1.0</v>
      </c>
      <c r="Y117" s="111"/>
      <c r="Z117" s="111" t="s">
        <v>12572</v>
      </c>
      <c r="AA117" s="129">
        <f>IF(Projects!$AI117="Electrolysis",
AB117*VLOOKUP(G117,ElectrolysisConvF,3,FALSE),
"")</f>
        <v>0.1456</v>
      </c>
      <c r="AB117" s="125">
        <v>28.0</v>
      </c>
      <c r="AC117" s="126">
        <f t="shared" si="13"/>
        <v>0.02182992</v>
      </c>
      <c r="AD117" s="125"/>
      <c r="AE117" s="125">
        <f t="shared" si="12"/>
        <v>28</v>
      </c>
      <c r="AF117" s="127" t="s">
        <v>12573</v>
      </c>
      <c r="AG117" s="127">
        <v>0.0</v>
      </c>
      <c r="AH117" s="127">
        <v>0.0</v>
      </c>
      <c r="AI117" s="115" t="s">
        <v>12383</v>
      </c>
      <c r="AJ117" s="116">
        <v>0.57</v>
      </c>
      <c r="AK117" s="117"/>
      <c r="AL117" s="117"/>
      <c r="AM117" s="117"/>
      <c r="AN117" s="117"/>
      <c r="AO117" s="117"/>
    </row>
    <row r="118" ht="34.5" customHeight="1">
      <c r="A118" s="111">
        <v>163.0</v>
      </c>
      <c r="B118" s="111" t="s">
        <v>8091</v>
      </c>
      <c r="C118" s="111" t="s">
        <v>7987</v>
      </c>
      <c r="D118" s="111">
        <v>2015.0</v>
      </c>
      <c r="E118" s="111"/>
      <c r="F118" s="111" t="s">
        <v>12385</v>
      </c>
      <c r="G118" s="111" t="s">
        <v>12226</v>
      </c>
      <c r="H118" s="111"/>
      <c r="I118" s="111" t="s">
        <v>12406</v>
      </c>
      <c r="J118" s="111"/>
      <c r="K118" s="111" t="s">
        <v>30</v>
      </c>
      <c r="L118" s="111"/>
      <c r="M118" s="111"/>
      <c r="N118" s="111"/>
      <c r="O118" s="111"/>
      <c r="P118" s="111"/>
      <c r="Q118" s="111"/>
      <c r="R118" s="111">
        <v>1.0</v>
      </c>
      <c r="S118" s="111"/>
      <c r="T118" s="111"/>
      <c r="U118" s="111"/>
      <c r="V118" s="111"/>
      <c r="W118" s="111"/>
      <c r="X118" s="111"/>
      <c r="Y118" s="111"/>
      <c r="Z118" s="111" t="s">
        <v>12574</v>
      </c>
      <c r="AA118" s="124">
        <v>0.02</v>
      </c>
      <c r="AB118" s="125">
        <f>IF(Projects!$AI118="Electrolysis",
AA118/VLOOKUP(G118,ElectrolysisConvF,3,FALSE),
AC118*10^6/(H2dens*HoursInYear))</f>
        <v>3.846153846</v>
      </c>
      <c r="AC118" s="126">
        <f t="shared" si="13"/>
        <v>0.002998615385</v>
      </c>
      <c r="AD118" s="125"/>
      <c r="AE118" s="125">
        <f t="shared" si="12"/>
        <v>3.846153846</v>
      </c>
      <c r="AF118" s="127" t="s">
        <v>12470</v>
      </c>
      <c r="AG118" s="127">
        <v>0.0</v>
      </c>
      <c r="AH118" s="127">
        <v>0.0</v>
      </c>
      <c r="AI118" s="115" t="s">
        <v>12383</v>
      </c>
      <c r="AJ118" s="116">
        <v>0.57</v>
      </c>
      <c r="AK118" s="117"/>
      <c r="AL118" s="117"/>
      <c r="AM118" s="117"/>
      <c r="AN118" s="117"/>
      <c r="AO118" s="117"/>
    </row>
    <row r="119" ht="34.5" customHeight="1">
      <c r="A119" s="111">
        <v>164.0</v>
      </c>
      <c r="B119" s="111" t="s">
        <v>8092</v>
      </c>
      <c r="C119" s="111" t="s">
        <v>7983</v>
      </c>
      <c r="D119" s="111">
        <v>2015.0</v>
      </c>
      <c r="E119" s="111">
        <v>2021.0</v>
      </c>
      <c r="F119" s="111" t="s">
        <v>12418</v>
      </c>
      <c r="G119" s="111" t="s">
        <v>12226</v>
      </c>
      <c r="H119" s="111"/>
      <c r="I119" s="111" t="s">
        <v>12394</v>
      </c>
      <c r="J119" s="111" t="s">
        <v>12291</v>
      </c>
      <c r="K119" s="111" t="s">
        <v>30</v>
      </c>
      <c r="L119" s="111"/>
      <c r="M119" s="111"/>
      <c r="N119" s="111"/>
      <c r="O119" s="111"/>
      <c r="P119" s="111"/>
      <c r="Q119" s="111"/>
      <c r="R119" s="111"/>
      <c r="S119" s="111"/>
      <c r="T119" s="111"/>
      <c r="U119" s="111">
        <v>1.0</v>
      </c>
      <c r="V119" s="111"/>
      <c r="W119" s="111"/>
      <c r="X119" s="111"/>
      <c r="Y119" s="111"/>
      <c r="Z119" s="111" t="s">
        <v>12440</v>
      </c>
      <c r="AA119" s="129">
        <f>IF(Projects!$AI119="Electrolysis",
AB119*VLOOKUP(G119,ElectrolysisConvF,3,FALSE),
"")</f>
        <v>0.0052</v>
      </c>
      <c r="AB119" s="125">
        <v>1.0</v>
      </c>
      <c r="AC119" s="126">
        <f t="shared" si="13"/>
        <v>0.00077964</v>
      </c>
      <c r="AD119" s="125"/>
      <c r="AE119" s="125">
        <f t="shared" si="12"/>
        <v>1</v>
      </c>
      <c r="AF119" s="127" t="s">
        <v>12575</v>
      </c>
      <c r="AG119" s="127">
        <v>35.5171094101699</v>
      </c>
      <c r="AH119" s="127">
        <v>139.75873479248</v>
      </c>
      <c r="AI119" s="115" t="s">
        <v>12383</v>
      </c>
      <c r="AJ119" s="116">
        <v>0.3</v>
      </c>
      <c r="AK119" s="117"/>
      <c r="AL119" s="117"/>
      <c r="AM119" s="117"/>
      <c r="AN119" s="117"/>
      <c r="AO119" s="117"/>
    </row>
    <row r="120" ht="34.5" customHeight="1">
      <c r="A120" s="111">
        <v>165.0</v>
      </c>
      <c r="B120" s="111" t="s">
        <v>8093</v>
      </c>
      <c r="C120" s="111" t="s">
        <v>7987</v>
      </c>
      <c r="D120" s="111">
        <v>2015.0</v>
      </c>
      <c r="E120" s="111">
        <v>2020.0</v>
      </c>
      <c r="F120" s="111" t="s">
        <v>12418</v>
      </c>
      <c r="G120" s="111" t="s">
        <v>12226</v>
      </c>
      <c r="H120" s="111"/>
      <c r="I120" s="111" t="s">
        <v>12419</v>
      </c>
      <c r="J120" s="111"/>
      <c r="K120" s="111" t="s">
        <v>12449</v>
      </c>
      <c r="L120" s="111"/>
      <c r="M120" s="111"/>
      <c r="N120" s="111"/>
      <c r="O120" s="111"/>
      <c r="P120" s="111"/>
      <c r="Q120" s="111"/>
      <c r="R120" s="111">
        <v>1.0</v>
      </c>
      <c r="S120" s="111"/>
      <c r="T120" s="111"/>
      <c r="U120" s="111"/>
      <c r="V120" s="111"/>
      <c r="W120" s="111"/>
      <c r="X120" s="111">
        <v>1.0</v>
      </c>
      <c r="Y120" s="111"/>
      <c r="Z120" s="111"/>
      <c r="AA120" s="124"/>
      <c r="AB120" s="125"/>
      <c r="AC120" s="126"/>
      <c r="AD120" s="125"/>
      <c r="AE120" s="125" t="str">
        <f t="shared" si="12"/>
        <v/>
      </c>
      <c r="AF120" s="127" t="s">
        <v>12576</v>
      </c>
      <c r="AG120" s="127">
        <v>0.0</v>
      </c>
      <c r="AH120" s="127">
        <v>0.0</v>
      </c>
      <c r="AI120" s="115" t="s">
        <v>12383</v>
      </c>
      <c r="AJ120" s="116">
        <v>0.57</v>
      </c>
      <c r="AK120" s="117"/>
      <c r="AL120" s="117"/>
      <c r="AM120" s="117"/>
      <c r="AN120" s="117"/>
      <c r="AO120" s="117"/>
    </row>
    <row r="121" ht="34.5" customHeight="1">
      <c r="A121" s="111">
        <v>167.0</v>
      </c>
      <c r="B121" s="111" t="s">
        <v>8094</v>
      </c>
      <c r="C121" s="111" t="s">
        <v>7994</v>
      </c>
      <c r="D121" s="111">
        <v>2015.0</v>
      </c>
      <c r="E121" s="111">
        <v>2018.0</v>
      </c>
      <c r="F121" s="111" t="s">
        <v>12418</v>
      </c>
      <c r="G121" s="111" t="s">
        <v>12228</v>
      </c>
      <c r="H121" s="111"/>
      <c r="I121" s="111" t="s">
        <v>12419</v>
      </c>
      <c r="J121" s="111"/>
      <c r="K121" s="111" t="s">
        <v>12251</v>
      </c>
      <c r="L121" s="111"/>
      <c r="M121" s="111"/>
      <c r="N121" s="111"/>
      <c r="O121" s="111"/>
      <c r="P121" s="111"/>
      <c r="Q121" s="111"/>
      <c r="R121" s="111"/>
      <c r="S121" s="111"/>
      <c r="T121" s="111"/>
      <c r="U121" s="111"/>
      <c r="V121" s="111"/>
      <c r="W121" s="111">
        <v>1.0</v>
      </c>
      <c r="X121" s="111"/>
      <c r="Y121" s="111"/>
      <c r="Z121" s="111"/>
      <c r="AA121" s="124"/>
      <c r="AB121" s="125"/>
      <c r="AC121" s="126"/>
      <c r="AD121" s="125"/>
      <c r="AE121" s="125" t="str">
        <f t="shared" si="12"/>
        <v/>
      </c>
      <c r="AF121" s="127" t="s">
        <v>12577</v>
      </c>
      <c r="AG121" s="127">
        <v>0.0</v>
      </c>
      <c r="AH121" s="127">
        <v>0.0</v>
      </c>
      <c r="AI121" s="115" t="s">
        <v>12383</v>
      </c>
      <c r="AJ121" s="116">
        <v>0.57</v>
      </c>
      <c r="AK121" s="117"/>
      <c r="AL121" s="117"/>
      <c r="AM121" s="117"/>
      <c r="AN121" s="117"/>
      <c r="AO121" s="117"/>
    </row>
    <row r="122" ht="34.5" customHeight="1">
      <c r="A122" s="111">
        <v>169.0</v>
      </c>
      <c r="B122" s="111" t="s">
        <v>8095</v>
      </c>
      <c r="C122" s="111" t="s">
        <v>8047</v>
      </c>
      <c r="D122" s="111">
        <v>2014.0</v>
      </c>
      <c r="E122" s="111"/>
      <c r="F122" s="111" t="s">
        <v>12385</v>
      </c>
      <c r="G122" s="111" t="s">
        <v>12224</v>
      </c>
      <c r="H122" s="111"/>
      <c r="I122" s="111" t="s">
        <v>12419</v>
      </c>
      <c r="J122" s="111"/>
      <c r="K122" s="111" t="s">
        <v>30</v>
      </c>
      <c r="L122" s="111"/>
      <c r="M122" s="111"/>
      <c r="N122" s="111"/>
      <c r="O122" s="111"/>
      <c r="P122" s="111"/>
      <c r="Q122" s="111">
        <v>1.0</v>
      </c>
      <c r="R122" s="111"/>
      <c r="S122" s="111"/>
      <c r="T122" s="111"/>
      <c r="U122" s="111"/>
      <c r="V122" s="111"/>
      <c r="W122" s="111"/>
      <c r="X122" s="111"/>
      <c r="Y122" s="111"/>
      <c r="Z122" s="111" t="s">
        <v>12578</v>
      </c>
      <c r="AA122" s="124">
        <v>1.5</v>
      </c>
      <c r="AB122" s="125">
        <f>IF(Projects!$AI122="Electrolysis",
AA122/VLOOKUP(G122,ElectrolysisConvF,3,FALSE),
AC122*10^6/(H2dens*HoursInYear))</f>
        <v>326.0869565</v>
      </c>
      <c r="AC122" s="126">
        <f t="shared" ref="AC122:AC124" si="14">AB122*H2dens*HoursInYear/10^6</f>
        <v>0.2542304348</v>
      </c>
      <c r="AD122" s="125"/>
      <c r="AE122" s="125">
        <f t="shared" si="12"/>
        <v>326.0869565</v>
      </c>
      <c r="AF122" s="127" t="s">
        <v>12579</v>
      </c>
      <c r="AG122" s="127">
        <v>46.4740985384316</v>
      </c>
      <c r="AH122" s="127">
        <v>11.3171937080776</v>
      </c>
      <c r="AI122" s="115" t="s">
        <v>12383</v>
      </c>
      <c r="AJ122" s="116">
        <v>0.57</v>
      </c>
      <c r="AK122" s="117"/>
      <c r="AL122" s="117"/>
      <c r="AM122" s="117"/>
      <c r="AN122" s="117"/>
      <c r="AO122" s="117"/>
    </row>
    <row r="123" ht="34.5" customHeight="1">
      <c r="A123" s="111">
        <v>173.0</v>
      </c>
      <c r="B123" s="111" t="s">
        <v>79</v>
      </c>
      <c r="C123" s="111" t="s">
        <v>7987</v>
      </c>
      <c r="D123" s="111">
        <v>2014.0</v>
      </c>
      <c r="E123" s="111"/>
      <c r="F123" s="111" t="s">
        <v>12385</v>
      </c>
      <c r="G123" s="111" t="s">
        <v>12224</v>
      </c>
      <c r="H123" s="111"/>
      <c r="I123" s="111" t="s">
        <v>12394</v>
      </c>
      <c r="J123" s="111" t="s">
        <v>12292</v>
      </c>
      <c r="K123" s="111" t="s">
        <v>30</v>
      </c>
      <c r="L123" s="111"/>
      <c r="M123" s="111"/>
      <c r="N123" s="111"/>
      <c r="O123" s="111"/>
      <c r="P123" s="111"/>
      <c r="Q123" s="111">
        <v>1.0</v>
      </c>
      <c r="R123" s="111"/>
      <c r="S123" s="111"/>
      <c r="T123" s="111"/>
      <c r="U123" s="111"/>
      <c r="V123" s="111"/>
      <c r="W123" s="111"/>
      <c r="X123" s="111"/>
      <c r="Y123" s="111"/>
      <c r="Z123" s="111" t="s">
        <v>12564</v>
      </c>
      <c r="AA123" s="124">
        <v>0.5</v>
      </c>
      <c r="AB123" s="125">
        <f>IF(Projects!$AI123="Electrolysis",
AA123/VLOOKUP(G123,ElectrolysisConvF,3,FALSE),
AC123*10^6/(H2dens*HoursInYear))</f>
        <v>108.6956522</v>
      </c>
      <c r="AC123" s="126">
        <f t="shared" si="14"/>
        <v>0.08474347826</v>
      </c>
      <c r="AD123" s="125"/>
      <c r="AE123" s="125">
        <f t="shared" si="12"/>
        <v>108.6956522</v>
      </c>
      <c r="AF123" s="127" t="s">
        <v>12580</v>
      </c>
      <c r="AG123" s="127">
        <v>52.3699921358899</v>
      </c>
      <c r="AH123" s="127">
        <v>13.5242988316558</v>
      </c>
      <c r="AI123" s="115" t="s">
        <v>12383</v>
      </c>
      <c r="AJ123" s="116">
        <v>0.4</v>
      </c>
      <c r="AK123" s="117"/>
      <c r="AL123" s="117"/>
      <c r="AM123" s="117"/>
      <c r="AN123" s="117"/>
      <c r="AO123" s="117"/>
    </row>
    <row r="124" ht="34.5" customHeight="1">
      <c r="A124" s="111">
        <v>198.0</v>
      </c>
      <c r="B124" s="111" t="s">
        <v>8096</v>
      </c>
      <c r="C124" s="111" t="s">
        <v>7987</v>
      </c>
      <c r="D124" s="111">
        <v>2014.0</v>
      </c>
      <c r="E124" s="111"/>
      <c r="F124" s="111" t="s">
        <v>12385</v>
      </c>
      <c r="G124" s="111" t="s">
        <v>12226</v>
      </c>
      <c r="H124" s="111"/>
      <c r="I124" s="111" t="s">
        <v>12419</v>
      </c>
      <c r="J124" s="111"/>
      <c r="K124" s="111" t="s">
        <v>30</v>
      </c>
      <c r="L124" s="111"/>
      <c r="M124" s="111"/>
      <c r="N124" s="111"/>
      <c r="O124" s="111"/>
      <c r="P124" s="111"/>
      <c r="Q124" s="111"/>
      <c r="R124" s="111">
        <v>1.0</v>
      </c>
      <c r="S124" s="111">
        <v>1.0</v>
      </c>
      <c r="T124" s="111"/>
      <c r="U124" s="111"/>
      <c r="V124" s="111"/>
      <c r="W124" s="111"/>
      <c r="X124" s="111"/>
      <c r="Y124" s="111"/>
      <c r="Z124" s="111" t="s">
        <v>12523</v>
      </c>
      <c r="AA124" s="129">
        <f>IF(Projects!$AI124="Electrolysis",
AB124*VLOOKUP(G124,ElectrolysisConvF,3,FALSE),
"")</f>
        <v>0.0208</v>
      </c>
      <c r="AB124" s="125">
        <v>4.0</v>
      </c>
      <c r="AC124" s="126">
        <f t="shared" si="14"/>
        <v>0.00311856</v>
      </c>
      <c r="AD124" s="125"/>
      <c r="AE124" s="125">
        <f t="shared" si="12"/>
        <v>4</v>
      </c>
      <c r="AF124" s="127" t="s">
        <v>12581</v>
      </c>
      <c r="AG124" s="127">
        <v>0.0</v>
      </c>
      <c r="AH124" s="127">
        <v>0.0</v>
      </c>
      <c r="AI124" s="115" t="s">
        <v>12383</v>
      </c>
      <c r="AJ124" s="116">
        <v>0.57</v>
      </c>
      <c r="AK124" s="117"/>
      <c r="AL124" s="117"/>
      <c r="AM124" s="117"/>
      <c r="AN124" s="117"/>
      <c r="AO124" s="117"/>
    </row>
    <row r="125" ht="34.5" customHeight="1">
      <c r="A125" s="111">
        <v>199.0</v>
      </c>
      <c r="B125" s="111" t="s">
        <v>8097</v>
      </c>
      <c r="C125" s="111" t="s">
        <v>7987</v>
      </c>
      <c r="D125" s="111">
        <v>2014.0</v>
      </c>
      <c r="E125" s="111"/>
      <c r="F125" s="111" t="s">
        <v>12385</v>
      </c>
      <c r="G125" s="111" t="s">
        <v>12381</v>
      </c>
      <c r="H125" s="111"/>
      <c r="I125" s="111" t="s">
        <v>12419</v>
      </c>
      <c r="J125" s="111"/>
      <c r="K125" s="111" t="s">
        <v>12449</v>
      </c>
      <c r="L125" s="111"/>
      <c r="M125" s="111"/>
      <c r="N125" s="111"/>
      <c r="O125" s="111"/>
      <c r="P125" s="111"/>
      <c r="Q125" s="111"/>
      <c r="R125" s="111"/>
      <c r="S125" s="111"/>
      <c r="T125" s="111"/>
      <c r="U125" s="111"/>
      <c r="V125" s="111"/>
      <c r="W125" s="111"/>
      <c r="X125" s="111">
        <v>1.0</v>
      </c>
      <c r="Y125" s="111"/>
      <c r="Z125" s="111"/>
      <c r="AA125" s="124"/>
      <c r="AB125" s="125"/>
      <c r="AC125" s="126"/>
      <c r="AD125" s="125"/>
      <c r="AE125" s="125" t="str">
        <f t="shared" si="12"/>
        <v/>
      </c>
      <c r="AF125" s="127" t="s">
        <v>12582</v>
      </c>
      <c r="AG125" s="127">
        <v>0.0</v>
      </c>
      <c r="AH125" s="127">
        <v>0.0</v>
      </c>
      <c r="AI125" s="115" t="s">
        <v>12383</v>
      </c>
      <c r="AJ125" s="116">
        <v>0.57</v>
      </c>
      <c r="AK125" s="117"/>
      <c r="AL125" s="117"/>
      <c r="AM125" s="117"/>
      <c r="AN125" s="117"/>
      <c r="AO125" s="117"/>
    </row>
    <row r="126" ht="34.5" customHeight="1">
      <c r="A126" s="111">
        <v>200.0</v>
      </c>
      <c r="B126" s="111" t="s">
        <v>8098</v>
      </c>
      <c r="C126" s="111" t="s">
        <v>7987</v>
      </c>
      <c r="D126" s="111">
        <v>2013.0</v>
      </c>
      <c r="E126" s="111"/>
      <c r="F126" s="111" t="s">
        <v>12385</v>
      </c>
      <c r="G126" s="111" t="s">
        <v>12224</v>
      </c>
      <c r="H126" s="111"/>
      <c r="I126" s="111" t="s">
        <v>12406</v>
      </c>
      <c r="J126" s="111"/>
      <c r="K126" s="111" t="s">
        <v>12449</v>
      </c>
      <c r="L126" s="111"/>
      <c r="M126" s="111"/>
      <c r="N126" s="111"/>
      <c r="O126" s="111"/>
      <c r="P126" s="111"/>
      <c r="Q126" s="111"/>
      <c r="R126" s="111"/>
      <c r="S126" s="111"/>
      <c r="T126" s="111"/>
      <c r="U126" s="111"/>
      <c r="V126" s="111"/>
      <c r="W126" s="111"/>
      <c r="X126" s="111">
        <v>1.0</v>
      </c>
      <c r="Y126" s="111">
        <v>1.0</v>
      </c>
      <c r="Z126" s="111" t="s">
        <v>12583</v>
      </c>
      <c r="AA126" s="124">
        <v>6.3</v>
      </c>
      <c r="AB126" s="125">
        <f>IF(Projects!$AI126="Electrolysis",
AA126/VLOOKUP(G126,ElectrolysisConvF,3,FALSE),
AC126*10^6/(H2dens*HoursInYear))</f>
        <v>1369.565217</v>
      </c>
      <c r="AC126" s="126">
        <f>AB126*H2dens*HoursInYear/10^6</f>
        <v>1.067767826</v>
      </c>
      <c r="AD126" s="125"/>
      <c r="AE126" s="125">
        <f t="shared" si="12"/>
        <v>1369.565217</v>
      </c>
      <c r="AF126" s="127" t="s">
        <v>12584</v>
      </c>
      <c r="AG126" s="127">
        <v>52.8518701</v>
      </c>
      <c r="AH126" s="127">
        <v>7.6764179</v>
      </c>
      <c r="AI126" s="115" t="s">
        <v>12383</v>
      </c>
      <c r="AJ126" s="116">
        <v>0.57</v>
      </c>
      <c r="AK126" s="117"/>
      <c r="AL126" s="117"/>
      <c r="AM126" s="117"/>
      <c r="AN126" s="117"/>
      <c r="AO126" s="117"/>
    </row>
    <row r="127" ht="34.5" customHeight="1">
      <c r="A127" s="111">
        <v>201.0</v>
      </c>
      <c r="B127" s="111" t="s">
        <v>8099</v>
      </c>
      <c r="C127" s="111" t="s">
        <v>7994</v>
      </c>
      <c r="D127" s="111">
        <v>2013.0</v>
      </c>
      <c r="E127" s="111"/>
      <c r="F127" s="111" t="s">
        <v>12385</v>
      </c>
      <c r="G127" s="111" t="s">
        <v>12224</v>
      </c>
      <c r="H127" s="111"/>
      <c r="I127" s="111" t="s">
        <v>12406</v>
      </c>
      <c r="J127" s="111"/>
      <c r="K127" s="111" t="s">
        <v>30</v>
      </c>
      <c r="L127" s="111"/>
      <c r="M127" s="111"/>
      <c r="N127" s="111"/>
      <c r="O127" s="111"/>
      <c r="P127" s="111"/>
      <c r="Q127" s="111">
        <v>1.0</v>
      </c>
      <c r="R127" s="111"/>
      <c r="S127" s="111"/>
      <c r="T127" s="111"/>
      <c r="U127" s="111"/>
      <c r="V127" s="111"/>
      <c r="W127" s="111"/>
      <c r="X127" s="111"/>
      <c r="Y127" s="111"/>
      <c r="Z127" s="111" t="s">
        <v>12585</v>
      </c>
      <c r="AA127" s="129">
        <f>IF(Projects!$AI127="Electrolysis",
AB127*VLOOKUP(G127,ElectrolysisConvF,3,FALSE),
"")</f>
        <v>0.4307116105</v>
      </c>
      <c r="AB127" s="125">
        <f>AC127/(H2dens*HoursInYear/10^6)</f>
        <v>93.6329588</v>
      </c>
      <c r="AC127" s="126">
        <f>200*365/10^6</f>
        <v>0.073</v>
      </c>
      <c r="AD127" s="129"/>
      <c r="AE127" s="125">
        <f t="shared" si="12"/>
        <v>93.6329588</v>
      </c>
      <c r="AF127" s="130" t="s">
        <v>12586</v>
      </c>
      <c r="AG127" s="127">
        <v>0.0</v>
      </c>
      <c r="AH127" s="127">
        <v>0.0</v>
      </c>
      <c r="AI127" s="115" t="s">
        <v>12383</v>
      </c>
      <c r="AJ127" s="116">
        <v>0.57</v>
      </c>
      <c r="AK127" s="117"/>
      <c r="AL127" s="117"/>
      <c r="AM127" s="117"/>
      <c r="AN127" s="117"/>
      <c r="AO127" s="117"/>
    </row>
    <row r="128" ht="34.5" customHeight="1">
      <c r="A128" s="111">
        <v>202.0</v>
      </c>
      <c r="B128" s="111" t="s">
        <v>70</v>
      </c>
      <c r="C128" s="111" t="s">
        <v>7987</v>
      </c>
      <c r="D128" s="111">
        <v>2013.0</v>
      </c>
      <c r="E128" s="111"/>
      <c r="F128" s="111" t="s">
        <v>12385</v>
      </c>
      <c r="G128" s="111" t="s">
        <v>12224</v>
      </c>
      <c r="H128" s="111"/>
      <c r="I128" s="111" t="s">
        <v>12394</v>
      </c>
      <c r="J128" s="111" t="s">
        <v>12292</v>
      </c>
      <c r="K128" s="111" t="s">
        <v>30</v>
      </c>
      <c r="L128" s="111"/>
      <c r="M128" s="111"/>
      <c r="N128" s="111"/>
      <c r="O128" s="111"/>
      <c r="P128" s="111"/>
      <c r="Q128" s="111"/>
      <c r="R128" s="111"/>
      <c r="S128" s="111">
        <v>1.0</v>
      </c>
      <c r="T128" s="111"/>
      <c r="U128" s="111"/>
      <c r="V128" s="111"/>
      <c r="W128" s="111"/>
      <c r="X128" s="111"/>
      <c r="Y128" s="111"/>
      <c r="Z128" s="111" t="s">
        <v>12424</v>
      </c>
      <c r="AA128" s="124">
        <v>2.0</v>
      </c>
      <c r="AB128" s="125">
        <f>IF(Projects!$AI128="Electrolysis",
AA128/VLOOKUP(G128,ElectrolysisConvF,3,FALSE),
AC128*10^6/(H2dens*HoursInYear))</f>
        <v>434.7826087</v>
      </c>
      <c r="AC128" s="126">
        <f t="shared" ref="AC128:AC135" si="15">AB128*H2dens*HoursInYear/10^6</f>
        <v>0.338973913</v>
      </c>
      <c r="AD128" s="125"/>
      <c r="AE128" s="125">
        <f t="shared" si="12"/>
        <v>434.7826087</v>
      </c>
      <c r="AF128" s="127" t="s">
        <v>12487</v>
      </c>
      <c r="AG128" s="127">
        <v>53.2003105413885</v>
      </c>
      <c r="AH128" s="127">
        <v>12.2351124180165</v>
      </c>
      <c r="AI128" s="115" t="s">
        <v>12383</v>
      </c>
      <c r="AJ128" s="116">
        <v>0.4</v>
      </c>
      <c r="AK128" s="117"/>
      <c r="AL128" s="117"/>
      <c r="AM128" s="117"/>
      <c r="AN128" s="117"/>
      <c r="AO128" s="117"/>
    </row>
    <row r="129" ht="33.75" customHeight="1">
      <c r="A129" s="111">
        <v>203.0</v>
      </c>
      <c r="B129" s="111" t="s">
        <v>8100</v>
      </c>
      <c r="C129" s="111" t="s">
        <v>7987</v>
      </c>
      <c r="D129" s="111">
        <v>2013.0</v>
      </c>
      <c r="E129" s="111"/>
      <c r="F129" s="111" t="s">
        <v>12385</v>
      </c>
      <c r="G129" s="111" t="s">
        <v>12226</v>
      </c>
      <c r="H129" s="111"/>
      <c r="I129" s="111" t="s">
        <v>12419</v>
      </c>
      <c r="J129" s="111"/>
      <c r="K129" s="111" t="s">
        <v>30</v>
      </c>
      <c r="L129" s="111"/>
      <c r="M129" s="111"/>
      <c r="N129" s="111"/>
      <c r="O129" s="111"/>
      <c r="P129" s="111"/>
      <c r="Q129" s="111"/>
      <c r="R129" s="111"/>
      <c r="S129" s="111">
        <v>1.0</v>
      </c>
      <c r="T129" s="111"/>
      <c r="U129" s="111"/>
      <c r="V129" s="111"/>
      <c r="W129" s="111"/>
      <c r="X129" s="111"/>
      <c r="Y129" s="111"/>
      <c r="Z129" s="111" t="s">
        <v>12486</v>
      </c>
      <c r="AA129" s="124">
        <v>1.0</v>
      </c>
      <c r="AB129" s="125">
        <f>IF(Projects!$AI129="Electrolysis",
AA129/VLOOKUP(G129,ElectrolysisConvF,3,FALSE),
AC129*10^6/(H2dens*HoursInYear))</f>
        <v>192.3076923</v>
      </c>
      <c r="AC129" s="126">
        <f t="shared" si="15"/>
        <v>0.1499307692</v>
      </c>
      <c r="AD129" s="125"/>
      <c r="AE129" s="125">
        <f t="shared" si="12"/>
        <v>192.3076923</v>
      </c>
      <c r="AF129" s="127" t="s">
        <v>12587</v>
      </c>
      <c r="AG129" s="127">
        <v>0.0</v>
      </c>
      <c r="AH129" s="127">
        <v>0.0</v>
      </c>
      <c r="AI129" s="115" t="s">
        <v>12383</v>
      </c>
      <c r="AJ129" s="116">
        <v>0.57</v>
      </c>
      <c r="AK129" s="117"/>
      <c r="AL129" s="117"/>
      <c r="AM129" s="117"/>
      <c r="AN129" s="117"/>
      <c r="AO129" s="117"/>
    </row>
    <row r="130" ht="34.5" customHeight="1">
      <c r="A130" s="111">
        <v>204.0</v>
      </c>
      <c r="B130" s="111" t="s">
        <v>8101</v>
      </c>
      <c r="C130" s="111" t="s">
        <v>7971</v>
      </c>
      <c r="D130" s="111">
        <v>2013.0</v>
      </c>
      <c r="E130" s="111"/>
      <c r="F130" s="111" t="s">
        <v>12385</v>
      </c>
      <c r="G130" s="111" t="s">
        <v>12224</v>
      </c>
      <c r="H130" s="111"/>
      <c r="I130" s="111" t="s">
        <v>12419</v>
      </c>
      <c r="J130" s="111"/>
      <c r="K130" s="111" t="s">
        <v>30</v>
      </c>
      <c r="L130" s="111"/>
      <c r="M130" s="111"/>
      <c r="N130" s="111"/>
      <c r="O130" s="111"/>
      <c r="P130" s="111"/>
      <c r="Q130" s="111">
        <v>1.0</v>
      </c>
      <c r="R130" s="111"/>
      <c r="S130" s="111"/>
      <c r="T130" s="111"/>
      <c r="U130" s="111"/>
      <c r="V130" s="111"/>
      <c r="W130" s="111"/>
      <c r="X130" s="111"/>
      <c r="Y130" s="111"/>
      <c r="Z130" s="111" t="s">
        <v>12588</v>
      </c>
      <c r="AA130" s="124">
        <v>0.6</v>
      </c>
      <c r="AB130" s="125">
        <f>IF(Projects!$AI130="Electrolysis",
AA130/VLOOKUP(G130,ElectrolysisConvF,3,FALSE),
AC130*10^6/(H2dens*HoursInYear))</f>
        <v>130.4347826</v>
      </c>
      <c r="AC130" s="126">
        <f t="shared" si="15"/>
        <v>0.1016921739</v>
      </c>
      <c r="AD130" s="125"/>
      <c r="AE130" s="125">
        <f t="shared" si="12"/>
        <v>130.4347826</v>
      </c>
      <c r="AF130" s="127"/>
      <c r="AG130" s="127">
        <v>0.0</v>
      </c>
      <c r="AH130" s="127">
        <v>0.0</v>
      </c>
      <c r="AI130" s="115" t="s">
        <v>12383</v>
      </c>
      <c r="AJ130" s="116">
        <v>0.57</v>
      </c>
      <c r="AK130" s="117"/>
      <c r="AL130" s="117"/>
      <c r="AM130" s="117"/>
      <c r="AN130" s="117"/>
      <c r="AO130" s="117"/>
    </row>
    <row r="131" ht="34.5" customHeight="1">
      <c r="A131" s="111">
        <v>205.0</v>
      </c>
      <c r="B131" s="111" t="s">
        <v>8102</v>
      </c>
      <c r="C131" s="111" t="s">
        <v>7994</v>
      </c>
      <c r="D131" s="111">
        <v>2024.0</v>
      </c>
      <c r="E131" s="111"/>
      <c r="F131" s="111" t="s">
        <v>12393</v>
      </c>
      <c r="G131" s="111" t="s">
        <v>12224</v>
      </c>
      <c r="H131" s="111"/>
      <c r="I131" s="111" t="s">
        <v>12406</v>
      </c>
      <c r="J131" s="111"/>
      <c r="K131" s="111" t="s">
        <v>30</v>
      </c>
      <c r="L131" s="111">
        <v>1.0</v>
      </c>
      <c r="M131" s="111"/>
      <c r="N131" s="111"/>
      <c r="O131" s="111"/>
      <c r="P131" s="111"/>
      <c r="Q131" s="111">
        <v>1.0</v>
      </c>
      <c r="R131" s="111"/>
      <c r="S131" s="111"/>
      <c r="T131" s="111"/>
      <c r="U131" s="111"/>
      <c r="V131" s="111"/>
      <c r="W131" s="111"/>
      <c r="X131" s="111"/>
      <c r="Y131" s="111"/>
      <c r="Z131" s="111" t="s">
        <v>12589</v>
      </c>
      <c r="AA131" s="124">
        <v>20.0</v>
      </c>
      <c r="AB131" s="125">
        <f>IF(Projects!$AI131="Electrolysis",
AA131/VLOOKUP(G131,ElectrolysisConvF,3,FALSE),
AC131*10^6/(H2dens*HoursInYear))</f>
        <v>4347.826087</v>
      </c>
      <c r="AC131" s="126">
        <f t="shared" si="15"/>
        <v>3.38973913</v>
      </c>
      <c r="AD131" s="125"/>
      <c r="AE131" s="125">
        <f t="shared" si="12"/>
        <v>4347.826087</v>
      </c>
      <c r="AF131" s="127" t="s">
        <v>12590</v>
      </c>
      <c r="AG131" s="127">
        <v>55.591385038419</v>
      </c>
      <c r="AH131" s="127">
        <v>9.75264367456355</v>
      </c>
      <c r="AI131" s="115" t="s">
        <v>12383</v>
      </c>
      <c r="AJ131" s="116">
        <v>0.57</v>
      </c>
      <c r="AK131" s="117"/>
      <c r="AL131" s="117"/>
      <c r="AM131" s="117"/>
      <c r="AN131" s="117"/>
      <c r="AO131" s="117"/>
    </row>
    <row r="132" ht="34.5" customHeight="1">
      <c r="A132" s="111">
        <v>207.0</v>
      </c>
      <c r="B132" s="111" t="s">
        <v>8103</v>
      </c>
      <c r="C132" s="111" t="s">
        <v>7987</v>
      </c>
      <c r="D132" s="111">
        <v>2013.0</v>
      </c>
      <c r="E132" s="111">
        <v>2015.0</v>
      </c>
      <c r="F132" s="111" t="s">
        <v>12418</v>
      </c>
      <c r="G132" s="111" t="s">
        <v>12226</v>
      </c>
      <c r="H132" s="111"/>
      <c r="I132" s="111" t="s">
        <v>12406</v>
      </c>
      <c r="J132" s="111"/>
      <c r="K132" s="111" t="s">
        <v>12449</v>
      </c>
      <c r="L132" s="111"/>
      <c r="M132" s="111"/>
      <c r="N132" s="111"/>
      <c r="O132" s="111"/>
      <c r="P132" s="111"/>
      <c r="Q132" s="111"/>
      <c r="R132" s="111"/>
      <c r="S132" s="111"/>
      <c r="T132" s="111"/>
      <c r="U132" s="111"/>
      <c r="V132" s="111"/>
      <c r="W132" s="111"/>
      <c r="X132" s="111">
        <v>1.0</v>
      </c>
      <c r="Y132" s="111"/>
      <c r="Z132" s="111" t="s">
        <v>12591</v>
      </c>
      <c r="AA132" s="129">
        <f>IF(Projects!$AI132="Electrolysis",
AB132*VLOOKUP(G132,ElectrolysisConvF,3,FALSE),
"")</f>
        <v>0.26</v>
      </c>
      <c r="AB132" s="125">
        <v>50.0</v>
      </c>
      <c r="AC132" s="126">
        <f t="shared" si="15"/>
        <v>0.038982</v>
      </c>
      <c r="AD132" s="125"/>
      <c r="AE132" s="125">
        <f t="shared" si="12"/>
        <v>50</v>
      </c>
      <c r="AF132" s="127" t="s">
        <v>12592</v>
      </c>
      <c r="AG132" s="127">
        <v>0.0</v>
      </c>
      <c r="AH132" s="127">
        <v>0.0</v>
      </c>
      <c r="AI132" s="115" t="s">
        <v>12383</v>
      </c>
      <c r="AJ132" s="116">
        <v>0.57</v>
      </c>
      <c r="AK132" s="117"/>
      <c r="AL132" s="117"/>
      <c r="AM132" s="117"/>
      <c r="AN132" s="117"/>
      <c r="AO132" s="117"/>
    </row>
    <row r="133" ht="34.5" customHeight="1">
      <c r="A133" s="111">
        <v>211.0</v>
      </c>
      <c r="B133" s="111" t="s">
        <v>8104</v>
      </c>
      <c r="C133" s="111" t="s">
        <v>8021</v>
      </c>
      <c r="D133" s="111">
        <v>2013.0</v>
      </c>
      <c r="E133" s="111"/>
      <c r="F133" s="111" t="s">
        <v>12385</v>
      </c>
      <c r="G133" s="111" t="s">
        <v>12224</v>
      </c>
      <c r="H133" s="111"/>
      <c r="I133" s="111" t="s">
        <v>12419</v>
      </c>
      <c r="J133" s="111"/>
      <c r="K133" s="111" t="s">
        <v>30</v>
      </c>
      <c r="L133" s="111"/>
      <c r="M133" s="111"/>
      <c r="N133" s="111"/>
      <c r="O133" s="111"/>
      <c r="P133" s="111"/>
      <c r="Q133" s="111"/>
      <c r="R133" s="111">
        <v>1.0</v>
      </c>
      <c r="S133" s="111"/>
      <c r="T133" s="111"/>
      <c r="U133" s="111"/>
      <c r="V133" s="111"/>
      <c r="W133" s="111"/>
      <c r="X133" s="111"/>
      <c r="Y133" s="111"/>
      <c r="Z133" s="111" t="s">
        <v>12593</v>
      </c>
      <c r="AA133" s="124">
        <v>0.2</v>
      </c>
      <c r="AB133" s="125">
        <f>IF(Projects!$AI133="Electrolysis",
AA133/VLOOKUP(G133,ElectrolysisConvF,3,FALSE),
AC133*10^6/(H2dens*HoursInYear))</f>
        <v>43.47826087</v>
      </c>
      <c r="AC133" s="126">
        <f t="shared" si="15"/>
        <v>0.0338973913</v>
      </c>
      <c r="AD133" s="125"/>
      <c r="AE133" s="125">
        <f t="shared" si="12"/>
        <v>43.47826087</v>
      </c>
      <c r="AF133" s="127" t="s">
        <v>12594</v>
      </c>
      <c r="AG133" s="127">
        <v>0.0</v>
      </c>
      <c r="AH133" s="127">
        <v>0.0</v>
      </c>
      <c r="AI133" s="115" t="s">
        <v>12383</v>
      </c>
      <c r="AJ133" s="116">
        <v>0.57</v>
      </c>
      <c r="AK133" s="117"/>
      <c r="AL133" s="117"/>
      <c r="AM133" s="117"/>
      <c r="AN133" s="117"/>
      <c r="AO133" s="117"/>
    </row>
    <row r="134" ht="34.5" customHeight="1">
      <c r="A134" s="111">
        <v>213.0</v>
      </c>
      <c r="B134" s="111" t="s">
        <v>8105</v>
      </c>
      <c r="C134" s="111" t="s">
        <v>7987</v>
      </c>
      <c r="D134" s="111">
        <v>2013.0</v>
      </c>
      <c r="E134" s="111"/>
      <c r="F134" s="111" t="s">
        <v>12385</v>
      </c>
      <c r="G134" s="111" t="s">
        <v>12226</v>
      </c>
      <c r="H134" s="111"/>
      <c r="I134" s="111" t="s">
        <v>12406</v>
      </c>
      <c r="J134" s="111"/>
      <c r="K134" s="111" t="s">
        <v>12449</v>
      </c>
      <c r="L134" s="111"/>
      <c r="M134" s="111"/>
      <c r="N134" s="111"/>
      <c r="O134" s="111"/>
      <c r="P134" s="111"/>
      <c r="Q134" s="111"/>
      <c r="R134" s="111"/>
      <c r="S134" s="111"/>
      <c r="T134" s="111"/>
      <c r="U134" s="111"/>
      <c r="V134" s="111"/>
      <c r="W134" s="111"/>
      <c r="X134" s="111">
        <v>1.0</v>
      </c>
      <c r="Y134" s="111"/>
      <c r="Z134" s="111" t="s">
        <v>12595</v>
      </c>
      <c r="AA134" s="124">
        <v>0.18</v>
      </c>
      <c r="AB134" s="125">
        <f>IF(Projects!$AI134="Electrolysis",
AA134/VLOOKUP(G134,ElectrolysisConvF,3,FALSE),
AC134*10^6/(H2dens*HoursInYear))</f>
        <v>34.61538462</v>
      </c>
      <c r="AC134" s="126">
        <f t="shared" si="15"/>
        <v>0.02698753846</v>
      </c>
      <c r="AD134" s="125"/>
      <c r="AE134" s="125">
        <f t="shared" si="12"/>
        <v>34.61538462</v>
      </c>
      <c r="AF134" s="127" t="s">
        <v>12596</v>
      </c>
      <c r="AG134" s="127">
        <v>0.0</v>
      </c>
      <c r="AH134" s="127">
        <v>0.0</v>
      </c>
      <c r="AI134" s="115" t="s">
        <v>12383</v>
      </c>
      <c r="AJ134" s="116">
        <v>0.57</v>
      </c>
      <c r="AK134" s="117"/>
      <c r="AL134" s="117"/>
      <c r="AM134" s="117"/>
      <c r="AN134" s="117"/>
      <c r="AO134" s="117"/>
    </row>
    <row r="135" ht="34.5" customHeight="1">
      <c r="A135" s="111">
        <v>221.0</v>
      </c>
      <c r="B135" s="111" t="s">
        <v>8106</v>
      </c>
      <c r="C135" s="111" t="s">
        <v>7987</v>
      </c>
      <c r="D135" s="111">
        <v>2013.0</v>
      </c>
      <c r="E135" s="111"/>
      <c r="F135" s="111" t="s">
        <v>12385</v>
      </c>
      <c r="G135" s="111" t="s">
        <v>12226</v>
      </c>
      <c r="H135" s="111"/>
      <c r="I135" s="111" t="s">
        <v>12394</v>
      </c>
      <c r="J135" s="111" t="s">
        <v>12291</v>
      </c>
      <c r="K135" s="111" t="s">
        <v>30</v>
      </c>
      <c r="L135" s="111"/>
      <c r="M135" s="111"/>
      <c r="N135" s="111"/>
      <c r="O135" s="111"/>
      <c r="P135" s="111"/>
      <c r="Q135" s="111">
        <v>1.0</v>
      </c>
      <c r="R135" s="111"/>
      <c r="S135" s="111"/>
      <c r="T135" s="111"/>
      <c r="U135" s="111"/>
      <c r="V135" s="111"/>
      <c r="W135" s="111"/>
      <c r="X135" s="111"/>
      <c r="Y135" s="111"/>
      <c r="Z135" s="111" t="s">
        <v>12597</v>
      </c>
      <c r="AA135" s="124">
        <v>0.04</v>
      </c>
      <c r="AB135" s="125">
        <f>IF(Projects!$AI135="Electrolysis",
AA135/VLOOKUP(G135,ElectrolysisConvF,3,FALSE),
AC135*10^6/(H2dens*HoursInYear))</f>
        <v>7.692307692</v>
      </c>
      <c r="AC135" s="126">
        <f t="shared" si="15"/>
        <v>0.005997230769</v>
      </c>
      <c r="AD135" s="125"/>
      <c r="AE135" s="125">
        <f t="shared" si="12"/>
        <v>7.692307692</v>
      </c>
      <c r="AF135" s="127" t="s">
        <v>12598</v>
      </c>
      <c r="AG135" s="127">
        <v>53.8232597278847</v>
      </c>
      <c r="AH135" s="127">
        <v>9.28943551887401</v>
      </c>
      <c r="AI135" s="115" t="s">
        <v>12383</v>
      </c>
      <c r="AJ135" s="116">
        <v>0.3</v>
      </c>
      <c r="AK135" s="117"/>
      <c r="AL135" s="117"/>
      <c r="AM135" s="117"/>
      <c r="AN135" s="117"/>
      <c r="AO135" s="117"/>
    </row>
    <row r="136" ht="34.5" customHeight="1">
      <c r="A136" s="111">
        <v>222.0</v>
      </c>
      <c r="B136" s="111" t="s">
        <v>8107</v>
      </c>
      <c r="C136" s="111" t="s">
        <v>8108</v>
      </c>
      <c r="D136" s="111">
        <v>2005.0</v>
      </c>
      <c r="E136" s="111"/>
      <c r="F136" s="111" t="s">
        <v>12385</v>
      </c>
      <c r="G136" s="111" t="s">
        <v>12224</v>
      </c>
      <c r="H136" s="111"/>
      <c r="I136" s="111" t="s">
        <v>12287</v>
      </c>
      <c r="J136" s="111"/>
      <c r="K136" s="111" t="s">
        <v>30</v>
      </c>
      <c r="L136" s="111"/>
      <c r="M136" s="111"/>
      <c r="N136" s="111"/>
      <c r="O136" s="111"/>
      <c r="P136" s="111"/>
      <c r="Q136" s="111"/>
      <c r="R136" s="111"/>
      <c r="S136" s="111"/>
      <c r="T136" s="111"/>
      <c r="U136" s="111"/>
      <c r="V136" s="111"/>
      <c r="W136" s="111"/>
      <c r="X136" s="111"/>
      <c r="Y136" s="111"/>
      <c r="Z136" s="111"/>
      <c r="AA136" s="124"/>
      <c r="AB136" s="125"/>
      <c r="AC136" s="126"/>
      <c r="AD136" s="125"/>
      <c r="AE136" s="125" t="str">
        <f t="shared" si="12"/>
        <v/>
      </c>
      <c r="AF136" s="127" t="s">
        <v>12599</v>
      </c>
      <c r="AG136" s="127">
        <v>0.0</v>
      </c>
      <c r="AH136" s="127">
        <v>0.0</v>
      </c>
      <c r="AI136" s="115" t="s">
        <v>12383</v>
      </c>
      <c r="AJ136" s="116">
        <v>0.57</v>
      </c>
      <c r="AK136" s="117"/>
      <c r="AL136" s="117"/>
      <c r="AM136" s="117"/>
      <c r="AN136" s="117"/>
      <c r="AO136" s="117"/>
    </row>
    <row r="137" ht="34.5" customHeight="1">
      <c r="A137" s="111">
        <v>223.0</v>
      </c>
      <c r="B137" s="111" t="s">
        <v>8109</v>
      </c>
      <c r="C137" s="111" t="s">
        <v>7977</v>
      </c>
      <c r="D137" s="111">
        <v>2013.0</v>
      </c>
      <c r="E137" s="111"/>
      <c r="F137" s="111" t="s">
        <v>12418</v>
      </c>
      <c r="G137" s="111" t="s">
        <v>12226</v>
      </c>
      <c r="H137" s="111"/>
      <c r="I137" s="111" t="s">
        <v>12419</v>
      </c>
      <c r="J137" s="111"/>
      <c r="K137" s="111" t="s">
        <v>30</v>
      </c>
      <c r="L137" s="111"/>
      <c r="M137" s="111"/>
      <c r="N137" s="111"/>
      <c r="O137" s="111"/>
      <c r="P137" s="111"/>
      <c r="Q137" s="111"/>
      <c r="R137" s="111">
        <v>1.0</v>
      </c>
      <c r="S137" s="111"/>
      <c r="T137" s="111"/>
      <c r="U137" s="111"/>
      <c r="V137" s="111"/>
      <c r="W137" s="111"/>
      <c r="X137" s="111"/>
      <c r="Y137" s="111"/>
      <c r="Z137" s="111" t="s">
        <v>12600</v>
      </c>
      <c r="AA137" s="129">
        <f>IF(Projects!$AI137="Electrolysis",
AB137*VLOOKUP(G137,ElectrolysisConvF,3,FALSE),
"")</f>
        <v>0.00312</v>
      </c>
      <c r="AB137" s="125">
        <v>0.6</v>
      </c>
      <c r="AC137" s="126">
        <f t="shared" ref="AC137:AC146" si="16">AB137*H2dens*HoursInYear/10^6</f>
        <v>0.000467784</v>
      </c>
      <c r="AD137" s="125"/>
      <c r="AE137" s="125">
        <f t="shared" si="12"/>
        <v>0.6</v>
      </c>
      <c r="AF137" s="127" t="s">
        <v>12601</v>
      </c>
      <c r="AG137" s="127">
        <v>0.0</v>
      </c>
      <c r="AH137" s="127">
        <v>0.0</v>
      </c>
      <c r="AI137" s="115" t="s">
        <v>12383</v>
      </c>
      <c r="AJ137" s="116">
        <v>0.57</v>
      </c>
      <c r="AK137" s="117"/>
      <c r="AL137" s="117"/>
      <c r="AM137" s="117"/>
      <c r="AN137" s="117"/>
      <c r="AO137" s="117"/>
    </row>
    <row r="138" ht="34.5" customHeight="1">
      <c r="A138" s="111">
        <v>225.0</v>
      </c>
      <c r="B138" s="111" t="s">
        <v>8110</v>
      </c>
      <c r="C138" s="111" t="s">
        <v>7987</v>
      </c>
      <c r="D138" s="111">
        <v>2021.0</v>
      </c>
      <c r="E138" s="111"/>
      <c r="F138" s="111" t="s">
        <v>12385</v>
      </c>
      <c r="G138" s="111" t="s">
        <v>12226</v>
      </c>
      <c r="H138" s="111"/>
      <c r="I138" s="111" t="s">
        <v>12406</v>
      </c>
      <c r="J138" s="111"/>
      <c r="K138" s="111" t="s">
        <v>30</v>
      </c>
      <c r="L138" s="111">
        <v>1.0</v>
      </c>
      <c r="M138" s="111"/>
      <c r="N138" s="111"/>
      <c r="O138" s="111"/>
      <c r="P138" s="111">
        <v>1.0</v>
      </c>
      <c r="Q138" s="111"/>
      <c r="R138" s="111"/>
      <c r="S138" s="111"/>
      <c r="T138" s="111"/>
      <c r="U138" s="111"/>
      <c r="V138" s="111"/>
      <c r="W138" s="111"/>
      <c r="X138" s="111"/>
      <c r="Y138" s="111"/>
      <c r="Z138" s="111" t="s">
        <v>12422</v>
      </c>
      <c r="AA138" s="124">
        <v>10.0</v>
      </c>
      <c r="AB138" s="125">
        <f>IF(Projects!$AI138="Electrolysis",
AA138/VLOOKUP(G138,ElectrolysisConvF,3,FALSE),
AC138*10^6/(H2dens*HoursInYear))</f>
        <v>1923.076923</v>
      </c>
      <c r="AC138" s="126">
        <f t="shared" si="16"/>
        <v>1.499307692</v>
      </c>
      <c r="AD138" s="125"/>
      <c r="AE138" s="125">
        <f t="shared" si="12"/>
        <v>1923.076923</v>
      </c>
      <c r="AF138" s="127" t="s">
        <v>12602</v>
      </c>
      <c r="AG138" s="127">
        <v>50.8605615564851</v>
      </c>
      <c r="AH138" s="127">
        <v>6.98058161550651</v>
      </c>
      <c r="AI138" s="115" t="s">
        <v>12383</v>
      </c>
      <c r="AJ138" s="116">
        <v>0.57</v>
      </c>
      <c r="AK138" s="117"/>
      <c r="AL138" s="117"/>
      <c r="AM138" s="117"/>
      <c r="AN138" s="117"/>
      <c r="AO138" s="117"/>
    </row>
    <row r="139" ht="34.5" customHeight="1">
      <c r="A139" s="111">
        <v>227.0</v>
      </c>
      <c r="B139" s="111" t="s">
        <v>8111</v>
      </c>
      <c r="C139" s="111" t="s">
        <v>7987</v>
      </c>
      <c r="D139" s="111">
        <v>2017.0</v>
      </c>
      <c r="E139" s="111"/>
      <c r="F139" s="111" t="s">
        <v>12385</v>
      </c>
      <c r="G139" s="111" t="s">
        <v>12226</v>
      </c>
      <c r="H139" s="111"/>
      <c r="I139" s="111" t="s">
        <v>12406</v>
      </c>
      <c r="J139" s="111"/>
      <c r="K139" s="111" t="s">
        <v>30</v>
      </c>
      <c r="L139" s="111">
        <v>1.0</v>
      </c>
      <c r="M139" s="111"/>
      <c r="N139" s="111"/>
      <c r="O139" s="111"/>
      <c r="P139" s="111"/>
      <c r="Q139" s="111"/>
      <c r="R139" s="111"/>
      <c r="S139" s="111"/>
      <c r="T139" s="111"/>
      <c r="U139" s="111"/>
      <c r="V139" s="111"/>
      <c r="W139" s="111"/>
      <c r="X139" s="111"/>
      <c r="Y139" s="111"/>
      <c r="Z139" s="111" t="s">
        <v>12603</v>
      </c>
      <c r="AA139" s="124">
        <v>5.0</v>
      </c>
      <c r="AB139" s="125">
        <f>IF(Projects!$AI139="Electrolysis",
AA139/VLOOKUP(G139,ElectrolysisConvF,3,FALSE),
AC139*10^6/(H2dens*HoursInYear))</f>
        <v>961.5384615</v>
      </c>
      <c r="AC139" s="126">
        <f t="shared" si="16"/>
        <v>0.7496538462</v>
      </c>
      <c r="AD139" s="125"/>
      <c r="AE139" s="125">
        <f t="shared" si="12"/>
        <v>961.5384615</v>
      </c>
      <c r="AF139" s="127" t="s">
        <v>12604</v>
      </c>
      <c r="AG139" s="127">
        <v>53.5142697661571</v>
      </c>
      <c r="AH139" s="127">
        <v>9.95004694091784</v>
      </c>
      <c r="AI139" s="115" t="s">
        <v>12383</v>
      </c>
      <c r="AJ139" s="116">
        <v>0.57</v>
      </c>
      <c r="AK139" s="117"/>
      <c r="AL139" s="117"/>
      <c r="AM139" s="117"/>
      <c r="AN139" s="117"/>
      <c r="AO139" s="117"/>
    </row>
    <row r="140" ht="34.5" customHeight="1">
      <c r="A140" s="111">
        <v>235.0</v>
      </c>
      <c r="B140" s="111" t="s">
        <v>8112</v>
      </c>
      <c r="C140" s="111" t="s">
        <v>7987</v>
      </c>
      <c r="D140" s="111">
        <v>2012.0</v>
      </c>
      <c r="E140" s="111"/>
      <c r="F140" s="111" t="s">
        <v>12385</v>
      </c>
      <c r="G140" s="111" t="s">
        <v>12224</v>
      </c>
      <c r="H140" s="111"/>
      <c r="I140" s="111" t="s">
        <v>12419</v>
      </c>
      <c r="J140" s="111"/>
      <c r="K140" s="111" t="s">
        <v>30</v>
      </c>
      <c r="L140" s="111"/>
      <c r="M140" s="111"/>
      <c r="N140" s="111"/>
      <c r="O140" s="111"/>
      <c r="P140" s="111"/>
      <c r="Q140" s="111">
        <v>1.0</v>
      </c>
      <c r="R140" s="111">
        <v>1.0</v>
      </c>
      <c r="S140" s="111"/>
      <c r="T140" s="111">
        <v>1.0</v>
      </c>
      <c r="U140" s="111"/>
      <c r="V140" s="111"/>
      <c r="W140" s="111"/>
      <c r="X140" s="111"/>
      <c r="Y140" s="111"/>
      <c r="Z140" s="111" t="s">
        <v>12605</v>
      </c>
      <c r="AA140" s="124">
        <v>0.165</v>
      </c>
      <c r="AB140" s="125">
        <f>IF(Projects!$AI140="Electrolysis",
AA140/VLOOKUP(G140,ElectrolysisConvF,3,FALSE),
AC140*10^6/(H2dens*HoursInYear))</f>
        <v>35.86956522</v>
      </c>
      <c r="AC140" s="126">
        <f t="shared" si="16"/>
        <v>0.02796534783</v>
      </c>
      <c r="AD140" s="125"/>
      <c r="AE140" s="125">
        <f t="shared" si="12"/>
        <v>35.86956522</v>
      </c>
      <c r="AF140" s="127" t="s">
        <v>12606</v>
      </c>
      <c r="AG140" s="127">
        <v>51.6003055722097</v>
      </c>
      <c r="AH140" s="127">
        <v>7.1383828014204</v>
      </c>
      <c r="AI140" s="115" t="s">
        <v>12383</v>
      </c>
      <c r="AJ140" s="116">
        <v>0.57</v>
      </c>
      <c r="AK140" s="117"/>
      <c r="AL140" s="117"/>
      <c r="AM140" s="117"/>
      <c r="AN140" s="117"/>
      <c r="AO140" s="117"/>
    </row>
    <row r="141" ht="34.5" customHeight="1">
      <c r="A141" s="111">
        <v>236.0</v>
      </c>
      <c r="B141" s="111" t="s">
        <v>8113</v>
      </c>
      <c r="C141" s="111" t="s">
        <v>7987</v>
      </c>
      <c r="D141" s="111">
        <v>2012.0</v>
      </c>
      <c r="E141" s="111"/>
      <c r="F141" s="111" t="s">
        <v>12385</v>
      </c>
      <c r="G141" s="111" t="s">
        <v>12224</v>
      </c>
      <c r="H141" s="111"/>
      <c r="I141" s="111" t="s">
        <v>12419</v>
      </c>
      <c r="J141" s="111"/>
      <c r="K141" s="111" t="s">
        <v>30</v>
      </c>
      <c r="L141" s="111"/>
      <c r="M141" s="111"/>
      <c r="N141" s="111"/>
      <c r="O141" s="111"/>
      <c r="P141" s="111"/>
      <c r="Q141" s="111"/>
      <c r="R141" s="111">
        <v>1.0</v>
      </c>
      <c r="S141" s="111"/>
      <c r="T141" s="111"/>
      <c r="U141" s="111"/>
      <c r="V141" s="111"/>
      <c r="W141" s="111"/>
      <c r="X141" s="111"/>
      <c r="Y141" s="111"/>
      <c r="Z141" s="111" t="s">
        <v>12607</v>
      </c>
      <c r="AA141" s="124">
        <v>0.14</v>
      </c>
      <c r="AB141" s="125">
        <f>IF(Projects!$AI141="Electrolysis",
AA141/VLOOKUP(G141,ElectrolysisConvF,3,FALSE),
AC141*10^6/(H2dens*HoursInYear))</f>
        <v>30.43478261</v>
      </c>
      <c r="AC141" s="126">
        <f t="shared" si="16"/>
        <v>0.02372817391</v>
      </c>
      <c r="AD141" s="125"/>
      <c r="AE141" s="125">
        <f t="shared" si="12"/>
        <v>30.43478261</v>
      </c>
      <c r="AF141" s="127" t="s">
        <v>12608</v>
      </c>
      <c r="AG141" s="127">
        <v>0.0</v>
      </c>
      <c r="AH141" s="127">
        <v>0.0</v>
      </c>
      <c r="AI141" s="115" t="s">
        <v>12383</v>
      </c>
      <c r="AJ141" s="116">
        <v>0.57</v>
      </c>
      <c r="AK141" s="117"/>
      <c r="AL141" s="117"/>
      <c r="AM141" s="117"/>
      <c r="AN141" s="117"/>
      <c r="AO141" s="117"/>
    </row>
    <row r="142" ht="34.5" customHeight="1">
      <c r="A142" s="111">
        <v>239.0</v>
      </c>
      <c r="B142" s="111" t="s">
        <v>8114</v>
      </c>
      <c r="C142" s="111" t="s">
        <v>7987</v>
      </c>
      <c r="D142" s="111">
        <v>2012.0</v>
      </c>
      <c r="E142" s="111"/>
      <c r="F142" s="111" t="s">
        <v>12385</v>
      </c>
      <c r="G142" s="111" t="s">
        <v>12224</v>
      </c>
      <c r="H142" s="111"/>
      <c r="I142" s="111" t="s">
        <v>12419</v>
      </c>
      <c r="J142" s="111"/>
      <c r="K142" s="111" t="s">
        <v>30</v>
      </c>
      <c r="L142" s="111"/>
      <c r="M142" s="111"/>
      <c r="N142" s="111"/>
      <c r="O142" s="111"/>
      <c r="P142" s="111"/>
      <c r="Q142" s="111">
        <v>1.0</v>
      </c>
      <c r="R142" s="111"/>
      <c r="S142" s="111"/>
      <c r="T142" s="111"/>
      <c r="U142" s="111"/>
      <c r="V142" s="111"/>
      <c r="W142" s="111"/>
      <c r="X142" s="111"/>
      <c r="Y142" s="111"/>
      <c r="Z142" s="111" t="s">
        <v>12609</v>
      </c>
      <c r="AA142" s="124">
        <v>0.12</v>
      </c>
      <c r="AB142" s="125">
        <f>IF(Projects!$AI142="Electrolysis",
AA142/VLOOKUP(G142,ElectrolysisConvF,3,FALSE),
AC142*10^6/(H2dens*HoursInYear))</f>
        <v>26.08695652</v>
      </c>
      <c r="AC142" s="126">
        <f t="shared" si="16"/>
        <v>0.02033843478</v>
      </c>
      <c r="AD142" s="125"/>
      <c r="AE142" s="125">
        <f t="shared" si="12"/>
        <v>26.08695652</v>
      </c>
      <c r="AF142" s="127"/>
      <c r="AG142" s="127">
        <v>0.0</v>
      </c>
      <c r="AH142" s="127">
        <v>0.0</v>
      </c>
      <c r="AI142" s="115" t="s">
        <v>12383</v>
      </c>
      <c r="AJ142" s="116">
        <v>0.57</v>
      </c>
      <c r="AK142" s="117"/>
      <c r="AL142" s="117"/>
      <c r="AM142" s="117"/>
      <c r="AN142" s="117"/>
      <c r="AO142" s="117"/>
    </row>
    <row r="143" ht="34.5" customHeight="1">
      <c r="A143" s="111">
        <v>240.0</v>
      </c>
      <c r="B143" s="111" t="s">
        <v>8115</v>
      </c>
      <c r="C143" s="111" t="s">
        <v>7987</v>
      </c>
      <c r="D143" s="111">
        <v>2012.0</v>
      </c>
      <c r="E143" s="111"/>
      <c r="F143" s="111" t="s">
        <v>12385</v>
      </c>
      <c r="G143" s="111" t="s">
        <v>12381</v>
      </c>
      <c r="H143" s="111" t="s">
        <v>12230</v>
      </c>
      <c r="I143" s="111" t="s">
        <v>12419</v>
      </c>
      <c r="J143" s="111"/>
      <c r="K143" s="111" t="s">
        <v>30</v>
      </c>
      <c r="L143" s="111"/>
      <c r="M143" s="111"/>
      <c r="N143" s="111"/>
      <c r="O143" s="111"/>
      <c r="P143" s="111"/>
      <c r="Q143" s="111"/>
      <c r="R143" s="111"/>
      <c r="S143" s="111">
        <v>1.0</v>
      </c>
      <c r="T143" s="111"/>
      <c r="U143" s="111"/>
      <c r="V143" s="111"/>
      <c r="W143" s="111"/>
      <c r="X143" s="111"/>
      <c r="Y143" s="111"/>
      <c r="Z143" s="111" t="s">
        <v>12610</v>
      </c>
      <c r="AA143" s="129">
        <f>IF(Projects!$AI143="Electrolysis",
AB143*VLOOKUP(G143,ElectrolysisConvF,3,FALSE),
"")</f>
        <v>0.108</v>
      </c>
      <c r="AB143" s="125">
        <v>24.0</v>
      </c>
      <c r="AC143" s="126">
        <f t="shared" si="16"/>
        <v>0.01871136</v>
      </c>
      <c r="AD143" s="125"/>
      <c r="AE143" s="125">
        <f t="shared" si="12"/>
        <v>24</v>
      </c>
      <c r="AF143" s="127" t="s">
        <v>12611</v>
      </c>
      <c r="AG143" s="127">
        <v>0.0</v>
      </c>
      <c r="AH143" s="127">
        <v>0.0</v>
      </c>
      <c r="AI143" s="115" t="s">
        <v>12383</v>
      </c>
      <c r="AJ143" s="116">
        <v>0.57</v>
      </c>
      <c r="AK143" s="117"/>
      <c r="AL143" s="117"/>
      <c r="AM143" s="117"/>
      <c r="AN143" s="117"/>
      <c r="AO143" s="117"/>
    </row>
    <row r="144" ht="34.5" customHeight="1">
      <c r="A144" s="111">
        <v>241.0</v>
      </c>
      <c r="B144" s="111" t="s">
        <v>8116</v>
      </c>
      <c r="C144" s="111" t="s">
        <v>8117</v>
      </c>
      <c r="D144" s="111">
        <v>2012.0</v>
      </c>
      <c r="E144" s="111"/>
      <c r="F144" s="111" t="s">
        <v>12385</v>
      </c>
      <c r="G144" s="111" t="s">
        <v>12381</v>
      </c>
      <c r="H144" s="111" t="s">
        <v>12230</v>
      </c>
      <c r="I144" s="111" t="s">
        <v>12419</v>
      </c>
      <c r="J144" s="111"/>
      <c r="K144" s="111" t="s">
        <v>30</v>
      </c>
      <c r="L144" s="111"/>
      <c r="M144" s="111"/>
      <c r="N144" s="111"/>
      <c r="O144" s="111"/>
      <c r="P144" s="111"/>
      <c r="Q144" s="111"/>
      <c r="R144" s="111">
        <v>1.0</v>
      </c>
      <c r="S144" s="111"/>
      <c r="T144" s="111"/>
      <c r="U144" s="111"/>
      <c r="V144" s="111"/>
      <c r="W144" s="111"/>
      <c r="X144" s="111"/>
      <c r="Y144" s="111"/>
      <c r="Z144" s="111" t="s">
        <v>12612</v>
      </c>
      <c r="AA144" s="124">
        <v>0.1</v>
      </c>
      <c r="AB144" s="125">
        <f>IF(Projects!$AI144="Electrolysis",
AA144/VLOOKUP(G144,ElectrolysisConvF,3,FALSE),
AC144*10^6/(H2dens*HoursInYear))</f>
        <v>22.22222222</v>
      </c>
      <c r="AC144" s="126">
        <f t="shared" si="16"/>
        <v>0.01732533333</v>
      </c>
      <c r="AD144" s="125"/>
      <c r="AE144" s="125">
        <f t="shared" si="12"/>
        <v>22.22222222</v>
      </c>
      <c r="AF144" s="127" t="s">
        <v>12613</v>
      </c>
      <c r="AG144" s="127">
        <v>0.0</v>
      </c>
      <c r="AH144" s="127">
        <v>0.0</v>
      </c>
      <c r="AI144" s="115" t="s">
        <v>12383</v>
      </c>
      <c r="AJ144" s="116">
        <v>0.57</v>
      </c>
      <c r="AK144" s="117"/>
      <c r="AL144" s="117"/>
      <c r="AM144" s="117"/>
      <c r="AN144" s="117"/>
      <c r="AO144" s="117"/>
    </row>
    <row r="145" ht="34.5" customHeight="1">
      <c r="A145" s="111">
        <v>246.0</v>
      </c>
      <c r="B145" s="111" t="s">
        <v>8118</v>
      </c>
      <c r="C145" s="111" t="s">
        <v>7991</v>
      </c>
      <c r="D145" s="111">
        <v>2012.0</v>
      </c>
      <c r="E145" s="111"/>
      <c r="F145" s="111" t="s">
        <v>12385</v>
      </c>
      <c r="G145" s="111" t="s">
        <v>12224</v>
      </c>
      <c r="H145" s="111"/>
      <c r="I145" s="111" t="s">
        <v>12419</v>
      </c>
      <c r="J145" s="111"/>
      <c r="K145" s="111" t="s">
        <v>30</v>
      </c>
      <c r="L145" s="111"/>
      <c r="M145" s="111"/>
      <c r="N145" s="111"/>
      <c r="O145" s="111"/>
      <c r="P145" s="111"/>
      <c r="Q145" s="111">
        <v>1.0</v>
      </c>
      <c r="R145" s="111">
        <v>1.0</v>
      </c>
      <c r="S145" s="111">
        <v>1.0</v>
      </c>
      <c r="T145" s="111"/>
      <c r="U145" s="111"/>
      <c r="V145" s="111"/>
      <c r="W145" s="111"/>
      <c r="X145" s="111"/>
      <c r="Y145" s="111"/>
      <c r="Z145" s="111" t="s">
        <v>12614</v>
      </c>
      <c r="AA145" s="124">
        <v>0.03</v>
      </c>
      <c r="AB145" s="125">
        <f>IF(Projects!$AI145="Electrolysis",
AA145/VLOOKUP(G145,ElectrolysisConvF,3,FALSE),
AC145*10^6/(H2dens*HoursInYear))</f>
        <v>6.52173913</v>
      </c>
      <c r="AC145" s="126">
        <f t="shared" si="16"/>
        <v>0.005084608696</v>
      </c>
      <c r="AD145" s="125"/>
      <c r="AE145" s="125">
        <f t="shared" si="12"/>
        <v>6.52173913</v>
      </c>
      <c r="AF145" s="127" t="s">
        <v>12615</v>
      </c>
      <c r="AG145" s="127">
        <v>0.0</v>
      </c>
      <c r="AH145" s="127">
        <v>0.0</v>
      </c>
      <c r="AI145" s="115" t="s">
        <v>12383</v>
      </c>
      <c r="AJ145" s="116">
        <v>0.57</v>
      </c>
      <c r="AK145" s="117"/>
      <c r="AL145" s="117"/>
      <c r="AM145" s="117"/>
      <c r="AN145" s="117"/>
      <c r="AO145" s="117"/>
    </row>
    <row r="146" ht="34.5" customHeight="1">
      <c r="A146" s="111">
        <v>249.0</v>
      </c>
      <c r="B146" s="111" t="s">
        <v>8119</v>
      </c>
      <c r="C146" s="111" t="s">
        <v>7999</v>
      </c>
      <c r="D146" s="111">
        <v>2012.0</v>
      </c>
      <c r="E146" s="111"/>
      <c r="F146" s="111" t="s">
        <v>12418</v>
      </c>
      <c r="G146" s="111" t="s">
        <v>12226</v>
      </c>
      <c r="H146" s="111"/>
      <c r="I146" s="111" t="s">
        <v>12287</v>
      </c>
      <c r="J146" s="111"/>
      <c r="K146" s="111" t="s">
        <v>30</v>
      </c>
      <c r="L146" s="111"/>
      <c r="M146" s="111"/>
      <c r="N146" s="111"/>
      <c r="O146" s="111"/>
      <c r="P146" s="111"/>
      <c r="Q146" s="111"/>
      <c r="R146" s="111">
        <v>1.0</v>
      </c>
      <c r="S146" s="111"/>
      <c r="T146" s="111"/>
      <c r="U146" s="111">
        <v>1.0</v>
      </c>
      <c r="V146" s="111"/>
      <c r="W146" s="111"/>
      <c r="X146" s="111"/>
      <c r="Y146" s="111"/>
      <c r="Z146" s="111" t="s">
        <v>12616</v>
      </c>
      <c r="AA146" s="129">
        <f>IF(Projects!$AI146="Electrolysis",
AB146*VLOOKUP(G146,ElectrolysisConvF,3,FALSE),
"")</f>
        <v>0.00884</v>
      </c>
      <c r="AB146" s="125">
        <v>1.7</v>
      </c>
      <c r="AC146" s="126">
        <f t="shared" si="16"/>
        <v>0.001325388</v>
      </c>
      <c r="AD146" s="125"/>
      <c r="AE146" s="125">
        <f t="shared" si="12"/>
        <v>1.7</v>
      </c>
      <c r="AF146" s="127" t="s">
        <v>12617</v>
      </c>
      <c r="AG146" s="127">
        <v>0.0</v>
      </c>
      <c r="AH146" s="127">
        <v>0.0</v>
      </c>
      <c r="AI146" s="115" t="s">
        <v>12383</v>
      </c>
      <c r="AJ146" s="116">
        <v>0.57</v>
      </c>
      <c r="AK146" s="117"/>
      <c r="AL146" s="117"/>
      <c r="AM146" s="117"/>
      <c r="AN146" s="117"/>
      <c r="AO146" s="117"/>
    </row>
    <row r="147" ht="34.5" customHeight="1">
      <c r="A147" s="111">
        <v>250.0</v>
      </c>
      <c r="B147" s="111" t="s">
        <v>8120</v>
      </c>
      <c r="C147" s="111" t="s">
        <v>8041</v>
      </c>
      <c r="D147" s="111">
        <v>2012.0</v>
      </c>
      <c r="E147" s="111"/>
      <c r="F147" s="111" t="s">
        <v>12418</v>
      </c>
      <c r="G147" s="111" t="s">
        <v>12381</v>
      </c>
      <c r="H147" s="111" t="s">
        <v>12230</v>
      </c>
      <c r="I147" s="111" t="s">
        <v>12419</v>
      </c>
      <c r="J147" s="111"/>
      <c r="K147" s="111" t="s">
        <v>12449</v>
      </c>
      <c r="L147" s="111"/>
      <c r="M147" s="111"/>
      <c r="N147" s="111"/>
      <c r="O147" s="111"/>
      <c r="P147" s="111"/>
      <c r="Q147" s="111"/>
      <c r="R147" s="111"/>
      <c r="S147" s="111"/>
      <c r="T147" s="111"/>
      <c r="U147" s="111"/>
      <c r="V147" s="111"/>
      <c r="W147" s="111"/>
      <c r="X147" s="111">
        <v>1.0</v>
      </c>
      <c r="Y147" s="111"/>
      <c r="Z147" s="111"/>
      <c r="AA147" s="124"/>
      <c r="AB147" s="125"/>
      <c r="AC147" s="126"/>
      <c r="AD147" s="125"/>
      <c r="AE147" s="125" t="str">
        <f t="shared" si="12"/>
        <v/>
      </c>
      <c r="AF147" s="127" t="s">
        <v>12618</v>
      </c>
      <c r="AG147" s="127">
        <v>0.0</v>
      </c>
      <c r="AH147" s="127">
        <v>0.0</v>
      </c>
      <c r="AI147" s="115" t="s">
        <v>12383</v>
      </c>
      <c r="AJ147" s="116">
        <v>0.57</v>
      </c>
      <c r="AK147" s="117"/>
      <c r="AL147" s="117"/>
      <c r="AM147" s="117"/>
      <c r="AN147" s="117"/>
      <c r="AO147" s="117"/>
    </row>
    <row r="148" ht="34.5" customHeight="1">
      <c r="A148" s="111">
        <v>251.0</v>
      </c>
      <c r="B148" s="111" t="s">
        <v>8121</v>
      </c>
      <c r="C148" s="111" t="s">
        <v>8122</v>
      </c>
      <c r="D148" s="111">
        <v>2012.0</v>
      </c>
      <c r="E148" s="111"/>
      <c r="F148" s="111" t="s">
        <v>12385</v>
      </c>
      <c r="G148" s="111" t="s">
        <v>12381</v>
      </c>
      <c r="H148" s="111" t="s">
        <v>12230</v>
      </c>
      <c r="I148" s="111" t="s">
        <v>12394</v>
      </c>
      <c r="J148" s="111" t="s">
        <v>12295</v>
      </c>
      <c r="K148" s="111" t="s">
        <v>12415</v>
      </c>
      <c r="L148" s="111"/>
      <c r="M148" s="111"/>
      <c r="N148" s="111">
        <v>1.0</v>
      </c>
      <c r="O148" s="111"/>
      <c r="P148" s="111"/>
      <c r="Q148" s="111"/>
      <c r="R148" s="111"/>
      <c r="S148" s="111"/>
      <c r="T148" s="111"/>
      <c r="U148" s="111"/>
      <c r="V148" s="111"/>
      <c r="W148" s="111"/>
      <c r="X148" s="111"/>
      <c r="Y148" s="111"/>
      <c r="Z148" s="111" t="s">
        <v>12619</v>
      </c>
      <c r="AA148" s="124">
        <v>6.0</v>
      </c>
      <c r="AB148" s="125">
        <f>IF(Projects!$AI148="Electrolysis",
AA148/VLOOKUP(G148,ElectrolysisConvF,3,FALSE),
AC148*10^6/(H2dens*HoursInYear))</f>
        <v>1333.333333</v>
      </c>
      <c r="AC148" s="126">
        <f t="shared" ref="AC148:AC159" si="17">AB148*H2dens*HoursInYear/10^6</f>
        <v>1.03952</v>
      </c>
      <c r="AD148" s="125"/>
      <c r="AE148" s="125">
        <f t="shared" si="12"/>
        <v>1333.333333</v>
      </c>
      <c r="AF148" s="127" t="s">
        <v>12620</v>
      </c>
      <c r="AG148" s="127">
        <v>63.844239</v>
      </c>
      <c r="AH148" s="127">
        <v>-22.4317498</v>
      </c>
      <c r="AI148" s="115" t="s">
        <v>12383</v>
      </c>
      <c r="AJ148" s="116">
        <v>0.5</v>
      </c>
      <c r="AK148" s="117"/>
      <c r="AL148" s="117"/>
      <c r="AM148" s="117"/>
      <c r="AN148" s="117"/>
      <c r="AO148" s="117"/>
    </row>
    <row r="149" ht="34.5" customHeight="1">
      <c r="A149" s="111">
        <v>254.0</v>
      </c>
      <c r="B149" s="111" t="s">
        <v>8123</v>
      </c>
      <c r="C149" s="111" t="s">
        <v>7987</v>
      </c>
      <c r="D149" s="111">
        <v>2011.0</v>
      </c>
      <c r="E149" s="111"/>
      <c r="F149" s="111" t="s">
        <v>12385</v>
      </c>
      <c r="G149" s="111" t="s">
        <v>12224</v>
      </c>
      <c r="H149" s="111"/>
      <c r="I149" s="111" t="s">
        <v>12419</v>
      </c>
      <c r="J149" s="111"/>
      <c r="K149" s="111" t="s">
        <v>30</v>
      </c>
      <c r="L149" s="111"/>
      <c r="M149" s="111"/>
      <c r="N149" s="111"/>
      <c r="O149" s="111"/>
      <c r="P149" s="111"/>
      <c r="Q149" s="111">
        <v>1.0</v>
      </c>
      <c r="R149" s="111"/>
      <c r="S149" s="111"/>
      <c r="T149" s="111"/>
      <c r="U149" s="111"/>
      <c r="V149" s="111"/>
      <c r="W149" s="111"/>
      <c r="X149" s="111"/>
      <c r="Y149" s="111"/>
      <c r="Z149" s="111" t="s">
        <v>12588</v>
      </c>
      <c r="AA149" s="124">
        <v>0.6</v>
      </c>
      <c r="AB149" s="125">
        <f>IF(Projects!$AI149="Electrolysis",
AA149/VLOOKUP(G149,ElectrolysisConvF,3,FALSE),
AC149*10^6/(H2dens*HoursInYear))</f>
        <v>130.4347826</v>
      </c>
      <c r="AC149" s="126">
        <f t="shared" si="17"/>
        <v>0.1016921739</v>
      </c>
      <c r="AD149" s="125"/>
      <c r="AE149" s="125">
        <f t="shared" si="12"/>
        <v>130.4347826</v>
      </c>
      <c r="AF149" s="127" t="s">
        <v>12621</v>
      </c>
      <c r="AG149" s="127">
        <v>53.5459162654515</v>
      </c>
      <c r="AH149" s="127">
        <v>10.0025167626962</v>
      </c>
      <c r="AI149" s="115" t="s">
        <v>12383</v>
      </c>
      <c r="AJ149" s="116">
        <v>0.57</v>
      </c>
      <c r="AK149" s="117"/>
      <c r="AL149" s="117"/>
      <c r="AM149" s="117"/>
      <c r="AN149" s="117"/>
      <c r="AO149" s="117"/>
    </row>
    <row r="150" ht="34.5" customHeight="1">
      <c r="A150" s="111">
        <v>258.0</v>
      </c>
      <c r="B150" s="111" t="s">
        <v>8124</v>
      </c>
      <c r="C150" s="111" t="s">
        <v>7987</v>
      </c>
      <c r="D150" s="111">
        <v>2011.0</v>
      </c>
      <c r="E150" s="111"/>
      <c r="F150" s="111" t="s">
        <v>12385</v>
      </c>
      <c r="G150" s="111" t="s">
        <v>12224</v>
      </c>
      <c r="H150" s="111"/>
      <c r="I150" s="111" t="s">
        <v>12419</v>
      </c>
      <c r="J150" s="111"/>
      <c r="K150" s="111" t="s">
        <v>30</v>
      </c>
      <c r="L150" s="111"/>
      <c r="M150" s="111"/>
      <c r="N150" s="111"/>
      <c r="O150" s="111"/>
      <c r="P150" s="111"/>
      <c r="Q150" s="111">
        <v>1.0</v>
      </c>
      <c r="R150" s="111">
        <v>1.0</v>
      </c>
      <c r="S150" s="111">
        <v>1.0</v>
      </c>
      <c r="T150" s="111"/>
      <c r="U150" s="111">
        <v>1.0</v>
      </c>
      <c r="V150" s="111"/>
      <c r="W150" s="111"/>
      <c r="X150" s="111"/>
      <c r="Y150" s="111"/>
      <c r="Z150" s="111" t="s">
        <v>12622</v>
      </c>
      <c r="AA150" s="124">
        <v>0.5</v>
      </c>
      <c r="AB150" s="125">
        <f>IF(Projects!$AI150="Electrolysis",
AA150/VLOOKUP(G150,ElectrolysisConvF,3,FALSE),
AC150*10^6/(H2dens*HoursInYear))</f>
        <v>108.6956522</v>
      </c>
      <c r="AC150" s="126">
        <f t="shared" si="17"/>
        <v>0.08474347826</v>
      </c>
      <c r="AD150" s="125"/>
      <c r="AE150" s="125">
        <f t="shared" si="12"/>
        <v>108.6956522</v>
      </c>
      <c r="AF150" s="127" t="s">
        <v>12623</v>
      </c>
      <c r="AG150" s="127">
        <v>0.0</v>
      </c>
      <c r="AH150" s="127">
        <v>0.0</v>
      </c>
      <c r="AI150" s="115" t="s">
        <v>12383</v>
      </c>
      <c r="AJ150" s="116">
        <v>0.57</v>
      </c>
      <c r="AK150" s="117"/>
      <c r="AL150" s="117"/>
      <c r="AM150" s="117"/>
      <c r="AN150" s="117"/>
      <c r="AO150" s="117"/>
    </row>
    <row r="151" ht="34.5" customHeight="1">
      <c r="A151" s="111">
        <v>259.0</v>
      </c>
      <c r="B151" s="111" t="s">
        <v>8125</v>
      </c>
      <c r="C151" s="111" t="s">
        <v>7987</v>
      </c>
      <c r="D151" s="111">
        <v>2011.0</v>
      </c>
      <c r="E151" s="111"/>
      <c r="F151" s="111" t="s">
        <v>12385</v>
      </c>
      <c r="G151" s="111" t="s">
        <v>12224</v>
      </c>
      <c r="H151" s="111"/>
      <c r="I151" s="111" t="s">
        <v>12419</v>
      </c>
      <c r="J151" s="111"/>
      <c r="K151" s="111" t="s">
        <v>30</v>
      </c>
      <c r="L151" s="111"/>
      <c r="M151" s="111"/>
      <c r="N151" s="111"/>
      <c r="O151" s="111"/>
      <c r="P151" s="111"/>
      <c r="Q151" s="111">
        <v>1.0</v>
      </c>
      <c r="R151" s="111"/>
      <c r="S151" s="111"/>
      <c r="T151" s="111"/>
      <c r="U151" s="111"/>
      <c r="V151" s="111"/>
      <c r="W151" s="111"/>
      <c r="X151" s="111"/>
      <c r="Y151" s="111"/>
      <c r="Z151" s="111" t="s">
        <v>12624</v>
      </c>
      <c r="AA151" s="124">
        <v>0.3</v>
      </c>
      <c r="AB151" s="125">
        <f>IF(Projects!$AI151="Electrolysis",
AA151/VLOOKUP(G151,ElectrolysisConvF,3,FALSE),
AC151*10^6/(H2dens*HoursInYear))</f>
        <v>65.2173913</v>
      </c>
      <c r="AC151" s="126">
        <f t="shared" si="17"/>
        <v>0.05084608696</v>
      </c>
      <c r="AD151" s="125"/>
      <c r="AE151" s="125">
        <f t="shared" si="12"/>
        <v>65.2173913</v>
      </c>
      <c r="AF151" s="127" t="s">
        <v>12625</v>
      </c>
      <c r="AG151" s="127">
        <v>0.0</v>
      </c>
      <c r="AH151" s="127">
        <v>0.0</v>
      </c>
      <c r="AI151" s="115" t="s">
        <v>12383</v>
      </c>
      <c r="AJ151" s="116">
        <v>0.57</v>
      </c>
      <c r="AK151" s="117"/>
      <c r="AL151" s="117"/>
      <c r="AM151" s="117"/>
      <c r="AN151" s="117"/>
      <c r="AO151" s="117"/>
    </row>
    <row r="152" ht="34.5" customHeight="1">
      <c r="A152" s="111">
        <v>270.0</v>
      </c>
      <c r="B152" s="111" t="s">
        <v>8126</v>
      </c>
      <c r="C152" s="111" t="s">
        <v>8003</v>
      </c>
      <c r="D152" s="111">
        <v>2011.0</v>
      </c>
      <c r="E152" s="111"/>
      <c r="F152" s="111" t="s">
        <v>12385</v>
      </c>
      <c r="G152" s="111" t="s">
        <v>12224</v>
      </c>
      <c r="H152" s="111"/>
      <c r="I152" s="111" t="s">
        <v>12419</v>
      </c>
      <c r="J152" s="111"/>
      <c r="K152" s="111" t="s">
        <v>30</v>
      </c>
      <c r="L152" s="111"/>
      <c r="M152" s="111"/>
      <c r="N152" s="111"/>
      <c r="O152" s="111"/>
      <c r="P152" s="111"/>
      <c r="Q152" s="111"/>
      <c r="R152" s="111">
        <v>1.0</v>
      </c>
      <c r="S152" s="111"/>
      <c r="T152" s="111"/>
      <c r="U152" s="111"/>
      <c r="V152" s="111"/>
      <c r="W152" s="111"/>
      <c r="X152" s="111"/>
      <c r="Y152" s="111"/>
      <c r="Z152" s="111" t="s">
        <v>12626</v>
      </c>
      <c r="AA152" s="129">
        <f>IF(Projects!$AI152="Electrolysis",
AB152*VLOOKUP(G152,ElectrolysisConvF,3,FALSE),
"")</f>
        <v>0.1242</v>
      </c>
      <c r="AB152" s="125">
        <v>27.0</v>
      </c>
      <c r="AC152" s="126">
        <f t="shared" si="17"/>
        <v>0.02105028</v>
      </c>
      <c r="AD152" s="125"/>
      <c r="AE152" s="125">
        <f t="shared" si="12"/>
        <v>27</v>
      </c>
      <c r="AF152" s="127" t="s">
        <v>12627</v>
      </c>
      <c r="AG152" s="127">
        <v>0.0</v>
      </c>
      <c r="AH152" s="127">
        <v>0.0</v>
      </c>
      <c r="AI152" s="115" t="s">
        <v>12383</v>
      </c>
      <c r="AJ152" s="116">
        <v>0.57</v>
      </c>
      <c r="AK152" s="117"/>
      <c r="AL152" s="117"/>
      <c r="AM152" s="117"/>
      <c r="AN152" s="117"/>
      <c r="AO152" s="117"/>
    </row>
    <row r="153" ht="34.5" customHeight="1">
      <c r="A153" s="111">
        <v>275.0</v>
      </c>
      <c r="B153" s="111" t="s">
        <v>8127</v>
      </c>
      <c r="C153" s="111" t="s">
        <v>8128</v>
      </c>
      <c r="D153" s="111">
        <v>2011.0</v>
      </c>
      <c r="E153" s="111"/>
      <c r="F153" s="111" t="s">
        <v>12385</v>
      </c>
      <c r="G153" s="111" t="s">
        <v>12381</v>
      </c>
      <c r="H153" s="111" t="s">
        <v>12230</v>
      </c>
      <c r="I153" s="111" t="s">
        <v>12419</v>
      </c>
      <c r="J153" s="111"/>
      <c r="K153" s="111" t="s">
        <v>30</v>
      </c>
      <c r="L153" s="111"/>
      <c r="M153" s="111"/>
      <c r="N153" s="111"/>
      <c r="O153" s="111"/>
      <c r="P153" s="111"/>
      <c r="Q153" s="111"/>
      <c r="R153" s="111">
        <v>1.0</v>
      </c>
      <c r="S153" s="111"/>
      <c r="T153" s="111"/>
      <c r="U153" s="111"/>
      <c r="V153" s="111"/>
      <c r="W153" s="111"/>
      <c r="X153" s="111"/>
      <c r="Y153" s="111"/>
      <c r="Z153" s="111" t="s">
        <v>12628</v>
      </c>
      <c r="AA153" s="129">
        <f>IF(Projects!$AI153="Electrolysis",
AB153*VLOOKUP(G153,ElectrolysisConvF,3,FALSE),
"")</f>
        <v>0.0495</v>
      </c>
      <c r="AB153" s="125">
        <v>11.0</v>
      </c>
      <c r="AC153" s="126">
        <f t="shared" si="17"/>
        <v>0.00857604</v>
      </c>
      <c r="AD153" s="125"/>
      <c r="AE153" s="125">
        <f t="shared" si="12"/>
        <v>11</v>
      </c>
      <c r="AF153" s="127"/>
      <c r="AG153" s="127">
        <v>0.0</v>
      </c>
      <c r="AH153" s="127">
        <v>0.0</v>
      </c>
      <c r="AI153" s="115" t="s">
        <v>12383</v>
      </c>
      <c r="AJ153" s="116">
        <v>0.57</v>
      </c>
      <c r="AK153" s="117"/>
      <c r="AL153" s="117"/>
      <c r="AM153" s="117"/>
      <c r="AN153" s="117"/>
      <c r="AO153" s="117"/>
    </row>
    <row r="154" ht="34.5" customHeight="1">
      <c r="A154" s="111">
        <v>279.0</v>
      </c>
      <c r="B154" s="111" t="s">
        <v>8129</v>
      </c>
      <c r="C154" s="111" t="s">
        <v>7967</v>
      </c>
      <c r="D154" s="111">
        <v>2011.0</v>
      </c>
      <c r="E154" s="111"/>
      <c r="F154" s="111" t="s">
        <v>12385</v>
      </c>
      <c r="G154" s="111" t="s">
        <v>12226</v>
      </c>
      <c r="H154" s="111"/>
      <c r="I154" s="111" t="s">
        <v>12419</v>
      </c>
      <c r="J154" s="111"/>
      <c r="K154" s="111" t="s">
        <v>30</v>
      </c>
      <c r="L154" s="111"/>
      <c r="M154" s="111"/>
      <c r="N154" s="111"/>
      <c r="O154" s="111"/>
      <c r="P154" s="111"/>
      <c r="Q154" s="111"/>
      <c r="R154" s="111"/>
      <c r="S154" s="111">
        <v>1.0</v>
      </c>
      <c r="T154" s="111">
        <v>1.0</v>
      </c>
      <c r="U154" s="111"/>
      <c r="V154" s="111"/>
      <c r="W154" s="111"/>
      <c r="X154" s="111"/>
      <c r="Y154" s="111"/>
      <c r="Z154" s="111" t="s">
        <v>12629</v>
      </c>
      <c r="AA154" s="124">
        <v>0.01</v>
      </c>
      <c r="AB154" s="125">
        <f>IF(Projects!$AI154="Electrolysis",
AA154/VLOOKUP(G154,ElectrolysisConvF,3,FALSE),
AC154*10^6/(H2dens*HoursInYear))</f>
        <v>1.923076923</v>
      </c>
      <c r="AC154" s="126">
        <f t="shared" si="17"/>
        <v>0.001499307692</v>
      </c>
      <c r="AD154" s="125"/>
      <c r="AE154" s="125">
        <f t="shared" si="12"/>
        <v>1.923076923</v>
      </c>
      <c r="AF154" s="127" t="s">
        <v>12630</v>
      </c>
      <c r="AG154" s="127">
        <v>0.0</v>
      </c>
      <c r="AH154" s="127">
        <v>0.0</v>
      </c>
      <c r="AI154" s="115" t="s">
        <v>12383</v>
      </c>
      <c r="AJ154" s="116">
        <v>0.57</v>
      </c>
      <c r="AK154" s="117"/>
      <c r="AL154" s="117"/>
      <c r="AM154" s="117"/>
      <c r="AN154" s="117"/>
      <c r="AO154" s="117"/>
    </row>
    <row r="155" ht="34.5" customHeight="1">
      <c r="A155" s="111">
        <v>282.0</v>
      </c>
      <c r="B155" s="111" t="s">
        <v>8130</v>
      </c>
      <c r="C155" s="111" t="s">
        <v>8003</v>
      </c>
      <c r="D155" s="111">
        <v>2010.0</v>
      </c>
      <c r="E155" s="111"/>
      <c r="F155" s="111" t="s">
        <v>12385</v>
      </c>
      <c r="G155" s="111" t="s">
        <v>12224</v>
      </c>
      <c r="H155" s="111"/>
      <c r="I155" s="111" t="s">
        <v>12419</v>
      </c>
      <c r="J155" s="111"/>
      <c r="K155" s="111" t="s">
        <v>30</v>
      </c>
      <c r="L155" s="111"/>
      <c r="M155" s="111"/>
      <c r="N155" s="111"/>
      <c r="O155" s="111"/>
      <c r="P155" s="111"/>
      <c r="Q155" s="111">
        <v>1.0</v>
      </c>
      <c r="R155" s="111">
        <v>1.0</v>
      </c>
      <c r="S155" s="111"/>
      <c r="T155" s="111"/>
      <c r="U155" s="111"/>
      <c r="V155" s="111"/>
      <c r="W155" s="111"/>
      <c r="X155" s="111"/>
      <c r="Y155" s="111"/>
      <c r="Z155" s="111" t="s">
        <v>12624</v>
      </c>
      <c r="AA155" s="124">
        <v>0.3</v>
      </c>
      <c r="AB155" s="125">
        <f>IF(Projects!$AI155="Electrolysis",
AA155/VLOOKUP(G155,ElectrolysisConvF,3,FALSE),
AC155*10^6/(H2dens*HoursInYear))</f>
        <v>65.2173913</v>
      </c>
      <c r="AC155" s="126">
        <f t="shared" si="17"/>
        <v>0.05084608696</v>
      </c>
      <c r="AD155" s="125"/>
      <c r="AE155" s="125">
        <f t="shared" si="12"/>
        <v>65.2173913</v>
      </c>
      <c r="AF155" s="127" t="s">
        <v>12631</v>
      </c>
      <c r="AG155" s="127">
        <v>0.0</v>
      </c>
      <c r="AH155" s="127">
        <v>0.0</v>
      </c>
      <c r="AI155" s="115" t="s">
        <v>12383</v>
      </c>
      <c r="AJ155" s="116">
        <v>0.57</v>
      </c>
      <c r="AK155" s="117"/>
      <c r="AL155" s="117"/>
      <c r="AM155" s="117"/>
      <c r="AN155" s="117"/>
      <c r="AO155" s="117"/>
    </row>
    <row r="156" ht="34.5" customHeight="1">
      <c r="A156" s="111">
        <v>286.0</v>
      </c>
      <c r="B156" s="111" t="s">
        <v>8131</v>
      </c>
      <c r="C156" s="111" t="s">
        <v>7994</v>
      </c>
      <c r="D156" s="111">
        <v>2010.0</v>
      </c>
      <c r="E156" s="111"/>
      <c r="F156" s="111" t="s">
        <v>12385</v>
      </c>
      <c r="G156" s="111" t="s">
        <v>12224</v>
      </c>
      <c r="H156" s="111"/>
      <c r="I156" s="111" t="s">
        <v>12419</v>
      </c>
      <c r="J156" s="111"/>
      <c r="K156" s="111" t="s">
        <v>30</v>
      </c>
      <c r="L156" s="111"/>
      <c r="M156" s="111"/>
      <c r="N156" s="111"/>
      <c r="O156" s="111"/>
      <c r="P156" s="111"/>
      <c r="Q156" s="111">
        <v>1.0</v>
      </c>
      <c r="R156" s="111">
        <v>1.0</v>
      </c>
      <c r="S156" s="111">
        <v>1.0</v>
      </c>
      <c r="T156" s="111"/>
      <c r="U156" s="111"/>
      <c r="V156" s="111"/>
      <c r="W156" s="111"/>
      <c r="X156" s="111"/>
      <c r="Y156" s="111"/>
      <c r="Z156" s="111" t="s">
        <v>12632</v>
      </c>
      <c r="AA156" s="129">
        <f>IF(Projects!$AI156="Electrolysis",
AB156*VLOOKUP(G156,ElectrolysisConvF,3,FALSE),
"")</f>
        <v>0.0874</v>
      </c>
      <c r="AB156" s="125">
        <v>19.0</v>
      </c>
      <c r="AC156" s="126">
        <f t="shared" si="17"/>
        <v>0.01481316</v>
      </c>
      <c r="AD156" s="125"/>
      <c r="AE156" s="125">
        <f t="shared" si="12"/>
        <v>19</v>
      </c>
      <c r="AF156" s="127" t="s">
        <v>12633</v>
      </c>
      <c r="AG156" s="127">
        <v>0.0</v>
      </c>
      <c r="AH156" s="127">
        <v>0.0</v>
      </c>
      <c r="AI156" s="115" t="s">
        <v>12383</v>
      </c>
      <c r="AJ156" s="116">
        <v>0.57</v>
      </c>
      <c r="AK156" s="117"/>
      <c r="AL156" s="117"/>
      <c r="AM156" s="117"/>
      <c r="AN156" s="117"/>
      <c r="AO156" s="117"/>
    </row>
    <row r="157" ht="34.5" customHeight="1">
      <c r="A157" s="111">
        <v>288.0</v>
      </c>
      <c r="B157" s="111" t="s">
        <v>8132</v>
      </c>
      <c r="C157" s="111" t="s">
        <v>7977</v>
      </c>
      <c r="D157" s="111">
        <v>2010.0</v>
      </c>
      <c r="E157" s="111"/>
      <c r="F157" s="111" t="s">
        <v>12418</v>
      </c>
      <c r="G157" s="111" t="s">
        <v>12224</v>
      </c>
      <c r="H157" s="111"/>
      <c r="I157" s="111" t="s">
        <v>12419</v>
      </c>
      <c r="J157" s="111"/>
      <c r="K157" s="111" t="s">
        <v>30</v>
      </c>
      <c r="L157" s="111"/>
      <c r="M157" s="111"/>
      <c r="N157" s="111"/>
      <c r="O157" s="111"/>
      <c r="P157" s="111"/>
      <c r="Q157" s="111">
        <v>1.0</v>
      </c>
      <c r="R157" s="111"/>
      <c r="S157" s="111"/>
      <c r="T157" s="111"/>
      <c r="U157" s="111"/>
      <c r="V157" s="111"/>
      <c r="W157" s="111"/>
      <c r="X157" s="111"/>
      <c r="Y157" s="111"/>
      <c r="Z157" s="111" t="s">
        <v>12634</v>
      </c>
      <c r="AA157" s="124">
        <v>0.065</v>
      </c>
      <c r="AB157" s="125">
        <f>IF(Projects!$AI157="Electrolysis",
AA157/VLOOKUP(G157,ElectrolysisConvF,3,FALSE),
AC157*10^6/(H2dens*HoursInYear))</f>
        <v>14.13043478</v>
      </c>
      <c r="AC157" s="126">
        <f t="shared" si="17"/>
        <v>0.01101665217</v>
      </c>
      <c r="AD157" s="125"/>
      <c r="AE157" s="125">
        <f t="shared" si="12"/>
        <v>14.13043478</v>
      </c>
      <c r="AF157" s="127" t="s">
        <v>12635</v>
      </c>
      <c r="AG157" s="127">
        <v>0.0</v>
      </c>
      <c r="AH157" s="127">
        <v>0.0</v>
      </c>
      <c r="AI157" s="115" t="s">
        <v>12383</v>
      </c>
      <c r="AJ157" s="116">
        <v>0.57</v>
      </c>
      <c r="AK157" s="117"/>
      <c r="AL157" s="117"/>
      <c r="AM157" s="117"/>
      <c r="AN157" s="117"/>
      <c r="AO157" s="117"/>
    </row>
    <row r="158" ht="34.5" customHeight="1">
      <c r="A158" s="111">
        <v>295.0</v>
      </c>
      <c r="B158" s="111" t="s">
        <v>8133</v>
      </c>
      <c r="C158" s="111" t="s">
        <v>8117</v>
      </c>
      <c r="D158" s="111">
        <v>2010.0</v>
      </c>
      <c r="E158" s="111"/>
      <c r="F158" s="111" t="s">
        <v>12418</v>
      </c>
      <c r="G158" s="111" t="s">
        <v>12381</v>
      </c>
      <c r="H158" s="111" t="s">
        <v>12230</v>
      </c>
      <c r="I158" s="111" t="s">
        <v>12419</v>
      </c>
      <c r="J158" s="111"/>
      <c r="K158" s="111" t="s">
        <v>30</v>
      </c>
      <c r="L158" s="111"/>
      <c r="M158" s="111"/>
      <c r="N158" s="111"/>
      <c r="O158" s="111"/>
      <c r="P158" s="111"/>
      <c r="Q158" s="111"/>
      <c r="R158" s="111">
        <v>1.0</v>
      </c>
      <c r="S158" s="111"/>
      <c r="T158" s="111"/>
      <c r="U158" s="111"/>
      <c r="V158" s="111"/>
      <c r="W158" s="111"/>
      <c r="X158" s="111"/>
      <c r="Y158" s="111"/>
      <c r="Z158" s="111" t="s">
        <v>12636</v>
      </c>
      <c r="AA158" s="124">
        <v>0.22</v>
      </c>
      <c r="AB158" s="125">
        <f>IF(Projects!$AI158="Electrolysis",
AA158/VLOOKUP(G158,ElectrolysisConvF,3,FALSE),
AC158*10^6/(H2dens*HoursInYear))</f>
        <v>48.88888889</v>
      </c>
      <c r="AC158" s="126">
        <f t="shared" si="17"/>
        <v>0.03811573333</v>
      </c>
      <c r="AD158" s="125"/>
      <c r="AE158" s="125">
        <f t="shared" si="12"/>
        <v>48.88888889</v>
      </c>
      <c r="AF158" s="127" t="s">
        <v>12637</v>
      </c>
      <c r="AG158" s="127">
        <v>0.0</v>
      </c>
      <c r="AH158" s="127">
        <v>0.0</v>
      </c>
      <c r="AI158" s="115" t="s">
        <v>12383</v>
      </c>
      <c r="AJ158" s="116">
        <v>0.57</v>
      </c>
      <c r="AK158" s="117"/>
      <c r="AL158" s="117"/>
      <c r="AM158" s="117"/>
      <c r="AN158" s="117"/>
      <c r="AO158" s="117"/>
    </row>
    <row r="159" ht="34.5" customHeight="1">
      <c r="A159" s="111">
        <v>296.0</v>
      </c>
      <c r="B159" s="111" t="s">
        <v>8134</v>
      </c>
      <c r="C159" s="111" t="s">
        <v>7981</v>
      </c>
      <c r="D159" s="111">
        <v>2010.0</v>
      </c>
      <c r="E159" s="111"/>
      <c r="F159" s="111" t="s">
        <v>12418</v>
      </c>
      <c r="G159" s="111" t="s">
        <v>12226</v>
      </c>
      <c r="H159" s="111"/>
      <c r="I159" s="111" t="s">
        <v>12419</v>
      </c>
      <c r="J159" s="111"/>
      <c r="K159" s="111" t="s">
        <v>30</v>
      </c>
      <c r="L159" s="111"/>
      <c r="M159" s="111"/>
      <c r="N159" s="111"/>
      <c r="O159" s="111"/>
      <c r="P159" s="111"/>
      <c r="Q159" s="111"/>
      <c r="R159" s="111">
        <v>1.0</v>
      </c>
      <c r="S159" s="111"/>
      <c r="T159" s="111"/>
      <c r="U159" s="111"/>
      <c r="V159" s="111"/>
      <c r="W159" s="111"/>
      <c r="X159" s="111"/>
      <c r="Y159" s="111"/>
      <c r="Z159" s="111" t="s">
        <v>12638</v>
      </c>
      <c r="AA159" s="124">
        <v>0.007</v>
      </c>
      <c r="AB159" s="125">
        <f>IF(Projects!$AI159="Electrolysis",
AA159/VLOOKUP(G159,ElectrolysisConvF,3,FALSE),
AC159*10^6/(H2dens*HoursInYear))</f>
        <v>1.346153846</v>
      </c>
      <c r="AC159" s="126">
        <f t="shared" si="17"/>
        <v>0.001049515385</v>
      </c>
      <c r="AD159" s="125"/>
      <c r="AE159" s="125">
        <f t="shared" si="12"/>
        <v>1.346153846</v>
      </c>
      <c r="AF159" s="127" t="s">
        <v>12639</v>
      </c>
      <c r="AG159" s="127">
        <v>0.0</v>
      </c>
      <c r="AH159" s="127">
        <v>0.0</v>
      </c>
      <c r="AI159" s="115" t="s">
        <v>12383</v>
      </c>
      <c r="AJ159" s="116">
        <v>0.57</v>
      </c>
      <c r="AK159" s="117"/>
      <c r="AL159" s="117"/>
      <c r="AM159" s="117"/>
      <c r="AN159" s="117"/>
      <c r="AO159" s="117"/>
    </row>
    <row r="160" ht="34.5" customHeight="1">
      <c r="A160" s="111">
        <v>299.0</v>
      </c>
      <c r="B160" s="111" t="s">
        <v>8135</v>
      </c>
      <c r="C160" s="111" t="s">
        <v>7994</v>
      </c>
      <c r="D160" s="111">
        <v>2010.0</v>
      </c>
      <c r="E160" s="111"/>
      <c r="F160" s="111" t="s">
        <v>12385</v>
      </c>
      <c r="G160" s="111" t="s">
        <v>12224</v>
      </c>
      <c r="H160" s="111"/>
      <c r="I160" s="111" t="s">
        <v>12419</v>
      </c>
      <c r="J160" s="111"/>
      <c r="K160" s="111" t="s">
        <v>30</v>
      </c>
      <c r="L160" s="111"/>
      <c r="M160" s="111"/>
      <c r="N160" s="111"/>
      <c r="O160" s="111"/>
      <c r="P160" s="111"/>
      <c r="Q160" s="111"/>
      <c r="R160" s="111">
        <v>1.0</v>
      </c>
      <c r="S160" s="111"/>
      <c r="T160" s="111"/>
      <c r="U160" s="111"/>
      <c r="V160" s="111"/>
      <c r="W160" s="111"/>
      <c r="X160" s="111"/>
      <c r="Y160" s="111"/>
      <c r="Z160" s="111"/>
      <c r="AA160" s="124"/>
      <c r="AB160" s="125"/>
      <c r="AC160" s="126"/>
      <c r="AD160" s="125"/>
      <c r="AE160" s="125" t="str">
        <f t="shared" si="12"/>
        <v/>
      </c>
      <c r="AF160" s="127"/>
      <c r="AG160" s="127">
        <v>0.0</v>
      </c>
      <c r="AH160" s="127">
        <v>0.0</v>
      </c>
      <c r="AI160" s="115" t="s">
        <v>12383</v>
      </c>
      <c r="AJ160" s="116">
        <v>0.57</v>
      </c>
      <c r="AK160" s="117"/>
      <c r="AL160" s="117"/>
      <c r="AM160" s="117"/>
      <c r="AN160" s="117"/>
      <c r="AO160" s="117"/>
    </row>
    <row r="161" ht="34.5" customHeight="1">
      <c r="A161" s="111">
        <v>302.0</v>
      </c>
      <c r="B161" s="111" t="s">
        <v>8136</v>
      </c>
      <c r="C161" s="111" t="s">
        <v>8108</v>
      </c>
      <c r="D161" s="111">
        <v>2012.0</v>
      </c>
      <c r="E161" s="111"/>
      <c r="F161" s="111" t="s">
        <v>12385</v>
      </c>
      <c r="G161" s="111" t="s">
        <v>12226</v>
      </c>
      <c r="H161" s="111"/>
      <c r="I161" s="111" t="s">
        <v>12419</v>
      </c>
      <c r="J161" s="111"/>
      <c r="K161" s="111" t="s">
        <v>30</v>
      </c>
      <c r="L161" s="111"/>
      <c r="M161" s="111"/>
      <c r="N161" s="111"/>
      <c r="O161" s="111"/>
      <c r="P161" s="111"/>
      <c r="Q161" s="111"/>
      <c r="R161" s="111">
        <v>1.0</v>
      </c>
      <c r="S161" s="111"/>
      <c r="T161" s="111"/>
      <c r="U161" s="111"/>
      <c r="V161" s="111"/>
      <c r="W161" s="111"/>
      <c r="X161" s="111"/>
      <c r="Y161" s="111"/>
      <c r="Z161" s="111" t="s">
        <v>12640</v>
      </c>
      <c r="AA161" s="129">
        <f>IF(Projects!$AI161="Electrolysis",
AB161*VLOOKUP(G161,ElectrolysisConvF,3,FALSE),
"")</f>
        <v>0.0104</v>
      </c>
      <c r="AB161" s="125">
        <v>2.0</v>
      </c>
      <c r="AC161" s="126">
        <f t="shared" ref="AC161:AC186" si="18">AB161*H2dens*HoursInYear/10^6</f>
        <v>0.00155928</v>
      </c>
      <c r="AD161" s="125"/>
      <c r="AE161" s="125">
        <f t="shared" si="12"/>
        <v>2</v>
      </c>
      <c r="AF161" s="127" t="s">
        <v>12641</v>
      </c>
      <c r="AG161" s="127">
        <v>0.0</v>
      </c>
      <c r="AH161" s="127">
        <v>0.0</v>
      </c>
      <c r="AI161" s="115" t="s">
        <v>12383</v>
      </c>
      <c r="AJ161" s="116">
        <v>0.57</v>
      </c>
      <c r="AK161" s="117"/>
      <c r="AL161" s="117"/>
      <c r="AM161" s="117"/>
      <c r="AN161" s="117"/>
      <c r="AO161" s="117"/>
    </row>
    <row r="162" ht="34.5" customHeight="1">
      <c r="A162" s="111">
        <v>303.0</v>
      </c>
      <c r="B162" s="111" t="s">
        <v>8137</v>
      </c>
      <c r="C162" s="111" t="s">
        <v>8138</v>
      </c>
      <c r="D162" s="111">
        <v>2009.0</v>
      </c>
      <c r="E162" s="111"/>
      <c r="F162" s="111" t="s">
        <v>12385</v>
      </c>
      <c r="G162" s="111" t="s">
        <v>12224</v>
      </c>
      <c r="H162" s="111"/>
      <c r="I162" s="111" t="s">
        <v>12394</v>
      </c>
      <c r="J162" s="111" t="s">
        <v>12292</v>
      </c>
      <c r="K162" s="111" t="s">
        <v>30</v>
      </c>
      <c r="L162" s="111"/>
      <c r="M162" s="111"/>
      <c r="N162" s="111"/>
      <c r="O162" s="111"/>
      <c r="P162" s="111"/>
      <c r="Q162" s="111"/>
      <c r="R162" s="111">
        <v>1.0</v>
      </c>
      <c r="S162" s="111"/>
      <c r="T162" s="111"/>
      <c r="U162" s="111"/>
      <c r="V162" s="111"/>
      <c r="W162" s="111"/>
      <c r="X162" s="111"/>
      <c r="Y162" s="111"/>
      <c r="Z162" s="111" t="s">
        <v>12642</v>
      </c>
      <c r="AA162" s="129">
        <f>IF(Projects!$AI162="Electrolysis",
AB162*VLOOKUP(G162,ElectrolysisConvF,3,FALSE),
"")</f>
        <v>0.828</v>
      </c>
      <c r="AB162" s="125">
        <v>180.0</v>
      </c>
      <c r="AC162" s="126">
        <f t="shared" si="18"/>
        <v>0.1403352</v>
      </c>
      <c r="AD162" s="125"/>
      <c r="AE162" s="125">
        <f t="shared" si="12"/>
        <v>180</v>
      </c>
      <c r="AF162" s="127" t="s">
        <v>12643</v>
      </c>
      <c r="AG162" s="127">
        <v>-45.8662784348113</v>
      </c>
      <c r="AH162" s="127">
        <v>-67.4891249119704</v>
      </c>
      <c r="AI162" s="115" t="s">
        <v>12383</v>
      </c>
      <c r="AJ162" s="116">
        <v>0.4</v>
      </c>
      <c r="AK162" s="117"/>
      <c r="AL162" s="117"/>
      <c r="AM162" s="117"/>
      <c r="AN162" s="117"/>
      <c r="AO162" s="117"/>
    </row>
    <row r="163" ht="34.5" customHeight="1">
      <c r="A163" s="111">
        <v>305.0</v>
      </c>
      <c r="B163" s="111" t="s">
        <v>8139</v>
      </c>
      <c r="C163" s="111" t="s">
        <v>8140</v>
      </c>
      <c r="D163" s="111">
        <v>2009.0</v>
      </c>
      <c r="E163" s="111"/>
      <c r="F163" s="111" t="s">
        <v>12385</v>
      </c>
      <c r="G163" s="111" t="s">
        <v>12381</v>
      </c>
      <c r="H163" s="111" t="s">
        <v>12230</v>
      </c>
      <c r="I163" s="111" t="s">
        <v>12419</v>
      </c>
      <c r="J163" s="111"/>
      <c r="K163" s="111" t="s">
        <v>30</v>
      </c>
      <c r="L163" s="111"/>
      <c r="M163" s="111"/>
      <c r="N163" s="111"/>
      <c r="O163" s="111"/>
      <c r="P163" s="111"/>
      <c r="Q163" s="111"/>
      <c r="R163" s="111">
        <v>1.0</v>
      </c>
      <c r="S163" s="111"/>
      <c r="T163" s="111"/>
      <c r="U163" s="111"/>
      <c r="V163" s="111"/>
      <c r="W163" s="111"/>
      <c r="X163" s="111"/>
      <c r="Y163" s="111"/>
      <c r="Z163" s="111" t="s">
        <v>12513</v>
      </c>
      <c r="AA163" s="124">
        <v>0.2</v>
      </c>
      <c r="AB163" s="125">
        <f>IF(Projects!$AI163="Electrolysis",
AA163/VLOOKUP(G163,ElectrolysisConvF,3,FALSE),
AC163*10^6/(H2dens*HoursInYear))</f>
        <v>44.44444444</v>
      </c>
      <c r="AC163" s="126">
        <f t="shared" si="18"/>
        <v>0.03465066667</v>
      </c>
      <c r="AD163" s="125"/>
      <c r="AE163" s="125">
        <f t="shared" si="12"/>
        <v>44.44444444</v>
      </c>
      <c r="AF163" s="127" t="s">
        <v>12644</v>
      </c>
      <c r="AG163" s="127">
        <v>0.0</v>
      </c>
      <c r="AH163" s="127">
        <v>0.0</v>
      </c>
      <c r="AI163" s="115" t="s">
        <v>12383</v>
      </c>
      <c r="AJ163" s="116">
        <v>0.57</v>
      </c>
      <c r="AK163" s="117"/>
      <c r="AL163" s="117"/>
      <c r="AM163" s="117"/>
      <c r="AN163" s="117"/>
      <c r="AO163" s="117"/>
    </row>
    <row r="164" ht="34.5" customHeight="1">
      <c r="A164" s="111">
        <v>306.0</v>
      </c>
      <c r="B164" s="111" t="s">
        <v>8141</v>
      </c>
      <c r="C164" s="111" t="s">
        <v>8128</v>
      </c>
      <c r="D164" s="111">
        <v>2009.0</v>
      </c>
      <c r="E164" s="111">
        <v>2023.0</v>
      </c>
      <c r="F164" s="111" t="s">
        <v>12418</v>
      </c>
      <c r="G164" s="111" t="s">
        <v>12224</v>
      </c>
      <c r="H164" s="111"/>
      <c r="I164" s="111" t="s">
        <v>12419</v>
      </c>
      <c r="J164" s="111"/>
      <c r="K164" s="111" t="s">
        <v>30</v>
      </c>
      <c r="L164" s="111"/>
      <c r="M164" s="111"/>
      <c r="N164" s="111"/>
      <c r="O164" s="111"/>
      <c r="P164" s="111"/>
      <c r="Q164" s="111">
        <v>1.0</v>
      </c>
      <c r="R164" s="111"/>
      <c r="S164" s="111"/>
      <c r="T164" s="111"/>
      <c r="U164" s="111"/>
      <c r="V164" s="111"/>
      <c r="W164" s="111"/>
      <c r="X164" s="111"/>
      <c r="Y164" s="111"/>
      <c r="Z164" s="111" t="s">
        <v>12645</v>
      </c>
      <c r="AA164" s="124">
        <v>0.16</v>
      </c>
      <c r="AB164" s="125">
        <f>IF(Projects!$AI164="Electrolysis",
AA164/VLOOKUP(G164,ElectrolysisConvF,3,FALSE),
AC164*10^6/(H2dens*HoursInYear))</f>
        <v>34.7826087</v>
      </c>
      <c r="AC164" s="126">
        <f t="shared" si="18"/>
        <v>0.02711791304</v>
      </c>
      <c r="AD164" s="125"/>
      <c r="AE164" s="125">
        <f t="shared" si="12"/>
        <v>34.7826087</v>
      </c>
      <c r="AF164" s="127"/>
      <c r="AG164" s="127">
        <v>0.0</v>
      </c>
      <c r="AH164" s="127">
        <v>0.0</v>
      </c>
      <c r="AI164" s="115" t="s">
        <v>12383</v>
      </c>
      <c r="AJ164" s="116">
        <v>0.57</v>
      </c>
      <c r="AK164" s="117"/>
      <c r="AL164" s="117"/>
      <c r="AM164" s="117"/>
      <c r="AN164" s="117"/>
      <c r="AO164" s="117"/>
    </row>
    <row r="165" ht="34.5" customHeight="1">
      <c r="A165" s="111">
        <v>309.0</v>
      </c>
      <c r="B165" s="111" t="s">
        <v>8142</v>
      </c>
      <c r="C165" s="111" t="s">
        <v>8011</v>
      </c>
      <c r="D165" s="111">
        <v>2009.0</v>
      </c>
      <c r="E165" s="111"/>
      <c r="F165" s="111" t="s">
        <v>12418</v>
      </c>
      <c r="G165" s="111" t="s">
        <v>12224</v>
      </c>
      <c r="H165" s="111"/>
      <c r="I165" s="111" t="s">
        <v>12419</v>
      </c>
      <c r="J165" s="111"/>
      <c r="K165" s="111" t="s">
        <v>12449</v>
      </c>
      <c r="L165" s="111"/>
      <c r="M165" s="111"/>
      <c r="N165" s="111"/>
      <c r="O165" s="111"/>
      <c r="P165" s="111"/>
      <c r="Q165" s="111"/>
      <c r="R165" s="111"/>
      <c r="S165" s="111"/>
      <c r="T165" s="111"/>
      <c r="U165" s="111"/>
      <c r="V165" s="111"/>
      <c r="W165" s="111"/>
      <c r="X165" s="111"/>
      <c r="Y165" s="111">
        <v>1.0</v>
      </c>
      <c r="Z165" s="111" t="s">
        <v>12646</v>
      </c>
      <c r="AA165" s="124">
        <v>0.08</v>
      </c>
      <c r="AB165" s="125">
        <f>IF(Projects!$AI165="Electrolysis",
AA165/VLOOKUP(G165,ElectrolysisConvF,3,FALSE),
AC165*10^6/(H2dens*HoursInYear))</f>
        <v>17.39130435</v>
      </c>
      <c r="AC165" s="126">
        <f t="shared" si="18"/>
        <v>0.01355895652</v>
      </c>
      <c r="AD165" s="125"/>
      <c r="AE165" s="125">
        <f t="shared" si="12"/>
        <v>17.39130435</v>
      </c>
      <c r="AF165" s="127"/>
      <c r="AG165" s="127">
        <v>51.035664427963</v>
      </c>
      <c r="AH165" s="127">
        <v>2.37743555004076</v>
      </c>
      <c r="AI165" s="115" t="s">
        <v>12383</v>
      </c>
      <c r="AJ165" s="116">
        <v>0.57</v>
      </c>
      <c r="AK165" s="117"/>
      <c r="AL165" s="117"/>
      <c r="AM165" s="117"/>
      <c r="AN165" s="117"/>
      <c r="AO165" s="117"/>
    </row>
    <row r="166" ht="34.5" customHeight="1">
      <c r="A166" s="111">
        <v>312.0</v>
      </c>
      <c r="B166" s="111" t="s">
        <v>8143</v>
      </c>
      <c r="C166" s="111" t="s">
        <v>7987</v>
      </c>
      <c r="D166" s="111">
        <v>2009.0</v>
      </c>
      <c r="E166" s="111"/>
      <c r="F166" s="111" t="s">
        <v>12385</v>
      </c>
      <c r="G166" s="111" t="s">
        <v>12224</v>
      </c>
      <c r="H166" s="111"/>
      <c r="I166" s="111" t="s">
        <v>12406</v>
      </c>
      <c r="J166" s="111"/>
      <c r="K166" s="111" t="s">
        <v>30</v>
      </c>
      <c r="L166" s="111"/>
      <c r="M166" s="111"/>
      <c r="N166" s="111"/>
      <c r="O166" s="111"/>
      <c r="P166" s="111"/>
      <c r="Q166" s="111"/>
      <c r="R166" s="111">
        <v>1.0</v>
      </c>
      <c r="S166" s="111"/>
      <c r="T166" s="111"/>
      <c r="U166" s="111"/>
      <c r="V166" s="111"/>
      <c r="W166" s="111"/>
      <c r="X166" s="111"/>
      <c r="Y166" s="111"/>
      <c r="Z166" s="111" t="s">
        <v>12482</v>
      </c>
      <c r="AA166" s="124">
        <v>0.006</v>
      </c>
      <c r="AB166" s="125">
        <f>IF(Projects!$AI166="Electrolysis",
AA166/VLOOKUP(G166,ElectrolysisConvF,3,FALSE),
AC166*10^6/(H2dens*HoursInYear))</f>
        <v>1.304347826</v>
      </c>
      <c r="AC166" s="126">
        <f t="shared" si="18"/>
        <v>0.001016921739</v>
      </c>
      <c r="AD166" s="125"/>
      <c r="AE166" s="125">
        <f t="shared" si="12"/>
        <v>1.304347826</v>
      </c>
      <c r="AF166" s="127" t="s">
        <v>12647</v>
      </c>
      <c r="AG166" s="127">
        <v>0.0</v>
      </c>
      <c r="AH166" s="127">
        <v>0.0</v>
      </c>
      <c r="AI166" s="115" t="s">
        <v>12383</v>
      </c>
      <c r="AJ166" s="116">
        <v>0.57</v>
      </c>
      <c r="AK166" s="117"/>
      <c r="AL166" s="117"/>
      <c r="AM166" s="117"/>
      <c r="AN166" s="117"/>
      <c r="AO166" s="117"/>
    </row>
    <row r="167" ht="34.5" customHeight="1">
      <c r="A167" s="111">
        <v>313.0</v>
      </c>
      <c r="B167" s="111" t="s">
        <v>8144</v>
      </c>
      <c r="C167" s="111" t="s">
        <v>7981</v>
      </c>
      <c r="D167" s="111">
        <v>2009.0</v>
      </c>
      <c r="E167" s="111"/>
      <c r="F167" s="111" t="s">
        <v>12418</v>
      </c>
      <c r="G167" s="111" t="s">
        <v>12226</v>
      </c>
      <c r="H167" s="111"/>
      <c r="I167" s="111" t="s">
        <v>12419</v>
      </c>
      <c r="J167" s="111"/>
      <c r="K167" s="111"/>
      <c r="L167" s="111"/>
      <c r="M167" s="111"/>
      <c r="N167" s="111"/>
      <c r="O167" s="111"/>
      <c r="P167" s="111">
        <v>1.0</v>
      </c>
      <c r="Q167" s="111"/>
      <c r="R167" s="111"/>
      <c r="S167" s="111"/>
      <c r="T167" s="111"/>
      <c r="U167" s="111"/>
      <c r="V167" s="111"/>
      <c r="W167" s="111"/>
      <c r="X167" s="111"/>
      <c r="Y167" s="111"/>
      <c r="Z167" s="111" t="s">
        <v>12648</v>
      </c>
      <c r="AA167" s="124">
        <v>0.005</v>
      </c>
      <c r="AB167" s="125">
        <f>IF(Projects!$AI167="Electrolysis",
AA167/VLOOKUP(G167,ElectrolysisConvF,3,FALSE),
AC167*10^6/(H2dens*HoursInYear))</f>
        <v>0.9615384615</v>
      </c>
      <c r="AC167" s="126">
        <f t="shared" si="18"/>
        <v>0.0007496538462</v>
      </c>
      <c r="AD167" s="125"/>
      <c r="AE167" s="125">
        <f t="shared" si="12"/>
        <v>0.9615384615</v>
      </c>
      <c r="AF167" s="127" t="s">
        <v>12649</v>
      </c>
      <c r="AG167" s="127">
        <v>0.0</v>
      </c>
      <c r="AH167" s="127">
        <v>0.0</v>
      </c>
      <c r="AI167" s="115" t="s">
        <v>12383</v>
      </c>
      <c r="AJ167" s="116">
        <v>0.57</v>
      </c>
      <c r="AK167" s="117"/>
      <c r="AL167" s="117"/>
      <c r="AM167" s="117"/>
      <c r="AN167" s="117"/>
      <c r="AO167" s="117"/>
    </row>
    <row r="168" ht="34.5" customHeight="1">
      <c r="A168" s="111">
        <v>314.0</v>
      </c>
      <c r="B168" s="111" t="s">
        <v>8145</v>
      </c>
      <c r="C168" s="111" t="s">
        <v>8117</v>
      </c>
      <c r="D168" s="111">
        <v>2009.0</v>
      </c>
      <c r="E168" s="111"/>
      <c r="F168" s="111" t="s">
        <v>12418</v>
      </c>
      <c r="G168" s="111" t="s">
        <v>12226</v>
      </c>
      <c r="H168" s="111"/>
      <c r="I168" s="111" t="s">
        <v>12419</v>
      </c>
      <c r="J168" s="111"/>
      <c r="K168" s="111" t="s">
        <v>30</v>
      </c>
      <c r="L168" s="111"/>
      <c r="M168" s="111"/>
      <c r="N168" s="111"/>
      <c r="O168" s="111"/>
      <c r="P168" s="111"/>
      <c r="Q168" s="111"/>
      <c r="R168" s="111">
        <v>1.0</v>
      </c>
      <c r="S168" s="111"/>
      <c r="T168" s="111"/>
      <c r="U168" s="111"/>
      <c r="V168" s="111"/>
      <c r="W168" s="111"/>
      <c r="X168" s="111"/>
      <c r="Y168" s="111"/>
      <c r="Z168" s="111" t="s">
        <v>12650</v>
      </c>
      <c r="AA168" s="124">
        <v>0.004</v>
      </c>
      <c r="AB168" s="125">
        <f>IF(Projects!$AI168="Electrolysis",
AA168/VLOOKUP(G168,ElectrolysisConvF,3,FALSE),
AC168*10^6/(H2dens*HoursInYear))</f>
        <v>0.7692307692</v>
      </c>
      <c r="AC168" s="126">
        <f t="shared" si="18"/>
        <v>0.0005997230769</v>
      </c>
      <c r="AD168" s="125"/>
      <c r="AE168" s="125">
        <f t="shared" si="12"/>
        <v>0.7692307692</v>
      </c>
      <c r="AF168" s="127" t="s">
        <v>12651</v>
      </c>
      <c r="AG168" s="127">
        <v>0.0</v>
      </c>
      <c r="AH168" s="127">
        <v>0.0</v>
      </c>
      <c r="AI168" s="115" t="s">
        <v>12383</v>
      </c>
      <c r="AJ168" s="116">
        <v>0.57</v>
      </c>
      <c r="AK168" s="117"/>
      <c r="AL168" s="117"/>
      <c r="AM168" s="117"/>
      <c r="AN168" s="117"/>
      <c r="AO168" s="117"/>
    </row>
    <row r="169" ht="34.5" customHeight="1">
      <c r="A169" s="111">
        <v>315.0</v>
      </c>
      <c r="B169" s="111" t="s">
        <v>8146</v>
      </c>
      <c r="C169" s="111" t="s">
        <v>8147</v>
      </c>
      <c r="D169" s="111">
        <v>2009.0</v>
      </c>
      <c r="E169" s="111"/>
      <c r="F169" s="111" t="s">
        <v>12418</v>
      </c>
      <c r="G169" s="111" t="s">
        <v>12226</v>
      </c>
      <c r="H169" s="111"/>
      <c r="I169" s="111" t="s">
        <v>12419</v>
      </c>
      <c r="J169" s="111"/>
      <c r="K169" s="111" t="s">
        <v>30</v>
      </c>
      <c r="L169" s="111"/>
      <c r="M169" s="111"/>
      <c r="N169" s="111"/>
      <c r="O169" s="111"/>
      <c r="P169" s="111"/>
      <c r="Q169" s="111"/>
      <c r="R169" s="111">
        <v>1.0</v>
      </c>
      <c r="S169" s="111"/>
      <c r="T169" s="111"/>
      <c r="U169" s="111"/>
      <c r="V169" s="111"/>
      <c r="W169" s="111"/>
      <c r="X169" s="111"/>
      <c r="Y169" s="111"/>
      <c r="Z169" s="111" t="s">
        <v>12652</v>
      </c>
      <c r="AA169" s="124">
        <v>0.0025</v>
      </c>
      <c r="AB169" s="125">
        <f>IF(Projects!$AI169="Electrolysis",
AA169/VLOOKUP(G169,ElectrolysisConvF,3,FALSE),
AC169*10^6/(H2dens*HoursInYear))</f>
        <v>0.4807692308</v>
      </c>
      <c r="AC169" s="126">
        <f t="shared" si="18"/>
        <v>0.0003748269231</v>
      </c>
      <c r="AD169" s="125"/>
      <c r="AE169" s="125">
        <f t="shared" si="12"/>
        <v>0.4807692308</v>
      </c>
      <c r="AF169" s="127" t="s">
        <v>12653</v>
      </c>
      <c r="AG169" s="127">
        <v>0.0</v>
      </c>
      <c r="AH169" s="127">
        <v>0.0</v>
      </c>
      <c r="AI169" s="115" t="s">
        <v>12383</v>
      </c>
      <c r="AJ169" s="116">
        <v>0.57</v>
      </c>
      <c r="AK169" s="117"/>
      <c r="AL169" s="117"/>
      <c r="AM169" s="117"/>
      <c r="AN169" s="117"/>
      <c r="AO169" s="117"/>
    </row>
    <row r="170" ht="34.5" customHeight="1">
      <c r="A170" s="111">
        <v>333.0</v>
      </c>
      <c r="B170" s="111" t="s">
        <v>8148</v>
      </c>
      <c r="C170" s="111" t="s">
        <v>7991</v>
      </c>
      <c r="D170" s="111">
        <v>2008.0</v>
      </c>
      <c r="E170" s="111"/>
      <c r="F170" s="111" t="s">
        <v>12385</v>
      </c>
      <c r="G170" s="111" t="s">
        <v>12224</v>
      </c>
      <c r="H170" s="111"/>
      <c r="I170" s="111" t="s">
        <v>12419</v>
      </c>
      <c r="J170" s="111"/>
      <c r="K170" s="111" t="s">
        <v>30</v>
      </c>
      <c r="L170" s="111"/>
      <c r="M170" s="111"/>
      <c r="N170" s="111"/>
      <c r="O170" s="111"/>
      <c r="P170" s="111"/>
      <c r="Q170" s="111">
        <v>1.0</v>
      </c>
      <c r="R170" s="111">
        <v>1.0</v>
      </c>
      <c r="S170" s="111"/>
      <c r="T170" s="111"/>
      <c r="U170" s="111"/>
      <c r="V170" s="111"/>
      <c r="W170" s="111"/>
      <c r="X170" s="111"/>
      <c r="Y170" s="111"/>
      <c r="Z170" s="111" t="s">
        <v>12540</v>
      </c>
      <c r="AA170" s="129">
        <f>IF(Projects!$AI170="Electrolysis",
AB170*VLOOKUP(G170,ElectrolysisConvF,3,FALSE),
"")</f>
        <v>0.046</v>
      </c>
      <c r="AB170" s="125">
        <v>10.0</v>
      </c>
      <c r="AC170" s="126">
        <f t="shared" si="18"/>
        <v>0.0077964</v>
      </c>
      <c r="AD170" s="125"/>
      <c r="AE170" s="125">
        <f t="shared" si="12"/>
        <v>10</v>
      </c>
      <c r="AF170" s="127" t="s">
        <v>12654</v>
      </c>
      <c r="AG170" s="127">
        <v>0.0</v>
      </c>
      <c r="AH170" s="127">
        <v>0.0</v>
      </c>
      <c r="AI170" s="115" t="s">
        <v>12383</v>
      </c>
      <c r="AJ170" s="116">
        <v>0.57</v>
      </c>
      <c r="AK170" s="117"/>
      <c r="AL170" s="117"/>
      <c r="AM170" s="117"/>
      <c r="AN170" s="117"/>
      <c r="AO170" s="117"/>
    </row>
    <row r="171" ht="34.5" customHeight="1">
      <c r="A171" s="111">
        <v>340.0</v>
      </c>
      <c r="B171" s="111" t="s">
        <v>8149</v>
      </c>
      <c r="C171" s="111" t="s">
        <v>7981</v>
      </c>
      <c r="D171" s="111">
        <v>2008.0</v>
      </c>
      <c r="E171" s="111"/>
      <c r="F171" s="111" t="s">
        <v>12418</v>
      </c>
      <c r="G171" s="111" t="s">
        <v>12226</v>
      </c>
      <c r="H171" s="111"/>
      <c r="I171" s="111" t="s">
        <v>12419</v>
      </c>
      <c r="J171" s="111"/>
      <c r="K171" s="111" t="s">
        <v>30</v>
      </c>
      <c r="L171" s="111"/>
      <c r="M171" s="111"/>
      <c r="N171" s="111"/>
      <c r="O171" s="111"/>
      <c r="P171" s="111">
        <v>1.0</v>
      </c>
      <c r="Q171" s="111"/>
      <c r="R171" s="111"/>
      <c r="S171" s="111"/>
      <c r="T171" s="111"/>
      <c r="U171" s="111"/>
      <c r="V171" s="111"/>
      <c r="W171" s="111"/>
      <c r="X171" s="111"/>
      <c r="Y171" s="111"/>
      <c r="Z171" s="111" t="s">
        <v>12655</v>
      </c>
      <c r="AA171" s="129">
        <f>IF(Projects!$AI171="Electrolysis",
AB171*VLOOKUP(G171,ElectrolysisConvF,3,FALSE),
"")</f>
        <v>0.0364</v>
      </c>
      <c r="AB171" s="125">
        <v>7.0</v>
      </c>
      <c r="AC171" s="126">
        <f t="shared" si="18"/>
        <v>0.00545748</v>
      </c>
      <c r="AD171" s="125"/>
      <c r="AE171" s="125">
        <f t="shared" si="12"/>
        <v>7</v>
      </c>
      <c r="AF171" s="127"/>
      <c r="AG171" s="127">
        <v>0.0</v>
      </c>
      <c r="AH171" s="127">
        <v>0.0</v>
      </c>
      <c r="AI171" s="115" t="s">
        <v>12383</v>
      </c>
      <c r="AJ171" s="116">
        <v>0.57</v>
      </c>
      <c r="AK171" s="117"/>
      <c r="AL171" s="117"/>
      <c r="AM171" s="117"/>
      <c r="AN171" s="117"/>
      <c r="AO171" s="117"/>
    </row>
    <row r="172" ht="34.5" customHeight="1">
      <c r="A172" s="111">
        <v>341.0</v>
      </c>
      <c r="B172" s="111" t="s">
        <v>8150</v>
      </c>
      <c r="C172" s="111" t="s">
        <v>8128</v>
      </c>
      <c r="D172" s="111">
        <v>2008.0</v>
      </c>
      <c r="E172" s="111"/>
      <c r="F172" s="111" t="s">
        <v>12418</v>
      </c>
      <c r="G172" s="111" t="s">
        <v>12226</v>
      </c>
      <c r="H172" s="111"/>
      <c r="I172" s="111" t="s">
        <v>12419</v>
      </c>
      <c r="J172" s="111"/>
      <c r="K172" s="111" t="s">
        <v>30</v>
      </c>
      <c r="L172" s="111"/>
      <c r="M172" s="111"/>
      <c r="N172" s="111"/>
      <c r="O172" s="111"/>
      <c r="P172" s="111"/>
      <c r="Q172" s="111">
        <v>1.0</v>
      </c>
      <c r="R172" s="111"/>
      <c r="S172" s="111"/>
      <c r="T172" s="111"/>
      <c r="U172" s="111"/>
      <c r="V172" s="111"/>
      <c r="W172" s="111"/>
      <c r="X172" s="111"/>
      <c r="Y172" s="111"/>
      <c r="Z172" s="111" t="s">
        <v>12638</v>
      </c>
      <c r="AA172" s="124">
        <v>0.007</v>
      </c>
      <c r="AB172" s="125">
        <f>IF(Projects!$AI172="Electrolysis",
AA172/VLOOKUP(G172,ElectrolysisConvF,3,FALSE),
AC172*10^6/(H2dens*HoursInYear))</f>
        <v>1.346153846</v>
      </c>
      <c r="AC172" s="126">
        <f t="shared" si="18"/>
        <v>0.001049515385</v>
      </c>
      <c r="AD172" s="125"/>
      <c r="AE172" s="125">
        <f t="shared" si="12"/>
        <v>1.346153846</v>
      </c>
      <c r="AF172" s="127" t="s">
        <v>12656</v>
      </c>
      <c r="AG172" s="127">
        <v>0.0</v>
      </c>
      <c r="AH172" s="127">
        <v>0.0</v>
      </c>
      <c r="AI172" s="115" t="s">
        <v>12383</v>
      </c>
      <c r="AJ172" s="116">
        <v>0.57</v>
      </c>
      <c r="AK172" s="117"/>
      <c r="AL172" s="117"/>
      <c r="AM172" s="117"/>
      <c r="AN172" s="117"/>
      <c r="AO172" s="117"/>
    </row>
    <row r="173" ht="34.5" customHeight="1">
      <c r="A173" s="111">
        <v>342.0</v>
      </c>
      <c r="B173" s="111" t="s">
        <v>8151</v>
      </c>
      <c r="C173" s="111" t="s">
        <v>8117</v>
      </c>
      <c r="D173" s="111">
        <v>2008.0</v>
      </c>
      <c r="E173" s="111"/>
      <c r="F173" s="111" t="s">
        <v>12418</v>
      </c>
      <c r="G173" s="111" t="s">
        <v>12226</v>
      </c>
      <c r="H173" s="111"/>
      <c r="I173" s="111" t="s">
        <v>12419</v>
      </c>
      <c r="J173" s="111"/>
      <c r="K173" s="111" t="s">
        <v>30</v>
      </c>
      <c r="L173" s="111"/>
      <c r="M173" s="111"/>
      <c r="N173" s="111"/>
      <c r="O173" s="111"/>
      <c r="P173" s="111"/>
      <c r="Q173" s="111">
        <v>1.0</v>
      </c>
      <c r="R173" s="111"/>
      <c r="S173" s="111"/>
      <c r="T173" s="111"/>
      <c r="U173" s="111"/>
      <c r="V173" s="111"/>
      <c r="W173" s="111"/>
      <c r="X173" s="111"/>
      <c r="Y173" s="111"/>
      <c r="Z173" s="111" t="s">
        <v>12657</v>
      </c>
      <c r="AA173" s="129">
        <f>IF(Projects!$AI173="Electrolysis",
AB173*VLOOKUP(G173,ElectrolysisConvF,3,FALSE),
"")</f>
        <v>0.00364</v>
      </c>
      <c r="AB173" s="125">
        <v>0.7</v>
      </c>
      <c r="AC173" s="126">
        <f t="shared" si="18"/>
        <v>0.000545748</v>
      </c>
      <c r="AD173" s="125"/>
      <c r="AE173" s="125">
        <f t="shared" si="12"/>
        <v>0.7</v>
      </c>
      <c r="AF173" s="127" t="s">
        <v>12658</v>
      </c>
      <c r="AG173" s="127">
        <v>0.0</v>
      </c>
      <c r="AH173" s="127">
        <v>0.0</v>
      </c>
      <c r="AI173" s="115" t="s">
        <v>12383</v>
      </c>
      <c r="AJ173" s="116">
        <v>0.57</v>
      </c>
      <c r="AK173" s="117"/>
      <c r="AL173" s="117"/>
      <c r="AM173" s="117"/>
      <c r="AN173" s="117"/>
      <c r="AO173" s="117"/>
    </row>
    <row r="174" ht="34.5" customHeight="1">
      <c r="A174" s="111">
        <v>343.0</v>
      </c>
      <c r="B174" s="111" t="s">
        <v>8152</v>
      </c>
      <c r="C174" s="111" t="s">
        <v>8147</v>
      </c>
      <c r="D174" s="111">
        <v>2008.0</v>
      </c>
      <c r="E174" s="111"/>
      <c r="F174" s="111" t="s">
        <v>12418</v>
      </c>
      <c r="G174" s="111" t="s">
        <v>12226</v>
      </c>
      <c r="H174" s="111"/>
      <c r="I174" s="111" t="s">
        <v>12419</v>
      </c>
      <c r="J174" s="111"/>
      <c r="K174" s="111" t="s">
        <v>30</v>
      </c>
      <c r="L174" s="111"/>
      <c r="M174" s="111"/>
      <c r="N174" s="111"/>
      <c r="O174" s="111"/>
      <c r="P174" s="111"/>
      <c r="Q174" s="111">
        <v>1.0</v>
      </c>
      <c r="R174" s="111">
        <v>1.0</v>
      </c>
      <c r="S174" s="111"/>
      <c r="T174" s="111"/>
      <c r="U174" s="111"/>
      <c r="V174" s="111"/>
      <c r="W174" s="111"/>
      <c r="X174" s="111"/>
      <c r="Y174" s="111"/>
      <c r="Z174" s="111" t="s">
        <v>12659</v>
      </c>
      <c r="AA174" s="129">
        <f>IF(Projects!$AI174="Electrolysis",
AB174*VLOOKUP(G174,ElectrolysisConvF,3,FALSE),
"")</f>
        <v>0.000468</v>
      </c>
      <c r="AB174" s="125">
        <v>0.09</v>
      </c>
      <c r="AC174" s="126">
        <f t="shared" si="18"/>
        <v>0.0000701676</v>
      </c>
      <c r="AD174" s="125"/>
      <c r="AE174" s="125">
        <f t="shared" si="12"/>
        <v>0.09</v>
      </c>
      <c r="AF174" s="127" t="s">
        <v>12660</v>
      </c>
      <c r="AG174" s="127">
        <v>0.0</v>
      </c>
      <c r="AH174" s="127">
        <v>0.0</v>
      </c>
      <c r="AI174" s="115" t="s">
        <v>12383</v>
      </c>
      <c r="AJ174" s="116">
        <v>0.57</v>
      </c>
      <c r="AK174" s="117"/>
      <c r="AL174" s="117"/>
      <c r="AM174" s="117"/>
      <c r="AN174" s="117"/>
      <c r="AO174" s="117"/>
    </row>
    <row r="175" ht="34.5" customHeight="1">
      <c r="A175" s="111">
        <v>356.0</v>
      </c>
      <c r="B175" s="111" t="s">
        <v>8153</v>
      </c>
      <c r="C175" s="111" t="s">
        <v>7977</v>
      </c>
      <c r="D175" s="111">
        <v>2007.0</v>
      </c>
      <c r="E175" s="111"/>
      <c r="F175" s="111" t="s">
        <v>12418</v>
      </c>
      <c r="G175" s="111" t="s">
        <v>12224</v>
      </c>
      <c r="H175" s="111"/>
      <c r="I175" s="111" t="s">
        <v>12419</v>
      </c>
      <c r="J175" s="111"/>
      <c r="K175" s="111" t="s">
        <v>30</v>
      </c>
      <c r="L175" s="111"/>
      <c r="M175" s="111"/>
      <c r="N175" s="111"/>
      <c r="O175" s="111"/>
      <c r="P175" s="111"/>
      <c r="Q175" s="111">
        <v>1.0</v>
      </c>
      <c r="R175" s="111"/>
      <c r="S175" s="111"/>
      <c r="T175" s="111"/>
      <c r="U175" s="111"/>
      <c r="V175" s="111"/>
      <c r="W175" s="111"/>
      <c r="X175" s="111"/>
      <c r="Y175" s="111"/>
      <c r="Z175" s="111" t="s">
        <v>12661</v>
      </c>
      <c r="AA175" s="124">
        <v>0.055</v>
      </c>
      <c r="AB175" s="125">
        <f>IF(Projects!$AI175="Electrolysis",
AA175/VLOOKUP(G175,ElectrolysisConvF,3,FALSE),
AC175*10^6/(H2dens*HoursInYear))</f>
        <v>11.95652174</v>
      </c>
      <c r="AC175" s="126">
        <f t="shared" si="18"/>
        <v>0.009321782609</v>
      </c>
      <c r="AD175" s="125"/>
      <c r="AE175" s="125">
        <f t="shared" si="12"/>
        <v>11.95652174</v>
      </c>
      <c r="AF175" s="127" t="s">
        <v>12662</v>
      </c>
      <c r="AG175" s="127">
        <v>0.0</v>
      </c>
      <c r="AH175" s="127">
        <v>0.0</v>
      </c>
      <c r="AI175" s="115" t="s">
        <v>12383</v>
      </c>
      <c r="AJ175" s="116">
        <v>0.57</v>
      </c>
      <c r="AK175" s="117"/>
      <c r="AL175" s="117"/>
      <c r="AM175" s="117"/>
      <c r="AN175" s="117"/>
      <c r="AO175" s="117"/>
    </row>
    <row r="176" ht="34.5" customHeight="1">
      <c r="A176" s="111">
        <v>362.0</v>
      </c>
      <c r="B176" s="111" t="s">
        <v>8154</v>
      </c>
      <c r="C176" s="111" t="s">
        <v>8047</v>
      </c>
      <c r="D176" s="111">
        <v>2007.0</v>
      </c>
      <c r="E176" s="111"/>
      <c r="F176" s="111" t="s">
        <v>12418</v>
      </c>
      <c r="G176" s="111" t="s">
        <v>12224</v>
      </c>
      <c r="H176" s="111"/>
      <c r="I176" s="111" t="s">
        <v>12419</v>
      </c>
      <c r="J176" s="111"/>
      <c r="K176" s="111" t="s">
        <v>30</v>
      </c>
      <c r="L176" s="111"/>
      <c r="M176" s="111"/>
      <c r="N176" s="111"/>
      <c r="O176" s="111"/>
      <c r="P176" s="111"/>
      <c r="Q176" s="111"/>
      <c r="R176" s="111">
        <v>1.0</v>
      </c>
      <c r="S176" s="111"/>
      <c r="T176" s="111"/>
      <c r="U176" s="111"/>
      <c r="V176" s="111"/>
      <c r="W176" s="111"/>
      <c r="X176" s="111"/>
      <c r="Y176" s="111"/>
      <c r="Z176" s="111" t="s">
        <v>12638</v>
      </c>
      <c r="AA176" s="124">
        <v>0.007</v>
      </c>
      <c r="AB176" s="125">
        <f>IF(Projects!$AI176="Electrolysis",
AA176/VLOOKUP(G176,ElectrolysisConvF,3,FALSE),
AC176*10^6/(H2dens*HoursInYear))</f>
        <v>1.52173913</v>
      </c>
      <c r="AC176" s="126">
        <f t="shared" si="18"/>
        <v>0.001186408696</v>
      </c>
      <c r="AD176" s="125"/>
      <c r="AE176" s="125">
        <f t="shared" si="12"/>
        <v>1.52173913</v>
      </c>
      <c r="AF176" s="127" t="s">
        <v>12663</v>
      </c>
      <c r="AG176" s="127">
        <v>0.0</v>
      </c>
      <c r="AH176" s="127">
        <v>0.0</v>
      </c>
      <c r="AI176" s="115" t="s">
        <v>12383</v>
      </c>
      <c r="AJ176" s="116">
        <v>0.57</v>
      </c>
      <c r="AK176" s="117"/>
      <c r="AL176" s="117"/>
      <c r="AM176" s="117"/>
      <c r="AN176" s="117"/>
      <c r="AO176" s="117"/>
    </row>
    <row r="177" ht="34.5" customHeight="1">
      <c r="A177" s="111">
        <v>363.0</v>
      </c>
      <c r="B177" s="111" t="s">
        <v>8155</v>
      </c>
      <c r="C177" s="111" t="s">
        <v>8128</v>
      </c>
      <c r="D177" s="111">
        <v>2007.0</v>
      </c>
      <c r="E177" s="111"/>
      <c r="F177" s="111" t="s">
        <v>12418</v>
      </c>
      <c r="G177" s="111" t="s">
        <v>12226</v>
      </c>
      <c r="H177" s="111"/>
      <c r="I177" s="111" t="s">
        <v>12419</v>
      </c>
      <c r="J177" s="111"/>
      <c r="K177" s="111" t="s">
        <v>30</v>
      </c>
      <c r="L177" s="111"/>
      <c r="M177" s="111"/>
      <c r="N177" s="111"/>
      <c r="O177" s="111"/>
      <c r="P177" s="111"/>
      <c r="Q177" s="111"/>
      <c r="R177" s="111">
        <v>1.0</v>
      </c>
      <c r="S177" s="111"/>
      <c r="T177" s="111"/>
      <c r="U177" s="111"/>
      <c r="V177" s="111"/>
      <c r="W177" s="111"/>
      <c r="X177" s="111"/>
      <c r="Y177" s="111"/>
      <c r="Z177" s="111" t="s">
        <v>12657</v>
      </c>
      <c r="AA177" s="129">
        <f>IF(Projects!$AI177="Electrolysis",
AB177*VLOOKUP(G177,ElectrolysisConvF,3,FALSE),
"")</f>
        <v>0.00364</v>
      </c>
      <c r="AB177" s="125">
        <v>0.7</v>
      </c>
      <c r="AC177" s="126">
        <f t="shared" si="18"/>
        <v>0.000545748</v>
      </c>
      <c r="AD177" s="125"/>
      <c r="AE177" s="125">
        <f t="shared" si="12"/>
        <v>0.7</v>
      </c>
      <c r="AF177" s="127" t="s">
        <v>12664</v>
      </c>
      <c r="AG177" s="127">
        <v>0.0</v>
      </c>
      <c r="AH177" s="127">
        <v>0.0</v>
      </c>
      <c r="AI177" s="115" t="s">
        <v>12383</v>
      </c>
      <c r="AJ177" s="116">
        <v>0.57</v>
      </c>
      <c r="AK177" s="117"/>
      <c r="AL177" s="117"/>
      <c r="AM177" s="117"/>
      <c r="AN177" s="117"/>
      <c r="AO177" s="117"/>
    </row>
    <row r="178" ht="34.5" customHeight="1">
      <c r="A178" s="111">
        <v>366.0</v>
      </c>
      <c r="B178" s="111" t="s">
        <v>8156</v>
      </c>
      <c r="C178" s="111" t="s">
        <v>7977</v>
      </c>
      <c r="D178" s="111">
        <v>2006.0</v>
      </c>
      <c r="E178" s="111"/>
      <c r="F178" s="111" t="s">
        <v>12418</v>
      </c>
      <c r="G178" s="111" t="s">
        <v>12224</v>
      </c>
      <c r="H178" s="111"/>
      <c r="I178" s="111" t="s">
        <v>12419</v>
      </c>
      <c r="J178" s="111"/>
      <c r="K178" s="111" t="s">
        <v>30</v>
      </c>
      <c r="L178" s="111"/>
      <c r="M178" s="111"/>
      <c r="N178" s="111"/>
      <c r="O178" s="111"/>
      <c r="P178" s="111"/>
      <c r="Q178" s="111">
        <v>1.0</v>
      </c>
      <c r="R178" s="111"/>
      <c r="S178" s="111"/>
      <c r="T178" s="111"/>
      <c r="U178" s="111"/>
      <c r="V178" s="111"/>
      <c r="W178" s="111"/>
      <c r="X178" s="111"/>
      <c r="Y178" s="111"/>
      <c r="Z178" s="111" t="s">
        <v>12624</v>
      </c>
      <c r="AA178" s="124">
        <v>0.3</v>
      </c>
      <c r="AB178" s="125">
        <f>IF(Projects!$AI178="Electrolysis",
AA178/VLOOKUP(G178,ElectrolysisConvF,3,FALSE),
AC178*10^6/(H2dens*HoursInYear))</f>
        <v>65.2173913</v>
      </c>
      <c r="AC178" s="126">
        <f t="shared" si="18"/>
        <v>0.05084608696</v>
      </c>
      <c r="AD178" s="125"/>
      <c r="AE178" s="125">
        <f t="shared" si="12"/>
        <v>65.2173913</v>
      </c>
      <c r="AF178" s="127" t="s">
        <v>12665</v>
      </c>
      <c r="AG178" s="127">
        <v>0.0</v>
      </c>
      <c r="AH178" s="127">
        <v>0.0</v>
      </c>
      <c r="AI178" s="115" t="s">
        <v>12383</v>
      </c>
      <c r="AJ178" s="116">
        <v>0.57</v>
      </c>
      <c r="AK178" s="117"/>
      <c r="AL178" s="117"/>
      <c r="AM178" s="117"/>
      <c r="AN178" s="117"/>
      <c r="AO178" s="117"/>
    </row>
    <row r="179" ht="34.5" customHeight="1">
      <c r="A179" s="111">
        <v>387.0</v>
      </c>
      <c r="B179" s="111" t="s">
        <v>8157</v>
      </c>
      <c r="C179" s="111" t="s">
        <v>8108</v>
      </c>
      <c r="D179" s="111">
        <v>2013.0</v>
      </c>
      <c r="E179" s="111"/>
      <c r="F179" s="111" t="s">
        <v>12418</v>
      </c>
      <c r="G179" s="111" t="s">
        <v>12381</v>
      </c>
      <c r="H179" s="111" t="s">
        <v>12230</v>
      </c>
      <c r="I179" s="111" t="s">
        <v>12419</v>
      </c>
      <c r="J179" s="111"/>
      <c r="K179" s="111" t="s">
        <v>30</v>
      </c>
      <c r="L179" s="111"/>
      <c r="M179" s="111"/>
      <c r="N179" s="111"/>
      <c r="O179" s="111"/>
      <c r="P179" s="111"/>
      <c r="Q179" s="111"/>
      <c r="R179" s="111">
        <v>1.0</v>
      </c>
      <c r="S179" s="111"/>
      <c r="T179" s="111"/>
      <c r="U179" s="111"/>
      <c r="V179" s="111"/>
      <c r="W179" s="111"/>
      <c r="X179" s="111"/>
      <c r="Y179" s="111"/>
      <c r="Z179" s="111" t="s">
        <v>12648</v>
      </c>
      <c r="AA179" s="124">
        <v>0.005</v>
      </c>
      <c r="AB179" s="125">
        <f>IF(Projects!$AI179="Electrolysis",
AA179/VLOOKUP(G179,ElectrolysisConvF,3,FALSE),
AC179*10^6/(H2dens*HoursInYear))</f>
        <v>1.111111111</v>
      </c>
      <c r="AC179" s="126">
        <f t="shared" si="18"/>
        <v>0.0008662666667</v>
      </c>
      <c r="AD179" s="125"/>
      <c r="AE179" s="125">
        <f t="shared" si="12"/>
        <v>1.111111111</v>
      </c>
      <c r="AF179" s="127"/>
      <c r="AG179" s="127">
        <v>0.0</v>
      </c>
      <c r="AH179" s="127">
        <v>0.0</v>
      </c>
      <c r="AI179" s="115" t="s">
        <v>12383</v>
      </c>
      <c r="AJ179" s="116">
        <v>0.57</v>
      </c>
      <c r="AK179" s="117"/>
      <c r="AL179" s="117"/>
      <c r="AM179" s="117"/>
      <c r="AN179" s="117"/>
      <c r="AO179" s="117"/>
    </row>
    <row r="180" ht="34.5" customHeight="1">
      <c r="A180" s="111">
        <v>405.0</v>
      </c>
      <c r="B180" s="111" t="s">
        <v>8158</v>
      </c>
      <c r="C180" s="111" t="s">
        <v>8108</v>
      </c>
      <c r="D180" s="111">
        <v>2014.0</v>
      </c>
      <c r="E180" s="111"/>
      <c r="F180" s="111" t="s">
        <v>12385</v>
      </c>
      <c r="G180" s="111" t="s">
        <v>12224</v>
      </c>
      <c r="H180" s="111"/>
      <c r="I180" s="111" t="s">
        <v>12419</v>
      </c>
      <c r="J180" s="111"/>
      <c r="K180" s="111" t="s">
        <v>30</v>
      </c>
      <c r="L180" s="111"/>
      <c r="M180" s="111"/>
      <c r="N180" s="111"/>
      <c r="O180" s="111"/>
      <c r="P180" s="111"/>
      <c r="Q180" s="111"/>
      <c r="R180" s="111">
        <v>1.0</v>
      </c>
      <c r="S180" s="111"/>
      <c r="T180" s="111"/>
      <c r="U180" s="111"/>
      <c r="V180" s="111"/>
      <c r="W180" s="111"/>
      <c r="X180" s="111"/>
      <c r="Y180" s="111"/>
      <c r="Z180" s="111" t="s">
        <v>12666</v>
      </c>
      <c r="AA180" s="129">
        <f>IF(Projects!$AI180="Electrolysis",
AB180*VLOOKUP(G180,ElectrolysisConvF,3,FALSE),
"")</f>
        <v>2.0424</v>
      </c>
      <c r="AB180" s="125">
        <v>444.0</v>
      </c>
      <c r="AC180" s="126">
        <f t="shared" si="18"/>
        <v>0.34616016</v>
      </c>
      <c r="AD180" s="125"/>
      <c r="AE180" s="125">
        <f t="shared" si="12"/>
        <v>444</v>
      </c>
      <c r="AF180" s="127" t="s">
        <v>12667</v>
      </c>
      <c r="AG180" s="127">
        <v>0.0</v>
      </c>
      <c r="AH180" s="127">
        <v>0.0</v>
      </c>
      <c r="AI180" s="115" t="s">
        <v>12383</v>
      </c>
      <c r="AJ180" s="116">
        <v>0.57</v>
      </c>
      <c r="AK180" s="117"/>
      <c r="AL180" s="117"/>
      <c r="AM180" s="117"/>
      <c r="AN180" s="117"/>
      <c r="AO180" s="117"/>
    </row>
    <row r="181" ht="34.5" customHeight="1">
      <c r="A181" s="111">
        <v>427.0</v>
      </c>
      <c r="B181" s="111" t="s">
        <v>8159</v>
      </c>
      <c r="C181" s="111" t="s">
        <v>7991</v>
      </c>
      <c r="D181" s="111">
        <v>2004.0</v>
      </c>
      <c r="E181" s="111"/>
      <c r="F181" s="111" t="s">
        <v>12385</v>
      </c>
      <c r="G181" s="111" t="s">
        <v>12224</v>
      </c>
      <c r="H181" s="111"/>
      <c r="I181" s="111" t="s">
        <v>12419</v>
      </c>
      <c r="J181" s="111"/>
      <c r="K181" s="111" t="s">
        <v>30</v>
      </c>
      <c r="L181" s="111"/>
      <c r="M181" s="111"/>
      <c r="N181" s="111"/>
      <c r="O181" s="111"/>
      <c r="P181" s="111"/>
      <c r="Q181" s="111"/>
      <c r="R181" s="111">
        <v>1.0</v>
      </c>
      <c r="S181" s="111"/>
      <c r="T181" s="111">
        <v>1.0</v>
      </c>
      <c r="U181" s="111"/>
      <c r="V181" s="111"/>
      <c r="W181" s="111"/>
      <c r="X181" s="111"/>
      <c r="Y181" s="111"/>
      <c r="Z181" s="111" t="s">
        <v>12668</v>
      </c>
      <c r="AA181" s="124">
        <v>0.034</v>
      </c>
      <c r="AB181" s="125">
        <f>IF(Projects!$AI181="Electrolysis",
AA181/VLOOKUP(G181,ElectrolysisConvF,3,FALSE),
AC181*10^6/(H2dens*HoursInYear))</f>
        <v>7.391304348</v>
      </c>
      <c r="AC181" s="126">
        <f t="shared" si="18"/>
        <v>0.005762556522</v>
      </c>
      <c r="AD181" s="125"/>
      <c r="AE181" s="125">
        <f t="shared" si="12"/>
        <v>7.391304348</v>
      </c>
      <c r="AF181" s="127" t="s">
        <v>12669</v>
      </c>
      <c r="AG181" s="127">
        <v>0.0</v>
      </c>
      <c r="AH181" s="127">
        <v>0.0</v>
      </c>
      <c r="AI181" s="115" t="s">
        <v>12383</v>
      </c>
      <c r="AJ181" s="116">
        <v>0.57</v>
      </c>
      <c r="AK181" s="117"/>
      <c r="AL181" s="117"/>
      <c r="AM181" s="117"/>
      <c r="AN181" s="117"/>
      <c r="AO181" s="117"/>
    </row>
    <row r="182" ht="34.5" customHeight="1">
      <c r="A182" s="111">
        <v>433.0</v>
      </c>
      <c r="B182" s="111" t="s">
        <v>8160</v>
      </c>
      <c r="C182" s="111" t="s">
        <v>8161</v>
      </c>
      <c r="D182" s="111">
        <v>2003.0</v>
      </c>
      <c r="E182" s="111"/>
      <c r="F182" s="111" t="s">
        <v>12418</v>
      </c>
      <c r="G182" s="111" t="s">
        <v>12224</v>
      </c>
      <c r="H182" s="111"/>
      <c r="I182" s="111" t="s">
        <v>12419</v>
      </c>
      <c r="J182" s="111"/>
      <c r="K182" s="111" t="s">
        <v>30</v>
      </c>
      <c r="L182" s="111"/>
      <c r="M182" s="111"/>
      <c r="N182" s="111"/>
      <c r="O182" s="111"/>
      <c r="P182" s="111"/>
      <c r="Q182" s="111">
        <v>1.0</v>
      </c>
      <c r="R182" s="111"/>
      <c r="S182" s="111"/>
      <c r="T182" s="111"/>
      <c r="U182" s="111"/>
      <c r="V182" s="111"/>
      <c r="W182" s="111"/>
      <c r="X182" s="111"/>
      <c r="Y182" s="111"/>
      <c r="Z182" s="111" t="s">
        <v>12624</v>
      </c>
      <c r="AA182" s="124">
        <v>0.3</v>
      </c>
      <c r="AB182" s="125">
        <f>IF(Projects!$AI182="Electrolysis",
AA182/VLOOKUP(G182,ElectrolysisConvF,3,FALSE),
AC182*10^6/(H2dens*HoursInYear))</f>
        <v>65.2173913</v>
      </c>
      <c r="AC182" s="126">
        <f t="shared" si="18"/>
        <v>0.05084608696</v>
      </c>
      <c r="AD182" s="125"/>
      <c r="AE182" s="125">
        <f t="shared" si="12"/>
        <v>65.2173913</v>
      </c>
      <c r="AF182" s="127"/>
      <c r="AG182" s="127">
        <v>0.0</v>
      </c>
      <c r="AH182" s="127">
        <v>0.0</v>
      </c>
      <c r="AI182" s="115" t="s">
        <v>12383</v>
      </c>
      <c r="AJ182" s="116">
        <v>0.57</v>
      </c>
      <c r="AK182" s="117"/>
      <c r="AL182" s="117"/>
      <c r="AM182" s="117"/>
      <c r="AN182" s="117"/>
      <c r="AO182" s="117"/>
    </row>
    <row r="183" ht="34.5" customHeight="1">
      <c r="A183" s="111">
        <v>437.0</v>
      </c>
      <c r="B183" s="111" t="s">
        <v>91</v>
      </c>
      <c r="C183" s="111" t="s">
        <v>7987</v>
      </c>
      <c r="D183" s="111">
        <v>2017.0</v>
      </c>
      <c r="E183" s="111"/>
      <c r="F183" s="111" t="s">
        <v>12385</v>
      </c>
      <c r="G183" s="111" t="s">
        <v>12226</v>
      </c>
      <c r="H183" s="111"/>
      <c r="I183" s="111" t="s">
        <v>12394</v>
      </c>
      <c r="J183" s="111" t="s">
        <v>12292</v>
      </c>
      <c r="K183" s="111" t="s">
        <v>30</v>
      </c>
      <c r="L183" s="111"/>
      <c r="M183" s="111"/>
      <c r="N183" s="111"/>
      <c r="O183" s="111"/>
      <c r="P183" s="111">
        <v>1.0</v>
      </c>
      <c r="Q183" s="111">
        <v>1.0</v>
      </c>
      <c r="R183" s="111"/>
      <c r="S183" s="111">
        <v>1.0</v>
      </c>
      <c r="T183" s="111"/>
      <c r="U183" s="111"/>
      <c r="V183" s="111"/>
      <c r="W183" s="111"/>
      <c r="X183" s="111"/>
      <c r="Y183" s="111"/>
      <c r="Z183" s="111" t="s">
        <v>12444</v>
      </c>
      <c r="AA183" s="124">
        <v>6.0</v>
      </c>
      <c r="AB183" s="125">
        <f>IF(Projects!$AI183="Electrolysis",
AA183/VLOOKUP(G183,ElectrolysisConvF,3,FALSE),
AC183*10^6/(H2dens*HoursInYear))</f>
        <v>1153.846154</v>
      </c>
      <c r="AC183" s="126">
        <f t="shared" si="18"/>
        <v>0.8995846154</v>
      </c>
      <c r="AD183" s="125"/>
      <c r="AE183" s="125">
        <f t="shared" si="12"/>
        <v>1153.846154</v>
      </c>
      <c r="AF183" s="127" t="s">
        <v>12670</v>
      </c>
      <c r="AG183" s="127">
        <v>49.9962107275021</v>
      </c>
      <c r="AH183" s="127">
        <v>8.24526901763009</v>
      </c>
      <c r="AI183" s="115" t="s">
        <v>12383</v>
      </c>
      <c r="AJ183" s="116">
        <v>0.4</v>
      </c>
      <c r="AK183" s="117"/>
      <c r="AL183" s="117"/>
      <c r="AM183" s="117"/>
      <c r="AN183" s="117"/>
      <c r="AO183" s="117"/>
    </row>
    <row r="184" ht="34.5" customHeight="1">
      <c r="A184" s="111">
        <v>449.0</v>
      </c>
      <c r="B184" s="111" t="s">
        <v>89</v>
      </c>
      <c r="C184" s="111" t="s">
        <v>8047</v>
      </c>
      <c r="D184" s="111">
        <v>2016.0</v>
      </c>
      <c r="E184" s="111">
        <v>2023.0</v>
      </c>
      <c r="F184" s="111" t="s">
        <v>12418</v>
      </c>
      <c r="G184" s="111" t="s">
        <v>12224</v>
      </c>
      <c r="H184" s="111"/>
      <c r="I184" s="111" t="s">
        <v>12419</v>
      </c>
      <c r="J184" s="111"/>
      <c r="K184" s="111" t="s">
        <v>30</v>
      </c>
      <c r="L184" s="111"/>
      <c r="M184" s="111"/>
      <c r="N184" s="111"/>
      <c r="O184" s="111"/>
      <c r="P184" s="111">
        <v>1.0</v>
      </c>
      <c r="Q184" s="111">
        <v>1.0</v>
      </c>
      <c r="R184" s="111">
        <v>1.0</v>
      </c>
      <c r="S184" s="111">
        <v>1.0</v>
      </c>
      <c r="T184" s="111"/>
      <c r="U184" s="111"/>
      <c r="V184" s="111"/>
      <c r="W184" s="111"/>
      <c r="X184" s="111"/>
      <c r="Y184" s="111"/>
      <c r="Z184" s="111" t="s">
        <v>12671</v>
      </c>
      <c r="AA184" s="124">
        <v>1.2</v>
      </c>
      <c r="AB184" s="125">
        <f>IF(Projects!$AI184="Electrolysis",
AA184/VLOOKUP(G184,ElectrolysisConvF,3,FALSE),
AC184*10^6/(H2dens*HoursInYear))</f>
        <v>260.8695652</v>
      </c>
      <c r="AC184" s="126">
        <f t="shared" si="18"/>
        <v>0.2033843478</v>
      </c>
      <c r="AD184" s="125"/>
      <c r="AE184" s="125">
        <f t="shared" si="12"/>
        <v>260.8695652</v>
      </c>
      <c r="AF184" s="127" t="s">
        <v>12672</v>
      </c>
      <c r="AG184" s="127">
        <v>41.363128</v>
      </c>
      <c r="AH184" s="127">
        <v>15.312347</v>
      </c>
      <c r="AI184" s="115" t="s">
        <v>12383</v>
      </c>
      <c r="AJ184" s="116">
        <v>0.57</v>
      </c>
      <c r="AK184" s="117"/>
      <c r="AL184" s="117"/>
      <c r="AM184" s="117"/>
      <c r="AN184" s="117"/>
      <c r="AO184" s="117"/>
    </row>
    <row r="185" ht="34.5" customHeight="1">
      <c r="A185" s="111">
        <v>452.0</v>
      </c>
      <c r="B185" s="111" t="s">
        <v>8162</v>
      </c>
      <c r="C185" s="111" t="s">
        <v>7983</v>
      </c>
      <c r="D185" s="111">
        <v>2003.0</v>
      </c>
      <c r="E185" s="111"/>
      <c r="F185" s="111" t="s">
        <v>12418</v>
      </c>
      <c r="G185" s="111" t="s">
        <v>12224</v>
      </c>
      <c r="H185" s="111"/>
      <c r="I185" s="111" t="s">
        <v>12419</v>
      </c>
      <c r="J185" s="111"/>
      <c r="K185" s="111" t="s">
        <v>30</v>
      </c>
      <c r="L185" s="111"/>
      <c r="M185" s="111"/>
      <c r="N185" s="111"/>
      <c r="O185" s="111"/>
      <c r="P185" s="111">
        <v>1.0</v>
      </c>
      <c r="Q185" s="111"/>
      <c r="R185" s="111"/>
      <c r="S185" s="111"/>
      <c r="T185" s="111"/>
      <c r="U185" s="111"/>
      <c r="V185" s="111"/>
      <c r="W185" s="111"/>
      <c r="X185" s="111"/>
      <c r="Y185" s="111"/>
      <c r="Z185" s="111" t="s">
        <v>12673</v>
      </c>
      <c r="AA185" s="129">
        <f>IF(Projects!$AI185="Electrolysis",
AB185*VLOOKUP(G185,ElectrolysisConvF,3,FALSE),
"")</f>
        <v>0.0184</v>
      </c>
      <c r="AB185" s="125">
        <v>4.0</v>
      </c>
      <c r="AC185" s="126">
        <f t="shared" si="18"/>
        <v>0.00311856</v>
      </c>
      <c r="AD185" s="125"/>
      <c r="AE185" s="125">
        <f t="shared" si="12"/>
        <v>4</v>
      </c>
      <c r="AF185" s="127" t="s">
        <v>12674</v>
      </c>
      <c r="AG185" s="127">
        <v>0.0</v>
      </c>
      <c r="AH185" s="127">
        <v>0.0</v>
      </c>
      <c r="AI185" s="115" t="s">
        <v>12383</v>
      </c>
      <c r="AJ185" s="116">
        <v>0.57</v>
      </c>
      <c r="AK185" s="117"/>
      <c r="AL185" s="117"/>
      <c r="AM185" s="117"/>
      <c r="AN185" s="117"/>
      <c r="AO185" s="117"/>
    </row>
    <row r="186" ht="34.5" customHeight="1">
      <c r="A186" s="111">
        <v>453.0</v>
      </c>
      <c r="B186" s="111" t="s">
        <v>8163</v>
      </c>
      <c r="C186" s="111" t="s">
        <v>8108</v>
      </c>
      <c r="D186" s="111">
        <v>2015.0</v>
      </c>
      <c r="E186" s="111"/>
      <c r="F186" s="111" t="s">
        <v>12385</v>
      </c>
      <c r="G186" s="111" t="s">
        <v>12381</v>
      </c>
      <c r="H186" s="111" t="s">
        <v>12230</v>
      </c>
      <c r="I186" s="111" t="s">
        <v>12394</v>
      </c>
      <c r="J186" s="111" t="s">
        <v>12291</v>
      </c>
      <c r="K186" s="111" t="s">
        <v>30</v>
      </c>
      <c r="L186" s="111"/>
      <c r="M186" s="111"/>
      <c r="N186" s="111"/>
      <c r="O186" s="111"/>
      <c r="P186" s="111"/>
      <c r="Q186" s="111">
        <v>1.0</v>
      </c>
      <c r="R186" s="111">
        <v>1.0</v>
      </c>
      <c r="S186" s="111"/>
      <c r="T186" s="111"/>
      <c r="U186" s="111"/>
      <c r="V186" s="111"/>
      <c r="W186" s="111"/>
      <c r="X186" s="111"/>
      <c r="Y186" s="111"/>
      <c r="Z186" s="111" t="s">
        <v>12675</v>
      </c>
      <c r="AA186" s="124">
        <v>0.12</v>
      </c>
      <c r="AB186" s="125">
        <f>IF(Projects!$AI186="Electrolysis",
AA186/VLOOKUP(G186,ElectrolysisConvF,3,FALSE),
AC186*10^6/(H2dens*HoursInYear))</f>
        <v>26.66666667</v>
      </c>
      <c r="AC186" s="126">
        <f t="shared" si="18"/>
        <v>0.0207904</v>
      </c>
      <c r="AD186" s="125"/>
      <c r="AE186" s="125">
        <f t="shared" si="12"/>
        <v>26.66666667</v>
      </c>
      <c r="AF186" s="127" t="s">
        <v>12676</v>
      </c>
      <c r="AG186" s="127">
        <v>28.4292759316133</v>
      </c>
      <c r="AH186" s="127">
        <v>77.1483887167265</v>
      </c>
      <c r="AI186" s="115" t="s">
        <v>12383</v>
      </c>
      <c r="AJ186" s="116">
        <v>0.3</v>
      </c>
      <c r="AK186" s="117"/>
      <c r="AL186" s="117"/>
      <c r="AM186" s="117"/>
      <c r="AN186" s="117"/>
      <c r="AO186" s="117"/>
    </row>
    <row r="187" ht="34.5" customHeight="1">
      <c r="A187" s="111">
        <v>461.0</v>
      </c>
      <c r="B187" s="111" t="s">
        <v>8164</v>
      </c>
      <c r="C187" s="111" t="s">
        <v>8108</v>
      </c>
      <c r="D187" s="111">
        <v>2015.0</v>
      </c>
      <c r="E187" s="111"/>
      <c r="F187" s="111" t="s">
        <v>12385</v>
      </c>
      <c r="G187" s="111" t="s">
        <v>12381</v>
      </c>
      <c r="H187" s="111" t="s">
        <v>12230</v>
      </c>
      <c r="I187" s="111" t="s">
        <v>12394</v>
      </c>
      <c r="J187" s="111" t="s">
        <v>12291</v>
      </c>
      <c r="K187" s="111" t="s">
        <v>30</v>
      </c>
      <c r="L187" s="111"/>
      <c r="M187" s="111"/>
      <c r="N187" s="111"/>
      <c r="O187" s="111"/>
      <c r="P187" s="111"/>
      <c r="Q187" s="111">
        <v>1.0</v>
      </c>
      <c r="R187" s="111"/>
      <c r="S187" s="111"/>
      <c r="T187" s="111"/>
      <c r="U187" s="111"/>
      <c r="V187" s="111"/>
      <c r="W187" s="111"/>
      <c r="X187" s="111"/>
      <c r="Y187" s="111"/>
      <c r="Z187" s="111"/>
      <c r="AA187" s="124"/>
      <c r="AB187" s="125"/>
      <c r="AC187" s="126"/>
      <c r="AD187" s="125"/>
      <c r="AE187" s="125" t="str">
        <f t="shared" si="12"/>
        <v/>
      </c>
      <c r="AF187" s="127"/>
      <c r="AG187" s="127">
        <v>28.6298657132545</v>
      </c>
      <c r="AH187" s="127">
        <v>77.1769140656432</v>
      </c>
      <c r="AI187" s="115" t="s">
        <v>12383</v>
      </c>
      <c r="AJ187" s="116">
        <v>0.3</v>
      </c>
      <c r="AK187" s="117"/>
      <c r="AL187" s="117"/>
      <c r="AM187" s="117"/>
      <c r="AN187" s="117"/>
      <c r="AO187" s="117"/>
    </row>
    <row r="188" ht="34.5" customHeight="1">
      <c r="A188" s="111">
        <v>472.0</v>
      </c>
      <c r="B188" s="111" t="s">
        <v>8165</v>
      </c>
      <c r="C188" s="111" t="s">
        <v>8011</v>
      </c>
      <c r="D188" s="111">
        <v>2017.0</v>
      </c>
      <c r="E188" s="111"/>
      <c r="F188" s="111" t="s">
        <v>12385</v>
      </c>
      <c r="G188" s="111" t="s">
        <v>12224</v>
      </c>
      <c r="H188" s="111"/>
      <c r="I188" s="111" t="s">
        <v>12419</v>
      </c>
      <c r="J188" s="111"/>
      <c r="K188" s="111" t="s">
        <v>30</v>
      </c>
      <c r="L188" s="111"/>
      <c r="M188" s="111"/>
      <c r="N188" s="111"/>
      <c r="O188" s="111"/>
      <c r="P188" s="111"/>
      <c r="Q188" s="111">
        <v>1.0</v>
      </c>
      <c r="R188" s="111"/>
      <c r="S188" s="111"/>
      <c r="T188" s="111"/>
      <c r="U188" s="111"/>
      <c r="V188" s="111"/>
      <c r="W188" s="111"/>
      <c r="X188" s="111"/>
      <c r="Y188" s="111"/>
      <c r="Z188" s="111" t="s">
        <v>12677</v>
      </c>
      <c r="AA188" s="129">
        <f>IF(Projects!$AI188="Electrolysis",
AB188*VLOOKUP(G188,ElectrolysisConvF,3,FALSE),
"")</f>
        <v>0.138</v>
      </c>
      <c r="AB188" s="125">
        <v>30.0</v>
      </c>
      <c r="AC188" s="126">
        <f t="shared" ref="AC188:AC200" si="19">AB188*H2dens*HoursInYear/10^6</f>
        <v>0.0233892</v>
      </c>
      <c r="AD188" s="125"/>
      <c r="AE188" s="125">
        <f t="shared" si="12"/>
        <v>30</v>
      </c>
      <c r="AF188" s="127" t="s">
        <v>12678</v>
      </c>
      <c r="AG188" s="127">
        <v>49.1064556573525</v>
      </c>
      <c r="AH188" s="127">
        <v>7.07085164977362</v>
      </c>
      <c r="AI188" s="115" t="s">
        <v>12383</v>
      </c>
      <c r="AJ188" s="116">
        <v>0.57</v>
      </c>
      <c r="AK188" s="117"/>
      <c r="AL188" s="117"/>
      <c r="AM188" s="117"/>
      <c r="AN188" s="117"/>
      <c r="AO188" s="117"/>
    </row>
    <row r="189" ht="34.5" customHeight="1">
      <c r="A189" s="111">
        <v>477.0</v>
      </c>
      <c r="B189" s="111" t="s">
        <v>8166</v>
      </c>
      <c r="C189" s="111" t="s">
        <v>8001</v>
      </c>
      <c r="D189" s="111">
        <v>2017.0</v>
      </c>
      <c r="E189" s="111"/>
      <c r="F189" s="111" t="s">
        <v>12385</v>
      </c>
      <c r="G189" s="111" t="s">
        <v>12224</v>
      </c>
      <c r="H189" s="111"/>
      <c r="I189" s="111" t="s">
        <v>12419</v>
      </c>
      <c r="J189" s="111"/>
      <c r="K189" s="111" t="s">
        <v>30</v>
      </c>
      <c r="L189" s="111"/>
      <c r="M189" s="111"/>
      <c r="N189" s="111"/>
      <c r="O189" s="111"/>
      <c r="P189" s="111">
        <v>1.0</v>
      </c>
      <c r="Q189" s="111"/>
      <c r="R189" s="111">
        <v>1.0</v>
      </c>
      <c r="S189" s="111"/>
      <c r="T189" s="111"/>
      <c r="U189" s="111"/>
      <c r="V189" s="111"/>
      <c r="W189" s="111"/>
      <c r="X189" s="111"/>
      <c r="Y189" s="111"/>
      <c r="Z189" s="111" t="s">
        <v>12679</v>
      </c>
      <c r="AA189" s="129">
        <f>IF(Projects!$AI189="Electrolysis",
AB189*VLOOKUP(G189,ElectrolysisConvF,3,FALSE),
"")</f>
        <v>0.092</v>
      </c>
      <c r="AB189" s="125">
        <v>20.0</v>
      </c>
      <c r="AC189" s="126">
        <f t="shared" si="19"/>
        <v>0.0155928</v>
      </c>
      <c r="AD189" s="125"/>
      <c r="AE189" s="125">
        <f t="shared" si="12"/>
        <v>20</v>
      </c>
      <c r="AF189" s="127"/>
      <c r="AG189" s="127">
        <v>0.0</v>
      </c>
      <c r="AH189" s="127">
        <v>0.0</v>
      </c>
      <c r="AI189" s="115" t="s">
        <v>12383</v>
      </c>
      <c r="AJ189" s="116">
        <v>0.57</v>
      </c>
      <c r="AK189" s="117"/>
      <c r="AL189" s="117"/>
      <c r="AM189" s="117"/>
      <c r="AN189" s="117"/>
      <c r="AO189" s="117"/>
    </row>
    <row r="190" ht="34.5" customHeight="1">
      <c r="A190" s="111">
        <v>487.0</v>
      </c>
      <c r="B190" s="111" t="s">
        <v>8167</v>
      </c>
      <c r="C190" s="111" t="s">
        <v>8003</v>
      </c>
      <c r="D190" s="111">
        <v>2001.0</v>
      </c>
      <c r="E190" s="111"/>
      <c r="F190" s="111" t="s">
        <v>12418</v>
      </c>
      <c r="G190" s="111" t="s">
        <v>12224</v>
      </c>
      <c r="H190" s="111"/>
      <c r="I190" s="111" t="s">
        <v>12419</v>
      </c>
      <c r="J190" s="111"/>
      <c r="K190" s="111" t="s">
        <v>30</v>
      </c>
      <c r="L190" s="111"/>
      <c r="M190" s="111"/>
      <c r="N190" s="111"/>
      <c r="O190" s="111"/>
      <c r="P190" s="111"/>
      <c r="Q190" s="111">
        <v>1.0</v>
      </c>
      <c r="R190" s="111"/>
      <c r="S190" s="111"/>
      <c r="T190" s="111"/>
      <c r="U190" s="111"/>
      <c r="V190" s="111"/>
      <c r="W190" s="111"/>
      <c r="X190" s="111"/>
      <c r="Y190" s="111"/>
      <c r="Z190" s="111" t="s">
        <v>12680</v>
      </c>
      <c r="AA190" s="124">
        <v>0.005</v>
      </c>
      <c r="AB190" s="125">
        <f>IF(Projects!$AI190="Electrolysis",
AA190/VLOOKUP(G190,ElectrolysisConvF,3,FALSE),
AC190*10^6/(H2dens*HoursInYear))</f>
        <v>1.086956522</v>
      </c>
      <c r="AC190" s="126">
        <f t="shared" si="19"/>
        <v>0.0008474347826</v>
      </c>
      <c r="AD190" s="125"/>
      <c r="AE190" s="125">
        <f t="shared" si="12"/>
        <v>1.086956522</v>
      </c>
      <c r="AF190" s="127" t="s">
        <v>12681</v>
      </c>
      <c r="AG190" s="127">
        <v>0.0</v>
      </c>
      <c r="AH190" s="127">
        <v>0.0</v>
      </c>
      <c r="AI190" s="115" t="s">
        <v>12383</v>
      </c>
      <c r="AJ190" s="116">
        <v>0.57</v>
      </c>
      <c r="AK190" s="117"/>
      <c r="AL190" s="117"/>
      <c r="AM190" s="117"/>
      <c r="AN190" s="117"/>
      <c r="AO190" s="117"/>
    </row>
    <row r="191" ht="34.5" customHeight="1">
      <c r="A191" s="111">
        <v>491.0</v>
      </c>
      <c r="B191" s="111" t="s">
        <v>8168</v>
      </c>
      <c r="C191" s="111" t="s">
        <v>8169</v>
      </c>
      <c r="D191" s="111">
        <v>2018.0</v>
      </c>
      <c r="E191" s="111"/>
      <c r="F191" s="111" t="s">
        <v>12385</v>
      </c>
      <c r="G191" s="111" t="s">
        <v>12224</v>
      </c>
      <c r="H191" s="111"/>
      <c r="I191" s="111" t="s">
        <v>12419</v>
      </c>
      <c r="J191" s="111"/>
      <c r="K191" s="111" t="s">
        <v>30</v>
      </c>
      <c r="L191" s="111"/>
      <c r="M191" s="111"/>
      <c r="N191" s="111"/>
      <c r="O191" s="111"/>
      <c r="P191" s="111"/>
      <c r="Q191" s="111"/>
      <c r="R191" s="111">
        <v>1.0</v>
      </c>
      <c r="S191" s="111"/>
      <c r="T191" s="111"/>
      <c r="U191" s="111"/>
      <c r="V191" s="111"/>
      <c r="W191" s="111"/>
      <c r="X191" s="111"/>
      <c r="Y191" s="111"/>
      <c r="Z191" s="111" t="s">
        <v>12682</v>
      </c>
      <c r="AA191" s="124">
        <v>0.114</v>
      </c>
      <c r="AB191" s="125">
        <f>IF(Projects!$AI191="Electrolysis",
AA191/VLOOKUP(G191,ElectrolysisConvF,3,FALSE),
AC191*10^6/(H2dens*HoursInYear))</f>
        <v>24.7826087</v>
      </c>
      <c r="AC191" s="126">
        <f t="shared" si="19"/>
        <v>0.01932151304</v>
      </c>
      <c r="AD191" s="125"/>
      <c r="AE191" s="125">
        <f t="shared" si="12"/>
        <v>24.7826087</v>
      </c>
      <c r="AF191" s="127"/>
      <c r="AG191" s="127">
        <v>34.0090636029905</v>
      </c>
      <c r="AH191" s="127">
        <v>35.702567413094</v>
      </c>
      <c r="AI191" s="115" t="s">
        <v>12383</v>
      </c>
      <c r="AJ191" s="116">
        <v>0.57</v>
      </c>
      <c r="AK191" s="117"/>
      <c r="AL191" s="117"/>
      <c r="AM191" s="117"/>
      <c r="AN191" s="117"/>
      <c r="AO191" s="117"/>
    </row>
    <row r="192" ht="34.5" customHeight="1">
      <c r="A192" s="111">
        <v>492.0</v>
      </c>
      <c r="B192" s="111" t="s">
        <v>8170</v>
      </c>
      <c r="C192" s="111" t="s">
        <v>8011</v>
      </c>
      <c r="D192" s="111">
        <v>2018.0</v>
      </c>
      <c r="E192" s="111"/>
      <c r="F192" s="111" t="s">
        <v>12385</v>
      </c>
      <c r="G192" s="111" t="s">
        <v>12224</v>
      </c>
      <c r="H192" s="111"/>
      <c r="I192" s="111" t="s">
        <v>12419</v>
      </c>
      <c r="J192" s="111"/>
      <c r="K192" s="111" t="s">
        <v>30</v>
      </c>
      <c r="L192" s="111"/>
      <c r="M192" s="111"/>
      <c r="N192" s="111"/>
      <c r="O192" s="111"/>
      <c r="P192" s="111">
        <v>1.0</v>
      </c>
      <c r="Q192" s="111"/>
      <c r="R192" s="111"/>
      <c r="S192" s="111"/>
      <c r="T192" s="111"/>
      <c r="U192" s="111"/>
      <c r="V192" s="111"/>
      <c r="W192" s="111"/>
      <c r="X192" s="111"/>
      <c r="Y192" s="111"/>
      <c r="Z192" s="111" t="s">
        <v>12683</v>
      </c>
      <c r="AA192" s="129">
        <f>IF(Projects!$AI192="Electrolysis",
AB192*VLOOKUP(G192,ElectrolysisConvF,3,FALSE),
"")</f>
        <v>0.0552</v>
      </c>
      <c r="AB192" s="125">
        <v>12.0</v>
      </c>
      <c r="AC192" s="126">
        <f t="shared" si="19"/>
        <v>0.00935568</v>
      </c>
      <c r="AD192" s="125"/>
      <c r="AE192" s="125">
        <f t="shared" si="12"/>
        <v>12</v>
      </c>
      <c r="AF192" s="127"/>
      <c r="AG192" s="127">
        <v>45.1919953438537</v>
      </c>
      <c r="AH192" s="127">
        <v>5.74991692516054</v>
      </c>
      <c r="AI192" s="115" t="s">
        <v>12383</v>
      </c>
      <c r="AJ192" s="116">
        <v>0.57</v>
      </c>
      <c r="AK192" s="117"/>
      <c r="AL192" s="117"/>
      <c r="AM192" s="117"/>
      <c r="AN192" s="117"/>
      <c r="AO192" s="117"/>
    </row>
    <row r="193" ht="34.5" customHeight="1">
      <c r="A193" s="111">
        <v>494.0</v>
      </c>
      <c r="B193" s="111" t="s">
        <v>8171</v>
      </c>
      <c r="C193" s="111" t="s">
        <v>7971</v>
      </c>
      <c r="D193" s="111">
        <v>2000.0</v>
      </c>
      <c r="E193" s="111"/>
      <c r="F193" s="111" t="s">
        <v>12385</v>
      </c>
      <c r="G193" s="111" t="s">
        <v>12224</v>
      </c>
      <c r="H193" s="111"/>
      <c r="I193" s="111" t="s">
        <v>12406</v>
      </c>
      <c r="J193" s="111"/>
      <c r="K193" s="111" t="s">
        <v>30</v>
      </c>
      <c r="L193" s="111"/>
      <c r="M193" s="111"/>
      <c r="N193" s="111"/>
      <c r="O193" s="111"/>
      <c r="P193" s="111"/>
      <c r="Q193" s="111"/>
      <c r="R193" s="111">
        <v>1.0</v>
      </c>
      <c r="S193" s="111"/>
      <c r="T193" s="111"/>
      <c r="U193" s="111"/>
      <c r="V193" s="111"/>
      <c r="W193" s="111"/>
      <c r="X193" s="111"/>
      <c r="Y193" s="111"/>
      <c r="Z193" s="111" t="s">
        <v>12555</v>
      </c>
      <c r="AA193" s="124">
        <v>0.05</v>
      </c>
      <c r="AB193" s="125">
        <f>IF(Projects!$AI193="Electrolysis",
AA193/VLOOKUP(G193,ElectrolysisConvF,3,FALSE),
AC193*10^6/(H2dens*HoursInYear))</f>
        <v>10.86956522</v>
      </c>
      <c r="AC193" s="126">
        <f t="shared" si="19"/>
        <v>0.008474347826</v>
      </c>
      <c r="AD193" s="125"/>
      <c r="AE193" s="125">
        <f t="shared" si="12"/>
        <v>10.86956522</v>
      </c>
      <c r="AF193" s="127" t="s">
        <v>12684</v>
      </c>
      <c r="AG193" s="127">
        <v>58.3414030079865</v>
      </c>
      <c r="AH193" s="127">
        <v>8.58059371799155</v>
      </c>
      <c r="AI193" s="115" t="s">
        <v>12383</v>
      </c>
      <c r="AJ193" s="116">
        <v>0.57</v>
      </c>
      <c r="AK193" s="117"/>
      <c r="AL193" s="117"/>
      <c r="AM193" s="117"/>
      <c r="AN193" s="117"/>
      <c r="AO193" s="117"/>
    </row>
    <row r="194" ht="34.5" customHeight="1">
      <c r="A194" s="111">
        <v>497.0</v>
      </c>
      <c r="B194" s="111" t="s">
        <v>8172</v>
      </c>
      <c r="C194" s="111" t="s">
        <v>7987</v>
      </c>
      <c r="D194" s="111">
        <v>2019.0</v>
      </c>
      <c r="E194" s="111"/>
      <c r="F194" s="111" t="s">
        <v>12418</v>
      </c>
      <c r="G194" s="111" t="s">
        <v>12228</v>
      </c>
      <c r="H194" s="111"/>
      <c r="I194" s="111" t="s">
        <v>12419</v>
      </c>
      <c r="J194" s="111"/>
      <c r="K194" s="111" t="s">
        <v>30</v>
      </c>
      <c r="L194" s="111"/>
      <c r="M194" s="111"/>
      <c r="N194" s="111"/>
      <c r="O194" s="111"/>
      <c r="P194" s="111">
        <v>1.0</v>
      </c>
      <c r="Q194" s="111"/>
      <c r="R194" s="111"/>
      <c r="S194" s="111"/>
      <c r="T194" s="111"/>
      <c r="U194" s="111"/>
      <c r="V194" s="111"/>
      <c r="W194" s="111"/>
      <c r="X194" s="111"/>
      <c r="Y194" s="111"/>
      <c r="Z194" s="111" t="s">
        <v>12685</v>
      </c>
      <c r="AA194" s="124">
        <v>0.18</v>
      </c>
      <c r="AB194" s="125">
        <f>IF(Projects!$AI194="Electrolysis",
AA194/VLOOKUP(G194,ElectrolysisConvF,3,FALSE),
AC194*10^6/(H2dens*HoursInYear))</f>
        <v>47.36842105</v>
      </c>
      <c r="AC194" s="126">
        <f t="shared" si="19"/>
        <v>0.03693031579</v>
      </c>
      <c r="AD194" s="125"/>
      <c r="AE194" s="125">
        <f t="shared" si="12"/>
        <v>47.36842105</v>
      </c>
      <c r="AF194" s="127" t="s">
        <v>12686</v>
      </c>
      <c r="AG194" s="127">
        <v>0.0</v>
      </c>
      <c r="AH194" s="127">
        <v>0.0</v>
      </c>
      <c r="AI194" s="115" t="s">
        <v>12383</v>
      </c>
      <c r="AJ194" s="116">
        <v>0.57</v>
      </c>
      <c r="AK194" s="117"/>
      <c r="AL194" s="117"/>
      <c r="AM194" s="117"/>
      <c r="AN194" s="117"/>
      <c r="AO194" s="117"/>
    </row>
    <row r="195" ht="34.5" customHeight="1">
      <c r="A195" s="111">
        <v>498.0</v>
      </c>
      <c r="B195" s="111" t="s">
        <v>8173</v>
      </c>
      <c r="C195" s="111" t="s">
        <v>7994</v>
      </c>
      <c r="D195" s="111">
        <v>2014.0</v>
      </c>
      <c r="E195" s="111">
        <v>2017.0</v>
      </c>
      <c r="F195" s="111" t="s">
        <v>12418</v>
      </c>
      <c r="G195" s="111" t="s">
        <v>12224</v>
      </c>
      <c r="H195" s="111"/>
      <c r="I195" s="111" t="s">
        <v>12419</v>
      </c>
      <c r="J195" s="111"/>
      <c r="K195" s="111" t="s">
        <v>12449</v>
      </c>
      <c r="L195" s="111"/>
      <c r="M195" s="111"/>
      <c r="N195" s="111"/>
      <c r="O195" s="111"/>
      <c r="P195" s="111"/>
      <c r="Q195" s="111"/>
      <c r="R195" s="111"/>
      <c r="S195" s="111"/>
      <c r="T195" s="111"/>
      <c r="U195" s="111"/>
      <c r="V195" s="111"/>
      <c r="W195" s="111"/>
      <c r="X195" s="111">
        <v>1.0</v>
      </c>
      <c r="Y195" s="111"/>
      <c r="Z195" s="111" t="s">
        <v>12687</v>
      </c>
      <c r="AA195" s="124">
        <v>1.2</v>
      </c>
      <c r="AB195" s="125">
        <f>IF(Projects!$AI195="Electrolysis",
AA195/VLOOKUP(G195,ElectrolysisConvF,3,FALSE),
AC195*10^6/(H2dens*HoursInYear))</f>
        <v>260.8695652</v>
      </c>
      <c r="AC195" s="126">
        <f t="shared" si="19"/>
        <v>0.2033843478</v>
      </c>
      <c r="AD195" s="125"/>
      <c r="AE195" s="125">
        <f t="shared" si="12"/>
        <v>260.8695652</v>
      </c>
      <c r="AF195" s="127" t="s">
        <v>12688</v>
      </c>
      <c r="AG195" s="127">
        <v>55.6287123821618</v>
      </c>
      <c r="AH195" s="127">
        <v>12.4476626089976</v>
      </c>
      <c r="AI195" s="115" t="s">
        <v>12383</v>
      </c>
      <c r="AJ195" s="116">
        <v>0.57</v>
      </c>
      <c r="AK195" s="117"/>
      <c r="AL195" s="117"/>
      <c r="AM195" s="117"/>
      <c r="AN195" s="117"/>
      <c r="AO195" s="117"/>
    </row>
    <row r="196" ht="34.5" customHeight="1">
      <c r="A196" s="111">
        <v>499.0</v>
      </c>
      <c r="B196" s="111" t="s">
        <v>8174</v>
      </c>
      <c r="C196" s="111" t="s">
        <v>8117</v>
      </c>
      <c r="D196" s="111">
        <v>2021.0</v>
      </c>
      <c r="E196" s="111"/>
      <c r="F196" s="111" t="s">
        <v>12385</v>
      </c>
      <c r="G196" s="111" t="s">
        <v>12224</v>
      </c>
      <c r="H196" s="111"/>
      <c r="I196" s="111" t="s">
        <v>12394</v>
      </c>
      <c r="J196" s="111" t="s">
        <v>12294</v>
      </c>
      <c r="K196" s="111" t="s">
        <v>30</v>
      </c>
      <c r="L196" s="111"/>
      <c r="M196" s="111"/>
      <c r="N196" s="111"/>
      <c r="O196" s="111"/>
      <c r="P196" s="111"/>
      <c r="Q196" s="111"/>
      <c r="R196" s="111">
        <v>1.0</v>
      </c>
      <c r="S196" s="111"/>
      <c r="T196" s="111"/>
      <c r="U196" s="111"/>
      <c r="V196" s="111"/>
      <c r="W196" s="111"/>
      <c r="X196" s="111"/>
      <c r="Y196" s="111"/>
      <c r="Z196" s="111" t="s">
        <v>12475</v>
      </c>
      <c r="AA196" s="124">
        <v>0.025</v>
      </c>
      <c r="AB196" s="125">
        <f>IF(Projects!$AI196="Electrolysis",
AA196/VLOOKUP(G196,ElectrolysisConvF,3,FALSE),
AC196*10^6/(H2dens*HoursInYear))</f>
        <v>5.434782609</v>
      </c>
      <c r="AC196" s="126">
        <f t="shared" si="19"/>
        <v>0.004237173913</v>
      </c>
      <c r="AD196" s="125"/>
      <c r="AE196" s="125">
        <f t="shared" si="12"/>
        <v>5.434782609</v>
      </c>
      <c r="AF196" s="127" t="s">
        <v>12689</v>
      </c>
      <c r="AG196" s="127">
        <v>41.373416878096</v>
      </c>
      <c r="AH196" s="127">
        <v>23.4419511219338</v>
      </c>
      <c r="AI196" s="115" t="s">
        <v>12383</v>
      </c>
      <c r="AJ196" s="116">
        <v>0.8</v>
      </c>
      <c r="AK196" s="117"/>
      <c r="AL196" s="117"/>
      <c r="AM196" s="117"/>
      <c r="AN196" s="117"/>
      <c r="AO196" s="117"/>
    </row>
    <row r="197" ht="34.5" customHeight="1">
      <c r="A197" s="111">
        <v>500.0</v>
      </c>
      <c r="B197" s="111" t="s">
        <v>8175</v>
      </c>
      <c r="C197" s="111" t="s">
        <v>7977</v>
      </c>
      <c r="D197" s="111">
        <v>2023.0</v>
      </c>
      <c r="E197" s="111"/>
      <c r="F197" s="111" t="s">
        <v>12385</v>
      </c>
      <c r="G197" s="111" t="s">
        <v>12224</v>
      </c>
      <c r="H197" s="111"/>
      <c r="I197" s="111" t="s">
        <v>12394</v>
      </c>
      <c r="J197" s="111" t="s">
        <v>12295</v>
      </c>
      <c r="K197" s="111" t="s">
        <v>30</v>
      </c>
      <c r="L197" s="111"/>
      <c r="M197" s="111"/>
      <c r="N197" s="111"/>
      <c r="O197" s="111"/>
      <c r="P197" s="111"/>
      <c r="Q197" s="111"/>
      <c r="R197" s="111">
        <v>1.0</v>
      </c>
      <c r="S197" s="111"/>
      <c r="T197" s="111"/>
      <c r="U197" s="111"/>
      <c r="V197" s="111"/>
      <c r="W197" s="111"/>
      <c r="X197" s="111"/>
      <c r="Y197" s="111"/>
      <c r="Z197" s="111" t="s">
        <v>12690</v>
      </c>
      <c r="AA197" s="124">
        <v>0.08</v>
      </c>
      <c r="AB197" s="125">
        <f>IF(Projects!$AI197="Electrolysis",
AA197/VLOOKUP(G197,ElectrolysisConvF,3,FALSE),
AC197*10^6/(H2dens*HoursInYear))</f>
        <v>17.39130435</v>
      </c>
      <c r="AC197" s="126">
        <f t="shared" si="19"/>
        <v>0.01355895652</v>
      </c>
      <c r="AD197" s="125"/>
      <c r="AE197" s="125">
        <f t="shared" si="12"/>
        <v>17.39130435</v>
      </c>
      <c r="AF197" s="127" t="s">
        <v>12439</v>
      </c>
      <c r="AG197" s="127">
        <v>0.0</v>
      </c>
      <c r="AH197" s="127">
        <v>0.0</v>
      </c>
      <c r="AI197" s="115" t="s">
        <v>12383</v>
      </c>
      <c r="AJ197" s="116">
        <v>0.5</v>
      </c>
      <c r="AK197" s="117"/>
      <c r="AL197" s="117"/>
      <c r="AM197" s="117"/>
      <c r="AN197" s="117"/>
      <c r="AO197" s="117"/>
    </row>
    <row r="198" ht="34.5" customHeight="1">
      <c r="A198" s="111">
        <v>501.0</v>
      </c>
      <c r="B198" s="111" t="s">
        <v>8176</v>
      </c>
      <c r="C198" s="111" t="s">
        <v>8177</v>
      </c>
      <c r="D198" s="111">
        <v>2029.0</v>
      </c>
      <c r="E198" s="111"/>
      <c r="F198" s="111" t="s">
        <v>12399</v>
      </c>
      <c r="G198" s="111" t="s">
        <v>12381</v>
      </c>
      <c r="H198" s="111" t="s">
        <v>12230</v>
      </c>
      <c r="I198" s="111" t="s">
        <v>12394</v>
      </c>
      <c r="J198" s="111" t="s">
        <v>12295</v>
      </c>
      <c r="K198" s="111" t="s">
        <v>174</v>
      </c>
      <c r="L198" s="111"/>
      <c r="M198" s="111">
        <v>1.0</v>
      </c>
      <c r="N198" s="111"/>
      <c r="O198" s="111"/>
      <c r="P198" s="111"/>
      <c r="Q198" s="111"/>
      <c r="R198" s="111"/>
      <c r="S198" s="111"/>
      <c r="T198" s="111"/>
      <c r="U198" s="111"/>
      <c r="V198" s="111"/>
      <c r="W198" s="111"/>
      <c r="X198" s="111"/>
      <c r="Y198" s="111"/>
      <c r="Z198" s="111" t="s">
        <v>12691</v>
      </c>
      <c r="AA198" s="125">
        <v>2500.0</v>
      </c>
      <c r="AB198" s="125">
        <f>IF(Projects!$AI198="Electrolysis",
AA198/VLOOKUP(G198,ElectrolysisConvF,3,FALSE),
AC198*10^6/(H2dens*HoursInYear))</f>
        <v>555555.5556</v>
      </c>
      <c r="AC198" s="126">
        <f t="shared" si="19"/>
        <v>433.1333333</v>
      </c>
      <c r="AD198" s="125"/>
      <c r="AE198" s="125">
        <f t="shared" si="12"/>
        <v>555555.5556</v>
      </c>
      <c r="AF198" s="127" t="s">
        <v>12692</v>
      </c>
      <c r="AG198" s="127">
        <v>23.7</v>
      </c>
      <c r="AH198" s="127">
        <v>-9.22</v>
      </c>
      <c r="AI198" s="115" t="s">
        <v>12383</v>
      </c>
      <c r="AJ198" s="116">
        <v>0.5</v>
      </c>
      <c r="AK198" s="117"/>
      <c r="AL198" s="117"/>
      <c r="AM198" s="117"/>
      <c r="AN198" s="117"/>
      <c r="AO198" s="117"/>
    </row>
    <row r="199" ht="34.5" customHeight="1">
      <c r="A199" s="111">
        <v>502.0</v>
      </c>
      <c r="B199" s="111" t="s">
        <v>8178</v>
      </c>
      <c r="C199" s="111" t="s">
        <v>8087</v>
      </c>
      <c r="D199" s="111">
        <v>2021.0</v>
      </c>
      <c r="E199" s="111"/>
      <c r="F199" s="111" t="s">
        <v>12385</v>
      </c>
      <c r="G199" s="111" t="s">
        <v>12226</v>
      </c>
      <c r="H199" s="111"/>
      <c r="I199" s="111" t="s">
        <v>12419</v>
      </c>
      <c r="J199" s="111"/>
      <c r="K199" s="111" t="s">
        <v>30</v>
      </c>
      <c r="L199" s="111"/>
      <c r="M199" s="111"/>
      <c r="N199" s="111"/>
      <c r="O199" s="111"/>
      <c r="P199" s="111"/>
      <c r="Q199" s="111">
        <v>1.0</v>
      </c>
      <c r="R199" s="111"/>
      <c r="S199" s="111"/>
      <c r="T199" s="111"/>
      <c r="U199" s="111"/>
      <c r="V199" s="111"/>
      <c r="W199" s="111"/>
      <c r="X199" s="111"/>
      <c r="Y199" s="111"/>
      <c r="Z199" s="111" t="s">
        <v>12420</v>
      </c>
      <c r="AA199" s="124">
        <v>1.0</v>
      </c>
      <c r="AB199" s="125">
        <f>IF(Projects!$AI199="Electrolysis",
AA199/VLOOKUP(G199,ElectrolysisConvF,3,FALSE),
AC199*10^6/(H2dens*HoursInYear))</f>
        <v>192.3076923</v>
      </c>
      <c r="AC199" s="126">
        <f t="shared" si="19"/>
        <v>0.1499307692</v>
      </c>
      <c r="AD199" s="125"/>
      <c r="AE199" s="125">
        <f t="shared" si="12"/>
        <v>192.3076923</v>
      </c>
      <c r="AF199" s="127" t="s">
        <v>12693</v>
      </c>
      <c r="AG199" s="127">
        <v>51.2409143652648</v>
      </c>
      <c r="AH199" s="127">
        <v>4.4078311706411</v>
      </c>
      <c r="AI199" s="115" t="s">
        <v>12383</v>
      </c>
      <c r="AJ199" s="116">
        <v>0.57</v>
      </c>
      <c r="AK199" s="117"/>
      <c r="AL199" s="117"/>
      <c r="AM199" s="117"/>
      <c r="AN199" s="117"/>
      <c r="AO199" s="117"/>
    </row>
    <row r="200" ht="34.5" customHeight="1">
      <c r="A200" s="111">
        <v>503.0</v>
      </c>
      <c r="B200" s="111" t="s">
        <v>8179</v>
      </c>
      <c r="C200" s="111" t="s">
        <v>7994</v>
      </c>
      <c r="D200" s="111">
        <v>2013.0</v>
      </c>
      <c r="E200" s="111">
        <v>2017.0</v>
      </c>
      <c r="F200" s="111" t="s">
        <v>12418</v>
      </c>
      <c r="G200" s="111" t="s">
        <v>12228</v>
      </c>
      <c r="H200" s="111"/>
      <c r="I200" s="111" t="s">
        <v>12419</v>
      </c>
      <c r="J200" s="111"/>
      <c r="K200" s="111" t="s">
        <v>12449</v>
      </c>
      <c r="L200" s="111"/>
      <c r="M200" s="111"/>
      <c r="N200" s="111"/>
      <c r="O200" s="111"/>
      <c r="P200" s="111"/>
      <c r="Q200" s="111"/>
      <c r="R200" s="111"/>
      <c r="S200" s="111"/>
      <c r="T200" s="111"/>
      <c r="U200" s="111"/>
      <c r="V200" s="111"/>
      <c r="W200" s="111"/>
      <c r="X200" s="111">
        <v>1.0</v>
      </c>
      <c r="Y200" s="111"/>
      <c r="Z200" s="111" t="s">
        <v>12540</v>
      </c>
      <c r="AA200" s="129">
        <f>IF(Projects!$AI200="Electrolysis",
AB200*VLOOKUP(G200,ElectrolysisConvF,3,FALSE),
"")</f>
        <v>0.038</v>
      </c>
      <c r="AB200" s="125">
        <v>10.0</v>
      </c>
      <c r="AC200" s="126">
        <f t="shared" si="19"/>
        <v>0.0077964</v>
      </c>
      <c r="AD200" s="125"/>
      <c r="AE200" s="125">
        <f t="shared" si="12"/>
        <v>10</v>
      </c>
      <c r="AF200" s="127" t="s">
        <v>12694</v>
      </c>
      <c r="AG200" s="127">
        <v>55.8209367581636</v>
      </c>
      <c r="AH200" s="127">
        <v>12.5403704877297</v>
      </c>
      <c r="AI200" s="115" t="s">
        <v>12383</v>
      </c>
      <c r="AJ200" s="116">
        <v>0.57</v>
      </c>
      <c r="AK200" s="117"/>
      <c r="AL200" s="117"/>
      <c r="AM200" s="117"/>
      <c r="AN200" s="117"/>
      <c r="AO200" s="117"/>
    </row>
    <row r="201" ht="34.5" customHeight="1">
      <c r="A201" s="111">
        <v>505.0</v>
      </c>
      <c r="B201" s="111" t="s">
        <v>8180</v>
      </c>
      <c r="C201" s="111" t="s">
        <v>7994</v>
      </c>
      <c r="D201" s="111">
        <v>2013.0</v>
      </c>
      <c r="E201" s="111"/>
      <c r="F201" s="111" t="s">
        <v>12385</v>
      </c>
      <c r="G201" s="111" t="s">
        <v>12224</v>
      </c>
      <c r="H201" s="111"/>
      <c r="I201" s="111" t="s">
        <v>12406</v>
      </c>
      <c r="J201" s="111"/>
      <c r="K201" s="111" t="s">
        <v>30</v>
      </c>
      <c r="L201" s="111"/>
      <c r="M201" s="111"/>
      <c r="N201" s="111"/>
      <c r="O201" s="111"/>
      <c r="P201" s="111"/>
      <c r="Q201" s="111">
        <v>1.0</v>
      </c>
      <c r="R201" s="111"/>
      <c r="S201" s="111"/>
      <c r="T201" s="111"/>
      <c r="U201" s="111"/>
      <c r="V201" s="111"/>
      <c r="W201" s="111"/>
      <c r="X201" s="111"/>
      <c r="Y201" s="111"/>
      <c r="Z201" s="111" t="s">
        <v>12585</v>
      </c>
      <c r="AA201" s="129">
        <f>IF(Projects!$AI201="Electrolysis",
AB201*VLOOKUP(G201,ElectrolysisConvF,3,FALSE),
"")</f>
        <v>0.4307116105</v>
      </c>
      <c r="AB201" s="125">
        <f t="shared" ref="AB201:AB203" si="20">AC201/(H2dens*HoursInYear/10^6)</f>
        <v>93.6329588</v>
      </c>
      <c r="AC201" s="126">
        <f t="shared" ref="AC201:AC202" si="21">200*365/10^6</f>
        <v>0.073</v>
      </c>
      <c r="AD201" s="125"/>
      <c r="AE201" s="125">
        <f t="shared" si="12"/>
        <v>93.6329588</v>
      </c>
      <c r="AF201" s="130" t="s">
        <v>12586</v>
      </c>
      <c r="AG201" s="127">
        <v>0.0</v>
      </c>
      <c r="AH201" s="127">
        <v>0.0</v>
      </c>
      <c r="AI201" s="115" t="s">
        <v>12383</v>
      </c>
      <c r="AJ201" s="116">
        <v>0.57</v>
      </c>
      <c r="AK201" s="117"/>
      <c r="AL201" s="117"/>
      <c r="AM201" s="117"/>
      <c r="AN201" s="117"/>
      <c r="AO201" s="117"/>
    </row>
    <row r="202" ht="34.5" customHeight="1">
      <c r="A202" s="111">
        <v>506.0</v>
      </c>
      <c r="B202" s="111" t="s">
        <v>8181</v>
      </c>
      <c r="C202" s="111" t="s">
        <v>7994</v>
      </c>
      <c r="D202" s="111">
        <v>2013.0</v>
      </c>
      <c r="E202" s="111"/>
      <c r="F202" s="111" t="s">
        <v>12385</v>
      </c>
      <c r="G202" s="111" t="s">
        <v>12224</v>
      </c>
      <c r="H202" s="111"/>
      <c r="I202" s="111" t="s">
        <v>12406</v>
      </c>
      <c r="J202" s="111"/>
      <c r="K202" s="111" t="s">
        <v>30</v>
      </c>
      <c r="L202" s="111"/>
      <c r="M202" s="111"/>
      <c r="N202" s="111"/>
      <c r="O202" s="111"/>
      <c r="P202" s="111"/>
      <c r="Q202" s="111">
        <v>1.0</v>
      </c>
      <c r="R202" s="111"/>
      <c r="S202" s="111"/>
      <c r="T202" s="111"/>
      <c r="U202" s="111"/>
      <c r="V202" s="111"/>
      <c r="W202" s="111"/>
      <c r="X202" s="111"/>
      <c r="Y202" s="111"/>
      <c r="Z202" s="111" t="s">
        <v>12585</v>
      </c>
      <c r="AA202" s="129">
        <f>IF(Projects!$AI202="Electrolysis",
AB202*VLOOKUP(G202,ElectrolysisConvF,3,FALSE),
"")</f>
        <v>0.4307116105</v>
      </c>
      <c r="AB202" s="125">
        <f t="shared" si="20"/>
        <v>93.6329588</v>
      </c>
      <c r="AC202" s="126">
        <f t="shared" si="21"/>
        <v>0.073</v>
      </c>
      <c r="AD202" s="125"/>
      <c r="AE202" s="125">
        <f t="shared" si="12"/>
        <v>93.6329588</v>
      </c>
      <c r="AF202" s="130" t="s">
        <v>12586</v>
      </c>
      <c r="AG202" s="127">
        <v>0.0</v>
      </c>
      <c r="AH202" s="127">
        <v>0.0</v>
      </c>
      <c r="AI202" s="115" t="s">
        <v>12383</v>
      </c>
      <c r="AJ202" s="116">
        <v>0.57</v>
      </c>
      <c r="AK202" s="117"/>
      <c r="AL202" s="117"/>
      <c r="AM202" s="117"/>
      <c r="AN202" s="117"/>
      <c r="AO202" s="117"/>
    </row>
    <row r="203" ht="34.5" customHeight="1">
      <c r="A203" s="111">
        <v>507.0</v>
      </c>
      <c r="B203" s="111" t="s">
        <v>8182</v>
      </c>
      <c r="C203" s="111" t="s">
        <v>7994</v>
      </c>
      <c r="D203" s="111">
        <v>2013.0</v>
      </c>
      <c r="E203" s="111"/>
      <c r="F203" s="111" t="s">
        <v>12385</v>
      </c>
      <c r="G203" s="111" t="s">
        <v>12224</v>
      </c>
      <c r="H203" s="111"/>
      <c r="I203" s="111" t="s">
        <v>12406</v>
      </c>
      <c r="J203" s="111"/>
      <c r="K203" s="111" t="s">
        <v>30</v>
      </c>
      <c r="L203" s="111"/>
      <c r="M203" s="111"/>
      <c r="N203" s="111"/>
      <c r="O203" s="111"/>
      <c r="P203" s="111"/>
      <c r="Q203" s="111">
        <v>1.0</v>
      </c>
      <c r="R203" s="111"/>
      <c r="S203" s="111"/>
      <c r="T203" s="111"/>
      <c r="U203" s="111"/>
      <c r="V203" s="111"/>
      <c r="W203" s="111"/>
      <c r="X203" s="111"/>
      <c r="Y203" s="111"/>
      <c r="Z203" s="111" t="s">
        <v>12695</v>
      </c>
      <c r="AA203" s="129">
        <f>IF(Projects!$AI203="Electrolysis",
AB203*VLOOKUP(G203,ElectrolysisConvF,3,FALSE),
"")</f>
        <v>1.292134831</v>
      </c>
      <c r="AB203" s="125">
        <f t="shared" si="20"/>
        <v>280.8988764</v>
      </c>
      <c r="AC203" s="126">
        <f>3*200*365/10^6</f>
        <v>0.219</v>
      </c>
      <c r="AD203" s="125"/>
      <c r="AE203" s="125">
        <f t="shared" si="12"/>
        <v>280.8988764</v>
      </c>
      <c r="AF203" s="130" t="s">
        <v>12586</v>
      </c>
      <c r="AG203" s="127">
        <v>0.0</v>
      </c>
      <c r="AH203" s="127">
        <v>0.0</v>
      </c>
      <c r="AI203" s="115" t="s">
        <v>12383</v>
      </c>
      <c r="AJ203" s="116">
        <v>0.57</v>
      </c>
      <c r="AK203" s="117"/>
      <c r="AL203" s="117"/>
      <c r="AM203" s="117"/>
      <c r="AN203" s="117"/>
      <c r="AO203" s="117"/>
    </row>
    <row r="204" ht="34.5" customHeight="1">
      <c r="A204" s="111">
        <v>508.0</v>
      </c>
      <c r="B204" s="111" t="s">
        <v>8183</v>
      </c>
      <c r="C204" s="111" t="s">
        <v>7977</v>
      </c>
      <c r="D204" s="111">
        <v>2027.0</v>
      </c>
      <c r="E204" s="111"/>
      <c r="F204" s="111" t="s">
        <v>12399</v>
      </c>
      <c r="G204" s="111" t="s">
        <v>12381</v>
      </c>
      <c r="H204" s="111" t="s">
        <v>12230</v>
      </c>
      <c r="I204" s="111" t="s">
        <v>12394</v>
      </c>
      <c r="J204" s="111" t="s">
        <v>12291</v>
      </c>
      <c r="K204" s="111" t="s">
        <v>174</v>
      </c>
      <c r="L204" s="111"/>
      <c r="M204" s="111">
        <v>1.0</v>
      </c>
      <c r="N204" s="111"/>
      <c r="O204" s="111"/>
      <c r="P204" s="111"/>
      <c r="Q204" s="111"/>
      <c r="R204" s="111"/>
      <c r="S204" s="111"/>
      <c r="T204" s="111"/>
      <c r="U204" s="111"/>
      <c r="V204" s="111"/>
      <c r="W204" s="111"/>
      <c r="X204" s="111"/>
      <c r="Y204" s="111"/>
      <c r="Z204" s="111" t="s">
        <v>12696</v>
      </c>
      <c r="AA204" s="124">
        <v>210.0</v>
      </c>
      <c r="AB204" s="125">
        <f>Projects!$AA204*18/H2dens</f>
        <v>42471.91011</v>
      </c>
      <c r="AC204" s="126">
        <f t="shared" ref="AC204:AC206" si="22">AB204*H2dens*HoursInYear/10^6</f>
        <v>33.1128</v>
      </c>
      <c r="AD204" s="125"/>
      <c r="AE204" s="125">
        <f t="shared" si="12"/>
        <v>42471.91011</v>
      </c>
      <c r="AF204" s="130" t="s">
        <v>12697</v>
      </c>
      <c r="AG204" s="127">
        <v>38.6720671761843</v>
      </c>
      <c r="AH204" s="127">
        <v>-4.0530512629734</v>
      </c>
      <c r="AI204" s="115" t="s">
        <v>12383</v>
      </c>
      <c r="AJ204" s="116">
        <v>0.3</v>
      </c>
      <c r="AK204" s="117"/>
      <c r="AL204" s="117"/>
      <c r="AM204" s="117"/>
      <c r="AN204" s="117"/>
      <c r="AO204" s="117"/>
    </row>
    <row r="205" ht="34.5" customHeight="1">
      <c r="A205" s="111">
        <v>509.0</v>
      </c>
      <c r="B205" s="111" t="s">
        <v>8184</v>
      </c>
      <c r="C205" s="111" t="s">
        <v>8087</v>
      </c>
      <c r="D205" s="111"/>
      <c r="E205" s="111"/>
      <c r="F205" s="111" t="s">
        <v>12397</v>
      </c>
      <c r="G205" s="111" t="s">
        <v>12381</v>
      </c>
      <c r="H205" s="111" t="s">
        <v>12230</v>
      </c>
      <c r="I205" s="111" t="s">
        <v>12394</v>
      </c>
      <c r="J205" s="111" t="s">
        <v>12293</v>
      </c>
      <c r="K205" s="111" t="s">
        <v>30</v>
      </c>
      <c r="L205" s="111"/>
      <c r="M205" s="111"/>
      <c r="N205" s="111"/>
      <c r="O205" s="111"/>
      <c r="P205" s="111"/>
      <c r="Q205" s="111">
        <v>1.0</v>
      </c>
      <c r="R205" s="111"/>
      <c r="S205" s="111">
        <v>1.0</v>
      </c>
      <c r="T205" s="111"/>
      <c r="U205" s="111"/>
      <c r="V205" s="111"/>
      <c r="W205" s="111"/>
      <c r="X205" s="111"/>
      <c r="Y205" s="111"/>
      <c r="Z205" s="111" t="s">
        <v>12698</v>
      </c>
      <c r="AA205" s="124">
        <v>75.0</v>
      </c>
      <c r="AB205" s="125">
        <f>IF(Projects!$AI205="Electrolysis",
AA205/VLOOKUP(G205,ElectrolysisConvF,3,FALSE),
AC205*10^6/(H2dens*HoursInYear))</f>
        <v>16666.66667</v>
      </c>
      <c r="AC205" s="126">
        <f t="shared" si="22"/>
        <v>12.994</v>
      </c>
      <c r="AD205" s="125"/>
      <c r="AE205" s="125">
        <f t="shared" si="12"/>
        <v>16666.66667</v>
      </c>
      <c r="AF205" s="127" t="s">
        <v>12699</v>
      </c>
      <c r="AG205" s="127">
        <v>51.3223317850662</v>
      </c>
      <c r="AH205" s="127">
        <v>3.20870467310706</v>
      </c>
      <c r="AI205" s="115" t="s">
        <v>12383</v>
      </c>
      <c r="AJ205" s="116">
        <v>0.55</v>
      </c>
      <c r="AK205" s="117"/>
      <c r="AL205" s="117"/>
      <c r="AM205" s="117"/>
      <c r="AN205" s="117"/>
      <c r="AO205" s="117"/>
    </row>
    <row r="206" ht="34.5" customHeight="1">
      <c r="A206" s="111">
        <v>510.0</v>
      </c>
      <c r="B206" s="111" t="s">
        <v>8185</v>
      </c>
      <c r="C206" s="111" t="s">
        <v>8087</v>
      </c>
      <c r="D206" s="111">
        <v>2026.0</v>
      </c>
      <c r="E206" s="111"/>
      <c r="F206" s="111" t="s">
        <v>12393</v>
      </c>
      <c r="G206" s="111" t="s">
        <v>12381</v>
      </c>
      <c r="H206" s="111" t="s">
        <v>12230</v>
      </c>
      <c r="I206" s="111" t="s">
        <v>12394</v>
      </c>
      <c r="J206" s="111" t="s">
        <v>12293</v>
      </c>
      <c r="K206" s="111" t="s">
        <v>30</v>
      </c>
      <c r="L206" s="111"/>
      <c r="M206" s="111"/>
      <c r="N206" s="111"/>
      <c r="O206" s="111"/>
      <c r="P206" s="111"/>
      <c r="Q206" s="111">
        <v>1.0</v>
      </c>
      <c r="R206" s="111"/>
      <c r="S206" s="111">
        <v>1.0</v>
      </c>
      <c r="T206" s="111"/>
      <c r="U206" s="111"/>
      <c r="V206" s="111"/>
      <c r="W206" s="111"/>
      <c r="X206" s="111"/>
      <c r="Y206" s="111"/>
      <c r="Z206" s="111" t="s">
        <v>12700</v>
      </c>
      <c r="AA206" s="124">
        <v>25.0</v>
      </c>
      <c r="AB206" s="125">
        <f>IF(Projects!$AI206="Electrolysis",
AA206/VLOOKUP(G206,ElectrolysisConvF,3,FALSE),
AC206*10^6/(H2dens*HoursInYear))</f>
        <v>5555.555556</v>
      </c>
      <c r="AC206" s="126">
        <f t="shared" si="22"/>
        <v>4.331333333</v>
      </c>
      <c r="AD206" s="125"/>
      <c r="AE206" s="125">
        <f t="shared" si="12"/>
        <v>5555.555556</v>
      </c>
      <c r="AF206" s="127" t="s">
        <v>12701</v>
      </c>
      <c r="AG206" s="127">
        <v>51.3223317850662</v>
      </c>
      <c r="AH206" s="127">
        <v>3.20870467310706</v>
      </c>
      <c r="AI206" s="115" t="s">
        <v>12383</v>
      </c>
      <c r="AJ206" s="116">
        <v>0.55</v>
      </c>
      <c r="AK206" s="117"/>
      <c r="AL206" s="117"/>
      <c r="AM206" s="117"/>
      <c r="AN206" s="117"/>
      <c r="AO206" s="117"/>
    </row>
    <row r="207" ht="34.5" customHeight="1">
      <c r="A207" s="111">
        <v>513.0</v>
      </c>
      <c r="B207" s="111" t="s">
        <v>8186</v>
      </c>
      <c r="C207" s="111" t="s">
        <v>8087</v>
      </c>
      <c r="D207" s="111"/>
      <c r="E207" s="111"/>
      <c r="F207" s="111" t="s">
        <v>12399</v>
      </c>
      <c r="G207" s="111" t="s">
        <v>12381</v>
      </c>
      <c r="H207" s="111" t="s">
        <v>12230</v>
      </c>
      <c r="I207" s="111" t="s">
        <v>12394</v>
      </c>
      <c r="J207" s="111" t="s">
        <v>12295</v>
      </c>
      <c r="K207" s="111" t="s">
        <v>30</v>
      </c>
      <c r="L207" s="111"/>
      <c r="M207" s="111"/>
      <c r="N207" s="111"/>
      <c r="O207" s="111"/>
      <c r="P207" s="111"/>
      <c r="Q207" s="111">
        <v>1.0</v>
      </c>
      <c r="R207" s="111"/>
      <c r="S207" s="111"/>
      <c r="T207" s="111"/>
      <c r="U207" s="111"/>
      <c r="V207" s="111"/>
      <c r="W207" s="111"/>
      <c r="X207" s="111"/>
      <c r="Y207" s="111"/>
      <c r="Z207" s="111"/>
      <c r="AA207" s="124"/>
      <c r="AB207" s="125"/>
      <c r="AC207" s="126"/>
      <c r="AD207" s="125"/>
      <c r="AE207" s="125" t="str">
        <f t="shared" si="12"/>
        <v/>
      </c>
      <c r="AF207" s="127" t="s">
        <v>12702</v>
      </c>
      <c r="AG207" s="127">
        <v>50.4711453561847</v>
      </c>
      <c r="AH207" s="127">
        <v>4.45872354276505</v>
      </c>
      <c r="AI207" s="115" t="s">
        <v>12383</v>
      </c>
      <c r="AJ207" s="116">
        <v>0.5</v>
      </c>
      <c r="AK207" s="117"/>
      <c r="AL207" s="117"/>
      <c r="AM207" s="117"/>
      <c r="AN207" s="117"/>
      <c r="AO207" s="117"/>
    </row>
    <row r="208" ht="34.5" customHeight="1">
      <c r="A208" s="111">
        <v>516.0</v>
      </c>
      <c r="B208" s="111" t="s">
        <v>8187</v>
      </c>
      <c r="C208" s="111" t="s">
        <v>7994</v>
      </c>
      <c r="D208" s="111">
        <v>2025.0</v>
      </c>
      <c r="E208" s="111"/>
      <c r="F208" s="111" t="s">
        <v>12393</v>
      </c>
      <c r="G208" s="111" t="s">
        <v>12381</v>
      </c>
      <c r="H208" s="111" t="s">
        <v>12230</v>
      </c>
      <c r="I208" s="111" t="s">
        <v>12394</v>
      </c>
      <c r="J208" s="111" t="s">
        <v>12295</v>
      </c>
      <c r="K208" s="111" t="s">
        <v>30</v>
      </c>
      <c r="L208" s="111"/>
      <c r="M208" s="111"/>
      <c r="N208" s="111"/>
      <c r="O208" s="111"/>
      <c r="P208" s="111"/>
      <c r="Q208" s="111">
        <v>1.0</v>
      </c>
      <c r="R208" s="111"/>
      <c r="S208" s="111"/>
      <c r="T208" s="111"/>
      <c r="U208" s="111"/>
      <c r="V208" s="111"/>
      <c r="W208" s="111"/>
      <c r="X208" s="111"/>
      <c r="Y208" s="111"/>
      <c r="Z208" s="111" t="s">
        <v>12703</v>
      </c>
      <c r="AA208" s="124">
        <v>10.0</v>
      </c>
      <c r="AB208" s="125">
        <f>IF(Projects!$AI208="Electrolysis",
AA208/VLOOKUP(G208,ElectrolysisConvF,3,FALSE),
AC208*10^6/(H2dens*HoursInYear))</f>
        <v>2222.222222</v>
      </c>
      <c r="AC208" s="126">
        <f t="shared" ref="AC208:AC212" si="23">AB208*H2dens*HoursInYear/10^6</f>
        <v>1.732533333</v>
      </c>
      <c r="AD208" s="125"/>
      <c r="AE208" s="125">
        <f t="shared" si="12"/>
        <v>2222.222222</v>
      </c>
      <c r="AF208" s="127" t="s">
        <v>12704</v>
      </c>
      <c r="AG208" s="127">
        <v>55.6759871279749</v>
      </c>
      <c r="AH208" s="127">
        <v>12.5703295648344</v>
      </c>
      <c r="AI208" s="115" t="s">
        <v>12383</v>
      </c>
      <c r="AJ208" s="116">
        <v>0.5</v>
      </c>
      <c r="AK208" s="117"/>
      <c r="AL208" s="117"/>
      <c r="AM208" s="117"/>
      <c r="AN208" s="117"/>
      <c r="AO208" s="117"/>
    </row>
    <row r="209" ht="34.5" customHeight="1">
      <c r="A209" s="111">
        <v>517.0</v>
      </c>
      <c r="B209" s="111" t="s">
        <v>8188</v>
      </c>
      <c r="C209" s="111" t="s">
        <v>7967</v>
      </c>
      <c r="D209" s="111">
        <v>2021.0</v>
      </c>
      <c r="E209" s="111"/>
      <c r="F209" s="111" t="s">
        <v>12385</v>
      </c>
      <c r="G209" s="111" t="s">
        <v>12226</v>
      </c>
      <c r="H209" s="111"/>
      <c r="I209" s="111" t="s">
        <v>12394</v>
      </c>
      <c r="J209" s="111" t="s">
        <v>12291</v>
      </c>
      <c r="K209" s="111" t="s">
        <v>30</v>
      </c>
      <c r="L209" s="111"/>
      <c r="M209" s="111"/>
      <c r="N209" s="111"/>
      <c r="O209" s="111"/>
      <c r="P209" s="111">
        <v>1.0</v>
      </c>
      <c r="Q209" s="111">
        <v>1.0</v>
      </c>
      <c r="R209" s="111"/>
      <c r="S209" s="111"/>
      <c r="T209" s="111"/>
      <c r="U209" s="111"/>
      <c r="V209" s="111"/>
      <c r="W209" s="111"/>
      <c r="X209" s="111"/>
      <c r="Y209" s="111"/>
      <c r="Z209" s="111" t="s">
        <v>12705</v>
      </c>
      <c r="AA209" s="124">
        <v>1.0</v>
      </c>
      <c r="AB209" s="125">
        <f>IF(Projects!$AI209="Electrolysis",
AA209/VLOOKUP(G209,ElectrolysisConvF,3,FALSE),
AC209*10^6/(H2dens*HoursInYear))</f>
        <v>192.3076923</v>
      </c>
      <c r="AC209" s="126">
        <f t="shared" si="23"/>
        <v>0.1499307692</v>
      </c>
      <c r="AD209" s="125"/>
      <c r="AE209" s="125">
        <f t="shared" si="12"/>
        <v>192.3076923</v>
      </c>
      <c r="AF209" s="127" t="s">
        <v>12706</v>
      </c>
      <c r="AG209" s="127">
        <v>53.1028443</v>
      </c>
      <c r="AH209" s="127">
        <v>6.8694863</v>
      </c>
      <c r="AI209" s="115" t="s">
        <v>12383</v>
      </c>
      <c r="AJ209" s="116">
        <v>0.3</v>
      </c>
      <c r="AK209" s="117"/>
      <c r="AL209" s="117"/>
      <c r="AM209" s="117"/>
      <c r="AN209" s="117"/>
      <c r="AO209" s="117"/>
    </row>
    <row r="210" ht="34.5" customHeight="1">
      <c r="A210" s="111">
        <v>518.0</v>
      </c>
      <c r="B210" s="111" t="s">
        <v>222</v>
      </c>
      <c r="C210" s="111" t="s">
        <v>7971</v>
      </c>
      <c r="D210" s="111">
        <v>2021.0</v>
      </c>
      <c r="E210" s="111"/>
      <c r="F210" s="111" t="s">
        <v>12385</v>
      </c>
      <c r="G210" s="111" t="s">
        <v>12226</v>
      </c>
      <c r="H210" s="111"/>
      <c r="I210" s="111" t="s">
        <v>12394</v>
      </c>
      <c r="J210" s="111" t="s">
        <v>12292</v>
      </c>
      <c r="K210" s="111" t="s">
        <v>30</v>
      </c>
      <c r="L210" s="111"/>
      <c r="M210" s="111"/>
      <c r="N210" s="111"/>
      <c r="O210" s="111"/>
      <c r="P210" s="111">
        <v>1.0</v>
      </c>
      <c r="Q210" s="111">
        <v>1.0</v>
      </c>
      <c r="R210" s="111">
        <v>1.0</v>
      </c>
      <c r="S210" s="111"/>
      <c r="T210" s="111"/>
      <c r="U210" s="111"/>
      <c r="V210" s="111"/>
      <c r="W210" s="111"/>
      <c r="X210" s="111"/>
      <c r="Y210" s="111"/>
      <c r="Z210" s="111" t="s">
        <v>12707</v>
      </c>
      <c r="AA210" s="124">
        <v>2.5</v>
      </c>
      <c r="AB210" s="125">
        <f>IF(Projects!$AI210="Electrolysis",
AA210/VLOOKUP(G210,ElectrolysisConvF,3,FALSE),
AC210*10^6/(H2dens*HoursInYear))</f>
        <v>480.7692308</v>
      </c>
      <c r="AC210" s="126">
        <f t="shared" si="23"/>
        <v>0.3748269231</v>
      </c>
      <c r="AD210" s="125"/>
      <c r="AE210" s="125">
        <f t="shared" si="12"/>
        <v>480.7692308</v>
      </c>
      <c r="AF210" s="127" t="s">
        <v>12708</v>
      </c>
      <c r="AG210" s="127">
        <v>70.7651749470771</v>
      </c>
      <c r="AH210" s="127">
        <v>29.083687261382</v>
      </c>
      <c r="AI210" s="115" t="s">
        <v>12383</v>
      </c>
      <c r="AJ210" s="116">
        <v>0.4</v>
      </c>
      <c r="AK210" s="117"/>
      <c r="AL210" s="117"/>
      <c r="AM210" s="117"/>
      <c r="AN210" s="117"/>
      <c r="AO210" s="117"/>
    </row>
    <row r="211" ht="34.5" customHeight="1">
      <c r="A211" s="111">
        <v>519.0</v>
      </c>
      <c r="B211" s="111" t="s">
        <v>8189</v>
      </c>
      <c r="C211" s="111" t="s">
        <v>7994</v>
      </c>
      <c r="D211" s="111"/>
      <c r="E211" s="111"/>
      <c r="F211" s="111" t="s">
        <v>12397</v>
      </c>
      <c r="G211" s="111" t="s">
        <v>12381</v>
      </c>
      <c r="H211" s="111" t="s">
        <v>12230</v>
      </c>
      <c r="I211" s="111" t="s">
        <v>12419</v>
      </c>
      <c r="J211" s="111"/>
      <c r="K211" s="111" t="s">
        <v>12481</v>
      </c>
      <c r="L211" s="111"/>
      <c r="M211" s="111"/>
      <c r="N211" s="111">
        <v>1.0</v>
      </c>
      <c r="O211" s="111"/>
      <c r="P211" s="111">
        <v>1.0</v>
      </c>
      <c r="Q211" s="111"/>
      <c r="R211" s="111"/>
      <c r="S211" s="111"/>
      <c r="T211" s="111"/>
      <c r="U211" s="111"/>
      <c r="V211" s="111"/>
      <c r="W211" s="111">
        <v>1.0</v>
      </c>
      <c r="X211" s="111"/>
      <c r="Y211" s="111"/>
      <c r="Z211" s="111" t="s">
        <v>12709</v>
      </c>
      <c r="AA211" s="124">
        <v>100.0</v>
      </c>
      <c r="AB211" s="125">
        <f>IF(Projects!$AI211="Electrolysis",
AA211/VLOOKUP(G211,ElectrolysisConvF,3,FALSE),
AC211*10^6/(H2dens*HoursInYear))</f>
        <v>22222.22222</v>
      </c>
      <c r="AC211" s="126">
        <f t="shared" si="23"/>
        <v>17.32533333</v>
      </c>
      <c r="AD211" s="125"/>
      <c r="AE211" s="125">
        <f t="shared" si="12"/>
        <v>22222.22222</v>
      </c>
      <c r="AF211" s="127"/>
      <c r="AG211" s="127">
        <v>0.0</v>
      </c>
      <c r="AH211" s="127">
        <v>0.0</v>
      </c>
      <c r="AI211" s="115" t="s">
        <v>12383</v>
      </c>
      <c r="AJ211" s="116">
        <v>0.57</v>
      </c>
      <c r="AK211" s="117"/>
      <c r="AL211" s="117"/>
      <c r="AM211" s="117"/>
      <c r="AN211" s="117"/>
      <c r="AO211" s="117"/>
    </row>
    <row r="212" ht="34.5" customHeight="1">
      <c r="A212" s="111">
        <v>520.0</v>
      </c>
      <c r="B212" s="111" t="s">
        <v>8190</v>
      </c>
      <c r="C212" s="111" t="s">
        <v>7994</v>
      </c>
      <c r="D212" s="111">
        <v>2010.0</v>
      </c>
      <c r="E212" s="111">
        <v>2012.0</v>
      </c>
      <c r="F212" s="111" t="s">
        <v>12418</v>
      </c>
      <c r="G212" s="111" t="s">
        <v>12226</v>
      </c>
      <c r="H212" s="111"/>
      <c r="I212" s="111" t="s">
        <v>12419</v>
      </c>
      <c r="J212" s="111"/>
      <c r="K212" s="111" t="s">
        <v>30</v>
      </c>
      <c r="L212" s="111"/>
      <c r="M212" s="111"/>
      <c r="N212" s="111"/>
      <c r="O212" s="111"/>
      <c r="P212" s="111"/>
      <c r="Q212" s="111"/>
      <c r="R212" s="111">
        <v>1.0</v>
      </c>
      <c r="S212" s="111"/>
      <c r="T212" s="111"/>
      <c r="U212" s="111"/>
      <c r="V212" s="111"/>
      <c r="W212" s="111"/>
      <c r="X212" s="111"/>
      <c r="Y212" s="111"/>
      <c r="Z212" s="111" t="s">
        <v>12484</v>
      </c>
      <c r="AA212" s="129">
        <f>IF(Projects!$AI212="Electrolysis",
AB212*VLOOKUP(G212,ElectrolysisConvF,3,FALSE),
"")</f>
        <v>0.0052</v>
      </c>
      <c r="AB212" s="125">
        <v>1.0</v>
      </c>
      <c r="AC212" s="126">
        <f t="shared" si="23"/>
        <v>0.00077964</v>
      </c>
      <c r="AD212" s="125"/>
      <c r="AE212" s="125">
        <f t="shared" si="12"/>
        <v>1</v>
      </c>
      <c r="AF212" s="127" t="s">
        <v>12710</v>
      </c>
      <c r="AG212" s="127">
        <v>0.0</v>
      </c>
      <c r="AH212" s="127">
        <v>0.0</v>
      </c>
      <c r="AI212" s="115" t="s">
        <v>12383</v>
      </c>
      <c r="AJ212" s="116">
        <v>0.57</v>
      </c>
      <c r="AK212" s="117"/>
      <c r="AL212" s="117"/>
      <c r="AM212" s="117"/>
      <c r="AN212" s="117"/>
      <c r="AO212" s="117"/>
    </row>
    <row r="213" ht="34.5" customHeight="1">
      <c r="A213" s="111">
        <v>521.0</v>
      </c>
      <c r="B213" s="111" t="s">
        <v>8191</v>
      </c>
      <c r="C213" s="111" t="s">
        <v>7994</v>
      </c>
      <c r="D213" s="111">
        <v>2010.0</v>
      </c>
      <c r="E213" s="111">
        <v>2013.0</v>
      </c>
      <c r="F213" s="111" t="s">
        <v>12418</v>
      </c>
      <c r="G213" s="111" t="s">
        <v>12226</v>
      </c>
      <c r="H213" s="111"/>
      <c r="I213" s="111" t="s">
        <v>12419</v>
      </c>
      <c r="J213" s="111"/>
      <c r="K213" s="111" t="s">
        <v>30</v>
      </c>
      <c r="L213" s="111"/>
      <c r="M213" s="111"/>
      <c r="N213" s="111"/>
      <c r="O213" s="111"/>
      <c r="P213" s="111"/>
      <c r="Q213" s="111"/>
      <c r="R213" s="111"/>
      <c r="S213" s="111"/>
      <c r="T213" s="111"/>
      <c r="U213" s="111"/>
      <c r="V213" s="111"/>
      <c r="W213" s="111"/>
      <c r="X213" s="111"/>
      <c r="Y213" s="111"/>
      <c r="Z213" s="111"/>
      <c r="AA213" s="124"/>
      <c r="AB213" s="125"/>
      <c r="AC213" s="126"/>
      <c r="AD213" s="125"/>
      <c r="AE213" s="125" t="str">
        <f t="shared" si="12"/>
        <v/>
      </c>
      <c r="AF213" s="127" t="s">
        <v>12711</v>
      </c>
      <c r="AG213" s="127">
        <v>0.0</v>
      </c>
      <c r="AH213" s="127">
        <v>0.0</v>
      </c>
      <c r="AI213" s="115" t="s">
        <v>12383</v>
      </c>
      <c r="AJ213" s="116">
        <v>0.57</v>
      </c>
      <c r="AK213" s="117"/>
      <c r="AL213" s="117"/>
      <c r="AM213" s="117"/>
      <c r="AN213" s="117"/>
      <c r="AO213" s="117"/>
    </row>
    <row r="214" ht="34.5" customHeight="1">
      <c r="A214" s="111">
        <v>522.0</v>
      </c>
      <c r="B214" s="111" t="s">
        <v>8192</v>
      </c>
      <c r="C214" s="111" t="s">
        <v>7994</v>
      </c>
      <c r="D214" s="111">
        <v>2011.0</v>
      </c>
      <c r="E214" s="111">
        <v>2013.0</v>
      </c>
      <c r="F214" s="111" t="s">
        <v>12418</v>
      </c>
      <c r="G214" s="111" t="s">
        <v>12226</v>
      </c>
      <c r="H214" s="111"/>
      <c r="I214" s="111" t="s">
        <v>12419</v>
      </c>
      <c r="J214" s="111"/>
      <c r="K214" s="111" t="s">
        <v>12449</v>
      </c>
      <c r="L214" s="111"/>
      <c r="M214" s="111"/>
      <c r="N214" s="111"/>
      <c r="O214" s="111"/>
      <c r="P214" s="111"/>
      <c r="Q214" s="111"/>
      <c r="R214" s="111"/>
      <c r="S214" s="111"/>
      <c r="T214" s="111"/>
      <c r="U214" s="111"/>
      <c r="V214" s="111"/>
      <c r="W214" s="111"/>
      <c r="X214" s="111">
        <v>1.0</v>
      </c>
      <c r="Y214" s="111">
        <v>1.0</v>
      </c>
      <c r="Z214" s="111" t="s">
        <v>12467</v>
      </c>
      <c r="AA214" s="124">
        <v>0.25</v>
      </c>
      <c r="AB214" s="125">
        <f>IF(Projects!$AI214="Electrolysis",
AA214/VLOOKUP(G214,ElectrolysisConvF,3,FALSE),
AC214*10^6/(H2dens*HoursInYear))</f>
        <v>48.07692308</v>
      </c>
      <c r="AC214" s="126">
        <f t="shared" ref="AC214:AC215" si="24">AB214*H2dens*HoursInYear/10^6</f>
        <v>0.03748269231</v>
      </c>
      <c r="AD214" s="125"/>
      <c r="AE214" s="125">
        <f t="shared" si="12"/>
        <v>48.07692308</v>
      </c>
      <c r="AF214" s="127" t="s">
        <v>12712</v>
      </c>
      <c r="AG214" s="127">
        <v>0.0</v>
      </c>
      <c r="AH214" s="127">
        <v>0.0</v>
      </c>
      <c r="AI214" s="115" t="s">
        <v>12383</v>
      </c>
      <c r="AJ214" s="116">
        <v>0.57</v>
      </c>
      <c r="AK214" s="117"/>
      <c r="AL214" s="117"/>
      <c r="AM214" s="117"/>
      <c r="AN214" s="117"/>
      <c r="AO214" s="117"/>
    </row>
    <row r="215" ht="34.5" customHeight="1">
      <c r="A215" s="111">
        <v>524.0</v>
      </c>
      <c r="B215" s="111" t="s">
        <v>8193</v>
      </c>
      <c r="C215" s="111" t="s">
        <v>7994</v>
      </c>
      <c r="D215" s="111">
        <v>2011.0</v>
      </c>
      <c r="E215" s="111">
        <v>2014.0</v>
      </c>
      <c r="F215" s="111" t="s">
        <v>12418</v>
      </c>
      <c r="G215" s="111" t="s">
        <v>12228</v>
      </c>
      <c r="H215" s="111"/>
      <c r="I215" s="111" t="s">
        <v>12419</v>
      </c>
      <c r="J215" s="111"/>
      <c r="K215" s="111" t="s">
        <v>12449</v>
      </c>
      <c r="L215" s="111"/>
      <c r="M215" s="111"/>
      <c r="N215" s="111"/>
      <c r="O215" s="111"/>
      <c r="P215" s="111"/>
      <c r="Q215" s="111"/>
      <c r="R215" s="111"/>
      <c r="S215" s="111"/>
      <c r="T215" s="111"/>
      <c r="U215" s="111"/>
      <c r="V215" s="111"/>
      <c r="W215" s="111"/>
      <c r="X215" s="111">
        <v>1.0</v>
      </c>
      <c r="Y215" s="111"/>
      <c r="Z215" s="111" t="s">
        <v>12597</v>
      </c>
      <c r="AA215" s="124">
        <v>0.04</v>
      </c>
      <c r="AB215" s="125">
        <f>IF(Projects!$AI215="Electrolysis",
AA215/VLOOKUP(G215,ElectrolysisConvF,3,FALSE),
AC215*10^6/(H2dens*HoursInYear))</f>
        <v>10.52631579</v>
      </c>
      <c r="AC215" s="126">
        <f t="shared" si="24"/>
        <v>0.008206736842</v>
      </c>
      <c r="AD215" s="125"/>
      <c r="AE215" s="125">
        <f t="shared" si="12"/>
        <v>10.52631579</v>
      </c>
      <c r="AF215" s="127" t="s">
        <v>12713</v>
      </c>
      <c r="AG215" s="127">
        <v>0.0</v>
      </c>
      <c r="AH215" s="127">
        <v>0.0</v>
      </c>
      <c r="AI215" s="115" t="s">
        <v>12383</v>
      </c>
      <c r="AJ215" s="116">
        <v>0.57</v>
      </c>
      <c r="AK215" s="117"/>
      <c r="AL215" s="117"/>
      <c r="AM215" s="117"/>
      <c r="AN215" s="117"/>
      <c r="AO215" s="117"/>
    </row>
    <row r="216" ht="34.5" customHeight="1">
      <c r="A216" s="111">
        <v>525.0</v>
      </c>
      <c r="B216" s="111" t="s">
        <v>8194</v>
      </c>
      <c r="C216" s="111" t="s">
        <v>7994</v>
      </c>
      <c r="D216" s="111">
        <v>2011.0</v>
      </c>
      <c r="E216" s="111">
        <v>2012.0</v>
      </c>
      <c r="F216" s="111" t="s">
        <v>12418</v>
      </c>
      <c r="G216" s="111" t="s">
        <v>12381</v>
      </c>
      <c r="H216" s="111" t="s">
        <v>12230</v>
      </c>
      <c r="I216" s="111" t="s">
        <v>12419</v>
      </c>
      <c r="J216" s="111"/>
      <c r="K216" s="111" t="s">
        <v>12449</v>
      </c>
      <c r="L216" s="111"/>
      <c r="M216" s="111"/>
      <c r="N216" s="111"/>
      <c r="O216" s="111"/>
      <c r="P216" s="111"/>
      <c r="Q216" s="111"/>
      <c r="R216" s="111"/>
      <c r="S216" s="111"/>
      <c r="T216" s="111"/>
      <c r="U216" s="111"/>
      <c r="V216" s="111"/>
      <c r="W216" s="111"/>
      <c r="X216" s="111">
        <v>1.0</v>
      </c>
      <c r="Y216" s="111">
        <v>1.0</v>
      </c>
      <c r="Z216" s="111"/>
      <c r="AA216" s="124"/>
      <c r="AB216" s="125"/>
      <c r="AC216" s="126"/>
      <c r="AD216" s="125"/>
      <c r="AE216" s="125" t="str">
        <f t="shared" si="12"/>
        <v/>
      </c>
      <c r="AF216" s="127" t="s">
        <v>12587</v>
      </c>
      <c r="AG216" s="127">
        <v>0.0</v>
      </c>
      <c r="AH216" s="127">
        <v>0.0</v>
      </c>
      <c r="AI216" s="115" t="s">
        <v>12383</v>
      </c>
      <c r="AJ216" s="116">
        <v>0.57</v>
      </c>
      <c r="AK216" s="117"/>
      <c r="AL216" s="117"/>
      <c r="AM216" s="117"/>
      <c r="AN216" s="117"/>
      <c r="AO216" s="117"/>
    </row>
    <row r="217" ht="34.5" customHeight="1">
      <c r="A217" s="111">
        <v>526.0</v>
      </c>
      <c r="B217" s="111" t="s">
        <v>8195</v>
      </c>
      <c r="C217" s="111" t="s">
        <v>7994</v>
      </c>
      <c r="D217" s="111">
        <v>2011.0</v>
      </c>
      <c r="E217" s="111">
        <v>2015.0</v>
      </c>
      <c r="F217" s="111" t="s">
        <v>12418</v>
      </c>
      <c r="G217" s="111" t="s">
        <v>12381</v>
      </c>
      <c r="H217" s="111" t="s">
        <v>12230</v>
      </c>
      <c r="I217" s="111" t="s">
        <v>12419</v>
      </c>
      <c r="J217" s="111"/>
      <c r="K217" s="111" t="s">
        <v>30</v>
      </c>
      <c r="L217" s="111"/>
      <c r="M217" s="111"/>
      <c r="N217" s="111"/>
      <c r="O217" s="111"/>
      <c r="P217" s="111"/>
      <c r="Q217" s="111"/>
      <c r="R217" s="111"/>
      <c r="S217" s="111"/>
      <c r="T217" s="111"/>
      <c r="U217" s="111"/>
      <c r="V217" s="111"/>
      <c r="W217" s="111"/>
      <c r="X217" s="111"/>
      <c r="Y217" s="111"/>
      <c r="Z217" s="111"/>
      <c r="AA217" s="124"/>
      <c r="AB217" s="125"/>
      <c r="AC217" s="126"/>
      <c r="AD217" s="125"/>
      <c r="AE217" s="125" t="str">
        <f t="shared" si="12"/>
        <v/>
      </c>
      <c r="AF217" s="127"/>
      <c r="AG217" s="127">
        <v>0.0</v>
      </c>
      <c r="AH217" s="127">
        <v>0.0</v>
      </c>
      <c r="AI217" s="115" t="s">
        <v>12383</v>
      </c>
      <c r="AJ217" s="116">
        <v>0.57</v>
      </c>
      <c r="AK217" s="117"/>
      <c r="AL217" s="117"/>
      <c r="AM217" s="117"/>
      <c r="AN217" s="117"/>
      <c r="AO217" s="117"/>
    </row>
    <row r="218" ht="34.5" customHeight="1">
      <c r="A218" s="111">
        <v>527.0</v>
      </c>
      <c r="B218" s="111" t="s">
        <v>8196</v>
      </c>
      <c r="C218" s="111" t="s">
        <v>7994</v>
      </c>
      <c r="D218" s="111">
        <v>2014.0</v>
      </c>
      <c r="E218" s="111">
        <v>2015.0</v>
      </c>
      <c r="F218" s="111" t="s">
        <v>12418</v>
      </c>
      <c r="G218" s="111" t="s">
        <v>12224</v>
      </c>
      <c r="H218" s="111"/>
      <c r="I218" s="111" t="s">
        <v>12406</v>
      </c>
      <c r="J218" s="111"/>
      <c r="K218" s="111" t="s">
        <v>12449</v>
      </c>
      <c r="L218" s="111"/>
      <c r="M218" s="111"/>
      <c r="N218" s="111"/>
      <c r="O218" s="111"/>
      <c r="P218" s="111"/>
      <c r="Q218" s="111"/>
      <c r="R218" s="111"/>
      <c r="S218" s="111"/>
      <c r="T218" s="111"/>
      <c r="U218" s="111"/>
      <c r="V218" s="111"/>
      <c r="W218" s="111"/>
      <c r="X218" s="111">
        <v>1.0</v>
      </c>
      <c r="Y218" s="111">
        <v>1.0</v>
      </c>
      <c r="Z218" s="111" t="s">
        <v>12714</v>
      </c>
      <c r="AA218" s="129">
        <f>IF(Projects!$AI218="Electrolysis",
AB218*VLOOKUP(G218,ElectrolysisConvF,3,FALSE),
"")</f>
        <v>0.00644</v>
      </c>
      <c r="AB218" s="125">
        <v>1.4</v>
      </c>
      <c r="AC218" s="126">
        <f t="shared" ref="AC218:AC221" si="25">AB218*H2dens*HoursInYear/10^6</f>
        <v>0.001091496</v>
      </c>
      <c r="AD218" s="125"/>
      <c r="AE218" s="125">
        <f t="shared" si="12"/>
        <v>1.4</v>
      </c>
      <c r="AF218" s="127" t="s">
        <v>12715</v>
      </c>
      <c r="AG218" s="127">
        <v>0.0</v>
      </c>
      <c r="AH218" s="127">
        <v>0.0</v>
      </c>
      <c r="AI218" s="115" t="s">
        <v>12383</v>
      </c>
      <c r="AJ218" s="116">
        <v>0.57</v>
      </c>
      <c r="AK218" s="117"/>
      <c r="AL218" s="117"/>
      <c r="AM218" s="117"/>
      <c r="AN218" s="117"/>
      <c r="AO218" s="117"/>
    </row>
    <row r="219" ht="34.5" customHeight="1">
      <c r="A219" s="111">
        <v>528.0</v>
      </c>
      <c r="B219" s="111" t="s">
        <v>8197</v>
      </c>
      <c r="C219" s="111" t="s">
        <v>7994</v>
      </c>
      <c r="D219" s="111">
        <v>2015.0</v>
      </c>
      <c r="E219" s="111">
        <v>2018.0</v>
      </c>
      <c r="F219" s="111" t="s">
        <v>12418</v>
      </c>
      <c r="G219" s="111" t="s">
        <v>12224</v>
      </c>
      <c r="H219" s="111"/>
      <c r="I219" s="111" t="s">
        <v>12406</v>
      </c>
      <c r="J219" s="111"/>
      <c r="K219" s="111" t="s">
        <v>12449</v>
      </c>
      <c r="L219" s="111"/>
      <c r="M219" s="111"/>
      <c r="N219" s="111"/>
      <c r="O219" s="111"/>
      <c r="P219" s="111"/>
      <c r="Q219" s="111"/>
      <c r="R219" s="111"/>
      <c r="S219" s="111"/>
      <c r="T219" s="111"/>
      <c r="U219" s="111"/>
      <c r="V219" s="111"/>
      <c r="W219" s="111"/>
      <c r="X219" s="111">
        <v>1.0</v>
      </c>
      <c r="Y219" s="111">
        <v>1.0</v>
      </c>
      <c r="Z219" s="111" t="s">
        <v>12716</v>
      </c>
      <c r="AA219" s="124">
        <v>0.25</v>
      </c>
      <c r="AB219" s="125">
        <f>IF(Projects!$AI219="Electrolysis",
AA219/VLOOKUP(G219,ElectrolysisConvF,3,FALSE),
AC219*10^6/(H2dens*HoursInYear))</f>
        <v>54.34782609</v>
      </c>
      <c r="AC219" s="126">
        <f t="shared" si="25"/>
        <v>0.04237173913</v>
      </c>
      <c r="AD219" s="125"/>
      <c r="AE219" s="125">
        <f t="shared" si="12"/>
        <v>54.34782609</v>
      </c>
      <c r="AF219" s="127" t="s">
        <v>12717</v>
      </c>
      <c r="AG219" s="127">
        <v>0.0</v>
      </c>
      <c r="AH219" s="127">
        <v>0.0</v>
      </c>
      <c r="AI219" s="115" t="s">
        <v>12383</v>
      </c>
      <c r="AJ219" s="116">
        <v>0.57</v>
      </c>
      <c r="AK219" s="117"/>
      <c r="AL219" s="117"/>
      <c r="AM219" s="117"/>
      <c r="AN219" s="117"/>
      <c r="AO219" s="117"/>
    </row>
    <row r="220" ht="34.5" customHeight="1">
      <c r="A220" s="111">
        <v>529.0</v>
      </c>
      <c r="B220" s="111" t="s">
        <v>8198</v>
      </c>
      <c r="C220" s="111" t="s">
        <v>7994</v>
      </c>
      <c r="D220" s="111">
        <v>2007.0</v>
      </c>
      <c r="E220" s="111">
        <v>2014.0</v>
      </c>
      <c r="F220" s="111" t="s">
        <v>12418</v>
      </c>
      <c r="G220" s="111" t="s">
        <v>12226</v>
      </c>
      <c r="H220" s="111"/>
      <c r="I220" s="111" t="s">
        <v>12419</v>
      </c>
      <c r="J220" s="111"/>
      <c r="K220" s="111" t="s">
        <v>30</v>
      </c>
      <c r="L220" s="111"/>
      <c r="M220" s="111"/>
      <c r="N220" s="111"/>
      <c r="O220" s="111"/>
      <c r="P220" s="111"/>
      <c r="Q220" s="111"/>
      <c r="R220" s="111">
        <v>1.0</v>
      </c>
      <c r="S220" s="111"/>
      <c r="T220" s="111">
        <v>1.0</v>
      </c>
      <c r="U220" s="111"/>
      <c r="V220" s="111"/>
      <c r="W220" s="111"/>
      <c r="X220" s="111"/>
      <c r="Y220" s="111"/>
      <c r="Z220" s="111" t="s">
        <v>12718</v>
      </c>
      <c r="AA220" s="129">
        <f>IF(Projects!$AI220="Electrolysis",
AB220*VLOOKUP(G220,ElectrolysisConvF,3,FALSE),
"")</f>
        <v>0.0832</v>
      </c>
      <c r="AB220" s="125">
        <v>16.0</v>
      </c>
      <c r="AC220" s="126">
        <f t="shared" si="25"/>
        <v>0.01247424</v>
      </c>
      <c r="AD220" s="125"/>
      <c r="AE220" s="125">
        <f t="shared" si="12"/>
        <v>16</v>
      </c>
      <c r="AF220" s="127" t="s">
        <v>12719</v>
      </c>
      <c r="AG220" s="127">
        <v>0.0</v>
      </c>
      <c r="AH220" s="127">
        <v>0.0</v>
      </c>
      <c r="AI220" s="115" t="s">
        <v>12383</v>
      </c>
      <c r="AJ220" s="116">
        <v>0.57</v>
      </c>
      <c r="AK220" s="117"/>
      <c r="AL220" s="117"/>
      <c r="AM220" s="117"/>
      <c r="AN220" s="117"/>
      <c r="AO220" s="117"/>
    </row>
    <row r="221" ht="34.5" customHeight="1">
      <c r="A221" s="111">
        <v>530.0</v>
      </c>
      <c r="B221" s="111" t="s">
        <v>8199</v>
      </c>
      <c r="C221" s="111" t="s">
        <v>7994</v>
      </c>
      <c r="D221" s="111">
        <v>2022.0</v>
      </c>
      <c r="E221" s="111"/>
      <c r="F221" s="111" t="s">
        <v>12385</v>
      </c>
      <c r="G221" s="111" t="s">
        <v>12224</v>
      </c>
      <c r="H221" s="111"/>
      <c r="I221" s="111" t="s">
        <v>12394</v>
      </c>
      <c r="J221" s="111" t="s">
        <v>12293</v>
      </c>
      <c r="K221" s="111" t="s">
        <v>30</v>
      </c>
      <c r="L221" s="111"/>
      <c r="M221" s="111"/>
      <c r="N221" s="111"/>
      <c r="O221" s="111"/>
      <c r="P221" s="111"/>
      <c r="Q221" s="111">
        <v>1.0</v>
      </c>
      <c r="R221" s="111"/>
      <c r="S221" s="111"/>
      <c r="T221" s="111"/>
      <c r="U221" s="111"/>
      <c r="V221" s="111"/>
      <c r="W221" s="111"/>
      <c r="X221" s="111"/>
      <c r="Y221" s="111"/>
      <c r="Z221" s="111" t="s">
        <v>12720</v>
      </c>
      <c r="AA221" s="124">
        <v>2.0</v>
      </c>
      <c r="AB221" s="125">
        <f>IF(Projects!$AI221="Electrolysis",
AA221/VLOOKUP(G221,ElectrolysisConvF,3,FALSE),
AC221*10^6/(H2dens*HoursInYear))</f>
        <v>434.7826087</v>
      </c>
      <c r="AC221" s="126">
        <f t="shared" si="25"/>
        <v>0.338973913</v>
      </c>
      <c r="AD221" s="125"/>
      <c r="AE221" s="125">
        <f t="shared" si="12"/>
        <v>434.7826087</v>
      </c>
      <c r="AF221" s="127" t="s">
        <v>12721</v>
      </c>
      <c r="AG221" s="127">
        <v>55.6255437</v>
      </c>
      <c r="AH221" s="127">
        <v>12.4550501</v>
      </c>
      <c r="AI221" s="115" t="s">
        <v>12383</v>
      </c>
      <c r="AJ221" s="116">
        <v>0.55</v>
      </c>
      <c r="AK221" s="117"/>
      <c r="AL221" s="117"/>
      <c r="AM221" s="117"/>
      <c r="AN221" s="117"/>
      <c r="AO221" s="117"/>
    </row>
    <row r="222" ht="34.5" customHeight="1">
      <c r="A222" s="111">
        <v>531.0</v>
      </c>
      <c r="B222" s="111" t="s">
        <v>8200</v>
      </c>
      <c r="C222" s="111" t="s">
        <v>7994</v>
      </c>
      <c r="D222" s="111"/>
      <c r="E222" s="111"/>
      <c r="F222" s="111" t="s">
        <v>12287</v>
      </c>
      <c r="G222" s="111" t="s">
        <v>12224</v>
      </c>
      <c r="H222" s="111"/>
      <c r="I222" s="111" t="s">
        <v>12419</v>
      </c>
      <c r="J222" s="111"/>
      <c r="K222" s="111" t="s">
        <v>30</v>
      </c>
      <c r="L222" s="111"/>
      <c r="M222" s="111"/>
      <c r="N222" s="111"/>
      <c r="O222" s="111"/>
      <c r="P222" s="111"/>
      <c r="Q222" s="111">
        <v>1.0</v>
      </c>
      <c r="R222" s="111"/>
      <c r="S222" s="111"/>
      <c r="T222" s="111"/>
      <c r="U222" s="111"/>
      <c r="V222" s="111"/>
      <c r="W222" s="111"/>
      <c r="X222" s="111"/>
      <c r="Y222" s="111"/>
      <c r="Z222" s="111"/>
      <c r="AA222" s="124"/>
      <c r="AB222" s="125"/>
      <c r="AC222" s="126"/>
      <c r="AD222" s="125"/>
      <c r="AE222" s="125" t="str">
        <f t="shared" si="12"/>
        <v/>
      </c>
      <c r="AF222" s="127" t="s">
        <v>12722</v>
      </c>
      <c r="AG222" s="127">
        <v>0.0</v>
      </c>
      <c r="AH222" s="127">
        <v>0.0</v>
      </c>
      <c r="AI222" s="115" t="s">
        <v>12383</v>
      </c>
      <c r="AJ222" s="116">
        <v>0.57</v>
      </c>
      <c r="AK222" s="117"/>
      <c r="AL222" s="117"/>
      <c r="AM222" s="117"/>
      <c r="AN222" s="117"/>
      <c r="AO222" s="117"/>
    </row>
    <row r="223" ht="34.5" customHeight="1">
      <c r="A223" s="111">
        <v>532.0</v>
      </c>
      <c r="B223" s="111" t="s">
        <v>8201</v>
      </c>
      <c r="C223" s="111" t="s">
        <v>7994</v>
      </c>
      <c r="D223" s="111">
        <v>2026.0</v>
      </c>
      <c r="E223" s="111"/>
      <c r="F223" s="111" t="s">
        <v>12397</v>
      </c>
      <c r="G223" s="111" t="s">
        <v>12381</v>
      </c>
      <c r="H223" s="111" t="s">
        <v>12230</v>
      </c>
      <c r="I223" s="111" t="s">
        <v>12394</v>
      </c>
      <c r="J223" s="111" t="s">
        <v>12295</v>
      </c>
      <c r="K223" s="111" t="s">
        <v>174</v>
      </c>
      <c r="L223" s="111"/>
      <c r="M223" s="111">
        <v>1.0</v>
      </c>
      <c r="N223" s="111"/>
      <c r="O223" s="111"/>
      <c r="P223" s="111"/>
      <c r="Q223" s="111">
        <v>1.0</v>
      </c>
      <c r="R223" s="111"/>
      <c r="S223" s="111"/>
      <c r="T223" s="111"/>
      <c r="U223" s="111"/>
      <c r="V223" s="111"/>
      <c r="W223" s="111"/>
      <c r="X223" s="111"/>
      <c r="Y223" s="111"/>
      <c r="Z223" s="111" t="s">
        <v>12723</v>
      </c>
      <c r="AA223" s="124">
        <v>1000.0</v>
      </c>
      <c r="AB223" s="125">
        <f>IF(Projects!$AI223="Electrolysis",
AA223/VLOOKUP(G223,ElectrolysisConvF,3,FALSE),
AC223*10^6/(H2dens*HoursInYear))</f>
        <v>222222.2222</v>
      </c>
      <c r="AC223" s="126">
        <f t="shared" ref="AC223:AC224" si="26">AB223*H2dens*HoursInYear/10^6</f>
        <v>173.2533333</v>
      </c>
      <c r="AD223" s="125"/>
      <c r="AE223" s="125">
        <f t="shared" si="12"/>
        <v>222222.2222</v>
      </c>
      <c r="AF223" s="127" t="s">
        <v>12724</v>
      </c>
      <c r="AG223" s="127">
        <v>55.4768385331629</v>
      </c>
      <c r="AH223" s="127">
        <v>8.46209640920263</v>
      </c>
      <c r="AI223" s="115" t="s">
        <v>12383</v>
      </c>
      <c r="AJ223" s="116">
        <v>0.5</v>
      </c>
      <c r="AK223" s="117"/>
      <c r="AL223" s="117"/>
      <c r="AM223" s="117"/>
      <c r="AN223" s="117"/>
      <c r="AO223" s="117"/>
    </row>
    <row r="224" ht="34.5" customHeight="1">
      <c r="A224" s="111">
        <v>533.0</v>
      </c>
      <c r="B224" s="111" t="s">
        <v>8202</v>
      </c>
      <c r="C224" s="111" t="s">
        <v>7994</v>
      </c>
      <c r="D224" s="111">
        <v>2020.0</v>
      </c>
      <c r="E224" s="111"/>
      <c r="F224" s="111" t="s">
        <v>12385</v>
      </c>
      <c r="G224" s="111" t="s">
        <v>12224</v>
      </c>
      <c r="H224" s="111"/>
      <c r="I224" s="111" t="s">
        <v>12406</v>
      </c>
      <c r="J224" s="111"/>
      <c r="K224" s="111" t="s">
        <v>30</v>
      </c>
      <c r="L224" s="111"/>
      <c r="M224" s="111"/>
      <c r="N224" s="111"/>
      <c r="O224" s="111"/>
      <c r="P224" s="111"/>
      <c r="Q224" s="111">
        <v>1.0</v>
      </c>
      <c r="R224" s="111"/>
      <c r="S224" s="111"/>
      <c r="T224" s="111"/>
      <c r="U224" s="111"/>
      <c r="V224" s="111"/>
      <c r="W224" s="111"/>
      <c r="X224" s="111"/>
      <c r="Y224" s="111"/>
      <c r="Z224" s="111" t="s">
        <v>12725</v>
      </c>
      <c r="AA224" s="124">
        <v>0.25</v>
      </c>
      <c r="AB224" s="125">
        <f>IF(Projects!$AI224="Electrolysis",
AA224/VLOOKUP(G224,ElectrolysisConvF,3,FALSE),
AC224*10^6/(H2dens*HoursInYear))</f>
        <v>54.34782609</v>
      </c>
      <c r="AC224" s="126">
        <f t="shared" si="26"/>
        <v>0.04237173913</v>
      </c>
      <c r="AD224" s="125"/>
      <c r="AE224" s="125">
        <f t="shared" si="12"/>
        <v>54.34782609</v>
      </c>
      <c r="AF224" s="127" t="s">
        <v>12726</v>
      </c>
      <c r="AG224" s="127">
        <v>0.0</v>
      </c>
      <c r="AH224" s="127">
        <v>0.0</v>
      </c>
      <c r="AI224" s="115" t="s">
        <v>12383</v>
      </c>
      <c r="AJ224" s="116">
        <v>0.57</v>
      </c>
      <c r="AK224" s="117"/>
      <c r="AL224" s="117"/>
      <c r="AM224" s="117"/>
      <c r="AN224" s="117"/>
      <c r="AO224" s="117"/>
    </row>
    <row r="225" ht="34.5" customHeight="1">
      <c r="A225" s="111">
        <v>535.0</v>
      </c>
      <c r="B225" s="111" t="s">
        <v>8203</v>
      </c>
      <c r="C225" s="111" t="s">
        <v>7994</v>
      </c>
      <c r="D225" s="111">
        <v>2022.0</v>
      </c>
      <c r="E225" s="111"/>
      <c r="F225" s="111" t="s">
        <v>12418</v>
      </c>
      <c r="G225" s="111" t="s">
        <v>12381</v>
      </c>
      <c r="H225" s="111" t="s">
        <v>12230</v>
      </c>
      <c r="I225" s="111" t="s">
        <v>12406</v>
      </c>
      <c r="J225" s="111"/>
      <c r="K225" s="111" t="s">
        <v>12415</v>
      </c>
      <c r="L225" s="111"/>
      <c r="M225" s="111"/>
      <c r="N225" s="111">
        <v>1.0</v>
      </c>
      <c r="O225" s="111"/>
      <c r="P225" s="111"/>
      <c r="Q225" s="111"/>
      <c r="R225" s="111"/>
      <c r="S225" s="111"/>
      <c r="T225" s="111"/>
      <c r="U225" s="111"/>
      <c r="V225" s="111"/>
      <c r="W225" s="111"/>
      <c r="X225" s="111"/>
      <c r="Y225" s="111"/>
      <c r="Z225" s="111" t="s">
        <v>12727</v>
      </c>
      <c r="AA225" s="129">
        <f>IF(Projects!$AI225="Electrolysis",
AB225*VLOOKUP(G225,ElectrolysisConvF,3,FALSE),
"")</f>
        <v>2.642690146</v>
      </c>
      <c r="AB225" s="125">
        <f>AC225/(H2dens*HoursInYear/10^6)</f>
        <v>587.2644768</v>
      </c>
      <c r="AC225" s="126">
        <f>10*HoursInYear/(10^6*0.191327)</f>
        <v>0.4578548767</v>
      </c>
      <c r="AD225" s="125"/>
      <c r="AE225" s="125">
        <f t="shared" si="12"/>
        <v>587.2644768</v>
      </c>
      <c r="AF225" s="127" t="s">
        <v>12728</v>
      </c>
      <c r="AG225" s="127">
        <v>56.1722054111664</v>
      </c>
      <c r="AH225" s="127">
        <v>10.1571506035716</v>
      </c>
      <c r="AI225" s="115" t="s">
        <v>12383</v>
      </c>
      <c r="AJ225" s="116">
        <v>0.57</v>
      </c>
      <c r="AK225" s="117"/>
      <c r="AL225" s="117"/>
      <c r="AM225" s="117"/>
      <c r="AN225" s="117"/>
      <c r="AO225" s="117"/>
    </row>
    <row r="226" ht="34.5" customHeight="1">
      <c r="A226" s="111">
        <v>536.0</v>
      </c>
      <c r="B226" s="111" t="s">
        <v>8204</v>
      </c>
      <c r="C226" s="111" t="s">
        <v>7994</v>
      </c>
      <c r="D226" s="111">
        <v>2008.0</v>
      </c>
      <c r="E226" s="111">
        <v>2011.0</v>
      </c>
      <c r="F226" s="111" t="s">
        <v>12418</v>
      </c>
      <c r="G226" s="111" t="s">
        <v>12226</v>
      </c>
      <c r="H226" s="111"/>
      <c r="I226" s="111" t="s">
        <v>12419</v>
      </c>
      <c r="J226" s="111"/>
      <c r="K226" s="111" t="s">
        <v>30</v>
      </c>
      <c r="L226" s="111"/>
      <c r="M226" s="111"/>
      <c r="N226" s="111"/>
      <c r="O226" s="111"/>
      <c r="P226" s="111"/>
      <c r="Q226" s="111"/>
      <c r="R226" s="111"/>
      <c r="S226" s="111"/>
      <c r="T226" s="111"/>
      <c r="U226" s="111"/>
      <c r="V226" s="111"/>
      <c r="W226" s="111"/>
      <c r="X226" s="111"/>
      <c r="Y226" s="111"/>
      <c r="Z226" s="111"/>
      <c r="AA226" s="124"/>
      <c r="AB226" s="125"/>
      <c r="AC226" s="126"/>
      <c r="AD226" s="125"/>
      <c r="AE226" s="125" t="str">
        <f t="shared" si="12"/>
        <v/>
      </c>
      <c r="AF226" s="127" t="s">
        <v>12587</v>
      </c>
      <c r="AG226" s="127">
        <v>0.0</v>
      </c>
      <c r="AH226" s="127">
        <v>0.0</v>
      </c>
      <c r="AI226" s="115" t="s">
        <v>12383</v>
      </c>
      <c r="AJ226" s="116">
        <v>0.57</v>
      </c>
      <c r="AK226" s="117"/>
      <c r="AL226" s="117"/>
      <c r="AM226" s="117"/>
      <c r="AN226" s="117"/>
      <c r="AO226" s="117"/>
    </row>
    <row r="227" ht="34.5" customHeight="1">
      <c r="A227" s="111">
        <v>537.0</v>
      </c>
      <c r="B227" s="111" t="s">
        <v>8205</v>
      </c>
      <c r="C227" s="111" t="s">
        <v>7971</v>
      </c>
      <c r="D227" s="111">
        <v>2010.0</v>
      </c>
      <c r="E227" s="111">
        <v>2012.0</v>
      </c>
      <c r="F227" s="111" t="s">
        <v>12418</v>
      </c>
      <c r="G227" s="111" t="s">
        <v>12226</v>
      </c>
      <c r="H227" s="111"/>
      <c r="I227" s="111" t="s">
        <v>12419</v>
      </c>
      <c r="J227" s="111"/>
      <c r="K227" s="111" t="s">
        <v>30</v>
      </c>
      <c r="L227" s="111"/>
      <c r="M227" s="111"/>
      <c r="N227" s="111"/>
      <c r="O227" s="111"/>
      <c r="P227" s="111"/>
      <c r="Q227" s="111"/>
      <c r="R227" s="111"/>
      <c r="S227" s="111"/>
      <c r="T227" s="111"/>
      <c r="U227" s="111"/>
      <c r="V227" s="111"/>
      <c r="W227" s="111"/>
      <c r="X227" s="111"/>
      <c r="Y227" s="111"/>
      <c r="Z227" s="111"/>
      <c r="AA227" s="124"/>
      <c r="AB227" s="125"/>
      <c r="AC227" s="126"/>
      <c r="AD227" s="125"/>
      <c r="AE227" s="125" t="str">
        <f t="shared" si="12"/>
        <v/>
      </c>
      <c r="AF227" s="127" t="s">
        <v>12729</v>
      </c>
      <c r="AG227" s="127">
        <v>0.0</v>
      </c>
      <c r="AH227" s="127">
        <v>0.0</v>
      </c>
      <c r="AI227" s="115" t="s">
        <v>12383</v>
      </c>
      <c r="AJ227" s="116">
        <v>0.57</v>
      </c>
      <c r="AK227" s="117"/>
      <c r="AL227" s="117"/>
      <c r="AM227" s="117"/>
      <c r="AN227" s="117"/>
      <c r="AO227" s="117"/>
    </row>
    <row r="228" ht="34.5" customHeight="1">
      <c r="A228" s="111">
        <v>538.0</v>
      </c>
      <c r="B228" s="111" t="s">
        <v>8206</v>
      </c>
      <c r="C228" s="111" t="s">
        <v>7971</v>
      </c>
      <c r="D228" s="111"/>
      <c r="E228" s="111"/>
      <c r="F228" s="111" t="s">
        <v>12399</v>
      </c>
      <c r="G228" s="111" t="s">
        <v>12224</v>
      </c>
      <c r="H228" s="111"/>
      <c r="I228" s="111" t="s">
        <v>12394</v>
      </c>
      <c r="J228" s="111" t="s">
        <v>12294</v>
      </c>
      <c r="K228" s="111" t="s">
        <v>30</v>
      </c>
      <c r="L228" s="111"/>
      <c r="M228" s="111"/>
      <c r="N228" s="111"/>
      <c r="O228" s="111"/>
      <c r="P228" s="111"/>
      <c r="Q228" s="111">
        <v>1.0</v>
      </c>
      <c r="R228" s="111"/>
      <c r="S228" s="111"/>
      <c r="T228" s="111"/>
      <c r="U228" s="111"/>
      <c r="V228" s="111"/>
      <c r="W228" s="111"/>
      <c r="X228" s="111"/>
      <c r="Y228" s="111"/>
      <c r="Z228" s="111" t="s">
        <v>12720</v>
      </c>
      <c r="AA228" s="124">
        <v>2.0</v>
      </c>
      <c r="AB228" s="125">
        <f>IF(Projects!$AI228="Electrolysis",
AA228/VLOOKUP(G228,ElectrolysisConvF,3,FALSE),
AC228*10^6/(H2dens*HoursInYear))</f>
        <v>434.7826087</v>
      </c>
      <c r="AC228" s="126">
        <f t="shared" ref="AC228:AC231" si="27">AB228*H2dens*HoursInYear/10^6</f>
        <v>0.338973913</v>
      </c>
      <c r="AD228" s="125"/>
      <c r="AE228" s="125">
        <f t="shared" si="12"/>
        <v>434.7826087</v>
      </c>
      <c r="AF228" s="127" t="s">
        <v>12730</v>
      </c>
      <c r="AG228" s="127">
        <v>0.0</v>
      </c>
      <c r="AH228" s="127">
        <v>0.0</v>
      </c>
      <c r="AI228" s="115" t="s">
        <v>12383</v>
      </c>
      <c r="AJ228" s="116">
        <v>0.8</v>
      </c>
      <c r="AK228" s="117"/>
      <c r="AL228" s="117"/>
      <c r="AM228" s="117"/>
      <c r="AN228" s="117"/>
      <c r="AO228" s="117"/>
    </row>
    <row r="229" ht="34.5" customHeight="1">
      <c r="A229" s="111">
        <v>539.0</v>
      </c>
      <c r="B229" s="111" t="s">
        <v>8207</v>
      </c>
      <c r="C229" s="111" t="s">
        <v>7971</v>
      </c>
      <c r="D229" s="111">
        <v>2013.0</v>
      </c>
      <c r="E229" s="111"/>
      <c r="F229" s="111" t="s">
        <v>12385</v>
      </c>
      <c r="G229" s="111" t="s">
        <v>12239</v>
      </c>
      <c r="H229" s="111"/>
      <c r="I229" s="111"/>
      <c r="J229" s="111"/>
      <c r="K229" s="111" t="s">
        <v>30</v>
      </c>
      <c r="L229" s="111"/>
      <c r="M229" s="111"/>
      <c r="N229" s="111"/>
      <c r="O229" s="111"/>
      <c r="P229" s="111"/>
      <c r="Q229" s="111">
        <v>1.0</v>
      </c>
      <c r="R229" s="111">
        <v>1.0</v>
      </c>
      <c r="S229" s="111"/>
      <c r="T229" s="111"/>
      <c r="U229" s="111"/>
      <c r="V229" s="111"/>
      <c r="W229" s="111"/>
      <c r="X229" s="111"/>
      <c r="Y229" s="111"/>
      <c r="Z229" s="111" t="s">
        <v>12731</v>
      </c>
      <c r="AA229" s="124"/>
      <c r="AB229" s="125">
        <v>10.0</v>
      </c>
      <c r="AC229" s="126">
        <f t="shared" si="27"/>
        <v>0.0077964</v>
      </c>
      <c r="AD229" s="125"/>
      <c r="AE229" s="125">
        <f t="shared" si="12"/>
        <v>10</v>
      </c>
      <c r="AF229" s="127"/>
      <c r="AG229" s="127">
        <v>0.0</v>
      </c>
      <c r="AH229" s="127">
        <v>0.0</v>
      </c>
      <c r="AI229" s="115" t="s">
        <v>12241</v>
      </c>
      <c r="AJ229" s="116">
        <v>0.9</v>
      </c>
      <c r="AK229" s="117"/>
      <c r="AL229" s="117"/>
      <c r="AM229" s="117"/>
      <c r="AN229" s="117"/>
      <c r="AO229" s="117"/>
    </row>
    <row r="230" ht="34.5" customHeight="1">
      <c r="A230" s="111">
        <v>540.0</v>
      </c>
      <c r="B230" s="111" t="s">
        <v>8208</v>
      </c>
      <c r="C230" s="111" t="s">
        <v>7971</v>
      </c>
      <c r="D230" s="111">
        <v>2026.0</v>
      </c>
      <c r="E230" s="111"/>
      <c r="F230" s="111" t="s">
        <v>12399</v>
      </c>
      <c r="G230" s="111" t="s">
        <v>12224</v>
      </c>
      <c r="H230" s="111"/>
      <c r="I230" s="111" t="s">
        <v>12394</v>
      </c>
      <c r="J230" s="111" t="s">
        <v>12295</v>
      </c>
      <c r="K230" s="111" t="s">
        <v>30</v>
      </c>
      <c r="L230" s="111"/>
      <c r="M230" s="111"/>
      <c r="N230" s="111"/>
      <c r="O230" s="111">
        <v>1.0</v>
      </c>
      <c r="P230" s="111"/>
      <c r="Q230" s="111"/>
      <c r="R230" s="111"/>
      <c r="S230" s="111"/>
      <c r="T230" s="111"/>
      <c r="U230" s="111"/>
      <c r="V230" s="111"/>
      <c r="W230" s="111"/>
      <c r="X230" s="111"/>
      <c r="Y230" s="111"/>
      <c r="Z230" s="111" t="s">
        <v>12732</v>
      </c>
      <c r="AA230" s="124">
        <v>45.0</v>
      </c>
      <c r="AB230" s="125">
        <f>IF(Projects!$AI230="Electrolysis",
AA230/VLOOKUP(G230,ElectrolysisConvF,3,FALSE),
AC230*10^6/(H2dens*HoursInYear))</f>
        <v>9782.608696</v>
      </c>
      <c r="AC230" s="126">
        <f t="shared" si="27"/>
        <v>7.626913043</v>
      </c>
      <c r="AD230" s="125"/>
      <c r="AE230" s="125">
        <f t="shared" si="12"/>
        <v>9782.608696</v>
      </c>
      <c r="AF230" s="127" t="s">
        <v>12733</v>
      </c>
      <c r="AG230" s="127">
        <v>66.310371</v>
      </c>
      <c r="AH230" s="127">
        <v>14.169271</v>
      </c>
      <c r="AI230" s="115" t="s">
        <v>12383</v>
      </c>
      <c r="AJ230" s="116">
        <v>0.5</v>
      </c>
      <c r="AK230" s="117"/>
      <c r="AL230" s="117"/>
      <c r="AM230" s="117"/>
      <c r="AN230" s="117"/>
      <c r="AO230" s="117"/>
    </row>
    <row r="231" ht="34.5" customHeight="1">
      <c r="A231" s="111">
        <v>541.0</v>
      </c>
      <c r="B231" s="111" t="s">
        <v>8209</v>
      </c>
      <c r="C231" s="111" t="s">
        <v>7971</v>
      </c>
      <c r="D231" s="111">
        <v>2004.0</v>
      </c>
      <c r="E231" s="111">
        <v>2008.0</v>
      </c>
      <c r="F231" s="111" t="s">
        <v>12418</v>
      </c>
      <c r="G231" s="111" t="s">
        <v>12224</v>
      </c>
      <c r="H231" s="111"/>
      <c r="I231" s="111" t="s">
        <v>12419</v>
      </c>
      <c r="J231" s="111"/>
      <c r="K231" s="111" t="s">
        <v>30</v>
      </c>
      <c r="L231" s="111"/>
      <c r="M231" s="111"/>
      <c r="N231" s="111"/>
      <c r="O231" s="111"/>
      <c r="P231" s="111"/>
      <c r="Q231" s="111"/>
      <c r="R231" s="111">
        <v>1.0</v>
      </c>
      <c r="S231" s="111"/>
      <c r="T231" s="111"/>
      <c r="U231" s="111"/>
      <c r="V231" s="111"/>
      <c r="W231" s="111"/>
      <c r="X231" s="111"/>
      <c r="Y231" s="111"/>
      <c r="Z231" s="111" t="s">
        <v>12734</v>
      </c>
      <c r="AA231" s="124">
        <v>0.048</v>
      </c>
      <c r="AB231" s="125">
        <f>IF(Projects!$AI231="Electrolysis",
AA231/VLOOKUP(G231,ElectrolysisConvF,3,FALSE),
AC231*10^6/(H2dens*HoursInYear))</f>
        <v>10.43478261</v>
      </c>
      <c r="AC231" s="126">
        <f t="shared" si="27"/>
        <v>0.008135373913</v>
      </c>
      <c r="AD231" s="125"/>
      <c r="AE231" s="125">
        <f t="shared" si="12"/>
        <v>10.43478261</v>
      </c>
      <c r="AF231" s="127" t="s">
        <v>12735</v>
      </c>
      <c r="AG231" s="127">
        <v>0.0</v>
      </c>
      <c r="AH231" s="127">
        <v>0.0</v>
      </c>
      <c r="AI231" s="115" t="s">
        <v>12383</v>
      </c>
      <c r="AJ231" s="116">
        <v>0.57</v>
      </c>
      <c r="AK231" s="117"/>
      <c r="AL231" s="117"/>
      <c r="AM231" s="117"/>
      <c r="AN231" s="117"/>
      <c r="AO231" s="117"/>
    </row>
    <row r="232" ht="34.5" customHeight="1">
      <c r="A232" s="111">
        <v>543.0</v>
      </c>
      <c r="B232" s="111" t="s">
        <v>8210</v>
      </c>
      <c r="C232" s="111" t="s">
        <v>7991</v>
      </c>
      <c r="D232" s="111">
        <v>2028.0</v>
      </c>
      <c r="E232" s="111"/>
      <c r="F232" s="111" t="s">
        <v>12399</v>
      </c>
      <c r="G232" s="111" t="s">
        <v>12235</v>
      </c>
      <c r="H232" s="111" t="s">
        <v>12529</v>
      </c>
      <c r="I232" s="111"/>
      <c r="J232" s="111"/>
      <c r="K232" s="111" t="s">
        <v>30</v>
      </c>
      <c r="L232" s="111">
        <v>1.0</v>
      </c>
      <c r="M232" s="111"/>
      <c r="N232" s="111"/>
      <c r="O232" s="111"/>
      <c r="P232" s="111">
        <v>1.0</v>
      </c>
      <c r="Q232" s="111"/>
      <c r="R232" s="111"/>
      <c r="S232" s="111">
        <v>1.0</v>
      </c>
      <c r="T232" s="111"/>
      <c r="U232" s="111"/>
      <c r="V232" s="111"/>
      <c r="W232" s="111"/>
      <c r="X232" s="111"/>
      <c r="Y232" s="111"/>
      <c r="Z232" s="111" t="s">
        <v>12736</v>
      </c>
      <c r="AA232" s="124"/>
      <c r="AB232" s="125">
        <f>IF(Projects!$AI232="Electrolysis",
AA232/VLOOKUP(G232,ElectrolysisConvF,3,FALSE),
AC232*10^6/(H2dens*HoursInYear))</f>
        <v>64044.94382</v>
      </c>
      <c r="AC232" s="126">
        <f>200*HoursInYear*0.95*3600/120/10^6</f>
        <v>49.932</v>
      </c>
      <c r="AD232" s="125">
        <v>400000.0</v>
      </c>
      <c r="AE232" s="125">
        <f>IF(AND(G232&lt;&gt;"NG w CCUS",G232&lt;&gt;"Oil w CCUS",G232&lt;&gt;"Coal w CCUS"),AB232,AD232*10^3/(HoursInYear*IF(G232="NG w CCUS",0.9105,1.9075)))</f>
        <v>50150.57711</v>
      </c>
      <c r="AF232" s="127" t="s">
        <v>12737</v>
      </c>
      <c r="AG232" s="127">
        <v>57.1791297504265</v>
      </c>
      <c r="AH232" s="127">
        <v>-2.10165465605737</v>
      </c>
      <c r="AI232" s="115" t="s">
        <v>12378</v>
      </c>
      <c r="AJ232" s="116">
        <v>0.9</v>
      </c>
      <c r="AK232" s="117"/>
      <c r="AL232" s="117"/>
      <c r="AM232" s="117"/>
      <c r="AN232" s="117"/>
      <c r="AO232" s="117"/>
    </row>
    <row r="233" ht="34.5" customHeight="1">
      <c r="A233" s="111">
        <v>544.0</v>
      </c>
      <c r="B233" s="111" t="s">
        <v>8211</v>
      </c>
      <c r="C233" s="111" t="s">
        <v>7971</v>
      </c>
      <c r="D233" s="111">
        <v>2003.0</v>
      </c>
      <c r="E233" s="111">
        <v>2016.0</v>
      </c>
      <c r="F233" s="111" t="s">
        <v>12418</v>
      </c>
      <c r="G233" s="111" t="s">
        <v>12226</v>
      </c>
      <c r="H233" s="111"/>
      <c r="I233" s="111" t="s">
        <v>12287</v>
      </c>
      <c r="J233" s="111"/>
      <c r="K233" s="111" t="s">
        <v>30</v>
      </c>
      <c r="L233" s="111"/>
      <c r="M233" s="111"/>
      <c r="N233" s="111"/>
      <c r="O233" s="111"/>
      <c r="P233" s="111"/>
      <c r="Q233" s="111"/>
      <c r="R233" s="111">
        <v>1.0</v>
      </c>
      <c r="S233" s="111"/>
      <c r="T233" s="111"/>
      <c r="U233" s="111"/>
      <c r="V233" s="111"/>
      <c r="W233" s="111"/>
      <c r="X233" s="111"/>
      <c r="Y233" s="111"/>
      <c r="Z233" s="111" t="s">
        <v>12657</v>
      </c>
      <c r="AA233" s="129">
        <f>IF(Projects!$AI233="Electrolysis",
AB233*VLOOKUP(G233,ElectrolysisConvF,3,FALSE),
"")</f>
        <v>0.00364</v>
      </c>
      <c r="AB233" s="125">
        <v>0.7</v>
      </c>
      <c r="AC233" s="126">
        <f t="shared" ref="AC233:AC237" si="28">AB233*H2dens*HoursInYear/10^6</f>
        <v>0.000545748</v>
      </c>
      <c r="AD233" s="125"/>
      <c r="AE233" s="125">
        <f t="shared" ref="AE233:AE242" si="29">AB233</f>
        <v>0.7</v>
      </c>
      <c r="AF233" s="127" t="s">
        <v>12738</v>
      </c>
      <c r="AG233" s="127">
        <v>0.0</v>
      </c>
      <c r="AH233" s="127">
        <v>0.0</v>
      </c>
      <c r="AI233" s="115" t="s">
        <v>12383</v>
      </c>
      <c r="AJ233" s="116">
        <v>0.57</v>
      </c>
      <c r="AK233" s="117"/>
      <c r="AL233" s="117"/>
      <c r="AM233" s="117"/>
      <c r="AN233" s="117"/>
      <c r="AO233" s="117"/>
    </row>
    <row r="234" ht="34.5" customHeight="1">
      <c r="A234" s="111">
        <v>548.0</v>
      </c>
      <c r="B234" s="111" t="s">
        <v>8212</v>
      </c>
      <c r="C234" s="111" t="s">
        <v>7971</v>
      </c>
      <c r="D234" s="111">
        <v>2024.0</v>
      </c>
      <c r="E234" s="111"/>
      <c r="F234" s="111" t="s">
        <v>12385</v>
      </c>
      <c r="G234" s="111" t="s">
        <v>12226</v>
      </c>
      <c r="H234" s="111"/>
      <c r="I234" s="111" t="s">
        <v>12406</v>
      </c>
      <c r="J234" s="111"/>
      <c r="K234" s="111" t="s">
        <v>174</v>
      </c>
      <c r="L234" s="111"/>
      <c r="M234" s="111">
        <v>1.0</v>
      </c>
      <c r="N234" s="111"/>
      <c r="O234" s="111"/>
      <c r="P234" s="111"/>
      <c r="Q234" s="111"/>
      <c r="R234" s="111"/>
      <c r="S234" s="111"/>
      <c r="T234" s="111"/>
      <c r="U234" s="111"/>
      <c r="V234" s="111"/>
      <c r="W234" s="111"/>
      <c r="X234" s="111"/>
      <c r="Y234" s="111"/>
      <c r="Z234" s="111" t="s">
        <v>12739</v>
      </c>
      <c r="AA234" s="124">
        <v>24.0</v>
      </c>
      <c r="AB234" s="125">
        <f>IF(Projects!$AI234="Electrolysis",
AA234/VLOOKUP(G234,ElectrolysisConvF,3,FALSE),
AC234*10^6/(H2dens*HoursInYear))</f>
        <v>4615.384615</v>
      </c>
      <c r="AC234" s="126">
        <f t="shared" si="28"/>
        <v>3.598338462</v>
      </c>
      <c r="AD234" s="125"/>
      <c r="AE234" s="125">
        <f t="shared" si="29"/>
        <v>4615.384615</v>
      </c>
      <c r="AF234" s="127" t="s">
        <v>12740</v>
      </c>
      <c r="AG234" s="127">
        <v>59.1399087577647</v>
      </c>
      <c r="AH234" s="127">
        <v>9.65477682192782</v>
      </c>
      <c r="AI234" s="115" t="s">
        <v>12383</v>
      </c>
      <c r="AJ234" s="116">
        <v>0.57</v>
      </c>
      <c r="AK234" s="117"/>
      <c r="AL234" s="117"/>
      <c r="AM234" s="117"/>
      <c r="AN234" s="117"/>
      <c r="AO234" s="117"/>
    </row>
    <row r="235" ht="34.5" customHeight="1">
      <c r="A235" s="111">
        <v>552.0</v>
      </c>
      <c r="B235" s="111" t="s">
        <v>8213</v>
      </c>
      <c r="C235" s="111" t="s">
        <v>7991</v>
      </c>
      <c r="D235" s="111">
        <v>2025.0</v>
      </c>
      <c r="E235" s="111"/>
      <c r="F235" s="111" t="s">
        <v>12287</v>
      </c>
      <c r="G235" s="111" t="s">
        <v>12226</v>
      </c>
      <c r="H235" s="111"/>
      <c r="I235" s="111" t="s">
        <v>12394</v>
      </c>
      <c r="J235" s="111" t="s">
        <v>12293</v>
      </c>
      <c r="K235" s="111" t="s">
        <v>30</v>
      </c>
      <c r="L235" s="111">
        <v>1.0</v>
      </c>
      <c r="M235" s="111"/>
      <c r="N235" s="111"/>
      <c r="O235" s="111"/>
      <c r="P235" s="111"/>
      <c r="Q235" s="111"/>
      <c r="R235" s="111"/>
      <c r="S235" s="111"/>
      <c r="T235" s="111"/>
      <c r="U235" s="111"/>
      <c r="V235" s="111"/>
      <c r="W235" s="111"/>
      <c r="X235" s="111"/>
      <c r="Y235" s="111"/>
      <c r="Z235" s="111" t="s">
        <v>12709</v>
      </c>
      <c r="AA235" s="124">
        <v>100.0</v>
      </c>
      <c r="AB235" s="125">
        <f>IF(Projects!$AI235="Electrolysis",
AA235/VLOOKUP(G235,ElectrolysisConvF,3,FALSE),
AC235*10^6/(H2dens*HoursInYear))</f>
        <v>19230.76923</v>
      </c>
      <c r="AC235" s="126">
        <f t="shared" si="28"/>
        <v>14.99307692</v>
      </c>
      <c r="AD235" s="125"/>
      <c r="AE235" s="125">
        <f t="shared" si="29"/>
        <v>19230.76923</v>
      </c>
      <c r="AF235" s="127" t="s">
        <v>12741</v>
      </c>
      <c r="AG235" s="127">
        <v>53.627311</v>
      </c>
      <c r="AH235" s="127">
        <v>-0.241579</v>
      </c>
      <c r="AI235" s="115" t="s">
        <v>12383</v>
      </c>
      <c r="AJ235" s="116">
        <v>0.55</v>
      </c>
      <c r="AK235" s="117"/>
      <c r="AL235" s="117"/>
      <c r="AM235" s="117"/>
      <c r="AN235" s="117"/>
      <c r="AO235" s="117"/>
    </row>
    <row r="236" ht="34.5" customHeight="1">
      <c r="A236" s="111">
        <v>553.0</v>
      </c>
      <c r="B236" s="111" t="s">
        <v>8214</v>
      </c>
      <c r="C236" s="111" t="s">
        <v>7991</v>
      </c>
      <c r="D236" s="111">
        <v>2010.0</v>
      </c>
      <c r="E236" s="111">
        <v>2014.0</v>
      </c>
      <c r="F236" s="111" t="s">
        <v>12418</v>
      </c>
      <c r="G236" s="111" t="s">
        <v>12224</v>
      </c>
      <c r="H236" s="111"/>
      <c r="I236" s="111" t="s">
        <v>12419</v>
      </c>
      <c r="J236" s="111"/>
      <c r="K236" s="111" t="s">
        <v>30</v>
      </c>
      <c r="L236" s="111"/>
      <c r="M236" s="111"/>
      <c r="N236" s="111"/>
      <c r="O236" s="111"/>
      <c r="P236" s="111"/>
      <c r="Q236" s="111"/>
      <c r="R236" s="111">
        <v>1.0</v>
      </c>
      <c r="S236" s="111"/>
      <c r="T236" s="111"/>
      <c r="U236" s="111">
        <v>1.0</v>
      </c>
      <c r="V236" s="111"/>
      <c r="W236" s="111"/>
      <c r="X236" s="111"/>
      <c r="Y236" s="111"/>
      <c r="Z236" s="111" t="s">
        <v>12742</v>
      </c>
      <c r="AA236" s="129">
        <f>IF(Projects!$AI236="Electrolysis",
AB236*VLOOKUP(G236,ElectrolysisConvF,3,FALSE),
"")</f>
        <v>0.02438</v>
      </c>
      <c r="AB236" s="125">
        <v>5.3</v>
      </c>
      <c r="AC236" s="126">
        <f t="shared" si="28"/>
        <v>0.004132092</v>
      </c>
      <c r="AD236" s="125"/>
      <c r="AE236" s="125">
        <f t="shared" si="29"/>
        <v>5.3</v>
      </c>
      <c r="AF236" s="127" t="s">
        <v>12743</v>
      </c>
      <c r="AG236" s="127">
        <v>0.0</v>
      </c>
      <c r="AH236" s="127">
        <v>0.0</v>
      </c>
      <c r="AI236" s="115" t="s">
        <v>12383</v>
      </c>
      <c r="AJ236" s="116">
        <v>0.57</v>
      </c>
      <c r="AK236" s="117"/>
      <c r="AL236" s="117"/>
      <c r="AM236" s="117"/>
      <c r="AN236" s="117"/>
      <c r="AO236" s="117"/>
    </row>
    <row r="237" ht="34.5" customHeight="1">
      <c r="A237" s="111">
        <v>554.0</v>
      </c>
      <c r="B237" s="111" t="s">
        <v>8215</v>
      </c>
      <c r="C237" s="111" t="s">
        <v>7991</v>
      </c>
      <c r="D237" s="111">
        <v>2011.0</v>
      </c>
      <c r="E237" s="111">
        <v>2014.0</v>
      </c>
      <c r="F237" s="111" t="s">
        <v>12418</v>
      </c>
      <c r="G237" s="111" t="s">
        <v>12224</v>
      </c>
      <c r="H237" s="111"/>
      <c r="I237" s="111" t="s">
        <v>12419</v>
      </c>
      <c r="J237" s="111"/>
      <c r="K237" s="111" t="s">
        <v>30</v>
      </c>
      <c r="L237" s="111"/>
      <c r="M237" s="111"/>
      <c r="N237" s="111"/>
      <c r="O237" s="111"/>
      <c r="P237" s="111"/>
      <c r="Q237" s="111">
        <v>1.0</v>
      </c>
      <c r="R237" s="111">
        <v>1.0</v>
      </c>
      <c r="S237" s="111"/>
      <c r="T237" s="111"/>
      <c r="U237" s="111"/>
      <c r="V237" s="111"/>
      <c r="W237" s="111"/>
      <c r="X237" s="111"/>
      <c r="Y237" s="111"/>
      <c r="Z237" s="111" t="s">
        <v>12648</v>
      </c>
      <c r="AA237" s="124">
        <v>0.005</v>
      </c>
      <c r="AB237" s="125">
        <f>IF(Projects!$AI237="Electrolysis",
AA237/VLOOKUP(G237,ElectrolysisConvF,3,FALSE),
AC237*10^6/(H2dens*HoursInYear))</f>
        <v>1.086956522</v>
      </c>
      <c r="AC237" s="126">
        <f t="shared" si="28"/>
        <v>0.0008474347826</v>
      </c>
      <c r="AD237" s="125"/>
      <c r="AE237" s="125">
        <f t="shared" si="29"/>
        <v>1.086956522</v>
      </c>
      <c r="AF237" s="127" t="s">
        <v>12744</v>
      </c>
      <c r="AG237" s="127">
        <v>0.0</v>
      </c>
      <c r="AH237" s="127">
        <v>0.0</v>
      </c>
      <c r="AI237" s="115" t="s">
        <v>12383</v>
      </c>
      <c r="AJ237" s="116">
        <v>0.57</v>
      </c>
      <c r="AK237" s="117"/>
      <c r="AL237" s="117"/>
      <c r="AM237" s="117"/>
      <c r="AN237" s="117"/>
      <c r="AO237" s="117"/>
    </row>
    <row r="238" ht="34.5" customHeight="1">
      <c r="A238" s="111">
        <v>555.0</v>
      </c>
      <c r="B238" s="111" t="s">
        <v>8216</v>
      </c>
      <c r="C238" s="111" t="s">
        <v>7991</v>
      </c>
      <c r="D238" s="111">
        <v>2012.0</v>
      </c>
      <c r="E238" s="111">
        <v>2013.0</v>
      </c>
      <c r="F238" s="111" t="s">
        <v>12418</v>
      </c>
      <c r="G238" s="111" t="s">
        <v>12381</v>
      </c>
      <c r="H238" s="111" t="s">
        <v>12230</v>
      </c>
      <c r="I238" s="111" t="s">
        <v>12419</v>
      </c>
      <c r="J238" s="111"/>
      <c r="K238" s="111" t="s">
        <v>12251</v>
      </c>
      <c r="L238" s="111"/>
      <c r="M238" s="111"/>
      <c r="N238" s="111"/>
      <c r="O238" s="111"/>
      <c r="P238" s="111"/>
      <c r="Q238" s="111"/>
      <c r="R238" s="111"/>
      <c r="S238" s="111"/>
      <c r="T238" s="111"/>
      <c r="U238" s="111"/>
      <c r="V238" s="111"/>
      <c r="W238" s="111">
        <v>1.0</v>
      </c>
      <c r="X238" s="111"/>
      <c r="Y238" s="111"/>
      <c r="Z238" s="111"/>
      <c r="AA238" s="124"/>
      <c r="AB238" s="125"/>
      <c r="AC238" s="126"/>
      <c r="AD238" s="125"/>
      <c r="AE238" s="125" t="str">
        <f t="shared" si="29"/>
        <v/>
      </c>
      <c r="AF238" s="127" t="s">
        <v>12745</v>
      </c>
      <c r="AG238" s="127">
        <v>0.0</v>
      </c>
      <c r="AH238" s="127">
        <v>0.0</v>
      </c>
      <c r="AI238" s="115" t="s">
        <v>12383</v>
      </c>
      <c r="AJ238" s="116">
        <v>0.57</v>
      </c>
      <c r="AK238" s="117"/>
      <c r="AL238" s="117"/>
      <c r="AM238" s="117"/>
      <c r="AN238" s="117"/>
      <c r="AO238" s="117"/>
    </row>
    <row r="239" ht="34.5" customHeight="1">
      <c r="A239" s="111">
        <v>556.0</v>
      </c>
      <c r="B239" s="111" t="s">
        <v>8217</v>
      </c>
      <c r="C239" s="111" t="s">
        <v>7991</v>
      </c>
      <c r="D239" s="111">
        <v>2015.0</v>
      </c>
      <c r="E239" s="111">
        <v>2018.0</v>
      </c>
      <c r="F239" s="111" t="s">
        <v>12418</v>
      </c>
      <c r="G239" s="111" t="s">
        <v>12224</v>
      </c>
      <c r="H239" s="111"/>
      <c r="I239" s="111" t="s">
        <v>12287</v>
      </c>
      <c r="J239" s="111"/>
      <c r="K239" s="111" t="s">
        <v>30</v>
      </c>
      <c r="L239" s="111"/>
      <c r="M239" s="111"/>
      <c r="N239" s="111"/>
      <c r="O239" s="111"/>
      <c r="P239" s="111"/>
      <c r="Q239" s="111">
        <v>1.0</v>
      </c>
      <c r="R239" s="111"/>
      <c r="S239" s="111"/>
      <c r="T239" s="111"/>
      <c r="U239" s="111"/>
      <c r="V239" s="111"/>
      <c r="W239" s="111"/>
      <c r="X239" s="111"/>
      <c r="Y239" s="111"/>
      <c r="Z239" s="111" t="s">
        <v>12746</v>
      </c>
      <c r="AA239" s="124">
        <v>1.0</v>
      </c>
      <c r="AB239" s="125">
        <f>IF(Projects!$AI239="Electrolysis",
AA239/VLOOKUP(G239,ElectrolysisConvF,3,FALSE),
AC239*10^6/(H2dens*HoursInYear))</f>
        <v>217.3913043</v>
      </c>
      <c r="AC239" s="126">
        <f t="shared" ref="AC239:AC242" si="30">AB239*H2dens*HoursInYear/10^6</f>
        <v>0.1694869565</v>
      </c>
      <c r="AD239" s="125"/>
      <c r="AE239" s="125">
        <f t="shared" si="29"/>
        <v>217.3913043</v>
      </c>
      <c r="AF239" s="127" t="s">
        <v>12747</v>
      </c>
      <c r="AG239" s="127">
        <v>57.1605931776635</v>
      </c>
      <c r="AH239" s="127">
        <v>-2.11435923358071</v>
      </c>
      <c r="AI239" s="115" t="s">
        <v>12383</v>
      </c>
      <c r="AJ239" s="116">
        <v>0.57</v>
      </c>
      <c r="AK239" s="117"/>
      <c r="AL239" s="117"/>
      <c r="AM239" s="117"/>
      <c r="AN239" s="117"/>
      <c r="AO239" s="117"/>
    </row>
    <row r="240" ht="34.5" customHeight="1">
      <c r="A240" s="111">
        <v>557.0</v>
      </c>
      <c r="B240" s="111" t="s">
        <v>8218</v>
      </c>
      <c r="C240" s="111" t="s">
        <v>7991</v>
      </c>
      <c r="D240" s="111">
        <v>2016.0</v>
      </c>
      <c r="E240" s="111"/>
      <c r="F240" s="111" t="s">
        <v>12385</v>
      </c>
      <c r="G240" s="111" t="s">
        <v>12381</v>
      </c>
      <c r="H240" s="111" t="s">
        <v>12230</v>
      </c>
      <c r="I240" s="111" t="s">
        <v>12394</v>
      </c>
      <c r="J240" s="111" t="s">
        <v>12292</v>
      </c>
      <c r="K240" s="111" t="s">
        <v>30</v>
      </c>
      <c r="L240" s="111"/>
      <c r="M240" s="111"/>
      <c r="N240" s="111"/>
      <c r="O240" s="111"/>
      <c r="P240" s="111"/>
      <c r="Q240" s="111">
        <v>1.0</v>
      </c>
      <c r="R240" s="111">
        <v>1.0</v>
      </c>
      <c r="S240" s="111"/>
      <c r="T240" s="111"/>
      <c r="U240" s="111"/>
      <c r="V240" s="111"/>
      <c r="W240" s="111"/>
      <c r="X240" s="111"/>
      <c r="Y240" s="111"/>
      <c r="Z240" s="111" t="s">
        <v>12748</v>
      </c>
      <c r="AA240" s="124">
        <v>0.37</v>
      </c>
      <c r="AB240" s="125">
        <f>IF(Projects!$AI240="Electrolysis",
AA240/VLOOKUP(G240,ElectrolysisConvF,3,FALSE),
AC240*10^6/(H2dens*HoursInYear))</f>
        <v>82.22222222</v>
      </c>
      <c r="AC240" s="126">
        <f t="shared" si="30"/>
        <v>0.06410373333</v>
      </c>
      <c r="AD240" s="125"/>
      <c r="AE240" s="125">
        <f t="shared" si="29"/>
        <v>82.22222222</v>
      </c>
      <c r="AF240" s="127" t="s">
        <v>12749</v>
      </c>
      <c r="AG240" s="127">
        <v>56.1769692520123</v>
      </c>
      <c r="AH240" s="127">
        <v>-3.01742926288249</v>
      </c>
      <c r="AI240" s="115" t="s">
        <v>12383</v>
      </c>
      <c r="AJ240" s="116">
        <v>0.4</v>
      </c>
      <c r="AK240" s="117"/>
      <c r="AL240" s="117"/>
      <c r="AM240" s="117"/>
      <c r="AN240" s="117"/>
      <c r="AO240" s="117"/>
    </row>
    <row r="241" ht="34.5" customHeight="1">
      <c r="A241" s="111">
        <v>558.0</v>
      </c>
      <c r="B241" s="111" t="s">
        <v>8219</v>
      </c>
      <c r="C241" s="111" t="s">
        <v>7991</v>
      </c>
      <c r="D241" s="111">
        <v>2005.0</v>
      </c>
      <c r="E241" s="111"/>
      <c r="F241" s="111" t="s">
        <v>12385</v>
      </c>
      <c r="G241" s="111" t="s">
        <v>12224</v>
      </c>
      <c r="H241" s="111"/>
      <c r="I241" s="111" t="s">
        <v>12419</v>
      </c>
      <c r="J241" s="111"/>
      <c r="K241" s="111" t="s">
        <v>30</v>
      </c>
      <c r="L241" s="111"/>
      <c r="M241" s="111"/>
      <c r="N241" s="111"/>
      <c r="O241" s="111"/>
      <c r="P241" s="111"/>
      <c r="Q241" s="111">
        <v>1.0</v>
      </c>
      <c r="R241" s="111">
        <v>1.0</v>
      </c>
      <c r="S241" s="111"/>
      <c r="T241" s="111">
        <v>1.0</v>
      </c>
      <c r="U241" s="111"/>
      <c r="V241" s="111"/>
      <c r="W241" s="111"/>
      <c r="X241" s="111"/>
      <c r="Y241" s="111"/>
      <c r="Z241" s="111" t="s">
        <v>12750</v>
      </c>
      <c r="AA241" s="124">
        <v>0.015</v>
      </c>
      <c r="AB241" s="125">
        <f>IF(Projects!$AI241="Electrolysis",
AA241/VLOOKUP(G241,ElectrolysisConvF,3,FALSE),
AC241*10^6/(H2dens*HoursInYear))</f>
        <v>3.260869565</v>
      </c>
      <c r="AC241" s="126">
        <f t="shared" si="30"/>
        <v>0.002542304348</v>
      </c>
      <c r="AD241" s="125"/>
      <c r="AE241" s="125">
        <f t="shared" si="29"/>
        <v>3.260869565</v>
      </c>
      <c r="AF241" s="127" t="s">
        <v>12751</v>
      </c>
      <c r="AG241" s="127">
        <v>0.0</v>
      </c>
      <c r="AH241" s="127">
        <v>0.0</v>
      </c>
      <c r="AI241" s="115" t="s">
        <v>12383</v>
      </c>
      <c r="AJ241" s="116">
        <v>0.57</v>
      </c>
      <c r="AK241" s="117"/>
      <c r="AL241" s="117"/>
      <c r="AM241" s="117"/>
      <c r="AN241" s="117"/>
      <c r="AO241" s="117"/>
    </row>
    <row r="242" ht="34.5" customHeight="1">
      <c r="A242" s="111">
        <v>559.0</v>
      </c>
      <c r="B242" s="111" t="s">
        <v>8220</v>
      </c>
      <c r="C242" s="111" t="s">
        <v>7991</v>
      </c>
      <c r="D242" s="111">
        <v>2021.0</v>
      </c>
      <c r="E242" s="111"/>
      <c r="F242" s="111" t="s">
        <v>12385</v>
      </c>
      <c r="G242" s="111" t="s">
        <v>12226</v>
      </c>
      <c r="H242" s="111"/>
      <c r="I242" s="111" t="s">
        <v>12394</v>
      </c>
      <c r="J242" s="111" t="s">
        <v>12295</v>
      </c>
      <c r="K242" s="111" t="s">
        <v>30</v>
      </c>
      <c r="L242" s="111"/>
      <c r="M242" s="111"/>
      <c r="N242" s="111"/>
      <c r="O242" s="111"/>
      <c r="P242" s="111"/>
      <c r="Q242" s="111">
        <v>1.0</v>
      </c>
      <c r="R242" s="111"/>
      <c r="S242" s="111"/>
      <c r="T242" s="111"/>
      <c r="U242" s="111"/>
      <c r="V242" s="111"/>
      <c r="W242" s="111"/>
      <c r="X242" s="111"/>
      <c r="Y242" s="111"/>
      <c r="Z242" s="111" t="s">
        <v>12752</v>
      </c>
      <c r="AA242" s="124">
        <v>3.0</v>
      </c>
      <c r="AB242" s="125">
        <f>IF(Projects!$AI242="Electrolysis",
AA242/VLOOKUP(G242,ElectrolysisConvF,3,FALSE),
AC242*10^6/(H2dens*HoursInYear))</f>
        <v>576.9230769</v>
      </c>
      <c r="AC242" s="126">
        <f t="shared" si="30"/>
        <v>0.4497923077</v>
      </c>
      <c r="AD242" s="125"/>
      <c r="AE242" s="125">
        <f t="shared" si="29"/>
        <v>576.9230769</v>
      </c>
      <c r="AF242" s="127" t="s">
        <v>12753</v>
      </c>
      <c r="AG242" s="127">
        <v>52.4624162755625</v>
      </c>
      <c r="AH242" s="127">
        <v>-1.8405931</v>
      </c>
      <c r="AI242" s="115" t="s">
        <v>12383</v>
      </c>
      <c r="AJ242" s="116">
        <v>0.5</v>
      </c>
      <c r="AK242" s="117"/>
      <c r="AL242" s="117"/>
      <c r="AM242" s="117"/>
      <c r="AN242" s="117"/>
      <c r="AO242" s="117"/>
    </row>
    <row r="243" ht="34.5" customHeight="1">
      <c r="A243" s="111">
        <v>562.0</v>
      </c>
      <c r="B243" s="111" t="s">
        <v>8221</v>
      </c>
      <c r="C243" s="111" t="s">
        <v>7991</v>
      </c>
      <c r="D243" s="111">
        <v>2028.0</v>
      </c>
      <c r="E243" s="111"/>
      <c r="F243" s="111" t="s">
        <v>12399</v>
      </c>
      <c r="G243" s="111" t="s">
        <v>12235</v>
      </c>
      <c r="H243" s="111" t="s">
        <v>12529</v>
      </c>
      <c r="I243" s="111"/>
      <c r="J243" s="111"/>
      <c r="K243" s="111" t="s">
        <v>30</v>
      </c>
      <c r="L243" s="111"/>
      <c r="M243" s="111"/>
      <c r="N243" s="111"/>
      <c r="O243" s="111"/>
      <c r="P243" s="111">
        <v>1.0</v>
      </c>
      <c r="Q243" s="111"/>
      <c r="R243" s="111">
        <v>1.0</v>
      </c>
      <c r="S243" s="111">
        <v>1.0</v>
      </c>
      <c r="T243" s="111"/>
      <c r="U243" s="111"/>
      <c r="V243" s="111"/>
      <c r="W243" s="111"/>
      <c r="X243" s="111"/>
      <c r="Y243" s="111"/>
      <c r="Z243" s="111" t="s">
        <v>12754</v>
      </c>
      <c r="AA243" s="124"/>
      <c r="AB243" s="125">
        <f>IF(Projects!$AI243="Electrolysis",
AA243/VLOOKUP(G243,ElectrolysisConvF,3,FALSE),
AC243*10^6/(H2dens*HoursInYear))</f>
        <v>192134.8315</v>
      </c>
      <c r="AC243" s="126">
        <f>600*HoursInYear*0.95*3600/120/10^6</f>
        <v>149.796</v>
      </c>
      <c r="AD243" s="125">
        <v>890000.0</v>
      </c>
      <c r="AE243" s="125">
        <f>IF(AND(G243&lt;&gt;"NG w CCUS",G243&lt;&gt;"Oil w CCUS",G243&lt;&gt;"Coal w CCUS"),AB243,AD243*10^3/(HoursInYear*IF(G243="NG w CCUS",0.9105,1.9075)))</f>
        <v>111585.0341</v>
      </c>
      <c r="AF243" s="127" t="s">
        <v>12755</v>
      </c>
      <c r="AG243" s="127">
        <v>53.743618917531</v>
      </c>
      <c r="AH243" s="127">
        <v>-0.249534750460349</v>
      </c>
      <c r="AI243" s="115" t="s">
        <v>12378</v>
      </c>
      <c r="AJ243" s="116">
        <v>0.9</v>
      </c>
      <c r="AK243" s="117"/>
      <c r="AL243" s="117"/>
      <c r="AM243" s="117"/>
      <c r="AN243" s="117"/>
      <c r="AO243" s="117"/>
    </row>
    <row r="244" ht="34.5" customHeight="1">
      <c r="A244" s="111">
        <v>563.0</v>
      </c>
      <c r="B244" s="111" t="s">
        <v>8222</v>
      </c>
      <c r="C244" s="111" t="s">
        <v>7994</v>
      </c>
      <c r="D244" s="111">
        <v>2027.0</v>
      </c>
      <c r="E244" s="111"/>
      <c r="F244" s="111" t="s">
        <v>12399</v>
      </c>
      <c r="G244" s="111" t="s">
        <v>12381</v>
      </c>
      <c r="H244" s="111" t="s">
        <v>12230</v>
      </c>
      <c r="I244" s="111" t="s">
        <v>12394</v>
      </c>
      <c r="J244" s="111" t="s">
        <v>12295</v>
      </c>
      <c r="K244" s="111" t="s">
        <v>12481</v>
      </c>
      <c r="L244" s="111"/>
      <c r="M244" s="111"/>
      <c r="N244" s="111"/>
      <c r="O244" s="111"/>
      <c r="P244" s="111">
        <v>1.0</v>
      </c>
      <c r="Q244" s="111">
        <v>1.0</v>
      </c>
      <c r="R244" s="111"/>
      <c r="S244" s="111"/>
      <c r="T244" s="111"/>
      <c r="U244" s="111"/>
      <c r="V244" s="111"/>
      <c r="W244" s="111">
        <v>1.0</v>
      </c>
      <c r="X244" s="111"/>
      <c r="Y244" s="111"/>
      <c r="Z244" s="111" t="s">
        <v>12756</v>
      </c>
      <c r="AA244" s="124">
        <v>240.0</v>
      </c>
      <c r="AB244" s="125">
        <f>IF(Projects!$AI244="Electrolysis",
AA244/VLOOKUP(G244,ElectrolysisConvF,3,FALSE),
AC244*10^6/(H2dens*HoursInYear))</f>
        <v>53333.33333</v>
      </c>
      <c r="AC244" s="126">
        <f t="shared" ref="AC244:AC255" si="31">AB244*H2dens*HoursInYear/10^6</f>
        <v>41.5808</v>
      </c>
      <c r="AD244" s="125"/>
      <c r="AE244" s="125">
        <f t="shared" ref="AE244:AE247" si="32">AB244</f>
        <v>53333.33333</v>
      </c>
      <c r="AF244" s="127" t="s">
        <v>12757</v>
      </c>
      <c r="AG244" s="127">
        <v>55.6759871279749</v>
      </c>
      <c r="AH244" s="127">
        <v>12.5703295648344</v>
      </c>
      <c r="AI244" s="115" t="s">
        <v>12383</v>
      </c>
      <c r="AJ244" s="116">
        <v>0.5</v>
      </c>
      <c r="AK244" s="117"/>
      <c r="AL244" s="117"/>
      <c r="AM244" s="117"/>
      <c r="AN244" s="117"/>
      <c r="AO244" s="117"/>
    </row>
    <row r="245" ht="34.5" customHeight="1">
      <c r="A245" s="111">
        <v>565.0</v>
      </c>
      <c r="B245" s="111" t="s">
        <v>8223</v>
      </c>
      <c r="C245" s="111" t="s">
        <v>7994</v>
      </c>
      <c r="D245" s="111">
        <v>2030.0</v>
      </c>
      <c r="E245" s="111"/>
      <c r="F245" s="111" t="s">
        <v>12399</v>
      </c>
      <c r="G245" s="111" t="s">
        <v>12381</v>
      </c>
      <c r="H245" s="111" t="s">
        <v>12230</v>
      </c>
      <c r="I245" s="111" t="s">
        <v>12394</v>
      </c>
      <c r="J245" s="111" t="s">
        <v>12295</v>
      </c>
      <c r="K245" s="111" t="s">
        <v>12481</v>
      </c>
      <c r="L245" s="111"/>
      <c r="M245" s="111"/>
      <c r="N245" s="111"/>
      <c r="O245" s="111"/>
      <c r="P245" s="111">
        <v>1.0</v>
      </c>
      <c r="Q245" s="111">
        <v>1.0</v>
      </c>
      <c r="R245" s="111"/>
      <c r="S245" s="111"/>
      <c r="T245" s="111"/>
      <c r="U245" s="111"/>
      <c r="V245" s="111"/>
      <c r="W245" s="111">
        <v>1.0</v>
      </c>
      <c r="X245" s="111"/>
      <c r="Y245" s="111"/>
      <c r="Z245" s="111" t="s">
        <v>12758</v>
      </c>
      <c r="AA245" s="124">
        <f>1300-250</f>
        <v>1050</v>
      </c>
      <c r="AB245" s="125">
        <f>IF(Projects!$AI245="Electrolysis",
AA245/VLOOKUP(G245,ElectrolysisConvF,3,FALSE),
AC245*10^6/(H2dens*HoursInYear))</f>
        <v>233333.3333</v>
      </c>
      <c r="AC245" s="126">
        <f t="shared" si="31"/>
        <v>181.916</v>
      </c>
      <c r="AD245" s="125"/>
      <c r="AE245" s="125">
        <f t="shared" si="32"/>
        <v>233333.3333</v>
      </c>
      <c r="AF245" s="127" t="s">
        <v>12704</v>
      </c>
      <c r="AG245" s="127">
        <v>55.6759871279749</v>
      </c>
      <c r="AH245" s="127">
        <v>12.5703295648344</v>
      </c>
      <c r="AI245" s="115" t="s">
        <v>12383</v>
      </c>
      <c r="AJ245" s="116">
        <v>0.5</v>
      </c>
      <c r="AK245" s="117"/>
      <c r="AL245" s="117"/>
      <c r="AM245" s="117"/>
      <c r="AN245" s="117"/>
      <c r="AO245" s="117"/>
    </row>
    <row r="246" ht="34.5" customHeight="1">
      <c r="A246" s="111">
        <v>566.0</v>
      </c>
      <c r="B246" s="111" t="s">
        <v>8224</v>
      </c>
      <c r="C246" s="111" t="s">
        <v>7991</v>
      </c>
      <c r="D246" s="111">
        <v>2026.0</v>
      </c>
      <c r="E246" s="111"/>
      <c r="F246" s="111" t="s">
        <v>12393</v>
      </c>
      <c r="G246" s="111" t="s">
        <v>12226</v>
      </c>
      <c r="H246" s="111"/>
      <c r="I246" s="111" t="s">
        <v>12759</v>
      </c>
      <c r="J246" s="111" t="s">
        <v>12292</v>
      </c>
      <c r="K246" s="111" t="s">
        <v>30</v>
      </c>
      <c r="L246" s="111"/>
      <c r="M246" s="111"/>
      <c r="N246" s="111"/>
      <c r="O246" s="111"/>
      <c r="P246" s="111">
        <v>1.0</v>
      </c>
      <c r="Q246" s="111">
        <v>1.0</v>
      </c>
      <c r="R246" s="111"/>
      <c r="S246" s="111"/>
      <c r="T246" s="111"/>
      <c r="U246" s="111"/>
      <c r="V246" s="111"/>
      <c r="W246" s="111"/>
      <c r="X246" s="111"/>
      <c r="Y246" s="111"/>
      <c r="Z246" s="111" t="s">
        <v>12760</v>
      </c>
      <c r="AA246" s="124">
        <v>7.1</v>
      </c>
      <c r="AB246" s="125">
        <f>IF(Projects!$AI246="Electrolysis",
AA246/VLOOKUP(G246,ElectrolysisConvF,3,FALSE),
AC246*10^6/(H2dens*HoursInYear))</f>
        <v>1365.384615</v>
      </c>
      <c r="AC246" s="126">
        <f t="shared" si="31"/>
        <v>1.064508462</v>
      </c>
      <c r="AD246" s="125"/>
      <c r="AE246" s="125">
        <f t="shared" si="32"/>
        <v>1365.384615</v>
      </c>
      <c r="AF246" s="127" t="s">
        <v>12761</v>
      </c>
      <c r="AG246" s="127">
        <v>55.7124915558958</v>
      </c>
      <c r="AH246" s="127">
        <v>-4.34173242427328</v>
      </c>
      <c r="AI246" s="115" t="s">
        <v>12383</v>
      </c>
      <c r="AJ246" s="116">
        <v>0.7</v>
      </c>
      <c r="AK246" s="117"/>
      <c r="AL246" s="117"/>
      <c r="AM246" s="117"/>
      <c r="AN246" s="117"/>
      <c r="AO246" s="117"/>
    </row>
    <row r="247" ht="34.5" customHeight="1">
      <c r="A247" s="111">
        <v>571.0</v>
      </c>
      <c r="B247" s="111" t="s">
        <v>8225</v>
      </c>
      <c r="C247" s="111" t="s">
        <v>7981</v>
      </c>
      <c r="D247" s="111">
        <v>2024.0</v>
      </c>
      <c r="E247" s="111"/>
      <c r="F247" s="111" t="s">
        <v>12393</v>
      </c>
      <c r="G247" s="111" t="s">
        <v>12224</v>
      </c>
      <c r="H247" s="111"/>
      <c r="I247" s="111" t="s">
        <v>12759</v>
      </c>
      <c r="J247" s="111"/>
      <c r="K247" s="111" t="s">
        <v>174</v>
      </c>
      <c r="L247" s="111"/>
      <c r="M247" s="111">
        <v>1.0</v>
      </c>
      <c r="N247" s="111"/>
      <c r="O247" s="111"/>
      <c r="P247" s="111"/>
      <c r="Q247" s="111"/>
      <c r="R247" s="111"/>
      <c r="S247" s="111"/>
      <c r="T247" s="111"/>
      <c r="U247" s="111"/>
      <c r="V247" s="111"/>
      <c r="W247" s="111"/>
      <c r="X247" s="111"/>
      <c r="Y247" s="111"/>
      <c r="Z247" s="111" t="s">
        <v>12762</v>
      </c>
      <c r="AA247" s="124">
        <v>20.0</v>
      </c>
      <c r="AB247" s="125">
        <f>IF(Projects!$AI247="Electrolysis",
AA247/VLOOKUP(G247,ElectrolysisConvF,3,FALSE),
AC247*10^6/(H2dens*HoursInYear))</f>
        <v>4347.826087</v>
      </c>
      <c r="AC247" s="126">
        <f t="shared" si="31"/>
        <v>3.38973913</v>
      </c>
      <c r="AD247" s="125"/>
      <c r="AE247" s="125">
        <f t="shared" si="32"/>
        <v>4347.826087</v>
      </c>
      <c r="AF247" s="127" t="s">
        <v>12763</v>
      </c>
      <c r="AG247" s="127">
        <v>30.0989819627013</v>
      </c>
      <c r="AH247" s="127">
        <v>-90.9545251386236</v>
      </c>
      <c r="AI247" s="115" t="s">
        <v>12383</v>
      </c>
      <c r="AJ247" s="116">
        <v>0.7</v>
      </c>
      <c r="AK247" s="117"/>
      <c r="AL247" s="117"/>
      <c r="AM247" s="117"/>
      <c r="AN247" s="117"/>
      <c r="AO247" s="117"/>
    </row>
    <row r="248" ht="34.5" customHeight="1">
      <c r="A248" s="111">
        <v>572.0</v>
      </c>
      <c r="B248" s="111" t="s">
        <v>8226</v>
      </c>
      <c r="C248" s="111" t="s">
        <v>7981</v>
      </c>
      <c r="D248" s="111">
        <v>2024.0</v>
      </c>
      <c r="E248" s="111"/>
      <c r="F248" s="111" t="s">
        <v>12399</v>
      </c>
      <c r="G248" s="111" t="s">
        <v>12226</v>
      </c>
      <c r="H248" s="111"/>
      <c r="I248" s="111" t="s">
        <v>12394</v>
      </c>
      <c r="J248" s="111" t="s">
        <v>12296</v>
      </c>
      <c r="K248" s="111" t="s">
        <v>30</v>
      </c>
      <c r="L248" s="111"/>
      <c r="M248" s="111"/>
      <c r="N248" s="111"/>
      <c r="O248" s="111"/>
      <c r="P248" s="111"/>
      <c r="Q248" s="111">
        <v>1.0</v>
      </c>
      <c r="R248" s="111"/>
      <c r="S248" s="111"/>
      <c r="T248" s="111"/>
      <c r="U248" s="111"/>
      <c r="V248" s="111"/>
      <c r="W248" s="111"/>
      <c r="X248" s="111"/>
      <c r="Y248" s="111"/>
      <c r="Z248" s="111" t="s">
        <v>12603</v>
      </c>
      <c r="AA248" s="124">
        <v>5.0</v>
      </c>
      <c r="AB248" s="125">
        <f>IF(Projects!$AI248="Electrolysis",
AA248/VLOOKUP(G248,ElectrolysisConvF,3,FALSE),
AC248*10^6/(H2dens*HoursInYear))</f>
        <v>961.5384615</v>
      </c>
      <c r="AC248" s="126">
        <f t="shared" si="31"/>
        <v>0.7496538462</v>
      </c>
      <c r="AD248" s="125"/>
      <c r="AE248" s="125">
        <f>IF(AND(G248&lt;&gt;"NG w CCUS",G248&lt;&gt;"Oil w CCUS",G248&lt;&gt;"Coal w CCUS"),AB248,AD248*10^3/(HoursInYear*IF(G248="NG w CCUS",0.9105,1.9075)))</f>
        <v>961.5384615</v>
      </c>
      <c r="AF248" s="127" t="s">
        <v>12764</v>
      </c>
      <c r="AG248" s="127">
        <v>34.0639689217403</v>
      </c>
      <c r="AH248" s="127">
        <v>-117.645002442049</v>
      </c>
      <c r="AI248" s="115" t="s">
        <v>12383</v>
      </c>
      <c r="AJ248" s="116">
        <v>0.5</v>
      </c>
      <c r="AK248" s="117"/>
      <c r="AL248" s="117"/>
      <c r="AM248" s="117"/>
      <c r="AN248" s="117"/>
      <c r="AO248" s="117"/>
    </row>
    <row r="249" ht="34.5" customHeight="1">
      <c r="A249" s="111">
        <v>573.0</v>
      </c>
      <c r="B249" s="111" t="s">
        <v>8227</v>
      </c>
      <c r="C249" s="111" t="s">
        <v>7987</v>
      </c>
      <c r="D249" s="111">
        <v>2028.0</v>
      </c>
      <c r="E249" s="111"/>
      <c r="F249" s="111" t="s">
        <v>12399</v>
      </c>
      <c r="G249" s="111" t="s">
        <v>12224</v>
      </c>
      <c r="H249" s="111"/>
      <c r="I249" s="111" t="s">
        <v>12394</v>
      </c>
      <c r="J249" s="111" t="s">
        <v>12295</v>
      </c>
      <c r="K249" s="111" t="s">
        <v>30</v>
      </c>
      <c r="L249" s="111"/>
      <c r="M249" s="111"/>
      <c r="N249" s="111">
        <v>1.0</v>
      </c>
      <c r="O249" s="111">
        <v>1.0</v>
      </c>
      <c r="P249" s="111"/>
      <c r="Q249" s="111"/>
      <c r="R249" s="111"/>
      <c r="S249" s="111">
        <v>1.0</v>
      </c>
      <c r="T249" s="111"/>
      <c r="U249" s="111"/>
      <c r="V249" s="111"/>
      <c r="W249" s="111">
        <v>1.0</v>
      </c>
      <c r="X249" s="111"/>
      <c r="Y249" s="111"/>
      <c r="Z249" s="111" t="s">
        <v>12765</v>
      </c>
      <c r="AA249" s="124">
        <v>670.0</v>
      </c>
      <c r="AB249" s="125">
        <f>IF(Projects!$AI249="Electrolysis",
AA249/VLOOKUP(G249,ElectrolysisConvF,3,FALSE),
AC249*10^6/(H2dens*HoursInYear))</f>
        <v>145652.1739</v>
      </c>
      <c r="AC249" s="126">
        <f t="shared" si="31"/>
        <v>113.5562609</v>
      </c>
      <c r="AD249" s="125"/>
      <c r="AE249" s="125">
        <f t="shared" ref="AE249:AE342" si="33">AB249</f>
        <v>145652.1739</v>
      </c>
      <c r="AF249" s="127" t="s">
        <v>12766</v>
      </c>
      <c r="AG249" s="127">
        <v>54.1903872939082</v>
      </c>
      <c r="AH249" s="127">
        <v>9.10862940059004</v>
      </c>
      <c r="AI249" s="115" t="s">
        <v>12383</v>
      </c>
      <c r="AJ249" s="116">
        <v>0.5</v>
      </c>
      <c r="AK249" s="117"/>
      <c r="AL249" s="117"/>
      <c r="AM249" s="117"/>
      <c r="AN249" s="117"/>
      <c r="AO249" s="117"/>
    </row>
    <row r="250" ht="34.5" customHeight="1">
      <c r="A250" s="111">
        <v>574.0</v>
      </c>
      <c r="B250" s="111" t="s">
        <v>8228</v>
      </c>
      <c r="C250" s="111" t="s">
        <v>7987</v>
      </c>
      <c r="D250" s="111">
        <v>2024.0</v>
      </c>
      <c r="E250" s="111"/>
      <c r="F250" s="111" t="s">
        <v>12385</v>
      </c>
      <c r="G250" s="111" t="s">
        <v>12224</v>
      </c>
      <c r="H250" s="111"/>
      <c r="I250" s="111" t="s">
        <v>12394</v>
      </c>
      <c r="J250" s="111" t="s">
        <v>12293</v>
      </c>
      <c r="K250" s="111" t="s">
        <v>30</v>
      </c>
      <c r="L250" s="111">
        <v>1.0</v>
      </c>
      <c r="M250" s="111"/>
      <c r="N250" s="111"/>
      <c r="O250" s="111">
        <v>1.0</v>
      </c>
      <c r="P250" s="111"/>
      <c r="Q250" s="111">
        <v>1.0</v>
      </c>
      <c r="R250" s="111">
        <v>1.0</v>
      </c>
      <c r="S250" s="111"/>
      <c r="T250" s="111"/>
      <c r="U250" s="111"/>
      <c r="V250" s="111"/>
      <c r="W250" s="111"/>
      <c r="X250" s="111"/>
      <c r="Y250" s="111"/>
      <c r="Z250" s="111" t="s">
        <v>12703</v>
      </c>
      <c r="AA250" s="124">
        <v>10.0</v>
      </c>
      <c r="AB250" s="125">
        <f>IF(Projects!$AI250="Electrolysis",
AA250/VLOOKUP(G250,ElectrolysisConvF,3,FALSE),
AC250*10^6/(H2dens*HoursInYear))</f>
        <v>2173.913043</v>
      </c>
      <c r="AC250" s="126">
        <f t="shared" si="31"/>
        <v>1.694869565</v>
      </c>
      <c r="AD250" s="125"/>
      <c r="AE250" s="125">
        <f t="shared" si="33"/>
        <v>2173.913043</v>
      </c>
      <c r="AF250" s="127" t="s">
        <v>12767</v>
      </c>
      <c r="AG250" s="127">
        <v>52.4825565137023</v>
      </c>
      <c r="AH250" s="127">
        <v>7.29966781182499</v>
      </c>
      <c r="AI250" s="115" t="s">
        <v>12383</v>
      </c>
      <c r="AJ250" s="116">
        <v>0.55</v>
      </c>
      <c r="AK250" s="117"/>
      <c r="AL250" s="117"/>
      <c r="AM250" s="117"/>
      <c r="AN250" s="117"/>
      <c r="AO250" s="117"/>
    </row>
    <row r="251" ht="34.5" customHeight="1">
      <c r="A251" s="111">
        <v>575.0</v>
      </c>
      <c r="B251" s="111" t="s">
        <v>8229</v>
      </c>
      <c r="C251" s="111" t="s">
        <v>7987</v>
      </c>
      <c r="D251" s="111"/>
      <c r="E251" s="111"/>
      <c r="F251" s="111" t="s">
        <v>12399</v>
      </c>
      <c r="G251" s="111" t="s">
        <v>12226</v>
      </c>
      <c r="H251" s="111"/>
      <c r="I251" s="111" t="s">
        <v>12419</v>
      </c>
      <c r="J251" s="111"/>
      <c r="K251" s="111" t="s">
        <v>12449</v>
      </c>
      <c r="L251" s="111"/>
      <c r="M251" s="111"/>
      <c r="N251" s="111"/>
      <c r="O251" s="111"/>
      <c r="P251" s="111"/>
      <c r="Q251" s="111"/>
      <c r="R251" s="111"/>
      <c r="S251" s="111"/>
      <c r="T251" s="111"/>
      <c r="U251" s="111"/>
      <c r="V251" s="111"/>
      <c r="W251" s="111"/>
      <c r="X251" s="111">
        <v>1.0</v>
      </c>
      <c r="Y251" s="111">
        <v>1.0</v>
      </c>
      <c r="Z251" s="111" t="s">
        <v>12768</v>
      </c>
      <c r="AA251" s="124">
        <v>50.0</v>
      </c>
      <c r="AB251" s="125">
        <f>IF(Projects!$AI251="Electrolysis",
AA251/VLOOKUP(G251,ElectrolysisConvF,3,FALSE),
AC251*10^6/(H2dens*HoursInYear))</f>
        <v>9615.384615</v>
      </c>
      <c r="AC251" s="126">
        <f t="shared" si="31"/>
        <v>7.496538462</v>
      </c>
      <c r="AD251" s="125"/>
      <c r="AE251" s="125">
        <f t="shared" si="33"/>
        <v>9615.384615</v>
      </c>
      <c r="AF251" s="127" t="s">
        <v>12769</v>
      </c>
      <c r="AG251" s="127">
        <v>0.0</v>
      </c>
      <c r="AH251" s="127">
        <v>0.0</v>
      </c>
      <c r="AI251" s="115" t="s">
        <v>12383</v>
      </c>
      <c r="AJ251" s="116">
        <v>0.57</v>
      </c>
      <c r="AK251" s="117"/>
      <c r="AL251" s="117"/>
      <c r="AM251" s="117"/>
      <c r="AN251" s="117"/>
      <c r="AO251" s="117"/>
    </row>
    <row r="252" ht="34.5" customHeight="1">
      <c r="A252" s="111">
        <v>576.0</v>
      </c>
      <c r="B252" s="111" t="s">
        <v>8230</v>
      </c>
      <c r="C252" s="111" t="s">
        <v>7991</v>
      </c>
      <c r="D252" s="111">
        <v>2025.0</v>
      </c>
      <c r="E252" s="111"/>
      <c r="F252" s="111" t="s">
        <v>12393</v>
      </c>
      <c r="G252" s="111" t="s">
        <v>12381</v>
      </c>
      <c r="H252" s="111" t="s">
        <v>12230</v>
      </c>
      <c r="I252" s="111" t="s">
        <v>12394</v>
      </c>
      <c r="J252" s="111" t="s">
        <v>12292</v>
      </c>
      <c r="K252" s="111" t="s">
        <v>30</v>
      </c>
      <c r="L252" s="111"/>
      <c r="M252" s="111"/>
      <c r="N252" s="111"/>
      <c r="O252" s="111"/>
      <c r="P252" s="111"/>
      <c r="Q252" s="111">
        <v>1.0</v>
      </c>
      <c r="R252" s="111"/>
      <c r="S252" s="111"/>
      <c r="T252" s="111"/>
      <c r="U252" s="111"/>
      <c r="V252" s="111"/>
      <c r="W252" s="111"/>
      <c r="X252" s="111"/>
      <c r="Y252" s="111"/>
      <c r="Z252" s="111" t="s">
        <v>12420</v>
      </c>
      <c r="AA252" s="124">
        <v>1.0</v>
      </c>
      <c r="AB252" s="125">
        <f>IF(Projects!$AI252="Electrolysis",
AA252/VLOOKUP(G252,ElectrolysisConvF,3,FALSE),
AC252*10^6/(H2dens*HoursInYear))</f>
        <v>222.2222222</v>
      </c>
      <c r="AC252" s="126">
        <f t="shared" si="31"/>
        <v>0.1732533333</v>
      </c>
      <c r="AD252" s="125"/>
      <c r="AE252" s="125">
        <f t="shared" si="33"/>
        <v>222.2222222</v>
      </c>
      <c r="AF252" s="127" t="s">
        <v>12770</v>
      </c>
      <c r="AG252" s="127">
        <v>54.9745554419954</v>
      </c>
      <c r="AH252" s="127">
        <v>-6.4300041</v>
      </c>
      <c r="AI252" s="115" t="s">
        <v>12383</v>
      </c>
      <c r="AJ252" s="116">
        <v>0.4</v>
      </c>
      <c r="AK252" s="117"/>
      <c r="AL252" s="117"/>
      <c r="AM252" s="117"/>
      <c r="AN252" s="117"/>
      <c r="AO252" s="117"/>
    </row>
    <row r="253" ht="34.5" customHeight="1">
      <c r="A253" s="111">
        <v>578.0</v>
      </c>
      <c r="B253" s="111" t="s">
        <v>8231</v>
      </c>
      <c r="C253" s="111" t="s">
        <v>8021</v>
      </c>
      <c r="D253" s="111">
        <v>2026.0</v>
      </c>
      <c r="E253" s="111"/>
      <c r="F253" s="111" t="s">
        <v>12399</v>
      </c>
      <c r="G253" s="111" t="s">
        <v>12381</v>
      </c>
      <c r="H253" s="111" t="s">
        <v>12230</v>
      </c>
      <c r="I253" s="111" t="s">
        <v>12394</v>
      </c>
      <c r="J253" s="111" t="s">
        <v>12296</v>
      </c>
      <c r="K253" s="111" t="s">
        <v>174</v>
      </c>
      <c r="L253" s="111"/>
      <c r="M253" s="111">
        <v>1.0</v>
      </c>
      <c r="N253" s="111"/>
      <c r="O253" s="111"/>
      <c r="P253" s="111"/>
      <c r="Q253" s="111"/>
      <c r="R253" s="111"/>
      <c r="S253" s="111"/>
      <c r="T253" s="111"/>
      <c r="U253" s="111"/>
      <c r="V253" s="111"/>
      <c r="W253" s="111"/>
      <c r="X253" s="111"/>
      <c r="Y253" s="111"/>
      <c r="Z253" s="111" t="s">
        <v>12771</v>
      </c>
      <c r="AA253" s="124">
        <v>100.0</v>
      </c>
      <c r="AB253" s="125">
        <f>IF(Projects!$AI253="Electrolysis",
AA253/VLOOKUP(G253,ElectrolysisConvF,3,FALSE),
AC253*10^6/(H2dens*HoursInYear))</f>
        <v>22222.22222</v>
      </c>
      <c r="AC253" s="126">
        <f t="shared" si="31"/>
        <v>17.32533333</v>
      </c>
      <c r="AD253" s="125"/>
      <c r="AE253" s="125">
        <f t="shared" si="33"/>
        <v>22222.22222</v>
      </c>
      <c r="AF253" s="127" t="s">
        <v>12772</v>
      </c>
      <c r="AG253" s="127">
        <v>-32.9616985615211</v>
      </c>
      <c r="AH253" s="127">
        <v>137.767826938278</v>
      </c>
      <c r="AI253" s="115" t="s">
        <v>12383</v>
      </c>
      <c r="AJ253" s="116">
        <v>0.5</v>
      </c>
      <c r="AK253" s="117"/>
      <c r="AL253" s="117"/>
      <c r="AM253" s="117"/>
      <c r="AN253" s="117"/>
      <c r="AO253" s="117"/>
    </row>
    <row r="254" ht="34.5" customHeight="1">
      <c r="A254" s="111">
        <v>579.0</v>
      </c>
      <c r="B254" s="111" t="s">
        <v>8232</v>
      </c>
      <c r="C254" s="111" t="s">
        <v>8087</v>
      </c>
      <c r="D254" s="111">
        <v>2027.0</v>
      </c>
      <c r="E254" s="111"/>
      <c r="F254" s="111" t="s">
        <v>12399</v>
      </c>
      <c r="G254" s="111" t="s">
        <v>12381</v>
      </c>
      <c r="H254" s="111" t="s">
        <v>12230</v>
      </c>
      <c r="I254" s="111" t="s">
        <v>12394</v>
      </c>
      <c r="J254" s="111" t="s">
        <v>12295</v>
      </c>
      <c r="K254" s="111" t="s">
        <v>30</v>
      </c>
      <c r="L254" s="111"/>
      <c r="M254" s="111"/>
      <c r="N254" s="111">
        <v>1.0</v>
      </c>
      <c r="O254" s="111"/>
      <c r="P254" s="111">
        <v>1.0</v>
      </c>
      <c r="Q254" s="111">
        <v>1.0</v>
      </c>
      <c r="R254" s="111"/>
      <c r="S254" s="111"/>
      <c r="T254" s="111"/>
      <c r="U254" s="111"/>
      <c r="V254" s="111"/>
      <c r="W254" s="111"/>
      <c r="X254" s="111"/>
      <c r="Y254" s="111"/>
      <c r="Z254" s="111" t="s">
        <v>12773</v>
      </c>
      <c r="AA254" s="124">
        <v>65.0</v>
      </c>
      <c r="AB254" s="125">
        <f>IF(Projects!$AI254="Electrolysis",
AA254/VLOOKUP(G254,ElectrolysisConvF,3,FALSE),
AC254*10^6/(H2dens*HoursInYear))</f>
        <v>14444.44444</v>
      </c>
      <c r="AC254" s="126">
        <f t="shared" si="31"/>
        <v>11.26146667</v>
      </c>
      <c r="AD254" s="125"/>
      <c r="AE254" s="125">
        <f t="shared" si="33"/>
        <v>14444.44444</v>
      </c>
      <c r="AF254" s="127" t="s">
        <v>12774</v>
      </c>
      <c r="AG254" s="127">
        <v>51.0409778907728</v>
      </c>
      <c r="AH254" s="127">
        <v>3.84433114911818</v>
      </c>
      <c r="AI254" s="115" t="s">
        <v>12383</v>
      </c>
      <c r="AJ254" s="116">
        <v>0.5</v>
      </c>
      <c r="AK254" s="117"/>
      <c r="AL254" s="117"/>
      <c r="AM254" s="117"/>
      <c r="AN254" s="117"/>
      <c r="AO254" s="117"/>
    </row>
    <row r="255" ht="34.5" customHeight="1">
      <c r="A255" s="111">
        <v>580.0</v>
      </c>
      <c r="B255" s="111" t="s">
        <v>8233</v>
      </c>
      <c r="C255" s="111" t="s">
        <v>7991</v>
      </c>
      <c r="D255" s="111"/>
      <c r="E255" s="111"/>
      <c r="F255" s="111" t="s">
        <v>12287</v>
      </c>
      <c r="G255" s="111" t="s">
        <v>12226</v>
      </c>
      <c r="H255" s="111"/>
      <c r="I255" s="111" t="s">
        <v>12394</v>
      </c>
      <c r="J255" s="111" t="s">
        <v>12295</v>
      </c>
      <c r="K255" s="111" t="s">
        <v>30</v>
      </c>
      <c r="L255" s="111"/>
      <c r="M255" s="111"/>
      <c r="N255" s="111"/>
      <c r="O255" s="111"/>
      <c r="P255" s="111">
        <v>1.0</v>
      </c>
      <c r="Q255" s="111">
        <v>1.0</v>
      </c>
      <c r="R255" s="111"/>
      <c r="S255" s="111">
        <v>1.0</v>
      </c>
      <c r="T255" s="111"/>
      <c r="U255" s="111"/>
      <c r="V255" s="111"/>
      <c r="W255" s="111"/>
      <c r="X255" s="111"/>
      <c r="Y255" s="111"/>
      <c r="Z255" s="111" t="s">
        <v>12709</v>
      </c>
      <c r="AA255" s="124">
        <v>100.0</v>
      </c>
      <c r="AB255" s="125">
        <f>IF(Projects!$AI255="Electrolysis",
AA255/VLOOKUP(G255,ElectrolysisConvF,3,FALSE),
AC255*10^6/(H2dens*HoursInYear))</f>
        <v>19230.76923</v>
      </c>
      <c r="AC255" s="126">
        <f t="shared" si="31"/>
        <v>14.99307692</v>
      </c>
      <c r="AD255" s="125"/>
      <c r="AE255" s="125">
        <f t="shared" si="33"/>
        <v>19230.76923</v>
      </c>
      <c r="AF255" s="127" t="s">
        <v>12775</v>
      </c>
      <c r="AG255" s="127">
        <v>0.0</v>
      </c>
      <c r="AH255" s="127">
        <v>0.0</v>
      </c>
      <c r="AI255" s="115" t="s">
        <v>12383</v>
      </c>
      <c r="AJ255" s="116">
        <v>0.5</v>
      </c>
      <c r="AK255" s="117"/>
      <c r="AL255" s="117"/>
      <c r="AM255" s="117"/>
      <c r="AN255" s="117"/>
      <c r="AO255" s="117"/>
    </row>
    <row r="256" ht="34.5" customHeight="1">
      <c r="A256" s="111">
        <v>581.0</v>
      </c>
      <c r="B256" s="111" t="s">
        <v>8234</v>
      </c>
      <c r="C256" s="111" t="s">
        <v>8021</v>
      </c>
      <c r="D256" s="111">
        <v>2027.0</v>
      </c>
      <c r="E256" s="111"/>
      <c r="F256" s="111" t="s">
        <v>12399</v>
      </c>
      <c r="G256" s="111" t="s">
        <v>12381</v>
      </c>
      <c r="H256" s="111" t="s">
        <v>12230</v>
      </c>
      <c r="I256" s="111" t="s">
        <v>12394</v>
      </c>
      <c r="J256" s="111" t="s">
        <v>12295</v>
      </c>
      <c r="K256" s="111" t="s">
        <v>12481</v>
      </c>
      <c r="L256" s="111"/>
      <c r="M256" s="111">
        <v>1.0</v>
      </c>
      <c r="N256" s="111"/>
      <c r="O256" s="111"/>
      <c r="P256" s="111"/>
      <c r="Q256" s="111"/>
      <c r="R256" s="111">
        <v>1.0</v>
      </c>
      <c r="S256" s="111"/>
      <c r="T256" s="111"/>
      <c r="U256" s="111"/>
      <c r="V256" s="111"/>
      <c r="W256" s="111"/>
      <c r="X256" s="111"/>
      <c r="Y256" s="111"/>
      <c r="Z256" s="111"/>
      <c r="AA256" s="124"/>
      <c r="AB256" s="125"/>
      <c r="AC256" s="125"/>
      <c r="AD256" s="125"/>
      <c r="AE256" s="125" t="str">
        <f t="shared" si="33"/>
        <v/>
      </c>
      <c r="AF256" s="127" t="s">
        <v>12776</v>
      </c>
      <c r="AG256" s="127">
        <v>-20.317253</v>
      </c>
      <c r="AH256" s="127">
        <v>121.042081</v>
      </c>
      <c r="AI256" s="115" t="s">
        <v>12383</v>
      </c>
      <c r="AJ256" s="116">
        <v>0.5</v>
      </c>
      <c r="AK256" s="132"/>
      <c r="AL256" s="132"/>
      <c r="AM256" s="132"/>
      <c r="AN256" s="132"/>
      <c r="AO256" s="132"/>
    </row>
    <row r="257" ht="34.5" customHeight="1">
      <c r="A257" s="133">
        <v>582.0</v>
      </c>
      <c r="B257" s="133" t="s">
        <v>8235</v>
      </c>
      <c r="C257" s="133" t="s">
        <v>8047</v>
      </c>
      <c r="D257" s="133">
        <v>2030.0</v>
      </c>
      <c r="E257" s="133"/>
      <c r="F257" s="133" t="s">
        <v>12397</v>
      </c>
      <c r="G257" s="133" t="s">
        <v>12226</v>
      </c>
      <c r="H257" s="133"/>
      <c r="I257" s="133" t="s">
        <v>12394</v>
      </c>
      <c r="J257" s="133" t="s">
        <v>12295</v>
      </c>
      <c r="K257" s="133" t="s">
        <v>30</v>
      </c>
      <c r="L257" s="133"/>
      <c r="M257" s="133"/>
      <c r="N257" s="133"/>
      <c r="O257" s="133"/>
      <c r="P257" s="133">
        <v>1.0</v>
      </c>
      <c r="Q257" s="133">
        <v>1.0</v>
      </c>
      <c r="R257" s="133"/>
      <c r="S257" s="133">
        <v>1.0</v>
      </c>
      <c r="T257" s="133"/>
      <c r="U257" s="133"/>
      <c r="V257" s="133"/>
      <c r="W257" s="133"/>
      <c r="X257" s="133"/>
      <c r="Y257" s="133"/>
      <c r="Z257" s="133" t="s">
        <v>12777</v>
      </c>
      <c r="AA257" s="134"/>
      <c r="AB257" s="135"/>
      <c r="AC257" s="136"/>
      <c r="AD257" s="135"/>
      <c r="AE257" s="135" t="str">
        <f t="shared" si="33"/>
        <v/>
      </c>
      <c r="AF257" s="137" t="s">
        <v>12778</v>
      </c>
      <c r="AG257" s="137">
        <v>0.0</v>
      </c>
      <c r="AH257" s="137">
        <v>0.0</v>
      </c>
      <c r="AI257" s="115" t="s">
        <v>12383</v>
      </c>
      <c r="AJ257" s="116">
        <v>0.5</v>
      </c>
      <c r="AK257" s="132"/>
      <c r="AL257" s="132"/>
      <c r="AM257" s="132"/>
      <c r="AN257" s="132"/>
      <c r="AO257" s="132"/>
    </row>
    <row r="258" ht="34.5" customHeight="1">
      <c r="A258" s="133">
        <v>583.0</v>
      </c>
      <c r="B258" s="133" t="s">
        <v>8236</v>
      </c>
      <c r="C258" s="137" t="s">
        <v>8237</v>
      </c>
      <c r="D258" s="133"/>
      <c r="E258" s="133"/>
      <c r="F258" s="133" t="s">
        <v>12397</v>
      </c>
      <c r="G258" s="133" t="s">
        <v>12381</v>
      </c>
      <c r="H258" s="133" t="s">
        <v>12230</v>
      </c>
      <c r="I258" s="133" t="s">
        <v>12394</v>
      </c>
      <c r="J258" s="133" t="s">
        <v>12295</v>
      </c>
      <c r="K258" s="133" t="s">
        <v>30</v>
      </c>
      <c r="L258" s="133"/>
      <c r="M258" s="133"/>
      <c r="N258" s="133"/>
      <c r="O258" s="133"/>
      <c r="P258" s="133"/>
      <c r="Q258" s="133"/>
      <c r="R258" s="133"/>
      <c r="S258" s="133"/>
      <c r="T258" s="133"/>
      <c r="U258" s="133"/>
      <c r="V258" s="133"/>
      <c r="W258" s="133"/>
      <c r="X258" s="133"/>
      <c r="Y258" s="133"/>
      <c r="Z258" s="133" t="s">
        <v>12779</v>
      </c>
      <c r="AA258" s="134"/>
      <c r="AB258" s="135"/>
      <c r="AC258" s="136"/>
      <c r="AD258" s="135"/>
      <c r="AE258" s="135" t="str">
        <f t="shared" si="33"/>
        <v/>
      </c>
      <c r="AF258" s="137" t="s">
        <v>12780</v>
      </c>
      <c r="AG258" s="137">
        <v>0.0</v>
      </c>
      <c r="AH258" s="137">
        <v>0.0</v>
      </c>
      <c r="AI258" s="115" t="s">
        <v>12383</v>
      </c>
      <c r="AJ258" s="116">
        <v>0.5</v>
      </c>
      <c r="AK258" s="117"/>
      <c r="AL258" s="117"/>
      <c r="AM258" s="117"/>
      <c r="AN258" s="117"/>
      <c r="AO258" s="117"/>
    </row>
    <row r="259" ht="34.5" customHeight="1">
      <c r="A259" s="111">
        <v>584.0</v>
      </c>
      <c r="B259" s="111" t="s">
        <v>8238</v>
      </c>
      <c r="C259" s="111" t="s">
        <v>8021</v>
      </c>
      <c r="D259" s="111">
        <v>2028.0</v>
      </c>
      <c r="E259" s="111"/>
      <c r="F259" s="111" t="s">
        <v>12399</v>
      </c>
      <c r="G259" s="111" t="s">
        <v>12226</v>
      </c>
      <c r="H259" s="111"/>
      <c r="I259" s="111" t="s">
        <v>12394</v>
      </c>
      <c r="J259" s="111" t="s">
        <v>12291</v>
      </c>
      <c r="K259" s="111" t="s">
        <v>30</v>
      </c>
      <c r="L259" s="111"/>
      <c r="M259" s="111"/>
      <c r="N259" s="111"/>
      <c r="O259" s="111"/>
      <c r="P259" s="111">
        <v>1.0</v>
      </c>
      <c r="Q259" s="111">
        <v>1.0</v>
      </c>
      <c r="R259" s="111">
        <v>1.0</v>
      </c>
      <c r="S259" s="111"/>
      <c r="T259" s="111"/>
      <c r="U259" s="111"/>
      <c r="V259" s="111"/>
      <c r="W259" s="111"/>
      <c r="X259" s="111"/>
      <c r="Y259" s="111"/>
      <c r="Z259" s="111" t="s">
        <v>12781</v>
      </c>
      <c r="AA259" s="124">
        <v>3000.0</v>
      </c>
      <c r="AB259" s="125">
        <f>IF(Projects!$AI259="Electrolysis",
AA259/VLOOKUP(G259,ElectrolysisConvF,3,FALSE),
AC259*10^6/(H2dens*HoursInYear))</f>
        <v>576923.0769</v>
      </c>
      <c r="AC259" s="126">
        <f t="shared" ref="AC259:AC260" si="34">AB259*H2dens*HoursInYear/10^6</f>
        <v>449.7923077</v>
      </c>
      <c r="AD259" s="125"/>
      <c r="AE259" s="125">
        <f t="shared" si="33"/>
        <v>576923.0769</v>
      </c>
      <c r="AF259" s="127" t="s">
        <v>12782</v>
      </c>
      <c r="AG259" s="127">
        <v>-26.871998346424</v>
      </c>
      <c r="AH259" s="127">
        <v>115.979931834253</v>
      </c>
      <c r="AI259" s="115" t="s">
        <v>12383</v>
      </c>
      <c r="AJ259" s="116">
        <v>0.3</v>
      </c>
      <c r="AK259" s="117"/>
      <c r="AL259" s="117"/>
      <c r="AM259" s="117"/>
      <c r="AN259" s="117"/>
      <c r="AO259" s="117"/>
    </row>
    <row r="260" ht="34.5" customHeight="1">
      <c r="A260" s="111">
        <v>585.0</v>
      </c>
      <c r="B260" s="111" t="s">
        <v>8239</v>
      </c>
      <c r="C260" s="111" t="s">
        <v>8240</v>
      </c>
      <c r="D260" s="111">
        <v>2026.0</v>
      </c>
      <c r="E260" s="111"/>
      <c r="F260" s="111" t="s">
        <v>12393</v>
      </c>
      <c r="G260" s="111" t="s">
        <v>12224</v>
      </c>
      <c r="H260" s="111"/>
      <c r="I260" s="111" t="s">
        <v>12394</v>
      </c>
      <c r="J260" s="111" t="s">
        <v>12295</v>
      </c>
      <c r="K260" s="111" t="s">
        <v>174</v>
      </c>
      <c r="L260" s="111"/>
      <c r="M260" s="111"/>
      <c r="N260" s="111"/>
      <c r="O260" s="111"/>
      <c r="P260" s="111"/>
      <c r="Q260" s="111"/>
      <c r="R260" s="111"/>
      <c r="S260" s="111"/>
      <c r="T260" s="111"/>
      <c r="U260" s="111"/>
      <c r="V260" s="111"/>
      <c r="W260" s="111"/>
      <c r="X260" s="111"/>
      <c r="Y260" s="111"/>
      <c r="Z260" s="111" t="s">
        <v>12783</v>
      </c>
      <c r="AA260" s="125">
        <v>2200.0</v>
      </c>
      <c r="AB260" s="125">
        <f>IF(Projects!$AI260="Electrolysis",
AA260/VLOOKUP(G260,ElectrolysisConvF,3,FALSE),
AC260*10^6/(H2dens*HoursInYear))</f>
        <v>478260.8696</v>
      </c>
      <c r="AC260" s="126">
        <f t="shared" si="34"/>
        <v>372.8713043</v>
      </c>
      <c r="AD260" s="125"/>
      <c r="AE260" s="125">
        <f t="shared" si="33"/>
        <v>478260.8696</v>
      </c>
      <c r="AF260" s="127" t="s">
        <v>12784</v>
      </c>
      <c r="AG260" s="127">
        <v>28.3059081292703</v>
      </c>
      <c r="AH260" s="127">
        <v>34.8492849222152</v>
      </c>
      <c r="AI260" s="115" t="s">
        <v>12383</v>
      </c>
      <c r="AJ260" s="116">
        <v>0.5</v>
      </c>
      <c r="AK260" s="132"/>
      <c r="AL260" s="132"/>
      <c r="AM260" s="132"/>
      <c r="AN260" s="132"/>
      <c r="AO260" s="132"/>
    </row>
    <row r="261" ht="34.5" customHeight="1">
      <c r="A261" s="133">
        <v>586.0</v>
      </c>
      <c r="B261" s="133" t="s">
        <v>8241</v>
      </c>
      <c r="C261" s="137" t="s">
        <v>8242</v>
      </c>
      <c r="D261" s="133"/>
      <c r="E261" s="133"/>
      <c r="F261" s="133" t="s">
        <v>12397</v>
      </c>
      <c r="G261" s="133" t="s">
        <v>12381</v>
      </c>
      <c r="H261" s="133" t="s">
        <v>12230</v>
      </c>
      <c r="I261" s="133" t="s">
        <v>12394</v>
      </c>
      <c r="J261" s="133" t="s">
        <v>12295</v>
      </c>
      <c r="K261" s="133" t="s">
        <v>30</v>
      </c>
      <c r="L261" s="133"/>
      <c r="M261" s="133"/>
      <c r="N261" s="133"/>
      <c r="O261" s="133"/>
      <c r="P261" s="133">
        <v>1.0</v>
      </c>
      <c r="Q261" s="133">
        <v>1.0</v>
      </c>
      <c r="R261" s="133"/>
      <c r="S261" s="133"/>
      <c r="T261" s="133"/>
      <c r="U261" s="133"/>
      <c r="V261" s="133"/>
      <c r="W261" s="133"/>
      <c r="X261" s="133"/>
      <c r="Y261" s="133"/>
      <c r="Z261" s="133" t="s">
        <v>12785</v>
      </c>
      <c r="AA261" s="134"/>
      <c r="AB261" s="135"/>
      <c r="AC261" s="136"/>
      <c r="AD261" s="135"/>
      <c r="AE261" s="135" t="str">
        <f t="shared" si="33"/>
        <v/>
      </c>
      <c r="AF261" s="137"/>
      <c r="AG261" s="137">
        <v>0.0</v>
      </c>
      <c r="AH261" s="137">
        <v>0.0</v>
      </c>
      <c r="AI261" s="115" t="s">
        <v>12383</v>
      </c>
      <c r="AJ261" s="116">
        <v>0.5</v>
      </c>
      <c r="AK261" s="117"/>
      <c r="AL261" s="117"/>
      <c r="AM261" s="117"/>
      <c r="AN261" s="117"/>
      <c r="AO261" s="117"/>
    </row>
    <row r="262" ht="34.5" customHeight="1">
      <c r="A262" s="111">
        <v>587.0</v>
      </c>
      <c r="B262" s="111" t="s">
        <v>8243</v>
      </c>
      <c r="C262" s="111" t="s">
        <v>8021</v>
      </c>
      <c r="D262" s="111"/>
      <c r="E262" s="111"/>
      <c r="F262" s="111" t="s">
        <v>12399</v>
      </c>
      <c r="G262" s="111" t="s">
        <v>12381</v>
      </c>
      <c r="H262" s="111" t="s">
        <v>12230</v>
      </c>
      <c r="I262" s="111" t="s">
        <v>12394</v>
      </c>
      <c r="J262" s="111" t="s">
        <v>12295</v>
      </c>
      <c r="K262" s="111" t="s">
        <v>174</v>
      </c>
      <c r="L262" s="111"/>
      <c r="M262" s="111">
        <v>1.0</v>
      </c>
      <c r="N262" s="111"/>
      <c r="O262" s="111"/>
      <c r="P262" s="111">
        <v>1.0</v>
      </c>
      <c r="Q262" s="111"/>
      <c r="R262" s="111"/>
      <c r="S262" s="111"/>
      <c r="T262" s="111"/>
      <c r="U262" s="111"/>
      <c r="V262" s="111"/>
      <c r="W262" s="111"/>
      <c r="X262" s="111"/>
      <c r="Y262" s="111"/>
      <c r="Z262" s="111"/>
      <c r="AA262" s="124"/>
      <c r="AB262" s="125"/>
      <c r="AC262" s="126"/>
      <c r="AD262" s="125"/>
      <c r="AE262" s="125" t="str">
        <f t="shared" si="33"/>
        <v/>
      </c>
      <c r="AF262" s="127" t="s">
        <v>12786</v>
      </c>
      <c r="AG262" s="127">
        <v>-28.7686023368381</v>
      </c>
      <c r="AH262" s="127">
        <v>114.61199847754</v>
      </c>
      <c r="AI262" s="115" t="s">
        <v>12383</v>
      </c>
      <c r="AJ262" s="116">
        <v>0.5</v>
      </c>
      <c r="AK262" s="132"/>
      <c r="AL262" s="132"/>
      <c r="AM262" s="132"/>
      <c r="AN262" s="132"/>
      <c r="AO262" s="132"/>
    </row>
    <row r="263" ht="34.5" customHeight="1">
      <c r="A263" s="133">
        <v>588.0</v>
      </c>
      <c r="B263" s="133" t="s">
        <v>8244</v>
      </c>
      <c r="C263" s="137" t="s">
        <v>8245</v>
      </c>
      <c r="D263" s="133">
        <v>2030.0</v>
      </c>
      <c r="E263" s="133"/>
      <c r="F263" s="133" t="s">
        <v>12397</v>
      </c>
      <c r="G263" s="133" t="s">
        <v>12381</v>
      </c>
      <c r="H263" s="133" t="s">
        <v>12230</v>
      </c>
      <c r="I263" s="133" t="s">
        <v>12394</v>
      </c>
      <c r="J263" s="133" t="s">
        <v>12295</v>
      </c>
      <c r="K263" s="133" t="s">
        <v>30</v>
      </c>
      <c r="L263" s="133"/>
      <c r="M263" s="133"/>
      <c r="N263" s="133"/>
      <c r="O263" s="133"/>
      <c r="P263" s="133"/>
      <c r="Q263" s="133"/>
      <c r="R263" s="133"/>
      <c r="S263" s="133"/>
      <c r="T263" s="133"/>
      <c r="U263" s="133"/>
      <c r="V263" s="133"/>
      <c r="W263" s="133"/>
      <c r="X263" s="133"/>
      <c r="Y263" s="133"/>
      <c r="Z263" s="133" t="s">
        <v>12787</v>
      </c>
      <c r="AA263" s="134"/>
      <c r="AB263" s="135"/>
      <c r="AC263" s="136"/>
      <c r="AD263" s="135"/>
      <c r="AE263" s="135" t="str">
        <f t="shared" si="33"/>
        <v/>
      </c>
      <c r="AF263" s="137"/>
      <c r="AG263" s="137">
        <v>0.0</v>
      </c>
      <c r="AH263" s="137">
        <v>0.0</v>
      </c>
      <c r="AI263" s="115" t="s">
        <v>12383</v>
      </c>
      <c r="AJ263" s="116">
        <v>0.5</v>
      </c>
      <c r="AK263" s="117"/>
      <c r="AL263" s="117"/>
      <c r="AM263" s="117"/>
      <c r="AN263" s="117"/>
      <c r="AO263" s="117"/>
    </row>
    <row r="264" ht="34.5" customHeight="1">
      <c r="A264" s="111">
        <v>589.0</v>
      </c>
      <c r="B264" s="111" t="s">
        <v>8246</v>
      </c>
      <c r="C264" s="127" t="s">
        <v>8021</v>
      </c>
      <c r="D264" s="111">
        <v>2027.0</v>
      </c>
      <c r="E264" s="111"/>
      <c r="F264" s="111" t="s">
        <v>12397</v>
      </c>
      <c r="G264" s="111" t="s">
        <v>12381</v>
      </c>
      <c r="H264" s="111" t="s">
        <v>12230</v>
      </c>
      <c r="I264" s="111" t="s">
        <v>12394</v>
      </c>
      <c r="J264" s="111" t="s">
        <v>12295</v>
      </c>
      <c r="K264" s="111" t="s">
        <v>30</v>
      </c>
      <c r="L264" s="111"/>
      <c r="M264" s="111"/>
      <c r="N264" s="111"/>
      <c r="O264" s="111"/>
      <c r="P264" s="111"/>
      <c r="Q264" s="111"/>
      <c r="R264" s="111"/>
      <c r="S264" s="111"/>
      <c r="T264" s="111"/>
      <c r="U264" s="111"/>
      <c r="V264" s="111"/>
      <c r="W264" s="111"/>
      <c r="X264" s="111"/>
      <c r="Y264" s="111"/>
      <c r="Z264" s="111" t="s">
        <v>12777</v>
      </c>
      <c r="AA264" s="124">
        <v>1000.0</v>
      </c>
      <c r="AB264" s="125">
        <f>IF(Projects!$AI264="Electrolysis",
AA264/VLOOKUP(G264,ElectrolysisConvF,3,FALSE),
AC264*10^6/(H2dens*HoursInYear))</f>
        <v>222222.2222</v>
      </c>
      <c r="AC264" s="126">
        <f t="shared" ref="AC264:AC270" si="35">AB264*H2dens*HoursInYear/10^6</f>
        <v>173.2533333</v>
      </c>
      <c r="AD264" s="125"/>
      <c r="AE264" s="125">
        <f t="shared" si="33"/>
        <v>222222.2222</v>
      </c>
      <c r="AF264" s="127" t="s">
        <v>12788</v>
      </c>
      <c r="AG264" s="127">
        <v>0.0</v>
      </c>
      <c r="AH264" s="127">
        <v>0.0</v>
      </c>
      <c r="AI264" s="115" t="s">
        <v>12383</v>
      </c>
      <c r="AJ264" s="116">
        <v>0.5</v>
      </c>
      <c r="AK264" s="117"/>
      <c r="AL264" s="117"/>
      <c r="AM264" s="117"/>
      <c r="AN264" s="117"/>
      <c r="AO264" s="117"/>
    </row>
    <row r="265" ht="34.5" customHeight="1">
      <c r="A265" s="111">
        <v>592.0</v>
      </c>
      <c r="B265" s="111" t="s">
        <v>8247</v>
      </c>
      <c r="C265" s="127" t="s">
        <v>8071</v>
      </c>
      <c r="D265" s="111">
        <v>2025.0</v>
      </c>
      <c r="E265" s="111"/>
      <c r="F265" s="111" t="s">
        <v>12399</v>
      </c>
      <c r="G265" s="111" t="s">
        <v>12381</v>
      </c>
      <c r="H265" s="111" t="s">
        <v>12230</v>
      </c>
      <c r="I265" s="111" t="s">
        <v>12759</v>
      </c>
      <c r="J265" s="111" t="s">
        <v>12291</v>
      </c>
      <c r="K265" s="111" t="s">
        <v>174</v>
      </c>
      <c r="L265" s="111"/>
      <c r="M265" s="111">
        <v>1.0</v>
      </c>
      <c r="N265" s="111"/>
      <c r="O265" s="111"/>
      <c r="P265" s="111"/>
      <c r="Q265" s="111"/>
      <c r="R265" s="111"/>
      <c r="S265" s="111"/>
      <c r="T265" s="111"/>
      <c r="U265" s="111"/>
      <c r="V265" s="111"/>
      <c r="W265" s="111"/>
      <c r="X265" s="111"/>
      <c r="Y265" s="111"/>
      <c r="Z265" s="111" t="s">
        <v>12398</v>
      </c>
      <c r="AA265" s="124">
        <v>26.0</v>
      </c>
      <c r="AB265" s="125">
        <f>IF(Projects!$AI265="Electrolysis",
AA265/VLOOKUP(G265,ElectrolysisConvF,3,FALSE),
AC265*10^6/(H2dens*HoursInYear))</f>
        <v>5777.777778</v>
      </c>
      <c r="AC265" s="126">
        <f t="shared" si="35"/>
        <v>4.504586667</v>
      </c>
      <c r="AD265" s="125"/>
      <c r="AE265" s="125">
        <f t="shared" si="33"/>
        <v>5777.777778</v>
      </c>
      <c r="AF265" s="127" t="s">
        <v>12789</v>
      </c>
      <c r="AG265" s="127">
        <v>-23.0953027437655</v>
      </c>
      <c r="AH265" s="127">
        <v>-70.4331803013545</v>
      </c>
      <c r="AI265" s="115" t="s">
        <v>12383</v>
      </c>
      <c r="AJ265" s="116">
        <v>0.7</v>
      </c>
      <c r="AK265" s="117"/>
      <c r="AL265" s="117"/>
      <c r="AM265" s="117"/>
      <c r="AN265" s="117"/>
      <c r="AO265" s="117"/>
    </row>
    <row r="266" ht="34.5" customHeight="1">
      <c r="A266" s="111">
        <v>593.0</v>
      </c>
      <c r="B266" s="111" t="s">
        <v>8248</v>
      </c>
      <c r="C266" s="127" t="s">
        <v>8071</v>
      </c>
      <c r="D266" s="111">
        <v>2030.0</v>
      </c>
      <c r="E266" s="111"/>
      <c r="F266" s="111" t="s">
        <v>12399</v>
      </c>
      <c r="G266" s="111" t="s">
        <v>12381</v>
      </c>
      <c r="H266" s="111" t="s">
        <v>12230</v>
      </c>
      <c r="I266" s="111" t="s">
        <v>12759</v>
      </c>
      <c r="J266" s="111" t="s">
        <v>12291</v>
      </c>
      <c r="K266" s="111" t="s">
        <v>174</v>
      </c>
      <c r="L266" s="111"/>
      <c r="M266" s="111">
        <v>1.0</v>
      </c>
      <c r="N266" s="111"/>
      <c r="O266" s="111"/>
      <c r="P266" s="111"/>
      <c r="Q266" s="111"/>
      <c r="R266" s="111"/>
      <c r="S266" s="111"/>
      <c r="T266" s="111"/>
      <c r="U266" s="111"/>
      <c r="V266" s="111"/>
      <c r="W266" s="111"/>
      <c r="X266" s="111"/>
      <c r="Y266" s="111"/>
      <c r="Z266" s="111" t="s">
        <v>12790</v>
      </c>
      <c r="AA266" s="124">
        <v>2000.0</v>
      </c>
      <c r="AB266" s="125">
        <f>IF(Projects!$AI266="Electrolysis",
AA266/VLOOKUP(G266,ElectrolysisConvF,3,FALSE),
AC266*10^6/(H2dens*HoursInYear))</f>
        <v>444444.4444</v>
      </c>
      <c r="AC266" s="126">
        <f t="shared" si="35"/>
        <v>346.5066667</v>
      </c>
      <c r="AD266" s="125"/>
      <c r="AE266" s="125">
        <f t="shared" si="33"/>
        <v>444444.4444</v>
      </c>
      <c r="AF266" s="127" t="s">
        <v>12791</v>
      </c>
      <c r="AG266" s="127">
        <v>-23.0953027437655</v>
      </c>
      <c r="AH266" s="127">
        <v>-70.4331803013545</v>
      </c>
      <c r="AI266" s="115" t="s">
        <v>12383</v>
      </c>
      <c r="AJ266" s="116">
        <v>0.7</v>
      </c>
      <c r="AK266" s="117"/>
      <c r="AL266" s="117"/>
      <c r="AM266" s="117"/>
      <c r="AN266" s="117"/>
      <c r="AO266" s="117"/>
    </row>
    <row r="267" ht="34.5" customHeight="1">
      <c r="A267" s="111">
        <v>594.0</v>
      </c>
      <c r="B267" s="111" t="s">
        <v>8068</v>
      </c>
      <c r="C267" s="127" t="s">
        <v>8069</v>
      </c>
      <c r="D267" s="111">
        <v>2025.0</v>
      </c>
      <c r="E267" s="111"/>
      <c r="F267" s="111" t="s">
        <v>12399</v>
      </c>
      <c r="G267" s="111" t="s">
        <v>12226</v>
      </c>
      <c r="H267" s="111"/>
      <c r="I267" s="111" t="s">
        <v>12394</v>
      </c>
      <c r="J267" s="111" t="s">
        <v>12295</v>
      </c>
      <c r="K267" s="111" t="s">
        <v>30</v>
      </c>
      <c r="L267" s="111"/>
      <c r="M267" s="111"/>
      <c r="N267" s="111"/>
      <c r="O267" s="111"/>
      <c r="P267" s="111"/>
      <c r="Q267" s="111">
        <v>1.0</v>
      </c>
      <c r="R267" s="111"/>
      <c r="S267" s="111"/>
      <c r="T267" s="111"/>
      <c r="U267" s="111"/>
      <c r="V267" s="111"/>
      <c r="W267" s="111"/>
      <c r="X267" s="111"/>
      <c r="Y267" s="111"/>
      <c r="Z267" s="111" t="s">
        <v>12420</v>
      </c>
      <c r="AA267" s="124">
        <v>1.0</v>
      </c>
      <c r="AB267" s="125">
        <f>IF(Projects!$AI267="Electrolysis",
AA267/VLOOKUP(G267,ElectrolysisConvF,3,FALSE),
AC267*10^6/(H2dens*HoursInYear))</f>
        <v>192.3076923</v>
      </c>
      <c r="AC267" s="126">
        <f t="shared" si="35"/>
        <v>0.1499307692</v>
      </c>
      <c r="AD267" s="125"/>
      <c r="AE267" s="125">
        <f t="shared" si="33"/>
        <v>192.3076923</v>
      </c>
      <c r="AF267" s="127"/>
      <c r="AG267" s="127">
        <v>10.4210978412384</v>
      </c>
      <c r="AH267" s="127">
        <v>-85.4209688633961</v>
      </c>
      <c r="AI267" s="115" t="s">
        <v>12383</v>
      </c>
      <c r="AJ267" s="116">
        <v>0.5</v>
      </c>
      <c r="AK267" s="117"/>
      <c r="AL267" s="117"/>
      <c r="AM267" s="117"/>
      <c r="AN267" s="117"/>
      <c r="AO267" s="117"/>
    </row>
    <row r="268" ht="34.5" customHeight="1">
      <c r="A268" s="111">
        <v>595.0</v>
      </c>
      <c r="B268" s="111" t="s">
        <v>8249</v>
      </c>
      <c r="C268" s="127" t="s">
        <v>7967</v>
      </c>
      <c r="D268" s="111">
        <v>2027.0</v>
      </c>
      <c r="E268" s="111"/>
      <c r="F268" s="111" t="s">
        <v>12399</v>
      </c>
      <c r="G268" s="111" t="s">
        <v>12381</v>
      </c>
      <c r="H268" s="111" t="s">
        <v>12230</v>
      </c>
      <c r="I268" s="111" t="s">
        <v>12394</v>
      </c>
      <c r="J268" s="111" t="s">
        <v>12293</v>
      </c>
      <c r="K268" s="111" t="s">
        <v>30</v>
      </c>
      <c r="L268" s="111"/>
      <c r="M268" s="111"/>
      <c r="N268" s="111"/>
      <c r="O268" s="111"/>
      <c r="P268" s="111"/>
      <c r="Q268" s="111"/>
      <c r="R268" s="111">
        <v>1.0</v>
      </c>
      <c r="S268" s="111">
        <v>1.0</v>
      </c>
      <c r="T268" s="111"/>
      <c r="U268" s="111"/>
      <c r="V268" s="111"/>
      <c r="W268" s="111"/>
      <c r="X268" s="111"/>
      <c r="Y268" s="111"/>
      <c r="Z268" s="111" t="s">
        <v>12698</v>
      </c>
      <c r="AA268" s="124">
        <v>100.0</v>
      </c>
      <c r="AB268" s="125">
        <f>IF(Projects!$AI268="Electrolysis",
AA268/VLOOKUP(G268,ElectrolysisConvF,3,FALSE),
AC268*10^6/(H2dens*HoursInYear))</f>
        <v>22222.22222</v>
      </c>
      <c r="AC268" s="126">
        <f t="shared" si="35"/>
        <v>17.32533333</v>
      </c>
      <c r="AD268" s="125"/>
      <c r="AE268" s="125">
        <f t="shared" si="33"/>
        <v>22222.22222</v>
      </c>
      <c r="AF268" s="127" t="s">
        <v>12792</v>
      </c>
      <c r="AG268" s="127">
        <v>53.4173183608964</v>
      </c>
      <c r="AH268" s="127">
        <v>6.45003544898209</v>
      </c>
      <c r="AI268" s="115" t="s">
        <v>12383</v>
      </c>
      <c r="AJ268" s="116">
        <v>0.55</v>
      </c>
      <c r="AK268" s="117"/>
      <c r="AL268" s="117"/>
      <c r="AM268" s="117"/>
      <c r="AN268" s="117"/>
      <c r="AO268" s="117"/>
    </row>
    <row r="269" ht="34.5" customHeight="1">
      <c r="A269" s="111">
        <v>596.0</v>
      </c>
      <c r="B269" s="111" t="s">
        <v>8250</v>
      </c>
      <c r="C269" s="127" t="s">
        <v>7967</v>
      </c>
      <c r="D269" s="111">
        <v>2028.0</v>
      </c>
      <c r="E269" s="111"/>
      <c r="F269" s="111" t="s">
        <v>12399</v>
      </c>
      <c r="G269" s="111" t="s">
        <v>12381</v>
      </c>
      <c r="H269" s="111" t="s">
        <v>12230</v>
      </c>
      <c r="I269" s="111" t="s">
        <v>12394</v>
      </c>
      <c r="J269" s="111" t="s">
        <v>12293</v>
      </c>
      <c r="K269" s="111" t="s">
        <v>30</v>
      </c>
      <c r="L269" s="111"/>
      <c r="M269" s="111"/>
      <c r="N269" s="111"/>
      <c r="O269" s="111"/>
      <c r="P269" s="111"/>
      <c r="Q269" s="111"/>
      <c r="R269" s="111">
        <v>1.0</v>
      </c>
      <c r="S269" s="111">
        <v>1.0</v>
      </c>
      <c r="T269" s="111"/>
      <c r="U269" s="111"/>
      <c r="V269" s="111"/>
      <c r="W269" s="111"/>
      <c r="X269" s="111"/>
      <c r="Y269" s="111"/>
      <c r="Z269" s="111" t="s">
        <v>12777</v>
      </c>
      <c r="AA269" s="124">
        <v>900.0</v>
      </c>
      <c r="AB269" s="125">
        <f>IF(Projects!$AI269="Electrolysis",
AA269/VLOOKUP(G269,ElectrolysisConvF,3,FALSE),
AC269*10^6/(H2dens*HoursInYear))</f>
        <v>200000</v>
      </c>
      <c r="AC269" s="126">
        <f t="shared" si="35"/>
        <v>155.928</v>
      </c>
      <c r="AD269" s="125"/>
      <c r="AE269" s="125">
        <f t="shared" si="33"/>
        <v>200000</v>
      </c>
      <c r="AF269" s="127" t="s">
        <v>12793</v>
      </c>
      <c r="AG269" s="127">
        <v>53.4173183608964</v>
      </c>
      <c r="AH269" s="127">
        <v>6.45003544898209</v>
      </c>
      <c r="AI269" s="115" t="s">
        <v>12383</v>
      </c>
      <c r="AJ269" s="116">
        <v>0.55</v>
      </c>
      <c r="AK269" s="117"/>
      <c r="AL269" s="117"/>
      <c r="AM269" s="117"/>
      <c r="AN269" s="117"/>
      <c r="AO269" s="117"/>
    </row>
    <row r="270" ht="34.5" customHeight="1">
      <c r="A270" s="111">
        <v>597.0</v>
      </c>
      <c r="B270" s="111" t="s">
        <v>8251</v>
      </c>
      <c r="C270" s="127" t="s">
        <v>8011</v>
      </c>
      <c r="D270" s="111">
        <v>2030.0</v>
      </c>
      <c r="E270" s="111"/>
      <c r="F270" s="111" t="s">
        <v>12399</v>
      </c>
      <c r="G270" s="111" t="s">
        <v>12381</v>
      </c>
      <c r="H270" s="111" t="s">
        <v>12230</v>
      </c>
      <c r="I270" s="111" t="s">
        <v>12394</v>
      </c>
      <c r="J270" s="111" t="s">
        <v>12291</v>
      </c>
      <c r="K270" s="111" t="s">
        <v>30</v>
      </c>
      <c r="L270" s="111"/>
      <c r="M270" s="111"/>
      <c r="N270" s="111"/>
      <c r="O270" s="111"/>
      <c r="P270" s="111">
        <v>1.0</v>
      </c>
      <c r="Q270" s="111">
        <v>1.0</v>
      </c>
      <c r="R270" s="111">
        <v>1.0</v>
      </c>
      <c r="S270" s="111">
        <v>1.0</v>
      </c>
      <c r="T270" s="111"/>
      <c r="U270" s="111"/>
      <c r="V270" s="111"/>
      <c r="W270" s="111"/>
      <c r="X270" s="111"/>
      <c r="Y270" s="111"/>
      <c r="Z270" s="111" t="s">
        <v>12794</v>
      </c>
      <c r="AA270" s="124">
        <v>350.0</v>
      </c>
      <c r="AB270" s="125">
        <f>IF(Projects!$AI270="Electrolysis",
AA270/VLOOKUP(G270,ElectrolysisConvF,3,FALSE),
AC270*10^6/(H2dens*HoursInYear))</f>
        <v>77777.77778</v>
      </c>
      <c r="AC270" s="126">
        <f t="shared" si="35"/>
        <v>60.63866667</v>
      </c>
      <c r="AD270" s="125"/>
      <c r="AE270" s="125">
        <f t="shared" si="33"/>
        <v>77777.77778</v>
      </c>
      <c r="AF270" s="127" t="s">
        <v>12795</v>
      </c>
      <c r="AG270" s="127">
        <v>43.8362335994639</v>
      </c>
      <c r="AH270" s="127">
        <v>5.7834161152823</v>
      </c>
      <c r="AI270" s="115" t="s">
        <v>12383</v>
      </c>
      <c r="AJ270" s="116">
        <v>0.3</v>
      </c>
      <c r="AK270" s="117"/>
      <c r="AL270" s="117"/>
      <c r="AM270" s="117"/>
      <c r="AN270" s="117"/>
      <c r="AO270" s="117"/>
    </row>
    <row r="271" ht="34.5" customHeight="1">
      <c r="A271" s="111">
        <v>600.0</v>
      </c>
      <c r="B271" s="111" t="s">
        <v>8252</v>
      </c>
      <c r="C271" s="127" t="s">
        <v>8003</v>
      </c>
      <c r="D271" s="111">
        <v>2028.0</v>
      </c>
      <c r="E271" s="111"/>
      <c r="F271" s="111" t="s">
        <v>12399</v>
      </c>
      <c r="G271" s="111" t="s">
        <v>12381</v>
      </c>
      <c r="H271" s="111" t="s">
        <v>12230</v>
      </c>
      <c r="I271" s="111" t="s">
        <v>12394</v>
      </c>
      <c r="J271" s="111" t="s">
        <v>12295</v>
      </c>
      <c r="K271" s="111" t="s">
        <v>12415</v>
      </c>
      <c r="L271" s="111"/>
      <c r="M271" s="111"/>
      <c r="N271" s="111">
        <v>1.0</v>
      </c>
      <c r="O271" s="111"/>
      <c r="P271" s="111"/>
      <c r="Q271" s="111"/>
      <c r="R271" s="111"/>
      <c r="S271" s="111"/>
      <c r="T271" s="111"/>
      <c r="U271" s="111"/>
      <c r="V271" s="111"/>
      <c r="W271" s="111"/>
      <c r="X271" s="111"/>
      <c r="Y271" s="111"/>
      <c r="Z271" s="111" t="s">
        <v>12796</v>
      </c>
      <c r="AA271" s="129">
        <f>IF(Projects!$AI271="Electrolysis",
AB271*VLOOKUP(G271,ElectrolysisConvF,3,FALSE),
"")</f>
        <v>252.8089888</v>
      </c>
      <c r="AB271" s="125">
        <f>AC271/(H2dens*HoursInYear/10^6)</f>
        <v>56179.77528</v>
      </c>
      <c r="AC271" s="126">
        <f>0.06*365/Projects!$AJ271</f>
        <v>43.8</v>
      </c>
      <c r="AD271" s="125"/>
      <c r="AE271" s="125">
        <f t="shared" si="33"/>
        <v>56179.77528</v>
      </c>
      <c r="AF271" s="127" t="s">
        <v>12797</v>
      </c>
      <c r="AG271" s="127">
        <v>55.1261993747568</v>
      </c>
      <c r="AH271" s="127">
        <v>-120.989763688201</v>
      </c>
      <c r="AI271" s="115" t="s">
        <v>12383</v>
      </c>
      <c r="AJ271" s="116">
        <v>0.5</v>
      </c>
      <c r="AK271" s="117"/>
      <c r="AL271" s="117"/>
      <c r="AM271" s="117"/>
      <c r="AN271" s="117"/>
      <c r="AO271" s="117"/>
    </row>
    <row r="272" ht="34.5" customHeight="1">
      <c r="A272" s="111">
        <v>601.0</v>
      </c>
      <c r="B272" s="111" t="s">
        <v>8253</v>
      </c>
      <c r="C272" s="127" t="s">
        <v>7967</v>
      </c>
      <c r="D272" s="111"/>
      <c r="E272" s="111"/>
      <c r="F272" s="111" t="s">
        <v>12399</v>
      </c>
      <c r="G272" s="111" t="s">
        <v>12381</v>
      </c>
      <c r="H272" s="111" t="s">
        <v>12230</v>
      </c>
      <c r="I272" s="111" t="s">
        <v>12394</v>
      </c>
      <c r="J272" s="111" t="s">
        <v>12295</v>
      </c>
      <c r="K272" s="111" t="s">
        <v>30</v>
      </c>
      <c r="L272" s="111">
        <v>1.0</v>
      </c>
      <c r="M272" s="111"/>
      <c r="N272" s="111"/>
      <c r="O272" s="111"/>
      <c r="P272" s="111"/>
      <c r="Q272" s="111"/>
      <c r="R272" s="111"/>
      <c r="S272" s="111"/>
      <c r="T272" s="111"/>
      <c r="U272" s="111"/>
      <c r="V272" s="111"/>
      <c r="W272" s="111"/>
      <c r="X272" s="111"/>
      <c r="Y272" s="111"/>
      <c r="Z272" s="111" t="s">
        <v>12798</v>
      </c>
      <c r="AA272" s="124">
        <v>250.0</v>
      </c>
      <c r="AB272" s="125">
        <f>IF(Projects!$AI272="Electrolysis",
AA272/VLOOKUP(G272,ElectrolysisConvF,3,FALSE),
AC272*10^6/(H2dens*HoursInYear))</f>
        <v>55555.55556</v>
      </c>
      <c r="AC272" s="126">
        <f t="shared" ref="AC272:AC281" si="36">AB272*H2dens*HoursInYear/10^6</f>
        <v>43.31333333</v>
      </c>
      <c r="AD272" s="125"/>
      <c r="AE272" s="125">
        <f t="shared" si="33"/>
        <v>55555.55556</v>
      </c>
      <c r="AF272" s="127" t="s">
        <v>12799</v>
      </c>
      <c r="AG272" s="127">
        <v>51.9390689092845</v>
      </c>
      <c r="AH272" s="127">
        <v>4.11009238416525</v>
      </c>
      <c r="AI272" s="115" t="s">
        <v>12383</v>
      </c>
      <c r="AJ272" s="116">
        <v>0.5</v>
      </c>
      <c r="AK272" s="117"/>
      <c r="AL272" s="117"/>
      <c r="AM272" s="117"/>
      <c r="AN272" s="117"/>
      <c r="AO272" s="117"/>
    </row>
    <row r="273" ht="34.5" customHeight="1">
      <c r="A273" s="111">
        <v>602.0</v>
      </c>
      <c r="B273" s="111" t="s">
        <v>8254</v>
      </c>
      <c r="C273" s="111" t="s">
        <v>7977</v>
      </c>
      <c r="D273" s="111">
        <v>2026.0</v>
      </c>
      <c r="E273" s="111"/>
      <c r="F273" s="111" t="s">
        <v>12399</v>
      </c>
      <c r="G273" s="111" t="s">
        <v>12381</v>
      </c>
      <c r="H273" s="111" t="s">
        <v>12230</v>
      </c>
      <c r="I273" s="111" t="s">
        <v>12394</v>
      </c>
      <c r="J273" s="111" t="s">
        <v>12295</v>
      </c>
      <c r="K273" s="111" t="s">
        <v>30</v>
      </c>
      <c r="L273" s="111"/>
      <c r="M273" s="111"/>
      <c r="N273" s="111"/>
      <c r="O273" s="111"/>
      <c r="P273" s="111">
        <v>1.0</v>
      </c>
      <c r="Q273" s="111">
        <v>1.0</v>
      </c>
      <c r="R273" s="111"/>
      <c r="S273" s="111"/>
      <c r="T273" s="111"/>
      <c r="U273" s="111"/>
      <c r="V273" s="111"/>
      <c r="W273" s="111"/>
      <c r="X273" s="111"/>
      <c r="Y273" s="111"/>
      <c r="Z273" s="111" t="s">
        <v>12800</v>
      </c>
      <c r="AA273" s="124">
        <v>40.0</v>
      </c>
      <c r="AB273" s="125">
        <f>IF(Projects!$AI273="Electrolysis",
AA273/VLOOKUP(G273,ElectrolysisConvF,3,FALSE),
AC273*10^6/(H2dens*HoursInYear))</f>
        <v>8888.888889</v>
      </c>
      <c r="AC273" s="126">
        <f t="shared" si="36"/>
        <v>6.930133333</v>
      </c>
      <c r="AD273" s="125"/>
      <c r="AE273" s="125">
        <f t="shared" si="33"/>
        <v>8888.888889</v>
      </c>
      <c r="AF273" s="127" t="s">
        <v>12801</v>
      </c>
      <c r="AG273" s="127">
        <v>41.5351238477826</v>
      </c>
      <c r="AH273" s="127">
        <v>-0.891003207720106</v>
      </c>
      <c r="AI273" s="115" t="s">
        <v>12383</v>
      </c>
      <c r="AJ273" s="116">
        <v>0.5</v>
      </c>
      <c r="AK273" s="117"/>
      <c r="AL273" s="117"/>
      <c r="AM273" s="117"/>
      <c r="AN273" s="117"/>
      <c r="AO273" s="117"/>
    </row>
    <row r="274" ht="34.5" customHeight="1">
      <c r="A274" s="111">
        <v>603.0</v>
      </c>
      <c r="B274" s="111" t="s">
        <v>8255</v>
      </c>
      <c r="C274" s="111" t="s">
        <v>8001</v>
      </c>
      <c r="D274" s="111">
        <v>2021.0</v>
      </c>
      <c r="E274" s="111"/>
      <c r="F274" s="111" t="s">
        <v>12385</v>
      </c>
      <c r="G274" s="111" t="s">
        <v>12224</v>
      </c>
      <c r="H274" s="111"/>
      <c r="I274" s="111" t="s">
        <v>12394</v>
      </c>
      <c r="J274" s="111" t="s">
        <v>12291</v>
      </c>
      <c r="K274" s="111" t="s">
        <v>30</v>
      </c>
      <c r="L274" s="111"/>
      <c r="M274" s="111"/>
      <c r="N274" s="111">
        <v>1.0</v>
      </c>
      <c r="O274" s="111"/>
      <c r="P274" s="111"/>
      <c r="Q274" s="111"/>
      <c r="R274" s="111"/>
      <c r="S274" s="111"/>
      <c r="T274" s="111"/>
      <c r="U274" s="111"/>
      <c r="V274" s="111"/>
      <c r="W274" s="111"/>
      <c r="X274" s="111"/>
      <c r="Y274" s="111"/>
      <c r="Z274" s="111" t="s">
        <v>12802</v>
      </c>
      <c r="AA274" s="124">
        <v>30.0</v>
      </c>
      <c r="AB274" s="125">
        <f>IF(Projects!$AI274="Electrolysis",
AA274/VLOOKUP(G274,ElectrolysisConvF,3,FALSE),
AC274*10^6/(H2dens*HoursInYear))</f>
        <v>6521.73913</v>
      </c>
      <c r="AC274" s="126">
        <f t="shared" si="36"/>
        <v>5.084608696</v>
      </c>
      <c r="AD274" s="125"/>
      <c r="AE274" s="125">
        <f t="shared" si="33"/>
        <v>6521.73913</v>
      </c>
      <c r="AF274" s="127" t="s">
        <v>12803</v>
      </c>
      <c r="AG274" s="127">
        <v>38.4925329030854</v>
      </c>
      <c r="AH274" s="127">
        <v>106.23846956603</v>
      </c>
      <c r="AI274" s="115" t="s">
        <v>12383</v>
      </c>
      <c r="AJ274" s="116">
        <v>0.3</v>
      </c>
      <c r="AK274" s="117"/>
      <c r="AL274" s="117"/>
      <c r="AM274" s="117"/>
      <c r="AN274" s="117"/>
      <c r="AO274" s="117"/>
    </row>
    <row r="275" ht="34.5" customHeight="1">
      <c r="A275" s="111">
        <v>604.0</v>
      </c>
      <c r="B275" s="111" t="s">
        <v>8256</v>
      </c>
      <c r="C275" s="111" t="s">
        <v>8021</v>
      </c>
      <c r="D275" s="111">
        <v>2028.0</v>
      </c>
      <c r="E275" s="111"/>
      <c r="F275" s="111" t="s">
        <v>12399</v>
      </c>
      <c r="G275" s="111" t="s">
        <v>12381</v>
      </c>
      <c r="H275" s="111" t="s">
        <v>12230</v>
      </c>
      <c r="I275" s="111" t="s">
        <v>12394</v>
      </c>
      <c r="J275" s="111" t="s">
        <v>12291</v>
      </c>
      <c r="K275" s="111" t="s">
        <v>174</v>
      </c>
      <c r="L275" s="111"/>
      <c r="M275" s="111">
        <v>1.0</v>
      </c>
      <c r="N275" s="111"/>
      <c r="O275" s="111"/>
      <c r="P275" s="111"/>
      <c r="Q275" s="111"/>
      <c r="R275" s="111"/>
      <c r="S275" s="111"/>
      <c r="T275" s="111"/>
      <c r="U275" s="111"/>
      <c r="V275" s="111"/>
      <c r="W275" s="111"/>
      <c r="X275" s="111"/>
      <c r="Y275" s="111"/>
      <c r="Z275" s="111" t="s">
        <v>12804</v>
      </c>
      <c r="AA275" s="124">
        <v>160.0</v>
      </c>
      <c r="AB275" s="125">
        <f>IF(Projects!$AI275="Electrolysis",
AA275/VLOOKUP(G275,ElectrolysisConvF,3,FALSE),
AC275*10^6/(H2dens*HoursInYear))</f>
        <v>35555.55556</v>
      </c>
      <c r="AC275" s="126">
        <f t="shared" si="36"/>
        <v>27.72053333</v>
      </c>
      <c r="AD275" s="125"/>
      <c r="AE275" s="125">
        <f t="shared" si="33"/>
        <v>35555.55556</v>
      </c>
      <c r="AF275" s="127" t="s">
        <v>12805</v>
      </c>
      <c r="AG275" s="127">
        <v>-22.0115481230646</v>
      </c>
      <c r="AH275" s="127">
        <v>148.014037766604</v>
      </c>
      <c r="AI275" s="115" t="s">
        <v>12383</v>
      </c>
      <c r="AJ275" s="116">
        <v>0.3</v>
      </c>
      <c r="AK275" s="117"/>
      <c r="AL275" s="117"/>
      <c r="AM275" s="117"/>
      <c r="AN275" s="117"/>
      <c r="AO275" s="117"/>
    </row>
    <row r="276" ht="34.5" customHeight="1">
      <c r="A276" s="111">
        <v>605.0</v>
      </c>
      <c r="B276" s="111" t="s">
        <v>8257</v>
      </c>
      <c r="C276" s="111" t="s">
        <v>7977</v>
      </c>
      <c r="D276" s="111"/>
      <c r="E276" s="111"/>
      <c r="F276" s="111" t="s">
        <v>12399</v>
      </c>
      <c r="G276" s="111" t="s">
        <v>12381</v>
      </c>
      <c r="H276" s="111" t="s">
        <v>12230</v>
      </c>
      <c r="I276" s="111" t="s">
        <v>12394</v>
      </c>
      <c r="J276" s="111" t="s">
        <v>12295</v>
      </c>
      <c r="K276" s="111" t="s">
        <v>30</v>
      </c>
      <c r="L276" s="111"/>
      <c r="M276" s="111"/>
      <c r="N276" s="111"/>
      <c r="O276" s="111"/>
      <c r="P276" s="111">
        <v>1.0</v>
      </c>
      <c r="Q276" s="111"/>
      <c r="R276" s="111"/>
      <c r="S276" s="111"/>
      <c r="T276" s="111"/>
      <c r="U276" s="111"/>
      <c r="V276" s="111"/>
      <c r="W276" s="111"/>
      <c r="X276" s="111"/>
      <c r="Y276" s="111"/>
      <c r="Z276" s="111" t="s">
        <v>12806</v>
      </c>
      <c r="AA276" s="124">
        <v>150.0</v>
      </c>
      <c r="AB276" s="125">
        <f>IF(Projects!$AI276="Electrolysis",
AA276/VLOOKUP(G276,ElectrolysisConvF,3,FALSE),
AC276*10^6/(H2dens*HoursInYear))</f>
        <v>33333.33333</v>
      </c>
      <c r="AC276" s="126">
        <f t="shared" si="36"/>
        <v>25.988</v>
      </c>
      <c r="AD276" s="125"/>
      <c r="AE276" s="125">
        <f t="shared" si="33"/>
        <v>33333.33333</v>
      </c>
      <c r="AF276" s="127" t="s">
        <v>12807</v>
      </c>
      <c r="AG276" s="127">
        <v>43.21358</v>
      </c>
      <c r="AH276" s="127">
        <v>-2.570276</v>
      </c>
      <c r="AI276" s="115" t="s">
        <v>12383</v>
      </c>
      <c r="AJ276" s="116">
        <v>0.5</v>
      </c>
      <c r="AK276" s="117"/>
      <c r="AL276" s="117"/>
      <c r="AM276" s="117"/>
      <c r="AN276" s="117"/>
      <c r="AO276" s="117"/>
    </row>
    <row r="277" ht="34.5" customHeight="1">
      <c r="A277" s="111">
        <v>607.0</v>
      </c>
      <c r="B277" s="111" t="s">
        <v>8258</v>
      </c>
      <c r="C277" s="111" t="s">
        <v>7977</v>
      </c>
      <c r="D277" s="111">
        <v>2028.0</v>
      </c>
      <c r="E277" s="111"/>
      <c r="F277" s="111" t="s">
        <v>12399</v>
      </c>
      <c r="G277" s="111" t="s">
        <v>12381</v>
      </c>
      <c r="H277" s="111" t="s">
        <v>12230</v>
      </c>
      <c r="I277" s="111" t="s">
        <v>12759</v>
      </c>
      <c r="J277" s="111" t="s">
        <v>12291</v>
      </c>
      <c r="K277" s="111" t="s">
        <v>30</v>
      </c>
      <c r="L277" s="111"/>
      <c r="M277" s="111">
        <v>1.0</v>
      </c>
      <c r="N277" s="111"/>
      <c r="O277" s="111"/>
      <c r="P277" s="111"/>
      <c r="Q277" s="111">
        <v>1.0</v>
      </c>
      <c r="R277" s="111"/>
      <c r="S277" s="111"/>
      <c r="T277" s="111"/>
      <c r="U277" s="111"/>
      <c r="V277" s="111"/>
      <c r="W277" s="111"/>
      <c r="X277" s="111"/>
      <c r="Y277" s="111"/>
      <c r="Z277" s="111" t="s">
        <v>12808</v>
      </c>
      <c r="AA277" s="124">
        <v>280.0</v>
      </c>
      <c r="AB277" s="125">
        <f>IF(Projects!$AI277="Electrolysis",
AA277/VLOOKUP(G277,ElectrolysisConvF,3,FALSE),
AC277*10^6/(H2dens*HoursInYear))</f>
        <v>62222.22222</v>
      </c>
      <c r="AC277" s="126">
        <f t="shared" si="36"/>
        <v>48.51093333</v>
      </c>
      <c r="AD277" s="125"/>
      <c r="AE277" s="125">
        <f t="shared" si="33"/>
        <v>62222.22222</v>
      </c>
      <c r="AF277" s="127" t="s">
        <v>12807</v>
      </c>
      <c r="AG277" s="127">
        <v>42.7923563479284</v>
      </c>
      <c r="AH277" s="127">
        <v>-5.63379294136779</v>
      </c>
      <c r="AI277" s="115" t="s">
        <v>12383</v>
      </c>
      <c r="AJ277" s="116">
        <v>0.7</v>
      </c>
      <c r="AK277" s="117"/>
      <c r="AL277" s="117"/>
      <c r="AM277" s="117"/>
      <c r="AN277" s="117"/>
      <c r="AO277" s="117"/>
    </row>
    <row r="278" ht="34.5" customHeight="1">
      <c r="A278" s="111">
        <v>608.0</v>
      </c>
      <c r="B278" s="111" t="s">
        <v>8259</v>
      </c>
      <c r="C278" s="111" t="s">
        <v>7977</v>
      </c>
      <c r="D278" s="111"/>
      <c r="E278" s="111"/>
      <c r="F278" s="111" t="s">
        <v>12399</v>
      </c>
      <c r="G278" s="111" t="s">
        <v>12381</v>
      </c>
      <c r="H278" s="111" t="s">
        <v>12230</v>
      </c>
      <c r="I278" s="111" t="s">
        <v>12394</v>
      </c>
      <c r="J278" s="111" t="s">
        <v>12295</v>
      </c>
      <c r="K278" s="111" t="s">
        <v>30</v>
      </c>
      <c r="L278" s="111"/>
      <c r="M278" s="111"/>
      <c r="N278" s="111"/>
      <c r="O278" s="111"/>
      <c r="P278" s="111"/>
      <c r="Q278" s="111"/>
      <c r="R278" s="111"/>
      <c r="S278" s="111">
        <v>1.0</v>
      </c>
      <c r="T278" s="111"/>
      <c r="U278" s="111"/>
      <c r="V278" s="111"/>
      <c r="W278" s="111"/>
      <c r="X278" s="111"/>
      <c r="Y278" s="111"/>
      <c r="Z278" s="111" t="s">
        <v>12802</v>
      </c>
      <c r="AA278" s="124">
        <v>30.0</v>
      </c>
      <c r="AB278" s="125">
        <f>IF(Projects!$AI278="Electrolysis",
AA278/VLOOKUP(G278,ElectrolysisConvF,3,FALSE),
AC278*10^6/(H2dens*HoursInYear))</f>
        <v>6666.666667</v>
      </c>
      <c r="AC278" s="126">
        <f t="shared" si="36"/>
        <v>5.1976</v>
      </c>
      <c r="AD278" s="125"/>
      <c r="AE278" s="125">
        <f t="shared" si="33"/>
        <v>6666.666667</v>
      </c>
      <c r="AF278" s="127" t="s">
        <v>12807</v>
      </c>
      <c r="AG278" s="127">
        <v>41.3136662141263</v>
      </c>
      <c r="AH278" s="127">
        <v>-0.928434670770528</v>
      </c>
      <c r="AI278" s="115" t="s">
        <v>12383</v>
      </c>
      <c r="AJ278" s="116">
        <v>0.5</v>
      </c>
      <c r="AK278" s="117"/>
      <c r="AL278" s="117"/>
      <c r="AM278" s="117"/>
      <c r="AN278" s="117"/>
      <c r="AO278" s="117"/>
    </row>
    <row r="279" ht="34.5" customHeight="1">
      <c r="A279" s="111">
        <v>609.0</v>
      </c>
      <c r="B279" s="111" t="s">
        <v>8260</v>
      </c>
      <c r="C279" s="111" t="s">
        <v>7967</v>
      </c>
      <c r="D279" s="111">
        <v>2027.0</v>
      </c>
      <c r="E279" s="111"/>
      <c r="F279" s="111" t="s">
        <v>12399</v>
      </c>
      <c r="G279" s="111" t="s">
        <v>12226</v>
      </c>
      <c r="H279" s="111"/>
      <c r="I279" s="111" t="s">
        <v>12394</v>
      </c>
      <c r="J279" s="111" t="s">
        <v>12292</v>
      </c>
      <c r="K279" s="111" t="s">
        <v>30</v>
      </c>
      <c r="L279" s="111">
        <v>1.0</v>
      </c>
      <c r="M279" s="111"/>
      <c r="N279" s="111">
        <v>1.0</v>
      </c>
      <c r="O279" s="111"/>
      <c r="P279" s="111">
        <v>1.0</v>
      </c>
      <c r="Q279" s="111">
        <v>1.0</v>
      </c>
      <c r="R279" s="111"/>
      <c r="S279" s="111"/>
      <c r="T279" s="111"/>
      <c r="U279" s="111"/>
      <c r="V279" s="111"/>
      <c r="W279" s="111">
        <v>1.0</v>
      </c>
      <c r="X279" s="111"/>
      <c r="Y279" s="111"/>
      <c r="Z279" s="111" t="s">
        <v>12768</v>
      </c>
      <c r="AA279" s="124">
        <v>50.0</v>
      </c>
      <c r="AB279" s="125">
        <f>IF(Projects!$AI279="Electrolysis",
AA279/VLOOKUP(G279,ElectrolysisConvF,3,FALSE),
AC279*10^6/(H2dens*HoursInYear))</f>
        <v>9615.384615</v>
      </c>
      <c r="AC279" s="126">
        <f t="shared" si="36"/>
        <v>7.496538462</v>
      </c>
      <c r="AD279" s="125"/>
      <c r="AE279" s="125">
        <f t="shared" si="33"/>
        <v>9615.384615</v>
      </c>
      <c r="AF279" s="127" t="s">
        <v>12809</v>
      </c>
      <c r="AG279" s="127">
        <v>53.4391204300336</v>
      </c>
      <c r="AH279" s="127">
        <v>6.83653040082158</v>
      </c>
      <c r="AI279" s="115" t="s">
        <v>12383</v>
      </c>
      <c r="AJ279" s="116">
        <v>0.4</v>
      </c>
      <c r="AK279" s="117"/>
      <c r="AL279" s="117"/>
      <c r="AM279" s="117"/>
      <c r="AN279" s="117"/>
      <c r="AO279" s="117"/>
    </row>
    <row r="280" ht="34.5" customHeight="1">
      <c r="A280" s="111">
        <v>610.0</v>
      </c>
      <c r="B280" s="111" t="s">
        <v>8261</v>
      </c>
      <c r="C280" s="111" t="s">
        <v>8021</v>
      </c>
      <c r="D280" s="111">
        <v>2027.0</v>
      </c>
      <c r="E280" s="111"/>
      <c r="F280" s="111" t="s">
        <v>12399</v>
      </c>
      <c r="G280" s="111" t="s">
        <v>12381</v>
      </c>
      <c r="H280" s="111" t="s">
        <v>12230</v>
      </c>
      <c r="I280" s="111" t="s">
        <v>12394</v>
      </c>
      <c r="J280" s="111" t="s">
        <v>12291</v>
      </c>
      <c r="K280" s="111" t="s">
        <v>174</v>
      </c>
      <c r="L280" s="111"/>
      <c r="M280" s="111">
        <v>1.0</v>
      </c>
      <c r="N280" s="111"/>
      <c r="O280" s="111"/>
      <c r="P280" s="111"/>
      <c r="Q280" s="111"/>
      <c r="R280" s="111"/>
      <c r="S280" s="111"/>
      <c r="T280" s="111"/>
      <c r="U280" s="111"/>
      <c r="V280" s="111"/>
      <c r="W280" s="111"/>
      <c r="X280" s="111"/>
      <c r="Y280" s="111"/>
      <c r="Z280" s="111" t="s">
        <v>12802</v>
      </c>
      <c r="AA280" s="124">
        <v>30.0</v>
      </c>
      <c r="AB280" s="125">
        <f>IF(Projects!$AI280="Electrolysis",
AA280/VLOOKUP(G280,ElectrolysisConvF,3,FALSE),
AC280*10^6/(H2dens*HoursInYear))</f>
        <v>6666.666667</v>
      </c>
      <c r="AC280" s="126">
        <f t="shared" si="36"/>
        <v>5.1976</v>
      </c>
      <c r="AD280" s="125"/>
      <c r="AE280" s="125">
        <f t="shared" si="33"/>
        <v>6666.666667</v>
      </c>
      <c r="AF280" s="127" t="s">
        <v>12810</v>
      </c>
      <c r="AG280" s="127">
        <v>-24.5067188784556</v>
      </c>
      <c r="AH280" s="127">
        <v>149.974438504567</v>
      </c>
      <c r="AI280" s="115" t="s">
        <v>12383</v>
      </c>
      <c r="AJ280" s="116">
        <v>0.3</v>
      </c>
      <c r="AK280" s="117"/>
      <c r="AL280" s="117"/>
      <c r="AM280" s="117"/>
      <c r="AN280" s="117"/>
      <c r="AO280" s="117"/>
    </row>
    <row r="281" ht="34.5" customHeight="1">
      <c r="A281" s="111">
        <v>611.0</v>
      </c>
      <c r="B281" s="111" t="s">
        <v>8262</v>
      </c>
      <c r="C281" s="111" t="s">
        <v>7967</v>
      </c>
      <c r="D281" s="111">
        <v>2027.0</v>
      </c>
      <c r="E281" s="111"/>
      <c r="F281" s="111" t="s">
        <v>12399</v>
      </c>
      <c r="G281" s="111" t="s">
        <v>12381</v>
      </c>
      <c r="H281" s="111" t="s">
        <v>12230</v>
      </c>
      <c r="I281" s="111" t="s">
        <v>12394</v>
      </c>
      <c r="J281" s="111" t="s">
        <v>12293</v>
      </c>
      <c r="K281" s="111" t="s">
        <v>30</v>
      </c>
      <c r="L281" s="111"/>
      <c r="M281" s="111"/>
      <c r="N281" s="111"/>
      <c r="O281" s="111"/>
      <c r="P281" s="111"/>
      <c r="Q281" s="111"/>
      <c r="R281" s="111">
        <v>1.0</v>
      </c>
      <c r="S281" s="111">
        <v>1.0</v>
      </c>
      <c r="T281" s="111"/>
      <c r="U281" s="111"/>
      <c r="V281" s="111"/>
      <c r="W281" s="111"/>
      <c r="X281" s="111"/>
      <c r="Y281" s="111"/>
      <c r="Z281" s="111" t="s">
        <v>12703</v>
      </c>
      <c r="AA281" s="124">
        <v>10.0</v>
      </c>
      <c r="AB281" s="125">
        <f>IF(Projects!$AI281="Electrolysis",
AA281/VLOOKUP(G281,ElectrolysisConvF,3,FALSE),
AC281*10^6/(H2dens*HoursInYear))</f>
        <v>2222.222222</v>
      </c>
      <c r="AC281" s="126">
        <f t="shared" si="36"/>
        <v>1.732533333</v>
      </c>
      <c r="AD281" s="125"/>
      <c r="AE281" s="125">
        <f t="shared" si="33"/>
        <v>2222.222222</v>
      </c>
      <c r="AF281" s="127" t="s">
        <v>12811</v>
      </c>
      <c r="AG281" s="127">
        <v>52.3661016838894</v>
      </c>
      <c r="AH281" s="127">
        <v>5.03477403347359</v>
      </c>
      <c r="AI281" s="115" t="s">
        <v>12383</v>
      </c>
      <c r="AJ281" s="116">
        <v>0.55</v>
      </c>
      <c r="AK281" s="117"/>
      <c r="AL281" s="117"/>
      <c r="AM281" s="117"/>
      <c r="AN281" s="117"/>
      <c r="AO281" s="117"/>
    </row>
    <row r="282" ht="34.5" customHeight="1">
      <c r="A282" s="111">
        <v>613.0</v>
      </c>
      <c r="B282" s="111" t="s">
        <v>8263</v>
      </c>
      <c r="C282" s="111" t="s">
        <v>8001</v>
      </c>
      <c r="D282" s="111"/>
      <c r="E282" s="111"/>
      <c r="F282" s="111" t="s">
        <v>12397</v>
      </c>
      <c r="G282" s="111" t="s">
        <v>12381</v>
      </c>
      <c r="H282" s="111" t="s">
        <v>12230</v>
      </c>
      <c r="I282" s="111" t="s">
        <v>12394</v>
      </c>
      <c r="J282" s="111" t="s">
        <v>12291</v>
      </c>
      <c r="K282" s="111" t="s">
        <v>30</v>
      </c>
      <c r="L282" s="111"/>
      <c r="M282" s="111"/>
      <c r="N282" s="111"/>
      <c r="O282" s="111"/>
      <c r="P282" s="111"/>
      <c r="Q282" s="111"/>
      <c r="R282" s="111"/>
      <c r="S282" s="111"/>
      <c r="T282" s="111"/>
      <c r="U282" s="111"/>
      <c r="V282" s="111"/>
      <c r="W282" s="111"/>
      <c r="X282" s="111"/>
      <c r="Y282" s="111"/>
      <c r="Z282" s="111"/>
      <c r="AA282" s="124"/>
      <c r="AB282" s="125"/>
      <c r="AC282" s="126"/>
      <c r="AD282" s="125"/>
      <c r="AE282" s="125" t="str">
        <f t="shared" si="33"/>
        <v/>
      </c>
      <c r="AF282" s="127" t="s">
        <v>12812</v>
      </c>
      <c r="AG282" s="127">
        <v>36.8664904092675</v>
      </c>
      <c r="AH282" s="127">
        <v>119.208905036104</v>
      </c>
      <c r="AI282" s="115" t="s">
        <v>12383</v>
      </c>
      <c r="AJ282" s="116">
        <v>0.3</v>
      </c>
      <c r="AK282" s="117"/>
      <c r="AL282" s="117"/>
      <c r="AM282" s="117"/>
      <c r="AN282" s="117"/>
      <c r="AO282" s="117"/>
    </row>
    <row r="283" ht="34.5" customHeight="1">
      <c r="A283" s="111">
        <v>614.0</v>
      </c>
      <c r="B283" s="111" t="s">
        <v>8264</v>
      </c>
      <c r="C283" s="111" t="s">
        <v>7967</v>
      </c>
      <c r="D283" s="111">
        <v>2030.0</v>
      </c>
      <c r="E283" s="111"/>
      <c r="F283" s="111" t="s">
        <v>12399</v>
      </c>
      <c r="G283" s="111" t="s">
        <v>12381</v>
      </c>
      <c r="H283" s="111" t="s">
        <v>12230</v>
      </c>
      <c r="I283" s="111" t="s">
        <v>12394</v>
      </c>
      <c r="J283" s="111" t="s">
        <v>12292</v>
      </c>
      <c r="K283" s="111" t="s">
        <v>30</v>
      </c>
      <c r="L283" s="111"/>
      <c r="M283" s="111"/>
      <c r="N283" s="111"/>
      <c r="O283" s="111"/>
      <c r="P283" s="111">
        <v>1.0</v>
      </c>
      <c r="Q283" s="111">
        <v>1.0</v>
      </c>
      <c r="R283" s="111">
        <v>1.0</v>
      </c>
      <c r="S283" s="111">
        <v>1.0</v>
      </c>
      <c r="T283" s="111"/>
      <c r="U283" s="111"/>
      <c r="V283" s="111"/>
      <c r="W283" s="111"/>
      <c r="X283" s="111"/>
      <c r="Y283" s="111"/>
      <c r="Z283" s="111" t="s">
        <v>12698</v>
      </c>
      <c r="AA283" s="124">
        <v>95.0</v>
      </c>
      <c r="AB283" s="125">
        <f>IF(Projects!$AI283="Electrolysis",
AA283/VLOOKUP(G283,ElectrolysisConvF,3,FALSE),
AC283*10^6/(H2dens*HoursInYear))</f>
        <v>21111.11111</v>
      </c>
      <c r="AC283" s="126">
        <f t="shared" ref="AC283:AC288" si="37">AB283*H2dens*HoursInYear/10^6</f>
        <v>16.45906667</v>
      </c>
      <c r="AD283" s="125"/>
      <c r="AE283" s="125">
        <f t="shared" si="33"/>
        <v>21111.11111</v>
      </c>
      <c r="AF283" s="127" t="s">
        <v>12813</v>
      </c>
      <c r="AG283" s="127">
        <v>51.376054</v>
      </c>
      <c r="AH283" s="127">
        <v>5.461407</v>
      </c>
      <c r="AI283" s="115" t="s">
        <v>12383</v>
      </c>
      <c r="AJ283" s="116">
        <v>0.4</v>
      </c>
      <c r="AK283" s="117"/>
      <c r="AL283" s="117"/>
      <c r="AM283" s="117"/>
      <c r="AN283" s="117"/>
      <c r="AO283" s="117"/>
    </row>
    <row r="284" ht="34.5" customHeight="1">
      <c r="A284" s="111">
        <v>615.0</v>
      </c>
      <c r="B284" s="111" t="s">
        <v>8265</v>
      </c>
      <c r="C284" s="111" t="s">
        <v>8011</v>
      </c>
      <c r="D284" s="111">
        <v>2021.0</v>
      </c>
      <c r="E284" s="111"/>
      <c r="F284" s="111" t="s">
        <v>12385</v>
      </c>
      <c r="G284" s="111" t="s">
        <v>12224</v>
      </c>
      <c r="H284" s="111"/>
      <c r="I284" s="111" t="s">
        <v>12394</v>
      </c>
      <c r="J284" s="111" t="s">
        <v>12296</v>
      </c>
      <c r="K284" s="111" t="s">
        <v>30</v>
      </c>
      <c r="L284" s="111"/>
      <c r="M284" s="111"/>
      <c r="N284" s="111"/>
      <c r="O284" s="111"/>
      <c r="P284" s="111"/>
      <c r="Q284" s="111">
        <v>1.0</v>
      </c>
      <c r="R284" s="111"/>
      <c r="S284" s="111"/>
      <c r="T284" s="111"/>
      <c r="U284" s="111"/>
      <c r="V284" s="111"/>
      <c r="W284" s="111"/>
      <c r="X284" s="111"/>
      <c r="Y284" s="111"/>
      <c r="Z284" s="111" t="s">
        <v>12814</v>
      </c>
      <c r="AA284" s="124">
        <v>0.75</v>
      </c>
      <c r="AB284" s="125">
        <f>IF(Projects!$AI284="Electrolysis",
AA284/VLOOKUP(G284,ElectrolysisConvF,3,FALSE),
AC284*10^6/(H2dens*HoursInYear))</f>
        <v>163.0434783</v>
      </c>
      <c r="AC284" s="126">
        <f t="shared" si="37"/>
        <v>0.1271152174</v>
      </c>
      <c r="AD284" s="125"/>
      <c r="AE284" s="125">
        <f t="shared" si="33"/>
        <v>163.0434783</v>
      </c>
      <c r="AF284" s="127" t="s">
        <v>12815</v>
      </c>
      <c r="AG284" s="127">
        <v>46.9363159229428</v>
      </c>
      <c r="AH284" s="127">
        <v>-2.06992707672759</v>
      </c>
      <c r="AI284" s="115" t="s">
        <v>12383</v>
      </c>
      <c r="AJ284" s="116">
        <v>0.5</v>
      </c>
      <c r="AK284" s="117"/>
      <c r="AL284" s="117"/>
      <c r="AM284" s="117"/>
      <c r="AN284" s="117"/>
      <c r="AO284" s="117"/>
    </row>
    <row r="285" ht="34.5" customHeight="1">
      <c r="A285" s="111">
        <v>616.0</v>
      </c>
      <c r="B285" s="111" t="s">
        <v>8266</v>
      </c>
      <c r="C285" s="111" t="s">
        <v>8011</v>
      </c>
      <c r="D285" s="111">
        <v>2022.0</v>
      </c>
      <c r="E285" s="111"/>
      <c r="F285" s="111" t="s">
        <v>12385</v>
      </c>
      <c r="G285" s="111" t="s">
        <v>12381</v>
      </c>
      <c r="H285" s="111" t="s">
        <v>12230</v>
      </c>
      <c r="I285" s="111" t="s">
        <v>12394</v>
      </c>
      <c r="J285" s="111" t="s">
        <v>12296</v>
      </c>
      <c r="K285" s="111" t="s">
        <v>30</v>
      </c>
      <c r="L285" s="111"/>
      <c r="M285" s="111"/>
      <c r="N285" s="111"/>
      <c r="O285" s="111"/>
      <c r="P285" s="111"/>
      <c r="Q285" s="111">
        <v>1.0</v>
      </c>
      <c r="R285" s="111"/>
      <c r="S285" s="111"/>
      <c r="T285" s="111"/>
      <c r="U285" s="111"/>
      <c r="V285" s="111"/>
      <c r="W285" s="111"/>
      <c r="X285" s="111"/>
      <c r="Y285" s="111"/>
      <c r="Z285" s="111" t="s">
        <v>12816</v>
      </c>
      <c r="AA285" s="124">
        <v>1.0</v>
      </c>
      <c r="AB285" s="125">
        <f>IF(Projects!$AI285="Electrolysis",
AA285/VLOOKUP(G285,ElectrolysisConvF,3,FALSE),
AC285*10^6/(H2dens*HoursInYear))</f>
        <v>222.2222222</v>
      </c>
      <c r="AC285" s="126">
        <f t="shared" si="37"/>
        <v>0.1732533333</v>
      </c>
      <c r="AD285" s="125"/>
      <c r="AE285" s="125">
        <f t="shared" si="33"/>
        <v>222.2222222</v>
      </c>
      <c r="AF285" s="127" t="s">
        <v>12817</v>
      </c>
      <c r="AG285" s="127">
        <v>47.6585099871112</v>
      </c>
      <c r="AH285" s="127">
        <v>-2.76374994701691</v>
      </c>
      <c r="AI285" s="115" t="s">
        <v>12383</v>
      </c>
      <c r="AJ285" s="116">
        <v>0.5</v>
      </c>
      <c r="AK285" s="117"/>
      <c r="AL285" s="117"/>
      <c r="AM285" s="117"/>
      <c r="AN285" s="117"/>
      <c r="AO285" s="117"/>
    </row>
    <row r="286" ht="34.5" customHeight="1">
      <c r="A286" s="111">
        <v>617.0</v>
      </c>
      <c r="B286" s="111" t="s">
        <v>8267</v>
      </c>
      <c r="C286" s="111" t="s">
        <v>8117</v>
      </c>
      <c r="D286" s="111">
        <v>2010.0</v>
      </c>
      <c r="E286" s="111">
        <v>2012.0</v>
      </c>
      <c r="F286" s="111" t="s">
        <v>12418</v>
      </c>
      <c r="G286" s="111" t="s">
        <v>12224</v>
      </c>
      <c r="H286" s="111"/>
      <c r="I286" s="111" t="s">
        <v>12287</v>
      </c>
      <c r="J286" s="111"/>
      <c r="K286" s="111" t="s">
        <v>30</v>
      </c>
      <c r="L286" s="111"/>
      <c r="M286" s="111"/>
      <c r="N286" s="111"/>
      <c r="O286" s="111"/>
      <c r="P286" s="111"/>
      <c r="Q286" s="111"/>
      <c r="R286" s="111">
        <v>1.0</v>
      </c>
      <c r="S286" s="111"/>
      <c r="T286" s="111">
        <v>1.0</v>
      </c>
      <c r="U286" s="111"/>
      <c r="V286" s="111"/>
      <c r="W286" s="111"/>
      <c r="X286" s="111"/>
      <c r="Y286" s="111"/>
      <c r="Z286" s="111" t="s">
        <v>12523</v>
      </c>
      <c r="AA286" s="129">
        <f>IF(Projects!$AI286="Electrolysis",
AB286*VLOOKUP(G286,ElectrolysisConvF,3,FALSE),
"")</f>
        <v>0.0184</v>
      </c>
      <c r="AB286" s="125">
        <v>4.0</v>
      </c>
      <c r="AC286" s="126">
        <f t="shared" si="37"/>
        <v>0.00311856</v>
      </c>
      <c r="AD286" s="125"/>
      <c r="AE286" s="125">
        <f t="shared" si="33"/>
        <v>4</v>
      </c>
      <c r="AF286" s="127" t="s">
        <v>12818</v>
      </c>
      <c r="AG286" s="127">
        <v>0.0</v>
      </c>
      <c r="AH286" s="127">
        <v>0.0</v>
      </c>
      <c r="AI286" s="115" t="s">
        <v>12383</v>
      </c>
      <c r="AJ286" s="116">
        <v>0.57</v>
      </c>
      <c r="AK286" s="117"/>
      <c r="AL286" s="117"/>
      <c r="AM286" s="117"/>
      <c r="AN286" s="117"/>
      <c r="AO286" s="117"/>
    </row>
    <row r="287" ht="34.5" customHeight="1">
      <c r="A287" s="111">
        <v>618.0</v>
      </c>
      <c r="B287" s="111" t="s">
        <v>8268</v>
      </c>
      <c r="C287" s="111" t="s">
        <v>7977</v>
      </c>
      <c r="D287" s="111">
        <v>2026.0</v>
      </c>
      <c r="E287" s="111"/>
      <c r="F287" s="111" t="s">
        <v>12399</v>
      </c>
      <c r="G287" s="111" t="s">
        <v>12226</v>
      </c>
      <c r="H287" s="111"/>
      <c r="I287" s="111" t="s">
        <v>12394</v>
      </c>
      <c r="J287" s="111" t="s">
        <v>12293</v>
      </c>
      <c r="K287" s="111" t="s">
        <v>30</v>
      </c>
      <c r="L287" s="111"/>
      <c r="M287" s="111"/>
      <c r="N287" s="111"/>
      <c r="O287" s="111"/>
      <c r="P287" s="111"/>
      <c r="Q287" s="111">
        <v>1.0</v>
      </c>
      <c r="R287" s="111"/>
      <c r="S287" s="111"/>
      <c r="T287" s="111"/>
      <c r="U287" s="111"/>
      <c r="V287" s="111"/>
      <c r="W287" s="111"/>
      <c r="X287" s="111"/>
      <c r="Y287" s="111"/>
      <c r="Z287" s="111" t="s">
        <v>12589</v>
      </c>
      <c r="AA287" s="124">
        <v>20.0</v>
      </c>
      <c r="AB287" s="125">
        <f>IF(Projects!$AI287="Electrolysis",
AA287/VLOOKUP(G287,ElectrolysisConvF,3,FALSE),
AC287*10^6/(H2dens*HoursInYear))</f>
        <v>3846.153846</v>
      </c>
      <c r="AC287" s="126">
        <f t="shared" si="37"/>
        <v>2.998615385</v>
      </c>
      <c r="AD287" s="125"/>
      <c r="AE287" s="125">
        <f t="shared" si="33"/>
        <v>3846.153846</v>
      </c>
      <c r="AF287" s="127" t="s">
        <v>12819</v>
      </c>
      <c r="AG287" s="127">
        <v>43.457355</v>
      </c>
      <c r="AH287" s="127">
        <v>-7.947904</v>
      </c>
      <c r="AI287" s="115" t="s">
        <v>12383</v>
      </c>
      <c r="AJ287" s="116">
        <v>0.55</v>
      </c>
      <c r="AK287" s="117"/>
      <c r="AL287" s="117"/>
      <c r="AM287" s="117"/>
      <c r="AN287" s="117"/>
      <c r="AO287" s="117"/>
    </row>
    <row r="288" ht="34.5" customHeight="1">
      <c r="A288" s="111">
        <v>619.0</v>
      </c>
      <c r="B288" s="111" t="s">
        <v>8269</v>
      </c>
      <c r="C288" s="111" t="s">
        <v>7977</v>
      </c>
      <c r="D288" s="111">
        <v>2011.0</v>
      </c>
      <c r="E288" s="111">
        <v>2014.0</v>
      </c>
      <c r="F288" s="111" t="s">
        <v>12418</v>
      </c>
      <c r="G288" s="111" t="s">
        <v>12224</v>
      </c>
      <c r="H288" s="111"/>
      <c r="I288" s="111" t="s">
        <v>12419</v>
      </c>
      <c r="J288" s="111"/>
      <c r="K288" s="111" t="s">
        <v>30</v>
      </c>
      <c r="L288" s="111"/>
      <c r="M288" s="111"/>
      <c r="N288" s="111"/>
      <c r="O288" s="111"/>
      <c r="P288" s="111"/>
      <c r="Q288" s="111"/>
      <c r="R288" s="111">
        <v>1.0</v>
      </c>
      <c r="S288" s="111"/>
      <c r="T288" s="111"/>
      <c r="U288" s="111"/>
      <c r="V288" s="111"/>
      <c r="W288" s="111"/>
      <c r="X288" s="111"/>
      <c r="Y288" s="111"/>
      <c r="Z288" s="111" t="s">
        <v>12820</v>
      </c>
      <c r="AA288" s="124">
        <v>2.6</v>
      </c>
      <c r="AB288" s="125">
        <f>IF(Projects!$AI288="Electrolysis",
AA288/VLOOKUP(G288,ElectrolysisConvF,3,FALSE),
AC288*10^6/(H2dens*HoursInYear))</f>
        <v>565.2173913</v>
      </c>
      <c r="AC288" s="126">
        <f t="shared" si="37"/>
        <v>0.440666087</v>
      </c>
      <c r="AD288" s="125"/>
      <c r="AE288" s="125">
        <f t="shared" si="33"/>
        <v>565.2173913</v>
      </c>
      <c r="AF288" s="127" t="s">
        <v>12821</v>
      </c>
      <c r="AG288" s="127">
        <v>0.0</v>
      </c>
      <c r="AH288" s="127">
        <v>0.0</v>
      </c>
      <c r="AI288" s="115" t="s">
        <v>12383</v>
      </c>
      <c r="AJ288" s="116">
        <v>0.57</v>
      </c>
      <c r="AK288" s="117"/>
      <c r="AL288" s="117"/>
      <c r="AM288" s="117"/>
      <c r="AN288" s="117"/>
      <c r="AO288" s="117"/>
    </row>
    <row r="289" ht="34.5" customHeight="1">
      <c r="A289" s="111">
        <v>620.0</v>
      </c>
      <c r="B289" s="111" t="s">
        <v>8270</v>
      </c>
      <c r="C289" s="111" t="s">
        <v>8161</v>
      </c>
      <c r="D289" s="111"/>
      <c r="E289" s="111"/>
      <c r="F289" s="111" t="s">
        <v>12399</v>
      </c>
      <c r="G289" s="111" t="s">
        <v>12226</v>
      </c>
      <c r="H289" s="111"/>
      <c r="I289" s="111" t="s">
        <v>12394</v>
      </c>
      <c r="J289" s="111" t="s">
        <v>12295</v>
      </c>
      <c r="K289" s="111" t="s">
        <v>12251</v>
      </c>
      <c r="L289" s="111"/>
      <c r="M289" s="111"/>
      <c r="N289" s="111"/>
      <c r="O289" s="111"/>
      <c r="P289" s="111"/>
      <c r="Q289" s="111"/>
      <c r="R289" s="111"/>
      <c r="S289" s="111"/>
      <c r="T289" s="111"/>
      <c r="U289" s="111"/>
      <c r="V289" s="111"/>
      <c r="W289" s="111">
        <v>1.0</v>
      </c>
      <c r="X289" s="111"/>
      <c r="Y289" s="111"/>
      <c r="Z289" s="111" t="s">
        <v>12822</v>
      </c>
      <c r="AA289" s="129">
        <f>IF(Projects!$AI289="Electrolysis",
AB289*VLOOKUP(G289,ElectrolysisConvF,3,FALSE),
"")</f>
        <v>68.52477751</v>
      </c>
      <c r="AB289" s="125">
        <f>AC289/(H2dens*HoursInYear/10^6)</f>
        <v>13177.84183</v>
      </c>
      <c r="AC289" s="126">
        <f>10*0.045/0.73/0.12/Projects!$AJ289</f>
        <v>10.2739726</v>
      </c>
      <c r="AD289" s="125"/>
      <c r="AE289" s="125">
        <f t="shared" si="33"/>
        <v>13177.84183</v>
      </c>
      <c r="AF289" s="127" t="s">
        <v>12823</v>
      </c>
      <c r="AG289" s="127">
        <v>0.0</v>
      </c>
      <c r="AH289" s="127">
        <v>0.0</v>
      </c>
      <c r="AI289" s="115" t="s">
        <v>12383</v>
      </c>
      <c r="AJ289" s="116">
        <v>0.5</v>
      </c>
      <c r="AK289" s="117"/>
      <c r="AL289" s="117"/>
      <c r="AM289" s="117"/>
      <c r="AN289" s="117"/>
      <c r="AO289" s="117"/>
    </row>
    <row r="290" ht="34.5" customHeight="1">
      <c r="A290" s="111">
        <v>621.0</v>
      </c>
      <c r="B290" s="111" t="s">
        <v>8271</v>
      </c>
      <c r="C290" s="111" t="s">
        <v>8161</v>
      </c>
      <c r="D290" s="111">
        <v>2025.0</v>
      </c>
      <c r="E290" s="111"/>
      <c r="F290" s="111" t="s">
        <v>12399</v>
      </c>
      <c r="G290" s="111" t="s">
        <v>12381</v>
      </c>
      <c r="H290" s="111" t="s">
        <v>12230</v>
      </c>
      <c r="I290" s="111" t="s">
        <v>12394</v>
      </c>
      <c r="J290" s="111" t="s">
        <v>12293</v>
      </c>
      <c r="K290" s="111" t="s">
        <v>30</v>
      </c>
      <c r="L290" s="111"/>
      <c r="M290" s="111"/>
      <c r="N290" s="111"/>
      <c r="O290" s="111"/>
      <c r="P290" s="111"/>
      <c r="Q290" s="111"/>
      <c r="R290" s="111">
        <v>1.0</v>
      </c>
      <c r="S290" s="111"/>
      <c r="T290" s="111"/>
      <c r="U290" s="111"/>
      <c r="V290" s="111"/>
      <c r="W290" s="111"/>
      <c r="X290" s="111"/>
      <c r="Y290" s="111"/>
      <c r="Z290" s="111" t="s">
        <v>12824</v>
      </c>
      <c r="AA290" s="124">
        <v>15.0</v>
      </c>
      <c r="AB290" s="125">
        <f>IF(Projects!$AI290="Electrolysis",
AA290/VLOOKUP(G290,ElectrolysisConvF,3,FALSE),
AC290*10^6/(H2dens*HoursInYear))</f>
        <v>3333.333333</v>
      </c>
      <c r="AC290" s="126">
        <f t="shared" ref="AC290:AC292" si="38">AB290*H2dens*HoursInYear/10^6</f>
        <v>2.5988</v>
      </c>
      <c r="AD290" s="125"/>
      <c r="AE290" s="125">
        <f t="shared" si="33"/>
        <v>3333.333333</v>
      </c>
      <c r="AF290" s="127" t="s">
        <v>12825</v>
      </c>
      <c r="AG290" s="127">
        <v>41.0677111323881</v>
      </c>
      <c r="AH290" s="127">
        <v>-8.45970034603064</v>
      </c>
      <c r="AI290" s="115" t="s">
        <v>12383</v>
      </c>
      <c r="AJ290" s="116">
        <v>0.55</v>
      </c>
      <c r="AK290" s="117"/>
      <c r="AL290" s="117"/>
      <c r="AM290" s="117"/>
      <c r="AN290" s="117"/>
      <c r="AO290" s="117"/>
    </row>
    <row r="291" ht="34.5" customHeight="1">
      <c r="A291" s="111">
        <v>622.0</v>
      </c>
      <c r="B291" s="111" t="s">
        <v>8272</v>
      </c>
      <c r="C291" s="111" t="s">
        <v>7987</v>
      </c>
      <c r="D291" s="111"/>
      <c r="E291" s="111"/>
      <c r="F291" s="111" t="s">
        <v>12399</v>
      </c>
      <c r="G291" s="111" t="s">
        <v>12381</v>
      </c>
      <c r="H291" s="111" t="s">
        <v>12230</v>
      </c>
      <c r="I291" s="111" t="s">
        <v>12406</v>
      </c>
      <c r="J291" s="111"/>
      <c r="K291" s="111" t="s">
        <v>30</v>
      </c>
      <c r="L291" s="111">
        <v>1.0</v>
      </c>
      <c r="M291" s="111"/>
      <c r="N291" s="111"/>
      <c r="O291" s="111"/>
      <c r="P291" s="111"/>
      <c r="Q291" s="111"/>
      <c r="R291" s="111"/>
      <c r="S291" s="111"/>
      <c r="T291" s="111"/>
      <c r="U291" s="111"/>
      <c r="V291" s="111"/>
      <c r="W291" s="111"/>
      <c r="X291" s="111"/>
      <c r="Y291" s="111"/>
      <c r="Z291" s="111" t="s">
        <v>12698</v>
      </c>
      <c r="AA291" s="124">
        <v>100.0</v>
      </c>
      <c r="AB291" s="125">
        <f>IF(Projects!$AI291="Electrolysis",
AA291/VLOOKUP(G291,ElectrolysisConvF,3,FALSE),
AC291*10^6/(H2dens*HoursInYear))</f>
        <v>22222.22222</v>
      </c>
      <c r="AC291" s="126">
        <f t="shared" si="38"/>
        <v>17.32533333</v>
      </c>
      <c r="AD291" s="125"/>
      <c r="AE291" s="125">
        <f t="shared" si="33"/>
        <v>22222.22222</v>
      </c>
      <c r="AF291" s="127" t="s">
        <v>12826</v>
      </c>
      <c r="AG291" s="127">
        <v>52.5586047735969</v>
      </c>
      <c r="AH291" s="127">
        <v>7.31019332083824</v>
      </c>
      <c r="AI291" s="115" t="s">
        <v>12383</v>
      </c>
      <c r="AJ291" s="116">
        <v>0.57</v>
      </c>
      <c r="AK291" s="117"/>
      <c r="AL291" s="117"/>
      <c r="AM291" s="117"/>
      <c r="AN291" s="117"/>
      <c r="AO291" s="117"/>
    </row>
    <row r="292" ht="34.5" customHeight="1">
      <c r="A292" s="111">
        <v>623.0</v>
      </c>
      <c r="B292" s="111" t="s">
        <v>8273</v>
      </c>
      <c r="C292" s="111" t="s">
        <v>7987</v>
      </c>
      <c r="D292" s="111">
        <v>2022.0</v>
      </c>
      <c r="E292" s="111"/>
      <c r="F292" s="111" t="s">
        <v>12385</v>
      </c>
      <c r="G292" s="111" t="s">
        <v>12226</v>
      </c>
      <c r="H292" s="111"/>
      <c r="I292" s="111" t="s">
        <v>12394</v>
      </c>
      <c r="J292" s="111" t="s">
        <v>12295</v>
      </c>
      <c r="K292" s="111" t="s">
        <v>30</v>
      </c>
      <c r="L292" s="111"/>
      <c r="M292" s="111"/>
      <c r="N292" s="111"/>
      <c r="O292" s="111"/>
      <c r="P292" s="111">
        <v>1.0</v>
      </c>
      <c r="Q292" s="111">
        <v>1.0</v>
      </c>
      <c r="R292" s="111"/>
      <c r="S292" s="111"/>
      <c r="T292" s="111"/>
      <c r="U292" s="111"/>
      <c r="V292" s="111"/>
      <c r="W292" s="111"/>
      <c r="X292" s="111"/>
      <c r="Y292" s="111"/>
      <c r="Z292" s="111" t="s">
        <v>12827</v>
      </c>
      <c r="AA292" s="124">
        <v>8.8</v>
      </c>
      <c r="AB292" s="125">
        <f>IF(Projects!$AI292="Electrolysis",
AA292/VLOOKUP(G292,ElectrolysisConvF,3,FALSE),
AC292*10^6/(H2dens*HoursInYear))</f>
        <v>1692.307692</v>
      </c>
      <c r="AC292" s="126">
        <f t="shared" si="38"/>
        <v>1.319390769</v>
      </c>
      <c r="AD292" s="125"/>
      <c r="AE292" s="125">
        <f t="shared" si="33"/>
        <v>1692.307692</v>
      </c>
      <c r="AF292" s="127" t="s">
        <v>12828</v>
      </c>
      <c r="AG292" s="127">
        <v>50.0422587263487</v>
      </c>
      <c r="AH292" s="127">
        <v>12.0304269338039</v>
      </c>
      <c r="AI292" s="115" t="s">
        <v>12383</v>
      </c>
      <c r="AJ292" s="116">
        <v>0.5</v>
      </c>
      <c r="AK292" s="117"/>
      <c r="AL292" s="117"/>
      <c r="AM292" s="117"/>
      <c r="AN292" s="117"/>
      <c r="AO292" s="117"/>
    </row>
    <row r="293" ht="34.5" customHeight="1">
      <c r="A293" s="111">
        <v>624.0</v>
      </c>
      <c r="B293" s="111" t="s">
        <v>8274</v>
      </c>
      <c r="C293" s="111" t="s">
        <v>7987</v>
      </c>
      <c r="D293" s="111"/>
      <c r="E293" s="111"/>
      <c r="F293" s="111" t="s">
        <v>12397</v>
      </c>
      <c r="G293" s="111" t="s">
        <v>12226</v>
      </c>
      <c r="H293" s="111"/>
      <c r="I293" s="111" t="s">
        <v>12394</v>
      </c>
      <c r="J293" s="111" t="s">
        <v>12295</v>
      </c>
      <c r="K293" s="111" t="s">
        <v>30</v>
      </c>
      <c r="L293" s="111"/>
      <c r="M293" s="111"/>
      <c r="N293" s="111"/>
      <c r="O293" s="111"/>
      <c r="P293" s="111">
        <v>1.0</v>
      </c>
      <c r="Q293" s="111">
        <v>1.0</v>
      </c>
      <c r="R293" s="111"/>
      <c r="S293" s="111"/>
      <c r="T293" s="111"/>
      <c r="U293" s="111"/>
      <c r="V293" s="111"/>
      <c r="W293" s="111"/>
      <c r="X293" s="111"/>
      <c r="Y293" s="111"/>
      <c r="Z293" s="111" t="s">
        <v>12829</v>
      </c>
      <c r="AA293" s="129">
        <f>IF(Projects!$AI293="Electrolysis",
AB293*VLOOKUP(G293,ElectrolysisConvF,3,FALSE),
"")</f>
        <v>26.67898004</v>
      </c>
      <c r="AB293" s="125">
        <f>AC293/(H2dens*HoursInYear/10^6)</f>
        <v>5130.573085</v>
      </c>
      <c r="AC293" s="126">
        <f>2/Projects!$AJ293</f>
        <v>4</v>
      </c>
      <c r="AD293" s="125"/>
      <c r="AE293" s="125">
        <f t="shared" si="33"/>
        <v>5130.573085</v>
      </c>
      <c r="AF293" s="127" t="s">
        <v>12830</v>
      </c>
      <c r="AG293" s="127">
        <v>50.0422587263487</v>
      </c>
      <c r="AH293" s="127">
        <v>12.0304269338039</v>
      </c>
      <c r="AI293" s="115" t="s">
        <v>12383</v>
      </c>
      <c r="AJ293" s="116">
        <v>0.5</v>
      </c>
      <c r="AK293" s="117"/>
      <c r="AL293" s="117"/>
      <c r="AM293" s="117"/>
      <c r="AN293" s="117"/>
      <c r="AO293" s="117"/>
    </row>
    <row r="294" ht="34.5" customHeight="1">
      <c r="A294" s="111">
        <v>626.0</v>
      </c>
      <c r="B294" s="111" t="s">
        <v>8024</v>
      </c>
      <c r="C294" s="111" t="s">
        <v>7983</v>
      </c>
      <c r="D294" s="111">
        <v>2019.0</v>
      </c>
      <c r="E294" s="111"/>
      <c r="F294" s="111" t="s">
        <v>12385</v>
      </c>
      <c r="G294" s="111" t="s">
        <v>12381</v>
      </c>
      <c r="H294" s="111" t="s">
        <v>12230</v>
      </c>
      <c r="I294" s="111" t="s">
        <v>12419</v>
      </c>
      <c r="J294" s="111"/>
      <c r="K294" s="111" t="s">
        <v>12449</v>
      </c>
      <c r="L294" s="111"/>
      <c r="M294" s="111"/>
      <c r="N294" s="111"/>
      <c r="O294" s="111"/>
      <c r="P294" s="111"/>
      <c r="Q294" s="111"/>
      <c r="R294" s="111"/>
      <c r="S294" s="111"/>
      <c r="T294" s="111"/>
      <c r="U294" s="111"/>
      <c r="V294" s="111"/>
      <c r="W294" s="111"/>
      <c r="X294" s="111"/>
      <c r="Y294" s="111"/>
      <c r="Z294" s="111" t="s">
        <v>12831</v>
      </c>
      <c r="AA294" s="129">
        <f>IF(Projects!$AI294="Electrolysis",
AB294*VLOOKUP(G294,ElectrolysisConvF,3,FALSE),
"")</f>
        <v>0.072</v>
      </c>
      <c r="AB294" s="125">
        <v>16.0</v>
      </c>
      <c r="AC294" s="126">
        <f t="shared" ref="AC294:AC303" si="39">AB294*H2dens*HoursInYear/10^6</f>
        <v>0.01247424</v>
      </c>
      <c r="AD294" s="125"/>
      <c r="AE294" s="125">
        <f t="shared" si="33"/>
        <v>16</v>
      </c>
      <c r="AF294" s="127" t="s">
        <v>12832</v>
      </c>
      <c r="AG294" s="127">
        <v>0.0</v>
      </c>
      <c r="AH294" s="127">
        <v>0.0</v>
      </c>
      <c r="AI294" s="115" t="s">
        <v>12383</v>
      </c>
      <c r="AJ294" s="116">
        <v>0.57</v>
      </c>
      <c r="AK294" s="117"/>
      <c r="AL294" s="117"/>
      <c r="AM294" s="117"/>
      <c r="AN294" s="117"/>
      <c r="AO294" s="117"/>
    </row>
    <row r="295" ht="34.5" customHeight="1">
      <c r="A295" s="111">
        <v>627.0</v>
      </c>
      <c r="B295" s="111" t="s">
        <v>8275</v>
      </c>
      <c r="C295" s="111" t="s">
        <v>8276</v>
      </c>
      <c r="D295" s="111">
        <v>2011.0</v>
      </c>
      <c r="E295" s="111">
        <v>2013.0</v>
      </c>
      <c r="F295" s="111" t="s">
        <v>12418</v>
      </c>
      <c r="G295" s="111" t="s">
        <v>12224</v>
      </c>
      <c r="H295" s="111"/>
      <c r="I295" s="111" t="s">
        <v>12419</v>
      </c>
      <c r="J295" s="111"/>
      <c r="K295" s="111" t="s">
        <v>30</v>
      </c>
      <c r="L295" s="111"/>
      <c r="M295" s="111"/>
      <c r="N295" s="111"/>
      <c r="O295" s="111"/>
      <c r="P295" s="111"/>
      <c r="Q295" s="111">
        <v>1.0</v>
      </c>
      <c r="R295" s="111">
        <v>1.0</v>
      </c>
      <c r="S295" s="111"/>
      <c r="T295" s="111"/>
      <c r="U295" s="111"/>
      <c r="V295" s="111"/>
      <c r="W295" s="111"/>
      <c r="X295" s="111"/>
      <c r="Y295" s="111"/>
      <c r="Z295" s="111" t="s">
        <v>12661</v>
      </c>
      <c r="AA295" s="124">
        <v>0.055</v>
      </c>
      <c r="AB295" s="125">
        <f>IF(Projects!$AI295="Electrolysis",
AA295/VLOOKUP(G295,ElectrolysisConvF,3,FALSE),
AC295*10^6/(H2dens*HoursInYear))</f>
        <v>11.95652174</v>
      </c>
      <c r="AC295" s="126">
        <f t="shared" si="39"/>
        <v>0.009321782609</v>
      </c>
      <c r="AD295" s="125"/>
      <c r="AE295" s="125">
        <f t="shared" si="33"/>
        <v>11.95652174</v>
      </c>
      <c r="AF295" s="127" t="s">
        <v>12833</v>
      </c>
      <c r="AG295" s="127">
        <v>0.0</v>
      </c>
      <c r="AH295" s="127">
        <v>0.0</v>
      </c>
      <c r="AI295" s="115" t="s">
        <v>12383</v>
      </c>
      <c r="AJ295" s="116">
        <v>0.57</v>
      </c>
      <c r="AK295" s="117"/>
      <c r="AL295" s="117"/>
      <c r="AM295" s="117"/>
      <c r="AN295" s="117"/>
      <c r="AO295" s="117"/>
    </row>
    <row r="296" ht="34.5" customHeight="1">
      <c r="A296" s="111">
        <v>628.0</v>
      </c>
      <c r="B296" s="111" t="s">
        <v>8127</v>
      </c>
      <c r="C296" s="111" t="s">
        <v>8128</v>
      </c>
      <c r="D296" s="111">
        <v>2011.0</v>
      </c>
      <c r="E296" s="111">
        <v>2014.0</v>
      </c>
      <c r="F296" s="111" t="s">
        <v>12418</v>
      </c>
      <c r="G296" s="111" t="s">
        <v>12224</v>
      </c>
      <c r="H296" s="111"/>
      <c r="I296" s="111" t="s">
        <v>12419</v>
      </c>
      <c r="J296" s="111"/>
      <c r="K296" s="111" t="s">
        <v>30</v>
      </c>
      <c r="L296" s="111"/>
      <c r="M296" s="111"/>
      <c r="N296" s="111"/>
      <c r="O296" s="111"/>
      <c r="P296" s="111"/>
      <c r="Q296" s="111">
        <v>1.0</v>
      </c>
      <c r="R296" s="111">
        <v>1.0</v>
      </c>
      <c r="S296" s="111"/>
      <c r="T296" s="111"/>
      <c r="U296" s="111"/>
      <c r="V296" s="111"/>
      <c r="W296" s="111"/>
      <c r="X296" s="111"/>
      <c r="Y296" s="111"/>
      <c r="Z296" s="111" t="s">
        <v>12661</v>
      </c>
      <c r="AA296" s="124">
        <v>0.055</v>
      </c>
      <c r="AB296" s="125">
        <f>IF(Projects!$AI296="Electrolysis",
AA296/VLOOKUP(G296,ElectrolysisConvF,3,FALSE),
AC296*10^6/(H2dens*HoursInYear))</f>
        <v>11.95652174</v>
      </c>
      <c r="AC296" s="126">
        <f t="shared" si="39"/>
        <v>0.009321782609</v>
      </c>
      <c r="AD296" s="125"/>
      <c r="AE296" s="125">
        <f t="shared" si="33"/>
        <v>11.95652174</v>
      </c>
      <c r="AF296" s="127" t="s">
        <v>12834</v>
      </c>
      <c r="AG296" s="127">
        <v>0.0</v>
      </c>
      <c r="AH296" s="127">
        <v>0.0</v>
      </c>
      <c r="AI296" s="115" t="s">
        <v>12383</v>
      </c>
      <c r="AJ296" s="116">
        <v>0.57</v>
      </c>
      <c r="AK296" s="117"/>
      <c r="AL296" s="117"/>
      <c r="AM296" s="117"/>
      <c r="AN296" s="117"/>
      <c r="AO296" s="117"/>
    </row>
    <row r="297" ht="34.5" customHeight="1">
      <c r="A297" s="111">
        <v>629.0</v>
      </c>
      <c r="B297" s="111" t="s">
        <v>8277</v>
      </c>
      <c r="C297" s="111" t="s">
        <v>7967</v>
      </c>
      <c r="D297" s="111"/>
      <c r="E297" s="111"/>
      <c r="F297" s="111" t="s">
        <v>12399</v>
      </c>
      <c r="G297" s="111" t="s">
        <v>12381</v>
      </c>
      <c r="H297" s="111" t="s">
        <v>12230</v>
      </c>
      <c r="I297" s="111" t="s">
        <v>12419</v>
      </c>
      <c r="J297" s="111"/>
      <c r="K297" s="111" t="s">
        <v>12415</v>
      </c>
      <c r="L297" s="111"/>
      <c r="M297" s="111"/>
      <c r="N297" s="111">
        <v>1.0</v>
      </c>
      <c r="O297" s="111"/>
      <c r="P297" s="111"/>
      <c r="Q297" s="111"/>
      <c r="R297" s="111"/>
      <c r="S297" s="111"/>
      <c r="T297" s="111"/>
      <c r="U297" s="111"/>
      <c r="V297" s="111"/>
      <c r="W297" s="111"/>
      <c r="X297" s="111"/>
      <c r="Y297" s="111"/>
      <c r="Z297" s="111" t="s">
        <v>12835</v>
      </c>
      <c r="AA297" s="124">
        <v>5.0</v>
      </c>
      <c r="AB297" s="125">
        <f>IF(Projects!$AI297="Electrolysis",
AA297/VLOOKUP(G297,ElectrolysisConvF,3,FALSE),
AC297*10^6/(H2dens*HoursInYear))</f>
        <v>1111.111111</v>
      </c>
      <c r="AC297" s="126">
        <f t="shared" si="39"/>
        <v>0.8662666667</v>
      </c>
      <c r="AD297" s="125"/>
      <c r="AE297" s="125">
        <f t="shared" si="33"/>
        <v>1111.111111</v>
      </c>
      <c r="AF297" s="127" t="s">
        <v>12836</v>
      </c>
      <c r="AG297" s="127">
        <v>0.0</v>
      </c>
      <c r="AH297" s="127">
        <v>0.0</v>
      </c>
      <c r="AI297" s="115" t="s">
        <v>12383</v>
      </c>
      <c r="AJ297" s="116">
        <v>0.57</v>
      </c>
      <c r="AK297" s="117"/>
      <c r="AL297" s="117"/>
      <c r="AM297" s="117"/>
      <c r="AN297" s="117"/>
      <c r="AO297" s="117"/>
    </row>
    <row r="298" ht="34.5" customHeight="1">
      <c r="A298" s="111">
        <v>630.0</v>
      </c>
      <c r="B298" s="111" t="s">
        <v>8278</v>
      </c>
      <c r="C298" s="111" t="s">
        <v>7967</v>
      </c>
      <c r="D298" s="111">
        <v>2030.0</v>
      </c>
      <c r="E298" s="111"/>
      <c r="F298" s="111" t="s">
        <v>12399</v>
      </c>
      <c r="G298" s="111" t="s">
        <v>12381</v>
      </c>
      <c r="H298" s="111" t="s">
        <v>12230</v>
      </c>
      <c r="I298" s="111" t="s">
        <v>12394</v>
      </c>
      <c r="J298" s="111" t="s">
        <v>12291</v>
      </c>
      <c r="K298" s="111" t="s">
        <v>30</v>
      </c>
      <c r="L298" s="111"/>
      <c r="M298" s="111"/>
      <c r="N298" s="111"/>
      <c r="O298" s="111"/>
      <c r="P298" s="111"/>
      <c r="Q298" s="111">
        <v>1.0</v>
      </c>
      <c r="R298" s="111"/>
      <c r="S298" s="111">
        <v>1.0</v>
      </c>
      <c r="T298" s="111"/>
      <c r="U298" s="111"/>
      <c r="V298" s="111"/>
      <c r="W298" s="111"/>
      <c r="X298" s="111"/>
      <c r="Y298" s="111"/>
      <c r="Z298" s="111" t="s">
        <v>12835</v>
      </c>
      <c r="AA298" s="124">
        <v>5.0</v>
      </c>
      <c r="AB298" s="125">
        <f>IF(Projects!$AI298="Electrolysis",
AA298/VLOOKUP(G298,ElectrolysisConvF,3,FALSE),
AC298*10^6/(H2dens*HoursInYear))</f>
        <v>1111.111111</v>
      </c>
      <c r="AC298" s="126">
        <f t="shared" si="39"/>
        <v>0.8662666667</v>
      </c>
      <c r="AD298" s="125"/>
      <c r="AE298" s="125">
        <f t="shared" si="33"/>
        <v>1111.111111</v>
      </c>
      <c r="AF298" s="127" t="s">
        <v>12837</v>
      </c>
      <c r="AG298" s="127">
        <v>53.2010335431834</v>
      </c>
      <c r="AH298" s="127">
        <v>5.80305457732903</v>
      </c>
      <c r="AI298" s="115" t="s">
        <v>12383</v>
      </c>
      <c r="AJ298" s="116">
        <v>0.3</v>
      </c>
      <c r="AK298" s="117"/>
      <c r="AL298" s="117"/>
      <c r="AM298" s="117"/>
      <c r="AN298" s="117"/>
      <c r="AO298" s="117"/>
    </row>
    <row r="299" ht="34.5" customHeight="1">
      <c r="A299" s="111">
        <v>631.0</v>
      </c>
      <c r="B299" s="111" t="s">
        <v>8279</v>
      </c>
      <c r="C299" s="111" t="s">
        <v>7987</v>
      </c>
      <c r="D299" s="111">
        <v>2011.0</v>
      </c>
      <c r="E299" s="111">
        <v>2014.0</v>
      </c>
      <c r="F299" s="111" t="s">
        <v>12418</v>
      </c>
      <c r="G299" s="111" t="s">
        <v>12224</v>
      </c>
      <c r="H299" s="111"/>
      <c r="I299" s="111" t="s">
        <v>12419</v>
      </c>
      <c r="J299" s="111"/>
      <c r="K299" s="111" t="s">
        <v>12449</v>
      </c>
      <c r="L299" s="111"/>
      <c r="M299" s="111"/>
      <c r="N299" s="111"/>
      <c r="O299" s="111"/>
      <c r="P299" s="111"/>
      <c r="Q299" s="111"/>
      <c r="R299" s="111"/>
      <c r="S299" s="111"/>
      <c r="T299" s="111"/>
      <c r="U299" s="111"/>
      <c r="V299" s="111"/>
      <c r="W299" s="111"/>
      <c r="X299" s="111">
        <v>1.0</v>
      </c>
      <c r="Y299" s="111"/>
      <c r="Z299" s="111" t="s">
        <v>12482</v>
      </c>
      <c r="AA299" s="124">
        <v>0.006</v>
      </c>
      <c r="AB299" s="125">
        <f>IF(Projects!$AI299="Electrolysis",
AA299/VLOOKUP(G299,ElectrolysisConvF,3,FALSE),
AC299*10^6/(H2dens*HoursInYear))</f>
        <v>1.304347826</v>
      </c>
      <c r="AC299" s="126">
        <f t="shared" si="39"/>
        <v>0.001016921739</v>
      </c>
      <c r="AD299" s="125"/>
      <c r="AE299" s="125">
        <f t="shared" si="33"/>
        <v>1.304347826</v>
      </c>
      <c r="AF299" s="127" t="s">
        <v>12838</v>
      </c>
      <c r="AG299" s="127">
        <v>0.0</v>
      </c>
      <c r="AH299" s="127">
        <v>0.0</v>
      </c>
      <c r="AI299" s="115" t="s">
        <v>12383</v>
      </c>
      <c r="AJ299" s="116">
        <v>0.57</v>
      </c>
      <c r="AK299" s="117"/>
      <c r="AL299" s="117"/>
      <c r="AM299" s="117"/>
      <c r="AN299" s="117"/>
      <c r="AO299" s="117"/>
    </row>
    <row r="300" ht="34.5" customHeight="1">
      <c r="A300" s="111">
        <v>632.0</v>
      </c>
      <c r="B300" s="111" t="s">
        <v>8280</v>
      </c>
      <c r="C300" s="111" t="s">
        <v>8147</v>
      </c>
      <c r="D300" s="111">
        <v>2011.0</v>
      </c>
      <c r="E300" s="111">
        <v>2012.0</v>
      </c>
      <c r="F300" s="111" t="s">
        <v>12418</v>
      </c>
      <c r="G300" s="111" t="s">
        <v>12224</v>
      </c>
      <c r="H300" s="111"/>
      <c r="I300" s="111" t="s">
        <v>12419</v>
      </c>
      <c r="J300" s="111"/>
      <c r="K300" s="111" t="s">
        <v>30</v>
      </c>
      <c r="L300" s="111"/>
      <c r="M300" s="111"/>
      <c r="N300" s="111"/>
      <c r="O300" s="111"/>
      <c r="P300" s="111"/>
      <c r="Q300" s="111"/>
      <c r="R300" s="111"/>
      <c r="S300" s="111"/>
      <c r="T300" s="111">
        <v>1.0</v>
      </c>
      <c r="U300" s="111"/>
      <c r="V300" s="111"/>
      <c r="W300" s="111"/>
      <c r="X300" s="111"/>
      <c r="Y300" s="111"/>
      <c r="Z300" s="111" t="s">
        <v>12839</v>
      </c>
      <c r="AA300" s="124">
        <v>0.0012</v>
      </c>
      <c r="AB300" s="125">
        <f>IF(Projects!$AI300="Electrolysis",
AA300/VLOOKUP(G300,ElectrolysisConvF,3,FALSE),
AC300*10^6/(H2dens*HoursInYear))</f>
        <v>0.2608695652</v>
      </c>
      <c r="AC300" s="126">
        <f t="shared" si="39"/>
        <v>0.0002033843478</v>
      </c>
      <c r="AD300" s="125"/>
      <c r="AE300" s="125">
        <f t="shared" si="33"/>
        <v>0.2608695652</v>
      </c>
      <c r="AF300" s="127" t="s">
        <v>12840</v>
      </c>
      <c r="AG300" s="127">
        <v>0.0</v>
      </c>
      <c r="AH300" s="127">
        <v>0.0</v>
      </c>
      <c r="AI300" s="115" t="s">
        <v>12383</v>
      </c>
      <c r="AJ300" s="116">
        <v>0.57</v>
      </c>
      <c r="AK300" s="117"/>
      <c r="AL300" s="117"/>
      <c r="AM300" s="117"/>
      <c r="AN300" s="117"/>
      <c r="AO300" s="117"/>
    </row>
    <row r="301" ht="34.5" customHeight="1">
      <c r="A301" s="111">
        <v>633.0</v>
      </c>
      <c r="B301" s="111" t="s">
        <v>8281</v>
      </c>
      <c r="C301" s="111" t="s">
        <v>8011</v>
      </c>
      <c r="D301" s="111"/>
      <c r="E301" s="111"/>
      <c r="F301" s="111" t="s">
        <v>12418</v>
      </c>
      <c r="G301" s="111" t="s">
        <v>12381</v>
      </c>
      <c r="H301" s="111" t="s">
        <v>12230</v>
      </c>
      <c r="I301" s="111" t="s">
        <v>12419</v>
      </c>
      <c r="J301" s="111"/>
      <c r="K301" s="111" t="s">
        <v>30</v>
      </c>
      <c r="L301" s="111"/>
      <c r="M301" s="111"/>
      <c r="N301" s="111"/>
      <c r="O301" s="111"/>
      <c r="P301" s="111"/>
      <c r="Q301" s="111">
        <v>1.0</v>
      </c>
      <c r="R301" s="111"/>
      <c r="S301" s="111"/>
      <c r="T301" s="111"/>
      <c r="U301" s="111"/>
      <c r="V301" s="111"/>
      <c r="W301" s="111"/>
      <c r="X301" s="111"/>
      <c r="Y301" s="111"/>
      <c r="Z301" s="111" t="s">
        <v>12841</v>
      </c>
      <c r="AA301" s="124">
        <v>3.4</v>
      </c>
      <c r="AB301" s="125">
        <f>IF(Projects!$AI301="Electrolysis",
AA301/VLOOKUP(G301,ElectrolysisConvF,3,FALSE),
AC301*10^6/(H2dens*HoursInYear))</f>
        <v>755.5555556</v>
      </c>
      <c r="AC301" s="126">
        <f t="shared" si="39"/>
        <v>0.5890613333</v>
      </c>
      <c r="AD301" s="125"/>
      <c r="AE301" s="125">
        <f t="shared" si="33"/>
        <v>755.5555556</v>
      </c>
      <c r="AF301" s="127"/>
      <c r="AG301" s="127">
        <v>0.0</v>
      </c>
      <c r="AH301" s="127">
        <v>0.0</v>
      </c>
      <c r="AI301" s="115" t="s">
        <v>12383</v>
      </c>
      <c r="AJ301" s="116">
        <v>0.57</v>
      </c>
      <c r="AK301" s="117"/>
      <c r="AL301" s="117"/>
      <c r="AM301" s="117"/>
      <c r="AN301" s="117"/>
      <c r="AO301" s="117"/>
    </row>
    <row r="302" ht="34.5" customHeight="1">
      <c r="A302" s="111">
        <v>634.0</v>
      </c>
      <c r="B302" s="111" t="s">
        <v>8030</v>
      </c>
      <c r="C302" s="111" t="s">
        <v>8031</v>
      </c>
      <c r="D302" s="111">
        <v>2019.0</v>
      </c>
      <c r="E302" s="111"/>
      <c r="F302" s="111" t="s">
        <v>12385</v>
      </c>
      <c r="G302" s="111" t="s">
        <v>12226</v>
      </c>
      <c r="H302" s="111"/>
      <c r="I302" s="111" t="s">
        <v>12406</v>
      </c>
      <c r="J302" s="111"/>
      <c r="K302" s="111" t="s">
        <v>30</v>
      </c>
      <c r="L302" s="111"/>
      <c r="M302" s="111"/>
      <c r="N302" s="111"/>
      <c r="O302" s="111"/>
      <c r="P302" s="111"/>
      <c r="Q302" s="111">
        <v>1.0</v>
      </c>
      <c r="R302" s="111"/>
      <c r="S302" s="111"/>
      <c r="T302" s="111"/>
      <c r="U302" s="111"/>
      <c r="V302" s="111"/>
      <c r="W302" s="111"/>
      <c r="X302" s="111"/>
      <c r="Y302" s="111"/>
      <c r="Z302" s="111" t="s">
        <v>12484</v>
      </c>
      <c r="AA302" s="129">
        <f>IF(Projects!$AI302="Electrolysis",
AB302*VLOOKUP(G302,ElectrolysisConvF,3,FALSE),
"")</f>
        <v>0.0052</v>
      </c>
      <c r="AB302" s="125">
        <v>1.0</v>
      </c>
      <c r="AC302" s="126">
        <f t="shared" si="39"/>
        <v>0.00077964</v>
      </c>
      <c r="AD302" s="125"/>
      <c r="AE302" s="125">
        <f t="shared" si="33"/>
        <v>1</v>
      </c>
      <c r="AF302" s="127" t="s">
        <v>12485</v>
      </c>
      <c r="AG302" s="127">
        <v>0.0</v>
      </c>
      <c r="AH302" s="127">
        <v>0.0</v>
      </c>
      <c r="AI302" s="115" t="s">
        <v>12383</v>
      </c>
      <c r="AJ302" s="116">
        <v>0.57</v>
      </c>
      <c r="AK302" s="117"/>
      <c r="AL302" s="117"/>
      <c r="AM302" s="117"/>
      <c r="AN302" s="117"/>
      <c r="AO302" s="117"/>
    </row>
    <row r="303" ht="34.5" customHeight="1">
      <c r="A303" s="111">
        <v>635.0</v>
      </c>
      <c r="B303" s="111" t="s">
        <v>8282</v>
      </c>
      <c r="C303" s="111" t="s">
        <v>7987</v>
      </c>
      <c r="D303" s="111">
        <v>2011.0</v>
      </c>
      <c r="E303" s="111">
        <v>2014.0</v>
      </c>
      <c r="F303" s="111" t="s">
        <v>12418</v>
      </c>
      <c r="G303" s="111" t="s">
        <v>12224</v>
      </c>
      <c r="H303" s="111"/>
      <c r="I303" s="111" t="s">
        <v>12419</v>
      </c>
      <c r="J303" s="111"/>
      <c r="K303" s="111" t="s">
        <v>30</v>
      </c>
      <c r="L303" s="111"/>
      <c r="M303" s="111"/>
      <c r="N303" s="111"/>
      <c r="O303" s="111"/>
      <c r="P303" s="111"/>
      <c r="Q303" s="111"/>
      <c r="R303" s="111">
        <v>1.0</v>
      </c>
      <c r="S303" s="111"/>
      <c r="T303" s="111"/>
      <c r="U303" s="111"/>
      <c r="V303" s="111"/>
      <c r="W303" s="111"/>
      <c r="X303" s="111"/>
      <c r="Y303" s="111"/>
      <c r="Z303" s="111" t="s">
        <v>12842</v>
      </c>
      <c r="AA303" s="124">
        <v>0.001</v>
      </c>
      <c r="AB303" s="125">
        <f>IF(Projects!$AI303="Electrolysis",
AA303/VLOOKUP(G303,ElectrolysisConvF,3,FALSE),
AC303*10^6/(H2dens*HoursInYear))</f>
        <v>0.2173913043</v>
      </c>
      <c r="AC303" s="126">
        <f t="shared" si="39"/>
        <v>0.0001694869565</v>
      </c>
      <c r="AD303" s="125"/>
      <c r="AE303" s="125">
        <f t="shared" si="33"/>
        <v>0.2173913043</v>
      </c>
      <c r="AF303" s="127" t="s">
        <v>12843</v>
      </c>
      <c r="AG303" s="127">
        <v>0.0</v>
      </c>
      <c r="AH303" s="127">
        <v>0.0</v>
      </c>
      <c r="AI303" s="115" t="s">
        <v>12383</v>
      </c>
      <c r="AJ303" s="116">
        <v>0.57</v>
      </c>
      <c r="AK303" s="117"/>
      <c r="AL303" s="117"/>
      <c r="AM303" s="117"/>
      <c r="AN303" s="117"/>
      <c r="AO303" s="117"/>
    </row>
    <row r="304" ht="34.5" customHeight="1">
      <c r="A304" s="111">
        <v>636.0</v>
      </c>
      <c r="B304" s="111" t="s">
        <v>8283</v>
      </c>
      <c r="C304" s="111" t="s">
        <v>7987</v>
      </c>
      <c r="D304" s="111">
        <v>2011.0</v>
      </c>
      <c r="E304" s="111">
        <v>2015.0</v>
      </c>
      <c r="F304" s="111" t="s">
        <v>12418</v>
      </c>
      <c r="G304" s="111" t="s">
        <v>12226</v>
      </c>
      <c r="H304" s="111"/>
      <c r="I304" s="111" t="s">
        <v>12419</v>
      </c>
      <c r="J304" s="111"/>
      <c r="K304" s="111" t="s">
        <v>12449</v>
      </c>
      <c r="L304" s="111"/>
      <c r="M304" s="111"/>
      <c r="N304" s="111"/>
      <c r="O304" s="111"/>
      <c r="P304" s="111"/>
      <c r="Q304" s="111"/>
      <c r="R304" s="111"/>
      <c r="S304" s="111"/>
      <c r="T304" s="111"/>
      <c r="U304" s="111"/>
      <c r="V304" s="111"/>
      <c r="W304" s="111"/>
      <c r="X304" s="111">
        <v>1.0</v>
      </c>
      <c r="Y304" s="111"/>
      <c r="Z304" s="111"/>
      <c r="AA304" s="124"/>
      <c r="AB304" s="125"/>
      <c r="AC304" s="126"/>
      <c r="AD304" s="125"/>
      <c r="AE304" s="125" t="str">
        <f t="shared" si="33"/>
        <v/>
      </c>
      <c r="AF304" s="127" t="s">
        <v>12844</v>
      </c>
      <c r="AG304" s="127">
        <v>0.0</v>
      </c>
      <c r="AH304" s="127">
        <v>0.0</v>
      </c>
      <c r="AI304" s="115" t="s">
        <v>12383</v>
      </c>
      <c r="AJ304" s="116">
        <v>0.57</v>
      </c>
      <c r="AK304" s="117"/>
      <c r="AL304" s="117"/>
      <c r="AM304" s="117"/>
      <c r="AN304" s="117"/>
      <c r="AO304" s="117"/>
    </row>
    <row r="305" ht="34.5" customHeight="1">
      <c r="A305" s="111">
        <v>637.0</v>
      </c>
      <c r="B305" s="111" t="s">
        <v>8284</v>
      </c>
      <c r="C305" s="111" t="s">
        <v>7967</v>
      </c>
      <c r="D305" s="111">
        <v>2023.0</v>
      </c>
      <c r="E305" s="111"/>
      <c r="F305" s="111" t="s">
        <v>12385</v>
      </c>
      <c r="G305" s="111" t="s">
        <v>12228</v>
      </c>
      <c r="H305" s="111"/>
      <c r="I305" s="111" t="s">
        <v>12394</v>
      </c>
      <c r="J305" s="111" t="s">
        <v>12296</v>
      </c>
      <c r="K305" s="111" t="s">
        <v>30</v>
      </c>
      <c r="L305" s="111">
        <v>1.0</v>
      </c>
      <c r="M305" s="111"/>
      <c r="N305" s="111"/>
      <c r="O305" s="111"/>
      <c r="P305" s="111"/>
      <c r="Q305" s="111"/>
      <c r="R305" s="111"/>
      <c r="S305" s="111"/>
      <c r="T305" s="111"/>
      <c r="U305" s="111"/>
      <c r="V305" s="111">
        <v>1.0</v>
      </c>
      <c r="W305" s="111"/>
      <c r="X305" s="111"/>
      <c r="Y305" s="111"/>
      <c r="Z305" s="111" t="s">
        <v>12395</v>
      </c>
      <c r="AA305" s="124">
        <v>2.5</v>
      </c>
      <c r="AB305" s="125">
        <f>IF(Projects!$AI305="Electrolysis",
AA305/VLOOKUP(G305,ElectrolysisConvF,3,FALSE),
AC305*10^6/(H2dens*HoursInYear))</f>
        <v>657.8947368</v>
      </c>
      <c r="AC305" s="126">
        <f>AB305*H2dens*HoursInYear/10^6</f>
        <v>0.5129210526</v>
      </c>
      <c r="AD305" s="125"/>
      <c r="AE305" s="125">
        <f t="shared" si="33"/>
        <v>657.8947368</v>
      </c>
      <c r="AF305" s="127" t="s">
        <v>12845</v>
      </c>
      <c r="AG305" s="127">
        <v>51.9682055250336</v>
      </c>
      <c r="AH305" s="127">
        <v>4.03482864545204</v>
      </c>
      <c r="AI305" s="115" t="s">
        <v>12383</v>
      </c>
      <c r="AJ305" s="116">
        <v>0.5</v>
      </c>
      <c r="AK305" s="117"/>
      <c r="AL305" s="117"/>
      <c r="AM305" s="117"/>
      <c r="AN305" s="117"/>
      <c r="AO305" s="117"/>
    </row>
    <row r="306" ht="34.5" customHeight="1">
      <c r="A306" s="111">
        <v>638.0</v>
      </c>
      <c r="B306" s="111" t="s">
        <v>8034</v>
      </c>
      <c r="C306" s="111" t="s">
        <v>8031</v>
      </c>
      <c r="D306" s="111">
        <v>2019.0</v>
      </c>
      <c r="E306" s="111"/>
      <c r="F306" s="111" t="s">
        <v>12385</v>
      </c>
      <c r="G306" s="111" t="s">
        <v>12381</v>
      </c>
      <c r="H306" s="111" t="s">
        <v>12230</v>
      </c>
      <c r="I306" s="111" t="s">
        <v>12419</v>
      </c>
      <c r="J306" s="111"/>
      <c r="K306" s="111" t="s">
        <v>30</v>
      </c>
      <c r="L306" s="111"/>
      <c r="M306" s="111"/>
      <c r="N306" s="111"/>
      <c r="O306" s="111"/>
      <c r="P306" s="111"/>
      <c r="Q306" s="111">
        <v>1.0</v>
      </c>
      <c r="R306" s="111">
        <v>1.0</v>
      </c>
      <c r="S306" s="111"/>
      <c r="T306" s="111"/>
      <c r="U306" s="111"/>
      <c r="V306" s="111"/>
      <c r="W306" s="111"/>
      <c r="X306" s="111"/>
      <c r="Y306" s="111"/>
      <c r="Z306" s="111"/>
      <c r="AA306" s="124"/>
      <c r="AB306" s="125"/>
      <c r="AC306" s="126"/>
      <c r="AD306" s="125"/>
      <c r="AE306" s="125" t="str">
        <f t="shared" si="33"/>
        <v/>
      </c>
      <c r="AF306" s="127" t="s">
        <v>12846</v>
      </c>
      <c r="AG306" s="127">
        <v>0.0</v>
      </c>
      <c r="AH306" s="127">
        <v>0.0</v>
      </c>
      <c r="AI306" s="115" t="s">
        <v>12383</v>
      </c>
      <c r="AJ306" s="116">
        <v>0.57</v>
      </c>
      <c r="AK306" s="117"/>
      <c r="AL306" s="117"/>
      <c r="AM306" s="117"/>
      <c r="AN306" s="117"/>
      <c r="AO306" s="117"/>
    </row>
    <row r="307" ht="34.5" customHeight="1">
      <c r="A307" s="111">
        <v>639.0</v>
      </c>
      <c r="B307" s="111" t="s">
        <v>8285</v>
      </c>
      <c r="C307" s="111" t="s">
        <v>7985</v>
      </c>
      <c r="D307" s="111">
        <v>2012.0</v>
      </c>
      <c r="E307" s="111">
        <v>2016.0</v>
      </c>
      <c r="F307" s="111" t="s">
        <v>12418</v>
      </c>
      <c r="G307" s="111" t="s">
        <v>12224</v>
      </c>
      <c r="H307" s="111"/>
      <c r="I307" s="111" t="s">
        <v>12287</v>
      </c>
      <c r="J307" s="111"/>
      <c r="K307" s="111" t="s">
        <v>30</v>
      </c>
      <c r="L307" s="111"/>
      <c r="M307" s="111"/>
      <c r="N307" s="111"/>
      <c r="O307" s="111"/>
      <c r="P307" s="111"/>
      <c r="Q307" s="111">
        <v>1.0</v>
      </c>
      <c r="R307" s="111"/>
      <c r="S307" s="111"/>
      <c r="T307" s="111"/>
      <c r="U307" s="111"/>
      <c r="V307" s="111"/>
      <c r="W307" s="111"/>
      <c r="X307" s="111"/>
      <c r="Y307" s="111"/>
      <c r="Z307" s="111" t="s">
        <v>12847</v>
      </c>
      <c r="AA307" s="129">
        <f>IF(Projects!$AI307="Electrolysis",
AB307*VLOOKUP(G307,ElectrolysisConvF,3,FALSE),
"")</f>
        <v>0.276</v>
      </c>
      <c r="AB307" s="125">
        <v>60.0</v>
      </c>
      <c r="AC307" s="126">
        <f t="shared" ref="AC307:AC313" si="40">AB307*H2dens*HoursInYear/10^6</f>
        <v>0.0467784</v>
      </c>
      <c r="AD307" s="125"/>
      <c r="AE307" s="125">
        <f t="shared" si="33"/>
        <v>60</v>
      </c>
      <c r="AF307" s="127" t="s">
        <v>12848</v>
      </c>
      <c r="AG307" s="127">
        <v>0.0</v>
      </c>
      <c r="AH307" s="127">
        <v>0.0</v>
      </c>
      <c r="AI307" s="115" t="s">
        <v>12383</v>
      </c>
      <c r="AJ307" s="116">
        <v>0.57</v>
      </c>
      <c r="AK307" s="117"/>
      <c r="AL307" s="117"/>
      <c r="AM307" s="117"/>
      <c r="AN307" s="117"/>
      <c r="AO307" s="117"/>
    </row>
    <row r="308" ht="34.5" customHeight="1">
      <c r="A308" s="111">
        <v>640.0</v>
      </c>
      <c r="B308" s="111" t="s">
        <v>8286</v>
      </c>
      <c r="C308" s="111" t="s">
        <v>7987</v>
      </c>
      <c r="D308" s="111">
        <v>2012.0</v>
      </c>
      <c r="E308" s="111">
        <v>2014.0</v>
      </c>
      <c r="F308" s="111" t="s">
        <v>12418</v>
      </c>
      <c r="G308" s="111" t="s">
        <v>12224</v>
      </c>
      <c r="H308" s="111"/>
      <c r="I308" s="111" t="s">
        <v>12287</v>
      </c>
      <c r="J308" s="111"/>
      <c r="K308" s="111" t="s">
        <v>12449</v>
      </c>
      <c r="L308" s="111"/>
      <c r="M308" s="111"/>
      <c r="N308" s="111"/>
      <c r="O308" s="111"/>
      <c r="P308" s="111"/>
      <c r="Q308" s="111">
        <v>1.0</v>
      </c>
      <c r="R308" s="111">
        <v>1.0</v>
      </c>
      <c r="S308" s="111"/>
      <c r="T308" s="111"/>
      <c r="U308" s="111"/>
      <c r="V308" s="111"/>
      <c r="W308" s="111"/>
      <c r="X308" s="111">
        <v>1.0</v>
      </c>
      <c r="Y308" s="111"/>
      <c r="Z308" s="111" t="s">
        <v>12849</v>
      </c>
      <c r="AA308" s="124">
        <v>0.312</v>
      </c>
      <c r="AB308" s="125">
        <f>IF(Projects!$AI308="Electrolysis",
AA308/VLOOKUP(G308,ElectrolysisConvF,3,FALSE),
AC308*10^6/(H2dens*HoursInYear))</f>
        <v>67.82608696</v>
      </c>
      <c r="AC308" s="126">
        <f t="shared" si="40"/>
        <v>0.05287993043</v>
      </c>
      <c r="AD308" s="125"/>
      <c r="AE308" s="125">
        <f t="shared" si="33"/>
        <v>67.82608696</v>
      </c>
      <c r="AF308" s="127" t="s">
        <v>12850</v>
      </c>
      <c r="AG308" s="127">
        <v>0.0</v>
      </c>
      <c r="AH308" s="127">
        <v>0.0</v>
      </c>
      <c r="AI308" s="115" t="s">
        <v>12383</v>
      </c>
      <c r="AJ308" s="116">
        <v>0.57</v>
      </c>
      <c r="AK308" s="117"/>
      <c r="AL308" s="117"/>
      <c r="AM308" s="117"/>
      <c r="AN308" s="117"/>
      <c r="AO308" s="117"/>
    </row>
    <row r="309" ht="34.5" customHeight="1">
      <c r="A309" s="111">
        <v>641.0</v>
      </c>
      <c r="B309" s="111" t="s">
        <v>8287</v>
      </c>
      <c r="C309" s="111" t="s">
        <v>7985</v>
      </c>
      <c r="D309" s="111">
        <v>2022.0</v>
      </c>
      <c r="E309" s="111"/>
      <c r="F309" s="111" t="s">
        <v>12385</v>
      </c>
      <c r="G309" s="111" t="s">
        <v>12226</v>
      </c>
      <c r="H309" s="111"/>
      <c r="I309" s="111" t="s">
        <v>12287</v>
      </c>
      <c r="J309" s="111"/>
      <c r="K309" s="111" t="s">
        <v>12449</v>
      </c>
      <c r="L309" s="111"/>
      <c r="M309" s="111"/>
      <c r="N309" s="111"/>
      <c r="O309" s="111"/>
      <c r="P309" s="111"/>
      <c r="Q309" s="111"/>
      <c r="R309" s="111"/>
      <c r="S309" s="111"/>
      <c r="T309" s="111"/>
      <c r="U309" s="111"/>
      <c r="V309" s="111"/>
      <c r="W309" s="111"/>
      <c r="X309" s="111">
        <v>1.0</v>
      </c>
      <c r="Y309" s="111"/>
      <c r="Z309" s="111" t="s">
        <v>12395</v>
      </c>
      <c r="AA309" s="124">
        <v>2.5</v>
      </c>
      <c r="AB309" s="125">
        <f>IF(Projects!$AI309="Electrolysis",
AA309/VLOOKUP(G309,ElectrolysisConvF,3,FALSE),
AC309*10^6/(H2dens*HoursInYear))</f>
        <v>480.7692308</v>
      </c>
      <c r="AC309" s="126">
        <f t="shared" si="40"/>
        <v>0.3748269231</v>
      </c>
      <c r="AD309" s="125"/>
      <c r="AE309" s="125">
        <f t="shared" si="33"/>
        <v>480.7692308</v>
      </c>
      <c r="AF309" s="127" t="s">
        <v>12851</v>
      </c>
      <c r="AG309" s="127">
        <v>47.401656925312</v>
      </c>
      <c r="AH309" s="127">
        <v>8.3950919954658</v>
      </c>
      <c r="AI309" s="115" t="s">
        <v>12383</v>
      </c>
      <c r="AJ309" s="116">
        <v>0.57</v>
      </c>
      <c r="AK309" s="117"/>
      <c r="AL309" s="117"/>
      <c r="AM309" s="117"/>
      <c r="AN309" s="117"/>
      <c r="AO309" s="117"/>
    </row>
    <row r="310" ht="34.5" customHeight="1">
      <c r="A310" s="111">
        <v>642.0</v>
      </c>
      <c r="B310" s="111" t="s">
        <v>8288</v>
      </c>
      <c r="C310" s="111" t="s">
        <v>8011</v>
      </c>
      <c r="D310" s="111">
        <v>2012.0</v>
      </c>
      <c r="E310" s="111"/>
      <c r="F310" s="111" t="s">
        <v>12418</v>
      </c>
      <c r="G310" s="111" t="s">
        <v>12226</v>
      </c>
      <c r="H310" s="111"/>
      <c r="I310" s="111" t="s">
        <v>12419</v>
      </c>
      <c r="J310" s="111"/>
      <c r="K310" s="111" t="s">
        <v>30</v>
      </c>
      <c r="L310" s="111"/>
      <c r="M310" s="111"/>
      <c r="N310" s="111"/>
      <c r="O310" s="111"/>
      <c r="P310" s="111"/>
      <c r="Q310" s="111"/>
      <c r="R310" s="111">
        <v>1.0</v>
      </c>
      <c r="S310" s="111"/>
      <c r="T310" s="111"/>
      <c r="U310" s="111"/>
      <c r="V310" s="111"/>
      <c r="W310" s="111"/>
      <c r="X310" s="111"/>
      <c r="Y310" s="111"/>
      <c r="Z310" s="111" t="s">
        <v>12852</v>
      </c>
      <c r="AA310" s="124">
        <v>0.11</v>
      </c>
      <c r="AB310" s="125">
        <f>IF(Projects!$AI310="Electrolysis",
AA310/VLOOKUP(G310,ElectrolysisConvF,3,FALSE),
AC310*10^6/(H2dens*HoursInYear))</f>
        <v>21.15384615</v>
      </c>
      <c r="AC310" s="126">
        <f t="shared" si="40"/>
        <v>0.01649238462</v>
      </c>
      <c r="AD310" s="125"/>
      <c r="AE310" s="125">
        <f t="shared" si="33"/>
        <v>21.15384615</v>
      </c>
      <c r="AF310" s="127" t="s">
        <v>12853</v>
      </c>
      <c r="AG310" s="127">
        <v>41.9458987606152</v>
      </c>
      <c r="AH310" s="127">
        <v>8.99292974403506</v>
      </c>
      <c r="AI310" s="115" t="s">
        <v>12383</v>
      </c>
      <c r="AJ310" s="116">
        <v>0.57</v>
      </c>
      <c r="AK310" s="117"/>
      <c r="AL310" s="117"/>
      <c r="AM310" s="117"/>
      <c r="AN310" s="117"/>
      <c r="AO310" s="117"/>
    </row>
    <row r="311" ht="34.5" customHeight="1">
      <c r="A311" s="111">
        <v>643.0</v>
      </c>
      <c r="B311" s="111" t="s">
        <v>8289</v>
      </c>
      <c r="C311" s="111" t="s">
        <v>8021</v>
      </c>
      <c r="D311" s="111"/>
      <c r="E311" s="111"/>
      <c r="F311" s="111" t="s">
        <v>12397</v>
      </c>
      <c r="G311" s="111" t="s">
        <v>12226</v>
      </c>
      <c r="H311" s="111"/>
      <c r="I311" s="111" t="s">
        <v>12419</v>
      </c>
      <c r="J311" s="111"/>
      <c r="K311" s="111" t="s">
        <v>30</v>
      </c>
      <c r="L311" s="111"/>
      <c r="M311" s="111"/>
      <c r="N311" s="111"/>
      <c r="O311" s="111"/>
      <c r="P311" s="111"/>
      <c r="Q311" s="111">
        <v>1.0</v>
      </c>
      <c r="R311" s="111"/>
      <c r="S311" s="111"/>
      <c r="T311" s="111"/>
      <c r="U311" s="111"/>
      <c r="V311" s="111"/>
      <c r="W311" s="111"/>
      <c r="X311" s="111"/>
      <c r="Y311" s="111"/>
      <c r="Z311" s="111" t="s">
        <v>12720</v>
      </c>
      <c r="AA311" s="124">
        <v>2.0</v>
      </c>
      <c r="AB311" s="125">
        <f>IF(Projects!$AI311="Electrolysis",
AA311/VLOOKUP(G311,ElectrolysisConvF,3,FALSE),
AC311*10^6/(H2dens*HoursInYear))</f>
        <v>384.6153846</v>
      </c>
      <c r="AC311" s="126">
        <f t="shared" si="40"/>
        <v>0.2998615385</v>
      </c>
      <c r="AD311" s="125"/>
      <c r="AE311" s="125">
        <f t="shared" si="33"/>
        <v>384.6153846</v>
      </c>
      <c r="AF311" s="127" t="s">
        <v>12854</v>
      </c>
      <c r="AG311" s="127">
        <v>0.0</v>
      </c>
      <c r="AH311" s="127">
        <v>0.0</v>
      </c>
      <c r="AI311" s="115" t="s">
        <v>12383</v>
      </c>
      <c r="AJ311" s="116">
        <v>0.57</v>
      </c>
      <c r="AK311" s="117"/>
      <c r="AL311" s="117"/>
      <c r="AM311" s="117"/>
      <c r="AN311" s="117"/>
      <c r="AO311" s="117"/>
    </row>
    <row r="312" ht="34.5" customHeight="1">
      <c r="A312" s="111">
        <v>644.0</v>
      </c>
      <c r="B312" s="111" t="s">
        <v>8290</v>
      </c>
      <c r="C312" s="111" t="s">
        <v>7987</v>
      </c>
      <c r="D312" s="111">
        <v>2012.0</v>
      </c>
      <c r="E312" s="111">
        <v>2016.0</v>
      </c>
      <c r="F312" s="111" t="s">
        <v>12418</v>
      </c>
      <c r="G312" s="111" t="s">
        <v>12228</v>
      </c>
      <c r="H312" s="111"/>
      <c r="I312" s="111" t="s">
        <v>12419</v>
      </c>
      <c r="J312" s="111"/>
      <c r="K312" s="111" t="s">
        <v>12251</v>
      </c>
      <c r="L312" s="111"/>
      <c r="M312" s="111"/>
      <c r="N312" s="111"/>
      <c r="O312" s="111"/>
      <c r="P312" s="111"/>
      <c r="Q312" s="111"/>
      <c r="R312" s="111"/>
      <c r="S312" s="111"/>
      <c r="T312" s="111"/>
      <c r="U312" s="111"/>
      <c r="V312" s="111"/>
      <c r="W312" s="111">
        <v>1.0</v>
      </c>
      <c r="X312" s="111"/>
      <c r="Y312" s="111"/>
      <c r="Z312" s="111" t="s">
        <v>12731</v>
      </c>
      <c r="AA312" s="129">
        <f>IF(Projects!$AI312="Electrolysis",
AB312*VLOOKUP(G312,ElectrolysisConvF,3,FALSE),
"")</f>
        <v>0.038</v>
      </c>
      <c r="AB312" s="125">
        <v>10.0</v>
      </c>
      <c r="AC312" s="126">
        <f t="shared" si="40"/>
        <v>0.0077964</v>
      </c>
      <c r="AD312" s="125"/>
      <c r="AE312" s="125">
        <f t="shared" si="33"/>
        <v>10</v>
      </c>
      <c r="AF312" s="127" t="s">
        <v>12855</v>
      </c>
      <c r="AG312" s="127">
        <v>0.0</v>
      </c>
      <c r="AH312" s="127">
        <v>0.0</v>
      </c>
      <c r="AI312" s="115" t="s">
        <v>12383</v>
      </c>
      <c r="AJ312" s="116">
        <v>0.57</v>
      </c>
      <c r="AK312" s="117"/>
      <c r="AL312" s="117"/>
      <c r="AM312" s="117"/>
      <c r="AN312" s="117"/>
      <c r="AO312" s="117"/>
    </row>
    <row r="313" ht="34.5" customHeight="1">
      <c r="A313" s="111">
        <v>645.0</v>
      </c>
      <c r="B313" s="111" t="s">
        <v>8291</v>
      </c>
      <c r="C313" s="111" t="s">
        <v>8011</v>
      </c>
      <c r="D313" s="111">
        <v>2023.0</v>
      </c>
      <c r="E313" s="111"/>
      <c r="F313" s="111" t="s">
        <v>12385</v>
      </c>
      <c r="G313" s="111" t="s">
        <v>12224</v>
      </c>
      <c r="H313" s="111"/>
      <c r="I313" s="111" t="s">
        <v>12406</v>
      </c>
      <c r="J313" s="111"/>
      <c r="K313" s="111" t="s">
        <v>30</v>
      </c>
      <c r="L313" s="111"/>
      <c r="M313" s="111"/>
      <c r="N313" s="111"/>
      <c r="O313" s="111"/>
      <c r="P313" s="111"/>
      <c r="Q313" s="111">
        <v>1.0</v>
      </c>
      <c r="R313" s="111"/>
      <c r="S313" s="111"/>
      <c r="T313" s="111"/>
      <c r="U313" s="111"/>
      <c r="V313" s="111"/>
      <c r="W313" s="111"/>
      <c r="X313" s="111"/>
      <c r="Y313" s="111"/>
      <c r="Z313" s="111" t="s">
        <v>12720</v>
      </c>
      <c r="AA313" s="124">
        <v>2.0</v>
      </c>
      <c r="AB313" s="125">
        <f>IF(Projects!$AI313="Electrolysis",
AA313/VLOOKUP(G313,ElectrolysisConvF,3,FALSE),
AC313*10^6/(H2dens*HoursInYear))</f>
        <v>434.7826087</v>
      </c>
      <c r="AC313" s="126">
        <f t="shared" si="40"/>
        <v>0.338973913</v>
      </c>
      <c r="AD313" s="125"/>
      <c r="AE313" s="125">
        <f t="shared" si="33"/>
        <v>434.7826087</v>
      </c>
      <c r="AF313" s="127" t="s">
        <v>12856</v>
      </c>
      <c r="AG313" s="127">
        <v>43.6294328943334</v>
      </c>
      <c r="AH313" s="127">
        <v>1.36862613760141</v>
      </c>
      <c r="AI313" s="115" t="s">
        <v>12383</v>
      </c>
      <c r="AJ313" s="116">
        <v>0.57</v>
      </c>
      <c r="AK313" s="117"/>
      <c r="AL313" s="117"/>
      <c r="AM313" s="117"/>
      <c r="AN313" s="117"/>
      <c r="AO313" s="117"/>
    </row>
    <row r="314" ht="34.5" customHeight="1">
      <c r="A314" s="111">
        <v>646.0</v>
      </c>
      <c r="B314" s="111" t="s">
        <v>8292</v>
      </c>
      <c r="C314" s="111" t="s">
        <v>8011</v>
      </c>
      <c r="D314" s="111">
        <v>2012.0</v>
      </c>
      <c r="E314" s="111">
        <v>2014.0</v>
      </c>
      <c r="F314" s="111" t="s">
        <v>12418</v>
      </c>
      <c r="G314" s="111" t="s">
        <v>12228</v>
      </c>
      <c r="H314" s="111"/>
      <c r="I314" s="111" t="s">
        <v>12287</v>
      </c>
      <c r="J314" s="111"/>
      <c r="K314" s="111" t="s">
        <v>12481</v>
      </c>
      <c r="L314" s="111"/>
      <c r="M314" s="111"/>
      <c r="N314" s="111"/>
      <c r="O314" s="111"/>
      <c r="P314" s="111"/>
      <c r="Q314" s="111"/>
      <c r="R314" s="111">
        <v>1.0</v>
      </c>
      <c r="S314" s="111"/>
      <c r="T314" s="111"/>
      <c r="U314" s="111"/>
      <c r="V314" s="111"/>
      <c r="W314" s="111"/>
      <c r="X314" s="111">
        <v>1.0</v>
      </c>
      <c r="Y314" s="111"/>
      <c r="Z314" s="111"/>
      <c r="AA314" s="124"/>
      <c r="AB314" s="125"/>
      <c r="AC314" s="126"/>
      <c r="AD314" s="125"/>
      <c r="AE314" s="125" t="str">
        <f t="shared" si="33"/>
        <v/>
      </c>
      <c r="AF314" s="127" t="s">
        <v>12857</v>
      </c>
      <c r="AG314" s="127">
        <v>0.0</v>
      </c>
      <c r="AH314" s="127">
        <v>0.0</v>
      </c>
      <c r="AI314" s="115" t="s">
        <v>12383</v>
      </c>
      <c r="AJ314" s="116">
        <v>0.57</v>
      </c>
      <c r="AK314" s="117"/>
      <c r="AL314" s="117"/>
      <c r="AM314" s="117"/>
      <c r="AN314" s="117"/>
      <c r="AO314" s="117"/>
    </row>
    <row r="315" ht="34.5" customHeight="1">
      <c r="A315" s="111">
        <v>647.0</v>
      </c>
      <c r="B315" s="111" t="s">
        <v>8293</v>
      </c>
      <c r="C315" s="111" t="s">
        <v>7987</v>
      </c>
      <c r="D315" s="111">
        <v>2012.0</v>
      </c>
      <c r="E315" s="111">
        <v>2015.0</v>
      </c>
      <c r="F315" s="111" t="s">
        <v>12418</v>
      </c>
      <c r="G315" s="111" t="s">
        <v>12226</v>
      </c>
      <c r="H315" s="111"/>
      <c r="I315" s="111" t="s">
        <v>12287</v>
      </c>
      <c r="J315" s="111"/>
      <c r="K315" s="111"/>
      <c r="L315" s="111"/>
      <c r="M315" s="111"/>
      <c r="N315" s="111"/>
      <c r="O315" s="111"/>
      <c r="P315" s="111"/>
      <c r="Q315" s="111"/>
      <c r="R315" s="111"/>
      <c r="S315" s="111"/>
      <c r="T315" s="111"/>
      <c r="U315" s="111"/>
      <c r="V315" s="111"/>
      <c r="W315" s="111"/>
      <c r="X315" s="111"/>
      <c r="Y315" s="111"/>
      <c r="Z315" s="111"/>
      <c r="AA315" s="124"/>
      <c r="AB315" s="125"/>
      <c r="AC315" s="126"/>
      <c r="AD315" s="125"/>
      <c r="AE315" s="125" t="str">
        <f t="shared" si="33"/>
        <v/>
      </c>
      <c r="AF315" s="127" t="s">
        <v>12858</v>
      </c>
      <c r="AG315" s="127">
        <v>0.0</v>
      </c>
      <c r="AH315" s="127">
        <v>0.0</v>
      </c>
      <c r="AI315" s="115" t="s">
        <v>12383</v>
      </c>
      <c r="AJ315" s="116">
        <v>0.57</v>
      </c>
      <c r="AK315" s="117"/>
      <c r="AL315" s="117"/>
      <c r="AM315" s="117"/>
      <c r="AN315" s="117"/>
      <c r="AO315" s="117"/>
    </row>
    <row r="316" ht="34.5" customHeight="1">
      <c r="A316" s="111">
        <v>648.0</v>
      </c>
      <c r="B316" s="111" t="s">
        <v>8294</v>
      </c>
      <c r="C316" s="111" t="s">
        <v>7987</v>
      </c>
      <c r="D316" s="111">
        <v>2012.0</v>
      </c>
      <c r="E316" s="111">
        <v>2015.0</v>
      </c>
      <c r="F316" s="111" t="s">
        <v>12418</v>
      </c>
      <c r="G316" s="111" t="s">
        <v>12226</v>
      </c>
      <c r="H316" s="111"/>
      <c r="I316" s="111" t="s">
        <v>12287</v>
      </c>
      <c r="J316" s="111"/>
      <c r="K316" s="111"/>
      <c r="L316" s="111"/>
      <c r="M316" s="111"/>
      <c r="N316" s="111"/>
      <c r="O316" s="111"/>
      <c r="P316" s="111"/>
      <c r="Q316" s="111"/>
      <c r="R316" s="111"/>
      <c r="S316" s="111"/>
      <c r="T316" s="111"/>
      <c r="U316" s="111"/>
      <c r="V316" s="111"/>
      <c r="W316" s="111"/>
      <c r="X316" s="111"/>
      <c r="Y316" s="111"/>
      <c r="Z316" s="111"/>
      <c r="AA316" s="124"/>
      <c r="AB316" s="125"/>
      <c r="AC316" s="126"/>
      <c r="AD316" s="125"/>
      <c r="AE316" s="125" t="str">
        <f t="shared" si="33"/>
        <v/>
      </c>
      <c r="AF316" s="127" t="s">
        <v>12859</v>
      </c>
      <c r="AG316" s="127">
        <v>0.0</v>
      </c>
      <c r="AH316" s="127">
        <v>0.0</v>
      </c>
      <c r="AI316" s="115" t="s">
        <v>12383</v>
      </c>
      <c r="AJ316" s="116">
        <v>0.57</v>
      </c>
      <c r="AK316" s="117"/>
      <c r="AL316" s="117"/>
      <c r="AM316" s="117"/>
      <c r="AN316" s="117"/>
      <c r="AO316" s="117"/>
    </row>
    <row r="317" ht="34.5" customHeight="1">
      <c r="A317" s="111">
        <v>649.0</v>
      </c>
      <c r="B317" s="111" t="s">
        <v>8295</v>
      </c>
      <c r="C317" s="111" t="s">
        <v>7987</v>
      </c>
      <c r="D317" s="111">
        <v>2013.0</v>
      </c>
      <c r="E317" s="111">
        <v>2016.0</v>
      </c>
      <c r="F317" s="111" t="s">
        <v>12418</v>
      </c>
      <c r="G317" s="111" t="s">
        <v>12224</v>
      </c>
      <c r="H317" s="111"/>
      <c r="I317" s="111" t="s">
        <v>12287</v>
      </c>
      <c r="J317" s="111"/>
      <c r="K317" s="111" t="s">
        <v>12449</v>
      </c>
      <c r="L317" s="111"/>
      <c r="M317" s="111"/>
      <c r="N317" s="111"/>
      <c r="O317" s="111"/>
      <c r="P317" s="111"/>
      <c r="Q317" s="111"/>
      <c r="R317" s="111"/>
      <c r="S317" s="111"/>
      <c r="T317" s="111"/>
      <c r="U317" s="111"/>
      <c r="V317" s="111"/>
      <c r="W317" s="111"/>
      <c r="X317" s="111">
        <v>1.0</v>
      </c>
      <c r="Y317" s="111"/>
      <c r="Z317" s="111" t="s">
        <v>12860</v>
      </c>
      <c r="AA317" s="124">
        <v>0.3</v>
      </c>
      <c r="AB317" s="125">
        <f>IF(Projects!$AI317="Electrolysis",
AA317/VLOOKUP(G317,ElectrolysisConvF,3,FALSE),
AC317*10^6/(H2dens*HoursInYear))</f>
        <v>65.2173913</v>
      </c>
      <c r="AC317" s="126">
        <f t="shared" ref="AC317:AC320" si="41">AB317*H2dens*HoursInYear/10^6</f>
        <v>0.05084608696</v>
      </c>
      <c r="AD317" s="125"/>
      <c r="AE317" s="125">
        <f t="shared" si="33"/>
        <v>65.2173913</v>
      </c>
      <c r="AF317" s="127" t="s">
        <v>12861</v>
      </c>
      <c r="AG317" s="127">
        <v>0.0</v>
      </c>
      <c r="AH317" s="127">
        <v>0.0</v>
      </c>
      <c r="AI317" s="115" t="s">
        <v>12383</v>
      </c>
      <c r="AJ317" s="116">
        <v>0.57</v>
      </c>
      <c r="AK317" s="117"/>
      <c r="AL317" s="117"/>
      <c r="AM317" s="117"/>
      <c r="AN317" s="117"/>
      <c r="AO317" s="117"/>
    </row>
    <row r="318" ht="34.5" customHeight="1">
      <c r="A318" s="111">
        <v>650.0</v>
      </c>
      <c r="B318" s="111" t="s">
        <v>8296</v>
      </c>
      <c r="C318" s="111" t="s">
        <v>7987</v>
      </c>
      <c r="D318" s="111">
        <v>2013.0</v>
      </c>
      <c r="E318" s="111">
        <v>2016.0</v>
      </c>
      <c r="F318" s="111" t="s">
        <v>12418</v>
      </c>
      <c r="G318" s="111" t="s">
        <v>12226</v>
      </c>
      <c r="H318" s="111"/>
      <c r="I318" s="111" t="s">
        <v>12287</v>
      </c>
      <c r="J318" s="111"/>
      <c r="K318" s="111"/>
      <c r="L318" s="111"/>
      <c r="M318" s="111"/>
      <c r="N318" s="111"/>
      <c r="O318" s="111"/>
      <c r="P318" s="111"/>
      <c r="Q318" s="111"/>
      <c r="R318" s="111"/>
      <c r="S318" s="111"/>
      <c r="T318" s="111"/>
      <c r="U318" s="111"/>
      <c r="V318" s="111"/>
      <c r="W318" s="111"/>
      <c r="X318" s="111">
        <v>1.0</v>
      </c>
      <c r="Y318" s="111"/>
      <c r="Z318" s="111" t="s">
        <v>12862</v>
      </c>
      <c r="AA318" s="129">
        <f>IF(Projects!$AI318="Electrolysis",
AB318*VLOOKUP(G318,ElectrolysisConvF,3,FALSE),
"")</f>
        <v>0.312</v>
      </c>
      <c r="AB318" s="125">
        <v>60.0</v>
      </c>
      <c r="AC318" s="126">
        <f t="shared" si="41"/>
        <v>0.0467784</v>
      </c>
      <c r="AD318" s="125"/>
      <c r="AE318" s="125">
        <f t="shared" si="33"/>
        <v>60</v>
      </c>
      <c r="AF318" s="127" t="s">
        <v>12863</v>
      </c>
      <c r="AG318" s="127">
        <v>0.0</v>
      </c>
      <c r="AH318" s="127">
        <v>0.0</v>
      </c>
      <c r="AI318" s="115" t="s">
        <v>12383</v>
      </c>
      <c r="AJ318" s="116">
        <v>0.57</v>
      </c>
      <c r="AK318" s="117"/>
      <c r="AL318" s="117"/>
      <c r="AM318" s="117"/>
      <c r="AN318" s="117"/>
      <c r="AO318" s="117"/>
    </row>
    <row r="319" ht="34.5" customHeight="1">
      <c r="A319" s="111">
        <v>651.0</v>
      </c>
      <c r="B319" s="111" t="s">
        <v>8297</v>
      </c>
      <c r="C319" s="111" t="s">
        <v>7967</v>
      </c>
      <c r="D319" s="111">
        <v>2013.0</v>
      </c>
      <c r="E319" s="111">
        <v>2018.0</v>
      </c>
      <c r="F319" s="111" t="s">
        <v>12418</v>
      </c>
      <c r="G319" s="111" t="s">
        <v>12226</v>
      </c>
      <c r="H319" s="111"/>
      <c r="I319" s="111" t="s">
        <v>12287</v>
      </c>
      <c r="J319" s="111"/>
      <c r="K319" s="111" t="s">
        <v>12449</v>
      </c>
      <c r="L319" s="111"/>
      <c r="M319" s="111"/>
      <c r="N319" s="111"/>
      <c r="O319" s="111"/>
      <c r="P319" s="111"/>
      <c r="Q319" s="111"/>
      <c r="R319" s="111"/>
      <c r="S319" s="111"/>
      <c r="T319" s="111"/>
      <c r="U319" s="111"/>
      <c r="V319" s="111"/>
      <c r="W319" s="111"/>
      <c r="X319" s="111">
        <v>1.0</v>
      </c>
      <c r="Y319" s="111"/>
      <c r="Z319" s="111" t="s">
        <v>12638</v>
      </c>
      <c r="AA319" s="124">
        <v>0.007</v>
      </c>
      <c r="AB319" s="125">
        <f>IF(Projects!$AI319="Electrolysis",
AA319/VLOOKUP(G319,ElectrolysisConvF,3,FALSE),
AC319*10^6/(H2dens*HoursInYear))</f>
        <v>1.346153846</v>
      </c>
      <c r="AC319" s="126">
        <f t="shared" si="41"/>
        <v>0.001049515385</v>
      </c>
      <c r="AD319" s="125"/>
      <c r="AE319" s="125">
        <f t="shared" si="33"/>
        <v>1.346153846</v>
      </c>
      <c r="AF319" s="127" t="s">
        <v>12480</v>
      </c>
      <c r="AG319" s="127">
        <v>0.0</v>
      </c>
      <c r="AH319" s="127">
        <v>0.0</v>
      </c>
      <c r="AI319" s="115" t="s">
        <v>12383</v>
      </c>
      <c r="AJ319" s="116">
        <v>0.57</v>
      </c>
      <c r="AK319" s="117"/>
      <c r="AL319" s="117"/>
      <c r="AM319" s="117"/>
      <c r="AN319" s="117"/>
      <c r="AO319" s="117"/>
    </row>
    <row r="320" ht="34.5" customHeight="1">
      <c r="A320" s="111">
        <v>652.0</v>
      </c>
      <c r="B320" s="111" t="s">
        <v>8298</v>
      </c>
      <c r="C320" s="111" t="s">
        <v>8047</v>
      </c>
      <c r="D320" s="111">
        <v>2013.0</v>
      </c>
      <c r="E320" s="111">
        <v>2014.0</v>
      </c>
      <c r="F320" s="111" t="s">
        <v>12418</v>
      </c>
      <c r="G320" s="111" t="s">
        <v>12224</v>
      </c>
      <c r="H320" s="111"/>
      <c r="I320" s="111" t="s">
        <v>12287</v>
      </c>
      <c r="J320" s="111"/>
      <c r="K320" s="111"/>
      <c r="L320" s="111"/>
      <c r="M320" s="111"/>
      <c r="N320" s="111"/>
      <c r="O320" s="111"/>
      <c r="P320" s="111"/>
      <c r="Q320" s="111"/>
      <c r="R320" s="111">
        <v>1.0</v>
      </c>
      <c r="S320" s="111"/>
      <c r="T320" s="111"/>
      <c r="U320" s="111"/>
      <c r="V320" s="111"/>
      <c r="W320" s="111"/>
      <c r="X320" s="111"/>
      <c r="Y320" s="111"/>
      <c r="Z320" s="111" t="s">
        <v>12652</v>
      </c>
      <c r="AA320" s="124">
        <v>0.0025</v>
      </c>
      <c r="AB320" s="125">
        <f>IF(Projects!$AI320="Electrolysis",
AA320/VLOOKUP(G320,ElectrolysisConvF,3,FALSE),
AC320*10^6/(H2dens*HoursInYear))</f>
        <v>0.5434782609</v>
      </c>
      <c r="AC320" s="126">
        <f t="shared" si="41"/>
        <v>0.0004237173913</v>
      </c>
      <c r="AD320" s="125"/>
      <c r="AE320" s="125">
        <f t="shared" si="33"/>
        <v>0.5434782609</v>
      </c>
      <c r="AF320" s="127" t="s">
        <v>12864</v>
      </c>
      <c r="AG320" s="127">
        <v>0.0</v>
      </c>
      <c r="AH320" s="127">
        <v>0.0</v>
      </c>
      <c r="AI320" s="115" t="s">
        <v>12383</v>
      </c>
      <c r="AJ320" s="116">
        <v>0.57</v>
      </c>
      <c r="AK320" s="117"/>
      <c r="AL320" s="117"/>
      <c r="AM320" s="117"/>
      <c r="AN320" s="117"/>
      <c r="AO320" s="117"/>
    </row>
    <row r="321" ht="34.5" customHeight="1">
      <c r="A321" s="111">
        <v>653.0</v>
      </c>
      <c r="B321" s="111" t="s">
        <v>8299</v>
      </c>
      <c r="C321" s="111" t="s">
        <v>7999</v>
      </c>
      <c r="D321" s="111">
        <v>2013.0</v>
      </c>
      <c r="E321" s="111">
        <v>2016.0</v>
      </c>
      <c r="F321" s="111" t="s">
        <v>12418</v>
      </c>
      <c r="G321" s="111" t="s">
        <v>12381</v>
      </c>
      <c r="H321" s="111" t="s">
        <v>12230</v>
      </c>
      <c r="I321" s="111" t="s">
        <v>12287</v>
      </c>
      <c r="J321" s="111"/>
      <c r="K321" s="111" t="s">
        <v>12449</v>
      </c>
      <c r="L321" s="111"/>
      <c r="M321" s="111"/>
      <c r="N321" s="111"/>
      <c r="O321" s="111"/>
      <c r="P321" s="111"/>
      <c r="Q321" s="111"/>
      <c r="R321" s="111"/>
      <c r="S321" s="111"/>
      <c r="T321" s="111"/>
      <c r="U321" s="111"/>
      <c r="V321" s="111"/>
      <c r="W321" s="111"/>
      <c r="X321" s="111">
        <v>1.0</v>
      </c>
      <c r="Y321" s="111"/>
      <c r="Z321" s="111"/>
      <c r="AA321" s="124"/>
      <c r="AB321" s="125"/>
      <c r="AC321" s="126"/>
      <c r="AD321" s="125"/>
      <c r="AE321" s="125" t="str">
        <f t="shared" si="33"/>
        <v/>
      </c>
      <c r="AF321" s="127" t="s">
        <v>12865</v>
      </c>
      <c r="AG321" s="127">
        <v>0.0</v>
      </c>
      <c r="AH321" s="127">
        <v>0.0</v>
      </c>
      <c r="AI321" s="115" t="s">
        <v>12383</v>
      </c>
      <c r="AJ321" s="116">
        <v>0.57</v>
      </c>
      <c r="AK321" s="117"/>
      <c r="AL321" s="117"/>
      <c r="AM321" s="117"/>
      <c r="AN321" s="117"/>
      <c r="AO321" s="117"/>
    </row>
    <row r="322" ht="34.5" customHeight="1">
      <c r="A322" s="111">
        <v>654.0</v>
      </c>
      <c r="B322" s="111" t="s">
        <v>8300</v>
      </c>
      <c r="C322" s="111" t="s">
        <v>7999</v>
      </c>
      <c r="D322" s="111">
        <v>2013.0</v>
      </c>
      <c r="E322" s="111">
        <v>2016.0</v>
      </c>
      <c r="F322" s="111" t="s">
        <v>12418</v>
      </c>
      <c r="G322" s="111" t="s">
        <v>12381</v>
      </c>
      <c r="H322" s="111" t="s">
        <v>12230</v>
      </c>
      <c r="I322" s="111" t="s">
        <v>12287</v>
      </c>
      <c r="J322" s="111"/>
      <c r="K322" s="111" t="s">
        <v>12449</v>
      </c>
      <c r="L322" s="111"/>
      <c r="M322" s="111"/>
      <c r="N322" s="111"/>
      <c r="O322" s="111"/>
      <c r="P322" s="111"/>
      <c r="Q322" s="111"/>
      <c r="R322" s="111"/>
      <c r="S322" s="111"/>
      <c r="T322" s="111"/>
      <c r="U322" s="111"/>
      <c r="V322" s="111"/>
      <c r="W322" s="111"/>
      <c r="X322" s="111">
        <v>1.0</v>
      </c>
      <c r="Y322" s="111"/>
      <c r="Z322" s="111"/>
      <c r="AA322" s="124"/>
      <c r="AB322" s="125"/>
      <c r="AC322" s="126"/>
      <c r="AD322" s="125"/>
      <c r="AE322" s="125" t="str">
        <f t="shared" si="33"/>
        <v/>
      </c>
      <c r="AF322" s="127" t="s">
        <v>12866</v>
      </c>
      <c r="AG322" s="127">
        <v>0.0</v>
      </c>
      <c r="AH322" s="127">
        <v>0.0</v>
      </c>
      <c r="AI322" s="115" t="s">
        <v>12383</v>
      </c>
      <c r="AJ322" s="116">
        <v>0.57</v>
      </c>
      <c r="AK322" s="117"/>
      <c r="AL322" s="117"/>
      <c r="AM322" s="117"/>
      <c r="AN322" s="117"/>
      <c r="AO322" s="117"/>
    </row>
    <row r="323" ht="34.5" customHeight="1">
      <c r="A323" s="111">
        <v>655.0</v>
      </c>
      <c r="B323" s="111" t="s">
        <v>8301</v>
      </c>
      <c r="C323" s="111" t="s">
        <v>7987</v>
      </c>
      <c r="D323" s="111">
        <v>2014.0</v>
      </c>
      <c r="E323" s="111">
        <v>2016.0</v>
      </c>
      <c r="F323" s="111" t="s">
        <v>12418</v>
      </c>
      <c r="G323" s="111" t="s">
        <v>12226</v>
      </c>
      <c r="H323" s="111"/>
      <c r="I323" s="111" t="s">
        <v>12287</v>
      </c>
      <c r="J323" s="111"/>
      <c r="K323" s="111" t="s">
        <v>30</v>
      </c>
      <c r="L323" s="111"/>
      <c r="M323" s="111"/>
      <c r="N323" s="111"/>
      <c r="O323" s="111"/>
      <c r="P323" s="111"/>
      <c r="Q323" s="111">
        <v>1.0</v>
      </c>
      <c r="R323" s="111">
        <v>1.0</v>
      </c>
      <c r="S323" s="111">
        <v>1.0</v>
      </c>
      <c r="T323" s="111"/>
      <c r="U323" s="111"/>
      <c r="V323" s="111"/>
      <c r="W323" s="111"/>
      <c r="X323" s="111"/>
      <c r="Y323" s="111"/>
      <c r="Z323" s="111" t="s">
        <v>12860</v>
      </c>
      <c r="AA323" s="124">
        <v>0.3</v>
      </c>
      <c r="AB323" s="125">
        <f>IF(Projects!$AI323="Electrolysis",
AA323/VLOOKUP(G323,ElectrolysisConvF,3,FALSE),
AC323*10^6/(H2dens*HoursInYear))</f>
        <v>57.69230769</v>
      </c>
      <c r="AC323" s="126">
        <f t="shared" ref="AC323:AC326" si="42">AB323*H2dens*HoursInYear/10^6</f>
        <v>0.04497923077</v>
      </c>
      <c r="AD323" s="125"/>
      <c r="AE323" s="125">
        <f t="shared" si="33"/>
        <v>57.69230769</v>
      </c>
      <c r="AF323" s="127" t="s">
        <v>12867</v>
      </c>
      <c r="AG323" s="127">
        <v>0.0</v>
      </c>
      <c r="AH323" s="127">
        <v>0.0</v>
      </c>
      <c r="AI323" s="115" t="s">
        <v>12383</v>
      </c>
      <c r="AJ323" s="116">
        <v>0.57</v>
      </c>
      <c r="AK323" s="117"/>
      <c r="AL323" s="117"/>
      <c r="AM323" s="117"/>
      <c r="AN323" s="117"/>
      <c r="AO323" s="117"/>
    </row>
    <row r="324" ht="34.5" customHeight="1">
      <c r="A324" s="111">
        <v>656.0</v>
      </c>
      <c r="B324" s="111" t="s">
        <v>8302</v>
      </c>
      <c r="C324" s="111" t="s">
        <v>7977</v>
      </c>
      <c r="D324" s="111">
        <v>2014.0</v>
      </c>
      <c r="E324" s="111">
        <v>2017.0</v>
      </c>
      <c r="F324" s="111" t="s">
        <v>12418</v>
      </c>
      <c r="G324" s="111" t="s">
        <v>12224</v>
      </c>
      <c r="H324" s="111"/>
      <c r="I324" s="111" t="s">
        <v>12287</v>
      </c>
      <c r="J324" s="111"/>
      <c r="K324" s="111" t="s">
        <v>12449</v>
      </c>
      <c r="L324" s="111"/>
      <c r="M324" s="111"/>
      <c r="N324" s="111"/>
      <c r="O324" s="111"/>
      <c r="P324" s="111"/>
      <c r="Q324" s="111"/>
      <c r="R324" s="111"/>
      <c r="S324" s="111"/>
      <c r="T324" s="111"/>
      <c r="U324" s="111"/>
      <c r="V324" s="111"/>
      <c r="W324" s="111"/>
      <c r="X324" s="111">
        <v>1.0</v>
      </c>
      <c r="Y324" s="111"/>
      <c r="Z324" s="111" t="s">
        <v>12557</v>
      </c>
      <c r="AA324" s="129">
        <f>IF(Projects!$AI324="Electrolysis",
AB324*VLOOKUP(G324,ElectrolysisConvF,3,FALSE),
"")</f>
        <v>0.0092</v>
      </c>
      <c r="AB324" s="125">
        <v>2.0</v>
      </c>
      <c r="AC324" s="126">
        <f t="shared" si="42"/>
        <v>0.00155928</v>
      </c>
      <c r="AD324" s="125"/>
      <c r="AE324" s="125">
        <f t="shared" si="33"/>
        <v>2</v>
      </c>
      <c r="AF324" s="127" t="s">
        <v>12868</v>
      </c>
      <c r="AG324" s="127">
        <v>0.0</v>
      </c>
      <c r="AH324" s="127">
        <v>0.0</v>
      </c>
      <c r="AI324" s="115" t="s">
        <v>12383</v>
      </c>
      <c r="AJ324" s="116">
        <v>0.57</v>
      </c>
      <c r="AK324" s="117"/>
      <c r="AL324" s="117"/>
      <c r="AM324" s="117"/>
      <c r="AN324" s="117"/>
      <c r="AO324" s="117"/>
    </row>
    <row r="325" ht="34.5" customHeight="1">
      <c r="A325" s="111">
        <v>657.0</v>
      </c>
      <c r="B325" s="111" t="s">
        <v>8303</v>
      </c>
      <c r="C325" s="111" t="s">
        <v>7987</v>
      </c>
      <c r="D325" s="111">
        <v>2003.0</v>
      </c>
      <c r="E325" s="111">
        <v>2011.0</v>
      </c>
      <c r="F325" s="111" t="s">
        <v>12418</v>
      </c>
      <c r="G325" s="111" t="s">
        <v>12224</v>
      </c>
      <c r="H325" s="111"/>
      <c r="I325" s="111" t="s">
        <v>12287</v>
      </c>
      <c r="J325" s="111"/>
      <c r="K325" s="111" t="s">
        <v>30</v>
      </c>
      <c r="L325" s="111"/>
      <c r="M325" s="111"/>
      <c r="N325" s="111"/>
      <c r="O325" s="111"/>
      <c r="P325" s="111"/>
      <c r="Q325" s="111">
        <v>1.0</v>
      </c>
      <c r="R325" s="111"/>
      <c r="S325" s="111"/>
      <c r="T325" s="111"/>
      <c r="U325" s="111"/>
      <c r="V325" s="111"/>
      <c r="W325" s="111"/>
      <c r="X325" s="111"/>
      <c r="Y325" s="111"/>
      <c r="Z325" s="111" t="s">
        <v>12862</v>
      </c>
      <c r="AA325" s="129">
        <f>IF(Projects!$AI325="Electrolysis",
AB325*VLOOKUP(G325,ElectrolysisConvF,3,FALSE),
"")</f>
        <v>0.276</v>
      </c>
      <c r="AB325" s="125">
        <v>60.0</v>
      </c>
      <c r="AC325" s="126">
        <f t="shared" si="42"/>
        <v>0.0467784</v>
      </c>
      <c r="AD325" s="125"/>
      <c r="AE325" s="125">
        <f t="shared" si="33"/>
        <v>60</v>
      </c>
      <c r="AF325" s="127" t="s">
        <v>12869</v>
      </c>
      <c r="AG325" s="127">
        <v>0.0</v>
      </c>
      <c r="AH325" s="127">
        <v>0.0</v>
      </c>
      <c r="AI325" s="115" t="s">
        <v>12383</v>
      </c>
      <c r="AJ325" s="116">
        <v>0.57</v>
      </c>
      <c r="AK325" s="117"/>
      <c r="AL325" s="117"/>
      <c r="AM325" s="117"/>
      <c r="AN325" s="117"/>
      <c r="AO325" s="117"/>
    </row>
    <row r="326" ht="34.5" customHeight="1">
      <c r="A326" s="111">
        <v>658.0</v>
      </c>
      <c r="B326" s="111" t="s">
        <v>8304</v>
      </c>
      <c r="C326" s="111" t="s">
        <v>7985</v>
      </c>
      <c r="D326" s="111">
        <v>2014.0</v>
      </c>
      <c r="E326" s="111">
        <v>2017.0</v>
      </c>
      <c r="F326" s="111" t="s">
        <v>12418</v>
      </c>
      <c r="G326" s="111" t="s">
        <v>12226</v>
      </c>
      <c r="H326" s="111"/>
      <c r="I326" s="111" t="s">
        <v>12287</v>
      </c>
      <c r="J326" s="111"/>
      <c r="K326" s="111" t="s">
        <v>12481</v>
      </c>
      <c r="L326" s="111"/>
      <c r="M326" s="111"/>
      <c r="N326" s="111"/>
      <c r="O326" s="111"/>
      <c r="P326" s="111"/>
      <c r="Q326" s="111"/>
      <c r="R326" s="111">
        <v>1.0</v>
      </c>
      <c r="S326" s="111"/>
      <c r="T326" s="111"/>
      <c r="U326" s="111"/>
      <c r="V326" s="111"/>
      <c r="W326" s="111">
        <v>1.0</v>
      </c>
      <c r="X326" s="111">
        <v>1.0</v>
      </c>
      <c r="Y326" s="111"/>
      <c r="Z326" s="111" t="s">
        <v>12870</v>
      </c>
      <c r="AA326" s="129">
        <f>IF(Projects!$AI326="Electrolysis",
AB326*VLOOKUP(G326,ElectrolysisConvF,3,FALSE),
"")</f>
        <v>0.00156</v>
      </c>
      <c r="AB326" s="125">
        <v>0.3</v>
      </c>
      <c r="AC326" s="126">
        <f t="shared" si="42"/>
        <v>0.000233892</v>
      </c>
      <c r="AD326" s="125"/>
      <c r="AE326" s="125">
        <f t="shared" si="33"/>
        <v>0.3</v>
      </c>
      <c r="AF326" s="127"/>
      <c r="AG326" s="127">
        <v>0.0</v>
      </c>
      <c r="AH326" s="127">
        <v>0.0</v>
      </c>
      <c r="AI326" s="115" t="s">
        <v>12383</v>
      </c>
      <c r="AJ326" s="116">
        <v>0.57</v>
      </c>
      <c r="AK326" s="117"/>
      <c r="AL326" s="117"/>
      <c r="AM326" s="117"/>
      <c r="AN326" s="117"/>
      <c r="AO326" s="117"/>
    </row>
    <row r="327" ht="34.5" customHeight="1">
      <c r="A327" s="111">
        <v>659.0</v>
      </c>
      <c r="B327" s="111" t="s">
        <v>8305</v>
      </c>
      <c r="C327" s="111" t="s">
        <v>8011</v>
      </c>
      <c r="D327" s="111">
        <v>2014.0</v>
      </c>
      <c r="E327" s="111">
        <v>2017.0</v>
      </c>
      <c r="F327" s="111" t="s">
        <v>12418</v>
      </c>
      <c r="G327" s="111" t="s">
        <v>12228</v>
      </c>
      <c r="H327" s="111"/>
      <c r="I327" s="111" t="s">
        <v>12287</v>
      </c>
      <c r="J327" s="111"/>
      <c r="K327" s="111" t="s">
        <v>12449</v>
      </c>
      <c r="L327" s="111"/>
      <c r="M327" s="111"/>
      <c r="N327" s="111"/>
      <c r="O327" s="111"/>
      <c r="P327" s="111"/>
      <c r="Q327" s="111"/>
      <c r="R327" s="111"/>
      <c r="S327" s="111"/>
      <c r="T327" s="111"/>
      <c r="U327" s="111"/>
      <c r="V327" s="111"/>
      <c r="W327" s="111">
        <v>1.0</v>
      </c>
      <c r="X327" s="111">
        <v>1.0</v>
      </c>
      <c r="Y327" s="111"/>
      <c r="Z327" s="111"/>
      <c r="AA327" s="124"/>
      <c r="AB327" s="125"/>
      <c r="AC327" s="126"/>
      <c r="AD327" s="125"/>
      <c r="AE327" s="125" t="str">
        <f t="shared" si="33"/>
        <v/>
      </c>
      <c r="AF327" s="127" t="s">
        <v>12871</v>
      </c>
      <c r="AG327" s="127">
        <v>0.0</v>
      </c>
      <c r="AH327" s="127">
        <v>0.0</v>
      </c>
      <c r="AI327" s="115" t="s">
        <v>12383</v>
      </c>
      <c r="AJ327" s="116">
        <v>0.57</v>
      </c>
      <c r="AK327" s="117"/>
      <c r="AL327" s="117"/>
      <c r="AM327" s="117"/>
      <c r="AN327" s="117"/>
      <c r="AO327" s="117"/>
    </row>
    <row r="328" ht="34.5" customHeight="1">
      <c r="A328" s="111">
        <v>660.0</v>
      </c>
      <c r="B328" s="111" t="s">
        <v>8306</v>
      </c>
      <c r="C328" s="111" t="s">
        <v>7977</v>
      </c>
      <c r="D328" s="111">
        <v>2008.0</v>
      </c>
      <c r="E328" s="111">
        <v>2011.0</v>
      </c>
      <c r="F328" s="111" t="s">
        <v>12418</v>
      </c>
      <c r="G328" s="111" t="s">
        <v>12224</v>
      </c>
      <c r="H328" s="111"/>
      <c r="I328" s="111" t="s">
        <v>12394</v>
      </c>
      <c r="J328" s="111" t="s">
        <v>12292</v>
      </c>
      <c r="K328" s="111" t="s">
        <v>30</v>
      </c>
      <c r="L328" s="111"/>
      <c r="M328" s="111"/>
      <c r="N328" s="111"/>
      <c r="O328" s="111"/>
      <c r="P328" s="111"/>
      <c r="Q328" s="111"/>
      <c r="R328" s="111">
        <v>1.0</v>
      </c>
      <c r="S328" s="111"/>
      <c r="T328" s="111"/>
      <c r="U328" s="111"/>
      <c r="V328" s="111"/>
      <c r="W328" s="111"/>
      <c r="X328" s="111"/>
      <c r="Y328" s="111"/>
      <c r="Z328" s="111" t="s">
        <v>12872</v>
      </c>
      <c r="AA328" s="124">
        <v>0.3</v>
      </c>
      <c r="AB328" s="125">
        <f>IF(Projects!$AI328="Electrolysis",
AA328/VLOOKUP(G328,ElectrolysisConvF,3,FALSE),
AC328*10^6/(H2dens*HoursInYear))</f>
        <v>65.2173913</v>
      </c>
      <c r="AC328" s="126">
        <f t="shared" ref="AC328:AC334" si="43">AB328*H2dens*HoursInYear/10^6</f>
        <v>0.05084608696</v>
      </c>
      <c r="AD328" s="125"/>
      <c r="AE328" s="125">
        <f t="shared" si="33"/>
        <v>65.2173913</v>
      </c>
      <c r="AF328" s="127" t="s">
        <v>12873</v>
      </c>
      <c r="AG328" s="127">
        <v>43.3554575803452</v>
      </c>
      <c r="AH328" s="127">
        <v>-7.81361675652434</v>
      </c>
      <c r="AI328" s="115" t="s">
        <v>12383</v>
      </c>
      <c r="AJ328" s="116">
        <v>0.4</v>
      </c>
      <c r="AK328" s="117"/>
      <c r="AL328" s="117"/>
      <c r="AM328" s="117"/>
      <c r="AN328" s="117"/>
      <c r="AO328" s="117"/>
    </row>
    <row r="329" ht="34.5" customHeight="1">
      <c r="A329" s="111">
        <v>661.0</v>
      </c>
      <c r="B329" s="111" t="s">
        <v>8307</v>
      </c>
      <c r="C329" s="111" t="s">
        <v>7974</v>
      </c>
      <c r="D329" s="111">
        <v>2003.0</v>
      </c>
      <c r="E329" s="111">
        <v>2006.0</v>
      </c>
      <c r="F329" s="111" t="s">
        <v>12418</v>
      </c>
      <c r="G329" s="111" t="s">
        <v>12224</v>
      </c>
      <c r="H329" s="111"/>
      <c r="I329" s="111" t="s">
        <v>12287</v>
      </c>
      <c r="J329" s="111"/>
      <c r="K329" s="111" t="s">
        <v>30</v>
      </c>
      <c r="L329" s="111"/>
      <c r="M329" s="111"/>
      <c r="N329" s="111"/>
      <c r="O329" s="111"/>
      <c r="P329" s="111"/>
      <c r="Q329" s="111">
        <v>1.0</v>
      </c>
      <c r="R329" s="111"/>
      <c r="S329" s="111"/>
      <c r="T329" s="111"/>
      <c r="U329" s="111"/>
      <c r="V329" s="111"/>
      <c r="W329" s="111"/>
      <c r="X329" s="111"/>
      <c r="Y329" s="111"/>
      <c r="Z329" s="111" t="s">
        <v>12872</v>
      </c>
      <c r="AA329" s="124">
        <v>0.3</v>
      </c>
      <c r="AB329" s="125">
        <f>IF(Projects!$AI329="Electrolysis",
AA329/VLOOKUP(G329,ElectrolysisConvF,3,FALSE),
AC329*10^6/(H2dens*HoursInYear))</f>
        <v>65.2173913</v>
      </c>
      <c r="AC329" s="126">
        <f t="shared" si="43"/>
        <v>0.05084608696</v>
      </c>
      <c r="AD329" s="125"/>
      <c r="AE329" s="125">
        <f t="shared" si="33"/>
        <v>65.2173913</v>
      </c>
      <c r="AF329" s="127" t="s">
        <v>12869</v>
      </c>
      <c r="AG329" s="127">
        <v>0.0</v>
      </c>
      <c r="AH329" s="127">
        <v>0.0</v>
      </c>
      <c r="AI329" s="115" t="s">
        <v>12383</v>
      </c>
      <c r="AJ329" s="116">
        <v>0.57</v>
      </c>
      <c r="AK329" s="117"/>
      <c r="AL329" s="117"/>
      <c r="AM329" s="117"/>
      <c r="AN329" s="117"/>
      <c r="AO329" s="117"/>
    </row>
    <row r="330" ht="34.5" customHeight="1">
      <c r="A330" s="111">
        <v>662.0</v>
      </c>
      <c r="B330" s="111" t="s">
        <v>8308</v>
      </c>
      <c r="C330" s="111" t="s">
        <v>7967</v>
      </c>
      <c r="D330" s="111">
        <v>2003.0</v>
      </c>
      <c r="E330" s="111">
        <v>2009.0</v>
      </c>
      <c r="F330" s="111" t="s">
        <v>12418</v>
      </c>
      <c r="G330" s="111" t="s">
        <v>12224</v>
      </c>
      <c r="H330" s="111"/>
      <c r="I330" s="111" t="s">
        <v>12287</v>
      </c>
      <c r="J330" s="111"/>
      <c r="K330" s="111" t="s">
        <v>30</v>
      </c>
      <c r="L330" s="111"/>
      <c r="M330" s="111"/>
      <c r="N330" s="111"/>
      <c r="O330" s="111"/>
      <c r="P330" s="111"/>
      <c r="Q330" s="111">
        <v>1.0</v>
      </c>
      <c r="R330" s="111"/>
      <c r="S330" s="111"/>
      <c r="T330" s="111"/>
      <c r="U330" s="111"/>
      <c r="V330" s="111"/>
      <c r="W330" s="111"/>
      <c r="X330" s="111"/>
      <c r="Y330" s="111"/>
      <c r="Z330" s="111" t="s">
        <v>12872</v>
      </c>
      <c r="AA330" s="124">
        <v>0.3</v>
      </c>
      <c r="AB330" s="125">
        <f>IF(Projects!$AI330="Electrolysis",
AA330/VLOOKUP(G330,ElectrolysisConvF,3,FALSE),
AC330*10^6/(H2dens*HoursInYear))</f>
        <v>65.2173913</v>
      </c>
      <c r="AC330" s="126">
        <f t="shared" si="43"/>
        <v>0.05084608696</v>
      </c>
      <c r="AD330" s="125"/>
      <c r="AE330" s="125">
        <f t="shared" si="33"/>
        <v>65.2173913</v>
      </c>
      <c r="AF330" s="127" t="s">
        <v>12869</v>
      </c>
      <c r="AG330" s="127">
        <v>0.0</v>
      </c>
      <c r="AH330" s="127">
        <v>0.0</v>
      </c>
      <c r="AI330" s="115" t="s">
        <v>12383</v>
      </c>
      <c r="AJ330" s="116">
        <v>0.57</v>
      </c>
      <c r="AK330" s="117"/>
      <c r="AL330" s="117"/>
      <c r="AM330" s="117"/>
      <c r="AN330" s="117"/>
      <c r="AO330" s="117"/>
    </row>
    <row r="331" ht="34.5" customHeight="1">
      <c r="A331" s="111">
        <v>663.0</v>
      </c>
      <c r="B331" s="111" t="s">
        <v>8309</v>
      </c>
      <c r="C331" s="111" t="s">
        <v>7999</v>
      </c>
      <c r="D331" s="111">
        <v>2015.0</v>
      </c>
      <c r="E331" s="111">
        <v>2017.0</v>
      </c>
      <c r="F331" s="111" t="s">
        <v>12418</v>
      </c>
      <c r="G331" s="111" t="s">
        <v>12226</v>
      </c>
      <c r="H331" s="111"/>
      <c r="I331" s="111" t="s">
        <v>12287</v>
      </c>
      <c r="J331" s="111"/>
      <c r="K331" s="111" t="s">
        <v>30</v>
      </c>
      <c r="L331" s="111"/>
      <c r="M331" s="111"/>
      <c r="N331" s="111"/>
      <c r="O331" s="111"/>
      <c r="P331" s="111">
        <v>1.0</v>
      </c>
      <c r="Q331" s="111">
        <v>1.0</v>
      </c>
      <c r="R331" s="111"/>
      <c r="S331" s="111">
        <v>1.0</v>
      </c>
      <c r="T331" s="111"/>
      <c r="U331" s="111"/>
      <c r="V331" s="111"/>
      <c r="W331" s="111"/>
      <c r="X331" s="111"/>
      <c r="Y331" s="111"/>
      <c r="Z331" s="111" t="s">
        <v>12612</v>
      </c>
      <c r="AA331" s="124">
        <v>0.1</v>
      </c>
      <c r="AB331" s="125">
        <f>IF(Projects!$AI331="Electrolysis",
AA331/VLOOKUP(G331,ElectrolysisConvF,3,FALSE),
AC331*10^6/(H2dens*HoursInYear))</f>
        <v>19.23076923</v>
      </c>
      <c r="AC331" s="126">
        <f t="shared" si="43"/>
        <v>0.01499307692</v>
      </c>
      <c r="AD331" s="125"/>
      <c r="AE331" s="125">
        <f t="shared" si="33"/>
        <v>19.23076923</v>
      </c>
      <c r="AF331" s="127" t="s">
        <v>12874</v>
      </c>
      <c r="AG331" s="127">
        <v>0.0</v>
      </c>
      <c r="AH331" s="127">
        <v>0.0</v>
      </c>
      <c r="AI331" s="115" t="s">
        <v>12383</v>
      </c>
      <c r="AJ331" s="116">
        <v>0.57</v>
      </c>
      <c r="AK331" s="117"/>
      <c r="AL331" s="117"/>
      <c r="AM331" s="117"/>
      <c r="AN331" s="117"/>
      <c r="AO331" s="117"/>
    </row>
    <row r="332" ht="34.5" customHeight="1">
      <c r="A332" s="111">
        <v>664.0</v>
      </c>
      <c r="B332" s="111" t="s">
        <v>8310</v>
      </c>
      <c r="C332" s="111" t="s">
        <v>7981</v>
      </c>
      <c r="D332" s="111">
        <v>2015.0</v>
      </c>
      <c r="E332" s="111">
        <v>2017.0</v>
      </c>
      <c r="F332" s="111" t="s">
        <v>12418</v>
      </c>
      <c r="G332" s="111" t="s">
        <v>12228</v>
      </c>
      <c r="H332" s="111"/>
      <c r="I332" s="111" t="s">
        <v>12287</v>
      </c>
      <c r="J332" s="111"/>
      <c r="K332" s="111" t="s">
        <v>30</v>
      </c>
      <c r="L332" s="111"/>
      <c r="M332" s="111"/>
      <c r="N332" s="111"/>
      <c r="O332" s="111"/>
      <c r="P332" s="111"/>
      <c r="Q332" s="111"/>
      <c r="R332" s="111">
        <v>1.0</v>
      </c>
      <c r="S332" s="111"/>
      <c r="T332" s="111"/>
      <c r="U332" s="111"/>
      <c r="V332" s="111"/>
      <c r="W332" s="111"/>
      <c r="X332" s="111"/>
      <c r="Y332" s="111"/>
      <c r="Z332" s="111" t="s">
        <v>12731</v>
      </c>
      <c r="AA332" s="129">
        <f>IF(Projects!$AI332="Electrolysis",
AB332*VLOOKUP(G332,ElectrolysisConvF,3,FALSE),
"")</f>
        <v>0.038</v>
      </c>
      <c r="AB332" s="125">
        <v>10.0</v>
      </c>
      <c r="AC332" s="126">
        <f t="shared" si="43"/>
        <v>0.0077964</v>
      </c>
      <c r="AD332" s="125"/>
      <c r="AE332" s="125">
        <f t="shared" si="33"/>
        <v>10</v>
      </c>
      <c r="AF332" s="127" t="s">
        <v>12613</v>
      </c>
      <c r="AG332" s="127">
        <v>0.0</v>
      </c>
      <c r="AH332" s="127">
        <v>0.0</v>
      </c>
      <c r="AI332" s="115" t="s">
        <v>12383</v>
      </c>
      <c r="AJ332" s="116">
        <v>0.57</v>
      </c>
      <c r="AK332" s="117"/>
      <c r="AL332" s="117"/>
      <c r="AM332" s="117"/>
      <c r="AN332" s="117"/>
      <c r="AO332" s="117"/>
    </row>
    <row r="333" ht="34.5" customHeight="1">
      <c r="A333" s="111">
        <v>665.0</v>
      </c>
      <c r="B333" s="111" t="s">
        <v>8311</v>
      </c>
      <c r="C333" s="111" t="s">
        <v>7985</v>
      </c>
      <c r="D333" s="111">
        <v>2015.0</v>
      </c>
      <c r="E333" s="111">
        <v>2017.0</v>
      </c>
      <c r="F333" s="111" t="s">
        <v>12418</v>
      </c>
      <c r="G333" s="111" t="s">
        <v>12224</v>
      </c>
      <c r="H333" s="111"/>
      <c r="I333" s="111" t="s">
        <v>12287</v>
      </c>
      <c r="J333" s="111"/>
      <c r="K333" s="111" t="s">
        <v>12449</v>
      </c>
      <c r="L333" s="111"/>
      <c r="M333" s="111"/>
      <c r="N333" s="111"/>
      <c r="O333" s="111"/>
      <c r="P333" s="111"/>
      <c r="Q333" s="111"/>
      <c r="R333" s="111"/>
      <c r="S333" s="111"/>
      <c r="T333" s="111"/>
      <c r="U333" s="111"/>
      <c r="V333" s="111"/>
      <c r="W333" s="111"/>
      <c r="X333" s="111">
        <v>1.0</v>
      </c>
      <c r="Y333" s="111">
        <v>1.0</v>
      </c>
      <c r="Z333" s="111" t="s">
        <v>12475</v>
      </c>
      <c r="AA333" s="124">
        <v>0.025</v>
      </c>
      <c r="AB333" s="125">
        <f>IF(Projects!$AI333="Electrolysis",
AA333/VLOOKUP(G333,ElectrolysisConvF,3,FALSE),
AC333*10^6/(H2dens*HoursInYear))</f>
        <v>5.434782609</v>
      </c>
      <c r="AC333" s="126">
        <f t="shared" si="43"/>
        <v>0.004237173913</v>
      </c>
      <c r="AD333" s="125"/>
      <c r="AE333" s="125">
        <f t="shared" si="33"/>
        <v>5.434782609</v>
      </c>
      <c r="AF333" s="127" t="s">
        <v>12875</v>
      </c>
      <c r="AG333" s="127">
        <v>0.0</v>
      </c>
      <c r="AH333" s="127">
        <v>0.0</v>
      </c>
      <c r="AI333" s="115" t="s">
        <v>12383</v>
      </c>
      <c r="AJ333" s="116">
        <v>0.57</v>
      </c>
      <c r="AK333" s="117"/>
      <c r="AL333" s="117"/>
      <c r="AM333" s="117"/>
      <c r="AN333" s="117"/>
      <c r="AO333" s="117"/>
    </row>
    <row r="334" ht="34.5" customHeight="1">
      <c r="A334" s="111">
        <v>666.0</v>
      </c>
      <c r="B334" s="111" t="s">
        <v>8312</v>
      </c>
      <c r="C334" s="111" t="s">
        <v>7987</v>
      </c>
      <c r="D334" s="111">
        <v>2015.0</v>
      </c>
      <c r="E334" s="111">
        <v>2017.0</v>
      </c>
      <c r="F334" s="111" t="s">
        <v>12418</v>
      </c>
      <c r="G334" s="111" t="s">
        <v>12228</v>
      </c>
      <c r="H334" s="111"/>
      <c r="I334" s="111" t="s">
        <v>12287</v>
      </c>
      <c r="J334" s="111"/>
      <c r="K334" s="111" t="s">
        <v>30</v>
      </c>
      <c r="L334" s="111"/>
      <c r="M334" s="111"/>
      <c r="N334" s="111"/>
      <c r="O334" s="111"/>
      <c r="P334" s="111"/>
      <c r="Q334" s="111"/>
      <c r="R334" s="111">
        <v>1.0</v>
      </c>
      <c r="S334" s="111"/>
      <c r="T334" s="111"/>
      <c r="U334" s="111"/>
      <c r="V334" s="111"/>
      <c r="W334" s="111"/>
      <c r="X334" s="111"/>
      <c r="Y334" s="111"/>
      <c r="Z334" s="111" t="s">
        <v>12629</v>
      </c>
      <c r="AA334" s="124">
        <v>0.01</v>
      </c>
      <c r="AB334" s="125">
        <f>IF(Projects!$AI334="Electrolysis",
AA334/VLOOKUP(G334,ElectrolysisConvF,3,FALSE),
AC334*10^6/(H2dens*HoursInYear))</f>
        <v>2.631578947</v>
      </c>
      <c r="AC334" s="126">
        <f t="shared" si="43"/>
        <v>0.002051684211</v>
      </c>
      <c r="AD334" s="125"/>
      <c r="AE334" s="125">
        <f t="shared" si="33"/>
        <v>2.631578947</v>
      </c>
      <c r="AF334" s="127"/>
      <c r="AG334" s="127">
        <v>0.0</v>
      </c>
      <c r="AH334" s="127">
        <v>0.0</v>
      </c>
      <c r="AI334" s="115" t="s">
        <v>12383</v>
      </c>
      <c r="AJ334" s="116">
        <v>0.57</v>
      </c>
      <c r="AK334" s="117"/>
      <c r="AL334" s="117"/>
      <c r="AM334" s="117"/>
      <c r="AN334" s="117"/>
      <c r="AO334" s="117"/>
    </row>
    <row r="335" ht="34.5" customHeight="1">
      <c r="A335" s="111">
        <v>667.0</v>
      </c>
      <c r="B335" s="111" t="s">
        <v>8313</v>
      </c>
      <c r="C335" s="111" t="s">
        <v>7985</v>
      </c>
      <c r="D335" s="111">
        <v>2015.0</v>
      </c>
      <c r="E335" s="111">
        <v>2017.0</v>
      </c>
      <c r="F335" s="111" t="s">
        <v>12418</v>
      </c>
      <c r="G335" s="111" t="s">
        <v>12381</v>
      </c>
      <c r="H335" s="111" t="s">
        <v>12230</v>
      </c>
      <c r="I335" s="111" t="s">
        <v>12287</v>
      </c>
      <c r="J335" s="111"/>
      <c r="K335" s="111" t="s">
        <v>12449</v>
      </c>
      <c r="L335" s="111"/>
      <c r="M335" s="111"/>
      <c r="N335" s="111"/>
      <c r="O335" s="111"/>
      <c r="P335" s="111"/>
      <c r="Q335" s="111"/>
      <c r="R335" s="111"/>
      <c r="S335" s="111"/>
      <c r="T335" s="111"/>
      <c r="U335" s="111"/>
      <c r="V335" s="111"/>
      <c r="W335" s="111"/>
      <c r="X335" s="111">
        <v>1.0</v>
      </c>
      <c r="Y335" s="111">
        <v>1.0</v>
      </c>
      <c r="Z335" s="111"/>
      <c r="AA335" s="124"/>
      <c r="AB335" s="125"/>
      <c r="AC335" s="126"/>
      <c r="AD335" s="125"/>
      <c r="AE335" s="125" t="str">
        <f t="shared" si="33"/>
        <v/>
      </c>
      <c r="AF335" s="127" t="s">
        <v>12876</v>
      </c>
      <c r="AG335" s="127">
        <v>0.0</v>
      </c>
      <c r="AH335" s="127">
        <v>0.0</v>
      </c>
      <c r="AI335" s="115" t="s">
        <v>12383</v>
      </c>
      <c r="AJ335" s="116">
        <v>0.57</v>
      </c>
      <c r="AK335" s="117"/>
      <c r="AL335" s="117"/>
      <c r="AM335" s="117"/>
      <c r="AN335" s="117"/>
      <c r="AO335" s="117"/>
    </row>
    <row r="336" ht="34.5" customHeight="1">
      <c r="A336" s="111">
        <v>668.0</v>
      </c>
      <c r="B336" s="111" t="s">
        <v>8314</v>
      </c>
      <c r="C336" s="111" t="s">
        <v>7987</v>
      </c>
      <c r="D336" s="111">
        <v>2015.0</v>
      </c>
      <c r="E336" s="111">
        <v>2018.0</v>
      </c>
      <c r="F336" s="111" t="s">
        <v>12418</v>
      </c>
      <c r="G336" s="111" t="s">
        <v>12381</v>
      </c>
      <c r="H336" s="111" t="s">
        <v>12230</v>
      </c>
      <c r="I336" s="111" t="s">
        <v>12287</v>
      </c>
      <c r="J336" s="111"/>
      <c r="K336" s="111" t="s">
        <v>12449</v>
      </c>
      <c r="L336" s="111"/>
      <c r="M336" s="111"/>
      <c r="N336" s="111"/>
      <c r="O336" s="111"/>
      <c r="P336" s="111"/>
      <c r="Q336" s="111"/>
      <c r="R336" s="111"/>
      <c r="S336" s="111"/>
      <c r="T336" s="111"/>
      <c r="U336" s="111"/>
      <c r="V336" s="111"/>
      <c r="W336" s="111"/>
      <c r="X336" s="111">
        <v>1.0</v>
      </c>
      <c r="Y336" s="111"/>
      <c r="Z336" s="111"/>
      <c r="AA336" s="124"/>
      <c r="AB336" s="125"/>
      <c r="AC336" s="126"/>
      <c r="AD336" s="125"/>
      <c r="AE336" s="125" t="str">
        <f t="shared" si="33"/>
        <v/>
      </c>
      <c r="AF336" s="127" t="s">
        <v>12877</v>
      </c>
      <c r="AG336" s="127">
        <v>0.0</v>
      </c>
      <c r="AH336" s="127">
        <v>0.0</v>
      </c>
      <c r="AI336" s="115" t="s">
        <v>12383</v>
      </c>
      <c r="AJ336" s="116">
        <v>0.57</v>
      </c>
      <c r="AK336" s="117"/>
      <c r="AL336" s="117"/>
      <c r="AM336" s="117"/>
      <c r="AN336" s="117"/>
      <c r="AO336" s="117"/>
    </row>
    <row r="337" ht="34.5" customHeight="1">
      <c r="A337" s="111">
        <v>669.0</v>
      </c>
      <c r="B337" s="111" t="s">
        <v>8315</v>
      </c>
      <c r="C337" s="111" t="s">
        <v>8122</v>
      </c>
      <c r="D337" s="111">
        <v>2003.0</v>
      </c>
      <c r="E337" s="111">
        <v>2007.0</v>
      </c>
      <c r="F337" s="111" t="s">
        <v>12418</v>
      </c>
      <c r="G337" s="111" t="s">
        <v>12224</v>
      </c>
      <c r="H337" s="111"/>
      <c r="I337" s="111" t="s">
        <v>12287</v>
      </c>
      <c r="J337" s="111"/>
      <c r="K337" s="111" t="s">
        <v>30</v>
      </c>
      <c r="L337" s="111"/>
      <c r="M337" s="111"/>
      <c r="N337" s="111"/>
      <c r="O337" s="111"/>
      <c r="P337" s="111"/>
      <c r="Q337" s="111">
        <v>1.0</v>
      </c>
      <c r="R337" s="111"/>
      <c r="S337" s="111"/>
      <c r="T337" s="111"/>
      <c r="U337" s="111"/>
      <c r="V337" s="111"/>
      <c r="W337" s="111"/>
      <c r="X337" s="111"/>
      <c r="Y337" s="111"/>
      <c r="Z337" s="111" t="s">
        <v>12862</v>
      </c>
      <c r="AA337" s="129">
        <f>IF(Projects!$AI337="Electrolysis",
AB337*VLOOKUP(G337,ElectrolysisConvF,3,FALSE),
"")</f>
        <v>0.276</v>
      </c>
      <c r="AB337" s="125">
        <v>60.0</v>
      </c>
      <c r="AC337" s="126">
        <f t="shared" ref="AC337:AC342" si="44">AB337*H2dens*HoursInYear/10^6</f>
        <v>0.0467784</v>
      </c>
      <c r="AD337" s="125"/>
      <c r="AE337" s="125">
        <f t="shared" si="33"/>
        <v>60</v>
      </c>
      <c r="AF337" s="127" t="s">
        <v>12878</v>
      </c>
      <c r="AG337" s="127">
        <v>64.7729646250496</v>
      </c>
      <c r="AH337" s="127">
        <v>-15.5668137861369</v>
      </c>
      <c r="AI337" s="115" t="s">
        <v>12383</v>
      </c>
      <c r="AJ337" s="116">
        <v>0.57</v>
      </c>
      <c r="AK337" s="117"/>
      <c r="AL337" s="117"/>
      <c r="AM337" s="117"/>
      <c r="AN337" s="117"/>
      <c r="AO337" s="117"/>
    </row>
    <row r="338" ht="34.5" customHeight="1">
      <c r="A338" s="111">
        <v>670.0</v>
      </c>
      <c r="B338" s="111" t="s">
        <v>8316</v>
      </c>
      <c r="C338" s="111" t="s">
        <v>7987</v>
      </c>
      <c r="D338" s="111">
        <v>2009.0</v>
      </c>
      <c r="E338" s="111">
        <v>2013.0</v>
      </c>
      <c r="F338" s="111" t="s">
        <v>12418</v>
      </c>
      <c r="G338" s="111" t="s">
        <v>12224</v>
      </c>
      <c r="H338" s="111"/>
      <c r="I338" s="111" t="s">
        <v>12287</v>
      </c>
      <c r="J338" s="111"/>
      <c r="K338" s="111" t="s">
        <v>12449</v>
      </c>
      <c r="L338" s="111"/>
      <c r="M338" s="111"/>
      <c r="N338" s="111"/>
      <c r="O338" s="111"/>
      <c r="P338" s="111"/>
      <c r="Q338" s="111"/>
      <c r="R338" s="111"/>
      <c r="S338" s="111"/>
      <c r="T338" s="111"/>
      <c r="U338" s="111"/>
      <c r="V338" s="111"/>
      <c r="W338" s="111"/>
      <c r="X338" s="111"/>
      <c r="Y338" s="111">
        <v>1.0</v>
      </c>
      <c r="Z338" s="111" t="s">
        <v>12716</v>
      </c>
      <c r="AA338" s="124">
        <v>0.25</v>
      </c>
      <c r="AB338" s="125">
        <f>IF(Projects!$AI338="Electrolysis",
AA338/VLOOKUP(G338,ElectrolysisConvF,3,FALSE),
AC338*10^6/(H2dens*HoursInYear))</f>
        <v>54.34782609</v>
      </c>
      <c r="AC338" s="126">
        <f t="shared" si="44"/>
        <v>0.04237173913</v>
      </c>
      <c r="AD338" s="125"/>
      <c r="AE338" s="125">
        <f t="shared" si="33"/>
        <v>54.34782609</v>
      </c>
      <c r="AF338" s="127" t="s">
        <v>12879</v>
      </c>
      <c r="AG338" s="127">
        <v>0.0</v>
      </c>
      <c r="AH338" s="127">
        <v>0.0</v>
      </c>
      <c r="AI338" s="115" t="s">
        <v>12383</v>
      </c>
      <c r="AJ338" s="116">
        <v>0.57</v>
      </c>
      <c r="AK338" s="117"/>
      <c r="AL338" s="117"/>
      <c r="AM338" s="117"/>
      <c r="AN338" s="117"/>
      <c r="AO338" s="117"/>
    </row>
    <row r="339" ht="34.5" customHeight="1">
      <c r="A339" s="111">
        <v>671.0</v>
      </c>
      <c r="B339" s="111" t="s">
        <v>8317</v>
      </c>
      <c r="C339" s="111" t="s">
        <v>7983</v>
      </c>
      <c r="D339" s="111">
        <v>2016.0</v>
      </c>
      <c r="E339" s="111">
        <v>2019.0</v>
      </c>
      <c r="F339" s="111" t="s">
        <v>12418</v>
      </c>
      <c r="G339" s="111" t="s">
        <v>12226</v>
      </c>
      <c r="H339" s="111"/>
      <c r="I339" s="111" t="s">
        <v>12287</v>
      </c>
      <c r="J339" s="111"/>
      <c r="K339" s="111" t="s">
        <v>30</v>
      </c>
      <c r="L339" s="111"/>
      <c r="M339" s="111"/>
      <c r="N339" s="111"/>
      <c r="O339" s="111"/>
      <c r="P339" s="111"/>
      <c r="Q339" s="111">
        <v>1.0</v>
      </c>
      <c r="R339" s="111"/>
      <c r="S339" s="111"/>
      <c r="T339" s="111">
        <v>1.0</v>
      </c>
      <c r="U339" s="111"/>
      <c r="V339" s="111"/>
      <c r="W339" s="111"/>
      <c r="X339" s="111"/>
      <c r="Y339" s="111"/>
      <c r="Z339" s="111" t="s">
        <v>12880</v>
      </c>
      <c r="AA339" s="129">
        <f>IF(Projects!$AI339="Electrolysis",
AB339*VLOOKUP(G339,ElectrolysisConvF,3,FALSE),
"")</f>
        <v>0.182</v>
      </c>
      <c r="AB339" s="125">
        <v>35.0</v>
      </c>
      <c r="AC339" s="126">
        <f t="shared" si="44"/>
        <v>0.0272874</v>
      </c>
      <c r="AD339" s="125"/>
      <c r="AE339" s="125">
        <f t="shared" si="33"/>
        <v>35</v>
      </c>
      <c r="AF339" s="127" t="s">
        <v>12881</v>
      </c>
      <c r="AG339" s="127">
        <v>0.0</v>
      </c>
      <c r="AH339" s="127">
        <v>0.0</v>
      </c>
      <c r="AI339" s="115" t="s">
        <v>12383</v>
      </c>
      <c r="AJ339" s="116">
        <v>0.57</v>
      </c>
      <c r="AK339" s="117"/>
      <c r="AL339" s="117"/>
      <c r="AM339" s="117"/>
      <c r="AN339" s="117"/>
      <c r="AO339" s="117"/>
    </row>
    <row r="340" ht="34.5" customHeight="1">
      <c r="A340" s="111">
        <v>672.0</v>
      </c>
      <c r="B340" s="111" t="s">
        <v>8318</v>
      </c>
      <c r="C340" s="111" t="s">
        <v>7981</v>
      </c>
      <c r="D340" s="111">
        <v>2016.0</v>
      </c>
      <c r="E340" s="111">
        <v>2017.0</v>
      </c>
      <c r="F340" s="111" t="s">
        <v>12418</v>
      </c>
      <c r="G340" s="111" t="s">
        <v>12226</v>
      </c>
      <c r="H340" s="111"/>
      <c r="I340" s="111" t="s">
        <v>12287</v>
      </c>
      <c r="J340" s="111"/>
      <c r="K340" s="111" t="s">
        <v>30</v>
      </c>
      <c r="L340" s="111"/>
      <c r="M340" s="111"/>
      <c r="N340" s="111"/>
      <c r="O340" s="111"/>
      <c r="P340" s="111"/>
      <c r="Q340" s="111">
        <v>1.0</v>
      </c>
      <c r="R340" s="111"/>
      <c r="S340" s="111"/>
      <c r="T340" s="111"/>
      <c r="U340" s="111"/>
      <c r="V340" s="111"/>
      <c r="W340" s="111"/>
      <c r="X340" s="111"/>
      <c r="Y340" s="111"/>
      <c r="Z340" s="111" t="s">
        <v>12882</v>
      </c>
      <c r="AA340" s="129">
        <f>IF(Projects!$AI340="Electrolysis",
AB340*VLOOKUP(G340,ElectrolysisConvF,3,FALSE),
"")</f>
        <v>0.0676</v>
      </c>
      <c r="AB340" s="125">
        <v>13.0</v>
      </c>
      <c r="AC340" s="126">
        <f t="shared" si="44"/>
        <v>0.01013532</v>
      </c>
      <c r="AD340" s="125"/>
      <c r="AE340" s="125">
        <f t="shared" si="33"/>
        <v>13</v>
      </c>
      <c r="AF340" s="127" t="s">
        <v>12883</v>
      </c>
      <c r="AG340" s="127">
        <v>0.0</v>
      </c>
      <c r="AH340" s="127">
        <v>0.0</v>
      </c>
      <c r="AI340" s="115" t="s">
        <v>12383</v>
      </c>
      <c r="AJ340" s="116">
        <v>0.57</v>
      </c>
      <c r="AK340" s="117"/>
      <c r="AL340" s="117"/>
      <c r="AM340" s="117"/>
      <c r="AN340" s="117"/>
      <c r="AO340" s="117"/>
    </row>
    <row r="341" ht="34.5" customHeight="1">
      <c r="A341" s="111">
        <v>673.0</v>
      </c>
      <c r="B341" s="111" t="s">
        <v>8319</v>
      </c>
      <c r="C341" s="111" t="s">
        <v>7987</v>
      </c>
      <c r="D341" s="111">
        <v>2016.0</v>
      </c>
      <c r="E341" s="111">
        <v>2017.0</v>
      </c>
      <c r="F341" s="111" t="s">
        <v>12418</v>
      </c>
      <c r="G341" s="111" t="s">
        <v>12228</v>
      </c>
      <c r="H341" s="111"/>
      <c r="I341" s="111" t="s">
        <v>12287</v>
      </c>
      <c r="J341" s="111"/>
      <c r="K341" s="111" t="s">
        <v>12449</v>
      </c>
      <c r="L341" s="111"/>
      <c r="M341" s="111"/>
      <c r="N341" s="111"/>
      <c r="O341" s="111"/>
      <c r="P341" s="111"/>
      <c r="Q341" s="111"/>
      <c r="R341" s="111"/>
      <c r="S341" s="111"/>
      <c r="T341" s="111"/>
      <c r="U341" s="111"/>
      <c r="V341" s="111"/>
      <c r="W341" s="111"/>
      <c r="X341" s="111">
        <v>1.0</v>
      </c>
      <c r="Y341" s="111">
        <v>1.0</v>
      </c>
      <c r="Z341" s="111" t="s">
        <v>12750</v>
      </c>
      <c r="AA341" s="124">
        <v>0.015</v>
      </c>
      <c r="AB341" s="125">
        <f>IF(Projects!$AI341="Electrolysis",
AA341/VLOOKUP(G341,ElectrolysisConvF,3,FALSE),
AC341*10^6/(H2dens*HoursInYear))</f>
        <v>3.947368421</v>
      </c>
      <c r="AC341" s="126">
        <f t="shared" si="44"/>
        <v>0.003077526316</v>
      </c>
      <c r="AD341" s="125"/>
      <c r="AE341" s="125">
        <f t="shared" si="33"/>
        <v>3.947368421</v>
      </c>
      <c r="AF341" s="127" t="s">
        <v>12884</v>
      </c>
      <c r="AG341" s="127">
        <v>0.0</v>
      </c>
      <c r="AH341" s="127">
        <v>0.0</v>
      </c>
      <c r="AI341" s="115" t="s">
        <v>12383</v>
      </c>
      <c r="AJ341" s="116">
        <v>0.57</v>
      </c>
      <c r="AK341" s="117"/>
      <c r="AL341" s="117"/>
      <c r="AM341" s="117"/>
      <c r="AN341" s="117"/>
      <c r="AO341" s="117"/>
    </row>
    <row r="342" ht="34.5" customHeight="1">
      <c r="A342" s="111">
        <v>674.0</v>
      </c>
      <c r="B342" s="111" t="s">
        <v>8320</v>
      </c>
      <c r="C342" s="111" t="s">
        <v>7981</v>
      </c>
      <c r="D342" s="111">
        <v>2016.0</v>
      </c>
      <c r="E342" s="111">
        <v>2017.0</v>
      </c>
      <c r="F342" s="111" t="s">
        <v>12418</v>
      </c>
      <c r="G342" s="111" t="s">
        <v>12226</v>
      </c>
      <c r="H342" s="111"/>
      <c r="I342" s="111" t="s">
        <v>12287</v>
      </c>
      <c r="J342" s="111"/>
      <c r="K342" s="111" t="s">
        <v>30</v>
      </c>
      <c r="L342" s="111"/>
      <c r="M342" s="111"/>
      <c r="N342" s="111"/>
      <c r="O342" s="111"/>
      <c r="P342" s="111"/>
      <c r="Q342" s="111">
        <v>1.0</v>
      </c>
      <c r="R342" s="111"/>
      <c r="S342" s="111"/>
      <c r="T342" s="111"/>
      <c r="U342" s="111"/>
      <c r="V342" s="111"/>
      <c r="W342" s="111"/>
      <c r="X342" s="111"/>
      <c r="Y342" s="111"/>
      <c r="Z342" s="111" t="s">
        <v>12484</v>
      </c>
      <c r="AA342" s="129">
        <f>IF(Projects!$AI342="Electrolysis",
AB342*VLOOKUP(G342,ElectrolysisConvF,3,FALSE),
"")</f>
        <v>0.0052</v>
      </c>
      <c r="AB342" s="125">
        <v>1.0</v>
      </c>
      <c r="AC342" s="126">
        <f t="shared" si="44"/>
        <v>0.00077964</v>
      </c>
      <c r="AD342" s="125"/>
      <c r="AE342" s="125">
        <f t="shared" si="33"/>
        <v>1</v>
      </c>
      <c r="AF342" s="127" t="s">
        <v>12883</v>
      </c>
      <c r="AG342" s="127">
        <v>0.0</v>
      </c>
      <c r="AH342" s="127">
        <v>0.0</v>
      </c>
      <c r="AI342" s="115" t="s">
        <v>12383</v>
      </c>
      <c r="AJ342" s="116">
        <v>0.57</v>
      </c>
      <c r="AK342" s="117"/>
      <c r="AL342" s="117"/>
      <c r="AM342" s="117"/>
      <c r="AN342" s="117"/>
      <c r="AO342" s="117"/>
    </row>
    <row r="343" ht="34.5" customHeight="1">
      <c r="A343" s="111">
        <v>675.0</v>
      </c>
      <c r="B343" s="111" t="s">
        <v>8321</v>
      </c>
      <c r="C343" s="111" t="s">
        <v>7983</v>
      </c>
      <c r="D343" s="111">
        <v>2016.0</v>
      </c>
      <c r="E343" s="111">
        <v>2019.0</v>
      </c>
      <c r="F343" s="111" t="s">
        <v>12418</v>
      </c>
      <c r="G343" s="111" t="s">
        <v>12235</v>
      </c>
      <c r="H343" s="111" t="s">
        <v>12885</v>
      </c>
      <c r="I343" s="111"/>
      <c r="J343" s="111"/>
      <c r="K343" s="111" t="s">
        <v>30</v>
      </c>
      <c r="L343" s="111"/>
      <c r="M343" s="111"/>
      <c r="N343" s="111"/>
      <c r="O343" s="111"/>
      <c r="P343" s="111"/>
      <c r="Q343" s="111">
        <v>1.0</v>
      </c>
      <c r="R343" s="111"/>
      <c r="S343" s="111"/>
      <c r="T343" s="111"/>
      <c r="U343" s="111"/>
      <c r="V343" s="111"/>
      <c r="W343" s="111"/>
      <c r="X343" s="111"/>
      <c r="Y343" s="111"/>
      <c r="Z343" s="111" t="s">
        <v>12886</v>
      </c>
      <c r="AA343" s="124"/>
      <c r="AB343" s="125"/>
      <c r="AC343" s="126"/>
      <c r="AD343" s="125">
        <v>100000.0</v>
      </c>
      <c r="AE343" s="125">
        <f>IF(AND(G343&lt;&gt;"NG w CCUS",G343&lt;&gt;"Oil w CCUS",G343&lt;&gt;"Coal w CCUS"),AB343,AD343*10^3/(HoursInYear*IF(G343="NG w CCUS",0.9105,1.9075)))</f>
        <v>12537.64428</v>
      </c>
      <c r="AF343" s="127" t="s">
        <v>12887</v>
      </c>
      <c r="AG343" s="127">
        <v>42.6348581607321</v>
      </c>
      <c r="AH343" s="127">
        <v>141.61484675284</v>
      </c>
      <c r="AI343" s="115" t="s">
        <v>12378</v>
      </c>
      <c r="AJ343" s="116">
        <v>0.9</v>
      </c>
      <c r="AK343" s="117"/>
      <c r="AL343" s="117"/>
      <c r="AM343" s="117"/>
      <c r="AN343" s="117"/>
      <c r="AO343" s="117"/>
    </row>
    <row r="344" ht="34.5" customHeight="1">
      <c r="A344" s="111">
        <v>676.0</v>
      </c>
      <c r="B344" s="111" t="s">
        <v>8322</v>
      </c>
      <c r="C344" s="111" t="s">
        <v>7987</v>
      </c>
      <c r="D344" s="111">
        <v>2017.0</v>
      </c>
      <c r="E344" s="111">
        <v>2019.0</v>
      </c>
      <c r="F344" s="111" t="s">
        <v>12418</v>
      </c>
      <c r="G344" s="111" t="s">
        <v>12228</v>
      </c>
      <c r="H344" s="111"/>
      <c r="I344" s="111" t="s">
        <v>12287</v>
      </c>
      <c r="J344" s="111"/>
      <c r="K344" s="111" t="s">
        <v>30</v>
      </c>
      <c r="L344" s="111"/>
      <c r="M344" s="111"/>
      <c r="N344" s="111"/>
      <c r="O344" s="111">
        <v>1.0</v>
      </c>
      <c r="P344" s="111"/>
      <c r="Q344" s="111"/>
      <c r="R344" s="111"/>
      <c r="S344" s="111"/>
      <c r="T344" s="111"/>
      <c r="U344" s="111"/>
      <c r="V344" s="111"/>
      <c r="W344" s="111"/>
      <c r="X344" s="111"/>
      <c r="Y344" s="111"/>
      <c r="Z344" s="111" t="s">
        <v>12888</v>
      </c>
      <c r="AA344" s="124">
        <v>0.15</v>
      </c>
      <c r="AB344" s="125">
        <f>IF(Projects!$AI344="Electrolysis",
AA344/VLOOKUP(G344,ElectrolysisConvF,3,FALSE),
AC344*10^6/(H2dens*HoursInYear))</f>
        <v>39.47368421</v>
      </c>
      <c r="AC344" s="126">
        <f t="shared" ref="AC344:AC359" si="45">AB344*H2dens*HoursInYear/10^6</f>
        <v>0.03077526316</v>
      </c>
      <c r="AD344" s="125"/>
      <c r="AE344" s="125">
        <f t="shared" ref="AE344:AE372" si="46">AB344</f>
        <v>39.47368421</v>
      </c>
      <c r="AF344" s="127" t="s">
        <v>12889</v>
      </c>
      <c r="AG344" s="127">
        <v>0.0</v>
      </c>
      <c r="AH344" s="127">
        <v>0.0</v>
      </c>
      <c r="AI344" s="115" t="s">
        <v>12383</v>
      </c>
      <c r="AJ344" s="116">
        <v>0.57</v>
      </c>
      <c r="AK344" s="117"/>
      <c r="AL344" s="117"/>
      <c r="AM344" s="117"/>
      <c r="AN344" s="117"/>
      <c r="AO344" s="117"/>
    </row>
    <row r="345" ht="34.5" customHeight="1">
      <c r="A345" s="111">
        <v>677.0</v>
      </c>
      <c r="B345" s="111" t="s">
        <v>8323</v>
      </c>
      <c r="C345" s="111" t="s">
        <v>7983</v>
      </c>
      <c r="D345" s="111">
        <v>2017.0</v>
      </c>
      <c r="E345" s="111">
        <v>2019.0</v>
      </c>
      <c r="F345" s="111" t="s">
        <v>12418</v>
      </c>
      <c r="G345" s="111" t="s">
        <v>12224</v>
      </c>
      <c r="H345" s="111"/>
      <c r="I345" s="111" t="s">
        <v>12287</v>
      </c>
      <c r="J345" s="111"/>
      <c r="K345" s="111" t="s">
        <v>30</v>
      </c>
      <c r="L345" s="111"/>
      <c r="M345" s="111"/>
      <c r="N345" s="111"/>
      <c r="O345" s="111"/>
      <c r="P345" s="111"/>
      <c r="Q345" s="111"/>
      <c r="R345" s="111"/>
      <c r="S345" s="111"/>
      <c r="T345" s="111">
        <v>1.0</v>
      </c>
      <c r="U345" s="111"/>
      <c r="V345" s="111"/>
      <c r="W345" s="111"/>
      <c r="X345" s="111"/>
      <c r="Y345" s="111"/>
      <c r="Z345" s="111" t="s">
        <v>12890</v>
      </c>
      <c r="AA345" s="124">
        <v>0.135</v>
      </c>
      <c r="AB345" s="125">
        <f>IF(Projects!$AI345="Electrolysis",
AA345/VLOOKUP(G345,ElectrolysisConvF,3,FALSE),
AC345*10^6/(H2dens*HoursInYear))</f>
        <v>29.34782609</v>
      </c>
      <c r="AC345" s="126">
        <f t="shared" si="45"/>
        <v>0.02288073913</v>
      </c>
      <c r="AD345" s="125"/>
      <c r="AE345" s="125">
        <f t="shared" si="46"/>
        <v>29.34782609</v>
      </c>
      <c r="AF345" s="127" t="s">
        <v>12891</v>
      </c>
      <c r="AG345" s="127">
        <v>0.0</v>
      </c>
      <c r="AH345" s="127">
        <v>0.0</v>
      </c>
      <c r="AI345" s="115" t="s">
        <v>12383</v>
      </c>
      <c r="AJ345" s="116">
        <v>0.57</v>
      </c>
      <c r="AK345" s="117"/>
      <c r="AL345" s="117"/>
      <c r="AM345" s="117"/>
      <c r="AN345" s="117"/>
      <c r="AO345" s="117"/>
    </row>
    <row r="346" ht="34.5" customHeight="1">
      <c r="A346" s="111">
        <v>678.0</v>
      </c>
      <c r="B346" s="111" t="s">
        <v>8324</v>
      </c>
      <c r="C346" s="111" t="s">
        <v>7983</v>
      </c>
      <c r="D346" s="111">
        <v>2017.0</v>
      </c>
      <c r="E346" s="111">
        <v>2018.0</v>
      </c>
      <c r="F346" s="111" t="s">
        <v>12418</v>
      </c>
      <c r="G346" s="111" t="s">
        <v>12226</v>
      </c>
      <c r="H346" s="111"/>
      <c r="I346" s="111" t="s">
        <v>12287</v>
      </c>
      <c r="J346" s="111"/>
      <c r="K346" s="111" t="s">
        <v>30</v>
      </c>
      <c r="L346" s="111"/>
      <c r="M346" s="111"/>
      <c r="N346" s="111"/>
      <c r="O346" s="111"/>
      <c r="P346" s="111"/>
      <c r="Q346" s="111">
        <v>1.0</v>
      </c>
      <c r="R346" s="111"/>
      <c r="S346" s="111"/>
      <c r="T346" s="111"/>
      <c r="U346" s="111"/>
      <c r="V346" s="111"/>
      <c r="W346" s="111"/>
      <c r="X346" s="111"/>
      <c r="Y346" s="111"/>
      <c r="Z346" s="111" t="s">
        <v>12520</v>
      </c>
      <c r="AA346" s="129">
        <f>IF(Projects!$AI346="Electrolysis",
AB346*VLOOKUP(G346,ElectrolysisConvF,3,FALSE),
"")</f>
        <v>0.52</v>
      </c>
      <c r="AB346" s="125">
        <v>100.0</v>
      </c>
      <c r="AC346" s="126">
        <f t="shared" si="45"/>
        <v>0.077964</v>
      </c>
      <c r="AD346" s="125"/>
      <c r="AE346" s="125">
        <f t="shared" si="46"/>
        <v>100</v>
      </c>
      <c r="AF346" s="127" t="s">
        <v>12892</v>
      </c>
      <c r="AG346" s="127">
        <v>0.0</v>
      </c>
      <c r="AH346" s="127">
        <v>0.0</v>
      </c>
      <c r="AI346" s="115" t="s">
        <v>12383</v>
      </c>
      <c r="AJ346" s="116">
        <v>0.57</v>
      </c>
      <c r="AK346" s="117"/>
      <c r="AL346" s="117"/>
      <c r="AM346" s="117"/>
      <c r="AN346" s="117"/>
      <c r="AO346" s="117"/>
    </row>
    <row r="347" ht="34.5" customHeight="1">
      <c r="A347" s="111">
        <v>679.0</v>
      </c>
      <c r="B347" s="111" t="s">
        <v>8325</v>
      </c>
      <c r="C347" s="111" t="s">
        <v>8011</v>
      </c>
      <c r="D347" s="111">
        <v>2018.0</v>
      </c>
      <c r="E347" s="111">
        <v>2020.0</v>
      </c>
      <c r="F347" s="111" t="s">
        <v>12418</v>
      </c>
      <c r="G347" s="111" t="s">
        <v>12226</v>
      </c>
      <c r="H347" s="111"/>
      <c r="I347" s="111" t="s">
        <v>12287</v>
      </c>
      <c r="J347" s="111"/>
      <c r="K347" s="111" t="s">
        <v>30</v>
      </c>
      <c r="L347" s="111"/>
      <c r="M347" s="111"/>
      <c r="N347" s="111"/>
      <c r="O347" s="111"/>
      <c r="P347" s="111"/>
      <c r="Q347" s="111">
        <v>1.0</v>
      </c>
      <c r="R347" s="111"/>
      <c r="S347" s="111">
        <v>1.0</v>
      </c>
      <c r="T347" s="111"/>
      <c r="U347" s="111"/>
      <c r="V347" s="111"/>
      <c r="W347" s="111"/>
      <c r="X347" s="111"/>
      <c r="Y347" s="111"/>
      <c r="Z347" s="111" t="s">
        <v>12520</v>
      </c>
      <c r="AA347" s="129">
        <f>IF(Projects!$AI347="Electrolysis",
AB347*VLOOKUP(G347,ElectrolysisConvF,3,FALSE),
"")</f>
        <v>0.52</v>
      </c>
      <c r="AB347" s="125">
        <v>100.0</v>
      </c>
      <c r="AC347" s="126">
        <f t="shared" si="45"/>
        <v>0.077964</v>
      </c>
      <c r="AD347" s="125"/>
      <c r="AE347" s="125">
        <f t="shared" si="46"/>
        <v>100</v>
      </c>
      <c r="AF347" s="127" t="s">
        <v>12893</v>
      </c>
      <c r="AG347" s="127">
        <v>0.0</v>
      </c>
      <c r="AH347" s="127">
        <v>0.0</v>
      </c>
      <c r="AI347" s="115" t="s">
        <v>12383</v>
      </c>
      <c r="AJ347" s="116">
        <v>0.57</v>
      </c>
      <c r="AK347" s="117"/>
      <c r="AL347" s="117"/>
      <c r="AM347" s="117"/>
      <c r="AN347" s="117"/>
      <c r="AO347" s="117"/>
    </row>
    <row r="348" ht="34.5" customHeight="1">
      <c r="A348" s="111">
        <v>680.0</v>
      </c>
      <c r="B348" s="111" t="s">
        <v>8326</v>
      </c>
      <c r="C348" s="111" t="s">
        <v>7977</v>
      </c>
      <c r="D348" s="111">
        <v>2019.0</v>
      </c>
      <c r="E348" s="111">
        <v>2020.0</v>
      </c>
      <c r="F348" s="111" t="s">
        <v>12418</v>
      </c>
      <c r="G348" s="111" t="s">
        <v>12226</v>
      </c>
      <c r="H348" s="111"/>
      <c r="I348" s="111" t="s">
        <v>12287</v>
      </c>
      <c r="J348" s="111"/>
      <c r="K348" s="111" t="s">
        <v>30</v>
      </c>
      <c r="L348" s="111"/>
      <c r="M348" s="111"/>
      <c r="N348" s="111"/>
      <c r="O348" s="111"/>
      <c r="P348" s="111"/>
      <c r="Q348" s="111"/>
      <c r="R348" s="111">
        <v>1.0</v>
      </c>
      <c r="S348" s="111"/>
      <c r="T348" s="111"/>
      <c r="U348" s="111"/>
      <c r="V348" s="111"/>
      <c r="W348" s="111"/>
      <c r="X348" s="111"/>
      <c r="Y348" s="111"/>
      <c r="Z348" s="111" t="s">
        <v>12555</v>
      </c>
      <c r="AA348" s="124">
        <v>0.05</v>
      </c>
      <c r="AB348" s="125">
        <f>IF(Projects!$AI348="Electrolysis",
AA348/VLOOKUP(G348,ElectrolysisConvF,3,FALSE),
AC348*10^6/(H2dens*HoursInYear))</f>
        <v>9.615384615</v>
      </c>
      <c r="AC348" s="126">
        <f t="shared" si="45"/>
        <v>0.007496538462</v>
      </c>
      <c r="AD348" s="125"/>
      <c r="AE348" s="125">
        <f t="shared" si="46"/>
        <v>9.615384615</v>
      </c>
      <c r="AF348" s="127" t="s">
        <v>12894</v>
      </c>
      <c r="AG348" s="127">
        <v>0.0</v>
      </c>
      <c r="AH348" s="127">
        <v>0.0</v>
      </c>
      <c r="AI348" s="115" t="s">
        <v>12383</v>
      </c>
      <c r="AJ348" s="116">
        <v>0.57</v>
      </c>
      <c r="AK348" s="117"/>
      <c r="AL348" s="117"/>
      <c r="AM348" s="117"/>
      <c r="AN348" s="117"/>
      <c r="AO348" s="117"/>
    </row>
    <row r="349" ht="34.5" customHeight="1">
      <c r="A349" s="111">
        <v>681.0</v>
      </c>
      <c r="B349" s="111" t="s">
        <v>8327</v>
      </c>
      <c r="C349" s="111" t="s">
        <v>7977</v>
      </c>
      <c r="D349" s="111">
        <v>2008.0</v>
      </c>
      <c r="E349" s="111">
        <v>2009.0</v>
      </c>
      <c r="F349" s="111" t="s">
        <v>12418</v>
      </c>
      <c r="G349" s="111" t="s">
        <v>12226</v>
      </c>
      <c r="H349" s="111"/>
      <c r="I349" s="111" t="s">
        <v>12287</v>
      </c>
      <c r="J349" s="111"/>
      <c r="K349" s="111" t="s">
        <v>30</v>
      </c>
      <c r="L349" s="111"/>
      <c r="M349" s="111"/>
      <c r="N349" s="111"/>
      <c r="O349" s="111"/>
      <c r="P349" s="111"/>
      <c r="Q349" s="111"/>
      <c r="R349" s="111">
        <v>1.0</v>
      </c>
      <c r="S349" s="111"/>
      <c r="T349" s="111"/>
      <c r="U349" s="111"/>
      <c r="V349" s="111"/>
      <c r="W349" s="111"/>
      <c r="X349" s="111"/>
      <c r="Y349" s="111"/>
      <c r="Z349" s="111" t="s">
        <v>12895</v>
      </c>
      <c r="AA349" s="124">
        <v>0.041</v>
      </c>
      <c r="AB349" s="125">
        <f>IF(Projects!$AI349="Electrolysis",
AA349/VLOOKUP(G349,ElectrolysisConvF,3,FALSE),
AC349*10^6/(H2dens*HoursInYear))</f>
        <v>7.884615385</v>
      </c>
      <c r="AC349" s="126">
        <f t="shared" si="45"/>
        <v>0.006147161538</v>
      </c>
      <c r="AD349" s="125"/>
      <c r="AE349" s="125">
        <f t="shared" si="46"/>
        <v>7.884615385</v>
      </c>
      <c r="AF349" s="127" t="s">
        <v>12896</v>
      </c>
      <c r="AG349" s="127">
        <v>0.0</v>
      </c>
      <c r="AH349" s="127">
        <v>0.0</v>
      </c>
      <c r="AI349" s="115" t="s">
        <v>12383</v>
      </c>
      <c r="AJ349" s="116">
        <v>0.57</v>
      </c>
      <c r="AK349" s="117"/>
      <c r="AL349" s="117"/>
      <c r="AM349" s="117"/>
      <c r="AN349" s="117"/>
      <c r="AO349" s="117"/>
    </row>
    <row r="350" ht="34.5" customHeight="1">
      <c r="A350" s="111">
        <v>682.0</v>
      </c>
      <c r="B350" s="111" t="s">
        <v>8328</v>
      </c>
      <c r="C350" s="111" t="s">
        <v>7987</v>
      </c>
      <c r="D350" s="111">
        <v>2005.0</v>
      </c>
      <c r="E350" s="111">
        <v>2008.0</v>
      </c>
      <c r="F350" s="111" t="s">
        <v>12418</v>
      </c>
      <c r="G350" s="111" t="s">
        <v>12226</v>
      </c>
      <c r="H350" s="111"/>
      <c r="I350" s="111" t="s">
        <v>12287</v>
      </c>
      <c r="J350" s="111"/>
      <c r="K350" s="111" t="s">
        <v>30</v>
      </c>
      <c r="L350" s="111"/>
      <c r="M350" s="111"/>
      <c r="N350" s="111"/>
      <c r="O350" s="111"/>
      <c r="P350" s="111"/>
      <c r="Q350" s="111"/>
      <c r="R350" s="111">
        <v>1.0</v>
      </c>
      <c r="S350" s="111"/>
      <c r="T350" s="111"/>
      <c r="U350" s="111"/>
      <c r="V350" s="111"/>
      <c r="W350" s="111"/>
      <c r="X350" s="111"/>
      <c r="Y350" s="111"/>
      <c r="Z350" s="111" t="s">
        <v>12897</v>
      </c>
      <c r="AA350" s="129">
        <f>IF(Projects!$AI350="Electrolysis",
AB350*VLOOKUP(G350,ElectrolysisConvF,3,FALSE),
"")</f>
        <v>0.03276</v>
      </c>
      <c r="AB350" s="125">
        <v>6.3</v>
      </c>
      <c r="AC350" s="126">
        <f t="shared" si="45"/>
        <v>0.004911732</v>
      </c>
      <c r="AD350" s="125"/>
      <c r="AE350" s="125">
        <f t="shared" si="46"/>
        <v>6.3</v>
      </c>
      <c r="AF350" s="127" t="s">
        <v>12898</v>
      </c>
      <c r="AG350" s="127">
        <v>0.0</v>
      </c>
      <c r="AH350" s="127">
        <v>0.0</v>
      </c>
      <c r="AI350" s="115" t="s">
        <v>12383</v>
      </c>
      <c r="AJ350" s="116">
        <v>0.57</v>
      </c>
      <c r="AK350" s="117"/>
      <c r="AL350" s="117"/>
      <c r="AM350" s="117"/>
      <c r="AN350" s="117"/>
      <c r="AO350" s="117"/>
    </row>
    <row r="351" ht="34.5" customHeight="1">
      <c r="A351" s="111">
        <v>683.0</v>
      </c>
      <c r="B351" s="111" t="s">
        <v>8329</v>
      </c>
      <c r="C351" s="111" t="s">
        <v>8011</v>
      </c>
      <c r="D351" s="111">
        <v>2020.0</v>
      </c>
      <c r="E351" s="111">
        <v>2023.0</v>
      </c>
      <c r="F351" s="111" t="s">
        <v>12418</v>
      </c>
      <c r="G351" s="111" t="s">
        <v>12224</v>
      </c>
      <c r="H351" s="111"/>
      <c r="I351" s="111" t="s">
        <v>12287</v>
      </c>
      <c r="J351" s="111"/>
      <c r="K351" s="111" t="s">
        <v>12481</v>
      </c>
      <c r="L351" s="111"/>
      <c r="M351" s="111"/>
      <c r="N351" s="111"/>
      <c r="O351" s="111"/>
      <c r="P351" s="111"/>
      <c r="Q351" s="111"/>
      <c r="R351" s="111"/>
      <c r="S351" s="111">
        <v>1.0</v>
      </c>
      <c r="T351" s="111"/>
      <c r="U351" s="111"/>
      <c r="V351" s="111"/>
      <c r="W351" s="111"/>
      <c r="X351" s="111">
        <v>1.0</v>
      </c>
      <c r="Y351" s="111"/>
      <c r="Z351" s="111" t="s">
        <v>12500</v>
      </c>
      <c r="AA351" s="124">
        <v>1.0</v>
      </c>
      <c r="AB351" s="125">
        <f>IF(Projects!$AI351="Electrolysis",
AA351/VLOOKUP(G351,ElectrolysisConvF,3,FALSE),
AC351*10^6/(H2dens*HoursInYear))</f>
        <v>217.3913043</v>
      </c>
      <c r="AC351" s="126">
        <f t="shared" si="45"/>
        <v>0.1694869565</v>
      </c>
      <c r="AD351" s="125"/>
      <c r="AE351" s="125">
        <f t="shared" si="46"/>
        <v>217.3913043</v>
      </c>
      <c r="AF351" s="127" t="s">
        <v>12899</v>
      </c>
      <c r="AG351" s="127">
        <v>43.4369698295325</v>
      </c>
      <c r="AH351" s="127">
        <v>4.94778991120009</v>
      </c>
      <c r="AI351" s="115" t="s">
        <v>12383</v>
      </c>
      <c r="AJ351" s="116">
        <v>0.57</v>
      </c>
      <c r="AK351" s="117"/>
      <c r="AL351" s="117"/>
      <c r="AM351" s="117"/>
      <c r="AN351" s="117"/>
      <c r="AO351" s="117"/>
    </row>
    <row r="352" ht="34.5" customHeight="1">
      <c r="A352" s="111">
        <v>684.0</v>
      </c>
      <c r="B352" s="111" t="s">
        <v>8330</v>
      </c>
      <c r="C352" s="111" t="s">
        <v>7981</v>
      </c>
      <c r="D352" s="111">
        <v>2007.0</v>
      </c>
      <c r="E352" s="111"/>
      <c r="F352" s="111" t="s">
        <v>12418</v>
      </c>
      <c r="G352" s="111" t="s">
        <v>12226</v>
      </c>
      <c r="H352" s="111"/>
      <c r="I352" s="111" t="s">
        <v>12287</v>
      </c>
      <c r="J352" s="111"/>
      <c r="K352" s="111" t="s">
        <v>30</v>
      </c>
      <c r="L352" s="111"/>
      <c r="M352" s="111"/>
      <c r="N352" s="111"/>
      <c r="O352" s="111"/>
      <c r="P352" s="111"/>
      <c r="Q352" s="111">
        <v>1.0</v>
      </c>
      <c r="R352" s="111">
        <v>1.0</v>
      </c>
      <c r="S352" s="111"/>
      <c r="T352" s="111"/>
      <c r="U352" s="111"/>
      <c r="V352" s="111"/>
      <c r="W352" s="111"/>
      <c r="X352" s="111"/>
      <c r="Y352" s="111"/>
      <c r="Z352" s="111" t="s">
        <v>12648</v>
      </c>
      <c r="AA352" s="124">
        <v>0.005</v>
      </c>
      <c r="AB352" s="125">
        <f>IF(Projects!$AI352="Electrolysis",
AA352/VLOOKUP(G352,ElectrolysisConvF,3,FALSE),
AC352*10^6/(H2dens*HoursInYear))</f>
        <v>0.9615384615</v>
      </c>
      <c r="AC352" s="126">
        <f t="shared" si="45"/>
        <v>0.0007496538462</v>
      </c>
      <c r="AD352" s="125"/>
      <c r="AE352" s="125">
        <f t="shared" si="46"/>
        <v>0.9615384615</v>
      </c>
      <c r="AF352" s="127" t="s">
        <v>12900</v>
      </c>
      <c r="AG352" s="127">
        <v>19.8624735305071</v>
      </c>
      <c r="AH352" s="127">
        <v>-155.555978903399</v>
      </c>
      <c r="AI352" s="115" t="s">
        <v>12383</v>
      </c>
      <c r="AJ352" s="116">
        <v>0.57</v>
      </c>
      <c r="AK352" s="117"/>
      <c r="AL352" s="117"/>
      <c r="AM352" s="117"/>
      <c r="AN352" s="117"/>
      <c r="AO352" s="117"/>
    </row>
    <row r="353" ht="34.5" customHeight="1">
      <c r="A353" s="111">
        <v>685.0</v>
      </c>
      <c r="B353" s="111" t="s">
        <v>8331</v>
      </c>
      <c r="C353" s="111" t="s">
        <v>8011</v>
      </c>
      <c r="D353" s="111">
        <v>2000.0</v>
      </c>
      <c r="E353" s="111">
        <v>2004.0</v>
      </c>
      <c r="F353" s="111" t="s">
        <v>12418</v>
      </c>
      <c r="G353" s="111" t="s">
        <v>12224</v>
      </c>
      <c r="H353" s="111"/>
      <c r="I353" s="111" t="s">
        <v>12287</v>
      </c>
      <c r="J353" s="111"/>
      <c r="K353" s="111" t="s">
        <v>30</v>
      </c>
      <c r="L353" s="111"/>
      <c r="M353" s="111"/>
      <c r="N353" s="111"/>
      <c r="O353" s="111"/>
      <c r="P353" s="111"/>
      <c r="Q353" s="111"/>
      <c r="R353" s="111">
        <v>1.0</v>
      </c>
      <c r="S353" s="111"/>
      <c r="T353" s="111"/>
      <c r="U353" s="111"/>
      <c r="V353" s="111"/>
      <c r="W353" s="111"/>
      <c r="X353" s="111"/>
      <c r="Y353" s="111"/>
      <c r="Z353" s="111" t="s">
        <v>12901</v>
      </c>
      <c r="AA353" s="124">
        <v>0.0036</v>
      </c>
      <c r="AB353" s="125">
        <f>IF(Projects!$AI353="Electrolysis",
AA353/VLOOKUP(G353,ElectrolysisConvF,3,FALSE),
AC353*10^6/(H2dens*HoursInYear))</f>
        <v>0.7826086957</v>
      </c>
      <c r="AC353" s="126">
        <f t="shared" si="45"/>
        <v>0.0006101530435</v>
      </c>
      <c r="AD353" s="125"/>
      <c r="AE353" s="125">
        <f t="shared" si="46"/>
        <v>0.7826086957</v>
      </c>
      <c r="AF353" s="127" t="s">
        <v>12902</v>
      </c>
      <c r="AG353" s="127">
        <v>43.6272103894524</v>
      </c>
      <c r="AH353" s="127">
        <v>7.04592502000701</v>
      </c>
      <c r="AI353" s="115" t="s">
        <v>12383</v>
      </c>
      <c r="AJ353" s="116">
        <v>0.57</v>
      </c>
      <c r="AK353" s="117"/>
      <c r="AL353" s="117"/>
      <c r="AM353" s="117"/>
      <c r="AN353" s="117"/>
      <c r="AO353" s="117"/>
    </row>
    <row r="354" ht="34.5" customHeight="1">
      <c r="A354" s="111">
        <v>686.0</v>
      </c>
      <c r="B354" s="111" t="s">
        <v>8332</v>
      </c>
      <c r="C354" s="111" t="s">
        <v>8047</v>
      </c>
      <c r="D354" s="111">
        <v>2004.0</v>
      </c>
      <c r="E354" s="111">
        <v>2004.0</v>
      </c>
      <c r="F354" s="111" t="s">
        <v>12418</v>
      </c>
      <c r="G354" s="111" t="s">
        <v>12224</v>
      </c>
      <c r="H354" s="111"/>
      <c r="I354" s="111" t="s">
        <v>12287</v>
      </c>
      <c r="J354" s="111"/>
      <c r="K354" s="111" t="s">
        <v>30</v>
      </c>
      <c r="L354" s="111"/>
      <c r="M354" s="111"/>
      <c r="N354" s="111"/>
      <c r="O354" s="111"/>
      <c r="P354" s="111"/>
      <c r="Q354" s="111"/>
      <c r="R354" s="111">
        <v>1.0</v>
      </c>
      <c r="S354" s="111"/>
      <c r="T354" s="111"/>
      <c r="U354" s="111"/>
      <c r="V354" s="111"/>
      <c r="W354" s="111"/>
      <c r="X354" s="111"/>
      <c r="Y354" s="111"/>
      <c r="Z354" s="111" t="s">
        <v>12903</v>
      </c>
      <c r="AA354" s="124">
        <v>0.0034</v>
      </c>
      <c r="AB354" s="125">
        <f>IF(Projects!$AI354="Electrolysis",
AA354/VLOOKUP(G354,ElectrolysisConvF,3,FALSE),
AC354*10^6/(H2dens*HoursInYear))</f>
        <v>0.7391304348</v>
      </c>
      <c r="AC354" s="126">
        <f t="shared" si="45"/>
        <v>0.0005762556522</v>
      </c>
      <c r="AD354" s="125"/>
      <c r="AE354" s="125">
        <f t="shared" si="46"/>
        <v>0.7391304348</v>
      </c>
      <c r="AF354" s="127" t="s">
        <v>12904</v>
      </c>
      <c r="AG354" s="127">
        <v>0.0</v>
      </c>
      <c r="AH354" s="127">
        <v>0.0</v>
      </c>
      <c r="AI354" s="115" t="s">
        <v>12383</v>
      </c>
      <c r="AJ354" s="116">
        <v>0.57</v>
      </c>
      <c r="AK354" s="117"/>
      <c r="AL354" s="117"/>
      <c r="AM354" s="117"/>
      <c r="AN354" s="117"/>
      <c r="AO354" s="117"/>
    </row>
    <row r="355" ht="34.5" customHeight="1">
      <c r="A355" s="111">
        <v>687.0</v>
      </c>
      <c r="B355" s="111" t="s">
        <v>8333</v>
      </c>
      <c r="C355" s="111" t="s">
        <v>7983</v>
      </c>
      <c r="D355" s="111">
        <v>2005.0</v>
      </c>
      <c r="E355" s="111">
        <v>2005.0</v>
      </c>
      <c r="F355" s="111" t="s">
        <v>12418</v>
      </c>
      <c r="G355" s="111" t="s">
        <v>12226</v>
      </c>
      <c r="H355" s="111"/>
      <c r="I355" s="111" t="s">
        <v>12287</v>
      </c>
      <c r="J355" s="111"/>
      <c r="K355" s="111" t="s">
        <v>30</v>
      </c>
      <c r="L355" s="111"/>
      <c r="M355" s="111"/>
      <c r="N355" s="111"/>
      <c r="O355" s="111"/>
      <c r="P355" s="111"/>
      <c r="Q355" s="111"/>
      <c r="R355" s="111">
        <v>1.0</v>
      </c>
      <c r="S355" s="111"/>
      <c r="T355" s="111"/>
      <c r="U355" s="111"/>
      <c r="V355" s="111"/>
      <c r="W355" s="111"/>
      <c r="X355" s="111"/>
      <c r="Y355" s="111"/>
      <c r="Z355" s="111" t="s">
        <v>12657</v>
      </c>
      <c r="AA355" s="138">
        <f>IF(Projects!$AI355="Electrolysis",
AB355*VLOOKUP(G355,ElectrolysisConvF,3,FALSE),
"")</f>
        <v>0.00364</v>
      </c>
      <c r="AB355" s="125">
        <v>0.7</v>
      </c>
      <c r="AC355" s="126">
        <f t="shared" si="45"/>
        <v>0.000545748</v>
      </c>
      <c r="AD355" s="125"/>
      <c r="AE355" s="125">
        <f t="shared" si="46"/>
        <v>0.7</v>
      </c>
      <c r="AF355" s="127" t="s">
        <v>12905</v>
      </c>
      <c r="AG355" s="127">
        <v>0.0</v>
      </c>
      <c r="AH355" s="127">
        <v>0.0</v>
      </c>
      <c r="AI355" s="115" t="s">
        <v>12383</v>
      </c>
      <c r="AJ355" s="116">
        <v>0.57</v>
      </c>
      <c r="AK355" s="117"/>
      <c r="AL355" s="117"/>
      <c r="AM355" s="117"/>
      <c r="AN355" s="117"/>
      <c r="AO355" s="117"/>
    </row>
    <row r="356" ht="34.5" customHeight="1">
      <c r="A356" s="111">
        <v>688.0</v>
      </c>
      <c r="B356" s="111" t="s">
        <v>8334</v>
      </c>
      <c r="C356" s="111" t="s">
        <v>7977</v>
      </c>
      <c r="D356" s="111">
        <v>2004.0</v>
      </c>
      <c r="E356" s="111">
        <v>2005.0</v>
      </c>
      <c r="F356" s="111" t="s">
        <v>12418</v>
      </c>
      <c r="G356" s="111" t="s">
        <v>12226</v>
      </c>
      <c r="H356" s="111"/>
      <c r="I356" s="111" t="s">
        <v>12287</v>
      </c>
      <c r="J356" s="111"/>
      <c r="K356" s="111" t="s">
        <v>30</v>
      </c>
      <c r="L356" s="111"/>
      <c r="M356" s="111"/>
      <c r="N356" s="111"/>
      <c r="O356" s="111"/>
      <c r="P356" s="111"/>
      <c r="Q356" s="111">
        <v>1.0</v>
      </c>
      <c r="R356" s="111">
        <v>1.0</v>
      </c>
      <c r="S356" s="111"/>
      <c r="T356" s="111">
        <v>1.0</v>
      </c>
      <c r="U356" s="111"/>
      <c r="V356" s="111"/>
      <c r="W356" s="111"/>
      <c r="X356" s="111"/>
      <c r="Y356" s="111"/>
      <c r="Z356" s="111" t="s">
        <v>12906</v>
      </c>
      <c r="AA356" s="129">
        <f>IF(Projects!$AI356="Electrolysis",
AB356*VLOOKUP(G356,ElectrolysisConvF,3,FALSE),
"")</f>
        <v>0.0026</v>
      </c>
      <c r="AB356" s="125">
        <v>0.5</v>
      </c>
      <c r="AC356" s="126">
        <f t="shared" si="45"/>
        <v>0.00038982</v>
      </c>
      <c r="AD356" s="125"/>
      <c r="AE356" s="125">
        <f t="shared" si="46"/>
        <v>0.5</v>
      </c>
      <c r="AF356" s="127" t="s">
        <v>12907</v>
      </c>
      <c r="AG356" s="127">
        <v>0.0</v>
      </c>
      <c r="AH356" s="127">
        <v>0.0</v>
      </c>
      <c r="AI356" s="115" t="s">
        <v>12383</v>
      </c>
      <c r="AJ356" s="116">
        <v>0.57</v>
      </c>
      <c r="AK356" s="117"/>
      <c r="AL356" s="117"/>
      <c r="AM356" s="117"/>
      <c r="AN356" s="117"/>
      <c r="AO356" s="117"/>
    </row>
    <row r="357" ht="34.5" customHeight="1">
      <c r="A357" s="111">
        <v>689.0</v>
      </c>
      <c r="B357" s="111" t="s">
        <v>351</v>
      </c>
      <c r="C357" s="111" t="s">
        <v>7967</v>
      </c>
      <c r="D357" s="111">
        <v>2024.0</v>
      </c>
      <c r="E357" s="111">
        <v>2025.0</v>
      </c>
      <c r="F357" s="111" t="s">
        <v>12393</v>
      </c>
      <c r="G357" s="111" t="s">
        <v>12226</v>
      </c>
      <c r="H357" s="111"/>
      <c r="I357" s="111" t="s">
        <v>12406</v>
      </c>
      <c r="J357" s="111"/>
      <c r="K357" s="111" t="s">
        <v>30</v>
      </c>
      <c r="L357" s="111"/>
      <c r="M357" s="111"/>
      <c r="N357" s="111"/>
      <c r="O357" s="111"/>
      <c r="P357" s="111"/>
      <c r="Q357" s="111"/>
      <c r="R357" s="111"/>
      <c r="S357" s="111"/>
      <c r="T357" s="111"/>
      <c r="U357" s="111"/>
      <c r="V357" s="111"/>
      <c r="W357" s="111"/>
      <c r="X357" s="111">
        <v>1.0</v>
      </c>
      <c r="Y357" s="111"/>
      <c r="Z357" s="111" t="s">
        <v>12908</v>
      </c>
      <c r="AA357" s="124">
        <v>1.0</v>
      </c>
      <c r="AB357" s="125">
        <f>IF(Projects!$AI357="Electrolysis",
AA357/VLOOKUP(G357,ElectrolysisConvF,3,FALSE),
AC357*10^6/(H2dens*HoursInYear))</f>
        <v>192.3076923</v>
      </c>
      <c r="AC357" s="126">
        <f t="shared" si="45"/>
        <v>0.1499307692</v>
      </c>
      <c r="AD357" s="125"/>
      <c r="AE357" s="125">
        <f t="shared" si="46"/>
        <v>192.3076923</v>
      </c>
      <c r="AF357" s="127" t="s">
        <v>12909</v>
      </c>
      <c r="AG357" s="127">
        <v>52.25</v>
      </c>
      <c r="AH357" s="127">
        <v>4.0</v>
      </c>
      <c r="AI357" s="115" t="s">
        <v>12383</v>
      </c>
      <c r="AJ357" s="116">
        <v>0.57</v>
      </c>
      <c r="AK357" s="117"/>
      <c r="AL357" s="117"/>
      <c r="AM357" s="117"/>
      <c r="AN357" s="117"/>
      <c r="AO357" s="117"/>
    </row>
    <row r="358" ht="34.5" customHeight="1">
      <c r="A358" s="111">
        <v>690.0</v>
      </c>
      <c r="B358" s="111" t="s">
        <v>8335</v>
      </c>
      <c r="C358" s="111" t="s">
        <v>7977</v>
      </c>
      <c r="D358" s="111">
        <v>2000.0</v>
      </c>
      <c r="E358" s="111">
        <v>2004.0</v>
      </c>
      <c r="F358" s="111" t="s">
        <v>12418</v>
      </c>
      <c r="G358" s="111" t="s">
        <v>12226</v>
      </c>
      <c r="H358" s="111"/>
      <c r="I358" s="111" t="s">
        <v>12287</v>
      </c>
      <c r="J358" s="111"/>
      <c r="K358" s="111" t="s">
        <v>30</v>
      </c>
      <c r="L358" s="111"/>
      <c r="M358" s="111"/>
      <c r="N358" s="111"/>
      <c r="O358" s="111"/>
      <c r="P358" s="111"/>
      <c r="Q358" s="111"/>
      <c r="R358" s="111">
        <v>1.0</v>
      </c>
      <c r="S358" s="111"/>
      <c r="T358" s="111"/>
      <c r="U358" s="111"/>
      <c r="V358" s="111"/>
      <c r="W358" s="111"/>
      <c r="X358" s="111"/>
      <c r="Y358" s="111"/>
      <c r="Z358" s="111" t="s">
        <v>12842</v>
      </c>
      <c r="AA358" s="124">
        <v>0.001</v>
      </c>
      <c r="AB358" s="125">
        <f>IF(Projects!$AI358="Electrolysis",
AA358/VLOOKUP(G358,ElectrolysisConvF,3,FALSE),
AC358*10^6/(H2dens*HoursInYear))</f>
        <v>0.1923076923</v>
      </c>
      <c r="AC358" s="126">
        <f t="shared" si="45"/>
        <v>0.0001499307692</v>
      </c>
      <c r="AD358" s="125"/>
      <c r="AE358" s="125">
        <f t="shared" si="46"/>
        <v>0.1923076923</v>
      </c>
      <c r="AF358" s="127" t="s">
        <v>12910</v>
      </c>
      <c r="AG358" s="127">
        <v>0.0</v>
      </c>
      <c r="AH358" s="127">
        <v>0.0</v>
      </c>
      <c r="AI358" s="115" t="s">
        <v>12383</v>
      </c>
      <c r="AJ358" s="116">
        <v>0.57</v>
      </c>
      <c r="AK358" s="117"/>
      <c r="AL358" s="117"/>
      <c r="AM358" s="117"/>
      <c r="AN358" s="117"/>
      <c r="AO358" s="117"/>
    </row>
    <row r="359" ht="34.5" customHeight="1">
      <c r="A359" s="111">
        <v>691.0</v>
      </c>
      <c r="B359" s="111" t="s">
        <v>8336</v>
      </c>
      <c r="C359" s="111" t="s">
        <v>7977</v>
      </c>
      <c r="D359" s="111">
        <v>2008.0</v>
      </c>
      <c r="E359" s="111">
        <v>2009.0</v>
      </c>
      <c r="F359" s="111" t="s">
        <v>12418</v>
      </c>
      <c r="G359" s="111" t="s">
        <v>12381</v>
      </c>
      <c r="H359" s="111" t="s">
        <v>12230</v>
      </c>
      <c r="I359" s="111" t="s">
        <v>12287</v>
      </c>
      <c r="J359" s="111"/>
      <c r="K359" s="111" t="s">
        <v>30</v>
      </c>
      <c r="L359" s="111"/>
      <c r="M359" s="111"/>
      <c r="N359" s="111"/>
      <c r="O359" s="111"/>
      <c r="P359" s="111"/>
      <c r="Q359" s="111"/>
      <c r="R359" s="111"/>
      <c r="S359" s="111"/>
      <c r="T359" s="111"/>
      <c r="U359" s="111">
        <v>1.0</v>
      </c>
      <c r="V359" s="111"/>
      <c r="W359" s="111"/>
      <c r="X359" s="111"/>
      <c r="Y359" s="111"/>
      <c r="Z359" s="111" t="s">
        <v>12911</v>
      </c>
      <c r="AA359" s="129">
        <f>IF(Projects!$AI359="Electrolysis",
AB359*VLOOKUP(G359,ElectrolysisConvF,3,FALSE),
"")</f>
        <v>0.000225</v>
      </c>
      <c r="AB359" s="125">
        <v>0.05</v>
      </c>
      <c r="AC359" s="126">
        <f t="shared" si="45"/>
        <v>0.000038982</v>
      </c>
      <c r="AD359" s="125"/>
      <c r="AE359" s="125">
        <f t="shared" si="46"/>
        <v>0.05</v>
      </c>
      <c r="AF359" s="127" t="s">
        <v>12912</v>
      </c>
      <c r="AG359" s="127">
        <v>0.0</v>
      </c>
      <c r="AH359" s="127">
        <v>0.0</v>
      </c>
      <c r="AI359" s="115" t="s">
        <v>12383</v>
      </c>
      <c r="AJ359" s="116">
        <v>0.57</v>
      </c>
      <c r="AK359" s="117"/>
      <c r="AL359" s="117"/>
      <c r="AM359" s="117"/>
      <c r="AN359" s="117"/>
      <c r="AO359" s="117"/>
    </row>
    <row r="360" ht="34.5" customHeight="1">
      <c r="A360" s="111">
        <v>692.0</v>
      </c>
      <c r="B360" s="111" t="s">
        <v>8337</v>
      </c>
      <c r="C360" s="111" t="s">
        <v>7987</v>
      </c>
      <c r="D360" s="111">
        <v>2008.0</v>
      </c>
      <c r="E360" s="111">
        <v>2011.0</v>
      </c>
      <c r="F360" s="111" t="s">
        <v>12418</v>
      </c>
      <c r="G360" s="111" t="s">
        <v>12226</v>
      </c>
      <c r="H360" s="111"/>
      <c r="I360" s="111" t="s">
        <v>12287</v>
      </c>
      <c r="J360" s="111"/>
      <c r="K360" s="111" t="s">
        <v>30</v>
      </c>
      <c r="L360" s="111"/>
      <c r="M360" s="111"/>
      <c r="N360" s="111"/>
      <c r="O360" s="111"/>
      <c r="P360" s="111"/>
      <c r="Q360" s="111"/>
      <c r="R360" s="111"/>
      <c r="S360" s="111"/>
      <c r="T360" s="111"/>
      <c r="U360" s="111"/>
      <c r="V360" s="111"/>
      <c r="W360" s="111"/>
      <c r="X360" s="111"/>
      <c r="Y360" s="111"/>
      <c r="Z360" s="111"/>
      <c r="AA360" s="124"/>
      <c r="AB360" s="125"/>
      <c r="AC360" s="126"/>
      <c r="AD360" s="125"/>
      <c r="AE360" s="125" t="str">
        <f t="shared" si="46"/>
        <v/>
      </c>
      <c r="AF360" s="127" t="s">
        <v>12913</v>
      </c>
      <c r="AG360" s="127">
        <v>0.0</v>
      </c>
      <c r="AH360" s="127">
        <v>0.0</v>
      </c>
      <c r="AI360" s="115" t="s">
        <v>12383</v>
      </c>
      <c r="AJ360" s="116">
        <v>0.57</v>
      </c>
      <c r="AK360" s="117"/>
      <c r="AL360" s="117"/>
      <c r="AM360" s="117"/>
      <c r="AN360" s="117"/>
      <c r="AO360" s="117"/>
    </row>
    <row r="361" ht="34.5" customHeight="1">
      <c r="A361" s="111">
        <v>693.0</v>
      </c>
      <c r="B361" s="111" t="s">
        <v>8338</v>
      </c>
      <c r="C361" s="111" t="s">
        <v>7967</v>
      </c>
      <c r="D361" s="111">
        <v>2008.0</v>
      </c>
      <c r="E361" s="111">
        <v>2011.0</v>
      </c>
      <c r="F361" s="111" t="s">
        <v>12418</v>
      </c>
      <c r="G361" s="111" t="s">
        <v>12226</v>
      </c>
      <c r="H361" s="111"/>
      <c r="I361" s="111" t="s">
        <v>12287</v>
      </c>
      <c r="J361" s="111"/>
      <c r="K361" s="111" t="s">
        <v>30</v>
      </c>
      <c r="L361" s="111"/>
      <c r="M361" s="111"/>
      <c r="N361" s="111"/>
      <c r="O361" s="111"/>
      <c r="P361" s="111"/>
      <c r="Q361" s="111"/>
      <c r="R361" s="111"/>
      <c r="S361" s="111">
        <v>1.0</v>
      </c>
      <c r="T361" s="111"/>
      <c r="U361" s="111">
        <v>1.0</v>
      </c>
      <c r="V361" s="111"/>
      <c r="W361" s="111"/>
      <c r="X361" s="111"/>
      <c r="Y361" s="111"/>
      <c r="Z361" s="111"/>
      <c r="AA361" s="124"/>
      <c r="AB361" s="125"/>
      <c r="AC361" s="126"/>
      <c r="AD361" s="125"/>
      <c r="AE361" s="125" t="str">
        <f t="shared" si="46"/>
        <v/>
      </c>
      <c r="AF361" s="127" t="s">
        <v>12914</v>
      </c>
      <c r="AG361" s="127">
        <v>0.0</v>
      </c>
      <c r="AH361" s="127">
        <v>0.0</v>
      </c>
      <c r="AI361" s="115" t="s">
        <v>12383</v>
      </c>
      <c r="AJ361" s="116">
        <v>0.57</v>
      </c>
      <c r="AK361" s="117"/>
      <c r="AL361" s="117"/>
      <c r="AM361" s="117"/>
      <c r="AN361" s="117"/>
      <c r="AO361" s="117"/>
    </row>
    <row r="362" ht="34.5" customHeight="1">
      <c r="A362" s="111">
        <v>694.0</v>
      </c>
      <c r="B362" s="111" t="s">
        <v>8339</v>
      </c>
      <c r="C362" s="111" t="s">
        <v>8003</v>
      </c>
      <c r="D362" s="111">
        <v>2009.0</v>
      </c>
      <c r="E362" s="111">
        <v>2011.0</v>
      </c>
      <c r="F362" s="111" t="s">
        <v>12418</v>
      </c>
      <c r="G362" s="111" t="s">
        <v>12224</v>
      </c>
      <c r="H362" s="111"/>
      <c r="I362" s="111" t="s">
        <v>12287</v>
      </c>
      <c r="J362" s="111"/>
      <c r="K362" s="111" t="s">
        <v>30</v>
      </c>
      <c r="L362" s="111"/>
      <c r="M362" s="111"/>
      <c r="N362" s="111"/>
      <c r="O362" s="111"/>
      <c r="P362" s="111"/>
      <c r="Q362" s="111"/>
      <c r="R362" s="111">
        <v>1.0</v>
      </c>
      <c r="S362" s="111">
        <v>1.0</v>
      </c>
      <c r="T362" s="111"/>
      <c r="U362" s="111"/>
      <c r="V362" s="111"/>
      <c r="W362" s="111"/>
      <c r="X362" s="111"/>
      <c r="Y362" s="111"/>
      <c r="Z362" s="111" t="s">
        <v>12860</v>
      </c>
      <c r="AA362" s="124">
        <v>0.3</v>
      </c>
      <c r="AB362" s="125">
        <f>IF(Projects!$AI362="Electrolysis",
AA362/VLOOKUP(G362,ElectrolysisConvF,3,FALSE),
AC362*10^6/(H2dens*HoursInYear))</f>
        <v>65.2173913</v>
      </c>
      <c r="AC362" s="126">
        <f t="shared" ref="AC362:AC366" si="47">AB362*H2dens*HoursInYear/10^6</f>
        <v>0.05084608696</v>
      </c>
      <c r="AD362" s="125"/>
      <c r="AE362" s="125">
        <f t="shared" si="46"/>
        <v>65.2173913</v>
      </c>
      <c r="AF362" s="127" t="s">
        <v>12915</v>
      </c>
      <c r="AG362" s="127">
        <v>0.0</v>
      </c>
      <c r="AH362" s="127">
        <v>0.0</v>
      </c>
      <c r="AI362" s="115" t="s">
        <v>12383</v>
      </c>
      <c r="AJ362" s="116">
        <v>0.57</v>
      </c>
      <c r="AK362" s="117"/>
      <c r="AL362" s="117"/>
      <c r="AM362" s="117"/>
      <c r="AN362" s="117"/>
      <c r="AO362" s="117"/>
    </row>
    <row r="363" ht="34.5" customHeight="1">
      <c r="A363" s="111">
        <v>695.0</v>
      </c>
      <c r="B363" s="111" t="s">
        <v>8340</v>
      </c>
      <c r="C363" s="111" t="s">
        <v>7981</v>
      </c>
      <c r="D363" s="111">
        <v>2004.0</v>
      </c>
      <c r="E363" s="111">
        <v>2009.0</v>
      </c>
      <c r="F363" s="111" t="s">
        <v>12418</v>
      </c>
      <c r="G363" s="111" t="s">
        <v>12224</v>
      </c>
      <c r="H363" s="111"/>
      <c r="I363" s="111" t="s">
        <v>12287</v>
      </c>
      <c r="J363" s="111"/>
      <c r="K363" s="111" t="s">
        <v>30</v>
      </c>
      <c r="L363" s="111"/>
      <c r="M363" s="111"/>
      <c r="N363" s="111"/>
      <c r="O363" s="111"/>
      <c r="P363" s="111"/>
      <c r="Q363" s="111"/>
      <c r="R363" s="111">
        <v>1.0</v>
      </c>
      <c r="S363" s="111">
        <v>1.0</v>
      </c>
      <c r="T363" s="111"/>
      <c r="U363" s="111"/>
      <c r="V363" s="111"/>
      <c r="W363" s="111"/>
      <c r="X363" s="111"/>
      <c r="Y363" s="111"/>
      <c r="Z363" s="111" t="s">
        <v>12916</v>
      </c>
      <c r="AA363" s="124">
        <v>0.099</v>
      </c>
      <c r="AB363" s="125">
        <f>IF(Projects!$AI363="Electrolysis",
AA363/VLOOKUP(G363,ElectrolysisConvF,3,FALSE),
AC363*10^6/(H2dens*HoursInYear))</f>
        <v>21.52173913</v>
      </c>
      <c r="AC363" s="126">
        <f t="shared" si="47"/>
        <v>0.0167792087</v>
      </c>
      <c r="AD363" s="125"/>
      <c r="AE363" s="125">
        <f t="shared" si="46"/>
        <v>21.52173913</v>
      </c>
      <c r="AF363" s="127" t="s">
        <v>12917</v>
      </c>
      <c r="AG363" s="127">
        <v>42.4738944313001</v>
      </c>
      <c r="AH363" s="127">
        <v>-83.2506001535109</v>
      </c>
      <c r="AI363" s="115" t="s">
        <v>12383</v>
      </c>
      <c r="AJ363" s="116">
        <v>0.57</v>
      </c>
      <c r="AK363" s="117"/>
      <c r="AL363" s="117"/>
      <c r="AM363" s="117"/>
      <c r="AN363" s="117"/>
      <c r="AO363" s="117"/>
    </row>
    <row r="364" ht="34.5" customHeight="1">
      <c r="A364" s="111">
        <v>696.0</v>
      </c>
      <c r="B364" s="111" t="s">
        <v>8341</v>
      </c>
      <c r="C364" s="111" t="s">
        <v>7981</v>
      </c>
      <c r="D364" s="111">
        <v>2007.0</v>
      </c>
      <c r="E364" s="111">
        <v>2014.0</v>
      </c>
      <c r="F364" s="111" t="s">
        <v>12418</v>
      </c>
      <c r="G364" s="111" t="s">
        <v>12224</v>
      </c>
      <c r="H364" s="111"/>
      <c r="I364" s="111" t="s">
        <v>12394</v>
      </c>
      <c r="J364" s="111" t="s">
        <v>12292</v>
      </c>
      <c r="K364" s="111" t="s">
        <v>30</v>
      </c>
      <c r="L364" s="111"/>
      <c r="M364" s="111"/>
      <c r="N364" s="111"/>
      <c r="O364" s="111"/>
      <c r="P364" s="111"/>
      <c r="Q364" s="111"/>
      <c r="R364" s="111">
        <v>1.0</v>
      </c>
      <c r="S364" s="111">
        <v>1.0</v>
      </c>
      <c r="T364" s="111"/>
      <c r="U364" s="111"/>
      <c r="V364" s="111"/>
      <c r="W364" s="111"/>
      <c r="X364" s="111"/>
      <c r="Y364" s="111"/>
      <c r="Z364" s="111" t="s">
        <v>12597</v>
      </c>
      <c r="AA364" s="124">
        <v>0.04</v>
      </c>
      <c r="AB364" s="125">
        <f>IF(Projects!$AI364="Electrolysis",
AA364/VLOOKUP(G364,ElectrolysisConvF,3,FALSE),
AC364*10^6/(H2dens*HoursInYear))</f>
        <v>8.695652174</v>
      </c>
      <c r="AC364" s="126">
        <f t="shared" si="47"/>
        <v>0.006779478261</v>
      </c>
      <c r="AD364" s="125"/>
      <c r="AE364" s="125">
        <f t="shared" si="46"/>
        <v>8.695652174</v>
      </c>
      <c r="AF364" s="127" t="s">
        <v>12918</v>
      </c>
      <c r="AG364" s="127">
        <v>39.8393403559606</v>
      </c>
      <c r="AH364" s="127">
        <v>-105.159199300183</v>
      </c>
      <c r="AI364" s="115" t="s">
        <v>12383</v>
      </c>
      <c r="AJ364" s="116">
        <v>0.4</v>
      </c>
      <c r="AK364" s="117"/>
      <c r="AL364" s="117"/>
      <c r="AM364" s="117"/>
      <c r="AN364" s="117"/>
      <c r="AO364" s="117"/>
    </row>
    <row r="365" ht="34.5" customHeight="1">
      <c r="A365" s="111">
        <v>697.0</v>
      </c>
      <c r="B365" s="111" t="s">
        <v>8342</v>
      </c>
      <c r="C365" s="111" t="s">
        <v>7981</v>
      </c>
      <c r="D365" s="111">
        <v>2004.0</v>
      </c>
      <c r="E365" s="111">
        <v>2008.0</v>
      </c>
      <c r="F365" s="111" t="s">
        <v>12418</v>
      </c>
      <c r="G365" s="111" t="s">
        <v>12224</v>
      </c>
      <c r="H365" s="111"/>
      <c r="I365" s="111" t="s">
        <v>12287</v>
      </c>
      <c r="J365" s="111"/>
      <c r="K365" s="111" t="s">
        <v>30</v>
      </c>
      <c r="L365" s="111"/>
      <c r="M365" s="111"/>
      <c r="N365" s="111"/>
      <c r="O365" s="111"/>
      <c r="P365" s="111"/>
      <c r="Q365" s="111"/>
      <c r="R365" s="111"/>
      <c r="S365" s="111">
        <v>1.0</v>
      </c>
      <c r="T365" s="111"/>
      <c r="U365" s="111"/>
      <c r="V365" s="111"/>
      <c r="W365" s="111"/>
      <c r="X365" s="111"/>
      <c r="Y365" s="111"/>
      <c r="Z365" s="111" t="s">
        <v>12919</v>
      </c>
      <c r="AA365" s="124">
        <v>0.0065</v>
      </c>
      <c r="AB365" s="125">
        <f>IF(Projects!$AI365="Electrolysis",
AA365/VLOOKUP(G365,ElectrolysisConvF,3,FALSE),
AC365*10^6/(H2dens*HoursInYear))</f>
        <v>1.413043478</v>
      </c>
      <c r="AC365" s="126">
        <f t="shared" si="47"/>
        <v>0.001101665217</v>
      </c>
      <c r="AD365" s="125"/>
      <c r="AE365" s="125">
        <f t="shared" si="46"/>
        <v>1.413043478</v>
      </c>
      <c r="AF365" s="127" t="s">
        <v>12920</v>
      </c>
      <c r="AG365" s="127">
        <v>0.0</v>
      </c>
      <c r="AH365" s="127">
        <v>0.0</v>
      </c>
      <c r="AI365" s="115" t="s">
        <v>12383</v>
      </c>
      <c r="AJ365" s="116">
        <v>0.57</v>
      </c>
      <c r="AK365" s="117"/>
      <c r="AL365" s="117"/>
      <c r="AM365" s="117"/>
      <c r="AN365" s="117"/>
      <c r="AO365" s="117"/>
    </row>
    <row r="366" ht="34.5" customHeight="1">
      <c r="A366" s="111">
        <v>698.0</v>
      </c>
      <c r="B366" s="111" t="s">
        <v>8343</v>
      </c>
      <c r="C366" s="111" t="s">
        <v>8003</v>
      </c>
      <c r="D366" s="111">
        <v>2007.0</v>
      </c>
      <c r="E366" s="111">
        <v>2009.0</v>
      </c>
      <c r="F366" s="111" t="s">
        <v>12418</v>
      </c>
      <c r="G366" s="111" t="s">
        <v>12224</v>
      </c>
      <c r="H366" s="111"/>
      <c r="I366" s="111" t="s">
        <v>12287</v>
      </c>
      <c r="J366" s="111"/>
      <c r="K366" s="111" t="s">
        <v>30</v>
      </c>
      <c r="L366" s="111"/>
      <c r="M366" s="111"/>
      <c r="N366" s="111"/>
      <c r="O366" s="111"/>
      <c r="P366" s="111"/>
      <c r="Q366" s="111"/>
      <c r="R366" s="111"/>
      <c r="S366" s="111">
        <v>1.0</v>
      </c>
      <c r="T366" s="111"/>
      <c r="U366" s="111"/>
      <c r="V366" s="111"/>
      <c r="W366" s="111"/>
      <c r="X366" s="111"/>
      <c r="Y366" s="111"/>
      <c r="Z366" s="111" t="s">
        <v>12482</v>
      </c>
      <c r="AA366" s="124">
        <v>0.006</v>
      </c>
      <c r="AB366" s="125">
        <f>IF(Projects!$AI366="Electrolysis",
AA366/VLOOKUP(G366,ElectrolysisConvF,3,FALSE),
AC366*10^6/(H2dens*HoursInYear))</f>
        <v>1.304347826</v>
      </c>
      <c r="AC366" s="126">
        <f t="shared" si="47"/>
        <v>0.001016921739</v>
      </c>
      <c r="AD366" s="125"/>
      <c r="AE366" s="125">
        <f t="shared" si="46"/>
        <v>1.304347826</v>
      </c>
      <c r="AF366" s="127" t="s">
        <v>12921</v>
      </c>
      <c r="AG366" s="127">
        <v>0.0</v>
      </c>
      <c r="AH366" s="127">
        <v>0.0</v>
      </c>
      <c r="AI366" s="115" t="s">
        <v>12383</v>
      </c>
      <c r="AJ366" s="116">
        <v>0.57</v>
      </c>
      <c r="AK366" s="117"/>
      <c r="AL366" s="117"/>
      <c r="AM366" s="117"/>
      <c r="AN366" s="117"/>
      <c r="AO366" s="117"/>
    </row>
    <row r="367" ht="34.5" customHeight="1">
      <c r="A367" s="111">
        <v>699.0</v>
      </c>
      <c r="B367" s="111" t="s">
        <v>8344</v>
      </c>
      <c r="C367" s="111" t="s">
        <v>7999</v>
      </c>
      <c r="D367" s="111">
        <v>2002.0</v>
      </c>
      <c r="E367" s="111">
        <v>2009.0</v>
      </c>
      <c r="F367" s="111" t="s">
        <v>12418</v>
      </c>
      <c r="G367" s="111" t="s">
        <v>12381</v>
      </c>
      <c r="H367" s="111" t="s">
        <v>12230</v>
      </c>
      <c r="I367" s="111" t="s">
        <v>12287</v>
      </c>
      <c r="J367" s="111"/>
      <c r="K367" s="111" t="s">
        <v>12449</v>
      </c>
      <c r="L367" s="111"/>
      <c r="M367" s="111"/>
      <c r="N367" s="111"/>
      <c r="O367" s="111"/>
      <c r="P367" s="111"/>
      <c r="Q367" s="111"/>
      <c r="R367" s="111"/>
      <c r="S367" s="111"/>
      <c r="T367" s="111"/>
      <c r="U367" s="111"/>
      <c r="V367" s="111"/>
      <c r="W367" s="111"/>
      <c r="X367" s="111">
        <v>1.0</v>
      </c>
      <c r="Y367" s="111">
        <v>1.0</v>
      </c>
      <c r="Z367" s="111"/>
      <c r="AA367" s="124"/>
      <c r="AB367" s="125"/>
      <c r="AC367" s="126"/>
      <c r="AD367" s="125"/>
      <c r="AE367" s="125" t="str">
        <f t="shared" si="46"/>
        <v/>
      </c>
      <c r="AF367" s="127" t="s">
        <v>12922</v>
      </c>
      <c r="AG367" s="127">
        <v>47.056358155419</v>
      </c>
      <c r="AH367" s="127">
        <v>16.3282778207649</v>
      </c>
      <c r="AI367" s="115" t="s">
        <v>12383</v>
      </c>
      <c r="AJ367" s="116">
        <v>0.57</v>
      </c>
      <c r="AK367" s="117"/>
      <c r="AL367" s="117"/>
      <c r="AM367" s="117"/>
      <c r="AN367" s="117"/>
      <c r="AO367" s="117"/>
    </row>
    <row r="368" ht="34.5" customHeight="1">
      <c r="A368" s="111">
        <v>701.0</v>
      </c>
      <c r="B368" s="111" t="s">
        <v>8345</v>
      </c>
      <c r="C368" s="111" t="s">
        <v>8001</v>
      </c>
      <c r="D368" s="111">
        <v>2020.0</v>
      </c>
      <c r="E368" s="111"/>
      <c r="F368" s="111" t="s">
        <v>12385</v>
      </c>
      <c r="G368" s="111" t="s">
        <v>12224</v>
      </c>
      <c r="H368" s="111"/>
      <c r="I368" s="111" t="s">
        <v>12394</v>
      </c>
      <c r="J368" s="111" t="s">
        <v>12291</v>
      </c>
      <c r="K368" s="111" t="s">
        <v>12415</v>
      </c>
      <c r="L368" s="111"/>
      <c r="M368" s="111"/>
      <c r="N368" s="111">
        <v>1.0</v>
      </c>
      <c r="O368" s="111"/>
      <c r="P368" s="111"/>
      <c r="Q368" s="111"/>
      <c r="R368" s="111"/>
      <c r="S368" s="111"/>
      <c r="T368" s="111"/>
      <c r="U368" s="111"/>
      <c r="V368" s="111"/>
      <c r="W368" s="111"/>
      <c r="X368" s="111"/>
      <c r="Y368" s="111"/>
      <c r="Z368" s="111" t="s">
        <v>12923</v>
      </c>
      <c r="AA368" s="129">
        <f>IF(Projects!$AI368="Electrolysis",
AB368*VLOOKUP(G368,ElectrolysisConvF,3,FALSE),
"")</f>
        <v>4.6</v>
      </c>
      <c r="AB368" s="125">
        <v>1000.0</v>
      </c>
      <c r="AC368" s="126">
        <f t="shared" ref="AC368:AC372" si="48">AB368*H2dens*HoursInYear/10^6</f>
        <v>0.77964</v>
      </c>
      <c r="AD368" s="125"/>
      <c r="AE368" s="125">
        <f t="shared" si="46"/>
        <v>1000</v>
      </c>
      <c r="AF368" s="127" t="s">
        <v>12924</v>
      </c>
      <c r="AG368" s="127">
        <v>36.0741638356469</v>
      </c>
      <c r="AH368" s="127">
        <v>103.832438158407</v>
      </c>
      <c r="AI368" s="115" t="s">
        <v>12383</v>
      </c>
      <c r="AJ368" s="116">
        <v>0.3</v>
      </c>
      <c r="AK368" s="117"/>
      <c r="AL368" s="117"/>
      <c r="AM368" s="117"/>
      <c r="AN368" s="117"/>
      <c r="AO368" s="117"/>
    </row>
    <row r="369" ht="34.5" customHeight="1">
      <c r="A369" s="111">
        <v>702.0</v>
      </c>
      <c r="B369" s="111" t="s">
        <v>8346</v>
      </c>
      <c r="C369" s="111" t="s">
        <v>7967</v>
      </c>
      <c r="D369" s="111">
        <v>2025.0</v>
      </c>
      <c r="E369" s="111"/>
      <c r="F369" s="111" t="s">
        <v>12393</v>
      </c>
      <c r="G369" s="111" t="s">
        <v>12381</v>
      </c>
      <c r="H369" s="111" t="s">
        <v>12230</v>
      </c>
      <c r="I369" s="111" t="s">
        <v>12287</v>
      </c>
      <c r="J369" s="111"/>
      <c r="K369" s="111" t="s">
        <v>30</v>
      </c>
      <c r="L369" s="111"/>
      <c r="M369" s="111"/>
      <c r="N369" s="111"/>
      <c r="O369" s="111"/>
      <c r="P369" s="111"/>
      <c r="Q369" s="111">
        <v>1.0</v>
      </c>
      <c r="R369" s="111"/>
      <c r="S369" s="111"/>
      <c r="T369" s="111"/>
      <c r="U369" s="111">
        <v>1.0</v>
      </c>
      <c r="V369" s="111"/>
      <c r="W369" s="111"/>
      <c r="X369" s="111"/>
      <c r="Y369" s="111"/>
      <c r="Z369" s="111" t="s">
        <v>12720</v>
      </c>
      <c r="AA369" s="124">
        <v>2.0</v>
      </c>
      <c r="AB369" s="125">
        <f>IF(Projects!$AI369="Electrolysis",
AA369/VLOOKUP(G369,ElectrolysisConvF,3,FALSE),
AC369*10^6/(H2dens*HoursInYear))</f>
        <v>444.4444444</v>
      </c>
      <c r="AC369" s="126">
        <f t="shared" si="48"/>
        <v>0.3465066667</v>
      </c>
      <c r="AD369" s="125"/>
      <c r="AE369" s="125">
        <f t="shared" si="46"/>
        <v>444.4444444</v>
      </c>
      <c r="AF369" s="127" t="s">
        <v>12925</v>
      </c>
      <c r="AG369" s="127">
        <v>52.1364592390166</v>
      </c>
      <c r="AH369" s="127">
        <v>6.20412925539135</v>
      </c>
      <c r="AI369" s="115" t="s">
        <v>12383</v>
      </c>
      <c r="AJ369" s="116">
        <v>0.57</v>
      </c>
      <c r="AK369" s="117"/>
      <c r="AL369" s="117"/>
      <c r="AM369" s="117"/>
      <c r="AN369" s="117"/>
      <c r="AO369" s="117"/>
    </row>
    <row r="370" ht="34.5" customHeight="1">
      <c r="A370" s="111">
        <v>703.0</v>
      </c>
      <c r="B370" s="111" t="s">
        <v>8347</v>
      </c>
      <c r="C370" s="111" t="s">
        <v>7967</v>
      </c>
      <c r="D370" s="111"/>
      <c r="E370" s="111"/>
      <c r="F370" s="111" t="s">
        <v>12399</v>
      </c>
      <c r="G370" s="111" t="s">
        <v>12381</v>
      </c>
      <c r="H370" s="111" t="s">
        <v>12230</v>
      </c>
      <c r="I370" s="111" t="s">
        <v>12394</v>
      </c>
      <c r="J370" s="111" t="s">
        <v>12295</v>
      </c>
      <c r="K370" s="111" t="s">
        <v>30</v>
      </c>
      <c r="L370" s="111"/>
      <c r="M370" s="111"/>
      <c r="N370" s="111"/>
      <c r="O370" s="111"/>
      <c r="P370" s="111"/>
      <c r="Q370" s="111"/>
      <c r="R370" s="111">
        <v>1.0</v>
      </c>
      <c r="S370" s="111">
        <v>1.0</v>
      </c>
      <c r="T370" s="111"/>
      <c r="U370" s="111">
        <v>1.0</v>
      </c>
      <c r="V370" s="111"/>
      <c r="W370" s="111"/>
      <c r="X370" s="111"/>
      <c r="Y370" s="111"/>
      <c r="Z370" s="111" t="s">
        <v>12926</v>
      </c>
      <c r="AA370" s="124">
        <v>1.0</v>
      </c>
      <c r="AB370" s="125">
        <f>IF(Projects!$AI370="Electrolysis",
AA370/VLOOKUP(G370,ElectrolysisConvF,3,FALSE),
AC370*10^6/(H2dens*HoursInYear))</f>
        <v>222.2222222</v>
      </c>
      <c r="AC370" s="126">
        <f t="shared" si="48"/>
        <v>0.1732533333</v>
      </c>
      <c r="AD370" s="125"/>
      <c r="AE370" s="125">
        <f t="shared" si="46"/>
        <v>222.2222222</v>
      </c>
      <c r="AF370" s="127" t="s">
        <v>12813</v>
      </c>
      <c r="AG370" s="127">
        <v>0.0</v>
      </c>
      <c r="AH370" s="127">
        <v>0.0</v>
      </c>
      <c r="AI370" s="115" t="s">
        <v>12383</v>
      </c>
      <c r="AJ370" s="116">
        <v>0.5</v>
      </c>
      <c r="AK370" s="117"/>
      <c r="AL370" s="117"/>
      <c r="AM370" s="117"/>
      <c r="AN370" s="117"/>
      <c r="AO370" s="117"/>
    </row>
    <row r="371" ht="34.5" customHeight="1">
      <c r="A371" s="111">
        <v>704.0</v>
      </c>
      <c r="B371" s="111" t="s">
        <v>8348</v>
      </c>
      <c r="C371" s="111" t="s">
        <v>8011</v>
      </c>
      <c r="D371" s="111">
        <v>2021.0</v>
      </c>
      <c r="E371" s="111"/>
      <c r="F371" s="111" t="s">
        <v>12385</v>
      </c>
      <c r="G371" s="111" t="s">
        <v>12224</v>
      </c>
      <c r="H371" s="111"/>
      <c r="I371" s="111" t="s">
        <v>12406</v>
      </c>
      <c r="J371" s="111"/>
      <c r="K371" s="111" t="s">
        <v>30</v>
      </c>
      <c r="L371" s="111"/>
      <c r="M371" s="111"/>
      <c r="N371" s="111"/>
      <c r="O371" s="111"/>
      <c r="P371" s="111"/>
      <c r="Q371" s="111">
        <v>1.0</v>
      </c>
      <c r="R371" s="111"/>
      <c r="S371" s="111"/>
      <c r="T371" s="111"/>
      <c r="U371" s="111"/>
      <c r="V371" s="111"/>
      <c r="W371" s="111"/>
      <c r="X371" s="111"/>
      <c r="Y371" s="111"/>
      <c r="Z371" s="111" t="s">
        <v>12500</v>
      </c>
      <c r="AA371" s="124">
        <v>1.0</v>
      </c>
      <c r="AB371" s="125">
        <f>IF(Projects!$AI371="Electrolysis",
AA371/VLOOKUP(G371,ElectrolysisConvF,3,FALSE),
AC371*10^6/(H2dens*HoursInYear))</f>
        <v>217.3913043</v>
      </c>
      <c r="AC371" s="126">
        <f t="shared" si="48"/>
        <v>0.1694869565</v>
      </c>
      <c r="AD371" s="125"/>
      <c r="AE371" s="125">
        <f t="shared" si="46"/>
        <v>217.3913043</v>
      </c>
      <c r="AF371" s="127" t="s">
        <v>12927</v>
      </c>
      <c r="AG371" s="127">
        <v>47.7974450087896</v>
      </c>
      <c r="AH371" s="127">
        <v>3.56626991557318</v>
      </c>
      <c r="AI371" s="115" t="s">
        <v>12383</v>
      </c>
      <c r="AJ371" s="116">
        <v>0.57</v>
      </c>
      <c r="AK371" s="117"/>
      <c r="AL371" s="117"/>
      <c r="AM371" s="117"/>
      <c r="AN371" s="117"/>
      <c r="AO371" s="117"/>
    </row>
    <row r="372" ht="34.5" customHeight="1">
      <c r="A372" s="111">
        <v>705.0</v>
      </c>
      <c r="B372" s="111" t="s">
        <v>8349</v>
      </c>
      <c r="C372" s="111" t="s">
        <v>7987</v>
      </c>
      <c r="D372" s="111"/>
      <c r="E372" s="111"/>
      <c r="F372" s="111" t="s">
        <v>12418</v>
      </c>
      <c r="G372" s="111" t="s">
        <v>12226</v>
      </c>
      <c r="H372" s="111"/>
      <c r="I372" s="111" t="s">
        <v>12287</v>
      </c>
      <c r="J372" s="111"/>
      <c r="K372" s="111" t="s">
        <v>12449</v>
      </c>
      <c r="L372" s="111"/>
      <c r="M372" s="111"/>
      <c r="N372" s="111"/>
      <c r="O372" s="111"/>
      <c r="P372" s="111"/>
      <c r="Q372" s="111"/>
      <c r="R372" s="111"/>
      <c r="S372" s="111"/>
      <c r="T372" s="111"/>
      <c r="U372" s="111"/>
      <c r="V372" s="111"/>
      <c r="W372" s="111"/>
      <c r="X372" s="111">
        <v>1.0</v>
      </c>
      <c r="Y372" s="111"/>
      <c r="Z372" s="111" t="s">
        <v>12908</v>
      </c>
      <c r="AA372" s="124">
        <v>1.0</v>
      </c>
      <c r="AB372" s="125">
        <f>IF(Projects!$AI372="Electrolysis",
AA372/VLOOKUP(G372,ElectrolysisConvF,3,FALSE),
AC372*10^6/(H2dens*HoursInYear))</f>
        <v>192.3076923</v>
      </c>
      <c r="AC372" s="126">
        <f t="shared" si="48"/>
        <v>0.1499307692</v>
      </c>
      <c r="AD372" s="125"/>
      <c r="AE372" s="125">
        <f t="shared" si="46"/>
        <v>192.3076923</v>
      </c>
      <c r="AF372" s="127" t="s">
        <v>12928</v>
      </c>
      <c r="AG372" s="127">
        <v>0.0</v>
      </c>
      <c r="AH372" s="127">
        <v>0.0</v>
      </c>
      <c r="AI372" s="115" t="s">
        <v>12383</v>
      </c>
      <c r="AJ372" s="116">
        <v>0.57</v>
      </c>
      <c r="AK372" s="117"/>
      <c r="AL372" s="117"/>
      <c r="AM372" s="117"/>
      <c r="AN372" s="117"/>
      <c r="AO372" s="117"/>
    </row>
    <row r="373" ht="34.5" customHeight="1">
      <c r="A373" s="111">
        <v>706.0</v>
      </c>
      <c r="B373" s="111" t="s">
        <v>8350</v>
      </c>
      <c r="C373" s="111" t="s">
        <v>7981</v>
      </c>
      <c r="D373" s="111">
        <v>2013.0</v>
      </c>
      <c r="E373" s="111"/>
      <c r="F373" s="111" t="s">
        <v>12385</v>
      </c>
      <c r="G373" s="111" t="s">
        <v>12237</v>
      </c>
      <c r="H373" s="111" t="s">
        <v>12929</v>
      </c>
      <c r="I373" s="111"/>
      <c r="J373" s="111"/>
      <c r="K373" s="111" t="s">
        <v>174</v>
      </c>
      <c r="L373" s="111"/>
      <c r="M373" s="111">
        <v>1.0</v>
      </c>
      <c r="N373" s="111"/>
      <c r="O373" s="111"/>
      <c r="P373" s="111"/>
      <c r="Q373" s="111"/>
      <c r="R373" s="111"/>
      <c r="S373" s="111"/>
      <c r="T373" s="111"/>
      <c r="U373" s="111"/>
      <c r="V373" s="111"/>
      <c r="W373" s="111"/>
      <c r="X373" s="111"/>
      <c r="Y373" s="111"/>
      <c r="Z373" s="111" t="s">
        <v>12930</v>
      </c>
      <c r="AA373" s="124"/>
      <c r="AB373" s="125"/>
      <c r="AC373" s="126"/>
      <c r="AD373" s="125">
        <v>900000.0</v>
      </c>
      <c r="AE373" s="125">
        <f t="shared" ref="AE373:AE375" si="49">IF(AND(G373&lt;&gt;"NG w CCUS",G373&lt;&gt;"Oil w CCUS",G373&lt;&gt;"Coal w CCUS"),AB373,AD373*10^3/(HoursInYear*IF(G373="NG w CCUS",0.9105,1.9075)))</f>
        <v>53860.93108</v>
      </c>
      <c r="AF373" s="127"/>
      <c r="AG373" s="127">
        <v>37.0465568053239</v>
      </c>
      <c r="AH373" s="127">
        <v>-95.6039491508436</v>
      </c>
      <c r="AI373" s="115" t="s">
        <v>12378</v>
      </c>
      <c r="AJ373" s="116">
        <v>0.9</v>
      </c>
      <c r="AK373" s="117"/>
      <c r="AL373" s="117"/>
      <c r="AM373" s="117"/>
      <c r="AN373" s="117"/>
      <c r="AO373" s="117"/>
    </row>
    <row r="374" ht="34.5" customHeight="1">
      <c r="A374" s="111">
        <v>707.0</v>
      </c>
      <c r="B374" s="111" t="s">
        <v>8351</v>
      </c>
      <c r="C374" s="111" t="s">
        <v>7981</v>
      </c>
      <c r="D374" s="111">
        <v>2013.0</v>
      </c>
      <c r="E374" s="111"/>
      <c r="F374" s="111" t="s">
        <v>12385</v>
      </c>
      <c r="G374" s="111" t="s">
        <v>12235</v>
      </c>
      <c r="H374" s="111" t="s">
        <v>12885</v>
      </c>
      <c r="I374" s="111"/>
      <c r="J374" s="111"/>
      <c r="K374" s="111" t="s">
        <v>174</v>
      </c>
      <c r="L374" s="111"/>
      <c r="M374" s="111">
        <v>1.0</v>
      </c>
      <c r="N374" s="111"/>
      <c r="O374" s="111"/>
      <c r="P374" s="111"/>
      <c r="Q374" s="111"/>
      <c r="R374" s="111"/>
      <c r="S374" s="111"/>
      <c r="T374" s="111"/>
      <c r="U374" s="111"/>
      <c r="V374" s="111"/>
      <c r="W374" s="111"/>
      <c r="X374" s="111"/>
      <c r="Y374" s="111"/>
      <c r="Z374" s="111" t="s">
        <v>12931</v>
      </c>
      <c r="AA374" s="124"/>
      <c r="AB374" s="125"/>
      <c r="AC374" s="126"/>
      <c r="AD374" s="125">
        <v>250000.0</v>
      </c>
      <c r="AE374" s="125">
        <f t="shared" si="49"/>
        <v>31344.11069</v>
      </c>
      <c r="AF374" s="127"/>
      <c r="AG374" s="127">
        <v>30.1841001998811</v>
      </c>
      <c r="AH374" s="127">
        <v>-91.0038377156157</v>
      </c>
      <c r="AI374" s="115" t="s">
        <v>12378</v>
      </c>
      <c r="AJ374" s="116">
        <v>0.9</v>
      </c>
      <c r="AK374" s="117"/>
      <c r="AL374" s="117"/>
      <c r="AM374" s="117"/>
      <c r="AN374" s="117"/>
      <c r="AO374" s="117"/>
    </row>
    <row r="375" ht="34.5" customHeight="1">
      <c r="A375" s="111">
        <v>708.0</v>
      </c>
      <c r="B375" s="111" t="s">
        <v>8352</v>
      </c>
      <c r="C375" s="111" t="s">
        <v>7981</v>
      </c>
      <c r="D375" s="111">
        <v>2013.0</v>
      </c>
      <c r="E375" s="111"/>
      <c r="F375" s="111" t="s">
        <v>12385</v>
      </c>
      <c r="G375" s="111" t="s">
        <v>12235</v>
      </c>
      <c r="H375" s="111" t="s">
        <v>12885</v>
      </c>
      <c r="I375" s="111"/>
      <c r="J375" s="111"/>
      <c r="K375" s="111" t="s">
        <v>30</v>
      </c>
      <c r="L375" s="111">
        <v>1.0</v>
      </c>
      <c r="M375" s="111"/>
      <c r="N375" s="111"/>
      <c r="O375" s="111"/>
      <c r="P375" s="111"/>
      <c r="Q375" s="111"/>
      <c r="R375" s="111"/>
      <c r="S375" s="111"/>
      <c r="T375" s="111"/>
      <c r="U375" s="111"/>
      <c r="V375" s="111"/>
      <c r="W375" s="111"/>
      <c r="X375" s="111"/>
      <c r="Y375" s="111"/>
      <c r="Z375" s="111" t="s">
        <v>12932</v>
      </c>
      <c r="AA375" s="124"/>
      <c r="AB375" s="125">
        <v>151000.0</v>
      </c>
      <c r="AC375" s="126">
        <f t="shared" ref="AC375:AC377" si="50">AB375*H2dens*HoursInYear/10^6</f>
        <v>117.72564</v>
      </c>
      <c r="AD375" s="125">
        <v>900000.0</v>
      </c>
      <c r="AE375" s="125">
        <f t="shared" si="49"/>
        <v>112838.7985</v>
      </c>
      <c r="AF375" s="127" t="s">
        <v>12933</v>
      </c>
      <c r="AG375" s="127">
        <v>29.8873277421304</v>
      </c>
      <c r="AH375" s="127">
        <v>-93.9293505280567</v>
      </c>
      <c r="AI375" s="115" t="s">
        <v>12378</v>
      </c>
      <c r="AJ375" s="116">
        <v>0.9</v>
      </c>
      <c r="AK375" s="117"/>
      <c r="AL375" s="117"/>
      <c r="AM375" s="117"/>
      <c r="AN375" s="117"/>
      <c r="AO375" s="117"/>
    </row>
    <row r="376" ht="34.5" customHeight="1">
      <c r="A376" s="111">
        <v>709.0</v>
      </c>
      <c r="B376" s="111" t="s">
        <v>8353</v>
      </c>
      <c r="C376" s="111" t="s">
        <v>8108</v>
      </c>
      <c r="D376" s="111">
        <v>2015.0</v>
      </c>
      <c r="E376" s="111"/>
      <c r="F376" s="111" t="s">
        <v>12418</v>
      </c>
      <c r="G376" s="111" t="s">
        <v>12239</v>
      </c>
      <c r="H376" s="111" t="s">
        <v>12934</v>
      </c>
      <c r="I376" s="111"/>
      <c r="J376" s="111"/>
      <c r="K376" s="111" t="s">
        <v>30</v>
      </c>
      <c r="L376" s="111"/>
      <c r="M376" s="111"/>
      <c r="N376" s="111"/>
      <c r="O376" s="111"/>
      <c r="P376" s="111"/>
      <c r="Q376" s="111"/>
      <c r="R376" s="111"/>
      <c r="S376" s="111"/>
      <c r="T376" s="111"/>
      <c r="U376" s="111"/>
      <c r="V376" s="111"/>
      <c r="W376" s="111"/>
      <c r="X376" s="111"/>
      <c r="Y376" s="111"/>
      <c r="Z376" s="111" t="s">
        <v>12935</v>
      </c>
      <c r="AA376" s="124"/>
      <c r="AB376" s="125">
        <v>12.0</v>
      </c>
      <c r="AC376" s="126">
        <f t="shared" si="50"/>
        <v>0.00935568</v>
      </c>
      <c r="AD376" s="125"/>
      <c r="AE376" s="125">
        <f>AB376</f>
        <v>12</v>
      </c>
      <c r="AF376" s="127" t="s">
        <v>12936</v>
      </c>
      <c r="AG376" s="127">
        <v>13.0896116248614</v>
      </c>
      <c r="AH376" s="127">
        <v>80.2316563509909</v>
      </c>
      <c r="AI376" s="115" t="s">
        <v>12241</v>
      </c>
      <c r="AJ376" s="116">
        <v>0.9</v>
      </c>
      <c r="AK376" s="117"/>
      <c r="AL376" s="117"/>
      <c r="AM376" s="117"/>
      <c r="AN376" s="117"/>
      <c r="AO376" s="117"/>
    </row>
    <row r="377" ht="34.5" customHeight="1">
      <c r="A377" s="111">
        <v>710.0</v>
      </c>
      <c r="B377" s="111" t="s">
        <v>8354</v>
      </c>
      <c r="C377" s="111" t="s">
        <v>8011</v>
      </c>
      <c r="D377" s="111">
        <v>2015.0</v>
      </c>
      <c r="E377" s="111"/>
      <c r="F377" s="111" t="s">
        <v>12385</v>
      </c>
      <c r="G377" s="111" t="s">
        <v>12235</v>
      </c>
      <c r="H377" s="111" t="s">
        <v>12885</v>
      </c>
      <c r="I377" s="111"/>
      <c r="J377" s="111"/>
      <c r="K377" s="111" t="s">
        <v>30</v>
      </c>
      <c r="L377" s="111">
        <v>1.0</v>
      </c>
      <c r="M377" s="111"/>
      <c r="N377" s="111"/>
      <c r="O377" s="111"/>
      <c r="P377" s="111"/>
      <c r="Q377" s="111"/>
      <c r="R377" s="111"/>
      <c r="S377" s="111"/>
      <c r="T377" s="111"/>
      <c r="U377" s="111"/>
      <c r="V377" s="111"/>
      <c r="W377" s="111"/>
      <c r="X377" s="111"/>
      <c r="Y377" s="111"/>
      <c r="Z377" s="111" t="s">
        <v>12937</v>
      </c>
      <c r="AA377" s="124"/>
      <c r="AB377" s="125">
        <f>4500/0.09</f>
        <v>50000</v>
      </c>
      <c r="AC377" s="126">
        <f t="shared" si="50"/>
        <v>38.982</v>
      </c>
      <c r="AD377" s="125">
        <v>100000.0</v>
      </c>
      <c r="AE377" s="125">
        <f t="shared" ref="AE377:AE378" si="51">IF(AND(G377&lt;&gt;"NG w CCUS",G377&lt;&gt;"Oil w CCUS",G377&lt;&gt;"Coal w CCUS"),AB377,AD377*10^3/(HoursInYear*IF(G377="NG w CCUS",0.9105,1.9075)))</f>
        <v>12537.64428</v>
      </c>
      <c r="AF377" s="127" t="s">
        <v>12938</v>
      </c>
      <c r="AG377" s="127">
        <v>49.4837896260745</v>
      </c>
      <c r="AH377" s="127">
        <v>0.548355830337739</v>
      </c>
      <c r="AI377" s="115" t="s">
        <v>12378</v>
      </c>
      <c r="AJ377" s="116">
        <v>0.9</v>
      </c>
      <c r="AK377" s="117"/>
      <c r="AL377" s="117"/>
      <c r="AM377" s="117"/>
      <c r="AN377" s="117"/>
      <c r="AO377" s="117"/>
    </row>
    <row r="378" ht="34.5" customHeight="1">
      <c r="A378" s="111">
        <v>711.0</v>
      </c>
      <c r="B378" s="111" t="s">
        <v>8355</v>
      </c>
      <c r="C378" s="111" t="s">
        <v>8003</v>
      </c>
      <c r="D378" s="111">
        <v>2015.0</v>
      </c>
      <c r="E378" s="111"/>
      <c r="F378" s="111" t="s">
        <v>12385</v>
      </c>
      <c r="G378" s="111" t="s">
        <v>12235</v>
      </c>
      <c r="H378" s="111" t="s">
        <v>12885</v>
      </c>
      <c r="I378" s="111"/>
      <c r="J378" s="111"/>
      <c r="K378" s="111" t="s">
        <v>30</v>
      </c>
      <c r="L378" s="111">
        <v>1.0</v>
      </c>
      <c r="M378" s="111"/>
      <c r="N378" s="111"/>
      <c r="O378" s="111"/>
      <c r="P378" s="111"/>
      <c r="Q378" s="111"/>
      <c r="R378" s="111"/>
      <c r="S378" s="111"/>
      <c r="T378" s="111"/>
      <c r="U378" s="111"/>
      <c r="V378" s="111"/>
      <c r="W378" s="111"/>
      <c r="X378" s="111"/>
      <c r="Y378" s="111"/>
      <c r="Z378" s="111" t="s">
        <v>12939</v>
      </c>
      <c r="AA378" s="124"/>
      <c r="AB378" s="125"/>
      <c r="AC378" s="126">
        <v>300.0</v>
      </c>
      <c r="AD378" s="125">
        <v>1100000.0</v>
      </c>
      <c r="AE378" s="125">
        <f t="shared" si="51"/>
        <v>137914.087</v>
      </c>
      <c r="AF378" s="127" t="s">
        <v>12940</v>
      </c>
      <c r="AG378" s="127">
        <v>53.7965498006062</v>
      </c>
      <c r="AH378" s="127">
        <v>-113.091752286177</v>
      </c>
      <c r="AI378" s="115" t="s">
        <v>12378</v>
      </c>
      <c r="AJ378" s="116">
        <v>0.9</v>
      </c>
      <c r="AK378" s="117"/>
      <c r="AL378" s="117"/>
      <c r="AM378" s="117"/>
      <c r="AN378" s="117"/>
      <c r="AO378" s="117"/>
    </row>
    <row r="379" ht="34.5" customHeight="1">
      <c r="A379" s="111">
        <v>712.0</v>
      </c>
      <c r="B379" s="111" t="s">
        <v>8356</v>
      </c>
      <c r="C379" s="111" t="s">
        <v>8011</v>
      </c>
      <c r="D379" s="111">
        <v>2016.0</v>
      </c>
      <c r="E379" s="111"/>
      <c r="F379" s="111" t="s">
        <v>12418</v>
      </c>
      <c r="G379" s="111" t="s">
        <v>12381</v>
      </c>
      <c r="H379" s="111" t="s">
        <v>12230</v>
      </c>
      <c r="I379" s="111" t="s">
        <v>12287</v>
      </c>
      <c r="J379" s="111"/>
      <c r="K379" s="111" t="s">
        <v>12449</v>
      </c>
      <c r="L379" s="111"/>
      <c r="M379" s="111"/>
      <c r="N379" s="111"/>
      <c r="O379" s="111"/>
      <c r="P379" s="111"/>
      <c r="Q379" s="111"/>
      <c r="R379" s="111"/>
      <c r="S379" s="111"/>
      <c r="T379" s="111"/>
      <c r="U379" s="111"/>
      <c r="V379" s="111"/>
      <c r="W379" s="111"/>
      <c r="X379" s="111">
        <v>1.0</v>
      </c>
      <c r="Y379" s="111">
        <v>1.0</v>
      </c>
      <c r="Z379" s="111"/>
      <c r="AA379" s="124"/>
      <c r="AB379" s="125"/>
      <c r="AC379" s="126"/>
      <c r="AD379" s="125"/>
      <c r="AE379" s="125" t="str">
        <f t="shared" ref="AE379:AE384" si="52">AB379</f>
        <v/>
      </c>
      <c r="AF379" s="127" t="s">
        <v>12941</v>
      </c>
      <c r="AG379" s="127">
        <v>0.0</v>
      </c>
      <c r="AH379" s="127">
        <v>0.0</v>
      </c>
      <c r="AI379" s="115" t="s">
        <v>12383</v>
      </c>
      <c r="AJ379" s="116">
        <v>0.57</v>
      </c>
      <c r="AK379" s="117"/>
      <c r="AL379" s="117"/>
      <c r="AM379" s="117"/>
      <c r="AN379" s="117"/>
      <c r="AO379" s="117"/>
    </row>
    <row r="380" ht="34.5" customHeight="1">
      <c r="A380" s="111">
        <v>713.0</v>
      </c>
      <c r="B380" s="111" t="s">
        <v>8357</v>
      </c>
      <c r="C380" s="111" t="s">
        <v>7987</v>
      </c>
      <c r="D380" s="111">
        <v>2016.0</v>
      </c>
      <c r="E380" s="111"/>
      <c r="F380" s="111" t="s">
        <v>12418</v>
      </c>
      <c r="G380" s="111" t="s">
        <v>12226</v>
      </c>
      <c r="H380" s="111"/>
      <c r="I380" s="111" t="s">
        <v>12287</v>
      </c>
      <c r="J380" s="111"/>
      <c r="K380" s="111" t="s">
        <v>30</v>
      </c>
      <c r="L380" s="111"/>
      <c r="M380" s="111"/>
      <c r="N380" s="111"/>
      <c r="O380" s="111"/>
      <c r="P380" s="111"/>
      <c r="Q380" s="111">
        <v>1.0</v>
      </c>
      <c r="R380" s="111">
        <v>1.0</v>
      </c>
      <c r="S380" s="111"/>
      <c r="T380" s="111">
        <v>1.0</v>
      </c>
      <c r="U380" s="111"/>
      <c r="V380" s="111"/>
      <c r="W380" s="111"/>
      <c r="X380" s="111"/>
      <c r="Y380" s="111"/>
      <c r="Z380" s="111"/>
      <c r="AA380" s="124"/>
      <c r="AB380" s="125"/>
      <c r="AC380" s="126"/>
      <c r="AD380" s="125"/>
      <c r="AE380" s="125" t="str">
        <f t="shared" si="52"/>
        <v/>
      </c>
      <c r="AF380" s="127" t="s">
        <v>12942</v>
      </c>
      <c r="AG380" s="127">
        <v>0.0</v>
      </c>
      <c r="AH380" s="127">
        <v>0.0</v>
      </c>
      <c r="AI380" s="115" t="s">
        <v>12383</v>
      </c>
      <c r="AJ380" s="116">
        <v>0.57</v>
      </c>
      <c r="AK380" s="117"/>
      <c r="AL380" s="117"/>
      <c r="AM380" s="117"/>
      <c r="AN380" s="117"/>
      <c r="AO380" s="117"/>
    </row>
    <row r="381" ht="34.5" customHeight="1">
      <c r="A381" s="111">
        <v>714.0</v>
      </c>
      <c r="B381" s="111" t="s">
        <v>8358</v>
      </c>
      <c r="C381" s="111" t="s">
        <v>8011</v>
      </c>
      <c r="D381" s="111">
        <v>2018.0</v>
      </c>
      <c r="E381" s="111"/>
      <c r="F381" s="111" t="s">
        <v>12418</v>
      </c>
      <c r="G381" s="111" t="s">
        <v>12228</v>
      </c>
      <c r="H381" s="111"/>
      <c r="I381" s="111" t="s">
        <v>12287</v>
      </c>
      <c r="J381" s="111"/>
      <c r="K381" s="111" t="s">
        <v>12449</v>
      </c>
      <c r="L381" s="111"/>
      <c r="M381" s="111"/>
      <c r="N381" s="111"/>
      <c r="O381" s="111"/>
      <c r="P381" s="111"/>
      <c r="Q381" s="111"/>
      <c r="R381" s="111"/>
      <c r="S381" s="111"/>
      <c r="T381" s="111"/>
      <c r="U381" s="111"/>
      <c r="V381" s="111"/>
      <c r="W381" s="111"/>
      <c r="X381" s="111">
        <v>1.0</v>
      </c>
      <c r="Y381" s="111">
        <v>1.0</v>
      </c>
      <c r="Z381" s="111" t="s">
        <v>12675</v>
      </c>
      <c r="AA381" s="124">
        <v>0.12</v>
      </c>
      <c r="AB381" s="125">
        <f>IF(Projects!$AI381="Electrolysis",
AA381/VLOOKUP(G381,ElectrolysisConvF,3,FALSE),
AC381*10^6/(H2dens*HoursInYear))</f>
        <v>31.57894737</v>
      </c>
      <c r="AC381" s="126">
        <f t="shared" ref="AC381:AC384" si="53">AB381*H2dens*HoursInYear/10^6</f>
        <v>0.02462021053</v>
      </c>
      <c r="AD381" s="125"/>
      <c r="AE381" s="125">
        <f t="shared" si="52"/>
        <v>31.57894737</v>
      </c>
      <c r="AF381" s="127" t="s">
        <v>12943</v>
      </c>
      <c r="AG381" s="127">
        <v>47.2197851475973</v>
      </c>
      <c r="AH381" s="127">
        <v>-1.56754856830343</v>
      </c>
      <c r="AI381" s="115" t="s">
        <v>12383</v>
      </c>
      <c r="AJ381" s="116">
        <v>0.57</v>
      </c>
      <c r="AK381" s="117"/>
      <c r="AL381" s="117"/>
      <c r="AM381" s="117"/>
      <c r="AN381" s="117"/>
      <c r="AO381" s="117"/>
    </row>
    <row r="382" ht="34.5" customHeight="1">
      <c r="A382" s="139">
        <v>716.0</v>
      </c>
      <c r="B382" s="139" t="s">
        <v>8359</v>
      </c>
      <c r="C382" s="139" t="s">
        <v>7987</v>
      </c>
      <c r="D382" s="139">
        <v>2019.0</v>
      </c>
      <c r="E382" s="139"/>
      <c r="F382" s="139" t="s">
        <v>12385</v>
      </c>
      <c r="G382" s="139" t="s">
        <v>12381</v>
      </c>
      <c r="H382" s="139" t="s">
        <v>12944</v>
      </c>
      <c r="I382" s="139" t="s">
        <v>12287</v>
      </c>
      <c r="J382" s="139" t="s">
        <v>12296</v>
      </c>
      <c r="K382" s="139" t="s">
        <v>30</v>
      </c>
      <c r="L382" s="139"/>
      <c r="M382" s="139"/>
      <c r="N382" s="139"/>
      <c r="O382" s="139"/>
      <c r="P382" s="139">
        <v>1.0</v>
      </c>
      <c r="Q382" s="139">
        <v>1.0</v>
      </c>
      <c r="R382" s="139">
        <v>1.0</v>
      </c>
      <c r="S382" s="139">
        <v>1.0</v>
      </c>
      <c r="T382" s="139"/>
      <c r="U382" s="139"/>
      <c r="V382" s="139"/>
      <c r="W382" s="139"/>
      <c r="X382" s="139"/>
      <c r="Y382" s="139"/>
      <c r="Z382" s="139" t="s">
        <v>12945</v>
      </c>
      <c r="AA382" s="140">
        <v>1.3</v>
      </c>
      <c r="AB382" s="140">
        <f>IF(Projects!$AI382="Electrolysis",
AA382/VLOOKUP(G382,ElectrolysisConvF,3,FALSE),
AC382*10^6/(H2dens*HoursInYear))</f>
        <v>288.8888889</v>
      </c>
      <c r="AC382" s="141">
        <f t="shared" si="53"/>
        <v>0.2252293333</v>
      </c>
      <c r="AD382" s="142"/>
      <c r="AE382" s="142">
        <f t="shared" si="52"/>
        <v>288.8888889</v>
      </c>
      <c r="AF382" s="143" t="s">
        <v>12946</v>
      </c>
      <c r="AG382" s="143">
        <v>51.2973442363618</v>
      </c>
      <c r="AH382" s="143">
        <v>11.9973813222433</v>
      </c>
      <c r="AI382" s="115" t="s">
        <v>12383</v>
      </c>
      <c r="AJ382" s="116">
        <v>0.57</v>
      </c>
      <c r="AK382" s="117"/>
      <c r="AL382" s="117"/>
      <c r="AM382" s="117"/>
      <c r="AN382" s="117"/>
      <c r="AO382" s="117"/>
    </row>
    <row r="383" ht="34.5" customHeight="1">
      <c r="A383" s="111">
        <v>718.0</v>
      </c>
      <c r="B383" s="111" t="s">
        <v>8360</v>
      </c>
      <c r="C383" s="111" t="s">
        <v>8003</v>
      </c>
      <c r="D383" s="111">
        <v>2020.0</v>
      </c>
      <c r="E383" s="111"/>
      <c r="F383" s="111" t="s">
        <v>12385</v>
      </c>
      <c r="G383" s="111" t="s">
        <v>12226</v>
      </c>
      <c r="H383" s="111"/>
      <c r="I383" s="111" t="s">
        <v>12394</v>
      </c>
      <c r="J383" s="111" t="s">
        <v>12294</v>
      </c>
      <c r="K383" s="111" t="s">
        <v>30</v>
      </c>
      <c r="L383" s="111"/>
      <c r="M383" s="111"/>
      <c r="N383" s="111"/>
      <c r="O383" s="111"/>
      <c r="P383" s="111">
        <v>1.0</v>
      </c>
      <c r="Q383" s="111">
        <v>1.0</v>
      </c>
      <c r="R383" s="111"/>
      <c r="S383" s="111"/>
      <c r="T383" s="111"/>
      <c r="U383" s="111"/>
      <c r="V383" s="111"/>
      <c r="W383" s="111"/>
      <c r="X383" s="111"/>
      <c r="Y383" s="111"/>
      <c r="Z383" s="111" t="s">
        <v>12947</v>
      </c>
      <c r="AA383" s="124">
        <v>20.0</v>
      </c>
      <c r="AB383" s="125">
        <f>IF(Projects!$AI383="Electrolysis",
AA383/VLOOKUP(G383,ElectrolysisConvF,3,FALSE),
AC383*10^6/(H2dens*HoursInYear))</f>
        <v>3846.153846</v>
      </c>
      <c r="AC383" s="126">
        <f t="shared" si="53"/>
        <v>2.998615385</v>
      </c>
      <c r="AD383" s="125"/>
      <c r="AE383" s="125">
        <f t="shared" si="52"/>
        <v>3846.153846</v>
      </c>
      <c r="AF383" s="127" t="s">
        <v>12948</v>
      </c>
      <c r="AG383" s="127">
        <v>46.3821767043506</v>
      </c>
      <c r="AH383" s="127">
        <v>-72.3726427258136</v>
      </c>
      <c r="AI383" s="115" t="s">
        <v>12383</v>
      </c>
      <c r="AJ383" s="116">
        <v>0.8</v>
      </c>
      <c r="AK383" s="117"/>
      <c r="AL383" s="117"/>
      <c r="AM383" s="117"/>
      <c r="AN383" s="117"/>
      <c r="AO383" s="117"/>
    </row>
    <row r="384" ht="34.5" customHeight="1">
      <c r="A384" s="111">
        <v>719.0</v>
      </c>
      <c r="B384" s="111" t="s">
        <v>8361</v>
      </c>
      <c r="C384" s="111" t="s">
        <v>8001</v>
      </c>
      <c r="D384" s="111">
        <v>2021.0</v>
      </c>
      <c r="E384" s="111"/>
      <c r="F384" s="111" t="s">
        <v>12385</v>
      </c>
      <c r="G384" s="111" t="s">
        <v>12224</v>
      </c>
      <c r="H384" s="111"/>
      <c r="I384" s="111" t="s">
        <v>12394</v>
      </c>
      <c r="J384" s="111" t="s">
        <v>12292</v>
      </c>
      <c r="K384" s="111" t="s">
        <v>30</v>
      </c>
      <c r="L384" s="111"/>
      <c r="M384" s="111"/>
      <c r="N384" s="111"/>
      <c r="O384" s="111"/>
      <c r="P384" s="111">
        <v>1.0</v>
      </c>
      <c r="Q384" s="111">
        <v>1.0</v>
      </c>
      <c r="R384" s="111"/>
      <c r="S384" s="111"/>
      <c r="T384" s="111"/>
      <c r="U384" s="111"/>
      <c r="V384" s="111"/>
      <c r="W384" s="111"/>
      <c r="X384" s="111"/>
      <c r="Y384" s="111"/>
      <c r="Z384" s="111" t="s">
        <v>12703</v>
      </c>
      <c r="AA384" s="124">
        <v>6.0</v>
      </c>
      <c r="AB384" s="125">
        <f>IF(Projects!$AI384="Electrolysis",
AA384/VLOOKUP(G384,ElectrolysisConvF,3,FALSE),
AC384*10^6/(H2dens*HoursInYear))</f>
        <v>1304.347826</v>
      </c>
      <c r="AC384" s="126">
        <f t="shared" si="53"/>
        <v>1.016921739</v>
      </c>
      <c r="AD384" s="125"/>
      <c r="AE384" s="125">
        <f t="shared" si="52"/>
        <v>1304.347826</v>
      </c>
      <c r="AF384" s="127" t="s">
        <v>12949</v>
      </c>
      <c r="AG384" s="127">
        <v>41.5608929670979</v>
      </c>
      <c r="AH384" s="127">
        <v>115.733107055152</v>
      </c>
      <c r="AI384" s="115" t="s">
        <v>12383</v>
      </c>
      <c r="AJ384" s="116">
        <v>0.4</v>
      </c>
      <c r="AK384" s="117"/>
      <c r="AL384" s="117"/>
      <c r="AM384" s="117"/>
      <c r="AN384" s="117"/>
      <c r="AO384" s="117"/>
    </row>
    <row r="385" ht="34.5" customHeight="1">
      <c r="A385" s="111">
        <v>720.0</v>
      </c>
      <c r="B385" s="111" t="s">
        <v>8362</v>
      </c>
      <c r="C385" s="111" t="s">
        <v>8003</v>
      </c>
      <c r="D385" s="111">
        <v>2025.0</v>
      </c>
      <c r="E385" s="111"/>
      <c r="F385" s="111" t="s">
        <v>12393</v>
      </c>
      <c r="G385" s="111" t="s">
        <v>12235</v>
      </c>
      <c r="H385" s="111" t="s">
        <v>12529</v>
      </c>
      <c r="I385" s="111"/>
      <c r="J385" s="111"/>
      <c r="K385" s="111" t="s">
        <v>30</v>
      </c>
      <c r="L385" s="111">
        <v>1.0</v>
      </c>
      <c r="M385" s="111"/>
      <c r="N385" s="111"/>
      <c r="O385" s="111"/>
      <c r="P385" s="111">
        <v>1.0</v>
      </c>
      <c r="Q385" s="111">
        <v>1.0</v>
      </c>
      <c r="R385" s="111">
        <v>1.0</v>
      </c>
      <c r="S385" s="111"/>
      <c r="T385" s="111"/>
      <c r="U385" s="111"/>
      <c r="V385" s="111"/>
      <c r="W385" s="111"/>
      <c r="X385" s="111"/>
      <c r="Y385" s="111"/>
      <c r="Z385" s="111" t="s">
        <v>12950</v>
      </c>
      <c r="AA385" s="124"/>
      <c r="AB385" s="125">
        <f>AC385/(0.089*24*365/10^6)</f>
        <v>179570.058</v>
      </c>
      <c r="AC385" s="126">
        <f>140</f>
        <v>140</v>
      </c>
      <c r="AD385" s="125">
        <v>770000.0</v>
      </c>
      <c r="AE385" s="125">
        <f>IF(AND(G385&lt;&gt;"NG w CCUS",G385&lt;&gt;"Oil w CCUS",G385&lt;&gt;"Coal w CCUS"),AB385,AD385*10^3/(HoursInYear*IF(G385="NG w CCUS",0.9105,1.9075)))</f>
        <v>96539.86093</v>
      </c>
      <c r="AF385" s="127" t="s">
        <v>12951</v>
      </c>
      <c r="AG385" s="127">
        <v>53.6029405759998</v>
      </c>
      <c r="AH385" s="127">
        <v>-113.278503876637</v>
      </c>
      <c r="AI385" s="115" t="s">
        <v>12378</v>
      </c>
      <c r="AJ385" s="116">
        <v>0.9</v>
      </c>
      <c r="AK385" s="117"/>
      <c r="AL385" s="117"/>
      <c r="AM385" s="117"/>
      <c r="AN385" s="117"/>
      <c r="AO385" s="117"/>
    </row>
    <row r="386" ht="34.5" customHeight="1">
      <c r="A386" s="111">
        <v>721.0</v>
      </c>
      <c r="B386" s="111" t="s">
        <v>8363</v>
      </c>
      <c r="C386" s="111" t="s">
        <v>8001</v>
      </c>
      <c r="D386" s="111">
        <v>2020.0</v>
      </c>
      <c r="E386" s="111"/>
      <c r="F386" s="111" t="s">
        <v>12385</v>
      </c>
      <c r="G386" s="111" t="s">
        <v>12224</v>
      </c>
      <c r="H386" s="111"/>
      <c r="I386" s="111" t="s">
        <v>12394</v>
      </c>
      <c r="J386" s="111" t="s">
        <v>12292</v>
      </c>
      <c r="K386" s="111" t="s">
        <v>30</v>
      </c>
      <c r="L386" s="111"/>
      <c r="M386" s="111"/>
      <c r="N386" s="111"/>
      <c r="O386" s="111"/>
      <c r="P386" s="111">
        <v>1.0</v>
      </c>
      <c r="Q386" s="111">
        <v>1.0</v>
      </c>
      <c r="R386" s="111"/>
      <c r="S386" s="111"/>
      <c r="T386" s="111"/>
      <c r="U386" s="111"/>
      <c r="V386" s="111"/>
      <c r="W386" s="111"/>
      <c r="X386" s="111"/>
      <c r="Y386" s="111"/>
      <c r="Z386" s="111" t="s">
        <v>12952</v>
      </c>
      <c r="AA386" s="129">
        <f>IF(Projects!$AI386="Electrolysis",
AB386*VLOOKUP(G386,ElectrolysisConvF,3,FALSE),
"")</f>
        <v>9.260299625</v>
      </c>
      <c r="AB386" s="125">
        <f>AC386/(H2dens*HoursInYear/10^6)</f>
        <v>2013.108614</v>
      </c>
      <c r="AC386" s="126">
        <f>4.3*0.365</f>
        <v>1.5695</v>
      </c>
      <c r="AD386" s="125"/>
      <c r="AE386" s="125">
        <f t="shared" ref="AE386:AE388" si="54">AB386</f>
        <v>2013.108614</v>
      </c>
      <c r="AF386" s="127" t="s">
        <v>12953</v>
      </c>
      <c r="AG386" s="127">
        <v>40.81</v>
      </c>
      <c r="AH386" s="127">
        <v>114.87944</v>
      </c>
      <c r="AI386" s="115" t="s">
        <v>12383</v>
      </c>
      <c r="AJ386" s="116">
        <v>0.4</v>
      </c>
      <c r="AK386" s="117"/>
      <c r="AL386" s="117"/>
      <c r="AM386" s="117"/>
      <c r="AN386" s="117"/>
      <c r="AO386" s="117"/>
    </row>
    <row r="387" ht="34.5" customHeight="1">
      <c r="A387" s="111">
        <v>725.0</v>
      </c>
      <c r="B387" s="111" t="s">
        <v>216</v>
      </c>
      <c r="C387" s="111" t="s">
        <v>7999</v>
      </c>
      <c r="D387" s="111">
        <v>2022.0</v>
      </c>
      <c r="E387" s="111"/>
      <c r="F387" s="111" t="s">
        <v>12385</v>
      </c>
      <c r="G387" s="111" t="s">
        <v>12224</v>
      </c>
      <c r="H387" s="111"/>
      <c r="I387" s="111" t="s">
        <v>12406</v>
      </c>
      <c r="J387" s="111"/>
      <c r="K387" s="111" t="s">
        <v>30</v>
      </c>
      <c r="L387" s="111"/>
      <c r="M387" s="111"/>
      <c r="N387" s="111"/>
      <c r="O387" s="111"/>
      <c r="P387" s="111">
        <v>1.0</v>
      </c>
      <c r="Q387" s="111">
        <v>1.0</v>
      </c>
      <c r="R387" s="111"/>
      <c r="S387" s="111"/>
      <c r="T387" s="111"/>
      <c r="U387" s="111"/>
      <c r="V387" s="111"/>
      <c r="W387" s="111"/>
      <c r="X387" s="111"/>
      <c r="Y387" s="111"/>
      <c r="Z387" s="111" t="s">
        <v>12954</v>
      </c>
      <c r="AA387" s="124">
        <v>3.1</v>
      </c>
      <c r="AB387" s="125">
        <f>IF(Projects!$AI387="Electrolysis",
AA387/VLOOKUP(G387,ElectrolysisConvF,3,FALSE),
AC387*10^6/(H2dens*HoursInYear))</f>
        <v>673.9130435</v>
      </c>
      <c r="AC387" s="126">
        <f t="shared" ref="AC387:AC398" si="55">AB387*H2dens*HoursInYear/10^6</f>
        <v>0.5254095652</v>
      </c>
      <c r="AD387" s="125"/>
      <c r="AE387" s="125">
        <f t="shared" si="54"/>
        <v>673.9130435</v>
      </c>
      <c r="AF387" s="127" t="s">
        <v>12955</v>
      </c>
      <c r="AG387" s="127">
        <v>47.2523183694212</v>
      </c>
      <c r="AH387" s="127">
        <v>11.328082857711</v>
      </c>
      <c r="AI387" s="115" t="s">
        <v>12383</v>
      </c>
      <c r="AJ387" s="116">
        <v>0.57</v>
      </c>
      <c r="AK387" s="117"/>
      <c r="AL387" s="117"/>
      <c r="AM387" s="117"/>
      <c r="AN387" s="117"/>
      <c r="AO387" s="117"/>
    </row>
    <row r="388" ht="34.5" customHeight="1">
      <c r="A388" s="111">
        <v>726.0</v>
      </c>
      <c r="B388" s="111" t="s">
        <v>8364</v>
      </c>
      <c r="C388" s="111" t="s">
        <v>8365</v>
      </c>
      <c r="D388" s="111">
        <v>2022.0</v>
      </c>
      <c r="E388" s="111"/>
      <c r="F388" s="111" t="s">
        <v>12385</v>
      </c>
      <c r="G388" s="111" t="s">
        <v>12224</v>
      </c>
      <c r="H388" s="111"/>
      <c r="I388" s="111" t="s">
        <v>12759</v>
      </c>
      <c r="J388" s="111" t="s">
        <v>12295</v>
      </c>
      <c r="K388" s="111" t="s">
        <v>30</v>
      </c>
      <c r="L388" s="111"/>
      <c r="M388" s="111"/>
      <c r="N388" s="111"/>
      <c r="O388" s="111"/>
      <c r="P388" s="111"/>
      <c r="Q388" s="111">
        <v>1.0</v>
      </c>
      <c r="R388" s="111"/>
      <c r="S388" s="111"/>
      <c r="T388" s="111"/>
      <c r="U388" s="111"/>
      <c r="V388" s="111"/>
      <c r="W388" s="111"/>
      <c r="X388" s="111"/>
      <c r="Y388" s="111"/>
      <c r="Z388" s="111" t="s">
        <v>12956</v>
      </c>
      <c r="AA388" s="124">
        <v>3.5</v>
      </c>
      <c r="AB388" s="125">
        <f>IF(Projects!$AI388="Electrolysis",
AA388/VLOOKUP(G388,ElectrolysisConvF,3,FALSE),
AC388*10^6/(H2dens*HoursInYear))</f>
        <v>760.8695652</v>
      </c>
      <c r="AC388" s="126">
        <f t="shared" si="55"/>
        <v>0.5932043478</v>
      </c>
      <c r="AD388" s="125"/>
      <c r="AE388" s="125">
        <f t="shared" si="54"/>
        <v>760.8695652</v>
      </c>
      <c r="AF388" s="127" t="s">
        <v>12957</v>
      </c>
      <c r="AG388" s="127">
        <v>-23.9778775355858</v>
      </c>
      <c r="AH388" s="127">
        <v>28.9167616534131</v>
      </c>
      <c r="AI388" s="115" t="s">
        <v>12383</v>
      </c>
      <c r="AJ388" s="116">
        <v>0.7</v>
      </c>
      <c r="AK388" s="117"/>
      <c r="AL388" s="117"/>
      <c r="AM388" s="117"/>
      <c r="AN388" s="117"/>
      <c r="AO388" s="117"/>
    </row>
    <row r="389" ht="34.5" customHeight="1">
      <c r="A389" s="111">
        <v>727.0</v>
      </c>
      <c r="B389" s="111" t="s">
        <v>8366</v>
      </c>
      <c r="C389" s="111" t="s">
        <v>8071</v>
      </c>
      <c r="D389" s="111">
        <v>2023.0</v>
      </c>
      <c r="E389" s="111"/>
      <c r="F389" s="111" t="s">
        <v>12385</v>
      </c>
      <c r="G389" s="111" t="s">
        <v>12226</v>
      </c>
      <c r="H389" s="111"/>
      <c r="I389" s="111" t="s">
        <v>12394</v>
      </c>
      <c r="J389" s="111" t="s">
        <v>12291</v>
      </c>
      <c r="K389" s="111" t="s">
        <v>30</v>
      </c>
      <c r="L389" s="111"/>
      <c r="M389" s="111"/>
      <c r="N389" s="111"/>
      <c r="O389" s="111"/>
      <c r="P389" s="111"/>
      <c r="Q389" s="111">
        <v>1.0</v>
      </c>
      <c r="R389" s="111"/>
      <c r="S389" s="111"/>
      <c r="T389" s="111"/>
      <c r="U389" s="111"/>
      <c r="V389" s="111"/>
      <c r="W389" s="111"/>
      <c r="X389" s="111"/>
      <c r="Y389" s="111"/>
      <c r="Z389" s="111" t="s">
        <v>12958</v>
      </c>
      <c r="AA389" s="124">
        <v>0.6</v>
      </c>
      <c r="AB389" s="125">
        <f>IF(Projects!$AI389="Electrolysis",
AA389/VLOOKUP(G389,ElectrolysisConvF,3,FALSE),
AC389*10^6/(H2dens*HoursInYear))</f>
        <v>115.3846154</v>
      </c>
      <c r="AC389" s="126">
        <f t="shared" si="55"/>
        <v>0.08995846154</v>
      </c>
      <c r="AD389" s="125"/>
      <c r="AE389" s="125"/>
      <c r="AF389" s="127" t="s">
        <v>12959</v>
      </c>
      <c r="AG389" s="127">
        <v>-33.3557806470571</v>
      </c>
      <c r="AH389" s="127">
        <v>-70.7364924248186</v>
      </c>
      <c r="AI389" s="115" t="s">
        <v>12383</v>
      </c>
      <c r="AJ389" s="116">
        <v>0.3</v>
      </c>
      <c r="AK389" s="117"/>
      <c r="AL389" s="117"/>
      <c r="AM389" s="117"/>
      <c r="AN389" s="117"/>
      <c r="AO389" s="117"/>
    </row>
    <row r="390" ht="34.5" customHeight="1">
      <c r="A390" s="111">
        <v>728.0</v>
      </c>
      <c r="B390" s="111" t="s">
        <v>8367</v>
      </c>
      <c r="C390" s="111" t="s">
        <v>7987</v>
      </c>
      <c r="D390" s="111">
        <v>2020.0</v>
      </c>
      <c r="E390" s="111"/>
      <c r="F390" s="111" t="s">
        <v>12385</v>
      </c>
      <c r="G390" s="111" t="s">
        <v>12226</v>
      </c>
      <c r="H390" s="111"/>
      <c r="I390" s="111" t="s">
        <v>12394</v>
      </c>
      <c r="J390" s="111" t="s">
        <v>12295</v>
      </c>
      <c r="K390" s="111" t="s">
        <v>30</v>
      </c>
      <c r="L390" s="111"/>
      <c r="M390" s="111"/>
      <c r="N390" s="111"/>
      <c r="O390" s="111"/>
      <c r="P390" s="111"/>
      <c r="Q390" s="111">
        <v>1.0</v>
      </c>
      <c r="R390" s="111"/>
      <c r="S390" s="111"/>
      <c r="T390" s="111"/>
      <c r="U390" s="111"/>
      <c r="V390" s="111"/>
      <c r="W390" s="111"/>
      <c r="X390" s="111"/>
      <c r="Y390" s="111"/>
      <c r="Z390" s="111" t="s">
        <v>12707</v>
      </c>
      <c r="AA390" s="124">
        <v>2.5</v>
      </c>
      <c r="AB390" s="125">
        <f>IF(Projects!$AI390="Electrolysis",
AA390/VLOOKUP(G390,ElectrolysisConvF,3,FALSE),
AC390*10^6/(H2dens*HoursInYear))</f>
        <v>480.7692308</v>
      </c>
      <c r="AC390" s="126">
        <f t="shared" si="55"/>
        <v>0.3748269231</v>
      </c>
      <c r="AD390" s="125"/>
      <c r="AE390" s="125">
        <f t="shared" ref="AE390:AE402" si="56">AB390</f>
        <v>480.7692308</v>
      </c>
      <c r="AF390" s="127" t="s">
        <v>12960</v>
      </c>
      <c r="AG390" s="127">
        <v>51.264018</v>
      </c>
      <c r="AH390" s="127">
        <v>7.1780374</v>
      </c>
      <c r="AI390" s="115" t="s">
        <v>12383</v>
      </c>
      <c r="AJ390" s="116">
        <v>0.5</v>
      </c>
      <c r="AK390" s="117"/>
      <c r="AL390" s="117"/>
      <c r="AM390" s="117"/>
      <c r="AN390" s="117"/>
      <c r="AO390" s="117"/>
    </row>
    <row r="391" ht="34.5" customHeight="1">
      <c r="A391" s="111">
        <v>730.0</v>
      </c>
      <c r="B391" s="111" t="s">
        <v>8368</v>
      </c>
      <c r="C391" s="111" t="s">
        <v>7987</v>
      </c>
      <c r="D391" s="111">
        <v>2021.0</v>
      </c>
      <c r="E391" s="111"/>
      <c r="F391" s="111" t="s">
        <v>12385</v>
      </c>
      <c r="G391" s="111" t="s">
        <v>12226</v>
      </c>
      <c r="H391" s="111"/>
      <c r="I391" s="111" t="s">
        <v>12394</v>
      </c>
      <c r="J391" s="111" t="s">
        <v>12292</v>
      </c>
      <c r="K391" s="111" t="s">
        <v>30</v>
      </c>
      <c r="L391" s="111"/>
      <c r="M391" s="111"/>
      <c r="N391" s="111"/>
      <c r="O391" s="111">
        <v>1.0</v>
      </c>
      <c r="P391" s="111"/>
      <c r="Q391" s="111"/>
      <c r="R391" s="111"/>
      <c r="S391" s="111"/>
      <c r="T391" s="111"/>
      <c r="U391" s="111"/>
      <c r="V391" s="111"/>
      <c r="W391" s="111"/>
      <c r="X391" s="111"/>
      <c r="Y391" s="111"/>
      <c r="Z391" s="111" t="s">
        <v>12961</v>
      </c>
      <c r="AA391" s="124">
        <v>2.5</v>
      </c>
      <c r="AB391" s="125">
        <f>IF(Projects!$AI391="Electrolysis",
AA391/VLOOKUP(G391,ElectrolysisConvF,3,FALSE),
AC391*10^6/(H2dens*HoursInYear))</f>
        <v>480.7692308</v>
      </c>
      <c r="AC391" s="126">
        <f t="shared" si="55"/>
        <v>0.3748269231</v>
      </c>
      <c r="AD391" s="125"/>
      <c r="AE391" s="125">
        <f t="shared" si="56"/>
        <v>480.7692308</v>
      </c>
      <c r="AF391" s="127" t="s">
        <v>12962</v>
      </c>
      <c r="AG391" s="127">
        <v>52.1523434613963</v>
      </c>
      <c r="AH391" s="127">
        <v>10.4066598815022</v>
      </c>
      <c r="AI391" s="115" t="s">
        <v>12383</v>
      </c>
      <c r="AJ391" s="116">
        <v>0.4</v>
      </c>
      <c r="AK391" s="117"/>
      <c r="AL391" s="117"/>
      <c r="AM391" s="117"/>
      <c r="AN391" s="117"/>
      <c r="AO391" s="117"/>
    </row>
    <row r="392" ht="34.5" customHeight="1">
      <c r="A392" s="111">
        <v>732.0</v>
      </c>
      <c r="B392" s="111" t="s">
        <v>8369</v>
      </c>
      <c r="C392" s="111" t="s">
        <v>8001</v>
      </c>
      <c r="D392" s="111">
        <v>2019.0</v>
      </c>
      <c r="E392" s="111"/>
      <c r="F392" s="111" t="s">
        <v>12385</v>
      </c>
      <c r="G392" s="111" t="s">
        <v>12224</v>
      </c>
      <c r="H392" s="111"/>
      <c r="I392" s="111" t="s">
        <v>12394</v>
      </c>
      <c r="J392" s="111" t="s">
        <v>12292</v>
      </c>
      <c r="K392" s="111" t="s">
        <v>30</v>
      </c>
      <c r="L392" s="111"/>
      <c r="M392" s="111"/>
      <c r="N392" s="111"/>
      <c r="O392" s="111"/>
      <c r="P392" s="111"/>
      <c r="Q392" s="111">
        <v>1.0</v>
      </c>
      <c r="R392" s="111"/>
      <c r="S392" s="111"/>
      <c r="T392" s="111"/>
      <c r="U392" s="111"/>
      <c r="V392" s="111"/>
      <c r="W392" s="111"/>
      <c r="X392" s="111"/>
      <c r="Y392" s="111"/>
      <c r="Z392" s="111" t="s">
        <v>12963</v>
      </c>
      <c r="AA392" s="124">
        <v>4.0</v>
      </c>
      <c r="AB392" s="125">
        <f>IF(Projects!$AI392="Electrolysis",
AA392/VLOOKUP(G392,ElectrolysisConvF,3,FALSE),
AC392*10^6/(H2dens*HoursInYear))</f>
        <v>869.5652174</v>
      </c>
      <c r="AC392" s="126">
        <f t="shared" si="55"/>
        <v>0.6779478261</v>
      </c>
      <c r="AD392" s="125"/>
      <c r="AE392" s="125">
        <f t="shared" si="56"/>
        <v>869.5652174</v>
      </c>
      <c r="AF392" s="127" t="s">
        <v>12964</v>
      </c>
      <c r="AG392" s="127">
        <v>41.5608929670979</v>
      </c>
      <c r="AH392" s="127">
        <v>115.733107055152</v>
      </c>
      <c r="AI392" s="115" t="s">
        <v>12383</v>
      </c>
      <c r="AJ392" s="116">
        <v>0.4</v>
      </c>
      <c r="AK392" s="117"/>
      <c r="AL392" s="117"/>
      <c r="AM392" s="117"/>
      <c r="AN392" s="117"/>
      <c r="AO392" s="117"/>
    </row>
    <row r="393" ht="34.5" customHeight="1">
      <c r="A393" s="111">
        <v>733.0</v>
      </c>
      <c r="B393" s="111" t="s">
        <v>8370</v>
      </c>
      <c r="C393" s="111" t="s">
        <v>8371</v>
      </c>
      <c r="D393" s="111">
        <v>2021.0</v>
      </c>
      <c r="E393" s="111"/>
      <c r="F393" s="111" t="s">
        <v>12385</v>
      </c>
      <c r="G393" s="111" t="s">
        <v>12226</v>
      </c>
      <c r="H393" s="111"/>
      <c r="I393" s="111" t="s">
        <v>12394</v>
      </c>
      <c r="J393" s="111" t="s">
        <v>12291</v>
      </c>
      <c r="K393" s="111" t="s">
        <v>30</v>
      </c>
      <c r="L393" s="111"/>
      <c r="M393" s="111"/>
      <c r="N393" s="111"/>
      <c r="O393" s="111"/>
      <c r="P393" s="111"/>
      <c r="Q393" s="111">
        <v>1.0</v>
      </c>
      <c r="R393" s="111"/>
      <c r="S393" s="111"/>
      <c r="T393" s="111"/>
      <c r="U393" s="111"/>
      <c r="V393" s="111"/>
      <c r="W393" s="111"/>
      <c r="X393" s="111"/>
      <c r="Y393" s="111"/>
      <c r="Z393" s="111" t="s">
        <v>12546</v>
      </c>
      <c r="AA393" s="124">
        <v>1.25</v>
      </c>
      <c r="AB393" s="125">
        <f>IF(Projects!$AI393="Electrolysis",
AA393/VLOOKUP(G393,ElectrolysisConvF,3,FALSE),
AC393*10^6/(H2dens*HoursInYear))</f>
        <v>240.3846154</v>
      </c>
      <c r="AC393" s="126">
        <f t="shared" si="55"/>
        <v>0.1874134615</v>
      </c>
      <c r="AD393" s="125"/>
      <c r="AE393" s="125">
        <f t="shared" si="56"/>
        <v>240.3846154</v>
      </c>
      <c r="AF393" s="127" t="s">
        <v>12965</v>
      </c>
      <c r="AG393" s="127">
        <v>24.765625726133</v>
      </c>
      <c r="AH393" s="127">
        <v>55.3676501696861</v>
      </c>
      <c r="AI393" s="115" t="s">
        <v>12383</v>
      </c>
      <c r="AJ393" s="116">
        <v>0.3</v>
      </c>
      <c r="AK393" s="117"/>
      <c r="AL393" s="117"/>
      <c r="AM393" s="117"/>
      <c r="AN393" s="117"/>
      <c r="AO393" s="117"/>
    </row>
    <row r="394" ht="34.5" customHeight="1">
      <c r="A394" s="111">
        <v>734.0</v>
      </c>
      <c r="B394" s="111" t="s">
        <v>8372</v>
      </c>
      <c r="C394" s="111" t="s">
        <v>8021</v>
      </c>
      <c r="D394" s="111">
        <v>2021.0</v>
      </c>
      <c r="E394" s="111"/>
      <c r="F394" s="111" t="s">
        <v>12385</v>
      </c>
      <c r="G394" s="111" t="s">
        <v>12226</v>
      </c>
      <c r="H394" s="111"/>
      <c r="I394" s="111" t="s">
        <v>12394</v>
      </c>
      <c r="J394" s="111" t="s">
        <v>12295</v>
      </c>
      <c r="K394" s="111" t="s">
        <v>30</v>
      </c>
      <c r="L394" s="111"/>
      <c r="M394" s="111"/>
      <c r="N394" s="111"/>
      <c r="O394" s="111"/>
      <c r="P394" s="111"/>
      <c r="Q394" s="111"/>
      <c r="R394" s="111"/>
      <c r="S394" s="111">
        <v>1.0</v>
      </c>
      <c r="T394" s="111"/>
      <c r="U394" s="111"/>
      <c r="V394" s="111"/>
      <c r="W394" s="111"/>
      <c r="X394" s="111"/>
      <c r="Y394" s="111"/>
      <c r="Z394" s="111" t="s">
        <v>12546</v>
      </c>
      <c r="AA394" s="124">
        <v>1.25</v>
      </c>
      <c r="AB394" s="125">
        <f>IF(Projects!$AI394="Electrolysis",
AA394/VLOOKUP(G394,ElectrolysisConvF,3,FALSE),
AC394*10^6/(H2dens*HoursInYear))</f>
        <v>240.3846154</v>
      </c>
      <c r="AC394" s="126">
        <f t="shared" si="55"/>
        <v>0.1874134615</v>
      </c>
      <c r="AD394" s="125"/>
      <c r="AE394" s="125">
        <f t="shared" si="56"/>
        <v>240.3846154</v>
      </c>
      <c r="AF394" s="127" t="s">
        <v>12966</v>
      </c>
      <c r="AG394" s="127">
        <v>0.0</v>
      </c>
      <c r="AH394" s="127">
        <v>0.0</v>
      </c>
      <c r="AI394" s="115" t="s">
        <v>12383</v>
      </c>
      <c r="AJ394" s="116">
        <v>0.5</v>
      </c>
      <c r="AK394" s="117"/>
      <c r="AL394" s="117"/>
      <c r="AM394" s="117"/>
      <c r="AN394" s="117"/>
      <c r="AO394" s="117"/>
    </row>
    <row r="395" ht="34.5" customHeight="1">
      <c r="A395" s="111">
        <v>735.0</v>
      </c>
      <c r="B395" s="111" t="s">
        <v>8373</v>
      </c>
      <c r="C395" s="111" t="s">
        <v>7981</v>
      </c>
      <c r="D395" s="111">
        <v>2021.0</v>
      </c>
      <c r="E395" s="111"/>
      <c r="F395" s="111" t="s">
        <v>12385</v>
      </c>
      <c r="G395" s="111" t="s">
        <v>12226</v>
      </c>
      <c r="H395" s="111"/>
      <c r="I395" s="111" t="s">
        <v>12287</v>
      </c>
      <c r="J395" s="111"/>
      <c r="K395" s="111" t="s">
        <v>30</v>
      </c>
      <c r="L395" s="111"/>
      <c r="M395" s="111"/>
      <c r="N395" s="111"/>
      <c r="O395" s="111"/>
      <c r="P395" s="111"/>
      <c r="Q395" s="111">
        <v>1.0</v>
      </c>
      <c r="R395" s="111"/>
      <c r="S395" s="111"/>
      <c r="T395" s="111"/>
      <c r="U395" s="111"/>
      <c r="V395" s="111"/>
      <c r="W395" s="111"/>
      <c r="X395" s="111"/>
      <c r="Y395" s="111"/>
      <c r="Z395" s="111" t="s">
        <v>12420</v>
      </c>
      <c r="AA395" s="124">
        <v>1.0</v>
      </c>
      <c r="AB395" s="125">
        <f>IF(Projects!$AI395="Electrolysis",
AA395/VLOOKUP(G395,ElectrolysisConvF,3,FALSE),
AC395*10^6/(H2dens*HoursInYear))</f>
        <v>192.3076923</v>
      </c>
      <c r="AC395" s="126">
        <f t="shared" si="55"/>
        <v>0.1499307692</v>
      </c>
      <c r="AD395" s="125"/>
      <c r="AE395" s="125">
        <f t="shared" si="56"/>
        <v>192.3076923</v>
      </c>
      <c r="AF395" s="127" t="s">
        <v>12967</v>
      </c>
      <c r="AG395" s="127">
        <v>0.0</v>
      </c>
      <c r="AH395" s="127">
        <v>0.0</v>
      </c>
      <c r="AI395" s="115" t="s">
        <v>12383</v>
      </c>
      <c r="AJ395" s="116">
        <v>0.57</v>
      </c>
      <c r="AK395" s="117"/>
      <c r="AL395" s="117"/>
      <c r="AM395" s="117"/>
      <c r="AN395" s="117"/>
      <c r="AO395" s="117"/>
    </row>
    <row r="396" ht="34.5" customHeight="1">
      <c r="A396" s="111">
        <v>736.0</v>
      </c>
      <c r="B396" s="111" t="s">
        <v>8374</v>
      </c>
      <c r="C396" s="111" t="s">
        <v>7967</v>
      </c>
      <c r="D396" s="111"/>
      <c r="E396" s="111"/>
      <c r="F396" s="111" t="s">
        <v>12418</v>
      </c>
      <c r="G396" s="111" t="s">
        <v>12381</v>
      </c>
      <c r="H396" s="111" t="s">
        <v>12230</v>
      </c>
      <c r="I396" s="111" t="s">
        <v>12287</v>
      </c>
      <c r="J396" s="111"/>
      <c r="K396" s="111" t="s">
        <v>30</v>
      </c>
      <c r="L396" s="111"/>
      <c r="M396" s="111"/>
      <c r="N396" s="111"/>
      <c r="O396" s="111"/>
      <c r="P396" s="111"/>
      <c r="Q396" s="111"/>
      <c r="R396" s="111"/>
      <c r="S396" s="111"/>
      <c r="T396" s="111"/>
      <c r="U396" s="111"/>
      <c r="V396" s="111"/>
      <c r="W396" s="111"/>
      <c r="X396" s="111"/>
      <c r="Y396" s="111"/>
      <c r="Z396" s="111" t="s">
        <v>12574</v>
      </c>
      <c r="AA396" s="124">
        <v>0.02</v>
      </c>
      <c r="AB396" s="125">
        <f>IF(Projects!$AI396="Electrolysis",
AA396/VLOOKUP(G396,ElectrolysisConvF,3,FALSE),
AC396*10^6/(H2dens*HoursInYear))</f>
        <v>4.444444444</v>
      </c>
      <c r="AC396" s="126">
        <f t="shared" si="55"/>
        <v>0.003465066667</v>
      </c>
      <c r="AD396" s="125"/>
      <c r="AE396" s="125">
        <f t="shared" si="56"/>
        <v>4.444444444</v>
      </c>
      <c r="AF396" s="127" t="s">
        <v>12813</v>
      </c>
      <c r="AG396" s="127">
        <v>0.0</v>
      </c>
      <c r="AH396" s="127">
        <v>0.0</v>
      </c>
      <c r="AI396" s="115" t="s">
        <v>12383</v>
      </c>
      <c r="AJ396" s="116">
        <v>0.57</v>
      </c>
      <c r="AK396" s="117"/>
      <c r="AL396" s="117"/>
      <c r="AM396" s="117"/>
      <c r="AN396" s="117"/>
      <c r="AO396" s="117"/>
    </row>
    <row r="397" ht="34.5" customHeight="1">
      <c r="A397" s="111">
        <v>737.0</v>
      </c>
      <c r="B397" s="111" t="s">
        <v>8375</v>
      </c>
      <c r="C397" s="111" t="s">
        <v>8021</v>
      </c>
      <c r="D397" s="111">
        <v>2021.0</v>
      </c>
      <c r="E397" s="111">
        <v>2026.0</v>
      </c>
      <c r="F397" s="111" t="s">
        <v>12385</v>
      </c>
      <c r="G397" s="111" t="s">
        <v>12226</v>
      </c>
      <c r="H397" s="111"/>
      <c r="I397" s="111" t="s">
        <v>12406</v>
      </c>
      <c r="J397" s="111"/>
      <c r="K397" s="111" t="s">
        <v>30</v>
      </c>
      <c r="L397" s="111"/>
      <c r="M397" s="111"/>
      <c r="N397" s="111"/>
      <c r="O397" s="111"/>
      <c r="P397" s="111"/>
      <c r="Q397" s="111"/>
      <c r="R397" s="111"/>
      <c r="S397" s="111">
        <v>1.0</v>
      </c>
      <c r="T397" s="111"/>
      <c r="U397" s="111"/>
      <c r="V397" s="111"/>
      <c r="W397" s="111"/>
      <c r="X397" s="111"/>
      <c r="Y397" s="111"/>
      <c r="Z397" s="111" t="s">
        <v>12968</v>
      </c>
      <c r="AA397" s="124">
        <v>0.5</v>
      </c>
      <c r="AB397" s="125">
        <f>IF(Projects!$AI397="Electrolysis",
AA397/VLOOKUP(G397,ElectrolysisConvF,3,FALSE),
AC397*10^6/(H2dens*HoursInYear))</f>
        <v>96.15384615</v>
      </c>
      <c r="AC397" s="126">
        <f t="shared" si="55"/>
        <v>0.07496538462</v>
      </c>
      <c r="AD397" s="125"/>
      <c r="AE397" s="125">
        <f t="shared" si="56"/>
        <v>96.15384615</v>
      </c>
      <c r="AF397" s="127" t="s">
        <v>12969</v>
      </c>
      <c r="AG397" s="127">
        <v>-33.8685646617238</v>
      </c>
      <c r="AH397" s="127">
        <v>151.204610583427</v>
      </c>
      <c r="AI397" s="115" t="s">
        <v>12383</v>
      </c>
      <c r="AJ397" s="116">
        <v>0.57</v>
      </c>
      <c r="AK397" s="117"/>
      <c r="AL397" s="117"/>
      <c r="AM397" s="117"/>
      <c r="AN397" s="117"/>
      <c r="AO397" s="117"/>
    </row>
    <row r="398" ht="34.5" customHeight="1">
      <c r="A398" s="111">
        <v>738.0</v>
      </c>
      <c r="B398" s="111" t="s">
        <v>8376</v>
      </c>
      <c r="C398" s="111" t="s">
        <v>8021</v>
      </c>
      <c r="D398" s="111">
        <v>2022.0</v>
      </c>
      <c r="E398" s="111"/>
      <c r="F398" s="111" t="s">
        <v>12385</v>
      </c>
      <c r="G398" s="111" t="s">
        <v>12226</v>
      </c>
      <c r="H398" s="111"/>
      <c r="I398" s="111" t="s">
        <v>12287</v>
      </c>
      <c r="J398" s="111"/>
      <c r="K398" s="111" t="s">
        <v>30</v>
      </c>
      <c r="L398" s="111"/>
      <c r="M398" s="111"/>
      <c r="N398" s="111"/>
      <c r="O398" s="111"/>
      <c r="P398" s="111"/>
      <c r="Q398" s="111">
        <v>1.0</v>
      </c>
      <c r="R398" s="111"/>
      <c r="S398" s="111"/>
      <c r="T398" s="111"/>
      <c r="U398" s="111"/>
      <c r="V398" s="111"/>
      <c r="W398" s="111"/>
      <c r="X398" s="111"/>
      <c r="Y398" s="111"/>
      <c r="Z398" s="111" t="s">
        <v>12970</v>
      </c>
      <c r="AA398" s="124">
        <v>0.22</v>
      </c>
      <c r="AB398" s="125">
        <f>IF(Projects!$AI398="Electrolysis",
AA398/VLOOKUP(G398,ElectrolysisConvF,3,FALSE),
AC398*10^6/(H2dens*HoursInYear))</f>
        <v>42.30769231</v>
      </c>
      <c r="AC398" s="126">
        <f t="shared" si="55"/>
        <v>0.03298476923</v>
      </c>
      <c r="AD398" s="125"/>
      <c r="AE398" s="125">
        <f t="shared" si="56"/>
        <v>42.30769231</v>
      </c>
      <c r="AF398" s="127" t="s">
        <v>12971</v>
      </c>
      <c r="AG398" s="127">
        <v>0.0</v>
      </c>
      <c r="AH398" s="127">
        <v>0.0</v>
      </c>
      <c r="AI398" s="115" t="s">
        <v>12383</v>
      </c>
      <c r="AJ398" s="116">
        <v>0.57</v>
      </c>
      <c r="AK398" s="117"/>
      <c r="AL398" s="117"/>
      <c r="AM398" s="117"/>
      <c r="AN398" s="117"/>
      <c r="AO398" s="117"/>
    </row>
    <row r="399" ht="34.5" customHeight="1">
      <c r="A399" s="111">
        <v>740.0</v>
      </c>
      <c r="B399" s="111" t="s">
        <v>8377</v>
      </c>
      <c r="C399" s="111" t="s">
        <v>7977</v>
      </c>
      <c r="D399" s="111">
        <v>2022.0</v>
      </c>
      <c r="E399" s="111"/>
      <c r="F399" s="111" t="s">
        <v>12385</v>
      </c>
      <c r="G399" s="111" t="s">
        <v>12381</v>
      </c>
      <c r="H399" s="111" t="s">
        <v>12226</v>
      </c>
      <c r="I399" s="111" t="s">
        <v>12394</v>
      </c>
      <c r="J399" s="111" t="s">
        <v>12295</v>
      </c>
      <c r="K399" s="111" t="s">
        <v>30</v>
      </c>
      <c r="L399" s="111"/>
      <c r="M399" s="111"/>
      <c r="N399" s="111"/>
      <c r="O399" s="111"/>
      <c r="P399" s="111"/>
      <c r="Q399" s="111"/>
      <c r="R399" s="111">
        <v>1.0</v>
      </c>
      <c r="S399" s="111"/>
      <c r="T399" s="111"/>
      <c r="U399" s="111"/>
      <c r="V399" s="111"/>
      <c r="W399" s="111"/>
      <c r="X399" s="111"/>
      <c r="Y399" s="111"/>
      <c r="Z399" s="111" t="s">
        <v>12972</v>
      </c>
      <c r="AA399" s="129">
        <f>IF(Projects!$AI399="Electrolysis",
AB399*VLOOKUP(G399,ElectrolysisConvF,3,FALSE),
"")</f>
        <v>0.02528089888</v>
      </c>
      <c r="AB399" s="125">
        <f>AC399/(H2dens*HoursInYear/10^6)</f>
        <v>5.617977528</v>
      </c>
      <c r="AC399" s="126">
        <f>12*365/1000000</f>
        <v>0.00438</v>
      </c>
      <c r="AD399" s="125"/>
      <c r="AE399" s="125">
        <f t="shared" si="56"/>
        <v>5.617977528</v>
      </c>
      <c r="AF399" s="127" t="s">
        <v>12973</v>
      </c>
      <c r="AG399" s="127">
        <v>28.5229643921094</v>
      </c>
      <c r="AH399" s="127">
        <v>-16.2646393277277</v>
      </c>
      <c r="AI399" s="115" t="s">
        <v>12383</v>
      </c>
      <c r="AJ399" s="116">
        <v>0.5</v>
      </c>
      <c r="AK399" s="117"/>
      <c r="AL399" s="117"/>
      <c r="AM399" s="117"/>
      <c r="AN399" s="117"/>
      <c r="AO399" s="117"/>
    </row>
    <row r="400" ht="34.5" customHeight="1">
      <c r="A400" s="111">
        <v>741.0</v>
      </c>
      <c r="B400" s="111" t="s">
        <v>8378</v>
      </c>
      <c r="C400" s="111" t="s">
        <v>7983</v>
      </c>
      <c r="D400" s="111">
        <v>2020.0</v>
      </c>
      <c r="E400" s="111"/>
      <c r="F400" s="111" t="s">
        <v>12418</v>
      </c>
      <c r="G400" s="111" t="s">
        <v>12381</v>
      </c>
      <c r="H400" s="111" t="s">
        <v>12230</v>
      </c>
      <c r="I400" s="111" t="s">
        <v>12394</v>
      </c>
      <c r="J400" s="111" t="s">
        <v>12295</v>
      </c>
      <c r="K400" s="111" t="s">
        <v>30</v>
      </c>
      <c r="L400" s="111"/>
      <c r="M400" s="111"/>
      <c r="N400" s="111"/>
      <c r="O400" s="111"/>
      <c r="P400" s="111"/>
      <c r="Q400" s="111">
        <v>1.0</v>
      </c>
      <c r="R400" s="111"/>
      <c r="S400" s="111"/>
      <c r="T400" s="111">
        <v>1.0</v>
      </c>
      <c r="U400" s="111"/>
      <c r="V400" s="111"/>
      <c r="W400" s="111"/>
      <c r="X400" s="111"/>
      <c r="Y400" s="111"/>
      <c r="Z400" s="111" t="s">
        <v>12731</v>
      </c>
      <c r="AA400" s="129">
        <f>IF(Projects!$AI400="Electrolysis",
AB400*VLOOKUP(G400,ElectrolysisConvF,3,FALSE),
"")</f>
        <v>0.045</v>
      </c>
      <c r="AB400" s="125">
        <v>10.0</v>
      </c>
      <c r="AC400" s="126">
        <f t="shared" ref="AC400:AC401" si="57">AB400*H2dens*HoursInYear/10^6</f>
        <v>0.0077964</v>
      </c>
      <c r="AD400" s="125"/>
      <c r="AE400" s="125">
        <f t="shared" si="56"/>
        <v>10</v>
      </c>
      <c r="AF400" s="127" t="s">
        <v>12974</v>
      </c>
      <c r="AG400" s="127">
        <v>0.0</v>
      </c>
      <c r="AH400" s="127">
        <v>0.0</v>
      </c>
      <c r="AI400" s="115" t="s">
        <v>12383</v>
      </c>
      <c r="AJ400" s="116">
        <v>0.5</v>
      </c>
      <c r="AK400" s="117"/>
      <c r="AL400" s="117"/>
      <c r="AM400" s="117"/>
      <c r="AN400" s="117"/>
      <c r="AO400" s="117"/>
    </row>
    <row r="401" ht="34.5" customHeight="1">
      <c r="A401" s="111">
        <v>742.0</v>
      </c>
      <c r="B401" s="111" t="s">
        <v>8379</v>
      </c>
      <c r="C401" s="111" t="s">
        <v>7999</v>
      </c>
      <c r="D401" s="111">
        <v>2006.0</v>
      </c>
      <c r="E401" s="111"/>
      <c r="F401" s="111" t="s">
        <v>12418</v>
      </c>
      <c r="G401" s="111" t="s">
        <v>12226</v>
      </c>
      <c r="H401" s="111"/>
      <c r="I401" s="111" t="s">
        <v>12287</v>
      </c>
      <c r="J401" s="111"/>
      <c r="K401" s="111" t="s">
        <v>30</v>
      </c>
      <c r="L401" s="111"/>
      <c r="M401" s="111"/>
      <c r="N401" s="111"/>
      <c r="O401" s="111"/>
      <c r="P401" s="111"/>
      <c r="Q401" s="111">
        <v>1.0</v>
      </c>
      <c r="R401" s="111">
        <v>1.0</v>
      </c>
      <c r="S401" s="111"/>
      <c r="T401" s="111">
        <v>1.0</v>
      </c>
      <c r="U401" s="111"/>
      <c r="V401" s="111"/>
      <c r="W401" s="111"/>
      <c r="X401" s="111"/>
      <c r="Y401" s="111"/>
      <c r="Z401" s="111" t="s">
        <v>12557</v>
      </c>
      <c r="AA401" s="129">
        <f>IF(Projects!$AI401="Electrolysis",
AB401*VLOOKUP(G401,ElectrolysisConvF,3,FALSE),
"")</f>
        <v>0.0104</v>
      </c>
      <c r="AB401" s="125">
        <v>2.0</v>
      </c>
      <c r="AC401" s="126">
        <f t="shared" si="57"/>
        <v>0.00155928</v>
      </c>
      <c r="AD401" s="125"/>
      <c r="AE401" s="125">
        <f t="shared" si="56"/>
        <v>2</v>
      </c>
      <c r="AF401" s="127" t="s">
        <v>12975</v>
      </c>
      <c r="AG401" s="127">
        <v>47.5174119030437</v>
      </c>
      <c r="AH401" s="127">
        <v>16.4572751055955</v>
      </c>
      <c r="AI401" s="115" t="s">
        <v>12383</v>
      </c>
      <c r="AJ401" s="116">
        <v>0.57</v>
      </c>
      <c r="AK401" s="117"/>
      <c r="AL401" s="117"/>
      <c r="AM401" s="117"/>
      <c r="AN401" s="117"/>
      <c r="AO401" s="117"/>
    </row>
    <row r="402" ht="34.5" customHeight="1">
      <c r="A402" s="111">
        <v>743.0</v>
      </c>
      <c r="B402" s="111" t="s">
        <v>8380</v>
      </c>
      <c r="C402" s="111" t="s">
        <v>8021</v>
      </c>
      <c r="D402" s="111">
        <v>2020.0</v>
      </c>
      <c r="E402" s="111"/>
      <c r="F402" s="111" t="s">
        <v>12418</v>
      </c>
      <c r="G402" s="111" t="s">
        <v>12381</v>
      </c>
      <c r="H402" s="111" t="s">
        <v>12230</v>
      </c>
      <c r="I402" s="111" t="s">
        <v>12394</v>
      </c>
      <c r="J402" s="111" t="s">
        <v>12295</v>
      </c>
      <c r="K402" s="111" t="s">
        <v>30</v>
      </c>
      <c r="L402" s="111"/>
      <c r="M402" s="111"/>
      <c r="N402" s="111"/>
      <c r="O402" s="111"/>
      <c r="P402" s="111"/>
      <c r="Q402" s="111"/>
      <c r="R402" s="111"/>
      <c r="S402" s="111">
        <v>1.0</v>
      </c>
      <c r="T402" s="111"/>
      <c r="U402" s="111"/>
      <c r="V402" s="111"/>
      <c r="W402" s="111"/>
      <c r="X402" s="111"/>
      <c r="Y402" s="111"/>
      <c r="Z402" s="111"/>
      <c r="AA402" s="124"/>
      <c r="AB402" s="125"/>
      <c r="AC402" s="126"/>
      <c r="AD402" s="125"/>
      <c r="AE402" s="125" t="str">
        <f t="shared" si="56"/>
        <v/>
      </c>
      <c r="AF402" s="127" t="s">
        <v>12976</v>
      </c>
      <c r="AG402" s="127">
        <v>0.0</v>
      </c>
      <c r="AH402" s="127">
        <v>0.0</v>
      </c>
      <c r="AI402" s="115" t="s">
        <v>12383</v>
      </c>
      <c r="AJ402" s="116">
        <v>0.5</v>
      </c>
      <c r="AK402" s="117"/>
      <c r="AL402" s="117"/>
      <c r="AM402" s="117"/>
      <c r="AN402" s="117"/>
      <c r="AO402" s="117"/>
    </row>
    <row r="403" ht="34.5" customHeight="1">
      <c r="A403" s="111">
        <v>744.0</v>
      </c>
      <c r="B403" s="111" t="s">
        <v>8381</v>
      </c>
      <c r="C403" s="111" t="s">
        <v>8003</v>
      </c>
      <c r="D403" s="111">
        <v>2020.0</v>
      </c>
      <c r="E403" s="111"/>
      <c r="F403" s="111" t="s">
        <v>12385</v>
      </c>
      <c r="G403" s="111" t="s">
        <v>12237</v>
      </c>
      <c r="H403" s="111" t="s">
        <v>12977</v>
      </c>
      <c r="I403" s="111"/>
      <c r="J403" s="111"/>
      <c r="K403" s="111" t="s">
        <v>30</v>
      </c>
      <c r="L403" s="111">
        <v>1.0</v>
      </c>
      <c r="M403" s="111"/>
      <c r="N403" s="111"/>
      <c r="O403" s="111"/>
      <c r="P403" s="111"/>
      <c r="Q403" s="111"/>
      <c r="R403" s="111"/>
      <c r="S403" s="111"/>
      <c r="T403" s="111"/>
      <c r="U403" s="111"/>
      <c r="V403" s="111"/>
      <c r="W403" s="111"/>
      <c r="X403" s="111"/>
      <c r="Y403" s="111"/>
      <c r="Z403" s="111" t="s">
        <v>12978</v>
      </c>
      <c r="AA403" s="124"/>
      <c r="AB403" s="125"/>
      <c r="AC403" s="126"/>
      <c r="AD403" s="125">
        <v>1300000.0</v>
      </c>
      <c r="AE403" s="125">
        <f t="shared" ref="AE403:AE404" si="58">IF(AND(G403&lt;&gt;"NG w CCUS",G403&lt;&gt;"Oil w CCUS",G403&lt;&gt;"Coal w CCUS"),AB403,AD403*10^3/(HoursInYear*IF(G403="NG w CCUS",0.9105,1.9075)))</f>
        <v>77799.12267</v>
      </c>
      <c r="AF403" s="127" t="s">
        <v>12979</v>
      </c>
      <c r="AG403" s="127">
        <v>53.8393519492417</v>
      </c>
      <c r="AH403" s="127">
        <v>-113.121072233127</v>
      </c>
      <c r="AI403" s="115" t="s">
        <v>12378</v>
      </c>
      <c r="AJ403" s="116">
        <v>0.9</v>
      </c>
      <c r="AK403" s="117"/>
      <c r="AL403" s="117"/>
      <c r="AM403" s="117"/>
      <c r="AN403" s="117"/>
      <c r="AO403" s="117"/>
    </row>
    <row r="404" ht="34.5" customHeight="1">
      <c r="A404" s="111">
        <v>745.0</v>
      </c>
      <c r="B404" s="111" t="s">
        <v>8382</v>
      </c>
      <c r="C404" s="111" t="s">
        <v>8003</v>
      </c>
      <c r="D404" s="111">
        <v>2020.0</v>
      </c>
      <c r="E404" s="111"/>
      <c r="F404" s="111" t="s">
        <v>12385</v>
      </c>
      <c r="G404" s="111" t="s">
        <v>12235</v>
      </c>
      <c r="H404" s="111" t="s">
        <v>12885</v>
      </c>
      <c r="I404" s="111"/>
      <c r="J404" s="111"/>
      <c r="K404" s="111" t="s">
        <v>174</v>
      </c>
      <c r="L404" s="111"/>
      <c r="M404" s="111">
        <v>1.0</v>
      </c>
      <c r="N404" s="111"/>
      <c r="O404" s="111"/>
      <c r="P404" s="111"/>
      <c r="Q404" s="111"/>
      <c r="R404" s="111"/>
      <c r="S404" s="111"/>
      <c r="T404" s="111"/>
      <c r="U404" s="111"/>
      <c r="V404" s="111"/>
      <c r="W404" s="111"/>
      <c r="X404" s="111"/>
      <c r="Y404" s="111"/>
      <c r="Z404" s="111" t="s">
        <v>12980</v>
      </c>
      <c r="AA404" s="124"/>
      <c r="AB404" s="125"/>
      <c r="AC404" s="126">
        <v>164.0</v>
      </c>
      <c r="AD404" s="125">
        <v>300000.0</v>
      </c>
      <c r="AE404" s="125">
        <f t="shared" si="58"/>
        <v>37612.93283</v>
      </c>
      <c r="AF404" s="127" t="s">
        <v>12981</v>
      </c>
      <c r="AG404" s="127">
        <v>53.9924938402302</v>
      </c>
      <c r="AH404" s="127">
        <v>-113.126939534757</v>
      </c>
      <c r="AI404" s="115" t="s">
        <v>12378</v>
      </c>
      <c r="AJ404" s="116">
        <v>0.9</v>
      </c>
      <c r="AK404" s="117"/>
      <c r="AL404" s="117"/>
      <c r="AM404" s="117"/>
      <c r="AN404" s="117"/>
      <c r="AO404" s="117"/>
    </row>
    <row r="405" ht="34.5" customHeight="1">
      <c r="A405" s="111">
        <v>746.0</v>
      </c>
      <c r="B405" s="111" t="s">
        <v>8383</v>
      </c>
      <c r="C405" s="111" t="s">
        <v>8021</v>
      </c>
      <c r="D405" s="111">
        <v>2020.0</v>
      </c>
      <c r="E405" s="111"/>
      <c r="F405" s="111" t="s">
        <v>12418</v>
      </c>
      <c r="G405" s="111" t="s">
        <v>12381</v>
      </c>
      <c r="H405" s="111" t="s">
        <v>12230</v>
      </c>
      <c r="I405" s="111" t="s">
        <v>12394</v>
      </c>
      <c r="J405" s="111" t="s">
        <v>12295</v>
      </c>
      <c r="K405" s="111" t="s">
        <v>30</v>
      </c>
      <c r="L405" s="111"/>
      <c r="M405" s="111"/>
      <c r="N405" s="111"/>
      <c r="O405" s="111"/>
      <c r="P405" s="111"/>
      <c r="Q405" s="111"/>
      <c r="R405" s="111"/>
      <c r="S405" s="111">
        <v>1.0</v>
      </c>
      <c r="T405" s="111"/>
      <c r="U405" s="111"/>
      <c r="V405" s="111"/>
      <c r="W405" s="111"/>
      <c r="X405" s="111"/>
      <c r="Y405" s="111"/>
      <c r="Z405" s="111"/>
      <c r="AA405" s="124"/>
      <c r="AB405" s="125"/>
      <c r="AC405" s="126"/>
      <c r="AD405" s="125"/>
      <c r="AE405" s="125" t="str">
        <f t="shared" ref="AE405:AE414" si="59">AB405</f>
        <v/>
      </c>
      <c r="AF405" s="127" t="s">
        <v>12982</v>
      </c>
      <c r="AG405" s="127">
        <v>0.0</v>
      </c>
      <c r="AH405" s="127">
        <v>0.0</v>
      </c>
      <c r="AI405" s="115" t="s">
        <v>12383</v>
      </c>
      <c r="AJ405" s="116">
        <v>0.5</v>
      </c>
      <c r="AK405" s="117"/>
      <c r="AL405" s="117"/>
      <c r="AM405" s="117"/>
      <c r="AN405" s="117"/>
      <c r="AO405" s="117"/>
    </row>
    <row r="406" ht="34.5" customHeight="1">
      <c r="A406" s="111">
        <v>747.0</v>
      </c>
      <c r="B406" s="111" t="s">
        <v>8384</v>
      </c>
      <c r="C406" s="111" t="s">
        <v>8011</v>
      </c>
      <c r="D406" s="111">
        <v>2020.0</v>
      </c>
      <c r="E406" s="111"/>
      <c r="F406" s="111" t="s">
        <v>12418</v>
      </c>
      <c r="G406" s="111" t="s">
        <v>12381</v>
      </c>
      <c r="H406" s="111" t="s">
        <v>12230</v>
      </c>
      <c r="I406" s="111" t="s">
        <v>12287</v>
      </c>
      <c r="J406" s="111"/>
      <c r="K406" s="111" t="s">
        <v>30</v>
      </c>
      <c r="L406" s="111"/>
      <c r="M406" s="111"/>
      <c r="N406" s="111"/>
      <c r="O406" s="111"/>
      <c r="P406" s="111"/>
      <c r="Q406" s="111">
        <v>1.0</v>
      </c>
      <c r="R406" s="111"/>
      <c r="S406" s="111"/>
      <c r="T406" s="111"/>
      <c r="U406" s="111"/>
      <c r="V406" s="111"/>
      <c r="W406" s="111"/>
      <c r="X406" s="111"/>
      <c r="Y406" s="111"/>
      <c r="Z406" s="111"/>
      <c r="AA406" s="124"/>
      <c r="AB406" s="125"/>
      <c r="AC406" s="126"/>
      <c r="AD406" s="125"/>
      <c r="AE406" s="125" t="str">
        <f t="shared" si="59"/>
        <v/>
      </c>
      <c r="AF406" s="127" t="s">
        <v>12983</v>
      </c>
      <c r="AG406" s="127">
        <v>0.0</v>
      </c>
      <c r="AH406" s="127">
        <v>0.0</v>
      </c>
      <c r="AI406" s="115" t="s">
        <v>12383</v>
      </c>
      <c r="AJ406" s="116">
        <v>0.57</v>
      </c>
      <c r="AK406" s="117"/>
      <c r="AL406" s="117"/>
      <c r="AM406" s="117"/>
      <c r="AN406" s="117"/>
      <c r="AO406" s="117"/>
    </row>
    <row r="407" ht="34.5" customHeight="1">
      <c r="A407" s="111">
        <v>748.0</v>
      </c>
      <c r="B407" s="111" t="s">
        <v>8167</v>
      </c>
      <c r="C407" s="111" t="s">
        <v>8003</v>
      </c>
      <c r="D407" s="111">
        <v>2001.0</v>
      </c>
      <c r="E407" s="111"/>
      <c r="F407" s="111" t="s">
        <v>12418</v>
      </c>
      <c r="G407" s="111" t="s">
        <v>12224</v>
      </c>
      <c r="H407" s="111"/>
      <c r="I407" s="111" t="s">
        <v>12287</v>
      </c>
      <c r="J407" s="111"/>
      <c r="K407" s="111" t="s">
        <v>30</v>
      </c>
      <c r="L407" s="111"/>
      <c r="M407" s="111"/>
      <c r="N407" s="111"/>
      <c r="O407" s="111"/>
      <c r="P407" s="111"/>
      <c r="Q407" s="111"/>
      <c r="R407" s="111"/>
      <c r="S407" s="111">
        <v>1.0</v>
      </c>
      <c r="T407" s="111"/>
      <c r="U407" s="111"/>
      <c r="V407" s="111"/>
      <c r="W407" s="111"/>
      <c r="X407" s="111"/>
      <c r="Y407" s="111"/>
      <c r="Z407" s="111" t="s">
        <v>12484</v>
      </c>
      <c r="AA407" s="129">
        <f>IF(Projects!$AI407="Electrolysis",
AB407*VLOOKUP(G407,ElectrolysisConvF,3,FALSE),
"")</f>
        <v>0.0046</v>
      </c>
      <c r="AB407" s="125">
        <v>1.0</v>
      </c>
      <c r="AC407" s="126">
        <f>AB407*H2dens*HoursInYear/10^6</f>
        <v>0.00077964</v>
      </c>
      <c r="AD407" s="125"/>
      <c r="AE407" s="125">
        <f t="shared" si="59"/>
        <v>1</v>
      </c>
      <c r="AF407" s="127" t="s">
        <v>12984</v>
      </c>
      <c r="AG407" s="127">
        <v>0.0</v>
      </c>
      <c r="AH407" s="127">
        <v>0.0</v>
      </c>
      <c r="AI407" s="115" t="s">
        <v>12383</v>
      </c>
      <c r="AJ407" s="116">
        <v>0.57</v>
      </c>
      <c r="AK407" s="117"/>
      <c r="AL407" s="117"/>
      <c r="AM407" s="117"/>
      <c r="AN407" s="117"/>
      <c r="AO407" s="117"/>
    </row>
    <row r="408" ht="36.0" customHeight="1">
      <c r="A408" s="111">
        <v>749.0</v>
      </c>
      <c r="B408" s="111" t="s">
        <v>8385</v>
      </c>
      <c r="C408" s="111" t="s">
        <v>7999</v>
      </c>
      <c r="D408" s="111">
        <v>2006.0</v>
      </c>
      <c r="E408" s="111"/>
      <c r="F408" s="111" t="s">
        <v>12418</v>
      </c>
      <c r="G408" s="111" t="s">
        <v>12226</v>
      </c>
      <c r="H408" s="111"/>
      <c r="I408" s="111" t="s">
        <v>12287</v>
      </c>
      <c r="J408" s="111"/>
      <c r="K408" s="111"/>
      <c r="L408" s="111"/>
      <c r="M408" s="111"/>
      <c r="N408" s="111"/>
      <c r="O408" s="111"/>
      <c r="P408" s="111"/>
      <c r="Q408" s="111"/>
      <c r="R408" s="111"/>
      <c r="S408" s="111"/>
      <c r="T408" s="111"/>
      <c r="U408" s="111"/>
      <c r="V408" s="111"/>
      <c r="W408" s="111"/>
      <c r="X408" s="111"/>
      <c r="Y408" s="111"/>
      <c r="Z408" s="111"/>
      <c r="AA408" s="124"/>
      <c r="AB408" s="125"/>
      <c r="AC408" s="126"/>
      <c r="AD408" s="125"/>
      <c r="AE408" s="125" t="str">
        <f t="shared" si="59"/>
        <v/>
      </c>
      <c r="AF408" s="127"/>
      <c r="AG408" s="127">
        <v>0.0</v>
      </c>
      <c r="AH408" s="127">
        <v>0.0</v>
      </c>
      <c r="AI408" s="115" t="s">
        <v>12383</v>
      </c>
      <c r="AJ408" s="116">
        <v>0.57</v>
      </c>
      <c r="AK408" s="117"/>
      <c r="AL408" s="117"/>
      <c r="AM408" s="117"/>
      <c r="AN408" s="117"/>
      <c r="AO408" s="117"/>
    </row>
    <row r="409" ht="31.5" customHeight="1">
      <c r="A409" s="111">
        <v>750.0</v>
      </c>
      <c r="B409" s="111" t="s">
        <v>8386</v>
      </c>
      <c r="C409" s="111" t="s">
        <v>7987</v>
      </c>
      <c r="D409" s="111">
        <v>2006.0</v>
      </c>
      <c r="E409" s="111"/>
      <c r="F409" s="111" t="s">
        <v>12418</v>
      </c>
      <c r="G409" s="111" t="s">
        <v>12226</v>
      </c>
      <c r="H409" s="111"/>
      <c r="I409" s="111" t="s">
        <v>12287</v>
      </c>
      <c r="J409" s="111"/>
      <c r="K409" s="111"/>
      <c r="L409" s="111"/>
      <c r="M409" s="111"/>
      <c r="N409" s="111"/>
      <c r="O409" s="111"/>
      <c r="P409" s="111"/>
      <c r="Q409" s="111"/>
      <c r="R409" s="111"/>
      <c r="S409" s="111"/>
      <c r="T409" s="111"/>
      <c r="U409" s="111"/>
      <c r="V409" s="111"/>
      <c r="W409" s="111"/>
      <c r="X409" s="111"/>
      <c r="Y409" s="111"/>
      <c r="Z409" s="111"/>
      <c r="AA409" s="124"/>
      <c r="AB409" s="125"/>
      <c r="AC409" s="126"/>
      <c r="AD409" s="125"/>
      <c r="AE409" s="125" t="str">
        <f t="shared" si="59"/>
        <v/>
      </c>
      <c r="AF409" s="127"/>
      <c r="AG409" s="127">
        <v>0.0</v>
      </c>
      <c r="AH409" s="127">
        <v>0.0</v>
      </c>
      <c r="AI409" s="115" t="s">
        <v>12383</v>
      </c>
      <c r="AJ409" s="116">
        <v>0.57</v>
      </c>
      <c r="AK409" s="117"/>
      <c r="AL409" s="117"/>
      <c r="AM409" s="117"/>
      <c r="AN409" s="117"/>
      <c r="AO409" s="117"/>
    </row>
    <row r="410" ht="33.75" customHeight="1">
      <c r="A410" s="111">
        <v>752.0</v>
      </c>
      <c r="B410" s="111" t="s">
        <v>8387</v>
      </c>
      <c r="C410" s="111" t="s">
        <v>8388</v>
      </c>
      <c r="D410" s="111">
        <v>2030.0</v>
      </c>
      <c r="E410" s="111"/>
      <c r="F410" s="111" t="s">
        <v>12399</v>
      </c>
      <c r="G410" s="111" t="s">
        <v>12381</v>
      </c>
      <c r="H410" s="111" t="s">
        <v>12230</v>
      </c>
      <c r="I410" s="111" t="s">
        <v>12394</v>
      </c>
      <c r="J410" s="111" t="s">
        <v>12295</v>
      </c>
      <c r="K410" s="111" t="s">
        <v>174</v>
      </c>
      <c r="L410" s="111"/>
      <c r="M410" s="111">
        <v>1.0</v>
      </c>
      <c r="N410" s="111"/>
      <c r="O410" s="111"/>
      <c r="P410" s="111"/>
      <c r="Q410" s="111"/>
      <c r="R410" s="111"/>
      <c r="S410" s="111"/>
      <c r="T410" s="111"/>
      <c r="U410" s="111"/>
      <c r="V410" s="111"/>
      <c r="W410" s="111"/>
      <c r="X410" s="111"/>
      <c r="Y410" s="111"/>
      <c r="Z410" s="111" t="s">
        <v>12985</v>
      </c>
      <c r="AA410" s="124">
        <v>500.0</v>
      </c>
      <c r="AB410" s="125">
        <f>IF(Projects!$AI410="Electrolysis",
AA410/VLOOKUP(G410,ElectrolysisConvF,3,FALSE),
AC410*10^6/(H2dens*HoursInYear))</f>
        <v>111111.1111</v>
      </c>
      <c r="AC410" s="126">
        <f t="shared" ref="AC410:AC411" si="60">AB410*H2dens*HoursInYear/10^6</f>
        <v>86.62666667</v>
      </c>
      <c r="AD410" s="125"/>
      <c r="AE410" s="125">
        <f t="shared" si="59"/>
        <v>111111.1111</v>
      </c>
      <c r="AF410" s="127" t="s">
        <v>12986</v>
      </c>
      <c r="AG410" s="127">
        <v>19.6669277310332</v>
      </c>
      <c r="AH410" s="127">
        <v>57.7254450103778</v>
      </c>
      <c r="AI410" s="115" t="s">
        <v>12383</v>
      </c>
      <c r="AJ410" s="116">
        <v>0.5</v>
      </c>
      <c r="AK410" s="117"/>
      <c r="AL410" s="117"/>
      <c r="AM410" s="117"/>
      <c r="AN410" s="117"/>
      <c r="AO410" s="117"/>
    </row>
    <row r="411" ht="34.5" customHeight="1">
      <c r="A411" s="111">
        <v>753.0</v>
      </c>
      <c r="B411" s="111" t="s">
        <v>8389</v>
      </c>
      <c r="C411" s="111" t="s">
        <v>8021</v>
      </c>
      <c r="D411" s="111">
        <v>2025.0</v>
      </c>
      <c r="E411" s="111"/>
      <c r="F411" s="111" t="s">
        <v>12393</v>
      </c>
      <c r="G411" s="111" t="s">
        <v>12224</v>
      </c>
      <c r="H411" s="111"/>
      <c r="I411" s="111" t="s">
        <v>12394</v>
      </c>
      <c r="J411" s="111" t="s">
        <v>12291</v>
      </c>
      <c r="K411" s="111" t="s">
        <v>174</v>
      </c>
      <c r="L411" s="111"/>
      <c r="M411" s="111">
        <v>1.0</v>
      </c>
      <c r="N411" s="111"/>
      <c r="O411" s="111"/>
      <c r="P411" s="111"/>
      <c r="Q411" s="111"/>
      <c r="R411" s="111"/>
      <c r="S411" s="111"/>
      <c r="T411" s="111"/>
      <c r="U411" s="111"/>
      <c r="V411" s="111"/>
      <c r="W411" s="111"/>
      <c r="X411" s="111"/>
      <c r="Y411" s="111"/>
      <c r="Z411" s="111" t="s">
        <v>12703</v>
      </c>
      <c r="AA411" s="124">
        <v>10.0</v>
      </c>
      <c r="AB411" s="125">
        <f>IF(Projects!$AI411="Electrolysis",
AA411/VLOOKUP(G411,ElectrolysisConvF,3,FALSE),
AC411*10^6/(H2dens*HoursInYear))</f>
        <v>2173.913043</v>
      </c>
      <c r="AC411" s="126">
        <f t="shared" si="60"/>
        <v>1.694869565</v>
      </c>
      <c r="AD411" s="125"/>
      <c r="AE411" s="125">
        <f t="shared" si="59"/>
        <v>2173.913043</v>
      </c>
      <c r="AF411" s="127" t="s">
        <v>12987</v>
      </c>
      <c r="AG411" s="127">
        <v>-20.6245443513308</v>
      </c>
      <c r="AH411" s="127">
        <v>116.783187518457</v>
      </c>
      <c r="AI411" s="115" t="s">
        <v>12383</v>
      </c>
      <c r="AJ411" s="116">
        <v>0.3</v>
      </c>
      <c r="AK411" s="117"/>
      <c r="AL411" s="117"/>
      <c r="AM411" s="117"/>
      <c r="AN411" s="117"/>
      <c r="AO411" s="117"/>
    </row>
    <row r="412" ht="34.5" customHeight="1">
      <c r="A412" s="111">
        <v>754.0</v>
      </c>
      <c r="B412" s="111" t="s">
        <v>8390</v>
      </c>
      <c r="C412" s="111" t="s">
        <v>8001</v>
      </c>
      <c r="D412" s="111">
        <v>2026.0</v>
      </c>
      <c r="E412" s="111"/>
      <c r="F412" s="111" t="s">
        <v>12393</v>
      </c>
      <c r="G412" s="111" t="s">
        <v>12224</v>
      </c>
      <c r="H412" s="111"/>
      <c r="I412" s="111" t="s">
        <v>12394</v>
      </c>
      <c r="J412" s="111" t="s">
        <v>12292</v>
      </c>
      <c r="K412" s="111" t="s">
        <v>30</v>
      </c>
      <c r="L412" s="111"/>
      <c r="M412" s="111"/>
      <c r="N412" s="111"/>
      <c r="O412" s="111"/>
      <c r="P412" s="111"/>
      <c r="Q412" s="111">
        <v>1.0</v>
      </c>
      <c r="R412" s="111">
        <v>1.0</v>
      </c>
      <c r="S412" s="111"/>
      <c r="T412" s="111"/>
      <c r="U412" s="111"/>
      <c r="V412" s="111"/>
      <c r="W412" s="111"/>
      <c r="X412" s="111"/>
      <c r="Y412" s="111"/>
      <c r="Z412" s="111" t="s">
        <v>12988</v>
      </c>
      <c r="AA412" s="129">
        <f>IF(Projects!$AI412="Electrolysis",
AB412*VLOOKUP(G412,ElectrolysisConvF,3,FALSE),
"")</f>
        <v>147.5039762</v>
      </c>
      <c r="AB412" s="125">
        <f>AC412/(H2dens*HoursInYear/10^6)</f>
        <v>32066.08178</v>
      </c>
      <c r="AC412" s="126">
        <f>10/Projects!$AJ412</f>
        <v>25</v>
      </c>
      <c r="AD412" s="125"/>
      <c r="AE412" s="125">
        <f t="shared" si="59"/>
        <v>32066.08178</v>
      </c>
      <c r="AF412" s="127" t="s">
        <v>12989</v>
      </c>
      <c r="AG412" s="127">
        <v>40.81</v>
      </c>
      <c r="AH412" s="127">
        <v>114.87944</v>
      </c>
      <c r="AI412" s="115" t="s">
        <v>12383</v>
      </c>
      <c r="AJ412" s="116">
        <v>0.4</v>
      </c>
      <c r="AK412" s="117"/>
      <c r="AL412" s="117"/>
      <c r="AM412" s="117"/>
      <c r="AN412" s="117"/>
      <c r="AO412" s="117"/>
    </row>
    <row r="413" ht="34.5" customHeight="1">
      <c r="A413" s="111">
        <v>755.0</v>
      </c>
      <c r="B413" s="111" t="s">
        <v>8391</v>
      </c>
      <c r="C413" s="111" t="s">
        <v>8021</v>
      </c>
      <c r="D413" s="111">
        <v>2024.0</v>
      </c>
      <c r="E413" s="111"/>
      <c r="F413" s="111" t="s">
        <v>12399</v>
      </c>
      <c r="G413" s="111" t="s">
        <v>12381</v>
      </c>
      <c r="H413" s="111" t="s">
        <v>12230</v>
      </c>
      <c r="I413" s="111" t="s">
        <v>12406</v>
      </c>
      <c r="J413" s="111"/>
      <c r="K413" s="111" t="s">
        <v>30</v>
      </c>
      <c r="L413" s="111"/>
      <c r="M413" s="111"/>
      <c r="N413" s="111"/>
      <c r="O413" s="111"/>
      <c r="P413" s="111"/>
      <c r="Q413" s="111"/>
      <c r="R413" s="111"/>
      <c r="S413" s="111"/>
      <c r="T413" s="111"/>
      <c r="U413" s="111"/>
      <c r="V413" s="111"/>
      <c r="W413" s="111"/>
      <c r="X413" s="111"/>
      <c r="Y413" s="111"/>
      <c r="Z413" s="111" t="s">
        <v>12768</v>
      </c>
      <c r="AA413" s="124">
        <v>50.0</v>
      </c>
      <c r="AB413" s="125">
        <f>IF(Projects!$AI413="Electrolysis",
AA413/VLOOKUP(G413,ElectrolysisConvF,3,FALSE),
AC413*10^6/(H2dens*HoursInYear))</f>
        <v>11111.11111</v>
      </c>
      <c r="AC413" s="126">
        <f t="shared" ref="AC413:AC416" si="61">AB413*H2dens*HoursInYear/10^6</f>
        <v>8.662666667</v>
      </c>
      <c r="AD413" s="125"/>
      <c r="AE413" s="125">
        <f t="shared" si="59"/>
        <v>11111.11111</v>
      </c>
      <c r="AF413" s="127" t="s">
        <v>12990</v>
      </c>
      <c r="AG413" s="127">
        <v>-33.3531442</v>
      </c>
      <c r="AH413" s="127">
        <v>138.2060764</v>
      </c>
      <c r="AI413" s="115" t="s">
        <v>12383</v>
      </c>
      <c r="AJ413" s="116">
        <v>0.57</v>
      </c>
      <c r="AK413" s="117"/>
      <c r="AL413" s="117"/>
      <c r="AM413" s="117"/>
      <c r="AN413" s="117"/>
      <c r="AO413" s="117"/>
    </row>
    <row r="414" ht="34.5" customHeight="1">
      <c r="A414" s="111">
        <v>756.0</v>
      </c>
      <c r="B414" s="111" t="s">
        <v>8392</v>
      </c>
      <c r="C414" s="111" t="s">
        <v>8021</v>
      </c>
      <c r="D414" s="111">
        <v>2025.0</v>
      </c>
      <c r="E414" s="111"/>
      <c r="F414" s="111" t="s">
        <v>12399</v>
      </c>
      <c r="G414" s="111" t="s">
        <v>12381</v>
      </c>
      <c r="H414" s="111" t="s">
        <v>12230</v>
      </c>
      <c r="I414" s="111" t="s">
        <v>12394</v>
      </c>
      <c r="J414" s="111" t="s">
        <v>12296</v>
      </c>
      <c r="K414" s="111" t="s">
        <v>30</v>
      </c>
      <c r="L414" s="111"/>
      <c r="M414" s="111"/>
      <c r="N414" s="111"/>
      <c r="O414" s="111"/>
      <c r="P414" s="111"/>
      <c r="Q414" s="111"/>
      <c r="R414" s="111"/>
      <c r="S414" s="111"/>
      <c r="T414" s="111"/>
      <c r="U414" s="111"/>
      <c r="V414" s="111"/>
      <c r="W414" s="111"/>
      <c r="X414" s="111"/>
      <c r="Y414" s="111"/>
      <c r="Z414" s="111" t="s">
        <v>12991</v>
      </c>
      <c r="AA414" s="124">
        <v>300.0</v>
      </c>
      <c r="AB414" s="125">
        <f>IF(Projects!$AI414="Electrolysis",
AA414/VLOOKUP(G414,ElectrolysisConvF,3,FALSE),
AC414*10^6/(H2dens*HoursInYear))</f>
        <v>66666.66667</v>
      </c>
      <c r="AC414" s="126">
        <f t="shared" si="61"/>
        <v>51.976</v>
      </c>
      <c r="AD414" s="125"/>
      <c r="AE414" s="125">
        <f t="shared" si="59"/>
        <v>66666.66667</v>
      </c>
      <c r="AF414" s="127" t="s">
        <v>12992</v>
      </c>
      <c r="AG414" s="127">
        <v>-19.2589595593021</v>
      </c>
      <c r="AH414" s="127">
        <v>146.816321846514</v>
      </c>
      <c r="AI414" s="115" t="s">
        <v>12383</v>
      </c>
      <c r="AJ414" s="116">
        <v>0.5</v>
      </c>
      <c r="AK414" s="117"/>
      <c r="AL414" s="117"/>
      <c r="AM414" s="117"/>
      <c r="AN414" s="117"/>
      <c r="AO414" s="117"/>
    </row>
    <row r="415" ht="34.5" customHeight="1">
      <c r="A415" s="111">
        <v>757.0</v>
      </c>
      <c r="B415" s="111" t="s">
        <v>8393</v>
      </c>
      <c r="C415" s="111" t="s">
        <v>8021</v>
      </c>
      <c r="D415" s="111">
        <v>2025.0</v>
      </c>
      <c r="E415" s="111"/>
      <c r="F415" s="111" t="s">
        <v>12399</v>
      </c>
      <c r="G415" s="111" t="s">
        <v>12381</v>
      </c>
      <c r="H415" s="111" t="s">
        <v>12230</v>
      </c>
      <c r="I415" s="111" t="s">
        <v>12394</v>
      </c>
      <c r="J415" s="111" t="s">
        <v>12295</v>
      </c>
      <c r="K415" s="111" t="s">
        <v>174</v>
      </c>
      <c r="L415" s="111"/>
      <c r="M415" s="111">
        <v>1.0</v>
      </c>
      <c r="N415" s="111"/>
      <c r="O415" s="111"/>
      <c r="P415" s="111"/>
      <c r="Q415" s="111"/>
      <c r="R415" s="111"/>
      <c r="S415" s="111"/>
      <c r="T415" s="111"/>
      <c r="U415" s="111"/>
      <c r="V415" s="111"/>
      <c r="W415" s="111"/>
      <c r="X415" s="111"/>
      <c r="Y415" s="111"/>
      <c r="Z415" s="111" t="s">
        <v>12806</v>
      </c>
      <c r="AA415" s="124">
        <v>150.0</v>
      </c>
      <c r="AB415" s="125">
        <f>IF(Projects!$AI415="Electrolysis",
AA415/VLOOKUP(G415,ElectrolysisConvF,3,FALSE),
AC415*10^6/(H2dens*HoursInYear))</f>
        <v>33333.33333</v>
      </c>
      <c r="AC415" s="126">
        <f t="shared" si="61"/>
        <v>25.988</v>
      </c>
      <c r="AD415" s="125"/>
      <c r="AE415" s="125">
        <f>IF(AND(G415&lt;&gt;"NG w CCUS",G415&lt;&gt;"Oil w CCUS",G415&lt;&gt;"Coal w CCUS"),AB415,AD415*10^3/(HoursInYear*IF(G415="NG w CCUS",0.9105,1.9075)))</f>
        <v>33333.33333</v>
      </c>
      <c r="AF415" s="127" t="s">
        <v>12993</v>
      </c>
      <c r="AG415" s="127">
        <v>-23.8415355203833</v>
      </c>
      <c r="AH415" s="127">
        <v>151.250589188345</v>
      </c>
      <c r="AI415" s="115" t="s">
        <v>12383</v>
      </c>
      <c r="AJ415" s="116">
        <v>0.5</v>
      </c>
      <c r="AK415" s="117"/>
      <c r="AL415" s="117"/>
      <c r="AM415" s="117"/>
      <c r="AN415" s="117"/>
      <c r="AO415" s="117"/>
    </row>
    <row r="416" ht="34.5" customHeight="1">
      <c r="A416" s="111">
        <v>759.0</v>
      </c>
      <c r="B416" s="111" t="s">
        <v>8394</v>
      </c>
      <c r="C416" s="111" t="s">
        <v>8016</v>
      </c>
      <c r="D416" s="111">
        <v>2006.0</v>
      </c>
      <c r="E416" s="111"/>
      <c r="F416" s="111" t="s">
        <v>12418</v>
      </c>
      <c r="G416" s="111" t="s">
        <v>12226</v>
      </c>
      <c r="H416" s="111"/>
      <c r="I416" s="111" t="s">
        <v>12287</v>
      </c>
      <c r="J416" s="111"/>
      <c r="K416" s="111" t="s">
        <v>30</v>
      </c>
      <c r="L416" s="111"/>
      <c r="M416" s="111"/>
      <c r="N416" s="111"/>
      <c r="O416" s="111"/>
      <c r="P416" s="111">
        <v>1.0</v>
      </c>
      <c r="Q416" s="111"/>
      <c r="R416" s="111"/>
      <c r="S416" s="111"/>
      <c r="T416" s="111"/>
      <c r="U416" s="111"/>
      <c r="V416" s="111"/>
      <c r="W416" s="111"/>
      <c r="X416" s="111"/>
      <c r="Y416" s="111"/>
      <c r="Z416" s="111" t="s">
        <v>12842</v>
      </c>
      <c r="AA416" s="124">
        <v>0.1</v>
      </c>
      <c r="AB416" s="125">
        <f>IF(Projects!$AI416="Electrolysis",
AA416/VLOOKUP(G416,ElectrolysisConvF,3,FALSE),
AC416*10^6/(H2dens*HoursInYear))</f>
        <v>19.23076923</v>
      </c>
      <c r="AC416" s="126">
        <f t="shared" si="61"/>
        <v>0.01499307692</v>
      </c>
      <c r="AD416" s="125"/>
      <c r="AE416" s="125">
        <f t="shared" ref="AE416:AE441" si="62">AB416</f>
        <v>19.23076923</v>
      </c>
      <c r="AF416" s="127" t="s">
        <v>12994</v>
      </c>
      <c r="AG416" s="127">
        <v>0.0</v>
      </c>
      <c r="AH416" s="127">
        <v>0.0</v>
      </c>
      <c r="AI416" s="115" t="s">
        <v>12383</v>
      </c>
      <c r="AJ416" s="116">
        <v>0.57</v>
      </c>
      <c r="AK416" s="117"/>
      <c r="AL416" s="117"/>
      <c r="AM416" s="117"/>
      <c r="AN416" s="117"/>
      <c r="AO416" s="117"/>
    </row>
    <row r="417" ht="34.5" customHeight="1">
      <c r="A417" s="111">
        <v>760.0</v>
      </c>
      <c r="B417" s="111" t="s">
        <v>8395</v>
      </c>
      <c r="C417" s="111" t="s">
        <v>8117</v>
      </c>
      <c r="D417" s="111">
        <v>2006.0</v>
      </c>
      <c r="E417" s="111"/>
      <c r="F417" s="111" t="s">
        <v>12418</v>
      </c>
      <c r="G417" s="111" t="s">
        <v>12226</v>
      </c>
      <c r="H417" s="111"/>
      <c r="I417" s="111" t="s">
        <v>12287</v>
      </c>
      <c r="J417" s="111"/>
      <c r="K417" s="111" t="s">
        <v>30</v>
      </c>
      <c r="L417" s="111"/>
      <c r="M417" s="111"/>
      <c r="N417" s="111"/>
      <c r="O417" s="111"/>
      <c r="P417" s="111"/>
      <c r="Q417" s="111"/>
      <c r="R417" s="111">
        <v>1.0</v>
      </c>
      <c r="S417" s="111"/>
      <c r="T417" s="111"/>
      <c r="U417" s="111"/>
      <c r="V417" s="111"/>
      <c r="W417" s="111"/>
      <c r="X417" s="111"/>
      <c r="Y417" s="111"/>
      <c r="Z417" s="111"/>
      <c r="AA417" s="124"/>
      <c r="AB417" s="125"/>
      <c r="AC417" s="126"/>
      <c r="AD417" s="125"/>
      <c r="AE417" s="125" t="str">
        <f t="shared" si="62"/>
        <v/>
      </c>
      <c r="AF417" s="127" t="s">
        <v>12995</v>
      </c>
      <c r="AG417" s="127">
        <v>37.9948669893311</v>
      </c>
      <c r="AH417" s="127">
        <v>23.714301745177</v>
      </c>
      <c r="AI417" s="115" t="s">
        <v>12383</v>
      </c>
      <c r="AJ417" s="116">
        <v>0.57</v>
      </c>
      <c r="AK417" s="117"/>
      <c r="AL417" s="117"/>
      <c r="AM417" s="117"/>
      <c r="AN417" s="117"/>
      <c r="AO417" s="117"/>
    </row>
    <row r="418" ht="34.5" customHeight="1">
      <c r="A418" s="111">
        <v>761.0</v>
      </c>
      <c r="B418" s="111" t="s">
        <v>8396</v>
      </c>
      <c r="C418" s="111" t="s">
        <v>7981</v>
      </c>
      <c r="D418" s="111">
        <v>2006.0</v>
      </c>
      <c r="E418" s="111"/>
      <c r="F418" s="111" t="s">
        <v>12418</v>
      </c>
      <c r="G418" s="111" t="s">
        <v>12226</v>
      </c>
      <c r="H418" s="111"/>
      <c r="I418" s="111" t="s">
        <v>12287</v>
      </c>
      <c r="J418" s="111"/>
      <c r="K418" s="111" t="s">
        <v>30</v>
      </c>
      <c r="L418" s="111"/>
      <c r="M418" s="111"/>
      <c r="N418" s="111"/>
      <c r="O418" s="111"/>
      <c r="P418" s="111"/>
      <c r="Q418" s="111">
        <v>1.0</v>
      </c>
      <c r="R418" s="111">
        <v>1.0</v>
      </c>
      <c r="S418" s="111"/>
      <c r="T418" s="111">
        <v>1.0</v>
      </c>
      <c r="U418" s="111"/>
      <c r="V418" s="111"/>
      <c r="W418" s="111"/>
      <c r="X418" s="111"/>
      <c r="Y418" s="111"/>
      <c r="Z418" s="111"/>
      <c r="AA418" s="124"/>
      <c r="AB418" s="125"/>
      <c r="AC418" s="126"/>
      <c r="AD418" s="125"/>
      <c r="AE418" s="125" t="str">
        <f t="shared" si="62"/>
        <v/>
      </c>
      <c r="AF418" s="127" t="s">
        <v>12996</v>
      </c>
      <c r="AG418" s="127">
        <v>0.0</v>
      </c>
      <c r="AH418" s="127">
        <v>0.0</v>
      </c>
      <c r="AI418" s="115" t="s">
        <v>12383</v>
      </c>
      <c r="AJ418" s="116">
        <v>0.57</v>
      </c>
      <c r="AK418" s="117"/>
      <c r="AL418" s="117"/>
      <c r="AM418" s="117"/>
      <c r="AN418" s="117"/>
      <c r="AO418" s="117"/>
    </row>
    <row r="419" ht="34.5" customHeight="1">
      <c r="A419" s="111">
        <v>762.0</v>
      </c>
      <c r="B419" s="111" t="s">
        <v>8397</v>
      </c>
      <c r="C419" s="111" t="s">
        <v>8021</v>
      </c>
      <c r="D419" s="111"/>
      <c r="E419" s="111"/>
      <c r="F419" s="111" t="s">
        <v>12287</v>
      </c>
      <c r="G419" s="111" t="s">
        <v>12381</v>
      </c>
      <c r="H419" s="111" t="s">
        <v>12230</v>
      </c>
      <c r="I419" s="111" t="s">
        <v>12287</v>
      </c>
      <c r="J419" s="111"/>
      <c r="K419" s="111" t="s">
        <v>12449</v>
      </c>
      <c r="L419" s="111"/>
      <c r="M419" s="111"/>
      <c r="N419" s="111"/>
      <c r="O419" s="111"/>
      <c r="P419" s="111"/>
      <c r="Q419" s="111"/>
      <c r="R419" s="111"/>
      <c r="S419" s="111"/>
      <c r="T419" s="111"/>
      <c r="U419" s="111"/>
      <c r="V419" s="111"/>
      <c r="W419" s="111"/>
      <c r="X419" s="111">
        <v>1.0</v>
      </c>
      <c r="Y419" s="111"/>
      <c r="Z419" s="111"/>
      <c r="AA419" s="124"/>
      <c r="AB419" s="125"/>
      <c r="AC419" s="126"/>
      <c r="AD419" s="125"/>
      <c r="AE419" s="125" t="str">
        <f t="shared" si="62"/>
        <v/>
      </c>
      <c r="AF419" s="127"/>
      <c r="AG419" s="127">
        <v>0.0</v>
      </c>
      <c r="AH419" s="127">
        <v>0.0</v>
      </c>
      <c r="AI419" s="115" t="s">
        <v>12383</v>
      </c>
      <c r="AJ419" s="116">
        <v>0.57</v>
      </c>
      <c r="AK419" s="117"/>
      <c r="AL419" s="117"/>
      <c r="AM419" s="117"/>
      <c r="AN419" s="117"/>
      <c r="AO419" s="117"/>
    </row>
    <row r="420" ht="34.5" customHeight="1">
      <c r="A420" s="111">
        <v>764.0</v>
      </c>
      <c r="B420" s="111" t="s">
        <v>8398</v>
      </c>
      <c r="C420" s="111" t="s">
        <v>7967</v>
      </c>
      <c r="D420" s="111">
        <v>2022.0</v>
      </c>
      <c r="E420" s="111"/>
      <c r="F420" s="111" t="s">
        <v>12385</v>
      </c>
      <c r="G420" s="111" t="s">
        <v>12224</v>
      </c>
      <c r="H420" s="111"/>
      <c r="I420" s="111" t="s">
        <v>12394</v>
      </c>
      <c r="J420" s="111" t="s">
        <v>12291</v>
      </c>
      <c r="K420" s="111" t="s">
        <v>30</v>
      </c>
      <c r="L420" s="111"/>
      <c r="M420" s="111"/>
      <c r="N420" s="111"/>
      <c r="O420" s="111"/>
      <c r="P420" s="111">
        <v>1.0</v>
      </c>
      <c r="Q420" s="111">
        <v>1.0</v>
      </c>
      <c r="R420" s="111"/>
      <c r="S420" s="111"/>
      <c r="T420" s="111"/>
      <c r="U420" s="111"/>
      <c r="V420" s="111"/>
      <c r="W420" s="111"/>
      <c r="X420" s="111"/>
      <c r="Y420" s="111"/>
      <c r="Z420" s="111" t="s">
        <v>12997</v>
      </c>
      <c r="AA420" s="124">
        <v>1.4</v>
      </c>
      <c r="AB420" s="125">
        <f>IF(Projects!$AI420="Electrolysis",
AA420/VLOOKUP(G420,ElectrolysisConvF,3,FALSE),
AC420*10^6/(H2dens*HoursInYear))</f>
        <v>304.3478261</v>
      </c>
      <c r="AC420" s="126">
        <f t="shared" ref="AC420:AC422" si="63">AB420*H2dens*HoursInYear/10^6</f>
        <v>0.2372817391</v>
      </c>
      <c r="AD420" s="125"/>
      <c r="AE420" s="125">
        <f t="shared" si="62"/>
        <v>304.3478261</v>
      </c>
      <c r="AF420" s="127" t="s">
        <v>12998</v>
      </c>
      <c r="AG420" s="127">
        <v>53.1980994526748</v>
      </c>
      <c r="AH420" s="127">
        <v>5.79037176930896</v>
      </c>
      <c r="AI420" s="115" t="s">
        <v>12383</v>
      </c>
      <c r="AJ420" s="116">
        <v>0.3</v>
      </c>
      <c r="AK420" s="117"/>
      <c r="AL420" s="117"/>
      <c r="AM420" s="117"/>
      <c r="AN420" s="117"/>
      <c r="AO420" s="117"/>
    </row>
    <row r="421" ht="34.5" customHeight="1">
      <c r="A421" s="111">
        <v>765.0</v>
      </c>
      <c r="B421" s="111" t="s">
        <v>8399</v>
      </c>
      <c r="C421" s="111" t="s">
        <v>8001</v>
      </c>
      <c r="D421" s="111">
        <v>2022.0</v>
      </c>
      <c r="E421" s="111"/>
      <c r="F421" s="111" t="s">
        <v>12418</v>
      </c>
      <c r="G421" s="111" t="s">
        <v>12226</v>
      </c>
      <c r="H421" s="111"/>
      <c r="I421" s="111" t="s">
        <v>12406</v>
      </c>
      <c r="J421" s="111"/>
      <c r="K421" s="111" t="s">
        <v>30</v>
      </c>
      <c r="L421" s="111"/>
      <c r="M421" s="111"/>
      <c r="N421" s="111"/>
      <c r="O421" s="111"/>
      <c r="P421" s="111"/>
      <c r="Q421" s="111">
        <v>1.0</v>
      </c>
      <c r="R421" s="111"/>
      <c r="S421" s="111"/>
      <c r="T421" s="111"/>
      <c r="U421" s="111"/>
      <c r="V421" s="111"/>
      <c r="W421" s="111"/>
      <c r="X421" s="111"/>
      <c r="Y421" s="111"/>
      <c r="Z421" s="111" t="s">
        <v>12908</v>
      </c>
      <c r="AA421" s="124">
        <v>1.0</v>
      </c>
      <c r="AB421" s="125">
        <f>IF(Projects!$AI421="Electrolysis",
AA421/VLOOKUP(G421,ElectrolysisConvF,3,FALSE),
AC421*10^6/(H2dens*HoursInYear))</f>
        <v>192.3076923</v>
      </c>
      <c r="AC421" s="126">
        <f t="shared" si="63"/>
        <v>0.1499307692</v>
      </c>
      <c r="AD421" s="125"/>
      <c r="AE421" s="125">
        <f t="shared" si="62"/>
        <v>192.3076923</v>
      </c>
      <c r="AF421" s="127" t="s">
        <v>12999</v>
      </c>
      <c r="AG421" s="127">
        <v>39.9195170892587</v>
      </c>
      <c r="AH421" s="127">
        <v>116.397311532019</v>
      </c>
      <c r="AI421" s="115" t="s">
        <v>12383</v>
      </c>
      <c r="AJ421" s="116">
        <v>0.57</v>
      </c>
      <c r="AK421" s="117"/>
      <c r="AL421" s="117"/>
      <c r="AM421" s="117"/>
      <c r="AN421" s="117"/>
      <c r="AO421" s="117"/>
    </row>
    <row r="422" ht="34.5" customHeight="1">
      <c r="A422" s="111">
        <v>768.0</v>
      </c>
      <c r="B422" s="111" t="s">
        <v>8400</v>
      </c>
      <c r="C422" s="111" t="s">
        <v>8161</v>
      </c>
      <c r="D422" s="111">
        <v>2023.0</v>
      </c>
      <c r="E422" s="111">
        <v>2024.0</v>
      </c>
      <c r="F422" s="111" t="s">
        <v>12418</v>
      </c>
      <c r="G422" s="111" t="s">
        <v>12226</v>
      </c>
      <c r="H422" s="111"/>
      <c r="I422" s="111" t="s">
        <v>12287</v>
      </c>
      <c r="J422" s="111"/>
      <c r="K422" s="111" t="s">
        <v>30</v>
      </c>
      <c r="L422" s="111"/>
      <c r="M422" s="111"/>
      <c r="N422" s="111"/>
      <c r="O422" s="111"/>
      <c r="P422" s="111"/>
      <c r="Q422" s="111"/>
      <c r="R422" s="111">
        <v>1.0</v>
      </c>
      <c r="S422" s="111"/>
      <c r="T422" s="111"/>
      <c r="U422" s="111"/>
      <c r="V422" s="111"/>
      <c r="W422" s="111"/>
      <c r="X422" s="111"/>
      <c r="Y422" s="111"/>
      <c r="Z422" s="111" t="s">
        <v>12908</v>
      </c>
      <c r="AA422" s="124">
        <v>1.0</v>
      </c>
      <c r="AB422" s="125">
        <f>IF(Projects!$AI422="Electrolysis",
AA422/VLOOKUP(G422,ElectrolysisConvF,3,FALSE),
AC422*10^6/(H2dens*HoursInYear))</f>
        <v>192.3076923</v>
      </c>
      <c r="AC422" s="126">
        <f t="shared" si="63"/>
        <v>0.1499307692</v>
      </c>
      <c r="AD422" s="125"/>
      <c r="AE422" s="125">
        <f t="shared" si="62"/>
        <v>192.3076923</v>
      </c>
      <c r="AF422" s="127" t="s">
        <v>13000</v>
      </c>
      <c r="AG422" s="127">
        <v>39.0125452446287</v>
      </c>
      <c r="AH422" s="127">
        <v>-8.95381025424339</v>
      </c>
      <c r="AI422" s="115" t="s">
        <v>12383</v>
      </c>
      <c r="AJ422" s="116">
        <v>0.57</v>
      </c>
      <c r="AK422" s="117"/>
      <c r="AL422" s="117"/>
      <c r="AM422" s="117"/>
      <c r="AN422" s="117"/>
      <c r="AO422" s="117"/>
    </row>
    <row r="423" ht="39.0" customHeight="1">
      <c r="A423" s="111">
        <v>769.0</v>
      </c>
      <c r="B423" s="111" t="s">
        <v>8401</v>
      </c>
      <c r="C423" s="111" t="s">
        <v>7981</v>
      </c>
      <c r="D423" s="111">
        <v>2022.0</v>
      </c>
      <c r="E423" s="111"/>
      <c r="F423" s="111" t="s">
        <v>12385</v>
      </c>
      <c r="G423" s="111" t="s">
        <v>12239</v>
      </c>
      <c r="H423" s="111" t="s">
        <v>13001</v>
      </c>
      <c r="I423" s="111"/>
      <c r="J423" s="111"/>
      <c r="K423" s="111" t="s">
        <v>30</v>
      </c>
      <c r="L423" s="111"/>
      <c r="M423" s="111"/>
      <c r="N423" s="111"/>
      <c r="O423" s="111"/>
      <c r="P423" s="111"/>
      <c r="Q423" s="111">
        <v>1.0</v>
      </c>
      <c r="R423" s="111"/>
      <c r="S423" s="111"/>
      <c r="T423" s="111"/>
      <c r="U423" s="111"/>
      <c r="V423" s="111"/>
      <c r="W423" s="111"/>
      <c r="X423" s="111"/>
      <c r="Y423" s="111"/>
      <c r="Z423" s="111" t="s">
        <v>13002</v>
      </c>
      <c r="AA423" s="124"/>
      <c r="AB423" s="125">
        <f>AC423/(0.089*24*365/10^6)</f>
        <v>4681.64794</v>
      </c>
      <c r="AC423" s="126">
        <f>10*365/1000</f>
        <v>3.65</v>
      </c>
      <c r="AD423" s="125"/>
      <c r="AE423" s="125">
        <f t="shared" si="62"/>
        <v>4681.64794</v>
      </c>
      <c r="AF423" s="127" t="s">
        <v>13003</v>
      </c>
      <c r="AG423" s="127">
        <v>36.2476699517917</v>
      </c>
      <c r="AH423" s="127">
        <v>-115.355276992509</v>
      </c>
      <c r="AI423" s="115" t="s">
        <v>12241</v>
      </c>
      <c r="AJ423" s="116">
        <v>0.9</v>
      </c>
      <c r="AK423" s="117"/>
      <c r="AL423" s="117"/>
      <c r="AM423" s="117"/>
      <c r="AN423" s="117"/>
      <c r="AO423" s="117"/>
    </row>
    <row r="424" ht="27.0" customHeight="1">
      <c r="A424" s="111">
        <v>770.0</v>
      </c>
      <c r="B424" s="111" t="s">
        <v>8402</v>
      </c>
      <c r="C424" s="111" t="s">
        <v>8071</v>
      </c>
      <c r="D424" s="111">
        <v>2022.0</v>
      </c>
      <c r="E424" s="111"/>
      <c r="F424" s="111" t="s">
        <v>12385</v>
      </c>
      <c r="G424" s="111" t="s">
        <v>12226</v>
      </c>
      <c r="H424" s="111"/>
      <c r="I424" s="111" t="s">
        <v>12394</v>
      </c>
      <c r="J424" s="111" t="s">
        <v>12292</v>
      </c>
      <c r="K424" s="111" t="s">
        <v>12251</v>
      </c>
      <c r="L424" s="111"/>
      <c r="M424" s="111"/>
      <c r="N424" s="111">
        <v>1.0</v>
      </c>
      <c r="O424" s="111"/>
      <c r="P424" s="111"/>
      <c r="Q424" s="111"/>
      <c r="R424" s="111"/>
      <c r="S424" s="111"/>
      <c r="T424" s="111"/>
      <c r="U424" s="111"/>
      <c r="V424" s="111"/>
      <c r="W424" s="111">
        <v>1.0</v>
      </c>
      <c r="X424" s="111"/>
      <c r="Y424" s="111"/>
      <c r="Z424" s="111" t="s">
        <v>13004</v>
      </c>
      <c r="AA424" s="124">
        <v>1.0</v>
      </c>
      <c r="AB424" s="125">
        <f>IF(Projects!$AI424="Electrolysis",
AA424/VLOOKUP(G424,ElectrolysisConvF,3,FALSE),
AC424*10^6/(H2dens*HoursInYear))</f>
        <v>192.3076923</v>
      </c>
      <c r="AC424" s="126">
        <f t="shared" ref="AC424:AC427" si="64">AB424*H2dens*HoursInYear/10^6</f>
        <v>0.1499307692</v>
      </c>
      <c r="AD424" s="125"/>
      <c r="AE424" s="125">
        <f t="shared" si="62"/>
        <v>192.3076923</v>
      </c>
      <c r="AF424" s="127" t="s">
        <v>13005</v>
      </c>
      <c r="AG424" s="127">
        <v>-52.0278233332627</v>
      </c>
      <c r="AH424" s="127">
        <v>-72.3950137977037</v>
      </c>
      <c r="AI424" s="115" t="s">
        <v>12383</v>
      </c>
      <c r="AJ424" s="116">
        <v>0.4</v>
      </c>
      <c r="AK424" s="117"/>
      <c r="AL424" s="117"/>
      <c r="AM424" s="117"/>
      <c r="AN424" s="117"/>
      <c r="AO424" s="117"/>
    </row>
    <row r="425" ht="34.5" customHeight="1">
      <c r="A425" s="111">
        <v>771.0</v>
      </c>
      <c r="B425" s="111" t="s">
        <v>8403</v>
      </c>
      <c r="C425" s="111" t="s">
        <v>7967</v>
      </c>
      <c r="D425" s="111">
        <v>2025.0</v>
      </c>
      <c r="E425" s="111"/>
      <c r="F425" s="111" t="s">
        <v>12393</v>
      </c>
      <c r="G425" s="111" t="s">
        <v>12224</v>
      </c>
      <c r="H425" s="111"/>
      <c r="I425" s="111" t="s">
        <v>12394</v>
      </c>
      <c r="J425" s="111" t="s">
        <v>12293</v>
      </c>
      <c r="K425" s="111" t="s">
        <v>30</v>
      </c>
      <c r="L425" s="111">
        <v>1.0</v>
      </c>
      <c r="M425" s="111"/>
      <c r="N425" s="111"/>
      <c r="O425" s="111"/>
      <c r="P425" s="111"/>
      <c r="Q425" s="111"/>
      <c r="R425" s="111"/>
      <c r="S425" s="111"/>
      <c r="T425" s="111"/>
      <c r="U425" s="111"/>
      <c r="V425" s="111"/>
      <c r="W425" s="111"/>
      <c r="X425" s="111"/>
      <c r="Y425" s="111"/>
      <c r="Z425" s="111" t="s">
        <v>13006</v>
      </c>
      <c r="AA425" s="124">
        <v>200.0</v>
      </c>
      <c r="AB425" s="125">
        <f>IF(Projects!$AI425="Electrolysis",
AA425/VLOOKUP(G425,ElectrolysisConvF,3,FALSE),
AC425*10^6/(H2dens*HoursInYear))</f>
        <v>43478.26087</v>
      </c>
      <c r="AC425" s="126">
        <f t="shared" si="64"/>
        <v>33.8973913</v>
      </c>
      <c r="AD425" s="125"/>
      <c r="AE425" s="125">
        <f t="shared" si="62"/>
        <v>43478.26087</v>
      </c>
      <c r="AF425" s="127" t="s">
        <v>13007</v>
      </c>
      <c r="AG425" s="127">
        <v>51.9468389546096</v>
      </c>
      <c r="AH425" s="127">
        <v>4.00975189191162</v>
      </c>
      <c r="AI425" s="115" t="s">
        <v>12383</v>
      </c>
      <c r="AJ425" s="116">
        <v>0.55</v>
      </c>
      <c r="AK425" s="117"/>
      <c r="AL425" s="117"/>
      <c r="AM425" s="117"/>
      <c r="AN425" s="117"/>
      <c r="AO425" s="117"/>
    </row>
    <row r="426" ht="34.5" customHeight="1">
      <c r="A426" s="111">
        <v>772.0</v>
      </c>
      <c r="B426" s="111" t="s">
        <v>8404</v>
      </c>
      <c r="C426" s="111" t="s">
        <v>8021</v>
      </c>
      <c r="D426" s="111">
        <v>2024.0</v>
      </c>
      <c r="E426" s="111"/>
      <c r="F426" s="111" t="s">
        <v>12393</v>
      </c>
      <c r="G426" s="111" t="s">
        <v>12226</v>
      </c>
      <c r="H426" s="111"/>
      <c r="I426" s="111" t="s">
        <v>12394</v>
      </c>
      <c r="J426" s="111" t="s">
        <v>12295</v>
      </c>
      <c r="K426" s="111" t="s">
        <v>30</v>
      </c>
      <c r="L426" s="111"/>
      <c r="M426" s="111"/>
      <c r="N426" s="111"/>
      <c r="O426" s="111"/>
      <c r="P426" s="111">
        <v>1.0</v>
      </c>
      <c r="Q426" s="111">
        <v>1.0</v>
      </c>
      <c r="R426" s="111"/>
      <c r="S426" s="111"/>
      <c r="T426" s="111"/>
      <c r="U426" s="111"/>
      <c r="V426" s="111"/>
      <c r="W426" s="111"/>
      <c r="X426" s="111"/>
      <c r="Y426" s="111"/>
      <c r="Z426" s="111" t="s">
        <v>12908</v>
      </c>
      <c r="AA426" s="124">
        <v>1.0</v>
      </c>
      <c r="AB426" s="125">
        <f>IF(Projects!$AI426="Electrolysis",
AA426/VLOOKUP(G426,ElectrolysisConvF,3,FALSE),
AC426*10^6/(H2dens*HoursInYear))</f>
        <v>192.3076923</v>
      </c>
      <c r="AC426" s="126">
        <f t="shared" si="64"/>
        <v>0.1499307692</v>
      </c>
      <c r="AD426" s="125"/>
      <c r="AE426" s="125">
        <f t="shared" si="62"/>
        <v>192.3076923</v>
      </c>
      <c r="AF426" s="127" t="s">
        <v>13008</v>
      </c>
      <c r="AG426" s="127">
        <v>-19.3311686344704</v>
      </c>
      <c r="AH426" s="127">
        <v>146.883995766265</v>
      </c>
      <c r="AI426" s="115" t="s">
        <v>12383</v>
      </c>
      <c r="AJ426" s="116">
        <v>0.5</v>
      </c>
      <c r="AK426" s="117"/>
      <c r="AL426" s="117"/>
      <c r="AM426" s="117"/>
      <c r="AN426" s="117"/>
      <c r="AO426" s="117"/>
    </row>
    <row r="427" ht="34.5" customHeight="1">
      <c r="A427" s="111">
        <v>773.0</v>
      </c>
      <c r="B427" s="111" t="s">
        <v>8405</v>
      </c>
      <c r="C427" s="111" t="s">
        <v>7977</v>
      </c>
      <c r="D427" s="111">
        <v>2022.0</v>
      </c>
      <c r="E427" s="111"/>
      <c r="F427" s="111" t="s">
        <v>12385</v>
      </c>
      <c r="G427" s="111" t="s">
        <v>12226</v>
      </c>
      <c r="H427" s="111"/>
      <c r="I427" s="111" t="s">
        <v>12406</v>
      </c>
      <c r="J427" s="111"/>
      <c r="K427" s="111" t="s">
        <v>30</v>
      </c>
      <c r="L427" s="111"/>
      <c r="M427" s="111"/>
      <c r="N427" s="111"/>
      <c r="O427" s="111"/>
      <c r="P427" s="111"/>
      <c r="Q427" s="111">
        <v>1.0</v>
      </c>
      <c r="R427" s="111"/>
      <c r="S427" s="111"/>
      <c r="T427" s="111"/>
      <c r="U427" s="111"/>
      <c r="V427" s="111"/>
      <c r="W427" s="111"/>
      <c r="X427" s="111"/>
      <c r="Y427" s="111"/>
      <c r="Z427" s="111" t="s">
        <v>12395</v>
      </c>
      <c r="AA427" s="126">
        <v>2.5</v>
      </c>
      <c r="AB427" s="125">
        <f>IF(Projects!$AI427="Electrolysis",
AA427/VLOOKUP(G427,ElectrolysisConvF,3,FALSE),
AC427*10^6/(H2dens*HoursInYear))</f>
        <v>480.7692308</v>
      </c>
      <c r="AC427" s="126">
        <f t="shared" si="64"/>
        <v>0.3748269231</v>
      </c>
      <c r="AD427" s="125"/>
      <c r="AE427" s="125">
        <f t="shared" si="62"/>
        <v>480.7692308</v>
      </c>
      <c r="AF427" s="127" t="s">
        <v>13009</v>
      </c>
      <c r="AG427" s="127">
        <v>41.3904683047587</v>
      </c>
      <c r="AH427" s="127">
        <v>2.16988385449095</v>
      </c>
      <c r="AI427" s="115" t="s">
        <v>12383</v>
      </c>
      <c r="AJ427" s="116">
        <v>0.57</v>
      </c>
      <c r="AK427" s="117"/>
      <c r="AL427" s="117"/>
      <c r="AM427" s="117"/>
      <c r="AN427" s="117"/>
      <c r="AO427" s="117"/>
    </row>
    <row r="428" ht="41.25" customHeight="1">
      <c r="A428" s="111">
        <v>774.0</v>
      </c>
      <c r="B428" s="111" t="s">
        <v>8406</v>
      </c>
      <c r="C428" s="111" t="s">
        <v>8087</v>
      </c>
      <c r="D428" s="111"/>
      <c r="E428" s="111"/>
      <c r="F428" s="111" t="s">
        <v>12397</v>
      </c>
      <c r="G428" s="111" t="s">
        <v>12381</v>
      </c>
      <c r="H428" s="111" t="s">
        <v>12230</v>
      </c>
      <c r="I428" s="111" t="s">
        <v>12287</v>
      </c>
      <c r="J428" s="111"/>
      <c r="K428" s="111" t="s">
        <v>30</v>
      </c>
      <c r="L428" s="111"/>
      <c r="M428" s="111"/>
      <c r="N428" s="111"/>
      <c r="O428" s="111"/>
      <c r="P428" s="111"/>
      <c r="Q428" s="111">
        <v>1.0</v>
      </c>
      <c r="R428" s="111"/>
      <c r="S428" s="111"/>
      <c r="T428" s="111"/>
      <c r="U428" s="111"/>
      <c r="V428" s="111"/>
      <c r="W428" s="111"/>
      <c r="X428" s="111"/>
      <c r="Y428" s="111"/>
      <c r="Z428" s="111"/>
      <c r="AA428" s="124"/>
      <c r="AB428" s="125"/>
      <c r="AC428" s="126"/>
      <c r="AD428" s="125"/>
      <c r="AE428" s="125" t="str">
        <f t="shared" si="62"/>
        <v/>
      </c>
      <c r="AF428" s="127" t="s">
        <v>13010</v>
      </c>
      <c r="AG428" s="127">
        <v>50.4711453561847</v>
      </c>
      <c r="AH428" s="127">
        <v>4.45872354276505</v>
      </c>
      <c r="AI428" s="115" t="s">
        <v>12383</v>
      </c>
      <c r="AJ428" s="116">
        <v>0.57</v>
      </c>
      <c r="AK428" s="117"/>
      <c r="AL428" s="117"/>
      <c r="AM428" s="117"/>
      <c r="AN428" s="117"/>
      <c r="AO428" s="117"/>
    </row>
    <row r="429" ht="34.5" customHeight="1">
      <c r="A429" s="111">
        <v>775.0</v>
      </c>
      <c r="B429" s="111" t="s">
        <v>8407</v>
      </c>
      <c r="C429" s="111" t="s">
        <v>7977</v>
      </c>
      <c r="D429" s="111">
        <v>2015.0</v>
      </c>
      <c r="E429" s="111"/>
      <c r="F429" s="111" t="s">
        <v>12385</v>
      </c>
      <c r="G429" s="111" t="s">
        <v>12224</v>
      </c>
      <c r="H429" s="111"/>
      <c r="I429" s="111" t="s">
        <v>12394</v>
      </c>
      <c r="J429" s="111" t="s">
        <v>12291</v>
      </c>
      <c r="K429" s="111" t="s">
        <v>30</v>
      </c>
      <c r="L429" s="111"/>
      <c r="M429" s="111"/>
      <c r="N429" s="111"/>
      <c r="O429" s="111"/>
      <c r="P429" s="111"/>
      <c r="Q429" s="111">
        <v>1.0</v>
      </c>
      <c r="R429" s="111"/>
      <c r="S429" s="111"/>
      <c r="T429" s="111"/>
      <c r="U429" s="111"/>
      <c r="V429" s="111"/>
      <c r="W429" s="111"/>
      <c r="X429" s="111"/>
      <c r="Y429" s="111"/>
      <c r="Z429" s="111" t="s">
        <v>13011</v>
      </c>
      <c r="AA429" s="124">
        <v>0.06</v>
      </c>
      <c r="AB429" s="125">
        <f>IF(Projects!$AI429="Electrolysis",
AA429/VLOOKUP(G429,ElectrolysisConvF,3,FALSE),
AC429*10^6/(H2dens*HoursInYear))</f>
        <v>13.04347826</v>
      </c>
      <c r="AC429" s="126">
        <f t="shared" ref="AC429:AC432" si="65">AB429*H2dens*HoursInYear/10^6</f>
        <v>0.01016921739</v>
      </c>
      <c r="AD429" s="125"/>
      <c r="AE429" s="125">
        <f t="shared" si="62"/>
        <v>13.04347826</v>
      </c>
      <c r="AF429" s="127"/>
      <c r="AG429" s="127">
        <v>38.6890841677747</v>
      </c>
      <c r="AH429" s="127">
        <v>-4.10641149336091</v>
      </c>
      <c r="AI429" s="115" t="s">
        <v>12383</v>
      </c>
      <c r="AJ429" s="116">
        <v>0.3</v>
      </c>
      <c r="AK429" s="117"/>
      <c r="AL429" s="117"/>
      <c r="AM429" s="117"/>
      <c r="AN429" s="117"/>
      <c r="AO429" s="117"/>
    </row>
    <row r="430" ht="34.5" customHeight="1">
      <c r="A430" s="111">
        <v>776.0</v>
      </c>
      <c r="B430" s="111" t="s">
        <v>8408</v>
      </c>
      <c r="C430" s="111" t="s">
        <v>7977</v>
      </c>
      <c r="D430" s="111">
        <v>2026.0</v>
      </c>
      <c r="E430" s="111"/>
      <c r="F430" s="111" t="s">
        <v>12399</v>
      </c>
      <c r="G430" s="111" t="s">
        <v>12381</v>
      </c>
      <c r="H430" s="111" t="s">
        <v>12230</v>
      </c>
      <c r="I430" s="111" t="s">
        <v>12394</v>
      </c>
      <c r="J430" s="111" t="s">
        <v>12291</v>
      </c>
      <c r="K430" s="111" t="s">
        <v>174</v>
      </c>
      <c r="L430" s="111"/>
      <c r="M430" s="111">
        <v>1.0</v>
      </c>
      <c r="N430" s="111"/>
      <c r="O430" s="111"/>
      <c r="P430" s="111"/>
      <c r="Q430" s="111"/>
      <c r="R430" s="111"/>
      <c r="S430" s="111"/>
      <c r="T430" s="111"/>
      <c r="U430" s="111"/>
      <c r="V430" s="111"/>
      <c r="W430" s="111"/>
      <c r="X430" s="111"/>
      <c r="Y430" s="111"/>
      <c r="Z430" s="111" t="s">
        <v>13006</v>
      </c>
      <c r="AA430" s="124">
        <v>200.0</v>
      </c>
      <c r="AB430" s="125">
        <f>IF(Projects!$AI430="Electrolysis",
AA430/VLOOKUP(G430,ElectrolysisConvF,3,FALSE),
AC430*10^6/(H2dens*HoursInYear))</f>
        <v>44444.44444</v>
      </c>
      <c r="AC430" s="126">
        <f t="shared" si="65"/>
        <v>34.65066667</v>
      </c>
      <c r="AD430" s="125"/>
      <c r="AE430" s="125">
        <f t="shared" si="62"/>
        <v>44444.44444</v>
      </c>
      <c r="AF430" s="127" t="s">
        <v>13012</v>
      </c>
      <c r="AG430" s="127">
        <v>37.1822851369487</v>
      </c>
      <c r="AH430" s="127">
        <v>-6.88865570296401</v>
      </c>
      <c r="AI430" s="115" t="s">
        <v>12383</v>
      </c>
      <c r="AJ430" s="116">
        <v>0.3</v>
      </c>
      <c r="AK430" s="117"/>
      <c r="AL430" s="117"/>
      <c r="AM430" s="117"/>
      <c r="AN430" s="117"/>
      <c r="AO430" s="117"/>
    </row>
    <row r="431" ht="34.5" customHeight="1">
      <c r="A431" s="111">
        <v>777.0</v>
      </c>
      <c r="B431" s="111" t="s">
        <v>8409</v>
      </c>
      <c r="C431" s="111" t="s">
        <v>8011</v>
      </c>
      <c r="D431" s="111">
        <v>2022.0</v>
      </c>
      <c r="E431" s="111"/>
      <c r="F431" s="111" t="s">
        <v>12418</v>
      </c>
      <c r="G431" s="111" t="s">
        <v>12226</v>
      </c>
      <c r="H431" s="111"/>
      <c r="I431" s="111" t="s">
        <v>12406</v>
      </c>
      <c r="J431" s="111"/>
      <c r="K431" s="111" t="s">
        <v>30</v>
      </c>
      <c r="L431" s="111"/>
      <c r="M431" s="111"/>
      <c r="N431" s="111"/>
      <c r="O431" s="111"/>
      <c r="P431" s="111"/>
      <c r="Q431" s="111"/>
      <c r="R431" s="111">
        <v>1.0</v>
      </c>
      <c r="S431" s="111"/>
      <c r="T431" s="111"/>
      <c r="U431" s="111"/>
      <c r="V431" s="111"/>
      <c r="W431" s="111"/>
      <c r="X431" s="111"/>
      <c r="Y431" s="111"/>
      <c r="Z431" s="111" t="s">
        <v>13013</v>
      </c>
      <c r="AA431" s="124">
        <v>1.6</v>
      </c>
      <c r="AB431" s="125">
        <f>IF(Projects!$AI431="Electrolysis",
AA431/VLOOKUP(G431,ElectrolysisConvF,3,FALSE),
AC431*10^6/(H2dens*HoursInYear))</f>
        <v>307.6923077</v>
      </c>
      <c r="AC431" s="126">
        <f t="shared" si="65"/>
        <v>0.2398892308</v>
      </c>
      <c r="AD431" s="125"/>
      <c r="AE431" s="125">
        <f t="shared" si="62"/>
        <v>307.6923077</v>
      </c>
      <c r="AF431" s="127" t="s">
        <v>13014</v>
      </c>
      <c r="AG431" s="127">
        <v>45.8730893260979</v>
      </c>
      <c r="AH431" s="127">
        <v>0.833451996796825</v>
      </c>
      <c r="AI431" s="115" t="s">
        <v>12383</v>
      </c>
      <c r="AJ431" s="116">
        <v>0.57</v>
      </c>
      <c r="AK431" s="117"/>
      <c r="AL431" s="117"/>
      <c r="AM431" s="117"/>
      <c r="AN431" s="117"/>
      <c r="AO431" s="117"/>
    </row>
    <row r="432" ht="34.5" customHeight="1">
      <c r="A432" s="111">
        <v>778.0</v>
      </c>
      <c r="B432" s="111" t="s">
        <v>8410</v>
      </c>
      <c r="C432" s="111" t="s">
        <v>7987</v>
      </c>
      <c r="D432" s="111">
        <v>2026.0</v>
      </c>
      <c r="E432" s="111"/>
      <c r="F432" s="111" t="s">
        <v>12393</v>
      </c>
      <c r="G432" s="111" t="s">
        <v>12226</v>
      </c>
      <c r="H432" s="111"/>
      <c r="I432" s="111" t="s">
        <v>12394</v>
      </c>
      <c r="J432" s="111" t="s">
        <v>12295</v>
      </c>
      <c r="K432" s="111" t="s">
        <v>30</v>
      </c>
      <c r="L432" s="111"/>
      <c r="M432" s="111"/>
      <c r="N432" s="111"/>
      <c r="O432" s="111"/>
      <c r="P432" s="111">
        <v>1.0</v>
      </c>
      <c r="Q432" s="111">
        <v>1.0</v>
      </c>
      <c r="R432" s="111"/>
      <c r="S432" s="111">
        <v>1.0</v>
      </c>
      <c r="T432" s="111"/>
      <c r="U432" s="111"/>
      <c r="V432" s="111"/>
      <c r="W432" s="111"/>
      <c r="X432" s="111"/>
      <c r="Y432" s="111"/>
      <c r="Z432" s="111" t="s">
        <v>13015</v>
      </c>
      <c r="AA432" s="124">
        <v>53.0</v>
      </c>
      <c r="AB432" s="125">
        <f>IF(Projects!$AI432="Electrolysis",
AA432/VLOOKUP(G432,ElectrolysisConvF,3,FALSE),
AC432*10^6/(H2dens*HoursInYear))</f>
        <v>10192.30769</v>
      </c>
      <c r="AC432" s="126">
        <f t="shared" si="65"/>
        <v>7.946330769</v>
      </c>
      <c r="AD432" s="125"/>
      <c r="AE432" s="125">
        <f t="shared" si="62"/>
        <v>10192.30769</v>
      </c>
      <c r="AF432" s="127" t="s">
        <v>13016</v>
      </c>
      <c r="AG432" s="127">
        <v>49.239995</v>
      </c>
      <c r="AH432" s="127">
        <v>6.84135</v>
      </c>
      <c r="AI432" s="115" t="s">
        <v>12383</v>
      </c>
      <c r="AJ432" s="116">
        <v>0.5</v>
      </c>
      <c r="AK432" s="117"/>
      <c r="AL432" s="117"/>
      <c r="AM432" s="117"/>
      <c r="AN432" s="117"/>
      <c r="AO432" s="117"/>
    </row>
    <row r="433" ht="34.5" customHeight="1">
      <c r="A433" s="111">
        <v>779.0</v>
      </c>
      <c r="B433" s="111" t="s">
        <v>8411</v>
      </c>
      <c r="C433" s="111" t="s">
        <v>7981</v>
      </c>
      <c r="D433" s="111">
        <v>2024.0</v>
      </c>
      <c r="E433" s="111"/>
      <c r="F433" s="111" t="s">
        <v>12393</v>
      </c>
      <c r="G433" s="111" t="s">
        <v>12239</v>
      </c>
      <c r="H433" s="111" t="s">
        <v>13017</v>
      </c>
      <c r="I433" s="111"/>
      <c r="J433" s="111"/>
      <c r="K433" s="111" t="s">
        <v>30</v>
      </c>
      <c r="L433" s="111"/>
      <c r="M433" s="111"/>
      <c r="N433" s="111"/>
      <c r="O433" s="111"/>
      <c r="P433" s="111"/>
      <c r="Q433" s="111">
        <v>1.0</v>
      </c>
      <c r="R433" s="111"/>
      <c r="S433" s="111"/>
      <c r="T433" s="111"/>
      <c r="U433" s="111"/>
      <c r="V433" s="111"/>
      <c r="W433" s="111"/>
      <c r="X433" s="111"/>
      <c r="Y433" s="111"/>
      <c r="Z433" s="111" t="s">
        <v>13018</v>
      </c>
      <c r="AA433" s="124"/>
      <c r="AB433" s="125">
        <f>AC433/(0.089*24*365/10^6)</f>
        <v>5617.977528</v>
      </c>
      <c r="AC433" s="126">
        <f>12000*365/1000/1000</f>
        <v>4.38</v>
      </c>
      <c r="AD433" s="125"/>
      <c r="AE433" s="125">
        <f t="shared" si="62"/>
        <v>5617.977528</v>
      </c>
      <c r="AF433" s="127" t="s">
        <v>13019</v>
      </c>
      <c r="AG433" s="127">
        <v>34.7211822166102</v>
      </c>
      <c r="AH433" s="127">
        <v>-118.166346756882</v>
      </c>
      <c r="AI433" s="115" t="s">
        <v>12241</v>
      </c>
      <c r="AJ433" s="116">
        <v>0.9</v>
      </c>
      <c r="AK433" s="117"/>
      <c r="AL433" s="117"/>
      <c r="AM433" s="117"/>
      <c r="AN433" s="117"/>
      <c r="AO433" s="117"/>
    </row>
    <row r="434" ht="34.5" customHeight="1">
      <c r="A434" s="111">
        <v>780.0</v>
      </c>
      <c r="B434" s="111" t="s">
        <v>8412</v>
      </c>
      <c r="C434" s="111" t="s">
        <v>8413</v>
      </c>
      <c r="D434" s="111">
        <v>2025.0</v>
      </c>
      <c r="E434" s="111"/>
      <c r="F434" s="111" t="s">
        <v>12399</v>
      </c>
      <c r="G434" s="111" t="s">
        <v>12381</v>
      </c>
      <c r="H434" s="111" t="s">
        <v>12230</v>
      </c>
      <c r="I434" s="111" t="s">
        <v>12287</v>
      </c>
      <c r="J434" s="111" t="s">
        <v>12291</v>
      </c>
      <c r="K434" s="111" t="s">
        <v>30</v>
      </c>
      <c r="L434" s="111"/>
      <c r="M434" s="111"/>
      <c r="N434" s="111"/>
      <c r="O434" s="111"/>
      <c r="P434" s="111"/>
      <c r="Q434" s="111">
        <v>1.0</v>
      </c>
      <c r="R434" s="111"/>
      <c r="S434" s="111"/>
      <c r="T434" s="111"/>
      <c r="U434" s="111"/>
      <c r="V434" s="111"/>
      <c r="W434" s="111"/>
      <c r="X434" s="111"/>
      <c r="Y434" s="111"/>
      <c r="Z434" s="111" t="s">
        <v>12835</v>
      </c>
      <c r="AA434" s="124">
        <v>5.0</v>
      </c>
      <c r="AB434" s="125">
        <f>IF(Projects!$AI434="Electrolysis",
AA434/VLOOKUP(G434,ElectrolysisConvF,3,FALSE),
AC434*10^6/(H2dens*HoursInYear))</f>
        <v>1111.111111</v>
      </c>
      <c r="AC434" s="126">
        <f>AB434*H2dens*HoursInYear/10^6</f>
        <v>0.8662666667</v>
      </c>
      <c r="AD434" s="125"/>
      <c r="AE434" s="125">
        <f t="shared" si="62"/>
        <v>1111.111111</v>
      </c>
      <c r="AF434" s="127" t="s">
        <v>13020</v>
      </c>
      <c r="AG434" s="127">
        <v>-34.8003441277612</v>
      </c>
      <c r="AH434" s="127">
        <v>-56.1960983001438</v>
      </c>
      <c r="AI434" s="115" t="s">
        <v>12383</v>
      </c>
      <c r="AJ434" s="116">
        <v>0.57</v>
      </c>
      <c r="AK434" s="117"/>
      <c r="AL434" s="117"/>
      <c r="AM434" s="117"/>
      <c r="AN434" s="117"/>
      <c r="AO434" s="117"/>
    </row>
    <row r="435" ht="37.5" customHeight="1">
      <c r="A435" s="111">
        <v>781.0</v>
      </c>
      <c r="B435" s="111" t="s">
        <v>8414</v>
      </c>
      <c r="C435" s="111" t="s">
        <v>7981</v>
      </c>
      <c r="D435" s="111">
        <v>2021.0</v>
      </c>
      <c r="E435" s="111"/>
      <c r="F435" s="111" t="s">
        <v>12385</v>
      </c>
      <c r="G435" s="111" t="s">
        <v>12241</v>
      </c>
      <c r="H435" s="111" t="s">
        <v>13021</v>
      </c>
      <c r="I435" s="111"/>
      <c r="J435" s="111"/>
      <c r="K435" s="111" t="s">
        <v>30</v>
      </c>
      <c r="L435" s="111"/>
      <c r="M435" s="111"/>
      <c r="N435" s="111"/>
      <c r="O435" s="111"/>
      <c r="P435" s="111"/>
      <c r="Q435" s="111"/>
      <c r="R435" s="111"/>
      <c r="S435" s="111"/>
      <c r="T435" s="111"/>
      <c r="U435" s="111"/>
      <c r="V435" s="111"/>
      <c r="W435" s="111"/>
      <c r="X435" s="111"/>
      <c r="Y435" s="111"/>
      <c r="Z435" s="111" t="s">
        <v>13022</v>
      </c>
      <c r="AA435" s="124"/>
      <c r="AB435" s="125">
        <f t="shared" ref="AB435:AB436" si="66">AC435/(0.089*24*365/10^6)</f>
        <v>6413.216356</v>
      </c>
      <c r="AC435" s="126">
        <v>5.0</v>
      </c>
      <c r="AD435" s="125"/>
      <c r="AE435" s="125">
        <f t="shared" si="62"/>
        <v>6413.216356</v>
      </c>
      <c r="AF435" s="127" t="s">
        <v>13023</v>
      </c>
      <c r="AG435" s="127">
        <v>40.5657915338582</v>
      </c>
      <c r="AH435" s="127">
        <v>-96.8132642131967</v>
      </c>
      <c r="AI435" s="115" t="s">
        <v>12241</v>
      </c>
      <c r="AJ435" s="116">
        <v>0.9</v>
      </c>
      <c r="AK435" s="117"/>
      <c r="AL435" s="117"/>
      <c r="AM435" s="117"/>
      <c r="AN435" s="117"/>
      <c r="AO435" s="117"/>
    </row>
    <row r="436" ht="34.5" customHeight="1">
      <c r="A436" s="111">
        <v>782.0</v>
      </c>
      <c r="B436" s="111" t="s">
        <v>8415</v>
      </c>
      <c r="C436" s="111" t="s">
        <v>7981</v>
      </c>
      <c r="D436" s="111">
        <v>2025.0</v>
      </c>
      <c r="E436" s="111"/>
      <c r="F436" s="111" t="s">
        <v>12399</v>
      </c>
      <c r="G436" s="111" t="s">
        <v>12241</v>
      </c>
      <c r="H436" s="111" t="s">
        <v>13021</v>
      </c>
      <c r="I436" s="111"/>
      <c r="J436" s="111"/>
      <c r="K436" s="111" t="s">
        <v>174</v>
      </c>
      <c r="L436" s="111"/>
      <c r="M436" s="111">
        <v>1.0</v>
      </c>
      <c r="N436" s="111"/>
      <c r="O436" s="111"/>
      <c r="P436" s="111"/>
      <c r="Q436" s="111"/>
      <c r="R436" s="111"/>
      <c r="S436" s="111"/>
      <c r="T436" s="111"/>
      <c r="U436" s="111"/>
      <c r="V436" s="111"/>
      <c r="W436" s="111"/>
      <c r="X436" s="111"/>
      <c r="Y436" s="111"/>
      <c r="Z436" s="111" t="s">
        <v>13024</v>
      </c>
      <c r="AA436" s="124"/>
      <c r="AB436" s="125">
        <f t="shared" si="66"/>
        <v>63516.23826</v>
      </c>
      <c r="AC436" s="126">
        <f>275*0.180072</f>
        <v>49.5198</v>
      </c>
      <c r="AD436" s="125"/>
      <c r="AE436" s="125">
        <f t="shared" si="62"/>
        <v>63516.23826</v>
      </c>
      <c r="AF436" s="127" t="s">
        <v>13023</v>
      </c>
      <c r="AG436" s="127">
        <v>40.5657915338582</v>
      </c>
      <c r="AH436" s="127">
        <v>-96.8132642131967</v>
      </c>
      <c r="AI436" s="115" t="s">
        <v>12241</v>
      </c>
      <c r="AJ436" s="116">
        <v>0.9</v>
      </c>
      <c r="AK436" s="117"/>
      <c r="AL436" s="117"/>
      <c r="AM436" s="117"/>
      <c r="AN436" s="117"/>
      <c r="AO436" s="117"/>
    </row>
    <row r="437" ht="34.5" customHeight="1">
      <c r="A437" s="111">
        <v>783.0</v>
      </c>
      <c r="B437" s="111" t="s">
        <v>8416</v>
      </c>
      <c r="C437" s="111" t="s">
        <v>7977</v>
      </c>
      <c r="D437" s="111">
        <v>2028.0</v>
      </c>
      <c r="E437" s="111"/>
      <c r="F437" s="111" t="s">
        <v>12399</v>
      </c>
      <c r="G437" s="111" t="s">
        <v>12381</v>
      </c>
      <c r="H437" s="111" t="s">
        <v>12230</v>
      </c>
      <c r="I437" s="111" t="s">
        <v>12394</v>
      </c>
      <c r="J437" s="111" t="s">
        <v>12291</v>
      </c>
      <c r="K437" s="111" t="s">
        <v>174</v>
      </c>
      <c r="L437" s="111"/>
      <c r="M437" s="111">
        <v>1.0</v>
      </c>
      <c r="N437" s="111"/>
      <c r="O437" s="111"/>
      <c r="P437" s="111"/>
      <c r="Q437" s="111"/>
      <c r="R437" s="111"/>
      <c r="S437" s="111"/>
      <c r="T437" s="111"/>
      <c r="U437" s="111"/>
      <c r="V437" s="111"/>
      <c r="W437" s="111"/>
      <c r="X437" s="111"/>
      <c r="Y437" s="111"/>
      <c r="Z437" s="111" t="s">
        <v>13025</v>
      </c>
      <c r="AA437" s="124">
        <v>360.0</v>
      </c>
      <c r="AB437" s="125">
        <f>IF(Projects!$AI437="Electrolysis",
AA437/VLOOKUP(G437,ElectrolysisConvF,3,FALSE),
AC437*10^6/(H2dens*HoursInYear))</f>
        <v>80000</v>
      </c>
      <c r="AC437" s="126">
        <f t="shared" ref="AC437:AC438" si="67">AB437*H2dens*HoursInYear/10^6</f>
        <v>62.3712</v>
      </c>
      <c r="AD437" s="125"/>
      <c r="AE437" s="125">
        <f t="shared" si="62"/>
        <v>80000</v>
      </c>
      <c r="AF437" s="127" t="s">
        <v>12697</v>
      </c>
      <c r="AG437" s="127">
        <v>37.1822851369487</v>
      </c>
      <c r="AH437" s="127">
        <v>-6.88865570296401</v>
      </c>
      <c r="AI437" s="115" t="s">
        <v>12383</v>
      </c>
      <c r="AJ437" s="116">
        <v>0.3</v>
      </c>
      <c r="AK437" s="117"/>
      <c r="AL437" s="117"/>
      <c r="AM437" s="117"/>
      <c r="AN437" s="117"/>
      <c r="AO437" s="117"/>
    </row>
    <row r="438" ht="34.5" customHeight="1">
      <c r="A438" s="111">
        <v>784.0</v>
      </c>
      <c r="B438" s="111" t="s">
        <v>8417</v>
      </c>
      <c r="C438" s="111" t="s">
        <v>7981</v>
      </c>
      <c r="D438" s="111">
        <v>2024.0</v>
      </c>
      <c r="E438" s="111"/>
      <c r="F438" s="111" t="s">
        <v>12393</v>
      </c>
      <c r="G438" s="111" t="s">
        <v>12226</v>
      </c>
      <c r="H438" s="111"/>
      <c r="I438" s="111" t="s">
        <v>12406</v>
      </c>
      <c r="J438" s="111"/>
      <c r="K438" s="111" t="s">
        <v>30</v>
      </c>
      <c r="L438" s="111"/>
      <c r="M438" s="111"/>
      <c r="N438" s="111"/>
      <c r="O438" s="111"/>
      <c r="P438" s="111"/>
      <c r="Q438" s="111"/>
      <c r="R438" s="111">
        <v>1.0</v>
      </c>
      <c r="S438" s="111"/>
      <c r="T438" s="111"/>
      <c r="U438" s="111"/>
      <c r="V438" s="111"/>
      <c r="W438" s="111"/>
      <c r="X438" s="111"/>
      <c r="Y438" s="111"/>
      <c r="Z438" s="111" t="s">
        <v>12835</v>
      </c>
      <c r="AA438" s="124">
        <v>5.0</v>
      </c>
      <c r="AB438" s="125">
        <f>IF(Projects!$AI438="Electrolysis",
AA438/VLOOKUP(G438,ElectrolysisConvF,3,FALSE),
AC438*10^6/(H2dens*HoursInYear))</f>
        <v>961.5384615</v>
      </c>
      <c r="AC438" s="126">
        <f t="shared" si="67"/>
        <v>0.7496538462</v>
      </c>
      <c r="AD438" s="125"/>
      <c r="AE438" s="125">
        <f t="shared" si="62"/>
        <v>961.5384615</v>
      </c>
      <c r="AF438" s="127" t="s">
        <v>13026</v>
      </c>
      <c r="AG438" s="127">
        <v>47.4934484730822</v>
      </c>
      <c r="AH438" s="127">
        <v>-120.303227967588</v>
      </c>
      <c r="AI438" s="115" t="s">
        <v>12383</v>
      </c>
      <c r="AJ438" s="116">
        <v>0.57</v>
      </c>
      <c r="AK438" s="117"/>
      <c r="AL438" s="117"/>
      <c r="AM438" s="117"/>
      <c r="AN438" s="117"/>
      <c r="AO438" s="117"/>
    </row>
    <row r="439" ht="34.5" customHeight="1">
      <c r="A439" s="111">
        <v>785.0</v>
      </c>
      <c r="B439" s="111" t="s">
        <v>8418</v>
      </c>
      <c r="C439" s="111" t="s">
        <v>8001</v>
      </c>
      <c r="D439" s="111">
        <v>2021.0</v>
      </c>
      <c r="E439" s="111"/>
      <c r="F439" s="111" t="s">
        <v>12385</v>
      </c>
      <c r="G439" s="111" t="s">
        <v>12226</v>
      </c>
      <c r="H439" s="111"/>
      <c r="I439" s="111" t="s">
        <v>12394</v>
      </c>
      <c r="J439" s="111" t="s">
        <v>12295</v>
      </c>
      <c r="K439" s="111" t="s">
        <v>30</v>
      </c>
      <c r="L439" s="111"/>
      <c r="M439" s="111"/>
      <c r="N439" s="111"/>
      <c r="O439" s="111"/>
      <c r="P439" s="111"/>
      <c r="Q439" s="111">
        <v>1.0</v>
      </c>
      <c r="R439" s="111"/>
      <c r="S439" s="111"/>
      <c r="T439" s="111"/>
      <c r="U439" s="111"/>
      <c r="V439" s="111"/>
      <c r="W439" s="111"/>
      <c r="X439" s="111"/>
      <c r="Y439" s="111"/>
      <c r="Z439" s="111" t="s">
        <v>13027</v>
      </c>
      <c r="AA439" s="129">
        <f>IF(Projects!$AI439="Electrolysis",
AB439*VLOOKUP(G439,ElectrolysisConvF,3,FALSE),
"")</f>
        <v>4.138576779</v>
      </c>
      <c r="AB439" s="125">
        <f>AC439/(H2dens*HoursInYear/10^6)</f>
        <v>795.8801498</v>
      </c>
      <c r="AC439" s="126">
        <f>1.7*365/1000</f>
        <v>0.6205</v>
      </c>
      <c r="AD439" s="125"/>
      <c r="AE439" s="125">
        <f t="shared" si="62"/>
        <v>795.8801498</v>
      </c>
      <c r="AF439" s="127" t="s">
        <v>12953</v>
      </c>
      <c r="AG439" s="127">
        <v>40.7541708417371</v>
      </c>
      <c r="AH439" s="127">
        <v>115.032602305937</v>
      </c>
      <c r="AI439" s="115" t="s">
        <v>12383</v>
      </c>
      <c r="AJ439" s="116">
        <v>0.5</v>
      </c>
      <c r="AK439" s="117"/>
      <c r="AL439" s="117"/>
      <c r="AM439" s="117"/>
      <c r="AN439" s="117"/>
      <c r="AO439" s="117"/>
    </row>
    <row r="440" ht="34.5" customHeight="1">
      <c r="A440" s="111">
        <v>786.0</v>
      </c>
      <c r="B440" s="111" t="s">
        <v>8419</v>
      </c>
      <c r="C440" s="111" t="s">
        <v>7967</v>
      </c>
      <c r="D440" s="111">
        <v>2026.0</v>
      </c>
      <c r="E440" s="111"/>
      <c r="F440" s="111" t="s">
        <v>12399</v>
      </c>
      <c r="G440" s="111" t="s">
        <v>12226</v>
      </c>
      <c r="H440" s="111" t="s">
        <v>12230</v>
      </c>
      <c r="I440" s="111" t="s">
        <v>12394</v>
      </c>
      <c r="J440" s="111" t="s">
        <v>12295</v>
      </c>
      <c r="K440" s="111" t="s">
        <v>30</v>
      </c>
      <c r="L440" s="111"/>
      <c r="M440" s="111"/>
      <c r="N440" s="111"/>
      <c r="O440" s="111"/>
      <c r="P440" s="111">
        <v>1.0</v>
      </c>
      <c r="Q440" s="111">
        <v>1.0</v>
      </c>
      <c r="R440" s="111"/>
      <c r="S440" s="111">
        <v>1.0</v>
      </c>
      <c r="T440" s="111"/>
      <c r="U440" s="111"/>
      <c r="V440" s="111"/>
      <c r="W440" s="111"/>
      <c r="X440" s="111"/>
      <c r="Y440" s="111"/>
      <c r="Z440" s="111" t="s">
        <v>13028</v>
      </c>
      <c r="AA440" s="124">
        <v>5.0</v>
      </c>
      <c r="AB440" s="125">
        <f>IF(Projects!$AI440="Electrolysis",
AA440/VLOOKUP(G440,ElectrolysisConvF,3,FALSE),
AC440*10^6/(H2dens*HoursInYear))</f>
        <v>961.5384615</v>
      </c>
      <c r="AC440" s="126">
        <f t="shared" ref="AC440:AC441" si="68">AB440*H2dens*HoursInYear/10^6</f>
        <v>0.7496538462</v>
      </c>
      <c r="AD440" s="125"/>
      <c r="AE440" s="125">
        <f t="shared" si="62"/>
        <v>961.5384615</v>
      </c>
      <c r="AF440" s="127" t="s">
        <v>13029</v>
      </c>
      <c r="AG440" s="127">
        <v>51.5710797804898</v>
      </c>
      <c r="AH440" s="127">
        <v>5.26721793411254</v>
      </c>
      <c r="AI440" s="115" t="s">
        <v>12383</v>
      </c>
      <c r="AJ440" s="116">
        <v>0.5</v>
      </c>
      <c r="AK440" s="117"/>
      <c r="AL440" s="117"/>
      <c r="AM440" s="117"/>
      <c r="AN440" s="117"/>
      <c r="AO440" s="117"/>
    </row>
    <row r="441" ht="34.5" customHeight="1">
      <c r="A441" s="111">
        <v>787.0</v>
      </c>
      <c r="B441" s="111" t="s">
        <v>8420</v>
      </c>
      <c r="C441" s="111" t="s">
        <v>7967</v>
      </c>
      <c r="D441" s="111">
        <v>2026.0</v>
      </c>
      <c r="E441" s="111"/>
      <c r="F441" s="111" t="s">
        <v>12399</v>
      </c>
      <c r="G441" s="111" t="s">
        <v>12226</v>
      </c>
      <c r="H441" s="111"/>
      <c r="I441" s="111" t="s">
        <v>12394</v>
      </c>
      <c r="J441" s="111" t="s">
        <v>12292</v>
      </c>
      <c r="K441" s="111" t="s">
        <v>30</v>
      </c>
      <c r="L441" s="111"/>
      <c r="M441" s="111"/>
      <c r="N441" s="111"/>
      <c r="O441" s="111"/>
      <c r="P441" s="111"/>
      <c r="Q441" s="111">
        <v>1.0</v>
      </c>
      <c r="R441" s="111"/>
      <c r="S441" s="111"/>
      <c r="T441" s="111"/>
      <c r="U441" s="111"/>
      <c r="V441" s="111"/>
      <c r="W441" s="111"/>
      <c r="X441" s="111"/>
      <c r="Y441" s="111"/>
      <c r="Z441" s="111" t="s">
        <v>12603</v>
      </c>
      <c r="AA441" s="124">
        <v>5.0</v>
      </c>
      <c r="AB441" s="125">
        <f>IF(Projects!$AI441="Electrolysis",
AA441/VLOOKUP(G441,ElectrolysisConvF,3,FALSE),
AC441*10^6/(H2dens*HoursInYear))</f>
        <v>961.5384615</v>
      </c>
      <c r="AC441" s="126">
        <f t="shared" si="68"/>
        <v>0.7496538462</v>
      </c>
      <c r="AD441" s="125"/>
      <c r="AE441" s="125">
        <f t="shared" si="62"/>
        <v>961.5384615</v>
      </c>
      <c r="AF441" s="127" t="s">
        <v>13030</v>
      </c>
      <c r="AG441" s="127">
        <v>52.632355588033</v>
      </c>
      <c r="AH441" s="127">
        <v>4.74972314179003</v>
      </c>
      <c r="AI441" s="115" t="s">
        <v>12383</v>
      </c>
      <c r="AJ441" s="116">
        <v>0.4</v>
      </c>
      <c r="AK441" s="117"/>
      <c r="AL441" s="117"/>
      <c r="AM441" s="117"/>
      <c r="AN441" s="117"/>
      <c r="AO441" s="117"/>
    </row>
    <row r="442" ht="34.5" customHeight="1">
      <c r="A442" s="111">
        <v>788.0</v>
      </c>
      <c r="B442" s="111" t="s">
        <v>8421</v>
      </c>
      <c r="C442" s="111" t="s">
        <v>8001</v>
      </c>
      <c r="D442" s="111">
        <v>2022.0</v>
      </c>
      <c r="E442" s="111"/>
      <c r="F442" s="111" t="s">
        <v>12385</v>
      </c>
      <c r="G442" s="111" t="s">
        <v>12226</v>
      </c>
      <c r="H442" s="111"/>
      <c r="I442" s="111" t="s">
        <v>12394</v>
      </c>
      <c r="J442" s="111" t="s">
        <v>12295</v>
      </c>
      <c r="K442" s="111" t="s">
        <v>30</v>
      </c>
      <c r="L442" s="111"/>
      <c r="M442" s="111"/>
      <c r="N442" s="111"/>
      <c r="O442" s="111"/>
      <c r="P442" s="111"/>
      <c r="Q442" s="111">
        <v>1.0</v>
      </c>
      <c r="R442" s="111"/>
      <c r="S442" s="111"/>
      <c r="T442" s="111"/>
      <c r="U442" s="111"/>
      <c r="V442" s="111"/>
      <c r="W442" s="111"/>
      <c r="X442" s="111"/>
      <c r="Y442" s="111"/>
      <c r="Z442" s="111" t="s">
        <v>13031</v>
      </c>
      <c r="AA442" s="129">
        <f>IF(Projects!$AI442="Electrolysis",
AB442*VLOOKUP(G442,ElectrolysisConvF,3,FALSE),
"")</f>
        <v>9.837873891</v>
      </c>
      <c r="AB442" s="125">
        <f>AC442/(H2dens*HoursInYear/10^6)</f>
        <v>1891.898825</v>
      </c>
      <c r="AC442" s="126">
        <f>1475/1000</f>
        <v>1.475</v>
      </c>
      <c r="AD442" s="125"/>
      <c r="AE442" s="125">
        <f>IF(AND(G442&lt;&gt;"NG w CCUS",G442&lt;&gt;"Oil w CCUS",G442&lt;&gt;"Coal w CCUS"),AB442,AD442*10^3/(HoursInYear*IF(G442="NG w CCUS",0.9105,1.9075)))</f>
        <v>1891.898825</v>
      </c>
      <c r="AF442" s="127" t="s">
        <v>13032</v>
      </c>
      <c r="AG442" s="127">
        <v>40.7541708417371</v>
      </c>
      <c r="AH442" s="127">
        <v>115.032602305937</v>
      </c>
      <c r="AI442" s="115" t="s">
        <v>12383</v>
      </c>
      <c r="AJ442" s="116">
        <v>0.5</v>
      </c>
      <c r="AK442" s="117"/>
      <c r="AL442" s="117"/>
      <c r="AM442" s="117"/>
      <c r="AN442" s="117"/>
      <c r="AO442" s="117"/>
    </row>
    <row r="443" ht="34.5" customHeight="1">
      <c r="A443" s="111">
        <v>789.0</v>
      </c>
      <c r="B443" s="111" t="s">
        <v>8422</v>
      </c>
      <c r="C443" s="111" t="s">
        <v>7967</v>
      </c>
      <c r="D443" s="111">
        <v>2022.0</v>
      </c>
      <c r="E443" s="111"/>
      <c r="F443" s="111" t="s">
        <v>12385</v>
      </c>
      <c r="G443" s="111" t="s">
        <v>12226</v>
      </c>
      <c r="H443" s="111"/>
      <c r="I443" s="111" t="s">
        <v>12394</v>
      </c>
      <c r="J443" s="111" t="s">
        <v>12291</v>
      </c>
      <c r="K443" s="111" t="s">
        <v>30</v>
      </c>
      <c r="L443" s="111"/>
      <c r="M443" s="111"/>
      <c r="N443" s="111"/>
      <c r="O443" s="111"/>
      <c r="P443" s="111"/>
      <c r="Q443" s="111">
        <v>1.0</v>
      </c>
      <c r="R443" s="111"/>
      <c r="S443" s="111"/>
      <c r="T443" s="111"/>
      <c r="U443" s="111"/>
      <c r="V443" s="111"/>
      <c r="W443" s="111"/>
      <c r="X443" s="111"/>
      <c r="Y443" s="111"/>
      <c r="Z443" s="111" t="s">
        <v>12413</v>
      </c>
      <c r="AA443" s="124">
        <v>2.5</v>
      </c>
      <c r="AB443" s="125">
        <f>IF(Projects!$AI443="Electrolysis",
AA443/VLOOKUP(G443,ElectrolysisConvF,3,FALSE),
AC443*10^6/(H2dens*HoursInYear))</f>
        <v>480.7692308</v>
      </c>
      <c r="AC443" s="126">
        <f t="shared" ref="AC443:AC447" si="69">AB443*H2dens*HoursInYear/10^6</f>
        <v>0.3748269231</v>
      </c>
      <c r="AD443" s="125"/>
      <c r="AE443" s="125">
        <f t="shared" ref="AE443:AE446" si="70">AB443</f>
        <v>480.7692308</v>
      </c>
      <c r="AF443" s="127" t="s">
        <v>13033</v>
      </c>
      <c r="AG443" s="127">
        <v>52.0350254852841</v>
      </c>
      <c r="AH443" s="127">
        <v>5.09920647809678</v>
      </c>
      <c r="AI443" s="115" t="s">
        <v>12383</v>
      </c>
      <c r="AJ443" s="116">
        <v>0.3</v>
      </c>
      <c r="AK443" s="117"/>
      <c r="AL443" s="117"/>
      <c r="AM443" s="117"/>
      <c r="AN443" s="117"/>
      <c r="AO443" s="117"/>
    </row>
    <row r="444" ht="34.5" customHeight="1">
      <c r="A444" s="111">
        <v>790.0</v>
      </c>
      <c r="B444" s="111" t="s">
        <v>8423</v>
      </c>
      <c r="C444" s="111" t="s">
        <v>8147</v>
      </c>
      <c r="D444" s="111">
        <v>2021.0</v>
      </c>
      <c r="E444" s="111"/>
      <c r="F444" s="111" t="s">
        <v>12385</v>
      </c>
      <c r="G444" s="111" t="s">
        <v>12226</v>
      </c>
      <c r="H444" s="111"/>
      <c r="I444" s="111" t="s">
        <v>12394</v>
      </c>
      <c r="J444" s="111" t="s">
        <v>12295</v>
      </c>
      <c r="K444" s="111" t="s">
        <v>30</v>
      </c>
      <c r="L444" s="111"/>
      <c r="M444" s="111"/>
      <c r="N444" s="111"/>
      <c r="O444" s="111"/>
      <c r="P444" s="111"/>
      <c r="Q444" s="111">
        <v>1.0</v>
      </c>
      <c r="R444" s="111">
        <v>1.0</v>
      </c>
      <c r="S444" s="111"/>
      <c r="T444" s="111"/>
      <c r="U444" s="111"/>
      <c r="V444" s="111"/>
      <c r="W444" s="111"/>
      <c r="X444" s="111"/>
      <c r="Y444" s="111"/>
      <c r="Z444" s="111" t="s">
        <v>13034</v>
      </c>
      <c r="AA444" s="124">
        <v>1.5</v>
      </c>
      <c r="AB444" s="125">
        <f>IF(Projects!$AI444="Electrolysis",
AA444/VLOOKUP(G444,ElectrolysisConvF,3,FALSE),
AC444*10^6/(H2dens*HoursInYear))</f>
        <v>288.4615385</v>
      </c>
      <c r="AC444" s="126">
        <f t="shared" si="69"/>
        <v>0.2248961538</v>
      </c>
      <c r="AD444" s="125"/>
      <c r="AE444" s="125">
        <f t="shared" si="70"/>
        <v>288.4615385</v>
      </c>
      <c r="AF444" s="127" t="s">
        <v>13035</v>
      </c>
      <c r="AG444" s="127">
        <v>0.0</v>
      </c>
      <c r="AH444" s="127">
        <v>0.0</v>
      </c>
      <c r="AI444" s="115" t="s">
        <v>12383</v>
      </c>
      <c r="AJ444" s="116">
        <v>0.5</v>
      </c>
      <c r="AK444" s="117"/>
      <c r="AL444" s="117"/>
      <c r="AM444" s="117"/>
      <c r="AN444" s="117"/>
      <c r="AO444" s="117"/>
    </row>
    <row r="445" ht="34.5" customHeight="1">
      <c r="A445" s="111">
        <v>791.0</v>
      </c>
      <c r="B445" s="111" t="s">
        <v>8424</v>
      </c>
      <c r="C445" s="111" t="s">
        <v>7967</v>
      </c>
      <c r="D445" s="111">
        <v>2022.0</v>
      </c>
      <c r="E445" s="111"/>
      <c r="F445" s="111" t="s">
        <v>12385</v>
      </c>
      <c r="G445" s="111" t="s">
        <v>12381</v>
      </c>
      <c r="H445" s="111" t="s">
        <v>12230</v>
      </c>
      <c r="I445" s="111" t="s">
        <v>12406</v>
      </c>
      <c r="J445" s="111"/>
      <c r="K445" s="111" t="s">
        <v>30</v>
      </c>
      <c r="L445" s="111"/>
      <c r="M445" s="111"/>
      <c r="N445" s="111"/>
      <c r="O445" s="111"/>
      <c r="P445" s="111"/>
      <c r="Q445" s="111"/>
      <c r="R445" s="111">
        <v>1.0</v>
      </c>
      <c r="S445" s="111"/>
      <c r="T445" s="111"/>
      <c r="U445" s="111"/>
      <c r="V445" s="111"/>
      <c r="W445" s="111"/>
      <c r="X445" s="111"/>
      <c r="Y445" s="111"/>
      <c r="Z445" s="111" t="s">
        <v>12945</v>
      </c>
      <c r="AA445" s="124">
        <v>1.3</v>
      </c>
      <c r="AB445" s="125">
        <f>IF(Projects!$AI445="Electrolysis",
AA445/VLOOKUP(G445,ElectrolysisConvF,3,FALSE),
AC445*10^6/(H2dens*HoursInYear))</f>
        <v>288.8888889</v>
      </c>
      <c r="AC445" s="126">
        <f t="shared" si="69"/>
        <v>0.2252293333</v>
      </c>
      <c r="AD445" s="125"/>
      <c r="AE445" s="125">
        <f t="shared" si="70"/>
        <v>288.8888889</v>
      </c>
      <c r="AF445" s="127" t="s">
        <v>13036</v>
      </c>
      <c r="AG445" s="127">
        <v>53.0019687</v>
      </c>
      <c r="AH445" s="127">
        <v>6.29213356390565</v>
      </c>
      <c r="AI445" s="115" t="s">
        <v>12383</v>
      </c>
      <c r="AJ445" s="116">
        <v>0.57</v>
      </c>
      <c r="AK445" s="117"/>
      <c r="AL445" s="117"/>
      <c r="AM445" s="117"/>
      <c r="AN445" s="117"/>
      <c r="AO445" s="117"/>
    </row>
    <row r="446" ht="34.5" customHeight="1">
      <c r="A446" s="111">
        <v>792.0</v>
      </c>
      <c r="B446" s="111" t="s">
        <v>8425</v>
      </c>
      <c r="C446" s="111" t="s">
        <v>7987</v>
      </c>
      <c r="D446" s="111">
        <v>2023.0</v>
      </c>
      <c r="E446" s="111"/>
      <c r="F446" s="111" t="s">
        <v>12418</v>
      </c>
      <c r="G446" s="111" t="s">
        <v>12228</v>
      </c>
      <c r="H446" s="111"/>
      <c r="I446" s="111" t="s">
        <v>12406</v>
      </c>
      <c r="J446" s="111"/>
      <c r="K446" s="111" t="s">
        <v>12251</v>
      </c>
      <c r="L446" s="111"/>
      <c r="M446" s="111"/>
      <c r="N446" s="111"/>
      <c r="O446" s="111"/>
      <c r="P446" s="111"/>
      <c r="Q446" s="111"/>
      <c r="R446" s="111"/>
      <c r="S446" s="111"/>
      <c r="T446" s="111"/>
      <c r="U446" s="111"/>
      <c r="V446" s="111"/>
      <c r="W446" s="111">
        <v>1.0</v>
      </c>
      <c r="X446" s="111"/>
      <c r="Y446" s="111"/>
      <c r="Z446" s="111" t="s">
        <v>12716</v>
      </c>
      <c r="AA446" s="124">
        <v>0.25</v>
      </c>
      <c r="AB446" s="125">
        <f>IF(Projects!$AI446="Electrolysis",
AA446/VLOOKUP(G446,ElectrolysisConvF,3,FALSE),
AC446*10^6/(H2dens*HoursInYear))</f>
        <v>65.78947368</v>
      </c>
      <c r="AC446" s="126">
        <f t="shared" si="69"/>
        <v>0.05129210526</v>
      </c>
      <c r="AD446" s="125"/>
      <c r="AE446" s="125">
        <f t="shared" si="70"/>
        <v>65.78947368</v>
      </c>
      <c r="AF446" s="127" t="s">
        <v>13037</v>
      </c>
      <c r="AG446" s="127">
        <v>49.012525083906</v>
      </c>
      <c r="AH446" s="127">
        <v>8.41694446930896</v>
      </c>
      <c r="AI446" s="115" t="s">
        <v>12383</v>
      </c>
      <c r="AJ446" s="116">
        <v>0.57</v>
      </c>
      <c r="AK446" s="117"/>
      <c r="AL446" s="117"/>
      <c r="AM446" s="117"/>
      <c r="AN446" s="117"/>
      <c r="AO446" s="117"/>
    </row>
    <row r="447" ht="34.5" customHeight="1">
      <c r="A447" s="111">
        <v>793.0</v>
      </c>
      <c r="B447" s="111" t="s">
        <v>8426</v>
      </c>
      <c r="C447" s="111" t="s">
        <v>7987</v>
      </c>
      <c r="D447" s="111">
        <v>2023.0</v>
      </c>
      <c r="E447" s="111"/>
      <c r="F447" s="111" t="s">
        <v>12418</v>
      </c>
      <c r="G447" s="111" t="s">
        <v>12228</v>
      </c>
      <c r="H447" s="111"/>
      <c r="I447" s="111" t="s">
        <v>12287</v>
      </c>
      <c r="J447" s="111"/>
      <c r="K447" s="111" t="s">
        <v>12415</v>
      </c>
      <c r="L447" s="111">
        <v>1.0</v>
      </c>
      <c r="M447" s="111"/>
      <c r="N447" s="111">
        <v>1.0</v>
      </c>
      <c r="O447" s="111"/>
      <c r="P447" s="111"/>
      <c r="Q447" s="111"/>
      <c r="R447" s="111"/>
      <c r="S447" s="111"/>
      <c r="T447" s="111"/>
      <c r="U447" s="111"/>
      <c r="V447" s="111"/>
      <c r="W447" s="111"/>
      <c r="X447" s="111"/>
      <c r="Y447" s="111"/>
      <c r="Z447" s="111" t="s">
        <v>12908</v>
      </c>
      <c r="AA447" s="124">
        <v>1.0</v>
      </c>
      <c r="AB447" s="125">
        <f>IF(Projects!$AI447="Electrolysis",
AA447/VLOOKUP(G447,ElectrolysisConvF,3,FALSE),
AC447*10^6/(H2dens*HoursInYear))</f>
        <v>263.1578947</v>
      </c>
      <c r="AC447" s="126">
        <f t="shared" si="69"/>
        <v>0.2051684211</v>
      </c>
      <c r="AD447" s="125"/>
      <c r="AE447" s="125">
        <f t="shared" ref="AE447:AE450" si="71">IF(AND(G447&lt;&gt;"NG w CCUS",G447&lt;&gt;"Oil w CCUS",G447&lt;&gt;"Coal w CCUS"),AB447,AD447*10^3/(HoursInYear*IF(G447="NG w CCUS",0.9105,1.9075)))</f>
        <v>263.1578947</v>
      </c>
      <c r="AF447" s="127" t="s">
        <v>13038</v>
      </c>
      <c r="AG447" s="127">
        <v>51.2814741688822</v>
      </c>
      <c r="AH447" s="127">
        <v>11.9877187596523</v>
      </c>
      <c r="AI447" s="115" t="s">
        <v>12383</v>
      </c>
      <c r="AJ447" s="116">
        <v>0.57</v>
      </c>
      <c r="AK447" s="117"/>
      <c r="AL447" s="117"/>
      <c r="AM447" s="117"/>
      <c r="AN447" s="117"/>
      <c r="AO447" s="117"/>
    </row>
    <row r="448" ht="34.5" customHeight="1">
      <c r="A448" s="111">
        <v>794.0</v>
      </c>
      <c r="B448" s="111" t="s">
        <v>8427</v>
      </c>
      <c r="C448" s="111" t="s">
        <v>8021</v>
      </c>
      <c r="D448" s="111">
        <v>2030.0</v>
      </c>
      <c r="E448" s="111"/>
      <c r="F448" s="111" t="s">
        <v>12399</v>
      </c>
      <c r="G448" s="111" t="s">
        <v>12233</v>
      </c>
      <c r="H448" s="111" t="s">
        <v>13039</v>
      </c>
      <c r="I448" s="111"/>
      <c r="J448" s="111"/>
      <c r="K448" s="111" t="s">
        <v>30</v>
      </c>
      <c r="L448" s="111"/>
      <c r="M448" s="111"/>
      <c r="N448" s="111"/>
      <c r="O448" s="111"/>
      <c r="P448" s="111"/>
      <c r="Q448" s="111"/>
      <c r="R448" s="111"/>
      <c r="S448" s="111"/>
      <c r="T448" s="111"/>
      <c r="U448" s="111"/>
      <c r="V448" s="111"/>
      <c r="W448" s="111"/>
      <c r="X448" s="111"/>
      <c r="Y448" s="111"/>
      <c r="Z448" s="111" t="s">
        <v>13040</v>
      </c>
      <c r="AA448" s="124"/>
      <c r="AB448" s="125">
        <f>AC448/0.089*10^6/24/365</f>
        <v>360486.8914</v>
      </c>
      <c r="AC448" s="126">
        <f>770*365/1000</f>
        <v>281.05</v>
      </c>
      <c r="AD448" s="125">
        <f>4.39*10^6</f>
        <v>4390000</v>
      </c>
      <c r="AE448" s="125">
        <f t="shared" si="71"/>
        <v>262721.6527</v>
      </c>
      <c r="AF448" s="127" t="s">
        <v>13041</v>
      </c>
      <c r="AG448" s="127">
        <v>-38.253187</v>
      </c>
      <c r="AH448" s="127">
        <v>146.576518</v>
      </c>
      <c r="AI448" s="115" t="s">
        <v>12378</v>
      </c>
      <c r="AJ448" s="116">
        <v>0.9</v>
      </c>
      <c r="AK448" s="117"/>
      <c r="AL448" s="117"/>
      <c r="AM448" s="117"/>
      <c r="AN448" s="117"/>
      <c r="AO448" s="117"/>
    </row>
    <row r="449" ht="34.5" customHeight="1">
      <c r="A449" s="111">
        <v>795.0</v>
      </c>
      <c r="B449" s="111" t="s">
        <v>8428</v>
      </c>
      <c r="C449" s="111" t="s">
        <v>7967</v>
      </c>
      <c r="D449" s="111">
        <v>2030.0</v>
      </c>
      <c r="E449" s="111"/>
      <c r="F449" s="111" t="s">
        <v>12399</v>
      </c>
      <c r="G449" s="111" t="s">
        <v>12235</v>
      </c>
      <c r="H449" s="111" t="s">
        <v>12529</v>
      </c>
      <c r="I449" s="111"/>
      <c r="J449" s="111"/>
      <c r="K449" s="111" t="s">
        <v>30</v>
      </c>
      <c r="L449" s="111">
        <v>1.0</v>
      </c>
      <c r="M449" s="111"/>
      <c r="N449" s="111"/>
      <c r="O449" s="111"/>
      <c r="P449" s="111">
        <v>1.0</v>
      </c>
      <c r="Q449" s="111"/>
      <c r="R449" s="111"/>
      <c r="S449" s="111"/>
      <c r="T449" s="111"/>
      <c r="U449" s="111"/>
      <c r="V449" s="111"/>
      <c r="W449" s="111"/>
      <c r="X449" s="111"/>
      <c r="Y449" s="111"/>
      <c r="Z449" s="111" t="s">
        <v>13042</v>
      </c>
      <c r="AA449" s="124"/>
      <c r="AB449" s="125">
        <f>AC449/(0.089*24*365/10^6)</f>
        <v>128264.3271</v>
      </c>
      <c r="AC449" s="126">
        <v>100.0</v>
      </c>
      <c r="AD449" s="125">
        <v>1300000.0</v>
      </c>
      <c r="AE449" s="125">
        <f t="shared" si="71"/>
        <v>162989.3756</v>
      </c>
      <c r="AF449" s="127" t="s">
        <v>13043</v>
      </c>
      <c r="AG449" s="127">
        <v>51.9545383950763</v>
      </c>
      <c r="AH449" s="127">
        <v>4.14507861702621</v>
      </c>
      <c r="AI449" s="115" t="s">
        <v>12378</v>
      </c>
      <c r="AJ449" s="116">
        <v>0.9</v>
      </c>
      <c r="AK449" s="117"/>
      <c r="AL449" s="117"/>
      <c r="AM449" s="117"/>
      <c r="AN449" s="117"/>
      <c r="AO449" s="117"/>
    </row>
    <row r="450" ht="34.5" customHeight="1">
      <c r="A450" s="111">
        <v>796.0</v>
      </c>
      <c r="B450" s="111" t="s">
        <v>8429</v>
      </c>
      <c r="C450" s="111" t="s">
        <v>7974</v>
      </c>
      <c r="D450" s="111">
        <v>2026.0</v>
      </c>
      <c r="E450" s="111"/>
      <c r="F450" s="111" t="s">
        <v>12399</v>
      </c>
      <c r="G450" s="111" t="s">
        <v>12235</v>
      </c>
      <c r="H450" s="111" t="s">
        <v>12885</v>
      </c>
      <c r="I450" s="111"/>
      <c r="J450" s="111"/>
      <c r="K450" s="111" t="s">
        <v>30</v>
      </c>
      <c r="L450" s="111">
        <v>1.0</v>
      </c>
      <c r="M450" s="111"/>
      <c r="N450" s="111"/>
      <c r="O450" s="111"/>
      <c r="P450" s="111"/>
      <c r="Q450" s="111"/>
      <c r="R450" s="111"/>
      <c r="S450" s="111"/>
      <c r="T450" s="111"/>
      <c r="U450" s="111"/>
      <c r="V450" s="111"/>
      <c r="W450" s="111"/>
      <c r="X450" s="111"/>
      <c r="Y450" s="111"/>
      <c r="Z450" s="111" t="s">
        <v>13044</v>
      </c>
      <c r="AA450" s="124"/>
      <c r="AB450" s="125"/>
      <c r="AC450" s="126"/>
      <c r="AD450" s="125">
        <v>600000.0</v>
      </c>
      <c r="AE450" s="125">
        <f t="shared" si="71"/>
        <v>75225.86566</v>
      </c>
      <c r="AF450" s="127" t="s">
        <v>13045</v>
      </c>
      <c r="AG450" s="127">
        <v>58.3487836770018</v>
      </c>
      <c r="AH450" s="127">
        <v>11.4175033074146</v>
      </c>
      <c r="AI450" s="115" t="s">
        <v>12378</v>
      </c>
      <c r="AJ450" s="116">
        <v>0.9</v>
      </c>
      <c r="AK450" s="117"/>
      <c r="AL450" s="117"/>
      <c r="AM450" s="117"/>
      <c r="AN450" s="117"/>
      <c r="AO450" s="117"/>
    </row>
    <row r="451" ht="34.5" customHeight="1">
      <c r="A451" s="111">
        <v>797.0</v>
      </c>
      <c r="B451" s="111" t="s">
        <v>8430</v>
      </c>
      <c r="C451" s="111" t="s">
        <v>8011</v>
      </c>
      <c r="D451" s="111">
        <v>2021.0</v>
      </c>
      <c r="E451" s="111"/>
      <c r="F451" s="111" t="s">
        <v>12418</v>
      </c>
      <c r="G451" s="111" t="s">
        <v>12226</v>
      </c>
      <c r="H451" s="111"/>
      <c r="I451" s="111" t="s">
        <v>12287</v>
      </c>
      <c r="J451" s="111"/>
      <c r="K451" s="111" t="s">
        <v>12481</v>
      </c>
      <c r="L451" s="111"/>
      <c r="M451" s="111"/>
      <c r="N451" s="111"/>
      <c r="O451" s="111"/>
      <c r="P451" s="111"/>
      <c r="Q451" s="111">
        <v>1.0</v>
      </c>
      <c r="R451" s="111"/>
      <c r="S451" s="111"/>
      <c r="T451" s="111"/>
      <c r="U451" s="111"/>
      <c r="V451" s="111"/>
      <c r="W451" s="111"/>
      <c r="X451" s="111">
        <v>1.0</v>
      </c>
      <c r="Y451" s="111">
        <v>1.0</v>
      </c>
      <c r="Z451" s="111" t="s">
        <v>12716</v>
      </c>
      <c r="AA451" s="124">
        <v>0.25</v>
      </c>
      <c r="AB451" s="125">
        <f>IF(Projects!$AI451="Electrolysis",
AA451/VLOOKUP(G451,ElectrolysisConvF,3,FALSE),
AC451*10^6/(H2dens*HoursInYear))</f>
        <v>48.07692308</v>
      </c>
      <c r="AC451" s="126">
        <f t="shared" ref="AC451:AC454" si="72">AB451*H2dens*HoursInYear/10^6</f>
        <v>0.03748269231</v>
      </c>
      <c r="AD451" s="125"/>
      <c r="AE451" s="125">
        <f t="shared" ref="AE451:AE454" si="73">AB451</f>
        <v>48.07692308</v>
      </c>
      <c r="AF451" s="127" t="s">
        <v>13046</v>
      </c>
      <c r="AG451" s="127">
        <v>0.0</v>
      </c>
      <c r="AH451" s="127">
        <v>0.0</v>
      </c>
      <c r="AI451" s="115" t="s">
        <v>12383</v>
      </c>
      <c r="AJ451" s="116">
        <v>0.57</v>
      </c>
      <c r="AK451" s="117"/>
      <c r="AL451" s="117"/>
      <c r="AM451" s="117"/>
      <c r="AN451" s="117"/>
      <c r="AO451" s="117"/>
    </row>
    <row r="452" ht="34.5" customHeight="1">
      <c r="A452" s="111">
        <v>798.0</v>
      </c>
      <c r="B452" s="111" t="s">
        <v>8431</v>
      </c>
      <c r="C452" s="111" t="s">
        <v>8021</v>
      </c>
      <c r="D452" s="111">
        <v>2024.0</v>
      </c>
      <c r="E452" s="111"/>
      <c r="F452" s="111" t="s">
        <v>12393</v>
      </c>
      <c r="G452" s="111" t="s">
        <v>12226</v>
      </c>
      <c r="H452" s="111"/>
      <c r="I452" s="111" t="s">
        <v>12287</v>
      </c>
      <c r="J452" s="111"/>
      <c r="K452" s="111" t="s">
        <v>30</v>
      </c>
      <c r="L452" s="111"/>
      <c r="M452" s="111"/>
      <c r="N452" s="111"/>
      <c r="O452" s="111"/>
      <c r="P452" s="111"/>
      <c r="Q452" s="111"/>
      <c r="R452" s="111"/>
      <c r="S452" s="111">
        <v>1.0</v>
      </c>
      <c r="T452" s="111"/>
      <c r="U452" s="111"/>
      <c r="V452" s="111"/>
      <c r="W452" s="111"/>
      <c r="X452" s="111"/>
      <c r="Y452" s="111"/>
      <c r="Z452" s="111" t="s">
        <v>13047</v>
      </c>
      <c r="AA452" s="124">
        <v>0.175</v>
      </c>
      <c r="AB452" s="125">
        <f>IF(Projects!$AI452="Electrolysis",
AA452/VLOOKUP(G452,ElectrolysisConvF,3,FALSE),
AC452*10^6/(H2dens*HoursInYear))</f>
        <v>33.65384615</v>
      </c>
      <c r="AC452" s="126">
        <f t="shared" si="72"/>
        <v>0.02623788462</v>
      </c>
      <c r="AD452" s="125"/>
      <c r="AE452" s="125">
        <f t="shared" si="73"/>
        <v>33.65384615</v>
      </c>
      <c r="AF452" s="127" t="s">
        <v>13048</v>
      </c>
      <c r="AG452" s="127">
        <v>-23.8415355203833</v>
      </c>
      <c r="AH452" s="127">
        <v>151.250589188345</v>
      </c>
      <c r="AI452" s="115" t="s">
        <v>12383</v>
      </c>
      <c r="AJ452" s="116">
        <v>0.57</v>
      </c>
      <c r="AK452" s="117"/>
      <c r="AL452" s="117"/>
      <c r="AM452" s="117"/>
      <c r="AN452" s="117"/>
      <c r="AO452" s="117"/>
    </row>
    <row r="453" ht="34.5" customHeight="1">
      <c r="A453" s="111">
        <v>799.0</v>
      </c>
      <c r="B453" s="111" t="s">
        <v>8432</v>
      </c>
      <c r="C453" s="111" t="s">
        <v>8021</v>
      </c>
      <c r="D453" s="111">
        <v>2021.0</v>
      </c>
      <c r="E453" s="111"/>
      <c r="F453" s="111" t="s">
        <v>12385</v>
      </c>
      <c r="G453" s="111" t="s">
        <v>12226</v>
      </c>
      <c r="H453" s="111"/>
      <c r="I453" s="111" t="s">
        <v>12406</v>
      </c>
      <c r="J453" s="111"/>
      <c r="K453" s="111" t="s">
        <v>30</v>
      </c>
      <c r="L453" s="111"/>
      <c r="M453" s="111"/>
      <c r="N453" s="111"/>
      <c r="O453" s="111"/>
      <c r="P453" s="111"/>
      <c r="Q453" s="111">
        <v>1.0</v>
      </c>
      <c r="R453" s="111"/>
      <c r="S453" s="111"/>
      <c r="T453" s="111"/>
      <c r="U453" s="111"/>
      <c r="V453" s="111"/>
      <c r="W453" s="111"/>
      <c r="X453" s="111"/>
      <c r="Y453" s="111"/>
      <c r="Z453" s="111" t="s">
        <v>12513</v>
      </c>
      <c r="AA453" s="124">
        <v>0.2</v>
      </c>
      <c r="AB453" s="125">
        <f>IF(Projects!$AI453="Electrolysis",
AA453/VLOOKUP(G453,ElectrolysisConvF,3,FALSE),
AC453*10^6/(H2dens*HoursInYear))</f>
        <v>38.46153846</v>
      </c>
      <c r="AC453" s="126">
        <f t="shared" si="72"/>
        <v>0.02998615385</v>
      </c>
      <c r="AD453" s="125"/>
      <c r="AE453" s="125">
        <f t="shared" si="73"/>
        <v>38.46153846</v>
      </c>
      <c r="AF453" s="127" t="s">
        <v>13049</v>
      </c>
      <c r="AG453" s="127">
        <v>-37.8648150963393</v>
      </c>
      <c r="AH453" s="127">
        <v>144.834049951216</v>
      </c>
      <c r="AI453" s="115" t="s">
        <v>12383</v>
      </c>
      <c r="AJ453" s="116">
        <v>0.57</v>
      </c>
      <c r="AK453" s="117"/>
      <c r="AL453" s="117"/>
      <c r="AM453" s="117"/>
      <c r="AN453" s="117"/>
      <c r="AO453" s="117"/>
    </row>
    <row r="454" ht="34.5" customHeight="1">
      <c r="A454" s="111">
        <v>800.0</v>
      </c>
      <c r="B454" s="111" t="s">
        <v>8433</v>
      </c>
      <c r="C454" s="111" t="s">
        <v>7967</v>
      </c>
      <c r="D454" s="111">
        <v>2025.0</v>
      </c>
      <c r="E454" s="111"/>
      <c r="F454" s="111" t="s">
        <v>12399</v>
      </c>
      <c r="G454" s="111" t="s">
        <v>12226</v>
      </c>
      <c r="H454" s="111"/>
      <c r="I454" s="111" t="s">
        <v>12394</v>
      </c>
      <c r="J454" s="111" t="s">
        <v>12295</v>
      </c>
      <c r="K454" s="111" t="s">
        <v>30</v>
      </c>
      <c r="L454" s="111"/>
      <c r="M454" s="111"/>
      <c r="N454" s="111"/>
      <c r="O454" s="111"/>
      <c r="P454" s="111">
        <v>1.0</v>
      </c>
      <c r="Q454" s="111">
        <v>1.0</v>
      </c>
      <c r="R454" s="111"/>
      <c r="S454" s="111"/>
      <c r="T454" s="111"/>
      <c r="U454" s="111"/>
      <c r="V454" s="111"/>
      <c r="W454" s="111"/>
      <c r="X454" s="111"/>
      <c r="Y454" s="111"/>
      <c r="Z454" s="111" t="s">
        <v>12703</v>
      </c>
      <c r="AA454" s="124">
        <v>10.0</v>
      </c>
      <c r="AB454" s="125">
        <f>IF(Projects!$AI454="Electrolysis",
AA454/VLOOKUP(G454,ElectrolysisConvF,3,FALSE),
AC454*10^6/(H2dens*HoursInYear))</f>
        <v>1923.076923</v>
      </c>
      <c r="AC454" s="126">
        <f t="shared" si="72"/>
        <v>1.499307692</v>
      </c>
      <c r="AD454" s="125"/>
      <c r="AE454" s="125">
        <f t="shared" si="73"/>
        <v>1923.076923</v>
      </c>
      <c r="AF454" s="127" t="s">
        <v>13050</v>
      </c>
      <c r="AG454" s="127">
        <v>0.0</v>
      </c>
      <c r="AH454" s="127">
        <v>0.0</v>
      </c>
      <c r="AI454" s="115" t="s">
        <v>12383</v>
      </c>
      <c r="AJ454" s="116">
        <v>0.5</v>
      </c>
      <c r="AK454" s="117"/>
      <c r="AL454" s="117"/>
      <c r="AM454" s="117"/>
      <c r="AN454" s="117"/>
      <c r="AO454" s="117"/>
    </row>
    <row r="455" ht="34.5" customHeight="1">
      <c r="A455" s="111">
        <v>803.0</v>
      </c>
      <c r="B455" s="111" t="s">
        <v>8434</v>
      </c>
      <c r="C455" s="111" t="s">
        <v>8001</v>
      </c>
      <c r="D455" s="111">
        <v>2022.0</v>
      </c>
      <c r="E455" s="111"/>
      <c r="F455" s="111" t="s">
        <v>12385</v>
      </c>
      <c r="G455" s="111" t="s">
        <v>12233</v>
      </c>
      <c r="H455" s="111" t="s">
        <v>13039</v>
      </c>
      <c r="I455" s="111"/>
      <c r="J455" s="111"/>
      <c r="K455" s="111" t="s">
        <v>30</v>
      </c>
      <c r="L455" s="111">
        <v>1.0</v>
      </c>
      <c r="M455" s="111"/>
      <c r="N455" s="111"/>
      <c r="O455" s="111"/>
      <c r="P455" s="111">
        <v>1.0</v>
      </c>
      <c r="Q455" s="111"/>
      <c r="R455" s="111"/>
      <c r="S455" s="111"/>
      <c r="T455" s="111"/>
      <c r="U455" s="111"/>
      <c r="V455" s="111"/>
      <c r="W455" s="111"/>
      <c r="X455" s="111"/>
      <c r="Y455" s="111"/>
      <c r="Z455" s="111" t="s">
        <v>12980</v>
      </c>
      <c r="AA455" s="124"/>
      <c r="AB455" s="125"/>
      <c r="AC455" s="126"/>
      <c r="AD455" s="125">
        <v>300000.0</v>
      </c>
      <c r="AE455" s="125">
        <f>IF(AND(G455&lt;&gt;"NG w CCUS",G455&lt;&gt;"Oil w CCUS",G455&lt;&gt;"Coal w CCUS"),AB455,AD455*10^3/(HoursInYear*IF(G455="NG w CCUS",0.9105,1.9075)))</f>
        <v>17953.64369</v>
      </c>
      <c r="AF455" s="127" t="s">
        <v>13051</v>
      </c>
      <c r="AG455" s="127">
        <v>36.5632228364683</v>
      </c>
      <c r="AH455" s="127">
        <v>110.100825068466</v>
      </c>
      <c r="AI455" s="115" t="s">
        <v>12378</v>
      </c>
      <c r="AJ455" s="116">
        <v>0.9</v>
      </c>
      <c r="AK455" s="117"/>
      <c r="AL455" s="117"/>
      <c r="AM455" s="117"/>
      <c r="AN455" s="117"/>
      <c r="AO455" s="117"/>
    </row>
    <row r="456" ht="34.5" customHeight="1">
      <c r="A456" s="111">
        <v>804.0</v>
      </c>
      <c r="B456" s="111" t="s">
        <v>8435</v>
      </c>
      <c r="C456" s="111" t="s">
        <v>8021</v>
      </c>
      <c r="D456" s="111">
        <v>2024.0</v>
      </c>
      <c r="E456" s="111"/>
      <c r="F456" s="111" t="s">
        <v>12385</v>
      </c>
      <c r="G456" s="111" t="s">
        <v>12239</v>
      </c>
      <c r="H456" s="111" t="s">
        <v>13021</v>
      </c>
      <c r="I456" s="111"/>
      <c r="J456" s="111"/>
      <c r="K456" s="111" t="s">
        <v>30</v>
      </c>
      <c r="L456" s="111"/>
      <c r="M456" s="111"/>
      <c r="N456" s="111"/>
      <c r="O456" s="111"/>
      <c r="P456" s="111"/>
      <c r="Q456" s="111"/>
      <c r="R456" s="111"/>
      <c r="S456" s="111"/>
      <c r="T456" s="111"/>
      <c r="U456" s="111"/>
      <c r="V456" s="111"/>
      <c r="W456" s="111"/>
      <c r="X456" s="111"/>
      <c r="Y456" s="111"/>
      <c r="Z456" s="111" t="s">
        <v>13052</v>
      </c>
      <c r="AA456" s="124"/>
      <c r="AB456" s="125">
        <f>AC456/(0.089*24*365/10^6)</f>
        <v>128.2643271</v>
      </c>
      <c r="AC456" s="126">
        <v>0.1</v>
      </c>
      <c r="AD456" s="125"/>
      <c r="AE456" s="125">
        <f t="shared" ref="AE456:AE463" si="74">AB456</f>
        <v>128.2643271</v>
      </c>
      <c r="AF456" s="127" t="s">
        <v>13053</v>
      </c>
      <c r="AG456" s="127">
        <v>-32.1512566625326</v>
      </c>
      <c r="AH456" s="127">
        <v>115.810742714228</v>
      </c>
      <c r="AI456" s="115" t="s">
        <v>12241</v>
      </c>
      <c r="AJ456" s="116">
        <v>0.9</v>
      </c>
      <c r="AK456" s="117"/>
      <c r="AL456" s="117"/>
      <c r="AM456" s="117"/>
      <c r="AN456" s="117"/>
      <c r="AO456" s="117"/>
    </row>
    <row r="457" ht="34.5" customHeight="1">
      <c r="A457" s="111">
        <v>805.0</v>
      </c>
      <c r="B457" s="111" t="s">
        <v>8436</v>
      </c>
      <c r="C457" s="111" t="s">
        <v>8437</v>
      </c>
      <c r="D457" s="111">
        <v>2027.0</v>
      </c>
      <c r="E457" s="111"/>
      <c r="F457" s="111" t="s">
        <v>12399</v>
      </c>
      <c r="G457" s="111" t="s">
        <v>12224</v>
      </c>
      <c r="H457" s="111"/>
      <c r="I457" s="111" t="s">
        <v>12394</v>
      </c>
      <c r="J457" s="111" t="s">
        <v>12295</v>
      </c>
      <c r="K457" s="111" t="s">
        <v>30</v>
      </c>
      <c r="L457" s="111"/>
      <c r="M457" s="111"/>
      <c r="N457" s="111"/>
      <c r="O457" s="111"/>
      <c r="P457" s="111"/>
      <c r="Q457" s="111"/>
      <c r="R457" s="111"/>
      <c r="S457" s="111"/>
      <c r="T457" s="111"/>
      <c r="U457" s="111"/>
      <c r="V457" s="111">
        <v>1.0</v>
      </c>
      <c r="W457" s="111"/>
      <c r="X457" s="111"/>
      <c r="Y457" s="111"/>
      <c r="Z457" s="111" t="s">
        <v>13054</v>
      </c>
      <c r="AA457" s="124">
        <v>310.0</v>
      </c>
      <c r="AB457" s="125">
        <f>IF(Projects!$AI457="Electrolysis",
AA457/VLOOKUP(G457,ElectrolysisConvF,3,FALSE),
AC457*10^6/(H2dens*HoursInYear))</f>
        <v>67391.30435</v>
      </c>
      <c r="AC457" s="126">
        <f t="shared" ref="AC457:AC463" si="75">AB457*H2dens*HoursInYear/10^6</f>
        <v>52.54095652</v>
      </c>
      <c r="AD457" s="125"/>
      <c r="AE457" s="125">
        <f t="shared" si="74"/>
        <v>67391.30435</v>
      </c>
      <c r="AF457" s="127" t="s">
        <v>13055</v>
      </c>
      <c r="AG457" s="127">
        <v>-23.8763155696626</v>
      </c>
      <c r="AH457" s="127">
        <v>-57.0360119853961</v>
      </c>
      <c r="AI457" s="115" t="s">
        <v>12383</v>
      </c>
      <c r="AJ457" s="116">
        <v>0.5</v>
      </c>
      <c r="AK457" s="117"/>
      <c r="AL457" s="117"/>
      <c r="AM457" s="117"/>
      <c r="AN457" s="117"/>
      <c r="AO457" s="117"/>
    </row>
    <row r="458" ht="34.5" customHeight="1">
      <c r="A458" s="111">
        <v>807.0</v>
      </c>
      <c r="B458" s="111" t="s">
        <v>8438</v>
      </c>
      <c r="C458" s="111" t="s">
        <v>8011</v>
      </c>
      <c r="D458" s="111">
        <v>2026.0</v>
      </c>
      <c r="E458" s="111"/>
      <c r="F458" s="111" t="s">
        <v>12393</v>
      </c>
      <c r="G458" s="111" t="s">
        <v>12226</v>
      </c>
      <c r="H458" s="111"/>
      <c r="I458" s="111" t="s">
        <v>12406</v>
      </c>
      <c r="J458" s="111"/>
      <c r="K458" s="111" t="s">
        <v>30</v>
      </c>
      <c r="L458" s="111">
        <v>1.0</v>
      </c>
      <c r="M458" s="111"/>
      <c r="N458" s="111"/>
      <c r="O458" s="111"/>
      <c r="P458" s="111">
        <v>1.0</v>
      </c>
      <c r="Q458" s="111">
        <v>1.0</v>
      </c>
      <c r="R458" s="111"/>
      <c r="S458" s="111"/>
      <c r="T458" s="111"/>
      <c r="U458" s="111"/>
      <c r="V458" s="111"/>
      <c r="W458" s="111"/>
      <c r="X458" s="111"/>
      <c r="Y458" s="111"/>
      <c r="Z458" s="111" t="s">
        <v>13006</v>
      </c>
      <c r="AA458" s="124">
        <v>200.0</v>
      </c>
      <c r="AB458" s="125">
        <f>IF(Projects!$AI458="Electrolysis",
AA458/VLOOKUP(G458,ElectrolysisConvF,3,FALSE),
AC458*10^6/(H2dens*HoursInYear))</f>
        <v>38461.53846</v>
      </c>
      <c r="AC458" s="126">
        <f t="shared" si="75"/>
        <v>29.98615385</v>
      </c>
      <c r="AD458" s="125"/>
      <c r="AE458" s="125">
        <f t="shared" si="74"/>
        <v>38461.53846</v>
      </c>
      <c r="AF458" s="127" t="s">
        <v>13056</v>
      </c>
      <c r="AG458" s="127">
        <v>49.4816475312608</v>
      </c>
      <c r="AH458" s="127">
        <v>0.546334671651974</v>
      </c>
      <c r="AI458" s="115" t="s">
        <v>12383</v>
      </c>
      <c r="AJ458" s="116">
        <v>0.57</v>
      </c>
      <c r="AK458" s="117"/>
      <c r="AL458" s="117"/>
      <c r="AM458" s="117"/>
      <c r="AN458" s="117"/>
      <c r="AO458" s="117"/>
    </row>
    <row r="459" ht="34.5" customHeight="1">
      <c r="A459" s="111">
        <v>808.0</v>
      </c>
      <c r="B459" s="111" t="s">
        <v>8439</v>
      </c>
      <c r="C459" s="111" t="s">
        <v>8011</v>
      </c>
      <c r="D459" s="111">
        <v>2027.0</v>
      </c>
      <c r="E459" s="111"/>
      <c r="F459" s="111" t="s">
        <v>12399</v>
      </c>
      <c r="G459" s="111" t="s">
        <v>12224</v>
      </c>
      <c r="H459" s="111"/>
      <c r="I459" s="111" t="s">
        <v>12406</v>
      </c>
      <c r="J459" s="111"/>
      <c r="K459" s="111" t="s">
        <v>30</v>
      </c>
      <c r="L459" s="111"/>
      <c r="M459" s="111"/>
      <c r="N459" s="111"/>
      <c r="O459" s="111"/>
      <c r="P459" s="111"/>
      <c r="Q459" s="111"/>
      <c r="R459" s="111"/>
      <c r="S459" s="111">
        <v>1.0</v>
      </c>
      <c r="T459" s="111"/>
      <c r="U459" s="111"/>
      <c r="V459" s="111"/>
      <c r="W459" s="111"/>
      <c r="X459" s="111"/>
      <c r="Y459" s="111"/>
      <c r="Z459" s="111" t="s">
        <v>13006</v>
      </c>
      <c r="AA459" s="124">
        <v>200.0</v>
      </c>
      <c r="AB459" s="125">
        <f>IF(Projects!$AI459="Electrolysis",
AA459/VLOOKUP(G459,ElectrolysisConvF,3,FALSE),
AC459*10^6/(H2dens*HoursInYear))</f>
        <v>43478.26087</v>
      </c>
      <c r="AC459" s="126">
        <f t="shared" si="75"/>
        <v>33.8973913</v>
      </c>
      <c r="AD459" s="125"/>
      <c r="AE459" s="125">
        <f t="shared" si="74"/>
        <v>43478.26087</v>
      </c>
      <c r="AF459" s="127" t="s">
        <v>13057</v>
      </c>
      <c r="AG459" s="127">
        <v>51.0336667184166</v>
      </c>
      <c r="AH459" s="127">
        <v>2.36781971679909</v>
      </c>
      <c r="AI459" s="115" t="s">
        <v>12383</v>
      </c>
      <c r="AJ459" s="116">
        <v>0.57</v>
      </c>
      <c r="AK459" s="117"/>
      <c r="AL459" s="117"/>
      <c r="AM459" s="117"/>
      <c r="AN459" s="117"/>
      <c r="AO459" s="117"/>
    </row>
    <row r="460" ht="34.5" customHeight="1">
      <c r="A460" s="111">
        <v>809.0</v>
      </c>
      <c r="B460" s="111" t="s">
        <v>8440</v>
      </c>
      <c r="C460" s="111" t="s">
        <v>8021</v>
      </c>
      <c r="D460" s="111">
        <v>2026.0</v>
      </c>
      <c r="E460" s="111"/>
      <c r="F460" s="111" t="s">
        <v>12399</v>
      </c>
      <c r="G460" s="111" t="s">
        <v>12224</v>
      </c>
      <c r="H460" s="111"/>
      <c r="I460" s="111" t="s">
        <v>12394</v>
      </c>
      <c r="J460" s="111" t="s">
        <v>12295</v>
      </c>
      <c r="K460" s="111" t="s">
        <v>30</v>
      </c>
      <c r="L460" s="111"/>
      <c r="M460" s="111"/>
      <c r="N460" s="111"/>
      <c r="O460" s="111"/>
      <c r="P460" s="111">
        <v>1.0</v>
      </c>
      <c r="Q460" s="111">
        <v>1.0</v>
      </c>
      <c r="R460" s="111"/>
      <c r="S460" s="111"/>
      <c r="T460" s="111"/>
      <c r="U460" s="111"/>
      <c r="V460" s="111"/>
      <c r="W460" s="111"/>
      <c r="X460" s="111"/>
      <c r="Y460" s="111"/>
      <c r="Z460" s="111" t="s">
        <v>13058</v>
      </c>
      <c r="AA460" s="124">
        <v>55.0</v>
      </c>
      <c r="AB460" s="125">
        <f>IF(Projects!$AI460="Electrolysis",
AA460/VLOOKUP(G460,ElectrolysisConvF,3,FALSE),
AC460*10^6/(H2dens*HoursInYear))</f>
        <v>11956.52174</v>
      </c>
      <c r="AC460" s="126">
        <f t="shared" si="75"/>
        <v>9.321782609</v>
      </c>
      <c r="AD460" s="125"/>
      <c r="AE460" s="125">
        <f t="shared" si="74"/>
        <v>11956.52174</v>
      </c>
      <c r="AF460" s="127" t="s">
        <v>13059</v>
      </c>
      <c r="AG460" s="127">
        <v>-29.2453428049818</v>
      </c>
      <c r="AH460" s="127">
        <v>114.934159115853</v>
      </c>
      <c r="AI460" s="115" t="s">
        <v>12383</v>
      </c>
      <c r="AJ460" s="116">
        <v>0.5</v>
      </c>
      <c r="AK460" s="117"/>
      <c r="AL460" s="117"/>
      <c r="AM460" s="117"/>
      <c r="AN460" s="117"/>
      <c r="AO460" s="117"/>
    </row>
    <row r="461" ht="34.5" customHeight="1">
      <c r="A461" s="111">
        <v>811.0</v>
      </c>
      <c r="B461" s="111" t="s">
        <v>380</v>
      </c>
      <c r="C461" s="111" t="s">
        <v>7987</v>
      </c>
      <c r="D461" s="111">
        <v>2025.0</v>
      </c>
      <c r="E461" s="111"/>
      <c r="F461" s="111" t="s">
        <v>12393</v>
      </c>
      <c r="G461" s="111" t="s">
        <v>12224</v>
      </c>
      <c r="H461" s="111"/>
      <c r="I461" s="111" t="s">
        <v>12394</v>
      </c>
      <c r="J461" s="111" t="s">
        <v>12292</v>
      </c>
      <c r="K461" s="111" t="s">
        <v>30</v>
      </c>
      <c r="L461" s="111">
        <v>1.0</v>
      </c>
      <c r="M461" s="111"/>
      <c r="N461" s="111"/>
      <c r="O461" s="111"/>
      <c r="P461" s="111"/>
      <c r="Q461" s="111"/>
      <c r="R461" s="111"/>
      <c r="S461" s="111">
        <v>1.0</v>
      </c>
      <c r="T461" s="111">
        <v>1.0</v>
      </c>
      <c r="U461" s="111"/>
      <c r="V461" s="111"/>
      <c r="W461" s="111"/>
      <c r="X461" s="111"/>
      <c r="Y461" s="111"/>
      <c r="Z461" s="111" t="s">
        <v>12802</v>
      </c>
      <c r="AA461" s="124">
        <v>30.0</v>
      </c>
      <c r="AB461" s="125">
        <f>IF(Projects!$AI461="Electrolysis",
AA461/VLOOKUP(G461,ElectrolysisConvF,3,FALSE),
AC461*10^6/(H2dens*HoursInYear))</f>
        <v>6521.73913</v>
      </c>
      <c r="AC461" s="126">
        <f t="shared" si="75"/>
        <v>5.084608696</v>
      </c>
      <c r="AD461" s="125"/>
      <c r="AE461" s="125">
        <f t="shared" si="74"/>
        <v>6521.73913</v>
      </c>
      <c r="AF461" s="127" t="s">
        <v>13060</v>
      </c>
      <c r="AG461" s="127">
        <v>51.4320151426758</v>
      </c>
      <c r="AH461" s="127">
        <v>11.8618719963012</v>
      </c>
      <c r="AI461" s="115" t="s">
        <v>12383</v>
      </c>
      <c r="AJ461" s="116">
        <v>0.4</v>
      </c>
      <c r="AK461" s="117"/>
      <c r="AL461" s="117"/>
      <c r="AM461" s="117"/>
      <c r="AN461" s="117"/>
      <c r="AO461" s="117"/>
    </row>
    <row r="462" ht="35.25" customHeight="1">
      <c r="A462" s="111">
        <v>812.0</v>
      </c>
      <c r="B462" s="111" t="s">
        <v>8441</v>
      </c>
      <c r="C462" s="111" t="s">
        <v>7967</v>
      </c>
      <c r="D462" s="111">
        <v>2026.0</v>
      </c>
      <c r="E462" s="111"/>
      <c r="F462" s="111" t="s">
        <v>12399</v>
      </c>
      <c r="G462" s="111" t="s">
        <v>12224</v>
      </c>
      <c r="H462" s="111"/>
      <c r="I462" s="111" t="s">
        <v>12394</v>
      </c>
      <c r="J462" s="111" t="s">
        <v>12293</v>
      </c>
      <c r="K462" s="111" t="s">
        <v>12481</v>
      </c>
      <c r="L462" s="111"/>
      <c r="M462" s="111"/>
      <c r="N462" s="111">
        <v>1.0</v>
      </c>
      <c r="O462" s="111"/>
      <c r="P462" s="111">
        <v>1.0</v>
      </c>
      <c r="Q462" s="111"/>
      <c r="R462" s="111"/>
      <c r="S462" s="111"/>
      <c r="T462" s="111"/>
      <c r="U462" s="111"/>
      <c r="V462" s="111"/>
      <c r="W462" s="111"/>
      <c r="X462" s="111"/>
      <c r="Y462" s="111"/>
      <c r="Z462" s="111" t="s">
        <v>12589</v>
      </c>
      <c r="AA462" s="124">
        <v>20.0</v>
      </c>
      <c r="AB462" s="125">
        <f>IF(Projects!$AI462="Electrolysis",
AA462/VLOOKUP(G462,ElectrolysisConvF,3,FALSE),
AC462*10^6/(H2dens*HoursInYear))</f>
        <v>4347.826087</v>
      </c>
      <c r="AC462" s="126">
        <f t="shared" si="75"/>
        <v>3.38973913</v>
      </c>
      <c r="AD462" s="125"/>
      <c r="AE462" s="125">
        <f t="shared" si="74"/>
        <v>4347.826087</v>
      </c>
      <c r="AF462" s="127" t="s">
        <v>13061</v>
      </c>
      <c r="AG462" s="127">
        <v>53.3344145029669</v>
      </c>
      <c r="AH462" s="127">
        <v>6.92135994987017</v>
      </c>
      <c r="AI462" s="115" t="s">
        <v>12383</v>
      </c>
      <c r="AJ462" s="116">
        <v>0.55</v>
      </c>
      <c r="AK462" s="117"/>
      <c r="AL462" s="117"/>
      <c r="AM462" s="117"/>
      <c r="AN462" s="117"/>
      <c r="AO462" s="117"/>
    </row>
    <row r="463" ht="34.5" customHeight="1">
      <c r="A463" s="111">
        <v>813.0</v>
      </c>
      <c r="B463" s="111" t="s">
        <v>8442</v>
      </c>
      <c r="C463" s="111" t="s">
        <v>7999</v>
      </c>
      <c r="D463" s="111">
        <v>2024.0</v>
      </c>
      <c r="E463" s="111"/>
      <c r="F463" s="111" t="s">
        <v>12393</v>
      </c>
      <c r="G463" s="111" t="s">
        <v>12226</v>
      </c>
      <c r="H463" s="111"/>
      <c r="I463" s="111" t="s">
        <v>12287</v>
      </c>
      <c r="J463" s="111"/>
      <c r="K463" s="111" t="s">
        <v>30</v>
      </c>
      <c r="L463" s="111">
        <v>1.0</v>
      </c>
      <c r="M463" s="111"/>
      <c r="N463" s="111"/>
      <c r="O463" s="111"/>
      <c r="P463" s="111"/>
      <c r="Q463" s="111">
        <v>1.0</v>
      </c>
      <c r="R463" s="111"/>
      <c r="S463" s="111"/>
      <c r="T463" s="111"/>
      <c r="U463" s="111"/>
      <c r="V463" s="111"/>
      <c r="W463" s="111"/>
      <c r="X463" s="111"/>
      <c r="Y463" s="111"/>
      <c r="Z463" s="111" t="s">
        <v>12703</v>
      </c>
      <c r="AA463" s="124">
        <v>10.0</v>
      </c>
      <c r="AB463" s="125">
        <f>IF(Projects!$AI463="Electrolysis",
AA463/VLOOKUP(G463,ElectrolysisConvF,3,FALSE),
AC463*10^6/(H2dens*HoursInYear))</f>
        <v>1923.076923</v>
      </c>
      <c r="AC463" s="126">
        <f t="shared" si="75"/>
        <v>1.499307692</v>
      </c>
      <c r="AD463" s="125"/>
      <c r="AE463" s="125">
        <f t="shared" si="74"/>
        <v>1923.076923</v>
      </c>
      <c r="AF463" s="127" t="s">
        <v>13062</v>
      </c>
      <c r="AG463" s="127">
        <v>48.1467281264798</v>
      </c>
      <c r="AH463" s="127">
        <v>16.4957158798767</v>
      </c>
      <c r="AI463" s="115" t="s">
        <v>12383</v>
      </c>
      <c r="AJ463" s="116">
        <v>0.57</v>
      </c>
      <c r="AK463" s="117"/>
      <c r="AL463" s="117"/>
      <c r="AM463" s="117"/>
      <c r="AN463" s="117"/>
      <c r="AO463" s="117"/>
    </row>
    <row r="464" ht="39.75" customHeight="1">
      <c r="A464" s="111">
        <v>815.0</v>
      </c>
      <c r="B464" s="111" t="s">
        <v>8443</v>
      </c>
      <c r="C464" s="111" t="s">
        <v>7981</v>
      </c>
      <c r="D464" s="111">
        <v>2027.0</v>
      </c>
      <c r="E464" s="111"/>
      <c r="F464" s="111" t="s">
        <v>12399</v>
      </c>
      <c r="G464" s="111" t="s">
        <v>12237</v>
      </c>
      <c r="H464" s="111" t="s">
        <v>13063</v>
      </c>
      <c r="I464" s="111"/>
      <c r="J464" s="111"/>
      <c r="K464" s="111" t="s">
        <v>12415</v>
      </c>
      <c r="L464" s="111"/>
      <c r="M464" s="111"/>
      <c r="N464" s="111">
        <v>1.0</v>
      </c>
      <c r="O464" s="111"/>
      <c r="P464" s="111"/>
      <c r="Q464" s="111"/>
      <c r="R464" s="111"/>
      <c r="S464" s="111"/>
      <c r="T464" s="111"/>
      <c r="U464" s="111"/>
      <c r="V464" s="111"/>
      <c r="W464" s="111"/>
      <c r="X464" s="111"/>
      <c r="Y464" s="111"/>
      <c r="Z464" s="111" t="s">
        <v>13064</v>
      </c>
      <c r="AA464" s="124"/>
      <c r="AB464" s="125"/>
      <c r="AC464" s="126"/>
      <c r="AD464" s="125">
        <v>4200000.0</v>
      </c>
      <c r="AE464" s="125">
        <f>IF(AND(G464&lt;&gt;"NG w CCUS",G464&lt;&gt;"Oil w CCUS",G464&lt;&gt;"Coal w CCUS"),AB464,AD464*10^3/(HoursInYear*IF(G464="NG w CCUS",0.9105,1.9075)))</f>
        <v>251351.0117</v>
      </c>
      <c r="AF464" s="127" t="s">
        <v>13065</v>
      </c>
      <c r="AG464" s="127">
        <v>30.2284655540886</v>
      </c>
      <c r="AH464" s="127">
        <v>-93.2098196849623</v>
      </c>
      <c r="AI464" s="115" t="s">
        <v>12378</v>
      </c>
      <c r="AJ464" s="116">
        <v>0.9</v>
      </c>
      <c r="AK464" s="117"/>
      <c r="AL464" s="117"/>
      <c r="AM464" s="117"/>
      <c r="AN464" s="117"/>
      <c r="AO464" s="117"/>
    </row>
    <row r="465" ht="34.5" customHeight="1">
      <c r="A465" s="111">
        <v>818.0</v>
      </c>
      <c r="B465" s="111" t="s">
        <v>8444</v>
      </c>
      <c r="C465" s="111" t="s">
        <v>7967</v>
      </c>
      <c r="D465" s="111">
        <v>2026.0</v>
      </c>
      <c r="E465" s="111"/>
      <c r="F465" s="111" t="s">
        <v>12399</v>
      </c>
      <c r="G465" s="111" t="s">
        <v>12224</v>
      </c>
      <c r="H465" s="111"/>
      <c r="I465" s="111" t="s">
        <v>12394</v>
      </c>
      <c r="J465" s="111" t="s">
        <v>12293</v>
      </c>
      <c r="K465" s="111" t="s">
        <v>12251</v>
      </c>
      <c r="L465" s="111"/>
      <c r="M465" s="111"/>
      <c r="N465" s="111"/>
      <c r="O465" s="111"/>
      <c r="P465" s="111"/>
      <c r="Q465" s="111"/>
      <c r="R465" s="111"/>
      <c r="S465" s="111"/>
      <c r="T465" s="111"/>
      <c r="U465" s="111"/>
      <c r="V465" s="111"/>
      <c r="W465" s="111">
        <v>1.0</v>
      </c>
      <c r="X465" s="111"/>
      <c r="Y465" s="111"/>
      <c r="Z465" s="111" t="s">
        <v>13066</v>
      </c>
      <c r="AA465" s="124">
        <v>40.0</v>
      </c>
      <c r="AB465" s="125">
        <f>IF(Projects!$AI465="Electrolysis",
AA465/VLOOKUP(G465,ElectrolysisConvF,3,FALSE),
AC465*10^6/(H2dens*HoursInYear))</f>
        <v>8695.652174</v>
      </c>
      <c r="AC465" s="126">
        <f t="shared" ref="AC465:AC467" si="76">AB465*H2dens*HoursInYear/10^6</f>
        <v>6.779478261</v>
      </c>
      <c r="AD465" s="125"/>
      <c r="AE465" s="125">
        <f t="shared" ref="AE465:AE467" si="77">AB465</f>
        <v>8695.652174</v>
      </c>
      <c r="AF465" s="127" t="s">
        <v>13067</v>
      </c>
      <c r="AG465" s="127">
        <v>53.3344145029669</v>
      </c>
      <c r="AH465" s="127">
        <v>6.92135994987017</v>
      </c>
      <c r="AI465" s="115" t="s">
        <v>12383</v>
      </c>
      <c r="AJ465" s="116">
        <v>0.55</v>
      </c>
      <c r="AK465" s="144"/>
      <c r="AL465" s="144"/>
      <c r="AM465" s="144"/>
      <c r="AN465" s="144"/>
      <c r="AO465" s="144"/>
    </row>
    <row r="466" ht="34.5" customHeight="1">
      <c r="A466" s="111">
        <v>819.0</v>
      </c>
      <c r="B466" s="111" t="s">
        <v>8445</v>
      </c>
      <c r="C466" s="111" t="s">
        <v>7967</v>
      </c>
      <c r="D466" s="111">
        <v>2025.0</v>
      </c>
      <c r="E466" s="111"/>
      <c r="F466" s="111" t="s">
        <v>12399</v>
      </c>
      <c r="G466" s="111" t="s">
        <v>12381</v>
      </c>
      <c r="H466" s="111" t="s">
        <v>12230</v>
      </c>
      <c r="I466" s="111" t="s">
        <v>12287</v>
      </c>
      <c r="J466" s="111"/>
      <c r="K466" s="111" t="s">
        <v>30</v>
      </c>
      <c r="L466" s="111"/>
      <c r="M466" s="111"/>
      <c r="N466" s="111"/>
      <c r="O466" s="111">
        <v>1.0</v>
      </c>
      <c r="P466" s="111"/>
      <c r="Q466" s="111"/>
      <c r="R466" s="111"/>
      <c r="S466" s="111"/>
      <c r="T466" s="111"/>
      <c r="U466" s="111"/>
      <c r="V466" s="111"/>
      <c r="W466" s="111"/>
      <c r="X466" s="111"/>
      <c r="Y466" s="111"/>
      <c r="Z466" s="111" t="s">
        <v>12698</v>
      </c>
      <c r="AA466" s="124">
        <v>100.0</v>
      </c>
      <c r="AB466" s="125">
        <f>IF(Projects!$AI466="Electrolysis",
AA466/VLOOKUP(G466,ElectrolysisConvF,3,FALSE),
AC466*10^6/(H2dens*HoursInYear))</f>
        <v>22222.22222</v>
      </c>
      <c r="AC466" s="126">
        <f t="shared" si="76"/>
        <v>17.32533333</v>
      </c>
      <c r="AD466" s="125"/>
      <c r="AE466" s="125">
        <f t="shared" si="77"/>
        <v>22222.22222</v>
      </c>
      <c r="AF466" s="127" t="s">
        <v>13068</v>
      </c>
      <c r="AG466" s="127">
        <v>52.4724692704042</v>
      </c>
      <c r="AH466" s="127">
        <v>4.51429678082497</v>
      </c>
      <c r="AI466" s="115" t="s">
        <v>12383</v>
      </c>
      <c r="AJ466" s="116">
        <v>0.57</v>
      </c>
      <c r="AK466" s="117"/>
      <c r="AL466" s="117"/>
      <c r="AM466" s="117"/>
      <c r="AN466" s="117"/>
      <c r="AO466" s="117"/>
    </row>
    <row r="467" ht="34.5" customHeight="1">
      <c r="A467" s="111">
        <v>821.0</v>
      </c>
      <c r="B467" s="111" t="s">
        <v>8446</v>
      </c>
      <c r="C467" s="111" t="s">
        <v>8011</v>
      </c>
      <c r="D467" s="111">
        <v>2029.0</v>
      </c>
      <c r="E467" s="111"/>
      <c r="F467" s="111" t="s">
        <v>12399</v>
      </c>
      <c r="G467" s="111" t="s">
        <v>12224</v>
      </c>
      <c r="H467" s="111"/>
      <c r="I467" s="111" t="s">
        <v>12406</v>
      </c>
      <c r="J467" s="111"/>
      <c r="K467" s="111" t="s">
        <v>30</v>
      </c>
      <c r="L467" s="111"/>
      <c r="M467" s="111"/>
      <c r="N467" s="111"/>
      <c r="O467" s="111"/>
      <c r="P467" s="111"/>
      <c r="Q467" s="111"/>
      <c r="R467" s="111"/>
      <c r="S467" s="111">
        <v>1.0</v>
      </c>
      <c r="T467" s="111"/>
      <c r="U467" s="111"/>
      <c r="V467" s="111"/>
      <c r="W467" s="111"/>
      <c r="X467" s="111"/>
      <c r="Y467" s="111"/>
      <c r="Z467" s="111" t="s">
        <v>13069</v>
      </c>
      <c r="AA467" s="124">
        <f>500-200</f>
        <v>300</v>
      </c>
      <c r="AB467" s="125">
        <f>IF(Projects!$AI467="Electrolysis",
AA467/VLOOKUP(G467,ElectrolysisConvF,3,FALSE),
AC467*10^6/(H2dens*HoursInYear))</f>
        <v>65217.3913</v>
      </c>
      <c r="AC467" s="126">
        <f t="shared" si="76"/>
        <v>50.84608696</v>
      </c>
      <c r="AD467" s="125"/>
      <c r="AE467" s="125">
        <f t="shared" si="77"/>
        <v>65217.3913</v>
      </c>
      <c r="AF467" s="127" t="s">
        <v>13070</v>
      </c>
      <c r="AG467" s="127">
        <v>51.0336667184166</v>
      </c>
      <c r="AH467" s="127">
        <v>2.36781971679909</v>
      </c>
      <c r="AI467" s="115" t="s">
        <v>12383</v>
      </c>
      <c r="AJ467" s="116">
        <v>0.57</v>
      </c>
      <c r="AK467" s="117"/>
      <c r="AL467" s="117"/>
      <c r="AM467" s="117"/>
      <c r="AN467" s="117"/>
      <c r="AO467" s="117"/>
    </row>
    <row r="468" ht="34.5" customHeight="1">
      <c r="A468" s="111">
        <v>823.0</v>
      </c>
      <c r="B468" s="111" t="s">
        <v>8447</v>
      </c>
      <c r="C468" s="111" t="s">
        <v>7967</v>
      </c>
      <c r="D468" s="111">
        <v>2027.0</v>
      </c>
      <c r="E468" s="111"/>
      <c r="F468" s="111" t="s">
        <v>12399</v>
      </c>
      <c r="G468" s="111" t="s">
        <v>12235</v>
      </c>
      <c r="H468" s="111" t="s">
        <v>12529</v>
      </c>
      <c r="I468" s="111"/>
      <c r="J468" s="111"/>
      <c r="K468" s="111" t="s">
        <v>30</v>
      </c>
      <c r="L468" s="111"/>
      <c r="M468" s="111"/>
      <c r="N468" s="111"/>
      <c r="O468" s="111"/>
      <c r="P468" s="111"/>
      <c r="Q468" s="111"/>
      <c r="R468" s="111">
        <v>1.0</v>
      </c>
      <c r="S468" s="111"/>
      <c r="T468" s="111"/>
      <c r="U468" s="111"/>
      <c r="V468" s="111"/>
      <c r="W468" s="111"/>
      <c r="X468" s="111"/>
      <c r="Y468" s="111"/>
      <c r="Z468" s="111" t="s">
        <v>12978</v>
      </c>
      <c r="AA468" s="124"/>
      <c r="AB468" s="125"/>
      <c r="AC468" s="126"/>
      <c r="AD468" s="125">
        <v>1300000.0</v>
      </c>
      <c r="AE468" s="125">
        <f t="shared" ref="AE468:AE469" si="78">IF(AND(G468&lt;&gt;"NG w CCUS",G468&lt;&gt;"Oil w CCUS",G468&lt;&gt;"Coal w CCUS"),AB468,AD468*10^3/(HoursInYear*IF(G468="NG w CCUS",0.9105,1.9075)))</f>
        <v>162989.3756</v>
      </c>
      <c r="AF468" s="127" t="s">
        <v>13071</v>
      </c>
      <c r="AG468" s="127">
        <v>53.3563430560509</v>
      </c>
      <c r="AH468" s="127">
        <v>6.60491550828839</v>
      </c>
      <c r="AI468" s="115" t="s">
        <v>12378</v>
      </c>
      <c r="AJ468" s="116">
        <v>0.9</v>
      </c>
      <c r="AK468" s="117"/>
      <c r="AL468" s="117"/>
      <c r="AM468" s="117"/>
      <c r="AN468" s="117"/>
      <c r="AO468" s="117"/>
    </row>
    <row r="469" ht="34.5" customHeight="1">
      <c r="A469" s="111">
        <v>825.0</v>
      </c>
      <c r="B469" s="111" t="s">
        <v>8448</v>
      </c>
      <c r="C469" s="111" t="s">
        <v>7981</v>
      </c>
      <c r="D469" s="111">
        <v>2025.0</v>
      </c>
      <c r="E469" s="111"/>
      <c r="F469" s="111" t="s">
        <v>12399</v>
      </c>
      <c r="G469" s="111" t="s">
        <v>12237</v>
      </c>
      <c r="H469" s="111" t="s">
        <v>13072</v>
      </c>
      <c r="I469" s="111"/>
      <c r="J469" s="111"/>
      <c r="K469" s="111" t="s">
        <v>30</v>
      </c>
      <c r="L469" s="111"/>
      <c r="M469" s="111"/>
      <c r="N469" s="111"/>
      <c r="O469" s="111"/>
      <c r="P469" s="111"/>
      <c r="Q469" s="111"/>
      <c r="R469" s="111"/>
      <c r="S469" s="111"/>
      <c r="T469" s="111"/>
      <c r="U469" s="111"/>
      <c r="V469" s="111"/>
      <c r="W469" s="111"/>
      <c r="X469" s="111"/>
      <c r="Y469" s="111"/>
      <c r="Z469" s="111" t="s">
        <v>13073</v>
      </c>
      <c r="AA469" s="124"/>
      <c r="AB469" s="125">
        <f>IF(Projects!$AI469="Electrolysis",
AA469/VLOOKUP(G469,ElectrolysisConvF,3,FALSE),
AC469*10^6/(H2dens*HoursInYear))</f>
        <v>157303.3708</v>
      </c>
      <c r="AC469" s="126">
        <f>0.336*365</f>
        <v>122.64</v>
      </c>
      <c r="AD469" s="125">
        <v>1650000.0</v>
      </c>
      <c r="AE469" s="125">
        <f t="shared" si="78"/>
        <v>98745.04031</v>
      </c>
      <c r="AF469" s="127" t="s">
        <v>13074</v>
      </c>
      <c r="AG469" s="127">
        <v>39.5337695153343</v>
      </c>
      <c r="AH469" s="127">
        <v>-87.4259590772404</v>
      </c>
      <c r="AI469" s="115" t="s">
        <v>12378</v>
      </c>
      <c r="AJ469" s="116">
        <v>0.9</v>
      </c>
      <c r="AK469" s="117"/>
      <c r="AL469" s="117"/>
      <c r="AM469" s="117"/>
      <c r="AN469" s="117"/>
      <c r="AO469" s="117"/>
    </row>
    <row r="470" ht="34.5" customHeight="1">
      <c r="A470" s="111">
        <v>826.0</v>
      </c>
      <c r="B470" s="111" t="s">
        <v>8449</v>
      </c>
      <c r="C470" s="111" t="s">
        <v>7987</v>
      </c>
      <c r="D470" s="111">
        <v>2007.0</v>
      </c>
      <c r="E470" s="111"/>
      <c r="F470" s="111" t="s">
        <v>12418</v>
      </c>
      <c r="G470" s="111" t="s">
        <v>12381</v>
      </c>
      <c r="H470" s="111" t="s">
        <v>12230</v>
      </c>
      <c r="I470" s="111" t="s">
        <v>12287</v>
      </c>
      <c r="J470" s="111"/>
      <c r="K470" s="111" t="s">
        <v>30</v>
      </c>
      <c r="L470" s="111"/>
      <c r="M470" s="111"/>
      <c r="N470" s="111"/>
      <c r="O470" s="111"/>
      <c r="P470" s="111"/>
      <c r="Q470" s="111">
        <v>1.0</v>
      </c>
      <c r="R470" s="111">
        <v>1.0</v>
      </c>
      <c r="S470" s="111">
        <v>1.0</v>
      </c>
      <c r="T470" s="111"/>
      <c r="U470" s="111"/>
      <c r="V470" s="111"/>
      <c r="W470" s="111"/>
      <c r="X470" s="111"/>
      <c r="Y470" s="111"/>
      <c r="Z470" s="111"/>
      <c r="AA470" s="124"/>
      <c r="AB470" s="125"/>
      <c r="AC470" s="126"/>
      <c r="AD470" s="125"/>
      <c r="AE470" s="125" t="str">
        <f>AB470</f>
        <v/>
      </c>
      <c r="AF470" s="127" t="s">
        <v>13075</v>
      </c>
      <c r="AG470" s="127">
        <v>0.0</v>
      </c>
      <c r="AH470" s="127">
        <v>0.0</v>
      </c>
      <c r="AI470" s="115" t="s">
        <v>12383</v>
      </c>
      <c r="AJ470" s="116">
        <v>0.57</v>
      </c>
      <c r="AK470" s="117"/>
      <c r="AL470" s="117"/>
      <c r="AM470" s="117"/>
      <c r="AN470" s="117"/>
      <c r="AO470" s="117"/>
    </row>
    <row r="471" ht="34.5" customHeight="1">
      <c r="A471" s="111">
        <v>827.0</v>
      </c>
      <c r="B471" s="111" t="s">
        <v>8450</v>
      </c>
      <c r="C471" s="111" t="s">
        <v>7967</v>
      </c>
      <c r="D471" s="111">
        <v>2005.0</v>
      </c>
      <c r="E471" s="111">
        <v>2026.0</v>
      </c>
      <c r="F471" s="111" t="s">
        <v>12385</v>
      </c>
      <c r="G471" s="111" t="s">
        <v>12237</v>
      </c>
      <c r="H471" s="111" t="s">
        <v>13076</v>
      </c>
      <c r="I471" s="111"/>
      <c r="J471" s="111"/>
      <c r="K471" s="111" t="s">
        <v>30</v>
      </c>
      <c r="L471" s="111">
        <v>1.0</v>
      </c>
      <c r="M471" s="111"/>
      <c r="N471" s="111"/>
      <c r="O471" s="111"/>
      <c r="P471" s="111"/>
      <c r="Q471" s="111"/>
      <c r="R471" s="111"/>
      <c r="S471" s="111"/>
      <c r="T471" s="111"/>
      <c r="U471" s="111"/>
      <c r="V471" s="111"/>
      <c r="W471" s="111"/>
      <c r="X471" s="111"/>
      <c r="Y471" s="111"/>
      <c r="Z471" s="111" t="s">
        <v>13077</v>
      </c>
      <c r="AA471" s="124"/>
      <c r="AB471" s="125">
        <f>AC471/(0.089*24*365/10^6)</f>
        <v>128264.3271</v>
      </c>
      <c r="AC471" s="126">
        <v>100.0</v>
      </c>
      <c r="AD471" s="125">
        <v>1000000.0</v>
      </c>
      <c r="AE471" s="125">
        <f>IF(AND(G471&lt;&gt;"NG w CCUS",G471&lt;&gt;"Oil w CCUS",G471&lt;&gt;"Coal w CCUS"),AB471,AD471*10^3/(HoursInYear*IF(G471="NG w CCUS",0.9105,1.9075)))</f>
        <v>59845.47897</v>
      </c>
      <c r="AF471" s="127" t="s">
        <v>13078</v>
      </c>
      <c r="AG471" s="127">
        <v>51.8805104479971</v>
      </c>
      <c r="AH471" s="127">
        <v>4.31564031724715</v>
      </c>
      <c r="AI471" s="115" t="s">
        <v>12378</v>
      </c>
      <c r="AJ471" s="116">
        <v>0.9</v>
      </c>
      <c r="AK471" s="117"/>
      <c r="AL471" s="117"/>
      <c r="AM471" s="117"/>
      <c r="AN471" s="117"/>
      <c r="AO471" s="117"/>
    </row>
    <row r="472" ht="34.5" customHeight="1">
      <c r="A472" s="111">
        <v>828.0</v>
      </c>
      <c r="B472" s="111" t="s">
        <v>8451</v>
      </c>
      <c r="C472" s="111" t="s">
        <v>7967</v>
      </c>
      <c r="D472" s="111">
        <v>2022.0</v>
      </c>
      <c r="E472" s="111"/>
      <c r="F472" s="111" t="s">
        <v>12385</v>
      </c>
      <c r="G472" s="111" t="s">
        <v>12239</v>
      </c>
      <c r="H472" s="111" t="s">
        <v>13079</v>
      </c>
      <c r="I472" s="111"/>
      <c r="J472" s="111"/>
      <c r="K472" s="111" t="s">
        <v>30</v>
      </c>
      <c r="L472" s="111"/>
      <c r="M472" s="111"/>
      <c r="N472" s="111"/>
      <c r="O472" s="111"/>
      <c r="P472" s="111"/>
      <c r="Q472" s="111"/>
      <c r="R472" s="111"/>
      <c r="S472" s="111"/>
      <c r="T472" s="111"/>
      <c r="U472" s="111"/>
      <c r="V472" s="111"/>
      <c r="W472" s="111"/>
      <c r="X472" s="111"/>
      <c r="Y472" s="111"/>
      <c r="Z472" s="111" t="s">
        <v>13080</v>
      </c>
      <c r="AA472" s="124"/>
      <c r="AB472" s="125"/>
      <c r="AC472" s="126"/>
      <c r="AD472" s="125"/>
      <c r="AE472" s="125" t="str">
        <f t="shared" ref="AE472:AE473" si="79">AB472</f>
        <v/>
      </c>
      <c r="AF472" s="127" t="s">
        <v>12813</v>
      </c>
      <c r="AG472" s="127">
        <v>0.0</v>
      </c>
      <c r="AH472" s="127">
        <v>0.0</v>
      </c>
      <c r="AI472" s="115" t="s">
        <v>12241</v>
      </c>
      <c r="AJ472" s="116">
        <v>0.9</v>
      </c>
      <c r="AK472" s="117"/>
      <c r="AL472" s="117"/>
      <c r="AM472" s="117"/>
      <c r="AN472" s="117"/>
      <c r="AO472" s="117"/>
    </row>
    <row r="473" ht="34.5" customHeight="1">
      <c r="A473" s="111">
        <v>829.0</v>
      </c>
      <c r="B473" s="111" t="s">
        <v>8452</v>
      </c>
      <c r="C473" s="111" t="s">
        <v>7967</v>
      </c>
      <c r="D473" s="111"/>
      <c r="E473" s="111"/>
      <c r="F473" s="111" t="s">
        <v>12399</v>
      </c>
      <c r="G473" s="111" t="s">
        <v>12241</v>
      </c>
      <c r="H473" s="111" t="s">
        <v>13081</v>
      </c>
      <c r="I473" s="111"/>
      <c r="J473" s="111"/>
      <c r="K473" s="111" t="s">
        <v>30</v>
      </c>
      <c r="L473" s="111"/>
      <c r="M473" s="111"/>
      <c r="N473" s="111"/>
      <c r="O473" s="111"/>
      <c r="P473" s="111"/>
      <c r="Q473" s="111"/>
      <c r="R473" s="111"/>
      <c r="S473" s="111">
        <v>1.0</v>
      </c>
      <c r="T473" s="111"/>
      <c r="U473" s="111"/>
      <c r="V473" s="111"/>
      <c r="W473" s="111"/>
      <c r="X473" s="111"/>
      <c r="Y473" s="111"/>
      <c r="Z473" s="111"/>
      <c r="AA473" s="124"/>
      <c r="AB473" s="125"/>
      <c r="AC473" s="126"/>
      <c r="AD473" s="125"/>
      <c r="AE473" s="125" t="str">
        <f t="shared" si="79"/>
        <v/>
      </c>
      <c r="AF473" s="127" t="s">
        <v>12813</v>
      </c>
      <c r="AG473" s="127">
        <v>0.0</v>
      </c>
      <c r="AH473" s="127">
        <v>0.0</v>
      </c>
      <c r="AI473" s="115" t="s">
        <v>12241</v>
      </c>
      <c r="AJ473" s="116">
        <v>0.9</v>
      </c>
      <c r="AK473" s="117"/>
      <c r="AL473" s="117"/>
      <c r="AM473" s="117"/>
      <c r="AN473" s="117"/>
      <c r="AO473" s="117"/>
    </row>
    <row r="474" ht="34.5" customHeight="1">
      <c r="A474" s="111">
        <v>830.0</v>
      </c>
      <c r="B474" s="111" t="s">
        <v>8453</v>
      </c>
      <c r="C474" s="111" t="s">
        <v>8117</v>
      </c>
      <c r="D474" s="111">
        <v>2025.0</v>
      </c>
      <c r="E474" s="111"/>
      <c r="F474" s="111" t="s">
        <v>12397</v>
      </c>
      <c r="G474" s="111" t="s">
        <v>12381</v>
      </c>
      <c r="H474" s="111" t="s">
        <v>12230</v>
      </c>
      <c r="I474" s="111" t="s">
        <v>12394</v>
      </c>
      <c r="J474" s="111" t="s">
        <v>12291</v>
      </c>
      <c r="K474" s="111" t="s">
        <v>30</v>
      </c>
      <c r="L474" s="111">
        <v>1.0</v>
      </c>
      <c r="M474" s="111">
        <v>1.0</v>
      </c>
      <c r="N474" s="111"/>
      <c r="O474" s="111">
        <v>1.0</v>
      </c>
      <c r="P474" s="111">
        <v>1.0</v>
      </c>
      <c r="Q474" s="111"/>
      <c r="R474" s="111"/>
      <c r="S474" s="111"/>
      <c r="T474" s="111"/>
      <c r="U474" s="111"/>
      <c r="V474" s="111"/>
      <c r="W474" s="111"/>
      <c r="X474" s="111"/>
      <c r="Y474" s="111"/>
      <c r="Z474" s="111" t="s">
        <v>12698</v>
      </c>
      <c r="AA474" s="124">
        <v>100.0</v>
      </c>
      <c r="AB474" s="125">
        <f>IF(Projects!$AI474="Electrolysis",
AA474/VLOOKUP(G474,ElectrolysisConvF,3,FALSE),
AC474*10^6/(H2dens*HoursInYear))</f>
        <v>22222.22222</v>
      </c>
      <c r="AC474" s="126">
        <f t="shared" ref="AC474:AC476" si="80">AB474*H2dens*HoursInYear/10^6</f>
        <v>17.32533333</v>
      </c>
      <c r="AD474" s="125"/>
      <c r="AE474" s="125"/>
      <c r="AF474" s="127"/>
      <c r="AG474" s="127">
        <v>37.845672</v>
      </c>
      <c r="AH474" s="127">
        <v>23.790579</v>
      </c>
      <c r="AI474" s="115" t="s">
        <v>12383</v>
      </c>
      <c r="AJ474" s="116">
        <v>0.3</v>
      </c>
      <c r="AK474" s="117"/>
      <c r="AL474" s="117"/>
      <c r="AM474" s="117"/>
      <c r="AN474" s="117"/>
      <c r="AO474" s="117"/>
    </row>
    <row r="475" ht="34.5" customHeight="1">
      <c r="A475" s="111">
        <v>831.0</v>
      </c>
      <c r="B475" s="111" t="s">
        <v>8454</v>
      </c>
      <c r="C475" s="111" t="s">
        <v>8001</v>
      </c>
      <c r="D475" s="111">
        <v>2023.0</v>
      </c>
      <c r="E475" s="111"/>
      <c r="F475" s="111" t="s">
        <v>12385</v>
      </c>
      <c r="G475" s="111" t="s">
        <v>12381</v>
      </c>
      <c r="H475" s="111" t="s">
        <v>13082</v>
      </c>
      <c r="I475" s="111" t="s">
        <v>12394</v>
      </c>
      <c r="J475" s="111" t="s">
        <v>12291</v>
      </c>
      <c r="K475" s="111" t="s">
        <v>30</v>
      </c>
      <c r="L475" s="111"/>
      <c r="M475" s="111"/>
      <c r="N475" s="111"/>
      <c r="O475" s="111"/>
      <c r="P475" s="111"/>
      <c r="Q475" s="111">
        <v>1.0</v>
      </c>
      <c r="R475" s="111"/>
      <c r="S475" s="111"/>
      <c r="T475" s="111"/>
      <c r="U475" s="111"/>
      <c r="V475" s="111"/>
      <c r="W475" s="111"/>
      <c r="X475" s="111"/>
      <c r="Y475" s="111"/>
      <c r="Z475" s="111" t="s">
        <v>13083</v>
      </c>
      <c r="AA475" s="124">
        <v>6.0</v>
      </c>
      <c r="AB475" s="125">
        <f>IF(Projects!$AI475="Electrolysis",
AA475/VLOOKUP(G475,ElectrolysisConvF,3,FALSE),
AC475*10^6/(H2dens*HoursInYear))</f>
        <v>1333.333333</v>
      </c>
      <c r="AC475" s="126">
        <f t="shared" si="80"/>
        <v>1.03952</v>
      </c>
      <c r="AD475" s="125"/>
      <c r="AE475" s="125">
        <f t="shared" ref="AE475:AE493" si="81">AB475</f>
        <v>1333.333333</v>
      </c>
      <c r="AF475" s="127" t="s">
        <v>13084</v>
      </c>
      <c r="AG475" s="127">
        <v>45.622681</v>
      </c>
      <c r="AH475" s="127">
        <v>122.848434</v>
      </c>
      <c r="AI475" s="115" t="s">
        <v>12383</v>
      </c>
      <c r="AJ475" s="116">
        <v>0.3</v>
      </c>
      <c r="AK475" s="117"/>
      <c r="AL475" s="117"/>
      <c r="AM475" s="117"/>
      <c r="AN475" s="117"/>
      <c r="AO475" s="117"/>
    </row>
    <row r="476" ht="34.5" customHeight="1">
      <c r="A476" s="111">
        <v>833.0</v>
      </c>
      <c r="B476" s="111" t="s">
        <v>8455</v>
      </c>
      <c r="C476" s="111" t="s">
        <v>7977</v>
      </c>
      <c r="D476" s="111">
        <v>2027.0</v>
      </c>
      <c r="E476" s="111"/>
      <c r="F476" s="111" t="s">
        <v>12399</v>
      </c>
      <c r="G476" s="111" t="s">
        <v>12224</v>
      </c>
      <c r="H476" s="111"/>
      <c r="I476" s="111" t="s">
        <v>12406</v>
      </c>
      <c r="J476" s="111" t="s">
        <v>12295</v>
      </c>
      <c r="K476" s="111" t="s">
        <v>30</v>
      </c>
      <c r="L476" s="111">
        <v>1.0</v>
      </c>
      <c r="M476" s="111"/>
      <c r="N476" s="111"/>
      <c r="O476" s="111"/>
      <c r="P476" s="111"/>
      <c r="Q476" s="111"/>
      <c r="R476" s="111"/>
      <c r="S476" s="111">
        <v>1.0</v>
      </c>
      <c r="T476" s="111"/>
      <c r="U476" s="111"/>
      <c r="V476" s="111"/>
      <c r="W476" s="111"/>
      <c r="X476" s="111"/>
      <c r="Y476" s="111"/>
      <c r="Z476" s="111" t="s">
        <v>12709</v>
      </c>
      <c r="AA476" s="124">
        <v>100.0</v>
      </c>
      <c r="AB476" s="125">
        <f>IF(Projects!$AI476="Electrolysis",
AA476/VLOOKUP(G476,ElectrolysisConvF,3,FALSE),
AC476*10^6/(H2dens*HoursInYear))</f>
        <v>21739.13043</v>
      </c>
      <c r="AC476" s="126">
        <f t="shared" si="80"/>
        <v>16.94869565</v>
      </c>
      <c r="AD476" s="125"/>
      <c r="AE476" s="125">
        <f t="shared" si="81"/>
        <v>21739.13043</v>
      </c>
      <c r="AF476" s="127" t="s">
        <v>13085</v>
      </c>
      <c r="AG476" s="127">
        <v>37.5697134762125</v>
      </c>
      <c r="AH476" s="127">
        <v>-0.947449812336307</v>
      </c>
      <c r="AI476" s="115" t="s">
        <v>12383</v>
      </c>
      <c r="AJ476" s="116">
        <v>0.57</v>
      </c>
      <c r="AK476" s="117"/>
      <c r="AL476" s="117"/>
      <c r="AM476" s="117"/>
      <c r="AN476" s="117"/>
      <c r="AO476" s="117"/>
    </row>
    <row r="477" ht="34.5" customHeight="1">
      <c r="A477" s="111">
        <v>834.0</v>
      </c>
      <c r="B477" s="111" t="s">
        <v>8456</v>
      </c>
      <c r="C477" s="111" t="s">
        <v>7967</v>
      </c>
      <c r="D477" s="111"/>
      <c r="E477" s="111"/>
      <c r="F477" s="111" t="s">
        <v>12393</v>
      </c>
      <c r="G477" s="111" t="s">
        <v>12381</v>
      </c>
      <c r="H477" s="111" t="s">
        <v>12230</v>
      </c>
      <c r="I477" s="111" t="s">
        <v>12287</v>
      </c>
      <c r="J477" s="111"/>
      <c r="K477" s="111" t="s">
        <v>30</v>
      </c>
      <c r="L477" s="111"/>
      <c r="M477" s="111"/>
      <c r="N477" s="111"/>
      <c r="O477" s="111"/>
      <c r="P477" s="111"/>
      <c r="Q477" s="111"/>
      <c r="R477" s="111"/>
      <c r="S477" s="111"/>
      <c r="T477" s="111"/>
      <c r="U477" s="111">
        <v>1.0</v>
      </c>
      <c r="V477" s="111"/>
      <c r="W477" s="111"/>
      <c r="X477" s="111"/>
      <c r="Y477" s="111"/>
      <c r="Z477" s="111"/>
      <c r="AA477" s="124"/>
      <c r="AB477" s="125"/>
      <c r="AC477" s="126"/>
      <c r="AD477" s="125"/>
      <c r="AE477" s="125" t="str">
        <f t="shared" si="81"/>
        <v/>
      </c>
      <c r="AF477" s="127" t="s">
        <v>13086</v>
      </c>
      <c r="AG477" s="127">
        <v>0.0</v>
      </c>
      <c r="AH477" s="127">
        <v>0.0</v>
      </c>
      <c r="AI477" s="115" t="s">
        <v>12383</v>
      </c>
      <c r="AJ477" s="116">
        <v>0.57</v>
      </c>
      <c r="AK477" s="117"/>
      <c r="AL477" s="117"/>
      <c r="AM477" s="117"/>
      <c r="AN477" s="117"/>
      <c r="AO477" s="117"/>
    </row>
    <row r="478" ht="34.5" customHeight="1">
      <c r="A478" s="111">
        <v>835.0</v>
      </c>
      <c r="B478" s="111" t="s">
        <v>8457</v>
      </c>
      <c r="C478" s="111" t="s">
        <v>7977</v>
      </c>
      <c r="D478" s="111"/>
      <c r="E478" s="111"/>
      <c r="F478" s="111" t="s">
        <v>12397</v>
      </c>
      <c r="G478" s="111" t="s">
        <v>12381</v>
      </c>
      <c r="H478" s="111" t="s">
        <v>12230</v>
      </c>
      <c r="I478" s="111" t="s">
        <v>12394</v>
      </c>
      <c r="J478" s="111" t="s">
        <v>12291</v>
      </c>
      <c r="K478" s="111" t="s">
        <v>30</v>
      </c>
      <c r="L478" s="111"/>
      <c r="M478" s="111"/>
      <c r="N478" s="111"/>
      <c r="O478" s="111"/>
      <c r="P478" s="111"/>
      <c r="Q478" s="111"/>
      <c r="R478" s="111"/>
      <c r="S478" s="111">
        <v>1.0</v>
      </c>
      <c r="T478" s="111"/>
      <c r="U478" s="111"/>
      <c r="V478" s="111"/>
      <c r="W478" s="111"/>
      <c r="X478" s="111"/>
      <c r="Y478" s="111"/>
      <c r="Z478" s="111" t="s">
        <v>13087</v>
      </c>
      <c r="AA478" s="124">
        <v>0.015</v>
      </c>
      <c r="AB478" s="125">
        <f>IF(Projects!$AI478="Electrolysis",
AA478/VLOOKUP(G478,ElectrolysisConvF,3,FALSE),
AC478*10^6/(H2dens*HoursInYear))</f>
        <v>3.333333333</v>
      </c>
      <c r="AC478" s="126">
        <f>AB478*H2dens*HoursInYear/10^6</f>
        <v>0.0025988</v>
      </c>
      <c r="AD478" s="125"/>
      <c r="AE478" s="125">
        <f t="shared" si="81"/>
        <v>3.333333333</v>
      </c>
      <c r="AF478" s="127" t="s">
        <v>13088</v>
      </c>
      <c r="AG478" s="127">
        <v>0.0</v>
      </c>
      <c r="AH478" s="127">
        <v>0.0</v>
      </c>
      <c r="AI478" s="115" t="s">
        <v>12383</v>
      </c>
      <c r="AJ478" s="116">
        <v>0.3</v>
      </c>
      <c r="AK478" s="117"/>
      <c r="AL478" s="117"/>
      <c r="AM478" s="117"/>
      <c r="AN478" s="117"/>
      <c r="AO478" s="117"/>
    </row>
    <row r="479" ht="33.75" customHeight="1">
      <c r="A479" s="111">
        <v>836.0</v>
      </c>
      <c r="B479" s="111" t="s">
        <v>8458</v>
      </c>
      <c r="C479" s="111" t="s">
        <v>7981</v>
      </c>
      <c r="D479" s="111">
        <v>2023.0</v>
      </c>
      <c r="E479" s="111"/>
      <c r="F479" s="111" t="s">
        <v>12385</v>
      </c>
      <c r="G479" s="111" t="s">
        <v>12239</v>
      </c>
      <c r="H479" s="111" t="s">
        <v>13001</v>
      </c>
      <c r="I479" s="111"/>
      <c r="J479" s="111"/>
      <c r="K479" s="111" t="s">
        <v>30</v>
      </c>
      <c r="L479" s="111"/>
      <c r="M479" s="111"/>
      <c r="N479" s="111"/>
      <c r="O479" s="111"/>
      <c r="P479" s="111"/>
      <c r="Q479" s="111">
        <v>1.0</v>
      </c>
      <c r="R479" s="111"/>
      <c r="S479" s="111"/>
      <c r="T479" s="111"/>
      <c r="U479" s="111"/>
      <c r="V479" s="111"/>
      <c r="W479" s="111"/>
      <c r="X479" s="111"/>
      <c r="Y479" s="111"/>
      <c r="Z479" s="111" t="s">
        <v>13089</v>
      </c>
      <c r="AA479" s="124"/>
      <c r="AB479" s="125">
        <f>AC479/(H2dens*HoursInYear/10^6)</f>
        <v>561.7977528</v>
      </c>
      <c r="AC479" s="126">
        <f>1.2*365/1000</f>
        <v>0.438</v>
      </c>
      <c r="AD479" s="125"/>
      <c r="AE479" s="125">
        <f t="shared" si="81"/>
        <v>561.7977528</v>
      </c>
      <c r="AF479" s="127" t="s">
        <v>13090</v>
      </c>
      <c r="AG479" s="127">
        <v>33.872533373318</v>
      </c>
      <c r="AH479" s="127">
        <v>-117.960258640284</v>
      </c>
      <c r="AI479" s="115" t="s">
        <v>12241</v>
      </c>
      <c r="AJ479" s="116">
        <v>0.9</v>
      </c>
      <c r="AK479" s="117"/>
      <c r="AL479" s="117"/>
      <c r="AM479" s="117"/>
      <c r="AN479" s="117"/>
      <c r="AO479" s="117"/>
    </row>
    <row r="480" ht="34.5" customHeight="1">
      <c r="A480" s="111">
        <v>837.0</v>
      </c>
      <c r="B480" s="111" t="s">
        <v>8459</v>
      </c>
      <c r="C480" s="111" t="s">
        <v>7967</v>
      </c>
      <c r="D480" s="111">
        <v>2023.0</v>
      </c>
      <c r="E480" s="111"/>
      <c r="F480" s="111" t="s">
        <v>12418</v>
      </c>
      <c r="G480" s="111" t="s">
        <v>12239</v>
      </c>
      <c r="H480" s="111" t="s">
        <v>13079</v>
      </c>
      <c r="I480" s="111"/>
      <c r="J480" s="111"/>
      <c r="K480" s="111" t="s">
        <v>30</v>
      </c>
      <c r="L480" s="111"/>
      <c r="M480" s="111"/>
      <c r="N480" s="111"/>
      <c r="O480" s="111"/>
      <c r="P480" s="111">
        <v>1.0</v>
      </c>
      <c r="Q480" s="111"/>
      <c r="R480" s="111"/>
      <c r="S480" s="111"/>
      <c r="T480" s="111"/>
      <c r="U480" s="111"/>
      <c r="V480" s="111"/>
      <c r="W480" s="111"/>
      <c r="X480" s="111"/>
      <c r="Y480" s="111"/>
      <c r="Z480" s="111" t="s">
        <v>13091</v>
      </c>
      <c r="AA480" s="124"/>
      <c r="AB480" s="125">
        <f>IF(Projects!$AI480="Electrolysis",
AA480/VLOOKUP(G480,ElectrolysisConvF,3,FALSE),
AC480*10^6/(H2dens*HoursInYear))</f>
        <v>234.082397</v>
      </c>
      <c r="AC480" s="129">
        <f>500/1000*365/1000</f>
        <v>0.1825</v>
      </c>
      <c r="AD480" s="125"/>
      <c r="AE480" s="125">
        <f t="shared" si="81"/>
        <v>234.082397</v>
      </c>
      <c r="AF480" s="127" t="s">
        <v>13092</v>
      </c>
      <c r="AG480" s="127">
        <v>0.0</v>
      </c>
      <c r="AH480" s="127">
        <v>0.0</v>
      </c>
      <c r="AI480" s="115" t="s">
        <v>12241</v>
      </c>
      <c r="AJ480" s="116">
        <v>0.9</v>
      </c>
      <c r="AK480" s="117"/>
      <c r="AL480" s="117"/>
      <c r="AM480" s="117"/>
      <c r="AN480" s="117"/>
      <c r="AO480" s="117"/>
    </row>
    <row r="481" ht="34.5" customHeight="1">
      <c r="A481" s="111">
        <v>838.0</v>
      </c>
      <c r="B481" s="111" t="s">
        <v>8460</v>
      </c>
      <c r="C481" s="111" t="s">
        <v>7994</v>
      </c>
      <c r="D481" s="111"/>
      <c r="E481" s="111"/>
      <c r="F481" s="111" t="s">
        <v>12399</v>
      </c>
      <c r="G481" s="111" t="s">
        <v>12381</v>
      </c>
      <c r="H481" s="111" t="s">
        <v>12230</v>
      </c>
      <c r="I481" s="111" t="s">
        <v>12394</v>
      </c>
      <c r="J481" s="111" t="s">
        <v>12294</v>
      </c>
      <c r="K481" s="111" t="s">
        <v>12415</v>
      </c>
      <c r="L481" s="111"/>
      <c r="M481" s="111"/>
      <c r="N481" s="111">
        <v>1.0</v>
      </c>
      <c r="O481" s="111"/>
      <c r="P481" s="111"/>
      <c r="Q481" s="111"/>
      <c r="R481" s="111"/>
      <c r="S481" s="111"/>
      <c r="T481" s="111"/>
      <c r="U481" s="111"/>
      <c r="V481" s="111"/>
      <c r="W481" s="111"/>
      <c r="X481" s="111"/>
      <c r="Y481" s="111"/>
      <c r="Z481" s="111"/>
      <c r="AA481" s="124"/>
      <c r="AB481" s="125"/>
      <c r="AC481" s="126"/>
      <c r="AD481" s="125"/>
      <c r="AE481" s="125" t="str">
        <f t="shared" si="81"/>
        <v/>
      </c>
      <c r="AF481" s="127" t="s">
        <v>13093</v>
      </c>
      <c r="AG481" s="127">
        <v>0.0</v>
      </c>
      <c r="AH481" s="127">
        <v>0.0</v>
      </c>
      <c r="AI481" s="115" t="s">
        <v>12383</v>
      </c>
      <c r="AJ481" s="116">
        <v>0.8</v>
      </c>
      <c r="AK481" s="117"/>
      <c r="AL481" s="117"/>
      <c r="AM481" s="117"/>
      <c r="AN481" s="117"/>
      <c r="AO481" s="117"/>
    </row>
    <row r="482" ht="34.5" customHeight="1">
      <c r="A482" s="111">
        <v>839.0</v>
      </c>
      <c r="B482" s="111" t="s">
        <v>8461</v>
      </c>
      <c r="C482" s="111" t="s">
        <v>8011</v>
      </c>
      <c r="D482" s="111">
        <v>2025.0</v>
      </c>
      <c r="E482" s="111"/>
      <c r="F482" s="111" t="s">
        <v>12399</v>
      </c>
      <c r="G482" s="111" t="s">
        <v>12381</v>
      </c>
      <c r="H482" s="111" t="s">
        <v>12230</v>
      </c>
      <c r="I482" s="111" t="s">
        <v>12394</v>
      </c>
      <c r="J482" s="111" t="s">
        <v>12292</v>
      </c>
      <c r="K482" s="111" t="s">
        <v>30</v>
      </c>
      <c r="L482" s="111"/>
      <c r="M482" s="111"/>
      <c r="N482" s="111"/>
      <c r="O482" s="111"/>
      <c r="P482" s="111"/>
      <c r="Q482" s="111">
        <v>1.0</v>
      </c>
      <c r="R482" s="111"/>
      <c r="S482" s="111"/>
      <c r="T482" s="111"/>
      <c r="U482" s="111"/>
      <c r="V482" s="111"/>
      <c r="W482" s="111"/>
      <c r="X482" s="111"/>
      <c r="Y482" s="111"/>
      <c r="Z482" s="111" t="s">
        <v>12963</v>
      </c>
      <c r="AA482" s="124">
        <v>4.0</v>
      </c>
      <c r="AB482" s="125">
        <f>IF(Projects!$AI482="Electrolysis",
AA482/VLOOKUP(G482,ElectrolysisConvF,3,FALSE),
AC482*10^6/(H2dens*HoursInYear))</f>
        <v>888.8888889</v>
      </c>
      <c r="AC482" s="126">
        <f t="shared" ref="AC482:AC483" si="82">AB482*H2dens*HoursInYear/10^6</f>
        <v>0.6930133333</v>
      </c>
      <c r="AD482" s="125"/>
      <c r="AE482" s="125">
        <f t="shared" si="81"/>
        <v>888.8888889</v>
      </c>
      <c r="AF482" s="127" t="s">
        <v>13094</v>
      </c>
      <c r="AG482" s="127">
        <v>48.4896363854295</v>
      </c>
      <c r="AH482" s="127">
        <v>-2.73560765688059</v>
      </c>
      <c r="AI482" s="115" t="s">
        <v>12383</v>
      </c>
      <c r="AJ482" s="116">
        <v>0.4</v>
      </c>
      <c r="AK482" s="117"/>
      <c r="AL482" s="117"/>
      <c r="AM482" s="117"/>
      <c r="AN482" s="117"/>
      <c r="AO482" s="117"/>
    </row>
    <row r="483" ht="36.75" customHeight="1">
      <c r="A483" s="111">
        <v>840.0</v>
      </c>
      <c r="B483" s="111" t="s">
        <v>8462</v>
      </c>
      <c r="C483" s="111" t="s">
        <v>7981</v>
      </c>
      <c r="D483" s="111">
        <v>2021.0</v>
      </c>
      <c r="E483" s="111"/>
      <c r="F483" s="111" t="s">
        <v>12418</v>
      </c>
      <c r="G483" s="111" t="s">
        <v>12226</v>
      </c>
      <c r="H483" s="111"/>
      <c r="I483" s="111" t="s">
        <v>12406</v>
      </c>
      <c r="J483" s="111"/>
      <c r="K483" s="111" t="s">
        <v>30</v>
      </c>
      <c r="L483" s="111"/>
      <c r="M483" s="111"/>
      <c r="N483" s="111"/>
      <c r="O483" s="111"/>
      <c r="P483" s="111"/>
      <c r="Q483" s="111"/>
      <c r="R483" s="111">
        <v>1.0</v>
      </c>
      <c r="S483" s="111"/>
      <c r="T483" s="111"/>
      <c r="U483" s="111"/>
      <c r="V483" s="111"/>
      <c r="W483" s="111"/>
      <c r="X483" s="111"/>
      <c r="Y483" s="111"/>
      <c r="Z483" s="111" t="s">
        <v>12968</v>
      </c>
      <c r="AA483" s="124">
        <v>0.5</v>
      </c>
      <c r="AB483" s="125">
        <f>IF(Projects!$AI483="Electrolysis",
AA483/VLOOKUP(G483,ElectrolysisConvF,3,FALSE),
AC483*10^6/(H2dens*HoursInYear))</f>
        <v>96.15384615</v>
      </c>
      <c r="AC483" s="126">
        <f t="shared" si="82"/>
        <v>0.07496538462</v>
      </c>
      <c r="AD483" s="125"/>
      <c r="AE483" s="125">
        <f t="shared" si="81"/>
        <v>96.15384615</v>
      </c>
      <c r="AF483" s="127" t="s">
        <v>13095</v>
      </c>
      <c r="AG483" s="127">
        <v>28.5327821834335</v>
      </c>
      <c r="AH483" s="127">
        <v>-81.275830045946</v>
      </c>
      <c r="AI483" s="115" t="s">
        <v>12383</v>
      </c>
      <c r="AJ483" s="116">
        <v>0.57</v>
      </c>
      <c r="AK483" s="117"/>
      <c r="AL483" s="117"/>
      <c r="AM483" s="117"/>
      <c r="AN483" s="117"/>
      <c r="AO483" s="117"/>
    </row>
    <row r="484" ht="34.5" customHeight="1">
      <c r="A484" s="111">
        <v>842.0</v>
      </c>
      <c r="B484" s="111" t="s">
        <v>8463</v>
      </c>
      <c r="C484" s="111" t="s">
        <v>7981</v>
      </c>
      <c r="D484" s="111">
        <v>2020.0</v>
      </c>
      <c r="E484" s="111"/>
      <c r="F484" s="111" t="s">
        <v>12418</v>
      </c>
      <c r="G484" s="111" t="s">
        <v>12226</v>
      </c>
      <c r="H484" s="111"/>
      <c r="I484" s="111" t="s">
        <v>12394</v>
      </c>
      <c r="J484" s="111" t="s">
        <v>12295</v>
      </c>
      <c r="K484" s="111" t="s">
        <v>30</v>
      </c>
      <c r="L484" s="111"/>
      <c r="M484" s="111"/>
      <c r="N484" s="111"/>
      <c r="O484" s="111"/>
      <c r="P484" s="111"/>
      <c r="Q484" s="111">
        <v>1.0</v>
      </c>
      <c r="R484" s="111">
        <v>1.0</v>
      </c>
      <c r="S484" s="111"/>
      <c r="T484" s="111"/>
      <c r="U484" s="111"/>
      <c r="V484" s="111"/>
      <c r="W484" s="111"/>
      <c r="X484" s="111"/>
      <c r="Y484" s="111"/>
      <c r="Z484" s="111" t="s">
        <v>13096</v>
      </c>
      <c r="AA484" s="129">
        <f>IF(Projects!$AI484="Electrolysis",
AB484*VLOOKUP(G484,ElectrolysisConvF,3,FALSE),
"")</f>
        <v>0.04868913858</v>
      </c>
      <c r="AB484" s="125">
        <f>AC484/(H2dens*HoursInYear/10^6)</f>
        <v>9.36329588</v>
      </c>
      <c r="AC484" s="126">
        <f>20*365/1000000</f>
        <v>0.0073</v>
      </c>
      <c r="AD484" s="125"/>
      <c r="AE484" s="125">
        <f t="shared" si="81"/>
        <v>9.36329588</v>
      </c>
      <c r="AF484" s="127" t="s">
        <v>13097</v>
      </c>
      <c r="AG484" s="127">
        <v>30.6922285490441</v>
      </c>
      <c r="AH484" s="127">
        <v>-97.2792182053063</v>
      </c>
      <c r="AI484" s="115" t="s">
        <v>12383</v>
      </c>
      <c r="AJ484" s="116">
        <v>0.5</v>
      </c>
      <c r="AK484" s="117"/>
      <c r="AL484" s="117"/>
      <c r="AM484" s="117"/>
      <c r="AN484" s="117"/>
      <c r="AO484" s="117"/>
    </row>
    <row r="485" ht="34.5" customHeight="1">
      <c r="A485" s="111">
        <v>843.0</v>
      </c>
      <c r="B485" s="111" t="s">
        <v>8464</v>
      </c>
      <c r="C485" s="111" t="s">
        <v>7967</v>
      </c>
      <c r="D485" s="111">
        <v>2030.0</v>
      </c>
      <c r="E485" s="111"/>
      <c r="F485" s="111" t="s">
        <v>12399</v>
      </c>
      <c r="G485" s="111" t="s">
        <v>12224</v>
      </c>
      <c r="H485" s="111"/>
      <c r="I485" s="111" t="s">
        <v>12394</v>
      </c>
      <c r="J485" s="111" t="s">
        <v>12293</v>
      </c>
      <c r="K485" s="111" t="s">
        <v>12415</v>
      </c>
      <c r="L485" s="111"/>
      <c r="M485" s="111"/>
      <c r="N485" s="111">
        <v>1.0</v>
      </c>
      <c r="O485" s="111"/>
      <c r="P485" s="111"/>
      <c r="Q485" s="111"/>
      <c r="R485" s="111"/>
      <c r="S485" s="111"/>
      <c r="T485" s="111"/>
      <c r="U485" s="111"/>
      <c r="V485" s="111"/>
      <c r="W485" s="111"/>
      <c r="X485" s="111"/>
      <c r="Y485" s="111"/>
      <c r="Z485" s="111" t="s">
        <v>13098</v>
      </c>
      <c r="AA485" s="124">
        <v>40.0</v>
      </c>
      <c r="AB485" s="125">
        <f>IF(Projects!$AI485="Electrolysis",
AA485/VLOOKUP(G485,ElectrolysisConvF,3,FALSE),
AC485*10^6/(H2dens*HoursInYear))</f>
        <v>8695.652174</v>
      </c>
      <c r="AC485" s="126">
        <f t="shared" ref="AC485:AC504" si="83">AB485*H2dens*HoursInYear/10^6</f>
        <v>6.779478261</v>
      </c>
      <c r="AD485" s="125"/>
      <c r="AE485" s="125">
        <f t="shared" si="81"/>
        <v>8695.652174</v>
      </c>
      <c r="AF485" s="127" t="s">
        <v>13067</v>
      </c>
      <c r="AG485" s="127">
        <v>53.3344145029669</v>
      </c>
      <c r="AH485" s="127">
        <v>6.92135994987017</v>
      </c>
      <c r="AI485" s="115" t="s">
        <v>12383</v>
      </c>
      <c r="AJ485" s="116">
        <v>0.55</v>
      </c>
      <c r="AK485" s="117"/>
      <c r="AL485" s="117"/>
      <c r="AM485" s="117"/>
      <c r="AN485" s="117"/>
      <c r="AO485" s="117"/>
    </row>
    <row r="486" ht="34.5" customHeight="1">
      <c r="A486" s="111">
        <v>844.0</v>
      </c>
      <c r="B486" s="111" t="s">
        <v>8465</v>
      </c>
      <c r="C486" s="111" t="s">
        <v>7967</v>
      </c>
      <c r="D486" s="111">
        <v>2028.0</v>
      </c>
      <c r="E486" s="111"/>
      <c r="F486" s="111" t="s">
        <v>12399</v>
      </c>
      <c r="G486" s="111" t="s">
        <v>12381</v>
      </c>
      <c r="H486" s="111" t="s">
        <v>12230</v>
      </c>
      <c r="I486" s="111" t="s">
        <v>12394</v>
      </c>
      <c r="J486" s="111" t="s">
        <v>12293</v>
      </c>
      <c r="K486" s="111" t="s">
        <v>30</v>
      </c>
      <c r="L486" s="111"/>
      <c r="M486" s="111"/>
      <c r="N486" s="111"/>
      <c r="O486" s="111"/>
      <c r="P486" s="111">
        <v>1.0</v>
      </c>
      <c r="Q486" s="111"/>
      <c r="R486" s="111"/>
      <c r="S486" s="111"/>
      <c r="T486" s="111"/>
      <c r="U486" s="111"/>
      <c r="V486" s="111"/>
      <c r="W486" s="111"/>
      <c r="X486" s="111"/>
      <c r="Y486" s="111"/>
      <c r="Z486" s="111" t="s">
        <v>13006</v>
      </c>
      <c r="AA486" s="124">
        <v>200.0</v>
      </c>
      <c r="AB486" s="125">
        <f>IF(Projects!$AI486="Electrolysis",
AA486/VLOOKUP(G486,ElectrolysisConvF,3,FALSE),
AC486*10^6/(H2dens*HoursInYear))</f>
        <v>44444.44444</v>
      </c>
      <c r="AC486" s="126">
        <f t="shared" si="83"/>
        <v>34.65066667</v>
      </c>
      <c r="AD486" s="125"/>
      <c r="AE486" s="125">
        <f t="shared" si="81"/>
        <v>44444.44444</v>
      </c>
      <c r="AF486" s="127" t="s">
        <v>13099</v>
      </c>
      <c r="AG486" s="127">
        <v>51.9556171691769</v>
      </c>
      <c r="AH486" s="127">
        <v>4.01488970044649</v>
      </c>
      <c r="AI486" s="115" t="s">
        <v>12383</v>
      </c>
      <c r="AJ486" s="116">
        <v>0.55</v>
      </c>
      <c r="AK486" s="117"/>
      <c r="AL486" s="117"/>
      <c r="AM486" s="117"/>
      <c r="AN486" s="117"/>
      <c r="AO486" s="117"/>
    </row>
    <row r="487" ht="34.5" customHeight="1">
      <c r="A487" s="111">
        <v>845.0</v>
      </c>
      <c r="B487" s="111" t="s">
        <v>8466</v>
      </c>
      <c r="C487" s="111" t="s">
        <v>7967</v>
      </c>
      <c r="D487" s="111">
        <v>2026.0</v>
      </c>
      <c r="E487" s="111"/>
      <c r="F487" s="111" t="s">
        <v>12399</v>
      </c>
      <c r="G487" s="111" t="s">
        <v>12381</v>
      </c>
      <c r="H487" s="111" t="s">
        <v>12230</v>
      </c>
      <c r="I487" s="111" t="s">
        <v>12287</v>
      </c>
      <c r="J487" s="111"/>
      <c r="K487" s="111" t="s">
        <v>30</v>
      </c>
      <c r="L487" s="111">
        <v>1.0</v>
      </c>
      <c r="M487" s="111"/>
      <c r="N487" s="111"/>
      <c r="O487" s="111"/>
      <c r="P487" s="111"/>
      <c r="Q487" s="111"/>
      <c r="R487" s="111"/>
      <c r="S487" s="111"/>
      <c r="T487" s="111"/>
      <c r="U487" s="111"/>
      <c r="V487" s="111"/>
      <c r="W487" s="111"/>
      <c r="X487" s="111"/>
      <c r="Y487" s="111"/>
      <c r="Z487" s="111" t="s">
        <v>13100</v>
      </c>
      <c r="AA487" s="124">
        <v>150.0</v>
      </c>
      <c r="AB487" s="125">
        <f>IF(Projects!$AI487="Electrolysis",
AA487/VLOOKUP(G487,ElectrolysisConvF,3,FALSE),
AC487*10^6/(H2dens*HoursInYear))</f>
        <v>33333.33333</v>
      </c>
      <c r="AC487" s="126">
        <f t="shared" si="83"/>
        <v>25.988</v>
      </c>
      <c r="AD487" s="125"/>
      <c r="AE487" s="125">
        <f t="shared" si="81"/>
        <v>33333.33333</v>
      </c>
      <c r="AF487" s="127" t="s">
        <v>13101</v>
      </c>
      <c r="AG487" s="127">
        <v>0.0</v>
      </c>
      <c r="AH487" s="127">
        <v>0.0</v>
      </c>
      <c r="AI487" s="115" t="s">
        <v>12383</v>
      </c>
      <c r="AJ487" s="116">
        <v>0.57</v>
      </c>
      <c r="AK487" s="117"/>
      <c r="AL487" s="117"/>
      <c r="AM487" s="117"/>
      <c r="AN487" s="117"/>
      <c r="AO487" s="117"/>
    </row>
    <row r="488" ht="34.5" customHeight="1">
      <c r="A488" s="111">
        <v>846.0</v>
      </c>
      <c r="B488" s="111" t="s">
        <v>8467</v>
      </c>
      <c r="C488" s="111" t="s">
        <v>7967</v>
      </c>
      <c r="D488" s="111">
        <v>2027.0</v>
      </c>
      <c r="E488" s="111"/>
      <c r="F488" s="111" t="s">
        <v>12399</v>
      </c>
      <c r="G488" s="111" t="s">
        <v>12381</v>
      </c>
      <c r="H488" s="111" t="s">
        <v>12230</v>
      </c>
      <c r="I488" s="111" t="s">
        <v>12287</v>
      </c>
      <c r="J488" s="111"/>
      <c r="K488" s="111" t="s">
        <v>30</v>
      </c>
      <c r="L488" s="111"/>
      <c r="M488" s="111"/>
      <c r="N488" s="111"/>
      <c r="O488" s="111"/>
      <c r="P488" s="111">
        <v>1.0</v>
      </c>
      <c r="Q488" s="111"/>
      <c r="R488" s="111"/>
      <c r="S488" s="111">
        <v>1.0</v>
      </c>
      <c r="T488" s="111"/>
      <c r="U488" s="111"/>
      <c r="V488" s="111"/>
      <c r="W488" s="111"/>
      <c r="X488" s="111"/>
      <c r="Y488" s="111"/>
      <c r="Z488" s="111" t="s">
        <v>12765</v>
      </c>
      <c r="AA488" s="124">
        <v>700.0</v>
      </c>
      <c r="AB488" s="125">
        <f>IF(Projects!$AI488="Electrolysis",
AA488/VLOOKUP(G488,ElectrolysisConvF,3,FALSE),
AC488*10^6/(H2dens*HoursInYear))</f>
        <v>155555.5556</v>
      </c>
      <c r="AC488" s="126">
        <f t="shared" si="83"/>
        <v>121.2773333</v>
      </c>
      <c r="AD488" s="125"/>
      <c r="AE488" s="125">
        <f t="shared" si="81"/>
        <v>155555.5556</v>
      </c>
      <c r="AF488" s="127" t="s">
        <v>13101</v>
      </c>
      <c r="AG488" s="127">
        <v>0.0</v>
      </c>
      <c r="AH488" s="127">
        <v>0.0</v>
      </c>
      <c r="AI488" s="115" t="s">
        <v>12383</v>
      </c>
      <c r="AJ488" s="116">
        <v>0.57</v>
      </c>
      <c r="AK488" s="117"/>
      <c r="AL488" s="117"/>
      <c r="AM488" s="117"/>
      <c r="AN488" s="117"/>
      <c r="AO488" s="117"/>
    </row>
    <row r="489" ht="34.5" customHeight="1">
      <c r="A489" s="111">
        <v>847.0</v>
      </c>
      <c r="B489" s="111" t="s">
        <v>8468</v>
      </c>
      <c r="C489" s="111" t="s">
        <v>8087</v>
      </c>
      <c r="D489" s="111">
        <v>2030.0</v>
      </c>
      <c r="E489" s="111"/>
      <c r="F489" s="111" t="s">
        <v>12399</v>
      </c>
      <c r="G489" s="111" t="s">
        <v>12381</v>
      </c>
      <c r="H489" s="111" t="s">
        <v>12230</v>
      </c>
      <c r="I489" s="111" t="s">
        <v>12394</v>
      </c>
      <c r="J489" s="111" t="s">
        <v>12293</v>
      </c>
      <c r="K489" s="111" t="s">
        <v>12481</v>
      </c>
      <c r="L489" s="111"/>
      <c r="M489" s="111"/>
      <c r="N489" s="111"/>
      <c r="O489" s="111"/>
      <c r="P489" s="111">
        <v>1.0</v>
      </c>
      <c r="Q489" s="111"/>
      <c r="R489" s="111"/>
      <c r="S489" s="111"/>
      <c r="T489" s="111"/>
      <c r="U489" s="111"/>
      <c r="V489" s="111"/>
      <c r="W489" s="111"/>
      <c r="X489" s="111"/>
      <c r="Y489" s="111"/>
      <c r="Z489" s="111" t="s">
        <v>13102</v>
      </c>
      <c r="AA489" s="124">
        <v>300.0</v>
      </c>
      <c r="AB489" s="125">
        <f>IF(Projects!$AI489="Electrolysis",
AA489/VLOOKUP(G489,ElectrolysisConvF,3,FALSE),
AC489*10^6/(H2dens*HoursInYear))</f>
        <v>66666.66667</v>
      </c>
      <c r="AC489" s="126">
        <f t="shared" si="83"/>
        <v>51.976</v>
      </c>
      <c r="AD489" s="125"/>
      <c r="AE489" s="125">
        <f t="shared" si="81"/>
        <v>66666.66667</v>
      </c>
      <c r="AF489" s="127" t="s">
        <v>13101</v>
      </c>
      <c r="AG489" s="127">
        <v>51.1078242793118</v>
      </c>
      <c r="AH489" s="127">
        <v>3.7501375967007</v>
      </c>
      <c r="AI489" s="115" t="s">
        <v>12383</v>
      </c>
      <c r="AJ489" s="116">
        <v>0.55</v>
      </c>
      <c r="AK489" s="117"/>
      <c r="AL489" s="117"/>
      <c r="AM489" s="117"/>
      <c r="AN489" s="117"/>
      <c r="AO489" s="117"/>
    </row>
    <row r="490" ht="34.5" customHeight="1">
      <c r="A490" s="111">
        <v>848.0</v>
      </c>
      <c r="B490" s="111" t="s">
        <v>8469</v>
      </c>
      <c r="C490" s="111" t="s">
        <v>7967</v>
      </c>
      <c r="D490" s="111">
        <v>2025.0</v>
      </c>
      <c r="E490" s="111"/>
      <c r="F490" s="111" t="s">
        <v>12399</v>
      </c>
      <c r="G490" s="111" t="s">
        <v>12381</v>
      </c>
      <c r="H490" s="111" t="s">
        <v>12230</v>
      </c>
      <c r="I490" s="111" t="s">
        <v>12394</v>
      </c>
      <c r="J490" s="111" t="s">
        <v>12293</v>
      </c>
      <c r="K490" s="111" t="s">
        <v>30</v>
      </c>
      <c r="L490" s="111"/>
      <c r="M490" s="111"/>
      <c r="N490" s="111"/>
      <c r="O490" s="111"/>
      <c r="P490" s="111"/>
      <c r="Q490" s="111"/>
      <c r="R490" s="111"/>
      <c r="S490" s="111"/>
      <c r="T490" s="111"/>
      <c r="U490" s="111"/>
      <c r="V490" s="111"/>
      <c r="W490" s="111"/>
      <c r="X490" s="111"/>
      <c r="Y490" s="111"/>
      <c r="Z490" s="111" t="s">
        <v>12700</v>
      </c>
      <c r="AA490" s="124">
        <v>25.0</v>
      </c>
      <c r="AB490" s="125">
        <f>IF(Projects!$AI490="Electrolysis",
AA490/VLOOKUP(G490,ElectrolysisConvF,3,FALSE),
AC490*10^6/(H2dens*HoursInYear))</f>
        <v>5555.555556</v>
      </c>
      <c r="AC490" s="126">
        <f t="shared" si="83"/>
        <v>4.331333333</v>
      </c>
      <c r="AD490" s="125"/>
      <c r="AE490" s="125">
        <f t="shared" si="81"/>
        <v>5555.555556</v>
      </c>
      <c r="AF490" s="127" t="s">
        <v>13103</v>
      </c>
      <c r="AG490" s="127">
        <v>51.455464389284</v>
      </c>
      <c r="AH490" s="127">
        <v>3.56485156907884</v>
      </c>
      <c r="AI490" s="115" t="s">
        <v>12383</v>
      </c>
      <c r="AJ490" s="116">
        <v>0.55</v>
      </c>
      <c r="AK490" s="117"/>
      <c r="AL490" s="117"/>
      <c r="AM490" s="117"/>
      <c r="AN490" s="117"/>
      <c r="AO490" s="117"/>
    </row>
    <row r="491" ht="34.5" customHeight="1">
      <c r="A491" s="111">
        <v>849.0</v>
      </c>
      <c r="B491" s="111" t="s">
        <v>8470</v>
      </c>
      <c r="C491" s="111" t="s">
        <v>7994</v>
      </c>
      <c r="D491" s="111">
        <v>2027.0</v>
      </c>
      <c r="E491" s="111"/>
      <c r="F491" s="111" t="s">
        <v>12399</v>
      </c>
      <c r="G491" s="111" t="s">
        <v>12381</v>
      </c>
      <c r="H491" s="111" t="s">
        <v>12230</v>
      </c>
      <c r="I491" s="111" t="s">
        <v>12394</v>
      </c>
      <c r="J491" s="111" t="s">
        <v>12295</v>
      </c>
      <c r="K491" s="111" t="s">
        <v>30</v>
      </c>
      <c r="L491" s="111">
        <v>1.0</v>
      </c>
      <c r="M491" s="111"/>
      <c r="N491" s="111"/>
      <c r="O491" s="111"/>
      <c r="P491" s="111"/>
      <c r="Q491" s="111">
        <v>1.0</v>
      </c>
      <c r="R491" s="111"/>
      <c r="S491" s="111"/>
      <c r="T491" s="111"/>
      <c r="U491" s="111"/>
      <c r="V491" s="111"/>
      <c r="W491" s="111"/>
      <c r="X491" s="111"/>
      <c r="Y491" s="111"/>
      <c r="Z491" s="111" t="s">
        <v>13104</v>
      </c>
      <c r="AA491" s="124">
        <v>280.0</v>
      </c>
      <c r="AB491" s="125">
        <f>IF(Projects!$AI491="Electrolysis",
AA491/VLOOKUP(G491,ElectrolysisConvF,3,FALSE),
AC491*10^6/(H2dens*HoursInYear))</f>
        <v>62222.22222</v>
      </c>
      <c r="AC491" s="126">
        <f t="shared" si="83"/>
        <v>48.51093333</v>
      </c>
      <c r="AD491" s="125"/>
      <c r="AE491" s="125">
        <f t="shared" si="81"/>
        <v>62222.22222</v>
      </c>
      <c r="AF491" s="127" t="s">
        <v>13105</v>
      </c>
      <c r="AG491" s="127">
        <v>55.591385038419</v>
      </c>
      <c r="AH491" s="127">
        <v>9.75264367456355</v>
      </c>
      <c r="AI491" s="115" t="s">
        <v>12383</v>
      </c>
      <c r="AJ491" s="116">
        <v>0.5</v>
      </c>
      <c r="AK491" s="117"/>
      <c r="AL491" s="117"/>
      <c r="AM491" s="117"/>
      <c r="AN491" s="117"/>
      <c r="AO491" s="117"/>
    </row>
    <row r="492" ht="34.5" customHeight="1">
      <c r="A492" s="111">
        <v>850.0</v>
      </c>
      <c r="B492" s="111" t="s">
        <v>8471</v>
      </c>
      <c r="C492" s="111" t="s">
        <v>7994</v>
      </c>
      <c r="D492" s="111">
        <v>2024.0</v>
      </c>
      <c r="E492" s="111"/>
      <c r="F492" s="111" t="s">
        <v>12385</v>
      </c>
      <c r="G492" s="111" t="s">
        <v>12381</v>
      </c>
      <c r="H492" s="111" t="s">
        <v>12230</v>
      </c>
      <c r="I492" s="111" t="s">
        <v>12394</v>
      </c>
      <c r="J492" s="111" t="s">
        <v>12295</v>
      </c>
      <c r="K492" s="111" t="s">
        <v>12415</v>
      </c>
      <c r="L492" s="111"/>
      <c r="M492" s="111"/>
      <c r="N492" s="111">
        <v>1.0</v>
      </c>
      <c r="O492" s="111"/>
      <c r="P492" s="111"/>
      <c r="Q492" s="111"/>
      <c r="R492" s="111"/>
      <c r="S492" s="111"/>
      <c r="T492" s="111"/>
      <c r="U492" s="111"/>
      <c r="V492" s="111"/>
      <c r="W492" s="111"/>
      <c r="X492" s="111"/>
      <c r="Y492" s="111"/>
      <c r="Z492" s="111" t="s">
        <v>13106</v>
      </c>
      <c r="AA492" s="124">
        <v>6.0</v>
      </c>
      <c r="AB492" s="125">
        <f>IF(Projects!$AI492="Electrolysis",
AA492/VLOOKUP(G492,ElectrolysisConvF,3,FALSE),
AC492*10^6/(H2dens*HoursInYear))</f>
        <v>1333.333333</v>
      </c>
      <c r="AC492" s="126">
        <f t="shared" si="83"/>
        <v>1.03952</v>
      </c>
      <c r="AD492" s="125"/>
      <c r="AE492" s="125">
        <f t="shared" si="81"/>
        <v>1333.333333</v>
      </c>
      <c r="AF492" s="127" t="s">
        <v>13107</v>
      </c>
      <c r="AG492" s="127">
        <v>56.5653019471961</v>
      </c>
      <c r="AH492" s="127">
        <v>9.02965887010113</v>
      </c>
      <c r="AI492" s="115" t="s">
        <v>12383</v>
      </c>
      <c r="AJ492" s="116">
        <v>0.5</v>
      </c>
      <c r="AK492" s="117"/>
      <c r="AL492" s="117"/>
      <c r="AM492" s="117"/>
      <c r="AN492" s="117"/>
      <c r="AO492" s="117"/>
    </row>
    <row r="493" ht="34.5" customHeight="1">
      <c r="A493" s="111">
        <v>851.0</v>
      </c>
      <c r="B493" s="111" t="s">
        <v>8472</v>
      </c>
      <c r="C493" s="111" t="s">
        <v>8001</v>
      </c>
      <c r="D493" s="111">
        <v>2022.0</v>
      </c>
      <c r="E493" s="111"/>
      <c r="F493" s="111" t="s">
        <v>12385</v>
      </c>
      <c r="G493" s="111" t="s">
        <v>12224</v>
      </c>
      <c r="H493" s="111"/>
      <c r="I493" s="111" t="s">
        <v>12394</v>
      </c>
      <c r="J493" s="111" t="s">
        <v>12292</v>
      </c>
      <c r="K493" s="111" t="s">
        <v>30</v>
      </c>
      <c r="L493" s="111"/>
      <c r="M493" s="111"/>
      <c r="N493" s="111"/>
      <c r="O493" s="111"/>
      <c r="P493" s="111"/>
      <c r="Q493" s="111">
        <v>1.0</v>
      </c>
      <c r="R493" s="111"/>
      <c r="S493" s="111"/>
      <c r="T493" s="111"/>
      <c r="U493" s="111"/>
      <c r="V493" s="111"/>
      <c r="W493" s="111"/>
      <c r="X493" s="111"/>
      <c r="Y493" s="111"/>
      <c r="Z493" s="111" t="s">
        <v>12589</v>
      </c>
      <c r="AA493" s="124">
        <v>20.0</v>
      </c>
      <c r="AB493" s="125">
        <f>IF(Projects!$AI493="Electrolysis",
AA493/VLOOKUP(G493,ElectrolysisConvF,3,FALSE),
AC493*10^6/(H2dens*HoursInYear))</f>
        <v>4347.826087</v>
      </c>
      <c r="AC493" s="126">
        <f t="shared" si="83"/>
        <v>3.38973913</v>
      </c>
      <c r="AD493" s="125"/>
      <c r="AE493" s="125">
        <f t="shared" si="81"/>
        <v>4347.826087</v>
      </c>
      <c r="AF493" s="127" t="s">
        <v>13108</v>
      </c>
      <c r="AG493" s="127">
        <v>40.7816321509114</v>
      </c>
      <c r="AH493" s="127">
        <v>114.867657780727</v>
      </c>
      <c r="AI493" s="115" t="s">
        <v>12383</v>
      </c>
      <c r="AJ493" s="116">
        <v>0.4</v>
      </c>
      <c r="AK493" s="117"/>
      <c r="AL493" s="117"/>
      <c r="AM493" s="117"/>
      <c r="AN493" s="117"/>
      <c r="AO493" s="117"/>
    </row>
    <row r="494" ht="34.5" customHeight="1">
      <c r="A494" s="111">
        <v>853.0</v>
      </c>
      <c r="B494" s="111" t="s">
        <v>8473</v>
      </c>
      <c r="C494" s="111" t="s">
        <v>7991</v>
      </c>
      <c r="D494" s="111">
        <v>2026.0</v>
      </c>
      <c r="E494" s="111"/>
      <c r="F494" s="111" t="s">
        <v>12393</v>
      </c>
      <c r="G494" s="111" t="s">
        <v>12381</v>
      </c>
      <c r="H494" s="111" t="s">
        <v>12230</v>
      </c>
      <c r="I494" s="111" t="s">
        <v>12394</v>
      </c>
      <c r="J494" s="111" t="s">
        <v>12291</v>
      </c>
      <c r="K494" s="111" t="s">
        <v>30</v>
      </c>
      <c r="L494" s="111"/>
      <c r="M494" s="111"/>
      <c r="N494" s="111"/>
      <c r="O494" s="111"/>
      <c r="P494" s="111"/>
      <c r="Q494" s="111">
        <v>1.0</v>
      </c>
      <c r="R494" s="111"/>
      <c r="S494" s="111">
        <v>1.0</v>
      </c>
      <c r="T494" s="111"/>
      <c r="U494" s="111">
        <v>1.0</v>
      </c>
      <c r="V494" s="111"/>
      <c r="W494" s="111"/>
      <c r="X494" s="111"/>
      <c r="Y494" s="111"/>
      <c r="Z494" s="111" t="s">
        <v>13109</v>
      </c>
      <c r="AA494" s="129">
        <v>1.63</v>
      </c>
      <c r="AB494" s="125">
        <f>IF(Projects!$AI494="Electrolysis",
AA494/VLOOKUP(G494,ElectrolysisConvF,3,FALSE),
AC494*10^6/(H2dens*HoursInYear))</f>
        <v>362.2222222</v>
      </c>
      <c r="AC494" s="126">
        <f t="shared" si="83"/>
        <v>0.2824029333</v>
      </c>
      <c r="AD494" s="125"/>
      <c r="AE494" s="125">
        <f>IF(AND(G494&lt;&gt;"NG w CCUS",G494&lt;&gt;"Oil w CCUS",G494&lt;&gt;"Coal w CCUS"),AB494,AD494*10^3/(HoursInYear*IF(G494="NG w CCUS",0.9105,1.9075)))</f>
        <v>362.2222222</v>
      </c>
      <c r="AF494" s="127" t="s">
        <v>13110</v>
      </c>
      <c r="AG494" s="127">
        <v>57.1791297504265</v>
      </c>
      <c r="AH494" s="127">
        <v>-2.10165465605737</v>
      </c>
      <c r="AI494" s="115" t="s">
        <v>12383</v>
      </c>
      <c r="AJ494" s="116">
        <v>0.3</v>
      </c>
      <c r="AK494" s="117"/>
      <c r="AL494" s="117"/>
      <c r="AM494" s="117"/>
      <c r="AN494" s="117"/>
      <c r="AO494" s="117"/>
    </row>
    <row r="495" ht="34.5" customHeight="1">
      <c r="A495" s="111">
        <v>854.0</v>
      </c>
      <c r="B495" s="111" t="s">
        <v>8474</v>
      </c>
      <c r="C495" s="111" t="s">
        <v>8021</v>
      </c>
      <c r="D495" s="111">
        <v>2026.0</v>
      </c>
      <c r="E495" s="111"/>
      <c r="F495" s="111" t="s">
        <v>12399</v>
      </c>
      <c r="G495" s="111" t="s">
        <v>12381</v>
      </c>
      <c r="H495" s="111" t="s">
        <v>12230</v>
      </c>
      <c r="I495" s="111" t="s">
        <v>12394</v>
      </c>
      <c r="J495" s="111" t="s">
        <v>12295</v>
      </c>
      <c r="K495" s="111" t="s">
        <v>174</v>
      </c>
      <c r="L495" s="111"/>
      <c r="M495" s="111">
        <v>1.0</v>
      </c>
      <c r="N495" s="111"/>
      <c r="O495" s="111"/>
      <c r="P495" s="111"/>
      <c r="Q495" s="111"/>
      <c r="R495" s="111"/>
      <c r="S495" s="111"/>
      <c r="T495" s="111"/>
      <c r="U495" s="111"/>
      <c r="V495" s="111"/>
      <c r="W495" s="111"/>
      <c r="X495" s="111"/>
      <c r="Y495" s="111"/>
      <c r="Z495" s="111" t="s">
        <v>13111</v>
      </c>
      <c r="AA495" s="124">
        <v>250.0</v>
      </c>
      <c r="AB495" s="125">
        <f>IF(Projects!$AI495="Electrolysis",
AA495/VLOOKUP(G495,ElectrolysisConvF,3,FALSE),
AC495*10^6/(H2dens*HoursInYear))</f>
        <v>55555.55556</v>
      </c>
      <c r="AC495" s="126">
        <f t="shared" si="83"/>
        <v>43.31333333</v>
      </c>
      <c r="AD495" s="125"/>
      <c r="AE495" s="125">
        <f t="shared" ref="AE495:AE497" si="84">AB495</f>
        <v>55555.55556</v>
      </c>
      <c r="AF495" s="127" t="s">
        <v>13112</v>
      </c>
      <c r="AG495" s="127">
        <v>-41.1128037745826</v>
      </c>
      <c r="AH495" s="127">
        <v>146.857696859814</v>
      </c>
      <c r="AI495" s="115" t="s">
        <v>12383</v>
      </c>
      <c r="AJ495" s="116">
        <v>0.5</v>
      </c>
      <c r="AK495" s="117"/>
      <c r="AL495" s="117"/>
      <c r="AM495" s="117"/>
      <c r="AN495" s="117"/>
      <c r="AO495" s="117"/>
    </row>
    <row r="496" ht="34.5" customHeight="1">
      <c r="A496" s="111">
        <v>855.0</v>
      </c>
      <c r="B496" s="111" t="s">
        <v>8475</v>
      </c>
      <c r="C496" s="111" t="s">
        <v>8011</v>
      </c>
      <c r="D496" s="111"/>
      <c r="E496" s="111"/>
      <c r="F496" s="111" t="s">
        <v>12397</v>
      </c>
      <c r="G496" s="111" t="s">
        <v>12381</v>
      </c>
      <c r="H496" s="111" t="s">
        <v>12230</v>
      </c>
      <c r="I496" s="111" t="s">
        <v>12394</v>
      </c>
      <c r="J496" s="111" t="s">
        <v>12291</v>
      </c>
      <c r="K496" s="111" t="s">
        <v>30</v>
      </c>
      <c r="L496" s="111"/>
      <c r="M496" s="111"/>
      <c r="N496" s="111"/>
      <c r="O496" s="111"/>
      <c r="P496" s="111"/>
      <c r="Q496" s="111">
        <v>1.0</v>
      </c>
      <c r="R496" s="111"/>
      <c r="S496" s="111"/>
      <c r="T496" s="111"/>
      <c r="U496" s="111"/>
      <c r="V496" s="111"/>
      <c r="W496" s="111"/>
      <c r="X496" s="111"/>
      <c r="Y496" s="111"/>
      <c r="Z496" s="111" t="s">
        <v>12720</v>
      </c>
      <c r="AA496" s="124">
        <v>2.0</v>
      </c>
      <c r="AB496" s="125">
        <f>IF(Projects!$AI496="Electrolysis",
AA496/VLOOKUP(G496,ElectrolysisConvF,3,FALSE),
AC496*10^6/(H2dens*HoursInYear))</f>
        <v>444.4444444</v>
      </c>
      <c r="AC496" s="126">
        <f t="shared" si="83"/>
        <v>0.3465066667</v>
      </c>
      <c r="AD496" s="125"/>
      <c r="AE496" s="125">
        <f t="shared" si="84"/>
        <v>444.4444444</v>
      </c>
      <c r="AF496" s="127" t="s">
        <v>13113</v>
      </c>
      <c r="AG496" s="127">
        <v>47.9022216296141</v>
      </c>
      <c r="AH496" s="127">
        <v>1.90699063171274</v>
      </c>
      <c r="AI496" s="115" t="s">
        <v>12383</v>
      </c>
      <c r="AJ496" s="116">
        <v>0.3</v>
      </c>
      <c r="AK496" s="117"/>
      <c r="AL496" s="117"/>
      <c r="AM496" s="117"/>
      <c r="AN496" s="117"/>
      <c r="AO496" s="117"/>
    </row>
    <row r="497" ht="34.5" customHeight="1">
      <c r="A497" s="111">
        <v>857.0</v>
      </c>
      <c r="B497" s="111" t="s">
        <v>8476</v>
      </c>
      <c r="C497" s="111" t="s">
        <v>7977</v>
      </c>
      <c r="D497" s="111">
        <v>2026.0</v>
      </c>
      <c r="E497" s="111"/>
      <c r="F497" s="111" t="s">
        <v>12399</v>
      </c>
      <c r="G497" s="111" t="s">
        <v>12226</v>
      </c>
      <c r="H497" s="111"/>
      <c r="I497" s="111" t="s">
        <v>12759</v>
      </c>
      <c r="J497" s="111" t="s">
        <v>12292</v>
      </c>
      <c r="K497" s="111" t="s">
        <v>30</v>
      </c>
      <c r="L497" s="111">
        <v>1.0</v>
      </c>
      <c r="M497" s="111"/>
      <c r="N497" s="111"/>
      <c r="O497" s="111"/>
      <c r="P497" s="111"/>
      <c r="Q497" s="111">
        <v>1.0</v>
      </c>
      <c r="R497" s="111"/>
      <c r="S497" s="111">
        <v>1.0</v>
      </c>
      <c r="T497" s="111"/>
      <c r="U497" s="111"/>
      <c r="V497" s="111"/>
      <c r="W497" s="111"/>
      <c r="X497" s="111"/>
      <c r="Y497" s="111"/>
      <c r="Z497" s="111" t="s">
        <v>12802</v>
      </c>
      <c r="AA497" s="124">
        <v>30.0</v>
      </c>
      <c r="AB497" s="125">
        <f>IF(Projects!$AI497="Electrolysis",
AA497/VLOOKUP(G497,ElectrolysisConvF,3,FALSE),
AC497*10^6/(H2dens*HoursInYear))</f>
        <v>5769.230769</v>
      </c>
      <c r="AC497" s="126">
        <f t="shared" si="83"/>
        <v>4.497923077</v>
      </c>
      <c r="AD497" s="125"/>
      <c r="AE497" s="125">
        <f t="shared" si="84"/>
        <v>5769.230769</v>
      </c>
      <c r="AF497" s="127" t="s">
        <v>13114</v>
      </c>
      <c r="AG497" s="127">
        <v>43.1744410908543</v>
      </c>
      <c r="AH497" s="127">
        <v>-8.40770048801785</v>
      </c>
      <c r="AI497" s="115" t="s">
        <v>12383</v>
      </c>
      <c r="AJ497" s="116">
        <v>0.7</v>
      </c>
      <c r="AK497" s="117"/>
      <c r="AL497" s="117"/>
      <c r="AM497" s="117"/>
      <c r="AN497" s="117"/>
      <c r="AO497" s="117"/>
    </row>
    <row r="498" ht="34.5" customHeight="1">
      <c r="A498" s="111">
        <v>858.0</v>
      </c>
      <c r="B498" s="111" t="s">
        <v>8477</v>
      </c>
      <c r="C498" s="111" t="s">
        <v>7991</v>
      </c>
      <c r="D498" s="111">
        <v>2025.0</v>
      </c>
      <c r="E498" s="111"/>
      <c r="F498" s="111" t="s">
        <v>12418</v>
      </c>
      <c r="G498" s="111" t="s">
        <v>12226</v>
      </c>
      <c r="H498" s="111"/>
      <c r="I498" s="111" t="s">
        <v>12394</v>
      </c>
      <c r="J498" s="111" t="s">
        <v>12295</v>
      </c>
      <c r="K498" s="111" t="s">
        <v>30</v>
      </c>
      <c r="L498" s="111"/>
      <c r="M498" s="111"/>
      <c r="N498" s="111"/>
      <c r="O498" s="111"/>
      <c r="P498" s="111"/>
      <c r="Q498" s="111"/>
      <c r="R498" s="111"/>
      <c r="S498" s="111"/>
      <c r="T498" s="111"/>
      <c r="U498" s="111"/>
      <c r="V498" s="111"/>
      <c r="W498" s="111"/>
      <c r="X498" s="111"/>
      <c r="Y498" s="111"/>
      <c r="Z498" s="111" t="s">
        <v>13115</v>
      </c>
      <c r="AA498" s="124">
        <v>0.67</v>
      </c>
      <c r="AB498" s="125">
        <f>IF(Projects!$AI498="Electrolysis",
AA498/VLOOKUP(G498,ElectrolysisConvF,3,FALSE),
AC498*10^6/(H2dens*HoursInYear))</f>
        <v>128.8461538</v>
      </c>
      <c r="AC498" s="126">
        <f t="shared" si="83"/>
        <v>0.1004536154</v>
      </c>
      <c r="AD498" s="125"/>
      <c r="AE498" s="125"/>
      <c r="AF498" s="127" t="s">
        <v>13116</v>
      </c>
      <c r="AG498" s="127">
        <v>0.0</v>
      </c>
      <c r="AH498" s="127">
        <v>0.0</v>
      </c>
      <c r="AI498" s="115" t="s">
        <v>12383</v>
      </c>
      <c r="AJ498" s="116">
        <v>0.5</v>
      </c>
      <c r="AK498" s="117"/>
      <c r="AL498" s="117"/>
      <c r="AM498" s="117"/>
      <c r="AN498" s="117"/>
      <c r="AO498" s="117"/>
    </row>
    <row r="499" ht="34.5" customHeight="1">
      <c r="A499" s="111">
        <v>859.0</v>
      </c>
      <c r="B499" s="111" t="s">
        <v>8478</v>
      </c>
      <c r="C499" s="111" t="s">
        <v>7977</v>
      </c>
      <c r="D499" s="111"/>
      <c r="E499" s="111"/>
      <c r="F499" s="111" t="s">
        <v>12397</v>
      </c>
      <c r="G499" s="111" t="s">
        <v>12381</v>
      </c>
      <c r="H499" s="111" t="s">
        <v>12230</v>
      </c>
      <c r="I499" s="111" t="s">
        <v>12406</v>
      </c>
      <c r="J499" s="111"/>
      <c r="K499" s="111" t="s">
        <v>30</v>
      </c>
      <c r="L499" s="111"/>
      <c r="M499" s="111"/>
      <c r="N499" s="111"/>
      <c r="O499" s="111"/>
      <c r="P499" s="111"/>
      <c r="Q499" s="111"/>
      <c r="R499" s="111"/>
      <c r="S499" s="111"/>
      <c r="T499" s="111"/>
      <c r="U499" s="111"/>
      <c r="V499" s="111"/>
      <c r="W499" s="111"/>
      <c r="X499" s="111"/>
      <c r="Y499" s="111"/>
      <c r="Z499" s="111" t="s">
        <v>12709</v>
      </c>
      <c r="AA499" s="124">
        <v>100.0</v>
      </c>
      <c r="AB499" s="125">
        <f>IF(Projects!$AI499="Electrolysis",
AA499/VLOOKUP(G499,ElectrolysisConvF,3,FALSE),
AC499*10^6/(H2dens*HoursInYear))</f>
        <v>22222.22222</v>
      </c>
      <c r="AC499" s="126">
        <f t="shared" si="83"/>
        <v>17.32533333</v>
      </c>
      <c r="AD499" s="125"/>
      <c r="AE499" s="125"/>
      <c r="AF499" s="127" t="s">
        <v>13117</v>
      </c>
      <c r="AG499" s="127">
        <v>39.4490784424264</v>
      </c>
      <c r="AH499" s="127">
        <v>-0.316883814420793</v>
      </c>
      <c r="AI499" s="115" t="s">
        <v>12383</v>
      </c>
      <c r="AJ499" s="116">
        <v>0.57</v>
      </c>
      <c r="AK499" s="117"/>
      <c r="AL499" s="117"/>
      <c r="AM499" s="117"/>
      <c r="AN499" s="117"/>
      <c r="AO499" s="117"/>
    </row>
    <row r="500" ht="34.5" customHeight="1">
      <c r="A500" s="111">
        <v>860.0</v>
      </c>
      <c r="B500" s="111" t="s">
        <v>8479</v>
      </c>
      <c r="C500" s="111" t="s">
        <v>8001</v>
      </c>
      <c r="D500" s="111"/>
      <c r="E500" s="111"/>
      <c r="F500" s="111" t="s">
        <v>12393</v>
      </c>
      <c r="G500" s="111" t="s">
        <v>12381</v>
      </c>
      <c r="H500" s="111" t="s">
        <v>12230</v>
      </c>
      <c r="I500" s="111" t="s">
        <v>12394</v>
      </c>
      <c r="J500" s="111" t="s">
        <v>12294</v>
      </c>
      <c r="K500" s="111" t="s">
        <v>30</v>
      </c>
      <c r="L500" s="111"/>
      <c r="M500" s="111"/>
      <c r="N500" s="111"/>
      <c r="O500" s="111"/>
      <c r="P500" s="111"/>
      <c r="Q500" s="111"/>
      <c r="R500" s="111">
        <v>1.0</v>
      </c>
      <c r="S500" s="111"/>
      <c r="T500" s="111"/>
      <c r="U500" s="111"/>
      <c r="V500" s="111"/>
      <c r="W500" s="111"/>
      <c r="X500" s="111"/>
      <c r="Y500" s="111"/>
      <c r="Z500" s="111" t="s">
        <v>13118</v>
      </c>
      <c r="AA500" s="129">
        <f>IF(Projects!$AI500="Electrolysis",
AB500*VLOOKUP(G500,ElectrolysisConvF,3,FALSE),
"")</f>
        <v>27</v>
      </c>
      <c r="AB500" s="125">
        <v>6000.0</v>
      </c>
      <c r="AC500" s="126">
        <f t="shared" si="83"/>
        <v>4.67784</v>
      </c>
      <c r="AD500" s="125"/>
      <c r="AE500" s="125">
        <f t="shared" ref="AE500:AE503" si="85">AB500</f>
        <v>6000</v>
      </c>
      <c r="AF500" s="127" t="s">
        <v>13119</v>
      </c>
      <c r="AG500" s="127">
        <v>30.794755817405</v>
      </c>
      <c r="AH500" s="127">
        <v>99.9175634223173</v>
      </c>
      <c r="AI500" s="115" t="s">
        <v>12383</v>
      </c>
      <c r="AJ500" s="116">
        <v>0.8</v>
      </c>
      <c r="AK500" s="117"/>
      <c r="AL500" s="117"/>
      <c r="AM500" s="117"/>
      <c r="AN500" s="117"/>
      <c r="AO500" s="117"/>
    </row>
    <row r="501" ht="34.5" customHeight="1">
      <c r="A501" s="111">
        <v>862.0</v>
      </c>
      <c r="B501" s="111" t="s">
        <v>8480</v>
      </c>
      <c r="C501" s="111" t="s">
        <v>8087</v>
      </c>
      <c r="D501" s="111">
        <v>2024.0</v>
      </c>
      <c r="E501" s="111"/>
      <c r="F501" s="111" t="s">
        <v>12399</v>
      </c>
      <c r="G501" s="111" t="s">
        <v>12224</v>
      </c>
      <c r="H501" s="111"/>
      <c r="I501" s="111" t="s">
        <v>12287</v>
      </c>
      <c r="J501" s="111"/>
      <c r="K501" s="111" t="s">
        <v>30</v>
      </c>
      <c r="L501" s="111"/>
      <c r="M501" s="111"/>
      <c r="N501" s="111"/>
      <c r="O501" s="111"/>
      <c r="P501" s="111"/>
      <c r="Q501" s="111">
        <v>1.0</v>
      </c>
      <c r="R501" s="111"/>
      <c r="S501" s="111"/>
      <c r="T501" s="111"/>
      <c r="U501" s="111"/>
      <c r="V501" s="111"/>
      <c r="W501" s="111"/>
      <c r="X501" s="111"/>
      <c r="Y501" s="111"/>
      <c r="Z501" s="111" t="s">
        <v>13120</v>
      </c>
      <c r="AA501" s="124">
        <v>0.75</v>
      </c>
      <c r="AB501" s="125">
        <f>IF(Projects!$AI501="Electrolysis",
AA501/VLOOKUP(G501,ElectrolysisConvF,3,FALSE),
AC501*10^6/(H2dens*HoursInYear))</f>
        <v>163.0434783</v>
      </c>
      <c r="AC501" s="126">
        <f t="shared" si="83"/>
        <v>0.1271152174</v>
      </c>
      <c r="AD501" s="125"/>
      <c r="AE501" s="125">
        <f t="shared" si="85"/>
        <v>163.0434783</v>
      </c>
      <c r="AF501" s="127" t="s">
        <v>13121</v>
      </c>
      <c r="AG501" s="127">
        <v>50.6454721398147</v>
      </c>
      <c r="AH501" s="127">
        <v>5.44130282605139</v>
      </c>
      <c r="AI501" s="115" t="s">
        <v>12383</v>
      </c>
      <c r="AJ501" s="116">
        <v>0.57</v>
      </c>
      <c r="AK501" s="117"/>
      <c r="AL501" s="117"/>
      <c r="AM501" s="117"/>
      <c r="AN501" s="117"/>
      <c r="AO501" s="117"/>
    </row>
    <row r="502" ht="34.5" customHeight="1">
      <c r="A502" s="133">
        <v>865.0</v>
      </c>
      <c r="B502" s="133" t="s">
        <v>8481</v>
      </c>
      <c r="C502" s="133" t="s">
        <v>8047</v>
      </c>
      <c r="D502" s="133"/>
      <c r="E502" s="133"/>
      <c r="F502" s="133" t="s">
        <v>12397</v>
      </c>
      <c r="G502" s="133" t="s">
        <v>12381</v>
      </c>
      <c r="H502" s="133" t="s">
        <v>12230</v>
      </c>
      <c r="I502" s="133" t="s">
        <v>12394</v>
      </c>
      <c r="J502" s="133" t="s">
        <v>12295</v>
      </c>
      <c r="K502" s="133" t="s">
        <v>30</v>
      </c>
      <c r="L502" s="133"/>
      <c r="M502" s="133"/>
      <c r="N502" s="133"/>
      <c r="O502" s="133"/>
      <c r="P502" s="133"/>
      <c r="Q502" s="133"/>
      <c r="R502" s="133"/>
      <c r="S502" s="133"/>
      <c r="T502" s="133"/>
      <c r="U502" s="133"/>
      <c r="V502" s="133"/>
      <c r="W502" s="133"/>
      <c r="X502" s="133"/>
      <c r="Y502" s="133"/>
      <c r="Z502" s="133" t="s">
        <v>13122</v>
      </c>
      <c r="AA502" s="134"/>
      <c r="AB502" s="135"/>
      <c r="AC502" s="136">
        <f t="shared" si="83"/>
        <v>0</v>
      </c>
      <c r="AD502" s="135"/>
      <c r="AE502" s="135" t="str">
        <f t="shared" si="85"/>
        <v/>
      </c>
      <c r="AF502" s="137"/>
      <c r="AG502" s="137">
        <v>0.0</v>
      </c>
      <c r="AH502" s="137">
        <v>0.0</v>
      </c>
      <c r="AI502" s="115" t="s">
        <v>12383</v>
      </c>
      <c r="AJ502" s="116">
        <v>0.5</v>
      </c>
      <c r="AK502" s="117"/>
      <c r="AL502" s="117"/>
      <c r="AM502" s="117"/>
      <c r="AN502" s="117"/>
      <c r="AO502" s="117"/>
    </row>
    <row r="503" ht="34.5" customHeight="1">
      <c r="A503" s="111">
        <v>867.0</v>
      </c>
      <c r="B503" s="111" t="s">
        <v>8482</v>
      </c>
      <c r="C503" s="111" t="s">
        <v>8087</v>
      </c>
      <c r="D503" s="111">
        <v>2028.0</v>
      </c>
      <c r="E503" s="111"/>
      <c r="F503" s="111" t="s">
        <v>12397</v>
      </c>
      <c r="G503" s="111" t="s">
        <v>12381</v>
      </c>
      <c r="H503" s="111" t="s">
        <v>12230</v>
      </c>
      <c r="I503" s="111" t="s">
        <v>12394</v>
      </c>
      <c r="J503" s="111" t="s">
        <v>12295</v>
      </c>
      <c r="K503" s="111" t="s">
        <v>12481</v>
      </c>
      <c r="L503" s="111"/>
      <c r="M503" s="111">
        <v>1.0</v>
      </c>
      <c r="N503" s="111"/>
      <c r="O503" s="111"/>
      <c r="P503" s="111"/>
      <c r="Q503" s="111"/>
      <c r="R503" s="111"/>
      <c r="S503" s="111"/>
      <c r="T503" s="111"/>
      <c r="U503" s="111"/>
      <c r="V503" s="111"/>
      <c r="W503" s="111"/>
      <c r="X503" s="111"/>
      <c r="Y503" s="111"/>
      <c r="Z503" s="111" t="s">
        <v>12991</v>
      </c>
      <c r="AA503" s="124">
        <f>300-63</f>
        <v>237</v>
      </c>
      <c r="AB503" s="125">
        <f>IF(Projects!$AI503="Electrolysis",
AA503/VLOOKUP(G503,ElectrolysisConvF,3,FALSE),
AC503*10^6/(H2dens*HoursInYear))</f>
        <v>52666.66667</v>
      </c>
      <c r="AC503" s="126">
        <f t="shared" si="83"/>
        <v>41.06104</v>
      </c>
      <c r="AD503" s="125"/>
      <c r="AE503" s="125">
        <f t="shared" si="85"/>
        <v>52666.66667</v>
      </c>
      <c r="AF503" s="127" t="s">
        <v>12774</v>
      </c>
      <c r="AG503" s="127">
        <v>51.0409778907728</v>
      </c>
      <c r="AH503" s="127">
        <v>3.84433114911818</v>
      </c>
      <c r="AI503" s="115" t="s">
        <v>12383</v>
      </c>
      <c r="AJ503" s="116">
        <v>0.5</v>
      </c>
      <c r="AK503" s="117"/>
      <c r="AL503" s="117"/>
      <c r="AM503" s="117"/>
      <c r="AN503" s="117"/>
      <c r="AO503" s="117"/>
    </row>
    <row r="504" ht="34.5" customHeight="1">
      <c r="A504" s="111">
        <v>868.0</v>
      </c>
      <c r="B504" s="111" t="s">
        <v>8483</v>
      </c>
      <c r="C504" s="111" t="s">
        <v>8087</v>
      </c>
      <c r="D504" s="111"/>
      <c r="E504" s="111">
        <v>2014.0</v>
      </c>
      <c r="F504" s="111" t="s">
        <v>12418</v>
      </c>
      <c r="G504" s="111" t="s">
        <v>12224</v>
      </c>
      <c r="H504" s="111"/>
      <c r="I504" s="111" t="s">
        <v>12394</v>
      </c>
      <c r="J504" s="111" t="s">
        <v>12292</v>
      </c>
      <c r="K504" s="111" t="s">
        <v>30</v>
      </c>
      <c r="L504" s="111"/>
      <c r="M504" s="111"/>
      <c r="N504" s="111"/>
      <c r="O504" s="111"/>
      <c r="P504" s="111"/>
      <c r="Q504" s="111">
        <v>1.0</v>
      </c>
      <c r="R504" s="111"/>
      <c r="S504" s="111"/>
      <c r="T504" s="111"/>
      <c r="U504" s="111"/>
      <c r="V504" s="111"/>
      <c r="W504" s="111"/>
      <c r="X504" s="111"/>
      <c r="Y504" s="111"/>
      <c r="Z504" s="111" t="s">
        <v>12567</v>
      </c>
      <c r="AA504" s="124">
        <v>0.3</v>
      </c>
      <c r="AB504" s="125">
        <f>IF(Projects!$AI504="Electrolysis",
AA504/VLOOKUP(G504,ElectrolysisConvF,3,FALSE),
AC504*10^6/(H2dens*HoursInYear))</f>
        <v>65.2173913</v>
      </c>
      <c r="AC504" s="126">
        <f t="shared" si="83"/>
        <v>0.05084608696</v>
      </c>
      <c r="AD504" s="125"/>
      <c r="AE504" s="125">
        <f t="shared" ref="AE504:AE505" si="86">IF(AND(G504&lt;&gt;"NG w CCUS",G504&lt;&gt;"Oil w CCUS",G504&lt;&gt;"Coal w CCUS"),AB504,AD504*10^3/(HoursInYear*IF(G504="NG w CCUS",0.9105,1.9075)))</f>
        <v>65.2173913</v>
      </c>
      <c r="AF504" s="127" t="s">
        <v>13123</v>
      </c>
      <c r="AG504" s="127">
        <v>50.7312748594555</v>
      </c>
      <c r="AH504" s="127">
        <v>4.21926738062468</v>
      </c>
      <c r="AI504" s="115" t="s">
        <v>12383</v>
      </c>
      <c r="AJ504" s="116">
        <v>0.4</v>
      </c>
      <c r="AK504" s="117"/>
      <c r="AL504" s="117"/>
      <c r="AM504" s="117"/>
      <c r="AN504" s="117"/>
      <c r="AO504" s="117"/>
    </row>
    <row r="505" ht="34.5" customHeight="1">
      <c r="A505" s="111">
        <v>870.0</v>
      </c>
      <c r="B505" s="111" t="s">
        <v>8484</v>
      </c>
      <c r="C505" s="111" t="s">
        <v>8021</v>
      </c>
      <c r="D505" s="111">
        <v>2025.0</v>
      </c>
      <c r="E505" s="111"/>
      <c r="F505" s="111" t="s">
        <v>12399</v>
      </c>
      <c r="G505" s="111" t="s">
        <v>12381</v>
      </c>
      <c r="H505" s="111" t="s">
        <v>12230</v>
      </c>
      <c r="I505" s="111" t="s">
        <v>12394</v>
      </c>
      <c r="J505" s="111" t="s">
        <v>12295</v>
      </c>
      <c r="K505" s="111" t="s">
        <v>174</v>
      </c>
      <c r="L505" s="111"/>
      <c r="M505" s="111">
        <v>1.0</v>
      </c>
      <c r="N505" s="111"/>
      <c r="O505" s="111"/>
      <c r="P505" s="111"/>
      <c r="Q505" s="111"/>
      <c r="R505" s="111"/>
      <c r="S505" s="111"/>
      <c r="T505" s="111"/>
      <c r="U505" s="111"/>
      <c r="V505" s="111"/>
      <c r="W505" s="111"/>
      <c r="X505" s="111"/>
      <c r="Y505" s="111"/>
      <c r="Z505" s="111" t="s">
        <v>13124</v>
      </c>
      <c r="AA505" s="124">
        <v>500.0</v>
      </c>
      <c r="AB505" s="125">
        <f>IF(Projects!$AI505="Electrolysis",
AA505/VLOOKUP(G505,ElectrolysisConvF,3,FALSE),
AC505*10^6/(H2dens*HoursInYear))</f>
        <v>111111.1111</v>
      </c>
      <c r="AC505" s="126">
        <f>420*0.180072</f>
        <v>75.63024</v>
      </c>
      <c r="AD505" s="125"/>
      <c r="AE505" s="125">
        <f t="shared" si="86"/>
        <v>111111.1111</v>
      </c>
      <c r="AF505" s="127" t="s">
        <v>13125</v>
      </c>
      <c r="AG505" s="127">
        <v>-41.1306284511302</v>
      </c>
      <c r="AH505" s="127">
        <v>146.866701359541</v>
      </c>
      <c r="AI505" s="115" t="s">
        <v>12383</v>
      </c>
      <c r="AJ505" s="116">
        <v>0.5</v>
      </c>
      <c r="AK505" s="117"/>
      <c r="AL505" s="117"/>
      <c r="AM505" s="117"/>
      <c r="AN505" s="117"/>
      <c r="AO505" s="117"/>
    </row>
    <row r="506" ht="34.5" customHeight="1">
      <c r="A506" s="111">
        <v>871.0</v>
      </c>
      <c r="B506" s="111" t="s">
        <v>8485</v>
      </c>
      <c r="C506" s="111" t="s">
        <v>7983</v>
      </c>
      <c r="D506" s="111">
        <v>2020.0</v>
      </c>
      <c r="E506" s="111"/>
      <c r="F506" s="111" t="s">
        <v>12385</v>
      </c>
      <c r="G506" s="111" t="s">
        <v>12226</v>
      </c>
      <c r="H506" s="111"/>
      <c r="I506" s="111" t="s">
        <v>12406</v>
      </c>
      <c r="J506" s="111"/>
      <c r="K506" s="111" t="s">
        <v>30</v>
      </c>
      <c r="L506" s="111"/>
      <c r="M506" s="111"/>
      <c r="N506" s="111"/>
      <c r="O506" s="111"/>
      <c r="P506" s="111"/>
      <c r="Q506" s="111">
        <v>1.0</v>
      </c>
      <c r="R506" s="111">
        <v>1.0</v>
      </c>
      <c r="S506" s="111"/>
      <c r="T506" s="111"/>
      <c r="U506" s="111"/>
      <c r="V506" s="111"/>
      <c r="W506" s="111"/>
      <c r="X506" s="111"/>
      <c r="Y506" s="111"/>
      <c r="Z506" s="111" t="s">
        <v>12440</v>
      </c>
      <c r="AA506" s="129">
        <f>IF(Projects!$AI506="Electrolysis",
AB506*VLOOKUP(G506,ElectrolysisConvF,3,FALSE),
"")</f>
        <v>0.0052</v>
      </c>
      <c r="AB506" s="125">
        <v>1.0</v>
      </c>
      <c r="AC506" s="126">
        <f t="shared" ref="AC506:AC514" si="87">AB506*H2dens*HoursInYear/10^6</f>
        <v>0.00077964</v>
      </c>
      <c r="AD506" s="125"/>
      <c r="AE506" s="125">
        <f>AB506</f>
        <v>1</v>
      </c>
      <c r="AF506" s="127" t="s">
        <v>13126</v>
      </c>
      <c r="AG506" s="127">
        <v>35.6588203818834</v>
      </c>
      <c r="AH506" s="127">
        <v>136.06324166222</v>
      </c>
      <c r="AI506" s="115" t="s">
        <v>12383</v>
      </c>
      <c r="AJ506" s="116">
        <v>0.57</v>
      </c>
      <c r="AK506" s="117"/>
      <c r="AL506" s="117"/>
      <c r="AM506" s="117"/>
      <c r="AN506" s="117"/>
      <c r="AO506" s="117"/>
    </row>
    <row r="507" ht="34.5" customHeight="1">
      <c r="A507" s="111">
        <v>872.0</v>
      </c>
      <c r="B507" s="111" t="s">
        <v>8486</v>
      </c>
      <c r="C507" s="111" t="s">
        <v>7991</v>
      </c>
      <c r="D507" s="111">
        <v>2025.0</v>
      </c>
      <c r="E507" s="111"/>
      <c r="F507" s="111" t="s">
        <v>12393</v>
      </c>
      <c r="G507" s="111" t="s">
        <v>12224</v>
      </c>
      <c r="H507" s="111"/>
      <c r="I507" s="111" t="s">
        <v>12394</v>
      </c>
      <c r="J507" s="111" t="s">
        <v>12295</v>
      </c>
      <c r="K507" s="111" t="s">
        <v>30</v>
      </c>
      <c r="L507" s="111"/>
      <c r="M507" s="111"/>
      <c r="N507" s="111"/>
      <c r="O507" s="111"/>
      <c r="P507" s="111"/>
      <c r="Q507" s="111"/>
      <c r="R507" s="111"/>
      <c r="S507" s="111"/>
      <c r="T507" s="111"/>
      <c r="U507" s="111">
        <v>1.0</v>
      </c>
      <c r="V507" s="111"/>
      <c r="W507" s="111"/>
      <c r="X507" s="111"/>
      <c r="Y507" s="111"/>
      <c r="Z507" s="111" t="s">
        <v>12603</v>
      </c>
      <c r="AA507" s="124">
        <v>5.0</v>
      </c>
      <c r="AB507" s="125">
        <f>IF(Projects!$AI507="Electrolysis",
AA507/VLOOKUP(G507,ElectrolysisConvF,3,FALSE),
AC507*10^6/(H2dens*HoursInYear))</f>
        <v>1086.956522</v>
      </c>
      <c r="AC507" s="126">
        <f t="shared" si="87"/>
        <v>0.8474347826</v>
      </c>
      <c r="AD507" s="125"/>
      <c r="AE507" s="125">
        <f>IF(AND(G507&lt;&gt;"NG w CCUS",G507&lt;&gt;"Oil w CCUS",G507&lt;&gt;"Coal w CCUS"),AB507,AD507*10^3/(HoursInYear*IF(G507="NG w CCUS",0.9105,1.9075)))</f>
        <v>1086.956522</v>
      </c>
      <c r="AF507" s="127" t="s">
        <v>13127</v>
      </c>
      <c r="AG507" s="127">
        <v>56.1820017788318</v>
      </c>
      <c r="AH507" s="127">
        <v>-3.01393683465731</v>
      </c>
      <c r="AI507" s="115" t="s">
        <v>12383</v>
      </c>
      <c r="AJ507" s="116">
        <v>0.5</v>
      </c>
      <c r="AK507" s="117"/>
      <c r="AL507" s="117"/>
      <c r="AM507" s="117"/>
      <c r="AN507" s="117"/>
      <c r="AO507" s="117"/>
    </row>
    <row r="508" ht="34.5" customHeight="1">
      <c r="A508" s="111">
        <v>873.0</v>
      </c>
      <c r="B508" s="145" t="s">
        <v>8487</v>
      </c>
      <c r="C508" s="111" t="s">
        <v>7987</v>
      </c>
      <c r="D508" s="111">
        <v>2027.0</v>
      </c>
      <c r="E508" s="111"/>
      <c r="F508" s="111" t="s">
        <v>12399</v>
      </c>
      <c r="G508" s="111" t="s">
        <v>12226</v>
      </c>
      <c r="H508" s="111"/>
      <c r="I508" s="111" t="s">
        <v>12406</v>
      </c>
      <c r="J508" s="111"/>
      <c r="K508" s="111" t="s">
        <v>30</v>
      </c>
      <c r="L508" s="111"/>
      <c r="M508" s="111"/>
      <c r="N508" s="111"/>
      <c r="O508" s="111">
        <v>1.0</v>
      </c>
      <c r="P508" s="111">
        <v>1.0</v>
      </c>
      <c r="Q508" s="111"/>
      <c r="R508" s="111"/>
      <c r="S508" s="111"/>
      <c r="T508" s="111"/>
      <c r="U508" s="111"/>
      <c r="V508" s="111"/>
      <c r="W508" s="111"/>
      <c r="X508" s="111"/>
      <c r="Y508" s="111"/>
      <c r="Z508" s="111" t="s">
        <v>13128</v>
      </c>
      <c r="AA508" s="124">
        <v>157.0</v>
      </c>
      <c r="AB508" s="125">
        <f>IF(Projects!$AI508="Electrolysis",
AA508/VLOOKUP(G508,ElectrolysisConvF,3,FALSE),
AC508*10^6/(H2dens*HoursInYear))</f>
        <v>30192.30769</v>
      </c>
      <c r="AC508" s="126">
        <f t="shared" si="87"/>
        <v>23.53913077</v>
      </c>
      <c r="AD508" s="125"/>
      <c r="AE508" s="125">
        <f>AB508</f>
        <v>30192.30769</v>
      </c>
      <c r="AF508" s="127" t="s">
        <v>13129</v>
      </c>
      <c r="AG508" s="127">
        <v>51.4448541551683</v>
      </c>
      <c r="AH508" s="127">
        <v>6.72219270453604</v>
      </c>
      <c r="AI508" s="115" t="s">
        <v>12383</v>
      </c>
      <c r="AJ508" s="116">
        <v>0.57</v>
      </c>
      <c r="AK508" s="117"/>
      <c r="AL508" s="117"/>
      <c r="AM508" s="117"/>
      <c r="AN508" s="117"/>
      <c r="AO508" s="117"/>
    </row>
    <row r="509" ht="34.5" customHeight="1">
      <c r="A509" s="111">
        <v>874.0</v>
      </c>
      <c r="B509" s="111" t="s">
        <v>8488</v>
      </c>
      <c r="C509" s="111" t="s">
        <v>8047</v>
      </c>
      <c r="D509" s="111">
        <v>2026.0</v>
      </c>
      <c r="E509" s="111"/>
      <c r="F509" s="111" t="s">
        <v>12399</v>
      </c>
      <c r="G509" s="111" t="s">
        <v>12226</v>
      </c>
      <c r="H509" s="111"/>
      <c r="I509" s="111" t="s">
        <v>12406</v>
      </c>
      <c r="J509" s="111"/>
      <c r="K509" s="111" t="s">
        <v>30</v>
      </c>
      <c r="L509" s="111">
        <v>1.0</v>
      </c>
      <c r="M509" s="111"/>
      <c r="N509" s="111"/>
      <c r="O509" s="111"/>
      <c r="P509" s="111"/>
      <c r="Q509" s="111"/>
      <c r="R509" s="111"/>
      <c r="S509" s="111"/>
      <c r="T509" s="111"/>
      <c r="U509" s="111"/>
      <c r="V509" s="111"/>
      <c r="W509" s="111"/>
      <c r="X509" s="111"/>
      <c r="Y509" s="111"/>
      <c r="Z509" s="111" t="s">
        <v>13130</v>
      </c>
      <c r="AA509" s="124">
        <v>20.0</v>
      </c>
      <c r="AB509" s="125">
        <f>IF(Projects!$AI509="Electrolysis",
AA509/VLOOKUP(G509,ElectrolysisConvF,3,FALSE),
AC509*10^6/(H2dens*HoursInYear))</f>
        <v>3846.153846</v>
      </c>
      <c r="AC509" s="126">
        <f t="shared" si="87"/>
        <v>2.998615385</v>
      </c>
      <c r="AD509" s="125"/>
      <c r="AE509" s="125">
        <f t="shared" ref="AE509:AE518" si="88">IF(AND(G509&lt;&gt;"NG w CCUS",G509&lt;&gt;"Oil w CCUS",G509&lt;&gt;"Coal w CCUS"),AB509,AD509*10^3/(HoursInYear*IF(G509="NG w CCUS",0.9105,1.9075)))</f>
        <v>3846.153846</v>
      </c>
      <c r="AF509" s="127" t="s">
        <v>13131</v>
      </c>
      <c r="AG509" s="127">
        <v>37.059597412754</v>
      </c>
      <c r="AH509" s="127">
        <v>14.2662871867576</v>
      </c>
      <c r="AI509" s="115" t="s">
        <v>12383</v>
      </c>
      <c r="AJ509" s="116">
        <v>0.57</v>
      </c>
      <c r="AK509" s="117"/>
      <c r="AL509" s="117"/>
      <c r="AM509" s="117"/>
      <c r="AN509" s="117"/>
      <c r="AO509" s="117"/>
    </row>
    <row r="510" ht="34.5" customHeight="1">
      <c r="A510" s="111">
        <v>875.0</v>
      </c>
      <c r="B510" s="111" t="s">
        <v>8489</v>
      </c>
      <c r="C510" s="111" t="s">
        <v>8047</v>
      </c>
      <c r="D510" s="111">
        <v>2026.0</v>
      </c>
      <c r="E510" s="111"/>
      <c r="F510" s="111" t="s">
        <v>12399</v>
      </c>
      <c r="G510" s="111" t="s">
        <v>12226</v>
      </c>
      <c r="H510" s="111"/>
      <c r="I510" s="111" t="s">
        <v>12394</v>
      </c>
      <c r="J510" s="111" t="s">
        <v>12291</v>
      </c>
      <c r="K510" s="111" t="s">
        <v>30</v>
      </c>
      <c r="L510" s="111">
        <v>1.0</v>
      </c>
      <c r="M510" s="111"/>
      <c r="N510" s="111"/>
      <c r="O510" s="111"/>
      <c r="P510" s="111"/>
      <c r="Q510" s="111"/>
      <c r="R510" s="111"/>
      <c r="S510" s="111"/>
      <c r="T510" s="111"/>
      <c r="U510" s="111"/>
      <c r="V510" s="111"/>
      <c r="W510" s="111"/>
      <c r="X510" s="111"/>
      <c r="Y510" s="111"/>
      <c r="Z510" s="111" t="s">
        <v>13132</v>
      </c>
      <c r="AA510" s="124">
        <v>10.0</v>
      </c>
      <c r="AB510" s="125">
        <f>IF(Projects!$AI510="Electrolysis",
AA510/VLOOKUP(G510,ElectrolysisConvF,3,FALSE),
AC510*10^6/(H2dens*HoursInYear))</f>
        <v>1923.076923</v>
      </c>
      <c r="AC510" s="126">
        <f t="shared" si="87"/>
        <v>1.499307692</v>
      </c>
      <c r="AD510" s="125"/>
      <c r="AE510" s="125">
        <f t="shared" si="88"/>
        <v>1923.076923</v>
      </c>
      <c r="AF510" s="127" t="s">
        <v>13131</v>
      </c>
      <c r="AG510" s="127">
        <v>40.4928374895431</v>
      </c>
      <c r="AH510" s="127">
        <v>17.1967156796423</v>
      </c>
      <c r="AI510" s="115" t="s">
        <v>12383</v>
      </c>
      <c r="AJ510" s="116">
        <v>0.3</v>
      </c>
      <c r="AK510" s="117"/>
      <c r="AL510" s="117"/>
      <c r="AM510" s="117"/>
      <c r="AN510" s="117"/>
      <c r="AO510" s="117"/>
    </row>
    <row r="511" ht="34.5" customHeight="1">
      <c r="A511" s="111">
        <v>878.0</v>
      </c>
      <c r="B511" s="111" t="s">
        <v>8490</v>
      </c>
      <c r="C511" s="111" t="s">
        <v>7977</v>
      </c>
      <c r="D511" s="111">
        <v>2025.0</v>
      </c>
      <c r="E511" s="111"/>
      <c r="F511" s="111" t="s">
        <v>12393</v>
      </c>
      <c r="G511" s="111" t="s">
        <v>12381</v>
      </c>
      <c r="H511" s="111" t="s">
        <v>12230</v>
      </c>
      <c r="I511" s="111" t="s">
        <v>12406</v>
      </c>
      <c r="J511" s="111"/>
      <c r="K511" s="111" t="s">
        <v>30</v>
      </c>
      <c r="L511" s="111"/>
      <c r="M511" s="111"/>
      <c r="N511" s="111"/>
      <c r="O511" s="111"/>
      <c r="P511" s="111"/>
      <c r="Q511" s="111">
        <v>1.0</v>
      </c>
      <c r="R511" s="111">
        <v>1.0</v>
      </c>
      <c r="S511" s="111">
        <v>1.0</v>
      </c>
      <c r="T511" s="111"/>
      <c r="U511" s="111"/>
      <c r="V511" s="111"/>
      <c r="W511" s="111"/>
      <c r="X511" s="111"/>
      <c r="Y511" s="111"/>
      <c r="Z511" s="111" t="s">
        <v>12589</v>
      </c>
      <c r="AA511" s="124">
        <v>20.0</v>
      </c>
      <c r="AB511" s="125">
        <f>IF(Projects!$AI511="Electrolysis",
AA511/VLOOKUP(G511,ElectrolysisConvF,3,FALSE),
AC511*10^6/(H2dens*HoursInYear))</f>
        <v>4444.444444</v>
      </c>
      <c r="AC511" s="126">
        <f t="shared" si="87"/>
        <v>3.465066667</v>
      </c>
      <c r="AD511" s="125"/>
      <c r="AE511" s="125">
        <f t="shared" si="88"/>
        <v>4444.444444</v>
      </c>
      <c r="AF511" s="127" t="s">
        <v>13133</v>
      </c>
      <c r="AG511" s="127">
        <v>43.233837397146</v>
      </c>
      <c r="AH511" s="127">
        <v>-2.75007158472146</v>
      </c>
      <c r="AI511" s="115" t="s">
        <v>12383</v>
      </c>
      <c r="AJ511" s="116">
        <v>0.57</v>
      </c>
      <c r="AK511" s="117"/>
      <c r="AL511" s="117"/>
      <c r="AM511" s="117"/>
      <c r="AN511" s="117"/>
      <c r="AO511" s="117"/>
    </row>
    <row r="512" ht="34.5" customHeight="1">
      <c r="A512" s="111">
        <v>879.0</v>
      </c>
      <c r="B512" s="111" t="s">
        <v>8491</v>
      </c>
      <c r="C512" s="111" t="s">
        <v>7977</v>
      </c>
      <c r="D512" s="111">
        <v>2030.0</v>
      </c>
      <c r="E512" s="111"/>
      <c r="F512" s="111" t="s">
        <v>12399</v>
      </c>
      <c r="G512" s="111" t="s">
        <v>12381</v>
      </c>
      <c r="H512" s="111" t="s">
        <v>12230</v>
      </c>
      <c r="I512" s="111" t="s">
        <v>12406</v>
      </c>
      <c r="J512" s="111"/>
      <c r="K512" s="111" t="s">
        <v>30</v>
      </c>
      <c r="L512" s="111"/>
      <c r="M512" s="111"/>
      <c r="N512" s="111"/>
      <c r="O512" s="111"/>
      <c r="P512" s="111"/>
      <c r="Q512" s="111">
        <v>1.0</v>
      </c>
      <c r="R512" s="111">
        <v>1.0</v>
      </c>
      <c r="S512" s="111">
        <v>1.0</v>
      </c>
      <c r="T512" s="111"/>
      <c r="U512" s="111"/>
      <c r="V512" s="111"/>
      <c r="W512" s="111"/>
      <c r="X512" s="111"/>
      <c r="Y512" s="111"/>
      <c r="Z512" s="111" t="s">
        <v>13006</v>
      </c>
      <c r="AA512" s="124">
        <v>180.0</v>
      </c>
      <c r="AB512" s="125">
        <f>IF(Projects!$AI512="Electrolysis",
AA512/VLOOKUP(G512,ElectrolysisConvF,3,FALSE),
AC512*10^6/(H2dens*HoursInYear))</f>
        <v>40000</v>
      </c>
      <c r="AC512" s="126">
        <f t="shared" si="87"/>
        <v>31.1856</v>
      </c>
      <c r="AD512" s="125"/>
      <c r="AE512" s="125">
        <f t="shared" si="88"/>
        <v>40000</v>
      </c>
      <c r="AF512" s="127" t="s">
        <v>13133</v>
      </c>
      <c r="AG512" s="127">
        <v>43.233837397146</v>
      </c>
      <c r="AH512" s="127">
        <v>-2.75007158472146</v>
      </c>
      <c r="AI512" s="115" t="s">
        <v>12383</v>
      </c>
      <c r="AJ512" s="116">
        <v>0.57</v>
      </c>
      <c r="AK512" s="117"/>
      <c r="AL512" s="117"/>
      <c r="AM512" s="117"/>
      <c r="AN512" s="117"/>
      <c r="AO512" s="117"/>
    </row>
    <row r="513" ht="34.5" customHeight="1">
      <c r="A513" s="111">
        <v>880.0</v>
      </c>
      <c r="B513" s="111" t="s">
        <v>8492</v>
      </c>
      <c r="C513" s="111" t="s">
        <v>8021</v>
      </c>
      <c r="D513" s="111">
        <v>2021.0</v>
      </c>
      <c r="E513" s="111"/>
      <c r="F513" s="111" t="s">
        <v>12385</v>
      </c>
      <c r="G513" s="111" t="s">
        <v>12226</v>
      </c>
      <c r="H513" s="111"/>
      <c r="I513" s="111" t="s">
        <v>12394</v>
      </c>
      <c r="J513" s="111" t="s">
        <v>12295</v>
      </c>
      <c r="K513" s="111" t="s">
        <v>30</v>
      </c>
      <c r="L513" s="111"/>
      <c r="M513" s="111"/>
      <c r="N513" s="111"/>
      <c r="O513" s="111"/>
      <c r="P513" s="111"/>
      <c r="Q513" s="111">
        <v>1.0</v>
      </c>
      <c r="R513" s="111"/>
      <c r="S513" s="111"/>
      <c r="T513" s="111"/>
      <c r="U513" s="111"/>
      <c r="V513" s="111"/>
      <c r="W513" s="111"/>
      <c r="X513" s="111"/>
      <c r="Y513" s="111"/>
      <c r="Z513" s="111" t="s">
        <v>12540</v>
      </c>
      <c r="AA513" s="129">
        <f>IF(Projects!$AI513="Electrolysis",
AB513*VLOOKUP(G513,ElectrolysisConvF,3,FALSE),
"")</f>
        <v>0.052</v>
      </c>
      <c r="AB513" s="125">
        <v>10.0</v>
      </c>
      <c r="AC513" s="126">
        <f t="shared" si="87"/>
        <v>0.0077964</v>
      </c>
      <c r="AD513" s="125"/>
      <c r="AE513" s="125">
        <f t="shared" si="88"/>
        <v>10</v>
      </c>
      <c r="AF513" s="127" t="s">
        <v>13134</v>
      </c>
      <c r="AG513" s="127">
        <v>0.0</v>
      </c>
      <c r="AH513" s="127">
        <v>0.0</v>
      </c>
      <c r="AI513" s="115" t="s">
        <v>12383</v>
      </c>
      <c r="AJ513" s="116">
        <v>0.5</v>
      </c>
      <c r="AK513" s="117"/>
      <c r="AL513" s="117"/>
      <c r="AM513" s="117"/>
      <c r="AN513" s="117"/>
      <c r="AO513" s="117"/>
    </row>
    <row r="514" ht="34.5" customHeight="1">
      <c r="A514" s="111">
        <v>881.0</v>
      </c>
      <c r="B514" s="111" t="s">
        <v>8493</v>
      </c>
      <c r="C514" s="111" t="s">
        <v>8003</v>
      </c>
      <c r="D514" s="111">
        <v>2026.0</v>
      </c>
      <c r="E514" s="111"/>
      <c r="F514" s="111" t="s">
        <v>12393</v>
      </c>
      <c r="G514" s="111" t="s">
        <v>12226</v>
      </c>
      <c r="H514" s="111"/>
      <c r="I514" s="111" t="s">
        <v>12394</v>
      </c>
      <c r="J514" s="111" t="s">
        <v>12295</v>
      </c>
      <c r="K514" s="111" t="s">
        <v>30</v>
      </c>
      <c r="L514" s="111"/>
      <c r="M514" s="111"/>
      <c r="N514" s="111"/>
      <c r="O514" s="111"/>
      <c r="P514" s="111"/>
      <c r="Q514" s="111"/>
      <c r="R514" s="111"/>
      <c r="S514" s="111"/>
      <c r="T514" s="111"/>
      <c r="U514" s="111"/>
      <c r="V514" s="111">
        <v>1.0</v>
      </c>
      <c r="W514" s="111"/>
      <c r="X514" s="111"/>
      <c r="Y514" s="111"/>
      <c r="Z514" s="111" t="s">
        <v>13135</v>
      </c>
      <c r="AA514" s="124">
        <v>90.0</v>
      </c>
      <c r="AB514" s="125">
        <f>IF(Projects!$AI514="Electrolysis",
AA514/VLOOKUP(G514,ElectrolysisConvF,3,FALSE),
AC514*10^6/(H2dens*HoursInYear))</f>
        <v>17307.69231</v>
      </c>
      <c r="AC514" s="126">
        <f t="shared" si="87"/>
        <v>13.49376923</v>
      </c>
      <c r="AD514" s="125"/>
      <c r="AE514" s="125">
        <f t="shared" si="88"/>
        <v>17307.69231</v>
      </c>
      <c r="AF514" s="127" t="s">
        <v>13136</v>
      </c>
      <c r="AG514" s="127">
        <v>49.2259712936935</v>
      </c>
      <c r="AH514" s="127">
        <v>5.01630170800372</v>
      </c>
      <c r="AI514" s="115" t="s">
        <v>12383</v>
      </c>
      <c r="AJ514" s="116">
        <v>0.5</v>
      </c>
      <c r="AK514" s="117"/>
      <c r="AL514" s="117"/>
      <c r="AM514" s="117"/>
      <c r="AN514" s="117"/>
      <c r="AO514" s="117"/>
    </row>
    <row r="515" ht="34.5" customHeight="1">
      <c r="A515" s="111">
        <v>882.0</v>
      </c>
      <c r="B515" s="111" t="s">
        <v>8494</v>
      </c>
      <c r="C515" s="111" t="s">
        <v>8001</v>
      </c>
      <c r="D515" s="111"/>
      <c r="E515" s="111"/>
      <c r="F515" s="111" t="s">
        <v>12397</v>
      </c>
      <c r="G515" s="111" t="s">
        <v>12381</v>
      </c>
      <c r="H515" s="111" t="s">
        <v>12230</v>
      </c>
      <c r="I515" s="111" t="s">
        <v>12394</v>
      </c>
      <c r="J515" s="111" t="s">
        <v>12295</v>
      </c>
      <c r="K515" s="111" t="s">
        <v>30</v>
      </c>
      <c r="L515" s="111"/>
      <c r="M515" s="111"/>
      <c r="N515" s="111"/>
      <c r="O515" s="111"/>
      <c r="P515" s="111"/>
      <c r="Q515" s="111"/>
      <c r="R515" s="111"/>
      <c r="S515" s="111"/>
      <c r="T515" s="111"/>
      <c r="U515" s="111"/>
      <c r="V515" s="111"/>
      <c r="W515" s="111"/>
      <c r="X515" s="111"/>
      <c r="Y515" s="111"/>
      <c r="Z515" s="111" t="s">
        <v>13137</v>
      </c>
      <c r="AA515" s="129">
        <f>IF(Projects!$AI515="Electrolysis",
AB515*VLOOKUP(G515,ElectrolysisConvF,3,FALSE),
"")</f>
        <v>2885.94736</v>
      </c>
      <c r="AB515" s="125">
        <f>AC515/(H2dens*HoursInYear/10^6)</f>
        <v>641321.6356</v>
      </c>
      <c r="AC515" s="126">
        <v>500.0</v>
      </c>
      <c r="AD515" s="125"/>
      <c r="AE515" s="125">
        <f t="shared" si="88"/>
        <v>641321.6356</v>
      </c>
      <c r="AF515" s="127" t="s">
        <v>13138</v>
      </c>
      <c r="AG515" s="127">
        <v>40.0560648557825</v>
      </c>
      <c r="AH515" s="127">
        <v>115.542919445508</v>
      </c>
      <c r="AI515" s="115" t="s">
        <v>12383</v>
      </c>
      <c r="AJ515" s="116">
        <v>0.5</v>
      </c>
      <c r="AK515" s="117"/>
      <c r="AL515" s="117"/>
      <c r="AM515" s="117"/>
      <c r="AN515" s="117"/>
      <c r="AO515" s="117"/>
    </row>
    <row r="516" ht="34.5" customHeight="1">
      <c r="A516" s="111">
        <v>883.0</v>
      </c>
      <c r="B516" s="111" t="s">
        <v>8495</v>
      </c>
      <c r="C516" s="111" t="s">
        <v>7994</v>
      </c>
      <c r="D516" s="111">
        <v>2024.0</v>
      </c>
      <c r="E516" s="111"/>
      <c r="F516" s="111" t="s">
        <v>12385</v>
      </c>
      <c r="G516" s="111" t="s">
        <v>12224</v>
      </c>
      <c r="H516" s="111"/>
      <c r="I516" s="111" t="s">
        <v>12394</v>
      </c>
      <c r="J516" s="111" t="s">
        <v>12295</v>
      </c>
      <c r="K516" s="111" t="s">
        <v>174</v>
      </c>
      <c r="L516" s="111"/>
      <c r="M516" s="111">
        <v>1.0</v>
      </c>
      <c r="N516" s="111"/>
      <c r="O516" s="111"/>
      <c r="P516" s="111"/>
      <c r="Q516" s="111"/>
      <c r="R516" s="111"/>
      <c r="S516" s="111"/>
      <c r="T516" s="111"/>
      <c r="U516" s="111"/>
      <c r="V516" s="111"/>
      <c r="W516" s="111"/>
      <c r="X516" s="111"/>
      <c r="Y516" s="111"/>
      <c r="Z516" s="111" t="s">
        <v>12703</v>
      </c>
      <c r="AA516" s="124">
        <v>10.0</v>
      </c>
      <c r="AB516" s="125">
        <f>IF(Projects!$AI516="Electrolysis",
AA516/VLOOKUP(G516,ElectrolysisConvF,3,FALSE),
AC516*10^6/(H2dens*HoursInYear))</f>
        <v>2173.913043</v>
      </c>
      <c r="AC516" s="126">
        <f t="shared" ref="AC516:AC523" si="89">AB516*H2dens*HoursInYear/10^6</f>
        <v>1.694869565</v>
      </c>
      <c r="AD516" s="125"/>
      <c r="AE516" s="125">
        <f t="shared" si="88"/>
        <v>2173.913043</v>
      </c>
      <c r="AF516" s="127" t="s">
        <v>13139</v>
      </c>
      <c r="AG516" s="127">
        <v>56.545167783373</v>
      </c>
      <c r="AH516" s="127">
        <v>9.15229585895749</v>
      </c>
      <c r="AI516" s="115" t="s">
        <v>12383</v>
      </c>
      <c r="AJ516" s="116">
        <v>0.5</v>
      </c>
      <c r="AK516" s="117"/>
      <c r="AL516" s="117"/>
      <c r="AM516" s="117"/>
      <c r="AN516" s="117"/>
      <c r="AO516" s="117"/>
    </row>
    <row r="517" ht="34.5" customHeight="1">
      <c r="A517" s="111">
        <v>884.0</v>
      </c>
      <c r="B517" s="111" t="s">
        <v>8496</v>
      </c>
      <c r="C517" s="111" t="s">
        <v>8087</v>
      </c>
      <c r="D517" s="111">
        <v>2025.0</v>
      </c>
      <c r="E517" s="111"/>
      <c r="F517" s="111" t="s">
        <v>12399</v>
      </c>
      <c r="G517" s="111" t="s">
        <v>12224</v>
      </c>
      <c r="H517" s="111"/>
      <c r="I517" s="111" t="s">
        <v>12394</v>
      </c>
      <c r="J517" s="111" t="s">
        <v>12295</v>
      </c>
      <c r="K517" s="111" t="s">
        <v>12449</v>
      </c>
      <c r="L517" s="111"/>
      <c r="M517" s="111"/>
      <c r="N517" s="111"/>
      <c r="O517" s="111"/>
      <c r="P517" s="111"/>
      <c r="Q517" s="111"/>
      <c r="R517" s="111"/>
      <c r="S517" s="111"/>
      <c r="T517" s="111"/>
      <c r="U517" s="111"/>
      <c r="V517" s="111"/>
      <c r="W517" s="111"/>
      <c r="X517" s="111">
        <v>1.0</v>
      </c>
      <c r="Y517" s="111"/>
      <c r="Z517" s="111" t="s">
        <v>13140</v>
      </c>
      <c r="AA517" s="124">
        <v>75.0</v>
      </c>
      <c r="AB517" s="125">
        <f>IF(Projects!$AI517="Electrolysis",
AA517/VLOOKUP(G517,ElectrolysisConvF,3,FALSE),
AC517*10^6/(H2dens*HoursInYear))</f>
        <v>16304.34783</v>
      </c>
      <c r="AC517" s="126">
        <f t="shared" si="89"/>
        <v>12.71152174</v>
      </c>
      <c r="AD517" s="125"/>
      <c r="AE517" s="125">
        <f t="shared" si="88"/>
        <v>16304.34783</v>
      </c>
      <c r="AF517" s="127" t="s">
        <v>13141</v>
      </c>
      <c r="AG517" s="127">
        <v>50.3364084483453</v>
      </c>
      <c r="AH517" s="127">
        <v>4.79180408997117</v>
      </c>
      <c r="AI517" s="115" t="s">
        <v>12383</v>
      </c>
      <c r="AJ517" s="116">
        <v>0.5</v>
      </c>
      <c r="AK517" s="117"/>
      <c r="AL517" s="117"/>
      <c r="AM517" s="117"/>
      <c r="AN517" s="117"/>
      <c r="AO517" s="117"/>
    </row>
    <row r="518" ht="34.5" customHeight="1">
      <c r="A518" s="111">
        <v>885.0</v>
      </c>
      <c r="B518" s="111" t="s">
        <v>8497</v>
      </c>
      <c r="C518" s="111" t="s">
        <v>7987</v>
      </c>
      <c r="D518" s="111">
        <v>2027.0</v>
      </c>
      <c r="E518" s="111"/>
      <c r="F518" s="111" t="s">
        <v>12393</v>
      </c>
      <c r="G518" s="111" t="s">
        <v>12226</v>
      </c>
      <c r="H518" s="111"/>
      <c r="I518" s="111" t="s">
        <v>12394</v>
      </c>
      <c r="J518" s="111" t="s">
        <v>12293</v>
      </c>
      <c r="K518" s="111" t="s">
        <v>30</v>
      </c>
      <c r="L518" s="111">
        <v>1.0</v>
      </c>
      <c r="M518" s="111"/>
      <c r="N518" s="111"/>
      <c r="O518" s="111">
        <v>1.0</v>
      </c>
      <c r="P518" s="111">
        <v>1.0</v>
      </c>
      <c r="Q518" s="111">
        <v>1.0</v>
      </c>
      <c r="R518" s="111">
        <v>1.0</v>
      </c>
      <c r="S518" s="111">
        <v>1.0</v>
      </c>
      <c r="T518" s="111"/>
      <c r="U518" s="111"/>
      <c r="V518" s="111"/>
      <c r="W518" s="111"/>
      <c r="X518" s="111"/>
      <c r="Y518" s="111"/>
      <c r="Z518" s="111" t="s">
        <v>13142</v>
      </c>
      <c r="AA518" s="124">
        <f>200-100</f>
        <v>100</v>
      </c>
      <c r="AB518" s="125">
        <f>IF(Projects!$AI518="Electrolysis",
AA518/VLOOKUP(G518,ElectrolysisConvF,3,FALSE),
AC518*10^6/(H2dens*HoursInYear))</f>
        <v>19230.76923</v>
      </c>
      <c r="AC518" s="126">
        <f t="shared" si="89"/>
        <v>14.99307692</v>
      </c>
      <c r="AD518" s="125"/>
      <c r="AE518" s="125">
        <f t="shared" si="88"/>
        <v>19230.76923</v>
      </c>
      <c r="AF518" s="127" t="s">
        <v>13143</v>
      </c>
      <c r="AG518" s="127">
        <v>52.4825565137023</v>
      </c>
      <c r="AH518" s="127">
        <v>7.29966781182499</v>
      </c>
      <c r="AI518" s="115" t="s">
        <v>12383</v>
      </c>
      <c r="AJ518" s="116">
        <v>0.55</v>
      </c>
      <c r="AK518" s="117"/>
      <c r="AL518" s="117"/>
      <c r="AM518" s="117"/>
      <c r="AN518" s="117"/>
      <c r="AO518" s="117"/>
    </row>
    <row r="519" ht="34.5" customHeight="1">
      <c r="A519" s="111">
        <v>886.0</v>
      </c>
      <c r="B519" s="111" t="s">
        <v>8498</v>
      </c>
      <c r="C519" s="111" t="s">
        <v>7967</v>
      </c>
      <c r="D519" s="111">
        <v>2040.0</v>
      </c>
      <c r="E519" s="111"/>
      <c r="F519" s="111" t="s">
        <v>12397</v>
      </c>
      <c r="G519" s="111" t="s">
        <v>12381</v>
      </c>
      <c r="H519" s="111" t="s">
        <v>12230</v>
      </c>
      <c r="I519" s="111" t="s">
        <v>12394</v>
      </c>
      <c r="J519" s="111" t="s">
        <v>12293</v>
      </c>
      <c r="K519" s="111" t="s">
        <v>30</v>
      </c>
      <c r="L519" s="111">
        <v>1.0</v>
      </c>
      <c r="M519" s="111"/>
      <c r="N519" s="111"/>
      <c r="O519" s="111"/>
      <c r="P519" s="111">
        <v>1.0</v>
      </c>
      <c r="Q519" s="111"/>
      <c r="R519" s="111"/>
      <c r="S519" s="111"/>
      <c r="T519" s="111"/>
      <c r="U519" s="111"/>
      <c r="V519" s="111"/>
      <c r="W519" s="111"/>
      <c r="X519" s="111"/>
      <c r="Y519" s="111"/>
      <c r="Z519" s="111" t="s">
        <v>13144</v>
      </c>
      <c r="AA519" s="124">
        <v>6000.0</v>
      </c>
      <c r="AB519" s="125">
        <f>IF(Projects!$AI519="Electrolysis",
AA519/VLOOKUP(G519,ElectrolysisConvF,3,FALSE),
AC519*10^6/(H2dens*HoursInYear))</f>
        <v>1333333.333</v>
      </c>
      <c r="AC519" s="126">
        <f t="shared" si="89"/>
        <v>1039.52</v>
      </c>
      <c r="AD519" s="125"/>
      <c r="AE519" s="125">
        <f>AB519</f>
        <v>1333333.333</v>
      </c>
      <c r="AF519" s="127" t="s">
        <v>12401</v>
      </c>
      <c r="AG519" s="127">
        <v>53.4652079383533</v>
      </c>
      <c r="AH519" s="127">
        <v>6.6329845630844</v>
      </c>
      <c r="AI519" s="115" t="s">
        <v>12383</v>
      </c>
      <c r="AJ519" s="116">
        <v>0.55</v>
      </c>
      <c r="AK519" s="117"/>
      <c r="AL519" s="117"/>
      <c r="AM519" s="117"/>
      <c r="AN519" s="117"/>
      <c r="AO519" s="117"/>
    </row>
    <row r="520" ht="34.5" customHeight="1">
      <c r="A520" s="111">
        <v>888.0</v>
      </c>
      <c r="B520" s="111" t="s">
        <v>8499</v>
      </c>
      <c r="C520" s="111" t="s">
        <v>7987</v>
      </c>
      <c r="D520" s="111">
        <v>2025.0</v>
      </c>
      <c r="E520" s="111"/>
      <c r="F520" s="111" t="s">
        <v>12399</v>
      </c>
      <c r="G520" s="111" t="s">
        <v>12381</v>
      </c>
      <c r="H520" s="111" t="s">
        <v>12230</v>
      </c>
      <c r="I520" s="111" t="s">
        <v>12394</v>
      </c>
      <c r="J520" s="111" t="s">
        <v>12293</v>
      </c>
      <c r="K520" s="111" t="s">
        <v>30</v>
      </c>
      <c r="L520" s="111"/>
      <c r="M520" s="111"/>
      <c r="N520" s="111"/>
      <c r="O520" s="111"/>
      <c r="P520" s="111"/>
      <c r="Q520" s="111"/>
      <c r="R520" s="111"/>
      <c r="S520" s="111"/>
      <c r="T520" s="111"/>
      <c r="U520" s="111"/>
      <c r="V520" s="111"/>
      <c r="W520" s="111"/>
      <c r="X520" s="111"/>
      <c r="Y520" s="111"/>
      <c r="Z520" s="111" t="s">
        <v>13145</v>
      </c>
      <c r="AA520" s="124">
        <v>28.0</v>
      </c>
      <c r="AB520" s="125">
        <f>IF(Projects!$AI520="Electrolysis",
AA520/VLOOKUP(G520,ElectrolysisConvF,3,FALSE),
AC520*10^6/(H2dens*HoursInYear))</f>
        <v>6222.222222</v>
      </c>
      <c r="AC520" s="126">
        <f t="shared" si="89"/>
        <v>4.851093333</v>
      </c>
      <c r="AD520" s="125"/>
      <c r="AE520" s="125">
        <f t="shared" ref="AE520:AE540" si="90">IF(AND(G520&lt;&gt;"NG w CCUS",G520&lt;&gt;"Oil w CCUS",G520&lt;&gt;"Coal w CCUS"),AB520,AD520*10^3/(HoursInYear*IF(G520="NG w CCUS",0.9105,1.9075)))</f>
        <v>6222.222222</v>
      </c>
      <c r="AF520" s="127" t="s">
        <v>13146</v>
      </c>
      <c r="AG520" s="127">
        <v>54.2023436057572</v>
      </c>
      <c r="AH520" s="127">
        <v>7.92126860886418</v>
      </c>
      <c r="AI520" s="115" t="s">
        <v>12383</v>
      </c>
      <c r="AJ520" s="116">
        <v>0.55</v>
      </c>
      <c r="AK520" s="117"/>
      <c r="AL520" s="117"/>
      <c r="AM520" s="117"/>
      <c r="AN520" s="117"/>
      <c r="AO520" s="117"/>
    </row>
    <row r="521" ht="34.5" customHeight="1">
      <c r="A521" s="111">
        <v>890.0</v>
      </c>
      <c r="B521" s="111" t="s">
        <v>8500</v>
      </c>
      <c r="C521" s="111" t="s">
        <v>8021</v>
      </c>
      <c r="D521" s="111">
        <v>2030.0</v>
      </c>
      <c r="E521" s="111"/>
      <c r="F521" s="111" t="s">
        <v>12399</v>
      </c>
      <c r="G521" s="111" t="s">
        <v>12381</v>
      </c>
      <c r="H521" s="111" t="s">
        <v>12230</v>
      </c>
      <c r="I521" s="111" t="s">
        <v>12394</v>
      </c>
      <c r="J521" s="111" t="s">
        <v>12295</v>
      </c>
      <c r="K521" s="111" t="s">
        <v>174</v>
      </c>
      <c r="L521" s="111"/>
      <c r="M521" s="111">
        <v>1.0</v>
      </c>
      <c r="N521" s="111"/>
      <c r="O521" s="111"/>
      <c r="P521" s="111"/>
      <c r="Q521" s="111"/>
      <c r="R521" s="111"/>
      <c r="S521" s="111"/>
      <c r="T521" s="111"/>
      <c r="U521" s="111"/>
      <c r="V521" s="111"/>
      <c r="W521" s="111"/>
      <c r="X521" s="111"/>
      <c r="Y521" s="111"/>
      <c r="Z521" s="111" t="s">
        <v>13147</v>
      </c>
      <c r="AA521" s="124">
        <v>2850.0</v>
      </c>
      <c r="AB521" s="125">
        <f>IF(Projects!$AI521="Electrolysis",
AA521/VLOOKUP(G521,ElectrolysisConvF,3,FALSE),
AC521*10^6/(H2dens*HoursInYear))</f>
        <v>633333.3333</v>
      </c>
      <c r="AC521" s="126">
        <f t="shared" si="89"/>
        <v>493.772</v>
      </c>
      <c r="AD521" s="125"/>
      <c r="AE521" s="125">
        <f t="shared" si="90"/>
        <v>633333.3333</v>
      </c>
      <c r="AF521" s="127" t="s">
        <v>12993</v>
      </c>
      <c r="AG521" s="127">
        <v>-23.8415355203833</v>
      </c>
      <c r="AH521" s="127">
        <v>151.250589188345</v>
      </c>
      <c r="AI521" s="115" t="s">
        <v>12383</v>
      </c>
      <c r="AJ521" s="116">
        <v>0.5</v>
      </c>
      <c r="AK521" s="117"/>
      <c r="AL521" s="117"/>
      <c r="AM521" s="117"/>
      <c r="AN521" s="117"/>
      <c r="AO521" s="117"/>
    </row>
    <row r="522" ht="34.5" customHeight="1">
      <c r="A522" s="111">
        <v>891.0</v>
      </c>
      <c r="B522" s="111" t="s">
        <v>8501</v>
      </c>
      <c r="C522" s="111" t="s">
        <v>7994</v>
      </c>
      <c r="D522" s="111">
        <v>2021.0</v>
      </c>
      <c r="E522" s="111"/>
      <c r="F522" s="111" t="s">
        <v>12418</v>
      </c>
      <c r="G522" s="111" t="s">
        <v>12226</v>
      </c>
      <c r="H522" s="111"/>
      <c r="I522" s="111" t="s">
        <v>12394</v>
      </c>
      <c r="J522" s="111" t="s">
        <v>12293</v>
      </c>
      <c r="K522" s="111" t="s">
        <v>30</v>
      </c>
      <c r="L522" s="111"/>
      <c r="M522" s="111"/>
      <c r="N522" s="111"/>
      <c r="O522" s="111"/>
      <c r="P522" s="111"/>
      <c r="Q522" s="111">
        <v>1.0</v>
      </c>
      <c r="R522" s="111"/>
      <c r="S522" s="111"/>
      <c r="T522" s="111"/>
      <c r="U522" s="111"/>
      <c r="V522" s="111"/>
      <c r="W522" s="111"/>
      <c r="X522" s="111"/>
      <c r="Y522" s="111"/>
      <c r="Z522" s="111" t="s">
        <v>13148</v>
      </c>
      <c r="AA522" s="124">
        <v>0.4</v>
      </c>
      <c r="AB522" s="125">
        <f>IF(Projects!$AI522="Electrolysis",
AA522/VLOOKUP(G522,ElectrolysisConvF,3,FALSE),
AC522*10^6/(H2dens*HoursInYear))</f>
        <v>76.92307692</v>
      </c>
      <c r="AC522" s="126">
        <f t="shared" si="89"/>
        <v>0.05997230769</v>
      </c>
      <c r="AD522" s="125"/>
      <c r="AE522" s="125">
        <f t="shared" si="90"/>
        <v>76.92307692</v>
      </c>
      <c r="AF522" s="127" t="s">
        <v>13149</v>
      </c>
      <c r="AG522" s="127">
        <v>55.9451496843308</v>
      </c>
      <c r="AH522" s="127">
        <v>9.09658139087656</v>
      </c>
      <c r="AI522" s="115" t="s">
        <v>12383</v>
      </c>
      <c r="AJ522" s="116">
        <v>0.55</v>
      </c>
      <c r="AK522" s="117"/>
      <c r="AL522" s="117"/>
      <c r="AM522" s="117"/>
      <c r="AN522" s="117"/>
      <c r="AO522" s="117"/>
    </row>
    <row r="523" ht="34.5" customHeight="1">
      <c r="A523" s="111">
        <v>893.0</v>
      </c>
      <c r="B523" s="111" t="s">
        <v>8502</v>
      </c>
      <c r="C523" s="111" t="s">
        <v>8011</v>
      </c>
      <c r="D523" s="111">
        <v>2027.0</v>
      </c>
      <c r="E523" s="111"/>
      <c r="F523" s="111" t="s">
        <v>12399</v>
      </c>
      <c r="G523" s="111" t="s">
        <v>12381</v>
      </c>
      <c r="H523" s="111" t="s">
        <v>12230</v>
      </c>
      <c r="I523" s="111" t="s">
        <v>12394</v>
      </c>
      <c r="J523" s="111" t="s">
        <v>12291</v>
      </c>
      <c r="K523" s="111" t="s">
        <v>30</v>
      </c>
      <c r="L523" s="111"/>
      <c r="M523" s="111"/>
      <c r="N523" s="111"/>
      <c r="O523" s="111"/>
      <c r="P523" s="111">
        <v>1.0</v>
      </c>
      <c r="Q523" s="111"/>
      <c r="R523" s="111"/>
      <c r="S523" s="111"/>
      <c r="T523" s="111"/>
      <c r="U523" s="111"/>
      <c r="V523" s="111"/>
      <c r="W523" s="111"/>
      <c r="X523" s="111"/>
      <c r="Y523" s="111"/>
      <c r="Z523" s="111" t="s">
        <v>12422</v>
      </c>
      <c r="AA523" s="124">
        <v>10.0</v>
      </c>
      <c r="AB523" s="125">
        <f>IF(Projects!$AI523="Electrolysis",
AA523/VLOOKUP(G523,ElectrolysisConvF,3,FALSE),
AC523*10^6/(H2dens*HoursInYear))</f>
        <v>2222.222222</v>
      </c>
      <c r="AC523" s="126">
        <f t="shared" si="89"/>
        <v>1.732533333</v>
      </c>
      <c r="AD523" s="125"/>
      <c r="AE523" s="125">
        <f t="shared" si="90"/>
        <v>2222.222222</v>
      </c>
      <c r="AF523" s="127" t="s">
        <v>13150</v>
      </c>
      <c r="AG523" s="127">
        <v>44.648942</v>
      </c>
      <c r="AH523" s="127">
        <v>-0.597759</v>
      </c>
      <c r="AI523" s="115" t="s">
        <v>12383</v>
      </c>
      <c r="AJ523" s="116">
        <v>0.3</v>
      </c>
      <c r="AK523" s="117"/>
      <c r="AL523" s="117"/>
      <c r="AM523" s="117"/>
      <c r="AN523" s="117"/>
      <c r="AO523" s="117"/>
    </row>
    <row r="524" ht="34.5" customHeight="1">
      <c r="A524" s="111">
        <v>894.0</v>
      </c>
      <c r="B524" s="111" t="s">
        <v>8503</v>
      </c>
      <c r="C524" s="111" t="s">
        <v>7971</v>
      </c>
      <c r="D524" s="111"/>
      <c r="E524" s="111"/>
      <c r="F524" s="111" t="s">
        <v>12418</v>
      </c>
      <c r="G524" s="111" t="s">
        <v>12381</v>
      </c>
      <c r="H524" s="111" t="s">
        <v>12230</v>
      </c>
      <c r="I524" s="111" t="s">
        <v>12394</v>
      </c>
      <c r="J524" s="111" t="s">
        <v>12293</v>
      </c>
      <c r="K524" s="111" t="s">
        <v>30</v>
      </c>
      <c r="L524" s="111"/>
      <c r="M524" s="111"/>
      <c r="N524" s="111"/>
      <c r="O524" s="111"/>
      <c r="P524" s="111">
        <v>1.0</v>
      </c>
      <c r="Q524" s="111">
        <v>1.0</v>
      </c>
      <c r="R524" s="111">
        <v>1.0</v>
      </c>
      <c r="S524" s="111"/>
      <c r="T524" s="111"/>
      <c r="U524" s="111"/>
      <c r="V524" s="111"/>
      <c r="W524" s="111"/>
      <c r="X524" s="111"/>
      <c r="Y524" s="111"/>
      <c r="Z524" s="111"/>
      <c r="AA524" s="124"/>
      <c r="AB524" s="125"/>
      <c r="AC524" s="126"/>
      <c r="AD524" s="125"/>
      <c r="AE524" s="125" t="str">
        <f t="shared" si="90"/>
        <v/>
      </c>
      <c r="AF524" s="127" t="s">
        <v>13151</v>
      </c>
      <c r="AG524" s="127">
        <v>0.0</v>
      </c>
      <c r="AH524" s="127">
        <v>0.0</v>
      </c>
      <c r="AI524" s="115" t="s">
        <v>12383</v>
      </c>
      <c r="AJ524" s="116">
        <v>0.55</v>
      </c>
      <c r="AK524" s="117"/>
      <c r="AL524" s="117"/>
      <c r="AM524" s="117"/>
      <c r="AN524" s="117"/>
      <c r="AO524" s="117"/>
    </row>
    <row r="525" ht="34.5" customHeight="1">
      <c r="A525" s="111">
        <v>895.0</v>
      </c>
      <c r="B525" s="111" t="s">
        <v>8504</v>
      </c>
      <c r="C525" s="111" t="s">
        <v>7977</v>
      </c>
      <c r="D525" s="111">
        <v>2024.0</v>
      </c>
      <c r="E525" s="111"/>
      <c r="F525" s="111" t="s">
        <v>12393</v>
      </c>
      <c r="G525" s="111" t="s">
        <v>12381</v>
      </c>
      <c r="H525" s="111" t="s">
        <v>12230</v>
      </c>
      <c r="I525" s="111" t="s">
        <v>12394</v>
      </c>
      <c r="J525" s="111" t="s">
        <v>12295</v>
      </c>
      <c r="K525" s="111" t="s">
        <v>30</v>
      </c>
      <c r="L525" s="111"/>
      <c r="M525" s="111"/>
      <c r="N525" s="111"/>
      <c r="O525" s="111"/>
      <c r="P525" s="111">
        <v>1.0</v>
      </c>
      <c r="Q525" s="111"/>
      <c r="R525" s="111"/>
      <c r="S525" s="111"/>
      <c r="T525" s="111"/>
      <c r="U525" s="111"/>
      <c r="V525" s="111"/>
      <c r="W525" s="111"/>
      <c r="X525" s="111"/>
      <c r="Y525" s="111"/>
      <c r="Z525" s="111" t="s">
        <v>13152</v>
      </c>
      <c r="AA525" s="129">
        <f>IF(Projects!$AI525="Electrolysis",
AB525*VLOOKUP(G525,ElectrolysisConvF,3,FALSE),
"")</f>
        <v>0.4617515777</v>
      </c>
      <c r="AB525" s="125">
        <f>AC525/(H2dens*HoursInYear/10^6)</f>
        <v>102.6114617</v>
      </c>
      <c r="AC525" s="126">
        <v>0.08</v>
      </c>
      <c r="AD525" s="125"/>
      <c r="AE525" s="125">
        <f t="shared" si="90"/>
        <v>102.6114617</v>
      </c>
      <c r="AF525" s="127" t="s">
        <v>13153</v>
      </c>
      <c r="AG525" s="127">
        <v>40.238279490519</v>
      </c>
      <c r="AH525" s="127">
        <v>-3.69229745199495</v>
      </c>
      <c r="AI525" s="115" t="s">
        <v>12383</v>
      </c>
      <c r="AJ525" s="116">
        <v>0.5</v>
      </c>
      <c r="AK525" s="117"/>
      <c r="AL525" s="117"/>
      <c r="AM525" s="117"/>
      <c r="AN525" s="117"/>
      <c r="AO525" s="117"/>
    </row>
    <row r="526" ht="34.5" customHeight="1">
      <c r="A526" s="111">
        <v>896.0</v>
      </c>
      <c r="B526" s="111" t="s">
        <v>8505</v>
      </c>
      <c r="C526" s="111" t="s">
        <v>7987</v>
      </c>
      <c r="D526" s="111">
        <v>2024.0</v>
      </c>
      <c r="E526" s="111"/>
      <c r="F526" s="111" t="s">
        <v>12393</v>
      </c>
      <c r="G526" s="111" t="s">
        <v>12226</v>
      </c>
      <c r="H526" s="111"/>
      <c r="I526" s="111" t="s">
        <v>12394</v>
      </c>
      <c r="J526" s="111" t="s">
        <v>12296</v>
      </c>
      <c r="K526" s="111" t="s">
        <v>30</v>
      </c>
      <c r="L526" s="111"/>
      <c r="M526" s="111"/>
      <c r="N526" s="111"/>
      <c r="O526" s="111"/>
      <c r="P526" s="111">
        <v>1.0</v>
      </c>
      <c r="Q526" s="111">
        <v>1.0</v>
      </c>
      <c r="R526" s="111"/>
      <c r="S526" s="111"/>
      <c r="T526" s="111"/>
      <c r="U526" s="111"/>
      <c r="V526" s="111"/>
      <c r="W526" s="111"/>
      <c r="X526" s="111"/>
      <c r="Y526" s="111"/>
      <c r="Z526" s="111" t="s">
        <v>12739</v>
      </c>
      <c r="AA526" s="124">
        <v>24.0</v>
      </c>
      <c r="AB526" s="125">
        <f>IF(Projects!$AI526="Electrolysis",
AA526/VLOOKUP(G526,ElectrolysisConvF,3,FALSE),
AC526*10^6/(H2dens*HoursInYear))</f>
        <v>4615.384615</v>
      </c>
      <c r="AC526" s="126">
        <f t="shared" ref="AC526:AC530" si="91">AB526*H2dens*HoursInYear/10^6</f>
        <v>3.598338462</v>
      </c>
      <c r="AD526" s="125"/>
      <c r="AE526" s="125">
        <f t="shared" si="90"/>
        <v>4615.384615</v>
      </c>
      <c r="AF526" s="127" t="s">
        <v>13154</v>
      </c>
      <c r="AG526" s="127">
        <v>51.3247111673379</v>
      </c>
      <c r="AH526" s="127">
        <v>12.024311061848</v>
      </c>
      <c r="AI526" s="115" t="s">
        <v>12383</v>
      </c>
      <c r="AJ526" s="116">
        <v>0.5</v>
      </c>
      <c r="AK526" s="117"/>
      <c r="AL526" s="117"/>
      <c r="AM526" s="117"/>
      <c r="AN526" s="117"/>
      <c r="AO526" s="117"/>
    </row>
    <row r="527" ht="34.5" customHeight="1">
      <c r="A527" s="111">
        <v>898.0</v>
      </c>
      <c r="B527" s="111" t="s">
        <v>8506</v>
      </c>
      <c r="C527" s="111" t="s">
        <v>8021</v>
      </c>
      <c r="D527" s="111">
        <v>2024.0</v>
      </c>
      <c r="E527" s="111"/>
      <c r="F527" s="111" t="s">
        <v>12399</v>
      </c>
      <c r="G527" s="111" t="s">
        <v>12381</v>
      </c>
      <c r="H527" s="111" t="s">
        <v>12230</v>
      </c>
      <c r="I527" s="111" t="s">
        <v>12394</v>
      </c>
      <c r="J527" s="111" t="s">
        <v>12292</v>
      </c>
      <c r="K527" s="111" t="s">
        <v>30</v>
      </c>
      <c r="L527" s="111"/>
      <c r="M527" s="111"/>
      <c r="N527" s="111"/>
      <c r="O527" s="111"/>
      <c r="P527" s="111"/>
      <c r="Q527" s="111"/>
      <c r="R527" s="111"/>
      <c r="S527" s="111">
        <v>1.0</v>
      </c>
      <c r="T527" s="111"/>
      <c r="U527" s="111"/>
      <c r="V527" s="111"/>
      <c r="W527" s="111"/>
      <c r="X527" s="111"/>
      <c r="Y527" s="111"/>
      <c r="Z527" s="111" t="s">
        <v>12703</v>
      </c>
      <c r="AA527" s="124">
        <v>10.0</v>
      </c>
      <c r="AB527" s="125">
        <f>IF(Projects!$AI527="Electrolysis",
AA527/VLOOKUP(G527,ElectrolysisConvF,3,FALSE),
AC527*10^6/(H2dens*HoursInYear))</f>
        <v>2222.222222</v>
      </c>
      <c r="AC527" s="126">
        <f t="shared" si="91"/>
        <v>1.732533333</v>
      </c>
      <c r="AD527" s="125"/>
      <c r="AE527" s="125">
        <f t="shared" si="90"/>
        <v>2222.222222</v>
      </c>
      <c r="AF527" s="127" t="s">
        <v>13155</v>
      </c>
      <c r="AG527" s="127">
        <v>-28.83006868708</v>
      </c>
      <c r="AH527" s="127">
        <v>114.678351483145</v>
      </c>
      <c r="AI527" s="115" t="s">
        <v>12383</v>
      </c>
      <c r="AJ527" s="116">
        <v>0.4</v>
      </c>
      <c r="AK527" s="117"/>
      <c r="AL527" s="117"/>
      <c r="AM527" s="117"/>
      <c r="AN527" s="117"/>
      <c r="AO527" s="117"/>
    </row>
    <row r="528" ht="34.5" customHeight="1">
      <c r="A528" s="111">
        <v>899.0</v>
      </c>
      <c r="B528" s="111" t="s">
        <v>8507</v>
      </c>
      <c r="C528" s="111" t="s">
        <v>8023</v>
      </c>
      <c r="D528" s="111">
        <v>2027.0</v>
      </c>
      <c r="E528" s="111"/>
      <c r="F528" s="111" t="s">
        <v>12399</v>
      </c>
      <c r="G528" s="111" t="s">
        <v>12381</v>
      </c>
      <c r="H528" s="111" t="s">
        <v>12230</v>
      </c>
      <c r="I528" s="111" t="s">
        <v>12394</v>
      </c>
      <c r="J528" s="111" t="s">
        <v>12295</v>
      </c>
      <c r="K528" s="111" t="s">
        <v>30</v>
      </c>
      <c r="L528" s="111">
        <v>1.0</v>
      </c>
      <c r="M528" s="111"/>
      <c r="N528" s="111"/>
      <c r="O528" s="111"/>
      <c r="P528" s="111"/>
      <c r="Q528" s="111"/>
      <c r="R528" s="111"/>
      <c r="S528" s="111"/>
      <c r="T528" s="111"/>
      <c r="U528" s="111"/>
      <c r="V528" s="111"/>
      <c r="W528" s="111"/>
      <c r="X528" s="111"/>
      <c r="Y528" s="111"/>
      <c r="Z528" s="111" t="s">
        <v>12698</v>
      </c>
      <c r="AA528" s="124">
        <v>100.0</v>
      </c>
      <c r="AB528" s="125">
        <f>IF(Projects!$AI528="Electrolysis",
AA528/VLOOKUP(G528,ElectrolysisConvF,3,FALSE),
AC528*10^6/(H2dens*HoursInYear))</f>
        <v>22222.22222</v>
      </c>
      <c r="AC528" s="126">
        <f t="shared" si="91"/>
        <v>17.32533333</v>
      </c>
      <c r="AD528" s="125"/>
      <c r="AE528" s="125">
        <f t="shared" si="90"/>
        <v>22222.22222</v>
      </c>
      <c r="AF528" s="127" t="s">
        <v>13156</v>
      </c>
      <c r="AG528" s="127">
        <v>54.3755637814544</v>
      </c>
      <c r="AH528" s="127">
        <v>18.5870057200261</v>
      </c>
      <c r="AI528" s="115" t="s">
        <v>12383</v>
      </c>
      <c r="AJ528" s="116">
        <v>0.5</v>
      </c>
      <c r="AK528" s="117"/>
      <c r="AL528" s="117"/>
      <c r="AM528" s="117"/>
      <c r="AN528" s="117"/>
      <c r="AO528" s="117"/>
    </row>
    <row r="529" ht="34.5" customHeight="1">
      <c r="A529" s="111">
        <v>900.0</v>
      </c>
      <c r="B529" s="111" t="s">
        <v>8508</v>
      </c>
      <c r="C529" s="111" t="s">
        <v>7987</v>
      </c>
      <c r="D529" s="111">
        <v>2027.0</v>
      </c>
      <c r="E529" s="111"/>
      <c r="F529" s="111" t="s">
        <v>12399</v>
      </c>
      <c r="G529" s="111" t="s">
        <v>12226</v>
      </c>
      <c r="H529" s="111"/>
      <c r="I529" s="111" t="s">
        <v>12394</v>
      </c>
      <c r="J529" s="111" t="s">
        <v>12295</v>
      </c>
      <c r="K529" s="111" t="s">
        <v>30</v>
      </c>
      <c r="L529" s="111"/>
      <c r="M529" s="111"/>
      <c r="N529" s="111"/>
      <c r="O529" s="111"/>
      <c r="P529" s="111"/>
      <c r="Q529" s="111"/>
      <c r="R529" s="111"/>
      <c r="S529" s="111"/>
      <c r="T529" s="111"/>
      <c r="U529" s="111"/>
      <c r="V529" s="111"/>
      <c r="W529" s="111"/>
      <c r="X529" s="111"/>
      <c r="Y529" s="111"/>
      <c r="Z529" s="111" t="s">
        <v>12698</v>
      </c>
      <c r="AA529" s="124">
        <v>100.0</v>
      </c>
      <c r="AB529" s="125">
        <f>IF(Projects!$AI529="Electrolysis",
AA529/VLOOKUP(G529,ElectrolysisConvF,3,FALSE),
AC529*10^6/(H2dens*HoursInYear))</f>
        <v>19230.76923</v>
      </c>
      <c r="AC529" s="126">
        <f t="shared" si="91"/>
        <v>14.99307692</v>
      </c>
      <c r="AD529" s="125"/>
      <c r="AE529" s="125">
        <f t="shared" si="90"/>
        <v>19230.76923</v>
      </c>
      <c r="AF529" s="127" t="s">
        <v>13157</v>
      </c>
      <c r="AG529" s="127">
        <v>53.506730655775</v>
      </c>
      <c r="AH529" s="127">
        <v>9.93654982232032</v>
      </c>
      <c r="AI529" s="115" t="s">
        <v>12383</v>
      </c>
      <c r="AJ529" s="116">
        <v>0.5</v>
      </c>
      <c r="AK529" s="117"/>
      <c r="AL529" s="117"/>
      <c r="AM529" s="117"/>
      <c r="AN529" s="117"/>
      <c r="AO529" s="117"/>
    </row>
    <row r="530" ht="34.5" customHeight="1">
      <c r="A530" s="111">
        <v>902.0</v>
      </c>
      <c r="B530" s="111" t="s">
        <v>8509</v>
      </c>
      <c r="C530" s="111" t="s">
        <v>8021</v>
      </c>
      <c r="D530" s="111">
        <v>2024.0</v>
      </c>
      <c r="E530" s="111"/>
      <c r="F530" s="111" t="s">
        <v>12399</v>
      </c>
      <c r="G530" s="111" t="s">
        <v>12226</v>
      </c>
      <c r="H530" s="111" t="s">
        <v>12230</v>
      </c>
      <c r="I530" s="111" t="s">
        <v>12394</v>
      </c>
      <c r="J530" s="111" t="s">
        <v>12291</v>
      </c>
      <c r="K530" s="111" t="s">
        <v>30</v>
      </c>
      <c r="L530" s="111"/>
      <c r="M530" s="111"/>
      <c r="N530" s="111"/>
      <c r="O530" s="111"/>
      <c r="P530" s="111">
        <v>1.0</v>
      </c>
      <c r="Q530" s="111">
        <v>1.0</v>
      </c>
      <c r="R530" s="111"/>
      <c r="S530" s="111"/>
      <c r="T530" s="111"/>
      <c r="U530" s="111"/>
      <c r="V530" s="111"/>
      <c r="W530" s="111"/>
      <c r="X530" s="111"/>
      <c r="Y530" s="111"/>
      <c r="Z530" s="111" t="s">
        <v>13158</v>
      </c>
      <c r="AA530" s="124">
        <v>2.5</v>
      </c>
      <c r="AB530" s="125">
        <f>IF(Projects!$AI530="Electrolysis",
AA530/VLOOKUP(G530,ElectrolysisConvF,3,FALSE),
AC530*10^6/(H2dens*HoursInYear))</f>
        <v>480.7692308</v>
      </c>
      <c r="AC530" s="126">
        <f t="shared" si="91"/>
        <v>0.3748269231</v>
      </c>
      <c r="AD530" s="125"/>
      <c r="AE530" s="125">
        <f t="shared" si="90"/>
        <v>480.7692308</v>
      </c>
      <c r="AF530" s="127" t="s">
        <v>13159</v>
      </c>
      <c r="AG530" s="127">
        <v>0.0</v>
      </c>
      <c r="AH530" s="127">
        <v>0.0</v>
      </c>
      <c r="AI530" s="115" t="s">
        <v>12383</v>
      </c>
      <c r="AJ530" s="116">
        <v>0.3</v>
      </c>
      <c r="AK530" s="117"/>
      <c r="AL530" s="117"/>
      <c r="AM530" s="117"/>
      <c r="AN530" s="117"/>
      <c r="AO530" s="117"/>
    </row>
    <row r="531" ht="34.5" customHeight="1">
      <c r="A531" s="111">
        <v>903.0</v>
      </c>
      <c r="B531" s="111" t="s">
        <v>8510</v>
      </c>
      <c r="C531" s="111" t="s">
        <v>8388</v>
      </c>
      <c r="D531" s="111">
        <v>2025.0</v>
      </c>
      <c r="E531" s="111"/>
      <c r="F531" s="111" t="s">
        <v>12397</v>
      </c>
      <c r="G531" s="111" t="s">
        <v>12235</v>
      </c>
      <c r="H531" s="111" t="s">
        <v>13160</v>
      </c>
      <c r="I531" s="111"/>
      <c r="J531" s="111"/>
      <c r="K531" s="111" t="s">
        <v>30</v>
      </c>
      <c r="L531" s="111"/>
      <c r="M531" s="111"/>
      <c r="N531" s="111"/>
      <c r="O531" s="111"/>
      <c r="P531" s="111"/>
      <c r="Q531" s="111">
        <v>1.0</v>
      </c>
      <c r="R531" s="111"/>
      <c r="S531" s="111"/>
      <c r="T531" s="111"/>
      <c r="U531" s="111"/>
      <c r="V531" s="111"/>
      <c r="W531" s="111"/>
      <c r="X531" s="111"/>
      <c r="Y531" s="111"/>
      <c r="Z531" s="111" t="s">
        <v>13161</v>
      </c>
      <c r="AA531" s="129" t="str">
        <f>IF(Projects!$AI531="Electrolysis",
AB531*VLOOKUP(G531,ElectrolysisConvF,3,FALSE),
"")</f>
        <v/>
      </c>
      <c r="AB531" s="125">
        <f>AC531*10^6/(H2dens*HoursInYear)</f>
        <v>448.9251449</v>
      </c>
      <c r="AC531" s="126">
        <v>0.35</v>
      </c>
      <c r="AD531" s="125"/>
      <c r="AE531" s="125">
        <f t="shared" si="90"/>
        <v>0</v>
      </c>
      <c r="AF531" s="127" t="s">
        <v>13162</v>
      </c>
      <c r="AG531" s="127">
        <v>0.0</v>
      </c>
      <c r="AH531" s="127">
        <v>0.0</v>
      </c>
      <c r="AI531" s="115" t="s">
        <v>12378</v>
      </c>
      <c r="AJ531" s="116">
        <v>0.9</v>
      </c>
      <c r="AK531" s="117"/>
      <c r="AL531" s="117"/>
      <c r="AM531" s="117"/>
      <c r="AN531" s="117"/>
      <c r="AO531" s="117"/>
    </row>
    <row r="532" ht="34.5" customHeight="1">
      <c r="A532" s="111">
        <v>904.0</v>
      </c>
      <c r="B532" s="111" t="s">
        <v>8511</v>
      </c>
      <c r="C532" s="111" t="s">
        <v>8016</v>
      </c>
      <c r="D532" s="111"/>
      <c r="E532" s="111"/>
      <c r="F532" s="111" t="s">
        <v>12399</v>
      </c>
      <c r="G532" s="111" t="s">
        <v>12381</v>
      </c>
      <c r="H532" s="111" t="s">
        <v>12230</v>
      </c>
      <c r="I532" s="111" t="s">
        <v>12394</v>
      </c>
      <c r="J532" s="111" t="s">
        <v>12294</v>
      </c>
      <c r="K532" s="111" t="s">
        <v>30</v>
      </c>
      <c r="L532" s="111"/>
      <c r="M532" s="111"/>
      <c r="N532" s="111"/>
      <c r="O532" s="111"/>
      <c r="P532" s="111"/>
      <c r="Q532" s="111"/>
      <c r="R532" s="111"/>
      <c r="S532" s="111"/>
      <c r="T532" s="111"/>
      <c r="U532" s="111"/>
      <c r="V532" s="111"/>
      <c r="W532" s="111"/>
      <c r="X532" s="111"/>
      <c r="Y532" s="111"/>
      <c r="Z532" s="111" t="s">
        <v>13163</v>
      </c>
      <c r="AA532" s="126">
        <f>IF(Projects!$AI532="Electrolysis",
AB532*VLOOKUP(G532,ElectrolysisConvF,3,FALSE),
"")</f>
        <v>649.3381561</v>
      </c>
      <c r="AB532" s="126">
        <f>AC532/(H2dens*HoursInYear/10^6)</f>
        <v>144297.368</v>
      </c>
      <c r="AC532" s="125">
        <f>90/Projects!$AJ532</f>
        <v>112.5</v>
      </c>
      <c r="AD532" s="125"/>
      <c r="AE532" s="125">
        <f t="shared" si="90"/>
        <v>144297.368</v>
      </c>
      <c r="AF532" s="127" t="s">
        <v>13164</v>
      </c>
      <c r="AG532" s="127">
        <v>1.55311</v>
      </c>
      <c r="AH532" s="127">
        <v>110.345032</v>
      </c>
      <c r="AI532" s="115" t="s">
        <v>12383</v>
      </c>
      <c r="AJ532" s="116">
        <v>0.8</v>
      </c>
      <c r="AK532" s="117"/>
      <c r="AL532" s="117"/>
      <c r="AM532" s="117"/>
      <c r="AN532" s="117"/>
      <c r="AO532" s="117"/>
    </row>
    <row r="533" ht="34.5" customHeight="1">
      <c r="A533" s="111">
        <v>906.0</v>
      </c>
      <c r="B533" s="111" t="s">
        <v>8512</v>
      </c>
      <c r="C533" s="111" t="s">
        <v>7977</v>
      </c>
      <c r="D533" s="111">
        <v>2025.0</v>
      </c>
      <c r="E533" s="111"/>
      <c r="F533" s="111" t="s">
        <v>12399</v>
      </c>
      <c r="G533" s="111" t="s">
        <v>12381</v>
      </c>
      <c r="H533" s="111" t="s">
        <v>12230</v>
      </c>
      <c r="I533" s="111" t="s">
        <v>12394</v>
      </c>
      <c r="J533" s="111" t="s">
        <v>12292</v>
      </c>
      <c r="K533" s="111" t="s">
        <v>30</v>
      </c>
      <c r="L533" s="111"/>
      <c r="M533" s="111"/>
      <c r="N533" s="111"/>
      <c r="O533" s="111"/>
      <c r="P533" s="111"/>
      <c r="Q533" s="111"/>
      <c r="R533" s="111"/>
      <c r="S533" s="111"/>
      <c r="T533" s="111"/>
      <c r="U533" s="111"/>
      <c r="V533" s="111"/>
      <c r="W533" s="111"/>
      <c r="X533" s="111"/>
      <c r="Y533" s="111"/>
      <c r="Z533" s="111" t="s">
        <v>12698</v>
      </c>
      <c r="AA533" s="124">
        <v>100.0</v>
      </c>
      <c r="AB533" s="125">
        <f>IF(Projects!$AI533="Electrolysis",
AA533/VLOOKUP(G533,ElectrolysisConvF,3,FALSE),
AC533*10^6/(H2dens*HoursInYear))</f>
        <v>22222.22222</v>
      </c>
      <c r="AC533" s="126">
        <f t="shared" ref="AC533:AC542" si="92">AB533*H2dens*HoursInYear/10^6</f>
        <v>17.32533333</v>
      </c>
      <c r="AD533" s="125"/>
      <c r="AE533" s="125">
        <f t="shared" si="90"/>
        <v>22222.22222</v>
      </c>
      <c r="AF533" s="127" t="s">
        <v>13165</v>
      </c>
      <c r="AG533" s="127">
        <v>43.4413266589649</v>
      </c>
      <c r="AH533" s="127">
        <v>-7.86350659159537</v>
      </c>
      <c r="AI533" s="115" t="s">
        <v>12383</v>
      </c>
      <c r="AJ533" s="116">
        <v>0.4</v>
      </c>
      <c r="AK533" s="117"/>
      <c r="AL533" s="117"/>
      <c r="AM533" s="117"/>
      <c r="AN533" s="117"/>
      <c r="AO533" s="117"/>
    </row>
    <row r="534" ht="34.5" customHeight="1">
      <c r="A534" s="111">
        <v>907.0</v>
      </c>
      <c r="B534" s="111" t="s">
        <v>157</v>
      </c>
      <c r="C534" s="111" t="s">
        <v>7987</v>
      </c>
      <c r="D534" s="111">
        <v>2021.0</v>
      </c>
      <c r="E534" s="111"/>
      <c r="F534" s="111" t="s">
        <v>12385</v>
      </c>
      <c r="G534" s="111" t="s">
        <v>12224</v>
      </c>
      <c r="H534" s="111"/>
      <c r="I534" s="111" t="s">
        <v>12406</v>
      </c>
      <c r="J534" s="111" t="str">
        <f>IF(I534&lt;&gt;"Dedicated renewable","N/A",)</f>
        <v>N/A</v>
      </c>
      <c r="K534" s="111" t="s">
        <v>30</v>
      </c>
      <c r="L534" s="111"/>
      <c r="M534" s="111"/>
      <c r="N534" s="111"/>
      <c r="O534" s="111"/>
      <c r="P534" s="111"/>
      <c r="Q534" s="111">
        <v>1.0</v>
      </c>
      <c r="R534" s="111"/>
      <c r="S534" s="111">
        <v>1.0</v>
      </c>
      <c r="T534" s="111"/>
      <c r="U534" s="111"/>
      <c r="V534" s="111"/>
      <c r="W534" s="111"/>
      <c r="X534" s="111"/>
      <c r="Y534" s="111"/>
      <c r="Z534" s="111" t="s">
        <v>12968</v>
      </c>
      <c r="AA534" s="124">
        <v>0.5</v>
      </c>
      <c r="AB534" s="125">
        <f>IF(Projects!$AI534="Electrolysis",
AA534/VLOOKUP(G534,ElectrolysisConvF,3,FALSE),
AC534*10^6/(H2dens*HoursInYear))</f>
        <v>108.6956522</v>
      </c>
      <c r="AC534" s="126">
        <f t="shared" si="92"/>
        <v>0.08474347826</v>
      </c>
      <c r="AD534" s="125"/>
      <c r="AE534" s="125">
        <f t="shared" si="90"/>
        <v>108.6956522</v>
      </c>
      <c r="AF534" s="127" t="s">
        <v>13166</v>
      </c>
      <c r="AG534" s="127">
        <v>48.7310814176287</v>
      </c>
      <c r="AH534" s="127">
        <v>9.318047704285</v>
      </c>
      <c r="AI534" s="115" t="s">
        <v>12383</v>
      </c>
      <c r="AJ534" s="116">
        <v>0.57</v>
      </c>
      <c r="AK534" s="117"/>
      <c r="AL534" s="117"/>
      <c r="AM534" s="117"/>
      <c r="AN534" s="117"/>
      <c r="AO534" s="117"/>
    </row>
    <row r="535" ht="34.5" customHeight="1">
      <c r="A535" s="111">
        <v>910.0</v>
      </c>
      <c r="B535" s="111" t="s">
        <v>8513</v>
      </c>
      <c r="C535" s="111" t="s">
        <v>7977</v>
      </c>
      <c r="D535" s="111">
        <v>2027.0</v>
      </c>
      <c r="E535" s="111"/>
      <c r="F535" s="111" t="s">
        <v>12399</v>
      </c>
      <c r="G535" s="111" t="s">
        <v>12381</v>
      </c>
      <c r="H535" s="111" t="s">
        <v>12230</v>
      </c>
      <c r="I535" s="111" t="s">
        <v>12759</v>
      </c>
      <c r="J535" s="111"/>
      <c r="K535" s="111" t="s">
        <v>30</v>
      </c>
      <c r="L535" s="111"/>
      <c r="M535" s="111"/>
      <c r="N535" s="111"/>
      <c r="O535" s="111"/>
      <c r="P535" s="111"/>
      <c r="Q535" s="111"/>
      <c r="R535" s="111"/>
      <c r="S535" s="111"/>
      <c r="T535" s="111"/>
      <c r="U535" s="111"/>
      <c r="V535" s="111"/>
      <c r="W535" s="111"/>
      <c r="X535" s="111"/>
      <c r="Y535" s="111"/>
      <c r="Z535" s="111" t="s">
        <v>12698</v>
      </c>
      <c r="AA535" s="124">
        <v>100.0</v>
      </c>
      <c r="AB535" s="125">
        <f>IF(Projects!$AI535="Electrolysis",
AA535/VLOOKUP(G535,ElectrolysisConvF,3,FALSE),
AC535*10^6/(H2dens*HoursInYear))</f>
        <v>22222.22222</v>
      </c>
      <c r="AC535" s="126">
        <f t="shared" si="92"/>
        <v>17.32533333</v>
      </c>
      <c r="AD535" s="125"/>
      <c r="AE535" s="125">
        <f t="shared" si="90"/>
        <v>22222.22222</v>
      </c>
      <c r="AF535" s="127" t="s">
        <v>13167</v>
      </c>
      <c r="AG535" s="127">
        <v>37.2619638810127</v>
      </c>
      <c r="AH535" s="127">
        <v>-6.94128464616816</v>
      </c>
      <c r="AI535" s="115" t="s">
        <v>12383</v>
      </c>
      <c r="AJ535" s="116">
        <v>0.7</v>
      </c>
      <c r="AK535" s="117"/>
      <c r="AL535" s="117"/>
      <c r="AM535" s="117"/>
      <c r="AN535" s="117"/>
      <c r="AO535" s="117"/>
    </row>
    <row r="536" ht="34.5" customHeight="1">
      <c r="A536" s="111">
        <v>911.0</v>
      </c>
      <c r="B536" s="111" t="s">
        <v>8514</v>
      </c>
      <c r="C536" s="111" t="s">
        <v>7977</v>
      </c>
      <c r="D536" s="111">
        <v>2028.0</v>
      </c>
      <c r="E536" s="111"/>
      <c r="F536" s="111" t="s">
        <v>12399</v>
      </c>
      <c r="G536" s="111" t="s">
        <v>12381</v>
      </c>
      <c r="H536" s="111" t="s">
        <v>12230</v>
      </c>
      <c r="I536" s="111" t="s">
        <v>12759</v>
      </c>
      <c r="J536" s="111"/>
      <c r="K536" s="111" t="s">
        <v>30</v>
      </c>
      <c r="L536" s="111"/>
      <c r="M536" s="111"/>
      <c r="N536" s="111"/>
      <c r="O536" s="111"/>
      <c r="P536" s="111"/>
      <c r="Q536" s="111"/>
      <c r="R536" s="111"/>
      <c r="S536" s="111"/>
      <c r="T536" s="111"/>
      <c r="U536" s="111"/>
      <c r="V536" s="111"/>
      <c r="W536" s="111"/>
      <c r="X536" s="111"/>
      <c r="Y536" s="111"/>
      <c r="Z536" s="111" t="s">
        <v>13168</v>
      </c>
      <c r="AA536" s="124">
        <v>7.2</v>
      </c>
      <c r="AB536" s="125">
        <f>IF(Projects!$AI536="Electrolysis",
AA536/VLOOKUP(G536,ElectrolysisConvF,3,FALSE),
AC536*10^6/(H2dens*HoursInYear))</f>
        <v>1600</v>
      </c>
      <c r="AC536" s="126">
        <f t="shared" si="92"/>
        <v>1.247424</v>
      </c>
      <c r="AD536" s="125"/>
      <c r="AE536" s="125">
        <f t="shared" si="90"/>
        <v>1600</v>
      </c>
      <c r="AF536" s="127" t="s">
        <v>13167</v>
      </c>
      <c r="AG536" s="127">
        <v>42.4374537317842</v>
      </c>
      <c r="AH536" s="127">
        <v>-2.29122427151663</v>
      </c>
      <c r="AI536" s="115" t="s">
        <v>12383</v>
      </c>
      <c r="AJ536" s="116">
        <v>0.7</v>
      </c>
      <c r="AK536" s="117"/>
      <c r="AL536" s="117"/>
      <c r="AM536" s="117"/>
      <c r="AN536" s="117"/>
      <c r="AO536" s="117"/>
    </row>
    <row r="537" ht="34.5" customHeight="1">
      <c r="A537" s="111">
        <v>913.0</v>
      </c>
      <c r="B537" s="111" t="s">
        <v>8515</v>
      </c>
      <c r="C537" s="111" t="s">
        <v>7977</v>
      </c>
      <c r="D537" s="111">
        <v>2028.0</v>
      </c>
      <c r="E537" s="111"/>
      <c r="F537" s="111" t="s">
        <v>12399</v>
      </c>
      <c r="G537" s="111" t="s">
        <v>12381</v>
      </c>
      <c r="H537" s="111" t="s">
        <v>12230</v>
      </c>
      <c r="I537" s="111" t="s">
        <v>12759</v>
      </c>
      <c r="J537" s="111"/>
      <c r="K537" s="111" t="s">
        <v>30</v>
      </c>
      <c r="L537" s="111"/>
      <c r="M537" s="111"/>
      <c r="N537" s="111"/>
      <c r="O537" s="111"/>
      <c r="P537" s="111"/>
      <c r="Q537" s="111"/>
      <c r="R537" s="111"/>
      <c r="S537" s="111"/>
      <c r="T537" s="111"/>
      <c r="U537" s="111"/>
      <c r="V537" s="111"/>
      <c r="W537" s="111"/>
      <c r="X537" s="111"/>
      <c r="Y537" s="111"/>
      <c r="Z537" s="111" t="s">
        <v>13169</v>
      </c>
      <c r="AA537" s="124">
        <v>15.0</v>
      </c>
      <c r="AB537" s="125">
        <f>IF(Projects!$AI537="Electrolysis",
AA537/VLOOKUP(G537,ElectrolysisConvF,3,FALSE),
AC537*10^6/(H2dens*HoursInYear))</f>
        <v>3333.333333</v>
      </c>
      <c r="AC537" s="126">
        <f t="shared" si="92"/>
        <v>2.5988</v>
      </c>
      <c r="AD537" s="125"/>
      <c r="AE537" s="125">
        <f t="shared" si="90"/>
        <v>3333.333333</v>
      </c>
      <c r="AF537" s="127" t="s">
        <v>13167</v>
      </c>
      <c r="AG537" s="127">
        <v>40.3456788668752</v>
      </c>
      <c r="AH537" s="127">
        <v>-1.1063896443893</v>
      </c>
      <c r="AI537" s="115" t="s">
        <v>12383</v>
      </c>
      <c r="AJ537" s="116">
        <v>0.7</v>
      </c>
      <c r="AK537" s="117"/>
      <c r="AL537" s="117"/>
      <c r="AM537" s="117"/>
      <c r="AN537" s="117"/>
      <c r="AO537" s="117"/>
    </row>
    <row r="538" ht="34.5" customHeight="1">
      <c r="A538" s="111">
        <v>914.0</v>
      </c>
      <c r="B538" s="111" t="s">
        <v>8516</v>
      </c>
      <c r="C538" s="111" t="s">
        <v>7977</v>
      </c>
      <c r="D538" s="111">
        <v>2026.0</v>
      </c>
      <c r="E538" s="111"/>
      <c r="F538" s="111" t="s">
        <v>12399</v>
      </c>
      <c r="G538" s="111" t="s">
        <v>12381</v>
      </c>
      <c r="H538" s="111" t="s">
        <v>12230</v>
      </c>
      <c r="I538" s="111" t="s">
        <v>12759</v>
      </c>
      <c r="J538" s="111"/>
      <c r="K538" s="111" t="s">
        <v>30</v>
      </c>
      <c r="L538" s="111"/>
      <c r="M538" s="111"/>
      <c r="N538" s="111"/>
      <c r="O538" s="111"/>
      <c r="P538" s="111"/>
      <c r="Q538" s="111"/>
      <c r="R538" s="111"/>
      <c r="S538" s="111"/>
      <c r="T538" s="111"/>
      <c r="U538" s="111"/>
      <c r="V538" s="111"/>
      <c r="W538" s="111"/>
      <c r="X538" s="111"/>
      <c r="Y538" s="111"/>
      <c r="Z538" s="111" t="s">
        <v>13170</v>
      </c>
      <c r="AA538" s="124">
        <v>50.0</v>
      </c>
      <c r="AB538" s="125">
        <f>IF(Projects!$AI538="Electrolysis",
AA538/VLOOKUP(G538,ElectrolysisConvF,3,FALSE),
AC538*10^6/(H2dens*HoursInYear))</f>
        <v>11111.11111</v>
      </c>
      <c r="AC538" s="126">
        <f t="shared" si="92"/>
        <v>8.662666667</v>
      </c>
      <c r="AD538" s="125"/>
      <c r="AE538" s="125">
        <f t="shared" si="90"/>
        <v>11111.11111</v>
      </c>
      <c r="AF538" s="127" t="s">
        <v>13167</v>
      </c>
      <c r="AG538" s="127">
        <v>36.8337805501154</v>
      </c>
      <c r="AH538" s="127">
        <v>-2.46467047823525</v>
      </c>
      <c r="AI538" s="115" t="s">
        <v>12383</v>
      </c>
      <c r="AJ538" s="116">
        <v>0.7</v>
      </c>
      <c r="AK538" s="117"/>
      <c r="AL538" s="117"/>
      <c r="AM538" s="117"/>
      <c r="AN538" s="117"/>
      <c r="AO538" s="117"/>
    </row>
    <row r="539" ht="34.5" customHeight="1">
      <c r="A539" s="111">
        <v>915.0</v>
      </c>
      <c r="B539" s="111" t="s">
        <v>8517</v>
      </c>
      <c r="C539" s="111" t="s">
        <v>7977</v>
      </c>
      <c r="D539" s="111">
        <v>2025.0</v>
      </c>
      <c r="E539" s="111"/>
      <c r="F539" s="111" t="s">
        <v>12399</v>
      </c>
      <c r="G539" s="111" t="s">
        <v>12381</v>
      </c>
      <c r="H539" s="111" t="s">
        <v>12230</v>
      </c>
      <c r="I539" s="111" t="s">
        <v>12394</v>
      </c>
      <c r="J539" s="111" t="s">
        <v>12291</v>
      </c>
      <c r="K539" s="111" t="s">
        <v>30</v>
      </c>
      <c r="L539" s="111"/>
      <c r="M539" s="111"/>
      <c r="N539" s="111"/>
      <c r="O539" s="111"/>
      <c r="P539" s="111"/>
      <c r="Q539" s="111"/>
      <c r="R539" s="111"/>
      <c r="S539" s="111"/>
      <c r="T539" s="111"/>
      <c r="U539" s="111"/>
      <c r="V539" s="111"/>
      <c r="W539" s="111"/>
      <c r="X539" s="111"/>
      <c r="Y539" s="111"/>
      <c r="Z539" s="111" t="s">
        <v>12386</v>
      </c>
      <c r="AA539" s="124">
        <v>7.0</v>
      </c>
      <c r="AB539" s="125">
        <f>IF(Projects!$AI539="Electrolysis",
AA539/VLOOKUP(G539,ElectrolysisConvF,3,FALSE),
AC539*10^6/(H2dens*HoursInYear))</f>
        <v>1555.555556</v>
      </c>
      <c r="AC539" s="126">
        <f t="shared" si="92"/>
        <v>1.212773333</v>
      </c>
      <c r="AD539" s="125"/>
      <c r="AE539" s="125">
        <f t="shared" si="90"/>
        <v>1555.555556</v>
      </c>
      <c r="AF539" s="127" t="s">
        <v>13167</v>
      </c>
      <c r="AG539" s="127">
        <v>27.8743676461958</v>
      </c>
      <c r="AH539" s="127">
        <v>-15.5066711471455</v>
      </c>
      <c r="AI539" s="115" t="s">
        <v>12383</v>
      </c>
      <c r="AJ539" s="116">
        <v>0.3</v>
      </c>
      <c r="AK539" s="117"/>
      <c r="AL539" s="117"/>
      <c r="AM539" s="117"/>
      <c r="AN539" s="117"/>
      <c r="AO539" s="117"/>
    </row>
    <row r="540" ht="34.5" customHeight="1">
      <c r="A540" s="111">
        <v>916.0</v>
      </c>
      <c r="B540" s="111" t="s">
        <v>8518</v>
      </c>
      <c r="C540" s="111" t="s">
        <v>7977</v>
      </c>
      <c r="D540" s="111">
        <v>2025.0</v>
      </c>
      <c r="E540" s="111"/>
      <c r="F540" s="111" t="s">
        <v>12399</v>
      </c>
      <c r="G540" s="111" t="s">
        <v>12381</v>
      </c>
      <c r="H540" s="111" t="s">
        <v>12230</v>
      </c>
      <c r="I540" s="111" t="s">
        <v>12394</v>
      </c>
      <c r="J540" s="111" t="s">
        <v>12295</v>
      </c>
      <c r="K540" s="111" t="s">
        <v>30</v>
      </c>
      <c r="L540" s="111"/>
      <c r="M540" s="111"/>
      <c r="N540" s="111"/>
      <c r="O540" s="111"/>
      <c r="P540" s="111"/>
      <c r="Q540" s="111"/>
      <c r="R540" s="111"/>
      <c r="S540" s="111"/>
      <c r="T540" s="111"/>
      <c r="U540" s="111"/>
      <c r="V540" s="111"/>
      <c r="W540" s="111"/>
      <c r="X540" s="111"/>
      <c r="Y540" s="111"/>
      <c r="Z540" s="111" t="s">
        <v>12703</v>
      </c>
      <c r="AA540" s="124">
        <v>10.0</v>
      </c>
      <c r="AB540" s="125">
        <f>IF(Projects!$AI540="Electrolysis",
AA540/VLOOKUP(G540,ElectrolysisConvF,3,FALSE),
AC540*10^6/(H2dens*HoursInYear))</f>
        <v>2222.222222</v>
      </c>
      <c r="AC540" s="126">
        <f t="shared" si="92"/>
        <v>1.732533333</v>
      </c>
      <c r="AD540" s="125"/>
      <c r="AE540" s="125">
        <f t="shared" si="90"/>
        <v>2222.222222</v>
      </c>
      <c r="AF540" s="127" t="s">
        <v>13167</v>
      </c>
      <c r="AG540" s="127">
        <v>28.1224887893731</v>
      </c>
      <c r="AH540" s="127">
        <v>-16.5755993192827</v>
      </c>
      <c r="AI540" s="115" t="s">
        <v>12383</v>
      </c>
      <c r="AJ540" s="116">
        <v>0.5</v>
      </c>
      <c r="AK540" s="117"/>
      <c r="AL540" s="117"/>
      <c r="AM540" s="117"/>
      <c r="AN540" s="117"/>
      <c r="AO540" s="117"/>
    </row>
    <row r="541" ht="34.5" customHeight="1">
      <c r="A541" s="111">
        <v>918.0</v>
      </c>
      <c r="B541" s="111" t="s">
        <v>8519</v>
      </c>
      <c r="C541" s="111" t="s">
        <v>7977</v>
      </c>
      <c r="D541" s="111"/>
      <c r="E541" s="111"/>
      <c r="F541" s="111" t="s">
        <v>12399</v>
      </c>
      <c r="G541" s="111" t="s">
        <v>12381</v>
      </c>
      <c r="H541" s="111" t="s">
        <v>12230</v>
      </c>
      <c r="I541" s="111" t="s">
        <v>12394</v>
      </c>
      <c r="J541" s="111" t="s">
        <v>12293</v>
      </c>
      <c r="K541" s="111" t="s">
        <v>30</v>
      </c>
      <c r="L541" s="111"/>
      <c r="M541" s="111"/>
      <c r="N541" s="111"/>
      <c r="O541" s="111"/>
      <c r="P541" s="111">
        <v>1.0</v>
      </c>
      <c r="Q541" s="111"/>
      <c r="R541" s="111"/>
      <c r="S541" s="111"/>
      <c r="T541" s="111"/>
      <c r="U541" s="111"/>
      <c r="V541" s="111"/>
      <c r="W541" s="111"/>
      <c r="X541" s="111"/>
      <c r="Y541" s="111"/>
      <c r="Z541" s="111" t="s">
        <v>12835</v>
      </c>
      <c r="AA541" s="124">
        <v>5.0</v>
      </c>
      <c r="AB541" s="125">
        <f>IF(Projects!$AI541="Electrolysis",
AA541/VLOOKUP(G541,ElectrolysisConvF,3,FALSE),
AC541*10^6/(H2dens*HoursInYear))</f>
        <v>1111.111111</v>
      </c>
      <c r="AC541" s="126">
        <f t="shared" si="92"/>
        <v>0.8662666667</v>
      </c>
      <c r="AD541" s="125"/>
      <c r="AE541" s="125">
        <f t="shared" ref="AE541:AE542" si="93">AB541</f>
        <v>1111.111111</v>
      </c>
      <c r="AF541" s="127" t="s">
        <v>13171</v>
      </c>
      <c r="AG541" s="127">
        <v>43.4647373329506</v>
      </c>
      <c r="AH541" s="127">
        <v>-5.94612306154232</v>
      </c>
      <c r="AI541" s="115" t="s">
        <v>12383</v>
      </c>
      <c r="AJ541" s="116">
        <v>0.55</v>
      </c>
      <c r="AK541" s="117"/>
      <c r="AL541" s="117"/>
      <c r="AM541" s="117"/>
      <c r="AN541" s="117"/>
      <c r="AO541" s="117"/>
    </row>
    <row r="542" ht="34.5" customHeight="1">
      <c r="A542" s="111">
        <v>919.0</v>
      </c>
      <c r="B542" s="111" t="s">
        <v>8520</v>
      </c>
      <c r="C542" s="111" t="s">
        <v>7977</v>
      </c>
      <c r="D542" s="111"/>
      <c r="E542" s="111"/>
      <c r="F542" s="111" t="s">
        <v>12399</v>
      </c>
      <c r="G542" s="111" t="s">
        <v>12381</v>
      </c>
      <c r="H542" s="111" t="s">
        <v>12230</v>
      </c>
      <c r="I542" s="111" t="s">
        <v>12394</v>
      </c>
      <c r="J542" s="111" t="s">
        <v>12293</v>
      </c>
      <c r="K542" s="111" t="s">
        <v>30</v>
      </c>
      <c r="L542" s="111"/>
      <c r="M542" s="111"/>
      <c r="N542" s="111"/>
      <c r="O542" s="111"/>
      <c r="P542" s="111">
        <v>1.0</v>
      </c>
      <c r="Q542" s="111"/>
      <c r="R542" s="111"/>
      <c r="S542" s="111"/>
      <c r="T542" s="111"/>
      <c r="U542" s="111"/>
      <c r="V542" s="111"/>
      <c r="W542" s="111"/>
      <c r="X542" s="111"/>
      <c r="Y542" s="111"/>
      <c r="Z542" s="111" t="s">
        <v>13172</v>
      </c>
      <c r="AA542" s="124">
        <v>100.0</v>
      </c>
      <c r="AB542" s="125">
        <f>IF(Projects!$AI542="Electrolysis",
AA542/VLOOKUP(G542,ElectrolysisConvF,3,FALSE),
AC542*10^6/(H2dens*HoursInYear))</f>
        <v>22222.22222</v>
      </c>
      <c r="AC542" s="126">
        <f t="shared" si="92"/>
        <v>17.32533333</v>
      </c>
      <c r="AD542" s="125"/>
      <c r="AE542" s="125">
        <f t="shared" si="93"/>
        <v>22222.22222</v>
      </c>
      <c r="AF542" s="127" t="s">
        <v>13171</v>
      </c>
      <c r="AG542" s="127">
        <v>43.4647373329506</v>
      </c>
      <c r="AH542" s="127">
        <v>-5.94612306154232</v>
      </c>
      <c r="AI542" s="115" t="s">
        <v>12383</v>
      </c>
      <c r="AJ542" s="116">
        <v>0.55</v>
      </c>
      <c r="AK542" s="117"/>
      <c r="AL542" s="117"/>
      <c r="AM542" s="117"/>
      <c r="AN542" s="117"/>
      <c r="AO542" s="117"/>
    </row>
    <row r="543" ht="34.5" customHeight="1">
      <c r="A543" s="111">
        <v>920.0</v>
      </c>
      <c r="B543" s="111" t="s">
        <v>8521</v>
      </c>
      <c r="C543" s="111" t="s">
        <v>7991</v>
      </c>
      <c r="D543" s="111">
        <v>2030.0</v>
      </c>
      <c r="E543" s="111"/>
      <c r="F543" s="111" t="s">
        <v>12399</v>
      </c>
      <c r="G543" s="111" t="s">
        <v>12235</v>
      </c>
      <c r="H543" s="111" t="s">
        <v>12529</v>
      </c>
      <c r="I543" s="111"/>
      <c r="J543" s="111"/>
      <c r="K543" s="111" t="s">
        <v>30</v>
      </c>
      <c r="L543" s="111">
        <v>1.0</v>
      </c>
      <c r="M543" s="111"/>
      <c r="N543" s="111"/>
      <c r="O543" s="111"/>
      <c r="P543" s="111">
        <v>1.0</v>
      </c>
      <c r="Q543" s="111">
        <v>1.0</v>
      </c>
      <c r="R543" s="111">
        <v>1.0</v>
      </c>
      <c r="S543" s="111">
        <v>1.0</v>
      </c>
      <c r="T543" s="111"/>
      <c r="U543" s="111"/>
      <c r="V543" s="111"/>
      <c r="W543" s="111"/>
      <c r="X543" s="111"/>
      <c r="Y543" s="111"/>
      <c r="Z543" s="111" t="s">
        <v>13173</v>
      </c>
      <c r="AA543" s="124"/>
      <c r="AB543" s="125">
        <f>AC543/365/24/0.089*10^6</f>
        <v>1038941.05</v>
      </c>
      <c r="AC543" s="126">
        <f>(30-3)*3.6/0.12</f>
        <v>810</v>
      </c>
      <c r="AD543" s="131">
        <f>8.1*10^6-AD1910-AD90</f>
        <v>7450000</v>
      </c>
      <c r="AE543" s="125">
        <f t="shared" ref="AE543:AE544" si="94">IF(AND(G543&lt;&gt;"NG w CCUS",G543&lt;&gt;"Oil w CCUS",G543&lt;&gt;"Coal w CCUS"),AB543,AD543*10^3/(HoursInYear*IF(G543="NG w CCUS",0.9105,1.9075)))</f>
        <v>934054.4986</v>
      </c>
      <c r="AF543" s="127" t="s">
        <v>12533</v>
      </c>
      <c r="AG543" s="127">
        <v>53.277031209918</v>
      </c>
      <c r="AH543" s="127">
        <v>-2.84186914778824</v>
      </c>
      <c r="AI543" s="115" t="s">
        <v>12378</v>
      </c>
      <c r="AJ543" s="116">
        <v>0.9</v>
      </c>
      <c r="AK543" s="117"/>
      <c r="AL543" s="117"/>
      <c r="AM543" s="117"/>
      <c r="AN543" s="117"/>
      <c r="AO543" s="117"/>
    </row>
    <row r="544" ht="34.5" customHeight="1">
      <c r="A544" s="111">
        <v>921.0</v>
      </c>
      <c r="B544" s="111" t="s">
        <v>8522</v>
      </c>
      <c r="C544" s="111" t="s">
        <v>8011</v>
      </c>
      <c r="D544" s="111">
        <v>2023.0</v>
      </c>
      <c r="E544" s="111"/>
      <c r="F544" s="111" t="s">
        <v>12385</v>
      </c>
      <c r="G544" s="111" t="s">
        <v>12224</v>
      </c>
      <c r="H544" s="111"/>
      <c r="I544" s="111" t="s">
        <v>12406</v>
      </c>
      <c r="J544" s="111"/>
      <c r="K544" s="111" t="s">
        <v>30</v>
      </c>
      <c r="L544" s="111"/>
      <c r="M544" s="111"/>
      <c r="N544" s="111"/>
      <c r="O544" s="111"/>
      <c r="P544" s="111"/>
      <c r="Q544" s="111">
        <v>1.0</v>
      </c>
      <c r="R544" s="111"/>
      <c r="S544" s="111"/>
      <c r="T544" s="111"/>
      <c r="U544" s="111"/>
      <c r="V544" s="111"/>
      <c r="W544" s="111"/>
      <c r="X544" s="111"/>
      <c r="Y544" s="111"/>
      <c r="Z544" s="111" t="s">
        <v>12424</v>
      </c>
      <c r="AA544" s="124">
        <v>2.0</v>
      </c>
      <c r="AB544" s="125">
        <f>IF(Projects!$AI544="Electrolysis",
AA544/VLOOKUP(G544,ElectrolysisConvF,3,FALSE),
AC544*10^6/(H2dens*HoursInYear))</f>
        <v>434.7826087</v>
      </c>
      <c r="AC544" s="126">
        <f>AB544*H2dens*HoursInYear/10^6</f>
        <v>0.338973913</v>
      </c>
      <c r="AD544" s="125"/>
      <c r="AE544" s="125">
        <f t="shared" si="94"/>
        <v>434.7826087</v>
      </c>
      <c r="AF544" s="127" t="s">
        <v>13174</v>
      </c>
      <c r="AG544" s="127">
        <v>45.7761475011321</v>
      </c>
      <c r="AH544" s="127">
        <v>3.09519718475507</v>
      </c>
      <c r="AI544" s="115" t="s">
        <v>12383</v>
      </c>
      <c r="AJ544" s="116">
        <v>0.57</v>
      </c>
      <c r="AK544" s="117"/>
      <c r="AL544" s="117"/>
      <c r="AM544" s="117"/>
      <c r="AN544" s="117"/>
      <c r="AO544" s="117"/>
    </row>
    <row r="545" ht="34.5" customHeight="1">
      <c r="A545" s="111">
        <v>922.0</v>
      </c>
      <c r="B545" s="111" t="s">
        <v>8523</v>
      </c>
      <c r="C545" s="111" t="s">
        <v>7977</v>
      </c>
      <c r="D545" s="111">
        <v>2026.0</v>
      </c>
      <c r="E545" s="111"/>
      <c r="F545" s="111" t="s">
        <v>12399</v>
      </c>
      <c r="G545" s="111" t="s">
        <v>12226</v>
      </c>
      <c r="H545" s="111"/>
      <c r="I545" s="111" t="s">
        <v>12394</v>
      </c>
      <c r="J545" s="111" t="s">
        <v>12295</v>
      </c>
      <c r="K545" s="111" t="s">
        <v>174</v>
      </c>
      <c r="L545" s="111"/>
      <c r="M545" s="111"/>
      <c r="N545" s="111"/>
      <c r="O545" s="111"/>
      <c r="P545" s="111"/>
      <c r="Q545" s="111"/>
      <c r="R545" s="111"/>
      <c r="S545" s="111"/>
      <c r="T545" s="111"/>
      <c r="U545" s="111"/>
      <c r="V545" s="111"/>
      <c r="W545" s="111"/>
      <c r="X545" s="111"/>
      <c r="Y545" s="111"/>
      <c r="Z545" s="111"/>
      <c r="AA545" s="124"/>
      <c r="AB545" s="125"/>
      <c r="AC545" s="126"/>
      <c r="AD545" s="125"/>
      <c r="AE545" s="125"/>
      <c r="AF545" s="127" t="s">
        <v>13175</v>
      </c>
      <c r="AG545" s="127">
        <v>43.4362990600377</v>
      </c>
      <c r="AH545" s="127">
        <v>-3.80398480978786</v>
      </c>
      <c r="AI545" s="115" t="s">
        <v>12383</v>
      </c>
      <c r="AJ545" s="116">
        <v>0.5</v>
      </c>
      <c r="AK545" s="117"/>
      <c r="AL545" s="117"/>
      <c r="AM545" s="117"/>
      <c r="AN545" s="117"/>
      <c r="AO545" s="117"/>
    </row>
    <row r="546" ht="34.5" customHeight="1">
      <c r="A546" s="111">
        <v>924.0</v>
      </c>
      <c r="B546" s="111" t="s">
        <v>8524</v>
      </c>
      <c r="C546" s="111" t="s">
        <v>8021</v>
      </c>
      <c r="D546" s="111">
        <v>2024.0</v>
      </c>
      <c r="E546" s="111"/>
      <c r="F546" s="111" t="s">
        <v>12393</v>
      </c>
      <c r="G546" s="111" t="s">
        <v>12226</v>
      </c>
      <c r="H546" s="111"/>
      <c r="I546" s="111" t="s">
        <v>12394</v>
      </c>
      <c r="J546" s="111" t="s">
        <v>12291</v>
      </c>
      <c r="K546" s="111" t="s">
        <v>30</v>
      </c>
      <c r="L546" s="111"/>
      <c r="M546" s="111"/>
      <c r="N546" s="111"/>
      <c r="O546" s="111"/>
      <c r="P546" s="111"/>
      <c r="Q546" s="111">
        <v>1.0</v>
      </c>
      <c r="R546" s="111">
        <v>1.0</v>
      </c>
      <c r="S546" s="111"/>
      <c r="T546" s="111"/>
      <c r="U546" s="111"/>
      <c r="V546" s="111"/>
      <c r="W546" s="111"/>
      <c r="X546" s="111"/>
      <c r="Y546" s="111"/>
      <c r="Z546" s="111" t="s">
        <v>12908</v>
      </c>
      <c r="AA546" s="124">
        <v>1.0</v>
      </c>
      <c r="AB546" s="125">
        <f>IF(Projects!$AI546="Electrolysis",
AA546/VLOOKUP(G546,ElectrolysisConvF,3,FALSE),
AC546*10^6/(H2dens*HoursInYear))</f>
        <v>192.3076923</v>
      </c>
      <c r="AC546" s="126">
        <f>AB546*H2dens*HoursInYear/10^6</f>
        <v>0.1499307692</v>
      </c>
      <c r="AD546" s="125"/>
      <c r="AE546" s="125">
        <f t="shared" ref="AE546:AE575" si="95">IF(AND(G546&lt;&gt;"NG w CCUS",G546&lt;&gt;"Oil w CCUS",G546&lt;&gt;"Coal w CCUS"),AB546,AD546*10^3/(HoursInYear*IF(G546="NG w CCUS",0.9105,1.9075)))</f>
        <v>192.3076923</v>
      </c>
      <c r="AF546" s="127" t="s">
        <v>13176</v>
      </c>
      <c r="AG546" s="127">
        <v>-26.914849</v>
      </c>
      <c r="AH546" s="127">
        <v>150.747104</v>
      </c>
      <c r="AI546" s="115" t="s">
        <v>12383</v>
      </c>
      <c r="AJ546" s="116">
        <v>0.3</v>
      </c>
      <c r="AK546" s="117"/>
      <c r="AL546" s="117"/>
      <c r="AM546" s="117"/>
      <c r="AN546" s="117"/>
      <c r="AO546" s="117"/>
    </row>
    <row r="547" ht="34.5" customHeight="1">
      <c r="A547" s="111">
        <v>925.0</v>
      </c>
      <c r="B547" s="111" t="s">
        <v>8525</v>
      </c>
      <c r="C547" s="111" t="s">
        <v>8371</v>
      </c>
      <c r="D547" s="111"/>
      <c r="E547" s="111"/>
      <c r="F547" s="111" t="s">
        <v>12393</v>
      </c>
      <c r="G547" s="111" t="s">
        <v>12381</v>
      </c>
      <c r="H547" s="111" t="s">
        <v>12230</v>
      </c>
      <c r="I547" s="111" t="s">
        <v>12394</v>
      </c>
      <c r="J547" s="111" t="s">
        <v>12295</v>
      </c>
      <c r="K547" s="111" t="s">
        <v>12481</v>
      </c>
      <c r="L547" s="111"/>
      <c r="M547" s="111"/>
      <c r="N547" s="111"/>
      <c r="O547" s="111"/>
      <c r="P547" s="111"/>
      <c r="Q547" s="111">
        <v>1.0</v>
      </c>
      <c r="R547" s="111"/>
      <c r="S547" s="111"/>
      <c r="T547" s="111"/>
      <c r="U547" s="111"/>
      <c r="V547" s="111"/>
      <c r="W547" s="111">
        <v>1.0</v>
      </c>
      <c r="X547" s="111"/>
      <c r="Y547" s="111"/>
      <c r="Z547" s="111" t="s">
        <v>13177</v>
      </c>
      <c r="AA547" s="129">
        <f>IF(Projects!$AI547="Electrolysis",
AB547*VLOOKUP(G547,ElectrolysisConvF,3,FALSE),
"")</f>
        <v>5.771894721</v>
      </c>
      <c r="AB547" s="125">
        <f>AC547/(H2dens*HoursInYear/10^6)</f>
        <v>1282.643271</v>
      </c>
      <c r="AC547" s="126">
        <v>1.0</v>
      </c>
      <c r="AD547" s="125"/>
      <c r="AE547" s="125">
        <f t="shared" si="95"/>
        <v>1282.643271</v>
      </c>
      <c r="AF547" s="127" t="s">
        <v>13178</v>
      </c>
      <c r="AG547" s="127">
        <v>24.4852421565258</v>
      </c>
      <c r="AH547" s="127">
        <v>54.3927280389778</v>
      </c>
      <c r="AI547" s="115" t="s">
        <v>12383</v>
      </c>
      <c r="AJ547" s="116">
        <v>0.5</v>
      </c>
      <c r="AK547" s="117"/>
      <c r="AL547" s="117"/>
      <c r="AM547" s="117"/>
      <c r="AN547" s="117"/>
      <c r="AO547" s="117"/>
    </row>
    <row r="548" ht="34.5" customHeight="1">
      <c r="A548" s="111">
        <v>926.0</v>
      </c>
      <c r="B548" s="111" t="s">
        <v>8526</v>
      </c>
      <c r="C548" s="111" t="s">
        <v>7974</v>
      </c>
      <c r="D548" s="111"/>
      <c r="E548" s="111"/>
      <c r="F548" s="111" t="s">
        <v>12399</v>
      </c>
      <c r="G548" s="111" t="s">
        <v>12381</v>
      </c>
      <c r="H548" s="111" t="s">
        <v>12230</v>
      </c>
      <c r="I548" s="111" t="s">
        <v>12394</v>
      </c>
      <c r="J548" s="111" t="s">
        <v>12295</v>
      </c>
      <c r="K548" s="111" t="s">
        <v>30</v>
      </c>
      <c r="L548" s="111"/>
      <c r="M548" s="111"/>
      <c r="N548" s="111"/>
      <c r="O548" s="111"/>
      <c r="P548" s="111"/>
      <c r="Q548" s="111"/>
      <c r="R548" s="111"/>
      <c r="S548" s="111"/>
      <c r="T548" s="111"/>
      <c r="U548" s="111"/>
      <c r="V548" s="111">
        <v>1.0</v>
      </c>
      <c r="W548" s="111"/>
      <c r="X548" s="111"/>
      <c r="Y548" s="111"/>
      <c r="Z548" s="111" t="s">
        <v>12768</v>
      </c>
      <c r="AA548" s="124">
        <v>50.0</v>
      </c>
      <c r="AB548" s="125">
        <f>IF(Projects!$AI548="Electrolysis",
AA548/VLOOKUP(G548,ElectrolysisConvF,3,FALSE),
AC548*10^6/(H2dens*HoursInYear))</f>
        <v>11111.11111</v>
      </c>
      <c r="AC548" s="126">
        <f t="shared" ref="AC548:AC559" si="96">AB548*H2dens*HoursInYear/10^6</f>
        <v>8.662666667</v>
      </c>
      <c r="AD548" s="125"/>
      <c r="AE548" s="125">
        <f t="shared" si="95"/>
        <v>11111.11111</v>
      </c>
      <c r="AF548" s="127"/>
      <c r="AG548" s="127">
        <v>58.3506380753564</v>
      </c>
      <c r="AH548" s="127">
        <v>11.4360084573101</v>
      </c>
      <c r="AI548" s="115" t="s">
        <v>12383</v>
      </c>
      <c r="AJ548" s="116">
        <v>0.5</v>
      </c>
      <c r="AK548" s="117"/>
      <c r="AL548" s="117"/>
      <c r="AM548" s="117"/>
      <c r="AN548" s="117"/>
      <c r="AO548" s="117"/>
    </row>
    <row r="549" ht="34.5" customHeight="1">
      <c r="A549" s="111">
        <v>927.0</v>
      </c>
      <c r="B549" s="111" t="s">
        <v>8527</v>
      </c>
      <c r="C549" s="111" t="s">
        <v>7967</v>
      </c>
      <c r="D549" s="111">
        <v>2028.0</v>
      </c>
      <c r="E549" s="111"/>
      <c r="F549" s="111" t="s">
        <v>12399</v>
      </c>
      <c r="G549" s="111" t="s">
        <v>12226</v>
      </c>
      <c r="H549" s="111"/>
      <c r="I549" s="111" t="s">
        <v>12394</v>
      </c>
      <c r="J549" s="111" t="s">
        <v>12293</v>
      </c>
      <c r="K549" s="111" t="s">
        <v>30</v>
      </c>
      <c r="L549" s="111"/>
      <c r="M549" s="111"/>
      <c r="N549" s="111"/>
      <c r="O549" s="111"/>
      <c r="P549" s="111"/>
      <c r="Q549" s="111"/>
      <c r="R549" s="111"/>
      <c r="S549" s="111"/>
      <c r="T549" s="111"/>
      <c r="U549" s="111"/>
      <c r="V549" s="111"/>
      <c r="W549" s="111"/>
      <c r="X549" s="111"/>
      <c r="Y549" s="111"/>
      <c r="Z549" s="111" t="s">
        <v>12698</v>
      </c>
      <c r="AA549" s="124">
        <v>100.0</v>
      </c>
      <c r="AB549" s="125">
        <f>IF(Projects!$AI549="Electrolysis",
AA549/VLOOKUP(G549,ElectrolysisConvF,3,FALSE),
AC549*10^6/(H2dens*HoursInYear))</f>
        <v>19230.76923</v>
      </c>
      <c r="AC549" s="126">
        <f t="shared" si="96"/>
        <v>14.99307692</v>
      </c>
      <c r="AD549" s="125"/>
      <c r="AE549" s="125">
        <f t="shared" si="95"/>
        <v>19230.76923</v>
      </c>
      <c r="AF549" s="127" t="s">
        <v>13179</v>
      </c>
      <c r="AG549" s="127">
        <v>51.9633154414089</v>
      </c>
      <c r="AH549" s="127">
        <v>4.02257408758894</v>
      </c>
      <c r="AI549" s="115" t="s">
        <v>12383</v>
      </c>
      <c r="AJ549" s="116">
        <v>0.55</v>
      </c>
      <c r="AK549" s="117"/>
      <c r="AL549" s="117"/>
      <c r="AM549" s="117"/>
      <c r="AN549" s="117"/>
      <c r="AO549" s="117"/>
    </row>
    <row r="550" ht="34.5" customHeight="1">
      <c r="A550" s="111">
        <v>928.0</v>
      </c>
      <c r="B550" s="111" t="s">
        <v>8528</v>
      </c>
      <c r="C550" s="111" t="s">
        <v>7967</v>
      </c>
      <c r="D550" s="111">
        <v>2030.0</v>
      </c>
      <c r="E550" s="111"/>
      <c r="F550" s="111" t="s">
        <v>12399</v>
      </c>
      <c r="G550" s="111" t="s">
        <v>12381</v>
      </c>
      <c r="H550" s="111" t="s">
        <v>12230</v>
      </c>
      <c r="I550" s="111" t="s">
        <v>12394</v>
      </c>
      <c r="J550" s="111" t="s">
        <v>12293</v>
      </c>
      <c r="K550" s="111" t="s">
        <v>30</v>
      </c>
      <c r="L550" s="111"/>
      <c r="M550" s="111"/>
      <c r="N550" s="111"/>
      <c r="O550" s="111"/>
      <c r="P550" s="111"/>
      <c r="Q550" s="111"/>
      <c r="R550" s="111"/>
      <c r="S550" s="111"/>
      <c r="T550" s="111"/>
      <c r="U550" s="111"/>
      <c r="V550" s="111"/>
      <c r="W550" s="111"/>
      <c r="X550" s="111"/>
      <c r="Y550" s="111"/>
      <c r="Z550" s="111" t="s">
        <v>13069</v>
      </c>
      <c r="AA550" s="124">
        <v>400.0</v>
      </c>
      <c r="AB550" s="125">
        <f>IF(Projects!$AI550="Electrolysis",
AA550/VLOOKUP(G550,ElectrolysisConvF,3,FALSE),
AC550*10^6/(H2dens*HoursInYear))</f>
        <v>88888.88889</v>
      </c>
      <c r="AC550" s="126">
        <f t="shared" si="96"/>
        <v>69.30133333</v>
      </c>
      <c r="AD550" s="125"/>
      <c r="AE550" s="125">
        <f t="shared" si="95"/>
        <v>88888.88889</v>
      </c>
      <c r="AF550" s="127" t="s">
        <v>13180</v>
      </c>
      <c r="AG550" s="127">
        <v>51.9633154414089</v>
      </c>
      <c r="AH550" s="127">
        <v>4.02257408758894</v>
      </c>
      <c r="AI550" s="115" t="s">
        <v>12383</v>
      </c>
      <c r="AJ550" s="116">
        <v>0.55</v>
      </c>
      <c r="AK550" s="117"/>
      <c r="AL550" s="117"/>
      <c r="AM550" s="117"/>
      <c r="AN550" s="117"/>
      <c r="AO550" s="117"/>
    </row>
    <row r="551" ht="34.5" customHeight="1">
      <c r="A551" s="111">
        <v>929.0</v>
      </c>
      <c r="B551" s="111" t="s">
        <v>8529</v>
      </c>
      <c r="C551" s="111" t="s">
        <v>8021</v>
      </c>
      <c r="D551" s="111">
        <v>2025.0</v>
      </c>
      <c r="E551" s="111"/>
      <c r="F551" s="111" t="s">
        <v>12393</v>
      </c>
      <c r="G551" s="111" t="s">
        <v>12224</v>
      </c>
      <c r="H551" s="111"/>
      <c r="I551" s="111" t="s">
        <v>12394</v>
      </c>
      <c r="J551" s="111" t="s">
        <v>12295</v>
      </c>
      <c r="K551" s="111" t="s">
        <v>30</v>
      </c>
      <c r="L551" s="111"/>
      <c r="M551" s="111"/>
      <c r="N551" s="111"/>
      <c r="O551" s="111"/>
      <c r="P551" s="111"/>
      <c r="Q551" s="111"/>
      <c r="R551" s="111"/>
      <c r="S551" s="111">
        <v>1.0</v>
      </c>
      <c r="T551" s="111"/>
      <c r="U551" s="111"/>
      <c r="V551" s="111"/>
      <c r="W551" s="111"/>
      <c r="X551" s="111"/>
      <c r="Y551" s="111"/>
      <c r="Z551" s="111" t="s">
        <v>12703</v>
      </c>
      <c r="AA551" s="124">
        <v>10.0</v>
      </c>
      <c r="AB551" s="125">
        <f>IF(Projects!$AI551="Electrolysis",
AA551/VLOOKUP(G551,ElectrolysisConvF,3,FALSE),
AC551*10^6/(H2dens*HoursInYear))</f>
        <v>2173.913043</v>
      </c>
      <c r="AC551" s="126">
        <f t="shared" si="96"/>
        <v>1.694869565</v>
      </c>
      <c r="AD551" s="125"/>
      <c r="AE551" s="125">
        <f t="shared" si="95"/>
        <v>2173.913043</v>
      </c>
      <c r="AF551" s="127" t="s">
        <v>13181</v>
      </c>
      <c r="AG551" s="127">
        <v>-36.1178304691026</v>
      </c>
      <c r="AH551" s="127">
        <v>146.878647819972</v>
      </c>
      <c r="AI551" s="115" t="s">
        <v>12383</v>
      </c>
      <c r="AJ551" s="116">
        <v>0.5</v>
      </c>
      <c r="AK551" s="117"/>
      <c r="AL551" s="117"/>
      <c r="AM551" s="117"/>
      <c r="AN551" s="117"/>
      <c r="AO551" s="117"/>
    </row>
    <row r="552" ht="34.5" customHeight="1">
      <c r="A552" s="111">
        <v>931.0</v>
      </c>
      <c r="B552" s="111" t="s">
        <v>8530</v>
      </c>
      <c r="C552" s="111" t="s">
        <v>7977</v>
      </c>
      <c r="D552" s="111">
        <v>2026.0</v>
      </c>
      <c r="E552" s="111"/>
      <c r="F552" s="111" t="s">
        <v>12399</v>
      </c>
      <c r="G552" s="111" t="s">
        <v>12224</v>
      </c>
      <c r="H552" s="111"/>
      <c r="I552" s="111" t="s">
        <v>12394</v>
      </c>
      <c r="J552" s="111" t="s">
        <v>12295</v>
      </c>
      <c r="K552" s="111" t="s">
        <v>30</v>
      </c>
      <c r="L552" s="111"/>
      <c r="M552" s="111"/>
      <c r="N552" s="111"/>
      <c r="O552" s="111"/>
      <c r="P552" s="111">
        <v>1.0</v>
      </c>
      <c r="Q552" s="111"/>
      <c r="R552" s="111"/>
      <c r="S552" s="111"/>
      <c r="T552" s="111"/>
      <c r="U552" s="111"/>
      <c r="V552" s="111"/>
      <c r="W552" s="111"/>
      <c r="X552" s="111"/>
      <c r="Y552" s="111"/>
      <c r="Z552" s="111" t="s">
        <v>12698</v>
      </c>
      <c r="AA552" s="124">
        <v>100.0</v>
      </c>
      <c r="AB552" s="125">
        <f>IF(Projects!$AI552="Electrolysis",
AA552/VLOOKUP(G552,ElectrolysisConvF,3,FALSE),
AC552*10^6/(H2dens*HoursInYear))</f>
        <v>21739.13043</v>
      </c>
      <c r="AC552" s="126">
        <f t="shared" si="96"/>
        <v>16.94869565</v>
      </c>
      <c r="AD552" s="125"/>
      <c r="AE552" s="125">
        <f t="shared" si="95"/>
        <v>21739.13043</v>
      </c>
      <c r="AF552" s="127" t="s">
        <v>13182</v>
      </c>
      <c r="AG552" s="127">
        <v>39.9870635585894</v>
      </c>
      <c r="AH552" s="127">
        <v>-0.0502947145619979</v>
      </c>
      <c r="AI552" s="115" t="s">
        <v>12383</v>
      </c>
      <c r="AJ552" s="116">
        <v>0.5</v>
      </c>
      <c r="AK552" s="117"/>
      <c r="AL552" s="117"/>
      <c r="AM552" s="117"/>
      <c r="AN552" s="117"/>
      <c r="AO552" s="117"/>
    </row>
    <row r="553" ht="34.5" customHeight="1">
      <c r="A553" s="111">
        <v>932.0</v>
      </c>
      <c r="B553" s="111" t="s">
        <v>8531</v>
      </c>
      <c r="C553" s="111" t="s">
        <v>8047</v>
      </c>
      <c r="D553" s="111">
        <v>2026.0</v>
      </c>
      <c r="E553" s="111"/>
      <c r="F553" s="111" t="s">
        <v>12399</v>
      </c>
      <c r="G553" s="111" t="s">
        <v>12226</v>
      </c>
      <c r="H553" s="111"/>
      <c r="I553" s="111" t="s">
        <v>12759</v>
      </c>
      <c r="J553" s="111"/>
      <c r="K553" s="111" t="s">
        <v>30</v>
      </c>
      <c r="L553" s="111">
        <v>1.0</v>
      </c>
      <c r="M553" s="111"/>
      <c r="N553" s="111"/>
      <c r="O553" s="111"/>
      <c r="P553" s="111"/>
      <c r="Q553" s="111"/>
      <c r="R553" s="111"/>
      <c r="S553" s="111"/>
      <c r="T553" s="111"/>
      <c r="U553" s="111"/>
      <c r="V553" s="111"/>
      <c r="W553" s="111"/>
      <c r="X553" s="111"/>
      <c r="Y553" s="111"/>
      <c r="Z553" s="111" t="s">
        <v>12589</v>
      </c>
      <c r="AA553" s="124">
        <v>20.0</v>
      </c>
      <c r="AB553" s="125">
        <f>IF(Projects!$AI553="Electrolysis",
AA553/VLOOKUP(G553,ElectrolysisConvF,3,FALSE),
AC553*10^6/(H2dens*HoursInYear))</f>
        <v>3846.153846</v>
      </c>
      <c r="AC553" s="126">
        <f t="shared" si="96"/>
        <v>2.998615385</v>
      </c>
      <c r="AD553" s="125"/>
      <c r="AE553" s="125">
        <f t="shared" si="95"/>
        <v>3846.153846</v>
      </c>
      <c r="AF553" s="127" t="s">
        <v>13183</v>
      </c>
      <c r="AG553" s="127">
        <v>39.0867230620476</v>
      </c>
      <c r="AH553" s="127">
        <v>9.02206468835765</v>
      </c>
      <c r="AI553" s="115" t="s">
        <v>12383</v>
      </c>
      <c r="AJ553" s="116">
        <v>0.7</v>
      </c>
      <c r="AK553" s="117"/>
      <c r="AL553" s="117"/>
      <c r="AM553" s="117"/>
      <c r="AN553" s="117"/>
      <c r="AO553" s="117"/>
    </row>
    <row r="554" ht="34.5" customHeight="1">
      <c r="A554" s="111">
        <v>933.0</v>
      </c>
      <c r="B554" s="111" t="s">
        <v>418</v>
      </c>
      <c r="C554" s="111" t="s">
        <v>8011</v>
      </c>
      <c r="D554" s="111">
        <v>2025.0</v>
      </c>
      <c r="E554" s="111"/>
      <c r="F554" s="111" t="s">
        <v>12393</v>
      </c>
      <c r="G554" s="111" t="s">
        <v>12381</v>
      </c>
      <c r="H554" s="111" t="s">
        <v>12230</v>
      </c>
      <c r="I554" s="111" t="s">
        <v>12394</v>
      </c>
      <c r="J554" s="111" t="s">
        <v>12295</v>
      </c>
      <c r="K554" s="111" t="s">
        <v>30</v>
      </c>
      <c r="L554" s="111"/>
      <c r="M554" s="111"/>
      <c r="N554" s="111"/>
      <c r="O554" s="111"/>
      <c r="P554" s="111"/>
      <c r="Q554" s="111">
        <v>1.0</v>
      </c>
      <c r="R554" s="111"/>
      <c r="S554" s="111"/>
      <c r="T554" s="111"/>
      <c r="U554" s="111"/>
      <c r="V554" s="111"/>
      <c r="W554" s="111"/>
      <c r="X554" s="111"/>
      <c r="Y554" s="111"/>
      <c r="Z554" s="111" t="s">
        <v>12395</v>
      </c>
      <c r="AA554" s="124">
        <v>2.5</v>
      </c>
      <c r="AB554" s="125">
        <f>IF(Projects!$AI554="Electrolysis",
AA554/VLOOKUP(G554,ElectrolysisConvF,3,FALSE),
AC554*10^6/(H2dens*HoursInYear))</f>
        <v>555.5555556</v>
      </c>
      <c r="AC554" s="126">
        <f t="shared" si="96"/>
        <v>0.4331333333</v>
      </c>
      <c r="AD554" s="125"/>
      <c r="AE554" s="125">
        <f t="shared" si="95"/>
        <v>555.5555556</v>
      </c>
      <c r="AF554" s="127" t="s">
        <v>13184</v>
      </c>
      <c r="AG554" s="127">
        <v>48.7788789906249</v>
      </c>
      <c r="AH554" s="127">
        <v>2.43687449998177</v>
      </c>
      <c r="AI554" s="115" t="s">
        <v>12383</v>
      </c>
      <c r="AJ554" s="116">
        <v>0.5</v>
      </c>
      <c r="AK554" s="117"/>
      <c r="AL554" s="117"/>
      <c r="AM554" s="117"/>
      <c r="AN554" s="117"/>
      <c r="AO554" s="117"/>
    </row>
    <row r="555" ht="34.5" customHeight="1">
      <c r="A555" s="111">
        <v>934.0</v>
      </c>
      <c r="B555" s="111" t="s">
        <v>8532</v>
      </c>
      <c r="C555" s="111" t="s">
        <v>7981</v>
      </c>
      <c r="D555" s="111">
        <v>2018.0</v>
      </c>
      <c r="E555" s="111"/>
      <c r="F555" s="111" t="s">
        <v>12385</v>
      </c>
      <c r="G555" s="111" t="s">
        <v>12226</v>
      </c>
      <c r="H555" s="111"/>
      <c r="I555" s="111" t="s">
        <v>12287</v>
      </c>
      <c r="J555" s="111"/>
      <c r="K555" s="111" t="s">
        <v>30</v>
      </c>
      <c r="L555" s="111"/>
      <c r="M555" s="111"/>
      <c r="N555" s="111"/>
      <c r="O555" s="111"/>
      <c r="P555" s="111"/>
      <c r="Q555" s="111">
        <v>1.0</v>
      </c>
      <c r="R555" s="111"/>
      <c r="S555" s="111"/>
      <c r="T555" s="111"/>
      <c r="U555" s="111"/>
      <c r="V555" s="111"/>
      <c r="W555" s="111"/>
      <c r="X555" s="111"/>
      <c r="Y555" s="111"/>
      <c r="Z555" s="111" t="s">
        <v>12720</v>
      </c>
      <c r="AA555" s="124">
        <v>2.0</v>
      </c>
      <c r="AB555" s="125">
        <f>IF(Projects!$AI555="Electrolysis",
AA555/VLOOKUP(G555,ElectrolysisConvF,3,FALSE),
AC555*10^6/(H2dens*HoursInYear))</f>
        <v>384.6153846</v>
      </c>
      <c r="AC555" s="126">
        <f t="shared" si="96"/>
        <v>0.2998615385</v>
      </c>
      <c r="AD555" s="125"/>
      <c r="AE555" s="125">
        <f t="shared" si="95"/>
        <v>384.6153846</v>
      </c>
      <c r="AF555" s="127" t="s">
        <v>13185</v>
      </c>
      <c r="AG555" s="127">
        <v>33.8335398275229</v>
      </c>
      <c r="AH555" s="127">
        <v>-116.550900734962</v>
      </c>
      <c r="AI555" s="115" t="s">
        <v>12383</v>
      </c>
      <c r="AJ555" s="116">
        <v>0.57</v>
      </c>
      <c r="AK555" s="117"/>
      <c r="AL555" s="117"/>
      <c r="AM555" s="117"/>
      <c r="AN555" s="117"/>
      <c r="AO555" s="117"/>
    </row>
    <row r="556" ht="34.5" customHeight="1">
      <c r="A556" s="111">
        <v>936.0</v>
      </c>
      <c r="B556" s="111" t="s">
        <v>8533</v>
      </c>
      <c r="C556" s="111" t="s">
        <v>7974</v>
      </c>
      <c r="D556" s="111">
        <v>2025.0</v>
      </c>
      <c r="E556" s="111"/>
      <c r="F556" s="111" t="s">
        <v>12393</v>
      </c>
      <c r="G556" s="111" t="s">
        <v>12224</v>
      </c>
      <c r="H556" s="111"/>
      <c r="I556" s="111" t="s">
        <v>12394</v>
      </c>
      <c r="J556" s="111" t="s">
        <v>12294</v>
      </c>
      <c r="K556" s="111" t="s">
        <v>30</v>
      </c>
      <c r="L556" s="111"/>
      <c r="M556" s="111"/>
      <c r="N556" s="111"/>
      <c r="O556" s="111">
        <v>1.0</v>
      </c>
      <c r="P556" s="111"/>
      <c r="Q556" s="111"/>
      <c r="R556" s="111"/>
      <c r="S556" s="111"/>
      <c r="T556" s="111"/>
      <c r="U556" s="111"/>
      <c r="V556" s="111"/>
      <c r="W556" s="111"/>
      <c r="X556" s="111"/>
      <c r="Y556" s="111"/>
      <c r="Z556" s="111" t="s">
        <v>13186</v>
      </c>
      <c r="AA556" s="124">
        <v>800.0</v>
      </c>
      <c r="AB556" s="125">
        <f>IF(Projects!$AI556="Electrolysis",
AA556/VLOOKUP(G556,ElectrolysisConvF,3,FALSE),
AC556*10^6/(H2dens*HoursInYear))</f>
        <v>173913.0435</v>
      </c>
      <c r="AC556" s="126">
        <f t="shared" si="96"/>
        <v>135.5895652</v>
      </c>
      <c r="AD556" s="125"/>
      <c r="AE556" s="125">
        <f t="shared" si="95"/>
        <v>173913.0435</v>
      </c>
      <c r="AF556" s="127" t="s">
        <v>13187</v>
      </c>
      <c r="AG556" s="127">
        <v>65.8289892026369</v>
      </c>
      <c r="AH556" s="127">
        <v>21.6904535018585</v>
      </c>
      <c r="AI556" s="115" t="s">
        <v>12383</v>
      </c>
      <c r="AJ556" s="116">
        <v>0.8</v>
      </c>
      <c r="AK556" s="117"/>
      <c r="AL556" s="117"/>
      <c r="AM556" s="117"/>
      <c r="AN556" s="117"/>
      <c r="AO556" s="117"/>
    </row>
    <row r="557" ht="34.5" customHeight="1">
      <c r="A557" s="111">
        <v>937.0</v>
      </c>
      <c r="B557" s="111" t="s">
        <v>8534</v>
      </c>
      <c r="C557" s="111" t="s">
        <v>7981</v>
      </c>
      <c r="D557" s="111">
        <v>2025.0</v>
      </c>
      <c r="E557" s="111"/>
      <c r="F557" s="111" t="s">
        <v>12393</v>
      </c>
      <c r="G557" s="111" t="s">
        <v>12226</v>
      </c>
      <c r="H557" s="111"/>
      <c r="I557" s="111" t="s">
        <v>12394</v>
      </c>
      <c r="J557" s="111" t="s">
        <v>12294</v>
      </c>
      <c r="K557" s="111" t="s">
        <v>30</v>
      </c>
      <c r="L557" s="111"/>
      <c r="M557" s="111"/>
      <c r="N557" s="111"/>
      <c r="O557" s="111"/>
      <c r="P557" s="111"/>
      <c r="Q557" s="111">
        <v>1.0</v>
      </c>
      <c r="R557" s="111"/>
      <c r="S557" s="111"/>
      <c r="T557" s="111"/>
      <c r="U557" s="111"/>
      <c r="V557" s="111"/>
      <c r="W557" s="111"/>
      <c r="X557" s="111"/>
      <c r="Y557" s="111"/>
      <c r="Z557" s="111" t="s">
        <v>12548</v>
      </c>
      <c r="AA557" s="124">
        <v>120.0</v>
      </c>
      <c r="AB557" s="125">
        <f>IF(Projects!$AI557="Electrolysis",
AA557/VLOOKUP(G557,ElectrolysisConvF,3,FALSE),
AC557*10^6/(H2dens*HoursInYear))</f>
        <v>23076.92308</v>
      </c>
      <c r="AC557" s="126">
        <f t="shared" si="96"/>
        <v>17.99169231</v>
      </c>
      <c r="AD557" s="125"/>
      <c r="AE557" s="125">
        <f t="shared" si="95"/>
        <v>23076.92308</v>
      </c>
      <c r="AF557" s="127" t="s">
        <v>13188</v>
      </c>
      <c r="AG557" s="127">
        <v>43.0964478</v>
      </c>
      <c r="AH557" s="127">
        <v>-78.3908559</v>
      </c>
      <c r="AI557" s="115" t="s">
        <v>12383</v>
      </c>
      <c r="AJ557" s="116">
        <v>0.8</v>
      </c>
      <c r="AK557" s="117"/>
      <c r="AL557" s="117"/>
      <c r="AM557" s="117"/>
      <c r="AN557" s="117"/>
      <c r="AO557" s="117"/>
    </row>
    <row r="558" ht="34.5" customHeight="1">
      <c r="A558" s="111">
        <v>938.0</v>
      </c>
      <c r="B558" s="111" t="s">
        <v>8535</v>
      </c>
      <c r="C558" s="111" t="s">
        <v>7977</v>
      </c>
      <c r="D558" s="111">
        <v>2023.0</v>
      </c>
      <c r="E558" s="111"/>
      <c r="F558" s="111" t="s">
        <v>12385</v>
      </c>
      <c r="G558" s="111" t="s">
        <v>12224</v>
      </c>
      <c r="H558" s="111"/>
      <c r="I558" s="111" t="s">
        <v>12394</v>
      </c>
      <c r="J558" s="111" t="s">
        <v>12296</v>
      </c>
      <c r="K558" s="111" t="s">
        <v>30</v>
      </c>
      <c r="L558" s="111">
        <v>1.0</v>
      </c>
      <c r="M558" s="111"/>
      <c r="N558" s="111"/>
      <c r="O558" s="111"/>
      <c r="P558" s="111"/>
      <c r="Q558" s="111">
        <v>1.0</v>
      </c>
      <c r="R558" s="111"/>
      <c r="S558" s="111"/>
      <c r="T558" s="111"/>
      <c r="U558" s="111"/>
      <c r="V558" s="111"/>
      <c r="W558" s="111"/>
      <c r="X558" s="111"/>
      <c r="Y558" s="111"/>
      <c r="Z558" s="111" t="s">
        <v>12395</v>
      </c>
      <c r="AA558" s="124">
        <v>2.5</v>
      </c>
      <c r="AB558" s="125">
        <f>IF(Projects!$AI558="Electrolysis",
AA558/VLOOKUP(G558,ElectrolysisConvF,3,FALSE),
AC558*10^6/(H2dens*HoursInYear))</f>
        <v>543.4782609</v>
      </c>
      <c r="AC558" s="126">
        <f t="shared" si="96"/>
        <v>0.4237173913</v>
      </c>
      <c r="AD558" s="125"/>
      <c r="AE558" s="125">
        <f t="shared" si="95"/>
        <v>543.4782609</v>
      </c>
      <c r="AF558" s="127" t="s">
        <v>13189</v>
      </c>
      <c r="AG558" s="127">
        <v>43.3255995287192</v>
      </c>
      <c r="AH558" s="127">
        <v>-3.11395301897643</v>
      </c>
      <c r="AI558" s="115" t="s">
        <v>12383</v>
      </c>
      <c r="AJ558" s="116">
        <v>0.5</v>
      </c>
      <c r="AK558" s="132"/>
      <c r="AL558" s="132"/>
      <c r="AM558" s="132"/>
      <c r="AN558" s="132"/>
      <c r="AO558" s="132"/>
    </row>
    <row r="559" ht="34.5" customHeight="1">
      <c r="A559" s="133">
        <v>939.0</v>
      </c>
      <c r="B559" s="133" t="s">
        <v>8536</v>
      </c>
      <c r="C559" s="137" t="s">
        <v>8537</v>
      </c>
      <c r="D559" s="133">
        <v>2030.0</v>
      </c>
      <c r="E559" s="133"/>
      <c r="F559" s="133" t="s">
        <v>12397</v>
      </c>
      <c r="G559" s="133" t="s">
        <v>12381</v>
      </c>
      <c r="H559" s="133" t="s">
        <v>12230</v>
      </c>
      <c r="I559" s="133" t="s">
        <v>12394</v>
      </c>
      <c r="J559" s="133" t="s">
        <v>12295</v>
      </c>
      <c r="K559" s="133" t="s">
        <v>30</v>
      </c>
      <c r="L559" s="133"/>
      <c r="M559" s="133"/>
      <c r="N559" s="133"/>
      <c r="O559" s="133"/>
      <c r="P559" s="133">
        <v>1.0</v>
      </c>
      <c r="Q559" s="133">
        <v>1.0</v>
      </c>
      <c r="R559" s="133"/>
      <c r="S559" s="133">
        <v>1.0</v>
      </c>
      <c r="T559" s="133"/>
      <c r="U559" s="133"/>
      <c r="V559" s="133"/>
      <c r="W559" s="133"/>
      <c r="X559" s="133"/>
      <c r="Y559" s="133"/>
      <c r="Z559" s="133" t="s">
        <v>13190</v>
      </c>
      <c r="AA559" s="134"/>
      <c r="AB559" s="135"/>
      <c r="AC559" s="136">
        <f t="shared" si="96"/>
        <v>0</v>
      </c>
      <c r="AD559" s="135"/>
      <c r="AE559" s="135" t="str">
        <f t="shared" si="95"/>
        <v/>
      </c>
      <c r="AF559" s="137" t="s">
        <v>13191</v>
      </c>
      <c r="AG559" s="137">
        <v>0.0</v>
      </c>
      <c r="AH559" s="137">
        <v>0.0</v>
      </c>
      <c r="AI559" s="115" t="s">
        <v>12383</v>
      </c>
      <c r="AJ559" s="116">
        <v>0.5</v>
      </c>
      <c r="AK559" s="117"/>
      <c r="AL559" s="117"/>
      <c r="AM559" s="117"/>
      <c r="AN559" s="117"/>
      <c r="AO559" s="117"/>
    </row>
    <row r="560" ht="34.5" customHeight="1">
      <c r="A560" s="111">
        <v>940.0</v>
      </c>
      <c r="B560" s="111" t="s">
        <v>8538</v>
      </c>
      <c r="C560" s="111" t="s">
        <v>8539</v>
      </c>
      <c r="D560" s="111">
        <v>2025.0</v>
      </c>
      <c r="E560" s="111"/>
      <c r="F560" s="111" t="s">
        <v>12399</v>
      </c>
      <c r="G560" s="111" t="s">
        <v>12235</v>
      </c>
      <c r="H560" s="111" t="s">
        <v>13160</v>
      </c>
      <c r="I560" s="111"/>
      <c r="J560" s="111"/>
      <c r="K560" s="111" t="s">
        <v>30</v>
      </c>
      <c r="L560" s="111"/>
      <c r="M560" s="111"/>
      <c r="N560" s="111"/>
      <c r="O560" s="111"/>
      <c r="P560" s="111"/>
      <c r="Q560" s="111"/>
      <c r="R560" s="111"/>
      <c r="S560" s="111"/>
      <c r="T560" s="111"/>
      <c r="U560" s="111"/>
      <c r="V560" s="111"/>
      <c r="W560" s="111"/>
      <c r="X560" s="111"/>
      <c r="Y560" s="111"/>
      <c r="Z560" s="111" t="s">
        <v>13192</v>
      </c>
      <c r="AA560" s="124" t="str">
        <f>IF(OR(G560="ALK",G560="PEM",G560="SOEC",G560="Other Electrolysis"),
AB560*VLOOKUP(G560,ElectrolysisConvF,3,FALSE),
"")</f>
        <v/>
      </c>
      <c r="AB560" s="125">
        <f>IF(Projects!$AI560="Electrolysis",
AA560/VLOOKUP(G560,ElectrolysisConvF,3,FALSE),
AC560*10^6/(H2dens*HoursInYear))</f>
        <v>320660.8178</v>
      </c>
      <c r="AC560" s="126">
        <v>250.0</v>
      </c>
      <c r="AD560" s="125">
        <v>150000.0</v>
      </c>
      <c r="AE560" s="125">
        <f t="shared" si="95"/>
        <v>18806.46642</v>
      </c>
      <c r="AF560" s="127" t="s">
        <v>13193</v>
      </c>
      <c r="AG560" s="127">
        <v>36.3471900389458</v>
      </c>
      <c r="AH560" s="127">
        <v>126.546228050541</v>
      </c>
      <c r="AI560" s="115" t="s">
        <v>12378</v>
      </c>
      <c r="AJ560" s="116">
        <v>0.9</v>
      </c>
      <c r="AK560" s="117"/>
      <c r="AL560" s="117"/>
      <c r="AM560" s="117"/>
      <c r="AN560" s="117"/>
      <c r="AO560" s="117"/>
    </row>
    <row r="561" ht="34.5" customHeight="1">
      <c r="A561" s="111">
        <v>941.0</v>
      </c>
      <c r="B561" s="111" t="s">
        <v>8540</v>
      </c>
      <c r="C561" s="111" t="s">
        <v>7981</v>
      </c>
      <c r="D561" s="111">
        <v>2023.0</v>
      </c>
      <c r="E561" s="111"/>
      <c r="F561" s="111" t="s">
        <v>12385</v>
      </c>
      <c r="G561" s="111" t="s">
        <v>12226</v>
      </c>
      <c r="H561" s="111"/>
      <c r="I561" s="111" t="s">
        <v>12394</v>
      </c>
      <c r="J561" s="111" t="s">
        <v>12291</v>
      </c>
      <c r="K561" s="111" t="s">
        <v>30</v>
      </c>
      <c r="L561" s="111"/>
      <c r="M561" s="111"/>
      <c r="N561" s="111"/>
      <c r="O561" s="111"/>
      <c r="P561" s="111"/>
      <c r="Q561" s="111"/>
      <c r="R561" s="111">
        <v>1.0</v>
      </c>
      <c r="S561" s="111"/>
      <c r="T561" s="111"/>
      <c r="U561" s="111"/>
      <c r="V561" s="111"/>
      <c r="W561" s="111"/>
      <c r="X561" s="111"/>
      <c r="Y561" s="111"/>
      <c r="Z561" s="111" t="s">
        <v>12700</v>
      </c>
      <c r="AA561" s="124">
        <v>25.0</v>
      </c>
      <c r="AB561" s="125">
        <f>IF(Projects!$AI561="Electrolysis",
AA561/VLOOKUP(G561,ElectrolysisConvF,3,FALSE),
AC561*10^6/(H2dens*HoursInYear))</f>
        <v>4807.692308</v>
      </c>
      <c r="AC561" s="126">
        <f t="shared" ref="AC561:AC562" si="97">AB561*H2dens*HoursInYear/10^6</f>
        <v>3.748269231</v>
      </c>
      <c r="AD561" s="125"/>
      <c r="AE561" s="125">
        <f t="shared" si="95"/>
        <v>4807.692308</v>
      </c>
      <c r="AF561" s="127" t="s">
        <v>13194</v>
      </c>
      <c r="AG561" s="127">
        <v>27.6435890582378</v>
      </c>
      <c r="AH561" s="127">
        <v>-80.7899252629661</v>
      </c>
      <c r="AI561" s="115" t="s">
        <v>12383</v>
      </c>
      <c r="AJ561" s="116">
        <v>0.3</v>
      </c>
      <c r="AK561" s="117"/>
      <c r="AL561" s="117"/>
      <c r="AM561" s="117"/>
      <c r="AN561" s="117"/>
      <c r="AO561" s="117"/>
    </row>
    <row r="562" ht="34.5" customHeight="1">
      <c r="A562" s="111">
        <v>942.0</v>
      </c>
      <c r="B562" s="111" t="s">
        <v>8541</v>
      </c>
      <c r="C562" s="111" t="s">
        <v>7987</v>
      </c>
      <c r="D562" s="111">
        <v>2027.0</v>
      </c>
      <c r="E562" s="111"/>
      <c r="F562" s="111" t="s">
        <v>12393</v>
      </c>
      <c r="G562" s="111" t="s">
        <v>12226</v>
      </c>
      <c r="H562" s="111"/>
      <c r="I562" s="111" t="s">
        <v>12406</v>
      </c>
      <c r="J562" s="111"/>
      <c r="K562" s="111" t="s">
        <v>30</v>
      </c>
      <c r="L562" s="111">
        <v>1.0</v>
      </c>
      <c r="M562" s="111"/>
      <c r="N562" s="111"/>
      <c r="O562" s="111"/>
      <c r="P562" s="111"/>
      <c r="Q562" s="111"/>
      <c r="R562" s="111"/>
      <c r="S562" s="111"/>
      <c r="T562" s="111"/>
      <c r="U562" s="111"/>
      <c r="V562" s="111"/>
      <c r="W562" s="111">
        <v>1.0</v>
      </c>
      <c r="X562" s="111"/>
      <c r="Y562" s="111"/>
      <c r="Z562" s="111" t="s">
        <v>12698</v>
      </c>
      <c r="AA562" s="124">
        <v>100.0</v>
      </c>
      <c r="AB562" s="125">
        <f>IF(Projects!$AI562="Electrolysis",
AA562/VLOOKUP(G562,ElectrolysisConvF,3,FALSE),
AC562*10^6/(H2dens*HoursInYear))</f>
        <v>19230.76923</v>
      </c>
      <c r="AC562" s="126">
        <f t="shared" si="97"/>
        <v>14.99307692</v>
      </c>
      <c r="AD562" s="125"/>
      <c r="AE562" s="125">
        <f t="shared" si="95"/>
        <v>19230.76923</v>
      </c>
      <c r="AF562" s="127" t="s">
        <v>13195</v>
      </c>
      <c r="AG562" s="127">
        <v>50.8605615564851</v>
      </c>
      <c r="AH562" s="127">
        <v>6.98058161550651</v>
      </c>
      <c r="AI562" s="115" t="s">
        <v>12383</v>
      </c>
      <c r="AJ562" s="116">
        <v>0.57</v>
      </c>
      <c r="AK562" s="117"/>
      <c r="AL562" s="117"/>
      <c r="AM562" s="117"/>
      <c r="AN562" s="117"/>
      <c r="AO562" s="117"/>
    </row>
    <row r="563" ht="34.5" customHeight="1">
      <c r="A563" s="111">
        <v>943.0</v>
      </c>
      <c r="B563" s="111" t="s">
        <v>8542</v>
      </c>
      <c r="C563" s="111" t="s">
        <v>7977</v>
      </c>
      <c r="D563" s="111">
        <v>2022.0</v>
      </c>
      <c r="E563" s="111"/>
      <c r="F563" s="111" t="s">
        <v>12385</v>
      </c>
      <c r="G563" s="111" t="s">
        <v>12226</v>
      </c>
      <c r="H563" s="111"/>
      <c r="I563" s="111" t="s">
        <v>12394</v>
      </c>
      <c r="J563" s="111" t="s">
        <v>12291</v>
      </c>
      <c r="K563" s="111" t="s">
        <v>30</v>
      </c>
      <c r="L563" s="111"/>
      <c r="M563" s="111"/>
      <c r="N563" s="111"/>
      <c r="O563" s="111"/>
      <c r="P563" s="111"/>
      <c r="Q563" s="111">
        <v>1.0</v>
      </c>
      <c r="R563" s="111"/>
      <c r="S563" s="111"/>
      <c r="T563" s="111"/>
      <c r="U563" s="111"/>
      <c r="V563" s="111"/>
      <c r="W563" s="111"/>
      <c r="X563" s="111"/>
      <c r="Y563" s="111"/>
      <c r="Z563" s="111" t="s">
        <v>13196</v>
      </c>
      <c r="AA563" s="129">
        <f>IF(Projects!$AI563="Electrolysis",
AB563*VLOOKUP(G563,ElectrolysisConvF,3,FALSE),
"")</f>
        <v>0.01460674157</v>
      </c>
      <c r="AB563" s="125">
        <f>AC563/(H2dens*HoursInYear/10^6)</f>
        <v>2.808988764</v>
      </c>
      <c r="AC563" s="126">
        <f>6*365/10^6</f>
        <v>0.00219</v>
      </c>
      <c r="AD563" s="129"/>
      <c r="AE563" s="125">
        <f t="shared" si="95"/>
        <v>2.808988764</v>
      </c>
      <c r="AF563" s="127" t="s">
        <v>13197</v>
      </c>
      <c r="AG563" s="127">
        <v>40.12213</v>
      </c>
      <c r="AH563" s="127">
        <v>-3.84704</v>
      </c>
      <c r="AI563" s="115" t="s">
        <v>12383</v>
      </c>
      <c r="AJ563" s="116">
        <v>0.3</v>
      </c>
      <c r="AK563" s="117"/>
      <c r="AL563" s="117"/>
      <c r="AM563" s="117"/>
      <c r="AN563" s="117"/>
      <c r="AO563" s="117"/>
    </row>
    <row r="564" ht="34.5" customHeight="1">
      <c r="A564" s="111">
        <v>944.0</v>
      </c>
      <c r="B564" s="111" t="s">
        <v>8543</v>
      </c>
      <c r="C564" s="111" t="s">
        <v>8539</v>
      </c>
      <c r="D564" s="111">
        <v>2023.0</v>
      </c>
      <c r="E564" s="111"/>
      <c r="F564" s="111" t="s">
        <v>12418</v>
      </c>
      <c r="G564" s="111" t="s">
        <v>12228</v>
      </c>
      <c r="H564" s="111"/>
      <c r="I564" s="111" t="s">
        <v>12394</v>
      </c>
      <c r="J564" s="111" t="s">
        <v>12291</v>
      </c>
      <c r="K564" s="111" t="s">
        <v>30</v>
      </c>
      <c r="L564" s="111"/>
      <c r="M564" s="111"/>
      <c r="N564" s="111"/>
      <c r="O564" s="111"/>
      <c r="P564" s="111"/>
      <c r="Q564" s="111"/>
      <c r="R564" s="111">
        <v>1.0</v>
      </c>
      <c r="S564" s="111"/>
      <c r="T564" s="111"/>
      <c r="U564" s="111"/>
      <c r="V564" s="111"/>
      <c r="W564" s="111"/>
      <c r="X564" s="111"/>
      <c r="Y564" s="111"/>
      <c r="Z564" s="111" t="s">
        <v>13198</v>
      </c>
      <c r="AA564" s="124">
        <f>125/1000</f>
        <v>0.125</v>
      </c>
      <c r="AB564" s="125">
        <f>IF(Projects!$AI564="Electrolysis",
AA564/VLOOKUP(G564,ElectrolysisConvF,3,FALSE),
AC564*10^6/(H2dens*HoursInYear))</f>
        <v>32.89473684</v>
      </c>
      <c r="AC564" s="126">
        <f t="shared" ref="AC564:AC565" si="98">AB564*H2dens*HoursInYear/10^6</f>
        <v>0.02564605263</v>
      </c>
      <c r="AD564" s="125"/>
      <c r="AE564" s="125">
        <f t="shared" si="95"/>
        <v>32.89473684</v>
      </c>
      <c r="AF564" s="127" t="s">
        <v>13199</v>
      </c>
      <c r="AG564" s="127">
        <v>35.212283027272</v>
      </c>
      <c r="AH564" s="127">
        <v>128.611009060987</v>
      </c>
      <c r="AI564" s="115" t="s">
        <v>12383</v>
      </c>
      <c r="AJ564" s="116">
        <v>0.3</v>
      </c>
      <c r="AK564" s="117"/>
      <c r="AL564" s="117"/>
      <c r="AM564" s="117"/>
      <c r="AN564" s="117"/>
      <c r="AO564" s="117"/>
    </row>
    <row r="565" ht="34.5" customHeight="1">
      <c r="A565" s="111">
        <v>945.0</v>
      </c>
      <c r="B565" s="111" t="s">
        <v>8544</v>
      </c>
      <c r="C565" s="111" t="s">
        <v>7987</v>
      </c>
      <c r="D565" s="111">
        <v>2025.0</v>
      </c>
      <c r="E565" s="111"/>
      <c r="F565" s="111" t="s">
        <v>12399</v>
      </c>
      <c r="G565" s="111" t="s">
        <v>12381</v>
      </c>
      <c r="H565" s="111" t="s">
        <v>12230</v>
      </c>
      <c r="I565" s="111" t="s">
        <v>12394</v>
      </c>
      <c r="J565" s="111" t="s">
        <v>12296</v>
      </c>
      <c r="K565" s="111" t="s">
        <v>30</v>
      </c>
      <c r="L565" s="111"/>
      <c r="M565" s="111"/>
      <c r="N565" s="111"/>
      <c r="O565" s="111">
        <v>1.0</v>
      </c>
      <c r="P565" s="111"/>
      <c r="Q565" s="111"/>
      <c r="R565" s="111"/>
      <c r="S565" s="111"/>
      <c r="T565" s="111"/>
      <c r="U565" s="111"/>
      <c r="V565" s="111"/>
      <c r="W565" s="111"/>
      <c r="X565" s="111"/>
      <c r="Y565" s="111"/>
      <c r="Z565" s="111" t="s">
        <v>13200</v>
      </c>
      <c r="AA565" s="124">
        <v>70.0</v>
      </c>
      <c r="AB565" s="125">
        <f>IF(Projects!$AI565="Electrolysis",
AA565/VLOOKUP(G565,ElectrolysisConvF,3,FALSE),
AC565*10^6/(H2dens*HoursInYear))</f>
        <v>15555.55556</v>
      </c>
      <c r="AC565" s="126">
        <f t="shared" si="98"/>
        <v>12.12773333</v>
      </c>
      <c r="AD565" s="125"/>
      <c r="AE565" s="125">
        <f t="shared" si="95"/>
        <v>15555.55556</v>
      </c>
      <c r="AF565" s="127" t="s">
        <v>13201</v>
      </c>
      <c r="AG565" s="127">
        <v>53.5295406441506</v>
      </c>
      <c r="AH565" s="127">
        <v>8.12969320043866</v>
      </c>
      <c r="AI565" s="115" t="s">
        <v>12383</v>
      </c>
      <c r="AJ565" s="116">
        <v>0.5</v>
      </c>
      <c r="AK565" s="117"/>
      <c r="AL565" s="117"/>
      <c r="AM565" s="117"/>
      <c r="AN565" s="117"/>
      <c r="AO565" s="117"/>
    </row>
    <row r="566" ht="34.5" customHeight="1">
      <c r="A566" s="111">
        <v>946.0</v>
      </c>
      <c r="B566" s="111" t="s">
        <v>8545</v>
      </c>
      <c r="C566" s="111" t="s">
        <v>8001</v>
      </c>
      <c r="D566" s="111">
        <v>2022.0</v>
      </c>
      <c r="E566" s="111"/>
      <c r="F566" s="111" t="s">
        <v>12385</v>
      </c>
      <c r="G566" s="111" t="s">
        <v>12233</v>
      </c>
      <c r="H566" s="111"/>
      <c r="I566" s="111" t="str">
        <f t="shared" ref="I566:I569" si="99">IF(AND(G566&lt;&gt;"ALK",G566&lt;&gt;"PEM",G566&lt;&gt;"SOEC",G566&lt;&gt;"Other electrolysis"),"N/A","")</f>
        <v>N/A</v>
      </c>
      <c r="J566" s="111" t="str">
        <f t="shared" ref="J566:J569" si="100">IF(I566&lt;&gt;"Dedicated renewable","N/A",)</f>
        <v>N/A</v>
      </c>
      <c r="K566" s="111" t="s">
        <v>30</v>
      </c>
      <c r="L566" s="111"/>
      <c r="M566" s="111">
        <v>1.0</v>
      </c>
      <c r="N566" s="111"/>
      <c r="O566" s="111"/>
      <c r="P566" s="111"/>
      <c r="Q566" s="111"/>
      <c r="R566" s="111"/>
      <c r="S566" s="111"/>
      <c r="T566" s="111"/>
      <c r="U566" s="111"/>
      <c r="V566" s="111"/>
      <c r="W566" s="111"/>
      <c r="X566" s="111"/>
      <c r="Y566" s="111"/>
      <c r="Z566" s="111" t="s">
        <v>13202</v>
      </c>
      <c r="AA566" s="124" t="str">
        <f>IF(OR(G566="ALK",G566="PEM",G566="SOEC",G566="Other Electrolysis"),
AB566*VLOOKUP(G566,ElectrolysisConvF,3,FALSE),
"")</f>
        <v/>
      </c>
      <c r="AB566" s="125"/>
      <c r="AC566" s="126"/>
      <c r="AD566" s="125">
        <v>1000000.0</v>
      </c>
      <c r="AE566" s="125">
        <f t="shared" si="95"/>
        <v>59845.47897</v>
      </c>
      <c r="AF566" s="127" t="s">
        <v>13203</v>
      </c>
      <c r="AG566" s="127">
        <v>36.830027221475</v>
      </c>
      <c r="AH566" s="127">
        <v>118.111095381284</v>
      </c>
      <c r="AI566" s="115" t="s">
        <v>12378</v>
      </c>
      <c r="AJ566" s="116">
        <v>0.9</v>
      </c>
      <c r="AK566" s="117"/>
      <c r="AL566" s="117"/>
      <c r="AM566" s="117"/>
      <c r="AN566" s="117"/>
      <c r="AO566" s="117"/>
    </row>
    <row r="567" ht="34.5" customHeight="1">
      <c r="A567" s="111">
        <v>947.0</v>
      </c>
      <c r="B567" s="111" t="s">
        <v>8546</v>
      </c>
      <c r="C567" s="111" t="s">
        <v>8001</v>
      </c>
      <c r="D567" s="111">
        <v>2015.0</v>
      </c>
      <c r="E567" s="111"/>
      <c r="F567" s="111" t="s">
        <v>12385</v>
      </c>
      <c r="G567" s="111" t="s">
        <v>12237</v>
      </c>
      <c r="H567" s="111"/>
      <c r="I567" s="111" t="str">
        <f t="shared" si="99"/>
        <v>N/A</v>
      </c>
      <c r="J567" s="111" t="str">
        <f t="shared" si="100"/>
        <v>N/A</v>
      </c>
      <c r="K567" s="111" t="s">
        <v>12415</v>
      </c>
      <c r="L567" s="111"/>
      <c r="M567" s="111"/>
      <c r="N567" s="111">
        <v>1.0</v>
      </c>
      <c r="O567" s="111"/>
      <c r="P567" s="111"/>
      <c r="Q567" s="111"/>
      <c r="R567" s="111"/>
      <c r="S567" s="111"/>
      <c r="T567" s="111"/>
      <c r="U567" s="111"/>
      <c r="V567" s="111"/>
      <c r="W567" s="111"/>
      <c r="X567" s="111"/>
      <c r="Y567" s="111"/>
      <c r="Z567" s="111" t="s">
        <v>13204</v>
      </c>
      <c r="AA567" s="124" t="str">
        <f>IF(OR(G567="ALK",G567="PEM",G567="SOEC",G567="Other Electrolysis"),
AB567*VLOOKUP(G567,ElectrolysisConvF,3,FALSE),
"")</f>
        <v/>
      </c>
      <c r="AB567" s="125"/>
      <c r="AC567" s="126"/>
      <c r="AD567" s="125">
        <v>100000.0</v>
      </c>
      <c r="AE567" s="125">
        <f t="shared" si="95"/>
        <v>5984.547897</v>
      </c>
      <c r="AF567" s="127" t="s">
        <v>13205</v>
      </c>
      <c r="AG567" s="127">
        <v>45.5829853885231</v>
      </c>
      <c r="AH567" s="127">
        <v>84.8965072752076</v>
      </c>
      <c r="AI567" s="115" t="s">
        <v>12378</v>
      </c>
      <c r="AJ567" s="116">
        <v>0.9</v>
      </c>
      <c r="AK567" s="117"/>
      <c r="AL567" s="117"/>
      <c r="AM567" s="117"/>
      <c r="AN567" s="117"/>
      <c r="AO567" s="117"/>
    </row>
    <row r="568" ht="34.5" customHeight="1">
      <c r="A568" s="111">
        <v>948.0</v>
      </c>
      <c r="B568" s="111" t="s">
        <v>8547</v>
      </c>
      <c r="C568" s="111" t="s">
        <v>7981</v>
      </c>
      <c r="D568" s="111">
        <v>2000.0</v>
      </c>
      <c r="E568" s="111">
        <v>2025.0</v>
      </c>
      <c r="F568" s="111" t="s">
        <v>12385</v>
      </c>
      <c r="G568" s="111" t="s">
        <v>12233</v>
      </c>
      <c r="H568" s="111" t="s">
        <v>12929</v>
      </c>
      <c r="I568" s="111" t="str">
        <f t="shared" si="99"/>
        <v>N/A</v>
      </c>
      <c r="J568" s="111" t="str">
        <f t="shared" si="100"/>
        <v>N/A</v>
      </c>
      <c r="K568" s="111" t="s">
        <v>12449</v>
      </c>
      <c r="L568" s="111"/>
      <c r="M568" s="111"/>
      <c r="N568" s="111"/>
      <c r="O568" s="111"/>
      <c r="P568" s="111"/>
      <c r="Q568" s="111"/>
      <c r="R568" s="111"/>
      <c r="S568" s="111"/>
      <c r="T568" s="111"/>
      <c r="U568" s="111"/>
      <c r="V568" s="111"/>
      <c r="W568" s="111"/>
      <c r="X568" s="111">
        <v>1.0</v>
      </c>
      <c r="Y568" s="111"/>
      <c r="Z568" s="111" t="s">
        <v>13206</v>
      </c>
      <c r="AA568" s="124" t="str">
        <f>IF(OR(G568="ALK",G568="PEM",G568="SOEC",G568="Other Electrolysis"),
AB568*VLOOKUP(G568,ElectrolysisConvF,3,FALSE),
"")</f>
        <v/>
      </c>
      <c r="AB568" s="125"/>
      <c r="AC568" s="126"/>
      <c r="AD568" s="125">
        <v>3000000.0</v>
      </c>
      <c r="AE568" s="125">
        <f t="shared" si="95"/>
        <v>179536.4369</v>
      </c>
      <c r="AF568" s="127" t="s">
        <v>13207</v>
      </c>
      <c r="AG568" s="127">
        <v>47.2634167805805</v>
      </c>
      <c r="AH568" s="127">
        <v>-101.796925772329</v>
      </c>
      <c r="AI568" s="115" t="s">
        <v>12378</v>
      </c>
      <c r="AJ568" s="116">
        <v>0.9</v>
      </c>
      <c r="AK568" s="117"/>
      <c r="AL568" s="117"/>
      <c r="AM568" s="117"/>
      <c r="AN568" s="117"/>
      <c r="AO568" s="117"/>
    </row>
    <row r="569" ht="34.5" customHeight="1">
      <c r="A569" s="111">
        <v>949.0</v>
      </c>
      <c r="B569" s="111" t="s">
        <v>8548</v>
      </c>
      <c r="C569" s="111" t="s">
        <v>8371</v>
      </c>
      <c r="D569" s="111">
        <v>2016.0</v>
      </c>
      <c r="E569" s="111"/>
      <c r="F569" s="111" t="s">
        <v>12385</v>
      </c>
      <c r="G569" s="111" t="s">
        <v>12235</v>
      </c>
      <c r="H569" s="111" t="s">
        <v>13160</v>
      </c>
      <c r="I569" s="111" t="str">
        <f t="shared" si="99"/>
        <v>N/A</v>
      </c>
      <c r="J569" s="111" t="str">
        <f t="shared" si="100"/>
        <v>N/A</v>
      </c>
      <c r="K569" s="111" t="s">
        <v>30</v>
      </c>
      <c r="L569" s="111"/>
      <c r="M569" s="111"/>
      <c r="N569" s="111"/>
      <c r="O569" s="111">
        <v>1.0</v>
      </c>
      <c r="P569" s="111"/>
      <c r="Q569" s="111"/>
      <c r="R569" s="111"/>
      <c r="S569" s="111"/>
      <c r="T569" s="111"/>
      <c r="U569" s="111"/>
      <c r="V569" s="111"/>
      <c r="W569" s="111"/>
      <c r="X569" s="111"/>
      <c r="Y569" s="111"/>
      <c r="Z569" s="111" t="s">
        <v>13208</v>
      </c>
      <c r="AA569" s="124" t="str">
        <f>IF(OR(G569="ALK",G569="PEM",G569="SOEC",G569="Other Electrolysis"),
AB569*VLOOKUP(G569,ElectrolysisConvF,3,FALSE),
"")</f>
        <v/>
      </c>
      <c r="AB569" s="125"/>
      <c r="AC569" s="126"/>
      <c r="AD569" s="125">
        <v>800000.0</v>
      </c>
      <c r="AE569" s="125">
        <f t="shared" si="95"/>
        <v>100301.1542</v>
      </c>
      <c r="AF569" s="127" t="s">
        <v>13209</v>
      </c>
      <c r="AG569" s="127">
        <v>24.3349101126156</v>
      </c>
      <c r="AH569" s="127">
        <v>54.4710100414084</v>
      </c>
      <c r="AI569" s="115" t="s">
        <v>12378</v>
      </c>
      <c r="AJ569" s="116">
        <v>0.9</v>
      </c>
      <c r="AK569" s="117"/>
      <c r="AL569" s="117"/>
      <c r="AM569" s="117"/>
      <c r="AN569" s="117"/>
      <c r="AO569" s="117"/>
    </row>
    <row r="570" ht="34.5" customHeight="1">
      <c r="A570" s="111">
        <v>950.0</v>
      </c>
      <c r="B570" s="111" t="s">
        <v>8549</v>
      </c>
      <c r="C570" s="111" t="s">
        <v>7991</v>
      </c>
      <c r="D570" s="111">
        <v>2025.0</v>
      </c>
      <c r="E570" s="111"/>
      <c r="F570" s="111" t="s">
        <v>12399</v>
      </c>
      <c r="G570" s="111" t="s">
        <v>12226</v>
      </c>
      <c r="H570" s="111"/>
      <c r="I570" s="111" t="s">
        <v>12287</v>
      </c>
      <c r="J570" s="111"/>
      <c r="K570" s="111" t="s">
        <v>30</v>
      </c>
      <c r="L570" s="111"/>
      <c r="M570" s="111"/>
      <c r="N570" s="111"/>
      <c r="O570" s="111"/>
      <c r="P570" s="111"/>
      <c r="Q570" s="111">
        <v>1.0</v>
      </c>
      <c r="R570" s="111"/>
      <c r="S570" s="111"/>
      <c r="T570" s="111"/>
      <c r="U570" s="111"/>
      <c r="V570" s="111"/>
      <c r="W570" s="111"/>
      <c r="X570" s="111"/>
      <c r="Y570" s="111"/>
      <c r="Z570" s="111"/>
      <c r="AA570" s="124"/>
      <c r="AB570" s="125"/>
      <c r="AC570" s="126"/>
      <c r="AD570" s="125"/>
      <c r="AE570" s="125" t="str">
        <f t="shared" si="95"/>
        <v/>
      </c>
      <c r="AF570" s="127" t="s">
        <v>13210</v>
      </c>
      <c r="AG570" s="127">
        <v>54.4518687476416</v>
      </c>
      <c r="AH570" s="127">
        <v>0.326742451910295</v>
      </c>
      <c r="AI570" s="115" t="s">
        <v>12383</v>
      </c>
      <c r="AJ570" s="116">
        <v>0.57</v>
      </c>
      <c r="AK570" s="117"/>
      <c r="AL570" s="117"/>
      <c r="AM570" s="117"/>
      <c r="AN570" s="117"/>
      <c r="AO570" s="117"/>
    </row>
    <row r="571" ht="34.5" customHeight="1">
      <c r="A571" s="111">
        <v>951.0</v>
      </c>
      <c r="B571" s="111" t="s">
        <v>8550</v>
      </c>
      <c r="C571" s="111" t="s">
        <v>7981</v>
      </c>
      <c r="D571" s="111"/>
      <c r="E571" s="111"/>
      <c r="F571" s="111" t="s">
        <v>12397</v>
      </c>
      <c r="G571" s="111" t="s">
        <v>12381</v>
      </c>
      <c r="H571" s="111" t="s">
        <v>12230</v>
      </c>
      <c r="I571" s="111" t="s">
        <v>12394</v>
      </c>
      <c r="J571" s="111" t="s">
        <v>12295</v>
      </c>
      <c r="K571" s="111" t="s">
        <v>12449</v>
      </c>
      <c r="L571" s="111"/>
      <c r="M571" s="111"/>
      <c r="N571" s="111"/>
      <c r="O571" s="111"/>
      <c r="P571" s="111"/>
      <c r="Q571" s="111"/>
      <c r="R571" s="111"/>
      <c r="S571" s="111"/>
      <c r="T571" s="111"/>
      <c r="U571" s="111"/>
      <c r="V571" s="111"/>
      <c r="W571" s="111"/>
      <c r="X571" s="111">
        <v>1.0</v>
      </c>
      <c r="Y571" s="111"/>
      <c r="Z571" s="111" t="s">
        <v>13211</v>
      </c>
      <c r="AA571" s="124">
        <v>10.0</v>
      </c>
      <c r="AB571" s="125">
        <f>IF(Projects!$AI571="Electrolysis",
AA571/VLOOKUP(G571,ElectrolysisConvF,3,FALSE),
AC571*10^6/(H2dens*HoursInYear))</f>
        <v>2222.222222</v>
      </c>
      <c r="AC571" s="126">
        <f>AB571*H2dens*HoursInYear/10^6</f>
        <v>1.732533333</v>
      </c>
      <c r="AD571" s="125"/>
      <c r="AE571" s="125">
        <f t="shared" si="95"/>
        <v>2222.222222</v>
      </c>
      <c r="AF571" s="127" t="s">
        <v>13212</v>
      </c>
      <c r="AG571" s="127">
        <v>0.0</v>
      </c>
      <c r="AH571" s="127">
        <v>0.0</v>
      </c>
      <c r="AI571" s="115" t="s">
        <v>12383</v>
      </c>
      <c r="AJ571" s="116">
        <v>0.5</v>
      </c>
      <c r="AK571" s="117"/>
      <c r="AL571" s="117"/>
      <c r="AM571" s="117"/>
      <c r="AN571" s="117"/>
      <c r="AO571" s="117"/>
    </row>
    <row r="572" ht="34.5" customHeight="1">
      <c r="A572" s="111">
        <v>952.0</v>
      </c>
      <c r="B572" s="111" t="s">
        <v>8551</v>
      </c>
      <c r="C572" s="111" t="s">
        <v>7981</v>
      </c>
      <c r="D572" s="111"/>
      <c r="E572" s="111"/>
      <c r="F572" s="111" t="s">
        <v>12397</v>
      </c>
      <c r="G572" s="111" t="s">
        <v>12381</v>
      </c>
      <c r="H572" s="111" t="s">
        <v>12230</v>
      </c>
      <c r="I572" s="111" t="s">
        <v>12394</v>
      </c>
      <c r="J572" s="111" t="s">
        <v>12295</v>
      </c>
      <c r="K572" s="111" t="s">
        <v>30</v>
      </c>
      <c r="L572" s="111"/>
      <c r="M572" s="111"/>
      <c r="N572" s="111"/>
      <c r="O572" s="111"/>
      <c r="P572" s="111"/>
      <c r="Q572" s="111"/>
      <c r="R572" s="111"/>
      <c r="S572" s="111">
        <v>1.0</v>
      </c>
      <c r="T572" s="111"/>
      <c r="U572" s="111"/>
      <c r="V572" s="111"/>
      <c r="W572" s="111"/>
      <c r="X572" s="111"/>
      <c r="Y572" s="111"/>
      <c r="Z572" s="111"/>
      <c r="AA572" s="124"/>
      <c r="AB572" s="125"/>
      <c r="AC572" s="126"/>
      <c r="AD572" s="125"/>
      <c r="AE572" s="125" t="str">
        <f t="shared" si="95"/>
        <v/>
      </c>
      <c r="AF572" s="127" t="s">
        <v>13213</v>
      </c>
      <c r="AG572" s="127">
        <v>0.0</v>
      </c>
      <c r="AH572" s="127">
        <v>0.0</v>
      </c>
      <c r="AI572" s="115" t="s">
        <v>12383</v>
      </c>
      <c r="AJ572" s="116">
        <v>0.5</v>
      </c>
      <c r="AK572" s="117"/>
      <c r="AL572" s="117"/>
      <c r="AM572" s="117"/>
      <c r="AN572" s="117"/>
      <c r="AO572" s="117"/>
    </row>
    <row r="573" ht="34.5" customHeight="1">
      <c r="A573" s="111">
        <v>953.0</v>
      </c>
      <c r="B573" s="111" t="s">
        <v>8552</v>
      </c>
      <c r="C573" s="111" t="s">
        <v>7981</v>
      </c>
      <c r="D573" s="111">
        <v>2021.0</v>
      </c>
      <c r="E573" s="111"/>
      <c r="F573" s="111" t="s">
        <v>12385</v>
      </c>
      <c r="G573" s="111" t="s">
        <v>12381</v>
      </c>
      <c r="H573" s="145" t="s">
        <v>12230</v>
      </c>
      <c r="I573" s="111" t="s">
        <v>12287</v>
      </c>
      <c r="J573" s="111"/>
      <c r="K573" s="111" t="s">
        <v>30</v>
      </c>
      <c r="L573" s="111"/>
      <c r="M573" s="111"/>
      <c r="N573" s="111"/>
      <c r="O573" s="111"/>
      <c r="P573" s="111"/>
      <c r="Q573" s="111"/>
      <c r="R573" s="111"/>
      <c r="S573" s="111">
        <v>1.0</v>
      </c>
      <c r="T573" s="111"/>
      <c r="U573" s="111"/>
      <c r="V573" s="111"/>
      <c r="W573" s="111"/>
      <c r="X573" s="111"/>
      <c r="Y573" s="111"/>
      <c r="Z573" s="111" t="s">
        <v>13214</v>
      </c>
      <c r="AA573" s="124">
        <v>0.175</v>
      </c>
      <c r="AB573" s="125">
        <f>IF(Projects!$AI573="Electrolysis",
AA573/VLOOKUP(G573,ElectrolysisConvF,3,FALSE),
AC573*10^6/(H2dens*HoursInYear))</f>
        <v>38.88888889</v>
      </c>
      <c r="AC573" s="126">
        <f t="shared" ref="AC573:AC574" si="101">AB573*H2dens*HoursInYear/10^6</f>
        <v>0.03031933333</v>
      </c>
      <c r="AD573" s="125"/>
      <c r="AE573" s="125">
        <f t="shared" si="95"/>
        <v>38.88888889</v>
      </c>
      <c r="AF573" s="127" t="s">
        <v>13215</v>
      </c>
      <c r="AG573" s="127">
        <v>40.151128</v>
      </c>
      <c r="AH573" s="127">
        <v>-74.213226</v>
      </c>
      <c r="AI573" s="115" t="s">
        <v>12383</v>
      </c>
      <c r="AJ573" s="116">
        <v>0.57</v>
      </c>
      <c r="AK573" s="117"/>
      <c r="AL573" s="117"/>
      <c r="AM573" s="117"/>
      <c r="AN573" s="117"/>
      <c r="AO573" s="117"/>
    </row>
    <row r="574" ht="34.5" customHeight="1">
      <c r="A574" s="111">
        <v>954.0</v>
      </c>
      <c r="B574" s="111" t="s">
        <v>8553</v>
      </c>
      <c r="C574" s="111" t="s">
        <v>8026</v>
      </c>
      <c r="D574" s="111">
        <v>2025.0</v>
      </c>
      <c r="E574" s="111"/>
      <c r="F574" s="111" t="s">
        <v>12393</v>
      </c>
      <c r="G574" s="111" t="s">
        <v>12381</v>
      </c>
      <c r="H574" s="145" t="s">
        <v>12230</v>
      </c>
      <c r="I574" s="111" t="s">
        <v>12394</v>
      </c>
      <c r="J574" s="111" t="s">
        <v>12292</v>
      </c>
      <c r="K574" s="111" t="s">
        <v>12449</v>
      </c>
      <c r="L574" s="111"/>
      <c r="M574" s="111"/>
      <c r="N574" s="111"/>
      <c r="O574" s="111"/>
      <c r="P574" s="111"/>
      <c r="Q574" s="111"/>
      <c r="R574" s="111"/>
      <c r="S574" s="111"/>
      <c r="T574" s="111"/>
      <c r="U574" s="111"/>
      <c r="V574" s="111"/>
      <c r="W574" s="111"/>
      <c r="X574" s="111">
        <v>1.0</v>
      </c>
      <c r="Y574" s="111"/>
      <c r="Z574" s="111" t="s">
        <v>12589</v>
      </c>
      <c r="AA574" s="124">
        <v>20.0</v>
      </c>
      <c r="AB574" s="125">
        <f>IF(Projects!$AI574="Electrolysis",
AA574/VLOOKUP(G574,ElectrolysisConvF,3,FALSE),
AC574*10^6/(H2dens*HoursInYear))</f>
        <v>4444.444444</v>
      </c>
      <c r="AC574" s="126">
        <f t="shared" si="101"/>
        <v>3.465066667</v>
      </c>
      <c r="AD574" s="125"/>
      <c r="AE574" s="125">
        <f t="shared" si="95"/>
        <v>4444.444444</v>
      </c>
      <c r="AF574" s="127" t="s">
        <v>13216</v>
      </c>
      <c r="AG574" s="127">
        <v>60.2931185411757</v>
      </c>
      <c r="AH574" s="127">
        <v>25.0370785617732</v>
      </c>
      <c r="AI574" s="115" t="s">
        <v>12383</v>
      </c>
      <c r="AJ574" s="116">
        <v>0.4</v>
      </c>
      <c r="AK574" s="117"/>
      <c r="AL574" s="117"/>
      <c r="AM574" s="117"/>
      <c r="AN574" s="117"/>
      <c r="AO574" s="117"/>
    </row>
    <row r="575" ht="34.5" customHeight="1">
      <c r="A575" s="111">
        <v>955.0</v>
      </c>
      <c r="B575" s="111" t="s">
        <v>8554</v>
      </c>
      <c r="C575" s="111" t="s">
        <v>8071</v>
      </c>
      <c r="D575" s="111">
        <v>2025.0</v>
      </c>
      <c r="E575" s="111"/>
      <c r="F575" s="145" t="s">
        <v>12399</v>
      </c>
      <c r="G575" s="145" t="s">
        <v>12381</v>
      </c>
      <c r="H575" s="145" t="s">
        <v>12230</v>
      </c>
      <c r="I575" s="145" t="s">
        <v>12759</v>
      </c>
      <c r="J575" s="111" t="s">
        <v>12295</v>
      </c>
      <c r="K575" s="111" t="s">
        <v>174</v>
      </c>
      <c r="L575" s="111"/>
      <c r="M575" s="111">
        <v>1.0</v>
      </c>
      <c r="N575" s="111"/>
      <c r="O575" s="111"/>
      <c r="P575" s="111"/>
      <c r="Q575" s="111"/>
      <c r="R575" s="111"/>
      <c r="S575" s="111"/>
      <c r="T575" s="111"/>
      <c r="U575" s="111"/>
      <c r="V575" s="111"/>
      <c r="W575" s="111"/>
      <c r="X575" s="111"/>
      <c r="Y575" s="111"/>
      <c r="Z575" s="111" t="s">
        <v>13217</v>
      </c>
      <c r="AA575" s="129">
        <f>IF(Projects!$AI575="Electrolysis",
AB575*VLOOKUP(G575,ElectrolysisConvF,3,FALSE),
"")</f>
        <v>412.2781943</v>
      </c>
      <c r="AB575" s="125">
        <f>AC575/(H2dens*HoursInYear/10^6)</f>
        <v>91617.37652</v>
      </c>
      <c r="AC575" s="126">
        <f>50/Projects!$AJ575</f>
        <v>71.42857143</v>
      </c>
      <c r="AD575" s="125"/>
      <c r="AE575" s="125">
        <f t="shared" si="95"/>
        <v>91617.37652</v>
      </c>
      <c r="AF575" s="127" t="s">
        <v>13218</v>
      </c>
      <c r="AG575" s="127">
        <v>-32.5230421190234</v>
      </c>
      <c r="AH575" s="127">
        <v>-70.6823924843487</v>
      </c>
      <c r="AI575" s="115" t="s">
        <v>12383</v>
      </c>
      <c r="AJ575" s="116">
        <v>0.7</v>
      </c>
      <c r="AK575" s="117"/>
      <c r="AL575" s="117"/>
      <c r="AM575" s="117"/>
      <c r="AN575" s="117"/>
      <c r="AO575" s="117"/>
    </row>
    <row r="576" ht="34.5" customHeight="1">
      <c r="A576" s="111">
        <v>958.0</v>
      </c>
      <c r="B576" s="111" t="s">
        <v>8555</v>
      </c>
      <c r="C576" s="111" t="s">
        <v>8001</v>
      </c>
      <c r="D576" s="111">
        <v>2020.0</v>
      </c>
      <c r="E576" s="111"/>
      <c r="F576" s="145" t="s">
        <v>12418</v>
      </c>
      <c r="G576" s="145" t="s">
        <v>12381</v>
      </c>
      <c r="H576" s="145" t="s">
        <v>12230</v>
      </c>
      <c r="I576" s="111" t="s">
        <v>12394</v>
      </c>
      <c r="J576" s="111" t="s">
        <v>12292</v>
      </c>
      <c r="K576" s="111" t="s">
        <v>30</v>
      </c>
      <c r="L576" s="111"/>
      <c r="M576" s="111"/>
      <c r="N576" s="111"/>
      <c r="O576" s="111"/>
      <c r="P576" s="111"/>
      <c r="Q576" s="111"/>
      <c r="R576" s="111"/>
      <c r="S576" s="111"/>
      <c r="T576" s="111"/>
      <c r="U576" s="111"/>
      <c r="V576" s="111"/>
      <c r="W576" s="111"/>
      <c r="X576" s="111"/>
      <c r="Y576" s="111"/>
      <c r="Z576" s="111"/>
      <c r="AA576" s="124"/>
      <c r="AB576" s="125"/>
      <c r="AC576" s="126"/>
      <c r="AD576" s="125"/>
      <c r="AE576" s="125"/>
      <c r="AF576" s="127" t="s">
        <v>13219</v>
      </c>
      <c r="AG576" s="127">
        <v>0.0</v>
      </c>
      <c r="AH576" s="127">
        <v>0.0</v>
      </c>
      <c r="AI576" s="115" t="s">
        <v>12383</v>
      </c>
      <c r="AJ576" s="116">
        <v>0.4</v>
      </c>
      <c r="AK576" s="117"/>
      <c r="AL576" s="117"/>
      <c r="AM576" s="117"/>
      <c r="AN576" s="117"/>
      <c r="AO576" s="117"/>
    </row>
    <row r="577" ht="34.5" customHeight="1">
      <c r="A577" s="111">
        <v>959.0</v>
      </c>
      <c r="B577" s="111" t="s">
        <v>8556</v>
      </c>
      <c r="C577" s="111" t="s">
        <v>8001</v>
      </c>
      <c r="D577" s="111">
        <v>2020.0</v>
      </c>
      <c r="E577" s="111"/>
      <c r="F577" s="145" t="s">
        <v>12418</v>
      </c>
      <c r="G577" s="145" t="s">
        <v>12381</v>
      </c>
      <c r="H577" s="145" t="s">
        <v>12230</v>
      </c>
      <c r="I577" s="111" t="s">
        <v>12288</v>
      </c>
      <c r="J577" s="111" t="str">
        <f t="shared" ref="J577:J578" si="102">IF(I577&lt;&gt;"Dedicated renewable","N/A",)</f>
        <v>N/A</v>
      </c>
      <c r="K577" s="111" t="s">
        <v>30</v>
      </c>
      <c r="L577" s="111"/>
      <c r="M577" s="111"/>
      <c r="N577" s="111"/>
      <c r="O577" s="111">
        <v>1.0</v>
      </c>
      <c r="P577" s="111"/>
      <c r="Q577" s="111"/>
      <c r="R577" s="111"/>
      <c r="S577" s="111"/>
      <c r="T577" s="111"/>
      <c r="U577" s="111"/>
      <c r="V577" s="111"/>
      <c r="W577" s="111"/>
      <c r="X577" s="111"/>
      <c r="Y577" s="111"/>
      <c r="Z577" s="111" t="s">
        <v>13220</v>
      </c>
      <c r="AA577" s="129">
        <f>IF(Projects!$AI577="Electrolysis",
AB577*VLOOKUP(G577,ElectrolysisConvF,3,FALSE),
"")</f>
        <v>0.00045</v>
      </c>
      <c r="AB577" s="125">
        <v>0.1</v>
      </c>
      <c r="AC577" s="126">
        <f t="shared" ref="AC577:AC581" si="103">AB577*H2dens*HoursInYear/10^6</f>
        <v>0.000077964</v>
      </c>
      <c r="AD577" s="125"/>
      <c r="AE577" s="125">
        <f t="shared" ref="AE577:AE598" si="104">IF(AND(G577&lt;&gt;"NG w CCUS",G577&lt;&gt;"Oil w CCUS",G577&lt;&gt;"Coal w CCUS"),AB577,AD577*10^3/(HoursInYear*IF(G577="NG w CCUS",0.9105,1.9075)))</f>
        <v>0.1</v>
      </c>
      <c r="AF577" s="127" t="s">
        <v>13221</v>
      </c>
      <c r="AG577" s="127">
        <v>0.0</v>
      </c>
      <c r="AH577" s="127">
        <v>0.0</v>
      </c>
      <c r="AI577" s="115" t="s">
        <v>12383</v>
      </c>
      <c r="AJ577" s="116">
        <v>0.8</v>
      </c>
      <c r="AK577" s="117"/>
      <c r="AL577" s="117"/>
      <c r="AM577" s="117"/>
      <c r="AN577" s="117"/>
      <c r="AO577" s="117"/>
    </row>
    <row r="578" ht="34.5" customHeight="1">
      <c r="A578" s="111">
        <v>960.0</v>
      </c>
      <c r="B578" s="111" t="s">
        <v>8557</v>
      </c>
      <c r="C578" s="111" t="s">
        <v>8001</v>
      </c>
      <c r="D578" s="111"/>
      <c r="E578" s="111"/>
      <c r="F578" s="145" t="s">
        <v>12397</v>
      </c>
      <c r="G578" s="145" t="s">
        <v>12381</v>
      </c>
      <c r="H578" s="145" t="s">
        <v>12230</v>
      </c>
      <c r="I578" s="111" t="s">
        <v>12288</v>
      </c>
      <c r="J578" s="111" t="str">
        <f t="shared" si="102"/>
        <v>N/A</v>
      </c>
      <c r="K578" s="111" t="s">
        <v>30</v>
      </c>
      <c r="L578" s="111"/>
      <c r="M578" s="111"/>
      <c r="N578" s="111"/>
      <c r="O578" s="111">
        <v>1.0</v>
      </c>
      <c r="P578" s="111"/>
      <c r="Q578" s="111"/>
      <c r="R578" s="111"/>
      <c r="S578" s="111"/>
      <c r="T578" s="111"/>
      <c r="U578" s="111"/>
      <c r="V578" s="111"/>
      <c r="W578" s="111"/>
      <c r="X578" s="111"/>
      <c r="Y578" s="111"/>
      <c r="Z578" s="111" t="s">
        <v>13222</v>
      </c>
      <c r="AA578" s="129">
        <f>IF(Projects!$AI578="Electrolysis",
AB578*VLOOKUP(G578,ElectrolysisConvF,3,FALSE),
"")</f>
        <v>225</v>
      </c>
      <c r="AB578" s="125">
        <v>50000.0</v>
      </c>
      <c r="AC578" s="126">
        <f t="shared" si="103"/>
        <v>38.982</v>
      </c>
      <c r="AD578" s="125"/>
      <c r="AE578" s="125">
        <f t="shared" si="104"/>
        <v>50000</v>
      </c>
      <c r="AF578" s="127" t="s">
        <v>13221</v>
      </c>
      <c r="AG578" s="127">
        <v>0.0</v>
      </c>
      <c r="AH578" s="127">
        <v>0.0</v>
      </c>
      <c r="AI578" s="115" t="s">
        <v>12383</v>
      </c>
      <c r="AJ578" s="116">
        <v>0.8</v>
      </c>
      <c r="AK578" s="117"/>
      <c r="AL578" s="117"/>
      <c r="AM578" s="117"/>
      <c r="AN578" s="117"/>
      <c r="AO578" s="117"/>
    </row>
    <row r="579" ht="34.5" customHeight="1">
      <c r="A579" s="111">
        <v>961.0</v>
      </c>
      <c r="B579" s="111" t="s">
        <v>8558</v>
      </c>
      <c r="C579" s="111" t="s">
        <v>8001</v>
      </c>
      <c r="D579" s="111">
        <v>2025.0</v>
      </c>
      <c r="E579" s="111"/>
      <c r="F579" s="145" t="s">
        <v>12393</v>
      </c>
      <c r="G579" s="145" t="s">
        <v>12381</v>
      </c>
      <c r="H579" s="145" t="s">
        <v>12230</v>
      </c>
      <c r="I579" s="145" t="s">
        <v>12394</v>
      </c>
      <c r="J579" s="111" t="s">
        <v>12291</v>
      </c>
      <c r="K579" s="111" t="s">
        <v>30</v>
      </c>
      <c r="L579" s="111"/>
      <c r="M579" s="111"/>
      <c r="N579" s="111"/>
      <c r="O579" s="111"/>
      <c r="P579" s="111"/>
      <c r="Q579" s="111"/>
      <c r="R579" s="111"/>
      <c r="S579" s="111"/>
      <c r="T579" s="111"/>
      <c r="U579" s="111"/>
      <c r="V579" s="111"/>
      <c r="W579" s="111"/>
      <c r="X579" s="111"/>
      <c r="Y579" s="111"/>
      <c r="Z579" s="111" t="s">
        <v>12703</v>
      </c>
      <c r="AA579" s="124">
        <v>10.0</v>
      </c>
      <c r="AB579" s="125">
        <f>IF(Projects!$AI579="Electrolysis",
AA579/VLOOKUP(G579,ElectrolysisConvF,3,FALSE),
AC579*10^6/(H2dens*HoursInYear))</f>
        <v>2222.222222</v>
      </c>
      <c r="AC579" s="126">
        <f t="shared" si="103"/>
        <v>1.732533333</v>
      </c>
      <c r="AD579" s="125"/>
      <c r="AE579" s="125">
        <f t="shared" si="104"/>
        <v>2222.222222</v>
      </c>
      <c r="AF579" s="127" t="s">
        <v>13223</v>
      </c>
      <c r="AG579" s="127">
        <v>40.0782830074194</v>
      </c>
      <c r="AH579" s="127">
        <v>113.308181777702</v>
      </c>
      <c r="AI579" s="115" t="s">
        <v>12383</v>
      </c>
      <c r="AJ579" s="116">
        <v>0.3</v>
      </c>
      <c r="AK579" s="117"/>
      <c r="AL579" s="117"/>
      <c r="AM579" s="117"/>
      <c r="AN579" s="117"/>
      <c r="AO579" s="117"/>
    </row>
    <row r="580" ht="34.5" customHeight="1">
      <c r="A580" s="111">
        <v>962.0</v>
      </c>
      <c r="B580" s="111" t="s">
        <v>8559</v>
      </c>
      <c r="C580" s="111" t="s">
        <v>8021</v>
      </c>
      <c r="D580" s="111">
        <v>2024.0</v>
      </c>
      <c r="E580" s="111"/>
      <c r="F580" s="145" t="s">
        <v>12399</v>
      </c>
      <c r="G580" s="145" t="s">
        <v>12381</v>
      </c>
      <c r="H580" s="145" t="s">
        <v>12230</v>
      </c>
      <c r="I580" s="111" t="s">
        <v>12394</v>
      </c>
      <c r="J580" s="111" t="s">
        <v>12291</v>
      </c>
      <c r="K580" s="111" t="s">
        <v>30</v>
      </c>
      <c r="L580" s="111"/>
      <c r="M580" s="111"/>
      <c r="N580" s="111"/>
      <c r="O580" s="111"/>
      <c r="P580" s="111"/>
      <c r="Q580" s="111"/>
      <c r="R580" s="111"/>
      <c r="S580" s="111"/>
      <c r="T580" s="111"/>
      <c r="U580" s="111"/>
      <c r="V580" s="111"/>
      <c r="W580" s="111"/>
      <c r="X580" s="111"/>
      <c r="Y580" s="111"/>
      <c r="Z580" s="111" t="s">
        <v>13142</v>
      </c>
      <c r="AA580" s="125">
        <v>200.0</v>
      </c>
      <c r="AB580" s="125">
        <f>IF(Projects!$AI580="Electrolysis",
AA580/VLOOKUP(G580,ElectrolysisConvF,3,FALSE),
AC580*10^6/(H2dens*HoursInYear))</f>
        <v>44444.44444</v>
      </c>
      <c r="AC580" s="126">
        <f t="shared" si="103"/>
        <v>34.65066667</v>
      </c>
      <c r="AD580" s="125"/>
      <c r="AE580" s="125">
        <f t="shared" si="104"/>
        <v>44444.44444</v>
      </c>
      <c r="AF580" s="127" t="s">
        <v>13224</v>
      </c>
      <c r="AG580" s="127">
        <v>-27.4717594042105</v>
      </c>
      <c r="AH580" s="127">
        <v>153.044311992899</v>
      </c>
      <c r="AI580" s="115" t="s">
        <v>12383</v>
      </c>
      <c r="AJ580" s="116">
        <v>0.3</v>
      </c>
      <c r="AK580" s="117"/>
      <c r="AL580" s="117"/>
      <c r="AM580" s="117"/>
      <c r="AN580" s="117"/>
      <c r="AO580" s="117"/>
    </row>
    <row r="581" ht="34.5" customHeight="1">
      <c r="A581" s="111">
        <v>965.0</v>
      </c>
      <c r="B581" s="111" t="s">
        <v>8560</v>
      </c>
      <c r="C581" s="111" t="s">
        <v>8047</v>
      </c>
      <c r="D581" s="111">
        <v>2027.0</v>
      </c>
      <c r="E581" s="111"/>
      <c r="F581" s="145" t="s">
        <v>12399</v>
      </c>
      <c r="G581" s="145" t="s">
        <v>12381</v>
      </c>
      <c r="H581" s="145" t="s">
        <v>12230</v>
      </c>
      <c r="I581" s="111" t="s">
        <v>12287</v>
      </c>
      <c r="J581" s="111"/>
      <c r="K581" s="111" t="s">
        <v>30</v>
      </c>
      <c r="L581" s="111"/>
      <c r="M581" s="111"/>
      <c r="N581" s="111"/>
      <c r="O581" s="111">
        <v>1.0</v>
      </c>
      <c r="P581" s="111">
        <v>1.0</v>
      </c>
      <c r="Q581" s="111"/>
      <c r="R581" s="111"/>
      <c r="S581" s="111">
        <v>1.0</v>
      </c>
      <c r="T581" s="111"/>
      <c r="U581" s="111"/>
      <c r="V581" s="111"/>
      <c r="W581" s="111"/>
      <c r="X581" s="111"/>
      <c r="Y581" s="111"/>
      <c r="Z581" s="111" t="s">
        <v>12698</v>
      </c>
      <c r="AA581" s="124">
        <v>100.0</v>
      </c>
      <c r="AB581" s="125">
        <f>IF(Projects!$AI581="Electrolysis",
AA581/VLOOKUP(G581,ElectrolysisConvF,3,FALSE),
AC581*10^6/(H2dens*HoursInYear))</f>
        <v>22222.22222</v>
      </c>
      <c r="AC581" s="126">
        <f t="shared" si="103"/>
        <v>17.32533333</v>
      </c>
      <c r="AD581" s="125"/>
      <c r="AE581" s="125">
        <f t="shared" si="104"/>
        <v>22222.22222</v>
      </c>
      <c r="AF581" s="127" t="s">
        <v>13225</v>
      </c>
      <c r="AG581" s="127">
        <v>40.4432173029278</v>
      </c>
      <c r="AH581" s="127">
        <v>17.2510136962265</v>
      </c>
      <c r="AI581" s="115" t="s">
        <v>12383</v>
      </c>
      <c r="AJ581" s="116">
        <v>0.57</v>
      </c>
      <c r="AK581" s="117"/>
      <c r="AL581" s="117"/>
      <c r="AM581" s="117"/>
      <c r="AN581" s="117"/>
      <c r="AO581" s="117"/>
    </row>
    <row r="582" ht="34.5" customHeight="1">
      <c r="A582" s="111">
        <v>966.0</v>
      </c>
      <c r="B582" s="111" t="s">
        <v>8561</v>
      </c>
      <c r="C582" s="111" t="s">
        <v>8562</v>
      </c>
      <c r="D582" s="111"/>
      <c r="E582" s="111"/>
      <c r="F582" s="145" t="s">
        <v>12397</v>
      </c>
      <c r="G582" s="145" t="s">
        <v>12381</v>
      </c>
      <c r="H582" s="145" t="s">
        <v>12230</v>
      </c>
      <c r="I582" s="111" t="s">
        <v>12287</v>
      </c>
      <c r="J582" s="111"/>
      <c r="K582" s="111" t="s">
        <v>30</v>
      </c>
      <c r="L582" s="111"/>
      <c r="M582" s="111"/>
      <c r="N582" s="111"/>
      <c r="O582" s="111"/>
      <c r="P582" s="111"/>
      <c r="Q582" s="111"/>
      <c r="R582" s="111"/>
      <c r="S582" s="111"/>
      <c r="T582" s="111"/>
      <c r="U582" s="111"/>
      <c r="V582" s="111"/>
      <c r="W582" s="111"/>
      <c r="X582" s="111"/>
      <c r="Y582" s="111"/>
      <c r="Z582" s="111"/>
      <c r="AA582" s="124"/>
      <c r="AB582" s="125"/>
      <c r="AC582" s="126"/>
      <c r="AD582" s="125"/>
      <c r="AE582" s="125" t="str">
        <f t="shared" si="104"/>
        <v/>
      </c>
      <c r="AF582" s="127" t="s">
        <v>13226</v>
      </c>
      <c r="AG582" s="127">
        <v>0.0</v>
      </c>
      <c r="AH582" s="127">
        <v>0.0</v>
      </c>
      <c r="AI582" s="115" t="s">
        <v>12383</v>
      </c>
      <c r="AJ582" s="116">
        <v>0.57</v>
      </c>
      <c r="AK582" s="117"/>
      <c r="AL582" s="117"/>
      <c r="AM582" s="117"/>
      <c r="AN582" s="117"/>
      <c r="AO582" s="117"/>
    </row>
    <row r="583" ht="34.5" customHeight="1">
      <c r="A583" s="111">
        <v>967.0</v>
      </c>
      <c r="B583" s="111" t="s">
        <v>8561</v>
      </c>
      <c r="C583" s="111" t="s">
        <v>8563</v>
      </c>
      <c r="D583" s="111"/>
      <c r="E583" s="111"/>
      <c r="F583" s="111" t="s">
        <v>12397</v>
      </c>
      <c r="G583" s="111" t="s">
        <v>12381</v>
      </c>
      <c r="H583" s="111" t="s">
        <v>12230</v>
      </c>
      <c r="I583" s="111" t="s">
        <v>12287</v>
      </c>
      <c r="J583" s="111"/>
      <c r="K583" s="111" t="s">
        <v>30</v>
      </c>
      <c r="L583" s="111"/>
      <c r="M583" s="111"/>
      <c r="N583" s="111"/>
      <c r="O583" s="111"/>
      <c r="P583" s="111"/>
      <c r="Q583" s="111"/>
      <c r="R583" s="111"/>
      <c r="S583" s="111"/>
      <c r="T583" s="111"/>
      <c r="U583" s="111"/>
      <c r="V583" s="111"/>
      <c r="W583" s="111"/>
      <c r="X583" s="111"/>
      <c r="Y583" s="111"/>
      <c r="Z583" s="111"/>
      <c r="AA583" s="124"/>
      <c r="AB583" s="125"/>
      <c r="AC583" s="126"/>
      <c r="AD583" s="125"/>
      <c r="AE583" s="125" t="str">
        <f t="shared" si="104"/>
        <v/>
      </c>
      <c r="AF583" s="127" t="s">
        <v>13226</v>
      </c>
      <c r="AG583" s="127">
        <v>0.0</v>
      </c>
      <c r="AH583" s="127">
        <v>0.0</v>
      </c>
      <c r="AI583" s="115" t="s">
        <v>12383</v>
      </c>
      <c r="AJ583" s="116">
        <v>0.57</v>
      </c>
      <c r="AK583" s="117"/>
      <c r="AL583" s="117"/>
      <c r="AM583" s="117"/>
      <c r="AN583" s="117"/>
      <c r="AO583" s="117"/>
    </row>
    <row r="584" ht="34.5" customHeight="1">
      <c r="A584" s="111">
        <v>968.0</v>
      </c>
      <c r="B584" s="111" t="s">
        <v>8564</v>
      </c>
      <c r="C584" s="111" t="s">
        <v>8021</v>
      </c>
      <c r="D584" s="111"/>
      <c r="E584" s="111"/>
      <c r="F584" s="111" t="s">
        <v>12393</v>
      </c>
      <c r="G584" s="111" t="s">
        <v>12226</v>
      </c>
      <c r="H584" s="111"/>
      <c r="I584" s="111" t="s">
        <v>12287</v>
      </c>
      <c r="J584" s="111"/>
      <c r="K584" s="111" t="s">
        <v>30</v>
      </c>
      <c r="L584" s="111"/>
      <c r="M584" s="111"/>
      <c r="N584" s="111"/>
      <c r="O584" s="111"/>
      <c r="P584" s="111"/>
      <c r="Q584" s="111"/>
      <c r="R584" s="111">
        <v>1.0</v>
      </c>
      <c r="S584" s="111"/>
      <c r="T584" s="111"/>
      <c r="U584" s="111"/>
      <c r="V584" s="111"/>
      <c r="W584" s="111"/>
      <c r="X584" s="111"/>
      <c r="Y584" s="111"/>
      <c r="Z584" s="111" t="s">
        <v>13227</v>
      </c>
      <c r="AA584" s="124">
        <v>0.7</v>
      </c>
      <c r="AB584" s="125">
        <f>IF(Projects!$AI584="Electrolysis",
AA584/VLOOKUP(G584,ElectrolysisConvF,3,FALSE),
AC584*10^6/(H2dens*HoursInYear))</f>
        <v>134.6153846</v>
      </c>
      <c r="AC584" s="126">
        <f t="shared" ref="AC584:AC585" si="105">AB584*H2dens*HoursInYear/10^6</f>
        <v>0.1049515385</v>
      </c>
      <c r="AD584" s="125"/>
      <c r="AE584" s="125">
        <f t="shared" si="104"/>
        <v>134.6153846</v>
      </c>
      <c r="AF584" s="127" t="s">
        <v>13228</v>
      </c>
      <c r="AG584" s="127">
        <v>0.0</v>
      </c>
      <c r="AH584" s="127">
        <v>0.0</v>
      </c>
      <c r="AI584" s="115" t="s">
        <v>12383</v>
      </c>
      <c r="AJ584" s="116">
        <v>0.57</v>
      </c>
      <c r="AK584" s="117"/>
      <c r="AL584" s="117"/>
      <c r="AM584" s="117"/>
      <c r="AN584" s="117"/>
      <c r="AO584" s="117"/>
    </row>
    <row r="585" ht="34.5" customHeight="1">
      <c r="A585" s="111">
        <v>970.0</v>
      </c>
      <c r="B585" s="111" t="s">
        <v>8565</v>
      </c>
      <c r="C585" s="111" t="s">
        <v>7991</v>
      </c>
      <c r="D585" s="111"/>
      <c r="E585" s="111"/>
      <c r="F585" s="111" t="s">
        <v>12397</v>
      </c>
      <c r="G585" s="111" t="s">
        <v>12226</v>
      </c>
      <c r="H585" s="111"/>
      <c r="I585" s="111" t="s">
        <v>12287</v>
      </c>
      <c r="J585" s="111"/>
      <c r="K585" s="111" t="s">
        <v>30</v>
      </c>
      <c r="L585" s="111"/>
      <c r="M585" s="111"/>
      <c r="N585" s="111"/>
      <c r="O585" s="111"/>
      <c r="P585" s="111">
        <v>1.0</v>
      </c>
      <c r="Q585" s="111"/>
      <c r="R585" s="111"/>
      <c r="S585" s="111"/>
      <c r="T585" s="111"/>
      <c r="U585" s="111"/>
      <c r="V585" s="111"/>
      <c r="W585" s="111"/>
      <c r="X585" s="111"/>
      <c r="Y585" s="111"/>
      <c r="Z585" s="111" t="s">
        <v>12723</v>
      </c>
      <c r="AA585" s="124">
        <v>1000.0</v>
      </c>
      <c r="AB585" s="125">
        <f>IF(Projects!$AI585="Electrolysis",
AA585/VLOOKUP(G585,ElectrolysisConvF,3,FALSE),
AC585*10^6/(H2dens*HoursInYear))</f>
        <v>192307.6923</v>
      </c>
      <c r="AC585" s="126">
        <f t="shared" si="105"/>
        <v>149.9307692</v>
      </c>
      <c r="AD585" s="125"/>
      <c r="AE585" s="125">
        <f t="shared" si="104"/>
        <v>192307.6923</v>
      </c>
      <c r="AF585" s="127" t="s">
        <v>13229</v>
      </c>
      <c r="AG585" s="127">
        <v>53.6740064201914</v>
      </c>
      <c r="AH585" s="127">
        <v>-0.570627592253947</v>
      </c>
      <c r="AI585" s="115" t="s">
        <v>12383</v>
      </c>
      <c r="AJ585" s="116">
        <v>0.57</v>
      </c>
      <c r="AK585" s="117"/>
      <c r="AL585" s="117"/>
      <c r="AM585" s="117"/>
      <c r="AN585" s="117"/>
      <c r="AO585" s="117"/>
    </row>
    <row r="586" ht="34.5" customHeight="1">
      <c r="A586" s="111">
        <v>971.0</v>
      </c>
      <c r="B586" s="111" t="s">
        <v>8566</v>
      </c>
      <c r="C586" s="111" t="s">
        <v>7991</v>
      </c>
      <c r="D586" s="111">
        <v>2019.0</v>
      </c>
      <c r="E586" s="111">
        <v>2022.0</v>
      </c>
      <c r="F586" s="111" t="s">
        <v>12437</v>
      </c>
      <c r="G586" s="111" t="s">
        <v>12226</v>
      </c>
      <c r="H586" s="111"/>
      <c r="I586" s="111" t="s">
        <v>12406</v>
      </c>
      <c r="J586" s="111" t="str">
        <f>IF(I586&lt;&gt;"Dedicated renewable","N/A",)</f>
        <v>N/A</v>
      </c>
      <c r="K586" s="111" t="s">
        <v>30</v>
      </c>
      <c r="L586" s="111"/>
      <c r="M586" s="111"/>
      <c r="N586" s="111"/>
      <c r="O586" s="111"/>
      <c r="P586" s="111"/>
      <c r="Q586" s="111">
        <v>1.0</v>
      </c>
      <c r="R586" s="111"/>
      <c r="S586" s="111"/>
      <c r="T586" s="111"/>
      <c r="U586" s="111"/>
      <c r="V586" s="111"/>
      <c r="W586" s="111"/>
      <c r="X586" s="111"/>
      <c r="Y586" s="111"/>
      <c r="Z586" s="111"/>
      <c r="AA586" s="124"/>
      <c r="AB586" s="125"/>
      <c r="AC586" s="126"/>
      <c r="AD586" s="125"/>
      <c r="AE586" s="125" t="str">
        <f t="shared" si="104"/>
        <v/>
      </c>
      <c r="AF586" s="127" t="s">
        <v>13230</v>
      </c>
      <c r="AG586" s="127">
        <v>51.160774407405</v>
      </c>
      <c r="AH586" s="127">
        <v>-0.175151716611809</v>
      </c>
      <c r="AI586" s="115" t="s">
        <v>12383</v>
      </c>
      <c r="AJ586" s="116">
        <v>0.57</v>
      </c>
      <c r="AK586" s="117"/>
      <c r="AL586" s="117"/>
      <c r="AM586" s="117"/>
      <c r="AN586" s="117"/>
      <c r="AO586" s="117"/>
    </row>
    <row r="587" ht="34.5" customHeight="1">
      <c r="A587" s="111">
        <v>972.0</v>
      </c>
      <c r="B587" s="111" t="s">
        <v>8567</v>
      </c>
      <c r="C587" s="111" t="s">
        <v>8021</v>
      </c>
      <c r="D587" s="111">
        <v>2018.0</v>
      </c>
      <c r="E587" s="111"/>
      <c r="F587" s="111" t="s">
        <v>12385</v>
      </c>
      <c r="G587" s="111" t="s">
        <v>12226</v>
      </c>
      <c r="H587" s="111"/>
      <c r="I587" s="111" t="s">
        <v>12287</v>
      </c>
      <c r="J587" s="111"/>
      <c r="K587" s="111" t="s">
        <v>30</v>
      </c>
      <c r="L587" s="111"/>
      <c r="M587" s="111"/>
      <c r="N587" s="111"/>
      <c r="O587" s="111"/>
      <c r="P587" s="111"/>
      <c r="Q587" s="111"/>
      <c r="R587" s="111"/>
      <c r="S587" s="111"/>
      <c r="T587" s="111"/>
      <c r="U587" s="111"/>
      <c r="V587" s="111"/>
      <c r="W587" s="111"/>
      <c r="X587" s="111"/>
      <c r="Y587" s="111"/>
      <c r="Z587" s="111" t="s">
        <v>13231</v>
      </c>
      <c r="AA587" s="129">
        <f>4*0.25</f>
        <v>1</v>
      </c>
      <c r="AB587" s="125">
        <f>IF(Projects!$AI587="Electrolysis",
AA587/VLOOKUP(G587,ElectrolysisConvF,3,FALSE),
AC587*10^6/(H2dens*HoursInYear))</f>
        <v>192.3076923</v>
      </c>
      <c r="AC587" s="126">
        <f>AB587*H2dens*HoursInYear/10^6</f>
        <v>0.1499307692</v>
      </c>
      <c r="AD587" s="125"/>
      <c r="AE587" s="125">
        <f t="shared" si="104"/>
        <v>192.3076923</v>
      </c>
      <c r="AF587" s="127" t="s">
        <v>13232</v>
      </c>
      <c r="AG587" s="127">
        <v>0.0</v>
      </c>
      <c r="AH587" s="127">
        <v>0.0</v>
      </c>
      <c r="AI587" s="115" t="s">
        <v>12383</v>
      </c>
      <c r="AJ587" s="116">
        <v>0.57</v>
      </c>
      <c r="AK587" s="117"/>
      <c r="AL587" s="117"/>
      <c r="AM587" s="117"/>
      <c r="AN587" s="117"/>
      <c r="AO587" s="117"/>
    </row>
    <row r="588" ht="34.5" customHeight="1">
      <c r="A588" s="111">
        <v>973.0</v>
      </c>
      <c r="B588" s="111" t="s">
        <v>8568</v>
      </c>
      <c r="C588" s="111" t="s">
        <v>7991</v>
      </c>
      <c r="D588" s="111">
        <v>2018.0</v>
      </c>
      <c r="E588" s="111"/>
      <c r="F588" s="111" t="s">
        <v>12385</v>
      </c>
      <c r="G588" s="111" t="s">
        <v>12226</v>
      </c>
      <c r="H588" s="111"/>
      <c r="I588" s="111" t="s">
        <v>12406</v>
      </c>
      <c r="J588" s="111" t="str">
        <f t="shared" ref="J588:J589" si="106">IF(I588&lt;&gt;"Dedicated renewable","N/A",)</f>
        <v>N/A</v>
      </c>
      <c r="K588" s="111" t="s">
        <v>30</v>
      </c>
      <c r="L588" s="111"/>
      <c r="M588" s="111"/>
      <c r="N588" s="111"/>
      <c r="O588" s="111"/>
      <c r="P588" s="111"/>
      <c r="Q588" s="111">
        <v>1.0</v>
      </c>
      <c r="R588" s="111"/>
      <c r="S588" s="111"/>
      <c r="T588" s="111"/>
      <c r="U588" s="111"/>
      <c r="V588" s="111"/>
      <c r="W588" s="111"/>
      <c r="X588" s="111"/>
      <c r="Y588" s="111"/>
      <c r="Z588" s="111"/>
      <c r="AA588" s="124"/>
      <c r="AB588" s="125"/>
      <c r="AC588" s="126"/>
      <c r="AD588" s="125"/>
      <c r="AE588" s="125" t="str">
        <f t="shared" si="104"/>
        <v/>
      </c>
      <c r="AF588" s="127" t="s">
        <v>13233</v>
      </c>
      <c r="AG588" s="127">
        <v>51.5593433417971</v>
      </c>
      <c r="AH588" s="127">
        <v>-1.78200936414917</v>
      </c>
      <c r="AI588" s="115" t="s">
        <v>12383</v>
      </c>
      <c r="AJ588" s="116">
        <v>0.57</v>
      </c>
      <c r="AK588" s="117"/>
      <c r="AL588" s="117"/>
      <c r="AM588" s="117"/>
      <c r="AN588" s="117"/>
      <c r="AO588" s="117"/>
    </row>
    <row r="589" ht="34.5" customHeight="1">
      <c r="A589" s="111">
        <v>974.0</v>
      </c>
      <c r="B589" s="111" t="s">
        <v>8569</v>
      </c>
      <c r="C589" s="111" t="s">
        <v>7991</v>
      </c>
      <c r="D589" s="111">
        <v>2018.0</v>
      </c>
      <c r="E589" s="111">
        <v>2022.0</v>
      </c>
      <c r="F589" s="145" t="s">
        <v>12437</v>
      </c>
      <c r="G589" s="145" t="s">
        <v>12226</v>
      </c>
      <c r="H589" s="145"/>
      <c r="I589" s="145" t="s">
        <v>12406</v>
      </c>
      <c r="J589" s="111" t="str">
        <f t="shared" si="106"/>
        <v>N/A</v>
      </c>
      <c r="K589" s="111" t="s">
        <v>30</v>
      </c>
      <c r="L589" s="111"/>
      <c r="M589" s="111"/>
      <c r="N589" s="111"/>
      <c r="O589" s="111"/>
      <c r="P589" s="111"/>
      <c r="Q589" s="111">
        <v>1.0</v>
      </c>
      <c r="R589" s="111"/>
      <c r="S589" s="111"/>
      <c r="T589" s="111"/>
      <c r="U589" s="111"/>
      <c r="V589" s="111"/>
      <c r="W589" s="111"/>
      <c r="X589" s="111"/>
      <c r="Y589" s="111"/>
      <c r="Z589" s="111"/>
      <c r="AA589" s="124"/>
      <c r="AB589" s="125"/>
      <c r="AC589" s="126"/>
      <c r="AD589" s="125"/>
      <c r="AE589" s="125" t="str">
        <f t="shared" si="104"/>
        <v/>
      </c>
      <c r="AF589" s="127" t="s">
        <v>13234</v>
      </c>
      <c r="AG589" s="127">
        <v>51.6043847211121</v>
      </c>
      <c r="AH589" s="127">
        <v>-0.647719825717195</v>
      </c>
      <c r="AI589" s="115" t="s">
        <v>12383</v>
      </c>
      <c r="AJ589" s="116">
        <v>0.57</v>
      </c>
      <c r="AK589" s="117"/>
      <c r="AL589" s="117"/>
      <c r="AM589" s="117"/>
      <c r="AN589" s="117"/>
      <c r="AO589" s="117"/>
    </row>
    <row r="590" ht="34.5" customHeight="1">
      <c r="A590" s="111">
        <v>975.0</v>
      </c>
      <c r="B590" s="111" t="s">
        <v>8570</v>
      </c>
      <c r="C590" s="111" t="s">
        <v>8021</v>
      </c>
      <c r="D590" s="111"/>
      <c r="E590" s="111"/>
      <c r="F590" s="111" t="s">
        <v>12397</v>
      </c>
      <c r="G590" s="111" t="s">
        <v>12381</v>
      </c>
      <c r="H590" s="145" t="s">
        <v>12230</v>
      </c>
      <c r="I590" s="111" t="s">
        <v>12394</v>
      </c>
      <c r="J590" s="111" t="s">
        <v>12291</v>
      </c>
      <c r="K590" s="111" t="s">
        <v>30</v>
      </c>
      <c r="L590" s="111">
        <v>1.0</v>
      </c>
      <c r="M590" s="111"/>
      <c r="N590" s="111"/>
      <c r="O590" s="111"/>
      <c r="P590" s="111"/>
      <c r="Q590" s="111"/>
      <c r="R590" s="111"/>
      <c r="S590" s="111"/>
      <c r="T590" s="111"/>
      <c r="U590" s="111"/>
      <c r="V590" s="111"/>
      <c r="W590" s="111"/>
      <c r="X590" s="111"/>
      <c r="Y590" s="111"/>
      <c r="Z590" s="111"/>
      <c r="AA590" s="124"/>
      <c r="AB590" s="125"/>
      <c r="AC590" s="126"/>
      <c r="AD590" s="125"/>
      <c r="AE590" s="125" t="str">
        <f t="shared" si="104"/>
        <v/>
      </c>
      <c r="AF590" s="127" t="s">
        <v>13235</v>
      </c>
      <c r="AG590" s="127">
        <v>-23.8402075908997</v>
      </c>
      <c r="AH590" s="127">
        <v>151.047341874176</v>
      </c>
      <c r="AI590" s="115" t="s">
        <v>12383</v>
      </c>
      <c r="AJ590" s="116">
        <v>0.3</v>
      </c>
      <c r="AK590" s="117"/>
      <c r="AL590" s="117"/>
      <c r="AM590" s="117"/>
      <c r="AN590" s="117"/>
      <c r="AO590" s="117"/>
    </row>
    <row r="591" ht="34.5" customHeight="1">
      <c r="A591" s="111">
        <v>976.0</v>
      </c>
      <c r="B591" s="111" t="s">
        <v>8571</v>
      </c>
      <c r="C591" s="111" t="s">
        <v>7971</v>
      </c>
      <c r="D591" s="111">
        <v>2030.0</v>
      </c>
      <c r="E591" s="111"/>
      <c r="F591" s="111" t="s">
        <v>12393</v>
      </c>
      <c r="G591" s="111" t="s">
        <v>12381</v>
      </c>
      <c r="H591" s="145" t="s">
        <v>12230</v>
      </c>
      <c r="I591" s="111" t="s">
        <v>12394</v>
      </c>
      <c r="J591" s="111" t="s">
        <v>12296</v>
      </c>
      <c r="K591" s="111" t="s">
        <v>30</v>
      </c>
      <c r="L591" s="111"/>
      <c r="M591" s="111"/>
      <c r="N591" s="111"/>
      <c r="O591" s="111"/>
      <c r="P591" s="111"/>
      <c r="Q591" s="111">
        <v>1.0</v>
      </c>
      <c r="R591" s="111"/>
      <c r="S591" s="111"/>
      <c r="T591" s="111"/>
      <c r="U591" s="111"/>
      <c r="V591" s="111"/>
      <c r="W591" s="111"/>
      <c r="X591" s="111"/>
      <c r="Y591" s="111"/>
      <c r="Z591" s="111" t="s">
        <v>12411</v>
      </c>
      <c r="AA591" s="124">
        <v>20.0</v>
      </c>
      <c r="AB591" s="125">
        <f>IF(Projects!$AI591="Electrolysis",
AA591/VLOOKUP(G591,ElectrolysisConvF,3,FALSE),
AC591*10^6/(H2dens*HoursInYear))</f>
        <v>4444.444444</v>
      </c>
      <c r="AC591" s="126">
        <f t="shared" ref="AC591:AC592" si="107">AB591*H2dens*HoursInYear/10^6</f>
        <v>3.465066667</v>
      </c>
      <c r="AD591" s="125"/>
      <c r="AE591" s="125">
        <f t="shared" si="104"/>
        <v>4444.444444</v>
      </c>
      <c r="AF591" s="127" t="s">
        <v>13236</v>
      </c>
      <c r="AG591" s="127">
        <v>59.1356284612505</v>
      </c>
      <c r="AH591" s="127">
        <v>9.62824770579228</v>
      </c>
      <c r="AI591" s="115" t="s">
        <v>12383</v>
      </c>
      <c r="AJ591" s="116">
        <v>0.5</v>
      </c>
      <c r="AK591" s="117"/>
      <c r="AL591" s="117"/>
      <c r="AM591" s="117"/>
      <c r="AN591" s="117"/>
      <c r="AO591" s="117"/>
    </row>
    <row r="592" ht="34.5" customHeight="1">
      <c r="A592" s="111">
        <v>977.0</v>
      </c>
      <c r="B592" s="111" t="s">
        <v>8572</v>
      </c>
      <c r="C592" s="111" t="s">
        <v>7967</v>
      </c>
      <c r="D592" s="111">
        <v>2027.0</v>
      </c>
      <c r="E592" s="111"/>
      <c r="F592" s="111" t="s">
        <v>12399</v>
      </c>
      <c r="G592" s="111" t="s">
        <v>12381</v>
      </c>
      <c r="H592" s="145" t="s">
        <v>12230</v>
      </c>
      <c r="I592" s="111" t="s">
        <v>12394</v>
      </c>
      <c r="J592" s="111" t="s">
        <v>12296</v>
      </c>
      <c r="K592" s="111" t="s">
        <v>12251</v>
      </c>
      <c r="L592" s="111"/>
      <c r="M592" s="111"/>
      <c r="N592" s="111"/>
      <c r="O592" s="111"/>
      <c r="P592" s="111"/>
      <c r="Q592" s="111"/>
      <c r="R592" s="111"/>
      <c r="S592" s="111"/>
      <c r="T592" s="111"/>
      <c r="U592" s="111"/>
      <c r="V592" s="111"/>
      <c r="W592" s="111">
        <v>1.0</v>
      </c>
      <c r="X592" s="111"/>
      <c r="Y592" s="111"/>
      <c r="Z592" s="111" t="s">
        <v>12698</v>
      </c>
      <c r="AA592" s="124">
        <v>100.0</v>
      </c>
      <c r="AB592" s="125">
        <f>IF(Projects!$AI592="Electrolysis",
AA592/VLOOKUP(G592,ElectrolysisConvF,3,FALSE),
AC592*10^6/(H2dens*HoursInYear))</f>
        <v>22222.22222</v>
      </c>
      <c r="AC592" s="126">
        <f t="shared" si="107"/>
        <v>17.32533333</v>
      </c>
      <c r="AD592" s="125"/>
      <c r="AE592" s="125">
        <f t="shared" si="104"/>
        <v>22222.22222</v>
      </c>
      <c r="AF592" s="127" t="s">
        <v>13237</v>
      </c>
      <c r="AG592" s="127">
        <v>52.3661016838894</v>
      </c>
      <c r="AH592" s="127">
        <v>5.03477403347359</v>
      </c>
      <c r="AI592" s="115" t="s">
        <v>12383</v>
      </c>
      <c r="AJ592" s="116">
        <v>0.5</v>
      </c>
      <c r="AK592" s="117"/>
      <c r="AL592" s="117"/>
      <c r="AM592" s="117"/>
      <c r="AN592" s="117"/>
      <c r="AO592" s="117"/>
    </row>
    <row r="593" ht="34.5" customHeight="1">
      <c r="A593" s="111">
        <v>978.0</v>
      </c>
      <c r="B593" s="111" t="s">
        <v>8573</v>
      </c>
      <c r="C593" s="111" t="s">
        <v>7967</v>
      </c>
      <c r="D593" s="111">
        <v>2026.0</v>
      </c>
      <c r="E593" s="111"/>
      <c r="F593" s="111" t="s">
        <v>12418</v>
      </c>
      <c r="G593" s="111" t="s">
        <v>12381</v>
      </c>
      <c r="H593" s="145" t="s">
        <v>12230</v>
      </c>
      <c r="I593" s="111" t="s">
        <v>12287</v>
      </c>
      <c r="J593" s="111"/>
      <c r="K593" s="111" t="s">
        <v>12251</v>
      </c>
      <c r="L593" s="111"/>
      <c r="M593" s="111"/>
      <c r="N593" s="111"/>
      <c r="O593" s="111"/>
      <c r="P593" s="111"/>
      <c r="Q593" s="111"/>
      <c r="R593" s="111"/>
      <c r="S593" s="111"/>
      <c r="T593" s="111"/>
      <c r="U593" s="111"/>
      <c r="V593" s="111"/>
      <c r="W593" s="111">
        <v>1.0</v>
      </c>
      <c r="X593" s="111"/>
      <c r="Y593" s="111"/>
      <c r="Z593" s="111" t="s">
        <v>13238</v>
      </c>
      <c r="AA593" s="129">
        <f>IF(Projects!$AI593="Electrolysis",
AB593*VLOOKUP(G593,ElectrolysisConvF,3,FALSE),
"")</f>
        <v>1.456498307</v>
      </c>
      <c r="AB593" s="125">
        <f>AC593/(H2dens*HoursInYear/10^6)</f>
        <v>323.6662905</v>
      </c>
      <c r="AC593" s="126">
        <f>0.28*0.045/0.73/0.12/Projects!$AJ593</f>
        <v>0.2523431867</v>
      </c>
      <c r="AD593" s="125"/>
      <c r="AE593" s="125">
        <f t="shared" si="104"/>
        <v>323.6662905</v>
      </c>
      <c r="AF593" s="127" t="s">
        <v>13239</v>
      </c>
      <c r="AG593" s="127">
        <v>51.9563851054581</v>
      </c>
      <c r="AH593" s="127">
        <v>4.42022132090338</v>
      </c>
      <c r="AI593" s="115" t="s">
        <v>12383</v>
      </c>
      <c r="AJ593" s="116">
        <v>0.57</v>
      </c>
      <c r="AK593" s="117"/>
      <c r="AL593" s="117"/>
      <c r="AM593" s="117"/>
      <c r="AN593" s="117"/>
      <c r="AO593" s="117"/>
    </row>
    <row r="594" ht="34.5" customHeight="1">
      <c r="A594" s="111">
        <v>979.0</v>
      </c>
      <c r="B594" s="111" t="s">
        <v>8574</v>
      </c>
      <c r="C594" s="111" t="s">
        <v>7991</v>
      </c>
      <c r="D594" s="111">
        <v>2027.0</v>
      </c>
      <c r="E594" s="111"/>
      <c r="F594" s="111" t="s">
        <v>12399</v>
      </c>
      <c r="G594" s="111" t="s">
        <v>12235</v>
      </c>
      <c r="H594" s="111" t="s">
        <v>13240</v>
      </c>
      <c r="I594" s="111"/>
      <c r="J594" s="111"/>
      <c r="K594" s="111" t="s">
        <v>30</v>
      </c>
      <c r="L594" s="111"/>
      <c r="M594" s="111"/>
      <c r="N594" s="111"/>
      <c r="O594" s="111"/>
      <c r="P594" s="111">
        <v>1.0</v>
      </c>
      <c r="Q594" s="111"/>
      <c r="R594" s="111"/>
      <c r="S594" s="111"/>
      <c r="T594" s="111">
        <v>1.0</v>
      </c>
      <c r="U594" s="111"/>
      <c r="V594" s="111"/>
      <c r="W594" s="111"/>
      <c r="X594" s="111"/>
      <c r="Y594" s="111"/>
      <c r="Z594" s="111" t="s">
        <v>13241</v>
      </c>
      <c r="AA594" s="129" t="str">
        <f>IF(Projects!$AI594="Electrolysis",
AB594*VLOOKUP(G594,ElectrolysisConvF,3,FALSE),
"")</f>
        <v/>
      </c>
      <c r="AB594" s="125">
        <f>IF(Projects!$AI594="Electrolysis",
AA594/VLOOKUP(G594,ElectrolysisConvF,3,FALSE),
AC594*10^6/(H2dens*HoursInYear))</f>
        <v>192134.8315</v>
      </c>
      <c r="AC594" s="126">
        <f t="shared" ref="AC594:AC595" si="108">600*HoursInYear*0.95*3.6/120/1000</f>
        <v>149.796</v>
      </c>
      <c r="AD594" s="125">
        <v>1000000.0</v>
      </c>
      <c r="AE594" s="125">
        <f t="shared" si="104"/>
        <v>125376.4428</v>
      </c>
      <c r="AF594" s="127" t="s">
        <v>13242</v>
      </c>
      <c r="AG594" s="127">
        <v>54.5523921178758</v>
      </c>
      <c r="AH594" s="127">
        <v>-1.31191618074151</v>
      </c>
      <c r="AI594" s="115" t="s">
        <v>12378</v>
      </c>
      <c r="AJ594" s="116">
        <v>0.9</v>
      </c>
      <c r="AK594" s="117"/>
      <c r="AL594" s="117"/>
      <c r="AM594" s="117"/>
      <c r="AN594" s="117"/>
      <c r="AO594" s="117"/>
    </row>
    <row r="595" ht="34.5" customHeight="1">
      <c r="A595" s="111">
        <v>980.0</v>
      </c>
      <c r="B595" s="111" t="s">
        <v>8575</v>
      </c>
      <c r="C595" s="111" t="s">
        <v>7991</v>
      </c>
      <c r="D595" s="111">
        <v>2030.0</v>
      </c>
      <c r="E595" s="111"/>
      <c r="F595" s="111" t="s">
        <v>12399</v>
      </c>
      <c r="G595" s="111" t="s">
        <v>12235</v>
      </c>
      <c r="H595" s="111" t="s">
        <v>13240</v>
      </c>
      <c r="I595" s="111"/>
      <c r="J595" s="111"/>
      <c r="K595" s="111" t="s">
        <v>30</v>
      </c>
      <c r="L595" s="111"/>
      <c r="M595" s="111"/>
      <c r="N595" s="111"/>
      <c r="O595" s="111"/>
      <c r="P595" s="111"/>
      <c r="Q595" s="111"/>
      <c r="R595" s="111"/>
      <c r="S595" s="111"/>
      <c r="T595" s="111"/>
      <c r="U595" s="111"/>
      <c r="V595" s="111"/>
      <c r="W595" s="111"/>
      <c r="X595" s="111"/>
      <c r="Y595" s="111"/>
      <c r="Z595" s="111" t="s">
        <v>13243</v>
      </c>
      <c r="AA595" s="129" t="str">
        <f>IF(Projects!$AI595="Electrolysis",
AB595*VLOOKUP(G595,ElectrolysisConvF,3,FALSE),
"")</f>
        <v/>
      </c>
      <c r="AB595" s="125">
        <f>IF(Projects!$AI595="Electrolysis",
AA595/VLOOKUP(G595,ElectrolysisConvF,3,FALSE),
AC595*10^6/(H2dens*HoursInYear))</f>
        <v>192134.8315</v>
      </c>
      <c r="AC595" s="126">
        <f t="shared" si="108"/>
        <v>149.796</v>
      </c>
      <c r="AD595" s="125">
        <v>1000000.0</v>
      </c>
      <c r="AE595" s="125">
        <f t="shared" si="104"/>
        <v>125376.4428</v>
      </c>
      <c r="AF595" s="127" t="s">
        <v>13242</v>
      </c>
      <c r="AG595" s="127">
        <v>54.5523921178758</v>
      </c>
      <c r="AH595" s="127">
        <v>-1.31191618074151</v>
      </c>
      <c r="AI595" s="115" t="s">
        <v>12378</v>
      </c>
      <c r="AJ595" s="116">
        <v>0.9</v>
      </c>
      <c r="AK595" s="117"/>
      <c r="AL595" s="117"/>
      <c r="AM595" s="117"/>
      <c r="AN595" s="117"/>
      <c r="AO595" s="117"/>
    </row>
    <row r="596" ht="34.5" customHeight="1">
      <c r="A596" s="111">
        <v>981.0</v>
      </c>
      <c r="B596" s="111" t="s">
        <v>8576</v>
      </c>
      <c r="C596" s="111" t="s">
        <v>7983</v>
      </c>
      <c r="D596" s="111">
        <v>2024.0</v>
      </c>
      <c r="E596" s="111"/>
      <c r="F596" s="111" t="s">
        <v>12385</v>
      </c>
      <c r="G596" s="111" t="s">
        <v>12226</v>
      </c>
      <c r="H596" s="111"/>
      <c r="I596" s="111" t="s">
        <v>12287</v>
      </c>
      <c r="J596" s="111"/>
      <c r="K596" s="111" t="s">
        <v>30</v>
      </c>
      <c r="L596" s="111"/>
      <c r="M596" s="111"/>
      <c r="N596" s="111"/>
      <c r="O596" s="111"/>
      <c r="P596" s="111"/>
      <c r="Q596" s="111"/>
      <c r="R596" s="111"/>
      <c r="S596" s="111"/>
      <c r="T596" s="111"/>
      <c r="U596" s="111"/>
      <c r="V596" s="111"/>
      <c r="W596" s="111">
        <v>1.0</v>
      </c>
      <c r="X596" s="111"/>
      <c r="Y596" s="111"/>
      <c r="Z596" s="111" t="s">
        <v>12424</v>
      </c>
      <c r="AA596" s="124">
        <v>2.0</v>
      </c>
      <c r="AB596" s="125">
        <f>IF(Projects!$AI596="Electrolysis",
AA596/VLOOKUP(G596,ElectrolysisConvF,3,FALSE),
AC596*10^6/(H2dens*HoursInYear))</f>
        <v>384.6153846</v>
      </c>
      <c r="AC596" s="126">
        <f>AB596*H2dens*HoursInYear/10^6</f>
        <v>0.2998615385</v>
      </c>
      <c r="AD596" s="125"/>
      <c r="AE596" s="125">
        <f t="shared" si="104"/>
        <v>384.6153846</v>
      </c>
      <c r="AF596" s="127" t="s">
        <v>13244</v>
      </c>
      <c r="AG596" s="127">
        <v>35.443707</v>
      </c>
      <c r="AH596" s="127">
        <v>139.638031</v>
      </c>
      <c r="AI596" s="115" t="s">
        <v>12383</v>
      </c>
      <c r="AJ596" s="116">
        <v>0.57</v>
      </c>
      <c r="AK596" s="117"/>
      <c r="AL596" s="117"/>
      <c r="AM596" s="117"/>
      <c r="AN596" s="117"/>
      <c r="AO596" s="117"/>
    </row>
    <row r="597" ht="34.5" customHeight="1">
      <c r="A597" s="111">
        <v>982.0</v>
      </c>
      <c r="B597" s="111" t="s">
        <v>8577</v>
      </c>
      <c r="C597" s="111" t="s">
        <v>8578</v>
      </c>
      <c r="D597" s="111"/>
      <c r="E597" s="111"/>
      <c r="F597" s="111" t="s">
        <v>12399</v>
      </c>
      <c r="G597" s="111" t="s">
        <v>12235</v>
      </c>
      <c r="H597" s="111" t="s">
        <v>13160</v>
      </c>
      <c r="I597" s="111"/>
      <c r="J597" s="111"/>
      <c r="K597" s="111" t="s">
        <v>174</v>
      </c>
      <c r="L597" s="111"/>
      <c r="M597" s="111">
        <v>1.0</v>
      </c>
      <c r="N597" s="111"/>
      <c r="O597" s="111"/>
      <c r="P597" s="111"/>
      <c r="Q597" s="111"/>
      <c r="R597" s="111"/>
      <c r="S597" s="111"/>
      <c r="T597" s="111"/>
      <c r="U597" s="111"/>
      <c r="V597" s="111"/>
      <c r="W597" s="111"/>
      <c r="X597" s="111"/>
      <c r="Y597" s="111"/>
      <c r="Z597" s="111" t="s">
        <v>13245</v>
      </c>
      <c r="AA597" s="124"/>
      <c r="AB597" s="125"/>
      <c r="AC597" s="126"/>
      <c r="AD597" s="125"/>
      <c r="AE597" s="125">
        <f t="shared" si="104"/>
        <v>0</v>
      </c>
      <c r="AF597" s="127" t="s">
        <v>13246</v>
      </c>
      <c r="AG597" s="127">
        <v>-0.938827956168421</v>
      </c>
      <c r="AH597" s="127">
        <v>122.79250042014</v>
      </c>
      <c r="AI597" s="115" t="s">
        <v>12378</v>
      </c>
      <c r="AJ597" s="116">
        <v>0.9</v>
      </c>
      <c r="AK597" s="117"/>
      <c r="AL597" s="117"/>
      <c r="AM597" s="117"/>
      <c r="AN597" s="117"/>
      <c r="AO597" s="117"/>
    </row>
    <row r="598" ht="34.5" customHeight="1">
      <c r="A598" s="111">
        <v>984.0</v>
      </c>
      <c r="B598" s="111" t="s">
        <v>8579</v>
      </c>
      <c r="C598" s="111" t="s">
        <v>7971</v>
      </c>
      <c r="D598" s="111">
        <v>2028.0</v>
      </c>
      <c r="E598" s="111"/>
      <c r="F598" s="111" t="s">
        <v>12399</v>
      </c>
      <c r="G598" s="111" t="s">
        <v>12235</v>
      </c>
      <c r="H598" s="111" t="s">
        <v>12529</v>
      </c>
      <c r="I598" s="111"/>
      <c r="J598" s="111"/>
      <c r="K598" s="111" t="s">
        <v>174</v>
      </c>
      <c r="L598" s="111"/>
      <c r="M598" s="111">
        <v>1.0</v>
      </c>
      <c r="N598" s="111"/>
      <c r="O598" s="111"/>
      <c r="P598" s="111"/>
      <c r="Q598" s="111"/>
      <c r="R598" s="111"/>
      <c r="S598" s="111"/>
      <c r="T598" s="111"/>
      <c r="U598" s="111"/>
      <c r="V598" s="111"/>
      <c r="W598" s="111"/>
      <c r="X598" s="111"/>
      <c r="Y598" s="111"/>
      <c r="Z598" s="111" t="s">
        <v>13247</v>
      </c>
      <c r="AA598" s="129" t="str">
        <f>IF(Projects!$AI598="Electrolysis",
AB598*VLOOKUP(G598,ElectrolysisConvF,3,FALSE),
"")</f>
        <v/>
      </c>
      <c r="AB598" s="125">
        <f>AC598/(H2dens*HoursInYear/10^6)</f>
        <v>230968.1761</v>
      </c>
      <c r="AC598" s="126">
        <f>1000*3/17/0.98</f>
        <v>180.0720288</v>
      </c>
      <c r="AD598" s="125">
        <v>2000000.0</v>
      </c>
      <c r="AE598" s="125">
        <f t="shared" si="104"/>
        <v>250752.8855</v>
      </c>
      <c r="AF598" s="127" t="s">
        <v>13248</v>
      </c>
      <c r="AG598" s="127">
        <v>70.4799</v>
      </c>
      <c r="AH598" s="127">
        <v>24.2633</v>
      </c>
      <c r="AI598" s="115" t="s">
        <v>12378</v>
      </c>
      <c r="AJ598" s="116">
        <v>0.9</v>
      </c>
      <c r="AK598" s="117"/>
      <c r="AL598" s="117"/>
      <c r="AM598" s="117"/>
      <c r="AN598" s="117"/>
      <c r="AO598" s="117"/>
    </row>
    <row r="599" ht="34.5" customHeight="1">
      <c r="A599" s="111">
        <v>985.0</v>
      </c>
      <c r="B599" s="111" t="s">
        <v>8580</v>
      </c>
      <c r="C599" s="111" t="s">
        <v>7977</v>
      </c>
      <c r="D599" s="111"/>
      <c r="E599" s="111"/>
      <c r="F599" s="111" t="s">
        <v>12397</v>
      </c>
      <c r="G599" s="111" t="s">
        <v>12381</v>
      </c>
      <c r="H599" s="111" t="s">
        <v>12230</v>
      </c>
      <c r="I599" s="111" t="s">
        <v>12394</v>
      </c>
      <c r="J599" s="111" t="s">
        <v>12295</v>
      </c>
      <c r="K599" s="111" t="s">
        <v>30</v>
      </c>
      <c r="L599" s="111"/>
      <c r="M599" s="111"/>
      <c r="N599" s="111"/>
      <c r="O599" s="111"/>
      <c r="P599" s="111">
        <v>1.0</v>
      </c>
      <c r="Q599" s="111">
        <v>1.0</v>
      </c>
      <c r="R599" s="111"/>
      <c r="S599" s="111"/>
      <c r="T599" s="111"/>
      <c r="U599" s="111"/>
      <c r="V599" s="111"/>
      <c r="W599" s="111"/>
      <c r="X599" s="111"/>
      <c r="Y599" s="111"/>
      <c r="Z599" s="111" t="s">
        <v>13006</v>
      </c>
      <c r="AA599" s="124">
        <v>160.0</v>
      </c>
      <c r="AB599" s="125">
        <f>IF(Projects!$AI599="Electrolysis",
AA599/VLOOKUP(G599,ElectrolysisConvF,3,FALSE),
AC599*10^6/(H2dens*HoursInYear))</f>
        <v>35555.55556</v>
      </c>
      <c r="AC599" s="126">
        <f t="shared" ref="AC599:AC603" si="109">AB599*H2dens*HoursInYear/10^6</f>
        <v>27.72053333</v>
      </c>
      <c r="AD599" s="125"/>
      <c r="AE599" s="125">
        <f>AB599</f>
        <v>35555.55556</v>
      </c>
      <c r="AF599" s="127" t="s">
        <v>13249</v>
      </c>
      <c r="AG599" s="127">
        <v>41.5351238477826</v>
      </c>
      <c r="AH599" s="127">
        <v>-0.891003207720106</v>
      </c>
      <c r="AI599" s="115" t="s">
        <v>12383</v>
      </c>
      <c r="AJ599" s="116">
        <v>0.5</v>
      </c>
      <c r="AK599" s="117"/>
      <c r="AL599" s="117"/>
      <c r="AM599" s="117"/>
      <c r="AN599" s="117"/>
      <c r="AO599" s="117"/>
    </row>
    <row r="600" ht="34.5" customHeight="1">
      <c r="A600" s="111">
        <v>986.0</v>
      </c>
      <c r="B600" s="111" t="s">
        <v>8581</v>
      </c>
      <c r="C600" s="111" t="s">
        <v>8582</v>
      </c>
      <c r="D600" s="111">
        <v>2026.0</v>
      </c>
      <c r="E600" s="111"/>
      <c r="F600" s="111" t="s">
        <v>12399</v>
      </c>
      <c r="G600" s="111" t="s">
        <v>12226</v>
      </c>
      <c r="H600" s="111"/>
      <c r="I600" s="111" t="s">
        <v>12394</v>
      </c>
      <c r="J600" s="111" t="s">
        <v>12291</v>
      </c>
      <c r="K600" s="111" t="s">
        <v>30</v>
      </c>
      <c r="L600" s="111"/>
      <c r="M600" s="111"/>
      <c r="N600" s="111"/>
      <c r="O600" s="111"/>
      <c r="P600" s="111"/>
      <c r="Q600" s="111"/>
      <c r="R600" s="111">
        <v>1.0</v>
      </c>
      <c r="S600" s="111"/>
      <c r="T600" s="111"/>
      <c r="U600" s="111"/>
      <c r="V600" s="111"/>
      <c r="W600" s="111"/>
      <c r="X600" s="111"/>
      <c r="Y600" s="111"/>
      <c r="Z600" s="111" t="s">
        <v>12824</v>
      </c>
      <c r="AA600" s="124">
        <v>15.0</v>
      </c>
      <c r="AB600" s="125">
        <f>IF(Projects!$AI600="Electrolysis",
AA600/VLOOKUP(G600,ElectrolysisConvF,3,FALSE),
AC600*10^6/(H2dens*HoursInYear))</f>
        <v>2884.615385</v>
      </c>
      <c r="AC600" s="126">
        <f t="shared" si="109"/>
        <v>2.248961538</v>
      </c>
      <c r="AD600" s="125"/>
      <c r="AE600" s="125">
        <f t="shared" ref="AE600:AE617" si="110">IF(AND(G600&lt;&gt;"NG w CCUS",G600&lt;&gt;"Oil w CCUS",G600&lt;&gt;"Coal w CCUS"),AB600,AD600*10^3/(HoursInYear*IF(G600="NG w CCUS",0.9105,1.9075)))</f>
        <v>2884.615385</v>
      </c>
      <c r="AF600" s="127" t="s">
        <v>13250</v>
      </c>
      <c r="AG600" s="127">
        <v>13.1859485660397</v>
      </c>
      <c r="AH600" s="127">
        <v>-59.5598885696657</v>
      </c>
      <c r="AI600" s="115" t="s">
        <v>12383</v>
      </c>
      <c r="AJ600" s="116">
        <v>0.3</v>
      </c>
      <c r="AK600" s="117"/>
      <c r="AL600" s="117"/>
      <c r="AM600" s="117"/>
      <c r="AN600" s="117"/>
      <c r="AO600" s="117"/>
    </row>
    <row r="601" ht="34.5" customHeight="1">
      <c r="A601" s="111">
        <v>987.0</v>
      </c>
      <c r="B601" s="111" t="s">
        <v>8583</v>
      </c>
      <c r="C601" s="111" t="s">
        <v>8011</v>
      </c>
      <c r="D601" s="111">
        <v>2026.0</v>
      </c>
      <c r="E601" s="111"/>
      <c r="F601" s="111" t="s">
        <v>12393</v>
      </c>
      <c r="G601" s="111" t="s">
        <v>12224</v>
      </c>
      <c r="H601" s="111"/>
      <c r="I601" s="111" t="s">
        <v>12394</v>
      </c>
      <c r="J601" s="111" t="s">
        <v>12291</v>
      </c>
      <c r="K601" s="111" t="s">
        <v>30</v>
      </c>
      <c r="L601" s="111"/>
      <c r="M601" s="111"/>
      <c r="N601" s="111"/>
      <c r="O601" s="111"/>
      <c r="P601" s="111"/>
      <c r="Q601" s="111"/>
      <c r="R601" s="111">
        <v>1.0</v>
      </c>
      <c r="S601" s="111"/>
      <c r="T601" s="111"/>
      <c r="U601" s="111"/>
      <c r="V601" s="111"/>
      <c r="W601" s="111"/>
      <c r="X601" s="111"/>
      <c r="Y601" s="111"/>
      <c r="Z601" s="111" t="s">
        <v>13251</v>
      </c>
      <c r="AA601" s="124">
        <v>16.0</v>
      </c>
      <c r="AB601" s="125">
        <f>IF(Projects!$AI601="Electrolysis",
AA601/VLOOKUP(G601,ElectrolysisConvF,3,FALSE),
AC601*10^6/(H2dens*HoursInYear))</f>
        <v>3478.26087</v>
      </c>
      <c r="AC601" s="126">
        <f t="shared" si="109"/>
        <v>2.711791304</v>
      </c>
      <c r="AD601" s="125"/>
      <c r="AE601" s="125">
        <f t="shared" si="110"/>
        <v>3478.26087</v>
      </c>
      <c r="AF601" s="111" t="s">
        <v>13252</v>
      </c>
      <c r="AG601" s="127">
        <v>5.6687327</v>
      </c>
      <c r="AH601" s="127">
        <v>-53.7784043</v>
      </c>
      <c r="AI601" s="115" t="s">
        <v>12383</v>
      </c>
      <c r="AJ601" s="116">
        <v>0.3</v>
      </c>
      <c r="AK601" s="117"/>
      <c r="AL601" s="117"/>
      <c r="AM601" s="117"/>
      <c r="AN601" s="117"/>
      <c r="AO601" s="117"/>
    </row>
    <row r="602" ht="34.5" customHeight="1">
      <c r="A602" s="111">
        <v>988.0</v>
      </c>
      <c r="B602" s="111" t="s">
        <v>8584</v>
      </c>
      <c r="C602" s="111" t="s">
        <v>8585</v>
      </c>
      <c r="D602" s="111">
        <v>2027.0</v>
      </c>
      <c r="E602" s="111"/>
      <c r="F602" s="111" t="s">
        <v>12399</v>
      </c>
      <c r="G602" s="111" t="s">
        <v>12381</v>
      </c>
      <c r="H602" s="111" t="s">
        <v>12230</v>
      </c>
      <c r="I602" s="111" t="s">
        <v>12759</v>
      </c>
      <c r="J602" s="111" t="s">
        <v>12296</v>
      </c>
      <c r="K602" s="111" t="s">
        <v>30</v>
      </c>
      <c r="L602" s="111"/>
      <c r="M602" s="111">
        <v>1.0</v>
      </c>
      <c r="N602" s="111"/>
      <c r="O602" s="111">
        <v>1.0</v>
      </c>
      <c r="P602" s="111"/>
      <c r="Q602" s="111"/>
      <c r="R602" s="111"/>
      <c r="S602" s="111"/>
      <c r="T602" s="111"/>
      <c r="U602" s="111"/>
      <c r="V602" s="111"/>
      <c r="W602" s="111"/>
      <c r="X602" s="111"/>
      <c r="Y602" s="111"/>
      <c r="Z602" s="111" t="s">
        <v>13253</v>
      </c>
      <c r="AA602" s="124">
        <v>140.0</v>
      </c>
      <c r="AB602" s="125">
        <f>IF(Projects!$AI602="Electrolysis",
AA602/VLOOKUP(G602,ElectrolysisConvF,3,FALSE),
AC602*10^6/(H2dens*HoursInYear))</f>
        <v>31111.11111</v>
      </c>
      <c r="AC602" s="126">
        <f t="shared" si="109"/>
        <v>24.25546667</v>
      </c>
      <c r="AD602" s="125"/>
      <c r="AE602" s="125">
        <f t="shared" si="110"/>
        <v>31111.11111</v>
      </c>
      <c r="AF602" s="111" t="s">
        <v>13254</v>
      </c>
      <c r="AG602" s="127">
        <v>10.4084449566323</v>
      </c>
      <c r="AH602" s="127">
        <v>-61.4923717269837</v>
      </c>
      <c r="AI602" s="115" t="s">
        <v>12383</v>
      </c>
      <c r="AJ602" s="116">
        <v>0.7</v>
      </c>
      <c r="AK602" s="117"/>
      <c r="AL602" s="117"/>
      <c r="AM602" s="117"/>
      <c r="AN602" s="117"/>
      <c r="AO602" s="117"/>
    </row>
    <row r="603" ht="34.5" customHeight="1">
      <c r="A603" s="111">
        <v>990.0</v>
      </c>
      <c r="B603" s="111" t="s">
        <v>8586</v>
      </c>
      <c r="C603" s="111" t="s">
        <v>8003</v>
      </c>
      <c r="D603" s="111"/>
      <c r="E603" s="111"/>
      <c r="F603" s="111" t="s">
        <v>12393</v>
      </c>
      <c r="G603" s="111" t="s">
        <v>12381</v>
      </c>
      <c r="H603" s="111" t="s">
        <v>12230</v>
      </c>
      <c r="I603" s="111" t="s">
        <v>12394</v>
      </c>
      <c r="J603" s="111" t="s">
        <v>12294</v>
      </c>
      <c r="K603" s="111" t="s">
        <v>30</v>
      </c>
      <c r="L603" s="111"/>
      <c r="M603" s="111"/>
      <c r="N603" s="111"/>
      <c r="O603" s="111"/>
      <c r="P603" s="111"/>
      <c r="Q603" s="111"/>
      <c r="R603" s="111"/>
      <c r="S603" s="111">
        <v>1.0</v>
      </c>
      <c r="T603" s="111"/>
      <c r="U603" s="111"/>
      <c r="V603" s="111"/>
      <c r="W603" s="111"/>
      <c r="X603" s="111"/>
      <c r="Y603" s="111"/>
      <c r="Z603" s="111" t="s">
        <v>12589</v>
      </c>
      <c r="AA603" s="124">
        <v>20.0</v>
      </c>
      <c r="AB603" s="125">
        <f>IF(Projects!$AI603="Electrolysis",
AA603/VLOOKUP(G603,ElectrolysisConvF,3,FALSE),
AC603*10^6/(H2dens*HoursInYear))</f>
        <v>4444.444444</v>
      </c>
      <c r="AC603" s="126">
        <f t="shared" si="109"/>
        <v>3.465066667</v>
      </c>
      <c r="AD603" s="125"/>
      <c r="AE603" s="125">
        <f t="shared" si="110"/>
        <v>4444.444444</v>
      </c>
      <c r="AF603" s="127" t="s">
        <v>13255</v>
      </c>
      <c r="AG603" s="127">
        <v>0.0</v>
      </c>
      <c r="AH603" s="127">
        <v>0.0</v>
      </c>
      <c r="AI603" s="115" t="s">
        <v>12383</v>
      </c>
      <c r="AJ603" s="116">
        <v>0.8</v>
      </c>
      <c r="AK603" s="117"/>
      <c r="AL603" s="117"/>
      <c r="AM603" s="117"/>
      <c r="AN603" s="117"/>
      <c r="AO603" s="117"/>
    </row>
    <row r="604" ht="34.5" customHeight="1">
      <c r="A604" s="111">
        <v>991.0</v>
      </c>
      <c r="B604" s="111" t="s">
        <v>8587</v>
      </c>
      <c r="C604" s="111" t="s">
        <v>8588</v>
      </c>
      <c r="D604" s="111">
        <v>2020.0</v>
      </c>
      <c r="E604" s="111"/>
      <c r="F604" s="111" t="s">
        <v>12418</v>
      </c>
      <c r="G604" s="111" t="s">
        <v>12239</v>
      </c>
      <c r="H604" s="111"/>
      <c r="I604" s="111"/>
      <c r="J604" s="111"/>
      <c r="K604" s="111" t="s">
        <v>30</v>
      </c>
      <c r="L604" s="111"/>
      <c r="M604" s="111"/>
      <c r="N604" s="111"/>
      <c r="O604" s="111"/>
      <c r="P604" s="111"/>
      <c r="Q604" s="111"/>
      <c r="R604" s="111"/>
      <c r="S604" s="111"/>
      <c r="T604" s="111"/>
      <c r="U604" s="111"/>
      <c r="V604" s="111"/>
      <c r="W604" s="111"/>
      <c r="X604" s="111"/>
      <c r="Y604" s="111"/>
      <c r="Z604" s="111"/>
      <c r="AA604" s="124"/>
      <c r="AB604" s="125"/>
      <c r="AC604" s="126"/>
      <c r="AD604" s="125"/>
      <c r="AE604" s="125" t="str">
        <f t="shared" si="110"/>
        <v/>
      </c>
      <c r="AF604" s="127" t="s">
        <v>13256</v>
      </c>
      <c r="AG604" s="127">
        <v>0.0</v>
      </c>
      <c r="AH604" s="127">
        <v>0.0</v>
      </c>
      <c r="AI604" s="115" t="s">
        <v>12241</v>
      </c>
      <c r="AJ604" s="116">
        <v>0.9</v>
      </c>
      <c r="AK604" s="117"/>
      <c r="AL604" s="117"/>
      <c r="AM604" s="117"/>
      <c r="AN604" s="117"/>
      <c r="AO604" s="117"/>
    </row>
    <row r="605" ht="34.5" customHeight="1">
      <c r="A605" s="111">
        <v>992.0</v>
      </c>
      <c r="B605" s="111" t="s">
        <v>8589</v>
      </c>
      <c r="C605" s="111" t="s">
        <v>8590</v>
      </c>
      <c r="D605" s="111">
        <v>2025.0</v>
      </c>
      <c r="E605" s="111"/>
      <c r="F605" s="111" t="s">
        <v>12399</v>
      </c>
      <c r="G605" s="111" t="s">
        <v>12381</v>
      </c>
      <c r="H605" s="111" t="s">
        <v>12230</v>
      </c>
      <c r="I605" s="111" t="s">
        <v>12394</v>
      </c>
      <c r="J605" s="111" t="s">
        <v>12294</v>
      </c>
      <c r="K605" s="111" t="s">
        <v>30</v>
      </c>
      <c r="L605" s="111"/>
      <c r="M605" s="111"/>
      <c r="N605" s="111"/>
      <c r="O605" s="111"/>
      <c r="P605" s="111"/>
      <c r="Q605" s="111"/>
      <c r="R605" s="111"/>
      <c r="S605" s="111"/>
      <c r="T605" s="111"/>
      <c r="U605" s="111"/>
      <c r="V605" s="111"/>
      <c r="W605" s="111"/>
      <c r="X605" s="111"/>
      <c r="Y605" s="111"/>
      <c r="Z605" s="111" t="s">
        <v>13257</v>
      </c>
      <c r="AA605" s="129">
        <f>IF(Projects!$AI605="Electrolysis",
AB605*VLOOKUP(G605,ElectrolysisConvF,3,FALSE),
"")</f>
        <v>3463.136832</v>
      </c>
      <c r="AB605" s="125">
        <f>AC605/(H2dens*HoursInYear/10^6)</f>
        <v>769585.9628</v>
      </c>
      <c r="AC605" s="126">
        <f>600</f>
        <v>600</v>
      </c>
      <c r="AD605" s="125"/>
      <c r="AE605" s="125">
        <f t="shared" si="110"/>
        <v>769585.9628</v>
      </c>
      <c r="AF605" s="127" t="s">
        <v>13258</v>
      </c>
      <c r="AG605" s="127">
        <v>-3.53092803394662</v>
      </c>
      <c r="AH605" s="127">
        <v>-38.7923774582973</v>
      </c>
      <c r="AI605" s="115" t="s">
        <v>12383</v>
      </c>
      <c r="AJ605" s="116">
        <v>0.8</v>
      </c>
      <c r="AK605" s="117"/>
      <c r="AL605" s="117"/>
      <c r="AM605" s="117"/>
      <c r="AN605" s="117"/>
      <c r="AO605" s="117"/>
    </row>
    <row r="606" ht="34.5" customHeight="1">
      <c r="A606" s="111">
        <v>993.0</v>
      </c>
      <c r="B606" s="111" t="s">
        <v>232</v>
      </c>
      <c r="C606" s="111" t="s">
        <v>8591</v>
      </c>
      <c r="D606" s="111">
        <v>2023.0</v>
      </c>
      <c r="E606" s="111"/>
      <c r="F606" s="111" t="s">
        <v>12385</v>
      </c>
      <c r="G606" s="111" t="s">
        <v>12226</v>
      </c>
      <c r="H606" s="111"/>
      <c r="I606" s="111" t="s">
        <v>12394</v>
      </c>
      <c r="J606" s="111" t="s">
        <v>12295</v>
      </c>
      <c r="K606" s="111" t="s">
        <v>30</v>
      </c>
      <c r="L606" s="111"/>
      <c r="M606" s="111"/>
      <c r="N606" s="111"/>
      <c r="O606" s="111"/>
      <c r="P606" s="111"/>
      <c r="Q606" s="111"/>
      <c r="R606" s="111">
        <v>1.0</v>
      </c>
      <c r="S606" s="111"/>
      <c r="T606" s="111"/>
      <c r="U606" s="111"/>
      <c r="V606" s="111"/>
      <c r="W606" s="111"/>
      <c r="X606" s="111"/>
      <c r="Y606" s="111"/>
      <c r="Z606" s="111" t="s">
        <v>12720</v>
      </c>
      <c r="AA606" s="124">
        <v>2.0</v>
      </c>
      <c r="AB606" s="125">
        <f>IF(Projects!$AI606="Electrolysis",
AA606/VLOOKUP(G606,ElectrolysisConvF,3,FALSE),
AC606*10^6/(H2dens*HoursInYear))</f>
        <v>384.6153846</v>
      </c>
      <c r="AC606" s="126">
        <f t="shared" ref="AC606:AC609" si="111">AB606*H2dens*HoursInYear/10^6</f>
        <v>0.2998615385</v>
      </c>
      <c r="AD606" s="125"/>
      <c r="AE606" s="125">
        <f t="shared" si="110"/>
        <v>384.6153846</v>
      </c>
      <c r="AF606" s="127" t="s">
        <v>13259</v>
      </c>
      <c r="AG606" s="127">
        <v>46.4966066</v>
      </c>
      <c r="AH606" s="127">
        <v>20.7015134</v>
      </c>
      <c r="AI606" s="115" t="s">
        <v>12383</v>
      </c>
      <c r="AJ606" s="116">
        <v>0.5</v>
      </c>
      <c r="AK606" s="117"/>
      <c r="AL606" s="117"/>
      <c r="AM606" s="117"/>
      <c r="AN606" s="117"/>
      <c r="AO606" s="117"/>
    </row>
    <row r="607" ht="34.5" customHeight="1">
      <c r="A607" s="111">
        <v>1000.0</v>
      </c>
      <c r="B607" s="111" t="s">
        <v>8592</v>
      </c>
      <c r="C607" s="111" t="s">
        <v>8003</v>
      </c>
      <c r="D607" s="111">
        <v>2023.0</v>
      </c>
      <c r="E607" s="111"/>
      <c r="F607" s="111" t="s">
        <v>12385</v>
      </c>
      <c r="G607" s="111" t="s">
        <v>12239</v>
      </c>
      <c r="H607" s="111"/>
      <c r="I607" s="111"/>
      <c r="J607" s="111"/>
      <c r="K607" s="111" t="s">
        <v>30</v>
      </c>
      <c r="L607" s="111">
        <v>1.0</v>
      </c>
      <c r="M607" s="111"/>
      <c r="N607" s="111"/>
      <c r="O607" s="111"/>
      <c r="P607" s="111"/>
      <c r="Q607" s="111"/>
      <c r="R607" s="111"/>
      <c r="S607" s="111"/>
      <c r="T607" s="111"/>
      <c r="U607" s="111"/>
      <c r="V607" s="111">
        <v>1.0</v>
      </c>
      <c r="W607" s="111"/>
      <c r="X607" s="111"/>
      <c r="Y607" s="111"/>
      <c r="Z607" s="111" t="s">
        <v>13260</v>
      </c>
      <c r="AA607" s="124" t="str">
        <f>IF(OR(G607="ALK",G607="PEM",G607="SOEC",G607="Other Electrolysis"),
AB607*VLOOKUP(G607,ElectrolysisConvF,3,FALSE),
"")</f>
        <v/>
      </c>
      <c r="AB607" s="125">
        <f>10000000*0.0283/24</f>
        <v>11791.66667</v>
      </c>
      <c r="AC607" s="126">
        <f t="shared" si="111"/>
        <v>9.193255</v>
      </c>
      <c r="AD607" s="125"/>
      <c r="AE607" s="125">
        <f t="shared" si="110"/>
        <v>11791.66667</v>
      </c>
      <c r="AF607" s="127" t="s">
        <v>13261</v>
      </c>
      <c r="AG607" s="127">
        <v>53.9270272563981</v>
      </c>
      <c r="AH607" s="127">
        <v>-122.694135859341</v>
      </c>
      <c r="AI607" s="115" t="s">
        <v>12241</v>
      </c>
      <c r="AJ607" s="116">
        <v>0.9</v>
      </c>
      <c r="AK607" s="117"/>
      <c r="AL607" s="117"/>
      <c r="AM607" s="117"/>
      <c r="AN607" s="117"/>
      <c r="AO607" s="117"/>
    </row>
    <row r="608" ht="34.5" customHeight="1">
      <c r="A608" s="111">
        <v>1001.0</v>
      </c>
      <c r="B608" s="111" t="s">
        <v>8593</v>
      </c>
      <c r="C608" s="111" t="s">
        <v>8594</v>
      </c>
      <c r="D608" s="111">
        <v>2021.0</v>
      </c>
      <c r="E608" s="111"/>
      <c r="F608" s="111" t="s">
        <v>12385</v>
      </c>
      <c r="G608" s="111" t="s">
        <v>12381</v>
      </c>
      <c r="H608" s="111" t="s">
        <v>12230</v>
      </c>
      <c r="I608" s="111" t="s">
        <v>12287</v>
      </c>
      <c r="J608" s="111"/>
      <c r="K608" s="111" t="s">
        <v>30</v>
      </c>
      <c r="L608" s="111"/>
      <c r="M608" s="111"/>
      <c r="N608" s="111"/>
      <c r="O608" s="111"/>
      <c r="P608" s="111">
        <v>1.0</v>
      </c>
      <c r="Q608" s="111"/>
      <c r="R608" s="111"/>
      <c r="S608" s="111"/>
      <c r="T608" s="111"/>
      <c r="U608" s="111"/>
      <c r="V608" s="111"/>
      <c r="W608" s="111"/>
      <c r="X608" s="111"/>
      <c r="Y608" s="111"/>
      <c r="Z608" s="111" t="s">
        <v>12700</v>
      </c>
      <c r="AA608" s="124">
        <v>25.0</v>
      </c>
      <c r="AB608" s="125">
        <f>IF(Projects!$AI608="Electrolysis",
AA608/VLOOKUP(G608,ElectrolysisConvF,3,FALSE),
AC608*10^6/(H2dens*HoursInYear))</f>
        <v>5555.555556</v>
      </c>
      <c r="AC608" s="126">
        <f t="shared" si="111"/>
        <v>4.331333333</v>
      </c>
      <c r="AD608" s="125"/>
      <c r="AE608" s="125">
        <f t="shared" si="110"/>
        <v>5555.555556</v>
      </c>
      <c r="AF608" s="127" t="s">
        <v>13262</v>
      </c>
      <c r="AG608" s="127">
        <v>23.0482273051446</v>
      </c>
      <c r="AH608" s="127">
        <v>120.15202540513</v>
      </c>
      <c r="AI608" s="115" t="s">
        <v>12383</v>
      </c>
      <c r="AJ608" s="116">
        <v>0.57</v>
      </c>
      <c r="AK608" s="132"/>
      <c r="AL608" s="132"/>
      <c r="AM608" s="132"/>
      <c r="AN608" s="132"/>
      <c r="AO608" s="132"/>
    </row>
    <row r="609" ht="34.5" customHeight="1">
      <c r="A609" s="133">
        <v>1002.0</v>
      </c>
      <c r="B609" s="133" t="s">
        <v>8595</v>
      </c>
      <c r="C609" s="133" t="s">
        <v>7967</v>
      </c>
      <c r="D609" s="133">
        <v>2030.0</v>
      </c>
      <c r="E609" s="133"/>
      <c r="F609" s="133" t="s">
        <v>12399</v>
      </c>
      <c r="G609" s="133" t="s">
        <v>12381</v>
      </c>
      <c r="H609" s="133" t="s">
        <v>12230</v>
      </c>
      <c r="I609" s="133" t="s">
        <v>12394</v>
      </c>
      <c r="J609" s="133" t="s">
        <v>12293</v>
      </c>
      <c r="K609" s="133" t="s">
        <v>30</v>
      </c>
      <c r="L609" s="133">
        <v>1.0</v>
      </c>
      <c r="M609" s="133">
        <v>1.0</v>
      </c>
      <c r="N609" s="133">
        <v>1.0</v>
      </c>
      <c r="O609" s="133">
        <v>1.0</v>
      </c>
      <c r="P609" s="133">
        <v>1.0</v>
      </c>
      <c r="Q609" s="133"/>
      <c r="R609" s="133"/>
      <c r="S609" s="133"/>
      <c r="T609" s="133"/>
      <c r="U609" s="133"/>
      <c r="V609" s="133"/>
      <c r="W609" s="133"/>
      <c r="X609" s="133"/>
      <c r="Y609" s="133"/>
      <c r="Z609" s="133" t="s">
        <v>12723</v>
      </c>
      <c r="AA609" s="134"/>
      <c r="AB609" s="135"/>
      <c r="AC609" s="136">
        <f t="shared" si="111"/>
        <v>0</v>
      </c>
      <c r="AD609" s="135"/>
      <c r="AE609" s="135" t="str">
        <f t="shared" si="110"/>
        <v/>
      </c>
      <c r="AF609" s="137" t="s">
        <v>13263</v>
      </c>
      <c r="AG609" s="137">
        <v>0.0</v>
      </c>
      <c r="AH609" s="137">
        <v>0.0</v>
      </c>
      <c r="AI609" s="115" t="s">
        <v>12383</v>
      </c>
      <c r="AJ609" s="116">
        <v>0.55</v>
      </c>
      <c r="AK609" s="117"/>
      <c r="AL609" s="117"/>
      <c r="AM609" s="117"/>
      <c r="AN609" s="117"/>
      <c r="AO609" s="117"/>
    </row>
    <row r="610" ht="34.5" customHeight="1">
      <c r="A610" s="111">
        <v>1003.0</v>
      </c>
      <c r="B610" s="111" t="s">
        <v>179</v>
      </c>
      <c r="C610" s="111" t="s">
        <v>7987</v>
      </c>
      <c r="D610" s="111">
        <v>2022.0</v>
      </c>
      <c r="E610" s="111"/>
      <c r="F610" s="111" t="s">
        <v>12385</v>
      </c>
      <c r="G610" s="111" t="s">
        <v>12226</v>
      </c>
      <c r="H610" s="111"/>
      <c r="I610" s="111" t="s">
        <v>12287</v>
      </c>
      <c r="J610" s="111"/>
      <c r="K610" s="111" t="s">
        <v>30</v>
      </c>
      <c r="L610" s="111"/>
      <c r="M610" s="111"/>
      <c r="N610" s="111"/>
      <c r="O610" s="111"/>
      <c r="P610" s="111"/>
      <c r="Q610" s="111">
        <v>1.0</v>
      </c>
      <c r="R610" s="111"/>
      <c r="S610" s="111"/>
      <c r="T610" s="111"/>
      <c r="U610" s="111"/>
      <c r="V610" s="111"/>
      <c r="W610" s="111"/>
      <c r="X610" s="111"/>
      <c r="Y610" s="111"/>
      <c r="Z610" s="111" t="s">
        <v>13264</v>
      </c>
      <c r="AA610" s="129">
        <f>IF(Projects!$AI610="Electrolysis",
AB610*VLOOKUP(G610,ElectrolysisConvF,3,FALSE),
"")</f>
        <v>3.895131086</v>
      </c>
      <c r="AB610" s="125">
        <f>AC610/(H2dens*HoursInYear/10^6)</f>
        <v>749.0636704</v>
      </c>
      <c r="AC610" s="126">
        <f>1.6*365/1000</f>
        <v>0.584</v>
      </c>
      <c r="AD610" s="125"/>
      <c r="AE610" s="125">
        <f t="shared" si="110"/>
        <v>749.0636704</v>
      </c>
      <c r="AF610" s="127" t="s">
        <v>13265</v>
      </c>
      <c r="AG610" s="127">
        <v>53.4885377057354</v>
      </c>
      <c r="AH610" s="127">
        <v>9.13239411576119</v>
      </c>
      <c r="AI610" s="115" t="s">
        <v>12383</v>
      </c>
      <c r="AJ610" s="116">
        <v>0.57</v>
      </c>
      <c r="AK610" s="117"/>
      <c r="AL610" s="117"/>
      <c r="AM610" s="117"/>
      <c r="AN610" s="117"/>
      <c r="AO610" s="117"/>
    </row>
    <row r="611" ht="34.5" customHeight="1">
      <c r="A611" s="111">
        <v>1004.0</v>
      </c>
      <c r="B611" s="111" t="s">
        <v>8596</v>
      </c>
      <c r="C611" s="111" t="s">
        <v>7987</v>
      </c>
      <c r="D611" s="111">
        <v>2024.0</v>
      </c>
      <c r="E611" s="111"/>
      <c r="F611" s="111" t="s">
        <v>12393</v>
      </c>
      <c r="G611" s="111" t="s">
        <v>12381</v>
      </c>
      <c r="H611" s="111" t="s">
        <v>12230</v>
      </c>
      <c r="I611" s="111" t="s">
        <v>12287</v>
      </c>
      <c r="J611" s="111"/>
      <c r="K611" s="111" t="s">
        <v>30</v>
      </c>
      <c r="L611" s="111"/>
      <c r="M611" s="111"/>
      <c r="N611" s="111"/>
      <c r="O611" s="111">
        <v>1.0</v>
      </c>
      <c r="P611" s="111"/>
      <c r="Q611" s="111"/>
      <c r="R611" s="111"/>
      <c r="S611" s="111"/>
      <c r="T611" s="111"/>
      <c r="U611" s="111"/>
      <c r="V611" s="111"/>
      <c r="W611" s="111"/>
      <c r="X611" s="111"/>
      <c r="Y611" s="111"/>
      <c r="Z611" s="111" t="s">
        <v>12422</v>
      </c>
      <c r="AA611" s="124">
        <v>10.0</v>
      </c>
      <c r="AB611" s="125">
        <f>IF(Projects!$AI611="Electrolysis",
AA611/VLOOKUP(G611,ElectrolysisConvF,3,FALSE),
AC611*10^6/(H2dens*HoursInYear))</f>
        <v>2222.222222</v>
      </c>
      <c r="AC611" s="126">
        <f>AB611*H2dens*HoursInYear/10^6</f>
        <v>1.732533333</v>
      </c>
      <c r="AD611" s="125"/>
      <c r="AE611" s="125">
        <f t="shared" si="110"/>
        <v>2222.222222</v>
      </c>
      <c r="AF611" s="127" t="s">
        <v>13266</v>
      </c>
      <c r="AG611" s="127">
        <v>53.1373817854315</v>
      </c>
      <c r="AH611" s="127">
        <v>8.69389952431443</v>
      </c>
      <c r="AI611" s="115" t="s">
        <v>12383</v>
      </c>
      <c r="AJ611" s="116">
        <v>0.57</v>
      </c>
      <c r="AK611" s="117"/>
      <c r="AL611" s="117"/>
      <c r="AM611" s="117"/>
      <c r="AN611" s="117"/>
      <c r="AO611" s="117"/>
    </row>
    <row r="612" ht="34.5" customHeight="1">
      <c r="A612" s="111">
        <v>1005.0</v>
      </c>
      <c r="B612" s="111" t="s">
        <v>8597</v>
      </c>
      <c r="C612" s="111" t="s">
        <v>7977</v>
      </c>
      <c r="D612" s="111">
        <v>2025.0</v>
      </c>
      <c r="E612" s="111"/>
      <c r="F612" s="111" t="s">
        <v>12399</v>
      </c>
      <c r="G612" s="111" t="s">
        <v>12381</v>
      </c>
      <c r="H612" s="111" t="s">
        <v>12230</v>
      </c>
      <c r="I612" s="111" t="s">
        <v>12394</v>
      </c>
      <c r="J612" s="111" t="s">
        <v>12291</v>
      </c>
      <c r="K612" s="111" t="s">
        <v>30</v>
      </c>
      <c r="L612" s="111"/>
      <c r="M612" s="111"/>
      <c r="N612" s="111"/>
      <c r="O612" s="111"/>
      <c r="P612" s="111">
        <v>1.0</v>
      </c>
      <c r="Q612" s="111">
        <v>1.0</v>
      </c>
      <c r="R612" s="111"/>
      <c r="S612" s="111"/>
      <c r="T612" s="111"/>
      <c r="U612" s="111"/>
      <c r="V612" s="111"/>
      <c r="W612" s="111"/>
      <c r="X612" s="111"/>
      <c r="Y612" s="111"/>
      <c r="Z612" s="111"/>
      <c r="AA612" s="124"/>
      <c r="AB612" s="125"/>
      <c r="AC612" s="126"/>
      <c r="AD612" s="125"/>
      <c r="AE612" s="125" t="str">
        <f t="shared" si="110"/>
        <v/>
      </c>
      <c r="AF612" s="127" t="s">
        <v>13267</v>
      </c>
      <c r="AG612" s="127">
        <v>41.6938981881955</v>
      </c>
      <c r="AH612" s="127">
        <v>0.594861637569257</v>
      </c>
      <c r="AI612" s="115" t="s">
        <v>12383</v>
      </c>
      <c r="AJ612" s="116">
        <v>0.3</v>
      </c>
      <c r="AK612" s="117"/>
      <c r="AL612" s="117"/>
      <c r="AM612" s="117"/>
      <c r="AN612" s="117"/>
      <c r="AO612" s="117"/>
    </row>
    <row r="613" ht="34.5" customHeight="1">
      <c r="A613" s="111">
        <v>1006.0</v>
      </c>
      <c r="B613" s="111" t="s">
        <v>8598</v>
      </c>
      <c r="C613" s="111" t="s">
        <v>7981</v>
      </c>
      <c r="D613" s="111">
        <v>2028.0</v>
      </c>
      <c r="E613" s="111"/>
      <c r="F613" s="111" t="s">
        <v>12399</v>
      </c>
      <c r="G613" s="111" t="s">
        <v>12224</v>
      </c>
      <c r="H613" s="111"/>
      <c r="I613" s="111" t="s">
        <v>12287</v>
      </c>
      <c r="J613" s="111"/>
      <c r="K613" s="111" t="s">
        <v>30</v>
      </c>
      <c r="L613" s="111"/>
      <c r="M613" s="111"/>
      <c r="N613" s="111"/>
      <c r="O613" s="111"/>
      <c r="P613" s="111"/>
      <c r="Q613" s="111"/>
      <c r="R613" s="111"/>
      <c r="S613" s="111"/>
      <c r="T613" s="111"/>
      <c r="U613" s="111"/>
      <c r="V613" s="111"/>
      <c r="W613" s="111">
        <v>1.0</v>
      </c>
      <c r="X613" s="111"/>
      <c r="Y613" s="111"/>
      <c r="Z613" s="111" t="s">
        <v>13268</v>
      </c>
      <c r="AA613" s="124">
        <v>839.0</v>
      </c>
      <c r="AB613" s="125">
        <f>IF(Projects!$AI613="Electrolysis",
AA613/VLOOKUP(G613,ElectrolysisConvF,3,FALSE),
AC613*10^6/(H2dens*HoursInYear))</f>
        <v>182391.3043</v>
      </c>
      <c r="AC613" s="126">
        <f t="shared" ref="AC613:AC614" si="112">AB613*H2dens*HoursInYear/10^6</f>
        <v>142.1995565</v>
      </c>
      <c r="AD613" s="125"/>
      <c r="AE613" s="125">
        <f t="shared" si="110"/>
        <v>182391.3043</v>
      </c>
      <c r="AF613" s="127" t="s">
        <v>13269</v>
      </c>
      <c r="AG613" s="127">
        <v>30.034577209652</v>
      </c>
      <c r="AH613" s="127">
        <v>-90.7754767502425</v>
      </c>
      <c r="AI613" s="115" t="s">
        <v>12383</v>
      </c>
      <c r="AJ613" s="116">
        <v>0.57</v>
      </c>
      <c r="AK613" s="117"/>
      <c r="AL613" s="117"/>
      <c r="AM613" s="117"/>
      <c r="AN613" s="117"/>
      <c r="AO613" s="117"/>
    </row>
    <row r="614" ht="34.5" customHeight="1">
      <c r="A614" s="111">
        <v>1007.0</v>
      </c>
      <c r="B614" s="111" t="s">
        <v>8599</v>
      </c>
      <c r="C614" s="111" t="s">
        <v>8600</v>
      </c>
      <c r="D614" s="111">
        <v>2026.0</v>
      </c>
      <c r="E614" s="111"/>
      <c r="F614" s="111" t="s">
        <v>12399</v>
      </c>
      <c r="G614" s="111" t="s">
        <v>12226</v>
      </c>
      <c r="H614" s="111"/>
      <c r="I614" s="111" t="s">
        <v>12394</v>
      </c>
      <c r="J614" s="111" t="s">
        <v>12291</v>
      </c>
      <c r="K614" s="111" t="s">
        <v>30</v>
      </c>
      <c r="L614" s="111"/>
      <c r="M614" s="111"/>
      <c r="N614" s="111"/>
      <c r="O614" s="111"/>
      <c r="P614" s="111"/>
      <c r="Q614" s="111"/>
      <c r="R614" s="111">
        <v>1.0</v>
      </c>
      <c r="S614" s="111"/>
      <c r="T614" s="111"/>
      <c r="U614" s="111"/>
      <c r="V614" s="111"/>
      <c r="W614" s="111"/>
      <c r="X614" s="111"/>
      <c r="Y614" s="111"/>
      <c r="Z614" s="111" t="s">
        <v>12700</v>
      </c>
      <c r="AA614" s="124">
        <v>25.0</v>
      </c>
      <c r="AB614" s="125">
        <f>IF(Projects!$AI614="Electrolysis",
AA614/VLOOKUP(G614,ElectrolysisConvF,3,FALSE),
AC614*10^6/(H2dens*HoursInYear))</f>
        <v>4807.692308</v>
      </c>
      <c r="AC614" s="126">
        <f t="shared" si="112"/>
        <v>3.748269231</v>
      </c>
      <c r="AD614" s="125"/>
      <c r="AE614" s="125">
        <f t="shared" si="110"/>
        <v>4807.692308</v>
      </c>
      <c r="AF614" s="127" t="s">
        <v>13270</v>
      </c>
      <c r="AG614" s="127">
        <v>23.0747691587073</v>
      </c>
      <c r="AH614" s="127">
        <v>-109.584141340571</v>
      </c>
      <c r="AI614" s="115" t="s">
        <v>12383</v>
      </c>
      <c r="AJ614" s="116">
        <v>0.3</v>
      </c>
      <c r="AK614" s="117"/>
      <c r="AL614" s="117"/>
      <c r="AM614" s="117"/>
      <c r="AN614" s="117"/>
      <c r="AO614" s="117"/>
    </row>
    <row r="615" ht="34.5" customHeight="1">
      <c r="A615" s="111">
        <v>1008.0</v>
      </c>
      <c r="B615" s="111" t="s">
        <v>8601</v>
      </c>
      <c r="C615" s="111" t="s">
        <v>8602</v>
      </c>
      <c r="D615" s="111"/>
      <c r="E615" s="111"/>
      <c r="F615" s="111" t="s">
        <v>12399</v>
      </c>
      <c r="G615" s="111" t="s">
        <v>12381</v>
      </c>
      <c r="H615" s="111" t="s">
        <v>12230</v>
      </c>
      <c r="I615" s="111" t="s">
        <v>12394</v>
      </c>
      <c r="J615" s="111" t="s">
        <v>12293</v>
      </c>
      <c r="K615" s="111" t="s">
        <v>30</v>
      </c>
      <c r="L615" s="111"/>
      <c r="M615" s="111"/>
      <c r="N615" s="111"/>
      <c r="O615" s="111"/>
      <c r="P615" s="111"/>
      <c r="Q615" s="111"/>
      <c r="R615" s="111"/>
      <c r="S615" s="111"/>
      <c r="T615" s="111"/>
      <c r="U615" s="111"/>
      <c r="V615" s="111"/>
      <c r="W615" s="111"/>
      <c r="X615" s="111"/>
      <c r="Y615" s="111"/>
      <c r="Z615" s="111"/>
      <c r="AA615" s="124"/>
      <c r="AB615" s="125"/>
      <c r="AC615" s="126"/>
      <c r="AD615" s="125"/>
      <c r="AE615" s="125" t="str">
        <f t="shared" si="110"/>
        <v/>
      </c>
      <c r="AF615" s="127" t="s">
        <v>13271</v>
      </c>
      <c r="AG615" s="127">
        <v>0.0</v>
      </c>
      <c r="AH615" s="127">
        <v>0.0</v>
      </c>
      <c r="AI615" s="115" t="s">
        <v>12383</v>
      </c>
      <c r="AJ615" s="116">
        <v>0.55</v>
      </c>
      <c r="AK615" s="117"/>
      <c r="AL615" s="117"/>
      <c r="AM615" s="117"/>
      <c r="AN615" s="117"/>
      <c r="AO615" s="117"/>
    </row>
    <row r="616" ht="34.5" customHeight="1">
      <c r="A616" s="111">
        <v>1009.0</v>
      </c>
      <c r="B616" s="111" t="s">
        <v>8603</v>
      </c>
      <c r="C616" s="111" t="s">
        <v>8003</v>
      </c>
      <c r="D616" s="111"/>
      <c r="E616" s="111"/>
      <c r="F616" s="111" t="s">
        <v>12393</v>
      </c>
      <c r="G616" s="111" t="s">
        <v>12381</v>
      </c>
      <c r="H616" s="111" t="s">
        <v>12230</v>
      </c>
      <c r="I616" s="111" t="s">
        <v>12394</v>
      </c>
      <c r="J616" s="111" t="s">
        <v>12295</v>
      </c>
      <c r="K616" s="111" t="s">
        <v>30</v>
      </c>
      <c r="L616" s="111"/>
      <c r="M616" s="111"/>
      <c r="N616" s="111"/>
      <c r="O616" s="111"/>
      <c r="P616" s="111"/>
      <c r="Q616" s="111"/>
      <c r="R616" s="111"/>
      <c r="S616" s="111">
        <v>1.0</v>
      </c>
      <c r="T616" s="111"/>
      <c r="U616" s="111"/>
      <c r="V616" s="111"/>
      <c r="W616" s="111"/>
      <c r="X616" s="111"/>
      <c r="Y616" s="111"/>
      <c r="Z616" s="111"/>
      <c r="AA616" s="124"/>
      <c r="AB616" s="125"/>
      <c r="AC616" s="126"/>
      <c r="AD616" s="125"/>
      <c r="AE616" s="125" t="str">
        <f t="shared" si="110"/>
        <v/>
      </c>
      <c r="AF616" s="127" t="s">
        <v>13272</v>
      </c>
      <c r="AG616" s="127">
        <v>45.4331520043935</v>
      </c>
      <c r="AH616" s="127">
        <v>-75.7289653331989</v>
      </c>
      <c r="AI616" s="115" t="s">
        <v>12383</v>
      </c>
      <c r="AJ616" s="116">
        <v>0.5</v>
      </c>
      <c r="AK616" s="117"/>
      <c r="AL616" s="117"/>
      <c r="AM616" s="117"/>
      <c r="AN616" s="117"/>
      <c r="AO616" s="117"/>
    </row>
    <row r="617" ht="34.5" customHeight="1">
      <c r="A617" s="111">
        <v>1011.0</v>
      </c>
      <c r="B617" s="111" t="s">
        <v>8604</v>
      </c>
      <c r="C617" s="111" t="s">
        <v>7987</v>
      </c>
      <c r="D617" s="111">
        <v>2024.0</v>
      </c>
      <c r="E617" s="111"/>
      <c r="F617" s="111" t="s">
        <v>12399</v>
      </c>
      <c r="G617" s="111" t="s">
        <v>12226</v>
      </c>
      <c r="H617" s="111"/>
      <c r="I617" s="111" t="s">
        <v>12394</v>
      </c>
      <c r="J617" s="111" t="s">
        <v>12292</v>
      </c>
      <c r="K617" s="111" t="s">
        <v>30</v>
      </c>
      <c r="L617" s="111"/>
      <c r="M617" s="111"/>
      <c r="N617" s="111">
        <v>1.0</v>
      </c>
      <c r="O617" s="111"/>
      <c r="P617" s="111">
        <v>1.0</v>
      </c>
      <c r="Q617" s="111">
        <v>1.0</v>
      </c>
      <c r="R617" s="111"/>
      <c r="S617" s="111"/>
      <c r="T617" s="111"/>
      <c r="U617" s="111"/>
      <c r="V617" s="111"/>
      <c r="W617" s="111"/>
      <c r="X617" s="111"/>
      <c r="Y617" s="111"/>
      <c r="Z617" s="111" t="s">
        <v>13273</v>
      </c>
      <c r="AA617" s="124">
        <v>20.0</v>
      </c>
      <c r="AB617" s="125">
        <f>IF(Projects!$AI617="Electrolysis",
AA617/VLOOKUP(G617,ElectrolysisConvF,3,FALSE),
AC617*10^6/(H2dens*HoursInYear))</f>
        <v>3846.153846</v>
      </c>
      <c r="AC617" s="126">
        <f>AB617*H2dens*HoursInYear/10^6</f>
        <v>2.998615385</v>
      </c>
      <c r="AD617" s="125"/>
      <c r="AE617" s="125">
        <f t="shared" si="110"/>
        <v>3846.153846</v>
      </c>
      <c r="AF617" s="127" t="s">
        <v>13274</v>
      </c>
      <c r="AG617" s="127">
        <v>48.171131</v>
      </c>
      <c r="AH617" s="127">
        <v>12.831759</v>
      </c>
      <c r="AI617" s="115" t="s">
        <v>12383</v>
      </c>
      <c r="AJ617" s="116">
        <v>0.4</v>
      </c>
      <c r="AK617" s="117"/>
      <c r="AL617" s="117"/>
      <c r="AM617" s="117"/>
      <c r="AN617" s="117"/>
      <c r="AO617" s="117"/>
    </row>
    <row r="618" ht="34.5" customHeight="1">
      <c r="A618" s="111">
        <v>1012.0</v>
      </c>
      <c r="B618" s="111" t="s">
        <v>8605</v>
      </c>
      <c r="C618" s="111" t="s">
        <v>8001</v>
      </c>
      <c r="D618" s="111">
        <v>2023.0</v>
      </c>
      <c r="E618" s="111"/>
      <c r="F618" s="145" t="s">
        <v>12385</v>
      </c>
      <c r="G618" s="145" t="s">
        <v>12226</v>
      </c>
      <c r="H618" s="145"/>
      <c r="I618" s="111" t="s">
        <v>12394</v>
      </c>
      <c r="J618" s="111" t="s">
        <v>12296</v>
      </c>
      <c r="K618" s="111" t="s">
        <v>30</v>
      </c>
      <c r="L618" s="111"/>
      <c r="M618" s="111"/>
      <c r="N618" s="111"/>
      <c r="O618" s="111"/>
      <c r="P618" s="111"/>
      <c r="Q618" s="111">
        <v>1.0</v>
      </c>
      <c r="R618" s="111"/>
      <c r="S618" s="111"/>
      <c r="T618" s="111"/>
      <c r="U618" s="111"/>
      <c r="V618" s="111"/>
      <c r="W618" s="111"/>
      <c r="X618" s="111"/>
      <c r="Y618" s="111"/>
      <c r="Z618" s="111" t="s">
        <v>13275</v>
      </c>
      <c r="AA618" s="129">
        <f>IF(Projects!$AI618="Electrolysis",
AB618*VLOOKUP(G618,ElectrolysisConvF,3,FALSE),
"")</f>
        <v>6.816479401</v>
      </c>
      <c r="AB618" s="125">
        <f>AC618/(H2dens*HoursInYear/10^6)</f>
        <v>1310.861423</v>
      </c>
      <c r="AC618" s="126">
        <f>2.8*365/1000</f>
        <v>1.022</v>
      </c>
      <c r="AD618" s="125"/>
      <c r="AE618" s="125">
        <f>AB618</f>
        <v>1310.861423</v>
      </c>
      <c r="AF618" s="127" t="s">
        <v>13276</v>
      </c>
      <c r="AG618" s="127">
        <v>40.5138148869209</v>
      </c>
      <c r="AH618" s="127">
        <v>116.121524302132</v>
      </c>
      <c r="AI618" s="115" t="s">
        <v>12383</v>
      </c>
      <c r="AJ618" s="116">
        <v>0.5</v>
      </c>
      <c r="AK618" s="117"/>
      <c r="AL618" s="117"/>
      <c r="AM618" s="117"/>
      <c r="AN618" s="117"/>
      <c r="AO618" s="117"/>
    </row>
    <row r="619" ht="34.5" customHeight="1">
      <c r="A619" s="111">
        <v>1013.0</v>
      </c>
      <c r="B619" s="111" t="s">
        <v>8606</v>
      </c>
      <c r="C619" s="111" t="s">
        <v>8001</v>
      </c>
      <c r="D619" s="111"/>
      <c r="E619" s="111"/>
      <c r="F619" s="145" t="s">
        <v>12397</v>
      </c>
      <c r="G619" s="145" t="s">
        <v>12381</v>
      </c>
      <c r="H619" s="145" t="s">
        <v>12230</v>
      </c>
      <c r="I619" s="111" t="s">
        <v>12287</v>
      </c>
      <c r="J619" s="111"/>
      <c r="K619" s="111" t="s">
        <v>30</v>
      </c>
      <c r="L619" s="111"/>
      <c r="M619" s="111"/>
      <c r="N619" s="111"/>
      <c r="O619" s="111"/>
      <c r="P619" s="111"/>
      <c r="Q619" s="111"/>
      <c r="R619" s="111"/>
      <c r="S619" s="111"/>
      <c r="T619" s="111"/>
      <c r="U619" s="111"/>
      <c r="V619" s="111"/>
      <c r="W619" s="111"/>
      <c r="X619" s="111"/>
      <c r="Y619" s="111"/>
      <c r="Z619" s="111"/>
      <c r="AA619" s="124"/>
      <c r="AB619" s="125"/>
      <c r="AC619" s="126"/>
      <c r="AD619" s="125"/>
      <c r="AE619" s="125" t="str">
        <f t="shared" ref="AE619:AE625" si="113">IF(AND(G619&lt;&gt;"NG w CCUS",G619&lt;&gt;"Oil w CCUS",G619&lt;&gt;"Coal w CCUS"),AB619,AD619*10^3/(HoursInYear*IF(G619="NG w CCUS",0.9105,1.9075)))</f>
        <v/>
      </c>
      <c r="AF619" s="127" t="s">
        <v>13084</v>
      </c>
      <c r="AG619" s="127">
        <v>38.3166983812926</v>
      </c>
      <c r="AH619" s="127">
        <v>116.840629569924</v>
      </c>
      <c r="AI619" s="115" t="s">
        <v>12383</v>
      </c>
      <c r="AJ619" s="116">
        <v>0.57</v>
      </c>
      <c r="AK619" s="117"/>
      <c r="AL619" s="117"/>
      <c r="AM619" s="117"/>
      <c r="AN619" s="117"/>
      <c r="AO619" s="117"/>
    </row>
    <row r="620" ht="34.5" customHeight="1">
      <c r="A620" s="111">
        <v>1015.0</v>
      </c>
      <c r="B620" s="111" t="s">
        <v>8607</v>
      </c>
      <c r="C620" s="111" t="s">
        <v>8001</v>
      </c>
      <c r="D620" s="111">
        <v>2026.0</v>
      </c>
      <c r="E620" s="111"/>
      <c r="F620" s="111" t="s">
        <v>12397</v>
      </c>
      <c r="G620" s="111" t="s">
        <v>12381</v>
      </c>
      <c r="H620" s="111" t="s">
        <v>12230</v>
      </c>
      <c r="I620" s="111" t="s">
        <v>12394</v>
      </c>
      <c r="J620" s="111" t="s">
        <v>12292</v>
      </c>
      <c r="K620" s="111" t="s">
        <v>30</v>
      </c>
      <c r="L620" s="111"/>
      <c r="M620" s="111"/>
      <c r="N620" s="111"/>
      <c r="O620" s="111"/>
      <c r="P620" s="111"/>
      <c r="Q620" s="111">
        <v>1.0</v>
      </c>
      <c r="R620" s="111"/>
      <c r="S620" s="111"/>
      <c r="T620" s="111"/>
      <c r="U620" s="111">
        <v>1.0</v>
      </c>
      <c r="V620" s="111"/>
      <c r="W620" s="111"/>
      <c r="X620" s="111"/>
      <c r="Y620" s="111"/>
      <c r="Z620" s="111"/>
      <c r="AA620" s="124"/>
      <c r="AB620" s="125"/>
      <c r="AC620" s="126"/>
      <c r="AD620" s="125"/>
      <c r="AE620" s="125" t="str">
        <f t="shared" si="113"/>
        <v/>
      </c>
      <c r="AF620" s="127" t="s">
        <v>13084</v>
      </c>
      <c r="AG620" s="127">
        <v>32.3109328603062</v>
      </c>
      <c r="AH620" s="127">
        <v>120.380302538518</v>
      </c>
      <c r="AI620" s="115" t="s">
        <v>12383</v>
      </c>
      <c r="AJ620" s="116">
        <v>0.4</v>
      </c>
      <c r="AK620" s="117"/>
      <c r="AL620" s="117"/>
      <c r="AM620" s="117"/>
      <c r="AN620" s="117"/>
      <c r="AO620" s="117"/>
    </row>
    <row r="621" ht="34.5" customHeight="1">
      <c r="A621" s="111">
        <v>1016.0</v>
      </c>
      <c r="B621" s="111" t="s">
        <v>8608</v>
      </c>
      <c r="C621" s="111" t="s">
        <v>8001</v>
      </c>
      <c r="D621" s="111">
        <v>2026.0</v>
      </c>
      <c r="E621" s="111"/>
      <c r="F621" s="111" t="s">
        <v>12397</v>
      </c>
      <c r="G621" s="111" t="s">
        <v>12381</v>
      </c>
      <c r="H621" s="111" t="s">
        <v>12230</v>
      </c>
      <c r="I621" s="111" t="s">
        <v>12394</v>
      </c>
      <c r="J621" s="111" t="s">
        <v>12295</v>
      </c>
      <c r="K621" s="111" t="s">
        <v>30</v>
      </c>
      <c r="L621" s="111"/>
      <c r="M621" s="111"/>
      <c r="N621" s="111"/>
      <c r="O621" s="111"/>
      <c r="P621" s="111"/>
      <c r="Q621" s="111"/>
      <c r="R621" s="111"/>
      <c r="S621" s="111"/>
      <c r="T621" s="111"/>
      <c r="U621" s="111"/>
      <c r="V621" s="111"/>
      <c r="W621" s="111"/>
      <c r="X621" s="111"/>
      <c r="Y621" s="111"/>
      <c r="Z621" s="111"/>
      <c r="AA621" s="124"/>
      <c r="AB621" s="125"/>
      <c r="AC621" s="126"/>
      <c r="AD621" s="125"/>
      <c r="AE621" s="125" t="str">
        <f t="shared" si="113"/>
        <v/>
      </c>
      <c r="AF621" s="127" t="s">
        <v>13084</v>
      </c>
      <c r="AG621" s="127">
        <v>40.7861058042063</v>
      </c>
      <c r="AH621" s="127">
        <v>114.846878554069</v>
      </c>
      <c r="AI621" s="115" t="s">
        <v>12383</v>
      </c>
      <c r="AJ621" s="116">
        <v>0.5</v>
      </c>
      <c r="AK621" s="117"/>
      <c r="AL621" s="117"/>
      <c r="AM621" s="117"/>
      <c r="AN621" s="117"/>
      <c r="AO621" s="117"/>
    </row>
    <row r="622" ht="34.5" customHeight="1">
      <c r="A622" s="111">
        <v>1017.0</v>
      </c>
      <c r="B622" s="111" t="s">
        <v>8609</v>
      </c>
      <c r="C622" s="111" t="s">
        <v>8001</v>
      </c>
      <c r="D622" s="111">
        <v>2023.0</v>
      </c>
      <c r="E622" s="111"/>
      <c r="F622" s="145" t="s">
        <v>12418</v>
      </c>
      <c r="G622" s="145" t="s">
        <v>12381</v>
      </c>
      <c r="H622" s="145" t="s">
        <v>12230</v>
      </c>
      <c r="I622" s="145" t="s">
        <v>12394</v>
      </c>
      <c r="J622" s="111" t="s">
        <v>12292</v>
      </c>
      <c r="K622" s="111" t="s">
        <v>30</v>
      </c>
      <c r="L622" s="111"/>
      <c r="M622" s="111"/>
      <c r="N622" s="111"/>
      <c r="O622" s="111"/>
      <c r="P622" s="111"/>
      <c r="Q622" s="111"/>
      <c r="R622" s="111"/>
      <c r="S622" s="111"/>
      <c r="T622" s="111"/>
      <c r="U622" s="111"/>
      <c r="V622" s="111"/>
      <c r="W622" s="111"/>
      <c r="X622" s="111"/>
      <c r="Y622" s="111"/>
      <c r="Z622" s="111" t="s">
        <v>12591</v>
      </c>
      <c r="AA622" s="129">
        <f>IF(Projects!$AI622="Electrolysis",
AB622*VLOOKUP(G622,ElectrolysisConvF,3,FALSE),
"")</f>
        <v>0.225</v>
      </c>
      <c r="AB622" s="125">
        <v>50.0</v>
      </c>
      <c r="AC622" s="126">
        <f t="shared" ref="AC622:AC624" si="114">AB622*H2dens*HoursInYear/10^6</f>
        <v>0.038982</v>
      </c>
      <c r="AD622" s="125"/>
      <c r="AE622" s="125">
        <f t="shared" si="113"/>
        <v>50</v>
      </c>
      <c r="AF622" s="127" t="s">
        <v>13277</v>
      </c>
      <c r="AG622" s="127">
        <v>43.8142104604214</v>
      </c>
      <c r="AH622" s="127">
        <v>126.466692422832</v>
      </c>
      <c r="AI622" s="115" t="s">
        <v>12383</v>
      </c>
      <c r="AJ622" s="116">
        <v>0.4</v>
      </c>
      <c r="AK622" s="117"/>
      <c r="AL622" s="117"/>
      <c r="AM622" s="117"/>
      <c r="AN622" s="117"/>
      <c r="AO622" s="117"/>
    </row>
    <row r="623" ht="34.5" customHeight="1">
      <c r="A623" s="111">
        <v>1021.0</v>
      </c>
      <c r="B623" s="111" t="s">
        <v>8610</v>
      </c>
      <c r="C623" s="111" t="s">
        <v>8001</v>
      </c>
      <c r="D623" s="111">
        <v>2025.0</v>
      </c>
      <c r="E623" s="111"/>
      <c r="F623" s="111" t="s">
        <v>12393</v>
      </c>
      <c r="G623" s="111" t="s">
        <v>12381</v>
      </c>
      <c r="H623" s="111" t="s">
        <v>12230</v>
      </c>
      <c r="I623" s="111" t="s">
        <v>12394</v>
      </c>
      <c r="J623" s="111" t="s">
        <v>12291</v>
      </c>
      <c r="K623" s="111" t="s">
        <v>30</v>
      </c>
      <c r="L623" s="111"/>
      <c r="M623" s="111"/>
      <c r="N623" s="111"/>
      <c r="O623" s="111"/>
      <c r="P623" s="111"/>
      <c r="Q623" s="111"/>
      <c r="R623" s="111"/>
      <c r="S623" s="111"/>
      <c r="T623" s="111"/>
      <c r="U623" s="111"/>
      <c r="V623" s="111"/>
      <c r="W623" s="111"/>
      <c r="X623" s="111"/>
      <c r="Y623" s="111"/>
      <c r="Z623" s="111" t="s">
        <v>12768</v>
      </c>
      <c r="AA623" s="124">
        <v>40.0</v>
      </c>
      <c r="AB623" s="125">
        <f>IF(Projects!$AI623="Electrolysis",
AA623/VLOOKUP(G623,ElectrolysisConvF,3,FALSE),
AC623*10^6/(H2dens*HoursInYear))</f>
        <v>8888.888889</v>
      </c>
      <c r="AC623" s="126">
        <f t="shared" si="114"/>
        <v>6.930133333</v>
      </c>
      <c r="AD623" s="125"/>
      <c r="AE623" s="125">
        <f t="shared" si="113"/>
        <v>8888.888889</v>
      </c>
      <c r="AF623" s="127" t="s">
        <v>13223</v>
      </c>
      <c r="AG623" s="127">
        <v>40.0782830074194</v>
      </c>
      <c r="AH623" s="127">
        <v>113.308181777702</v>
      </c>
      <c r="AI623" s="115" t="s">
        <v>12383</v>
      </c>
      <c r="AJ623" s="116">
        <v>0.3</v>
      </c>
      <c r="AK623" s="117"/>
      <c r="AL623" s="117"/>
      <c r="AM623" s="117"/>
      <c r="AN623" s="117"/>
      <c r="AO623" s="117"/>
    </row>
    <row r="624" ht="34.5" customHeight="1">
      <c r="A624" s="111">
        <v>1022.0</v>
      </c>
      <c r="B624" s="111" t="s">
        <v>8611</v>
      </c>
      <c r="C624" s="111" t="s">
        <v>7999</v>
      </c>
      <c r="D624" s="111">
        <v>2023.0</v>
      </c>
      <c r="E624" s="111"/>
      <c r="F624" s="111" t="s">
        <v>12385</v>
      </c>
      <c r="G624" s="111" t="s">
        <v>12226</v>
      </c>
      <c r="H624" s="111"/>
      <c r="I624" s="111" t="s">
        <v>12394</v>
      </c>
      <c r="J624" s="111" t="s">
        <v>12295</v>
      </c>
      <c r="K624" s="111" t="s">
        <v>30</v>
      </c>
      <c r="L624" s="111"/>
      <c r="M624" s="111"/>
      <c r="N624" s="111"/>
      <c r="O624" s="111"/>
      <c r="P624" s="111">
        <v>1.0</v>
      </c>
      <c r="Q624" s="111"/>
      <c r="R624" s="111"/>
      <c r="S624" s="111"/>
      <c r="T624" s="111"/>
      <c r="U624" s="111"/>
      <c r="V624" s="111"/>
      <c r="W624" s="111"/>
      <c r="X624" s="111"/>
      <c r="Y624" s="111"/>
      <c r="Z624" s="111" t="s">
        <v>12720</v>
      </c>
      <c r="AA624" s="124">
        <v>2.0</v>
      </c>
      <c r="AB624" s="125">
        <f>IF(Projects!$AI624="Electrolysis",
AA624/VLOOKUP(G624,ElectrolysisConvF,3,FALSE),
AC624*10^6/(H2dens*HoursInYear))</f>
        <v>384.6153846</v>
      </c>
      <c r="AC624" s="126">
        <f t="shared" si="114"/>
        <v>0.2998615385</v>
      </c>
      <c r="AD624" s="125"/>
      <c r="AE624" s="125">
        <f t="shared" si="113"/>
        <v>384.6153846</v>
      </c>
      <c r="AF624" s="127" t="s">
        <v>13278</v>
      </c>
      <c r="AG624" s="127">
        <v>46.594983213755</v>
      </c>
      <c r="AH624" s="127">
        <v>13.8562941774827</v>
      </c>
      <c r="AI624" s="115" t="s">
        <v>12383</v>
      </c>
      <c r="AJ624" s="116">
        <v>0.5</v>
      </c>
      <c r="AK624" s="117"/>
      <c r="AL624" s="117"/>
      <c r="AM624" s="117"/>
      <c r="AN624" s="117"/>
      <c r="AO624" s="117"/>
    </row>
    <row r="625" ht="34.5" customHeight="1">
      <c r="A625" s="111">
        <v>1023.0</v>
      </c>
      <c r="B625" s="111" t="s">
        <v>8612</v>
      </c>
      <c r="C625" s="111" t="s">
        <v>7999</v>
      </c>
      <c r="D625" s="111">
        <v>2025.0</v>
      </c>
      <c r="E625" s="111"/>
      <c r="F625" s="111" t="s">
        <v>12393</v>
      </c>
      <c r="G625" s="111" t="s">
        <v>12381</v>
      </c>
      <c r="H625" s="111" t="s">
        <v>13279</v>
      </c>
      <c r="I625" s="111" t="s">
        <v>12394</v>
      </c>
      <c r="J625" s="111" t="s">
        <v>12295</v>
      </c>
      <c r="K625" s="111" t="s">
        <v>30</v>
      </c>
      <c r="L625" s="111"/>
      <c r="M625" s="111"/>
      <c r="N625" s="111"/>
      <c r="O625" s="111"/>
      <c r="P625" s="111"/>
      <c r="Q625" s="111">
        <v>1.0</v>
      </c>
      <c r="R625" s="111">
        <v>1.0</v>
      </c>
      <c r="S625" s="111">
        <v>1.0</v>
      </c>
      <c r="T625" s="111"/>
      <c r="U625" s="111"/>
      <c r="V625" s="111"/>
      <c r="W625" s="111"/>
      <c r="X625" s="111"/>
      <c r="Y625" s="111"/>
      <c r="Z625" s="111" t="s">
        <v>13280</v>
      </c>
      <c r="AA625" s="129">
        <f>IF(Projects!$AI625="Electrolysis",
AB625*VLOOKUP(G625,ElectrolysisConvF,3,FALSE),
"")</f>
        <v>21.06741573</v>
      </c>
      <c r="AB625" s="125">
        <f>AC625/(H2dens*HoursInYear/10^6)</f>
        <v>4681.64794</v>
      </c>
      <c r="AC625" s="126">
        <f>10*365/1000</f>
        <v>3.65</v>
      </c>
      <c r="AD625" s="125"/>
      <c r="AE625" s="125">
        <f t="shared" si="113"/>
        <v>4681.64794</v>
      </c>
      <c r="AF625" s="127" t="s">
        <v>13281</v>
      </c>
      <c r="AG625" s="127">
        <v>0.0</v>
      </c>
      <c r="AH625" s="127">
        <v>0.0</v>
      </c>
      <c r="AI625" s="115" t="s">
        <v>12383</v>
      </c>
      <c r="AJ625" s="116">
        <v>0.5</v>
      </c>
      <c r="AK625" s="117"/>
      <c r="AL625" s="117"/>
      <c r="AM625" s="117"/>
      <c r="AN625" s="117"/>
      <c r="AO625" s="117"/>
    </row>
    <row r="626" ht="34.5" customHeight="1">
      <c r="A626" s="111">
        <v>1026.0</v>
      </c>
      <c r="B626" s="111" t="s">
        <v>8613</v>
      </c>
      <c r="C626" s="111" t="s">
        <v>8591</v>
      </c>
      <c r="D626" s="111"/>
      <c r="E626" s="111"/>
      <c r="F626" s="111" t="s">
        <v>12397</v>
      </c>
      <c r="G626" s="111" t="s">
        <v>12381</v>
      </c>
      <c r="H626" s="111" t="s">
        <v>12230</v>
      </c>
      <c r="I626" s="111" t="s">
        <v>12394</v>
      </c>
      <c r="J626" s="111" t="s">
        <v>12296</v>
      </c>
      <c r="K626" s="111" t="s">
        <v>30</v>
      </c>
      <c r="L626" s="111"/>
      <c r="M626" s="111"/>
      <c r="N626" s="111"/>
      <c r="O626" s="111"/>
      <c r="P626" s="111"/>
      <c r="Q626" s="111"/>
      <c r="R626" s="111"/>
      <c r="S626" s="111"/>
      <c r="T626" s="111"/>
      <c r="U626" s="111"/>
      <c r="V626" s="111"/>
      <c r="W626" s="111"/>
      <c r="X626" s="111"/>
      <c r="Y626" s="111"/>
      <c r="Z626" s="111"/>
      <c r="AA626" s="124"/>
      <c r="AB626" s="125"/>
      <c r="AC626" s="126"/>
      <c r="AD626" s="125"/>
      <c r="AE626" s="125"/>
      <c r="AF626" s="127" t="s">
        <v>13282</v>
      </c>
      <c r="AG626" s="127">
        <v>47.7893799455305</v>
      </c>
      <c r="AH626" s="127">
        <v>20.0682127856193</v>
      </c>
      <c r="AI626" s="115" t="s">
        <v>12383</v>
      </c>
      <c r="AJ626" s="116">
        <v>0.5</v>
      </c>
      <c r="AK626" s="117"/>
      <c r="AL626" s="117"/>
      <c r="AM626" s="117"/>
      <c r="AN626" s="117"/>
      <c r="AO626" s="117"/>
    </row>
    <row r="627" ht="34.5" customHeight="1">
      <c r="A627" s="111">
        <v>1027.0</v>
      </c>
      <c r="B627" s="111" t="s">
        <v>8614</v>
      </c>
      <c r="C627" s="111" t="s">
        <v>8023</v>
      </c>
      <c r="D627" s="111">
        <v>2024.0</v>
      </c>
      <c r="E627" s="111"/>
      <c r="F627" s="111" t="s">
        <v>12393</v>
      </c>
      <c r="G627" s="111" t="s">
        <v>12226</v>
      </c>
      <c r="H627" s="111"/>
      <c r="I627" s="111" t="s">
        <v>12394</v>
      </c>
      <c r="J627" s="111" t="s">
        <v>12295</v>
      </c>
      <c r="K627" s="111" t="s">
        <v>30</v>
      </c>
      <c r="L627" s="111"/>
      <c r="M627" s="111"/>
      <c r="N627" s="111"/>
      <c r="O627" s="111"/>
      <c r="P627" s="111"/>
      <c r="Q627" s="111">
        <v>1.0</v>
      </c>
      <c r="R627" s="111"/>
      <c r="S627" s="111"/>
      <c r="T627" s="111"/>
      <c r="U627" s="111"/>
      <c r="V627" s="111"/>
      <c r="W627" s="111"/>
      <c r="X627" s="111"/>
      <c r="Y627" s="111"/>
      <c r="Z627" s="111" t="s">
        <v>12395</v>
      </c>
      <c r="AA627" s="124">
        <v>2.5</v>
      </c>
      <c r="AB627" s="125">
        <f>IF(Projects!$AI627="Electrolysis",
AA627/VLOOKUP(G627,ElectrolysisConvF,3,FALSE),
AC627*10^6/(H2dens*HoursInYear))</f>
        <v>480.7692308</v>
      </c>
      <c r="AC627" s="126">
        <f t="shared" ref="AC627:AC630" si="115">AB627*H2dens*HoursInYear/10^6</f>
        <v>0.3748269231</v>
      </c>
      <c r="AD627" s="125"/>
      <c r="AE627" s="125">
        <f t="shared" ref="AE627:AE632" si="116">IF(AND(G627&lt;&gt;"NG w CCUS",G627&lt;&gt;"Oil w CCUS",G627&lt;&gt;"Coal w CCUS"),AB627,AD627*10^3/(HoursInYear*IF(G627="NG w CCUS",0.9105,1.9075)))</f>
        <v>480.7692308</v>
      </c>
      <c r="AF627" s="127" t="s">
        <v>13283</v>
      </c>
      <c r="AG627" s="127">
        <v>52.2875093003885</v>
      </c>
      <c r="AH627" s="127">
        <v>18.2839036961008</v>
      </c>
      <c r="AI627" s="115" t="s">
        <v>12383</v>
      </c>
      <c r="AJ627" s="116">
        <v>0.5</v>
      </c>
      <c r="AK627" s="117"/>
      <c r="AL627" s="117"/>
      <c r="AM627" s="117"/>
      <c r="AN627" s="117"/>
      <c r="AO627" s="117"/>
    </row>
    <row r="628" ht="34.5" customHeight="1">
      <c r="A628" s="111">
        <v>1028.0</v>
      </c>
      <c r="B628" s="111" t="s">
        <v>8615</v>
      </c>
      <c r="C628" s="111" t="s">
        <v>7974</v>
      </c>
      <c r="D628" s="111">
        <v>2025.0</v>
      </c>
      <c r="E628" s="111"/>
      <c r="F628" s="111" t="s">
        <v>12399</v>
      </c>
      <c r="G628" s="111" t="s">
        <v>12224</v>
      </c>
      <c r="H628" s="111"/>
      <c r="I628" s="111" t="s">
        <v>12394</v>
      </c>
      <c r="J628" s="111" t="s">
        <v>12292</v>
      </c>
      <c r="K628" s="111" t="s">
        <v>12415</v>
      </c>
      <c r="L628" s="111"/>
      <c r="M628" s="111"/>
      <c r="N628" s="111">
        <v>1.0</v>
      </c>
      <c r="O628" s="111"/>
      <c r="P628" s="111"/>
      <c r="Q628" s="111"/>
      <c r="R628" s="111"/>
      <c r="S628" s="111"/>
      <c r="T628" s="111"/>
      <c r="U628" s="111"/>
      <c r="V628" s="111"/>
      <c r="W628" s="111"/>
      <c r="X628" s="111"/>
      <c r="Y628" s="111"/>
      <c r="Z628" s="111" t="s">
        <v>13284</v>
      </c>
      <c r="AA628" s="124">
        <v>25.0</v>
      </c>
      <c r="AB628" s="125">
        <f>IF(Projects!$AI628="Electrolysis",
AA628/VLOOKUP(G628,ElectrolysisConvF,3,FALSE),
AC628*10^6/(H2dens*HoursInYear))</f>
        <v>5434.782609</v>
      </c>
      <c r="AC628" s="126">
        <f t="shared" si="115"/>
        <v>4.237173913</v>
      </c>
      <c r="AD628" s="125"/>
      <c r="AE628" s="125">
        <f t="shared" si="116"/>
        <v>5434.782609</v>
      </c>
      <c r="AF628" s="127" t="s">
        <v>13285</v>
      </c>
      <c r="AG628" s="127">
        <v>58.0802055405609</v>
      </c>
      <c r="AH628" s="127">
        <v>11.8180707455483</v>
      </c>
      <c r="AI628" s="115" t="s">
        <v>12383</v>
      </c>
      <c r="AJ628" s="116">
        <v>0.4</v>
      </c>
      <c r="AK628" s="117"/>
      <c r="AL628" s="117"/>
      <c r="AM628" s="117"/>
      <c r="AN628" s="117"/>
      <c r="AO628" s="117"/>
    </row>
    <row r="629" ht="34.5" customHeight="1">
      <c r="A629" s="111">
        <v>1029.0</v>
      </c>
      <c r="B629" s="111" t="s">
        <v>8616</v>
      </c>
      <c r="C629" s="111" t="s">
        <v>7985</v>
      </c>
      <c r="D629" s="111">
        <v>2024.0</v>
      </c>
      <c r="E629" s="111"/>
      <c r="F629" s="111" t="s">
        <v>12385</v>
      </c>
      <c r="G629" s="111" t="s">
        <v>12381</v>
      </c>
      <c r="H629" s="111" t="s">
        <v>12230</v>
      </c>
      <c r="I629" s="111" t="s">
        <v>12394</v>
      </c>
      <c r="J629" s="111" t="s">
        <v>12294</v>
      </c>
      <c r="K629" s="111" t="s">
        <v>30</v>
      </c>
      <c r="L629" s="111"/>
      <c r="M629" s="111"/>
      <c r="N629" s="111"/>
      <c r="O629" s="111"/>
      <c r="P629" s="111"/>
      <c r="Q629" s="111">
        <v>1.0</v>
      </c>
      <c r="R629" s="111"/>
      <c r="S629" s="111"/>
      <c r="T629" s="111"/>
      <c r="U629" s="111"/>
      <c r="V629" s="111"/>
      <c r="W629" s="111"/>
      <c r="X629" s="111"/>
      <c r="Y629" s="111"/>
      <c r="Z629" s="111" t="s">
        <v>12395</v>
      </c>
      <c r="AA629" s="124">
        <v>2.5</v>
      </c>
      <c r="AB629" s="125">
        <f>IF(Projects!$AI629="Electrolysis",
AA629/VLOOKUP(G629,ElectrolysisConvF,3,FALSE),
AC629*10^6/(H2dens*HoursInYear))</f>
        <v>555.5555556</v>
      </c>
      <c r="AC629" s="126">
        <f t="shared" si="115"/>
        <v>0.4331333333</v>
      </c>
      <c r="AD629" s="125"/>
      <c r="AE629" s="125">
        <f t="shared" si="116"/>
        <v>555.5555556</v>
      </c>
      <c r="AF629" s="127" t="s">
        <v>13286</v>
      </c>
      <c r="AG629" s="127">
        <v>47.5602883002924</v>
      </c>
      <c r="AH629" s="127">
        <v>7.6294168741863</v>
      </c>
      <c r="AI629" s="115" t="s">
        <v>12383</v>
      </c>
      <c r="AJ629" s="116">
        <v>0.8</v>
      </c>
      <c r="AK629" s="117"/>
      <c r="AL629" s="117"/>
      <c r="AM629" s="117"/>
      <c r="AN629" s="117"/>
      <c r="AO629" s="117"/>
    </row>
    <row r="630" ht="34.5" customHeight="1">
      <c r="A630" s="111">
        <v>1030.0</v>
      </c>
      <c r="B630" s="111" t="s">
        <v>8617</v>
      </c>
      <c r="C630" s="111" t="s">
        <v>8618</v>
      </c>
      <c r="D630" s="111">
        <v>2021.0</v>
      </c>
      <c r="E630" s="111"/>
      <c r="F630" s="111" t="s">
        <v>12385</v>
      </c>
      <c r="G630" s="111" t="s">
        <v>12381</v>
      </c>
      <c r="H630" s="111" t="s">
        <v>12230</v>
      </c>
      <c r="I630" s="111" t="s">
        <v>12394</v>
      </c>
      <c r="J630" s="111" t="s">
        <v>12291</v>
      </c>
      <c r="K630" s="111" t="s">
        <v>30</v>
      </c>
      <c r="L630" s="111"/>
      <c r="M630" s="111"/>
      <c r="N630" s="111"/>
      <c r="O630" s="111"/>
      <c r="P630" s="111">
        <v>1.0</v>
      </c>
      <c r="Q630" s="111"/>
      <c r="R630" s="111"/>
      <c r="S630" s="111"/>
      <c r="T630" s="111"/>
      <c r="U630" s="111"/>
      <c r="V630" s="111"/>
      <c r="W630" s="111"/>
      <c r="X630" s="111"/>
      <c r="Y630" s="111"/>
      <c r="Z630" s="111" t="s">
        <v>12471</v>
      </c>
      <c r="AA630" s="124">
        <v>0.15</v>
      </c>
      <c r="AB630" s="125">
        <f>IF(Projects!$AI630="Electrolysis",
AA630/VLOOKUP(G630,ElectrolysisConvF,3,FALSE),
AC630*10^6/(H2dens*HoursInYear))</f>
        <v>33.33333333</v>
      </c>
      <c r="AC630" s="126">
        <f t="shared" si="115"/>
        <v>0.025988</v>
      </c>
      <c r="AD630" s="125"/>
      <c r="AE630" s="125">
        <f t="shared" si="116"/>
        <v>33.33333333</v>
      </c>
      <c r="AF630" s="127" t="s">
        <v>13287</v>
      </c>
      <c r="AG630" s="127">
        <v>46.1290320161843</v>
      </c>
      <c r="AH630" s="127">
        <v>15.0945054818392</v>
      </c>
      <c r="AI630" s="115" t="s">
        <v>12383</v>
      </c>
      <c r="AJ630" s="116">
        <v>0.3</v>
      </c>
      <c r="AK630" s="117"/>
      <c r="AL630" s="117"/>
      <c r="AM630" s="117"/>
      <c r="AN630" s="117"/>
      <c r="AO630" s="117"/>
    </row>
    <row r="631" ht="34.5" customHeight="1">
      <c r="A631" s="111">
        <v>1032.0</v>
      </c>
      <c r="B631" s="111" t="s">
        <v>8619</v>
      </c>
      <c r="C631" s="111" t="s">
        <v>8620</v>
      </c>
      <c r="D631" s="111"/>
      <c r="E631" s="111"/>
      <c r="F631" s="111" t="s">
        <v>12397</v>
      </c>
      <c r="G631" s="111" t="s">
        <v>12381</v>
      </c>
      <c r="H631" s="111" t="s">
        <v>12230</v>
      </c>
      <c r="I631" s="111" t="s">
        <v>12406</v>
      </c>
      <c r="J631" s="111" t="str">
        <f>IF(I631&lt;&gt;"Dedicated renewable","N/A",)</f>
        <v>N/A</v>
      </c>
      <c r="K631" s="111" t="s">
        <v>30</v>
      </c>
      <c r="L631" s="111"/>
      <c r="M631" s="111"/>
      <c r="N631" s="111"/>
      <c r="O631" s="111"/>
      <c r="P631" s="111"/>
      <c r="Q631" s="111"/>
      <c r="R631" s="111"/>
      <c r="S631" s="111"/>
      <c r="T631" s="111"/>
      <c r="U631" s="111"/>
      <c r="V631" s="111"/>
      <c r="W631" s="111"/>
      <c r="X631" s="111"/>
      <c r="Y631" s="111"/>
      <c r="Z631" s="111"/>
      <c r="AA631" s="124"/>
      <c r="AB631" s="125"/>
      <c r="AC631" s="126"/>
      <c r="AD631" s="125"/>
      <c r="AE631" s="125" t="str">
        <f t="shared" si="116"/>
        <v/>
      </c>
      <c r="AF631" s="127" t="s">
        <v>13288</v>
      </c>
      <c r="AG631" s="127">
        <v>0.0</v>
      </c>
      <c r="AH631" s="127">
        <v>0.0</v>
      </c>
      <c r="AI631" s="115" t="s">
        <v>12383</v>
      </c>
      <c r="AJ631" s="116">
        <v>0.57</v>
      </c>
      <c r="AK631" s="117"/>
      <c r="AL631" s="117"/>
      <c r="AM631" s="117"/>
      <c r="AN631" s="117"/>
      <c r="AO631" s="117"/>
    </row>
    <row r="632" ht="34.5" customHeight="1">
      <c r="A632" s="111">
        <v>1033.0</v>
      </c>
      <c r="B632" s="111" t="s">
        <v>8621</v>
      </c>
      <c r="C632" s="111" t="s">
        <v>8620</v>
      </c>
      <c r="D632" s="111">
        <v>2025.0</v>
      </c>
      <c r="E632" s="111"/>
      <c r="F632" s="111" t="s">
        <v>12399</v>
      </c>
      <c r="G632" s="111" t="s">
        <v>12381</v>
      </c>
      <c r="H632" s="111" t="s">
        <v>12230</v>
      </c>
      <c r="I632" s="111" t="s">
        <v>12394</v>
      </c>
      <c r="J632" s="111" t="s">
        <v>12296</v>
      </c>
      <c r="K632" s="111" t="s">
        <v>12449</v>
      </c>
      <c r="L632" s="111"/>
      <c r="M632" s="111"/>
      <c r="N632" s="111"/>
      <c r="O632" s="111"/>
      <c r="P632" s="111"/>
      <c r="Q632" s="111"/>
      <c r="R632" s="111"/>
      <c r="S632" s="111"/>
      <c r="T632" s="111"/>
      <c r="U632" s="111"/>
      <c r="V632" s="111"/>
      <c r="W632" s="111"/>
      <c r="X632" s="111"/>
      <c r="Y632" s="111"/>
      <c r="Z632" s="111" t="s">
        <v>13289</v>
      </c>
      <c r="AA632" s="129">
        <f>IF(Projects!$AI632="Electrolysis",
AB632*VLOOKUP(G632,ElectrolysisConvF,3,FALSE),
"")</f>
        <v>0.45</v>
      </c>
      <c r="AB632" s="125">
        <v>100.0</v>
      </c>
      <c r="AC632" s="126">
        <f t="shared" ref="AC632:AC637" si="117">AB632*H2dens*HoursInYear/10^6</f>
        <v>0.077964</v>
      </c>
      <c r="AD632" s="125"/>
      <c r="AE632" s="125">
        <f t="shared" si="116"/>
        <v>100</v>
      </c>
      <c r="AF632" s="127" t="s">
        <v>13290</v>
      </c>
      <c r="AG632" s="127">
        <v>0.0</v>
      </c>
      <c r="AH632" s="127">
        <v>0.0</v>
      </c>
      <c r="AI632" s="115" t="s">
        <v>12383</v>
      </c>
      <c r="AJ632" s="116">
        <v>0.5</v>
      </c>
      <c r="AK632" s="117"/>
      <c r="AL632" s="117"/>
      <c r="AM632" s="117"/>
      <c r="AN632" s="117"/>
      <c r="AO632" s="117"/>
    </row>
    <row r="633" ht="34.5" customHeight="1">
      <c r="A633" s="111">
        <v>1034.0</v>
      </c>
      <c r="B633" s="111" t="s">
        <v>8622</v>
      </c>
      <c r="C633" s="111" t="s">
        <v>7987</v>
      </c>
      <c r="D633" s="111"/>
      <c r="E633" s="111"/>
      <c r="F633" s="111" t="s">
        <v>12397</v>
      </c>
      <c r="G633" s="111" t="s">
        <v>12381</v>
      </c>
      <c r="H633" s="111" t="s">
        <v>12230</v>
      </c>
      <c r="I633" s="111" t="s">
        <v>12287</v>
      </c>
      <c r="J633" s="111"/>
      <c r="K633" s="111" t="s">
        <v>30</v>
      </c>
      <c r="L633" s="111">
        <v>1.0</v>
      </c>
      <c r="M633" s="111"/>
      <c r="N633" s="111"/>
      <c r="O633" s="111"/>
      <c r="P633" s="111"/>
      <c r="Q633" s="111"/>
      <c r="R633" s="111"/>
      <c r="S633" s="111"/>
      <c r="T633" s="111"/>
      <c r="U633" s="111"/>
      <c r="V633" s="111"/>
      <c r="W633" s="111">
        <v>1.0</v>
      </c>
      <c r="X633" s="111"/>
      <c r="Y633" s="111"/>
      <c r="Z633" s="111" t="s">
        <v>13069</v>
      </c>
      <c r="AA633" s="124">
        <v>400.0</v>
      </c>
      <c r="AB633" s="125">
        <f>IF(Projects!$AI633="Electrolysis",
AA633/VLOOKUP(G633,ElectrolysisConvF,3,FALSE),
AC633*10^6/(H2dens*HoursInYear))</f>
        <v>88888.88889</v>
      </c>
      <c r="AC633" s="126">
        <f t="shared" si="117"/>
        <v>69.30133333</v>
      </c>
      <c r="AD633" s="125"/>
      <c r="AE633" s="125">
        <f>AB633</f>
        <v>88888.88889</v>
      </c>
      <c r="AF633" s="127" t="s">
        <v>13291</v>
      </c>
      <c r="AG633" s="127">
        <v>52.5586047735969</v>
      </c>
      <c r="AH633" s="127">
        <v>7.31019332083824</v>
      </c>
      <c r="AI633" s="115" t="s">
        <v>12383</v>
      </c>
      <c r="AJ633" s="116">
        <v>0.57</v>
      </c>
      <c r="AK633" s="117"/>
      <c r="AL633" s="117"/>
      <c r="AM633" s="117"/>
      <c r="AN633" s="117"/>
      <c r="AO633" s="117"/>
    </row>
    <row r="634" ht="34.5" customHeight="1">
      <c r="A634" s="111">
        <v>1035.0</v>
      </c>
      <c r="B634" s="111" t="s">
        <v>8623</v>
      </c>
      <c r="C634" s="111" t="s">
        <v>7987</v>
      </c>
      <c r="D634" s="111">
        <v>2026.0</v>
      </c>
      <c r="E634" s="111"/>
      <c r="F634" s="111" t="s">
        <v>12399</v>
      </c>
      <c r="G634" s="111" t="s">
        <v>12381</v>
      </c>
      <c r="H634" s="111" t="s">
        <v>12230</v>
      </c>
      <c r="I634" s="111" t="s">
        <v>12394</v>
      </c>
      <c r="J634" s="111" t="s">
        <v>12295</v>
      </c>
      <c r="K634" s="111" t="s">
        <v>30</v>
      </c>
      <c r="L634" s="111"/>
      <c r="M634" s="111"/>
      <c r="N634" s="111"/>
      <c r="O634" s="111"/>
      <c r="P634" s="111"/>
      <c r="Q634" s="111">
        <v>1.0</v>
      </c>
      <c r="R634" s="111"/>
      <c r="S634" s="111"/>
      <c r="T634" s="111"/>
      <c r="U634" s="111"/>
      <c r="V634" s="111"/>
      <c r="W634" s="111"/>
      <c r="X634" s="111"/>
      <c r="Y634" s="111"/>
      <c r="Z634" s="111" t="s">
        <v>12703</v>
      </c>
      <c r="AA634" s="124">
        <v>10.0</v>
      </c>
      <c r="AB634" s="125">
        <f>IF(Projects!$AI634="Electrolysis",
AA634/VLOOKUP(G634,ElectrolysisConvF,3,FALSE),
AC634*10^6/(H2dens*HoursInYear))</f>
        <v>2222.222222</v>
      </c>
      <c r="AC634" s="126">
        <f t="shared" si="117"/>
        <v>1.732533333</v>
      </c>
      <c r="AD634" s="125"/>
      <c r="AE634" s="125">
        <f t="shared" ref="AE634:AE648" si="118">IF(AND(G634&lt;&gt;"NG w CCUS",G634&lt;&gt;"Oil w CCUS",G634&lt;&gt;"Coal w CCUS"),AB634,AD634*10^3/(HoursInYear*IF(G634="NG w CCUS",0.9105,1.9075)))</f>
        <v>2222.222222</v>
      </c>
      <c r="AF634" s="127" t="s">
        <v>13292</v>
      </c>
      <c r="AG634" s="127">
        <v>0.0</v>
      </c>
      <c r="AH634" s="127">
        <v>0.0</v>
      </c>
      <c r="AI634" s="115" t="s">
        <v>12383</v>
      </c>
      <c r="AJ634" s="116">
        <v>0.5</v>
      </c>
      <c r="AK634" s="117"/>
      <c r="AL634" s="117"/>
      <c r="AM634" s="117"/>
      <c r="AN634" s="117"/>
      <c r="AO634" s="117"/>
    </row>
    <row r="635" ht="34.5" customHeight="1">
      <c r="A635" s="111">
        <v>1036.0</v>
      </c>
      <c r="B635" s="111" t="s">
        <v>8624</v>
      </c>
      <c r="C635" s="111" t="s">
        <v>7987</v>
      </c>
      <c r="D635" s="111"/>
      <c r="E635" s="111"/>
      <c r="F635" s="111" t="s">
        <v>12399</v>
      </c>
      <c r="G635" s="111" t="s">
        <v>12381</v>
      </c>
      <c r="H635" s="111" t="s">
        <v>12230</v>
      </c>
      <c r="I635" s="111" t="s">
        <v>12394</v>
      </c>
      <c r="J635" s="111" t="s">
        <v>12295</v>
      </c>
      <c r="K635" s="111" t="s">
        <v>30</v>
      </c>
      <c r="L635" s="111"/>
      <c r="M635" s="111"/>
      <c r="N635" s="111"/>
      <c r="O635" s="111"/>
      <c r="P635" s="111">
        <v>1.0</v>
      </c>
      <c r="Q635" s="111"/>
      <c r="R635" s="111"/>
      <c r="S635" s="111"/>
      <c r="T635" s="111"/>
      <c r="U635" s="111"/>
      <c r="V635" s="111"/>
      <c r="W635" s="111"/>
      <c r="X635" s="111"/>
      <c r="Y635" s="111"/>
      <c r="Z635" s="111" t="s">
        <v>12700</v>
      </c>
      <c r="AA635" s="124">
        <v>25.0</v>
      </c>
      <c r="AB635" s="125">
        <f>IF(Projects!$AI635="Electrolysis",
AA635/VLOOKUP(G635,ElectrolysisConvF,3,FALSE),
AC635*10^6/(H2dens*HoursInYear))</f>
        <v>5555.555556</v>
      </c>
      <c r="AC635" s="126">
        <f t="shared" si="117"/>
        <v>4.331333333</v>
      </c>
      <c r="AD635" s="125"/>
      <c r="AE635" s="125">
        <f t="shared" si="118"/>
        <v>5555.555556</v>
      </c>
      <c r="AF635" s="127" t="s">
        <v>13293</v>
      </c>
      <c r="AG635" s="127">
        <v>0.0</v>
      </c>
      <c r="AH635" s="127">
        <v>0.0</v>
      </c>
      <c r="AI635" s="115" t="s">
        <v>12383</v>
      </c>
      <c r="AJ635" s="116">
        <v>0.5</v>
      </c>
      <c r="AK635" s="117"/>
      <c r="AL635" s="117"/>
      <c r="AM635" s="117"/>
      <c r="AN635" s="117"/>
      <c r="AO635" s="117"/>
    </row>
    <row r="636" ht="34.5" customHeight="1">
      <c r="A636" s="111">
        <v>1037.0</v>
      </c>
      <c r="B636" s="111" t="s">
        <v>8625</v>
      </c>
      <c r="C636" s="111" t="s">
        <v>7987</v>
      </c>
      <c r="D636" s="111"/>
      <c r="E636" s="111"/>
      <c r="F636" s="111" t="s">
        <v>12399</v>
      </c>
      <c r="G636" s="111" t="s">
        <v>12381</v>
      </c>
      <c r="H636" s="111" t="s">
        <v>12230</v>
      </c>
      <c r="I636" s="111" t="s">
        <v>12394</v>
      </c>
      <c r="J636" s="111" t="s">
        <v>12295</v>
      </c>
      <c r="K636" s="111" t="s">
        <v>30</v>
      </c>
      <c r="L636" s="111"/>
      <c r="M636" s="111"/>
      <c r="N636" s="111"/>
      <c r="O636" s="111"/>
      <c r="P636" s="111"/>
      <c r="Q636" s="111">
        <v>1.0</v>
      </c>
      <c r="R636" s="111"/>
      <c r="S636" s="111">
        <v>1.0</v>
      </c>
      <c r="T636" s="111"/>
      <c r="U636" s="111"/>
      <c r="V636" s="111"/>
      <c r="W636" s="111"/>
      <c r="X636" s="111"/>
      <c r="Y636" s="111"/>
      <c r="Z636" s="111" t="s">
        <v>12720</v>
      </c>
      <c r="AA636" s="124">
        <v>2.0</v>
      </c>
      <c r="AB636" s="125">
        <f>IF(Projects!$AI636="Electrolysis",
AA636/VLOOKUP(G636,ElectrolysisConvF,3,FALSE),
AC636*10^6/(H2dens*HoursInYear))</f>
        <v>444.4444444</v>
      </c>
      <c r="AC636" s="126">
        <f t="shared" si="117"/>
        <v>0.3465066667</v>
      </c>
      <c r="AD636" s="125"/>
      <c r="AE636" s="125">
        <f t="shared" si="118"/>
        <v>444.4444444</v>
      </c>
      <c r="AF636" s="127" t="s">
        <v>13293</v>
      </c>
      <c r="AG636" s="127">
        <v>0.0</v>
      </c>
      <c r="AH636" s="127">
        <v>0.0</v>
      </c>
      <c r="AI636" s="115" t="s">
        <v>12383</v>
      </c>
      <c r="AJ636" s="116">
        <v>0.5</v>
      </c>
      <c r="AK636" s="117"/>
      <c r="AL636" s="117"/>
      <c r="AM636" s="117"/>
      <c r="AN636" s="117"/>
      <c r="AO636" s="117"/>
    </row>
    <row r="637" ht="34.5" customHeight="1">
      <c r="A637" s="111">
        <v>1038.0</v>
      </c>
      <c r="B637" s="111" t="s">
        <v>8626</v>
      </c>
      <c r="C637" s="111" t="s">
        <v>7987</v>
      </c>
      <c r="D637" s="111"/>
      <c r="E637" s="111"/>
      <c r="F637" s="111" t="s">
        <v>12399</v>
      </c>
      <c r="G637" s="111" t="s">
        <v>12381</v>
      </c>
      <c r="H637" s="111" t="s">
        <v>12230</v>
      </c>
      <c r="I637" s="111" t="s">
        <v>12394</v>
      </c>
      <c r="J637" s="111" t="s">
        <v>12295</v>
      </c>
      <c r="K637" s="111" t="s">
        <v>12415</v>
      </c>
      <c r="L637" s="111"/>
      <c r="M637" s="111"/>
      <c r="N637" s="111">
        <v>1.0</v>
      </c>
      <c r="O637" s="111"/>
      <c r="P637" s="111"/>
      <c r="Q637" s="111"/>
      <c r="R637" s="111"/>
      <c r="S637" s="111"/>
      <c r="T637" s="111"/>
      <c r="U637" s="111"/>
      <c r="V637" s="111"/>
      <c r="W637" s="111"/>
      <c r="X637" s="111"/>
      <c r="Y637" s="111"/>
      <c r="Z637" s="111" t="s">
        <v>12589</v>
      </c>
      <c r="AA637" s="124">
        <v>20.0</v>
      </c>
      <c r="AB637" s="125">
        <f>IF(Projects!$AI637="Electrolysis",
AA637/VLOOKUP(G637,ElectrolysisConvF,3,FALSE),
AC637*10^6/(H2dens*HoursInYear))</f>
        <v>4444.444444</v>
      </c>
      <c r="AC637" s="126">
        <f t="shared" si="117"/>
        <v>3.465066667</v>
      </c>
      <c r="AD637" s="125"/>
      <c r="AE637" s="125">
        <f t="shared" si="118"/>
        <v>4444.444444</v>
      </c>
      <c r="AF637" s="127" t="s">
        <v>13293</v>
      </c>
      <c r="AG637" s="127">
        <v>52.2283266433803</v>
      </c>
      <c r="AH637" s="127">
        <v>11.0043476038046</v>
      </c>
      <c r="AI637" s="115" t="s">
        <v>12383</v>
      </c>
      <c r="AJ637" s="116">
        <v>0.5</v>
      </c>
      <c r="AK637" s="117"/>
      <c r="AL637" s="117"/>
      <c r="AM637" s="117"/>
      <c r="AN637" s="117"/>
      <c r="AO637" s="117"/>
    </row>
    <row r="638" ht="34.5" customHeight="1">
      <c r="A638" s="111">
        <v>1039.0</v>
      </c>
      <c r="B638" s="111" t="s">
        <v>8627</v>
      </c>
      <c r="C638" s="111" t="s">
        <v>7987</v>
      </c>
      <c r="D638" s="111"/>
      <c r="E638" s="111"/>
      <c r="F638" s="111" t="s">
        <v>12399</v>
      </c>
      <c r="G638" s="111" t="s">
        <v>12381</v>
      </c>
      <c r="H638" s="111" t="s">
        <v>12230</v>
      </c>
      <c r="I638" s="111" t="s">
        <v>12394</v>
      </c>
      <c r="J638" s="111" t="s">
        <v>12295</v>
      </c>
      <c r="K638" s="111" t="s">
        <v>30</v>
      </c>
      <c r="L638" s="111"/>
      <c r="M638" s="111"/>
      <c r="N638" s="111"/>
      <c r="O638" s="111"/>
      <c r="P638" s="111"/>
      <c r="Q638" s="111">
        <v>1.0</v>
      </c>
      <c r="R638" s="111">
        <v>1.0</v>
      </c>
      <c r="S638" s="111"/>
      <c r="T638" s="111"/>
      <c r="U638" s="111">
        <v>1.0</v>
      </c>
      <c r="V638" s="111"/>
      <c r="W638" s="111"/>
      <c r="X638" s="111"/>
      <c r="Y638" s="111"/>
      <c r="Z638" s="111"/>
      <c r="AA638" s="124"/>
      <c r="AB638" s="125"/>
      <c r="AC638" s="126"/>
      <c r="AD638" s="125"/>
      <c r="AE638" s="125" t="str">
        <f t="shared" si="118"/>
        <v/>
      </c>
      <c r="AF638" s="127" t="s">
        <v>13293</v>
      </c>
      <c r="AG638" s="127">
        <v>0.0</v>
      </c>
      <c r="AH638" s="127">
        <v>0.0</v>
      </c>
      <c r="AI638" s="115" t="s">
        <v>12383</v>
      </c>
      <c r="AJ638" s="116">
        <v>0.5</v>
      </c>
      <c r="AK638" s="117"/>
      <c r="AL638" s="117"/>
      <c r="AM638" s="117"/>
      <c r="AN638" s="117"/>
      <c r="AO638" s="117"/>
    </row>
    <row r="639" ht="34.5" customHeight="1">
      <c r="A639" s="111">
        <v>1041.0</v>
      </c>
      <c r="B639" s="111" t="s">
        <v>8628</v>
      </c>
      <c r="C639" s="111" t="s">
        <v>8618</v>
      </c>
      <c r="D639" s="111"/>
      <c r="E639" s="111"/>
      <c r="F639" s="111" t="s">
        <v>12397</v>
      </c>
      <c r="G639" s="111" t="s">
        <v>12381</v>
      </c>
      <c r="H639" s="111" t="s">
        <v>12230</v>
      </c>
      <c r="I639" s="111" t="s">
        <v>12394</v>
      </c>
      <c r="J639" s="111" t="s">
        <v>12296</v>
      </c>
      <c r="K639" s="111" t="s">
        <v>12449</v>
      </c>
      <c r="L639" s="111"/>
      <c r="M639" s="111"/>
      <c r="N639" s="111"/>
      <c r="O639" s="111"/>
      <c r="P639" s="111"/>
      <c r="Q639" s="111"/>
      <c r="R639" s="111"/>
      <c r="S639" s="111"/>
      <c r="T639" s="111"/>
      <c r="U639" s="111"/>
      <c r="V639" s="111"/>
      <c r="W639" s="111"/>
      <c r="X639" s="111">
        <v>1.0</v>
      </c>
      <c r="Y639" s="111"/>
      <c r="Z639" s="111"/>
      <c r="AA639" s="124"/>
      <c r="AB639" s="125"/>
      <c r="AC639" s="126"/>
      <c r="AD639" s="125"/>
      <c r="AE639" s="125" t="str">
        <f t="shared" si="118"/>
        <v/>
      </c>
      <c r="AF639" s="127" t="s">
        <v>13294</v>
      </c>
      <c r="AG639" s="127">
        <v>0.0</v>
      </c>
      <c r="AH639" s="127">
        <v>0.0</v>
      </c>
      <c r="AI639" s="115" t="s">
        <v>12383</v>
      </c>
      <c r="AJ639" s="116">
        <v>0.5</v>
      </c>
      <c r="AK639" s="117"/>
      <c r="AL639" s="117"/>
      <c r="AM639" s="117"/>
      <c r="AN639" s="117"/>
      <c r="AO639" s="117"/>
    </row>
    <row r="640" ht="34.5" customHeight="1">
      <c r="A640" s="111">
        <v>1042.0</v>
      </c>
      <c r="B640" s="111" t="s">
        <v>8629</v>
      </c>
      <c r="C640" s="111" t="s">
        <v>8618</v>
      </c>
      <c r="D640" s="111">
        <v>2000.0</v>
      </c>
      <c r="E640" s="111"/>
      <c r="F640" s="111" t="s">
        <v>12385</v>
      </c>
      <c r="G640" s="111" t="s">
        <v>12381</v>
      </c>
      <c r="H640" s="111" t="s">
        <v>12230</v>
      </c>
      <c r="I640" s="111" t="s">
        <v>12287</v>
      </c>
      <c r="J640" s="111"/>
      <c r="K640" s="111" t="s">
        <v>30</v>
      </c>
      <c r="L640" s="111"/>
      <c r="M640" s="111"/>
      <c r="N640" s="111"/>
      <c r="O640" s="111"/>
      <c r="P640" s="111"/>
      <c r="Q640" s="111"/>
      <c r="R640" s="111"/>
      <c r="S640" s="111"/>
      <c r="T640" s="111"/>
      <c r="U640" s="111"/>
      <c r="V640" s="111"/>
      <c r="W640" s="111"/>
      <c r="X640" s="111"/>
      <c r="Y640" s="111"/>
      <c r="Z640" s="111" t="s">
        <v>12612</v>
      </c>
      <c r="AA640" s="124">
        <v>0.1</v>
      </c>
      <c r="AB640" s="125">
        <f>IF(Projects!$AI640="Electrolysis",
AA640/VLOOKUP(G640,ElectrolysisConvF,3,FALSE),
AC640*10^6/(H2dens*HoursInYear))</f>
        <v>22.22222222</v>
      </c>
      <c r="AC640" s="126">
        <f t="shared" ref="AC640:AC646" si="119">AB640*H2dens*HoursInYear/10^6</f>
        <v>0.01732533333</v>
      </c>
      <c r="AD640" s="125"/>
      <c r="AE640" s="125">
        <f t="shared" si="118"/>
        <v>22.22222222</v>
      </c>
      <c r="AF640" s="127"/>
      <c r="AG640" s="127">
        <v>46.3746746970699</v>
      </c>
      <c r="AH640" s="127">
        <v>15.0529723524386</v>
      </c>
      <c r="AI640" s="115" t="s">
        <v>12383</v>
      </c>
      <c r="AJ640" s="116">
        <v>0.57</v>
      </c>
      <c r="AK640" s="117"/>
      <c r="AL640" s="117"/>
      <c r="AM640" s="117"/>
      <c r="AN640" s="117"/>
      <c r="AO640" s="117"/>
    </row>
    <row r="641" ht="34.5" customHeight="1">
      <c r="A641" s="111">
        <v>1043.0</v>
      </c>
      <c r="B641" s="111" t="s">
        <v>8630</v>
      </c>
      <c r="C641" s="111" t="s">
        <v>8618</v>
      </c>
      <c r="D641" s="111">
        <v>2000.0</v>
      </c>
      <c r="E641" s="111"/>
      <c r="F641" s="111" t="s">
        <v>12385</v>
      </c>
      <c r="G641" s="111" t="s">
        <v>12381</v>
      </c>
      <c r="H641" s="111" t="s">
        <v>12230</v>
      </c>
      <c r="I641" s="111" t="s">
        <v>12287</v>
      </c>
      <c r="J641" s="111"/>
      <c r="K641" s="111" t="s">
        <v>30</v>
      </c>
      <c r="L641" s="111"/>
      <c r="M641" s="111"/>
      <c r="N641" s="111"/>
      <c r="O641" s="111"/>
      <c r="P641" s="111"/>
      <c r="Q641" s="111"/>
      <c r="R641" s="111"/>
      <c r="S641" s="111"/>
      <c r="T641" s="111"/>
      <c r="U641" s="111"/>
      <c r="V641" s="111"/>
      <c r="W641" s="111"/>
      <c r="X641" s="111"/>
      <c r="Y641" s="111"/>
      <c r="Z641" s="111" t="s">
        <v>13295</v>
      </c>
      <c r="AA641" s="124">
        <v>0.35</v>
      </c>
      <c r="AB641" s="125">
        <f>IF(Projects!$AI641="Electrolysis",
AA641/VLOOKUP(G641,ElectrolysisConvF,3,FALSE),
AC641*10^6/(H2dens*HoursInYear))</f>
        <v>77.77777778</v>
      </c>
      <c r="AC641" s="126">
        <f t="shared" si="119"/>
        <v>0.06063866667</v>
      </c>
      <c r="AD641" s="125"/>
      <c r="AE641" s="125">
        <f t="shared" si="118"/>
        <v>77.77777778</v>
      </c>
      <c r="AF641" s="127"/>
      <c r="AG641" s="127">
        <v>0.0</v>
      </c>
      <c r="AH641" s="127">
        <v>0.0</v>
      </c>
      <c r="AI641" s="115" t="s">
        <v>12383</v>
      </c>
      <c r="AJ641" s="116">
        <v>0.57</v>
      </c>
      <c r="AK641" s="117"/>
      <c r="AL641" s="117"/>
      <c r="AM641" s="117"/>
      <c r="AN641" s="117"/>
      <c r="AO641" s="117"/>
    </row>
    <row r="642" ht="34.5" customHeight="1">
      <c r="A642" s="111">
        <v>1044.0</v>
      </c>
      <c r="B642" s="111" t="s">
        <v>8631</v>
      </c>
      <c r="C642" s="111" t="s">
        <v>8632</v>
      </c>
      <c r="D642" s="111">
        <v>2025.0</v>
      </c>
      <c r="E642" s="111"/>
      <c r="F642" s="111" t="s">
        <v>12399</v>
      </c>
      <c r="G642" s="111" t="s">
        <v>12381</v>
      </c>
      <c r="H642" s="111" t="s">
        <v>12230</v>
      </c>
      <c r="I642" s="111" t="s">
        <v>12394</v>
      </c>
      <c r="J642" s="111" t="s">
        <v>12295</v>
      </c>
      <c r="K642" s="111" t="s">
        <v>30</v>
      </c>
      <c r="L642" s="111"/>
      <c r="M642" s="111">
        <v>1.0</v>
      </c>
      <c r="N642" s="111"/>
      <c r="O642" s="111"/>
      <c r="P642" s="111">
        <v>1.0</v>
      </c>
      <c r="Q642" s="111"/>
      <c r="R642" s="111"/>
      <c r="S642" s="111"/>
      <c r="T642" s="111"/>
      <c r="U642" s="111"/>
      <c r="V642" s="111"/>
      <c r="W642" s="111"/>
      <c r="X642" s="111"/>
      <c r="Y642" s="111"/>
      <c r="Z642" s="111" t="s">
        <v>12589</v>
      </c>
      <c r="AA642" s="129">
        <v>20.0</v>
      </c>
      <c r="AB642" s="125">
        <f>IF(Projects!$AI642="Electrolysis",
AA642/VLOOKUP(G642,ElectrolysisConvF,3,FALSE),
AC642*10^6/(H2dens*HoursInYear))</f>
        <v>4444.444444</v>
      </c>
      <c r="AC642" s="126">
        <f t="shared" si="119"/>
        <v>3.465066667</v>
      </c>
      <c r="AD642" s="125"/>
      <c r="AE642" s="125">
        <f t="shared" si="118"/>
        <v>4444.444444</v>
      </c>
      <c r="AF642" s="127" t="s">
        <v>13296</v>
      </c>
      <c r="AG642" s="127">
        <v>0.0</v>
      </c>
      <c r="AH642" s="127">
        <v>0.0</v>
      </c>
      <c r="AI642" s="115" t="s">
        <v>12383</v>
      </c>
      <c r="AJ642" s="116">
        <v>0.5</v>
      </c>
      <c r="AK642" s="117"/>
      <c r="AL642" s="117"/>
      <c r="AM642" s="117"/>
      <c r="AN642" s="117"/>
      <c r="AO642" s="117"/>
    </row>
    <row r="643" ht="34.5" customHeight="1">
      <c r="A643" s="111">
        <v>1045.0</v>
      </c>
      <c r="B643" s="111" t="s">
        <v>8633</v>
      </c>
      <c r="C643" s="111" t="s">
        <v>7991</v>
      </c>
      <c r="D643" s="111">
        <v>2027.0</v>
      </c>
      <c r="E643" s="111"/>
      <c r="F643" s="111" t="s">
        <v>12399</v>
      </c>
      <c r="G643" s="111" t="s">
        <v>12381</v>
      </c>
      <c r="H643" s="111" t="s">
        <v>12230</v>
      </c>
      <c r="I643" s="111" t="s">
        <v>12394</v>
      </c>
      <c r="J643" s="111" t="s">
        <v>12293</v>
      </c>
      <c r="K643" s="111" t="s">
        <v>30</v>
      </c>
      <c r="L643" s="111"/>
      <c r="M643" s="111"/>
      <c r="N643" s="111"/>
      <c r="O643" s="111"/>
      <c r="P643" s="111"/>
      <c r="Q643" s="111"/>
      <c r="R643" s="111"/>
      <c r="S643" s="111"/>
      <c r="T643" s="111"/>
      <c r="U643" s="111"/>
      <c r="V643" s="111"/>
      <c r="W643" s="111"/>
      <c r="X643" s="111"/>
      <c r="Y643" s="111"/>
      <c r="Z643" s="111" t="s">
        <v>12703</v>
      </c>
      <c r="AA643" s="124">
        <v>10.0</v>
      </c>
      <c r="AB643" s="125">
        <f>IF(Projects!$AI643="Electrolysis",
AA643/VLOOKUP(G643,ElectrolysisConvF,3,FALSE),
AC643*10^6/(H2dens*HoursInYear))</f>
        <v>2222.222222</v>
      </c>
      <c r="AC643" s="126">
        <f t="shared" si="119"/>
        <v>1.732533333</v>
      </c>
      <c r="AD643" s="125"/>
      <c r="AE643" s="125">
        <f t="shared" si="118"/>
        <v>2222.222222</v>
      </c>
      <c r="AF643" s="127" t="s">
        <v>13297</v>
      </c>
      <c r="AG643" s="127">
        <v>57.0652083105234</v>
      </c>
      <c r="AH643" s="127">
        <v>-1.89828762993735</v>
      </c>
      <c r="AI643" s="115" t="s">
        <v>12383</v>
      </c>
      <c r="AJ643" s="116">
        <v>0.55</v>
      </c>
      <c r="AK643" s="117"/>
      <c r="AL643" s="117"/>
      <c r="AM643" s="117"/>
      <c r="AN643" s="117"/>
      <c r="AO643" s="117"/>
    </row>
    <row r="644" ht="34.5" customHeight="1">
      <c r="A644" s="111">
        <v>1046.0</v>
      </c>
      <c r="B644" s="111" t="s">
        <v>8634</v>
      </c>
      <c r="C644" s="111" t="s">
        <v>7991</v>
      </c>
      <c r="D644" s="111">
        <v>2032.0</v>
      </c>
      <c r="E644" s="111"/>
      <c r="F644" s="111" t="s">
        <v>12397</v>
      </c>
      <c r="G644" s="111" t="s">
        <v>12381</v>
      </c>
      <c r="H644" s="111" t="s">
        <v>12230</v>
      </c>
      <c r="I644" s="111" t="s">
        <v>12394</v>
      </c>
      <c r="J644" s="111" t="s">
        <v>12293</v>
      </c>
      <c r="K644" s="111" t="s">
        <v>30</v>
      </c>
      <c r="L644" s="111"/>
      <c r="M644" s="111"/>
      <c r="N644" s="111"/>
      <c r="O644" s="111"/>
      <c r="P644" s="111"/>
      <c r="Q644" s="111"/>
      <c r="R644" s="111"/>
      <c r="S644" s="111"/>
      <c r="T644" s="111"/>
      <c r="U644" s="111"/>
      <c r="V644" s="111"/>
      <c r="W644" s="111"/>
      <c r="X644" s="111"/>
      <c r="Y644" s="111"/>
      <c r="Z644" s="111" t="s">
        <v>12698</v>
      </c>
      <c r="AA644" s="124">
        <f>100-AA643</f>
        <v>90</v>
      </c>
      <c r="AB644" s="125">
        <f>IF(Projects!$AI644="Electrolysis",
AA644/VLOOKUP(G644,ElectrolysisConvF,3,FALSE),
AC644*10^6/(H2dens*HoursInYear))</f>
        <v>20000</v>
      </c>
      <c r="AC644" s="126">
        <f t="shared" si="119"/>
        <v>15.5928</v>
      </c>
      <c r="AD644" s="125"/>
      <c r="AE644" s="125">
        <f t="shared" si="118"/>
        <v>20000</v>
      </c>
      <c r="AF644" s="127" t="s">
        <v>13297</v>
      </c>
      <c r="AG644" s="127">
        <v>57.0652083105234</v>
      </c>
      <c r="AH644" s="127">
        <v>-1.89828762993735</v>
      </c>
      <c r="AI644" s="115" t="s">
        <v>12383</v>
      </c>
      <c r="AJ644" s="116">
        <v>0.55</v>
      </c>
      <c r="AK644" s="117"/>
      <c r="AL644" s="117"/>
      <c r="AM644" s="117"/>
      <c r="AN644" s="117"/>
      <c r="AO644" s="117"/>
    </row>
    <row r="645" ht="34.5" customHeight="1">
      <c r="A645" s="111">
        <v>1047.0</v>
      </c>
      <c r="B645" s="111" t="s">
        <v>8635</v>
      </c>
      <c r="C645" s="111" t="s">
        <v>7991</v>
      </c>
      <c r="D645" s="111"/>
      <c r="E645" s="111"/>
      <c r="F645" s="111" t="s">
        <v>12287</v>
      </c>
      <c r="G645" s="111" t="s">
        <v>12381</v>
      </c>
      <c r="H645" s="111" t="s">
        <v>12230</v>
      </c>
      <c r="I645" s="111" t="s">
        <v>12394</v>
      </c>
      <c r="J645" s="111" t="s">
        <v>12295</v>
      </c>
      <c r="K645" s="111" t="s">
        <v>30</v>
      </c>
      <c r="L645" s="111"/>
      <c r="M645" s="111"/>
      <c r="N645" s="111"/>
      <c r="O645" s="111"/>
      <c r="P645" s="111"/>
      <c r="Q645" s="111"/>
      <c r="R645" s="111"/>
      <c r="S645" s="111">
        <v>1.0</v>
      </c>
      <c r="T645" s="111"/>
      <c r="U645" s="111"/>
      <c r="V645" s="111"/>
      <c r="W645" s="111"/>
      <c r="X645" s="111"/>
      <c r="Y645" s="111"/>
      <c r="Z645" s="111" t="s">
        <v>12546</v>
      </c>
      <c r="AA645" s="124">
        <v>1.25</v>
      </c>
      <c r="AB645" s="125">
        <f>IF(Projects!$AI645="Electrolysis",
AA645/VLOOKUP(G645,ElectrolysisConvF,3,FALSE),
AC645*10^6/(H2dens*HoursInYear))</f>
        <v>277.7777778</v>
      </c>
      <c r="AC645" s="126">
        <f t="shared" si="119"/>
        <v>0.2165666667</v>
      </c>
      <c r="AD645" s="125"/>
      <c r="AE645" s="125">
        <f t="shared" si="118"/>
        <v>277.7777778</v>
      </c>
      <c r="AF645" s="127" t="s">
        <v>13298</v>
      </c>
      <c r="AG645" s="127">
        <v>53.1423754721624</v>
      </c>
      <c r="AH645" s="127">
        <v>-1.03530659348711</v>
      </c>
      <c r="AI645" s="115" t="s">
        <v>12383</v>
      </c>
      <c r="AJ645" s="116">
        <v>0.5</v>
      </c>
      <c r="AK645" s="117"/>
      <c r="AL645" s="117"/>
      <c r="AM645" s="117"/>
      <c r="AN645" s="117"/>
      <c r="AO645" s="117"/>
    </row>
    <row r="646" ht="34.5" customHeight="1">
      <c r="A646" s="111">
        <v>1048.0</v>
      </c>
      <c r="B646" s="111" t="s">
        <v>8636</v>
      </c>
      <c r="C646" s="111" t="s">
        <v>7991</v>
      </c>
      <c r="D646" s="111">
        <v>2025.0</v>
      </c>
      <c r="E646" s="111"/>
      <c r="F646" s="111" t="s">
        <v>12399</v>
      </c>
      <c r="G646" s="111" t="s">
        <v>12381</v>
      </c>
      <c r="H646" s="111" t="s">
        <v>12230</v>
      </c>
      <c r="I646" s="111" t="s">
        <v>12394</v>
      </c>
      <c r="J646" s="111" t="s">
        <v>12293</v>
      </c>
      <c r="K646" s="111" t="s">
        <v>30</v>
      </c>
      <c r="L646" s="111"/>
      <c r="M646" s="111"/>
      <c r="N646" s="111"/>
      <c r="O646" s="111"/>
      <c r="P646" s="111"/>
      <c r="Q646" s="111"/>
      <c r="R646" s="111"/>
      <c r="S646" s="111"/>
      <c r="T646" s="111"/>
      <c r="U646" s="111"/>
      <c r="V646" s="111"/>
      <c r="W646" s="111"/>
      <c r="X646" s="111"/>
      <c r="Y646" s="111"/>
      <c r="Z646" s="111" t="s">
        <v>12709</v>
      </c>
      <c r="AA646" s="124">
        <v>100.0</v>
      </c>
      <c r="AB646" s="125">
        <f>IF(Projects!$AI646="Electrolysis",
AA646/VLOOKUP(G646,ElectrolysisConvF,3,FALSE),
AC646*10^6/(H2dens*HoursInYear))</f>
        <v>22222.22222</v>
      </c>
      <c r="AC646" s="126">
        <f t="shared" si="119"/>
        <v>17.32533333</v>
      </c>
      <c r="AD646" s="125"/>
      <c r="AE646" s="125">
        <f t="shared" si="118"/>
        <v>22222.22222</v>
      </c>
      <c r="AF646" s="127" t="s">
        <v>13299</v>
      </c>
      <c r="AG646" s="127">
        <v>53.6548015517335</v>
      </c>
      <c r="AH646" s="127">
        <v>-0.254668893129371</v>
      </c>
      <c r="AI646" s="115" t="s">
        <v>12383</v>
      </c>
      <c r="AJ646" s="116">
        <v>0.55</v>
      </c>
      <c r="AK646" s="117"/>
      <c r="AL646" s="117"/>
      <c r="AM646" s="117"/>
      <c r="AN646" s="117"/>
      <c r="AO646" s="117"/>
    </row>
    <row r="647" ht="34.5" customHeight="1">
      <c r="A647" s="111">
        <v>1049.0</v>
      </c>
      <c r="B647" s="111" t="s">
        <v>8637</v>
      </c>
      <c r="C647" s="111" t="s">
        <v>7967</v>
      </c>
      <c r="D647" s="111">
        <v>2032.0</v>
      </c>
      <c r="E647" s="111"/>
      <c r="F647" s="111" t="s">
        <v>12397</v>
      </c>
      <c r="G647" s="111" t="s">
        <v>12381</v>
      </c>
      <c r="H647" s="111" t="s">
        <v>12230</v>
      </c>
      <c r="I647" s="111" t="s">
        <v>12394</v>
      </c>
      <c r="J647" s="111" t="s">
        <v>12293</v>
      </c>
      <c r="K647" s="111" t="s">
        <v>30</v>
      </c>
      <c r="L647" s="111"/>
      <c r="M647" s="111"/>
      <c r="N647" s="111"/>
      <c r="O647" s="111"/>
      <c r="P647" s="111"/>
      <c r="Q647" s="111"/>
      <c r="R647" s="111"/>
      <c r="S647" s="111"/>
      <c r="T647" s="111"/>
      <c r="U647" s="111"/>
      <c r="V647" s="111"/>
      <c r="W647" s="111"/>
      <c r="X647" s="111"/>
      <c r="Y647" s="111"/>
      <c r="Z647" s="111" t="s">
        <v>13300</v>
      </c>
      <c r="AA647" s="129">
        <f>IF(Projects!$AI647="Electrolysis",
AB647*VLOOKUP(G647,ElectrolysisConvF,3,FALSE),
"")</f>
        <v>1897.965381</v>
      </c>
      <c r="AB647" s="125">
        <f>AC647/(H2dens*HoursInYear/10^6)</f>
        <v>421770.0847</v>
      </c>
      <c r="AC647" s="126">
        <f>30*365/33.3</f>
        <v>328.8288288</v>
      </c>
      <c r="AD647" s="125"/>
      <c r="AE647" s="125">
        <f t="shared" si="118"/>
        <v>421770.0847</v>
      </c>
      <c r="AF647" s="127" t="s">
        <v>13301</v>
      </c>
      <c r="AG647" s="127">
        <v>53.3590619008262</v>
      </c>
      <c r="AH647" s="127">
        <v>4.87415460996007</v>
      </c>
      <c r="AI647" s="115" t="s">
        <v>12383</v>
      </c>
      <c r="AJ647" s="116">
        <v>0.55</v>
      </c>
      <c r="AK647" s="117"/>
      <c r="AL647" s="117"/>
      <c r="AM647" s="117"/>
      <c r="AN647" s="117"/>
      <c r="AO647" s="117"/>
    </row>
    <row r="648" ht="34.5" customHeight="1">
      <c r="A648" s="111">
        <v>1050.0</v>
      </c>
      <c r="B648" s="111" t="s">
        <v>8638</v>
      </c>
      <c r="C648" s="111" t="s">
        <v>8632</v>
      </c>
      <c r="D648" s="111">
        <v>2025.0</v>
      </c>
      <c r="E648" s="111"/>
      <c r="F648" s="111" t="s">
        <v>12399</v>
      </c>
      <c r="G648" s="111" t="s">
        <v>12381</v>
      </c>
      <c r="H648" s="111" t="s">
        <v>12230</v>
      </c>
      <c r="I648" s="111" t="s">
        <v>12394</v>
      </c>
      <c r="J648" s="111" t="s">
        <v>12296</v>
      </c>
      <c r="K648" s="111" t="s">
        <v>30</v>
      </c>
      <c r="L648" s="111"/>
      <c r="M648" s="111"/>
      <c r="N648" s="111"/>
      <c r="O648" s="111"/>
      <c r="P648" s="111"/>
      <c r="Q648" s="111"/>
      <c r="R648" s="111"/>
      <c r="S648" s="111">
        <v>1.0</v>
      </c>
      <c r="T648" s="111"/>
      <c r="U648" s="111"/>
      <c r="V648" s="111"/>
      <c r="W648" s="111"/>
      <c r="X648" s="111"/>
      <c r="Y648" s="111"/>
      <c r="Z648" s="111" t="s">
        <v>12390</v>
      </c>
      <c r="AA648" s="124">
        <v>78.0</v>
      </c>
      <c r="AB648" s="125">
        <f>IF(Projects!$AI648="Electrolysis",
AA648/VLOOKUP(G648,ElectrolysisConvF,3,FALSE),
AC648*10^6/(H2dens*HoursInYear))</f>
        <v>17333.33333</v>
      </c>
      <c r="AC648" s="126">
        <f>AB648*H2dens*HoursInYear/10^6</f>
        <v>13.51376</v>
      </c>
      <c r="AD648" s="125"/>
      <c r="AE648" s="125">
        <f t="shared" si="118"/>
        <v>17333.33333</v>
      </c>
      <c r="AF648" s="127" t="s">
        <v>13301</v>
      </c>
      <c r="AG648" s="127">
        <v>48.5442993636312</v>
      </c>
      <c r="AH648" s="127">
        <v>22.0774548454274</v>
      </c>
      <c r="AI648" s="115" t="s">
        <v>12383</v>
      </c>
      <c r="AJ648" s="116">
        <v>0.5</v>
      </c>
      <c r="AK648" s="117"/>
      <c r="AL648" s="117"/>
      <c r="AM648" s="117"/>
      <c r="AN648" s="117"/>
      <c r="AO648" s="117"/>
    </row>
    <row r="649" ht="34.5" customHeight="1">
      <c r="A649" s="111">
        <v>1052.0</v>
      </c>
      <c r="B649" s="111" t="s">
        <v>8639</v>
      </c>
      <c r="C649" s="111" t="s">
        <v>7987</v>
      </c>
      <c r="D649" s="111">
        <v>2028.0</v>
      </c>
      <c r="E649" s="111"/>
      <c r="F649" s="111" t="s">
        <v>12399</v>
      </c>
      <c r="G649" s="111" t="s">
        <v>12224</v>
      </c>
      <c r="H649" s="111"/>
      <c r="I649" s="111" t="s">
        <v>12394</v>
      </c>
      <c r="J649" s="111" t="s">
        <v>12295</v>
      </c>
      <c r="K649" s="111" t="s">
        <v>12449</v>
      </c>
      <c r="L649" s="111"/>
      <c r="M649" s="111"/>
      <c r="N649" s="111"/>
      <c r="O649" s="111"/>
      <c r="P649" s="111"/>
      <c r="Q649" s="111"/>
      <c r="R649" s="111"/>
      <c r="S649" s="111"/>
      <c r="T649" s="111"/>
      <c r="U649" s="111"/>
      <c r="V649" s="111"/>
      <c r="W649" s="111"/>
      <c r="X649" s="111"/>
      <c r="Y649" s="111"/>
      <c r="Z649" s="111" t="s">
        <v>13302</v>
      </c>
      <c r="AA649" s="129">
        <f>IF(Projects!$AI649="Electrolysis",
AB649*VLOOKUP(G649,ElectrolysisConvF,3,FALSE),
"")</f>
        <v>232.8170867</v>
      </c>
      <c r="AB649" s="125">
        <f>AC649/(H2dens*HoursInYear/10^6)</f>
        <v>50612.41016</v>
      </c>
      <c r="AC649" s="126">
        <f>1.8*365/33.3/Projects!$AJ649</f>
        <v>39.45945946</v>
      </c>
      <c r="AD649" s="125"/>
      <c r="AE649" s="125">
        <f>AB649</f>
        <v>50612.41016</v>
      </c>
      <c r="AF649" s="127" t="s">
        <v>13303</v>
      </c>
      <c r="AG649" s="127">
        <v>53.5249420751023</v>
      </c>
      <c r="AH649" s="127">
        <v>7.63035953879019</v>
      </c>
      <c r="AI649" s="115" t="s">
        <v>12383</v>
      </c>
      <c r="AJ649" s="116">
        <v>0.5</v>
      </c>
      <c r="AK649" s="132"/>
      <c r="AL649" s="132"/>
      <c r="AM649" s="132"/>
      <c r="AN649" s="132"/>
      <c r="AO649" s="132"/>
    </row>
    <row r="650" ht="34.5" customHeight="1">
      <c r="A650" s="133">
        <v>1053.0</v>
      </c>
      <c r="B650" s="133" t="s">
        <v>8640</v>
      </c>
      <c r="C650" s="137" t="s">
        <v>8641</v>
      </c>
      <c r="D650" s="133">
        <v>2027.0</v>
      </c>
      <c r="E650" s="133"/>
      <c r="F650" s="133" t="s">
        <v>12397</v>
      </c>
      <c r="G650" s="133" t="s">
        <v>12381</v>
      </c>
      <c r="H650" s="133" t="s">
        <v>12230</v>
      </c>
      <c r="I650" s="133" t="s">
        <v>12287</v>
      </c>
      <c r="J650" s="133"/>
      <c r="K650" s="133" t="s">
        <v>30</v>
      </c>
      <c r="L650" s="133"/>
      <c r="M650" s="133"/>
      <c r="N650" s="133"/>
      <c r="O650" s="133"/>
      <c r="P650" s="133"/>
      <c r="Q650" s="133"/>
      <c r="R650" s="133"/>
      <c r="S650" s="133"/>
      <c r="T650" s="133"/>
      <c r="U650" s="133"/>
      <c r="V650" s="133"/>
      <c r="W650" s="133"/>
      <c r="X650" s="133"/>
      <c r="Y650" s="133"/>
      <c r="Z650" s="133" t="s">
        <v>12991</v>
      </c>
      <c r="AA650" s="134"/>
      <c r="AB650" s="135"/>
      <c r="AC650" s="136"/>
      <c r="AD650" s="135"/>
      <c r="AE650" s="135" t="str">
        <f t="shared" ref="AE650:AE651" si="120">IF(AND(G650&lt;&gt;"NG w CCUS",G650&lt;&gt;"Oil w CCUS",G650&lt;&gt;"Coal w CCUS"),AB650,AD650*10^3/(HoursInYear*IF(G650="NG w CCUS",0.9105,1.9075)))</f>
        <v/>
      </c>
      <c r="AF650" s="137" t="s">
        <v>13301</v>
      </c>
      <c r="AG650" s="137">
        <v>56.6392304113284</v>
      </c>
      <c r="AH650" s="137">
        <v>9.795671507972</v>
      </c>
      <c r="AI650" s="115" t="s">
        <v>12383</v>
      </c>
      <c r="AJ650" s="116">
        <v>0.57</v>
      </c>
      <c r="AK650" s="117"/>
      <c r="AL650" s="117"/>
      <c r="AM650" s="117"/>
      <c r="AN650" s="117"/>
      <c r="AO650" s="117"/>
    </row>
    <row r="651" ht="34.5" customHeight="1">
      <c r="A651" s="133">
        <v>1054.0</v>
      </c>
      <c r="B651" s="133" t="s">
        <v>8642</v>
      </c>
      <c r="C651" s="137" t="s">
        <v>8641</v>
      </c>
      <c r="D651" s="133">
        <v>2031.0</v>
      </c>
      <c r="E651" s="133"/>
      <c r="F651" s="133" t="s">
        <v>12397</v>
      </c>
      <c r="G651" s="133" t="s">
        <v>12381</v>
      </c>
      <c r="H651" s="133" t="s">
        <v>12230</v>
      </c>
      <c r="I651" s="133" t="s">
        <v>12287</v>
      </c>
      <c r="J651" s="133"/>
      <c r="K651" s="133" t="s">
        <v>30</v>
      </c>
      <c r="L651" s="133"/>
      <c r="M651" s="133"/>
      <c r="N651" s="133"/>
      <c r="O651" s="133"/>
      <c r="P651" s="133"/>
      <c r="Q651" s="133"/>
      <c r="R651" s="133"/>
      <c r="S651" s="133"/>
      <c r="T651" s="133"/>
      <c r="U651" s="133"/>
      <c r="V651" s="133"/>
      <c r="W651" s="133"/>
      <c r="X651" s="133"/>
      <c r="Y651" s="133"/>
      <c r="Z651" s="133" t="s">
        <v>12723</v>
      </c>
      <c r="AA651" s="134"/>
      <c r="AB651" s="135"/>
      <c r="AC651" s="136"/>
      <c r="AD651" s="135"/>
      <c r="AE651" s="135" t="str">
        <f t="shared" si="120"/>
        <v/>
      </c>
      <c r="AF651" s="137" t="s">
        <v>13301</v>
      </c>
      <c r="AG651" s="137">
        <v>56.6392304113284</v>
      </c>
      <c r="AH651" s="137">
        <v>9.795671507972</v>
      </c>
      <c r="AI651" s="115" t="s">
        <v>12383</v>
      </c>
      <c r="AJ651" s="116">
        <v>0.57</v>
      </c>
      <c r="AK651" s="117"/>
      <c r="AL651" s="117"/>
      <c r="AM651" s="117"/>
      <c r="AN651" s="117"/>
      <c r="AO651" s="117"/>
    </row>
    <row r="652" ht="34.5" customHeight="1">
      <c r="A652" s="111">
        <v>1056.0</v>
      </c>
      <c r="B652" s="111" t="s">
        <v>8643</v>
      </c>
      <c r="C652" s="111" t="s">
        <v>8011</v>
      </c>
      <c r="D652" s="111">
        <v>2026.0</v>
      </c>
      <c r="E652" s="111"/>
      <c r="F652" s="111" t="s">
        <v>12397</v>
      </c>
      <c r="G652" s="111" t="s">
        <v>12381</v>
      </c>
      <c r="H652" s="111" t="s">
        <v>12230</v>
      </c>
      <c r="I652" s="111" t="s">
        <v>12406</v>
      </c>
      <c r="J652" s="111"/>
      <c r="K652" s="111" t="s">
        <v>30</v>
      </c>
      <c r="L652" s="111"/>
      <c r="M652" s="111"/>
      <c r="N652" s="111"/>
      <c r="O652" s="111"/>
      <c r="P652" s="111"/>
      <c r="Q652" s="111"/>
      <c r="R652" s="111"/>
      <c r="S652" s="111">
        <v>1.0</v>
      </c>
      <c r="T652" s="111"/>
      <c r="U652" s="111"/>
      <c r="V652" s="111"/>
      <c r="W652" s="111"/>
      <c r="X652" s="111"/>
      <c r="Y652" s="111"/>
      <c r="Z652" s="111"/>
      <c r="AA652" s="124"/>
      <c r="AB652" s="125"/>
      <c r="AC652" s="126"/>
      <c r="AD652" s="125"/>
      <c r="AE652" s="125"/>
      <c r="AF652" s="127" t="s">
        <v>13301</v>
      </c>
      <c r="AG652" s="127">
        <v>0.0</v>
      </c>
      <c r="AH652" s="127">
        <v>0.0</v>
      </c>
      <c r="AI652" s="115" t="s">
        <v>12383</v>
      </c>
      <c r="AJ652" s="116">
        <v>0.57</v>
      </c>
      <c r="AK652" s="117"/>
      <c r="AL652" s="117"/>
      <c r="AM652" s="117"/>
      <c r="AN652" s="117"/>
      <c r="AO652" s="117"/>
    </row>
    <row r="653" ht="34.5" customHeight="1">
      <c r="A653" s="111">
        <v>1057.0</v>
      </c>
      <c r="B653" s="111" t="s">
        <v>8644</v>
      </c>
      <c r="C653" s="111" t="s">
        <v>8047</v>
      </c>
      <c r="D653" s="111">
        <v>2029.0</v>
      </c>
      <c r="E653" s="111"/>
      <c r="F653" s="111" t="s">
        <v>12399</v>
      </c>
      <c r="G653" s="111" t="s">
        <v>12381</v>
      </c>
      <c r="H653" s="111" t="s">
        <v>12230</v>
      </c>
      <c r="I653" s="111" t="s">
        <v>12394</v>
      </c>
      <c r="J653" s="111" t="s">
        <v>12296</v>
      </c>
      <c r="K653" s="111" t="s">
        <v>12449</v>
      </c>
      <c r="L653" s="111"/>
      <c r="M653" s="111"/>
      <c r="N653" s="111"/>
      <c r="O653" s="111"/>
      <c r="P653" s="111"/>
      <c r="Q653" s="111"/>
      <c r="R653" s="111"/>
      <c r="S653" s="111"/>
      <c r="T653" s="111"/>
      <c r="U653" s="111"/>
      <c r="V653" s="111"/>
      <c r="W653" s="111"/>
      <c r="X653" s="111">
        <v>1.0</v>
      </c>
      <c r="Y653" s="111"/>
      <c r="Z653" s="111" t="s">
        <v>13304</v>
      </c>
      <c r="AA653" s="124">
        <v>23.0</v>
      </c>
      <c r="AB653" s="125">
        <f>IF(Projects!$AI653="Electrolysis",
AA653/VLOOKUP(G653,ElectrolysisConvF,3,FALSE),
AC653*10^6/(H2dens*HoursInYear))</f>
        <v>5111.111111</v>
      </c>
      <c r="AC653" s="126">
        <f t="shared" ref="AC653:AC655" si="121">AB653*H2dens*HoursInYear/10^6</f>
        <v>3.984826667</v>
      </c>
      <c r="AD653" s="125"/>
      <c r="AE653" s="125">
        <f t="shared" ref="AE653:AE659" si="122">IF(AND(G653&lt;&gt;"NG w CCUS",G653&lt;&gt;"Oil w CCUS",G653&lt;&gt;"Coal w CCUS"),AB653,AD653*10^3/(HoursInYear*IF(G653="NG w CCUS",0.9105,1.9075)))</f>
        <v>5111.111111</v>
      </c>
      <c r="AF653" s="127" t="s">
        <v>13305</v>
      </c>
      <c r="AG653" s="127">
        <v>0.0</v>
      </c>
      <c r="AH653" s="127">
        <v>0.0</v>
      </c>
      <c r="AI653" s="115" t="s">
        <v>12383</v>
      </c>
      <c r="AJ653" s="116">
        <v>0.5</v>
      </c>
      <c r="AK653" s="117"/>
      <c r="AL653" s="117"/>
      <c r="AM653" s="117"/>
      <c r="AN653" s="117"/>
      <c r="AO653" s="117"/>
    </row>
    <row r="654" ht="34.5" customHeight="1">
      <c r="A654" s="111">
        <v>1058.0</v>
      </c>
      <c r="B654" s="111" t="s">
        <v>8645</v>
      </c>
      <c r="C654" s="111" t="s">
        <v>8047</v>
      </c>
      <c r="D654" s="111">
        <v>2026.0</v>
      </c>
      <c r="E654" s="111"/>
      <c r="F654" s="111" t="s">
        <v>12397</v>
      </c>
      <c r="G654" s="111" t="s">
        <v>12381</v>
      </c>
      <c r="H654" s="111" t="s">
        <v>12230</v>
      </c>
      <c r="I654" s="111" t="s">
        <v>12406</v>
      </c>
      <c r="J654" s="111"/>
      <c r="K654" s="111" t="s">
        <v>30</v>
      </c>
      <c r="L654" s="111"/>
      <c r="M654" s="111"/>
      <c r="N654" s="111"/>
      <c r="O654" s="111"/>
      <c r="P654" s="111"/>
      <c r="Q654" s="111"/>
      <c r="R654" s="111"/>
      <c r="S654" s="111"/>
      <c r="T654" s="111"/>
      <c r="U654" s="111"/>
      <c r="V654" s="111"/>
      <c r="W654" s="111"/>
      <c r="X654" s="111">
        <v>1.0</v>
      </c>
      <c r="Y654" s="111"/>
      <c r="Z654" s="111" t="s">
        <v>13306</v>
      </c>
      <c r="AA654" s="124">
        <v>90.0</v>
      </c>
      <c r="AB654" s="125">
        <f>IF(Projects!$AI654="Electrolysis",
AA654/VLOOKUP(G654,ElectrolysisConvF,3,FALSE),
AC654*10^6/(H2dens*HoursInYear))</f>
        <v>20000</v>
      </c>
      <c r="AC654" s="126">
        <f t="shared" si="121"/>
        <v>15.5928</v>
      </c>
      <c r="AD654" s="125"/>
      <c r="AE654" s="125">
        <f t="shared" si="122"/>
        <v>20000</v>
      </c>
      <c r="AF654" s="127" t="s">
        <v>13307</v>
      </c>
      <c r="AG654" s="127">
        <v>41.0668789763343</v>
      </c>
      <c r="AH654" s="127">
        <v>16.6825775917671</v>
      </c>
      <c r="AI654" s="115" t="s">
        <v>12383</v>
      </c>
      <c r="AJ654" s="116">
        <v>0.57</v>
      </c>
      <c r="AK654" s="117"/>
      <c r="AL654" s="117"/>
      <c r="AM654" s="117"/>
      <c r="AN654" s="117"/>
      <c r="AO654" s="117"/>
    </row>
    <row r="655" ht="34.5" customHeight="1">
      <c r="A655" s="111">
        <v>1059.0</v>
      </c>
      <c r="B655" s="111" t="s">
        <v>8646</v>
      </c>
      <c r="C655" s="111" t="s">
        <v>8647</v>
      </c>
      <c r="D655" s="111">
        <v>2024.0</v>
      </c>
      <c r="E655" s="111"/>
      <c r="F655" s="111" t="s">
        <v>12418</v>
      </c>
      <c r="G655" s="111" t="s">
        <v>12381</v>
      </c>
      <c r="H655" s="111" t="s">
        <v>12230</v>
      </c>
      <c r="I655" s="111" t="s">
        <v>12287</v>
      </c>
      <c r="J655" s="111"/>
      <c r="K655" s="111" t="s">
        <v>30</v>
      </c>
      <c r="L655" s="111"/>
      <c r="M655" s="111"/>
      <c r="N655" s="111"/>
      <c r="O655" s="111"/>
      <c r="P655" s="111"/>
      <c r="Q655" s="111"/>
      <c r="R655" s="111"/>
      <c r="S655" s="111">
        <v>1.0</v>
      </c>
      <c r="T655" s="111"/>
      <c r="U655" s="111"/>
      <c r="V655" s="111"/>
      <c r="W655" s="111"/>
      <c r="X655" s="111"/>
      <c r="Y655" s="111"/>
      <c r="Z655" s="111" t="s">
        <v>12908</v>
      </c>
      <c r="AA655" s="124">
        <v>1.0</v>
      </c>
      <c r="AB655" s="125">
        <f>IF(Projects!$AI655="Electrolysis",
AA655/VLOOKUP(G655,ElectrolysisConvF,3,FALSE),
AC655*10^6/(H2dens*HoursInYear))</f>
        <v>222.2222222</v>
      </c>
      <c r="AC655" s="126">
        <f t="shared" si="121"/>
        <v>0.1732533333</v>
      </c>
      <c r="AD655" s="125"/>
      <c r="AE655" s="125">
        <f t="shared" si="122"/>
        <v>222.2222222</v>
      </c>
      <c r="AF655" s="127" t="s">
        <v>13308</v>
      </c>
      <c r="AG655" s="127">
        <v>55.4138063398703</v>
      </c>
      <c r="AH655" s="127">
        <v>23.5196801766094</v>
      </c>
      <c r="AI655" s="115" t="s">
        <v>12383</v>
      </c>
      <c r="AJ655" s="116">
        <v>0.57</v>
      </c>
      <c r="AK655" s="117"/>
      <c r="AL655" s="117"/>
      <c r="AM655" s="117"/>
      <c r="AN655" s="117"/>
      <c r="AO655" s="117"/>
    </row>
    <row r="656" ht="34.5" customHeight="1">
      <c r="A656" s="111">
        <v>1060.0</v>
      </c>
      <c r="B656" s="111" t="s">
        <v>8648</v>
      </c>
      <c r="C656" s="111" t="s">
        <v>8649</v>
      </c>
      <c r="D656" s="111">
        <v>2030.0</v>
      </c>
      <c r="E656" s="111"/>
      <c r="F656" s="111" t="s">
        <v>12397</v>
      </c>
      <c r="G656" s="111" t="s">
        <v>12381</v>
      </c>
      <c r="H656" s="111" t="s">
        <v>12230</v>
      </c>
      <c r="I656" s="111" t="s">
        <v>12406</v>
      </c>
      <c r="J656" s="111" t="str">
        <f>IF(I656&lt;&gt;"Dedicated renewable","N/A",)</f>
        <v>N/A</v>
      </c>
      <c r="K656" s="111" t="s">
        <v>30</v>
      </c>
      <c r="L656" s="111"/>
      <c r="M656" s="111"/>
      <c r="N656" s="111"/>
      <c r="O656" s="111"/>
      <c r="P656" s="111"/>
      <c r="Q656" s="111"/>
      <c r="R656" s="111"/>
      <c r="S656" s="111"/>
      <c r="T656" s="111"/>
      <c r="U656" s="111"/>
      <c r="V656" s="111"/>
      <c r="W656" s="111"/>
      <c r="X656" s="111"/>
      <c r="Y656" s="111"/>
      <c r="Z656" s="111"/>
      <c r="AA656" s="124"/>
      <c r="AB656" s="125"/>
      <c r="AC656" s="126"/>
      <c r="AD656" s="125"/>
      <c r="AE656" s="125" t="str">
        <f t="shared" si="122"/>
        <v/>
      </c>
      <c r="AF656" s="127" t="s">
        <v>13301</v>
      </c>
      <c r="AG656" s="127">
        <v>56.9063693339242</v>
      </c>
      <c r="AH656" s="127">
        <v>24.9149438799513</v>
      </c>
      <c r="AI656" s="115" t="s">
        <v>12383</v>
      </c>
      <c r="AJ656" s="116">
        <v>0.57</v>
      </c>
      <c r="AK656" s="117"/>
      <c r="AL656" s="117"/>
      <c r="AM656" s="117"/>
      <c r="AN656" s="117"/>
      <c r="AO656" s="117"/>
    </row>
    <row r="657" ht="34.5" customHeight="1">
      <c r="A657" s="111">
        <v>1061.0</v>
      </c>
      <c r="B657" s="111" t="s">
        <v>8650</v>
      </c>
      <c r="C657" s="111" t="s">
        <v>8632</v>
      </c>
      <c r="D657" s="111">
        <v>2025.0</v>
      </c>
      <c r="E657" s="111"/>
      <c r="F657" s="111" t="s">
        <v>12399</v>
      </c>
      <c r="G657" s="111" t="s">
        <v>12381</v>
      </c>
      <c r="H657" s="111" t="s">
        <v>12230</v>
      </c>
      <c r="I657" s="111" t="s">
        <v>12394</v>
      </c>
      <c r="J657" s="111" t="s">
        <v>12296</v>
      </c>
      <c r="K657" s="111" t="s">
        <v>30</v>
      </c>
      <c r="L657" s="111"/>
      <c r="M657" s="111"/>
      <c r="N657" s="111"/>
      <c r="O657" s="111"/>
      <c r="P657" s="111"/>
      <c r="Q657" s="111"/>
      <c r="R657" s="111"/>
      <c r="S657" s="111">
        <v>1.0</v>
      </c>
      <c r="T657" s="111"/>
      <c r="U657" s="111"/>
      <c r="V657" s="111"/>
      <c r="W657" s="111"/>
      <c r="X657" s="111"/>
      <c r="Y657" s="111"/>
      <c r="Z657" s="111" t="s">
        <v>13309</v>
      </c>
      <c r="AA657" s="124">
        <v>84.0</v>
      </c>
      <c r="AB657" s="125">
        <f>IF(Projects!$AI657="Electrolysis",
AA657/VLOOKUP(G657,ElectrolysisConvF,3,FALSE),
AC657*10^6/(H2dens*HoursInYear))</f>
        <v>18666.66667</v>
      </c>
      <c r="AC657" s="126">
        <f t="shared" ref="AC657:AC658" si="123">AB657*H2dens*HoursInYear/10^6</f>
        <v>14.55328</v>
      </c>
      <c r="AD657" s="125"/>
      <c r="AE657" s="125">
        <f t="shared" si="122"/>
        <v>18666.66667</v>
      </c>
      <c r="AF657" s="127" t="s">
        <v>13301</v>
      </c>
      <c r="AG657" s="127">
        <v>0.0</v>
      </c>
      <c r="AH657" s="127">
        <v>0.0</v>
      </c>
      <c r="AI657" s="115" t="s">
        <v>12383</v>
      </c>
      <c r="AJ657" s="116">
        <v>0.5</v>
      </c>
      <c r="AK657" s="117"/>
      <c r="AL657" s="117"/>
      <c r="AM657" s="117"/>
      <c r="AN657" s="117"/>
      <c r="AO657" s="117"/>
    </row>
    <row r="658" ht="34.5" customHeight="1">
      <c r="A658" s="111">
        <v>1062.0</v>
      </c>
      <c r="B658" s="111" t="s">
        <v>8651</v>
      </c>
      <c r="C658" s="111" t="s">
        <v>8632</v>
      </c>
      <c r="D658" s="111">
        <v>2035.0</v>
      </c>
      <c r="E658" s="111"/>
      <c r="F658" s="111" t="s">
        <v>12397</v>
      </c>
      <c r="G658" s="111" t="s">
        <v>12381</v>
      </c>
      <c r="H658" s="111" t="s">
        <v>12230</v>
      </c>
      <c r="I658" s="111" t="s">
        <v>12394</v>
      </c>
      <c r="J658" s="111" t="s">
        <v>12296</v>
      </c>
      <c r="K658" s="111" t="s">
        <v>30</v>
      </c>
      <c r="L658" s="111"/>
      <c r="M658" s="111"/>
      <c r="N658" s="111"/>
      <c r="O658" s="111"/>
      <c r="P658" s="111"/>
      <c r="Q658" s="111"/>
      <c r="R658" s="111"/>
      <c r="S658" s="111">
        <v>1.0</v>
      </c>
      <c r="T658" s="111"/>
      <c r="U658" s="111"/>
      <c r="V658" s="111"/>
      <c r="W658" s="111"/>
      <c r="X658" s="111"/>
      <c r="Y658" s="111"/>
      <c r="Z658" s="111" t="s">
        <v>13310</v>
      </c>
      <c r="AA658" s="124">
        <v>248.0</v>
      </c>
      <c r="AB658" s="125">
        <f>IF(Projects!$AI658="Electrolysis",
AA658/VLOOKUP(G658,ElectrolysisConvF,3,FALSE),
AC658*10^6/(H2dens*HoursInYear))</f>
        <v>55111.11111</v>
      </c>
      <c r="AC658" s="126">
        <f t="shared" si="123"/>
        <v>42.96682667</v>
      </c>
      <c r="AD658" s="125"/>
      <c r="AE658" s="125">
        <f t="shared" si="122"/>
        <v>55111.11111</v>
      </c>
      <c r="AF658" s="127" t="s">
        <v>13301</v>
      </c>
      <c r="AG658" s="127">
        <v>48.8857680974633</v>
      </c>
      <c r="AH658" s="127">
        <v>19.3628915911266</v>
      </c>
      <c r="AI658" s="115" t="s">
        <v>12383</v>
      </c>
      <c r="AJ658" s="116">
        <v>0.5</v>
      </c>
      <c r="AK658" s="117"/>
      <c r="AL658" s="117"/>
      <c r="AM658" s="117"/>
      <c r="AN658" s="117"/>
      <c r="AO658" s="117"/>
    </row>
    <row r="659" ht="34.5" customHeight="1">
      <c r="A659" s="111">
        <v>1063.0</v>
      </c>
      <c r="B659" s="111" t="s">
        <v>8652</v>
      </c>
      <c r="C659" s="111" t="s">
        <v>7987</v>
      </c>
      <c r="D659" s="111"/>
      <c r="E659" s="111"/>
      <c r="F659" s="111" t="s">
        <v>12393</v>
      </c>
      <c r="G659" s="111" t="s">
        <v>12226</v>
      </c>
      <c r="H659" s="111"/>
      <c r="I659" s="111" t="s">
        <v>12394</v>
      </c>
      <c r="J659" s="111" t="s">
        <v>12295</v>
      </c>
      <c r="K659" s="111" t="s">
        <v>30</v>
      </c>
      <c r="L659" s="111"/>
      <c r="M659" s="111"/>
      <c r="N659" s="111"/>
      <c r="O659" s="111"/>
      <c r="P659" s="111"/>
      <c r="Q659" s="111">
        <v>1.0</v>
      </c>
      <c r="R659" s="111"/>
      <c r="S659" s="111"/>
      <c r="T659" s="111"/>
      <c r="U659" s="111"/>
      <c r="V659" s="111"/>
      <c r="W659" s="111"/>
      <c r="X659" s="111"/>
      <c r="Y659" s="111"/>
      <c r="Z659" s="111" t="s">
        <v>13311</v>
      </c>
      <c r="AA659" s="129">
        <f>IF(Projects!$AI659="Electrolysis",
AB659*VLOOKUP(G659,ElectrolysisConvF,3,FALSE),
"")</f>
        <v>2.934687805</v>
      </c>
      <c r="AB659" s="125">
        <f>AC659/(H2dens*HoursInYear/10^6)</f>
        <v>564.3630394</v>
      </c>
      <c r="AC659" s="126">
        <v>0.44</v>
      </c>
      <c r="AD659" s="125"/>
      <c r="AE659" s="125">
        <f t="shared" si="122"/>
        <v>564.3630394</v>
      </c>
      <c r="AF659" s="127" t="s">
        <v>13312</v>
      </c>
      <c r="AG659" s="127">
        <v>51.5962327512673</v>
      </c>
      <c r="AH659" s="127">
        <v>7.13941106264352</v>
      </c>
      <c r="AI659" s="115" t="s">
        <v>12383</v>
      </c>
      <c r="AJ659" s="116">
        <v>0.5</v>
      </c>
      <c r="AK659" s="117"/>
      <c r="AL659" s="117"/>
      <c r="AM659" s="117"/>
      <c r="AN659" s="117"/>
      <c r="AO659" s="117"/>
    </row>
    <row r="660" ht="34.5" customHeight="1">
      <c r="A660" s="111">
        <v>1064.0</v>
      </c>
      <c r="B660" s="111" t="s">
        <v>8653</v>
      </c>
      <c r="C660" s="111" t="s">
        <v>8011</v>
      </c>
      <c r="D660" s="111">
        <v>2023.0</v>
      </c>
      <c r="E660" s="111"/>
      <c r="F660" s="111" t="s">
        <v>12385</v>
      </c>
      <c r="G660" s="111" t="s">
        <v>12381</v>
      </c>
      <c r="H660" s="111" t="s">
        <v>12230</v>
      </c>
      <c r="I660" s="111" t="s">
        <v>12394</v>
      </c>
      <c r="J660" s="111" t="s">
        <v>12293</v>
      </c>
      <c r="K660" s="111" t="s">
        <v>30</v>
      </c>
      <c r="L660" s="111"/>
      <c r="M660" s="111"/>
      <c r="N660" s="111"/>
      <c r="O660" s="111"/>
      <c r="P660" s="111"/>
      <c r="Q660" s="111">
        <v>1.0</v>
      </c>
      <c r="R660" s="111"/>
      <c r="S660" s="111"/>
      <c r="T660" s="111"/>
      <c r="U660" s="111"/>
      <c r="V660" s="111"/>
      <c r="W660" s="111"/>
      <c r="X660" s="111"/>
      <c r="Y660" s="111"/>
      <c r="Z660" s="111" t="s">
        <v>12497</v>
      </c>
      <c r="AA660" s="124">
        <v>1.5</v>
      </c>
      <c r="AB660" s="125">
        <f>IF(Projects!$AI660="Electrolysis",
AA660/VLOOKUP(G660,ElectrolysisConvF,3,FALSE),
AC660*10^6/(H2dens*HoursInYear))</f>
        <v>333.3333333</v>
      </c>
      <c r="AC660" s="126">
        <f t="shared" ref="AC660:AC661" si="124">AB660*H2dens*HoursInYear/10^6</f>
        <v>0.25988</v>
      </c>
      <c r="AD660" s="125"/>
      <c r="AE660" s="125">
        <f t="shared" ref="AE660:AE661" si="125">AB660</f>
        <v>333.3333333</v>
      </c>
      <c r="AF660" s="127" t="s">
        <v>13313</v>
      </c>
      <c r="AG660" s="127">
        <v>47.2737738929495</v>
      </c>
      <c r="AH660" s="127">
        <v>-2.21032492972901</v>
      </c>
      <c r="AI660" s="115" t="s">
        <v>12383</v>
      </c>
      <c r="AJ660" s="116">
        <v>0.55</v>
      </c>
      <c r="AK660" s="117"/>
      <c r="AL660" s="117"/>
      <c r="AM660" s="117"/>
      <c r="AN660" s="117"/>
      <c r="AO660" s="117"/>
    </row>
    <row r="661" ht="34.5" customHeight="1">
      <c r="A661" s="111">
        <v>1065.0</v>
      </c>
      <c r="B661" s="111" t="s">
        <v>8654</v>
      </c>
      <c r="C661" s="111" t="s">
        <v>8011</v>
      </c>
      <c r="D661" s="111">
        <v>2028.0</v>
      </c>
      <c r="E661" s="111"/>
      <c r="F661" s="111" t="s">
        <v>12397</v>
      </c>
      <c r="G661" s="111" t="s">
        <v>12381</v>
      </c>
      <c r="H661" s="111" t="s">
        <v>12230</v>
      </c>
      <c r="I661" s="111" t="s">
        <v>12394</v>
      </c>
      <c r="J661" s="111" t="s">
        <v>12296</v>
      </c>
      <c r="K661" s="111" t="s">
        <v>30</v>
      </c>
      <c r="L661" s="111"/>
      <c r="M661" s="111"/>
      <c r="N661" s="111"/>
      <c r="O661" s="111"/>
      <c r="P661" s="111"/>
      <c r="Q661" s="111">
        <v>1.0</v>
      </c>
      <c r="R661" s="111"/>
      <c r="S661" s="111"/>
      <c r="T661" s="111"/>
      <c r="U661" s="111"/>
      <c r="V661" s="111"/>
      <c r="W661" s="111"/>
      <c r="X661" s="111"/>
      <c r="Y661" s="111"/>
      <c r="Z661" s="111" t="s">
        <v>12457</v>
      </c>
      <c r="AA661" s="124">
        <v>0.5</v>
      </c>
      <c r="AB661" s="125">
        <f>IF(Projects!$AI661="Electrolysis",
AA661/VLOOKUP(G661,ElectrolysisConvF,3,FALSE),
AC661*10^6/(H2dens*HoursInYear))</f>
        <v>111.1111111</v>
      </c>
      <c r="AC661" s="126">
        <f t="shared" si="124"/>
        <v>0.08662666667</v>
      </c>
      <c r="AD661" s="125"/>
      <c r="AE661" s="125">
        <f t="shared" si="125"/>
        <v>111.1111111</v>
      </c>
      <c r="AF661" s="127" t="s">
        <v>13314</v>
      </c>
      <c r="AG661" s="127">
        <v>49.9631309184685</v>
      </c>
      <c r="AH661" s="127">
        <v>1.08968768256936</v>
      </c>
      <c r="AI661" s="115" t="s">
        <v>12383</v>
      </c>
      <c r="AJ661" s="116">
        <v>0.5</v>
      </c>
      <c r="AK661" s="132"/>
      <c r="AL661" s="132"/>
      <c r="AM661" s="132"/>
      <c r="AN661" s="132"/>
      <c r="AO661" s="132"/>
    </row>
    <row r="662" ht="34.5" customHeight="1">
      <c r="A662" s="133">
        <v>1066.0</v>
      </c>
      <c r="B662" s="133" t="s">
        <v>8655</v>
      </c>
      <c r="C662" s="133" t="s">
        <v>8011</v>
      </c>
      <c r="D662" s="133">
        <v>2027.0</v>
      </c>
      <c r="E662" s="133"/>
      <c r="F662" s="133"/>
      <c r="G662" s="133" t="s">
        <v>12381</v>
      </c>
      <c r="H662" s="133" t="s">
        <v>12230</v>
      </c>
      <c r="I662" s="133" t="s">
        <v>12394</v>
      </c>
      <c r="J662" s="133" t="s">
        <v>12295</v>
      </c>
      <c r="K662" s="133"/>
      <c r="L662" s="133"/>
      <c r="M662" s="133"/>
      <c r="N662" s="133"/>
      <c r="O662" s="133"/>
      <c r="P662" s="133"/>
      <c r="Q662" s="133">
        <v>1.0</v>
      </c>
      <c r="R662" s="133"/>
      <c r="S662" s="133"/>
      <c r="T662" s="133"/>
      <c r="U662" s="133"/>
      <c r="V662" s="133"/>
      <c r="W662" s="133"/>
      <c r="X662" s="133"/>
      <c r="Y662" s="133"/>
      <c r="Z662" s="133" t="s">
        <v>13066</v>
      </c>
      <c r="AA662" s="134"/>
      <c r="AB662" s="135"/>
      <c r="AC662" s="136"/>
      <c r="AD662" s="135"/>
      <c r="AE662" s="135" t="str">
        <f t="shared" ref="AE662:AE667" si="126">IF(AND(G662&lt;&gt;"NG w CCUS",G662&lt;&gt;"Oil w CCUS",G662&lt;&gt;"Coal w CCUS"),AB662,AD662*10^3/(HoursInYear*IF(G662="NG w CCUS",0.9105,1.9075)))</f>
        <v/>
      </c>
      <c r="AF662" s="137"/>
      <c r="AG662" s="137">
        <v>0.0</v>
      </c>
      <c r="AH662" s="137">
        <v>0.0</v>
      </c>
      <c r="AI662" s="115" t="s">
        <v>12383</v>
      </c>
      <c r="AJ662" s="116">
        <v>0.5</v>
      </c>
      <c r="AK662" s="117"/>
      <c r="AL662" s="117"/>
      <c r="AM662" s="117"/>
      <c r="AN662" s="117"/>
      <c r="AO662" s="117"/>
    </row>
    <row r="663" ht="34.5" customHeight="1">
      <c r="A663" s="111">
        <v>1067.0</v>
      </c>
      <c r="B663" s="111" t="s">
        <v>8656</v>
      </c>
      <c r="C663" s="111" t="s">
        <v>7981</v>
      </c>
      <c r="D663" s="111"/>
      <c r="E663" s="111"/>
      <c r="F663" s="111" t="s">
        <v>12399</v>
      </c>
      <c r="G663" s="111" t="s">
        <v>12381</v>
      </c>
      <c r="H663" s="145" t="s">
        <v>12230</v>
      </c>
      <c r="I663" s="111" t="s">
        <v>12287</v>
      </c>
      <c r="J663" s="111"/>
      <c r="K663" s="111" t="s">
        <v>30</v>
      </c>
      <c r="L663" s="111"/>
      <c r="M663" s="111"/>
      <c r="N663" s="111"/>
      <c r="O663" s="111"/>
      <c r="P663" s="111"/>
      <c r="Q663" s="111"/>
      <c r="R663" s="111"/>
      <c r="S663" s="111">
        <v>1.0</v>
      </c>
      <c r="T663" s="111"/>
      <c r="U663" s="111"/>
      <c r="V663" s="111"/>
      <c r="W663" s="111"/>
      <c r="X663" s="111"/>
      <c r="Y663" s="111"/>
      <c r="Z663" s="111" t="s">
        <v>12768</v>
      </c>
      <c r="AA663" s="124">
        <v>50.0</v>
      </c>
      <c r="AB663" s="125">
        <f>IF(Projects!$AI663="Electrolysis",
AA663/VLOOKUP(G663,ElectrolysisConvF,3,FALSE),
AC663*10^6/(H2dens*HoursInYear))</f>
        <v>11111.11111</v>
      </c>
      <c r="AC663" s="126">
        <f>AB663*H2dens*HoursInYear/10^6</f>
        <v>8.662666667</v>
      </c>
      <c r="AD663" s="125"/>
      <c r="AE663" s="125">
        <f t="shared" si="126"/>
        <v>11111.11111</v>
      </c>
      <c r="AF663" s="127" t="s">
        <v>13315</v>
      </c>
      <c r="AG663" s="127">
        <v>0.0</v>
      </c>
      <c r="AH663" s="127">
        <v>0.0</v>
      </c>
      <c r="AI663" s="115" t="s">
        <v>12383</v>
      </c>
      <c r="AJ663" s="116">
        <v>0.57</v>
      </c>
      <c r="AK663" s="117"/>
      <c r="AL663" s="117"/>
      <c r="AM663" s="117"/>
      <c r="AN663" s="117"/>
      <c r="AO663" s="117"/>
    </row>
    <row r="664" ht="34.5" customHeight="1">
      <c r="A664" s="111">
        <v>1068.0</v>
      </c>
      <c r="B664" s="111" t="s">
        <v>8657</v>
      </c>
      <c r="C664" s="111" t="s">
        <v>8071</v>
      </c>
      <c r="D664" s="111">
        <v>2025.0</v>
      </c>
      <c r="E664" s="111"/>
      <c r="F664" s="111" t="s">
        <v>12397</v>
      </c>
      <c r="G664" s="111" t="s">
        <v>12381</v>
      </c>
      <c r="H664" s="111" t="s">
        <v>12230</v>
      </c>
      <c r="I664" s="111" t="s">
        <v>12394</v>
      </c>
      <c r="J664" s="111" t="s">
        <v>12295</v>
      </c>
      <c r="K664" s="111" t="s">
        <v>174</v>
      </c>
      <c r="L664" s="111"/>
      <c r="M664" s="111">
        <v>1.0</v>
      </c>
      <c r="N664" s="111"/>
      <c r="O664" s="111"/>
      <c r="P664" s="111"/>
      <c r="Q664" s="111"/>
      <c r="R664" s="111"/>
      <c r="S664" s="111"/>
      <c r="T664" s="111"/>
      <c r="U664" s="111"/>
      <c r="V664" s="111"/>
      <c r="W664" s="111"/>
      <c r="X664" s="111"/>
      <c r="Y664" s="111"/>
      <c r="Z664" s="111" t="s">
        <v>13316</v>
      </c>
      <c r="AA664" s="129">
        <f>IF(Projects!$AI664="Electrolysis",
AB664*VLOOKUP(G664,ElectrolysisConvF,3,FALSE),
"")</f>
        <v>2738.764045</v>
      </c>
      <c r="AB664" s="125">
        <f t="shared" ref="AB664:AB668" si="127">AC664/(H2dens*HoursInYear/10^6)</f>
        <v>608614.2322</v>
      </c>
      <c r="AC664" s="126">
        <f>0.65*365/Projects!$AJ664</f>
        <v>474.5</v>
      </c>
      <c r="AD664" s="125"/>
      <c r="AE664" s="125">
        <f t="shared" si="126"/>
        <v>608614.2322</v>
      </c>
      <c r="AF664" s="127" t="s">
        <v>13317</v>
      </c>
      <c r="AG664" s="127">
        <v>-26.3890171513679</v>
      </c>
      <c r="AH664" s="127">
        <v>-70.0480882538443</v>
      </c>
      <c r="AI664" s="115" t="s">
        <v>12383</v>
      </c>
      <c r="AJ664" s="116">
        <v>0.5</v>
      </c>
      <c r="AK664" s="117"/>
      <c r="AL664" s="117"/>
      <c r="AM664" s="117"/>
      <c r="AN664" s="117"/>
      <c r="AO664" s="117"/>
    </row>
    <row r="665" ht="34.5" customHeight="1">
      <c r="A665" s="111">
        <v>1069.0</v>
      </c>
      <c r="B665" s="111" t="s">
        <v>8658</v>
      </c>
      <c r="C665" s="111" t="s">
        <v>7987</v>
      </c>
      <c r="D665" s="111">
        <v>2025.0</v>
      </c>
      <c r="E665" s="111"/>
      <c r="F665" s="111" t="s">
        <v>12393</v>
      </c>
      <c r="G665" s="111" t="s">
        <v>12226</v>
      </c>
      <c r="H665" s="111"/>
      <c r="I665" s="111" t="s">
        <v>12394</v>
      </c>
      <c r="J665" s="111" t="s">
        <v>12296</v>
      </c>
      <c r="K665" s="111" t="s">
        <v>30</v>
      </c>
      <c r="L665" s="111"/>
      <c r="M665" s="111"/>
      <c r="N665" s="111"/>
      <c r="O665" s="111"/>
      <c r="P665" s="111"/>
      <c r="Q665" s="111">
        <v>1.0</v>
      </c>
      <c r="R665" s="111"/>
      <c r="S665" s="111"/>
      <c r="T665" s="111"/>
      <c r="U665" s="111"/>
      <c r="V665" s="111"/>
      <c r="W665" s="111"/>
      <c r="X665" s="111"/>
      <c r="Y665" s="111"/>
      <c r="Z665" s="111" t="s">
        <v>13318</v>
      </c>
      <c r="AA665" s="129">
        <f>IF(Projects!$AI665="Electrolysis",
AB665*VLOOKUP(G665,ElectrolysisConvF,3,FALSE),
"")</f>
        <v>2.872659176</v>
      </c>
      <c r="AB665" s="125">
        <f t="shared" si="127"/>
        <v>552.4344569</v>
      </c>
      <c r="AC665" s="126">
        <f>1.18*365/1000</f>
        <v>0.4307</v>
      </c>
      <c r="AD665" s="125"/>
      <c r="AE665" s="125">
        <f t="shared" si="126"/>
        <v>552.4344569</v>
      </c>
      <c r="AF665" s="127" t="s">
        <v>13319</v>
      </c>
      <c r="AG665" s="127">
        <v>0.0</v>
      </c>
      <c r="AH665" s="127">
        <v>0.0</v>
      </c>
      <c r="AI665" s="115" t="s">
        <v>12383</v>
      </c>
      <c r="AJ665" s="116">
        <v>0.5</v>
      </c>
      <c r="AK665" s="117"/>
      <c r="AL665" s="117"/>
      <c r="AM665" s="117"/>
      <c r="AN665" s="117"/>
      <c r="AO665" s="117"/>
    </row>
    <row r="666" ht="34.5" customHeight="1">
      <c r="A666" s="111">
        <v>1070.0</v>
      </c>
      <c r="B666" s="111" t="s">
        <v>8659</v>
      </c>
      <c r="C666" s="111" t="s">
        <v>7987</v>
      </c>
      <c r="D666" s="111">
        <v>2024.0</v>
      </c>
      <c r="E666" s="111"/>
      <c r="F666" s="111" t="s">
        <v>12397</v>
      </c>
      <c r="G666" s="111" t="s">
        <v>12226</v>
      </c>
      <c r="H666" s="111"/>
      <c r="I666" s="111" t="s">
        <v>12406</v>
      </c>
      <c r="J666" s="111" t="str">
        <f>IF(I666&lt;&gt;"Dedicated renewable","N/A",)</f>
        <v>N/A</v>
      </c>
      <c r="K666" s="111" t="s">
        <v>30</v>
      </c>
      <c r="L666" s="111"/>
      <c r="M666" s="111"/>
      <c r="N666" s="111"/>
      <c r="O666" s="111">
        <v>1.0</v>
      </c>
      <c r="P666" s="111"/>
      <c r="Q666" s="111">
        <v>1.0</v>
      </c>
      <c r="R666" s="111"/>
      <c r="S666" s="111"/>
      <c r="T666" s="111"/>
      <c r="U666" s="111"/>
      <c r="V666" s="111"/>
      <c r="W666" s="111"/>
      <c r="X666" s="111"/>
      <c r="Y666" s="111"/>
      <c r="Z666" s="111" t="s">
        <v>13320</v>
      </c>
      <c r="AA666" s="129">
        <f>IF(Projects!$AI666="Electrolysis",
AB666*VLOOKUP(G666,ElectrolysisConvF,3,FALSE),
"")</f>
        <v>5.303370787</v>
      </c>
      <c r="AB666" s="125">
        <f t="shared" si="127"/>
        <v>1019.878997</v>
      </c>
      <c r="AC666" s="126">
        <f>3*365/1000-0.299861538461539</f>
        <v>0.7951384615</v>
      </c>
      <c r="AD666" s="125"/>
      <c r="AE666" s="125">
        <f t="shared" si="126"/>
        <v>1019.878997</v>
      </c>
      <c r="AF666" s="127" t="s">
        <v>13321</v>
      </c>
      <c r="AG666" s="127">
        <v>0.0</v>
      </c>
      <c r="AH666" s="127">
        <v>0.0</v>
      </c>
      <c r="AI666" s="115" t="s">
        <v>12383</v>
      </c>
      <c r="AJ666" s="116">
        <v>0.57</v>
      </c>
      <c r="AK666" s="117"/>
      <c r="AL666" s="117"/>
      <c r="AM666" s="117"/>
      <c r="AN666" s="117"/>
      <c r="AO666" s="117"/>
    </row>
    <row r="667" ht="34.5" customHeight="1">
      <c r="A667" s="111">
        <v>1071.0</v>
      </c>
      <c r="B667" s="111" t="s">
        <v>8660</v>
      </c>
      <c r="C667" s="111" t="s">
        <v>7987</v>
      </c>
      <c r="D667" s="111">
        <v>2026.0</v>
      </c>
      <c r="E667" s="111"/>
      <c r="F667" s="111" t="s">
        <v>12399</v>
      </c>
      <c r="G667" s="111" t="s">
        <v>12226</v>
      </c>
      <c r="H667" s="111"/>
      <c r="I667" s="111" t="s">
        <v>12394</v>
      </c>
      <c r="J667" s="111" t="s">
        <v>12296</v>
      </c>
      <c r="K667" s="111" t="s">
        <v>30</v>
      </c>
      <c r="L667" s="111">
        <v>1.0</v>
      </c>
      <c r="M667" s="111">
        <v>1.0</v>
      </c>
      <c r="N667" s="111"/>
      <c r="O667" s="111"/>
      <c r="P667" s="111">
        <v>1.0</v>
      </c>
      <c r="Q667" s="111">
        <v>1.0</v>
      </c>
      <c r="R667" s="111"/>
      <c r="S667" s="111"/>
      <c r="T667" s="111"/>
      <c r="U667" s="111"/>
      <c r="V667" s="111"/>
      <c r="W667" s="111"/>
      <c r="X667" s="111"/>
      <c r="Y667" s="111"/>
      <c r="Z667" s="111" t="s">
        <v>13322</v>
      </c>
      <c r="AA667" s="129">
        <f>IF(Projects!$AI667="Electrolysis",
AB667*VLOOKUP(G667,ElectrolysisConvF,3,FALSE),
"")</f>
        <v>48.68913858</v>
      </c>
      <c r="AB667" s="125">
        <f t="shared" si="127"/>
        <v>9363.29588</v>
      </c>
      <c r="AC667" s="126">
        <f>10*365/1000/Projects!$AJ667</f>
        <v>7.3</v>
      </c>
      <c r="AD667" s="125"/>
      <c r="AE667" s="125">
        <f t="shared" si="126"/>
        <v>9363.29588</v>
      </c>
      <c r="AF667" s="127"/>
      <c r="AG667" s="127">
        <v>54.2753582465275</v>
      </c>
      <c r="AH667" s="127">
        <v>9.24436624698034</v>
      </c>
      <c r="AI667" s="115" t="s">
        <v>12383</v>
      </c>
      <c r="AJ667" s="116">
        <v>0.5</v>
      </c>
      <c r="AK667" s="117"/>
      <c r="AL667" s="117"/>
      <c r="AM667" s="117"/>
      <c r="AN667" s="117"/>
      <c r="AO667" s="117"/>
    </row>
    <row r="668" ht="34.5" customHeight="1">
      <c r="A668" s="111">
        <v>1072.0</v>
      </c>
      <c r="B668" s="111" t="s">
        <v>8661</v>
      </c>
      <c r="C668" s="111" t="s">
        <v>8071</v>
      </c>
      <c r="D668" s="111">
        <v>2025.0</v>
      </c>
      <c r="E668" s="111"/>
      <c r="F668" s="111" t="s">
        <v>12399</v>
      </c>
      <c r="G668" s="111" t="s">
        <v>12226</v>
      </c>
      <c r="H668" s="111"/>
      <c r="I668" s="111" t="s">
        <v>12394</v>
      </c>
      <c r="J668" s="111" t="s">
        <v>12295</v>
      </c>
      <c r="K668" s="111" t="s">
        <v>12481</v>
      </c>
      <c r="L668" s="111"/>
      <c r="M668" s="111"/>
      <c r="N668" s="111"/>
      <c r="O668" s="111"/>
      <c r="P668" s="111"/>
      <c r="Q668" s="111"/>
      <c r="R668" s="111"/>
      <c r="S668" s="111"/>
      <c r="T668" s="111"/>
      <c r="U668" s="111"/>
      <c r="V668" s="111"/>
      <c r="W668" s="111"/>
      <c r="X668" s="111"/>
      <c r="Y668" s="111"/>
      <c r="Z668" s="111" t="s">
        <v>13323</v>
      </c>
      <c r="AA668" s="129">
        <f>IF(Projects!$AI668="Electrolysis",
AB668*VLOOKUP(G668,ElectrolysisConvF,3,FALSE),
"")</f>
        <v>412.6904725</v>
      </c>
      <c r="AB668" s="125">
        <f t="shared" si="127"/>
        <v>79363.55241</v>
      </c>
      <c r="AC668" s="126">
        <f>75*0.803*0.045/0.73/0.12/Projects!$AJ668</f>
        <v>61.875</v>
      </c>
      <c r="AD668" s="125"/>
      <c r="AE668" s="125">
        <f t="shared" ref="AE668:AE669" si="128">AB668</f>
        <v>79363.55241</v>
      </c>
      <c r="AF668" s="127" t="s">
        <v>13324</v>
      </c>
      <c r="AG668" s="127">
        <v>-52.0278233332627</v>
      </c>
      <c r="AH668" s="127">
        <v>-72.3950137977037</v>
      </c>
      <c r="AI668" s="115" t="s">
        <v>12383</v>
      </c>
      <c r="AJ668" s="116">
        <v>0.5</v>
      </c>
      <c r="AK668" s="117"/>
      <c r="AL668" s="117"/>
      <c r="AM668" s="117"/>
      <c r="AN668" s="117"/>
      <c r="AO668" s="117"/>
    </row>
    <row r="669" ht="34.5" customHeight="1">
      <c r="A669" s="111">
        <v>1073.0</v>
      </c>
      <c r="B669" s="111" t="s">
        <v>8662</v>
      </c>
      <c r="C669" s="111" t="s">
        <v>8071</v>
      </c>
      <c r="D669" s="111"/>
      <c r="E669" s="111"/>
      <c r="F669" s="111" t="s">
        <v>12397</v>
      </c>
      <c r="G669" s="111" t="s">
        <v>12381</v>
      </c>
      <c r="H669" s="111" t="s">
        <v>12230</v>
      </c>
      <c r="I669" s="111" t="s">
        <v>12394</v>
      </c>
      <c r="J669" s="111" t="s">
        <v>12295</v>
      </c>
      <c r="K669" s="111" t="s">
        <v>12481</v>
      </c>
      <c r="L669" s="111"/>
      <c r="M669" s="111"/>
      <c r="N669" s="111"/>
      <c r="O669" s="111"/>
      <c r="P669" s="111"/>
      <c r="Q669" s="111"/>
      <c r="R669" s="111"/>
      <c r="S669" s="111"/>
      <c r="T669" s="111"/>
      <c r="U669" s="111"/>
      <c r="V669" s="111"/>
      <c r="W669" s="111"/>
      <c r="X669" s="111"/>
      <c r="Y669" s="111"/>
      <c r="Z669" s="111" t="s">
        <v>13325</v>
      </c>
      <c r="AA669" s="124">
        <v>2000.0</v>
      </c>
      <c r="AB669" s="125">
        <f>IF(Projects!$AI669="Electrolysis",
AA669/VLOOKUP(G669,ElectrolysisConvF,3,FALSE),
AC669*10^6/(H2dens*HoursInYear))</f>
        <v>444444.4444</v>
      </c>
      <c r="AC669" s="126">
        <f t="shared" ref="AC669:AC673" si="129">AB669*H2dens*HoursInYear/10^6</f>
        <v>346.5066667</v>
      </c>
      <c r="AD669" s="125"/>
      <c r="AE669" s="125">
        <f t="shared" si="128"/>
        <v>444444.4444</v>
      </c>
      <c r="AF669" s="127" t="s">
        <v>13326</v>
      </c>
      <c r="AG669" s="127">
        <v>-52.0278233332627</v>
      </c>
      <c r="AH669" s="127">
        <v>-72.3950137977037</v>
      </c>
      <c r="AI669" s="115" t="s">
        <v>12383</v>
      </c>
      <c r="AJ669" s="116">
        <v>0.5</v>
      </c>
      <c r="AK669" s="117"/>
      <c r="AL669" s="117"/>
      <c r="AM669" s="117"/>
      <c r="AN669" s="117"/>
      <c r="AO669" s="117"/>
    </row>
    <row r="670" ht="34.5" customHeight="1">
      <c r="A670" s="111">
        <v>1074.0</v>
      </c>
      <c r="B670" s="111" t="s">
        <v>8663</v>
      </c>
      <c r="C670" s="111" t="s">
        <v>8021</v>
      </c>
      <c r="D670" s="111">
        <v>2024.0</v>
      </c>
      <c r="E670" s="111"/>
      <c r="F670" s="111" t="s">
        <v>12393</v>
      </c>
      <c r="G670" s="111" t="s">
        <v>12224</v>
      </c>
      <c r="H670" s="111"/>
      <c r="I670" s="111" t="s">
        <v>12394</v>
      </c>
      <c r="J670" s="111" t="s">
        <v>12291</v>
      </c>
      <c r="K670" s="111" t="s">
        <v>30</v>
      </c>
      <c r="L670" s="111"/>
      <c r="M670" s="111"/>
      <c r="N670" s="111"/>
      <c r="O670" s="111"/>
      <c r="P670" s="111"/>
      <c r="Q670" s="111">
        <v>1.0</v>
      </c>
      <c r="R670" s="111"/>
      <c r="S670" s="111"/>
      <c r="T670" s="111"/>
      <c r="U670" s="111"/>
      <c r="V670" s="111"/>
      <c r="W670" s="111"/>
      <c r="X670" s="111"/>
      <c r="Y670" s="111"/>
      <c r="Z670" s="111" t="s">
        <v>13327</v>
      </c>
      <c r="AA670" s="124">
        <f>432/1000</f>
        <v>0.432</v>
      </c>
      <c r="AB670" s="125">
        <f>IF(Projects!$AI670="Electrolysis",
AA670/VLOOKUP(G670,ElectrolysisConvF,3,FALSE),
AC670*10^6/(H2dens*HoursInYear))</f>
        <v>93.91304348</v>
      </c>
      <c r="AC670" s="126">
        <f t="shared" si="129"/>
        <v>0.07321836522</v>
      </c>
      <c r="AD670" s="125"/>
      <c r="AE670" s="125">
        <f t="shared" ref="AE670:AE687" si="130">IF(AND(G670&lt;&gt;"NG w CCUS",G670&lt;&gt;"Oil w CCUS",G670&lt;&gt;"Coal w CCUS"),AB670,AD670*10^3/(HoursInYear*IF(G670="NG w CCUS",0.9105,1.9075)))</f>
        <v>93.91304348</v>
      </c>
      <c r="AF670" s="127" t="s">
        <v>13328</v>
      </c>
      <c r="AG670" s="127">
        <v>-37.8242600214915</v>
      </c>
      <c r="AH670" s="127">
        <v>144.745564056749</v>
      </c>
      <c r="AI670" s="115" t="s">
        <v>12383</v>
      </c>
      <c r="AJ670" s="116">
        <v>0.3</v>
      </c>
      <c r="AK670" s="117"/>
      <c r="AL670" s="117"/>
      <c r="AM670" s="117"/>
      <c r="AN670" s="117"/>
      <c r="AO670" s="117"/>
    </row>
    <row r="671" ht="34.5" customHeight="1">
      <c r="A671" s="111">
        <v>1076.0</v>
      </c>
      <c r="B671" s="111" t="s">
        <v>8664</v>
      </c>
      <c r="C671" s="111" t="s">
        <v>8578</v>
      </c>
      <c r="D671" s="111">
        <v>2024.0</v>
      </c>
      <c r="E671" s="111"/>
      <c r="F671" s="111" t="s">
        <v>12393</v>
      </c>
      <c r="G671" s="111" t="s">
        <v>12381</v>
      </c>
      <c r="H671" s="111" t="s">
        <v>12230</v>
      </c>
      <c r="I671" s="111" t="s">
        <v>12394</v>
      </c>
      <c r="J671" s="111" t="s">
        <v>12295</v>
      </c>
      <c r="K671" s="111" t="s">
        <v>30</v>
      </c>
      <c r="L671" s="111">
        <v>1.0</v>
      </c>
      <c r="M671" s="111"/>
      <c r="N671" s="111"/>
      <c r="O671" s="111"/>
      <c r="P671" s="111"/>
      <c r="Q671" s="111"/>
      <c r="R671" s="111"/>
      <c r="S671" s="111"/>
      <c r="T671" s="111"/>
      <c r="U671" s="111"/>
      <c r="V671" s="111">
        <v>1.0</v>
      </c>
      <c r="W671" s="111"/>
      <c r="X671" s="111"/>
      <c r="Y671" s="111"/>
      <c r="Z671" s="111" t="s">
        <v>13329</v>
      </c>
      <c r="AA671" s="126">
        <v>0.5</v>
      </c>
      <c r="AB671" s="125">
        <f>IF(Projects!$AI671="Electrolysis",
AA671/VLOOKUP(G671,ElectrolysisConvF,3,FALSE),
AC671*10^6/(H2dens*HoursInYear))</f>
        <v>111.1111111</v>
      </c>
      <c r="AC671" s="126">
        <f t="shared" si="129"/>
        <v>0.08662666667</v>
      </c>
      <c r="AD671" s="125"/>
      <c r="AE671" s="125">
        <f t="shared" si="130"/>
        <v>111.1111111</v>
      </c>
      <c r="AF671" s="127" t="s">
        <v>13330</v>
      </c>
      <c r="AG671" s="127">
        <v>-5.306544</v>
      </c>
      <c r="AH671" s="127">
        <v>104.577194</v>
      </c>
      <c r="AI671" s="115" t="s">
        <v>12383</v>
      </c>
      <c r="AJ671" s="116">
        <v>0.5</v>
      </c>
      <c r="AK671" s="117"/>
      <c r="AL671" s="117"/>
      <c r="AM671" s="117"/>
      <c r="AN671" s="117"/>
      <c r="AO671" s="117"/>
    </row>
    <row r="672" ht="34.5" customHeight="1">
      <c r="A672" s="111">
        <v>1077.0</v>
      </c>
      <c r="B672" s="111" t="s">
        <v>8665</v>
      </c>
      <c r="C672" s="111" t="s">
        <v>8026</v>
      </c>
      <c r="D672" s="111">
        <v>2024.0</v>
      </c>
      <c r="E672" s="111"/>
      <c r="F672" s="111" t="s">
        <v>12393</v>
      </c>
      <c r="G672" s="111" t="s">
        <v>12224</v>
      </c>
      <c r="H672" s="111"/>
      <c r="I672" s="111" t="s">
        <v>12394</v>
      </c>
      <c r="J672" s="111" t="s">
        <v>12296</v>
      </c>
      <c r="K672" s="111" t="s">
        <v>30</v>
      </c>
      <c r="L672" s="111"/>
      <c r="M672" s="111"/>
      <c r="N672" s="111"/>
      <c r="O672" s="111"/>
      <c r="P672" s="111">
        <v>1.0</v>
      </c>
      <c r="Q672" s="111"/>
      <c r="R672" s="111"/>
      <c r="S672" s="111"/>
      <c r="T672" s="111"/>
      <c r="U672" s="111"/>
      <c r="V672" s="111"/>
      <c r="W672" s="111"/>
      <c r="X672" s="111">
        <v>1.0</v>
      </c>
      <c r="Y672" s="111"/>
      <c r="Z672" s="111" t="s">
        <v>12589</v>
      </c>
      <c r="AA672" s="124">
        <v>20.0</v>
      </c>
      <c r="AB672" s="125">
        <f>IF(Projects!$AI672="Electrolysis",
AA672/VLOOKUP(G672,ElectrolysisConvF,3,FALSE),
AC672*10^6/(H2dens*HoursInYear))</f>
        <v>4347.826087</v>
      </c>
      <c r="AC672" s="126">
        <f t="shared" si="129"/>
        <v>3.38973913</v>
      </c>
      <c r="AD672" s="125"/>
      <c r="AE672" s="125">
        <f t="shared" si="130"/>
        <v>4347.826087</v>
      </c>
      <c r="AF672" s="127" t="s">
        <v>13331</v>
      </c>
      <c r="AG672" s="127">
        <v>61.3189210585131</v>
      </c>
      <c r="AH672" s="127">
        <v>22.1256331937277</v>
      </c>
      <c r="AI672" s="115" t="s">
        <v>12383</v>
      </c>
      <c r="AJ672" s="116">
        <v>0.5</v>
      </c>
      <c r="AK672" s="117"/>
      <c r="AL672" s="117"/>
      <c r="AM672" s="117"/>
      <c r="AN672" s="117"/>
      <c r="AO672" s="117"/>
    </row>
    <row r="673" ht="34.5" customHeight="1">
      <c r="A673" s="111">
        <v>1078.0</v>
      </c>
      <c r="B673" s="111" t="s">
        <v>8666</v>
      </c>
      <c r="C673" s="111" t="s">
        <v>7977</v>
      </c>
      <c r="D673" s="111">
        <v>2025.0</v>
      </c>
      <c r="E673" s="111"/>
      <c r="F673" s="111" t="s">
        <v>12393</v>
      </c>
      <c r="G673" s="111" t="s">
        <v>12224</v>
      </c>
      <c r="H673" s="111"/>
      <c r="I673" s="111" t="s">
        <v>12394</v>
      </c>
      <c r="J673" s="111" t="s">
        <v>12296</v>
      </c>
      <c r="K673" s="111" t="s">
        <v>30</v>
      </c>
      <c r="L673" s="111"/>
      <c r="M673" s="111">
        <v>1.0</v>
      </c>
      <c r="N673" s="111"/>
      <c r="O673" s="111"/>
      <c r="P673" s="111"/>
      <c r="Q673" s="111"/>
      <c r="R673" s="111"/>
      <c r="S673" s="111"/>
      <c r="T673" s="111"/>
      <c r="U673" s="111"/>
      <c r="V673" s="111"/>
      <c r="W673" s="111"/>
      <c r="X673" s="111"/>
      <c r="Y673" s="111"/>
      <c r="Z673" s="111" t="s">
        <v>13332</v>
      </c>
      <c r="AA673" s="124">
        <v>0.9</v>
      </c>
      <c r="AB673" s="125">
        <f>IF(Projects!$AI673="Electrolysis",
AA673/VLOOKUP(G673,ElectrolysisConvF,3,FALSE),
AC673*10^6/(H2dens*HoursInYear))</f>
        <v>195.6521739</v>
      </c>
      <c r="AC673" s="126">
        <f t="shared" si="129"/>
        <v>0.1525382609</v>
      </c>
      <c r="AD673" s="125"/>
      <c r="AE673" s="125">
        <f t="shared" si="130"/>
        <v>195.6521739</v>
      </c>
      <c r="AF673" s="127" t="s">
        <v>13333</v>
      </c>
      <c r="AG673" s="127">
        <v>42.5188753942174</v>
      </c>
      <c r="AH673" s="127">
        <v>-0.372457214855109</v>
      </c>
      <c r="AI673" s="115" t="s">
        <v>12383</v>
      </c>
      <c r="AJ673" s="116">
        <v>0.5</v>
      </c>
      <c r="AK673" s="117"/>
      <c r="AL673" s="117"/>
      <c r="AM673" s="117"/>
      <c r="AN673" s="117"/>
      <c r="AO673" s="117"/>
    </row>
    <row r="674" ht="34.5" customHeight="1">
      <c r="A674" s="111">
        <v>1079.0</v>
      </c>
      <c r="B674" s="111" t="s">
        <v>8667</v>
      </c>
      <c r="C674" s="111" t="s">
        <v>7981</v>
      </c>
      <c r="D674" s="111">
        <v>2024.0</v>
      </c>
      <c r="E674" s="111"/>
      <c r="F674" s="111" t="s">
        <v>12393</v>
      </c>
      <c r="G674" s="111" t="s">
        <v>12239</v>
      </c>
      <c r="H674" s="111" t="s">
        <v>13334</v>
      </c>
      <c r="I674" s="111"/>
      <c r="J674" s="111"/>
      <c r="K674" s="111" t="s">
        <v>30</v>
      </c>
      <c r="L674" s="111"/>
      <c r="M674" s="111"/>
      <c r="N674" s="111"/>
      <c r="O674" s="111"/>
      <c r="P674" s="111"/>
      <c r="Q674" s="111"/>
      <c r="R674" s="111"/>
      <c r="S674" s="111"/>
      <c r="T674" s="111"/>
      <c r="U674" s="111"/>
      <c r="V674" s="111"/>
      <c r="W674" s="111"/>
      <c r="X674" s="111"/>
      <c r="Y674" s="111"/>
      <c r="Z674" s="111" t="s">
        <v>13022</v>
      </c>
      <c r="AA674" s="126" t="str">
        <f>IF(Projects!$AI674="Electrolysis",
AB674*VLOOKUP(G674,ElectrolysisConvF,3,FALSE),
"")</f>
        <v/>
      </c>
      <c r="AB674" s="125">
        <f>IF(Projects!$AI674="Electrolysis",
AA674/VLOOKUP(G674,ElectrolysisConvF,3,FALSE),
AC674*10^6/(H2dens*HoursInYear))</f>
        <v>6413.216356</v>
      </c>
      <c r="AC674" s="126">
        <v>5.0</v>
      </c>
      <c r="AD674" s="125"/>
      <c r="AE674" s="125">
        <f t="shared" si="130"/>
        <v>6413.216356</v>
      </c>
      <c r="AF674" s="127" t="s">
        <v>13335</v>
      </c>
      <c r="AG674" s="127">
        <v>37.0617251366563</v>
      </c>
      <c r="AH674" s="127">
        <v>-120.698269618401</v>
      </c>
      <c r="AI674" s="115" t="s">
        <v>12241</v>
      </c>
      <c r="AJ674" s="116">
        <v>0.9</v>
      </c>
      <c r="AK674" s="117"/>
      <c r="AL674" s="117"/>
      <c r="AM674" s="117"/>
      <c r="AN674" s="117"/>
      <c r="AO674" s="117"/>
    </row>
    <row r="675" ht="34.5" customHeight="1">
      <c r="A675" s="111">
        <v>1081.0</v>
      </c>
      <c r="B675" s="111" t="s">
        <v>8668</v>
      </c>
      <c r="C675" s="111" t="s">
        <v>8047</v>
      </c>
      <c r="D675" s="111">
        <v>2016.0</v>
      </c>
      <c r="E675" s="111"/>
      <c r="F675" s="111" t="s">
        <v>12385</v>
      </c>
      <c r="G675" s="111" t="s">
        <v>12235</v>
      </c>
      <c r="H675" s="111" t="s">
        <v>12885</v>
      </c>
      <c r="I675" s="111"/>
      <c r="J675" s="111"/>
      <c r="K675" s="111" t="s">
        <v>30</v>
      </c>
      <c r="L675" s="111"/>
      <c r="M675" s="111"/>
      <c r="N675" s="111"/>
      <c r="O675" s="111"/>
      <c r="P675" s="111"/>
      <c r="Q675" s="111"/>
      <c r="R675" s="111"/>
      <c r="S675" s="111"/>
      <c r="T675" s="111"/>
      <c r="U675" s="111"/>
      <c r="V675" s="111"/>
      <c r="W675" s="111"/>
      <c r="X675" s="111"/>
      <c r="Y675" s="111"/>
      <c r="Z675" s="111" t="s">
        <v>13336</v>
      </c>
      <c r="AA675" s="126" t="str">
        <f>IF(Projects!$AI675="Electrolysis",
AB675*VLOOKUP(G675,ElectrolysisConvF,3,FALSE),
"")</f>
        <v/>
      </c>
      <c r="AB675" s="125">
        <v>1500.0</v>
      </c>
      <c r="AC675" s="126">
        <f t="shared" ref="AC675:AC680" si="131">AB675*H2dens*HoursInYear/10^6</f>
        <v>1.16946</v>
      </c>
      <c r="AD675" s="125"/>
      <c r="AE675" s="125">
        <f t="shared" si="130"/>
        <v>0</v>
      </c>
      <c r="AF675" s="127"/>
      <c r="AG675" s="127">
        <v>45.1557330393387</v>
      </c>
      <c r="AH675" s="127">
        <v>10.7897290299891</v>
      </c>
      <c r="AI675" s="115" t="s">
        <v>12378</v>
      </c>
      <c r="AJ675" s="116">
        <v>0.9</v>
      </c>
      <c r="AK675" s="117"/>
      <c r="AL675" s="117"/>
      <c r="AM675" s="117"/>
      <c r="AN675" s="117"/>
      <c r="AO675" s="117"/>
    </row>
    <row r="676" ht="34.5" customHeight="1">
      <c r="A676" s="111">
        <v>1082.0</v>
      </c>
      <c r="B676" s="111" t="s">
        <v>8669</v>
      </c>
      <c r="C676" s="111" t="s">
        <v>8026</v>
      </c>
      <c r="D676" s="111">
        <v>2014.0</v>
      </c>
      <c r="E676" s="111"/>
      <c r="F676" s="111" t="s">
        <v>12385</v>
      </c>
      <c r="G676" s="111" t="s">
        <v>12224</v>
      </c>
      <c r="H676" s="111"/>
      <c r="I676" s="111" t="s">
        <v>12419</v>
      </c>
      <c r="J676" s="111"/>
      <c r="K676" s="111" t="s">
        <v>30</v>
      </c>
      <c r="L676" s="111"/>
      <c r="M676" s="111"/>
      <c r="N676" s="111"/>
      <c r="O676" s="111"/>
      <c r="P676" s="111"/>
      <c r="Q676" s="111"/>
      <c r="R676" s="111"/>
      <c r="S676" s="111"/>
      <c r="T676" s="111"/>
      <c r="U676" s="111"/>
      <c r="V676" s="111"/>
      <c r="W676" s="111"/>
      <c r="X676" s="111"/>
      <c r="Y676" s="111"/>
      <c r="Z676" s="111" t="s">
        <v>13337</v>
      </c>
      <c r="AA676" s="124">
        <v>9.0</v>
      </c>
      <c r="AB676" s="125">
        <f>IF(Projects!$AI676="Electrolysis",
AA676/VLOOKUP(G676,ElectrolysisConvF,3,FALSE),
AC676*10^6/(H2dens*HoursInYear))</f>
        <v>1956.521739</v>
      </c>
      <c r="AC676" s="126">
        <f t="shared" si="131"/>
        <v>1.525382609</v>
      </c>
      <c r="AD676" s="125"/>
      <c r="AE676" s="125">
        <f t="shared" si="130"/>
        <v>1956.521739</v>
      </c>
      <c r="AF676" s="127" t="s">
        <v>13338</v>
      </c>
      <c r="AG676" s="127">
        <v>63.8413308048752</v>
      </c>
      <c r="AH676" s="127">
        <v>23.1269603942447</v>
      </c>
      <c r="AI676" s="115" t="s">
        <v>12383</v>
      </c>
      <c r="AJ676" s="116">
        <v>0.57</v>
      </c>
      <c r="AK676" s="117"/>
      <c r="AL676" s="117"/>
      <c r="AM676" s="117"/>
      <c r="AN676" s="117"/>
      <c r="AO676" s="117"/>
    </row>
    <row r="677" ht="34.5" customHeight="1">
      <c r="A677" s="111">
        <v>1083.0</v>
      </c>
      <c r="B677" s="111" t="s">
        <v>8670</v>
      </c>
      <c r="C677" s="111" t="s">
        <v>8021</v>
      </c>
      <c r="D677" s="111">
        <v>2030.0</v>
      </c>
      <c r="E677" s="111"/>
      <c r="F677" s="111" t="s">
        <v>12399</v>
      </c>
      <c r="G677" s="111" t="s">
        <v>12381</v>
      </c>
      <c r="H677" s="111" t="s">
        <v>12230</v>
      </c>
      <c r="I677" s="111" t="s">
        <v>12394</v>
      </c>
      <c r="J677" s="111" t="s">
        <v>12295</v>
      </c>
      <c r="K677" s="111" t="s">
        <v>30</v>
      </c>
      <c r="L677" s="111"/>
      <c r="M677" s="111"/>
      <c r="N677" s="111"/>
      <c r="O677" s="111"/>
      <c r="P677" s="111"/>
      <c r="Q677" s="111"/>
      <c r="R677" s="111"/>
      <c r="S677" s="111"/>
      <c r="T677" s="111"/>
      <c r="U677" s="111"/>
      <c r="V677" s="111"/>
      <c r="W677" s="111"/>
      <c r="X677" s="111"/>
      <c r="Y677" s="111"/>
      <c r="Z677" s="111" t="s">
        <v>13339</v>
      </c>
      <c r="AA677" s="124">
        <v>8000.0</v>
      </c>
      <c r="AB677" s="125">
        <f>IF(Projects!$AI677="Electrolysis",
AA677/VLOOKUP(G677,ElectrolysisConvF,3,FALSE),
AC677*10^6/(H2dens*HoursInYear))</f>
        <v>1777777.778</v>
      </c>
      <c r="AC677" s="126">
        <f t="shared" si="131"/>
        <v>1386.026667</v>
      </c>
      <c r="AD677" s="125"/>
      <c r="AE677" s="125">
        <f t="shared" si="130"/>
        <v>1777777.778</v>
      </c>
      <c r="AF677" s="127" t="s">
        <v>13340</v>
      </c>
      <c r="AG677" s="127">
        <v>-24.6776313913839</v>
      </c>
      <c r="AH677" s="127">
        <v>113.613874878565</v>
      </c>
      <c r="AI677" s="115" t="s">
        <v>12383</v>
      </c>
      <c r="AJ677" s="116">
        <v>0.5</v>
      </c>
      <c r="AK677" s="117"/>
      <c r="AL677" s="117"/>
      <c r="AM677" s="117"/>
      <c r="AN677" s="117"/>
      <c r="AO677" s="117"/>
    </row>
    <row r="678" ht="34.5" customHeight="1">
      <c r="A678" s="111">
        <v>1084.0</v>
      </c>
      <c r="B678" s="111" t="s">
        <v>8671</v>
      </c>
      <c r="C678" s="111" t="s">
        <v>8001</v>
      </c>
      <c r="D678" s="111"/>
      <c r="E678" s="111"/>
      <c r="F678" s="111" t="s">
        <v>12397</v>
      </c>
      <c r="G678" s="111" t="s">
        <v>12381</v>
      </c>
      <c r="H678" s="111" t="s">
        <v>12230</v>
      </c>
      <c r="I678" s="111" t="s">
        <v>12394</v>
      </c>
      <c r="J678" s="111" t="s">
        <v>12295</v>
      </c>
      <c r="K678" s="111" t="s">
        <v>30</v>
      </c>
      <c r="L678" s="111"/>
      <c r="M678" s="111"/>
      <c r="N678" s="111"/>
      <c r="O678" s="111"/>
      <c r="P678" s="111"/>
      <c r="Q678" s="111"/>
      <c r="R678" s="111"/>
      <c r="S678" s="111"/>
      <c r="T678" s="111"/>
      <c r="U678" s="111"/>
      <c r="V678" s="111"/>
      <c r="W678" s="111"/>
      <c r="X678" s="111"/>
      <c r="Y678" s="111"/>
      <c r="Z678" s="111" t="s">
        <v>12790</v>
      </c>
      <c r="AA678" s="124">
        <v>2000.0</v>
      </c>
      <c r="AB678" s="125">
        <f>IF(Projects!$AI678="Electrolysis",
AA678/VLOOKUP(G678,ElectrolysisConvF,3,FALSE),
AC678*10^6/(H2dens*HoursInYear))</f>
        <v>444444.4444</v>
      </c>
      <c r="AC678" s="126">
        <f t="shared" si="131"/>
        <v>346.5066667</v>
      </c>
      <c r="AD678" s="125"/>
      <c r="AE678" s="125">
        <f t="shared" si="130"/>
        <v>444444.4444</v>
      </c>
      <c r="AF678" s="127" t="s">
        <v>13341</v>
      </c>
      <c r="AG678" s="127">
        <v>36.0735323190034</v>
      </c>
      <c r="AH678" s="127">
        <v>120.394281968075</v>
      </c>
      <c r="AI678" s="115" t="s">
        <v>12383</v>
      </c>
      <c r="AJ678" s="116">
        <v>0.5</v>
      </c>
      <c r="AK678" s="117"/>
      <c r="AL678" s="117"/>
      <c r="AM678" s="117"/>
      <c r="AN678" s="117"/>
      <c r="AO678" s="117"/>
    </row>
    <row r="679" ht="34.5" customHeight="1">
      <c r="A679" s="111">
        <v>1085.0</v>
      </c>
      <c r="B679" s="111" t="s">
        <v>8672</v>
      </c>
      <c r="C679" s="111" t="s">
        <v>8071</v>
      </c>
      <c r="D679" s="111">
        <v>2026.0</v>
      </c>
      <c r="E679" s="111"/>
      <c r="F679" s="111" t="s">
        <v>12399</v>
      </c>
      <c r="G679" s="111" t="s">
        <v>12381</v>
      </c>
      <c r="H679" s="111" t="s">
        <v>12230</v>
      </c>
      <c r="I679" s="111" t="s">
        <v>12394</v>
      </c>
      <c r="J679" s="111" t="s">
        <v>12292</v>
      </c>
      <c r="K679" s="111" t="s">
        <v>174</v>
      </c>
      <c r="L679" s="111"/>
      <c r="M679" s="111">
        <v>1.0</v>
      </c>
      <c r="N679" s="111"/>
      <c r="O679" s="111"/>
      <c r="P679" s="111"/>
      <c r="Q679" s="111"/>
      <c r="R679" s="111"/>
      <c r="S679" s="111"/>
      <c r="T679" s="111"/>
      <c r="U679" s="111"/>
      <c r="V679" s="111"/>
      <c r="W679" s="111"/>
      <c r="X679" s="111"/>
      <c r="Y679" s="111"/>
      <c r="Z679" s="111" t="s">
        <v>13342</v>
      </c>
      <c r="AA679" s="124">
        <v>3000.0</v>
      </c>
      <c r="AB679" s="125">
        <f>IF(Projects!$AI679="Electrolysis",
AA679/VLOOKUP(G679,ElectrolysisConvF,3,FALSE),
AC679*10^6/(H2dens*HoursInYear))</f>
        <v>666666.6667</v>
      </c>
      <c r="AC679" s="126">
        <f t="shared" si="131"/>
        <v>519.76</v>
      </c>
      <c r="AD679" s="125"/>
      <c r="AE679" s="125">
        <f t="shared" si="130"/>
        <v>666666.6667</v>
      </c>
      <c r="AF679" s="127" t="s">
        <v>13343</v>
      </c>
      <c r="AG679" s="127">
        <v>-52.0278233332627</v>
      </c>
      <c r="AH679" s="127">
        <v>-72.3950137977037</v>
      </c>
      <c r="AI679" s="115" t="s">
        <v>12383</v>
      </c>
      <c r="AJ679" s="116">
        <v>0.4</v>
      </c>
      <c r="AK679" s="117"/>
      <c r="AL679" s="117"/>
      <c r="AM679" s="117"/>
      <c r="AN679" s="117"/>
      <c r="AO679" s="117"/>
    </row>
    <row r="680" ht="34.5" customHeight="1">
      <c r="A680" s="111">
        <v>1086.0</v>
      </c>
      <c r="B680" s="111" t="s">
        <v>8673</v>
      </c>
      <c r="C680" s="111" t="s">
        <v>7987</v>
      </c>
      <c r="D680" s="111">
        <v>2027.0</v>
      </c>
      <c r="E680" s="111"/>
      <c r="F680" s="111" t="s">
        <v>12399</v>
      </c>
      <c r="G680" s="111" t="s">
        <v>12381</v>
      </c>
      <c r="H680" s="111" t="s">
        <v>12230</v>
      </c>
      <c r="I680" s="111" t="s">
        <v>12406</v>
      </c>
      <c r="J680" s="111"/>
      <c r="K680" s="111" t="s">
        <v>30</v>
      </c>
      <c r="L680" s="111"/>
      <c r="M680" s="111"/>
      <c r="N680" s="111"/>
      <c r="O680" s="111"/>
      <c r="P680" s="111"/>
      <c r="Q680" s="111"/>
      <c r="R680" s="111"/>
      <c r="S680" s="111"/>
      <c r="T680" s="111"/>
      <c r="U680" s="111"/>
      <c r="V680" s="111"/>
      <c r="W680" s="111"/>
      <c r="X680" s="111"/>
      <c r="Y680" s="111"/>
      <c r="Z680" s="111" t="s">
        <v>12698</v>
      </c>
      <c r="AA680" s="124">
        <v>100.0</v>
      </c>
      <c r="AB680" s="125">
        <f>IF(Projects!$AI680="Electrolysis",
AA680/VLOOKUP(G680,ElectrolysisConvF,3,FALSE),
AC680*10^6/(H2dens*HoursInYear))</f>
        <v>22222.22222</v>
      </c>
      <c r="AC680" s="126">
        <f t="shared" si="131"/>
        <v>17.32533333</v>
      </c>
      <c r="AD680" s="125"/>
      <c r="AE680" s="125">
        <f t="shared" si="130"/>
        <v>22222.22222</v>
      </c>
      <c r="AF680" s="127" t="s">
        <v>13344</v>
      </c>
      <c r="AG680" s="127">
        <v>54.1450728679173</v>
      </c>
      <c r="AH680" s="127">
        <v>12.1093972362866</v>
      </c>
      <c r="AI680" s="115" t="s">
        <v>12383</v>
      </c>
      <c r="AJ680" s="116">
        <v>0.57</v>
      </c>
      <c r="AK680" s="117"/>
      <c r="AL680" s="117"/>
      <c r="AM680" s="117"/>
      <c r="AN680" s="117"/>
      <c r="AO680" s="117"/>
    </row>
    <row r="681" ht="34.5" customHeight="1">
      <c r="A681" s="111">
        <v>1087.0</v>
      </c>
      <c r="B681" s="111" t="s">
        <v>8674</v>
      </c>
      <c r="C681" s="111" t="s">
        <v>8047</v>
      </c>
      <c r="D681" s="111"/>
      <c r="E681" s="111"/>
      <c r="F681" s="111" t="s">
        <v>12397</v>
      </c>
      <c r="G681" s="111" t="s">
        <v>12381</v>
      </c>
      <c r="H681" s="111" t="s">
        <v>12230</v>
      </c>
      <c r="I681" s="111" t="s">
        <v>12394</v>
      </c>
      <c r="J681" s="111" t="s">
        <v>12296</v>
      </c>
      <c r="K681" s="111" t="s">
        <v>12449</v>
      </c>
      <c r="L681" s="111"/>
      <c r="M681" s="111"/>
      <c r="N681" s="111"/>
      <c r="O681" s="111"/>
      <c r="P681" s="111"/>
      <c r="Q681" s="111"/>
      <c r="R681" s="111"/>
      <c r="S681" s="111"/>
      <c r="T681" s="111"/>
      <c r="U681" s="111"/>
      <c r="V681" s="111"/>
      <c r="W681" s="111"/>
      <c r="X681" s="111">
        <v>1.0</v>
      </c>
      <c r="Y681" s="111"/>
      <c r="Z681" s="111"/>
      <c r="AA681" s="124"/>
      <c r="AB681" s="125"/>
      <c r="AC681" s="126"/>
      <c r="AD681" s="125"/>
      <c r="AE681" s="125" t="str">
        <f t="shared" si="130"/>
        <v/>
      </c>
      <c r="AF681" s="127" t="s">
        <v>13345</v>
      </c>
      <c r="AG681" s="127">
        <v>40.1325007093687</v>
      </c>
      <c r="AH681" s="127">
        <v>9.02913199332542</v>
      </c>
      <c r="AI681" s="115" t="s">
        <v>12383</v>
      </c>
      <c r="AJ681" s="116">
        <v>0.5</v>
      </c>
      <c r="AK681" s="117"/>
      <c r="AL681" s="117"/>
      <c r="AM681" s="117"/>
      <c r="AN681" s="117"/>
      <c r="AO681" s="117"/>
    </row>
    <row r="682" ht="34.5" customHeight="1">
      <c r="A682" s="111">
        <v>1090.0</v>
      </c>
      <c r="B682" s="111" t="s">
        <v>8675</v>
      </c>
      <c r="C682" s="111" t="s">
        <v>7977</v>
      </c>
      <c r="D682" s="111">
        <v>2027.0</v>
      </c>
      <c r="E682" s="111"/>
      <c r="F682" s="111" t="s">
        <v>12393</v>
      </c>
      <c r="G682" s="111" t="s">
        <v>12226</v>
      </c>
      <c r="H682" s="111"/>
      <c r="I682" s="111" t="s">
        <v>12759</v>
      </c>
      <c r="J682" s="111" t="s">
        <v>12295</v>
      </c>
      <c r="K682" s="111" t="s">
        <v>30</v>
      </c>
      <c r="L682" s="111">
        <v>1.0</v>
      </c>
      <c r="M682" s="111"/>
      <c r="N682" s="111"/>
      <c r="O682" s="111"/>
      <c r="P682" s="111"/>
      <c r="Q682" s="111"/>
      <c r="R682" s="111"/>
      <c r="S682" s="111"/>
      <c r="T682" s="111"/>
      <c r="U682" s="111"/>
      <c r="V682" s="111"/>
      <c r="W682" s="111"/>
      <c r="X682" s="111"/>
      <c r="Y682" s="111"/>
      <c r="Z682" s="111" t="s">
        <v>13346</v>
      </c>
      <c r="AA682" s="124">
        <v>25.0</v>
      </c>
      <c r="AB682" s="125">
        <f>IF(Projects!$AI682="Electrolysis",
AA682/VLOOKUP(G682,ElectrolysisConvF,3,FALSE),
AC682*10^6/(H2dens*HoursInYear))</f>
        <v>4807.692308</v>
      </c>
      <c r="AC682" s="126">
        <f t="shared" ref="AC682:AC683" si="132">AB682*H2dens*HoursInYear/10^6</f>
        <v>3.748269231</v>
      </c>
      <c r="AD682" s="125"/>
      <c r="AE682" s="125">
        <f t="shared" si="130"/>
        <v>4807.692308</v>
      </c>
      <c r="AF682" s="127" t="s">
        <v>13347</v>
      </c>
      <c r="AG682" s="127">
        <v>39.9580042348676</v>
      </c>
      <c r="AH682" s="127">
        <v>-0.00407231136722538</v>
      </c>
      <c r="AI682" s="115" t="s">
        <v>12383</v>
      </c>
      <c r="AJ682" s="116">
        <v>0.7</v>
      </c>
      <c r="AK682" s="117"/>
      <c r="AL682" s="117"/>
      <c r="AM682" s="117"/>
      <c r="AN682" s="117"/>
      <c r="AO682" s="117"/>
    </row>
    <row r="683" ht="34.5" customHeight="1">
      <c r="A683" s="111">
        <v>1091.0</v>
      </c>
      <c r="B683" s="111" t="s">
        <v>8676</v>
      </c>
      <c r="C683" s="111" t="s">
        <v>7987</v>
      </c>
      <c r="D683" s="111">
        <v>2024.0</v>
      </c>
      <c r="E683" s="111"/>
      <c r="F683" s="111" t="s">
        <v>12393</v>
      </c>
      <c r="G683" s="111" t="s">
        <v>12226</v>
      </c>
      <c r="H683" s="111"/>
      <c r="I683" s="111" t="s">
        <v>12287</v>
      </c>
      <c r="J683" s="111"/>
      <c r="K683" s="111" t="s">
        <v>30</v>
      </c>
      <c r="L683" s="111"/>
      <c r="M683" s="111"/>
      <c r="N683" s="111"/>
      <c r="O683" s="111"/>
      <c r="P683" s="111"/>
      <c r="Q683" s="111"/>
      <c r="R683" s="111"/>
      <c r="S683" s="111"/>
      <c r="T683" s="111"/>
      <c r="U683" s="111"/>
      <c r="V683" s="111"/>
      <c r="W683" s="111"/>
      <c r="X683" s="111"/>
      <c r="Y683" s="111"/>
      <c r="Z683" s="111" t="s">
        <v>12908</v>
      </c>
      <c r="AA683" s="124">
        <v>1.0</v>
      </c>
      <c r="AB683" s="125">
        <f>IF(Projects!$AI683="Electrolysis",
AA683/VLOOKUP(G683,ElectrolysisConvF,3,FALSE),
AC683*10^6/(H2dens*HoursInYear))</f>
        <v>192.3076923</v>
      </c>
      <c r="AC683" s="126">
        <f t="shared" si="132"/>
        <v>0.1499307692</v>
      </c>
      <c r="AD683" s="125"/>
      <c r="AE683" s="125">
        <f t="shared" si="130"/>
        <v>192.3076923</v>
      </c>
      <c r="AF683" s="127" t="s">
        <v>13348</v>
      </c>
      <c r="AG683" s="127">
        <v>50.2307994</v>
      </c>
      <c r="AH683" s="127">
        <v>7.1404855</v>
      </c>
      <c r="AI683" s="115" t="s">
        <v>12383</v>
      </c>
      <c r="AJ683" s="116">
        <v>0.57</v>
      </c>
      <c r="AK683" s="117"/>
      <c r="AL683" s="117"/>
      <c r="AM683" s="117"/>
      <c r="AN683" s="117"/>
      <c r="AO683" s="117"/>
    </row>
    <row r="684" ht="34.5" customHeight="1">
      <c r="A684" s="111">
        <v>1093.0</v>
      </c>
      <c r="B684" s="111" t="s">
        <v>8677</v>
      </c>
      <c r="C684" s="111" t="s">
        <v>7977</v>
      </c>
      <c r="D684" s="111"/>
      <c r="E684" s="111"/>
      <c r="F684" s="111" t="s">
        <v>12399</v>
      </c>
      <c r="G684" s="111" t="s">
        <v>12381</v>
      </c>
      <c r="H684" s="111" t="s">
        <v>12230</v>
      </c>
      <c r="I684" s="111" t="s">
        <v>12394</v>
      </c>
      <c r="J684" s="111" t="s">
        <v>12296</v>
      </c>
      <c r="K684" s="111" t="s">
        <v>30</v>
      </c>
      <c r="L684" s="111"/>
      <c r="M684" s="111"/>
      <c r="N684" s="111"/>
      <c r="O684" s="111"/>
      <c r="P684" s="111">
        <v>1.0</v>
      </c>
      <c r="Q684" s="111">
        <v>1.0</v>
      </c>
      <c r="R684" s="111">
        <v>1.0</v>
      </c>
      <c r="S684" s="111"/>
      <c r="T684" s="111"/>
      <c r="U684" s="111"/>
      <c r="V684" s="111"/>
      <c r="W684" s="111"/>
      <c r="X684" s="111"/>
      <c r="Y684" s="111"/>
      <c r="Z684" s="111" t="s">
        <v>13349</v>
      </c>
      <c r="AA684" s="126">
        <f>IF(Projects!$AI684="Electrolysis",
AB684*VLOOKUP(G684,ElectrolysisConvF,3,FALSE),
"")</f>
        <v>5.771894721</v>
      </c>
      <c r="AB684" s="125">
        <f>AC684/(H2dens*HoursInYear/10^6)</f>
        <v>1282.643271</v>
      </c>
      <c r="AC684" s="126">
        <v>1.0</v>
      </c>
      <c r="AD684" s="125"/>
      <c r="AE684" s="125">
        <f t="shared" si="130"/>
        <v>1282.643271</v>
      </c>
      <c r="AF684" s="127" t="s">
        <v>13350</v>
      </c>
      <c r="AG684" s="127">
        <v>0.0</v>
      </c>
      <c r="AH684" s="127">
        <v>0.0</v>
      </c>
      <c r="AI684" s="115" t="s">
        <v>12383</v>
      </c>
      <c r="AJ684" s="116">
        <v>0.5</v>
      </c>
      <c r="AK684" s="117"/>
      <c r="AL684" s="117"/>
      <c r="AM684" s="117"/>
      <c r="AN684" s="117"/>
      <c r="AO684" s="117"/>
    </row>
    <row r="685" ht="34.5" customHeight="1">
      <c r="A685" s="111">
        <v>1094.0</v>
      </c>
      <c r="B685" s="111" t="s">
        <v>8678</v>
      </c>
      <c r="C685" s="111" t="s">
        <v>7977</v>
      </c>
      <c r="D685" s="111"/>
      <c r="E685" s="111"/>
      <c r="F685" s="111" t="s">
        <v>12397</v>
      </c>
      <c r="G685" s="111" t="s">
        <v>12381</v>
      </c>
      <c r="H685" s="111" t="s">
        <v>12230</v>
      </c>
      <c r="I685" s="111" t="s">
        <v>12394</v>
      </c>
      <c r="J685" s="111" t="s">
        <v>12296</v>
      </c>
      <c r="K685" s="111" t="s">
        <v>30</v>
      </c>
      <c r="L685" s="111"/>
      <c r="M685" s="111"/>
      <c r="N685" s="111"/>
      <c r="O685" s="111"/>
      <c r="P685" s="111">
        <v>1.0</v>
      </c>
      <c r="Q685" s="111">
        <v>1.0</v>
      </c>
      <c r="R685" s="111">
        <v>1.0</v>
      </c>
      <c r="S685" s="111"/>
      <c r="T685" s="111"/>
      <c r="U685" s="111"/>
      <c r="V685" s="111"/>
      <c r="W685" s="111"/>
      <c r="X685" s="111"/>
      <c r="Y685" s="111"/>
      <c r="Z685" s="111"/>
      <c r="AA685" s="124"/>
      <c r="AB685" s="125"/>
      <c r="AC685" s="126"/>
      <c r="AD685" s="125"/>
      <c r="AE685" s="125" t="str">
        <f t="shared" si="130"/>
        <v/>
      </c>
      <c r="AF685" s="127" t="s">
        <v>13350</v>
      </c>
      <c r="AG685" s="127">
        <v>0.0</v>
      </c>
      <c r="AH685" s="127">
        <v>0.0</v>
      </c>
      <c r="AI685" s="115" t="s">
        <v>12383</v>
      </c>
      <c r="AJ685" s="116">
        <v>0.5</v>
      </c>
      <c r="AK685" s="117"/>
      <c r="AL685" s="117"/>
      <c r="AM685" s="117"/>
      <c r="AN685" s="117"/>
      <c r="AO685" s="117"/>
    </row>
    <row r="686" ht="34.5" customHeight="1">
      <c r="A686" s="111">
        <v>1095.0</v>
      </c>
      <c r="B686" s="111" t="s">
        <v>8679</v>
      </c>
      <c r="C686" s="111" t="s">
        <v>8003</v>
      </c>
      <c r="D686" s="111">
        <v>2028.0</v>
      </c>
      <c r="E686" s="111"/>
      <c r="F686" s="111" t="s">
        <v>12399</v>
      </c>
      <c r="G686" s="111" t="s">
        <v>12235</v>
      </c>
      <c r="H686" s="111" t="s">
        <v>13160</v>
      </c>
      <c r="I686" s="111"/>
      <c r="J686" s="111"/>
      <c r="K686" s="111" t="s">
        <v>30</v>
      </c>
      <c r="L686" s="111">
        <v>1.0</v>
      </c>
      <c r="M686" s="111"/>
      <c r="N686" s="111"/>
      <c r="O686" s="111"/>
      <c r="P686" s="111"/>
      <c r="Q686" s="111"/>
      <c r="R686" s="111">
        <v>1.0</v>
      </c>
      <c r="S686" s="111"/>
      <c r="T686" s="111"/>
      <c r="U686" s="111"/>
      <c r="V686" s="111"/>
      <c r="W686" s="111"/>
      <c r="X686" s="111"/>
      <c r="Y686" s="111"/>
      <c r="Z686" s="111" t="s">
        <v>13351</v>
      </c>
      <c r="AA686" s="126" t="str">
        <f>IF(Projects!$AI686="Electrolysis",
AB686*VLOOKUP(G686,ElectrolysisConvF,3,FALSE),
"")</f>
        <v/>
      </c>
      <c r="AB686" s="125">
        <f>IF(Projects!$AI686="Electrolysis",
AA686/VLOOKUP(G686,ElectrolysisConvF,3,FALSE),
AC686*10^6/(H2dens*HoursInYear))</f>
        <v>384792.9814</v>
      </c>
      <c r="AC686" s="126">
        <v>300.0</v>
      </c>
      <c r="AD686" s="125">
        <v>2000000.0</v>
      </c>
      <c r="AE686" s="125">
        <f t="shared" si="130"/>
        <v>250752.8855</v>
      </c>
      <c r="AF686" s="127" t="s">
        <v>13352</v>
      </c>
      <c r="AG686" s="127">
        <v>53.712776</v>
      </c>
      <c r="AH686" s="127">
        <v>-113.213333</v>
      </c>
      <c r="AI686" s="115" t="s">
        <v>12378</v>
      </c>
      <c r="AJ686" s="116">
        <v>0.9</v>
      </c>
      <c r="AK686" s="117"/>
      <c r="AL686" s="117"/>
      <c r="AM686" s="117"/>
      <c r="AN686" s="117"/>
      <c r="AO686" s="117"/>
    </row>
    <row r="687" ht="34.5" customHeight="1">
      <c r="A687" s="111">
        <v>1096.0</v>
      </c>
      <c r="B687" s="111" t="s">
        <v>8680</v>
      </c>
      <c r="C687" s="111" t="s">
        <v>8539</v>
      </c>
      <c r="D687" s="111">
        <v>2027.0</v>
      </c>
      <c r="E687" s="111"/>
      <c r="F687" s="111" t="s">
        <v>12399</v>
      </c>
      <c r="G687" s="111" t="s">
        <v>12381</v>
      </c>
      <c r="H687" s="111" t="s">
        <v>12230</v>
      </c>
      <c r="I687" s="111" t="s">
        <v>12394</v>
      </c>
      <c r="J687" s="111" t="s">
        <v>12293</v>
      </c>
      <c r="K687" s="111" t="s">
        <v>30</v>
      </c>
      <c r="L687" s="111"/>
      <c r="M687" s="111"/>
      <c r="N687" s="111"/>
      <c r="O687" s="111"/>
      <c r="P687" s="111"/>
      <c r="Q687" s="111">
        <v>1.0</v>
      </c>
      <c r="R687" s="111"/>
      <c r="S687" s="111"/>
      <c r="T687" s="111"/>
      <c r="U687" s="111"/>
      <c r="V687" s="111"/>
      <c r="W687" s="111"/>
      <c r="X687" s="111"/>
      <c r="Y687" s="111"/>
      <c r="Z687" s="111" t="s">
        <v>12698</v>
      </c>
      <c r="AA687" s="124">
        <v>100.0</v>
      </c>
      <c r="AB687" s="125">
        <f>IF(Projects!$AI687="Electrolysis",
AA687/VLOOKUP(G687,ElectrolysisConvF,3,FALSE),
AC687*10^6/(H2dens*HoursInYear))</f>
        <v>22222.22222</v>
      </c>
      <c r="AC687" s="126">
        <f>AB687*H2dens*HoursInYear/10^6</f>
        <v>17.32533333</v>
      </c>
      <c r="AD687" s="125"/>
      <c r="AE687" s="125">
        <f t="shared" si="130"/>
        <v>22222.22222</v>
      </c>
      <c r="AF687" s="127" t="s">
        <v>13353</v>
      </c>
      <c r="AG687" s="127">
        <v>35.516639477648</v>
      </c>
      <c r="AH687" s="127">
        <v>129.444444699455</v>
      </c>
      <c r="AI687" s="115" t="s">
        <v>12383</v>
      </c>
      <c r="AJ687" s="116">
        <v>0.55</v>
      </c>
      <c r="AK687" s="117"/>
      <c r="AL687" s="117"/>
      <c r="AM687" s="117"/>
      <c r="AN687" s="117"/>
      <c r="AO687" s="117"/>
    </row>
    <row r="688" ht="34.5" customHeight="1">
      <c r="A688" s="111">
        <v>1097.0</v>
      </c>
      <c r="B688" s="111" t="s">
        <v>8681</v>
      </c>
      <c r="C688" s="111" t="s">
        <v>8021</v>
      </c>
      <c r="D688" s="111"/>
      <c r="E688" s="111"/>
      <c r="F688" s="111" t="s">
        <v>12393</v>
      </c>
      <c r="G688" s="111" t="s">
        <v>12241</v>
      </c>
      <c r="H688" s="111" t="s">
        <v>13021</v>
      </c>
      <c r="I688" s="111"/>
      <c r="J688" s="111"/>
      <c r="K688" s="111" t="s">
        <v>30</v>
      </c>
      <c r="L688" s="111"/>
      <c r="M688" s="111"/>
      <c r="N688" s="111"/>
      <c r="O688" s="111"/>
      <c r="P688" s="111">
        <v>1.0</v>
      </c>
      <c r="Q688" s="111">
        <v>1.0</v>
      </c>
      <c r="R688" s="111"/>
      <c r="S688" s="111"/>
      <c r="T688" s="111"/>
      <c r="U688" s="111"/>
      <c r="V688" s="111"/>
      <c r="W688" s="111"/>
      <c r="X688" s="111"/>
      <c r="Y688" s="111"/>
      <c r="Z688" s="111" t="s">
        <v>13354</v>
      </c>
      <c r="AA688" s="124" t="str">
        <f>IF(OR(G688="ALK",G688="PEM",G688="SOEC",G688="Other Electrolysis"),
AB688*VLOOKUP(G688,ElectrolysisConvF,3,FALSE),
"")</f>
        <v/>
      </c>
      <c r="AB688" s="125">
        <f>IF(Projects!$AI688="Electrolysis",
AA688/VLOOKUP(G688,ElectrolysisConvF,3,FALSE),
AC688*10^6/(H2dens*HoursInYear))</f>
        <v>70.2247191</v>
      </c>
      <c r="AC688" s="126">
        <f>0.15*365/1000</f>
        <v>0.05475</v>
      </c>
      <c r="AD688" s="125"/>
      <c r="AE688" s="125">
        <f>AB688</f>
        <v>70.2247191</v>
      </c>
      <c r="AF688" s="127" t="s">
        <v>13355</v>
      </c>
      <c r="AG688" s="127">
        <v>-27.4753896074049</v>
      </c>
      <c r="AH688" s="127">
        <v>152.998689614009</v>
      </c>
      <c r="AI688" s="115" t="s">
        <v>12241</v>
      </c>
      <c r="AJ688" s="116">
        <v>0.9</v>
      </c>
      <c r="AK688" s="117"/>
      <c r="AL688" s="117"/>
      <c r="AM688" s="117"/>
      <c r="AN688" s="117"/>
      <c r="AO688" s="117"/>
    </row>
    <row r="689" ht="34.5" customHeight="1">
      <c r="A689" s="111">
        <v>1100.0</v>
      </c>
      <c r="B689" s="111" t="s">
        <v>8682</v>
      </c>
      <c r="C689" s="111" t="s">
        <v>7981</v>
      </c>
      <c r="D689" s="111">
        <v>2023.0</v>
      </c>
      <c r="E689" s="111"/>
      <c r="F689" s="111" t="s">
        <v>12385</v>
      </c>
      <c r="G689" s="111" t="s">
        <v>12235</v>
      </c>
      <c r="H689" s="111" t="s">
        <v>13160</v>
      </c>
      <c r="I689" s="111"/>
      <c r="J689" s="111"/>
      <c r="K689" s="111" t="s">
        <v>30</v>
      </c>
      <c r="L689" s="111"/>
      <c r="M689" s="111"/>
      <c r="N689" s="111"/>
      <c r="O689" s="111"/>
      <c r="P689" s="111"/>
      <c r="Q689" s="111"/>
      <c r="R689" s="111"/>
      <c r="S689" s="111"/>
      <c r="T689" s="111"/>
      <c r="U689" s="111"/>
      <c r="V689" s="111"/>
      <c r="W689" s="111"/>
      <c r="X689" s="111"/>
      <c r="Y689" s="111"/>
      <c r="Z689" s="111" t="s">
        <v>13356</v>
      </c>
      <c r="AA689" s="124" t="str">
        <f>IF(OR(G689="ALK",G689="PEM",G689="SOEC",G689="Other Electrolysis"),
AB689*VLOOKUP(G689,ElectrolysisConvF,3,FALSE),
"")</f>
        <v/>
      </c>
      <c r="AB689" s="125">
        <f>IF(Projects!$AI689="Electrolysis",
AA689/VLOOKUP(G689,ElectrolysisConvF,3,FALSE),
AC689*10^6/(H2dens*HoursInYear))</f>
        <v>448.9251449</v>
      </c>
      <c r="AC689" s="126">
        <v>0.35</v>
      </c>
      <c r="AD689" s="125"/>
      <c r="AE689" s="125">
        <f t="shared" ref="AE689:AE691" si="133">IF(AND(G689&lt;&gt;"NG w CCUS",G689&lt;&gt;"Oil w CCUS",G689&lt;&gt;"Coal w CCUS"),AB689,AD689*10^3/(HoursInYear*IF(G689="NG w CCUS",0.9105,1.9075)))</f>
        <v>0</v>
      </c>
      <c r="AF689" s="127" t="s">
        <v>13357</v>
      </c>
      <c r="AG689" s="127">
        <v>38.6260157038178</v>
      </c>
      <c r="AH689" s="127">
        <v>-90.195396813019</v>
      </c>
      <c r="AI689" s="115" t="s">
        <v>12378</v>
      </c>
      <c r="AJ689" s="116">
        <v>0.9</v>
      </c>
      <c r="AK689" s="117"/>
      <c r="AL689" s="117"/>
      <c r="AM689" s="117"/>
      <c r="AN689" s="117"/>
      <c r="AO689" s="117"/>
    </row>
    <row r="690" ht="34.5" customHeight="1">
      <c r="A690" s="111">
        <v>1102.0</v>
      </c>
      <c r="B690" s="111" t="s">
        <v>8683</v>
      </c>
      <c r="C690" s="111" t="s">
        <v>8047</v>
      </c>
      <c r="D690" s="111">
        <v>2026.0</v>
      </c>
      <c r="E690" s="111"/>
      <c r="F690" s="111" t="s">
        <v>12399</v>
      </c>
      <c r="G690" s="111" t="s">
        <v>12224</v>
      </c>
      <c r="H690" s="111"/>
      <c r="I690" s="111" t="s">
        <v>12394</v>
      </c>
      <c r="J690" s="111" t="s">
        <v>12295</v>
      </c>
      <c r="K690" s="111" t="s">
        <v>30</v>
      </c>
      <c r="L690" s="111"/>
      <c r="M690" s="111"/>
      <c r="N690" s="111"/>
      <c r="O690" s="111"/>
      <c r="P690" s="111"/>
      <c r="Q690" s="111">
        <v>1.0</v>
      </c>
      <c r="R690" s="111"/>
      <c r="S690" s="111"/>
      <c r="T690" s="111"/>
      <c r="U690" s="111"/>
      <c r="V690" s="111"/>
      <c r="W690" s="111"/>
      <c r="X690" s="111"/>
      <c r="Y690" s="111"/>
      <c r="Z690" s="111" t="s">
        <v>12963</v>
      </c>
      <c r="AA690" s="124">
        <v>4.0</v>
      </c>
      <c r="AB690" s="125">
        <f>IF(Projects!$AI690="Electrolysis",
AA690/VLOOKUP(G690,ElectrolysisConvF,3,FALSE),
AC690*10^6/(H2dens*HoursInYear))</f>
        <v>869.5652174</v>
      </c>
      <c r="AC690" s="126">
        <f>AB690*H2dens*HoursInYear/10^6</f>
        <v>0.6779478261</v>
      </c>
      <c r="AD690" s="125"/>
      <c r="AE690" s="125">
        <f t="shared" si="133"/>
        <v>869.5652174</v>
      </c>
      <c r="AF690" s="127"/>
      <c r="AG690" s="127">
        <v>0.0</v>
      </c>
      <c r="AH690" s="127">
        <v>0.0</v>
      </c>
      <c r="AI690" s="115" t="s">
        <v>12383</v>
      </c>
      <c r="AJ690" s="116">
        <v>0.5</v>
      </c>
      <c r="AK690" s="117"/>
      <c r="AL690" s="117"/>
      <c r="AM690" s="117"/>
      <c r="AN690" s="117"/>
      <c r="AO690" s="117"/>
    </row>
    <row r="691" ht="34.5" customHeight="1">
      <c r="A691" s="111">
        <v>1108.0</v>
      </c>
      <c r="B691" s="111" t="s">
        <v>8684</v>
      </c>
      <c r="C691" s="111" t="s">
        <v>7981</v>
      </c>
      <c r="D691" s="111">
        <v>2026.0</v>
      </c>
      <c r="E691" s="111"/>
      <c r="F691" s="111" t="s">
        <v>12399</v>
      </c>
      <c r="G691" s="111" t="s">
        <v>12224</v>
      </c>
      <c r="H691" s="111"/>
      <c r="I691" s="111" t="s">
        <v>12394</v>
      </c>
      <c r="J691" s="111" t="s">
        <v>12291</v>
      </c>
      <c r="K691" s="111" t="s">
        <v>12251</v>
      </c>
      <c r="L691" s="111"/>
      <c r="M691" s="111"/>
      <c r="N691" s="111"/>
      <c r="O691" s="111"/>
      <c r="P691" s="111">
        <v>1.0</v>
      </c>
      <c r="Q691" s="111">
        <v>1.0</v>
      </c>
      <c r="R691" s="111"/>
      <c r="S691" s="111"/>
      <c r="T691" s="111"/>
      <c r="U691" s="111"/>
      <c r="V691" s="111"/>
      <c r="W691" s="111">
        <v>1.0</v>
      </c>
      <c r="X691" s="111"/>
      <c r="Y691" s="111"/>
      <c r="Z691" s="111" t="s">
        <v>13358</v>
      </c>
      <c r="AA691" s="126">
        <f>IF(Projects!$AI691="Electrolysis",
AB691*VLOOKUP(G691,ElectrolysisConvF,3,FALSE),
"")</f>
        <v>42.43265069</v>
      </c>
      <c r="AB691" s="125">
        <f t="shared" ref="AB691:AB693" si="134">AC691/(H2dens*HoursInYear/10^6)</f>
        <v>9224.48928</v>
      </c>
      <c r="AC691" s="126">
        <f>(14*0.045/0.73/0.12)</f>
        <v>7.191780822</v>
      </c>
      <c r="AD691" s="125"/>
      <c r="AE691" s="125">
        <f t="shared" si="133"/>
        <v>9224.48928</v>
      </c>
      <c r="AF691" s="127" t="s">
        <v>13359</v>
      </c>
      <c r="AG691" s="127">
        <v>31.3840314362777</v>
      </c>
      <c r="AH691" s="127">
        <v>-102.031465972819</v>
      </c>
      <c r="AI691" s="115" t="s">
        <v>12383</v>
      </c>
      <c r="AJ691" s="116">
        <v>0.3</v>
      </c>
      <c r="AK691" s="117"/>
      <c r="AL691" s="117"/>
      <c r="AM691" s="117"/>
      <c r="AN691" s="117"/>
      <c r="AO691" s="117"/>
    </row>
    <row r="692" ht="34.5" customHeight="1">
      <c r="A692" s="111">
        <v>1109.0</v>
      </c>
      <c r="B692" s="111" t="s">
        <v>8685</v>
      </c>
      <c r="C692" s="111" t="s">
        <v>8388</v>
      </c>
      <c r="D692" s="111">
        <v>2030.0</v>
      </c>
      <c r="E692" s="111"/>
      <c r="F692" s="111" t="s">
        <v>12399</v>
      </c>
      <c r="G692" s="111" t="s">
        <v>12381</v>
      </c>
      <c r="H692" s="111" t="s">
        <v>12230</v>
      </c>
      <c r="I692" s="111" t="s">
        <v>12394</v>
      </c>
      <c r="J692" s="111" t="s">
        <v>12295</v>
      </c>
      <c r="K692" s="111" t="s">
        <v>174</v>
      </c>
      <c r="L692" s="111"/>
      <c r="M692" s="111"/>
      <c r="N692" s="111"/>
      <c r="O692" s="111"/>
      <c r="P692" s="111"/>
      <c r="Q692" s="111"/>
      <c r="R692" s="111"/>
      <c r="S692" s="111"/>
      <c r="T692" s="111"/>
      <c r="U692" s="111"/>
      <c r="V692" s="111"/>
      <c r="W692" s="111"/>
      <c r="X692" s="111"/>
      <c r="Y692" s="111"/>
      <c r="Z692" s="111" t="s">
        <v>13360</v>
      </c>
      <c r="AA692" s="126">
        <f>IF(Projects!$AI692="Electrolysis",
AB692*VLOOKUP(G692,ElectrolysisConvF,3,FALSE),
"")</f>
        <v>1731.568416</v>
      </c>
      <c r="AB692" s="125">
        <f t="shared" si="134"/>
        <v>384792.9814</v>
      </c>
      <c r="AC692" s="126">
        <f>150/Projects!$AJ692</f>
        <v>300</v>
      </c>
      <c r="AD692" s="125"/>
      <c r="AE692" s="125">
        <f>AB692</f>
        <v>384792.9814</v>
      </c>
      <c r="AF692" s="127" t="s">
        <v>13361</v>
      </c>
      <c r="AG692" s="127">
        <v>19.6866840412678</v>
      </c>
      <c r="AH692" s="127">
        <v>56.8637803154941</v>
      </c>
      <c r="AI692" s="115" t="s">
        <v>12383</v>
      </c>
      <c r="AJ692" s="116">
        <v>0.5</v>
      </c>
      <c r="AK692" s="117"/>
      <c r="AL692" s="117"/>
      <c r="AM692" s="117"/>
      <c r="AN692" s="117"/>
      <c r="AO692" s="117"/>
    </row>
    <row r="693" ht="34.5" customHeight="1">
      <c r="A693" s="111">
        <v>1110.0</v>
      </c>
      <c r="B693" s="111" t="s">
        <v>8686</v>
      </c>
      <c r="C693" s="111" t="s">
        <v>7981</v>
      </c>
      <c r="D693" s="111">
        <v>2025.0</v>
      </c>
      <c r="E693" s="111"/>
      <c r="F693" s="111" t="s">
        <v>12393</v>
      </c>
      <c r="G693" s="111" t="s">
        <v>12226</v>
      </c>
      <c r="H693" s="111"/>
      <c r="I693" s="111" t="s">
        <v>12394</v>
      </c>
      <c r="J693" s="111" t="s">
        <v>12292</v>
      </c>
      <c r="K693" s="111" t="s">
        <v>30</v>
      </c>
      <c r="L693" s="111"/>
      <c r="M693" s="111"/>
      <c r="N693" s="111"/>
      <c r="O693" s="111"/>
      <c r="P693" s="111"/>
      <c r="Q693" s="111"/>
      <c r="R693" s="111"/>
      <c r="S693" s="111"/>
      <c r="T693" s="111"/>
      <c r="U693" s="111"/>
      <c r="V693" s="111"/>
      <c r="W693" s="111"/>
      <c r="X693" s="111"/>
      <c r="Y693" s="111"/>
      <c r="Z693" s="111" t="s">
        <v>13362</v>
      </c>
      <c r="AA693" s="126">
        <f>IF(Projects!$AI693="Electrolysis",
AB693*VLOOKUP(G693,ElectrolysisConvF,3,FALSE),
"")</f>
        <v>273.8764045</v>
      </c>
      <c r="AB693" s="125">
        <f t="shared" si="134"/>
        <v>52668.53933</v>
      </c>
      <c r="AC693" s="126">
        <f>45*365/1000/Projects!$AJ693</f>
        <v>41.0625</v>
      </c>
      <c r="AD693" s="125"/>
      <c r="AE693" s="125">
        <f t="shared" ref="AE693:AE708" si="135">IF(AND(G693&lt;&gt;"NG w CCUS",G693&lt;&gt;"Oil w CCUS",G693&lt;&gt;"Coal w CCUS"),AB693,AD693*10^3/(HoursInYear*IF(G693="NG w CCUS",0.9105,1.9075)))</f>
        <v>52668.53933</v>
      </c>
      <c r="AF693" s="127" t="s">
        <v>13363</v>
      </c>
      <c r="AG693" s="127">
        <v>32.7632892464245</v>
      </c>
      <c r="AH693" s="127">
        <v>-97.3401307134511</v>
      </c>
      <c r="AI693" s="115" t="s">
        <v>12383</v>
      </c>
      <c r="AJ693" s="116">
        <v>0.4</v>
      </c>
      <c r="AK693" s="132"/>
      <c r="AL693" s="132"/>
      <c r="AM693" s="132"/>
      <c r="AN693" s="132"/>
      <c r="AO693" s="132"/>
    </row>
    <row r="694" ht="34.5" customHeight="1">
      <c r="A694" s="133">
        <v>1113.0</v>
      </c>
      <c r="B694" s="133" t="s">
        <v>8687</v>
      </c>
      <c r="C694" s="133" t="s">
        <v>7981</v>
      </c>
      <c r="D694" s="133"/>
      <c r="E694" s="133"/>
      <c r="F694" s="133" t="s">
        <v>12399</v>
      </c>
      <c r="G694" s="133" t="s">
        <v>12381</v>
      </c>
      <c r="H694" s="133" t="s">
        <v>12230</v>
      </c>
      <c r="I694" s="133" t="s">
        <v>12394</v>
      </c>
      <c r="J694" s="133" t="s">
        <v>12295</v>
      </c>
      <c r="K694" s="133" t="s">
        <v>30</v>
      </c>
      <c r="L694" s="133"/>
      <c r="M694" s="133"/>
      <c r="N694" s="133"/>
      <c r="O694" s="133"/>
      <c r="P694" s="133"/>
      <c r="Q694" s="133"/>
      <c r="R694" s="133"/>
      <c r="S694" s="133"/>
      <c r="T694" s="133"/>
      <c r="U694" s="133"/>
      <c r="V694" s="133"/>
      <c r="W694" s="133"/>
      <c r="X694" s="133"/>
      <c r="Y694" s="133"/>
      <c r="Z694" s="133"/>
      <c r="AA694" s="134"/>
      <c r="AB694" s="135"/>
      <c r="AC694" s="136"/>
      <c r="AD694" s="135"/>
      <c r="AE694" s="135" t="str">
        <f t="shared" si="135"/>
        <v/>
      </c>
      <c r="AF694" s="137" t="s">
        <v>13364</v>
      </c>
      <c r="AG694" s="137">
        <v>0.0</v>
      </c>
      <c r="AH694" s="137">
        <v>0.0</v>
      </c>
      <c r="AI694" s="115" t="s">
        <v>12383</v>
      </c>
      <c r="AJ694" s="116">
        <v>0.5</v>
      </c>
      <c r="AK694" s="117"/>
      <c r="AL694" s="117"/>
      <c r="AM694" s="117"/>
      <c r="AN694" s="117"/>
      <c r="AO694" s="117"/>
    </row>
    <row r="695" ht="34.5" customHeight="1">
      <c r="A695" s="111">
        <v>1114.0</v>
      </c>
      <c r="B695" s="111" t="s">
        <v>8688</v>
      </c>
      <c r="C695" s="111" t="s">
        <v>7967</v>
      </c>
      <c r="D695" s="111">
        <v>2026.0</v>
      </c>
      <c r="E695" s="111"/>
      <c r="F695" s="111" t="s">
        <v>12399</v>
      </c>
      <c r="G695" s="111" t="s">
        <v>12381</v>
      </c>
      <c r="H695" s="111" t="s">
        <v>12230</v>
      </c>
      <c r="I695" s="111" t="s">
        <v>12394</v>
      </c>
      <c r="J695" s="111" t="s">
        <v>12295</v>
      </c>
      <c r="K695" s="111" t="s">
        <v>30</v>
      </c>
      <c r="L695" s="111"/>
      <c r="M695" s="111"/>
      <c r="N695" s="111"/>
      <c r="O695" s="111"/>
      <c r="P695" s="111">
        <v>1.0</v>
      </c>
      <c r="Q695" s="111">
        <v>1.0</v>
      </c>
      <c r="R695" s="111"/>
      <c r="S695" s="111"/>
      <c r="T695" s="111"/>
      <c r="U695" s="111"/>
      <c r="V695" s="111"/>
      <c r="W695" s="111"/>
      <c r="X695" s="111"/>
      <c r="Y695" s="111"/>
      <c r="Z695" s="111" t="s">
        <v>12703</v>
      </c>
      <c r="AA695" s="124">
        <v>10.0</v>
      </c>
      <c r="AB695" s="125">
        <f>IF(Projects!$AI695="Electrolysis",
AA695/VLOOKUP(G695,ElectrolysisConvF,3,FALSE),
AC695*10^6/(H2dens*HoursInYear))</f>
        <v>2222.222222</v>
      </c>
      <c r="AC695" s="126">
        <f t="shared" ref="AC695:AC699" si="136">AB695*H2dens*HoursInYear/10^6</f>
        <v>1.732533333</v>
      </c>
      <c r="AD695" s="125"/>
      <c r="AE695" s="125">
        <f t="shared" si="135"/>
        <v>2222.222222</v>
      </c>
      <c r="AF695" s="127" t="s">
        <v>13365</v>
      </c>
      <c r="AG695" s="127">
        <v>53.4391204300336</v>
      </c>
      <c r="AH695" s="127">
        <v>6.83653040082158</v>
      </c>
      <c r="AI695" s="115" t="s">
        <v>12383</v>
      </c>
      <c r="AJ695" s="116">
        <v>0.5</v>
      </c>
      <c r="AK695" s="117"/>
      <c r="AL695" s="117"/>
      <c r="AM695" s="117"/>
      <c r="AN695" s="117"/>
      <c r="AO695" s="117"/>
    </row>
    <row r="696" ht="34.5" customHeight="1">
      <c r="A696" s="111">
        <v>1115.0</v>
      </c>
      <c r="B696" s="111" t="s">
        <v>8689</v>
      </c>
      <c r="C696" s="111" t="s">
        <v>7967</v>
      </c>
      <c r="D696" s="111">
        <v>2027.0</v>
      </c>
      <c r="E696" s="111"/>
      <c r="F696" s="111" t="s">
        <v>12399</v>
      </c>
      <c r="G696" s="111" t="s">
        <v>12381</v>
      </c>
      <c r="H696" s="111" t="s">
        <v>12230</v>
      </c>
      <c r="I696" s="111" t="s">
        <v>12394</v>
      </c>
      <c r="J696" s="111" t="s">
        <v>12295</v>
      </c>
      <c r="K696" s="111" t="s">
        <v>30</v>
      </c>
      <c r="L696" s="111"/>
      <c r="M696" s="111"/>
      <c r="N696" s="111"/>
      <c r="O696" s="111"/>
      <c r="P696" s="111">
        <v>1.0</v>
      </c>
      <c r="Q696" s="111">
        <v>1.0</v>
      </c>
      <c r="R696" s="111"/>
      <c r="S696" s="111"/>
      <c r="T696" s="111"/>
      <c r="U696" s="111"/>
      <c r="V696" s="111"/>
      <c r="W696" s="111"/>
      <c r="X696" s="111"/>
      <c r="Y696" s="111"/>
      <c r="Z696" s="111" t="s">
        <v>12698</v>
      </c>
      <c r="AA696" s="124">
        <v>100.0</v>
      </c>
      <c r="AB696" s="125">
        <f>IF(Projects!$AI696="Electrolysis",
AA696/VLOOKUP(G696,ElectrolysisConvF,3,FALSE),
AC696*10^6/(H2dens*HoursInYear))</f>
        <v>22222.22222</v>
      </c>
      <c r="AC696" s="126">
        <f t="shared" si="136"/>
        <v>17.32533333</v>
      </c>
      <c r="AD696" s="125"/>
      <c r="AE696" s="125">
        <f t="shared" si="135"/>
        <v>22222.22222</v>
      </c>
      <c r="AF696" s="127" t="s">
        <v>13365</v>
      </c>
      <c r="AG696" s="127">
        <v>53.4391204300336</v>
      </c>
      <c r="AH696" s="127">
        <v>6.83653040082158</v>
      </c>
      <c r="AI696" s="115" t="s">
        <v>12383</v>
      </c>
      <c r="AJ696" s="116">
        <v>0.5</v>
      </c>
      <c r="AK696" s="117"/>
      <c r="AL696" s="117"/>
      <c r="AM696" s="117"/>
      <c r="AN696" s="117"/>
      <c r="AO696" s="117"/>
    </row>
    <row r="697" ht="34.5" customHeight="1">
      <c r="A697" s="111">
        <v>1116.0</v>
      </c>
      <c r="B697" s="111" t="s">
        <v>8690</v>
      </c>
      <c r="C697" s="111" t="s">
        <v>7967</v>
      </c>
      <c r="D697" s="111">
        <v>2026.0</v>
      </c>
      <c r="E697" s="111"/>
      <c r="F697" s="111" t="s">
        <v>12399</v>
      </c>
      <c r="G697" s="111" t="s">
        <v>12381</v>
      </c>
      <c r="H697" s="111" t="s">
        <v>12230</v>
      </c>
      <c r="I697" s="111" t="s">
        <v>12394</v>
      </c>
      <c r="J697" s="111" t="s">
        <v>12296</v>
      </c>
      <c r="K697" s="111" t="s">
        <v>30</v>
      </c>
      <c r="L697" s="111"/>
      <c r="M697" s="111"/>
      <c r="N697" s="111"/>
      <c r="O697" s="111"/>
      <c r="P697" s="111">
        <v>1.0</v>
      </c>
      <c r="Q697" s="111">
        <v>1.0</v>
      </c>
      <c r="R697" s="111"/>
      <c r="S697" s="111"/>
      <c r="T697" s="111"/>
      <c r="U697" s="111"/>
      <c r="V697" s="111"/>
      <c r="W697" s="111"/>
      <c r="X697" s="111"/>
      <c r="Y697" s="111"/>
      <c r="Z697" s="111" t="s">
        <v>13006</v>
      </c>
      <c r="AA697" s="124">
        <v>200.0</v>
      </c>
      <c r="AB697" s="125">
        <f>IF(Projects!$AI697="Electrolysis",
AA697/VLOOKUP(G697,ElectrolysisConvF,3,FALSE),
AC697*10^6/(H2dens*HoursInYear))</f>
        <v>44444.44444</v>
      </c>
      <c r="AC697" s="126">
        <f t="shared" si="136"/>
        <v>34.65066667</v>
      </c>
      <c r="AD697" s="125"/>
      <c r="AE697" s="125">
        <f t="shared" si="135"/>
        <v>44444.44444</v>
      </c>
      <c r="AF697" s="127" t="s">
        <v>13366</v>
      </c>
      <c r="AG697" s="127">
        <v>51.3206955203114</v>
      </c>
      <c r="AH697" s="127">
        <v>3.81518543580864</v>
      </c>
      <c r="AI697" s="115" t="s">
        <v>12383</v>
      </c>
      <c r="AJ697" s="116">
        <v>0.5</v>
      </c>
      <c r="AK697" s="117"/>
      <c r="AL697" s="117"/>
      <c r="AM697" s="117"/>
      <c r="AN697" s="117"/>
      <c r="AO697" s="117"/>
    </row>
    <row r="698" ht="34.5" customHeight="1">
      <c r="A698" s="111">
        <v>1117.0</v>
      </c>
      <c r="B698" s="111" t="s">
        <v>8691</v>
      </c>
      <c r="C698" s="111" t="s">
        <v>8021</v>
      </c>
      <c r="D698" s="111">
        <v>2028.0</v>
      </c>
      <c r="E698" s="111"/>
      <c r="F698" s="111" t="s">
        <v>12399</v>
      </c>
      <c r="G698" s="111" t="s">
        <v>12381</v>
      </c>
      <c r="H698" s="111" t="s">
        <v>12230</v>
      </c>
      <c r="I698" s="111" t="s">
        <v>12394</v>
      </c>
      <c r="J698" s="111" t="s">
        <v>12295</v>
      </c>
      <c r="K698" s="111" t="s">
        <v>30</v>
      </c>
      <c r="L698" s="111"/>
      <c r="M698" s="111"/>
      <c r="N698" s="111"/>
      <c r="O698" s="111"/>
      <c r="P698" s="111">
        <v>1.0</v>
      </c>
      <c r="Q698" s="111"/>
      <c r="R698" s="111"/>
      <c r="S698" s="111"/>
      <c r="T698" s="111"/>
      <c r="U698" s="111"/>
      <c r="V698" s="111"/>
      <c r="W698" s="111"/>
      <c r="X698" s="111"/>
      <c r="Y698" s="111"/>
      <c r="Z698" s="111" t="s">
        <v>13367</v>
      </c>
      <c r="AA698" s="124">
        <v>640.0</v>
      </c>
      <c r="AB698" s="125">
        <f>IF(Projects!$AI698="Electrolysis",
AA698/VLOOKUP(G698,ElectrolysisConvF,3,FALSE),
AC698*10^6/(H2dens*HoursInYear))</f>
        <v>142222.2222</v>
      </c>
      <c r="AC698" s="126">
        <f t="shared" si="136"/>
        <v>110.8821333</v>
      </c>
      <c r="AD698" s="125"/>
      <c r="AE698" s="125">
        <f t="shared" si="135"/>
        <v>142222.2222</v>
      </c>
      <c r="AF698" s="127" t="s">
        <v>13368</v>
      </c>
      <c r="AG698" s="127">
        <v>-23.8402075908997</v>
      </c>
      <c r="AH698" s="127">
        <v>151.047341874176</v>
      </c>
      <c r="AI698" s="115" t="s">
        <v>12383</v>
      </c>
      <c r="AJ698" s="116">
        <v>0.5</v>
      </c>
      <c r="AK698" s="117"/>
      <c r="AL698" s="117"/>
      <c r="AM698" s="117"/>
      <c r="AN698" s="117"/>
      <c r="AO698" s="117"/>
    </row>
    <row r="699" ht="34.5" customHeight="1">
      <c r="A699" s="111">
        <v>1118.0</v>
      </c>
      <c r="B699" s="111" t="s">
        <v>8692</v>
      </c>
      <c r="C699" s="111" t="s">
        <v>7967</v>
      </c>
      <c r="D699" s="111">
        <v>2026.0</v>
      </c>
      <c r="E699" s="111"/>
      <c r="F699" s="111" t="s">
        <v>12399</v>
      </c>
      <c r="G699" s="111" t="s">
        <v>12381</v>
      </c>
      <c r="H699" s="111" t="s">
        <v>12230</v>
      </c>
      <c r="I699" s="111" t="s">
        <v>12394</v>
      </c>
      <c r="J699" s="111" t="s">
        <v>12296</v>
      </c>
      <c r="K699" s="111" t="s">
        <v>30</v>
      </c>
      <c r="L699" s="111">
        <v>1.0</v>
      </c>
      <c r="M699" s="111"/>
      <c r="N699" s="111"/>
      <c r="O699" s="111"/>
      <c r="P699" s="111"/>
      <c r="Q699" s="111"/>
      <c r="R699" s="111"/>
      <c r="S699" s="111"/>
      <c r="T699" s="111"/>
      <c r="U699" s="111"/>
      <c r="V699" s="111"/>
      <c r="W699" s="111"/>
      <c r="X699" s="111"/>
      <c r="Y699" s="111"/>
      <c r="Z699" s="111" t="s">
        <v>12806</v>
      </c>
      <c r="AA699" s="124">
        <v>150.0</v>
      </c>
      <c r="AB699" s="125">
        <f>IF(Projects!$AI699="Electrolysis",
AA699/VLOOKUP(G699,ElectrolysisConvF,3,FALSE),
AC699*10^6/(H2dens*HoursInYear))</f>
        <v>33333.33333</v>
      </c>
      <c r="AC699" s="126">
        <f t="shared" si="136"/>
        <v>25.988</v>
      </c>
      <c r="AD699" s="125"/>
      <c r="AE699" s="125">
        <f t="shared" si="135"/>
        <v>33333.33333</v>
      </c>
      <c r="AF699" s="127" t="s">
        <v>13369</v>
      </c>
      <c r="AG699" s="127">
        <v>51.4189536432728</v>
      </c>
      <c r="AH699" s="127">
        <v>3.72739827547602</v>
      </c>
      <c r="AI699" s="115" t="s">
        <v>12383</v>
      </c>
      <c r="AJ699" s="116">
        <v>0.5</v>
      </c>
      <c r="AK699" s="117"/>
      <c r="AL699" s="117"/>
      <c r="AM699" s="117"/>
      <c r="AN699" s="117"/>
      <c r="AO699" s="117"/>
    </row>
    <row r="700" ht="34.5" customHeight="1">
      <c r="A700" s="111">
        <v>1119.0</v>
      </c>
      <c r="B700" s="111" t="s">
        <v>8693</v>
      </c>
      <c r="C700" s="111" t="s">
        <v>7967</v>
      </c>
      <c r="D700" s="111">
        <v>2025.0</v>
      </c>
      <c r="E700" s="111"/>
      <c r="F700" s="111" t="s">
        <v>12399</v>
      </c>
      <c r="G700" s="111" t="s">
        <v>12239</v>
      </c>
      <c r="H700" s="111"/>
      <c r="I700" s="111"/>
      <c r="J700" s="111"/>
      <c r="K700" s="111" t="s">
        <v>30</v>
      </c>
      <c r="L700" s="111"/>
      <c r="M700" s="111"/>
      <c r="N700" s="111"/>
      <c r="O700" s="111"/>
      <c r="P700" s="111"/>
      <c r="Q700" s="111"/>
      <c r="R700" s="111"/>
      <c r="S700" s="111"/>
      <c r="T700" s="111"/>
      <c r="U700" s="111"/>
      <c r="V700" s="111"/>
      <c r="W700" s="111"/>
      <c r="X700" s="111"/>
      <c r="Y700" s="111"/>
      <c r="Z700" s="111" t="s">
        <v>13370</v>
      </c>
      <c r="AA700" s="124"/>
      <c r="AB700" s="125">
        <f>IF(Projects!$AI700="Electrolysis",
AA700/VLOOKUP(G700,ElectrolysisConvF,3,FALSE),
AC700*10^6/(H2dens*HoursInYear))</f>
        <v>69262.73665</v>
      </c>
      <c r="AC700" s="126">
        <v>54.0</v>
      </c>
      <c r="AD700" s="125"/>
      <c r="AE700" s="125">
        <f t="shared" si="135"/>
        <v>69262.73665</v>
      </c>
      <c r="AF700" s="127" t="s">
        <v>13369</v>
      </c>
      <c r="AG700" s="127">
        <v>50.9822994857122</v>
      </c>
      <c r="AH700" s="127">
        <v>5.83153501584353</v>
      </c>
      <c r="AI700" s="115" t="s">
        <v>12241</v>
      </c>
      <c r="AJ700" s="116">
        <v>0.9</v>
      </c>
      <c r="AK700" s="117"/>
      <c r="AL700" s="117"/>
      <c r="AM700" s="117"/>
      <c r="AN700" s="117"/>
      <c r="AO700" s="117"/>
    </row>
    <row r="701" ht="34.5" customHeight="1">
      <c r="A701" s="111">
        <v>1120.0</v>
      </c>
      <c r="B701" s="111" t="s">
        <v>8694</v>
      </c>
      <c r="C701" s="111" t="s">
        <v>7967</v>
      </c>
      <c r="D701" s="111">
        <v>2025.0</v>
      </c>
      <c r="E701" s="111"/>
      <c r="F701" s="111" t="s">
        <v>12399</v>
      </c>
      <c r="G701" s="111" t="s">
        <v>12239</v>
      </c>
      <c r="H701" s="111"/>
      <c r="I701" s="111"/>
      <c r="J701" s="111"/>
      <c r="K701" s="111" t="s">
        <v>30</v>
      </c>
      <c r="L701" s="111"/>
      <c r="M701" s="111"/>
      <c r="N701" s="111"/>
      <c r="O701" s="111"/>
      <c r="P701" s="111"/>
      <c r="Q701" s="111"/>
      <c r="R701" s="111"/>
      <c r="S701" s="111"/>
      <c r="T701" s="111"/>
      <c r="U701" s="111"/>
      <c r="V701" s="111"/>
      <c r="W701" s="111"/>
      <c r="X701" s="111"/>
      <c r="Y701" s="111"/>
      <c r="Z701" s="111" t="s">
        <v>13371</v>
      </c>
      <c r="AA701" s="124" t="str">
        <f>IF(OR(G701="ALK",G701="PEM",G701="SOEC",G701="Other Electrolysis"),
AB701*VLOOKUP(G701,ElectrolysisConvF,3,FALSE),
"")</f>
        <v/>
      </c>
      <c r="AB701" s="125">
        <f>IF(Projects!$AI701="Electrolysis",
AA701/VLOOKUP(G701,ElectrolysisConvF,3,FALSE),
AC701*10^6/(H2dens*HoursInYear))</f>
        <v>16853.93258</v>
      </c>
      <c r="AC701" s="126">
        <f>50*3.6*HoursInYear/120/1000</f>
        <v>13.14</v>
      </c>
      <c r="AD701" s="125"/>
      <c r="AE701" s="125">
        <f t="shared" si="135"/>
        <v>16853.93258</v>
      </c>
      <c r="AF701" s="127" t="s">
        <v>13365</v>
      </c>
      <c r="AG701" s="127">
        <v>0.0</v>
      </c>
      <c r="AH701" s="127">
        <v>0.0</v>
      </c>
      <c r="AI701" s="115" t="s">
        <v>12241</v>
      </c>
      <c r="AJ701" s="116">
        <v>0.9</v>
      </c>
      <c r="AK701" s="117"/>
      <c r="AL701" s="117"/>
      <c r="AM701" s="117"/>
      <c r="AN701" s="117"/>
      <c r="AO701" s="117"/>
    </row>
    <row r="702" ht="34.5" customHeight="1">
      <c r="A702" s="111">
        <v>1121.0</v>
      </c>
      <c r="B702" s="111" t="s">
        <v>8695</v>
      </c>
      <c r="C702" s="111" t="s">
        <v>7967</v>
      </c>
      <c r="D702" s="111">
        <v>2025.0</v>
      </c>
      <c r="E702" s="111"/>
      <c r="F702" s="111" t="s">
        <v>12393</v>
      </c>
      <c r="G702" s="111" t="s">
        <v>12226</v>
      </c>
      <c r="H702" s="111"/>
      <c r="I702" s="111" t="s">
        <v>12394</v>
      </c>
      <c r="J702" s="111" t="s">
        <v>12292</v>
      </c>
      <c r="K702" s="111" t="s">
        <v>30</v>
      </c>
      <c r="L702" s="111"/>
      <c r="M702" s="111"/>
      <c r="N702" s="111"/>
      <c r="O702" s="111"/>
      <c r="P702" s="111"/>
      <c r="Q702" s="111"/>
      <c r="R702" s="111"/>
      <c r="S702" s="111"/>
      <c r="T702" s="111"/>
      <c r="U702" s="111"/>
      <c r="V702" s="111"/>
      <c r="W702" s="111"/>
      <c r="X702" s="111"/>
      <c r="Y702" s="111"/>
      <c r="Z702" s="111" t="s">
        <v>12603</v>
      </c>
      <c r="AA702" s="124">
        <v>5.0</v>
      </c>
      <c r="AB702" s="125">
        <f>IF(Projects!$AI702="Electrolysis",
AA702/VLOOKUP(G702,ElectrolysisConvF,3,FALSE),
AC702*10^6/(H2dens*HoursInYear))</f>
        <v>961.5384615</v>
      </c>
      <c r="AC702" s="126">
        <f>AB702*H2dens*HoursInYear/10^6</f>
        <v>0.7496538462</v>
      </c>
      <c r="AD702" s="125"/>
      <c r="AE702" s="125">
        <f t="shared" si="135"/>
        <v>961.5384615</v>
      </c>
      <c r="AF702" s="127" t="s">
        <v>13372</v>
      </c>
      <c r="AG702" s="127">
        <v>52.8324441105914</v>
      </c>
      <c r="AH702" s="127">
        <v>4.93873371024834</v>
      </c>
      <c r="AI702" s="115" t="s">
        <v>12383</v>
      </c>
      <c r="AJ702" s="116">
        <v>0.4</v>
      </c>
      <c r="AK702" s="117"/>
      <c r="AL702" s="117"/>
      <c r="AM702" s="117"/>
      <c r="AN702" s="117"/>
      <c r="AO702" s="117"/>
    </row>
    <row r="703" ht="34.5" customHeight="1">
      <c r="A703" s="111">
        <v>1122.0</v>
      </c>
      <c r="B703" s="111" t="s">
        <v>8696</v>
      </c>
      <c r="C703" s="111" t="s">
        <v>7967</v>
      </c>
      <c r="D703" s="111">
        <v>2030.0</v>
      </c>
      <c r="E703" s="111"/>
      <c r="F703" s="111" t="s">
        <v>12399</v>
      </c>
      <c r="G703" s="111" t="s">
        <v>12235</v>
      </c>
      <c r="H703" s="111" t="s">
        <v>13373</v>
      </c>
      <c r="I703" s="111"/>
      <c r="J703" s="111"/>
      <c r="K703" s="111" t="s">
        <v>30</v>
      </c>
      <c r="L703" s="111"/>
      <c r="M703" s="111"/>
      <c r="N703" s="111"/>
      <c r="O703" s="111"/>
      <c r="P703" s="111"/>
      <c r="Q703" s="111"/>
      <c r="R703" s="111"/>
      <c r="S703" s="111"/>
      <c r="T703" s="111"/>
      <c r="U703" s="111"/>
      <c r="V703" s="111"/>
      <c r="W703" s="111"/>
      <c r="X703" s="111"/>
      <c r="Y703" s="111"/>
      <c r="Z703" s="111" t="s">
        <v>13374</v>
      </c>
      <c r="AA703" s="124" t="str">
        <f>IF(OR(G703="ALK",G703="PEM",G703="SOEC",G703="Other Electrolysis"),
AB703*VLOOKUP(G703,ElectrolysisConvF,3,FALSE),
"")</f>
        <v/>
      </c>
      <c r="AB703" s="125">
        <f>IF(Projects!$AI703="Electrolysis",
AA703/VLOOKUP(G703,ElectrolysisConvF,3,FALSE),
AC703*10^6/(H2dens*HoursInYear))</f>
        <v>256.5286543</v>
      </c>
      <c r="AC703" s="126">
        <v>0.2</v>
      </c>
      <c r="AD703" s="125"/>
      <c r="AE703" s="125">
        <f t="shared" si="135"/>
        <v>0</v>
      </c>
      <c r="AF703" s="127" t="s">
        <v>13375</v>
      </c>
      <c r="AG703" s="127">
        <v>0.0</v>
      </c>
      <c r="AH703" s="127">
        <v>0.0</v>
      </c>
      <c r="AI703" s="115" t="s">
        <v>12378</v>
      </c>
      <c r="AJ703" s="116">
        <v>0.9</v>
      </c>
      <c r="AK703" s="117"/>
      <c r="AL703" s="117"/>
      <c r="AM703" s="117"/>
      <c r="AN703" s="117"/>
      <c r="AO703" s="117"/>
    </row>
    <row r="704" ht="34.5" customHeight="1">
      <c r="A704" s="111">
        <v>1123.0</v>
      </c>
      <c r="B704" s="111" t="s">
        <v>8697</v>
      </c>
      <c r="C704" s="111" t="s">
        <v>8001</v>
      </c>
      <c r="D704" s="111">
        <v>2024.0</v>
      </c>
      <c r="E704" s="111"/>
      <c r="F704" s="111" t="s">
        <v>12393</v>
      </c>
      <c r="G704" s="111" t="s">
        <v>12224</v>
      </c>
      <c r="H704" s="111"/>
      <c r="I704" s="111" t="s">
        <v>12394</v>
      </c>
      <c r="J704" s="111" t="s">
        <v>12295</v>
      </c>
      <c r="K704" s="111" t="s">
        <v>30</v>
      </c>
      <c r="L704" s="111"/>
      <c r="M704" s="111"/>
      <c r="N704" s="111"/>
      <c r="O704" s="111"/>
      <c r="P704" s="111">
        <v>1.0</v>
      </c>
      <c r="Q704" s="111"/>
      <c r="R704" s="111"/>
      <c r="S704" s="111"/>
      <c r="T704" s="111"/>
      <c r="U704" s="111"/>
      <c r="V704" s="111"/>
      <c r="W704" s="111"/>
      <c r="X704" s="111"/>
      <c r="Y704" s="111"/>
      <c r="Z704" s="111" t="s">
        <v>13376</v>
      </c>
      <c r="AA704" s="126">
        <f>IF(Projects!$AI704="Electrolysis",
AB704*VLOOKUP(G704,ElectrolysisConvF,3,FALSE),
"")</f>
        <v>59.00159048</v>
      </c>
      <c r="AB704" s="125">
        <f>AC704/(H2dens*HoursInYear/10^6)</f>
        <v>12826.43271</v>
      </c>
      <c r="AC704" s="126">
        <f>10</f>
        <v>10</v>
      </c>
      <c r="AD704" s="125"/>
      <c r="AE704" s="125">
        <f t="shared" si="135"/>
        <v>12826.43271</v>
      </c>
      <c r="AF704" s="127" t="s">
        <v>13377</v>
      </c>
      <c r="AG704" s="127">
        <v>39.6740578446643</v>
      </c>
      <c r="AH704" s="127">
        <v>109.724756063919</v>
      </c>
      <c r="AI704" s="115" t="s">
        <v>12383</v>
      </c>
      <c r="AJ704" s="116">
        <v>0.5</v>
      </c>
      <c r="AK704" s="117"/>
      <c r="AL704" s="117"/>
      <c r="AM704" s="117"/>
      <c r="AN704" s="117"/>
      <c r="AO704" s="117"/>
    </row>
    <row r="705" ht="34.5" customHeight="1">
      <c r="A705" s="111">
        <v>1124.0</v>
      </c>
      <c r="B705" s="111" t="s">
        <v>8698</v>
      </c>
      <c r="C705" s="111" t="s">
        <v>8001</v>
      </c>
      <c r="D705" s="111">
        <v>2023.0</v>
      </c>
      <c r="E705" s="111"/>
      <c r="F705" s="111" t="s">
        <v>12385</v>
      </c>
      <c r="G705" s="111" t="s">
        <v>12224</v>
      </c>
      <c r="H705" s="111"/>
      <c r="I705" s="111" t="s">
        <v>12394</v>
      </c>
      <c r="J705" s="111" t="s">
        <v>12291</v>
      </c>
      <c r="K705" s="111" t="s">
        <v>30</v>
      </c>
      <c r="L705" s="111">
        <v>1.0</v>
      </c>
      <c r="M705" s="111"/>
      <c r="N705" s="111"/>
      <c r="O705" s="111"/>
      <c r="P705" s="111"/>
      <c r="Q705" s="111"/>
      <c r="R705" s="111"/>
      <c r="S705" s="111"/>
      <c r="T705" s="111"/>
      <c r="U705" s="111"/>
      <c r="V705" s="111"/>
      <c r="W705" s="111"/>
      <c r="X705" s="111"/>
      <c r="Y705" s="111"/>
      <c r="Z705" s="111" t="s">
        <v>13378</v>
      </c>
      <c r="AA705" s="124">
        <v>260.0</v>
      </c>
      <c r="AB705" s="125">
        <f>IF(Projects!$AI705="Electrolysis",
AA705/VLOOKUP(G705,ElectrolysisConvF,3,FALSE),
AC705*10^6/(H2dens*HoursInYear))</f>
        <v>56521.73913</v>
      </c>
      <c r="AC705" s="126">
        <f>AB705*H2dens*HoursInYear/10^6</f>
        <v>44.0666087</v>
      </c>
      <c r="AD705" s="125"/>
      <c r="AE705" s="125">
        <f t="shared" si="135"/>
        <v>56521.73913</v>
      </c>
      <c r="AF705" s="127" t="s">
        <v>13379</v>
      </c>
      <c r="AG705" s="127">
        <v>41.8275499906397</v>
      </c>
      <c r="AH705" s="127">
        <v>83.3949016620533</v>
      </c>
      <c r="AI705" s="115" t="s">
        <v>12383</v>
      </c>
      <c r="AJ705" s="116">
        <v>0.3</v>
      </c>
      <c r="AK705" s="117"/>
      <c r="AL705" s="117"/>
      <c r="AM705" s="117"/>
      <c r="AN705" s="117"/>
      <c r="AO705" s="117"/>
    </row>
    <row r="706" ht="34.5" customHeight="1">
      <c r="A706" s="111">
        <v>1125.0</v>
      </c>
      <c r="B706" s="111" t="s">
        <v>8699</v>
      </c>
      <c r="C706" s="111" t="s">
        <v>7981</v>
      </c>
      <c r="D706" s="111"/>
      <c r="E706" s="111"/>
      <c r="F706" s="111" t="s">
        <v>12397</v>
      </c>
      <c r="G706" s="111" t="s">
        <v>12235</v>
      </c>
      <c r="H706" s="111" t="s">
        <v>13160</v>
      </c>
      <c r="I706" s="111" t="str">
        <f>IF(AND(G706&lt;&gt;"ALK",G706&lt;&gt;"PEM",G706&lt;&gt;"SOEC",G706&lt;&gt;"Other electrolysis"),"N/A","")</f>
        <v>N/A</v>
      </c>
      <c r="J706" s="111" t="str">
        <f>IF(I706&lt;&gt;"Dedicated renewable","N/A",)</f>
        <v>N/A</v>
      </c>
      <c r="K706" s="111" t="s">
        <v>30</v>
      </c>
      <c r="L706" s="111">
        <v>1.0</v>
      </c>
      <c r="M706" s="111"/>
      <c r="N706" s="111"/>
      <c r="O706" s="111"/>
      <c r="P706" s="111"/>
      <c r="Q706" s="111"/>
      <c r="R706" s="111"/>
      <c r="S706" s="111"/>
      <c r="T706" s="111"/>
      <c r="U706" s="111"/>
      <c r="V706" s="111"/>
      <c r="W706" s="111"/>
      <c r="X706" s="111"/>
      <c r="Y706" s="111"/>
      <c r="Z706" s="111"/>
      <c r="AA706" s="124"/>
      <c r="AB706" s="125"/>
      <c r="AC706" s="126"/>
      <c r="AD706" s="125"/>
      <c r="AE706" s="125">
        <f t="shared" si="135"/>
        <v>0</v>
      </c>
      <c r="AF706" s="127" t="s">
        <v>13380</v>
      </c>
      <c r="AG706" s="127">
        <v>31.3909815703736</v>
      </c>
      <c r="AH706" s="127">
        <v>-103.535958296125</v>
      </c>
      <c r="AI706" s="115" t="s">
        <v>12378</v>
      </c>
      <c r="AJ706" s="116">
        <v>0.9</v>
      </c>
      <c r="AK706" s="117"/>
      <c r="AL706" s="117"/>
      <c r="AM706" s="117"/>
      <c r="AN706" s="117"/>
      <c r="AO706" s="117"/>
    </row>
    <row r="707" ht="34.5" customHeight="1">
      <c r="A707" s="111">
        <v>1126.0</v>
      </c>
      <c r="B707" s="111" t="s">
        <v>8700</v>
      </c>
      <c r="C707" s="111" t="s">
        <v>7994</v>
      </c>
      <c r="D707" s="111">
        <v>2024.0</v>
      </c>
      <c r="E707" s="111"/>
      <c r="F707" s="111" t="s">
        <v>12399</v>
      </c>
      <c r="G707" s="111" t="s">
        <v>12224</v>
      </c>
      <c r="H707" s="111"/>
      <c r="I707" s="111" t="s">
        <v>12287</v>
      </c>
      <c r="J707" s="111"/>
      <c r="K707" s="111" t="s">
        <v>30</v>
      </c>
      <c r="L707" s="111"/>
      <c r="M707" s="111"/>
      <c r="N707" s="111"/>
      <c r="O707" s="111"/>
      <c r="P707" s="111"/>
      <c r="Q707" s="111"/>
      <c r="R707" s="111"/>
      <c r="S707" s="111"/>
      <c r="T707" s="111"/>
      <c r="U707" s="111"/>
      <c r="V707" s="111"/>
      <c r="W707" s="111"/>
      <c r="X707" s="111"/>
      <c r="Y707" s="111"/>
      <c r="Z707" s="111" t="s">
        <v>12698</v>
      </c>
      <c r="AA707" s="124">
        <v>100.0</v>
      </c>
      <c r="AB707" s="125">
        <f>IF(Projects!$AI707="Electrolysis",
AA707/VLOOKUP(G707,ElectrolysisConvF,3,FALSE),
AC707*10^6/(H2dens*HoursInYear))</f>
        <v>21739.13043</v>
      </c>
      <c r="AC707" s="126">
        <f t="shared" ref="AC707:AC709" si="137">AB707*H2dens*HoursInYear/10^6</f>
        <v>16.94869565</v>
      </c>
      <c r="AD707" s="125"/>
      <c r="AE707" s="125">
        <f t="shared" si="135"/>
        <v>21739.13043</v>
      </c>
      <c r="AF707" s="127" t="s">
        <v>13381</v>
      </c>
      <c r="AG707" s="127">
        <v>56.5653019471961</v>
      </c>
      <c r="AH707" s="127">
        <v>9.02965887010113</v>
      </c>
      <c r="AI707" s="115" t="s">
        <v>12383</v>
      </c>
      <c r="AJ707" s="116">
        <v>0.57</v>
      </c>
      <c r="AK707" s="117"/>
      <c r="AL707" s="117"/>
      <c r="AM707" s="117"/>
      <c r="AN707" s="117"/>
      <c r="AO707" s="117"/>
    </row>
    <row r="708" ht="34.5" customHeight="1">
      <c r="A708" s="111">
        <v>1127.0</v>
      </c>
      <c r="B708" s="111" t="s">
        <v>8701</v>
      </c>
      <c r="C708" s="111" t="s">
        <v>8702</v>
      </c>
      <c r="D708" s="111">
        <v>2026.0</v>
      </c>
      <c r="E708" s="111"/>
      <c r="F708" s="111" t="s">
        <v>12399</v>
      </c>
      <c r="G708" s="111" t="s">
        <v>12381</v>
      </c>
      <c r="H708" s="111" t="s">
        <v>12230</v>
      </c>
      <c r="I708" s="111" t="s">
        <v>12406</v>
      </c>
      <c r="J708" s="111"/>
      <c r="K708" s="111" t="s">
        <v>30</v>
      </c>
      <c r="L708" s="111">
        <v>1.0</v>
      </c>
      <c r="M708" s="111"/>
      <c r="N708" s="111"/>
      <c r="O708" s="111"/>
      <c r="P708" s="111">
        <v>1.0</v>
      </c>
      <c r="Q708" s="111">
        <v>1.0</v>
      </c>
      <c r="R708" s="111"/>
      <c r="S708" s="111"/>
      <c r="T708" s="111"/>
      <c r="U708" s="111"/>
      <c r="V708" s="111"/>
      <c r="W708" s="111"/>
      <c r="X708" s="111"/>
      <c r="Y708" s="111"/>
      <c r="Z708" s="111" t="s">
        <v>12768</v>
      </c>
      <c r="AA708" s="124">
        <v>50.0</v>
      </c>
      <c r="AB708" s="125">
        <f>IF(Projects!$AI708="Electrolysis",
AA708/VLOOKUP(G708,ElectrolysisConvF,3,FALSE),
AC708*10^6/(H2dens*HoursInYear))</f>
        <v>11111.11111</v>
      </c>
      <c r="AC708" s="126">
        <f t="shared" si="137"/>
        <v>8.662666667</v>
      </c>
      <c r="AD708" s="125"/>
      <c r="AE708" s="125">
        <f t="shared" si="135"/>
        <v>11111.11111</v>
      </c>
      <c r="AF708" s="127" t="s">
        <v>13382</v>
      </c>
      <c r="AG708" s="127">
        <v>51.8404527235042</v>
      </c>
      <c r="AH708" s="127">
        <v>-8.21832026462021</v>
      </c>
      <c r="AI708" s="115" t="s">
        <v>12383</v>
      </c>
      <c r="AJ708" s="116">
        <v>0.57</v>
      </c>
      <c r="AK708" s="117"/>
      <c r="AL708" s="117"/>
      <c r="AM708" s="117"/>
      <c r="AN708" s="117"/>
      <c r="AO708" s="117"/>
    </row>
    <row r="709" ht="34.5" customHeight="1">
      <c r="A709" s="111">
        <v>1128.0</v>
      </c>
      <c r="B709" s="111" t="s">
        <v>8703</v>
      </c>
      <c r="C709" s="111" t="s">
        <v>7994</v>
      </c>
      <c r="D709" s="111">
        <v>2024.0</v>
      </c>
      <c r="E709" s="111"/>
      <c r="F709" s="111" t="s">
        <v>12393</v>
      </c>
      <c r="G709" s="111" t="s">
        <v>12381</v>
      </c>
      <c r="H709" s="111" t="s">
        <v>12230</v>
      </c>
      <c r="I709" s="111" t="s">
        <v>12394</v>
      </c>
      <c r="J709" s="111" t="s">
        <v>12295</v>
      </c>
      <c r="K709" s="111" t="s">
        <v>12415</v>
      </c>
      <c r="L709" s="111"/>
      <c r="M709" s="111"/>
      <c r="N709" s="111">
        <v>1.0</v>
      </c>
      <c r="O709" s="111"/>
      <c r="P709" s="111"/>
      <c r="Q709" s="111"/>
      <c r="R709" s="111"/>
      <c r="S709" s="111"/>
      <c r="T709" s="111"/>
      <c r="U709" s="111"/>
      <c r="V709" s="111"/>
      <c r="W709" s="111"/>
      <c r="X709" s="111"/>
      <c r="Y709" s="111"/>
      <c r="Z709" s="111" t="s">
        <v>12739</v>
      </c>
      <c r="AA709" s="124">
        <f>24-6</f>
        <v>18</v>
      </c>
      <c r="AB709" s="125">
        <f>IF(Projects!$AI709="Electrolysis",
AA709/VLOOKUP(G709,ElectrolysisConvF,3,FALSE),
AC709*10^6/(H2dens*HoursInYear))</f>
        <v>4000</v>
      </c>
      <c r="AC709" s="126">
        <f t="shared" si="137"/>
        <v>3.11856</v>
      </c>
      <c r="AD709" s="125"/>
      <c r="AE709" s="125">
        <f>AB709</f>
        <v>4000</v>
      </c>
      <c r="AF709" s="127" t="s">
        <v>13107</v>
      </c>
      <c r="AG709" s="127">
        <v>56.5653019471961</v>
      </c>
      <c r="AH709" s="127">
        <v>9.02965887010113</v>
      </c>
      <c r="AI709" s="115" t="s">
        <v>12383</v>
      </c>
      <c r="AJ709" s="116">
        <v>0.5</v>
      </c>
      <c r="AK709" s="117"/>
      <c r="AL709" s="117"/>
      <c r="AM709" s="117"/>
      <c r="AN709" s="117"/>
      <c r="AO709" s="117"/>
    </row>
    <row r="710" ht="34.5" customHeight="1">
      <c r="A710" s="111">
        <v>1129.0</v>
      </c>
      <c r="B710" s="111" t="s">
        <v>8704</v>
      </c>
      <c r="C710" s="111" t="s">
        <v>8371</v>
      </c>
      <c r="D710" s="111">
        <v>2024.0</v>
      </c>
      <c r="E710" s="111"/>
      <c r="F710" s="111" t="s">
        <v>12399</v>
      </c>
      <c r="G710" s="111" t="s">
        <v>12224</v>
      </c>
      <c r="H710" s="111"/>
      <c r="I710" s="111" t="s">
        <v>12394</v>
      </c>
      <c r="J710" s="111" t="s">
        <v>12291</v>
      </c>
      <c r="K710" s="111" t="s">
        <v>174</v>
      </c>
      <c r="L710" s="111"/>
      <c r="M710" s="111">
        <v>1.0</v>
      </c>
      <c r="N710" s="111"/>
      <c r="O710" s="111"/>
      <c r="P710" s="111"/>
      <c r="Q710" s="111"/>
      <c r="R710" s="111"/>
      <c r="S710" s="111"/>
      <c r="T710" s="111"/>
      <c r="U710" s="111"/>
      <c r="V710" s="111"/>
      <c r="W710" s="111"/>
      <c r="X710" s="111"/>
      <c r="Y710" s="111"/>
      <c r="Z710" s="111" t="s">
        <v>13383</v>
      </c>
      <c r="AA710" s="126">
        <f>IF(Projects!$AI710="Electrolysis",
AB710*VLOOKUP(G710,ElectrolysisConvF,3,FALSE),
"")</f>
        <v>123.9529212</v>
      </c>
      <c r="AB710" s="125">
        <f>AC710/(H2dens*HoursInYear/10^6)</f>
        <v>26946.28721</v>
      </c>
      <c r="AC710" s="126">
        <f>35*3/17/0.98/Projects!$AJ710</f>
        <v>21.00840336</v>
      </c>
      <c r="AD710" s="125"/>
      <c r="AE710" s="125">
        <f>IF(AND(G710&lt;&gt;"NG w CCUS",G710&lt;&gt;"Oil w CCUS",G710&lt;&gt;"Coal w CCUS"),AB710,AD710*10^3/(HoursInYear*IF(G710="NG w CCUS",0.9105,1.9075)))</f>
        <v>26946.28721</v>
      </c>
      <c r="AF710" s="127" t="s">
        <v>13384</v>
      </c>
      <c r="AG710" s="127">
        <v>24.4852421565258</v>
      </c>
      <c r="AH710" s="127">
        <v>54.3927280389778</v>
      </c>
      <c r="AI710" s="115" t="s">
        <v>12383</v>
      </c>
      <c r="AJ710" s="116">
        <v>0.3</v>
      </c>
      <c r="AK710" s="117"/>
      <c r="AL710" s="117"/>
      <c r="AM710" s="117"/>
      <c r="AN710" s="117"/>
      <c r="AO710" s="117"/>
    </row>
    <row r="711" ht="34.5" customHeight="1">
      <c r="A711" s="111">
        <v>1130.0</v>
      </c>
      <c r="B711" s="111" t="s">
        <v>8705</v>
      </c>
      <c r="C711" s="111" t="s">
        <v>7994</v>
      </c>
      <c r="D711" s="111">
        <v>2030.0</v>
      </c>
      <c r="E711" s="111"/>
      <c r="F711" s="111" t="s">
        <v>12399</v>
      </c>
      <c r="G711" s="111" t="s">
        <v>12381</v>
      </c>
      <c r="H711" s="111" t="s">
        <v>12230</v>
      </c>
      <c r="I711" s="111" t="s">
        <v>12394</v>
      </c>
      <c r="J711" s="111" t="s">
        <v>12295</v>
      </c>
      <c r="K711" s="111" t="s">
        <v>30</v>
      </c>
      <c r="L711" s="111">
        <v>1.0</v>
      </c>
      <c r="M711" s="111"/>
      <c r="N711" s="111"/>
      <c r="O711" s="111"/>
      <c r="P711" s="111"/>
      <c r="Q711" s="111">
        <v>1.0</v>
      </c>
      <c r="R711" s="111"/>
      <c r="S711" s="111"/>
      <c r="T711" s="111"/>
      <c r="U711" s="111"/>
      <c r="V711" s="111"/>
      <c r="W711" s="111"/>
      <c r="X711" s="111"/>
      <c r="Y711" s="111"/>
      <c r="Z711" s="111" t="s">
        <v>13385</v>
      </c>
      <c r="AA711" s="124">
        <v>700.0</v>
      </c>
      <c r="AB711" s="125">
        <f>IF(Projects!$AI711="Electrolysis",
AA711/VLOOKUP(G711,ElectrolysisConvF,3,FALSE),
AC711*10^6/(H2dens*HoursInYear))</f>
        <v>155555.5556</v>
      </c>
      <c r="AC711" s="126">
        <f>AB711*H2dens*HoursInYear/10^6</f>
        <v>121.2773333</v>
      </c>
      <c r="AD711" s="125"/>
      <c r="AE711" s="125">
        <f>AB711</f>
        <v>155555.5556</v>
      </c>
      <c r="AF711" s="127" t="s">
        <v>12590</v>
      </c>
      <c r="AG711" s="127">
        <v>55.591385038419</v>
      </c>
      <c r="AH711" s="127">
        <v>9.75264367456355</v>
      </c>
      <c r="AI711" s="115" t="s">
        <v>12383</v>
      </c>
      <c r="AJ711" s="116">
        <v>0.5</v>
      </c>
      <c r="AK711" s="117"/>
      <c r="AL711" s="117"/>
      <c r="AM711" s="117"/>
      <c r="AN711" s="117"/>
      <c r="AO711" s="117"/>
    </row>
    <row r="712" ht="34.5" customHeight="1">
      <c r="A712" s="111">
        <v>1134.0</v>
      </c>
      <c r="B712" s="111" t="s">
        <v>8706</v>
      </c>
      <c r="C712" s="111" t="s">
        <v>8147</v>
      </c>
      <c r="D712" s="111">
        <v>2025.0</v>
      </c>
      <c r="E712" s="111"/>
      <c r="F712" s="111" t="s">
        <v>12393</v>
      </c>
      <c r="G712" s="111" t="s">
        <v>12381</v>
      </c>
      <c r="H712" s="111" t="s">
        <v>12230</v>
      </c>
      <c r="I712" s="111" t="s">
        <v>12394</v>
      </c>
      <c r="J712" s="111" t="s">
        <v>12295</v>
      </c>
      <c r="K712" s="111" t="s">
        <v>12481</v>
      </c>
      <c r="L712" s="111"/>
      <c r="M712" s="111">
        <v>1.0</v>
      </c>
      <c r="N712" s="111"/>
      <c r="O712" s="111"/>
      <c r="P712" s="111"/>
      <c r="Q712" s="111">
        <v>1.0</v>
      </c>
      <c r="R712" s="111"/>
      <c r="S712" s="111"/>
      <c r="T712" s="111"/>
      <c r="U712" s="111"/>
      <c r="V712" s="111"/>
      <c r="W712" s="111"/>
      <c r="X712" s="111"/>
      <c r="Y712" s="111"/>
      <c r="Z712" s="111" t="s">
        <v>13386</v>
      </c>
      <c r="AA712" s="126">
        <f>IF(Projects!$AI712="Electrolysis",
AB712*VLOOKUP(G712,ElectrolysisConvF,3,FALSE),
"")</f>
        <v>4.213483146</v>
      </c>
      <c r="AB712" s="125">
        <f>AC712/(H2dens*HoursInYear/10^6)</f>
        <v>936.329588</v>
      </c>
      <c r="AC712" s="126">
        <f>2*365/1000</f>
        <v>0.73</v>
      </c>
      <c r="AD712" s="125"/>
      <c r="AE712" s="125">
        <f t="shared" ref="AE712:AE754" si="138">IF(AND(G712&lt;&gt;"NG w CCUS",G712&lt;&gt;"Oil w CCUS",G712&lt;&gt;"Coal w CCUS"),AB712,AD712*10^3/(HoursInYear*IF(G712="NG w CCUS",0.9105,1.9075)))</f>
        <v>936.329588</v>
      </c>
      <c r="AF712" s="127" t="s">
        <v>13387</v>
      </c>
      <c r="AG712" s="127">
        <v>-39.3220512117082</v>
      </c>
      <c r="AH712" s="127">
        <v>174.41011746982</v>
      </c>
      <c r="AI712" s="115" t="s">
        <v>12383</v>
      </c>
      <c r="AJ712" s="116">
        <v>0.5</v>
      </c>
      <c r="AK712" s="117"/>
      <c r="AL712" s="117"/>
      <c r="AM712" s="117"/>
      <c r="AN712" s="117"/>
      <c r="AO712" s="117"/>
    </row>
    <row r="713" ht="34.5" customHeight="1">
      <c r="A713" s="111">
        <v>1137.0</v>
      </c>
      <c r="B713" s="111" t="s">
        <v>8707</v>
      </c>
      <c r="C713" s="111" t="s">
        <v>8003</v>
      </c>
      <c r="D713" s="111">
        <v>2017.0</v>
      </c>
      <c r="E713" s="111"/>
      <c r="F713" s="111" t="s">
        <v>12385</v>
      </c>
      <c r="G713" s="111" t="s">
        <v>12237</v>
      </c>
      <c r="H713" s="111" t="s">
        <v>13160</v>
      </c>
      <c r="I713" s="111"/>
      <c r="J713" s="111"/>
      <c r="K713" s="111" t="s">
        <v>30</v>
      </c>
      <c r="L713" s="111">
        <v>1.0</v>
      </c>
      <c r="M713" s="111"/>
      <c r="N713" s="111"/>
      <c r="O713" s="111"/>
      <c r="P713" s="111"/>
      <c r="Q713" s="111"/>
      <c r="R713" s="111"/>
      <c r="S713" s="111"/>
      <c r="T713" s="111"/>
      <c r="U713" s="111"/>
      <c r="V713" s="111"/>
      <c r="W713" s="111"/>
      <c r="X713" s="111"/>
      <c r="Y713" s="111"/>
      <c r="Z713" s="111" t="s">
        <v>13388</v>
      </c>
      <c r="AA713" s="124"/>
      <c r="AB713" s="125"/>
      <c r="AC713" s="126"/>
      <c r="AD713" s="125">
        <v>438000.0</v>
      </c>
      <c r="AE713" s="125">
        <f t="shared" si="138"/>
        <v>26212.31979</v>
      </c>
      <c r="AF713" s="127" t="s">
        <v>13389</v>
      </c>
      <c r="AG713" s="127">
        <v>0.0</v>
      </c>
      <c r="AH713" s="127">
        <v>0.0</v>
      </c>
      <c r="AI713" s="115" t="s">
        <v>12378</v>
      </c>
      <c r="AJ713" s="116">
        <v>0.9</v>
      </c>
      <c r="AK713" s="117"/>
      <c r="AL713" s="117"/>
      <c r="AM713" s="117"/>
      <c r="AN713" s="117"/>
      <c r="AO713" s="117"/>
    </row>
    <row r="714" ht="34.5" customHeight="1">
      <c r="A714" s="111">
        <v>1139.0</v>
      </c>
      <c r="B714" s="111" t="s">
        <v>8708</v>
      </c>
      <c r="C714" s="111" t="s">
        <v>8539</v>
      </c>
      <c r="D714" s="111">
        <v>2025.0</v>
      </c>
      <c r="E714" s="111"/>
      <c r="F714" s="111" t="s">
        <v>12399</v>
      </c>
      <c r="G714" s="111" t="s">
        <v>12235</v>
      </c>
      <c r="H714" s="111" t="s">
        <v>13373</v>
      </c>
      <c r="I714" s="111"/>
      <c r="J714" s="111"/>
      <c r="K714" s="111" t="s">
        <v>30</v>
      </c>
      <c r="L714" s="111"/>
      <c r="M714" s="111"/>
      <c r="N714" s="111"/>
      <c r="O714" s="111"/>
      <c r="P714" s="111"/>
      <c r="Q714" s="111"/>
      <c r="R714" s="111">
        <v>1.0</v>
      </c>
      <c r="S714" s="111"/>
      <c r="T714" s="111"/>
      <c r="U714" s="111"/>
      <c r="V714" s="111"/>
      <c r="W714" s="111"/>
      <c r="X714" s="111"/>
      <c r="Y714" s="111"/>
      <c r="Z714" s="111" t="s">
        <v>13390</v>
      </c>
      <c r="AA714" s="124"/>
      <c r="AB714" s="125">
        <f t="shared" ref="AB714:AB715" si="139">AC714/(H2dens*HoursInYear/10^6)</f>
        <v>128264.3271</v>
      </c>
      <c r="AC714" s="126">
        <v>100.0</v>
      </c>
      <c r="AD714" s="125"/>
      <c r="AE714" s="125">
        <f t="shared" si="138"/>
        <v>0</v>
      </c>
      <c r="AF714" s="127" t="s">
        <v>13391</v>
      </c>
      <c r="AG714" s="127">
        <v>0.0</v>
      </c>
      <c r="AH714" s="127">
        <v>0.0</v>
      </c>
      <c r="AI714" s="115" t="s">
        <v>12378</v>
      </c>
      <c r="AJ714" s="116">
        <v>0.9</v>
      </c>
      <c r="AK714" s="117"/>
      <c r="AL714" s="117"/>
      <c r="AM714" s="117"/>
      <c r="AN714" s="117"/>
      <c r="AO714" s="117"/>
    </row>
    <row r="715" ht="34.5" customHeight="1">
      <c r="A715" s="111">
        <v>1140.0</v>
      </c>
      <c r="B715" s="111" t="s">
        <v>8709</v>
      </c>
      <c r="C715" s="111" t="s">
        <v>7977</v>
      </c>
      <c r="D715" s="111">
        <v>2027.0</v>
      </c>
      <c r="E715" s="111"/>
      <c r="F715" s="111" t="s">
        <v>12393</v>
      </c>
      <c r="G715" s="111" t="s">
        <v>12381</v>
      </c>
      <c r="H715" s="111" t="s">
        <v>12230</v>
      </c>
      <c r="I715" s="111" t="s">
        <v>12394</v>
      </c>
      <c r="J715" s="111" t="s">
        <v>12295</v>
      </c>
      <c r="K715" s="111" t="s">
        <v>12415</v>
      </c>
      <c r="L715" s="111"/>
      <c r="M715" s="111"/>
      <c r="N715" s="111"/>
      <c r="O715" s="111"/>
      <c r="P715" s="111"/>
      <c r="Q715" s="111"/>
      <c r="R715" s="111"/>
      <c r="S715" s="111"/>
      <c r="T715" s="111"/>
      <c r="U715" s="111"/>
      <c r="V715" s="111"/>
      <c r="W715" s="111">
        <v>1.0</v>
      </c>
      <c r="X715" s="111"/>
      <c r="Y715" s="111"/>
      <c r="Z715" s="111" t="s">
        <v>13392</v>
      </c>
      <c r="AA715" s="129">
        <f>IF(Projects!$AI715="Electrolysis",
AB715*VLOOKUP(G715,ElectrolysisConvF,3,FALSE),
"")</f>
        <v>88.34532736</v>
      </c>
      <c r="AB715" s="125">
        <f t="shared" si="139"/>
        <v>19632.29497</v>
      </c>
      <c r="AC715" s="126">
        <f>40*6/32/0.98/Projects!$AJ715</f>
        <v>15.30612245</v>
      </c>
      <c r="AD715" s="125"/>
      <c r="AE715" s="125">
        <f t="shared" si="138"/>
        <v>19632.29497</v>
      </c>
      <c r="AF715" s="127" t="s">
        <v>13393</v>
      </c>
      <c r="AG715" s="127">
        <v>43.4690706544209</v>
      </c>
      <c r="AH715" s="127">
        <v>-8.214771432559</v>
      </c>
      <c r="AI715" s="115" t="s">
        <v>12383</v>
      </c>
      <c r="AJ715" s="116">
        <v>0.5</v>
      </c>
      <c r="AK715" s="117"/>
      <c r="AL715" s="117"/>
      <c r="AM715" s="117"/>
      <c r="AN715" s="117"/>
      <c r="AO715" s="117"/>
    </row>
    <row r="716" ht="34.5" customHeight="1">
      <c r="A716" s="111">
        <v>1141.0</v>
      </c>
      <c r="B716" s="111" t="s">
        <v>8710</v>
      </c>
      <c r="C716" s="111" t="s">
        <v>7981</v>
      </c>
      <c r="D716" s="111">
        <v>2023.0</v>
      </c>
      <c r="E716" s="111"/>
      <c r="F716" s="111" t="s">
        <v>12385</v>
      </c>
      <c r="G716" s="111" t="s">
        <v>12226</v>
      </c>
      <c r="H716" s="111"/>
      <c r="I716" s="111" t="s">
        <v>12394</v>
      </c>
      <c r="J716" s="111" t="s">
        <v>12291</v>
      </c>
      <c r="K716" s="111" t="s">
        <v>30</v>
      </c>
      <c r="L716" s="111"/>
      <c r="M716" s="111"/>
      <c r="N716" s="111"/>
      <c r="O716" s="111"/>
      <c r="P716" s="111"/>
      <c r="Q716" s="111">
        <v>1.0</v>
      </c>
      <c r="R716" s="111"/>
      <c r="S716" s="111"/>
      <c r="T716" s="111"/>
      <c r="U716" s="111"/>
      <c r="V716" s="111"/>
      <c r="W716" s="111"/>
      <c r="X716" s="111"/>
      <c r="Y716" s="111"/>
      <c r="Z716" s="111" t="s">
        <v>13394</v>
      </c>
      <c r="AA716" s="124">
        <v>7.5</v>
      </c>
      <c r="AB716" s="125">
        <f>IF(Projects!$AI716="Electrolysis",
AA716/VLOOKUP(G716,ElectrolysisConvF,3,FALSE),
AC716*10^6/(H2dens*HoursInYear))</f>
        <v>1442.307692</v>
      </c>
      <c r="AC716" s="126">
        <f>AB716*H2dens*HoursInYear/10^6</f>
        <v>1.124480769</v>
      </c>
      <c r="AD716" s="125"/>
      <c r="AE716" s="125">
        <f t="shared" si="138"/>
        <v>1442.307692</v>
      </c>
      <c r="AF716" s="127" t="s">
        <v>13395</v>
      </c>
      <c r="AG716" s="127">
        <v>36.7316203241105</v>
      </c>
      <c r="AH716" s="127">
        <v>-119.774025536526</v>
      </c>
      <c r="AI716" s="115" t="s">
        <v>12383</v>
      </c>
      <c r="AJ716" s="116">
        <v>0.3</v>
      </c>
      <c r="AK716" s="117"/>
      <c r="AL716" s="117"/>
      <c r="AM716" s="117"/>
      <c r="AN716" s="117"/>
      <c r="AO716" s="117"/>
    </row>
    <row r="717" ht="34.5" customHeight="1">
      <c r="A717" s="111">
        <v>1142.0</v>
      </c>
      <c r="B717" s="111" t="s">
        <v>8711</v>
      </c>
      <c r="C717" s="111" t="s">
        <v>8371</v>
      </c>
      <c r="D717" s="111"/>
      <c r="E717" s="111"/>
      <c r="F717" s="111" t="s">
        <v>12397</v>
      </c>
      <c r="G717" s="111" t="s">
        <v>12239</v>
      </c>
      <c r="H717" s="111" t="s">
        <v>13334</v>
      </c>
      <c r="I717" s="111"/>
      <c r="J717" s="111"/>
      <c r="K717" s="111" t="s">
        <v>30</v>
      </c>
      <c r="L717" s="111"/>
      <c r="M717" s="111"/>
      <c r="N717" s="111"/>
      <c r="O717" s="111"/>
      <c r="P717" s="111"/>
      <c r="Q717" s="111">
        <v>1.0</v>
      </c>
      <c r="R717" s="111"/>
      <c r="S717" s="111"/>
      <c r="T717" s="111"/>
      <c r="U717" s="111"/>
      <c r="V717" s="111"/>
      <c r="W717" s="111"/>
      <c r="X717" s="111"/>
      <c r="Y717" s="111"/>
      <c r="Z717" s="111"/>
      <c r="AA717" s="124"/>
      <c r="AB717" s="125"/>
      <c r="AC717" s="126"/>
      <c r="AD717" s="125"/>
      <c r="AE717" s="125" t="str">
        <f t="shared" si="138"/>
        <v/>
      </c>
      <c r="AF717" s="127" t="s">
        <v>13396</v>
      </c>
      <c r="AG717" s="127">
        <v>24.4852421565258</v>
      </c>
      <c r="AH717" s="127">
        <v>54.3927280389778</v>
      </c>
      <c r="AI717" s="115" t="s">
        <v>12241</v>
      </c>
      <c r="AJ717" s="116">
        <v>0.9</v>
      </c>
      <c r="AK717" s="117"/>
      <c r="AL717" s="117"/>
      <c r="AM717" s="117"/>
      <c r="AN717" s="117"/>
      <c r="AO717" s="117"/>
    </row>
    <row r="718" ht="34.5" customHeight="1">
      <c r="A718" s="111">
        <v>1143.0</v>
      </c>
      <c r="B718" s="111" t="s">
        <v>8712</v>
      </c>
      <c r="C718" s="111" t="s">
        <v>8713</v>
      </c>
      <c r="D718" s="111">
        <v>1965.0</v>
      </c>
      <c r="E718" s="111"/>
      <c r="F718" s="111" t="s">
        <v>12385</v>
      </c>
      <c r="G718" s="111" t="s">
        <v>12224</v>
      </c>
      <c r="H718" s="111"/>
      <c r="I718" s="111" t="s">
        <v>12394</v>
      </c>
      <c r="J718" s="111" t="s">
        <v>12294</v>
      </c>
      <c r="K718" s="111" t="s">
        <v>174</v>
      </c>
      <c r="L718" s="111"/>
      <c r="M718" s="111">
        <v>1.0</v>
      </c>
      <c r="N718" s="111"/>
      <c r="O718" s="111"/>
      <c r="P718" s="111"/>
      <c r="Q718" s="111"/>
      <c r="R718" s="111"/>
      <c r="S718" s="111"/>
      <c r="T718" s="111"/>
      <c r="U718" s="111"/>
      <c r="V718" s="111"/>
      <c r="W718" s="111"/>
      <c r="X718" s="111"/>
      <c r="Y718" s="111"/>
      <c r="Z718" s="111" t="s">
        <v>13397</v>
      </c>
      <c r="AA718" s="124">
        <v>25.0</v>
      </c>
      <c r="AB718" s="125">
        <f>IF(Projects!$AI718="Electrolysis",
AA718/VLOOKUP(G718,ElectrolysisConvF,3,FALSE),
AC718*10^6/(H2dens*HoursInYear))</f>
        <v>5434.782609</v>
      </c>
      <c r="AC718" s="126">
        <f>AB718*H2dens*HoursInYear/10^6</f>
        <v>4.237173913</v>
      </c>
      <c r="AD718" s="125"/>
      <c r="AE718" s="125">
        <f t="shared" si="138"/>
        <v>5434.782609</v>
      </c>
      <c r="AF718" s="127" t="s">
        <v>13398</v>
      </c>
      <c r="AG718" s="127">
        <v>-13.3764926450458</v>
      </c>
      <c r="AH718" s="127">
        <v>-72.0790796811622</v>
      </c>
      <c r="AI718" s="115" t="s">
        <v>12383</v>
      </c>
      <c r="AJ718" s="116">
        <v>0.8</v>
      </c>
      <c r="AK718" s="117"/>
      <c r="AL718" s="117"/>
      <c r="AM718" s="117"/>
      <c r="AN718" s="117"/>
      <c r="AO718" s="117"/>
    </row>
    <row r="719" ht="34.5" customHeight="1">
      <c r="A719" s="111">
        <v>1144.0</v>
      </c>
      <c r="B719" s="111" t="s">
        <v>8714</v>
      </c>
      <c r="C719" s="111" t="s">
        <v>8600</v>
      </c>
      <c r="D719" s="111"/>
      <c r="E719" s="111"/>
      <c r="F719" s="111" t="s">
        <v>12397</v>
      </c>
      <c r="G719" s="111" t="s">
        <v>12235</v>
      </c>
      <c r="H719" s="111" t="s">
        <v>13160</v>
      </c>
      <c r="I719" s="111"/>
      <c r="J719" s="111"/>
      <c r="K719" s="111" t="s">
        <v>30</v>
      </c>
      <c r="L719" s="111">
        <v>1.0</v>
      </c>
      <c r="M719" s="111"/>
      <c r="N719" s="111"/>
      <c r="O719" s="111"/>
      <c r="P719" s="111"/>
      <c r="Q719" s="111"/>
      <c r="R719" s="111"/>
      <c r="S719" s="111"/>
      <c r="T719" s="111"/>
      <c r="U719" s="111"/>
      <c r="V719" s="111"/>
      <c r="W719" s="111"/>
      <c r="X719" s="111"/>
      <c r="Y719" s="111"/>
      <c r="Z719" s="111"/>
      <c r="AA719" s="124"/>
      <c r="AB719" s="125"/>
      <c r="AC719" s="126"/>
      <c r="AD719" s="125"/>
      <c r="AE719" s="125">
        <f t="shared" si="138"/>
        <v>0</v>
      </c>
      <c r="AF719" s="127"/>
      <c r="AG719" s="127">
        <v>18.4189682709287</v>
      </c>
      <c r="AH719" s="127">
        <v>-93.2038347251087</v>
      </c>
      <c r="AI719" s="115" t="s">
        <v>12378</v>
      </c>
      <c r="AJ719" s="116">
        <v>0.9</v>
      </c>
      <c r="AK719" s="117"/>
      <c r="AL719" s="117"/>
      <c r="AM719" s="117"/>
      <c r="AN719" s="117"/>
      <c r="AO719" s="117"/>
    </row>
    <row r="720" ht="34.5" customHeight="1">
      <c r="A720" s="111">
        <v>1145.0</v>
      </c>
      <c r="B720" s="111" t="s">
        <v>8715</v>
      </c>
      <c r="C720" s="111" t="s">
        <v>8011</v>
      </c>
      <c r="D720" s="111">
        <v>2021.0</v>
      </c>
      <c r="E720" s="111"/>
      <c r="F720" s="111" t="s">
        <v>12385</v>
      </c>
      <c r="G720" s="111" t="s">
        <v>12381</v>
      </c>
      <c r="H720" s="111" t="s">
        <v>12230</v>
      </c>
      <c r="I720" s="111" t="s">
        <v>12394</v>
      </c>
      <c r="J720" s="111" t="s">
        <v>12291</v>
      </c>
      <c r="K720" s="111" t="s">
        <v>30</v>
      </c>
      <c r="L720" s="111"/>
      <c r="M720" s="111"/>
      <c r="N720" s="111"/>
      <c r="O720" s="111"/>
      <c r="P720" s="111"/>
      <c r="Q720" s="111">
        <v>1.0</v>
      </c>
      <c r="R720" s="111"/>
      <c r="S720" s="111"/>
      <c r="T720" s="111"/>
      <c r="U720" s="111"/>
      <c r="V720" s="111"/>
      <c r="W720" s="111"/>
      <c r="X720" s="111"/>
      <c r="Y720" s="111"/>
      <c r="Z720" s="111" t="s">
        <v>13399</v>
      </c>
      <c r="AA720" s="124">
        <v>0.43</v>
      </c>
      <c r="AB720" s="125">
        <f>IF(Projects!$AI720="Electrolysis",
AA720/VLOOKUP(G720,ElectrolysisConvF,3,FALSE),
AC720*10^6/(H2dens*HoursInYear))</f>
        <v>95.55555556</v>
      </c>
      <c r="AC720" s="126">
        <f t="shared" ref="AC720:AC734" si="140">AB720*H2dens*HoursInYear/10^6</f>
        <v>0.07449893333</v>
      </c>
      <c r="AD720" s="125"/>
      <c r="AE720" s="125">
        <f t="shared" si="138"/>
        <v>95.55555556</v>
      </c>
      <c r="AF720" s="127" t="s">
        <v>13400</v>
      </c>
      <c r="AG720" s="127">
        <v>43.6076906388699</v>
      </c>
      <c r="AH720" s="127">
        <v>2.24104035004738</v>
      </c>
      <c r="AI720" s="115" t="s">
        <v>12383</v>
      </c>
      <c r="AJ720" s="116">
        <v>0.3</v>
      </c>
      <c r="AK720" s="117"/>
      <c r="AL720" s="117"/>
      <c r="AM720" s="117"/>
      <c r="AN720" s="117"/>
      <c r="AO720" s="117"/>
    </row>
    <row r="721" ht="34.5" customHeight="1">
      <c r="A721" s="111">
        <v>1146.0</v>
      </c>
      <c r="B721" s="111" t="s">
        <v>8716</v>
      </c>
      <c r="C721" s="111" t="s">
        <v>7987</v>
      </c>
      <c r="D721" s="111"/>
      <c r="E721" s="111"/>
      <c r="F721" s="111" t="s">
        <v>12397</v>
      </c>
      <c r="G721" s="111" t="s">
        <v>12381</v>
      </c>
      <c r="H721" s="111" t="s">
        <v>12230</v>
      </c>
      <c r="I721" s="111" t="s">
        <v>12406</v>
      </c>
      <c r="J721" s="111"/>
      <c r="K721" s="111" t="s">
        <v>30</v>
      </c>
      <c r="L721" s="111"/>
      <c r="M721" s="111"/>
      <c r="N721" s="111"/>
      <c r="O721" s="111"/>
      <c r="P721" s="111"/>
      <c r="Q721" s="111"/>
      <c r="R721" s="111"/>
      <c r="S721" s="111"/>
      <c r="T721" s="111"/>
      <c r="U721" s="111"/>
      <c r="V721" s="111"/>
      <c r="W721" s="111"/>
      <c r="X721" s="111"/>
      <c r="Y721" s="111"/>
      <c r="Z721" s="111" t="s">
        <v>12777</v>
      </c>
      <c r="AA721" s="124">
        <v>900.0</v>
      </c>
      <c r="AB721" s="125">
        <f>IF(Projects!$AI721="Electrolysis",
AA721/VLOOKUP(G721,ElectrolysisConvF,3,FALSE),
AC721*10^6/(H2dens*HoursInYear))</f>
        <v>200000</v>
      </c>
      <c r="AC721" s="126">
        <f t="shared" si="140"/>
        <v>155.928</v>
      </c>
      <c r="AD721" s="125"/>
      <c r="AE721" s="125">
        <f t="shared" si="138"/>
        <v>200000</v>
      </c>
      <c r="AF721" s="127" t="s">
        <v>13401</v>
      </c>
      <c r="AG721" s="127">
        <v>54.1450728679173</v>
      </c>
      <c r="AH721" s="127">
        <v>12.1093972362866</v>
      </c>
      <c r="AI721" s="115" t="s">
        <v>12383</v>
      </c>
      <c r="AJ721" s="116">
        <v>0.57</v>
      </c>
      <c r="AK721" s="117"/>
      <c r="AL721" s="117"/>
      <c r="AM721" s="117"/>
      <c r="AN721" s="117"/>
      <c r="AO721" s="117"/>
    </row>
    <row r="722" ht="34.5" customHeight="1">
      <c r="A722" s="111">
        <v>1147.0</v>
      </c>
      <c r="B722" s="111" t="s">
        <v>8717</v>
      </c>
      <c r="C722" s="111" t="s">
        <v>7987</v>
      </c>
      <c r="D722" s="111">
        <v>2025.0</v>
      </c>
      <c r="E722" s="111"/>
      <c r="F722" s="111" t="s">
        <v>12393</v>
      </c>
      <c r="G722" s="111" t="s">
        <v>12226</v>
      </c>
      <c r="H722" s="111"/>
      <c r="I722" s="111" t="s">
        <v>12394</v>
      </c>
      <c r="J722" s="111" t="s">
        <v>12296</v>
      </c>
      <c r="K722" s="111" t="s">
        <v>30</v>
      </c>
      <c r="L722" s="111"/>
      <c r="M722" s="111"/>
      <c r="N722" s="111"/>
      <c r="O722" s="111"/>
      <c r="P722" s="111">
        <v>1.0</v>
      </c>
      <c r="Q722" s="111">
        <v>1.0</v>
      </c>
      <c r="R722" s="111"/>
      <c r="S722" s="111"/>
      <c r="T722" s="111"/>
      <c r="U722" s="111"/>
      <c r="V722" s="111"/>
      <c r="W722" s="111"/>
      <c r="X722" s="111"/>
      <c r="Y722" s="111"/>
      <c r="Z722" s="111" t="s">
        <v>13402</v>
      </c>
      <c r="AA722" s="124">
        <v>54.0</v>
      </c>
      <c r="AB722" s="125">
        <f>IF(Projects!$AI722="Electrolysis",
AA722/VLOOKUP(G722,ElectrolysisConvF,3,FALSE),
AC722*10^6/(H2dens*HoursInYear))</f>
        <v>10384.61538</v>
      </c>
      <c r="AC722" s="126">
        <f t="shared" si="140"/>
        <v>8.096261538</v>
      </c>
      <c r="AD722" s="125"/>
      <c r="AE722" s="125">
        <f t="shared" si="138"/>
        <v>10384.61538</v>
      </c>
      <c r="AF722" s="127" t="s">
        <v>13403</v>
      </c>
      <c r="AG722" s="127">
        <v>47.8169292133467</v>
      </c>
      <c r="AH722" s="127">
        <v>9.05731361911702</v>
      </c>
      <c r="AI722" s="115" t="s">
        <v>12383</v>
      </c>
      <c r="AJ722" s="116">
        <v>0.5</v>
      </c>
      <c r="AK722" s="117"/>
      <c r="AL722" s="117"/>
      <c r="AM722" s="117"/>
      <c r="AN722" s="117"/>
      <c r="AO722" s="117"/>
    </row>
    <row r="723" ht="34.5" customHeight="1">
      <c r="A723" s="111">
        <v>1148.0</v>
      </c>
      <c r="B723" s="111" t="s">
        <v>8718</v>
      </c>
      <c r="C723" s="111" t="s">
        <v>7981</v>
      </c>
      <c r="D723" s="111">
        <v>2021.0</v>
      </c>
      <c r="E723" s="111"/>
      <c r="F723" s="111" t="s">
        <v>12418</v>
      </c>
      <c r="G723" s="111" t="s">
        <v>12226</v>
      </c>
      <c r="H723" s="111"/>
      <c r="I723" s="111" t="s">
        <v>12288</v>
      </c>
      <c r="J723" s="111"/>
      <c r="K723" s="111" t="s">
        <v>30</v>
      </c>
      <c r="L723" s="111"/>
      <c r="M723" s="111"/>
      <c r="N723" s="111"/>
      <c r="O723" s="111"/>
      <c r="P723" s="111"/>
      <c r="Q723" s="111"/>
      <c r="R723" s="111"/>
      <c r="S723" s="111"/>
      <c r="T723" s="111"/>
      <c r="U723" s="111"/>
      <c r="V723" s="111"/>
      <c r="W723" s="111"/>
      <c r="X723" s="111"/>
      <c r="Y723" s="111"/>
      <c r="Z723" s="111" t="s">
        <v>12720</v>
      </c>
      <c r="AA723" s="124">
        <v>2.0</v>
      </c>
      <c r="AB723" s="125">
        <f>IF(Projects!$AI723="Electrolysis",
AA723/VLOOKUP(G723,ElectrolysisConvF,3,FALSE),
AC723*10^6/(H2dens*HoursInYear))</f>
        <v>384.6153846</v>
      </c>
      <c r="AC723" s="126">
        <f t="shared" si="140"/>
        <v>0.2998615385</v>
      </c>
      <c r="AD723" s="125"/>
      <c r="AE723" s="125">
        <f t="shared" si="138"/>
        <v>384.6153846</v>
      </c>
      <c r="AF723" s="127"/>
      <c r="AG723" s="127">
        <v>41.595232</v>
      </c>
      <c r="AH723" s="127">
        <v>-83.089336</v>
      </c>
      <c r="AI723" s="115" t="s">
        <v>12383</v>
      </c>
      <c r="AJ723" s="116">
        <v>0.8</v>
      </c>
      <c r="AK723" s="117"/>
      <c r="AL723" s="117"/>
      <c r="AM723" s="117"/>
      <c r="AN723" s="117"/>
      <c r="AO723" s="117"/>
    </row>
    <row r="724" ht="34.5" customHeight="1">
      <c r="A724" s="111">
        <v>1149.0</v>
      </c>
      <c r="B724" s="111" t="s">
        <v>8719</v>
      </c>
      <c r="C724" s="111" t="s">
        <v>7981</v>
      </c>
      <c r="D724" s="111">
        <v>2021.0</v>
      </c>
      <c r="E724" s="111"/>
      <c r="F724" s="111" t="s">
        <v>12418</v>
      </c>
      <c r="G724" s="111" t="s">
        <v>12228</v>
      </c>
      <c r="H724" s="111"/>
      <c r="I724" s="111" t="s">
        <v>12288</v>
      </c>
      <c r="J724" s="111"/>
      <c r="K724" s="111" t="s">
        <v>30</v>
      </c>
      <c r="L724" s="111"/>
      <c r="M724" s="111"/>
      <c r="N724" s="111"/>
      <c r="O724" s="111"/>
      <c r="P724" s="111"/>
      <c r="Q724" s="111"/>
      <c r="R724" s="111"/>
      <c r="S724" s="111"/>
      <c r="T724" s="111"/>
      <c r="U724" s="111"/>
      <c r="V724" s="111"/>
      <c r="W724" s="111"/>
      <c r="X724" s="111"/>
      <c r="Y724" s="111"/>
      <c r="Z724" s="111" t="s">
        <v>13404</v>
      </c>
      <c r="AA724" s="124">
        <v>0.2</v>
      </c>
      <c r="AB724" s="125">
        <f>IF(Projects!$AI724="Electrolysis",
AA724/VLOOKUP(G724,ElectrolysisConvF,3,FALSE),
AC724*10^6/(H2dens*HoursInYear))</f>
        <v>52.63157895</v>
      </c>
      <c r="AC724" s="126">
        <f t="shared" si="140"/>
        <v>0.04103368421</v>
      </c>
      <c r="AD724" s="125"/>
      <c r="AE724" s="125">
        <f t="shared" si="138"/>
        <v>52.63157895</v>
      </c>
      <c r="AF724" s="127"/>
      <c r="AG724" s="127">
        <v>44.6224274886619</v>
      </c>
      <c r="AH724" s="127">
        <v>-92.6402090188193</v>
      </c>
      <c r="AI724" s="115" t="s">
        <v>12383</v>
      </c>
      <c r="AJ724" s="116">
        <v>0.8</v>
      </c>
      <c r="AK724" s="117"/>
      <c r="AL724" s="117"/>
      <c r="AM724" s="117"/>
      <c r="AN724" s="117"/>
      <c r="AO724" s="117"/>
    </row>
    <row r="725" ht="34.5" customHeight="1">
      <c r="A725" s="111">
        <v>1151.0</v>
      </c>
      <c r="B725" s="111" t="s">
        <v>8720</v>
      </c>
      <c r="C725" s="111" t="s">
        <v>8003</v>
      </c>
      <c r="D725" s="111">
        <v>2025.0</v>
      </c>
      <c r="E725" s="111"/>
      <c r="F725" s="111" t="s">
        <v>12399</v>
      </c>
      <c r="G725" s="111" t="s">
        <v>12381</v>
      </c>
      <c r="H725" s="111" t="s">
        <v>12230</v>
      </c>
      <c r="I725" s="111" t="s">
        <v>12288</v>
      </c>
      <c r="J725" s="111"/>
      <c r="K725" s="111" t="s">
        <v>30</v>
      </c>
      <c r="L725" s="111"/>
      <c r="M725" s="111"/>
      <c r="N725" s="111"/>
      <c r="O725" s="111"/>
      <c r="P725" s="111"/>
      <c r="Q725" s="111"/>
      <c r="R725" s="111"/>
      <c r="S725" s="111"/>
      <c r="T725" s="111"/>
      <c r="U725" s="111"/>
      <c r="V725" s="111"/>
      <c r="W725" s="111"/>
      <c r="X725" s="111"/>
      <c r="Y725" s="111"/>
      <c r="Z725" s="111" t="s">
        <v>13405</v>
      </c>
      <c r="AA725" s="124">
        <v>3.0</v>
      </c>
      <c r="AB725" s="125">
        <f>IF(Projects!$AI725="Electrolysis",
AA725/VLOOKUP(G725,ElectrolysisConvF,3,FALSE),
AC725*10^6/(H2dens*HoursInYear))</f>
        <v>666.6666667</v>
      </c>
      <c r="AC725" s="126">
        <f t="shared" si="140"/>
        <v>0.51976</v>
      </c>
      <c r="AD725" s="125"/>
      <c r="AE725" s="125">
        <f t="shared" si="138"/>
        <v>666.6666667</v>
      </c>
      <c r="AF725" s="127"/>
      <c r="AG725" s="127">
        <v>44.3185638607487</v>
      </c>
      <c r="AH725" s="127">
        <v>-81.5739759826111</v>
      </c>
      <c r="AI725" s="115" t="s">
        <v>12383</v>
      </c>
      <c r="AJ725" s="116">
        <v>0.8</v>
      </c>
      <c r="AK725" s="117"/>
      <c r="AL725" s="117"/>
      <c r="AM725" s="117"/>
      <c r="AN725" s="117"/>
      <c r="AO725" s="117"/>
    </row>
    <row r="726" ht="34.5" customHeight="1">
      <c r="A726" s="111">
        <v>1152.0</v>
      </c>
      <c r="B726" s="111" t="s">
        <v>8721</v>
      </c>
      <c r="C726" s="111" t="s">
        <v>7991</v>
      </c>
      <c r="D726" s="111"/>
      <c r="E726" s="111"/>
      <c r="F726" s="111" t="s">
        <v>12418</v>
      </c>
      <c r="G726" s="111" t="s">
        <v>12228</v>
      </c>
      <c r="H726" s="111"/>
      <c r="I726" s="111" t="s">
        <v>12288</v>
      </c>
      <c r="J726" s="111"/>
      <c r="K726" s="111" t="s">
        <v>30</v>
      </c>
      <c r="L726" s="111"/>
      <c r="M726" s="111"/>
      <c r="N726" s="111"/>
      <c r="O726" s="111"/>
      <c r="P726" s="111"/>
      <c r="Q726" s="111"/>
      <c r="R726" s="111"/>
      <c r="S726" s="111"/>
      <c r="T726" s="111"/>
      <c r="U726" s="111"/>
      <c r="V726" s="111"/>
      <c r="W726" s="111"/>
      <c r="X726" s="111"/>
      <c r="Y726" s="111"/>
      <c r="Z726" s="111" t="s">
        <v>12908</v>
      </c>
      <c r="AA726" s="124">
        <v>1.0</v>
      </c>
      <c r="AB726" s="125">
        <f>IF(Projects!$AI726="Electrolysis",
AA726/VLOOKUP(G726,ElectrolysisConvF,3,FALSE),
AC726*10^6/(H2dens*HoursInYear))</f>
        <v>263.1578947</v>
      </c>
      <c r="AC726" s="126">
        <f t="shared" si="140"/>
        <v>0.2051684211</v>
      </c>
      <c r="AD726" s="125"/>
      <c r="AE726" s="125">
        <f t="shared" si="138"/>
        <v>263.1578947</v>
      </c>
      <c r="AF726" s="127"/>
      <c r="AG726" s="127">
        <v>54.029655132164</v>
      </c>
      <c r="AH726" s="127">
        <v>-2.91439577058126</v>
      </c>
      <c r="AI726" s="115" t="s">
        <v>12383</v>
      </c>
      <c r="AJ726" s="116">
        <v>0.8</v>
      </c>
      <c r="AK726" s="117"/>
      <c r="AL726" s="117"/>
      <c r="AM726" s="117"/>
      <c r="AN726" s="117"/>
      <c r="AO726" s="117"/>
    </row>
    <row r="727" ht="34.5" customHeight="1">
      <c r="A727" s="111">
        <v>1155.0</v>
      </c>
      <c r="B727" s="111" t="s">
        <v>8722</v>
      </c>
      <c r="C727" s="111" t="s">
        <v>8723</v>
      </c>
      <c r="D727" s="111">
        <v>2022.0</v>
      </c>
      <c r="E727" s="111"/>
      <c r="F727" s="111" t="s">
        <v>12385</v>
      </c>
      <c r="G727" s="111" t="s">
        <v>12226</v>
      </c>
      <c r="H727" s="111"/>
      <c r="I727" s="111" t="s">
        <v>12288</v>
      </c>
      <c r="J727" s="111"/>
      <c r="K727" s="111" t="s">
        <v>30</v>
      </c>
      <c r="L727" s="111"/>
      <c r="M727" s="111"/>
      <c r="N727" s="111"/>
      <c r="O727" s="111"/>
      <c r="P727" s="111"/>
      <c r="Q727" s="111"/>
      <c r="R727" s="111"/>
      <c r="S727" s="111"/>
      <c r="T727" s="111"/>
      <c r="U727" s="111"/>
      <c r="V727" s="111"/>
      <c r="W727" s="111"/>
      <c r="X727" s="111"/>
      <c r="Y727" s="111"/>
      <c r="Z727" s="111" t="s">
        <v>12908</v>
      </c>
      <c r="AA727" s="124">
        <v>1.0</v>
      </c>
      <c r="AB727" s="125">
        <f>IF(Projects!$AI727="Electrolysis",
AA727/VLOOKUP(G727,ElectrolysisConvF,3,FALSE),
AC727*10^6/(H2dens*HoursInYear))</f>
        <v>192.3076923</v>
      </c>
      <c r="AC727" s="126">
        <f t="shared" si="140"/>
        <v>0.1499307692</v>
      </c>
      <c r="AD727" s="125"/>
      <c r="AE727" s="125">
        <f t="shared" si="138"/>
        <v>192.3076923</v>
      </c>
      <c r="AF727" s="127" t="s">
        <v>13406</v>
      </c>
      <c r="AG727" s="127">
        <v>67.4650088909096</v>
      </c>
      <c r="AH727" s="127">
        <v>32.4814699306815</v>
      </c>
      <c r="AI727" s="115" t="s">
        <v>12383</v>
      </c>
      <c r="AJ727" s="116">
        <v>0.8</v>
      </c>
      <c r="AK727" s="117"/>
      <c r="AL727" s="117"/>
      <c r="AM727" s="117"/>
      <c r="AN727" s="117"/>
      <c r="AO727" s="117"/>
    </row>
    <row r="728" ht="34.5" customHeight="1">
      <c r="A728" s="111">
        <v>1156.0</v>
      </c>
      <c r="B728" s="111" t="s">
        <v>8724</v>
      </c>
      <c r="C728" s="111" t="s">
        <v>7987</v>
      </c>
      <c r="D728" s="111">
        <v>2023.0</v>
      </c>
      <c r="E728" s="111"/>
      <c r="F728" s="111" t="s">
        <v>12385</v>
      </c>
      <c r="G728" s="111" t="s">
        <v>12226</v>
      </c>
      <c r="H728" s="111" t="s">
        <v>13407</v>
      </c>
      <c r="I728" s="111" t="s">
        <v>12394</v>
      </c>
      <c r="J728" s="111" t="s">
        <v>12292</v>
      </c>
      <c r="K728" s="111" t="s">
        <v>30</v>
      </c>
      <c r="L728" s="111"/>
      <c r="M728" s="111"/>
      <c r="N728" s="111"/>
      <c r="O728" s="111"/>
      <c r="P728" s="111"/>
      <c r="Q728" s="111"/>
      <c r="R728" s="111"/>
      <c r="S728" s="111"/>
      <c r="T728" s="111"/>
      <c r="U728" s="111"/>
      <c r="V728" s="111"/>
      <c r="W728" s="111">
        <v>1.0</v>
      </c>
      <c r="X728" s="111"/>
      <c r="Y728" s="111"/>
      <c r="Z728" s="111" t="s">
        <v>12908</v>
      </c>
      <c r="AA728" s="124">
        <v>1.0</v>
      </c>
      <c r="AB728" s="125">
        <f>IF(Projects!$AI728="Electrolysis",
AA728/VLOOKUP(G728,ElectrolysisConvF,3,FALSE),
AC728*10^6/(H2dens*HoursInYear))</f>
        <v>192.3076923</v>
      </c>
      <c r="AC728" s="126">
        <f t="shared" si="140"/>
        <v>0.1499307692</v>
      </c>
      <c r="AD728" s="125"/>
      <c r="AE728" s="125">
        <f t="shared" si="138"/>
        <v>192.3076923</v>
      </c>
      <c r="AF728" s="127" t="s">
        <v>13408</v>
      </c>
      <c r="AG728" s="127">
        <v>53.5395113375874</v>
      </c>
      <c r="AH728" s="127">
        <v>8.59153290358285</v>
      </c>
      <c r="AI728" s="115" t="s">
        <v>12383</v>
      </c>
      <c r="AJ728" s="116">
        <v>0.4</v>
      </c>
      <c r="AK728" s="117"/>
      <c r="AL728" s="117"/>
      <c r="AM728" s="117"/>
      <c r="AN728" s="117"/>
      <c r="AO728" s="117"/>
    </row>
    <row r="729" ht="34.5" customHeight="1">
      <c r="A729" s="111">
        <v>1157.0</v>
      </c>
      <c r="B729" s="111" t="s">
        <v>8725</v>
      </c>
      <c r="C729" s="111" t="s">
        <v>7987</v>
      </c>
      <c r="D729" s="111"/>
      <c r="E729" s="111"/>
      <c r="F729" s="111" t="s">
        <v>12397</v>
      </c>
      <c r="G729" s="111" t="s">
        <v>12381</v>
      </c>
      <c r="H729" s="111" t="s">
        <v>12230</v>
      </c>
      <c r="I729" s="111" t="s">
        <v>12394</v>
      </c>
      <c r="J729" s="111" t="s">
        <v>12292</v>
      </c>
      <c r="K729" s="111" t="s">
        <v>30</v>
      </c>
      <c r="L729" s="111"/>
      <c r="M729" s="111"/>
      <c r="N729" s="111"/>
      <c r="O729" s="111"/>
      <c r="P729" s="111"/>
      <c r="Q729" s="111"/>
      <c r="R729" s="111"/>
      <c r="S729" s="111"/>
      <c r="T729" s="111"/>
      <c r="U729" s="111"/>
      <c r="V729" s="111"/>
      <c r="W729" s="111">
        <v>1.0</v>
      </c>
      <c r="X729" s="111"/>
      <c r="Y729" s="111"/>
      <c r="Z729" s="111" t="s">
        <v>12703</v>
      </c>
      <c r="AA729" s="124">
        <v>9.0</v>
      </c>
      <c r="AB729" s="125">
        <f>IF(Projects!$AI729="Electrolysis",
AA729/VLOOKUP(G729,ElectrolysisConvF,3,FALSE),
AC729*10^6/(H2dens*HoursInYear))</f>
        <v>2000</v>
      </c>
      <c r="AC729" s="126">
        <f t="shared" si="140"/>
        <v>1.55928</v>
      </c>
      <c r="AD729" s="125"/>
      <c r="AE729" s="125">
        <f t="shared" si="138"/>
        <v>2000</v>
      </c>
      <c r="AF729" s="127" t="s">
        <v>13409</v>
      </c>
      <c r="AG729" s="127">
        <v>53.5395113375874</v>
      </c>
      <c r="AH729" s="127">
        <v>8.59153290358285</v>
      </c>
      <c r="AI729" s="115" t="s">
        <v>12383</v>
      </c>
      <c r="AJ729" s="116">
        <v>0.4</v>
      </c>
      <c r="AK729" s="117"/>
      <c r="AL729" s="117"/>
      <c r="AM729" s="117"/>
      <c r="AN729" s="117"/>
      <c r="AO729" s="117"/>
    </row>
    <row r="730" ht="34.5" customHeight="1">
      <c r="A730" s="111">
        <v>1158.0</v>
      </c>
      <c r="B730" s="111" t="s">
        <v>8726</v>
      </c>
      <c r="C730" s="111" t="s">
        <v>7987</v>
      </c>
      <c r="D730" s="111">
        <v>2021.0</v>
      </c>
      <c r="E730" s="111"/>
      <c r="F730" s="111" t="s">
        <v>12385</v>
      </c>
      <c r="G730" s="111" t="s">
        <v>12228</v>
      </c>
      <c r="H730" s="111"/>
      <c r="I730" s="111" t="s">
        <v>12394</v>
      </c>
      <c r="J730" s="111" t="s">
        <v>12292</v>
      </c>
      <c r="K730" s="111" t="s">
        <v>12415</v>
      </c>
      <c r="L730" s="111"/>
      <c r="M730" s="111"/>
      <c r="N730" s="111">
        <v>1.0</v>
      </c>
      <c r="O730" s="111"/>
      <c r="P730" s="111"/>
      <c r="Q730" s="111"/>
      <c r="R730" s="111"/>
      <c r="S730" s="111"/>
      <c r="T730" s="111"/>
      <c r="U730" s="111"/>
      <c r="V730" s="111"/>
      <c r="W730" s="111"/>
      <c r="X730" s="111"/>
      <c r="Y730" s="111"/>
      <c r="Z730" s="111" t="s">
        <v>12908</v>
      </c>
      <c r="AA730" s="124">
        <v>1.0</v>
      </c>
      <c r="AB730" s="125">
        <f>IF(Projects!$AI730="Electrolysis",
AA730/VLOOKUP(G730,ElectrolysisConvF,3,FALSE),
AC730*10^6/(H2dens*HoursInYear))</f>
        <v>263.1578947</v>
      </c>
      <c r="AC730" s="126">
        <f t="shared" si="140"/>
        <v>0.2051684211</v>
      </c>
      <c r="AD730" s="125"/>
      <c r="AE730" s="125">
        <f t="shared" si="138"/>
        <v>263.1578947</v>
      </c>
      <c r="AF730" s="127" t="s">
        <v>13409</v>
      </c>
      <c r="AG730" s="127">
        <v>51.3247111673379</v>
      </c>
      <c r="AH730" s="127">
        <v>12.024311061848</v>
      </c>
      <c r="AI730" s="115" t="s">
        <v>12383</v>
      </c>
      <c r="AJ730" s="116">
        <v>0.4</v>
      </c>
      <c r="AK730" s="117"/>
      <c r="AL730" s="117"/>
      <c r="AM730" s="117"/>
      <c r="AN730" s="117"/>
      <c r="AO730" s="117"/>
    </row>
    <row r="731" ht="34.5" customHeight="1">
      <c r="A731" s="111">
        <v>1159.0</v>
      </c>
      <c r="B731" s="111" t="s">
        <v>8727</v>
      </c>
      <c r="C731" s="111" t="s">
        <v>7987</v>
      </c>
      <c r="D731" s="111"/>
      <c r="E731" s="111"/>
      <c r="F731" s="111" t="s">
        <v>12397</v>
      </c>
      <c r="G731" s="111" t="s">
        <v>12381</v>
      </c>
      <c r="H731" s="111" t="s">
        <v>12230</v>
      </c>
      <c r="I731" s="111" t="s">
        <v>12394</v>
      </c>
      <c r="J731" s="111" t="s">
        <v>12292</v>
      </c>
      <c r="K731" s="111" t="s">
        <v>12251</v>
      </c>
      <c r="L731" s="111"/>
      <c r="M731" s="111"/>
      <c r="N731" s="111"/>
      <c r="O731" s="111"/>
      <c r="P731" s="111"/>
      <c r="Q731" s="111"/>
      <c r="R731" s="111"/>
      <c r="S731" s="111"/>
      <c r="T731" s="111"/>
      <c r="U731" s="111"/>
      <c r="V731" s="111"/>
      <c r="W731" s="111">
        <v>1.0</v>
      </c>
      <c r="X731" s="111"/>
      <c r="Y731" s="111"/>
      <c r="Z731" s="111" t="s">
        <v>12835</v>
      </c>
      <c r="AA731" s="124">
        <v>4.0</v>
      </c>
      <c r="AB731" s="125">
        <f>IF(Projects!$AI731="Electrolysis",
AA731/VLOOKUP(G731,ElectrolysisConvF,3,FALSE),
AC731*10^6/(H2dens*HoursInYear))</f>
        <v>888.8888889</v>
      </c>
      <c r="AC731" s="126">
        <f t="shared" si="140"/>
        <v>0.6930133333</v>
      </c>
      <c r="AD731" s="125"/>
      <c r="AE731" s="125">
        <f t="shared" si="138"/>
        <v>888.8888889</v>
      </c>
      <c r="AF731" s="127" t="s">
        <v>13409</v>
      </c>
      <c r="AG731" s="127">
        <v>51.3247111673379</v>
      </c>
      <c r="AH731" s="127">
        <v>12.024311061848</v>
      </c>
      <c r="AI731" s="115" t="s">
        <v>12383</v>
      </c>
      <c r="AJ731" s="116">
        <v>0.4</v>
      </c>
      <c r="AK731" s="117"/>
      <c r="AL731" s="117"/>
      <c r="AM731" s="117"/>
      <c r="AN731" s="117"/>
      <c r="AO731" s="117"/>
    </row>
    <row r="732" ht="34.5" customHeight="1">
      <c r="A732" s="111">
        <v>1160.0</v>
      </c>
      <c r="B732" s="111" t="s">
        <v>8728</v>
      </c>
      <c r="C732" s="111" t="s">
        <v>7987</v>
      </c>
      <c r="D732" s="111">
        <v>2023.0</v>
      </c>
      <c r="E732" s="111"/>
      <c r="F732" s="111" t="s">
        <v>12418</v>
      </c>
      <c r="G732" s="111" t="s">
        <v>12381</v>
      </c>
      <c r="H732" s="111" t="s">
        <v>12230</v>
      </c>
      <c r="I732" s="111" t="s">
        <v>12287</v>
      </c>
      <c r="J732" s="111"/>
      <c r="K732" s="111" t="s">
        <v>30</v>
      </c>
      <c r="L732" s="111"/>
      <c r="M732" s="111"/>
      <c r="N732" s="111"/>
      <c r="O732" s="111"/>
      <c r="P732" s="111"/>
      <c r="Q732" s="111">
        <v>1.0</v>
      </c>
      <c r="R732" s="111"/>
      <c r="S732" s="111"/>
      <c r="T732" s="111"/>
      <c r="U732" s="111"/>
      <c r="V732" s="111"/>
      <c r="W732" s="111"/>
      <c r="X732" s="111"/>
      <c r="Y732" s="111"/>
      <c r="Z732" s="111" t="s">
        <v>12424</v>
      </c>
      <c r="AA732" s="124">
        <v>2.0</v>
      </c>
      <c r="AB732" s="125">
        <f>IF(Projects!$AI732="Electrolysis",
AA732/VLOOKUP(G732,ElectrolysisConvF,3,FALSE),
AC732*10^6/(H2dens*HoursInYear))</f>
        <v>444.4444444</v>
      </c>
      <c r="AC732" s="126">
        <f t="shared" si="140"/>
        <v>0.3465066667</v>
      </c>
      <c r="AD732" s="125"/>
      <c r="AE732" s="125">
        <f t="shared" si="138"/>
        <v>444.4444444</v>
      </c>
      <c r="AF732" s="127" t="s">
        <v>13410</v>
      </c>
      <c r="AG732" s="127">
        <v>51.132421173516</v>
      </c>
      <c r="AH732" s="127">
        <v>14.9632163265504</v>
      </c>
      <c r="AI732" s="115" t="s">
        <v>12383</v>
      </c>
      <c r="AJ732" s="116">
        <v>0.57</v>
      </c>
      <c r="AK732" s="117"/>
      <c r="AL732" s="117"/>
      <c r="AM732" s="117"/>
      <c r="AN732" s="117"/>
      <c r="AO732" s="117"/>
    </row>
    <row r="733" ht="34.5" customHeight="1">
      <c r="A733" s="111">
        <v>1161.0</v>
      </c>
      <c r="B733" s="111" t="s">
        <v>8729</v>
      </c>
      <c r="C733" s="111" t="s">
        <v>8023</v>
      </c>
      <c r="D733" s="111">
        <v>2030.0</v>
      </c>
      <c r="E733" s="111"/>
      <c r="F733" s="111" t="s">
        <v>12399</v>
      </c>
      <c r="G733" s="111" t="s">
        <v>12381</v>
      </c>
      <c r="H733" s="111" t="s">
        <v>12230</v>
      </c>
      <c r="I733" s="111" t="s">
        <v>12394</v>
      </c>
      <c r="J733" s="111" t="s">
        <v>12293</v>
      </c>
      <c r="K733" s="111" t="s">
        <v>30</v>
      </c>
      <c r="L733" s="111"/>
      <c r="M733" s="111"/>
      <c r="N733" s="111"/>
      <c r="O733" s="111"/>
      <c r="P733" s="111"/>
      <c r="Q733" s="111">
        <v>1.0</v>
      </c>
      <c r="R733" s="111"/>
      <c r="S733" s="111"/>
      <c r="T733" s="111"/>
      <c r="U733" s="111"/>
      <c r="V733" s="111"/>
      <c r="W733" s="111"/>
      <c r="X733" s="111"/>
      <c r="Y733" s="111"/>
      <c r="Z733" s="111" t="s">
        <v>12698</v>
      </c>
      <c r="AA733" s="124">
        <v>100.0</v>
      </c>
      <c r="AB733" s="125">
        <f>IF(Projects!$AI733="Electrolysis",
AA733/VLOOKUP(G733,ElectrolysisConvF,3,FALSE),
AC733*10^6/(H2dens*HoursInYear))</f>
        <v>22222.22222</v>
      </c>
      <c r="AC733" s="126">
        <f t="shared" si="140"/>
        <v>17.32533333</v>
      </c>
      <c r="AD733" s="125"/>
      <c r="AE733" s="125">
        <f t="shared" si="138"/>
        <v>22222.22222</v>
      </c>
      <c r="AF733" s="127" t="s">
        <v>13411</v>
      </c>
      <c r="AG733" s="127">
        <v>0.0</v>
      </c>
      <c r="AH733" s="127">
        <v>0.0</v>
      </c>
      <c r="AI733" s="115" t="s">
        <v>12383</v>
      </c>
      <c r="AJ733" s="116">
        <v>0.55</v>
      </c>
      <c r="AK733" s="117"/>
      <c r="AL733" s="117"/>
      <c r="AM733" s="117"/>
      <c r="AN733" s="117"/>
      <c r="AO733" s="117"/>
    </row>
    <row r="734" ht="34.5" customHeight="1">
      <c r="A734" s="111">
        <v>1162.0</v>
      </c>
      <c r="B734" s="111" t="s">
        <v>8729</v>
      </c>
      <c r="C734" s="111" t="s">
        <v>8023</v>
      </c>
      <c r="D734" s="111">
        <v>2030.0</v>
      </c>
      <c r="E734" s="111"/>
      <c r="F734" s="111" t="s">
        <v>12399</v>
      </c>
      <c r="G734" s="111" t="s">
        <v>12381</v>
      </c>
      <c r="H734" s="111" t="s">
        <v>12230</v>
      </c>
      <c r="I734" s="111" t="s">
        <v>12394</v>
      </c>
      <c r="J734" s="111" t="s">
        <v>12292</v>
      </c>
      <c r="K734" s="111" t="s">
        <v>30</v>
      </c>
      <c r="L734" s="111"/>
      <c r="M734" s="111"/>
      <c r="N734" s="111"/>
      <c r="O734" s="111"/>
      <c r="P734" s="111"/>
      <c r="Q734" s="111">
        <v>1.0</v>
      </c>
      <c r="R734" s="111"/>
      <c r="S734" s="111"/>
      <c r="T734" s="111"/>
      <c r="U734" s="111"/>
      <c r="V734" s="111"/>
      <c r="W734" s="111"/>
      <c r="X734" s="111"/>
      <c r="Y734" s="111"/>
      <c r="Z734" s="111" t="s">
        <v>12703</v>
      </c>
      <c r="AA734" s="124">
        <v>10.0</v>
      </c>
      <c r="AB734" s="125">
        <f>IF(Projects!$AI734="Electrolysis",
AA734/VLOOKUP(G734,ElectrolysisConvF,3,FALSE),
AC734*10^6/(H2dens*HoursInYear))</f>
        <v>2222.222222</v>
      </c>
      <c r="AC734" s="126">
        <f t="shared" si="140"/>
        <v>1.732533333</v>
      </c>
      <c r="AD734" s="125"/>
      <c r="AE734" s="125">
        <f t="shared" si="138"/>
        <v>2222.222222</v>
      </c>
      <c r="AF734" s="127" t="s">
        <v>13411</v>
      </c>
      <c r="AG734" s="127">
        <v>0.0</v>
      </c>
      <c r="AH734" s="127">
        <v>0.0</v>
      </c>
      <c r="AI734" s="115" t="s">
        <v>12383</v>
      </c>
      <c r="AJ734" s="116">
        <v>0.4</v>
      </c>
      <c r="AK734" s="117"/>
      <c r="AL734" s="117"/>
      <c r="AM734" s="117"/>
      <c r="AN734" s="117"/>
      <c r="AO734" s="117"/>
    </row>
    <row r="735" ht="34.5" customHeight="1">
      <c r="A735" s="111">
        <v>1163.0</v>
      </c>
      <c r="B735" s="111" t="s">
        <v>8729</v>
      </c>
      <c r="C735" s="111" t="s">
        <v>8023</v>
      </c>
      <c r="D735" s="111">
        <v>2030.0</v>
      </c>
      <c r="E735" s="111"/>
      <c r="F735" s="111" t="s">
        <v>12399</v>
      </c>
      <c r="G735" s="111" t="s">
        <v>12239</v>
      </c>
      <c r="H735" s="111" t="s">
        <v>13334</v>
      </c>
      <c r="I735" s="111"/>
      <c r="J735" s="111"/>
      <c r="K735" s="111" t="s">
        <v>30</v>
      </c>
      <c r="L735" s="111"/>
      <c r="M735" s="111"/>
      <c r="N735" s="111"/>
      <c r="O735" s="111"/>
      <c r="P735" s="111"/>
      <c r="Q735" s="111">
        <v>1.0</v>
      </c>
      <c r="R735" s="111"/>
      <c r="S735" s="111"/>
      <c r="T735" s="111"/>
      <c r="U735" s="111"/>
      <c r="V735" s="111"/>
      <c r="W735" s="111"/>
      <c r="X735" s="111"/>
      <c r="Y735" s="111"/>
      <c r="Z735" s="111" t="s">
        <v>13412</v>
      </c>
      <c r="AA735" s="124"/>
      <c r="AB735" s="125">
        <f>AC735/(H2dens*HoursInYear/10^6)</f>
        <v>19239.64907</v>
      </c>
      <c r="AC735" s="126">
        <v>15.0</v>
      </c>
      <c r="AD735" s="125"/>
      <c r="AE735" s="125">
        <f t="shared" si="138"/>
        <v>19239.64907</v>
      </c>
      <c r="AF735" s="127" t="s">
        <v>13411</v>
      </c>
      <c r="AG735" s="127">
        <v>0.0</v>
      </c>
      <c r="AH735" s="127">
        <v>0.0</v>
      </c>
      <c r="AI735" s="115" t="s">
        <v>12241</v>
      </c>
      <c r="AJ735" s="116">
        <v>0.9</v>
      </c>
      <c r="AK735" s="117"/>
      <c r="AL735" s="117"/>
      <c r="AM735" s="117"/>
      <c r="AN735" s="117"/>
      <c r="AO735" s="117"/>
    </row>
    <row r="736" ht="34.5" customHeight="1">
      <c r="A736" s="111">
        <v>1164.0</v>
      </c>
      <c r="B736" s="111" t="s">
        <v>8730</v>
      </c>
      <c r="C736" s="111" t="s">
        <v>8620</v>
      </c>
      <c r="D736" s="111">
        <v>2028.0</v>
      </c>
      <c r="E736" s="111"/>
      <c r="F736" s="111" t="s">
        <v>12393</v>
      </c>
      <c r="G736" s="111" t="s">
        <v>12226</v>
      </c>
      <c r="H736" s="111"/>
      <c r="I736" s="111" t="s">
        <v>12394</v>
      </c>
      <c r="J736" s="111" t="s">
        <v>12292</v>
      </c>
      <c r="K736" s="111" t="s">
        <v>30</v>
      </c>
      <c r="L736" s="111">
        <v>1.0</v>
      </c>
      <c r="M736" s="111"/>
      <c r="N736" s="111"/>
      <c r="O736" s="111"/>
      <c r="P736" s="111"/>
      <c r="Q736" s="111">
        <v>1.0</v>
      </c>
      <c r="R736" s="111"/>
      <c r="S736" s="111"/>
      <c r="T736" s="111"/>
      <c r="U736" s="111"/>
      <c r="V736" s="111"/>
      <c r="W736" s="111"/>
      <c r="X736" s="111"/>
      <c r="Y736" s="111"/>
      <c r="Z736" s="111" t="s">
        <v>12802</v>
      </c>
      <c r="AA736" s="124">
        <v>30.0</v>
      </c>
      <c r="AB736" s="125">
        <f>IF(Projects!$AI736="Electrolysis",
AA736/VLOOKUP(G736,ElectrolysisConvF,3,FALSE),
AC736*10^6/(H2dens*HoursInYear))</f>
        <v>5769.230769</v>
      </c>
      <c r="AC736" s="126">
        <f t="shared" ref="AC736:AC745" si="141">AB736*H2dens*HoursInYear/10^6</f>
        <v>4.497923077</v>
      </c>
      <c r="AD736" s="125"/>
      <c r="AE736" s="125">
        <f t="shared" si="138"/>
        <v>5769.230769</v>
      </c>
      <c r="AF736" s="127" t="s">
        <v>13411</v>
      </c>
      <c r="AG736" s="127">
        <v>50.5788308065142</v>
      </c>
      <c r="AH736" s="127">
        <v>13.6078948749105</v>
      </c>
      <c r="AI736" s="115" t="s">
        <v>12383</v>
      </c>
      <c r="AJ736" s="116">
        <v>0.4</v>
      </c>
      <c r="AK736" s="117"/>
      <c r="AL736" s="117"/>
      <c r="AM736" s="117"/>
      <c r="AN736" s="117"/>
      <c r="AO736" s="117"/>
    </row>
    <row r="737" ht="34.5" customHeight="1">
      <c r="A737" s="111">
        <v>1165.0</v>
      </c>
      <c r="B737" s="111" t="s">
        <v>8731</v>
      </c>
      <c r="C737" s="111" t="s">
        <v>8620</v>
      </c>
      <c r="D737" s="111">
        <v>2030.0</v>
      </c>
      <c r="E737" s="111"/>
      <c r="F737" s="111" t="s">
        <v>12399</v>
      </c>
      <c r="G737" s="111" t="s">
        <v>12381</v>
      </c>
      <c r="H737" s="111" t="s">
        <v>12230</v>
      </c>
      <c r="I737" s="111" t="s">
        <v>12394</v>
      </c>
      <c r="J737" s="111" t="s">
        <v>12292</v>
      </c>
      <c r="K737" s="111" t="s">
        <v>30</v>
      </c>
      <c r="L737" s="111"/>
      <c r="M737" s="111"/>
      <c r="N737" s="111"/>
      <c r="O737" s="111"/>
      <c r="P737" s="111"/>
      <c r="Q737" s="111">
        <v>1.0</v>
      </c>
      <c r="R737" s="111"/>
      <c r="S737" s="111"/>
      <c r="T737" s="111"/>
      <c r="U737" s="111"/>
      <c r="V737" s="111"/>
      <c r="W737" s="111"/>
      <c r="X737" s="111"/>
      <c r="Y737" s="111"/>
      <c r="Z737" s="111" t="s">
        <v>13413</v>
      </c>
      <c r="AA737" s="124">
        <v>18.0</v>
      </c>
      <c r="AB737" s="125">
        <f>IF(Projects!$AI737="Electrolysis",
AA737/VLOOKUP(G737,ElectrolysisConvF,3,FALSE),
AC737*10^6/(H2dens*HoursInYear))</f>
        <v>4000</v>
      </c>
      <c r="AC737" s="126">
        <f t="shared" si="141"/>
        <v>3.11856</v>
      </c>
      <c r="AD737" s="125"/>
      <c r="AE737" s="125">
        <f t="shared" si="138"/>
        <v>4000</v>
      </c>
      <c r="AF737" s="127" t="s">
        <v>13411</v>
      </c>
      <c r="AG737" s="127">
        <v>50.2704161311497</v>
      </c>
      <c r="AH737" s="127">
        <v>14.5131943817664</v>
      </c>
      <c r="AI737" s="115" t="s">
        <v>12383</v>
      </c>
      <c r="AJ737" s="116">
        <v>0.4</v>
      </c>
      <c r="AK737" s="117"/>
      <c r="AL737" s="117"/>
      <c r="AM737" s="117"/>
      <c r="AN737" s="117"/>
      <c r="AO737" s="117"/>
    </row>
    <row r="738" ht="34.5" customHeight="1">
      <c r="A738" s="111">
        <v>1166.0</v>
      </c>
      <c r="B738" s="111" t="s">
        <v>8732</v>
      </c>
      <c r="C738" s="111" t="s">
        <v>8620</v>
      </c>
      <c r="D738" s="111">
        <v>2026.0</v>
      </c>
      <c r="E738" s="111"/>
      <c r="F738" s="111" t="s">
        <v>12399</v>
      </c>
      <c r="G738" s="111" t="s">
        <v>12381</v>
      </c>
      <c r="H738" s="111" t="s">
        <v>12230</v>
      </c>
      <c r="I738" s="111" t="s">
        <v>12394</v>
      </c>
      <c r="J738" s="111" t="s">
        <v>12295</v>
      </c>
      <c r="K738" s="111" t="s">
        <v>30</v>
      </c>
      <c r="L738" s="111"/>
      <c r="M738" s="111"/>
      <c r="N738" s="111"/>
      <c r="O738" s="111"/>
      <c r="P738" s="111"/>
      <c r="Q738" s="111">
        <v>1.0</v>
      </c>
      <c r="R738" s="111"/>
      <c r="S738" s="111"/>
      <c r="T738" s="111"/>
      <c r="U738" s="111"/>
      <c r="V738" s="111"/>
      <c r="W738" s="111"/>
      <c r="X738" s="111"/>
      <c r="Y738" s="111"/>
      <c r="Z738" s="111" t="s">
        <v>13106</v>
      </c>
      <c r="AA738" s="124">
        <v>6.0</v>
      </c>
      <c r="AB738" s="125">
        <f>IF(Projects!$AI738="Electrolysis",
AA738/VLOOKUP(G738,ElectrolysisConvF,3,FALSE),
AC738*10^6/(H2dens*HoursInYear))</f>
        <v>1333.333333</v>
      </c>
      <c r="AC738" s="126">
        <f t="shared" si="141"/>
        <v>1.03952</v>
      </c>
      <c r="AD738" s="125"/>
      <c r="AE738" s="125">
        <f t="shared" si="138"/>
        <v>1333.333333</v>
      </c>
      <c r="AF738" s="127" t="s">
        <v>13411</v>
      </c>
      <c r="AG738" s="127">
        <v>50.2704161311497</v>
      </c>
      <c r="AH738" s="127">
        <v>14.5131943817664</v>
      </c>
      <c r="AI738" s="115" t="s">
        <v>12383</v>
      </c>
      <c r="AJ738" s="116">
        <v>0.5</v>
      </c>
      <c r="AK738" s="117"/>
      <c r="AL738" s="117"/>
      <c r="AM738" s="117"/>
      <c r="AN738" s="117"/>
      <c r="AO738" s="117"/>
    </row>
    <row r="739" ht="34.5" customHeight="1">
      <c r="A739" s="111">
        <v>1167.0</v>
      </c>
      <c r="B739" s="111" t="s">
        <v>8729</v>
      </c>
      <c r="C739" s="111" t="s">
        <v>8632</v>
      </c>
      <c r="D739" s="111">
        <v>2030.0</v>
      </c>
      <c r="E739" s="111"/>
      <c r="F739" s="111" t="s">
        <v>12399</v>
      </c>
      <c r="G739" s="111" t="s">
        <v>12381</v>
      </c>
      <c r="H739" s="111" t="s">
        <v>12230</v>
      </c>
      <c r="I739" s="111" t="s">
        <v>12394</v>
      </c>
      <c r="J739" s="111" t="s">
        <v>12292</v>
      </c>
      <c r="K739" s="111" t="s">
        <v>30</v>
      </c>
      <c r="L739" s="111"/>
      <c r="M739" s="111"/>
      <c r="N739" s="111"/>
      <c r="O739" s="111"/>
      <c r="P739" s="111"/>
      <c r="Q739" s="111">
        <v>1.0</v>
      </c>
      <c r="R739" s="111"/>
      <c r="S739" s="111"/>
      <c r="T739" s="111"/>
      <c r="U739" s="111"/>
      <c r="V739" s="111"/>
      <c r="W739" s="111"/>
      <c r="X739" s="111"/>
      <c r="Y739" s="111"/>
      <c r="Z739" s="111" t="s">
        <v>13066</v>
      </c>
      <c r="AA739" s="124">
        <v>60.0</v>
      </c>
      <c r="AB739" s="125">
        <f>IF(Projects!$AI739="Electrolysis",
AA739/VLOOKUP(G739,ElectrolysisConvF,3,FALSE),
AC739*10^6/(H2dens*HoursInYear))</f>
        <v>13333.33333</v>
      </c>
      <c r="AC739" s="126">
        <f t="shared" si="141"/>
        <v>10.3952</v>
      </c>
      <c r="AD739" s="125"/>
      <c r="AE739" s="125">
        <f t="shared" si="138"/>
        <v>13333.33333</v>
      </c>
      <c r="AF739" s="127" t="s">
        <v>13411</v>
      </c>
      <c r="AG739" s="127">
        <v>48.253797</v>
      </c>
      <c r="AH739" s="127">
        <v>17.459326</v>
      </c>
      <c r="AI739" s="115" t="s">
        <v>12383</v>
      </c>
      <c r="AJ739" s="116">
        <v>0.4</v>
      </c>
      <c r="AK739" s="117"/>
      <c r="AL739" s="117"/>
      <c r="AM739" s="117"/>
      <c r="AN739" s="117"/>
      <c r="AO739" s="117"/>
    </row>
    <row r="740" ht="34.5" customHeight="1">
      <c r="A740" s="111">
        <v>1169.0</v>
      </c>
      <c r="B740" s="111" t="s">
        <v>8733</v>
      </c>
      <c r="C740" s="111" t="s">
        <v>8161</v>
      </c>
      <c r="D740" s="111">
        <v>2028.0</v>
      </c>
      <c r="E740" s="111"/>
      <c r="F740" s="111" t="s">
        <v>12399</v>
      </c>
      <c r="G740" s="111" t="s">
        <v>12226</v>
      </c>
      <c r="H740" s="111"/>
      <c r="I740" s="111" t="s">
        <v>12759</v>
      </c>
      <c r="J740" s="111"/>
      <c r="K740" s="111" t="s">
        <v>30</v>
      </c>
      <c r="L740" s="111">
        <v>1.0</v>
      </c>
      <c r="M740" s="111"/>
      <c r="N740" s="111"/>
      <c r="O740" s="111"/>
      <c r="P740" s="111"/>
      <c r="Q740" s="111"/>
      <c r="R740" s="111"/>
      <c r="S740" s="111"/>
      <c r="T740" s="111"/>
      <c r="U740" s="111"/>
      <c r="V740" s="111"/>
      <c r="W740" s="111"/>
      <c r="X740" s="111"/>
      <c r="Y740" s="111"/>
      <c r="Z740" s="111" t="s">
        <v>12709</v>
      </c>
      <c r="AA740" s="124">
        <v>100.0</v>
      </c>
      <c r="AB740" s="125">
        <f>IF(Projects!$AI740="Electrolysis",
AA740/VLOOKUP(G740,ElectrolysisConvF,3,FALSE),
AC740*10^6/(H2dens*HoursInYear))</f>
        <v>19230.76923</v>
      </c>
      <c r="AC740" s="126">
        <f t="shared" si="141"/>
        <v>14.99307692</v>
      </c>
      <c r="AD740" s="125"/>
      <c r="AE740" s="125">
        <f t="shared" si="138"/>
        <v>19230.76923</v>
      </c>
      <c r="AF740" s="127" t="s">
        <v>13414</v>
      </c>
      <c r="AG740" s="127">
        <v>37.9640325151618</v>
      </c>
      <c r="AH740" s="127">
        <v>-8.81015788759686</v>
      </c>
      <c r="AI740" s="115" t="s">
        <v>12383</v>
      </c>
      <c r="AJ740" s="116">
        <v>0.7</v>
      </c>
      <c r="AK740" s="117"/>
      <c r="AL740" s="117"/>
      <c r="AM740" s="117"/>
      <c r="AN740" s="117"/>
      <c r="AO740" s="117"/>
    </row>
    <row r="741" ht="34.5" customHeight="1">
      <c r="A741" s="111">
        <v>1170.0</v>
      </c>
      <c r="B741" s="111" t="s">
        <v>8734</v>
      </c>
      <c r="C741" s="111" t="s">
        <v>8590</v>
      </c>
      <c r="D741" s="111"/>
      <c r="E741" s="111"/>
      <c r="F741" s="111" t="s">
        <v>12399</v>
      </c>
      <c r="G741" s="111" t="s">
        <v>12381</v>
      </c>
      <c r="H741" s="111" t="s">
        <v>12230</v>
      </c>
      <c r="I741" s="111" t="s">
        <v>12394</v>
      </c>
      <c r="J741" s="111" t="s">
        <v>12295</v>
      </c>
      <c r="K741" s="111" t="s">
        <v>174</v>
      </c>
      <c r="L741" s="111"/>
      <c r="M741" s="111">
        <v>1.0</v>
      </c>
      <c r="N741" s="111"/>
      <c r="O741" s="111">
        <v>1.0</v>
      </c>
      <c r="P741" s="111"/>
      <c r="Q741" s="111"/>
      <c r="R741" s="111"/>
      <c r="S741" s="111"/>
      <c r="T741" s="111"/>
      <c r="U741" s="111"/>
      <c r="V741" s="111"/>
      <c r="W741" s="111">
        <v>1.0</v>
      </c>
      <c r="X741" s="111"/>
      <c r="Y741" s="111"/>
      <c r="Z741" s="111" t="s">
        <v>12991</v>
      </c>
      <c r="AA741" s="124">
        <v>300.0</v>
      </c>
      <c r="AB741" s="125">
        <f>IF(Projects!$AI741="Electrolysis",
AA741/VLOOKUP(G741,ElectrolysisConvF,3,FALSE),
AC741*10^6/(H2dens*HoursInYear))</f>
        <v>66666.66667</v>
      </c>
      <c r="AC741" s="126">
        <f t="shared" si="141"/>
        <v>51.976</v>
      </c>
      <c r="AD741" s="125"/>
      <c r="AE741" s="125">
        <f t="shared" si="138"/>
        <v>66666.66667</v>
      </c>
      <c r="AF741" s="127" t="s">
        <v>13415</v>
      </c>
      <c r="AG741" s="127">
        <v>-21.834349756669</v>
      </c>
      <c r="AH741" s="127">
        <v>-41.0413268418608</v>
      </c>
      <c r="AI741" s="115" t="s">
        <v>12383</v>
      </c>
      <c r="AJ741" s="116">
        <v>0.5</v>
      </c>
      <c r="AK741" s="117"/>
      <c r="AL741" s="117"/>
      <c r="AM741" s="117"/>
      <c r="AN741" s="117"/>
      <c r="AO741" s="117"/>
    </row>
    <row r="742" ht="34.5" customHeight="1">
      <c r="A742" s="111">
        <v>1171.0</v>
      </c>
      <c r="B742" s="111" t="s">
        <v>8735</v>
      </c>
      <c r="C742" s="111" t="s">
        <v>8071</v>
      </c>
      <c r="D742" s="111">
        <v>2030.0</v>
      </c>
      <c r="E742" s="111"/>
      <c r="F742" s="111" t="s">
        <v>12397</v>
      </c>
      <c r="G742" s="111" t="s">
        <v>12381</v>
      </c>
      <c r="H742" s="111" t="s">
        <v>12230</v>
      </c>
      <c r="I742" s="111" t="s">
        <v>12394</v>
      </c>
      <c r="J742" s="111" t="s">
        <v>12291</v>
      </c>
      <c r="K742" s="111" t="s">
        <v>174</v>
      </c>
      <c r="L742" s="111"/>
      <c r="M742" s="111">
        <v>1.0</v>
      </c>
      <c r="N742" s="111"/>
      <c r="O742" s="111"/>
      <c r="P742" s="111"/>
      <c r="Q742" s="111">
        <v>1.0</v>
      </c>
      <c r="R742" s="111"/>
      <c r="S742" s="111"/>
      <c r="T742" s="111"/>
      <c r="U742" s="111"/>
      <c r="V742" s="111"/>
      <c r="W742" s="111"/>
      <c r="X742" s="111"/>
      <c r="Y742" s="111"/>
      <c r="Z742" s="111" t="s">
        <v>13416</v>
      </c>
      <c r="AA742" s="124">
        <v>2100.0</v>
      </c>
      <c r="AB742" s="125">
        <f>IF(Projects!$AI742="Electrolysis",
AA742/VLOOKUP(G742,ElectrolysisConvF,3,FALSE),
AC742*10^6/(H2dens*HoursInYear))</f>
        <v>466666.6667</v>
      </c>
      <c r="AC742" s="126">
        <f t="shared" si="141"/>
        <v>363.832</v>
      </c>
      <c r="AD742" s="125"/>
      <c r="AE742" s="125">
        <f t="shared" si="138"/>
        <v>466666.6667</v>
      </c>
      <c r="AF742" s="127" t="s">
        <v>13417</v>
      </c>
      <c r="AG742" s="127">
        <v>-23.3990803648907</v>
      </c>
      <c r="AH742" s="127">
        <v>-69.252182822016</v>
      </c>
      <c r="AI742" s="115" t="s">
        <v>12383</v>
      </c>
      <c r="AJ742" s="116">
        <v>0.3</v>
      </c>
      <c r="AK742" s="117"/>
      <c r="AL742" s="117"/>
      <c r="AM742" s="117"/>
      <c r="AN742" s="117"/>
      <c r="AO742" s="117"/>
    </row>
    <row r="743" ht="34.5" customHeight="1">
      <c r="A743" s="111">
        <v>1172.0</v>
      </c>
      <c r="B743" s="111" t="s">
        <v>8736</v>
      </c>
      <c r="C743" s="111" t="s">
        <v>8737</v>
      </c>
      <c r="D743" s="111">
        <v>2022.0</v>
      </c>
      <c r="E743" s="111"/>
      <c r="F743" s="111" t="s">
        <v>12385</v>
      </c>
      <c r="G743" s="111" t="s">
        <v>12226</v>
      </c>
      <c r="H743" s="111"/>
      <c r="I743" s="111" t="s">
        <v>12394</v>
      </c>
      <c r="J743" s="111" t="s">
        <v>12291</v>
      </c>
      <c r="K743" s="111" t="s">
        <v>30</v>
      </c>
      <c r="L743" s="111">
        <v>1.0</v>
      </c>
      <c r="M743" s="111"/>
      <c r="N743" s="111"/>
      <c r="O743" s="111"/>
      <c r="P743" s="111"/>
      <c r="Q743" s="111"/>
      <c r="R743" s="111"/>
      <c r="S743" s="111"/>
      <c r="T743" s="111"/>
      <c r="U743" s="111"/>
      <c r="V743" s="111"/>
      <c r="W743" s="111"/>
      <c r="X743" s="111"/>
      <c r="Y743" s="111"/>
      <c r="Z743" s="111" t="s">
        <v>13418</v>
      </c>
      <c r="AA743" s="124">
        <v>0.05</v>
      </c>
      <c r="AB743" s="125">
        <f>IF(Projects!$AI743="Electrolysis",
AA743/VLOOKUP(G743,ElectrolysisConvF,3,FALSE),
AC743*10^6/(H2dens*HoursInYear))</f>
        <v>9.615384615</v>
      </c>
      <c r="AC743" s="126">
        <f t="shared" si="141"/>
        <v>0.007496538462</v>
      </c>
      <c r="AD743" s="125"/>
      <c r="AE743" s="125">
        <f t="shared" si="138"/>
        <v>9.615384615</v>
      </c>
      <c r="AF743" s="127" t="s">
        <v>13419</v>
      </c>
      <c r="AG743" s="127">
        <v>10.3377980128273</v>
      </c>
      <c r="AH743" s="127">
        <v>-75.4961297814963</v>
      </c>
      <c r="AI743" s="115" t="s">
        <v>12383</v>
      </c>
      <c r="AJ743" s="116">
        <v>0.3</v>
      </c>
      <c r="AK743" s="117"/>
      <c r="AL743" s="117"/>
      <c r="AM743" s="117"/>
      <c r="AN743" s="117"/>
      <c r="AO743" s="117"/>
    </row>
    <row r="744" ht="34.5" customHeight="1">
      <c r="A744" s="111">
        <v>1173.0</v>
      </c>
      <c r="B744" s="111" t="s">
        <v>8738</v>
      </c>
      <c r="C744" s="111" t="s">
        <v>8071</v>
      </c>
      <c r="D744" s="111"/>
      <c r="E744" s="111"/>
      <c r="F744" s="111" t="s">
        <v>12397</v>
      </c>
      <c r="G744" s="111" t="s">
        <v>12381</v>
      </c>
      <c r="H744" s="111" t="s">
        <v>12230</v>
      </c>
      <c r="I744" s="111" t="s">
        <v>12394</v>
      </c>
      <c r="J744" s="111" t="s">
        <v>12291</v>
      </c>
      <c r="K744" s="111" t="s">
        <v>30</v>
      </c>
      <c r="L744" s="111"/>
      <c r="M744" s="111"/>
      <c r="N744" s="111"/>
      <c r="O744" s="111"/>
      <c r="P744" s="111"/>
      <c r="Q744" s="111">
        <v>1.0</v>
      </c>
      <c r="R744" s="111"/>
      <c r="S744" s="111"/>
      <c r="T744" s="111"/>
      <c r="U744" s="111"/>
      <c r="V744" s="111"/>
      <c r="W744" s="111"/>
      <c r="X744" s="111"/>
      <c r="Y744" s="111"/>
      <c r="Z744" s="111" t="s">
        <v>12835</v>
      </c>
      <c r="AA744" s="124">
        <v>5.0</v>
      </c>
      <c r="AB744" s="125">
        <f>IF(Projects!$AI744="Electrolysis",
AA744/VLOOKUP(G744,ElectrolysisConvF,3,FALSE),
AC744*10^6/(H2dens*HoursInYear))</f>
        <v>1111.111111</v>
      </c>
      <c r="AC744" s="126">
        <f t="shared" si="141"/>
        <v>0.8662666667</v>
      </c>
      <c r="AD744" s="125"/>
      <c r="AE744" s="125">
        <f t="shared" si="138"/>
        <v>1111.111111</v>
      </c>
      <c r="AF744" s="127" t="s">
        <v>13420</v>
      </c>
      <c r="AG744" s="127">
        <v>-36.4212987744845</v>
      </c>
      <c r="AH744" s="127">
        <v>-72.2016767257714</v>
      </c>
      <c r="AI744" s="115" t="s">
        <v>12383</v>
      </c>
      <c r="AJ744" s="116">
        <v>0.3</v>
      </c>
      <c r="AK744" s="117"/>
      <c r="AL744" s="117"/>
      <c r="AM744" s="117"/>
      <c r="AN744" s="117"/>
      <c r="AO744" s="117"/>
    </row>
    <row r="745" ht="34.5" customHeight="1">
      <c r="A745" s="111">
        <v>1174.0</v>
      </c>
      <c r="B745" s="111" t="s">
        <v>8739</v>
      </c>
      <c r="C745" s="111" t="s">
        <v>8071</v>
      </c>
      <c r="D745" s="111"/>
      <c r="E745" s="111"/>
      <c r="F745" s="111" t="s">
        <v>12397</v>
      </c>
      <c r="G745" s="111" t="s">
        <v>12381</v>
      </c>
      <c r="H745" s="111" t="s">
        <v>12230</v>
      </c>
      <c r="I745" s="111" t="s">
        <v>12287</v>
      </c>
      <c r="J745" s="111" t="s">
        <v>12295</v>
      </c>
      <c r="K745" s="111" t="s">
        <v>12415</v>
      </c>
      <c r="L745" s="111"/>
      <c r="M745" s="111"/>
      <c r="N745" s="111">
        <v>1.0</v>
      </c>
      <c r="O745" s="111"/>
      <c r="P745" s="111">
        <v>1.0</v>
      </c>
      <c r="Q745" s="111">
        <v>1.0</v>
      </c>
      <c r="R745" s="111"/>
      <c r="S745" s="111"/>
      <c r="T745" s="111"/>
      <c r="U745" s="111"/>
      <c r="V745" s="111"/>
      <c r="W745" s="111"/>
      <c r="X745" s="111"/>
      <c r="Y745" s="111"/>
      <c r="Z745" s="111" t="s">
        <v>13104</v>
      </c>
      <c r="AA745" s="124">
        <v>300.0</v>
      </c>
      <c r="AB745" s="125">
        <f>IF(Projects!$AI745="Electrolysis",
AA745/VLOOKUP(G745,ElectrolysisConvF,3,FALSE),
AC745*10^6/(H2dens*HoursInYear))</f>
        <v>66666.66667</v>
      </c>
      <c r="AC745" s="126">
        <f t="shared" si="141"/>
        <v>51.976</v>
      </c>
      <c r="AD745" s="125"/>
      <c r="AE745" s="125">
        <f t="shared" si="138"/>
        <v>66666.66667</v>
      </c>
      <c r="AF745" s="127"/>
      <c r="AG745" s="127">
        <v>-23.3990803648907</v>
      </c>
      <c r="AH745" s="127">
        <v>-69.252182822016</v>
      </c>
      <c r="AI745" s="115" t="s">
        <v>12383</v>
      </c>
      <c r="AJ745" s="116">
        <v>0.57</v>
      </c>
      <c r="AK745" s="117"/>
      <c r="AL745" s="117"/>
      <c r="AM745" s="117"/>
      <c r="AN745" s="117"/>
      <c r="AO745" s="117"/>
    </row>
    <row r="746" ht="34.5" customHeight="1">
      <c r="A746" s="111">
        <v>1175.0</v>
      </c>
      <c r="B746" s="111" t="s">
        <v>8740</v>
      </c>
      <c r="C746" s="111" t="s">
        <v>8437</v>
      </c>
      <c r="D746" s="111"/>
      <c r="E746" s="111"/>
      <c r="F746" s="111" t="s">
        <v>12399</v>
      </c>
      <c r="G746" s="111" t="s">
        <v>12381</v>
      </c>
      <c r="H746" s="111" t="s">
        <v>12230</v>
      </c>
      <c r="I746" s="111" t="s">
        <v>12287</v>
      </c>
      <c r="J746" s="111"/>
      <c r="K746" s="111" t="s">
        <v>30</v>
      </c>
      <c r="L746" s="111"/>
      <c r="M746" s="111"/>
      <c r="N746" s="111"/>
      <c r="O746" s="111"/>
      <c r="P746" s="111"/>
      <c r="Q746" s="111">
        <v>1.0</v>
      </c>
      <c r="R746" s="111"/>
      <c r="S746" s="111"/>
      <c r="T746" s="111"/>
      <c r="U746" s="111"/>
      <c r="V746" s="111"/>
      <c r="W746" s="111"/>
      <c r="X746" s="111"/>
      <c r="Y746" s="111"/>
      <c r="Z746" s="111" t="s">
        <v>13421</v>
      </c>
      <c r="AA746" s="126">
        <f>IF(Projects!$AI746="Electrolysis",
AB746*VLOOKUP(G746,ElectrolysisConvF,3,FALSE),
"")</f>
        <v>0.4213483146</v>
      </c>
      <c r="AB746" s="125">
        <f>AC746/(H2dens*HoursInYear/10^6)</f>
        <v>93.6329588</v>
      </c>
      <c r="AC746" s="126">
        <f>200*365/10^6</f>
        <v>0.073</v>
      </c>
      <c r="AD746" s="125"/>
      <c r="AE746" s="125">
        <f t="shared" si="138"/>
        <v>93.6329588</v>
      </c>
      <c r="AF746" s="127" t="s">
        <v>13422</v>
      </c>
      <c r="AG746" s="127">
        <v>-25.3746804873853</v>
      </c>
      <c r="AH746" s="127">
        <v>-57.5888511713066</v>
      </c>
      <c r="AI746" s="115" t="s">
        <v>12383</v>
      </c>
      <c r="AJ746" s="116">
        <v>0.57</v>
      </c>
      <c r="AK746" s="117"/>
      <c r="AL746" s="117"/>
      <c r="AM746" s="117"/>
      <c r="AN746" s="117"/>
      <c r="AO746" s="117"/>
    </row>
    <row r="747" ht="34.5" customHeight="1">
      <c r="A747" s="111">
        <v>1176.0</v>
      </c>
      <c r="B747" s="111" t="s">
        <v>8741</v>
      </c>
      <c r="C747" s="111" t="s">
        <v>8437</v>
      </c>
      <c r="D747" s="111"/>
      <c r="E747" s="111"/>
      <c r="F747" s="111" t="s">
        <v>12397</v>
      </c>
      <c r="G747" s="111" t="s">
        <v>12381</v>
      </c>
      <c r="H747" s="111" t="s">
        <v>12230</v>
      </c>
      <c r="I747" s="111" t="s">
        <v>12287</v>
      </c>
      <c r="J747" s="111"/>
      <c r="K747" s="111" t="s">
        <v>30</v>
      </c>
      <c r="L747" s="111"/>
      <c r="M747" s="111"/>
      <c r="N747" s="111"/>
      <c r="O747" s="111"/>
      <c r="P747" s="111"/>
      <c r="Q747" s="111">
        <v>1.0</v>
      </c>
      <c r="R747" s="111"/>
      <c r="S747" s="111"/>
      <c r="T747" s="111"/>
      <c r="U747" s="111"/>
      <c r="V747" s="111"/>
      <c r="W747" s="111"/>
      <c r="X747" s="111"/>
      <c r="Y747" s="111"/>
      <c r="Z747" s="111"/>
      <c r="AA747" s="124"/>
      <c r="AB747" s="125"/>
      <c r="AC747" s="126"/>
      <c r="AD747" s="125"/>
      <c r="AE747" s="125" t="str">
        <f t="shared" si="138"/>
        <v/>
      </c>
      <c r="AF747" s="127" t="s">
        <v>13423</v>
      </c>
      <c r="AG747" s="127">
        <v>-25.4800573449834</v>
      </c>
      <c r="AH747" s="127">
        <v>-54.6507303129246</v>
      </c>
      <c r="AI747" s="115" t="s">
        <v>12383</v>
      </c>
      <c r="AJ747" s="116">
        <v>0.57</v>
      </c>
      <c r="AK747" s="117"/>
      <c r="AL747" s="117"/>
      <c r="AM747" s="117"/>
      <c r="AN747" s="117"/>
      <c r="AO747" s="117"/>
    </row>
    <row r="748" ht="34.5" customHeight="1">
      <c r="A748" s="111">
        <v>1177.0</v>
      </c>
      <c r="B748" s="111" t="s">
        <v>8742</v>
      </c>
      <c r="C748" s="111" t="s">
        <v>8437</v>
      </c>
      <c r="D748" s="111"/>
      <c r="E748" s="111"/>
      <c r="F748" s="111" t="s">
        <v>12397</v>
      </c>
      <c r="G748" s="111" t="s">
        <v>12381</v>
      </c>
      <c r="H748" s="111" t="s">
        <v>12230</v>
      </c>
      <c r="I748" s="111" t="s">
        <v>12287</v>
      </c>
      <c r="J748" s="111"/>
      <c r="K748" s="111" t="s">
        <v>30</v>
      </c>
      <c r="L748" s="111"/>
      <c r="M748" s="111"/>
      <c r="N748" s="111"/>
      <c r="O748" s="111"/>
      <c r="P748" s="111"/>
      <c r="Q748" s="111">
        <v>1.0</v>
      </c>
      <c r="R748" s="111"/>
      <c r="S748" s="111"/>
      <c r="T748" s="111"/>
      <c r="U748" s="111"/>
      <c r="V748" s="111"/>
      <c r="W748" s="111"/>
      <c r="X748" s="111"/>
      <c r="Y748" s="111"/>
      <c r="Z748" s="111"/>
      <c r="AA748" s="124"/>
      <c r="AB748" s="125"/>
      <c r="AC748" s="126"/>
      <c r="AD748" s="125"/>
      <c r="AE748" s="125" t="str">
        <f t="shared" si="138"/>
        <v/>
      </c>
      <c r="AF748" s="127" t="s">
        <v>13423</v>
      </c>
      <c r="AG748" s="127">
        <v>-27.2512439386559</v>
      </c>
      <c r="AH748" s="127">
        <v>-55.8958657482911</v>
      </c>
      <c r="AI748" s="115" t="s">
        <v>12383</v>
      </c>
      <c r="AJ748" s="116">
        <v>0.57</v>
      </c>
      <c r="AK748" s="117"/>
      <c r="AL748" s="117"/>
      <c r="AM748" s="117"/>
      <c r="AN748" s="117"/>
      <c r="AO748" s="117"/>
    </row>
    <row r="749" ht="34.5" customHeight="1">
      <c r="A749" s="111">
        <v>1178.0</v>
      </c>
      <c r="B749" s="111" t="s">
        <v>8743</v>
      </c>
      <c r="C749" s="111" t="s">
        <v>8371</v>
      </c>
      <c r="D749" s="111">
        <v>2030.0</v>
      </c>
      <c r="E749" s="111"/>
      <c r="F749" s="111" t="s">
        <v>12399</v>
      </c>
      <c r="G749" s="111" t="s">
        <v>12235</v>
      </c>
      <c r="H749" s="111" t="s">
        <v>13160</v>
      </c>
      <c r="I749" s="111"/>
      <c r="J749" s="111"/>
      <c r="K749" s="111" t="s">
        <v>174</v>
      </c>
      <c r="L749" s="111"/>
      <c r="M749" s="111">
        <v>1.0</v>
      </c>
      <c r="N749" s="111"/>
      <c r="O749" s="111"/>
      <c r="P749" s="111"/>
      <c r="Q749" s="111"/>
      <c r="R749" s="111"/>
      <c r="S749" s="111"/>
      <c r="T749" s="111"/>
      <c r="U749" s="111"/>
      <c r="V749" s="111"/>
      <c r="W749" s="111"/>
      <c r="X749" s="111"/>
      <c r="Y749" s="111"/>
      <c r="Z749" s="111" t="s">
        <v>13424</v>
      </c>
      <c r="AA749" s="124"/>
      <c r="AB749" s="125">
        <f>AC749/(H2dens*HoursInYear/10^6)</f>
        <v>230968.1761</v>
      </c>
      <c r="AC749" s="126">
        <f>1000*3/17/0.98</f>
        <v>180.0720288</v>
      </c>
      <c r="AD749" s="125"/>
      <c r="AE749" s="125">
        <f t="shared" si="138"/>
        <v>0</v>
      </c>
      <c r="AF749" s="127" t="s">
        <v>13425</v>
      </c>
      <c r="AG749" s="127">
        <v>24.4852421565258</v>
      </c>
      <c r="AH749" s="127">
        <v>54.3927280389778</v>
      </c>
      <c r="AI749" s="115" t="s">
        <v>12378</v>
      </c>
      <c r="AJ749" s="116">
        <v>0.9</v>
      </c>
      <c r="AK749" s="117"/>
      <c r="AL749" s="117"/>
      <c r="AM749" s="117"/>
      <c r="AN749" s="117"/>
      <c r="AO749" s="117"/>
    </row>
    <row r="750" ht="34.5" customHeight="1">
      <c r="A750" s="111">
        <v>1180.0</v>
      </c>
      <c r="B750" s="111" t="s">
        <v>8744</v>
      </c>
      <c r="C750" s="111" t="s">
        <v>8021</v>
      </c>
      <c r="D750" s="111">
        <v>2024.0</v>
      </c>
      <c r="E750" s="111"/>
      <c r="F750" s="111" t="s">
        <v>12399</v>
      </c>
      <c r="G750" s="111" t="s">
        <v>12381</v>
      </c>
      <c r="H750" s="111" t="s">
        <v>12230</v>
      </c>
      <c r="I750" s="111" t="s">
        <v>12394</v>
      </c>
      <c r="J750" s="111" t="s">
        <v>12296</v>
      </c>
      <c r="K750" s="111" t="s">
        <v>30</v>
      </c>
      <c r="L750" s="111"/>
      <c r="M750" s="111"/>
      <c r="N750" s="111"/>
      <c r="O750" s="111"/>
      <c r="P750" s="111">
        <v>1.0</v>
      </c>
      <c r="Q750" s="111"/>
      <c r="R750" s="111"/>
      <c r="S750" s="111"/>
      <c r="T750" s="111"/>
      <c r="U750" s="111"/>
      <c r="V750" s="111"/>
      <c r="W750" s="111"/>
      <c r="X750" s="111"/>
      <c r="Y750" s="111"/>
      <c r="Z750" s="111" t="s">
        <v>12703</v>
      </c>
      <c r="AA750" s="124">
        <v>10.0</v>
      </c>
      <c r="AB750" s="125">
        <f>IF(Projects!$AI750="Electrolysis",
AA750/VLOOKUP(G750,ElectrolysisConvF,3,FALSE),
AC750*10^6/(H2dens*HoursInYear))</f>
        <v>2222.222222</v>
      </c>
      <c r="AC750" s="126">
        <f t="shared" ref="AC750:AC755" si="142">AB750*H2dens*HoursInYear/10^6</f>
        <v>1.732533333</v>
      </c>
      <c r="AD750" s="125"/>
      <c r="AE750" s="125">
        <f t="shared" si="138"/>
        <v>2222.222222</v>
      </c>
      <c r="AF750" s="127" t="s">
        <v>13426</v>
      </c>
      <c r="AG750" s="127">
        <v>-27.8183498549838</v>
      </c>
      <c r="AH750" s="127">
        <v>120.700606397719</v>
      </c>
      <c r="AI750" s="115" t="s">
        <v>12383</v>
      </c>
      <c r="AJ750" s="116">
        <v>0.5</v>
      </c>
      <c r="AK750" s="117"/>
      <c r="AL750" s="117"/>
      <c r="AM750" s="117"/>
      <c r="AN750" s="117"/>
      <c r="AO750" s="117"/>
    </row>
    <row r="751" ht="34.5" customHeight="1">
      <c r="A751" s="111">
        <v>1181.0</v>
      </c>
      <c r="B751" s="111" t="s">
        <v>8745</v>
      </c>
      <c r="C751" s="111" t="s">
        <v>8021</v>
      </c>
      <c r="D751" s="111">
        <v>2024.0</v>
      </c>
      <c r="E751" s="111"/>
      <c r="F751" s="111" t="s">
        <v>12399</v>
      </c>
      <c r="G751" s="111" t="s">
        <v>12381</v>
      </c>
      <c r="H751" s="111" t="s">
        <v>12230</v>
      </c>
      <c r="I751" s="111" t="s">
        <v>12394</v>
      </c>
      <c r="J751" s="111" t="s">
        <v>12291</v>
      </c>
      <c r="K751" s="111" t="s">
        <v>30</v>
      </c>
      <c r="L751" s="111"/>
      <c r="M751" s="111"/>
      <c r="N751" s="111"/>
      <c r="O751" s="111"/>
      <c r="P751" s="111"/>
      <c r="Q751" s="111">
        <v>1.0</v>
      </c>
      <c r="R751" s="111"/>
      <c r="S751" s="111"/>
      <c r="T751" s="111"/>
      <c r="U751" s="111"/>
      <c r="V751" s="111"/>
      <c r="W751" s="111"/>
      <c r="X751" s="111"/>
      <c r="Y751" s="111"/>
      <c r="Z751" s="111" t="s">
        <v>12703</v>
      </c>
      <c r="AA751" s="124">
        <v>10.0</v>
      </c>
      <c r="AB751" s="125">
        <f>IF(Projects!$AI751="Electrolysis",
AA751/VLOOKUP(G751,ElectrolysisConvF,3,FALSE),
AC751*10^6/(H2dens*HoursInYear))</f>
        <v>2222.222222</v>
      </c>
      <c r="AC751" s="126">
        <f t="shared" si="142"/>
        <v>1.732533333</v>
      </c>
      <c r="AD751" s="125"/>
      <c r="AE751" s="125">
        <f t="shared" si="138"/>
        <v>2222.222222</v>
      </c>
      <c r="AF751" s="127" t="s">
        <v>13426</v>
      </c>
      <c r="AG751" s="127">
        <v>-24.630832255186</v>
      </c>
      <c r="AH751" s="127">
        <v>150.062441605893</v>
      </c>
      <c r="AI751" s="115" t="s">
        <v>12383</v>
      </c>
      <c r="AJ751" s="116">
        <v>0.3</v>
      </c>
      <c r="AK751" s="117"/>
      <c r="AL751" s="117"/>
      <c r="AM751" s="117"/>
      <c r="AN751" s="117"/>
      <c r="AO751" s="117"/>
    </row>
    <row r="752" ht="34.5" customHeight="1">
      <c r="A752" s="111">
        <v>1182.0</v>
      </c>
      <c r="B752" s="111" t="s">
        <v>8746</v>
      </c>
      <c r="C752" s="111" t="s">
        <v>7981</v>
      </c>
      <c r="D752" s="111">
        <v>2024.0</v>
      </c>
      <c r="E752" s="111"/>
      <c r="F752" s="111" t="s">
        <v>12385</v>
      </c>
      <c r="G752" s="111" t="s">
        <v>12226</v>
      </c>
      <c r="H752" s="111"/>
      <c r="I752" s="111" t="s">
        <v>12406</v>
      </c>
      <c r="J752" s="111"/>
      <c r="K752" s="111" t="s">
        <v>30</v>
      </c>
      <c r="L752" s="111"/>
      <c r="M752" s="111"/>
      <c r="N752" s="111"/>
      <c r="O752" s="111"/>
      <c r="P752" s="111"/>
      <c r="Q752" s="111">
        <v>1.0</v>
      </c>
      <c r="R752" s="111"/>
      <c r="S752" s="111"/>
      <c r="T752" s="111"/>
      <c r="U752" s="111"/>
      <c r="V752" s="111"/>
      <c r="W752" s="111"/>
      <c r="X752" s="111"/>
      <c r="Y752" s="111"/>
      <c r="Z752" s="111" t="s">
        <v>13427</v>
      </c>
      <c r="AA752" s="124">
        <v>40.0</v>
      </c>
      <c r="AB752" s="125">
        <f>IF(Projects!$AI752="Electrolysis",
AA752/VLOOKUP(G752,ElectrolysisConvF,3,FALSE),
AC752*10^6/(H2dens*HoursInYear))</f>
        <v>7692.307692</v>
      </c>
      <c r="AC752" s="126">
        <f t="shared" si="142"/>
        <v>5.997230769</v>
      </c>
      <c r="AD752" s="125"/>
      <c r="AE752" s="125">
        <f t="shared" si="138"/>
        <v>7692.307692</v>
      </c>
      <c r="AF752" s="127" t="s">
        <v>13428</v>
      </c>
      <c r="AG752" s="127">
        <v>30.9576827838782</v>
      </c>
      <c r="AH752" s="127">
        <v>-81.6472285474262</v>
      </c>
      <c r="AI752" s="115" t="s">
        <v>12383</v>
      </c>
      <c r="AJ752" s="116">
        <v>0.57</v>
      </c>
      <c r="AK752" s="117"/>
      <c r="AL752" s="117"/>
      <c r="AM752" s="117"/>
      <c r="AN752" s="117"/>
      <c r="AO752" s="117"/>
    </row>
    <row r="753" ht="34.5" customHeight="1">
      <c r="A753" s="111">
        <v>1183.0</v>
      </c>
      <c r="B753" s="111" t="s">
        <v>8747</v>
      </c>
      <c r="C753" s="111" t="s">
        <v>8161</v>
      </c>
      <c r="D753" s="111"/>
      <c r="E753" s="111"/>
      <c r="F753" s="111" t="s">
        <v>12399</v>
      </c>
      <c r="G753" s="111" t="s">
        <v>12381</v>
      </c>
      <c r="H753" s="111" t="s">
        <v>12230</v>
      </c>
      <c r="I753" s="111" t="s">
        <v>12394</v>
      </c>
      <c r="J753" s="111" t="s">
        <v>12291</v>
      </c>
      <c r="K753" s="111" t="s">
        <v>30</v>
      </c>
      <c r="L753" s="111"/>
      <c r="M753" s="111"/>
      <c r="N753" s="111"/>
      <c r="O753" s="111"/>
      <c r="P753" s="111"/>
      <c r="Q753" s="111"/>
      <c r="R753" s="111"/>
      <c r="S753" s="111"/>
      <c r="T753" s="111"/>
      <c r="U753" s="111"/>
      <c r="V753" s="111"/>
      <c r="W753" s="111"/>
      <c r="X753" s="111"/>
      <c r="Y753" s="111"/>
      <c r="Z753" s="111" t="s">
        <v>13429</v>
      </c>
      <c r="AA753" s="124">
        <v>0.5</v>
      </c>
      <c r="AB753" s="125">
        <f>IF(Projects!$AI753="Electrolysis",
AA753/VLOOKUP(G753,ElectrolysisConvF,3,FALSE),
AC753*10^6/(H2dens*HoursInYear))</f>
        <v>111.1111111</v>
      </c>
      <c r="AC753" s="126">
        <f t="shared" si="142"/>
        <v>0.08662666667</v>
      </c>
      <c r="AD753" s="125"/>
      <c r="AE753" s="125">
        <f t="shared" si="138"/>
        <v>111.1111111</v>
      </c>
      <c r="AF753" s="127" t="s">
        <v>13430</v>
      </c>
      <c r="AG753" s="127">
        <v>39.4642875090179</v>
      </c>
      <c r="AH753" s="127">
        <v>-8.11183460966613</v>
      </c>
      <c r="AI753" s="115" t="s">
        <v>12383</v>
      </c>
      <c r="AJ753" s="116">
        <v>0.3</v>
      </c>
      <c r="AK753" s="117"/>
      <c r="AL753" s="117"/>
      <c r="AM753" s="117"/>
      <c r="AN753" s="117"/>
      <c r="AO753" s="117"/>
    </row>
    <row r="754" ht="34.5" customHeight="1">
      <c r="A754" s="111">
        <v>1184.0</v>
      </c>
      <c r="B754" s="111" t="s">
        <v>8748</v>
      </c>
      <c r="C754" s="111" t="s">
        <v>8011</v>
      </c>
      <c r="D754" s="111">
        <v>2023.0</v>
      </c>
      <c r="E754" s="111">
        <v>2023.0</v>
      </c>
      <c r="F754" s="111" t="s">
        <v>12418</v>
      </c>
      <c r="G754" s="111" t="s">
        <v>12226</v>
      </c>
      <c r="H754" s="111"/>
      <c r="I754" s="111" t="s">
        <v>12394</v>
      </c>
      <c r="J754" s="111" t="s">
        <v>12293</v>
      </c>
      <c r="K754" s="111" t="s">
        <v>30</v>
      </c>
      <c r="L754" s="111"/>
      <c r="M754" s="111"/>
      <c r="N754" s="111"/>
      <c r="O754" s="111"/>
      <c r="P754" s="111"/>
      <c r="Q754" s="111"/>
      <c r="R754" s="111"/>
      <c r="S754" s="111"/>
      <c r="T754" s="111"/>
      <c r="U754" s="111"/>
      <c r="V754" s="111"/>
      <c r="W754" s="111"/>
      <c r="X754" s="111"/>
      <c r="Y754" s="111"/>
      <c r="Z754" s="111" t="s">
        <v>13431</v>
      </c>
      <c r="AA754" s="124">
        <v>1.0</v>
      </c>
      <c r="AB754" s="125">
        <f>IF(Projects!$AI754="Electrolysis",
AA754/VLOOKUP(G754,ElectrolysisConvF,3,FALSE),
AC754*10^6/(H2dens*HoursInYear))</f>
        <v>192.3076923</v>
      </c>
      <c r="AC754" s="126">
        <f t="shared" si="142"/>
        <v>0.1499307692</v>
      </c>
      <c r="AD754" s="125"/>
      <c r="AE754" s="125">
        <f t="shared" si="138"/>
        <v>192.3076923</v>
      </c>
      <c r="AF754" s="127" t="s">
        <v>13432</v>
      </c>
      <c r="AG754" s="127">
        <v>47.2944762746786</v>
      </c>
      <c r="AH754" s="127">
        <v>-2.51181965232479</v>
      </c>
      <c r="AI754" s="115" t="s">
        <v>12383</v>
      </c>
      <c r="AJ754" s="116">
        <v>0.55</v>
      </c>
      <c r="AK754" s="117"/>
      <c r="AL754" s="117"/>
      <c r="AM754" s="117"/>
      <c r="AN754" s="117"/>
      <c r="AO754" s="117"/>
    </row>
    <row r="755" ht="34.5" customHeight="1">
      <c r="A755" s="111">
        <v>1185.0</v>
      </c>
      <c r="B755" s="111" t="s">
        <v>8749</v>
      </c>
      <c r="C755" s="111" t="s">
        <v>8108</v>
      </c>
      <c r="D755" s="111">
        <v>2021.0</v>
      </c>
      <c r="E755" s="111"/>
      <c r="F755" s="111" t="s">
        <v>12385</v>
      </c>
      <c r="G755" s="111" t="s">
        <v>12381</v>
      </c>
      <c r="H755" s="111" t="s">
        <v>12230</v>
      </c>
      <c r="I755" s="111" t="s">
        <v>12394</v>
      </c>
      <c r="J755" s="111" t="s">
        <v>12291</v>
      </c>
      <c r="K755" s="111" t="s">
        <v>174</v>
      </c>
      <c r="L755" s="111"/>
      <c r="M755" s="111">
        <v>1.0</v>
      </c>
      <c r="N755" s="111"/>
      <c r="O755" s="111"/>
      <c r="P755" s="111"/>
      <c r="Q755" s="111"/>
      <c r="R755" s="111"/>
      <c r="S755" s="111"/>
      <c r="T755" s="111"/>
      <c r="U755" s="111"/>
      <c r="V755" s="111"/>
      <c r="W755" s="111"/>
      <c r="X755" s="111"/>
      <c r="Y755" s="111"/>
      <c r="Z755" s="111" t="s">
        <v>13433</v>
      </c>
      <c r="AA755" s="124">
        <v>2.1</v>
      </c>
      <c r="AB755" s="125">
        <f>IF(Projects!$AI755="Electrolysis",
AA755/VLOOKUP(G755,ElectrolysisConvF,3,FALSE),
AC755*10^6/(H2dens*HoursInYear))</f>
        <v>466.6666667</v>
      </c>
      <c r="AC755" s="126">
        <f t="shared" si="142"/>
        <v>0.363832</v>
      </c>
      <c r="AD755" s="125"/>
      <c r="AE755" s="125"/>
      <c r="AF755" s="127" t="s">
        <v>13434</v>
      </c>
      <c r="AG755" s="127">
        <v>28.3321560504665</v>
      </c>
      <c r="AH755" s="127">
        <v>73.2815458441669</v>
      </c>
      <c r="AI755" s="115" t="s">
        <v>12383</v>
      </c>
      <c r="AJ755" s="116">
        <v>0.3</v>
      </c>
      <c r="AK755" s="117"/>
      <c r="AL755" s="117"/>
      <c r="AM755" s="117"/>
      <c r="AN755" s="117"/>
      <c r="AO755" s="117"/>
    </row>
    <row r="756" ht="34.5" customHeight="1">
      <c r="A756" s="111">
        <v>1186.0</v>
      </c>
      <c r="B756" s="111" t="s">
        <v>8750</v>
      </c>
      <c r="C756" s="111" t="s">
        <v>8562</v>
      </c>
      <c r="D756" s="111"/>
      <c r="E756" s="111"/>
      <c r="F756" s="111" t="s">
        <v>12393</v>
      </c>
      <c r="G756" s="111" t="s">
        <v>12381</v>
      </c>
      <c r="H756" s="111" t="s">
        <v>12230</v>
      </c>
      <c r="I756" s="111" t="s">
        <v>12394</v>
      </c>
      <c r="J756" s="111" t="s">
        <v>12296</v>
      </c>
      <c r="K756" s="111" t="s">
        <v>174</v>
      </c>
      <c r="L756" s="111"/>
      <c r="M756" s="111">
        <v>1.0</v>
      </c>
      <c r="N756" s="111"/>
      <c r="O756" s="111"/>
      <c r="P756" s="111"/>
      <c r="Q756" s="111"/>
      <c r="R756" s="111"/>
      <c r="S756" s="111"/>
      <c r="T756" s="111"/>
      <c r="U756" s="111"/>
      <c r="V756" s="111"/>
      <c r="W756" s="111"/>
      <c r="X756" s="111"/>
      <c r="Y756" s="111"/>
      <c r="Z756" s="111" t="s">
        <v>13435</v>
      </c>
      <c r="AA756" s="124"/>
      <c r="AB756" s="125"/>
      <c r="AC756" s="126"/>
      <c r="AD756" s="125"/>
      <c r="AE756" s="125"/>
      <c r="AF756" s="127" t="s">
        <v>13436</v>
      </c>
      <c r="AG756" s="127">
        <v>33.1298310698553</v>
      </c>
      <c r="AH756" s="127">
        <v>-8.6220069588264</v>
      </c>
      <c r="AI756" s="115" t="s">
        <v>12383</v>
      </c>
      <c r="AJ756" s="116">
        <v>0.5</v>
      </c>
      <c r="AK756" s="117"/>
      <c r="AL756" s="117"/>
      <c r="AM756" s="117"/>
      <c r="AN756" s="117"/>
      <c r="AO756" s="117"/>
    </row>
    <row r="757" ht="34.5" customHeight="1">
      <c r="A757" s="111">
        <v>1187.0</v>
      </c>
      <c r="B757" s="111" t="s">
        <v>8751</v>
      </c>
      <c r="C757" s="111" t="s">
        <v>7974</v>
      </c>
      <c r="D757" s="111">
        <v>2023.0</v>
      </c>
      <c r="E757" s="111"/>
      <c r="F757" s="111" t="s">
        <v>12385</v>
      </c>
      <c r="G757" s="111" t="s">
        <v>12224</v>
      </c>
      <c r="H757" s="111"/>
      <c r="I757" s="111" t="s">
        <v>12406</v>
      </c>
      <c r="J757" s="111"/>
      <c r="K757" s="111" t="s">
        <v>30</v>
      </c>
      <c r="L757" s="111"/>
      <c r="M757" s="111"/>
      <c r="N757" s="111"/>
      <c r="O757" s="111">
        <v>1.0</v>
      </c>
      <c r="P757" s="111"/>
      <c r="Q757" s="111"/>
      <c r="R757" s="111"/>
      <c r="S757" s="111"/>
      <c r="T757" s="111"/>
      <c r="U757" s="111"/>
      <c r="V757" s="111"/>
      <c r="W757" s="111"/>
      <c r="X757" s="111"/>
      <c r="Y757" s="111"/>
      <c r="Z757" s="111" t="s">
        <v>13437</v>
      </c>
      <c r="AA757" s="124">
        <v>17.0</v>
      </c>
      <c r="AB757" s="125">
        <f>IF(Projects!$AI757="Electrolysis",
AA757/VLOOKUP(G757,ElectrolysisConvF,3,FALSE),
AC757*10^6/(H2dens*HoursInYear))</f>
        <v>3695.652174</v>
      </c>
      <c r="AC757" s="126">
        <f t="shared" ref="AC757:AC765" si="143">AB757*H2dens*HoursInYear/10^6</f>
        <v>2.881278261</v>
      </c>
      <c r="AD757" s="125"/>
      <c r="AE757" s="125">
        <f t="shared" ref="AE757:AE759" si="144">IF(AND(G757&lt;&gt;"NG w CCUS",G757&lt;&gt;"Oil w CCUS",G757&lt;&gt;"Coal w CCUS"),AB757,AD757*10^3/(HoursInYear*IF(G757="NG w CCUS",0.9105,1.9075)))</f>
        <v>3695.652174</v>
      </c>
      <c r="AF757" s="127" t="s">
        <v>13438</v>
      </c>
      <c r="AG757" s="127">
        <v>60.5578395893936</v>
      </c>
      <c r="AH757" s="127">
        <v>16.2993350158126</v>
      </c>
      <c r="AI757" s="115" t="s">
        <v>12383</v>
      </c>
      <c r="AJ757" s="116">
        <v>0.57</v>
      </c>
      <c r="AK757" s="117"/>
      <c r="AL757" s="117"/>
      <c r="AM757" s="117"/>
      <c r="AN757" s="117"/>
      <c r="AO757" s="117"/>
    </row>
    <row r="758" ht="34.5" customHeight="1">
      <c r="A758" s="111">
        <v>1188.0</v>
      </c>
      <c r="B758" s="111" t="s">
        <v>8752</v>
      </c>
      <c r="C758" s="111" t="s">
        <v>8753</v>
      </c>
      <c r="D758" s="111">
        <v>2032.0</v>
      </c>
      <c r="E758" s="111"/>
      <c r="F758" s="145" t="s">
        <v>12399</v>
      </c>
      <c r="G758" s="145" t="s">
        <v>12381</v>
      </c>
      <c r="H758" s="145" t="s">
        <v>12230</v>
      </c>
      <c r="I758" s="145" t="s">
        <v>12394</v>
      </c>
      <c r="J758" s="111" t="s">
        <v>12295</v>
      </c>
      <c r="K758" s="111" t="s">
        <v>174</v>
      </c>
      <c r="L758" s="111"/>
      <c r="M758" s="111">
        <v>1.0</v>
      </c>
      <c r="N758" s="111"/>
      <c r="O758" s="111"/>
      <c r="P758" s="111"/>
      <c r="Q758" s="111"/>
      <c r="R758" s="111"/>
      <c r="S758" s="111"/>
      <c r="T758" s="111"/>
      <c r="U758" s="111"/>
      <c r="V758" s="111"/>
      <c r="W758" s="111"/>
      <c r="X758" s="111"/>
      <c r="Y758" s="111"/>
      <c r="Z758" s="111" t="s">
        <v>13439</v>
      </c>
      <c r="AA758" s="124">
        <v>20000.0</v>
      </c>
      <c r="AB758" s="125">
        <f>IF(Projects!$AI758="Electrolysis",
AA758/VLOOKUP(G758,ElectrolysisConvF,3,FALSE),
AC758*10^6/(H2dens*HoursInYear))</f>
        <v>4444444.444</v>
      </c>
      <c r="AC758" s="126">
        <f t="shared" si="143"/>
        <v>3465.066667</v>
      </c>
      <c r="AD758" s="125"/>
      <c r="AE758" s="125">
        <f t="shared" si="144"/>
        <v>4444444.444</v>
      </c>
      <c r="AF758" s="127" t="s">
        <v>13440</v>
      </c>
      <c r="AG758" s="127">
        <v>42.7981635772725</v>
      </c>
      <c r="AH758" s="127">
        <v>53.5988796159426</v>
      </c>
      <c r="AI758" s="115" t="s">
        <v>12383</v>
      </c>
      <c r="AJ758" s="116">
        <v>0.5</v>
      </c>
      <c r="AK758" s="117"/>
      <c r="AL758" s="117"/>
      <c r="AM758" s="117"/>
      <c r="AN758" s="117"/>
      <c r="AO758" s="117"/>
    </row>
    <row r="759" ht="34.5" customHeight="1">
      <c r="A759" s="111">
        <v>1189.0</v>
      </c>
      <c r="B759" s="111" t="s">
        <v>8754</v>
      </c>
      <c r="C759" s="111" t="s">
        <v>8021</v>
      </c>
      <c r="D759" s="111">
        <v>2024.0</v>
      </c>
      <c r="E759" s="111"/>
      <c r="F759" s="111" t="s">
        <v>12393</v>
      </c>
      <c r="G759" s="111" t="s">
        <v>12381</v>
      </c>
      <c r="H759" s="111" t="s">
        <v>12230</v>
      </c>
      <c r="I759" s="111" t="s">
        <v>12394</v>
      </c>
      <c r="J759" s="111" t="s">
        <v>12291</v>
      </c>
      <c r="K759" s="111" t="s">
        <v>30</v>
      </c>
      <c r="L759" s="111"/>
      <c r="M759" s="111"/>
      <c r="N759" s="111"/>
      <c r="O759" s="111"/>
      <c r="P759" s="111"/>
      <c r="Q759" s="111"/>
      <c r="R759" s="111">
        <v>1.0</v>
      </c>
      <c r="S759" s="111"/>
      <c r="T759" s="111"/>
      <c r="U759" s="111"/>
      <c r="V759" s="111"/>
      <c r="W759" s="111"/>
      <c r="X759" s="111"/>
      <c r="Y759" s="111"/>
      <c r="Z759" s="111" t="s">
        <v>12720</v>
      </c>
      <c r="AA759" s="124">
        <v>2.0</v>
      </c>
      <c r="AB759" s="125">
        <f>IF(Projects!$AI759="Electrolysis",
AA759/VLOOKUP(G759,ElectrolysisConvF,3,FALSE),
AC759*10^6/(H2dens*HoursInYear))</f>
        <v>444.4444444</v>
      </c>
      <c r="AC759" s="126">
        <f t="shared" si="143"/>
        <v>0.3465066667</v>
      </c>
      <c r="AD759" s="125"/>
      <c r="AE759" s="125">
        <f t="shared" si="144"/>
        <v>444.4444444</v>
      </c>
      <c r="AF759" s="127" t="s">
        <v>13441</v>
      </c>
      <c r="AG759" s="127">
        <v>-30.7500912039308</v>
      </c>
      <c r="AH759" s="127">
        <v>150.722775832668</v>
      </c>
      <c r="AI759" s="115" t="s">
        <v>12383</v>
      </c>
      <c r="AJ759" s="116">
        <v>0.3</v>
      </c>
      <c r="AK759" s="117"/>
      <c r="AL759" s="117"/>
      <c r="AM759" s="117"/>
      <c r="AN759" s="117"/>
      <c r="AO759" s="117"/>
    </row>
    <row r="760" ht="34.5" customHeight="1">
      <c r="A760" s="111">
        <v>1190.0</v>
      </c>
      <c r="B760" s="111" t="s">
        <v>8755</v>
      </c>
      <c r="C760" s="111" t="s">
        <v>8388</v>
      </c>
      <c r="D760" s="111">
        <v>2038.0</v>
      </c>
      <c r="E760" s="111"/>
      <c r="F760" s="111" t="s">
        <v>12399</v>
      </c>
      <c r="G760" s="111" t="s">
        <v>12381</v>
      </c>
      <c r="H760" s="111" t="s">
        <v>12230</v>
      </c>
      <c r="I760" s="111" t="s">
        <v>12394</v>
      </c>
      <c r="J760" s="111" t="s">
        <v>12295</v>
      </c>
      <c r="K760" s="111" t="s">
        <v>174</v>
      </c>
      <c r="L760" s="111"/>
      <c r="M760" s="111"/>
      <c r="N760" s="111"/>
      <c r="O760" s="111"/>
      <c r="P760" s="111"/>
      <c r="Q760" s="111"/>
      <c r="R760" s="111"/>
      <c r="S760" s="111"/>
      <c r="T760" s="111"/>
      <c r="U760" s="111"/>
      <c r="V760" s="111"/>
      <c r="W760" s="111"/>
      <c r="X760" s="111"/>
      <c r="Y760" s="111"/>
      <c r="Z760" s="111" t="s">
        <v>13442</v>
      </c>
      <c r="AA760" s="124">
        <f>14000-4667</f>
        <v>9333</v>
      </c>
      <c r="AB760" s="125">
        <f>IF(Projects!$AI760="Electrolysis",
AA760/VLOOKUP(G760,ElectrolysisConvF,3,FALSE),
AC760*10^6/(H2dens*HoursInYear))</f>
        <v>2074000</v>
      </c>
      <c r="AC760" s="126">
        <f t="shared" si="143"/>
        <v>1616.97336</v>
      </c>
      <c r="AD760" s="125"/>
      <c r="AE760" s="125">
        <f>AB760</f>
        <v>2074000</v>
      </c>
      <c r="AF760" s="127" t="s">
        <v>13361</v>
      </c>
      <c r="AG760" s="127">
        <v>19.6866840412678</v>
      </c>
      <c r="AH760" s="127">
        <v>56.8637803154941</v>
      </c>
      <c r="AI760" s="115" t="s">
        <v>12383</v>
      </c>
      <c r="AJ760" s="116">
        <v>0.5</v>
      </c>
      <c r="AK760" s="117"/>
      <c r="AL760" s="117"/>
      <c r="AM760" s="117"/>
      <c r="AN760" s="117"/>
      <c r="AO760" s="117"/>
    </row>
    <row r="761" ht="34.5" customHeight="1">
      <c r="A761" s="111">
        <v>1191.0</v>
      </c>
      <c r="B761" s="111" t="s">
        <v>8756</v>
      </c>
      <c r="C761" s="111" t="s">
        <v>7987</v>
      </c>
      <c r="D761" s="111">
        <v>2035.0</v>
      </c>
      <c r="E761" s="111"/>
      <c r="F761" s="111" t="s">
        <v>12397</v>
      </c>
      <c r="G761" s="111" t="s">
        <v>12381</v>
      </c>
      <c r="H761" s="111" t="s">
        <v>12230</v>
      </c>
      <c r="I761" s="111" t="s">
        <v>12394</v>
      </c>
      <c r="J761" s="111" t="s">
        <v>12293</v>
      </c>
      <c r="K761" s="111" t="s">
        <v>30</v>
      </c>
      <c r="L761" s="111"/>
      <c r="M761" s="111"/>
      <c r="N761" s="111"/>
      <c r="O761" s="111"/>
      <c r="P761" s="111"/>
      <c r="Q761" s="111"/>
      <c r="R761" s="111"/>
      <c r="S761" s="111"/>
      <c r="T761" s="111"/>
      <c r="U761" s="111"/>
      <c r="V761" s="111"/>
      <c r="W761" s="111"/>
      <c r="X761" s="111"/>
      <c r="Y761" s="111"/>
      <c r="Z761" s="111" t="s">
        <v>13144</v>
      </c>
      <c r="AA761" s="124">
        <f>5000</f>
        <v>5000</v>
      </c>
      <c r="AB761" s="125">
        <f>IF(Projects!$AI761="Electrolysis",
AA761/VLOOKUP(G761,ElectrolysisConvF,3,FALSE),
AC761*10^6/(H2dens*HoursInYear))</f>
        <v>1111111.111</v>
      </c>
      <c r="AC761" s="126">
        <f t="shared" si="143"/>
        <v>866.2666667</v>
      </c>
      <c r="AD761" s="125"/>
      <c r="AE761" s="125">
        <f t="shared" ref="AE761:AE776" si="145">IF(AND(G761&lt;&gt;"NG w CCUS",G761&lt;&gt;"Oil w CCUS",G761&lt;&gt;"Coal w CCUS"),AB761,AD761*10^3/(HoursInYear*IF(G761="NG w CCUS",0.9105,1.9075)))</f>
        <v>1111111.111</v>
      </c>
      <c r="AF761" s="127" t="s">
        <v>13443</v>
      </c>
      <c r="AG761" s="127">
        <v>54.2023436057572</v>
      </c>
      <c r="AH761" s="127">
        <v>7.92126860886418</v>
      </c>
      <c r="AI761" s="115" t="s">
        <v>12383</v>
      </c>
      <c r="AJ761" s="116">
        <v>0.55</v>
      </c>
      <c r="AK761" s="117"/>
      <c r="AL761" s="117"/>
      <c r="AM761" s="117"/>
      <c r="AN761" s="117"/>
      <c r="AO761" s="117"/>
    </row>
    <row r="762" ht="34.5" customHeight="1">
      <c r="A762" s="111">
        <v>1192.0</v>
      </c>
      <c r="B762" s="111" t="s">
        <v>8757</v>
      </c>
      <c r="C762" s="111" t="s">
        <v>8702</v>
      </c>
      <c r="D762" s="111">
        <v>2030.0</v>
      </c>
      <c r="E762" s="111"/>
      <c r="F762" s="111" t="s">
        <v>12397</v>
      </c>
      <c r="G762" s="111" t="s">
        <v>12381</v>
      </c>
      <c r="H762" s="111" t="s">
        <v>12230</v>
      </c>
      <c r="I762" s="111" t="s">
        <v>12394</v>
      </c>
      <c r="J762" s="111" t="s">
        <v>12293</v>
      </c>
      <c r="K762" s="111" t="s">
        <v>30</v>
      </c>
      <c r="L762" s="111">
        <v>1.0</v>
      </c>
      <c r="M762" s="111"/>
      <c r="N762" s="111"/>
      <c r="O762" s="111"/>
      <c r="P762" s="111">
        <v>1.0</v>
      </c>
      <c r="Q762" s="111">
        <v>1.0</v>
      </c>
      <c r="R762" s="111"/>
      <c r="S762" s="111"/>
      <c r="T762" s="111"/>
      <c r="U762" s="111"/>
      <c r="V762" s="111"/>
      <c r="W762" s="111"/>
      <c r="X762" s="111"/>
      <c r="Y762" s="111"/>
      <c r="Z762" s="111" t="s">
        <v>13444</v>
      </c>
      <c r="AA762" s="124">
        <v>2650.0</v>
      </c>
      <c r="AB762" s="125">
        <f>IF(Projects!$AI762="Electrolysis",
AA762/VLOOKUP(G762,ElectrolysisConvF,3,FALSE),
AC762*10^6/(H2dens*HoursInYear))</f>
        <v>588888.8889</v>
      </c>
      <c r="AC762" s="126">
        <f t="shared" si="143"/>
        <v>459.1213333</v>
      </c>
      <c r="AD762" s="125"/>
      <c r="AE762" s="125">
        <f t="shared" si="145"/>
        <v>588888.8889</v>
      </c>
      <c r="AF762" s="127" t="s">
        <v>13445</v>
      </c>
      <c r="AG762" s="127">
        <v>51.8404527235042</v>
      </c>
      <c r="AH762" s="127">
        <v>-8.21832026462021</v>
      </c>
      <c r="AI762" s="115" t="s">
        <v>12383</v>
      </c>
      <c r="AJ762" s="116">
        <v>0.55</v>
      </c>
      <c r="AK762" s="117"/>
      <c r="AL762" s="117"/>
      <c r="AM762" s="117"/>
      <c r="AN762" s="117"/>
      <c r="AO762" s="117"/>
    </row>
    <row r="763" ht="34.5" customHeight="1">
      <c r="A763" s="111">
        <v>1193.0</v>
      </c>
      <c r="B763" s="111" t="s">
        <v>8758</v>
      </c>
      <c r="C763" s="111" t="s">
        <v>8702</v>
      </c>
      <c r="D763" s="111">
        <v>2030.0</v>
      </c>
      <c r="E763" s="111"/>
      <c r="F763" s="111" t="s">
        <v>12397</v>
      </c>
      <c r="G763" s="111" t="s">
        <v>12381</v>
      </c>
      <c r="H763" s="111" t="s">
        <v>12230</v>
      </c>
      <c r="I763" s="111" t="s">
        <v>12394</v>
      </c>
      <c r="J763" s="111" t="s">
        <v>12293</v>
      </c>
      <c r="K763" s="111" t="s">
        <v>174</v>
      </c>
      <c r="L763" s="111"/>
      <c r="M763" s="111">
        <v>1.0</v>
      </c>
      <c r="N763" s="111"/>
      <c r="O763" s="111"/>
      <c r="P763" s="111"/>
      <c r="Q763" s="111"/>
      <c r="R763" s="111"/>
      <c r="S763" s="111"/>
      <c r="T763" s="111"/>
      <c r="U763" s="111"/>
      <c r="V763" s="111"/>
      <c r="W763" s="111"/>
      <c r="X763" s="111"/>
      <c r="Y763" s="111"/>
      <c r="Z763" s="111" t="s">
        <v>13069</v>
      </c>
      <c r="AA763" s="124">
        <v>500.0</v>
      </c>
      <c r="AB763" s="125">
        <f>IF(Projects!$AI763="Electrolysis",
AA763/VLOOKUP(G763,ElectrolysisConvF,3,FALSE),
AC763*10^6/(H2dens*HoursInYear))</f>
        <v>111111.1111</v>
      </c>
      <c r="AC763" s="126">
        <f t="shared" si="143"/>
        <v>86.62666667</v>
      </c>
      <c r="AD763" s="125"/>
      <c r="AE763" s="125">
        <f t="shared" si="145"/>
        <v>111111.1111</v>
      </c>
      <c r="AF763" s="127" t="s">
        <v>13445</v>
      </c>
      <c r="AG763" s="127">
        <v>51.8404527235042</v>
      </c>
      <c r="AH763" s="127">
        <v>-8.21832026462021</v>
      </c>
      <c r="AI763" s="115" t="s">
        <v>12383</v>
      </c>
      <c r="AJ763" s="116">
        <v>0.55</v>
      </c>
      <c r="AK763" s="117"/>
      <c r="AL763" s="117"/>
      <c r="AM763" s="117"/>
      <c r="AN763" s="117"/>
      <c r="AO763" s="117"/>
    </row>
    <row r="764" ht="34.5" customHeight="1">
      <c r="A764" s="111">
        <v>1195.0</v>
      </c>
      <c r="B764" s="111" t="s">
        <v>8759</v>
      </c>
      <c r="C764" s="111" t="s">
        <v>7981</v>
      </c>
      <c r="D764" s="111"/>
      <c r="E764" s="111"/>
      <c r="F764" s="111" t="s">
        <v>12399</v>
      </c>
      <c r="G764" s="111" t="s">
        <v>12381</v>
      </c>
      <c r="H764" s="111" t="s">
        <v>12230</v>
      </c>
      <c r="I764" s="111" t="s">
        <v>12394</v>
      </c>
      <c r="J764" s="111" t="s">
        <v>12293</v>
      </c>
      <c r="K764" s="111" t="s">
        <v>30</v>
      </c>
      <c r="L764" s="111"/>
      <c r="M764" s="111"/>
      <c r="N764" s="111"/>
      <c r="O764" s="111"/>
      <c r="P764" s="111"/>
      <c r="Q764" s="111"/>
      <c r="R764" s="111"/>
      <c r="S764" s="111"/>
      <c r="T764" s="111"/>
      <c r="U764" s="111"/>
      <c r="V764" s="111"/>
      <c r="W764" s="111"/>
      <c r="X764" s="111"/>
      <c r="Y764" s="111"/>
      <c r="Z764" s="111" t="s">
        <v>13028</v>
      </c>
      <c r="AA764" s="124">
        <v>7.5</v>
      </c>
      <c r="AB764" s="125">
        <f>IF(Projects!$AI764="Electrolysis",
AA764/VLOOKUP(G764,ElectrolysisConvF,3,FALSE),
AC764*10^6/(H2dens*HoursInYear))</f>
        <v>1666.666667</v>
      </c>
      <c r="AC764" s="126">
        <f t="shared" si="143"/>
        <v>1.2994</v>
      </c>
      <c r="AD764" s="125"/>
      <c r="AE764" s="125">
        <f t="shared" si="145"/>
        <v>1666.666667</v>
      </c>
      <c r="AF764" s="127" t="s">
        <v>13446</v>
      </c>
      <c r="AG764" s="127">
        <v>40.2042419033545</v>
      </c>
      <c r="AH764" s="127">
        <v>-74.1537604868933</v>
      </c>
      <c r="AI764" s="115" t="s">
        <v>12383</v>
      </c>
      <c r="AJ764" s="116">
        <v>0.55</v>
      </c>
      <c r="AK764" s="117"/>
      <c r="AL764" s="117"/>
      <c r="AM764" s="117"/>
      <c r="AN764" s="117"/>
      <c r="AO764" s="117"/>
    </row>
    <row r="765" ht="34.5" customHeight="1">
      <c r="A765" s="111">
        <v>1196.0</v>
      </c>
      <c r="B765" s="111" t="s">
        <v>8760</v>
      </c>
      <c r="C765" s="111" t="s">
        <v>8600</v>
      </c>
      <c r="D765" s="111">
        <v>2026.0</v>
      </c>
      <c r="E765" s="111"/>
      <c r="F765" s="111" t="s">
        <v>12399</v>
      </c>
      <c r="G765" s="111" t="s">
        <v>12381</v>
      </c>
      <c r="H765" s="111" t="s">
        <v>12230</v>
      </c>
      <c r="I765" s="111" t="s">
        <v>12394</v>
      </c>
      <c r="J765" s="111" t="s">
        <v>12291</v>
      </c>
      <c r="K765" s="111" t="s">
        <v>30</v>
      </c>
      <c r="L765" s="111"/>
      <c r="M765" s="111"/>
      <c r="N765" s="111"/>
      <c r="O765" s="111"/>
      <c r="P765" s="111"/>
      <c r="Q765" s="111"/>
      <c r="R765" s="111"/>
      <c r="S765" s="111"/>
      <c r="T765" s="111"/>
      <c r="U765" s="111"/>
      <c r="V765" s="111"/>
      <c r="W765" s="111"/>
      <c r="X765" s="111"/>
      <c r="Y765" s="111"/>
      <c r="Z765" s="111" t="s">
        <v>13447</v>
      </c>
      <c r="AA765" s="124">
        <v>35.0</v>
      </c>
      <c r="AB765" s="125">
        <f>IF(Projects!$AI765="Electrolysis",
AA765/VLOOKUP(G765,ElectrolysisConvF,3,FALSE),
AC765*10^6/(H2dens*HoursInYear))</f>
        <v>7777.777778</v>
      </c>
      <c r="AC765" s="126">
        <f t="shared" si="143"/>
        <v>6.063866667</v>
      </c>
      <c r="AD765" s="125"/>
      <c r="AE765" s="125">
        <f t="shared" si="145"/>
        <v>7777.777778</v>
      </c>
      <c r="AF765" s="127" t="s">
        <v>13448</v>
      </c>
      <c r="AG765" s="127">
        <v>21.257528</v>
      </c>
      <c r="AH765" s="127">
        <v>-100.588878</v>
      </c>
      <c r="AI765" s="115" t="s">
        <v>12383</v>
      </c>
      <c r="AJ765" s="116">
        <v>0.3</v>
      </c>
      <c r="AK765" s="117"/>
      <c r="AL765" s="117"/>
      <c r="AM765" s="117"/>
      <c r="AN765" s="117"/>
      <c r="AO765" s="117"/>
    </row>
    <row r="766" ht="34.5" customHeight="1">
      <c r="A766" s="111">
        <v>1197.0</v>
      </c>
      <c r="B766" s="111" t="s">
        <v>8761</v>
      </c>
      <c r="C766" s="111" t="s">
        <v>8138</v>
      </c>
      <c r="D766" s="111"/>
      <c r="E766" s="111"/>
      <c r="F766" s="111" t="s">
        <v>12397</v>
      </c>
      <c r="G766" s="111" t="s">
        <v>12381</v>
      </c>
      <c r="H766" s="111" t="s">
        <v>12230</v>
      </c>
      <c r="I766" s="111" t="s">
        <v>12394</v>
      </c>
      <c r="J766" s="111" t="s">
        <v>12296</v>
      </c>
      <c r="K766" s="111" t="s">
        <v>30</v>
      </c>
      <c r="L766" s="111"/>
      <c r="M766" s="111"/>
      <c r="N766" s="111"/>
      <c r="O766" s="111"/>
      <c r="P766" s="111"/>
      <c r="Q766" s="111"/>
      <c r="R766" s="111"/>
      <c r="S766" s="111"/>
      <c r="T766" s="111"/>
      <c r="U766" s="111"/>
      <c r="V766" s="111"/>
      <c r="W766" s="111"/>
      <c r="X766" s="111"/>
      <c r="Y766" s="111"/>
      <c r="Z766" s="111"/>
      <c r="AA766" s="124"/>
      <c r="AB766" s="125"/>
      <c r="AC766" s="126"/>
      <c r="AD766" s="125"/>
      <c r="AE766" s="125" t="str">
        <f t="shared" si="145"/>
        <v/>
      </c>
      <c r="AF766" s="127" t="s">
        <v>13449</v>
      </c>
      <c r="AG766" s="127">
        <v>0.0</v>
      </c>
      <c r="AH766" s="127">
        <v>0.0</v>
      </c>
      <c r="AI766" s="115" t="s">
        <v>12383</v>
      </c>
      <c r="AJ766" s="116">
        <v>0.5</v>
      </c>
      <c r="AK766" s="117"/>
      <c r="AL766" s="117"/>
      <c r="AM766" s="117"/>
      <c r="AN766" s="117"/>
      <c r="AO766" s="117"/>
    </row>
    <row r="767" ht="34.5" customHeight="1">
      <c r="A767" s="111">
        <v>1198.0</v>
      </c>
      <c r="B767" s="111" t="s">
        <v>8762</v>
      </c>
      <c r="C767" s="111" t="s">
        <v>8600</v>
      </c>
      <c r="D767" s="111"/>
      <c r="E767" s="111"/>
      <c r="F767" s="111" t="s">
        <v>12397</v>
      </c>
      <c r="G767" s="111" t="s">
        <v>12381</v>
      </c>
      <c r="H767" s="111" t="s">
        <v>12230</v>
      </c>
      <c r="I767" s="111" t="s">
        <v>12394</v>
      </c>
      <c r="J767" s="111" t="s">
        <v>12291</v>
      </c>
      <c r="K767" s="111" t="s">
        <v>30</v>
      </c>
      <c r="L767" s="111"/>
      <c r="M767" s="111"/>
      <c r="N767" s="111"/>
      <c r="O767" s="111"/>
      <c r="P767" s="111"/>
      <c r="Q767" s="111"/>
      <c r="R767" s="111"/>
      <c r="S767" s="111"/>
      <c r="T767" s="111"/>
      <c r="U767" s="111"/>
      <c r="V767" s="111"/>
      <c r="W767" s="111"/>
      <c r="X767" s="111"/>
      <c r="Y767" s="111"/>
      <c r="Z767" s="111"/>
      <c r="AA767" s="124"/>
      <c r="AB767" s="125"/>
      <c r="AC767" s="126"/>
      <c r="AD767" s="125"/>
      <c r="AE767" s="125" t="str">
        <f t="shared" si="145"/>
        <v/>
      </c>
      <c r="AF767" s="127"/>
      <c r="AG767" s="127">
        <v>21.0194983093793</v>
      </c>
      <c r="AH767" s="127">
        <v>-101.256678740318</v>
      </c>
      <c r="AI767" s="115" t="s">
        <v>12383</v>
      </c>
      <c r="AJ767" s="116">
        <v>0.3</v>
      </c>
      <c r="AK767" s="117"/>
      <c r="AL767" s="117"/>
      <c r="AM767" s="117"/>
      <c r="AN767" s="117"/>
      <c r="AO767" s="117"/>
    </row>
    <row r="768" ht="34.5" customHeight="1">
      <c r="A768" s="111">
        <v>1199.0</v>
      </c>
      <c r="B768" s="111" t="s">
        <v>8763</v>
      </c>
      <c r="C768" s="111" t="s">
        <v>8600</v>
      </c>
      <c r="D768" s="111">
        <v>2025.0</v>
      </c>
      <c r="E768" s="111"/>
      <c r="F768" s="111" t="s">
        <v>12399</v>
      </c>
      <c r="G768" s="111" t="s">
        <v>12226</v>
      </c>
      <c r="H768" s="111"/>
      <c r="I768" s="111" t="s">
        <v>12394</v>
      </c>
      <c r="J768" s="111" t="s">
        <v>12291</v>
      </c>
      <c r="K768" s="111" t="s">
        <v>174</v>
      </c>
      <c r="L768" s="111"/>
      <c r="M768" s="111">
        <v>1.0</v>
      </c>
      <c r="N768" s="111"/>
      <c r="O768" s="111"/>
      <c r="P768" s="111"/>
      <c r="Q768" s="111"/>
      <c r="R768" s="111"/>
      <c r="S768" s="111"/>
      <c r="T768" s="111"/>
      <c r="U768" s="111"/>
      <c r="V768" s="111"/>
      <c r="W768" s="111"/>
      <c r="X768" s="111"/>
      <c r="Y768" s="111"/>
      <c r="Z768" s="111" t="s">
        <v>13450</v>
      </c>
      <c r="AA768" s="124">
        <v>69.0</v>
      </c>
      <c r="AB768" s="125">
        <f>IF(Projects!$AI768="Electrolysis",
AA768/VLOOKUP(G768,ElectrolysisConvF,3,FALSE),
AC768*10^6/(H2dens*HoursInYear))</f>
        <v>13269.23077</v>
      </c>
      <c r="AC768" s="126">
        <f t="shared" ref="AC768:AC771" si="146">AB768*H2dens*HoursInYear/10^6</f>
        <v>10.34522308</v>
      </c>
      <c r="AD768" s="125"/>
      <c r="AE768" s="125">
        <f t="shared" si="145"/>
        <v>13269.23077</v>
      </c>
      <c r="AF768" s="127" t="s">
        <v>13451</v>
      </c>
      <c r="AG768" s="127">
        <v>24.0511122449776</v>
      </c>
      <c r="AH768" s="127">
        <v>-104.522975191898</v>
      </c>
      <c r="AI768" s="115" t="s">
        <v>12383</v>
      </c>
      <c r="AJ768" s="116">
        <v>0.3</v>
      </c>
      <c r="AK768" s="117"/>
      <c r="AL768" s="117"/>
      <c r="AM768" s="117"/>
      <c r="AN768" s="117"/>
      <c r="AO768" s="117"/>
    </row>
    <row r="769" ht="34.5" customHeight="1">
      <c r="A769" s="111">
        <v>1200.0</v>
      </c>
      <c r="B769" s="111" t="s">
        <v>8764</v>
      </c>
      <c r="C769" s="111" t="s">
        <v>7977</v>
      </c>
      <c r="D769" s="111"/>
      <c r="E769" s="111"/>
      <c r="F769" s="111" t="s">
        <v>12399</v>
      </c>
      <c r="G769" s="111" t="s">
        <v>12381</v>
      </c>
      <c r="H769" s="111" t="s">
        <v>12230</v>
      </c>
      <c r="I769" s="111" t="s">
        <v>12394</v>
      </c>
      <c r="J769" s="111" t="s">
        <v>12296</v>
      </c>
      <c r="K769" s="111" t="s">
        <v>30</v>
      </c>
      <c r="L769" s="111"/>
      <c r="M769" s="111"/>
      <c r="N769" s="111"/>
      <c r="O769" s="111"/>
      <c r="P769" s="111">
        <v>1.0</v>
      </c>
      <c r="Q769" s="111">
        <v>1.0</v>
      </c>
      <c r="R769" s="111">
        <v>1.0</v>
      </c>
      <c r="S769" s="111"/>
      <c r="T769" s="111"/>
      <c r="U769" s="111"/>
      <c r="V769" s="111"/>
      <c r="W769" s="111"/>
      <c r="X769" s="111"/>
      <c r="Y769" s="111"/>
      <c r="Z769" s="111" t="s">
        <v>13452</v>
      </c>
      <c r="AA769" s="124">
        <v>237.0</v>
      </c>
      <c r="AB769" s="125">
        <f>IF(Projects!$AI769="Electrolysis",
AA769/VLOOKUP(G769,ElectrolysisConvF,3,FALSE),
AC769*10^6/(H2dens*HoursInYear))</f>
        <v>52666.66667</v>
      </c>
      <c r="AC769" s="126">
        <f t="shared" si="146"/>
        <v>41.06104</v>
      </c>
      <c r="AD769" s="125"/>
      <c r="AE769" s="125">
        <f t="shared" si="145"/>
        <v>52666.66667</v>
      </c>
      <c r="AF769" s="127" t="s">
        <v>13453</v>
      </c>
      <c r="AG769" s="127">
        <v>36.1406875875408</v>
      </c>
      <c r="AH769" s="127">
        <v>-5.45260411398029</v>
      </c>
      <c r="AI769" s="115" t="s">
        <v>12383</v>
      </c>
      <c r="AJ769" s="116">
        <v>0.5</v>
      </c>
      <c r="AK769" s="117"/>
      <c r="AL769" s="117"/>
      <c r="AM769" s="117"/>
      <c r="AN769" s="117"/>
      <c r="AO769" s="117"/>
    </row>
    <row r="770" ht="34.5" customHeight="1">
      <c r="A770" s="111">
        <v>1201.0</v>
      </c>
      <c r="B770" s="111" t="s">
        <v>8765</v>
      </c>
      <c r="C770" s="111" t="s">
        <v>8003</v>
      </c>
      <c r="D770" s="111"/>
      <c r="E770" s="111"/>
      <c r="F770" s="111" t="s">
        <v>12393</v>
      </c>
      <c r="G770" s="111" t="s">
        <v>12381</v>
      </c>
      <c r="H770" s="111" t="s">
        <v>12230</v>
      </c>
      <c r="I770" s="111" t="s">
        <v>12394</v>
      </c>
      <c r="J770" s="111" t="s">
        <v>12296</v>
      </c>
      <c r="K770" s="111" t="s">
        <v>30</v>
      </c>
      <c r="L770" s="111"/>
      <c r="M770" s="111"/>
      <c r="N770" s="111"/>
      <c r="O770" s="111"/>
      <c r="P770" s="111"/>
      <c r="Q770" s="111"/>
      <c r="R770" s="111"/>
      <c r="S770" s="111">
        <v>1.0</v>
      </c>
      <c r="T770" s="111"/>
      <c r="U770" s="111"/>
      <c r="V770" s="111"/>
      <c r="W770" s="111"/>
      <c r="X770" s="111"/>
      <c r="Y770" s="111"/>
      <c r="Z770" s="111" t="s">
        <v>12589</v>
      </c>
      <c r="AA770" s="124">
        <v>20.0</v>
      </c>
      <c r="AB770" s="125">
        <f>IF(Projects!$AI770="Electrolysis",
AA770/VLOOKUP(G770,ElectrolysisConvF,3,FALSE),
AC770*10^6/(H2dens*HoursInYear))</f>
        <v>4444.444444</v>
      </c>
      <c r="AC770" s="126">
        <f t="shared" si="146"/>
        <v>3.465066667</v>
      </c>
      <c r="AD770" s="125"/>
      <c r="AE770" s="125">
        <f t="shared" si="145"/>
        <v>4444.444444</v>
      </c>
      <c r="AF770" s="127" t="s">
        <v>13454</v>
      </c>
      <c r="AG770" s="127">
        <v>0.0</v>
      </c>
      <c r="AH770" s="127">
        <v>0.0</v>
      </c>
      <c r="AI770" s="115" t="s">
        <v>12383</v>
      </c>
      <c r="AJ770" s="116">
        <v>0.5</v>
      </c>
      <c r="AK770" s="117"/>
      <c r="AL770" s="117"/>
      <c r="AM770" s="117"/>
      <c r="AN770" s="117"/>
      <c r="AO770" s="117"/>
    </row>
    <row r="771" ht="34.5" customHeight="1">
      <c r="A771" s="111">
        <v>1202.0</v>
      </c>
      <c r="B771" s="111" t="s">
        <v>8766</v>
      </c>
      <c r="C771" s="111" t="s">
        <v>7977</v>
      </c>
      <c r="D771" s="111">
        <v>2024.0</v>
      </c>
      <c r="E771" s="111"/>
      <c r="F771" s="111" t="s">
        <v>12399</v>
      </c>
      <c r="G771" s="111" t="s">
        <v>12381</v>
      </c>
      <c r="H771" s="111" t="s">
        <v>12230</v>
      </c>
      <c r="I771" s="111" t="s">
        <v>12394</v>
      </c>
      <c r="J771" s="111" t="s">
        <v>12296</v>
      </c>
      <c r="K771" s="111" t="s">
        <v>30</v>
      </c>
      <c r="L771" s="111"/>
      <c r="M771" s="111"/>
      <c r="N771" s="111"/>
      <c r="O771" s="111"/>
      <c r="P771" s="111"/>
      <c r="Q771" s="111">
        <v>1.0</v>
      </c>
      <c r="R771" s="111"/>
      <c r="S771" s="111"/>
      <c r="T771" s="111"/>
      <c r="U771" s="111"/>
      <c r="V771" s="111"/>
      <c r="W771" s="111"/>
      <c r="X771" s="111"/>
      <c r="Y771" s="111"/>
      <c r="Z771" s="111" t="s">
        <v>12420</v>
      </c>
      <c r="AA771" s="124">
        <v>1.0</v>
      </c>
      <c r="AB771" s="125">
        <f>IF(Projects!$AI771="Electrolysis",
AA771/VLOOKUP(G771,ElectrolysisConvF,3,FALSE),
AC771*10^6/(H2dens*HoursInYear))</f>
        <v>222.2222222</v>
      </c>
      <c r="AC771" s="126">
        <f t="shared" si="146"/>
        <v>0.1732533333</v>
      </c>
      <c r="AD771" s="125"/>
      <c r="AE771" s="125">
        <f t="shared" si="145"/>
        <v>222.2222222</v>
      </c>
      <c r="AF771" s="127" t="s">
        <v>13455</v>
      </c>
      <c r="AG771" s="127">
        <v>42.9222604969113</v>
      </c>
      <c r="AH771" s="127">
        <v>-9.27173449885589</v>
      </c>
      <c r="AI771" s="115" t="s">
        <v>12383</v>
      </c>
      <c r="AJ771" s="116">
        <v>0.5</v>
      </c>
      <c r="AK771" s="117"/>
      <c r="AL771" s="117"/>
      <c r="AM771" s="117"/>
      <c r="AN771" s="117"/>
      <c r="AO771" s="117"/>
    </row>
    <row r="772" ht="34.5" customHeight="1">
      <c r="A772" s="111">
        <v>1204.0</v>
      </c>
      <c r="B772" s="111" t="s">
        <v>8767</v>
      </c>
      <c r="C772" s="111" t="s">
        <v>8147</v>
      </c>
      <c r="D772" s="111">
        <v>2027.0</v>
      </c>
      <c r="E772" s="111"/>
      <c r="F772" s="111" t="s">
        <v>12399</v>
      </c>
      <c r="G772" s="111" t="s">
        <v>12235</v>
      </c>
      <c r="H772" s="111" t="s">
        <v>13456</v>
      </c>
      <c r="I772" s="111"/>
      <c r="J772" s="111"/>
      <c r="K772" s="111" t="s">
        <v>174</v>
      </c>
      <c r="L772" s="111"/>
      <c r="M772" s="111">
        <v>1.0</v>
      </c>
      <c r="N772" s="111"/>
      <c r="O772" s="111"/>
      <c r="P772" s="111"/>
      <c r="Q772" s="111"/>
      <c r="R772" s="111"/>
      <c r="S772" s="111"/>
      <c r="T772" s="111"/>
      <c r="U772" s="111"/>
      <c r="V772" s="111"/>
      <c r="W772" s="111"/>
      <c r="X772" s="111"/>
      <c r="Y772" s="111"/>
      <c r="Z772" s="111" t="s">
        <v>13457</v>
      </c>
      <c r="AA772" s="124"/>
      <c r="AB772" s="125">
        <f t="shared" ref="AB772:AB773" si="147">AC772/(H2dens*HoursInYear/10^6)</f>
        <v>286631.5065</v>
      </c>
      <c r="AC772" s="126">
        <f>3.4*365*3/17/0.98</f>
        <v>223.4693878</v>
      </c>
      <c r="AD772" s="125">
        <v>500000.0</v>
      </c>
      <c r="AE772" s="125">
        <f t="shared" si="145"/>
        <v>62688.22138</v>
      </c>
      <c r="AF772" s="127" t="s">
        <v>13458</v>
      </c>
      <c r="AG772" s="127">
        <v>-39.1197403185631</v>
      </c>
      <c r="AH772" s="127">
        <v>173.93801228608</v>
      </c>
      <c r="AI772" s="115" t="s">
        <v>12378</v>
      </c>
      <c r="AJ772" s="116">
        <v>0.9</v>
      </c>
      <c r="AK772" s="117"/>
      <c r="AL772" s="117"/>
      <c r="AM772" s="117"/>
      <c r="AN772" s="117"/>
      <c r="AO772" s="117"/>
    </row>
    <row r="773" ht="34.5" customHeight="1">
      <c r="A773" s="111">
        <v>1205.0</v>
      </c>
      <c r="B773" s="111" t="s">
        <v>8768</v>
      </c>
      <c r="C773" s="111" t="s">
        <v>8147</v>
      </c>
      <c r="D773" s="111">
        <v>2027.0</v>
      </c>
      <c r="E773" s="111"/>
      <c r="F773" s="111" t="s">
        <v>12399</v>
      </c>
      <c r="G773" s="111" t="s">
        <v>12235</v>
      </c>
      <c r="H773" s="111" t="s">
        <v>13456</v>
      </c>
      <c r="I773" s="111"/>
      <c r="J773" s="111"/>
      <c r="K773" s="111" t="s">
        <v>30</v>
      </c>
      <c r="L773" s="111"/>
      <c r="M773" s="111"/>
      <c r="N773" s="111"/>
      <c r="O773" s="111"/>
      <c r="P773" s="111"/>
      <c r="Q773" s="111"/>
      <c r="R773" s="111"/>
      <c r="S773" s="111"/>
      <c r="T773" s="111"/>
      <c r="U773" s="111"/>
      <c r="V773" s="111"/>
      <c r="W773" s="111"/>
      <c r="X773" s="111"/>
      <c r="Y773" s="111"/>
      <c r="Z773" s="111" t="s">
        <v>13459</v>
      </c>
      <c r="AA773" s="124"/>
      <c r="AB773" s="125">
        <f t="shared" si="147"/>
        <v>280898.8764</v>
      </c>
      <c r="AC773" s="126">
        <f>0.6*365</f>
        <v>219</v>
      </c>
      <c r="AD773" s="125">
        <v>500000.0</v>
      </c>
      <c r="AE773" s="125">
        <f t="shared" si="145"/>
        <v>62688.22138</v>
      </c>
      <c r="AF773" s="127" t="s">
        <v>13458</v>
      </c>
      <c r="AG773" s="127">
        <v>-39.3220512117082</v>
      </c>
      <c r="AH773" s="127">
        <v>174.41011746982</v>
      </c>
      <c r="AI773" s="115" t="s">
        <v>12378</v>
      </c>
      <c r="AJ773" s="116">
        <v>0.9</v>
      </c>
      <c r="AK773" s="117"/>
      <c r="AL773" s="117"/>
      <c r="AM773" s="117"/>
      <c r="AN773" s="117"/>
      <c r="AO773" s="117"/>
    </row>
    <row r="774" ht="34.5" customHeight="1">
      <c r="A774" s="111">
        <v>1215.0</v>
      </c>
      <c r="B774" s="111" t="s">
        <v>8769</v>
      </c>
      <c r="C774" s="111" t="s">
        <v>8001</v>
      </c>
      <c r="D774" s="111"/>
      <c r="E774" s="111"/>
      <c r="F774" s="111" t="s">
        <v>12393</v>
      </c>
      <c r="G774" s="111" t="s">
        <v>12239</v>
      </c>
      <c r="H774" s="111" t="s">
        <v>13079</v>
      </c>
      <c r="I774" s="111"/>
      <c r="J774" s="111"/>
      <c r="K774" s="111" t="s">
        <v>30</v>
      </c>
      <c r="L774" s="111"/>
      <c r="M774" s="111"/>
      <c r="N774" s="111"/>
      <c r="O774" s="111"/>
      <c r="P774" s="111"/>
      <c r="Q774" s="111"/>
      <c r="R774" s="111"/>
      <c r="S774" s="111"/>
      <c r="T774" s="111"/>
      <c r="U774" s="111"/>
      <c r="V774" s="111"/>
      <c r="W774" s="111"/>
      <c r="X774" s="111"/>
      <c r="Y774" s="111"/>
      <c r="Z774" s="111" t="s">
        <v>13460</v>
      </c>
      <c r="AA774" s="124"/>
      <c r="AB774" s="125">
        <f>200000000/365/24</f>
        <v>22831.05023</v>
      </c>
      <c r="AC774" s="126">
        <f>AB774*(H2dens*HoursInYear/10^6)</f>
        <v>17.8</v>
      </c>
      <c r="AD774" s="125"/>
      <c r="AE774" s="125">
        <f t="shared" si="145"/>
        <v>22831.05023</v>
      </c>
      <c r="AF774" s="127"/>
      <c r="AG774" s="127">
        <v>0.0</v>
      </c>
      <c r="AH774" s="127">
        <v>0.0</v>
      </c>
      <c r="AI774" s="115" t="s">
        <v>12241</v>
      </c>
      <c r="AJ774" s="116">
        <v>0.9</v>
      </c>
      <c r="AK774" s="117"/>
      <c r="AL774" s="117"/>
      <c r="AM774" s="117"/>
      <c r="AN774" s="117"/>
      <c r="AO774" s="117"/>
    </row>
    <row r="775" ht="34.5" customHeight="1">
      <c r="A775" s="111">
        <v>1217.0</v>
      </c>
      <c r="B775" s="111" t="s">
        <v>8770</v>
      </c>
      <c r="C775" s="111" t="s">
        <v>8371</v>
      </c>
      <c r="D775" s="111">
        <v>2026.0</v>
      </c>
      <c r="E775" s="111"/>
      <c r="F775" s="111" t="s">
        <v>12399</v>
      </c>
      <c r="G775" s="111" t="s">
        <v>12224</v>
      </c>
      <c r="H775" s="111"/>
      <c r="I775" s="111" t="s">
        <v>12394</v>
      </c>
      <c r="J775" s="111" t="s">
        <v>12291</v>
      </c>
      <c r="K775" s="111" t="s">
        <v>174</v>
      </c>
      <c r="L775" s="111"/>
      <c r="M775" s="111">
        <v>1.0</v>
      </c>
      <c r="N775" s="111"/>
      <c r="O775" s="111"/>
      <c r="P775" s="111"/>
      <c r="Q775" s="111"/>
      <c r="R775" s="111"/>
      <c r="S775" s="111"/>
      <c r="T775" s="111"/>
      <c r="U775" s="111"/>
      <c r="V775" s="111"/>
      <c r="W775" s="111"/>
      <c r="X775" s="111"/>
      <c r="Y775" s="111"/>
      <c r="Z775" s="111" t="s">
        <v>13461</v>
      </c>
      <c r="AA775" s="126">
        <f>IF(Projects!$AI775="Electrolysis",
AB775*VLOOKUP(G775,ElectrolysisConvF,3,FALSE),
"")</f>
        <v>584.3494855</v>
      </c>
      <c r="AB775" s="125">
        <f>AC775/(H2dens*HoursInYear/10^6)</f>
        <v>127032.4969</v>
      </c>
      <c r="AC775" s="126">
        <f>(200-35)*3/17/0.98/Projects!$AJ775</f>
        <v>99.03961585</v>
      </c>
      <c r="AD775" s="125"/>
      <c r="AE775" s="125">
        <f t="shared" si="145"/>
        <v>127032.4969</v>
      </c>
      <c r="AF775" s="127" t="s">
        <v>13384</v>
      </c>
      <c r="AG775" s="127">
        <v>24.4852421565258</v>
      </c>
      <c r="AH775" s="127">
        <v>54.3927280389778</v>
      </c>
      <c r="AI775" s="115" t="s">
        <v>12383</v>
      </c>
      <c r="AJ775" s="116">
        <v>0.3</v>
      </c>
      <c r="AK775" s="117"/>
      <c r="AL775" s="117"/>
      <c r="AM775" s="117"/>
      <c r="AN775" s="117"/>
      <c r="AO775" s="117"/>
    </row>
    <row r="776" ht="34.5" customHeight="1">
      <c r="A776" s="111">
        <v>1218.0</v>
      </c>
      <c r="B776" s="111" t="s">
        <v>8771</v>
      </c>
      <c r="C776" s="111" t="s">
        <v>8011</v>
      </c>
      <c r="D776" s="111">
        <v>2021.0</v>
      </c>
      <c r="E776" s="111"/>
      <c r="F776" s="111" t="s">
        <v>12385</v>
      </c>
      <c r="G776" s="111" t="s">
        <v>12239</v>
      </c>
      <c r="H776" s="111" t="s">
        <v>13334</v>
      </c>
      <c r="I776" s="111"/>
      <c r="J776" s="111"/>
      <c r="K776" s="111" t="s">
        <v>30</v>
      </c>
      <c r="L776" s="111"/>
      <c r="M776" s="111"/>
      <c r="N776" s="111"/>
      <c r="O776" s="111"/>
      <c r="P776" s="111"/>
      <c r="Q776" s="111">
        <v>1.0</v>
      </c>
      <c r="R776" s="111"/>
      <c r="S776" s="111"/>
      <c r="T776" s="111"/>
      <c r="U776" s="111"/>
      <c r="V776" s="111"/>
      <c r="W776" s="111"/>
      <c r="X776" s="111"/>
      <c r="Y776" s="111"/>
      <c r="Z776" s="111"/>
      <c r="AA776" s="124"/>
      <c r="AB776" s="125"/>
      <c r="AC776" s="126"/>
      <c r="AD776" s="125"/>
      <c r="AE776" s="125" t="str">
        <f t="shared" si="145"/>
        <v/>
      </c>
      <c r="AF776" s="127" t="s">
        <v>13462</v>
      </c>
      <c r="AG776" s="127">
        <v>0.0</v>
      </c>
      <c r="AH776" s="127">
        <v>0.0</v>
      </c>
      <c r="AI776" s="115" t="s">
        <v>12241</v>
      </c>
      <c r="AJ776" s="116">
        <v>0.9</v>
      </c>
      <c r="AK776" s="117"/>
      <c r="AL776" s="117"/>
      <c r="AM776" s="117"/>
      <c r="AN776" s="117"/>
      <c r="AO776" s="117"/>
    </row>
    <row r="777" ht="34.5" customHeight="1">
      <c r="A777" s="111">
        <v>1220.0</v>
      </c>
      <c r="B777" s="111" t="s">
        <v>8772</v>
      </c>
      <c r="C777" s="111" t="s">
        <v>7987</v>
      </c>
      <c r="D777" s="111"/>
      <c r="E777" s="111"/>
      <c r="F777" s="111" t="s">
        <v>12399</v>
      </c>
      <c r="G777" s="111" t="s">
        <v>12381</v>
      </c>
      <c r="H777" s="111" t="s">
        <v>12230</v>
      </c>
      <c r="I777" s="111" t="s">
        <v>12394</v>
      </c>
      <c r="J777" s="111" t="s">
        <v>12294</v>
      </c>
      <c r="K777" s="111" t="s">
        <v>30</v>
      </c>
      <c r="L777" s="111"/>
      <c r="M777" s="111"/>
      <c r="N777" s="111"/>
      <c r="O777" s="111"/>
      <c r="P777" s="111"/>
      <c r="Q777" s="111"/>
      <c r="R777" s="111"/>
      <c r="S777" s="111"/>
      <c r="T777" s="111"/>
      <c r="U777" s="111"/>
      <c r="V777" s="111"/>
      <c r="W777" s="111"/>
      <c r="X777" s="111"/>
      <c r="Y777" s="111"/>
      <c r="Z777" s="111" t="s">
        <v>12589</v>
      </c>
      <c r="AA777" s="124">
        <v>20.0</v>
      </c>
      <c r="AB777" s="125">
        <f>IF(Projects!$AI777="Electrolysis",
AA777/VLOOKUP(G777,ElectrolysisConvF,3,FALSE),
AC777*10^6/(H2dens*HoursInYear))</f>
        <v>4444.444444</v>
      </c>
      <c r="AC777" s="126">
        <f>AB777*H2dens*HoursInYear/10^6</f>
        <v>3.465066667</v>
      </c>
      <c r="AD777" s="125"/>
      <c r="AE777" s="125">
        <f>AB777</f>
        <v>4444.444444</v>
      </c>
      <c r="AF777" s="127" t="s">
        <v>13463</v>
      </c>
      <c r="AG777" s="127">
        <v>0.0</v>
      </c>
      <c r="AH777" s="127">
        <v>0.0</v>
      </c>
      <c r="AI777" s="115" t="s">
        <v>12383</v>
      </c>
      <c r="AJ777" s="116">
        <v>0.8</v>
      </c>
      <c r="AK777" s="117"/>
      <c r="AL777" s="117"/>
      <c r="AM777" s="117"/>
      <c r="AN777" s="117"/>
      <c r="AO777" s="117"/>
    </row>
    <row r="778" ht="34.5" customHeight="1">
      <c r="A778" s="111">
        <v>1221.0</v>
      </c>
      <c r="B778" s="111" t="s">
        <v>8773</v>
      </c>
      <c r="C778" s="111" t="s">
        <v>7987</v>
      </c>
      <c r="D778" s="111">
        <v>2027.0</v>
      </c>
      <c r="E778" s="111"/>
      <c r="F778" s="111" t="s">
        <v>12399</v>
      </c>
      <c r="G778" s="111" t="s">
        <v>12226</v>
      </c>
      <c r="H778" s="111"/>
      <c r="I778" s="111" t="s">
        <v>12406</v>
      </c>
      <c r="J778" s="111" t="s">
        <v>12289</v>
      </c>
      <c r="K778" s="111" t="s">
        <v>30</v>
      </c>
      <c r="L778" s="111">
        <v>1.0</v>
      </c>
      <c r="M778" s="111"/>
      <c r="N778" s="111"/>
      <c r="O778" s="111"/>
      <c r="P778" s="111"/>
      <c r="Q778" s="111"/>
      <c r="R778" s="111"/>
      <c r="S778" s="111"/>
      <c r="T778" s="111"/>
      <c r="U778" s="111"/>
      <c r="V778" s="111"/>
      <c r="W778" s="111"/>
      <c r="X778" s="111"/>
      <c r="Y778" s="111"/>
      <c r="Z778" s="111" t="s">
        <v>12548</v>
      </c>
      <c r="AA778" s="124"/>
      <c r="AB778" s="125"/>
      <c r="AC778" s="126"/>
      <c r="AD778" s="125"/>
      <c r="AE778" s="125" t="str">
        <f t="shared" ref="AE778:AE795" si="148">IF(AND(G778&lt;&gt;"NG w CCUS",G778&lt;&gt;"Oil w CCUS",G778&lt;&gt;"Coal w CCUS"),AB778,AD778*10^3/(HoursInYear*IF(G778="NG w CCUS",0.9105,1.9075)))</f>
        <v/>
      </c>
      <c r="AF778" s="127" t="s">
        <v>13463</v>
      </c>
      <c r="AG778" s="127">
        <v>49.3508843430566</v>
      </c>
      <c r="AH778" s="127">
        <v>8.14456143785569</v>
      </c>
      <c r="AI778" s="115" t="s">
        <v>12383</v>
      </c>
      <c r="AJ778" s="116">
        <v>0.57</v>
      </c>
      <c r="AK778" s="117"/>
      <c r="AL778" s="117"/>
      <c r="AM778" s="117"/>
      <c r="AN778" s="117"/>
      <c r="AO778" s="117"/>
    </row>
    <row r="779" ht="34.5" customHeight="1">
      <c r="A779" s="111">
        <v>1222.0</v>
      </c>
      <c r="B779" s="111" t="s">
        <v>8774</v>
      </c>
      <c r="C779" s="111" t="s">
        <v>7981</v>
      </c>
      <c r="D779" s="111">
        <v>1982.0</v>
      </c>
      <c r="E779" s="111"/>
      <c r="F779" s="111" t="s">
        <v>12385</v>
      </c>
      <c r="G779" s="111" t="s">
        <v>12235</v>
      </c>
      <c r="H779" s="111" t="s">
        <v>12885</v>
      </c>
      <c r="I779" s="111"/>
      <c r="J779" s="111"/>
      <c r="K779" s="111" t="s">
        <v>174</v>
      </c>
      <c r="L779" s="111"/>
      <c r="M779" s="111">
        <v>1.0</v>
      </c>
      <c r="N779" s="111"/>
      <c r="O779" s="111"/>
      <c r="P779" s="111"/>
      <c r="Q779" s="111"/>
      <c r="R779" s="111"/>
      <c r="S779" s="111"/>
      <c r="T779" s="111"/>
      <c r="U779" s="111"/>
      <c r="V779" s="111"/>
      <c r="W779" s="111"/>
      <c r="X779" s="111"/>
      <c r="Y779" s="111"/>
      <c r="Z779" s="111" t="s">
        <v>13464</v>
      </c>
      <c r="AA779" s="124"/>
      <c r="AB779" s="125"/>
      <c r="AC779" s="126"/>
      <c r="AD779" s="125">
        <v>680000.0</v>
      </c>
      <c r="AE779" s="125">
        <f t="shared" si="148"/>
        <v>85255.98108</v>
      </c>
      <c r="AF779" s="127" t="s">
        <v>13465</v>
      </c>
      <c r="AG779" s="127">
        <v>36.3793353239511</v>
      </c>
      <c r="AH779" s="127">
        <v>-97.7630118261125</v>
      </c>
      <c r="AI779" s="115" t="s">
        <v>12378</v>
      </c>
      <c r="AJ779" s="116">
        <v>0.9</v>
      </c>
      <c r="AK779" s="117"/>
      <c r="AL779" s="117"/>
      <c r="AM779" s="117"/>
      <c r="AN779" s="117"/>
      <c r="AO779" s="117"/>
    </row>
    <row r="780" ht="34.5" customHeight="1">
      <c r="A780" s="111">
        <v>1223.0</v>
      </c>
      <c r="B780" s="111" t="s">
        <v>8775</v>
      </c>
      <c r="C780" s="111" t="s">
        <v>8702</v>
      </c>
      <c r="D780" s="111">
        <v>2028.0</v>
      </c>
      <c r="E780" s="111"/>
      <c r="F780" s="111" t="s">
        <v>12399</v>
      </c>
      <c r="G780" s="111" t="s">
        <v>12235</v>
      </c>
      <c r="H780" s="111" t="s">
        <v>13160</v>
      </c>
      <c r="I780" s="111"/>
      <c r="J780" s="111"/>
      <c r="K780" s="111" t="s">
        <v>30</v>
      </c>
      <c r="L780" s="111">
        <v>1.0</v>
      </c>
      <c r="M780" s="111"/>
      <c r="N780" s="111"/>
      <c r="O780" s="111"/>
      <c r="P780" s="111"/>
      <c r="Q780" s="111"/>
      <c r="R780" s="111"/>
      <c r="S780" s="111"/>
      <c r="T780" s="111"/>
      <c r="U780" s="111"/>
      <c r="V780" s="111"/>
      <c r="W780" s="111"/>
      <c r="X780" s="111"/>
      <c r="Y780" s="111"/>
      <c r="Z780" s="111"/>
      <c r="AA780" s="124"/>
      <c r="AB780" s="125"/>
      <c r="AC780" s="126"/>
      <c r="AD780" s="125">
        <v>2500000.0</v>
      </c>
      <c r="AE780" s="125">
        <f t="shared" si="148"/>
        <v>313441.1069</v>
      </c>
      <c r="AF780" s="127" t="s">
        <v>13466</v>
      </c>
      <c r="AG780" s="127">
        <v>51.8420364109531</v>
      </c>
      <c r="AH780" s="127">
        <v>-8.06769609490734</v>
      </c>
      <c r="AI780" s="115" t="s">
        <v>12378</v>
      </c>
      <c r="AJ780" s="116">
        <v>0.9</v>
      </c>
      <c r="AK780" s="117"/>
      <c r="AL780" s="117"/>
      <c r="AM780" s="117"/>
      <c r="AN780" s="117"/>
      <c r="AO780" s="117"/>
    </row>
    <row r="781" ht="34.5" customHeight="1">
      <c r="A781" s="111">
        <v>1224.0</v>
      </c>
      <c r="B781" s="111" t="s">
        <v>8776</v>
      </c>
      <c r="C781" s="111" t="s">
        <v>8117</v>
      </c>
      <c r="D781" s="111"/>
      <c r="E781" s="111"/>
      <c r="F781" s="111" t="s">
        <v>12397</v>
      </c>
      <c r="G781" s="111" t="s">
        <v>12235</v>
      </c>
      <c r="H781" s="111" t="s">
        <v>12529</v>
      </c>
      <c r="I781" s="111"/>
      <c r="J781" s="111"/>
      <c r="K781" s="111" t="s">
        <v>30</v>
      </c>
      <c r="L781" s="111"/>
      <c r="M781" s="111"/>
      <c r="N781" s="111"/>
      <c r="O781" s="111"/>
      <c r="P781" s="111"/>
      <c r="Q781" s="111"/>
      <c r="R781" s="111"/>
      <c r="S781" s="111"/>
      <c r="T781" s="111"/>
      <c r="U781" s="111"/>
      <c r="V781" s="111"/>
      <c r="W781" s="111"/>
      <c r="X781" s="111"/>
      <c r="Y781" s="111"/>
      <c r="Z781" s="111" t="s">
        <v>13467</v>
      </c>
      <c r="AA781" s="124"/>
      <c r="AB781" s="125"/>
      <c r="AC781" s="126"/>
      <c r="AD781" s="125">
        <v>2500000.0</v>
      </c>
      <c r="AE781" s="125">
        <f t="shared" si="148"/>
        <v>313441.1069</v>
      </c>
      <c r="AF781" s="127" t="s">
        <v>13468</v>
      </c>
      <c r="AG781" s="127">
        <v>40.8181714170204</v>
      </c>
      <c r="AH781" s="127">
        <v>24.4506513551094</v>
      </c>
      <c r="AI781" s="115" t="s">
        <v>12378</v>
      </c>
      <c r="AJ781" s="116">
        <v>0.9</v>
      </c>
      <c r="AK781" s="117"/>
      <c r="AL781" s="117"/>
      <c r="AM781" s="117"/>
      <c r="AN781" s="117"/>
      <c r="AO781" s="117"/>
    </row>
    <row r="782" ht="34.5" customHeight="1">
      <c r="A782" s="111">
        <v>1227.0</v>
      </c>
      <c r="B782" s="111" t="s">
        <v>8777</v>
      </c>
      <c r="C782" s="111" t="s">
        <v>8001</v>
      </c>
      <c r="D782" s="111">
        <v>2015.0</v>
      </c>
      <c r="E782" s="111">
        <v>2020.0</v>
      </c>
      <c r="F782" s="111" t="s">
        <v>12437</v>
      </c>
      <c r="G782" s="111" t="s">
        <v>12233</v>
      </c>
      <c r="H782" s="111"/>
      <c r="I782" s="111"/>
      <c r="J782" s="111"/>
      <c r="K782" s="111" t="s">
        <v>30</v>
      </c>
      <c r="L782" s="111">
        <v>1.0</v>
      </c>
      <c r="M782" s="111"/>
      <c r="N782" s="111"/>
      <c r="O782" s="111"/>
      <c r="P782" s="111"/>
      <c r="Q782" s="111"/>
      <c r="R782" s="111"/>
      <c r="S782" s="111"/>
      <c r="T782" s="111"/>
      <c r="U782" s="111"/>
      <c r="V782" s="111"/>
      <c r="W782" s="111"/>
      <c r="X782" s="111"/>
      <c r="Y782" s="111"/>
      <c r="Z782" s="111" t="s">
        <v>12886</v>
      </c>
      <c r="AA782" s="124"/>
      <c r="AB782" s="125"/>
      <c r="AC782" s="126"/>
      <c r="AD782" s="125">
        <v>100000.0</v>
      </c>
      <c r="AE782" s="125">
        <f t="shared" si="148"/>
        <v>5984.547897</v>
      </c>
      <c r="AF782" s="127"/>
      <c r="AG782" s="127">
        <v>35.762928</v>
      </c>
      <c r="AH782" s="127">
        <v>114.980511</v>
      </c>
      <c r="AI782" s="115" t="s">
        <v>12378</v>
      </c>
      <c r="AJ782" s="116">
        <v>0.9</v>
      </c>
      <c r="AK782" s="117"/>
      <c r="AL782" s="117"/>
      <c r="AM782" s="117"/>
      <c r="AN782" s="117"/>
      <c r="AO782" s="117"/>
    </row>
    <row r="783" ht="34.5" customHeight="1">
      <c r="A783" s="111">
        <v>1228.0</v>
      </c>
      <c r="B783" s="111" t="s">
        <v>8778</v>
      </c>
      <c r="C783" s="111" t="s">
        <v>8001</v>
      </c>
      <c r="D783" s="111">
        <v>2015.0</v>
      </c>
      <c r="E783" s="111"/>
      <c r="F783" s="111" t="s">
        <v>12385</v>
      </c>
      <c r="G783" s="111" t="s">
        <v>12233</v>
      </c>
      <c r="H783" s="111"/>
      <c r="I783" s="111"/>
      <c r="J783" s="111"/>
      <c r="K783" s="111" t="s">
        <v>12415</v>
      </c>
      <c r="L783" s="111"/>
      <c r="M783" s="111"/>
      <c r="N783" s="111">
        <v>1.0</v>
      </c>
      <c r="O783" s="111"/>
      <c r="P783" s="111"/>
      <c r="Q783" s="111"/>
      <c r="R783" s="111"/>
      <c r="S783" s="111"/>
      <c r="T783" s="111"/>
      <c r="U783" s="111"/>
      <c r="V783" s="111"/>
      <c r="W783" s="111"/>
      <c r="X783" s="111"/>
      <c r="Y783" s="111"/>
      <c r="Z783" s="111" t="s">
        <v>13469</v>
      </c>
      <c r="AA783" s="124"/>
      <c r="AB783" s="125"/>
      <c r="AC783" s="126"/>
      <c r="AD783" s="125">
        <v>50000.0</v>
      </c>
      <c r="AE783" s="125">
        <f t="shared" si="148"/>
        <v>2992.273949</v>
      </c>
      <c r="AF783" s="127"/>
      <c r="AG783" s="127">
        <v>0.0</v>
      </c>
      <c r="AH783" s="127">
        <v>0.0</v>
      </c>
      <c r="AI783" s="115" t="s">
        <v>12378</v>
      </c>
      <c r="AJ783" s="116">
        <v>0.9</v>
      </c>
      <c r="AK783" s="117"/>
      <c r="AL783" s="117"/>
      <c r="AM783" s="117"/>
      <c r="AN783" s="117"/>
      <c r="AO783" s="117"/>
    </row>
    <row r="784" ht="34.5" customHeight="1">
      <c r="A784" s="111">
        <v>1229.0</v>
      </c>
      <c r="B784" s="111" t="s">
        <v>8779</v>
      </c>
      <c r="C784" s="111" t="s">
        <v>8590</v>
      </c>
      <c r="D784" s="111">
        <v>2027.0</v>
      </c>
      <c r="E784" s="111"/>
      <c r="F784" s="111" t="s">
        <v>12399</v>
      </c>
      <c r="G784" s="111" t="s">
        <v>12381</v>
      </c>
      <c r="H784" s="111" t="s">
        <v>12230</v>
      </c>
      <c r="I784" s="111" t="s">
        <v>12394</v>
      </c>
      <c r="J784" s="111" t="s">
        <v>12293</v>
      </c>
      <c r="K784" s="111" t="s">
        <v>174</v>
      </c>
      <c r="L784" s="111"/>
      <c r="M784" s="111">
        <v>1.0</v>
      </c>
      <c r="N784" s="111"/>
      <c r="O784" s="111"/>
      <c r="P784" s="111"/>
      <c r="Q784" s="111"/>
      <c r="R784" s="111"/>
      <c r="S784" s="111"/>
      <c r="T784" s="111"/>
      <c r="U784" s="111"/>
      <c r="V784" s="111"/>
      <c r="W784" s="111"/>
      <c r="X784" s="111"/>
      <c r="Y784" s="111"/>
      <c r="Z784" s="111" t="s">
        <v>13470</v>
      </c>
      <c r="AA784" s="126">
        <f>IF(Projects!$AI784="Electrolysis",
AB784*VLOOKUP(G784,ElectrolysisConvF,3,FALSE),
"")</f>
        <v>1006.04125</v>
      </c>
      <c r="AB784" s="125">
        <f>AC784/(H2dens*HoursInYear/10^6)</f>
        <v>223564.7222</v>
      </c>
      <c r="AC784" s="126">
        <f>174.3</f>
        <v>174.3</v>
      </c>
      <c r="AD784" s="125"/>
      <c r="AE784" s="125">
        <f t="shared" si="148"/>
        <v>223564.7222</v>
      </c>
      <c r="AF784" s="127" t="s">
        <v>13471</v>
      </c>
      <c r="AG784" s="127">
        <v>-3.53092803394662</v>
      </c>
      <c r="AH784" s="127">
        <v>-38.7923774582973</v>
      </c>
      <c r="AI784" s="115" t="s">
        <v>12383</v>
      </c>
      <c r="AJ784" s="116">
        <v>0.55</v>
      </c>
      <c r="AK784" s="117"/>
      <c r="AL784" s="117"/>
      <c r="AM784" s="117"/>
      <c r="AN784" s="117"/>
      <c r="AO784" s="117"/>
    </row>
    <row r="785" ht="34.5" customHeight="1">
      <c r="A785" s="111">
        <v>1230.0</v>
      </c>
      <c r="B785" s="111" t="s">
        <v>8780</v>
      </c>
      <c r="C785" s="111" t="s">
        <v>8590</v>
      </c>
      <c r="D785" s="111">
        <v>2025.0</v>
      </c>
      <c r="E785" s="111"/>
      <c r="F785" s="111" t="s">
        <v>12399</v>
      </c>
      <c r="G785" s="111" t="s">
        <v>12381</v>
      </c>
      <c r="H785" s="111" t="s">
        <v>12230</v>
      </c>
      <c r="I785" s="111" t="s">
        <v>12394</v>
      </c>
      <c r="J785" s="111" t="s">
        <v>12293</v>
      </c>
      <c r="K785" s="111" t="s">
        <v>30</v>
      </c>
      <c r="L785" s="111"/>
      <c r="M785" s="111"/>
      <c r="N785" s="111"/>
      <c r="O785" s="111"/>
      <c r="P785" s="111"/>
      <c r="Q785" s="111"/>
      <c r="R785" s="111"/>
      <c r="S785" s="111"/>
      <c r="T785" s="111"/>
      <c r="U785" s="111"/>
      <c r="V785" s="111"/>
      <c r="W785" s="111"/>
      <c r="X785" s="111"/>
      <c r="Y785" s="111"/>
      <c r="Z785" s="111" t="s">
        <v>13472</v>
      </c>
      <c r="AA785" s="124">
        <v>1216.0</v>
      </c>
      <c r="AB785" s="125">
        <f>IF(Projects!$AI785="Electrolysis",
AA785/VLOOKUP(G785,ElectrolysisConvF,3,FALSE),
AC785*10^6/(H2dens*HoursInYear))</f>
        <v>270222.2222</v>
      </c>
      <c r="AC785" s="126">
        <f>AB785*H2dens*HoursInYear/10^6</f>
        <v>210.6760533</v>
      </c>
      <c r="AD785" s="125"/>
      <c r="AE785" s="125">
        <f t="shared" si="148"/>
        <v>270222.2222</v>
      </c>
      <c r="AF785" s="127" t="s">
        <v>13473</v>
      </c>
      <c r="AG785" s="127">
        <v>-3.53092803394662</v>
      </c>
      <c r="AH785" s="127">
        <v>-38.7923774582973</v>
      </c>
      <c r="AI785" s="115" t="s">
        <v>12383</v>
      </c>
      <c r="AJ785" s="116">
        <v>0.55</v>
      </c>
      <c r="AK785" s="117"/>
      <c r="AL785" s="117"/>
      <c r="AM785" s="117"/>
      <c r="AN785" s="117"/>
      <c r="AO785" s="117"/>
    </row>
    <row r="786" ht="34.5" customHeight="1">
      <c r="A786" s="111">
        <v>1231.0</v>
      </c>
      <c r="B786" s="111" t="s">
        <v>8781</v>
      </c>
      <c r="C786" s="111" t="s">
        <v>8539</v>
      </c>
      <c r="D786" s="111"/>
      <c r="E786" s="111"/>
      <c r="F786" s="111" t="s">
        <v>12418</v>
      </c>
      <c r="G786" s="111" t="s">
        <v>12381</v>
      </c>
      <c r="H786" s="111" t="s">
        <v>12230</v>
      </c>
      <c r="I786" s="111" t="s">
        <v>12288</v>
      </c>
      <c r="J786" s="111"/>
      <c r="K786" s="111" t="s">
        <v>30</v>
      </c>
      <c r="L786" s="111"/>
      <c r="M786" s="111"/>
      <c r="N786" s="111"/>
      <c r="O786" s="111"/>
      <c r="P786" s="111"/>
      <c r="Q786" s="111"/>
      <c r="R786" s="111"/>
      <c r="S786" s="111"/>
      <c r="T786" s="111"/>
      <c r="U786" s="111"/>
      <c r="V786" s="111"/>
      <c r="W786" s="111"/>
      <c r="X786" s="111"/>
      <c r="Y786" s="111"/>
      <c r="Z786" s="111"/>
      <c r="AA786" s="124"/>
      <c r="AB786" s="125"/>
      <c r="AC786" s="126"/>
      <c r="AD786" s="125"/>
      <c r="AE786" s="125" t="str">
        <f t="shared" si="148"/>
        <v/>
      </c>
      <c r="AF786" s="127" t="s">
        <v>13474</v>
      </c>
      <c r="AG786" s="127">
        <v>0.0</v>
      </c>
      <c r="AH786" s="127">
        <v>0.0</v>
      </c>
      <c r="AI786" s="115" t="s">
        <v>12383</v>
      </c>
      <c r="AJ786" s="116">
        <v>0.8</v>
      </c>
      <c r="AK786" s="117"/>
      <c r="AL786" s="117"/>
      <c r="AM786" s="117"/>
      <c r="AN786" s="117"/>
      <c r="AO786" s="117"/>
    </row>
    <row r="787" ht="34.5" customHeight="1">
      <c r="A787" s="111">
        <v>1232.0</v>
      </c>
      <c r="B787" s="111" t="s">
        <v>8782</v>
      </c>
      <c r="C787" s="111" t="s">
        <v>8702</v>
      </c>
      <c r="D787" s="111"/>
      <c r="E787" s="111"/>
      <c r="F787" s="111" t="s">
        <v>12418</v>
      </c>
      <c r="G787" s="111" t="s">
        <v>12381</v>
      </c>
      <c r="H787" s="111" t="s">
        <v>12230</v>
      </c>
      <c r="I787" s="111" t="s">
        <v>12394</v>
      </c>
      <c r="J787" s="111" t="s">
        <v>12296</v>
      </c>
      <c r="K787" s="111" t="s">
        <v>30</v>
      </c>
      <c r="L787" s="111"/>
      <c r="M787" s="111"/>
      <c r="N787" s="111"/>
      <c r="O787" s="111"/>
      <c r="P787" s="111"/>
      <c r="Q787" s="111"/>
      <c r="R787" s="111"/>
      <c r="S787" s="111"/>
      <c r="T787" s="111"/>
      <c r="U787" s="111"/>
      <c r="V787" s="111"/>
      <c r="W787" s="111"/>
      <c r="X787" s="111"/>
      <c r="Y787" s="111"/>
      <c r="Z787" s="111"/>
      <c r="AA787" s="124"/>
      <c r="AB787" s="125"/>
      <c r="AC787" s="126"/>
      <c r="AD787" s="125"/>
      <c r="AE787" s="125" t="str">
        <f t="shared" si="148"/>
        <v/>
      </c>
      <c r="AF787" s="127" t="s">
        <v>13475</v>
      </c>
      <c r="AG787" s="127">
        <v>53.3613486818341</v>
      </c>
      <c r="AH787" s="127">
        <v>-7.21069102479717</v>
      </c>
      <c r="AI787" s="115" t="s">
        <v>12383</v>
      </c>
      <c r="AJ787" s="116">
        <v>0.5</v>
      </c>
      <c r="AK787" s="117"/>
      <c r="AL787" s="117"/>
      <c r="AM787" s="117"/>
      <c r="AN787" s="117"/>
      <c r="AO787" s="117"/>
    </row>
    <row r="788" ht="34.5" customHeight="1">
      <c r="A788" s="111">
        <v>1233.0</v>
      </c>
      <c r="B788" s="111" t="s">
        <v>8783</v>
      </c>
      <c r="C788" s="111" t="s">
        <v>7974</v>
      </c>
      <c r="D788" s="111"/>
      <c r="E788" s="111"/>
      <c r="F788" s="111" t="s">
        <v>12399</v>
      </c>
      <c r="G788" s="111" t="s">
        <v>12381</v>
      </c>
      <c r="H788" s="111" t="s">
        <v>12230</v>
      </c>
      <c r="I788" s="111" t="s">
        <v>12394</v>
      </c>
      <c r="J788" s="111" t="s">
        <v>12295</v>
      </c>
      <c r="K788" s="111" t="s">
        <v>30</v>
      </c>
      <c r="L788" s="111"/>
      <c r="M788" s="111"/>
      <c r="N788" s="111"/>
      <c r="O788" s="111"/>
      <c r="P788" s="111"/>
      <c r="Q788" s="111"/>
      <c r="R788" s="111"/>
      <c r="S788" s="111"/>
      <c r="T788" s="111"/>
      <c r="U788" s="111"/>
      <c r="V788" s="111">
        <v>1.0</v>
      </c>
      <c r="W788" s="111"/>
      <c r="X788" s="111"/>
      <c r="Y788" s="111"/>
      <c r="Z788" s="111" t="s">
        <v>13476</v>
      </c>
      <c r="AA788" s="124">
        <v>300.0</v>
      </c>
      <c r="AB788" s="125">
        <f>IF(Projects!$AI788="Electrolysis",
AA788/VLOOKUP(G788,ElectrolysisConvF,3,FALSE),
AC788*10^6/(H2dens*HoursInYear))</f>
        <v>66666.66667</v>
      </c>
      <c r="AC788" s="126">
        <f>AB788*H2dens*HoursInYear/10^6</f>
        <v>51.976</v>
      </c>
      <c r="AD788" s="125"/>
      <c r="AE788" s="125">
        <f t="shared" si="148"/>
        <v>66666.66667</v>
      </c>
      <c r="AF788" s="127" t="s">
        <v>13477</v>
      </c>
      <c r="AG788" s="127">
        <v>58.3501101279913</v>
      </c>
      <c r="AH788" s="127">
        <v>11.4181565703246</v>
      </c>
      <c r="AI788" s="115" t="s">
        <v>12383</v>
      </c>
      <c r="AJ788" s="116">
        <v>0.5</v>
      </c>
      <c r="AK788" s="117"/>
      <c r="AL788" s="117"/>
      <c r="AM788" s="117"/>
      <c r="AN788" s="117"/>
      <c r="AO788" s="117"/>
    </row>
    <row r="789" ht="34.5" customHeight="1">
      <c r="A789" s="111">
        <v>1234.0</v>
      </c>
      <c r="B789" s="111" t="s">
        <v>8784</v>
      </c>
      <c r="C789" s="111" t="s">
        <v>8785</v>
      </c>
      <c r="D789" s="111">
        <v>2000.0</v>
      </c>
      <c r="E789" s="111">
        <v>2019.0</v>
      </c>
      <c r="F789" s="111" t="s">
        <v>12437</v>
      </c>
      <c r="G789" s="111" t="s">
        <v>12224</v>
      </c>
      <c r="H789" s="111"/>
      <c r="I789" s="111" t="s">
        <v>12394</v>
      </c>
      <c r="J789" s="111" t="s">
        <v>12294</v>
      </c>
      <c r="K789" s="111" t="s">
        <v>174</v>
      </c>
      <c r="L789" s="111"/>
      <c r="M789" s="111">
        <v>1.0</v>
      </c>
      <c r="N789" s="111"/>
      <c r="O789" s="111"/>
      <c r="P789" s="111"/>
      <c r="Q789" s="111"/>
      <c r="R789" s="111"/>
      <c r="S789" s="111"/>
      <c r="T789" s="111"/>
      <c r="U789" s="111"/>
      <c r="V789" s="111"/>
      <c r="W789" s="111"/>
      <c r="X789" s="111"/>
      <c r="Y789" s="111"/>
      <c r="Z789" s="111" t="s">
        <v>13478</v>
      </c>
      <c r="AA789" s="124"/>
      <c r="AB789" s="125"/>
      <c r="AC789" s="126"/>
      <c r="AD789" s="125"/>
      <c r="AE789" s="125" t="str">
        <f t="shared" si="148"/>
        <v/>
      </c>
      <c r="AF789" s="127" t="s">
        <v>13479</v>
      </c>
      <c r="AG789" s="127">
        <v>24.1220145914996</v>
      </c>
      <c r="AH789" s="127">
        <v>33.0220709388449</v>
      </c>
      <c r="AI789" s="115" t="s">
        <v>12383</v>
      </c>
      <c r="AJ789" s="116">
        <v>0.8</v>
      </c>
      <c r="AK789" s="117"/>
      <c r="AL789" s="117"/>
      <c r="AM789" s="117"/>
      <c r="AN789" s="117"/>
      <c r="AO789" s="117"/>
    </row>
    <row r="790" ht="34.5" customHeight="1">
      <c r="A790" s="111">
        <v>1235.0</v>
      </c>
      <c r="B790" s="111" t="s">
        <v>8786</v>
      </c>
      <c r="C790" s="111" t="s">
        <v>8787</v>
      </c>
      <c r="D790" s="111">
        <v>1975.0</v>
      </c>
      <c r="E790" s="111">
        <v>2015.0</v>
      </c>
      <c r="F790" s="111" t="s">
        <v>12437</v>
      </c>
      <c r="G790" s="111" t="s">
        <v>12224</v>
      </c>
      <c r="H790" s="111"/>
      <c r="I790" s="111" t="s">
        <v>12287</v>
      </c>
      <c r="J790" s="111"/>
      <c r="K790" s="111" t="s">
        <v>174</v>
      </c>
      <c r="L790" s="111"/>
      <c r="M790" s="111">
        <v>1.0</v>
      </c>
      <c r="N790" s="111"/>
      <c r="O790" s="111"/>
      <c r="P790" s="111"/>
      <c r="Q790" s="111"/>
      <c r="R790" s="111"/>
      <c r="S790" s="111"/>
      <c r="T790" s="111"/>
      <c r="U790" s="111"/>
      <c r="V790" s="111"/>
      <c r="W790" s="111"/>
      <c r="X790" s="111"/>
      <c r="Y790" s="111"/>
      <c r="Z790" s="111" t="s">
        <v>12698</v>
      </c>
      <c r="AA790" s="124"/>
      <c r="AB790" s="125"/>
      <c r="AC790" s="126"/>
      <c r="AD790" s="125"/>
      <c r="AE790" s="125" t="str">
        <f t="shared" si="148"/>
        <v/>
      </c>
      <c r="AF790" s="127" t="s">
        <v>13480</v>
      </c>
      <c r="AG790" s="127">
        <v>0.0</v>
      </c>
      <c r="AH790" s="127">
        <v>0.0</v>
      </c>
      <c r="AI790" s="115" t="s">
        <v>12383</v>
      </c>
      <c r="AJ790" s="116">
        <v>0.57</v>
      </c>
      <c r="AK790" s="117"/>
      <c r="AL790" s="117"/>
      <c r="AM790" s="117"/>
      <c r="AN790" s="117"/>
      <c r="AO790" s="117"/>
    </row>
    <row r="791" ht="34.5" customHeight="1">
      <c r="A791" s="111">
        <v>1239.0</v>
      </c>
      <c r="B791" s="111" t="s">
        <v>8788</v>
      </c>
      <c r="C791" s="111" t="s">
        <v>7981</v>
      </c>
      <c r="D791" s="111"/>
      <c r="E791" s="111"/>
      <c r="F791" s="111" t="s">
        <v>12399</v>
      </c>
      <c r="G791" s="111" t="s">
        <v>12226</v>
      </c>
      <c r="H791" s="111"/>
      <c r="I791" s="111" t="s">
        <v>12394</v>
      </c>
      <c r="J791" s="111" t="s">
        <v>12292</v>
      </c>
      <c r="K791" s="111" t="s">
        <v>30</v>
      </c>
      <c r="L791" s="111"/>
      <c r="M791" s="111"/>
      <c r="N791" s="111"/>
      <c r="O791" s="111"/>
      <c r="P791" s="111"/>
      <c r="Q791" s="111">
        <v>1.0</v>
      </c>
      <c r="R791" s="111"/>
      <c r="S791" s="111"/>
      <c r="T791" s="111"/>
      <c r="U791" s="111"/>
      <c r="V791" s="111"/>
      <c r="W791" s="111"/>
      <c r="X791" s="111"/>
      <c r="Y791" s="111"/>
      <c r="Z791" s="111" t="s">
        <v>13481</v>
      </c>
      <c r="AA791" s="126">
        <f>IF(Projects!$AI791="Electrolysis",
AB791*VLOOKUP(G791,ElectrolysisConvF,3,FALSE),
"")</f>
        <v>182.5842697</v>
      </c>
      <c r="AB791" s="125">
        <f>AC791/(H2dens*HoursInYear/10^6)</f>
        <v>35112.35955</v>
      </c>
      <c r="AC791" s="126">
        <f>30*365/1000/Projects!$AJ791</f>
        <v>27.375</v>
      </c>
      <c r="AD791" s="125"/>
      <c r="AE791" s="125">
        <f t="shared" si="148"/>
        <v>35112.35955</v>
      </c>
      <c r="AF791" s="127" t="s">
        <v>13482</v>
      </c>
      <c r="AG791" s="127">
        <v>30.925541</v>
      </c>
      <c r="AH791" s="127">
        <v>-97.177594</v>
      </c>
      <c r="AI791" s="115" t="s">
        <v>12383</v>
      </c>
      <c r="AJ791" s="116">
        <v>0.4</v>
      </c>
      <c r="AK791" s="117"/>
      <c r="AL791" s="117"/>
      <c r="AM791" s="117"/>
      <c r="AN791" s="117"/>
      <c r="AO791" s="117"/>
    </row>
    <row r="792" ht="34.5" customHeight="1">
      <c r="A792" s="111">
        <v>1240.0</v>
      </c>
      <c r="B792" s="111" t="s">
        <v>8789</v>
      </c>
      <c r="C792" s="111" t="s">
        <v>7981</v>
      </c>
      <c r="D792" s="111">
        <v>2000.0</v>
      </c>
      <c r="E792" s="111"/>
      <c r="F792" s="111" t="s">
        <v>12385</v>
      </c>
      <c r="G792" s="111" t="s">
        <v>12226</v>
      </c>
      <c r="H792" s="111"/>
      <c r="I792" s="111" t="s">
        <v>12287</v>
      </c>
      <c r="J792" s="111"/>
      <c r="K792" s="111" t="s">
        <v>30</v>
      </c>
      <c r="L792" s="111"/>
      <c r="M792" s="111"/>
      <c r="N792" s="111"/>
      <c r="O792" s="111"/>
      <c r="P792" s="111"/>
      <c r="Q792" s="111"/>
      <c r="R792" s="111"/>
      <c r="S792" s="111"/>
      <c r="T792" s="111"/>
      <c r="U792" s="111"/>
      <c r="V792" s="111"/>
      <c r="W792" s="111"/>
      <c r="X792" s="111"/>
      <c r="Y792" s="111"/>
      <c r="Z792" s="111" t="s">
        <v>13483</v>
      </c>
      <c r="AA792" s="124">
        <v>3.75</v>
      </c>
      <c r="AB792" s="125">
        <f>IF(Projects!$AI792="Electrolysis",
AA792/VLOOKUP(G792,ElectrolysisConvF,3,FALSE),
AC792*10^6/(H2dens*HoursInYear))</f>
        <v>721.1538462</v>
      </c>
      <c r="AC792" s="126">
        <f t="shared" ref="AC792:AC795" si="149">AB792*H2dens*HoursInYear/10^6</f>
        <v>0.5622403846</v>
      </c>
      <c r="AD792" s="125"/>
      <c r="AE792" s="125">
        <f t="shared" si="148"/>
        <v>721.1538462</v>
      </c>
      <c r="AF792" s="127" t="s">
        <v>13484</v>
      </c>
      <c r="AG792" s="127">
        <v>0.0</v>
      </c>
      <c r="AH792" s="127">
        <v>0.0</v>
      </c>
      <c r="AI792" s="115" t="s">
        <v>12383</v>
      </c>
      <c r="AJ792" s="116">
        <v>0.57</v>
      </c>
      <c r="AK792" s="117"/>
      <c r="AL792" s="117"/>
      <c r="AM792" s="117"/>
      <c r="AN792" s="117"/>
      <c r="AO792" s="117"/>
    </row>
    <row r="793" ht="34.5" customHeight="1">
      <c r="A793" s="111">
        <v>1241.0</v>
      </c>
      <c r="B793" s="111" t="s">
        <v>8790</v>
      </c>
      <c r="C793" s="111" t="s">
        <v>7981</v>
      </c>
      <c r="D793" s="111">
        <v>2000.0</v>
      </c>
      <c r="E793" s="111"/>
      <c r="F793" s="111" t="s">
        <v>12385</v>
      </c>
      <c r="G793" s="111" t="s">
        <v>12226</v>
      </c>
      <c r="H793" s="111"/>
      <c r="I793" s="111" t="s">
        <v>12287</v>
      </c>
      <c r="J793" s="111"/>
      <c r="K793" s="111" t="s">
        <v>30</v>
      </c>
      <c r="L793" s="111"/>
      <c r="M793" s="111"/>
      <c r="N793" s="111"/>
      <c r="O793" s="111"/>
      <c r="P793" s="111"/>
      <c r="Q793" s="111"/>
      <c r="R793" s="111"/>
      <c r="S793" s="111"/>
      <c r="T793" s="111"/>
      <c r="U793" s="111"/>
      <c r="V793" s="111"/>
      <c r="W793" s="111"/>
      <c r="X793" s="111"/>
      <c r="Y793" s="111"/>
      <c r="Z793" s="111" t="s">
        <v>13485</v>
      </c>
      <c r="AA793" s="124">
        <v>0.5</v>
      </c>
      <c r="AB793" s="125">
        <f>IF(Projects!$AI793="Electrolysis",
AA793/VLOOKUP(G793,ElectrolysisConvF,3,FALSE),
AC793*10^6/(H2dens*HoursInYear))</f>
        <v>96.15384615</v>
      </c>
      <c r="AC793" s="126">
        <f t="shared" si="149"/>
        <v>0.07496538462</v>
      </c>
      <c r="AD793" s="125"/>
      <c r="AE793" s="125">
        <f t="shared" si="148"/>
        <v>96.15384615</v>
      </c>
      <c r="AF793" s="127" t="s">
        <v>13484</v>
      </c>
      <c r="AG793" s="127">
        <v>0.0</v>
      </c>
      <c r="AH793" s="127">
        <v>0.0</v>
      </c>
      <c r="AI793" s="115" t="s">
        <v>12383</v>
      </c>
      <c r="AJ793" s="116">
        <v>0.57</v>
      </c>
      <c r="AK793" s="117"/>
      <c r="AL793" s="117"/>
      <c r="AM793" s="117"/>
      <c r="AN793" s="117"/>
      <c r="AO793" s="117"/>
    </row>
    <row r="794" ht="34.5" customHeight="1">
      <c r="A794" s="111">
        <v>1243.0</v>
      </c>
      <c r="B794" s="111" t="s">
        <v>8791</v>
      </c>
      <c r="C794" s="111" t="s">
        <v>7981</v>
      </c>
      <c r="D794" s="111">
        <v>2000.0</v>
      </c>
      <c r="E794" s="111"/>
      <c r="F794" s="111" t="s">
        <v>12385</v>
      </c>
      <c r="G794" s="111" t="s">
        <v>12226</v>
      </c>
      <c r="H794" s="111"/>
      <c r="I794" s="111" t="s">
        <v>12287</v>
      </c>
      <c r="J794" s="111"/>
      <c r="K794" s="111" t="s">
        <v>30</v>
      </c>
      <c r="L794" s="111"/>
      <c r="M794" s="111"/>
      <c r="N794" s="111"/>
      <c r="O794" s="111"/>
      <c r="P794" s="111"/>
      <c r="Q794" s="111"/>
      <c r="R794" s="111"/>
      <c r="S794" s="111"/>
      <c r="T794" s="111"/>
      <c r="U794" s="111"/>
      <c r="V794" s="111"/>
      <c r="W794" s="111"/>
      <c r="X794" s="111"/>
      <c r="Y794" s="111"/>
      <c r="Z794" s="111" t="s">
        <v>13486</v>
      </c>
      <c r="AA794" s="124">
        <v>3.24</v>
      </c>
      <c r="AB794" s="125">
        <f>IF(Projects!$AI794="Electrolysis",
AA794/VLOOKUP(G794,ElectrolysisConvF,3,FALSE),
AC794*10^6/(H2dens*HoursInYear))</f>
        <v>623.0769231</v>
      </c>
      <c r="AC794" s="126">
        <f t="shared" si="149"/>
        <v>0.4857756923</v>
      </c>
      <c r="AD794" s="125"/>
      <c r="AE794" s="125">
        <f t="shared" si="148"/>
        <v>623.0769231</v>
      </c>
      <c r="AF794" s="127" t="s">
        <v>13484</v>
      </c>
      <c r="AG794" s="127">
        <v>0.0</v>
      </c>
      <c r="AH794" s="127">
        <v>0.0</v>
      </c>
      <c r="AI794" s="115" t="s">
        <v>12383</v>
      </c>
      <c r="AJ794" s="116">
        <v>0.57</v>
      </c>
      <c r="AK794" s="117"/>
      <c r="AL794" s="117"/>
      <c r="AM794" s="117"/>
      <c r="AN794" s="117"/>
      <c r="AO794" s="117"/>
    </row>
    <row r="795" ht="34.5" customHeight="1">
      <c r="A795" s="111">
        <v>1245.0</v>
      </c>
      <c r="B795" s="111" t="s">
        <v>8792</v>
      </c>
      <c r="C795" s="111" t="s">
        <v>7981</v>
      </c>
      <c r="D795" s="111">
        <v>2000.0</v>
      </c>
      <c r="E795" s="111"/>
      <c r="F795" s="111" t="s">
        <v>12385</v>
      </c>
      <c r="G795" s="111" t="s">
        <v>12226</v>
      </c>
      <c r="H795" s="111"/>
      <c r="I795" s="111" t="s">
        <v>12287</v>
      </c>
      <c r="J795" s="111"/>
      <c r="K795" s="111" t="s">
        <v>30</v>
      </c>
      <c r="L795" s="111"/>
      <c r="M795" s="111"/>
      <c r="N795" s="111"/>
      <c r="O795" s="111"/>
      <c r="P795" s="111"/>
      <c r="Q795" s="111"/>
      <c r="R795" s="111"/>
      <c r="S795" s="111"/>
      <c r="T795" s="111"/>
      <c r="U795" s="111"/>
      <c r="V795" s="111"/>
      <c r="W795" s="111"/>
      <c r="X795" s="111"/>
      <c r="Y795" s="111"/>
      <c r="Z795" s="111" t="s">
        <v>13487</v>
      </c>
      <c r="AA795" s="124">
        <v>1.44</v>
      </c>
      <c r="AB795" s="125">
        <f>IF(Projects!$AI795="Electrolysis",
AA795/VLOOKUP(G795,ElectrolysisConvF,3,FALSE),
AC795*10^6/(H2dens*HoursInYear))</f>
        <v>276.9230769</v>
      </c>
      <c r="AC795" s="126">
        <f t="shared" si="149"/>
        <v>0.2159003077</v>
      </c>
      <c r="AD795" s="125"/>
      <c r="AE795" s="125">
        <f t="shared" si="148"/>
        <v>276.9230769</v>
      </c>
      <c r="AF795" s="127" t="s">
        <v>13484</v>
      </c>
      <c r="AG795" s="127">
        <v>0.0</v>
      </c>
      <c r="AH795" s="127">
        <v>0.0</v>
      </c>
      <c r="AI795" s="115" t="s">
        <v>12383</v>
      </c>
      <c r="AJ795" s="116">
        <v>0.57</v>
      </c>
      <c r="AK795" s="117"/>
      <c r="AL795" s="117"/>
      <c r="AM795" s="117"/>
      <c r="AN795" s="117"/>
      <c r="AO795" s="117"/>
    </row>
    <row r="796" ht="34.5" customHeight="1">
      <c r="A796" s="111">
        <v>1247.0</v>
      </c>
      <c r="B796" s="111" t="s">
        <v>8793</v>
      </c>
      <c r="C796" s="111" t="s">
        <v>7981</v>
      </c>
      <c r="D796" s="111">
        <v>2020.0</v>
      </c>
      <c r="E796" s="111">
        <v>2023.0</v>
      </c>
      <c r="F796" s="111" t="s">
        <v>12418</v>
      </c>
      <c r="G796" s="111" t="s">
        <v>12239</v>
      </c>
      <c r="H796" s="111" t="s">
        <v>12481</v>
      </c>
      <c r="I796" s="111"/>
      <c r="J796" s="111"/>
      <c r="K796" s="111" t="s">
        <v>30</v>
      </c>
      <c r="L796" s="111"/>
      <c r="M796" s="111"/>
      <c r="N796" s="111"/>
      <c r="O796" s="111"/>
      <c r="P796" s="111"/>
      <c r="Q796" s="111">
        <v>1.0</v>
      </c>
      <c r="R796" s="111">
        <v>1.0</v>
      </c>
      <c r="S796" s="111"/>
      <c r="T796" s="111"/>
      <c r="U796" s="111"/>
      <c r="V796" s="111"/>
      <c r="W796" s="111"/>
      <c r="X796" s="111"/>
      <c r="Y796" s="111"/>
      <c r="Z796" s="111" t="s">
        <v>13488</v>
      </c>
      <c r="AA796" s="124" t="str">
        <f>IF(OR(G796="ALK",G796="PEM",G796="SOEC",G796="Other Electrolysis"),
AB796*VLOOKUP(G796,ElectrolysisConvF,3,FALSE),
"")</f>
        <v/>
      </c>
      <c r="AB796" s="125">
        <f>AC796/(H2dens*HoursInYear/10^6)</f>
        <v>35.11235955</v>
      </c>
      <c r="AC796" s="126">
        <f>75*365/1000000</f>
        <v>0.027375</v>
      </c>
      <c r="AD796" s="125"/>
      <c r="AE796" s="125">
        <f>AB796</f>
        <v>35.11235955</v>
      </c>
      <c r="AF796" s="127" t="s">
        <v>13097</v>
      </c>
      <c r="AG796" s="127">
        <v>0.0</v>
      </c>
      <c r="AH796" s="127">
        <v>0.0</v>
      </c>
      <c r="AI796" s="115" t="s">
        <v>12241</v>
      </c>
      <c r="AJ796" s="116">
        <v>0.9</v>
      </c>
      <c r="AK796" s="117"/>
      <c r="AL796" s="117"/>
      <c r="AM796" s="117"/>
      <c r="AN796" s="117"/>
      <c r="AO796" s="117"/>
    </row>
    <row r="797" ht="34.5" customHeight="1">
      <c r="A797" s="111">
        <v>1248.0</v>
      </c>
      <c r="B797" s="111" t="s">
        <v>8794</v>
      </c>
      <c r="C797" s="111" t="s">
        <v>7977</v>
      </c>
      <c r="D797" s="111">
        <v>2026.0</v>
      </c>
      <c r="E797" s="111"/>
      <c r="F797" s="111" t="s">
        <v>12399</v>
      </c>
      <c r="G797" s="111" t="s">
        <v>12226</v>
      </c>
      <c r="H797" s="111"/>
      <c r="I797" s="111" t="s">
        <v>12394</v>
      </c>
      <c r="J797" s="111" t="s">
        <v>12292</v>
      </c>
      <c r="K797" s="111" t="s">
        <v>12415</v>
      </c>
      <c r="L797" s="111"/>
      <c r="M797" s="111"/>
      <c r="N797" s="111">
        <v>1.0</v>
      </c>
      <c r="O797" s="111"/>
      <c r="P797" s="111"/>
      <c r="Q797" s="111"/>
      <c r="R797" s="111"/>
      <c r="S797" s="111"/>
      <c r="T797" s="111"/>
      <c r="U797" s="111"/>
      <c r="V797" s="111"/>
      <c r="W797" s="111"/>
      <c r="X797" s="111"/>
      <c r="Y797" s="111"/>
      <c r="Z797" s="111" t="s">
        <v>12835</v>
      </c>
      <c r="AA797" s="124">
        <v>5.0</v>
      </c>
      <c r="AB797" s="125">
        <f>IF(Projects!$AI797="Electrolysis",
AA797/VLOOKUP(G797,ElectrolysisConvF,3,FALSE),
AC797*10^6/(H2dens*HoursInYear))</f>
        <v>961.5384615</v>
      </c>
      <c r="AC797" s="126">
        <f t="shared" ref="AC797:AC798" si="150">AB797*H2dens*HoursInYear/10^6</f>
        <v>0.7496538462</v>
      </c>
      <c r="AD797" s="125"/>
      <c r="AE797" s="125">
        <f t="shared" ref="AE797:AE817" si="151">IF(AND(G797&lt;&gt;"NG w CCUS",G797&lt;&gt;"Oil w CCUS",G797&lt;&gt;"Coal w CCUS"),AB797,AD797*10^3/(HoursInYear*IF(G797="NG w CCUS",0.9105,1.9075)))</f>
        <v>961.5384615</v>
      </c>
      <c r="AF797" s="127" t="s">
        <v>13489</v>
      </c>
      <c r="AG797" s="127">
        <v>42.6041732363974</v>
      </c>
      <c r="AH797" s="127">
        <v>-8.64601375807652</v>
      </c>
      <c r="AI797" s="115" t="s">
        <v>12383</v>
      </c>
      <c r="AJ797" s="116">
        <v>0.4</v>
      </c>
      <c r="AK797" s="117"/>
      <c r="AL797" s="117"/>
      <c r="AM797" s="117"/>
      <c r="AN797" s="117"/>
      <c r="AO797" s="117"/>
    </row>
    <row r="798" ht="34.5" customHeight="1">
      <c r="A798" s="111">
        <v>1249.0</v>
      </c>
      <c r="B798" s="111" t="s">
        <v>8795</v>
      </c>
      <c r="C798" s="111" t="s">
        <v>7977</v>
      </c>
      <c r="D798" s="111">
        <v>2027.0</v>
      </c>
      <c r="E798" s="111"/>
      <c r="F798" s="111" t="s">
        <v>12399</v>
      </c>
      <c r="G798" s="111" t="s">
        <v>12381</v>
      </c>
      <c r="H798" s="111" t="s">
        <v>12230</v>
      </c>
      <c r="I798" s="111" t="s">
        <v>12394</v>
      </c>
      <c r="J798" s="111" t="s">
        <v>12292</v>
      </c>
      <c r="K798" s="111" t="s">
        <v>12415</v>
      </c>
      <c r="L798" s="111"/>
      <c r="M798" s="111"/>
      <c r="N798" s="111">
        <v>1.0</v>
      </c>
      <c r="O798" s="111"/>
      <c r="P798" s="111"/>
      <c r="Q798" s="111"/>
      <c r="R798" s="111"/>
      <c r="S798" s="111"/>
      <c r="T798" s="111"/>
      <c r="U798" s="111"/>
      <c r="V798" s="111"/>
      <c r="W798" s="111"/>
      <c r="X798" s="111"/>
      <c r="Y798" s="111"/>
      <c r="Z798" s="111" t="s">
        <v>12806</v>
      </c>
      <c r="AA798" s="124">
        <v>150.0</v>
      </c>
      <c r="AB798" s="125">
        <f>IF(Projects!$AI798="Electrolysis",
AA798/VLOOKUP(G798,ElectrolysisConvF,3,FALSE),
AC798*10^6/(H2dens*HoursInYear))</f>
        <v>33333.33333</v>
      </c>
      <c r="AC798" s="126">
        <f t="shared" si="150"/>
        <v>25.988</v>
      </c>
      <c r="AD798" s="125"/>
      <c r="AE798" s="125">
        <f t="shared" si="151"/>
        <v>33333.33333</v>
      </c>
      <c r="AF798" s="127" t="s">
        <v>13489</v>
      </c>
      <c r="AG798" s="127">
        <v>42.6041732363974</v>
      </c>
      <c r="AH798" s="127">
        <v>-8.64601375807652</v>
      </c>
      <c r="AI798" s="115" t="s">
        <v>12383</v>
      </c>
      <c r="AJ798" s="116">
        <v>0.4</v>
      </c>
      <c r="AK798" s="117"/>
      <c r="AL798" s="117"/>
      <c r="AM798" s="117"/>
      <c r="AN798" s="117"/>
      <c r="AO798" s="117"/>
    </row>
    <row r="799" ht="34.5" customHeight="1">
      <c r="A799" s="111">
        <v>1250.0</v>
      </c>
      <c r="B799" s="111" t="s">
        <v>8796</v>
      </c>
      <c r="C799" s="111" t="s">
        <v>7981</v>
      </c>
      <c r="D799" s="111"/>
      <c r="E799" s="111"/>
      <c r="F799" s="111" t="s">
        <v>12397</v>
      </c>
      <c r="G799" s="111" t="s">
        <v>12381</v>
      </c>
      <c r="H799" s="111" t="s">
        <v>12230</v>
      </c>
      <c r="I799" s="111" t="s">
        <v>12394</v>
      </c>
      <c r="J799" s="111" t="s">
        <v>12296</v>
      </c>
      <c r="K799" s="111" t="s">
        <v>30</v>
      </c>
      <c r="L799" s="111"/>
      <c r="M799" s="111"/>
      <c r="N799" s="111"/>
      <c r="O799" s="111"/>
      <c r="P799" s="111"/>
      <c r="Q799" s="111"/>
      <c r="R799" s="111">
        <v>1.0</v>
      </c>
      <c r="S799" s="111"/>
      <c r="T799" s="111"/>
      <c r="U799" s="111"/>
      <c r="V799" s="111"/>
      <c r="W799" s="111"/>
      <c r="X799" s="111"/>
      <c r="Y799" s="111"/>
      <c r="Z799" s="111"/>
      <c r="AA799" s="124"/>
      <c r="AB799" s="125"/>
      <c r="AC799" s="126"/>
      <c r="AD799" s="125"/>
      <c r="AE799" s="125" t="str">
        <f t="shared" si="151"/>
        <v/>
      </c>
      <c r="AF799" s="127" t="s">
        <v>13490</v>
      </c>
      <c r="AG799" s="127">
        <v>0.0</v>
      </c>
      <c r="AH799" s="127">
        <v>0.0</v>
      </c>
      <c r="AI799" s="115" t="s">
        <v>12383</v>
      </c>
      <c r="AJ799" s="116">
        <v>0.5</v>
      </c>
      <c r="AK799" s="117"/>
      <c r="AL799" s="117"/>
      <c r="AM799" s="117"/>
      <c r="AN799" s="117"/>
      <c r="AO799" s="117"/>
    </row>
    <row r="800" ht="34.5" customHeight="1">
      <c r="A800" s="111">
        <v>1251.0</v>
      </c>
      <c r="B800" s="111" t="s">
        <v>8797</v>
      </c>
      <c r="C800" s="111" t="s">
        <v>7981</v>
      </c>
      <c r="D800" s="111"/>
      <c r="E800" s="111"/>
      <c r="F800" s="111" t="s">
        <v>12397</v>
      </c>
      <c r="G800" s="111" t="s">
        <v>12381</v>
      </c>
      <c r="H800" s="111" t="s">
        <v>12230</v>
      </c>
      <c r="I800" s="111" t="s">
        <v>12394</v>
      </c>
      <c r="J800" s="111" t="s">
        <v>12296</v>
      </c>
      <c r="K800" s="111" t="s">
        <v>30</v>
      </c>
      <c r="L800" s="111"/>
      <c r="M800" s="111"/>
      <c r="N800" s="111"/>
      <c r="O800" s="111"/>
      <c r="P800" s="111"/>
      <c r="Q800" s="111"/>
      <c r="R800" s="111">
        <v>1.0</v>
      </c>
      <c r="S800" s="111"/>
      <c r="T800" s="111"/>
      <c r="U800" s="111"/>
      <c r="V800" s="111"/>
      <c r="W800" s="111"/>
      <c r="X800" s="111"/>
      <c r="Y800" s="111"/>
      <c r="Z800" s="111"/>
      <c r="AA800" s="124"/>
      <c r="AB800" s="125"/>
      <c r="AC800" s="126"/>
      <c r="AD800" s="125"/>
      <c r="AE800" s="125" t="str">
        <f t="shared" si="151"/>
        <v/>
      </c>
      <c r="AF800" s="127" t="s">
        <v>13490</v>
      </c>
      <c r="AG800" s="127">
        <v>0.0</v>
      </c>
      <c r="AH800" s="127">
        <v>0.0</v>
      </c>
      <c r="AI800" s="115" t="s">
        <v>12383</v>
      </c>
      <c r="AJ800" s="116">
        <v>0.5</v>
      </c>
      <c r="AK800" s="117"/>
      <c r="AL800" s="117"/>
      <c r="AM800" s="117"/>
      <c r="AN800" s="117"/>
      <c r="AO800" s="117"/>
    </row>
    <row r="801" ht="34.5" customHeight="1">
      <c r="A801" s="111">
        <v>1252.0</v>
      </c>
      <c r="B801" s="111" t="s">
        <v>8798</v>
      </c>
      <c r="C801" s="111" t="s">
        <v>7981</v>
      </c>
      <c r="D801" s="111"/>
      <c r="E801" s="111"/>
      <c r="F801" s="111" t="s">
        <v>12397</v>
      </c>
      <c r="G801" s="111" t="s">
        <v>12381</v>
      </c>
      <c r="H801" s="111" t="s">
        <v>12230</v>
      </c>
      <c r="I801" s="111" t="s">
        <v>12394</v>
      </c>
      <c r="J801" s="111" t="s">
        <v>12296</v>
      </c>
      <c r="K801" s="111" t="s">
        <v>30</v>
      </c>
      <c r="L801" s="111"/>
      <c r="M801" s="111"/>
      <c r="N801" s="111"/>
      <c r="O801" s="111"/>
      <c r="P801" s="111"/>
      <c r="Q801" s="111"/>
      <c r="R801" s="111">
        <v>1.0</v>
      </c>
      <c r="S801" s="111"/>
      <c r="T801" s="111"/>
      <c r="U801" s="111"/>
      <c r="V801" s="111"/>
      <c r="W801" s="111"/>
      <c r="X801" s="111"/>
      <c r="Y801" s="111"/>
      <c r="Z801" s="111"/>
      <c r="AA801" s="124"/>
      <c r="AB801" s="125"/>
      <c r="AC801" s="126"/>
      <c r="AD801" s="125"/>
      <c r="AE801" s="125" t="str">
        <f t="shared" si="151"/>
        <v/>
      </c>
      <c r="AF801" s="127" t="s">
        <v>13490</v>
      </c>
      <c r="AG801" s="127">
        <v>0.0</v>
      </c>
      <c r="AH801" s="127">
        <v>0.0</v>
      </c>
      <c r="AI801" s="115" t="s">
        <v>12383</v>
      </c>
      <c r="AJ801" s="116">
        <v>0.5</v>
      </c>
      <c r="AK801" s="117"/>
      <c r="AL801" s="117"/>
      <c r="AM801" s="117"/>
      <c r="AN801" s="117"/>
      <c r="AO801" s="117"/>
    </row>
    <row r="802" ht="34.5" customHeight="1">
      <c r="A802" s="111">
        <v>1253.0</v>
      </c>
      <c r="B802" s="111" t="s">
        <v>8799</v>
      </c>
      <c r="C802" s="111" t="s">
        <v>8021</v>
      </c>
      <c r="D802" s="111">
        <v>2029.0</v>
      </c>
      <c r="E802" s="111"/>
      <c r="F802" s="111" t="s">
        <v>12397</v>
      </c>
      <c r="G802" s="111" t="s">
        <v>12381</v>
      </c>
      <c r="H802" s="111" t="s">
        <v>12230</v>
      </c>
      <c r="I802" s="111" t="s">
        <v>12394</v>
      </c>
      <c r="J802" s="111" t="s">
        <v>12295</v>
      </c>
      <c r="K802" s="111" t="s">
        <v>174</v>
      </c>
      <c r="L802" s="111"/>
      <c r="M802" s="111">
        <v>1.0</v>
      </c>
      <c r="N802" s="111"/>
      <c r="O802" s="111"/>
      <c r="P802" s="111"/>
      <c r="Q802" s="111"/>
      <c r="R802" s="111"/>
      <c r="S802" s="111"/>
      <c r="T802" s="111"/>
      <c r="U802" s="111"/>
      <c r="V802" s="111"/>
      <c r="W802" s="111"/>
      <c r="X802" s="111"/>
      <c r="Y802" s="111"/>
      <c r="Z802" s="111" t="s">
        <v>13491</v>
      </c>
      <c r="AA802" s="126">
        <f>IF(Projects!$AI802="Electrolysis",
AB802*VLOOKUP(G802,ElectrolysisConvF,3,FALSE),
"")</f>
        <v>41574.2717</v>
      </c>
      <c r="AB802" s="125">
        <f>AC802/(H2dens*HoursInYear/10^6)</f>
        <v>9238727.044</v>
      </c>
      <c r="AC802" s="126">
        <f>20000*3/17/0.98/Projects!$AJ802</f>
        <v>7202.881152</v>
      </c>
      <c r="AD802" s="125"/>
      <c r="AE802" s="125">
        <f t="shared" si="151"/>
        <v>9238727.044</v>
      </c>
      <c r="AF802" s="127" t="s">
        <v>13492</v>
      </c>
      <c r="AG802" s="127">
        <v>-30.7477693522858</v>
      </c>
      <c r="AH802" s="127">
        <v>121.465007906014</v>
      </c>
      <c r="AI802" s="115" t="s">
        <v>12383</v>
      </c>
      <c r="AJ802" s="116">
        <v>0.5</v>
      </c>
      <c r="AK802" s="117"/>
      <c r="AL802" s="117"/>
      <c r="AM802" s="117"/>
      <c r="AN802" s="117"/>
      <c r="AO802" s="117"/>
    </row>
    <row r="803" ht="34.5" customHeight="1">
      <c r="A803" s="111">
        <v>1254.0</v>
      </c>
      <c r="B803" s="111" t="s">
        <v>8800</v>
      </c>
      <c r="C803" s="111" t="s">
        <v>8021</v>
      </c>
      <c r="D803" s="111">
        <v>2023.0</v>
      </c>
      <c r="E803" s="111"/>
      <c r="F803" s="111" t="s">
        <v>12418</v>
      </c>
      <c r="G803" s="111" t="s">
        <v>12381</v>
      </c>
      <c r="H803" s="111" t="s">
        <v>12230</v>
      </c>
      <c r="I803" s="111" t="s">
        <v>12394</v>
      </c>
      <c r="J803" s="111" t="s">
        <v>12291</v>
      </c>
      <c r="K803" s="111" t="s">
        <v>12449</v>
      </c>
      <c r="L803" s="111"/>
      <c r="M803" s="111"/>
      <c r="N803" s="111"/>
      <c r="O803" s="111"/>
      <c r="P803" s="111"/>
      <c r="Q803" s="111"/>
      <c r="R803" s="111"/>
      <c r="S803" s="111"/>
      <c r="T803" s="111"/>
      <c r="U803" s="111"/>
      <c r="V803" s="111"/>
      <c r="W803" s="111"/>
      <c r="X803" s="111">
        <v>1.0</v>
      </c>
      <c r="Y803" s="111"/>
      <c r="Z803" s="111" t="s">
        <v>12648</v>
      </c>
      <c r="AA803" s="124">
        <v>0.005</v>
      </c>
      <c r="AB803" s="125">
        <f>IF(Projects!$AI803="Electrolysis",
AA803/VLOOKUP(G803,ElectrolysisConvF,3,FALSE),
AC803*10^6/(H2dens*HoursInYear))</f>
        <v>1.111111111</v>
      </c>
      <c r="AC803" s="126">
        <f>AB803*H2dens*HoursInYear/10^6</f>
        <v>0.0008662666667</v>
      </c>
      <c r="AD803" s="125"/>
      <c r="AE803" s="125">
        <f t="shared" si="151"/>
        <v>1.111111111</v>
      </c>
      <c r="AF803" s="127" t="s">
        <v>13493</v>
      </c>
      <c r="AG803" s="127">
        <v>-26.4971082629098</v>
      </c>
      <c r="AH803" s="127">
        <v>148.793833382439</v>
      </c>
      <c r="AI803" s="115" t="s">
        <v>12383</v>
      </c>
      <c r="AJ803" s="116">
        <v>0.3</v>
      </c>
      <c r="AK803" s="117"/>
      <c r="AL803" s="117"/>
      <c r="AM803" s="117"/>
      <c r="AN803" s="117"/>
      <c r="AO803" s="117"/>
    </row>
    <row r="804" ht="34.5" customHeight="1">
      <c r="A804" s="111">
        <v>1255.0</v>
      </c>
      <c r="B804" s="111" t="s">
        <v>8801</v>
      </c>
      <c r="C804" s="111" t="s">
        <v>8021</v>
      </c>
      <c r="D804" s="111"/>
      <c r="E804" s="111"/>
      <c r="F804" s="111" t="s">
        <v>12418</v>
      </c>
      <c r="G804" s="111" t="s">
        <v>12239</v>
      </c>
      <c r="H804" s="111" t="s">
        <v>13494</v>
      </c>
      <c r="I804" s="111"/>
      <c r="J804" s="111"/>
      <c r="K804" s="111" t="s">
        <v>30</v>
      </c>
      <c r="L804" s="111">
        <v>1.0</v>
      </c>
      <c r="M804" s="111"/>
      <c r="N804" s="111"/>
      <c r="O804" s="111"/>
      <c r="P804" s="111"/>
      <c r="Q804" s="111"/>
      <c r="R804" s="111"/>
      <c r="S804" s="111"/>
      <c r="T804" s="111"/>
      <c r="U804" s="111"/>
      <c r="V804" s="111"/>
      <c r="W804" s="111"/>
      <c r="X804" s="111"/>
      <c r="Y804" s="111"/>
      <c r="Z804" s="111" t="s">
        <v>13495</v>
      </c>
      <c r="AA804" s="124"/>
      <c r="AB804" s="125">
        <f>AC804/(H2dens*HoursInYear/10^6)</f>
        <v>0.01154378944</v>
      </c>
      <c r="AC804" s="126">
        <f>300*3.6/120/1000000</f>
        <v>0.000009</v>
      </c>
      <c r="AD804" s="125"/>
      <c r="AE804" s="125">
        <f t="shared" si="151"/>
        <v>0.01154378944</v>
      </c>
      <c r="AF804" s="127" t="s">
        <v>13496</v>
      </c>
      <c r="AG804" s="127">
        <v>0.0</v>
      </c>
      <c r="AH804" s="127">
        <v>0.0</v>
      </c>
      <c r="AI804" s="115" t="s">
        <v>12241</v>
      </c>
      <c r="AJ804" s="116">
        <v>0.9</v>
      </c>
      <c r="AK804" s="117"/>
      <c r="AL804" s="117"/>
      <c r="AM804" s="117"/>
      <c r="AN804" s="117"/>
      <c r="AO804" s="117"/>
    </row>
    <row r="805" ht="34.5" customHeight="1">
      <c r="A805" s="111">
        <v>1256.0</v>
      </c>
      <c r="B805" s="111" t="s">
        <v>8802</v>
      </c>
      <c r="C805" s="111" t="s">
        <v>8021</v>
      </c>
      <c r="D805" s="111">
        <v>2028.0</v>
      </c>
      <c r="E805" s="111"/>
      <c r="F805" s="111" t="s">
        <v>12399</v>
      </c>
      <c r="G805" s="111" t="s">
        <v>12381</v>
      </c>
      <c r="H805" s="111" t="s">
        <v>12230</v>
      </c>
      <c r="I805" s="111" t="s">
        <v>12394</v>
      </c>
      <c r="J805" s="111" t="s">
        <v>12291</v>
      </c>
      <c r="K805" s="111" t="s">
        <v>30</v>
      </c>
      <c r="L805" s="111"/>
      <c r="M805" s="111"/>
      <c r="N805" s="111"/>
      <c r="O805" s="111"/>
      <c r="P805" s="111"/>
      <c r="Q805" s="111">
        <v>1.0</v>
      </c>
      <c r="R805" s="111"/>
      <c r="S805" s="111"/>
      <c r="T805" s="111"/>
      <c r="U805" s="111"/>
      <c r="V805" s="111"/>
      <c r="W805" s="111"/>
      <c r="X805" s="111"/>
      <c r="Y805" s="111"/>
      <c r="Z805" s="111" t="s">
        <v>13497</v>
      </c>
      <c r="AA805" s="124">
        <v>80.0</v>
      </c>
      <c r="AB805" s="125">
        <f>IF(Projects!$AI805="Electrolysis",
AA805/VLOOKUP(G805,ElectrolysisConvF,3,FALSE),
AC805*10^6/(H2dens*HoursInYear))</f>
        <v>17777.77778</v>
      </c>
      <c r="AC805" s="126">
        <f>AB805*H2dens*HoursInYear/10^6</f>
        <v>13.86026667</v>
      </c>
      <c r="AD805" s="125"/>
      <c r="AE805" s="125">
        <f t="shared" si="151"/>
        <v>17777.77778</v>
      </c>
      <c r="AF805" s="127" t="s">
        <v>13498</v>
      </c>
      <c r="AG805" s="127">
        <v>-24.86622</v>
      </c>
      <c r="AH805" s="127">
        <v>152.3489</v>
      </c>
      <c r="AI805" s="115" t="s">
        <v>12383</v>
      </c>
      <c r="AJ805" s="116">
        <v>0.3</v>
      </c>
      <c r="AK805" s="117"/>
      <c r="AL805" s="117"/>
      <c r="AM805" s="117"/>
      <c r="AN805" s="117"/>
      <c r="AO805" s="117"/>
    </row>
    <row r="806" ht="34.5" customHeight="1">
      <c r="A806" s="111">
        <v>1257.0</v>
      </c>
      <c r="B806" s="111" t="s">
        <v>8803</v>
      </c>
      <c r="C806" s="111" t="s">
        <v>8021</v>
      </c>
      <c r="D806" s="111"/>
      <c r="E806" s="111"/>
      <c r="F806" s="111" t="s">
        <v>12397</v>
      </c>
      <c r="G806" s="111" t="s">
        <v>12381</v>
      </c>
      <c r="H806" s="111" t="s">
        <v>12230</v>
      </c>
      <c r="I806" s="111" t="s">
        <v>12394</v>
      </c>
      <c r="J806" s="111" t="s">
        <v>12291</v>
      </c>
      <c r="K806" s="111" t="s">
        <v>30</v>
      </c>
      <c r="L806" s="111"/>
      <c r="M806" s="111"/>
      <c r="N806" s="111"/>
      <c r="O806" s="111"/>
      <c r="P806" s="111"/>
      <c r="Q806" s="111"/>
      <c r="R806" s="111"/>
      <c r="S806" s="111"/>
      <c r="T806" s="111"/>
      <c r="U806" s="111"/>
      <c r="V806" s="111"/>
      <c r="W806" s="111"/>
      <c r="X806" s="111"/>
      <c r="Y806" s="111"/>
      <c r="Z806" s="111"/>
      <c r="AA806" s="124"/>
      <c r="AB806" s="125"/>
      <c r="AC806" s="126"/>
      <c r="AD806" s="125"/>
      <c r="AE806" s="125" t="str">
        <f t="shared" si="151"/>
        <v/>
      </c>
      <c r="AF806" s="127" t="s">
        <v>13499</v>
      </c>
      <c r="AG806" s="127">
        <v>-16.2502030478146</v>
      </c>
      <c r="AH806" s="127">
        <v>145.318979799325</v>
      </c>
      <c r="AI806" s="115" t="s">
        <v>12383</v>
      </c>
      <c r="AJ806" s="116">
        <v>0.3</v>
      </c>
      <c r="AK806" s="117"/>
      <c r="AL806" s="117"/>
      <c r="AM806" s="117"/>
      <c r="AN806" s="117"/>
      <c r="AO806" s="117"/>
    </row>
    <row r="807" ht="34.5" customHeight="1">
      <c r="A807" s="111">
        <v>1258.0</v>
      </c>
      <c r="B807" s="111" t="s">
        <v>8804</v>
      </c>
      <c r="C807" s="111" t="s">
        <v>8021</v>
      </c>
      <c r="D807" s="111">
        <v>2024.0</v>
      </c>
      <c r="E807" s="111"/>
      <c r="F807" s="111" t="s">
        <v>12385</v>
      </c>
      <c r="G807" s="111" t="s">
        <v>12226</v>
      </c>
      <c r="H807" s="111"/>
      <c r="I807" s="111" t="s">
        <v>12394</v>
      </c>
      <c r="J807" s="111" t="s">
        <v>12291</v>
      </c>
      <c r="K807" s="111" t="s">
        <v>30</v>
      </c>
      <c r="L807" s="111"/>
      <c r="M807" s="111"/>
      <c r="N807" s="111"/>
      <c r="O807" s="111"/>
      <c r="P807" s="111"/>
      <c r="Q807" s="111">
        <v>1.0</v>
      </c>
      <c r="R807" s="111"/>
      <c r="S807" s="111"/>
      <c r="T807" s="111"/>
      <c r="U807" s="111"/>
      <c r="V807" s="111"/>
      <c r="W807" s="111"/>
      <c r="X807" s="111"/>
      <c r="Y807" s="111"/>
      <c r="Z807" s="111" t="s">
        <v>13500</v>
      </c>
      <c r="AA807" s="124">
        <f>2*0.7</f>
        <v>1.4</v>
      </c>
      <c r="AB807" s="125">
        <f>IF(Projects!$AI807="Electrolysis",
AA807/VLOOKUP(G807,ElectrolysisConvF,3,FALSE),
AC807*10^6/(H2dens*HoursInYear))</f>
        <v>269.2307692</v>
      </c>
      <c r="AC807" s="146">
        <f t="shared" ref="AC807:AC811" si="152">AB807*H2dens*HoursInYear/10^6</f>
        <v>0.2099030769</v>
      </c>
      <c r="AD807" s="125"/>
      <c r="AE807" s="125">
        <f t="shared" si="151"/>
        <v>269.2307692</v>
      </c>
      <c r="AF807" s="127" t="s">
        <v>13501</v>
      </c>
      <c r="AG807" s="127">
        <v>-22.3626486829528</v>
      </c>
      <c r="AH807" s="127">
        <v>122.738670732525</v>
      </c>
      <c r="AI807" s="115" t="s">
        <v>12383</v>
      </c>
      <c r="AJ807" s="116">
        <v>0.3</v>
      </c>
      <c r="AK807" s="117"/>
      <c r="AL807" s="117"/>
      <c r="AM807" s="117"/>
      <c r="AN807" s="117"/>
      <c r="AO807" s="117"/>
    </row>
    <row r="808" ht="34.5" customHeight="1">
      <c r="A808" s="111">
        <v>1259.0</v>
      </c>
      <c r="B808" s="111" t="s">
        <v>8805</v>
      </c>
      <c r="C808" s="111" t="s">
        <v>8021</v>
      </c>
      <c r="D808" s="111">
        <v>2027.0</v>
      </c>
      <c r="E808" s="111"/>
      <c r="F808" s="111" t="s">
        <v>12399</v>
      </c>
      <c r="G808" s="111" t="s">
        <v>12224</v>
      </c>
      <c r="H808" s="111"/>
      <c r="I808" s="111" t="s">
        <v>12394</v>
      </c>
      <c r="J808" s="111" t="s">
        <v>12292</v>
      </c>
      <c r="K808" s="111" t="s">
        <v>12415</v>
      </c>
      <c r="L808" s="111"/>
      <c r="M808" s="111"/>
      <c r="N808" s="111">
        <v>1.0</v>
      </c>
      <c r="O808" s="111"/>
      <c r="P808" s="111"/>
      <c r="Q808" s="111"/>
      <c r="R808" s="111"/>
      <c r="S808" s="111"/>
      <c r="T808" s="111"/>
      <c r="U808" s="111"/>
      <c r="V808" s="111"/>
      <c r="W808" s="111"/>
      <c r="X808" s="111"/>
      <c r="Y808" s="111"/>
      <c r="Z808" s="111" t="s">
        <v>13502</v>
      </c>
      <c r="AA808" s="124">
        <v>260.0</v>
      </c>
      <c r="AB808" s="125">
        <f>IF(Projects!$AI808="Electrolysis",
AA808/VLOOKUP(G808,ElectrolysisConvF,3,FALSE),
AC808*10^6/(H2dens*HoursInYear))</f>
        <v>56521.73913</v>
      </c>
      <c r="AC808" s="126">
        <f t="shared" si="152"/>
        <v>44.0666087</v>
      </c>
      <c r="AD808" s="125"/>
      <c r="AE808" s="125">
        <f t="shared" si="151"/>
        <v>56521.73913</v>
      </c>
      <c r="AF808" s="127" t="s">
        <v>13503</v>
      </c>
      <c r="AG808" s="127">
        <v>-41.131015832797</v>
      </c>
      <c r="AH808" s="127">
        <v>146.8704778986</v>
      </c>
      <c r="AI808" s="115" t="s">
        <v>12383</v>
      </c>
      <c r="AJ808" s="116">
        <v>0.4</v>
      </c>
      <c r="AK808" s="117"/>
      <c r="AL808" s="117"/>
      <c r="AM808" s="117"/>
      <c r="AN808" s="117"/>
      <c r="AO808" s="117"/>
    </row>
    <row r="809" ht="34.5" customHeight="1">
      <c r="A809" s="111">
        <v>1260.0</v>
      </c>
      <c r="B809" s="111" t="s">
        <v>8806</v>
      </c>
      <c r="C809" s="111" t="s">
        <v>8021</v>
      </c>
      <c r="D809" s="111"/>
      <c r="E809" s="111"/>
      <c r="F809" s="111" t="s">
        <v>12399</v>
      </c>
      <c r="G809" s="111" t="s">
        <v>12381</v>
      </c>
      <c r="H809" s="111" t="s">
        <v>12230</v>
      </c>
      <c r="I809" s="111" t="s">
        <v>12394</v>
      </c>
      <c r="J809" s="111" t="s">
        <v>12296</v>
      </c>
      <c r="K809" s="111" t="s">
        <v>30</v>
      </c>
      <c r="L809" s="111"/>
      <c r="M809" s="111"/>
      <c r="N809" s="111"/>
      <c r="O809" s="111"/>
      <c r="P809" s="111">
        <v>1.0</v>
      </c>
      <c r="Q809" s="111"/>
      <c r="R809" s="111"/>
      <c r="S809" s="111"/>
      <c r="T809" s="111"/>
      <c r="U809" s="111"/>
      <c r="V809" s="111"/>
      <c r="W809" s="111"/>
      <c r="X809" s="111"/>
      <c r="Y809" s="111"/>
      <c r="Z809" s="111" t="s">
        <v>13504</v>
      </c>
      <c r="AA809" s="124">
        <v>95.0</v>
      </c>
      <c r="AB809" s="125">
        <f>IF(Projects!$AI809="Electrolysis",
AA809/VLOOKUP(G809,ElectrolysisConvF,3,FALSE),
AC809*10^6/(H2dens*HoursInYear))</f>
        <v>21111.11111</v>
      </c>
      <c r="AC809" s="126">
        <f t="shared" si="152"/>
        <v>16.45906667</v>
      </c>
      <c r="AD809" s="125"/>
      <c r="AE809" s="125">
        <f t="shared" si="151"/>
        <v>21111.11111</v>
      </c>
      <c r="AF809" s="127" t="s">
        <v>13505</v>
      </c>
      <c r="AG809" s="127">
        <v>0.0</v>
      </c>
      <c r="AH809" s="127">
        <v>0.0</v>
      </c>
      <c r="AI809" s="115" t="s">
        <v>12383</v>
      </c>
      <c r="AJ809" s="116">
        <v>0.5</v>
      </c>
      <c r="AK809" s="117"/>
      <c r="AL809" s="117"/>
      <c r="AM809" s="117"/>
      <c r="AN809" s="117"/>
      <c r="AO809" s="117"/>
    </row>
    <row r="810" ht="34.5" customHeight="1">
      <c r="A810" s="111">
        <v>1261.0</v>
      </c>
      <c r="B810" s="111" t="s">
        <v>8807</v>
      </c>
      <c r="C810" s="111" t="s">
        <v>8021</v>
      </c>
      <c r="D810" s="111"/>
      <c r="E810" s="111"/>
      <c r="F810" s="111" t="s">
        <v>12399</v>
      </c>
      <c r="G810" s="111" t="s">
        <v>12226</v>
      </c>
      <c r="H810" s="111"/>
      <c r="I810" s="111" t="s">
        <v>12406</v>
      </c>
      <c r="J810" s="111"/>
      <c r="K810" s="111" t="s">
        <v>30</v>
      </c>
      <c r="L810" s="111"/>
      <c r="M810" s="111"/>
      <c r="N810" s="111"/>
      <c r="O810" s="111"/>
      <c r="P810" s="111"/>
      <c r="Q810" s="111">
        <v>1.0</v>
      </c>
      <c r="R810" s="111"/>
      <c r="S810" s="111">
        <v>1.0</v>
      </c>
      <c r="T810" s="111"/>
      <c r="U810" s="111"/>
      <c r="V810" s="111"/>
      <c r="W810" s="111"/>
      <c r="X810" s="111"/>
      <c r="Y810" s="111"/>
      <c r="Z810" s="111" t="s">
        <v>12703</v>
      </c>
      <c r="AA810" s="124">
        <v>10.0</v>
      </c>
      <c r="AB810" s="125">
        <f>IF(Projects!$AI810="Electrolysis",
AA810/VLOOKUP(G810,ElectrolysisConvF,3,FALSE),
AC810*10^6/(H2dens*HoursInYear))</f>
        <v>1923.076923</v>
      </c>
      <c r="AC810" s="126">
        <f t="shared" si="152"/>
        <v>1.499307692</v>
      </c>
      <c r="AD810" s="125"/>
      <c r="AE810" s="125">
        <f t="shared" si="151"/>
        <v>1923.076923</v>
      </c>
      <c r="AF810" s="127" t="s">
        <v>13506</v>
      </c>
      <c r="AG810" s="127">
        <v>-37.8084550738703</v>
      </c>
      <c r="AH810" s="127">
        <v>144.940482168558</v>
      </c>
      <c r="AI810" s="115" t="s">
        <v>12383</v>
      </c>
      <c r="AJ810" s="116">
        <v>0.57</v>
      </c>
      <c r="AK810" s="117"/>
      <c r="AL810" s="117"/>
      <c r="AM810" s="117"/>
      <c r="AN810" s="117"/>
      <c r="AO810" s="117"/>
    </row>
    <row r="811" ht="34.5" customHeight="1">
      <c r="A811" s="111">
        <v>1262.0</v>
      </c>
      <c r="B811" s="111" t="s">
        <v>8808</v>
      </c>
      <c r="C811" s="111" t="s">
        <v>8021</v>
      </c>
      <c r="D811" s="111">
        <v>2029.0</v>
      </c>
      <c r="E811" s="111"/>
      <c r="F811" s="111" t="s">
        <v>12399</v>
      </c>
      <c r="G811" s="111" t="s">
        <v>12381</v>
      </c>
      <c r="H811" s="111" t="s">
        <v>12230</v>
      </c>
      <c r="I811" s="111" t="s">
        <v>12394</v>
      </c>
      <c r="J811" s="111" t="s">
        <v>12292</v>
      </c>
      <c r="K811" s="111" t="s">
        <v>30</v>
      </c>
      <c r="L811" s="111"/>
      <c r="M811" s="111"/>
      <c r="N811" s="111"/>
      <c r="O811" s="111"/>
      <c r="P811" s="111"/>
      <c r="Q811" s="111"/>
      <c r="R811" s="111"/>
      <c r="S811" s="111">
        <v>1.0</v>
      </c>
      <c r="T811" s="111"/>
      <c r="U811" s="111"/>
      <c r="V811" s="111"/>
      <c r="W811" s="111"/>
      <c r="X811" s="111"/>
      <c r="Y811" s="111"/>
      <c r="Z811" s="111" t="s">
        <v>12768</v>
      </c>
      <c r="AA811" s="124">
        <v>50.0</v>
      </c>
      <c r="AB811" s="125">
        <f>IF(Projects!$AI811="Electrolysis",
AA811/VLOOKUP(G811,ElectrolysisConvF,3,FALSE),
AC811*10^6/(H2dens*HoursInYear))</f>
        <v>11111.11111</v>
      </c>
      <c r="AC811" s="126">
        <f t="shared" si="152"/>
        <v>8.662666667</v>
      </c>
      <c r="AD811" s="125"/>
      <c r="AE811" s="125">
        <f t="shared" si="151"/>
        <v>11111.11111</v>
      </c>
      <c r="AF811" s="127" t="s">
        <v>13507</v>
      </c>
      <c r="AG811" s="127">
        <v>-38.361674</v>
      </c>
      <c r="AH811" s="127">
        <v>141.603662</v>
      </c>
      <c r="AI811" s="115" t="s">
        <v>12383</v>
      </c>
      <c r="AJ811" s="116">
        <v>0.4</v>
      </c>
      <c r="AK811" s="117"/>
      <c r="AL811" s="117"/>
      <c r="AM811" s="117"/>
      <c r="AN811" s="117"/>
      <c r="AO811" s="117"/>
    </row>
    <row r="812" ht="34.5" customHeight="1">
      <c r="A812" s="111">
        <v>1263.0</v>
      </c>
      <c r="B812" s="111" t="s">
        <v>8809</v>
      </c>
      <c r="C812" s="111" t="s">
        <v>8021</v>
      </c>
      <c r="D812" s="111">
        <v>2023.0</v>
      </c>
      <c r="E812" s="111"/>
      <c r="F812" s="111" t="s">
        <v>12385</v>
      </c>
      <c r="G812" s="111" t="s">
        <v>12381</v>
      </c>
      <c r="H812" s="111" t="s">
        <v>12230</v>
      </c>
      <c r="I812" s="111" t="s">
        <v>12406</v>
      </c>
      <c r="J812" s="111"/>
      <c r="K812" s="111" t="s">
        <v>30</v>
      </c>
      <c r="L812" s="111"/>
      <c r="M812" s="111"/>
      <c r="N812" s="111"/>
      <c r="O812" s="111"/>
      <c r="P812" s="111"/>
      <c r="Q812" s="111">
        <v>1.0</v>
      </c>
      <c r="R812" s="111"/>
      <c r="S812" s="111"/>
      <c r="T812" s="111"/>
      <c r="U812" s="111"/>
      <c r="V812" s="111"/>
      <c r="W812" s="111"/>
      <c r="X812" s="111"/>
      <c r="Y812" s="111"/>
      <c r="Z812" s="111" t="s">
        <v>13508</v>
      </c>
      <c r="AA812" s="126">
        <f>IF(Projects!$AI812="Electrolysis",
AB812*VLOOKUP(G812,ElectrolysisConvF,3,FALSE),
"")</f>
        <v>0.04213483146</v>
      </c>
      <c r="AB812" s="125">
        <f>AC812/(H2dens*HoursInYear/10^6)</f>
        <v>9.36329588</v>
      </c>
      <c r="AC812" s="126">
        <f>20*365/1000000</f>
        <v>0.0073</v>
      </c>
      <c r="AD812" s="125"/>
      <c r="AE812" s="125">
        <f t="shared" si="151"/>
        <v>9.36329588</v>
      </c>
      <c r="AF812" s="127" t="s">
        <v>13509</v>
      </c>
      <c r="AG812" s="127">
        <v>-37.8084550738703</v>
      </c>
      <c r="AH812" s="127">
        <v>144.940482168558</v>
      </c>
      <c r="AI812" s="115" t="s">
        <v>12383</v>
      </c>
      <c r="AJ812" s="116">
        <v>0.57</v>
      </c>
      <c r="AK812" s="117"/>
      <c r="AL812" s="117"/>
      <c r="AM812" s="117"/>
      <c r="AN812" s="117"/>
      <c r="AO812" s="117"/>
    </row>
    <row r="813" ht="34.5" customHeight="1">
      <c r="A813" s="111">
        <v>1264.0</v>
      </c>
      <c r="B813" s="111" t="s">
        <v>8810</v>
      </c>
      <c r="C813" s="111" t="s">
        <v>8047</v>
      </c>
      <c r="D813" s="111"/>
      <c r="E813" s="111"/>
      <c r="F813" s="111" t="s">
        <v>12397</v>
      </c>
      <c r="G813" s="111" t="s">
        <v>12381</v>
      </c>
      <c r="H813" s="111" t="s">
        <v>12230</v>
      </c>
      <c r="I813" s="111" t="s">
        <v>12394</v>
      </c>
      <c r="J813" s="111" t="s">
        <v>12295</v>
      </c>
      <c r="K813" s="111" t="s">
        <v>30</v>
      </c>
      <c r="L813" s="111"/>
      <c r="M813" s="111"/>
      <c r="N813" s="111"/>
      <c r="O813" s="111"/>
      <c r="P813" s="111"/>
      <c r="Q813" s="111"/>
      <c r="R813" s="111"/>
      <c r="S813" s="111"/>
      <c r="T813" s="111"/>
      <c r="U813" s="111"/>
      <c r="V813" s="111"/>
      <c r="W813" s="111"/>
      <c r="X813" s="111"/>
      <c r="Y813" s="111"/>
      <c r="Z813" s="111"/>
      <c r="AA813" s="124"/>
      <c r="AB813" s="125"/>
      <c r="AC813" s="126"/>
      <c r="AD813" s="125"/>
      <c r="AE813" s="125" t="str">
        <f t="shared" si="151"/>
        <v/>
      </c>
      <c r="AF813" s="127" t="s">
        <v>13510</v>
      </c>
      <c r="AG813" s="127">
        <v>0.0</v>
      </c>
      <c r="AH813" s="127">
        <v>0.0</v>
      </c>
      <c r="AI813" s="115" t="s">
        <v>12383</v>
      </c>
      <c r="AJ813" s="116">
        <v>0.5</v>
      </c>
      <c r="AK813" s="117"/>
      <c r="AL813" s="117"/>
      <c r="AM813" s="117"/>
      <c r="AN813" s="117"/>
      <c r="AO813" s="117"/>
    </row>
    <row r="814" ht="34.5" customHeight="1">
      <c r="A814" s="111">
        <v>1265.0</v>
      </c>
      <c r="B814" s="111" t="s">
        <v>8811</v>
      </c>
      <c r="C814" s="111" t="s">
        <v>8023</v>
      </c>
      <c r="D814" s="111">
        <v>2026.0</v>
      </c>
      <c r="E814" s="111"/>
      <c r="F814" s="111" t="s">
        <v>12393</v>
      </c>
      <c r="G814" s="111" t="s">
        <v>12226</v>
      </c>
      <c r="H814" s="111"/>
      <c r="I814" s="111" t="s">
        <v>12394</v>
      </c>
      <c r="J814" s="111" t="s">
        <v>12295</v>
      </c>
      <c r="K814" s="111" t="s">
        <v>30</v>
      </c>
      <c r="L814" s="111"/>
      <c r="M814" s="111"/>
      <c r="N814" s="111"/>
      <c r="O814" s="111"/>
      <c r="P814" s="111"/>
      <c r="Q814" s="111">
        <v>1.0</v>
      </c>
      <c r="R814" s="111"/>
      <c r="S814" s="111"/>
      <c r="T814" s="111"/>
      <c r="U814" s="111"/>
      <c r="V814" s="111"/>
      <c r="W814" s="111"/>
      <c r="X814" s="111"/>
      <c r="Y814" s="111"/>
      <c r="Z814" s="111" t="s">
        <v>12835</v>
      </c>
      <c r="AA814" s="124">
        <v>2.5</v>
      </c>
      <c r="AB814" s="125">
        <f>IF(Projects!$AI814="Electrolysis",
AA814/VLOOKUP(G814,ElectrolysisConvF,3,FALSE),
AC814*10^6/(H2dens*HoursInYear))</f>
        <v>480.7692308</v>
      </c>
      <c r="AC814" s="126">
        <f t="shared" ref="AC814:AC823" si="153">AB814*H2dens*HoursInYear/10^6</f>
        <v>0.3748269231</v>
      </c>
      <c r="AD814" s="125"/>
      <c r="AE814" s="125">
        <f t="shared" si="151"/>
        <v>480.7692308</v>
      </c>
      <c r="AF814" s="127" t="s">
        <v>13283</v>
      </c>
      <c r="AG814" s="127">
        <v>52.2875093003885</v>
      </c>
      <c r="AH814" s="127">
        <v>18.2839036961008</v>
      </c>
      <c r="AI814" s="115" t="s">
        <v>12383</v>
      </c>
      <c r="AJ814" s="116">
        <v>0.5</v>
      </c>
      <c r="AK814" s="117"/>
      <c r="AL814" s="117"/>
      <c r="AM814" s="117"/>
      <c r="AN814" s="117"/>
      <c r="AO814" s="117"/>
    </row>
    <row r="815" ht="34.5" customHeight="1">
      <c r="A815" s="111">
        <v>1266.0</v>
      </c>
      <c r="B815" s="111" t="s">
        <v>8812</v>
      </c>
      <c r="C815" s="111" t="s">
        <v>8023</v>
      </c>
      <c r="D815" s="111">
        <v>2030.0</v>
      </c>
      <c r="E815" s="111"/>
      <c r="F815" s="111" t="s">
        <v>12399</v>
      </c>
      <c r="G815" s="111" t="s">
        <v>12226</v>
      </c>
      <c r="H815" s="111"/>
      <c r="I815" s="111" t="s">
        <v>12394</v>
      </c>
      <c r="J815" s="111" t="s">
        <v>12295</v>
      </c>
      <c r="K815" s="111" t="s">
        <v>30</v>
      </c>
      <c r="L815" s="111"/>
      <c r="M815" s="111"/>
      <c r="N815" s="111"/>
      <c r="O815" s="111"/>
      <c r="P815" s="111"/>
      <c r="Q815" s="111">
        <v>1.0</v>
      </c>
      <c r="R815" s="111"/>
      <c r="S815" s="111"/>
      <c r="T815" s="111"/>
      <c r="U815" s="111"/>
      <c r="V815" s="111"/>
      <c r="W815" s="111"/>
      <c r="X815" s="111"/>
      <c r="Y815" s="111"/>
      <c r="Z815" s="111" t="s">
        <v>12768</v>
      </c>
      <c r="AA815" s="124">
        <v>45.0</v>
      </c>
      <c r="AB815" s="125">
        <f>IF(Projects!$AI815="Electrolysis",
AA815/VLOOKUP(G815,ElectrolysisConvF,3,FALSE),
AC815*10^6/(H2dens*HoursInYear))</f>
        <v>8653.846154</v>
      </c>
      <c r="AC815" s="126">
        <f t="shared" si="153"/>
        <v>6.746884615</v>
      </c>
      <c r="AD815" s="125"/>
      <c r="AE815" s="125">
        <f t="shared" si="151"/>
        <v>8653.846154</v>
      </c>
      <c r="AF815" s="127" t="s">
        <v>13283</v>
      </c>
      <c r="AG815" s="127">
        <v>52.2875093003885</v>
      </c>
      <c r="AH815" s="127">
        <v>18.2839036961008</v>
      </c>
      <c r="AI815" s="115" t="s">
        <v>12383</v>
      </c>
      <c r="AJ815" s="116">
        <v>0.5</v>
      </c>
      <c r="AK815" s="117"/>
      <c r="AL815" s="117"/>
      <c r="AM815" s="117"/>
      <c r="AN815" s="117"/>
      <c r="AO815" s="117"/>
    </row>
    <row r="816" ht="34.5" customHeight="1">
      <c r="A816" s="111">
        <v>1267.0</v>
      </c>
      <c r="B816" s="111" t="s">
        <v>8813</v>
      </c>
      <c r="C816" s="111" t="s">
        <v>7987</v>
      </c>
      <c r="D816" s="111">
        <v>2030.0</v>
      </c>
      <c r="E816" s="111"/>
      <c r="F816" s="111" t="s">
        <v>12399</v>
      </c>
      <c r="G816" s="111" t="s">
        <v>12381</v>
      </c>
      <c r="H816" s="111" t="s">
        <v>12230</v>
      </c>
      <c r="I816" s="111" t="s">
        <v>12394</v>
      </c>
      <c r="J816" s="111" t="s">
        <v>12293</v>
      </c>
      <c r="K816" s="111" t="s">
        <v>30</v>
      </c>
      <c r="L816" s="111"/>
      <c r="M816" s="111"/>
      <c r="N816" s="111"/>
      <c r="O816" s="111"/>
      <c r="P816" s="111"/>
      <c r="Q816" s="111"/>
      <c r="R816" s="111"/>
      <c r="S816" s="111"/>
      <c r="T816" s="111"/>
      <c r="U816" s="111"/>
      <c r="V816" s="111"/>
      <c r="W816" s="111"/>
      <c r="X816" s="111"/>
      <c r="Y816" s="111"/>
      <c r="Z816" s="111" t="s">
        <v>12991</v>
      </c>
      <c r="AA816" s="124">
        <v>272.0</v>
      </c>
      <c r="AB816" s="125">
        <f>IF(Projects!$AI816="Electrolysis",
AA816/VLOOKUP(G816,ElectrolysisConvF,3,FALSE),
AC816*10^6/(H2dens*HoursInYear))</f>
        <v>60444.44444</v>
      </c>
      <c r="AC816" s="126">
        <f t="shared" si="153"/>
        <v>47.12490667</v>
      </c>
      <c r="AD816" s="125"/>
      <c r="AE816" s="125">
        <f t="shared" si="151"/>
        <v>60444.44444</v>
      </c>
      <c r="AF816" s="127" t="s">
        <v>13511</v>
      </c>
      <c r="AG816" s="127">
        <v>54.2023436057572</v>
      </c>
      <c r="AH816" s="127">
        <v>7.92126860886418</v>
      </c>
      <c r="AI816" s="115" t="s">
        <v>12383</v>
      </c>
      <c r="AJ816" s="116">
        <v>0.55</v>
      </c>
      <c r="AK816" s="117"/>
      <c r="AL816" s="117"/>
      <c r="AM816" s="117"/>
      <c r="AN816" s="117"/>
      <c r="AO816" s="117"/>
    </row>
    <row r="817" ht="34.5" customHeight="1">
      <c r="A817" s="111">
        <v>1269.0</v>
      </c>
      <c r="B817" s="111" t="s">
        <v>8814</v>
      </c>
      <c r="C817" s="111" t="s">
        <v>7987</v>
      </c>
      <c r="D817" s="111">
        <v>2026.0</v>
      </c>
      <c r="E817" s="111"/>
      <c r="F817" s="111" t="s">
        <v>12393</v>
      </c>
      <c r="G817" s="111" t="s">
        <v>12226</v>
      </c>
      <c r="H817" s="111"/>
      <c r="I817" s="111" t="s">
        <v>12394</v>
      </c>
      <c r="J817" s="111" t="s">
        <v>12293</v>
      </c>
      <c r="K817" s="111" t="s">
        <v>30</v>
      </c>
      <c r="L817" s="111"/>
      <c r="M817" s="111"/>
      <c r="N817" s="111"/>
      <c r="O817" s="111"/>
      <c r="P817" s="111"/>
      <c r="Q817" s="111"/>
      <c r="R817" s="111"/>
      <c r="S817" s="111"/>
      <c r="T817" s="111"/>
      <c r="U817" s="111"/>
      <c r="V817" s="111"/>
      <c r="W817" s="111"/>
      <c r="X817" s="111"/>
      <c r="Y817" s="111"/>
      <c r="Z817" s="111" t="s">
        <v>13512</v>
      </c>
      <c r="AA817" s="124">
        <v>14.0</v>
      </c>
      <c r="AB817" s="125">
        <f>IF(Projects!$AI817="Electrolysis",
AA817/VLOOKUP(G817,ElectrolysisConvF,3,FALSE),
AC817*10^6/(H2dens*HoursInYear))</f>
        <v>2692.307692</v>
      </c>
      <c r="AC817" s="126">
        <f t="shared" si="153"/>
        <v>2.099030769</v>
      </c>
      <c r="AD817" s="125"/>
      <c r="AE817" s="125">
        <f t="shared" si="151"/>
        <v>2692.307692</v>
      </c>
      <c r="AF817" s="127" t="s">
        <v>13513</v>
      </c>
      <c r="AG817" s="127">
        <v>0.0</v>
      </c>
      <c r="AH817" s="127">
        <v>0.0</v>
      </c>
      <c r="AI817" s="115" t="s">
        <v>12383</v>
      </c>
      <c r="AJ817" s="116">
        <v>0.55</v>
      </c>
      <c r="AK817" s="117"/>
      <c r="AL817" s="117"/>
      <c r="AM817" s="117"/>
      <c r="AN817" s="117"/>
      <c r="AO817" s="117"/>
    </row>
    <row r="818" ht="34.5" customHeight="1">
      <c r="A818" s="111">
        <v>1271.0</v>
      </c>
      <c r="B818" s="111" t="s">
        <v>8815</v>
      </c>
      <c r="C818" s="111" t="s">
        <v>7977</v>
      </c>
      <c r="D818" s="111"/>
      <c r="E818" s="111"/>
      <c r="F818" s="111" t="s">
        <v>12397</v>
      </c>
      <c r="G818" s="111" t="s">
        <v>12381</v>
      </c>
      <c r="H818" s="111" t="s">
        <v>12230</v>
      </c>
      <c r="I818" s="111" t="s">
        <v>12394</v>
      </c>
      <c r="J818" s="111" t="s">
        <v>12292</v>
      </c>
      <c r="K818" s="111" t="s">
        <v>30</v>
      </c>
      <c r="L818" s="111"/>
      <c r="M818" s="111"/>
      <c r="N818" s="111"/>
      <c r="O818" s="111"/>
      <c r="P818" s="111">
        <v>1.0</v>
      </c>
      <c r="Q818" s="111"/>
      <c r="R818" s="111"/>
      <c r="S818" s="111"/>
      <c r="T818" s="111"/>
      <c r="U818" s="111"/>
      <c r="V818" s="111"/>
      <c r="W818" s="111"/>
      <c r="X818" s="111"/>
      <c r="Y818" s="111"/>
      <c r="Z818" s="111" t="s">
        <v>13006</v>
      </c>
      <c r="AA818" s="124">
        <v>150.0</v>
      </c>
      <c r="AB818" s="125">
        <f>IF(Projects!$AI818="Electrolysis",
AA818/VLOOKUP(G818,ElectrolysisConvF,3,FALSE),
AC818*10^6/(H2dens*HoursInYear))</f>
        <v>33333.33333</v>
      </c>
      <c r="AC818" s="126">
        <f t="shared" si="153"/>
        <v>25.988</v>
      </c>
      <c r="AD818" s="125"/>
      <c r="AE818" s="125">
        <f>AB818</f>
        <v>33333.33333</v>
      </c>
      <c r="AF818" s="127" t="s">
        <v>13514</v>
      </c>
      <c r="AG818" s="127">
        <v>43.1744410908543</v>
      </c>
      <c r="AH818" s="127">
        <v>-8.40770048801785</v>
      </c>
      <c r="AI818" s="115" t="s">
        <v>12383</v>
      </c>
      <c r="AJ818" s="116">
        <v>0.4</v>
      </c>
      <c r="AK818" s="117"/>
      <c r="AL818" s="117"/>
      <c r="AM818" s="117"/>
      <c r="AN818" s="117"/>
      <c r="AO818" s="117"/>
    </row>
    <row r="819" ht="34.5" customHeight="1">
      <c r="A819" s="111">
        <v>1272.0</v>
      </c>
      <c r="B819" s="111" t="s">
        <v>8816</v>
      </c>
      <c r="C819" s="111" t="s">
        <v>7985</v>
      </c>
      <c r="D819" s="111">
        <v>2025.0</v>
      </c>
      <c r="E819" s="111"/>
      <c r="F819" s="111" t="s">
        <v>12399</v>
      </c>
      <c r="G819" s="111" t="s">
        <v>12381</v>
      </c>
      <c r="H819" s="111" t="s">
        <v>12230</v>
      </c>
      <c r="I819" s="111" t="s">
        <v>12406</v>
      </c>
      <c r="J819" s="111"/>
      <c r="K819" s="111" t="s">
        <v>30</v>
      </c>
      <c r="L819" s="111"/>
      <c r="M819" s="111"/>
      <c r="N819" s="111"/>
      <c r="O819" s="111"/>
      <c r="P819" s="111"/>
      <c r="Q819" s="111">
        <v>1.0</v>
      </c>
      <c r="R819" s="111"/>
      <c r="S819" s="111"/>
      <c r="T819" s="111"/>
      <c r="U819" s="111"/>
      <c r="V819" s="111"/>
      <c r="W819" s="111"/>
      <c r="X819" s="111"/>
      <c r="Y819" s="111"/>
      <c r="Z819" s="111" t="s">
        <v>12703</v>
      </c>
      <c r="AA819" s="124">
        <v>10.0</v>
      </c>
      <c r="AB819" s="125">
        <f>IF(Projects!$AI819="Electrolysis",
AA819/VLOOKUP(G819,ElectrolysisConvF,3,FALSE),
AC819*10^6/(H2dens*HoursInYear))</f>
        <v>2222.222222</v>
      </c>
      <c r="AC819" s="126">
        <f t="shared" si="153"/>
        <v>1.732533333</v>
      </c>
      <c r="AD819" s="125"/>
      <c r="AE819" s="125">
        <f t="shared" ref="AE819:AE860" si="154">IF(AND(G819&lt;&gt;"NG w CCUS",G819&lt;&gt;"Oil w CCUS",G819&lt;&gt;"Coal w CCUS"),AB819,AD819*10^3/(HoursInYear*IF(G819="NG w CCUS",0.9105,1.9075)))</f>
        <v>2222.222222</v>
      </c>
      <c r="AF819" s="127" t="s">
        <v>13515</v>
      </c>
      <c r="AG819" s="127">
        <v>47.2008098662469</v>
      </c>
      <c r="AH819" s="127">
        <v>8.76742044177939</v>
      </c>
      <c r="AI819" s="115" t="s">
        <v>12383</v>
      </c>
      <c r="AJ819" s="116">
        <v>0.57</v>
      </c>
      <c r="AK819" s="117"/>
      <c r="AL819" s="117"/>
      <c r="AM819" s="117"/>
      <c r="AN819" s="117"/>
      <c r="AO819" s="117"/>
    </row>
    <row r="820" ht="34.5" customHeight="1">
      <c r="A820" s="111">
        <v>1273.0</v>
      </c>
      <c r="B820" s="111" t="s">
        <v>8817</v>
      </c>
      <c r="C820" s="111" t="s">
        <v>7987</v>
      </c>
      <c r="D820" s="111">
        <v>2024.0</v>
      </c>
      <c r="E820" s="111"/>
      <c r="F820" s="111" t="s">
        <v>12385</v>
      </c>
      <c r="G820" s="111" t="s">
        <v>12226</v>
      </c>
      <c r="H820" s="111"/>
      <c r="I820" s="111" t="s">
        <v>12394</v>
      </c>
      <c r="J820" s="111" t="s">
        <v>12296</v>
      </c>
      <c r="K820" s="111" t="s">
        <v>30</v>
      </c>
      <c r="L820" s="111"/>
      <c r="M820" s="111"/>
      <c r="N820" s="111"/>
      <c r="O820" s="111">
        <v>1.0</v>
      </c>
      <c r="P820" s="111">
        <v>1.0</v>
      </c>
      <c r="Q820" s="111">
        <v>1.0</v>
      </c>
      <c r="R820" s="111"/>
      <c r="S820" s="111"/>
      <c r="T820" s="111"/>
      <c r="U820" s="111"/>
      <c r="V820" s="111"/>
      <c r="W820" s="111"/>
      <c r="X820" s="111"/>
      <c r="Y820" s="111"/>
      <c r="Z820" s="111" t="s">
        <v>12589</v>
      </c>
      <c r="AA820" s="124">
        <v>20.0</v>
      </c>
      <c r="AB820" s="125">
        <f>IF(Projects!$AI820="Electrolysis",
AA820/VLOOKUP(G820,ElectrolysisConvF,3,FALSE),
AC820*10^6/(H2dens*HoursInYear))</f>
        <v>3846.153846</v>
      </c>
      <c r="AC820" s="126">
        <f t="shared" si="153"/>
        <v>2.998615385</v>
      </c>
      <c r="AD820" s="125"/>
      <c r="AE820" s="125">
        <f t="shared" si="154"/>
        <v>3846.153846</v>
      </c>
      <c r="AF820" s="127" t="s">
        <v>13516</v>
      </c>
      <c r="AG820" s="127">
        <v>51.4869445149605</v>
      </c>
      <c r="AH820" s="127">
        <v>6.86631612642352</v>
      </c>
      <c r="AI820" s="115" t="s">
        <v>12383</v>
      </c>
      <c r="AJ820" s="116">
        <v>0.5</v>
      </c>
      <c r="AK820" s="117"/>
      <c r="AL820" s="117"/>
      <c r="AM820" s="117"/>
      <c r="AN820" s="117"/>
      <c r="AO820" s="117"/>
    </row>
    <row r="821" ht="34.5" customHeight="1">
      <c r="A821" s="111">
        <v>1274.0</v>
      </c>
      <c r="B821" s="111" t="s">
        <v>8818</v>
      </c>
      <c r="C821" s="111" t="s">
        <v>7987</v>
      </c>
      <c r="D821" s="111">
        <v>2025.0</v>
      </c>
      <c r="E821" s="111"/>
      <c r="F821" s="111" t="s">
        <v>12393</v>
      </c>
      <c r="G821" s="111" t="s">
        <v>12226</v>
      </c>
      <c r="H821" s="111"/>
      <c r="I821" s="111" t="s">
        <v>12394</v>
      </c>
      <c r="J821" s="111" t="s">
        <v>12296</v>
      </c>
      <c r="K821" s="111" t="s">
        <v>30</v>
      </c>
      <c r="L821" s="111"/>
      <c r="M821" s="111"/>
      <c r="N821" s="111"/>
      <c r="O821" s="111">
        <v>1.0</v>
      </c>
      <c r="P821" s="111">
        <v>1.0</v>
      </c>
      <c r="Q821" s="111">
        <v>1.0</v>
      </c>
      <c r="R821" s="111"/>
      <c r="S821" s="111"/>
      <c r="T821" s="111"/>
      <c r="U821" s="111"/>
      <c r="V821" s="111"/>
      <c r="W821" s="111"/>
      <c r="X821" s="111"/>
      <c r="Y821" s="111"/>
      <c r="Z821" s="111" t="s">
        <v>12802</v>
      </c>
      <c r="AA821" s="124">
        <v>10.0</v>
      </c>
      <c r="AB821" s="125">
        <f>IF(Projects!$AI821="Electrolysis",
AA821/VLOOKUP(G821,ElectrolysisConvF,3,FALSE),
AC821*10^6/(H2dens*HoursInYear))</f>
        <v>1923.076923</v>
      </c>
      <c r="AC821" s="126">
        <f t="shared" si="153"/>
        <v>1.499307692</v>
      </c>
      <c r="AD821" s="125"/>
      <c r="AE821" s="125">
        <f t="shared" si="154"/>
        <v>1923.076923</v>
      </c>
      <c r="AF821" s="127" t="s">
        <v>13517</v>
      </c>
      <c r="AG821" s="127">
        <v>51.4869445149605</v>
      </c>
      <c r="AH821" s="127">
        <v>6.86631612642352</v>
      </c>
      <c r="AI821" s="115" t="s">
        <v>12383</v>
      </c>
      <c r="AJ821" s="116">
        <v>0.5</v>
      </c>
      <c r="AK821" s="117"/>
      <c r="AL821" s="117"/>
      <c r="AM821" s="117"/>
      <c r="AN821" s="117"/>
      <c r="AO821" s="117"/>
    </row>
    <row r="822" ht="34.5" customHeight="1">
      <c r="A822" s="111">
        <v>1275.0</v>
      </c>
      <c r="B822" s="127" t="s">
        <v>8819</v>
      </c>
      <c r="C822" s="111" t="s">
        <v>7991</v>
      </c>
      <c r="D822" s="111">
        <v>2026.0</v>
      </c>
      <c r="E822" s="111"/>
      <c r="F822" s="111" t="s">
        <v>12393</v>
      </c>
      <c r="G822" s="111" t="s">
        <v>12381</v>
      </c>
      <c r="H822" s="111" t="s">
        <v>12230</v>
      </c>
      <c r="I822" s="111" t="s">
        <v>12394</v>
      </c>
      <c r="J822" s="111" t="s">
        <v>12295</v>
      </c>
      <c r="K822" s="111" t="s">
        <v>30</v>
      </c>
      <c r="L822" s="111"/>
      <c r="M822" s="111"/>
      <c r="N822" s="111"/>
      <c r="O822" s="111"/>
      <c r="P822" s="111">
        <v>1.0</v>
      </c>
      <c r="Q822" s="111">
        <v>1.0</v>
      </c>
      <c r="R822" s="111"/>
      <c r="S822" s="111"/>
      <c r="T822" s="111"/>
      <c r="U822" s="111"/>
      <c r="V822" s="111"/>
      <c r="W822" s="111"/>
      <c r="X822" s="111"/>
      <c r="Y822" s="111"/>
      <c r="Z822" s="111" t="s">
        <v>13518</v>
      </c>
      <c r="AA822" s="124">
        <v>10.5</v>
      </c>
      <c r="AB822" s="125">
        <f>IF(Projects!$AI822="Electrolysis",
AA822/VLOOKUP(G822,ElectrolysisConvF,3,FALSE),
AC822*10^6/(H2dens*HoursInYear))</f>
        <v>2333.333333</v>
      </c>
      <c r="AC822" s="126">
        <f t="shared" si="153"/>
        <v>1.81916</v>
      </c>
      <c r="AD822" s="125"/>
      <c r="AE822" s="125">
        <f t="shared" si="154"/>
        <v>2333.333333</v>
      </c>
      <c r="AF822" s="127" t="s">
        <v>13519</v>
      </c>
      <c r="AG822" s="127">
        <v>53.4369442570234</v>
      </c>
      <c r="AH822" s="127">
        <v>-2.40825504586318</v>
      </c>
      <c r="AI822" s="115" t="s">
        <v>12383</v>
      </c>
      <c r="AJ822" s="116">
        <v>0.5</v>
      </c>
      <c r="AK822" s="117"/>
      <c r="AL822" s="117"/>
      <c r="AM822" s="117"/>
      <c r="AN822" s="117"/>
      <c r="AO822" s="117"/>
    </row>
    <row r="823" ht="34.5" customHeight="1">
      <c r="A823" s="111">
        <v>1276.0</v>
      </c>
      <c r="B823" s="111" t="s">
        <v>8820</v>
      </c>
      <c r="C823" s="111" t="s">
        <v>8071</v>
      </c>
      <c r="D823" s="111">
        <v>2025.0</v>
      </c>
      <c r="E823" s="111"/>
      <c r="F823" s="111" t="s">
        <v>12399</v>
      </c>
      <c r="G823" s="111" t="s">
        <v>12224</v>
      </c>
      <c r="H823" s="111"/>
      <c r="I823" s="111" t="s">
        <v>12406</v>
      </c>
      <c r="J823" s="111"/>
      <c r="K823" s="111" t="s">
        <v>30</v>
      </c>
      <c r="L823" s="111"/>
      <c r="M823" s="111"/>
      <c r="N823" s="111"/>
      <c r="O823" s="111"/>
      <c r="P823" s="111">
        <v>1.0</v>
      </c>
      <c r="Q823" s="111">
        <v>1.0</v>
      </c>
      <c r="R823" s="111"/>
      <c r="S823" s="111">
        <v>1.0</v>
      </c>
      <c r="T823" s="111"/>
      <c r="U823" s="111"/>
      <c r="V823" s="111"/>
      <c r="W823" s="111"/>
      <c r="X823" s="111"/>
      <c r="Y823" s="111"/>
      <c r="Z823" s="111" t="s">
        <v>12703</v>
      </c>
      <c r="AA823" s="124">
        <v>10.0</v>
      </c>
      <c r="AB823" s="125">
        <f>IF(Projects!$AI823="Electrolysis",
AA823/VLOOKUP(G823,ElectrolysisConvF,3,FALSE),
AC823*10^6/(H2dens*HoursInYear))</f>
        <v>2173.913043</v>
      </c>
      <c r="AC823" s="126">
        <f t="shared" si="153"/>
        <v>1.694869565</v>
      </c>
      <c r="AD823" s="125"/>
      <c r="AE823" s="125">
        <f t="shared" si="154"/>
        <v>2173.913043</v>
      </c>
      <c r="AF823" s="127" t="s">
        <v>13520</v>
      </c>
      <c r="AG823" s="127">
        <v>-32.6076931610443</v>
      </c>
      <c r="AH823" s="127">
        <v>-70.8989767549794</v>
      </c>
      <c r="AI823" s="115" t="s">
        <v>12383</v>
      </c>
      <c r="AJ823" s="116">
        <v>0.57</v>
      </c>
      <c r="AK823" s="117"/>
      <c r="AL823" s="117"/>
      <c r="AM823" s="117"/>
      <c r="AN823" s="117"/>
      <c r="AO823" s="117"/>
    </row>
    <row r="824" ht="34.5" customHeight="1">
      <c r="A824" s="111">
        <v>1277.0</v>
      </c>
      <c r="B824" s="111" t="s">
        <v>8821</v>
      </c>
      <c r="C824" s="111" t="s">
        <v>7987</v>
      </c>
      <c r="D824" s="111">
        <v>2023.0</v>
      </c>
      <c r="E824" s="111"/>
      <c r="F824" s="111" t="s">
        <v>12418</v>
      </c>
      <c r="G824" s="111" t="s">
        <v>12241</v>
      </c>
      <c r="H824" s="111" t="s">
        <v>13021</v>
      </c>
      <c r="I824" s="111"/>
      <c r="J824" s="111"/>
      <c r="K824" s="111" t="s">
        <v>30</v>
      </c>
      <c r="L824" s="111"/>
      <c r="M824" s="111"/>
      <c r="N824" s="111"/>
      <c r="O824" s="111"/>
      <c r="P824" s="111"/>
      <c r="Q824" s="111"/>
      <c r="R824" s="111"/>
      <c r="S824" s="111"/>
      <c r="T824" s="111"/>
      <c r="U824" s="111"/>
      <c r="V824" s="111"/>
      <c r="W824" s="111"/>
      <c r="X824" s="111"/>
      <c r="Y824" s="111"/>
      <c r="Z824" s="111" t="s">
        <v>13521</v>
      </c>
      <c r="AA824" s="124"/>
      <c r="AB824" s="125">
        <f>AC824/(H2dens*HoursInYear/10^6)</f>
        <v>187.2659176</v>
      </c>
      <c r="AC824" s="126">
        <f>400/1000000*365</f>
        <v>0.146</v>
      </c>
      <c r="AD824" s="125"/>
      <c r="AE824" s="125">
        <f t="shared" si="154"/>
        <v>187.2659176</v>
      </c>
      <c r="AF824" s="127" t="s">
        <v>13522</v>
      </c>
      <c r="AG824" s="127">
        <v>0.0</v>
      </c>
      <c r="AH824" s="127">
        <v>0.0</v>
      </c>
      <c r="AI824" s="115" t="s">
        <v>12241</v>
      </c>
      <c r="AJ824" s="116">
        <v>0.9</v>
      </c>
      <c r="AK824" s="117"/>
      <c r="AL824" s="117"/>
      <c r="AM824" s="117"/>
      <c r="AN824" s="117"/>
      <c r="AO824" s="117"/>
    </row>
    <row r="825" ht="34.5" customHeight="1">
      <c r="A825" s="111">
        <v>1281.0</v>
      </c>
      <c r="B825" s="111" t="s">
        <v>8822</v>
      </c>
      <c r="C825" s="111" t="s">
        <v>8021</v>
      </c>
      <c r="D825" s="111">
        <v>2025.0</v>
      </c>
      <c r="E825" s="111"/>
      <c r="F825" s="111" t="s">
        <v>12393</v>
      </c>
      <c r="G825" s="111" t="s">
        <v>12381</v>
      </c>
      <c r="H825" s="111" t="s">
        <v>12230</v>
      </c>
      <c r="I825" s="111" t="s">
        <v>12406</v>
      </c>
      <c r="J825" s="111"/>
      <c r="K825" s="111" t="s">
        <v>30</v>
      </c>
      <c r="L825" s="111"/>
      <c r="M825" s="111"/>
      <c r="N825" s="111"/>
      <c r="O825" s="111"/>
      <c r="P825" s="111">
        <v>1.0</v>
      </c>
      <c r="Q825" s="111"/>
      <c r="R825" s="111"/>
      <c r="S825" s="111"/>
      <c r="T825" s="111"/>
      <c r="U825" s="111"/>
      <c r="V825" s="111"/>
      <c r="W825" s="111"/>
      <c r="X825" s="111"/>
      <c r="Y825" s="111"/>
      <c r="Z825" s="111" t="s">
        <v>12395</v>
      </c>
      <c r="AA825" s="124">
        <v>2.5</v>
      </c>
      <c r="AB825" s="125">
        <f>IF(Projects!$AI825="Electrolysis",
AA825/VLOOKUP(G825,ElectrolysisConvF,3,FALSE),
AC825*10^6/(H2dens*HoursInYear))</f>
        <v>555.5555556</v>
      </c>
      <c r="AC825" s="126">
        <f>AB825*H2dens*HoursInYear/10^6</f>
        <v>0.4331333333</v>
      </c>
      <c r="AD825" s="125"/>
      <c r="AE825" s="125">
        <f t="shared" si="154"/>
        <v>555.5555556</v>
      </c>
      <c r="AF825" s="127" t="s">
        <v>13523</v>
      </c>
      <c r="AG825" s="127">
        <v>-23.8305537301115</v>
      </c>
      <c r="AH825" s="127">
        <v>151.149746813248</v>
      </c>
      <c r="AI825" s="115" t="s">
        <v>12383</v>
      </c>
      <c r="AJ825" s="116">
        <v>0.57</v>
      </c>
      <c r="AK825" s="117"/>
      <c r="AL825" s="117"/>
      <c r="AM825" s="117"/>
      <c r="AN825" s="117"/>
      <c r="AO825" s="117"/>
    </row>
    <row r="826" ht="34.5" customHeight="1">
      <c r="A826" s="111">
        <v>1282.0</v>
      </c>
      <c r="B826" s="111" t="s">
        <v>8823</v>
      </c>
      <c r="C826" s="111" t="s">
        <v>8071</v>
      </c>
      <c r="D826" s="111">
        <v>2021.0</v>
      </c>
      <c r="E826" s="111"/>
      <c r="F826" s="111" t="s">
        <v>12385</v>
      </c>
      <c r="G826" s="111" t="s">
        <v>12226</v>
      </c>
      <c r="H826" s="111"/>
      <c r="I826" s="111" t="s">
        <v>12394</v>
      </c>
      <c r="J826" s="111" t="s">
        <v>12291</v>
      </c>
      <c r="K826" s="111" t="s">
        <v>30</v>
      </c>
      <c r="L826" s="111"/>
      <c r="M826" s="111"/>
      <c r="N826" s="111"/>
      <c r="O826" s="111"/>
      <c r="P826" s="111"/>
      <c r="Q826" s="111">
        <v>1.0</v>
      </c>
      <c r="R826" s="111"/>
      <c r="S826" s="111"/>
      <c r="T826" s="111"/>
      <c r="U826" s="111"/>
      <c r="V826" s="111"/>
      <c r="W826" s="111"/>
      <c r="X826" s="111"/>
      <c r="Y826" s="111"/>
      <c r="Z826" s="111" t="s">
        <v>13524</v>
      </c>
      <c r="AA826" s="126">
        <f>IF(Projects!$AI826="Electrolysis",
AB826*VLOOKUP(G826,ElectrolysisConvF,3,FALSE),
"")</f>
        <v>0.004868913858</v>
      </c>
      <c r="AB826" s="125">
        <f>AC826/(H2dens*HoursInYear/10^6)</f>
        <v>0.936329588</v>
      </c>
      <c r="AC826" s="126">
        <f>2/1000000*365</f>
        <v>0.00073</v>
      </c>
      <c r="AD826" s="125"/>
      <c r="AE826" s="125">
        <f t="shared" si="154"/>
        <v>0.936329588</v>
      </c>
      <c r="AF826" s="127" t="s">
        <v>13525</v>
      </c>
      <c r="AG826" s="127">
        <v>-33.2057241094507</v>
      </c>
      <c r="AH826" s="127">
        <v>-70.678512244387</v>
      </c>
      <c r="AI826" s="115" t="s">
        <v>12383</v>
      </c>
      <c r="AJ826" s="116">
        <v>0.3</v>
      </c>
      <c r="AK826" s="117"/>
      <c r="AL826" s="117"/>
      <c r="AM826" s="117"/>
      <c r="AN826" s="117"/>
      <c r="AO826" s="117"/>
    </row>
    <row r="827" ht="34.5" customHeight="1">
      <c r="A827" s="111">
        <v>1283.0</v>
      </c>
      <c r="B827" s="111" t="s">
        <v>8824</v>
      </c>
      <c r="C827" s="111" t="s">
        <v>8108</v>
      </c>
      <c r="D827" s="111"/>
      <c r="E827" s="111"/>
      <c r="F827" s="111" t="s">
        <v>12399</v>
      </c>
      <c r="G827" s="111" t="s">
        <v>12381</v>
      </c>
      <c r="H827" s="111" t="s">
        <v>12230</v>
      </c>
      <c r="I827" s="111" t="s">
        <v>12394</v>
      </c>
      <c r="J827" s="111" t="s">
        <v>12296</v>
      </c>
      <c r="K827" s="111" t="s">
        <v>30</v>
      </c>
      <c r="L827" s="111"/>
      <c r="M827" s="111"/>
      <c r="N827" s="111"/>
      <c r="O827" s="111"/>
      <c r="P827" s="111"/>
      <c r="Q827" s="111"/>
      <c r="R827" s="111">
        <v>1.0</v>
      </c>
      <c r="S827" s="111"/>
      <c r="T827" s="111">
        <v>1.0</v>
      </c>
      <c r="U827" s="111">
        <v>1.0</v>
      </c>
      <c r="V827" s="111"/>
      <c r="W827" s="111"/>
      <c r="X827" s="111"/>
      <c r="Y827" s="111"/>
      <c r="Z827" s="111" t="s">
        <v>12700</v>
      </c>
      <c r="AA827" s="124">
        <v>25.0</v>
      </c>
      <c r="AB827" s="125">
        <f>IF(Projects!$AI827="Electrolysis",
AA827/VLOOKUP(G827,ElectrolysisConvF,3,FALSE),
AC827*10^6/(H2dens*HoursInYear))</f>
        <v>5555.555556</v>
      </c>
      <c r="AC827" s="126">
        <f>AB827*H2dens*HoursInYear/10^6</f>
        <v>4.331333333</v>
      </c>
      <c r="AD827" s="125"/>
      <c r="AE827" s="125">
        <f t="shared" si="154"/>
        <v>5555.555556</v>
      </c>
      <c r="AF827" s="127" t="s">
        <v>13526</v>
      </c>
      <c r="AG827" s="127">
        <v>34.1541352068372</v>
      </c>
      <c r="AH827" s="127">
        <v>77.5822724828901</v>
      </c>
      <c r="AI827" s="115" t="s">
        <v>12383</v>
      </c>
      <c r="AJ827" s="116">
        <v>0.5</v>
      </c>
      <c r="AK827" s="117"/>
      <c r="AL827" s="117"/>
      <c r="AM827" s="117"/>
      <c r="AN827" s="117"/>
      <c r="AO827" s="117"/>
    </row>
    <row r="828" ht="34.5" customHeight="1">
      <c r="A828" s="111">
        <v>1285.0</v>
      </c>
      <c r="B828" s="111" t="s">
        <v>8825</v>
      </c>
      <c r="C828" s="111" t="s">
        <v>7983</v>
      </c>
      <c r="D828" s="111">
        <v>2025.0</v>
      </c>
      <c r="E828" s="111"/>
      <c r="F828" s="111" t="s">
        <v>12399</v>
      </c>
      <c r="G828" s="111" t="s">
        <v>12381</v>
      </c>
      <c r="H828" s="111" t="s">
        <v>12230</v>
      </c>
      <c r="I828" s="111" t="s">
        <v>12394</v>
      </c>
      <c r="J828" s="111" t="s">
        <v>12293</v>
      </c>
      <c r="K828" s="111" t="s">
        <v>30</v>
      </c>
      <c r="L828" s="111"/>
      <c r="M828" s="111"/>
      <c r="N828" s="111"/>
      <c r="O828" s="111">
        <v>1.0</v>
      </c>
      <c r="P828" s="111">
        <v>1.0</v>
      </c>
      <c r="Q828" s="111">
        <v>1.0</v>
      </c>
      <c r="R828" s="111">
        <v>1.0</v>
      </c>
      <c r="S828" s="111"/>
      <c r="T828" s="111"/>
      <c r="U828" s="111"/>
      <c r="V828" s="111"/>
      <c r="W828" s="111"/>
      <c r="X828" s="111"/>
      <c r="Y828" s="111"/>
      <c r="Z828" s="111" t="s">
        <v>13527</v>
      </c>
      <c r="AA828" s="126">
        <f>IF(Projects!$AI828="Electrolysis",
AB828*VLOOKUP(G828,ElectrolysisConvF,3,FALSE),
"")</f>
        <v>3.174542096</v>
      </c>
      <c r="AB828" s="125">
        <f t="shared" ref="AB828:AB829" si="155">AC828/(H2dens*HoursInYear/10^6)</f>
        <v>705.4537992</v>
      </c>
      <c r="AC828" s="126">
        <v>0.55</v>
      </c>
      <c r="AD828" s="125"/>
      <c r="AE828" s="125">
        <f t="shared" si="154"/>
        <v>705.4537992</v>
      </c>
      <c r="AF828" s="127" t="s">
        <v>13528</v>
      </c>
      <c r="AG828" s="127">
        <v>43.4645490011479</v>
      </c>
      <c r="AH828" s="127">
        <v>143.507192517125</v>
      </c>
      <c r="AI828" s="115" t="s">
        <v>12383</v>
      </c>
      <c r="AJ828" s="116">
        <v>0.55</v>
      </c>
      <c r="AK828" s="117"/>
      <c r="AL828" s="117"/>
      <c r="AM828" s="117"/>
      <c r="AN828" s="117"/>
      <c r="AO828" s="117"/>
    </row>
    <row r="829" ht="34.5" customHeight="1">
      <c r="A829" s="111">
        <v>1287.0</v>
      </c>
      <c r="B829" s="111" t="s">
        <v>8826</v>
      </c>
      <c r="C829" s="111" t="s">
        <v>7981</v>
      </c>
      <c r="D829" s="111"/>
      <c r="E829" s="111"/>
      <c r="F829" s="111" t="s">
        <v>12399</v>
      </c>
      <c r="G829" s="111" t="s">
        <v>12226</v>
      </c>
      <c r="H829" s="111"/>
      <c r="I829" s="111" t="s">
        <v>12394</v>
      </c>
      <c r="J829" s="111" t="s">
        <v>12291</v>
      </c>
      <c r="K829" s="111" t="s">
        <v>30</v>
      </c>
      <c r="L829" s="111"/>
      <c r="M829" s="111"/>
      <c r="N829" s="111"/>
      <c r="O829" s="111"/>
      <c r="P829" s="111"/>
      <c r="Q829" s="111"/>
      <c r="R829" s="111"/>
      <c r="S829" s="111"/>
      <c r="T829" s="111"/>
      <c r="U829" s="111"/>
      <c r="V829" s="111"/>
      <c r="W829" s="111"/>
      <c r="X829" s="111"/>
      <c r="Y829" s="111"/>
      <c r="Z829" s="111" t="s">
        <v>13529</v>
      </c>
      <c r="AA829" s="126">
        <f>IF(Projects!$AI829="Electrolysis",
AB829*VLOOKUP(G829,ElectrolysisConvF,3,FALSE),
"")</f>
        <v>405.7428215</v>
      </c>
      <c r="AB829" s="125">
        <f t="shared" si="155"/>
        <v>78027.46567</v>
      </c>
      <c r="AC829" s="126">
        <f>50*365/1000/Projects!$AJ829</f>
        <v>60.83333333</v>
      </c>
      <c r="AD829" s="125"/>
      <c r="AE829" s="125">
        <f t="shared" si="154"/>
        <v>78027.46567</v>
      </c>
      <c r="AF829" s="127" t="s">
        <v>13530</v>
      </c>
      <c r="AG829" s="127">
        <v>31.3909815703736</v>
      </c>
      <c r="AH829" s="127">
        <v>-103.535958296125</v>
      </c>
      <c r="AI829" s="115" t="s">
        <v>12383</v>
      </c>
      <c r="AJ829" s="116">
        <v>0.3</v>
      </c>
      <c r="AK829" s="117"/>
      <c r="AL829" s="117"/>
      <c r="AM829" s="117"/>
      <c r="AN829" s="117"/>
      <c r="AO829" s="117"/>
    </row>
    <row r="830" ht="34.5" customHeight="1">
      <c r="A830" s="111">
        <v>1288.0</v>
      </c>
      <c r="B830" s="111" t="s">
        <v>8827</v>
      </c>
      <c r="C830" s="111" t="s">
        <v>7971</v>
      </c>
      <c r="D830" s="111">
        <v>2023.0</v>
      </c>
      <c r="E830" s="111"/>
      <c r="F830" s="111" t="s">
        <v>12385</v>
      </c>
      <c r="G830" s="111" t="s">
        <v>12224</v>
      </c>
      <c r="H830" s="111"/>
      <c r="I830" s="111" t="s">
        <v>12394</v>
      </c>
      <c r="J830" s="111" t="s">
        <v>12296</v>
      </c>
      <c r="K830" s="111" t="s">
        <v>30</v>
      </c>
      <c r="L830" s="111"/>
      <c r="M830" s="111"/>
      <c r="N830" s="111"/>
      <c r="O830" s="111"/>
      <c r="P830" s="111"/>
      <c r="Q830" s="111"/>
      <c r="R830" s="111"/>
      <c r="S830" s="111"/>
      <c r="T830" s="111"/>
      <c r="U830" s="111"/>
      <c r="V830" s="111"/>
      <c r="W830" s="111"/>
      <c r="X830" s="111"/>
      <c r="Y830" s="111"/>
      <c r="Z830" s="111" t="s">
        <v>13332</v>
      </c>
      <c r="AA830" s="124">
        <v>0.9</v>
      </c>
      <c r="AB830" s="125">
        <f>IF(Projects!$AI830="Electrolysis",
AA830/VLOOKUP(G830,ElectrolysisConvF,3,FALSE),
AC830*10^6/(H2dens*HoursInYear))</f>
        <v>195.6521739</v>
      </c>
      <c r="AC830" s="126">
        <f>AB830*H2dens*HoursInYear/10^6</f>
        <v>0.1525382609</v>
      </c>
      <c r="AD830" s="125"/>
      <c r="AE830" s="125">
        <f t="shared" si="154"/>
        <v>195.6521739</v>
      </c>
      <c r="AF830" s="127" t="s">
        <v>13531</v>
      </c>
      <c r="AG830" s="127">
        <v>0.0</v>
      </c>
      <c r="AH830" s="127">
        <v>0.0</v>
      </c>
      <c r="AI830" s="115" t="s">
        <v>12383</v>
      </c>
      <c r="AJ830" s="116">
        <v>0.5</v>
      </c>
      <c r="AK830" s="117"/>
      <c r="AL830" s="117"/>
      <c r="AM830" s="117"/>
      <c r="AN830" s="117"/>
      <c r="AO830" s="117"/>
    </row>
    <row r="831" ht="34.5" customHeight="1">
      <c r="A831" s="111">
        <v>1289.0</v>
      </c>
      <c r="B831" s="111" t="s">
        <v>8828</v>
      </c>
      <c r="C831" s="111" t="s">
        <v>7981</v>
      </c>
      <c r="D831" s="111">
        <v>2024.0</v>
      </c>
      <c r="E831" s="111"/>
      <c r="F831" s="111" t="s">
        <v>12393</v>
      </c>
      <c r="G831" s="111" t="s">
        <v>12241</v>
      </c>
      <c r="H831" s="111" t="s">
        <v>13532</v>
      </c>
      <c r="I831" s="111"/>
      <c r="J831" s="111"/>
      <c r="K831" s="111" t="s">
        <v>30</v>
      </c>
      <c r="L831" s="111"/>
      <c r="M831" s="111"/>
      <c r="N831" s="111"/>
      <c r="O831" s="111"/>
      <c r="P831" s="111"/>
      <c r="Q831" s="111">
        <v>1.0</v>
      </c>
      <c r="R831" s="111"/>
      <c r="S831" s="111"/>
      <c r="T831" s="111"/>
      <c r="U831" s="111"/>
      <c r="V831" s="111"/>
      <c r="W831" s="111"/>
      <c r="X831" s="111"/>
      <c r="Y831" s="111"/>
      <c r="Z831" s="111" t="s">
        <v>13533</v>
      </c>
      <c r="AA831" s="124"/>
      <c r="AB831" s="125">
        <f>AC831/(H2dens*HoursInYear/10^6)</f>
        <v>2565.286543</v>
      </c>
      <c r="AC831" s="126">
        <v>2.0</v>
      </c>
      <c r="AD831" s="125"/>
      <c r="AE831" s="125">
        <f t="shared" si="154"/>
        <v>2565.286543</v>
      </c>
      <c r="AF831" s="127" t="s">
        <v>13534</v>
      </c>
      <c r="AG831" s="127">
        <v>0.0</v>
      </c>
      <c r="AH831" s="127">
        <v>0.0</v>
      </c>
      <c r="AI831" s="115" t="s">
        <v>12241</v>
      </c>
      <c r="AJ831" s="116">
        <v>0.9</v>
      </c>
      <c r="AK831" s="117"/>
      <c r="AL831" s="117"/>
      <c r="AM831" s="117"/>
      <c r="AN831" s="117"/>
      <c r="AO831" s="117"/>
    </row>
    <row r="832" ht="34.5" customHeight="1">
      <c r="A832" s="111">
        <v>1291.0</v>
      </c>
      <c r="B832" s="111" t="s">
        <v>8829</v>
      </c>
      <c r="C832" s="111" t="s">
        <v>7981</v>
      </c>
      <c r="D832" s="111"/>
      <c r="E832" s="111"/>
      <c r="F832" s="111" t="s">
        <v>12397</v>
      </c>
      <c r="G832" s="111" t="s">
        <v>12235</v>
      </c>
      <c r="H832" s="111" t="s">
        <v>13160</v>
      </c>
      <c r="I832" s="111"/>
      <c r="J832" s="111"/>
      <c r="K832" s="111" t="s">
        <v>30</v>
      </c>
      <c r="L832" s="111">
        <v>1.0</v>
      </c>
      <c r="M832" s="111"/>
      <c r="N832" s="111"/>
      <c r="O832" s="111"/>
      <c r="P832" s="111"/>
      <c r="Q832" s="111"/>
      <c r="R832" s="111"/>
      <c r="S832" s="111"/>
      <c r="T832" s="111"/>
      <c r="U832" s="111"/>
      <c r="V832" s="111"/>
      <c r="W832" s="111"/>
      <c r="X832" s="111"/>
      <c r="Y832" s="111"/>
      <c r="Z832" s="111"/>
      <c r="AA832" s="124"/>
      <c r="AB832" s="125"/>
      <c r="AC832" s="126"/>
      <c r="AD832" s="125"/>
      <c r="AE832" s="125">
        <f t="shared" si="154"/>
        <v>0</v>
      </c>
      <c r="AF832" s="127" t="s">
        <v>13535</v>
      </c>
      <c r="AG832" s="127">
        <v>27.8068211420862</v>
      </c>
      <c r="AH832" s="127">
        <v>-97.46050667027</v>
      </c>
      <c r="AI832" s="115" t="s">
        <v>12378</v>
      </c>
      <c r="AJ832" s="116">
        <v>0.9</v>
      </c>
      <c r="AK832" s="117"/>
      <c r="AL832" s="117"/>
      <c r="AM832" s="117"/>
      <c r="AN832" s="117"/>
      <c r="AO832" s="117"/>
    </row>
    <row r="833" ht="34.5" customHeight="1">
      <c r="A833" s="111">
        <v>1292.0</v>
      </c>
      <c r="B833" s="111" t="s">
        <v>8830</v>
      </c>
      <c r="C833" s="111" t="s">
        <v>7991</v>
      </c>
      <c r="D833" s="111">
        <v>2026.0</v>
      </c>
      <c r="E833" s="111"/>
      <c r="F833" s="111" t="s">
        <v>12399</v>
      </c>
      <c r="G833" s="111" t="s">
        <v>12226</v>
      </c>
      <c r="H833" s="111"/>
      <c r="I833" s="111" t="s">
        <v>12759</v>
      </c>
      <c r="J833" s="111" t="s">
        <v>12292</v>
      </c>
      <c r="K833" s="111" t="s">
        <v>30</v>
      </c>
      <c r="L833" s="111"/>
      <c r="M833" s="111"/>
      <c r="N833" s="111"/>
      <c r="O833" s="111"/>
      <c r="P833" s="111">
        <v>1.0</v>
      </c>
      <c r="Q833" s="111"/>
      <c r="R833" s="111"/>
      <c r="S833" s="111"/>
      <c r="T833" s="111"/>
      <c r="U833" s="111"/>
      <c r="V833" s="111"/>
      <c r="W833" s="111"/>
      <c r="X833" s="111"/>
      <c r="Y833" s="111"/>
      <c r="Z833" s="111" t="s">
        <v>12824</v>
      </c>
      <c r="AA833" s="124">
        <v>15.0</v>
      </c>
      <c r="AB833" s="125">
        <f>IF(Projects!$AI833="Electrolysis",
AA833/VLOOKUP(G833,ElectrolysisConvF,3,FALSE),
AC833*10^6/(H2dens*HoursInYear))</f>
        <v>2884.615385</v>
      </c>
      <c r="AC833" s="126">
        <f>AB833*H2dens*HoursInYear/10^6</f>
        <v>2.248961538</v>
      </c>
      <c r="AD833" s="125"/>
      <c r="AE833" s="125">
        <f t="shared" si="154"/>
        <v>2884.615385</v>
      </c>
      <c r="AF833" s="127" t="s">
        <v>13536</v>
      </c>
      <c r="AG833" s="127">
        <v>57.969977521511</v>
      </c>
      <c r="AH833" s="127">
        <v>-4.21404761653453</v>
      </c>
      <c r="AI833" s="115" t="s">
        <v>12383</v>
      </c>
      <c r="AJ833" s="116">
        <v>0.7</v>
      </c>
      <c r="AK833" s="117"/>
      <c r="AL833" s="117"/>
      <c r="AM833" s="117"/>
      <c r="AN833" s="117"/>
      <c r="AO833" s="117"/>
    </row>
    <row r="834" ht="34.5" customHeight="1">
      <c r="A834" s="111">
        <v>1293.0</v>
      </c>
      <c r="B834" s="111" t="s">
        <v>8831</v>
      </c>
      <c r="C834" s="111" t="s">
        <v>7981</v>
      </c>
      <c r="D834" s="111">
        <v>2028.0</v>
      </c>
      <c r="E834" s="111"/>
      <c r="F834" s="111" t="s">
        <v>12399</v>
      </c>
      <c r="G834" s="111" t="s">
        <v>12235</v>
      </c>
      <c r="H834" s="111" t="s">
        <v>12529</v>
      </c>
      <c r="I834" s="111"/>
      <c r="J834" s="111"/>
      <c r="K834" s="111" t="s">
        <v>30</v>
      </c>
      <c r="L834" s="111"/>
      <c r="M834" s="111"/>
      <c r="N834" s="111"/>
      <c r="O834" s="111"/>
      <c r="P834" s="111"/>
      <c r="Q834" s="111"/>
      <c r="R834" s="111"/>
      <c r="S834" s="111"/>
      <c r="T834" s="111"/>
      <c r="U834" s="111"/>
      <c r="V834" s="111"/>
      <c r="W834" s="111"/>
      <c r="X834" s="111"/>
      <c r="Y834" s="111"/>
      <c r="Z834" s="111" t="s">
        <v>13537</v>
      </c>
      <c r="AA834" s="124"/>
      <c r="AB834" s="125">
        <f>AC834/(H2dens*HoursInYear/10^6)</f>
        <v>397619.4141</v>
      </c>
      <c r="AC834" s="126">
        <v>310.0</v>
      </c>
      <c r="AD834" s="125"/>
      <c r="AE834" s="125">
        <f t="shared" si="154"/>
        <v>0</v>
      </c>
      <c r="AF834" s="127" t="s">
        <v>13538</v>
      </c>
      <c r="AG834" s="127">
        <v>47.2632638919755</v>
      </c>
      <c r="AH834" s="127">
        <v>-101.778294677318</v>
      </c>
      <c r="AI834" s="115" t="s">
        <v>12378</v>
      </c>
      <c r="AJ834" s="116">
        <v>0.9</v>
      </c>
      <c r="AK834" s="117"/>
      <c r="AL834" s="117"/>
      <c r="AM834" s="117"/>
      <c r="AN834" s="117"/>
      <c r="AO834" s="117"/>
    </row>
    <row r="835" ht="34.5" customHeight="1">
      <c r="A835" s="111">
        <v>1294.0</v>
      </c>
      <c r="B835" s="111" t="s">
        <v>8832</v>
      </c>
      <c r="C835" s="111" t="s">
        <v>7991</v>
      </c>
      <c r="D835" s="111">
        <v>2024.0</v>
      </c>
      <c r="E835" s="111"/>
      <c r="F835" s="111" t="s">
        <v>12385</v>
      </c>
      <c r="G835" s="111" t="s">
        <v>12224</v>
      </c>
      <c r="H835" s="111"/>
      <c r="I835" s="111" t="s">
        <v>12394</v>
      </c>
      <c r="J835" s="111" t="s">
        <v>12296</v>
      </c>
      <c r="K835" s="111" t="s">
        <v>30</v>
      </c>
      <c r="L835" s="111"/>
      <c r="M835" s="111"/>
      <c r="N835" s="111"/>
      <c r="O835" s="111"/>
      <c r="P835" s="111"/>
      <c r="Q835" s="111">
        <v>1.0</v>
      </c>
      <c r="R835" s="111"/>
      <c r="S835" s="111"/>
      <c r="T835" s="111"/>
      <c r="U835" s="111"/>
      <c r="V835" s="111"/>
      <c r="W835" s="111"/>
      <c r="X835" s="111"/>
      <c r="Y835" s="111"/>
      <c r="Z835" s="111" t="s">
        <v>13332</v>
      </c>
      <c r="AA835" s="124">
        <v>0.9</v>
      </c>
      <c r="AB835" s="125">
        <f>IF(Projects!$AI835="Electrolysis",
AA835/VLOOKUP(G835,ElectrolysisConvF,3,FALSE),
AC835*10^6/(H2dens*HoursInYear))</f>
        <v>195.6521739</v>
      </c>
      <c r="AC835" s="126">
        <f t="shared" ref="AC835:AC836" si="156">AB835*H2dens*HoursInYear/10^6</f>
        <v>0.1525382609</v>
      </c>
      <c r="AD835" s="125"/>
      <c r="AE835" s="125">
        <f t="shared" si="154"/>
        <v>195.6521739</v>
      </c>
      <c r="AF835" s="127" t="s">
        <v>13539</v>
      </c>
      <c r="AG835" s="127">
        <v>52.5546208155033</v>
      </c>
      <c r="AH835" s="127">
        <v>-1.46324408934596</v>
      </c>
      <c r="AI835" s="115" t="s">
        <v>12383</v>
      </c>
      <c r="AJ835" s="116">
        <v>0.5</v>
      </c>
      <c r="AK835" s="117"/>
      <c r="AL835" s="117"/>
      <c r="AM835" s="117"/>
      <c r="AN835" s="117"/>
      <c r="AO835" s="117"/>
    </row>
    <row r="836" ht="34.5" customHeight="1">
      <c r="A836" s="111">
        <v>1295.0</v>
      </c>
      <c r="B836" s="111" t="s">
        <v>8833</v>
      </c>
      <c r="C836" s="111" t="s">
        <v>8161</v>
      </c>
      <c r="D836" s="111">
        <v>2024.0</v>
      </c>
      <c r="E836" s="111"/>
      <c r="F836" s="111" t="s">
        <v>12393</v>
      </c>
      <c r="G836" s="111" t="s">
        <v>12226</v>
      </c>
      <c r="H836" s="111"/>
      <c r="I836" s="111" t="s">
        <v>12394</v>
      </c>
      <c r="J836" s="111" t="s">
        <v>12291</v>
      </c>
      <c r="K836" s="111" t="s">
        <v>30</v>
      </c>
      <c r="L836" s="111"/>
      <c r="M836" s="111"/>
      <c r="N836" s="111"/>
      <c r="O836" s="111"/>
      <c r="P836" s="111">
        <v>1.0</v>
      </c>
      <c r="Q836" s="111"/>
      <c r="R836" s="111"/>
      <c r="S836" s="111">
        <v>1.0</v>
      </c>
      <c r="T836" s="111"/>
      <c r="U836" s="111"/>
      <c r="V836" s="111"/>
      <c r="W836" s="111"/>
      <c r="X836" s="111"/>
      <c r="Y836" s="111"/>
      <c r="Z836" s="111" t="s">
        <v>13540</v>
      </c>
      <c r="AA836" s="124">
        <v>4.3</v>
      </c>
      <c r="AB836" s="125">
        <f>IF(Projects!$AI836="Electrolysis",
AA836/VLOOKUP(G836,ElectrolysisConvF,3,FALSE),
AC836*10^6/(H2dens*HoursInYear))</f>
        <v>826.9230769</v>
      </c>
      <c r="AC836" s="126">
        <f t="shared" si="156"/>
        <v>0.6447023077</v>
      </c>
      <c r="AD836" s="125"/>
      <c r="AE836" s="125">
        <f t="shared" si="154"/>
        <v>826.9230769</v>
      </c>
      <c r="AF836" s="127" t="s">
        <v>13541</v>
      </c>
      <c r="AG836" s="127">
        <v>37.95961407835</v>
      </c>
      <c r="AH836" s="127">
        <v>-8.85858639904864</v>
      </c>
      <c r="AI836" s="115" t="s">
        <v>12383</v>
      </c>
      <c r="AJ836" s="116">
        <v>0.3</v>
      </c>
      <c r="AK836" s="117"/>
      <c r="AL836" s="117"/>
      <c r="AM836" s="117"/>
      <c r="AN836" s="117"/>
      <c r="AO836" s="117"/>
    </row>
    <row r="837" ht="34.5" customHeight="1">
      <c r="A837" s="111">
        <v>1297.0</v>
      </c>
      <c r="B837" s="111" t="s">
        <v>8834</v>
      </c>
      <c r="C837" s="111" t="s">
        <v>7977</v>
      </c>
      <c r="D837" s="111">
        <v>2025.0</v>
      </c>
      <c r="E837" s="111"/>
      <c r="F837" s="111" t="s">
        <v>12399</v>
      </c>
      <c r="G837" s="111" t="s">
        <v>12239</v>
      </c>
      <c r="H837" s="111" t="s">
        <v>13334</v>
      </c>
      <c r="I837" s="111"/>
      <c r="J837" s="111"/>
      <c r="K837" s="111" t="s">
        <v>30</v>
      </c>
      <c r="L837" s="111"/>
      <c r="M837" s="111"/>
      <c r="N837" s="111"/>
      <c r="O837" s="111"/>
      <c r="P837" s="111">
        <v>1.0</v>
      </c>
      <c r="Q837" s="111">
        <v>1.0</v>
      </c>
      <c r="R837" s="111"/>
      <c r="S837" s="111"/>
      <c r="T837" s="111"/>
      <c r="U837" s="111"/>
      <c r="V837" s="111"/>
      <c r="W837" s="111"/>
      <c r="X837" s="111"/>
      <c r="Y837" s="111"/>
      <c r="Z837" s="111" t="s">
        <v>13542</v>
      </c>
      <c r="AA837" s="124"/>
      <c r="AB837" s="125">
        <f>AC837/(H2dens*HoursInYear/10^6)</f>
        <v>2052.229234</v>
      </c>
      <c r="AC837" s="126">
        <v>1.6</v>
      </c>
      <c r="AD837" s="125"/>
      <c r="AE837" s="125">
        <f t="shared" si="154"/>
        <v>2052.229234</v>
      </c>
      <c r="AF837" s="127" t="s">
        <v>13543</v>
      </c>
      <c r="AG837" s="127">
        <v>0.0</v>
      </c>
      <c r="AH837" s="127">
        <v>0.0</v>
      </c>
      <c r="AI837" s="115" t="s">
        <v>12241</v>
      </c>
      <c r="AJ837" s="116">
        <v>0.9</v>
      </c>
      <c r="AK837" s="117"/>
      <c r="AL837" s="117"/>
      <c r="AM837" s="117"/>
      <c r="AN837" s="117"/>
      <c r="AO837" s="117"/>
    </row>
    <row r="838" ht="34.5" customHeight="1">
      <c r="A838" s="111">
        <v>1299.0</v>
      </c>
      <c r="B838" s="111" t="s">
        <v>8835</v>
      </c>
      <c r="C838" s="111" t="s">
        <v>8047</v>
      </c>
      <c r="D838" s="111">
        <v>2026.0</v>
      </c>
      <c r="E838" s="111"/>
      <c r="F838" s="111" t="s">
        <v>12399</v>
      </c>
      <c r="G838" s="111" t="s">
        <v>12381</v>
      </c>
      <c r="H838" s="111" t="s">
        <v>12230</v>
      </c>
      <c r="I838" s="111" t="s">
        <v>12287</v>
      </c>
      <c r="J838" s="111"/>
      <c r="K838" s="111" t="s">
        <v>30</v>
      </c>
      <c r="L838" s="111"/>
      <c r="M838" s="111"/>
      <c r="N838" s="111"/>
      <c r="O838" s="111"/>
      <c r="P838" s="111">
        <v>1.0</v>
      </c>
      <c r="Q838" s="111">
        <v>1.0</v>
      </c>
      <c r="R838" s="111"/>
      <c r="S838" s="111"/>
      <c r="T838" s="111"/>
      <c r="U838" s="111"/>
      <c r="V838" s="111"/>
      <c r="W838" s="111"/>
      <c r="X838" s="111"/>
      <c r="Y838" s="111"/>
      <c r="Z838" s="111" t="s">
        <v>13106</v>
      </c>
      <c r="AA838" s="124">
        <v>6.0</v>
      </c>
      <c r="AB838" s="125">
        <f>IF(Projects!$AI838="Electrolysis",
AA838/VLOOKUP(G838,ElectrolysisConvF,3,FALSE),
AC838*10^6/(H2dens*HoursInYear))</f>
        <v>1333.333333</v>
      </c>
      <c r="AC838" s="126">
        <f>AB838*H2dens*HoursInYear/10^6</f>
        <v>1.03952</v>
      </c>
      <c r="AD838" s="125"/>
      <c r="AE838" s="125">
        <f t="shared" si="154"/>
        <v>1333.333333</v>
      </c>
      <c r="AF838" s="127" t="s">
        <v>13544</v>
      </c>
      <c r="AG838" s="127">
        <v>45.9551623881343</v>
      </c>
      <c r="AH838" s="127">
        <v>10.2912613472102</v>
      </c>
      <c r="AI838" s="115" t="s">
        <v>12383</v>
      </c>
      <c r="AJ838" s="116">
        <v>0.57</v>
      </c>
      <c r="AK838" s="117"/>
      <c r="AL838" s="117"/>
      <c r="AM838" s="117"/>
      <c r="AN838" s="117"/>
      <c r="AO838" s="117"/>
    </row>
    <row r="839" ht="34.5" customHeight="1">
      <c r="A839" s="111">
        <v>1300.0</v>
      </c>
      <c r="B839" s="111" t="s">
        <v>8836</v>
      </c>
      <c r="C839" s="111" t="s">
        <v>8161</v>
      </c>
      <c r="D839" s="111">
        <v>2022.0</v>
      </c>
      <c r="E839" s="111"/>
      <c r="F839" s="111" t="s">
        <v>12418</v>
      </c>
      <c r="G839" s="111" t="s">
        <v>12226</v>
      </c>
      <c r="H839" s="111"/>
      <c r="I839" s="111" t="s">
        <v>12394</v>
      </c>
      <c r="J839" s="111" t="s">
        <v>12291</v>
      </c>
      <c r="K839" s="111" t="s">
        <v>30</v>
      </c>
      <c r="L839" s="111"/>
      <c r="M839" s="111"/>
      <c r="N839" s="111"/>
      <c r="O839" s="111"/>
      <c r="P839" s="111"/>
      <c r="Q839" s="111"/>
      <c r="R839" s="111"/>
      <c r="S839" s="111"/>
      <c r="T839" s="111"/>
      <c r="U839" s="111"/>
      <c r="V839" s="111"/>
      <c r="W839" s="111"/>
      <c r="X839" s="111"/>
      <c r="Y839" s="111"/>
      <c r="Z839" s="111" t="s">
        <v>13545</v>
      </c>
      <c r="AA839" s="126">
        <f>IF(Projects!$AI839="Electrolysis",
AB839*VLOOKUP(G839,ElectrolysisConvF,3,FALSE),
"")</f>
        <v>0.1000461752</v>
      </c>
      <c r="AB839" s="125">
        <f t="shared" ref="AB839:AB842" si="157">AC839/(H2dens*HoursInYear/10^6)</f>
        <v>19.23964907</v>
      </c>
      <c r="AC839" s="126">
        <v>0.015</v>
      </c>
      <c r="AD839" s="125"/>
      <c r="AE839" s="125">
        <f t="shared" si="154"/>
        <v>19.23964907</v>
      </c>
      <c r="AF839" s="127" t="s">
        <v>13546</v>
      </c>
      <c r="AG839" s="127">
        <v>38.5713636360343</v>
      </c>
      <c r="AH839" s="127">
        <v>-7.91255405243867</v>
      </c>
      <c r="AI839" s="115" t="s">
        <v>12383</v>
      </c>
      <c r="AJ839" s="116">
        <v>0.3</v>
      </c>
      <c r="AK839" s="117"/>
      <c r="AL839" s="117"/>
      <c r="AM839" s="117"/>
      <c r="AN839" s="117"/>
      <c r="AO839" s="117"/>
    </row>
    <row r="840" ht="34.5" customHeight="1">
      <c r="A840" s="111">
        <v>1301.0</v>
      </c>
      <c r="B840" s="111" t="s">
        <v>8837</v>
      </c>
      <c r="C840" s="111" t="s">
        <v>8161</v>
      </c>
      <c r="D840" s="111">
        <v>2023.0</v>
      </c>
      <c r="E840" s="111"/>
      <c r="F840" s="111" t="s">
        <v>12385</v>
      </c>
      <c r="G840" s="111" t="s">
        <v>12226</v>
      </c>
      <c r="H840" s="111"/>
      <c r="I840" s="111" t="s">
        <v>12394</v>
      </c>
      <c r="J840" s="111" t="s">
        <v>12291</v>
      </c>
      <c r="K840" s="111" t="s">
        <v>30</v>
      </c>
      <c r="L840" s="111"/>
      <c r="M840" s="111"/>
      <c r="N840" s="111"/>
      <c r="O840" s="111"/>
      <c r="P840" s="111"/>
      <c r="Q840" s="111"/>
      <c r="R840" s="111"/>
      <c r="S840" s="111">
        <v>1.0</v>
      </c>
      <c r="T840" s="111"/>
      <c r="U840" s="111"/>
      <c r="V840" s="111"/>
      <c r="W840" s="111"/>
      <c r="X840" s="111"/>
      <c r="Y840" s="111"/>
      <c r="Z840" s="111" t="s">
        <v>13547</v>
      </c>
      <c r="AA840" s="126">
        <f>IF(Projects!$AI840="Electrolysis",
AB840*VLOOKUP(G840,ElectrolysisConvF,3,FALSE),
"")</f>
        <v>0.3001385255</v>
      </c>
      <c r="AB840" s="125">
        <f t="shared" si="157"/>
        <v>57.71894721</v>
      </c>
      <c r="AC840" s="126">
        <v>0.045</v>
      </c>
      <c r="AD840" s="125"/>
      <c r="AE840" s="125">
        <f t="shared" si="154"/>
        <v>57.71894721</v>
      </c>
      <c r="AF840" s="127" t="s">
        <v>13548</v>
      </c>
      <c r="AG840" s="127">
        <v>38.5713636360343</v>
      </c>
      <c r="AH840" s="127">
        <v>-7.91255405243867</v>
      </c>
      <c r="AI840" s="115" t="s">
        <v>12383</v>
      </c>
      <c r="AJ840" s="116">
        <v>0.3</v>
      </c>
      <c r="AK840" s="117"/>
      <c r="AL840" s="117"/>
      <c r="AM840" s="117"/>
      <c r="AN840" s="117"/>
      <c r="AO840" s="117"/>
    </row>
    <row r="841" ht="34.5" customHeight="1">
      <c r="A841" s="111">
        <v>1302.0</v>
      </c>
      <c r="B841" s="111" t="s">
        <v>8838</v>
      </c>
      <c r="C841" s="111" t="s">
        <v>8161</v>
      </c>
      <c r="D841" s="111"/>
      <c r="E841" s="111"/>
      <c r="F841" s="111" t="s">
        <v>12399</v>
      </c>
      <c r="G841" s="111" t="s">
        <v>12226</v>
      </c>
      <c r="H841" s="111"/>
      <c r="I841" s="111" t="s">
        <v>12394</v>
      </c>
      <c r="J841" s="111" t="s">
        <v>12291</v>
      </c>
      <c r="K841" s="111" t="s">
        <v>30</v>
      </c>
      <c r="L841" s="111"/>
      <c r="M841" s="111"/>
      <c r="N841" s="111"/>
      <c r="O841" s="111"/>
      <c r="P841" s="111">
        <v>1.0</v>
      </c>
      <c r="Q841" s="111">
        <v>1.0</v>
      </c>
      <c r="R841" s="111"/>
      <c r="S841" s="111"/>
      <c r="T841" s="111"/>
      <c r="U841" s="111"/>
      <c r="V841" s="111"/>
      <c r="W841" s="111"/>
      <c r="X841" s="111"/>
      <c r="Y841" s="111"/>
      <c r="Z841" s="111" t="s">
        <v>13549</v>
      </c>
      <c r="AA841" s="126">
        <f>IF(Projects!$AI841="Electrolysis",
AB841*VLOOKUP(G841,ElectrolysisConvF,3,FALSE),
"")</f>
        <v>0.9337643015</v>
      </c>
      <c r="AB841" s="125">
        <f t="shared" si="157"/>
        <v>179.570058</v>
      </c>
      <c r="AC841" s="126">
        <v>0.14</v>
      </c>
      <c r="AD841" s="125"/>
      <c r="AE841" s="125">
        <f t="shared" si="154"/>
        <v>179.570058</v>
      </c>
      <c r="AF841" s="127" t="s">
        <v>13550</v>
      </c>
      <c r="AG841" s="127">
        <v>0.0</v>
      </c>
      <c r="AH841" s="127">
        <v>0.0</v>
      </c>
      <c r="AI841" s="115" t="s">
        <v>12383</v>
      </c>
      <c r="AJ841" s="116">
        <v>0.3</v>
      </c>
      <c r="AK841" s="117"/>
      <c r="AL841" s="117"/>
      <c r="AM841" s="117"/>
      <c r="AN841" s="117"/>
      <c r="AO841" s="117"/>
    </row>
    <row r="842" ht="34.5" customHeight="1">
      <c r="A842" s="111">
        <v>1303.0</v>
      </c>
      <c r="B842" s="111" t="s">
        <v>8839</v>
      </c>
      <c r="C842" s="111" t="s">
        <v>8161</v>
      </c>
      <c r="D842" s="111"/>
      <c r="E842" s="111"/>
      <c r="F842" s="111" t="s">
        <v>12399</v>
      </c>
      <c r="G842" s="111" t="s">
        <v>12226</v>
      </c>
      <c r="H842" s="111"/>
      <c r="I842" s="111" t="s">
        <v>12394</v>
      </c>
      <c r="J842" s="111" t="s">
        <v>12291</v>
      </c>
      <c r="K842" s="111" t="s">
        <v>30</v>
      </c>
      <c r="L842" s="111"/>
      <c r="M842" s="111"/>
      <c r="N842" s="111"/>
      <c r="O842" s="111"/>
      <c r="P842" s="111">
        <v>1.0</v>
      </c>
      <c r="Q842" s="111"/>
      <c r="R842" s="111"/>
      <c r="S842" s="111"/>
      <c r="T842" s="111"/>
      <c r="U842" s="111"/>
      <c r="V842" s="111"/>
      <c r="W842" s="111"/>
      <c r="X842" s="111"/>
      <c r="Y842" s="111"/>
      <c r="Z842" s="111" t="s">
        <v>13549</v>
      </c>
      <c r="AA842" s="126">
        <f>IF(Projects!$AI842="Electrolysis",
AB842*VLOOKUP(G842,ElectrolysisConvF,3,FALSE),
"")</f>
        <v>0.9337643015</v>
      </c>
      <c r="AB842" s="125">
        <f t="shared" si="157"/>
        <v>179.570058</v>
      </c>
      <c r="AC842" s="126">
        <v>0.14</v>
      </c>
      <c r="AD842" s="125"/>
      <c r="AE842" s="125">
        <f t="shared" si="154"/>
        <v>179.570058</v>
      </c>
      <c r="AF842" s="127" t="s">
        <v>13550</v>
      </c>
      <c r="AG842" s="127">
        <v>37.9871639459431</v>
      </c>
      <c r="AH842" s="127">
        <v>-8.84848160225188</v>
      </c>
      <c r="AI842" s="115" t="s">
        <v>12383</v>
      </c>
      <c r="AJ842" s="116">
        <v>0.3</v>
      </c>
      <c r="AK842" s="117"/>
      <c r="AL842" s="117"/>
      <c r="AM842" s="117"/>
      <c r="AN842" s="117"/>
      <c r="AO842" s="117"/>
    </row>
    <row r="843" ht="34.5" customHeight="1">
      <c r="A843" s="111">
        <v>1304.0</v>
      </c>
      <c r="B843" s="111" t="s">
        <v>8840</v>
      </c>
      <c r="C843" s="111" t="s">
        <v>8161</v>
      </c>
      <c r="D843" s="111">
        <v>2026.0</v>
      </c>
      <c r="E843" s="111"/>
      <c r="F843" s="111" t="s">
        <v>12399</v>
      </c>
      <c r="G843" s="111" t="s">
        <v>12226</v>
      </c>
      <c r="H843" s="111"/>
      <c r="I843" s="111" t="s">
        <v>12394</v>
      </c>
      <c r="J843" s="111" t="s">
        <v>12291</v>
      </c>
      <c r="K843" s="111" t="s">
        <v>12481</v>
      </c>
      <c r="L843" s="111"/>
      <c r="M843" s="111"/>
      <c r="N843" s="111"/>
      <c r="O843" s="111"/>
      <c r="P843" s="111"/>
      <c r="Q843" s="111"/>
      <c r="R843" s="111"/>
      <c r="S843" s="111">
        <v>1.0</v>
      </c>
      <c r="T843" s="111"/>
      <c r="U843" s="111"/>
      <c r="V843" s="111"/>
      <c r="W843" s="111"/>
      <c r="X843" s="111"/>
      <c r="Y843" s="111"/>
      <c r="Z843" s="111" t="s">
        <v>13551</v>
      </c>
      <c r="AA843" s="124">
        <v>91.0</v>
      </c>
      <c r="AB843" s="125">
        <f>IF(Projects!$AI843="Electrolysis",
AA843/VLOOKUP(G843,ElectrolysisConvF,3,FALSE),
AC843*10^6/(H2dens*HoursInYear))</f>
        <v>17500</v>
      </c>
      <c r="AC843" s="126">
        <f>AB843*H2dens*HoursInYear/10^6</f>
        <v>13.6437</v>
      </c>
      <c r="AD843" s="125"/>
      <c r="AE843" s="125">
        <f t="shared" si="154"/>
        <v>17500</v>
      </c>
      <c r="AF843" s="127" t="s">
        <v>13552</v>
      </c>
      <c r="AG843" s="127">
        <v>37.95961407835</v>
      </c>
      <c r="AH843" s="127">
        <v>-8.85858639904864</v>
      </c>
      <c r="AI843" s="115" t="s">
        <v>12383</v>
      </c>
      <c r="AJ843" s="116">
        <v>0.3</v>
      </c>
      <c r="AK843" s="117"/>
      <c r="AL843" s="117"/>
      <c r="AM843" s="117"/>
      <c r="AN843" s="117"/>
      <c r="AO843" s="117"/>
    </row>
    <row r="844" ht="34.5" customHeight="1">
      <c r="A844" s="111">
        <v>1305.0</v>
      </c>
      <c r="B844" s="111" t="s">
        <v>8841</v>
      </c>
      <c r="C844" s="111" t="s">
        <v>8562</v>
      </c>
      <c r="D844" s="111">
        <v>2026.0</v>
      </c>
      <c r="E844" s="111"/>
      <c r="F844" s="111" t="s">
        <v>12399</v>
      </c>
      <c r="G844" s="111" t="s">
        <v>12226</v>
      </c>
      <c r="H844" s="111"/>
      <c r="I844" s="111" t="s">
        <v>12394</v>
      </c>
      <c r="J844" s="111" t="s">
        <v>12291</v>
      </c>
      <c r="K844" s="111" t="s">
        <v>174</v>
      </c>
      <c r="L844" s="111"/>
      <c r="M844" s="111">
        <v>1.0</v>
      </c>
      <c r="N844" s="111"/>
      <c r="O844" s="111"/>
      <c r="P844" s="111"/>
      <c r="Q844" s="111"/>
      <c r="R844" s="111"/>
      <c r="S844" s="111"/>
      <c r="T844" s="111"/>
      <c r="U844" s="111"/>
      <c r="V844" s="111"/>
      <c r="W844" s="111"/>
      <c r="X844" s="111"/>
      <c r="Y844" s="111"/>
      <c r="Z844" s="111" t="s">
        <v>13553</v>
      </c>
      <c r="AA844" s="126">
        <f>IF(Projects!$AI844="Electrolysis",
AB844*VLOOKUP(G844,ElectrolysisConvF,3,FALSE),
"")</f>
        <v>689.2069844</v>
      </c>
      <c r="AB844" s="125">
        <f>AC844/(H2dens*HoursInYear/10^6)</f>
        <v>132539.8047</v>
      </c>
      <c r="AC844" s="126">
        <f>31/Projects!$AJ844</f>
        <v>103.3333333</v>
      </c>
      <c r="AD844" s="125"/>
      <c r="AE844" s="125">
        <f t="shared" si="154"/>
        <v>132539.8047</v>
      </c>
      <c r="AF844" s="127" t="s">
        <v>13554</v>
      </c>
      <c r="AG844" s="127">
        <v>33.1267</v>
      </c>
      <c r="AH844" s="127">
        <v>-8.62028</v>
      </c>
      <c r="AI844" s="115" t="s">
        <v>12383</v>
      </c>
      <c r="AJ844" s="116">
        <v>0.3</v>
      </c>
      <c r="AK844" s="117"/>
      <c r="AL844" s="117"/>
      <c r="AM844" s="117"/>
      <c r="AN844" s="117"/>
      <c r="AO844" s="117"/>
    </row>
    <row r="845" ht="34.5" customHeight="1">
      <c r="A845" s="111">
        <v>1306.0</v>
      </c>
      <c r="B845" s="111" t="s">
        <v>8842</v>
      </c>
      <c r="C845" s="111" t="s">
        <v>7977</v>
      </c>
      <c r="D845" s="111"/>
      <c r="E845" s="111"/>
      <c r="F845" s="111" t="s">
        <v>12418</v>
      </c>
      <c r="G845" s="111" t="s">
        <v>12381</v>
      </c>
      <c r="H845" s="111" t="s">
        <v>12230</v>
      </c>
      <c r="I845" s="111" t="s">
        <v>12394</v>
      </c>
      <c r="J845" s="111" t="s">
        <v>12293</v>
      </c>
      <c r="K845" s="111" t="s">
        <v>30</v>
      </c>
      <c r="L845" s="111"/>
      <c r="M845" s="111"/>
      <c r="N845" s="111"/>
      <c r="O845" s="111"/>
      <c r="P845" s="111"/>
      <c r="Q845" s="111"/>
      <c r="R845" s="111"/>
      <c r="S845" s="111"/>
      <c r="T845" s="111"/>
      <c r="U845" s="111"/>
      <c r="V845" s="111"/>
      <c r="W845" s="111"/>
      <c r="X845" s="111"/>
      <c r="Y845" s="111"/>
      <c r="Z845" s="111"/>
      <c r="AA845" s="124"/>
      <c r="AB845" s="125"/>
      <c r="AC845" s="126"/>
      <c r="AD845" s="125"/>
      <c r="AE845" s="125" t="str">
        <f t="shared" si="154"/>
        <v/>
      </c>
      <c r="AF845" s="127" t="s">
        <v>13555</v>
      </c>
      <c r="AG845" s="127">
        <v>0.0</v>
      </c>
      <c r="AH845" s="127">
        <v>0.0</v>
      </c>
      <c r="AI845" s="115" t="s">
        <v>12383</v>
      </c>
      <c r="AJ845" s="116">
        <v>0.55</v>
      </c>
      <c r="AK845" s="117"/>
      <c r="AL845" s="117"/>
      <c r="AM845" s="117"/>
      <c r="AN845" s="117"/>
      <c r="AO845" s="117"/>
    </row>
    <row r="846" ht="34.5" customHeight="1">
      <c r="A846" s="111">
        <v>1307.0</v>
      </c>
      <c r="B846" s="111" t="s">
        <v>8843</v>
      </c>
      <c r="C846" s="111" t="s">
        <v>8371</v>
      </c>
      <c r="D846" s="111"/>
      <c r="E846" s="111"/>
      <c r="F846" s="111" t="s">
        <v>12397</v>
      </c>
      <c r="G846" s="111" t="s">
        <v>12381</v>
      </c>
      <c r="H846" s="111" t="s">
        <v>12230</v>
      </c>
      <c r="I846" s="111" t="s">
        <v>12394</v>
      </c>
      <c r="J846" s="111" t="s">
        <v>12291</v>
      </c>
      <c r="K846" s="111" t="s">
        <v>30</v>
      </c>
      <c r="L846" s="111"/>
      <c r="M846" s="111"/>
      <c r="N846" s="111"/>
      <c r="O846" s="111">
        <v>1.0</v>
      </c>
      <c r="P846" s="111"/>
      <c r="Q846" s="111"/>
      <c r="R846" s="111"/>
      <c r="S846" s="111"/>
      <c r="T846" s="111"/>
      <c r="U846" s="111"/>
      <c r="V846" s="111"/>
      <c r="W846" s="111"/>
      <c r="X846" s="111"/>
      <c r="Y846" s="111"/>
      <c r="Z846" s="111"/>
      <c r="AA846" s="124"/>
      <c r="AB846" s="125"/>
      <c r="AC846" s="126"/>
      <c r="AD846" s="125"/>
      <c r="AE846" s="125" t="str">
        <f t="shared" si="154"/>
        <v/>
      </c>
      <c r="AF846" s="127" t="s">
        <v>13556</v>
      </c>
      <c r="AG846" s="127">
        <v>24.3349101126156</v>
      </c>
      <c r="AH846" s="127">
        <v>54.4710100414084</v>
      </c>
      <c r="AI846" s="115" t="s">
        <v>12383</v>
      </c>
      <c r="AJ846" s="116">
        <v>0.3</v>
      </c>
      <c r="AK846" s="117"/>
      <c r="AL846" s="117"/>
      <c r="AM846" s="117"/>
      <c r="AN846" s="117"/>
      <c r="AO846" s="117"/>
    </row>
    <row r="847" ht="34.5" customHeight="1">
      <c r="A847" s="111">
        <v>1308.0</v>
      </c>
      <c r="B847" s="111" t="s">
        <v>8844</v>
      </c>
      <c r="C847" s="111" t="s">
        <v>7991</v>
      </c>
      <c r="D847" s="111"/>
      <c r="E847" s="111"/>
      <c r="F847" s="111" t="s">
        <v>12397</v>
      </c>
      <c r="G847" s="111" t="s">
        <v>12381</v>
      </c>
      <c r="H847" s="111" t="s">
        <v>12230</v>
      </c>
      <c r="I847" s="111" t="s">
        <v>12394</v>
      </c>
      <c r="J847" s="111" t="s">
        <v>12293</v>
      </c>
      <c r="K847" s="111" t="s">
        <v>30</v>
      </c>
      <c r="L847" s="111"/>
      <c r="M847" s="111"/>
      <c r="N847" s="111"/>
      <c r="O847" s="111"/>
      <c r="P847" s="111"/>
      <c r="Q847" s="111"/>
      <c r="R847" s="111"/>
      <c r="S847" s="111"/>
      <c r="T847" s="111"/>
      <c r="U847" s="111"/>
      <c r="V847" s="111"/>
      <c r="W847" s="111"/>
      <c r="X847" s="111"/>
      <c r="Y847" s="111"/>
      <c r="Z847" s="111" t="s">
        <v>12703</v>
      </c>
      <c r="AA847" s="124">
        <v>10.0</v>
      </c>
      <c r="AB847" s="125">
        <f>IF(Projects!$AI847="Electrolysis",
AA847/VLOOKUP(G847,ElectrolysisConvF,3,FALSE),
AC847*10^6/(H2dens*HoursInYear))</f>
        <v>2222.222222</v>
      </c>
      <c r="AC847" s="126">
        <f t="shared" ref="AC847:AC848" si="158">AB847*H2dens*HoursInYear/10^6</f>
        <v>1.732533333</v>
      </c>
      <c r="AD847" s="125"/>
      <c r="AE847" s="125">
        <f t="shared" si="154"/>
        <v>2222.222222</v>
      </c>
      <c r="AF847" s="127" t="s">
        <v>13557</v>
      </c>
      <c r="AG847" s="127">
        <v>57.6826170947223</v>
      </c>
      <c r="AH847" s="127">
        <v>-1.51363531585542</v>
      </c>
      <c r="AI847" s="115" t="s">
        <v>12383</v>
      </c>
      <c r="AJ847" s="116">
        <v>0.55</v>
      </c>
      <c r="AK847" s="117"/>
      <c r="AL847" s="117"/>
      <c r="AM847" s="117"/>
      <c r="AN847" s="117"/>
      <c r="AO847" s="117"/>
    </row>
    <row r="848" ht="34.5" customHeight="1">
      <c r="A848" s="111">
        <v>1309.0</v>
      </c>
      <c r="B848" s="111" t="s">
        <v>8845</v>
      </c>
      <c r="C848" s="111" t="s">
        <v>8785</v>
      </c>
      <c r="D848" s="111">
        <v>2030.0</v>
      </c>
      <c r="E848" s="111"/>
      <c r="F848" s="111" t="s">
        <v>12399</v>
      </c>
      <c r="G848" s="111" t="s">
        <v>12381</v>
      </c>
      <c r="H848" s="111" t="s">
        <v>12230</v>
      </c>
      <c r="I848" s="111" t="s">
        <v>12394</v>
      </c>
      <c r="J848" s="111" t="s">
        <v>12295</v>
      </c>
      <c r="K848" s="111" t="s">
        <v>30</v>
      </c>
      <c r="L848" s="111"/>
      <c r="M848" s="111">
        <v>1.0</v>
      </c>
      <c r="N848" s="111"/>
      <c r="O848" s="111"/>
      <c r="P848" s="111"/>
      <c r="Q848" s="111"/>
      <c r="R848" s="111"/>
      <c r="S848" s="111"/>
      <c r="T848" s="111"/>
      <c r="U848" s="111"/>
      <c r="V848" s="111"/>
      <c r="W848" s="111"/>
      <c r="X848" s="111"/>
      <c r="Y848" s="111"/>
      <c r="Z848" s="111" t="s">
        <v>13069</v>
      </c>
      <c r="AA848" s="124">
        <v>500.0</v>
      </c>
      <c r="AB848" s="125">
        <f>IF(Projects!$AI848="Electrolysis",
AA848/VLOOKUP(G848,ElectrolysisConvF,3,FALSE),
AC848*10^6/(H2dens*HoursInYear))</f>
        <v>111111.1111</v>
      </c>
      <c r="AC848" s="126">
        <f t="shared" si="158"/>
        <v>86.62666667</v>
      </c>
      <c r="AD848" s="125"/>
      <c r="AE848" s="125">
        <f t="shared" si="154"/>
        <v>111111.1111</v>
      </c>
      <c r="AF848" s="127" t="s">
        <v>13558</v>
      </c>
      <c r="AG848" s="127">
        <v>29.6489099140896</v>
      </c>
      <c r="AH848" s="127">
        <v>32.3507303941584</v>
      </c>
      <c r="AI848" s="115" t="s">
        <v>12383</v>
      </c>
      <c r="AJ848" s="116">
        <v>0.5</v>
      </c>
      <c r="AK848" s="117"/>
      <c r="AL848" s="117"/>
      <c r="AM848" s="117"/>
      <c r="AN848" s="117"/>
      <c r="AO848" s="117"/>
    </row>
    <row r="849" ht="34.5" customHeight="1">
      <c r="A849" s="111">
        <v>1311.0</v>
      </c>
      <c r="B849" s="111" t="s">
        <v>8846</v>
      </c>
      <c r="C849" s="111" t="s">
        <v>7983</v>
      </c>
      <c r="D849" s="111">
        <v>2021.0</v>
      </c>
      <c r="E849" s="111"/>
      <c r="F849" s="111" t="s">
        <v>12385</v>
      </c>
      <c r="G849" s="111" t="s">
        <v>12239</v>
      </c>
      <c r="H849" s="111" t="s">
        <v>13334</v>
      </c>
      <c r="I849" s="111"/>
      <c r="J849" s="111"/>
      <c r="K849" s="111" t="s">
        <v>30</v>
      </c>
      <c r="L849" s="111"/>
      <c r="M849" s="111"/>
      <c r="N849" s="111"/>
      <c r="O849" s="111"/>
      <c r="P849" s="111"/>
      <c r="Q849" s="111">
        <v>1.0</v>
      </c>
      <c r="R849" s="111"/>
      <c r="S849" s="111"/>
      <c r="T849" s="111"/>
      <c r="U849" s="111"/>
      <c r="V849" s="111"/>
      <c r="W849" s="111"/>
      <c r="X849" s="111"/>
      <c r="Y849" s="111"/>
      <c r="Z849" s="111" t="s">
        <v>13559</v>
      </c>
      <c r="AA849" s="126" t="str">
        <f>IF(Projects!$AI849="Electrolysis",
AB849*VLOOKUP(G849,ElectrolysisConvF,3,FALSE),
"")</f>
        <v/>
      </c>
      <c r="AB849" s="125">
        <f>AC849/(H2dens*HoursInYear/10^6)</f>
        <v>21.06741573</v>
      </c>
      <c r="AC849" s="126">
        <f>45*365/10^6</f>
        <v>0.016425</v>
      </c>
      <c r="AD849" s="125"/>
      <c r="AE849" s="125">
        <f t="shared" si="154"/>
        <v>21.06741573</v>
      </c>
      <c r="AF849" s="127" t="s">
        <v>13560</v>
      </c>
      <c r="AG849" s="127">
        <v>35.6638021609207</v>
      </c>
      <c r="AH849" s="127">
        <v>139.720174802004</v>
      </c>
      <c r="AI849" s="115" t="s">
        <v>12241</v>
      </c>
      <c r="AJ849" s="116">
        <v>0.9</v>
      </c>
      <c r="AK849" s="132"/>
      <c r="AL849" s="132"/>
      <c r="AM849" s="132"/>
      <c r="AN849" s="132"/>
      <c r="AO849" s="132"/>
    </row>
    <row r="850" ht="34.5" customHeight="1">
      <c r="A850" s="133">
        <v>1312.0</v>
      </c>
      <c r="B850" s="133" t="s">
        <v>8847</v>
      </c>
      <c r="C850" s="133" t="s">
        <v>8001</v>
      </c>
      <c r="D850" s="133">
        <v>2023.0</v>
      </c>
      <c r="E850" s="133"/>
      <c r="F850" s="133" t="s">
        <v>12393</v>
      </c>
      <c r="G850" s="133" t="s">
        <v>12381</v>
      </c>
      <c r="H850" s="133" t="s">
        <v>12230</v>
      </c>
      <c r="I850" s="133" t="s">
        <v>12394</v>
      </c>
      <c r="J850" s="133" t="s">
        <v>12295</v>
      </c>
      <c r="K850" s="133" t="s">
        <v>30</v>
      </c>
      <c r="L850" s="133"/>
      <c r="M850" s="133"/>
      <c r="N850" s="133"/>
      <c r="O850" s="133"/>
      <c r="P850" s="133"/>
      <c r="Q850" s="133">
        <v>1.0</v>
      </c>
      <c r="R850" s="133"/>
      <c r="S850" s="133"/>
      <c r="T850" s="133"/>
      <c r="U850" s="133"/>
      <c r="V850" s="133"/>
      <c r="W850" s="133"/>
      <c r="X850" s="133"/>
      <c r="Y850" s="133"/>
      <c r="Z850" s="133" t="s">
        <v>13561</v>
      </c>
      <c r="AA850" s="134"/>
      <c r="AB850" s="135"/>
      <c r="AC850" s="136"/>
      <c r="AD850" s="135"/>
      <c r="AE850" s="135" t="str">
        <f t="shared" si="154"/>
        <v/>
      </c>
      <c r="AF850" s="137" t="s">
        <v>13562</v>
      </c>
      <c r="AG850" s="137">
        <v>39.6855892203848</v>
      </c>
      <c r="AH850" s="137">
        <v>109.854354884424</v>
      </c>
      <c r="AI850" s="115" t="s">
        <v>12383</v>
      </c>
      <c r="AJ850" s="116">
        <v>0.5</v>
      </c>
      <c r="AK850" s="144"/>
      <c r="AL850" s="144"/>
      <c r="AM850" s="144"/>
      <c r="AN850" s="144"/>
      <c r="AO850" s="144"/>
    </row>
    <row r="851" ht="34.5" customHeight="1">
      <c r="A851" s="111">
        <v>1314.0</v>
      </c>
      <c r="B851" s="111" t="s">
        <v>177</v>
      </c>
      <c r="C851" s="111" t="s">
        <v>7971</v>
      </c>
      <c r="D851" s="111">
        <v>2022.0</v>
      </c>
      <c r="E851" s="111"/>
      <c r="F851" s="111" t="s">
        <v>12385</v>
      </c>
      <c r="G851" s="111" t="s">
        <v>12224</v>
      </c>
      <c r="H851" s="111"/>
      <c r="I851" s="111" t="s">
        <v>12394</v>
      </c>
      <c r="J851" s="111" t="s">
        <v>12296</v>
      </c>
      <c r="K851" s="111" t="s">
        <v>30</v>
      </c>
      <c r="L851" s="111"/>
      <c r="M851" s="111"/>
      <c r="N851" s="111"/>
      <c r="O851" s="111"/>
      <c r="P851" s="111"/>
      <c r="Q851" s="111"/>
      <c r="R851" s="111"/>
      <c r="S851" s="111"/>
      <c r="T851" s="111"/>
      <c r="U851" s="111"/>
      <c r="V851" s="111"/>
      <c r="W851" s="111"/>
      <c r="X851" s="111"/>
      <c r="Y851" s="111"/>
      <c r="Z851" s="111" t="s">
        <v>13563</v>
      </c>
      <c r="AA851" s="124">
        <v>5.5</v>
      </c>
      <c r="AB851" s="125">
        <f>IF(Projects!$AI851="Electrolysis",
AA851/VLOOKUP(G851,ElectrolysisConvF,3,FALSE),
AC851*10^6/(H2dens*HoursInYear))</f>
        <v>1195.652174</v>
      </c>
      <c r="AC851" s="126">
        <f t="shared" ref="AC851:AC852" si="159">AB851*H2dens*HoursInYear/10^6</f>
        <v>0.9321782609</v>
      </c>
      <c r="AD851" s="125"/>
      <c r="AE851" s="125">
        <f t="shared" si="154"/>
        <v>1195.652174</v>
      </c>
      <c r="AF851" s="127" t="s">
        <v>13564</v>
      </c>
      <c r="AG851" s="127">
        <v>59.1212222803136</v>
      </c>
      <c r="AH851" s="127">
        <v>9.63051569954815</v>
      </c>
      <c r="AI851" s="115" t="s">
        <v>12383</v>
      </c>
      <c r="AJ851" s="116">
        <v>0.5</v>
      </c>
      <c r="AK851" s="117"/>
      <c r="AL851" s="117"/>
      <c r="AM851" s="117"/>
      <c r="AN851" s="117"/>
      <c r="AO851" s="117"/>
    </row>
    <row r="852" ht="34.5" customHeight="1">
      <c r="A852" s="111">
        <v>1315.0</v>
      </c>
      <c r="B852" s="111" t="s">
        <v>8848</v>
      </c>
      <c r="C852" s="111" t="s">
        <v>7994</v>
      </c>
      <c r="D852" s="111">
        <v>2025.0</v>
      </c>
      <c r="E852" s="111"/>
      <c r="F852" s="111" t="s">
        <v>12399</v>
      </c>
      <c r="G852" s="111" t="s">
        <v>12226</v>
      </c>
      <c r="H852" s="111"/>
      <c r="I852" s="111" t="s">
        <v>12394</v>
      </c>
      <c r="J852" s="111" t="s">
        <v>12293</v>
      </c>
      <c r="K852" s="111" t="s">
        <v>30</v>
      </c>
      <c r="L852" s="111"/>
      <c r="M852" s="111"/>
      <c r="N852" s="111"/>
      <c r="O852" s="111"/>
      <c r="P852" s="111">
        <v>1.0</v>
      </c>
      <c r="Q852" s="111">
        <v>1.0</v>
      </c>
      <c r="R852" s="111"/>
      <c r="S852" s="111"/>
      <c r="T852" s="111"/>
      <c r="U852" s="111"/>
      <c r="V852" s="111"/>
      <c r="W852" s="111"/>
      <c r="X852" s="111"/>
      <c r="Y852" s="111"/>
      <c r="Z852" s="111" t="s">
        <v>12723</v>
      </c>
      <c r="AA852" s="124">
        <v>1000.0</v>
      </c>
      <c r="AB852" s="125">
        <f>IF(Projects!$AI852="Electrolysis",
AA852/VLOOKUP(G852,ElectrolysisConvF,3,FALSE),
AC852*10^6/(H2dens*HoursInYear))</f>
        <v>192307.6923</v>
      </c>
      <c r="AC852" s="126">
        <f t="shared" si="159"/>
        <v>149.9307692</v>
      </c>
      <c r="AD852" s="125"/>
      <c r="AE852" s="125">
        <f t="shared" si="154"/>
        <v>192307.6923</v>
      </c>
      <c r="AF852" s="127" t="s">
        <v>13565</v>
      </c>
      <c r="AG852" s="127">
        <v>55.4768385331629</v>
      </c>
      <c r="AH852" s="127">
        <v>8.46209640920263</v>
      </c>
      <c r="AI852" s="115" t="s">
        <v>12383</v>
      </c>
      <c r="AJ852" s="116">
        <v>0.55</v>
      </c>
      <c r="AK852" s="117"/>
      <c r="AL852" s="117"/>
      <c r="AM852" s="117"/>
      <c r="AN852" s="117"/>
      <c r="AO852" s="117"/>
    </row>
    <row r="853" ht="34.5" customHeight="1">
      <c r="A853" s="111">
        <v>1316.0</v>
      </c>
      <c r="B853" s="111" t="s">
        <v>8849</v>
      </c>
      <c r="C853" s="111" t="s">
        <v>8001</v>
      </c>
      <c r="D853" s="111"/>
      <c r="E853" s="111"/>
      <c r="F853" s="111" t="s">
        <v>12399</v>
      </c>
      <c r="G853" s="111" t="s">
        <v>12381</v>
      </c>
      <c r="H853" s="111" t="s">
        <v>12230</v>
      </c>
      <c r="I853" s="111" t="s">
        <v>12394</v>
      </c>
      <c r="J853" s="111" t="s">
        <v>12296</v>
      </c>
      <c r="K853" s="111" t="s">
        <v>30</v>
      </c>
      <c r="L853" s="111"/>
      <c r="M853" s="111"/>
      <c r="N853" s="111"/>
      <c r="O853" s="111">
        <v>1.0</v>
      </c>
      <c r="P853" s="111"/>
      <c r="Q853" s="111"/>
      <c r="R853" s="111"/>
      <c r="S853" s="111"/>
      <c r="T853" s="111"/>
      <c r="U853" s="111"/>
      <c r="V853" s="111"/>
      <c r="W853" s="111"/>
      <c r="X853" s="111"/>
      <c r="Y853" s="111"/>
      <c r="Z853" s="111" t="s">
        <v>13566</v>
      </c>
      <c r="AA853" s="126">
        <f>IF(Projects!$AI853="Electrolysis",
AB853*VLOOKUP(G853,ElectrolysisConvF,3,FALSE),
"")</f>
        <v>869.5243959</v>
      </c>
      <c r="AB853" s="125">
        <f t="shared" ref="AB853:AB854" si="160">AC853/(H2dens*HoursInYear/10^6)</f>
        <v>193227.6435</v>
      </c>
      <c r="AC853" s="125">
        <f>1200*0.06277/Projects!$AJ853</f>
        <v>150.648</v>
      </c>
      <c r="AD853" s="125"/>
      <c r="AE853" s="125">
        <f t="shared" si="154"/>
        <v>193227.6435</v>
      </c>
      <c r="AF853" s="127" t="s">
        <v>13567</v>
      </c>
      <c r="AG853" s="127">
        <v>40.5183493173274</v>
      </c>
      <c r="AH853" s="127">
        <v>114.941767224968</v>
      </c>
      <c r="AI853" s="115" t="s">
        <v>12383</v>
      </c>
      <c r="AJ853" s="116">
        <v>0.5</v>
      </c>
      <c r="AK853" s="117"/>
      <c r="AL853" s="117"/>
      <c r="AM853" s="117"/>
      <c r="AN853" s="117"/>
      <c r="AO853" s="117"/>
    </row>
    <row r="854" ht="34.5" customHeight="1">
      <c r="A854" s="111">
        <v>1318.0</v>
      </c>
      <c r="B854" s="111" t="s">
        <v>8850</v>
      </c>
      <c r="C854" s="111" t="s">
        <v>8003</v>
      </c>
      <c r="D854" s="111">
        <v>2027.0</v>
      </c>
      <c r="E854" s="111"/>
      <c r="F854" s="111" t="s">
        <v>12397</v>
      </c>
      <c r="G854" s="111" t="s">
        <v>12235</v>
      </c>
      <c r="H854" s="111" t="s">
        <v>13160</v>
      </c>
      <c r="I854" s="111"/>
      <c r="J854" s="111"/>
      <c r="K854" s="111" t="s">
        <v>174</v>
      </c>
      <c r="L854" s="111"/>
      <c r="M854" s="111">
        <v>1.0</v>
      </c>
      <c r="N854" s="111"/>
      <c r="O854" s="111"/>
      <c r="P854" s="111"/>
      <c r="Q854" s="111"/>
      <c r="R854" s="111"/>
      <c r="S854" s="111"/>
      <c r="T854" s="111"/>
      <c r="U854" s="111"/>
      <c r="V854" s="111"/>
      <c r="W854" s="111"/>
      <c r="X854" s="111"/>
      <c r="Y854" s="111"/>
      <c r="Z854" s="111" t="s">
        <v>13568</v>
      </c>
      <c r="AA854" s="124"/>
      <c r="AB854" s="125">
        <f t="shared" si="160"/>
        <v>230968.1761</v>
      </c>
      <c r="AC854" s="126">
        <f>1000*3/17/0.98</f>
        <v>180.0720288</v>
      </c>
      <c r="AD854" s="125"/>
      <c r="AE854" s="125">
        <f t="shared" si="154"/>
        <v>0</v>
      </c>
      <c r="AF854" s="127" t="s">
        <v>13569</v>
      </c>
      <c r="AG854" s="127">
        <v>53.6978476930183</v>
      </c>
      <c r="AH854" s="127">
        <v>-113.217084511778</v>
      </c>
      <c r="AI854" s="115" t="s">
        <v>12378</v>
      </c>
      <c r="AJ854" s="116">
        <v>0.9</v>
      </c>
      <c r="AK854" s="117"/>
      <c r="AL854" s="117"/>
      <c r="AM854" s="117"/>
      <c r="AN854" s="117"/>
      <c r="AO854" s="117"/>
    </row>
    <row r="855" ht="34.5" customHeight="1">
      <c r="A855" s="111">
        <v>1319.0</v>
      </c>
      <c r="B855" s="111" t="s">
        <v>8851</v>
      </c>
      <c r="C855" s="111" t="s">
        <v>7991</v>
      </c>
      <c r="D855" s="111">
        <v>2028.0</v>
      </c>
      <c r="E855" s="111"/>
      <c r="F855" s="111" t="s">
        <v>12399</v>
      </c>
      <c r="G855" s="111" t="s">
        <v>12235</v>
      </c>
      <c r="H855" s="111" t="s">
        <v>13160</v>
      </c>
      <c r="I855" s="111"/>
      <c r="J855" s="111"/>
      <c r="K855" s="111" t="s">
        <v>30</v>
      </c>
      <c r="L855" s="111">
        <v>1.0</v>
      </c>
      <c r="M855" s="111"/>
      <c r="N855" s="111"/>
      <c r="O855" s="111"/>
      <c r="P855" s="111"/>
      <c r="Q855" s="111"/>
      <c r="R855" s="111"/>
      <c r="S855" s="111"/>
      <c r="T855" s="111"/>
      <c r="U855" s="111"/>
      <c r="V855" s="111"/>
      <c r="W855" s="111"/>
      <c r="X855" s="111"/>
      <c r="Y855" s="111"/>
      <c r="Z855" s="111" t="s">
        <v>13570</v>
      </c>
      <c r="AA855" s="124"/>
      <c r="AB855" s="125"/>
      <c r="AC855" s="126"/>
      <c r="AD855" s="125">
        <v>550000.0</v>
      </c>
      <c r="AE855" s="125">
        <f t="shared" si="154"/>
        <v>68957.04352</v>
      </c>
      <c r="AF855" s="127" t="s">
        <v>13571</v>
      </c>
      <c r="AG855" s="127">
        <v>53.639746518733</v>
      </c>
      <c r="AH855" s="127">
        <v>-0.257045555211705</v>
      </c>
      <c r="AI855" s="115" t="s">
        <v>12378</v>
      </c>
      <c r="AJ855" s="116">
        <v>0.9</v>
      </c>
      <c r="AK855" s="117"/>
      <c r="AL855" s="117"/>
      <c r="AM855" s="117"/>
      <c r="AN855" s="117"/>
      <c r="AO855" s="117"/>
    </row>
    <row r="856" ht="34.5" customHeight="1">
      <c r="A856" s="111">
        <v>1320.0</v>
      </c>
      <c r="B856" s="111" t="s">
        <v>8852</v>
      </c>
      <c r="C856" s="111" t="s">
        <v>7987</v>
      </c>
      <c r="D856" s="111">
        <v>2025.0</v>
      </c>
      <c r="E856" s="111"/>
      <c r="F856" s="111" t="s">
        <v>12393</v>
      </c>
      <c r="G856" s="111" t="s">
        <v>12381</v>
      </c>
      <c r="H856" s="111" t="s">
        <v>12230</v>
      </c>
      <c r="I856" s="111" t="s">
        <v>12394</v>
      </c>
      <c r="J856" s="111" t="s">
        <v>12296</v>
      </c>
      <c r="K856" s="111" t="s">
        <v>30</v>
      </c>
      <c r="L856" s="111"/>
      <c r="M856" s="111"/>
      <c r="N856" s="111"/>
      <c r="O856" s="111">
        <v>1.0</v>
      </c>
      <c r="P856" s="111"/>
      <c r="Q856" s="111"/>
      <c r="R856" s="111"/>
      <c r="S856" s="111"/>
      <c r="T856" s="111"/>
      <c r="U856" s="111"/>
      <c r="V856" s="111"/>
      <c r="W856" s="111"/>
      <c r="X856" s="111"/>
      <c r="Y856" s="111"/>
      <c r="Z856" s="111" t="s">
        <v>12768</v>
      </c>
      <c r="AA856" s="124">
        <v>50.0</v>
      </c>
      <c r="AB856" s="125">
        <f>IF(Projects!$AI856="Electrolysis",
AA856/VLOOKUP(G856,ElectrolysisConvF,3,FALSE),
AC856*10^6/(H2dens*HoursInYear))</f>
        <v>11111.11111</v>
      </c>
      <c r="AC856" s="126">
        <f t="shared" ref="AC856:AC857" si="161">AB856*H2dens*HoursInYear/10^6</f>
        <v>8.662666667</v>
      </c>
      <c r="AD856" s="125"/>
      <c r="AE856" s="125">
        <f t="shared" si="154"/>
        <v>11111.11111</v>
      </c>
      <c r="AF856" s="127" t="s">
        <v>13572</v>
      </c>
      <c r="AG856" s="127">
        <v>53.5249648633703</v>
      </c>
      <c r="AH856" s="127">
        <v>9.90024184999308</v>
      </c>
      <c r="AI856" s="115" t="s">
        <v>12383</v>
      </c>
      <c r="AJ856" s="116">
        <v>0.5</v>
      </c>
      <c r="AK856" s="117"/>
      <c r="AL856" s="117"/>
      <c r="AM856" s="117"/>
      <c r="AN856" s="117"/>
      <c r="AO856" s="117"/>
    </row>
    <row r="857" ht="34.5" customHeight="1">
      <c r="A857" s="111">
        <v>1321.0</v>
      </c>
      <c r="B857" s="111" t="s">
        <v>8853</v>
      </c>
      <c r="C857" s="111" t="s">
        <v>8071</v>
      </c>
      <c r="D857" s="111">
        <v>2023.0</v>
      </c>
      <c r="E857" s="111"/>
      <c r="F857" s="111" t="s">
        <v>12385</v>
      </c>
      <c r="G857" s="111" t="s">
        <v>12381</v>
      </c>
      <c r="H857" s="111" t="s">
        <v>12230</v>
      </c>
      <c r="I857" s="111" t="s">
        <v>12394</v>
      </c>
      <c r="J857" s="111" t="s">
        <v>12291</v>
      </c>
      <c r="K857" s="111" t="s">
        <v>30</v>
      </c>
      <c r="L857" s="111"/>
      <c r="M857" s="111"/>
      <c r="N857" s="111"/>
      <c r="O857" s="111"/>
      <c r="P857" s="111"/>
      <c r="Q857" s="111"/>
      <c r="R857" s="111"/>
      <c r="S857" s="111">
        <v>1.0</v>
      </c>
      <c r="T857" s="111"/>
      <c r="U857" s="111"/>
      <c r="V857" s="111"/>
      <c r="W857" s="111"/>
      <c r="X857" s="111"/>
      <c r="Y857" s="111"/>
      <c r="Z857" s="111" t="s">
        <v>13573</v>
      </c>
      <c r="AA857" s="124">
        <v>0.15</v>
      </c>
      <c r="AB857" s="125">
        <f>IF(Projects!$AI857="Electrolysis",
AA857/VLOOKUP(G857,ElectrolysisConvF,3,FALSE),
AC857*10^6/(H2dens*HoursInYear))</f>
        <v>33.33333333</v>
      </c>
      <c r="AC857" s="126">
        <f t="shared" si="161"/>
        <v>0.025988</v>
      </c>
      <c r="AD857" s="125"/>
      <c r="AE857" s="125">
        <f t="shared" si="154"/>
        <v>33.33333333</v>
      </c>
      <c r="AF857" s="127" t="s">
        <v>13574</v>
      </c>
      <c r="AG857" s="127">
        <v>-29.9589392638019</v>
      </c>
      <c r="AH857" s="127">
        <v>-71.3390361117961</v>
      </c>
      <c r="AI857" s="115" t="s">
        <v>12383</v>
      </c>
      <c r="AJ857" s="116">
        <v>0.3</v>
      </c>
      <c r="AK857" s="117"/>
      <c r="AL857" s="117"/>
      <c r="AM857" s="117"/>
      <c r="AN857" s="117"/>
      <c r="AO857" s="117"/>
    </row>
    <row r="858" ht="34.5" customHeight="1">
      <c r="A858" s="111">
        <v>1323.0</v>
      </c>
      <c r="B858" s="111" t="s">
        <v>8854</v>
      </c>
      <c r="C858" s="111" t="s">
        <v>7967</v>
      </c>
      <c r="D858" s="111">
        <v>2026.0</v>
      </c>
      <c r="E858" s="111"/>
      <c r="F858" s="111" t="s">
        <v>12399</v>
      </c>
      <c r="G858" s="111" t="s">
        <v>12237</v>
      </c>
      <c r="H858" s="111" t="s">
        <v>13076</v>
      </c>
      <c r="I858" s="111"/>
      <c r="J858" s="111"/>
      <c r="K858" s="111" t="s">
        <v>30</v>
      </c>
      <c r="L858" s="111">
        <v>1.0</v>
      </c>
      <c r="M858" s="111"/>
      <c r="N858" s="111"/>
      <c r="O858" s="111"/>
      <c r="P858" s="111"/>
      <c r="Q858" s="111"/>
      <c r="R858" s="111"/>
      <c r="S858" s="111"/>
      <c r="T858" s="111"/>
      <c r="U858" s="111"/>
      <c r="V858" s="111"/>
      <c r="W858" s="111"/>
      <c r="X858" s="111"/>
      <c r="Y858" s="111"/>
      <c r="Z858" s="111" t="s">
        <v>13077</v>
      </c>
      <c r="AA858" s="124"/>
      <c r="AB858" s="125">
        <f>AC858/(0.089*24*365/10^6)</f>
        <v>128264.3271</v>
      </c>
      <c r="AC858" s="126">
        <v>100.0</v>
      </c>
      <c r="AD858" s="125">
        <v>1000000.0</v>
      </c>
      <c r="AE858" s="125">
        <f t="shared" si="154"/>
        <v>59845.47897</v>
      </c>
      <c r="AF858" s="127" t="s">
        <v>13078</v>
      </c>
      <c r="AG858" s="127">
        <v>51.8808017364324</v>
      </c>
      <c r="AH858" s="127">
        <v>4.31758183613009</v>
      </c>
      <c r="AI858" s="115" t="s">
        <v>12378</v>
      </c>
      <c r="AJ858" s="116">
        <v>0.9</v>
      </c>
      <c r="AK858" s="117"/>
      <c r="AL858" s="117"/>
      <c r="AM858" s="117"/>
      <c r="AN858" s="117"/>
      <c r="AO858" s="117"/>
    </row>
    <row r="859" ht="34.5" customHeight="1">
      <c r="A859" s="111">
        <v>1325.0</v>
      </c>
      <c r="B859" s="111" t="s">
        <v>8855</v>
      </c>
      <c r="C859" s="111" t="s">
        <v>8147</v>
      </c>
      <c r="D859" s="111">
        <v>2025.0</v>
      </c>
      <c r="E859" s="111"/>
      <c r="F859" s="111" t="s">
        <v>12399</v>
      </c>
      <c r="G859" s="111" t="s">
        <v>12381</v>
      </c>
      <c r="H859" s="111" t="s">
        <v>12230</v>
      </c>
      <c r="I859" s="111" t="s">
        <v>12394</v>
      </c>
      <c r="J859" s="111" t="s">
        <v>12296</v>
      </c>
      <c r="K859" s="111" t="s">
        <v>174</v>
      </c>
      <c r="L859" s="111"/>
      <c r="M859" s="111">
        <v>1.0</v>
      </c>
      <c r="N859" s="111"/>
      <c r="O859" s="111"/>
      <c r="P859" s="111"/>
      <c r="Q859" s="111"/>
      <c r="R859" s="111"/>
      <c r="S859" s="111"/>
      <c r="T859" s="111"/>
      <c r="U859" s="111"/>
      <c r="V859" s="111"/>
      <c r="W859" s="111"/>
      <c r="X859" s="111"/>
      <c r="Y859" s="111"/>
      <c r="Z859" s="111" t="s">
        <v>13102</v>
      </c>
      <c r="AA859" s="124">
        <v>600.0</v>
      </c>
      <c r="AB859" s="125">
        <f>IF(Projects!$AI859="Electrolysis",
AA859/VLOOKUP(G859,ElectrolysisConvF,3,FALSE),
AC859*10^6/(H2dens*HoursInYear))</f>
        <v>133333.3333</v>
      </c>
      <c r="AC859" s="126">
        <f>AB859*H2dens*HoursInYear/10^6</f>
        <v>103.952</v>
      </c>
      <c r="AD859" s="125"/>
      <c r="AE859" s="125">
        <f t="shared" si="154"/>
        <v>133333.3333</v>
      </c>
      <c r="AF859" s="127" t="s">
        <v>13575</v>
      </c>
      <c r="AG859" s="127">
        <v>-44.0778242644944</v>
      </c>
      <c r="AH859" s="127">
        <v>170.540529115268</v>
      </c>
      <c r="AI859" s="115" t="s">
        <v>12383</v>
      </c>
      <c r="AJ859" s="116">
        <v>0.5</v>
      </c>
      <c r="AK859" s="117"/>
      <c r="AL859" s="117"/>
      <c r="AM859" s="117"/>
      <c r="AN859" s="117"/>
      <c r="AO859" s="117"/>
    </row>
    <row r="860" ht="34.5" customHeight="1">
      <c r="A860" s="111">
        <v>1326.0</v>
      </c>
      <c r="B860" s="111" t="s">
        <v>8856</v>
      </c>
      <c r="C860" s="111" t="s">
        <v>8011</v>
      </c>
      <c r="D860" s="111">
        <v>2030.0</v>
      </c>
      <c r="E860" s="111"/>
      <c r="F860" s="111" t="s">
        <v>12397</v>
      </c>
      <c r="G860" s="111" t="s">
        <v>12235</v>
      </c>
      <c r="H860" s="111" t="s">
        <v>13373</v>
      </c>
      <c r="I860" s="111"/>
      <c r="J860" s="111"/>
      <c r="K860" s="111" t="s">
        <v>30</v>
      </c>
      <c r="L860" s="111">
        <v>1.0</v>
      </c>
      <c r="M860" s="111"/>
      <c r="N860" s="111"/>
      <c r="O860" s="111"/>
      <c r="P860" s="111"/>
      <c r="Q860" s="111"/>
      <c r="R860" s="111"/>
      <c r="S860" s="111"/>
      <c r="T860" s="111"/>
      <c r="U860" s="111"/>
      <c r="V860" s="111"/>
      <c r="W860" s="111"/>
      <c r="X860" s="111"/>
      <c r="Y860" s="111"/>
      <c r="Z860" s="111" t="s">
        <v>13576</v>
      </c>
      <c r="AA860" s="124"/>
      <c r="AB860" s="125">
        <f>IF(Projects!$AI860="Electrolysis",
AA860/VLOOKUP(G860,ElectrolysisConvF,3,FALSE),
AC860*10^6/(H2dens*HoursInYear))</f>
        <v>119382.0225</v>
      </c>
      <c r="AC860" s="126">
        <f>0.255*365</f>
        <v>93.075</v>
      </c>
      <c r="AD860" s="125">
        <v>650000.0</v>
      </c>
      <c r="AE860" s="125">
        <f t="shared" si="154"/>
        <v>81494.6878</v>
      </c>
      <c r="AF860" s="127" t="s">
        <v>13577</v>
      </c>
      <c r="AG860" s="127">
        <v>49.4864623019023</v>
      </c>
      <c r="AH860" s="127">
        <v>0.217559311682759</v>
      </c>
      <c r="AI860" s="115" t="s">
        <v>12378</v>
      </c>
      <c r="AJ860" s="116">
        <v>0.9</v>
      </c>
      <c r="AK860" s="117"/>
      <c r="AL860" s="117"/>
      <c r="AM860" s="117"/>
      <c r="AN860" s="117"/>
      <c r="AO860" s="117"/>
    </row>
    <row r="861" ht="34.5" customHeight="1">
      <c r="A861" s="111">
        <v>1328.0</v>
      </c>
      <c r="B861" s="111" t="s">
        <v>8857</v>
      </c>
      <c r="C861" s="111" t="s">
        <v>7967</v>
      </c>
      <c r="D861" s="111">
        <v>2030.0</v>
      </c>
      <c r="E861" s="111"/>
      <c r="F861" s="111" t="s">
        <v>12399</v>
      </c>
      <c r="G861" s="111" t="s">
        <v>12381</v>
      </c>
      <c r="H861" s="111" t="s">
        <v>12230</v>
      </c>
      <c r="I861" s="111" t="s">
        <v>12394</v>
      </c>
      <c r="J861" s="111" t="s">
        <v>12293</v>
      </c>
      <c r="K861" s="111" t="s">
        <v>30</v>
      </c>
      <c r="L861" s="111"/>
      <c r="M861" s="111"/>
      <c r="N861" s="111"/>
      <c r="O861" s="111"/>
      <c r="P861" s="111"/>
      <c r="Q861" s="111"/>
      <c r="R861" s="111"/>
      <c r="S861" s="111"/>
      <c r="T861" s="111"/>
      <c r="U861" s="111"/>
      <c r="V861" s="111"/>
      <c r="W861" s="111"/>
      <c r="X861" s="111"/>
      <c r="Y861" s="111"/>
      <c r="Z861" s="111" t="s">
        <v>12698</v>
      </c>
      <c r="AA861" s="124">
        <v>75.0</v>
      </c>
      <c r="AB861" s="125">
        <f>IF(Projects!$AI861="Electrolysis",
AA861/VLOOKUP(G861,ElectrolysisConvF,3,FALSE),
AC861*10^6/(H2dens*HoursInYear))</f>
        <v>16666.66667</v>
      </c>
      <c r="AC861" s="126">
        <f t="shared" ref="AC861:AC864" si="162">AB861*H2dens*HoursInYear/10^6</f>
        <v>12.994</v>
      </c>
      <c r="AD861" s="125"/>
      <c r="AE861" s="125">
        <f t="shared" ref="AE861:AE862" si="163">AB861</f>
        <v>16666.66667</v>
      </c>
      <c r="AF861" s="127" t="s">
        <v>13578</v>
      </c>
      <c r="AG861" s="127">
        <v>51.455464389284</v>
      </c>
      <c r="AH861" s="127">
        <v>3.56485156907884</v>
      </c>
      <c r="AI861" s="115" t="s">
        <v>12383</v>
      </c>
      <c r="AJ861" s="116">
        <v>0.55</v>
      </c>
      <c r="AK861" s="117"/>
      <c r="AL861" s="117"/>
      <c r="AM861" s="117"/>
      <c r="AN861" s="117"/>
      <c r="AO861" s="117"/>
    </row>
    <row r="862" ht="34.5" customHeight="1">
      <c r="A862" s="111">
        <v>1329.0</v>
      </c>
      <c r="B862" s="111" t="s">
        <v>8858</v>
      </c>
      <c r="C862" s="111" t="s">
        <v>7967</v>
      </c>
      <c r="D862" s="111">
        <v>2025.0</v>
      </c>
      <c r="E862" s="111"/>
      <c r="F862" s="111" t="s">
        <v>12399</v>
      </c>
      <c r="G862" s="111" t="s">
        <v>12381</v>
      </c>
      <c r="H862" s="111" t="s">
        <v>12230</v>
      </c>
      <c r="I862" s="111" t="s">
        <v>12394</v>
      </c>
      <c r="J862" s="111" t="s">
        <v>12293</v>
      </c>
      <c r="K862" s="111" t="s">
        <v>30</v>
      </c>
      <c r="L862" s="111"/>
      <c r="M862" s="111"/>
      <c r="N862" s="111"/>
      <c r="O862" s="111"/>
      <c r="P862" s="111"/>
      <c r="Q862" s="111"/>
      <c r="R862" s="111"/>
      <c r="S862" s="111"/>
      <c r="T862" s="111"/>
      <c r="U862" s="111"/>
      <c r="V862" s="111"/>
      <c r="W862" s="111"/>
      <c r="X862" s="111"/>
      <c r="Y862" s="111"/>
      <c r="Z862" s="111" t="s">
        <v>12700</v>
      </c>
      <c r="AA862" s="124">
        <v>25.0</v>
      </c>
      <c r="AB862" s="125">
        <f>IF(Projects!$AI862="Electrolysis",
AA862/VLOOKUP(G862,ElectrolysisConvF,3,FALSE),
AC862*10^6/(H2dens*HoursInYear))</f>
        <v>5555.555556</v>
      </c>
      <c r="AC862" s="126">
        <f t="shared" si="162"/>
        <v>4.331333333</v>
      </c>
      <c r="AD862" s="125"/>
      <c r="AE862" s="125">
        <f t="shared" si="163"/>
        <v>5555.555556</v>
      </c>
      <c r="AF862" s="127" t="s">
        <v>13579</v>
      </c>
      <c r="AG862" s="127">
        <v>51.3198235994645</v>
      </c>
      <c r="AH862" s="127">
        <v>3.81552805542493</v>
      </c>
      <c r="AI862" s="115" t="s">
        <v>12383</v>
      </c>
      <c r="AJ862" s="116">
        <v>0.55</v>
      </c>
      <c r="AK862" s="117"/>
      <c r="AL862" s="117"/>
      <c r="AM862" s="117"/>
      <c r="AN862" s="117"/>
      <c r="AO862" s="117"/>
    </row>
    <row r="863" ht="34.5" customHeight="1">
      <c r="A863" s="111">
        <v>1331.0</v>
      </c>
      <c r="B863" s="111" t="s">
        <v>8859</v>
      </c>
      <c r="C863" s="111" t="s">
        <v>7974</v>
      </c>
      <c r="D863" s="111">
        <v>2026.0</v>
      </c>
      <c r="E863" s="111"/>
      <c r="F863" s="111" t="s">
        <v>12399</v>
      </c>
      <c r="G863" s="111" t="s">
        <v>12381</v>
      </c>
      <c r="H863" s="111" t="s">
        <v>12230</v>
      </c>
      <c r="I863" s="111" t="s">
        <v>12394</v>
      </c>
      <c r="J863" s="111" t="s">
        <v>12295</v>
      </c>
      <c r="K863" s="111" t="s">
        <v>174</v>
      </c>
      <c r="L863" s="111"/>
      <c r="M863" s="111">
        <v>1.0</v>
      </c>
      <c r="N863" s="111"/>
      <c r="O863" s="111"/>
      <c r="P863" s="111"/>
      <c r="Q863" s="111"/>
      <c r="R863" s="111"/>
      <c r="S863" s="111"/>
      <c r="T863" s="111"/>
      <c r="U863" s="111"/>
      <c r="V863" s="111"/>
      <c r="W863" s="111"/>
      <c r="X863" s="111"/>
      <c r="Y863" s="111"/>
      <c r="Z863" s="111" t="s">
        <v>13102</v>
      </c>
      <c r="AA863" s="124">
        <v>600.0</v>
      </c>
      <c r="AB863" s="125">
        <f>IF(Projects!$AI863="Electrolysis",
AA863/VLOOKUP(G863,ElectrolysisConvF,3,FALSE),
AC863*10^6/(H2dens*HoursInYear))</f>
        <v>133333.3333</v>
      </c>
      <c r="AC863" s="126">
        <f t="shared" si="162"/>
        <v>103.952</v>
      </c>
      <c r="AD863" s="125"/>
      <c r="AE863" s="125">
        <f t="shared" ref="AE863:AE888" si="164">IF(AND(G863&lt;&gt;"NG w CCUS",G863&lt;&gt;"Oil w CCUS",G863&lt;&gt;"Coal w CCUS"),AB863,AD863*10^3/(HoursInYear*IF(G863="NG w CCUS",0.9105,1.9075)))</f>
        <v>133333.3333</v>
      </c>
      <c r="AF863" s="127" t="s">
        <v>13580</v>
      </c>
      <c r="AG863" s="127">
        <v>65.7314034120837</v>
      </c>
      <c r="AH863" s="127">
        <v>21.9492628360798</v>
      </c>
      <c r="AI863" s="115" t="s">
        <v>12383</v>
      </c>
      <c r="AJ863" s="116">
        <v>0.5</v>
      </c>
      <c r="AK863" s="117"/>
      <c r="AL863" s="117"/>
      <c r="AM863" s="117"/>
      <c r="AN863" s="117"/>
      <c r="AO863" s="117"/>
    </row>
    <row r="864" ht="34.5" customHeight="1">
      <c r="A864" s="111">
        <v>1332.0</v>
      </c>
      <c r="B864" s="111" t="s">
        <v>8860</v>
      </c>
      <c r="C864" s="111" t="s">
        <v>7987</v>
      </c>
      <c r="D864" s="111">
        <v>2021.0</v>
      </c>
      <c r="E864" s="111"/>
      <c r="F864" s="111" t="s">
        <v>12385</v>
      </c>
      <c r="G864" s="111" t="s">
        <v>12226</v>
      </c>
      <c r="H864" s="111"/>
      <c r="I864" s="111" t="s">
        <v>12394</v>
      </c>
      <c r="J864" s="111" t="s">
        <v>12295</v>
      </c>
      <c r="K864" s="111" t="s">
        <v>12251</v>
      </c>
      <c r="L864" s="111"/>
      <c r="M864" s="111"/>
      <c r="N864" s="111"/>
      <c r="O864" s="111"/>
      <c r="P864" s="111"/>
      <c r="Q864" s="111"/>
      <c r="R864" s="111"/>
      <c r="S864" s="111"/>
      <c r="T864" s="111"/>
      <c r="U864" s="111"/>
      <c r="V864" s="111"/>
      <c r="W864" s="111">
        <v>1.0</v>
      </c>
      <c r="X864" s="111"/>
      <c r="Y864" s="111"/>
      <c r="Z864" s="111" t="s">
        <v>12945</v>
      </c>
      <c r="AA864" s="124">
        <v>1.3</v>
      </c>
      <c r="AB864" s="125">
        <f>IF(Projects!$AI864="Electrolysis",
AA864/VLOOKUP(G864,ElectrolysisConvF,3,FALSE),
AC864*10^6/(H2dens*HoursInYear))</f>
        <v>250</v>
      </c>
      <c r="AC864" s="126">
        <f t="shared" si="162"/>
        <v>0.19491</v>
      </c>
      <c r="AD864" s="125"/>
      <c r="AE864" s="125">
        <f t="shared" si="164"/>
        <v>250</v>
      </c>
      <c r="AF864" s="127" t="s">
        <v>13581</v>
      </c>
      <c r="AG864" s="127">
        <v>52.8528701</v>
      </c>
      <c r="AH864" s="127">
        <v>7.6764179</v>
      </c>
      <c r="AI864" s="115" t="s">
        <v>12383</v>
      </c>
      <c r="AJ864" s="116">
        <v>0.5</v>
      </c>
      <c r="AK864" s="117"/>
      <c r="AL864" s="117"/>
      <c r="AM864" s="117"/>
      <c r="AN864" s="117"/>
      <c r="AO864" s="117"/>
    </row>
    <row r="865" ht="34.5" customHeight="1">
      <c r="A865" s="111">
        <v>1333.0</v>
      </c>
      <c r="B865" s="111" t="s">
        <v>8861</v>
      </c>
      <c r="C865" s="111" t="s">
        <v>7971</v>
      </c>
      <c r="D865" s="111">
        <v>2025.0</v>
      </c>
      <c r="E865" s="111"/>
      <c r="F865" s="111" t="s">
        <v>12418</v>
      </c>
      <c r="G865" s="111" t="s">
        <v>12381</v>
      </c>
      <c r="H865" s="111" t="s">
        <v>12230</v>
      </c>
      <c r="I865" s="111" t="s">
        <v>12394</v>
      </c>
      <c r="J865" s="111" t="s">
        <v>12296</v>
      </c>
      <c r="K865" s="111" t="s">
        <v>12481</v>
      </c>
      <c r="L865" s="111"/>
      <c r="M865" s="111"/>
      <c r="N865" s="111"/>
      <c r="O865" s="111"/>
      <c r="P865" s="111">
        <v>1.0</v>
      </c>
      <c r="Q865" s="111"/>
      <c r="R865" s="111"/>
      <c r="S865" s="111"/>
      <c r="T865" s="111"/>
      <c r="U865" s="111"/>
      <c r="V865" s="111"/>
      <c r="W865" s="111"/>
      <c r="X865" s="111"/>
      <c r="Y865" s="111"/>
      <c r="Z865" s="111" t="s">
        <v>13582</v>
      </c>
      <c r="AA865" s="126">
        <f>IF(Projects!$AI865="Electrolysis",
AB865*VLOOKUP(G865,ElectrolysisConvF,3,FALSE),
"")</f>
        <v>2.38379252</v>
      </c>
      <c r="AB865" s="125">
        <f>AC865/(H2dens*HoursInYear/10^6)</f>
        <v>529.731671</v>
      </c>
      <c r="AC865" s="126">
        <v>0.413</v>
      </c>
      <c r="AD865" s="125"/>
      <c r="AE865" s="125">
        <f t="shared" si="164"/>
        <v>529.731671</v>
      </c>
      <c r="AF865" s="127" t="s">
        <v>13583</v>
      </c>
      <c r="AG865" s="127">
        <v>0.0</v>
      </c>
      <c r="AH865" s="127">
        <v>0.0</v>
      </c>
      <c r="AI865" s="115" t="s">
        <v>12383</v>
      </c>
      <c r="AJ865" s="116">
        <v>0.5</v>
      </c>
      <c r="AK865" s="117"/>
      <c r="AL865" s="117"/>
      <c r="AM865" s="117"/>
      <c r="AN865" s="117"/>
      <c r="AO865" s="117"/>
    </row>
    <row r="866" ht="34.5" customHeight="1">
      <c r="A866" s="111">
        <v>1334.0</v>
      </c>
      <c r="B866" s="111" t="s">
        <v>8862</v>
      </c>
      <c r="C866" s="111" t="s">
        <v>8026</v>
      </c>
      <c r="D866" s="111"/>
      <c r="E866" s="111"/>
      <c r="F866" s="111" t="s">
        <v>12399</v>
      </c>
      <c r="G866" s="111" t="s">
        <v>12381</v>
      </c>
      <c r="H866" s="111" t="s">
        <v>12230</v>
      </c>
      <c r="I866" s="111" t="s">
        <v>12394</v>
      </c>
      <c r="J866" s="111" t="s">
        <v>12296</v>
      </c>
      <c r="K866" s="111" t="s">
        <v>30</v>
      </c>
      <c r="L866" s="111"/>
      <c r="M866" s="111"/>
      <c r="N866" s="111"/>
      <c r="O866" s="111"/>
      <c r="P866" s="111"/>
      <c r="Q866" s="111"/>
      <c r="R866" s="111"/>
      <c r="S866" s="111"/>
      <c r="T866" s="111"/>
      <c r="U866" s="111"/>
      <c r="V866" s="111"/>
      <c r="W866" s="111"/>
      <c r="X866" s="111"/>
      <c r="Y866" s="111"/>
      <c r="Z866" s="111"/>
      <c r="AA866" s="124"/>
      <c r="AB866" s="125"/>
      <c r="AC866" s="126"/>
      <c r="AD866" s="125"/>
      <c r="AE866" s="125" t="str">
        <f t="shared" si="164"/>
        <v/>
      </c>
      <c r="AF866" s="127" t="s">
        <v>13584</v>
      </c>
      <c r="AG866" s="127">
        <v>63.093045227868</v>
      </c>
      <c r="AH866" s="127">
        <v>21.6051729342017</v>
      </c>
      <c r="AI866" s="115" t="s">
        <v>12383</v>
      </c>
      <c r="AJ866" s="116">
        <v>0.5</v>
      </c>
      <c r="AK866" s="117"/>
      <c r="AL866" s="117"/>
      <c r="AM866" s="117"/>
      <c r="AN866" s="117"/>
      <c r="AO866" s="117"/>
    </row>
    <row r="867" ht="34.5" customHeight="1">
      <c r="A867" s="111">
        <v>1335.0</v>
      </c>
      <c r="B867" s="111" t="s">
        <v>8863</v>
      </c>
      <c r="C867" s="111" t="s">
        <v>8177</v>
      </c>
      <c r="D867" s="111">
        <v>2031.0</v>
      </c>
      <c r="E867" s="111"/>
      <c r="F867" s="111" t="s">
        <v>12399</v>
      </c>
      <c r="G867" s="111" t="s">
        <v>12381</v>
      </c>
      <c r="H867" s="111" t="s">
        <v>12230</v>
      </c>
      <c r="I867" s="111" t="s">
        <v>12394</v>
      </c>
      <c r="J867" s="111" t="s">
        <v>12295</v>
      </c>
      <c r="K867" s="111" t="s">
        <v>30</v>
      </c>
      <c r="L867" s="111"/>
      <c r="M867" s="111">
        <v>1.0</v>
      </c>
      <c r="N867" s="111"/>
      <c r="O867" s="111">
        <v>1.0</v>
      </c>
      <c r="P867" s="111"/>
      <c r="Q867" s="111"/>
      <c r="R867" s="111"/>
      <c r="S867" s="111"/>
      <c r="T867" s="111"/>
      <c r="U867" s="111"/>
      <c r="V867" s="111"/>
      <c r="W867" s="111"/>
      <c r="X867" s="111"/>
      <c r="Y867" s="111"/>
      <c r="Z867" s="111" t="s">
        <v>13585</v>
      </c>
      <c r="AA867" s="124">
        <v>1650.0</v>
      </c>
      <c r="AB867" s="125">
        <f>IF(Projects!$AI867="Electrolysis",
AA867/VLOOKUP(G867,ElectrolysisConvF,3,FALSE),
AC867*10^6/(H2dens*HoursInYear))</f>
        <v>366666.6667</v>
      </c>
      <c r="AC867" s="126">
        <f>AB867*H2dens*HoursInYear/10^6</f>
        <v>285.868</v>
      </c>
      <c r="AD867" s="125"/>
      <c r="AE867" s="125">
        <f t="shared" si="164"/>
        <v>366666.6667</v>
      </c>
      <c r="AF867" s="127" t="s">
        <v>13586</v>
      </c>
      <c r="AG867" s="127">
        <v>19.171723</v>
      </c>
      <c r="AH867" s="127">
        <v>-15.994444</v>
      </c>
      <c r="AI867" s="115" t="s">
        <v>12383</v>
      </c>
      <c r="AJ867" s="116">
        <v>0.5</v>
      </c>
      <c r="AK867" s="117"/>
      <c r="AL867" s="117"/>
      <c r="AM867" s="117"/>
      <c r="AN867" s="117"/>
      <c r="AO867" s="117"/>
    </row>
    <row r="868" ht="34.5" customHeight="1">
      <c r="A868" s="111">
        <v>1336.0</v>
      </c>
      <c r="B868" s="111" t="s">
        <v>8864</v>
      </c>
      <c r="C868" s="111" t="s">
        <v>7987</v>
      </c>
      <c r="D868" s="111">
        <v>2025.0</v>
      </c>
      <c r="E868" s="111"/>
      <c r="F868" s="111" t="s">
        <v>12399</v>
      </c>
      <c r="G868" s="111" t="s">
        <v>12224</v>
      </c>
      <c r="H868" s="111"/>
      <c r="I868" s="111" t="s">
        <v>12394</v>
      </c>
      <c r="J868" s="111" t="s">
        <v>12295</v>
      </c>
      <c r="K868" s="111" t="s">
        <v>12415</v>
      </c>
      <c r="L868" s="111"/>
      <c r="M868" s="111"/>
      <c r="N868" s="111">
        <v>1.0</v>
      </c>
      <c r="O868" s="111">
        <v>1.0</v>
      </c>
      <c r="P868" s="111"/>
      <c r="Q868" s="111">
        <v>1.0</v>
      </c>
      <c r="R868" s="111"/>
      <c r="S868" s="111"/>
      <c r="T868" s="111"/>
      <c r="U868" s="111"/>
      <c r="V868" s="111"/>
      <c r="W868" s="111">
        <v>1.0</v>
      </c>
      <c r="X868" s="111"/>
      <c r="Y868" s="111"/>
      <c r="Z868" s="111" t="s">
        <v>13587</v>
      </c>
      <c r="AA868" s="126">
        <f>IF(Projects!$AI868="Electrolysis",
AB868*VLOOKUP(G868,ElectrolysisConvF,3,FALSE),
"")</f>
        <v>51.68539326</v>
      </c>
      <c r="AB868" s="124">
        <f>AC868/(H2dens*HoursInYear/10^6)</f>
        <v>11235.95506</v>
      </c>
      <c r="AC868" s="126">
        <f>(0.012*365)/Projects!$AJ868</f>
        <v>8.76</v>
      </c>
      <c r="AD868" s="125"/>
      <c r="AE868" s="125">
        <f t="shared" si="164"/>
        <v>11235.95506</v>
      </c>
      <c r="AF868" s="127" t="s">
        <v>13588</v>
      </c>
      <c r="AG868" s="127">
        <v>52.4788303253576</v>
      </c>
      <c r="AH868" s="127">
        <v>13.8298227371376</v>
      </c>
      <c r="AI868" s="115" t="s">
        <v>12383</v>
      </c>
      <c r="AJ868" s="116">
        <v>0.5</v>
      </c>
      <c r="AK868" s="117"/>
      <c r="AL868" s="117"/>
      <c r="AM868" s="117"/>
      <c r="AN868" s="117"/>
      <c r="AO868" s="117"/>
    </row>
    <row r="869" ht="34.5" customHeight="1">
      <c r="A869" s="111">
        <v>1337.0</v>
      </c>
      <c r="B869" s="111" t="s">
        <v>8865</v>
      </c>
      <c r="C869" s="111" t="s">
        <v>7987</v>
      </c>
      <c r="D869" s="111">
        <v>2025.0</v>
      </c>
      <c r="E869" s="111"/>
      <c r="F869" s="111" t="s">
        <v>12399</v>
      </c>
      <c r="G869" s="111" t="s">
        <v>12228</v>
      </c>
      <c r="H869" s="111"/>
      <c r="I869" s="111" t="s">
        <v>12394</v>
      </c>
      <c r="J869" s="111" t="s">
        <v>12295</v>
      </c>
      <c r="K869" s="111" t="s">
        <v>12415</v>
      </c>
      <c r="L869" s="111"/>
      <c r="M869" s="111"/>
      <c r="N869" s="111">
        <v>1.0</v>
      </c>
      <c r="O869" s="111">
        <v>1.0</v>
      </c>
      <c r="P869" s="111">
        <v>1.0</v>
      </c>
      <c r="Q869" s="111"/>
      <c r="R869" s="111"/>
      <c r="S869" s="111"/>
      <c r="T869" s="111"/>
      <c r="U869" s="111"/>
      <c r="V869" s="111"/>
      <c r="W869" s="111"/>
      <c r="X869" s="111"/>
      <c r="Y869" s="111"/>
      <c r="Z869" s="111" t="s">
        <v>12752</v>
      </c>
      <c r="AA869" s="124">
        <v>3.0</v>
      </c>
      <c r="AB869" s="125">
        <f>IF(Projects!$AI869="Electrolysis",
AA869/VLOOKUP(G869,ElectrolysisConvF,3,FALSE),
AC869*10^6/(H2dens*HoursInYear))</f>
        <v>789.4736842</v>
      </c>
      <c r="AC869" s="126">
        <f t="shared" ref="AC869:AC871" si="165">AB869*H2dens*HoursInYear/10^6</f>
        <v>0.6155052632</v>
      </c>
      <c r="AD869" s="125"/>
      <c r="AE869" s="125">
        <f t="shared" si="164"/>
        <v>789.4736842</v>
      </c>
      <c r="AF869" s="127" t="s">
        <v>13589</v>
      </c>
      <c r="AG869" s="127">
        <v>52.4788303253576</v>
      </c>
      <c r="AH869" s="127">
        <v>13.8298227371376</v>
      </c>
      <c r="AI869" s="115" t="s">
        <v>12383</v>
      </c>
      <c r="AJ869" s="116">
        <v>0.5</v>
      </c>
      <c r="AK869" s="117"/>
      <c r="AL869" s="117"/>
      <c r="AM869" s="117"/>
      <c r="AN869" s="117"/>
      <c r="AO869" s="117"/>
    </row>
    <row r="870" ht="34.5" customHeight="1">
      <c r="A870" s="111">
        <v>1338.0</v>
      </c>
      <c r="B870" s="111" t="s">
        <v>8866</v>
      </c>
      <c r="C870" s="111" t="s">
        <v>8021</v>
      </c>
      <c r="D870" s="111"/>
      <c r="E870" s="111"/>
      <c r="F870" s="111" t="s">
        <v>12399</v>
      </c>
      <c r="G870" s="111" t="s">
        <v>12381</v>
      </c>
      <c r="H870" s="111" t="s">
        <v>12230</v>
      </c>
      <c r="I870" s="111" t="s">
        <v>12406</v>
      </c>
      <c r="J870" s="111" t="str">
        <f t="shared" ref="J870:J871" si="166">IF(I870&lt;&gt;"Dedicated renewable","N/A",)</f>
        <v>N/A</v>
      </c>
      <c r="K870" s="111" t="s">
        <v>12481</v>
      </c>
      <c r="L870" s="111"/>
      <c r="M870" s="111">
        <v>1.0</v>
      </c>
      <c r="N870" s="111"/>
      <c r="O870" s="111"/>
      <c r="P870" s="111"/>
      <c r="Q870" s="111">
        <v>1.0</v>
      </c>
      <c r="R870" s="111"/>
      <c r="S870" s="111"/>
      <c r="T870" s="111"/>
      <c r="U870" s="111"/>
      <c r="V870" s="111"/>
      <c r="W870" s="111"/>
      <c r="X870" s="111"/>
      <c r="Y870" s="111"/>
      <c r="Z870" s="111" t="s">
        <v>12798</v>
      </c>
      <c r="AA870" s="124">
        <v>250.0</v>
      </c>
      <c r="AB870" s="125">
        <f>IF(Projects!$AI870="Electrolysis",
AA870/VLOOKUP(G870,ElectrolysisConvF,3,FALSE),
AC870*10^6/(H2dens*HoursInYear))</f>
        <v>55555.55556</v>
      </c>
      <c r="AC870" s="126">
        <f t="shared" si="165"/>
        <v>43.31333333</v>
      </c>
      <c r="AD870" s="125"/>
      <c r="AE870" s="125">
        <f t="shared" si="164"/>
        <v>55555.55556</v>
      </c>
      <c r="AF870" s="127" t="s">
        <v>13590</v>
      </c>
      <c r="AG870" s="127">
        <v>-32.203</v>
      </c>
      <c r="AH870" s="127">
        <v>115.773</v>
      </c>
      <c r="AI870" s="115" t="s">
        <v>12383</v>
      </c>
      <c r="AJ870" s="116">
        <v>0.57</v>
      </c>
      <c r="AK870" s="117"/>
      <c r="AL870" s="117"/>
      <c r="AM870" s="117"/>
      <c r="AN870" s="117"/>
      <c r="AO870" s="117"/>
    </row>
    <row r="871" ht="34.5" customHeight="1">
      <c r="A871" s="111">
        <v>1339.0</v>
      </c>
      <c r="B871" s="111" t="s">
        <v>8867</v>
      </c>
      <c r="C871" s="111" t="s">
        <v>8021</v>
      </c>
      <c r="D871" s="111"/>
      <c r="E871" s="111"/>
      <c r="F871" s="111" t="s">
        <v>12399</v>
      </c>
      <c r="G871" s="111" t="s">
        <v>12381</v>
      </c>
      <c r="H871" s="111" t="s">
        <v>12230</v>
      </c>
      <c r="I871" s="111" t="s">
        <v>12406</v>
      </c>
      <c r="J871" s="111" t="str">
        <f t="shared" si="166"/>
        <v>N/A</v>
      </c>
      <c r="K871" s="111" t="s">
        <v>12481</v>
      </c>
      <c r="L871" s="111"/>
      <c r="M871" s="111">
        <v>1.0</v>
      </c>
      <c r="N871" s="111"/>
      <c r="O871" s="111"/>
      <c r="P871" s="111"/>
      <c r="Q871" s="111">
        <v>1.0</v>
      </c>
      <c r="R871" s="111"/>
      <c r="S871" s="111"/>
      <c r="T871" s="111"/>
      <c r="U871" s="111"/>
      <c r="V871" s="111"/>
      <c r="W871" s="111"/>
      <c r="X871" s="111"/>
      <c r="Y871" s="111"/>
      <c r="Z871" s="111" t="s">
        <v>13147</v>
      </c>
      <c r="AA871" s="124">
        <v>2750.0</v>
      </c>
      <c r="AB871" s="125">
        <f>IF(Projects!$AI871="Electrolysis",
AA871/VLOOKUP(G871,ElectrolysisConvF,3,FALSE),
AC871*10^6/(H2dens*HoursInYear))</f>
        <v>611111.1111</v>
      </c>
      <c r="AC871" s="126">
        <f t="shared" si="165"/>
        <v>476.4466667</v>
      </c>
      <c r="AD871" s="125"/>
      <c r="AE871" s="125">
        <f t="shared" si="164"/>
        <v>611111.1111</v>
      </c>
      <c r="AF871" s="127" t="s">
        <v>13590</v>
      </c>
      <c r="AG871" s="127">
        <v>-32.203</v>
      </c>
      <c r="AH871" s="127">
        <v>115.773</v>
      </c>
      <c r="AI871" s="115" t="s">
        <v>12383</v>
      </c>
      <c r="AJ871" s="116">
        <v>0.57</v>
      </c>
      <c r="AK871" s="117"/>
      <c r="AL871" s="117"/>
      <c r="AM871" s="117"/>
      <c r="AN871" s="117"/>
      <c r="AO871" s="117"/>
    </row>
    <row r="872" ht="34.5" customHeight="1">
      <c r="A872" s="111">
        <v>1340.0</v>
      </c>
      <c r="B872" s="111" t="s">
        <v>8868</v>
      </c>
      <c r="C872" s="111" t="s">
        <v>8021</v>
      </c>
      <c r="D872" s="111">
        <v>2027.0</v>
      </c>
      <c r="E872" s="111"/>
      <c r="F872" s="111" t="s">
        <v>12399</v>
      </c>
      <c r="G872" s="111" t="s">
        <v>12235</v>
      </c>
      <c r="H872" s="111" t="s">
        <v>13160</v>
      </c>
      <c r="I872" s="111"/>
      <c r="J872" s="111"/>
      <c r="K872" s="111" t="s">
        <v>12481</v>
      </c>
      <c r="L872" s="111"/>
      <c r="M872" s="111">
        <v>1.0</v>
      </c>
      <c r="N872" s="111"/>
      <c r="O872" s="111"/>
      <c r="P872" s="111"/>
      <c r="Q872" s="111">
        <v>1.0</v>
      </c>
      <c r="R872" s="111"/>
      <c r="S872" s="111"/>
      <c r="T872" s="111"/>
      <c r="U872" s="111"/>
      <c r="V872" s="111"/>
      <c r="W872" s="111"/>
      <c r="X872" s="111"/>
      <c r="Y872" s="111"/>
      <c r="Z872" s="111" t="s">
        <v>13591</v>
      </c>
      <c r="AA872" s="124"/>
      <c r="AB872" s="125"/>
      <c r="AC872" s="126">
        <f>40*365/120*0.69</f>
        <v>83.95</v>
      </c>
      <c r="AD872" s="125"/>
      <c r="AE872" s="125">
        <f t="shared" si="164"/>
        <v>0</v>
      </c>
      <c r="AF872" s="127" t="s">
        <v>13590</v>
      </c>
      <c r="AG872" s="127">
        <v>-32.203</v>
      </c>
      <c r="AH872" s="127">
        <v>115.773</v>
      </c>
      <c r="AI872" s="115" t="s">
        <v>12378</v>
      </c>
      <c r="AJ872" s="116">
        <v>0.9</v>
      </c>
      <c r="AK872" s="117"/>
      <c r="AL872" s="117"/>
      <c r="AM872" s="117"/>
      <c r="AN872" s="117"/>
      <c r="AO872" s="117"/>
    </row>
    <row r="873" ht="34.5" customHeight="1">
      <c r="A873" s="111">
        <v>1342.0</v>
      </c>
      <c r="B873" s="111" t="s">
        <v>8869</v>
      </c>
      <c r="C873" s="111" t="s">
        <v>7991</v>
      </c>
      <c r="D873" s="111"/>
      <c r="E873" s="111"/>
      <c r="F873" s="111" t="s">
        <v>12399</v>
      </c>
      <c r="G873" s="111" t="s">
        <v>12381</v>
      </c>
      <c r="H873" s="111" t="s">
        <v>12230</v>
      </c>
      <c r="I873" s="111" t="s">
        <v>12394</v>
      </c>
      <c r="J873" s="111" t="s">
        <v>12293</v>
      </c>
      <c r="K873" s="111" t="s">
        <v>30</v>
      </c>
      <c r="L873" s="111"/>
      <c r="M873" s="111"/>
      <c r="N873" s="111"/>
      <c r="O873" s="111"/>
      <c r="P873" s="111">
        <v>1.0</v>
      </c>
      <c r="Q873" s="111"/>
      <c r="R873" s="111"/>
      <c r="S873" s="111"/>
      <c r="T873" s="111"/>
      <c r="U873" s="111"/>
      <c r="V873" s="111"/>
      <c r="W873" s="111"/>
      <c r="X873" s="111"/>
      <c r="Y873" s="111"/>
      <c r="Z873" s="111"/>
      <c r="AA873" s="124"/>
      <c r="AB873" s="125"/>
      <c r="AC873" s="126"/>
      <c r="AD873" s="125"/>
      <c r="AE873" s="125" t="str">
        <f t="shared" si="164"/>
        <v/>
      </c>
      <c r="AF873" s="127" t="s">
        <v>13592</v>
      </c>
      <c r="AG873" s="127">
        <v>58.8318121786481</v>
      </c>
      <c r="AH873" s="127">
        <v>-3.10818543540961</v>
      </c>
      <c r="AI873" s="115" t="s">
        <v>12383</v>
      </c>
      <c r="AJ873" s="116">
        <v>0.55</v>
      </c>
      <c r="AK873" s="117"/>
      <c r="AL873" s="117"/>
      <c r="AM873" s="117"/>
      <c r="AN873" s="117"/>
      <c r="AO873" s="117"/>
    </row>
    <row r="874" ht="34.5" customHeight="1">
      <c r="A874" s="111">
        <v>1344.0</v>
      </c>
      <c r="B874" s="127" t="s">
        <v>8870</v>
      </c>
      <c r="C874" s="111" t="s">
        <v>7981</v>
      </c>
      <c r="D874" s="111">
        <v>2027.0</v>
      </c>
      <c r="E874" s="111"/>
      <c r="F874" s="111" t="s">
        <v>12393</v>
      </c>
      <c r="G874" s="111" t="s">
        <v>12235</v>
      </c>
      <c r="H874" s="111" t="s">
        <v>13160</v>
      </c>
      <c r="I874" s="111"/>
      <c r="J874" s="111"/>
      <c r="K874" s="111" t="s">
        <v>12481</v>
      </c>
      <c r="L874" s="111">
        <v>1.0</v>
      </c>
      <c r="M874" s="111">
        <v>1.0</v>
      </c>
      <c r="N874" s="111"/>
      <c r="O874" s="111">
        <v>1.0</v>
      </c>
      <c r="P874" s="111"/>
      <c r="Q874" s="111"/>
      <c r="R874" s="111"/>
      <c r="S874" s="111"/>
      <c r="T874" s="111"/>
      <c r="U874" s="111"/>
      <c r="V874" s="111"/>
      <c r="W874" s="111">
        <v>1.0</v>
      </c>
      <c r="X874" s="111"/>
      <c r="Y874" s="111"/>
      <c r="Z874" s="111" t="s">
        <v>13593</v>
      </c>
      <c r="AA874" s="124"/>
      <c r="AB874" s="125">
        <f>750*10^6*0.0283168/24</f>
        <v>884900</v>
      </c>
      <c r="AC874" s="126">
        <f t="shared" ref="AC874:AC882" si="167">AB874*H2dens*HoursInYear/10^6</f>
        <v>689.903436</v>
      </c>
      <c r="AD874" s="125">
        <v>5000000.0</v>
      </c>
      <c r="AE874" s="125">
        <f t="shared" si="164"/>
        <v>626882.2138</v>
      </c>
      <c r="AF874" s="127" t="s">
        <v>13594</v>
      </c>
      <c r="AG874" s="127">
        <v>29.720295189931</v>
      </c>
      <c r="AH874" s="127">
        <v>-92.2121709934171</v>
      </c>
      <c r="AI874" s="115" t="s">
        <v>12378</v>
      </c>
      <c r="AJ874" s="116">
        <v>0.9</v>
      </c>
      <c r="AK874" s="117"/>
      <c r="AL874" s="117"/>
      <c r="AM874" s="117"/>
      <c r="AN874" s="117"/>
      <c r="AO874" s="117"/>
    </row>
    <row r="875" ht="34.5" customHeight="1">
      <c r="A875" s="111">
        <v>1345.0</v>
      </c>
      <c r="B875" s="111" t="s">
        <v>8871</v>
      </c>
      <c r="C875" s="111" t="s">
        <v>8011</v>
      </c>
      <c r="D875" s="111">
        <v>2023.0</v>
      </c>
      <c r="E875" s="111"/>
      <c r="F875" s="111" t="s">
        <v>12418</v>
      </c>
      <c r="G875" s="111" t="s">
        <v>12226</v>
      </c>
      <c r="H875" s="111"/>
      <c r="I875" s="111" t="s">
        <v>12394</v>
      </c>
      <c r="J875" s="111" t="s">
        <v>12296</v>
      </c>
      <c r="K875" s="111" t="s">
        <v>30</v>
      </c>
      <c r="L875" s="111"/>
      <c r="M875" s="111"/>
      <c r="N875" s="111"/>
      <c r="O875" s="111"/>
      <c r="P875" s="111"/>
      <c r="Q875" s="111"/>
      <c r="R875" s="111"/>
      <c r="S875" s="111"/>
      <c r="T875" s="111"/>
      <c r="U875" s="111"/>
      <c r="V875" s="111"/>
      <c r="W875" s="111"/>
      <c r="X875" s="111"/>
      <c r="Y875" s="111"/>
      <c r="Z875" s="111" t="s">
        <v>12908</v>
      </c>
      <c r="AA875" s="124">
        <v>1.0</v>
      </c>
      <c r="AB875" s="125">
        <f>IF(Projects!$AI875="Electrolysis",
AA875/VLOOKUP(G875,ElectrolysisConvF,3,FALSE),
AC875*10^6/(H2dens*HoursInYear))</f>
        <v>192.3076923</v>
      </c>
      <c r="AC875" s="126">
        <f t="shared" si="167"/>
        <v>0.1499307692</v>
      </c>
      <c r="AD875" s="125"/>
      <c r="AE875" s="125">
        <f t="shared" si="164"/>
        <v>192.3076923</v>
      </c>
      <c r="AF875" s="127" t="s">
        <v>13595</v>
      </c>
      <c r="AG875" s="127">
        <v>0.0</v>
      </c>
      <c r="AH875" s="127">
        <v>0.0</v>
      </c>
      <c r="AI875" s="115" t="s">
        <v>12383</v>
      </c>
      <c r="AJ875" s="116">
        <v>0.5</v>
      </c>
      <c r="AK875" s="117"/>
      <c r="AL875" s="117"/>
      <c r="AM875" s="117"/>
      <c r="AN875" s="117"/>
      <c r="AO875" s="117"/>
    </row>
    <row r="876" ht="34.5" customHeight="1">
      <c r="A876" s="111">
        <v>1346.0</v>
      </c>
      <c r="B876" s="111" t="s">
        <v>8872</v>
      </c>
      <c r="C876" s="111" t="s">
        <v>8873</v>
      </c>
      <c r="D876" s="111">
        <v>2027.0</v>
      </c>
      <c r="E876" s="111"/>
      <c r="F876" s="111" t="s">
        <v>12399</v>
      </c>
      <c r="G876" s="111" t="s">
        <v>12381</v>
      </c>
      <c r="H876" s="111" t="s">
        <v>12230</v>
      </c>
      <c r="I876" s="111" t="s">
        <v>12394</v>
      </c>
      <c r="J876" s="111" t="s">
        <v>12296</v>
      </c>
      <c r="K876" s="111" t="s">
        <v>174</v>
      </c>
      <c r="L876" s="111"/>
      <c r="M876" s="111">
        <v>1.0</v>
      </c>
      <c r="N876" s="111"/>
      <c r="O876" s="111"/>
      <c r="P876" s="111"/>
      <c r="Q876" s="111"/>
      <c r="R876" s="111"/>
      <c r="S876" s="111"/>
      <c r="T876" s="111"/>
      <c r="U876" s="111"/>
      <c r="V876" s="111"/>
      <c r="W876" s="111"/>
      <c r="X876" s="111"/>
      <c r="Y876" s="111"/>
      <c r="Z876" s="111" t="s">
        <v>13596</v>
      </c>
      <c r="AA876" s="124">
        <v>1000.0</v>
      </c>
      <c r="AB876" s="125">
        <f>IF(Projects!$AI876="Electrolysis",
AA876/VLOOKUP(G876,ElectrolysisConvF,3,FALSE),
AC876*10^6/(H2dens*HoursInYear))</f>
        <v>222222.2222</v>
      </c>
      <c r="AC876" s="126">
        <f t="shared" si="167"/>
        <v>173.2533333</v>
      </c>
      <c r="AD876" s="125"/>
      <c r="AE876" s="125">
        <f t="shared" si="164"/>
        <v>222222.2222</v>
      </c>
      <c r="AF876" s="127" t="s">
        <v>13597</v>
      </c>
      <c r="AG876" s="127">
        <v>-23.9386864557825</v>
      </c>
      <c r="AH876" s="127">
        <v>14.4382420443189</v>
      </c>
      <c r="AI876" s="115" t="s">
        <v>12383</v>
      </c>
      <c r="AJ876" s="116">
        <v>0.5</v>
      </c>
      <c r="AK876" s="117"/>
      <c r="AL876" s="117"/>
      <c r="AM876" s="117"/>
      <c r="AN876" s="117"/>
      <c r="AO876" s="117"/>
    </row>
    <row r="877" ht="34.5" customHeight="1">
      <c r="A877" s="111">
        <v>1347.0</v>
      </c>
      <c r="B877" s="111" t="s">
        <v>8874</v>
      </c>
      <c r="C877" s="111" t="s">
        <v>8873</v>
      </c>
      <c r="D877" s="111">
        <v>2029.0</v>
      </c>
      <c r="E877" s="111"/>
      <c r="F877" s="111" t="s">
        <v>12399</v>
      </c>
      <c r="G877" s="111" t="s">
        <v>12381</v>
      </c>
      <c r="H877" s="111" t="s">
        <v>12230</v>
      </c>
      <c r="I877" s="111" t="s">
        <v>12394</v>
      </c>
      <c r="J877" s="111" t="s">
        <v>12296</v>
      </c>
      <c r="K877" s="111" t="s">
        <v>174</v>
      </c>
      <c r="L877" s="111"/>
      <c r="M877" s="111">
        <v>1.0</v>
      </c>
      <c r="N877" s="111"/>
      <c r="O877" s="111"/>
      <c r="P877" s="111"/>
      <c r="Q877" s="111"/>
      <c r="R877" s="111"/>
      <c r="S877" s="111"/>
      <c r="T877" s="111"/>
      <c r="U877" s="111"/>
      <c r="V877" s="111"/>
      <c r="W877" s="111"/>
      <c r="X877" s="111"/>
      <c r="Y877" s="111"/>
      <c r="Z877" s="111" t="s">
        <v>13598</v>
      </c>
      <c r="AA877" s="124">
        <f>3000-AA876</f>
        <v>2000</v>
      </c>
      <c r="AB877" s="125">
        <f>IF(Projects!$AI877="Electrolysis",
AA877/VLOOKUP(G877,ElectrolysisConvF,3,FALSE),
AC877*10^6/(H2dens*HoursInYear))</f>
        <v>444444.4444</v>
      </c>
      <c r="AC877" s="126">
        <f t="shared" si="167"/>
        <v>346.5066667</v>
      </c>
      <c r="AD877" s="125"/>
      <c r="AE877" s="125">
        <f t="shared" si="164"/>
        <v>444444.4444</v>
      </c>
      <c r="AF877" s="127" t="s">
        <v>13597</v>
      </c>
      <c r="AG877" s="127">
        <v>-23.9386864557825</v>
      </c>
      <c r="AH877" s="127">
        <v>14.4382420443189</v>
      </c>
      <c r="AI877" s="115" t="s">
        <v>12383</v>
      </c>
      <c r="AJ877" s="116">
        <v>0.5</v>
      </c>
      <c r="AK877" s="117"/>
      <c r="AL877" s="117"/>
      <c r="AM877" s="117"/>
      <c r="AN877" s="117"/>
      <c r="AO877" s="117"/>
    </row>
    <row r="878" ht="34.5" customHeight="1">
      <c r="A878" s="111">
        <v>1349.0</v>
      </c>
      <c r="B878" s="111" t="s">
        <v>8875</v>
      </c>
      <c r="C878" s="111" t="s">
        <v>8021</v>
      </c>
      <c r="D878" s="111"/>
      <c r="E878" s="111"/>
      <c r="F878" s="111" t="s">
        <v>12399</v>
      </c>
      <c r="G878" s="111" t="s">
        <v>12381</v>
      </c>
      <c r="H878" s="111" t="s">
        <v>12230</v>
      </c>
      <c r="I878" s="111" t="s">
        <v>12394</v>
      </c>
      <c r="J878" s="111" t="s">
        <v>12295</v>
      </c>
      <c r="K878" s="111" t="s">
        <v>30</v>
      </c>
      <c r="L878" s="111"/>
      <c r="M878" s="111"/>
      <c r="N878" s="111"/>
      <c r="O878" s="111"/>
      <c r="P878" s="111"/>
      <c r="Q878" s="111">
        <v>1.0</v>
      </c>
      <c r="R878" s="111"/>
      <c r="S878" s="111"/>
      <c r="T878" s="111"/>
      <c r="U878" s="111"/>
      <c r="V878" s="111"/>
      <c r="W878" s="111"/>
      <c r="X878" s="111"/>
      <c r="Y878" s="111"/>
      <c r="Z878" s="111" t="s">
        <v>13599</v>
      </c>
      <c r="AA878" s="124">
        <v>350.0</v>
      </c>
      <c r="AB878" s="125">
        <f>IF(Projects!$AI878="Electrolysis",
AA878/VLOOKUP(G878,ElectrolysisConvF,3,FALSE),
AC878*10^6/(H2dens*HoursInYear))</f>
        <v>77777.77778</v>
      </c>
      <c r="AC878" s="126">
        <f t="shared" si="167"/>
        <v>60.63866667</v>
      </c>
      <c r="AD878" s="125"/>
      <c r="AE878" s="125">
        <f t="shared" si="164"/>
        <v>77777.77778</v>
      </c>
      <c r="AF878" s="127" t="s">
        <v>13600</v>
      </c>
      <c r="AG878" s="127">
        <v>-41.161972</v>
      </c>
      <c r="AH878" s="127">
        <v>146.944028</v>
      </c>
      <c r="AI878" s="115" t="s">
        <v>12383</v>
      </c>
      <c r="AJ878" s="116">
        <v>0.5</v>
      </c>
      <c r="AK878" s="117"/>
      <c r="AL878" s="117"/>
      <c r="AM878" s="117"/>
      <c r="AN878" s="117"/>
      <c r="AO878" s="117"/>
    </row>
    <row r="879" ht="34.5" customHeight="1">
      <c r="A879" s="111">
        <v>1350.0</v>
      </c>
      <c r="B879" s="111" t="s">
        <v>8876</v>
      </c>
      <c r="C879" s="111" t="s">
        <v>8021</v>
      </c>
      <c r="D879" s="111"/>
      <c r="E879" s="111"/>
      <c r="F879" s="111" t="s">
        <v>12397</v>
      </c>
      <c r="G879" s="111" t="s">
        <v>12381</v>
      </c>
      <c r="H879" s="111" t="s">
        <v>12230</v>
      </c>
      <c r="I879" s="111" t="s">
        <v>12394</v>
      </c>
      <c r="J879" s="111" t="s">
        <v>12295</v>
      </c>
      <c r="K879" s="111" t="s">
        <v>30</v>
      </c>
      <c r="L879" s="111"/>
      <c r="M879" s="111"/>
      <c r="N879" s="111"/>
      <c r="O879" s="111"/>
      <c r="P879" s="111"/>
      <c r="Q879" s="111">
        <v>1.0</v>
      </c>
      <c r="R879" s="111"/>
      <c r="S879" s="111"/>
      <c r="T879" s="111"/>
      <c r="U879" s="111"/>
      <c r="V879" s="111"/>
      <c r="W879" s="111"/>
      <c r="X879" s="111"/>
      <c r="Y879" s="111"/>
      <c r="Z879" s="111" t="s">
        <v>13601</v>
      </c>
      <c r="AA879" s="124">
        <f>750-AA878</f>
        <v>400</v>
      </c>
      <c r="AB879" s="125">
        <f>IF(Projects!$AI879="Electrolysis",
AA879/VLOOKUP(G879,ElectrolysisConvF,3,FALSE),
AC879*10^6/(H2dens*HoursInYear))</f>
        <v>88888.88889</v>
      </c>
      <c r="AC879" s="126">
        <f t="shared" si="167"/>
        <v>69.30133333</v>
      </c>
      <c r="AD879" s="125"/>
      <c r="AE879" s="125">
        <f t="shared" si="164"/>
        <v>88888.88889</v>
      </c>
      <c r="AF879" s="127" t="s">
        <v>13600</v>
      </c>
      <c r="AG879" s="127">
        <v>-41.161972</v>
      </c>
      <c r="AH879" s="127">
        <v>146.944028</v>
      </c>
      <c r="AI879" s="115" t="s">
        <v>12383</v>
      </c>
      <c r="AJ879" s="116">
        <v>0.5</v>
      </c>
      <c r="AK879" s="117"/>
      <c r="AL879" s="117"/>
      <c r="AM879" s="117"/>
      <c r="AN879" s="117"/>
      <c r="AO879" s="117"/>
    </row>
    <row r="880" ht="34.5" customHeight="1">
      <c r="A880" s="111">
        <v>1351.0</v>
      </c>
      <c r="B880" s="111" t="s">
        <v>8877</v>
      </c>
      <c r="C880" s="111" t="s">
        <v>8011</v>
      </c>
      <c r="D880" s="111">
        <v>2027.0</v>
      </c>
      <c r="E880" s="111"/>
      <c r="F880" s="111" t="s">
        <v>12399</v>
      </c>
      <c r="G880" s="111" t="s">
        <v>12381</v>
      </c>
      <c r="H880" s="111" t="s">
        <v>12230</v>
      </c>
      <c r="I880" s="111" t="s">
        <v>12406</v>
      </c>
      <c r="J880" s="111"/>
      <c r="K880" s="111" t="s">
        <v>12415</v>
      </c>
      <c r="L880" s="111"/>
      <c r="M880" s="111"/>
      <c r="N880" s="111">
        <v>1.0</v>
      </c>
      <c r="O880" s="111"/>
      <c r="P880" s="111"/>
      <c r="Q880" s="111"/>
      <c r="R880" s="111"/>
      <c r="S880" s="111"/>
      <c r="T880" s="111"/>
      <c r="U880" s="111"/>
      <c r="V880" s="111"/>
      <c r="W880" s="111"/>
      <c r="X880" s="111"/>
      <c r="Y880" s="111"/>
      <c r="Z880" s="111" t="s">
        <v>13602</v>
      </c>
      <c r="AA880" s="124">
        <v>330.0</v>
      </c>
      <c r="AB880" s="125">
        <f>IF(Projects!$AI880="Electrolysis",
AA880/VLOOKUP(G880,ElectrolysisConvF,3,FALSE),
AC880*10^6/(H2dens*HoursInYear))</f>
        <v>73333.33333</v>
      </c>
      <c r="AC880" s="126">
        <f t="shared" si="167"/>
        <v>57.1736</v>
      </c>
      <c r="AD880" s="125"/>
      <c r="AE880" s="125">
        <f t="shared" si="164"/>
        <v>73333.33333</v>
      </c>
      <c r="AF880" s="127" t="s">
        <v>13603</v>
      </c>
      <c r="AG880" s="127">
        <v>45.8034975709794</v>
      </c>
      <c r="AH880" s="127">
        <v>5.4209456136301</v>
      </c>
      <c r="AI880" s="115" t="s">
        <v>12383</v>
      </c>
      <c r="AJ880" s="116">
        <v>0.57</v>
      </c>
      <c r="AK880" s="117"/>
      <c r="AL880" s="117"/>
      <c r="AM880" s="117"/>
      <c r="AN880" s="117"/>
      <c r="AO880" s="117"/>
    </row>
    <row r="881" ht="34.5" customHeight="1">
      <c r="A881" s="111">
        <v>1352.0</v>
      </c>
      <c r="B881" s="111" t="s">
        <v>8878</v>
      </c>
      <c r="C881" s="111" t="s">
        <v>7985</v>
      </c>
      <c r="D881" s="111">
        <v>2025.0</v>
      </c>
      <c r="E881" s="111"/>
      <c r="F881" s="111" t="s">
        <v>12399</v>
      </c>
      <c r="G881" s="111" t="s">
        <v>12381</v>
      </c>
      <c r="H881" s="111" t="s">
        <v>12230</v>
      </c>
      <c r="I881" s="111" t="s">
        <v>12394</v>
      </c>
      <c r="J881" s="111" t="s">
        <v>12294</v>
      </c>
      <c r="K881" s="111" t="s">
        <v>30</v>
      </c>
      <c r="L881" s="111"/>
      <c r="M881" s="111"/>
      <c r="N881" s="111"/>
      <c r="O881" s="111"/>
      <c r="P881" s="111"/>
      <c r="Q881" s="111">
        <v>1.0</v>
      </c>
      <c r="R881" s="111"/>
      <c r="S881" s="111"/>
      <c r="T881" s="111"/>
      <c r="U881" s="111"/>
      <c r="V881" s="111"/>
      <c r="W881" s="111"/>
      <c r="X881" s="111"/>
      <c r="Y881" s="111"/>
      <c r="Z881" s="111" t="s">
        <v>13169</v>
      </c>
      <c r="AA881" s="124">
        <v>15.0</v>
      </c>
      <c r="AB881" s="125">
        <f>IF(Projects!$AI881="Electrolysis",
AA881/VLOOKUP(G881,ElectrolysisConvF,3,FALSE),
AC881*10^6/(H2dens*HoursInYear))</f>
        <v>3333.333333</v>
      </c>
      <c r="AC881" s="126">
        <f t="shared" si="167"/>
        <v>2.5988</v>
      </c>
      <c r="AD881" s="125"/>
      <c r="AE881" s="125">
        <f t="shared" si="164"/>
        <v>3333.333333</v>
      </c>
      <c r="AF881" s="127" t="s">
        <v>13604</v>
      </c>
      <c r="AG881" s="127">
        <v>47.4842782925325</v>
      </c>
      <c r="AH881" s="127">
        <v>8.20081012217759</v>
      </c>
      <c r="AI881" s="115" t="s">
        <v>12383</v>
      </c>
      <c r="AJ881" s="116">
        <v>0.8</v>
      </c>
      <c r="AK881" s="117"/>
      <c r="AL881" s="117"/>
      <c r="AM881" s="117"/>
      <c r="AN881" s="117"/>
      <c r="AO881" s="117"/>
    </row>
    <row r="882" ht="34.5" customHeight="1">
      <c r="A882" s="111">
        <v>1353.0</v>
      </c>
      <c r="B882" s="111" t="s">
        <v>8879</v>
      </c>
      <c r="C882" s="111" t="s">
        <v>7991</v>
      </c>
      <c r="D882" s="111">
        <v>2024.0</v>
      </c>
      <c r="E882" s="111"/>
      <c r="F882" s="111" t="s">
        <v>12393</v>
      </c>
      <c r="G882" s="111" t="s">
        <v>12381</v>
      </c>
      <c r="H882" s="111" t="s">
        <v>12230</v>
      </c>
      <c r="I882" s="111" t="s">
        <v>12394</v>
      </c>
      <c r="J882" s="111" t="s">
        <v>12296</v>
      </c>
      <c r="K882" s="111" t="s">
        <v>12481</v>
      </c>
      <c r="L882" s="111"/>
      <c r="M882" s="111">
        <v>1.0</v>
      </c>
      <c r="N882" s="111"/>
      <c r="O882" s="111"/>
      <c r="P882" s="111"/>
      <c r="Q882" s="111">
        <v>1.0</v>
      </c>
      <c r="R882" s="111"/>
      <c r="S882" s="111"/>
      <c r="T882" s="111"/>
      <c r="U882" s="111"/>
      <c r="V882" s="111"/>
      <c r="W882" s="111"/>
      <c r="X882" s="111"/>
      <c r="Y882" s="111"/>
      <c r="Z882" s="111" t="s">
        <v>12411</v>
      </c>
      <c r="AA882" s="124">
        <v>20.0</v>
      </c>
      <c r="AB882" s="125">
        <f>IF(Projects!$AI882="Electrolysis",
AA882/VLOOKUP(G882,ElectrolysisConvF,3,FALSE),
AC882*10^6/(H2dens*HoursInYear))</f>
        <v>4444.444444</v>
      </c>
      <c r="AC882" s="126">
        <f t="shared" si="167"/>
        <v>3.465066667</v>
      </c>
      <c r="AD882" s="125"/>
      <c r="AE882" s="125">
        <f t="shared" si="164"/>
        <v>4444.444444</v>
      </c>
      <c r="AF882" s="127" t="s">
        <v>13605</v>
      </c>
      <c r="AG882" s="127">
        <v>50.8317057955361</v>
      </c>
      <c r="AH882" s="127">
        <v>-0.235366150957089</v>
      </c>
      <c r="AI882" s="115" t="s">
        <v>12383</v>
      </c>
      <c r="AJ882" s="116">
        <v>0.5</v>
      </c>
      <c r="AK882" s="117"/>
      <c r="AL882" s="117"/>
      <c r="AM882" s="117"/>
      <c r="AN882" s="117"/>
      <c r="AO882" s="117"/>
    </row>
    <row r="883" ht="34.5" customHeight="1">
      <c r="A883" s="111">
        <v>1354.0</v>
      </c>
      <c r="B883" s="111" t="s">
        <v>8880</v>
      </c>
      <c r="C883" s="111" t="s">
        <v>7991</v>
      </c>
      <c r="D883" s="111">
        <v>2029.0</v>
      </c>
      <c r="E883" s="111"/>
      <c r="F883" s="111" t="s">
        <v>12399</v>
      </c>
      <c r="G883" s="111" t="s">
        <v>12381</v>
      </c>
      <c r="H883" s="111" t="s">
        <v>12230</v>
      </c>
      <c r="I883" s="111" t="s">
        <v>12394</v>
      </c>
      <c r="J883" s="111" t="s">
        <v>12296</v>
      </c>
      <c r="K883" s="111" t="s">
        <v>12481</v>
      </c>
      <c r="L883" s="111"/>
      <c r="M883" s="111">
        <v>1.0</v>
      </c>
      <c r="N883" s="111"/>
      <c r="O883" s="111"/>
      <c r="P883" s="111"/>
      <c r="Q883" s="111">
        <v>1.0</v>
      </c>
      <c r="R883" s="111"/>
      <c r="S883" s="111"/>
      <c r="T883" s="111"/>
      <c r="U883" s="111"/>
      <c r="V883" s="111"/>
      <c r="W883" s="111"/>
      <c r="X883" s="111"/>
      <c r="Y883" s="111"/>
      <c r="Z883" s="111" t="s">
        <v>13606</v>
      </c>
      <c r="AA883" s="126">
        <f>IF(Projects!$AI883="Electrolysis",
AB883*VLOOKUP(G883,ElectrolysisConvF,3,FALSE),
"")</f>
        <v>63.20224719</v>
      </c>
      <c r="AB883" s="125">
        <f>AC883/(H2dens*HoursInYear/10^6)</f>
        <v>14044.94382</v>
      </c>
      <c r="AC883" s="126">
        <f>15*0.365/Projects!$AJ883</f>
        <v>10.95</v>
      </c>
      <c r="AD883" s="125"/>
      <c r="AE883" s="125">
        <f t="shared" si="164"/>
        <v>14044.94382</v>
      </c>
      <c r="AF883" s="127" t="s">
        <v>13605</v>
      </c>
      <c r="AG883" s="127">
        <v>50.8317057955361</v>
      </c>
      <c r="AH883" s="127">
        <v>-0.235366150957089</v>
      </c>
      <c r="AI883" s="115" t="s">
        <v>12383</v>
      </c>
      <c r="AJ883" s="116">
        <v>0.5</v>
      </c>
      <c r="AK883" s="117"/>
      <c r="AL883" s="117"/>
      <c r="AM883" s="117"/>
      <c r="AN883" s="117"/>
      <c r="AO883" s="117"/>
    </row>
    <row r="884" ht="34.5" customHeight="1">
      <c r="A884" s="111">
        <v>1355.0</v>
      </c>
      <c r="B884" s="111" t="s">
        <v>8881</v>
      </c>
      <c r="C884" s="111" t="s">
        <v>7974</v>
      </c>
      <c r="D884" s="111">
        <v>2024.0</v>
      </c>
      <c r="E884" s="111"/>
      <c r="F884" s="111" t="s">
        <v>12399</v>
      </c>
      <c r="G884" s="111" t="s">
        <v>12381</v>
      </c>
      <c r="H884" s="111" t="s">
        <v>12230</v>
      </c>
      <c r="I884" s="111" t="s">
        <v>12394</v>
      </c>
      <c r="J884" s="111" t="s">
        <v>12296</v>
      </c>
      <c r="K884" s="111" t="s">
        <v>30</v>
      </c>
      <c r="L884" s="111"/>
      <c r="M884" s="111"/>
      <c r="N884" s="111"/>
      <c r="O884" s="111"/>
      <c r="P884" s="111"/>
      <c r="Q884" s="111">
        <v>1.0</v>
      </c>
      <c r="R884" s="111"/>
      <c r="S884" s="111"/>
      <c r="T884" s="111"/>
      <c r="U884" s="111"/>
      <c r="V884" s="111"/>
      <c r="W884" s="111"/>
      <c r="X884" s="111"/>
      <c r="Y884" s="111"/>
      <c r="Z884" s="111" t="s">
        <v>12963</v>
      </c>
      <c r="AA884" s="124">
        <v>4.0</v>
      </c>
      <c r="AB884" s="125">
        <f>IF(Projects!$AI884="Electrolysis",
AA884/VLOOKUP(G884,ElectrolysisConvF,3,FALSE),
AC884*10^6/(H2dens*HoursInYear))</f>
        <v>888.8888889</v>
      </c>
      <c r="AC884" s="126">
        <f t="shared" ref="AC884:AC885" si="168">AB884*H2dens*HoursInYear/10^6</f>
        <v>0.6930133333</v>
      </c>
      <c r="AD884" s="125"/>
      <c r="AE884" s="125">
        <f t="shared" si="164"/>
        <v>888.8888889</v>
      </c>
      <c r="AF884" s="127" t="s">
        <v>13607</v>
      </c>
      <c r="AG884" s="127">
        <v>57.7022110419584</v>
      </c>
      <c r="AH884" s="127">
        <v>11.947645958932</v>
      </c>
      <c r="AI884" s="115" t="s">
        <v>12383</v>
      </c>
      <c r="AJ884" s="116">
        <v>0.5</v>
      </c>
      <c r="AK884" s="117"/>
      <c r="AL884" s="117"/>
      <c r="AM884" s="117"/>
      <c r="AN884" s="117"/>
      <c r="AO884" s="117"/>
    </row>
    <row r="885" ht="34.5" customHeight="1">
      <c r="A885" s="111">
        <v>1356.0</v>
      </c>
      <c r="B885" s="111" t="s">
        <v>8882</v>
      </c>
      <c r="C885" s="111" t="s">
        <v>7967</v>
      </c>
      <c r="D885" s="111">
        <v>2033.0</v>
      </c>
      <c r="E885" s="111">
        <v>2063.0</v>
      </c>
      <c r="F885" s="111" t="s">
        <v>12397</v>
      </c>
      <c r="G885" s="111" t="s">
        <v>12226</v>
      </c>
      <c r="H885" s="111"/>
      <c r="I885" s="111" t="s">
        <v>12394</v>
      </c>
      <c r="J885" s="111" t="s">
        <v>12293</v>
      </c>
      <c r="K885" s="111" t="s">
        <v>30</v>
      </c>
      <c r="L885" s="111"/>
      <c r="M885" s="111"/>
      <c r="N885" s="111"/>
      <c r="O885" s="111"/>
      <c r="P885" s="111"/>
      <c r="Q885" s="111"/>
      <c r="R885" s="111"/>
      <c r="S885" s="111"/>
      <c r="T885" s="111"/>
      <c r="U885" s="111"/>
      <c r="V885" s="111"/>
      <c r="W885" s="111"/>
      <c r="X885" s="111"/>
      <c r="Y885" s="111"/>
      <c r="Z885" s="111" t="s">
        <v>13069</v>
      </c>
      <c r="AA885" s="124">
        <v>500.0</v>
      </c>
      <c r="AB885" s="125">
        <f>IF(Projects!$AI885="Electrolysis",
AA885/VLOOKUP(G885,ElectrolysisConvF,3,FALSE),
AC885*10^6/(H2dens*HoursInYear))</f>
        <v>96153.84615</v>
      </c>
      <c r="AC885" s="126">
        <f t="shared" si="168"/>
        <v>74.96538462</v>
      </c>
      <c r="AD885" s="125"/>
      <c r="AE885" s="125">
        <f t="shared" si="164"/>
        <v>96153.84615</v>
      </c>
      <c r="AF885" s="127" t="s">
        <v>13608</v>
      </c>
      <c r="AG885" s="127">
        <v>53.6782329300612</v>
      </c>
      <c r="AH885" s="127">
        <v>4.38178358436054</v>
      </c>
      <c r="AI885" s="115" t="s">
        <v>12383</v>
      </c>
      <c r="AJ885" s="116">
        <v>0.55</v>
      </c>
      <c r="AK885" s="117"/>
      <c r="AL885" s="117"/>
      <c r="AM885" s="117"/>
      <c r="AN885" s="117"/>
      <c r="AO885" s="117"/>
    </row>
    <row r="886" ht="34.5" customHeight="1">
      <c r="A886" s="111">
        <v>1357.0</v>
      </c>
      <c r="B886" s="111" t="s">
        <v>8883</v>
      </c>
      <c r="C886" s="111" t="s">
        <v>8539</v>
      </c>
      <c r="D886" s="111">
        <v>2026.0</v>
      </c>
      <c r="E886" s="111"/>
      <c r="F886" s="111" t="s">
        <v>12399</v>
      </c>
      <c r="G886" s="111" t="s">
        <v>12235</v>
      </c>
      <c r="H886" s="111" t="s">
        <v>13373</v>
      </c>
      <c r="I886" s="111"/>
      <c r="J886" s="111"/>
      <c r="K886" s="111" t="s">
        <v>30</v>
      </c>
      <c r="L886" s="111">
        <v>1.0</v>
      </c>
      <c r="M886" s="111"/>
      <c r="N886" s="111"/>
      <c r="O886" s="111"/>
      <c r="P886" s="111"/>
      <c r="Q886" s="111"/>
      <c r="R886" s="111"/>
      <c r="S886" s="111"/>
      <c r="T886" s="111"/>
      <c r="U886" s="111"/>
      <c r="V886" s="111"/>
      <c r="W886" s="111"/>
      <c r="X886" s="111"/>
      <c r="Y886" s="111"/>
      <c r="Z886" s="111" t="s">
        <v>13609</v>
      </c>
      <c r="AA886" s="124"/>
      <c r="AB886" s="125"/>
      <c r="AC886" s="126"/>
      <c r="AD886" s="125">
        <v>400000.0</v>
      </c>
      <c r="AE886" s="125">
        <f t="shared" si="164"/>
        <v>50150.57711</v>
      </c>
      <c r="AF886" s="127"/>
      <c r="AG886" s="127">
        <v>35.43317</v>
      </c>
      <c r="AH886" s="127">
        <v>129.3429</v>
      </c>
      <c r="AI886" s="115" t="s">
        <v>12378</v>
      </c>
      <c r="AJ886" s="116">
        <v>0.9</v>
      </c>
      <c r="AK886" s="117"/>
      <c r="AL886" s="117"/>
      <c r="AM886" s="117"/>
      <c r="AN886" s="117"/>
      <c r="AO886" s="117"/>
    </row>
    <row r="887" ht="34.5" customHeight="1">
      <c r="A887" s="111">
        <v>1358.0</v>
      </c>
      <c r="B887" s="111" t="s">
        <v>8884</v>
      </c>
      <c r="C887" s="111" t="s">
        <v>8003</v>
      </c>
      <c r="D887" s="111"/>
      <c r="E887" s="111"/>
      <c r="F887" s="111" t="s">
        <v>12397</v>
      </c>
      <c r="G887" s="111" t="s">
        <v>12235</v>
      </c>
      <c r="H887" s="111" t="s">
        <v>13160</v>
      </c>
      <c r="I887" s="111"/>
      <c r="J887" s="111"/>
      <c r="K887" s="111" t="s">
        <v>174</v>
      </c>
      <c r="L887" s="111"/>
      <c r="M887" s="111">
        <v>1.0</v>
      </c>
      <c r="N887" s="111"/>
      <c r="O887" s="111"/>
      <c r="P887" s="111"/>
      <c r="Q887" s="111"/>
      <c r="R887" s="111"/>
      <c r="S887" s="111"/>
      <c r="T887" s="111"/>
      <c r="U887" s="111"/>
      <c r="V887" s="111"/>
      <c r="W887" s="111"/>
      <c r="X887" s="111"/>
      <c r="Y887" s="111"/>
      <c r="Z887" s="111" t="s">
        <v>13610</v>
      </c>
      <c r="AA887" s="124"/>
      <c r="AB887" s="125"/>
      <c r="AC887" s="126">
        <v>165.0</v>
      </c>
      <c r="AD887" s="125"/>
      <c r="AE887" s="125">
        <f t="shared" si="164"/>
        <v>0</v>
      </c>
      <c r="AF887" s="127" t="s">
        <v>13611</v>
      </c>
      <c r="AG887" s="127">
        <v>53.796743099579</v>
      </c>
      <c r="AH887" s="127">
        <v>-113.091151469817</v>
      </c>
      <c r="AI887" s="115" t="s">
        <v>12378</v>
      </c>
      <c r="AJ887" s="116">
        <v>0.9</v>
      </c>
      <c r="AK887" s="117"/>
      <c r="AL887" s="117"/>
      <c r="AM887" s="117"/>
      <c r="AN887" s="117"/>
      <c r="AO887" s="117"/>
    </row>
    <row r="888" ht="34.5" customHeight="1">
      <c r="A888" s="111">
        <v>1361.0</v>
      </c>
      <c r="B888" s="111" t="s">
        <v>8885</v>
      </c>
      <c r="C888" s="111" t="s">
        <v>7991</v>
      </c>
      <c r="D888" s="111">
        <v>2030.0</v>
      </c>
      <c r="E888" s="111"/>
      <c r="F888" s="111" t="s">
        <v>12397</v>
      </c>
      <c r="G888" s="111" t="s">
        <v>12381</v>
      </c>
      <c r="H888" s="111" t="s">
        <v>12230</v>
      </c>
      <c r="I888" s="111" t="s">
        <v>12394</v>
      </c>
      <c r="J888" s="111" t="s">
        <v>12293</v>
      </c>
      <c r="K888" s="111" t="s">
        <v>12481</v>
      </c>
      <c r="L888" s="111"/>
      <c r="M888" s="111"/>
      <c r="N888" s="111"/>
      <c r="O888" s="111"/>
      <c r="P888" s="111"/>
      <c r="Q888" s="111"/>
      <c r="R888" s="111"/>
      <c r="S888" s="111"/>
      <c r="T888" s="111"/>
      <c r="U888" s="111"/>
      <c r="V888" s="111"/>
      <c r="W888" s="111"/>
      <c r="X888" s="111"/>
      <c r="Y888" s="111"/>
      <c r="Z888" s="111"/>
      <c r="AA888" s="124"/>
      <c r="AB888" s="125"/>
      <c r="AC888" s="126"/>
      <c r="AD888" s="125"/>
      <c r="AE888" s="125" t="str">
        <f t="shared" si="164"/>
        <v/>
      </c>
      <c r="AF888" s="127" t="s">
        <v>13612</v>
      </c>
      <c r="AG888" s="127">
        <v>58.6069150871962</v>
      </c>
      <c r="AH888" s="127">
        <v>-2.69083787680891</v>
      </c>
      <c r="AI888" s="115" t="s">
        <v>12383</v>
      </c>
      <c r="AJ888" s="116">
        <v>0.55</v>
      </c>
      <c r="AK888" s="117"/>
      <c r="AL888" s="117"/>
      <c r="AM888" s="117"/>
      <c r="AN888" s="117"/>
      <c r="AO888" s="117"/>
    </row>
    <row r="889" ht="34.5" customHeight="1">
      <c r="A889" s="111">
        <v>1362.0</v>
      </c>
      <c r="B889" s="111" t="s">
        <v>8886</v>
      </c>
      <c r="C889" s="111" t="s">
        <v>7967</v>
      </c>
      <c r="D889" s="111">
        <v>2030.0</v>
      </c>
      <c r="E889" s="111"/>
      <c r="F889" s="111" t="s">
        <v>12397</v>
      </c>
      <c r="G889" s="111" t="s">
        <v>12381</v>
      </c>
      <c r="H889" s="111" t="s">
        <v>12230</v>
      </c>
      <c r="I889" s="111" t="s">
        <v>12394</v>
      </c>
      <c r="J889" s="111" t="s">
        <v>12293</v>
      </c>
      <c r="K889" s="111" t="s">
        <v>30</v>
      </c>
      <c r="L889" s="111"/>
      <c r="M889" s="111"/>
      <c r="N889" s="111"/>
      <c r="O889" s="111"/>
      <c r="P889" s="111"/>
      <c r="Q889" s="111"/>
      <c r="R889" s="111"/>
      <c r="S889" s="111"/>
      <c r="T889" s="111"/>
      <c r="U889" s="111"/>
      <c r="V889" s="111"/>
      <c r="W889" s="111"/>
      <c r="X889" s="111"/>
      <c r="Y889" s="111"/>
      <c r="Z889" s="111" t="s">
        <v>13497</v>
      </c>
      <c r="AA889" s="124">
        <v>55.0</v>
      </c>
      <c r="AB889" s="125">
        <f>IF(Projects!$AI889="Electrolysis",
AA889/VLOOKUP(G889,ElectrolysisConvF,3,FALSE),
AC889*10^6/(H2dens*HoursInYear))</f>
        <v>12222.22222</v>
      </c>
      <c r="AC889" s="126">
        <f t="shared" ref="AC889:AC899" si="169">AB889*H2dens*HoursInYear/10^6</f>
        <v>9.528933333</v>
      </c>
      <c r="AD889" s="125"/>
      <c r="AE889" s="125">
        <f>AB889</f>
        <v>12222.22222</v>
      </c>
      <c r="AF889" s="127" t="s">
        <v>13613</v>
      </c>
      <c r="AG889" s="127">
        <v>51.3198235994645</v>
      </c>
      <c r="AH889" s="127">
        <v>3.81552805542493</v>
      </c>
      <c r="AI889" s="115" t="s">
        <v>12383</v>
      </c>
      <c r="AJ889" s="116">
        <v>0.55</v>
      </c>
      <c r="AK889" s="117"/>
      <c r="AL889" s="117"/>
      <c r="AM889" s="117"/>
      <c r="AN889" s="117"/>
      <c r="AO889" s="117"/>
    </row>
    <row r="890" ht="34.5" customHeight="1">
      <c r="A890" s="111">
        <v>1364.0</v>
      </c>
      <c r="B890" s="111" t="s">
        <v>8887</v>
      </c>
      <c r="C890" s="111" t="s">
        <v>8437</v>
      </c>
      <c r="D890" s="111">
        <v>2028.0</v>
      </c>
      <c r="E890" s="111"/>
      <c r="F890" s="111" t="s">
        <v>12399</v>
      </c>
      <c r="G890" s="111" t="s">
        <v>12224</v>
      </c>
      <c r="H890" s="111"/>
      <c r="I890" s="111" t="s">
        <v>12406</v>
      </c>
      <c r="J890" s="111"/>
      <c r="K890" s="111" t="s">
        <v>174</v>
      </c>
      <c r="L890" s="111"/>
      <c r="M890" s="111">
        <v>1.0</v>
      </c>
      <c r="N890" s="111"/>
      <c r="O890" s="111"/>
      <c r="P890" s="111"/>
      <c r="Q890" s="111"/>
      <c r="R890" s="111"/>
      <c r="S890" s="111"/>
      <c r="T890" s="111"/>
      <c r="U890" s="111"/>
      <c r="V890" s="111"/>
      <c r="W890" s="111"/>
      <c r="X890" s="111"/>
      <c r="Y890" s="111"/>
      <c r="Z890" s="111" t="s">
        <v>12991</v>
      </c>
      <c r="AA890" s="124">
        <v>300.0</v>
      </c>
      <c r="AB890" s="125">
        <f>IF(Projects!$AI890="Electrolysis",
AA890/VLOOKUP(G890,ElectrolysisConvF,3,FALSE),
AC890*10^6/(H2dens*HoursInYear))</f>
        <v>65217.3913</v>
      </c>
      <c r="AC890" s="126">
        <f t="shared" si="169"/>
        <v>50.84608696</v>
      </c>
      <c r="AD890" s="125"/>
      <c r="AE890" s="125">
        <f t="shared" ref="AE890:AE895" si="170">IF(AND(G890&lt;&gt;"NG w CCUS",G890&lt;&gt;"Oil w CCUS",G890&lt;&gt;"Coal w CCUS"),AB890,AD890*10^3/(HoursInYear*IF(G890="NG w CCUS",0.9105,1.9075)))</f>
        <v>65217.3913</v>
      </c>
      <c r="AF890" s="127" t="s">
        <v>13614</v>
      </c>
      <c r="AG890" s="127">
        <v>-25.4147978445457</v>
      </c>
      <c r="AH890" s="127">
        <v>-54.6134807432928</v>
      </c>
      <c r="AI890" s="115" t="s">
        <v>12383</v>
      </c>
      <c r="AJ890" s="116">
        <v>0.57</v>
      </c>
      <c r="AK890" s="117"/>
      <c r="AL890" s="117"/>
      <c r="AM890" s="117"/>
      <c r="AN890" s="117"/>
      <c r="AO890" s="117"/>
    </row>
    <row r="891" ht="34.5" customHeight="1">
      <c r="A891" s="111">
        <v>1365.0</v>
      </c>
      <c r="B891" s="111" t="s">
        <v>8888</v>
      </c>
      <c r="C891" s="111" t="s">
        <v>8122</v>
      </c>
      <c r="D891" s="111">
        <v>2026.0</v>
      </c>
      <c r="E891" s="111"/>
      <c r="F891" s="111" t="s">
        <v>12399</v>
      </c>
      <c r="G891" s="111" t="s">
        <v>12224</v>
      </c>
      <c r="H891" s="111"/>
      <c r="I891" s="111" t="s">
        <v>12394</v>
      </c>
      <c r="J891" s="111" t="s">
        <v>12295</v>
      </c>
      <c r="K891" s="111" t="s">
        <v>174</v>
      </c>
      <c r="L891" s="111"/>
      <c r="M891" s="111">
        <v>1.0</v>
      </c>
      <c r="N891" s="111"/>
      <c r="O891" s="111"/>
      <c r="P891" s="111"/>
      <c r="Q891" s="111">
        <v>1.0</v>
      </c>
      <c r="R891" s="111"/>
      <c r="S891" s="111"/>
      <c r="T891" s="111"/>
      <c r="U891" s="111"/>
      <c r="V891" s="111"/>
      <c r="W891" s="111"/>
      <c r="X891" s="111"/>
      <c r="Y891" s="111"/>
      <c r="Z891" s="111" t="s">
        <v>12802</v>
      </c>
      <c r="AA891" s="124">
        <v>30.0</v>
      </c>
      <c r="AB891" s="125">
        <f>IF(Projects!$AI891="Electrolysis",
AA891/VLOOKUP(G891,ElectrolysisConvF,3,FALSE),
AC891*10^6/(H2dens*HoursInYear))</f>
        <v>6521.73913</v>
      </c>
      <c r="AC891" s="126">
        <f t="shared" si="169"/>
        <v>5.084608696</v>
      </c>
      <c r="AD891" s="125"/>
      <c r="AE891" s="125">
        <f t="shared" si="170"/>
        <v>6521.73913</v>
      </c>
      <c r="AF891" s="127" t="s">
        <v>13615</v>
      </c>
      <c r="AG891" s="127">
        <v>66.0476467693398</v>
      </c>
      <c r="AH891" s="127">
        <v>-17.3437866252937</v>
      </c>
      <c r="AI891" s="115" t="s">
        <v>12383</v>
      </c>
      <c r="AJ891" s="116">
        <v>0.5</v>
      </c>
      <c r="AK891" s="117"/>
      <c r="AL891" s="117"/>
      <c r="AM891" s="117"/>
      <c r="AN891" s="117"/>
      <c r="AO891" s="117"/>
    </row>
    <row r="892" ht="34.5" customHeight="1">
      <c r="A892" s="111">
        <v>1366.0</v>
      </c>
      <c r="B892" s="111" t="s">
        <v>8889</v>
      </c>
      <c r="C892" s="111" t="s">
        <v>8122</v>
      </c>
      <c r="D892" s="111">
        <v>2028.0</v>
      </c>
      <c r="E892" s="111"/>
      <c r="F892" s="111" t="s">
        <v>12397</v>
      </c>
      <c r="G892" s="111" t="s">
        <v>12224</v>
      </c>
      <c r="H892" s="111"/>
      <c r="I892" s="111" t="s">
        <v>12394</v>
      </c>
      <c r="J892" s="111" t="s">
        <v>12295</v>
      </c>
      <c r="K892" s="111" t="s">
        <v>174</v>
      </c>
      <c r="L892" s="111"/>
      <c r="M892" s="111">
        <v>1.0</v>
      </c>
      <c r="N892" s="111"/>
      <c r="O892" s="111"/>
      <c r="P892" s="111"/>
      <c r="Q892" s="111">
        <v>1.0</v>
      </c>
      <c r="R892" s="111"/>
      <c r="S892" s="111"/>
      <c r="T892" s="111"/>
      <c r="U892" s="111"/>
      <c r="V892" s="111"/>
      <c r="W892" s="111"/>
      <c r="X892" s="111"/>
      <c r="Y892" s="111"/>
      <c r="Z892" s="111" t="s">
        <v>12698</v>
      </c>
      <c r="AA892" s="124">
        <v>70.0</v>
      </c>
      <c r="AB892" s="125">
        <f>IF(Projects!$AI892="Electrolysis",
AA892/VLOOKUP(G892,ElectrolysisConvF,3,FALSE),
AC892*10^6/(H2dens*HoursInYear))</f>
        <v>15217.3913</v>
      </c>
      <c r="AC892" s="126">
        <f t="shared" si="169"/>
        <v>11.86408696</v>
      </c>
      <c r="AD892" s="125"/>
      <c r="AE892" s="125">
        <f t="shared" si="170"/>
        <v>15217.3913</v>
      </c>
      <c r="AF892" s="127" t="s">
        <v>13615</v>
      </c>
      <c r="AG892" s="127">
        <v>66.0476467693398</v>
      </c>
      <c r="AH892" s="127">
        <v>-17.3437866252937</v>
      </c>
      <c r="AI892" s="115" t="s">
        <v>12383</v>
      </c>
      <c r="AJ892" s="116">
        <v>0.5</v>
      </c>
      <c r="AK892" s="117"/>
      <c r="AL892" s="117"/>
      <c r="AM892" s="117"/>
      <c r="AN892" s="117"/>
      <c r="AO892" s="117"/>
    </row>
    <row r="893" ht="34.5" customHeight="1">
      <c r="A893" s="111">
        <v>1367.0</v>
      </c>
      <c r="B893" s="111" t="s">
        <v>8890</v>
      </c>
      <c r="C893" s="111" t="s">
        <v>8891</v>
      </c>
      <c r="D893" s="111">
        <v>2025.0</v>
      </c>
      <c r="E893" s="111"/>
      <c r="F893" s="111" t="s">
        <v>12399</v>
      </c>
      <c r="G893" s="111" t="s">
        <v>12381</v>
      </c>
      <c r="H893" s="111" t="s">
        <v>12230</v>
      </c>
      <c r="I893" s="111" t="s">
        <v>12394</v>
      </c>
      <c r="J893" s="111" t="s">
        <v>12296</v>
      </c>
      <c r="K893" s="111" t="s">
        <v>174</v>
      </c>
      <c r="L893" s="111"/>
      <c r="M893" s="111">
        <v>1.0</v>
      </c>
      <c r="N893" s="111"/>
      <c r="O893" s="111"/>
      <c r="P893" s="111"/>
      <c r="Q893" s="111"/>
      <c r="R893" s="111"/>
      <c r="S893" s="111"/>
      <c r="T893" s="111"/>
      <c r="U893" s="111"/>
      <c r="V893" s="111"/>
      <c r="W893" s="111"/>
      <c r="X893" s="111"/>
      <c r="Y893" s="111"/>
      <c r="Z893" s="111" t="s">
        <v>12991</v>
      </c>
      <c r="AA893" s="124">
        <v>300.0</v>
      </c>
      <c r="AB893" s="125">
        <f>IF(Projects!$AI893="Electrolysis",
AA893/VLOOKUP(G893,ElectrolysisConvF,3,FALSE),
AC893*10^6/(H2dens*HoursInYear))</f>
        <v>66666.66667</v>
      </c>
      <c r="AC893" s="126">
        <f t="shared" si="169"/>
        <v>51.976</v>
      </c>
      <c r="AD893" s="125"/>
      <c r="AE893" s="125">
        <f t="shared" si="170"/>
        <v>66666.66667</v>
      </c>
      <c r="AF893" s="127" t="s">
        <v>13616</v>
      </c>
      <c r="AG893" s="127">
        <v>-0.842934319370739</v>
      </c>
      <c r="AH893" s="127">
        <v>36.318704915658</v>
      </c>
      <c r="AI893" s="115" t="s">
        <v>12383</v>
      </c>
      <c r="AJ893" s="116">
        <v>0.5</v>
      </c>
      <c r="AK893" s="117"/>
      <c r="AL893" s="117"/>
      <c r="AM893" s="117"/>
      <c r="AN893" s="117"/>
      <c r="AO893" s="117"/>
    </row>
    <row r="894" ht="34.5" customHeight="1">
      <c r="A894" s="111">
        <v>1368.0</v>
      </c>
      <c r="B894" s="111" t="s">
        <v>8892</v>
      </c>
      <c r="C894" s="111" t="s">
        <v>8785</v>
      </c>
      <c r="D894" s="111">
        <v>2022.0</v>
      </c>
      <c r="E894" s="111"/>
      <c r="F894" s="111" t="s">
        <v>12385</v>
      </c>
      <c r="G894" s="111" t="s">
        <v>12226</v>
      </c>
      <c r="H894" s="111"/>
      <c r="I894" s="111" t="s">
        <v>12394</v>
      </c>
      <c r="J894" s="111" t="s">
        <v>12295</v>
      </c>
      <c r="K894" s="111" t="s">
        <v>174</v>
      </c>
      <c r="L894" s="111"/>
      <c r="M894" s="111">
        <v>1.0</v>
      </c>
      <c r="N894" s="111"/>
      <c r="O894" s="111"/>
      <c r="P894" s="111"/>
      <c r="Q894" s="111"/>
      <c r="R894" s="111"/>
      <c r="S894" s="111"/>
      <c r="T894" s="111"/>
      <c r="U894" s="111"/>
      <c r="V894" s="111"/>
      <c r="W894" s="111"/>
      <c r="X894" s="111"/>
      <c r="Y894" s="111"/>
      <c r="Z894" s="111" t="s">
        <v>12824</v>
      </c>
      <c r="AA894" s="124">
        <v>15.0</v>
      </c>
      <c r="AB894" s="125">
        <f>IF(Projects!$AI894="Electrolysis",
AA894/VLOOKUP(G894,ElectrolysisConvF,3,FALSE),
AC894*10^6/(H2dens*HoursInYear))</f>
        <v>2884.615385</v>
      </c>
      <c r="AC894" s="126">
        <f t="shared" si="169"/>
        <v>2.248961538</v>
      </c>
      <c r="AD894" s="125"/>
      <c r="AE894" s="125">
        <f t="shared" si="170"/>
        <v>2884.615385</v>
      </c>
      <c r="AF894" s="127" t="s">
        <v>13617</v>
      </c>
      <c r="AG894" s="127">
        <v>29.6333926321958</v>
      </c>
      <c r="AH894" s="127">
        <v>32.3008063477238</v>
      </c>
      <c r="AI894" s="115" t="s">
        <v>12383</v>
      </c>
      <c r="AJ894" s="116">
        <v>0.5</v>
      </c>
      <c r="AK894" s="117"/>
      <c r="AL894" s="117"/>
      <c r="AM894" s="117"/>
      <c r="AN894" s="117"/>
      <c r="AO894" s="117"/>
    </row>
    <row r="895" ht="34.5" customHeight="1">
      <c r="A895" s="111">
        <v>1369.0</v>
      </c>
      <c r="B895" s="111" t="s">
        <v>8893</v>
      </c>
      <c r="C895" s="111" t="s">
        <v>7987</v>
      </c>
      <c r="D895" s="111">
        <v>2025.0</v>
      </c>
      <c r="E895" s="111"/>
      <c r="F895" s="111" t="s">
        <v>12399</v>
      </c>
      <c r="G895" s="111" t="s">
        <v>12381</v>
      </c>
      <c r="H895" s="111" t="s">
        <v>12230</v>
      </c>
      <c r="I895" s="111" t="s">
        <v>12394</v>
      </c>
      <c r="J895" s="111" t="s">
        <v>12295</v>
      </c>
      <c r="K895" s="111" t="s">
        <v>30</v>
      </c>
      <c r="L895" s="111"/>
      <c r="M895" s="111"/>
      <c r="N895" s="111"/>
      <c r="O895" s="111"/>
      <c r="P895" s="111"/>
      <c r="Q895" s="111"/>
      <c r="R895" s="111"/>
      <c r="S895" s="111"/>
      <c r="T895" s="111"/>
      <c r="U895" s="111"/>
      <c r="V895" s="111"/>
      <c r="W895" s="111"/>
      <c r="X895" s="111"/>
      <c r="Y895" s="111"/>
      <c r="Z895" s="111" t="s">
        <v>12589</v>
      </c>
      <c r="AA895" s="124">
        <v>20.0</v>
      </c>
      <c r="AB895" s="125">
        <f>IF(Projects!$AI895="Electrolysis",
AA895/VLOOKUP(G895,ElectrolysisConvF,3,FALSE),
AC895*10^6/(H2dens*HoursInYear))</f>
        <v>4444.444444</v>
      </c>
      <c r="AC895" s="126">
        <f t="shared" si="169"/>
        <v>3.465066667</v>
      </c>
      <c r="AD895" s="125"/>
      <c r="AE895" s="125">
        <f t="shared" si="170"/>
        <v>4444.444444</v>
      </c>
      <c r="AF895" s="127" t="s">
        <v>13618</v>
      </c>
      <c r="AG895" s="127">
        <v>0.0</v>
      </c>
      <c r="AH895" s="127">
        <v>0.0</v>
      </c>
      <c r="AI895" s="115" t="s">
        <v>12383</v>
      </c>
      <c r="AJ895" s="116">
        <v>0.5</v>
      </c>
      <c r="AK895" s="117"/>
      <c r="AL895" s="117"/>
      <c r="AM895" s="117"/>
      <c r="AN895" s="117"/>
      <c r="AO895" s="117"/>
    </row>
    <row r="896" ht="34.5" customHeight="1">
      <c r="A896" s="111">
        <v>1371.0</v>
      </c>
      <c r="B896" s="111" t="s">
        <v>8894</v>
      </c>
      <c r="C896" s="111" t="s">
        <v>8021</v>
      </c>
      <c r="D896" s="111"/>
      <c r="E896" s="111"/>
      <c r="F896" s="111" t="s">
        <v>12397</v>
      </c>
      <c r="G896" s="111" t="s">
        <v>12381</v>
      </c>
      <c r="H896" s="111" t="s">
        <v>12230</v>
      </c>
      <c r="I896" s="111" t="s">
        <v>12394</v>
      </c>
      <c r="J896" s="111" t="s">
        <v>12295</v>
      </c>
      <c r="K896" s="111" t="s">
        <v>30</v>
      </c>
      <c r="L896" s="111"/>
      <c r="M896" s="111"/>
      <c r="N896" s="111"/>
      <c r="O896" s="111"/>
      <c r="P896" s="111">
        <v>1.0</v>
      </c>
      <c r="Q896" s="111">
        <v>1.0</v>
      </c>
      <c r="R896" s="111"/>
      <c r="S896" s="111"/>
      <c r="T896" s="111"/>
      <c r="U896" s="111"/>
      <c r="V896" s="111"/>
      <c r="W896" s="111"/>
      <c r="X896" s="111"/>
      <c r="Y896" s="111"/>
      <c r="Z896" s="111" t="s">
        <v>12806</v>
      </c>
      <c r="AA896" s="124">
        <v>149.0</v>
      </c>
      <c r="AB896" s="125">
        <f>IF(Projects!$AI896="Electrolysis",
AA896/VLOOKUP(G896,ElectrolysisConvF,3,FALSE),
AC896*10^6/(H2dens*HoursInYear))</f>
        <v>33111.11111</v>
      </c>
      <c r="AC896" s="126">
        <f t="shared" si="169"/>
        <v>25.81474667</v>
      </c>
      <c r="AD896" s="125"/>
      <c r="AE896" s="125">
        <f>AB896</f>
        <v>33111.11111</v>
      </c>
      <c r="AF896" s="127"/>
      <c r="AG896" s="127">
        <v>-19.3311686344704</v>
      </c>
      <c r="AH896" s="127">
        <v>146.883995766265</v>
      </c>
      <c r="AI896" s="115" t="s">
        <v>12383</v>
      </c>
      <c r="AJ896" s="116">
        <v>0.5</v>
      </c>
      <c r="AK896" s="117"/>
      <c r="AL896" s="117"/>
      <c r="AM896" s="117"/>
      <c r="AN896" s="117"/>
      <c r="AO896" s="117"/>
    </row>
    <row r="897" ht="34.5" customHeight="1">
      <c r="A897" s="111">
        <v>1372.0</v>
      </c>
      <c r="B897" s="111" t="s">
        <v>8895</v>
      </c>
      <c r="C897" s="111" t="s">
        <v>7991</v>
      </c>
      <c r="D897" s="111">
        <v>2025.0</v>
      </c>
      <c r="E897" s="111"/>
      <c r="F897" s="111" t="s">
        <v>12399</v>
      </c>
      <c r="G897" s="111" t="s">
        <v>12381</v>
      </c>
      <c r="H897" s="111" t="s">
        <v>12230</v>
      </c>
      <c r="I897" s="111" t="s">
        <v>12394</v>
      </c>
      <c r="J897" s="111" t="s">
        <v>12296</v>
      </c>
      <c r="K897" s="111" t="s">
        <v>30</v>
      </c>
      <c r="L897" s="111"/>
      <c r="M897" s="111"/>
      <c r="N897" s="111"/>
      <c r="O897" s="111"/>
      <c r="P897" s="111">
        <v>1.0</v>
      </c>
      <c r="Q897" s="111"/>
      <c r="R897" s="111"/>
      <c r="S897" s="111"/>
      <c r="T897" s="111"/>
      <c r="U897" s="111"/>
      <c r="V897" s="111"/>
      <c r="W897" s="111"/>
      <c r="X897" s="111"/>
      <c r="Y897" s="111"/>
      <c r="Z897" s="111" t="s">
        <v>13497</v>
      </c>
      <c r="AA897" s="124">
        <v>80.0</v>
      </c>
      <c r="AB897" s="125">
        <f>IF(Projects!$AI897="Electrolysis",
AA897/VLOOKUP(G897,ElectrolysisConvF,3,FALSE),
AC897*10^6/(H2dens*HoursInYear))</f>
        <v>17777.77778</v>
      </c>
      <c r="AC897" s="126">
        <f t="shared" si="169"/>
        <v>13.86026667</v>
      </c>
      <c r="AD897" s="125"/>
      <c r="AE897" s="125">
        <f t="shared" ref="AE897:AE898" si="171">IF(AND(G897&lt;&gt;"NG w CCUS",G897&lt;&gt;"Oil w CCUS",G897&lt;&gt;"Coal w CCUS"),AB897,AD897*10^3/(HoursInYear*IF(G897="NG w CCUS",0.9105,1.9075)))</f>
        <v>17777.77778</v>
      </c>
      <c r="AF897" s="127" t="s">
        <v>13619</v>
      </c>
      <c r="AG897" s="127">
        <v>54.5973009153763</v>
      </c>
      <c r="AH897" s="127">
        <v>-1.20470023404359</v>
      </c>
      <c r="AI897" s="115" t="s">
        <v>12383</v>
      </c>
      <c r="AJ897" s="116">
        <v>0.5</v>
      </c>
      <c r="AK897" s="117"/>
      <c r="AL897" s="117"/>
      <c r="AM897" s="117"/>
      <c r="AN897" s="117"/>
      <c r="AO897" s="117"/>
    </row>
    <row r="898" ht="34.5" customHeight="1">
      <c r="A898" s="111">
        <v>1373.0</v>
      </c>
      <c r="B898" s="111" t="s">
        <v>8896</v>
      </c>
      <c r="C898" s="111" t="s">
        <v>7991</v>
      </c>
      <c r="D898" s="111">
        <v>2030.0</v>
      </c>
      <c r="E898" s="111"/>
      <c r="F898" s="111" t="s">
        <v>12397</v>
      </c>
      <c r="G898" s="111" t="s">
        <v>12381</v>
      </c>
      <c r="H898" s="111" t="s">
        <v>12230</v>
      </c>
      <c r="I898" s="111" t="s">
        <v>12394</v>
      </c>
      <c r="J898" s="111" t="s">
        <v>12296</v>
      </c>
      <c r="K898" s="111" t="s">
        <v>30</v>
      </c>
      <c r="L898" s="111"/>
      <c r="M898" s="111"/>
      <c r="N898" s="111"/>
      <c r="O898" s="111"/>
      <c r="P898" s="111">
        <v>1.0</v>
      </c>
      <c r="Q898" s="111"/>
      <c r="R898" s="111"/>
      <c r="S898" s="111"/>
      <c r="T898" s="111"/>
      <c r="U898" s="111"/>
      <c r="V898" s="111"/>
      <c r="W898" s="111"/>
      <c r="X898" s="111"/>
      <c r="Y898" s="111"/>
      <c r="Z898" s="111" t="s">
        <v>13620</v>
      </c>
      <c r="AA898" s="124">
        <f>500-AA897</f>
        <v>420</v>
      </c>
      <c r="AB898" s="125">
        <f>IF(Projects!$AI898="Electrolysis",
AA898/VLOOKUP(G898,ElectrolysisConvF,3,FALSE),
AC898*10^6/(H2dens*HoursInYear))</f>
        <v>93333.33333</v>
      </c>
      <c r="AC898" s="126">
        <f t="shared" si="169"/>
        <v>72.7664</v>
      </c>
      <c r="AD898" s="125"/>
      <c r="AE898" s="125">
        <f t="shared" si="171"/>
        <v>93333.33333</v>
      </c>
      <c r="AF898" s="127" t="s">
        <v>13619</v>
      </c>
      <c r="AG898" s="127">
        <v>54.5973009153763</v>
      </c>
      <c r="AH898" s="127">
        <v>-1.20470023404359</v>
      </c>
      <c r="AI898" s="115" t="s">
        <v>12383</v>
      </c>
      <c r="AJ898" s="116">
        <v>0.5</v>
      </c>
      <c r="AK898" s="117"/>
      <c r="AL898" s="117"/>
      <c r="AM898" s="117"/>
      <c r="AN898" s="117"/>
      <c r="AO898" s="117"/>
    </row>
    <row r="899" ht="34.5" customHeight="1">
      <c r="A899" s="111">
        <v>1374.0</v>
      </c>
      <c r="B899" s="111" t="s">
        <v>8897</v>
      </c>
      <c r="C899" s="111" t="s">
        <v>7991</v>
      </c>
      <c r="D899" s="111">
        <v>2030.0</v>
      </c>
      <c r="E899" s="111"/>
      <c r="F899" s="111" t="s">
        <v>12287</v>
      </c>
      <c r="G899" s="111" t="s">
        <v>12226</v>
      </c>
      <c r="H899" s="111"/>
      <c r="I899" s="111" t="s">
        <v>12394</v>
      </c>
      <c r="J899" s="111" t="s">
        <v>12293</v>
      </c>
      <c r="K899" s="111" t="s">
        <v>30</v>
      </c>
      <c r="L899" s="111"/>
      <c r="M899" s="111"/>
      <c r="N899" s="111"/>
      <c r="O899" s="111"/>
      <c r="P899" s="111"/>
      <c r="Q899" s="111"/>
      <c r="R899" s="111"/>
      <c r="S899" s="111"/>
      <c r="T899" s="111"/>
      <c r="U899" s="111"/>
      <c r="V899" s="111"/>
      <c r="W899" s="111"/>
      <c r="X899" s="111"/>
      <c r="Y899" s="111"/>
      <c r="Z899" s="111" t="s">
        <v>13621</v>
      </c>
      <c r="AA899" s="124">
        <v>900.0</v>
      </c>
      <c r="AB899" s="125">
        <f>IF(Projects!$AI899="Electrolysis",
AA899/VLOOKUP(G899,ElectrolysisConvF,3,FALSE),
AC899*10^6/(H2dens*HoursInYear))</f>
        <v>173076.9231</v>
      </c>
      <c r="AC899" s="126">
        <f t="shared" si="169"/>
        <v>134.9376923</v>
      </c>
      <c r="AD899" s="125"/>
      <c r="AE899" s="125">
        <f>AB899</f>
        <v>173076.9231</v>
      </c>
      <c r="AF899" s="127" t="s">
        <v>13622</v>
      </c>
      <c r="AG899" s="127">
        <v>53.4459447348258</v>
      </c>
      <c r="AH899" s="127">
        <v>0.153631545886494</v>
      </c>
      <c r="AI899" s="115" t="s">
        <v>12383</v>
      </c>
      <c r="AJ899" s="116">
        <v>0.55</v>
      </c>
      <c r="AK899" s="117"/>
      <c r="AL899" s="117"/>
      <c r="AM899" s="117"/>
      <c r="AN899" s="117"/>
      <c r="AO899" s="117"/>
    </row>
    <row r="900" ht="34.5" customHeight="1">
      <c r="A900" s="111">
        <v>1375.0</v>
      </c>
      <c r="B900" s="111" t="s">
        <v>8898</v>
      </c>
      <c r="C900" s="111" t="s">
        <v>8899</v>
      </c>
      <c r="D900" s="111">
        <v>2025.0</v>
      </c>
      <c r="E900" s="111"/>
      <c r="F900" s="111" t="s">
        <v>12399</v>
      </c>
      <c r="G900" s="111" t="s">
        <v>12241</v>
      </c>
      <c r="H900" s="111" t="s">
        <v>13021</v>
      </c>
      <c r="I900" s="111"/>
      <c r="J900" s="111"/>
      <c r="K900" s="111" t="s">
        <v>30</v>
      </c>
      <c r="L900" s="111"/>
      <c r="M900" s="111"/>
      <c r="N900" s="111"/>
      <c r="O900" s="111"/>
      <c r="P900" s="111"/>
      <c r="Q900" s="111"/>
      <c r="R900" s="111"/>
      <c r="S900" s="111"/>
      <c r="T900" s="111"/>
      <c r="U900" s="111"/>
      <c r="V900" s="111"/>
      <c r="W900" s="111"/>
      <c r="X900" s="111"/>
      <c r="Y900" s="147"/>
      <c r="Z900" s="111"/>
      <c r="AA900" s="124"/>
      <c r="AB900" s="125"/>
      <c r="AC900" s="126"/>
      <c r="AD900" s="125"/>
      <c r="AE900" s="125" t="str">
        <f t="shared" ref="AE900:AE918" si="172">IF(AND(G900&lt;&gt;"NG w CCUS",G900&lt;&gt;"Oil w CCUS",G900&lt;&gt;"Coal w CCUS"),AB900,AD900*10^3/(HoursInYear*IF(G900="NG w CCUS",0.9105,1.9075)))</f>
        <v/>
      </c>
      <c r="AF900" s="127" t="s">
        <v>13623</v>
      </c>
      <c r="AG900" s="127">
        <v>0.0</v>
      </c>
      <c r="AH900" s="127">
        <v>0.0</v>
      </c>
      <c r="AI900" s="115" t="s">
        <v>12241</v>
      </c>
      <c r="AJ900" s="116">
        <v>0.9</v>
      </c>
      <c r="AK900" s="117"/>
      <c r="AL900" s="117"/>
      <c r="AM900" s="117"/>
      <c r="AN900" s="117"/>
      <c r="AO900" s="117"/>
    </row>
    <row r="901" ht="34.5" customHeight="1">
      <c r="A901" s="111">
        <v>1377.0</v>
      </c>
      <c r="B901" s="111" t="s">
        <v>8900</v>
      </c>
      <c r="C901" s="111" t="s">
        <v>8001</v>
      </c>
      <c r="D901" s="111">
        <v>2027.0</v>
      </c>
      <c r="E901" s="111"/>
      <c r="F901" s="111" t="s">
        <v>12393</v>
      </c>
      <c r="G901" s="111" t="s">
        <v>12381</v>
      </c>
      <c r="H901" s="111" t="s">
        <v>12230</v>
      </c>
      <c r="I901" s="111" t="s">
        <v>12394</v>
      </c>
      <c r="J901" s="111" t="s">
        <v>12293</v>
      </c>
      <c r="K901" s="111" t="s">
        <v>30</v>
      </c>
      <c r="L901" s="111"/>
      <c r="M901" s="111"/>
      <c r="N901" s="111"/>
      <c r="O901" s="111"/>
      <c r="P901" s="111"/>
      <c r="Q901" s="111"/>
      <c r="R901" s="111"/>
      <c r="S901" s="111"/>
      <c r="T901" s="111"/>
      <c r="U901" s="111"/>
      <c r="V901" s="111"/>
      <c r="W901" s="111"/>
      <c r="X901" s="111"/>
      <c r="Y901" s="111"/>
      <c r="Z901" s="111" t="s">
        <v>13624</v>
      </c>
      <c r="AA901" s="126">
        <f>IF(Projects!$AI901="Electrolysis",
AB901*VLOOKUP(G901,ElectrolysisConvF,3,FALSE),
"")</f>
        <v>1049.435404</v>
      </c>
      <c r="AB901" s="125">
        <f>AC901/(H2dens*HoursInYear/10^6)</f>
        <v>233207.8675</v>
      </c>
      <c r="AC901" s="126">
        <f>100/Projects!$AJ901</f>
        <v>181.8181818</v>
      </c>
      <c r="AD901" s="125"/>
      <c r="AE901" s="125">
        <f t="shared" si="172"/>
        <v>233207.8675</v>
      </c>
      <c r="AF901" s="127" t="s">
        <v>13625</v>
      </c>
      <c r="AG901" s="127">
        <v>24.5184968595092</v>
      </c>
      <c r="AH901" s="127">
        <v>117.644338062525</v>
      </c>
      <c r="AI901" s="115" t="s">
        <v>12383</v>
      </c>
      <c r="AJ901" s="116">
        <v>0.55</v>
      </c>
      <c r="AK901" s="117"/>
      <c r="AL901" s="117"/>
      <c r="AM901" s="117"/>
      <c r="AN901" s="117"/>
      <c r="AO901" s="117"/>
    </row>
    <row r="902" ht="34.5" customHeight="1">
      <c r="A902" s="111">
        <v>1378.0</v>
      </c>
      <c r="B902" s="111" t="s">
        <v>8901</v>
      </c>
      <c r="C902" s="111" t="s">
        <v>8021</v>
      </c>
      <c r="D902" s="111"/>
      <c r="E902" s="111"/>
      <c r="F902" s="111" t="s">
        <v>12399</v>
      </c>
      <c r="G902" s="111" t="s">
        <v>12381</v>
      </c>
      <c r="H902" s="111" t="s">
        <v>12230</v>
      </c>
      <c r="I902" s="111" t="s">
        <v>12394</v>
      </c>
      <c r="J902" s="111" t="s">
        <v>12296</v>
      </c>
      <c r="K902" s="111" t="s">
        <v>30</v>
      </c>
      <c r="L902" s="111"/>
      <c r="M902" s="111"/>
      <c r="N902" s="111"/>
      <c r="O902" s="111"/>
      <c r="P902" s="111"/>
      <c r="Q902" s="111"/>
      <c r="R902" s="111"/>
      <c r="S902" s="111"/>
      <c r="T902" s="111"/>
      <c r="U902" s="111"/>
      <c r="V902" s="111"/>
      <c r="W902" s="111"/>
      <c r="X902" s="111"/>
      <c r="Y902" s="111"/>
      <c r="Z902" s="111" t="s">
        <v>13098</v>
      </c>
      <c r="AA902" s="124">
        <v>40.0</v>
      </c>
      <c r="AB902" s="125">
        <f>IF(Projects!$AI902="Electrolysis",
AA902/VLOOKUP(G902,ElectrolysisConvF,3,FALSE),
AC902*10^6/(H2dens*HoursInYear))</f>
        <v>8888.888889</v>
      </c>
      <c r="AC902" s="126">
        <f>AB902*H2dens*HoursInYear/10^6</f>
        <v>6.930133333</v>
      </c>
      <c r="AD902" s="125"/>
      <c r="AE902" s="125">
        <f t="shared" si="172"/>
        <v>8888.888889</v>
      </c>
      <c r="AF902" s="127" t="s">
        <v>13626</v>
      </c>
      <c r="AG902" s="127">
        <v>-32.9242947965853</v>
      </c>
      <c r="AH902" s="127">
        <v>151.787041626802</v>
      </c>
      <c r="AI902" s="115" t="s">
        <v>12383</v>
      </c>
      <c r="AJ902" s="116">
        <v>0.5</v>
      </c>
      <c r="AK902" s="117"/>
      <c r="AL902" s="117"/>
      <c r="AM902" s="117"/>
      <c r="AN902" s="117"/>
      <c r="AO902" s="117"/>
    </row>
    <row r="903" ht="34.5" customHeight="1">
      <c r="A903" s="111">
        <v>1379.0</v>
      </c>
      <c r="B903" s="111" t="s">
        <v>8902</v>
      </c>
      <c r="C903" s="111" t="s">
        <v>7981</v>
      </c>
      <c r="D903" s="111">
        <v>2026.0</v>
      </c>
      <c r="E903" s="111"/>
      <c r="F903" s="111" t="s">
        <v>12399</v>
      </c>
      <c r="G903" s="111" t="s">
        <v>12239</v>
      </c>
      <c r="H903" s="111" t="s">
        <v>13079</v>
      </c>
      <c r="I903" s="111"/>
      <c r="J903" s="111"/>
      <c r="K903" s="111" t="s">
        <v>30</v>
      </c>
      <c r="L903" s="111"/>
      <c r="M903" s="111"/>
      <c r="N903" s="111"/>
      <c r="O903" s="111"/>
      <c r="P903" s="111"/>
      <c r="Q903" s="111"/>
      <c r="R903" s="111"/>
      <c r="S903" s="111"/>
      <c r="T903" s="111"/>
      <c r="U903" s="111"/>
      <c r="V903" s="111"/>
      <c r="W903" s="111"/>
      <c r="X903" s="111"/>
      <c r="Y903" s="111"/>
      <c r="Z903" s="111" t="s">
        <v>13627</v>
      </c>
      <c r="AA903" s="124"/>
      <c r="AB903" s="125">
        <f>IF(Projects!$AI903="Electrolysis",
AA903/VLOOKUP(G903,ElectrolysisConvF,3,FALSE),
AC903*10^6/(H2dens*HoursInYear))</f>
        <v>5711.610487</v>
      </c>
      <c r="AC903" s="126">
        <f>12.2*365/1000</f>
        <v>4.453</v>
      </c>
      <c r="AD903" s="125"/>
      <c r="AE903" s="125">
        <f t="shared" si="172"/>
        <v>5711.610487</v>
      </c>
      <c r="AF903" s="127" t="s">
        <v>13628</v>
      </c>
      <c r="AG903" s="127">
        <v>39.5428677662202</v>
      </c>
      <c r="AH903" s="127">
        <v>-121.548156012574</v>
      </c>
      <c r="AI903" s="115" t="s">
        <v>12241</v>
      </c>
      <c r="AJ903" s="116">
        <v>0.9</v>
      </c>
      <c r="AK903" s="117"/>
      <c r="AL903" s="117"/>
      <c r="AM903" s="117"/>
      <c r="AN903" s="117"/>
      <c r="AO903" s="117"/>
    </row>
    <row r="904" ht="34.5" customHeight="1">
      <c r="A904" s="111">
        <v>1380.0</v>
      </c>
      <c r="B904" s="111" t="s">
        <v>8903</v>
      </c>
      <c r="C904" s="111" t="s">
        <v>8753</v>
      </c>
      <c r="D904" s="111"/>
      <c r="E904" s="111"/>
      <c r="F904" s="111" t="s">
        <v>12397</v>
      </c>
      <c r="G904" s="111" t="s">
        <v>12241</v>
      </c>
      <c r="H904" s="111" t="s">
        <v>13629</v>
      </c>
      <c r="I904" s="111"/>
      <c r="J904" s="111"/>
      <c r="K904" s="111" t="s">
        <v>30</v>
      </c>
      <c r="L904" s="111"/>
      <c r="M904" s="111"/>
      <c r="N904" s="111"/>
      <c r="O904" s="111"/>
      <c r="P904" s="111"/>
      <c r="Q904" s="111"/>
      <c r="R904" s="111"/>
      <c r="S904" s="111"/>
      <c r="T904" s="111"/>
      <c r="U904" s="111"/>
      <c r="V904" s="111"/>
      <c r="W904" s="111"/>
      <c r="X904" s="111"/>
      <c r="Y904" s="111"/>
      <c r="Z904" s="111"/>
      <c r="AA904" s="124"/>
      <c r="AB904" s="125"/>
      <c r="AC904" s="126"/>
      <c r="AD904" s="125"/>
      <c r="AE904" s="125" t="str">
        <f t="shared" si="172"/>
        <v/>
      </c>
      <c r="AF904" s="127" t="s">
        <v>13630</v>
      </c>
      <c r="AG904" s="127">
        <v>49.1755153253704</v>
      </c>
      <c r="AH904" s="127">
        <v>65.8478902943222</v>
      </c>
      <c r="AI904" s="115" t="s">
        <v>12241</v>
      </c>
      <c r="AJ904" s="116">
        <v>0.9</v>
      </c>
      <c r="AK904" s="117"/>
      <c r="AL904" s="117"/>
      <c r="AM904" s="117"/>
      <c r="AN904" s="117"/>
      <c r="AO904" s="117"/>
    </row>
    <row r="905" ht="34.5" customHeight="1">
      <c r="A905" s="111">
        <v>1381.0</v>
      </c>
      <c r="B905" s="111" t="s">
        <v>8904</v>
      </c>
      <c r="C905" s="111" t="s">
        <v>8138</v>
      </c>
      <c r="D905" s="111"/>
      <c r="E905" s="111"/>
      <c r="F905" s="111" t="s">
        <v>12399</v>
      </c>
      <c r="G905" s="111" t="s">
        <v>12381</v>
      </c>
      <c r="H905" s="111" t="s">
        <v>12230</v>
      </c>
      <c r="I905" s="111" t="s">
        <v>12394</v>
      </c>
      <c r="J905" s="111" t="s">
        <v>12296</v>
      </c>
      <c r="K905" s="111" t="s">
        <v>30</v>
      </c>
      <c r="L905" s="111"/>
      <c r="M905" s="111"/>
      <c r="N905" s="111"/>
      <c r="O905" s="111"/>
      <c r="P905" s="111"/>
      <c r="Q905" s="111"/>
      <c r="R905" s="111"/>
      <c r="S905" s="111"/>
      <c r="T905" s="111"/>
      <c r="U905" s="111"/>
      <c r="V905" s="111"/>
      <c r="W905" s="111"/>
      <c r="X905" s="111"/>
      <c r="Y905" s="111"/>
      <c r="Z905" s="111" t="s">
        <v>13102</v>
      </c>
      <c r="AA905" s="124">
        <v>600.0</v>
      </c>
      <c r="AB905" s="125">
        <f>IF(Projects!$AI905="Electrolysis",
AA905/VLOOKUP(G905,ElectrolysisConvF,3,FALSE),
AC905*10^6/(H2dens*HoursInYear))</f>
        <v>133333.3333</v>
      </c>
      <c r="AC905" s="126">
        <f t="shared" ref="AC905:AC915" si="173">AB905*H2dens*HoursInYear/10^6</f>
        <v>103.952</v>
      </c>
      <c r="AD905" s="125"/>
      <c r="AE905" s="125">
        <f t="shared" si="172"/>
        <v>133333.3333</v>
      </c>
      <c r="AF905" s="127" t="s">
        <v>13631</v>
      </c>
      <c r="AG905" s="127">
        <v>-39.9135880813656</v>
      </c>
      <c r="AH905" s="127">
        <v>-64.9610966447293</v>
      </c>
      <c r="AI905" s="115" t="s">
        <v>12383</v>
      </c>
      <c r="AJ905" s="116">
        <v>0.5</v>
      </c>
      <c r="AK905" s="117"/>
      <c r="AL905" s="117"/>
      <c r="AM905" s="117"/>
      <c r="AN905" s="117"/>
      <c r="AO905" s="117"/>
    </row>
    <row r="906" ht="34.5" customHeight="1">
      <c r="A906" s="111">
        <v>1382.0</v>
      </c>
      <c r="B906" s="111" t="s">
        <v>8905</v>
      </c>
      <c r="C906" s="111" t="s">
        <v>8138</v>
      </c>
      <c r="D906" s="111"/>
      <c r="E906" s="111"/>
      <c r="F906" s="111" t="s">
        <v>12397</v>
      </c>
      <c r="G906" s="111" t="s">
        <v>12381</v>
      </c>
      <c r="H906" s="111" t="s">
        <v>12230</v>
      </c>
      <c r="I906" s="111" t="s">
        <v>12394</v>
      </c>
      <c r="J906" s="111" t="s">
        <v>12296</v>
      </c>
      <c r="K906" s="111" t="s">
        <v>30</v>
      </c>
      <c r="L906" s="111"/>
      <c r="M906" s="111"/>
      <c r="N906" s="111"/>
      <c r="O906" s="111"/>
      <c r="P906" s="111"/>
      <c r="Q906" s="111"/>
      <c r="R906" s="111"/>
      <c r="S906" s="111"/>
      <c r="T906" s="111"/>
      <c r="U906" s="111"/>
      <c r="V906" s="111"/>
      <c r="W906" s="111"/>
      <c r="X906" s="111"/>
      <c r="Y906" s="111"/>
      <c r="Z906" s="111" t="s">
        <v>13632</v>
      </c>
      <c r="AA906" s="124">
        <v>1400.0</v>
      </c>
      <c r="AB906" s="125">
        <f>IF(Projects!$AI906="Electrolysis",
AA906/VLOOKUP(G906,ElectrolysisConvF,3,FALSE),
AC906*10^6/(H2dens*HoursInYear))</f>
        <v>311111.1111</v>
      </c>
      <c r="AC906" s="126">
        <f t="shared" si="173"/>
        <v>242.5546667</v>
      </c>
      <c r="AD906" s="125"/>
      <c r="AE906" s="125">
        <f t="shared" si="172"/>
        <v>311111.1111</v>
      </c>
      <c r="AF906" s="127" t="s">
        <v>13631</v>
      </c>
      <c r="AG906" s="127">
        <v>-39.9135880813656</v>
      </c>
      <c r="AH906" s="127">
        <v>-64.9610966447293</v>
      </c>
      <c r="AI906" s="115" t="s">
        <v>12383</v>
      </c>
      <c r="AJ906" s="116">
        <v>0.5</v>
      </c>
      <c r="AK906" s="117"/>
      <c r="AL906" s="117"/>
      <c r="AM906" s="117"/>
      <c r="AN906" s="117"/>
      <c r="AO906" s="117"/>
    </row>
    <row r="907" ht="34.5" customHeight="1">
      <c r="A907" s="111">
        <v>1383.0</v>
      </c>
      <c r="B907" s="111" t="s">
        <v>8906</v>
      </c>
      <c r="C907" s="111" t="s">
        <v>8138</v>
      </c>
      <c r="D907" s="111"/>
      <c r="E907" s="111"/>
      <c r="F907" s="111" t="s">
        <v>12397</v>
      </c>
      <c r="G907" s="111" t="s">
        <v>12381</v>
      </c>
      <c r="H907" s="111" t="s">
        <v>12230</v>
      </c>
      <c r="I907" s="111" t="s">
        <v>12394</v>
      </c>
      <c r="J907" s="111" t="s">
        <v>12296</v>
      </c>
      <c r="K907" s="111" t="s">
        <v>30</v>
      </c>
      <c r="L907" s="111"/>
      <c r="M907" s="111"/>
      <c r="N907" s="111"/>
      <c r="O907" s="111"/>
      <c r="P907" s="111"/>
      <c r="Q907" s="111"/>
      <c r="R907" s="111"/>
      <c r="S907" s="111"/>
      <c r="T907" s="111"/>
      <c r="U907" s="111"/>
      <c r="V907" s="111"/>
      <c r="W907" s="111"/>
      <c r="X907" s="111"/>
      <c r="Y907" s="111"/>
      <c r="Z907" s="111" t="s">
        <v>13633</v>
      </c>
      <c r="AA907" s="124">
        <v>13000.0</v>
      </c>
      <c r="AB907" s="125">
        <f>IF(Projects!$AI907="Electrolysis",
AA907/VLOOKUP(G907,ElectrolysisConvF,3,FALSE),
AC907*10^6/(H2dens*HoursInYear))</f>
        <v>2888888.889</v>
      </c>
      <c r="AC907" s="126">
        <f t="shared" si="173"/>
        <v>2252.293333</v>
      </c>
      <c r="AD907" s="125"/>
      <c r="AE907" s="125">
        <f t="shared" si="172"/>
        <v>2888888.889</v>
      </c>
      <c r="AF907" s="127" t="s">
        <v>13631</v>
      </c>
      <c r="AG907" s="127">
        <v>-39.9135880813656</v>
      </c>
      <c r="AH907" s="127">
        <v>-64.9610966447293</v>
      </c>
      <c r="AI907" s="115" t="s">
        <v>12383</v>
      </c>
      <c r="AJ907" s="116">
        <v>0.5</v>
      </c>
      <c r="AK907" s="117"/>
      <c r="AL907" s="117"/>
      <c r="AM907" s="117"/>
      <c r="AN907" s="117"/>
      <c r="AO907" s="117"/>
    </row>
    <row r="908" ht="34.5" customHeight="1">
      <c r="A908" s="111">
        <v>1384.0</v>
      </c>
      <c r="B908" s="111" t="s">
        <v>8907</v>
      </c>
      <c r="C908" s="111" t="s">
        <v>8021</v>
      </c>
      <c r="D908" s="111">
        <v>2027.0</v>
      </c>
      <c r="E908" s="111"/>
      <c r="F908" s="111" t="s">
        <v>12399</v>
      </c>
      <c r="G908" s="111" t="s">
        <v>12224</v>
      </c>
      <c r="H908" s="111"/>
      <c r="I908" s="111" t="s">
        <v>12394</v>
      </c>
      <c r="J908" s="111" t="s">
        <v>12291</v>
      </c>
      <c r="K908" s="111" t="s">
        <v>30</v>
      </c>
      <c r="L908" s="111"/>
      <c r="M908" s="111"/>
      <c r="N908" s="111"/>
      <c r="O908" s="111"/>
      <c r="P908" s="111"/>
      <c r="Q908" s="111"/>
      <c r="R908" s="111"/>
      <c r="S908" s="111"/>
      <c r="T908" s="111"/>
      <c r="U908" s="111"/>
      <c r="V908" s="111"/>
      <c r="W908" s="111"/>
      <c r="X908" s="111"/>
      <c r="Y908" s="111"/>
      <c r="Z908" s="111" t="s">
        <v>13634</v>
      </c>
      <c r="AA908" s="124">
        <f>745*2/4</f>
        <v>372.5</v>
      </c>
      <c r="AB908" s="125">
        <f>IF(Projects!$AI908="Electrolysis",
AA908/VLOOKUP(G908,ElectrolysisConvF,3,FALSE),
AC908*10^6/(H2dens*HoursInYear))</f>
        <v>80978.26087</v>
      </c>
      <c r="AC908" s="126">
        <f t="shared" si="173"/>
        <v>63.1338913</v>
      </c>
      <c r="AD908" s="125"/>
      <c r="AE908" s="125">
        <f t="shared" si="172"/>
        <v>80978.26087</v>
      </c>
      <c r="AF908" s="127" t="s">
        <v>13635</v>
      </c>
      <c r="AG908" s="127">
        <v>-11.5866083492271</v>
      </c>
      <c r="AH908" s="127">
        <v>130.881518242227</v>
      </c>
      <c r="AI908" s="115" t="s">
        <v>12383</v>
      </c>
      <c r="AJ908" s="116">
        <v>0.3</v>
      </c>
      <c r="AK908" s="117"/>
      <c r="AL908" s="117"/>
      <c r="AM908" s="117"/>
      <c r="AN908" s="117"/>
      <c r="AO908" s="117"/>
    </row>
    <row r="909" ht="34.5" customHeight="1">
      <c r="A909" s="111">
        <v>1385.0</v>
      </c>
      <c r="B909" s="111" t="s">
        <v>8908</v>
      </c>
      <c r="C909" s="111" t="s">
        <v>8021</v>
      </c>
      <c r="D909" s="111"/>
      <c r="E909" s="111"/>
      <c r="F909" s="111" t="s">
        <v>12397</v>
      </c>
      <c r="G909" s="111" t="s">
        <v>12224</v>
      </c>
      <c r="H909" s="111"/>
      <c r="I909" s="111" t="s">
        <v>12394</v>
      </c>
      <c r="J909" s="111" t="s">
        <v>12291</v>
      </c>
      <c r="K909" s="111" t="s">
        <v>30</v>
      </c>
      <c r="L909" s="111"/>
      <c r="M909" s="111"/>
      <c r="N909" s="111"/>
      <c r="O909" s="111"/>
      <c r="P909" s="111"/>
      <c r="Q909" s="111"/>
      <c r="R909" s="111"/>
      <c r="S909" s="111"/>
      <c r="T909" s="111"/>
      <c r="U909" s="111"/>
      <c r="V909" s="111"/>
      <c r="W909" s="111"/>
      <c r="X909" s="111"/>
      <c r="Y909" s="111"/>
      <c r="Z909" s="111" t="s">
        <v>13636</v>
      </c>
      <c r="AA909" s="124">
        <f>745*2-AA908</f>
        <v>1117.5</v>
      </c>
      <c r="AB909" s="125">
        <f>IF(Projects!$AI909="Electrolysis",
AA909/VLOOKUP(G909,ElectrolysisConvF,3,FALSE),
AC909*10^6/(H2dens*HoursInYear))</f>
        <v>242934.7826</v>
      </c>
      <c r="AC909" s="126">
        <f t="shared" si="173"/>
        <v>189.4016739</v>
      </c>
      <c r="AD909" s="125"/>
      <c r="AE909" s="125">
        <f t="shared" si="172"/>
        <v>242934.7826</v>
      </c>
      <c r="AF909" s="127" t="s">
        <v>13637</v>
      </c>
      <c r="AG909" s="127">
        <v>-11.5866083492271</v>
      </c>
      <c r="AH909" s="127">
        <v>130.881518242227</v>
      </c>
      <c r="AI909" s="115" t="s">
        <v>12383</v>
      </c>
      <c r="AJ909" s="116">
        <v>0.3</v>
      </c>
      <c r="AK909" s="117"/>
      <c r="AL909" s="117"/>
      <c r="AM909" s="117"/>
      <c r="AN909" s="117"/>
      <c r="AO909" s="117"/>
    </row>
    <row r="910" ht="34.5" customHeight="1">
      <c r="A910" s="111">
        <v>1386.0</v>
      </c>
      <c r="B910" s="111" t="s">
        <v>8909</v>
      </c>
      <c r="C910" s="111" t="s">
        <v>7987</v>
      </c>
      <c r="D910" s="111">
        <v>2023.0</v>
      </c>
      <c r="E910" s="111"/>
      <c r="F910" s="111" t="s">
        <v>12418</v>
      </c>
      <c r="G910" s="111" t="s">
        <v>13638</v>
      </c>
      <c r="H910" s="111"/>
      <c r="I910" s="111" t="s">
        <v>12406</v>
      </c>
      <c r="J910" s="111"/>
      <c r="K910" s="111" t="s">
        <v>30</v>
      </c>
      <c r="L910" s="111"/>
      <c r="M910" s="111"/>
      <c r="N910" s="111"/>
      <c r="O910" s="111"/>
      <c r="P910" s="111"/>
      <c r="Q910" s="111">
        <v>1.0</v>
      </c>
      <c r="R910" s="111"/>
      <c r="S910" s="111"/>
      <c r="T910" s="111"/>
      <c r="U910" s="111"/>
      <c r="V910" s="111"/>
      <c r="W910" s="111"/>
      <c r="X910" s="111"/>
      <c r="Y910" s="111"/>
      <c r="Z910" s="111" t="s">
        <v>12908</v>
      </c>
      <c r="AA910" s="124">
        <v>1.0</v>
      </c>
      <c r="AB910" s="125">
        <f>IF(Projects!$AI910="Electrolysis",
AA910/VLOOKUP(G910,ElectrolysisConvF,3,FALSE),
AC910*10^6/(H2dens*HoursInYear))</f>
        <v>222.2222222</v>
      </c>
      <c r="AC910" s="126">
        <f t="shared" si="173"/>
        <v>0.1732533333</v>
      </c>
      <c r="AD910" s="125"/>
      <c r="AE910" s="125">
        <f t="shared" si="172"/>
        <v>222.2222222</v>
      </c>
      <c r="AF910" s="127" t="s">
        <v>13639</v>
      </c>
      <c r="AG910" s="127">
        <v>52.3166897433429</v>
      </c>
      <c r="AH910" s="127">
        <v>10.5106643005899</v>
      </c>
      <c r="AI910" s="115" t="s">
        <v>12383</v>
      </c>
      <c r="AJ910" s="116">
        <v>0.57</v>
      </c>
      <c r="AK910" s="117"/>
      <c r="AL910" s="117"/>
      <c r="AM910" s="117"/>
      <c r="AN910" s="117"/>
      <c r="AO910" s="117"/>
    </row>
    <row r="911" ht="34.5" customHeight="1">
      <c r="A911" s="111">
        <v>1387.0</v>
      </c>
      <c r="B911" s="111" t="s">
        <v>8910</v>
      </c>
      <c r="C911" s="111" t="s">
        <v>7991</v>
      </c>
      <c r="D911" s="111">
        <v>2030.0</v>
      </c>
      <c r="E911" s="111"/>
      <c r="F911" s="111" t="s">
        <v>12397</v>
      </c>
      <c r="G911" s="111" t="s">
        <v>12381</v>
      </c>
      <c r="H911" s="111" t="s">
        <v>12230</v>
      </c>
      <c r="I911" s="111" t="s">
        <v>12287</v>
      </c>
      <c r="J911" s="111"/>
      <c r="K911" s="111" t="s">
        <v>30</v>
      </c>
      <c r="L911" s="111"/>
      <c r="M911" s="111"/>
      <c r="N911" s="111"/>
      <c r="O911" s="111"/>
      <c r="P911" s="111"/>
      <c r="Q911" s="111">
        <v>1.0</v>
      </c>
      <c r="R911" s="111"/>
      <c r="S911" s="111">
        <v>1.0</v>
      </c>
      <c r="T911" s="111"/>
      <c r="U911" s="111">
        <v>1.0</v>
      </c>
      <c r="V911" s="111"/>
      <c r="W911" s="111"/>
      <c r="X911" s="111"/>
      <c r="Y911" s="111"/>
      <c r="Z911" s="111" t="s">
        <v>12386</v>
      </c>
      <c r="AA911" s="129">
        <f>7-1.63</f>
        <v>5.37</v>
      </c>
      <c r="AB911" s="125">
        <f>IF(Projects!$AI911="Electrolysis",
AA911/VLOOKUP(G911,ElectrolysisConvF,3,FALSE),
AC911*10^6/(H2dens*HoursInYear))</f>
        <v>1193.333333</v>
      </c>
      <c r="AC911" s="126">
        <f t="shared" si="173"/>
        <v>0.9303704</v>
      </c>
      <c r="AD911" s="125"/>
      <c r="AE911" s="125">
        <f t="shared" si="172"/>
        <v>1193.333333</v>
      </c>
      <c r="AF911" s="127" t="s">
        <v>13110</v>
      </c>
      <c r="AG911" s="127">
        <v>57.1791297504265</v>
      </c>
      <c r="AH911" s="127">
        <v>-2.10165465605737</v>
      </c>
      <c r="AI911" s="115" t="s">
        <v>12383</v>
      </c>
      <c r="AJ911" s="116">
        <v>0.57</v>
      </c>
      <c r="AK911" s="117"/>
      <c r="AL911" s="117"/>
      <c r="AM911" s="117"/>
      <c r="AN911" s="117"/>
      <c r="AO911" s="117"/>
    </row>
    <row r="912" ht="34.5" customHeight="1">
      <c r="A912" s="111">
        <v>1388.0</v>
      </c>
      <c r="B912" s="111" t="s">
        <v>8911</v>
      </c>
      <c r="C912" s="111" t="s">
        <v>7987</v>
      </c>
      <c r="D912" s="111">
        <v>2025.0</v>
      </c>
      <c r="E912" s="111"/>
      <c r="F912" s="111" t="s">
        <v>12393</v>
      </c>
      <c r="G912" s="111" t="s">
        <v>12381</v>
      </c>
      <c r="H912" s="111" t="s">
        <v>12230</v>
      </c>
      <c r="I912" s="111" t="s">
        <v>12287</v>
      </c>
      <c r="J912" s="111"/>
      <c r="K912" s="111" t="s">
        <v>12481</v>
      </c>
      <c r="L912" s="111"/>
      <c r="M912" s="111">
        <v>1.0</v>
      </c>
      <c r="N912" s="111">
        <v>1.0</v>
      </c>
      <c r="O912" s="111"/>
      <c r="P912" s="111"/>
      <c r="Q912" s="111"/>
      <c r="R912" s="111"/>
      <c r="S912" s="111"/>
      <c r="T912" s="111"/>
      <c r="U912" s="111"/>
      <c r="V912" s="111"/>
      <c r="W912" s="111"/>
      <c r="X912" s="111"/>
      <c r="Y912" s="111"/>
      <c r="Z912" s="111" t="s">
        <v>12698</v>
      </c>
      <c r="AA912" s="124">
        <v>100.0</v>
      </c>
      <c r="AB912" s="125">
        <f>IF(Projects!$AI912="Electrolysis",
AA912/VLOOKUP(G912,ElectrolysisConvF,3,FALSE),
AC912*10^6/(H2dens*HoursInYear))</f>
        <v>22222.22222</v>
      </c>
      <c r="AC912" s="126">
        <f t="shared" si="173"/>
        <v>17.32533333</v>
      </c>
      <c r="AD912" s="125"/>
      <c r="AE912" s="125">
        <f t="shared" si="172"/>
        <v>22222.22222</v>
      </c>
      <c r="AF912" s="127" t="s">
        <v>13640</v>
      </c>
      <c r="AG912" s="127">
        <v>51.0711804636226</v>
      </c>
      <c r="AH912" s="127">
        <v>6.8532302305271</v>
      </c>
      <c r="AI912" s="115" t="s">
        <v>12383</v>
      </c>
      <c r="AJ912" s="116">
        <v>0.57</v>
      </c>
      <c r="AK912" s="117"/>
      <c r="AL912" s="117"/>
      <c r="AM912" s="117"/>
      <c r="AN912" s="117"/>
      <c r="AO912" s="117"/>
    </row>
    <row r="913" ht="34.5" customHeight="1">
      <c r="A913" s="111">
        <v>1389.0</v>
      </c>
      <c r="B913" s="111" t="s">
        <v>8912</v>
      </c>
      <c r="C913" s="111" t="s">
        <v>7981</v>
      </c>
      <c r="D913" s="111">
        <v>2024.0</v>
      </c>
      <c r="E913" s="111"/>
      <c r="F913" s="111" t="s">
        <v>12393</v>
      </c>
      <c r="G913" s="111" t="s">
        <v>12226</v>
      </c>
      <c r="H913" s="111"/>
      <c r="I913" s="111" t="s">
        <v>12394</v>
      </c>
      <c r="J913" s="111" t="s">
        <v>12291</v>
      </c>
      <c r="K913" s="111" t="s">
        <v>30</v>
      </c>
      <c r="L913" s="111"/>
      <c r="M913" s="111"/>
      <c r="N913" s="111"/>
      <c r="O913" s="111"/>
      <c r="P913" s="111"/>
      <c r="Q913" s="111">
        <v>1.0</v>
      </c>
      <c r="R913" s="111"/>
      <c r="S913" s="111"/>
      <c r="T913" s="111"/>
      <c r="U913" s="111"/>
      <c r="V913" s="111"/>
      <c r="W913" s="111"/>
      <c r="X913" s="111"/>
      <c r="Y913" s="111"/>
      <c r="Z913" s="111" t="s">
        <v>13497</v>
      </c>
      <c r="AA913" s="124">
        <v>80.0</v>
      </c>
      <c r="AB913" s="125">
        <f>IF(Projects!$AI913="Electrolysis",
AA913/VLOOKUP(G913,ElectrolysisConvF,3,FALSE),
AC913*10^6/(H2dens*HoursInYear))</f>
        <v>15384.61538</v>
      </c>
      <c r="AC913" s="126">
        <f t="shared" si="173"/>
        <v>11.99446154</v>
      </c>
      <c r="AD913" s="125"/>
      <c r="AE913" s="125">
        <f t="shared" si="172"/>
        <v>15384.61538</v>
      </c>
      <c r="AF913" s="127" t="s">
        <v>13641</v>
      </c>
      <c r="AG913" s="127">
        <v>36.7609226849742</v>
      </c>
      <c r="AH913" s="127">
        <v>-119.772054900825</v>
      </c>
      <c r="AI913" s="115" t="s">
        <v>12383</v>
      </c>
      <c r="AJ913" s="116">
        <v>0.3</v>
      </c>
      <c r="AK913" s="117"/>
      <c r="AL913" s="117"/>
      <c r="AM913" s="117"/>
      <c r="AN913" s="117"/>
      <c r="AO913" s="117"/>
    </row>
    <row r="914" ht="34.5" customHeight="1">
      <c r="A914" s="111">
        <v>1390.0</v>
      </c>
      <c r="B914" s="111" t="s">
        <v>8913</v>
      </c>
      <c r="C914" s="111" t="s">
        <v>8914</v>
      </c>
      <c r="D914" s="111"/>
      <c r="E914" s="111"/>
      <c r="F914" s="111" t="s">
        <v>12399</v>
      </c>
      <c r="G914" s="111" t="s">
        <v>12381</v>
      </c>
      <c r="H914" s="111" t="s">
        <v>12230</v>
      </c>
      <c r="I914" s="111" t="s">
        <v>12394</v>
      </c>
      <c r="J914" s="111" t="s">
        <v>12291</v>
      </c>
      <c r="K914" s="111" t="s">
        <v>30</v>
      </c>
      <c r="L914" s="111"/>
      <c r="M914" s="111"/>
      <c r="N914" s="111"/>
      <c r="O914" s="111"/>
      <c r="P914" s="111">
        <v>1.0</v>
      </c>
      <c r="Q914" s="111"/>
      <c r="R914" s="111"/>
      <c r="S914" s="111"/>
      <c r="T914" s="111"/>
      <c r="U914" s="111"/>
      <c r="V914" s="111"/>
      <c r="W914" s="111"/>
      <c r="X914" s="111"/>
      <c r="Y914" s="111"/>
      <c r="Z914" s="111" t="s">
        <v>13642</v>
      </c>
      <c r="AA914" s="124">
        <v>400.0</v>
      </c>
      <c r="AB914" s="125">
        <f>IF(Projects!$AI914="Electrolysis",
AA914/VLOOKUP(G914,ElectrolysisConvF,3,FALSE),
AC914*10^6/(H2dens*HoursInYear))</f>
        <v>88888.88889</v>
      </c>
      <c r="AC914" s="126">
        <f t="shared" si="173"/>
        <v>69.30133333</v>
      </c>
      <c r="AD914" s="125"/>
      <c r="AE914" s="125">
        <f t="shared" si="172"/>
        <v>88888.88889</v>
      </c>
      <c r="AF914" s="127" t="s">
        <v>13643</v>
      </c>
      <c r="AG914" s="127">
        <v>25.743290548071</v>
      </c>
      <c r="AH914" s="127">
        <v>67.0760808523796</v>
      </c>
      <c r="AI914" s="115" t="s">
        <v>12383</v>
      </c>
      <c r="AJ914" s="116">
        <v>0.3</v>
      </c>
      <c r="AK914" s="117"/>
      <c r="AL914" s="117"/>
      <c r="AM914" s="117"/>
      <c r="AN914" s="117"/>
      <c r="AO914" s="117"/>
    </row>
    <row r="915" ht="34.5" customHeight="1">
      <c r="A915" s="111">
        <v>1391.0</v>
      </c>
      <c r="B915" s="111" t="s">
        <v>8915</v>
      </c>
      <c r="C915" s="111" t="s">
        <v>8047</v>
      </c>
      <c r="D915" s="111">
        <v>2026.0</v>
      </c>
      <c r="E915" s="111"/>
      <c r="F915" s="111" t="s">
        <v>12393</v>
      </c>
      <c r="G915" s="111" t="s">
        <v>12224</v>
      </c>
      <c r="H915" s="111"/>
      <c r="I915" s="111" t="s">
        <v>12394</v>
      </c>
      <c r="J915" s="111" t="s">
        <v>12292</v>
      </c>
      <c r="K915" s="111" t="s">
        <v>30</v>
      </c>
      <c r="L915" s="111"/>
      <c r="M915" s="111"/>
      <c r="N915" s="111"/>
      <c r="O915" s="111"/>
      <c r="P915" s="111">
        <v>1.0</v>
      </c>
      <c r="Q915" s="111"/>
      <c r="R915" s="111"/>
      <c r="S915" s="111"/>
      <c r="T915" s="111"/>
      <c r="U915" s="111"/>
      <c r="V915" s="111"/>
      <c r="W915" s="111"/>
      <c r="X915" s="111"/>
      <c r="Y915" s="111"/>
      <c r="Z915" s="111" t="s">
        <v>12963</v>
      </c>
      <c r="AA915" s="124">
        <v>4.0</v>
      </c>
      <c r="AB915" s="125">
        <f>IF(Projects!$AI915="Electrolysis",
AA915/VLOOKUP(G915,ElectrolysisConvF,3,FALSE),
AC915*10^6/(H2dens*HoursInYear))</f>
        <v>869.5652174</v>
      </c>
      <c r="AC915" s="126">
        <f t="shared" si="173"/>
        <v>0.6779478261</v>
      </c>
      <c r="AD915" s="125"/>
      <c r="AE915" s="125">
        <f t="shared" si="172"/>
        <v>869.5652174</v>
      </c>
      <c r="AF915" s="127" t="s">
        <v>13644</v>
      </c>
      <c r="AG915" s="127">
        <v>37.2728968032272</v>
      </c>
      <c r="AH915" s="127">
        <v>15.012385111065</v>
      </c>
      <c r="AI915" s="115" t="s">
        <v>12383</v>
      </c>
      <c r="AJ915" s="116">
        <v>0.4</v>
      </c>
      <c r="AK915" s="117"/>
      <c r="AL915" s="117"/>
      <c r="AM915" s="117"/>
      <c r="AN915" s="117"/>
      <c r="AO915" s="117"/>
    </row>
    <row r="916" ht="34.5" customHeight="1">
      <c r="A916" s="111">
        <v>1393.0</v>
      </c>
      <c r="B916" s="111" t="s">
        <v>8916</v>
      </c>
      <c r="C916" s="111" t="s">
        <v>7991</v>
      </c>
      <c r="D916" s="111">
        <v>2027.0</v>
      </c>
      <c r="E916" s="111"/>
      <c r="F916" s="111" t="s">
        <v>12397</v>
      </c>
      <c r="G916" s="111" t="s">
        <v>12381</v>
      </c>
      <c r="H916" s="111" t="s">
        <v>12230</v>
      </c>
      <c r="I916" s="111" t="s">
        <v>12394</v>
      </c>
      <c r="J916" s="111" t="s">
        <v>12293</v>
      </c>
      <c r="K916" s="111" t="s">
        <v>30</v>
      </c>
      <c r="L916" s="111"/>
      <c r="M916" s="111"/>
      <c r="N916" s="111"/>
      <c r="O916" s="111"/>
      <c r="P916" s="111">
        <v>1.0</v>
      </c>
      <c r="Q916" s="111"/>
      <c r="R916" s="111"/>
      <c r="S916" s="111"/>
      <c r="T916" s="111"/>
      <c r="U916" s="111"/>
      <c r="V916" s="111"/>
      <c r="W916" s="111"/>
      <c r="X916" s="111"/>
      <c r="Y916" s="111"/>
      <c r="Z916" s="111" t="s">
        <v>13645</v>
      </c>
      <c r="AA916" s="126">
        <f>IF(Projects!$AI916="Electrolysis",
AB916*VLOOKUP(G916,ElectrolysisConvF,3,FALSE),
"")</f>
        <v>32.5587334</v>
      </c>
      <c r="AB916" s="125">
        <f>AC916/(H2dens*HoursInYear/10^6)</f>
        <v>7235.274089</v>
      </c>
      <c r="AC916" s="126">
        <f>8.5*0.365/Projects!$AJ916</f>
        <v>5.640909091</v>
      </c>
      <c r="AD916" s="125"/>
      <c r="AE916" s="125">
        <f t="shared" si="172"/>
        <v>7235.274089</v>
      </c>
      <c r="AF916" s="127" t="s">
        <v>13646</v>
      </c>
      <c r="AG916" s="127">
        <v>51.3770135919176</v>
      </c>
      <c r="AH916" s="127">
        <v>1.12730544773322</v>
      </c>
      <c r="AI916" s="115" t="s">
        <v>12383</v>
      </c>
      <c r="AJ916" s="116">
        <v>0.55</v>
      </c>
      <c r="AK916" s="117"/>
      <c r="AL916" s="117"/>
      <c r="AM916" s="117"/>
      <c r="AN916" s="117"/>
      <c r="AO916" s="117"/>
    </row>
    <row r="917" ht="34.5" customHeight="1">
      <c r="A917" s="111">
        <v>1394.0</v>
      </c>
      <c r="B917" s="111" t="s">
        <v>8917</v>
      </c>
      <c r="C917" s="111" t="s">
        <v>8161</v>
      </c>
      <c r="D917" s="111">
        <v>2027.0</v>
      </c>
      <c r="E917" s="111"/>
      <c r="F917" s="111" t="s">
        <v>12399</v>
      </c>
      <c r="G917" s="111" t="s">
        <v>12381</v>
      </c>
      <c r="H917" s="111" t="s">
        <v>12230</v>
      </c>
      <c r="I917" s="111" t="s">
        <v>12394</v>
      </c>
      <c r="J917" s="111" t="s">
        <v>12291</v>
      </c>
      <c r="K917" s="111" t="s">
        <v>30</v>
      </c>
      <c r="L917" s="111"/>
      <c r="M917" s="111"/>
      <c r="N917" s="111"/>
      <c r="O917" s="111">
        <v>1.0</v>
      </c>
      <c r="P917" s="111"/>
      <c r="Q917" s="111"/>
      <c r="R917" s="111"/>
      <c r="S917" s="111"/>
      <c r="T917" s="111"/>
      <c r="U917" s="111"/>
      <c r="V917" s="111"/>
      <c r="W917" s="111"/>
      <c r="X917" s="111"/>
      <c r="Y917" s="111"/>
      <c r="Z917" s="111" t="s">
        <v>13647</v>
      </c>
      <c r="AA917" s="124">
        <v>800.0</v>
      </c>
      <c r="AB917" s="125">
        <f>IF(Projects!$AI917="Electrolysis",
AA917/VLOOKUP(G917,ElectrolysisConvF,3,FALSE),
AC917*10^6/(H2dens*HoursInYear))</f>
        <v>177777.7778</v>
      </c>
      <c r="AC917" s="126">
        <f>AB917*H2dens*HoursInYear/10^6</f>
        <v>138.6026667</v>
      </c>
      <c r="AD917" s="125"/>
      <c r="AE917" s="125">
        <f t="shared" si="172"/>
        <v>177777.7778</v>
      </c>
      <c r="AF917" s="127" t="s">
        <v>13648</v>
      </c>
      <c r="AG917" s="127">
        <v>39.669443045407</v>
      </c>
      <c r="AH917" s="127">
        <v>-8.5132125350487</v>
      </c>
      <c r="AI917" s="115" t="s">
        <v>12383</v>
      </c>
      <c r="AJ917" s="116">
        <v>0.3</v>
      </c>
      <c r="AK917" s="117"/>
      <c r="AL917" s="117"/>
      <c r="AM917" s="117"/>
      <c r="AN917" s="117"/>
      <c r="AO917" s="117"/>
    </row>
    <row r="918" ht="34.5" customHeight="1">
      <c r="A918" s="111">
        <v>1395.0</v>
      </c>
      <c r="B918" s="111" t="s">
        <v>8918</v>
      </c>
      <c r="C918" s="111" t="s">
        <v>8011</v>
      </c>
      <c r="D918" s="111">
        <v>2021.0</v>
      </c>
      <c r="E918" s="111"/>
      <c r="F918" s="111" t="s">
        <v>12385</v>
      </c>
      <c r="G918" s="111" t="s">
        <v>12381</v>
      </c>
      <c r="H918" s="111" t="s">
        <v>12230</v>
      </c>
      <c r="I918" s="111" t="s">
        <v>12287</v>
      </c>
      <c r="J918" s="111"/>
      <c r="K918" s="111" t="s">
        <v>30</v>
      </c>
      <c r="L918" s="111"/>
      <c r="M918" s="111"/>
      <c r="N918" s="111"/>
      <c r="O918" s="111"/>
      <c r="P918" s="111"/>
      <c r="Q918" s="111">
        <v>1.0</v>
      </c>
      <c r="R918" s="111"/>
      <c r="S918" s="111"/>
      <c r="T918" s="111"/>
      <c r="U918" s="111"/>
      <c r="V918" s="111"/>
      <c r="W918" s="111"/>
      <c r="X918" s="111"/>
      <c r="Y918" s="111"/>
      <c r="Z918" s="111"/>
      <c r="AA918" s="124"/>
      <c r="AB918" s="125"/>
      <c r="AC918" s="126"/>
      <c r="AD918" s="125"/>
      <c r="AE918" s="125" t="str">
        <f t="shared" si="172"/>
        <v/>
      </c>
      <c r="AF918" s="127" t="s">
        <v>13649</v>
      </c>
      <c r="AG918" s="127">
        <v>43.1319781817433</v>
      </c>
      <c r="AH918" s="127">
        <v>1.62004782014926</v>
      </c>
      <c r="AI918" s="115" t="s">
        <v>12383</v>
      </c>
      <c r="AJ918" s="116">
        <v>0.57</v>
      </c>
      <c r="AK918" s="117"/>
      <c r="AL918" s="117"/>
      <c r="AM918" s="117"/>
      <c r="AN918" s="117"/>
      <c r="AO918" s="117"/>
    </row>
    <row r="919" ht="34.5" customHeight="1">
      <c r="A919" s="111">
        <v>1396.0</v>
      </c>
      <c r="B919" s="111" t="s">
        <v>8919</v>
      </c>
      <c r="C919" s="111" t="s">
        <v>8021</v>
      </c>
      <c r="D919" s="111"/>
      <c r="E919" s="111"/>
      <c r="F919" s="111" t="s">
        <v>12399</v>
      </c>
      <c r="G919" s="111" t="s">
        <v>12381</v>
      </c>
      <c r="H919" s="111" t="s">
        <v>12230</v>
      </c>
      <c r="I919" s="111" t="s">
        <v>12394</v>
      </c>
      <c r="J919" s="111" t="s">
        <v>12295</v>
      </c>
      <c r="K919" s="111" t="s">
        <v>174</v>
      </c>
      <c r="L919" s="111"/>
      <c r="M919" s="111">
        <v>1.0</v>
      </c>
      <c r="N919" s="111"/>
      <c r="O919" s="111"/>
      <c r="P919" s="111"/>
      <c r="Q919" s="111"/>
      <c r="R919" s="111"/>
      <c r="S919" s="111"/>
      <c r="T919" s="111"/>
      <c r="U919" s="111"/>
      <c r="V919" s="111"/>
      <c r="W919" s="111"/>
      <c r="X919" s="111"/>
      <c r="Y919" s="111"/>
      <c r="Z919" s="111" t="s">
        <v>13650</v>
      </c>
      <c r="AA919" s="124">
        <v>56.0</v>
      </c>
      <c r="AB919" s="125">
        <f>IF(Projects!$AI919="Electrolysis",
AA919/VLOOKUP(G919,ElectrolysisConvF,3,FALSE),
AC919*10^6/(H2dens*HoursInYear))</f>
        <v>12444.44444</v>
      </c>
      <c r="AC919" s="126">
        <f t="shared" ref="AC919:AC921" si="174">AB919*H2dens*HoursInYear/10^6</f>
        <v>9.702186667</v>
      </c>
      <c r="AD919" s="125"/>
      <c r="AE919" s="125">
        <f>AB919</f>
        <v>12444.44444</v>
      </c>
      <c r="AF919" s="127" t="s">
        <v>13651</v>
      </c>
      <c r="AG919" s="127">
        <v>-20.6245443513308</v>
      </c>
      <c r="AH919" s="127">
        <v>116.783187518457</v>
      </c>
      <c r="AI919" s="115" t="s">
        <v>12383</v>
      </c>
      <c r="AJ919" s="116">
        <v>0.5</v>
      </c>
      <c r="AK919" s="117"/>
      <c r="AL919" s="117"/>
      <c r="AM919" s="117"/>
      <c r="AN919" s="117"/>
      <c r="AO919" s="117"/>
    </row>
    <row r="920" ht="34.5" customHeight="1">
      <c r="A920" s="111">
        <v>1397.0</v>
      </c>
      <c r="B920" s="111" t="s">
        <v>8920</v>
      </c>
      <c r="C920" s="111" t="s">
        <v>8071</v>
      </c>
      <c r="D920" s="111">
        <v>2030.0</v>
      </c>
      <c r="E920" s="111"/>
      <c r="F920" s="111" t="s">
        <v>12399</v>
      </c>
      <c r="G920" s="111" t="s">
        <v>12381</v>
      </c>
      <c r="H920" s="111" t="s">
        <v>12230</v>
      </c>
      <c r="I920" s="111" t="s">
        <v>12394</v>
      </c>
      <c r="J920" s="111" t="s">
        <v>12292</v>
      </c>
      <c r="K920" s="111" t="s">
        <v>174</v>
      </c>
      <c r="L920" s="111"/>
      <c r="M920" s="111">
        <v>1.0</v>
      </c>
      <c r="N920" s="111"/>
      <c r="O920" s="111"/>
      <c r="P920" s="111"/>
      <c r="Q920" s="111"/>
      <c r="R920" s="111"/>
      <c r="S920" s="111"/>
      <c r="T920" s="111"/>
      <c r="U920" s="111"/>
      <c r="V920" s="111"/>
      <c r="W920" s="111"/>
      <c r="X920" s="111"/>
      <c r="Y920" s="111"/>
      <c r="Z920" s="111" t="s">
        <v>13652</v>
      </c>
      <c r="AA920" s="124">
        <v>3600.0</v>
      </c>
      <c r="AB920" s="125">
        <f>IF(Projects!$AI920="Electrolysis",
AA920/VLOOKUP(G920,ElectrolysisConvF,3,FALSE),
AC920*10^6/(H2dens*HoursInYear))</f>
        <v>800000</v>
      </c>
      <c r="AC920" s="126">
        <f t="shared" si="174"/>
        <v>623.712</v>
      </c>
      <c r="AD920" s="125"/>
      <c r="AE920" s="125">
        <f t="shared" ref="AE920:AE923" si="175">IF(AND(G920&lt;&gt;"NG w CCUS",G920&lt;&gt;"Oil w CCUS",G920&lt;&gt;"Coal w CCUS"),AB920,AD920*10^3/(HoursInYear*IF(G920="NG w CCUS",0.9105,1.9075)))</f>
        <v>800000</v>
      </c>
      <c r="AF920" s="127" t="s">
        <v>13653</v>
      </c>
      <c r="AG920" s="127">
        <v>-52.276454565312</v>
      </c>
      <c r="AH920" s="127">
        <v>-69.5229073126523</v>
      </c>
      <c r="AI920" s="115" t="s">
        <v>12383</v>
      </c>
      <c r="AJ920" s="116">
        <v>0.4</v>
      </c>
      <c r="AK920" s="117"/>
      <c r="AL920" s="117"/>
      <c r="AM920" s="117"/>
      <c r="AN920" s="117"/>
      <c r="AO920" s="117"/>
    </row>
    <row r="921" ht="34.5" customHeight="1">
      <c r="A921" s="111">
        <v>1398.0</v>
      </c>
      <c r="B921" s="111" t="s">
        <v>8921</v>
      </c>
      <c r="C921" s="111" t="s">
        <v>8021</v>
      </c>
      <c r="D921" s="111">
        <v>2031.0</v>
      </c>
      <c r="E921" s="111"/>
      <c r="F921" s="111" t="s">
        <v>12399</v>
      </c>
      <c r="G921" s="111" t="s">
        <v>12381</v>
      </c>
      <c r="H921" s="111" t="s">
        <v>12230</v>
      </c>
      <c r="I921" s="111" t="s">
        <v>12394</v>
      </c>
      <c r="J921" s="111" t="s">
        <v>12295</v>
      </c>
      <c r="K921" s="111" t="s">
        <v>30</v>
      </c>
      <c r="L921" s="111"/>
      <c r="M921" s="111"/>
      <c r="N921" s="111"/>
      <c r="O921" s="111"/>
      <c r="P921" s="111">
        <v>1.0</v>
      </c>
      <c r="Q921" s="111"/>
      <c r="R921" s="111"/>
      <c r="S921" s="111"/>
      <c r="T921" s="111"/>
      <c r="U921" s="111"/>
      <c r="V921" s="111"/>
      <c r="W921" s="111"/>
      <c r="X921" s="111"/>
      <c r="Y921" s="111"/>
      <c r="Z921" s="111" t="s">
        <v>13632</v>
      </c>
      <c r="AA921" s="124">
        <f>2000-AA697</f>
        <v>1800</v>
      </c>
      <c r="AB921" s="125">
        <f>IF(Projects!$AI921="Electrolysis",
AA921/VLOOKUP(G921,ElectrolysisConvF,3,FALSE),
AC921*10^6/(H2dens*HoursInYear))</f>
        <v>400000</v>
      </c>
      <c r="AC921" s="126">
        <f t="shared" si="174"/>
        <v>311.856</v>
      </c>
      <c r="AD921" s="125"/>
      <c r="AE921" s="125">
        <f t="shared" si="175"/>
        <v>400000</v>
      </c>
      <c r="AF921" s="127" t="s">
        <v>13368</v>
      </c>
      <c r="AG921" s="127">
        <v>-23.8402075908997</v>
      </c>
      <c r="AH921" s="127">
        <v>151.047341874176</v>
      </c>
      <c r="AI921" s="115" t="s">
        <v>12383</v>
      </c>
      <c r="AJ921" s="116">
        <v>0.5</v>
      </c>
      <c r="AK921" s="117"/>
      <c r="AL921" s="117"/>
      <c r="AM921" s="117"/>
      <c r="AN921" s="117"/>
      <c r="AO921" s="117"/>
    </row>
    <row r="922" ht="34.5" customHeight="1">
      <c r="A922" s="111">
        <v>1399.0</v>
      </c>
      <c r="B922" s="111" t="s">
        <v>8922</v>
      </c>
      <c r="C922" s="111" t="s">
        <v>8108</v>
      </c>
      <c r="D922" s="111"/>
      <c r="E922" s="111"/>
      <c r="F922" s="111" t="s">
        <v>12393</v>
      </c>
      <c r="G922" s="111" t="s">
        <v>12381</v>
      </c>
      <c r="H922" s="111" t="s">
        <v>12230</v>
      </c>
      <c r="I922" s="111" t="s">
        <v>12394</v>
      </c>
      <c r="J922" s="111" t="s">
        <v>12292</v>
      </c>
      <c r="K922" s="111" t="s">
        <v>30</v>
      </c>
      <c r="L922" s="111">
        <v>1.0</v>
      </c>
      <c r="M922" s="111"/>
      <c r="N922" s="111"/>
      <c r="O922" s="111"/>
      <c r="P922" s="111"/>
      <c r="Q922" s="111"/>
      <c r="R922" s="111"/>
      <c r="S922" s="111"/>
      <c r="T922" s="111"/>
      <c r="U922" s="111"/>
      <c r="V922" s="111"/>
      <c r="W922" s="111"/>
      <c r="X922" s="111"/>
      <c r="Y922" s="111"/>
      <c r="Z922" s="111" t="s">
        <v>13654</v>
      </c>
      <c r="AA922" s="126">
        <f>IF(Projects!$AI922="Electrolysis",
AB922*VLOOKUP(G922,ElectrolysisConvF,3,FALSE),
"")</f>
        <v>28.8594736</v>
      </c>
      <c r="AB922" s="125">
        <f t="shared" ref="AB922:AB923" si="176">AC922/(H2dens*HoursInYear/10^6)</f>
        <v>6413.216356</v>
      </c>
      <c r="AC922" s="126">
        <v>5.0</v>
      </c>
      <c r="AD922" s="125"/>
      <c r="AE922" s="125">
        <f t="shared" si="175"/>
        <v>6413.216356</v>
      </c>
      <c r="AF922" s="127" t="s">
        <v>13655</v>
      </c>
      <c r="AG922" s="127">
        <v>27.3774751602916</v>
      </c>
      <c r="AH922" s="127">
        <v>77.6858606999124</v>
      </c>
      <c r="AI922" s="115" t="s">
        <v>12383</v>
      </c>
      <c r="AJ922" s="116">
        <v>0.4</v>
      </c>
      <c r="AK922" s="117"/>
      <c r="AL922" s="117"/>
      <c r="AM922" s="117"/>
      <c r="AN922" s="117"/>
      <c r="AO922" s="117"/>
    </row>
    <row r="923" ht="34.5" customHeight="1">
      <c r="A923" s="111">
        <v>1400.0</v>
      </c>
      <c r="B923" s="111" t="s">
        <v>8923</v>
      </c>
      <c r="C923" s="111" t="s">
        <v>8108</v>
      </c>
      <c r="D923" s="111">
        <v>2028.0</v>
      </c>
      <c r="E923" s="111"/>
      <c r="F923" s="111" t="s">
        <v>12399</v>
      </c>
      <c r="G923" s="111" t="s">
        <v>12381</v>
      </c>
      <c r="H923" s="111" t="s">
        <v>12230</v>
      </c>
      <c r="I923" s="111" t="s">
        <v>12394</v>
      </c>
      <c r="J923" s="111" t="s">
        <v>12296</v>
      </c>
      <c r="K923" s="111" t="s">
        <v>30</v>
      </c>
      <c r="L923" s="111">
        <v>1.0</v>
      </c>
      <c r="M923" s="111"/>
      <c r="N923" s="111"/>
      <c r="O923" s="111"/>
      <c r="P923" s="111"/>
      <c r="Q923" s="111"/>
      <c r="R923" s="111"/>
      <c r="S923" s="111"/>
      <c r="T923" s="111"/>
      <c r="U923" s="111"/>
      <c r="V923" s="111"/>
      <c r="W923" s="111"/>
      <c r="X923" s="111"/>
      <c r="Y923" s="111"/>
      <c r="Z923" s="111" t="s">
        <v>13656</v>
      </c>
      <c r="AA923" s="126">
        <f>IF(Projects!$AI923="Electrolysis",
AB923*VLOOKUP(G923,ElectrolysisConvF,3,FALSE),
"")</f>
        <v>115.4378944</v>
      </c>
      <c r="AB923" s="125">
        <f t="shared" si="176"/>
        <v>25652.86543</v>
      </c>
      <c r="AC923" s="125">
        <f>(10/Projects!$AJ923)</f>
        <v>20</v>
      </c>
      <c r="AD923" s="125"/>
      <c r="AE923" s="125">
        <f t="shared" si="175"/>
        <v>25652.86543</v>
      </c>
      <c r="AF923" s="127" t="s">
        <v>13657</v>
      </c>
      <c r="AG923" s="127">
        <v>29.4770591757446</v>
      </c>
      <c r="AH923" s="127">
        <v>76.8812315263293</v>
      </c>
      <c r="AI923" s="115" t="s">
        <v>12383</v>
      </c>
      <c r="AJ923" s="116">
        <v>0.5</v>
      </c>
      <c r="AK923" s="117"/>
      <c r="AL923" s="117"/>
      <c r="AM923" s="117"/>
      <c r="AN923" s="117"/>
      <c r="AO923" s="117"/>
    </row>
    <row r="924" ht="34.5" customHeight="1">
      <c r="A924" s="111">
        <v>1401.0</v>
      </c>
      <c r="B924" s="111" t="s">
        <v>8924</v>
      </c>
      <c r="C924" s="111" t="s">
        <v>8011</v>
      </c>
      <c r="D924" s="111">
        <v>2025.0</v>
      </c>
      <c r="E924" s="111"/>
      <c r="F924" s="111" t="s">
        <v>12399</v>
      </c>
      <c r="G924" s="111" t="s">
        <v>12224</v>
      </c>
      <c r="H924" s="111"/>
      <c r="I924" s="111" t="s">
        <v>12406</v>
      </c>
      <c r="J924" s="111"/>
      <c r="K924" s="111" t="s">
        <v>30</v>
      </c>
      <c r="L924" s="111"/>
      <c r="M924" s="111"/>
      <c r="N924" s="111"/>
      <c r="O924" s="111"/>
      <c r="P924" s="111"/>
      <c r="Q924" s="111">
        <v>1.0</v>
      </c>
      <c r="R924" s="111"/>
      <c r="S924" s="111"/>
      <c r="T924" s="111"/>
      <c r="U924" s="111"/>
      <c r="V924" s="111"/>
      <c r="W924" s="111"/>
      <c r="X924" s="111"/>
      <c r="Y924" s="111"/>
      <c r="Z924" s="111" t="s">
        <v>12752</v>
      </c>
      <c r="AA924" s="124">
        <v>2.0</v>
      </c>
      <c r="AB924" s="125">
        <f>IF(Projects!$AI924="Electrolysis",
AA924/VLOOKUP(G924,ElectrolysisConvF,3,FALSE),
AC924*10^6/(H2dens*HoursInYear))</f>
        <v>434.7826087</v>
      </c>
      <c r="AC924" s="126">
        <f>AB924*H2dens*HoursInYear/10^6</f>
        <v>0.338973913</v>
      </c>
      <c r="AD924" s="125"/>
      <c r="AE924" s="125">
        <f>AB924</f>
        <v>434.7826087</v>
      </c>
      <c r="AF924" s="127" t="s">
        <v>12927</v>
      </c>
      <c r="AG924" s="127">
        <v>47.7974450087896</v>
      </c>
      <c r="AH924" s="127">
        <v>3.56626991557318</v>
      </c>
      <c r="AI924" s="115" t="s">
        <v>12383</v>
      </c>
      <c r="AJ924" s="116">
        <v>0.57</v>
      </c>
      <c r="AK924" s="117"/>
      <c r="AL924" s="117"/>
      <c r="AM924" s="117"/>
      <c r="AN924" s="117"/>
      <c r="AO924" s="117"/>
    </row>
    <row r="925" ht="34.5" customHeight="1">
      <c r="A925" s="111">
        <v>1402.0</v>
      </c>
      <c r="B925" s="111" t="s">
        <v>8925</v>
      </c>
      <c r="C925" s="111" t="s">
        <v>8147</v>
      </c>
      <c r="D925" s="111">
        <v>2022.0</v>
      </c>
      <c r="E925" s="111"/>
      <c r="F925" s="111" t="s">
        <v>12418</v>
      </c>
      <c r="G925" s="111" t="s">
        <v>12381</v>
      </c>
      <c r="H925" s="111" t="s">
        <v>12230</v>
      </c>
      <c r="I925" s="111" t="s">
        <v>12287</v>
      </c>
      <c r="J925" s="111"/>
      <c r="K925" s="111" t="s">
        <v>30</v>
      </c>
      <c r="L925" s="111"/>
      <c r="M925" s="111"/>
      <c r="N925" s="111"/>
      <c r="O925" s="111"/>
      <c r="P925" s="111"/>
      <c r="Q925" s="111">
        <v>1.0</v>
      </c>
      <c r="R925" s="111"/>
      <c r="S925" s="111"/>
      <c r="T925" s="111"/>
      <c r="U925" s="111"/>
      <c r="V925" s="111"/>
      <c r="W925" s="111"/>
      <c r="X925" s="111"/>
      <c r="Y925" s="111"/>
      <c r="Z925" s="111" t="s">
        <v>13658</v>
      </c>
      <c r="AA925" s="126">
        <f>IF(Projects!$AI925="Electrolysis",
AB925*VLOOKUP(G925,ElectrolysisConvF,3,FALSE),
"")</f>
        <v>0.9480337079</v>
      </c>
      <c r="AB925" s="125">
        <f>AC925/(H2dens*HoursInYear/10^6)</f>
        <v>210.6741573</v>
      </c>
      <c r="AC925" s="126">
        <f>450*365/10^6</f>
        <v>0.16425</v>
      </c>
      <c r="AD925" s="125"/>
      <c r="AE925" s="125">
        <f t="shared" ref="AE925:AE938" si="177">IF(AND(G925&lt;&gt;"NG w CCUS",G925&lt;&gt;"Oil w CCUS",G925&lt;&gt;"Coal w CCUS"),AB925,AD925*10^3/(HoursInYear*IF(G925="NG w CCUS",0.9105,1.9075)))</f>
        <v>210.6741573</v>
      </c>
      <c r="AF925" s="127" t="s">
        <v>13659</v>
      </c>
      <c r="AG925" s="127">
        <v>-36.8465417230633</v>
      </c>
      <c r="AH925" s="127">
        <v>174.785640463253</v>
      </c>
      <c r="AI925" s="115" t="s">
        <v>12383</v>
      </c>
      <c r="AJ925" s="116">
        <v>0.57</v>
      </c>
      <c r="AK925" s="117"/>
      <c r="AL925" s="117"/>
      <c r="AM925" s="117"/>
      <c r="AN925" s="117"/>
      <c r="AO925" s="117"/>
    </row>
    <row r="926" ht="34.5" customHeight="1">
      <c r="A926" s="111">
        <v>1403.0</v>
      </c>
      <c r="B926" s="111" t="s">
        <v>8926</v>
      </c>
      <c r="C926" s="111" t="s">
        <v>7991</v>
      </c>
      <c r="D926" s="111">
        <v>2027.0</v>
      </c>
      <c r="E926" s="111"/>
      <c r="F926" s="111" t="s">
        <v>12393</v>
      </c>
      <c r="G926" s="111" t="s">
        <v>12381</v>
      </c>
      <c r="H926" s="111" t="s">
        <v>12230</v>
      </c>
      <c r="I926" s="111" t="s">
        <v>12394</v>
      </c>
      <c r="J926" s="111" t="s">
        <v>12296</v>
      </c>
      <c r="K926" s="111" t="s">
        <v>30</v>
      </c>
      <c r="L926" s="111"/>
      <c r="M926" s="111"/>
      <c r="N926" s="111"/>
      <c r="O926" s="111"/>
      <c r="P926" s="111">
        <v>1.0</v>
      </c>
      <c r="Q926" s="111">
        <v>1.0</v>
      </c>
      <c r="R926" s="111"/>
      <c r="S926" s="111"/>
      <c r="T926" s="111"/>
      <c r="U926" s="111"/>
      <c r="V926" s="111"/>
      <c r="W926" s="111"/>
      <c r="X926" s="111"/>
      <c r="Y926" s="111"/>
      <c r="Z926" s="111" t="s">
        <v>12411</v>
      </c>
      <c r="AA926" s="124">
        <v>20.0</v>
      </c>
      <c r="AB926" s="125">
        <f>IF(Projects!$AI926="Electrolysis",
AA926/VLOOKUP(G926,ElectrolysisConvF,3,FALSE),
AC926*10^6/(H2dens*HoursInYear))</f>
        <v>4444.444444</v>
      </c>
      <c r="AC926" s="126">
        <f>AB926*H2dens*HoursInYear/10^6</f>
        <v>3.465066667</v>
      </c>
      <c r="AD926" s="125"/>
      <c r="AE926" s="125">
        <f t="shared" si="177"/>
        <v>4444.444444</v>
      </c>
      <c r="AF926" s="127" t="s">
        <v>13660</v>
      </c>
      <c r="AG926" s="127">
        <v>51.5861725490326</v>
      </c>
      <c r="AH926" s="127">
        <v>-2.84666909033039</v>
      </c>
      <c r="AI926" s="115" t="s">
        <v>12383</v>
      </c>
      <c r="AJ926" s="116">
        <v>0.5</v>
      </c>
      <c r="AK926" s="117"/>
      <c r="AL926" s="117"/>
      <c r="AM926" s="117"/>
      <c r="AN926" s="117"/>
      <c r="AO926" s="117"/>
    </row>
    <row r="927" ht="34.5" customHeight="1">
      <c r="A927" s="111">
        <v>1404.0</v>
      </c>
      <c r="B927" s="111" t="s">
        <v>8927</v>
      </c>
      <c r="C927" s="111" t="s">
        <v>7981</v>
      </c>
      <c r="D927" s="111">
        <v>2025.0</v>
      </c>
      <c r="E927" s="111"/>
      <c r="F927" s="111" t="s">
        <v>12399</v>
      </c>
      <c r="G927" s="111" t="s">
        <v>12381</v>
      </c>
      <c r="H927" s="111" t="s">
        <v>12230</v>
      </c>
      <c r="I927" s="111" t="s">
        <v>12394</v>
      </c>
      <c r="J927" s="111" t="s">
        <v>12296</v>
      </c>
      <c r="K927" s="111" t="s">
        <v>30</v>
      </c>
      <c r="L927" s="111"/>
      <c r="M927" s="111"/>
      <c r="N927" s="111"/>
      <c r="O927" s="111"/>
      <c r="P927" s="111"/>
      <c r="Q927" s="111"/>
      <c r="R927" s="111"/>
      <c r="S927" s="111"/>
      <c r="T927" s="111"/>
      <c r="U927" s="111"/>
      <c r="V927" s="111"/>
      <c r="W927" s="111"/>
      <c r="X927" s="111"/>
      <c r="Y927" s="111"/>
      <c r="Z927" s="111" t="s">
        <v>13661</v>
      </c>
      <c r="AA927" s="126">
        <f>IF(Projects!$AI927="Electrolysis",
AB927*VLOOKUP(G927,ElectrolysisConvF,3,FALSE),
"")</f>
        <v>634.9084193</v>
      </c>
      <c r="AB927" s="125">
        <f>AC927/(H2dens*HoursInYear/10^6)</f>
        <v>141090.7598</v>
      </c>
      <c r="AC927" s="126">
        <v>110.0</v>
      </c>
      <c r="AD927" s="125"/>
      <c r="AE927" s="125">
        <f t="shared" si="177"/>
        <v>141090.7598</v>
      </c>
      <c r="AF927" s="127" t="s">
        <v>13662</v>
      </c>
      <c r="AG927" s="127">
        <v>33.7229054029132</v>
      </c>
      <c r="AH927" s="127">
        <v>-90.0279269337475</v>
      </c>
      <c r="AI927" s="115" t="s">
        <v>12383</v>
      </c>
      <c r="AJ927" s="116">
        <v>0.5</v>
      </c>
      <c r="AK927" s="117"/>
      <c r="AL927" s="117"/>
      <c r="AM927" s="117"/>
      <c r="AN927" s="117"/>
      <c r="AO927" s="117"/>
    </row>
    <row r="928" ht="34.5" customHeight="1">
      <c r="A928" s="111">
        <v>1405.0</v>
      </c>
      <c r="B928" s="111" t="s">
        <v>8928</v>
      </c>
      <c r="C928" s="111" t="s">
        <v>8003</v>
      </c>
      <c r="D928" s="111"/>
      <c r="E928" s="111"/>
      <c r="F928" s="111" t="s">
        <v>12397</v>
      </c>
      <c r="G928" s="111" t="s">
        <v>12381</v>
      </c>
      <c r="H928" s="111" t="s">
        <v>12230</v>
      </c>
      <c r="I928" s="111" t="s">
        <v>12394</v>
      </c>
      <c r="J928" s="111" t="s">
        <v>12295</v>
      </c>
      <c r="K928" s="111" t="s">
        <v>30</v>
      </c>
      <c r="L928" s="111"/>
      <c r="M928" s="111"/>
      <c r="N928" s="111"/>
      <c r="O928" s="111"/>
      <c r="P928" s="111"/>
      <c r="Q928" s="111"/>
      <c r="R928" s="111"/>
      <c r="S928" s="111"/>
      <c r="T928" s="111"/>
      <c r="U928" s="111"/>
      <c r="V928" s="111"/>
      <c r="W928" s="111"/>
      <c r="X928" s="111"/>
      <c r="Y928" s="111"/>
      <c r="Z928" s="111"/>
      <c r="AA928" s="124"/>
      <c r="AB928" s="125"/>
      <c r="AC928" s="126"/>
      <c r="AD928" s="125"/>
      <c r="AE928" s="125" t="str">
        <f t="shared" si="177"/>
        <v/>
      </c>
      <c r="AF928" s="127" t="s">
        <v>13663</v>
      </c>
      <c r="AG928" s="127">
        <v>49.5514647354486</v>
      </c>
      <c r="AH928" s="127">
        <v>-114.724933064579</v>
      </c>
      <c r="AI928" s="115" t="s">
        <v>12383</v>
      </c>
      <c r="AJ928" s="116">
        <v>0.5</v>
      </c>
      <c r="AK928" s="117"/>
      <c r="AL928" s="117"/>
      <c r="AM928" s="117"/>
      <c r="AN928" s="117"/>
      <c r="AO928" s="117"/>
    </row>
    <row r="929" ht="34.5" customHeight="1">
      <c r="A929" s="111">
        <v>1406.0</v>
      </c>
      <c r="B929" s="111" t="s">
        <v>8929</v>
      </c>
      <c r="C929" s="111" t="s">
        <v>7991</v>
      </c>
      <c r="D929" s="111">
        <v>2026.0</v>
      </c>
      <c r="E929" s="111"/>
      <c r="F929" s="111" t="s">
        <v>12399</v>
      </c>
      <c r="G929" s="111" t="s">
        <v>12226</v>
      </c>
      <c r="H929" s="111"/>
      <c r="I929" s="111" t="s">
        <v>12394</v>
      </c>
      <c r="J929" s="111" t="s">
        <v>12296</v>
      </c>
      <c r="K929" s="111" t="s">
        <v>30</v>
      </c>
      <c r="L929" s="111"/>
      <c r="M929" s="111"/>
      <c r="N929" s="111"/>
      <c r="O929" s="111"/>
      <c r="P929" s="111">
        <v>1.0</v>
      </c>
      <c r="Q929" s="111"/>
      <c r="R929" s="111"/>
      <c r="S929" s="111"/>
      <c r="T929" s="111"/>
      <c r="U929" s="111"/>
      <c r="V929" s="111"/>
      <c r="W929" s="111"/>
      <c r="X929" s="111"/>
      <c r="Y929" s="111"/>
      <c r="Z929" s="111" t="s">
        <v>13664</v>
      </c>
      <c r="AA929" s="124">
        <f>68.8-AA2360</f>
        <v>66.3</v>
      </c>
      <c r="AB929" s="125">
        <f>IF(Projects!$AI929="Electrolysis",
AA929/VLOOKUP(G929,ElectrolysisConvF,3,FALSE),
AC929*10^6/(H2dens*HoursInYear))</f>
        <v>12750</v>
      </c>
      <c r="AC929" s="126">
        <f t="shared" ref="AC929:AC931" si="178">AB929*H2dens*HoursInYear/10^6</f>
        <v>9.94041</v>
      </c>
      <c r="AD929" s="125"/>
      <c r="AE929" s="125">
        <f t="shared" si="177"/>
        <v>12750</v>
      </c>
      <c r="AF929" s="127" t="s">
        <v>13665</v>
      </c>
      <c r="AG929" s="127">
        <v>54.5867498663309</v>
      </c>
      <c r="AH929" s="127">
        <v>-1.22874664648219</v>
      </c>
      <c r="AI929" s="115" t="s">
        <v>12383</v>
      </c>
      <c r="AJ929" s="116">
        <v>0.5</v>
      </c>
      <c r="AK929" s="117"/>
      <c r="AL929" s="117"/>
      <c r="AM929" s="117"/>
      <c r="AN929" s="117"/>
      <c r="AO929" s="117"/>
    </row>
    <row r="930" ht="34.5" customHeight="1">
      <c r="A930" s="111">
        <v>1409.0</v>
      </c>
      <c r="B930" s="111" t="s">
        <v>8930</v>
      </c>
      <c r="C930" s="111" t="s">
        <v>8047</v>
      </c>
      <c r="D930" s="111">
        <v>2027.0</v>
      </c>
      <c r="E930" s="111"/>
      <c r="F930" s="145" t="s">
        <v>12399</v>
      </c>
      <c r="G930" s="145" t="s">
        <v>12381</v>
      </c>
      <c r="H930" s="145" t="s">
        <v>12230</v>
      </c>
      <c r="I930" s="111" t="s">
        <v>12394</v>
      </c>
      <c r="J930" s="111" t="s">
        <v>12291</v>
      </c>
      <c r="K930" s="111" t="s">
        <v>30</v>
      </c>
      <c r="L930" s="111"/>
      <c r="M930" s="111"/>
      <c r="N930" s="111"/>
      <c r="O930" s="111">
        <v>1.0</v>
      </c>
      <c r="P930" s="111">
        <v>1.0</v>
      </c>
      <c r="Q930" s="111"/>
      <c r="R930" s="111"/>
      <c r="S930" s="111">
        <v>1.0</v>
      </c>
      <c r="T930" s="111"/>
      <c r="U930" s="111"/>
      <c r="V930" s="111"/>
      <c r="W930" s="111"/>
      <c r="X930" s="111"/>
      <c r="Y930" s="111"/>
      <c r="Z930" s="111" t="s">
        <v>13066</v>
      </c>
      <c r="AA930" s="124">
        <v>60.0</v>
      </c>
      <c r="AB930" s="125">
        <f>IF(Projects!$AI930="Electrolysis",
AA930/VLOOKUP(G930,ElectrolysisConvF,3,FALSE),
AC930*10^6/(H2dens*HoursInYear))</f>
        <v>13333.33333</v>
      </c>
      <c r="AC930" s="126">
        <f t="shared" si="178"/>
        <v>10.3952</v>
      </c>
      <c r="AD930" s="125"/>
      <c r="AE930" s="125">
        <f t="shared" si="177"/>
        <v>13333.33333</v>
      </c>
      <c r="AF930" s="127" t="s">
        <v>13666</v>
      </c>
      <c r="AG930" s="127">
        <v>40.6326504175945</v>
      </c>
      <c r="AH930" s="127">
        <v>17.9416778501729</v>
      </c>
      <c r="AI930" s="115" t="s">
        <v>12383</v>
      </c>
      <c r="AJ930" s="116">
        <v>0.3</v>
      </c>
      <c r="AK930" s="117"/>
      <c r="AL930" s="117"/>
      <c r="AM930" s="117"/>
      <c r="AN930" s="117"/>
      <c r="AO930" s="117"/>
    </row>
    <row r="931" ht="34.5" customHeight="1">
      <c r="A931" s="111">
        <v>1410.0</v>
      </c>
      <c r="B931" s="111" t="s">
        <v>8931</v>
      </c>
      <c r="C931" s="111" t="s">
        <v>7981</v>
      </c>
      <c r="D931" s="111">
        <v>2025.0</v>
      </c>
      <c r="E931" s="111"/>
      <c r="F931" s="111" t="s">
        <v>12393</v>
      </c>
      <c r="G931" s="111" t="s">
        <v>12226</v>
      </c>
      <c r="H931" s="111"/>
      <c r="I931" s="111" t="s">
        <v>12394</v>
      </c>
      <c r="J931" s="111" t="s">
        <v>12294</v>
      </c>
      <c r="K931" s="111" t="s">
        <v>30</v>
      </c>
      <c r="L931" s="111"/>
      <c r="M931" s="111"/>
      <c r="N931" s="111"/>
      <c r="O931" s="111"/>
      <c r="P931" s="111"/>
      <c r="Q931" s="111"/>
      <c r="R931" s="111"/>
      <c r="S931" s="111"/>
      <c r="T931" s="111"/>
      <c r="U931" s="111"/>
      <c r="V931" s="111"/>
      <c r="W931" s="111"/>
      <c r="X931" s="111"/>
      <c r="Y931" s="111"/>
      <c r="Z931" s="111" t="s">
        <v>13667</v>
      </c>
      <c r="AA931" s="124">
        <v>35.0</v>
      </c>
      <c r="AB931" s="125">
        <f>IF(Projects!$AI931="Electrolysis",
AA931/VLOOKUP(G931,ElectrolysisConvF,3,FALSE),
AC931*10^6/(H2dens*HoursInYear))</f>
        <v>6730.769231</v>
      </c>
      <c r="AC931" s="126">
        <f t="shared" si="178"/>
        <v>5.247576923</v>
      </c>
      <c r="AD931" s="125"/>
      <c r="AE931" s="125">
        <f t="shared" si="177"/>
        <v>6730.769231</v>
      </c>
      <c r="AF931" s="127" t="s">
        <v>13668</v>
      </c>
      <c r="AG931" s="127">
        <v>43.0984863600474</v>
      </c>
      <c r="AH931" s="127">
        <v>-79.0617535355327</v>
      </c>
      <c r="AI931" s="115" t="s">
        <v>12383</v>
      </c>
      <c r="AJ931" s="116">
        <v>0.8</v>
      </c>
      <c r="AK931" s="117"/>
      <c r="AL931" s="117"/>
      <c r="AM931" s="117"/>
      <c r="AN931" s="117"/>
      <c r="AO931" s="117"/>
    </row>
    <row r="932" ht="34.5" customHeight="1">
      <c r="A932" s="111">
        <v>1411.0</v>
      </c>
      <c r="B932" s="111" t="s">
        <v>8932</v>
      </c>
      <c r="C932" s="111" t="s">
        <v>8539</v>
      </c>
      <c r="D932" s="111">
        <v>2023.0</v>
      </c>
      <c r="E932" s="111"/>
      <c r="F932" s="111" t="s">
        <v>12385</v>
      </c>
      <c r="G932" s="111" t="s">
        <v>12235</v>
      </c>
      <c r="H932" s="111" t="s">
        <v>13373</v>
      </c>
      <c r="I932" s="111"/>
      <c r="J932" s="111"/>
      <c r="K932" s="111" t="s">
        <v>30</v>
      </c>
      <c r="L932" s="111"/>
      <c r="M932" s="111"/>
      <c r="N932" s="111"/>
      <c r="O932" s="111"/>
      <c r="P932" s="111"/>
      <c r="Q932" s="111">
        <v>1.0</v>
      </c>
      <c r="R932" s="111"/>
      <c r="S932" s="111"/>
      <c r="T932" s="111"/>
      <c r="U932" s="111"/>
      <c r="V932" s="111"/>
      <c r="W932" s="111"/>
      <c r="X932" s="111"/>
      <c r="Y932" s="111"/>
      <c r="Z932" s="111" t="s">
        <v>13669</v>
      </c>
      <c r="AA932" s="124"/>
      <c r="AB932" s="125">
        <f>IF(Projects!$AI932="Electrolysis",
AA932/VLOOKUP(G932,ElectrolysisConvF,3,FALSE),
AC932*10^6/(H2dens*HoursInYear))</f>
        <v>2340.82397</v>
      </c>
      <c r="AC932" s="126">
        <f>5*365/1000</f>
        <v>1.825</v>
      </c>
      <c r="AD932" s="125">
        <f>48*365</f>
        <v>17520</v>
      </c>
      <c r="AE932" s="125">
        <f t="shared" si="177"/>
        <v>2196.595277</v>
      </c>
      <c r="AF932" s="127" t="s">
        <v>13670</v>
      </c>
      <c r="AG932" s="127">
        <v>35.188031529192</v>
      </c>
      <c r="AH932" s="127">
        <v>128.590753691688</v>
      </c>
      <c r="AI932" s="115" t="s">
        <v>12378</v>
      </c>
      <c r="AJ932" s="116">
        <v>0.9</v>
      </c>
      <c r="AK932" s="117"/>
      <c r="AL932" s="117"/>
      <c r="AM932" s="117"/>
      <c r="AN932" s="117"/>
      <c r="AO932" s="117"/>
    </row>
    <row r="933" ht="34.5" customHeight="1">
      <c r="A933" s="111">
        <v>1412.0</v>
      </c>
      <c r="B933" s="111" t="s">
        <v>8933</v>
      </c>
      <c r="C933" s="111" t="s">
        <v>8021</v>
      </c>
      <c r="D933" s="111"/>
      <c r="E933" s="111"/>
      <c r="F933" s="111" t="s">
        <v>12397</v>
      </c>
      <c r="G933" s="111" t="s">
        <v>12239</v>
      </c>
      <c r="H933" s="111" t="s">
        <v>13079</v>
      </c>
      <c r="I933" s="111"/>
      <c r="J933" s="111"/>
      <c r="K933" s="111" t="s">
        <v>30</v>
      </c>
      <c r="L933" s="111"/>
      <c r="M933" s="111"/>
      <c r="N933" s="111"/>
      <c r="O933" s="111"/>
      <c r="P933" s="111"/>
      <c r="Q933" s="111"/>
      <c r="R933" s="111"/>
      <c r="S933" s="111"/>
      <c r="T933" s="111"/>
      <c r="U933" s="111"/>
      <c r="V933" s="111"/>
      <c r="W933" s="111"/>
      <c r="X933" s="111"/>
      <c r="Y933" s="111"/>
      <c r="Z933" s="111"/>
      <c r="AA933" s="124"/>
      <c r="AB933" s="125"/>
      <c r="AC933" s="126"/>
      <c r="AD933" s="125"/>
      <c r="AE933" s="125" t="str">
        <f t="shared" si="177"/>
        <v/>
      </c>
      <c r="AF933" s="127" t="s">
        <v>13671</v>
      </c>
      <c r="AG933" s="127">
        <v>-32.4815540849408</v>
      </c>
      <c r="AH933" s="127">
        <v>151.050595914068</v>
      </c>
      <c r="AI933" s="115" t="s">
        <v>12241</v>
      </c>
      <c r="AJ933" s="116">
        <v>0.9</v>
      </c>
      <c r="AK933" s="117"/>
      <c r="AL933" s="117"/>
      <c r="AM933" s="117"/>
      <c r="AN933" s="117"/>
      <c r="AO933" s="117"/>
    </row>
    <row r="934" ht="34.5" customHeight="1">
      <c r="A934" s="111">
        <v>1413.0</v>
      </c>
      <c r="B934" s="111" t="s">
        <v>8934</v>
      </c>
      <c r="C934" s="111" t="s">
        <v>7987</v>
      </c>
      <c r="D934" s="111">
        <v>2030.0</v>
      </c>
      <c r="E934" s="111"/>
      <c r="F934" s="111" t="s">
        <v>12399</v>
      </c>
      <c r="G934" s="111" t="s">
        <v>12381</v>
      </c>
      <c r="H934" s="111" t="s">
        <v>12230</v>
      </c>
      <c r="I934" s="111" t="s">
        <v>12394</v>
      </c>
      <c r="J934" s="111" t="s">
        <v>12296</v>
      </c>
      <c r="K934" s="111" t="s">
        <v>30</v>
      </c>
      <c r="L934" s="111"/>
      <c r="M934" s="111"/>
      <c r="N934" s="111"/>
      <c r="O934" s="111">
        <v>1.0</v>
      </c>
      <c r="P934" s="111">
        <v>1.0</v>
      </c>
      <c r="Q934" s="111"/>
      <c r="R934" s="111"/>
      <c r="S934" s="111"/>
      <c r="T934" s="111"/>
      <c r="U934" s="111"/>
      <c r="V934" s="111"/>
      <c r="W934" s="111"/>
      <c r="X934" s="111"/>
      <c r="Y934" s="111"/>
      <c r="Z934" s="111" t="s">
        <v>13672</v>
      </c>
      <c r="AA934" s="124">
        <v>340.0</v>
      </c>
      <c r="AB934" s="125">
        <f>IF(Projects!$AI934="Electrolysis",
AA934/VLOOKUP(G934,ElectrolysisConvF,3,FALSE),
AC934*10^6/(H2dens*HoursInYear))</f>
        <v>75555.55556</v>
      </c>
      <c r="AC934" s="126">
        <f>AB934*H2dens*HoursInYear/10^6</f>
        <v>58.90613333</v>
      </c>
      <c r="AD934" s="125"/>
      <c r="AE934" s="125">
        <f t="shared" si="177"/>
        <v>75555.55556</v>
      </c>
      <c r="AF934" s="127" t="s">
        <v>13201</v>
      </c>
      <c r="AG934" s="127">
        <v>53.5295406441506</v>
      </c>
      <c r="AH934" s="127">
        <v>8.12969320043866</v>
      </c>
      <c r="AI934" s="115" t="s">
        <v>12383</v>
      </c>
      <c r="AJ934" s="116">
        <v>0.5</v>
      </c>
      <c r="AK934" s="117"/>
      <c r="AL934" s="117"/>
      <c r="AM934" s="117"/>
      <c r="AN934" s="117"/>
      <c r="AO934" s="117"/>
    </row>
    <row r="935" ht="34.5" customHeight="1">
      <c r="A935" s="111">
        <v>1414.0</v>
      </c>
      <c r="B935" s="111" t="s">
        <v>8935</v>
      </c>
      <c r="C935" s="111" t="s">
        <v>7974</v>
      </c>
      <c r="D935" s="111">
        <v>2027.0</v>
      </c>
      <c r="E935" s="111"/>
      <c r="F935" s="111" t="s">
        <v>12399</v>
      </c>
      <c r="G935" s="111" t="s">
        <v>12381</v>
      </c>
      <c r="H935" s="111" t="s">
        <v>12230</v>
      </c>
      <c r="I935" s="111" t="s">
        <v>12288</v>
      </c>
      <c r="J935" s="111"/>
      <c r="K935" s="111" t="s">
        <v>12251</v>
      </c>
      <c r="L935" s="111"/>
      <c r="M935" s="111"/>
      <c r="N935" s="111"/>
      <c r="O935" s="111"/>
      <c r="P935" s="111"/>
      <c r="Q935" s="111"/>
      <c r="R935" s="111"/>
      <c r="S935" s="111"/>
      <c r="T935" s="111"/>
      <c r="U935" s="111"/>
      <c r="V935" s="111"/>
      <c r="W935" s="111">
        <v>1.0</v>
      </c>
      <c r="X935" s="111"/>
      <c r="Y935" s="111"/>
      <c r="Z935" s="111" t="s">
        <v>13673</v>
      </c>
      <c r="AA935" s="126">
        <f>IF(Projects!$AI935="Electrolysis",
AB935*VLOOKUP(G935,ElectrolysisConvF,3,FALSE),
"")</f>
        <v>303.9139772</v>
      </c>
      <c r="AB935" s="125">
        <f>AC935/(H2dens*HoursInYear/10^6)</f>
        <v>67536.43937</v>
      </c>
      <c r="AC935" s="126">
        <f>82*0.045/0.73/0.12/Projects!$AJ935</f>
        <v>52.65410959</v>
      </c>
      <c r="AD935" s="125"/>
      <c r="AE935" s="125">
        <f t="shared" si="177"/>
        <v>67536.43937</v>
      </c>
      <c r="AF935" s="127" t="s">
        <v>13674</v>
      </c>
      <c r="AG935" s="127">
        <v>60.3692750686876</v>
      </c>
      <c r="AH935" s="127">
        <v>18.1602595098593</v>
      </c>
      <c r="AI935" s="115" t="s">
        <v>12383</v>
      </c>
      <c r="AJ935" s="116">
        <v>0.8</v>
      </c>
      <c r="AK935" s="117"/>
      <c r="AL935" s="117"/>
      <c r="AM935" s="117"/>
      <c r="AN935" s="117"/>
      <c r="AO935" s="117"/>
    </row>
    <row r="936" ht="34.5" customHeight="1">
      <c r="A936" s="111">
        <v>1415.0</v>
      </c>
      <c r="B936" s="111" t="s">
        <v>8936</v>
      </c>
      <c r="C936" s="111" t="s">
        <v>8388</v>
      </c>
      <c r="D936" s="111">
        <v>2024.0</v>
      </c>
      <c r="E936" s="111"/>
      <c r="F936" s="111" t="s">
        <v>12399</v>
      </c>
      <c r="G936" s="111" t="s">
        <v>12381</v>
      </c>
      <c r="H936" s="111" t="s">
        <v>12230</v>
      </c>
      <c r="I936" s="111" t="s">
        <v>12394</v>
      </c>
      <c r="J936" s="111" t="s">
        <v>12295</v>
      </c>
      <c r="K936" s="111" t="s">
        <v>174</v>
      </c>
      <c r="L936" s="111"/>
      <c r="M936" s="111">
        <v>1.0</v>
      </c>
      <c r="N936" s="111"/>
      <c r="O936" s="111"/>
      <c r="P936" s="111"/>
      <c r="Q936" s="111"/>
      <c r="R936" s="111"/>
      <c r="S936" s="111"/>
      <c r="T936" s="111"/>
      <c r="U936" s="111"/>
      <c r="V936" s="111"/>
      <c r="W936" s="111"/>
      <c r="X936" s="111"/>
      <c r="Y936" s="111"/>
      <c r="Z936" s="111" t="s">
        <v>13675</v>
      </c>
      <c r="AA936" s="124">
        <v>400.0</v>
      </c>
      <c r="AB936" s="125">
        <f>IF(Projects!$AI936="Electrolysis",
AA936/VLOOKUP(G936,ElectrolysisConvF,3,FALSE),
AC936*10^6/(H2dens*HoursInYear))</f>
        <v>88888.88889</v>
      </c>
      <c r="AC936" s="126">
        <f>AB936*H2dens*HoursInYear/10^6</f>
        <v>69.30133333</v>
      </c>
      <c r="AD936" s="125"/>
      <c r="AE936" s="125">
        <f t="shared" si="177"/>
        <v>88888.88889</v>
      </c>
      <c r="AF936" s="127" t="s">
        <v>13676</v>
      </c>
      <c r="AG936" s="127">
        <v>17.0233710422322</v>
      </c>
      <c r="AH936" s="127">
        <v>54.124774267586</v>
      </c>
      <c r="AI936" s="115" t="s">
        <v>12383</v>
      </c>
      <c r="AJ936" s="116">
        <v>0.5</v>
      </c>
      <c r="AK936" s="117"/>
      <c r="AL936" s="117"/>
      <c r="AM936" s="117"/>
      <c r="AN936" s="117"/>
      <c r="AO936" s="117"/>
    </row>
    <row r="937" ht="34.5" customHeight="1">
      <c r="A937" s="111">
        <v>1416.0</v>
      </c>
      <c r="B937" s="111" t="s">
        <v>8937</v>
      </c>
      <c r="C937" s="111" t="s">
        <v>7991</v>
      </c>
      <c r="D937" s="111">
        <v>2027.0</v>
      </c>
      <c r="E937" s="111"/>
      <c r="F937" s="111" t="s">
        <v>12399</v>
      </c>
      <c r="G937" s="111" t="s">
        <v>12235</v>
      </c>
      <c r="H937" s="111" t="s">
        <v>13160</v>
      </c>
      <c r="I937" s="111"/>
      <c r="J937" s="111"/>
      <c r="K937" s="111" t="s">
        <v>30</v>
      </c>
      <c r="L937" s="111"/>
      <c r="M937" s="111"/>
      <c r="N937" s="111"/>
      <c r="O937" s="111"/>
      <c r="P937" s="111"/>
      <c r="Q937" s="111"/>
      <c r="R937" s="111"/>
      <c r="S937" s="111"/>
      <c r="T937" s="111"/>
      <c r="U937" s="111"/>
      <c r="V937" s="111"/>
      <c r="W937" s="111"/>
      <c r="X937" s="111"/>
      <c r="Y937" s="111"/>
      <c r="Z937" s="111" t="s">
        <v>13677</v>
      </c>
      <c r="AA937" s="124"/>
      <c r="AB937" s="125">
        <f>IF(Projects!$AI937="Electrolysis",
AA937/VLOOKUP(G937,ElectrolysisConvF,3,FALSE),
AC937*10^6/(H2dens*HoursInYear))</f>
        <v>224157.3034</v>
      </c>
      <c r="AC937" s="126">
        <f>700*HoursInYear*0.95*3.6/120/1000</f>
        <v>174.762</v>
      </c>
      <c r="AD937" s="125">
        <v>1200000.0</v>
      </c>
      <c r="AE937" s="125">
        <f t="shared" si="177"/>
        <v>150451.7313</v>
      </c>
      <c r="AF937" s="127" t="s">
        <v>13678</v>
      </c>
      <c r="AG937" s="127">
        <v>51.5009866635143</v>
      </c>
      <c r="AH937" s="127">
        <v>0.562990963891857</v>
      </c>
      <c r="AI937" s="115" t="s">
        <v>12378</v>
      </c>
      <c r="AJ937" s="116">
        <v>0.9</v>
      </c>
      <c r="AK937" s="117"/>
      <c r="AL937" s="117"/>
      <c r="AM937" s="117"/>
      <c r="AN937" s="117"/>
      <c r="AO937" s="117"/>
    </row>
    <row r="938" ht="34.5" customHeight="1">
      <c r="A938" s="111">
        <v>1418.0</v>
      </c>
      <c r="B938" s="111" t="s">
        <v>8938</v>
      </c>
      <c r="C938" s="111" t="s">
        <v>8108</v>
      </c>
      <c r="D938" s="111">
        <v>2024.0</v>
      </c>
      <c r="E938" s="111"/>
      <c r="F938" s="111" t="s">
        <v>12393</v>
      </c>
      <c r="G938" s="111" t="s">
        <v>12226</v>
      </c>
      <c r="H938" s="111"/>
      <c r="I938" s="111" t="s">
        <v>12759</v>
      </c>
      <c r="J938" s="111" t="s">
        <v>12296</v>
      </c>
      <c r="K938" s="111" t="s">
        <v>12415</v>
      </c>
      <c r="L938" s="111"/>
      <c r="M938" s="111"/>
      <c r="N938" s="111">
        <v>1.0</v>
      </c>
      <c r="O938" s="111"/>
      <c r="P938" s="111"/>
      <c r="Q938" s="111"/>
      <c r="R938" s="111"/>
      <c r="S938" s="111"/>
      <c r="T938" s="111"/>
      <c r="U938" s="111"/>
      <c r="V938" s="111"/>
      <c r="W938" s="111"/>
      <c r="X938" s="111"/>
      <c r="Y938" s="111"/>
      <c r="Z938" s="111" t="s">
        <v>12835</v>
      </c>
      <c r="AA938" s="124">
        <v>5.0</v>
      </c>
      <c r="AB938" s="125">
        <f>IF(Projects!$AI938="Electrolysis",
AA938/VLOOKUP(G938,ElectrolysisConvF,3,FALSE),
AC938*10^6/(H2dens*HoursInYear))</f>
        <v>961.5384615</v>
      </c>
      <c r="AC938" s="126">
        <f t="shared" ref="AC938:AC940" si="179">AB938*H2dens*HoursInYear/10^6</f>
        <v>0.7496538462</v>
      </c>
      <c r="AD938" s="125"/>
      <c r="AE938" s="125">
        <f t="shared" si="177"/>
        <v>961.5384615</v>
      </c>
      <c r="AF938" s="127" t="s">
        <v>13679</v>
      </c>
      <c r="AG938" s="127">
        <v>25.1731488138469</v>
      </c>
      <c r="AH938" s="127">
        <v>82.5005445803328</v>
      </c>
      <c r="AI938" s="115" t="s">
        <v>12383</v>
      </c>
      <c r="AJ938" s="116">
        <v>0.7</v>
      </c>
      <c r="AK938" s="117"/>
      <c r="AL938" s="117"/>
      <c r="AM938" s="117"/>
      <c r="AN938" s="117"/>
      <c r="AO938" s="117"/>
    </row>
    <row r="939" ht="34.5" customHeight="1">
      <c r="A939" s="111">
        <v>1420.0</v>
      </c>
      <c r="B939" s="111" t="s">
        <v>8939</v>
      </c>
      <c r="C939" s="111" t="s">
        <v>8021</v>
      </c>
      <c r="D939" s="111"/>
      <c r="E939" s="111"/>
      <c r="F939" s="111" t="s">
        <v>12399</v>
      </c>
      <c r="G939" s="111" t="s">
        <v>12224</v>
      </c>
      <c r="H939" s="111"/>
      <c r="I939" s="111" t="s">
        <v>12394</v>
      </c>
      <c r="J939" s="111" t="s">
        <v>12295</v>
      </c>
      <c r="K939" s="111" t="s">
        <v>30</v>
      </c>
      <c r="L939" s="111"/>
      <c r="M939" s="111"/>
      <c r="N939" s="111"/>
      <c r="O939" s="111"/>
      <c r="P939" s="111">
        <v>1.0</v>
      </c>
      <c r="Q939" s="111">
        <v>1.0</v>
      </c>
      <c r="R939" s="111"/>
      <c r="S939" s="111"/>
      <c r="T939" s="111"/>
      <c r="U939" s="111"/>
      <c r="V939" s="111"/>
      <c r="W939" s="111"/>
      <c r="X939" s="111"/>
      <c r="Y939" s="111"/>
      <c r="Z939" s="111" t="s">
        <v>13680</v>
      </c>
      <c r="AA939" s="124">
        <v>45.0</v>
      </c>
      <c r="AB939" s="125">
        <f>IF(Projects!$AI939="Electrolysis",
AA939/VLOOKUP(G939,ElectrolysisConvF,3,FALSE),
AC939*10^6/(H2dens*HoursInYear))</f>
        <v>9782.608696</v>
      </c>
      <c r="AC939" s="126">
        <f t="shared" si="179"/>
        <v>7.626913043</v>
      </c>
      <c r="AD939" s="125"/>
      <c r="AE939" s="125">
        <f t="shared" ref="AE939:AE940" si="180">AB939</f>
        <v>9782.608696</v>
      </c>
      <c r="AF939" s="127" t="s">
        <v>13059</v>
      </c>
      <c r="AG939" s="127">
        <v>-29.2453428049818</v>
      </c>
      <c r="AH939" s="127">
        <v>114.934159115853</v>
      </c>
      <c r="AI939" s="115" t="s">
        <v>12383</v>
      </c>
      <c r="AJ939" s="116">
        <v>0.5</v>
      </c>
      <c r="AK939" s="117"/>
      <c r="AL939" s="117"/>
      <c r="AM939" s="117"/>
      <c r="AN939" s="117"/>
      <c r="AO939" s="117"/>
    </row>
    <row r="940" ht="34.5" customHeight="1">
      <c r="A940" s="111">
        <v>1421.0</v>
      </c>
      <c r="B940" s="111" t="s">
        <v>8940</v>
      </c>
      <c r="C940" s="111" t="s">
        <v>8021</v>
      </c>
      <c r="D940" s="111"/>
      <c r="E940" s="111"/>
      <c r="F940" s="111" t="s">
        <v>12397</v>
      </c>
      <c r="G940" s="111" t="s">
        <v>12381</v>
      </c>
      <c r="H940" s="111" t="s">
        <v>12230</v>
      </c>
      <c r="I940" s="111" t="s">
        <v>12394</v>
      </c>
      <c r="J940" s="111" t="s">
        <v>12296</v>
      </c>
      <c r="K940" s="111" t="s">
        <v>30</v>
      </c>
      <c r="L940" s="111"/>
      <c r="M940" s="111"/>
      <c r="N940" s="111"/>
      <c r="O940" s="111">
        <v>1.0</v>
      </c>
      <c r="P940" s="111"/>
      <c r="Q940" s="111"/>
      <c r="R940" s="111"/>
      <c r="S940" s="111"/>
      <c r="T940" s="111"/>
      <c r="U940" s="111"/>
      <c r="V940" s="111"/>
      <c r="W940" s="111"/>
      <c r="X940" s="111"/>
      <c r="Y940" s="111"/>
      <c r="Z940" s="111" t="s">
        <v>12703</v>
      </c>
      <c r="AA940" s="124">
        <v>10.0</v>
      </c>
      <c r="AB940" s="125">
        <f>IF(Projects!$AI940="Electrolysis",
AA940/VLOOKUP(G940,ElectrolysisConvF,3,FALSE),
AC940*10^6/(H2dens*HoursInYear))</f>
        <v>2222.222222</v>
      </c>
      <c r="AC940" s="126">
        <f t="shared" si="179"/>
        <v>1.732533333</v>
      </c>
      <c r="AD940" s="125"/>
      <c r="AE940" s="125">
        <f t="shared" si="180"/>
        <v>2222.222222</v>
      </c>
      <c r="AF940" s="127" t="s">
        <v>13681</v>
      </c>
      <c r="AG940" s="127">
        <v>-34.4742633288829</v>
      </c>
      <c r="AH940" s="127">
        <v>150.888021868027</v>
      </c>
      <c r="AI940" s="115" t="s">
        <v>12383</v>
      </c>
      <c r="AJ940" s="116">
        <v>0.5</v>
      </c>
      <c r="AK940" s="117"/>
      <c r="AL940" s="117"/>
      <c r="AM940" s="117"/>
      <c r="AN940" s="117"/>
      <c r="AO940" s="117"/>
    </row>
    <row r="941" ht="34.5" customHeight="1">
      <c r="A941" s="111">
        <v>1422.0</v>
      </c>
      <c r="B941" s="111" t="s">
        <v>8941</v>
      </c>
      <c r="C941" s="111" t="s">
        <v>8021</v>
      </c>
      <c r="D941" s="111"/>
      <c r="E941" s="111"/>
      <c r="F941" s="111" t="s">
        <v>12399</v>
      </c>
      <c r="G941" s="111" t="s">
        <v>12381</v>
      </c>
      <c r="H941" s="111" t="s">
        <v>12230</v>
      </c>
      <c r="I941" s="111" t="s">
        <v>12394</v>
      </c>
      <c r="J941" s="111" t="s">
        <v>12292</v>
      </c>
      <c r="K941" s="111" t="s">
        <v>30</v>
      </c>
      <c r="L941" s="111"/>
      <c r="M941" s="111">
        <v>1.0</v>
      </c>
      <c r="N941" s="111"/>
      <c r="O941" s="111"/>
      <c r="P941" s="111"/>
      <c r="Q941" s="111"/>
      <c r="R941" s="111"/>
      <c r="S941" s="111">
        <v>1.0</v>
      </c>
      <c r="T941" s="111"/>
      <c r="U941" s="111"/>
      <c r="V941" s="111"/>
      <c r="W941" s="111"/>
      <c r="X941" s="111"/>
      <c r="Y941" s="111"/>
      <c r="Z941" s="111"/>
      <c r="AA941" s="124"/>
      <c r="AB941" s="125"/>
      <c r="AC941" s="126"/>
      <c r="AD941" s="125"/>
      <c r="AE941" s="125" t="str">
        <f t="shared" ref="AE941:AE951" si="181">IF(AND(G941&lt;&gt;"NG w CCUS",G941&lt;&gt;"Oil w CCUS",G941&lt;&gt;"Coal w CCUS"),AB941,AD941*10^3/(HoursInYear*IF(G941="NG w CCUS",0.9105,1.9075)))</f>
        <v/>
      </c>
      <c r="AF941" s="127" t="s">
        <v>13155</v>
      </c>
      <c r="AG941" s="127">
        <v>-28.83006868708</v>
      </c>
      <c r="AH941" s="127">
        <v>114.678351483145</v>
      </c>
      <c r="AI941" s="115" t="s">
        <v>12383</v>
      </c>
      <c r="AJ941" s="116">
        <v>0.4</v>
      </c>
      <c r="AK941" s="117"/>
      <c r="AL941" s="117"/>
      <c r="AM941" s="117"/>
      <c r="AN941" s="117"/>
      <c r="AO941" s="117"/>
    </row>
    <row r="942" ht="34.5" customHeight="1">
      <c r="A942" s="111">
        <v>1424.0</v>
      </c>
      <c r="B942" s="111" t="s">
        <v>8942</v>
      </c>
      <c r="C942" s="111" t="s">
        <v>8021</v>
      </c>
      <c r="D942" s="111">
        <v>2027.0</v>
      </c>
      <c r="E942" s="111"/>
      <c r="F942" s="111" t="s">
        <v>12399</v>
      </c>
      <c r="G942" s="111" t="s">
        <v>12235</v>
      </c>
      <c r="H942" s="111" t="s">
        <v>13160</v>
      </c>
      <c r="I942" s="111"/>
      <c r="J942" s="111"/>
      <c r="K942" s="111" t="s">
        <v>174</v>
      </c>
      <c r="L942" s="111"/>
      <c r="M942" s="111">
        <v>1.0</v>
      </c>
      <c r="N942" s="111"/>
      <c r="O942" s="111"/>
      <c r="P942" s="111"/>
      <c r="Q942" s="111"/>
      <c r="R942" s="111"/>
      <c r="S942" s="111"/>
      <c r="T942" s="111"/>
      <c r="U942" s="111"/>
      <c r="V942" s="111"/>
      <c r="W942" s="111"/>
      <c r="X942" s="111"/>
      <c r="Y942" s="111"/>
      <c r="Z942" s="111" t="s">
        <v>13682</v>
      </c>
      <c r="AA942" s="124"/>
      <c r="AB942" s="125">
        <f>AC942/(H2dens*HoursInYear/10^6)</f>
        <v>277161.8113</v>
      </c>
      <c r="AC942" s="125">
        <f>1200*3/17/0.98</f>
        <v>216.0864346</v>
      </c>
      <c r="AD942" s="125"/>
      <c r="AE942" s="125">
        <f t="shared" si="181"/>
        <v>0</v>
      </c>
      <c r="AF942" s="127" t="s">
        <v>13683</v>
      </c>
      <c r="AG942" s="127">
        <v>-29.4737332197233</v>
      </c>
      <c r="AH942" s="127">
        <v>115.080098618816</v>
      </c>
      <c r="AI942" s="115" t="s">
        <v>12378</v>
      </c>
      <c r="AJ942" s="116">
        <v>0.9</v>
      </c>
      <c r="AK942" s="117"/>
      <c r="AL942" s="117"/>
      <c r="AM942" s="117"/>
      <c r="AN942" s="117"/>
      <c r="AO942" s="117"/>
    </row>
    <row r="943" ht="34.5" customHeight="1">
      <c r="A943" s="111">
        <v>1425.0</v>
      </c>
      <c r="B943" s="111" t="s">
        <v>8943</v>
      </c>
      <c r="C943" s="111" t="s">
        <v>8021</v>
      </c>
      <c r="D943" s="111"/>
      <c r="E943" s="111"/>
      <c r="F943" s="111" t="s">
        <v>12399</v>
      </c>
      <c r="G943" s="111" t="s">
        <v>12235</v>
      </c>
      <c r="H943" s="111" t="s">
        <v>13160</v>
      </c>
      <c r="I943" s="111"/>
      <c r="J943" s="111"/>
      <c r="K943" s="111" t="s">
        <v>30</v>
      </c>
      <c r="L943" s="111"/>
      <c r="M943" s="111"/>
      <c r="N943" s="111"/>
      <c r="O943" s="111"/>
      <c r="P943" s="111"/>
      <c r="Q943" s="111"/>
      <c r="R943" s="111"/>
      <c r="S943" s="111"/>
      <c r="T943" s="111"/>
      <c r="U943" s="111"/>
      <c r="V943" s="111"/>
      <c r="W943" s="111"/>
      <c r="X943" s="111"/>
      <c r="Y943" s="111"/>
      <c r="Z943" s="111"/>
      <c r="AA943" s="124"/>
      <c r="AB943" s="125"/>
      <c r="AC943" s="125"/>
      <c r="AD943" s="125"/>
      <c r="AE943" s="125">
        <f t="shared" si="181"/>
        <v>0</v>
      </c>
      <c r="AF943" s="127" t="s">
        <v>13684</v>
      </c>
      <c r="AG943" s="127">
        <v>-29.4737332197233</v>
      </c>
      <c r="AH943" s="127">
        <v>115.080098618816</v>
      </c>
      <c r="AI943" s="115" t="s">
        <v>12378</v>
      </c>
      <c r="AJ943" s="116">
        <v>0.9</v>
      </c>
      <c r="AK943" s="117"/>
      <c r="AL943" s="117"/>
      <c r="AM943" s="117"/>
      <c r="AN943" s="117"/>
      <c r="AO943" s="117"/>
    </row>
    <row r="944" ht="34.5" customHeight="1">
      <c r="A944" s="111">
        <v>1426.0</v>
      </c>
      <c r="B944" s="111" t="s">
        <v>8944</v>
      </c>
      <c r="C944" s="111" t="s">
        <v>7991</v>
      </c>
      <c r="D944" s="111">
        <v>2030.0</v>
      </c>
      <c r="E944" s="111"/>
      <c r="F944" s="111" t="s">
        <v>12399</v>
      </c>
      <c r="G944" s="111" t="s">
        <v>12235</v>
      </c>
      <c r="H944" s="111" t="s">
        <v>13373</v>
      </c>
      <c r="I944" s="111"/>
      <c r="J944" s="111"/>
      <c r="K944" s="111" t="s">
        <v>30</v>
      </c>
      <c r="L944" s="111">
        <v>1.0</v>
      </c>
      <c r="M944" s="111"/>
      <c r="N944" s="111"/>
      <c r="O944" s="111"/>
      <c r="P944" s="111"/>
      <c r="Q944" s="111"/>
      <c r="R944" s="111"/>
      <c r="S944" s="111"/>
      <c r="T944" s="111"/>
      <c r="U944" s="111"/>
      <c r="V944" s="111"/>
      <c r="W944" s="111"/>
      <c r="X944" s="111"/>
      <c r="Y944" s="111"/>
      <c r="Z944" s="111" t="s">
        <v>13685</v>
      </c>
      <c r="AA944" s="124"/>
      <c r="AB944" s="125">
        <f>IF(Projects!$AI944="Electrolysis",
AA944/VLOOKUP(G944,ElectrolysisConvF,3,FALSE),
AC944*10^6/(H2dens*HoursInYear))</f>
        <v>243702.2215</v>
      </c>
      <c r="AC944" s="125">
        <v>190.0</v>
      </c>
      <c r="AD944" s="125">
        <v>1000000.0</v>
      </c>
      <c r="AE944" s="125">
        <f t="shared" si="181"/>
        <v>125376.4428</v>
      </c>
      <c r="AF944" s="127" t="s">
        <v>13686</v>
      </c>
      <c r="AG944" s="127">
        <v>56.0135132582581</v>
      </c>
      <c r="AH944" s="127">
        <v>-3.69652919279354</v>
      </c>
      <c r="AI944" s="115" t="s">
        <v>12378</v>
      </c>
      <c r="AJ944" s="116">
        <v>0.9</v>
      </c>
      <c r="AK944" s="117"/>
      <c r="AL944" s="117"/>
      <c r="AM944" s="117"/>
      <c r="AN944" s="117"/>
      <c r="AO944" s="117"/>
    </row>
    <row r="945" ht="34.5" customHeight="1">
      <c r="A945" s="111">
        <v>1427.0</v>
      </c>
      <c r="B945" s="111" t="s">
        <v>8945</v>
      </c>
      <c r="C945" s="111" t="s">
        <v>7967</v>
      </c>
      <c r="D945" s="111">
        <v>2026.0</v>
      </c>
      <c r="E945" s="111"/>
      <c r="F945" s="111" t="s">
        <v>12393</v>
      </c>
      <c r="G945" s="111" t="s">
        <v>12235</v>
      </c>
      <c r="H945" s="111" t="s">
        <v>13160</v>
      </c>
      <c r="I945" s="111"/>
      <c r="J945" s="111"/>
      <c r="K945" s="111" t="s">
        <v>30</v>
      </c>
      <c r="L945" s="111">
        <v>1.0</v>
      </c>
      <c r="M945" s="111"/>
      <c r="N945" s="111"/>
      <c r="O945" s="111"/>
      <c r="P945" s="111"/>
      <c r="Q945" s="111"/>
      <c r="R945" s="111"/>
      <c r="S945" s="111"/>
      <c r="T945" s="111"/>
      <c r="U945" s="111"/>
      <c r="V945" s="111"/>
      <c r="W945" s="111"/>
      <c r="X945" s="111"/>
      <c r="Y945" s="111"/>
      <c r="Z945" s="111" t="s">
        <v>13687</v>
      </c>
      <c r="AA945" s="124"/>
      <c r="AB945" s="125">
        <v>130000.0</v>
      </c>
      <c r="AC945" s="125">
        <f>Projects!$AB945*(H2dens*HoursInYear/10^6)</f>
        <v>101.3532</v>
      </c>
      <c r="AD945" s="125">
        <v>500000.0</v>
      </c>
      <c r="AE945" s="125">
        <f t="shared" si="181"/>
        <v>62688.22138</v>
      </c>
      <c r="AF945" s="127" t="s">
        <v>13688</v>
      </c>
      <c r="AG945" s="127">
        <v>51.8857555224209</v>
      </c>
      <c r="AH945" s="127">
        <v>4.25634276930947</v>
      </c>
      <c r="AI945" s="115" t="s">
        <v>12378</v>
      </c>
      <c r="AJ945" s="116">
        <v>0.9</v>
      </c>
      <c r="AK945" s="117"/>
      <c r="AL945" s="117"/>
      <c r="AM945" s="117"/>
      <c r="AN945" s="117"/>
      <c r="AO945" s="117"/>
    </row>
    <row r="946" ht="34.5" customHeight="1">
      <c r="A946" s="111">
        <v>1428.0</v>
      </c>
      <c r="B946" s="111" t="s">
        <v>8946</v>
      </c>
      <c r="C946" s="111" t="s">
        <v>7967</v>
      </c>
      <c r="D946" s="111">
        <v>2026.0</v>
      </c>
      <c r="E946" s="111"/>
      <c r="F946" s="111" t="s">
        <v>12393</v>
      </c>
      <c r="G946" s="111" t="s">
        <v>12235</v>
      </c>
      <c r="H946" s="111" t="s">
        <v>13373</v>
      </c>
      <c r="I946" s="111"/>
      <c r="J946" s="111"/>
      <c r="K946" s="111" t="s">
        <v>30</v>
      </c>
      <c r="L946" s="111">
        <v>1.0</v>
      </c>
      <c r="M946" s="111"/>
      <c r="N946" s="111"/>
      <c r="O946" s="111"/>
      <c r="P946" s="111"/>
      <c r="Q946" s="111"/>
      <c r="R946" s="111"/>
      <c r="S946" s="111"/>
      <c r="T946" s="111"/>
      <c r="U946" s="111"/>
      <c r="V946" s="111"/>
      <c r="W946" s="111"/>
      <c r="X946" s="111"/>
      <c r="Y946" s="111"/>
      <c r="Z946" s="111" t="s">
        <v>13689</v>
      </c>
      <c r="AA946" s="124" t="str">
        <f>IF(OR(G946="ALK",G946="PEM",G946="SOEC",G946="Other Electrolysis"),
AB946*VLOOKUP(G946,ElectrolysisConvF,3,FALSE),
"")</f>
        <v/>
      </c>
      <c r="AB946" s="125"/>
      <c r="AC946" s="126">
        <f>300*365/1000</f>
        <v>109.5</v>
      </c>
      <c r="AD946" s="125">
        <v>1000000.0</v>
      </c>
      <c r="AE946" s="125">
        <f t="shared" si="181"/>
        <v>125376.4428</v>
      </c>
      <c r="AF946" s="127" t="s">
        <v>13690</v>
      </c>
      <c r="AG946" s="127">
        <v>51.8697186805897</v>
      </c>
      <c r="AH946" s="127">
        <v>4.28626487094617</v>
      </c>
      <c r="AI946" s="115" t="s">
        <v>12378</v>
      </c>
      <c r="AJ946" s="116">
        <v>0.9</v>
      </c>
      <c r="AK946" s="117"/>
      <c r="AL946" s="117"/>
      <c r="AM946" s="117"/>
      <c r="AN946" s="117"/>
      <c r="AO946" s="117"/>
    </row>
    <row r="947" ht="34.5" customHeight="1">
      <c r="A947" s="111">
        <v>1431.0</v>
      </c>
      <c r="B947" s="111" t="s">
        <v>8947</v>
      </c>
      <c r="C947" s="111" t="s">
        <v>8365</v>
      </c>
      <c r="D947" s="111"/>
      <c r="E947" s="111"/>
      <c r="F947" s="111" t="s">
        <v>12399</v>
      </c>
      <c r="G947" s="111" t="s">
        <v>12381</v>
      </c>
      <c r="H947" s="111" t="s">
        <v>12230</v>
      </c>
      <c r="I947" s="111" t="s">
        <v>12394</v>
      </c>
      <c r="J947" s="111" t="s">
        <v>12295</v>
      </c>
      <c r="K947" s="111" t="s">
        <v>30</v>
      </c>
      <c r="L947" s="111"/>
      <c r="M947" s="111"/>
      <c r="N947" s="111"/>
      <c r="O947" s="111"/>
      <c r="P947" s="111"/>
      <c r="Q947" s="111"/>
      <c r="R947" s="111"/>
      <c r="S947" s="111"/>
      <c r="T947" s="111"/>
      <c r="U947" s="111"/>
      <c r="V947" s="111"/>
      <c r="W947" s="111"/>
      <c r="X947" s="111"/>
      <c r="Y947" s="111"/>
      <c r="Z947" s="111" t="s">
        <v>13691</v>
      </c>
      <c r="AA947" s="126">
        <f>IF(Projects!$AI947="Electrolysis",
AB947*VLOOKUP(G947,ElectrolysisConvF,3,FALSE),
"")</f>
        <v>2308.757888</v>
      </c>
      <c r="AB947" s="125">
        <f t="shared" ref="AB947:AB948" si="182">AC947/(H2dens*HoursInYear/10^6)</f>
        <v>513057.3085</v>
      </c>
      <c r="AC947" s="125">
        <f>400</f>
        <v>400</v>
      </c>
      <c r="AD947" s="125"/>
      <c r="AE947" s="125">
        <f t="shared" si="181"/>
        <v>513057.3085</v>
      </c>
      <c r="AF947" s="127" t="s">
        <v>13692</v>
      </c>
      <c r="AG947" s="127">
        <v>-30.0517663498295</v>
      </c>
      <c r="AH947" s="127">
        <v>18.7583380320615</v>
      </c>
      <c r="AI947" s="115" t="s">
        <v>12383</v>
      </c>
      <c r="AJ947" s="116">
        <v>0.5</v>
      </c>
      <c r="AK947" s="117"/>
      <c r="AL947" s="117"/>
      <c r="AM947" s="117"/>
      <c r="AN947" s="117"/>
      <c r="AO947" s="117"/>
    </row>
    <row r="948" ht="34.5" customHeight="1">
      <c r="A948" s="111">
        <v>1432.0</v>
      </c>
      <c r="B948" s="111" t="s">
        <v>8948</v>
      </c>
      <c r="C948" s="111" t="s">
        <v>8388</v>
      </c>
      <c r="D948" s="111">
        <v>2030.0</v>
      </c>
      <c r="E948" s="111"/>
      <c r="F948" s="111" t="s">
        <v>12397</v>
      </c>
      <c r="G948" s="111" t="s">
        <v>12381</v>
      </c>
      <c r="H948" s="111" t="s">
        <v>12230</v>
      </c>
      <c r="I948" s="111" t="s">
        <v>12394</v>
      </c>
      <c r="J948" s="111" t="s">
        <v>12296</v>
      </c>
      <c r="K948" s="111" t="s">
        <v>30</v>
      </c>
      <c r="L948" s="111"/>
      <c r="M948" s="111"/>
      <c r="N948" s="111"/>
      <c r="O948" s="111"/>
      <c r="P948" s="111"/>
      <c r="Q948" s="111"/>
      <c r="R948" s="111"/>
      <c r="S948" s="111"/>
      <c r="T948" s="111"/>
      <c r="U948" s="111"/>
      <c r="V948" s="111"/>
      <c r="W948" s="111"/>
      <c r="X948" s="111"/>
      <c r="Y948" s="111"/>
      <c r="Z948" s="111" t="s">
        <v>13693</v>
      </c>
      <c r="AA948" s="126">
        <f>IF(Projects!$AI948="Electrolysis",
AB948*VLOOKUP(G948,ElectrolysisConvF,3,FALSE),
"")</f>
        <v>2078.713585</v>
      </c>
      <c r="AB948" s="125">
        <f t="shared" si="182"/>
        <v>461936.3522</v>
      </c>
      <c r="AC948" s="125">
        <f>1000*3/17/0.98/Projects!$AJ948</f>
        <v>360.1440576</v>
      </c>
      <c r="AD948" s="125"/>
      <c r="AE948" s="125">
        <f t="shared" si="181"/>
        <v>461936.3522</v>
      </c>
      <c r="AF948" s="127" t="s">
        <v>13694</v>
      </c>
      <c r="AG948" s="127">
        <v>18.632508497259</v>
      </c>
      <c r="AH948" s="127">
        <v>53.9558812717681</v>
      </c>
      <c r="AI948" s="115" t="s">
        <v>12383</v>
      </c>
      <c r="AJ948" s="116">
        <v>0.5</v>
      </c>
      <c r="AK948" s="117"/>
      <c r="AL948" s="117"/>
      <c r="AM948" s="117"/>
      <c r="AN948" s="117"/>
      <c r="AO948" s="117"/>
    </row>
    <row r="949" ht="34.5" customHeight="1">
      <c r="A949" s="111">
        <v>1433.0</v>
      </c>
      <c r="B949" s="111" t="s">
        <v>8949</v>
      </c>
      <c r="C949" s="111" t="s">
        <v>7991</v>
      </c>
      <c r="D949" s="111">
        <v>2030.0</v>
      </c>
      <c r="E949" s="111"/>
      <c r="F949" s="111" t="s">
        <v>12399</v>
      </c>
      <c r="G949" s="111" t="s">
        <v>12235</v>
      </c>
      <c r="H949" s="111" t="s">
        <v>12885</v>
      </c>
      <c r="I949" s="111"/>
      <c r="J949" s="111"/>
      <c r="K949" s="111" t="s">
        <v>30</v>
      </c>
      <c r="L949" s="111">
        <v>1.0</v>
      </c>
      <c r="M949" s="111"/>
      <c r="N949" s="111"/>
      <c r="O949" s="111"/>
      <c r="P949" s="111"/>
      <c r="Q949" s="111"/>
      <c r="R949" s="111"/>
      <c r="S949" s="111">
        <v>1.0</v>
      </c>
      <c r="T949" s="111"/>
      <c r="U949" s="111"/>
      <c r="V949" s="111"/>
      <c r="W949" s="111"/>
      <c r="X949" s="111"/>
      <c r="Y949" s="111"/>
      <c r="Z949" s="111" t="s">
        <v>13695</v>
      </c>
      <c r="AA949" s="124"/>
      <c r="AB949" s="125">
        <f>AC949/365/24/0.089*10^6</f>
        <v>165460.982</v>
      </c>
      <c r="AC949" s="125">
        <f>4.3*3.6/0.12</f>
        <v>129</v>
      </c>
      <c r="AD949" s="125">
        <v>2000000.0</v>
      </c>
      <c r="AE949" s="125">
        <f t="shared" si="181"/>
        <v>250752.8855</v>
      </c>
      <c r="AF949" s="127" t="s">
        <v>13696</v>
      </c>
      <c r="AG949" s="127">
        <v>50.8956152973799</v>
      </c>
      <c r="AH949" s="127">
        <v>-1.3592919268736</v>
      </c>
      <c r="AI949" s="115" t="s">
        <v>12378</v>
      </c>
      <c r="AJ949" s="116">
        <v>0.9</v>
      </c>
      <c r="AK949" s="117"/>
      <c r="AL949" s="117"/>
      <c r="AM949" s="117"/>
      <c r="AN949" s="117"/>
      <c r="AO949" s="117"/>
    </row>
    <row r="950" ht="34.5" customHeight="1">
      <c r="A950" s="111">
        <v>1434.0</v>
      </c>
      <c r="B950" s="111" t="s">
        <v>8950</v>
      </c>
      <c r="C950" s="111" t="s">
        <v>8021</v>
      </c>
      <c r="D950" s="111">
        <v>2026.0</v>
      </c>
      <c r="E950" s="111"/>
      <c r="F950" s="111" t="s">
        <v>12399</v>
      </c>
      <c r="G950" s="111" t="s">
        <v>12381</v>
      </c>
      <c r="H950" s="111" t="s">
        <v>12230</v>
      </c>
      <c r="I950" s="111" t="s">
        <v>12394</v>
      </c>
      <c r="J950" s="111" t="s">
        <v>12296</v>
      </c>
      <c r="K950" s="111" t="s">
        <v>30</v>
      </c>
      <c r="L950" s="111"/>
      <c r="M950" s="111">
        <v>1.0</v>
      </c>
      <c r="N950" s="111"/>
      <c r="O950" s="111"/>
      <c r="P950" s="111">
        <v>1.0</v>
      </c>
      <c r="Q950" s="111"/>
      <c r="R950" s="111"/>
      <c r="S950" s="111"/>
      <c r="T950" s="111"/>
      <c r="U950" s="111"/>
      <c r="V950" s="111"/>
      <c r="W950" s="111"/>
      <c r="X950" s="111"/>
      <c r="Y950" s="111"/>
      <c r="Z950" s="111" t="s">
        <v>13697</v>
      </c>
      <c r="AA950" s="124">
        <v>85.0</v>
      </c>
      <c r="AB950" s="125">
        <f>IF(Projects!$AI950="Electrolysis",
AA950/VLOOKUP(G950,ElectrolysisConvF,3,FALSE),
AC950*10^6/(H2dens*HoursInYear))</f>
        <v>18888.88889</v>
      </c>
      <c r="AC950" s="126">
        <f t="shared" ref="AC950:AC953" si="183">AB950*H2dens*HoursInYear/10^6</f>
        <v>14.72653333</v>
      </c>
      <c r="AD950" s="125"/>
      <c r="AE950" s="125">
        <f t="shared" si="181"/>
        <v>18888.88889</v>
      </c>
      <c r="AF950" s="127" t="s">
        <v>13698</v>
      </c>
      <c r="AG950" s="127">
        <v>-33.1693996466067</v>
      </c>
      <c r="AH950" s="127">
        <v>138.011877075563</v>
      </c>
      <c r="AI950" s="115" t="s">
        <v>12383</v>
      </c>
      <c r="AJ950" s="116">
        <v>0.5</v>
      </c>
      <c r="AK950" s="117"/>
      <c r="AL950" s="117"/>
      <c r="AM950" s="117"/>
      <c r="AN950" s="117"/>
      <c r="AO950" s="117"/>
    </row>
    <row r="951" ht="34.5" customHeight="1">
      <c r="A951" s="111">
        <v>1435.0</v>
      </c>
      <c r="B951" s="111" t="s">
        <v>8951</v>
      </c>
      <c r="C951" s="111" t="s">
        <v>8021</v>
      </c>
      <c r="D951" s="111"/>
      <c r="E951" s="111"/>
      <c r="F951" s="111" t="s">
        <v>12399</v>
      </c>
      <c r="G951" s="111" t="s">
        <v>12381</v>
      </c>
      <c r="H951" s="111" t="s">
        <v>12230</v>
      </c>
      <c r="I951" s="111" t="s">
        <v>12394</v>
      </c>
      <c r="J951" s="111" t="s">
        <v>12296</v>
      </c>
      <c r="K951" s="111" t="s">
        <v>30</v>
      </c>
      <c r="L951" s="111"/>
      <c r="M951" s="111">
        <v>1.0</v>
      </c>
      <c r="N951" s="111"/>
      <c r="O951" s="111"/>
      <c r="P951" s="111">
        <v>1.0</v>
      </c>
      <c r="Q951" s="111"/>
      <c r="R951" s="111"/>
      <c r="S951" s="111"/>
      <c r="T951" s="111"/>
      <c r="U951" s="111"/>
      <c r="V951" s="111"/>
      <c r="W951" s="111"/>
      <c r="X951" s="111"/>
      <c r="Y951" s="111"/>
      <c r="Z951" s="111" t="s">
        <v>13699</v>
      </c>
      <c r="AA951" s="124">
        <f>440-85</f>
        <v>355</v>
      </c>
      <c r="AB951" s="125">
        <f>IF(Projects!$AI951="Electrolysis",
AA951/VLOOKUP(G951,ElectrolysisConvF,3,FALSE),
AC951*10^6/(H2dens*HoursInYear))</f>
        <v>78888.88889</v>
      </c>
      <c r="AC951" s="126">
        <f t="shared" si="183"/>
        <v>61.50493333</v>
      </c>
      <c r="AD951" s="125"/>
      <c r="AE951" s="125">
        <f t="shared" si="181"/>
        <v>78888.88889</v>
      </c>
      <c r="AF951" s="127" t="s">
        <v>13698</v>
      </c>
      <c r="AG951" s="127">
        <v>-33.1693996466067</v>
      </c>
      <c r="AH951" s="127">
        <v>138.011877075563</v>
      </c>
      <c r="AI951" s="115" t="s">
        <v>12383</v>
      </c>
      <c r="AJ951" s="116">
        <v>0.5</v>
      </c>
      <c r="AK951" s="117"/>
      <c r="AL951" s="117"/>
      <c r="AM951" s="117"/>
      <c r="AN951" s="117"/>
      <c r="AO951" s="117"/>
    </row>
    <row r="952" ht="34.5" customHeight="1">
      <c r="A952" s="111">
        <v>1436.0</v>
      </c>
      <c r="B952" s="111" t="s">
        <v>8952</v>
      </c>
      <c r="C952" s="111" t="s">
        <v>7987</v>
      </c>
      <c r="D952" s="111">
        <v>2027.0</v>
      </c>
      <c r="E952" s="111"/>
      <c r="F952" s="111" t="s">
        <v>12393</v>
      </c>
      <c r="G952" s="111" t="s">
        <v>12224</v>
      </c>
      <c r="H952" s="111"/>
      <c r="I952" s="111" t="s">
        <v>12394</v>
      </c>
      <c r="J952" s="111" t="s">
        <v>12293</v>
      </c>
      <c r="K952" s="111" t="s">
        <v>30</v>
      </c>
      <c r="L952" s="111">
        <v>1.0</v>
      </c>
      <c r="M952" s="111"/>
      <c r="N952" s="111"/>
      <c r="O952" s="111">
        <v>1.0</v>
      </c>
      <c r="P952" s="111">
        <v>1.0</v>
      </c>
      <c r="Q952" s="111">
        <v>1.0</v>
      </c>
      <c r="R952" s="111">
        <v>1.0</v>
      </c>
      <c r="S952" s="111">
        <v>1.0</v>
      </c>
      <c r="T952" s="111"/>
      <c r="U952" s="111"/>
      <c r="V952" s="111"/>
      <c r="W952" s="111"/>
      <c r="X952" s="111"/>
      <c r="Y952" s="111"/>
      <c r="Z952" s="111" t="s">
        <v>13104</v>
      </c>
      <c r="AA952" s="124">
        <f>300-200</f>
        <v>100</v>
      </c>
      <c r="AB952" s="125">
        <f>IF(Projects!$AI952="Electrolysis",
AA952/VLOOKUP(G952,ElectrolysisConvF,3,FALSE),
AC952*10^6/(H2dens*HoursInYear))</f>
        <v>21739.13043</v>
      </c>
      <c r="AC952" s="126">
        <f t="shared" si="183"/>
        <v>16.94869565</v>
      </c>
      <c r="AD952" s="125"/>
      <c r="AE952" s="125">
        <f t="shared" ref="AE952:AE953" si="184">AB952</f>
        <v>21739.13043</v>
      </c>
      <c r="AF952" s="127" t="s">
        <v>13700</v>
      </c>
      <c r="AG952" s="127">
        <v>52.4825565137023</v>
      </c>
      <c r="AH952" s="127">
        <v>7.29966781182499</v>
      </c>
      <c r="AI952" s="115" t="s">
        <v>12383</v>
      </c>
      <c r="AJ952" s="116">
        <v>0.55</v>
      </c>
      <c r="AK952" s="117"/>
      <c r="AL952" s="117"/>
      <c r="AM952" s="117"/>
      <c r="AN952" s="117"/>
      <c r="AO952" s="117"/>
    </row>
    <row r="953" ht="34.5" customHeight="1">
      <c r="A953" s="111">
        <v>1437.0</v>
      </c>
      <c r="B953" s="111" t="s">
        <v>8953</v>
      </c>
      <c r="C953" s="111" t="s">
        <v>7987</v>
      </c>
      <c r="D953" s="111">
        <v>2035.0</v>
      </c>
      <c r="E953" s="111"/>
      <c r="F953" s="111" t="s">
        <v>12399</v>
      </c>
      <c r="G953" s="111" t="s">
        <v>12381</v>
      </c>
      <c r="H953" s="111" t="s">
        <v>12230</v>
      </c>
      <c r="I953" s="111" t="s">
        <v>12394</v>
      </c>
      <c r="J953" s="111" t="s">
        <v>12293</v>
      </c>
      <c r="K953" s="111" t="s">
        <v>30</v>
      </c>
      <c r="L953" s="111">
        <v>1.0</v>
      </c>
      <c r="M953" s="111"/>
      <c r="N953" s="111"/>
      <c r="O953" s="111">
        <v>1.0</v>
      </c>
      <c r="P953" s="111"/>
      <c r="Q953" s="111">
        <v>1.0</v>
      </c>
      <c r="R953" s="111">
        <v>1.0</v>
      </c>
      <c r="S953" s="111"/>
      <c r="T953" s="111"/>
      <c r="U953" s="111"/>
      <c r="V953" s="111"/>
      <c r="W953" s="111"/>
      <c r="X953" s="111"/>
      <c r="Y953" s="111"/>
      <c r="Z953" s="111" t="s">
        <v>13701</v>
      </c>
      <c r="AA953" s="124">
        <v>1500.0</v>
      </c>
      <c r="AB953" s="125">
        <f>IF(Projects!$AI953="Electrolysis",
AA953/VLOOKUP(G953,ElectrolysisConvF,3,FALSE),
AC953*10^6/(H2dens*HoursInYear))</f>
        <v>333333.3333</v>
      </c>
      <c r="AC953" s="126">
        <f t="shared" si="183"/>
        <v>259.88</v>
      </c>
      <c r="AD953" s="125"/>
      <c r="AE953" s="125">
        <f t="shared" si="184"/>
        <v>333333.3333</v>
      </c>
      <c r="AF953" s="127" t="s">
        <v>13702</v>
      </c>
      <c r="AG953" s="127">
        <v>52.4825565137023</v>
      </c>
      <c r="AH953" s="127">
        <v>7.29966781182499</v>
      </c>
      <c r="AI953" s="115" t="s">
        <v>12383</v>
      </c>
      <c r="AJ953" s="116">
        <v>0.55</v>
      </c>
      <c r="AK953" s="117"/>
      <c r="AL953" s="117"/>
      <c r="AM953" s="117"/>
      <c r="AN953" s="117"/>
      <c r="AO953" s="117"/>
    </row>
    <row r="954" ht="34.5" customHeight="1">
      <c r="A954" s="111">
        <v>1439.0</v>
      </c>
      <c r="B954" s="111" t="s">
        <v>8954</v>
      </c>
      <c r="C954" s="111" t="s">
        <v>7981</v>
      </c>
      <c r="D954" s="111">
        <v>2026.0</v>
      </c>
      <c r="E954" s="111"/>
      <c r="F954" s="111" t="s">
        <v>12399</v>
      </c>
      <c r="G954" s="111" t="s">
        <v>12235</v>
      </c>
      <c r="H954" s="111" t="s">
        <v>12529</v>
      </c>
      <c r="I954" s="111"/>
      <c r="J954" s="111"/>
      <c r="K954" s="111" t="s">
        <v>174</v>
      </c>
      <c r="L954" s="111"/>
      <c r="M954" s="111">
        <v>1.0</v>
      </c>
      <c r="N954" s="111"/>
      <c r="O954" s="111"/>
      <c r="P954" s="111"/>
      <c r="Q954" s="111"/>
      <c r="R954" s="111"/>
      <c r="S954" s="111"/>
      <c r="T954" s="111"/>
      <c r="U954" s="111"/>
      <c r="V954" s="111"/>
      <c r="W954" s="111"/>
      <c r="X954" s="111"/>
      <c r="Y954" s="111"/>
      <c r="Z954" s="111" t="s">
        <v>13703</v>
      </c>
      <c r="AA954" s="124" t="str">
        <f>IF(OR(G954="ALK",G954="PEM",G954="SOEC",G954="Other Electrolysis"),
AB954*VLOOKUP(G954,ElectrolysisConvF,3,FALSE),
"")</f>
        <v/>
      </c>
      <c r="AB954" s="125"/>
      <c r="AC954" s="125"/>
      <c r="AD954" s="125">
        <f>0.5*10^6</f>
        <v>500000</v>
      </c>
      <c r="AE954" s="125">
        <f t="shared" ref="AE954:AE963" si="185">IF(AND(G954&lt;&gt;"NG w CCUS",G954&lt;&gt;"Oil w CCUS",G954&lt;&gt;"Coal w CCUS"),AB954,AD954*10^3/(HoursInYear*IF(G954="NG w CCUS",0.9105,1.9075)))</f>
        <v>62688.22138</v>
      </c>
      <c r="AF954" s="127" t="s">
        <v>13704</v>
      </c>
      <c r="AG954" s="127">
        <v>41.2197643733599</v>
      </c>
      <c r="AH954" s="127">
        <v>-78.0178283547209</v>
      </c>
      <c r="AI954" s="115" t="s">
        <v>12378</v>
      </c>
      <c r="AJ954" s="116">
        <v>0.9</v>
      </c>
      <c r="AK954" s="117"/>
      <c r="AL954" s="117"/>
      <c r="AM954" s="117"/>
      <c r="AN954" s="117"/>
      <c r="AO954" s="117"/>
    </row>
    <row r="955" ht="34.5" customHeight="1">
      <c r="A955" s="111">
        <v>1440.0</v>
      </c>
      <c r="B955" s="111" t="s">
        <v>8955</v>
      </c>
      <c r="C955" s="111" t="s">
        <v>8021</v>
      </c>
      <c r="D955" s="111"/>
      <c r="E955" s="111"/>
      <c r="F955" s="111" t="s">
        <v>12397</v>
      </c>
      <c r="G955" s="111" t="s">
        <v>12381</v>
      </c>
      <c r="H955" s="111" t="s">
        <v>12230</v>
      </c>
      <c r="I955" s="111" t="s">
        <v>12394</v>
      </c>
      <c r="J955" s="111" t="s">
        <v>12291</v>
      </c>
      <c r="K955" s="111" t="s">
        <v>30</v>
      </c>
      <c r="L955" s="111"/>
      <c r="M955" s="111"/>
      <c r="N955" s="111"/>
      <c r="O955" s="111"/>
      <c r="P955" s="111"/>
      <c r="Q955" s="111"/>
      <c r="R955" s="111"/>
      <c r="S955" s="111"/>
      <c r="T955" s="111"/>
      <c r="U955" s="111"/>
      <c r="V955" s="111"/>
      <c r="W955" s="111"/>
      <c r="X955" s="111"/>
      <c r="Y955" s="111"/>
      <c r="Z955" s="111" t="s">
        <v>13705</v>
      </c>
      <c r="AA955" s="124">
        <v>400.0</v>
      </c>
      <c r="AB955" s="125">
        <f>IF(Projects!$AI955="Electrolysis",
AA955/VLOOKUP(G955,ElectrolysisConvF,3,FALSE),
AC955*10^6/(H2dens*HoursInYear))</f>
        <v>88888.88889</v>
      </c>
      <c r="AC955" s="126">
        <f t="shared" ref="AC955:AC957" si="186">AB955*H2dens*HoursInYear/10^6</f>
        <v>69.30133333</v>
      </c>
      <c r="AD955" s="125"/>
      <c r="AE955" s="125">
        <f t="shared" si="185"/>
        <v>88888.88889</v>
      </c>
      <c r="AF955" s="127" t="s">
        <v>13706</v>
      </c>
      <c r="AG955" s="127">
        <v>-19.6470157775251</v>
      </c>
      <c r="AH955" s="127">
        <v>134.178809229046</v>
      </c>
      <c r="AI955" s="115" t="s">
        <v>12383</v>
      </c>
      <c r="AJ955" s="116">
        <v>0.3</v>
      </c>
      <c r="AK955" s="117"/>
      <c r="AL955" s="117"/>
      <c r="AM955" s="117"/>
      <c r="AN955" s="117"/>
      <c r="AO955" s="117"/>
    </row>
    <row r="956" ht="34.5" customHeight="1">
      <c r="A956" s="111">
        <v>1441.0</v>
      </c>
      <c r="B956" s="111" t="s">
        <v>8956</v>
      </c>
      <c r="C956" s="111" t="s">
        <v>8021</v>
      </c>
      <c r="D956" s="111"/>
      <c r="E956" s="111"/>
      <c r="F956" s="111" t="s">
        <v>12397</v>
      </c>
      <c r="G956" s="111" t="s">
        <v>12381</v>
      </c>
      <c r="H956" s="111" t="s">
        <v>12230</v>
      </c>
      <c r="I956" s="111" t="s">
        <v>12394</v>
      </c>
      <c r="J956" s="111" t="s">
        <v>12291</v>
      </c>
      <c r="K956" s="111" t="s">
        <v>30</v>
      </c>
      <c r="L956" s="111"/>
      <c r="M956" s="111"/>
      <c r="N956" s="111"/>
      <c r="O956" s="111"/>
      <c r="P956" s="111"/>
      <c r="Q956" s="111"/>
      <c r="R956" s="111"/>
      <c r="S956" s="111"/>
      <c r="T956" s="111"/>
      <c r="U956" s="111"/>
      <c r="V956" s="111"/>
      <c r="W956" s="111"/>
      <c r="X956" s="111"/>
      <c r="Y956" s="111"/>
      <c r="Z956" s="111" t="s">
        <v>13707</v>
      </c>
      <c r="AA956" s="124">
        <v>7600.0</v>
      </c>
      <c r="AB956" s="125">
        <f>IF(Projects!$AI956="Electrolysis",
AA956/VLOOKUP(G956,ElectrolysisConvF,3,FALSE),
AC956*10^6/(H2dens*HoursInYear))</f>
        <v>1688888.889</v>
      </c>
      <c r="AC956" s="126">
        <f t="shared" si="186"/>
        <v>1316.725333</v>
      </c>
      <c r="AD956" s="125"/>
      <c r="AE956" s="125">
        <f t="shared" si="185"/>
        <v>1688888.889</v>
      </c>
      <c r="AF956" s="127" t="s">
        <v>13708</v>
      </c>
      <c r="AG956" s="127">
        <v>-19.6470157775251</v>
      </c>
      <c r="AH956" s="127">
        <v>134.178809229046</v>
      </c>
      <c r="AI956" s="115" t="s">
        <v>12383</v>
      </c>
      <c r="AJ956" s="116">
        <v>0.3</v>
      </c>
      <c r="AK956" s="117"/>
      <c r="AL956" s="117"/>
      <c r="AM956" s="117"/>
      <c r="AN956" s="117"/>
      <c r="AO956" s="117"/>
    </row>
    <row r="957" ht="34.5" customHeight="1">
      <c r="A957" s="111">
        <v>1442.0</v>
      </c>
      <c r="B957" s="111" t="s">
        <v>8957</v>
      </c>
      <c r="C957" s="111" t="s">
        <v>8021</v>
      </c>
      <c r="D957" s="111"/>
      <c r="E957" s="111"/>
      <c r="F957" s="111" t="s">
        <v>12397</v>
      </c>
      <c r="G957" s="111" t="s">
        <v>12381</v>
      </c>
      <c r="H957" s="111" t="s">
        <v>12230</v>
      </c>
      <c r="I957" s="111" t="s">
        <v>12394</v>
      </c>
      <c r="J957" s="111" t="s">
        <v>12296</v>
      </c>
      <c r="K957" s="111" t="s">
        <v>30</v>
      </c>
      <c r="L957" s="111"/>
      <c r="M957" s="111"/>
      <c r="N957" s="111"/>
      <c r="O957" s="111"/>
      <c r="P957" s="111"/>
      <c r="Q957" s="111"/>
      <c r="R957" s="111"/>
      <c r="S957" s="111"/>
      <c r="T957" s="111"/>
      <c r="U957" s="111"/>
      <c r="V957" s="111"/>
      <c r="W957" s="111"/>
      <c r="X957" s="111"/>
      <c r="Y957" s="111"/>
      <c r="Z957" s="111" t="s">
        <v>13709</v>
      </c>
      <c r="AA957" s="124">
        <v>1075.0</v>
      </c>
      <c r="AB957" s="125">
        <f>IF(Projects!$AI957="Electrolysis",
AA957/VLOOKUP(G957,ElectrolysisConvF,3,FALSE),
AC957*10^6/(H2dens*HoursInYear))</f>
        <v>238888.8889</v>
      </c>
      <c r="AC957" s="126">
        <f t="shared" si="186"/>
        <v>186.2473333</v>
      </c>
      <c r="AD957" s="125"/>
      <c r="AE957" s="125">
        <f t="shared" si="185"/>
        <v>238888.8889</v>
      </c>
      <c r="AF957" s="127" t="s">
        <v>13710</v>
      </c>
      <c r="AG957" s="127">
        <v>-32.3696073251183</v>
      </c>
      <c r="AH957" s="127">
        <v>150.979894681068</v>
      </c>
      <c r="AI957" s="115" t="s">
        <v>12383</v>
      </c>
      <c r="AJ957" s="116">
        <v>0.5</v>
      </c>
      <c r="AK957" s="117"/>
      <c r="AL957" s="117"/>
      <c r="AM957" s="117"/>
      <c r="AN957" s="117"/>
      <c r="AO957" s="117"/>
    </row>
    <row r="958" ht="34.5" customHeight="1">
      <c r="A958" s="111">
        <v>1444.0</v>
      </c>
      <c r="B958" s="111" t="s">
        <v>8958</v>
      </c>
      <c r="C958" s="111" t="s">
        <v>7981</v>
      </c>
      <c r="D958" s="111">
        <v>2015.0</v>
      </c>
      <c r="E958" s="111">
        <v>2018.0</v>
      </c>
      <c r="F958" s="111" t="s">
        <v>12437</v>
      </c>
      <c r="G958" s="111" t="s">
        <v>12241</v>
      </c>
      <c r="H958" s="111" t="s">
        <v>13021</v>
      </c>
      <c r="I958" s="111"/>
      <c r="J958" s="111"/>
      <c r="K958" s="111" t="s">
        <v>30</v>
      </c>
      <c r="L958" s="111"/>
      <c r="M958" s="111"/>
      <c r="N958" s="111"/>
      <c r="O958" s="111"/>
      <c r="P958" s="111"/>
      <c r="Q958" s="111"/>
      <c r="R958" s="111"/>
      <c r="S958" s="111"/>
      <c r="T958" s="111"/>
      <c r="U958" s="111"/>
      <c r="V958" s="111"/>
      <c r="W958" s="111"/>
      <c r="X958" s="111"/>
      <c r="Y958" s="111"/>
      <c r="Z958" s="111" t="s">
        <v>13711</v>
      </c>
      <c r="AA958" s="124"/>
      <c r="AB958" s="125">
        <f t="shared" ref="AB958:AB959" si="187">AC958/(H2dens*HoursInYear/10^6)</f>
        <v>256.5286543</v>
      </c>
      <c r="AC958" s="125">
        <v>0.2</v>
      </c>
      <c r="AD958" s="125"/>
      <c r="AE958" s="125">
        <f t="shared" si="185"/>
        <v>256.5286543</v>
      </c>
      <c r="AF958" s="127" t="s">
        <v>13712</v>
      </c>
      <c r="AG958" s="127">
        <v>0.0</v>
      </c>
      <c r="AH958" s="127">
        <v>0.0</v>
      </c>
      <c r="AI958" s="115" t="s">
        <v>12241</v>
      </c>
      <c r="AJ958" s="116">
        <v>0.9</v>
      </c>
      <c r="AK958" s="117"/>
      <c r="AL958" s="117"/>
      <c r="AM958" s="117"/>
      <c r="AN958" s="117"/>
      <c r="AO958" s="117"/>
    </row>
    <row r="959" ht="34.5" customHeight="1">
      <c r="A959" s="111">
        <v>1446.0</v>
      </c>
      <c r="B959" s="111" t="s">
        <v>8959</v>
      </c>
      <c r="C959" s="111" t="s">
        <v>8365</v>
      </c>
      <c r="D959" s="111">
        <v>2025.0</v>
      </c>
      <c r="E959" s="111"/>
      <c r="F959" s="111" t="s">
        <v>12399</v>
      </c>
      <c r="G959" s="111" t="s">
        <v>12381</v>
      </c>
      <c r="H959" s="111" t="s">
        <v>12230</v>
      </c>
      <c r="I959" s="111" t="s">
        <v>12394</v>
      </c>
      <c r="J959" s="111" t="s">
        <v>12291</v>
      </c>
      <c r="K959" s="111" t="s">
        <v>174</v>
      </c>
      <c r="L959" s="111"/>
      <c r="M959" s="111">
        <v>1.0</v>
      </c>
      <c r="N959" s="111"/>
      <c r="O959" s="111"/>
      <c r="P959" s="111"/>
      <c r="Q959" s="111"/>
      <c r="R959" s="111"/>
      <c r="S959" s="111"/>
      <c r="T959" s="111"/>
      <c r="U959" s="111"/>
      <c r="V959" s="111"/>
      <c r="W959" s="111"/>
      <c r="X959" s="111"/>
      <c r="Y959" s="111"/>
      <c r="Z959" s="111" t="s">
        <v>13713</v>
      </c>
      <c r="AA959" s="126">
        <f>IF(Projects!$AI959="Electrolysis",
AB959*VLOOKUP(G959,ElectrolysisConvF,3,FALSE),
"")</f>
        <v>540.4655321</v>
      </c>
      <c r="AB959" s="125">
        <f t="shared" si="187"/>
        <v>120103.4516</v>
      </c>
      <c r="AC959" s="126">
        <f>156*3/17/0.98/Projects!$AJ959</f>
        <v>93.63745498</v>
      </c>
      <c r="AD959" s="125"/>
      <c r="AE959" s="125">
        <f t="shared" si="185"/>
        <v>120103.4516</v>
      </c>
      <c r="AF959" s="127" t="s">
        <v>13714</v>
      </c>
      <c r="AG959" s="127">
        <v>-33.9238352071863</v>
      </c>
      <c r="AH959" s="127">
        <v>25.6523711490143</v>
      </c>
      <c r="AI959" s="115" t="s">
        <v>12383</v>
      </c>
      <c r="AJ959" s="116">
        <v>0.3</v>
      </c>
      <c r="AK959" s="117"/>
      <c r="AL959" s="117"/>
      <c r="AM959" s="117"/>
      <c r="AN959" s="117"/>
      <c r="AO959" s="117"/>
    </row>
    <row r="960" ht="34.5" customHeight="1">
      <c r="A960" s="111">
        <v>1447.0</v>
      </c>
      <c r="B960" s="111" t="s">
        <v>8960</v>
      </c>
      <c r="C960" s="111" t="s">
        <v>8539</v>
      </c>
      <c r="D960" s="111"/>
      <c r="E960" s="111"/>
      <c r="F960" s="111" t="s">
        <v>12397</v>
      </c>
      <c r="G960" s="111" t="s">
        <v>12228</v>
      </c>
      <c r="H960" s="111"/>
      <c r="I960" s="111" t="s">
        <v>12288</v>
      </c>
      <c r="J960" s="111"/>
      <c r="K960" s="111" t="s">
        <v>30</v>
      </c>
      <c r="L960" s="111"/>
      <c r="M960" s="111"/>
      <c r="N960" s="111"/>
      <c r="O960" s="111"/>
      <c r="P960" s="111"/>
      <c r="Q960" s="111"/>
      <c r="R960" s="111"/>
      <c r="S960" s="111"/>
      <c r="T960" s="111"/>
      <c r="U960" s="111"/>
      <c r="V960" s="111"/>
      <c r="W960" s="111"/>
      <c r="X960" s="111"/>
      <c r="Y960" s="111"/>
      <c r="Z960" s="111"/>
      <c r="AA960" s="124"/>
      <c r="AB960" s="125"/>
      <c r="AC960" s="126"/>
      <c r="AD960" s="125"/>
      <c r="AE960" s="125" t="str">
        <f t="shared" si="185"/>
        <v/>
      </c>
      <c r="AF960" s="127" t="s">
        <v>13715</v>
      </c>
      <c r="AG960" s="127">
        <v>37.0850780206244</v>
      </c>
      <c r="AH960" s="127">
        <v>129.389676830691</v>
      </c>
      <c r="AI960" s="115" t="s">
        <v>12383</v>
      </c>
      <c r="AJ960" s="116">
        <v>0.8</v>
      </c>
      <c r="AK960" s="117"/>
      <c r="AL960" s="117"/>
      <c r="AM960" s="117"/>
      <c r="AN960" s="117"/>
      <c r="AO960" s="117"/>
    </row>
    <row r="961" ht="34.5" customHeight="1">
      <c r="A961" s="111">
        <v>1448.0</v>
      </c>
      <c r="B961" s="111" t="s">
        <v>8961</v>
      </c>
      <c r="C961" s="111" t="s">
        <v>8108</v>
      </c>
      <c r="D961" s="111">
        <v>2024.0</v>
      </c>
      <c r="E961" s="111"/>
      <c r="F961" s="111" t="s">
        <v>12399</v>
      </c>
      <c r="G961" s="111" t="s">
        <v>12226</v>
      </c>
      <c r="H961" s="111"/>
      <c r="I961" s="111" t="s">
        <v>12394</v>
      </c>
      <c r="J961" s="111" t="s">
        <v>12291</v>
      </c>
      <c r="K961" s="111" t="s">
        <v>30</v>
      </c>
      <c r="L961" s="111"/>
      <c r="M961" s="111"/>
      <c r="N961" s="111"/>
      <c r="O961" s="111"/>
      <c r="P961" s="111"/>
      <c r="Q961" s="111"/>
      <c r="R961" s="111"/>
      <c r="S961" s="111"/>
      <c r="T961" s="111"/>
      <c r="U961" s="111"/>
      <c r="V961" s="111"/>
      <c r="W961" s="111"/>
      <c r="X961" s="111"/>
      <c r="Y961" s="111"/>
      <c r="Z961" s="111"/>
      <c r="AA961" s="124"/>
      <c r="AB961" s="125"/>
      <c r="AC961" s="125"/>
      <c r="AD961" s="125"/>
      <c r="AE961" s="125" t="str">
        <f t="shared" si="185"/>
        <v/>
      </c>
      <c r="AF961" s="127" t="s">
        <v>13716</v>
      </c>
      <c r="AG961" s="127">
        <v>11.7480072682973</v>
      </c>
      <c r="AH961" s="127">
        <v>79.7709665036518</v>
      </c>
      <c r="AI961" s="115" t="s">
        <v>12383</v>
      </c>
      <c r="AJ961" s="116">
        <v>0.3</v>
      </c>
      <c r="AK961" s="117"/>
      <c r="AL961" s="117"/>
      <c r="AM961" s="117"/>
      <c r="AN961" s="117"/>
      <c r="AO961" s="117"/>
    </row>
    <row r="962" ht="34.5" customHeight="1">
      <c r="A962" s="111">
        <v>1449.0</v>
      </c>
      <c r="B962" s="111" t="s">
        <v>8962</v>
      </c>
      <c r="C962" s="111" t="s">
        <v>8108</v>
      </c>
      <c r="D962" s="111">
        <v>2024.0</v>
      </c>
      <c r="E962" s="111"/>
      <c r="F962" s="111" t="s">
        <v>12393</v>
      </c>
      <c r="G962" s="111" t="s">
        <v>12224</v>
      </c>
      <c r="H962" s="111"/>
      <c r="I962" s="111" t="s">
        <v>12759</v>
      </c>
      <c r="J962" s="111" t="s">
        <v>12291</v>
      </c>
      <c r="K962" s="111" t="s">
        <v>30</v>
      </c>
      <c r="L962" s="111"/>
      <c r="M962" s="111"/>
      <c r="N962" s="111"/>
      <c r="O962" s="111"/>
      <c r="P962" s="111"/>
      <c r="Q962" s="111">
        <v>1.0</v>
      </c>
      <c r="R962" s="111"/>
      <c r="S962" s="111"/>
      <c r="T962" s="111"/>
      <c r="U962" s="111"/>
      <c r="V962" s="111"/>
      <c r="W962" s="111"/>
      <c r="X962" s="111"/>
      <c r="Y962" s="111"/>
      <c r="Z962" s="111" t="s">
        <v>13717</v>
      </c>
      <c r="AA962" s="124">
        <v>0.8</v>
      </c>
      <c r="AB962" s="125">
        <f>IF(Projects!$AI962="Electrolysis",
AA962/VLOOKUP(G962,ElectrolysisConvF,3,FALSE),
AC962*10^6/(H2dens*HoursInYear))</f>
        <v>173.9130435</v>
      </c>
      <c r="AC962" s="126">
        <f>AB962*H2dens*HoursInYear/10^6</f>
        <v>0.1355895652</v>
      </c>
      <c r="AD962" s="125"/>
      <c r="AE962" s="125">
        <f t="shared" si="185"/>
        <v>173.9130435</v>
      </c>
      <c r="AF962" s="127" t="s">
        <v>13718</v>
      </c>
      <c r="AG962" s="127">
        <v>34.1537417922541</v>
      </c>
      <c r="AH962" s="127">
        <v>77.5746314167347</v>
      </c>
      <c r="AI962" s="115" t="s">
        <v>12383</v>
      </c>
      <c r="AJ962" s="116">
        <v>0.7</v>
      </c>
      <c r="AK962" s="117"/>
      <c r="AL962" s="117"/>
      <c r="AM962" s="117"/>
      <c r="AN962" s="117"/>
      <c r="AO962" s="117"/>
    </row>
    <row r="963" ht="34.5" customHeight="1">
      <c r="A963" s="111">
        <v>1450.0</v>
      </c>
      <c r="B963" s="111" t="s">
        <v>8963</v>
      </c>
      <c r="C963" s="111" t="s">
        <v>8087</v>
      </c>
      <c r="D963" s="111">
        <v>2028.0</v>
      </c>
      <c r="E963" s="111"/>
      <c r="F963" s="111" t="s">
        <v>12399</v>
      </c>
      <c r="G963" s="111" t="s">
        <v>12235</v>
      </c>
      <c r="H963" s="111" t="s">
        <v>12529</v>
      </c>
      <c r="I963" s="111"/>
      <c r="J963" s="111"/>
      <c r="K963" s="111" t="s">
        <v>30</v>
      </c>
      <c r="L963" s="111"/>
      <c r="M963" s="111"/>
      <c r="N963" s="111"/>
      <c r="O963" s="111"/>
      <c r="P963" s="111">
        <v>1.0</v>
      </c>
      <c r="Q963" s="111">
        <v>1.0</v>
      </c>
      <c r="R963" s="111"/>
      <c r="S963" s="111"/>
      <c r="T963" s="111"/>
      <c r="U963" s="111"/>
      <c r="V963" s="111"/>
      <c r="W963" s="111"/>
      <c r="X963" s="111"/>
      <c r="Y963" s="111"/>
      <c r="Z963" s="111" t="s">
        <v>13719</v>
      </c>
      <c r="AA963" s="124" t="str">
        <f>IF(OR(G963="ALK",G963="PEM",G963="SOEC",G963="Other Electrolysis"),
AB963*VLOOKUP(G963,ElectrolysisConvF,3,FALSE),
"")</f>
        <v/>
      </c>
      <c r="AB963" s="125">
        <f>IF(Projects!$AI963="Electrolysis",
AA963/VLOOKUP(G963,ElectrolysisConvF,3,FALSE),
AC963*10^6/(H2dens*HoursInYear))</f>
        <v>320224.7191</v>
      </c>
      <c r="AC963" s="126">
        <f>1000*HoursInYear*0.95*3.6/120/1000</f>
        <v>249.66</v>
      </c>
      <c r="AD963" s="125">
        <v>1800000.0</v>
      </c>
      <c r="AE963" s="125">
        <f t="shared" si="185"/>
        <v>225677.597</v>
      </c>
      <c r="AF963" s="127" t="s">
        <v>13720</v>
      </c>
      <c r="AG963" s="127">
        <v>51.0409778907728</v>
      </c>
      <c r="AH963" s="127">
        <v>3.84433114911818</v>
      </c>
      <c r="AI963" s="115" t="s">
        <v>12378</v>
      </c>
      <c r="AJ963" s="116">
        <v>0.9</v>
      </c>
      <c r="AK963" s="117"/>
      <c r="AL963" s="117"/>
      <c r="AM963" s="117"/>
      <c r="AN963" s="117"/>
      <c r="AO963" s="117"/>
    </row>
    <row r="964" ht="34.5" customHeight="1">
      <c r="A964" s="111">
        <v>1451.0</v>
      </c>
      <c r="B964" s="111" t="s">
        <v>8964</v>
      </c>
      <c r="C964" s="111" t="s">
        <v>8001</v>
      </c>
      <c r="D964" s="111">
        <v>2021.0</v>
      </c>
      <c r="E964" s="111"/>
      <c r="F964" s="111" t="s">
        <v>12385</v>
      </c>
      <c r="G964" s="111" t="s">
        <v>12224</v>
      </c>
      <c r="H964" s="111"/>
      <c r="I964" s="111" t="s">
        <v>12394</v>
      </c>
      <c r="J964" s="111" t="s">
        <v>12291</v>
      </c>
      <c r="K964" s="111" t="s">
        <v>30</v>
      </c>
      <c r="L964" s="111"/>
      <c r="M964" s="111"/>
      <c r="N964" s="111">
        <v>1.0</v>
      </c>
      <c r="O964" s="111"/>
      <c r="P964" s="111"/>
      <c r="Q964" s="111"/>
      <c r="R964" s="111"/>
      <c r="S964" s="111"/>
      <c r="T964" s="111"/>
      <c r="U964" s="111"/>
      <c r="V964" s="111"/>
      <c r="W964" s="111"/>
      <c r="X964" s="111"/>
      <c r="Y964" s="111"/>
      <c r="Z964" s="111" t="s">
        <v>12806</v>
      </c>
      <c r="AA964" s="124">
        <v>120.0</v>
      </c>
      <c r="AB964" s="125">
        <f>IF(Projects!$AI964="Electrolysis",
AA964/VLOOKUP(G964,ElectrolysisConvF,3,FALSE),
AC964*10^6/(H2dens*HoursInYear))</f>
        <v>26086.95652</v>
      </c>
      <c r="AC964" s="126">
        <f>AB964*H2dens*HoursInYear/10^6</f>
        <v>20.33843478</v>
      </c>
      <c r="AD964" s="125"/>
      <c r="AE964" s="125">
        <f>AB964</f>
        <v>26086.95652</v>
      </c>
      <c r="AF964" s="127" t="s">
        <v>12803</v>
      </c>
      <c r="AG964" s="127">
        <v>38.4925329030854</v>
      </c>
      <c r="AH964" s="127">
        <v>106.23846956603</v>
      </c>
      <c r="AI964" s="115" t="s">
        <v>12383</v>
      </c>
      <c r="AJ964" s="116">
        <v>0.3</v>
      </c>
      <c r="AK964" s="117"/>
      <c r="AL964" s="117"/>
      <c r="AM964" s="117"/>
      <c r="AN964" s="117"/>
      <c r="AO964" s="117"/>
    </row>
    <row r="965" ht="34.5" customHeight="1">
      <c r="A965" s="111">
        <v>1452.0</v>
      </c>
      <c r="B965" s="111" t="s">
        <v>8965</v>
      </c>
      <c r="C965" s="111" t="s">
        <v>8365</v>
      </c>
      <c r="D965" s="111">
        <v>2026.0</v>
      </c>
      <c r="E965" s="111"/>
      <c r="F965" s="111" t="s">
        <v>12399</v>
      </c>
      <c r="G965" s="111" t="s">
        <v>12381</v>
      </c>
      <c r="H965" s="111" t="s">
        <v>12230</v>
      </c>
      <c r="I965" s="111" t="s">
        <v>12394</v>
      </c>
      <c r="J965" s="111" t="s">
        <v>12291</v>
      </c>
      <c r="K965" s="111" t="s">
        <v>174</v>
      </c>
      <c r="L965" s="111"/>
      <c r="M965" s="111">
        <v>1.0</v>
      </c>
      <c r="N965" s="111"/>
      <c r="O965" s="111"/>
      <c r="P965" s="111"/>
      <c r="Q965" s="111"/>
      <c r="R965" s="111"/>
      <c r="S965" s="111"/>
      <c r="T965" s="111"/>
      <c r="U965" s="111"/>
      <c r="V965" s="111"/>
      <c r="W965" s="111"/>
      <c r="X965" s="111"/>
      <c r="Y965" s="111"/>
      <c r="Z965" s="111" t="s">
        <v>13721</v>
      </c>
      <c r="AA965" s="126">
        <f>IF(Projects!$AI965="Electrolysis",
AB965*VLOOKUP(G965,ElectrolysisConvF,3,FALSE),
"")</f>
        <v>2161.862128</v>
      </c>
      <c r="AB965" s="125">
        <f t="shared" ref="AB965:AB966" si="188">AC965/(H2dens*HoursInYear/10^6)</f>
        <v>480413.8063</v>
      </c>
      <c r="AC965" s="126">
        <f>(780-156)*3/17/0.98/Projects!$AJ965</f>
        <v>374.5498199</v>
      </c>
      <c r="AD965" s="125"/>
      <c r="AE965" s="125">
        <f t="shared" ref="AE965:AE979" si="189">IF(AND(G965&lt;&gt;"NG w CCUS",G965&lt;&gt;"Oil w CCUS",G965&lt;&gt;"Coal w CCUS"),AB965,AD965*10^3/(HoursInYear*IF(G965="NG w CCUS",0.9105,1.9075)))</f>
        <v>480413.8063</v>
      </c>
      <c r="AF965" s="127" t="s">
        <v>13714</v>
      </c>
      <c r="AG965" s="127">
        <v>-33.9238352071863</v>
      </c>
      <c r="AH965" s="127">
        <v>25.6523711490143</v>
      </c>
      <c r="AI965" s="115" t="s">
        <v>12383</v>
      </c>
      <c r="AJ965" s="116">
        <v>0.3</v>
      </c>
      <c r="AK965" s="117"/>
      <c r="AL965" s="117"/>
      <c r="AM965" s="117"/>
      <c r="AN965" s="117"/>
      <c r="AO965" s="117"/>
    </row>
    <row r="966" ht="34.5" customHeight="1">
      <c r="A966" s="111">
        <v>1453.0</v>
      </c>
      <c r="B966" s="111" t="s">
        <v>8966</v>
      </c>
      <c r="C966" s="111" t="s">
        <v>7981</v>
      </c>
      <c r="D966" s="111">
        <v>2026.0</v>
      </c>
      <c r="E966" s="111"/>
      <c r="F966" s="111" t="s">
        <v>12399</v>
      </c>
      <c r="G966" s="111" t="s">
        <v>13722</v>
      </c>
      <c r="H966" s="111"/>
      <c r="I966" s="111"/>
      <c r="J966" s="111"/>
      <c r="K966" s="111" t="s">
        <v>30</v>
      </c>
      <c r="L966" s="111"/>
      <c r="M966" s="111"/>
      <c r="N966" s="111"/>
      <c r="O966" s="111"/>
      <c r="P966" s="111"/>
      <c r="Q966" s="111"/>
      <c r="R966" s="111"/>
      <c r="S966" s="111"/>
      <c r="T966" s="111"/>
      <c r="U966" s="111"/>
      <c r="V966" s="111"/>
      <c r="W966" s="111"/>
      <c r="X966" s="111"/>
      <c r="Y966" s="111"/>
      <c r="Z966" s="111" t="s">
        <v>13723</v>
      </c>
      <c r="AA966" s="124"/>
      <c r="AB966" s="125">
        <f t="shared" si="188"/>
        <v>8978.502899</v>
      </c>
      <c r="AC966" s="125">
        <v>7.0</v>
      </c>
      <c r="AD966" s="125">
        <v>140000.0</v>
      </c>
      <c r="AE966" s="125">
        <f t="shared" si="189"/>
        <v>8978.502899</v>
      </c>
      <c r="AF966" s="127" t="s">
        <v>13724</v>
      </c>
      <c r="AG966" s="127">
        <v>35.3525820509497</v>
      </c>
      <c r="AH966" s="127">
        <v>-119.068161386695</v>
      </c>
      <c r="AI966" s="115" t="s">
        <v>12241</v>
      </c>
      <c r="AJ966" s="116">
        <v>0.9</v>
      </c>
      <c r="AK966" s="117"/>
      <c r="AL966" s="117"/>
      <c r="AM966" s="117"/>
      <c r="AN966" s="117"/>
      <c r="AO966" s="117"/>
    </row>
    <row r="967" ht="34.5" customHeight="1">
      <c r="A967" s="111">
        <v>1456.0</v>
      </c>
      <c r="B967" s="111" t="s">
        <v>8967</v>
      </c>
      <c r="C967" s="111" t="s">
        <v>7981</v>
      </c>
      <c r="D967" s="111"/>
      <c r="E967" s="111"/>
      <c r="F967" s="111" t="s">
        <v>12399</v>
      </c>
      <c r="G967" s="111" t="s">
        <v>12235</v>
      </c>
      <c r="H967" s="111" t="s">
        <v>12529</v>
      </c>
      <c r="I967" s="111"/>
      <c r="J967" s="111"/>
      <c r="K967" s="111" t="s">
        <v>30</v>
      </c>
      <c r="L967" s="111"/>
      <c r="M967" s="111"/>
      <c r="N967" s="111"/>
      <c r="O967" s="111"/>
      <c r="P967" s="111"/>
      <c r="Q967" s="111"/>
      <c r="R967" s="111"/>
      <c r="S967" s="111"/>
      <c r="T967" s="111"/>
      <c r="U967" s="111"/>
      <c r="V967" s="111"/>
      <c r="W967" s="111"/>
      <c r="X967" s="111"/>
      <c r="Y967" s="111"/>
      <c r="Z967" s="111" t="s">
        <v>13725</v>
      </c>
      <c r="AA967" s="124"/>
      <c r="AB967" s="125">
        <f>100*10^6*0.028/24</f>
        <v>116666.6667</v>
      </c>
      <c r="AC967" s="126">
        <f>AB967*H2dens*HoursInYear/10^6</f>
        <v>90.958</v>
      </c>
      <c r="AD967" s="125"/>
      <c r="AE967" s="125">
        <f t="shared" si="189"/>
        <v>0</v>
      </c>
      <c r="AF967" s="127" t="s">
        <v>13726</v>
      </c>
      <c r="AG967" s="127">
        <v>41.2597100648204</v>
      </c>
      <c r="AH967" s="127">
        <v>-110.964685455434</v>
      </c>
      <c r="AI967" s="115" t="s">
        <v>12378</v>
      </c>
      <c r="AJ967" s="116">
        <v>0.9</v>
      </c>
      <c r="AK967" s="117"/>
      <c r="AL967" s="117"/>
      <c r="AM967" s="117"/>
      <c r="AN967" s="117"/>
      <c r="AO967" s="117"/>
    </row>
    <row r="968" ht="34.5" customHeight="1">
      <c r="A968" s="111">
        <v>1457.0</v>
      </c>
      <c r="B968" s="111" t="s">
        <v>8968</v>
      </c>
      <c r="C968" s="111" t="s">
        <v>7981</v>
      </c>
      <c r="D968" s="111"/>
      <c r="E968" s="111"/>
      <c r="F968" s="111" t="s">
        <v>12397</v>
      </c>
      <c r="G968" s="111" t="s">
        <v>12235</v>
      </c>
      <c r="H968" s="111" t="s">
        <v>13373</v>
      </c>
      <c r="I968" s="111" t="str">
        <f>IF(AND(G968&lt;&gt;"ALK",G968&lt;&gt;"PEM",G968&lt;&gt;"SOEC",G968&lt;&gt;"Other electrolysis"),"N/A","")</f>
        <v>N/A</v>
      </c>
      <c r="J968" s="111" t="str">
        <f>IF(I968&lt;&gt;"Dedicated renewable","N/A",)</f>
        <v>N/A</v>
      </c>
      <c r="K968" s="111" t="s">
        <v>174</v>
      </c>
      <c r="L968" s="111"/>
      <c r="M968" s="111">
        <v>1.0</v>
      </c>
      <c r="N968" s="111"/>
      <c r="O968" s="111"/>
      <c r="P968" s="111"/>
      <c r="Q968" s="111"/>
      <c r="R968" s="111"/>
      <c r="S968" s="111"/>
      <c r="T968" s="111"/>
      <c r="U968" s="111"/>
      <c r="V968" s="111"/>
      <c r="W968" s="111"/>
      <c r="X968" s="111"/>
      <c r="Y968" s="111"/>
      <c r="Z968" s="111"/>
      <c r="AA968" s="124" t="str">
        <f>IF(OR(G968="ALK",G968="PEM",G968="SOEC",G968="Other Electrolysis"),
AB968*VLOOKUP(G968,ElectrolysisConvF,3,FALSE),
"")</f>
        <v/>
      </c>
      <c r="AB968" s="125"/>
      <c r="AC968" s="125"/>
      <c r="AD968" s="125"/>
      <c r="AE968" s="125">
        <f t="shared" si="189"/>
        <v>0</v>
      </c>
      <c r="AF968" s="127" t="s">
        <v>13726</v>
      </c>
      <c r="AG968" s="127">
        <v>41.2597100648204</v>
      </c>
      <c r="AH968" s="127">
        <v>-110.964685455434</v>
      </c>
      <c r="AI968" s="115" t="s">
        <v>12378</v>
      </c>
      <c r="AJ968" s="116">
        <v>0.9</v>
      </c>
      <c r="AK968" s="117"/>
      <c r="AL968" s="117"/>
      <c r="AM968" s="117"/>
      <c r="AN968" s="117"/>
      <c r="AO968" s="117"/>
    </row>
    <row r="969" ht="34.5" customHeight="1">
      <c r="A969" s="111">
        <v>1458.0</v>
      </c>
      <c r="B969" s="111" t="s">
        <v>8969</v>
      </c>
      <c r="C969" s="111" t="s">
        <v>8365</v>
      </c>
      <c r="D969" s="111">
        <v>2024.0</v>
      </c>
      <c r="E969" s="111"/>
      <c r="F969" s="111" t="s">
        <v>12393</v>
      </c>
      <c r="G969" s="111" t="s">
        <v>12224</v>
      </c>
      <c r="H969" s="111"/>
      <c r="I969" s="111" t="s">
        <v>12394</v>
      </c>
      <c r="J969" s="111" t="s">
        <v>12295</v>
      </c>
      <c r="K969" s="111" t="s">
        <v>30</v>
      </c>
      <c r="L969" s="111"/>
      <c r="M969" s="111"/>
      <c r="N969" s="111">
        <v>1.0</v>
      </c>
      <c r="O969" s="111">
        <v>1.0</v>
      </c>
      <c r="P969" s="111"/>
      <c r="Q969" s="111">
        <v>1.0</v>
      </c>
      <c r="R969" s="111">
        <v>1.0</v>
      </c>
      <c r="S969" s="111"/>
      <c r="T969" s="111"/>
      <c r="U969" s="111"/>
      <c r="V969" s="111"/>
      <c r="W969" s="111"/>
      <c r="X969" s="111"/>
      <c r="Y969" s="111"/>
      <c r="Z969" s="111" t="s">
        <v>13066</v>
      </c>
      <c r="AA969" s="124">
        <v>60.0</v>
      </c>
      <c r="AB969" s="125">
        <f>IF(Projects!$AI969="Electrolysis",
AA969/VLOOKUP(G969,ElectrolysisConvF,3,FALSE),
AC969*10^6/(H2dens*HoursInYear))</f>
        <v>13043.47826</v>
      </c>
      <c r="AC969" s="126">
        <f t="shared" ref="AC969:AC970" si="190">AB969*H2dens*HoursInYear/10^6</f>
        <v>10.16921739</v>
      </c>
      <c r="AD969" s="125"/>
      <c r="AE969" s="125">
        <f t="shared" si="189"/>
        <v>13043.47826</v>
      </c>
      <c r="AF969" s="127" t="s">
        <v>13727</v>
      </c>
      <c r="AG969" s="127">
        <v>-26.8098536779812</v>
      </c>
      <c r="AH969" s="127">
        <v>27.8291352236842</v>
      </c>
      <c r="AI969" s="115" t="s">
        <v>12383</v>
      </c>
      <c r="AJ969" s="116">
        <v>0.5</v>
      </c>
      <c r="AK969" s="117"/>
      <c r="AL969" s="117"/>
      <c r="AM969" s="117"/>
      <c r="AN969" s="117"/>
      <c r="AO969" s="117"/>
    </row>
    <row r="970" ht="34.5" customHeight="1">
      <c r="A970" s="111">
        <v>1459.0</v>
      </c>
      <c r="B970" s="111" t="s">
        <v>8970</v>
      </c>
      <c r="C970" s="111" t="s">
        <v>8562</v>
      </c>
      <c r="D970" s="111">
        <v>2025.0</v>
      </c>
      <c r="E970" s="111"/>
      <c r="F970" s="111" t="s">
        <v>12399</v>
      </c>
      <c r="G970" s="111" t="s">
        <v>12381</v>
      </c>
      <c r="H970" s="111" t="s">
        <v>12230</v>
      </c>
      <c r="I970" s="111" t="s">
        <v>12394</v>
      </c>
      <c r="J970" s="111" t="s">
        <v>12295</v>
      </c>
      <c r="K970" s="111" t="s">
        <v>30</v>
      </c>
      <c r="L970" s="111"/>
      <c r="M970" s="111"/>
      <c r="N970" s="111"/>
      <c r="O970" s="111"/>
      <c r="P970" s="111"/>
      <c r="Q970" s="111"/>
      <c r="R970" s="111"/>
      <c r="S970" s="111"/>
      <c r="T970" s="111"/>
      <c r="U970" s="111"/>
      <c r="V970" s="111"/>
      <c r="W970" s="111"/>
      <c r="X970" s="111"/>
      <c r="Y970" s="111"/>
      <c r="Z970" s="111" t="s">
        <v>12698</v>
      </c>
      <c r="AA970" s="124">
        <v>100.0</v>
      </c>
      <c r="AB970" s="125">
        <f>IF(Projects!$AI970="Electrolysis",
AA970/VLOOKUP(G970,ElectrolysisConvF,3,FALSE),
AC970*10^6/(H2dens*HoursInYear))</f>
        <v>22222.22222</v>
      </c>
      <c r="AC970" s="126">
        <f t="shared" si="190"/>
        <v>17.32533333</v>
      </c>
      <c r="AD970" s="125"/>
      <c r="AE970" s="125">
        <f t="shared" si="189"/>
        <v>22222.22222</v>
      </c>
      <c r="AF970" s="127" t="s">
        <v>13728</v>
      </c>
      <c r="AG970" s="127">
        <v>31.1509044842985</v>
      </c>
      <c r="AH970" s="127">
        <v>-9.84376940012575</v>
      </c>
      <c r="AI970" s="115" t="s">
        <v>12383</v>
      </c>
      <c r="AJ970" s="116">
        <v>0.5</v>
      </c>
      <c r="AK970" s="117"/>
      <c r="AL970" s="117"/>
      <c r="AM970" s="117"/>
      <c r="AN970" s="117"/>
      <c r="AO970" s="117"/>
    </row>
    <row r="971" ht="34.5" customHeight="1">
      <c r="A971" s="111">
        <v>1460.0</v>
      </c>
      <c r="B971" s="111" t="s">
        <v>8971</v>
      </c>
      <c r="C971" s="111" t="s">
        <v>8365</v>
      </c>
      <c r="D971" s="111"/>
      <c r="E971" s="111"/>
      <c r="F971" s="111" t="s">
        <v>12399</v>
      </c>
      <c r="G971" s="111" t="s">
        <v>12381</v>
      </c>
      <c r="H971" s="111" t="s">
        <v>12230</v>
      </c>
      <c r="I971" s="111" t="s">
        <v>12394</v>
      </c>
      <c r="J971" s="111" t="s">
        <v>12295</v>
      </c>
      <c r="K971" s="111" t="s">
        <v>12251</v>
      </c>
      <c r="L971" s="111"/>
      <c r="M971" s="111"/>
      <c r="N971" s="111"/>
      <c r="O971" s="111"/>
      <c r="P971" s="111"/>
      <c r="Q971" s="111"/>
      <c r="R971" s="111"/>
      <c r="S971" s="111"/>
      <c r="T971" s="111"/>
      <c r="U971" s="111"/>
      <c r="V971" s="111"/>
      <c r="W971" s="111">
        <v>1.0</v>
      </c>
      <c r="X971" s="111"/>
      <c r="Y971" s="111"/>
      <c r="Z971" s="111" t="s">
        <v>13729</v>
      </c>
      <c r="AA971" s="126">
        <f>IF(Projects!$AI971="Electrolysis",
AB971*VLOOKUP(G971,ElectrolysisConvF,3,FALSE),
"")</f>
        <v>88.95043234</v>
      </c>
      <c r="AB971" s="125">
        <f t="shared" ref="AB971:AB972" si="191">AC971/(H2dens*HoursInYear/10^6)</f>
        <v>19766.76274</v>
      </c>
      <c r="AC971" s="126">
        <f>15*0.045/0.73/0.12/Projects!$AJ971</f>
        <v>15.4109589</v>
      </c>
      <c r="AD971" s="125"/>
      <c r="AE971" s="125">
        <f t="shared" si="189"/>
        <v>19766.76274</v>
      </c>
      <c r="AF971" s="127" t="s">
        <v>13730</v>
      </c>
      <c r="AG971" s="127">
        <v>-26.5453399830652</v>
      </c>
      <c r="AH971" s="127">
        <v>29.1696719670635</v>
      </c>
      <c r="AI971" s="115" t="s">
        <v>12383</v>
      </c>
      <c r="AJ971" s="116">
        <v>0.5</v>
      </c>
      <c r="AK971" s="117"/>
      <c r="AL971" s="117"/>
      <c r="AM971" s="117"/>
      <c r="AN971" s="117"/>
      <c r="AO971" s="117"/>
    </row>
    <row r="972" ht="34.5" customHeight="1">
      <c r="A972" s="111">
        <v>1461.0</v>
      </c>
      <c r="B972" s="111" t="s">
        <v>8972</v>
      </c>
      <c r="C972" s="111" t="s">
        <v>8365</v>
      </c>
      <c r="D972" s="111">
        <v>2040.0</v>
      </c>
      <c r="E972" s="111"/>
      <c r="F972" s="111" t="s">
        <v>12397</v>
      </c>
      <c r="G972" s="111" t="s">
        <v>12381</v>
      </c>
      <c r="H972" s="111" t="s">
        <v>12230</v>
      </c>
      <c r="I972" s="111" t="s">
        <v>12394</v>
      </c>
      <c r="J972" s="111" t="s">
        <v>12295</v>
      </c>
      <c r="K972" s="111" t="s">
        <v>12251</v>
      </c>
      <c r="L972" s="111"/>
      <c r="M972" s="111"/>
      <c r="N972" s="111"/>
      <c r="O972" s="111"/>
      <c r="P972" s="111"/>
      <c r="Q972" s="111"/>
      <c r="R972" s="111"/>
      <c r="S972" s="111"/>
      <c r="T972" s="111"/>
      <c r="U972" s="111"/>
      <c r="V972" s="111"/>
      <c r="W972" s="111">
        <v>1.0</v>
      </c>
      <c r="X972" s="111"/>
      <c r="Y972" s="111"/>
      <c r="Z972" s="111" t="s">
        <v>13731</v>
      </c>
      <c r="AA972" s="126">
        <f>IF(Projects!$AI972="Electrolysis",
AB972*VLOOKUP(G972,ElectrolysisConvF,3,FALSE),
"")</f>
        <v>14825.07206</v>
      </c>
      <c r="AB972" s="125">
        <f t="shared" si="191"/>
        <v>3294460.457</v>
      </c>
      <c r="AC972" s="126">
        <f>2500*0.045/0.73/0.12/Projects!$AJ972</f>
        <v>2568.493151</v>
      </c>
      <c r="AD972" s="125"/>
      <c r="AE972" s="125">
        <f t="shared" si="189"/>
        <v>3294460.457</v>
      </c>
      <c r="AF972" s="127" t="s">
        <v>13730</v>
      </c>
      <c r="AG972" s="127">
        <v>-26.5453399830652</v>
      </c>
      <c r="AH972" s="127">
        <v>29.1696719670635</v>
      </c>
      <c r="AI972" s="115" t="s">
        <v>12383</v>
      </c>
      <c r="AJ972" s="116">
        <v>0.5</v>
      </c>
      <c r="AK972" s="117"/>
      <c r="AL972" s="117"/>
      <c r="AM972" s="117"/>
      <c r="AN972" s="117"/>
      <c r="AO972" s="117"/>
    </row>
    <row r="973" ht="34.5" customHeight="1">
      <c r="A973" s="111">
        <v>1462.0</v>
      </c>
      <c r="B973" s="111" t="s">
        <v>8973</v>
      </c>
      <c r="C973" s="111" t="s">
        <v>8785</v>
      </c>
      <c r="D973" s="111"/>
      <c r="E973" s="111"/>
      <c r="F973" s="111" t="s">
        <v>12397</v>
      </c>
      <c r="G973" s="111" t="s">
        <v>12381</v>
      </c>
      <c r="H973" s="111" t="s">
        <v>12230</v>
      </c>
      <c r="I973" s="111" t="s">
        <v>12394</v>
      </c>
      <c r="J973" s="111" t="s">
        <v>12295</v>
      </c>
      <c r="K973" s="111" t="s">
        <v>30</v>
      </c>
      <c r="L973" s="111"/>
      <c r="M973" s="111"/>
      <c r="N973" s="111"/>
      <c r="O973" s="111"/>
      <c r="P973" s="111"/>
      <c r="Q973" s="111"/>
      <c r="R973" s="111"/>
      <c r="S973" s="111"/>
      <c r="T973" s="111"/>
      <c r="U973" s="111"/>
      <c r="V973" s="111"/>
      <c r="W973" s="111"/>
      <c r="X973" s="111"/>
      <c r="Y973" s="111"/>
      <c r="Z973" s="111" t="s">
        <v>13732</v>
      </c>
      <c r="AA973" s="124">
        <v>150.0</v>
      </c>
      <c r="AB973" s="125">
        <f>IF(Projects!$AI973="Electrolysis",
AA973/VLOOKUP(G973,ElectrolysisConvF,3,FALSE),
AC973*10^6/(H2dens*HoursInYear))</f>
        <v>33333.33333</v>
      </c>
      <c r="AC973" s="126">
        <f t="shared" ref="AC973:AC978" si="192">AB973*H2dens*HoursInYear/10^6</f>
        <v>25.988</v>
      </c>
      <c r="AD973" s="125"/>
      <c r="AE973" s="125">
        <f t="shared" si="189"/>
        <v>33333.33333</v>
      </c>
      <c r="AF973" s="127" t="s">
        <v>13733</v>
      </c>
      <c r="AG973" s="127">
        <v>29.8451332236916</v>
      </c>
      <c r="AH973" s="127">
        <v>32.1628371320995</v>
      </c>
      <c r="AI973" s="115" t="s">
        <v>12383</v>
      </c>
      <c r="AJ973" s="116">
        <v>0.5</v>
      </c>
      <c r="AK973" s="117"/>
      <c r="AL973" s="117"/>
      <c r="AM973" s="117"/>
      <c r="AN973" s="117"/>
      <c r="AO973" s="117"/>
    </row>
    <row r="974" ht="34.5" customHeight="1">
      <c r="A974" s="111">
        <v>1463.0</v>
      </c>
      <c r="B974" s="111" t="s">
        <v>8974</v>
      </c>
      <c r="C974" s="111" t="s">
        <v>8071</v>
      </c>
      <c r="D974" s="111">
        <v>2028.0</v>
      </c>
      <c r="E974" s="111"/>
      <c r="F974" s="111" t="s">
        <v>12399</v>
      </c>
      <c r="G974" s="111" t="s">
        <v>12226</v>
      </c>
      <c r="H974" s="111"/>
      <c r="I974" s="111" t="s">
        <v>12394</v>
      </c>
      <c r="J974" s="111" t="s">
        <v>12292</v>
      </c>
      <c r="K974" s="111" t="s">
        <v>12415</v>
      </c>
      <c r="L974" s="111"/>
      <c r="M974" s="111"/>
      <c r="N974" s="111">
        <v>1.0</v>
      </c>
      <c r="O974" s="111"/>
      <c r="P974" s="111"/>
      <c r="Q974" s="111"/>
      <c r="R974" s="111"/>
      <c r="S974" s="111"/>
      <c r="T974" s="111"/>
      <c r="U974" s="111"/>
      <c r="V974" s="111"/>
      <c r="W974" s="111">
        <v>1.0</v>
      </c>
      <c r="X974" s="111"/>
      <c r="Y974" s="111"/>
      <c r="Z974" s="111" t="s">
        <v>13734</v>
      </c>
      <c r="AA974" s="124">
        <v>240.0</v>
      </c>
      <c r="AB974" s="125">
        <f>IF(Projects!$AI974="Electrolysis",
AA974/VLOOKUP(G974,ElectrolysisConvF,3,FALSE),
AC974*10^6/(H2dens*HoursInYear))</f>
        <v>46153.84615</v>
      </c>
      <c r="AC974" s="126">
        <f t="shared" si="192"/>
        <v>35.98338462</v>
      </c>
      <c r="AD974" s="125"/>
      <c r="AE974" s="125">
        <f t="shared" si="189"/>
        <v>46153.84615</v>
      </c>
      <c r="AF974" s="127" t="s">
        <v>13735</v>
      </c>
      <c r="AG974" s="127">
        <v>-50.615096291667</v>
      </c>
      <c r="AH974" s="127">
        <v>-74.5013589002638</v>
      </c>
      <c r="AI974" s="115" t="s">
        <v>12383</v>
      </c>
      <c r="AJ974" s="116">
        <v>0.4</v>
      </c>
      <c r="AK974" s="117"/>
      <c r="AL974" s="117"/>
      <c r="AM974" s="117"/>
      <c r="AN974" s="117"/>
      <c r="AO974" s="117"/>
    </row>
    <row r="975" ht="34.5" customHeight="1">
      <c r="A975" s="111">
        <v>1464.0</v>
      </c>
      <c r="B975" s="111" t="s">
        <v>8975</v>
      </c>
      <c r="C975" s="111" t="s">
        <v>8071</v>
      </c>
      <c r="D975" s="111"/>
      <c r="E975" s="111"/>
      <c r="F975" s="111" t="s">
        <v>12399</v>
      </c>
      <c r="G975" s="111" t="s">
        <v>12381</v>
      </c>
      <c r="H975" s="111" t="s">
        <v>12230</v>
      </c>
      <c r="I975" s="111" t="s">
        <v>12406</v>
      </c>
      <c r="J975" s="111"/>
      <c r="K975" s="111" t="s">
        <v>30</v>
      </c>
      <c r="L975" s="111">
        <v>1.0</v>
      </c>
      <c r="M975" s="111"/>
      <c r="N975" s="111"/>
      <c r="O975" s="111"/>
      <c r="P975" s="111"/>
      <c r="Q975" s="111"/>
      <c r="R975" s="111"/>
      <c r="S975" s="111"/>
      <c r="T975" s="111"/>
      <c r="U975" s="111"/>
      <c r="V975" s="111"/>
      <c r="W975" s="111"/>
      <c r="X975" s="111"/>
      <c r="Y975" s="111"/>
      <c r="Z975" s="111" t="s">
        <v>12739</v>
      </c>
      <c r="AA975" s="124">
        <v>20.0</v>
      </c>
      <c r="AB975" s="125">
        <f>IF(Projects!$AI975="Electrolysis",
AA975/VLOOKUP(G975,ElectrolysisConvF,3,FALSE),
AC975*10^6/(H2dens*HoursInYear))</f>
        <v>4444.444444</v>
      </c>
      <c r="AC975" s="126">
        <f t="shared" si="192"/>
        <v>3.465066667</v>
      </c>
      <c r="AD975" s="125"/>
      <c r="AE975" s="125">
        <f t="shared" si="189"/>
        <v>4444.444444</v>
      </c>
      <c r="AF975" s="127" t="s">
        <v>13735</v>
      </c>
      <c r="AG975" s="127">
        <v>-32.9126976814101</v>
      </c>
      <c r="AH975" s="127">
        <v>-71.4881534917297</v>
      </c>
      <c r="AI975" s="115" t="s">
        <v>12383</v>
      </c>
      <c r="AJ975" s="116">
        <v>0.57</v>
      </c>
      <c r="AK975" s="117"/>
      <c r="AL975" s="117"/>
      <c r="AM975" s="117"/>
      <c r="AN975" s="117"/>
      <c r="AO975" s="117"/>
    </row>
    <row r="976" ht="34.5" customHeight="1">
      <c r="A976" s="111">
        <v>1465.0</v>
      </c>
      <c r="B976" s="111" t="s">
        <v>8976</v>
      </c>
      <c r="C976" s="111" t="s">
        <v>8071</v>
      </c>
      <c r="D976" s="111">
        <v>2025.0</v>
      </c>
      <c r="E976" s="111"/>
      <c r="F976" s="111" t="s">
        <v>12399</v>
      </c>
      <c r="G976" s="111" t="s">
        <v>12381</v>
      </c>
      <c r="H976" s="111" t="s">
        <v>12230</v>
      </c>
      <c r="I976" s="111" t="s">
        <v>12394</v>
      </c>
      <c r="J976" s="111" t="s">
        <v>12296</v>
      </c>
      <c r="K976" s="111" t="s">
        <v>12415</v>
      </c>
      <c r="L976" s="111"/>
      <c r="M976" s="111"/>
      <c r="N976" s="111">
        <v>1.0</v>
      </c>
      <c r="O976" s="111"/>
      <c r="P976" s="111"/>
      <c r="Q976" s="111"/>
      <c r="R976" s="111"/>
      <c r="S976" s="111"/>
      <c r="T976" s="111"/>
      <c r="U976" s="111"/>
      <c r="V976" s="111"/>
      <c r="W976" s="111"/>
      <c r="X976" s="111"/>
      <c r="Y976" s="111"/>
      <c r="Z976" s="111" t="s">
        <v>13497</v>
      </c>
      <c r="AA976" s="124">
        <v>80.0</v>
      </c>
      <c r="AB976" s="125">
        <f>IF(Projects!$AI976="Electrolysis",
AA976/VLOOKUP(G976,ElectrolysisConvF,3,FALSE),
AC976*10^6/(H2dens*HoursInYear))</f>
        <v>17777.77778</v>
      </c>
      <c r="AC976" s="126">
        <f t="shared" si="192"/>
        <v>13.86026667</v>
      </c>
      <c r="AD976" s="125"/>
      <c r="AE976" s="125">
        <f t="shared" si="189"/>
        <v>17777.77778</v>
      </c>
      <c r="AF976" s="127" t="s">
        <v>13735</v>
      </c>
      <c r="AG976" s="127">
        <v>-23.3990803648907</v>
      </c>
      <c r="AH976" s="127">
        <v>-69.252182822016</v>
      </c>
      <c r="AI976" s="115" t="s">
        <v>12383</v>
      </c>
      <c r="AJ976" s="116">
        <v>0.5</v>
      </c>
      <c r="AK976" s="117"/>
      <c r="AL976" s="117"/>
      <c r="AM976" s="117"/>
      <c r="AN976" s="117"/>
      <c r="AO976" s="117"/>
    </row>
    <row r="977" ht="34.5" customHeight="1">
      <c r="A977" s="111">
        <v>1466.0</v>
      </c>
      <c r="B977" s="111" t="s">
        <v>8977</v>
      </c>
      <c r="C977" s="111" t="s">
        <v>8071</v>
      </c>
      <c r="D977" s="111">
        <v>2025.0</v>
      </c>
      <c r="E977" s="111"/>
      <c r="F977" s="111" t="s">
        <v>12399</v>
      </c>
      <c r="G977" s="111" t="s">
        <v>12381</v>
      </c>
      <c r="H977" s="111" t="s">
        <v>12230</v>
      </c>
      <c r="I977" s="111" t="s">
        <v>12406</v>
      </c>
      <c r="J977" s="111"/>
      <c r="K977" s="111" t="s">
        <v>30</v>
      </c>
      <c r="L977" s="111"/>
      <c r="M977" s="111"/>
      <c r="N977" s="111"/>
      <c r="O977" s="111">
        <v>1.0</v>
      </c>
      <c r="P977" s="111"/>
      <c r="Q977" s="111"/>
      <c r="R977" s="111"/>
      <c r="S977" s="111"/>
      <c r="T977" s="111"/>
      <c r="U977" s="111"/>
      <c r="V977" s="111"/>
      <c r="W977" s="111"/>
      <c r="X977" s="111"/>
      <c r="Y977" s="111"/>
      <c r="Z977" s="111" t="s">
        <v>13736</v>
      </c>
      <c r="AA977" s="124">
        <v>12.0</v>
      </c>
      <c r="AB977" s="125">
        <f>IF(Projects!$AI977="Electrolysis",
AA977/VLOOKUP(G977,ElectrolysisConvF,3,FALSE),
AC977*10^6/(H2dens*HoursInYear))</f>
        <v>2666.666667</v>
      </c>
      <c r="AC977" s="126">
        <f t="shared" si="192"/>
        <v>2.07904</v>
      </c>
      <c r="AD977" s="125"/>
      <c r="AE977" s="125">
        <f t="shared" si="189"/>
        <v>2666.666667</v>
      </c>
      <c r="AF977" s="127" t="s">
        <v>13737</v>
      </c>
      <c r="AG977" s="127">
        <v>-36.7512101302903</v>
      </c>
      <c r="AH977" s="127">
        <v>-73.1249815484146</v>
      </c>
      <c r="AI977" s="115" t="s">
        <v>12383</v>
      </c>
      <c r="AJ977" s="116">
        <v>0.57</v>
      </c>
      <c r="AK977" s="117"/>
      <c r="AL977" s="117"/>
      <c r="AM977" s="117"/>
      <c r="AN977" s="117"/>
      <c r="AO977" s="117"/>
    </row>
    <row r="978" ht="34.5" customHeight="1">
      <c r="A978" s="111">
        <v>1467.0</v>
      </c>
      <c r="B978" s="111" t="s">
        <v>8978</v>
      </c>
      <c r="C978" s="111" t="s">
        <v>7977</v>
      </c>
      <c r="D978" s="111">
        <v>2023.0</v>
      </c>
      <c r="E978" s="111"/>
      <c r="F978" s="111" t="s">
        <v>12385</v>
      </c>
      <c r="G978" s="111" t="s">
        <v>12381</v>
      </c>
      <c r="H978" s="111" t="s">
        <v>12230</v>
      </c>
      <c r="I978" s="111" t="s">
        <v>12394</v>
      </c>
      <c r="J978" s="111" t="s">
        <v>12291</v>
      </c>
      <c r="K978" s="111" t="s">
        <v>30</v>
      </c>
      <c r="L978" s="111"/>
      <c r="M978" s="111"/>
      <c r="N978" s="111"/>
      <c r="O978" s="111"/>
      <c r="P978" s="111"/>
      <c r="Q978" s="111"/>
      <c r="R978" s="111"/>
      <c r="S978" s="111"/>
      <c r="T978" s="111"/>
      <c r="U978" s="111"/>
      <c r="V978" s="111"/>
      <c r="W978" s="111"/>
      <c r="X978" s="111"/>
      <c r="Y978" s="111"/>
      <c r="Z978" s="111" t="s">
        <v>12835</v>
      </c>
      <c r="AA978" s="124">
        <v>5.0</v>
      </c>
      <c r="AB978" s="125">
        <f>IF(Projects!$AI978="Electrolysis",
AA978/VLOOKUP(G978,ElectrolysisConvF,3,FALSE),
AC978*10^6/(H2dens*HoursInYear))</f>
        <v>1111.111111</v>
      </c>
      <c r="AC978" s="126">
        <f t="shared" si="192"/>
        <v>0.8662666667</v>
      </c>
      <c r="AD978" s="125"/>
      <c r="AE978" s="125">
        <f t="shared" si="189"/>
        <v>1111.111111</v>
      </c>
      <c r="AF978" s="127" t="s">
        <v>13738</v>
      </c>
      <c r="AG978" s="127">
        <v>36.1851402237509</v>
      </c>
      <c r="AH978" s="127">
        <v>-5.49260916811512</v>
      </c>
      <c r="AI978" s="115" t="s">
        <v>12383</v>
      </c>
      <c r="AJ978" s="116">
        <v>0.3</v>
      </c>
      <c r="AK978" s="117"/>
      <c r="AL978" s="117"/>
      <c r="AM978" s="117"/>
      <c r="AN978" s="117"/>
      <c r="AO978" s="117"/>
    </row>
    <row r="979" ht="34.5" customHeight="1">
      <c r="A979" s="111">
        <v>1468.0</v>
      </c>
      <c r="B979" s="111" t="s">
        <v>8979</v>
      </c>
      <c r="C979" s="111" t="s">
        <v>8980</v>
      </c>
      <c r="D979" s="111"/>
      <c r="E979" s="111"/>
      <c r="F979" s="111" t="s">
        <v>12397</v>
      </c>
      <c r="G979" s="111" t="s">
        <v>12381</v>
      </c>
      <c r="H979" s="111" t="s">
        <v>12230</v>
      </c>
      <c r="I979" s="111" t="s">
        <v>12394</v>
      </c>
      <c r="J979" s="111" t="s">
        <v>12294</v>
      </c>
      <c r="K979" s="111" t="s">
        <v>30</v>
      </c>
      <c r="L979" s="111"/>
      <c r="M979" s="111"/>
      <c r="N979" s="111"/>
      <c r="O979" s="111"/>
      <c r="P979" s="111">
        <v>1.0</v>
      </c>
      <c r="Q979" s="111"/>
      <c r="R979" s="111"/>
      <c r="S979" s="111"/>
      <c r="T979" s="111"/>
      <c r="U979" s="111">
        <v>1.0</v>
      </c>
      <c r="V979" s="111"/>
      <c r="W979" s="111"/>
      <c r="X979" s="111"/>
      <c r="Y979" s="111"/>
      <c r="Z979" s="111"/>
      <c r="AA979" s="124"/>
      <c r="AB979" s="125"/>
      <c r="AC979" s="125"/>
      <c r="AD979" s="125"/>
      <c r="AE979" s="125" t="str">
        <f t="shared" si="189"/>
        <v/>
      </c>
      <c r="AF979" s="127" t="s">
        <v>13739</v>
      </c>
      <c r="AG979" s="127">
        <v>-5.54421881714217</v>
      </c>
      <c r="AH979" s="127">
        <v>13.5574059880543</v>
      </c>
      <c r="AI979" s="115" t="s">
        <v>12383</v>
      </c>
      <c r="AJ979" s="116">
        <v>0.8</v>
      </c>
      <c r="AK979" s="117"/>
      <c r="AL979" s="117"/>
      <c r="AM979" s="117"/>
      <c r="AN979" s="117"/>
      <c r="AO979" s="117"/>
    </row>
    <row r="980" ht="34.5" customHeight="1">
      <c r="A980" s="111">
        <v>1469.0</v>
      </c>
      <c r="B980" s="111" t="s">
        <v>8981</v>
      </c>
      <c r="C980" s="111" t="s">
        <v>8001</v>
      </c>
      <c r="D980" s="111">
        <v>2026.0</v>
      </c>
      <c r="E980" s="111"/>
      <c r="F980" s="111" t="s">
        <v>12393</v>
      </c>
      <c r="G980" s="111" t="s">
        <v>12224</v>
      </c>
      <c r="H980" s="111"/>
      <c r="I980" s="111" t="s">
        <v>12394</v>
      </c>
      <c r="J980" s="111" t="s">
        <v>12292</v>
      </c>
      <c r="K980" s="111" t="s">
        <v>30</v>
      </c>
      <c r="L980" s="111"/>
      <c r="M980" s="111"/>
      <c r="N980" s="111"/>
      <c r="O980" s="111"/>
      <c r="P980" s="111"/>
      <c r="Q980" s="111">
        <v>1.0</v>
      </c>
      <c r="R980" s="111"/>
      <c r="S980" s="111"/>
      <c r="T980" s="111"/>
      <c r="U980" s="111"/>
      <c r="V980" s="111"/>
      <c r="W980" s="111"/>
      <c r="X980" s="111"/>
      <c r="Y980" s="111"/>
      <c r="Z980" s="111" t="s">
        <v>13066</v>
      </c>
      <c r="AA980" s="124">
        <v>40.0</v>
      </c>
      <c r="AB980" s="125">
        <f>IF(Projects!$AI980="Electrolysis",
AA980/VLOOKUP(G980,ElectrolysisConvF,3,FALSE),
AC980*10^6/(H2dens*HoursInYear))</f>
        <v>8695.652174</v>
      </c>
      <c r="AC980" s="126">
        <f>AB980*H2dens*HoursInYear/10^6</f>
        <v>6.779478261</v>
      </c>
      <c r="AD980" s="125"/>
      <c r="AE980" s="125">
        <f>AB980</f>
        <v>8695.652174</v>
      </c>
      <c r="AF980" s="127" t="s">
        <v>13740</v>
      </c>
      <c r="AG980" s="127">
        <v>40.7816321509114</v>
      </c>
      <c r="AH980" s="127">
        <v>114.867657780727</v>
      </c>
      <c r="AI980" s="115" t="s">
        <v>12383</v>
      </c>
      <c r="AJ980" s="116">
        <v>0.4</v>
      </c>
      <c r="AK980" s="117"/>
      <c r="AL980" s="117"/>
      <c r="AM980" s="117"/>
      <c r="AN980" s="117"/>
      <c r="AO980" s="117"/>
    </row>
    <row r="981" ht="34.5" customHeight="1">
      <c r="A981" s="111">
        <v>1470.0</v>
      </c>
      <c r="B981" s="111" t="s">
        <v>8982</v>
      </c>
      <c r="C981" s="111" t="s">
        <v>8016</v>
      </c>
      <c r="D981" s="111">
        <v>2028.0</v>
      </c>
      <c r="E981" s="111"/>
      <c r="F981" s="111" t="s">
        <v>12399</v>
      </c>
      <c r="G981" s="111" t="s">
        <v>12381</v>
      </c>
      <c r="H981" s="111" t="s">
        <v>12230</v>
      </c>
      <c r="I981" s="111" t="s">
        <v>12394</v>
      </c>
      <c r="J981" s="111" t="s">
        <v>12294</v>
      </c>
      <c r="K981" s="111" t="s">
        <v>30</v>
      </c>
      <c r="L981" s="111"/>
      <c r="M981" s="111"/>
      <c r="N981" s="111"/>
      <c r="O981" s="111"/>
      <c r="P981" s="111"/>
      <c r="Q981" s="111"/>
      <c r="R981" s="111"/>
      <c r="S981" s="111"/>
      <c r="T981" s="111"/>
      <c r="U981" s="111"/>
      <c r="V981" s="111"/>
      <c r="W981" s="111"/>
      <c r="X981" s="111"/>
      <c r="Y981" s="111"/>
      <c r="Z981" s="111" t="s">
        <v>13741</v>
      </c>
      <c r="AA981" s="126">
        <f>IF(Projects!$AI981="Electrolysis",
AB981*VLOOKUP(G981,ElectrolysisConvF,3,FALSE),
"")</f>
        <v>50.50407881</v>
      </c>
      <c r="AB981" s="126">
        <f t="shared" ref="AB981:AB983" si="193">AC981/(H2dens*HoursInYear/10^6)</f>
        <v>11223.12862</v>
      </c>
      <c r="AC981" s="125">
        <f>7/Projects!$AJ981</f>
        <v>8.75</v>
      </c>
      <c r="AD981" s="125"/>
      <c r="AE981" s="125">
        <f t="shared" ref="AE981:AE1009" si="194">IF(AND(G981&lt;&gt;"NG w CCUS",G981&lt;&gt;"Oil w CCUS",G981&lt;&gt;"Coal w CCUS"),AB981,AD981*10^3/(HoursInYear*IF(G981="NG w CCUS",0.9105,1.9075)))</f>
        <v>11223.12862</v>
      </c>
      <c r="AF981" s="127" t="s">
        <v>13742</v>
      </c>
      <c r="AG981" s="127">
        <v>3.16772922820277</v>
      </c>
      <c r="AH981" s="127">
        <v>113.003279715861</v>
      </c>
      <c r="AI981" s="115" t="s">
        <v>12383</v>
      </c>
      <c r="AJ981" s="116">
        <v>0.8</v>
      </c>
      <c r="AK981" s="117"/>
      <c r="AL981" s="117"/>
      <c r="AM981" s="117"/>
      <c r="AN981" s="117"/>
      <c r="AO981" s="117"/>
    </row>
    <row r="982" ht="34.5" customHeight="1">
      <c r="A982" s="111">
        <v>1471.0</v>
      </c>
      <c r="B982" s="111" t="s">
        <v>8983</v>
      </c>
      <c r="C982" s="111" t="s">
        <v>8016</v>
      </c>
      <c r="D982" s="111"/>
      <c r="E982" s="111"/>
      <c r="F982" s="111" t="s">
        <v>12397</v>
      </c>
      <c r="G982" s="111" t="s">
        <v>12381</v>
      </c>
      <c r="H982" s="111" t="s">
        <v>12230</v>
      </c>
      <c r="I982" s="111" t="s">
        <v>12394</v>
      </c>
      <c r="J982" s="111" t="s">
        <v>12294</v>
      </c>
      <c r="K982" s="111" t="s">
        <v>174</v>
      </c>
      <c r="L982" s="111"/>
      <c r="M982" s="111">
        <v>1.0</v>
      </c>
      <c r="N982" s="111"/>
      <c r="O982" s="111"/>
      <c r="P982" s="111"/>
      <c r="Q982" s="111"/>
      <c r="R982" s="111"/>
      <c r="S982" s="111"/>
      <c r="T982" s="111"/>
      <c r="U982" s="111"/>
      <c r="V982" s="111"/>
      <c r="W982" s="111"/>
      <c r="X982" s="111"/>
      <c r="Y982" s="111"/>
      <c r="Z982" s="111" t="s">
        <v>13743</v>
      </c>
      <c r="AA982" s="126">
        <f>IF(Projects!$AI982="Electrolysis",
AB982*VLOOKUP(G982,ElectrolysisConvF,3,FALSE),
"")</f>
        <v>818.4933431</v>
      </c>
      <c r="AB982" s="126">
        <f t="shared" si="193"/>
        <v>181887.4096</v>
      </c>
      <c r="AC982" s="125">
        <f>630*0.180072/Projects!$AJ982</f>
        <v>141.8067</v>
      </c>
      <c r="AD982" s="125"/>
      <c r="AE982" s="125">
        <f t="shared" si="194"/>
        <v>181887.4096</v>
      </c>
      <c r="AF982" s="127" t="s">
        <v>13742</v>
      </c>
      <c r="AG982" s="127">
        <v>3.16772922820277</v>
      </c>
      <c r="AH982" s="127">
        <v>113.003279715861</v>
      </c>
      <c r="AI982" s="115" t="s">
        <v>12383</v>
      </c>
      <c r="AJ982" s="116">
        <v>0.8</v>
      </c>
      <c r="AK982" s="117"/>
      <c r="AL982" s="117"/>
      <c r="AM982" s="117"/>
      <c r="AN982" s="117"/>
      <c r="AO982" s="117"/>
    </row>
    <row r="983" ht="34.5" customHeight="1">
      <c r="A983" s="111">
        <v>1472.0</v>
      </c>
      <c r="B983" s="111" t="s">
        <v>8984</v>
      </c>
      <c r="C983" s="111" t="s">
        <v>8016</v>
      </c>
      <c r="D983" s="111"/>
      <c r="E983" s="111"/>
      <c r="F983" s="111" t="s">
        <v>12397</v>
      </c>
      <c r="G983" s="111" t="s">
        <v>12381</v>
      </c>
      <c r="H983" s="111" t="s">
        <v>12230</v>
      </c>
      <c r="I983" s="111" t="s">
        <v>12394</v>
      </c>
      <c r="J983" s="111" t="s">
        <v>12294</v>
      </c>
      <c r="K983" s="111" t="s">
        <v>12415</v>
      </c>
      <c r="L983" s="111"/>
      <c r="M983" s="111"/>
      <c r="N983" s="111"/>
      <c r="O983" s="111"/>
      <c r="P983" s="111"/>
      <c r="Q983" s="111"/>
      <c r="R983" s="111"/>
      <c r="S983" s="111"/>
      <c r="T983" s="111"/>
      <c r="U983" s="111"/>
      <c r="V983" s="111"/>
      <c r="W983" s="111"/>
      <c r="X983" s="111"/>
      <c r="Y983" s="111"/>
      <c r="Z983" s="111" t="s">
        <v>13744</v>
      </c>
      <c r="AA983" s="126">
        <f>IF(Projects!$AI983="Electrolysis",
AB983*VLOOKUP(G983,ElectrolysisConvF,3,FALSE),
"")</f>
        <v>634.9835982</v>
      </c>
      <c r="AB983" s="126">
        <f t="shared" si="193"/>
        <v>141107.4663</v>
      </c>
      <c r="AC983" s="125">
        <f>460*0.191327/Projects!$AJ983</f>
        <v>110.013025</v>
      </c>
      <c r="AD983" s="125"/>
      <c r="AE983" s="125">
        <f t="shared" si="194"/>
        <v>141107.4663</v>
      </c>
      <c r="AF983" s="127" t="s">
        <v>13742</v>
      </c>
      <c r="AG983" s="127">
        <v>3.16772922820277</v>
      </c>
      <c r="AH983" s="127">
        <v>113.003279715861</v>
      </c>
      <c r="AI983" s="115" t="s">
        <v>12383</v>
      </c>
      <c r="AJ983" s="116">
        <v>0.8</v>
      </c>
      <c r="AK983" s="117"/>
      <c r="AL983" s="117"/>
      <c r="AM983" s="117"/>
      <c r="AN983" s="117"/>
      <c r="AO983" s="117"/>
    </row>
    <row r="984" ht="34.5" customHeight="1">
      <c r="A984" s="111">
        <v>1474.0</v>
      </c>
      <c r="B984" s="111" t="s">
        <v>8985</v>
      </c>
      <c r="C984" s="111" t="s">
        <v>8371</v>
      </c>
      <c r="D984" s="111">
        <v>2025.0</v>
      </c>
      <c r="E984" s="111"/>
      <c r="F984" s="111" t="s">
        <v>12397</v>
      </c>
      <c r="G984" s="111" t="s">
        <v>12381</v>
      </c>
      <c r="H984" s="111" t="s">
        <v>12230</v>
      </c>
      <c r="I984" s="111" t="s">
        <v>12394</v>
      </c>
      <c r="J984" s="111" t="s">
        <v>12291</v>
      </c>
      <c r="K984" s="111" t="s">
        <v>174</v>
      </c>
      <c r="L984" s="111"/>
      <c r="M984" s="111">
        <v>1.0</v>
      </c>
      <c r="N984" s="111"/>
      <c r="O984" s="111"/>
      <c r="P984" s="111"/>
      <c r="Q984" s="111"/>
      <c r="R984" s="111"/>
      <c r="S984" s="111"/>
      <c r="T984" s="111"/>
      <c r="U984" s="111"/>
      <c r="V984" s="111"/>
      <c r="W984" s="111"/>
      <c r="X984" s="111"/>
      <c r="Y984" s="111"/>
      <c r="Z984" s="111" t="s">
        <v>13006</v>
      </c>
      <c r="AA984" s="124">
        <v>200.0</v>
      </c>
      <c r="AB984" s="125">
        <f>IF(Projects!$AI984="Electrolysis",
AA984/VLOOKUP(G984,ElectrolysisConvF,3,FALSE),
AC984*10^6/(H2dens*HoursInYear))</f>
        <v>44444.44444</v>
      </c>
      <c r="AC984" s="126">
        <f t="shared" ref="AC984:AC988" si="195">AB984*H2dens*HoursInYear/10^6</f>
        <v>34.65066667</v>
      </c>
      <c r="AD984" s="125"/>
      <c r="AE984" s="125">
        <f t="shared" si="194"/>
        <v>44444.44444</v>
      </c>
      <c r="AF984" s="127" t="s">
        <v>13745</v>
      </c>
      <c r="AG984" s="127">
        <v>24.4852421565258</v>
      </c>
      <c r="AH984" s="127">
        <v>54.3927280389778</v>
      </c>
      <c r="AI984" s="115" t="s">
        <v>12383</v>
      </c>
      <c r="AJ984" s="116">
        <v>0.3</v>
      </c>
      <c r="AK984" s="117"/>
      <c r="AL984" s="117"/>
      <c r="AM984" s="117"/>
      <c r="AN984" s="117"/>
      <c r="AO984" s="117"/>
    </row>
    <row r="985" ht="34.5" customHeight="1">
      <c r="A985" s="111">
        <v>1475.0</v>
      </c>
      <c r="B985" s="111" t="s">
        <v>8986</v>
      </c>
      <c r="C985" s="111" t="s">
        <v>7974</v>
      </c>
      <c r="D985" s="111">
        <v>1992.0</v>
      </c>
      <c r="E985" s="111"/>
      <c r="F985" s="111" t="s">
        <v>12385</v>
      </c>
      <c r="G985" s="111" t="s">
        <v>12224</v>
      </c>
      <c r="H985" s="111"/>
      <c r="I985" s="111" t="s">
        <v>12288</v>
      </c>
      <c r="J985" s="111"/>
      <c r="K985" s="111" t="s">
        <v>30</v>
      </c>
      <c r="L985" s="111"/>
      <c r="M985" s="111"/>
      <c r="N985" s="111"/>
      <c r="O985" s="111"/>
      <c r="P985" s="111">
        <v>1.0</v>
      </c>
      <c r="Q985" s="111"/>
      <c r="R985" s="111"/>
      <c r="S985" s="111"/>
      <c r="T985" s="111"/>
      <c r="U985" s="111"/>
      <c r="V985" s="111"/>
      <c r="W985" s="111"/>
      <c r="X985" s="111"/>
      <c r="Y985" s="111"/>
      <c r="Z985" s="111" t="s">
        <v>13746</v>
      </c>
      <c r="AA985" s="124">
        <v>0.7</v>
      </c>
      <c r="AB985" s="125">
        <f>IF(Projects!$AI985="Electrolysis",
AA985/VLOOKUP(G985,ElectrolysisConvF,3,FALSE),
AC985*10^6/(H2dens*HoursInYear))</f>
        <v>152.173913</v>
      </c>
      <c r="AC985" s="126">
        <f t="shared" si="195"/>
        <v>0.1186408696</v>
      </c>
      <c r="AD985" s="125"/>
      <c r="AE985" s="125">
        <f t="shared" si="194"/>
        <v>152.173913</v>
      </c>
      <c r="AF985" s="127" t="s">
        <v>13747</v>
      </c>
      <c r="AG985" s="127">
        <v>57.4169938413905</v>
      </c>
      <c r="AH985" s="127">
        <v>16.6730190153455</v>
      </c>
      <c r="AI985" s="115" t="s">
        <v>12383</v>
      </c>
      <c r="AJ985" s="116">
        <v>0.8</v>
      </c>
      <c r="AK985" s="117"/>
      <c r="AL985" s="117"/>
      <c r="AM985" s="117"/>
      <c r="AN985" s="117"/>
      <c r="AO985" s="117"/>
    </row>
    <row r="986" ht="34.5" customHeight="1">
      <c r="A986" s="111">
        <v>1476.0</v>
      </c>
      <c r="B986" s="111" t="s">
        <v>8987</v>
      </c>
      <c r="C986" s="111" t="s">
        <v>8011</v>
      </c>
      <c r="D986" s="111">
        <v>2026.0</v>
      </c>
      <c r="E986" s="111"/>
      <c r="F986" s="111" t="s">
        <v>12399</v>
      </c>
      <c r="G986" s="111" t="s">
        <v>12381</v>
      </c>
      <c r="H986" s="111" t="s">
        <v>12230</v>
      </c>
      <c r="I986" s="111" t="s">
        <v>12287</v>
      </c>
      <c r="J986" s="111"/>
      <c r="K986" s="111" t="s">
        <v>30</v>
      </c>
      <c r="L986" s="111">
        <v>1.0</v>
      </c>
      <c r="M986" s="111"/>
      <c r="N986" s="111"/>
      <c r="O986" s="111">
        <v>1.0</v>
      </c>
      <c r="P986" s="111">
        <v>1.0</v>
      </c>
      <c r="Q986" s="111"/>
      <c r="R986" s="111"/>
      <c r="S986" s="111"/>
      <c r="T986" s="111"/>
      <c r="U986" s="111"/>
      <c r="V986" s="111"/>
      <c r="W986" s="111"/>
      <c r="X986" s="111"/>
      <c r="Y986" s="111"/>
      <c r="Z986" s="111" t="s">
        <v>12698</v>
      </c>
      <c r="AA986" s="124">
        <v>100.0</v>
      </c>
      <c r="AB986" s="125">
        <f>IF(Projects!$AI986="Electrolysis",
AA986/VLOOKUP(G986,ElectrolysisConvF,3,FALSE),
AC986*10^6/(H2dens*HoursInYear))</f>
        <v>22222.22222</v>
      </c>
      <c r="AC986" s="126">
        <f t="shared" si="195"/>
        <v>17.32533333</v>
      </c>
      <c r="AD986" s="125"/>
      <c r="AE986" s="125">
        <f t="shared" si="194"/>
        <v>22222.22222</v>
      </c>
      <c r="AF986" s="127" t="s">
        <v>13748</v>
      </c>
      <c r="AG986" s="127">
        <v>43.4168522123239</v>
      </c>
      <c r="AH986" s="127">
        <v>4.83439803488868</v>
      </c>
      <c r="AI986" s="115" t="s">
        <v>12383</v>
      </c>
      <c r="AJ986" s="116">
        <v>0.57</v>
      </c>
      <c r="AK986" s="117"/>
      <c r="AL986" s="117"/>
      <c r="AM986" s="117"/>
      <c r="AN986" s="117"/>
      <c r="AO986" s="117"/>
    </row>
    <row r="987" ht="34.5" customHeight="1">
      <c r="A987" s="111">
        <v>1477.0</v>
      </c>
      <c r="B987" s="111" t="s">
        <v>8988</v>
      </c>
      <c r="C987" s="111" t="s">
        <v>8011</v>
      </c>
      <c r="D987" s="111">
        <v>2031.0</v>
      </c>
      <c r="E987" s="111"/>
      <c r="F987" s="111" t="s">
        <v>12399</v>
      </c>
      <c r="G987" s="111" t="s">
        <v>12381</v>
      </c>
      <c r="H987" s="111" t="s">
        <v>12230</v>
      </c>
      <c r="I987" s="111" t="s">
        <v>12287</v>
      </c>
      <c r="J987" s="111"/>
      <c r="K987" s="111" t="s">
        <v>30</v>
      </c>
      <c r="L987" s="111">
        <v>1.0</v>
      </c>
      <c r="M987" s="111"/>
      <c r="N987" s="111"/>
      <c r="O987" s="111">
        <v>1.0</v>
      </c>
      <c r="P987" s="111">
        <v>1.0</v>
      </c>
      <c r="Q987" s="111"/>
      <c r="R987" s="111"/>
      <c r="S987" s="111"/>
      <c r="T987" s="111"/>
      <c r="U987" s="111"/>
      <c r="V987" s="111"/>
      <c r="W987" s="111"/>
      <c r="X987" s="111"/>
      <c r="Y987" s="111"/>
      <c r="Z987" s="111" t="s">
        <v>13102</v>
      </c>
      <c r="AA987" s="124">
        <v>100.0</v>
      </c>
      <c r="AB987" s="125">
        <f>IF(Projects!$AI987="Electrolysis",
AA987/VLOOKUP(G987,ElectrolysisConvF,3,FALSE),
AC987*10^6/(H2dens*HoursInYear))</f>
        <v>22222.22222</v>
      </c>
      <c r="AC987" s="126">
        <f t="shared" si="195"/>
        <v>17.32533333</v>
      </c>
      <c r="AD987" s="125"/>
      <c r="AE987" s="125">
        <f t="shared" si="194"/>
        <v>22222.22222</v>
      </c>
      <c r="AF987" s="127" t="s">
        <v>13748</v>
      </c>
      <c r="AG987" s="127">
        <v>43.4168522123239</v>
      </c>
      <c r="AH987" s="127">
        <v>4.83439803488868</v>
      </c>
      <c r="AI987" s="115" t="s">
        <v>12383</v>
      </c>
      <c r="AJ987" s="116">
        <v>0.57</v>
      </c>
      <c r="AK987" s="117"/>
      <c r="AL987" s="117"/>
      <c r="AM987" s="117"/>
      <c r="AN987" s="117"/>
      <c r="AO987" s="117"/>
    </row>
    <row r="988" ht="34.5" customHeight="1">
      <c r="A988" s="111">
        <v>1478.0</v>
      </c>
      <c r="B988" s="111" t="s">
        <v>8989</v>
      </c>
      <c r="C988" s="111" t="s">
        <v>8011</v>
      </c>
      <c r="D988" s="111">
        <v>2023.0</v>
      </c>
      <c r="E988" s="111"/>
      <c r="F988" s="111" t="s">
        <v>12385</v>
      </c>
      <c r="G988" s="111" t="s">
        <v>12224</v>
      </c>
      <c r="H988" s="111"/>
      <c r="I988" s="111" t="s">
        <v>12406</v>
      </c>
      <c r="J988" s="111"/>
      <c r="K988" s="111" t="s">
        <v>30</v>
      </c>
      <c r="L988" s="111"/>
      <c r="M988" s="111"/>
      <c r="N988" s="111"/>
      <c r="O988" s="111"/>
      <c r="P988" s="111"/>
      <c r="Q988" s="111">
        <v>1.0</v>
      </c>
      <c r="R988" s="111"/>
      <c r="S988" s="111"/>
      <c r="T988" s="111"/>
      <c r="U988" s="111"/>
      <c r="V988" s="111"/>
      <c r="W988" s="111"/>
      <c r="X988" s="111"/>
      <c r="Y988" s="111"/>
      <c r="Z988" s="111" t="s">
        <v>13749</v>
      </c>
      <c r="AA988" s="124">
        <v>1.0</v>
      </c>
      <c r="AB988" s="125">
        <f>IF(Projects!$AI988="Electrolysis",
AA988/VLOOKUP(G988,ElectrolysisConvF,3,FALSE),
AC988*10^6/(H2dens*HoursInYear))</f>
        <v>217.3913043</v>
      </c>
      <c r="AC988" s="126">
        <f t="shared" si="195"/>
        <v>0.1694869565</v>
      </c>
      <c r="AD988" s="125"/>
      <c r="AE988" s="125">
        <f t="shared" si="194"/>
        <v>217.3913043</v>
      </c>
      <c r="AF988" s="127" t="s">
        <v>13750</v>
      </c>
      <c r="AG988" s="127">
        <v>47.6192450919772</v>
      </c>
      <c r="AH988" s="127">
        <v>6.86503785248722</v>
      </c>
      <c r="AI988" s="115" t="s">
        <v>12383</v>
      </c>
      <c r="AJ988" s="116">
        <v>0.57</v>
      </c>
      <c r="AK988" s="117"/>
      <c r="AL988" s="117"/>
      <c r="AM988" s="117"/>
      <c r="AN988" s="117"/>
      <c r="AO988" s="117"/>
    </row>
    <row r="989" ht="34.5" customHeight="1">
      <c r="A989" s="111">
        <v>1479.0</v>
      </c>
      <c r="B989" s="111" t="s">
        <v>8990</v>
      </c>
      <c r="C989" s="111" t="s">
        <v>7981</v>
      </c>
      <c r="D989" s="111">
        <v>2021.0</v>
      </c>
      <c r="E989" s="111"/>
      <c r="F989" s="111" t="s">
        <v>12418</v>
      </c>
      <c r="G989" s="111" t="s">
        <v>12239</v>
      </c>
      <c r="H989" s="111" t="s">
        <v>13751</v>
      </c>
      <c r="I989" s="111"/>
      <c r="J989" s="111"/>
      <c r="K989" s="111" t="s">
        <v>30</v>
      </c>
      <c r="L989" s="111"/>
      <c r="M989" s="111"/>
      <c r="N989" s="111"/>
      <c r="O989" s="111"/>
      <c r="P989" s="111"/>
      <c r="Q989" s="111"/>
      <c r="R989" s="111"/>
      <c r="S989" s="111"/>
      <c r="T989" s="111"/>
      <c r="U989" s="111"/>
      <c r="V989" s="111"/>
      <c r="W989" s="111"/>
      <c r="X989" s="111"/>
      <c r="Y989" s="111"/>
      <c r="Z989" s="111" t="s">
        <v>13752</v>
      </c>
      <c r="AA989" s="124" t="str">
        <f>IF(OR(G989="ALK",G989="PEM",G989="SOEC",G989="Other Electrolysis"),
AB989*VLOOKUP(G989,ElectrolysisConvF,3,FALSE),
"")</f>
        <v/>
      </c>
      <c r="AB989" s="125">
        <f>IF(Projects!$AI989="Electrolysis",
AA989/VLOOKUP(G989,ElectrolysisConvF,3,FALSE),
AC989*10^6/(H2dens*HoursInYear))</f>
        <v>468.164794</v>
      </c>
      <c r="AC989" s="125">
        <v>0.365</v>
      </c>
      <c r="AD989" s="125"/>
      <c r="AE989" s="125">
        <f t="shared" si="194"/>
        <v>468.164794</v>
      </c>
      <c r="AF989" s="127" t="s">
        <v>13753</v>
      </c>
      <c r="AG989" s="127">
        <v>33.9865765996311</v>
      </c>
      <c r="AH989" s="127">
        <v>-118.476313802775</v>
      </c>
      <c r="AI989" s="115" t="s">
        <v>12241</v>
      </c>
      <c r="AJ989" s="116">
        <v>0.9</v>
      </c>
      <c r="AK989" s="117"/>
      <c r="AL989" s="117"/>
      <c r="AM989" s="117"/>
      <c r="AN989" s="117"/>
      <c r="AO989" s="117"/>
    </row>
    <row r="990" ht="34.5" customHeight="1">
      <c r="A990" s="111">
        <v>1480.0</v>
      </c>
      <c r="B990" s="111" t="s">
        <v>8991</v>
      </c>
      <c r="C990" s="111" t="s">
        <v>7994</v>
      </c>
      <c r="D990" s="111"/>
      <c r="E990" s="111"/>
      <c r="F990" s="111" t="s">
        <v>12397</v>
      </c>
      <c r="G990" s="111" t="s">
        <v>12381</v>
      </c>
      <c r="H990" s="111" t="s">
        <v>12230</v>
      </c>
      <c r="I990" s="111" t="s">
        <v>12394</v>
      </c>
      <c r="J990" s="111" t="s">
        <v>12295</v>
      </c>
      <c r="K990" s="111" t="s">
        <v>30</v>
      </c>
      <c r="L990" s="111"/>
      <c r="M990" s="111"/>
      <c r="N990" s="111"/>
      <c r="O990" s="111"/>
      <c r="P990" s="111"/>
      <c r="Q990" s="111"/>
      <c r="R990" s="111"/>
      <c r="S990" s="111"/>
      <c r="T990" s="111"/>
      <c r="U990" s="111"/>
      <c r="V990" s="111"/>
      <c r="W990" s="111"/>
      <c r="X990" s="111"/>
      <c r="Y990" s="111"/>
      <c r="Z990" s="111"/>
      <c r="AA990" s="124"/>
      <c r="AB990" s="125"/>
      <c r="AC990" s="125"/>
      <c r="AD990" s="125"/>
      <c r="AE990" s="125" t="str">
        <f t="shared" si="194"/>
        <v/>
      </c>
      <c r="AF990" s="127" t="s">
        <v>13754</v>
      </c>
      <c r="AG990" s="127">
        <v>57.1224530376722</v>
      </c>
      <c r="AH990" s="127">
        <v>8.59321939940426</v>
      </c>
      <c r="AI990" s="115" t="s">
        <v>12383</v>
      </c>
      <c r="AJ990" s="116">
        <v>0.5</v>
      </c>
      <c r="AK990" s="117"/>
      <c r="AL990" s="117"/>
      <c r="AM990" s="117"/>
      <c r="AN990" s="117"/>
      <c r="AO990" s="117"/>
    </row>
    <row r="991" ht="34.5" customHeight="1">
      <c r="A991" s="111">
        <v>1481.0</v>
      </c>
      <c r="B991" s="111" t="s">
        <v>8992</v>
      </c>
      <c r="C991" s="111" t="s">
        <v>7994</v>
      </c>
      <c r="D991" s="111">
        <v>2025.0</v>
      </c>
      <c r="E991" s="111"/>
      <c r="F991" s="111" t="s">
        <v>12397</v>
      </c>
      <c r="G991" s="111" t="s">
        <v>12381</v>
      </c>
      <c r="H991" s="111" t="s">
        <v>12230</v>
      </c>
      <c r="I991" s="111" t="s">
        <v>12394</v>
      </c>
      <c r="J991" s="111" t="s">
        <v>12295</v>
      </c>
      <c r="K991" s="111" t="s">
        <v>12415</v>
      </c>
      <c r="L991" s="111"/>
      <c r="M991" s="111"/>
      <c r="N991" s="111">
        <v>1.0</v>
      </c>
      <c r="O991" s="111"/>
      <c r="P991" s="111"/>
      <c r="Q991" s="111"/>
      <c r="R991" s="111"/>
      <c r="S991" s="111"/>
      <c r="T991" s="111"/>
      <c r="U991" s="111"/>
      <c r="V991" s="111"/>
      <c r="W991" s="111"/>
      <c r="X991" s="111"/>
      <c r="Y991" s="111"/>
      <c r="Z991" s="111"/>
      <c r="AA991" s="124"/>
      <c r="AB991" s="125"/>
      <c r="AC991" s="125"/>
      <c r="AD991" s="125"/>
      <c r="AE991" s="125" t="str">
        <f t="shared" si="194"/>
        <v/>
      </c>
      <c r="AF991" s="127" t="s">
        <v>13754</v>
      </c>
      <c r="AG991" s="127">
        <v>57.1224530376722</v>
      </c>
      <c r="AH991" s="127">
        <v>8.59321939940426</v>
      </c>
      <c r="AI991" s="115" t="s">
        <v>12383</v>
      </c>
      <c r="AJ991" s="116">
        <v>0.5</v>
      </c>
      <c r="AK991" s="117"/>
      <c r="AL991" s="117"/>
      <c r="AM991" s="117"/>
      <c r="AN991" s="117"/>
      <c r="AO991" s="117"/>
    </row>
    <row r="992" ht="34.5" customHeight="1">
      <c r="A992" s="111">
        <v>1482.0</v>
      </c>
      <c r="B992" s="111" t="s">
        <v>8993</v>
      </c>
      <c r="C992" s="111" t="s">
        <v>7987</v>
      </c>
      <c r="D992" s="111">
        <v>2024.0</v>
      </c>
      <c r="E992" s="111"/>
      <c r="F992" s="111" t="s">
        <v>12399</v>
      </c>
      <c r="G992" s="111" t="s">
        <v>12224</v>
      </c>
      <c r="H992" s="111"/>
      <c r="I992" s="111" t="s">
        <v>12394</v>
      </c>
      <c r="J992" s="111" t="s">
        <v>12291</v>
      </c>
      <c r="K992" s="111" t="s">
        <v>30</v>
      </c>
      <c r="L992" s="111"/>
      <c r="M992" s="111"/>
      <c r="N992" s="111"/>
      <c r="O992" s="111"/>
      <c r="P992" s="111">
        <v>1.0</v>
      </c>
      <c r="Q992" s="111">
        <v>1.0</v>
      </c>
      <c r="R992" s="111"/>
      <c r="S992" s="111"/>
      <c r="T992" s="111"/>
      <c r="U992" s="111"/>
      <c r="V992" s="111"/>
      <c r="W992" s="111"/>
      <c r="X992" s="111"/>
      <c r="Y992" s="111"/>
      <c r="Z992" s="111" t="s">
        <v>12835</v>
      </c>
      <c r="AA992" s="124">
        <v>5.0</v>
      </c>
      <c r="AB992" s="125">
        <f>IF(Projects!$AI992="Electrolysis",
AA992/VLOOKUP(G992,ElectrolysisConvF,3,FALSE),
AC992*10^6/(H2dens*HoursInYear))</f>
        <v>1086.956522</v>
      </c>
      <c r="AC992" s="125">
        <f t="shared" ref="AC992:AC998" si="196">AB992*H2dens*HoursInYear/10^6</f>
        <v>0.8474347826</v>
      </c>
      <c r="AD992" s="125"/>
      <c r="AE992" s="125">
        <f t="shared" si="194"/>
        <v>1086.956522</v>
      </c>
      <c r="AF992" s="127" t="s">
        <v>13755</v>
      </c>
      <c r="AG992" s="127">
        <v>51.853127549675</v>
      </c>
      <c r="AH992" s="127">
        <v>13.7097750119131</v>
      </c>
      <c r="AI992" s="115" t="s">
        <v>12383</v>
      </c>
      <c r="AJ992" s="116">
        <v>0.3</v>
      </c>
      <c r="AK992" s="117"/>
      <c r="AL992" s="117"/>
      <c r="AM992" s="117"/>
      <c r="AN992" s="117"/>
      <c r="AO992" s="117"/>
    </row>
    <row r="993" ht="34.5" customHeight="1">
      <c r="A993" s="111">
        <v>1483.0</v>
      </c>
      <c r="B993" s="111" t="s">
        <v>8994</v>
      </c>
      <c r="C993" s="111" t="s">
        <v>8437</v>
      </c>
      <c r="D993" s="111"/>
      <c r="E993" s="111"/>
      <c r="F993" s="111" t="s">
        <v>12397</v>
      </c>
      <c r="G993" s="111" t="s">
        <v>12381</v>
      </c>
      <c r="H993" s="111" t="s">
        <v>12230</v>
      </c>
      <c r="I993" s="111" t="s">
        <v>12394</v>
      </c>
      <c r="J993" s="111" t="s">
        <v>12294</v>
      </c>
      <c r="K993" s="111" t="s">
        <v>30</v>
      </c>
      <c r="L993" s="111"/>
      <c r="M993" s="111">
        <v>1.0</v>
      </c>
      <c r="N993" s="111"/>
      <c r="O993" s="111"/>
      <c r="P993" s="111">
        <v>1.0</v>
      </c>
      <c r="Q993" s="111"/>
      <c r="R993" s="111"/>
      <c r="S993" s="111"/>
      <c r="T993" s="111"/>
      <c r="U993" s="111"/>
      <c r="V993" s="111"/>
      <c r="W993" s="111"/>
      <c r="X993" s="111"/>
      <c r="Y993" s="111"/>
      <c r="Z993" s="111" t="s">
        <v>13102</v>
      </c>
      <c r="AA993" s="124">
        <v>600.0</v>
      </c>
      <c r="AB993" s="125">
        <f>IF(Projects!$AI993="Electrolysis",
AA993/VLOOKUP(G993,ElectrolysisConvF,3,FALSE),
AC993*10^6/(H2dens*HoursInYear))</f>
        <v>133333.3333</v>
      </c>
      <c r="AC993" s="126">
        <f t="shared" si="196"/>
        <v>103.952</v>
      </c>
      <c r="AD993" s="125"/>
      <c r="AE993" s="125">
        <f t="shared" si="194"/>
        <v>133333.3333</v>
      </c>
      <c r="AF993" s="127" t="s">
        <v>13756</v>
      </c>
      <c r="AG993" s="127">
        <v>-25.4147978445457</v>
      </c>
      <c r="AH993" s="127">
        <v>-54.6134807432928</v>
      </c>
      <c r="AI993" s="115" t="s">
        <v>12383</v>
      </c>
      <c r="AJ993" s="116">
        <v>0.8</v>
      </c>
      <c r="AK993" s="117"/>
      <c r="AL993" s="117"/>
      <c r="AM993" s="117"/>
      <c r="AN993" s="117"/>
      <c r="AO993" s="117"/>
    </row>
    <row r="994" ht="34.5" customHeight="1">
      <c r="A994" s="111">
        <v>1484.0</v>
      </c>
      <c r="B994" s="111" t="s">
        <v>8995</v>
      </c>
      <c r="C994" s="111" t="s">
        <v>8437</v>
      </c>
      <c r="D994" s="111">
        <v>2026.0</v>
      </c>
      <c r="E994" s="111"/>
      <c r="F994" s="111" t="s">
        <v>12399</v>
      </c>
      <c r="G994" s="111" t="s">
        <v>12381</v>
      </c>
      <c r="H994" s="111" t="s">
        <v>12230</v>
      </c>
      <c r="I994" s="111" t="s">
        <v>12394</v>
      </c>
      <c r="J994" s="111" t="s">
        <v>12294</v>
      </c>
      <c r="K994" s="111" t="s">
        <v>174</v>
      </c>
      <c r="L994" s="111"/>
      <c r="M994" s="111">
        <v>1.0</v>
      </c>
      <c r="N994" s="111"/>
      <c r="O994" s="111"/>
      <c r="P994" s="111"/>
      <c r="Q994" s="111"/>
      <c r="R994" s="111"/>
      <c r="S994" s="111"/>
      <c r="T994" s="111"/>
      <c r="U994" s="111"/>
      <c r="V994" s="111"/>
      <c r="W994" s="111"/>
      <c r="X994" s="111"/>
      <c r="Y994" s="111"/>
      <c r="Z994" s="111" t="s">
        <v>12794</v>
      </c>
      <c r="AA994" s="124">
        <v>350.0</v>
      </c>
      <c r="AB994" s="125">
        <f>IF(Projects!$AI994="Electrolysis",
AA994/VLOOKUP(G994,ElectrolysisConvF,3,FALSE),
AC994*10^6/(H2dens*HoursInYear))</f>
        <v>77777.77778</v>
      </c>
      <c r="AC994" s="126">
        <f t="shared" si="196"/>
        <v>60.63866667</v>
      </c>
      <c r="AD994" s="125"/>
      <c r="AE994" s="125">
        <f t="shared" si="194"/>
        <v>77777.77778</v>
      </c>
      <c r="AF994" s="127" t="s">
        <v>13757</v>
      </c>
      <c r="AG994" s="127">
        <v>-25.4147978445457</v>
      </c>
      <c r="AH994" s="127">
        <v>-54.6134807432928</v>
      </c>
      <c r="AI994" s="115" t="s">
        <v>12383</v>
      </c>
      <c r="AJ994" s="116">
        <v>0.8</v>
      </c>
      <c r="AK994" s="117"/>
      <c r="AL994" s="117"/>
      <c r="AM994" s="117"/>
      <c r="AN994" s="117"/>
      <c r="AO994" s="117"/>
    </row>
    <row r="995" ht="34.5" customHeight="1">
      <c r="A995" s="111">
        <v>1485.0</v>
      </c>
      <c r="B995" s="111" t="s">
        <v>8996</v>
      </c>
      <c r="C995" s="111" t="s">
        <v>8437</v>
      </c>
      <c r="D995" s="111">
        <v>2026.0</v>
      </c>
      <c r="E995" s="111"/>
      <c r="F995" s="111" t="s">
        <v>12399</v>
      </c>
      <c r="G995" s="111" t="s">
        <v>12381</v>
      </c>
      <c r="H995" s="111" t="s">
        <v>12230</v>
      </c>
      <c r="I995" s="111" t="s">
        <v>12394</v>
      </c>
      <c r="J995" s="111" t="s">
        <v>12294</v>
      </c>
      <c r="K995" s="111" t="s">
        <v>30</v>
      </c>
      <c r="L995" s="111"/>
      <c r="M995" s="111">
        <v>1.0</v>
      </c>
      <c r="N995" s="111"/>
      <c r="O995" s="111"/>
      <c r="P995" s="111">
        <v>1.0</v>
      </c>
      <c r="Q995" s="111"/>
      <c r="R995" s="111"/>
      <c r="S995" s="111"/>
      <c r="T995" s="111"/>
      <c r="U995" s="111"/>
      <c r="V995" s="111"/>
      <c r="W995" s="111"/>
      <c r="X995" s="111"/>
      <c r="Y995" s="111"/>
      <c r="Z995" s="111" t="s">
        <v>13758</v>
      </c>
      <c r="AA995" s="124">
        <v>75.0</v>
      </c>
      <c r="AB995" s="125">
        <f>IF(Projects!$AI995="Electrolysis",
AA995/VLOOKUP(G995,ElectrolysisConvF,3,FALSE),
AC995*10^6/(H2dens*HoursInYear))</f>
        <v>16666.66667</v>
      </c>
      <c r="AC995" s="126">
        <f t="shared" si="196"/>
        <v>12.994</v>
      </c>
      <c r="AD995" s="125"/>
      <c r="AE995" s="125">
        <f t="shared" si="194"/>
        <v>16666.66667</v>
      </c>
      <c r="AF995" s="127" t="s">
        <v>13759</v>
      </c>
      <c r="AG995" s="127">
        <v>-25.4147978445457</v>
      </c>
      <c r="AH995" s="127">
        <v>-54.6134807432928</v>
      </c>
      <c r="AI995" s="115" t="s">
        <v>12383</v>
      </c>
      <c r="AJ995" s="116">
        <v>0.8</v>
      </c>
      <c r="AK995" s="117"/>
      <c r="AL995" s="117"/>
      <c r="AM995" s="117"/>
      <c r="AN995" s="117"/>
      <c r="AO995" s="117"/>
    </row>
    <row r="996" ht="34.5" customHeight="1">
      <c r="A996" s="111">
        <v>1486.0</v>
      </c>
      <c r="B996" s="111" t="s">
        <v>8997</v>
      </c>
      <c r="C996" s="111" t="s">
        <v>8437</v>
      </c>
      <c r="D996" s="111"/>
      <c r="E996" s="111"/>
      <c r="F996" s="111" t="s">
        <v>12397</v>
      </c>
      <c r="G996" s="111" t="s">
        <v>12381</v>
      </c>
      <c r="H996" s="111" t="s">
        <v>12230</v>
      </c>
      <c r="I996" s="111" t="s">
        <v>12394</v>
      </c>
      <c r="J996" s="111" t="s">
        <v>12294</v>
      </c>
      <c r="K996" s="111" t="s">
        <v>30</v>
      </c>
      <c r="L996" s="111"/>
      <c r="M996" s="111"/>
      <c r="N996" s="111"/>
      <c r="O996" s="111"/>
      <c r="P996" s="111"/>
      <c r="Q996" s="111"/>
      <c r="R996" s="111"/>
      <c r="S996" s="111"/>
      <c r="T996" s="111"/>
      <c r="U996" s="111"/>
      <c r="V996" s="111"/>
      <c r="W996" s="111"/>
      <c r="X996" s="111"/>
      <c r="Y996" s="111"/>
      <c r="Z996" s="111" t="s">
        <v>13104</v>
      </c>
      <c r="AA996" s="124">
        <f>300-AA995</f>
        <v>225</v>
      </c>
      <c r="AB996" s="125">
        <f>IF(Projects!$AI996="Electrolysis",
AA996/VLOOKUP(G996,ElectrolysisConvF,3,FALSE),
AC996*10^6/(H2dens*HoursInYear))</f>
        <v>50000</v>
      </c>
      <c r="AC996" s="126">
        <f t="shared" si="196"/>
        <v>38.982</v>
      </c>
      <c r="AD996" s="125"/>
      <c r="AE996" s="125">
        <f t="shared" si="194"/>
        <v>50000</v>
      </c>
      <c r="AF996" s="127" t="s">
        <v>13759</v>
      </c>
      <c r="AG996" s="127">
        <v>-25.4147978445457</v>
      </c>
      <c r="AH996" s="127">
        <v>-54.6134807432928</v>
      </c>
      <c r="AI996" s="115" t="s">
        <v>12383</v>
      </c>
      <c r="AJ996" s="116">
        <v>0.8</v>
      </c>
      <c r="AK996" s="117"/>
      <c r="AL996" s="117"/>
      <c r="AM996" s="117"/>
      <c r="AN996" s="117"/>
      <c r="AO996" s="117"/>
    </row>
    <row r="997" ht="34.5" customHeight="1">
      <c r="A997" s="111">
        <v>1487.0</v>
      </c>
      <c r="B997" s="111" t="s">
        <v>8998</v>
      </c>
      <c r="C997" s="111" t="s">
        <v>7991</v>
      </c>
      <c r="D997" s="111">
        <v>2023.0</v>
      </c>
      <c r="E997" s="111">
        <v>2026.0</v>
      </c>
      <c r="F997" s="111" t="s">
        <v>12385</v>
      </c>
      <c r="G997" s="111" t="s">
        <v>12381</v>
      </c>
      <c r="H997" s="111" t="s">
        <v>12230</v>
      </c>
      <c r="I997" s="111" t="s">
        <v>12394</v>
      </c>
      <c r="J997" s="111" t="s">
        <v>12291</v>
      </c>
      <c r="K997" s="111" t="s">
        <v>30</v>
      </c>
      <c r="L997" s="111"/>
      <c r="M997" s="111"/>
      <c r="N997" s="111"/>
      <c r="O997" s="111"/>
      <c r="P997" s="111"/>
      <c r="Q997" s="111"/>
      <c r="R997" s="111"/>
      <c r="S997" s="111"/>
      <c r="T997" s="111"/>
      <c r="U997" s="111"/>
      <c r="V997" s="111"/>
      <c r="W997" s="111"/>
      <c r="X997" s="111"/>
      <c r="Y997" s="111"/>
      <c r="Z997" s="111" t="s">
        <v>13332</v>
      </c>
      <c r="AA997" s="124">
        <v>0.9</v>
      </c>
      <c r="AB997" s="125">
        <f>IF(Projects!$AI997="Electrolysis",
AA997/VLOOKUP(G997,ElectrolysisConvF,3,FALSE),
AC997*10^6/(H2dens*HoursInYear))</f>
        <v>200</v>
      </c>
      <c r="AC997" s="126">
        <f t="shared" si="196"/>
        <v>0.155928</v>
      </c>
      <c r="AD997" s="125"/>
      <c r="AE997" s="125">
        <f t="shared" si="194"/>
        <v>200</v>
      </c>
      <c r="AF997" s="127" t="s">
        <v>13760</v>
      </c>
      <c r="AG997" s="127">
        <v>50.7157545409621</v>
      </c>
      <c r="AH997" s="127">
        <v>-1.98428127360042</v>
      </c>
      <c r="AI997" s="115" t="s">
        <v>12383</v>
      </c>
      <c r="AJ997" s="116">
        <v>0.3</v>
      </c>
      <c r="AK997" s="117"/>
      <c r="AL997" s="117"/>
      <c r="AM997" s="117"/>
      <c r="AN997" s="117"/>
      <c r="AO997" s="117"/>
    </row>
    <row r="998" ht="34.5" customHeight="1">
      <c r="A998" s="111">
        <v>1489.0</v>
      </c>
      <c r="B998" s="111" t="s">
        <v>8999</v>
      </c>
      <c r="C998" s="111" t="s">
        <v>7977</v>
      </c>
      <c r="D998" s="111">
        <v>2029.0</v>
      </c>
      <c r="E998" s="111"/>
      <c r="F998" s="111" t="s">
        <v>12399</v>
      </c>
      <c r="G998" s="111" t="s">
        <v>12381</v>
      </c>
      <c r="H998" s="111" t="s">
        <v>12230</v>
      </c>
      <c r="I998" s="111" t="s">
        <v>12394</v>
      </c>
      <c r="J998" s="111" t="s">
        <v>12295</v>
      </c>
      <c r="K998" s="111" t="s">
        <v>30</v>
      </c>
      <c r="L998" s="111"/>
      <c r="M998" s="111">
        <v>1.0</v>
      </c>
      <c r="N998" s="111"/>
      <c r="O998" s="111"/>
      <c r="P998" s="111"/>
      <c r="Q998" s="111"/>
      <c r="R998" s="111"/>
      <c r="S998" s="111">
        <v>1.0</v>
      </c>
      <c r="T998" s="111"/>
      <c r="U998" s="111"/>
      <c r="V998" s="111"/>
      <c r="W998" s="111"/>
      <c r="X998" s="111"/>
      <c r="Y998" s="111"/>
      <c r="Z998" s="111" t="s">
        <v>13761</v>
      </c>
      <c r="AA998" s="124">
        <v>500.0</v>
      </c>
      <c r="AB998" s="125">
        <f>IF(Projects!$AI998="Electrolysis",
AA998/VLOOKUP(G998,ElectrolysisConvF,3,FALSE),
AC998*10^6/(H2dens*HoursInYear))</f>
        <v>111111.1111</v>
      </c>
      <c r="AC998" s="126">
        <f t="shared" si="196"/>
        <v>86.62666667</v>
      </c>
      <c r="AD998" s="125"/>
      <c r="AE998" s="125">
        <f t="shared" si="194"/>
        <v>111111.1111</v>
      </c>
      <c r="AF998" s="127" t="s">
        <v>13762</v>
      </c>
      <c r="AG998" s="127">
        <v>39.6801847454457</v>
      </c>
      <c r="AH998" s="127">
        <v>-0.278295447714732</v>
      </c>
      <c r="AI998" s="115" t="s">
        <v>12383</v>
      </c>
      <c r="AJ998" s="116">
        <v>0.5</v>
      </c>
      <c r="AK998" s="117"/>
      <c r="AL998" s="117"/>
      <c r="AM998" s="117"/>
      <c r="AN998" s="117"/>
      <c r="AO998" s="117"/>
    </row>
    <row r="999" ht="34.5" customHeight="1">
      <c r="A999" s="111">
        <v>1491.0</v>
      </c>
      <c r="B999" s="111" t="s">
        <v>9000</v>
      </c>
      <c r="C999" s="111" t="s">
        <v>8023</v>
      </c>
      <c r="D999" s="111">
        <v>2021.0</v>
      </c>
      <c r="E999" s="111"/>
      <c r="F999" s="111" t="s">
        <v>12385</v>
      </c>
      <c r="G999" s="111" t="s">
        <v>12381</v>
      </c>
      <c r="H999" s="111" t="s">
        <v>12230</v>
      </c>
      <c r="I999" s="111" t="s">
        <v>12287</v>
      </c>
      <c r="J999" s="111"/>
      <c r="K999" s="111" t="s">
        <v>30</v>
      </c>
      <c r="L999" s="111">
        <v>1.0</v>
      </c>
      <c r="M999" s="111"/>
      <c r="N999" s="111"/>
      <c r="O999" s="111"/>
      <c r="P999" s="111"/>
      <c r="Q999" s="111">
        <v>1.0</v>
      </c>
      <c r="R999" s="111"/>
      <c r="S999" s="111"/>
      <c r="T999" s="111"/>
      <c r="U999" s="111"/>
      <c r="V999" s="111"/>
      <c r="W999" s="111"/>
      <c r="X999" s="111"/>
      <c r="Y999" s="111"/>
      <c r="Z999" s="111" t="s">
        <v>13763</v>
      </c>
      <c r="AA999" s="126">
        <f>IF(Projects!$AI999="Electrolysis",
AB999*VLOOKUP(G999,ElectrolysisConvF,3,FALSE),
"")</f>
        <v>2.020163152</v>
      </c>
      <c r="AB999" s="126">
        <f>AC999/(H2dens*HoursInYear/10^6)</f>
        <v>448.9251449</v>
      </c>
      <c r="AC999" s="125">
        <v>0.35</v>
      </c>
      <c r="AD999" s="125"/>
      <c r="AE999" s="125">
        <f t="shared" si="194"/>
        <v>448.9251449</v>
      </c>
      <c r="AF999" s="127" t="s">
        <v>13764</v>
      </c>
      <c r="AG999" s="127">
        <v>50.1606715475764</v>
      </c>
      <c r="AH999" s="127">
        <v>19.4474161309661</v>
      </c>
      <c r="AI999" s="115" t="s">
        <v>12383</v>
      </c>
      <c r="AJ999" s="116">
        <v>0.57</v>
      </c>
      <c r="AK999" s="117"/>
      <c r="AL999" s="117"/>
      <c r="AM999" s="117"/>
      <c r="AN999" s="117"/>
      <c r="AO999" s="117"/>
    </row>
    <row r="1000" ht="34.5" customHeight="1">
      <c r="A1000" s="133">
        <v>1492.0</v>
      </c>
      <c r="B1000" s="133" t="s">
        <v>9001</v>
      </c>
      <c r="C1000" s="133" t="s">
        <v>8023</v>
      </c>
      <c r="D1000" s="133">
        <v>2028.0</v>
      </c>
      <c r="E1000" s="133"/>
      <c r="F1000" s="133" t="s">
        <v>12399</v>
      </c>
      <c r="G1000" s="133" t="s">
        <v>12381</v>
      </c>
      <c r="H1000" s="133" t="s">
        <v>12230</v>
      </c>
      <c r="I1000" s="133" t="s">
        <v>12394</v>
      </c>
      <c r="J1000" s="133" t="s">
        <v>12293</v>
      </c>
      <c r="K1000" s="133" t="s">
        <v>30</v>
      </c>
      <c r="L1000" s="133"/>
      <c r="M1000" s="133"/>
      <c r="N1000" s="133"/>
      <c r="O1000" s="133"/>
      <c r="P1000" s="133"/>
      <c r="Q1000" s="133"/>
      <c r="R1000" s="133"/>
      <c r="S1000" s="133"/>
      <c r="T1000" s="133"/>
      <c r="U1000" s="133"/>
      <c r="V1000" s="133"/>
      <c r="W1000" s="133"/>
      <c r="X1000" s="133"/>
      <c r="Y1000" s="133"/>
      <c r="Z1000" s="133"/>
      <c r="AA1000" s="134"/>
      <c r="AB1000" s="135"/>
      <c r="AC1000" s="135"/>
      <c r="AD1000" s="135"/>
      <c r="AE1000" s="135" t="str">
        <f t="shared" si="194"/>
        <v/>
      </c>
      <c r="AF1000" s="137"/>
      <c r="AG1000" s="137">
        <v>55.0128437650918</v>
      </c>
      <c r="AH1000" s="137">
        <v>17.854748269755</v>
      </c>
      <c r="AI1000" s="115" t="s">
        <v>12383</v>
      </c>
      <c r="AJ1000" s="116">
        <v>0.55</v>
      </c>
      <c r="AK1000" s="117"/>
      <c r="AL1000" s="117"/>
      <c r="AM1000" s="117"/>
      <c r="AN1000" s="117"/>
      <c r="AO1000" s="117"/>
    </row>
    <row r="1001" ht="34.5" customHeight="1">
      <c r="A1001" s="111">
        <v>1493.0</v>
      </c>
      <c r="B1001" s="111" t="s">
        <v>9002</v>
      </c>
      <c r="C1001" s="111" t="s">
        <v>7991</v>
      </c>
      <c r="D1001" s="111">
        <v>2027.0</v>
      </c>
      <c r="E1001" s="111"/>
      <c r="F1001" s="111" t="s">
        <v>12399</v>
      </c>
      <c r="G1001" s="111" t="s">
        <v>12381</v>
      </c>
      <c r="H1001" s="111" t="s">
        <v>12230</v>
      </c>
      <c r="I1001" s="111" t="s">
        <v>12406</v>
      </c>
      <c r="J1001" s="111"/>
      <c r="K1001" s="111" t="s">
        <v>30</v>
      </c>
      <c r="L1001" s="111"/>
      <c r="M1001" s="111"/>
      <c r="N1001" s="111"/>
      <c r="O1001" s="111">
        <v>1.0</v>
      </c>
      <c r="P1001" s="111">
        <v>1.0</v>
      </c>
      <c r="Q1001" s="111"/>
      <c r="R1001" s="111"/>
      <c r="S1001" s="111"/>
      <c r="T1001" s="111"/>
      <c r="U1001" s="111"/>
      <c r="V1001" s="111"/>
      <c r="W1001" s="111"/>
      <c r="X1001" s="111"/>
      <c r="Y1001" s="111"/>
      <c r="Z1001" s="111" t="s">
        <v>13765</v>
      </c>
      <c r="AA1001" s="124">
        <v>110.0</v>
      </c>
      <c r="AB1001" s="125">
        <f>IF(Projects!$AI1001="Electrolysis",
AA1001/VLOOKUP(G1001,ElectrolysisConvF,3,FALSE),
AC1001*10^6/(H2dens*HoursInYear))</f>
        <v>24444.44444</v>
      </c>
      <c r="AC1001" s="125">
        <f>AB1001*H2dens*HoursInYear/10^6</f>
        <v>19.05786667</v>
      </c>
      <c r="AD1001" s="125"/>
      <c r="AE1001" s="125">
        <f t="shared" si="194"/>
        <v>24444.44444</v>
      </c>
      <c r="AF1001" s="127" t="s">
        <v>13766</v>
      </c>
      <c r="AG1001" s="127">
        <v>51.6845551518729</v>
      </c>
      <c r="AH1001" s="127">
        <v>-4.98247284482957</v>
      </c>
      <c r="AI1001" s="115" t="s">
        <v>12383</v>
      </c>
      <c r="AJ1001" s="116">
        <v>0.57</v>
      </c>
      <c r="AK1001" s="117"/>
      <c r="AL1001" s="117"/>
      <c r="AM1001" s="117"/>
      <c r="AN1001" s="117"/>
      <c r="AO1001" s="117"/>
    </row>
    <row r="1002" ht="34.5" customHeight="1">
      <c r="A1002" s="111">
        <v>1497.0</v>
      </c>
      <c r="B1002" s="111" t="s">
        <v>9003</v>
      </c>
      <c r="C1002" s="111" t="s">
        <v>8021</v>
      </c>
      <c r="D1002" s="111">
        <v>2025.0</v>
      </c>
      <c r="E1002" s="111"/>
      <c r="F1002" s="111" t="s">
        <v>12399</v>
      </c>
      <c r="G1002" s="111" t="s">
        <v>12381</v>
      </c>
      <c r="H1002" s="111" t="s">
        <v>12230</v>
      </c>
      <c r="I1002" s="111" t="s">
        <v>12394</v>
      </c>
      <c r="J1002" s="111" t="s">
        <v>12296</v>
      </c>
      <c r="K1002" s="111" t="s">
        <v>30</v>
      </c>
      <c r="L1002" s="111"/>
      <c r="M1002" s="111"/>
      <c r="N1002" s="111"/>
      <c r="O1002" s="111"/>
      <c r="P1002" s="111"/>
      <c r="Q1002" s="111"/>
      <c r="R1002" s="111"/>
      <c r="S1002" s="111"/>
      <c r="T1002" s="111"/>
      <c r="U1002" s="111"/>
      <c r="V1002" s="111"/>
      <c r="W1002" s="111"/>
      <c r="X1002" s="111"/>
      <c r="Y1002" s="111"/>
      <c r="Z1002" s="111" t="s">
        <v>13767</v>
      </c>
      <c r="AA1002" s="126">
        <f>IF(Projects!$AI1002="Electrolysis",
AB1002*VLOOKUP(G1002,ElectrolysisConvF,3,FALSE),
"")</f>
        <v>716.2921348</v>
      </c>
      <c r="AB1002" s="125">
        <f>AC1002/(H2dens*HoursInYear/10^6)</f>
        <v>159176.03</v>
      </c>
      <c r="AC1002" s="125">
        <f>170*365/1000/Projects!$AJ1002</f>
        <v>124.1</v>
      </c>
      <c r="AD1002" s="125"/>
      <c r="AE1002" s="125">
        <f t="shared" si="194"/>
        <v>159176.03</v>
      </c>
      <c r="AF1002" s="127" t="s">
        <v>13768</v>
      </c>
      <c r="AG1002" s="127">
        <v>-38.1037757910568</v>
      </c>
      <c r="AH1002" s="127">
        <v>144.362414598475</v>
      </c>
      <c r="AI1002" s="115" t="s">
        <v>12383</v>
      </c>
      <c r="AJ1002" s="116">
        <v>0.5</v>
      </c>
      <c r="AK1002" s="117"/>
      <c r="AL1002" s="117"/>
      <c r="AM1002" s="117"/>
      <c r="AN1002" s="117"/>
      <c r="AO1002" s="117"/>
    </row>
    <row r="1003" ht="34.5" customHeight="1">
      <c r="A1003" s="111">
        <v>1498.0</v>
      </c>
      <c r="B1003" s="111" t="s">
        <v>9004</v>
      </c>
      <c r="C1003" s="111" t="s">
        <v>8161</v>
      </c>
      <c r="D1003" s="111">
        <v>2026.0</v>
      </c>
      <c r="E1003" s="111"/>
      <c r="F1003" s="111" t="s">
        <v>12399</v>
      </c>
      <c r="G1003" s="111" t="s">
        <v>12224</v>
      </c>
      <c r="H1003" s="111"/>
      <c r="I1003" s="111" t="s">
        <v>12394</v>
      </c>
      <c r="J1003" s="111" t="s">
        <v>12296</v>
      </c>
      <c r="K1003" s="111" t="s">
        <v>174</v>
      </c>
      <c r="L1003" s="111"/>
      <c r="M1003" s="111">
        <v>1.0</v>
      </c>
      <c r="N1003" s="111"/>
      <c r="O1003" s="111"/>
      <c r="P1003" s="111">
        <v>1.0</v>
      </c>
      <c r="Q1003" s="111"/>
      <c r="R1003" s="111"/>
      <c r="S1003" s="111"/>
      <c r="T1003" s="111"/>
      <c r="U1003" s="111"/>
      <c r="V1003" s="111"/>
      <c r="W1003" s="111"/>
      <c r="X1003" s="111"/>
      <c r="Y1003" s="111"/>
      <c r="Z1003" s="111" t="s">
        <v>12800</v>
      </c>
      <c r="AA1003" s="124">
        <v>40.0</v>
      </c>
      <c r="AB1003" s="125">
        <f>IF(Projects!$AI1003="Electrolysis",
AA1003/VLOOKUP(G1003,ElectrolysisConvF,3,FALSE),
AC1003*10^6/(H2dens*HoursInYear))</f>
        <v>8695.652174</v>
      </c>
      <c r="AC1003" s="126">
        <f t="shared" ref="AC1003:AC1006" si="197">AB1003*H2dens*HoursInYear/10^6</f>
        <v>6.779478261</v>
      </c>
      <c r="AD1003" s="125"/>
      <c r="AE1003" s="125">
        <f t="shared" si="194"/>
        <v>8695.652174</v>
      </c>
      <c r="AF1003" s="127" t="s">
        <v>13769</v>
      </c>
      <c r="AG1003" s="127">
        <v>40.7597336293465</v>
      </c>
      <c r="AH1003" s="127">
        <v>-8.57326698465109</v>
      </c>
      <c r="AI1003" s="115" t="s">
        <v>12383</v>
      </c>
      <c r="AJ1003" s="116">
        <v>0.5</v>
      </c>
      <c r="AK1003" s="117"/>
      <c r="AL1003" s="117"/>
      <c r="AM1003" s="117"/>
      <c r="AN1003" s="117"/>
      <c r="AO1003" s="117"/>
    </row>
    <row r="1004" ht="34.5" customHeight="1">
      <c r="A1004" s="111">
        <v>1499.0</v>
      </c>
      <c r="B1004" s="111" t="s">
        <v>9005</v>
      </c>
      <c r="C1004" s="111" t="s">
        <v>7971</v>
      </c>
      <c r="D1004" s="111">
        <v>2027.0</v>
      </c>
      <c r="E1004" s="111"/>
      <c r="F1004" s="111" t="s">
        <v>12399</v>
      </c>
      <c r="G1004" s="111" t="s">
        <v>12381</v>
      </c>
      <c r="H1004" s="111" t="s">
        <v>12230</v>
      </c>
      <c r="I1004" s="111" t="s">
        <v>12394</v>
      </c>
      <c r="J1004" s="111" t="s">
        <v>12296</v>
      </c>
      <c r="K1004" s="111" t="s">
        <v>174</v>
      </c>
      <c r="L1004" s="111"/>
      <c r="M1004" s="111">
        <v>1.0</v>
      </c>
      <c r="N1004" s="111"/>
      <c r="O1004" s="111"/>
      <c r="P1004" s="111"/>
      <c r="Q1004" s="111">
        <v>1.0</v>
      </c>
      <c r="R1004" s="111"/>
      <c r="S1004" s="111"/>
      <c r="T1004" s="111"/>
      <c r="U1004" s="111"/>
      <c r="V1004" s="111"/>
      <c r="W1004" s="111"/>
      <c r="X1004" s="111"/>
      <c r="Y1004" s="111"/>
      <c r="Z1004" s="111" t="s">
        <v>13104</v>
      </c>
      <c r="AA1004" s="124">
        <v>300.0</v>
      </c>
      <c r="AB1004" s="125">
        <f>IF(Projects!$AI1004="Electrolysis",
AA1004/VLOOKUP(G1004,ElectrolysisConvF,3,FALSE),
AC1004*10^6/(H2dens*HoursInYear))</f>
        <v>66666.66667</v>
      </c>
      <c r="AC1004" s="126">
        <f t="shared" si="197"/>
        <v>51.976</v>
      </c>
      <c r="AD1004" s="125"/>
      <c r="AE1004" s="125">
        <f t="shared" si="194"/>
        <v>66666.66667</v>
      </c>
      <c r="AF1004" s="127" t="s">
        <v>13770</v>
      </c>
      <c r="AG1004" s="127">
        <v>59.6788450757285</v>
      </c>
      <c r="AH1004" s="127">
        <v>6.35287471683493</v>
      </c>
      <c r="AI1004" s="115" t="s">
        <v>12383</v>
      </c>
      <c r="AJ1004" s="116">
        <v>0.5</v>
      </c>
      <c r="AK1004" s="117"/>
      <c r="AL1004" s="117"/>
      <c r="AM1004" s="117"/>
      <c r="AN1004" s="117"/>
      <c r="AO1004" s="117"/>
    </row>
    <row r="1005" ht="34.5" customHeight="1">
      <c r="A1005" s="111">
        <v>1500.0</v>
      </c>
      <c r="B1005" s="111" t="s">
        <v>9006</v>
      </c>
      <c r="C1005" s="111" t="s">
        <v>8702</v>
      </c>
      <c r="D1005" s="111">
        <v>2027.0</v>
      </c>
      <c r="E1005" s="111"/>
      <c r="F1005" s="111" t="s">
        <v>12393</v>
      </c>
      <c r="G1005" s="111" t="s">
        <v>12381</v>
      </c>
      <c r="H1005" s="111" t="s">
        <v>12230</v>
      </c>
      <c r="I1005" s="111" t="s">
        <v>12394</v>
      </c>
      <c r="J1005" s="111" t="s">
        <v>12292</v>
      </c>
      <c r="K1005" s="111" t="s">
        <v>30</v>
      </c>
      <c r="L1005" s="111"/>
      <c r="M1005" s="111"/>
      <c r="N1005" s="111"/>
      <c r="O1005" s="111"/>
      <c r="P1005" s="111"/>
      <c r="Q1005" s="111">
        <v>1.0</v>
      </c>
      <c r="R1005" s="111"/>
      <c r="S1005" s="111"/>
      <c r="T1005" s="111"/>
      <c r="U1005" s="111"/>
      <c r="V1005" s="111"/>
      <c r="W1005" s="111"/>
      <c r="X1005" s="111"/>
      <c r="Y1005" s="111"/>
      <c r="Z1005" s="111" t="s">
        <v>13771</v>
      </c>
      <c r="AA1005" s="124">
        <v>45.0</v>
      </c>
      <c r="AB1005" s="125">
        <f>IF(Projects!$AI1005="Electrolysis",
AA1005/VLOOKUP(G1005,ElectrolysisConvF,3,FALSE),
AC1005*10^6/(H2dens*HoursInYear))</f>
        <v>10000</v>
      </c>
      <c r="AC1005" s="126">
        <f t="shared" si="197"/>
        <v>7.7964</v>
      </c>
      <c r="AD1005" s="125"/>
      <c r="AE1005" s="125">
        <f t="shared" si="194"/>
        <v>10000</v>
      </c>
      <c r="AF1005" s="127" t="s">
        <v>13772</v>
      </c>
      <c r="AG1005" s="127">
        <v>54.1096426735225</v>
      </c>
      <c r="AH1005" s="127">
        <v>-9.03113627467893</v>
      </c>
      <c r="AI1005" s="115" t="s">
        <v>12383</v>
      </c>
      <c r="AJ1005" s="116">
        <v>0.4</v>
      </c>
      <c r="AK1005" s="117"/>
      <c r="AL1005" s="117"/>
      <c r="AM1005" s="117"/>
      <c r="AN1005" s="117"/>
      <c r="AO1005" s="117"/>
    </row>
    <row r="1006" ht="34.5" customHeight="1">
      <c r="A1006" s="111">
        <v>1501.0</v>
      </c>
      <c r="B1006" s="111" t="s">
        <v>9007</v>
      </c>
      <c r="C1006" s="111" t="s">
        <v>7977</v>
      </c>
      <c r="D1006" s="111">
        <v>2024.0</v>
      </c>
      <c r="E1006" s="111"/>
      <c r="F1006" s="111" t="s">
        <v>12393</v>
      </c>
      <c r="G1006" s="111" t="s">
        <v>12226</v>
      </c>
      <c r="H1006" s="111"/>
      <c r="I1006" s="111" t="s">
        <v>12394</v>
      </c>
      <c r="J1006" s="111" t="s">
        <v>12296</v>
      </c>
      <c r="K1006" s="111" t="s">
        <v>30</v>
      </c>
      <c r="L1006" s="111"/>
      <c r="M1006" s="111"/>
      <c r="N1006" s="111"/>
      <c r="O1006" s="111"/>
      <c r="P1006" s="111"/>
      <c r="Q1006" s="111">
        <v>1.0</v>
      </c>
      <c r="R1006" s="111"/>
      <c r="S1006" s="111"/>
      <c r="T1006" s="111"/>
      <c r="U1006" s="111"/>
      <c r="V1006" s="111"/>
      <c r="W1006" s="111"/>
      <c r="X1006" s="111"/>
      <c r="Y1006" s="111"/>
      <c r="Z1006" s="111" t="s">
        <v>13773</v>
      </c>
      <c r="AA1006" s="124">
        <v>10.0</v>
      </c>
      <c r="AB1006" s="125">
        <f>IF(Projects!$AI1006="Electrolysis",
AA1006/VLOOKUP(G1006,ElectrolysisConvF,3,FALSE),
AC1006*10^6/(H2dens*HoursInYear))</f>
        <v>1923.076923</v>
      </c>
      <c r="AC1006" s="126">
        <f t="shared" si="197"/>
        <v>1.499307692</v>
      </c>
      <c r="AD1006" s="125"/>
      <c r="AE1006" s="125">
        <f t="shared" si="194"/>
        <v>1923.076923</v>
      </c>
      <c r="AF1006" s="127" t="s">
        <v>13774</v>
      </c>
      <c r="AG1006" s="127">
        <v>39.4178380997624</v>
      </c>
      <c r="AH1006" s="127">
        <v>-3.21761548796866</v>
      </c>
      <c r="AI1006" s="115" t="s">
        <v>12383</v>
      </c>
      <c r="AJ1006" s="116">
        <v>0.5</v>
      </c>
      <c r="AK1006" s="117"/>
      <c r="AL1006" s="117"/>
      <c r="AM1006" s="117"/>
      <c r="AN1006" s="117"/>
      <c r="AO1006" s="117"/>
    </row>
    <row r="1007" ht="34.5" customHeight="1">
      <c r="A1007" s="111">
        <v>1502.0</v>
      </c>
      <c r="B1007" s="111" t="s">
        <v>9008</v>
      </c>
      <c r="C1007" s="111" t="s">
        <v>8021</v>
      </c>
      <c r="D1007" s="111">
        <v>2024.0</v>
      </c>
      <c r="E1007" s="111"/>
      <c r="F1007" s="111" t="s">
        <v>12393</v>
      </c>
      <c r="G1007" s="111" t="s">
        <v>12381</v>
      </c>
      <c r="H1007" s="111" t="s">
        <v>12230</v>
      </c>
      <c r="I1007" s="111" t="s">
        <v>12394</v>
      </c>
      <c r="J1007" s="111" t="s">
        <v>12296</v>
      </c>
      <c r="K1007" s="111" t="s">
        <v>30</v>
      </c>
      <c r="L1007" s="111"/>
      <c r="M1007" s="111"/>
      <c r="N1007" s="111"/>
      <c r="O1007" s="111"/>
      <c r="P1007" s="111"/>
      <c r="Q1007" s="111"/>
      <c r="R1007" s="111"/>
      <c r="S1007" s="111"/>
      <c r="T1007" s="111"/>
      <c r="U1007" s="111"/>
      <c r="V1007" s="111"/>
      <c r="W1007" s="111"/>
      <c r="X1007" s="111"/>
      <c r="Y1007" s="111"/>
      <c r="Z1007" s="111"/>
      <c r="AA1007" s="124"/>
      <c r="AB1007" s="125"/>
      <c r="AC1007" s="125"/>
      <c r="AD1007" s="125"/>
      <c r="AE1007" s="125" t="str">
        <f t="shared" si="194"/>
        <v/>
      </c>
      <c r="AF1007" s="127" t="s">
        <v>13775</v>
      </c>
      <c r="AG1007" s="127">
        <v>-22.9185308716664</v>
      </c>
      <c r="AH1007" s="127">
        <v>144.373950768184</v>
      </c>
      <c r="AI1007" s="115" t="s">
        <v>12383</v>
      </c>
      <c r="AJ1007" s="116">
        <v>0.5</v>
      </c>
      <c r="AK1007" s="117"/>
      <c r="AL1007" s="117"/>
      <c r="AM1007" s="117"/>
      <c r="AN1007" s="117"/>
      <c r="AO1007" s="117"/>
    </row>
    <row r="1008" ht="34.5" customHeight="1">
      <c r="A1008" s="111">
        <v>1503.0</v>
      </c>
      <c r="B1008" s="111" t="s">
        <v>9009</v>
      </c>
      <c r="C1008" s="111" t="s">
        <v>7994</v>
      </c>
      <c r="D1008" s="111">
        <v>2025.0</v>
      </c>
      <c r="E1008" s="111"/>
      <c r="F1008" s="111" t="s">
        <v>12393</v>
      </c>
      <c r="G1008" s="111" t="s">
        <v>12381</v>
      </c>
      <c r="H1008" s="111" t="s">
        <v>12230</v>
      </c>
      <c r="I1008" s="111" t="s">
        <v>12394</v>
      </c>
      <c r="J1008" s="111" t="s">
        <v>12295</v>
      </c>
      <c r="K1008" s="111" t="s">
        <v>12415</v>
      </c>
      <c r="L1008" s="111"/>
      <c r="M1008" s="111"/>
      <c r="N1008" s="111"/>
      <c r="O1008" s="111"/>
      <c r="P1008" s="111"/>
      <c r="Q1008" s="111">
        <v>1.0</v>
      </c>
      <c r="R1008" s="111"/>
      <c r="S1008" s="111"/>
      <c r="T1008" s="111"/>
      <c r="U1008" s="111"/>
      <c r="V1008" s="111"/>
      <c r="W1008" s="111"/>
      <c r="X1008" s="111"/>
      <c r="Y1008" s="111"/>
      <c r="Z1008" s="111" t="s">
        <v>13776</v>
      </c>
      <c r="AA1008" s="124">
        <v>120.0</v>
      </c>
      <c r="AB1008" s="125">
        <f>IF(Projects!$AI1008="Electrolysis",
AA1008/VLOOKUP(G1008,ElectrolysisConvF,3,FALSE),
AC1008*10^6/(H2dens*HoursInYear))</f>
        <v>26666.66667</v>
      </c>
      <c r="AC1008" s="126">
        <f t="shared" ref="AC1008:AC1016" si="198">AB1008*H2dens*HoursInYear/10^6</f>
        <v>20.7904</v>
      </c>
      <c r="AD1008" s="125"/>
      <c r="AE1008" s="125">
        <f t="shared" si="194"/>
        <v>26666.66667</v>
      </c>
      <c r="AF1008" s="127" t="s">
        <v>13777</v>
      </c>
      <c r="AG1008" s="127">
        <v>57.0519750902189</v>
      </c>
      <c r="AH1008" s="127">
        <v>9.9935988530856</v>
      </c>
      <c r="AI1008" s="115" t="s">
        <v>12383</v>
      </c>
      <c r="AJ1008" s="116">
        <v>0.5</v>
      </c>
      <c r="AK1008" s="117"/>
      <c r="AL1008" s="117"/>
      <c r="AM1008" s="117"/>
      <c r="AN1008" s="117"/>
      <c r="AO1008" s="117"/>
    </row>
    <row r="1009" ht="34.5" customHeight="1">
      <c r="A1009" s="111">
        <v>1504.0</v>
      </c>
      <c r="B1009" s="111" t="s">
        <v>9010</v>
      </c>
      <c r="C1009" s="111" t="s">
        <v>7994</v>
      </c>
      <c r="D1009" s="111"/>
      <c r="E1009" s="111"/>
      <c r="F1009" s="111" t="s">
        <v>12399</v>
      </c>
      <c r="G1009" s="111" t="s">
        <v>12381</v>
      </c>
      <c r="H1009" s="111" t="s">
        <v>12230</v>
      </c>
      <c r="I1009" s="111" t="s">
        <v>12394</v>
      </c>
      <c r="J1009" s="111" t="s">
        <v>12295</v>
      </c>
      <c r="K1009" s="111" t="s">
        <v>30</v>
      </c>
      <c r="L1009" s="111"/>
      <c r="M1009" s="111"/>
      <c r="N1009" s="111"/>
      <c r="O1009" s="111"/>
      <c r="P1009" s="111"/>
      <c r="Q1009" s="111">
        <v>1.0</v>
      </c>
      <c r="R1009" s="111"/>
      <c r="S1009" s="111"/>
      <c r="T1009" s="111"/>
      <c r="U1009" s="111"/>
      <c r="V1009" s="111"/>
      <c r="W1009" s="111"/>
      <c r="X1009" s="111"/>
      <c r="Y1009" s="111"/>
      <c r="Z1009" s="111" t="s">
        <v>12768</v>
      </c>
      <c r="AA1009" s="124">
        <v>50.0</v>
      </c>
      <c r="AB1009" s="125">
        <f>IF(Projects!$AI1009="Electrolysis",
AA1009/VLOOKUP(G1009,ElectrolysisConvF,3,FALSE),
AC1009*10^6/(H2dens*HoursInYear))</f>
        <v>11111.11111</v>
      </c>
      <c r="AC1009" s="126">
        <f t="shared" si="198"/>
        <v>8.662666667</v>
      </c>
      <c r="AD1009" s="125"/>
      <c r="AE1009" s="125">
        <f t="shared" si="194"/>
        <v>11111.11111</v>
      </c>
      <c r="AF1009" s="127" t="s">
        <v>13777</v>
      </c>
      <c r="AG1009" s="127">
        <v>56.6394192071214</v>
      </c>
      <c r="AH1009" s="127">
        <v>9.79841809008519</v>
      </c>
      <c r="AI1009" s="115" t="s">
        <v>12383</v>
      </c>
      <c r="AJ1009" s="116">
        <v>0.5</v>
      </c>
      <c r="AK1009" s="117"/>
      <c r="AL1009" s="117"/>
      <c r="AM1009" s="117"/>
      <c r="AN1009" s="117"/>
      <c r="AO1009" s="117"/>
    </row>
    <row r="1010" ht="34.5" customHeight="1">
      <c r="A1010" s="111">
        <v>1505.0</v>
      </c>
      <c r="B1010" s="111" t="s">
        <v>9011</v>
      </c>
      <c r="C1010" s="111" t="s">
        <v>7994</v>
      </c>
      <c r="D1010" s="111">
        <v>2027.0</v>
      </c>
      <c r="E1010" s="111"/>
      <c r="F1010" s="111" t="s">
        <v>12397</v>
      </c>
      <c r="G1010" s="111" t="s">
        <v>12381</v>
      </c>
      <c r="H1010" s="111" t="s">
        <v>12230</v>
      </c>
      <c r="I1010" s="111" t="s">
        <v>12394</v>
      </c>
      <c r="J1010" s="111" t="s">
        <v>12295</v>
      </c>
      <c r="K1010" s="111" t="s">
        <v>12415</v>
      </c>
      <c r="L1010" s="111"/>
      <c r="M1010" s="111"/>
      <c r="N1010" s="111">
        <v>1.0</v>
      </c>
      <c r="O1010" s="111"/>
      <c r="P1010" s="111"/>
      <c r="Q1010" s="111"/>
      <c r="R1010" s="111"/>
      <c r="S1010" s="111"/>
      <c r="T1010" s="111"/>
      <c r="U1010" s="111"/>
      <c r="V1010" s="111"/>
      <c r="W1010" s="111"/>
      <c r="X1010" s="111"/>
      <c r="Y1010" s="111"/>
      <c r="Z1010" s="111" t="s">
        <v>12798</v>
      </c>
      <c r="AA1010" s="124">
        <f>250-24</f>
        <v>226</v>
      </c>
      <c r="AB1010" s="125">
        <f>IF(Projects!$AI1010="Electrolysis",
AA1010/VLOOKUP(G1010,ElectrolysisConvF,3,FALSE),
AC1010*10^6/(H2dens*HoursInYear))</f>
        <v>50222.22222</v>
      </c>
      <c r="AC1010" s="126">
        <f t="shared" si="198"/>
        <v>39.15525333</v>
      </c>
      <c r="AD1010" s="125"/>
      <c r="AE1010" s="125">
        <f>AB1010</f>
        <v>50222.22222</v>
      </c>
      <c r="AF1010" s="127" t="s">
        <v>13107</v>
      </c>
      <c r="AG1010" s="127">
        <v>56.5653019471961</v>
      </c>
      <c r="AH1010" s="127">
        <v>9.02965887010113</v>
      </c>
      <c r="AI1010" s="115" t="s">
        <v>12383</v>
      </c>
      <c r="AJ1010" s="116">
        <v>0.5</v>
      </c>
      <c r="AK1010" s="117"/>
      <c r="AL1010" s="117"/>
      <c r="AM1010" s="117"/>
      <c r="AN1010" s="117"/>
      <c r="AO1010" s="117"/>
    </row>
    <row r="1011" ht="34.5" customHeight="1">
      <c r="A1011" s="111">
        <v>1506.0</v>
      </c>
      <c r="B1011" s="111" t="s">
        <v>9012</v>
      </c>
      <c r="C1011" s="111" t="s">
        <v>7994</v>
      </c>
      <c r="D1011" s="111">
        <v>2024.0</v>
      </c>
      <c r="E1011" s="111"/>
      <c r="F1011" s="111" t="s">
        <v>12393</v>
      </c>
      <c r="G1011" s="111" t="s">
        <v>12381</v>
      </c>
      <c r="H1011" s="111" t="s">
        <v>12230</v>
      </c>
      <c r="I1011" s="111" t="s">
        <v>12394</v>
      </c>
      <c r="J1011" s="111" t="s">
        <v>12293</v>
      </c>
      <c r="K1011" s="111" t="s">
        <v>30</v>
      </c>
      <c r="L1011" s="111"/>
      <c r="M1011" s="111"/>
      <c r="N1011" s="111"/>
      <c r="O1011" s="111"/>
      <c r="P1011" s="111"/>
      <c r="Q1011" s="111"/>
      <c r="R1011" s="111"/>
      <c r="S1011" s="111"/>
      <c r="T1011" s="111"/>
      <c r="U1011" s="111"/>
      <c r="V1011" s="111"/>
      <c r="W1011" s="111"/>
      <c r="X1011" s="111"/>
      <c r="Y1011" s="111"/>
      <c r="Z1011" s="111" t="s">
        <v>13106</v>
      </c>
      <c r="AA1011" s="124">
        <v>3.0</v>
      </c>
      <c r="AB1011" s="125">
        <f>IF(Projects!$AI1011="Electrolysis",
AA1011/VLOOKUP(G1011,ElectrolysisConvF,3,FALSE),
AC1011*10^6/(H2dens*HoursInYear))</f>
        <v>666.6666667</v>
      </c>
      <c r="AC1011" s="126">
        <f t="shared" si="198"/>
        <v>0.51976</v>
      </c>
      <c r="AD1011" s="125"/>
      <c r="AE1011" s="125">
        <f t="shared" ref="AE1011:AE1063" si="199">IF(AND(G1011&lt;&gt;"NG w CCUS",G1011&lt;&gt;"Oil w CCUS",G1011&lt;&gt;"Coal w CCUS"),AB1011,AD1011*10^3/(HoursInYear*IF(G1011="NG w CCUS",0.9105,1.9075)))</f>
        <v>666.6666667</v>
      </c>
      <c r="AF1011" s="127" t="s">
        <v>13778</v>
      </c>
      <c r="AG1011" s="127">
        <v>55.4768385331629</v>
      </c>
      <c r="AH1011" s="127">
        <v>8.46209640920263</v>
      </c>
      <c r="AI1011" s="115" t="s">
        <v>12383</v>
      </c>
      <c r="AJ1011" s="116">
        <v>0.55</v>
      </c>
      <c r="AK1011" s="117"/>
      <c r="AL1011" s="117"/>
      <c r="AM1011" s="117"/>
      <c r="AN1011" s="117"/>
      <c r="AO1011" s="117"/>
    </row>
    <row r="1012" ht="34.5" customHeight="1">
      <c r="A1012" s="111">
        <v>1507.0</v>
      </c>
      <c r="B1012" s="111" t="s">
        <v>9013</v>
      </c>
      <c r="C1012" s="111" t="s">
        <v>7994</v>
      </c>
      <c r="D1012" s="111">
        <v>2025.0</v>
      </c>
      <c r="E1012" s="111"/>
      <c r="F1012" s="111" t="s">
        <v>12393</v>
      </c>
      <c r="G1012" s="111" t="s">
        <v>12381</v>
      </c>
      <c r="H1012" s="111" t="s">
        <v>12230</v>
      </c>
      <c r="I1012" s="111" t="s">
        <v>12394</v>
      </c>
      <c r="J1012" s="111" t="s">
        <v>12293</v>
      </c>
      <c r="K1012" s="111" t="s">
        <v>30</v>
      </c>
      <c r="L1012" s="111"/>
      <c r="M1012" s="111"/>
      <c r="N1012" s="111"/>
      <c r="O1012" s="111"/>
      <c r="P1012" s="111"/>
      <c r="Q1012" s="111"/>
      <c r="R1012" s="111"/>
      <c r="S1012" s="111"/>
      <c r="T1012" s="111"/>
      <c r="U1012" s="111"/>
      <c r="V1012" s="111"/>
      <c r="W1012" s="111"/>
      <c r="X1012" s="111"/>
      <c r="Y1012" s="111"/>
      <c r="Z1012" s="111" t="s">
        <v>13736</v>
      </c>
      <c r="AA1012" s="124">
        <v>9.0</v>
      </c>
      <c r="AB1012" s="125">
        <f>IF(Projects!$AI1012="Electrolysis",
AA1012/VLOOKUP(G1012,ElectrolysisConvF,3,FALSE),
AC1012*10^6/(H2dens*HoursInYear))</f>
        <v>2000</v>
      </c>
      <c r="AC1012" s="126">
        <f t="shared" si="198"/>
        <v>1.55928</v>
      </c>
      <c r="AD1012" s="125"/>
      <c r="AE1012" s="125">
        <f t="shared" si="199"/>
        <v>2000</v>
      </c>
      <c r="AF1012" s="127" t="s">
        <v>13778</v>
      </c>
      <c r="AG1012" s="127">
        <v>55.4768385331629</v>
      </c>
      <c r="AH1012" s="127">
        <v>8.46209640920263</v>
      </c>
      <c r="AI1012" s="115" t="s">
        <v>12383</v>
      </c>
      <c r="AJ1012" s="116">
        <v>0.55</v>
      </c>
      <c r="AK1012" s="117"/>
      <c r="AL1012" s="117"/>
      <c r="AM1012" s="117"/>
      <c r="AN1012" s="117"/>
      <c r="AO1012" s="117"/>
    </row>
    <row r="1013" ht="34.5" customHeight="1">
      <c r="A1013" s="111">
        <v>1508.0</v>
      </c>
      <c r="B1013" s="111" t="s">
        <v>9014</v>
      </c>
      <c r="C1013" s="111" t="s">
        <v>7994</v>
      </c>
      <c r="D1013" s="111"/>
      <c r="E1013" s="111"/>
      <c r="F1013" s="111" t="s">
        <v>12397</v>
      </c>
      <c r="G1013" s="111" t="s">
        <v>12381</v>
      </c>
      <c r="H1013" s="111" t="s">
        <v>12230</v>
      </c>
      <c r="I1013" s="111" t="s">
        <v>12394</v>
      </c>
      <c r="J1013" s="111" t="s">
        <v>12295</v>
      </c>
      <c r="K1013" s="111" t="s">
        <v>30</v>
      </c>
      <c r="L1013" s="111"/>
      <c r="M1013" s="111"/>
      <c r="N1013" s="111"/>
      <c r="O1013" s="111"/>
      <c r="P1013" s="111"/>
      <c r="Q1013" s="111"/>
      <c r="R1013" s="111"/>
      <c r="S1013" s="111"/>
      <c r="T1013" s="111"/>
      <c r="U1013" s="111"/>
      <c r="V1013" s="111"/>
      <c r="W1013" s="111"/>
      <c r="X1013" s="111"/>
      <c r="Y1013" s="111"/>
      <c r="Z1013" s="111" t="s">
        <v>13779</v>
      </c>
      <c r="AA1013" s="124">
        <v>43.0</v>
      </c>
      <c r="AB1013" s="125">
        <f>IF(Projects!$AI1013="Electrolysis",
AA1013/VLOOKUP(G1013,ElectrolysisConvF,3,FALSE),
AC1013*10^6/(H2dens*HoursInYear))</f>
        <v>9555.555556</v>
      </c>
      <c r="AC1013" s="126">
        <f t="shared" si="198"/>
        <v>7.449893333</v>
      </c>
      <c r="AD1013" s="125"/>
      <c r="AE1013" s="125">
        <f t="shared" si="199"/>
        <v>9555.555556</v>
      </c>
      <c r="AF1013" s="127" t="s">
        <v>13777</v>
      </c>
      <c r="AG1013" s="127">
        <v>56.6378186659219</v>
      </c>
      <c r="AH1013" s="127">
        <v>9.63439275047876</v>
      </c>
      <c r="AI1013" s="115" t="s">
        <v>12383</v>
      </c>
      <c r="AJ1013" s="116">
        <v>0.5</v>
      </c>
      <c r="AK1013" s="117"/>
      <c r="AL1013" s="117"/>
      <c r="AM1013" s="117"/>
      <c r="AN1013" s="117"/>
      <c r="AO1013" s="117"/>
    </row>
    <row r="1014" ht="34.5" customHeight="1">
      <c r="A1014" s="111">
        <v>1509.0</v>
      </c>
      <c r="B1014" s="111" t="s">
        <v>9015</v>
      </c>
      <c r="C1014" s="111" t="s">
        <v>7994</v>
      </c>
      <c r="D1014" s="111"/>
      <c r="E1014" s="111"/>
      <c r="F1014" s="111" t="s">
        <v>12397</v>
      </c>
      <c r="G1014" s="111" t="s">
        <v>12381</v>
      </c>
      <c r="H1014" s="111" t="s">
        <v>12230</v>
      </c>
      <c r="I1014" s="111" t="s">
        <v>12394</v>
      </c>
      <c r="J1014" s="111" t="s">
        <v>12295</v>
      </c>
      <c r="K1014" s="111" t="s">
        <v>30</v>
      </c>
      <c r="L1014" s="111"/>
      <c r="M1014" s="111"/>
      <c r="N1014" s="111"/>
      <c r="O1014" s="111"/>
      <c r="P1014" s="111"/>
      <c r="Q1014" s="111"/>
      <c r="R1014" s="111"/>
      <c r="S1014" s="111"/>
      <c r="T1014" s="111"/>
      <c r="U1014" s="111"/>
      <c r="V1014" s="111"/>
      <c r="W1014" s="111"/>
      <c r="X1014" s="111"/>
      <c r="Y1014" s="111"/>
      <c r="Z1014" s="111" t="s">
        <v>13779</v>
      </c>
      <c r="AA1014" s="124">
        <v>43.0</v>
      </c>
      <c r="AB1014" s="125">
        <f>IF(Projects!$AI1014="Electrolysis",
AA1014/VLOOKUP(G1014,ElectrolysisConvF,3,FALSE),
AC1014*10^6/(H2dens*HoursInYear))</f>
        <v>9555.555556</v>
      </c>
      <c r="AC1014" s="126">
        <f t="shared" si="198"/>
        <v>7.449893333</v>
      </c>
      <c r="AD1014" s="125"/>
      <c r="AE1014" s="125">
        <f t="shared" si="199"/>
        <v>9555.555556</v>
      </c>
      <c r="AF1014" s="127" t="s">
        <v>13777</v>
      </c>
      <c r="AG1014" s="127">
        <v>56.6378186659219</v>
      </c>
      <c r="AH1014" s="127">
        <v>9.63439275047876</v>
      </c>
      <c r="AI1014" s="115" t="s">
        <v>12383</v>
      </c>
      <c r="AJ1014" s="116">
        <v>0.5</v>
      </c>
      <c r="AK1014" s="117"/>
      <c r="AL1014" s="117"/>
      <c r="AM1014" s="117"/>
      <c r="AN1014" s="117"/>
      <c r="AO1014" s="117"/>
    </row>
    <row r="1015" ht="34.5" customHeight="1">
      <c r="A1015" s="111">
        <v>1510.0</v>
      </c>
      <c r="B1015" s="111" t="s">
        <v>9016</v>
      </c>
      <c r="C1015" s="111" t="s">
        <v>7994</v>
      </c>
      <c r="D1015" s="111">
        <v>2025.0</v>
      </c>
      <c r="E1015" s="111"/>
      <c r="F1015" s="111" t="s">
        <v>12399</v>
      </c>
      <c r="G1015" s="111" t="s">
        <v>12381</v>
      </c>
      <c r="H1015" s="111" t="s">
        <v>12230</v>
      </c>
      <c r="I1015" s="111" t="s">
        <v>12394</v>
      </c>
      <c r="J1015" s="111" t="s">
        <v>12295</v>
      </c>
      <c r="K1015" s="111" t="s">
        <v>30</v>
      </c>
      <c r="L1015" s="111"/>
      <c r="M1015" s="111"/>
      <c r="N1015" s="111"/>
      <c r="O1015" s="111"/>
      <c r="P1015" s="111"/>
      <c r="Q1015" s="111"/>
      <c r="R1015" s="111"/>
      <c r="S1015" s="111"/>
      <c r="T1015" s="111"/>
      <c r="U1015" s="111"/>
      <c r="V1015" s="111"/>
      <c r="W1015" s="111"/>
      <c r="X1015" s="111"/>
      <c r="Y1015" s="111"/>
      <c r="Z1015" s="111" t="s">
        <v>12698</v>
      </c>
      <c r="AA1015" s="124">
        <v>100.0</v>
      </c>
      <c r="AB1015" s="125">
        <f>IF(Projects!$AI1015="Electrolysis",
AA1015/VLOOKUP(G1015,ElectrolysisConvF,3,FALSE),
AC1015*10^6/(H2dens*HoursInYear))</f>
        <v>22222.22222</v>
      </c>
      <c r="AC1015" s="126">
        <f t="shared" si="198"/>
        <v>17.32533333</v>
      </c>
      <c r="AD1015" s="125"/>
      <c r="AE1015" s="125">
        <f t="shared" si="199"/>
        <v>22222.22222</v>
      </c>
      <c r="AF1015" s="127" t="s">
        <v>13777</v>
      </c>
      <c r="AG1015" s="127">
        <v>55.0457598618236</v>
      </c>
      <c r="AH1015" s="127">
        <v>9.42673927834227</v>
      </c>
      <c r="AI1015" s="115" t="s">
        <v>12383</v>
      </c>
      <c r="AJ1015" s="116">
        <v>0.5</v>
      </c>
      <c r="AK1015" s="117"/>
      <c r="AL1015" s="117"/>
      <c r="AM1015" s="117"/>
      <c r="AN1015" s="117"/>
      <c r="AO1015" s="117"/>
    </row>
    <row r="1016" ht="34.5" customHeight="1">
      <c r="A1016" s="111">
        <v>1511.0</v>
      </c>
      <c r="B1016" s="111" t="s">
        <v>9017</v>
      </c>
      <c r="C1016" s="111" t="s">
        <v>7994</v>
      </c>
      <c r="D1016" s="111">
        <v>2025.0</v>
      </c>
      <c r="E1016" s="111"/>
      <c r="F1016" s="111" t="s">
        <v>12393</v>
      </c>
      <c r="G1016" s="111" t="s">
        <v>12226</v>
      </c>
      <c r="H1016" s="111"/>
      <c r="I1016" s="111" t="s">
        <v>12394</v>
      </c>
      <c r="J1016" s="111" t="s">
        <v>12291</v>
      </c>
      <c r="K1016" s="111" t="s">
        <v>12415</v>
      </c>
      <c r="L1016" s="111"/>
      <c r="M1016" s="111"/>
      <c r="N1016" s="111">
        <v>1.0</v>
      </c>
      <c r="O1016" s="111"/>
      <c r="P1016" s="111"/>
      <c r="Q1016" s="111"/>
      <c r="R1016" s="111"/>
      <c r="S1016" s="111"/>
      <c r="T1016" s="111"/>
      <c r="U1016" s="111"/>
      <c r="V1016" s="111"/>
      <c r="W1016" s="111">
        <v>1.0</v>
      </c>
      <c r="X1016" s="111"/>
      <c r="Y1016" s="111"/>
      <c r="Z1016" s="111" t="s">
        <v>13780</v>
      </c>
      <c r="AA1016" s="124">
        <v>60.0</v>
      </c>
      <c r="AB1016" s="125">
        <f>IF(Projects!$AI1016="Electrolysis",
AA1016/VLOOKUP(G1016,ElectrolysisConvF,3,FALSE),
AC1016*10^6/(H2dens*HoursInYear))</f>
        <v>11538.46154</v>
      </c>
      <c r="AC1016" s="126">
        <f t="shared" si="198"/>
        <v>8.995846154</v>
      </c>
      <c r="AD1016" s="125"/>
      <c r="AE1016" s="125">
        <f t="shared" si="199"/>
        <v>11538.46154</v>
      </c>
      <c r="AF1016" s="127" t="s">
        <v>13781</v>
      </c>
      <c r="AG1016" s="127">
        <v>55.0457598618236</v>
      </c>
      <c r="AH1016" s="127">
        <v>9.42673927834227</v>
      </c>
      <c r="AI1016" s="115" t="s">
        <v>12383</v>
      </c>
      <c r="AJ1016" s="116">
        <v>0.3</v>
      </c>
      <c r="AK1016" s="117"/>
      <c r="AL1016" s="117"/>
      <c r="AM1016" s="117"/>
      <c r="AN1016" s="117"/>
      <c r="AO1016" s="117"/>
    </row>
    <row r="1017" ht="34.5" customHeight="1">
      <c r="A1017" s="111">
        <v>1512.0</v>
      </c>
      <c r="B1017" s="111" t="s">
        <v>9018</v>
      </c>
      <c r="C1017" s="111" t="s">
        <v>7994</v>
      </c>
      <c r="D1017" s="111">
        <v>2025.0</v>
      </c>
      <c r="E1017" s="111"/>
      <c r="F1017" s="111" t="s">
        <v>12399</v>
      </c>
      <c r="G1017" s="111" t="s">
        <v>12381</v>
      </c>
      <c r="H1017" s="111" t="s">
        <v>12230</v>
      </c>
      <c r="I1017" s="111" t="s">
        <v>12394</v>
      </c>
      <c r="J1017" s="111" t="s">
        <v>12295</v>
      </c>
      <c r="K1017" s="111" t="s">
        <v>12415</v>
      </c>
      <c r="L1017" s="111"/>
      <c r="M1017" s="111"/>
      <c r="N1017" s="111">
        <v>1.0</v>
      </c>
      <c r="O1017" s="111"/>
      <c r="P1017" s="111"/>
      <c r="Q1017" s="111"/>
      <c r="R1017" s="111"/>
      <c r="S1017" s="111"/>
      <c r="T1017" s="111"/>
      <c r="U1017" s="111"/>
      <c r="V1017" s="111"/>
      <c r="W1017" s="111"/>
      <c r="X1017" s="111"/>
      <c r="Y1017" s="111"/>
      <c r="Z1017" s="111" t="s">
        <v>13782</v>
      </c>
      <c r="AA1017" s="126">
        <f>IF(Projects!$AI1017="Electrolysis",
AB1017*VLOOKUP(G1017,ElectrolysisConvF,3,FALSE),
"")</f>
        <v>220.8638602</v>
      </c>
      <c r="AB1017" s="126">
        <f>AC1017/(H2dens*HoursInYear/10^6)</f>
        <v>49080.85783</v>
      </c>
      <c r="AC1017" s="126">
        <f>0.191327*100/Projects!$AJ1017</f>
        <v>38.2654</v>
      </c>
      <c r="AD1017" s="125"/>
      <c r="AE1017" s="125">
        <f t="shared" si="199"/>
        <v>49080.85783</v>
      </c>
      <c r="AF1017" s="127" t="s">
        <v>13777</v>
      </c>
      <c r="AG1017" s="127">
        <v>55.0170841687263</v>
      </c>
      <c r="AH1017" s="127">
        <v>11.9173533096834</v>
      </c>
      <c r="AI1017" s="115" t="s">
        <v>12383</v>
      </c>
      <c r="AJ1017" s="116">
        <v>0.5</v>
      </c>
      <c r="AK1017" s="117"/>
      <c r="AL1017" s="117"/>
      <c r="AM1017" s="117"/>
      <c r="AN1017" s="117"/>
      <c r="AO1017" s="117"/>
    </row>
    <row r="1018" ht="34.5" customHeight="1">
      <c r="A1018" s="111">
        <v>1513.0</v>
      </c>
      <c r="B1018" s="111" t="s">
        <v>9019</v>
      </c>
      <c r="C1018" s="111" t="s">
        <v>7994</v>
      </c>
      <c r="D1018" s="111">
        <v>2028.0</v>
      </c>
      <c r="E1018" s="111"/>
      <c r="F1018" s="111" t="s">
        <v>12399</v>
      </c>
      <c r="G1018" s="111" t="s">
        <v>12381</v>
      </c>
      <c r="H1018" s="111" t="s">
        <v>12230</v>
      </c>
      <c r="I1018" s="111" t="s">
        <v>12394</v>
      </c>
      <c r="J1018" s="111" t="s">
        <v>12295</v>
      </c>
      <c r="K1018" s="111" t="s">
        <v>12415</v>
      </c>
      <c r="L1018" s="111"/>
      <c r="M1018" s="111"/>
      <c r="N1018" s="111">
        <v>1.0</v>
      </c>
      <c r="O1018" s="111"/>
      <c r="P1018" s="111"/>
      <c r="Q1018" s="111"/>
      <c r="R1018" s="111"/>
      <c r="S1018" s="111"/>
      <c r="T1018" s="111"/>
      <c r="U1018" s="111"/>
      <c r="V1018" s="111"/>
      <c r="W1018" s="111"/>
      <c r="X1018" s="111"/>
      <c r="Y1018" s="111"/>
      <c r="Z1018" s="111" t="s">
        <v>13783</v>
      </c>
      <c r="AA1018" s="124">
        <v>350.0</v>
      </c>
      <c r="AB1018" s="125">
        <f>IF(Projects!$AI1018="Electrolysis",
AA1018/VLOOKUP(G1018,ElectrolysisConvF,3,FALSE),
AC1018*10^6/(H2dens*HoursInYear))</f>
        <v>77777.77778</v>
      </c>
      <c r="AC1018" s="126">
        <f t="shared" ref="AC1018:AC1019" si="200">AB1018*H2dens*HoursInYear/10^6</f>
        <v>60.63866667</v>
      </c>
      <c r="AD1018" s="125"/>
      <c r="AE1018" s="125">
        <f t="shared" si="199"/>
        <v>77777.77778</v>
      </c>
      <c r="AF1018" s="127" t="s">
        <v>13777</v>
      </c>
      <c r="AG1018" s="127">
        <v>57.0519750902189</v>
      </c>
      <c r="AH1018" s="127">
        <v>9.9935988530856</v>
      </c>
      <c r="AI1018" s="115" t="s">
        <v>12383</v>
      </c>
      <c r="AJ1018" s="116">
        <v>0.5</v>
      </c>
      <c r="AK1018" s="117"/>
      <c r="AL1018" s="117"/>
      <c r="AM1018" s="117"/>
      <c r="AN1018" s="117"/>
      <c r="AO1018" s="117"/>
    </row>
    <row r="1019" ht="34.5" customHeight="1">
      <c r="A1019" s="111">
        <v>1514.0</v>
      </c>
      <c r="B1019" s="111" t="s">
        <v>9020</v>
      </c>
      <c r="C1019" s="111" t="s">
        <v>7994</v>
      </c>
      <c r="D1019" s="111">
        <v>2026.0</v>
      </c>
      <c r="E1019" s="111"/>
      <c r="F1019" s="111" t="s">
        <v>12397</v>
      </c>
      <c r="G1019" s="111" t="s">
        <v>12381</v>
      </c>
      <c r="H1019" s="111" t="s">
        <v>12230</v>
      </c>
      <c r="I1019" s="111" t="s">
        <v>12394</v>
      </c>
      <c r="J1019" s="111" t="s">
        <v>12295</v>
      </c>
      <c r="K1019" s="111" t="s">
        <v>12449</v>
      </c>
      <c r="L1019" s="111"/>
      <c r="M1019" s="111"/>
      <c r="N1019" s="111"/>
      <c r="O1019" s="111"/>
      <c r="P1019" s="111"/>
      <c r="Q1019" s="111"/>
      <c r="R1019" s="111"/>
      <c r="S1019" s="111"/>
      <c r="T1019" s="111"/>
      <c r="U1019" s="111"/>
      <c r="V1019" s="111"/>
      <c r="W1019" s="111"/>
      <c r="X1019" s="111">
        <v>1.0</v>
      </c>
      <c r="Y1019" s="111">
        <v>1.0</v>
      </c>
      <c r="Z1019" s="111" t="s">
        <v>13784</v>
      </c>
      <c r="AA1019" s="124">
        <f>11*36</f>
        <v>396</v>
      </c>
      <c r="AB1019" s="125">
        <f>IF(Projects!$AI1019="Electrolysis",
AA1019/VLOOKUP(G1019,ElectrolysisConvF,3,FALSE),
AC1019*10^6/(H2dens*HoursInYear))</f>
        <v>88000</v>
      </c>
      <c r="AC1019" s="126">
        <f t="shared" si="200"/>
        <v>68.60832</v>
      </c>
      <c r="AD1019" s="125"/>
      <c r="AE1019" s="125">
        <f t="shared" si="199"/>
        <v>88000</v>
      </c>
      <c r="AF1019" s="127" t="s">
        <v>13777</v>
      </c>
      <c r="AG1019" s="127">
        <v>54.9322839518833</v>
      </c>
      <c r="AH1019" s="127">
        <v>9.83623044894613</v>
      </c>
      <c r="AI1019" s="115" t="s">
        <v>12383</v>
      </c>
      <c r="AJ1019" s="116">
        <v>0.5</v>
      </c>
      <c r="AK1019" s="117"/>
      <c r="AL1019" s="117"/>
      <c r="AM1019" s="117"/>
      <c r="AN1019" s="117"/>
      <c r="AO1019" s="117"/>
    </row>
    <row r="1020" ht="34.5" customHeight="1">
      <c r="A1020" s="111">
        <v>1515.0</v>
      </c>
      <c r="B1020" s="111" t="s">
        <v>9021</v>
      </c>
      <c r="C1020" s="111" t="s">
        <v>8021</v>
      </c>
      <c r="D1020" s="111"/>
      <c r="E1020" s="111"/>
      <c r="F1020" s="111" t="s">
        <v>12397</v>
      </c>
      <c r="G1020" s="111" t="s">
        <v>12381</v>
      </c>
      <c r="H1020" s="111" t="s">
        <v>12230</v>
      </c>
      <c r="I1020" s="111" t="s">
        <v>12394</v>
      </c>
      <c r="J1020" s="111" t="s">
        <v>12296</v>
      </c>
      <c r="K1020" s="111" t="s">
        <v>174</v>
      </c>
      <c r="L1020" s="111"/>
      <c r="M1020" s="111">
        <v>1.0</v>
      </c>
      <c r="N1020" s="111"/>
      <c r="O1020" s="111"/>
      <c r="P1020" s="111"/>
      <c r="Q1020" s="111"/>
      <c r="R1020" s="111"/>
      <c r="S1020" s="111"/>
      <c r="T1020" s="111"/>
      <c r="U1020" s="111"/>
      <c r="V1020" s="111"/>
      <c r="W1020" s="111"/>
      <c r="X1020" s="111"/>
      <c r="Y1020" s="111"/>
      <c r="Z1020" s="111" t="s">
        <v>13785</v>
      </c>
      <c r="AA1020" s="126">
        <f>IF(Projects!$AI1020="Electrolysis",
AB1020*VLOOKUP(G1020,ElectrolysisConvF,3,FALSE),
"")</f>
        <v>577.1894721</v>
      </c>
      <c r="AB1020" s="125">
        <f>AC1020/(H2dens*HoursInYear/10^6)</f>
        <v>128264.3271</v>
      </c>
      <c r="AC1020" s="125">
        <f>50/Projects!$AJ1020</f>
        <v>100</v>
      </c>
      <c r="AD1020" s="125"/>
      <c r="AE1020" s="125">
        <f t="shared" si="199"/>
        <v>128264.3271</v>
      </c>
      <c r="AF1020" s="127" t="s">
        <v>13786</v>
      </c>
      <c r="AG1020" s="127">
        <v>-27.4342485429379</v>
      </c>
      <c r="AH1020" s="127">
        <v>153.124041361382</v>
      </c>
      <c r="AI1020" s="115" t="s">
        <v>12383</v>
      </c>
      <c r="AJ1020" s="116">
        <v>0.5</v>
      </c>
      <c r="AK1020" s="117"/>
      <c r="AL1020" s="117"/>
      <c r="AM1020" s="117"/>
      <c r="AN1020" s="117"/>
      <c r="AO1020" s="117"/>
    </row>
    <row r="1021" ht="34.5" customHeight="1">
      <c r="A1021" s="111">
        <v>1516.0</v>
      </c>
      <c r="B1021" s="111" t="s">
        <v>9022</v>
      </c>
      <c r="C1021" s="111" t="s">
        <v>8147</v>
      </c>
      <c r="D1021" s="111">
        <v>2027.0</v>
      </c>
      <c r="E1021" s="111"/>
      <c r="F1021" s="111" t="s">
        <v>12399</v>
      </c>
      <c r="G1021" s="111" t="s">
        <v>12381</v>
      </c>
      <c r="H1021" s="111" t="s">
        <v>12230</v>
      </c>
      <c r="I1021" s="111" t="s">
        <v>12394</v>
      </c>
      <c r="J1021" s="111" t="s">
        <v>12296</v>
      </c>
      <c r="K1021" s="111" t="s">
        <v>30</v>
      </c>
      <c r="L1021" s="111"/>
      <c r="M1021" s="111"/>
      <c r="N1021" s="111"/>
      <c r="O1021" s="111"/>
      <c r="P1021" s="111"/>
      <c r="Q1021" s="111"/>
      <c r="R1021" s="111"/>
      <c r="S1021" s="111"/>
      <c r="T1021" s="111"/>
      <c r="U1021" s="111"/>
      <c r="V1021" s="111"/>
      <c r="W1021" s="111">
        <v>1.0</v>
      </c>
      <c r="X1021" s="111"/>
      <c r="Y1021" s="111"/>
      <c r="Z1021" s="111" t="s">
        <v>12991</v>
      </c>
      <c r="AA1021" s="124">
        <v>300.0</v>
      </c>
      <c r="AB1021" s="125">
        <f>IF(Projects!$AI1021="Electrolysis",
AA1021/VLOOKUP(G1021,ElectrolysisConvF,3,FALSE),
AC1021*10^6/(H2dens*HoursInYear))</f>
        <v>66666.66667</v>
      </c>
      <c r="AC1021" s="126">
        <f t="shared" ref="AC1021:AC1022" si="201">AB1021*H2dens*HoursInYear/10^6</f>
        <v>51.976</v>
      </c>
      <c r="AD1021" s="125"/>
      <c r="AE1021" s="125">
        <f t="shared" si="199"/>
        <v>66666.66667</v>
      </c>
      <c r="AF1021" s="127" t="s">
        <v>13787</v>
      </c>
      <c r="AG1021" s="127">
        <v>-35.8395859239381</v>
      </c>
      <c r="AH1021" s="127">
        <v>174.487799068392</v>
      </c>
      <c r="AI1021" s="115" t="s">
        <v>12383</v>
      </c>
      <c r="AJ1021" s="116">
        <v>0.5</v>
      </c>
      <c r="AK1021" s="117"/>
      <c r="AL1021" s="117"/>
      <c r="AM1021" s="117"/>
      <c r="AN1021" s="117"/>
      <c r="AO1021" s="117"/>
    </row>
    <row r="1022" ht="34.5" customHeight="1">
      <c r="A1022" s="111">
        <v>1517.0</v>
      </c>
      <c r="B1022" s="111" t="s">
        <v>9023</v>
      </c>
      <c r="C1022" s="111" t="s">
        <v>7977</v>
      </c>
      <c r="D1022" s="111"/>
      <c r="E1022" s="111"/>
      <c r="F1022" s="111" t="s">
        <v>12397</v>
      </c>
      <c r="G1022" s="111" t="s">
        <v>12381</v>
      </c>
      <c r="H1022" s="111" t="s">
        <v>12230</v>
      </c>
      <c r="I1022" s="111" t="s">
        <v>12394</v>
      </c>
      <c r="J1022" s="111" t="s">
        <v>12295</v>
      </c>
      <c r="K1022" s="111" t="s">
        <v>30</v>
      </c>
      <c r="L1022" s="111"/>
      <c r="M1022" s="111"/>
      <c r="N1022" s="111"/>
      <c r="O1022" s="111"/>
      <c r="P1022" s="111"/>
      <c r="Q1022" s="111"/>
      <c r="R1022" s="111"/>
      <c r="S1022" s="111"/>
      <c r="T1022" s="111"/>
      <c r="U1022" s="111"/>
      <c r="V1022" s="111"/>
      <c r="W1022" s="111"/>
      <c r="X1022" s="111"/>
      <c r="Y1022" s="111"/>
      <c r="Z1022" s="111" t="s">
        <v>12802</v>
      </c>
      <c r="AA1022" s="124">
        <v>30.0</v>
      </c>
      <c r="AB1022" s="125">
        <f>IF(Projects!$AI1022="Electrolysis",
AA1022/VLOOKUP(G1022,ElectrolysisConvF,3,FALSE),
AC1022*10^6/(H2dens*HoursInYear))</f>
        <v>6666.666667</v>
      </c>
      <c r="AC1022" s="126">
        <f t="shared" si="201"/>
        <v>5.1976</v>
      </c>
      <c r="AD1022" s="125"/>
      <c r="AE1022" s="125">
        <f t="shared" si="199"/>
        <v>6666.666667</v>
      </c>
      <c r="AF1022" s="127" t="s">
        <v>13788</v>
      </c>
      <c r="AG1022" s="127">
        <v>41.7584215245179</v>
      </c>
      <c r="AH1022" s="127">
        <v>-0.385419714853298</v>
      </c>
      <c r="AI1022" s="115" t="s">
        <v>12383</v>
      </c>
      <c r="AJ1022" s="116">
        <v>0.5</v>
      </c>
      <c r="AK1022" s="117"/>
      <c r="AL1022" s="117"/>
      <c r="AM1022" s="117"/>
      <c r="AN1022" s="117"/>
      <c r="AO1022" s="117"/>
    </row>
    <row r="1023" ht="34.5" customHeight="1">
      <c r="A1023" s="111">
        <v>1518.0</v>
      </c>
      <c r="B1023" s="111" t="s">
        <v>9024</v>
      </c>
      <c r="C1023" s="111" t="s">
        <v>8021</v>
      </c>
      <c r="D1023" s="111">
        <v>2025.0</v>
      </c>
      <c r="E1023" s="111"/>
      <c r="F1023" s="111" t="s">
        <v>12399</v>
      </c>
      <c r="G1023" s="111" t="s">
        <v>12381</v>
      </c>
      <c r="H1023" s="111" t="s">
        <v>12230</v>
      </c>
      <c r="I1023" s="111" t="s">
        <v>12394</v>
      </c>
      <c r="J1023" s="111" t="s">
        <v>12295</v>
      </c>
      <c r="K1023" s="111" t="s">
        <v>174</v>
      </c>
      <c r="L1023" s="111"/>
      <c r="M1023" s="111">
        <v>1.0</v>
      </c>
      <c r="N1023" s="111"/>
      <c r="O1023" s="111"/>
      <c r="P1023" s="111"/>
      <c r="Q1023" s="111"/>
      <c r="R1023" s="111"/>
      <c r="S1023" s="111"/>
      <c r="T1023" s="111"/>
      <c r="U1023" s="111"/>
      <c r="V1023" s="111"/>
      <c r="W1023" s="111"/>
      <c r="X1023" s="111"/>
      <c r="Y1023" s="111"/>
      <c r="Z1023" s="111" t="s">
        <v>13789</v>
      </c>
      <c r="AA1023" s="126">
        <f>IF(Projects!$AI1023="Electrolysis",
AB1023*VLOOKUP(G1023,ElectrolysisConvF,3,FALSE),
"")</f>
        <v>1662.970602</v>
      </c>
      <c r="AB1023" s="125">
        <f t="shared" ref="AB1023:AB1024" si="202">AC1023/(H2dens*HoursInYear/10^6)</f>
        <v>369549.0226</v>
      </c>
      <c r="AC1023" s="125">
        <f>800*0.180072/Projects!$AJ1023</f>
        <v>288.1152</v>
      </c>
      <c r="AD1023" s="125"/>
      <c r="AE1023" s="125">
        <f t="shared" si="199"/>
        <v>369549.0226</v>
      </c>
      <c r="AF1023" s="127" t="s">
        <v>13790</v>
      </c>
      <c r="AG1023" s="127">
        <v>-29.2174279586895</v>
      </c>
      <c r="AH1023" s="127">
        <v>114.95188377406</v>
      </c>
      <c r="AI1023" s="115" t="s">
        <v>12383</v>
      </c>
      <c r="AJ1023" s="116">
        <v>0.5</v>
      </c>
      <c r="AK1023" s="117"/>
      <c r="AL1023" s="117"/>
      <c r="AM1023" s="117"/>
      <c r="AN1023" s="117"/>
      <c r="AO1023" s="117"/>
    </row>
    <row r="1024" ht="34.5" customHeight="1">
      <c r="A1024" s="111">
        <v>1519.0</v>
      </c>
      <c r="B1024" s="111" t="s">
        <v>9025</v>
      </c>
      <c r="C1024" s="111" t="s">
        <v>8021</v>
      </c>
      <c r="D1024" s="111"/>
      <c r="E1024" s="111"/>
      <c r="F1024" s="111" t="s">
        <v>12399</v>
      </c>
      <c r="G1024" s="111" t="s">
        <v>12381</v>
      </c>
      <c r="H1024" s="111" t="s">
        <v>12230</v>
      </c>
      <c r="I1024" s="111" t="s">
        <v>12394</v>
      </c>
      <c r="J1024" s="111" t="s">
        <v>12295</v>
      </c>
      <c r="K1024" s="111" t="s">
        <v>30</v>
      </c>
      <c r="L1024" s="111"/>
      <c r="M1024" s="111"/>
      <c r="N1024" s="111"/>
      <c r="O1024" s="111"/>
      <c r="P1024" s="111"/>
      <c r="Q1024" s="111"/>
      <c r="R1024" s="111"/>
      <c r="S1024" s="111"/>
      <c r="T1024" s="111"/>
      <c r="U1024" s="111"/>
      <c r="V1024" s="111"/>
      <c r="W1024" s="111"/>
      <c r="X1024" s="111"/>
      <c r="Y1024" s="111"/>
      <c r="Z1024" s="111" t="s">
        <v>13791</v>
      </c>
      <c r="AA1024" s="126">
        <f>IF(Projects!$AI1024="Electrolysis",
AB1024*VLOOKUP(G1024,ElectrolysisConvF,3,FALSE),
"")</f>
        <v>3578.574727</v>
      </c>
      <c r="AB1024" s="125">
        <f t="shared" si="202"/>
        <v>795238.8282</v>
      </c>
      <c r="AC1024" s="125">
        <f>310/Projects!$AJ1024</f>
        <v>620</v>
      </c>
      <c r="AD1024" s="125"/>
      <c r="AE1024" s="125">
        <f t="shared" si="199"/>
        <v>795238.8282</v>
      </c>
      <c r="AF1024" s="127" t="s">
        <v>13790</v>
      </c>
      <c r="AG1024" s="127">
        <v>-29.2174279586895</v>
      </c>
      <c r="AH1024" s="127">
        <v>114.95188377406</v>
      </c>
      <c r="AI1024" s="115" t="s">
        <v>12383</v>
      </c>
      <c r="AJ1024" s="116">
        <v>0.5</v>
      </c>
      <c r="AK1024" s="117"/>
      <c r="AL1024" s="117"/>
      <c r="AM1024" s="117"/>
      <c r="AN1024" s="117"/>
      <c r="AO1024" s="117"/>
    </row>
    <row r="1025" ht="34.5" customHeight="1">
      <c r="A1025" s="111">
        <v>1520.0</v>
      </c>
      <c r="B1025" s="111" t="s">
        <v>9026</v>
      </c>
      <c r="C1025" s="111" t="s">
        <v>8011</v>
      </c>
      <c r="D1025" s="111">
        <v>2026.0</v>
      </c>
      <c r="E1025" s="111"/>
      <c r="F1025" s="111" t="s">
        <v>12397</v>
      </c>
      <c r="G1025" s="111" t="s">
        <v>12381</v>
      </c>
      <c r="H1025" s="111" t="s">
        <v>12230</v>
      </c>
      <c r="I1025" s="111" t="s">
        <v>12394</v>
      </c>
      <c r="J1025" s="111" t="s">
        <v>12295</v>
      </c>
      <c r="K1025" s="111" t="s">
        <v>174</v>
      </c>
      <c r="L1025" s="111"/>
      <c r="M1025" s="111">
        <v>1.0</v>
      </c>
      <c r="N1025" s="111"/>
      <c r="O1025" s="111"/>
      <c r="P1025" s="111"/>
      <c r="Q1025" s="111"/>
      <c r="R1025" s="111"/>
      <c r="S1025" s="111"/>
      <c r="T1025" s="111"/>
      <c r="U1025" s="111"/>
      <c r="V1025" s="111"/>
      <c r="W1025" s="111"/>
      <c r="X1025" s="111"/>
      <c r="Y1025" s="111"/>
      <c r="Z1025" s="111" t="s">
        <v>12802</v>
      </c>
      <c r="AA1025" s="124">
        <v>30.0</v>
      </c>
      <c r="AB1025" s="125">
        <f>IF(Projects!$AI1025="Electrolysis",
AA1025/VLOOKUP(G1025,ElectrolysisConvF,3,FALSE),
AC1025*10^6/(H2dens*HoursInYear))</f>
        <v>6666.666667</v>
      </c>
      <c r="AC1025" s="126">
        <f>AB1025*H2dens*HoursInYear/10^6</f>
        <v>5.1976</v>
      </c>
      <c r="AD1025" s="125"/>
      <c r="AE1025" s="125">
        <f t="shared" si="199"/>
        <v>6666.666667</v>
      </c>
      <c r="AF1025" s="127" t="s">
        <v>13792</v>
      </c>
      <c r="AG1025" s="127">
        <v>47.7868564261854</v>
      </c>
      <c r="AH1025" s="127">
        <v>7.49436290347816</v>
      </c>
      <c r="AI1025" s="115" t="s">
        <v>12383</v>
      </c>
      <c r="AJ1025" s="116">
        <v>0.5</v>
      </c>
      <c r="AK1025" s="117"/>
      <c r="AL1025" s="117"/>
      <c r="AM1025" s="117"/>
      <c r="AN1025" s="117"/>
      <c r="AO1025" s="117"/>
    </row>
    <row r="1026" ht="34.5" customHeight="1">
      <c r="A1026" s="111">
        <v>1521.0</v>
      </c>
      <c r="B1026" s="111" t="s">
        <v>9027</v>
      </c>
      <c r="C1026" s="111" t="s">
        <v>7981</v>
      </c>
      <c r="D1026" s="111">
        <v>2023.0</v>
      </c>
      <c r="E1026" s="111"/>
      <c r="F1026" s="111" t="s">
        <v>12385</v>
      </c>
      <c r="G1026" s="111" t="s">
        <v>12381</v>
      </c>
      <c r="H1026" s="111" t="s">
        <v>12230</v>
      </c>
      <c r="I1026" s="111" t="s">
        <v>12394</v>
      </c>
      <c r="J1026" s="111" t="s">
        <v>12296</v>
      </c>
      <c r="K1026" s="111" t="s">
        <v>30</v>
      </c>
      <c r="L1026" s="111"/>
      <c r="M1026" s="111"/>
      <c r="N1026" s="111"/>
      <c r="O1026" s="111"/>
      <c r="P1026" s="111"/>
      <c r="Q1026" s="111"/>
      <c r="R1026" s="111"/>
      <c r="S1026" s="111"/>
      <c r="T1026" s="111"/>
      <c r="U1026" s="111"/>
      <c r="V1026" s="111"/>
      <c r="W1026" s="111">
        <v>1.0</v>
      </c>
      <c r="X1026" s="111"/>
      <c r="Y1026" s="111"/>
      <c r="Z1026" s="111"/>
      <c r="AA1026" s="124"/>
      <c r="AB1026" s="125"/>
      <c r="AC1026" s="125"/>
      <c r="AD1026" s="125"/>
      <c r="AE1026" s="125" t="str">
        <f t="shared" si="199"/>
        <v/>
      </c>
      <c r="AF1026" s="127" t="s">
        <v>13793</v>
      </c>
      <c r="AG1026" s="127">
        <v>47.5035450180445</v>
      </c>
      <c r="AH1026" s="127">
        <v>-111.287042776499</v>
      </c>
      <c r="AI1026" s="115" t="s">
        <v>12383</v>
      </c>
      <c r="AJ1026" s="116">
        <v>0.5</v>
      </c>
      <c r="AK1026" s="117"/>
      <c r="AL1026" s="117"/>
      <c r="AM1026" s="117"/>
      <c r="AN1026" s="117"/>
      <c r="AO1026" s="117"/>
    </row>
    <row r="1027" ht="34.5" customHeight="1">
      <c r="A1027" s="111">
        <v>1524.0</v>
      </c>
      <c r="B1027" s="111" t="s">
        <v>9028</v>
      </c>
      <c r="C1027" s="111" t="s">
        <v>8003</v>
      </c>
      <c r="D1027" s="111"/>
      <c r="E1027" s="111"/>
      <c r="F1027" s="111" t="s">
        <v>12397</v>
      </c>
      <c r="G1027" s="111" t="s">
        <v>12381</v>
      </c>
      <c r="H1027" s="111" t="s">
        <v>12230</v>
      </c>
      <c r="I1027" s="111" t="s">
        <v>12394</v>
      </c>
      <c r="J1027" s="111" t="s">
        <v>12296</v>
      </c>
      <c r="K1027" s="111" t="s">
        <v>174</v>
      </c>
      <c r="L1027" s="111"/>
      <c r="M1027" s="111">
        <v>1.0</v>
      </c>
      <c r="N1027" s="111"/>
      <c r="O1027" s="111"/>
      <c r="P1027" s="111"/>
      <c r="Q1027" s="111"/>
      <c r="R1027" s="111"/>
      <c r="S1027" s="111"/>
      <c r="T1027" s="111"/>
      <c r="U1027" s="111"/>
      <c r="V1027" s="111"/>
      <c r="W1027" s="111"/>
      <c r="X1027" s="111"/>
      <c r="Y1027" s="111"/>
      <c r="Z1027" s="111"/>
      <c r="AA1027" s="124"/>
      <c r="AB1027" s="125"/>
      <c r="AC1027" s="125"/>
      <c r="AD1027" s="125"/>
      <c r="AE1027" s="125" t="str">
        <f t="shared" si="199"/>
        <v/>
      </c>
      <c r="AF1027" s="127" t="s">
        <v>13794</v>
      </c>
      <c r="AG1027" s="127">
        <v>45.8682149390967</v>
      </c>
      <c r="AH1027" s="127">
        <v>-85.9002251095429</v>
      </c>
      <c r="AI1027" s="115" t="s">
        <v>12383</v>
      </c>
      <c r="AJ1027" s="116">
        <v>0.5</v>
      </c>
      <c r="AK1027" s="117"/>
      <c r="AL1027" s="117"/>
      <c r="AM1027" s="117"/>
      <c r="AN1027" s="117"/>
      <c r="AO1027" s="117"/>
    </row>
    <row r="1028" ht="34.5" customHeight="1">
      <c r="A1028" s="111">
        <v>1525.0</v>
      </c>
      <c r="B1028" s="111" t="s">
        <v>9029</v>
      </c>
      <c r="C1028" s="111" t="s">
        <v>7981</v>
      </c>
      <c r="D1028" s="111"/>
      <c r="E1028" s="111"/>
      <c r="F1028" s="111" t="s">
        <v>12397</v>
      </c>
      <c r="G1028" s="111" t="s">
        <v>12381</v>
      </c>
      <c r="H1028" s="111" t="s">
        <v>12230</v>
      </c>
      <c r="I1028" s="111" t="s">
        <v>12394</v>
      </c>
      <c r="J1028" s="111" t="s">
        <v>12296</v>
      </c>
      <c r="K1028" s="111" t="s">
        <v>174</v>
      </c>
      <c r="L1028" s="111"/>
      <c r="M1028" s="111">
        <v>1.0</v>
      </c>
      <c r="N1028" s="111"/>
      <c r="O1028" s="111"/>
      <c r="P1028" s="111"/>
      <c r="Q1028" s="111"/>
      <c r="R1028" s="111"/>
      <c r="S1028" s="111"/>
      <c r="T1028" s="111"/>
      <c r="U1028" s="111"/>
      <c r="V1028" s="111"/>
      <c r="W1028" s="111"/>
      <c r="X1028" s="111"/>
      <c r="Y1028" s="111"/>
      <c r="Z1028" s="111" t="s">
        <v>13795</v>
      </c>
      <c r="AA1028" s="126">
        <f>IF(Projects!$AI1028="Electrolysis",
AB1028*VLOOKUP(G1028,ElectrolysisConvF,3,FALSE),
"")</f>
        <v>3034.921348</v>
      </c>
      <c r="AB1028" s="125">
        <f t="shared" ref="AB1028:AB1029" si="203">AC1028/(H2dens*HoursInYear/10^6)</f>
        <v>674426.9663</v>
      </c>
      <c r="AC1028" s="125">
        <f>4*365*0.180072/Projects!$AJ1028</f>
        <v>525.81024</v>
      </c>
      <c r="AD1028" s="125"/>
      <c r="AE1028" s="125">
        <f t="shared" si="199"/>
        <v>674426.9663</v>
      </c>
      <c r="AF1028" s="127" t="s">
        <v>13796</v>
      </c>
      <c r="AG1028" s="127">
        <v>30.0889233395226</v>
      </c>
      <c r="AH1028" s="127">
        <v>-90.4984166942733</v>
      </c>
      <c r="AI1028" s="115" t="s">
        <v>12383</v>
      </c>
      <c r="AJ1028" s="116">
        <v>0.5</v>
      </c>
      <c r="AK1028" s="117"/>
      <c r="AL1028" s="117"/>
      <c r="AM1028" s="117"/>
      <c r="AN1028" s="117"/>
      <c r="AO1028" s="117"/>
    </row>
    <row r="1029" ht="34.5" customHeight="1">
      <c r="A1029" s="111">
        <v>1526.0</v>
      </c>
      <c r="B1029" s="111" t="s">
        <v>9030</v>
      </c>
      <c r="C1029" s="111" t="s">
        <v>7977</v>
      </c>
      <c r="D1029" s="111">
        <v>2026.0</v>
      </c>
      <c r="E1029" s="111"/>
      <c r="F1029" s="111" t="s">
        <v>12399</v>
      </c>
      <c r="G1029" s="111" t="s">
        <v>12226</v>
      </c>
      <c r="H1029" s="111"/>
      <c r="I1029" s="111" t="s">
        <v>12394</v>
      </c>
      <c r="J1029" s="111" t="s">
        <v>12291</v>
      </c>
      <c r="K1029" s="111" t="s">
        <v>174</v>
      </c>
      <c r="L1029" s="111"/>
      <c r="M1029" s="111">
        <v>1.0</v>
      </c>
      <c r="N1029" s="111"/>
      <c r="O1029" s="111"/>
      <c r="P1029" s="111"/>
      <c r="Q1029" s="111"/>
      <c r="R1029" s="111"/>
      <c r="S1029" s="111"/>
      <c r="T1029" s="111"/>
      <c r="U1029" s="111"/>
      <c r="V1029" s="111"/>
      <c r="W1029" s="111"/>
      <c r="X1029" s="111"/>
      <c r="Y1029" s="111"/>
      <c r="Z1029" s="111" t="s">
        <v>13797</v>
      </c>
      <c r="AA1029" s="126">
        <f>IF(Projects!$AI1029="Electrolysis",
AB1029*VLOOKUP(G1029,ElectrolysisConvF,3,FALSE),
"")</f>
        <v>50.02308758</v>
      </c>
      <c r="AB1029" s="125">
        <f t="shared" si="203"/>
        <v>9619.824534</v>
      </c>
      <c r="AC1029" s="126">
        <v>7.5</v>
      </c>
      <c r="AD1029" s="125"/>
      <c r="AE1029" s="125">
        <f t="shared" si="199"/>
        <v>9619.824534</v>
      </c>
      <c r="AF1029" s="127" t="s">
        <v>13798</v>
      </c>
      <c r="AG1029" s="127">
        <v>38.7282474514421</v>
      </c>
      <c r="AH1029" s="127">
        <v>-2.83087088038107</v>
      </c>
      <c r="AI1029" s="115" t="s">
        <v>12383</v>
      </c>
      <c r="AJ1029" s="116">
        <v>0.3</v>
      </c>
      <c r="AK1029" s="117"/>
      <c r="AL1029" s="117"/>
      <c r="AM1029" s="117"/>
      <c r="AN1029" s="117"/>
      <c r="AO1029" s="117"/>
    </row>
    <row r="1030" ht="34.5" customHeight="1">
      <c r="A1030" s="111">
        <v>1527.0</v>
      </c>
      <c r="B1030" s="111" t="s">
        <v>9031</v>
      </c>
      <c r="C1030" s="111" t="s">
        <v>8590</v>
      </c>
      <c r="D1030" s="111">
        <v>2027.0</v>
      </c>
      <c r="E1030" s="111"/>
      <c r="F1030" s="111" t="s">
        <v>12399</v>
      </c>
      <c r="G1030" s="111" t="s">
        <v>12381</v>
      </c>
      <c r="H1030" s="111" t="s">
        <v>12230</v>
      </c>
      <c r="I1030" s="111" t="s">
        <v>12394</v>
      </c>
      <c r="J1030" s="111" t="s">
        <v>12295</v>
      </c>
      <c r="K1030" s="111" t="s">
        <v>174</v>
      </c>
      <c r="L1030" s="111"/>
      <c r="M1030" s="111"/>
      <c r="N1030" s="111"/>
      <c r="O1030" s="111"/>
      <c r="P1030" s="111"/>
      <c r="Q1030" s="111"/>
      <c r="R1030" s="111"/>
      <c r="S1030" s="111"/>
      <c r="T1030" s="111"/>
      <c r="U1030" s="111"/>
      <c r="V1030" s="111"/>
      <c r="W1030" s="111"/>
      <c r="X1030" s="111"/>
      <c r="Y1030" s="111"/>
      <c r="Z1030" s="111" t="s">
        <v>13799</v>
      </c>
      <c r="AA1030" s="124">
        <v>1120.0</v>
      </c>
      <c r="AB1030" s="125">
        <f>IF(Projects!$AI1030="Electrolysis",
AA1030/VLOOKUP(G1030,ElectrolysisConvF,3,FALSE),
AC1030*10^6/(H2dens*HoursInYear))</f>
        <v>248888.8889</v>
      </c>
      <c r="AC1030" s="126">
        <f>AB1030*H2dens*HoursInYear/10^6</f>
        <v>194.0437333</v>
      </c>
      <c r="AD1030" s="125"/>
      <c r="AE1030" s="125">
        <f t="shared" si="199"/>
        <v>248888.8889</v>
      </c>
      <c r="AF1030" s="127" t="s">
        <v>13800</v>
      </c>
      <c r="AG1030" s="127">
        <v>-3.53092803394662</v>
      </c>
      <c r="AH1030" s="127">
        <v>-38.7923774582973</v>
      </c>
      <c r="AI1030" s="115" t="s">
        <v>12383</v>
      </c>
      <c r="AJ1030" s="116">
        <v>0.5</v>
      </c>
      <c r="AK1030" s="117"/>
      <c r="AL1030" s="117"/>
      <c r="AM1030" s="117"/>
      <c r="AN1030" s="117"/>
      <c r="AO1030" s="117"/>
    </row>
    <row r="1031" ht="34.5" customHeight="1">
      <c r="A1031" s="111">
        <v>1528.0</v>
      </c>
      <c r="B1031" s="111" t="s">
        <v>9032</v>
      </c>
      <c r="C1031" s="111" t="s">
        <v>8590</v>
      </c>
      <c r="D1031" s="111"/>
      <c r="E1031" s="111"/>
      <c r="F1031" s="111" t="s">
        <v>12397</v>
      </c>
      <c r="G1031" s="111" t="s">
        <v>12381</v>
      </c>
      <c r="H1031" s="111" t="s">
        <v>12230</v>
      </c>
      <c r="I1031" s="111" t="s">
        <v>12394</v>
      </c>
      <c r="J1031" s="111" t="s">
        <v>12296</v>
      </c>
      <c r="K1031" s="111" t="s">
        <v>30</v>
      </c>
      <c r="L1031" s="111"/>
      <c r="M1031" s="111"/>
      <c r="N1031" s="111"/>
      <c r="O1031" s="111"/>
      <c r="P1031" s="111"/>
      <c r="Q1031" s="111"/>
      <c r="R1031" s="111"/>
      <c r="S1031" s="111"/>
      <c r="T1031" s="111"/>
      <c r="U1031" s="111"/>
      <c r="V1031" s="111"/>
      <c r="W1031" s="111"/>
      <c r="X1031" s="111"/>
      <c r="Y1031" s="111"/>
      <c r="Z1031" s="111"/>
      <c r="AA1031" s="124"/>
      <c r="AB1031" s="125"/>
      <c r="AC1031" s="125"/>
      <c r="AD1031" s="125"/>
      <c r="AE1031" s="125" t="str">
        <f t="shared" si="199"/>
        <v/>
      </c>
      <c r="AF1031" s="127" t="s">
        <v>13801</v>
      </c>
      <c r="AG1031" s="127">
        <v>-4.94471520229253</v>
      </c>
      <c r="AH1031" s="127">
        <v>-38.8200039778356</v>
      </c>
      <c r="AI1031" s="115" t="s">
        <v>12383</v>
      </c>
      <c r="AJ1031" s="116">
        <v>0.5</v>
      </c>
      <c r="AK1031" s="117"/>
      <c r="AL1031" s="117"/>
      <c r="AM1031" s="117"/>
      <c r="AN1031" s="117"/>
      <c r="AO1031" s="117"/>
    </row>
    <row r="1032" ht="34.5" customHeight="1">
      <c r="A1032" s="111">
        <v>1529.0</v>
      </c>
      <c r="B1032" s="111" t="s">
        <v>9033</v>
      </c>
      <c r="C1032" s="111" t="s">
        <v>8011</v>
      </c>
      <c r="D1032" s="111">
        <v>2030.0</v>
      </c>
      <c r="E1032" s="111"/>
      <c r="F1032" s="111" t="s">
        <v>12399</v>
      </c>
      <c r="G1032" s="111" t="s">
        <v>12381</v>
      </c>
      <c r="H1032" s="111" t="s">
        <v>12230</v>
      </c>
      <c r="I1032" s="111" t="s">
        <v>12406</v>
      </c>
      <c r="J1032" s="111"/>
      <c r="K1032" s="111" t="s">
        <v>12251</v>
      </c>
      <c r="L1032" s="111"/>
      <c r="M1032" s="111"/>
      <c r="N1032" s="111"/>
      <c r="O1032" s="111"/>
      <c r="P1032" s="111"/>
      <c r="Q1032" s="111"/>
      <c r="R1032" s="111"/>
      <c r="S1032" s="111"/>
      <c r="T1032" s="111"/>
      <c r="U1032" s="111"/>
      <c r="V1032" s="111"/>
      <c r="W1032" s="111">
        <v>1.0</v>
      </c>
      <c r="X1032" s="111"/>
      <c r="Y1032" s="111"/>
      <c r="Z1032" s="111" t="s">
        <v>13675</v>
      </c>
      <c r="AA1032" s="124">
        <v>400.0</v>
      </c>
      <c r="AB1032" s="125">
        <f>IF(Projects!$AI1032="Electrolysis",
AA1032/VLOOKUP(G1032,ElectrolysisConvF,3,FALSE),
AC1032*10^6/(H2dens*HoursInYear))</f>
        <v>88888.88889</v>
      </c>
      <c r="AC1032" s="126">
        <f t="shared" ref="AC1032:AC1036" si="204">AB1032*H2dens*HoursInYear/10^6</f>
        <v>69.30133333</v>
      </c>
      <c r="AD1032" s="125"/>
      <c r="AE1032" s="125">
        <f t="shared" si="199"/>
        <v>88888.88889</v>
      </c>
      <c r="AF1032" s="127" t="s">
        <v>13802</v>
      </c>
      <c r="AG1032" s="127">
        <v>51.0337379763841</v>
      </c>
      <c r="AH1032" s="127">
        <v>2.28818862790312</v>
      </c>
      <c r="AI1032" s="115" t="s">
        <v>12383</v>
      </c>
      <c r="AJ1032" s="116">
        <v>0.57</v>
      </c>
      <c r="AK1032" s="117"/>
      <c r="AL1032" s="117"/>
      <c r="AM1032" s="117"/>
      <c r="AN1032" s="117"/>
      <c r="AO1032" s="117"/>
    </row>
    <row r="1033" ht="34.5" customHeight="1">
      <c r="A1033" s="111">
        <v>1530.0</v>
      </c>
      <c r="B1033" s="111" t="s">
        <v>9034</v>
      </c>
      <c r="C1033" s="111" t="s">
        <v>7991</v>
      </c>
      <c r="D1033" s="111">
        <v>2024.0</v>
      </c>
      <c r="E1033" s="111"/>
      <c r="F1033" s="111" t="s">
        <v>12393</v>
      </c>
      <c r="G1033" s="111" t="s">
        <v>12381</v>
      </c>
      <c r="H1033" s="111" t="s">
        <v>12230</v>
      </c>
      <c r="I1033" s="111" t="s">
        <v>12394</v>
      </c>
      <c r="J1033" s="111" t="s">
        <v>12295</v>
      </c>
      <c r="K1033" s="111" t="s">
        <v>30</v>
      </c>
      <c r="L1033" s="111"/>
      <c r="M1033" s="111"/>
      <c r="N1033" s="111"/>
      <c r="O1033" s="111"/>
      <c r="P1033" s="111"/>
      <c r="Q1033" s="111"/>
      <c r="R1033" s="111"/>
      <c r="S1033" s="111"/>
      <c r="T1033" s="111"/>
      <c r="U1033" s="111"/>
      <c r="V1033" s="111"/>
      <c r="W1033" s="111"/>
      <c r="X1033" s="111"/>
      <c r="Y1033" s="111"/>
      <c r="Z1033" s="111" t="s">
        <v>12824</v>
      </c>
      <c r="AA1033" s="124">
        <v>15.0</v>
      </c>
      <c r="AB1033" s="125">
        <f>IF(Projects!$AI1033="Electrolysis",
AA1033/VLOOKUP(G1033,ElectrolysisConvF,3,FALSE),
AC1033*10^6/(H2dens*HoursInYear))</f>
        <v>3333.333333</v>
      </c>
      <c r="AC1033" s="126">
        <f t="shared" si="204"/>
        <v>2.5988</v>
      </c>
      <c r="AD1033" s="125"/>
      <c r="AE1033" s="125">
        <f t="shared" si="199"/>
        <v>3333.333333</v>
      </c>
      <c r="AF1033" s="127" t="s">
        <v>13803</v>
      </c>
      <c r="AG1033" s="127">
        <v>57.0919501244315</v>
      </c>
      <c r="AH1033" s="127">
        <v>-4.25279725935409</v>
      </c>
      <c r="AI1033" s="115" t="s">
        <v>12383</v>
      </c>
      <c r="AJ1033" s="116">
        <v>0.5</v>
      </c>
      <c r="AK1033" s="117"/>
      <c r="AL1033" s="117"/>
      <c r="AM1033" s="117"/>
      <c r="AN1033" s="117"/>
      <c r="AO1033" s="117"/>
    </row>
    <row r="1034" ht="34.5" customHeight="1">
      <c r="A1034" s="111">
        <v>1531.0</v>
      </c>
      <c r="B1034" s="111" t="s">
        <v>9035</v>
      </c>
      <c r="C1034" s="111" t="s">
        <v>8071</v>
      </c>
      <c r="D1034" s="111"/>
      <c r="E1034" s="111"/>
      <c r="F1034" s="111" t="s">
        <v>12399</v>
      </c>
      <c r="G1034" s="111" t="s">
        <v>12381</v>
      </c>
      <c r="H1034" s="111" t="s">
        <v>12230</v>
      </c>
      <c r="I1034" s="111" t="s">
        <v>12394</v>
      </c>
      <c r="J1034" s="111" t="s">
        <v>12291</v>
      </c>
      <c r="K1034" s="111" t="s">
        <v>30</v>
      </c>
      <c r="L1034" s="111"/>
      <c r="M1034" s="111"/>
      <c r="N1034" s="111"/>
      <c r="O1034" s="111"/>
      <c r="P1034" s="111"/>
      <c r="Q1034" s="111">
        <v>1.0</v>
      </c>
      <c r="R1034" s="111"/>
      <c r="S1034" s="111"/>
      <c r="T1034" s="111"/>
      <c r="U1034" s="111"/>
      <c r="V1034" s="111"/>
      <c r="W1034" s="111"/>
      <c r="X1034" s="111"/>
      <c r="Y1034" s="111"/>
      <c r="Z1034" s="111" t="s">
        <v>12703</v>
      </c>
      <c r="AA1034" s="124">
        <v>10.0</v>
      </c>
      <c r="AB1034" s="125">
        <f>IF(Projects!$AI1034="Electrolysis",
AA1034/VLOOKUP(G1034,ElectrolysisConvF,3,FALSE),
AC1034*10^6/(H2dens*HoursInYear))</f>
        <v>2222.222222</v>
      </c>
      <c r="AC1034" s="126">
        <f t="shared" si="204"/>
        <v>1.732533333</v>
      </c>
      <c r="AD1034" s="125"/>
      <c r="AE1034" s="125">
        <f t="shared" si="199"/>
        <v>2222.222222</v>
      </c>
      <c r="AF1034" s="127" t="s">
        <v>13804</v>
      </c>
      <c r="AG1034" s="127">
        <v>-23.3990803648907</v>
      </c>
      <c r="AH1034" s="127">
        <v>-69.252182822016</v>
      </c>
      <c r="AI1034" s="115" t="s">
        <v>12383</v>
      </c>
      <c r="AJ1034" s="116">
        <v>0.3</v>
      </c>
      <c r="AK1034" s="117"/>
      <c r="AL1034" s="117"/>
      <c r="AM1034" s="117"/>
      <c r="AN1034" s="117"/>
      <c r="AO1034" s="117"/>
    </row>
    <row r="1035" ht="34.5" customHeight="1">
      <c r="A1035" s="111">
        <v>1532.0</v>
      </c>
      <c r="B1035" s="111" t="s">
        <v>9036</v>
      </c>
      <c r="C1035" s="111" t="s">
        <v>8071</v>
      </c>
      <c r="D1035" s="111">
        <v>2027.0</v>
      </c>
      <c r="E1035" s="111"/>
      <c r="F1035" s="111" t="s">
        <v>12397</v>
      </c>
      <c r="G1035" s="111" t="s">
        <v>12381</v>
      </c>
      <c r="H1035" s="111" t="s">
        <v>12230</v>
      </c>
      <c r="I1035" s="111" t="s">
        <v>12394</v>
      </c>
      <c r="J1035" s="111" t="s">
        <v>12291</v>
      </c>
      <c r="K1035" s="111" t="s">
        <v>30</v>
      </c>
      <c r="L1035" s="111"/>
      <c r="M1035" s="111"/>
      <c r="N1035" s="111"/>
      <c r="O1035" s="111"/>
      <c r="P1035" s="111"/>
      <c r="Q1035" s="111">
        <v>1.0</v>
      </c>
      <c r="R1035" s="111"/>
      <c r="S1035" s="111"/>
      <c r="T1035" s="111"/>
      <c r="U1035" s="111"/>
      <c r="V1035" s="111"/>
      <c r="W1035" s="111"/>
      <c r="X1035" s="111"/>
      <c r="Y1035" s="111"/>
      <c r="Z1035" s="111" t="s">
        <v>13805</v>
      </c>
      <c r="AA1035" s="124">
        <v>2000.0</v>
      </c>
      <c r="AB1035" s="125">
        <f>IF(Projects!$AI1035="Electrolysis",
AA1035/VLOOKUP(G1035,ElectrolysisConvF,3,FALSE),
AC1035*10^6/(H2dens*HoursInYear))</f>
        <v>444444.4444</v>
      </c>
      <c r="AC1035" s="126">
        <f t="shared" si="204"/>
        <v>346.5066667</v>
      </c>
      <c r="AD1035" s="125"/>
      <c r="AE1035" s="125">
        <f t="shared" si="199"/>
        <v>444444.4444</v>
      </c>
      <c r="AF1035" s="127" t="s">
        <v>13804</v>
      </c>
      <c r="AG1035" s="127">
        <v>-23.3990803648907</v>
      </c>
      <c r="AH1035" s="127">
        <v>-69.252182822016</v>
      </c>
      <c r="AI1035" s="115" t="s">
        <v>12383</v>
      </c>
      <c r="AJ1035" s="116">
        <v>0.3</v>
      </c>
      <c r="AK1035" s="117"/>
      <c r="AL1035" s="117"/>
      <c r="AM1035" s="117"/>
      <c r="AN1035" s="117"/>
      <c r="AO1035" s="117"/>
    </row>
    <row r="1036" ht="34.5" customHeight="1">
      <c r="A1036" s="111">
        <v>1533.0</v>
      </c>
      <c r="B1036" s="111" t="s">
        <v>9037</v>
      </c>
      <c r="C1036" s="111" t="s">
        <v>8071</v>
      </c>
      <c r="D1036" s="111">
        <v>2027.0</v>
      </c>
      <c r="E1036" s="111"/>
      <c r="F1036" s="111" t="s">
        <v>12399</v>
      </c>
      <c r="G1036" s="111" t="s">
        <v>12381</v>
      </c>
      <c r="H1036" s="111" t="s">
        <v>12230</v>
      </c>
      <c r="I1036" s="111" t="s">
        <v>12759</v>
      </c>
      <c r="J1036" s="111" t="s">
        <v>12295</v>
      </c>
      <c r="K1036" s="111" t="s">
        <v>174</v>
      </c>
      <c r="L1036" s="111"/>
      <c r="M1036" s="111">
        <v>1.0</v>
      </c>
      <c r="N1036" s="111"/>
      <c r="O1036" s="111"/>
      <c r="P1036" s="111"/>
      <c r="Q1036" s="111"/>
      <c r="R1036" s="111"/>
      <c r="S1036" s="111"/>
      <c r="T1036" s="111"/>
      <c r="U1036" s="111"/>
      <c r="V1036" s="111"/>
      <c r="W1036" s="111"/>
      <c r="X1036" s="111"/>
      <c r="Y1036" s="111"/>
      <c r="Z1036" s="111" t="s">
        <v>13806</v>
      </c>
      <c r="AA1036" s="124">
        <v>2000.0</v>
      </c>
      <c r="AB1036" s="125">
        <f>IF(Projects!$AI1036="Electrolysis",
AA1036/VLOOKUP(G1036,ElectrolysisConvF,3,FALSE),
AC1036*10^6/(H2dens*HoursInYear))</f>
        <v>444444.4444</v>
      </c>
      <c r="AC1036" s="126">
        <f t="shared" si="204"/>
        <v>346.5066667</v>
      </c>
      <c r="AD1036" s="125"/>
      <c r="AE1036" s="125">
        <f t="shared" si="199"/>
        <v>444444.4444</v>
      </c>
      <c r="AF1036" s="127" t="s">
        <v>13804</v>
      </c>
      <c r="AG1036" s="127">
        <v>-23.3990803648907</v>
      </c>
      <c r="AH1036" s="127">
        <v>-69.252182822016</v>
      </c>
      <c r="AI1036" s="115" t="s">
        <v>12383</v>
      </c>
      <c r="AJ1036" s="116">
        <v>0.7</v>
      </c>
      <c r="AK1036" s="117"/>
      <c r="AL1036" s="117"/>
      <c r="AM1036" s="117"/>
      <c r="AN1036" s="117"/>
      <c r="AO1036" s="117"/>
    </row>
    <row r="1037" ht="34.5" customHeight="1">
      <c r="A1037" s="111">
        <v>1534.0</v>
      </c>
      <c r="B1037" s="111" t="s">
        <v>9038</v>
      </c>
      <c r="C1037" s="111" t="s">
        <v>8071</v>
      </c>
      <c r="D1037" s="111">
        <v>2028.0</v>
      </c>
      <c r="E1037" s="111"/>
      <c r="F1037" s="111" t="s">
        <v>12399</v>
      </c>
      <c r="G1037" s="111" t="s">
        <v>12381</v>
      </c>
      <c r="H1037" s="111" t="s">
        <v>12230</v>
      </c>
      <c r="I1037" s="111" t="s">
        <v>12394</v>
      </c>
      <c r="J1037" s="111" t="s">
        <v>12292</v>
      </c>
      <c r="K1037" s="111" t="s">
        <v>174</v>
      </c>
      <c r="L1037" s="111"/>
      <c r="M1037" s="111">
        <v>1.0</v>
      </c>
      <c r="N1037" s="111"/>
      <c r="O1037" s="111"/>
      <c r="P1037" s="111"/>
      <c r="Q1037" s="111"/>
      <c r="R1037" s="111"/>
      <c r="S1037" s="111"/>
      <c r="T1037" s="111"/>
      <c r="U1037" s="111"/>
      <c r="V1037" s="111"/>
      <c r="W1037" s="111"/>
      <c r="X1037" s="111"/>
      <c r="Y1037" s="111"/>
      <c r="Z1037" s="111" t="s">
        <v>13807</v>
      </c>
      <c r="AA1037" s="126">
        <f>IF(Projects!$AI1037="Electrolysis",
AB1037*VLOOKUP(G1037,ElectrolysisConvF,3,FALSE),
"")</f>
        <v>981.2221025</v>
      </c>
      <c r="AB1037" s="125">
        <f t="shared" ref="AB1037:AB1038" si="205">AC1037/(H2dens*HoursInYear/10^6)</f>
        <v>218049.3561</v>
      </c>
      <c r="AC1037" s="126">
        <v>170.0</v>
      </c>
      <c r="AD1037" s="125"/>
      <c r="AE1037" s="125">
        <f t="shared" si="199"/>
        <v>218049.3561</v>
      </c>
      <c r="AF1037" s="127" t="s">
        <v>13804</v>
      </c>
      <c r="AG1037" s="127">
        <v>-50.615096291667</v>
      </c>
      <c r="AH1037" s="127">
        <v>-74.5013589002638</v>
      </c>
      <c r="AI1037" s="115" t="s">
        <v>12383</v>
      </c>
      <c r="AJ1037" s="116">
        <v>0.4</v>
      </c>
      <c r="AK1037" s="117"/>
      <c r="AL1037" s="117"/>
      <c r="AM1037" s="117"/>
      <c r="AN1037" s="117"/>
      <c r="AO1037" s="117"/>
    </row>
    <row r="1038" ht="34.5" customHeight="1">
      <c r="A1038" s="111">
        <v>1536.0</v>
      </c>
      <c r="B1038" s="111" t="s">
        <v>9039</v>
      </c>
      <c r="C1038" s="111" t="s">
        <v>8071</v>
      </c>
      <c r="D1038" s="111">
        <v>2026.0</v>
      </c>
      <c r="E1038" s="111"/>
      <c r="F1038" s="111" t="s">
        <v>12397</v>
      </c>
      <c r="G1038" s="111" t="s">
        <v>12381</v>
      </c>
      <c r="H1038" s="111" t="s">
        <v>12230</v>
      </c>
      <c r="I1038" s="111" t="s">
        <v>12394</v>
      </c>
      <c r="J1038" s="111" t="s">
        <v>12292</v>
      </c>
      <c r="K1038" s="111" t="s">
        <v>174</v>
      </c>
      <c r="L1038" s="111"/>
      <c r="M1038" s="111">
        <v>1.0</v>
      </c>
      <c r="N1038" s="111"/>
      <c r="O1038" s="111"/>
      <c r="P1038" s="111"/>
      <c r="Q1038" s="111"/>
      <c r="R1038" s="111"/>
      <c r="S1038" s="111"/>
      <c r="T1038" s="111"/>
      <c r="U1038" s="111"/>
      <c r="V1038" s="111"/>
      <c r="W1038" s="111"/>
      <c r="X1038" s="111"/>
      <c r="Y1038" s="111"/>
      <c r="Z1038" s="111" t="s">
        <v>13808</v>
      </c>
      <c r="AA1038" s="126">
        <f>IF(Projects!$AI1038="Electrolysis",
AB1038*VLOOKUP(G1038,ElectrolysisConvF,3,FALSE),
"")</f>
        <v>490.6110513</v>
      </c>
      <c r="AB1038" s="125">
        <f t="shared" si="205"/>
        <v>109024.6781</v>
      </c>
      <c r="AC1038" s="126">
        <v>85.0</v>
      </c>
      <c r="AD1038" s="125"/>
      <c r="AE1038" s="125">
        <f t="shared" si="199"/>
        <v>109024.6781</v>
      </c>
      <c r="AF1038" s="127" t="s">
        <v>13804</v>
      </c>
      <c r="AG1038" s="127">
        <v>-50.615096291667</v>
      </c>
      <c r="AH1038" s="127">
        <v>-74.5013589002638</v>
      </c>
      <c r="AI1038" s="115" t="s">
        <v>12383</v>
      </c>
      <c r="AJ1038" s="116">
        <v>0.4</v>
      </c>
      <c r="AK1038" s="117"/>
      <c r="AL1038" s="117"/>
      <c r="AM1038" s="117"/>
      <c r="AN1038" s="117"/>
      <c r="AO1038" s="117"/>
    </row>
    <row r="1039" ht="34.5" customHeight="1">
      <c r="A1039" s="111">
        <v>1537.0</v>
      </c>
      <c r="B1039" s="111" t="s">
        <v>9040</v>
      </c>
      <c r="C1039" s="111" t="s">
        <v>7971</v>
      </c>
      <c r="D1039" s="111"/>
      <c r="E1039" s="111"/>
      <c r="F1039" s="111" t="s">
        <v>12399</v>
      </c>
      <c r="G1039" s="111" t="s">
        <v>12381</v>
      </c>
      <c r="H1039" s="111" t="s">
        <v>12230</v>
      </c>
      <c r="I1039" s="111" t="s">
        <v>12394</v>
      </c>
      <c r="J1039" s="111" t="s">
        <v>12296</v>
      </c>
      <c r="K1039" s="111" t="s">
        <v>174</v>
      </c>
      <c r="L1039" s="111"/>
      <c r="M1039" s="111">
        <v>1.0</v>
      </c>
      <c r="N1039" s="111"/>
      <c r="O1039" s="111"/>
      <c r="P1039" s="111"/>
      <c r="Q1039" s="111"/>
      <c r="R1039" s="111"/>
      <c r="S1039" s="111"/>
      <c r="T1039" s="111"/>
      <c r="U1039" s="111"/>
      <c r="V1039" s="111"/>
      <c r="W1039" s="111"/>
      <c r="X1039" s="111"/>
      <c r="Y1039" s="111"/>
      <c r="Z1039" s="111" t="s">
        <v>12698</v>
      </c>
      <c r="AA1039" s="124">
        <v>100.0</v>
      </c>
      <c r="AB1039" s="125">
        <f>IF(Projects!$AI1039="Electrolysis",
AA1039/VLOOKUP(G1039,ElectrolysisConvF,3,FALSE),
AC1039*10^6/(H2dens*HoursInYear))</f>
        <v>22222.22222</v>
      </c>
      <c r="AC1039" s="126">
        <f t="shared" ref="AC1039:AC1041" si="206">AB1039*H2dens*HoursInYear/10^6</f>
        <v>17.32533333</v>
      </c>
      <c r="AD1039" s="125"/>
      <c r="AE1039" s="125">
        <f t="shared" si="199"/>
        <v>22222.22222</v>
      </c>
      <c r="AF1039" s="127" t="s">
        <v>13809</v>
      </c>
      <c r="AG1039" s="127">
        <v>70.6929849708511</v>
      </c>
      <c r="AH1039" s="127">
        <v>28.9164048317553</v>
      </c>
      <c r="AI1039" s="115" t="s">
        <v>12383</v>
      </c>
      <c r="AJ1039" s="116">
        <v>0.5</v>
      </c>
      <c r="AK1039" s="117"/>
      <c r="AL1039" s="117"/>
      <c r="AM1039" s="117"/>
      <c r="AN1039" s="117"/>
      <c r="AO1039" s="117"/>
    </row>
    <row r="1040" ht="34.5" customHeight="1">
      <c r="A1040" s="111">
        <v>1538.0</v>
      </c>
      <c r="B1040" s="111" t="s">
        <v>9041</v>
      </c>
      <c r="C1040" s="111" t="s">
        <v>7971</v>
      </c>
      <c r="D1040" s="111">
        <v>2025.0</v>
      </c>
      <c r="E1040" s="111"/>
      <c r="F1040" s="111" t="s">
        <v>12399</v>
      </c>
      <c r="G1040" s="111" t="s">
        <v>12381</v>
      </c>
      <c r="H1040" s="111" t="s">
        <v>12230</v>
      </c>
      <c r="I1040" s="111" t="s">
        <v>12394</v>
      </c>
      <c r="J1040" s="111" t="s">
        <v>12296</v>
      </c>
      <c r="K1040" s="111" t="s">
        <v>30</v>
      </c>
      <c r="L1040" s="111"/>
      <c r="M1040" s="111"/>
      <c r="N1040" s="111"/>
      <c r="O1040" s="111"/>
      <c r="P1040" s="111">
        <v>1.0</v>
      </c>
      <c r="Q1040" s="111"/>
      <c r="R1040" s="111"/>
      <c r="S1040" s="111"/>
      <c r="T1040" s="111"/>
      <c r="U1040" s="111"/>
      <c r="V1040" s="111"/>
      <c r="W1040" s="111"/>
      <c r="X1040" s="111"/>
      <c r="Y1040" s="111"/>
      <c r="Z1040" s="111" t="s">
        <v>12589</v>
      </c>
      <c r="AA1040" s="124">
        <v>20.0</v>
      </c>
      <c r="AB1040" s="125">
        <f>IF(Projects!$AI1040="Electrolysis",
AA1040/VLOOKUP(G1040,ElectrolysisConvF,3,FALSE),
AC1040*10^6/(H2dens*HoursInYear))</f>
        <v>4444.444444</v>
      </c>
      <c r="AC1040" s="126">
        <f t="shared" si="206"/>
        <v>3.465066667</v>
      </c>
      <c r="AD1040" s="125"/>
      <c r="AE1040" s="125">
        <f t="shared" si="199"/>
        <v>4444.444444</v>
      </c>
      <c r="AF1040" s="127" t="s">
        <v>13810</v>
      </c>
      <c r="AG1040" s="127">
        <v>59.8971104008913</v>
      </c>
      <c r="AH1040" s="127">
        <v>8.60811488160295</v>
      </c>
      <c r="AI1040" s="115" t="s">
        <v>12383</v>
      </c>
      <c r="AJ1040" s="116">
        <v>0.5</v>
      </c>
      <c r="AK1040" s="117"/>
      <c r="AL1040" s="117"/>
      <c r="AM1040" s="117"/>
      <c r="AN1040" s="117"/>
      <c r="AO1040" s="117"/>
    </row>
    <row r="1041" ht="34.5" customHeight="1">
      <c r="A1041" s="111">
        <v>1539.0</v>
      </c>
      <c r="B1041" s="111" t="s">
        <v>9042</v>
      </c>
      <c r="C1041" s="111" t="s">
        <v>7971</v>
      </c>
      <c r="D1041" s="111">
        <v>2025.0</v>
      </c>
      <c r="E1041" s="111"/>
      <c r="F1041" s="111" t="s">
        <v>12399</v>
      </c>
      <c r="G1041" s="111" t="s">
        <v>12381</v>
      </c>
      <c r="H1041" s="111" t="s">
        <v>12230</v>
      </c>
      <c r="I1041" s="111" t="s">
        <v>12394</v>
      </c>
      <c r="J1041" s="111" t="s">
        <v>12296</v>
      </c>
      <c r="K1041" s="111" t="s">
        <v>30</v>
      </c>
      <c r="L1041" s="111"/>
      <c r="M1041" s="111"/>
      <c r="N1041" s="111"/>
      <c r="O1041" s="111"/>
      <c r="P1041" s="111">
        <v>1.0</v>
      </c>
      <c r="Q1041" s="111"/>
      <c r="R1041" s="111"/>
      <c r="S1041" s="111"/>
      <c r="T1041" s="111"/>
      <c r="U1041" s="111"/>
      <c r="V1041" s="111"/>
      <c r="W1041" s="111"/>
      <c r="X1041" s="111"/>
      <c r="Y1041" s="111"/>
      <c r="Z1041" s="111" t="s">
        <v>12589</v>
      </c>
      <c r="AA1041" s="124">
        <v>20.0</v>
      </c>
      <c r="AB1041" s="125">
        <f>IF(Projects!$AI1041="Electrolysis",
AA1041/VLOOKUP(G1041,ElectrolysisConvF,3,FALSE),
AC1041*10^6/(H2dens*HoursInYear))</f>
        <v>4444.444444</v>
      </c>
      <c r="AC1041" s="126">
        <f t="shared" si="206"/>
        <v>3.465066667</v>
      </c>
      <c r="AD1041" s="125"/>
      <c r="AE1041" s="125">
        <f t="shared" si="199"/>
        <v>4444.444444</v>
      </c>
      <c r="AF1041" s="127" t="s">
        <v>13810</v>
      </c>
      <c r="AG1041" s="127">
        <v>59.8971104008913</v>
      </c>
      <c r="AH1041" s="127">
        <v>8.60811488160295</v>
      </c>
      <c r="AI1041" s="115" t="s">
        <v>12383</v>
      </c>
      <c r="AJ1041" s="116">
        <v>0.5</v>
      </c>
      <c r="AK1041" s="117"/>
      <c r="AL1041" s="117"/>
      <c r="AM1041" s="117"/>
      <c r="AN1041" s="117"/>
      <c r="AO1041" s="117"/>
    </row>
    <row r="1042" ht="34.5" customHeight="1">
      <c r="A1042" s="111">
        <v>1540.0</v>
      </c>
      <c r="B1042" s="111" t="s">
        <v>9043</v>
      </c>
      <c r="C1042" s="111" t="s">
        <v>7981</v>
      </c>
      <c r="D1042" s="111"/>
      <c r="E1042" s="111"/>
      <c r="F1042" s="111" t="s">
        <v>12397</v>
      </c>
      <c r="G1042" s="111" t="s">
        <v>12228</v>
      </c>
      <c r="H1042" s="111"/>
      <c r="I1042" s="111" t="s">
        <v>12394</v>
      </c>
      <c r="J1042" s="111" t="s">
        <v>12291</v>
      </c>
      <c r="K1042" s="111" t="s">
        <v>30</v>
      </c>
      <c r="L1042" s="111"/>
      <c r="M1042" s="111"/>
      <c r="N1042" s="111"/>
      <c r="O1042" s="111"/>
      <c r="P1042" s="111">
        <v>1.0</v>
      </c>
      <c r="Q1042" s="111"/>
      <c r="R1042" s="111"/>
      <c r="S1042" s="111">
        <v>1.0</v>
      </c>
      <c r="T1042" s="111"/>
      <c r="U1042" s="111"/>
      <c r="V1042" s="111"/>
      <c r="W1042" s="111"/>
      <c r="X1042" s="111"/>
      <c r="Y1042" s="111"/>
      <c r="Z1042" s="111" t="s">
        <v>13811</v>
      </c>
      <c r="AA1042" s="126">
        <f>IF(Projects!$AI1042="Electrolysis",
AB1042*VLOOKUP(G1042,ElectrolysisConvF,3,FALSE),
"")</f>
        <v>324.9362954</v>
      </c>
      <c r="AB1042" s="125">
        <f>AC1042/(H2dens*HoursInYear/10^6)</f>
        <v>85509.55142</v>
      </c>
      <c r="AC1042" s="125">
        <f>20/Projects!$AJ1042</f>
        <v>66.66666667</v>
      </c>
      <c r="AD1042" s="125"/>
      <c r="AE1042" s="125">
        <f t="shared" si="199"/>
        <v>85509.55142</v>
      </c>
      <c r="AF1042" s="127" t="s">
        <v>13812</v>
      </c>
      <c r="AG1042" s="127">
        <v>33.8297070764285</v>
      </c>
      <c r="AH1042" s="127">
        <v>-114.103709163233</v>
      </c>
      <c r="AI1042" s="115" t="s">
        <v>12383</v>
      </c>
      <c r="AJ1042" s="116">
        <v>0.3</v>
      </c>
      <c r="AK1042" s="117"/>
      <c r="AL1042" s="117"/>
      <c r="AM1042" s="117"/>
      <c r="AN1042" s="117"/>
      <c r="AO1042" s="117"/>
    </row>
    <row r="1043" ht="34.5" customHeight="1">
      <c r="A1043" s="111">
        <v>1541.0</v>
      </c>
      <c r="B1043" s="111" t="s">
        <v>9044</v>
      </c>
      <c r="C1043" s="111" t="s">
        <v>7977</v>
      </c>
      <c r="D1043" s="111">
        <v>2030.0</v>
      </c>
      <c r="E1043" s="111"/>
      <c r="F1043" s="111" t="s">
        <v>12399</v>
      </c>
      <c r="G1043" s="111" t="s">
        <v>12381</v>
      </c>
      <c r="H1043" s="111" t="s">
        <v>12230</v>
      </c>
      <c r="I1043" s="111" t="s">
        <v>12394</v>
      </c>
      <c r="J1043" s="111" t="s">
        <v>12291</v>
      </c>
      <c r="K1043" s="111" t="s">
        <v>30</v>
      </c>
      <c r="L1043" s="111">
        <v>1.0</v>
      </c>
      <c r="M1043" s="111"/>
      <c r="N1043" s="111"/>
      <c r="O1043" s="111"/>
      <c r="P1043" s="111"/>
      <c r="Q1043" s="111"/>
      <c r="R1043" s="111"/>
      <c r="S1043" s="111"/>
      <c r="T1043" s="111"/>
      <c r="U1043" s="111"/>
      <c r="V1043" s="111"/>
      <c r="W1043" s="111"/>
      <c r="X1043" s="111"/>
      <c r="Y1043" s="111"/>
      <c r="Z1043" s="111" t="s">
        <v>13813</v>
      </c>
      <c r="AA1043" s="124">
        <f>2000-25</f>
        <v>1975</v>
      </c>
      <c r="AB1043" s="125">
        <f>IF(Projects!$AI1043="Electrolysis",
AA1043/VLOOKUP(G1043,ElectrolysisConvF,3,FALSE),
AC1043*10^6/(H2dens*HoursInYear))</f>
        <v>438888.8889</v>
      </c>
      <c r="AC1043" s="126">
        <f t="shared" ref="AC1043:AC1048" si="207">AB1043*H2dens*HoursInYear/10^6</f>
        <v>342.1753333</v>
      </c>
      <c r="AD1043" s="125"/>
      <c r="AE1043" s="125">
        <f t="shared" si="199"/>
        <v>438888.8889</v>
      </c>
      <c r="AF1043" s="127" t="s">
        <v>13814</v>
      </c>
      <c r="AG1043" s="127">
        <v>39.9580042348676</v>
      </c>
      <c r="AH1043" s="127">
        <v>-0.00407231136722538</v>
      </c>
      <c r="AI1043" s="115" t="s">
        <v>12383</v>
      </c>
      <c r="AJ1043" s="116">
        <v>0.3</v>
      </c>
      <c r="AK1043" s="117"/>
      <c r="AL1043" s="117"/>
      <c r="AM1043" s="117"/>
      <c r="AN1043" s="117"/>
      <c r="AO1043" s="117"/>
    </row>
    <row r="1044" ht="34.5" customHeight="1">
      <c r="A1044" s="111">
        <v>1542.0</v>
      </c>
      <c r="B1044" s="111" t="s">
        <v>9045</v>
      </c>
      <c r="C1044" s="111" t="s">
        <v>7987</v>
      </c>
      <c r="D1044" s="111"/>
      <c r="E1044" s="111"/>
      <c r="F1044" s="111" t="s">
        <v>12397</v>
      </c>
      <c r="G1044" s="111" t="s">
        <v>12381</v>
      </c>
      <c r="H1044" s="111" t="s">
        <v>12230</v>
      </c>
      <c r="I1044" s="111" t="s">
        <v>12394</v>
      </c>
      <c r="J1044" s="111" t="s">
        <v>12296</v>
      </c>
      <c r="K1044" s="111" t="s">
        <v>30</v>
      </c>
      <c r="L1044" s="111"/>
      <c r="M1044" s="111"/>
      <c r="N1044" s="111"/>
      <c r="O1044" s="111">
        <v>1.0</v>
      </c>
      <c r="P1044" s="111">
        <v>1.0</v>
      </c>
      <c r="Q1044" s="111"/>
      <c r="R1044" s="111"/>
      <c r="S1044" s="111"/>
      <c r="T1044" s="111"/>
      <c r="U1044" s="111"/>
      <c r="V1044" s="111"/>
      <c r="W1044" s="111"/>
      <c r="X1044" s="111"/>
      <c r="Y1044" s="111"/>
      <c r="Z1044" s="111" t="s">
        <v>12723</v>
      </c>
      <c r="AA1044" s="124">
        <v>590.0</v>
      </c>
      <c r="AB1044" s="125">
        <f>IF(Projects!$AI1044="Electrolysis",
AA1044/VLOOKUP(G1044,ElectrolysisConvF,3,FALSE),
AC1044*10^6/(H2dens*HoursInYear))</f>
        <v>131111.1111</v>
      </c>
      <c r="AC1044" s="126">
        <f t="shared" si="207"/>
        <v>102.2194667</v>
      </c>
      <c r="AD1044" s="125"/>
      <c r="AE1044" s="125">
        <f t="shared" si="199"/>
        <v>131111.1111</v>
      </c>
      <c r="AF1044" s="127" t="s">
        <v>13201</v>
      </c>
      <c r="AG1044" s="127">
        <v>53.5295406441506</v>
      </c>
      <c r="AH1044" s="127">
        <v>8.12969320043866</v>
      </c>
      <c r="AI1044" s="115" t="s">
        <v>12383</v>
      </c>
      <c r="AJ1044" s="116">
        <v>0.5</v>
      </c>
      <c r="AK1044" s="117"/>
      <c r="AL1044" s="117"/>
      <c r="AM1044" s="117"/>
      <c r="AN1044" s="117"/>
      <c r="AO1044" s="117"/>
    </row>
    <row r="1045" ht="34.5" customHeight="1">
      <c r="A1045" s="111">
        <v>1543.0</v>
      </c>
      <c r="B1045" s="111" t="s">
        <v>9046</v>
      </c>
      <c r="C1045" s="111" t="s">
        <v>8001</v>
      </c>
      <c r="D1045" s="111">
        <v>2026.0</v>
      </c>
      <c r="E1045" s="111"/>
      <c r="F1045" s="111" t="s">
        <v>12393</v>
      </c>
      <c r="G1045" s="111" t="s">
        <v>12224</v>
      </c>
      <c r="H1045" s="111"/>
      <c r="I1045" s="111" t="s">
        <v>12394</v>
      </c>
      <c r="J1045" s="111" t="s">
        <v>12291</v>
      </c>
      <c r="K1045" s="111" t="s">
        <v>12415</v>
      </c>
      <c r="L1045" s="111"/>
      <c r="M1045" s="111"/>
      <c r="N1045" s="111">
        <v>1.0</v>
      </c>
      <c r="O1045" s="111"/>
      <c r="P1045" s="111"/>
      <c r="Q1045" s="111"/>
      <c r="R1045" s="111"/>
      <c r="S1045" s="111"/>
      <c r="T1045" s="111"/>
      <c r="U1045" s="111"/>
      <c r="V1045" s="111"/>
      <c r="W1045" s="111"/>
      <c r="X1045" s="111"/>
      <c r="Y1045" s="111"/>
      <c r="Z1045" s="111" t="s">
        <v>13815</v>
      </c>
      <c r="AA1045" s="126">
        <f>IF(Projects!$AI1045="Electrolysis",
AB1045*VLOOKUP(G1045,ElectrolysisConvF,3,FALSE),
"")</f>
        <v>212.52</v>
      </c>
      <c r="AB1045" s="125">
        <v>46200.0</v>
      </c>
      <c r="AC1045" s="125">
        <f t="shared" si="207"/>
        <v>36.019368</v>
      </c>
      <c r="AD1045" s="125"/>
      <c r="AE1045" s="125">
        <f t="shared" si="199"/>
        <v>46200</v>
      </c>
      <c r="AF1045" s="127" t="s">
        <v>13816</v>
      </c>
      <c r="AG1045" s="127">
        <v>39.6217064512335</v>
      </c>
      <c r="AH1045" s="127">
        <v>109.728046667016</v>
      </c>
      <c r="AI1045" s="115" t="s">
        <v>12383</v>
      </c>
      <c r="AJ1045" s="116">
        <v>0.3</v>
      </c>
      <c r="AK1045" s="117"/>
      <c r="AL1045" s="117"/>
      <c r="AM1045" s="117"/>
      <c r="AN1045" s="117"/>
      <c r="AO1045" s="117"/>
    </row>
    <row r="1046" ht="34.5" customHeight="1">
      <c r="A1046" s="111">
        <v>1544.0</v>
      </c>
      <c r="B1046" s="111" t="s">
        <v>9047</v>
      </c>
      <c r="C1046" s="111" t="s">
        <v>8161</v>
      </c>
      <c r="D1046" s="111">
        <v>2025.0</v>
      </c>
      <c r="E1046" s="111"/>
      <c r="F1046" s="111" t="s">
        <v>12393</v>
      </c>
      <c r="G1046" s="111" t="s">
        <v>12381</v>
      </c>
      <c r="H1046" s="111" t="s">
        <v>12230</v>
      </c>
      <c r="I1046" s="111" t="s">
        <v>12394</v>
      </c>
      <c r="J1046" s="111" t="s">
        <v>12291</v>
      </c>
      <c r="K1046" s="111" t="s">
        <v>30</v>
      </c>
      <c r="L1046" s="111"/>
      <c r="M1046" s="111"/>
      <c r="N1046" s="111"/>
      <c r="O1046" s="111"/>
      <c r="P1046" s="111">
        <v>1.0</v>
      </c>
      <c r="Q1046" s="111"/>
      <c r="R1046" s="111"/>
      <c r="S1046" s="111"/>
      <c r="T1046" s="111"/>
      <c r="U1046" s="111"/>
      <c r="V1046" s="111"/>
      <c r="W1046" s="111"/>
      <c r="X1046" s="111"/>
      <c r="Y1046" s="111"/>
      <c r="Z1046" s="111" t="s">
        <v>13098</v>
      </c>
      <c r="AA1046" s="124">
        <v>40.0</v>
      </c>
      <c r="AB1046" s="125">
        <f>IF(Projects!$AI1046="Electrolysis",
AA1046/VLOOKUP(G1046,ElectrolysisConvF,3,FALSE),
AC1046*10^6/(H2dens*HoursInYear))</f>
        <v>8888.888889</v>
      </c>
      <c r="AC1046" s="126">
        <f t="shared" si="207"/>
        <v>6.930133333</v>
      </c>
      <c r="AD1046" s="125"/>
      <c r="AE1046" s="125">
        <f t="shared" si="199"/>
        <v>8888.888889</v>
      </c>
      <c r="AF1046" s="127" t="s">
        <v>13817</v>
      </c>
      <c r="AG1046" s="127">
        <v>39.7171290603057</v>
      </c>
      <c r="AH1046" s="127">
        <v>-8.89838186033757</v>
      </c>
      <c r="AI1046" s="115" t="s">
        <v>12383</v>
      </c>
      <c r="AJ1046" s="116">
        <v>0.3</v>
      </c>
      <c r="AK1046" s="117"/>
      <c r="AL1046" s="117"/>
      <c r="AM1046" s="117"/>
      <c r="AN1046" s="117"/>
      <c r="AO1046" s="117"/>
    </row>
    <row r="1047" ht="34.5" customHeight="1">
      <c r="A1047" s="111">
        <v>1545.0</v>
      </c>
      <c r="B1047" s="111" t="s">
        <v>9048</v>
      </c>
      <c r="C1047" s="111" t="s">
        <v>8161</v>
      </c>
      <c r="D1047" s="111"/>
      <c r="E1047" s="111"/>
      <c r="F1047" s="111" t="s">
        <v>12397</v>
      </c>
      <c r="G1047" s="111" t="s">
        <v>12381</v>
      </c>
      <c r="H1047" s="111" t="s">
        <v>12230</v>
      </c>
      <c r="I1047" s="111" t="s">
        <v>12394</v>
      </c>
      <c r="J1047" s="111" t="s">
        <v>12291</v>
      </c>
      <c r="K1047" s="111" t="s">
        <v>30</v>
      </c>
      <c r="L1047" s="111"/>
      <c r="M1047" s="111"/>
      <c r="N1047" s="111"/>
      <c r="O1047" s="111"/>
      <c r="P1047" s="111">
        <v>1.0</v>
      </c>
      <c r="Q1047" s="111"/>
      <c r="R1047" s="111"/>
      <c r="S1047" s="111"/>
      <c r="T1047" s="111"/>
      <c r="U1047" s="111"/>
      <c r="V1047" s="111"/>
      <c r="W1047" s="111"/>
      <c r="X1047" s="111"/>
      <c r="Y1047" s="111"/>
      <c r="Z1047" s="111" t="s">
        <v>13102</v>
      </c>
      <c r="AA1047" s="124">
        <v>540.0</v>
      </c>
      <c r="AB1047" s="125">
        <f>IF(Projects!$AI1047="Electrolysis",
AA1047/VLOOKUP(G1047,ElectrolysisConvF,3,FALSE),
AC1047*10^6/(H2dens*HoursInYear))</f>
        <v>120000</v>
      </c>
      <c r="AC1047" s="126">
        <f t="shared" si="207"/>
        <v>93.5568</v>
      </c>
      <c r="AD1047" s="125"/>
      <c r="AE1047" s="125">
        <f t="shared" si="199"/>
        <v>120000</v>
      </c>
      <c r="AF1047" s="127" t="s">
        <v>13818</v>
      </c>
      <c r="AG1047" s="127">
        <v>39.7171290603057</v>
      </c>
      <c r="AH1047" s="127">
        <v>-8.89838186033757</v>
      </c>
      <c r="AI1047" s="115" t="s">
        <v>12383</v>
      </c>
      <c r="AJ1047" s="116">
        <v>0.3</v>
      </c>
      <c r="AK1047" s="117"/>
      <c r="AL1047" s="117"/>
      <c r="AM1047" s="117"/>
      <c r="AN1047" s="117"/>
      <c r="AO1047" s="117"/>
    </row>
    <row r="1048" ht="34.5" customHeight="1">
      <c r="A1048" s="111">
        <v>1546.0</v>
      </c>
      <c r="B1048" s="111" t="s">
        <v>9049</v>
      </c>
      <c r="C1048" s="111" t="s">
        <v>8001</v>
      </c>
      <c r="D1048" s="111">
        <v>2022.0</v>
      </c>
      <c r="E1048" s="111"/>
      <c r="F1048" s="111" t="s">
        <v>12418</v>
      </c>
      <c r="G1048" s="111" t="s">
        <v>12226</v>
      </c>
      <c r="H1048" s="111"/>
      <c r="I1048" s="111" t="s">
        <v>12759</v>
      </c>
      <c r="J1048" s="111"/>
      <c r="K1048" s="111" t="s">
        <v>30</v>
      </c>
      <c r="L1048" s="111"/>
      <c r="M1048" s="111"/>
      <c r="N1048" s="111"/>
      <c r="O1048" s="111"/>
      <c r="P1048" s="111"/>
      <c r="Q1048" s="111"/>
      <c r="R1048" s="111"/>
      <c r="S1048" s="111"/>
      <c r="T1048" s="111"/>
      <c r="U1048" s="111"/>
      <c r="V1048" s="111"/>
      <c r="W1048" s="111"/>
      <c r="X1048" s="111"/>
      <c r="Y1048" s="111"/>
      <c r="Z1048" s="111" t="s">
        <v>13819</v>
      </c>
      <c r="AA1048" s="124">
        <v>1.25</v>
      </c>
      <c r="AB1048" s="125">
        <f>IF(Projects!$AI1048="Electrolysis",
AA1048/VLOOKUP(G1048,ElectrolysisConvF,3,FALSE),
AC1048*10^6/(H2dens*HoursInYear))</f>
        <v>240.3846154</v>
      </c>
      <c r="AC1048" s="126">
        <f t="shared" si="207"/>
        <v>0.1874134615</v>
      </c>
      <c r="AD1048" s="125"/>
      <c r="AE1048" s="125">
        <f t="shared" si="199"/>
        <v>240.3846154</v>
      </c>
      <c r="AF1048" s="127" t="s">
        <v>13820</v>
      </c>
      <c r="AG1048" s="127">
        <v>39.7310901353144</v>
      </c>
      <c r="AH1048" s="127">
        <v>115.969098680807</v>
      </c>
      <c r="AI1048" s="115" t="s">
        <v>12383</v>
      </c>
      <c r="AJ1048" s="116">
        <v>0.7</v>
      </c>
      <c r="AK1048" s="117"/>
      <c r="AL1048" s="117"/>
      <c r="AM1048" s="117"/>
      <c r="AN1048" s="117"/>
      <c r="AO1048" s="117"/>
    </row>
    <row r="1049" ht="34.5" customHeight="1">
      <c r="A1049" s="111">
        <v>1547.0</v>
      </c>
      <c r="B1049" s="111" t="s">
        <v>9050</v>
      </c>
      <c r="C1049" s="111" t="s">
        <v>7977</v>
      </c>
      <c r="D1049" s="111"/>
      <c r="E1049" s="111"/>
      <c r="F1049" s="111" t="s">
        <v>12399</v>
      </c>
      <c r="G1049" s="111" t="s">
        <v>12381</v>
      </c>
      <c r="H1049" s="111" t="s">
        <v>12230</v>
      </c>
      <c r="I1049" s="111" t="s">
        <v>12287</v>
      </c>
      <c r="J1049" s="111"/>
      <c r="K1049" s="111" t="s">
        <v>30</v>
      </c>
      <c r="L1049" s="111"/>
      <c r="M1049" s="111"/>
      <c r="N1049" s="111"/>
      <c r="O1049" s="111"/>
      <c r="P1049" s="111">
        <v>1.0</v>
      </c>
      <c r="Q1049" s="111">
        <v>1.0</v>
      </c>
      <c r="R1049" s="111"/>
      <c r="S1049" s="111"/>
      <c r="T1049" s="111"/>
      <c r="U1049" s="111"/>
      <c r="V1049" s="111"/>
      <c r="W1049" s="111"/>
      <c r="X1049" s="111"/>
      <c r="Y1049" s="111"/>
      <c r="Z1049" s="111" t="s">
        <v>13821</v>
      </c>
      <c r="AA1049" s="126">
        <f>IF(Projects!$AI1049="Electrolysis",
AB1049*VLOOKUP(G1049,ElectrolysisConvF,3,FALSE),
"")</f>
        <v>144.297368</v>
      </c>
      <c r="AB1049" s="125">
        <f t="shared" ref="AB1049:AB1050" si="208">AC1049/(H2dens*HoursInYear/10^6)</f>
        <v>32066.08178</v>
      </c>
      <c r="AC1049" s="125">
        <v>25.0</v>
      </c>
      <c r="AD1049" s="125"/>
      <c r="AE1049" s="125">
        <f t="shared" si="199"/>
        <v>32066.08178</v>
      </c>
      <c r="AF1049" s="127"/>
      <c r="AG1049" s="127">
        <v>37.9919478923093</v>
      </c>
      <c r="AH1049" s="127">
        <v>-1.10220897677113</v>
      </c>
      <c r="AI1049" s="115" t="s">
        <v>12383</v>
      </c>
      <c r="AJ1049" s="116">
        <v>0.57</v>
      </c>
      <c r="AK1049" s="117"/>
      <c r="AL1049" s="117"/>
      <c r="AM1049" s="117"/>
      <c r="AN1049" s="117"/>
      <c r="AO1049" s="117"/>
    </row>
    <row r="1050" ht="34.5" customHeight="1">
      <c r="A1050" s="111">
        <v>1548.0</v>
      </c>
      <c r="B1050" s="111" t="s">
        <v>9051</v>
      </c>
      <c r="C1050" s="127" t="s">
        <v>7977</v>
      </c>
      <c r="D1050" s="111">
        <v>2030.0</v>
      </c>
      <c r="E1050" s="111"/>
      <c r="F1050" s="111" t="s">
        <v>12397</v>
      </c>
      <c r="G1050" s="111" t="s">
        <v>12381</v>
      </c>
      <c r="H1050" s="111" t="s">
        <v>12230</v>
      </c>
      <c r="I1050" s="111" t="s">
        <v>12394</v>
      </c>
      <c r="J1050" s="111" t="s">
        <v>12291</v>
      </c>
      <c r="K1050" s="111" t="s">
        <v>30</v>
      </c>
      <c r="L1050" s="111"/>
      <c r="M1050" s="111"/>
      <c r="N1050" s="111"/>
      <c r="O1050" s="111"/>
      <c r="P1050" s="111"/>
      <c r="Q1050" s="111"/>
      <c r="R1050" s="111">
        <v>1.0</v>
      </c>
      <c r="S1050" s="111">
        <v>1.0</v>
      </c>
      <c r="T1050" s="111"/>
      <c r="U1050" s="111"/>
      <c r="V1050" s="111"/>
      <c r="W1050" s="111"/>
      <c r="X1050" s="111"/>
      <c r="Y1050" s="111"/>
      <c r="Z1050" s="111" t="s">
        <v>13822</v>
      </c>
      <c r="AA1050" s="126">
        <f>IF(Projects!$AI1050="Electrolysis",
AB1050*VLOOKUP(G1050,ElectrolysisConvF,3,FALSE),
"")</f>
        <v>19239.64907</v>
      </c>
      <c r="AB1050" s="125">
        <f t="shared" si="208"/>
        <v>4275477.571</v>
      </c>
      <c r="AC1050" s="125">
        <f>1000/Projects!$AJ1050</f>
        <v>3333.333333</v>
      </c>
      <c r="AD1050" s="125"/>
      <c r="AE1050" s="125">
        <f t="shared" si="199"/>
        <v>4275477.571</v>
      </c>
      <c r="AF1050" s="127" t="s">
        <v>13823</v>
      </c>
      <c r="AG1050" s="127">
        <v>40.1793745709376</v>
      </c>
      <c r="AH1050" s="127">
        <v>-2.02492918219861</v>
      </c>
      <c r="AI1050" s="115" t="s">
        <v>12383</v>
      </c>
      <c r="AJ1050" s="116">
        <v>0.3</v>
      </c>
      <c r="AK1050" s="117"/>
      <c r="AL1050" s="117"/>
      <c r="AM1050" s="117"/>
      <c r="AN1050" s="117"/>
      <c r="AO1050" s="117"/>
    </row>
    <row r="1051" ht="34.5" customHeight="1">
      <c r="A1051" s="111">
        <v>1549.0</v>
      </c>
      <c r="B1051" s="111" t="s">
        <v>9052</v>
      </c>
      <c r="C1051" s="111" t="s">
        <v>7977</v>
      </c>
      <c r="D1051" s="111">
        <v>2028.0</v>
      </c>
      <c r="E1051" s="111"/>
      <c r="F1051" s="111" t="s">
        <v>12399</v>
      </c>
      <c r="G1051" s="111" t="s">
        <v>12381</v>
      </c>
      <c r="H1051" s="111" t="s">
        <v>12230</v>
      </c>
      <c r="I1051" s="111" t="s">
        <v>12394</v>
      </c>
      <c r="J1051" s="111" t="s">
        <v>12291</v>
      </c>
      <c r="K1051" s="111" t="s">
        <v>30</v>
      </c>
      <c r="L1051" s="111"/>
      <c r="M1051" s="111">
        <v>1.0</v>
      </c>
      <c r="N1051" s="111"/>
      <c r="O1051" s="111">
        <v>1.0</v>
      </c>
      <c r="P1051" s="111">
        <v>1.0</v>
      </c>
      <c r="Q1051" s="111"/>
      <c r="R1051" s="111"/>
      <c r="S1051" s="111"/>
      <c r="T1051" s="111"/>
      <c r="U1051" s="111"/>
      <c r="V1051" s="111"/>
      <c r="W1051" s="111"/>
      <c r="X1051" s="111"/>
      <c r="Y1051" s="111"/>
      <c r="Z1051" s="111" t="s">
        <v>13824</v>
      </c>
      <c r="AA1051" s="124">
        <v>3300.0</v>
      </c>
      <c r="AB1051" s="125">
        <f>IF(Projects!$AI1051="Electrolysis",
AA1051/VLOOKUP(G1051,ElectrolysisConvF,3,FALSE),
AC1051*10^6/(H2dens*HoursInYear))</f>
        <v>733333.3333</v>
      </c>
      <c r="AC1051" s="126">
        <f t="shared" ref="AC1051:AC1054" si="209">AB1051*H2dens*HoursInYear/10^6</f>
        <v>571.736</v>
      </c>
      <c r="AD1051" s="125"/>
      <c r="AE1051" s="125">
        <f t="shared" si="199"/>
        <v>733333.3333</v>
      </c>
      <c r="AF1051" s="127" t="s">
        <v>13825</v>
      </c>
      <c r="AG1051" s="127">
        <v>39.0734008031167</v>
      </c>
      <c r="AH1051" s="127">
        <v>-5.12261733269946</v>
      </c>
      <c r="AI1051" s="115" t="s">
        <v>12383</v>
      </c>
      <c r="AJ1051" s="116">
        <v>0.3</v>
      </c>
      <c r="AK1051" s="117"/>
      <c r="AL1051" s="117"/>
      <c r="AM1051" s="117"/>
      <c r="AN1051" s="117"/>
      <c r="AO1051" s="117"/>
    </row>
    <row r="1052" ht="34.5" customHeight="1">
      <c r="A1052" s="111">
        <v>1550.0</v>
      </c>
      <c r="B1052" s="111" t="s">
        <v>9053</v>
      </c>
      <c r="C1052" s="111" t="s">
        <v>7977</v>
      </c>
      <c r="D1052" s="111"/>
      <c r="E1052" s="111"/>
      <c r="F1052" s="111" t="s">
        <v>12399</v>
      </c>
      <c r="G1052" s="111" t="s">
        <v>12381</v>
      </c>
      <c r="H1052" s="111" t="s">
        <v>12230</v>
      </c>
      <c r="I1052" s="111" t="s">
        <v>12394</v>
      </c>
      <c r="J1052" s="111" t="s">
        <v>12291</v>
      </c>
      <c r="K1052" s="111" t="s">
        <v>30</v>
      </c>
      <c r="L1052" s="111"/>
      <c r="M1052" s="111">
        <v>1.0</v>
      </c>
      <c r="N1052" s="111"/>
      <c r="O1052" s="111">
        <v>1.0</v>
      </c>
      <c r="P1052" s="111">
        <v>1.0</v>
      </c>
      <c r="Q1052" s="111"/>
      <c r="R1052" s="111"/>
      <c r="S1052" s="111"/>
      <c r="T1052" s="111"/>
      <c r="U1052" s="111"/>
      <c r="V1052" s="111"/>
      <c r="W1052" s="111"/>
      <c r="X1052" s="111"/>
      <c r="Y1052" s="111"/>
      <c r="Z1052" s="111" t="s">
        <v>13826</v>
      </c>
      <c r="AA1052" s="124">
        <f>7400-AA1051</f>
        <v>4100</v>
      </c>
      <c r="AB1052" s="125">
        <f>IF(Projects!$AI1052="Electrolysis",
AA1052/VLOOKUP(G1052,ElectrolysisConvF,3,FALSE),
AC1052*10^6/(H2dens*HoursInYear))</f>
        <v>911111.1111</v>
      </c>
      <c r="AC1052" s="126">
        <f t="shared" si="209"/>
        <v>710.3386667</v>
      </c>
      <c r="AD1052" s="125"/>
      <c r="AE1052" s="125">
        <f t="shared" si="199"/>
        <v>911111.1111</v>
      </c>
      <c r="AF1052" s="127" t="s">
        <v>13827</v>
      </c>
      <c r="AG1052" s="127">
        <v>39.0734008031167</v>
      </c>
      <c r="AH1052" s="127">
        <v>-5.12261733269946</v>
      </c>
      <c r="AI1052" s="115" t="s">
        <v>12383</v>
      </c>
      <c r="AJ1052" s="116">
        <v>0.3</v>
      </c>
      <c r="AK1052" s="117"/>
      <c r="AL1052" s="117"/>
      <c r="AM1052" s="117"/>
      <c r="AN1052" s="117"/>
      <c r="AO1052" s="117"/>
    </row>
    <row r="1053" ht="34.5" customHeight="1">
      <c r="A1053" s="111">
        <v>1551.0</v>
      </c>
      <c r="B1053" s="111" t="s">
        <v>9054</v>
      </c>
      <c r="C1053" s="111" t="s">
        <v>8021</v>
      </c>
      <c r="D1053" s="111">
        <v>2026.0</v>
      </c>
      <c r="E1053" s="111"/>
      <c r="F1053" s="111" t="s">
        <v>12393</v>
      </c>
      <c r="G1053" s="111" t="s">
        <v>12381</v>
      </c>
      <c r="H1053" s="111" t="s">
        <v>12230</v>
      </c>
      <c r="I1053" s="111" t="s">
        <v>12406</v>
      </c>
      <c r="J1053" s="111"/>
      <c r="K1053" s="111" t="s">
        <v>174</v>
      </c>
      <c r="L1053" s="111"/>
      <c r="M1053" s="111">
        <v>1.0</v>
      </c>
      <c r="N1053" s="111"/>
      <c r="O1053" s="111"/>
      <c r="P1053" s="111"/>
      <c r="Q1053" s="111"/>
      <c r="R1053" s="111"/>
      <c r="S1053" s="111"/>
      <c r="T1053" s="111"/>
      <c r="U1053" s="111"/>
      <c r="V1053" s="111"/>
      <c r="W1053" s="111"/>
      <c r="X1053" s="111"/>
      <c r="Y1053" s="111"/>
      <c r="Z1053" s="111" t="s">
        <v>13828</v>
      </c>
      <c r="AA1053" s="124">
        <v>55.0</v>
      </c>
      <c r="AB1053" s="125">
        <f>IF(Projects!$AI1053="Electrolysis",
AA1053/VLOOKUP(G1053,ElectrolysisConvF,3,FALSE),
AC1053*10^6/(H2dens*HoursInYear))</f>
        <v>12222.22222</v>
      </c>
      <c r="AC1053" s="126">
        <f t="shared" si="209"/>
        <v>9.528933333</v>
      </c>
      <c r="AD1053" s="125"/>
      <c r="AE1053" s="125">
        <f t="shared" si="199"/>
        <v>12222.22222</v>
      </c>
      <c r="AF1053" s="127" t="s">
        <v>13829</v>
      </c>
      <c r="AG1053" s="127">
        <v>-32.6512706010151</v>
      </c>
      <c r="AH1053" s="127">
        <v>151.004815481891</v>
      </c>
      <c r="AI1053" s="115" t="s">
        <v>12383</v>
      </c>
      <c r="AJ1053" s="116">
        <v>0.57</v>
      </c>
      <c r="AK1053" s="117"/>
      <c r="AL1053" s="117"/>
      <c r="AM1053" s="117"/>
      <c r="AN1053" s="117"/>
      <c r="AO1053" s="117"/>
    </row>
    <row r="1054" ht="34.5" customHeight="1">
      <c r="A1054" s="111">
        <v>1552.0</v>
      </c>
      <c r="B1054" s="111" t="s">
        <v>9055</v>
      </c>
      <c r="C1054" s="111" t="s">
        <v>8873</v>
      </c>
      <c r="D1054" s="111">
        <v>2024.0</v>
      </c>
      <c r="E1054" s="111"/>
      <c r="F1054" s="111" t="s">
        <v>12393</v>
      </c>
      <c r="G1054" s="111" t="s">
        <v>12381</v>
      </c>
      <c r="H1054" s="111" t="s">
        <v>12230</v>
      </c>
      <c r="I1054" s="111" t="s">
        <v>12394</v>
      </c>
      <c r="J1054" s="111" t="s">
        <v>12291</v>
      </c>
      <c r="K1054" s="111" t="s">
        <v>30</v>
      </c>
      <c r="L1054" s="111"/>
      <c r="M1054" s="111"/>
      <c r="N1054" s="111"/>
      <c r="O1054" s="111"/>
      <c r="P1054" s="111"/>
      <c r="Q1054" s="111">
        <v>1.0</v>
      </c>
      <c r="R1054" s="111"/>
      <c r="S1054" s="111"/>
      <c r="T1054" s="111"/>
      <c r="U1054" s="111"/>
      <c r="V1054" s="111"/>
      <c r="W1054" s="111"/>
      <c r="X1054" s="111"/>
      <c r="Y1054" s="111"/>
      <c r="Z1054" s="111" t="s">
        <v>12963</v>
      </c>
      <c r="AA1054" s="124">
        <v>4.0</v>
      </c>
      <c r="AB1054" s="125">
        <f>IF(Projects!$AI1054="Electrolysis",
AA1054/VLOOKUP(G1054,ElectrolysisConvF,3,FALSE),
AC1054*10^6/(H2dens*HoursInYear))</f>
        <v>888.8888889</v>
      </c>
      <c r="AC1054" s="126">
        <f t="shared" si="209"/>
        <v>0.6930133333</v>
      </c>
      <c r="AD1054" s="125"/>
      <c r="AE1054" s="125">
        <f t="shared" si="199"/>
        <v>888.8888889</v>
      </c>
      <c r="AF1054" s="127" t="s">
        <v>13830</v>
      </c>
      <c r="AG1054" s="127">
        <v>-22.0182124594526</v>
      </c>
      <c r="AH1054" s="127">
        <v>14.9251300005224</v>
      </c>
      <c r="AI1054" s="115" t="s">
        <v>12383</v>
      </c>
      <c r="AJ1054" s="116">
        <v>0.3</v>
      </c>
      <c r="AK1054" s="117"/>
      <c r="AL1054" s="117"/>
      <c r="AM1054" s="117"/>
      <c r="AN1054" s="117"/>
      <c r="AO1054" s="117"/>
    </row>
    <row r="1055" ht="34.5" customHeight="1">
      <c r="A1055" s="111">
        <v>1553.0</v>
      </c>
      <c r="B1055" s="111" t="s">
        <v>9056</v>
      </c>
      <c r="C1055" s="111" t="s">
        <v>8590</v>
      </c>
      <c r="D1055" s="111"/>
      <c r="E1055" s="111"/>
      <c r="F1055" s="111" t="s">
        <v>12397</v>
      </c>
      <c r="G1055" s="111" t="s">
        <v>12381</v>
      </c>
      <c r="H1055" s="111" t="s">
        <v>12230</v>
      </c>
      <c r="I1055" s="111" t="s">
        <v>12394</v>
      </c>
      <c r="J1055" s="111" t="s">
        <v>12293</v>
      </c>
      <c r="K1055" s="111" t="s">
        <v>30</v>
      </c>
      <c r="L1055" s="111"/>
      <c r="M1055" s="111">
        <v>1.0</v>
      </c>
      <c r="N1055" s="111"/>
      <c r="O1055" s="111"/>
      <c r="P1055" s="111">
        <v>1.0</v>
      </c>
      <c r="Q1055" s="111"/>
      <c r="R1055" s="111"/>
      <c r="S1055" s="111"/>
      <c r="T1055" s="111"/>
      <c r="U1055" s="111"/>
      <c r="V1055" s="111"/>
      <c r="W1055" s="111"/>
      <c r="X1055" s="111"/>
      <c r="Y1055" s="111"/>
      <c r="Z1055" s="111"/>
      <c r="AA1055" s="124"/>
      <c r="AB1055" s="125"/>
      <c r="AC1055" s="125"/>
      <c r="AD1055" s="125"/>
      <c r="AE1055" s="125" t="str">
        <f t="shared" si="199"/>
        <v/>
      </c>
      <c r="AF1055" s="127" t="s">
        <v>13831</v>
      </c>
      <c r="AG1055" s="127">
        <v>-32.0367142764942</v>
      </c>
      <c r="AH1055" s="127">
        <v>-52.075347135784</v>
      </c>
      <c r="AI1055" s="115" t="s">
        <v>12383</v>
      </c>
      <c r="AJ1055" s="116">
        <v>0.55</v>
      </c>
      <c r="AK1055" s="117"/>
      <c r="AL1055" s="117"/>
      <c r="AM1055" s="117"/>
      <c r="AN1055" s="117"/>
      <c r="AO1055" s="117"/>
    </row>
    <row r="1056" ht="34.5" customHeight="1">
      <c r="A1056" s="111">
        <v>1554.0</v>
      </c>
      <c r="B1056" s="111" t="s">
        <v>9057</v>
      </c>
      <c r="C1056" s="111" t="s">
        <v>8003</v>
      </c>
      <c r="D1056" s="111">
        <v>2025.0</v>
      </c>
      <c r="E1056" s="111"/>
      <c r="F1056" s="111" t="s">
        <v>12399</v>
      </c>
      <c r="G1056" s="111" t="s">
        <v>12241</v>
      </c>
      <c r="H1056" s="111" t="s">
        <v>13021</v>
      </c>
      <c r="I1056" s="111"/>
      <c r="J1056" s="111"/>
      <c r="K1056" s="111" t="s">
        <v>30</v>
      </c>
      <c r="L1056" s="111"/>
      <c r="M1056" s="111"/>
      <c r="N1056" s="111"/>
      <c r="O1056" s="111"/>
      <c r="P1056" s="111"/>
      <c r="Q1056" s="111"/>
      <c r="R1056" s="111"/>
      <c r="S1056" s="111"/>
      <c r="T1056" s="111"/>
      <c r="U1056" s="111"/>
      <c r="V1056" s="111"/>
      <c r="W1056" s="111"/>
      <c r="X1056" s="111"/>
      <c r="Y1056" s="111"/>
      <c r="Z1056" s="111" t="s">
        <v>13832</v>
      </c>
      <c r="AA1056" s="124"/>
      <c r="AB1056" s="125">
        <f>AC1056/(H2dens*HoursInYear/10^6)</f>
        <v>3206.608178</v>
      </c>
      <c r="AC1056" s="125">
        <v>2.5</v>
      </c>
      <c r="AD1056" s="125"/>
      <c r="AE1056" s="125">
        <f t="shared" si="199"/>
        <v>3206.608178</v>
      </c>
      <c r="AF1056" s="127" t="s">
        <v>13833</v>
      </c>
      <c r="AG1056" s="127">
        <v>55.3268321494596</v>
      </c>
      <c r="AH1056" s="127">
        <v>-125.332538964648</v>
      </c>
      <c r="AI1056" s="115" t="s">
        <v>12241</v>
      </c>
      <c r="AJ1056" s="116">
        <v>0.9</v>
      </c>
      <c r="AK1056" s="117"/>
      <c r="AL1056" s="117"/>
      <c r="AM1056" s="117"/>
      <c r="AN1056" s="117"/>
      <c r="AO1056" s="117"/>
    </row>
    <row r="1057" ht="34.5" customHeight="1">
      <c r="A1057" s="111">
        <v>1555.0</v>
      </c>
      <c r="B1057" s="111" t="s">
        <v>9058</v>
      </c>
      <c r="C1057" s="111" t="s">
        <v>7991</v>
      </c>
      <c r="D1057" s="111">
        <v>2035.0</v>
      </c>
      <c r="E1057" s="111"/>
      <c r="F1057" s="111" t="s">
        <v>12399</v>
      </c>
      <c r="G1057" s="111" t="s">
        <v>12381</v>
      </c>
      <c r="H1057" s="111" t="s">
        <v>12230</v>
      </c>
      <c r="I1057" s="111" t="s">
        <v>12394</v>
      </c>
      <c r="J1057" s="111" t="s">
        <v>12293</v>
      </c>
      <c r="K1057" s="111" t="s">
        <v>30</v>
      </c>
      <c r="L1057" s="111"/>
      <c r="M1057" s="111"/>
      <c r="N1057" s="111"/>
      <c r="O1057" s="111"/>
      <c r="P1057" s="111"/>
      <c r="Q1057" s="111"/>
      <c r="R1057" s="111">
        <v>1.0</v>
      </c>
      <c r="S1057" s="111"/>
      <c r="T1057" s="111"/>
      <c r="U1057" s="111"/>
      <c r="V1057" s="111"/>
      <c r="W1057" s="111"/>
      <c r="X1057" s="111"/>
      <c r="Y1057" s="111"/>
      <c r="Z1057" s="111" t="s">
        <v>12589</v>
      </c>
      <c r="AA1057" s="124">
        <v>20.0</v>
      </c>
      <c r="AB1057" s="125">
        <f>IF(Projects!$AI1057="Electrolysis",
AA1057/VLOOKUP(G1057,ElectrolysisConvF,3,FALSE),
AC1057*10^6/(H2dens*HoursInYear))</f>
        <v>4444.444444</v>
      </c>
      <c r="AC1057" s="126">
        <f>AB1057*H2dens*HoursInYear/10^6</f>
        <v>3.465066667</v>
      </c>
      <c r="AD1057" s="125"/>
      <c r="AE1057" s="125">
        <f t="shared" si="199"/>
        <v>4444.444444</v>
      </c>
      <c r="AF1057" s="127" t="s">
        <v>13834</v>
      </c>
      <c r="AG1057" s="127">
        <v>54.8465473779399</v>
      </c>
      <c r="AH1057" s="127">
        <v>-5.78102635077524</v>
      </c>
      <c r="AI1057" s="115" t="s">
        <v>12383</v>
      </c>
      <c r="AJ1057" s="116">
        <v>0.55</v>
      </c>
      <c r="AK1057" s="132"/>
      <c r="AL1057" s="132"/>
      <c r="AM1057" s="132"/>
      <c r="AN1057" s="132"/>
      <c r="AO1057" s="132"/>
    </row>
    <row r="1058" ht="34.5" customHeight="1">
      <c r="A1058" s="133">
        <v>1567.0</v>
      </c>
      <c r="B1058" s="133" t="s">
        <v>9059</v>
      </c>
      <c r="C1058" s="133" t="s">
        <v>7991</v>
      </c>
      <c r="D1058" s="133">
        <v>2030.0</v>
      </c>
      <c r="E1058" s="133"/>
      <c r="F1058" s="133" t="s">
        <v>12397</v>
      </c>
      <c r="G1058" s="133" t="s">
        <v>12381</v>
      </c>
      <c r="H1058" s="133" t="s">
        <v>12230</v>
      </c>
      <c r="I1058" s="133" t="s">
        <v>12287</v>
      </c>
      <c r="J1058" s="133"/>
      <c r="K1058" s="133" t="s">
        <v>30</v>
      </c>
      <c r="L1058" s="133"/>
      <c r="M1058" s="133"/>
      <c r="N1058" s="133"/>
      <c r="O1058" s="133"/>
      <c r="P1058" s="133">
        <v>1.0</v>
      </c>
      <c r="Q1058" s="133">
        <v>1.0</v>
      </c>
      <c r="R1058" s="133"/>
      <c r="S1058" s="133">
        <v>1.0</v>
      </c>
      <c r="T1058" s="133"/>
      <c r="U1058" s="133"/>
      <c r="V1058" s="133"/>
      <c r="W1058" s="133"/>
      <c r="X1058" s="133"/>
      <c r="Y1058" s="133"/>
      <c r="Z1058" s="133" t="s">
        <v>12723</v>
      </c>
      <c r="AA1058" s="134"/>
      <c r="AB1058" s="135"/>
      <c r="AC1058" s="136"/>
      <c r="AD1058" s="135"/>
      <c r="AE1058" s="135" t="str">
        <f t="shared" si="199"/>
        <v/>
      </c>
      <c r="AF1058" s="137" t="s">
        <v>13835</v>
      </c>
      <c r="AG1058" s="137">
        <v>51.9514180668966</v>
      </c>
      <c r="AH1058" s="137">
        <v>1.33425464260219</v>
      </c>
      <c r="AI1058" s="115" t="s">
        <v>12383</v>
      </c>
      <c r="AJ1058" s="116">
        <v>0.57</v>
      </c>
      <c r="AK1058" s="117"/>
      <c r="AL1058" s="117"/>
      <c r="AM1058" s="117"/>
      <c r="AN1058" s="117"/>
      <c r="AO1058" s="117"/>
    </row>
    <row r="1059" ht="34.5" customHeight="1">
      <c r="A1059" s="111">
        <v>1577.0</v>
      </c>
      <c r="B1059" s="111" t="s">
        <v>9060</v>
      </c>
      <c r="C1059" s="111" t="s">
        <v>8021</v>
      </c>
      <c r="D1059" s="111"/>
      <c r="E1059" s="111"/>
      <c r="F1059" s="111" t="s">
        <v>12397</v>
      </c>
      <c r="G1059" s="111" t="s">
        <v>12381</v>
      </c>
      <c r="H1059" s="111" t="s">
        <v>12230</v>
      </c>
      <c r="I1059" s="111" t="s">
        <v>12406</v>
      </c>
      <c r="J1059" s="111"/>
      <c r="K1059" s="111" t="s">
        <v>30</v>
      </c>
      <c r="L1059" s="111"/>
      <c r="M1059" s="111"/>
      <c r="N1059" s="111"/>
      <c r="O1059" s="111">
        <v>1.0</v>
      </c>
      <c r="P1059" s="111"/>
      <c r="Q1059" s="111"/>
      <c r="R1059" s="111"/>
      <c r="S1059" s="111"/>
      <c r="T1059" s="111"/>
      <c r="U1059" s="111"/>
      <c r="V1059" s="111"/>
      <c r="W1059" s="111"/>
      <c r="X1059" s="111"/>
      <c r="Y1059" s="111"/>
      <c r="Z1059" s="111"/>
      <c r="AA1059" s="124"/>
      <c r="AB1059" s="125"/>
      <c r="AC1059" s="125"/>
      <c r="AD1059" s="125"/>
      <c r="AE1059" s="125" t="str">
        <f t="shared" si="199"/>
        <v/>
      </c>
      <c r="AF1059" s="127" t="s">
        <v>13836</v>
      </c>
      <c r="AG1059" s="127">
        <v>-41.1283991202313</v>
      </c>
      <c r="AH1059" s="127">
        <v>146.868151713653</v>
      </c>
      <c r="AI1059" s="115" t="s">
        <v>12383</v>
      </c>
      <c r="AJ1059" s="116">
        <v>0.57</v>
      </c>
      <c r="AK1059" s="117"/>
      <c r="AL1059" s="117"/>
      <c r="AM1059" s="117"/>
      <c r="AN1059" s="117"/>
      <c r="AO1059" s="117"/>
    </row>
    <row r="1060" ht="34.5" customHeight="1">
      <c r="A1060" s="111">
        <v>1578.0</v>
      </c>
      <c r="B1060" s="111" t="s">
        <v>9061</v>
      </c>
      <c r="C1060" s="111" t="s">
        <v>8026</v>
      </c>
      <c r="D1060" s="111"/>
      <c r="E1060" s="111"/>
      <c r="F1060" s="111" t="s">
        <v>12397</v>
      </c>
      <c r="G1060" s="111" t="s">
        <v>12381</v>
      </c>
      <c r="H1060" s="111" t="s">
        <v>12230</v>
      </c>
      <c r="I1060" s="111" t="s">
        <v>12287</v>
      </c>
      <c r="J1060" s="111"/>
      <c r="K1060" s="111" t="s">
        <v>30</v>
      </c>
      <c r="L1060" s="111"/>
      <c r="M1060" s="111"/>
      <c r="N1060" s="111"/>
      <c r="O1060" s="111"/>
      <c r="P1060" s="111">
        <v>1.0</v>
      </c>
      <c r="Q1060" s="111"/>
      <c r="R1060" s="111"/>
      <c r="S1060" s="111"/>
      <c r="T1060" s="111"/>
      <c r="U1060" s="111"/>
      <c r="V1060" s="111"/>
      <c r="W1060" s="111"/>
      <c r="X1060" s="111"/>
      <c r="Y1060" s="111"/>
      <c r="Z1060" s="111"/>
      <c r="AA1060" s="124"/>
      <c r="AB1060" s="125"/>
      <c r="AC1060" s="125"/>
      <c r="AD1060" s="125"/>
      <c r="AE1060" s="125" t="str">
        <f t="shared" si="199"/>
        <v/>
      </c>
      <c r="AF1060" s="127" t="s">
        <v>13837</v>
      </c>
      <c r="AG1060" s="127">
        <v>64.6852122519613</v>
      </c>
      <c r="AH1060" s="127">
        <v>24.4888832434783</v>
      </c>
      <c r="AI1060" s="115" t="s">
        <v>12383</v>
      </c>
      <c r="AJ1060" s="116">
        <v>0.57</v>
      </c>
      <c r="AK1060" s="117"/>
      <c r="AL1060" s="117"/>
      <c r="AM1060" s="117"/>
      <c r="AN1060" s="117"/>
      <c r="AO1060" s="117"/>
    </row>
    <row r="1061" ht="34.5" customHeight="1">
      <c r="A1061" s="111">
        <v>1579.0</v>
      </c>
      <c r="B1061" s="111" t="s">
        <v>9062</v>
      </c>
      <c r="C1061" s="111" t="s">
        <v>7981</v>
      </c>
      <c r="D1061" s="111">
        <v>2029.0</v>
      </c>
      <c r="E1061" s="111"/>
      <c r="F1061" s="111" t="s">
        <v>12399</v>
      </c>
      <c r="G1061" s="111" t="s">
        <v>12235</v>
      </c>
      <c r="H1061" s="111" t="s">
        <v>13160</v>
      </c>
      <c r="I1061" s="111"/>
      <c r="J1061" s="111"/>
      <c r="K1061" s="111" t="s">
        <v>30</v>
      </c>
      <c r="L1061" s="111">
        <v>1.0</v>
      </c>
      <c r="M1061" s="111"/>
      <c r="N1061" s="111"/>
      <c r="O1061" s="111"/>
      <c r="P1061" s="111">
        <v>1.0</v>
      </c>
      <c r="Q1061" s="111"/>
      <c r="R1061" s="111"/>
      <c r="S1061" s="111"/>
      <c r="T1061" s="111"/>
      <c r="U1061" s="111"/>
      <c r="V1061" s="111"/>
      <c r="W1061" s="111"/>
      <c r="X1061" s="111"/>
      <c r="Y1061" s="111"/>
      <c r="Z1061" s="111" t="s">
        <v>13838</v>
      </c>
      <c r="AA1061" s="124"/>
      <c r="AB1061" s="125">
        <f>10^9/24*0.0283</f>
        <v>1179166.667</v>
      </c>
      <c r="AC1061" s="126">
        <f t="shared" ref="AC1061:AC1063" si="210">AB1061*H2dens*HoursInYear/10^6</f>
        <v>919.3255</v>
      </c>
      <c r="AD1061" s="125">
        <v>7000000.0</v>
      </c>
      <c r="AE1061" s="125">
        <f t="shared" si="199"/>
        <v>877635.0994</v>
      </c>
      <c r="AF1061" s="127" t="s">
        <v>13839</v>
      </c>
      <c r="AG1061" s="127">
        <v>29.7473312262183</v>
      </c>
      <c r="AH1061" s="127">
        <v>-95.0010794281674</v>
      </c>
      <c r="AI1061" s="115" t="s">
        <v>12378</v>
      </c>
      <c r="AJ1061" s="116">
        <v>0.9</v>
      </c>
      <c r="AK1061" s="117"/>
      <c r="AL1061" s="117"/>
      <c r="AM1061" s="117"/>
      <c r="AN1061" s="117"/>
      <c r="AO1061" s="117"/>
    </row>
    <row r="1062" ht="34.5" customHeight="1">
      <c r="A1062" s="111">
        <v>1588.0</v>
      </c>
      <c r="B1062" s="111" t="s">
        <v>9063</v>
      </c>
      <c r="C1062" s="111" t="s">
        <v>7981</v>
      </c>
      <c r="D1062" s="111">
        <v>2025.0</v>
      </c>
      <c r="E1062" s="111"/>
      <c r="F1062" s="111" t="s">
        <v>12399</v>
      </c>
      <c r="G1062" s="111" t="s">
        <v>12226</v>
      </c>
      <c r="H1062" s="111"/>
      <c r="I1062" s="111" t="s">
        <v>12394</v>
      </c>
      <c r="J1062" s="111" t="s">
        <v>12296</v>
      </c>
      <c r="K1062" s="111" t="s">
        <v>30</v>
      </c>
      <c r="L1062" s="111"/>
      <c r="M1062" s="111"/>
      <c r="N1062" s="111"/>
      <c r="O1062" s="111"/>
      <c r="P1062" s="111"/>
      <c r="Q1062" s="111"/>
      <c r="R1062" s="111"/>
      <c r="S1062" s="111"/>
      <c r="T1062" s="111"/>
      <c r="U1062" s="111"/>
      <c r="V1062" s="111"/>
      <c r="W1062" s="111"/>
      <c r="X1062" s="111"/>
      <c r="Y1062" s="111"/>
      <c r="Z1062" s="111" t="s">
        <v>12698</v>
      </c>
      <c r="AA1062" s="124">
        <v>100.0</v>
      </c>
      <c r="AB1062" s="125">
        <f>IF(Projects!$AI1062="Electrolysis",
AA1062/VLOOKUP(G1062,ElectrolysisConvF,3,FALSE),
AC1062*10^6/(H2dens*HoursInYear))</f>
        <v>19230.76923</v>
      </c>
      <c r="AC1062" s="125">
        <f t="shared" si="210"/>
        <v>14.99307692</v>
      </c>
      <c r="AD1062" s="125"/>
      <c r="AE1062" s="125">
        <f t="shared" si="199"/>
        <v>19230.76923</v>
      </c>
      <c r="AF1062" s="127" t="s">
        <v>13840</v>
      </c>
      <c r="AG1062" s="127">
        <v>30.0806202344503</v>
      </c>
      <c r="AH1062" s="127">
        <v>-94.1325704803665</v>
      </c>
      <c r="AI1062" s="115" t="s">
        <v>12383</v>
      </c>
      <c r="AJ1062" s="116">
        <v>0.5</v>
      </c>
      <c r="AK1062" s="117"/>
      <c r="AL1062" s="117"/>
      <c r="AM1062" s="117"/>
      <c r="AN1062" s="117"/>
      <c r="AO1062" s="117"/>
    </row>
    <row r="1063" ht="34.5" customHeight="1">
      <c r="A1063" s="111">
        <v>1589.0</v>
      </c>
      <c r="B1063" s="111" t="s">
        <v>9064</v>
      </c>
      <c r="C1063" s="111" t="s">
        <v>7981</v>
      </c>
      <c r="D1063" s="111"/>
      <c r="E1063" s="111"/>
      <c r="F1063" s="111" t="s">
        <v>12397</v>
      </c>
      <c r="G1063" s="111" t="s">
        <v>12226</v>
      </c>
      <c r="H1063" s="111" t="s">
        <v>12230</v>
      </c>
      <c r="I1063" s="111" t="s">
        <v>12394</v>
      </c>
      <c r="J1063" s="111" t="s">
        <v>12296</v>
      </c>
      <c r="K1063" s="111" t="s">
        <v>30</v>
      </c>
      <c r="L1063" s="111"/>
      <c r="M1063" s="111"/>
      <c r="N1063" s="111"/>
      <c r="O1063" s="111"/>
      <c r="P1063" s="111"/>
      <c r="Q1063" s="111"/>
      <c r="R1063" s="111"/>
      <c r="S1063" s="111"/>
      <c r="T1063" s="111"/>
      <c r="U1063" s="111"/>
      <c r="V1063" s="111"/>
      <c r="W1063" s="111"/>
      <c r="X1063" s="111"/>
      <c r="Y1063" s="111"/>
      <c r="Z1063" s="111" t="s">
        <v>13006</v>
      </c>
      <c r="AA1063" s="124">
        <v>100.0</v>
      </c>
      <c r="AB1063" s="125">
        <f>IF(Projects!$AI1063="Electrolysis",
AA1063/VLOOKUP(G1063,ElectrolysisConvF,3,FALSE),
AC1063*10^6/(H2dens*HoursInYear))</f>
        <v>19230.76923</v>
      </c>
      <c r="AC1063" s="125">
        <f t="shared" si="210"/>
        <v>14.99307692</v>
      </c>
      <c r="AD1063" s="125"/>
      <c r="AE1063" s="125">
        <f t="shared" si="199"/>
        <v>19230.76923</v>
      </c>
      <c r="AF1063" s="127" t="s">
        <v>13840</v>
      </c>
      <c r="AG1063" s="127">
        <v>30.0806202344503</v>
      </c>
      <c r="AH1063" s="127">
        <v>-94.1325704803665</v>
      </c>
      <c r="AI1063" s="115" t="s">
        <v>12383</v>
      </c>
      <c r="AJ1063" s="116">
        <v>0.5</v>
      </c>
      <c r="AK1063" s="117"/>
      <c r="AL1063" s="117"/>
      <c r="AM1063" s="117"/>
      <c r="AN1063" s="117"/>
      <c r="AO1063" s="117"/>
    </row>
    <row r="1064" ht="34.5" customHeight="1">
      <c r="A1064" s="111">
        <v>1598.0</v>
      </c>
      <c r="B1064" s="111" t="s">
        <v>9065</v>
      </c>
      <c r="C1064" s="111" t="s">
        <v>7971</v>
      </c>
      <c r="D1064" s="111">
        <v>2029.0</v>
      </c>
      <c r="E1064" s="111"/>
      <c r="F1064" s="111" t="s">
        <v>12397</v>
      </c>
      <c r="G1064" s="111" t="s">
        <v>12228</v>
      </c>
      <c r="H1064" s="111"/>
      <c r="I1064" s="111" t="s">
        <v>12394</v>
      </c>
      <c r="J1064" s="111" t="s">
        <v>12295</v>
      </c>
      <c r="K1064" s="111" t="s">
        <v>12251</v>
      </c>
      <c r="L1064" s="111"/>
      <c r="M1064" s="111"/>
      <c r="N1064" s="111"/>
      <c r="O1064" s="111"/>
      <c r="P1064" s="111"/>
      <c r="Q1064" s="111"/>
      <c r="R1064" s="111"/>
      <c r="S1064" s="111"/>
      <c r="T1064" s="111"/>
      <c r="U1064" s="111"/>
      <c r="V1064" s="111"/>
      <c r="W1064" s="111">
        <v>1.0</v>
      </c>
      <c r="X1064" s="111"/>
      <c r="Y1064" s="111"/>
      <c r="Z1064" s="128" t="s">
        <v>13841</v>
      </c>
      <c r="AA1064" s="126">
        <f>IF(Projects!$AI1064="Electrolysis",
AB1064*VLOOKUP(G1064,ElectrolysisConvF,3,FALSE),
"")</f>
        <v>301.5814992</v>
      </c>
      <c r="AB1064" s="125">
        <f>AC1064/(H2dens*HoursInYear/10^6)</f>
        <v>79363.55241</v>
      </c>
      <c r="AC1064" s="126">
        <f>75*0.803*0.045/0.73/0.12/Projects!$AJ1064</f>
        <v>61.875</v>
      </c>
      <c r="AD1064" s="125"/>
      <c r="AE1064" s="125">
        <f>AB1064</f>
        <v>79363.55241</v>
      </c>
      <c r="AF1064" s="127" t="s">
        <v>12405</v>
      </c>
      <c r="AG1064" s="127">
        <v>65.8405002614236</v>
      </c>
      <c r="AH1064" s="127">
        <v>13.1952674023743</v>
      </c>
      <c r="AI1064" s="115" t="s">
        <v>12383</v>
      </c>
      <c r="AJ1064" s="116">
        <v>0.5</v>
      </c>
      <c r="AK1064" s="117"/>
      <c r="AL1064" s="117"/>
      <c r="AM1064" s="117"/>
      <c r="AN1064" s="117"/>
      <c r="AO1064" s="117"/>
    </row>
    <row r="1065" ht="34.5" customHeight="1">
      <c r="A1065" s="111">
        <v>1602.0</v>
      </c>
      <c r="B1065" s="111" t="s">
        <v>9066</v>
      </c>
      <c r="C1065" s="111" t="s">
        <v>8011</v>
      </c>
      <c r="D1065" s="111">
        <v>2027.0</v>
      </c>
      <c r="E1065" s="111"/>
      <c r="F1065" s="111" t="s">
        <v>12399</v>
      </c>
      <c r="G1065" s="111" t="s">
        <v>12381</v>
      </c>
      <c r="H1065" s="111" t="s">
        <v>12230</v>
      </c>
      <c r="I1065" s="111" t="s">
        <v>12394</v>
      </c>
      <c r="J1065" s="111" t="s">
        <v>12296</v>
      </c>
      <c r="K1065" s="111" t="s">
        <v>30</v>
      </c>
      <c r="L1065" s="111"/>
      <c r="M1065" s="111"/>
      <c r="N1065" s="111"/>
      <c r="O1065" s="111">
        <v>1.0</v>
      </c>
      <c r="P1065" s="111"/>
      <c r="Q1065" s="111"/>
      <c r="R1065" s="111"/>
      <c r="S1065" s="111"/>
      <c r="T1065" s="111"/>
      <c r="U1065" s="111"/>
      <c r="V1065" s="111"/>
      <c r="W1065" s="111"/>
      <c r="X1065" s="111"/>
      <c r="Y1065" s="111"/>
      <c r="Z1065" s="111" t="s">
        <v>13675</v>
      </c>
      <c r="AA1065" s="124">
        <v>400.0</v>
      </c>
      <c r="AB1065" s="125">
        <f>IF(Projects!$AI1065="Electrolysis",
AA1065/VLOOKUP(G1065,ElectrolysisConvF,3,FALSE),
AC1065*10^6/(H2dens*HoursInYear))</f>
        <v>88888.88889</v>
      </c>
      <c r="AC1065" s="126">
        <f t="shared" ref="AC1065:AC1067" si="211">AB1065*H2dens*HoursInYear/10^6</f>
        <v>69.30133333</v>
      </c>
      <c r="AD1065" s="125"/>
      <c r="AE1065" s="125">
        <f t="shared" ref="AE1065:AE1161" si="212">IF(AND(G1065&lt;&gt;"NG w CCUS",G1065&lt;&gt;"Oil w CCUS",G1065&lt;&gt;"Coal w CCUS"),AB1065,AD1065*10^3/(HoursInYear*IF(G1065="NG w CCUS",0.9105,1.9075)))</f>
        <v>88888.88889</v>
      </c>
      <c r="AF1065" s="127" t="s">
        <v>13842</v>
      </c>
      <c r="AG1065" s="127">
        <v>51.0337379763841</v>
      </c>
      <c r="AH1065" s="127">
        <v>2.28818862790312</v>
      </c>
      <c r="AI1065" s="115" t="s">
        <v>12383</v>
      </c>
      <c r="AJ1065" s="116">
        <v>0.5</v>
      </c>
      <c r="AK1065" s="117"/>
      <c r="AL1065" s="117"/>
      <c r="AM1065" s="117"/>
      <c r="AN1065" s="117"/>
      <c r="AO1065" s="117"/>
    </row>
    <row r="1066" ht="34.5" customHeight="1">
      <c r="A1066" s="111">
        <v>1603.0</v>
      </c>
      <c r="B1066" s="111" t="s">
        <v>9067</v>
      </c>
      <c r="C1066" s="111" t="s">
        <v>8873</v>
      </c>
      <c r="D1066" s="111">
        <v>2027.0</v>
      </c>
      <c r="E1066" s="111"/>
      <c r="F1066" s="111" t="s">
        <v>12399</v>
      </c>
      <c r="G1066" s="111" t="s">
        <v>12381</v>
      </c>
      <c r="H1066" s="111" t="s">
        <v>12230</v>
      </c>
      <c r="I1066" s="111" t="s">
        <v>12394</v>
      </c>
      <c r="J1066" s="111" t="s">
        <v>12291</v>
      </c>
      <c r="K1066" s="111" t="s">
        <v>30</v>
      </c>
      <c r="L1066" s="111"/>
      <c r="M1066" s="111"/>
      <c r="N1066" s="111"/>
      <c r="O1066" s="111"/>
      <c r="P1066" s="111"/>
      <c r="Q1066" s="111"/>
      <c r="R1066" s="111">
        <v>1.0</v>
      </c>
      <c r="S1066" s="111"/>
      <c r="T1066" s="111"/>
      <c r="U1066" s="111"/>
      <c r="V1066" s="111"/>
      <c r="W1066" s="111"/>
      <c r="X1066" s="111"/>
      <c r="Y1066" s="111"/>
      <c r="Z1066" s="111" t="s">
        <v>12739</v>
      </c>
      <c r="AA1066" s="124">
        <v>24.0</v>
      </c>
      <c r="AB1066" s="125">
        <f>IF(Projects!$AI1066="Electrolysis",
AA1066/VLOOKUP(G1066,ElectrolysisConvF,3,FALSE),
AC1066*10^6/(H2dens*HoursInYear))</f>
        <v>5333.333333</v>
      </c>
      <c r="AC1066" s="126">
        <f t="shared" si="211"/>
        <v>4.15808</v>
      </c>
      <c r="AD1066" s="125"/>
      <c r="AE1066" s="125">
        <f t="shared" si="212"/>
        <v>5333.333333</v>
      </c>
      <c r="AF1066" s="127" t="s">
        <v>13843</v>
      </c>
      <c r="AG1066" s="127">
        <v>-22.6472389681159</v>
      </c>
      <c r="AH1066" s="127">
        <v>14.5975758761669</v>
      </c>
      <c r="AI1066" s="115" t="s">
        <v>12383</v>
      </c>
      <c r="AJ1066" s="116">
        <v>0.3</v>
      </c>
      <c r="AK1066" s="117"/>
      <c r="AL1066" s="117"/>
      <c r="AM1066" s="117"/>
      <c r="AN1066" s="117"/>
      <c r="AO1066" s="117"/>
    </row>
    <row r="1067" ht="34.5" customHeight="1">
      <c r="A1067" s="111">
        <v>1604.0</v>
      </c>
      <c r="B1067" s="111" t="s">
        <v>9068</v>
      </c>
      <c r="C1067" s="111" t="s">
        <v>9069</v>
      </c>
      <c r="D1067" s="111">
        <v>2025.0</v>
      </c>
      <c r="E1067" s="111"/>
      <c r="F1067" s="111" t="s">
        <v>12399</v>
      </c>
      <c r="G1067" s="111" t="s">
        <v>12381</v>
      </c>
      <c r="H1067" s="111" t="s">
        <v>12230</v>
      </c>
      <c r="I1067" s="111" t="s">
        <v>12394</v>
      </c>
      <c r="J1067" s="111" t="s">
        <v>12294</v>
      </c>
      <c r="K1067" s="111" t="s">
        <v>174</v>
      </c>
      <c r="L1067" s="111"/>
      <c r="M1067" s="111">
        <v>1.0</v>
      </c>
      <c r="N1067" s="111"/>
      <c r="O1067" s="111"/>
      <c r="P1067" s="111"/>
      <c r="Q1067" s="111"/>
      <c r="R1067" s="111"/>
      <c r="S1067" s="111"/>
      <c r="T1067" s="111"/>
      <c r="U1067" s="111"/>
      <c r="V1067" s="111"/>
      <c r="W1067" s="111"/>
      <c r="X1067" s="111"/>
      <c r="Y1067" s="111"/>
      <c r="Z1067" s="111" t="s">
        <v>13844</v>
      </c>
      <c r="AA1067" s="124">
        <v>400.0</v>
      </c>
      <c r="AB1067" s="125">
        <f>IF(Projects!$AI1067="Electrolysis",
AA1067/VLOOKUP(G1067,ElectrolysisConvF,3,FALSE),
AC1067*10^6/(H2dens*HoursInYear))</f>
        <v>88888.88889</v>
      </c>
      <c r="AC1067" s="126">
        <f t="shared" si="211"/>
        <v>69.30133333</v>
      </c>
      <c r="AD1067" s="125"/>
      <c r="AE1067" s="125">
        <f t="shared" si="212"/>
        <v>88888.88889</v>
      </c>
      <c r="AF1067" s="127" t="s">
        <v>13845</v>
      </c>
      <c r="AG1067" s="127">
        <v>-8.472778</v>
      </c>
      <c r="AH1067" s="127">
        <v>13.373056</v>
      </c>
      <c r="AI1067" s="115" t="s">
        <v>12383</v>
      </c>
      <c r="AJ1067" s="116">
        <v>0.8</v>
      </c>
      <c r="AK1067" s="117"/>
      <c r="AL1067" s="117"/>
      <c r="AM1067" s="117"/>
      <c r="AN1067" s="117"/>
      <c r="AO1067" s="117"/>
    </row>
    <row r="1068" ht="34.5" customHeight="1">
      <c r="A1068" s="111">
        <v>1605.0</v>
      </c>
      <c r="B1068" s="111" t="s">
        <v>9070</v>
      </c>
      <c r="C1068" s="111" t="s">
        <v>8016</v>
      </c>
      <c r="D1068" s="111">
        <v>2027.0</v>
      </c>
      <c r="E1068" s="111"/>
      <c r="F1068" s="111" t="s">
        <v>12397</v>
      </c>
      <c r="G1068" s="111" t="s">
        <v>12381</v>
      </c>
      <c r="H1068" s="111" t="s">
        <v>12230</v>
      </c>
      <c r="I1068" s="111" t="s">
        <v>12394</v>
      </c>
      <c r="J1068" s="111" t="s">
        <v>12296</v>
      </c>
      <c r="K1068" s="111" t="s">
        <v>12249</v>
      </c>
      <c r="L1068" s="111"/>
      <c r="M1068" s="111"/>
      <c r="N1068" s="111"/>
      <c r="O1068" s="111"/>
      <c r="P1068" s="111"/>
      <c r="Q1068" s="111"/>
      <c r="R1068" s="111"/>
      <c r="S1068" s="111"/>
      <c r="T1068" s="111"/>
      <c r="U1068" s="111"/>
      <c r="V1068" s="111"/>
      <c r="W1068" s="111"/>
      <c r="X1068" s="111"/>
      <c r="Y1068" s="111"/>
      <c r="Z1068" s="111" t="s">
        <v>13846</v>
      </c>
      <c r="AA1068" s="126">
        <f>IF(Projects!$AI1068="Electrolysis",
AB1068*VLOOKUP(G1068,ElectrolysisConvF,3,FALSE),
"")</f>
        <v>288.594736</v>
      </c>
      <c r="AB1068" s="125">
        <f>AC1068/(H2dens*HoursInYear/10^6)</f>
        <v>64132.16356</v>
      </c>
      <c r="AC1068" s="125">
        <v>50.0</v>
      </c>
      <c r="AD1068" s="125"/>
      <c r="AE1068" s="125">
        <f t="shared" si="212"/>
        <v>64132.16356</v>
      </c>
      <c r="AF1068" s="127" t="s">
        <v>13847</v>
      </c>
      <c r="AG1068" s="127">
        <v>4.57041350166291</v>
      </c>
      <c r="AH1068" s="127">
        <v>103.458201603972</v>
      </c>
      <c r="AI1068" s="115" t="s">
        <v>12383</v>
      </c>
      <c r="AJ1068" s="116">
        <v>0.5</v>
      </c>
      <c r="AK1068" s="117"/>
      <c r="AL1068" s="117"/>
      <c r="AM1068" s="117"/>
      <c r="AN1068" s="117"/>
      <c r="AO1068" s="117"/>
    </row>
    <row r="1069" ht="34.5" customHeight="1">
      <c r="A1069" s="111">
        <v>1606.0</v>
      </c>
      <c r="B1069" s="111" t="s">
        <v>9071</v>
      </c>
      <c r="C1069" s="111" t="s">
        <v>8388</v>
      </c>
      <c r="D1069" s="111">
        <v>2027.0</v>
      </c>
      <c r="E1069" s="111"/>
      <c r="F1069" s="111" t="s">
        <v>12393</v>
      </c>
      <c r="G1069" s="111" t="s">
        <v>12381</v>
      </c>
      <c r="H1069" s="111" t="s">
        <v>12230</v>
      </c>
      <c r="I1069" s="111" t="s">
        <v>12394</v>
      </c>
      <c r="J1069" s="111" t="s">
        <v>12291</v>
      </c>
      <c r="K1069" s="111" t="s">
        <v>174</v>
      </c>
      <c r="L1069" s="111"/>
      <c r="M1069" s="111">
        <v>1.0</v>
      </c>
      <c r="N1069" s="111"/>
      <c r="O1069" s="111"/>
      <c r="P1069" s="111"/>
      <c r="Q1069" s="111"/>
      <c r="R1069" s="111"/>
      <c r="S1069" s="111"/>
      <c r="T1069" s="111"/>
      <c r="U1069" s="111"/>
      <c r="V1069" s="111"/>
      <c r="W1069" s="111"/>
      <c r="X1069" s="111"/>
      <c r="Y1069" s="111"/>
      <c r="Z1069" s="111" t="s">
        <v>13848</v>
      </c>
      <c r="AA1069" s="124">
        <v>320.0</v>
      </c>
      <c r="AB1069" s="125">
        <f>IF(Projects!$AI1069="Electrolysis",
AA1069/VLOOKUP(G1069,ElectrolysisConvF,3,FALSE),
AC1069*10^6/(H2dens*HoursInYear))</f>
        <v>71111.11111</v>
      </c>
      <c r="AC1069" s="126">
        <f t="shared" ref="AC1069:AC1079" si="213">AB1069*H2dens*HoursInYear/10^6</f>
        <v>55.44106667</v>
      </c>
      <c r="AD1069" s="125"/>
      <c r="AE1069" s="125">
        <f t="shared" si="212"/>
        <v>71111.11111</v>
      </c>
      <c r="AF1069" s="127" t="s">
        <v>13849</v>
      </c>
      <c r="AG1069" s="127">
        <v>19.67</v>
      </c>
      <c r="AH1069" s="127">
        <v>57.73</v>
      </c>
      <c r="AI1069" s="115" t="s">
        <v>12383</v>
      </c>
      <c r="AJ1069" s="116">
        <v>0.3</v>
      </c>
      <c r="AK1069" s="117"/>
      <c r="AL1069" s="117"/>
      <c r="AM1069" s="117"/>
      <c r="AN1069" s="117"/>
      <c r="AO1069" s="117"/>
    </row>
    <row r="1070" ht="34.5" customHeight="1">
      <c r="A1070" s="111">
        <v>1607.0</v>
      </c>
      <c r="B1070" s="111" t="s">
        <v>9072</v>
      </c>
      <c r="C1070" s="111" t="s">
        <v>8388</v>
      </c>
      <c r="D1070" s="111"/>
      <c r="E1070" s="111"/>
      <c r="F1070" s="111" t="s">
        <v>12397</v>
      </c>
      <c r="G1070" s="111" t="s">
        <v>12381</v>
      </c>
      <c r="H1070" s="111" t="s">
        <v>12230</v>
      </c>
      <c r="I1070" s="111" t="s">
        <v>12394</v>
      </c>
      <c r="J1070" s="111" t="s">
        <v>12291</v>
      </c>
      <c r="K1070" s="111" t="s">
        <v>174</v>
      </c>
      <c r="L1070" s="111"/>
      <c r="M1070" s="111">
        <v>1.0</v>
      </c>
      <c r="N1070" s="111"/>
      <c r="O1070" s="111"/>
      <c r="P1070" s="111"/>
      <c r="Q1070" s="111"/>
      <c r="R1070" s="111"/>
      <c r="S1070" s="111"/>
      <c r="T1070" s="111"/>
      <c r="U1070" s="111"/>
      <c r="V1070" s="111"/>
      <c r="W1070" s="111"/>
      <c r="X1070" s="111"/>
      <c r="Y1070" s="111"/>
      <c r="Z1070" s="111" t="s">
        <v>13850</v>
      </c>
      <c r="AA1070" s="126">
        <f>3500-320</f>
        <v>3180</v>
      </c>
      <c r="AB1070" s="125">
        <f>IF(Projects!$AI1070="Electrolysis",
AA1070/VLOOKUP(G1070,ElectrolysisConvF,3,FALSE),
AC1070*10^6/(H2dens*HoursInYear))</f>
        <v>706666.6667</v>
      </c>
      <c r="AC1070" s="126">
        <f t="shared" si="213"/>
        <v>550.9456</v>
      </c>
      <c r="AD1070" s="125"/>
      <c r="AE1070" s="125">
        <f t="shared" si="212"/>
        <v>706666.6667</v>
      </c>
      <c r="AF1070" s="127" t="s">
        <v>13851</v>
      </c>
      <c r="AG1070" s="127">
        <v>19.67</v>
      </c>
      <c r="AH1070" s="127">
        <v>57.73</v>
      </c>
      <c r="AI1070" s="115" t="s">
        <v>12383</v>
      </c>
      <c r="AJ1070" s="116">
        <v>0.3</v>
      </c>
      <c r="AK1070" s="117"/>
      <c r="AL1070" s="117"/>
      <c r="AM1070" s="117"/>
      <c r="AN1070" s="117"/>
      <c r="AO1070" s="117"/>
    </row>
    <row r="1071" ht="34.5" customHeight="1">
      <c r="A1071" s="111">
        <v>1608.0</v>
      </c>
      <c r="B1071" s="111" t="s">
        <v>9073</v>
      </c>
      <c r="C1071" s="111" t="s">
        <v>7987</v>
      </c>
      <c r="D1071" s="111">
        <v>2030.0</v>
      </c>
      <c r="E1071" s="111"/>
      <c r="F1071" s="111" t="s">
        <v>12397</v>
      </c>
      <c r="G1071" s="111" t="s">
        <v>12381</v>
      </c>
      <c r="H1071" s="111" t="s">
        <v>12230</v>
      </c>
      <c r="I1071" s="111" t="s">
        <v>12394</v>
      </c>
      <c r="J1071" s="111" t="s">
        <v>12296</v>
      </c>
      <c r="K1071" s="111" t="s">
        <v>30</v>
      </c>
      <c r="L1071" s="111">
        <v>1.0</v>
      </c>
      <c r="M1071" s="111"/>
      <c r="N1071" s="111"/>
      <c r="O1071" s="111">
        <v>1.0</v>
      </c>
      <c r="P1071" s="111">
        <v>1.0</v>
      </c>
      <c r="Q1071" s="111"/>
      <c r="R1071" s="111"/>
      <c r="S1071" s="111"/>
      <c r="T1071" s="111"/>
      <c r="U1071" s="111"/>
      <c r="V1071" s="111"/>
      <c r="W1071" s="111"/>
      <c r="X1071" s="111"/>
      <c r="Y1071" s="111"/>
      <c r="Z1071" s="111" t="s">
        <v>12723</v>
      </c>
      <c r="AA1071" s="124">
        <v>1000.0</v>
      </c>
      <c r="AB1071" s="125">
        <f>IF(Projects!$AI1071="Electrolysis",
AA1071/VLOOKUP(G1071,ElectrolysisConvF,3,FALSE),
AC1071*10^6/(H2dens*HoursInYear))</f>
        <v>222222.2222</v>
      </c>
      <c r="AC1071" s="126">
        <f t="shared" si="213"/>
        <v>173.2533333</v>
      </c>
      <c r="AD1071" s="125"/>
      <c r="AE1071" s="125">
        <f t="shared" si="212"/>
        <v>222222.2222</v>
      </c>
      <c r="AF1071" s="127" t="s">
        <v>13852</v>
      </c>
      <c r="AG1071" s="127">
        <v>52.2248658512686</v>
      </c>
      <c r="AH1071" s="127">
        <v>7.88601939540456</v>
      </c>
      <c r="AI1071" s="115" t="s">
        <v>12383</v>
      </c>
      <c r="AJ1071" s="116">
        <v>0.5</v>
      </c>
      <c r="AK1071" s="117"/>
      <c r="AL1071" s="117"/>
      <c r="AM1071" s="117"/>
      <c r="AN1071" s="117"/>
      <c r="AO1071" s="117"/>
    </row>
    <row r="1072" ht="34.5" customHeight="1">
      <c r="A1072" s="111">
        <v>1609.0</v>
      </c>
      <c r="B1072" s="111" t="s">
        <v>9074</v>
      </c>
      <c r="C1072" s="111" t="s">
        <v>8737</v>
      </c>
      <c r="D1072" s="111">
        <v>2022.0</v>
      </c>
      <c r="E1072" s="111"/>
      <c r="F1072" s="111" t="s">
        <v>12385</v>
      </c>
      <c r="G1072" s="111" t="s">
        <v>12226</v>
      </c>
      <c r="H1072" s="111"/>
      <c r="I1072" s="111" t="s">
        <v>12394</v>
      </c>
      <c r="J1072" s="111" t="s">
        <v>12291</v>
      </c>
      <c r="K1072" s="111" t="s">
        <v>30</v>
      </c>
      <c r="L1072" s="111"/>
      <c r="M1072" s="111"/>
      <c r="N1072" s="111"/>
      <c r="O1072" s="111"/>
      <c r="P1072" s="111"/>
      <c r="Q1072" s="111"/>
      <c r="R1072" s="111"/>
      <c r="S1072" s="111">
        <v>1.0</v>
      </c>
      <c r="T1072" s="111"/>
      <c r="U1072" s="111"/>
      <c r="V1072" s="111"/>
      <c r="W1072" s="111"/>
      <c r="X1072" s="111"/>
      <c r="Y1072" s="111"/>
      <c r="Z1072" s="111" t="s">
        <v>13853</v>
      </c>
      <c r="AA1072" s="124">
        <v>0.022</v>
      </c>
      <c r="AB1072" s="125">
        <f>IF(Projects!$AI1072="Electrolysis",
AA1072/VLOOKUP(G1072,ElectrolysisConvF,3,FALSE),
AC1072*10^6/(H2dens*HoursInYear))</f>
        <v>4.230769231</v>
      </c>
      <c r="AC1072" s="126">
        <f t="shared" si="213"/>
        <v>0.003298476923</v>
      </c>
      <c r="AD1072" s="125"/>
      <c r="AE1072" s="125">
        <f t="shared" si="212"/>
        <v>4.230769231</v>
      </c>
      <c r="AF1072" s="127" t="s">
        <v>13854</v>
      </c>
      <c r="AG1072" s="127">
        <v>10.3688565729078</v>
      </c>
      <c r="AH1072" s="127">
        <v>-75.4961130611223</v>
      </c>
      <c r="AI1072" s="115" t="s">
        <v>12383</v>
      </c>
      <c r="AJ1072" s="116">
        <v>0.3</v>
      </c>
      <c r="AK1072" s="117"/>
      <c r="AL1072" s="117"/>
      <c r="AM1072" s="117"/>
      <c r="AN1072" s="117"/>
      <c r="AO1072" s="117"/>
    </row>
    <row r="1073" ht="34.5" customHeight="1">
      <c r="A1073" s="111">
        <v>1610.0</v>
      </c>
      <c r="B1073" s="111" t="s">
        <v>9075</v>
      </c>
      <c r="C1073" s="111" t="s">
        <v>7981</v>
      </c>
      <c r="D1073" s="111">
        <v>2024.0</v>
      </c>
      <c r="E1073" s="111"/>
      <c r="F1073" s="111" t="s">
        <v>12393</v>
      </c>
      <c r="G1073" s="111" t="s">
        <v>12224</v>
      </c>
      <c r="H1073" s="111"/>
      <c r="I1073" s="111" t="s">
        <v>12287</v>
      </c>
      <c r="J1073" s="111"/>
      <c r="K1073" s="111" t="s">
        <v>30</v>
      </c>
      <c r="L1073" s="111"/>
      <c r="M1073" s="111"/>
      <c r="N1073" s="111"/>
      <c r="O1073" s="111"/>
      <c r="P1073" s="111"/>
      <c r="Q1073" s="111">
        <v>1.0</v>
      </c>
      <c r="R1073" s="111"/>
      <c r="S1073" s="111"/>
      <c r="T1073" s="111"/>
      <c r="U1073" s="111"/>
      <c r="V1073" s="111"/>
      <c r="W1073" s="111"/>
      <c r="X1073" s="111"/>
      <c r="Y1073" s="111"/>
      <c r="Z1073" s="111" t="s">
        <v>13098</v>
      </c>
      <c r="AA1073" s="124">
        <v>40.0</v>
      </c>
      <c r="AB1073" s="125">
        <f>IF(Projects!$AI1073="Electrolysis",
AA1073/VLOOKUP(G1073,ElectrolysisConvF,3,FALSE),
AC1073*10^6/(H2dens*HoursInYear))</f>
        <v>8695.652174</v>
      </c>
      <c r="AC1073" s="126">
        <f t="shared" si="213"/>
        <v>6.779478261</v>
      </c>
      <c r="AD1073" s="125"/>
      <c r="AE1073" s="125">
        <f t="shared" si="212"/>
        <v>8695.652174</v>
      </c>
      <c r="AF1073" s="127" t="s">
        <v>13855</v>
      </c>
      <c r="AG1073" s="127">
        <v>32.9103168142667</v>
      </c>
      <c r="AH1073" s="127">
        <v>-111.763167890204</v>
      </c>
      <c r="AI1073" s="115" t="s">
        <v>12383</v>
      </c>
      <c r="AJ1073" s="116">
        <v>0.57</v>
      </c>
      <c r="AK1073" s="117"/>
      <c r="AL1073" s="117"/>
      <c r="AM1073" s="117"/>
      <c r="AN1073" s="117"/>
      <c r="AO1073" s="117"/>
    </row>
    <row r="1074" ht="34.5" customHeight="1">
      <c r="A1074" s="111">
        <v>1611.0</v>
      </c>
      <c r="B1074" s="111" t="s">
        <v>9076</v>
      </c>
      <c r="C1074" s="111" t="s">
        <v>7977</v>
      </c>
      <c r="D1074" s="111">
        <v>2025.0</v>
      </c>
      <c r="E1074" s="111"/>
      <c r="F1074" s="111" t="s">
        <v>12399</v>
      </c>
      <c r="G1074" s="111" t="s">
        <v>12381</v>
      </c>
      <c r="H1074" s="111" t="s">
        <v>12230</v>
      </c>
      <c r="I1074" s="111" t="s">
        <v>12287</v>
      </c>
      <c r="J1074" s="111"/>
      <c r="K1074" s="111" t="s">
        <v>30</v>
      </c>
      <c r="L1074" s="111"/>
      <c r="M1074" s="111"/>
      <c r="N1074" s="111"/>
      <c r="O1074" s="111"/>
      <c r="P1074" s="111"/>
      <c r="Q1074" s="111">
        <v>1.0</v>
      </c>
      <c r="R1074" s="111"/>
      <c r="S1074" s="111">
        <v>1.0</v>
      </c>
      <c r="T1074" s="111"/>
      <c r="U1074" s="111"/>
      <c r="V1074" s="111"/>
      <c r="W1074" s="111"/>
      <c r="X1074" s="111"/>
      <c r="Y1074" s="111"/>
      <c r="Z1074" s="111" t="s">
        <v>12413</v>
      </c>
      <c r="AA1074" s="124">
        <v>2.5</v>
      </c>
      <c r="AB1074" s="125">
        <f>IF(Projects!$AI1074="Electrolysis",
AA1074/VLOOKUP(G1074,ElectrolysisConvF,3,FALSE),
AC1074*10^6/(H2dens*HoursInYear))</f>
        <v>555.5555556</v>
      </c>
      <c r="AC1074" s="126">
        <f t="shared" si="213"/>
        <v>0.4331333333</v>
      </c>
      <c r="AD1074" s="125"/>
      <c r="AE1074" s="125">
        <f t="shared" si="212"/>
        <v>555.5555556</v>
      </c>
      <c r="AF1074" s="127" t="s">
        <v>13856</v>
      </c>
      <c r="AG1074" s="127">
        <v>43.135942</v>
      </c>
      <c r="AH1074" s="127">
        <v>-5.800384</v>
      </c>
      <c r="AI1074" s="115" t="s">
        <v>12383</v>
      </c>
      <c r="AJ1074" s="116">
        <v>0.57</v>
      </c>
      <c r="AK1074" s="117"/>
      <c r="AL1074" s="117"/>
      <c r="AM1074" s="117"/>
      <c r="AN1074" s="117"/>
      <c r="AO1074" s="117"/>
    </row>
    <row r="1075" ht="34.5" customHeight="1">
      <c r="A1075" s="111">
        <v>1612.0</v>
      </c>
      <c r="B1075" s="111" t="s">
        <v>9077</v>
      </c>
      <c r="C1075" s="111" t="s">
        <v>7977</v>
      </c>
      <c r="D1075" s="111">
        <v>2025.0</v>
      </c>
      <c r="E1075" s="111"/>
      <c r="F1075" s="111" t="s">
        <v>12399</v>
      </c>
      <c r="G1075" s="111" t="s">
        <v>12381</v>
      </c>
      <c r="H1075" s="111" t="s">
        <v>12230</v>
      </c>
      <c r="I1075" s="111" t="s">
        <v>12394</v>
      </c>
      <c r="J1075" s="111" t="s">
        <v>12296</v>
      </c>
      <c r="K1075" s="111" t="s">
        <v>30</v>
      </c>
      <c r="L1075" s="111"/>
      <c r="M1075" s="111"/>
      <c r="N1075" s="111"/>
      <c r="O1075" s="111"/>
      <c r="P1075" s="111"/>
      <c r="Q1075" s="111"/>
      <c r="R1075" s="111"/>
      <c r="S1075" s="111"/>
      <c r="T1075" s="111"/>
      <c r="U1075" s="111"/>
      <c r="V1075" s="111"/>
      <c r="W1075" s="111"/>
      <c r="X1075" s="111"/>
      <c r="Y1075" s="111"/>
      <c r="Z1075" s="111" t="s">
        <v>13142</v>
      </c>
      <c r="AA1075" s="124">
        <v>200.0</v>
      </c>
      <c r="AB1075" s="125">
        <f>IF(Projects!$AI1075="Electrolysis",
AA1075/VLOOKUP(G1075,ElectrolysisConvF,3,FALSE),
AC1075*10^6/(H2dens*HoursInYear))</f>
        <v>44444.44444</v>
      </c>
      <c r="AC1075" s="126">
        <f t="shared" si="213"/>
        <v>34.65066667</v>
      </c>
      <c r="AD1075" s="125"/>
      <c r="AE1075" s="125">
        <f t="shared" si="212"/>
        <v>44444.44444</v>
      </c>
      <c r="AF1075" s="127" t="s">
        <v>13857</v>
      </c>
      <c r="AG1075" s="127">
        <v>41.5476</v>
      </c>
      <c r="AH1075" s="127">
        <v>-5.6208</v>
      </c>
      <c r="AI1075" s="115" t="s">
        <v>12383</v>
      </c>
      <c r="AJ1075" s="116">
        <v>0.5</v>
      </c>
      <c r="AK1075" s="117"/>
      <c r="AL1075" s="117"/>
      <c r="AM1075" s="117"/>
      <c r="AN1075" s="117"/>
      <c r="AO1075" s="117"/>
    </row>
    <row r="1076" ht="34.5" customHeight="1">
      <c r="A1076" s="111">
        <v>1613.0</v>
      </c>
      <c r="B1076" s="111" t="s">
        <v>9078</v>
      </c>
      <c r="C1076" s="111" t="s">
        <v>7977</v>
      </c>
      <c r="D1076" s="111">
        <v>2025.0</v>
      </c>
      <c r="E1076" s="111"/>
      <c r="F1076" s="111" t="s">
        <v>12397</v>
      </c>
      <c r="G1076" s="111" t="s">
        <v>12381</v>
      </c>
      <c r="H1076" s="111" t="s">
        <v>12230</v>
      </c>
      <c r="I1076" s="111" t="s">
        <v>12287</v>
      </c>
      <c r="J1076" s="111"/>
      <c r="K1076" s="111" t="s">
        <v>30</v>
      </c>
      <c r="L1076" s="111"/>
      <c r="M1076" s="111"/>
      <c r="N1076" s="111"/>
      <c r="O1076" s="111"/>
      <c r="P1076" s="111"/>
      <c r="Q1076" s="111">
        <v>1.0</v>
      </c>
      <c r="R1076" s="111"/>
      <c r="S1076" s="111">
        <v>1.0</v>
      </c>
      <c r="T1076" s="111"/>
      <c r="U1076" s="111"/>
      <c r="V1076" s="111"/>
      <c r="W1076" s="111"/>
      <c r="X1076" s="111"/>
      <c r="Y1076" s="111"/>
      <c r="Z1076" s="111" t="s">
        <v>12422</v>
      </c>
      <c r="AA1076" s="124">
        <f>10-2.5</f>
        <v>7.5</v>
      </c>
      <c r="AB1076" s="125">
        <f>IF(Projects!$AI1076="Electrolysis",
AA1076/VLOOKUP(G1076,ElectrolysisConvF,3,FALSE),
AC1076*10^6/(H2dens*HoursInYear))</f>
        <v>1666.666667</v>
      </c>
      <c r="AC1076" s="126">
        <f t="shared" si="213"/>
        <v>1.2994</v>
      </c>
      <c r="AD1076" s="125"/>
      <c r="AE1076" s="125">
        <f t="shared" si="212"/>
        <v>1666.666667</v>
      </c>
      <c r="AF1076" s="127" t="s">
        <v>13858</v>
      </c>
      <c r="AG1076" s="127">
        <v>43.135942</v>
      </c>
      <c r="AH1076" s="127">
        <v>-5.800384</v>
      </c>
      <c r="AI1076" s="115" t="s">
        <v>12383</v>
      </c>
      <c r="AJ1076" s="116">
        <v>0.57</v>
      </c>
      <c r="AK1076" s="117"/>
      <c r="AL1076" s="117"/>
      <c r="AM1076" s="117"/>
      <c r="AN1076" s="117"/>
      <c r="AO1076" s="117"/>
    </row>
    <row r="1077" ht="34.5" customHeight="1">
      <c r="A1077" s="111">
        <v>1614.0</v>
      </c>
      <c r="B1077" s="111" t="s">
        <v>9079</v>
      </c>
      <c r="C1077" s="111" t="s">
        <v>7977</v>
      </c>
      <c r="D1077" s="111">
        <v>2025.0</v>
      </c>
      <c r="E1077" s="111"/>
      <c r="F1077" s="111" t="s">
        <v>12397</v>
      </c>
      <c r="G1077" s="111" t="s">
        <v>12381</v>
      </c>
      <c r="H1077" s="111" t="s">
        <v>12230</v>
      </c>
      <c r="I1077" s="111" t="s">
        <v>12287</v>
      </c>
      <c r="J1077" s="111"/>
      <c r="K1077" s="111" t="s">
        <v>30</v>
      </c>
      <c r="L1077" s="111"/>
      <c r="M1077" s="111"/>
      <c r="N1077" s="111"/>
      <c r="O1077" s="111"/>
      <c r="P1077" s="111"/>
      <c r="Q1077" s="111"/>
      <c r="R1077" s="111"/>
      <c r="S1077" s="111"/>
      <c r="T1077" s="111"/>
      <c r="U1077" s="111"/>
      <c r="V1077" s="111"/>
      <c r="W1077" s="111"/>
      <c r="X1077" s="111"/>
      <c r="Y1077" s="111"/>
      <c r="Z1077" s="111" t="s">
        <v>13859</v>
      </c>
      <c r="AA1077" s="124">
        <v>150.0</v>
      </c>
      <c r="AB1077" s="125">
        <f>IF(Projects!$AI1077="Electrolysis",
AA1077/VLOOKUP(G1077,ElectrolysisConvF,3,FALSE),
AC1077*10^6/(H2dens*HoursInYear))</f>
        <v>33333.33333</v>
      </c>
      <c r="AC1077" s="126">
        <f t="shared" si="213"/>
        <v>25.988</v>
      </c>
      <c r="AD1077" s="125"/>
      <c r="AE1077" s="125">
        <f t="shared" si="212"/>
        <v>33333.33333</v>
      </c>
      <c r="AF1077" s="127" t="s">
        <v>13860</v>
      </c>
      <c r="AG1077" s="127">
        <v>43.5648</v>
      </c>
      <c r="AH1077" s="127">
        <v>-5.7183</v>
      </c>
      <c r="AI1077" s="115" t="s">
        <v>12383</v>
      </c>
      <c r="AJ1077" s="116">
        <v>0.57</v>
      </c>
      <c r="AK1077" s="117"/>
      <c r="AL1077" s="117"/>
      <c r="AM1077" s="117"/>
      <c r="AN1077" s="117"/>
      <c r="AO1077" s="117"/>
    </row>
    <row r="1078" ht="34.5" customHeight="1">
      <c r="A1078" s="111">
        <v>1615.0</v>
      </c>
      <c r="B1078" s="111" t="s">
        <v>9080</v>
      </c>
      <c r="C1078" s="111" t="s">
        <v>7977</v>
      </c>
      <c r="D1078" s="111">
        <v>2025.0</v>
      </c>
      <c r="E1078" s="111"/>
      <c r="F1078" s="111" t="s">
        <v>12393</v>
      </c>
      <c r="G1078" s="111" t="s">
        <v>12381</v>
      </c>
      <c r="H1078" s="111" t="s">
        <v>12230</v>
      </c>
      <c r="I1078" s="111" t="s">
        <v>12394</v>
      </c>
      <c r="J1078" s="111" t="s">
        <v>12291</v>
      </c>
      <c r="K1078" s="111" t="s">
        <v>30</v>
      </c>
      <c r="L1078" s="111"/>
      <c r="M1078" s="111"/>
      <c r="N1078" s="111"/>
      <c r="O1078" s="111"/>
      <c r="P1078" s="111"/>
      <c r="Q1078" s="111">
        <v>1.0</v>
      </c>
      <c r="R1078" s="111"/>
      <c r="S1078" s="111"/>
      <c r="T1078" s="111"/>
      <c r="U1078" s="111"/>
      <c r="V1078" s="111"/>
      <c r="W1078" s="111"/>
      <c r="X1078" s="111"/>
      <c r="Y1078" s="111"/>
      <c r="Z1078" s="111" t="s">
        <v>12422</v>
      </c>
      <c r="AA1078" s="124">
        <v>10.0</v>
      </c>
      <c r="AB1078" s="125">
        <f>IF(Projects!$AI1078="Electrolysis",
AA1078/VLOOKUP(G1078,ElectrolysisConvF,3,FALSE),
AC1078*10^6/(H2dens*HoursInYear))</f>
        <v>2222.222222</v>
      </c>
      <c r="AC1078" s="126">
        <f t="shared" si="213"/>
        <v>1.732533333</v>
      </c>
      <c r="AD1078" s="125"/>
      <c r="AE1078" s="125">
        <f t="shared" si="212"/>
        <v>2222.222222</v>
      </c>
      <c r="AF1078" s="127" t="s">
        <v>13861</v>
      </c>
      <c r="AG1078" s="127">
        <v>40.265848</v>
      </c>
      <c r="AH1078" s="127">
        <v>-3.669364</v>
      </c>
      <c r="AI1078" s="115" t="s">
        <v>12383</v>
      </c>
      <c r="AJ1078" s="116">
        <v>0.3</v>
      </c>
      <c r="AK1078" s="117"/>
      <c r="AL1078" s="117"/>
      <c r="AM1078" s="117"/>
      <c r="AN1078" s="117"/>
      <c r="AO1078" s="117"/>
    </row>
    <row r="1079" ht="34.5" customHeight="1">
      <c r="A1079" s="111">
        <v>1616.0</v>
      </c>
      <c r="B1079" s="111" t="s">
        <v>9081</v>
      </c>
      <c r="C1079" s="111" t="s">
        <v>7977</v>
      </c>
      <c r="D1079" s="111">
        <v>2026.0</v>
      </c>
      <c r="E1079" s="111"/>
      <c r="F1079" s="111" t="s">
        <v>12399</v>
      </c>
      <c r="G1079" s="111" t="s">
        <v>12381</v>
      </c>
      <c r="H1079" s="111" t="s">
        <v>12230</v>
      </c>
      <c r="I1079" s="111" t="s">
        <v>12394</v>
      </c>
      <c r="J1079" s="111" t="s">
        <v>12291</v>
      </c>
      <c r="K1079" s="111" t="s">
        <v>30</v>
      </c>
      <c r="L1079" s="111"/>
      <c r="M1079" s="111"/>
      <c r="N1079" s="111"/>
      <c r="O1079" s="111"/>
      <c r="P1079" s="111"/>
      <c r="Q1079" s="111"/>
      <c r="R1079" s="111"/>
      <c r="S1079" s="111"/>
      <c r="T1079" s="111"/>
      <c r="U1079" s="111"/>
      <c r="V1079" s="111"/>
      <c r="W1079" s="111"/>
      <c r="X1079" s="111"/>
      <c r="Y1079" s="111"/>
      <c r="Z1079" s="111" t="s">
        <v>13862</v>
      </c>
      <c r="AA1079" s="124">
        <v>55.0</v>
      </c>
      <c r="AB1079" s="125">
        <f>IF(Projects!$AI1079="Electrolysis",
AA1079/VLOOKUP(G1079,ElectrolysisConvF,3,FALSE),
AC1079*10^6/(H2dens*HoursInYear))</f>
        <v>12222.22222</v>
      </c>
      <c r="AC1079" s="126">
        <f t="shared" si="213"/>
        <v>9.528933333</v>
      </c>
      <c r="AD1079" s="125"/>
      <c r="AE1079" s="125">
        <f t="shared" si="212"/>
        <v>12222.22222</v>
      </c>
      <c r="AF1079" s="127" t="s">
        <v>13863</v>
      </c>
      <c r="AG1079" s="127">
        <v>37.844469</v>
      </c>
      <c r="AH1079" s="127">
        <v>-4.729005</v>
      </c>
      <c r="AI1079" s="115" t="s">
        <v>12383</v>
      </c>
      <c r="AJ1079" s="116">
        <v>0.3</v>
      </c>
      <c r="AK1079" s="117"/>
      <c r="AL1079" s="117"/>
      <c r="AM1079" s="117"/>
      <c r="AN1079" s="117"/>
      <c r="AO1079" s="117"/>
    </row>
    <row r="1080" ht="34.5" customHeight="1">
      <c r="A1080" s="111">
        <v>1617.0</v>
      </c>
      <c r="B1080" s="111" t="s">
        <v>9082</v>
      </c>
      <c r="C1080" s="111" t="s">
        <v>7977</v>
      </c>
      <c r="D1080" s="111">
        <v>2025.0</v>
      </c>
      <c r="E1080" s="111"/>
      <c r="F1080" s="111"/>
      <c r="G1080" s="111" t="s">
        <v>13722</v>
      </c>
      <c r="H1080" s="111" t="s">
        <v>13751</v>
      </c>
      <c r="I1080" s="111"/>
      <c r="J1080" s="111"/>
      <c r="K1080" s="111" t="s">
        <v>30</v>
      </c>
      <c r="L1080" s="111"/>
      <c r="M1080" s="111"/>
      <c r="N1080" s="111"/>
      <c r="O1080" s="111"/>
      <c r="P1080" s="111"/>
      <c r="Q1080" s="111"/>
      <c r="R1080" s="111"/>
      <c r="S1080" s="111"/>
      <c r="T1080" s="111"/>
      <c r="U1080" s="111"/>
      <c r="V1080" s="111"/>
      <c r="W1080" s="111"/>
      <c r="X1080" s="111"/>
      <c r="Y1080" s="111"/>
      <c r="Z1080" s="111" t="s">
        <v>13864</v>
      </c>
      <c r="AA1080" s="124"/>
      <c r="AB1080" s="125">
        <f>AC1080/(H2dens*HoursInYear/10^6)</f>
        <v>19239.64907</v>
      </c>
      <c r="AC1080" s="125">
        <v>15.0</v>
      </c>
      <c r="AD1080" s="125"/>
      <c r="AE1080" s="125">
        <f t="shared" si="212"/>
        <v>19239.64907</v>
      </c>
      <c r="AF1080" s="127" t="s">
        <v>13865</v>
      </c>
      <c r="AG1080" s="127">
        <v>43.310751</v>
      </c>
      <c r="AH1080" s="127">
        <v>-6.032763</v>
      </c>
      <c r="AI1080" s="115" t="s">
        <v>12241</v>
      </c>
      <c r="AJ1080" s="116">
        <v>0.9</v>
      </c>
      <c r="AK1080" s="117"/>
      <c r="AL1080" s="117"/>
      <c r="AM1080" s="117"/>
      <c r="AN1080" s="117"/>
      <c r="AO1080" s="117"/>
    </row>
    <row r="1081" ht="34.5" customHeight="1">
      <c r="A1081" s="111">
        <v>1618.0</v>
      </c>
      <c r="B1081" s="111" t="s">
        <v>9083</v>
      </c>
      <c r="C1081" s="111" t="s">
        <v>9084</v>
      </c>
      <c r="D1081" s="111"/>
      <c r="E1081" s="111"/>
      <c r="F1081" s="111" t="s">
        <v>12397</v>
      </c>
      <c r="G1081" s="111" t="s">
        <v>12224</v>
      </c>
      <c r="H1081" s="111"/>
      <c r="I1081" s="111" t="s">
        <v>12394</v>
      </c>
      <c r="J1081" s="111" t="s">
        <v>12295</v>
      </c>
      <c r="K1081" s="111" t="s">
        <v>174</v>
      </c>
      <c r="L1081" s="111"/>
      <c r="M1081" s="111">
        <v>1.0</v>
      </c>
      <c r="N1081" s="111"/>
      <c r="O1081" s="111"/>
      <c r="P1081" s="111"/>
      <c r="Q1081" s="111"/>
      <c r="R1081" s="111"/>
      <c r="S1081" s="111"/>
      <c r="T1081" s="111"/>
      <c r="U1081" s="111"/>
      <c r="V1081" s="111"/>
      <c r="W1081" s="111"/>
      <c r="X1081" s="111"/>
      <c r="Y1081" s="111"/>
      <c r="Z1081" s="111" t="s">
        <v>13866</v>
      </c>
      <c r="AA1081" s="124">
        <v>46.0</v>
      </c>
      <c r="AB1081" s="125">
        <f>IF(Projects!$AI1081="Electrolysis",
AA1081/VLOOKUP(G1081,ElectrolysisConvF,3,FALSE),
AC1081*10^6/(H2dens*HoursInYear))</f>
        <v>10000</v>
      </c>
      <c r="AC1081" s="126">
        <f t="shared" ref="AC1081:AC1083" si="214">AB1081*H2dens*HoursInYear/10^6</f>
        <v>7.7964</v>
      </c>
      <c r="AD1081" s="125"/>
      <c r="AE1081" s="125">
        <f t="shared" si="212"/>
        <v>10000</v>
      </c>
      <c r="AF1081" s="127" t="s">
        <v>13867</v>
      </c>
      <c r="AG1081" s="127">
        <v>46.635417</v>
      </c>
      <c r="AH1081" s="127">
        <v>32.616867</v>
      </c>
      <c r="AI1081" s="115" t="s">
        <v>12383</v>
      </c>
      <c r="AJ1081" s="116">
        <v>0.5</v>
      </c>
      <c r="AK1081" s="117"/>
      <c r="AL1081" s="117"/>
      <c r="AM1081" s="117"/>
      <c r="AN1081" s="117"/>
      <c r="AO1081" s="117"/>
    </row>
    <row r="1082" ht="34.5" customHeight="1">
      <c r="A1082" s="111">
        <v>1619.0</v>
      </c>
      <c r="B1082" s="111" t="s">
        <v>9085</v>
      </c>
      <c r="C1082" s="111" t="s">
        <v>9084</v>
      </c>
      <c r="D1082" s="111"/>
      <c r="E1082" s="111"/>
      <c r="F1082" s="111" t="s">
        <v>12397</v>
      </c>
      <c r="G1082" s="111" t="s">
        <v>12228</v>
      </c>
      <c r="H1082" s="111"/>
      <c r="I1082" s="111" t="s">
        <v>12394</v>
      </c>
      <c r="J1082" s="111" t="s">
        <v>12295</v>
      </c>
      <c r="K1082" s="111" t="s">
        <v>174</v>
      </c>
      <c r="L1082" s="111"/>
      <c r="M1082" s="111">
        <v>1.0</v>
      </c>
      <c r="N1082" s="111"/>
      <c r="O1082" s="111"/>
      <c r="P1082" s="111"/>
      <c r="Q1082" s="111"/>
      <c r="R1082" s="111"/>
      <c r="S1082" s="111"/>
      <c r="T1082" s="111"/>
      <c r="U1082" s="111"/>
      <c r="V1082" s="111"/>
      <c r="W1082" s="111"/>
      <c r="X1082" s="111"/>
      <c r="Y1082" s="111"/>
      <c r="Z1082" s="111" t="s">
        <v>13868</v>
      </c>
      <c r="AA1082" s="124">
        <f>92-46</f>
        <v>46</v>
      </c>
      <c r="AB1082" s="125">
        <f>IF(Projects!$AI1082="Electrolysis",
AA1082/VLOOKUP(G1082,ElectrolysisConvF,3,FALSE),
AC1082*10^6/(H2dens*HoursInYear))</f>
        <v>12105.26316</v>
      </c>
      <c r="AC1082" s="126">
        <f t="shared" si="214"/>
        <v>9.437747368</v>
      </c>
      <c r="AD1082" s="125"/>
      <c r="AE1082" s="125">
        <f t="shared" si="212"/>
        <v>12105.26316</v>
      </c>
      <c r="AF1082" s="127" t="s">
        <v>13867</v>
      </c>
      <c r="AG1082" s="127">
        <v>46.635417</v>
      </c>
      <c r="AH1082" s="127">
        <v>32.616867</v>
      </c>
      <c r="AI1082" s="115" t="s">
        <v>12383</v>
      </c>
      <c r="AJ1082" s="116">
        <v>0.5</v>
      </c>
      <c r="AK1082" s="117"/>
      <c r="AL1082" s="117"/>
      <c r="AM1082" s="117"/>
      <c r="AN1082" s="117"/>
      <c r="AO1082" s="117"/>
    </row>
    <row r="1083" ht="34.5" customHeight="1">
      <c r="A1083" s="111">
        <v>1620.0</v>
      </c>
      <c r="B1083" s="111" t="s">
        <v>9086</v>
      </c>
      <c r="C1083" s="111" t="s">
        <v>9084</v>
      </c>
      <c r="D1083" s="111"/>
      <c r="E1083" s="111"/>
      <c r="F1083" s="111" t="s">
        <v>12397</v>
      </c>
      <c r="G1083" s="111" t="s">
        <v>12228</v>
      </c>
      <c r="H1083" s="111"/>
      <c r="I1083" s="111" t="s">
        <v>12394</v>
      </c>
      <c r="J1083" s="111" t="s">
        <v>12295</v>
      </c>
      <c r="K1083" s="111" t="s">
        <v>174</v>
      </c>
      <c r="L1083" s="111"/>
      <c r="M1083" s="111">
        <v>1.0</v>
      </c>
      <c r="N1083" s="111"/>
      <c r="O1083" s="111"/>
      <c r="P1083" s="111"/>
      <c r="Q1083" s="111"/>
      <c r="R1083" s="111"/>
      <c r="S1083" s="111"/>
      <c r="T1083" s="111"/>
      <c r="U1083" s="111"/>
      <c r="V1083" s="111"/>
      <c r="W1083" s="111"/>
      <c r="X1083" s="111"/>
      <c r="Y1083" s="111"/>
      <c r="Z1083" s="111" t="s">
        <v>13869</v>
      </c>
      <c r="AA1083" s="124">
        <f>184-92</f>
        <v>92</v>
      </c>
      <c r="AB1083" s="125">
        <f>IF(Projects!$AI1083="Electrolysis",
AA1083/VLOOKUP(G1083,ElectrolysisConvF,3,FALSE),
AC1083*10^6/(H2dens*HoursInYear))</f>
        <v>24210.52632</v>
      </c>
      <c r="AC1083" s="126">
        <f t="shared" si="214"/>
        <v>18.87549474</v>
      </c>
      <c r="AD1083" s="125"/>
      <c r="AE1083" s="125">
        <f t="shared" si="212"/>
        <v>24210.52632</v>
      </c>
      <c r="AF1083" s="127" t="s">
        <v>13867</v>
      </c>
      <c r="AG1083" s="127">
        <v>46.635417</v>
      </c>
      <c r="AH1083" s="127">
        <v>32.616867</v>
      </c>
      <c r="AI1083" s="115" t="s">
        <v>12383</v>
      </c>
      <c r="AJ1083" s="116">
        <v>0.5</v>
      </c>
      <c r="AK1083" s="117"/>
      <c r="AL1083" s="117"/>
      <c r="AM1083" s="117"/>
      <c r="AN1083" s="117"/>
      <c r="AO1083" s="117"/>
    </row>
    <row r="1084" ht="34.5" customHeight="1">
      <c r="A1084" s="111">
        <v>1621.0</v>
      </c>
      <c r="B1084" s="111" t="s">
        <v>9087</v>
      </c>
      <c r="C1084" s="111" t="s">
        <v>7971</v>
      </c>
      <c r="D1084" s="111">
        <v>2026.0</v>
      </c>
      <c r="E1084" s="111"/>
      <c r="F1084" s="111" t="s">
        <v>12397</v>
      </c>
      <c r="G1084" s="111" t="s">
        <v>13722</v>
      </c>
      <c r="H1084" s="111" t="s">
        <v>13751</v>
      </c>
      <c r="I1084" s="111"/>
      <c r="J1084" s="111"/>
      <c r="K1084" s="111" t="s">
        <v>30</v>
      </c>
      <c r="L1084" s="111"/>
      <c r="M1084" s="111"/>
      <c r="N1084" s="111"/>
      <c r="O1084" s="111"/>
      <c r="P1084" s="111"/>
      <c r="Q1084" s="111"/>
      <c r="R1084" s="111"/>
      <c r="S1084" s="111"/>
      <c r="T1084" s="111"/>
      <c r="U1084" s="111"/>
      <c r="V1084" s="111"/>
      <c r="W1084" s="111"/>
      <c r="X1084" s="111"/>
      <c r="Y1084" s="111"/>
      <c r="Z1084" s="111" t="s">
        <v>13870</v>
      </c>
      <c r="AA1084" s="124"/>
      <c r="AB1084" s="125">
        <f>AC1084/(H2dens*HoursInYear/10^6)</f>
        <v>4489.251449</v>
      </c>
      <c r="AC1084" s="126">
        <v>3.5</v>
      </c>
      <c r="AD1084" s="125"/>
      <c r="AE1084" s="125">
        <f t="shared" si="212"/>
        <v>4489.251449</v>
      </c>
      <c r="AF1084" s="127" t="s">
        <v>13865</v>
      </c>
      <c r="AG1084" s="127">
        <v>59.981397</v>
      </c>
      <c r="AH1084" s="127">
        <v>10.69413</v>
      </c>
      <c r="AI1084" s="115" t="s">
        <v>12241</v>
      </c>
      <c r="AJ1084" s="116">
        <v>0.9</v>
      </c>
      <c r="AK1084" s="117"/>
      <c r="AL1084" s="117"/>
      <c r="AM1084" s="117"/>
      <c r="AN1084" s="117"/>
      <c r="AO1084" s="117"/>
    </row>
    <row r="1085" ht="34.5" customHeight="1">
      <c r="A1085" s="111">
        <v>1622.0</v>
      </c>
      <c r="B1085" s="127" t="s">
        <v>9088</v>
      </c>
      <c r="C1085" s="111" t="s">
        <v>9089</v>
      </c>
      <c r="D1085" s="111"/>
      <c r="E1085" s="111"/>
      <c r="F1085" s="111" t="s">
        <v>12399</v>
      </c>
      <c r="G1085" s="111" t="s">
        <v>12381</v>
      </c>
      <c r="H1085" s="111" t="s">
        <v>12230</v>
      </c>
      <c r="I1085" s="111" t="s">
        <v>12394</v>
      </c>
      <c r="J1085" s="111" t="s">
        <v>12291</v>
      </c>
      <c r="K1085" s="111" t="s">
        <v>30</v>
      </c>
      <c r="L1085" s="111"/>
      <c r="M1085" s="111"/>
      <c r="N1085" s="111"/>
      <c r="O1085" s="111"/>
      <c r="P1085" s="111"/>
      <c r="Q1085" s="111">
        <v>1.0</v>
      </c>
      <c r="R1085" s="111"/>
      <c r="S1085" s="111"/>
      <c r="T1085" s="111"/>
      <c r="U1085" s="111"/>
      <c r="V1085" s="111"/>
      <c r="W1085" s="111"/>
      <c r="X1085" s="111"/>
      <c r="Y1085" s="111"/>
      <c r="Z1085" s="111"/>
      <c r="AA1085" s="124"/>
      <c r="AB1085" s="125"/>
      <c r="AC1085" s="125"/>
      <c r="AD1085" s="125"/>
      <c r="AE1085" s="125" t="str">
        <f t="shared" si="212"/>
        <v/>
      </c>
      <c r="AF1085" s="127" t="s">
        <v>13871</v>
      </c>
      <c r="AG1085" s="127">
        <v>43.823056</v>
      </c>
      <c r="AH1085" s="127">
        <v>25.953889</v>
      </c>
      <c r="AI1085" s="115" t="s">
        <v>12383</v>
      </c>
      <c r="AJ1085" s="116">
        <v>0.3</v>
      </c>
      <c r="AK1085" s="117"/>
      <c r="AL1085" s="117"/>
      <c r="AM1085" s="117"/>
      <c r="AN1085" s="117"/>
      <c r="AO1085" s="117"/>
    </row>
    <row r="1086" ht="34.5" customHeight="1">
      <c r="A1086" s="111">
        <v>1623.0</v>
      </c>
      <c r="B1086" s="111" t="s">
        <v>9090</v>
      </c>
      <c r="C1086" s="111" t="s">
        <v>8011</v>
      </c>
      <c r="D1086" s="111">
        <v>2027.0</v>
      </c>
      <c r="E1086" s="111"/>
      <c r="F1086" s="111" t="s">
        <v>12399</v>
      </c>
      <c r="G1086" s="111" t="s">
        <v>12381</v>
      </c>
      <c r="H1086" s="111" t="s">
        <v>12230</v>
      </c>
      <c r="I1086" s="111" t="s">
        <v>12406</v>
      </c>
      <c r="J1086" s="111"/>
      <c r="K1086" s="111" t="s">
        <v>30</v>
      </c>
      <c r="L1086" s="111"/>
      <c r="M1086" s="111"/>
      <c r="N1086" s="111"/>
      <c r="O1086" s="111"/>
      <c r="P1086" s="111">
        <v>1.0</v>
      </c>
      <c r="Q1086" s="111">
        <v>1.0</v>
      </c>
      <c r="R1086" s="111"/>
      <c r="S1086" s="111"/>
      <c r="T1086" s="111"/>
      <c r="U1086" s="111"/>
      <c r="V1086" s="111"/>
      <c r="W1086" s="111"/>
      <c r="X1086" s="111"/>
      <c r="Y1086" s="111"/>
      <c r="Z1086" s="111" t="s">
        <v>13872</v>
      </c>
      <c r="AA1086" s="124">
        <v>200.0</v>
      </c>
      <c r="AB1086" s="125">
        <f>IF(Projects!$AI1086="Electrolysis",
AA1086/VLOOKUP(G1086,ElectrolysisConvF,3,FALSE),
AC1086*10^6/(H2dens*HoursInYear))</f>
        <v>44444.44444</v>
      </c>
      <c r="AC1086" s="126">
        <f t="shared" ref="AC1086:AC1093" si="215">AB1086*H2dens*HoursInYear/10^6</f>
        <v>34.65066667</v>
      </c>
      <c r="AD1086" s="125"/>
      <c r="AE1086" s="125">
        <f t="shared" si="212"/>
        <v>44444.44444</v>
      </c>
      <c r="AF1086" s="127" t="s">
        <v>13873</v>
      </c>
      <c r="AG1086" s="127">
        <v>49.154152</v>
      </c>
      <c r="AH1086" s="127">
        <v>6.705371</v>
      </c>
      <c r="AI1086" s="115" t="s">
        <v>12383</v>
      </c>
      <c r="AJ1086" s="116">
        <v>0.57</v>
      </c>
      <c r="AK1086" s="117"/>
      <c r="AL1086" s="117"/>
      <c r="AM1086" s="117"/>
      <c r="AN1086" s="117"/>
      <c r="AO1086" s="117"/>
    </row>
    <row r="1087" ht="34.5" customHeight="1">
      <c r="A1087" s="111">
        <v>1624.0</v>
      </c>
      <c r="B1087" s="111" t="s">
        <v>9091</v>
      </c>
      <c r="C1087" s="111" t="s">
        <v>8011</v>
      </c>
      <c r="D1087" s="111">
        <v>2030.0</v>
      </c>
      <c r="E1087" s="111"/>
      <c r="F1087" s="111" t="s">
        <v>12397</v>
      </c>
      <c r="G1087" s="111" t="s">
        <v>12381</v>
      </c>
      <c r="H1087" s="111" t="s">
        <v>12230</v>
      </c>
      <c r="I1087" s="111" t="s">
        <v>12406</v>
      </c>
      <c r="J1087" s="111"/>
      <c r="K1087" s="111" t="s">
        <v>30</v>
      </c>
      <c r="L1087" s="111"/>
      <c r="M1087" s="111"/>
      <c r="N1087" s="111"/>
      <c r="O1087" s="111"/>
      <c r="P1087" s="111">
        <v>1.0</v>
      </c>
      <c r="Q1087" s="111">
        <v>1.0</v>
      </c>
      <c r="R1087" s="111"/>
      <c r="S1087" s="111"/>
      <c r="T1087" s="111"/>
      <c r="U1087" s="111"/>
      <c r="V1087" s="111"/>
      <c r="W1087" s="111"/>
      <c r="X1087" s="111"/>
      <c r="Y1087" s="111"/>
      <c r="Z1087" s="111" t="s">
        <v>13874</v>
      </c>
      <c r="AA1087" s="124">
        <f>400-AA1086</f>
        <v>200</v>
      </c>
      <c r="AB1087" s="125">
        <f>IF(Projects!$AI1087="Electrolysis",
AA1087/VLOOKUP(G1087,ElectrolysisConvF,3,FALSE),
AC1087*10^6/(H2dens*HoursInYear))</f>
        <v>44444.44444</v>
      </c>
      <c r="AC1087" s="126">
        <f t="shared" si="215"/>
        <v>34.65066667</v>
      </c>
      <c r="AD1087" s="125"/>
      <c r="AE1087" s="125">
        <f t="shared" si="212"/>
        <v>44444.44444</v>
      </c>
      <c r="AF1087" s="127" t="s">
        <v>13873</v>
      </c>
      <c r="AG1087" s="127">
        <v>49.154152</v>
      </c>
      <c r="AH1087" s="127">
        <v>6.705371</v>
      </c>
      <c r="AI1087" s="115" t="s">
        <v>12383</v>
      </c>
      <c r="AJ1087" s="116">
        <v>0.57</v>
      </c>
      <c r="AK1087" s="117"/>
      <c r="AL1087" s="117"/>
      <c r="AM1087" s="117"/>
      <c r="AN1087" s="117"/>
      <c r="AO1087" s="117"/>
    </row>
    <row r="1088" ht="34.5" customHeight="1">
      <c r="A1088" s="111">
        <v>1627.0</v>
      </c>
      <c r="B1088" s="111" t="s">
        <v>9092</v>
      </c>
      <c r="C1088" s="111" t="s">
        <v>8011</v>
      </c>
      <c r="D1088" s="111">
        <v>2025.0</v>
      </c>
      <c r="E1088" s="111"/>
      <c r="F1088" s="111" t="s">
        <v>12397</v>
      </c>
      <c r="G1088" s="111" t="s">
        <v>12381</v>
      </c>
      <c r="H1088" s="111" t="s">
        <v>12230</v>
      </c>
      <c r="I1088" s="111" t="s">
        <v>12406</v>
      </c>
      <c r="J1088" s="111"/>
      <c r="K1088" s="111" t="s">
        <v>30</v>
      </c>
      <c r="L1088" s="111"/>
      <c r="M1088" s="111"/>
      <c r="N1088" s="111"/>
      <c r="O1088" s="111"/>
      <c r="P1088" s="111"/>
      <c r="Q1088" s="111"/>
      <c r="R1088" s="111"/>
      <c r="S1088" s="111"/>
      <c r="T1088" s="111"/>
      <c r="U1088" s="111"/>
      <c r="V1088" s="111"/>
      <c r="W1088" s="111"/>
      <c r="X1088" s="111"/>
      <c r="Y1088" s="111"/>
      <c r="Z1088" s="111" t="s">
        <v>12411</v>
      </c>
      <c r="AA1088" s="124">
        <v>20.0</v>
      </c>
      <c r="AB1088" s="125">
        <f>IF(Projects!$AI1088="Electrolysis",
AA1088/VLOOKUP(G1088,ElectrolysisConvF,3,FALSE),
AC1088*10^6/(H2dens*HoursInYear))</f>
        <v>4444.444444</v>
      </c>
      <c r="AC1088" s="126">
        <f t="shared" si="215"/>
        <v>3.465066667</v>
      </c>
      <c r="AD1088" s="125"/>
      <c r="AE1088" s="125">
        <f t="shared" si="212"/>
        <v>4444.444444</v>
      </c>
      <c r="AF1088" s="127" t="s">
        <v>13875</v>
      </c>
      <c r="AG1088" s="127">
        <v>45.702181</v>
      </c>
      <c r="AH1088" s="127">
        <v>4.844148</v>
      </c>
      <c r="AI1088" s="115" t="s">
        <v>12383</v>
      </c>
      <c r="AJ1088" s="116">
        <v>0.57</v>
      </c>
      <c r="AK1088" s="117"/>
      <c r="AL1088" s="117"/>
      <c r="AM1088" s="117"/>
      <c r="AN1088" s="117"/>
      <c r="AO1088" s="117"/>
    </row>
    <row r="1089" ht="34.5" customHeight="1">
      <c r="A1089" s="111">
        <v>1628.0</v>
      </c>
      <c r="B1089" s="111" t="s">
        <v>9093</v>
      </c>
      <c r="C1089" s="111" t="s">
        <v>8011</v>
      </c>
      <c r="D1089" s="111">
        <v>2024.0</v>
      </c>
      <c r="E1089" s="111"/>
      <c r="F1089" s="111" t="s">
        <v>12393</v>
      </c>
      <c r="G1089" s="111" t="s">
        <v>12224</v>
      </c>
      <c r="H1089" s="111"/>
      <c r="I1089" s="111" t="s">
        <v>12287</v>
      </c>
      <c r="J1089" s="111"/>
      <c r="K1089" s="111" t="s">
        <v>30</v>
      </c>
      <c r="L1089" s="111"/>
      <c r="M1089" s="111"/>
      <c r="N1089" s="111"/>
      <c r="O1089" s="111"/>
      <c r="P1089" s="111"/>
      <c r="Q1089" s="111">
        <v>1.0</v>
      </c>
      <c r="R1089" s="111"/>
      <c r="S1089" s="111"/>
      <c r="T1089" s="111"/>
      <c r="U1089" s="111"/>
      <c r="V1089" s="111"/>
      <c r="W1089" s="111"/>
      <c r="X1089" s="111"/>
      <c r="Y1089" s="111"/>
      <c r="Z1089" s="111" t="s">
        <v>12411</v>
      </c>
      <c r="AA1089" s="124">
        <v>20.0</v>
      </c>
      <c r="AB1089" s="125">
        <f>IF(Projects!$AI1089="Electrolysis",
AA1089/VLOOKUP(G1089,ElectrolysisConvF,3,FALSE),
AC1089*10^6/(H2dens*HoursInYear))</f>
        <v>4347.826087</v>
      </c>
      <c r="AC1089" s="126">
        <f t="shared" si="215"/>
        <v>3.38973913</v>
      </c>
      <c r="AD1089" s="125"/>
      <c r="AE1089" s="125">
        <f t="shared" si="212"/>
        <v>4347.826087</v>
      </c>
      <c r="AF1089" s="127" t="s">
        <v>13876</v>
      </c>
      <c r="AG1089" s="127">
        <v>43.022617</v>
      </c>
      <c r="AH1089" s="127">
        <v>3.048236</v>
      </c>
      <c r="AI1089" s="115" t="s">
        <v>12383</v>
      </c>
      <c r="AJ1089" s="116">
        <v>0.57</v>
      </c>
      <c r="AK1089" s="117"/>
      <c r="AL1089" s="117"/>
      <c r="AM1089" s="117"/>
      <c r="AN1089" s="117"/>
      <c r="AO1089" s="117"/>
    </row>
    <row r="1090" ht="34.5" customHeight="1">
      <c r="A1090" s="111">
        <v>1629.0</v>
      </c>
      <c r="B1090" s="111" t="s">
        <v>9094</v>
      </c>
      <c r="C1090" s="111" t="s">
        <v>8011</v>
      </c>
      <c r="D1090" s="111">
        <v>2023.0</v>
      </c>
      <c r="E1090" s="111"/>
      <c r="F1090" s="111" t="s">
        <v>12385</v>
      </c>
      <c r="G1090" s="111" t="s">
        <v>12226</v>
      </c>
      <c r="H1090" s="111"/>
      <c r="I1090" s="111" t="s">
        <v>12406</v>
      </c>
      <c r="J1090" s="111"/>
      <c r="K1090" s="111" t="s">
        <v>30</v>
      </c>
      <c r="L1090" s="111"/>
      <c r="M1090" s="111"/>
      <c r="N1090" s="111"/>
      <c r="O1090" s="111"/>
      <c r="P1090" s="111"/>
      <c r="Q1090" s="111">
        <v>1.0</v>
      </c>
      <c r="R1090" s="111"/>
      <c r="S1090" s="111"/>
      <c r="T1090" s="111"/>
      <c r="U1090" s="111"/>
      <c r="V1090" s="111"/>
      <c r="W1090" s="111"/>
      <c r="X1090" s="111"/>
      <c r="Y1090" s="111"/>
      <c r="Z1090" s="111" t="s">
        <v>12603</v>
      </c>
      <c r="AA1090" s="124">
        <v>5.0</v>
      </c>
      <c r="AB1090" s="125">
        <f>IF(Projects!$AI1090="Electrolysis",
AA1090/VLOOKUP(G1090,ElectrolysisConvF,3,FALSE),
AC1090*10^6/(H2dens*HoursInYear))</f>
        <v>961.5384615</v>
      </c>
      <c r="AC1090" s="126">
        <f t="shared" si="215"/>
        <v>0.7496538462</v>
      </c>
      <c r="AD1090" s="125"/>
      <c r="AE1090" s="125">
        <f t="shared" si="212"/>
        <v>961.5384615</v>
      </c>
      <c r="AF1090" s="127" t="s">
        <v>13877</v>
      </c>
      <c r="AG1090" s="127">
        <v>43.793467</v>
      </c>
      <c r="AH1090" s="127">
        <v>1.61243</v>
      </c>
      <c r="AI1090" s="115" t="s">
        <v>12383</v>
      </c>
      <c r="AJ1090" s="116">
        <v>0.57</v>
      </c>
      <c r="AK1090" s="117"/>
      <c r="AL1090" s="117"/>
      <c r="AM1090" s="117"/>
      <c r="AN1090" s="117"/>
      <c r="AO1090" s="117"/>
    </row>
    <row r="1091" ht="34.5" customHeight="1">
      <c r="A1091" s="111">
        <v>1631.0</v>
      </c>
      <c r="B1091" s="111" t="s">
        <v>9095</v>
      </c>
      <c r="C1091" s="111" t="s">
        <v>7987</v>
      </c>
      <c r="D1091" s="111">
        <v>2024.0</v>
      </c>
      <c r="E1091" s="111"/>
      <c r="F1091" s="111" t="s">
        <v>12385</v>
      </c>
      <c r="G1091" s="111" t="s">
        <v>12226</v>
      </c>
      <c r="H1091" s="111"/>
      <c r="I1091" s="111" t="s">
        <v>12394</v>
      </c>
      <c r="J1091" s="111" t="s">
        <v>12293</v>
      </c>
      <c r="K1091" s="111" t="s">
        <v>30</v>
      </c>
      <c r="L1091" s="111">
        <v>1.0</v>
      </c>
      <c r="M1091" s="111"/>
      <c r="N1091" s="111"/>
      <c r="O1091" s="111">
        <v>1.0</v>
      </c>
      <c r="P1091" s="111"/>
      <c r="Q1091" s="111">
        <v>1.0</v>
      </c>
      <c r="R1091" s="111">
        <v>1.0</v>
      </c>
      <c r="S1091" s="111"/>
      <c r="T1091" s="111"/>
      <c r="U1091" s="111"/>
      <c r="V1091" s="111"/>
      <c r="W1091" s="111"/>
      <c r="X1091" s="111"/>
      <c r="Y1091" s="111"/>
      <c r="Z1091" s="111" t="s">
        <v>12446</v>
      </c>
      <c r="AA1091" s="124">
        <v>4.0</v>
      </c>
      <c r="AB1091" s="125">
        <f>IF(Projects!$AI1091="Electrolysis",
AA1091/VLOOKUP(G1091,ElectrolysisConvF,3,FALSE),
AC1091*10^6/(H2dens*HoursInYear))</f>
        <v>769.2307692</v>
      </c>
      <c r="AC1091" s="126">
        <f t="shared" si="215"/>
        <v>0.5997230769</v>
      </c>
      <c r="AD1091" s="125"/>
      <c r="AE1091" s="125">
        <f t="shared" si="212"/>
        <v>769.2307692</v>
      </c>
      <c r="AF1091" s="127" t="s">
        <v>13878</v>
      </c>
      <c r="AG1091" s="127">
        <v>52.4825565137023</v>
      </c>
      <c r="AH1091" s="127">
        <v>7.29966781182499</v>
      </c>
      <c r="AI1091" s="115" t="s">
        <v>12383</v>
      </c>
      <c r="AJ1091" s="116">
        <v>0.55</v>
      </c>
      <c r="AK1091" s="117"/>
      <c r="AL1091" s="117"/>
      <c r="AM1091" s="117"/>
      <c r="AN1091" s="117"/>
      <c r="AO1091" s="117"/>
    </row>
    <row r="1092" ht="34.5" customHeight="1">
      <c r="A1092" s="111">
        <v>1632.0</v>
      </c>
      <c r="B1092" s="111" t="s">
        <v>9096</v>
      </c>
      <c r="C1092" s="111" t="s">
        <v>7987</v>
      </c>
      <c r="D1092" s="111">
        <v>2025.0</v>
      </c>
      <c r="E1092" s="111"/>
      <c r="F1092" s="111" t="s">
        <v>12393</v>
      </c>
      <c r="G1092" s="111" t="s">
        <v>12226</v>
      </c>
      <c r="H1092" s="111"/>
      <c r="I1092" s="111" t="s">
        <v>12394</v>
      </c>
      <c r="J1092" s="111" t="s">
        <v>12293</v>
      </c>
      <c r="K1092" s="111" t="s">
        <v>30</v>
      </c>
      <c r="L1092" s="111">
        <v>1.0</v>
      </c>
      <c r="M1092" s="111"/>
      <c r="N1092" s="111"/>
      <c r="O1092" s="111">
        <v>1.0</v>
      </c>
      <c r="P1092" s="111">
        <v>1.0</v>
      </c>
      <c r="Q1092" s="111">
        <v>1.0</v>
      </c>
      <c r="R1092" s="111">
        <v>1.0</v>
      </c>
      <c r="S1092" s="111">
        <v>1.0</v>
      </c>
      <c r="T1092" s="111"/>
      <c r="U1092" s="111"/>
      <c r="V1092" s="111"/>
      <c r="W1092" s="111"/>
      <c r="X1092" s="111"/>
      <c r="Y1092" s="111"/>
      <c r="Z1092" s="111" t="s">
        <v>12709</v>
      </c>
      <c r="AA1092" s="124">
        <v>100.0</v>
      </c>
      <c r="AB1092" s="125">
        <f>IF(Projects!$AI1092="Electrolysis",
AA1092/VLOOKUP(G1092,ElectrolysisConvF,3,FALSE),
AC1092*10^6/(H2dens*HoursInYear))</f>
        <v>19230.76923</v>
      </c>
      <c r="AC1092" s="126">
        <f t="shared" si="215"/>
        <v>14.99307692</v>
      </c>
      <c r="AD1092" s="125"/>
      <c r="AE1092" s="125">
        <f t="shared" si="212"/>
        <v>19230.76923</v>
      </c>
      <c r="AF1092" s="127" t="s">
        <v>13879</v>
      </c>
      <c r="AG1092" s="127">
        <v>52.4825565137023</v>
      </c>
      <c r="AH1092" s="127">
        <v>7.29966781182499</v>
      </c>
      <c r="AI1092" s="115" t="s">
        <v>12383</v>
      </c>
      <c r="AJ1092" s="116">
        <v>0.55</v>
      </c>
      <c r="AK1092" s="117"/>
      <c r="AL1092" s="117"/>
      <c r="AM1092" s="117"/>
      <c r="AN1092" s="117"/>
      <c r="AO1092" s="117"/>
    </row>
    <row r="1093" ht="34.5" customHeight="1">
      <c r="A1093" s="111">
        <v>1633.0</v>
      </c>
      <c r="B1093" s="111" t="s">
        <v>9097</v>
      </c>
      <c r="C1093" s="111" t="s">
        <v>8021</v>
      </c>
      <c r="D1093" s="111">
        <v>2024.0</v>
      </c>
      <c r="E1093" s="111"/>
      <c r="F1093" s="111" t="s">
        <v>12399</v>
      </c>
      <c r="G1093" s="111" t="s">
        <v>12381</v>
      </c>
      <c r="H1093" s="111" t="s">
        <v>12230</v>
      </c>
      <c r="I1093" s="111" t="s">
        <v>12394</v>
      </c>
      <c r="J1093" s="111" t="s">
        <v>12291</v>
      </c>
      <c r="K1093" s="111" t="s">
        <v>30</v>
      </c>
      <c r="L1093" s="111"/>
      <c r="M1093" s="111"/>
      <c r="N1093" s="111"/>
      <c r="O1093" s="111"/>
      <c r="P1093" s="111"/>
      <c r="Q1093" s="111">
        <v>1.0</v>
      </c>
      <c r="R1093" s="111"/>
      <c r="S1093" s="111"/>
      <c r="T1093" s="111"/>
      <c r="U1093" s="111"/>
      <c r="V1093" s="111"/>
      <c r="W1093" s="111"/>
      <c r="X1093" s="111"/>
      <c r="Y1093" s="111"/>
      <c r="Z1093" s="111" t="s">
        <v>13880</v>
      </c>
      <c r="AA1093" s="124">
        <v>1.25</v>
      </c>
      <c r="AB1093" s="125">
        <f>IF(Projects!$AI1093="Electrolysis",
AA1093/VLOOKUP(G1093,ElectrolysisConvF,3,FALSE),
AC1093*10^6/(H2dens*HoursInYear))</f>
        <v>277.7777778</v>
      </c>
      <c r="AC1093" s="126">
        <f t="shared" si="215"/>
        <v>0.2165666667</v>
      </c>
      <c r="AD1093" s="125"/>
      <c r="AE1093" s="125">
        <f t="shared" si="212"/>
        <v>277.7777778</v>
      </c>
      <c r="AF1093" s="127" t="s">
        <v>13881</v>
      </c>
      <c r="AG1093" s="127">
        <v>-32.164525</v>
      </c>
      <c r="AH1093" s="127">
        <v>115.793464</v>
      </c>
      <c r="AI1093" s="115" t="s">
        <v>12383</v>
      </c>
      <c r="AJ1093" s="116">
        <v>0.3</v>
      </c>
      <c r="AK1093" s="117"/>
      <c r="AL1093" s="117"/>
      <c r="AM1093" s="117"/>
      <c r="AN1093" s="117"/>
      <c r="AO1093" s="117"/>
    </row>
    <row r="1094" ht="34.5" customHeight="1">
      <c r="A1094" s="111">
        <v>1634.0</v>
      </c>
      <c r="B1094" s="111" t="s">
        <v>9098</v>
      </c>
      <c r="C1094" s="111" t="s">
        <v>8021</v>
      </c>
      <c r="D1094" s="111"/>
      <c r="E1094" s="111"/>
      <c r="F1094" s="111" t="s">
        <v>12397</v>
      </c>
      <c r="G1094" s="111" t="s">
        <v>12381</v>
      </c>
      <c r="H1094" s="111" t="s">
        <v>12230</v>
      </c>
      <c r="I1094" s="111" t="s">
        <v>12394</v>
      </c>
      <c r="J1094" s="111" t="s">
        <v>12291</v>
      </c>
      <c r="K1094" s="111" t="s">
        <v>30</v>
      </c>
      <c r="L1094" s="111"/>
      <c r="M1094" s="111"/>
      <c r="N1094" s="111"/>
      <c r="O1094" s="111"/>
      <c r="P1094" s="111"/>
      <c r="Q1094" s="111">
        <v>1.0</v>
      </c>
      <c r="R1094" s="111"/>
      <c r="S1094" s="111"/>
      <c r="T1094" s="111"/>
      <c r="U1094" s="111"/>
      <c r="V1094" s="111"/>
      <c r="W1094" s="111"/>
      <c r="X1094" s="111"/>
      <c r="Y1094" s="111"/>
      <c r="Z1094" s="111"/>
      <c r="AA1094" s="124">
        <f>IF(OR(G1094="ALK",G1094="PEM",G1094="SOEC",G1094="Other Electrolysis"),
AB1094*VLOOKUP(G1094,ElectrolysisConvF,3,FALSE),
"")</f>
        <v>0</v>
      </c>
      <c r="AB1094" s="125"/>
      <c r="AC1094" s="125"/>
      <c r="AD1094" s="125"/>
      <c r="AE1094" s="125" t="str">
        <f t="shared" si="212"/>
        <v/>
      </c>
      <c r="AF1094" s="127" t="s">
        <v>13881</v>
      </c>
      <c r="AG1094" s="127">
        <v>-32.164525</v>
      </c>
      <c r="AH1094" s="127">
        <v>115.793464</v>
      </c>
      <c r="AI1094" s="115" t="s">
        <v>12383</v>
      </c>
      <c r="AJ1094" s="116">
        <v>0.3</v>
      </c>
      <c r="AK1094" s="117"/>
      <c r="AL1094" s="117"/>
      <c r="AM1094" s="117"/>
      <c r="AN1094" s="117"/>
      <c r="AO1094" s="117"/>
    </row>
    <row r="1095" ht="34.5" customHeight="1">
      <c r="A1095" s="111">
        <v>1635.0</v>
      </c>
      <c r="B1095" s="111" t="s">
        <v>9099</v>
      </c>
      <c r="C1095" s="111" t="s">
        <v>8021</v>
      </c>
      <c r="D1095" s="111"/>
      <c r="E1095" s="111"/>
      <c r="F1095" s="111" t="s">
        <v>12397</v>
      </c>
      <c r="G1095" s="111" t="s">
        <v>12381</v>
      </c>
      <c r="H1095" s="111" t="s">
        <v>12230</v>
      </c>
      <c r="I1095" s="111" t="s">
        <v>12394</v>
      </c>
      <c r="J1095" s="111" t="s">
        <v>12291</v>
      </c>
      <c r="K1095" s="111" t="s">
        <v>30</v>
      </c>
      <c r="L1095" s="111"/>
      <c r="M1095" s="111"/>
      <c r="N1095" s="111"/>
      <c r="O1095" s="111"/>
      <c r="P1095" s="111"/>
      <c r="Q1095" s="111"/>
      <c r="R1095" s="111"/>
      <c r="S1095" s="111"/>
      <c r="T1095" s="111">
        <v>1.0</v>
      </c>
      <c r="U1095" s="111"/>
      <c r="V1095" s="111"/>
      <c r="W1095" s="111"/>
      <c r="X1095" s="111"/>
      <c r="Y1095" s="111"/>
      <c r="Z1095" s="111"/>
      <c r="AA1095" s="124">
        <f>IF(OR(G1095="ALK",G1095="PEM",G1095="SOEC",G1095="Other Electrolysis"),
AB1095*VLOOKUP(G1095,ElectrolysisConvF,3,FALSE),
"")</f>
        <v>0</v>
      </c>
      <c r="AB1095" s="125"/>
      <c r="AC1095" s="125"/>
      <c r="AD1095" s="125"/>
      <c r="AE1095" s="125" t="str">
        <f t="shared" si="212"/>
        <v/>
      </c>
      <c r="AF1095" s="127" t="s">
        <v>13881</v>
      </c>
      <c r="AG1095" s="127">
        <v>-32.164525</v>
      </c>
      <c r="AH1095" s="127">
        <v>115.793464</v>
      </c>
      <c r="AI1095" s="115" t="s">
        <v>12383</v>
      </c>
      <c r="AJ1095" s="116">
        <v>0.3</v>
      </c>
      <c r="AK1095" s="117"/>
      <c r="AL1095" s="117"/>
      <c r="AM1095" s="117"/>
      <c r="AN1095" s="117"/>
      <c r="AO1095" s="117"/>
    </row>
    <row r="1096" ht="34.5" customHeight="1">
      <c r="A1096" s="111">
        <v>1636.0</v>
      </c>
      <c r="B1096" s="111" t="s">
        <v>9100</v>
      </c>
      <c r="C1096" s="111" t="s">
        <v>8021</v>
      </c>
      <c r="D1096" s="111"/>
      <c r="E1096" s="111"/>
      <c r="F1096" s="111" t="s">
        <v>12397</v>
      </c>
      <c r="G1096" s="111" t="s">
        <v>12381</v>
      </c>
      <c r="H1096" s="111" t="s">
        <v>12230</v>
      </c>
      <c r="I1096" s="111" t="s">
        <v>12287</v>
      </c>
      <c r="J1096" s="111"/>
      <c r="K1096" s="111" t="s">
        <v>30</v>
      </c>
      <c r="L1096" s="111"/>
      <c r="M1096" s="111"/>
      <c r="N1096" s="111"/>
      <c r="O1096" s="111"/>
      <c r="P1096" s="111"/>
      <c r="Q1096" s="111">
        <v>1.0</v>
      </c>
      <c r="R1096" s="111"/>
      <c r="S1096" s="111"/>
      <c r="T1096" s="111"/>
      <c r="U1096" s="111"/>
      <c r="V1096" s="111"/>
      <c r="W1096" s="111"/>
      <c r="X1096" s="111"/>
      <c r="Y1096" s="111"/>
      <c r="Z1096" s="111" t="s">
        <v>12422</v>
      </c>
      <c r="AA1096" s="124">
        <v>10.0</v>
      </c>
      <c r="AB1096" s="125">
        <f>IF(Projects!$AI1096="Electrolysis",
AA1096/VLOOKUP(G1096,ElectrolysisConvF,3,FALSE),
AC1096*10^6/(H2dens*HoursInYear))</f>
        <v>2222.222222</v>
      </c>
      <c r="AC1096" s="126">
        <f t="shared" ref="AC1096:AC1099" si="216">AB1096*H2dens*HoursInYear/10^6</f>
        <v>1.732533333</v>
      </c>
      <c r="AD1096" s="125"/>
      <c r="AE1096" s="125">
        <f t="shared" si="212"/>
        <v>2222.222222</v>
      </c>
      <c r="AF1096" s="127" t="s">
        <v>13882</v>
      </c>
      <c r="AG1096" s="127">
        <v>-32.653539</v>
      </c>
      <c r="AH1096" s="127">
        <v>118.591182</v>
      </c>
      <c r="AI1096" s="115" t="s">
        <v>12383</v>
      </c>
      <c r="AJ1096" s="116">
        <v>0.57</v>
      </c>
      <c r="AK1096" s="117"/>
      <c r="AL1096" s="117"/>
      <c r="AM1096" s="117"/>
      <c r="AN1096" s="117"/>
      <c r="AO1096" s="117"/>
    </row>
    <row r="1097" ht="34.5" customHeight="1">
      <c r="A1097" s="111">
        <v>1637.0</v>
      </c>
      <c r="B1097" s="111" t="s">
        <v>9101</v>
      </c>
      <c r="C1097" s="111" t="s">
        <v>8021</v>
      </c>
      <c r="D1097" s="111">
        <v>2027.0</v>
      </c>
      <c r="E1097" s="111"/>
      <c r="F1097" s="111" t="s">
        <v>12399</v>
      </c>
      <c r="G1097" s="111" t="s">
        <v>12381</v>
      </c>
      <c r="H1097" s="111" t="s">
        <v>12230</v>
      </c>
      <c r="I1097" s="111" t="s">
        <v>12406</v>
      </c>
      <c r="J1097" s="111"/>
      <c r="K1097" s="111" t="s">
        <v>30</v>
      </c>
      <c r="L1097" s="111"/>
      <c r="M1097" s="111"/>
      <c r="N1097" s="111"/>
      <c r="O1097" s="111"/>
      <c r="P1097" s="111">
        <v>1.0</v>
      </c>
      <c r="Q1097" s="111">
        <v>1.0</v>
      </c>
      <c r="R1097" s="111"/>
      <c r="S1097" s="111"/>
      <c r="T1097" s="111"/>
      <c r="U1097" s="111"/>
      <c r="V1097" s="111">
        <v>1.0</v>
      </c>
      <c r="W1097" s="111">
        <v>1.0</v>
      </c>
      <c r="X1097" s="111"/>
      <c r="Y1097" s="111"/>
      <c r="Z1097" s="111" t="s">
        <v>13883</v>
      </c>
      <c r="AA1097" s="124">
        <v>105.0</v>
      </c>
      <c r="AB1097" s="125">
        <f>IF(Projects!$AI1097="Electrolysis",
AA1097/VLOOKUP(G1097,ElectrolysisConvF,3,FALSE),
AC1097*10^6/(H2dens*HoursInYear))</f>
        <v>23333.33333</v>
      </c>
      <c r="AC1097" s="126">
        <f t="shared" si="216"/>
        <v>18.1916</v>
      </c>
      <c r="AD1097" s="125"/>
      <c r="AE1097" s="125">
        <f t="shared" si="212"/>
        <v>23333.33333</v>
      </c>
      <c r="AF1097" s="127" t="s">
        <v>13884</v>
      </c>
      <c r="AG1097" s="127">
        <v>-32.206526</v>
      </c>
      <c r="AH1097" s="127">
        <v>115.821978</v>
      </c>
      <c r="AI1097" s="115" t="s">
        <v>12383</v>
      </c>
      <c r="AJ1097" s="116">
        <v>0.57</v>
      </c>
      <c r="AK1097" s="117"/>
      <c r="AL1097" s="117"/>
      <c r="AM1097" s="117"/>
      <c r="AN1097" s="117"/>
      <c r="AO1097" s="117"/>
    </row>
    <row r="1098" ht="34.5" customHeight="1">
      <c r="A1098" s="111">
        <v>1638.0</v>
      </c>
      <c r="B1098" s="111" t="s">
        <v>9102</v>
      </c>
      <c r="C1098" s="111" t="s">
        <v>8021</v>
      </c>
      <c r="D1098" s="111">
        <v>2024.0</v>
      </c>
      <c r="E1098" s="111"/>
      <c r="F1098" s="111" t="s">
        <v>12399</v>
      </c>
      <c r="G1098" s="111" t="s">
        <v>12381</v>
      </c>
      <c r="H1098" s="111" t="s">
        <v>12230</v>
      </c>
      <c r="I1098" s="111" t="s">
        <v>12394</v>
      </c>
      <c r="J1098" s="111" t="s">
        <v>12296</v>
      </c>
      <c r="K1098" s="111" t="s">
        <v>30</v>
      </c>
      <c r="L1098" s="111"/>
      <c r="M1098" s="111"/>
      <c r="N1098" s="111"/>
      <c r="O1098" s="111"/>
      <c r="P1098" s="111"/>
      <c r="Q1098" s="111"/>
      <c r="R1098" s="111"/>
      <c r="S1098" s="111"/>
      <c r="T1098" s="111"/>
      <c r="U1098" s="111"/>
      <c r="V1098" s="111"/>
      <c r="W1098" s="111"/>
      <c r="X1098" s="111"/>
      <c r="Y1098" s="111"/>
      <c r="Z1098" s="111" t="s">
        <v>12424</v>
      </c>
      <c r="AA1098" s="124">
        <v>2.0</v>
      </c>
      <c r="AB1098" s="125">
        <f>IF(Projects!$AI1098="Electrolysis",
AA1098/VLOOKUP(G1098,ElectrolysisConvF,3,FALSE),
AC1098*10^6/(H2dens*HoursInYear))</f>
        <v>444.4444444</v>
      </c>
      <c r="AC1098" s="126">
        <f t="shared" si="216"/>
        <v>0.3465066667</v>
      </c>
      <c r="AD1098" s="125"/>
      <c r="AE1098" s="125">
        <f t="shared" si="212"/>
        <v>444.4444444</v>
      </c>
      <c r="AF1098" s="127" t="s">
        <v>13885</v>
      </c>
      <c r="AG1098" s="127">
        <v>-32.243999</v>
      </c>
      <c r="AH1098" s="127">
        <v>115.814003</v>
      </c>
      <c r="AI1098" s="115" t="s">
        <v>12383</v>
      </c>
      <c r="AJ1098" s="116">
        <v>0.5</v>
      </c>
      <c r="AK1098" s="117"/>
      <c r="AL1098" s="117"/>
      <c r="AM1098" s="117"/>
      <c r="AN1098" s="117"/>
      <c r="AO1098" s="117"/>
    </row>
    <row r="1099" ht="34.5" customHeight="1">
      <c r="A1099" s="111">
        <v>1639.0</v>
      </c>
      <c r="B1099" s="111" t="s">
        <v>9103</v>
      </c>
      <c r="C1099" s="111" t="s">
        <v>8021</v>
      </c>
      <c r="D1099" s="111">
        <v>2027.0</v>
      </c>
      <c r="E1099" s="111"/>
      <c r="F1099" s="111" t="s">
        <v>12399</v>
      </c>
      <c r="G1099" s="111" t="s">
        <v>12226</v>
      </c>
      <c r="H1099" s="111"/>
      <c r="I1099" s="111" t="s">
        <v>12394</v>
      </c>
      <c r="J1099" s="111" t="s">
        <v>12291</v>
      </c>
      <c r="K1099" s="111" t="s">
        <v>30</v>
      </c>
      <c r="L1099" s="111"/>
      <c r="M1099" s="111"/>
      <c r="N1099" s="111"/>
      <c r="O1099" s="111"/>
      <c r="P1099" s="111">
        <v>1.0</v>
      </c>
      <c r="Q1099" s="111"/>
      <c r="R1099" s="111"/>
      <c r="S1099" s="111"/>
      <c r="T1099" s="111"/>
      <c r="U1099" s="111"/>
      <c r="V1099" s="111"/>
      <c r="W1099" s="111"/>
      <c r="X1099" s="111"/>
      <c r="Y1099" s="111"/>
      <c r="Z1099" s="111" t="s">
        <v>13886</v>
      </c>
      <c r="AA1099" s="124">
        <v>17.5</v>
      </c>
      <c r="AB1099" s="125">
        <f>IF(Projects!$AI1099="Electrolysis",
AA1099/VLOOKUP(G1099,ElectrolysisConvF,3,FALSE),
AC1099*10^6/(H2dens*HoursInYear))</f>
        <v>3365.384615</v>
      </c>
      <c r="AC1099" s="126">
        <f t="shared" si="216"/>
        <v>2.623788462</v>
      </c>
      <c r="AD1099" s="125"/>
      <c r="AE1099" s="125">
        <f t="shared" si="212"/>
        <v>3365.384615</v>
      </c>
      <c r="AF1099" s="127" t="s">
        <v>13887</v>
      </c>
      <c r="AG1099" s="127">
        <v>-19.258965</v>
      </c>
      <c r="AH1099" s="127">
        <v>146.816956</v>
      </c>
      <c r="AI1099" s="115" t="s">
        <v>12383</v>
      </c>
      <c r="AJ1099" s="116">
        <v>0.3</v>
      </c>
      <c r="AK1099" s="117"/>
      <c r="AL1099" s="117"/>
      <c r="AM1099" s="117"/>
      <c r="AN1099" s="117"/>
      <c r="AO1099" s="117"/>
    </row>
    <row r="1100" ht="34.5" customHeight="1">
      <c r="A1100" s="111">
        <v>1640.0</v>
      </c>
      <c r="B1100" s="111" t="s">
        <v>9104</v>
      </c>
      <c r="C1100" s="111" t="s">
        <v>7991</v>
      </c>
      <c r="D1100" s="111">
        <v>2028.0</v>
      </c>
      <c r="E1100" s="111"/>
      <c r="F1100" s="111" t="s">
        <v>12399</v>
      </c>
      <c r="G1100" s="111" t="s">
        <v>12235</v>
      </c>
      <c r="H1100" s="111" t="s">
        <v>13160</v>
      </c>
      <c r="I1100" s="111"/>
      <c r="J1100" s="111"/>
      <c r="K1100" s="111" t="s">
        <v>30</v>
      </c>
      <c r="L1100" s="111"/>
      <c r="M1100" s="111"/>
      <c r="N1100" s="111"/>
      <c r="O1100" s="111"/>
      <c r="P1100" s="111"/>
      <c r="Q1100" s="111"/>
      <c r="R1100" s="111"/>
      <c r="S1100" s="111"/>
      <c r="T1100" s="111"/>
      <c r="U1100" s="111"/>
      <c r="V1100" s="111"/>
      <c r="W1100" s="111"/>
      <c r="X1100" s="111"/>
      <c r="Y1100" s="111"/>
      <c r="Z1100" s="111" t="s">
        <v>13888</v>
      </c>
      <c r="AA1100" s="124" t="str">
        <f>IF(OR(G1100="ALK",G1100="PEM",G1100="SOEC",G1100="Other Electrolysis"),
AB1100*VLOOKUP(G1100,ElectrolysisConvF,3,FALSE),
"")</f>
        <v/>
      </c>
      <c r="AB1100" s="125">
        <f>IF(Projects!$AI1100="Electrolysis",
AA1100/VLOOKUP(G1100,ElectrolysisConvF,3,FALSE),
AC1100*10^6/(H2dens*HoursInYear))</f>
        <v>113679.7753</v>
      </c>
      <c r="AC1100" s="126">
        <f>355*HoursInYear*0.95*3.6/120/1000</f>
        <v>88.6293</v>
      </c>
      <c r="AD1100" s="125">
        <v>900000.0</v>
      </c>
      <c r="AE1100" s="125">
        <f t="shared" si="212"/>
        <v>112838.7985</v>
      </c>
      <c r="AF1100" s="127" t="s">
        <v>13889</v>
      </c>
      <c r="AG1100" s="127">
        <v>54.5423093211419</v>
      </c>
      <c r="AH1100" s="127">
        <v>-1.245801640486</v>
      </c>
      <c r="AI1100" s="115" t="s">
        <v>12378</v>
      </c>
      <c r="AJ1100" s="116">
        <v>0.9</v>
      </c>
      <c r="AK1100" s="117"/>
      <c r="AL1100" s="117"/>
      <c r="AM1100" s="117"/>
      <c r="AN1100" s="117"/>
      <c r="AO1100" s="117"/>
    </row>
    <row r="1101" ht="34.5" customHeight="1">
      <c r="A1101" s="111">
        <v>1641.0</v>
      </c>
      <c r="B1101" s="111" t="s">
        <v>9105</v>
      </c>
      <c r="C1101" s="111" t="s">
        <v>7991</v>
      </c>
      <c r="D1101" s="111">
        <v>2030.0</v>
      </c>
      <c r="E1101" s="111"/>
      <c r="F1101" s="111" t="s">
        <v>12399</v>
      </c>
      <c r="G1101" s="111" t="s">
        <v>12235</v>
      </c>
      <c r="H1101" s="111" t="s">
        <v>13160</v>
      </c>
      <c r="I1101" s="111"/>
      <c r="J1101" s="111"/>
      <c r="K1101" s="111" t="s">
        <v>30</v>
      </c>
      <c r="L1101" s="111"/>
      <c r="M1101" s="111"/>
      <c r="N1101" s="111"/>
      <c r="O1101" s="111"/>
      <c r="P1101" s="111"/>
      <c r="Q1101" s="111"/>
      <c r="R1101" s="111"/>
      <c r="S1101" s="111"/>
      <c r="T1101" s="111"/>
      <c r="U1101" s="111"/>
      <c r="V1101" s="111"/>
      <c r="W1101" s="111"/>
      <c r="X1101" s="111"/>
      <c r="Y1101" s="111"/>
      <c r="Z1101" s="111" t="s">
        <v>13890</v>
      </c>
      <c r="AA1101" s="124" t="str">
        <f>IF(OR(G1101="ALK",G1101="PEM",G1101="SOEC",G1101="Other Electrolysis"),
AB1101*VLOOKUP(G1101,ElectrolysisConvF,3,FALSE),
"")</f>
        <v/>
      </c>
      <c r="AB1101" s="125">
        <f>IF(Projects!$AI1101="Electrolysis",
AA1101/VLOOKUP(G1101,ElectrolysisConvF,3,FALSE),
AC1101*10^6/(H2dens*HoursInYear))</f>
        <v>206544.9438</v>
      </c>
      <c r="AC1101" s="126">
        <f>645*HoursInYear*0.95*3.6/120/1000</f>
        <v>161.0307</v>
      </c>
      <c r="AD1101" s="125">
        <v>1600000.0</v>
      </c>
      <c r="AE1101" s="125">
        <f t="shared" si="212"/>
        <v>200602.3084</v>
      </c>
      <c r="AF1101" s="127" t="s">
        <v>13889</v>
      </c>
      <c r="AG1101" s="127">
        <v>54.5423093211419</v>
      </c>
      <c r="AH1101" s="127">
        <v>-1.245801640486</v>
      </c>
      <c r="AI1101" s="115" t="s">
        <v>12378</v>
      </c>
      <c r="AJ1101" s="116">
        <v>0.9</v>
      </c>
      <c r="AK1101" s="117"/>
      <c r="AL1101" s="117"/>
      <c r="AM1101" s="117"/>
      <c r="AN1101" s="117"/>
      <c r="AO1101" s="117"/>
    </row>
    <row r="1102" ht="34.5" customHeight="1">
      <c r="A1102" s="111">
        <v>1642.0</v>
      </c>
      <c r="B1102" s="111" t="s">
        <v>9106</v>
      </c>
      <c r="C1102" s="111" t="s">
        <v>7991</v>
      </c>
      <c r="D1102" s="111">
        <v>2027.0</v>
      </c>
      <c r="E1102" s="111"/>
      <c r="F1102" s="111" t="s">
        <v>12399</v>
      </c>
      <c r="G1102" s="111" t="s">
        <v>12235</v>
      </c>
      <c r="H1102" s="111" t="s">
        <v>12885</v>
      </c>
      <c r="I1102" s="111"/>
      <c r="J1102" s="111"/>
      <c r="K1102" s="111" t="s">
        <v>30</v>
      </c>
      <c r="L1102" s="111"/>
      <c r="M1102" s="111"/>
      <c r="N1102" s="111"/>
      <c r="O1102" s="111"/>
      <c r="P1102" s="111"/>
      <c r="Q1102" s="111"/>
      <c r="R1102" s="111"/>
      <c r="S1102" s="111"/>
      <c r="T1102" s="111"/>
      <c r="U1102" s="111"/>
      <c r="V1102" s="111"/>
      <c r="W1102" s="111"/>
      <c r="X1102" s="111"/>
      <c r="Y1102" s="111"/>
      <c r="Z1102" s="111" t="s">
        <v>13891</v>
      </c>
      <c r="AA1102" s="124" t="str">
        <f>IF(OR(G1102="ALK",G1102="PEM",G1102="SOEC",G1102="Other Electrolysis"),
AB1102*VLOOKUP(G1102,ElectrolysisConvF,3,FALSE),
"")</f>
        <v/>
      </c>
      <c r="AB1102" s="125">
        <f>IF(Projects!$AI1102="Electrolysis",
AA1102/VLOOKUP(G1102,ElectrolysisConvF,3,FALSE),
AC1102*10^6/(H2dens*HoursInYear))</f>
        <v>230561.7978</v>
      </c>
      <c r="AC1102" s="126">
        <f>720*HoursInYear*0.95*3.6/120/1000</f>
        <v>179.7552</v>
      </c>
      <c r="AD1102" s="125">
        <v>1600000.0</v>
      </c>
      <c r="AE1102" s="125">
        <f t="shared" si="212"/>
        <v>200602.3084</v>
      </c>
      <c r="AF1102" s="127" t="s">
        <v>13892</v>
      </c>
      <c r="AG1102" s="127">
        <v>53.6537246625977</v>
      </c>
      <c r="AH1102" s="127">
        <v>-0.331811276919424</v>
      </c>
      <c r="AI1102" s="115" t="s">
        <v>12378</v>
      </c>
      <c r="AJ1102" s="116">
        <v>0.9</v>
      </c>
      <c r="AK1102" s="117"/>
      <c r="AL1102" s="117"/>
      <c r="AM1102" s="117"/>
      <c r="AN1102" s="117"/>
      <c r="AO1102" s="117"/>
    </row>
    <row r="1103" ht="34.5" customHeight="1">
      <c r="A1103" s="111">
        <v>1643.0</v>
      </c>
      <c r="B1103" s="111" t="s">
        <v>9107</v>
      </c>
      <c r="C1103" s="111" t="s">
        <v>7987</v>
      </c>
      <c r="D1103" s="111">
        <v>2027.0</v>
      </c>
      <c r="E1103" s="111"/>
      <c r="F1103" s="111" t="s">
        <v>12397</v>
      </c>
      <c r="G1103" s="111" t="s">
        <v>12235</v>
      </c>
      <c r="H1103" s="111" t="s">
        <v>13160</v>
      </c>
      <c r="I1103" s="111"/>
      <c r="J1103" s="111"/>
      <c r="K1103" s="111" t="s">
        <v>30</v>
      </c>
      <c r="L1103" s="111"/>
      <c r="M1103" s="111"/>
      <c r="N1103" s="111"/>
      <c r="O1103" s="111"/>
      <c r="P1103" s="111"/>
      <c r="Q1103" s="111"/>
      <c r="R1103" s="111"/>
      <c r="S1103" s="111"/>
      <c r="T1103" s="111"/>
      <c r="U1103" s="111"/>
      <c r="V1103" s="111"/>
      <c r="W1103" s="111"/>
      <c r="X1103" s="111"/>
      <c r="Y1103" s="111"/>
      <c r="Z1103" s="111" t="s">
        <v>13893</v>
      </c>
      <c r="AA1103" s="124"/>
      <c r="AB1103" s="125">
        <v>200000.0</v>
      </c>
      <c r="AC1103" s="126">
        <f t="shared" ref="AC1103:AC1104" si="217">AB1103*H2dens*HoursInYear/10^6</f>
        <v>155.928</v>
      </c>
      <c r="AD1103" s="125">
        <v>1300000.0</v>
      </c>
      <c r="AE1103" s="125">
        <f t="shared" si="212"/>
        <v>162989.3756</v>
      </c>
      <c r="AF1103" s="127" t="s">
        <v>13894</v>
      </c>
      <c r="AG1103" s="127">
        <v>53.52998</v>
      </c>
      <c r="AH1103" s="127">
        <v>8.11253</v>
      </c>
      <c r="AI1103" s="115" t="s">
        <v>12378</v>
      </c>
      <c r="AJ1103" s="116">
        <v>0.9</v>
      </c>
      <c r="AK1103" s="117"/>
      <c r="AL1103" s="117"/>
      <c r="AM1103" s="117"/>
      <c r="AN1103" s="117"/>
      <c r="AO1103" s="117"/>
    </row>
    <row r="1104" ht="34.5" customHeight="1">
      <c r="A1104" s="111">
        <v>1646.0</v>
      </c>
      <c r="B1104" s="111" t="s">
        <v>9108</v>
      </c>
      <c r="C1104" s="111" t="s">
        <v>7987</v>
      </c>
      <c r="D1104" s="111"/>
      <c r="E1104" s="111"/>
      <c r="F1104" s="111" t="s">
        <v>12397</v>
      </c>
      <c r="G1104" s="111" t="s">
        <v>12228</v>
      </c>
      <c r="H1104" s="111" t="s">
        <v>12230</v>
      </c>
      <c r="I1104" s="111" t="s">
        <v>12394</v>
      </c>
      <c r="J1104" s="111" t="s">
        <v>12293</v>
      </c>
      <c r="K1104" s="111" t="s">
        <v>174</v>
      </c>
      <c r="L1104" s="111"/>
      <c r="M1104" s="111">
        <v>1.0</v>
      </c>
      <c r="N1104" s="111"/>
      <c r="O1104" s="111"/>
      <c r="P1104" s="111"/>
      <c r="Q1104" s="111">
        <v>1.0</v>
      </c>
      <c r="R1104" s="111"/>
      <c r="S1104" s="111"/>
      <c r="T1104" s="111"/>
      <c r="U1104" s="111"/>
      <c r="V1104" s="111"/>
      <c r="W1104" s="111"/>
      <c r="X1104" s="111"/>
      <c r="Y1104" s="111"/>
      <c r="Z1104" s="111" t="s">
        <v>12709</v>
      </c>
      <c r="AA1104" s="124">
        <v>100.0</v>
      </c>
      <c r="AB1104" s="125">
        <f>IF(Projects!$AI1104="Electrolysis",
AA1104/VLOOKUP(G1104,ElectrolysisConvF,3,FALSE),
AC1104*10^6/(H2dens*HoursInYear))</f>
        <v>26315.78947</v>
      </c>
      <c r="AC1104" s="126">
        <f t="shared" si="217"/>
        <v>20.51684211</v>
      </c>
      <c r="AD1104" s="125"/>
      <c r="AE1104" s="125">
        <f t="shared" si="212"/>
        <v>26315.78947</v>
      </c>
      <c r="AF1104" s="127" t="s">
        <v>13895</v>
      </c>
      <c r="AG1104" s="127">
        <v>53.1911535279741</v>
      </c>
      <c r="AH1104" s="127">
        <v>8.33582784910707</v>
      </c>
      <c r="AI1104" s="115" t="s">
        <v>12383</v>
      </c>
      <c r="AJ1104" s="116">
        <v>0.55</v>
      </c>
      <c r="AK1104" s="117"/>
      <c r="AL1104" s="117"/>
      <c r="AM1104" s="117"/>
      <c r="AN1104" s="117"/>
      <c r="AO1104" s="117"/>
    </row>
    <row r="1105" ht="34.5" customHeight="1">
      <c r="A1105" s="111">
        <v>1647.0</v>
      </c>
      <c r="B1105" s="111" t="s">
        <v>9109</v>
      </c>
      <c r="C1105" s="111" t="s">
        <v>7987</v>
      </c>
      <c r="D1105" s="111">
        <v>2024.0</v>
      </c>
      <c r="E1105" s="111"/>
      <c r="F1105" s="111" t="s">
        <v>12393</v>
      </c>
      <c r="G1105" s="111" t="s">
        <v>12381</v>
      </c>
      <c r="H1105" s="111" t="s">
        <v>12230</v>
      </c>
      <c r="I1105" s="111" t="s">
        <v>12287</v>
      </c>
      <c r="J1105" s="111"/>
      <c r="K1105" s="111" t="s">
        <v>12251</v>
      </c>
      <c r="L1105" s="111"/>
      <c r="M1105" s="111"/>
      <c r="N1105" s="111"/>
      <c r="O1105" s="111"/>
      <c r="P1105" s="111"/>
      <c r="Q1105" s="111"/>
      <c r="R1105" s="111"/>
      <c r="S1105" s="111"/>
      <c r="T1105" s="111"/>
      <c r="U1105" s="111"/>
      <c r="V1105" s="111"/>
      <c r="W1105" s="111">
        <v>1.0</v>
      </c>
      <c r="X1105" s="111"/>
      <c r="Y1105" s="111"/>
      <c r="Z1105" s="111"/>
      <c r="AA1105" s="124"/>
      <c r="AB1105" s="125"/>
      <c r="AC1105" s="125"/>
      <c r="AD1105" s="125"/>
      <c r="AE1105" s="125" t="str">
        <f t="shared" si="212"/>
        <v/>
      </c>
      <c r="AF1105" s="127" t="s">
        <v>13896</v>
      </c>
      <c r="AG1105" s="127">
        <v>50.0951170293398</v>
      </c>
      <c r="AH1105" s="127">
        <v>8.53378270640634</v>
      </c>
      <c r="AI1105" s="115" t="s">
        <v>12383</v>
      </c>
      <c r="AJ1105" s="116">
        <v>0.57</v>
      </c>
      <c r="AK1105" s="117"/>
      <c r="AL1105" s="117"/>
      <c r="AM1105" s="117"/>
      <c r="AN1105" s="117"/>
      <c r="AO1105" s="117"/>
    </row>
    <row r="1106" ht="34.5" customHeight="1">
      <c r="A1106" s="111">
        <v>1648.0</v>
      </c>
      <c r="B1106" s="111" t="s">
        <v>9110</v>
      </c>
      <c r="C1106" s="111" t="s">
        <v>7987</v>
      </c>
      <c r="D1106" s="111"/>
      <c r="E1106" s="111"/>
      <c r="F1106" s="111" t="s">
        <v>12397</v>
      </c>
      <c r="G1106" s="111" t="s">
        <v>12381</v>
      </c>
      <c r="H1106" s="111" t="s">
        <v>12230</v>
      </c>
      <c r="I1106" s="111" t="s">
        <v>12287</v>
      </c>
      <c r="J1106" s="111"/>
      <c r="K1106" s="111" t="s">
        <v>30</v>
      </c>
      <c r="L1106" s="111"/>
      <c r="M1106" s="111"/>
      <c r="N1106" s="111"/>
      <c r="O1106" s="111"/>
      <c r="P1106" s="111"/>
      <c r="Q1106" s="111"/>
      <c r="R1106" s="111"/>
      <c r="S1106" s="111"/>
      <c r="T1106" s="111"/>
      <c r="U1106" s="111"/>
      <c r="V1106" s="111"/>
      <c r="W1106" s="111"/>
      <c r="X1106" s="111"/>
      <c r="Y1106" s="111"/>
      <c r="Z1106" s="111"/>
      <c r="AA1106" s="124"/>
      <c r="AB1106" s="125"/>
      <c r="AC1106" s="125"/>
      <c r="AD1106" s="125"/>
      <c r="AE1106" s="125" t="str">
        <f t="shared" si="212"/>
        <v/>
      </c>
      <c r="AF1106" s="127" t="s">
        <v>13897</v>
      </c>
      <c r="AG1106" s="127">
        <v>53.489714</v>
      </c>
      <c r="AH1106" s="127">
        <v>9.901124</v>
      </c>
      <c r="AI1106" s="115" t="s">
        <v>12383</v>
      </c>
      <c r="AJ1106" s="116">
        <v>0.57</v>
      </c>
      <c r="AK1106" s="117"/>
      <c r="AL1106" s="117"/>
      <c r="AM1106" s="117"/>
      <c r="AN1106" s="117"/>
      <c r="AO1106" s="117"/>
    </row>
    <row r="1107" ht="34.5" customHeight="1">
      <c r="A1107" s="111">
        <v>1649.0</v>
      </c>
      <c r="B1107" s="111" t="s">
        <v>9111</v>
      </c>
      <c r="C1107" s="111" t="s">
        <v>7987</v>
      </c>
      <c r="D1107" s="111"/>
      <c r="E1107" s="111"/>
      <c r="F1107" s="111" t="s">
        <v>12397</v>
      </c>
      <c r="G1107" s="111" t="s">
        <v>12381</v>
      </c>
      <c r="H1107" s="111" t="s">
        <v>12230</v>
      </c>
      <c r="I1107" s="111" t="s">
        <v>12287</v>
      </c>
      <c r="J1107" s="111"/>
      <c r="K1107" s="111" t="s">
        <v>30</v>
      </c>
      <c r="L1107" s="111"/>
      <c r="M1107" s="111"/>
      <c r="N1107" s="111"/>
      <c r="O1107" s="111"/>
      <c r="P1107" s="111"/>
      <c r="Q1107" s="111"/>
      <c r="R1107" s="111"/>
      <c r="S1107" s="111"/>
      <c r="T1107" s="111"/>
      <c r="U1107" s="111"/>
      <c r="V1107" s="111"/>
      <c r="W1107" s="111"/>
      <c r="X1107" s="111"/>
      <c r="Y1107" s="111"/>
      <c r="Z1107" s="111" t="s">
        <v>13898</v>
      </c>
      <c r="AA1107" s="124">
        <v>30.0</v>
      </c>
      <c r="AB1107" s="125">
        <f>IF(Projects!$AI1107="Electrolysis",
AA1107/VLOOKUP(G1107,ElectrolysisConvF,3,FALSE),
AC1107*10^6/(H2dens*HoursInYear))</f>
        <v>6666.666667</v>
      </c>
      <c r="AC1107" s="126">
        <f t="shared" ref="AC1107:AC1111" si="218">AB1107*H2dens*HoursInYear/10^6</f>
        <v>5.1976</v>
      </c>
      <c r="AD1107" s="125"/>
      <c r="AE1107" s="125">
        <f t="shared" si="212"/>
        <v>6666.666667</v>
      </c>
      <c r="AF1107" s="127"/>
      <c r="AG1107" s="127">
        <v>51.927991</v>
      </c>
      <c r="AH1107" s="127">
        <v>11.632033</v>
      </c>
      <c r="AI1107" s="115" t="s">
        <v>12383</v>
      </c>
      <c r="AJ1107" s="116">
        <v>0.57</v>
      </c>
      <c r="AK1107" s="117"/>
      <c r="AL1107" s="117"/>
      <c r="AM1107" s="117"/>
      <c r="AN1107" s="117"/>
      <c r="AO1107" s="117"/>
    </row>
    <row r="1108" ht="34.5" customHeight="1">
      <c r="A1108" s="111">
        <v>1650.0</v>
      </c>
      <c r="B1108" s="111" t="s">
        <v>9112</v>
      </c>
      <c r="C1108" s="111" t="s">
        <v>7987</v>
      </c>
      <c r="D1108" s="111"/>
      <c r="E1108" s="111"/>
      <c r="F1108" s="111" t="s">
        <v>12397</v>
      </c>
      <c r="G1108" s="111" t="s">
        <v>12381</v>
      </c>
      <c r="H1108" s="111" t="s">
        <v>12230</v>
      </c>
      <c r="I1108" s="111" t="s">
        <v>12287</v>
      </c>
      <c r="J1108" s="111"/>
      <c r="K1108" s="111" t="s">
        <v>30</v>
      </c>
      <c r="L1108" s="111"/>
      <c r="M1108" s="111"/>
      <c r="N1108" s="111"/>
      <c r="O1108" s="111"/>
      <c r="P1108" s="111"/>
      <c r="Q1108" s="111"/>
      <c r="R1108" s="111"/>
      <c r="S1108" s="111"/>
      <c r="T1108" s="111"/>
      <c r="U1108" s="111"/>
      <c r="V1108" s="111"/>
      <c r="W1108" s="111"/>
      <c r="X1108" s="111"/>
      <c r="Y1108" s="111"/>
      <c r="Z1108" s="111" t="s">
        <v>13899</v>
      </c>
      <c r="AA1108" s="124">
        <v>24.0</v>
      </c>
      <c r="AB1108" s="125">
        <f>IF(Projects!$AI1108="Electrolysis",
AA1108/VLOOKUP(G1108,ElectrolysisConvF,3,FALSE),
AC1108*10^6/(H2dens*HoursInYear))</f>
        <v>5333.333333</v>
      </c>
      <c r="AC1108" s="126">
        <f t="shared" si="218"/>
        <v>4.15808</v>
      </c>
      <c r="AD1108" s="125"/>
      <c r="AE1108" s="125">
        <f t="shared" si="212"/>
        <v>5333.333333</v>
      </c>
      <c r="AF1108" s="127"/>
      <c r="AG1108" s="127">
        <v>51.927991</v>
      </c>
      <c r="AH1108" s="127">
        <v>11.632033</v>
      </c>
      <c r="AI1108" s="115" t="s">
        <v>12383</v>
      </c>
      <c r="AJ1108" s="116">
        <v>0.57</v>
      </c>
      <c r="AK1108" s="117"/>
      <c r="AL1108" s="117"/>
      <c r="AM1108" s="117"/>
      <c r="AN1108" s="117"/>
      <c r="AO1108" s="117"/>
    </row>
    <row r="1109" ht="34.5" customHeight="1">
      <c r="A1109" s="111">
        <v>1651.0</v>
      </c>
      <c r="B1109" s="111" t="s">
        <v>9113</v>
      </c>
      <c r="C1109" s="111" t="s">
        <v>7987</v>
      </c>
      <c r="D1109" s="111">
        <v>2029.0</v>
      </c>
      <c r="E1109" s="111"/>
      <c r="F1109" s="111" t="s">
        <v>12397</v>
      </c>
      <c r="G1109" s="111" t="s">
        <v>12381</v>
      </c>
      <c r="H1109" s="111" t="s">
        <v>12230</v>
      </c>
      <c r="I1109" s="111" t="s">
        <v>12406</v>
      </c>
      <c r="J1109" s="111"/>
      <c r="K1109" s="111" t="s">
        <v>30</v>
      </c>
      <c r="L1109" s="111"/>
      <c r="M1109" s="111"/>
      <c r="N1109" s="111"/>
      <c r="O1109" s="111">
        <v>1.0</v>
      </c>
      <c r="P1109" s="111"/>
      <c r="Q1109" s="111">
        <v>1.0</v>
      </c>
      <c r="R1109" s="111"/>
      <c r="S1109" s="111"/>
      <c r="T1109" s="111"/>
      <c r="U1109" s="111"/>
      <c r="V1109" s="111"/>
      <c r="W1109" s="111"/>
      <c r="X1109" s="111"/>
      <c r="Y1109" s="111"/>
      <c r="Z1109" s="111" t="s">
        <v>13776</v>
      </c>
      <c r="AA1109" s="124">
        <v>120.0</v>
      </c>
      <c r="AB1109" s="125">
        <f>IF(Projects!$AI1109="Electrolysis",
AA1109/VLOOKUP(G1109,ElectrolysisConvF,3,FALSE),
AC1109*10^6/(H2dens*HoursInYear))</f>
        <v>26666.66667</v>
      </c>
      <c r="AC1109" s="126">
        <f t="shared" si="218"/>
        <v>20.7904</v>
      </c>
      <c r="AD1109" s="125"/>
      <c r="AE1109" s="125">
        <f t="shared" si="212"/>
        <v>26666.66667</v>
      </c>
      <c r="AF1109" s="127" t="s">
        <v>13900</v>
      </c>
      <c r="AG1109" s="127">
        <v>51.43247</v>
      </c>
      <c r="AH1109" s="127">
        <v>6.76516</v>
      </c>
      <c r="AI1109" s="115" t="s">
        <v>12383</v>
      </c>
      <c r="AJ1109" s="116">
        <v>0.57</v>
      </c>
      <c r="AK1109" s="117"/>
      <c r="AL1109" s="117"/>
      <c r="AM1109" s="117"/>
      <c r="AN1109" s="117"/>
      <c r="AO1109" s="117"/>
    </row>
    <row r="1110" ht="34.5" customHeight="1">
      <c r="A1110" s="111">
        <v>1652.0</v>
      </c>
      <c r="B1110" s="111" t="s">
        <v>9114</v>
      </c>
      <c r="C1110" s="111" t="s">
        <v>7987</v>
      </c>
      <c r="D1110" s="111">
        <v>2026.0</v>
      </c>
      <c r="E1110" s="111"/>
      <c r="F1110" s="111" t="s">
        <v>12397</v>
      </c>
      <c r="G1110" s="111" t="s">
        <v>12381</v>
      </c>
      <c r="H1110" s="111" t="s">
        <v>12230</v>
      </c>
      <c r="I1110" s="111" t="s">
        <v>12394</v>
      </c>
      <c r="J1110" s="111" t="s">
        <v>12292</v>
      </c>
      <c r="K1110" s="111" t="s">
        <v>30</v>
      </c>
      <c r="L1110" s="111"/>
      <c r="M1110" s="111"/>
      <c r="N1110" s="111"/>
      <c r="O1110" s="111"/>
      <c r="P1110" s="111">
        <v>1.0</v>
      </c>
      <c r="Q1110" s="111">
        <v>1.0</v>
      </c>
      <c r="R1110" s="111"/>
      <c r="S1110" s="111">
        <v>1.0</v>
      </c>
      <c r="T1110" s="111"/>
      <c r="U1110" s="111"/>
      <c r="V1110" s="111"/>
      <c r="W1110" s="111"/>
      <c r="X1110" s="111"/>
      <c r="Y1110" s="111"/>
      <c r="Z1110" s="111" t="s">
        <v>13898</v>
      </c>
      <c r="AA1110" s="124">
        <v>30.0</v>
      </c>
      <c r="AB1110" s="125">
        <f>IF(Projects!$AI1110="Electrolysis",
AA1110/VLOOKUP(G1110,ElectrolysisConvF,3,FALSE),
AC1110*10^6/(H2dens*HoursInYear))</f>
        <v>6666.666667</v>
      </c>
      <c r="AC1110" s="126">
        <f t="shared" si="218"/>
        <v>5.1976</v>
      </c>
      <c r="AD1110" s="125"/>
      <c r="AE1110" s="125">
        <f t="shared" si="212"/>
        <v>6666.666667</v>
      </c>
      <c r="AF1110" s="127" t="s">
        <v>13901</v>
      </c>
      <c r="AG1110" s="127">
        <v>53.1897</v>
      </c>
      <c r="AH1110" s="127">
        <v>8.4087</v>
      </c>
      <c r="AI1110" s="115" t="s">
        <v>12383</v>
      </c>
      <c r="AJ1110" s="116">
        <v>0.4</v>
      </c>
      <c r="AK1110" s="117"/>
      <c r="AL1110" s="117"/>
      <c r="AM1110" s="117"/>
      <c r="AN1110" s="117"/>
      <c r="AO1110" s="117"/>
    </row>
    <row r="1111" ht="34.5" customHeight="1">
      <c r="A1111" s="111">
        <v>1653.0</v>
      </c>
      <c r="B1111" s="111" t="s">
        <v>9115</v>
      </c>
      <c r="C1111" s="111" t="s">
        <v>7987</v>
      </c>
      <c r="D1111" s="111"/>
      <c r="E1111" s="111"/>
      <c r="F1111" s="111" t="s">
        <v>12397</v>
      </c>
      <c r="G1111" s="111" t="s">
        <v>12381</v>
      </c>
      <c r="H1111" s="111" t="s">
        <v>12230</v>
      </c>
      <c r="I1111" s="111" t="s">
        <v>12287</v>
      </c>
      <c r="J1111" s="111"/>
      <c r="K1111" s="111" t="s">
        <v>30</v>
      </c>
      <c r="L1111" s="111"/>
      <c r="M1111" s="111"/>
      <c r="N1111" s="111"/>
      <c r="O1111" s="111"/>
      <c r="P1111" s="111"/>
      <c r="Q1111" s="111"/>
      <c r="R1111" s="111"/>
      <c r="S1111" s="111"/>
      <c r="T1111" s="111"/>
      <c r="U1111" s="111"/>
      <c r="V1111" s="111"/>
      <c r="W1111" s="111"/>
      <c r="X1111" s="111"/>
      <c r="Y1111" s="111"/>
      <c r="Z1111" s="111" t="s">
        <v>13902</v>
      </c>
      <c r="AA1111" s="124">
        <v>54.0</v>
      </c>
      <c r="AB1111" s="125">
        <f>IF(Projects!$AI1111="Electrolysis",
AA1111/VLOOKUP(G1111,ElectrolysisConvF,3,FALSE),
AC1111*10^6/(H2dens*HoursInYear))</f>
        <v>12000</v>
      </c>
      <c r="AC1111" s="126">
        <f t="shared" si="218"/>
        <v>9.35568</v>
      </c>
      <c r="AD1111" s="125"/>
      <c r="AE1111" s="125">
        <f t="shared" si="212"/>
        <v>12000</v>
      </c>
      <c r="AF1111" s="127"/>
      <c r="AG1111" s="127">
        <v>51.217941</v>
      </c>
      <c r="AH1111" s="127">
        <v>6.76168</v>
      </c>
      <c r="AI1111" s="115" t="s">
        <v>12383</v>
      </c>
      <c r="AJ1111" s="116">
        <v>0.57</v>
      </c>
      <c r="AK1111" s="117"/>
      <c r="AL1111" s="117"/>
      <c r="AM1111" s="117"/>
      <c r="AN1111" s="117"/>
      <c r="AO1111" s="117"/>
    </row>
    <row r="1112" ht="34.5" customHeight="1">
      <c r="A1112" s="111">
        <v>1654.0</v>
      </c>
      <c r="B1112" s="148" t="s">
        <v>9116</v>
      </c>
      <c r="C1112" s="111" t="s">
        <v>7987</v>
      </c>
      <c r="D1112" s="111">
        <v>2028.0</v>
      </c>
      <c r="E1112" s="111"/>
      <c r="F1112" s="111" t="s">
        <v>12397</v>
      </c>
      <c r="G1112" s="111" t="s">
        <v>12381</v>
      </c>
      <c r="H1112" s="111" t="s">
        <v>12230</v>
      </c>
      <c r="I1112" s="111" t="s">
        <v>12394</v>
      </c>
      <c r="J1112" s="111" t="s">
        <v>12296</v>
      </c>
      <c r="K1112" s="111" t="s">
        <v>12251</v>
      </c>
      <c r="L1112" s="111"/>
      <c r="M1112" s="111"/>
      <c r="N1112" s="111"/>
      <c r="O1112" s="111"/>
      <c r="P1112" s="111"/>
      <c r="Q1112" s="111"/>
      <c r="R1112" s="111"/>
      <c r="S1112" s="111"/>
      <c r="T1112" s="111"/>
      <c r="U1112" s="111"/>
      <c r="V1112" s="111"/>
      <c r="W1112" s="111">
        <v>1.0</v>
      </c>
      <c r="X1112" s="111"/>
      <c r="Y1112" s="111"/>
      <c r="Z1112" s="111" t="s">
        <v>13903</v>
      </c>
      <c r="AA1112" s="126">
        <f>IF(Projects!$AI1112="Electrolysis",
AB1112*VLOOKUP(G1112,ElectrolysisConvF,3,FALSE),
"")</f>
        <v>296.5014411</v>
      </c>
      <c r="AB1112" s="125">
        <f>AC1112/(H2dens*HoursInYear/10^6)</f>
        <v>65889.20914</v>
      </c>
      <c r="AC1112" s="126">
        <f>50*0.045/0.73/0.12/Projects!$AJ1112</f>
        <v>51.36986301</v>
      </c>
      <c r="AD1112" s="125"/>
      <c r="AE1112" s="125">
        <f t="shared" si="212"/>
        <v>65889.20914</v>
      </c>
      <c r="AF1112" s="127" t="s">
        <v>13904</v>
      </c>
      <c r="AG1112" s="127">
        <v>51.2679011002081</v>
      </c>
      <c r="AH1112" s="127">
        <v>12.4011818622458</v>
      </c>
      <c r="AI1112" s="115" t="s">
        <v>12383</v>
      </c>
      <c r="AJ1112" s="116">
        <v>0.5</v>
      </c>
      <c r="AK1112" s="117"/>
      <c r="AL1112" s="117"/>
      <c r="AM1112" s="117"/>
      <c r="AN1112" s="117"/>
      <c r="AO1112" s="117"/>
    </row>
    <row r="1113" ht="34.5" customHeight="1">
      <c r="A1113" s="111">
        <v>1656.0</v>
      </c>
      <c r="B1113" s="111" t="s">
        <v>9117</v>
      </c>
      <c r="C1113" s="111" t="s">
        <v>7987</v>
      </c>
      <c r="D1113" s="111"/>
      <c r="E1113" s="111"/>
      <c r="F1113" s="111" t="s">
        <v>12397</v>
      </c>
      <c r="G1113" s="111" t="s">
        <v>12381</v>
      </c>
      <c r="H1113" s="111" t="s">
        <v>12230</v>
      </c>
      <c r="I1113" s="111" t="s">
        <v>12394</v>
      </c>
      <c r="J1113" s="111" t="s">
        <v>12292</v>
      </c>
      <c r="K1113" s="111" t="s">
        <v>30</v>
      </c>
      <c r="L1113" s="111"/>
      <c r="M1113" s="111"/>
      <c r="N1113" s="111"/>
      <c r="O1113" s="111"/>
      <c r="P1113" s="111"/>
      <c r="Q1113" s="111">
        <v>1.0</v>
      </c>
      <c r="R1113" s="111"/>
      <c r="S1113" s="111"/>
      <c r="T1113" s="111"/>
      <c r="U1113" s="111"/>
      <c r="V1113" s="111"/>
      <c r="W1113" s="111"/>
      <c r="X1113" s="111"/>
      <c r="Y1113" s="111"/>
      <c r="Z1113" s="111" t="s">
        <v>12424</v>
      </c>
      <c r="AA1113" s="124">
        <v>2.0</v>
      </c>
      <c r="AB1113" s="125">
        <f>IF(Projects!$AI1113="Electrolysis",
AA1113/VLOOKUP(G1113,ElectrolysisConvF,3,FALSE),
AC1113*10^6/(H2dens*HoursInYear))</f>
        <v>444.4444444</v>
      </c>
      <c r="AC1113" s="126">
        <f>AB1113*H2dens*HoursInYear/10^6</f>
        <v>0.3465066667</v>
      </c>
      <c r="AD1113" s="125"/>
      <c r="AE1113" s="125">
        <f t="shared" si="212"/>
        <v>444.4444444</v>
      </c>
      <c r="AF1113" s="127" t="s">
        <v>13905</v>
      </c>
      <c r="AG1113" s="127">
        <v>52.784330196</v>
      </c>
      <c r="AH1113" s="127">
        <v>7.300665464</v>
      </c>
      <c r="AI1113" s="115" t="s">
        <v>12383</v>
      </c>
      <c r="AJ1113" s="116">
        <v>0.4</v>
      </c>
      <c r="AK1113" s="117"/>
      <c r="AL1113" s="117"/>
      <c r="AM1113" s="117"/>
      <c r="AN1113" s="117"/>
      <c r="AO1113" s="117"/>
    </row>
    <row r="1114" ht="34.5" customHeight="1">
      <c r="A1114" s="111">
        <v>1657.0</v>
      </c>
      <c r="B1114" s="111" t="s">
        <v>9118</v>
      </c>
      <c r="C1114" s="111" t="s">
        <v>7987</v>
      </c>
      <c r="D1114" s="111">
        <v>2024.0</v>
      </c>
      <c r="E1114" s="111"/>
      <c r="F1114" s="111" t="s">
        <v>12418</v>
      </c>
      <c r="G1114" s="111" t="s">
        <v>12381</v>
      </c>
      <c r="H1114" s="111" t="s">
        <v>12230</v>
      </c>
      <c r="I1114" s="111" t="s">
        <v>12287</v>
      </c>
      <c r="J1114" s="111"/>
      <c r="K1114" s="111" t="s">
        <v>12251</v>
      </c>
      <c r="L1114" s="111"/>
      <c r="M1114" s="111"/>
      <c r="N1114" s="111"/>
      <c r="O1114" s="111"/>
      <c r="P1114" s="111"/>
      <c r="Q1114" s="111"/>
      <c r="R1114" s="111"/>
      <c r="S1114" s="111"/>
      <c r="T1114" s="111"/>
      <c r="U1114" s="111"/>
      <c r="V1114" s="111"/>
      <c r="W1114" s="111">
        <v>1.0</v>
      </c>
      <c r="X1114" s="111"/>
      <c r="Y1114" s="111"/>
      <c r="Z1114" s="111"/>
      <c r="AA1114" s="124"/>
      <c r="AB1114" s="125"/>
      <c r="AC1114" s="125"/>
      <c r="AD1114" s="125"/>
      <c r="AE1114" s="125" t="str">
        <f t="shared" si="212"/>
        <v/>
      </c>
      <c r="AF1114" s="127" t="s">
        <v>13906</v>
      </c>
      <c r="AG1114" s="127">
        <v>54.083336</v>
      </c>
      <c r="AH1114" s="127">
        <v>12.108811</v>
      </c>
      <c r="AI1114" s="115" t="s">
        <v>12383</v>
      </c>
      <c r="AJ1114" s="116">
        <v>0.57</v>
      </c>
      <c r="AK1114" s="117"/>
      <c r="AL1114" s="117"/>
      <c r="AM1114" s="117"/>
      <c r="AN1114" s="117"/>
      <c r="AO1114" s="117"/>
    </row>
    <row r="1115" ht="34.5" customHeight="1">
      <c r="A1115" s="111">
        <v>1658.0</v>
      </c>
      <c r="B1115" s="111" t="s">
        <v>9119</v>
      </c>
      <c r="C1115" s="111" t="s">
        <v>7987</v>
      </c>
      <c r="D1115" s="111"/>
      <c r="E1115" s="111"/>
      <c r="F1115" s="111"/>
      <c r="G1115" s="111" t="s">
        <v>13722</v>
      </c>
      <c r="H1115" s="111" t="s">
        <v>13751</v>
      </c>
      <c r="I1115" s="111"/>
      <c r="J1115" s="111"/>
      <c r="K1115" s="111" t="s">
        <v>30</v>
      </c>
      <c r="L1115" s="111"/>
      <c r="M1115" s="111"/>
      <c r="N1115" s="111"/>
      <c r="O1115" s="111"/>
      <c r="P1115" s="111"/>
      <c r="Q1115" s="111"/>
      <c r="R1115" s="111"/>
      <c r="S1115" s="111"/>
      <c r="T1115" s="111"/>
      <c r="U1115" s="111"/>
      <c r="V1115" s="111"/>
      <c r="W1115" s="111"/>
      <c r="X1115" s="111"/>
      <c r="Y1115" s="111"/>
      <c r="Z1115" s="111" t="s">
        <v>13907</v>
      </c>
      <c r="AA1115" s="124"/>
      <c r="AB1115" s="125">
        <f t="shared" ref="AB1115:AB1116" si="219">AC1115/(H2dens*HoursInYear/10^6)</f>
        <v>1026.114617</v>
      </c>
      <c r="AC1115" s="126">
        <v>0.8</v>
      </c>
      <c r="AD1115" s="125"/>
      <c r="AE1115" s="125">
        <f t="shared" si="212"/>
        <v>1026.114617</v>
      </c>
      <c r="AF1115" s="127" t="s">
        <v>13865</v>
      </c>
      <c r="AG1115" s="127">
        <v>52.2568329676866</v>
      </c>
      <c r="AH1115" s="127">
        <v>10.480848312107</v>
      </c>
      <c r="AI1115" s="115" t="s">
        <v>12241</v>
      </c>
      <c r="AJ1115" s="116">
        <v>0.9</v>
      </c>
      <c r="AK1115" s="117"/>
      <c r="AL1115" s="117"/>
      <c r="AM1115" s="117"/>
      <c r="AN1115" s="117"/>
      <c r="AO1115" s="117"/>
    </row>
    <row r="1116" ht="34.5" customHeight="1">
      <c r="A1116" s="111">
        <v>1659.0</v>
      </c>
      <c r="B1116" s="111" t="s">
        <v>9120</v>
      </c>
      <c r="C1116" s="111" t="s">
        <v>7987</v>
      </c>
      <c r="D1116" s="111">
        <v>2027.0</v>
      </c>
      <c r="E1116" s="111"/>
      <c r="F1116" s="111"/>
      <c r="G1116" s="111" t="s">
        <v>13722</v>
      </c>
      <c r="H1116" s="111" t="s">
        <v>13751</v>
      </c>
      <c r="I1116" s="111"/>
      <c r="J1116" s="111"/>
      <c r="K1116" s="111" t="s">
        <v>30</v>
      </c>
      <c r="L1116" s="111"/>
      <c r="M1116" s="111"/>
      <c r="N1116" s="111"/>
      <c r="O1116" s="111"/>
      <c r="P1116" s="111"/>
      <c r="Q1116" s="111"/>
      <c r="R1116" s="111"/>
      <c r="S1116" s="111"/>
      <c r="T1116" s="111"/>
      <c r="U1116" s="111"/>
      <c r="V1116" s="111"/>
      <c r="W1116" s="111"/>
      <c r="X1116" s="111"/>
      <c r="Y1116" s="111"/>
      <c r="Z1116" s="111" t="s">
        <v>13908</v>
      </c>
      <c r="AA1116" s="124"/>
      <c r="AB1116" s="125">
        <f t="shared" si="219"/>
        <v>12826.43271</v>
      </c>
      <c r="AC1116" s="125">
        <v>10.0</v>
      </c>
      <c r="AD1116" s="125"/>
      <c r="AE1116" s="125">
        <f t="shared" si="212"/>
        <v>12826.43271</v>
      </c>
      <c r="AF1116" s="127" t="s">
        <v>13865</v>
      </c>
      <c r="AG1116" s="127">
        <v>52.2568329676866</v>
      </c>
      <c r="AH1116" s="127">
        <v>10.480848312107</v>
      </c>
      <c r="AI1116" s="115" t="s">
        <v>12241</v>
      </c>
      <c r="AJ1116" s="116">
        <v>0.9</v>
      </c>
      <c r="AK1116" s="117"/>
      <c r="AL1116" s="117"/>
      <c r="AM1116" s="117"/>
      <c r="AN1116" s="117"/>
      <c r="AO1116" s="117"/>
    </row>
    <row r="1117" ht="34.5" customHeight="1">
      <c r="A1117" s="111">
        <v>1660.0</v>
      </c>
      <c r="B1117" s="111" t="s">
        <v>9121</v>
      </c>
      <c r="C1117" s="111" t="s">
        <v>7974</v>
      </c>
      <c r="D1117" s="111">
        <v>2024.0</v>
      </c>
      <c r="E1117" s="111"/>
      <c r="F1117" s="111" t="s">
        <v>12418</v>
      </c>
      <c r="G1117" s="111" t="s">
        <v>12381</v>
      </c>
      <c r="H1117" s="111" t="s">
        <v>12230</v>
      </c>
      <c r="I1117" s="111" t="s">
        <v>12394</v>
      </c>
      <c r="J1117" s="111" t="s">
        <v>12293</v>
      </c>
      <c r="K1117" s="111" t="s">
        <v>30</v>
      </c>
      <c r="L1117" s="111"/>
      <c r="M1117" s="111"/>
      <c r="N1117" s="111"/>
      <c r="O1117" s="111"/>
      <c r="P1117" s="111"/>
      <c r="Q1117" s="111">
        <v>1.0</v>
      </c>
      <c r="R1117" s="111"/>
      <c r="S1117" s="111"/>
      <c r="T1117" s="111"/>
      <c r="U1117" s="111"/>
      <c r="V1117" s="111"/>
      <c r="W1117" s="111"/>
      <c r="X1117" s="111"/>
      <c r="Y1117" s="111"/>
      <c r="Z1117" s="111"/>
      <c r="AA1117" s="124"/>
      <c r="AB1117" s="125"/>
      <c r="AC1117" s="125"/>
      <c r="AD1117" s="125"/>
      <c r="AE1117" s="125" t="str">
        <f t="shared" si="212"/>
        <v/>
      </c>
      <c r="AF1117" s="127" t="s">
        <v>13909</v>
      </c>
      <c r="AG1117" s="127">
        <v>65.0999996</v>
      </c>
      <c r="AH1117" s="127">
        <v>17.0999996</v>
      </c>
      <c r="AI1117" s="115" t="s">
        <v>12383</v>
      </c>
      <c r="AJ1117" s="116">
        <v>0.55</v>
      </c>
      <c r="AK1117" s="117"/>
      <c r="AL1117" s="117"/>
      <c r="AM1117" s="117"/>
      <c r="AN1117" s="117"/>
      <c r="AO1117" s="117"/>
    </row>
    <row r="1118" ht="34.5" customHeight="1">
      <c r="A1118" s="111">
        <v>1661.0</v>
      </c>
      <c r="B1118" s="111" t="s">
        <v>9122</v>
      </c>
      <c r="C1118" s="111" t="s">
        <v>7974</v>
      </c>
      <c r="D1118" s="111">
        <v>2025.0</v>
      </c>
      <c r="E1118" s="111"/>
      <c r="F1118" s="111" t="s">
        <v>12393</v>
      </c>
      <c r="G1118" s="111" t="s">
        <v>12381</v>
      </c>
      <c r="H1118" s="111" t="s">
        <v>12230</v>
      </c>
      <c r="I1118" s="111" t="s">
        <v>12394</v>
      </c>
      <c r="J1118" s="111" t="s">
        <v>12296</v>
      </c>
      <c r="K1118" s="111" t="s">
        <v>30</v>
      </c>
      <c r="L1118" s="111"/>
      <c r="M1118" s="111"/>
      <c r="N1118" s="111"/>
      <c r="O1118" s="111"/>
      <c r="P1118" s="111"/>
      <c r="Q1118" s="111">
        <v>1.0</v>
      </c>
      <c r="R1118" s="111"/>
      <c r="S1118" s="111"/>
      <c r="T1118" s="111"/>
      <c r="U1118" s="111"/>
      <c r="V1118" s="111"/>
      <c r="W1118" s="111"/>
      <c r="X1118" s="111"/>
      <c r="Y1118" s="111"/>
      <c r="Z1118" s="111" t="s">
        <v>12424</v>
      </c>
      <c r="AA1118" s="124">
        <v>2.0</v>
      </c>
      <c r="AB1118" s="125">
        <f>IF(Projects!$AI1118="Electrolysis",
AA1118/VLOOKUP(G1118,ElectrolysisConvF,3,FALSE),
AC1118*10^6/(H2dens*HoursInYear))</f>
        <v>444.4444444</v>
      </c>
      <c r="AC1118" s="126">
        <f t="shared" ref="AC1118:AC1121" si="220">AB1118*H2dens*HoursInYear/10^6</f>
        <v>0.3465066667</v>
      </c>
      <c r="AD1118" s="125"/>
      <c r="AE1118" s="125">
        <f t="shared" si="212"/>
        <v>444.4444444</v>
      </c>
      <c r="AF1118" s="127" t="s">
        <v>13910</v>
      </c>
      <c r="AG1118" s="127">
        <v>56.8328966</v>
      </c>
      <c r="AH1118" s="127">
        <v>13.9373471</v>
      </c>
      <c r="AI1118" s="115" t="s">
        <v>12383</v>
      </c>
      <c r="AJ1118" s="116">
        <v>0.5</v>
      </c>
      <c r="AK1118" s="117"/>
      <c r="AL1118" s="117"/>
      <c r="AM1118" s="117"/>
      <c r="AN1118" s="117"/>
      <c r="AO1118" s="117"/>
    </row>
    <row r="1119" ht="34.5" customHeight="1">
      <c r="A1119" s="111">
        <v>1662.0</v>
      </c>
      <c r="B1119" s="111" t="s">
        <v>9123</v>
      </c>
      <c r="C1119" s="111" t="s">
        <v>7974</v>
      </c>
      <c r="D1119" s="111">
        <v>2027.0</v>
      </c>
      <c r="E1119" s="111"/>
      <c r="F1119" s="111" t="s">
        <v>12397</v>
      </c>
      <c r="G1119" s="111" t="s">
        <v>12381</v>
      </c>
      <c r="H1119" s="111" t="s">
        <v>12230</v>
      </c>
      <c r="I1119" s="111" t="s">
        <v>12394</v>
      </c>
      <c r="J1119" s="111" t="s">
        <v>12296</v>
      </c>
      <c r="K1119" s="111" t="s">
        <v>30</v>
      </c>
      <c r="L1119" s="111"/>
      <c r="M1119" s="111"/>
      <c r="N1119" s="111"/>
      <c r="O1119" s="111"/>
      <c r="P1119" s="111"/>
      <c r="Q1119" s="111"/>
      <c r="R1119" s="111"/>
      <c r="S1119" s="111"/>
      <c r="T1119" s="111"/>
      <c r="U1119" s="111"/>
      <c r="V1119" s="111"/>
      <c r="W1119" s="111"/>
      <c r="X1119" s="111"/>
      <c r="Y1119" s="111"/>
      <c r="Z1119" s="111" t="s">
        <v>12709</v>
      </c>
      <c r="AA1119" s="124">
        <v>100.0</v>
      </c>
      <c r="AB1119" s="125">
        <f>IF(Projects!$AI1119="Electrolysis",
AA1119/VLOOKUP(G1119,ElectrolysisConvF,3,FALSE),
AC1119*10^6/(H2dens*HoursInYear))</f>
        <v>22222.22222</v>
      </c>
      <c r="AC1119" s="126">
        <f t="shared" si="220"/>
        <v>17.32533333</v>
      </c>
      <c r="AD1119" s="125"/>
      <c r="AE1119" s="125">
        <f t="shared" si="212"/>
        <v>22222.22222</v>
      </c>
      <c r="AF1119" s="127"/>
      <c r="AG1119" s="127">
        <v>62.1983366</v>
      </c>
      <c r="AH1119" s="127">
        <v>17.5671981</v>
      </c>
      <c r="AI1119" s="115" t="s">
        <v>12383</v>
      </c>
      <c r="AJ1119" s="116">
        <v>0.5</v>
      </c>
      <c r="AK1119" s="117"/>
      <c r="AL1119" s="117"/>
      <c r="AM1119" s="117"/>
      <c r="AN1119" s="117"/>
      <c r="AO1119" s="117"/>
    </row>
    <row r="1120" ht="34.5" customHeight="1">
      <c r="A1120" s="111">
        <v>1663.0</v>
      </c>
      <c r="B1120" s="111" t="s">
        <v>9124</v>
      </c>
      <c r="C1120" s="111" t="s">
        <v>7974</v>
      </c>
      <c r="D1120" s="111">
        <v>2027.0</v>
      </c>
      <c r="E1120" s="111"/>
      <c r="F1120" s="111" t="s">
        <v>12397</v>
      </c>
      <c r="G1120" s="111" t="s">
        <v>12381</v>
      </c>
      <c r="H1120" s="111" t="s">
        <v>12230</v>
      </c>
      <c r="I1120" s="111" t="s">
        <v>12394</v>
      </c>
      <c r="J1120" s="111" t="s">
        <v>12292</v>
      </c>
      <c r="K1120" s="111" t="s">
        <v>12415</v>
      </c>
      <c r="L1120" s="111"/>
      <c r="M1120" s="111"/>
      <c r="N1120" s="111"/>
      <c r="O1120" s="111"/>
      <c r="P1120" s="111">
        <v>1.0</v>
      </c>
      <c r="Q1120" s="111">
        <v>1.0</v>
      </c>
      <c r="R1120" s="111"/>
      <c r="S1120" s="111"/>
      <c r="T1120" s="111"/>
      <c r="U1120" s="111"/>
      <c r="V1120" s="111"/>
      <c r="W1120" s="111">
        <v>1.0</v>
      </c>
      <c r="X1120" s="111"/>
      <c r="Y1120" s="111"/>
      <c r="Z1120" s="111" t="s">
        <v>12709</v>
      </c>
      <c r="AA1120" s="124">
        <v>100.0</v>
      </c>
      <c r="AB1120" s="125">
        <f>IF(Projects!$AI1120="Electrolysis",
AA1120/VLOOKUP(G1120,ElectrolysisConvF,3,FALSE),
AC1120*10^6/(H2dens*HoursInYear))</f>
        <v>22222.22222</v>
      </c>
      <c r="AC1120" s="126">
        <f t="shared" si="220"/>
        <v>17.32533333</v>
      </c>
      <c r="AD1120" s="125"/>
      <c r="AE1120" s="125">
        <f t="shared" si="212"/>
        <v>22222.22222</v>
      </c>
      <c r="AF1120" s="127" t="s">
        <v>13911</v>
      </c>
      <c r="AG1120" s="127">
        <v>65.584816</v>
      </c>
      <c r="AH1120" s="127">
        <v>22.156704</v>
      </c>
      <c r="AI1120" s="115" t="s">
        <v>12383</v>
      </c>
      <c r="AJ1120" s="116">
        <v>0.4</v>
      </c>
      <c r="AK1120" s="117"/>
      <c r="AL1120" s="117"/>
      <c r="AM1120" s="117"/>
      <c r="AN1120" s="117"/>
      <c r="AO1120" s="117"/>
    </row>
    <row r="1121" ht="34.5" customHeight="1">
      <c r="A1121" s="111">
        <v>1664.0</v>
      </c>
      <c r="B1121" s="111" t="s">
        <v>9125</v>
      </c>
      <c r="C1121" s="111" t="s">
        <v>7974</v>
      </c>
      <c r="D1121" s="111">
        <v>2025.0</v>
      </c>
      <c r="E1121" s="111"/>
      <c r="F1121" s="111" t="s">
        <v>12397</v>
      </c>
      <c r="G1121" s="111" t="s">
        <v>12381</v>
      </c>
      <c r="H1121" s="111" t="s">
        <v>12230</v>
      </c>
      <c r="I1121" s="111" t="s">
        <v>12394</v>
      </c>
      <c r="J1121" s="111" t="s">
        <v>12295</v>
      </c>
      <c r="K1121" s="111" t="s">
        <v>30</v>
      </c>
      <c r="L1121" s="111"/>
      <c r="M1121" s="111"/>
      <c r="N1121" s="111"/>
      <c r="O1121" s="111"/>
      <c r="P1121" s="111">
        <v>1.0</v>
      </c>
      <c r="Q1121" s="111">
        <v>1.0</v>
      </c>
      <c r="R1121" s="111"/>
      <c r="S1121" s="111"/>
      <c r="T1121" s="111"/>
      <c r="U1121" s="111">
        <v>1.0</v>
      </c>
      <c r="V1121" s="111"/>
      <c r="W1121" s="111"/>
      <c r="X1121" s="111"/>
      <c r="Y1121" s="111"/>
      <c r="Z1121" s="111" t="s">
        <v>13912</v>
      </c>
      <c r="AA1121" s="124">
        <v>50.0</v>
      </c>
      <c r="AB1121" s="125">
        <f>IF(Projects!$AI1121="Electrolysis",
AA1121/VLOOKUP(G1121,ElectrolysisConvF,3,FALSE),
AC1121*10^6/(H2dens*HoursInYear))</f>
        <v>11111.11111</v>
      </c>
      <c r="AC1121" s="126">
        <f t="shared" si="220"/>
        <v>8.662666667</v>
      </c>
      <c r="AD1121" s="125"/>
      <c r="AE1121" s="125">
        <f t="shared" si="212"/>
        <v>11111.11111</v>
      </c>
      <c r="AF1121" s="127" t="s">
        <v>13913</v>
      </c>
      <c r="AG1121" s="127">
        <v>58.217025</v>
      </c>
      <c r="AH1121" s="127">
        <v>11.733398</v>
      </c>
      <c r="AI1121" s="115" t="s">
        <v>12383</v>
      </c>
      <c r="AJ1121" s="116">
        <v>0.5</v>
      </c>
      <c r="AK1121" s="117"/>
      <c r="AL1121" s="117"/>
      <c r="AM1121" s="117"/>
      <c r="AN1121" s="117"/>
      <c r="AO1121" s="117"/>
    </row>
    <row r="1122" ht="34.5" customHeight="1">
      <c r="A1122" s="111">
        <v>1665.0</v>
      </c>
      <c r="B1122" s="111" t="s">
        <v>9126</v>
      </c>
      <c r="C1122" s="111" t="s">
        <v>7974</v>
      </c>
      <c r="D1122" s="111">
        <v>2025.0</v>
      </c>
      <c r="E1122" s="111"/>
      <c r="F1122" s="111"/>
      <c r="G1122" s="111" t="s">
        <v>13722</v>
      </c>
      <c r="H1122" s="111" t="s">
        <v>13751</v>
      </c>
      <c r="I1122" s="111"/>
      <c r="J1122" s="111"/>
      <c r="K1122" s="111" t="s">
        <v>30</v>
      </c>
      <c r="L1122" s="111"/>
      <c r="M1122" s="111"/>
      <c r="N1122" s="111"/>
      <c r="O1122" s="111"/>
      <c r="P1122" s="111"/>
      <c r="Q1122" s="111"/>
      <c r="R1122" s="111"/>
      <c r="S1122" s="111"/>
      <c r="T1122" s="111"/>
      <c r="U1122" s="111"/>
      <c r="V1122" s="111"/>
      <c r="W1122" s="111"/>
      <c r="X1122" s="111"/>
      <c r="Y1122" s="111"/>
      <c r="Z1122" s="111" t="s">
        <v>13914</v>
      </c>
      <c r="AA1122" s="124"/>
      <c r="AB1122" s="125">
        <f t="shared" ref="AB1122:AB1123" si="221">AC1122/(H2dens*HoursInYear/10^6)</f>
        <v>5771.894721</v>
      </c>
      <c r="AC1122" s="126">
        <v>4.5</v>
      </c>
      <c r="AD1122" s="125"/>
      <c r="AE1122" s="125">
        <f t="shared" si="212"/>
        <v>5771.894721</v>
      </c>
      <c r="AF1122" s="127" t="s">
        <v>13865</v>
      </c>
      <c r="AG1122" s="127">
        <v>59.3232643583416</v>
      </c>
      <c r="AH1122" s="127">
        <v>18.0486519833303</v>
      </c>
      <c r="AI1122" s="115" t="s">
        <v>12241</v>
      </c>
      <c r="AJ1122" s="116">
        <v>0.9</v>
      </c>
      <c r="AK1122" s="117"/>
      <c r="AL1122" s="117"/>
      <c r="AM1122" s="117"/>
      <c r="AN1122" s="117"/>
      <c r="AO1122" s="117"/>
    </row>
    <row r="1123" ht="34.5" customHeight="1">
      <c r="A1123" s="111">
        <v>1666.0</v>
      </c>
      <c r="B1123" s="111" t="s">
        <v>9127</v>
      </c>
      <c r="C1123" s="111" t="s">
        <v>8026</v>
      </c>
      <c r="D1123" s="111">
        <v>2024.0</v>
      </c>
      <c r="E1123" s="111"/>
      <c r="F1123" s="111" t="s">
        <v>12418</v>
      </c>
      <c r="G1123" s="111" t="s">
        <v>12381</v>
      </c>
      <c r="H1123" s="111" t="s">
        <v>12230</v>
      </c>
      <c r="I1123" s="111" t="s">
        <v>12394</v>
      </c>
      <c r="J1123" s="111" t="s">
        <v>12292</v>
      </c>
      <c r="K1123" s="111" t="s">
        <v>30</v>
      </c>
      <c r="L1123" s="111"/>
      <c r="M1123" s="111"/>
      <c r="N1123" s="111"/>
      <c r="O1123" s="111"/>
      <c r="P1123" s="111">
        <v>1.0</v>
      </c>
      <c r="Q1123" s="111">
        <v>1.0</v>
      </c>
      <c r="R1123" s="111">
        <v>1.0</v>
      </c>
      <c r="S1123" s="111"/>
      <c r="T1123" s="111"/>
      <c r="U1123" s="111">
        <v>1.0</v>
      </c>
      <c r="V1123" s="111"/>
      <c r="W1123" s="111"/>
      <c r="X1123" s="111"/>
      <c r="Y1123" s="111"/>
      <c r="Z1123" s="111" t="s">
        <v>13915</v>
      </c>
      <c r="AA1123" s="126">
        <f>IF(Projects!$AI1123="Electrolysis",
AB1123*VLOOKUP(G1123,ElectrolysisConvF,3,FALSE),
"")</f>
        <v>1.298676312</v>
      </c>
      <c r="AB1123" s="125">
        <f t="shared" si="221"/>
        <v>288.594736</v>
      </c>
      <c r="AC1123" s="129">
        <v>0.225</v>
      </c>
      <c r="AD1123" s="125"/>
      <c r="AE1123" s="125">
        <f t="shared" si="212"/>
        <v>288.594736</v>
      </c>
      <c r="AF1123" s="127" t="s">
        <v>13916</v>
      </c>
      <c r="AG1123" s="127">
        <v>60.1995487</v>
      </c>
      <c r="AH1123" s="127">
        <v>20.3711715</v>
      </c>
      <c r="AI1123" s="115" t="s">
        <v>12383</v>
      </c>
      <c r="AJ1123" s="116">
        <v>0.4</v>
      </c>
      <c r="AK1123" s="117"/>
      <c r="AL1123" s="117"/>
      <c r="AM1123" s="117"/>
      <c r="AN1123" s="117"/>
      <c r="AO1123" s="117"/>
    </row>
    <row r="1124" ht="34.5" customHeight="1">
      <c r="A1124" s="111">
        <v>1667.0</v>
      </c>
      <c r="B1124" s="111" t="s">
        <v>9128</v>
      </c>
      <c r="C1124" s="111" t="s">
        <v>8026</v>
      </c>
      <c r="D1124" s="111">
        <v>2026.0</v>
      </c>
      <c r="E1124" s="111"/>
      <c r="F1124" s="111" t="s">
        <v>12399</v>
      </c>
      <c r="G1124" s="111" t="s">
        <v>12381</v>
      </c>
      <c r="H1124" s="111" t="s">
        <v>12230</v>
      </c>
      <c r="I1124" s="111" t="s">
        <v>12287</v>
      </c>
      <c r="J1124" s="111"/>
      <c r="K1124" s="111" t="s">
        <v>30</v>
      </c>
      <c r="L1124" s="111">
        <v>1.0</v>
      </c>
      <c r="M1124" s="111"/>
      <c r="N1124" s="111"/>
      <c r="O1124" s="111"/>
      <c r="P1124" s="111"/>
      <c r="Q1124" s="111"/>
      <c r="R1124" s="111"/>
      <c r="S1124" s="111"/>
      <c r="T1124" s="111"/>
      <c r="U1124" s="111"/>
      <c r="V1124" s="111"/>
      <c r="W1124" s="111"/>
      <c r="X1124" s="111"/>
      <c r="Y1124" s="111"/>
      <c r="Z1124" s="111" t="s">
        <v>13912</v>
      </c>
      <c r="AA1124" s="124">
        <v>50.0</v>
      </c>
      <c r="AB1124" s="125">
        <f>IF(Projects!$AI1124="Electrolysis",
AA1124/VLOOKUP(G1124,ElectrolysisConvF,3,FALSE),
AC1124*10^6/(H2dens*HoursInYear))</f>
        <v>11111.11111</v>
      </c>
      <c r="AC1124" s="126">
        <f t="shared" ref="AC1124:AC1129" si="222">AB1124*H2dens*HoursInYear/10^6</f>
        <v>8.662666667</v>
      </c>
      <c r="AD1124" s="125"/>
      <c r="AE1124" s="125">
        <f t="shared" si="212"/>
        <v>11111.11111</v>
      </c>
      <c r="AF1124" s="127" t="s">
        <v>13917</v>
      </c>
      <c r="AG1124" s="127">
        <v>60.3923</v>
      </c>
      <c r="AH1124" s="127">
        <v>25.6651</v>
      </c>
      <c r="AI1124" s="115" t="s">
        <v>12383</v>
      </c>
      <c r="AJ1124" s="116">
        <v>0.57</v>
      </c>
      <c r="AK1124" s="117"/>
      <c r="AL1124" s="117"/>
      <c r="AM1124" s="117"/>
      <c r="AN1124" s="117"/>
      <c r="AO1124" s="117"/>
    </row>
    <row r="1125" ht="34.5" customHeight="1">
      <c r="A1125" s="111">
        <v>1668.0</v>
      </c>
      <c r="B1125" s="111" t="s">
        <v>9129</v>
      </c>
      <c r="C1125" s="111" t="s">
        <v>8026</v>
      </c>
      <c r="D1125" s="111">
        <v>2026.0</v>
      </c>
      <c r="E1125" s="111"/>
      <c r="F1125" s="111" t="s">
        <v>12399</v>
      </c>
      <c r="G1125" s="111" t="s">
        <v>12224</v>
      </c>
      <c r="H1125" s="111"/>
      <c r="I1125" s="111" t="s">
        <v>12287</v>
      </c>
      <c r="J1125" s="111"/>
      <c r="K1125" s="111" t="s">
        <v>30</v>
      </c>
      <c r="L1125" s="111">
        <v>1.0</v>
      </c>
      <c r="M1125" s="111"/>
      <c r="N1125" s="111"/>
      <c r="O1125" s="111"/>
      <c r="P1125" s="111"/>
      <c r="Q1125" s="111"/>
      <c r="R1125" s="111"/>
      <c r="S1125" s="111"/>
      <c r="T1125" s="111"/>
      <c r="U1125" s="111"/>
      <c r="V1125" s="111"/>
      <c r="W1125" s="111"/>
      <c r="X1125" s="111"/>
      <c r="Y1125" s="111"/>
      <c r="Z1125" s="111" t="s">
        <v>13776</v>
      </c>
      <c r="AA1125" s="124">
        <v>70.0</v>
      </c>
      <c r="AB1125" s="125">
        <f>IF(Projects!$AI1125="Electrolysis",
AA1125/VLOOKUP(G1125,ElectrolysisConvF,3,FALSE),
AC1125*10^6/(H2dens*HoursInYear))</f>
        <v>15217.3913</v>
      </c>
      <c r="AC1125" s="126">
        <f t="shared" si="222"/>
        <v>11.86408696</v>
      </c>
      <c r="AD1125" s="125"/>
      <c r="AE1125" s="125">
        <f t="shared" si="212"/>
        <v>15217.3913</v>
      </c>
      <c r="AF1125" s="127" t="s">
        <v>13918</v>
      </c>
      <c r="AG1125" s="127">
        <v>60.3923</v>
      </c>
      <c r="AH1125" s="127">
        <v>25.6651</v>
      </c>
      <c r="AI1125" s="115" t="s">
        <v>12383</v>
      </c>
      <c r="AJ1125" s="116">
        <v>0.57</v>
      </c>
      <c r="AK1125" s="117"/>
      <c r="AL1125" s="117"/>
      <c r="AM1125" s="117"/>
      <c r="AN1125" s="117"/>
      <c r="AO1125" s="117"/>
    </row>
    <row r="1126" ht="34.5" customHeight="1">
      <c r="A1126" s="111">
        <v>1669.0</v>
      </c>
      <c r="B1126" s="111" t="s">
        <v>9130</v>
      </c>
      <c r="C1126" s="111" t="s">
        <v>8026</v>
      </c>
      <c r="D1126" s="111">
        <v>2029.0</v>
      </c>
      <c r="E1126" s="111"/>
      <c r="F1126" s="111" t="s">
        <v>12399</v>
      </c>
      <c r="G1126" s="111" t="s">
        <v>12381</v>
      </c>
      <c r="H1126" s="111" t="s">
        <v>12230</v>
      </c>
      <c r="I1126" s="111" t="s">
        <v>12287</v>
      </c>
      <c r="J1126" s="111"/>
      <c r="K1126" s="111" t="s">
        <v>30</v>
      </c>
      <c r="L1126" s="111">
        <v>1.0</v>
      </c>
      <c r="M1126" s="111"/>
      <c r="N1126" s="111"/>
      <c r="O1126" s="111"/>
      <c r="P1126" s="111"/>
      <c r="Q1126" s="111"/>
      <c r="R1126" s="111"/>
      <c r="S1126" s="111"/>
      <c r="T1126" s="111"/>
      <c r="U1126" s="111"/>
      <c r="V1126" s="111"/>
      <c r="W1126" s="111"/>
      <c r="X1126" s="111"/>
      <c r="Y1126" s="111"/>
      <c r="Z1126" s="111" t="s">
        <v>13919</v>
      </c>
      <c r="AA1126" s="124">
        <v>150.0</v>
      </c>
      <c r="AB1126" s="125">
        <f>IF(Projects!$AI1126="Electrolysis",
AA1126/VLOOKUP(G1126,ElectrolysisConvF,3,FALSE),
AC1126*10^6/(H2dens*HoursInYear))</f>
        <v>33333.33333</v>
      </c>
      <c r="AC1126" s="126">
        <f t="shared" si="222"/>
        <v>25.988</v>
      </c>
      <c r="AD1126" s="125"/>
      <c r="AE1126" s="125">
        <f t="shared" si="212"/>
        <v>33333.33333</v>
      </c>
      <c r="AF1126" s="127" t="s">
        <v>13917</v>
      </c>
      <c r="AG1126" s="127">
        <v>60.3923</v>
      </c>
      <c r="AH1126" s="127">
        <v>25.6651</v>
      </c>
      <c r="AI1126" s="115" t="s">
        <v>12383</v>
      </c>
      <c r="AJ1126" s="116">
        <v>0.57</v>
      </c>
      <c r="AK1126" s="117"/>
      <c r="AL1126" s="117"/>
      <c r="AM1126" s="117"/>
      <c r="AN1126" s="117"/>
      <c r="AO1126" s="117"/>
    </row>
    <row r="1127" ht="34.5" customHeight="1">
      <c r="A1127" s="111">
        <v>1670.0</v>
      </c>
      <c r="B1127" s="111" t="s">
        <v>9131</v>
      </c>
      <c r="C1127" s="111" t="s">
        <v>7977</v>
      </c>
      <c r="D1127" s="111">
        <v>2026.0</v>
      </c>
      <c r="E1127" s="111"/>
      <c r="F1127" s="111" t="s">
        <v>12397</v>
      </c>
      <c r="G1127" s="111" t="s">
        <v>12381</v>
      </c>
      <c r="H1127" s="111" t="s">
        <v>12230</v>
      </c>
      <c r="I1127" s="111" t="s">
        <v>12287</v>
      </c>
      <c r="J1127" s="111"/>
      <c r="K1127" s="111" t="s">
        <v>30</v>
      </c>
      <c r="L1127" s="111"/>
      <c r="M1127" s="111"/>
      <c r="N1127" s="111"/>
      <c r="O1127" s="111"/>
      <c r="P1127" s="111"/>
      <c r="Q1127" s="111">
        <v>1.0</v>
      </c>
      <c r="R1127" s="111"/>
      <c r="S1127" s="111">
        <v>1.0</v>
      </c>
      <c r="T1127" s="111"/>
      <c r="U1127" s="111"/>
      <c r="V1127" s="111"/>
      <c r="W1127" s="111"/>
      <c r="X1127" s="111"/>
      <c r="Y1127" s="111"/>
      <c r="Z1127" s="111" t="s">
        <v>13346</v>
      </c>
      <c r="AA1127" s="124">
        <f>25-AA1076-AA1074</f>
        <v>15</v>
      </c>
      <c r="AB1127" s="125">
        <f>IF(Projects!$AI1127="Electrolysis",
AA1127/VLOOKUP(G1127,ElectrolysisConvF,3,FALSE),
AC1127*10^6/(H2dens*HoursInYear))</f>
        <v>3333.333333</v>
      </c>
      <c r="AC1127" s="126">
        <f t="shared" si="222"/>
        <v>2.5988</v>
      </c>
      <c r="AD1127" s="125"/>
      <c r="AE1127" s="125">
        <f t="shared" si="212"/>
        <v>3333.333333</v>
      </c>
      <c r="AF1127" s="127" t="s">
        <v>13858</v>
      </c>
      <c r="AG1127" s="127">
        <v>43.135942</v>
      </c>
      <c r="AH1127" s="127">
        <v>-5.800384</v>
      </c>
      <c r="AI1127" s="115" t="s">
        <v>12383</v>
      </c>
      <c r="AJ1127" s="116">
        <v>0.57</v>
      </c>
      <c r="AK1127" s="117"/>
      <c r="AL1127" s="117"/>
      <c r="AM1127" s="117"/>
      <c r="AN1127" s="117"/>
      <c r="AO1127" s="117"/>
    </row>
    <row r="1128" ht="34.5" customHeight="1">
      <c r="A1128" s="111">
        <v>1671.0</v>
      </c>
      <c r="B1128" s="111" t="s">
        <v>9132</v>
      </c>
      <c r="C1128" s="111" t="s">
        <v>7999</v>
      </c>
      <c r="D1128" s="111">
        <v>2022.0</v>
      </c>
      <c r="E1128" s="111"/>
      <c r="F1128" s="111" t="s">
        <v>12385</v>
      </c>
      <c r="G1128" s="111" t="s">
        <v>12226</v>
      </c>
      <c r="H1128" s="111"/>
      <c r="I1128" s="111" t="s">
        <v>12394</v>
      </c>
      <c r="J1128" s="111" t="s">
        <v>12291</v>
      </c>
      <c r="K1128" s="111" t="s">
        <v>30</v>
      </c>
      <c r="L1128" s="111"/>
      <c r="M1128" s="111"/>
      <c r="N1128" s="111"/>
      <c r="O1128" s="111"/>
      <c r="P1128" s="111">
        <v>1.0</v>
      </c>
      <c r="Q1128" s="111">
        <v>1.0</v>
      </c>
      <c r="R1128" s="111"/>
      <c r="S1128" s="111"/>
      <c r="T1128" s="111"/>
      <c r="U1128" s="111"/>
      <c r="V1128" s="111"/>
      <c r="W1128" s="111"/>
      <c r="X1128" s="111"/>
      <c r="Y1128" s="111"/>
      <c r="Z1128" s="111" t="s">
        <v>13920</v>
      </c>
      <c r="AA1128" s="124">
        <v>0.7</v>
      </c>
      <c r="AB1128" s="125">
        <f>IF(Projects!$AI1128="Electrolysis",
AA1128/VLOOKUP(G1128,ElectrolysisConvF,3,FALSE),
AC1128*10^6/(H2dens*HoursInYear))</f>
        <v>134.6153846</v>
      </c>
      <c r="AC1128" s="126">
        <f t="shared" si="222"/>
        <v>0.1049515385</v>
      </c>
      <c r="AD1128" s="125"/>
      <c r="AE1128" s="125">
        <f t="shared" si="212"/>
        <v>134.6153846</v>
      </c>
      <c r="AF1128" s="127" t="s">
        <v>13921</v>
      </c>
      <c r="AG1128" s="127">
        <v>48.262398157192</v>
      </c>
      <c r="AH1128" s="127">
        <v>15.6886018760215</v>
      </c>
      <c r="AI1128" s="115" t="s">
        <v>12383</v>
      </c>
      <c r="AJ1128" s="116">
        <v>0.3</v>
      </c>
      <c r="AK1128" s="117"/>
      <c r="AL1128" s="117"/>
      <c r="AM1128" s="117"/>
      <c r="AN1128" s="117"/>
      <c r="AO1128" s="117"/>
    </row>
    <row r="1129" ht="34.5" customHeight="1">
      <c r="A1129" s="111">
        <v>1672.0</v>
      </c>
      <c r="B1129" s="111" t="s">
        <v>9115</v>
      </c>
      <c r="C1129" s="111" t="s">
        <v>8023</v>
      </c>
      <c r="D1129" s="111"/>
      <c r="E1129" s="111"/>
      <c r="F1129" s="111" t="s">
        <v>12397</v>
      </c>
      <c r="G1129" s="111" t="s">
        <v>12381</v>
      </c>
      <c r="H1129" s="111" t="s">
        <v>12230</v>
      </c>
      <c r="I1129" s="111" t="s">
        <v>12287</v>
      </c>
      <c r="J1129" s="111"/>
      <c r="K1129" s="111" t="s">
        <v>30</v>
      </c>
      <c r="L1129" s="111"/>
      <c r="M1129" s="111"/>
      <c r="N1129" s="111"/>
      <c r="O1129" s="111"/>
      <c r="P1129" s="111"/>
      <c r="Q1129" s="111"/>
      <c r="R1129" s="111"/>
      <c r="S1129" s="111"/>
      <c r="T1129" s="111"/>
      <c r="U1129" s="111"/>
      <c r="V1129" s="111"/>
      <c r="W1129" s="111"/>
      <c r="X1129" s="111"/>
      <c r="Y1129" s="111"/>
      <c r="Z1129" s="111" t="s">
        <v>13922</v>
      </c>
      <c r="AA1129" s="124">
        <v>32.0</v>
      </c>
      <c r="AB1129" s="125">
        <f>IF(Projects!$AI1129="Electrolysis",
AA1129/VLOOKUP(G1129,ElectrolysisConvF,3,FALSE),
AC1129*10^6/(H2dens*HoursInYear))</f>
        <v>7111.111111</v>
      </c>
      <c r="AC1129" s="126">
        <f t="shared" si="222"/>
        <v>5.544106667</v>
      </c>
      <c r="AD1129" s="125"/>
      <c r="AE1129" s="125">
        <f t="shared" si="212"/>
        <v>7111.111111</v>
      </c>
      <c r="AF1129" s="127"/>
      <c r="AG1129" s="127">
        <v>50.5687422</v>
      </c>
      <c r="AH1129" s="127">
        <v>19.2343995</v>
      </c>
      <c r="AI1129" s="115" t="s">
        <v>12383</v>
      </c>
      <c r="AJ1129" s="116">
        <v>0.57</v>
      </c>
      <c r="AK1129" s="117"/>
      <c r="AL1129" s="117"/>
      <c r="AM1129" s="117"/>
      <c r="AN1129" s="117"/>
      <c r="AO1129" s="117"/>
    </row>
    <row r="1130" ht="34.5" customHeight="1">
      <c r="A1130" s="111">
        <v>1673.0</v>
      </c>
      <c r="B1130" s="111" t="s">
        <v>9133</v>
      </c>
      <c r="C1130" s="111" t="s">
        <v>8023</v>
      </c>
      <c r="D1130" s="111">
        <v>2026.0</v>
      </c>
      <c r="E1130" s="111"/>
      <c r="F1130" s="111"/>
      <c r="G1130" s="111" t="s">
        <v>13722</v>
      </c>
      <c r="H1130" s="111" t="s">
        <v>13751</v>
      </c>
      <c r="I1130" s="111"/>
      <c r="J1130" s="111"/>
      <c r="K1130" s="111" t="s">
        <v>30</v>
      </c>
      <c r="L1130" s="111"/>
      <c r="M1130" s="111"/>
      <c r="N1130" s="111"/>
      <c r="O1130" s="111"/>
      <c r="P1130" s="111"/>
      <c r="Q1130" s="111"/>
      <c r="R1130" s="111"/>
      <c r="S1130" s="111"/>
      <c r="T1130" s="111"/>
      <c r="U1130" s="111"/>
      <c r="V1130" s="111"/>
      <c r="W1130" s="111"/>
      <c r="X1130" s="111"/>
      <c r="Y1130" s="111"/>
      <c r="Z1130" s="111" t="s">
        <v>13914</v>
      </c>
      <c r="AA1130" s="124"/>
      <c r="AB1130" s="125">
        <f t="shared" ref="AB1130:AB1131" si="223">AC1130/(H2dens*HoursInYear/10^6)</f>
        <v>5771.894721</v>
      </c>
      <c r="AC1130" s="126">
        <v>4.5</v>
      </c>
      <c r="AD1130" s="125"/>
      <c r="AE1130" s="125">
        <f t="shared" si="212"/>
        <v>5771.894721</v>
      </c>
      <c r="AF1130" s="127" t="s">
        <v>13923</v>
      </c>
      <c r="AG1130" s="127">
        <v>52.7239607784318</v>
      </c>
      <c r="AH1130" s="127">
        <v>20.8034437574075</v>
      </c>
      <c r="AI1130" s="115" t="s">
        <v>12241</v>
      </c>
      <c r="AJ1130" s="116">
        <v>0.9</v>
      </c>
      <c r="AK1130" s="117"/>
      <c r="AL1130" s="117"/>
      <c r="AM1130" s="117"/>
      <c r="AN1130" s="117"/>
      <c r="AO1130" s="117"/>
    </row>
    <row r="1131" ht="34.5" customHeight="1">
      <c r="A1131" s="111">
        <v>1674.0</v>
      </c>
      <c r="B1131" s="111" t="s">
        <v>9134</v>
      </c>
      <c r="C1131" s="111" t="s">
        <v>8023</v>
      </c>
      <c r="D1131" s="111">
        <v>2027.0</v>
      </c>
      <c r="E1131" s="111"/>
      <c r="F1131" s="111"/>
      <c r="G1131" s="111" t="s">
        <v>13722</v>
      </c>
      <c r="H1131" s="111" t="s">
        <v>13751</v>
      </c>
      <c r="I1131" s="111"/>
      <c r="J1131" s="111"/>
      <c r="K1131" s="111" t="s">
        <v>30</v>
      </c>
      <c r="L1131" s="111"/>
      <c r="M1131" s="111"/>
      <c r="N1131" s="111"/>
      <c r="O1131" s="111"/>
      <c r="P1131" s="111"/>
      <c r="Q1131" s="111"/>
      <c r="R1131" s="111"/>
      <c r="S1131" s="111"/>
      <c r="T1131" s="111"/>
      <c r="U1131" s="111"/>
      <c r="V1131" s="111"/>
      <c r="W1131" s="111"/>
      <c r="X1131" s="111"/>
      <c r="Y1131" s="111"/>
      <c r="Z1131" s="111" t="s">
        <v>13914</v>
      </c>
      <c r="AA1131" s="124"/>
      <c r="AB1131" s="125">
        <f t="shared" si="223"/>
        <v>5771.894721</v>
      </c>
      <c r="AC1131" s="126">
        <v>4.5</v>
      </c>
      <c r="AD1131" s="125"/>
      <c r="AE1131" s="125">
        <f t="shared" si="212"/>
        <v>5771.894721</v>
      </c>
      <c r="AF1131" s="127" t="s">
        <v>13923</v>
      </c>
      <c r="AG1131" s="127">
        <v>52.7239607784318</v>
      </c>
      <c r="AH1131" s="127">
        <v>20.8034437574075</v>
      </c>
      <c r="AI1131" s="115" t="s">
        <v>12241</v>
      </c>
      <c r="AJ1131" s="116">
        <v>0.9</v>
      </c>
      <c r="AK1131" s="117"/>
      <c r="AL1131" s="117"/>
      <c r="AM1131" s="117"/>
      <c r="AN1131" s="117"/>
      <c r="AO1131" s="117"/>
    </row>
    <row r="1132" ht="34.5" customHeight="1">
      <c r="A1132" s="111">
        <v>1675.0</v>
      </c>
      <c r="B1132" s="111" t="s">
        <v>9135</v>
      </c>
      <c r="C1132" s="111" t="s">
        <v>8023</v>
      </c>
      <c r="D1132" s="111"/>
      <c r="E1132" s="111"/>
      <c r="F1132" s="111" t="s">
        <v>12397</v>
      </c>
      <c r="G1132" s="111" t="s">
        <v>12381</v>
      </c>
      <c r="H1132" s="111" t="s">
        <v>12230</v>
      </c>
      <c r="I1132" s="111" t="s">
        <v>12394</v>
      </c>
      <c r="J1132" s="111" t="s">
        <v>12293</v>
      </c>
      <c r="K1132" s="111" t="s">
        <v>30</v>
      </c>
      <c r="L1132" s="111"/>
      <c r="M1132" s="111"/>
      <c r="N1132" s="111"/>
      <c r="O1132" s="111"/>
      <c r="P1132" s="111"/>
      <c r="Q1132" s="111"/>
      <c r="R1132" s="111"/>
      <c r="S1132" s="111"/>
      <c r="T1132" s="111"/>
      <c r="U1132" s="111"/>
      <c r="V1132" s="111"/>
      <c r="W1132" s="111"/>
      <c r="X1132" s="111"/>
      <c r="Y1132" s="111"/>
      <c r="Z1132" s="111" t="s">
        <v>12420</v>
      </c>
      <c r="AA1132" s="124">
        <v>1.0</v>
      </c>
      <c r="AB1132" s="125">
        <f>IF(Projects!$AI1132="Electrolysis",
AA1132/VLOOKUP(G1132,ElectrolysisConvF,3,FALSE),
AC1132*10^6/(H2dens*HoursInYear))</f>
        <v>222.2222222</v>
      </c>
      <c r="AC1132" s="126">
        <f t="shared" ref="AC1132:AC1133" si="224">AB1132*H2dens*HoursInYear/10^6</f>
        <v>0.1732533333</v>
      </c>
      <c r="AD1132" s="125"/>
      <c r="AE1132" s="125">
        <f t="shared" si="212"/>
        <v>222.2222222</v>
      </c>
      <c r="AF1132" s="127" t="s">
        <v>13924</v>
      </c>
      <c r="AG1132" s="127">
        <v>0.0</v>
      </c>
      <c r="AH1132" s="127">
        <v>0.0</v>
      </c>
      <c r="AI1132" s="115" t="s">
        <v>12383</v>
      </c>
      <c r="AJ1132" s="116">
        <v>0.55</v>
      </c>
      <c r="AK1132" s="117"/>
      <c r="AL1132" s="117"/>
      <c r="AM1132" s="117"/>
      <c r="AN1132" s="117"/>
      <c r="AO1132" s="117"/>
    </row>
    <row r="1133" ht="34.5" customHeight="1">
      <c r="A1133" s="111">
        <v>1676.0</v>
      </c>
      <c r="B1133" s="111" t="s">
        <v>9136</v>
      </c>
      <c r="C1133" s="111" t="s">
        <v>8023</v>
      </c>
      <c r="D1133" s="111">
        <v>2030.0</v>
      </c>
      <c r="E1133" s="111"/>
      <c r="F1133" s="111" t="s">
        <v>12397</v>
      </c>
      <c r="G1133" s="111" t="s">
        <v>12381</v>
      </c>
      <c r="H1133" s="111" t="s">
        <v>12230</v>
      </c>
      <c r="I1133" s="111" t="s">
        <v>12394</v>
      </c>
      <c r="J1133" s="111" t="s">
        <v>12293</v>
      </c>
      <c r="K1133" s="111" t="s">
        <v>30</v>
      </c>
      <c r="L1133" s="111"/>
      <c r="M1133" s="111"/>
      <c r="N1133" s="111"/>
      <c r="O1133" s="111"/>
      <c r="P1133" s="111"/>
      <c r="Q1133" s="111"/>
      <c r="R1133" s="111"/>
      <c r="S1133" s="111"/>
      <c r="T1133" s="111"/>
      <c r="U1133" s="111"/>
      <c r="V1133" s="111"/>
      <c r="W1133" s="111"/>
      <c r="X1133" s="111"/>
      <c r="Y1133" s="111"/>
      <c r="Z1133" s="111" t="s">
        <v>13621</v>
      </c>
      <c r="AA1133" s="124">
        <f>1000-1</f>
        <v>999</v>
      </c>
      <c r="AB1133" s="125">
        <f>IF(Projects!$AI1133="Electrolysis",
AA1133/VLOOKUP(G1133,ElectrolysisConvF,3,FALSE),
AC1133*10^6/(H2dens*HoursInYear))</f>
        <v>222000</v>
      </c>
      <c r="AC1133" s="126">
        <f t="shared" si="224"/>
        <v>173.08008</v>
      </c>
      <c r="AD1133" s="125"/>
      <c r="AE1133" s="125">
        <f t="shared" si="212"/>
        <v>222000</v>
      </c>
      <c r="AF1133" s="127" t="s">
        <v>13924</v>
      </c>
      <c r="AG1133" s="127">
        <v>0.0</v>
      </c>
      <c r="AH1133" s="127">
        <v>0.0</v>
      </c>
      <c r="AI1133" s="115" t="s">
        <v>12383</v>
      </c>
      <c r="AJ1133" s="116">
        <v>0.55</v>
      </c>
      <c r="AK1133" s="117"/>
      <c r="AL1133" s="117"/>
      <c r="AM1133" s="117"/>
      <c r="AN1133" s="117"/>
      <c r="AO1133" s="117"/>
    </row>
    <row r="1134" ht="34.5" customHeight="1">
      <c r="A1134" s="111">
        <v>1677.0</v>
      </c>
      <c r="B1134" s="111" t="s">
        <v>9137</v>
      </c>
      <c r="C1134" s="111" t="s">
        <v>8021</v>
      </c>
      <c r="D1134" s="111"/>
      <c r="E1134" s="111"/>
      <c r="F1134" s="111" t="s">
        <v>12399</v>
      </c>
      <c r="G1134" s="111" t="s">
        <v>12381</v>
      </c>
      <c r="H1134" s="111" t="s">
        <v>12230</v>
      </c>
      <c r="I1134" s="111" t="s">
        <v>12287</v>
      </c>
      <c r="J1134" s="111"/>
      <c r="K1134" s="111" t="s">
        <v>30</v>
      </c>
      <c r="L1134" s="111"/>
      <c r="M1134" s="111"/>
      <c r="N1134" s="111"/>
      <c r="O1134" s="111"/>
      <c r="P1134" s="111"/>
      <c r="Q1134" s="111"/>
      <c r="R1134" s="111"/>
      <c r="S1134" s="111"/>
      <c r="T1134" s="111"/>
      <c r="U1134" s="111"/>
      <c r="V1134" s="111"/>
      <c r="W1134" s="111"/>
      <c r="X1134" s="111"/>
      <c r="Y1134" s="111"/>
      <c r="Z1134" s="111"/>
      <c r="AA1134" s="124"/>
      <c r="AB1134" s="125"/>
      <c r="AC1134" s="125"/>
      <c r="AD1134" s="125"/>
      <c r="AE1134" s="125" t="str">
        <f t="shared" si="212"/>
        <v/>
      </c>
      <c r="AF1134" s="127" t="s">
        <v>13925</v>
      </c>
      <c r="AG1134" s="127">
        <v>-41.0667</v>
      </c>
      <c r="AH1134" s="127">
        <v>146.767</v>
      </c>
      <c r="AI1134" s="115" t="s">
        <v>12383</v>
      </c>
      <c r="AJ1134" s="116">
        <v>0.57</v>
      </c>
      <c r="AK1134" s="117"/>
      <c r="AL1134" s="117"/>
      <c r="AM1134" s="117"/>
      <c r="AN1134" s="117"/>
      <c r="AO1134" s="117"/>
    </row>
    <row r="1135" ht="34.5" customHeight="1">
      <c r="A1135" s="111">
        <v>1678.0</v>
      </c>
      <c r="B1135" s="111" t="s">
        <v>9138</v>
      </c>
      <c r="C1135" s="111" t="s">
        <v>8021</v>
      </c>
      <c r="D1135" s="111"/>
      <c r="E1135" s="111"/>
      <c r="F1135" s="111" t="s">
        <v>12399</v>
      </c>
      <c r="G1135" s="111" t="s">
        <v>12235</v>
      </c>
      <c r="H1135" s="111" t="s">
        <v>13160</v>
      </c>
      <c r="I1135" s="111"/>
      <c r="J1135" s="111"/>
      <c r="K1135" s="111" t="s">
        <v>30</v>
      </c>
      <c r="L1135" s="111"/>
      <c r="M1135" s="111"/>
      <c r="N1135" s="111"/>
      <c r="O1135" s="111">
        <v>1.0</v>
      </c>
      <c r="P1135" s="111"/>
      <c r="Q1135" s="111"/>
      <c r="R1135" s="111"/>
      <c r="S1135" s="111"/>
      <c r="T1135" s="111"/>
      <c r="U1135" s="111"/>
      <c r="V1135" s="111"/>
      <c r="W1135" s="111"/>
      <c r="X1135" s="111"/>
      <c r="Y1135" s="111"/>
      <c r="Z1135" s="111" t="s">
        <v>13926</v>
      </c>
      <c r="AA1135" s="124"/>
      <c r="AB1135" s="125">
        <f>AC1135/(H2dens*HoursInYear/10^6)</f>
        <v>21377.38785</v>
      </c>
      <c r="AC1135" s="125">
        <f>2/120*1000</f>
        <v>16.66666667</v>
      </c>
      <c r="AD1135" s="125">
        <v>150000.0</v>
      </c>
      <c r="AE1135" s="125">
        <f t="shared" si="212"/>
        <v>18806.46642</v>
      </c>
      <c r="AF1135" s="127" t="s">
        <v>13927</v>
      </c>
      <c r="AG1135" s="127">
        <v>-33.976002</v>
      </c>
      <c r="AH1135" s="127">
        <v>151.218002</v>
      </c>
      <c r="AI1135" s="115" t="s">
        <v>12378</v>
      </c>
      <c r="AJ1135" s="116">
        <v>0.9</v>
      </c>
      <c r="AK1135" s="117"/>
      <c r="AL1135" s="117"/>
      <c r="AM1135" s="117"/>
      <c r="AN1135" s="117"/>
      <c r="AO1135" s="117"/>
    </row>
    <row r="1136" ht="34.5" customHeight="1">
      <c r="A1136" s="111">
        <v>1679.0</v>
      </c>
      <c r="B1136" s="111" t="s">
        <v>9139</v>
      </c>
      <c r="C1136" s="111" t="s">
        <v>8021</v>
      </c>
      <c r="D1136" s="111"/>
      <c r="E1136" s="111"/>
      <c r="F1136" s="111" t="s">
        <v>12397</v>
      </c>
      <c r="G1136" s="111" t="s">
        <v>12381</v>
      </c>
      <c r="H1136" s="111" t="s">
        <v>12230</v>
      </c>
      <c r="I1136" s="111" t="s">
        <v>12287</v>
      </c>
      <c r="J1136" s="111"/>
      <c r="K1136" s="111" t="s">
        <v>30</v>
      </c>
      <c r="L1136" s="111"/>
      <c r="M1136" s="111"/>
      <c r="N1136" s="111"/>
      <c r="O1136" s="111"/>
      <c r="P1136" s="111"/>
      <c r="Q1136" s="111"/>
      <c r="R1136" s="111"/>
      <c r="S1136" s="111"/>
      <c r="T1136" s="111"/>
      <c r="U1136" s="111"/>
      <c r="V1136" s="111"/>
      <c r="W1136" s="111"/>
      <c r="X1136" s="111"/>
      <c r="Y1136" s="111"/>
      <c r="Z1136" s="111"/>
      <c r="AA1136" s="124"/>
      <c r="AB1136" s="125"/>
      <c r="AC1136" s="125"/>
      <c r="AD1136" s="125"/>
      <c r="AE1136" s="125" t="str">
        <f t="shared" si="212"/>
        <v/>
      </c>
      <c r="AF1136" s="127" t="s">
        <v>13928</v>
      </c>
      <c r="AG1136" s="127">
        <v>0.0</v>
      </c>
      <c r="AH1136" s="127">
        <v>0.0</v>
      </c>
      <c r="AI1136" s="115" t="s">
        <v>12383</v>
      </c>
      <c r="AJ1136" s="116">
        <v>0.57</v>
      </c>
      <c r="AK1136" s="117"/>
      <c r="AL1136" s="117"/>
      <c r="AM1136" s="117"/>
      <c r="AN1136" s="117"/>
      <c r="AO1136" s="117"/>
    </row>
    <row r="1137" ht="34.5" customHeight="1">
      <c r="A1137" s="111">
        <v>1680.0</v>
      </c>
      <c r="B1137" s="111" t="s">
        <v>9140</v>
      </c>
      <c r="C1137" s="111" t="s">
        <v>7967</v>
      </c>
      <c r="D1137" s="111">
        <v>2026.0</v>
      </c>
      <c r="E1137" s="111"/>
      <c r="F1137" s="111" t="s">
        <v>12418</v>
      </c>
      <c r="G1137" s="111" t="s">
        <v>12226</v>
      </c>
      <c r="H1137" s="111" t="s">
        <v>12230</v>
      </c>
      <c r="I1137" s="111" t="s">
        <v>12394</v>
      </c>
      <c r="J1137" s="111" t="s">
        <v>12293</v>
      </c>
      <c r="K1137" s="111" t="s">
        <v>30</v>
      </c>
      <c r="L1137" s="111"/>
      <c r="M1137" s="111"/>
      <c r="N1137" s="111"/>
      <c r="O1137" s="111"/>
      <c r="P1137" s="111"/>
      <c r="Q1137" s="111"/>
      <c r="R1137" s="111"/>
      <c r="S1137" s="111"/>
      <c r="T1137" s="111"/>
      <c r="U1137" s="111"/>
      <c r="V1137" s="111"/>
      <c r="W1137" s="111"/>
      <c r="X1137" s="111"/>
      <c r="Y1137" s="111"/>
      <c r="Z1137" s="111" t="s">
        <v>12703</v>
      </c>
      <c r="AA1137" s="124">
        <v>10.0</v>
      </c>
      <c r="AB1137" s="125">
        <f>IF(Projects!$AI1137="Electrolysis",
AA1137/VLOOKUP(G1137,ElectrolysisConvF,3,FALSE),
AC1137*10^6/(H2dens*HoursInYear))</f>
        <v>1923.076923</v>
      </c>
      <c r="AC1137" s="126">
        <f>AB1137*H2dens*HoursInYear/10^6</f>
        <v>1.499307692</v>
      </c>
      <c r="AD1137" s="125"/>
      <c r="AE1137" s="125">
        <f t="shared" si="212"/>
        <v>1923.076923</v>
      </c>
      <c r="AF1137" s="127" t="s">
        <v>13929</v>
      </c>
      <c r="AG1137" s="127">
        <v>51.9647174080945</v>
      </c>
      <c r="AH1137" s="127">
        <v>3.96305999589102</v>
      </c>
      <c r="AI1137" s="115" t="s">
        <v>12383</v>
      </c>
      <c r="AJ1137" s="116">
        <v>0.55</v>
      </c>
      <c r="AK1137" s="117"/>
      <c r="AL1137" s="117"/>
      <c r="AM1137" s="117"/>
      <c r="AN1137" s="117"/>
      <c r="AO1137" s="117"/>
    </row>
    <row r="1138" ht="34.5" customHeight="1">
      <c r="A1138" s="111">
        <v>1682.0</v>
      </c>
      <c r="B1138" s="111" t="s">
        <v>9141</v>
      </c>
      <c r="C1138" s="111" t="s">
        <v>7981</v>
      </c>
      <c r="D1138" s="111"/>
      <c r="E1138" s="111"/>
      <c r="F1138" s="111" t="s">
        <v>12397</v>
      </c>
      <c r="G1138" s="111" t="s">
        <v>12235</v>
      </c>
      <c r="H1138" s="111" t="s">
        <v>13160</v>
      </c>
      <c r="I1138" s="111"/>
      <c r="J1138" s="111"/>
      <c r="K1138" s="111" t="s">
        <v>30</v>
      </c>
      <c r="L1138" s="111"/>
      <c r="M1138" s="111"/>
      <c r="N1138" s="111"/>
      <c r="O1138" s="111"/>
      <c r="P1138" s="111"/>
      <c r="Q1138" s="111"/>
      <c r="R1138" s="111"/>
      <c r="S1138" s="111"/>
      <c r="T1138" s="111"/>
      <c r="U1138" s="111"/>
      <c r="V1138" s="111"/>
      <c r="W1138" s="111"/>
      <c r="X1138" s="111"/>
      <c r="Y1138" s="111"/>
      <c r="Z1138" s="111" t="s">
        <v>13930</v>
      </c>
      <c r="AA1138" s="124" t="str">
        <f>IF(OR(G1138="ALK",G1138="PEM",G1138="SOEC",G1138="Other Electrolysis"),
AB1138*VLOOKUP(G1138,ElectrolysisConvF,3,FALSE),
"")</f>
        <v/>
      </c>
      <c r="AB1138" s="125"/>
      <c r="AC1138" s="125"/>
      <c r="AD1138" s="125">
        <v>1100000.0</v>
      </c>
      <c r="AE1138" s="125">
        <f t="shared" si="212"/>
        <v>137914.087</v>
      </c>
      <c r="AF1138" s="127" t="s">
        <v>13931</v>
      </c>
      <c r="AG1138" s="127">
        <v>29.749907</v>
      </c>
      <c r="AH1138" s="127">
        <v>-95.358421</v>
      </c>
      <c r="AI1138" s="115" t="s">
        <v>12378</v>
      </c>
      <c r="AJ1138" s="116">
        <v>0.9</v>
      </c>
      <c r="AK1138" s="117"/>
      <c r="AL1138" s="117"/>
      <c r="AM1138" s="117"/>
      <c r="AN1138" s="117"/>
      <c r="AO1138" s="117"/>
    </row>
    <row r="1139" ht="34.5" customHeight="1">
      <c r="A1139" s="111">
        <v>1683.0</v>
      </c>
      <c r="B1139" s="111" t="s">
        <v>9142</v>
      </c>
      <c r="C1139" s="111" t="s">
        <v>8785</v>
      </c>
      <c r="D1139" s="111">
        <v>2026.0</v>
      </c>
      <c r="E1139" s="111"/>
      <c r="F1139" s="111" t="s">
        <v>12399</v>
      </c>
      <c r="G1139" s="111" t="s">
        <v>12381</v>
      </c>
      <c r="H1139" s="111" t="s">
        <v>12230</v>
      </c>
      <c r="I1139" s="111" t="s">
        <v>12394</v>
      </c>
      <c r="J1139" s="111" t="s">
        <v>12295</v>
      </c>
      <c r="K1139" s="111" t="s">
        <v>174</v>
      </c>
      <c r="L1139" s="111"/>
      <c r="M1139" s="111">
        <v>1.0</v>
      </c>
      <c r="N1139" s="111"/>
      <c r="O1139" s="111"/>
      <c r="P1139" s="111"/>
      <c r="Q1139" s="111">
        <v>1.0</v>
      </c>
      <c r="R1139" s="111"/>
      <c r="S1139" s="111"/>
      <c r="T1139" s="111"/>
      <c r="U1139" s="111"/>
      <c r="V1139" s="111"/>
      <c r="W1139" s="111"/>
      <c r="X1139" s="111"/>
      <c r="Y1139" s="111"/>
      <c r="Z1139" s="111" t="s">
        <v>13932</v>
      </c>
      <c r="AA1139" s="126">
        <f>IF(Projects!$AI1139="Electrolysis",
AB1139*VLOOKUP(G1139,ElectrolysisConvF,3,FALSE),
"")</f>
        <v>288.594736</v>
      </c>
      <c r="AB1139" s="125">
        <f t="shared" ref="AB1139:AB1140" si="225">AC1139/(H2dens*HoursInYear/10^6)</f>
        <v>64132.16356</v>
      </c>
      <c r="AC1139" s="125">
        <f>25/Projects!$AJ1139</f>
        <v>50</v>
      </c>
      <c r="AD1139" s="125"/>
      <c r="AE1139" s="125">
        <f t="shared" si="212"/>
        <v>64132.16356</v>
      </c>
      <c r="AF1139" s="127" t="s">
        <v>13933</v>
      </c>
      <c r="AG1139" s="127">
        <v>29.659369</v>
      </c>
      <c r="AH1139" s="127">
        <v>32.34481</v>
      </c>
      <c r="AI1139" s="115" t="s">
        <v>12383</v>
      </c>
      <c r="AJ1139" s="116">
        <v>0.5</v>
      </c>
      <c r="AK1139" s="117"/>
      <c r="AL1139" s="117"/>
      <c r="AM1139" s="117"/>
      <c r="AN1139" s="117"/>
      <c r="AO1139" s="117"/>
    </row>
    <row r="1140" ht="34.5" customHeight="1">
      <c r="A1140" s="111">
        <v>1684.0</v>
      </c>
      <c r="B1140" s="111" t="s">
        <v>9143</v>
      </c>
      <c r="C1140" s="111" t="s">
        <v>8785</v>
      </c>
      <c r="D1140" s="111"/>
      <c r="E1140" s="111"/>
      <c r="F1140" s="111" t="s">
        <v>12397</v>
      </c>
      <c r="G1140" s="111" t="s">
        <v>12381</v>
      </c>
      <c r="H1140" s="111" t="s">
        <v>12230</v>
      </c>
      <c r="I1140" s="111" t="s">
        <v>12394</v>
      </c>
      <c r="J1140" s="111" t="s">
        <v>12295</v>
      </c>
      <c r="K1140" s="111" t="s">
        <v>174</v>
      </c>
      <c r="L1140" s="111"/>
      <c r="M1140" s="111">
        <v>1.0</v>
      </c>
      <c r="N1140" s="111"/>
      <c r="O1140" s="111"/>
      <c r="P1140" s="111"/>
      <c r="Q1140" s="111">
        <v>1.0</v>
      </c>
      <c r="R1140" s="111"/>
      <c r="S1140" s="111"/>
      <c r="T1140" s="111"/>
      <c r="U1140" s="111"/>
      <c r="V1140" s="111"/>
      <c r="W1140" s="111"/>
      <c r="X1140" s="111"/>
      <c r="Y1140" s="111"/>
      <c r="Z1140" s="111" t="s">
        <v>13934</v>
      </c>
      <c r="AA1140" s="126">
        <f>IF(Projects!$AI1140="Electrolysis",
AB1140*VLOOKUP(G1140,ElectrolysisConvF,3,FALSE),
"")</f>
        <v>432.892104</v>
      </c>
      <c r="AB1140" s="125">
        <f t="shared" si="225"/>
        <v>96198.24534</v>
      </c>
      <c r="AC1140" s="125">
        <f>(25/140*350 -25)/Projects!$AJ1140</f>
        <v>75</v>
      </c>
      <c r="AD1140" s="125"/>
      <c r="AE1140" s="125">
        <f t="shared" si="212"/>
        <v>96198.24534</v>
      </c>
      <c r="AF1140" s="127" t="s">
        <v>13933</v>
      </c>
      <c r="AG1140" s="127">
        <v>29.659369</v>
      </c>
      <c r="AH1140" s="127">
        <v>32.34481</v>
      </c>
      <c r="AI1140" s="115" t="s">
        <v>12383</v>
      </c>
      <c r="AJ1140" s="116">
        <v>0.5</v>
      </c>
      <c r="AK1140" s="117"/>
      <c r="AL1140" s="117"/>
      <c r="AM1140" s="117"/>
      <c r="AN1140" s="117"/>
      <c r="AO1140" s="117"/>
    </row>
    <row r="1141" ht="34.5" customHeight="1">
      <c r="A1141" s="111">
        <v>1685.0</v>
      </c>
      <c r="B1141" s="111" t="s">
        <v>9144</v>
      </c>
      <c r="C1141" s="111" t="s">
        <v>8117</v>
      </c>
      <c r="D1141" s="111">
        <v>2025.0</v>
      </c>
      <c r="E1141" s="111"/>
      <c r="F1141" s="111" t="s">
        <v>12399</v>
      </c>
      <c r="G1141" s="111" t="s">
        <v>12381</v>
      </c>
      <c r="H1141" s="111" t="s">
        <v>12230</v>
      </c>
      <c r="I1141" s="111" t="s">
        <v>12394</v>
      </c>
      <c r="J1141" s="111" t="s">
        <v>12291</v>
      </c>
      <c r="K1141" s="111" t="s">
        <v>30</v>
      </c>
      <c r="L1141" s="111">
        <v>1.0</v>
      </c>
      <c r="M1141" s="111"/>
      <c r="N1141" s="111"/>
      <c r="O1141" s="111"/>
      <c r="P1141" s="111"/>
      <c r="Q1141" s="111"/>
      <c r="R1141" s="111"/>
      <c r="S1141" s="111"/>
      <c r="T1141" s="111"/>
      <c r="U1141" s="111"/>
      <c r="V1141" s="111"/>
      <c r="W1141" s="111"/>
      <c r="X1141" s="111"/>
      <c r="Y1141" s="111"/>
      <c r="Z1141" s="111" t="s">
        <v>12703</v>
      </c>
      <c r="AA1141" s="124">
        <v>10.0</v>
      </c>
      <c r="AB1141" s="125">
        <f>IF(Projects!$AI1141="Electrolysis",
AA1141/VLOOKUP(G1141,ElectrolysisConvF,3,FALSE),
AC1141*10^6/(H2dens*HoursInYear))</f>
        <v>2222.222222</v>
      </c>
      <c r="AC1141" s="126">
        <f>AB1141*H2dens*HoursInYear/10^6</f>
        <v>1.732533333</v>
      </c>
      <c r="AD1141" s="125"/>
      <c r="AE1141" s="125">
        <f t="shared" si="212"/>
        <v>2222.222222</v>
      </c>
      <c r="AF1141" s="127" t="s">
        <v>13935</v>
      </c>
      <c r="AG1141" s="127">
        <v>38.041275</v>
      </c>
      <c r="AH1141" s="127">
        <v>23.541812</v>
      </c>
      <c r="AI1141" s="115" t="s">
        <v>12383</v>
      </c>
      <c r="AJ1141" s="116">
        <v>0.3</v>
      </c>
      <c r="AK1141" s="117"/>
      <c r="AL1141" s="117"/>
      <c r="AM1141" s="117"/>
      <c r="AN1141" s="117"/>
      <c r="AO1141" s="117"/>
    </row>
    <row r="1142" ht="34.5" customHeight="1">
      <c r="A1142" s="111">
        <v>1686.0</v>
      </c>
      <c r="B1142" s="111" t="s">
        <v>9144</v>
      </c>
      <c r="C1142" s="111" t="s">
        <v>8117</v>
      </c>
      <c r="D1142" s="111">
        <v>2030.0</v>
      </c>
      <c r="E1142" s="111"/>
      <c r="F1142" s="111" t="s">
        <v>12397</v>
      </c>
      <c r="G1142" s="111" t="s">
        <v>12235</v>
      </c>
      <c r="H1142" s="111" t="s">
        <v>13160</v>
      </c>
      <c r="I1142" s="111"/>
      <c r="J1142" s="111"/>
      <c r="K1142" s="111" t="s">
        <v>30</v>
      </c>
      <c r="L1142" s="111">
        <v>1.0</v>
      </c>
      <c r="M1142" s="111"/>
      <c r="N1142" s="111"/>
      <c r="O1142" s="111"/>
      <c r="P1142" s="111"/>
      <c r="Q1142" s="111"/>
      <c r="R1142" s="111"/>
      <c r="S1142" s="111"/>
      <c r="T1142" s="111"/>
      <c r="U1142" s="111"/>
      <c r="V1142" s="111"/>
      <c r="W1142" s="111"/>
      <c r="X1142" s="111"/>
      <c r="Y1142" s="111"/>
      <c r="Z1142" s="111" t="s">
        <v>13936</v>
      </c>
      <c r="AA1142" s="124" t="str">
        <f>IF(OR(G1142="ALK",G1142="PEM",G1142="SOEC",G1142="Other Electrolysis"),
AB1142*VLOOKUP(G1142,ElectrolysisConvF,3,FALSE),
"")</f>
        <v/>
      </c>
      <c r="AB1142" s="125"/>
      <c r="AC1142" s="125"/>
      <c r="AD1142" s="125">
        <v>600000.0</v>
      </c>
      <c r="AE1142" s="125">
        <f t="shared" si="212"/>
        <v>75225.86566</v>
      </c>
      <c r="AF1142" s="127" t="s">
        <v>13935</v>
      </c>
      <c r="AG1142" s="127">
        <v>38.041275</v>
      </c>
      <c r="AH1142" s="127">
        <v>23.541812</v>
      </c>
      <c r="AI1142" s="115" t="s">
        <v>12378</v>
      </c>
      <c r="AJ1142" s="116">
        <v>0.9</v>
      </c>
      <c r="AK1142" s="117"/>
      <c r="AL1142" s="117"/>
      <c r="AM1142" s="117"/>
      <c r="AN1142" s="117"/>
      <c r="AO1142" s="117"/>
    </row>
    <row r="1143" ht="34.5" customHeight="1">
      <c r="A1143" s="111">
        <v>1687.0</v>
      </c>
      <c r="B1143" s="111" t="s">
        <v>9145</v>
      </c>
      <c r="C1143" s="111" t="s">
        <v>8117</v>
      </c>
      <c r="D1143" s="111">
        <v>2028.0</v>
      </c>
      <c r="E1143" s="111"/>
      <c r="F1143" s="111" t="s">
        <v>12397</v>
      </c>
      <c r="G1143" s="111" t="s">
        <v>12381</v>
      </c>
      <c r="H1143" s="111" t="s">
        <v>12230</v>
      </c>
      <c r="I1143" s="111" t="s">
        <v>12394</v>
      </c>
      <c r="J1143" s="111" t="s">
        <v>12296</v>
      </c>
      <c r="K1143" s="111" t="s">
        <v>30</v>
      </c>
      <c r="L1143" s="111"/>
      <c r="M1143" s="111"/>
      <c r="N1143" s="111"/>
      <c r="O1143" s="111"/>
      <c r="P1143" s="111">
        <v>1.0</v>
      </c>
      <c r="Q1143" s="111">
        <v>1.0</v>
      </c>
      <c r="R1143" s="111"/>
      <c r="S1143" s="111">
        <v>1.0</v>
      </c>
      <c r="T1143" s="111"/>
      <c r="U1143" s="111"/>
      <c r="V1143" s="111"/>
      <c r="W1143" s="111"/>
      <c r="X1143" s="111"/>
      <c r="Y1143" s="111"/>
      <c r="Z1143" s="111" t="s">
        <v>13898</v>
      </c>
      <c r="AA1143" s="124">
        <v>30.0</v>
      </c>
      <c r="AB1143" s="125">
        <f>IF(Projects!$AI1143="Electrolysis",
AA1143/VLOOKUP(G1143,ElectrolysisConvF,3,FALSE),
AC1143*10^6/(H2dens*HoursInYear))</f>
        <v>6666.666667</v>
      </c>
      <c r="AC1143" s="126">
        <f t="shared" ref="AC1143:AC1145" si="226">AB1143*H2dens*HoursInYear/10^6</f>
        <v>5.1976</v>
      </c>
      <c r="AD1143" s="125"/>
      <c r="AE1143" s="125">
        <f t="shared" si="212"/>
        <v>6666.666667</v>
      </c>
      <c r="AF1143" s="127" t="s">
        <v>13937</v>
      </c>
      <c r="AG1143" s="127">
        <v>37.938637</v>
      </c>
      <c r="AH1143" s="127">
        <v>22.932238</v>
      </c>
      <c r="AI1143" s="115" t="s">
        <v>12383</v>
      </c>
      <c r="AJ1143" s="116">
        <v>0.5</v>
      </c>
      <c r="AK1143" s="117"/>
      <c r="AL1143" s="117"/>
      <c r="AM1143" s="117"/>
      <c r="AN1143" s="117"/>
      <c r="AO1143" s="117"/>
    </row>
    <row r="1144" ht="34.5" customHeight="1">
      <c r="A1144" s="111">
        <v>1688.0</v>
      </c>
      <c r="B1144" s="111" t="s">
        <v>9146</v>
      </c>
      <c r="C1144" s="111" t="s">
        <v>8618</v>
      </c>
      <c r="D1144" s="111">
        <v>2026.0</v>
      </c>
      <c r="E1144" s="111"/>
      <c r="F1144" s="111" t="s">
        <v>12393</v>
      </c>
      <c r="G1144" s="111" t="s">
        <v>12381</v>
      </c>
      <c r="H1144" s="111" t="s">
        <v>12230</v>
      </c>
      <c r="I1144" s="111" t="s">
        <v>12394</v>
      </c>
      <c r="J1144" s="111" t="s">
        <v>12296</v>
      </c>
      <c r="K1144" s="111" t="s">
        <v>30</v>
      </c>
      <c r="L1144" s="111"/>
      <c r="M1144" s="111"/>
      <c r="N1144" s="111"/>
      <c r="O1144" s="111"/>
      <c r="P1144" s="111"/>
      <c r="Q1144" s="111">
        <v>1.0</v>
      </c>
      <c r="R1144" s="111"/>
      <c r="S1144" s="111"/>
      <c r="T1144" s="111"/>
      <c r="U1144" s="111"/>
      <c r="V1144" s="111"/>
      <c r="W1144" s="111"/>
      <c r="X1144" s="111"/>
      <c r="Y1144" s="111"/>
      <c r="Z1144" s="111" t="s">
        <v>13938</v>
      </c>
      <c r="AA1144" s="124">
        <v>34.0</v>
      </c>
      <c r="AB1144" s="125">
        <f>IF(Projects!$AI1144="Electrolysis",
AA1144/VLOOKUP(G1144,ElectrolysisConvF,3,FALSE),
AC1144*10^6/(H2dens*HoursInYear))</f>
        <v>7555.555556</v>
      </c>
      <c r="AC1144" s="126">
        <f t="shared" si="226"/>
        <v>5.890613333</v>
      </c>
      <c r="AD1144" s="125"/>
      <c r="AE1144" s="125">
        <f t="shared" si="212"/>
        <v>7555.555556</v>
      </c>
      <c r="AF1144" s="127" t="s">
        <v>13939</v>
      </c>
      <c r="AG1144" s="127">
        <v>46.2669467280171</v>
      </c>
      <c r="AH1144" s="127">
        <v>15.4958561473294</v>
      </c>
      <c r="AI1144" s="115" t="s">
        <v>12383</v>
      </c>
      <c r="AJ1144" s="116">
        <v>0.5</v>
      </c>
      <c r="AK1144" s="117"/>
      <c r="AL1144" s="117"/>
      <c r="AM1144" s="117"/>
      <c r="AN1144" s="117"/>
      <c r="AO1144" s="117"/>
    </row>
    <row r="1145" ht="34.5" customHeight="1">
      <c r="A1145" s="111">
        <v>1689.0</v>
      </c>
      <c r="B1145" s="111" t="s">
        <v>9147</v>
      </c>
      <c r="C1145" s="111" t="s">
        <v>8008</v>
      </c>
      <c r="D1145" s="111"/>
      <c r="E1145" s="111"/>
      <c r="F1145" s="111" t="s">
        <v>12397</v>
      </c>
      <c r="G1145" s="111" t="s">
        <v>12381</v>
      </c>
      <c r="H1145" s="111" t="s">
        <v>12230</v>
      </c>
      <c r="I1145" s="111" t="s">
        <v>12394</v>
      </c>
      <c r="J1145" s="111" t="s">
        <v>12296</v>
      </c>
      <c r="K1145" s="111" t="s">
        <v>30</v>
      </c>
      <c r="L1145" s="111"/>
      <c r="M1145" s="111"/>
      <c r="N1145" s="111"/>
      <c r="O1145" s="111"/>
      <c r="P1145" s="111"/>
      <c r="Q1145" s="111">
        <v>1.0</v>
      </c>
      <c r="R1145" s="111"/>
      <c r="S1145" s="111"/>
      <c r="T1145" s="111"/>
      <c r="U1145" s="111"/>
      <c r="V1145" s="111"/>
      <c r="W1145" s="111"/>
      <c r="X1145" s="111"/>
      <c r="Y1145" s="111"/>
      <c r="Z1145" s="111" t="s">
        <v>12603</v>
      </c>
      <c r="AA1145" s="124">
        <v>5.0</v>
      </c>
      <c r="AB1145" s="125">
        <f>IF(Projects!$AI1145="Electrolysis",
AA1145/VLOOKUP(G1145,ElectrolysisConvF,3,FALSE),
AC1145*10^6/(H2dens*HoursInYear))</f>
        <v>1111.111111</v>
      </c>
      <c r="AC1145" s="126">
        <f t="shared" si="226"/>
        <v>0.8662666667</v>
      </c>
      <c r="AD1145" s="125"/>
      <c r="AE1145" s="125">
        <f t="shared" si="212"/>
        <v>1111.111111</v>
      </c>
      <c r="AF1145" s="127" t="s">
        <v>13940</v>
      </c>
      <c r="AG1145" s="127">
        <v>59.436962</v>
      </c>
      <c r="AH1145" s="127">
        <v>24.753574</v>
      </c>
      <c r="AI1145" s="115" t="s">
        <v>12383</v>
      </c>
      <c r="AJ1145" s="116">
        <v>0.5</v>
      </c>
      <c r="AK1145" s="117"/>
      <c r="AL1145" s="117"/>
      <c r="AM1145" s="117"/>
      <c r="AN1145" s="117"/>
      <c r="AO1145" s="117"/>
    </row>
    <row r="1146" ht="34.5" customHeight="1">
      <c r="A1146" s="111">
        <v>1690.0</v>
      </c>
      <c r="B1146" s="111" t="s">
        <v>9148</v>
      </c>
      <c r="C1146" s="111" t="s">
        <v>8008</v>
      </c>
      <c r="D1146" s="111">
        <v>2025.0</v>
      </c>
      <c r="E1146" s="111"/>
      <c r="F1146" s="111" t="s">
        <v>12397</v>
      </c>
      <c r="G1146" s="111" t="s">
        <v>12381</v>
      </c>
      <c r="H1146" s="111" t="s">
        <v>12230</v>
      </c>
      <c r="I1146" s="111" t="s">
        <v>12394</v>
      </c>
      <c r="J1146" s="111" t="s">
        <v>12296</v>
      </c>
      <c r="K1146" s="111" t="s">
        <v>30</v>
      </c>
      <c r="L1146" s="111"/>
      <c r="M1146" s="111"/>
      <c r="N1146" s="111"/>
      <c r="O1146" s="111"/>
      <c r="P1146" s="111"/>
      <c r="Q1146" s="111">
        <v>1.0</v>
      </c>
      <c r="R1146" s="111"/>
      <c r="S1146" s="111"/>
      <c r="T1146" s="111"/>
      <c r="U1146" s="111"/>
      <c r="V1146" s="111"/>
      <c r="W1146" s="111"/>
      <c r="X1146" s="111"/>
      <c r="Y1146" s="111"/>
      <c r="Z1146" s="111"/>
      <c r="AA1146" s="124"/>
      <c r="AB1146" s="125"/>
      <c r="AC1146" s="125"/>
      <c r="AD1146" s="125"/>
      <c r="AE1146" s="125" t="str">
        <f t="shared" si="212"/>
        <v/>
      </c>
      <c r="AF1146" s="127" t="s">
        <v>13940</v>
      </c>
      <c r="AG1146" s="127">
        <v>59.436962</v>
      </c>
      <c r="AH1146" s="127">
        <v>24.753574</v>
      </c>
      <c r="AI1146" s="115" t="s">
        <v>12383</v>
      </c>
      <c r="AJ1146" s="116">
        <v>0.5</v>
      </c>
      <c r="AK1146" s="117"/>
      <c r="AL1146" s="117"/>
      <c r="AM1146" s="117"/>
      <c r="AN1146" s="117"/>
      <c r="AO1146" s="117"/>
    </row>
    <row r="1147" ht="34.5" customHeight="1">
      <c r="A1147" s="111">
        <v>1692.0</v>
      </c>
      <c r="B1147" s="111" t="s">
        <v>9149</v>
      </c>
      <c r="C1147" s="111" t="s">
        <v>9150</v>
      </c>
      <c r="D1147" s="111">
        <v>2026.0</v>
      </c>
      <c r="E1147" s="111"/>
      <c r="F1147" s="111"/>
      <c r="G1147" s="111" t="s">
        <v>13722</v>
      </c>
      <c r="H1147" s="111" t="s">
        <v>13751</v>
      </c>
      <c r="I1147" s="111"/>
      <c r="J1147" s="111"/>
      <c r="K1147" s="111" t="s">
        <v>30</v>
      </c>
      <c r="L1147" s="111"/>
      <c r="M1147" s="111"/>
      <c r="N1147" s="111"/>
      <c r="O1147" s="111"/>
      <c r="P1147" s="111"/>
      <c r="Q1147" s="111"/>
      <c r="R1147" s="111"/>
      <c r="S1147" s="111"/>
      <c r="T1147" s="111"/>
      <c r="U1147" s="111"/>
      <c r="V1147" s="111"/>
      <c r="W1147" s="111"/>
      <c r="X1147" s="111"/>
      <c r="Y1147" s="111"/>
      <c r="Z1147" s="111" t="s">
        <v>13908</v>
      </c>
      <c r="AA1147" s="124"/>
      <c r="AB1147" s="125">
        <f t="shared" ref="AB1147:AB1149" si="227">AC1147/(H2dens*HoursInYear/10^6)</f>
        <v>12826.43271</v>
      </c>
      <c r="AC1147" s="125">
        <v>10.0</v>
      </c>
      <c r="AD1147" s="125"/>
      <c r="AE1147" s="125">
        <f t="shared" si="212"/>
        <v>12826.43271</v>
      </c>
      <c r="AF1147" s="127" t="s">
        <v>13941</v>
      </c>
      <c r="AG1147" s="127">
        <v>49.7839374547199</v>
      </c>
      <c r="AH1147" s="127">
        <v>6.02343189341234</v>
      </c>
      <c r="AI1147" s="115" t="s">
        <v>12241</v>
      </c>
      <c r="AJ1147" s="116">
        <v>0.9</v>
      </c>
      <c r="AK1147" s="117"/>
      <c r="AL1147" s="117"/>
      <c r="AM1147" s="117"/>
      <c r="AN1147" s="117"/>
      <c r="AO1147" s="117"/>
    </row>
    <row r="1148" ht="34.5" customHeight="1">
      <c r="A1148" s="111">
        <v>1693.0</v>
      </c>
      <c r="B1148" s="111" t="s">
        <v>9151</v>
      </c>
      <c r="C1148" s="111" t="s">
        <v>8087</v>
      </c>
      <c r="D1148" s="111">
        <v>2025.0</v>
      </c>
      <c r="E1148" s="111"/>
      <c r="F1148" s="111" t="s">
        <v>12399</v>
      </c>
      <c r="G1148" s="111" t="s">
        <v>12381</v>
      </c>
      <c r="H1148" s="111" t="s">
        <v>12230</v>
      </c>
      <c r="I1148" s="111" t="s">
        <v>12394</v>
      </c>
      <c r="J1148" s="111" t="s">
        <v>12296</v>
      </c>
      <c r="K1148" s="111" t="s">
        <v>30</v>
      </c>
      <c r="L1148" s="111"/>
      <c r="M1148" s="111"/>
      <c r="N1148" s="111"/>
      <c r="O1148" s="111">
        <v>1.0</v>
      </c>
      <c r="P1148" s="111"/>
      <c r="Q1148" s="111"/>
      <c r="R1148" s="111"/>
      <c r="S1148" s="111"/>
      <c r="T1148" s="111"/>
      <c r="U1148" s="111"/>
      <c r="V1148" s="111"/>
      <c r="W1148" s="111"/>
      <c r="X1148" s="111"/>
      <c r="Y1148" s="111"/>
      <c r="Z1148" s="111" t="s">
        <v>13942</v>
      </c>
      <c r="AA1148" s="126">
        <f>IF(Projects!$AI1148="Electrolysis",
AB1148*VLOOKUP(G1148,ElectrolysisConvF,3,FALSE),
"")</f>
        <v>519.4705249</v>
      </c>
      <c r="AB1148" s="125">
        <f t="shared" si="227"/>
        <v>115437.8944</v>
      </c>
      <c r="AC1148" s="125">
        <f>90</f>
        <v>90</v>
      </c>
      <c r="AD1148" s="125"/>
      <c r="AE1148" s="125">
        <f t="shared" si="212"/>
        <v>115437.8944</v>
      </c>
      <c r="AF1148" s="127" t="s">
        <v>13943</v>
      </c>
      <c r="AG1148" s="127">
        <v>51.0578126329887</v>
      </c>
      <c r="AH1148" s="127">
        <v>3.73927501773233</v>
      </c>
      <c r="AI1148" s="115" t="s">
        <v>12383</v>
      </c>
      <c r="AJ1148" s="116">
        <v>0.5</v>
      </c>
      <c r="AK1148" s="117"/>
      <c r="AL1148" s="117"/>
      <c r="AM1148" s="117"/>
      <c r="AN1148" s="117"/>
      <c r="AO1148" s="117"/>
    </row>
    <row r="1149" ht="34.5" customHeight="1">
      <c r="A1149" s="111">
        <v>1694.0</v>
      </c>
      <c r="B1149" s="111" t="s">
        <v>9152</v>
      </c>
      <c r="C1149" s="111" t="s">
        <v>8649</v>
      </c>
      <c r="D1149" s="111"/>
      <c r="E1149" s="111"/>
      <c r="F1149" s="111"/>
      <c r="G1149" s="111" t="s">
        <v>13722</v>
      </c>
      <c r="H1149" s="111" t="s">
        <v>13751</v>
      </c>
      <c r="I1149" s="111"/>
      <c r="J1149" s="111"/>
      <c r="K1149" s="111" t="s">
        <v>30</v>
      </c>
      <c r="L1149" s="111"/>
      <c r="M1149" s="111"/>
      <c r="N1149" s="111"/>
      <c r="O1149" s="111"/>
      <c r="P1149" s="111"/>
      <c r="Q1149" s="111"/>
      <c r="R1149" s="111"/>
      <c r="S1149" s="111"/>
      <c r="T1149" s="111"/>
      <c r="U1149" s="111"/>
      <c r="V1149" s="111"/>
      <c r="W1149" s="111"/>
      <c r="X1149" s="111"/>
      <c r="Y1149" s="111"/>
      <c r="Z1149" s="111" t="s">
        <v>13944</v>
      </c>
      <c r="AA1149" s="124"/>
      <c r="AB1149" s="125">
        <f t="shared" si="227"/>
        <v>820.8916936</v>
      </c>
      <c r="AC1149" s="146">
        <v>0.64</v>
      </c>
      <c r="AD1149" s="125"/>
      <c r="AE1149" s="125">
        <f t="shared" si="212"/>
        <v>820.8916936</v>
      </c>
      <c r="AF1149" s="127" t="s">
        <v>13865</v>
      </c>
      <c r="AG1149" s="127">
        <v>56.9231537669751</v>
      </c>
      <c r="AH1149" s="127">
        <v>25.2138883212293</v>
      </c>
      <c r="AI1149" s="115" t="s">
        <v>12241</v>
      </c>
      <c r="AJ1149" s="116">
        <v>0.9</v>
      </c>
      <c r="AK1149" s="117"/>
      <c r="AL1149" s="117"/>
      <c r="AM1149" s="117"/>
      <c r="AN1149" s="117"/>
      <c r="AO1149" s="117"/>
    </row>
    <row r="1150" ht="34.5" customHeight="1">
      <c r="A1150" s="111">
        <v>1695.0</v>
      </c>
      <c r="B1150" s="111" t="s">
        <v>9153</v>
      </c>
      <c r="C1150" s="111" t="s">
        <v>8649</v>
      </c>
      <c r="D1150" s="111">
        <v>2025.0</v>
      </c>
      <c r="E1150" s="111"/>
      <c r="F1150" s="111" t="s">
        <v>12397</v>
      </c>
      <c r="G1150" s="111" t="s">
        <v>12381</v>
      </c>
      <c r="H1150" s="111" t="s">
        <v>12230</v>
      </c>
      <c r="I1150" s="111" t="s">
        <v>12287</v>
      </c>
      <c r="J1150" s="111"/>
      <c r="K1150" s="111" t="s">
        <v>30</v>
      </c>
      <c r="L1150" s="111"/>
      <c r="M1150" s="111"/>
      <c r="N1150" s="111"/>
      <c r="O1150" s="111"/>
      <c r="P1150" s="111">
        <v>1.0</v>
      </c>
      <c r="Q1150" s="111"/>
      <c r="R1150" s="111"/>
      <c r="S1150" s="111"/>
      <c r="T1150" s="111"/>
      <c r="U1150" s="111"/>
      <c r="V1150" s="111"/>
      <c r="W1150" s="111"/>
      <c r="X1150" s="111"/>
      <c r="Y1150" s="111"/>
      <c r="Z1150" s="111" t="s">
        <v>13898</v>
      </c>
      <c r="AA1150" s="124">
        <v>30.0</v>
      </c>
      <c r="AB1150" s="125">
        <f>IF(Projects!$AI1150="Electrolysis",
AA1150/VLOOKUP(G1150,ElectrolysisConvF,3,FALSE),
AC1150*10^6/(H2dens*HoursInYear))</f>
        <v>6666.666667</v>
      </c>
      <c r="AC1150" s="126">
        <f t="shared" ref="AC1150:AC1154" si="228">AB1150*H2dens*HoursInYear/10^6</f>
        <v>5.1976</v>
      </c>
      <c r="AD1150" s="125"/>
      <c r="AE1150" s="125">
        <f t="shared" si="212"/>
        <v>6666.666667</v>
      </c>
      <c r="AF1150" s="127"/>
      <c r="AG1150" s="127">
        <v>57.3677481096117</v>
      </c>
      <c r="AH1150" s="127">
        <v>24.8184049055508</v>
      </c>
      <c r="AI1150" s="115" t="s">
        <v>12383</v>
      </c>
      <c r="AJ1150" s="116">
        <v>0.57</v>
      </c>
      <c r="AK1150" s="117"/>
      <c r="AL1150" s="117"/>
      <c r="AM1150" s="117"/>
      <c r="AN1150" s="117"/>
      <c r="AO1150" s="117"/>
    </row>
    <row r="1151" ht="34.5" customHeight="1">
      <c r="A1151" s="111">
        <v>1696.0</v>
      </c>
      <c r="B1151" s="111" t="s">
        <v>9154</v>
      </c>
      <c r="C1151" s="111" t="s">
        <v>8161</v>
      </c>
      <c r="D1151" s="111">
        <v>2025.0</v>
      </c>
      <c r="E1151" s="111"/>
      <c r="F1151" s="111" t="s">
        <v>12399</v>
      </c>
      <c r="G1151" s="111" t="s">
        <v>12381</v>
      </c>
      <c r="H1151" s="111" t="s">
        <v>12230</v>
      </c>
      <c r="I1151" s="111" t="s">
        <v>12394</v>
      </c>
      <c r="J1151" s="111" t="s">
        <v>12291</v>
      </c>
      <c r="K1151" s="111" t="s">
        <v>30</v>
      </c>
      <c r="L1151" s="111"/>
      <c r="M1151" s="111"/>
      <c r="N1151" s="111"/>
      <c r="O1151" s="111"/>
      <c r="P1151" s="111">
        <v>1.0</v>
      </c>
      <c r="Q1151" s="111"/>
      <c r="R1151" s="111"/>
      <c r="S1151" s="111">
        <v>1.0</v>
      </c>
      <c r="T1151" s="111"/>
      <c r="U1151" s="111"/>
      <c r="V1151" s="111"/>
      <c r="W1151" s="111"/>
      <c r="X1151" s="111"/>
      <c r="Y1151" s="111"/>
      <c r="Z1151" s="111" t="s">
        <v>13912</v>
      </c>
      <c r="AA1151" s="124">
        <v>50.0</v>
      </c>
      <c r="AB1151" s="125">
        <f>IF(Projects!$AI1151="Electrolysis",
AA1151/VLOOKUP(G1151,ElectrolysisConvF,3,FALSE),
AC1151*10^6/(H2dens*HoursInYear))</f>
        <v>11111.11111</v>
      </c>
      <c r="AC1151" s="126">
        <f t="shared" si="228"/>
        <v>8.662666667</v>
      </c>
      <c r="AD1151" s="125"/>
      <c r="AE1151" s="125">
        <f t="shared" si="212"/>
        <v>11111.11111</v>
      </c>
      <c r="AF1151" s="127" t="s">
        <v>13945</v>
      </c>
      <c r="AG1151" s="127">
        <v>38.708759</v>
      </c>
      <c r="AH1151" s="127">
        <v>-7.400782</v>
      </c>
      <c r="AI1151" s="115" t="s">
        <v>12383</v>
      </c>
      <c r="AJ1151" s="116">
        <v>0.3</v>
      </c>
      <c r="AK1151" s="117"/>
      <c r="AL1151" s="117"/>
      <c r="AM1151" s="117"/>
      <c r="AN1151" s="117"/>
      <c r="AO1151" s="117"/>
    </row>
    <row r="1152" ht="34.5" customHeight="1">
      <c r="A1152" s="111">
        <v>1697.0</v>
      </c>
      <c r="B1152" s="111" t="s">
        <v>9155</v>
      </c>
      <c r="C1152" s="111" t="s">
        <v>8161</v>
      </c>
      <c r="D1152" s="111">
        <v>2030.0</v>
      </c>
      <c r="E1152" s="111"/>
      <c r="F1152" s="111" t="s">
        <v>12399</v>
      </c>
      <c r="G1152" s="111" t="s">
        <v>12226</v>
      </c>
      <c r="H1152" s="111"/>
      <c r="I1152" s="111" t="s">
        <v>12394</v>
      </c>
      <c r="J1152" s="111" t="s">
        <v>12291</v>
      </c>
      <c r="K1152" s="111" t="s">
        <v>30</v>
      </c>
      <c r="L1152" s="111"/>
      <c r="M1152" s="111"/>
      <c r="N1152" s="111"/>
      <c r="O1152" s="111"/>
      <c r="P1152" s="111">
        <v>1.0</v>
      </c>
      <c r="Q1152" s="111"/>
      <c r="R1152" s="111"/>
      <c r="S1152" s="111">
        <v>1.0</v>
      </c>
      <c r="T1152" s="111"/>
      <c r="U1152" s="111"/>
      <c r="V1152" s="111"/>
      <c r="W1152" s="111"/>
      <c r="X1152" s="111"/>
      <c r="Y1152" s="111"/>
      <c r="Z1152" s="111" t="s">
        <v>13946</v>
      </c>
      <c r="AA1152" s="124">
        <v>7.5</v>
      </c>
      <c r="AB1152" s="125">
        <f>IF(Projects!$AI1152="Electrolysis",
AA1152/VLOOKUP(G1152,ElectrolysisConvF,3,FALSE),
AC1152*10^6/(H2dens*HoursInYear))</f>
        <v>1442.307692</v>
      </c>
      <c r="AC1152" s="126">
        <f t="shared" si="228"/>
        <v>1.124480769</v>
      </c>
      <c r="AD1152" s="125"/>
      <c r="AE1152" s="125">
        <f t="shared" si="212"/>
        <v>1442.307692</v>
      </c>
      <c r="AF1152" s="127" t="s">
        <v>13947</v>
      </c>
      <c r="AG1152" s="127">
        <v>38.5244</v>
      </c>
      <c r="AH1152" s="127">
        <v>-8.8882</v>
      </c>
      <c r="AI1152" s="115" t="s">
        <v>12383</v>
      </c>
      <c r="AJ1152" s="116">
        <v>0.3</v>
      </c>
      <c r="AK1152" s="117"/>
      <c r="AL1152" s="117"/>
      <c r="AM1152" s="117"/>
      <c r="AN1152" s="117"/>
      <c r="AO1152" s="117"/>
    </row>
    <row r="1153" ht="34.5" customHeight="1">
      <c r="A1153" s="111">
        <v>1711.0</v>
      </c>
      <c r="B1153" s="111" t="s">
        <v>9156</v>
      </c>
      <c r="C1153" s="111" t="s">
        <v>8021</v>
      </c>
      <c r="D1153" s="111">
        <v>2028.0</v>
      </c>
      <c r="E1153" s="111"/>
      <c r="F1153" s="111" t="s">
        <v>12397</v>
      </c>
      <c r="G1153" s="111" t="s">
        <v>12381</v>
      </c>
      <c r="H1153" s="111" t="s">
        <v>12230</v>
      </c>
      <c r="I1153" s="111" t="s">
        <v>12394</v>
      </c>
      <c r="J1153" s="111" t="s">
        <v>12295</v>
      </c>
      <c r="K1153" s="111" t="s">
        <v>30</v>
      </c>
      <c r="L1153" s="111"/>
      <c r="M1153" s="111"/>
      <c r="N1153" s="111"/>
      <c r="O1153" s="111"/>
      <c r="P1153" s="111">
        <v>1.0</v>
      </c>
      <c r="Q1153" s="111">
        <v>1.0</v>
      </c>
      <c r="R1153" s="111">
        <v>1.0</v>
      </c>
      <c r="S1153" s="111"/>
      <c r="T1153" s="111"/>
      <c r="U1153" s="111"/>
      <c r="V1153" s="111"/>
      <c r="W1153" s="111"/>
      <c r="X1153" s="111"/>
      <c r="Y1153" s="111"/>
      <c r="Z1153" s="111" t="s">
        <v>13948</v>
      </c>
      <c r="AA1153" s="124">
        <v>300.0</v>
      </c>
      <c r="AB1153" s="125">
        <f>IF(Projects!$AI1153="Electrolysis",
AA1153/VLOOKUP(G1153,ElectrolysisConvF,3,FALSE),
AC1153*10^6/(H2dens*HoursInYear))</f>
        <v>66666.66667</v>
      </c>
      <c r="AC1153" s="126">
        <f t="shared" si="228"/>
        <v>51.976</v>
      </c>
      <c r="AD1153" s="125"/>
      <c r="AE1153" s="125">
        <f t="shared" si="212"/>
        <v>66666.66667</v>
      </c>
      <c r="AF1153" s="127" t="s">
        <v>13949</v>
      </c>
      <c r="AG1153" s="127">
        <v>-23.8415355203833</v>
      </c>
      <c r="AH1153" s="127">
        <v>151.250589188345</v>
      </c>
      <c r="AI1153" s="115" t="s">
        <v>12383</v>
      </c>
      <c r="AJ1153" s="116">
        <v>0.5</v>
      </c>
      <c r="AK1153" s="117"/>
      <c r="AL1153" s="117"/>
      <c r="AM1153" s="117"/>
      <c r="AN1153" s="117"/>
      <c r="AO1153" s="117"/>
    </row>
    <row r="1154" ht="34.5" customHeight="1">
      <c r="A1154" s="111">
        <v>1712.0</v>
      </c>
      <c r="B1154" s="111" t="s">
        <v>9157</v>
      </c>
      <c r="C1154" s="111" t="s">
        <v>7981</v>
      </c>
      <c r="D1154" s="111">
        <v>2025.0</v>
      </c>
      <c r="E1154" s="111"/>
      <c r="F1154" s="111" t="s">
        <v>12393</v>
      </c>
      <c r="G1154" s="111" t="s">
        <v>12224</v>
      </c>
      <c r="H1154" s="111"/>
      <c r="I1154" s="111" t="s">
        <v>12287</v>
      </c>
      <c r="J1154" s="111"/>
      <c r="K1154" s="111" t="s">
        <v>30</v>
      </c>
      <c r="L1154" s="111"/>
      <c r="M1154" s="111"/>
      <c r="N1154" s="111"/>
      <c r="O1154" s="111"/>
      <c r="P1154" s="111"/>
      <c r="Q1154" s="111"/>
      <c r="R1154" s="111">
        <v>1.0</v>
      </c>
      <c r="S1154" s="111"/>
      <c r="T1154" s="111"/>
      <c r="U1154" s="111"/>
      <c r="V1154" s="111"/>
      <c r="W1154" s="111"/>
      <c r="X1154" s="111"/>
      <c r="Y1154" s="111"/>
      <c r="Z1154" s="111" t="s">
        <v>13950</v>
      </c>
      <c r="AA1154" s="124">
        <v>220.0</v>
      </c>
      <c r="AB1154" s="125">
        <f>IF(Projects!$AI1154="Electrolysis",
AA1154/VLOOKUP(G1154,ElectrolysisConvF,3,FALSE),
AC1154*10^6/(H2dens*HoursInYear))</f>
        <v>47826.08696</v>
      </c>
      <c r="AC1154" s="126">
        <f t="shared" si="228"/>
        <v>37.28713043</v>
      </c>
      <c r="AD1154" s="125"/>
      <c r="AE1154" s="125">
        <f t="shared" si="212"/>
        <v>47826.08696</v>
      </c>
      <c r="AF1154" s="127" t="s">
        <v>13951</v>
      </c>
      <c r="AG1154" s="127">
        <v>39.352178</v>
      </c>
      <c r="AH1154" s="127">
        <v>-112.57717</v>
      </c>
      <c r="AI1154" s="115" t="s">
        <v>12383</v>
      </c>
      <c r="AJ1154" s="116">
        <v>0.57</v>
      </c>
      <c r="AK1154" s="117"/>
      <c r="AL1154" s="117"/>
      <c r="AM1154" s="117"/>
      <c r="AN1154" s="117"/>
      <c r="AO1154" s="117"/>
    </row>
    <row r="1155" ht="34.5" customHeight="1">
      <c r="A1155" s="111">
        <v>1713.0</v>
      </c>
      <c r="B1155" s="111" t="s">
        <v>9158</v>
      </c>
      <c r="C1155" s="111" t="s">
        <v>7981</v>
      </c>
      <c r="D1155" s="111">
        <v>2024.0</v>
      </c>
      <c r="E1155" s="111"/>
      <c r="F1155" s="111" t="s">
        <v>12393</v>
      </c>
      <c r="G1155" s="111" t="s">
        <v>12226</v>
      </c>
      <c r="H1155" s="111"/>
      <c r="I1155" s="111" t="s">
        <v>12287</v>
      </c>
      <c r="J1155" s="111"/>
      <c r="K1155" s="111" t="s">
        <v>30</v>
      </c>
      <c r="L1155" s="111"/>
      <c r="M1155" s="111"/>
      <c r="N1155" s="111"/>
      <c r="O1155" s="111"/>
      <c r="P1155" s="111"/>
      <c r="Q1155" s="111"/>
      <c r="R1155" s="111"/>
      <c r="S1155" s="111"/>
      <c r="T1155" s="111"/>
      <c r="U1155" s="111"/>
      <c r="V1155" s="111"/>
      <c r="W1155" s="111"/>
      <c r="X1155" s="111"/>
      <c r="Y1155" s="111"/>
      <c r="Z1155" s="111" t="s">
        <v>13952</v>
      </c>
      <c r="AA1155" s="126">
        <f>IF(Projects!$AI1155="Electrolysis",
AB1155*VLOOKUP(G1155,ElectrolysisConvF,3,FALSE),
"")</f>
        <v>36.51685393</v>
      </c>
      <c r="AB1155" s="125">
        <f>AC1155/(H2dens*HoursInYear/10^6)</f>
        <v>7022.47191</v>
      </c>
      <c r="AC1155" s="125">
        <f>15*365/1000</f>
        <v>5.475</v>
      </c>
      <c r="AD1155" s="125"/>
      <c r="AE1155" s="125">
        <f t="shared" si="212"/>
        <v>7022.47191</v>
      </c>
      <c r="AF1155" s="127" t="s">
        <v>13953</v>
      </c>
      <c r="AG1155" s="127">
        <v>30.257695</v>
      </c>
      <c r="AH1155" s="127">
        <v>-91.099271</v>
      </c>
      <c r="AI1155" s="115" t="s">
        <v>12383</v>
      </c>
      <c r="AJ1155" s="116">
        <v>0.57</v>
      </c>
      <c r="AK1155" s="117"/>
      <c r="AL1155" s="117"/>
      <c r="AM1155" s="117"/>
      <c r="AN1155" s="117"/>
      <c r="AO1155" s="117"/>
    </row>
    <row r="1156" ht="34.5" customHeight="1">
      <c r="A1156" s="111">
        <v>1714.0</v>
      </c>
      <c r="B1156" s="111" t="s">
        <v>9159</v>
      </c>
      <c r="C1156" s="111" t="s">
        <v>8591</v>
      </c>
      <c r="D1156" s="111">
        <v>2024.0</v>
      </c>
      <c r="E1156" s="111"/>
      <c r="F1156" s="111" t="s">
        <v>12385</v>
      </c>
      <c r="G1156" s="111" t="s">
        <v>12226</v>
      </c>
      <c r="H1156" s="111"/>
      <c r="I1156" s="111" t="s">
        <v>12287</v>
      </c>
      <c r="J1156" s="111"/>
      <c r="K1156" s="111" t="s">
        <v>30</v>
      </c>
      <c r="L1156" s="111">
        <v>1.0</v>
      </c>
      <c r="M1156" s="111"/>
      <c r="N1156" s="111"/>
      <c r="O1156" s="111"/>
      <c r="P1156" s="111"/>
      <c r="Q1156" s="111"/>
      <c r="R1156" s="111"/>
      <c r="S1156" s="111"/>
      <c r="T1156" s="111"/>
      <c r="U1156" s="111"/>
      <c r="V1156" s="111"/>
      <c r="W1156" s="111"/>
      <c r="X1156" s="111"/>
      <c r="Y1156" s="111"/>
      <c r="Z1156" s="111" t="s">
        <v>12422</v>
      </c>
      <c r="AA1156" s="124">
        <v>10.0</v>
      </c>
      <c r="AB1156" s="125">
        <f>IF(Projects!$AI1156="Electrolysis",
AA1156/VLOOKUP(G1156,ElectrolysisConvF,3,FALSE),
AC1156*10^6/(H2dens*HoursInYear))</f>
        <v>1923.076923</v>
      </c>
      <c r="AC1156" s="126">
        <f t="shared" ref="AC1156:AC1157" si="229">AB1156*H2dens*HoursInYear/10^6</f>
        <v>1.499307692</v>
      </c>
      <c r="AD1156" s="125"/>
      <c r="AE1156" s="125">
        <f t="shared" si="212"/>
        <v>1923.076923</v>
      </c>
      <c r="AF1156" s="127" t="s">
        <v>13954</v>
      </c>
      <c r="AG1156" s="127">
        <v>47.308332</v>
      </c>
      <c r="AH1156" s="127">
        <v>18.909671</v>
      </c>
      <c r="AI1156" s="115" t="s">
        <v>12383</v>
      </c>
      <c r="AJ1156" s="116">
        <v>0.57</v>
      </c>
      <c r="AK1156" s="117"/>
      <c r="AL1156" s="117"/>
      <c r="AM1156" s="117"/>
      <c r="AN1156" s="117"/>
      <c r="AO1156" s="117"/>
    </row>
    <row r="1157" ht="34.5" customHeight="1">
      <c r="A1157" s="111">
        <v>1715.0</v>
      </c>
      <c r="B1157" s="111" t="s">
        <v>9160</v>
      </c>
      <c r="C1157" s="111" t="s">
        <v>8785</v>
      </c>
      <c r="D1157" s="111">
        <v>2027.0</v>
      </c>
      <c r="E1157" s="111"/>
      <c r="F1157" s="111" t="s">
        <v>12399</v>
      </c>
      <c r="G1157" s="111" t="s">
        <v>12381</v>
      </c>
      <c r="H1157" s="111" t="s">
        <v>12230</v>
      </c>
      <c r="I1157" s="111" t="s">
        <v>12287</v>
      </c>
      <c r="J1157" s="111"/>
      <c r="K1157" s="111" t="s">
        <v>174</v>
      </c>
      <c r="L1157" s="111"/>
      <c r="M1157" s="111">
        <v>1.0</v>
      </c>
      <c r="N1157" s="111"/>
      <c r="O1157" s="111"/>
      <c r="P1157" s="111"/>
      <c r="Q1157" s="111"/>
      <c r="R1157" s="111"/>
      <c r="S1157" s="111"/>
      <c r="T1157" s="111"/>
      <c r="U1157" s="111"/>
      <c r="V1157" s="111"/>
      <c r="W1157" s="111"/>
      <c r="X1157" s="111"/>
      <c r="Y1157" s="111"/>
      <c r="Z1157" s="111" t="s">
        <v>13620</v>
      </c>
      <c r="AA1157" s="124">
        <v>500.0</v>
      </c>
      <c r="AB1157" s="125">
        <f>IF(Projects!$AI1157="Electrolysis",
AA1157/VLOOKUP(G1157,ElectrolysisConvF,3,FALSE),
AC1157*10^6/(H2dens*HoursInYear))</f>
        <v>111111.1111</v>
      </c>
      <c r="AC1157" s="126">
        <f t="shared" si="229"/>
        <v>86.62666667</v>
      </c>
      <c r="AD1157" s="125"/>
      <c r="AE1157" s="125">
        <f t="shared" si="212"/>
        <v>111111.1111</v>
      </c>
      <c r="AF1157" s="127" t="s">
        <v>13955</v>
      </c>
      <c r="AG1157" s="127">
        <v>29.659369</v>
      </c>
      <c r="AH1157" s="127">
        <v>32.34481</v>
      </c>
      <c r="AI1157" s="115" t="s">
        <v>12383</v>
      </c>
      <c r="AJ1157" s="116">
        <v>0.57</v>
      </c>
      <c r="AK1157" s="117"/>
      <c r="AL1157" s="117"/>
      <c r="AM1157" s="117"/>
      <c r="AN1157" s="117"/>
      <c r="AO1157" s="117"/>
    </row>
    <row r="1158" ht="34.5" customHeight="1">
      <c r="A1158" s="111">
        <v>1716.0</v>
      </c>
      <c r="B1158" s="111" t="s">
        <v>9161</v>
      </c>
      <c r="C1158" s="111" t="s">
        <v>8785</v>
      </c>
      <c r="D1158" s="111">
        <v>2026.0</v>
      </c>
      <c r="E1158" s="111"/>
      <c r="F1158" s="111" t="s">
        <v>12399</v>
      </c>
      <c r="G1158" s="111" t="s">
        <v>12381</v>
      </c>
      <c r="H1158" s="111" t="s">
        <v>12230</v>
      </c>
      <c r="I1158" s="111" t="s">
        <v>12287</v>
      </c>
      <c r="J1158" s="111"/>
      <c r="K1158" s="111" t="s">
        <v>12415</v>
      </c>
      <c r="L1158" s="111"/>
      <c r="M1158" s="111"/>
      <c r="N1158" s="111">
        <v>1.0</v>
      </c>
      <c r="O1158" s="111"/>
      <c r="P1158" s="111"/>
      <c r="Q1158" s="111">
        <v>1.0</v>
      </c>
      <c r="R1158" s="111"/>
      <c r="S1158" s="111"/>
      <c r="T1158" s="111"/>
      <c r="U1158" s="111"/>
      <c r="V1158" s="111"/>
      <c r="W1158" s="111"/>
      <c r="X1158" s="111"/>
      <c r="Y1158" s="111"/>
      <c r="Z1158" s="111" t="s">
        <v>13782</v>
      </c>
      <c r="AA1158" s="126">
        <f>IF(Projects!$AI1158="Electrolysis",
AB1158*VLOOKUP(G1158,ElectrolysisConvF,3,FALSE),
"")</f>
        <v>193.7402283</v>
      </c>
      <c r="AB1158" s="125">
        <f>AC1158/(H2dens*HoursInYear/10^6)</f>
        <v>43053.38406</v>
      </c>
      <c r="AC1158" s="125">
        <f>0.191327*100/Projects!$AJ1158</f>
        <v>33.56614035</v>
      </c>
      <c r="AD1158" s="125"/>
      <c r="AE1158" s="125">
        <f t="shared" si="212"/>
        <v>43053.38406</v>
      </c>
      <c r="AF1158" s="127" t="s">
        <v>13956</v>
      </c>
      <c r="AG1158" s="127">
        <v>29.659369</v>
      </c>
      <c r="AH1158" s="127">
        <v>32.34481</v>
      </c>
      <c r="AI1158" s="115" t="s">
        <v>12383</v>
      </c>
      <c r="AJ1158" s="116">
        <v>0.57</v>
      </c>
      <c r="AK1158" s="117"/>
      <c r="AL1158" s="117"/>
      <c r="AM1158" s="117"/>
      <c r="AN1158" s="117"/>
      <c r="AO1158" s="117"/>
    </row>
    <row r="1159" ht="34.5" customHeight="1">
      <c r="A1159" s="111">
        <v>1717.0</v>
      </c>
      <c r="B1159" s="111" t="s">
        <v>9162</v>
      </c>
      <c r="C1159" s="111" t="s">
        <v>8785</v>
      </c>
      <c r="D1159" s="111">
        <v>2030.0</v>
      </c>
      <c r="E1159" s="111"/>
      <c r="F1159" s="111" t="s">
        <v>12397</v>
      </c>
      <c r="G1159" s="111" t="s">
        <v>12381</v>
      </c>
      <c r="H1159" s="111" t="s">
        <v>12230</v>
      </c>
      <c r="I1159" s="111" t="s">
        <v>12287</v>
      </c>
      <c r="J1159" s="111"/>
      <c r="K1159" s="111" t="s">
        <v>174</v>
      </c>
      <c r="L1159" s="111"/>
      <c r="M1159" s="111">
        <v>1.0</v>
      </c>
      <c r="N1159" s="111"/>
      <c r="O1159" s="111"/>
      <c r="P1159" s="111">
        <v>1.0</v>
      </c>
      <c r="Q1159" s="111"/>
      <c r="R1159" s="111"/>
      <c r="S1159" s="111"/>
      <c r="T1159" s="111"/>
      <c r="U1159" s="111"/>
      <c r="V1159" s="111"/>
      <c r="W1159" s="111"/>
      <c r="X1159" s="111"/>
      <c r="Y1159" s="111"/>
      <c r="Z1159" s="111" t="s">
        <v>13957</v>
      </c>
      <c r="AA1159" s="126">
        <f>4000-AA1158</f>
        <v>3806.259772</v>
      </c>
      <c r="AB1159" s="125">
        <f>IF(Projects!$AI1159="Electrolysis",
AA1159/VLOOKUP(G1159,ElectrolysisConvF,3,FALSE),
AC1159*10^6/(H2dens*HoursInYear))</f>
        <v>845835.5048</v>
      </c>
      <c r="AC1159" s="126">
        <f t="shared" ref="AC1159:AC1162" si="230">AB1159*H2dens*HoursInYear/10^6</f>
        <v>659.447193</v>
      </c>
      <c r="AD1159" s="125"/>
      <c r="AE1159" s="125">
        <f t="shared" si="212"/>
        <v>845835.5048</v>
      </c>
      <c r="AF1159" s="127" t="s">
        <v>13956</v>
      </c>
      <c r="AG1159" s="127">
        <v>29.659369</v>
      </c>
      <c r="AH1159" s="127">
        <v>32.34481</v>
      </c>
      <c r="AI1159" s="115" t="s">
        <v>12383</v>
      </c>
      <c r="AJ1159" s="116">
        <v>0.57</v>
      </c>
      <c r="AK1159" s="117"/>
      <c r="AL1159" s="117"/>
      <c r="AM1159" s="117"/>
      <c r="AN1159" s="117"/>
      <c r="AO1159" s="117"/>
    </row>
    <row r="1160" ht="34.5" customHeight="1">
      <c r="A1160" s="111">
        <v>1718.0</v>
      </c>
      <c r="B1160" s="111" t="s">
        <v>9163</v>
      </c>
      <c r="C1160" s="111" t="s">
        <v>7981</v>
      </c>
      <c r="D1160" s="111"/>
      <c r="E1160" s="111"/>
      <c r="F1160" s="111" t="s">
        <v>12399</v>
      </c>
      <c r="G1160" s="111" t="s">
        <v>12228</v>
      </c>
      <c r="H1160" s="111"/>
      <c r="I1160" s="111" t="s">
        <v>12287</v>
      </c>
      <c r="J1160" s="111"/>
      <c r="K1160" s="111" t="s">
        <v>174</v>
      </c>
      <c r="L1160" s="111"/>
      <c r="M1160" s="111">
        <v>1.0</v>
      </c>
      <c r="N1160" s="111"/>
      <c r="O1160" s="111"/>
      <c r="P1160" s="111"/>
      <c r="Q1160" s="111"/>
      <c r="R1160" s="111"/>
      <c r="S1160" s="111"/>
      <c r="T1160" s="111"/>
      <c r="U1160" s="111"/>
      <c r="V1160" s="111"/>
      <c r="W1160" s="111"/>
      <c r="X1160" s="111"/>
      <c r="Y1160" s="111"/>
      <c r="Z1160" s="111" t="s">
        <v>12422</v>
      </c>
      <c r="AA1160" s="124">
        <v>10.0</v>
      </c>
      <c r="AB1160" s="125">
        <f>IF(Projects!$AI1160="Electrolysis",
AA1160/VLOOKUP(G1160,ElectrolysisConvF,3,FALSE),
AC1160*10^6/(H2dens*HoursInYear))</f>
        <v>2631.578947</v>
      </c>
      <c r="AC1160" s="126">
        <f t="shared" si="230"/>
        <v>2.051684211</v>
      </c>
      <c r="AD1160" s="125"/>
      <c r="AE1160" s="125">
        <f t="shared" si="212"/>
        <v>2631.578947</v>
      </c>
      <c r="AF1160" s="127" t="s">
        <v>13958</v>
      </c>
      <c r="AG1160" s="127">
        <v>36.2428395881232</v>
      </c>
      <c r="AH1160" s="127">
        <v>-95.2761463170514</v>
      </c>
      <c r="AI1160" s="115" t="s">
        <v>12383</v>
      </c>
      <c r="AJ1160" s="116">
        <v>0.57</v>
      </c>
      <c r="AK1160" s="117"/>
      <c r="AL1160" s="117"/>
      <c r="AM1160" s="117"/>
      <c r="AN1160" s="117"/>
      <c r="AO1160" s="117"/>
    </row>
    <row r="1161" ht="34.5" customHeight="1">
      <c r="A1161" s="111">
        <v>1719.0</v>
      </c>
      <c r="B1161" s="111" t="s">
        <v>9163</v>
      </c>
      <c r="C1161" s="111" t="s">
        <v>7981</v>
      </c>
      <c r="D1161" s="111"/>
      <c r="E1161" s="111"/>
      <c r="F1161" s="111" t="s">
        <v>12399</v>
      </c>
      <c r="G1161" s="111" t="s">
        <v>12224</v>
      </c>
      <c r="H1161" s="111"/>
      <c r="I1161" s="111" t="s">
        <v>12287</v>
      </c>
      <c r="J1161" s="111"/>
      <c r="K1161" s="111" t="s">
        <v>174</v>
      </c>
      <c r="L1161" s="111"/>
      <c r="M1161" s="111">
        <v>1.0</v>
      </c>
      <c r="N1161" s="111"/>
      <c r="O1161" s="111"/>
      <c r="P1161" s="111"/>
      <c r="Q1161" s="111"/>
      <c r="R1161" s="111"/>
      <c r="S1161" s="111"/>
      <c r="T1161" s="111"/>
      <c r="U1161" s="111"/>
      <c r="V1161" s="111"/>
      <c r="W1161" s="111"/>
      <c r="X1161" s="111"/>
      <c r="Y1161" s="111"/>
      <c r="Z1161" s="111" t="s">
        <v>12411</v>
      </c>
      <c r="AA1161" s="124">
        <v>20.0</v>
      </c>
      <c r="AB1161" s="125">
        <f>IF(Projects!$AI1161="Electrolysis",
AA1161/VLOOKUP(G1161,ElectrolysisConvF,3,FALSE),
AC1161*10^6/(H2dens*HoursInYear))</f>
        <v>4347.826087</v>
      </c>
      <c r="AC1161" s="126">
        <f t="shared" si="230"/>
        <v>3.38973913</v>
      </c>
      <c r="AD1161" s="125"/>
      <c r="AE1161" s="125">
        <f t="shared" si="212"/>
        <v>4347.826087</v>
      </c>
      <c r="AF1161" s="127" t="s">
        <v>13958</v>
      </c>
      <c r="AG1161" s="127">
        <v>36.2428395881232</v>
      </c>
      <c r="AH1161" s="127">
        <v>-95.2761463170514</v>
      </c>
      <c r="AI1161" s="115" t="s">
        <v>12383</v>
      </c>
      <c r="AJ1161" s="116">
        <v>0.57</v>
      </c>
      <c r="AK1161" s="117"/>
      <c r="AL1161" s="117"/>
      <c r="AM1161" s="117"/>
      <c r="AN1161" s="117"/>
      <c r="AO1161" s="117"/>
    </row>
    <row r="1162" ht="34.5" customHeight="1">
      <c r="A1162" s="111">
        <v>1720.0</v>
      </c>
      <c r="B1162" s="111" t="s">
        <v>9164</v>
      </c>
      <c r="C1162" s="111" t="s">
        <v>7977</v>
      </c>
      <c r="D1162" s="111">
        <v>2025.0</v>
      </c>
      <c r="E1162" s="111"/>
      <c r="F1162" s="111" t="s">
        <v>12393</v>
      </c>
      <c r="G1162" s="111" t="s">
        <v>12224</v>
      </c>
      <c r="H1162" s="111"/>
      <c r="I1162" s="111" t="s">
        <v>12759</v>
      </c>
      <c r="J1162" s="111" t="s">
        <v>12295</v>
      </c>
      <c r="K1162" s="111" t="s">
        <v>12251</v>
      </c>
      <c r="L1162" s="111">
        <v>1.0</v>
      </c>
      <c r="M1162" s="111"/>
      <c r="N1162" s="111"/>
      <c r="O1162" s="111"/>
      <c r="P1162" s="111"/>
      <c r="Q1162" s="111"/>
      <c r="R1162" s="111"/>
      <c r="S1162" s="111"/>
      <c r="T1162" s="111"/>
      <c r="U1162" s="111"/>
      <c r="V1162" s="111"/>
      <c r="W1162" s="111">
        <v>1.0</v>
      </c>
      <c r="X1162" s="111"/>
      <c r="Y1162" s="111"/>
      <c r="Z1162" s="111" t="s">
        <v>12703</v>
      </c>
      <c r="AA1162" s="125">
        <v>10.0</v>
      </c>
      <c r="AB1162" s="125">
        <f>IF(Projects!$AI1162="Electrolysis",
AA1162/VLOOKUP(G1162,ElectrolysisConvF,3,FALSE),
AC1162*10^6/(H2dens*HoursInYear))</f>
        <v>2173.913043</v>
      </c>
      <c r="AC1162" s="126">
        <f t="shared" si="230"/>
        <v>1.694869565</v>
      </c>
      <c r="AD1162" s="125"/>
      <c r="AE1162" s="125">
        <f>AB1162</f>
        <v>2173.913043</v>
      </c>
      <c r="AF1162" s="127" t="s">
        <v>13959</v>
      </c>
      <c r="AG1162" s="127">
        <v>43.3255995287192</v>
      </c>
      <c r="AH1162" s="127">
        <v>-3.11395301897643</v>
      </c>
      <c r="AI1162" s="115" t="s">
        <v>12383</v>
      </c>
      <c r="AJ1162" s="116">
        <v>0.7</v>
      </c>
      <c r="AK1162" s="117"/>
      <c r="AL1162" s="117"/>
      <c r="AM1162" s="117"/>
      <c r="AN1162" s="117"/>
      <c r="AO1162" s="117"/>
    </row>
    <row r="1163" ht="34.5" customHeight="1">
      <c r="A1163" s="111">
        <v>1724.0</v>
      </c>
      <c r="B1163" s="111" t="s">
        <v>9165</v>
      </c>
      <c r="C1163" s="111" t="s">
        <v>8602</v>
      </c>
      <c r="D1163" s="111">
        <v>2027.0</v>
      </c>
      <c r="E1163" s="111"/>
      <c r="F1163" s="111" t="s">
        <v>12399</v>
      </c>
      <c r="G1163" s="111" t="s">
        <v>12224</v>
      </c>
      <c r="H1163" s="111"/>
      <c r="I1163" s="111" t="s">
        <v>12287</v>
      </c>
      <c r="J1163" s="111"/>
      <c r="K1163" s="111" t="s">
        <v>174</v>
      </c>
      <c r="L1163" s="111"/>
      <c r="M1163" s="111">
        <v>1.0</v>
      </c>
      <c r="N1163" s="111"/>
      <c r="O1163" s="111"/>
      <c r="P1163" s="111"/>
      <c r="Q1163" s="111"/>
      <c r="R1163" s="111"/>
      <c r="S1163" s="111"/>
      <c r="T1163" s="111"/>
      <c r="U1163" s="111"/>
      <c r="V1163" s="111"/>
      <c r="W1163" s="111"/>
      <c r="X1163" s="111"/>
      <c r="Y1163" s="111"/>
      <c r="Z1163" s="111" t="s">
        <v>13960</v>
      </c>
      <c r="AA1163" s="126">
        <f>IF(Projects!$AI1163="Electrolysis",
AB1163*VLOOKUP(G1163,ElectrolysisConvF,3,FALSE),
"")</f>
        <v>528.0208047</v>
      </c>
      <c r="AB1163" s="125">
        <f t="shared" ref="AB1163:AB1165" si="231">AC1163/(H2dens*HoursInYear/10^6)</f>
        <v>114787.1314</v>
      </c>
      <c r="AC1163" s="125">
        <f>(24+(150*3/17/0.98))/Projects!$AJ1163</f>
        <v>89.49263916</v>
      </c>
      <c r="AD1163" s="125"/>
      <c r="AE1163" s="125">
        <f t="shared" ref="AE1163:AE1165" si="232">IF(AND(G1163&lt;&gt;"NG w CCUS",G1163&lt;&gt;"Oil w CCUS",G1163&lt;&gt;"Coal w CCUS"),AB1163,AD1163*10^3/(HoursInYear*IF(G1163="NG w CCUS",0.9105,1.9075)))</f>
        <v>114787.1314</v>
      </c>
      <c r="AF1163" s="127" t="s">
        <v>13961</v>
      </c>
      <c r="AG1163" s="127">
        <v>10.2333324</v>
      </c>
      <c r="AH1163" s="127">
        <v>106.3833318</v>
      </c>
      <c r="AI1163" s="115" t="s">
        <v>12383</v>
      </c>
      <c r="AJ1163" s="116">
        <v>0.57</v>
      </c>
      <c r="AK1163" s="117"/>
      <c r="AL1163" s="117"/>
      <c r="AM1163" s="117"/>
      <c r="AN1163" s="117"/>
      <c r="AO1163" s="117"/>
    </row>
    <row r="1164" ht="34.5" customHeight="1">
      <c r="A1164" s="111">
        <v>1725.0</v>
      </c>
      <c r="B1164" s="111" t="s">
        <v>9166</v>
      </c>
      <c r="C1164" s="111" t="s">
        <v>8602</v>
      </c>
      <c r="D1164" s="111"/>
      <c r="E1164" s="111"/>
      <c r="F1164" s="111" t="s">
        <v>12397</v>
      </c>
      <c r="G1164" s="111" t="s">
        <v>12381</v>
      </c>
      <c r="H1164" s="111" t="s">
        <v>12230</v>
      </c>
      <c r="I1164" s="111" t="s">
        <v>12287</v>
      </c>
      <c r="J1164" s="111"/>
      <c r="K1164" s="111" t="s">
        <v>30</v>
      </c>
      <c r="L1164" s="111"/>
      <c r="M1164" s="111">
        <v>1.0</v>
      </c>
      <c r="N1164" s="111"/>
      <c r="O1164" s="111"/>
      <c r="P1164" s="111"/>
      <c r="Q1164" s="111"/>
      <c r="R1164" s="111"/>
      <c r="S1164" s="111"/>
      <c r="T1164" s="111"/>
      <c r="U1164" s="111"/>
      <c r="V1164" s="111"/>
      <c r="W1164" s="111"/>
      <c r="X1164" s="111"/>
      <c r="Y1164" s="111"/>
      <c r="Z1164" s="111" t="s">
        <v>13962</v>
      </c>
      <c r="AA1164" s="126">
        <f>IF(Projects!$AI1164="Electrolysis",
AB1164*VLOOKUP(G1164,ElectrolysisConvF,3,FALSE),
"")</f>
        <v>774.9225432</v>
      </c>
      <c r="AB1164" s="125">
        <f t="shared" si="231"/>
        <v>172205.0096</v>
      </c>
      <c r="AC1164" s="125">
        <f>(60+(375*3/17/0.98)-51)/Projects!$AJ1164</f>
        <v>134.2579137</v>
      </c>
      <c r="AD1164" s="125"/>
      <c r="AE1164" s="125">
        <f t="shared" si="232"/>
        <v>172205.0096</v>
      </c>
      <c r="AF1164" s="127" t="s">
        <v>13961</v>
      </c>
      <c r="AG1164" s="127">
        <v>10.2333324</v>
      </c>
      <c r="AH1164" s="127">
        <v>106.3833318</v>
      </c>
      <c r="AI1164" s="115" t="s">
        <v>12383</v>
      </c>
      <c r="AJ1164" s="116">
        <v>0.57</v>
      </c>
      <c r="AK1164" s="117"/>
      <c r="AL1164" s="117"/>
      <c r="AM1164" s="117"/>
      <c r="AN1164" s="117"/>
      <c r="AO1164" s="117"/>
    </row>
    <row r="1165" ht="34.5" customHeight="1">
      <c r="A1165" s="111">
        <v>1726.0</v>
      </c>
      <c r="B1165" s="111" t="s">
        <v>9167</v>
      </c>
      <c r="C1165" s="111" t="s">
        <v>7981</v>
      </c>
      <c r="D1165" s="111">
        <v>2026.0</v>
      </c>
      <c r="E1165" s="111"/>
      <c r="F1165" s="111" t="s">
        <v>12399</v>
      </c>
      <c r="G1165" s="111" t="s">
        <v>12235</v>
      </c>
      <c r="H1165" s="111" t="s">
        <v>13373</v>
      </c>
      <c r="I1165" s="111"/>
      <c r="J1165" s="111"/>
      <c r="K1165" s="111" t="s">
        <v>174</v>
      </c>
      <c r="L1165" s="111"/>
      <c r="M1165" s="111">
        <v>1.0</v>
      </c>
      <c r="N1165" s="111"/>
      <c r="O1165" s="111"/>
      <c r="P1165" s="111"/>
      <c r="Q1165" s="111"/>
      <c r="R1165" s="111"/>
      <c r="S1165" s="111"/>
      <c r="T1165" s="111"/>
      <c r="U1165" s="111"/>
      <c r="V1165" s="111"/>
      <c r="W1165" s="111"/>
      <c r="X1165" s="111"/>
      <c r="Y1165" s="111"/>
      <c r="Z1165" s="111" t="s">
        <v>13963</v>
      </c>
      <c r="AA1165" s="124"/>
      <c r="AB1165" s="125">
        <f t="shared" si="231"/>
        <v>86613.06604</v>
      </c>
      <c r="AC1165" s="125">
        <f>375*3/17/0.98</f>
        <v>67.5270108</v>
      </c>
      <c r="AD1165" s="125">
        <v>450000.0</v>
      </c>
      <c r="AE1165" s="125">
        <f t="shared" si="232"/>
        <v>56419.39925</v>
      </c>
      <c r="AF1165" s="127" t="s">
        <v>13964</v>
      </c>
      <c r="AG1165" s="127">
        <v>33.265263508499</v>
      </c>
      <c r="AH1165" s="127">
        <v>-92.660997857399</v>
      </c>
      <c r="AI1165" s="115" t="s">
        <v>12378</v>
      </c>
      <c r="AJ1165" s="116">
        <v>0.9</v>
      </c>
      <c r="AK1165" s="117"/>
      <c r="AL1165" s="117"/>
      <c r="AM1165" s="117"/>
      <c r="AN1165" s="117"/>
      <c r="AO1165" s="117"/>
    </row>
    <row r="1166" ht="34.5" customHeight="1">
      <c r="A1166" s="111">
        <v>1728.0</v>
      </c>
      <c r="B1166" s="111" t="s">
        <v>9168</v>
      </c>
      <c r="C1166" s="111" t="s">
        <v>7977</v>
      </c>
      <c r="D1166" s="111"/>
      <c r="E1166" s="111"/>
      <c r="F1166" s="111" t="s">
        <v>12399</v>
      </c>
      <c r="G1166" s="111" t="s">
        <v>12226</v>
      </c>
      <c r="H1166" s="111"/>
      <c r="I1166" s="111" t="s">
        <v>12394</v>
      </c>
      <c r="J1166" s="111" t="s">
        <v>12293</v>
      </c>
      <c r="K1166" s="111" t="s">
        <v>30</v>
      </c>
      <c r="L1166" s="111"/>
      <c r="M1166" s="111"/>
      <c r="N1166" s="111"/>
      <c r="O1166" s="111"/>
      <c r="P1166" s="111"/>
      <c r="Q1166" s="111">
        <v>1.0</v>
      </c>
      <c r="R1166" s="111"/>
      <c r="S1166" s="111"/>
      <c r="T1166" s="111"/>
      <c r="U1166" s="111"/>
      <c r="V1166" s="111"/>
      <c r="W1166" s="111"/>
      <c r="X1166" s="111"/>
      <c r="Y1166" s="111"/>
      <c r="Z1166" s="111" t="s">
        <v>12802</v>
      </c>
      <c r="AA1166" s="124">
        <v>30.0</v>
      </c>
      <c r="AB1166" s="125">
        <f>IF(Projects!$AI1166="Electrolysis",
AA1166/VLOOKUP(G1166,ElectrolysisConvF,3,FALSE),
AC1166*10^6/(H2dens*HoursInYear))</f>
        <v>5769.230769</v>
      </c>
      <c r="AC1166" s="126">
        <f t="shared" ref="AC1166:AC1169" si="233">AB1166*H2dens*HoursInYear/10^6</f>
        <v>4.497923077</v>
      </c>
      <c r="AD1166" s="125"/>
      <c r="AE1166" s="125">
        <f t="shared" ref="AE1166:AE1167" si="234">AB1166</f>
        <v>5769.230769</v>
      </c>
      <c r="AF1166" s="127" t="s">
        <v>13965</v>
      </c>
      <c r="AG1166" s="127">
        <v>43.457355</v>
      </c>
      <c r="AH1166" s="127">
        <v>-7.947904</v>
      </c>
      <c r="AI1166" s="115" t="s">
        <v>12383</v>
      </c>
      <c r="AJ1166" s="116">
        <v>0.55</v>
      </c>
      <c r="AK1166" s="117"/>
      <c r="AL1166" s="117"/>
      <c r="AM1166" s="117"/>
      <c r="AN1166" s="117"/>
      <c r="AO1166" s="117"/>
    </row>
    <row r="1167" ht="34.5" customHeight="1">
      <c r="A1167" s="111">
        <v>1729.0</v>
      </c>
      <c r="B1167" s="111" t="s">
        <v>9168</v>
      </c>
      <c r="C1167" s="111" t="s">
        <v>7977</v>
      </c>
      <c r="D1167" s="111"/>
      <c r="E1167" s="111"/>
      <c r="F1167" s="111" t="s">
        <v>12399</v>
      </c>
      <c r="G1167" s="111" t="s">
        <v>12226</v>
      </c>
      <c r="H1167" s="111"/>
      <c r="I1167" s="111" t="s">
        <v>12394</v>
      </c>
      <c r="J1167" s="111" t="s">
        <v>12293</v>
      </c>
      <c r="K1167" s="111" t="s">
        <v>30</v>
      </c>
      <c r="L1167" s="111"/>
      <c r="M1167" s="111"/>
      <c r="N1167" s="111"/>
      <c r="O1167" s="111"/>
      <c r="P1167" s="111"/>
      <c r="Q1167" s="111">
        <v>1.0</v>
      </c>
      <c r="R1167" s="111"/>
      <c r="S1167" s="111"/>
      <c r="T1167" s="111"/>
      <c r="U1167" s="111"/>
      <c r="V1167" s="111"/>
      <c r="W1167" s="111"/>
      <c r="X1167" s="111"/>
      <c r="Y1167" s="111"/>
      <c r="Z1167" s="111" t="s">
        <v>12768</v>
      </c>
      <c r="AA1167" s="124">
        <v>50.0</v>
      </c>
      <c r="AB1167" s="125">
        <f>IF(Projects!$AI1167="Electrolysis",
AA1167/VLOOKUP(G1167,ElectrolysisConvF,3,FALSE),
AC1167*10^6/(H2dens*HoursInYear))</f>
        <v>9615.384615</v>
      </c>
      <c r="AC1167" s="126">
        <f t="shared" si="233"/>
        <v>7.496538462</v>
      </c>
      <c r="AD1167" s="125"/>
      <c r="AE1167" s="125">
        <f t="shared" si="234"/>
        <v>9615.384615</v>
      </c>
      <c r="AF1167" s="127" t="s">
        <v>13965</v>
      </c>
      <c r="AG1167" s="127">
        <v>43.457355</v>
      </c>
      <c r="AH1167" s="127">
        <v>-7.947904</v>
      </c>
      <c r="AI1167" s="115" t="s">
        <v>12383</v>
      </c>
      <c r="AJ1167" s="116">
        <v>0.55</v>
      </c>
      <c r="AK1167" s="117"/>
      <c r="AL1167" s="117"/>
      <c r="AM1167" s="117"/>
      <c r="AN1167" s="117"/>
      <c r="AO1167" s="117"/>
    </row>
    <row r="1168" ht="34.5" customHeight="1">
      <c r="A1168" s="111">
        <v>1731.0</v>
      </c>
      <c r="B1168" s="111" t="s">
        <v>9169</v>
      </c>
      <c r="C1168" s="111" t="s">
        <v>8620</v>
      </c>
      <c r="D1168" s="111">
        <v>2030.0</v>
      </c>
      <c r="E1168" s="111"/>
      <c r="F1168" s="111" t="s">
        <v>12399</v>
      </c>
      <c r="G1168" s="111" t="s">
        <v>12381</v>
      </c>
      <c r="H1168" s="111" t="s">
        <v>12230</v>
      </c>
      <c r="I1168" s="111" t="s">
        <v>12394</v>
      </c>
      <c r="J1168" s="111" t="s">
        <v>12295</v>
      </c>
      <c r="K1168" s="111" t="s">
        <v>30</v>
      </c>
      <c r="L1168" s="111"/>
      <c r="M1168" s="111"/>
      <c r="N1168" s="111"/>
      <c r="O1168" s="111"/>
      <c r="P1168" s="111"/>
      <c r="Q1168" s="111">
        <v>1.0</v>
      </c>
      <c r="R1168" s="111"/>
      <c r="S1168" s="111"/>
      <c r="T1168" s="111"/>
      <c r="U1168" s="111"/>
      <c r="V1168" s="111"/>
      <c r="W1168" s="111"/>
      <c r="X1168" s="111"/>
      <c r="Y1168" s="111"/>
      <c r="Z1168" s="111" t="s">
        <v>13966</v>
      </c>
      <c r="AA1168" s="124">
        <f>36-6</f>
        <v>30</v>
      </c>
      <c r="AB1168" s="125">
        <f>IF(Projects!$AI1168="Electrolysis",
AA1168/VLOOKUP(G1168,ElectrolysisConvF,3,FALSE),
AC1168*10^6/(H2dens*HoursInYear))</f>
        <v>6666.666667</v>
      </c>
      <c r="AC1168" s="126">
        <f t="shared" si="233"/>
        <v>5.1976</v>
      </c>
      <c r="AD1168" s="125"/>
      <c r="AE1168" s="125">
        <f t="shared" ref="AE1168:AE1328" si="235">IF(AND(G1168&lt;&gt;"NG w CCUS",G1168&lt;&gt;"Oil w CCUS",G1168&lt;&gt;"Coal w CCUS"),AB1168,AD1168*10^3/(HoursInYear*IF(G1168="NG w CCUS",0.9105,1.9075)))</f>
        <v>6666.666667</v>
      </c>
      <c r="AF1168" s="127" t="s">
        <v>13411</v>
      </c>
      <c r="AG1168" s="127">
        <v>50.2704161311497</v>
      </c>
      <c r="AH1168" s="127">
        <v>14.5131943817664</v>
      </c>
      <c r="AI1168" s="115" t="s">
        <v>12383</v>
      </c>
      <c r="AJ1168" s="116">
        <v>0.5</v>
      </c>
      <c r="AK1168" s="117"/>
      <c r="AL1168" s="117"/>
      <c r="AM1168" s="117"/>
      <c r="AN1168" s="117"/>
      <c r="AO1168" s="117"/>
    </row>
    <row r="1169" ht="34.5" customHeight="1">
      <c r="A1169" s="111">
        <v>1732.0</v>
      </c>
      <c r="B1169" s="111" t="s">
        <v>9170</v>
      </c>
      <c r="C1169" s="111" t="s">
        <v>7987</v>
      </c>
      <c r="D1169" s="111">
        <v>2024.0</v>
      </c>
      <c r="E1169" s="111"/>
      <c r="F1169" s="111" t="s">
        <v>12393</v>
      </c>
      <c r="G1169" s="111" t="s">
        <v>12226</v>
      </c>
      <c r="H1169" s="111"/>
      <c r="I1169" s="111" t="s">
        <v>12394</v>
      </c>
      <c r="J1169" s="111" t="s">
        <v>12292</v>
      </c>
      <c r="K1169" s="111" t="s">
        <v>30</v>
      </c>
      <c r="L1169" s="111"/>
      <c r="M1169" s="111"/>
      <c r="N1169" s="111"/>
      <c r="O1169" s="111"/>
      <c r="P1169" s="111"/>
      <c r="Q1169" s="111">
        <v>1.0</v>
      </c>
      <c r="R1169" s="111"/>
      <c r="S1169" s="111"/>
      <c r="T1169" s="111"/>
      <c r="U1169" s="111"/>
      <c r="V1169" s="111"/>
      <c r="W1169" s="111"/>
      <c r="X1169" s="111"/>
      <c r="Y1169" s="111"/>
      <c r="Z1169" s="111" t="s">
        <v>12424</v>
      </c>
      <c r="AA1169" s="124">
        <v>2.0</v>
      </c>
      <c r="AB1169" s="125">
        <f>IF(Projects!$AI1169="Electrolysis",
AA1169/VLOOKUP(G1169,ElectrolysisConvF,3,FALSE),
AC1169*10^6/(H2dens*HoursInYear))</f>
        <v>384.6153846</v>
      </c>
      <c r="AC1169" s="126">
        <f t="shared" si="233"/>
        <v>0.2998615385</v>
      </c>
      <c r="AD1169" s="125"/>
      <c r="AE1169" s="125">
        <f t="shared" si="235"/>
        <v>384.6153846</v>
      </c>
      <c r="AF1169" s="127" t="s">
        <v>13967</v>
      </c>
      <c r="AG1169" s="127">
        <v>53.5548105093506</v>
      </c>
      <c r="AH1169" s="127">
        <v>8.57917324289646</v>
      </c>
      <c r="AI1169" s="115" t="s">
        <v>12383</v>
      </c>
      <c r="AJ1169" s="116">
        <v>0.4</v>
      </c>
      <c r="AK1169" s="117"/>
      <c r="AL1169" s="117"/>
      <c r="AM1169" s="117"/>
      <c r="AN1169" s="117"/>
      <c r="AO1169" s="117"/>
    </row>
    <row r="1170" ht="34.5" customHeight="1">
      <c r="A1170" s="111">
        <v>1734.0</v>
      </c>
      <c r="B1170" s="111" t="s">
        <v>9171</v>
      </c>
      <c r="C1170" s="111" t="s">
        <v>8785</v>
      </c>
      <c r="D1170" s="111">
        <v>2026.0</v>
      </c>
      <c r="E1170" s="111"/>
      <c r="F1170" s="111" t="s">
        <v>12399</v>
      </c>
      <c r="G1170" s="111" t="s">
        <v>12241</v>
      </c>
      <c r="H1170" s="111" t="s">
        <v>13968</v>
      </c>
      <c r="I1170" s="111"/>
      <c r="J1170" s="111"/>
      <c r="K1170" s="111" t="s">
        <v>30</v>
      </c>
      <c r="L1170" s="111"/>
      <c r="M1170" s="111"/>
      <c r="N1170" s="111"/>
      <c r="O1170" s="111"/>
      <c r="P1170" s="111"/>
      <c r="Q1170" s="111"/>
      <c r="R1170" s="111"/>
      <c r="S1170" s="111"/>
      <c r="T1170" s="111"/>
      <c r="U1170" s="111"/>
      <c r="V1170" s="111"/>
      <c r="W1170" s="111">
        <v>1.0</v>
      </c>
      <c r="X1170" s="111"/>
      <c r="Y1170" s="111"/>
      <c r="Z1170" s="111" t="s">
        <v>13969</v>
      </c>
      <c r="AA1170" s="125"/>
      <c r="AB1170" s="125">
        <f>AC1170/(H2dens*HoursInYear/10^6)</f>
        <v>384792.9814</v>
      </c>
      <c r="AC1170" s="125">
        <v>300.0</v>
      </c>
      <c r="AD1170" s="125"/>
      <c r="AE1170" s="125">
        <f t="shared" si="235"/>
        <v>384792.9814</v>
      </c>
      <c r="AF1170" s="127" t="s">
        <v>13970</v>
      </c>
      <c r="AG1170" s="127">
        <v>31.25654</v>
      </c>
      <c r="AH1170" s="127">
        <v>32.28411</v>
      </c>
      <c r="AI1170" s="115" t="s">
        <v>12241</v>
      </c>
      <c r="AJ1170" s="116">
        <v>0.9</v>
      </c>
      <c r="AK1170" s="117"/>
      <c r="AL1170" s="117"/>
      <c r="AM1170" s="117"/>
      <c r="AN1170" s="117"/>
      <c r="AO1170" s="117"/>
    </row>
    <row r="1171" ht="34.5" customHeight="1">
      <c r="A1171" s="111">
        <v>1735.0</v>
      </c>
      <c r="B1171" s="111" t="s">
        <v>9172</v>
      </c>
      <c r="C1171" s="111" t="s">
        <v>7987</v>
      </c>
      <c r="D1171" s="111">
        <v>2026.0</v>
      </c>
      <c r="E1171" s="111"/>
      <c r="F1171" s="111" t="s">
        <v>12399</v>
      </c>
      <c r="G1171" s="111" t="s">
        <v>12381</v>
      </c>
      <c r="H1171" s="111" t="s">
        <v>12230</v>
      </c>
      <c r="I1171" s="111" t="s">
        <v>12394</v>
      </c>
      <c r="J1171" s="111" t="s">
        <v>12296</v>
      </c>
      <c r="K1171" s="111" t="s">
        <v>30</v>
      </c>
      <c r="L1171" s="111"/>
      <c r="M1171" s="111"/>
      <c r="N1171" s="111"/>
      <c r="O1171" s="111"/>
      <c r="P1171" s="111"/>
      <c r="Q1171" s="111">
        <v>1.0</v>
      </c>
      <c r="R1171" s="111"/>
      <c r="S1171" s="111"/>
      <c r="T1171" s="111"/>
      <c r="U1171" s="111"/>
      <c r="V1171" s="111"/>
      <c r="W1171" s="111"/>
      <c r="X1171" s="111"/>
      <c r="Y1171" s="111"/>
      <c r="Z1171" s="111" t="s">
        <v>12422</v>
      </c>
      <c r="AA1171" s="124">
        <v>10.0</v>
      </c>
      <c r="AB1171" s="125">
        <f>IF(Projects!$AI1171="Electrolysis",
AA1171/VLOOKUP(G1171,ElectrolysisConvF,3,FALSE),
AC1171*10^6/(H2dens*HoursInYear))</f>
        <v>2222.222222</v>
      </c>
      <c r="AC1171" s="126">
        <f>AB1171*H2dens*HoursInYear/10^6</f>
        <v>1.732533333</v>
      </c>
      <c r="AD1171" s="125"/>
      <c r="AE1171" s="125">
        <f t="shared" si="235"/>
        <v>2222.222222</v>
      </c>
      <c r="AF1171" s="127" t="s">
        <v>13971</v>
      </c>
      <c r="AG1171" s="127">
        <v>53.3602460839282</v>
      </c>
      <c r="AH1171" s="127">
        <v>7.21164166207105</v>
      </c>
      <c r="AI1171" s="115" t="s">
        <v>12383</v>
      </c>
      <c r="AJ1171" s="116">
        <v>0.5</v>
      </c>
      <c r="AK1171" s="117"/>
      <c r="AL1171" s="117"/>
      <c r="AM1171" s="117"/>
      <c r="AN1171" s="117"/>
      <c r="AO1171" s="117"/>
    </row>
    <row r="1172" ht="34.5" customHeight="1">
      <c r="A1172" s="111">
        <v>1736.0</v>
      </c>
      <c r="B1172" s="111" t="s">
        <v>9173</v>
      </c>
      <c r="C1172" s="111" t="s">
        <v>7987</v>
      </c>
      <c r="D1172" s="111">
        <v>2026.0</v>
      </c>
      <c r="E1172" s="111"/>
      <c r="F1172" s="111" t="s">
        <v>12393</v>
      </c>
      <c r="G1172" s="111" t="s">
        <v>12226</v>
      </c>
      <c r="H1172" s="111"/>
      <c r="I1172" s="111" t="s">
        <v>12394</v>
      </c>
      <c r="J1172" s="111" t="s">
        <v>12296</v>
      </c>
      <c r="K1172" s="111" t="s">
        <v>30</v>
      </c>
      <c r="L1172" s="111"/>
      <c r="M1172" s="111"/>
      <c r="N1172" s="111"/>
      <c r="O1172" s="111"/>
      <c r="P1172" s="111">
        <v>1.0</v>
      </c>
      <c r="Q1172" s="111">
        <v>1.0</v>
      </c>
      <c r="R1172" s="111"/>
      <c r="S1172" s="111"/>
      <c r="T1172" s="111"/>
      <c r="U1172" s="111"/>
      <c r="V1172" s="111"/>
      <c r="W1172" s="111"/>
      <c r="X1172" s="111"/>
      <c r="Y1172" s="111"/>
      <c r="Z1172" s="111" t="s">
        <v>13972</v>
      </c>
      <c r="AA1172" s="126">
        <f>IF(Projects!$AI1172="Electrolysis",
AB1172*VLOOKUP(G1172,ElectrolysisConvF,3,FALSE),
"")</f>
        <v>6.669745011</v>
      </c>
      <c r="AB1172" s="125">
        <f>AC1172/(H2dens*HoursInYear/10^6)</f>
        <v>1282.643271</v>
      </c>
      <c r="AC1172" s="126">
        <v>1.0</v>
      </c>
      <c r="AD1172" s="125"/>
      <c r="AE1172" s="125">
        <f t="shared" si="235"/>
        <v>1282.643271</v>
      </c>
      <c r="AF1172" s="127" t="s">
        <v>13973</v>
      </c>
      <c r="AG1172" s="127">
        <v>51.5112143811435</v>
      </c>
      <c r="AH1172" s="127">
        <v>13.349467188174</v>
      </c>
      <c r="AI1172" s="115" t="s">
        <v>12383</v>
      </c>
      <c r="AJ1172" s="116">
        <v>0.5</v>
      </c>
      <c r="AK1172" s="117"/>
      <c r="AL1172" s="117"/>
      <c r="AM1172" s="117"/>
      <c r="AN1172" s="117"/>
      <c r="AO1172" s="117"/>
    </row>
    <row r="1173" ht="34.5" customHeight="1">
      <c r="A1173" s="111">
        <v>1737.0</v>
      </c>
      <c r="B1173" s="111" t="s">
        <v>9174</v>
      </c>
      <c r="C1173" s="111" t="s">
        <v>7987</v>
      </c>
      <c r="D1173" s="111"/>
      <c r="E1173" s="111"/>
      <c r="F1173" s="111" t="s">
        <v>12399</v>
      </c>
      <c r="G1173" s="111" t="s">
        <v>12381</v>
      </c>
      <c r="H1173" s="111" t="s">
        <v>13082</v>
      </c>
      <c r="I1173" s="111" t="s">
        <v>12394</v>
      </c>
      <c r="J1173" s="111" t="s">
        <v>12292</v>
      </c>
      <c r="K1173" s="111" t="s">
        <v>30</v>
      </c>
      <c r="L1173" s="111"/>
      <c r="M1173" s="111"/>
      <c r="N1173" s="111"/>
      <c r="O1173" s="111"/>
      <c r="P1173" s="111">
        <v>1.0</v>
      </c>
      <c r="Q1173" s="111">
        <v>1.0</v>
      </c>
      <c r="R1173" s="111"/>
      <c r="S1173" s="111"/>
      <c r="T1173" s="111"/>
      <c r="U1173" s="111"/>
      <c r="V1173" s="111"/>
      <c r="W1173" s="111"/>
      <c r="X1173" s="111"/>
      <c r="Y1173" s="111"/>
      <c r="Z1173" s="111" t="s">
        <v>12427</v>
      </c>
      <c r="AA1173" s="124">
        <v>1.3</v>
      </c>
      <c r="AB1173" s="125">
        <f>IF(Projects!$AI1173="Electrolysis",
AA1173/VLOOKUP(G1173,ElectrolysisConvF,3,FALSE),
AC1173*10^6/(H2dens*HoursInYear))</f>
        <v>288.8888889</v>
      </c>
      <c r="AC1173" s="126">
        <f t="shared" ref="AC1173:AC1194" si="236">AB1173*H2dens*HoursInYear/10^6</f>
        <v>0.2252293333</v>
      </c>
      <c r="AD1173" s="125"/>
      <c r="AE1173" s="125">
        <f t="shared" si="235"/>
        <v>288.8888889</v>
      </c>
      <c r="AF1173" s="127" t="s">
        <v>13974</v>
      </c>
      <c r="AG1173" s="127">
        <v>53.5667884842789</v>
      </c>
      <c r="AH1173" s="127">
        <v>8.66087750653082</v>
      </c>
      <c r="AI1173" s="115" t="s">
        <v>12383</v>
      </c>
      <c r="AJ1173" s="116">
        <v>0.4</v>
      </c>
      <c r="AK1173" s="117"/>
      <c r="AL1173" s="117"/>
      <c r="AM1173" s="117"/>
      <c r="AN1173" s="117"/>
      <c r="AO1173" s="117"/>
    </row>
    <row r="1174" ht="34.5" customHeight="1">
      <c r="A1174" s="111">
        <v>1739.0</v>
      </c>
      <c r="B1174" s="111" t="s">
        <v>9175</v>
      </c>
      <c r="C1174" s="111" t="s">
        <v>9176</v>
      </c>
      <c r="D1174" s="111">
        <v>2026.0</v>
      </c>
      <c r="E1174" s="111"/>
      <c r="F1174" s="111" t="s">
        <v>12399</v>
      </c>
      <c r="G1174" s="111" t="s">
        <v>12381</v>
      </c>
      <c r="H1174" s="111" t="s">
        <v>12230</v>
      </c>
      <c r="I1174" s="111" t="s">
        <v>12394</v>
      </c>
      <c r="J1174" s="111" t="s">
        <v>12291</v>
      </c>
      <c r="K1174" s="111" t="s">
        <v>30</v>
      </c>
      <c r="L1174" s="111"/>
      <c r="M1174" s="111"/>
      <c r="N1174" s="111"/>
      <c r="O1174" s="111"/>
      <c r="P1174" s="111"/>
      <c r="Q1174" s="111"/>
      <c r="R1174" s="111"/>
      <c r="S1174" s="111"/>
      <c r="T1174" s="111"/>
      <c r="U1174" s="111"/>
      <c r="V1174" s="111"/>
      <c r="W1174" s="111"/>
      <c r="X1174" s="111"/>
      <c r="Y1174" s="111"/>
      <c r="Z1174" s="111" t="s">
        <v>13912</v>
      </c>
      <c r="AA1174" s="124">
        <v>50.0</v>
      </c>
      <c r="AB1174" s="125">
        <f>IF(Projects!$AI1174="Electrolysis",
AA1174/VLOOKUP(G1174,ElectrolysisConvF,3,FALSE),
AC1174*10^6/(H2dens*HoursInYear))</f>
        <v>11111.11111</v>
      </c>
      <c r="AC1174" s="126">
        <f t="shared" si="236"/>
        <v>8.662666667</v>
      </c>
      <c r="AD1174" s="125"/>
      <c r="AE1174" s="125">
        <f t="shared" si="235"/>
        <v>11111.11111</v>
      </c>
      <c r="AF1174" s="127" t="s">
        <v>13975</v>
      </c>
      <c r="AG1174" s="127">
        <v>44.3858321159154</v>
      </c>
      <c r="AH1174" s="127">
        <v>22.5216721301132</v>
      </c>
      <c r="AI1174" s="115" t="s">
        <v>12383</v>
      </c>
      <c r="AJ1174" s="116">
        <v>0.3</v>
      </c>
      <c r="AK1174" s="117"/>
      <c r="AL1174" s="117"/>
      <c r="AM1174" s="117"/>
      <c r="AN1174" s="117"/>
      <c r="AO1174" s="117"/>
    </row>
    <row r="1175" ht="34.5" customHeight="1">
      <c r="A1175" s="111">
        <v>1740.0</v>
      </c>
      <c r="B1175" s="111" t="s">
        <v>9177</v>
      </c>
      <c r="C1175" s="111" t="s">
        <v>8161</v>
      </c>
      <c r="D1175" s="111"/>
      <c r="E1175" s="111"/>
      <c r="F1175" s="111" t="s">
        <v>12397</v>
      </c>
      <c r="G1175" s="111" t="s">
        <v>12381</v>
      </c>
      <c r="H1175" s="111" t="s">
        <v>12230</v>
      </c>
      <c r="I1175" s="111" t="s">
        <v>12394</v>
      </c>
      <c r="J1175" s="111" t="s">
        <v>12296</v>
      </c>
      <c r="K1175" s="111" t="s">
        <v>30</v>
      </c>
      <c r="L1175" s="111"/>
      <c r="M1175" s="111"/>
      <c r="N1175" s="111"/>
      <c r="O1175" s="111"/>
      <c r="P1175" s="111">
        <v>1.0</v>
      </c>
      <c r="Q1175" s="111">
        <v>1.0</v>
      </c>
      <c r="R1175" s="111"/>
      <c r="S1175" s="111"/>
      <c r="T1175" s="111"/>
      <c r="U1175" s="111"/>
      <c r="V1175" s="111"/>
      <c r="W1175" s="111"/>
      <c r="X1175" s="111"/>
      <c r="Y1175" s="111"/>
      <c r="Z1175" s="111" t="s">
        <v>13976</v>
      </c>
      <c r="AA1175" s="124">
        <v>2.52</v>
      </c>
      <c r="AB1175" s="125">
        <f>IF(Projects!$AI1175="Electrolysis",
AA1175/VLOOKUP(G1175,ElectrolysisConvF,3,FALSE),
AC1175*10^6/(H2dens*HoursInYear))</f>
        <v>560</v>
      </c>
      <c r="AC1175" s="126">
        <f t="shared" si="236"/>
        <v>0.4365984</v>
      </c>
      <c r="AD1175" s="125"/>
      <c r="AE1175" s="125">
        <f t="shared" si="235"/>
        <v>560</v>
      </c>
      <c r="AF1175" s="127" t="s">
        <v>13977</v>
      </c>
      <c r="AG1175" s="127">
        <v>37.9588935688728</v>
      </c>
      <c r="AH1175" s="127">
        <v>-8.86007328888969</v>
      </c>
      <c r="AI1175" s="115" t="s">
        <v>12383</v>
      </c>
      <c r="AJ1175" s="116">
        <v>0.5</v>
      </c>
      <c r="AK1175" s="117"/>
      <c r="AL1175" s="117"/>
      <c r="AM1175" s="117"/>
      <c r="AN1175" s="117"/>
      <c r="AO1175" s="117"/>
    </row>
    <row r="1176" ht="34.5" customHeight="1">
      <c r="A1176" s="111">
        <v>1741.0</v>
      </c>
      <c r="B1176" s="111" t="s">
        <v>9178</v>
      </c>
      <c r="C1176" s="111" t="s">
        <v>8539</v>
      </c>
      <c r="D1176" s="111">
        <v>2030.0</v>
      </c>
      <c r="E1176" s="111"/>
      <c r="F1176" s="111" t="s">
        <v>12397</v>
      </c>
      <c r="G1176" s="111" t="s">
        <v>12381</v>
      </c>
      <c r="H1176" s="111" t="s">
        <v>12230</v>
      </c>
      <c r="I1176" s="111" t="s">
        <v>12394</v>
      </c>
      <c r="J1176" s="111" t="s">
        <v>12293</v>
      </c>
      <c r="K1176" s="111" t="s">
        <v>30</v>
      </c>
      <c r="L1176" s="111"/>
      <c r="M1176" s="111"/>
      <c r="N1176" s="111"/>
      <c r="O1176" s="111"/>
      <c r="P1176" s="111"/>
      <c r="Q1176" s="111">
        <v>1.0</v>
      </c>
      <c r="R1176" s="111"/>
      <c r="S1176" s="111"/>
      <c r="T1176" s="111"/>
      <c r="U1176" s="111"/>
      <c r="V1176" s="111"/>
      <c r="W1176" s="111"/>
      <c r="X1176" s="111"/>
      <c r="Y1176" s="111"/>
      <c r="Z1176" s="111" t="s">
        <v>12709</v>
      </c>
      <c r="AA1176" s="124">
        <v>100.0</v>
      </c>
      <c r="AB1176" s="125">
        <f>IF(Projects!$AI1176="Electrolysis",
AA1176/VLOOKUP(G1176,ElectrolysisConvF,3,FALSE),
AC1176*10^6/(H2dens*HoursInYear))</f>
        <v>22222.22222</v>
      </c>
      <c r="AC1176" s="126">
        <f t="shared" si="236"/>
        <v>17.32533333</v>
      </c>
      <c r="AD1176" s="125"/>
      <c r="AE1176" s="125">
        <f t="shared" si="235"/>
        <v>22222.22222</v>
      </c>
      <c r="AF1176" s="127" t="s">
        <v>13978</v>
      </c>
      <c r="AG1176" s="127">
        <v>0.0</v>
      </c>
      <c r="AH1176" s="127">
        <v>0.0</v>
      </c>
      <c r="AI1176" s="115" t="s">
        <v>12383</v>
      </c>
      <c r="AJ1176" s="116">
        <v>0.55</v>
      </c>
      <c r="AK1176" s="117"/>
      <c r="AL1176" s="117"/>
      <c r="AM1176" s="117"/>
      <c r="AN1176" s="117"/>
      <c r="AO1176" s="117"/>
    </row>
    <row r="1177" ht="34.5" customHeight="1">
      <c r="A1177" s="111">
        <v>1742.0</v>
      </c>
      <c r="B1177" s="111" t="s">
        <v>9179</v>
      </c>
      <c r="C1177" s="111" t="s">
        <v>8539</v>
      </c>
      <c r="D1177" s="111">
        <v>2025.0</v>
      </c>
      <c r="E1177" s="111"/>
      <c r="F1177" s="111" t="s">
        <v>12397</v>
      </c>
      <c r="G1177" s="111" t="s">
        <v>12381</v>
      </c>
      <c r="H1177" s="111" t="s">
        <v>12230</v>
      </c>
      <c r="I1177" s="111" t="s">
        <v>12394</v>
      </c>
      <c r="J1177" s="111" t="s">
        <v>12293</v>
      </c>
      <c r="K1177" s="111" t="s">
        <v>30</v>
      </c>
      <c r="L1177" s="111"/>
      <c r="M1177" s="111"/>
      <c r="N1177" s="111"/>
      <c r="O1177" s="111"/>
      <c r="P1177" s="111"/>
      <c r="Q1177" s="111">
        <v>1.0</v>
      </c>
      <c r="R1177" s="111"/>
      <c r="S1177" s="111"/>
      <c r="T1177" s="111"/>
      <c r="U1177" s="111"/>
      <c r="V1177" s="111"/>
      <c r="W1177" s="111"/>
      <c r="X1177" s="111"/>
      <c r="Y1177" s="111"/>
      <c r="Z1177" s="111" t="s">
        <v>13979</v>
      </c>
      <c r="AA1177" s="124">
        <v>1200.0</v>
      </c>
      <c r="AB1177" s="125">
        <f>IF(Projects!$AI1177="Electrolysis",
AA1177/VLOOKUP(G1177,ElectrolysisConvF,3,FALSE),
AC1177*10^6/(H2dens*HoursInYear))</f>
        <v>266666.6667</v>
      </c>
      <c r="AC1177" s="126">
        <f t="shared" si="236"/>
        <v>207.904</v>
      </c>
      <c r="AD1177" s="125"/>
      <c r="AE1177" s="125">
        <f t="shared" si="235"/>
        <v>266666.6667</v>
      </c>
      <c r="AF1177" s="127" t="s">
        <v>13978</v>
      </c>
      <c r="AG1177" s="127">
        <v>36.20374717723</v>
      </c>
      <c r="AH1177" s="127">
        <v>128.151743528246</v>
      </c>
      <c r="AI1177" s="115" t="s">
        <v>12383</v>
      </c>
      <c r="AJ1177" s="116">
        <v>0.55</v>
      </c>
      <c r="AK1177" s="117"/>
      <c r="AL1177" s="117"/>
      <c r="AM1177" s="117"/>
      <c r="AN1177" s="117"/>
      <c r="AO1177" s="117"/>
    </row>
    <row r="1178" ht="34.5" customHeight="1">
      <c r="A1178" s="111">
        <v>1743.0</v>
      </c>
      <c r="B1178" s="111" t="s">
        <v>9180</v>
      </c>
      <c r="C1178" s="111" t="s">
        <v>7981</v>
      </c>
      <c r="D1178" s="111">
        <v>2030.0</v>
      </c>
      <c r="E1178" s="111"/>
      <c r="F1178" s="111" t="s">
        <v>12399</v>
      </c>
      <c r="G1178" s="111" t="s">
        <v>12381</v>
      </c>
      <c r="H1178" s="111" t="s">
        <v>12230</v>
      </c>
      <c r="I1178" s="111" t="s">
        <v>12287</v>
      </c>
      <c r="J1178" s="111"/>
      <c r="K1178" s="111" t="s">
        <v>30</v>
      </c>
      <c r="L1178" s="111"/>
      <c r="M1178" s="111"/>
      <c r="N1178" s="111"/>
      <c r="O1178" s="111"/>
      <c r="P1178" s="111"/>
      <c r="Q1178" s="111"/>
      <c r="R1178" s="111"/>
      <c r="S1178" s="111"/>
      <c r="T1178" s="111"/>
      <c r="U1178" s="111"/>
      <c r="V1178" s="111"/>
      <c r="W1178" s="111">
        <v>1.0</v>
      </c>
      <c r="X1178" s="111"/>
      <c r="Y1178" s="111"/>
      <c r="Z1178" s="111" t="s">
        <v>13980</v>
      </c>
      <c r="AA1178" s="124">
        <v>1000.0</v>
      </c>
      <c r="AB1178" s="125">
        <f>IF(Projects!$AI1178="Electrolysis",
AA1178/VLOOKUP(G1178,ElectrolysisConvF,3,FALSE),
AC1178*10^6/(H2dens*HoursInYear))</f>
        <v>222222.2222</v>
      </c>
      <c r="AC1178" s="126">
        <f t="shared" si="236"/>
        <v>173.2533333</v>
      </c>
      <c r="AD1178" s="125"/>
      <c r="AE1178" s="125">
        <f t="shared" si="235"/>
        <v>222222.2222</v>
      </c>
      <c r="AF1178" s="127" t="s">
        <v>13981</v>
      </c>
      <c r="AG1178" s="127">
        <v>30.471165</v>
      </c>
      <c r="AH1178" s="127">
        <v>-91.147385</v>
      </c>
      <c r="AI1178" s="115" t="s">
        <v>12383</v>
      </c>
      <c r="AJ1178" s="116">
        <v>0.57</v>
      </c>
      <c r="AK1178" s="117"/>
      <c r="AL1178" s="117"/>
      <c r="AM1178" s="117"/>
      <c r="AN1178" s="117"/>
      <c r="AO1178" s="117"/>
    </row>
    <row r="1179" ht="34.5" customHeight="1">
      <c r="A1179" s="111">
        <v>1744.0</v>
      </c>
      <c r="B1179" s="111" t="s">
        <v>9181</v>
      </c>
      <c r="C1179" s="111" t="s">
        <v>7981</v>
      </c>
      <c r="D1179" s="111">
        <v>2025.0</v>
      </c>
      <c r="E1179" s="111"/>
      <c r="F1179" s="111" t="s">
        <v>12399</v>
      </c>
      <c r="G1179" s="111" t="s">
        <v>12224</v>
      </c>
      <c r="H1179" s="111"/>
      <c r="I1179" s="111" t="s">
        <v>12287</v>
      </c>
      <c r="J1179" s="111"/>
      <c r="K1179" s="111" t="s">
        <v>30</v>
      </c>
      <c r="L1179" s="111"/>
      <c r="M1179" s="111"/>
      <c r="N1179" s="111"/>
      <c r="O1179" s="111"/>
      <c r="P1179" s="111"/>
      <c r="Q1179" s="111"/>
      <c r="R1179" s="111"/>
      <c r="S1179" s="111"/>
      <c r="T1179" s="111"/>
      <c r="U1179" s="111"/>
      <c r="V1179" s="111"/>
      <c r="W1179" s="111"/>
      <c r="X1179" s="111"/>
      <c r="Y1179" s="111"/>
      <c r="Z1179" s="111" t="s">
        <v>13982</v>
      </c>
      <c r="AA1179" s="124">
        <v>290.0</v>
      </c>
      <c r="AB1179" s="125">
        <f>IF(Projects!$AI1179="Electrolysis",
AA1179/VLOOKUP(G1179,ElectrolysisConvF,3,FALSE),
AC1179*10^6/(H2dens*HoursInYear))</f>
        <v>63043.47826</v>
      </c>
      <c r="AC1179" s="126">
        <f t="shared" si="236"/>
        <v>49.15121739</v>
      </c>
      <c r="AD1179" s="125"/>
      <c r="AE1179" s="125">
        <f t="shared" si="235"/>
        <v>63043.47826</v>
      </c>
      <c r="AF1179" s="127" t="s">
        <v>13983</v>
      </c>
      <c r="AG1179" s="127">
        <v>34.174261</v>
      </c>
      <c r="AH1179" s="127">
        <v>-97.143625</v>
      </c>
      <c r="AI1179" s="115" t="s">
        <v>12383</v>
      </c>
      <c r="AJ1179" s="116">
        <v>0.57</v>
      </c>
      <c r="AK1179" s="117"/>
      <c r="AL1179" s="117"/>
      <c r="AM1179" s="117"/>
      <c r="AN1179" s="117"/>
      <c r="AO1179" s="117"/>
    </row>
    <row r="1180" ht="34.5" customHeight="1">
      <c r="A1180" s="111">
        <v>1745.0</v>
      </c>
      <c r="B1180" s="111" t="s">
        <v>9182</v>
      </c>
      <c r="C1180" s="111" t="s">
        <v>7981</v>
      </c>
      <c r="D1180" s="111"/>
      <c r="E1180" s="111"/>
      <c r="F1180" s="111" t="s">
        <v>12399</v>
      </c>
      <c r="G1180" s="111" t="s">
        <v>12381</v>
      </c>
      <c r="H1180" s="111" t="s">
        <v>12230</v>
      </c>
      <c r="I1180" s="111" t="s">
        <v>12394</v>
      </c>
      <c r="J1180" s="111" t="s">
        <v>12293</v>
      </c>
      <c r="K1180" s="111" t="s">
        <v>30</v>
      </c>
      <c r="L1180" s="111"/>
      <c r="M1180" s="111"/>
      <c r="N1180" s="111"/>
      <c r="O1180" s="111"/>
      <c r="P1180" s="111"/>
      <c r="Q1180" s="111"/>
      <c r="R1180" s="111">
        <v>1.0</v>
      </c>
      <c r="S1180" s="111">
        <v>1.0</v>
      </c>
      <c r="T1180" s="111"/>
      <c r="U1180" s="111"/>
      <c r="V1180" s="111"/>
      <c r="W1180" s="111"/>
      <c r="X1180" s="111"/>
      <c r="Y1180" s="111"/>
      <c r="Z1180" s="111" t="s">
        <v>12411</v>
      </c>
      <c r="AA1180" s="124">
        <v>20.0</v>
      </c>
      <c r="AB1180" s="125">
        <f>IF(Projects!$AI1180="Electrolysis",
AA1180/VLOOKUP(G1180,ElectrolysisConvF,3,FALSE),
AC1180*10^6/(H2dens*HoursInYear))</f>
        <v>4444.444444</v>
      </c>
      <c r="AC1180" s="126">
        <f t="shared" si="236"/>
        <v>3.465066667</v>
      </c>
      <c r="AD1180" s="125"/>
      <c r="AE1180" s="125">
        <f t="shared" si="235"/>
        <v>4444.444444</v>
      </c>
      <c r="AF1180" s="127" t="s">
        <v>13984</v>
      </c>
      <c r="AG1180" s="127">
        <v>41.748986</v>
      </c>
      <c r="AH1180" s="127">
        <v>-72.989594</v>
      </c>
      <c r="AI1180" s="115" t="s">
        <v>12383</v>
      </c>
      <c r="AJ1180" s="116">
        <v>0.55</v>
      </c>
      <c r="AK1180" s="117"/>
      <c r="AL1180" s="117"/>
      <c r="AM1180" s="117"/>
      <c r="AN1180" s="117"/>
      <c r="AO1180" s="117"/>
    </row>
    <row r="1181" ht="34.5" customHeight="1">
      <c r="A1181" s="111">
        <v>1746.0</v>
      </c>
      <c r="B1181" s="111" t="s">
        <v>9183</v>
      </c>
      <c r="C1181" s="111" t="s">
        <v>7981</v>
      </c>
      <c r="D1181" s="111"/>
      <c r="E1181" s="111"/>
      <c r="F1181" s="111" t="s">
        <v>12399</v>
      </c>
      <c r="G1181" s="111" t="s">
        <v>12381</v>
      </c>
      <c r="H1181" s="111" t="s">
        <v>12230</v>
      </c>
      <c r="I1181" s="111" t="s">
        <v>12394</v>
      </c>
      <c r="J1181" s="111" t="s">
        <v>12293</v>
      </c>
      <c r="K1181" s="111" t="s">
        <v>30</v>
      </c>
      <c r="L1181" s="111"/>
      <c r="M1181" s="111"/>
      <c r="N1181" s="111"/>
      <c r="O1181" s="111"/>
      <c r="P1181" s="111"/>
      <c r="Q1181" s="111"/>
      <c r="R1181" s="111"/>
      <c r="S1181" s="111"/>
      <c r="T1181" s="111">
        <v>1.0</v>
      </c>
      <c r="U1181" s="111"/>
      <c r="V1181" s="111"/>
      <c r="W1181" s="111"/>
      <c r="X1181" s="111"/>
      <c r="Y1181" s="111"/>
      <c r="Z1181" s="111" t="s">
        <v>12411</v>
      </c>
      <c r="AA1181" s="124">
        <v>20.0</v>
      </c>
      <c r="AB1181" s="125">
        <f>IF(Projects!$AI1181="Electrolysis",
AA1181/VLOOKUP(G1181,ElectrolysisConvF,3,FALSE),
AC1181*10^6/(H2dens*HoursInYear))</f>
        <v>4444.444444</v>
      </c>
      <c r="AC1181" s="126">
        <f t="shared" si="236"/>
        <v>3.465066667</v>
      </c>
      <c r="AD1181" s="125"/>
      <c r="AE1181" s="125">
        <f t="shared" si="235"/>
        <v>4444.444444</v>
      </c>
      <c r="AF1181" s="127" t="s">
        <v>13984</v>
      </c>
      <c r="AG1181" s="127">
        <v>42.17564</v>
      </c>
      <c r="AH1181" s="127">
        <v>-121.807182</v>
      </c>
      <c r="AI1181" s="115" t="s">
        <v>12383</v>
      </c>
      <c r="AJ1181" s="116">
        <v>0.55</v>
      </c>
      <c r="AK1181" s="117"/>
      <c r="AL1181" s="117"/>
      <c r="AM1181" s="117"/>
      <c r="AN1181" s="117"/>
      <c r="AO1181" s="117"/>
    </row>
    <row r="1182" ht="34.5" customHeight="1">
      <c r="A1182" s="111">
        <v>1748.0</v>
      </c>
      <c r="B1182" s="111" t="s">
        <v>9184</v>
      </c>
      <c r="C1182" s="111" t="s">
        <v>8011</v>
      </c>
      <c r="D1182" s="111">
        <v>2028.0</v>
      </c>
      <c r="E1182" s="111"/>
      <c r="F1182" s="111" t="s">
        <v>12399</v>
      </c>
      <c r="G1182" s="111" t="s">
        <v>12224</v>
      </c>
      <c r="H1182" s="111"/>
      <c r="I1182" s="111" t="s">
        <v>12394</v>
      </c>
      <c r="J1182" s="111" t="s">
        <v>12291</v>
      </c>
      <c r="K1182" s="111" t="s">
        <v>30</v>
      </c>
      <c r="L1182" s="111"/>
      <c r="M1182" s="111"/>
      <c r="N1182" s="111"/>
      <c r="O1182" s="111"/>
      <c r="P1182" s="111"/>
      <c r="Q1182" s="111">
        <v>1.0</v>
      </c>
      <c r="R1182" s="111"/>
      <c r="S1182" s="111"/>
      <c r="T1182" s="111"/>
      <c r="U1182" s="111"/>
      <c r="V1182" s="111"/>
      <c r="W1182" s="111">
        <v>1.0</v>
      </c>
      <c r="X1182" s="111"/>
      <c r="Y1182" s="111"/>
      <c r="Z1182" s="111" t="s">
        <v>12709</v>
      </c>
      <c r="AA1182" s="124">
        <v>100.0</v>
      </c>
      <c r="AB1182" s="125">
        <f>IF(Projects!$AI1182="Electrolysis",
AA1182/VLOOKUP(G1182,ElectrolysisConvF,3,FALSE),
AC1182*10^6/(H2dens*HoursInYear))</f>
        <v>21739.13043</v>
      </c>
      <c r="AC1182" s="126">
        <f t="shared" si="236"/>
        <v>16.94869565</v>
      </c>
      <c r="AD1182" s="125"/>
      <c r="AE1182" s="125">
        <f t="shared" si="235"/>
        <v>21739.13043</v>
      </c>
      <c r="AF1182" s="127" t="s">
        <v>13985</v>
      </c>
      <c r="AG1182" s="127">
        <v>44.909394</v>
      </c>
      <c r="AH1182" s="127">
        <v>-0.536847</v>
      </c>
      <c r="AI1182" s="115" t="s">
        <v>12383</v>
      </c>
      <c r="AJ1182" s="116">
        <v>0.3</v>
      </c>
      <c r="AK1182" s="117"/>
      <c r="AL1182" s="117"/>
      <c r="AM1182" s="117"/>
      <c r="AN1182" s="117"/>
      <c r="AO1182" s="117"/>
    </row>
    <row r="1183" ht="34.5" customHeight="1">
      <c r="A1183" s="111">
        <v>1749.0</v>
      </c>
      <c r="B1183" s="111" t="s">
        <v>9185</v>
      </c>
      <c r="C1183" s="111" t="s">
        <v>8011</v>
      </c>
      <c r="D1183" s="111">
        <v>2027.0</v>
      </c>
      <c r="E1183" s="111"/>
      <c r="F1183" s="111" t="s">
        <v>12397</v>
      </c>
      <c r="G1183" s="111" t="s">
        <v>12381</v>
      </c>
      <c r="H1183" s="111" t="s">
        <v>12230</v>
      </c>
      <c r="I1183" s="111" t="s">
        <v>12287</v>
      </c>
      <c r="J1183" s="111"/>
      <c r="K1183" s="111" t="s">
        <v>30</v>
      </c>
      <c r="L1183" s="111"/>
      <c r="M1183" s="111"/>
      <c r="N1183" s="111"/>
      <c r="O1183" s="111"/>
      <c r="P1183" s="111"/>
      <c r="Q1183" s="111">
        <v>1.0</v>
      </c>
      <c r="R1183" s="111"/>
      <c r="S1183" s="111"/>
      <c r="T1183" s="111"/>
      <c r="U1183" s="111"/>
      <c r="V1183" s="111"/>
      <c r="W1183" s="111">
        <v>1.0</v>
      </c>
      <c r="X1183" s="111"/>
      <c r="Y1183" s="111"/>
      <c r="Z1183" s="111" t="s">
        <v>13104</v>
      </c>
      <c r="AA1183" s="124">
        <f>300-100</f>
        <v>200</v>
      </c>
      <c r="AB1183" s="125">
        <f>IF(Projects!$AI1183="Electrolysis",
AA1183/VLOOKUP(G1183,ElectrolysisConvF,3,FALSE),
AC1183*10^6/(H2dens*HoursInYear))</f>
        <v>44444.44444</v>
      </c>
      <c r="AC1183" s="126">
        <f t="shared" si="236"/>
        <v>34.65066667</v>
      </c>
      <c r="AD1183" s="125"/>
      <c r="AE1183" s="125">
        <f t="shared" si="235"/>
        <v>44444.44444</v>
      </c>
      <c r="AF1183" s="127" t="s">
        <v>13986</v>
      </c>
      <c r="AG1183" s="127">
        <v>44.909394</v>
      </c>
      <c r="AH1183" s="127">
        <v>-0.536847</v>
      </c>
      <c r="AI1183" s="115" t="s">
        <v>12383</v>
      </c>
      <c r="AJ1183" s="116">
        <v>0.57</v>
      </c>
      <c r="AK1183" s="117"/>
      <c r="AL1183" s="117"/>
      <c r="AM1183" s="117"/>
      <c r="AN1183" s="117"/>
      <c r="AO1183" s="117"/>
    </row>
    <row r="1184" ht="34.5" customHeight="1">
      <c r="A1184" s="111">
        <v>1750.0</v>
      </c>
      <c r="B1184" s="111" t="s">
        <v>9186</v>
      </c>
      <c r="C1184" s="111" t="s">
        <v>8011</v>
      </c>
      <c r="D1184" s="111">
        <v>2027.0</v>
      </c>
      <c r="E1184" s="111"/>
      <c r="F1184" s="111" t="s">
        <v>12399</v>
      </c>
      <c r="G1184" s="111" t="s">
        <v>12224</v>
      </c>
      <c r="H1184" s="111"/>
      <c r="I1184" s="111" t="s">
        <v>12759</v>
      </c>
      <c r="J1184" s="111"/>
      <c r="K1184" s="111" t="s">
        <v>30</v>
      </c>
      <c r="L1184" s="111"/>
      <c r="M1184" s="111"/>
      <c r="N1184" s="111"/>
      <c r="O1184" s="111"/>
      <c r="P1184" s="111"/>
      <c r="Q1184" s="111"/>
      <c r="R1184" s="111"/>
      <c r="S1184" s="111"/>
      <c r="T1184" s="111"/>
      <c r="U1184" s="111"/>
      <c r="V1184" s="111">
        <v>1.0</v>
      </c>
      <c r="W1184" s="111"/>
      <c r="X1184" s="111"/>
      <c r="Y1184" s="111"/>
      <c r="Z1184" s="111" t="s">
        <v>13776</v>
      </c>
      <c r="AA1184" s="124">
        <v>120.0</v>
      </c>
      <c r="AB1184" s="125">
        <f>IF(Projects!$AI1184="Electrolysis",
AA1184/VLOOKUP(G1184,ElectrolysisConvF,3,FALSE),
AC1184*10^6/(H2dens*HoursInYear))</f>
        <v>26086.95652</v>
      </c>
      <c r="AC1184" s="126">
        <f t="shared" si="236"/>
        <v>20.33843478</v>
      </c>
      <c r="AD1184" s="125"/>
      <c r="AE1184" s="125">
        <f t="shared" si="235"/>
        <v>26086.95652</v>
      </c>
      <c r="AF1184" s="127" t="s">
        <v>13987</v>
      </c>
      <c r="AG1184" s="127">
        <v>43.3997339476077</v>
      </c>
      <c r="AH1184" s="127">
        <v>5.10176032329623</v>
      </c>
      <c r="AI1184" s="115" t="s">
        <v>12383</v>
      </c>
      <c r="AJ1184" s="116">
        <v>0.7</v>
      </c>
      <c r="AK1184" s="117"/>
      <c r="AL1184" s="117"/>
      <c r="AM1184" s="117"/>
      <c r="AN1184" s="117"/>
      <c r="AO1184" s="117"/>
    </row>
    <row r="1185" ht="34.5" customHeight="1">
      <c r="A1185" s="111">
        <v>1751.0</v>
      </c>
      <c r="B1185" s="111" t="s">
        <v>9187</v>
      </c>
      <c r="C1185" s="111" t="s">
        <v>8011</v>
      </c>
      <c r="D1185" s="111">
        <v>2025.0</v>
      </c>
      <c r="E1185" s="111"/>
      <c r="F1185" s="111" t="s">
        <v>12393</v>
      </c>
      <c r="G1185" s="111" t="s">
        <v>12381</v>
      </c>
      <c r="H1185" s="111" t="s">
        <v>12230</v>
      </c>
      <c r="I1185" s="111" t="s">
        <v>12287</v>
      </c>
      <c r="J1185" s="111"/>
      <c r="K1185" s="111" t="s">
        <v>30</v>
      </c>
      <c r="L1185" s="111"/>
      <c r="M1185" s="111"/>
      <c r="N1185" s="111"/>
      <c r="O1185" s="111"/>
      <c r="P1185" s="111"/>
      <c r="Q1185" s="111"/>
      <c r="R1185" s="111"/>
      <c r="S1185" s="111"/>
      <c r="T1185" s="111"/>
      <c r="U1185" s="111"/>
      <c r="V1185" s="111"/>
      <c r="W1185" s="111"/>
      <c r="X1185" s="111"/>
      <c r="Y1185" s="111"/>
      <c r="Z1185" s="111" t="s">
        <v>12446</v>
      </c>
      <c r="AA1185" s="124">
        <v>4.0</v>
      </c>
      <c r="AB1185" s="125">
        <f>IF(Projects!$AI1185="Electrolysis",
AA1185/VLOOKUP(G1185,ElectrolysisConvF,3,FALSE),
AC1185*10^6/(H2dens*HoursInYear))</f>
        <v>888.8888889</v>
      </c>
      <c r="AC1185" s="126">
        <f t="shared" si="236"/>
        <v>0.6930133333</v>
      </c>
      <c r="AD1185" s="125"/>
      <c r="AE1185" s="125">
        <f t="shared" si="235"/>
        <v>888.8888889</v>
      </c>
      <c r="AF1185" s="127" t="s">
        <v>13988</v>
      </c>
      <c r="AG1185" s="127">
        <v>47.5052983096142</v>
      </c>
      <c r="AH1185" s="127">
        <v>0.364314178647569</v>
      </c>
      <c r="AI1185" s="115" t="s">
        <v>12383</v>
      </c>
      <c r="AJ1185" s="116">
        <v>0.57</v>
      </c>
      <c r="AK1185" s="117"/>
      <c r="AL1185" s="117"/>
      <c r="AM1185" s="117"/>
      <c r="AN1185" s="117"/>
      <c r="AO1185" s="117"/>
    </row>
    <row r="1186" ht="34.5" customHeight="1">
      <c r="A1186" s="111">
        <v>1752.0</v>
      </c>
      <c r="B1186" s="111" t="s">
        <v>9188</v>
      </c>
      <c r="C1186" s="111" t="s">
        <v>8011</v>
      </c>
      <c r="D1186" s="111">
        <v>2024.0</v>
      </c>
      <c r="E1186" s="111"/>
      <c r="F1186" s="111" t="s">
        <v>12385</v>
      </c>
      <c r="G1186" s="111" t="s">
        <v>12224</v>
      </c>
      <c r="H1186" s="111"/>
      <c r="I1186" s="111" t="s">
        <v>12406</v>
      </c>
      <c r="J1186" s="111"/>
      <c r="K1186" s="111" t="s">
        <v>30</v>
      </c>
      <c r="L1186" s="111"/>
      <c r="M1186" s="111"/>
      <c r="N1186" s="111"/>
      <c r="O1186" s="111"/>
      <c r="P1186" s="111"/>
      <c r="Q1186" s="111">
        <v>1.0</v>
      </c>
      <c r="R1186" s="111"/>
      <c r="S1186" s="111"/>
      <c r="T1186" s="111"/>
      <c r="U1186" s="111"/>
      <c r="V1186" s="111"/>
      <c r="W1186" s="111"/>
      <c r="X1186" s="111"/>
      <c r="Y1186" s="111"/>
      <c r="Z1186" s="111" t="s">
        <v>12420</v>
      </c>
      <c r="AA1186" s="124">
        <v>1.0</v>
      </c>
      <c r="AB1186" s="125">
        <f>IF(Projects!$AI1186="Electrolysis",
AA1186/VLOOKUP(G1186,ElectrolysisConvF,3,FALSE),
AC1186*10^6/(H2dens*HoursInYear))</f>
        <v>217.3913043</v>
      </c>
      <c r="AC1186" s="126">
        <f t="shared" si="236"/>
        <v>0.1694869565</v>
      </c>
      <c r="AD1186" s="125"/>
      <c r="AE1186" s="125">
        <f t="shared" si="235"/>
        <v>217.3913043</v>
      </c>
      <c r="AF1186" s="127" t="s">
        <v>13989</v>
      </c>
      <c r="AG1186" s="127">
        <v>47.319832054</v>
      </c>
      <c r="AH1186" s="127">
        <v>5.038166514</v>
      </c>
      <c r="AI1186" s="115" t="s">
        <v>12383</v>
      </c>
      <c r="AJ1186" s="116">
        <v>0.57</v>
      </c>
      <c r="AK1186" s="117"/>
      <c r="AL1186" s="117"/>
      <c r="AM1186" s="117"/>
      <c r="AN1186" s="117"/>
      <c r="AO1186" s="117"/>
    </row>
    <row r="1187" ht="34.5" customHeight="1">
      <c r="A1187" s="111">
        <v>1753.0</v>
      </c>
      <c r="B1187" s="111" t="s">
        <v>9189</v>
      </c>
      <c r="C1187" s="111" t="s">
        <v>7991</v>
      </c>
      <c r="D1187" s="111">
        <v>2024.0</v>
      </c>
      <c r="E1187" s="111"/>
      <c r="F1187" s="111" t="s">
        <v>12287</v>
      </c>
      <c r="G1187" s="111" t="s">
        <v>12226</v>
      </c>
      <c r="H1187" s="111"/>
      <c r="I1187" s="111" t="s">
        <v>12394</v>
      </c>
      <c r="J1187" s="111" t="s">
        <v>12292</v>
      </c>
      <c r="K1187" s="111" t="s">
        <v>30</v>
      </c>
      <c r="L1187" s="111"/>
      <c r="M1187" s="111"/>
      <c r="N1187" s="111"/>
      <c r="O1187" s="111">
        <v>1.0</v>
      </c>
      <c r="P1187" s="111"/>
      <c r="Q1187" s="111">
        <v>1.0</v>
      </c>
      <c r="R1187" s="111"/>
      <c r="S1187" s="111"/>
      <c r="T1187" s="111"/>
      <c r="U1187" s="111"/>
      <c r="V1187" s="111"/>
      <c r="W1187" s="111"/>
      <c r="X1187" s="111"/>
      <c r="Y1187" s="111"/>
      <c r="Z1187" s="111" t="s">
        <v>13912</v>
      </c>
      <c r="AA1187" s="124">
        <v>50.0</v>
      </c>
      <c r="AB1187" s="125">
        <f>IF(Projects!$AI1187="Electrolysis",
AA1187/VLOOKUP(G1187,ElectrolysisConvF,3,FALSE),
AC1187*10^6/(H2dens*HoursInYear))</f>
        <v>9615.384615</v>
      </c>
      <c r="AC1187" s="126">
        <f t="shared" si="236"/>
        <v>7.496538462</v>
      </c>
      <c r="AD1187" s="125"/>
      <c r="AE1187" s="125">
        <f t="shared" si="235"/>
        <v>9615.384615</v>
      </c>
      <c r="AF1187" s="127" t="s">
        <v>13990</v>
      </c>
      <c r="AG1187" s="127">
        <v>51.7703079753887</v>
      </c>
      <c r="AH1187" s="127">
        <v>-3.53466078829015</v>
      </c>
      <c r="AI1187" s="115" t="s">
        <v>12383</v>
      </c>
      <c r="AJ1187" s="116">
        <v>0.4</v>
      </c>
      <c r="AK1187" s="117"/>
      <c r="AL1187" s="117"/>
      <c r="AM1187" s="117"/>
      <c r="AN1187" s="117"/>
      <c r="AO1187" s="117"/>
    </row>
    <row r="1188" ht="34.5" customHeight="1">
      <c r="A1188" s="111">
        <v>1754.0</v>
      </c>
      <c r="B1188" s="111" t="s">
        <v>9190</v>
      </c>
      <c r="C1188" s="111" t="s">
        <v>7991</v>
      </c>
      <c r="D1188" s="111">
        <v>2025.0</v>
      </c>
      <c r="E1188" s="111"/>
      <c r="F1188" s="111" t="s">
        <v>12399</v>
      </c>
      <c r="G1188" s="111" t="s">
        <v>12226</v>
      </c>
      <c r="H1188" s="111"/>
      <c r="I1188" s="111" t="s">
        <v>12287</v>
      </c>
      <c r="J1188" s="111"/>
      <c r="K1188" s="111" t="s">
        <v>30</v>
      </c>
      <c r="L1188" s="111"/>
      <c r="M1188" s="111"/>
      <c r="N1188" s="111"/>
      <c r="O1188" s="111"/>
      <c r="P1188" s="111"/>
      <c r="Q1188" s="111">
        <v>1.0</v>
      </c>
      <c r="R1188" s="111"/>
      <c r="S1188" s="111"/>
      <c r="T1188" s="111"/>
      <c r="U1188" s="111"/>
      <c r="V1188" s="111"/>
      <c r="W1188" s="111">
        <v>1.0</v>
      </c>
      <c r="X1188" s="111"/>
      <c r="Y1188" s="111"/>
      <c r="Z1188" s="111" t="s">
        <v>12411</v>
      </c>
      <c r="AA1188" s="124">
        <v>20.0</v>
      </c>
      <c r="AB1188" s="125">
        <f>IF(Projects!$AI1188="Electrolysis",
AA1188/VLOOKUP(G1188,ElectrolysisConvF,3,FALSE),
AC1188*10^6/(H2dens*HoursInYear))</f>
        <v>3846.153846</v>
      </c>
      <c r="AC1188" s="126">
        <f t="shared" si="236"/>
        <v>2.998615385</v>
      </c>
      <c r="AD1188" s="125"/>
      <c r="AE1188" s="125">
        <f t="shared" si="235"/>
        <v>3846.153846</v>
      </c>
      <c r="AF1188" s="127" t="s">
        <v>13991</v>
      </c>
      <c r="AG1188" s="127">
        <v>53.6277</v>
      </c>
      <c r="AH1188" s="127">
        <v>-0.1918</v>
      </c>
      <c r="AI1188" s="115" t="s">
        <v>12383</v>
      </c>
      <c r="AJ1188" s="116">
        <v>0.57</v>
      </c>
      <c r="AK1188" s="117"/>
      <c r="AL1188" s="117"/>
      <c r="AM1188" s="117"/>
      <c r="AN1188" s="117"/>
      <c r="AO1188" s="117"/>
    </row>
    <row r="1189" ht="34.5" customHeight="1">
      <c r="A1189" s="111">
        <v>1755.0</v>
      </c>
      <c r="B1189" s="111" t="s">
        <v>9191</v>
      </c>
      <c r="C1189" s="111" t="s">
        <v>7991</v>
      </c>
      <c r="D1189" s="111">
        <v>2030.0</v>
      </c>
      <c r="E1189" s="111"/>
      <c r="F1189" s="111" t="s">
        <v>12399</v>
      </c>
      <c r="G1189" s="111" t="s">
        <v>12381</v>
      </c>
      <c r="H1189" s="111" t="s">
        <v>12230</v>
      </c>
      <c r="I1189" s="111" t="s">
        <v>12394</v>
      </c>
      <c r="J1189" s="111" t="s">
        <v>12293</v>
      </c>
      <c r="K1189" s="111" t="s">
        <v>174</v>
      </c>
      <c r="L1189" s="111"/>
      <c r="M1189" s="111">
        <v>1.0</v>
      </c>
      <c r="N1189" s="111"/>
      <c r="O1189" s="111"/>
      <c r="P1189" s="111"/>
      <c r="Q1189" s="111"/>
      <c r="R1189" s="111"/>
      <c r="S1189" s="111"/>
      <c r="T1189" s="111"/>
      <c r="U1189" s="111"/>
      <c r="V1189" s="111"/>
      <c r="W1189" s="111"/>
      <c r="X1189" s="111"/>
      <c r="Y1189" s="111"/>
      <c r="Z1189" s="111" t="s">
        <v>13992</v>
      </c>
      <c r="AA1189" s="124">
        <v>12.9</v>
      </c>
      <c r="AB1189" s="125">
        <f>IF(Projects!$AI1189="Electrolysis",
AA1189/VLOOKUP(G1189,ElectrolysisConvF,3,FALSE),
AC1189*10^6/(H2dens*HoursInYear))</f>
        <v>2866.666667</v>
      </c>
      <c r="AC1189" s="126">
        <f t="shared" si="236"/>
        <v>2.234968</v>
      </c>
      <c r="AD1189" s="125"/>
      <c r="AE1189" s="125">
        <f t="shared" si="235"/>
        <v>2866.666667</v>
      </c>
      <c r="AF1189" s="127" t="s">
        <v>13993</v>
      </c>
      <c r="AG1189" s="127">
        <v>59.0988651235103</v>
      </c>
      <c r="AH1189" s="127">
        <v>-3.07423609344178</v>
      </c>
      <c r="AI1189" s="115" t="s">
        <v>12383</v>
      </c>
      <c r="AJ1189" s="116">
        <v>0.55</v>
      </c>
      <c r="AK1189" s="117"/>
      <c r="AL1189" s="117"/>
      <c r="AM1189" s="117"/>
      <c r="AN1189" s="117"/>
      <c r="AO1189" s="117"/>
    </row>
    <row r="1190" ht="34.5" customHeight="1">
      <c r="A1190" s="111">
        <v>1756.0</v>
      </c>
      <c r="B1190" s="111" t="s">
        <v>9192</v>
      </c>
      <c r="C1190" s="111" t="s">
        <v>7977</v>
      </c>
      <c r="D1190" s="111"/>
      <c r="E1190" s="111"/>
      <c r="F1190" s="111" t="s">
        <v>12397</v>
      </c>
      <c r="G1190" s="111" t="s">
        <v>12381</v>
      </c>
      <c r="H1190" s="111" t="s">
        <v>12230</v>
      </c>
      <c r="I1190" s="111" t="s">
        <v>12287</v>
      </c>
      <c r="J1190" s="111"/>
      <c r="K1190" s="111" t="s">
        <v>30</v>
      </c>
      <c r="L1190" s="111"/>
      <c r="M1190" s="111"/>
      <c r="N1190" s="111"/>
      <c r="O1190" s="111"/>
      <c r="P1190" s="111">
        <v>1.0</v>
      </c>
      <c r="Q1190" s="111">
        <v>1.0</v>
      </c>
      <c r="R1190" s="111"/>
      <c r="S1190" s="111"/>
      <c r="T1190" s="111"/>
      <c r="U1190" s="111"/>
      <c r="V1190" s="111"/>
      <c r="W1190" s="111"/>
      <c r="X1190" s="111"/>
      <c r="Y1190" s="111"/>
      <c r="Z1190" s="111" t="s">
        <v>12603</v>
      </c>
      <c r="AA1190" s="124">
        <v>5.0</v>
      </c>
      <c r="AB1190" s="125">
        <f>IF(Projects!$AI1190="Electrolysis",
AA1190/VLOOKUP(G1190,ElectrolysisConvF,3,FALSE),
AC1190*10^6/(H2dens*HoursInYear))</f>
        <v>1111.111111</v>
      </c>
      <c r="AC1190" s="126">
        <f t="shared" si="236"/>
        <v>0.8662666667</v>
      </c>
      <c r="AD1190" s="125"/>
      <c r="AE1190" s="125">
        <f t="shared" si="235"/>
        <v>1111.111111</v>
      </c>
      <c r="AF1190" s="127" t="s">
        <v>13994</v>
      </c>
      <c r="AG1190" s="127">
        <v>41.1189458754906</v>
      </c>
      <c r="AH1190" s="127">
        <v>1.24338923261384</v>
      </c>
      <c r="AI1190" s="115" t="s">
        <v>12383</v>
      </c>
      <c r="AJ1190" s="116">
        <v>0.57</v>
      </c>
      <c r="AK1190" s="117"/>
      <c r="AL1190" s="117"/>
      <c r="AM1190" s="117"/>
      <c r="AN1190" s="117"/>
      <c r="AO1190" s="117"/>
    </row>
    <row r="1191" ht="34.5" customHeight="1">
      <c r="A1191" s="111">
        <v>1757.0</v>
      </c>
      <c r="B1191" s="111" t="s">
        <v>9193</v>
      </c>
      <c r="C1191" s="111" t="s">
        <v>7977</v>
      </c>
      <c r="D1191" s="111"/>
      <c r="E1191" s="111"/>
      <c r="F1191" s="111" t="s">
        <v>12397</v>
      </c>
      <c r="G1191" s="111" t="s">
        <v>12381</v>
      </c>
      <c r="H1191" s="111" t="s">
        <v>12230</v>
      </c>
      <c r="I1191" s="111" t="s">
        <v>12287</v>
      </c>
      <c r="J1191" s="111"/>
      <c r="K1191" s="111" t="s">
        <v>30</v>
      </c>
      <c r="L1191" s="111"/>
      <c r="M1191" s="111"/>
      <c r="N1191" s="111"/>
      <c r="O1191" s="111"/>
      <c r="P1191" s="111">
        <v>1.0</v>
      </c>
      <c r="Q1191" s="111">
        <v>1.0</v>
      </c>
      <c r="R1191" s="111"/>
      <c r="S1191" s="111"/>
      <c r="T1191" s="111"/>
      <c r="U1191" s="111"/>
      <c r="V1191" s="111"/>
      <c r="W1191" s="111"/>
      <c r="X1191" s="111"/>
      <c r="Y1191" s="111"/>
      <c r="Z1191" s="111" t="s">
        <v>13912</v>
      </c>
      <c r="AA1191" s="124">
        <f>50-5</f>
        <v>45</v>
      </c>
      <c r="AB1191" s="125">
        <f>IF(Projects!$AI1191="Electrolysis",
AA1191/VLOOKUP(G1191,ElectrolysisConvF,3,FALSE),
AC1191*10^6/(H2dens*HoursInYear))</f>
        <v>10000</v>
      </c>
      <c r="AC1191" s="126">
        <f t="shared" si="236"/>
        <v>7.7964</v>
      </c>
      <c r="AD1191" s="125"/>
      <c r="AE1191" s="125">
        <f t="shared" si="235"/>
        <v>10000</v>
      </c>
      <c r="AF1191" s="127" t="s">
        <v>13994</v>
      </c>
      <c r="AG1191" s="127">
        <v>41.1189458754906</v>
      </c>
      <c r="AH1191" s="127">
        <v>1.24338923261384</v>
      </c>
      <c r="AI1191" s="115" t="s">
        <v>12383</v>
      </c>
      <c r="AJ1191" s="116">
        <v>0.57</v>
      </c>
      <c r="AK1191" s="117"/>
      <c r="AL1191" s="117"/>
      <c r="AM1191" s="117"/>
      <c r="AN1191" s="117"/>
      <c r="AO1191" s="117"/>
    </row>
    <row r="1192" ht="34.5" customHeight="1">
      <c r="A1192" s="111">
        <v>1758.0</v>
      </c>
      <c r="B1192" s="111" t="s">
        <v>9194</v>
      </c>
      <c r="C1192" s="111" t="s">
        <v>7977</v>
      </c>
      <c r="D1192" s="111"/>
      <c r="E1192" s="111"/>
      <c r="F1192" s="111" t="s">
        <v>12397</v>
      </c>
      <c r="G1192" s="111" t="s">
        <v>12381</v>
      </c>
      <c r="H1192" s="111" t="s">
        <v>12230</v>
      </c>
      <c r="I1192" s="111" t="s">
        <v>12287</v>
      </c>
      <c r="J1192" s="111"/>
      <c r="K1192" s="111" t="s">
        <v>30</v>
      </c>
      <c r="L1192" s="111"/>
      <c r="M1192" s="111"/>
      <c r="N1192" s="111"/>
      <c r="O1192" s="111"/>
      <c r="P1192" s="111">
        <v>1.0</v>
      </c>
      <c r="Q1192" s="111">
        <v>1.0</v>
      </c>
      <c r="R1192" s="111"/>
      <c r="S1192" s="111"/>
      <c r="T1192" s="111"/>
      <c r="U1192" s="111"/>
      <c r="V1192" s="111"/>
      <c r="W1192" s="111"/>
      <c r="X1192" s="111"/>
      <c r="Y1192" s="111"/>
      <c r="Z1192" s="111" t="s">
        <v>13995</v>
      </c>
      <c r="AA1192" s="124">
        <f>70-50</f>
        <v>20</v>
      </c>
      <c r="AB1192" s="125">
        <f>IF(Projects!$AI1192="Electrolysis",
AA1192/VLOOKUP(G1192,ElectrolysisConvF,3,FALSE),
AC1192*10^6/(H2dens*HoursInYear))</f>
        <v>4444.444444</v>
      </c>
      <c r="AC1192" s="126">
        <f t="shared" si="236"/>
        <v>3.465066667</v>
      </c>
      <c r="AD1192" s="125"/>
      <c r="AE1192" s="125">
        <f t="shared" si="235"/>
        <v>4444.444444</v>
      </c>
      <c r="AF1192" s="127" t="s">
        <v>13994</v>
      </c>
      <c r="AG1192" s="127">
        <v>41.1189458754906</v>
      </c>
      <c r="AH1192" s="127">
        <v>1.24338923261384</v>
      </c>
      <c r="AI1192" s="115" t="s">
        <v>12383</v>
      </c>
      <c r="AJ1192" s="116">
        <v>0.57</v>
      </c>
      <c r="AK1192" s="117"/>
      <c r="AL1192" s="117"/>
      <c r="AM1192" s="117"/>
      <c r="AN1192" s="117"/>
      <c r="AO1192" s="117"/>
    </row>
    <row r="1193" ht="34.5" customHeight="1">
      <c r="A1193" s="111">
        <v>1759.0</v>
      </c>
      <c r="B1193" s="111" t="s">
        <v>9195</v>
      </c>
      <c r="C1193" s="111" t="s">
        <v>8108</v>
      </c>
      <c r="D1193" s="111">
        <v>2024.0</v>
      </c>
      <c r="E1193" s="111"/>
      <c r="F1193" s="111" t="s">
        <v>12385</v>
      </c>
      <c r="G1193" s="111" t="s">
        <v>12226</v>
      </c>
      <c r="H1193" s="111"/>
      <c r="I1193" s="111" t="s">
        <v>12394</v>
      </c>
      <c r="J1193" s="111" t="s">
        <v>12296</v>
      </c>
      <c r="K1193" s="111" t="s">
        <v>30</v>
      </c>
      <c r="L1193" s="111"/>
      <c r="M1193" s="111"/>
      <c r="N1193" s="111"/>
      <c r="O1193" s="111"/>
      <c r="P1193" s="111">
        <v>1.0</v>
      </c>
      <c r="Q1193" s="111"/>
      <c r="R1193" s="111"/>
      <c r="S1193" s="111"/>
      <c r="T1193" s="111"/>
      <c r="U1193" s="111"/>
      <c r="V1193" s="111"/>
      <c r="W1193" s="111"/>
      <c r="X1193" s="111"/>
      <c r="Y1193" s="111"/>
      <c r="Z1193" s="111" t="s">
        <v>12422</v>
      </c>
      <c r="AA1193" s="124">
        <v>10.0</v>
      </c>
      <c r="AB1193" s="125">
        <f>IF(Projects!$AI1193="Electrolysis",
AA1193/VLOOKUP(G1193,ElectrolysisConvF,3,FALSE),
AC1193*10^6/(H2dens*HoursInYear))</f>
        <v>1923.076923</v>
      </c>
      <c r="AC1193" s="126">
        <f t="shared" si="236"/>
        <v>1.499307692</v>
      </c>
      <c r="AD1193" s="125"/>
      <c r="AE1193" s="125">
        <f t="shared" si="235"/>
        <v>1923.076923</v>
      </c>
      <c r="AF1193" s="127" t="s">
        <v>13996</v>
      </c>
      <c r="AG1193" s="127">
        <v>23.473324</v>
      </c>
      <c r="AH1193" s="127">
        <v>77.947998</v>
      </c>
      <c r="AI1193" s="115" t="s">
        <v>12383</v>
      </c>
      <c r="AJ1193" s="116">
        <v>0.5</v>
      </c>
      <c r="AK1193" s="117"/>
      <c r="AL1193" s="117"/>
      <c r="AM1193" s="117"/>
      <c r="AN1193" s="117"/>
      <c r="AO1193" s="117"/>
    </row>
    <row r="1194" ht="34.5" customHeight="1">
      <c r="A1194" s="111">
        <v>1760.0</v>
      </c>
      <c r="B1194" s="111" t="s">
        <v>9196</v>
      </c>
      <c r="C1194" s="111" t="s">
        <v>8001</v>
      </c>
      <c r="D1194" s="111">
        <v>2025.0</v>
      </c>
      <c r="E1194" s="111"/>
      <c r="F1194" s="111" t="s">
        <v>12393</v>
      </c>
      <c r="G1194" s="111" t="s">
        <v>12381</v>
      </c>
      <c r="H1194" s="111" t="s">
        <v>13082</v>
      </c>
      <c r="I1194" s="111" t="s">
        <v>12394</v>
      </c>
      <c r="J1194" s="111" t="s">
        <v>12295</v>
      </c>
      <c r="K1194" s="111" t="s">
        <v>30</v>
      </c>
      <c r="L1194" s="111"/>
      <c r="M1194" s="111"/>
      <c r="N1194" s="111"/>
      <c r="O1194" s="111">
        <v>1.0</v>
      </c>
      <c r="P1194" s="111"/>
      <c r="Q1194" s="111">
        <v>1.0</v>
      </c>
      <c r="R1194" s="111"/>
      <c r="S1194" s="111"/>
      <c r="T1194" s="111"/>
      <c r="U1194" s="111"/>
      <c r="V1194" s="111"/>
      <c r="W1194" s="111"/>
      <c r="X1194" s="111"/>
      <c r="Y1194" s="111"/>
      <c r="Z1194" s="111" t="s">
        <v>13997</v>
      </c>
      <c r="AA1194" s="125">
        <f>IF(Projects!$AI1194="Electrolysis",
AB1194*VLOOKUP(G1194,ElectrolysisConvF,3,FALSE),
"")</f>
        <v>54</v>
      </c>
      <c r="AB1194" s="125">
        <v>12000.0</v>
      </c>
      <c r="AC1194" s="125">
        <f t="shared" si="236"/>
        <v>9.35568</v>
      </c>
      <c r="AD1194" s="125"/>
      <c r="AE1194" s="125">
        <f t="shared" si="235"/>
        <v>12000</v>
      </c>
      <c r="AF1194" s="127"/>
      <c r="AG1194" s="127">
        <v>40.6643989546158</v>
      </c>
      <c r="AH1194" s="127">
        <v>109.84298384509</v>
      </c>
      <c r="AI1194" s="115" t="s">
        <v>12383</v>
      </c>
      <c r="AJ1194" s="116">
        <v>0.5</v>
      </c>
      <c r="AK1194" s="117"/>
      <c r="AL1194" s="117"/>
      <c r="AM1194" s="117"/>
      <c r="AN1194" s="117"/>
      <c r="AO1194" s="117"/>
    </row>
    <row r="1195" ht="34.5" customHeight="1">
      <c r="A1195" s="111">
        <v>1761.0</v>
      </c>
      <c r="B1195" s="111" t="s">
        <v>9197</v>
      </c>
      <c r="C1195" s="111" t="s">
        <v>8001</v>
      </c>
      <c r="D1195" s="111">
        <v>2023.0</v>
      </c>
      <c r="E1195" s="111"/>
      <c r="F1195" s="111" t="s">
        <v>12385</v>
      </c>
      <c r="G1195" s="111" t="s">
        <v>12381</v>
      </c>
      <c r="H1195" s="111" t="s">
        <v>13082</v>
      </c>
      <c r="I1195" s="111" t="s">
        <v>12394</v>
      </c>
      <c r="J1195" s="111" t="s">
        <v>12291</v>
      </c>
      <c r="K1195" s="111" t="s">
        <v>30</v>
      </c>
      <c r="L1195" s="111"/>
      <c r="M1195" s="111"/>
      <c r="N1195" s="111"/>
      <c r="O1195" s="111"/>
      <c r="P1195" s="111">
        <v>1.0</v>
      </c>
      <c r="Q1195" s="111"/>
      <c r="R1195" s="111"/>
      <c r="S1195" s="111"/>
      <c r="T1195" s="111"/>
      <c r="U1195" s="111"/>
      <c r="V1195" s="111"/>
      <c r="W1195" s="111"/>
      <c r="X1195" s="111"/>
      <c r="Y1195" s="111"/>
      <c r="Z1195" s="111" t="s">
        <v>13998</v>
      </c>
      <c r="AA1195" s="126">
        <f>IF(Projects!$AI1195="Electrolysis",
AB1195*VLOOKUP(G1195,ElectrolysisConvF,3,FALSE),
"")</f>
        <v>12.12097891</v>
      </c>
      <c r="AB1195" s="125">
        <f>AC1195/(H2dens*HoursInYear/10^6)</f>
        <v>2693.55087</v>
      </c>
      <c r="AC1195" s="125">
        <v>2.1</v>
      </c>
      <c r="AD1195" s="125"/>
      <c r="AE1195" s="125">
        <f t="shared" si="235"/>
        <v>2693.55087</v>
      </c>
      <c r="AF1195" s="127" t="s">
        <v>13999</v>
      </c>
      <c r="AG1195" s="127">
        <v>40.2369739874703</v>
      </c>
      <c r="AH1195" s="127">
        <v>97.5426285729633</v>
      </c>
      <c r="AI1195" s="115" t="s">
        <v>12383</v>
      </c>
      <c r="AJ1195" s="116">
        <v>0.3</v>
      </c>
      <c r="AK1195" s="117"/>
      <c r="AL1195" s="117"/>
      <c r="AM1195" s="117"/>
      <c r="AN1195" s="117"/>
      <c r="AO1195" s="117"/>
    </row>
    <row r="1196" ht="34.5" customHeight="1">
      <c r="A1196" s="111">
        <v>1762.0</v>
      </c>
      <c r="B1196" s="111" t="s">
        <v>9198</v>
      </c>
      <c r="C1196" s="111" t="s">
        <v>8001</v>
      </c>
      <c r="D1196" s="111"/>
      <c r="E1196" s="111"/>
      <c r="F1196" s="111" t="s">
        <v>12397</v>
      </c>
      <c r="G1196" s="111" t="s">
        <v>12224</v>
      </c>
      <c r="H1196" s="111"/>
      <c r="I1196" s="111" t="s">
        <v>12394</v>
      </c>
      <c r="J1196" s="111" t="s">
        <v>12291</v>
      </c>
      <c r="K1196" s="111" t="s">
        <v>30</v>
      </c>
      <c r="L1196" s="111"/>
      <c r="M1196" s="111"/>
      <c r="N1196" s="111"/>
      <c r="O1196" s="111"/>
      <c r="P1196" s="111"/>
      <c r="Q1196" s="111"/>
      <c r="R1196" s="111"/>
      <c r="S1196" s="111"/>
      <c r="T1196" s="111"/>
      <c r="U1196" s="111"/>
      <c r="V1196" s="111"/>
      <c r="W1196" s="111"/>
      <c r="X1196" s="111"/>
      <c r="Y1196" s="111"/>
      <c r="Z1196" s="111" t="s">
        <v>13912</v>
      </c>
      <c r="AA1196" s="124">
        <v>50.0</v>
      </c>
      <c r="AB1196" s="125">
        <f>IF(Projects!$AI1196="Electrolysis",
AA1196/VLOOKUP(G1196,ElectrolysisConvF,3,FALSE),
AC1196*10^6/(H2dens*HoursInYear))</f>
        <v>10869.56522</v>
      </c>
      <c r="AC1196" s="126">
        <f t="shared" ref="AC1196:AC1199" si="237">AB1196*H2dens*HoursInYear/10^6</f>
        <v>8.474347826</v>
      </c>
      <c r="AD1196" s="125"/>
      <c r="AE1196" s="125">
        <f t="shared" si="235"/>
        <v>10869.56522</v>
      </c>
      <c r="AF1196" s="127"/>
      <c r="AG1196" s="127">
        <v>36.066898</v>
      </c>
      <c r="AH1196" s="127">
        <v>120.382698</v>
      </c>
      <c r="AI1196" s="115" t="s">
        <v>12383</v>
      </c>
      <c r="AJ1196" s="116">
        <v>0.3</v>
      </c>
      <c r="AK1196" s="117"/>
      <c r="AL1196" s="117"/>
      <c r="AM1196" s="117"/>
      <c r="AN1196" s="117"/>
      <c r="AO1196" s="117"/>
    </row>
    <row r="1197" ht="34.5" customHeight="1">
      <c r="A1197" s="111">
        <v>1764.0</v>
      </c>
      <c r="B1197" s="111" t="s">
        <v>9199</v>
      </c>
      <c r="C1197" s="111" t="s">
        <v>8108</v>
      </c>
      <c r="D1197" s="111">
        <v>2030.0</v>
      </c>
      <c r="E1197" s="111"/>
      <c r="F1197" s="111" t="s">
        <v>12397</v>
      </c>
      <c r="G1197" s="111" t="s">
        <v>12381</v>
      </c>
      <c r="H1197" s="111" t="s">
        <v>12230</v>
      </c>
      <c r="I1197" s="111" t="s">
        <v>12394</v>
      </c>
      <c r="J1197" s="111" t="s">
        <v>12295</v>
      </c>
      <c r="K1197" s="111" t="s">
        <v>174</v>
      </c>
      <c r="L1197" s="111"/>
      <c r="M1197" s="111">
        <v>1.0</v>
      </c>
      <c r="N1197" s="111"/>
      <c r="O1197" s="111"/>
      <c r="P1197" s="111"/>
      <c r="Q1197" s="111"/>
      <c r="R1197" s="111"/>
      <c r="S1197" s="111"/>
      <c r="T1197" s="111"/>
      <c r="U1197" s="111"/>
      <c r="V1197" s="111"/>
      <c r="W1197" s="111"/>
      <c r="X1197" s="111"/>
      <c r="Y1197" s="111"/>
      <c r="Z1197" s="111" t="s">
        <v>13813</v>
      </c>
      <c r="AA1197" s="124">
        <v>2000.0</v>
      </c>
      <c r="AB1197" s="125">
        <f>IF(Projects!$AI1197="Electrolysis",
AA1197/VLOOKUP(G1197,ElectrolysisConvF,3,FALSE),
AC1197*10^6/(H2dens*HoursInYear))</f>
        <v>444444.4444</v>
      </c>
      <c r="AC1197" s="126">
        <f t="shared" si="237"/>
        <v>346.5066667</v>
      </c>
      <c r="AD1197" s="125"/>
      <c r="AE1197" s="125">
        <f t="shared" si="235"/>
        <v>444444.4444</v>
      </c>
      <c r="AF1197" s="127"/>
      <c r="AG1197" s="127">
        <v>0.0</v>
      </c>
      <c r="AH1197" s="127">
        <v>0.0</v>
      </c>
      <c r="AI1197" s="115" t="s">
        <v>12383</v>
      </c>
      <c r="AJ1197" s="116">
        <v>0.5</v>
      </c>
      <c r="AK1197" s="117"/>
      <c r="AL1197" s="117"/>
      <c r="AM1197" s="117"/>
      <c r="AN1197" s="117"/>
      <c r="AO1197" s="117"/>
    </row>
    <row r="1198" ht="34.5" customHeight="1">
      <c r="A1198" s="111">
        <v>1765.0</v>
      </c>
      <c r="B1198" s="111" t="s">
        <v>9200</v>
      </c>
      <c r="C1198" s="111" t="s">
        <v>7987</v>
      </c>
      <c r="D1198" s="111">
        <v>2025.0</v>
      </c>
      <c r="E1198" s="111"/>
      <c r="F1198" s="111" t="s">
        <v>12399</v>
      </c>
      <c r="G1198" s="111" t="s">
        <v>12224</v>
      </c>
      <c r="H1198" s="111"/>
      <c r="I1198" s="111" t="s">
        <v>12394</v>
      </c>
      <c r="J1198" s="111" t="s">
        <v>12295</v>
      </c>
      <c r="K1198" s="111" t="s">
        <v>30</v>
      </c>
      <c r="L1198" s="111"/>
      <c r="M1198" s="111"/>
      <c r="N1198" s="111"/>
      <c r="O1198" s="111"/>
      <c r="P1198" s="111">
        <v>1.0</v>
      </c>
      <c r="Q1198" s="111">
        <v>1.0</v>
      </c>
      <c r="R1198" s="111"/>
      <c r="S1198" s="111"/>
      <c r="T1198" s="111"/>
      <c r="U1198" s="111"/>
      <c r="V1198" s="111"/>
      <c r="W1198" s="111"/>
      <c r="X1198" s="111"/>
      <c r="Y1198" s="111"/>
      <c r="Z1198" s="111" t="s">
        <v>12709</v>
      </c>
      <c r="AA1198" s="124">
        <v>100.0</v>
      </c>
      <c r="AB1198" s="125">
        <f>IF(Projects!$AI1198="Electrolysis",
AA1198/VLOOKUP(G1198,ElectrolysisConvF,3,FALSE),
AC1198*10^6/(H2dens*HoursInYear))</f>
        <v>21739.13043</v>
      </c>
      <c r="AC1198" s="126">
        <f t="shared" si="237"/>
        <v>16.94869565</v>
      </c>
      <c r="AD1198" s="125"/>
      <c r="AE1198" s="125">
        <f t="shared" si="235"/>
        <v>21739.13043</v>
      </c>
      <c r="AF1198" s="127" t="s">
        <v>14000</v>
      </c>
      <c r="AG1198" s="127">
        <v>54.117</v>
      </c>
      <c r="AH1198" s="127">
        <v>13.733</v>
      </c>
      <c r="AI1198" s="115" t="s">
        <v>12383</v>
      </c>
      <c r="AJ1198" s="116">
        <v>0.5</v>
      </c>
      <c r="AK1198" s="117"/>
      <c r="AL1198" s="117"/>
      <c r="AM1198" s="117"/>
      <c r="AN1198" s="117"/>
      <c r="AO1198" s="117"/>
    </row>
    <row r="1199" ht="34.5" customHeight="1">
      <c r="A1199" s="111">
        <v>1766.0</v>
      </c>
      <c r="B1199" s="111" t="s">
        <v>9201</v>
      </c>
      <c r="C1199" s="111" t="s">
        <v>7987</v>
      </c>
      <c r="D1199" s="111">
        <v>2030.0</v>
      </c>
      <c r="E1199" s="111"/>
      <c r="F1199" s="111" t="s">
        <v>12397</v>
      </c>
      <c r="G1199" s="111" t="s">
        <v>12381</v>
      </c>
      <c r="H1199" s="111" t="s">
        <v>12230</v>
      </c>
      <c r="I1199" s="111" t="s">
        <v>12394</v>
      </c>
      <c r="J1199" s="111" t="s">
        <v>12295</v>
      </c>
      <c r="K1199" s="111" t="s">
        <v>30</v>
      </c>
      <c r="L1199" s="111"/>
      <c r="M1199" s="111"/>
      <c r="N1199" s="111"/>
      <c r="O1199" s="111"/>
      <c r="P1199" s="111">
        <v>1.0</v>
      </c>
      <c r="Q1199" s="111">
        <v>1.0</v>
      </c>
      <c r="R1199" s="111"/>
      <c r="S1199" s="111"/>
      <c r="T1199" s="111"/>
      <c r="U1199" s="111"/>
      <c r="V1199" s="111"/>
      <c r="W1199" s="111"/>
      <c r="X1199" s="111"/>
      <c r="Y1199" s="111"/>
      <c r="Z1199" s="111" t="s">
        <v>13621</v>
      </c>
      <c r="AA1199" s="124">
        <v>1000.0</v>
      </c>
      <c r="AB1199" s="125">
        <f>IF(Projects!$AI1199="Electrolysis",
AA1199/VLOOKUP(G1199,ElectrolysisConvF,3,FALSE),
AC1199*10^6/(H2dens*HoursInYear))</f>
        <v>222222.2222</v>
      </c>
      <c r="AC1199" s="126">
        <f t="shared" si="237"/>
        <v>173.2533333</v>
      </c>
      <c r="AD1199" s="125"/>
      <c r="AE1199" s="125">
        <f t="shared" si="235"/>
        <v>222222.2222</v>
      </c>
      <c r="AF1199" s="127" t="s">
        <v>14000</v>
      </c>
      <c r="AG1199" s="127">
        <v>54.117</v>
      </c>
      <c r="AH1199" s="127">
        <v>13.733</v>
      </c>
      <c r="AI1199" s="115" t="s">
        <v>12383</v>
      </c>
      <c r="AJ1199" s="116">
        <v>0.5</v>
      </c>
      <c r="AK1199" s="117"/>
      <c r="AL1199" s="117"/>
      <c r="AM1199" s="117"/>
      <c r="AN1199" s="117"/>
      <c r="AO1199" s="117"/>
    </row>
    <row r="1200" ht="34.5" customHeight="1">
      <c r="A1200" s="111">
        <v>1767.0</v>
      </c>
      <c r="B1200" s="111" t="s">
        <v>9202</v>
      </c>
      <c r="C1200" s="111" t="s">
        <v>7974</v>
      </c>
      <c r="D1200" s="111">
        <v>2026.0</v>
      </c>
      <c r="E1200" s="111"/>
      <c r="F1200" s="111" t="s">
        <v>12418</v>
      </c>
      <c r="G1200" s="111" t="s">
        <v>13722</v>
      </c>
      <c r="H1200" s="111"/>
      <c r="I1200" s="111"/>
      <c r="J1200" s="111"/>
      <c r="K1200" s="111" t="s">
        <v>30</v>
      </c>
      <c r="L1200" s="111"/>
      <c r="M1200" s="111"/>
      <c r="N1200" s="111"/>
      <c r="O1200" s="111">
        <v>1.0</v>
      </c>
      <c r="P1200" s="111"/>
      <c r="Q1200" s="111"/>
      <c r="R1200" s="111"/>
      <c r="S1200" s="111"/>
      <c r="T1200" s="111"/>
      <c r="U1200" s="111"/>
      <c r="V1200" s="111"/>
      <c r="W1200" s="111"/>
      <c r="X1200" s="111"/>
      <c r="Y1200" s="111"/>
      <c r="Z1200" s="111" t="s">
        <v>14001</v>
      </c>
      <c r="AA1200" s="124"/>
      <c r="AB1200" s="125">
        <f>AC1200/(H2dens*HoursInYear/10^6)</f>
        <v>3847.929814</v>
      </c>
      <c r="AC1200" s="125">
        <v>3.0</v>
      </c>
      <c r="AD1200" s="125"/>
      <c r="AE1200" s="125">
        <f t="shared" si="235"/>
        <v>3847.929814</v>
      </c>
      <c r="AF1200" s="127" t="s">
        <v>14002</v>
      </c>
      <c r="AG1200" s="127">
        <v>60.5578395893936</v>
      </c>
      <c r="AH1200" s="127">
        <v>16.2993350158126</v>
      </c>
      <c r="AI1200" s="115" t="s">
        <v>12241</v>
      </c>
      <c r="AJ1200" s="116">
        <v>0.9</v>
      </c>
      <c r="AK1200" s="117"/>
      <c r="AL1200" s="117"/>
      <c r="AM1200" s="117"/>
      <c r="AN1200" s="117"/>
      <c r="AO1200" s="117"/>
    </row>
    <row r="1201" ht="34.5" customHeight="1">
      <c r="A1201" s="111">
        <v>1768.0</v>
      </c>
      <c r="B1201" s="111" t="s">
        <v>9203</v>
      </c>
      <c r="C1201" s="111" t="s">
        <v>8011</v>
      </c>
      <c r="D1201" s="111">
        <v>2023.0</v>
      </c>
      <c r="E1201" s="111"/>
      <c r="F1201" s="111" t="s">
        <v>12385</v>
      </c>
      <c r="G1201" s="111" t="s">
        <v>12226</v>
      </c>
      <c r="H1201" s="111"/>
      <c r="I1201" s="111" t="s">
        <v>12287</v>
      </c>
      <c r="J1201" s="111"/>
      <c r="K1201" s="111" t="s">
        <v>30</v>
      </c>
      <c r="L1201" s="111"/>
      <c r="M1201" s="111"/>
      <c r="N1201" s="111"/>
      <c r="O1201" s="111"/>
      <c r="P1201" s="111"/>
      <c r="Q1201" s="111">
        <v>1.0</v>
      </c>
      <c r="R1201" s="111"/>
      <c r="S1201" s="111"/>
      <c r="T1201" s="111"/>
      <c r="U1201" s="111"/>
      <c r="V1201" s="111"/>
      <c r="W1201" s="111"/>
      <c r="X1201" s="111"/>
      <c r="Y1201" s="111"/>
      <c r="Z1201" s="111" t="s">
        <v>12395</v>
      </c>
      <c r="AA1201" s="124">
        <v>2.5</v>
      </c>
      <c r="AB1201" s="125">
        <f>IF(Projects!$AI1201="Electrolysis",
AA1201/VLOOKUP(G1201,ElectrolysisConvF,3,FALSE),
AC1201*10^6/(H2dens*HoursInYear))</f>
        <v>480.7692308</v>
      </c>
      <c r="AC1201" s="126">
        <f t="shared" ref="AC1201:AC1205" si="238">AB1201*H2dens*HoursInYear/10^6</f>
        <v>0.3748269231</v>
      </c>
      <c r="AD1201" s="125"/>
      <c r="AE1201" s="125">
        <f t="shared" si="235"/>
        <v>480.7692308</v>
      </c>
      <c r="AF1201" s="127" t="s">
        <v>14003</v>
      </c>
      <c r="AG1201" s="127">
        <v>48.8572441996414</v>
      </c>
      <c r="AH1201" s="127">
        <v>2.35115065749247</v>
      </c>
      <c r="AI1201" s="115" t="s">
        <v>12383</v>
      </c>
      <c r="AJ1201" s="116">
        <v>0.57</v>
      </c>
      <c r="AK1201" s="117"/>
      <c r="AL1201" s="117"/>
      <c r="AM1201" s="117"/>
      <c r="AN1201" s="117"/>
      <c r="AO1201" s="117"/>
    </row>
    <row r="1202" ht="34.5" customHeight="1">
      <c r="A1202" s="111">
        <v>1777.0</v>
      </c>
      <c r="B1202" s="111" t="s">
        <v>9204</v>
      </c>
      <c r="C1202" s="111" t="s">
        <v>8001</v>
      </c>
      <c r="D1202" s="111">
        <v>2022.0</v>
      </c>
      <c r="E1202" s="111"/>
      <c r="F1202" s="111" t="s">
        <v>12385</v>
      </c>
      <c r="G1202" s="111" t="s">
        <v>12226</v>
      </c>
      <c r="H1202" s="111"/>
      <c r="I1202" s="111" t="s">
        <v>12394</v>
      </c>
      <c r="J1202" s="111" t="s">
        <v>12295</v>
      </c>
      <c r="K1202" s="111" t="s">
        <v>30</v>
      </c>
      <c r="L1202" s="111">
        <v>1.0</v>
      </c>
      <c r="M1202" s="111"/>
      <c r="N1202" s="111"/>
      <c r="O1202" s="111"/>
      <c r="P1202" s="111"/>
      <c r="Q1202" s="111"/>
      <c r="R1202" s="111"/>
      <c r="S1202" s="111"/>
      <c r="T1202" s="111"/>
      <c r="U1202" s="111"/>
      <c r="V1202" s="111"/>
      <c r="W1202" s="111"/>
      <c r="X1202" s="111"/>
      <c r="Y1202" s="111"/>
      <c r="Z1202" s="111" t="s">
        <v>14004</v>
      </c>
      <c r="AA1202" s="126">
        <f>IF(Projects!$AI1202="Electrolysis",
AB1202*VLOOKUP(G1202,ElectrolysisConvF,3,FALSE),
"")</f>
        <v>2.421917808</v>
      </c>
      <c r="AB1202" s="125">
        <f>4080000/8760</f>
        <v>465.7534247</v>
      </c>
      <c r="AC1202" s="126">
        <f t="shared" si="238"/>
        <v>0.36312</v>
      </c>
      <c r="AD1202" s="125"/>
      <c r="AE1202" s="125">
        <f t="shared" si="235"/>
        <v>465.7534247</v>
      </c>
      <c r="AF1202" s="127" t="s">
        <v>14005</v>
      </c>
      <c r="AG1202" s="127">
        <v>35.762928</v>
      </c>
      <c r="AH1202" s="127">
        <v>114.980511</v>
      </c>
      <c r="AI1202" s="115" t="s">
        <v>12383</v>
      </c>
      <c r="AJ1202" s="116">
        <v>0.5</v>
      </c>
      <c r="AK1202" s="117"/>
      <c r="AL1202" s="117"/>
      <c r="AM1202" s="117"/>
      <c r="AN1202" s="117"/>
      <c r="AO1202" s="117"/>
    </row>
    <row r="1203" ht="34.5" customHeight="1">
      <c r="A1203" s="111">
        <v>1778.0</v>
      </c>
      <c r="B1203" s="111" t="s">
        <v>9205</v>
      </c>
      <c r="C1203" s="111" t="s">
        <v>8001</v>
      </c>
      <c r="D1203" s="111"/>
      <c r="E1203" s="111"/>
      <c r="F1203" s="111" t="s">
        <v>12397</v>
      </c>
      <c r="G1203" s="111" t="s">
        <v>12226</v>
      </c>
      <c r="H1203" s="111"/>
      <c r="I1203" s="111" t="s">
        <v>12394</v>
      </c>
      <c r="J1203" s="111" t="s">
        <v>12292</v>
      </c>
      <c r="K1203" s="111" t="s">
        <v>30</v>
      </c>
      <c r="L1203" s="111">
        <v>1.0</v>
      </c>
      <c r="M1203" s="111"/>
      <c r="N1203" s="111"/>
      <c r="O1203" s="111"/>
      <c r="P1203" s="111"/>
      <c r="Q1203" s="111"/>
      <c r="R1203" s="111"/>
      <c r="S1203" s="111"/>
      <c r="T1203" s="111"/>
      <c r="U1203" s="111"/>
      <c r="V1203" s="111"/>
      <c r="W1203" s="111"/>
      <c r="X1203" s="111"/>
      <c r="Y1203" s="111"/>
      <c r="Z1203" s="111" t="s">
        <v>14006</v>
      </c>
      <c r="AA1203" s="126">
        <f>IF(Projects!$AI1203="Electrolysis",
AB1203*VLOOKUP(G1203,ElectrolysisConvF,3,FALSE),
"")</f>
        <v>29.03926941</v>
      </c>
      <c r="AB1203" s="125">
        <f>53000000/8760-AB1202</f>
        <v>5584.474886</v>
      </c>
      <c r="AC1203" s="126">
        <f t="shared" si="238"/>
        <v>4.35388</v>
      </c>
      <c r="AD1203" s="125"/>
      <c r="AE1203" s="125">
        <f t="shared" si="235"/>
        <v>5584.474886</v>
      </c>
      <c r="AF1203" s="127" t="s">
        <v>14007</v>
      </c>
      <c r="AG1203" s="127">
        <v>35.762928</v>
      </c>
      <c r="AH1203" s="127">
        <v>114.980511</v>
      </c>
      <c r="AI1203" s="115" t="s">
        <v>12383</v>
      </c>
      <c r="AJ1203" s="116">
        <v>0.4</v>
      </c>
      <c r="AK1203" s="117"/>
      <c r="AL1203" s="117"/>
      <c r="AM1203" s="117"/>
      <c r="AN1203" s="117"/>
      <c r="AO1203" s="117"/>
    </row>
    <row r="1204" ht="34.5" customHeight="1">
      <c r="A1204" s="111">
        <v>1795.0</v>
      </c>
      <c r="B1204" s="127" t="s">
        <v>9206</v>
      </c>
      <c r="C1204" s="111" t="s">
        <v>8001</v>
      </c>
      <c r="D1204" s="111">
        <v>2025.0</v>
      </c>
      <c r="E1204" s="111"/>
      <c r="F1204" s="111" t="s">
        <v>12393</v>
      </c>
      <c r="G1204" s="111" t="s">
        <v>12381</v>
      </c>
      <c r="H1204" s="111" t="s">
        <v>13082</v>
      </c>
      <c r="I1204" s="111" t="s">
        <v>12394</v>
      </c>
      <c r="J1204" s="111" t="s">
        <v>12295</v>
      </c>
      <c r="K1204" s="111" t="s">
        <v>174</v>
      </c>
      <c r="L1204" s="111"/>
      <c r="M1204" s="111">
        <v>1.0</v>
      </c>
      <c r="N1204" s="111"/>
      <c r="O1204" s="111"/>
      <c r="P1204" s="111">
        <v>1.0</v>
      </c>
      <c r="Q1204" s="111"/>
      <c r="R1204" s="111"/>
      <c r="S1204" s="111"/>
      <c r="T1204" s="111"/>
      <c r="U1204" s="111"/>
      <c r="V1204" s="111"/>
      <c r="W1204" s="111"/>
      <c r="X1204" s="111"/>
      <c r="Y1204" s="111"/>
      <c r="Z1204" s="111" t="s">
        <v>14008</v>
      </c>
      <c r="AA1204" s="126">
        <f>IF(Projects!$AI1204="Electrolysis",
AB1204*VLOOKUP(G1204,ElectrolysisConvF,3,FALSE),
"")</f>
        <v>207</v>
      </c>
      <c r="AB1204" s="111">
        <v>46000.0</v>
      </c>
      <c r="AC1204" s="111">
        <f t="shared" si="238"/>
        <v>35.86344</v>
      </c>
      <c r="AD1204" s="125"/>
      <c r="AE1204" s="125">
        <f t="shared" si="235"/>
        <v>46000</v>
      </c>
      <c r="AF1204" s="127" t="s">
        <v>14009</v>
      </c>
      <c r="AG1204" s="127">
        <v>45.4245345656202</v>
      </c>
      <c r="AH1204" s="127">
        <v>123.485519964986</v>
      </c>
      <c r="AI1204" s="115" t="s">
        <v>12383</v>
      </c>
      <c r="AJ1204" s="116">
        <v>0.5</v>
      </c>
      <c r="AK1204" s="117"/>
      <c r="AL1204" s="117"/>
      <c r="AM1204" s="117"/>
      <c r="AN1204" s="117"/>
      <c r="AO1204" s="117"/>
    </row>
    <row r="1205" ht="34.5" customHeight="1">
      <c r="A1205" s="111">
        <v>1796.0</v>
      </c>
      <c r="B1205" s="111" t="s">
        <v>9207</v>
      </c>
      <c r="C1205" s="111" t="s">
        <v>8001</v>
      </c>
      <c r="D1205" s="111">
        <v>2023.0</v>
      </c>
      <c r="E1205" s="111"/>
      <c r="F1205" s="111" t="s">
        <v>12385</v>
      </c>
      <c r="G1205" s="111" t="s">
        <v>12381</v>
      </c>
      <c r="H1205" s="111" t="s">
        <v>12230</v>
      </c>
      <c r="I1205" s="111" t="s">
        <v>12394</v>
      </c>
      <c r="J1205" s="111" t="s">
        <v>12292</v>
      </c>
      <c r="K1205" s="111" t="s">
        <v>30</v>
      </c>
      <c r="L1205" s="111"/>
      <c r="M1205" s="111"/>
      <c r="N1205" s="111"/>
      <c r="O1205" s="111"/>
      <c r="P1205" s="111"/>
      <c r="Q1205" s="111">
        <v>1.0</v>
      </c>
      <c r="R1205" s="111"/>
      <c r="S1205" s="111"/>
      <c r="T1205" s="111"/>
      <c r="U1205" s="111"/>
      <c r="V1205" s="111"/>
      <c r="W1205" s="111"/>
      <c r="X1205" s="111"/>
      <c r="Y1205" s="111"/>
      <c r="Z1205" s="111" t="s">
        <v>14010</v>
      </c>
      <c r="AA1205" s="126">
        <f>IF(Projects!$AI1205="Electrolysis",
AB1205*VLOOKUP(G1205,ElectrolysisConvF,3,FALSE),
"")</f>
        <v>9</v>
      </c>
      <c r="AB1205" s="125">
        <v>2000.0</v>
      </c>
      <c r="AC1205" s="126">
        <f t="shared" si="238"/>
        <v>1.55928</v>
      </c>
      <c r="AD1205" s="125"/>
      <c r="AE1205" s="125">
        <f t="shared" si="235"/>
        <v>2000</v>
      </c>
      <c r="AF1205" s="127" t="s">
        <v>14011</v>
      </c>
      <c r="AG1205" s="127">
        <v>40.7816321509114</v>
      </c>
      <c r="AH1205" s="127">
        <v>114.867657780727</v>
      </c>
      <c r="AI1205" s="115" t="s">
        <v>12383</v>
      </c>
      <c r="AJ1205" s="116">
        <v>0.4</v>
      </c>
      <c r="AK1205" s="117"/>
      <c r="AL1205" s="117"/>
      <c r="AM1205" s="117"/>
      <c r="AN1205" s="117"/>
      <c r="AO1205" s="117"/>
    </row>
    <row r="1206" ht="34.5" customHeight="1">
      <c r="A1206" s="111">
        <v>1801.0</v>
      </c>
      <c r="B1206" s="111" t="s">
        <v>9208</v>
      </c>
      <c r="C1206" s="111" t="s">
        <v>7971</v>
      </c>
      <c r="D1206" s="111"/>
      <c r="E1206" s="111"/>
      <c r="F1206" s="111" t="s">
        <v>12397</v>
      </c>
      <c r="G1206" s="111" t="s">
        <v>12235</v>
      </c>
      <c r="H1206" s="111" t="s">
        <v>12529</v>
      </c>
      <c r="I1206" s="111"/>
      <c r="J1206" s="111"/>
      <c r="K1206" s="111" t="s">
        <v>174</v>
      </c>
      <c r="L1206" s="111"/>
      <c r="M1206" s="111">
        <v>1.0</v>
      </c>
      <c r="N1206" s="111"/>
      <c r="O1206" s="111"/>
      <c r="P1206" s="111"/>
      <c r="Q1206" s="111"/>
      <c r="R1206" s="111"/>
      <c r="S1206" s="111"/>
      <c r="T1206" s="111"/>
      <c r="U1206" s="111"/>
      <c r="V1206" s="111"/>
      <c r="W1206" s="111"/>
      <c r="X1206" s="111"/>
      <c r="Y1206" s="111"/>
      <c r="Z1206" s="111" t="s">
        <v>14012</v>
      </c>
      <c r="AA1206" s="124"/>
      <c r="AB1206" s="125">
        <f t="shared" ref="AB1206:AB1208" si="239">AC1206/(H2dens*HoursInYear/10^6)</f>
        <v>230968.1761</v>
      </c>
      <c r="AC1206" s="126">
        <f t="shared" ref="AC1206:AC1207" si="240">1000*3/17/0.98</f>
        <v>180.0720288</v>
      </c>
      <c r="AD1206" s="125">
        <v>2000000.0</v>
      </c>
      <c r="AE1206" s="125">
        <f t="shared" si="235"/>
        <v>250752.8855</v>
      </c>
      <c r="AF1206" s="127" t="s">
        <v>14013</v>
      </c>
      <c r="AG1206" s="127">
        <v>70.4799</v>
      </c>
      <c r="AH1206" s="127">
        <v>24.2633</v>
      </c>
      <c r="AI1206" s="115" t="s">
        <v>12378</v>
      </c>
      <c r="AJ1206" s="116">
        <v>0.9</v>
      </c>
      <c r="AK1206" s="117"/>
      <c r="AL1206" s="117"/>
      <c r="AM1206" s="117"/>
      <c r="AN1206" s="117"/>
      <c r="AO1206" s="117"/>
    </row>
    <row r="1207" ht="34.5" customHeight="1">
      <c r="A1207" s="111">
        <v>1802.0</v>
      </c>
      <c r="B1207" s="111" t="s">
        <v>9209</v>
      </c>
      <c r="C1207" s="111" t="s">
        <v>7971</v>
      </c>
      <c r="D1207" s="111"/>
      <c r="E1207" s="111"/>
      <c r="F1207" s="111" t="s">
        <v>12397</v>
      </c>
      <c r="G1207" s="111" t="s">
        <v>12235</v>
      </c>
      <c r="H1207" s="111" t="s">
        <v>12529</v>
      </c>
      <c r="I1207" s="111"/>
      <c r="J1207" s="111"/>
      <c r="K1207" s="111" t="s">
        <v>174</v>
      </c>
      <c r="L1207" s="111"/>
      <c r="M1207" s="111">
        <v>1.0</v>
      </c>
      <c r="N1207" s="111"/>
      <c r="O1207" s="111"/>
      <c r="P1207" s="111"/>
      <c r="Q1207" s="111"/>
      <c r="R1207" s="111"/>
      <c r="S1207" s="111"/>
      <c r="T1207" s="111"/>
      <c r="U1207" s="111"/>
      <c r="V1207" s="111"/>
      <c r="W1207" s="111"/>
      <c r="X1207" s="111"/>
      <c r="Y1207" s="111"/>
      <c r="Z1207" s="111" t="s">
        <v>14014</v>
      </c>
      <c r="AA1207" s="124"/>
      <c r="AB1207" s="125">
        <f t="shared" si="239"/>
        <v>230968.1761</v>
      </c>
      <c r="AC1207" s="126">
        <f t="shared" si="240"/>
        <v>180.0720288</v>
      </c>
      <c r="AD1207" s="125">
        <v>2000000.0</v>
      </c>
      <c r="AE1207" s="125">
        <f t="shared" si="235"/>
        <v>250752.8855</v>
      </c>
      <c r="AF1207" s="127" t="s">
        <v>14013</v>
      </c>
      <c r="AG1207" s="127">
        <v>70.4799</v>
      </c>
      <c r="AH1207" s="127">
        <v>24.2633</v>
      </c>
      <c r="AI1207" s="115" t="s">
        <v>12378</v>
      </c>
      <c r="AJ1207" s="116">
        <v>0.9</v>
      </c>
      <c r="AK1207" s="117"/>
      <c r="AL1207" s="117"/>
      <c r="AM1207" s="117"/>
      <c r="AN1207" s="117"/>
      <c r="AO1207" s="117"/>
    </row>
    <row r="1208" ht="34.5" customHeight="1">
      <c r="A1208" s="111">
        <v>1803.0</v>
      </c>
      <c r="B1208" s="111" t="s">
        <v>9210</v>
      </c>
      <c r="C1208" s="111" t="s">
        <v>7974</v>
      </c>
      <c r="D1208" s="111">
        <v>2027.0</v>
      </c>
      <c r="E1208" s="111"/>
      <c r="F1208" s="111" t="s">
        <v>12399</v>
      </c>
      <c r="G1208" s="111" t="s">
        <v>12381</v>
      </c>
      <c r="H1208" s="111" t="s">
        <v>12230</v>
      </c>
      <c r="I1208" s="111" t="s">
        <v>12394</v>
      </c>
      <c r="J1208" s="111" t="s">
        <v>12295</v>
      </c>
      <c r="K1208" s="111" t="s">
        <v>12415</v>
      </c>
      <c r="L1208" s="111"/>
      <c r="M1208" s="111"/>
      <c r="N1208" s="111">
        <v>1.0</v>
      </c>
      <c r="O1208" s="111"/>
      <c r="P1208" s="111"/>
      <c r="Q1208" s="111"/>
      <c r="R1208" s="111"/>
      <c r="S1208" s="111"/>
      <c r="T1208" s="111"/>
      <c r="U1208" s="111"/>
      <c r="V1208" s="111"/>
      <c r="W1208" s="111"/>
      <c r="X1208" s="111"/>
      <c r="Y1208" s="111"/>
      <c r="Z1208" s="111" t="s">
        <v>14015</v>
      </c>
      <c r="AA1208" s="126">
        <f>IF(Projects!$AI1208="Electrolysis",
AB1208*VLOOKUP(G1208,ElectrolysisConvF,3,FALSE),
"")</f>
        <v>287.1230183</v>
      </c>
      <c r="AB1208" s="125">
        <f t="shared" si="239"/>
        <v>63805.11518</v>
      </c>
      <c r="AC1208" s="125">
        <f>130*0.191327/Projects!$AJ1208</f>
        <v>49.74502</v>
      </c>
      <c r="AD1208" s="125"/>
      <c r="AE1208" s="125">
        <f t="shared" si="235"/>
        <v>63805.11518</v>
      </c>
      <c r="AF1208" s="127" t="s">
        <v>14016</v>
      </c>
      <c r="AG1208" s="127">
        <v>62.3965762385459</v>
      </c>
      <c r="AH1208" s="127">
        <v>17.3042056772326</v>
      </c>
      <c r="AI1208" s="115" t="s">
        <v>12383</v>
      </c>
      <c r="AJ1208" s="116">
        <v>0.5</v>
      </c>
      <c r="AK1208" s="117"/>
      <c r="AL1208" s="117"/>
      <c r="AM1208" s="117"/>
      <c r="AN1208" s="117"/>
      <c r="AO1208" s="117"/>
    </row>
    <row r="1209" ht="34.5" customHeight="1">
      <c r="A1209" s="111">
        <v>1804.0</v>
      </c>
      <c r="B1209" s="111" t="s">
        <v>9211</v>
      </c>
      <c r="C1209" s="111" t="s">
        <v>7987</v>
      </c>
      <c r="D1209" s="111">
        <v>2025.0</v>
      </c>
      <c r="E1209" s="111"/>
      <c r="F1209" s="111" t="s">
        <v>12393</v>
      </c>
      <c r="G1209" s="111" t="s">
        <v>12381</v>
      </c>
      <c r="H1209" s="111" t="s">
        <v>12230</v>
      </c>
      <c r="I1209" s="111" t="s">
        <v>12394</v>
      </c>
      <c r="J1209" s="111" t="s">
        <v>12292</v>
      </c>
      <c r="K1209" s="111" t="s">
        <v>30</v>
      </c>
      <c r="L1209" s="111"/>
      <c r="M1209" s="111"/>
      <c r="N1209" s="111"/>
      <c r="O1209" s="111">
        <v>1.0</v>
      </c>
      <c r="P1209" s="111"/>
      <c r="Q1209" s="111"/>
      <c r="R1209" s="111"/>
      <c r="S1209" s="111"/>
      <c r="T1209" s="111"/>
      <c r="U1209" s="111"/>
      <c r="V1209" s="111"/>
      <c r="W1209" s="111"/>
      <c r="X1209" s="111"/>
      <c r="Y1209" s="111"/>
      <c r="Z1209" s="111" t="s">
        <v>12709</v>
      </c>
      <c r="AA1209" s="124">
        <v>100.0</v>
      </c>
      <c r="AB1209" s="125">
        <f>IF(Projects!$AI1209="Electrolysis",
AA1209/VLOOKUP(G1209,ElectrolysisConvF,3,FALSE),
AC1209*10^6/(H2dens*HoursInYear))</f>
        <v>22222.22222</v>
      </c>
      <c r="AC1209" s="125">
        <f t="shared" ref="AC1209:AC1214" si="241">AB1209*H2dens*HoursInYear/10^6</f>
        <v>17.32533333</v>
      </c>
      <c r="AD1209" s="125"/>
      <c r="AE1209" s="125">
        <f t="shared" si="235"/>
        <v>22222.22222</v>
      </c>
      <c r="AF1209" s="127" t="s">
        <v>14017</v>
      </c>
      <c r="AG1209" s="127">
        <v>52.1613923896665</v>
      </c>
      <c r="AH1209" s="127">
        <v>10.431165376505</v>
      </c>
      <c r="AI1209" s="115" t="s">
        <v>12383</v>
      </c>
      <c r="AJ1209" s="116">
        <v>0.4</v>
      </c>
      <c r="AK1209" s="117"/>
      <c r="AL1209" s="117"/>
      <c r="AM1209" s="117"/>
      <c r="AN1209" s="117"/>
      <c r="AO1209" s="117"/>
    </row>
    <row r="1210" ht="34.5" customHeight="1">
      <c r="A1210" s="111">
        <v>1805.0</v>
      </c>
      <c r="B1210" s="111" t="s">
        <v>9212</v>
      </c>
      <c r="C1210" s="111" t="s">
        <v>7987</v>
      </c>
      <c r="D1210" s="111">
        <v>2027.0</v>
      </c>
      <c r="E1210" s="111"/>
      <c r="F1210" s="111" t="s">
        <v>12399</v>
      </c>
      <c r="G1210" s="111" t="s">
        <v>12381</v>
      </c>
      <c r="H1210" s="111" t="s">
        <v>12230</v>
      </c>
      <c r="I1210" s="111" t="s">
        <v>12394</v>
      </c>
      <c r="J1210" s="111" t="s">
        <v>12293</v>
      </c>
      <c r="K1210" s="111" t="s">
        <v>30</v>
      </c>
      <c r="L1210" s="111"/>
      <c r="M1210" s="111"/>
      <c r="N1210" s="111"/>
      <c r="O1210" s="111"/>
      <c r="P1210" s="111"/>
      <c r="Q1210" s="111"/>
      <c r="R1210" s="111"/>
      <c r="S1210" s="111"/>
      <c r="T1210" s="111"/>
      <c r="U1210" s="111"/>
      <c r="V1210" s="111"/>
      <c r="W1210" s="111"/>
      <c r="X1210" s="111"/>
      <c r="Y1210" s="111"/>
      <c r="Z1210" s="111" t="s">
        <v>12963</v>
      </c>
      <c r="AA1210" s="124">
        <v>4.0</v>
      </c>
      <c r="AB1210" s="125">
        <f>IF(Projects!$AI1210="Electrolysis",
AA1210/VLOOKUP(G1210,ElectrolysisConvF,3,FALSE),
AC1210*10^6/(H2dens*HoursInYear))</f>
        <v>888.8888889</v>
      </c>
      <c r="AC1210" s="126">
        <f t="shared" si="241"/>
        <v>0.6930133333</v>
      </c>
      <c r="AD1210" s="125"/>
      <c r="AE1210" s="125">
        <f t="shared" si="235"/>
        <v>888.8888889</v>
      </c>
      <c r="AF1210" s="127" t="s">
        <v>14018</v>
      </c>
      <c r="AG1210" s="127">
        <v>54.9353981843051</v>
      </c>
      <c r="AH1210" s="127">
        <v>7.42589053057362</v>
      </c>
      <c r="AI1210" s="115" t="s">
        <v>12383</v>
      </c>
      <c r="AJ1210" s="116">
        <v>0.55</v>
      </c>
      <c r="AK1210" s="117"/>
      <c r="AL1210" s="117"/>
      <c r="AM1210" s="117"/>
      <c r="AN1210" s="117"/>
      <c r="AO1210" s="117"/>
    </row>
    <row r="1211" ht="34.5" customHeight="1">
      <c r="A1211" s="111">
        <v>1806.0</v>
      </c>
      <c r="B1211" s="111" t="s">
        <v>9213</v>
      </c>
      <c r="C1211" s="111" t="s">
        <v>7967</v>
      </c>
      <c r="D1211" s="111">
        <v>2027.0</v>
      </c>
      <c r="E1211" s="111"/>
      <c r="F1211" s="111" t="s">
        <v>12399</v>
      </c>
      <c r="G1211" s="111" t="s">
        <v>12224</v>
      </c>
      <c r="H1211" s="111"/>
      <c r="I1211" s="111" t="s">
        <v>12394</v>
      </c>
      <c r="J1211" s="111" t="s">
        <v>12293</v>
      </c>
      <c r="K1211" s="111" t="s">
        <v>30</v>
      </c>
      <c r="L1211" s="111">
        <v>1.0</v>
      </c>
      <c r="M1211" s="111"/>
      <c r="N1211" s="111"/>
      <c r="O1211" s="111"/>
      <c r="P1211" s="111"/>
      <c r="Q1211" s="111"/>
      <c r="R1211" s="111"/>
      <c r="S1211" s="111"/>
      <c r="T1211" s="111"/>
      <c r="U1211" s="111"/>
      <c r="V1211" s="111"/>
      <c r="W1211" s="111"/>
      <c r="X1211" s="111"/>
      <c r="Y1211" s="111"/>
      <c r="Z1211" s="111" t="s">
        <v>13675</v>
      </c>
      <c r="AA1211" s="124">
        <v>200.0</v>
      </c>
      <c r="AB1211" s="125">
        <f>IF(Projects!$AI1211="Electrolysis",
AA1211/VLOOKUP(G1211,ElectrolysisConvF,3,FALSE),
AC1211*10^6/(H2dens*HoursInYear))</f>
        <v>43478.26087</v>
      </c>
      <c r="AC1211" s="126">
        <f t="shared" si="241"/>
        <v>33.8973913</v>
      </c>
      <c r="AD1211" s="125"/>
      <c r="AE1211" s="125">
        <f t="shared" si="235"/>
        <v>43478.26087</v>
      </c>
      <c r="AF1211" s="127" t="s">
        <v>14019</v>
      </c>
      <c r="AG1211" s="127">
        <v>51.9468389546096</v>
      </c>
      <c r="AH1211" s="127">
        <v>4.00975189191162</v>
      </c>
      <c r="AI1211" s="115" t="s">
        <v>12383</v>
      </c>
      <c r="AJ1211" s="116">
        <v>0.55</v>
      </c>
      <c r="AK1211" s="117"/>
      <c r="AL1211" s="117"/>
      <c r="AM1211" s="117"/>
      <c r="AN1211" s="117"/>
      <c r="AO1211" s="117"/>
    </row>
    <row r="1212" ht="34.5" customHeight="1">
      <c r="A1212" s="111">
        <v>1807.0</v>
      </c>
      <c r="B1212" s="111" t="s">
        <v>9214</v>
      </c>
      <c r="C1212" s="111" t="s">
        <v>7967</v>
      </c>
      <c r="D1212" s="111">
        <v>2027.0</v>
      </c>
      <c r="E1212" s="111"/>
      <c r="F1212" s="111" t="s">
        <v>12399</v>
      </c>
      <c r="G1212" s="111" t="s">
        <v>12381</v>
      </c>
      <c r="H1212" s="111" t="s">
        <v>12230</v>
      </c>
      <c r="I1212" s="111" t="s">
        <v>12394</v>
      </c>
      <c r="J1212" s="111" t="s">
        <v>12293</v>
      </c>
      <c r="K1212" s="111" t="s">
        <v>30</v>
      </c>
      <c r="L1212" s="111"/>
      <c r="M1212" s="111"/>
      <c r="N1212" s="111"/>
      <c r="O1212" s="111"/>
      <c r="P1212" s="111"/>
      <c r="Q1212" s="111"/>
      <c r="R1212" s="111"/>
      <c r="S1212" s="111"/>
      <c r="T1212" s="111"/>
      <c r="U1212" s="111"/>
      <c r="V1212" s="111"/>
      <c r="W1212" s="111"/>
      <c r="X1212" s="111"/>
      <c r="Y1212" s="111"/>
      <c r="Z1212" s="111" t="s">
        <v>13069</v>
      </c>
      <c r="AA1212" s="124">
        <v>500.0</v>
      </c>
      <c r="AB1212" s="125">
        <f>IF(Projects!$AI1212="Electrolysis",
AA1212/VLOOKUP(G1212,ElectrolysisConvF,3,FALSE),
AC1212*10^6/(H2dens*HoursInYear))</f>
        <v>111111.1111</v>
      </c>
      <c r="AC1212" s="126">
        <f t="shared" si="241"/>
        <v>86.62666667</v>
      </c>
      <c r="AD1212" s="125"/>
      <c r="AE1212" s="125">
        <f t="shared" si="235"/>
        <v>111111.1111</v>
      </c>
      <c r="AF1212" s="127" t="s">
        <v>14020</v>
      </c>
      <c r="AG1212" s="127">
        <v>52.3661016838894</v>
      </c>
      <c r="AH1212" s="127">
        <v>5.03477403347359</v>
      </c>
      <c r="AI1212" s="115" t="s">
        <v>12383</v>
      </c>
      <c r="AJ1212" s="116">
        <v>0.55</v>
      </c>
      <c r="AK1212" s="117"/>
      <c r="AL1212" s="117"/>
      <c r="AM1212" s="117"/>
      <c r="AN1212" s="117"/>
      <c r="AO1212" s="117"/>
    </row>
    <row r="1213" ht="34.5" customHeight="1">
      <c r="A1213" s="111">
        <v>1808.0</v>
      </c>
      <c r="B1213" s="111" t="s">
        <v>9215</v>
      </c>
      <c r="C1213" s="111" t="s">
        <v>8590</v>
      </c>
      <c r="D1213" s="111">
        <v>2024.0</v>
      </c>
      <c r="E1213" s="111"/>
      <c r="F1213" s="111" t="s">
        <v>12393</v>
      </c>
      <c r="G1213" s="111" t="s">
        <v>12224</v>
      </c>
      <c r="H1213" s="111"/>
      <c r="I1213" s="111" t="s">
        <v>12394</v>
      </c>
      <c r="J1213" s="111" t="s">
        <v>12292</v>
      </c>
      <c r="K1213" s="111" t="s">
        <v>174</v>
      </c>
      <c r="L1213" s="111"/>
      <c r="M1213" s="111">
        <v>1.0</v>
      </c>
      <c r="N1213" s="111"/>
      <c r="O1213" s="111"/>
      <c r="P1213" s="111"/>
      <c r="Q1213" s="111"/>
      <c r="R1213" s="111"/>
      <c r="S1213" s="111"/>
      <c r="T1213" s="111"/>
      <c r="U1213" s="111"/>
      <c r="V1213" s="111"/>
      <c r="W1213" s="111"/>
      <c r="X1213" s="111"/>
      <c r="Y1213" s="111"/>
      <c r="Z1213" s="111" t="s">
        <v>13066</v>
      </c>
      <c r="AA1213" s="124">
        <v>60.0</v>
      </c>
      <c r="AB1213" s="125">
        <f>IF(Projects!$AI1213="Electrolysis",
AA1213/VLOOKUP(G1213,ElectrolysisConvF,3,FALSE),
AC1213*10^6/(H2dens*HoursInYear))</f>
        <v>13043.47826</v>
      </c>
      <c r="AC1213" s="126">
        <f t="shared" si="241"/>
        <v>10.16921739</v>
      </c>
      <c r="AD1213" s="125"/>
      <c r="AE1213" s="125">
        <f t="shared" si="235"/>
        <v>13043.47826</v>
      </c>
      <c r="AF1213" s="127" t="s">
        <v>14021</v>
      </c>
      <c r="AG1213" s="127">
        <v>-12.6899679586959</v>
      </c>
      <c r="AH1213" s="127">
        <v>-38.3179958243556</v>
      </c>
      <c r="AI1213" s="115" t="s">
        <v>12383</v>
      </c>
      <c r="AJ1213" s="116">
        <v>0.4</v>
      </c>
      <c r="AK1213" s="117"/>
      <c r="AL1213" s="117"/>
      <c r="AM1213" s="117"/>
      <c r="AN1213" s="117"/>
      <c r="AO1213" s="117"/>
    </row>
    <row r="1214" ht="34.5" customHeight="1">
      <c r="A1214" s="111">
        <v>1809.0</v>
      </c>
      <c r="B1214" s="111" t="s">
        <v>9216</v>
      </c>
      <c r="C1214" s="111" t="s">
        <v>8590</v>
      </c>
      <c r="D1214" s="111">
        <v>2025.0</v>
      </c>
      <c r="E1214" s="111"/>
      <c r="F1214" s="111" t="s">
        <v>12399</v>
      </c>
      <c r="G1214" s="111" t="s">
        <v>12224</v>
      </c>
      <c r="H1214" s="111"/>
      <c r="I1214" s="111" t="s">
        <v>12394</v>
      </c>
      <c r="J1214" s="111" t="s">
        <v>12292</v>
      </c>
      <c r="K1214" s="111" t="s">
        <v>174</v>
      </c>
      <c r="L1214" s="111"/>
      <c r="M1214" s="111">
        <v>1.0</v>
      </c>
      <c r="N1214" s="111"/>
      <c r="O1214" s="111"/>
      <c r="P1214" s="111"/>
      <c r="Q1214" s="111"/>
      <c r="R1214" s="111"/>
      <c r="S1214" s="111"/>
      <c r="T1214" s="111"/>
      <c r="U1214" s="111"/>
      <c r="V1214" s="111"/>
      <c r="W1214" s="111"/>
      <c r="X1214" s="111"/>
      <c r="Y1214" s="111"/>
      <c r="Z1214" s="111" t="s">
        <v>13734</v>
      </c>
      <c r="AA1214" s="124">
        <v>180.0</v>
      </c>
      <c r="AB1214" s="125">
        <f>IF(Projects!$AI1214="Electrolysis",
AA1214/VLOOKUP(G1214,ElectrolysisConvF,3,FALSE),
AC1214*10^6/(H2dens*HoursInYear))</f>
        <v>39130.43478</v>
      </c>
      <c r="AC1214" s="126">
        <f t="shared" si="241"/>
        <v>30.50765217</v>
      </c>
      <c r="AD1214" s="125"/>
      <c r="AE1214" s="125">
        <f t="shared" si="235"/>
        <v>39130.43478</v>
      </c>
      <c r="AF1214" s="127" t="s">
        <v>14021</v>
      </c>
      <c r="AG1214" s="127">
        <v>-12.6899679586959</v>
      </c>
      <c r="AH1214" s="127">
        <v>-38.3179958243556</v>
      </c>
      <c r="AI1214" s="115" t="s">
        <v>12383</v>
      </c>
      <c r="AJ1214" s="116">
        <v>0.4</v>
      </c>
      <c r="AK1214" s="117"/>
      <c r="AL1214" s="117"/>
      <c r="AM1214" s="117"/>
      <c r="AN1214" s="117"/>
      <c r="AO1214" s="117"/>
    </row>
    <row r="1215" ht="34.5" customHeight="1">
      <c r="A1215" s="111">
        <v>1810.0</v>
      </c>
      <c r="B1215" s="111" t="s">
        <v>9217</v>
      </c>
      <c r="C1215" s="111" t="s">
        <v>8713</v>
      </c>
      <c r="D1215" s="111"/>
      <c r="E1215" s="111"/>
      <c r="F1215" s="111" t="s">
        <v>12399</v>
      </c>
      <c r="G1215" s="111" t="s">
        <v>12226</v>
      </c>
      <c r="H1215" s="111"/>
      <c r="I1215" s="111" t="s">
        <v>12394</v>
      </c>
      <c r="J1215" s="111" t="s">
        <v>12296</v>
      </c>
      <c r="K1215" s="111" t="s">
        <v>30</v>
      </c>
      <c r="L1215" s="111"/>
      <c r="M1215" s="111"/>
      <c r="N1215" s="111"/>
      <c r="O1215" s="111"/>
      <c r="P1215" s="111"/>
      <c r="Q1215" s="111"/>
      <c r="R1215" s="111"/>
      <c r="S1215" s="111"/>
      <c r="T1215" s="111"/>
      <c r="U1215" s="111"/>
      <c r="V1215" s="111"/>
      <c r="W1215" s="111"/>
      <c r="X1215" s="111"/>
      <c r="Y1215" s="111"/>
      <c r="Z1215" s="111" t="s">
        <v>14022</v>
      </c>
      <c r="AA1215" s="126">
        <f>IF(Projects!$AI1215="Electrolysis",
AB1215*VLOOKUP(G1215,ElectrolysisConvF,3,FALSE),
"")</f>
        <v>133.8951311</v>
      </c>
      <c r="AB1215" s="125">
        <f>AC1215/(H2dens*HoursInYear/10^6)</f>
        <v>25749.06367</v>
      </c>
      <c r="AC1215" s="125">
        <f>55*0.365</f>
        <v>20.075</v>
      </c>
      <c r="AD1215" s="125"/>
      <c r="AE1215" s="125">
        <f t="shared" si="235"/>
        <v>25749.06367</v>
      </c>
      <c r="AF1215" s="127" t="s">
        <v>14023</v>
      </c>
      <c r="AG1215" s="127">
        <v>-9.39445057026364</v>
      </c>
      <c r="AH1215" s="127">
        <v>-77.2299248690976</v>
      </c>
      <c r="AI1215" s="115" t="s">
        <v>12383</v>
      </c>
      <c r="AJ1215" s="116">
        <v>0.5</v>
      </c>
      <c r="AK1215" s="117"/>
      <c r="AL1215" s="117"/>
      <c r="AM1215" s="117"/>
      <c r="AN1215" s="117"/>
      <c r="AO1215" s="117"/>
    </row>
    <row r="1216" ht="34.5" customHeight="1">
      <c r="A1216" s="111">
        <v>1811.0</v>
      </c>
      <c r="B1216" s="111" t="s">
        <v>9218</v>
      </c>
      <c r="C1216" s="111" t="s">
        <v>7991</v>
      </c>
      <c r="D1216" s="111">
        <v>2026.0</v>
      </c>
      <c r="E1216" s="111"/>
      <c r="F1216" s="111" t="s">
        <v>12393</v>
      </c>
      <c r="G1216" s="111" t="s">
        <v>12381</v>
      </c>
      <c r="H1216" s="111" t="s">
        <v>12230</v>
      </c>
      <c r="I1216" s="111" t="s">
        <v>12394</v>
      </c>
      <c r="J1216" s="111" t="s">
        <v>12293</v>
      </c>
      <c r="K1216" s="111" t="s">
        <v>30</v>
      </c>
      <c r="L1216" s="111"/>
      <c r="M1216" s="111"/>
      <c r="N1216" s="111"/>
      <c r="O1216" s="111">
        <v>1.0</v>
      </c>
      <c r="P1216" s="111">
        <v>1.0</v>
      </c>
      <c r="Q1216" s="111">
        <v>1.0</v>
      </c>
      <c r="R1216" s="111"/>
      <c r="S1216" s="111"/>
      <c r="T1216" s="111"/>
      <c r="U1216" s="111"/>
      <c r="V1216" s="111"/>
      <c r="W1216" s="111"/>
      <c r="X1216" s="111"/>
      <c r="Y1216" s="111"/>
      <c r="Z1216" s="111" t="s">
        <v>13946</v>
      </c>
      <c r="AA1216" s="124">
        <v>7.5</v>
      </c>
      <c r="AB1216" s="125">
        <f>IF(Projects!$AI1216="Electrolysis",
AA1216/VLOOKUP(G1216,ElectrolysisConvF,3,FALSE),
AC1216*10^6/(H2dens*HoursInYear))</f>
        <v>1666.666667</v>
      </c>
      <c r="AC1216" s="126">
        <f t="shared" ref="AC1216:AC1219" si="242">AB1216*H2dens*HoursInYear/10^6</f>
        <v>1.2994</v>
      </c>
      <c r="AD1216" s="125"/>
      <c r="AE1216" s="125">
        <f t="shared" si="235"/>
        <v>1666.666667</v>
      </c>
      <c r="AF1216" s="127" t="s">
        <v>14024</v>
      </c>
      <c r="AG1216" s="127">
        <v>54.5917410207027</v>
      </c>
      <c r="AH1216" s="127">
        <v>-1.14965592272594</v>
      </c>
      <c r="AI1216" s="115" t="s">
        <v>12383</v>
      </c>
      <c r="AJ1216" s="116">
        <v>0.55</v>
      </c>
      <c r="AK1216" s="117"/>
      <c r="AL1216" s="117"/>
      <c r="AM1216" s="117"/>
      <c r="AN1216" s="117"/>
      <c r="AO1216" s="117"/>
    </row>
    <row r="1217" ht="34.5" customHeight="1">
      <c r="A1217" s="111">
        <v>1812.0</v>
      </c>
      <c r="B1217" s="111" t="s">
        <v>9219</v>
      </c>
      <c r="C1217" s="111" t="s">
        <v>7991</v>
      </c>
      <c r="D1217" s="111">
        <v>2030.0</v>
      </c>
      <c r="E1217" s="111"/>
      <c r="F1217" s="111" t="s">
        <v>12397</v>
      </c>
      <c r="G1217" s="111" t="s">
        <v>12381</v>
      </c>
      <c r="H1217" s="111" t="s">
        <v>12230</v>
      </c>
      <c r="I1217" s="111" t="s">
        <v>12394</v>
      </c>
      <c r="J1217" s="111" t="s">
        <v>12293</v>
      </c>
      <c r="K1217" s="111" t="s">
        <v>30</v>
      </c>
      <c r="L1217" s="111"/>
      <c r="M1217" s="111"/>
      <c r="N1217" s="111"/>
      <c r="O1217" s="111">
        <v>1.0</v>
      </c>
      <c r="P1217" s="111">
        <v>1.0</v>
      </c>
      <c r="Q1217" s="111">
        <v>1.0</v>
      </c>
      <c r="R1217" s="111"/>
      <c r="S1217" s="111"/>
      <c r="T1217" s="111"/>
      <c r="U1217" s="111"/>
      <c r="V1217" s="111"/>
      <c r="W1217" s="111"/>
      <c r="X1217" s="111"/>
      <c r="Y1217" s="111"/>
      <c r="Z1217" s="111" t="s">
        <v>14025</v>
      </c>
      <c r="AA1217" s="124">
        <v>200.0</v>
      </c>
      <c r="AB1217" s="125">
        <f>IF(Projects!$AI1217="Electrolysis",
AA1217/VLOOKUP(G1217,ElectrolysisConvF,3,FALSE),
AC1217*10^6/(H2dens*HoursInYear))</f>
        <v>44444.44444</v>
      </c>
      <c r="AC1217" s="126">
        <f t="shared" si="242"/>
        <v>34.65066667</v>
      </c>
      <c r="AD1217" s="125"/>
      <c r="AE1217" s="125">
        <f t="shared" si="235"/>
        <v>44444.44444</v>
      </c>
      <c r="AF1217" s="127" t="s">
        <v>14024</v>
      </c>
      <c r="AG1217" s="127">
        <v>54.5917410207027</v>
      </c>
      <c r="AH1217" s="127">
        <v>-1.14965592272594</v>
      </c>
      <c r="AI1217" s="115" t="s">
        <v>12383</v>
      </c>
      <c r="AJ1217" s="116">
        <v>0.55</v>
      </c>
      <c r="AK1217" s="117"/>
      <c r="AL1217" s="117"/>
      <c r="AM1217" s="117"/>
      <c r="AN1217" s="117"/>
      <c r="AO1217" s="117"/>
    </row>
    <row r="1218" ht="34.5" customHeight="1">
      <c r="A1218" s="111">
        <v>1813.0</v>
      </c>
      <c r="B1218" s="111" t="s">
        <v>9220</v>
      </c>
      <c r="C1218" s="111" t="s">
        <v>8011</v>
      </c>
      <c r="D1218" s="111">
        <v>2027.0</v>
      </c>
      <c r="E1218" s="111"/>
      <c r="F1218" s="111" t="s">
        <v>12399</v>
      </c>
      <c r="G1218" s="111" t="s">
        <v>12381</v>
      </c>
      <c r="H1218" s="111" t="s">
        <v>12230</v>
      </c>
      <c r="I1218" s="111" t="s">
        <v>12406</v>
      </c>
      <c r="J1218" s="111"/>
      <c r="K1218" s="111" t="s">
        <v>30</v>
      </c>
      <c r="L1218" s="111"/>
      <c r="M1218" s="111"/>
      <c r="N1218" s="111"/>
      <c r="O1218" s="111">
        <v>1.0</v>
      </c>
      <c r="P1218" s="111"/>
      <c r="Q1218" s="111"/>
      <c r="R1218" s="111"/>
      <c r="S1218" s="111"/>
      <c r="T1218" s="111"/>
      <c r="U1218" s="111"/>
      <c r="V1218" s="111"/>
      <c r="W1218" s="111"/>
      <c r="X1218" s="111"/>
      <c r="Y1218" s="111"/>
      <c r="Z1218" s="111" t="s">
        <v>14026</v>
      </c>
      <c r="AA1218" s="124">
        <v>700.0</v>
      </c>
      <c r="AB1218" s="125">
        <f>IF(Projects!$AI1218="Electrolysis",
AA1218/VLOOKUP(G1218,ElectrolysisConvF,3,FALSE),
AC1218*10^6/(H2dens*HoursInYear))</f>
        <v>155555.5556</v>
      </c>
      <c r="AC1218" s="126">
        <f t="shared" si="242"/>
        <v>121.2773333</v>
      </c>
      <c r="AD1218" s="125"/>
      <c r="AE1218" s="125">
        <f t="shared" si="235"/>
        <v>155555.5556</v>
      </c>
      <c r="AF1218" s="127" t="s">
        <v>14027</v>
      </c>
      <c r="AG1218" s="127">
        <v>43.4230159307386</v>
      </c>
      <c r="AH1218" s="127">
        <v>4.92126697295015</v>
      </c>
      <c r="AI1218" s="115" t="s">
        <v>12383</v>
      </c>
      <c r="AJ1218" s="116">
        <v>0.57</v>
      </c>
      <c r="AK1218" s="117"/>
      <c r="AL1218" s="117"/>
      <c r="AM1218" s="117"/>
      <c r="AN1218" s="117"/>
      <c r="AO1218" s="117"/>
    </row>
    <row r="1219" ht="34.5" customHeight="1">
      <c r="A1219" s="111">
        <v>1814.0</v>
      </c>
      <c r="B1219" s="111" t="s">
        <v>9221</v>
      </c>
      <c r="C1219" s="111" t="s">
        <v>7967</v>
      </c>
      <c r="D1219" s="111">
        <v>2026.0</v>
      </c>
      <c r="E1219" s="111"/>
      <c r="F1219" s="111" t="s">
        <v>12399</v>
      </c>
      <c r="G1219" s="111" t="s">
        <v>12381</v>
      </c>
      <c r="H1219" s="111" t="s">
        <v>12230</v>
      </c>
      <c r="I1219" s="111" t="s">
        <v>12394</v>
      </c>
      <c r="J1219" s="111" t="s">
        <v>12293</v>
      </c>
      <c r="K1219" s="111" t="s">
        <v>30</v>
      </c>
      <c r="L1219" s="111"/>
      <c r="M1219" s="111"/>
      <c r="N1219" s="111"/>
      <c r="O1219" s="111"/>
      <c r="P1219" s="111">
        <v>1.0</v>
      </c>
      <c r="Q1219" s="111"/>
      <c r="R1219" s="111"/>
      <c r="S1219" s="111"/>
      <c r="T1219" s="111"/>
      <c r="U1219" s="111"/>
      <c r="V1219" s="111"/>
      <c r="W1219" s="111"/>
      <c r="X1219" s="111"/>
      <c r="Y1219" s="111"/>
      <c r="Z1219" s="111" t="s">
        <v>12768</v>
      </c>
      <c r="AA1219" s="124">
        <v>50.0</v>
      </c>
      <c r="AB1219" s="125">
        <f>IF(Projects!$AI1219="Electrolysis",
AA1219/VLOOKUP(G1219,ElectrolysisConvF,3,FALSE),
AC1219*10^6/(H2dens*HoursInYear))</f>
        <v>11111.11111</v>
      </c>
      <c r="AC1219" s="126">
        <f t="shared" si="242"/>
        <v>8.662666667</v>
      </c>
      <c r="AD1219" s="125"/>
      <c r="AE1219" s="125">
        <f t="shared" si="235"/>
        <v>11111.11111</v>
      </c>
      <c r="AF1219" s="127" t="s">
        <v>14028</v>
      </c>
      <c r="AG1219" s="127">
        <v>53.3344145029669</v>
      </c>
      <c r="AH1219" s="127">
        <v>6.92135994987017</v>
      </c>
      <c r="AI1219" s="115" t="s">
        <v>12383</v>
      </c>
      <c r="AJ1219" s="116">
        <v>0.55</v>
      </c>
      <c r="AK1219" s="117"/>
      <c r="AL1219" s="117"/>
      <c r="AM1219" s="117"/>
      <c r="AN1219" s="117"/>
      <c r="AO1219" s="117"/>
    </row>
    <row r="1220" ht="34.5" customHeight="1">
      <c r="A1220" s="111">
        <v>1816.0</v>
      </c>
      <c r="B1220" s="111" t="s">
        <v>9222</v>
      </c>
      <c r="C1220" s="111" t="s">
        <v>8161</v>
      </c>
      <c r="D1220" s="111">
        <v>2026.0</v>
      </c>
      <c r="E1220" s="111"/>
      <c r="F1220" s="111" t="s">
        <v>12399</v>
      </c>
      <c r="G1220" s="111" t="s">
        <v>12381</v>
      </c>
      <c r="H1220" s="111" t="s">
        <v>12230</v>
      </c>
      <c r="I1220" s="111" t="s">
        <v>12394</v>
      </c>
      <c r="J1220" s="111" t="s">
        <v>12296</v>
      </c>
      <c r="K1220" s="111" t="s">
        <v>12251</v>
      </c>
      <c r="L1220" s="111"/>
      <c r="M1220" s="111"/>
      <c r="N1220" s="111"/>
      <c r="O1220" s="111"/>
      <c r="P1220" s="111"/>
      <c r="Q1220" s="111"/>
      <c r="R1220" s="111"/>
      <c r="S1220" s="111"/>
      <c r="T1220" s="111"/>
      <c r="U1220" s="111"/>
      <c r="V1220" s="111"/>
      <c r="W1220" s="111">
        <v>1.0</v>
      </c>
      <c r="X1220" s="111"/>
      <c r="Y1220" s="111"/>
      <c r="Z1220" s="111" t="s">
        <v>14029</v>
      </c>
      <c r="AA1220" s="126">
        <f>IF(Projects!$AI1220="Electrolysis",
AB1220*VLOOKUP(G1220,ElectrolysisConvF,3,FALSE),
"")</f>
        <v>237.2011529</v>
      </c>
      <c r="AB1220" s="125">
        <f>AC1220/(H2dens*HoursInYear/10^6)</f>
        <v>52711.36731</v>
      </c>
      <c r="AC1220" s="126">
        <f>(40*0.045/0.73/0.12)/Projects!$AJ1220</f>
        <v>41.09589041</v>
      </c>
      <c r="AD1220" s="125"/>
      <c r="AE1220" s="125">
        <f t="shared" si="235"/>
        <v>52711.36731</v>
      </c>
      <c r="AF1220" s="127" t="s">
        <v>14030</v>
      </c>
      <c r="AG1220" s="127">
        <v>40.1758084073327</v>
      </c>
      <c r="AH1220" s="127">
        <v>-8.88644498391011</v>
      </c>
      <c r="AI1220" s="115" t="s">
        <v>12383</v>
      </c>
      <c r="AJ1220" s="116">
        <v>0.5</v>
      </c>
      <c r="AK1220" s="117"/>
      <c r="AL1220" s="117"/>
      <c r="AM1220" s="117"/>
      <c r="AN1220" s="117"/>
      <c r="AO1220" s="117"/>
    </row>
    <row r="1221" ht="34.5" customHeight="1">
      <c r="A1221" s="111">
        <v>1817.0</v>
      </c>
      <c r="B1221" s="111" t="s">
        <v>9223</v>
      </c>
      <c r="C1221" s="111" t="s">
        <v>7974</v>
      </c>
      <c r="D1221" s="111">
        <v>2028.0</v>
      </c>
      <c r="E1221" s="111"/>
      <c r="F1221" s="111" t="s">
        <v>12399</v>
      </c>
      <c r="G1221" s="111" t="s">
        <v>12381</v>
      </c>
      <c r="H1221" s="111" t="s">
        <v>12230</v>
      </c>
      <c r="I1221" s="111" t="s">
        <v>12394</v>
      </c>
      <c r="J1221" s="111" t="s">
        <v>12296</v>
      </c>
      <c r="K1221" s="111" t="s">
        <v>12251</v>
      </c>
      <c r="L1221" s="111"/>
      <c r="M1221" s="111"/>
      <c r="N1221" s="111"/>
      <c r="O1221" s="111"/>
      <c r="P1221" s="111"/>
      <c r="Q1221" s="111"/>
      <c r="R1221" s="111"/>
      <c r="S1221" s="111"/>
      <c r="T1221" s="111"/>
      <c r="U1221" s="111"/>
      <c r="V1221" s="111"/>
      <c r="W1221" s="111">
        <v>1.0</v>
      </c>
      <c r="X1221" s="111"/>
      <c r="Y1221" s="111"/>
      <c r="Z1221" s="111"/>
      <c r="AA1221" s="124">
        <f>IF(OR(G1221="ALK",G1221="PEM",G1221="SOEC",G1221="Other Electrolysis"),
AB1221*VLOOKUP(G1221,ElectrolysisConvF,3,FALSE),
"")</f>
        <v>0</v>
      </c>
      <c r="AB1221" s="125"/>
      <c r="AC1221" s="125"/>
      <c r="AD1221" s="125"/>
      <c r="AE1221" s="125" t="str">
        <f t="shared" si="235"/>
        <v/>
      </c>
      <c r="AF1221" s="127" t="s">
        <v>14031</v>
      </c>
      <c r="AG1221" s="127">
        <v>63.1659624412185</v>
      </c>
      <c r="AH1221" s="127">
        <v>17.2616883182055</v>
      </c>
      <c r="AI1221" s="115" t="s">
        <v>12383</v>
      </c>
      <c r="AJ1221" s="116">
        <v>0.5</v>
      </c>
      <c r="AK1221" s="117"/>
      <c r="AL1221" s="117"/>
      <c r="AM1221" s="117"/>
      <c r="AN1221" s="117"/>
      <c r="AO1221" s="117"/>
    </row>
    <row r="1222" ht="34.5" customHeight="1">
      <c r="A1222" s="111">
        <v>1818.0</v>
      </c>
      <c r="B1222" s="111" t="s">
        <v>9224</v>
      </c>
      <c r="C1222" s="111" t="s">
        <v>7981</v>
      </c>
      <c r="D1222" s="111">
        <v>2024.0</v>
      </c>
      <c r="E1222" s="111"/>
      <c r="F1222" s="111" t="s">
        <v>12393</v>
      </c>
      <c r="G1222" s="111" t="s">
        <v>12241</v>
      </c>
      <c r="H1222" s="111" t="s">
        <v>13021</v>
      </c>
      <c r="I1222" s="111"/>
      <c r="J1222" s="111"/>
      <c r="K1222" s="111" t="s">
        <v>30</v>
      </c>
      <c r="L1222" s="111"/>
      <c r="M1222" s="111"/>
      <c r="N1222" s="111"/>
      <c r="O1222" s="111"/>
      <c r="P1222" s="111"/>
      <c r="Q1222" s="111"/>
      <c r="R1222" s="111"/>
      <c r="S1222" s="111"/>
      <c r="T1222" s="111"/>
      <c r="U1222" s="111"/>
      <c r="V1222" s="111"/>
      <c r="W1222" s="111"/>
      <c r="X1222" s="111"/>
      <c r="Y1222" s="111"/>
      <c r="Z1222" s="111" t="s">
        <v>14032</v>
      </c>
      <c r="AA1222" s="124"/>
      <c r="AB1222" s="125">
        <f>AC1222/(0.089*24*365/10^6)</f>
        <v>187.2659176</v>
      </c>
      <c r="AC1222" s="126">
        <f>0.4*0.365</f>
        <v>0.146</v>
      </c>
      <c r="AD1222" s="125"/>
      <c r="AE1222" s="125">
        <f t="shared" si="235"/>
        <v>187.2659176</v>
      </c>
      <c r="AF1222" s="127" t="s">
        <v>14033</v>
      </c>
      <c r="AG1222" s="127">
        <v>29.6827181262762</v>
      </c>
      <c r="AH1222" s="127">
        <v>-98.5830952289633</v>
      </c>
      <c r="AI1222" s="115" t="s">
        <v>12241</v>
      </c>
      <c r="AJ1222" s="116">
        <v>0.9</v>
      </c>
      <c r="AK1222" s="117"/>
      <c r="AL1222" s="117"/>
      <c r="AM1222" s="117"/>
      <c r="AN1222" s="117"/>
      <c r="AO1222" s="117"/>
    </row>
    <row r="1223" ht="34.5" customHeight="1">
      <c r="A1223" s="111">
        <v>1819.0</v>
      </c>
      <c r="B1223" s="111" t="s">
        <v>9225</v>
      </c>
      <c r="C1223" s="111" t="s">
        <v>8021</v>
      </c>
      <c r="D1223" s="111">
        <v>2024.0</v>
      </c>
      <c r="E1223" s="111"/>
      <c r="F1223" s="111" t="s">
        <v>12393</v>
      </c>
      <c r="G1223" s="111" t="s">
        <v>12226</v>
      </c>
      <c r="H1223" s="111"/>
      <c r="I1223" s="111" t="s">
        <v>12287</v>
      </c>
      <c r="J1223" s="111"/>
      <c r="K1223" s="111" t="s">
        <v>30</v>
      </c>
      <c r="L1223" s="111"/>
      <c r="M1223" s="111"/>
      <c r="N1223" s="111"/>
      <c r="O1223" s="111"/>
      <c r="P1223" s="111"/>
      <c r="Q1223" s="111">
        <v>1.0</v>
      </c>
      <c r="R1223" s="111"/>
      <c r="S1223" s="111"/>
      <c r="T1223" s="111"/>
      <c r="U1223" s="111"/>
      <c r="V1223" s="111"/>
      <c r="W1223" s="111"/>
      <c r="X1223" s="111"/>
      <c r="Y1223" s="111"/>
      <c r="Z1223" s="111" t="s">
        <v>13752</v>
      </c>
      <c r="AA1223" s="126">
        <f>IF(Projects!$AI1223="Electrolysis",
AB1223*VLOOKUP(G1223,ElectrolysisConvF,3,FALSE),
"")</f>
        <v>2.434456929</v>
      </c>
      <c r="AB1223" s="125">
        <f t="shared" ref="AB1223:AB1227" si="243">AC1223/(H2dens*HoursInYear/10^6)</f>
        <v>468.164794</v>
      </c>
      <c r="AC1223" s="125">
        <v>0.365</v>
      </c>
      <c r="AD1223" s="125"/>
      <c r="AE1223" s="125">
        <f t="shared" si="235"/>
        <v>468.164794</v>
      </c>
      <c r="AF1223" s="127" t="s">
        <v>14034</v>
      </c>
      <c r="AG1223" s="127">
        <v>-38.1428035985816</v>
      </c>
      <c r="AH1223" s="127">
        <v>144.366378819809</v>
      </c>
      <c r="AI1223" s="115" t="s">
        <v>12383</v>
      </c>
      <c r="AJ1223" s="116">
        <v>0.57</v>
      </c>
      <c r="AK1223" s="117"/>
      <c r="AL1223" s="117"/>
      <c r="AM1223" s="117"/>
      <c r="AN1223" s="117"/>
      <c r="AO1223" s="117"/>
    </row>
    <row r="1224" ht="34.5" customHeight="1">
      <c r="A1224" s="111">
        <v>1820.0</v>
      </c>
      <c r="B1224" s="111" t="s">
        <v>9226</v>
      </c>
      <c r="C1224" s="111" t="s">
        <v>8785</v>
      </c>
      <c r="D1224" s="111">
        <v>2025.0</v>
      </c>
      <c r="E1224" s="111"/>
      <c r="F1224" s="111" t="s">
        <v>12397</v>
      </c>
      <c r="G1224" s="111" t="s">
        <v>12381</v>
      </c>
      <c r="H1224" s="111" t="s">
        <v>12230</v>
      </c>
      <c r="I1224" s="111" t="s">
        <v>12394</v>
      </c>
      <c r="J1224" s="111" t="s">
        <v>12296</v>
      </c>
      <c r="K1224" s="111" t="s">
        <v>30</v>
      </c>
      <c r="L1224" s="111"/>
      <c r="M1224" s="111"/>
      <c r="N1224" s="111"/>
      <c r="O1224" s="111"/>
      <c r="P1224" s="111"/>
      <c r="Q1224" s="111"/>
      <c r="R1224" s="111"/>
      <c r="S1224" s="111"/>
      <c r="T1224" s="111"/>
      <c r="U1224" s="111"/>
      <c r="V1224" s="111"/>
      <c r="W1224" s="111"/>
      <c r="X1224" s="111"/>
      <c r="Y1224" s="111"/>
      <c r="Z1224" s="111" t="s">
        <v>14035</v>
      </c>
      <c r="AA1224" s="126">
        <f>IF(Projects!$AI1224="Electrolysis",
AB1224*VLOOKUP(G1224,ElectrolysisConvF,3,FALSE),
"")</f>
        <v>230.8757888</v>
      </c>
      <c r="AB1224" s="125">
        <f t="shared" si="243"/>
        <v>51305.73085</v>
      </c>
      <c r="AC1224" s="125">
        <f>20/Projects!$AJ1224</f>
        <v>40</v>
      </c>
      <c r="AD1224" s="125"/>
      <c r="AE1224" s="125">
        <f t="shared" si="235"/>
        <v>51305.73085</v>
      </c>
      <c r="AF1224" s="127" t="s">
        <v>14036</v>
      </c>
      <c r="AG1224" s="127">
        <v>29.659369</v>
      </c>
      <c r="AH1224" s="127">
        <v>32.34481</v>
      </c>
      <c r="AI1224" s="115" t="s">
        <v>12383</v>
      </c>
      <c r="AJ1224" s="116">
        <v>0.5</v>
      </c>
      <c r="AK1224" s="117"/>
      <c r="AL1224" s="117"/>
      <c r="AM1224" s="117"/>
      <c r="AN1224" s="117"/>
      <c r="AO1224" s="117"/>
    </row>
    <row r="1225" ht="34.5" customHeight="1">
      <c r="A1225" s="111">
        <v>1821.0</v>
      </c>
      <c r="B1225" s="111" t="s">
        <v>9227</v>
      </c>
      <c r="C1225" s="111" t="s">
        <v>8785</v>
      </c>
      <c r="D1225" s="111">
        <v>2029.0</v>
      </c>
      <c r="E1225" s="111"/>
      <c r="F1225" s="111" t="s">
        <v>12397</v>
      </c>
      <c r="G1225" s="111" t="s">
        <v>12381</v>
      </c>
      <c r="H1225" s="111" t="s">
        <v>12230</v>
      </c>
      <c r="I1225" s="111" t="s">
        <v>12394</v>
      </c>
      <c r="J1225" s="111" t="s">
        <v>12296</v>
      </c>
      <c r="K1225" s="111" t="s">
        <v>30</v>
      </c>
      <c r="L1225" s="111"/>
      <c r="M1225" s="111"/>
      <c r="N1225" s="111"/>
      <c r="O1225" s="111"/>
      <c r="P1225" s="111"/>
      <c r="Q1225" s="111"/>
      <c r="R1225" s="111"/>
      <c r="S1225" s="111"/>
      <c r="T1225" s="111"/>
      <c r="U1225" s="111"/>
      <c r="V1225" s="111"/>
      <c r="W1225" s="111"/>
      <c r="X1225" s="111"/>
      <c r="Y1225" s="111"/>
      <c r="Z1225" s="111" t="s">
        <v>14037</v>
      </c>
      <c r="AA1225" s="126">
        <f>IF(Projects!$AI1225="Electrolysis",
AB1225*VLOOKUP(G1225,ElectrolysisConvF,3,FALSE),
"")</f>
        <v>2077.882099</v>
      </c>
      <c r="AB1225" s="125">
        <f t="shared" si="243"/>
        <v>461751.5777</v>
      </c>
      <c r="AC1225" s="125">
        <f>180/Projects!$AJ1225</f>
        <v>360</v>
      </c>
      <c r="AD1225" s="125"/>
      <c r="AE1225" s="125">
        <f t="shared" si="235"/>
        <v>461751.5777</v>
      </c>
      <c r="AF1225" s="127" t="s">
        <v>14036</v>
      </c>
      <c r="AG1225" s="127">
        <v>29.659369</v>
      </c>
      <c r="AH1225" s="127">
        <v>32.34481</v>
      </c>
      <c r="AI1225" s="115" t="s">
        <v>12383</v>
      </c>
      <c r="AJ1225" s="116">
        <v>0.5</v>
      </c>
      <c r="AK1225" s="117"/>
      <c r="AL1225" s="117"/>
      <c r="AM1225" s="117"/>
      <c r="AN1225" s="117"/>
      <c r="AO1225" s="117"/>
    </row>
    <row r="1226" ht="34.5" customHeight="1">
      <c r="A1226" s="111">
        <v>1822.0</v>
      </c>
      <c r="B1226" s="111" t="s">
        <v>9228</v>
      </c>
      <c r="C1226" s="111" t="s">
        <v>8785</v>
      </c>
      <c r="D1226" s="111">
        <v>2025.0</v>
      </c>
      <c r="E1226" s="111"/>
      <c r="F1226" s="111" t="s">
        <v>12397</v>
      </c>
      <c r="G1226" s="111" t="s">
        <v>12381</v>
      </c>
      <c r="H1226" s="111" t="s">
        <v>12230</v>
      </c>
      <c r="I1226" s="111" t="s">
        <v>12394</v>
      </c>
      <c r="J1226" s="111" t="s">
        <v>12296</v>
      </c>
      <c r="K1226" s="111" t="s">
        <v>174</v>
      </c>
      <c r="L1226" s="111"/>
      <c r="M1226" s="111">
        <v>1.0</v>
      </c>
      <c r="N1226" s="111"/>
      <c r="O1226" s="111"/>
      <c r="P1226" s="111"/>
      <c r="Q1226" s="111"/>
      <c r="R1226" s="111"/>
      <c r="S1226" s="111"/>
      <c r="T1226" s="111"/>
      <c r="U1226" s="111"/>
      <c r="V1226" s="111"/>
      <c r="W1226" s="111"/>
      <c r="X1226" s="111"/>
      <c r="Y1226" s="111"/>
      <c r="Z1226" s="111" t="s">
        <v>14038</v>
      </c>
      <c r="AA1226" s="126">
        <f>IF(Projects!$AI1226="Electrolysis",
AB1226*VLOOKUP(G1226,ElectrolysisConvF,3,FALSE),
"")</f>
        <v>207.8713585</v>
      </c>
      <c r="AB1226" s="125">
        <f t="shared" si="243"/>
        <v>46193.63522</v>
      </c>
      <c r="AC1226" s="126">
        <f>(100*3/17/0.98)/Projects!$AJ1226</f>
        <v>36.01440576</v>
      </c>
      <c r="AD1226" s="125"/>
      <c r="AE1226" s="125">
        <f t="shared" si="235"/>
        <v>46193.63522</v>
      </c>
      <c r="AF1226" s="127" t="s">
        <v>14036</v>
      </c>
      <c r="AG1226" s="127">
        <v>29.659369</v>
      </c>
      <c r="AH1226" s="127">
        <v>32.34481</v>
      </c>
      <c r="AI1226" s="115" t="s">
        <v>12383</v>
      </c>
      <c r="AJ1226" s="116">
        <v>0.5</v>
      </c>
      <c r="AK1226" s="117"/>
      <c r="AL1226" s="117"/>
      <c r="AM1226" s="117"/>
      <c r="AN1226" s="117"/>
      <c r="AO1226" s="117"/>
    </row>
    <row r="1227" ht="34.5" customHeight="1">
      <c r="A1227" s="111">
        <v>1823.0</v>
      </c>
      <c r="B1227" s="111" t="s">
        <v>9229</v>
      </c>
      <c r="C1227" s="111" t="s">
        <v>8785</v>
      </c>
      <c r="D1227" s="111">
        <v>2029.0</v>
      </c>
      <c r="E1227" s="111"/>
      <c r="F1227" s="111" t="s">
        <v>12397</v>
      </c>
      <c r="G1227" s="111" t="s">
        <v>12381</v>
      </c>
      <c r="H1227" s="111" t="s">
        <v>12230</v>
      </c>
      <c r="I1227" s="111" t="s">
        <v>12394</v>
      </c>
      <c r="J1227" s="111" t="s">
        <v>12296</v>
      </c>
      <c r="K1227" s="111" t="s">
        <v>174</v>
      </c>
      <c r="L1227" s="111"/>
      <c r="M1227" s="111">
        <v>1.0</v>
      </c>
      <c r="N1227" s="111"/>
      <c r="O1227" s="111"/>
      <c r="P1227" s="111"/>
      <c r="Q1227" s="111"/>
      <c r="R1227" s="111"/>
      <c r="S1227" s="111"/>
      <c r="T1227" s="111"/>
      <c r="U1227" s="111"/>
      <c r="V1227" s="111"/>
      <c r="W1227" s="111"/>
      <c r="X1227" s="111"/>
      <c r="Y1227" s="111"/>
      <c r="Z1227" s="111" t="s">
        <v>14039</v>
      </c>
      <c r="AA1227" s="126">
        <f>IF(Projects!$AI1227="Electrolysis",
AB1227*VLOOKUP(G1227,ElectrolysisConvF,3,FALSE),
"")</f>
        <v>2078.713585</v>
      </c>
      <c r="AB1227" s="125">
        <f t="shared" si="243"/>
        <v>461936.3522</v>
      </c>
      <c r="AC1227" s="126">
        <f>(1000*3/17/0.98)/Projects!$AJ1227</f>
        <v>360.1440576</v>
      </c>
      <c r="AD1227" s="125"/>
      <c r="AE1227" s="125">
        <f t="shared" si="235"/>
        <v>461936.3522</v>
      </c>
      <c r="AF1227" s="127" t="s">
        <v>14036</v>
      </c>
      <c r="AG1227" s="127">
        <v>29.659369</v>
      </c>
      <c r="AH1227" s="127">
        <v>32.34481</v>
      </c>
      <c r="AI1227" s="115" t="s">
        <v>12383</v>
      </c>
      <c r="AJ1227" s="116">
        <v>0.5</v>
      </c>
      <c r="AK1227" s="117"/>
      <c r="AL1227" s="117"/>
      <c r="AM1227" s="117"/>
      <c r="AN1227" s="117"/>
      <c r="AO1227" s="117"/>
    </row>
    <row r="1228" ht="34.5" customHeight="1">
      <c r="A1228" s="111">
        <v>1824.0</v>
      </c>
      <c r="B1228" s="111" t="s">
        <v>9230</v>
      </c>
      <c r="C1228" s="111" t="s">
        <v>7991</v>
      </c>
      <c r="D1228" s="111">
        <v>2030.0</v>
      </c>
      <c r="E1228" s="111"/>
      <c r="F1228" s="111" t="s">
        <v>12399</v>
      </c>
      <c r="G1228" s="111" t="s">
        <v>12381</v>
      </c>
      <c r="H1228" s="111" t="s">
        <v>12230</v>
      </c>
      <c r="I1228" s="111" t="s">
        <v>12406</v>
      </c>
      <c r="J1228" s="111"/>
      <c r="K1228" s="111" t="s">
        <v>30</v>
      </c>
      <c r="L1228" s="111"/>
      <c r="M1228" s="111">
        <v>1.0</v>
      </c>
      <c r="N1228" s="111">
        <v>1.0</v>
      </c>
      <c r="O1228" s="111"/>
      <c r="P1228" s="111">
        <v>1.0</v>
      </c>
      <c r="Q1228" s="111">
        <v>1.0</v>
      </c>
      <c r="R1228" s="111"/>
      <c r="S1228" s="111"/>
      <c r="T1228" s="111"/>
      <c r="U1228" s="111"/>
      <c r="V1228" s="111"/>
      <c r="W1228" s="111">
        <v>1.0</v>
      </c>
      <c r="X1228" s="111"/>
      <c r="Y1228" s="111"/>
      <c r="Z1228" s="111" t="s">
        <v>12709</v>
      </c>
      <c r="AA1228" s="124">
        <v>100.0</v>
      </c>
      <c r="AB1228" s="125">
        <f>IF(Projects!$AI1228="Electrolysis",
AA1228/VLOOKUP(G1228,ElectrolysisConvF,3,FALSE),
AC1228*10^6/(H2dens*HoursInYear))</f>
        <v>22222.22222</v>
      </c>
      <c r="AC1228" s="126">
        <f t="shared" ref="AC1228:AC1233" si="244">AB1228*H2dens*HoursInYear/10^6</f>
        <v>17.32533333</v>
      </c>
      <c r="AD1228" s="125"/>
      <c r="AE1228" s="125">
        <f t="shared" si="235"/>
        <v>22222.22222</v>
      </c>
      <c r="AF1228" s="127" t="s">
        <v>14040</v>
      </c>
      <c r="AG1228" s="127">
        <v>51.9514180668966</v>
      </c>
      <c r="AH1228" s="127">
        <v>1.33425464260219</v>
      </c>
      <c r="AI1228" s="115" t="s">
        <v>12383</v>
      </c>
      <c r="AJ1228" s="116">
        <v>0.57</v>
      </c>
      <c r="AK1228" s="117"/>
      <c r="AL1228" s="117"/>
      <c r="AM1228" s="117"/>
      <c r="AN1228" s="117"/>
      <c r="AO1228" s="117"/>
    </row>
    <row r="1229" ht="34.5" customHeight="1">
      <c r="A1229" s="111">
        <v>1825.0</v>
      </c>
      <c r="B1229" s="111" t="s">
        <v>9231</v>
      </c>
      <c r="C1229" s="111" t="s">
        <v>7999</v>
      </c>
      <c r="D1229" s="111">
        <v>2027.0</v>
      </c>
      <c r="E1229" s="111"/>
      <c r="F1229" s="111" t="s">
        <v>12399</v>
      </c>
      <c r="G1229" s="111" t="s">
        <v>12381</v>
      </c>
      <c r="H1229" s="111" t="s">
        <v>12230</v>
      </c>
      <c r="I1229" s="111" t="s">
        <v>12759</v>
      </c>
      <c r="J1229" s="111" t="s">
        <v>12295</v>
      </c>
      <c r="K1229" s="111" t="s">
        <v>30</v>
      </c>
      <c r="L1229" s="111"/>
      <c r="M1229" s="111"/>
      <c r="N1229" s="111"/>
      <c r="O1229" s="111"/>
      <c r="P1229" s="111">
        <v>1.0</v>
      </c>
      <c r="Q1229" s="111"/>
      <c r="R1229" s="111"/>
      <c r="S1229" s="111"/>
      <c r="T1229" s="111"/>
      <c r="U1229" s="111"/>
      <c r="V1229" s="111"/>
      <c r="W1229" s="111"/>
      <c r="X1229" s="111"/>
      <c r="Y1229" s="111"/>
      <c r="Z1229" s="111" t="s">
        <v>14041</v>
      </c>
      <c r="AA1229" s="124">
        <v>60.0</v>
      </c>
      <c r="AB1229" s="125">
        <f>IF(Projects!$AI1229="Electrolysis",
AA1229/VLOOKUP(G1229,ElectrolysisConvF,3,FALSE),
AC1229*10^6/(H2dens*HoursInYear))</f>
        <v>13333.33333</v>
      </c>
      <c r="AC1229" s="126">
        <f t="shared" si="244"/>
        <v>10.3952</v>
      </c>
      <c r="AD1229" s="125"/>
      <c r="AE1229" s="125">
        <f t="shared" si="235"/>
        <v>13333.33333</v>
      </c>
      <c r="AF1229" s="127" t="s">
        <v>14042</v>
      </c>
      <c r="AG1229" s="127">
        <v>47.9816844051733</v>
      </c>
      <c r="AH1229" s="127">
        <v>17.0060610809536</v>
      </c>
      <c r="AI1229" s="115" t="s">
        <v>12383</v>
      </c>
      <c r="AJ1229" s="116">
        <v>0.7</v>
      </c>
      <c r="AK1229" s="117"/>
      <c r="AL1229" s="117"/>
      <c r="AM1229" s="117"/>
      <c r="AN1229" s="117"/>
      <c r="AO1229" s="117"/>
    </row>
    <row r="1230" ht="34.5" customHeight="1">
      <c r="A1230" s="111">
        <v>1826.0</v>
      </c>
      <c r="B1230" s="111" t="s">
        <v>9232</v>
      </c>
      <c r="C1230" s="111" t="s">
        <v>7999</v>
      </c>
      <c r="D1230" s="111">
        <v>2030.0</v>
      </c>
      <c r="E1230" s="111"/>
      <c r="F1230" s="111" t="s">
        <v>12397</v>
      </c>
      <c r="G1230" s="111" t="s">
        <v>12381</v>
      </c>
      <c r="H1230" s="111" t="s">
        <v>12230</v>
      </c>
      <c r="I1230" s="111" t="s">
        <v>12759</v>
      </c>
      <c r="J1230" s="111" t="s">
        <v>12295</v>
      </c>
      <c r="K1230" s="111" t="s">
        <v>30</v>
      </c>
      <c r="L1230" s="111"/>
      <c r="M1230" s="111">
        <v>1.0</v>
      </c>
      <c r="N1230" s="111"/>
      <c r="O1230" s="111"/>
      <c r="P1230" s="111"/>
      <c r="Q1230" s="111"/>
      <c r="R1230" s="111"/>
      <c r="S1230" s="111"/>
      <c r="T1230" s="111"/>
      <c r="U1230" s="111"/>
      <c r="V1230" s="111"/>
      <c r="W1230" s="111"/>
      <c r="X1230" s="111"/>
      <c r="Y1230" s="111"/>
      <c r="Z1230" s="111" t="s">
        <v>14043</v>
      </c>
      <c r="AA1230" s="124">
        <f>300-60</f>
        <v>240</v>
      </c>
      <c r="AB1230" s="125">
        <f>IF(Projects!$AI1230="Electrolysis",
AA1230/VLOOKUP(G1230,ElectrolysisConvF,3,FALSE),
AC1230*10^6/(H2dens*HoursInYear))</f>
        <v>53333.33333</v>
      </c>
      <c r="AC1230" s="126">
        <f t="shared" si="244"/>
        <v>41.5808</v>
      </c>
      <c r="AD1230" s="125"/>
      <c r="AE1230" s="125">
        <f t="shared" si="235"/>
        <v>53333.33333</v>
      </c>
      <c r="AF1230" s="127" t="s">
        <v>14044</v>
      </c>
      <c r="AG1230" s="127">
        <v>47.9816844051733</v>
      </c>
      <c r="AH1230" s="127">
        <v>17.0060610809536</v>
      </c>
      <c r="AI1230" s="115" t="s">
        <v>12383</v>
      </c>
      <c r="AJ1230" s="116">
        <v>0.7</v>
      </c>
      <c r="AK1230" s="117"/>
      <c r="AL1230" s="117"/>
      <c r="AM1230" s="117"/>
      <c r="AN1230" s="117"/>
      <c r="AO1230" s="117"/>
    </row>
    <row r="1231" ht="34.5" customHeight="1">
      <c r="A1231" s="111">
        <v>1827.0</v>
      </c>
      <c r="B1231" s="111" t="s">
        <v>9233</v>
      </c>
      <c r="C1231" s="111" t="s">
        <v>8713</v>
      </c>
      <c r="D1231" s="111">
        <v>2030.0</v>
      </c>
      <c r="E1231" s="111"/>
      <c r="F1231" s="111" t="s">
        <v>12399</v>
      </c>
      <c r="G1231" s="111" t="s">
        <v>12381</v>
      </c>
      <c r="H1231" s="111" t="s">
        <v>12230</v>
      </c>
      <c r="I1231" s="111" t="s">
        <v>12394</v>
      </c>
      <c r="J1231" s="111" t="s">
        <v>12296</v>
      </c>
      <c r="K1231" s="111" t="s">
        <v>12449</v>
      </c>
      <c r="L1231" s="111"/>
      <c r="M1231" s="111"/>
      <c r="N1231" s="111"/>
      <c r="O1231" s="111"/>
      <c r="P1231" s="111"/>
      <c r="Q1231" s="111"/>
      <c r="R1231" s="111"/>
      <c r="S1231" s="111"/>
      <c r="T1231" s="111"/>
      <c r="U1231" s="111"/>
      <c r="V1231" s="111"/>
      <c r="W1231" s="111"/>
      <c r="X1231" s="111">
        <v>1.0</v>
      </c>
      <c r="Y1231" s="111"/>
      <c r="Z1231" s="111" t="s">
        <v>14045</v>
      </c>
      <c r="AA1231" s="126">
        <v>450.0</v>
      </c>
      <c r="AB1231" s="125">
        <f>IF(Projects!$AI1231="Electrolysis",
AA1231/VLOOKUP(G1231,ElectrolysisConvF,3,FALSE),
AC1231*10^6/(H2dens*HoursInYear))</f>
        <v>100000</v>
      </c>
      <c r="AC1231" s="126">
        <f t="shared" si="244"/>
        <v>77.964</v>
      </c>
      <c r="AD1231" s="125"/>
      <c r="AE1231" s="125">
        <f t="shared" si="235"/>
        <v>100000</v>
      </c>
      <c r="AF1231" s="127" t="s">
        <v>14046</v>
      </c>
      <c r="AG1231" s="127">
        <v>-13.2500148955281</v>
      </c>
      <c r="AH1231" s="127">
        <v>-76.3035939226867</v>
      </c>
      <c r="AI1231" s="115" t="s">
        <v>12383</v>
      </c>
      <c r="AJ1231" s="116">
        <v>0.5</v>
      </c>
      <c r="AK1231" s="117"/>
      <c r="AL1231" s="117"/>
      <c r="AM1231" s="117"/>
      <c r="AN1231" s="117"/>
      <c r="AO1231" s="117"/>
    </row>
    <row r="1232" ht="34.5" customHeight="1">
      <c r="A1232" s="111">
        <v>1828.0</v>
      </c>
      <c r="B1232" s="111" t="s">
        <v>9234</v>
      </c>
      <c r="C1232" s="111" t="s">
        <v>8003</v>
      </c>
      <c r="D1232" s="111">
        <v>2024.0</v>
      </c>
      <c r="E1232" s="111"/>
      <c r="F1232" s="111" t="s">
        <v>12393</v>
      </c>
      <c r="G1232" s="111" t="s">
        <v>12226</v>
      </c>
      <c r="H1232" s="111"/>
      <c r="I1232" s="111" t="s">
        <v>12394</v>
      </c>
      <c r="J1232" s="111" t="s">
        <v>12296</v>
      </c>
      <c r="K1232" s="111" t="s">
        <v>30</v>
      </c>
      <c r="L1232" s="111">
        <v>1.0</v>
      </c>
      <c r="M1232" s="111"/>
      <c r="N1232" s="111"/>
      <c r="O1232" s="111"/>
      <c r="P1232" s="111"/>
      <c r="Q1232" s="111"/>
      <c r="R1232" s="111"/>
      <c r="S1232" s="111"/>
      <c r="T1232" s="111"/>
      <c r="U1232" s="111"/>
      <c r="V1232" s="111"/>
      <c r="W1232" s="111"/>
      <c r="X1232" s="111"/>
      <c r="Y1232" s="111"/>
      <c r="Z1232" s="111" t="s">
        <v>12835</v>
      </c>
      <c r="AA1232" s="124">
        <v>5.0</v>
      </c>
      <c r="AB1232" s="125">
        <f>IF(Projects!$AI1232="Electrolysis",
AA1232/VLOOKUP(G1232,ElectrolysisConvF,3,FALSE),
AC1232*10^6/(H2dens*HoursInYear))</f>
        <v>961.5384615</v>
      </c>
      <c r="AC1232" s="126">
        <f t="shared" si="244"/>
        <v>0.7496538462</v>
      </c>
      <c r="AD1232" s="125"/>
      <c r="AE1232" s="125">
        <f t="shared" si="235"/>
        <v>961.5384615</v>
      </c>
      <c r="AF1232" s="127" t="s">
        <v>14047</v>
      </c>
      <c r="AG1232" s="127">
        <v>45.2836417311196</v>
      </c>
      <c r="AH1232" s="127">
        <v>-66.0073141483031</v>
      </c>
      <c r="AI1232" s="115" t="s">
        <v>12383</v>
      </c>
      <c r="AJ1232" s="116">
        <v>0.5</v>
      </c>
      <c r="AK1232" s="117"/>
      <c r="AL1232" s="117"/>
      <c r="AM1232" s="117"/>
      <c r="AN1232" s="117"/>
      <c r="AO1232" s="117"/>
    </row>
    <row r="1233" ht="34.5" customHeight="1">
      <c r="A1233" s="111">
        <v>1829.0</v>
      </c>
      <c r="B1233" s="111" t="s">
        <v>9235</v>
      </c>
      <c r="C1233" s="111" t="s">
        <v>8087</v>
      </c>
      <c r="D1233" s="111">
        <v>2025.0</v>
      </c>
      <c r="E1233" s="111"/>
      <c r="F1233" s="111" t="s">
        <v>12399</v>
      </c>
      <c r="G1233" s="111" t="s">
        <v>12226</v>
      </c>
      <c r="H1233" s="111"/>
      <c r="I1233" s="111" t="s">
        <v>12394</v>
      </c>
      <c r="J1233" s="111" t="s">
        <v>12296</v>
      </c>
      <c r="K1233" s="111" t="s">
        <v>30</v>
      </c>
      <c r="L1233" s="111"/>
      <c r="M1233" s="111"/>
      <c r="N1233" s="111"/>
      <c r="O1233" s="111"/>
      <c r="P1233" s="111">
        <v>1.0</v>
      </c>
      <c r="Q1233" s="111"/>
      <c r="R1233" s="111"/>
      <c r="S1233" s="111"/>
      <c r="T1233" s="111"/>
      <c r="U1233" s="111"/>
      <c r="V1233" s="111"/>
      <c r="W1233" s="111"/>
      <c r="X1233" s="111"/>
      <c r="Y1233" s="111"/>
      <c r="Z1233" s="111" t="s">
        <v>12698</v>
      </c>
      <c r="AA1233" s="124">
        <v>100.0</v>
      </c>
      <c r="AB1233" s="125">
        <f>IF(Projects!$AI1233="Electrolysis",
AA1233/VLOOKUP(G1233,ElectrolysisConvF,3,FALSE),
AC1233*10^6/(H2dens*HoursInYear))</f>
        <v>19230.76923</v>
      </c>
      <c r="AC1233" s="126">
        <f t="shared" si="244"/>
        <v>14.99307692</v>
      </c>
      <c r="AD1233" s="125"/>
      <c r="AE1233" s="125">
        <f t="shared" si="235"/>
        <v>19230.76923</v>
      </c>
      <c r="AF1233" s="127" t="s">
        <v>14048</v>
      </c>
      <c r="AG1233" s="127">
        <v>51.2411278926226</v>
      </c>
      <c r="AH1233" s="127">
        <v>4.40880687550732</v>
      </c>
      <c r="AI1233" s="115" t="s">
        <v>12383</v>
      </c>
      <c r="AJ1233" s="116">
        <v>0.5</v>
      </c>
      <c r="AK1233" s="117"/>
      <c r="AL1233" s="117"/>
      <c r="AM1233" s="117"/>
      <c r="AN1233" s="117"/>
      <c r="AO1233" s="117"/>
    </row>
    <row r="1234" ht="34.5" customHeight="1">
      <c r="A1234" s="111">
        <v>1830.0</v>
      </c>
      <c r="B1234" s="111" t="s">
        <v>9236</v>
      </c>
      <c r="C1234" s="111" t="s">
        <v>7987</v>
      </c>
      <c r="D1234" s="111">
        <v>2024.0</v>
      </c>
      <c r="E1234" s="111"/>
      <c r="F1234" s="111" t="s">
        <v>12393</v>
      </c>
      <c r="G1234" s="111" t="s">
        <v>12381</v>
      </c>
      <c r="H1234" s="111" t="s">
        <v>12230</v>
      </c>
      <c r="I1234" s="111" t="s">
        <v>12394</v>
      </c>
      <c r="J1234" s="111" t="s">
        <v>12296</v>
      </c>
      <c r="K1234" s="111" t="s">
        <v>12251</v>
      </c>
      <c r="L1234" s="111"/>
      <c r="M1234" s="111"/>
      <c r="N1234" s="111"/>
      <c r="O1234" s="111"/>
      <c r="P1234" s="111"/>
      <c r="Q1234" s="111"/>
      <c r="R1234" s="111"/>
      <c r="S1234" s="111"/>
      <c r="T1234" s="111"/>
      <c r="U1234" s="111"/>
      <c r="V1234" s="111"/>
      <c r="W1234" s="111">
        <v>1.0</v>
      </c>
      <c r="X1234" s="111"/>
      <c r="Y1234" s="111"/>
      <c r="Z1234" s="111" t="s">
        <v>14049</v>
      </c>
      <c r="AA1234" s="126">
        <f>IF(Projects!$AI1234="Electrolysis",
AB1234*VLOOKUP(G1234,ElectrolysisConvF,3,FALSE),
"")</f>
        <v>14.82507206</v>
      </c>
      <c r="AB1234" s="125">
        <f>AC1234/(H2dens*HoursInYear/10^6)</f>
        <v>3294.460457</v>
      </c>
      <c r="AC1234" s="126">
        <f>2.5*0.045/0.73/0.12/Projects!$AJ1234</f>
        <v>2.568493151</v>
      </c>
      <c r="AD1234" s="125"/>
      <c r="AE1234" s="125">
        <f t="shared" si="235"/>
        <v>3294.460457</v>
      </c>
      <c r="AF1234" s="127" t="s">
        <v>14050</v>
      </c>
      <c r="AG1234" s="127">
        <v>50.0951170293398</v>
      </c>
      <c r="AH1234" s="127">
        <v>8.53378270640634</v>
      </c>
      <c r="AI1234" s="115" t="s">
        <v>12383</v>
      </c>
      <c r="AJ1234" s="116">
        <v>0.5</v>
      </c>
      <c r="AK1234" s="117"/>
      <c r="AL1234" s="117"/>
      <c r="AM1234" s="117"/>
      <c r="AN1234" s="117"/>
      <c r="AO1234" s="117"/>
    </row>
    <row r="1235" ht="34.5" customHeight="1">
      <c r="A1235" s="111">
        <v>1831.0</v>
      </c>
      <c r="B1235" s="111" t="s">
        <v>9237</v>
      </c>
      <c r="C1235" s="111" t="s">
        <v>7981</v>
      </c>
      <c r="D1235" s="111">
        <v>2030.0</v>
      </c>
      <c r="E1235" s="111"/>
      <c r="F1235" s="111" t="s">
        <v>12399</v>
      </c>
      <c r="G1235" s="111" t="s">
        <v>12381</v>
      </c>
      <c r="H1235" s="111" t="s">
        <v>12230</v>
      </c>
      <c r="I1235" s="111" t="s">
        <v>12394</v>
      </c>
      <c r="J1235" s="111" t="s">
        <v>12295</v>
      </c>
      <c r="K1235" s="111" t="s">
        <v>30</v>
      </c>
      <c r="L1235" s="111"/>
      <c r="M1235" s="111">
        <v>1.0</v>
      </c>
      <c r="N1235" s="111"/>
      <c r="O1235" s="111"/>
      <c r="P1235" s="111"/>
      <c r="Q1235" s="111">
        <v>1.0</v>
      </c>
      <c r="R1235" s="111">
        <v>1.0</v>
      </c>
      <c r="S1235" s="111"/>
      <c r="T1235" s="111"/>
      <c r="U1235" s="111"/>
      <c r="V1235" s="111"/>
      <c r="W1235" s="111">
        <v>1.0</v>
      </c>
      <c r="X1235" s="111"/>
      <c r="Y1235" s="111"/>
      <c r="Z1235" s="111" t="s">
        <v>13632</v>
      </c>
      <c r="AA1235" s="124">
        <v>2000.0</v>
      </c>
      <c r="AB1235" s="125">
        <f>IF(Projects!$AI1235="Electrolysis",
AA1235/VLOOKUP(G1235,ElectrolysisConvF,3,FALSE),
AC1235*10^6/(H2dens*HoursInYear))</f>
        <v>444444.4444</v>
      </c>
      <c r="AC1235" s="126">
        <f>AB1235*H2dens*HoursInYear/10^6</f>
        <v>346.5066667</v>
      </c>
      <c r="AD1235" s="125"/>
      <c r="AE1235" s="125">
        <f t="shared" si="235"/>
        <v>444444.4444</v>
      </c>
      <c r="AF1235" s="127" t="s">
        <v>14051</v>
      </c>
      <c r="AG1235" s="127">
        <v>27.6711890136464</v>
      </c>
      <c r="AH1235" s="127">
        <v>-98.6140248195498</v>
      </c>
      <c r="AI1235" s="115" t="s">
        <v>12383</v>
      </c>
      <c r="AJ1235" s="116">
        <v>0.5</v>
      </c>
      <c r="AK1235" s="117"/>
      <c r="AL1235" s="117"/>
      <c r="AM1235" s="117"/>
      <c r="AN1235" s="117"/>
      <c r="AO1235" s="117"/>
    </row>
    <row r="1236" ht="34.5" customHeight="1">
      <c r="A1236" s="111">
        <v>1832.0</v>
      </c>
      <c r="B1236" s="111" t="s">
        <v>9238</v>
      </c>
      <c r="C1236" s="111" t="s">
        <v>7981</v>
      </c>
      <c r="D1236" s="111"/>
      <c r="E1236" s="111"/>
      <c r="F1236" s="111" t="s">
        <v>12397</v>
      </c>
      <c r="G1236" s="111" t="s">
        <v>12381</v>
      </c>
      <c r="H1236" s="111" t="s">
        <v>12230</v>
      </c>
      <c r="I1236" s="111" t="s">
        <v>12394</v>
      </c>
      <c r="J1236" s="111" t="s">
        <v>12295</v>
      </c>
      <c r="K1236" s="111" t="s">
        <v>30</v>
      </c>
      <c r="L1236" s="111"/>
      <c r="M1236" s="111">
        <v>1.0</v>
      </c>
      <c r="N1236" s="111"/>
      <c r="O1236" s="111"/>
      <c r="P1236" s="111"/>
      <c r="Q1236" s="111">
        <v>1.0</v>
      </c>
      <c r="R1236" s="111">
        <v>1.0</v>
      </c>
      <c r="S1236" s="111"/>
      <c r="T1236" s="111"/>
      <c r="U1236" s="111"/>
      <c r="V1236" s="111"/>
      <c r="W1236" s="111">
        <v>1.0</v>
      </c>
      <c r="X1236" s="111"/>
      <c r="Y1236" s="111"/>
      <c r="Z1236" s="111" t="s">
        <v>14052</v>
      </c>
      <c r="AA1236" s="126">
        <f>IF(Projects!$AI1236="Electrolysis",
AB1236*VLOOKUP(G1236,ElectrolysisConvF,3,FALSE),
"")</f>
        <v>15315.72264</v>
      </c>
      <c r="AB1236" s="125">
        <f t="shared" ref="AB1236:AB1238" si="245">AC1236/(H2dens*HoursInYear/10^6)</f>
        <v>3403493.92</v>
      </c>
      <c r="AC1236" s="126">
        <f>3000-346.5</f>
        <v>2653.5</v>
      </c>
      <c r="AD1236" s="125"/>
      <c r="AE1236" s="125">
        <f t="shared" si="235"/>
        <v>3403493.92</v>
      </c>
      <c r="AF1236" s="127" t="s">
        <v>14053</v>
      </c>
      <c r="AG1236" s="127">
        <v>27.6711890136464</v>
      </c>
      <c r="AH1236" s="127">
        <v>-98.6140248195498</v>
      </c>
      <c r="AI1236" s="115" t="s">
        <v>12383</v>
      </c>
      <c r="AJ1236" s="116">
        <v>0.5</v>
      </c>
      <c r="AK1236" s="117"/>
      <c r="AL1236" s="117"/>
      <c r="AM1236" s="117"/>
      <c r="AN1236" s="117"/>
      <c r="AO1236" s="117"/>
    </row>
    <row r="1237" ht="34.5" customHeight="1">
      <c r="A1237" s="111">
        <v>1833.0</v>
      </c>
      <c r="B1237" s="111" t="s">
        <v>9239</v>
      </c>
      <c r="C1237" s="111" t="s">
        <v>8003</v>
      </c>
      <c r="D1237" s="111"/>
      <c r="E1237" s="111"/>
      <c r="F1237" s="111" t="s">
        <v>12397</v>
      </c>
      <c r="G1237" s="111" t="s">
        <v>12381</v>
      </c>
      <c r="H1237" s="111" t="s">
        <v>12230</v>
      </c>
      <c r="I1237" s="111" t="s">
        <v>12394</v>
      </c>
      <c r="J1237" s="111" t="s">
        <v>12293</v>
      </c>
      <c r="K1237" s="111" t="s">
        <v>30</v>
      </c>
      <c r="L1237" s="111"/>
      <c r="M1237" s="111"/>
      <c r="N1237" s="111"/>
      <c r="O1237" s="111"/>
      <c r="P1237" s="111"/>
      <c r="Q1237" s="111"/>
      <c r="R1237" s="111"/>
      <c r="S1237" s="111"/>
      <c r="T1237" s="111"/>
      <c r="U1237" s="111"/>
      <c r="V1237" s="111"/>
      <c r="W1237" s="111"/>
      <c r="X1237" s="111"/>
      <c r="Y1237" s="111"/>
      <c r="Z1237" s="111" t="s">
        <v>14054</v>
      </c>
      <c r="AA1237" s="126">
        <f>IF(Projects!$AI1237="Electrolysis",
AB1237*VLOOKUP(G1237,ElectrolysisConvF,3,FALSE),
"")</f>
        <v>248.191473</v>
      </c>
      <c r="AB1237" s="125">
        <f t="shared" si="245"/>
        <v>55153.66066</v>
      </c>
      <c r="AC1237" s="126">
        <f t="shared" ref="AC1237:AC1238" si="246">43</f>
        <v>43</v>
      </c>
      <c r="AD1237" s="125"/>
      <c r="AE1237" s="125">
        <f t="shared" si="235"/>
        <v>55153.66066</v>
      </c>
      <c r="AF1237" s="127" t="s">
        <v>14055</v>
      </c>
      <c r="AG1237" s="127">
        <v>44.9968280106751</v>
      </c>
      <c r="AH1237" s="127">
        <v>-63.6183331505017</v>
      </c>
      <c r="AI1237" s="115" t="s">
        <v>12383</v>
      </c>
      <c r="AJ1237" s="116">
        <v>0.55</v>
      </c>
      <c r="AK1237" s="117"/>
      <c r="AL1237" s="117"/>
      <c r="AM1237" s="117"/>
      <c r="AN1237" s="117"/>
      <c r="AO1237" s="117"/>
    </row>
    <row r="1238" ht="34.5" customHeight="1">
      <c r="A1238" s="111">
        <v>1834.0</v>
      </c>
      <c r="B1238" s="111" t="s">
        <v>9240</v>
      </c>
      <c r="C1238" s="111" t="s">
        <v>8003</v>
      </c>
      <c r="D1238" s="111"/>
      <c r="E1238" s="111"/>
      <c r="F1238" s="111" t="s">
        <v>12397</v>
      </c>
      <c r="G1238" s="111" t="s">
        <v>12381</v>
      </c>
      <c r="H1238" s="111" t="s">
        <v>12230</v>
      </c>
      <c r="I1238" s="111" t="s">
        <v>12394</v>
      </c>
      <c r="J1238" s="111" t="s">
        <v>12293</v>
      </c>
      <c r="K1238" s="111" t="s">
        <v>30</v>
      </c>
      <c r="L1238" s="111"/>
      <c r="M1238" s="111"/>
      <c r="N1238" s="111"/>
      <c r="O1238" s="111"/>
      <c r="P1238" s="111"/>
      <c r="Q1238" s="111"/>
      <c r="R1238" s="111"/>
      <c r="S1238" s="111"/>
      <c r="T1238" s="111"/>
      <c r="U1238" s="111"/>
      <c r="V1238" s="111"/>
      <c r="W1238" s="111"/>
      <c r="X1238" s="111"/>
      <c r="Y1238" s="111"/>
      <c r="Z1238" s="111" t="s">
        <v>14054</v>
      </c>
      <c r="AA1238" s="126">
        <f>IF(Projects!$AI1238="Electrolysis",
AB1238*VLOOKUP(G1238,ElectrolysisConvF,3,FALSE),
"")</f>
        <v>248.191473</v>
      </c>
      <c r="AB1238" s="125">
        <f t="shared" si="245"/>
        <v>55153.66066</v>
      </c>
      <c r="AC1238" s="126">
        <f t="shared" si="246"/>
        <v>43</v>
      </c>
      <c r="AD1238" s="125"/>
      <c r="AE1238" s="125">
        <f t="shared" si="235"/>
        <v>55153.66066</v>
      </c>
      <c r="AF1238" s="127" t="s">
        <v>14056</v>
      </c>
      <c r="AG1238" s="127">
        <v>49.6141044888401</v>
      </c>
      <c r="AH1238" s="127">
        <v>-66.5453402436497</v>
      </c>
      <c r="AI1238" s="115" t="s">
        <v>12383</v>
      </c>
      <c r="AJ1238" s="116">
        <v>0.55</v>
      </c>
      <c r="AK1238" s="117"/>
      <c r="AL1238" s="117"/>
      <c r="AM1238" s="117"/>
      <c r="AN1238" s="117"/>
      <c r="AO1238" s="117"/>
    </row>
    <row r="1239" ht="34.5" customHeight="1">
      <c r="A1239" s="111">
        <v>1835.0</v>
      </c>
      <c r="B1239" s="111" t="s">
        <v>9241</v>
      </c>
      <c r="C1239" s="111" t="s">
        <v>8011</v>
      </c>
      <c r="D1239" s="111">
        <v>2024.0</v>
      </c>
      <c r="E1239" s="111"/>
      <c r="F1239" s="111" t="s">
        <v>12399</v>
      </c>
      <c r="G1239" s="111" t="s">
        <v>12226</v>
      </c>
      <c r="H1239" s="111" t="s">
        <v>12230</v>
      </c>
      <c r="I1239" s="111" t="s">
        <v>12394</v>
      </c>
      <c r="J1239" s="111" t="s">
        <v>12295</v>
      </c>
      <c r="K1239" s="111" t="s">
        <v>12449</v>
      </c>
      <c r="L1239" s="111"/>
      <c r="M1239" s="111"/>
      <c r="N1239" s="111"/>
      <c r="O1239" s="111"/>
      <c r="P1239" s="111"/>
      <c r="Q1239" s="111"/>
      <c r="R1239" s="111"/>
      <c r="S1239" s="111"/>
      <c r="T1239" s="111"/>
      <c r="U1239" s="111"/>
      <c r="V1239" s="111"/>
      <c r="W1239" s="111"/>
      <c r="X1239" s="111">
        <v>1.0</v>
      </c>
      <c r="Y1239" s="111"/>
      <c r="Z1239" s="111" t="s">
        <v>14057</v>
      </c>
      <c r="AA1239" s="124">
        <v>1.0</v>
      </c>
      <c r="AB1239" s="125">
        <f>IF(Projects!$AI1239="Electrolysis",
AA1239/VLOOKUP(G1239,ElectrolysisConvF,3,FALSE),
AC1239*10^6/(H2dens*HoursInYear))</f>
        <v>192.3076923</v>
      </c>
      <c r="AC1239" s="126">
        <f>AB1239*H2dens*HoursInYear/10^6</f>
        <v>0.1499307692</v>
      </c>
      <c r="AD1239" s="125"/>
      <c r="AE1239" s="125">
        <f t="shared" si="235"/>
        <v>192.3076923</v>
      </c>
      <c r="AF1239" s="127" t="s">
        <v>14058</v>
      </c>
      <c r="AG1239" s="127">
        <v>43.334407996688</v>
      </c>
      <c r="AH1239" s="127">
        <v>-0.354962612071143</v>
      </c>
      <c r="AI1239" s="115" t="s">
        <v>12383</v>
      </c>
      <c r="AJ1239" s="116">
        <v>0.5</v>
      </c>
      <c r="AK1239" s="117"/>
      <c r="AL1239" s="117"/>
      <c r="AM1239" s="117"/>
      <c r="AN1239" s="117"/>
      <c r="AO1239" s="117"/>
    </row>
    <row r="1240" ht="34.5" customHeight="1">
      <c r="A1240" s="111">
        <v>1836.0</v>
      </c>
      <c r="B1240" s="111" t="s">
        <v>9242</v>
      </c>
      <c r="C1240" s="111" t="s">
        <v>9243</v>
      </c>
      <c r="D1240" s="111"/>
      <c r="E1240" s="111"/>
      <c r="F1240" s="111" t="s">
        <v>12397</v>
      </c>
      <c r="G1240" s="111" t="s">
        <v>12381</v>
      </c>
      <c r="H1240" s="111" t="s">
        <v>12230</v>
      </c>
      <c r="I1240" s="111" t="s">
        <v>12394</v>
      </c>
      <c r="J1240" s="111" t="s">
        <v>12295</v>
      </c>
      <c r="K1240" s="111" t="s">
        <v>30</v>
      </c>
      <c r="L1240" s="111"/>
      <c r="M1240" s="111"/>
      <c r="N1240" s="111"/>
      <c r="O1240" s="111"/>
      <c r="P1240" s="111"/>
      <c r="Q1240" s="111"/>
      <c r="R1240" s="111"/>
      <c r="S1240" s="111"/>
      <c r="T1240" s="111"/>
      <c r="U1240" s="111"/>
      <c r="V1240" s="111"/>
      <c r="W1240" s="111"/>
      <c r="X1240" s="111"/>
      <c r="Y1240" s="111"/>
      <c r="Z1240" s="111"/>
      <c r="AA1240" s="124"/>
      <c r="AB1240" s="125"/>
      <c r="AC1240" s="125"/>
      <c r="AD1240" s="125"/>
      <c r="AE1240" s="125" t="str">
        <f t="shared" si="235"/>
        <v/>
      </c>
      <c r="AF1240" s="127" t="s">
        <v>14059</v>
      </c>
      <c r="AG1240" s="127">
        <v>7.92297889476613</v>
      </c>
      <c r="AH1240" s="127">
        <v>79.9152343561583</v>
      </c>
      <c r="AI1240" s="115" t="s">
        <v>12383</v>
      </c>
      <c r="AJ1240" s="116">
        <v>0.5</v>
      </c>
      <c r="AK1240" s="117"/>
      <c r="AL1240" s="117"/>
      <c r="AM1240" s="117"/>
      <c r="AN1240" s="117"/>
      <c r="AO1240" s="117"/>
    </row>
    <row r="1241" ht="34.5" customHeight="1">
      <c r="A1241" s="111">
        <v>1837.0</v>
      </c>
      <c r="B1241" s="111" t="s">
        <v>9244</v>
      </c>
      <c r="C1241" s="111" t="s">
        <v>8047</v>
      </c>
      <c r="D1241" s="111">
        <v>2029.0</v>
      </c>
      <c r="E1241" s="111"/>
      <c r="F1241" s="111" t="s">
        <v>12399</v>
      </c>
      <c r="G1241" s="111" t="s">
        <v>12381</v>
      </c>
      <c r="H1241" s="111" t="s">
        <v>12230</v>
      </c>
      <c r="I1241" s="111" t="s">
        <v>12394</v>
      </c>
      <c r="J1241" s="111" t="s">
        <v>12295</v>
      </c>
      <c r="K1241" s="111" t="s">
        <v>30</v>
      </c>
      <c r="L1241" s="111"/>
      <c r="M1241" s="111"/>
      <c r="N1241" s="111"/>
      <c r="O1241" s="111"/>
      <c r="P1241" s="111"/>
      <c r="Q1241" s="111"/>
      <c r="R1241" s="111">
        <v>1.0</v>
      </c>
      <c r="S1241" s="111"/>
      <c r="T1241" s="111"/>
      <c r="U1241" s="111"/>
      <c r="V1241" s="111"/>
      <c r="W1241" s="111"/>
      <c r="X1241" s="111"/>
      <c r="Y1241" s="111"/>
      <c r="Z1241" s="111" t="s">
        <v>14060</v>
      </c>
      <c r="AA1241" s="124">
        <v>16.0</v>
      </c>
      <c r="AB1241" s="125">
        <f>IF(Projects!$AI1241="Electrolysis",
AA1241/VLOOKUP(G1241,ElectrolysisConvF,3,FALSE),
AC1241*10^6/(H2dens*HoursInYear))</f>
        <v>3555.555556</v>
      </c>
      <c r="AC1241" s="126">
        <f>AB1241*H2dens*HoursInYear/10^6</f>
        <v>2.772053333</v>
      </c>
      <c r="AD1241" s="125"/>
      <c r="AE1241" s="125">
        <f t="shared" si="235"/>
        <v>3555.555556</v>
      </c>
      <c r="AF1241" s="127" t="s">
        <v>14061</v>
      </c>
      <c r="AG1241" s="127">
        <v>39.1772879896997</v>
      </c>
      <c r="AH1241" s="127">
        <v>9.37442902192081</v>
      </c>
      <c r="AI1241" s="115" t="s">
        <v>12383</v>
      </c>
      <c r="AJ1241" s="116">
        <v>0.5</v>
      </c>
      <c r="AK1241" s="117"/>
      <c r="AL1241" s="117"/>
      <c r="AM1241" s="117"/>
      <c r="AN1241" s="117"/>
      <c r="AO1241" s="117"/>
    </row>
    <row r="1242" ht="34.5" customHeight="1">
      <c r="A1242" s="111">
        <v>1838.0</v>
      </c>
      <c r="B1242" s="111" t="s">
        <v>9245</v>
      </c>
      <c r="C1242" s="111" t="s">
        <v>8011</v>
      </c>
      <c r="D1242" s="111"/>
      <c r="E1242" s="111"/>
      <c r="F1242" s="111" t="s">
        <v>12397</v>
      </c>
      <c r="G1242" s="111" t="s">
        <v>12381</v>
      </c>
      <c r="H1242" s="111" t="s">
        <v>12230</v>
      </c>
      <c r="I1242" s="111" t="s">
        <v>12394</v>
      </c>
      <c r="J1242" s="111" t="s">
        <v>12291</v>
      </c>
      <c r="K1242" s="111" t="s">
        <v>30</v>
      </c>
      <c r="L1242" s="111"/>
      <c r="M1242" s="111"/>
      <c r="N1242" s="111"/>
      <c r="O1242" s="111"/>
      <c r="P1242" s="111"/>
      <c r="Q1242" s="111"/>
      <c r="R1242" s="111">
        <v>1.0</v>
      </c>
      <c r="S1242" s="111"/>
      <c r="T1242" s="111"/>
      <c r="U1242" s="111"/>
      <c r="V1242" s="111"/>
      <c r="W1242" s="111"/>
      <c r="X1242" s="111"/>
      <c r="Y1242" s="111"/>
      <c r="Z1242" s="111" t="s">
        <v>14062</v>
      </c>
      <c r="AA1242" s="126">
        <f>IF(Projects!$AI1242="Electrolysis",
AB1242*VLOOKUP(G1242,ElectrolysisConvF,3,FALSE),
"")</f>
        <v>53.87101739</v>
      </c>
      <c r="AB1242" s="125">
        <f t="shared" ref="AB1242:AB1243" si="247">AC1242/(H2dens*HoursInYear/10^6)</f>
        <v>11971.3372</v>
      </c>
      <c r="AC1242" s="126">
        <f>2.8/Projects!$AJ1242</f>
        <v>9.333333333</v>
      </c>
      <c r="AD1242" s="125"/>
      <c r="AE1242" s="125">
        <f t="shared" si="235"/>
        <v>11971.3372</v>
      </c>
      <c r="AF1242" s="127" t="s">
        <v>14063</v>
      </c>
      <c r="AG1242" s="127">
        <v>-21.6968994129309</v>
      </c>
      <c r="AH1242" s="127">
        <v>166.14074701644</v>
      </c>
      <c r="AI1242" s="115" t="s">
        <v>12383</v>
      </c>
      <c r="AJ1242" s="116">
        <v>0.3</v>
      </c>
      <c r="AK1242" s="117"/>
      <c r="AL1242" s="117"/>
      <c r="AM1242" s="117"/>
      <c r="AN1242" s="117"/>
      <c r="AO1242" s="117"/>
    </row>
    <row r="1243" ht="34.5" customHeight="1">
      <c r="A1243" s="111">
        <v>1841.0</v>
      </c>
      <c r="B1243" s="111" t="s">
        <v>9246</v>
      </c>
      <c r="C1243" s="111" t="s">
        <v>8578</v>
      </c>
      <c r="D1243" s="111">
        <v>2026.0</v>
      </c>
      <c r="E1243" s="111"/>
      <c r="F1243" s="111" t="s">
        <v>12399</v>
      </c>
      <c r="G1243" s="111" t="s">
        <v>12381</v>
      </c>
      <c r="H1243" s="111" t="s">
        <v>12230</v>
      </c>
      <c r="I1243" s="111" t="s">
        <v>12394</v>
      </c>
      <c r="J1243" s="111" t="s">
        <v>12291</v>
      </c>
      <c r="K1243" s="111" t="s">
        <v>30</v>
      </c>
      <c r="L1243" s="111"/>
      <c r="M1243" s="111"/>
      <c r="N1243" s="111"/>
      <c r="O1243" s="111"/>
      <c r="P1243" s="111"/>
      <c r="Q1243" s="111"/>
      <c r="R1243" s="111">
        <v>1.0</v>
      </c>
      <c r="S1243" s="111"/>
      <c r="T1243" s="111"/>
      <c r="U1243" s="111"/>
      <c r="V1243" s="111"/>
      <c r="W1243" s="111"/>
      <c r="X1243" s="111"/>
      <c r="Y1243" s="111"/>
      <c r="Z1243" s="111" t="s">
        <v>14064</v>
      </c>
      <c r="AA1243" s="126">
        <f>IF(Projects!$AI1243="Electrolysis",
AB1243*VLOOKUP(G1243,ElectrolysisConvF,3,FALSE),
"")</f>
        <v>5.771894721</v>
      </c>
      <c r="AB1243" s="125">
        <f t="shared" si="247"/>
        <v>1282.643271</v>
      </c>
      <c r="AC1243" s="126">
        <f>0.3/Projects!$AJ1243</f>
        <v>1</v>
      </c>
      <c r="AD1243" s="125"/>
      <c r="AE1243" s="125">
        <f t="shared" si="235"/>
        <v>1282.643271</v>
      </c>
      <c r="AF1243" s="127" t="s">
        <v>14065</v>
      </c>
      <c r="AG1243" s="127">
        <v>-9.73432599929398</v>
      </c>
      <c r="AH1243" s="127">
        <v>120.049178393703</v>
      </c>
      <c r="AI1243" s="115" t="s">
        <v>12383</v>
      </c>
      <c r="AJ1243" s="116">
        <v>0.3</v>
      </c>
      <c r="AK1243" s="117"/>
      <c r="AL1243" s="117"/>
      <c r="AM1243" s="117"/>
      <c r="AN1243" s="117"/>
      <c r="AO1243" s="117"/>
    </row>
    <row r="1244" ht="34.5" customHeight="1">
      <c r="A1244" s="111">
        <v>1843.0</v>
      </c>
      <c r="B1244" s="111" t="s">
        <v>9247</v>
      </c>
      <c r="C1244" s="111" t="s">
        <v>7991</v>
      </c>
      <c r="D1244" s="111">
        <v>2028.0</v>
      </c>
      <c r="E1244" s="111"/>
      <c r="F1244" s="111" t="s">
        <v>12397</v>
      </c>
      <c r="G1244" s="111" t="s">
        <v>12381</v>
      </c>
      <c r="H1244" s="111" t="s">
        <v>12230</v>
      </c>
      <c r="I1244" s="111" t="s">
        <v>12394</v>
      </c>
      <c r="J1244" s="111" t="s">
        <v>12293</v>
      </c>
      <c r="K1244" s="111" t="s">
        <v>30</v>
      </c>
      <c r="L1244" s="111"/>
      <c r="M1244" s="111"/>
      <c r="N1244" s="111"/>
      <c r="O1244" s="111"/>
      <c r="P1244" s="111"/>
      <c r="Q1244" s="111"/>
      <c r="R1244" s="111"/>
      <c r="S1244" s="111"/>
      <c r="T1244" s="111"/>
      <c r="U1244" s="111"/>
      <c r="V1244" s="111"/>
      <c r="W1244" s="111"/>
      <c r="X1244" s="111"/>
      <c r="Y1244" s="111"/>
      <c r="Z1244" s="111" t="s">
        <v>12991</v>
      </c>
      <c r="AA1244" s="124">
        <v>300.0</v>
      </c>
      <c r="AB1244" s="125">
        <f>IF(Projects!$AI1244="Electrolysis",
AA1244/VLOOKUP(G1244,ElectrolysisConvF,3,FALSE),
AC1244*10^6/(H2dens*HoursInYear))</f>
        <v>66666.66667</v>
      </c>
      <c r="AC1244" s="126">
        <f t="shared" ref="AC1244:AC1245" si="248">AB1244*H2dens*HoursInYear/10^6</f>
        <v>51.976</v>
      </c>
      <c r="AD1244" s="125"/>
      <c r="AE1244" s="125">
        <f t="shared" si="235"/>
        <v>66666.66667</v>
      </c>
      <c r="AF1244" s="127" t="s">
        <v>14066</v>
      </c>
      <c r="AG1244" s="127">
        <v>51.0810568967906</v>
      </c>
      <c r="AH1244" s="127">
        <v>-5.5885342270111</v>
      </c>
      <c r="AI1244" s="115" t="s">
        <v>12383</v>
      </c>
      <c r="AJ1244" s="116">
        <v>0.55</v>
      </c>
      <c r="AK1244" s="117"/>
      <c r="AL1244" s="117"/>
      <c r="AM1244" s="117"/>
      <c r="AN1244" s="117"/>
      <c r="AO1244" s="117"/>
    </row>
    <row r="1245" ht="34.5" customHeight="1">
      <c r="A1245" s="111">
        <v>1844.0</v>
      </c>
      <c r="B1245" s="111" t="s">
        <v>9248</v>
      </c>
      <c r="C1245" s="111" t="s">
        <v>7991</v>
      </c>
      <c r="D1245" s="111">
        <v>2030.0</v>
      </c>
      <c r="E1245" s="111"/>
      <c r="F1245" s="111" t="s">
        <v>12397</v>
      </c>
      <c r="G1245" s="111" t="s">
        <v>12381</v>
      </c>
      <c r="H1245" s="111" t="s">
        <v>12230</v>
      </c>
      <c r="I1245" s="111" t="s">
        <v>12394</v>
      </c>
      <c r="J1245" s="111" t="s">
        <v>12293</v>
      </c>
      <c r="K1245" s="111" t="s">
        <v>30</v>
      </c>
      <c r="L1245" s="111"/>
      <c r="M1245" s="111"/>
      <c r="N1245" s="111"/>
      <c r="O1245" s="111"/>
      <c r="P1245" s="111"/>
      <c r="Q1245" s="111"/>
      <c r="R1245" s="111"/>
      <c r="S1245" s="111"/>
      <c r="T1245" s="111"/>
      <c r="U1245" s="111"/>
      <c r="V1245" s="111"/>
      <c r="W1245" s="111"/>
      <c r="X1245" s="111"/>
      <c r="Y1245" s="111"/>
      <c r="Z1245" s="111" t="s">
        <v>12723</v>
      </c>
      <c r="AA1245" s="124">
        <v>700.0</v>
      </c>
      <c r="AB1245" s="125">
        <f>IF(Projects!$AI1245="Electrolysis",
AA1245/VLOOKUP(G1245,ElectrolysisConvF,3,FALSE),
AC1245*10^6/(H2dens*HoursInYear))</f>
        <v>155555.5556</v>
      </c>
      <c r="AC1245" s="126">
        <f t="shared" si="248"/>
        <v>121.2773333</v>
      </c>
      <c r="AD1245" s="125"/>
      <c r="AE1245" s="125">
        <f t="shared" si="235"/>
        <v>155555.5556</v>
      </c>
      <c r="AF1245" s="127" t="s">
        <v>14066</v>
      </c>
      <c r="AG1245" s="127">
        <v>51.0810568967906</v>
      </c>
      <c r="AH1245" s="127">
        <v>-5.5885342270111</v>
      </c>
      <c r="AI1245" s="115" t="s">
        <v>12383</v>
      </c>
      <c r="AJ1245" s="116">
        <v>0.55</v>
      </c>
      <c r="AK1245" s="117"/>
      <c r="AL1245" s="117"/>
      <c r="AM1245" s="117"/>
      <c r="AN1245" s="117"/>
      <c r="AO1245" s="117"/>
    </row>
    <row r="1246" ht="34.5" customHeight="1">
      <c r="A1246" s="111">
        <v>1845.0</v>
      </c>
      <c r="B1246" s="111" t="s">
        <v>9249</v>
      </c>
      <c r="C1246" s="111" t="s">
        <v>7967</v>
      </c>
      <c r="D1246" s="111">
        <v>2023.0</v>
      </c>
      <c r="E1246" s="111"/>
      <c r="F1246" s="111" t="s">
        <v>12418</v>
      </c>
      <c r="G1246" s="111" t="s">
        <v>12381</v>
      </c>
      <c r="H1246" s="111" t="s">
        <v>12230</v>
      </c>
      <c r="I1246" s="111" t="s">
        <v>12394</v>
      </c>
      <c r="J1246" s="111" t="s">
        <v>12296</v>
      </c>
      <c r="K1246" s="111" t="s">
        <v>30</v>
      </c>
      <c r="L1246" s="111"/>
      <c r="M1246" s="111"/>
      <c r="N1246" s="111"/>
      <c r="O1246" s="111"/>
      <c r="P1246" s="111"/>
      <c r="Q1246" s="111">
        <v>1.0</v>
      </c>
      <c r="R1246" s="111"/>
      <c r="S1246" s="111"/>
      <c r="T1246" s="111"/>
      <c r="U1246" s="111"/>
      <c r="V1246" s="111"/>
      <c r="W1246" s="111"/>
      <c r="X1246" s="111"/>
      <c r="Y1246" s="111"/>
      <c r="Z1246" s="111"/>
      <c r="AA1246" s="124">
        <f>IF(OR(G1246="ALK",G1246="PEM",G1246="SOEC",G1246="Other Electrolysis"),
AB1246*VLOOKUP(G1246,ElectrolysisConvF,3,FALSE),
"")</f>
        <v>0</v>
      </c>
      <c r="AB1246" s="125"/>
      <c r="AC1246" s="125"/>
      <c r="AD1246" s="125"/>
      <c r="AE1246" s="125" t="str">
        <f t="shared" si="235"/>
        <v/>
      </c>
      <c r="AF1246" s="127" t="s">
        <v>14067</v>
      </c>
      <c r="AG1246" s="127">
        <v>53.1266000098152</v>
      </c>
      <c r="AH1246" s="127">
        <v>6.58803165166935</v>
      </c>
      <c r="AI1246" s="115" t="s">
        <v>12383</v>
      </c>
      <c r="AJ1246" s="116">
        <v>0.5</v>
      </c>
      <c r="AK1246" s="117"/>
      <c r="AL1246" s="117"/>
      <c r="AM1246" s="117"/>
      <c r="AN1246" s="117"/>
      <c r="AO1246" s="117"/>
    </row>
    <row r="1247" ht="34.5" customHeight="1">
      <c r="A1247" s="111">
        <v>1846.0</v>
      </c>
      <c r="B1247" s="111" t="s">
        <v>9250</v>
      </c>
      <c r="C1247" s="111" t="s">
        <v>8578</v>
      </c>
      <c r="D1247" s="111"/>
      <c r="E1247" s="111"/>
      <c r="F1247" s="111" t="s">
        <v>12397</v>
      </c>
      <c r="G1247" s="111" t="s">
        <v>12381</v>
      </c>
      <c r="H1247" s="111" t="s">
        <v>12230</v>
      </c>
      <c r="I1247" s="111" t="s">
        <v>12394</v>
      </c>
      <c r="J1247" s="111" t="s">
        <v>12295</v>
      </c>
      <c r="K1247" s="111" t="s">
        <v>174</v>
      </c>
      <c r="L1247" s="111"/>
      <c r="M1247" s="111">
        <v>1.0</v>
      </c>
      <c r="N1247" s="111"/>
      <c r="O1247" s="111"/>
      <c r="P1247" s="111"/>
      <c r="Q1247" s="111"/>
      <c r="R1247" s="111"/>
      <c r="S1247" s="111"/>
      <c r="T1247" s="111"/>
      <c r="U1247" s="111"/>
      <c r="V1247" s="111"/>
      <c r="W1247" s="111"/>
      <c r="X1247" s="111"/>
      <c r="Y1247" s="111"/>
      <c r="Z1247" s="111"/>
      <c r="AA1247" s="124">
        <f>IF(OR(G1247="ALK",G1247="PEM",G1247="SOEC",G1247="Other Electrolysis"),
AB1247*VLOOKUP(G1247,ElectrolysisConvF,3,FALSE),
"")</f>
        <v>0</v>
      </c>
      <c r="AB1247" s="125"/>
      <c r="AC1247" s="125"/>
      <c r="AD1247" s="125"/>
      <c r="AE1247" s="125" t="str">
        <f t="shared" si="235"/>
        <v/>
      </c>
      <c r="AF1247" s="127" t="s">
        <v>14068</v>
      </c>
      <c r="AG1247" s="127">
        <v>1.78217686425388</v>
      </c>
      <c r="AH1247" s="127">
        <v>99.0881245362779</v>
      </c>
      <c r="AI1247" s="115" t="s">
        <v>12383</v>
      </c>
      <c r="AJ1247" s="116">
        <v>0.5</v>
      </c>
      <c r="AK1247" s="117"/>
      <c r="AL1247" s="117"/>
      <c r="AM1247" s="117"/>
      <c r="AN1247" s="117"/>
      <c r="AO1247" s="117"/>
    </row>
    <row r="1248" ht="34.5" customHeight="1">
      <c r="A1248" s="111">
        <v>1847.0</v>
      </c>
      <c r="B1248" s="111" t="s">
        <v>9251</v>
      </c>
      <c r="C1248" s="111" t="s">
        <v>9252</v>
      </c>
      <c r="D1248" s="111"/>
      <c r="E1248" s="111"/>
      <c r="F1248" s="111" t="s">
        <v>12397</v>
      </c>
      <c r="G1248" s="111" t="s">
        <v>12381</v>
      </c>
      <c r="H1248" s="111" t="s">
        <v>12230</v>
      </c>
      <c r="I1248" s="111" t="s">
        <v>12394</v>
      </c>
      <c r="J1248" s="111" t="s">
        <v>12296</v>
      </c>
      <c r="K1248" s="111" t="s">
        <v>30</v>
      </c>
      <c r="L1248" s="111"/>
      <c r="M1248" s="111"/>
      <c r="N1248" s="111"/>
      <c r="O1248" s="111"/>
      <c r="P1248" s="111"/>
      <c r="Q1248" s="111"/>
      <c r="R1248" s="111"/>
      <c r="S1248" s="111"/>
      <c r="T1248" s="111"/>
      <c r="U1248" s="111"/>
      <c r="V1248" s="111"/>
      <c r="W1248" s="111"/>
      <c r="X1248" s="111"/>
      <c r="Y1248" s="111"/>
      <c r="Z1248" s="111"/>
      <c r="AA1248" s="124">
        <f>IF(OR(G1248="ALK",G1248="PEM",G1248="SOEC",G1248="Other Electrolysis"),
AB1248*VLOOKUP(G1248,ElectrolysisConvF,3,FALSE),
"")</f>
        <v>0</v>
      </c>
      <c r="AB1248" s="125"/>
      <c r="AC1248" s="125"/>
      <c r="AD1248" s="125"/>
      <c r="AE1248" s="125" t="str">
        <f t="shared" si="235"/>
        <v/>
      </c>
      <c r="AF1248" s="127" t="s">
        <v>14069</v>
      </c>
      <c r="AG1248" s="127">
        <v>17.1460142155956</v>
      </c>
      <c r="AH1248" s="127">
        <v>10.5413131001222</v>
      </c>
      <c r="AI1248" s="115" t="s">
        <v>12383</v>
      </c>
      <c r="AJ1248" s="116">
        <v>0.5</v>
      </c>
      <c r="AK1248" s="117"/>
      <c r="AL1248" s="117"/>
      <c r="AM1248" s="117"/>
      <c r="AN1248" s="117"/>
      <c r="AO1248" s="117"/>
    </row>
    <row r="1249" ht="34.5" customHeight="1">
      <c r="A1249" s="111">
        <v>1849.0</v>
      </c>
      <c r="B1249" s="111" t="s">
        <v>9253</v>
      </c>
      <c r="C1249" s="111" t="s">
        <v>8021</v>
      </c>
      <c r="D1249" s="111"/>
      <c r="E1249" s="111"/>
      <c r="F1249" s="111" t="s">
        <v>12397</v>
      </c>
      <c r="G1249" s="111" t="s">
        <v>12381</v>
      </c>
      <c r="H1249" s="111" t="s">
        <v>12230</v>
      </c>
      <c r="I1249" s="111" t="s">
        <v>12394</v>
      </c>
      <c r="J1249" s="111" t="s">
        <v>12296</v>
      </c>
      <c r="K1249" s="111" t="s">
        <v>30</v>
      </c>
      <c r="L1249" s="111"/>
      <c r="M1249" s="111"/>
      <c r="N1249" s="111"/>
      <c r="O1249" s="111"/>
      <c r="P1249" s="111"/>
      <c r="Q1249" s="111"/>
      <c r="R1249" s="111"/>
      <c r="S1249" s="111"/>
      <c r="T1249" s="111"/>
      <c r="U1249" s="111"/>
      <c r="V1249" s="111"/>
      <c r="W1249" s="111"/>
      <c r="X1249" s="111"/>
      <c r="Y1249" s="111"/>
      <c r="Z1249" s="111"/>
      <c r="AA1249" s="124">
        <f>IF(OR(G1249="ALK",G1249="PEM",G1249="SOEC",G1249="Other Electrolysis"),
AB1249*VLOOKUP(G1249,ElectrolysisConvF,3,FALSE),
"")</f>
        <v>0</v>
      </c>
      <c r="AB1249" s="125"/>
      <c r="AC1249" s="125"/>
      <c r="AD1249" s="125"/>
      <c r="AE1249" s="125" t="str">
        <f t="shared" si="235"/>
        <v/>
      </c>
      <c r="AF1249" s="127" t="s">
        <v>14070</v>
      </c>
      <c r="AG1249" s="127">
        <v>-34.8055238620728</v>
      </c>
      <c r="AH1249" s="127">
        <v>138.522764146592</v>
      </c>
      <c r="AI1249" s="115" t="s">
        <v>12383</v>
      </c>
      <c r="AJ1249" s="116">
        <v>0.5</v>
      </c>
      <c r="AK1249" s="117"/>
      <c r="AL1249" s="117"/>
      <c r="AM1249" s="117"/>
      <c r="AN1249" s="117"/>
      <c r="AO1249" s="117"/>
    </row>
    <row r="1250" ht="34.5" customHeight="1">
      <c r="A1250" s="111">
        <v>1851.0</v>
      </c>
      <c r="B1250" s="111" t="s">
        <v>9254</v>
      </c>
      <c r="C1250" s="111" t="s">
        <v>8413</v>
      </c>
      <c r="D1250" s="111">
        <v>2030.0</v>
      </c>
      <c r="E1250" s="111"/>
      <c r="F1250" s="111" t="s">
        <v>12399</v>
      </c>
      <c r="G1250" s="111" t="s">
        <v>12381</v>
      </c>
      <c r="H1250" s="111" t="s">
        <v>12230</v>
      </c>
      <c r="I1250" s="111" t="s">
        <v>12394</v>
      </c>
      <c r="J1250" s="111" t="s">
        <v>12295</v>
      </c>
      <c r="K1250" s="111" t="s">
        <v>12415</v>
      </c>
      <c r="L1250" s="111"/>
      <c r="M1250" s="111"/>
      <c r="N1250" s="111">
        <v>1.0</v>
      </c>
      <c r="O1250" s="111"/>
      <c r="P1250" s="111"/>
      <c r="Q1250" s="111"/>
      <c r="R1250" s="111"/>
      <c r="S1250" s="111"/>
      <c r="T1250" s="111"/>
      <c r="U1250" s="111"/>
      <c r="V1250" s="111"/>
      <c r="W1250" s="111"/>
      <c r="X1250" s="111"/>
      <c r="Y1250" s="111"/>
      <c r="Z1250" s="111" t="s">
        <v>14071</v>
      </c>
      <c r="AA1250" s="126">
        <f>IF(Projects!$AI1250="Electrolysis",
AB1250*VLOOKUP(G1250,ElectrolysisConvF,3,FALSE),
"")</f>
        <v>173.1568416</v>
      </c>
      <c r="AB1250" s="125">
        <f>AC1250/(H2dens*HoursInYear/10^6)</f>
        <v>38479.29814</v>
      </c>
      <c r="AC1250" s="126">
        <f>15/Projects!$AJ1250</f>
        <v>30</v>
      </c>
      <c r="AD1250" s="125"/>
      <c r="AE1250" s="125">
        <f t="shared" si="235"/>
        <v>38479.29814</v>
      </c>
      <c r="AF1250" s="127" t="s">
        <v>14072</v>
      </c>
      <c r="AG1250" s="127">
        <v>-31.6850407418412</v>
      </c>
      <c r="AH1250" s="127">
        <v>-55.8662218711876</v>
      </c>
      <c r="AI1250" s="115" t="s">
        <v>12383</v>
      </c>
      <c r="AJ1250" s="116">
        <v>0.5</v>
      </c>
      <c r="AK1250" s="117"/>
      <c r="AL1250" s="117"/>
      <c r="AM1250" s="117"/>
      <c r="AN1250" s="117"/>
      <c r="AO1250" s="117"/>
    </row>
    <row r="1251" ht="34.5" customHeight="1">
      <c r="A1251" s="111">
        <v>1852.0</v>
      </c>
      <c r="B1251" s="111" t="s">
        <v>9255</v>
      </c>
      <c r="C1251" s="111" t="s">
        <v>8138</v>
      </c>
      <c r="D1251" s="111"/>
      <c r="E1251" s="111"/>
      <c r="F1251" s="111" t="s">
        <v>12397</v>
      </c>
      <c r="G1251" s="111" t="s">
        <v>12381</v>
      </c>
      <c r="H1251" s="111" t="s">
        <v>12230</v>
      </c>
      <c r="I1251" s="111" t="s">
        <v>12394</v>
      </c>
      <c r="J1251" s="111" t="s">
        <v>12293</v>
      </c>
      <c r="K1251" s="111" t="s">
        <v>30</v>
      </c>
      <c r="L1251" s="111"/>
      <c r="M1251" s="111"/>
      <c r="N1251" s="111"/>
      <c r="O1251" s="111"/>
      <c r="P1251" s="111">
        <v>1.0</v>
      </c>
      <c r="Q1251" s="111">
        <v>1.0</v>
      </c>
      <c r="R1251" s="111"/>
      <c r="S1251" s="111"/>
      <c r="T1251" s="111"/>
      <c r="U1251" s="111"/>
      <c r="V1251" s="111"/>
      <c r="W1251" s="111"/>
      <c r="X1251" s="111"/>
      <c r="Y1251" s="111"/>
      <c r="Z1251" s="111"/>
      <c r="AA1251" s="124">
        <f>IF(OR(G1251="ALK",G1251="PEM",G1251="SOEC",G1251="Other Electrolysis"),
AB1251*VLOOKUP(G1251,ElectrolysisConvF,3,FALSE),
"")</f>
        <v>0</v>
      </c>
      <c r="AB1251" s="125"/>
      <c r="AC1251" s="125"/>
      <c r="AD1251" s="125"/>
      <c r="AE1251" s="125" t="str">
        <f t="shared" si="235"/>
        <v/>
      </c>
      <c r="AF1251" s="127" t="s">
        <v>14073</v>
      </c>
      <c r="AG1251" s="127">
        <v>-34.5656051105042</v>
      </c>
      <c r="AH1251" s="127">
        <v>-58.3944168367812</v>
      </c>
      <c r="AI1251" s="115" t="s">
        <v>12383</v>
      </c>
      <c r="AJ1251" s="116">
        <v>0.55</v>
      </c>
      <c r="AK1251" s="117"/>
      <c r="AL1251" s="117"/>
      <c r="AM1251" s="117"/>
      <c r="AN1251" s="117"/>
      <c r="AO1251" s="117"/>
    </row>
    <row r="1252" ht="34.5" customHeight="1">
      <c r="A1252" s="111">
        <v>1853.0</v>
      </c>
      <c r="B1252" s="111" t="s">
        <v>9256</v>
      </c>
      <c r="C1252" s="111" t="s">
        <v>8590</v>
      </c>
      <c r="D1252" s="111">
        <v>2025.0</v>
      </c>
      <c r="E1252" s="111"/>
      <c r="F1252" s="111" t="s">
        <v>12397</v>
      </c>
      <c r="G1252" s="111" t="s">
        <v>12381</v>
      </c>
      <c r="H1252" s="111" t="s">
        <v>12230</v>
      </c>
      <c r="I1252" s="111" t="s">
        <v>12406</v>
      </c>
      <c r="J1252" s="111"/>
      <c r="K1252" s="111" t="s">
        <v>30</v>
      </c>
      <c r="L1252" s="111"/>
      <c r="M1252" s="111">
        <v>1.0</v>
      </c>
      <c r="N1252" s="111"/>
      <c r="O1252" s="111"/>
      <c r="P1252" s="111"/>
      <c r="Q1252" s="111"/>
      <c r="R1252" s="111"/>
      <c r="S1252" s="111"/>
      <c r="T1252" s="111"/>
      <c r="U1252" s="111"/>
      <c r="V1252" s="111"/>
      <c r="W1252" s="111"/>
      <c r="X1252" s="111"/>
      <c r="Y1252" s="111"/>
      <c r="Z1252" s="111" t="s">
        <v>12422</v>
      </c>
      <c r="AA1252" s="124">
        <v>10.0</v>
      </c>
      <c r="AB1252" s="125">
        <f>IF(Projects!$AI1252="Electrolysis",
AA1252/VLOOKUP(G1252,ElectrolysisConvF,3,FALSE),
AC1252*10^6/(H2dens*HoursInYear))</f>
        <v>2222.222222</v>
      </c>
      <c r="AC1252" s="126">
        <f t="shared" ref="AC1252:AC1253" si="249">AB1252*H2dens*HoursInYear/10^6</f>
        <v>1.732533333</v>
      </c>
      <c r="AD1252" s="125"/>
      <c r="AE1252" s="125">
        <f t="shared" si="235"/>
        <v>2222.222222</v>
      </c>
      <c r="AF1252" s="127" t="s">
        <v>14074</v>
      </c>
      <c r="AG1252" s="127">
        <v>-21.834349756669</v>
      </c>
      <c r="AH1252" s="127">
        <v>-41.0413268418608</v>
      </c>
      <c r="AI1252" s="115" t="s">
        <v>12383</v>
      </c>
      <c r="AJ1252" s="116">
        <v>0.57</v>
      </c>
      <c r="AK1252" s="117"/>
      <c r="AL1252" s="117"/>
      <c r="AM1252" s="117"/>
      <c r="AN1252" s="117"/>
      <c r="AO1252" s="117"/>
    </row>
    <row r="1253" ht="34.5" customHeight="1">
      <c r="A1253" s="111">
        <v>1854.0</v>
      </c>
      <c r="B1253" s="111" t="s">
        <v>9257</v>
      </c>
      <c r="C1253" s="111" t="s">
        <v>8590</v>
      </c>
      <c r="D1253" s="111"/>
      <c r="E1253" s="111"/>
      <c r="F1253" s="111" t="s">
        <v>12397</v>
      </c>
      <c r="G1253" s="111" t="s">
        <v>12381</v>
      </c>
      <c r="H1253" s="111" t="s">
        <v>12230</v>
      </c>
      <c r="I1253" s="111" t="s">
        <v>12406</v>
      </c>
      <c r="J1253" s="111"/>
      <c r="K1253" s="111" t="s">
        <v>30</v>
      </c>
      <c r="L1253" s="111"/>
      <c r="M1253" s="111"/>
      <c r="N1253" s="111"/>
      <c r="O1253" s="111"/>
      <c r="P1253" s="111"/>
      <c r="Q1253" s="111"/>
      <c r="R1253" s="111"/>
      <c r="S1253" s="111"/>
      <c r="T1253" s="111"/>
      <c r="U1253" s="111"/>
      <c r="V1253" s="111"/>
      <c r="W1253" s="111"/>
      <c r="X1253" s="111"/>
      <c r="Y1253" s="111"/>
      <c r="Z1253" s="111" t="s">
        <v>12709</v>
      </c>
      <c r="AA1253" s="124">
        <v>90.0</v>
      </c>
      <c r="AB1253" s="125">
        <f>IF(Projects!$AI1253="Electrolysis",
AA1253/VLOOKUP(G1253,ElectrolysisConvF,3,FALSE),
AC1253*10^6/(H2dens*HoursInYear))</f>
        <v>20000</v>
      </c>
      <c r="AC1253" s="126">
        <f t="shared" si="249"/>
        <v>15.5928</v>
      </c>
      <c r="AD1253" s="125"/>
      <c r="AE1253" s="125">
        <f t="shared" si="235"/>
        <v>20000</v>
      </c>
      <c r="AF1253" s="127" t="s">
        <v>14074</v>
      </c>
      <c r="AG1253" s="127">
        <v>-21.834349756669</v>
      </c>
      <c r="AH1253" s="127">
        <v>-41.0413268418608</v>
      </c>
      <c r="AI1253" s="115" t="s">
        <v>12383</v>
      </c>
      <c r="AJ1253" s="116">
        <v>0.57</v>
      </c>
      <c r="AK1253" s="117"/>
      <c r="AL1253" s="117"/>
      <c r="AM1253" s="117"/>
      <c r="AN1253" s="117"/>
      <c r="AO1253" s="117"/>
    </row>
    <row r="1254" ht="34.5" customHeight="1">
      <c r="A1254" s="111">
        <v>1855.0</v>
      </c>
      <c r="B1254" s="127" t="s">
        <v>9258</v>
      </c>
      <c r="C1254" s="111" t="s">
        <v>8371</v>
      </c>
      <c r="D1254" s="111"/>
      <c r="E1254" s="111"/>
      <c r="F1254" s="111" t="s">
        <v>12397</v>
      </c>
      <c r="G1254" s="111" t="s">
        <v>12381</v>
      </c>
      <c r="H1254" s="111" t="s">
        <v>12230</v>
      </c>
      <c r="I1254" s="111" t="s">
        <v>12394</v>
      </c>
      <c r="J1254" s="111" t="s">
        <v>12291</v>
      </c>
      <c r="K1254" s="111" t="s">
        <v>174</v>
      </c>
      <c r="L1254" s="111"/>
      <c r="M1254" s="111">
        <v>1.0</v>
      </c>
      <c r="N1254" s="111"/>
      <c r="O1254" s="111"/>
      <c r="P1254" s="111"/>
      <c r="Q1254" s="111">
        <v>1.0</v>
      </c>
      <c r="R1254" s="111"/>
      <c r="S1254" s="111"/>
      <c r="T1254" s="111"/>
      <c r="U1254" s="111"/>
      <c r="V1254" s="111"/>
      <c r="W1254" s="111"/>
      <c r="X1254" s="111"/>
      <c r="Y1254" s="111"/>
      <c r="Z1254" s="111" t="s">
        <v>14075</v>
      </c>
      <c r="AA1254" s="126">
        <f>IF(Projects!$AI1254="Electrolysis",
AB1254*VLOOKUP(G1254,ElectrolysisConvF,3,FALSE),
"")</f>
        <v>577.1894721</v>
      </c>
      <c r="AB1254" s="125">
        <f>AC1254/(H2dens*HoursInYear/10^6)</f>
        <v>128264.3271</v>
      </c>
      <c r="AC1254" s="125">
        <v>100.0</v>
      </c>
      <c r="AD1254" s="125"/>
      <c r="AE1254" s="125">
        <f t="shared" si="235"/>
        <v>128264.3271</v>
      </c>
      <c r="AF1254" s="127" t="s">
        <v>14067</v>
      </c>
      <c r="AG1254" s="127">
        <v>24.4852421565258</v>
      </c>
      <c r="AH1254" s="127">
        <v>54.3927280389778</v>
      </c>
      <c r="AI1254" s="115" t="s">
        <v>12383</v>
      </c>
      <c r="AJ1254" s="116">
        <v>0.3</v>
      </c>
      <c r="AK1254" s="117"/>
      <c r="AL1254" s="117"/>
      <c r="AM1254" s="117"/>
      <c r="AN1254" s="117"/>
      <c r="AO1254" s="117"/>
    </row>
    <row r="1255" ht="34.5" customHeight="1">
      <c r="A1255" s="111">
        <v>1856.0</v>
      </c>
      <c r="B1255" s="111" t="s">
        <v>9259</v>
      </c>
      <c r="C1255" s="111" t="s">
        <v>7991</v>
      </c>
      <c r="D1255" s="111">
        <v>2026.0</v>
      </c>
      <c r="E1255" s="111"/>
      <c r="F1255" s="111" t="s">
        <v>12393</v>
      </c>
      <c r="G1255" s="111" t="s">
        <v>12381</v>
      </c>
      <c r="H1255" s="111" t="s">
        <v>12230</v>
      </c>
      <c r="I1255" s="111" t="s">
        <v>12394</v>
      </c>
      <c r="J1255" s="111" t="s">
        <v>12296</v>
      </c>
      <c r="K1255" s="111" t="s">
        <v>30</v>
      </c>
      <c r="L1255" s="111"/>
      <c r="M1255" s="111"/>
      <c r="N1255" s="111"/>
      <c r="O1255" s="111"/>
      <c r="P1255" s="111">
        <v>1.0</v>
      </c>
      <c r="Q1255" s="111"/>
      <c r="R1255" s="111"/>
      <c r="S1255" s="111"/>
      <c r="T1255" s="111"/>
      <c r="U1255" s="111"/>
      <c r="V1255" s="111"/>
      <c r="W1255" s="111"/>
      <c r="X1255" s="111"/>
      <c r="Y1255" s="111"/>
      <c r="Z1255" s="111" t="s">
        <v>13667</v>
      </c>
      <c r="AA1255" s="124">
        <v>35.0</v>
      </c>
      <c r="AB1255" s="125">
        <f>IF(Projects!$AI1255="Electrolysis",
AA1255/VLOOKUP(G1255,ElectrolysisConvF,3,FALSE),
AC1255*10^6/(H2dens*HoursInYear))</f>
        <v>7777.777778</v>
      </c>
      <c r="AC1255" s="126">
        <f>AB1255*H2dens*HoursInYear/10^6</f>
        <v>6.063866667</v>
      </c>
      <c r="AD1255" s="125"/>
      <c r="AE1255" s="125">
        <f t="shared" si="235"/>
        <v>7777.777778</v>
      </c>
      <c r="AF1255" s="127" t="s">
        <v>14076</v>
      </c>
      <c r="AG1255" s="127">
        <v>54.1033981870329</v>
      </c>
      <c r="AH1255" s="127">
        <v>-3.23274641010043</v>
      </c>
      <c r="AI1255" s="115" t="s">
        <v>12383</v>
      </c>
      <c r="AJ1255" s="116">
        <v>0.5</v>
      </c>
      <c r="AK1255" s="117"/>
      <c r="AL1255" s="117"/>
      <c r="AM1255" s="117"/>
      <c r="AN1255" s="117"/>
      <c r="AO1255" s="117"/>
    </row>
    <row r="1256" ht="34.5" customHeight="1">
      <c r="A1256" s="111">
        <v>1857.0</v>
      </c>
      <c r="B1256" s="111" t="s">
        <v>9260</v>
      </c>
      <c r="C1256" s="111" t="s">
        <v>7977</v>
      </c>
      <c r="D1256" s="111">
        <v>2024.0</v>
      </c>
      <c r="E1256" s="111"/>
      <c r="F1256" s="111" t="s">
        <v>12418</v>
      </c>
      <c r="G1256" s="111" t="s">
        <v>12241</v>
      </c>
      <c r="H1256" s="111" t="s">
        <v>14077</v>
      </c>
      <c r="I1256" s="111"/>
      <c r="J1256" s="111"/>
      <c r="K1256" s="111" t="s">
        <v>12251</v>
      </c>
      <c r="L1256" s="111"/>
      <c r="M1256" s="111"/>
      <c r="N1256" s="111"/>
      <c r="O1256" s="111"/>
      <c r="P1256" s="111"/>
      <c r="Q1256" s="111"/>
      <c r="R1256" s="111"/>
      <c r="S1256" s="111"/>
      <c r="T1256" s="111"/>
      <c r="U1256" s="111"/>
      <c r="V1256" s="111"/>
      <c r="W1256" s="111">
        <v>1.0</v>
      </c>
      <c r="X1256" s="111"/>
      <c r="Y1256" s="111"/>
      <c r="Z1256" s="111"/>
      <c r="AA1256" s="124" t="str">
        <f>IF(OR(G1256="ALK",G1256="PEM",G1256="SOEC",G1256="Other Electrolysis"),
AB1256*VLOOKUP(G1256,ElectrolysisConvF,3,FALSE),
"")</f>
        <v/>
      </c>
      <c r="AB1256" s="125"/>
      <c r="AC1256" s="125"/>
      <c r="AD1256" s="125"/>
      <c r="AE1256" s="125" t="str">
        <f t="shared" si="235"/>
        <v/>
      </c>
      <c r="AF1256" s="127" t="s">
        <v>14078</v>
      </c>
      <c r="AG1256" s="127">
        <v>40.3383230276851</v>
      </c>
      <c r="AH1256" s="127">
        <v>-3.69326955904086</v>
      </c>
      <c r="AI1256" s="115" t="s">
        <v>12241</v>
      </c>
      <c r="AJ1256" s="116">
        <v>0.9</v>
      </c>
      <c r="AK1256" s="117"/>
      <c r="AL1256" s="117"/>
      <c r="AM1256" s="117"/>
      <c r="AN1256" s="117"/>
      <c r="AO1256" s="117"/>
    </row>
    <row r="1257" ht="34.5" customHeight="1">
      <c r="A1257" s="111">
        <v>1858.0</v>
      </c>
      <c r="B1257" s="111" t="s">
        <v>9261</v>
      </c>
      <c r="C1257" s="111" t="s">
        <v>7987</v>
      </c>
      <c r="D1257" s="111"/>
      <c r="E1257" s="111"/>
      <c r="F1257" s="111" t="s">
        <v>12393</v>
      </c>
      <c r="G1257" s="111" t="s">
        <v>12241</v>
      </c>
      <c r="H1257" s="111" t="s">
        <v>14077</v>
      </c>
      <c r="I1257" s="111"/>
      <c r="J1257" s="111"/>
      <c r="K1257" s="111" t="s">
        <v>12251</v>
      </c>
      <c r="L1257" s="111"/>
      <c r="M1257" s="111"/>
      <c r="N1257" s="111"/>
      <c r="O1257" s="111"/>
      <c r="P1257" s="111"/>
      <c r="Q1257" s="111"/>
      <c r="R1257" s="111"/>
      <c r="S1257" s="111"/>
      <c r="T1257" s="111"/>
      <c r="U1257" s="111"/>
      <c r="V1257" s="111"/>
      <c r="W1257" s="111">
        <v>1.0</v>
      </c>
      <c r="X1257" s="111"/>
      <c r="Y1257" s="111"/>
      <c r="Z1257" s="111"/>
      <c r="AA1257" s="124" t="str">
        <f>IF(OR(G1257="ALK",G1257="PEM",G1257="SOEC",G1257="Other Electrolysis"),
AB1257*VLOOKUP(G1257,ElectrolysisConvF,3,FALSE),
"")</f>
        <v/>
      </c>
      <c r="AB1257" s="125"/>
      <c r="AC1257" s="125"/>
      <c r="AD1257" s="125"/>
      <c r="AE1257" s="125" t="str">
        <f t="shared" si="235"/>
        <v/>
      </c>
      <c r="AF1257" s="127" t="s">
        <v>14078</v>
      </c>
      <c r="AG1257" s="127">
        <v>50.9172829771668</v>
      </c>
      <c r="AH1257" s="127">
        <v>6.39232889531632</v>
      </c>
      <c r="AI1257" s="115" t="s">
        <v>12241</v>
      </c>
      <c r="AJ1257" s="116">
        <v>0.9</v>
      </c>
      <c r="AK1257" s="117"/>
      <c r="AL1257" s="117"/>
      <c r="AM1257" s="117"/>
      <c r="AN1257" s="117"/>
      <c r="AO1257" s="117"/>
    </row>
    <row r="1258" ht="34.5" customHeight="1">
      <c r="A1258" s="111">
        <v>1859.0</v>
      </c>
      <c r="B1258" s="111" t="s">
        <v>9262</v>
      </c>
      <c r="C1258" s="111" t="s">
        <v>8578</v>
      </c>
      <c r="D1258" s="111"/>
      <c r="E1258" s="111"/>
      <c r="F1258" s="111" t="s">
        <v>12397</v>
      </c>
      <c r="G1258" s="111" t="s">
        <v>12381</v>
      </c>
      <c r="H1258" s="111" t="s">
        <v>12230</v>
      </c>
      <c r="I1258" s="111" t="s">
        <v>12394</v>
      </c>
      <c r="J1258" s="111" t="s">
        <v>12296</v>
      </c>
      <c r="K1258" s="111" t="s">
        <v>174</v>
      </c>
      <c r="L1258" s="111"/>
      <c r="M1258" s="111">
        <v>1.0</v>
      </c>
      <c r="N1258" s="111"/>
      <c r="O1258" s="111"/>
      <c r="P1258" s="111"/>
      <c r="Q1258" s="111"/>
      <c r="R1258" s="111"/>
      <c r="S1258" s="111"/>
      <c r="T1258" s="111"/>
      <c r="U1258" s="111"/>
      <c r="V1258" s="111"/>
      <c r="W1258" s="111"/>
      <c r="X1258" s="111"/>
      <c r="Y1258" s="111"/>
      <c r="Z1258" s="111"/>
      <c r="AA1258" s="124"/>
      <c r="AB1258" s="125"/>
      <c r="AC1258" s="125"/>
      <c r="AD1258" s="125"/>
      <c r="AE1258" s="125" t="str">
        <f t="shared" si="235"/>
        <v/>
      </c>
      <c r="AF1258" s="127" t="s">
        <v>14079</v>
      </c>
      <c r="AG1258" s="127">
        <v>5.14920046309308</v>
      </c>
      <c r="AH1258" s="127">
        <v>97.4102860382685</v>
      </c>
      <c r="AI1258" s="115" t="s">
        <v>12383</v>
      </c>
      <c r="AJ1258" s="116">
        <v>0.5</v>
      </c>
      <c r="AK1258" s="117"/>
      <c r="AL1258" s="117"/>
      <c r="AM1258" s="117"/>
      <c r="AN1258" s="117"/>
      <c r="AO1258" s="117"/>
    </row>
    <row r="1259" ht="34.5" customHeight="1">
      <c r="A1259" s="111">
        <v>1860.0</v>
      </c>
      <c r="B1259" s="111" t="s">
        <v>9263</v>
      </c>
      <c r="C1259" s="111" t="s">
        <v>8108</v>
      </c>
      <c r="D1259" s="111">
        <v>2030.0</v>
      </c>
      <c r="E1259" s="111"/>
      <c r="F1259" s="111" t="s">
        <v>12399</v>
      </c>
      <c r="G1259" s="111" t="s">
        <v>12381</v>
      </c>
      <c r="H1259" s="111" t="s">
        <v>12230</v>
      </c>
      <c r="I1259" s="111" t="s">
        <v>12394</v>
      </c>
      <c r="J1259" s="111" t="s">
        <v>12291</v>
      </c>
      <c r="K1259" s="111" t="s">
        <v>174</v>
      </c>
      <c r="L1259" s="111"/>
      <c r="M1259" s="111">
        <v>1.0</v>
      </c>
      <c r="N1259" s="111"/>
      <c r="O1259" s="111"/>
      <c r="P1259" s="111"/>
      <c r="Q1259" s="111"/>
      <c r="R1259" s="111"/>
      <c r="S1259" s="111"/>
      <c r="T1259" s="111"/>
      <c r="U1259" s="111"/>
      <c r="V1259" s="111"/>
      <c r="W1259" s="111"/>
      <c r="X1259" s="111"/>
      <c r="Y1259" s="111"/>
      <c r="Z1259" s="111" t="s">
        <v>14080</v>
      </c>
      <c r="AA1259" s="124">
        <v>1500.0</v>
      </c>
      <c r="AB1259" s="125">
        <f>IF(Projects!$AI1259="Electrolysis",
AA1259/VLOOKUP(G1259,ElectrolysisConvF,3,FALSE),
AC1259*10^6/(H2dens*HoursInYear))</f>
        <v>333333.3333</v>
      </c>
      <c r="AC1259" s="126">
        <f t="shared" ref="AC1259:AC1261" si="250">AB1259*H2dens*HoursInYear/10^6</f>
        <v>259.88</v>
      </c>
      <c r="AD1259" s="125"/>
      <c r="AE1259" s="125">
        <f t="shared" si="235"/>
        <v>333333.3333</v>
      </c>
      <c r="AF1259" s="127" t="s">
        <v>14081</v>
      </c>
      <c r="AG1259" s="127">
        <v>10.2913897526231</v>
      </c>
      <c r="AH1259" s="127">
        <v>78.8268326344017</v>
      </c>
      <c r="AI1259" s="115" t="s">
        <v>12383</v>
      </c>
      <c r="AJ1259" s="116">
        <v>0.3</v>
      </c>
      <c r="AK1259" s="117"/>
      <c r="AL1259" s="117"/>
      <c r="AM1259" s="117"/>
      <c r="AN1259" s="117"/>
      <c r="AO1259" s="117"/>
    </row>
    <row r="1260" ht="34.5" customHeight="1">
      <c r="A1260" s="111">
        <v>1861.0</v>
      </c>
      <c r="B1260" s="111" t="s">
        <v>9264</v>
      </c>
      <c r="C1260" s="111" t="s">
        <v>8590</v>
      </c>
      <c r="D1260" s="111">
        <v>2022.0</v>
      </c>
      <c r="E1260" s="111"/>
      <c r="F1260" s="111" t="s">
        <v>12385</v>
      </c>
      <c r="G1260" s="111" t="s">
        <v>12226</v>
      </c>
      <c r="H1260" s="111"/>
      <c r="I1260" s="111" t="s">
        <v>12394</v>
      </c>
      <c r="J1260" s="111" t="s">
        <v>12291</v>
      </c>
      <c r="K1260" s="111" t="s">
        <v>30</v>
      </c>
      <c r="L1260" s="111"/>
      <c r="M1260" s="111"/>
      <c r="N1260" s="111"/>
      <c r="O1260" s="111"/>
      <c r="P1260" s="111">
        <v>1.0</v>
      </c>
      <c r="Q1260" s="111">
        <v>1.0</v>
      </c>
      <c r="R1260" s="111"/>
      <c r="S1260" s="111"/>
      <c r="T1260" s="111"/>
      <c r="U1260" s="111"/>
      <c r="V1260" s="111"/>
      <c r="W1260" s="111"/>
      <c r="X1260" s="111"/>
      <c r="Y1260" s="111"/>
      <c r="Z1260" s="111" t="s">
        <v>12752</v>
      </c>
      <c r="AA1260" s="124">
        <v>3.0</v>
      </c>
      <c r="AB1260" s="125">
        <f>IF(Projects!$AI1260="Electrolysis",
AA1260/VLOOKUP(G1260,ElectrolysisConvF,3,FALSE),
AC1260*10^6/(H2dens*HoursInYear))</f>
        <v>576.9230769</v>
      </c>
      <c r="AC1260" s="126">
        <f t="shared" si="250"/>
        <v>0.4497923077</v>
      </c>
      <c r="AD1260" s="125"/>
      <c r="AE1260" s="125">
        <f t="shared" si="235"/>
        <v>576.9230769</v>
      </c>
      <c r="AF1260" s="127" t="s">
        <v>14082</v>
      </c>
      <c r="AG1260" s="127">
        <v>-3.54866252274806</v>
      </c>
      <c r="AH1260" s="127">
        <v>-38.8106202232962</v>
      </c>
      <c r="AI1260" s="115" t="s">
        <v>12383</v>
      </c>
      <c r="AJ1260" s="116">
        <v>0.3</v>
      </c>
      <c r="AK1260" s="117"/>
      <c r="AL1260" s="117"/>
      <c r="AM1260" s="117"/>
      <c r="AN1260" s="117"/>
      <c r="AO1260" s="117"/>
    </row>
    <row r="1261" ht="34.5" customHeight="1">
      <c r="A1261" s="111">
        <v>1862.0</v>
      </c>
      <c r="B1261" s="111" t="s">
        <v>9265</v>
      </c>
      <c r="C1261" s="111" t="s">
        <v>7987</v>
      </c>
      <c r="D1261" s="111"/>
      <c r="E1261" s="111"/>
      <c r="F1261" s="111" t="s">
        <v>12399</v>
      </c>
      <c r="G1261" s="111" t="s">
        <v>12228</v>
      </c>
      <c r="H1261" s="111"/>
      <c r="I1261" s="111" t="s">
        <v>12394</v>
      </c>
      <c r="J1261" s="111" t="s">
        <v>12296</v>
      </c>
      <c r="K1261" s="111" t="s">
        <v>174</v>
      </c>
      <c r="L1261" s="111"/>
      <c r="M1261" s="111">
        <v>1.0</v>
      </c>
      <c r="N1261" s="111"/>
      <c r="O1261" s="111"/>
      <c r="P1261" s="111"/>
      <c r="Q1261" s="111"/>
      <c r="R1261" s="111"/>
      <c r="S1261" s="111"/>
      <c r="T1261" s="111"/>
      <c r="U1261" s="111"/>
      <c r="V1261" s="111"/>
      <c r="W1261" s="111"/>
      <c r="X1261" s="111"/>
      <c r="Y1261" s="111"/>
      <c r="Z1261" s="111" t="s">
        <v>14083</v>
      </c>
      <c r="AA1261" s="124">
        <v>700.0</v>
      </c>
      <c r="AB1261" s="125">
        <f>IF(Projects!$AI1261="Electrolysis",
AA1261/VLOOKUP(G1261,ElectrolysisConvF,3,FALSE),
AC1261*10^6/(H2dens*HoursInYear))</f>
        <v>184210.5263</v>
      </c>
      <c r="AC1261" s="126">
        <f t="shared" si="250"/>
        <v>143.6178947</v>
      </c>
      <c r="AD1261" s="125"/>
      <c r="AE1261" s="125">
        <f t="shared" si="235"/>
        <v>184210.5263</v>
      </c>
      <c r="AF1261" s="127" t="s">
        <v>14084</v>
      </c>
      <c r="AG1261" s="127">
        <v>53.9022511193561</v>
      </c>
      <c r="AH1261" s="127">
        <v>9.05952825020645</v>
      </c>
      <c r="AI1261" s="115" t="s">
        <v>12383</v>
      </c>
      <c r="AJ1261" s="116">
        <v>0.5</v>
      </c>
      <c r="AK1261" s="117"/>
      <c r="AL1261" s="117"/>
      <c r="AM1261" s="117"/>
      <c r="AN1261" s="117"/>
      <c r="AO1261" s="117"/>
    </row>
    <row r="1262" ht="34.5" customHeight="1">
      <c r="A1262" s="111">
        <v>1864.0</v>
      </c>
      <c r="B1262" s="111" t="s">
        <v>9266</v>
      </c>
      <c r="C1262" s="111" t="s">
        <v>8071</v>
      </c>
      <c r="D1262" s="111">
        <v>2025.0</v>
      </c>
      <c r="E1262" s="111"/>
      <c r="F1262" s="111" t="s">
        <v>12397</v>
      </c>
      <c r="G1262" s="111" t="s">
        <v>12381</v>
      </c>
      <c r="H1262" s="111" t="s">
        <v>12230</v>
      </c>
      <c r="I1262" s="111" t="s">
        <v>12394</v>
      </c>
      <c r="J1262" s="111" t="s">
        <v>12291</v>
      </c>
      <c r="K1262" s="111" t="s">
        <v>30</v>
      </c>
      <c r="L1262" s="111"/>
      <c r="M1262" s="111"/>
      <c r="N1262" s="111"/>
      <c r="O1262" s="111"/>
      <c r="P1262" s="111"/>
      <c r="Q1262" s="111">
        <v>1.0</v>
      </c>
      <c r="R1262" s="111"/>
      <c r="S1262" s="111"/>
      <c r="T1262" s="111"/>
      <c r="U1262" s="111"/>
      <c r="V1262" s="111"/>
      <c r="W1262" s="111"/>
      <c r="X1262" s="111"/>
      <c r="Y1262" s="111"/>
      <c r="Z1262" s="111"/>
      <c r="AA1262" s="124"/>
      <c r="AB1262" s="125"/>
      <c r="AC1262" s="125"/>
      <c r="AD1262" s="125"/>
      <c r="AE1262" s="125" t="str">
        <f t="shared" si="235"/>
        <v/>
      </c>
      <c r="AF1262" s="127" t="s">
        <v>14085</v>
      </c>
      <c r="AG1262" s="127">
        <v>-33.3954040261294</v>
      </c>
      <c r="AH1262" s="127">
        <v>-70.7972381416889</v>
      </c>
      <c r="AI1262" s="115" t="s">
        <v>12383</v>
      </c>
      <c r="AJ1262" s="116">
        <v>0.3</v>
      </c>
      <c r="AK1262" s="117"/>
      <c r="AL1262" s="117"/>
      <c r="AM1262" s="117"/>
      <c r="AN1262" s="117"/>
      <c r="AO1262" s="117"/>
    </row>
    <row r="1263" ht="34.5" customHeight="1">
      <c r="A1263" s="111">
        <v>1865.0</v>
      </c>
      <c r="B1263" s="111" t="s">
        <v>9267</v>
      </c>
      <c r="C1263" s="111" t="s">
        <v>7981</v>
      </c>
      <c r="D1263" s="111">
        <v>2022.0</v>
      </c>
      <c r="E1263" s="111"/>
      <c r="F1263" s="111" t="s">
        <v>12418</v>
      </c>
      <c r="G1263" s="111" t="s">
        <v>12381</v>
      </c>
      <c r="H1263" s="111" t="s">
        <v>12230</v>
      </c>
      <c r="I1263" s="111" t="s">
        <v>12394</v>
      </c>
      <c r="J1263" s="111" t="s">
        <v>12296</v>
      </c>
      <c r="K1263" s="111" t="s">
        <v>30</v>
      </c>
      <c r="L1263" s="111"/>
      <c r="M1263" s="111"/>
      <c r="N1263" s="111"/>
      <c r="O1263" s="111"/>
      <c r="P1263" s="111"/>
      <c r="Q1263" s="111"/>
      <c r="R1263" s="111"/>
      <c r="S1263" s="111">
        <v>1.0</v>
      </c>
      <c r="T1263" s="111"/>
      <c r="U1263" s="111"/>
      <c r="V1263" s="111"/>
      <c r="W1263" s="111"/>
      <c r="X1263" s="111"/>
      <c r="Y1263" s="111"/>
      <c r="Z1263" s="111" t="s">
        <v>12908</v>
      </c>
      <c r="AA1263" s="124">
        <v>1.0</v>
      </c>
      <c r="AB1263" s="125">
        <f>IF(Projects!$AI1263="Electrolysis",
AA1263/VLOOKUP(G1263,ElectrolysisConvF,3,FALSE),
AC1263*10^6/(H2dens*HoursInYear))</f>
        <v>222.2222222</v>
      </c>
      <c r="AC1263" s="126">
        <f t="shared" ref="AC1263:AC1266" si="251">AB1263*H2dens*HoursInYear/10^6</f>
        <v>0.1732533333</v>
      </c>
      <c r="AD1263" s="125"/>
      <c r="AE1263" s="125">
        <f t="shared" si="235"/>
        <v>222.2222222</v>
      </c>
      <c r="AF1263" s="127" t="s">
        <v>14086</v>
      </c>
      <c r="AG1263" s="127">
        <v>44.8998508721067</v>
      </c>
      <c r="AH1263" s="127">
        <v>-93.1807976593849</v>
      </c>
      <c r="AI1263" s="115" t="s">
        <v>12383</v>
      </c>
      <c r="AJ1263" s="116">
        <v>0.5</v>
      </c>
      <c r="AK1263" s="117"/>
      <c r="AL1263" s="117"/>
      <c r="AM1263" s="117"/>
      <c r="AN1263" s="117"/>
      <c r="AO1263" s="117"/>
    </row>
    <row r="1264" ht="34.5" customHeight="1">
      <c r="A1264" s="111">
        <v>1866.0</v>
      </c>
      <c r="B1264" s="111" t="s">
        <v>9268</v>
      </c>
      <c r="C1264" s="111" t="s">
        <v>7971</v>
      </c>
      <c r="D1264" s="111">
        <v>2027.0</v>
      </c>
      <c r="E1264" s="111"/>
      <c r="F1264" s="111" t="s">
        <v>12399</v>
      </c>
      <c r="G1264" s="111" t="s">
        <v>12381</v>
      </c>
      <c r="H1264" s="111" t="s">
        <v>12230</v>
      </c>
      <c r="I1264" s="111" t="s">
        <v>12394</v>
      </c>
      <c r="J1264" s="111" t="s">
        <v>12296</v>
      </c>
      <c r="K1264" s="111" t="s">
        <v>30</v>
      </c>
      <c r="L1264" s="111"/>
      <c r="M1264" s="111"/>
      <c r="N1264" s="111"/>
      <c r="O1264" s="111"/>
      <c r="P1264" s="111"/>
      <c r="Q1264" s="111">
        <v>1.0</v>
      </c>
      <c r="R1264" s="111"/>
      <c r="S1264" s="111"/>
      <c r="T1264" s="111"/>
      <c r="U1264" s="111"/>
      <c r="V1264" s="111"/>
      <c r="W1264" s="111"/>
      <c r="X1264" s="111"/>
      <c r="Y1264" s="111"/>
      <c r="Z1264" s="111" t="s">
        <v>12698</v>
      </c>
      <c r="AA1264" s="124">
        <v>100.0</v>
      </c>
      <c r="AB1264" s="125">
        <f>IF(Projects!$AI1264="Electrolysis",
AA1264/VLOOKUP(G1264,ElectrolysisConvF,3,FALSE),
AC1264*10^6/(H2dens*HoursInYear))</f>
        <v>22222.22222</v>
      </c>
      <c r="AC1264" s="126">
        <f t="shared" si="251"/>
        <v>17.32533333</v>
      </c>
      <c r="AD1264" s="125"/>
      <c r="AE1264" s="125">
        <f t="shared" si="235"/>
        <v>22222.22222</v>
      </c>
      <c r="AF1264" s="127" t="s">
        <v>14087</v>
      </c>
      <c r="AG1264" s="127">
        <v>65.8414255792232</v>
      </c>
      <c r="AH1264" s="127">
        <v>13.1851402125919</v>
      </c>
      <c r="AI1264" s="115" t="s">
        <v>12383</v>
      </c>
      <c r="AJ1264" s="116">
        <v>0.5</v>
      </c>
      <c r="AK1264" s="117"/>
      <c r="AL1264" s="117"/>
      <c r="AM1264" s="117"/>
      <c r="AN1264" s="117"/>
      <c r="AO1264" s="117"/>
    </row>
    <row r="1265" ht="34.5" customHeight="1">
      <c r="A1265" s="111">
        <v>1867.0</v>
      </c>
      <c r="B1265" s="111" t="s">
        <v>9269</v>
      </c>
      <c r="C1265" s="111" t="s">
        <v>7971</v>
      </c>
      <c r="D1265" s="111">
        <v>2028.0</v>
      </c>
      <c r="E1265" s="111"/>
      <c r="F1265" s="111" t="s">
        <v>12399</v>
      </c>
      <c r="G1265" s="111" t="s">
        <v>12381</v>
      </c>
      <c r="H1265" s="111" t="s">
        <v>12230</v>
      </c>
      <c r="I1265" s="111" t="s">
        <v>12394</v>
      </c>
      <c r="J1265" s="111" t="s">
        <v>12296</v>
      </c>
      <c r="K1265" s="111" t="s">
        <v>30</v>
      </c>
      <c r="L1265" s="111"/>
      <c r="M1265" s="111"/>
      <c r="N1265" s="111"/>
      <c r="O1265" s="111"/>
      <c r="P1265" s="111"/>
      <c r="Q1265" s="111"/>
      <c r="R1265" s="111"/>
      <c r="S1265" s="111"/>
      <c r="T1265" s="111"/>
      <c r="U1265" s="111"/>
      <c r="V1265" s="111"/>
      <c r="W1265" s="111"/>
      <c r="X1265" s="111"/>
      <c r="Y1265" s="111"/>
      <c r="Z1265" s="111" t="s">
        <v>14088</v>
      </c>
      <c r="AA1265" s="124">
        <v>135.0</v>
      </c>
      <c r="AB1265" s="125">
        <f>IF(Projects!$AI1265="Electrolysis",
AA1265/VLOOKUP(G1265,ElectrolysisConvF,3,FALSE),
AC1265*10^6/(H2dens*HoursInYear))</f>
        <v>30000</v>
      </c>
      <c r="AC1265" s="126">
        <f t="shared" si="251"/>
        <v>23.3892</v>
      </c>
      <c r="AD1265" s="125"/>
      <c r="AE1265" s="125">
        <f t="shared" si="235"/>
        <v>30000</v>
      </c>
      <c r="AF1265" s="127" t="s">
        <v>14089</v>
      </c>
      <c r="AG1265" s="127">
        <v>63.9584026593868</v>
      </c>
      <c r="AH1265" s="127">
        <v>10.2498867944869</v>
      </c>
      <c r="AI1265" s="115" t="s">
        <v>12383</v>
      </c>
      <c r="AJ1265" s="116">
        <v>0.5</v>
      </c>
      <c r="AK1265" s="117"/>
      <c r="AL1265" s="117"/>
      <c r="AM1265" s="117"/>
      <c r="AN1265" s="117"/>
      <c r="AO1265" s="117"/>
    </row>
    <row r="1266" ht="34.5" customHeight="1">
      <c r="A1266" s="111">
        <v>1868.0</v>
      </c>
      <c r="B1266" s="111" t="s">
        <v>9270</v>
      </c>
      <c r="C1266" s="111" t="s">
        <v>7971</v>
      </c>
      <c r="D1266" s="111">
        <v>2026.0</v>
      </c>
      <c r="E1266" s="111"/>
      <c r="F1266" s="111" t="s">
        <v>12399</v>
      </c>
      <c r="G1266" s="111" t="s">
        <v>12381</v>
      </c>
      <c r="H1266" s="111" t="s">
        <v>12230</v>
      </c>
      <c r="I1266" s="111" t="s">
        <v>12394</v>
      </c>
      <c r="J1266" s="111" t="s">
        <v>12296</v>
      </c>
      <c r="K1266" s="111" t="s">
        <v>30</v>
      </c>
      <c r="L1266" s="111"/>
      <c r="M1266" s="111"/>
      <c r="N1266" s="111"/>
      <c r="O1266" s="111"/>
      <c r="P1266" s="111"/>
      <c r="Q1266" s="111"/>
      <c r="R1266" s="111"/>
      <c r="S1266" s="111"/>
      <c r="T1266" s="111"/>
      <c r="U1266" s="111"/>
      <c r="V1266" s="111"/>
      <c r="W1266" s="111"/>
      <c r="X1266" s="111"/>
      <c r="Y1266" s="111"/>
      <c r="Z1266" s="111" t="s">
        <v>12589</v>
      </c>
      <c r="AA1266" s="124">
        <v>20.0</v>
      </c>
      <c r="AB1266" s="125">
        <f>IF(Projects!$AI1266="Electrolysis",
AA1266/VLOOKUP(G1266,ElectrolysisConvF,3,FALSE),
AC1266*10^6/(H2dens*HoursInYear))</f>
        <v>4444.444444</v>
      </c>
      <c r="AC1266" s="126">
        <f t="shared" si="251"/>
        <v>3.465066667</v>
      </c>
      <c r="AD1266" s="125"/>
      <c r="AE1266" s="125">
        <f t="shared" si="235"/>
        <v>4444.444444</v>
      </c>
      <c r="AF1266" s="127" t="s">
        <v>14089</v>
      </c>
      <c r="AG1266" s="127">
        <v>63.4129054408211</v>
      </c>
      <c r="AH1266" s="127">
        <v>11.7405458508579</v>
      </c>
      <c r="AI1266" s="115" t="s">
        <v>12383</v>
      </c>
      <c r="AJ1266" s="116">
        <v>0.5</v>
      </c>
      <c r="AK1266" s="117"/>
      <c r="AL1266" s="117"/>
      <c r="AM1266" s="117"/>
      <c r="AN1266" s="117"/>
      <c r="AO1266" s="117"/>
    </row>
    <row r="1267" ht="34.5" customHeight="1">
      <c r="A1267" s="111">
        <v>1869.0</v>
      </c>
      <c r="B1267" s="111" t="s">
        <v>9271</v>
      </c>
      <c r="C1267" s="111" t="s">
        <v>8003</v>
      </c>
      <c r="D1267" s="111">
        <v>2024.0</v>
      </c>
      <c r="E1267" s="111"/>
      <c r="F1267" s="111" t="s">
        <v>12393</v>
      </c>
      <c r="G1267" s="111" t="s">
        <v>12381</v>
      </c>
      <c r="H1267" s="111" t="s">
        <v>12230</v>
      </c>
      <c r="I1267" s="111" t="s">
        <v>12406</v>
      </c>
      <c r="J1267" s="111"/>
      <c r="K1267" s="111" t="s">
        <v>30</v>
      </c>
      <c r="L1267" s="111"/>
      <c r="M1267" s="111"/>
      <c r="N1267" s="111"/>
      <c r="O1267" s="111"/>
      <c r="P1267" s="111"/>
      <c r="Q1267" s="111">
        <v>1.0</v>
      </c>
      <c r="R1267" s="111"/>
      <c r="S1267" s="111"/>
      <c r="T1267" s="111"/>
      <c r="U1267" s="111"/>
      <c r="V1267" s="111"/>
      <c r="W1267" s="111"/>
      <c r="X1267" s="111"/>
      <c r="Y1267" s="111"/>
      <c r="Z1267" s="111" t="s">
        <v>13752</v>
      </c>
      <c r="AA1267" s="126">
        <f>IF(Projects!$AI1267="Electrolysis",
AB1267*VLOOKUP(G1267,ElectrolysisConvF,3,FALSE),
"")</f>
        <v>2.106741573</v>
      </c>
      <c r="AB1267" s="125">
        <f>AC1267/(H2dens*HoursInYear/10^6)</f>
        <v>468.164794</v>
      </c>
      <c r="AC1267" s="125">
        <f>1*0.365</f>
        <v>0.365</v>
      </c>
      <c r="AD1267" s="125"/>
      <c r="AE1267" s="125">
        <f t="shared" si="235"/>
        <v>468.164794</v>
      </c>
      <c r="AF1267" s="127" t="s">
        <v>14090</v>
      </c>
      <c r="AG1267" s="127">
        <v>49.2851320721781</v>
      </c>
      <c r="AH1267" s="127">
        <v>-122.960572709082</v>
      </c>
      <c r="AI1267" s="115" t="s">
        <v>12383</v>
      </c>
      <c r="AJ1267" s="116">
        <v>0.57</v>
      </c>
      <c r="AK1267" s="117"/>
      <c r="AL1267" s="117"/>
      <c r="AM1267" s="117"/>
      <c r="AN1267" s="117"/>
      <c r="AO1267" s="117"/>
    </row>
    <row r="1268" ht="34.5" customHeight="1">
      <c r="A1268" s="111">
        <v>1870.0</v>
      </c>
      <c r="B1268" s="111" t="s">
        <v>9272</v>
      </c>
      <c r="C1268" s="111" t="s">
        <v>8021</v>
      </c>
      <c r="D1268" s="111">
        <v>2025.0</v>
      </c>
      <c r="E1268" s="111"/>
      <c r="F1268" s="111" t="s">
        <v>12399</v>
      </c>
      <c r="G1268" s="111" t="s">
        <v>12381</v>
      </c>
      <c r="H1268" s="111" t="s">
        <v>12230</v>
      </c>
      <c r="I1268" s="111" t="s">
        <v>12406</v>
      </c>
      <c r="J1268" s="111"/>
      <c r="K1268" s="111" t="s">
        <v>30</v>
      </c>
      <c r="L1268" s="111"/>
      <c r="M1268" s="111"/>
      <c r="N1268" s="111"/>
      <c r="O1268" s="111"/>
      <c r="P1268" s="111"/>
      <c r="Q1268" s="111">
        <v>1.0</v>
      </c>
      <c r="R1268" s="111"/>
      <c r="S1268" s="111"/>
      <c r="T1268" s="111"/>
      <c r="U1268" s="111"/>
      <c r="V1268" s="111"/>
      <c r="W1268" s="111"/>
      <c r="X1268" s="111"/>
      <c r="Y1268" s="111"/>
      <c r="Z1268" s="111" t="s">
        <v>12720</v>
      </c>
      <c r="AA1268" s="124">
        <v>2.0</v>
      </c>
      <c r="AB1268" s="125">
        <f>IF(Projects!$AI1268="Electrolysis",
AA1268/VLOOKUP(G1268,ElectrolysisConvF,3,FALSE),
AC1268*10^6/(H2dens*HoursInYear))</f>
        <v>444.4444444</v>
      </c>
      <c r="AC1268" s="126">
        <f t="shared" ref="AC1268:AC1274" si="252">AB1268*H2dens*HoursInYear/10^6</f>
        <v>0.3465066667</v>
      </c>
      <c r="AD1268" s="125"/>
      <c r="AE1268" s="125">
        <f t="shared" si="235"/>
        <v>444.4444444</v>
      </c>
      <c r="AF1268" s="127" t="s">
        <v>14091</v>
      </c>
      <c r="AG1268" s="127">
        <v>-27.3965337236573</v>
      </c>
      <c r="AH1268" s="127">
        <v>153.174766720348</v>
      </c>
      <c r="AI1268" s="115" t="s">
        <v>12383</v>
      </c>
      <c r="AJ1268" s="116">
        <v>0.57</v>
      </c>
      <c r="AK1268" s="117"/>
      <c r="AL1268" s="117"/>
      <c r="AM1268" s="117"/>
      <c r="AN1268" s="117"/>
      <c r="AO1268" s="117"/>
    </row>
    <row r="1269" ht="34.5" customHeight="1">
      <c r="A1269" s="111">
        <v>1871.0</v>
      </c>
      <c r="B1269" s="111" t="s">
        <v>9273</v>
      </c>
      <c r="C1269" s="111" t="s">
        <v>7971</v>
      </c>
      <c r="D1269" s="111">
        <v>2024.0</v>
      </c>
      <c r="E1269" s="111"/>
      <c r="F1269" s="111" t="s">
        <v>12393</v>
      </c>
      <c r="G1269" s="111" t="s">
        <v>12226</v>
      </c>
      <c r="H1269" s="111"/>
      <c r="I1269" s="111" t="s">
        <v>12394</v>
      </c>
      <c r="J1269" s="111" t="s">
        <v>12294</v>
      </c>
      <c r="K1269" s="111" t="s">
        <v>30</v>
      </c>
      <c r="L1269" s="111"/>
      <c r="M1269" s="111"/>
      <c r="N1269" s="111"/>
      <c r="O1269" s="111"/>
      <c r="P1269" s="111"/>
      <c r="Q1269" s="111">
        <v>1.0</v>
      </c>
      <c r="R1269" s="111"/>
      <c r="S1269" s="111"/>
      <c r="T1269" s="111"/>
      <c r="U1269" s="111"/>
      <c r="V1269" s="111"/>
      <c r="W1269" s="111"/>
      <c r="X1269" s="111"/>
      <c r="Y1269" s="111"/>
      <c r="Z1269" s="111" t="s">
        <v>12752</v>
      </c>
      <c r="AA1269" s="124">
        <v>3.0</v>
      </c>
      <c r="AB1269" s="125">
        <f>IF(Projects!$AI1269="Electrolysis",
AA1269/VLOOKUP(G1269,ElectrolysisConvF,3,FALSE),
AC1269*10^6/(H2dens*HoursInYear))</f>
        <v>576.9230769</v>
      </c>
      <c r="AC1269" s="126">
        <f t="shared" si="252"/>
        <v>0.4497923077</v>
      </c>
      <c r="AD1269" s="125"/>
      <c r="AE1269" s="125">
        <f t="shared" si="235"/>
        <v>576.9230769</v>
      </c>
      <c r="AF1269" s="127" t="s">
        <v>14092</v>
      </c>
      <c r="AG1269" s="127">
        <v>62.0872983074515</v>
      </c>
      <c r="AH1269" s="127">
        <v>6.88101689767784</v>
      </c>
      <c r="AI1269" s="115" t="s">
        <v>12383</v>
      </c>
      <c r="AJ1269" s="116">
        <v>0.8</v>
      </c>
      <c r="AK1269" s="117"/>
      <c r="AL1269" s="117"/>
      <c r="AM1269" s="117"/>
      <c r="AN1269" s="117"/>
      <c r="AO1269" s="117"/>
    </row>
    <row r="1270" ht="34.5" customHeight="1">
      <c r="A1270" s="111">
        <v>1873.0</v>
      </c>
      <c r="B1270" s="111" t="s">
        <v>9274</v>
      </c>
      <c r="C1270" s="111" t="s">
        <v>7977</v>
      </c>
      <c r="D1270" s="111">
        <v>2024.0</v>
      </c>
      <c r="E1270" s="111"/>
      <c r="F1270" s="111" t="s">
        <v>12393</v>
      </c>
      <c r="G1270" s="111" t="s">
        <v>12226</v>
      </c>
      <c r="H1270" s="111"/>
      <c r="I1270" s="111" t="s">
        <v>12394</v>
      </c>
      <c r="J1270" s="111" t="s">
        <v>12291</v>
      </c>
      <c r="K1270" s="111" t="s">
        <v>30</v>
      </c>
      <c r="L1270" s="111"/>
      <c r="M1270" s="111"/>
      <c r="N1270" s="111"/>
      <c r="O1270" s="111"/>
      <c r="P1270" s="111">
        <v>1.0</v>
      </c>
      <c r="Q1270" s="111">
        <v>1.0</v>
      </c>
      <c r="R1270" s="111"/>
      <c r="S1270" s="111">
        <v>1.0</v>
      </c>
      <c r="T1270" s="111"/>
      <c r="U1270" s="111"/>
      <c r="V1270" s="111"/>
      <c r="W1270" s="111"/>
      <c r="X1270" s="111"/>
      <c r="Y1270" s="111"/>
      <c r="Z1270" s="111" t="s">
        <v>12835</v>
      </c>
      <c r="AA1270" s="124">
        <v>5.0</v>
      </c>
      <c r="AB1270" s="125">
        <f>IF(Projects!$AI1270="Electrolysis",
AA1270/VLOOKUP(G1270,ElectrolysisConvF,3,FALSE),
AC1270*10^6/(H2dens*HoursInYear))</f>
        <v>961.5384615</v>
      </c>
      <c r="AC1270" s="126">
        <f t="shared" si="252"/>
        <v>0.7496538462</v>
      </c>
      <c r="AD1270" s="125"/>
      <c r="AE1270" s="125">
        <f t="shared" si="235"/>
        <v>961.5384615</v>
      </c>
      <c r="AF1270" s="127" t="s">
        <v>14093</v>
      </c>
      <c r="AG1270" s="127">
        <v>41.6181506379372</v>
      </c>
      <c r="AH1270" s="127">
        <v>-4.81302460795548</v>
      </c>
      <c r="AI1270" s="115" t="s">
        <v>12383</v>
      </c>
      <c r="AJ1270" s="116">
        <v>0.3</v>
      </c>
      <c r="AK1270" s="117"/>
      <c r="AL1270" s="117"/>
      <c r="AM1270" s="117"/>
      <c r="AN1270" s="117"/>
      <c r="AO1270" s="117"/>
    </row>
    <row r="1271" ht="34.5" customHeight="1">
      <c r="A1271" s="111">
        <v>1874.0</v>
      </c>
      <c r="B1271" s="111" t="s">
        <v>9275</v>
      </c>
      <c r="C1271" s="111" t="s">
        <v>7977</v>
      </c>
      <c r="D1271" s="111"/>
      <c r="E1271" s="111"/>
      <c r="F1271" s="111" t="s">
        <v>12397</v>
      </c>
      <c r="G1271" s="111" t="s">
        <v>12381</v>
      </c>
      <c r="H1271" s="111" t="s">
        <v>12230</v>
      </c>
      <c r="I1271" s="111" t="s">
        <v>12394</v>
      </c>
      <c r="J1271" s="111" t="s">
        <v>12291</v>
      </c>
      <c r="K1271" s="111" t="s">
        <v>30</v>
      </c>
      <c r="L1271" s="111"/>
      <c r="M1271" s="111"/>
      <c r="N1271" s="111"/>
      <c r="O1271" s="111"/>
      <c r="P1271" s="111"/>
      <c r="Q1271" s="111">
        <v>1.0</v>
      </c>
      <c r="R1271" s="111"/>
      <c r="S1271" s="111"/>
      <c r="T1271" s="111"/>
      <c r="U1271" s="111"/>
      <c r="V1271" s="111"/>
      <c r="W1271" s="111"/>
      <c r="X1271" s="111"/>
      <c r="Y1271" s="111"/>
      <c r="Z1271" s="111" t="s">
        <v>14094</v>
      </c>
      <c r="AA1271" s="124">
        <v>440.0</v>
      </c>
      <c r="AB1271" s="125">
        <f>IF(Projects!$AI1271="Electrolysis",
AA1271/VLOOKUP(G1271,ElectrolysisConvF,3,FALSE),
AC1271*10^6/(H2dens*HoursInYear))</f>
        <v>97777.77778</v>
      </c>
      <c r="AC1271" s="126">
        <f t="shared" si="252"/>
        <v>76.23146667</v>
      </c>
      <c r="AD1271" s="125"/>
      <c r="AE1271" s="125">
        <f t="shared" si="235"/>
        <v>97777.77778</v>
      </c>
      <c r="AF1271" s="127" t="s">
        <v>14095</v>
      </c>
      <c r="AG1271" s="127">
        <v>41.7712520374144</v>
      </c>
      <c r="AH1271" s="127">
        <v>-4.27240401874235</v>
      </c>
      <c r="AI1271" s="115" t="s">
        <v>12383</v>
      </c>
      <c r="AJ1271" s="116">
        <v>0.3</v>
      </c>
      <c r="AK1271" s="117"/>
      <c r="AL1271" s="117"/>
      <c r="AM1271" s="117"/>
      <c r="AN1271" s="117"/>
      <c r="AO1271" s="117"/>
    </row>
    <row r="1272" ht="34.5" customHeight="1">
      <c r="A1272" s="111">
        <v>1875.0</v>
      </c>
      <c r="B1272" s="111" t="s">
        <v>9276</v>
      </c>
      <c r="C1272" s="111" t="s">
        <v>8737</v>
      </c>
      <c r="D1272" s="111">
        <v>2027.0</v>
      </c>
      <c r="E1272" s="111"/>
      <c r="F1272" s="111" t="s">
        <v>12399</v>
      </c>
      <c r="G1272" s="111" t="s">
        <v>12226</v>
      </c>
      <c r="H1272" s="111"/>
      <c r="I1272" s="111" t="s">
        <v>12394</v>
      </c>
      <c r="J1272" s="111" t="s">
        <v>12296</v>
      </c>
      <c r="K1272" s="111" t="s">
        <v>30</v>
      </c>
      <c r="L1272" s="111">
        <v>1.0</v>
      </c>
      <c r="M1272" s="111"/>
      <c r="N1272" s="111">
        <v>1.0</v>
      </c>
      <c r="O1272" s="111"/>
      <c r="P1272" s="111"/>
      <c r="Q1272" s="111"/>
      <c r="R1272" s="111"/>
      <c r="S1272" s="111"/>
      <c r="T1272" s="111"/>
      <c r="U1272" s="111"/>
      <c r="V1272" s="111"/>
      <c r="W1272" s="111"/>
      <c r="X1272" s="111"/>
      <c r="Y1272" s="111"/>
      <c r="Z1272" s="111" t="s">
        <v>14096</v>
      </c>
      <c r="AA1272" s="124">
        <v>60.0</v>
      </c>
      <c r="AB1272" s="125">
        <f>IF(Projects!$AI1272="Electrolysis",
AA1272/VLOOKUP(G1272,ElectrolysisConvF,3,FALSE),
AC1272*10^6/(H2dens*HoursInYear))</f>
        <v>11538.46154</v>
      </c>
      <c r="AC1272" s="126">
        <f t="shared" si="252"/>
        <v>8.995846154</v>
      </c>
      <c r="AD1272" s="125"/>
      <c r="AE1272" s="125">
        <f t="shared" si="235"/>
        <v>11538.46154</v>
      </c>
      <c r="AF1272" s="127" t="s">
        <v>14097</v>
      </c>
      <c r="AG1272" s="127">
        <v>10.3377980128273</v>
      </c>
      <c r="AH1272" s="127">
        <v>-75.4961297814963</v>
      </c>
      <c r="AI1272" s="115" t="s">
        <v>12383</v>
      </c>
      <c r="AJ1272" s="116">
        <v>0.5</v>
      </c>
      <c r="AK1272" s="117"/>
      <c r="AL1272" s="117"/>
      <c r="AM1272" s="117"/>
      <c r="AN1272" s="117"/>
      <c r="AO1272" s="117"/>
    </row>
    <row r="1273" ht="34.5" customHeight="1">
      <c r="A1273" s="111">
        <v>1876.0</v>
      </c>
      <c r="B1273" s="111" t="s">
        <v>9277</v>
      </c>
      <c r="C1273" s="111" t="s">
        <v>8737</v>
      </c>
      <c r="D1273" s="111">
        <v>2027.0</v>
      </c>
      <c r="E1273" s="111"/>
      <c r="F1273" s="111" t="s">
        <v>12399</v>
      </c>
      <c r="G1273" s="111" t="s">
        <v>12226</v>
      </c>
      <c r="H1273" s="111"/>
      <c r="I1273" s="111" t="s">
        <v>12394</v>
      </c>
      <c r="J1273" s="111" t="s">
        <v>12296</v>
      </c>
      <c r="K1273" s="111" t="s">
        <v>30</v>
      </c>
      <c r="L1273" s="111">
        <v>1.0</v>
      </c>
      <c r="M1273" s="111"/>
      <c r="N1273" s="111">
        <v>1.0</v>
      </c>
      <c r="O1273" s="111"/>
      <c r="P1273" s="111"/>
      <c r="Q1273" s="111"/>
      <c r="R1273" s="111"/>
      <c r="S1273" s="111"/>
      <c r="T1273" s="111"/>
      <c r="U1273" s="111"/>
      <c r="V1273" s="111"/>
      <c r="W1273" s="111"/>
      <c r="X1273" s="111"/>
      <c r="Y1273" s="111"/>
      <c r="Z1273" s="111" t="s">
        <v>13066</v>
      </c>
      <c r="AA1273" s="124">
        <v>60.0</v>
      </c>
      <c r="AB1273" s="125">
        <f>IF(Projects!$AI1273="Electrolysis",
AA1273/VLOOKUP(G1273,ElectrolysisConvF,3,FALSE),
AC1273*10^6/(H2dens*HoursInYear))</f>
        <v>11538.46154</v>
      </c>
      <c r="AC1273" s="126">
        <f t="shared" si="252"/>
        <v>8.995846154</v>
      </c>
      <c r="AD1273" s="125"/>
      <c r="AE1273" s="125">
        <f t="shared" si="235"/>
        <v>11538.46154</v>
      </c>
      <c r="AF1273" s="127" t="s">
        <v>14097</v>
      </c>
      <c r="AG1273" s="127">
        <v>7.07043129541693</v>
      </c>
      <c r="AH1273" s="127">
        <v>-73.8819805124896</v>
      </c>
      <c r="AI1273" s="115" t="s">
        <v>12383</v>
      </c>
      <c r="AJ1273" s="116">
        <v>0.5</v>
      </c>
      <c r="AK1273" s="117"/>
      <c r="AL1273" s="117"/>
      <c r="AM1273" s="117"/>
      <c r="AN1273" s="117"/>
      <c r="AO1273" s="117"/>
    </row>
    <row r="1274" ht="34.5" customHeight="1">
      <c r="A1274" s="111">
        <v>1877.0</v>
      </c>
      <c r="B1274" s="111" t="s">
        <v>9278</v>
      </c>
      <c r="C1274" s="111" t="s">
        <v>8161</v>
      </c>
      <c r="D1274" s="111">
        <v>2025.0</v>
      </c>
      <c r="E1274" s="111"/>
      <c r="F1274" s="111" t="s">
        <v>12393</v>
      </c>
      <c r="G1274" s="111" t="s">
        <v>12226</v>
      </c>
      <c r="H1274" s="111"/>
      <c r="I1274" s="111" t="s">
        <v>12759</v>
      </c>
      <c r="J1274" s="111"/>
      <c r="K1274" s="111" t="s">
        <v>30</v>
      </c>
      <c r="L1274" s="111">
        <v>1.0</v>
      </c>
      <c r="M1274" s="111"/>
      <c r="N1274" s="111"/>
      <c r="O1274" s="111"/>
      <c r="P1274" s="111"/>
      <c r="Q1274" s="111"/>
      <c r="R1274" s="111"/>
      <c r="S1274" s="111"/>
      <c r="T1274" s="111"/>
      <c r="U1274" s="111"/>
      <c r="V1274" s="111"/>
      <c r="W1274" s="111"/>
      <c r="X1274" s="111"/>
      <c r="Y1274" s="111"/>
      <c r="Z1274" s="111" t="s">
        <v>12709</v>
      </c>
      <c r="AA1274" s="124">
        <v>100.0</v>
      </c>
      <c r="AB1274" s="125">
        <f>IF(Projects!$AI1274="Electrolysis",
AA1274/VLOOKUP(G1274,ElectrolysisConvF,3,FALSE),
AC1274*10^6/(H2dens*HoursInYear))</f>
        <v>19230.76923</v>
      </c>
      <c r="AC1274" s="126">
        <f t="shared" si="252"/>
        <v>14.99307692</v>
      </c>
      <c r="AD1274" s="125"/>
      <c r="AE1274" s="125">
        <f t="shared" si="235"/>
        <v>19230.76923</v>
      </c>
      <c r="AF1274" s="127" t="s">
        <v>14098</v>
      </c>
      <c r="AG1274" s="127">
        <v>37.9640325151618</v>
      </c>
      <c r="AH1274" s="127">
        <v>-8.81015788759686</v>
      </c>
      <c r="AI1274" s="115" t="s">
        <v>12383</v>
      </c>
      <c r="AJ1274" s="116">
        <v>0.7</v>
      </c>
      <c r="AK1274" s="117"/>
      <c r="AL1274" s="117"/>
      <c r="AM1274" s="117"/>
      <c r="AN1274" s="117"/>
      <c r="AO1274" s="117"/>
    </row>
    <row r="1275" ht="34.5" customHeight="1">
      <c r="A1275" s="111">
        <v>1878.0</v>
      </c>
      <c r="B1275" s="111" t="s">
        <v>9279</v>
      </c>
      <c r="C1275" s="111" t="s">
        <v>7994</v>
      </c>
      <c r="D1275" s="111">
        <v>2030.0</v>
      </c>
      <c r="E1275" s="111"/>
      <c r="F1275" s="111" t="s">
        <v>12397</v>
      </c>
      <c r="G1275" s="111" t="s">
        <v>12381</v>
      </c>
      <c r="H1275" s="111" t="s">
        <v>12230</v>
      </c>
      <c r="I1275" s="111" t="s">
        <v>12394</v>
      </c>
      <c r="J1275" s="111" t="s">
        <v>12293</v>
      </c>
      <c r="K1275" s="111" t="s">
        <v>30</v>
      </c>
      <c r="L1275" s="111"/>
      <c r="M1275" s="111"/>
      <c r="N1275" s="111"/>
      <c r="O1275" s="111"/>
      <c r="P1275" s="111"/>
      <c r="Q1275" s="111"/>
      <c r="R1275" s="111"/>
      <c r="S1275" s="111"/>
      <c r="T1275" s="111"/>
      <c r="U1275" s="111"/>
      <c r="V1275" s="111"/>
      <c r="W1275" s="111"/>
      <c r="X1275" s="111"/>
      <c r="Y1275" s="111"/>
      <c r="Z1275" s="111" t="s">
        <v>14099</v>
      </c>
      <c r="AA1275" s="126">
        <f>IF(Projects!$AI1275="Electrolysis",
AB1275*VLOOKUP(G1275,ElectrolysisConvF,3,FALSE),
"")</f>
        <v>10494.35404</v>
      </c>
      <c r="AB1275" s="125">
        <f>AC1275/(H2dens*HoursInYear/10^6)</f>
        <v>2332078.675</v>
      </c>
      <c r="AC1275" s="125">
        <f>1000/Projects!$AJ1275</f>
        <v>1818.181818</v>
      </c>
      <c r="AD1275" s="125"/>
      <c r="AE1275" s="125">
        <f t="shared" si="235"/>
        <v>2332078.675</v>
      </c>
      <c r="AF1275" s="127" t="s">
        <v>14100</v>
      </c>
      <c r="AG1275" s="127">
        <v>55.2356237104273</v>
      </c>
      <c r="AH1275" s="127">
        <v>3.03714641627014</v>
      </c>
      <c r="AI1275" s="115" t="s">
        <v>12383</v>
      </c>
      <c r="AJ1275" s="116">
        <v>0.55</v>
      </c>
      <c r="AK1275" s="117"/>
      <c r="AL1275" s="117"/>
      <c r="AM1275" s="117"/>
      <c r="AN1275" s="117"/>
      <c r="AO1275" s="117"/>
    </row>
    <row r="1276" ht="34.5" customHeight="1">
      <c r="A1276" s="111">
        <v>1879.0</v>
      </c>
      <c r="B1276" s="111" t="s">
        <v>9280</v>
      </c>
      <c r="C1276" s="111" t="s">
        <v>8021</v>
      </c>
      <c r="D1276" s="111"/>
      <c r="E1276" s="111"/>
      <c r="F1276" s="111" t="s">
        <v>12418</v>
      </c>
      <c r="G1276" s="111" t="s">
        <v>12239</v>
      </c>
      <c r="H1276" s="111"/>
      <c r="I1276" s="111"/>
      <c r="J1276" s="111"/>
      <c r="K1276" s="111" t="s">
        <v>30</v>
      </c>
      <c r="L1276" s="111"/>
      <c r="M1276" s="111"/>
      <c r="N1276" s="111"/>
      <c r="O1276" s="111"/>
      <c r="P1276" s="111"/>
      <c r="Q1276" s="111"/>
      <c r="R1276" s="111"/>
      <c r="S1276" s="111"/>
      <c r="T1276" s="111"/>
      <c r="U1276" s="111"/>
      <c r="V1276" s="111"/>
      <c r="W1276" s="111"/>
      <c r="X1276" s="111"/>
      <c r="Y1276" s="111"/>
      <c r="Z1276" s="111"/>
      <c r="AA1276" s="124" t="str">
        <f>IF(OR(G1276="ALK",G1276="PEM",G1276="SOEC",G1276="Other Electrolysis"),
AB1276*VLOOKUP(G1276,ElectrolysisConvF,3,FALSE),
"")</f>
        <v/>
      </c>
      <c r="AB1276" s="125"/>
      <c r="AC1276" s="125"/>
      <c r="AD1276" s="125"/>
      <c r="AE1276" s="125" t="str">
        <f t="shared" si="235"/>
        <v/>
      </c>
      <c r="AF1276" s="127" t="s">
        <v>14101</v>
      </c>
      <c r="AG1276" s="127">
        <v>-33.9115204505473</v>
      </c>
      <c r="AH1276" s="127">
        <v>151.233030969284</v>
      </c>
      <c r="AI1276" s="115" t="s">
        <v>12241</v>
      </c>
      <c r="AJ1276" s="116">
        <v>0.9</v>
      </c>
      <c r="AK1276" s="117"/>
      <c r="AL1276" s="117"/>
      <c r="AM1276" s="117"/>
      <c r="AN1276" s="117"/>
      <c r="AO1276" s="117"/>
    </row>
    <row r="1277" ht="34.5" customHeight="1">
      <c r="A1277" s="111">
        <v>1880.0</v>
      </c>
      <c r="B1277" s="111" t="s">
        <v>9281</v>
      </c>
      <c r="C1277" s="111" t="s">
        <v>7981</v>
      </c>
      <c r="D1277" s="111"/>
      <c r="E1277" s="111"/>
      <c r="F1277" s="111" t="s">
        <v>12397</v>
      </c>
      <c r="G1277" s="111" t="s">
        <v>12381</v>
      </c>
      <c r="H1277" s="111" t="s">
        <v>12230</v>
      </c>
      <c r="I1277" s="111" t="s">
        <v>12394</v>
      </c>
      <c r="J1277" s="111" t="s">
        <v>12296</v>
      </c>
      <c r="K1277" s="111" t="s">
        <v>30</v>
      </c>
      <c r="L1277" s="111"/>
      <c r="M1277" s="111"/>
      <c r="N1277" s="111"/>
      <c r="O1277" s="111"/>
      <c r="P1277" s="111"/>
      <c r="Q1277" s="111"/>
      <c r="R1277" s="111"/>
      <c r="S1277" s="111"/>
      <c r="T1277" s="111"/>
      <c r="U1277" s="111"/>
      <c r="V1277" s="111"/>
      <c r="W1277" s="111"/>
      <c r="X1277" s="111"/>
      <c r="Y1277" s="111"/>
      <c r="Z1277" s="111"/>
      <c r="AA1277" s="124">
        <f>IF(OR(G1277="ALK",G1277="PEM",G1277="SOEC",G1277="Other Electrolysis"),
AB1277*VLOOKUP(G1277,ElectrolysisConvF,3,FALSE),
"")</f>
        <v>0</v>
      </c>
      <c r="AB1277" s="125"/>
      <c r="AC1277" s="125"/>
      <c r="AD1277" s="125"/>
      <c r="AE1277" s="125" t="str">
        <f t="shared" si="235"/>
        <v/>
      </c>
      <c r="AF1277" s="127" t="s">
        <v>14102</v>
      </c>
      <c r="AG1277" s="127">
        <v>46.7558672315456</v>
      </c>
      <c r="AH1277" s="127">
        <v>-122.85943031591</v>
      </c>
      <c r="AI1277" s="115" t="s">
        <v>12383</v>
      </c>
      <c r="AJ1277" s="116">
        <v>0.5</v>
      </c>
      <c r="AK1277" s="117"/>
      <c r="AL1277" s="117"/>
      <c r="AM1277" s="117"/>
      <c r="AN1277" s="117"/>
      <c r="AO1277" s="117"/>
    </row>
    <row r="1278" ht="34.5" customHeight="1">
      <c r="A1278" s="111">
        <v>1881.0</v>
      </c>
      <c r="B1278" s="111" t="s">
        <v>9282</v>
      </c>
      <c r="C1278" s="111" t="s">
        <v>8161</v>
      </c>
      <c r="D1278" s="111">
        <v>2028.0</v>
      </c>
      <c r="E1278" s="111"/>
      <c r="F1278" s="111" t="s">
        <v>12399</v>
      </c>
      <c r="G1278" s="111" t="s">
        <v>12224</v>
      </c>
      <c r="H1278" s="111"/>
      <c r="I1278" s="111" t="s">
        <v>12759</v>
      </c>
      <c r="J1278" s="111" t="s">
        <v>12291</v>
      </c>
      <c r="K1278" s="111" t="s">
        <v>174</v>
      </c>
      <c r="L1278" s="111"/>
      <c r="M1278" s="111">
        <v>1.0</v>
      </c>
      <c r="N1278" s="111"/>
      <c r="O1278" s="111"/>
      <c r="P1278" s="111"/>
      <c r="Q1278" s="111"/>
      <c r="R1278" s="111"/>
      <c r="S1278" s="111"/>
      <c r="T1278" s="111"/>
      <c r="U1278" s="111"/>
      <c r="V1278" s="111"/>
      <c r="W1278" s="111"/>
      <c r="X1278" s="111"/>
      <c r="Y1278" s="111"/>
      <c r="Z1278" s="111" t="s">
        <v>13069</v>
      </c>
      <c r="AA1278" s="124">
        <v>500.0</v>
      </c>
      <c r="AB1278" s="125">
        <f>IF(Projects!$AI1278="Electrolysis",
AA1278/VLOOKUP(G1278,ElectrolysisConvF,3,FALSE),
AC1278*10^6/(H2dens*HoursInYear))</f>
        <v>108695.6522</v>
      </c>
      <c r="AC1278" s="126">
        <f t="shared" ref="AC1278:AC1290" si="253">AB1278*H2dens*HoursInYear/10^6</f>
        <v>84.74347826</v>
      </c>
      <c r="AD1278" s="125"/>
      <c r="AE1278" s="125">
        <f t="shared" si="235"/>
        <v>108695.6522</v>
      </c>
      <c r="AF1278" s="127" t="s">
        <v>14103</v>
      </c>
      <c r="AG1278" s="127">
        <v>37.9588935688728</v>
      </c>
      <c r="AH1278" s="127">
        <v>-8.86007328888969</v>
      </c>
      <c r="AI1278" s="115" t="s">
        <v>12383</v>
      </c>
      <c r="AJ1278" s="116">
        <v>0.7</v>
      </c>
      <c r="AK1278" s="117"/>
      <c r="AL1278" s="117"/>
      <c r="AM1278" s="117"/>
      <c r="AN1278" s="117"/>
      <c r="AO1278" s="117"/>
    </row>
    <row r="1279" ht="34.5" customHeight="1">
      <c r="A1279" s="111">
        <v>1883.0</v>
      </c>
      <c r="B1279" s="111" t="s">
        <v>9283</v>
      </c>
      <c r="C1279" s="111" t="s">
        <v>9084</v>
      </c>
      <c r="D1279" s="111"/>
      <c r="E1279" s="111"/>
      <c r="F1279" s="111" t="s">
        <v>12397</v>
      </c>
      <c r="G1279" s="111" t="s">
        <v>12381</v>
      </c>
      <c r="H1279" s="111" t="s">
        <v>12230</v>
      </c>
      <c r="I1279" s="111" t="s">
        <v>12394</v>
      </c>
      <c r="J1279" s="111" t="s">
        <v>12292</v>
      </c>
      <c r="K1279" s="111" t="s">
        <v>30</v>
      </c>
      <c r="L1279" s="111"/>
      <c r="M1279" s="111"/>
      <c r="N1279" s="111"/>
      <c r="O1279" s="111"/>
      <c r="P1279" s="111"/>
      <c r="Q1279" s="111"/>
      <c r="R1279" s="111"/>
      <c r="S1279" s="111"/>
      <c r="T1279" s="111"/>
      <c r="U1279" s="111"/>
      <c r="V1279" s="111"/>
      <c r="W1279" s="111"/>
      <c r="X1279" s="111"/>
      <c r="Y1279" s="111"/>
      <c r="Z1279" s="111" t="s">
        <v>13069</v>
      </c>
      <c r="AA1279" s="124">
        <v>500.0</v>
      </c>
      <c r="AB1279" s="125">
        <f>IF(Projects!$AI1279="Electrolysis",
AA1279/VLOOKUP(G1279,ElectrolysisConvF,3,FALSE),
AC1279*10^6/(H2dens*HoursInYear))</f>
        <v>111111.1111</v>
      </c>
      <c r="AC1279" s="126">
        <f t="shared" si="253"/>
        <v>86.62666667</v>
      </c>
      <c r="AD1279" s="125"/>
      <c r="AE1279" s="125">
        <f t="shared" si="235"/>
        <v>111111.1111</v>
      </c>
      <c r="AF1279" s="127" t="s">
        <v>14104</v>
      </c>
      <c r="AG1279" s="127">
        <v>47.5265876274747</v>
      </c>
      <c r="AH1279" s="127">
        <v>35.099903433631</v>
      </c>
      <c r="AI1279" s="115" t="s">
        <v>12383</v>
      </c>
      <c r="AJ1279" s="116">
        <v>0.4</v>
      </c>
      <c r="AK1279" s="117"/>
      <c r="AL1279" s="117"/>
      <c r="AM1279" s="117"/>
      <c r="AN1279" s="117"/>
      <c r="AO1279" s="117"/>
    </row>
    <row r="1280" ht="34.5" customHeight="1">
      <c r="A1280" s="111">
        <v>1884.0</v>
      </c>
      <c r="B1280" s="111" t="s">
        <v>9284</v>
      </c>
      <c r="C1280" s="111" t="s">
        <v>9084</v>
      </c>
      <c r="D1280" s="111"/>
      <c r="E1280" s="111"/>
      <c r="F1280" s="111" t="s">
        <v>12397</v>
      </c>
      <c r="G1280" s="111" t="s">
        <v>12381</v>
      </c>
      <c r="H1280" s="111" t="s">
        <v>12230</v>
      </c>
      <c r="I1280" s="111" t="s">
        <v>12394</v>
      </c>
      <c r="J1280" s="111" t="s">
        <v>12292</v>
      </c>
      <c r="K1280" s="111" t="s">
        <v>30</v>
      </c>
      <c r="L1280" s="111"/>
      <c r="M1280" s="111"/>
      <c r="N1280" s="111"/>
      <c r="O1280" s="111"/>
      <c r="P1280" s="111"/>
      <c r="Q1280" s="111"/>
      <c r="R1280" s="111"/>
      <c r="S1280" s="111"/>
      <c r="T1280" s="111"/>
      <c r="U1280" s="111"/>
      <c r="V1280" s="111"/>
      <c r="W1280" s="111"/>
      <c r="X1280" s="111"/>
      <c r="Y1280" s="111"/>
      <c r="Z1280" s="111" t="s">
        <v>14105</v>
      </c>
      <c r="AA1280" s="124">
        <v>1200.0</v>
      </c>
      <c r="AB1280" s="125">
        <f>IF(Projects!$AI1280="Electrolysis",
AA1280/VLOOKUP(G1280,ElectrolysisConvF,3,FALSE),
AC1280*10^6/(H2dens*HoursInYear))</f>
        <v>266666.6667</v>
      </c>
      <c r="AC1280" s="126">
        <f t="shared" si="253"/>
        <v>207.904</v>
      </c>
      <c r="AD1280" s="125"/>
      <c r="AE1280" s="125">
        <f t="shared" si="235"/>
        <v>266666.6667</v>
      </c>
      <c r="AF1280" s="127" t="s">
        <v>14104</v>
      </c>
      <c r="AG1280" s="127">
        <v>47.5265876274747</v>
      </c>
      <c r="AH1280" s="127">
        <v>35.099903433631</v>
      </c>
      <c r="AI1280" s="115" t="s">
        <v>12383</v>
      </c>
      <c r="AJ1280" s="116">
        <v>0.4</v>
      </c>
      <c r="AK1280" s="117"/>
      <c r="AL1280" s="117"/>
      <c r="AM1280" s="117"/>
      <c r="AN1280" s="117"/>
      <c r="AO1280" s="117"/>
    </row>
    <row r="1281" ht="34.5" customHeight="1">
      <c r="A1281" s="111">
        <v>1885.0</v>
      </c>
      <c r="B1281" s="111" t="s">
        <v>9285</v>
      </c>
      <c r="C1281" s="111" t="s">
        <v>9084</v>
      </c>
      <c r="D1281" s="111"/>
      <c r="E1281" s="111"/>
      <c r="F1281" s="111" t="s">
        <v>12397</v>
      </c>
      <c r="G1281" s="111" t="s">
        <v>12381</v>
      </c>
      <c r="H1281" s="111" t="s">
        <v>12230</v>
      </c>
      <c r="I1281" s="111" t="s">
        <v>12394</v>
      </c>
      <c r="J1281" s="111" t="s">
        <v>12292</v>
      </c>
      <c r="K1281" s="111" t="s">
        <v>30</v>
      </c>
      <c r="L1281" s="111"/>
      <c r="M1281" s="111"/>
      <c r="N1281" s="111"/>
      <c r="O1281" s="111"/>
      <c r="P1281" s="111"/>
      <c r="Q1281" s="111"/>
      <c r="R1281" s="111"/>
      <c r="S1281" s="111"/>
      <c r="T1281" s="111"/>
      <c r="U1281" s="111"/>
      <c r="V1281" s="111"/>
      <c r="W1281" s="111"/>
      <c r="X1281" s="111"/>
      <c r="Y1281" s="111"/>
      <c r="Z1281" s="111" t="s">
        <v>13147</v>
      </c>
      <c r="AA1281" s="124">
        <v>1300.0</v>
      </c>
      <c r="AB1281" s="125">
        <f>IF(Projects!$AI1281="Electrolysis",
AA1281/VLOOKUP(G1281,ElectrolysisConvF,3,FALSE),
AC1281*10^6/(H2dens*HoursInYear))</f>
        <v>288888.8889</v>
      </c>
      <c r="AC1281" s="126">
        <f t="shared" si="253"/>
        <v>225.2293333</v>
      </c>
      <c r="AD1281" s="125"/>
      <c r="AE1281" s="125">
        <f t="shared" si="235"/>
        <v>288888.8889</v>
      </c>
      <c r="AF1281" s="127" t="s">
        <v>14104</v>
      </c>
      <c r="AG1281" s="127">
        <v>47.5265876274747</v>
      </c>
      <c r="AH1281" s="127">
        <v>35.099903433631</v>
      </c>
      <c r="AI1281" s="115" t="s">
        <v>12383</v>
      </c>
      <c r="AJ1281" s="116">
        <v>0.4</v>
      </c>
      <c r="AK1281" s="117"/>
      <c r="AL1281" s="117"/>
      <c r="AM1281" s="117"/>
      <c r="AN1281" s="117"/>
      <c r="AO1281" s="117"/>
    </row>
    <row r="1282" ht="34.5" customHeight="1">
      <c r="A1282" s="111">
        <v>1886.0</v>
      </c>
      <c r="B1282" s="111" t="s">
        <v>9286</v>
      </c>
      <c r="C1282" s="111" t="s">
        <v>7987</v>
      </c>
      <c r="D1282" s="111">
        <v>2027.0</v>
      </c>
      <c r="E1282" s="111"/>
      <c r="F1282" s="111" t="s">
        <v>12399</v>
      </c>
      <c r="G1282" s="111" t="s">
        <v>12226</v>
      </c>
      <c r="H1282" s="111"/>
      <c r="I1282" s="111" t="s">
        <v>12406</v>
      </c>
      <c r="J1282" s="111" t="str">
        <f>IF(I1282&lt;&gt;"Dedicated renewable","N/A",)</f>
        <v>N/A</v>
      </c>
      <c r="K1282" s="111" t="s">
        <v>12251</v>
      </c>
      <c r="L1282" s="111"/>
      <c r="M1282" s="111"/>
      <c r="N1282" s="111"/>
      <c r="O1282" s="111"/>
      <c r="P1282" s="111"/>
      <c r="Q1282" s="111"/>
      <c r="R1282" s="111"/>
      <c r="S1282" s="111"/>
      <c r="T1282" s="111"/>
      <c r="U1282" s="111"/>
      <c r="V1282" s="111"/>
      <c r="W1282" s="111">
        <v>1.0</v>
      </c>
      <c r="X1282" s="111"/>
      <c r="Y1282" s="111"/>
      <c r="Z1282" s="111" t="s">
        <v>13758</v>
      </c>
      <c r="AA1282" s="124">
        <v>75.0</v>
      </c>
      <c r="AB1282" s="125">
        <f>IF(Projects!$AI1282="Electrolysis",
AA1282/VLOOKUP(G1282,ElectrolysisConvF,3,FALSE),
AC1282*10^6/(H2dens*HoursInYear))</f>
        <v>14423.07692</v>
      </c>
      <c r="AC1282" s="126">
        <f t="shared" si="253"/>
        <v>11.24480769</v>
      </c>
      <c r="AD1282" s="125"/>
      <c r="AE1282" s="125">
        <f t="shared" si="235"/>
        <v>14423.07692</v>
      </c>
      <c r="AF1282" s="127" t="s">
        <v>14106</v>
      </c>
      <c r="AG1282" s="127">
        <v>51.515782682635</v>
      </c>
      <c r="AH1282" s="127">
        <v>13.3481793824307</v>
      </c>
      <c r="AI1282" s="115" t="s">
        <v>12383</v>
      </c>
      <c r="AJ1282" s="116">
        <v>0.57</v>
      </c>
      <c r="AK1282" s="117"/>
      <c r="AL1282" s="117"/>
      <c r="AM1282" s="117"/>
      <c r="AN1282" s="117"/>
      <c r="AO1282" s="117"/>
    </row>
    <row r="1283" ht="34.5" customHeight="1">
      <c r="A1283" s="111">
        <v>1887.0</v>
      </c>
      <c r="B1283" s="111" t="s">
        <v>9287</v>
      </c>
      <c r="C1283" s="111" t="s">
        <v>7971</v>
      </c>
      <c r="D1283" s="111">
        <v>2028.0</v>
      </c>
      <c r="E1283" s="111"/>
      <c r="F1283" s="111" t="s">
        <v>12399</v>
      </c>
      <c r="G1283" s="111" t="s">
        <v>12381</v>
      </c>
      <c r="H1283" s="111" t="s">
        <v>12230</v>
      </c>
      <c r="I1283" s="111" t="s">
        <v>12394</v>
      </c>
      <c r="J1283" s="111" t="s">
        <v>12296</v>
      </c>
      <c r="K1283" s="111" t="s">
        <v>174</v>
      </c>
      <c r="L1283" s="111"/>
      <c r="M1283" s="111">
        <v>1.0</v>
      </c>
      <c r="N1283" s="111"/>
      <c r="O1283" s="111"/>
      <c r="P1283" s="111"/>
      <c r="Q1283" s="111"/>
      <c r="R1283" s="111"/>
      <c r="S1283" s="111"/>
      <c r="T1283" s="111"/>
      <c r="U1283" s="111"/>
      <c r="V1283" s="111"/>
      <c r="W1283" s="111"/>
      <c r="X1283" s="111"/>
      <c r="Y1283" s="111"/>
      <c r="Z1283" s="111" t="s">
        <v>12798</v>
      </c>
      <c r="AA1283" s="124">
        <v>250.0</v>
      </c>
      <c r="AB1283" s="125">
        <f>IF(Projects!$AI1283="Electrolysis",
AA1283/VLOOKUP(G1283,ElectrolysisConvF,3,FALSE),
AC1283*10^6/(H2dens*HoursInYear))</f>
        <v>55555.55556</v>
      </c>
      <c r="AC1283" s="126">
        <f t="shared" si="253"/>
        <v>43.31333333</v>
      </c>
      <c r="AD1283" s="125"/>
      <c r="AE1283" s="125">
        <f t="shared" si="235"/>
        <v>55555.55556</v>
      </c>
      <c r="AF1283" s="127" t="s">
        <v>14107</v>
      </c>
      <c r="AG1283" s="127">
        <v>59.6504815475961</v>
      </c>
      <c r="AH1283" s="127">
        <v>6.35389077438493</v>
      </c>
      <c r="AI1283" s="115" t="s">
        <v>12383</v>
      </c>
      <c r="AJ1283" s="116">
        <v>0.5</v>
      </c>
      <c r="AK1283" s="117"/>
      <c r="AL1283" s="117"/>
      <c r="AM1283" s="117"/>
      <c r="AN1283" s="117"/>
      <c r="AO1283" s="117"/>
    </row>
    <row r="1284" ht="34.5" customHeight="1">
      <c r="A1284" s="111">
        <v>1888.0</v>
      </c>
      <c r="B1284" s="111" t="s">
        <v>9288</v>
      </c>
      <c r="C1284" s="111" t="s">
        <v>8011</v>
      </c>
      <c r="D1284" s="111">
        <v>2025.0</v>
      </c>
      <c r="E1284" s="111"/>
      <c r="F1284" s="111" t="s">
        <v>12393</v>
      </c>
      <c r="G1284" s="111" t="s">
        <v>12226</v>
      </c>
      <c r="H1284" s="111"/>
      <c r="I1284" s="111" t="s">
        <v>12394</v>
      </c>
      <c r="J1284" s="111" t="s">
        <v>12291</v>
      </c>
      <c r="K1284" s="111" t="s">
        <v>30</v>
      </c>
      <c r="L1284" s="111"/>
      <c r="M1284" s="111"/>
      <c r="N1284" s="111"/>
      <c r="O1284" s="111"/>
      <c r="P1284" s="111"/>
      <c r="Q1284" s="111">
        <v>1.0</v>
      </c>
      <c r="R1284" s="111"/>
      <c r="S1284" s="111">
        <v>1.0</v>
      </c>
      <c r="T1284" s="111"/>
      <c r="U1284" s="111"/>
      <c r="V1284" s="111"/>
      <c r="W1284" s="111"/>
      <c r="X1284" s="111"/>
      <c r="Y1284" s="111"/>
      <c r="Z1284" s="111" t="s">
        <v>12802</v>
      </c>
      <c r="AA1284" s="124">
        <v>30.0</v>
      </c>
      <c r="AB1284" s="125">
        <f>IF(Projects!$AI1284="Electrolysis",
AA1284/VLOOKUP(G1284,ElectrolysisConvF,3,FALSE),
AC1284*10^6/(H2dens*HoursInYear))</f>
        <v>5769.230769</v>
      </c>
      <c r="AC1284" s="126">
        <f t="shared" si="253"/>
        <v>4.497923077</v>
      </c>
      <c r="AD1284" s="125"/>
      <c r="AE1284" s="125">
        <f t="shared" si="235"/>
        <v>5769.230769</v>
      </c>
      <c r="AF1284" s="127" t="s">
        <v>14107</v>
      </c>
      <c r="AG1284" s="127">
        <v>43.5772467972815</v>
      </c>
      <c r="AH1284" s="127">
        <v>6.07306320488468</v>
      </c>
      <c r="AI1284" s="115" t="s">
        <v>12383</v>
      </c>
      <c r="AJ1284" s="116">
        <v>0.3</v>
      </c>
      <c r="AK1284" s="117"/>
      <c r="AL1284" s="117"/>
      <c r="AM1284" s="117"/>
      <c r="AN1284" s="117"/>
      <c r="AO1284" s="117"/>
    </row>
    <row r="1285" ht="34.5" customHeight="1">
      <c r="A1285" s="111">
        <v>1889.0</v>
      </c>
      <c r="B1285" s="111" t="s">
        <v>9289</v>
      </c>
      <c r="C1285" s="111" t="s">
        <v>8011</v>
      </c>
      <c r="D1285" s="111">
        <v>2028.0</v>
      </c>
      <c r="E1285" s="111"/>
      <c r="F1285" s="111" t="s">
        <v>12399</v>
      </c>
      <c r="G1285" s="111" t="s">
        <v>12381</v>
      </c>
      <c r="H1285" s="111" t="s">
        <v>12230</v>
      </c>
      <c r="I1285" s="111" t="s">
        <v>12394</v>
      </c>
      <c r="J1285" s="111" t="s">
        <v>12295</v>
      </c>
      <c r="K1285" s="111" t="s">
        <v>12251</v>
      </c>
      <c r="L1285" s="111"/>
      <c r="M1285" s="111"/>
      <c r="N1285" s="111">
        <v>1.0</v>
      </c>
      <c r="O1285" s="111"/>
      <c r="P1285" s="111"/>
      <c r="Q1285" s="111">
        <v>1.0</v>
      </c>
      <c r="R1285" s="111"/>
      <c r="S1285" s="111"/>
      <c r="T1285" s="111"/>
      <c r="U1285" s="111"/>
      <c r="V1285" s="111"/>
      <c r="W1285" s="111">
        <v>1.0</v>
      </c>
      <c r="X1285" s="111"/>
      <c r="Y1285" s="111"/>
      <c r="Z1285" s="111" t="s">
        <v>13776</v>
      </c>
      <c r="AA1285" s="124">
        <v>120.0</v>
      </c>
      <c r="AB1285" s="125">
        <f>IF(Projects!$AI1285="Electrolysis",
AA1285/VLOOKUP(G1285,ElectrolysisConvF,3,FALSE),
AC1285*10^6/(H2dens*HoursInYear))</f>
        <v>26666.66667</v>
      </c>
      <c r="AC1285" s="126">
        <f t="shared" si="253"/>
        <v>20.7904</v>
      </c>
      <c r="AD1285" s="125"/>
      <c r="AE1285" s="125">
        <f t="shared" si="235"/>
        <v>26666.66667</v>
      </c>
      <c r="AF1285" s="127" t="s">
        <v>14108</v>
      </c>
      <c r="AG1285" s="127">
        <v>43.5772467972815</v>
      </c>
      <c r="AH1285" s="127">
        <v>6.07306320488468</v>
      </c>
      <c r="AI1285" s="115" t="s">
        <v>12383</v>
      </c>
      <c r="AJ1285" s="116">
        <v>0.5</v>
      </c>
      <c r="AK1285" s="117"/>
      <c r="AL1285" s="117"/>
      <c r="AM1285" s="117"/>
      <c r="AN1285" s="117"/>
      <c r="AO1285" s="117"/>
    </row>
    <row r="1286" ht="34.5" customHeight="1">
      <c r="A1286" s="111">
        <v>1892.0</v>
      </c>
      <c r="B1286" s="111" t="s">
        <v>9290</v>
      </c>
      <c r="C1286" s="111" t="s">
        <v>7981</v>
      </c>
      <c r="D1286" s="111">
        <v>2026.0</v>
      </c>
      <c r="E1286" s="111"/>
      <c r="F1286" s="111" t="s">
        <v>12399</v>
      </c>
      <c r="G1286" s="111" t="s">
        <v>12226</v>
      </c>
      <c r="H1286" s="111"/>
      <c r="I1286" s="111" t="s">
        <v>12394</v>
      </c>
      <c r="J1286" s="111" t="s">
        <v>12295</v>
      </c>
      <c r="K1286" s="111" t="s">
        <v>12251</v>
      </c>
      <c r="L1286" s="111"/>
      <c r="M1286" s="111"/>
      <c r="N1286" s="111"/>
      <c r="O1286" s="111"/>
      <c r="P1286" s="111"/>
      <c r="Q1286" s="111"/>
      <c r="R1286" s="111"/>
      <c r="S1286" s="111"/>
      <c r="T1286" s="111"/>
      <c r="U1286" s="111"/>
      <c r="V1286" s="111"/>
      <c r="W1286" s="111">
        <v>1.0</v>
      </c>
      <c r="X1286" s="111"/>
      <c r="Y1286" s="111"/>
      <c r="Z1286" s="111" t="s">
        <v>14109</v>
      </c>
      <c r="AA1286" s="125">
        <v>1800.0</v>
      </c>
      <c r="AB1286" s="125">
        <f>IF(Projects!$AI1286="Electrolysis",
AA1286/VLOOKUP(G1286,ElectrolysisConvF,3,FALSE),
AC1286*10^6/(H2dens*HoursInYear))</f>
        <v>346153.8462</v>
      </c>
      <c r="AC1286" s="126">
        <f t="shared" si="253"/>
        <v>269.8753846</v>
      </c>
      <c r="AD1286" s="125"/>
      <c r="AE1286" s="125">
        <f t="shared" si="235"/>
        <v>346153.8462</v>
      </c>
      <c r="AF1286" s="127" t="s">
        <v>14110</v>
      </c>
      <c r="AG1286" s="127">
        <v>29.068964441012</v>
      </c>
      <c r="AH1286" s="127">
        <v>-95.7042842613899</v>
      </c>
      <c r="AI1286" s="115" t="s">
        <v>12383</v>
      </c>
      <c r="AJ1286" s="116">
        <v>0.5</v>
      </c>
      <c r="AK1286" s="117"/>
      <c r="AL1286" s="117"/>
      <c r="AM1286" s="117"/>
      <c r="AN1286" s="117"/>
      <c r="AO1286" s="117"/>
    </row>
    <row r="1287" ht="34.5" customHeight="1">
      <c r="A1287" s="111">
        <v>1893.0</v>
      </c>
      <c r="B1287" s="111" t="s">
        <v>9291</v>
      </c>
      <c r="C1287" s="111" t="s">
        <v>8021</v>
      </c>
      <c r="D1287" s="111">
        <v>2028.0</v>
      </c>
      <c r="E1287" s="111"/>
      <c r="F1287" s="111" t="s">
        <v>12399</v>
      </c>
      <c r="G1287" s="111" t="s">
        <v>12381</v>
      </c>
      <c r="H1287" s="111" t="s">
        <v>12230</v>
      </c>
      <c r="I1287" s="111" t="s">
        <v>12406</v>
      </c>
      <c r="J1287" s="111"/>
      <c r="K1287" s="111" t="s">
        <v>12251</v>
      </c>
      <c r="L1287" s="111"/>
      <c r="M1287" s="111"/>
      <c r="N1287" s="111"/>
      <c r="O1287" s="111"/>
      <c r="P1287" s="111"/>
      <c r="Q1287" s="111">
        <v>1.0</v>
      </c>
      <c r="R1287" s="111"/>
      <c r="S1287" s="111"/>
      <c r="T1287" s="111"/>
      <c r="U1287" s="111"/>
      <c r="V1287" s="111"/>
      <c r="W1287" s="111">
        <v>1.0</v>
      </c>
      <c r="X1287" s="111"/>
      <c r="Y1287" s="111"/>
      <c r="Z1287" s="111" t="s">
        <v>13104</v>
      </c>
      <c r="AA1287" s="124">
        <v>300.0</v>
      </c>
      <c r="AB1287" s="125">
        <f>IF(Projects!$AI1287="Electrolysis",
AA1287/VLOOKUP(G1287,ElectrolysisConvF,3,FALSE),
AC1287*10^6/(H2dens*HoursInYear))</f>
        <v>66666.66667</v>
      </c>
      <c r="AC1287" s="126">
        <f t="shared" si="253"/>
        <v>51.976</v>
      </c>
      <c r="AD1287" s="125"/>
      <c r="AE1287" s="125">
        <f t="shared" si="235"/>
        <v>66666.66667</v>
      </c>
      <c r="AF1287" s="127" t="s">
        <v>14110</v>
      </c>
      <c r="AG1287" s="127">
        <v>-41.06361</v>
      </c>
      <c r="AH1287" s="127">
        <v>145.875275</v>
      </c>
      <c r="AI1287" s="115" t="s">
        <v>12383</v>
      </c>
      <c r="AJ1287" s="116">
        <v>0.57</v>
      </c>
      <c r="AK1287" s="117"/>
      <c r="AL1287" s="117"/>
      <c r="AM1287" s="117"/>
      <c r="AN1287" s="117"/>
      <c r="AO1287" s="117"/>
    </row>
    <row r="1288" ht="34.5" customHeight="1">
      <c r="A1288" s="111">
        <v>1894.0</v>
      </c>
      <c r="B1288" s="111" t="s">
        <v>9292</v>
      </c>
      <c r="C1288" s="111" t="s">
        <v>8021</v>
      </c>
      <c r="D1288" s="111">
        <v>2024.0</v>
      </c>
      <c r="E1288" s="111"/>
      <c r="F1288" s="111" t="s">
        <v>12393</v>
      </c>
      <c r="G1288" s="111" t="s">
        <v>12381</v>
      </c>
      <c r="H1288" s="111" t="s">
        <v>12230</v>
      </c>
      <c r="I1288" s="111" t="s">
        <v>12394</v>
      </c>
      <c r="J1288" s="111" t="s">
        <v>12291</v>
      </c>
      <c r="K1288" s="111" t="s">
        <v>30</v>
      </c>
      <c r="L1288" s="111"/>
      <c r="M1288" s="111"/>
      <c r="N1288" s="111"/>
      <c r="O1288" s="111"/>
      <c r="P1288" s="111"/>
      <c r="Q1288" s="111"/>
      <c r="R1288" s="111"/>
      <c r="S1288" s="111"/>
      <c r="T1288" s="111"/>
      <c r="U1288" s="111"/>
      <c r="V1288" s="111"/>
      <c r="W1288" s="111"/>
      <c r="X1288" s="111"/>
      <c r="Y1288" s="111"/>
      <c r="Z1288" s="111" t="s">
        <v>14111</v>
      </c>
      <c r="AA1288" s="124">
        <v>7.6</v>
      </c>
      <c r="AB1288" s="125">
        <f>IF(Projects!$AI1288="Electrolysis",
AA1288/VLOOKUP(G1288,ElectrolysisConvF,3,FALSE),
AC1288*10^6/(H2dens*HoursInYear))</f>
        <v>1688.888889</v>
      </c>
      <c r="AC1288" s="126">
        <f t="shared" si="253"/>
        <v>1.316725333</v>
      </c>
      <c r="AD1288" s="125"/>
      <c r="AE1288" s="125">
        <f t="shared" si="235"/>
        <v>1688.888889</v>
      </c>
      <c r="AF1288" s="127" t="s">
        <v>14112</v>
      </c>
      <c r="AG1288" s="127">
        <v>-41.0893815492308</v>
      </c>
      <c r="AH1288" s="127">
        <v>146.859557872849</v>
      </c>
      <c r="AI1288" s="115" t="s">
        <v>12383</v>
      </c>
      <c r="AJ1288" s="116">
        <v>0.3</v>
      </c>
      <c r="AK1288" s="117"/>
      <c r="AL1288" s="117"/>
      <c r="AM1288" s="117"/>
      <c r="AN1288" s="117"/>
      <c r="AO1288" s="117"/>
    </row>
    <row r="1289" ht="34.5" customHeight="1">
      <c r="A1289" s="111">
        <v>1895.0</v>
      </c>
      <c r="B1289" s="111" t="s">
        <v>9293</v>
      </c>
      <c r="C1289" s="111" t="s">
        <v>7974</v>
      </c>
      <c r="D1289" s="111"/>
      <c r="E1289" s="111"/>
      <c r="F1289" s="111" t="s">
        <v>12397</v>
      </c>
      <c r="G1289" s="111" t="s">
        <v>12381</v>
      </c>
      <c r="H1289" s="111" t="s">
        <v>12230</v>
      </c>
      <c r="I1289" s="111" t="s">
        <v>12394</v>
      </c>
      <c r="J1289" s="111" t="s">
        <v>12293</v>
      </c>
      <c r="K1289" s="111" t="s">
        <v>30</v>
      </c>
      <c r="L1289" s="111"/>
      <c r="M1289" s="111"/>
      <c r="N1289" s="111"/>
      <c r="O1289" s="111"/>
      <c r="P1289" s="111"/>
      <c r="Q1289" s="111"/>
      <c r="R1289" s="111"/>
      <c r="S1289" s="111"/>
      <c r="T1289" s="111"/>
      <c r="U1289" s="111"/>
      <c r="V1289" s="111"/>
      <c r="W1289" s="111"/>
      <c r="X1289" s="111"/>
      <c r="Y1289" s="111"/>
      <c r="Z1289" s="111" t="s">
        <v>13102</v>
      </c>
      <c r="AA1289" s="124">
        <v>600.0</v>
      </c>
      <c r="AB1289" s="125">
        <f>IF(Projects!$AI1289="Electrolysis",
AA1289/VLOOKUP(G1289,ElectrolysisConvF,3,FALSE),
AC1289*10^6/(H2dens*HoursInYear))</f>
        <v>133333.3333</v>
      </c>
      <c r="AC1289" s="126">
        <f t="shared" si="253"/>
        <v>103.952</v>
      </c>
      <c r="AD1289" s="125"/>
      <c r="AE1289" s="125">
        <f t="shared" si="235"/>
        <v>133333.3333</v>
      </c>
      <c r="AF1289" s="127" t="s">
        <v>14113</v>
      </c>
      <c r="AG1289" s="127">
        <v>61.3085694838416</v>
      </c>
      <c r="AH1289" s="127">
        <v>17.0764411810074</v>
      </c>
      <c r="AI1289" s="115" t="s">
        <v>12383</v>
      </c>
      <c r="AJ1289" s="116">
        <v>0.55</v>
      </c>
      <c r="AK1289" s="117"/>
      <c r="AL1289" s="117"/>
      <c r="AM1289" s="117"/>
      <c r="AN1289" s="117"/>
      <c r="AO1289" s="117"/>
    </row>
    <row r="1290" ht="34.5" customHeight="1">
      <c r="A1290" s="111">
        <v>1896.0</v>
      </c>
      <c r="B1290" s="111" t="s">
        <v>9294</v>
      </c>
      <c r="C1290" s="111" t="s">
        <v>8539</v>
      </c>
      <c r="D1290" s="111"/>
      <c r="E1290" s="111"/>
      <c r="F1290" s="111" t="s">
        <v>12399</v>
      </c>
      <c r="G1290" s="111" t="s">
        <v>12226</v>
      </c>
      <c r="H1290" s="111"/>
      <c r="I1290" s="111" t="s">
        <v>12394</v>
      </c>
      <c r="J1290" s="111" t="s">
        <v>12292</v>
      </c>
      <c r="K1290" s="111" t="s">
        <v>30</v>
      </c>
      <c r="L1290" s="111"/>
      <c r="M1290" s="111"/>
      <c r="N1290" s="111"/>
      <c r="O1290" s="111"/>
      <c r="P1290" s="111"/>
      <c r="Q1290" s="111">
        <v>1.0</v>
      </c>
      <c r="R1290" s="111"/>
      <c r="S1290" s="111"/>
      <c r="T1290" s="111"/>
      <c r="U1290" s="111"/>
      <c r="V1290" s="111"/>
      <c r="W1290" s="111"/>
      <c r="X1290" s="111"/>
      <c r="Y1290" s="111"/>
      <c r="Z1290" s="111" t="s">
        <v>12908</v>
      </c>
      <c r="AA1290" s="124">
        <v>1.0</v>
      </c>
      <c r="AB1290" s="125">
        <f>IF(Projects!$AI1290="Electrolysis",
AA1290/VLOOKUP(G1290,ElectrolysisConvF,3,FALSE),
AC1290*10^6/(H2dens*HoursInYear))</f>
        <v>192.3076923</v>
      </c>
      <c r="AC1290" s="126">
        <f t="shared" si="253"/>
        <v>0.1499307692</v>
      </c>
      <c r="AD1290" s="125"/>
      <c r="AE1290" s="125">
        <f t="shared" si="235"/>
        <v>192.3076923</v>
      </c>
      <c r="AF1290" s="127" t="s">
        <v>14114</v>
      </c>
      <c r="AG1290" s="127">
        <v>33.3961158178269</v>
      </c>
      <c r="AH1290" s="127">
        <v>126.581269345424</v>
      </c>
      <c r="AI1290" s="115" t="s">
        <v>12383</v>
      </c>
      <c r="AJ1290" s="116">
        <v>0.4</v>
      </c>
      <c r="AK1290" s="117"/>
      <c r="AL1290" s="117"/>
      <c r="AM1290" s="117"/>
      <c r="AN1290" s="117"/>
      <c r="AO1290" s="117"/>
    </row>
    <row r="1291" ht="34.5" customHeight="1">
      <c r="A1291" s="111">
        <v>1897.0</v>
      </c>
      <c r="B1291" s="111" t="s">
        <v>9295</v>
      </c>
      <c r="C1291" s="111" t="s">
        <v>9296</v>
      </c>
      <c r="D1291" s="111"/>
      <c r="E1291" s="111"/>
      <c r="F1291" s="111" t="s">
        <v>12397</v>
      </c>
      <c r="G1291" s="111" t="s">
        <v>12381</v>
      </c>
      <c r="H1291" s="111" t="s">
        <v>12230</v>
      </c>
      <c r="I1291" s="111" t="s">
        <v>12394</v>
      </c>
      <c r="J1291" s="111" t="s">
        <v>12295</v>
      </c>
      <c r="K1291" s="111" t="s">
        <v>30</v>
      </c>
      <c r="L1291" s="111"/>
      <c r="M1291" s="111"/>
      <c r="N1291" s="111"/>
      <c r="O1291" s="111"/>
      <c r="P1291" s="111"/>
      <c r="Q1291" s="111"/>
      <c r="R1291" s="111"/>
      <c r="S1291" s="111"/>
      <c r="T1291" s="111"/>
      <c r="U1291" s="111"/>
      <c r="V1291" s="111"/>
      <c r="W1291" s="111"/>
      <c r="X1291" s="111"/>
      <c r="Y1291" s="111"/>
      <c r="Z1291" s="111"/>
      <c r="AA1291" s="124">
        <f>IF(OR(G1291="ALK",G1291="PEM",G1291="SOEC",G1291="Other Electrolysis"),
AB1291*VLOOKUP(G1291,ElectrolysisConvF,3,FALSE),
"")</f>
        <v>0</v>
      </c>
      <c r="AB1291" s="125"/>
      <c r="AC1291" s="125"/>
      <c r="AD1291" s="125"/>
      <c r="AE1291" s="125" t="str">
        <f t="shared" si="235"/>
        <v/>
      </c>
      <c r="AF1291" s="127" t="s">
        <v>14115</v>
      </c>
      <c r="AG1291" s="127">
        <v>11.7205593325596</v>
      </c>
      <c r="AH1291" s="127">
        <v>42.7729418358331</v>
      </c>
      <c r="AI1291" s="115" t="s">
        <v>12383</v>
      </c>
      <c r="AJ1291" s="116">
        <v>0.5</v>
      </c>
      <c r="AK1291" s="117"/>
      <c r="AL1291" s="117"/>
      <c r="AM1291" s="117"/>
      <c r="AN1291" s="117"/>
      <c r="AO1291" s="117"/>
    </row>
    <row r="1292" ht="34.5" customHeight="1">
      <c r="A1292" s="111">
        <v>1898.0</v>
      </c>
      <c r="B1292" s="111" t="s">
        <v>9297</v>
      </c>
      <c r="C1292" s="111" t="s">
        <v>8003</v>
      </c>
      <c r="D1292" s="111">
        <v>2025.0</v>
      </c>
      <c r="E1292" s="111"/>
      <c r="F1292" s="111" t="s">
        <v>12393</v>
      </c>
      <c r="G1292" s="111" t="s">
        <v>12226</v>
      </c>
      <c r="H1292" s="111"/>
      <c r="I1292" s="111" t="s">
        <v>12394</v>
      </c>
      <c r="J1292" s="111" t="s">
        <v>12294</v>
      </c>
      <c r="K1292" s="111" t="s">
        <v>30</v>
      </c>
      <c r="L1292" s="111"/>
      <c r="M1292" s="111"/>
      <c r="N1292" s="111"/>
      <c r="O1292" s="111"/>
      <c r="P1292" s="111">
        <v>1.0</v>
      </c>
      <c r="Q1292" s="111">
        <v>1.0</v>
      </c>
      <c r="R1292" s="111">
        <v>1.0</v>
      </c>
      <c r="S1292" s="111"/>
      <c r="T1292" s="111"/>
      <c r="U1292" s="111"/>
      <c r="V1292" s="111"/>
      <c r="W1292" s="111"/>
      <c r="X1292" s="111"/>
      <c r="Y1292" s="111"/>
      <c r="Z1292" s="111" t="s">
        <v>12589</v>
      </c>
      <c r="AA1292" s="124">
        <v>20.0</v>
      </c>
      <c r="AB1292" s="125">
        <f>IF(Projects!$AI1292="Electrolysis",
AA1292/VLOOKUP(G1292,ElectrolysisConvF,3,FALSE),
AC1292*10^6/(H2dens*HoursInYear))</f>
        <v>3846.153846</v>
      </c>
      <c r="AC1292" s="126">
        <f>AB1292*H2dens*HoursInYear/10^6</f>
        <v>2.998615385</v>
      </c>
      <c r="AD1292" s="125"/>
      <c r="AE1292" s="125">
        <f t="shared" si="235"/>
        <v>3846.153846</v>
      </c>
      <c r="AF1292" s="127" t="s">
        <v>14116</v>
      </c>
      <c r="AG1292" s="127">
        <v>43.0984863600474</v>
      </c>
      <c r="AH1292" s="127">
        <v>-79.0617535355327</v>
      </c>
      <c r="AI1292" s="115" t="s">
        <v>12383</v>
      </c>
      <c r="AJ1292" s="116">
        <v>0.8</v>
      </c>
      <c r="AK1292" s="117"/>
      <c r="AL1292" s="117"/>
      <c r="AM1292" s="117"/>
      <c r="AN1292" s="117"/>
      <c r="AO1292" s="117"/>
    </row>
    <row r="1293" ht="34.5" customHeight="1">
      <c r="A1293" s="111">
        <v>1899.0</v>
      </c>
      <c r="B1293" s="111" t="s">
        <v>9298</v>
      </c>
      <c r="C1293" s="111" t="s">
        <v>8031</v>
      </c>
      <c r="D1293" s="111">
        <v>2026.0</v>
      </c>
      <c r="E1293" s="111"/>
      <c r="F1293" s="111" t="s">
        <v>12399</v>
      </c>
      <c r="G1293" s="111" t="s">
        <v>12381</v>
      </c>
      <c r="H1293" s="111" t="s">
        <v>12230</v>
      </c>
      <c r="I1293" s="111" t="s">
        <v>12394</v>
      </c>
      <c r="J1293" s="111" t="s">
        <v>12296</v>
      </c>
      <c r="K1293" s="111" t="s">
        <v>12415</v>
      </c>
      <c r="L1293" s="111"/>
      <c r="M1293" s="111"/>
      <c r="N1293" s="111"/>
      <c r="O1293" s="111"/>
      <c r="P1293" s="111"/>
      <c r="Q1293" s="111">
        <v>1.0</v>
      </c>
      <c r="R1293" s="111"/>
      <c r="S1293" s="111"/>
      <c r="T1293" s="111"/>
      <c r="U1293" s="111"/>
      <c r="V1293" s="111"/>
      <c r="W1293" s="111"/>
      <c r="X1293" s="111"/>
      <c r="Y1293" s="111"/>
      <c r="Z1293" s="111" t="s">
        <v>14117</v>
      </c>
      <c r="AA1293" s="126">
        <f>IF(Projects!$AI1293="Electrolysis",
AB1293*VLOOKUP(G1293,ElectrolysisConvF,3,FALSE),
"")</f>
        <v>110.4319301</v>
      </c>
      <c r="AB1293" s="125">
        <f>AC1293/(H2dens*HoursInYear/10^6)</f>
        <v>24540.42892</v>
      </c>
      <c r="AC1293" s="125">
        <f>(50*0.191327)/Projects!$AJ1293</f>
        <v>19.1327</v>
      </c>
      <c r="AD1293" s="125"/>
      <c r="AE1293" s="125">
        <f t="shared" si="235"/>
        <v>24540.42892</v>
      </c>
      <c r="AF1293" s="127" t="s">
        <v>14118</v>
      </c>
      <c r="AG1293" s="127">
        <v>1.27830362081958</v>
      </c>
      <c r="AH1293" s="127">
        <v>103.785885180445</v>
      </c>
      <c r="AI1293" s="115" t="s">
        <v>12383</v>
      </c>
      <c r="AJ1293" s="116">
        <v>0.5</v>
      </c>
      <c r="AK1293" s="117"/>
      <c r="AL1293" s="117"/>
      <c r="AM1293" s="117"/>
      <c r="AN1293" s="117"/>
      <c r="AO1293" s="117"/>
    </row>
    <row r="1294" ht="34.5" customHeight="1">
      <c r="A1294" s="111">
        <v>1900.0</v>
      </c>
      <c r="B1294" s="111" t="s">
        <v>9299</v>
      </c>
      <c r="C1294" s="111" t="s">
        <v>8021</v>
      </c>
      <c r="D1294" s="111">
        <v>2030.0</v>
      </c>
      <c r="E1294" s="111"/>
      <c r="F1294" s="111" t="s">
        <v>12397</v>
      </c>
      <c r="G1294" s="111" t="s">
        <v>12381</v>
      </c>
      <c r="H1294" s="111" t="s">
        <v>12230</v>
      </c>
      <c r="I1294" s="111" t="s">
        <v>12394</v>
      </c>
      <c r="J1294" s="111" t="s">
        <v>12296</v>
      </c>
      <c r="K1294" s="111" t="s">
        <v>30</v>
      </c>
      <c r="L1294" s="111"/>
      <c r="M1294" s="111">
        <v>1.0</v>
      </c>
      <c r="N1294" s="111"/>
      <c r="O1294" s="111"/>
      <c r="P1294" s="111"/>
      <c r="Q1294" s="111"/>
      <c r="R1294" s="111"/>
      <c r="S1294" s="111"/>
      <c r="T1294" s="111"/>
      <c r="U1294" s="111"/>
      <c r="V1294" s="111"/>
      <c r="W1294" s="111"/>
      <c r="X1294" s="111"/>
      <c r="Y1294" s="111"/>
      <c r="Z1294" s="111" t="s">
        <v>14119</v>
      </c>
      <c r="AA1294" s="124">
        <v>1500.0</v>
      </c>
      <c r="AB1294" s="125">
        <f>IF(Projects!$AI1294="Electrolysis",
AA1294/VLOOKUP(G1294,ElectrolysisConvF,3,FALSE),
AC1294*10^6/(H2dens*HoursInYear))</f>
        <v>333333.3333</v>
      </c>
      <c r="AC1294" s="126">
        <f>AB1294*H2dens*HoursInYear/10^6</f>
        <v>259.88</v>
      </c>
      <c r="AD1294" s="125"/>
      <c r="AE1294" s="125">
        <f t="shared" si="235"/>
        <v>333333.3333</v>
      </c>
      <c r="AF1294" s="127" t="s">
        <v>14120</v>
      </c>
      <c r="AG1294" s="127">
        <v>-32.93556</v>
      </c>
      <c r="AH1294" s="127">
        <v>137.573215</v>
      </c>
      <c r="AI1294" s="115" t="s">
        <v>12383</v>
      </c>
      <c r="AJ1294" s="116">
        <v>0.5</v>
      </c>
      <c r="AK1294" s="117"/>
      <c r="AL1294" s="117"/>
      <c r="AM1294" s="117"/>
      <c r="AN1294" s="117"/>
      <c r="AO1294" s="117"/>
    </row>
    <row r="1295" ht="34.5" customHeight="1">
      <c r="A1295" s="111">
        <v>1901.0</v>
      </c>
      <c r="B1295" s="111" t="s">
        <v>9300</v>
      </c>
      <c r="C1295" s="111" t="s">
        <v>8413</v>
      </c>
      <c r="D1295" s="111"/>
      <c r="E1295" s="111"/>
      <c r="F1295" s="111" t="s">
        <v>12397</v>
      </c>
      <c r="G1295" s="111" t="s">
        <v>12381</v>
      </c>
      <c r="H1295" s="111" t="s">
        <v>12230</v>
      </c>
      <c r="I1295" s="111" t="s">
        <v>12394</v>
      </c>
      <c r="J1295" s="111" t="s">
        <v>12293</v>
      </c>
      <c r="K1295" s="111" t="s">
        <v>30</v>
      </c>
      <c r="L1295" s="111"/>
      <c r="M1295" s="111"/>
      <c r="N1295" s="111"/>
      <c r="O1295" s="111"/>
      <c r="P1295" s="111"/>
      <c r="Q1295" s="111"/>
      <c r="R1295" s="111"/>
      <c r="S1295" s="111"/>
      <c r="T1295" s="111"/>
      <c r="U1295" s="111"/>
      <c r="V1295" s="111"/>
      <c r="W1295" s="111"/>
      <c r="X1295" s="111"/>
      <c r="Y1295" s="111"/>
      <c r="Z1295" s="111"/>
      <c r="AA1295" s="124">
        <f>IF(OR(G1295="ALK",G1295="PEM",G1295="SOEC",G1295="Other Electrolysis"),
AB1295*VLOOKUP(G1295,ElectrolysisConvF,3,FALSE),
"")</f>
        <v>0</v>
      </c>
      <c r="AB1295" s="125"/>
      <c r="AC1295" s="125"/>
      <c r="AD1295" s="125"/>
      <c r="AE1295" s="125" t="str">
        <f t="shared" si="235"/>
        <v/>
      </c>
      <c r="AF1295" s="127" t="s">
        <v>14121</v>
      </c>
      <c r="AG1295" s="127">
        <v>-34.7141706608668</v>
      </c>
      <c r="AH1295" s="127">
        <v>-54.0597910932897</v>
      </c>
      <c r="AI1295" s="115" t="s">
        <v>12383</v>
      </c>
      <c r="AJ1295" s="116">
        <v>0.55</v>
      </c>
      <c r="AK1295" s="117"/>
      <c r="AL1295" s="117"/>
      <c r="AM1295" s="117"/>
      <c r="AN1295" s="117"/>
      <c r="AO1295" s="117"/>
    </row>
    <row r="1296" ht="34.5" customHeight="1">
      <c r="A1296" s="111">
        <v>1902.0</v>
      </c>
      <c r="B1296" s="111" t="s">
        <v>9301</v>
      </c>
      <c r="C1296" s="111" t="s">
        <v>8388</v>
      </c>
      <c r="D1296" s="111"/>
      <c r="E1296" s="111"/>
      <c r="F1296" s="111" t="s">
        <v>12397</v>
      </c>
      <c r="G1296" s="111" t="s">
        <v>12381</v>
      </c>
      <c r="H1296" s="111" t="s">
        <v>12230</v>
      </c>
      <c r="I1296" s="111" t="s">
        <v>12394</v>
      </c>
      <c r="J1296" s="111" t="s">
        <v>12295</v>
      </c>
      <c r="K1296" s="111" t="s">
        <v>174</v>
      </c>
      <c r="L1296" s="111"/>
      <c r="M1296" s="111">
        <v>1.0</v>
      </c>
      <c r="N1296" s="111"/>
      <c r="O1296" s="111"/>
      <c r="P1296" s="111"/>
      <c r="Q1296" s="111"/>
      <c r="R1296" s="111"/>
      <c r="S1296" s="111"/>
      <c r="T1296" s="111"/>
      <c r="U1296" s="111"/>
      <c r="V1296" s="111"/>
      <c r="W1296" s="111"/>
      <c r="X1296" s="111"/>
      <c r="Y1296" s="111"/>
      <c r="Z1296" s="111" t="s">
        <v>14122</v>
      </c>
      <c r="AA1296" s="124">
        <v>1000.0</v>
      </c>
      <c r="AB1296" s="125">
        <f>IF(Projects!$AI1296="Electrolysis",
AA1296/VLOOKUP(G1296,ElectrolysisConvF,3,FALSE),
AC1296*10^6/(H2dens*HoursInYear))</f>
        <v>222222.2222</v>
      </c>
      <c r="AC1296" s="126">
        <f>AB1296*H2dens*HoursInYear/10^6</f>
        <v>173.2533333</v>
      </c>
      <c r="AD1296" s="125"/>
      <c r="AE1296" s="125">
        <f t="shared" si="235"/>
        <v>222222.2222</v>
      </c>
      <c r="AF1296" s="127" t="s">
        <v>14123</v>
      </c>
      <c r="AG1296" s="127">
        <v>19.6669277310332</v>
      </c>
      <c r="AH1296" s="127">
        <v>57.7254450103778</v>
      </c>
      <c r="AI1296" s="115" t="s">
        <v>12383</v>
      </c>
      <c r="AJ1296" s="116">
        <v>0.5</v>
      </c>
      <c r="AK1296" s="117"/>
      <c r="AL1296" s="117"/>
      <c r="AM1296" s="117"/>
      <c r="AN1296" s="117"/>
      <c r="AO1296" s="117"/>
    </row>
    <row r="1297" ht="34.5" customHeight="1">
      <c r="A1297" s="111">
        <v>1903.0</v>
      </c>
      <c r="B1297" s="111" t="s">
        <v>9302</v>
      </c>
      <c r="C1297" s="111" t="s">
        <v>7981</v>
      </c>
      <c r="D1297" s="111">
        <v>2026.0</v>
      </c>
      <c r="E1297" s="111"/>
      <c r="F1297" s="111" t="s">
        <v>12393</v>
      </c>
      <c r="G1297" s="111" t="s">
        <v>12235</v>
      </c>
      <c r="H1297" s="111" t="s">
        <v>12885</v>
      </c>
      <c r="I1297" s="111"/>
      <c r="J1297" s="111"/>
      <c r="K1297" s="111" t="s">
        <v>174</v>
      </c>
      <c r="L1297" s="111"/>
      <c r="M1297" s="111">
        <v>1.0</v>
      </c>
      <c r="N1297" s="111"/>
      <c r="O1297" s="111"/>
      <c r="P1297" s="111"/>
      <c r="Q1297" s="111"/>
      <c r="R1297" s="111"/>
      <c r="S1297" s="111"/>
      <c r="T1297" s="111"/>
      <c r="U1297" s="111"/>
      <c r="V1297" s="111"/>
      <c r="W1297" s="111"/>
      <c r="X1297" s="111"/>
      <c r="Y1297" s="111"/>
      <c r="Z1297" s="111" t="s">
        <v>14124</v>
      </c>
      <c r="AA1297" s="124" t="str">
        <f>IF(OR(G1297="ALK",G1297="PEM",G1297="SOEC",G1297="Other Electrolysis"),
AB1297*VLOOKUP(G1297,ElectrolysisConvF,3,FALSE),
"")</f>
        <v/>
      </c>
      <c r="AB1297" s="125">
        <f t="shared" ref="AB1297:AB1306" si="254">AC1297/(H2dens*HoursInYear/10^6)</f>
        <v>323355.4465</v>
      </c>
      <c r="AC1297" s="126">
        <f>1400*3/17/0.98</f>
        <v>252.1008403</v>
      </c>
      <c r="AD1297" s="125">
        <v>2000000.0</v>
      </c>
      <c r="AE1297" s="125">
        <f t="shared" si="235"/>
        <v>250752.8855</v>
      </c>
      <c r="AF1297" s="127" t="s">
        <v>14125</v>
      </c>
      <c r="AG1297" s="127">
        <v>30.0989819627013</v>
      </c>
      <c r="AH1297" s="127">
        <v>-90.9545251386236</v>
      </c>
      <c r="AI1297" s="115" t="s">
        <v>12378</v>
      </c>
      <c r="AJ1297" s="116">
        <v>0.9</v>
      </c>
      <c r="AK1297" s="117"/>
      <c r="AL1297" s="117"/>
      <c r="AM1297" s="117"/>
      <c r="AN1297" s="117"/>
      <c r="AO1297" s="117"/>
    </row>
    <row r="1298" ht="34.5" customHeight="1">
      <c r="A1298" s="111">
        <v>1906.0</v>
      </c>
      <c r="B1298" s="111" t="s">
        <v>9303</v>
      </c>
      <c r="C1298" s="111" t="s">
        <v>7971</v>
      </c>
      <c r="D1298" s="111">
        <v>2026.0</v>
      </c>
      <c r="E1298" s="111"/>
      <c r="F1298" s="111" t="s">
        <v>12399</v>
      </c>
      <c r="G1298" s="111" t="s">
        <v>12381</v>
      </c>
      <c r="H1298" s="111" t="s">
        <v>12230</v>
      </c>
      <c r="I1298" s="111" t="s">
        <v>12394</v>
      </c>
      <c r="J1298" s="111" t="s">
        <v>12295</v>
      </c>
      <c r="K1298" s="111" t="s">
        <v>12251</v>
      </c>
      <c r="L1298" s="111"/>
      <c r="M1298" s="111"/>
      <c r="N1298" s="111"/>
      <c r="O1298" s="111"/>
      <c r="P1298" s="111"/>
      <c r="Q1298" s="111"/>
      <c r="R1298" s="111"/>
      <c r="S1298" s="111"/>
      <c r="T1298" s="111"/>
      <c r="U1298" s="111"/>
      <c r="V1298" s="111"/>
      <c r="W1298" s="111">
        <v>1.0</v>
      </c>
      <c r="X1298" s="111"/>
      <c r="Y1298" s="111"/>
      <c r="Z1298" s="111" t="s">
        <v>14126</v>
      </c>
      <c r="AA1298" s="126">
        <f>IF(Projects!$AI1298="Electrolysis",
AB1298*VLOOKUP(G1298,ElectrolysisConvF,3,FALSE),
"")</f>
        <v>47.44023058</v>
      </c>
      <c r="AB1298" s="125">
        <f t="shared" si="254"/>
        <v>10542.27346</v>
      </c>
      <c r="AC1298" s="126">
        <f>(8*0.045/0.73/0.12)/Projects!$AJ1298</f>
        <v>8.219178082</v>
      </c>
      <c r="AD1298" s="125"/>
      <c r="AE1298" s="125">
        <f t="shared" si="235"/>
        <v>10542.27346</v>
      </c>
      <c r="AF1298" s="127" t="s">
        <v>14127</v>
      </c>
      <c r="AG1298" s="127">
        <v>59.1399087577647</v>
      </c>
      <c r="AH1298" s="127">
        <v>9.65477682192782</v>
      </c>
      <c r="AI1298" s="115" t="s">
        <v>12383</v>
      </c>
      <c r="AJ1298" s="116">
        <v>0.5</v>
      </c>
      <c r="AK1298" s="117"/>
      <c r="AL1298" s="117"/>
      <c r="AM1298" s="117"/>
      <c r="AN1298" s="117"/>
      <c r="AO1298" s="117"/>
    </row>
    <row r="1299" ht="34.5" customHeight="1">
      <c r="A1299" s="111">
        <v>1907.0</v>
      </c>
      <c r="B1299" s="111" t="s">
        <v>9303</v>
      </c>
      <c r="C1299" s="111" t="s">
        <v>7971</v>
      </c>
      <c r="D1299" s="111">
        <v>2032.0</v>
      </c>
      <c r="E1299" s="111"/>
      <c r="F1299" s="111" t="s">
        <v>12397</v>
      </c>
      <c r="G1299" s="111" t="s">
        <v>12381</v>
      </c>
      <c r="H1299" s="111" t="s">
        <v>12230</v>
      </c>
      <c r="I1299" s="111" t="s">
        <v>12394</v>
      </c>
      <c r="J1299" s="111" t="s">
        <v>12295</v>
      </c>
      <c r="K1299" s="111" t="s">
        <v>12251</v>
      </c>
      <c r="L1299" s="111"/>
      <c r="M1299" s="111"/>
      <c r="N1299" s="111"/>
      <c r="O1299" s="111"/>
      <c r="P1299" s="111"/>
      <c r="Q1299" s="111"/>
      <c r="R1299" s="111"/>
      <c r="S1299" s="111"/>
      <c r="T1299" s="111"/>
      <c r="U1299" s="111"/>
      <c r="V1299" s="111"/>
      <c r="W1299" s="111">
        <v>1.0</v>
      </c>
      <c r="X1299" s="111"/>
      <c r="Y1299" s="111"/>
      <c r="Z1299" s="111" t="s">
        <v>14128</v>
      </c>
      <c r="AA1299" s="126">
        <f>IF(Projects!$AI1299="Electrolysis",
AB1299*VLOOKUP(G1299,ElectrolysisConvF,3,FALSE),
"")</f>
        <v>4696.582827</v>
      </c>
      <c r="AB1299" s="125">
        <f t="shared" si="254"/>
        <v>1043685.073</v>
      </c>
      <c r="AC1299" s="126">
        <f>792*0.045/0.73/0.12/Projects!$AJ1299</f>
        <v>813.6986301</v>
      </c>
      <c r="AD1299" s="125"/>
      <c r="AE1299" s="125">
        <f t="shared" si="235"/>
        <v>1043685.073</v>
      </c>
      <c r="AF1299" s="127" t="s">
        <v>14127</v>
      </c>
      <c r="AG1299" s="127">
        <v>59.1399087577647</v>
      </c>
      <c r="AH1299" s="127">
        <v>9.65477682192782</v>
      </c>
      <c r="AI1299" s="115" t="s">
        <v>12383</v>
      </c>
      <c r="AJ1299" s="116">
        <v>0.5</v>
      </c>
      <c r="AK1299" s="117"/>
      <c r="AL1299" s="117"/>
      <c r="AM1299" s="117"/>
      <c r="AN1299" s="117"/>
      <c r="AO1299" s="117"/>
    </row>
    <row r="1300" ht="34.5" customHeight="1">
      <c r="A1300" s="111">
        <v>1908.0</v>
      </c>
      <c r="B1300" s="111" t="s">
        <v>9304</v>
      </c>
      <c r="C1300" s="111" t="s">
        <v>8371</v>
      </c>
      <c r="D1300" s="111"/>
      <c r="E1300" s="111"/>
      <c r="F1300" s="111" t="s">
        <v>12397</v>
      </c>
      <c r="G1300" s="111" t="s">
        <v>12235</v>
      </c>
      <c r="H1300" s="111" t="s">
        <v>13373</v>
      </c>
      <c r="I1300" s="111"/>
      <c r="J1300" s="111"/>
      <c r="K1300" s="111" t="s">
        <v>30</v>
      </c>
      <c r="L1300" s="111"/>
      <c r="M1300" s="111"/>
      <c r="N1300" s="111"/>
      <c r="O1300" s="111"/>
      <c r="P1300" s="111"/>
      <c r="Q1300" s="111"/>
      <c r="R1300" s="111"/>
      <c r="S1300" s="111"/>
      <c r="T1300" s="111"/>
      <c r="U1300" s="111"/>
      <c r="V1300" s="111"/>
      <c r="W1300" s="111"/>
      <c r="X1300" s="111"/>
      <c r="Y1300" s="111"/>
      <c r="Z1300" s="111" t="s">
        <v>14129</v>
      </c>
      <c r="AA1300" s="124"/>
      <c r="AB1300" s="125">
        <f t="shared" si="254"/>
        <v>64132.16356</v>
      </c>
      <c r="AC1300" s="125">
        <v>50.0</v>
      </c>
      <c r="AD1300" s="125"/>
      <c r="AE1300" s="125">
        <f t="shared" si="235"/>
        <v>0</v>
      </c>
      <c r="AF1300" s="127" t="s">
        <v>14130</v>
      </c>
      <c r="AG1300" s="127">
        <v>24.298933860178</v>
      </c>
      <c r="AH1300" s="127">
        <v>54.3540001038411</v>
      </c>
      <c r="AI1300" s="115" t="s">
        <v>12378</v>
      </c>
      <c r="AJ1300" s="116">
        <v>0.9</v>
      </c>
      <c r="AK1300" s="117"/>
      <c r="AL1300" s="117"/>
      <c r="AM1300" s="117"/>
      <c r="AN1300" s="117"/>
      <c r="AO1300" s="117"/>
    </row>
    <row r="1301" ht="34.5" customHeight="1">
      <c r="A1301" s="111">
        <v>1909.0</v>
      </c>
      <c r="B1301" s="111" t="s">
        <v>9305</v>
      </c>
      <c r="C1301" s="111" t="s">
        <v>8371</v>
      </c>
      <c r="D1301" s="111"/>
      <c r="E1301" s="111"/>
      <c r="F1301" s="111" t="s">
        <v>12397</v>
      </c>
      <c r="G1301" s="111" t="s">
        <v>12235</v>
      </c>
      <c r="H1301" s="111" t="s">
        <v>13373</v>
      </c>
      <c r="I1301" s="111"/>
      <c r="J1301" s="111"/>
      <c r="K1301" s="111" t="s">
        <v>30</v>
      </c>
      <c r="L1301" s="111"/>
      <c r="M1301" s="111"/>
      <c r="N1301" s="111"/>
      <c r="O1301" s="111"/>
      <c r="P1301" s="111"/>
      <c r="Q1301" s="111"/>
      <c r="R1301" s="111"/>
      <c r="S1301" s="111"/>
      <c r="T1301" s="111"/>
      <c r="U1301" s="111"/>
      <c r="V1301" s="111"/>
      <c r="W1301" s="111"/>
      <c r="X1301" s="111"/>
      <c r="Y1301" s="111"/>
      <c r="Z1301" s="111" t="s">
        <v>14131</v>
      </c>
      <c r="AA1301" s="124"/>
      <c r="AB1301" s="125">
        <f t="shared" si="254"/>
        <v>192396.4907</v>
      </c>
      <c r="AC1301" s="125">
        <v>150.0</v>
      </c>
      <c r="AD1301" s="125">
        <v>460000.0</v>
      </c>
      <c r="AE1301" s="125">
        <f t="shared" si="235"/>
        <v>57673.16367</v>
      </c>
      <c r="AF1301" s="127" t="s">
        <v>14130</v>
      </c>
      <c r="AG1301" s="127">
        <v>24.298933860178</v>
      </c>
      <c r="AH1301" s="127">
        <v>54.3540001038411</v>
      </c>
      <c r="AI1301" s="115" t="s">
        <v>12378</v>
      </c>
      <c r="AJ1301" s="116">
        <v>0.9</v>
      </c>
      <c r="AK1301" s="117"/>
      <c r="AL1301" s="117"/>
      <c r="AM1301" s="117"/>
      <c r="AN1301" s="117"/>
      <c r="AO1301" s="117"/>
    </row>
    <row r="1302" ht="34.5" customHeight="1">
      <c r="A1302" s="111">
        <v>1910.0</v>
      </c>
      <c r="B1302" s="111" t="s">
        <v>9306</v>
      </c>
      <c r="C1302" s="111" t="s">
        <v>7967</v>
      </c>
      <c r="D1302" s="111">
        <v>2030.0</v>
      </c>
      <c r="E1302" s="111"/>
      <c r="F1302" s="111" t="s">
        <v>12397</v>
      </c>
      <c r="G1302" s="111" t="s">
        <v>12381</v>
      </c>
      <c r="H1302" s="111" t="s">
        <v>12230</v>
      </c>
      <c r="I1302" s="111" t="s">
        <v>12394</v>
      </c>
      <c r="J1302" s="111" t="s">
        <v>12293</v>
      </c>
      <c r="K1302" s="111" t="s">
        <v>174</v>
      </c>
      <c r="L1302" s="111"/>
      <c r="M1302" s="111">
        <v>1.0</v>
      </c>
      <c r="N1302" s="111"/>
      <c r="O1302" s="111"/>
      <c r="P1302" s="111"/>
      <c r="Q1302" s="111"/>
      <c r="R1302" s="111"/>
      <c r="S1302" s="111"/>
      <c r="T1302" s="111"/>
      <c r="U1302" s="111"/>
      <c r="V1302" s="111"/>
      <c r="W1302" s="111"/>
      <c r="X1302" s="111"/>
      <c r="Y1302" s="111"/>
      <c r="Z1302" s="111" t="s">
        <v>14132</v>
      </c>
      <c r="AA1302" s="126">
        <f>IF(Projects!$AI1302="Electrolysis",
AB1302*VLOOKUP(G1302,ElectrolysisConvF,3,FALSE),
"")</f>
        <v>4197.741615</v>
      </c>
      <c r="AB1302" s="125">
        <f t="shared" si="254"/>
        <v>932831.47</v>
      </c>
      <c r="AC1302" s="125">
        <f>400/Projects!$AJ1302</f>
        <v>727.2727273</v>
      </c>
      <c r="AD1302" s="125"/>
      <c r="AE1302" s="125">
        <f t="shared" si="235"/>
        <v>932831.47</v>
      </c>
      <c r="AF1302" s="127" t="s">
        <v>14133</v>
      </c>
      <c r="AG1302" s="127">
        <v>53.4998096093671</v>
      </c>
      <c r="AH1302" s="127">
        <v>3.95002451521059</v>
      </c>
      <c r="AI1302" s="115" t="s">
        <v>12383</v>
      </c>
      <c r="AJ1302" s="116">
        <v>0.55</v>
      </c>
      <c r="AK1302" s="117"/>
      <c r="AL1302" s="117"/>
      <c r="AM1302" s="117"/>
      <c r="AN1302" s="117"/>
      <c r="AO1302" s="117"/>
    </row>
    <row r="1303" ht="34.5" customHeight="1">
      <c r="A1303" s="111">
        <v>1911.0</v>
      </c>
      <c r="B1303" s="111" t="s">
        <v>9307</v>
      </c>
      <c r="C1303" s="111" t="s">
        <v>7967</v>
      </c>
      <c r="D1303" s="111">
        <v>2043.0</v>
      </c>
      <c r="E1303" s="111"/>
      <c r="F1303" s="111" t="s">
        <v>12397</v>
      </c>
      <c r="G1303" s="111" t="s">
        <v>12381</v>
      </c>
      <c r="H1303" s="111" t="s">
        <v>12230</v>
      </c>
      <c r="I1303" s="111" t="s">
        <v>12394</v>
      </c>
      <c r="J1303" s="111" t="s">
        <v>12293</v>
      </c>
      <c r="K1303" s="111" t="s">
        <v>174</v>
      </c>
      <c r="L1303" s="111"/>
      <c r="M1303" s="111">
        <v>1.0</v>
      </c>
      <c r="N1303" s="111"/>
      <c r="O1303" s="111"/>
      <c r="P1303" s="111"/>
      <c r="Q1303" s="111"/>
      <c r="R1303" s="111"/>
      <c r="S1303" s="111"/>
      <c r="T1303" s="111"/>
      <c r="U1303" s="111"/>
      <c r="V1303" s="111"/>
      <c r="W1303" s="111"/>
      <c r="X1303" s="111"/>
      <c r="Y1303" s="111"/>
      <c r="Z1303" s="111" t="s">
        <v>14099</v>
      </c>
      <c r="AA1303" s="126">
        <f>IF(Projects!$AI1303="Electrolysis",
AB1303*VLOOKUP(G1303,ElectrolysisConvF,3,FALSE),
"")</f>
        <v>6296.612423</v>
      </c>
      <c r="AB1303" s="125">
        <f t="shared" si="254"/>
        <v>1399247.205</v>
      </c>
      <c r="AC1303" s="125">
        <f>600/Projects!$AJ1303</f>
        <v>1090.909091</v>
      </c>
      <c r="AD1303" s="125"/>
      <c r="AE1303" s="125">
        <f t="shared" si="235"/>
        <v>1399247.205</v>
      </c>
      <c r="AF1303" s="127" t="s">
        <v>14133</v>
      </c>
      <c r="AG1303" s="127">
        <v>53.4998096093671</v>
      </c>
      <c r="AH1303" s="127">
        <v>3.95002451521059</v>
      </c>
      <c r="AI1303" s="115" t="s">
        <v>12383</v>
      </c>
      <c r="AJ1303" s="116">
        <v>0.55</v>
      </c>
      <c r="AK1303" s="117"/>
      <c r="AL1303" s="117"/>
      <c r="AM1303" s="117"/>
      <c r="AN1303" s="117"/>
      <c r="AO1303" s="117"/>
    </row>
    <row r="1304" ht="34.5" customHeight="1">
      <c r="A1304" s="111">
        <v>1912.0</v>
      </c>
      <c r="B1304" s="111" t="s">
        <v>9308</v>
      </c>
      <c r="C1304" s="111" t="s">
        <v>8021</v>
      </c>
      <c r="D1304" s="111"/>
      <c r="E1304" s="111"/>
      <c r="F1304" s="111" t="s">
        <v>12397</v>
      </c>
      <c r="G1304" s="111" t="s">
        <v>12239</v>
      </c>
      <c r="H1304" s="111"/>
      <c r="I1304" s="111"/>
      <c r="J1304" s="111"/>
      <c r="K1304" s="111" t="s">
        <v>174</v>
      </c>
      <c r="L1304" s="111"/>
      <c r="M1304" s="111">
        <v>1.0</v>
      </c>
      <c r="N1304" s="111"/>
      <c r="O1304" s="111"/>
      <c r="P1304" s="111"/>
      <c r="Q1304" s="111"/>
      <c r="R1304" s="111"/>
      <c r="S1304" s="111"/>
      <c r="T1304" s="111"/>
      <c r="U1304" s="111"/>
      <c r="V1304" s="111"/>
      <c r="W1304" s="111"/>
      <c r="X1304" s="111"/>
      <c r="Y1304" s="111"/>
      <c r="Z1304" s="111" t="s">
        <v>14134</v>
      </c>
      <c r="AA1304" s="124"/>
      <c r="AB1304" s="125">
        <f t="shared" si="254"/>
        <v>23096.81761</v>
      </c>
      <c r="AC1304" s="126">
        <f>100*3/17/0.98</f>
        <v>18.00720288</v>
      </c>
      <c r="AD1304" s="125"/>
      <c r="AE1304" s="125">
        <f t="shared" si="235"/>
        <v>23096.81761</v>
      </c>
      <c r="AF1304" s="127" t="s">
        <v>14135</v>
      </c>
      <c r="AG1304" s="127">
        <v>-26.298368</v>
      </c>
      <c r="AH1304" s="127">
        <v>117.270077</v>
      </c>
      <c r="AI1304" s="115" t="s">
        <v>12241</v>
      </c>
      <c r="AJ1304" s="116">
        <v>0.9</v>
      </c>
      <c r="AK1304" s="117"/>
      <c r="AL1304" s="117"/>
      <c r="AM1304" s="117"/>
      <c r="AN1304" s="117"/>
      <c r="AO1304" s="117"/>
    </row>
    <row r="1305" ht="34.5" customHeight="1">
      <c r="A1305" s="111">
        <v>1913.0</v>
      </c>
      <c r="B1305" s="111" t="s">
        <v>9309</v>
      </c>
      <c r="C1305" s="111" t="s">
        <v>8021</v>
      </c>
      <c r="D1305" s="111">
        <v>2028.0</v>
      </c>
      <c r="E1305" s="111"/>
      <c r="F1305" s="111" t="s">
        <v>12397</v>
      </c>
      <c r="G1305" s="111" t="s">
        <v>12235</v>
      </c>
      <c r="H1305" s="111" t="s">
        <v>13373</v>
      </c>
      <c r="I1305" s="111" t="str">
        <f>IF(AND(G1305&lt;&gt;"ALK",G1305&lt;&gt;"PEM",G1305&lt;&gt;"SOEC",G1305&lt;&gt;"Other electrolysis"),"N/A","")</f>
        <v>N/A</v>
      </c>
      <c r="J1305" s="111" t="str">
        <f>IF(I1305&lt;&gt;"Dedicated renewable","N/A",)</f>
        <v>N/A</v>
      </c>
      <c r="K1305" s="111" t="s">
        <v>174</v>
      </c>
      <c r="L1305" s="111"/>
      <c r="M1305" s="111">
        <v>1.0</v>
      </c>
      <c r="N1305" s="111"/>
      <c r="O1305" s="111"/>
      <c r="P1305" s="111"/>
      <c r="Q1305" s="111"/>
      <c r="R1305" s="111"/>
      <c r="S1305" s="111"/>
      <c r="T1305" s="111"/>
      <c r="U1305" s="111"/>
      <c r="V1305" s="111"/>
      <c r="W1305" s="111"/>
      <c r="X1305" s="111"/>
      <c r="Y1305" s="111"/>
      <c r="Z1305" s="111" t="s">
        <v>14136</v>
      </c>
      <c r="AA1305" s="124"/>
      <c r="AB1305" s="125">
        <f t="shared" si="254"/>
        <v>230968.1761</v>
      </c>
      <c r="AC1305" s="126">
        <f>1000*3/17/0.98</f>
        <v>180.0720288</v>
      </c>
      <c r="AD1305" s="125"/>
      <c r="AE1305" s="125">
        <f t="shared" si="235"/>
        <v>0</v>
      </c>
      <c r="AF1305" s="127" t="s">
        <v>14137</v>
      </c>
      <c r="AG1305" s="127">
        <v>-29.463478</v>
      </c>
      <c r="AH1305" s="127">
        <v>115.13971</v>
      </c>
      <c r="AI1305" s="115" t="s">
        <v>12378</v>
      </c>
      <c r="AJ1305" s="116">
        <v>0.9</v>
      </c>
      <c r="AK1305" s="117"/>
      <c r="AL1305" s="117"/>
      <c r="AM1305" s="117"/>
      <c r="AN1305" s="117"/>
      <c r="AO1305" s="117"/>
    </row>
    <row r="1306" ht="34.5" customHeight="1">
      <c r="A1306" s="111">
        <v>1914.0</v>
      </c>
      <c r="B1306" s="111" t="s">
        <v>9310</v>
      </c>
      <c r="C1306" s="111" t="s">
        <v>8388</v>
      </c>
      <c r="D1306" s="111"/>
      <c r="E1306" s="111"/>
      <c r="F1306" s="111" t="s">
        <v>12397</v>
      </c>
      <c r="G1306" s="111" t="s">
        <v>12241</v>
      </c>
      <c r="H1306" s="111" t="s">
        <v>13968</v>
      </c>
      <c r="I1306" s="111"/>
      <c r="J1306" s="111"/>
      <c r="K1306" s="111" t="s">
        <v>30</v>
      </c>
      <c r="L1306" s="111"/>
      <c r="M1306" s="111"/>
      <c r="N1306" s="111"/>
      <c r="O1306" s="111"/>
      <c r="P1306" s="111"/>
      <c r="Q1306" s="111"/>
      <c r="R1306" s="111"/>
      <c r="S1306" s="111"/>
      <c r="T1306" s="111"/>
      <c r="U1306" s="111"/>
      <c r="V1306" s="111"/>
      <c r="W1306" s="111">
        <v>1.0</v>
      </c>
      <c r="X1306" s="111"/>
      <c r="Y1306" s="111"/>
      <c r="Z1306" s="111" t="s">
        <v>14138</v>
      </c>
      <c r="AA1306" s="124"/>
      <c r="AB1306" s="125">
        <f t="shared" si="254"/>
        <v>85937.09917</v>
      </c>
      <c r="AC1306" s="125">
        <v>67.0</v>
      </c>
      <c r="AD1306" s="125"/>
      <c r="AE1306" s="125">
        <f t="shared" si="235"/>
        <v>85937.09917</v>
      </c>
      <c r="AF1306" s="127" t="s">
        <v>14139</v>
      </c>
      <c r="AG1306" s="127">
        <v>23.713641</v>
      </c>
      <c r="AH1306" s="127">
        <v>58.044372</v>
      </c>
      <c r="AI1306" s="115" t="s">
        <v>12241</v>
      </c>
      <c r="AJ1306" s="116">
        <v>0.9</v>
      </c>
      <c r="AK1306" s="117"/>
      <c r="AL1306" s="117"/>
      <c r="AM1306" s="117"/>
      <c r="AN1306" s="117"/>
      <c r="AO1306" s="117"/>
    </row>
    <row r="1307" ht="34.5" customHeight="1">
      <c r="A1307" s="111">
        <v>1915.0</v>
      </c>
      <c r="B1307" s="111" t="s">
        <v>9311</v>
      </c>
      <c r="C1307" s="111" t="s">
        <v>8562</v>
      </c>
      <c r="D1307" s="111"/>
      <c r="E1307" s="111"/>
      <c r="F1307" s="111" t="s">
        <v>12397</v>
      </c>
      <c r="G1307" s="111" t="s">
        <v>12381</v>
      </c>
      <c r="H1307" s="111" t="s">
        <v>12230</v>
      </c>
      <c r="I1307" s="111" t="s">
        <v>12394</v>
      </c>
      <c r="J1307" s="111" t="s">
        <v>12295</v>
      </c>
      <c r="K1307" s="111" t="s">
        <v>30</v>
      </c>
      <c r="L1307" s="111"/>
      <c r="M1307" s="111">
        <v>1.0</v>
      </c>
      <c r="N1307" s="111"/>
      <c r="O1307" s="111"/>
      <c r="P1307" s="111"/>
      <c r="Q1307" s="111"/>
      <c r="R1307" s="111"/>
      <c r="S1307" s="111"/>
      <c r="T1307" s="111"/>
      <c r="U1307" s="111"/>
      <c r="V1307" s="111"/>
      <c r="W1307" s="111"/>
      <c r="X1307" s="111"/>
      <c r="Y1307" s="111"/>
      <c r="Z1307" s="111"/>
      <c r="AA1307" s="124"/>
      <c r="AB1307" s="125"/>
      <c r="AC1307" s="125"/>
      <c r="AD1307" s="125"/>
      <c r="AE1307" s="125" t="str">
        <f t="shared" si="235"/>
        <v/>
      </c>
      <c r="AF1307" s="127" t="s">
        <v>14140</v>
      </c>
      <c r="AG1307" s="127">
        <v>31.051878</v>
      </c>
      <c r="AH1307" s="127">
        <v>-9.745255</v>
      </c>
      <c r="AI1307" s="115" t="s">
        <v>12383</v>
      </c>
      <c r="AJ1307" s="116">
        <v>0.5</v>
      </c>
      <c r="AK1307" s="117"/>
      <c r="AL1307" s="117"/>
      <c r="AM1307" s="117"/>
      <c r="AN1307" s="117"/>
      <c r="AO1307" s="117"/>
    </row>
    <row r="1308" ht="34.5" customHeight="1">
      <c r="A1308" s="111">
        <v>1916.0</v>
      </c>
      <c r="B1308" s="111" t="s">
        <v>9312</v>
      </c>
      <c r="C1308" s="111" t="s">
        <v>7991</v>
      </c>
      <c r="D1308" s="111">
        <v>2035.0</v>
      </c>
      <c r="E1308" s="111"/>
      <c r="F1308" s="111" t="s">
        <v>12397</v>
      </c>
      <c r="G1308" s="111" t="s">
        <v>12381</v>
      </c>
      <c r="H1308" s="111" t="s">
        <v>12230</v>
      </c>
      <c r="I1308" s="111" t="s">
        <v>12287</v>
      </c>
      <c r="J1308" s="111" t="str">
        <f t="shared" ref="J1308:J1311" si="255">IF(I1308&lt;&gt;"Dedicated renewable","N/A",)</f>
        <v>N/A</v>
      </c>
      <c r="K1308" s="111" t="s">
        <v>30</v>
      </c>
      <c r="L1308" s="111"/>
      <c r="M1308" s="111"/>
      <c r="N1308" s="111"/>
      <c r="O1308" s="111"/>
      <c r="P1308" s="111"/>
      <c r="Q1308" s="111">
        <v>1.0</v>
      </c>
      <c r="R1308" s="111"/>
      <c r="S1308" s="111"/>
      <c r="T1308" s="111"/>
      <c r="U1308" s="111"/>
      <c r="V1308" s="111"/>
      <c r="W1308" s="111"/>
      <c r="X1308" s="111"/>
      <c r="Y1308" s="111"/>
      <c r="Z1308" s="111" t="s">
        <v>12800</v>
      </c>
      <c r="AA1308" s="124">
        <v>40.0</v>
      </c>
      <c r="AB1308" s="125">
        <f>IF(Projects!$AI1308="Electrolysis",
AA1308/VLOOKUP(G1308,ElectrolysisConvF,3,FALSE),
AC1308*10^6/(H2dens*HoursInYear))</f>
        <v>8888.888889</v>
      </c>
      <c r="AC1308" s="126">
        <f t="shared" ref="AC1308:AC1314" si="256">AB1308*H2dens*HoursInYear/10^6</f>
        <v>6.930133333</v>
      </c>
      <c r="AD1308" s="125"/>
      <c r="AE1308" s="125">
        <f t="shared" si="235"/>
        <v>8888.888889</v>
      </c>
      <c r="AF1308" s="127" t="s">
        <v>14141</v>
      </c>
      <c r="AG1308" s="127">
        <v>53.400002</v>
      </c>
      <c r="AH1308" s="127">
        <v>-2.983333</v>
      </c>
      <c r="AI1308" s="115" t="s">
        <v>12383</v>
      </c>
      <c r="AJ1308" s="116">
        <v>0.57</v>
      </c>
      <c r="AK1308" s="117"/>
      <c r="AL1308" s="117"/>
      <c r="AM1308" s="117"/>
      <c r="AN1308" s="117"/>
      <c r="AO1308" s="117"/>
    </row>
    <row r="1309" ht="34.5" customHeight="1">
      <c r="A1309" s="111">
        <v>1917.0</v>
      </c>
      <c r="B1309" s="111" t="s">
        <v>9313</v>
      </c>
      <c r="C1309" s="111" t="s">
        <v>7991</v>
      </c>
      <c r="D1309" s="111">
        <v>2030.0</v>
      </c>
      <c r="E1309" s="111"/>
      <c r="F1309" s="111" t="s">
        <v>12397</v>
      </c>
      <c r="G1309" s="111" t="s">
        <v>12381</v>
      </c>
      <c r="H1309" s="111" t="s">
        <v>12230</v>
      </c>
      <c r="I1309" s="111" t="s">
        <v>12287</v>
      </c>
      <c r="J1309" s="111" t="str">
        <f t="shared" si="255"/>
        <v>N/A</v>
      </c>
      <c r="K1309" s="111" t="s">
        <v>30</v>
      </c>
      <c r="L1309" s="111"/>
      <c r="M1309" s="111"/>
      <c r="N1309" s="111"/>
      <c r="O1309" s="111"/>
      <c r="P1309" s="111"/>
      <c r="Q1309" s="111">
        <v>1.0</v>
      </c>
      <c r="R1309" s="111"/>
      <c r="S1309" s="111"/>
      <c r="T1309" s="111"/>
      <c r="U1309" s="111"/>
      <c r="V1309" s="111"/>
      <c r="W1309" s="111"/>
      <c r="X1309" s="111"/>
      <c r="Y1309" s="111"/>
      <c r="Z1309" s="111" t="s">
        <v>12800</v>
      </c>
      <c r="AA1309" s="124">
        <v>40.0</v>
      </c>
      <c r="AB1309" s="125">
        <f>IF(Projects!$AI1309="Electrolysis",
AA1309/VLOOKUP(G1309,ElectrolysisConvF,3,FALSE),
AC1309*10^6/(H2dens*HoursInYear))</f>
        <v>8888.888889</v>
      </c>
      <c r="AC1309" s="126">
        <f t="shared" si="256"/>
        <v>6.930133333</v>
      </c>
      <c r="AD1309" s="125"/>
      <c r="AE1309" s="125">
        <f t="shared" si="235"/>
        <v>8888.888889</v>
      </c>
      <c r="AF1309" s="127" t="s">
        <v>14142</v>
      </c>
      <c r="AG1309" s="127">
        <v>53.483959</v>
      </c>
      <c r="AH1309" s="127">
        <v>-2.244644</v>
      </c>
      <c r="AI1309" s="115" t="s">
        <v>12383</v>
      </c>
      <c r="AJ1309" s="116">
        <v>0.57</v>
      </c>
      <c r="AK1309" s="117"/>
      <c r="AL1309" s="117"/>
      <c r="AM1309" s="117"/>
      <c r="AN1309" s="117"/>
      <c r="AO1309" s="117"/>
    </row>
    <row r="1310" ht="34.5" customHeight="1">
      <c r="A1310" s="111">
        <v>1918.0</v>
      </c>
      <c r="B1310" s="111" t="s">
        <v>9314</v>
      </c>
      <c r="C1310" s="111" t="s">
        <v>7991</v>
      </c>
      <c r="D1310" s="111">
        <v>2035.0</v>
      </c>
      <c r="E1310" s="111"/>
      <c r="F1310" s="111" t="s">
        <v>12397</v>
      </c>
      <c r="G1310" s="111" t="s">
        <v>12381</v>
      </c>
      <c r="H1310" s="111" t="s">
        <v>12230</v>
      </c>
      <c r="I1310" s="111" t="s">
        <v>12287</v>
      </c>
      <c r="J1310" s="111" t="str">
        <f t="shared" si="255"/>
        <v>N/A</v>
      </c>
      <c r="K1310" s="111" t="s">
        <v>30</v>
      </c>
      <c r="L1310" s="111"/>
      <c r="M1310" s="111"/>
      <c r="N1310" s="111"/>
      <c r="O1310" s="111"/>
      <c r="P1310" s="111"/>
      <c r="Q1310" s="111">
        <v>1.0</v>
      </c>
      <c r="R1310" s="111"/>
      <c r="S1310" s="111"/>
      <c r="T1310" s="111"/>
      <c r="U1310" s="111"/>
      <c r="V1310" s="111"/>
      <c r="W1310" s="111"/>
      <c r="X1310" s="111"/>
      <c r="Y1310" s="111"/>
      <c r="Z1310" s="111" t="s">
        <v>12800</v>
      </c>
      <c r="AA1310" s="124">
        <v>40.0</v>
      </c>
      <c r="AB1310" s="125">
        <f>IF(Projects!$AI1310="Electrolysis",
AA1310/VLOOKUP(G1310,ElectrolysisConvF,3,FALSE),
AC1310*10^6/(H2dens*HoursInYear))</f>
        <v>8888.888889</v>
      </c>
      <c r="AC1310" s="126">
        <f t="shared" si="256"/>
        <v>6.930133333</v>
      </c>
      <c r="AD1310" s="125"/>
      <c r="AE1310" s="125">
        <f t="shared" si="235"/>
        <v>8888.888889</v>
      </c>
      <c r="AF1310" s="127" t="s">
        <v>14141</v>
      </c>
      <c r="AG1310" s="127">
        <v>51.509865</v>
      </c>
      <c r="AH1310" s="127">
        <v>-0.118092</v>
      </c>
      <c r="AI1310" s="115" t="s">
        <v>12383</v>
      </c>
      <c r="AJ1310" s="116">
        <v>0.57</v>
      </c>
      <c r="AK1310" s="117"/>
      <c r="AL1310" s="117"/>
      <c r="AM1310" s="117"/>
      <c r="AN1310" s="117"/>
      <c r="AO1310" s="117"/>
    </row>
    <row r="1311" ht="34.5" customHeight="1">
      <c r="A1311" s="111">
        <v>1919.0</v>
      </c>
      <c r="B1311" s="111" t="s">
        <v>9315</v>
      </c>
      <c r="C1311" s="111" t="s">
        <v>7991</v>
      </c>
      <c r="D1311" s="111">
        <v>2030.0</v>
      </c>
      <c r="E1311" s="111"/>
      <c r="F1311" s="111" t="s">
        <v>12397</v>
      </c>
      <c r="G1311" s="111" t="s">
        <v>12381</v>
      </c>
      <c r="H1311" s="111" t="s">
        <v>12230</v>
      </c>
      <c r="I1311" s="111" t="s">
        <v>12287</v>
      </c>
      <c r="J1311" s="111" t="str">
        <f t="shared" si="255"/>
        <v>N/A</v>
      </c>
      <c r="K1311" s="111" t="s">
        <v>30</v>
      </c>
      <c r="L1311" s="111"/>
      <c r="M1311" s="111"/>
      <c r="N1311" s="111"/>
      <c r="O1311" s="111"/>
      <c r="P1311" s="111"/>
      <c r="Q1311" s="111">
        <v>1.0</v>
      </c>
      <c r="R1311" s="111"/>
      <c r="S1311" s="111"/>
      <c r="T1311" s="111"/>
      <c r="U1311" s="111"/>
      <c r="V1311" s="111"/>
      <c r="W1311" s="111"/>
      <c r="X1311" s="111"/>
      <c r="Y1311" s="111"/>
      <c r="Z1311" s="111" t="s">
        <v>12800</v>
      </c>
      <c r="AA1311" s="124">
        <v>40.0</v>
      </c>
      <c r="AB1311" s="125">
        <f>IF(Projects!$AI1311="Electrolysis",
AA1311/VLOOKUP(G1311,ElectrolysisConvF,3,FALSE),
AC1311*10^6/(H2dens*HoursInYear))</f>
        <v>8888.888889</v>
      </c>
      <c r="AC1311" s="126">
        <f t="shared" si="256"/>
        <v>6.930133333</v>
      </c>
      <c r="AD1311" s="125"/>
      <c r="AE1311" s="125">
        <f t="shared" si="235"/>
        <v>8888.888889</v>
      </c>
      <c r="AF1311" s="127" t="s">
        <v>14142</v>
      </c>
      <c r="AG1311" s="127">
        <v>51.499998</v>
      </c>
      <c r="AH1311" s="127">
        <v>0.583331</v>
      </c>
      <c r="AI1311" s="115" t="s">
        <v>12383</v>
      </c>
      <c r="AJ1311" s="116">
        <v>0.57</v>
      </c>
      <c r="AK1311" s="117"/>
      <c r="AL1311" s="117"/>
      <c r="AM1311" s="117"/>
      <c r="AN1311" s="117"/>
      <c r="AO1311" s="117"/>
    </row>
    <row r="1312" ht="34.5" customHeight="1">
      <c r="A1312" s="111">
        <v>1920.0</v>
      </c>
      <c r="B1312" s="111" t="s">
        <v>9316</v>
      </c>
      <c r="C1312" s="111" t="s">
        <v>8021</v>
      </c>
      <c r="D1312" s="111"/>
      <c r="E1312" s="111"/>
      <c r="F1312" s="111" t="s">
        <v>12399</v>
      </c>
      <c r="G1312" s="111" t="s">
        <v>12381</v>
      </c>
      <c r="H1312" s="111" t="s">
        <v>12230</v>
      </c>
      <c r="I1312" s="111" t="s">
        <v>12394</v>
      </c>
      <c r="J1312" s="111" t="s">
        <v>12291</v>
      </c>
      <c r="K1312" s="111" t="s">
        <v>30</v>
      </c>
      <c r="L1312" s="111"/>
      <c r="M1312" s="111"/>
      <c r="N1312" s="111"/>
      <c r="O1312" s="111"/>
      <c r="P1312" s="111"/>
      <c r="Q1312" s="111"/>
      <c r="R1312" s="111"/>
      <c r="S1312" s="111"/>
      <c r="T1312" s="111"/>
      <c r="U1312" s="111"/>
      <c r="V1312" s="111"/>
      <c r="W1312" s="111"/>
      <c r="X1312" s="111"/>
      <c r="Y1312" s="111"/>
      <c r="Z1312" s="111" t="s">
        <v>14143</v>
      </c>
      <c r="AA1312" s="124">
        <v>1000.0</v>
      </c>
      <c r="AB1312" s="125">
        <f>IF(Projects!$AI1312="Electrolysis",
AA1312/VLOOKUP(G1312,ElectrolysisConvF,3,FALSE),
AC1312*10^6/(H2dens*HoursInYear))</f>
        <v>222222.2222</v>
      </c>
      <c r="AC1312" s="126">
        <f t="shared" si="256"/>
        <v>173.2533333</v>
      </c>
      <c r="AD1312" s="125"/>
      <c r="AE1312" s="125">
        <f t="shared" si="235"/>
        <v>222222.2222</v>
      </c>
      <c r="AF1312" s="127" t="s">
        <v>14144</v>
      </c>
      <c r="AG1312" s="127">
        <v>-12.462827</v>
      </c>
      <c r="AH1312" s="127">
        <v>130.841782</v>
      </c>
      <c r="AI1312" s="115" t="s">
        <v>12383</v>
      </c>
      <c r="AJ1312" s="116">
        <v>0.3</v>
      </c>
      <c r="AK1312" s="117"/>
      <c r="AL1312" s="117"/>
      <c r="AM1312" s="117"/>
      <c r="AN1312" s="117"/>
      <c r="AO1312" s="117"/>
    </row>
    <row r="1313" ht="34.5" customHeight="1">
      <c r="A1313" s="111">
        <v>1921.0</v>
      </c>
      <c r="B1313" s="111" t="s">
        <v>9317</v>
      </c>
      <c r="C1313" s="111" t="s">
        <v>8001</v>
      </c>
      <c r="D1313" s="111">
        <v>2028.0</v>
      </c>
      <c r="E1313" s="111"/>
      <c r="F1313" s="111" t="s">
        <v>12399</v>
      </c>
      <c r="G1313" s="111" t="s">
        <v>12381</v>
      </c>
      <c r="H1313" s="111" t="s">
        <v>12230</v>
      </c>
      <c r="I1313" s="111" t="s">
        <v>12394</v>
      </c>
      <c r="J1313" s="111" t="s">
        <v>12295</v>
      </c>
      <c r="K1313" s="111" t="s">
        <v>174</v>
      </c>
      <c r="L1313" s="111"/>
      <c r="M1313" s="111">
        <v>1.0</v>
      </c>
      <c r="N1313" s="111"/>
      <c r="O1313" s="111">
        <v>1.0</v>
      </c>
      <c r="P1313" s="111"/>
      <c r="Q1313" s="111"/>
      <c r="R1313" s="111"/>
      <c r="S1313" s="111"/>
      <c r="T1313" s="111"/>
      <c r="U1313" s="111"/>
      <c r="V1313" s="111"/>
      <c r="W1313" s="111"/>
      <c r="X1313" s="111"/>
      <c r="Y1313" s="111"/>
      <c r="Z1313" s="111" t="s">
        <v>14145</v>
      </c>
      <c r="AA1313" s="126">
        <f>IF(Projects!$AI1313="Electrolysis",
AB1313*VLOOKUP(G1313,ElectrolysisConvF,3,FALSE),
"")</f>
        <v>1215</v>
      </c>
      <c r="AB1313" s="125">
        <v>270000.0</v>
      </c>
      <c r="AC1313" s="125">
        <f t="shared" si="256"/>
        <v>210.5028</v>
      </c>
      <c r="AD1313" s="125"/>
      <c r="AE1313" s="125">
        <f t="shared" si="235"/>
        <v>270000</v>
      </c>
      <c r="AF1313" s="127" t="s">
        <v>14146</v>
      </c>
      <c r="AG1313" s="127">
        <v>40.650002</v>
      </c>
      <c r="AH1313" s="127">
        <v>109.833336</v>
      </c>
      <c r="AI1313" s="115" t="s">
        <v>12383</v>
      </c>
      <c r="AJ1313" s="116">
        <v>0.5</v>
      </c>
      <c r="AK1313" s="117"/>
      <c r="AL1313" s="117"/>
      <c r="AM1313" s="117"/>
      <c r="AN1313" s="117"/>
      <c r="AO1313" s="117"/>
    </row>
    <row r="1314" ht="34.5" customHeight="1">
      <c r="A1314" s="111">
        <v>1922.0</v>
      </c>
      <c r="B1314" s="111" t="s">
        <v>9318</v>
      </c>
      <c r="C1314" s="111" t="s">
        <v>8001</v>
      </c>
      <c r="D1314" s="111">
        <v>2025.0</v>
      </c>
      <c r="E1314" s="111"/>
      <c r="F1314" s="111" t="s">
        <v>12393</v>
      </c>
      <c r="G1314" s="111" t="s">
        <v>12381</v>
      </c>
      <c r="H1314" s="111" t="s">
        <v>12230</v>
      </c>
      <c r="I1314" s="111" t="s">
        <v>12394</v>
      </c>
      <c r="J1314" s="111" t="s">
        <v>12292</v>
      </c>
      <c r="K1314" s="111" t="s">
        <v>174</v>
      </c>
      <c r="L1314" s="111"/>
      <c r="M1314" s="111">
        <v>1.0</v>
      </c>
      <c r="N1314" s="111"/>
      <c r="O1314" s="111">
        <v>1.0</v>
      </c>
      <c r="P1314" s="111"/>
      <c r="Q1314" s="111"/>
      <c r="R1314" s="111"/>
      <c r="S1314" s="111"/>
      <c r="T1314" s="111"/>
      <c r="U1314" s="111"/>
      <c r="V1314" s="111"/>
      <c r="W1314" s="111"/>
      <c r="X1314" s="111"/>
      <c r="Y1314" s="111"/>
      <c r="Z1314" s="111" t="s">
        <v>14147</v>
      </c>
      <c r="AA1314" s="126">
        <f>IF(Projects!$AI1314="Electrolysis",
AB1314*VLOOKUP(G1314,ElectrolysisConvF,3,FALSE),
"")</f>
        <v>135</v>
      </c>
      <c r="AB1314" s="125">
        <v>30000.0</v>
      </c>
      <c r="AC1314" s="125">
        <f t="shared" si="256"/>
        <v>23.3892</v>
      </c>
      <c r="AD1314" s="125"/>
      <c r="AE1314" s="125">
        <f t="shared" si="235"/>
        <v>30000</v>
      </c>
      <c r="AF1314" s="127" t="s">
        <v>14148</v>
      </c>
      <c r="AG1314" s="127">
        <v>40.650002</v>
      </c>
      <c r="AH1314" s="127">
        <v>109.833336</v>
      </c>
      <c r="AI1314" s="115" t="s">
        <v>12383</v>
      </c>
      <c r="AJ1314" s="116">
        <v>0.4</v>
      </c>
      <c r="AK1314" s="117"/>
      <c r="AL1314" s="117"/>
      <c r="AM1314" s="117"/>
      <c r="AN1314" s="117"/>
      <c r="AO1314" s="117"/>
    </row>
    <row r="1315" ht="34.5" customHeight="1">
      <c r="A1315" s="111">
        <v>1923.0</v>
      </c>
      <c r="B1315" s="111" t="s">
        <v>9319</v>
      </c>
      <c r="C1315" s="111" t="s">
        <v>8365</v>
      </c>
      <c r="D1315" s="111">
        <v>2025.0</v>
      </c>
      <c r="E1315" s="111"/>
      <c r="F1315" s="111" t="s">
        <v>12399</v>
      </c>
      <c r="G1315" s="111" t="s">
        <v>12381</v>
      </c>
      <c r="H1315" s="111" t="s">
        <v>12230</v>
      </c>
      <c r="I1315" s="111" t="s">
        <v>12394</v>
      </c>
      <c r="J1315" s="111" t="s">
        <v>12295</v>
      </c>
      <c r="K1315" s="111" t="s">
        <v>174</v>
      </c>
      <c r="L1315" s="111"/>
      <c r="M1315" s="111">
        <v>1.0</v>
      </c>
      <c r="N1315" s="111"/>
      <c r="O1315" s="111"/>
      <c r="P1315" s="111"/>
      <c r="Q1315" s="111"/>
      <c r="R1315" s="111"/>
      <c r="S1315" s="111"/>
      <c r="T1315" s="111"/>
      <c r="U1315" s="111"/>
      <c r="V1315" s="111"/>
      <c r="W1315" s="111"/>
      <c r="X1315" s="111"/>
      <c r="Y1315" s="111"/>
      <c r="Z1315" s="111" t="s">
        <v>14149</v>
      </c>
      <c r="AA1315" s="126">
        <f>IF(Projects!$AI1315="Electrolysis",
AB1315*VLOOKUP(G1315,ElectrolysisConvF,3,FALSE),
"")</f>
        <v>148.9148838</v>
      </c>
      <c r="AB1315" s="125">
        <f t="shared" ref="AB1315:AB1317" si="257">AC1315/(H2dens*HoursInYear/10^6)</f>
        <v>33092.1964</v>
      </c>
      <c r="AC1315" s="125">
        <f>12.9/Projects!$AJ1315</f>
        <v>25.8</v>
      </c>
      <c r="AD1315" s="125"/>
      <c r="AE1315" s="125">
        <f t="shared" si="235"/>
        <v>33092.1964</v>
      </c>
      <c r="AF1315" s="127" t="s">
        <v>14150</v>
      </c>
      <c r="AG1315" s="127">
        <v>-30.647854</v>
      </c>
      <c r="AH1315" s="127">
        <v>24.011477</v>
      </c>
      <c r="AI1315" s="115" t="s">
        <v>12383</v>
      </c>
      <c r="AJ1315" s="116">
        <v>0.5</v>
      </c>
      <c r="AK1315" s="117"/>
      <c r="AL1315" s="117"/>
      <c r="AM1315" s="117"/>
      <c r="AN1315" s="117"/>
      <c r="AO1315" s="117"/>
    </row>
    <row r="1316" ht="34.5" customHeight="1">
      <c r="A1316" s="111">
        <v>1924.0</v>
      </c>
      <c r="B1316" s="111" t="s">
        <v>9320</v>
      </c>
      <c r="C1316" s="111" t="s">
        <v>8365</v>
      </c>
      <c r="D1316" s="111">
        <v>2030.0</v>
      </c>
      <c r="E1316" s="111"/>
      <c r="F1316" s="111" t="s">
        <v>12397</v>
      </c>
      <c r="G1316" s="111" t="s">
        <v>12381</v>
      </c>
      <c r="H1316" s="111" t="s">
        <v>12230</v>
      </c>
      <c r="I1316" s="111" t="s">
        <v>12394</v>
      </c>
      <c r="J1316" s="111" t="s">
        <v>12295</v>
      </c>
      <c r="K1316" s="111" t="s">
        <v>174</v>
      </c>
      <c r="L1316" s="111"/>
      <c r="M1316" s="111">
        <v>1.0</v>
      </c>
      <c r="N1316" s="111"/>
      <c r="O1316" s="111"/>
      <c r="P1316" s="111"/>
      <c r="Q1316" s="111"/>
      <c r="R1316" s="111"/>
      <c r="S1316" s="111"/>
      <c r="T1316" s="111"/>
      <c r="U1316" s="111"/>
      <c r="V1316" s="111"/>
      <c r="W1316" s="111"/>
      <c r="X1316" s="111"/>
      <c r="Y1316" s="111"/>
      <c r="Z1316" s="111" t="s">
        <v>14151</v>
      </c>
      <c r="AA1316" s="126">
        <f>IF(Projects!$AI1316="Electrolysis",
AB1316*VLOOKUP(G1316,ElectrolysisConvF,3,FALSE),
"")</f>
        <v>5622.979837</v>
      </c>
      <c r="AB1316" s="125">
        <f t="shared" si="257"/>
        <v>1249551.075</v>
      </c>
      <c r="AC1316" s="125">
        <f>500/Projects!$AJ1316-AC1315</f>
        <v>974.2</v>
      </c>
      <c r="AD1316" s="125"/>
      <c r="AE1316" s="125">
        <f t="shared" si="235"/>
        <v>1249551.075</v>
      </c>
      <c r="AF1316" s="127" t="s">
        <v>14150</v>
      </c>
      <c r="AG1316" s="127">
        <v>-30.647854</v>
      </c>
      <c r="AH1316" s="127">
        <v>24.011477</v>
      </c>
      <c r="AI1316" s="115" t="s">
        <v>12383</v>
      </c>
      <c r="AJ1316" s="116">
        <v>0.5</v>
      </c>
      <c r="AK1316" s="117"/>
      <c r="AL1316" s="117"/>
      <c r="AM1316" s="117"/>
      <c r="AN1316" s="117"/>
      <c r="AO1316" s="117"/>
    </row>
    <row r="1317" ht="34.5" customHeight="1">
      <c r="A1317" s="111">
        <v>1925.0</v>
      </c>
      <c r="B1317" s="111" t="s">
        <v>9321</v>
      </c>
      <c r="C1317" s="111" t="s">
        <v>7981</v>
      </c>
      <c r="D1317" s="111">
        <v>2026.0</v>
      </c>
      <c r="E1317" s="111"/>
      <c r="F1317" s="111" t="s">
        <v>12399</v>
      </c>
      <c r="G1317" s="111" t="s">
        <v>12381</v>
      </c>
      <c r="H1317" s="111" t="s">
        <v>12230</v>
      </c>
      <c r="I1317" s="111" t="s">
        <v>12394</v>
      </c>
      <c r="J1317" s="111" t="s">
        <v>12292</v>
      </c>
      <c r="K1317" s="111" t="s">
        <v>174</v>
      </c>
      <c r="L1317" s="111"/>
      <c r="M1317" s="111">
        <v>1.0</v>
      </c>
      <c r="N1317" s="111"/>
      <c r="O1317" s="111"/>
      <c r="P1317" s="111"/>
      <c r="Q1317" s="111"/>
      <c r="R1317" s="111"/>
      <c r="S1317" s="111"/>
      <c r="T1317" s="111"/>
      <c r="U1317" s="111"/>
      <c r="V1317" s="111"/>
      <c r="W1317" s="111"/>
      <c r="X1317" s="111"/>
      <c r="Y1317" s="111"/>
      <c r="Z1317" s="111" t="s">
        <v>14152</v>
      </c>
      <c r="AA1317" s="126">
        <f>IF(Projects!$AI1317="Electrolysis",
AB1317*VLOOKUP(G1317,ElectrolysisConvF,3,FALSE),
"")</f>
        <v>426.7858829</v>
      </c>
      <c r="AB1317" s="125">
        <f t="shared" si="257"/>
        <v>94841.30731</v>
      </c>
      <c r="AC1317" s="125">
        <f>(0.45*365*3/17/0.98)/Projects!$AJ1317</f>
        <v>73.94207683</v>
      </c>
      <c r="AD1317" s="125"/>
      <c r="AE1317" s="125">
        <f t="shared" si="235"/>
        <v>94841.30731</v>
      </c>
      <c r="AF1317" s="127" t="s">
        <v>14153</v>
      </c>
      <c r="AG1317" s="127">
        <v>42.983824</v>
      </c>
      <c r="AH1317" s="127">
        <v>-93.96658</v>
      </c>
      <c r="AI1317" s="115" t="s">
        <v>12383</v>
      </c>
      <c r="AJ1317" s="116">
        <v>0.4</v>
      </c>
      <c r="AK1317" s="117"/>
      <c r="AL1317" s="117"/>
      <c r="AM1317" s="117"/>
      <c r="AN1317" s="117"/>
      <c r="AO1317" s="117"/>
    </row>
    <row r="1318" ht="34.5" customHeight="1">
      <c r="A1318" s="111">
        <v>1926.0</v>
      </c>
      <c r="B1318" s="111" t="s">
        <v>9322</v>
      </c>
      <c r="C1318" s="111" t="s">
        <v>7991</v>
      </c>
      <c r="D1318" s="111">
        <v>2025.0</v>
      </c>
      <c r="E1318" s="111"/>
      <c r="F1318" s="111" t="s">
        <v>12393</v>
      </c>
      <c r="G1318" s="111" t="s">
        <v>12224</v>
      </c>
      <c r="H1318" s="111"/>
      <c r="I1318" s="111" t="s">
        <v>12287</v>
      </c>
      <c r="J1318" s="111"/>
      <c r="K1318" s="111" t="s">
        <v>30</v>
      </c>
      <c r="L1318" s="111"/>
      <c r="M1318" s="111"/>
      <c r="N1318" s="111"/>
      <c r="O1318" s="111"/>
      <c r="P1318" s="111"/>
      <c r="Q1318" s="111">
        <v>1.0</v>
      </c>
      <c r="R1318" s="111"/>
      <c r="S1318" s="111"/>
      <c r="T1318" s="111"/>
      <c r="U1318" s="111"/>
      <c r="V1318" s="111"/>
      <c r="W1318" s="111"/>
      <c r="X1318" s="111"/>
      <c r="Y1318" s="111"/>
      <c r="Z1318" s="111" t="s">
        <v>12444</v>
      </c>
      <c r="AA1318" s="124">
        <v>6.0</v>
      </c>
      <c r="AB1318" s="125">
        <f>IF(Projects!$AI1318="Electrolysis",
AA1318/VLOOKUP(G1318,ElectrolysisConvF,3,FALSE),
AC1318*10^6/(H2dens*HoursInYear))</f>
        <v>1304.347826</v>
      </c>
      <c r="AC1318" s="126">
        <f t="shared" ref="AC1318:AC1322" si="258">AB1318*H2dens*HoursInYear/10^6</f>
        <v>1.016921739</v>
      </c>
      <c r="AD1318" s="125"/>
      <c r="AE1318" s="125">
        <f t="shared" si="235"/>
        <v>1304.347826</v>
      </c>
      <c r="AF1318" s="127" t="s">
        <v>14154</v>
      </c>
      <c r="AG1318" s="127">
        <v>57.477772</v>
      </c>
      <c r="AH1318" s="127">
        <v>-4.224721</v>
      </c>
      <c r="AI1318" s="115" t="s">
        <v>12383</v>
      </c>
      <c r="AJ1318" s="116">
        <v>0.57</v>
      </c>
      <c r="AK1318" s="117"/>
      <c r="AL1318" s="117"/>
      <c r="AM1318" s="117"/>
      <c r="AN1318" s="117"/>
      <c r="AO1318" s="117"/>
    </row>
    <row r="1319" ht="34.5" customHeight="1">
      <c r="A1319" s="111">
        <v>1928.0</v>
      </c>
      <c r="B1319" s="111" t="s">
        <v>9323</v>
      </c>
      <c r="C1319" s="111" t="s">
        <v>8388</v>
      </c>
      <c r="D1319" s="111">
        <v>2026.0</v>
      </c>
      <c r="E1319" s="111"/>
      <c r="F1319" s="111" t="s">
        <v>12397</v>
      </c>
      <c r="G1319" s="111" t="s">
        <v>12381</v>
      </c>
      <c r="H1319" s="111" t="s">
        <v>12230</v>
      </c>
      <c r="I1319" s="111" t="s">
        <v>12394</v>
      </c>
      <c r="J1319" s="111" t="s">
        <v>12296</v>
      </c>
      <c r="K1319" s="111" t="s">
        <v>30</v>
      </c>
      <c r="L1319" s="111"/>
      <c r="M1319" s="111"/>
      <c r="N1319" s="111"/>
      <c r="O1319" s="111">
        <v>1.0</v>
      </c>
      <c r="P1319" s="111"/>
      <c r="Q1319" s="111"/>
      <c r="R1319" s="111"/>
      <c r="S1319" s="111"/>
      <c r="T1319" s="111"/>
      <c r="U1319" s="111"/>
      <c r="V1319" s="111"/>
      <c r="W1319" s="111"/>
      <c r="X1319" s="111"/>
      <c r="Y1319" s="111"/>
      <c r="Z1319" s="111" t="s">
        <v>13447</v>
      </c>
      <c r="AA1319" s="124">
        <v>35.0</v>
      </c>
      <c r="AB1319" s="125">
        <f>IF(Projects!$AI1319="Electrolysis",
AA1319/VLOOKUP(G1319,ElectrolysisConvF,3,FALSE),
AC1319*10^6/(H2dens*HoursInYear))</f>
        <v>7777.777778</v>
      </c>
      <c r="AC1319" s="126">
        <f t="shared" si="258"/>
        <v>6.063866667</v>
      </c>
      <c r="AD1319" s="125"/>
      <c r="AE1319" s="125">
        <f t="shared" si="235"/>
        <v>7777.777778</v>
      </c>
      <c r="AF1319" s="127" t="s">
        <v>14155</v>
      </c>
      <c r="AG1319" s="127">
        <v>24.5010816828439</v>
      </c>
      <c r="AH1319" s="127">
        <v>56.628190828417</v>
      </c>
      <c r="AI1319" s="115" t="s">
        <v>12383</v>
      </c>
      <c r="AJ1319" s="116">
        <v>0.5</v>
      </c>
      <c r="AK1319" s="117"/>
      <c r="AL1319" s="117"/>
      <c r="AM1319" s="117"/>
      <c r="AN1319" s="117"/>
      <c r="AO1319" s="117"/>
    </row>
    <row r="1320" ht="34.5" customHeight="1">
      <c r="A1320" s="111">
        <v>1929.0</v>
      </c>
      <c r="B1320" s="111" t="s">
        <v>9324</v>
      </c>
      <c r="C1320" s="111" t="s">
        <v>8388</v>
      </c>
      <c r="D1320" s="111"/>
      <c r="E1320" s="111"/>
      <c r="F1320" s="111" t="s">
        <v>12397</v>
      </c>
      <c r="G1320" s="111" t="s">
        <v>12381</v>
      </c>
      <c r="H1320" s="111" t="s">
        <v>12230</v>
      </c>
      <c r="I1320" s="111" t="s">
        <v>12394</v>
      </c>
      <c r="J1320" s="111" t="s">
        <v>12296</v>
      </c>
      <c r="K1320" s="111" t="s">
        <v>30</v>
      </c>
      <c r="L1320" s="111"/>
      <c r="M1320" s="111"/>
      <c r="N1320" s="111"/>
      <c r="O1320" s="111">
        <v>1.0</v>
      </c>
      <c r="P1320" s="111"/>
      <c r="Q1320" s="111"/>
      <c r="R1320" s="111"/>
      <c r="S1320" s="111"/>
      <c r="T1320" s="111"/>
      <c r="U1320" s="111"/>
      <c r="V1320" s="111"/>
      <c r="W1320" s="111"/>
      <c r="X1320" s="111"/>
      <c r="Y1320" s="111"/>
      <c r="Z1320" s="111" t="s">
        <v>12794</v>
      </c>
      <c r="AA1320" s="124">
        <v>315.0</v>
      </c>
      <c r="AB1320" s="125">
        <f>IF(Projects!$AI1320="Electrolysis",
AA1320/VLOOKUP(G1320,ElectrolysisConvF,3,FALSE),
AC1320*10^6/(H2dens*HoursInYear))</f>
        <v>70000</v>
      </c>
      <c r="AC1320" s="126">
        <f t="shared" si="258"/>
        <v>54.5748</v>
      </c>
      <c r="AD1320" s="125"/>
      <c r="AE1320" s="125">
        <f t="shared" si="235"/>
        <v>70000</v>
      </c>
      <c r="AF1320" s="127" t="s">
        <v>14155</v>
      </c>
      <c r="AG1320" s="127">
        <v>24.5010816828439</v>
      </c>
      <c r="AH1320" s="127">
        <v>56.628190828417</v>
      </c>
      <c r="AI1320" s="115" t="s">
        <v>12383</v>
      </c>
      <c r="AJ1320" s="116">
        <v>0.5</v>
      </c>
      <c r="AK1320" s="117"/>
      <c r="AL1320" s="117"/>
      <c r="AM1320" s="117"/>
      <c r="AN1320" s="117"/>
      <c r="AO1320" s="117"/>
    </row>
    <row r="1321" ht="34.5" customHeight="1">
      <c r="A1321" s="111">
        <v>1930.0</v>
      </c>
      <c r="B1321" s="111" t="s">
        <v>9325</v>
      </c>
      <c r="C1321" s="111" t="s">
        <v>8108</v>
      </c>
      <c r="D1321" s="111">
        <v>2028.0</v>
      </c>
      <c r="E1321" s="111"/>
      <c r="F1321" s="111" t="s">
        <v>12399</v>
      </c>
      <c r="G1321" s="111" t="s">
        <v>12381</v>
      </c>
      <c r="H1321" s="111" t="s">
        <v>12230</v>
      </c>
      <c r="I1321" s="111" t="s">
        <v>12394</v>
      </c>
      <c r="J1321" s="111" t="s">
        <v>12291</v>
      </c>
      <c r="K1321" s="111" t="s">
        <v>174</v>
      </c>
      <c r="L1321" s="111"/>
      <c r="M1321" s="111">
        <v>1.0</v>
      </c>
      <c r="N1321" s="111"/>
      <c r="O1321" s="111"/>
      <c r="P1321" s="111"/>
      <c r="Q1321" s="111"/>
      <c r="R1321" s="111"/>
      <c r="S1321" s="111"/>
      <c r="T1321" s="111"/>
      <c r="U1321" s="111"/>
      <c r="V1321" s="111"/>
      <c r="W1321" s="111"/>
      <c r="X1321" s="111"/>
      <c r="Y1321" s="111"/>
      <c r="Z1321" s="111" t="s">
        <v>14080</v>
      </c>
      <c r="AA1321" s="124">
        <v>1500.0</v>
      </c>
      <c r="AB1321" s="125">
        <f>IF(Projects!$AI1321="Electrolysis",
AA1321/VLOOKUP(G1321,ElectrolysisConvF,3,FALSE),
AC1321*10^6/(H2dens*HoursInYear))</f>
        <v>333333.3333</v>
      </c>
      <c r="AC1321" s="126">
        <f t="shared" si="258"/>
        <v>259.88</v>
      </c>
      <c r="AD1321" s="125"/>
      <c r="AE1321" s="125">
        <f t="shared" si="235"/>
        <v>333333.3333</v>
      </c>
      <c r="AF1321" s="127" t="s">
        <v>14156</v>
      </c>
      <c r="AG1321" s="127">
        <v>13.9908834901355</v>
      </c>
      <c r="AH1321" s="127">
        <v>75.3180523218253</v>
      </c>
      <c r="AI1321" s="115" t="s">
        <v>12383</v>
      </c>
      <c r="AJ1321" s="116">
        <v>0.3</v>
      </c>
      <c r="AK1321" s="117"/>
      <c r="AL1321" s="117"/>
      <c r="AM1321" s="117"/>
      <c r="AN1321" s="117"/>
      <c r="AO1321" s="117"/>
    </row>
    <row r="1322" ht="34.5" customHeight="1">
      <c r="A1322" s="111">
        <v>1931.0</v>
      </c>
      <c r="B1322" s="111" t="s">
        <v>9326</v>
      </c>
      <c r="C1322" s="111" t="s">
        <v>7991</v>
      </c>
      <c r="D1322" s="111">
        <v>2023.0</v>
      </c>
      <c r="E1322" s="111"/>
      <c r="F1322" s="111" t="s">
        <v>12385</v>
      </c>
      <c r="G1322" s="111" t="s">
        <v>12381</v>
      </c>
      <c r="H1322" s="111" t="s">
        <v>12230</v>
      </c>
      <c r="I1322" s="111" t="s">
        <v>12287</v>
      </c>
      <c r="J1322" s="111"/>
      <c r="K1322" s="111" t="s">
        <v>30</v>
      </c>
      <c r="L1322" s="111"/>
      <c r="M1322" s="111"/>
      <c r="N1322" s="111"/>
      <c r="O1322" s="111"/>
      <c r="P1322" s="111">
        <v>1.0</v>
      </c>
      <c r="Q1322" s="111"/>
      <c r="R1322" s="111"/>
      <c r="S1322" s="111"/>
      <c r="T1322" s="111"/>
      <c r="U1322" s="111"/>
      <c r="V1322" s="111"/>
      <c r="W1322" s="111"/>
      <c r="X1322" s="111"/>
      <c r="Y1322" s="111"/>
      <c r="Z1322" s="111" t="s">
        <v>12908</v>
      </c>
      <c r="AA1322" s="124">
        <v>1.0</v>
      </c>
      <c r="AB1322" s="125">
        <f>IF(Projects!$AI1322="Electrolysis",
AA1322/VLOOKUP(G1322,ElectrolysisConvF,3,FALSE),
AC1322*10^6/(H2dens*HoursInYear))</f>
        <v>222.2222222</v>
      </c>
      <c r="AC1322" s="126">
        <f t="shared" si="258"/>
        <v>0.1732533333</v>
      </c>
      <c r="AD1322" s="125"/>
      <c r="AE1322" s="125">
        <f t="shared" si="235"/>
        <v>222.2222222</v>
      </c>
      <c r="AF1322" s="127" t="s">
        <v>14157</v>
      </c>
      <c r="AG1322" s="127">
        <v>52.5539074326874</v>
      </c>
      <c r="AH1322" s="127">
        <v>-1.45980653239215</v>
      </c>
      <c r="AI1322" s="115" t="s">
        <v>12383</v>
      </c>
      <c r="AJ1322" s="116">
        <v>0.57</v>
      </c>
      <c r="AK1322" s="117"/>
      <c r="AL1322" s="117"/>
      <c r="AM1322" s="117"/>
      <c r="AN1322" s="117"/>
      <c r="AO1322" s="117"/>
    </row>
    <row r="1323" ht="34.5" customHeight="1">
      <c r="A1323" s="111">
        <v>1932.0</v>
      </c>
      <c r="B1323" s="111" t="s">
        <v>9327</v>
      </c>
      <c r="C1323" s="111" t="s">
        <v>7981</v>
      </c>
      <c r="D1323" s="111">
        <v>2028.0</v>
      </c>
      <c r="E1323" s="111"/>
      <c r="F1323" s="111" t="s">
        <v>12399</v>
      </c>
      <c r="G1323" s="111" t="s">
        <v>12235</v>
      </c>
      <c r="H1323" s="111" t="s">
        <v>14158</v>
      </c>
      <c r="I1323" s="111"/>
      <c r="J1323" s="111"/>
      <c r="K1323" s="111" t="s">
        <v>174</v>
      </c>
      <c r="L1323" s="111"/>
      <c r="M1323" s="111">
        <v>1.0</v>
      </c>
      <c r="N1323" s="111"/>
      <c r="O1323" s="111"/>
      <c r="P1323" s="111"/>
      <c r="Q1323" s="111"/>
      <c r="R1323" s="111"/>
      <c r="S1323" s="111"/>
      <c r="T1323" s="111"/>
      <c r="U1323" s="111"/>
      <c r="V1323" s="111"/>
      <c r="W1323" s="111"/>
      <c r="X1323" s="111"/>
      <c r="Y1323" s="111"/>
      <c r="Z1323" s="111" t="s">
        <v>14159</v>
      </c>
      <c r="AA1323" s="126"/>
      <c r="AB1323" s="125">
        <f>AC1323/(H2dens*HoursInYear/10^6)</f>
        <v>323355.4465</v>
      </c>
      <c r="AC1323" s="125">
        <f>1400*3/17/0.98</f>
        <v>252.1008403</v>
      </c>
      <c r="AD1323" s="125"/>
      <c r="AE1323" s="125">
        <f t="shared" si="235"/>
        <v>0</v>
      </c>
      <c r="AF1323" s="127" t="s">
        <v>14160</v>
      </c>
      <c r="AG1323" s="127">
        <v>29.58187</v>
      </c>
      <c r="AH1323" s="127">
        <v>-92.294868</v>
      </c>
      <c r="AI1323" s="115" t="s">
        <v>12378</v>
      </c>
      <c r="AJ1323" s="116">
        <v>0.9</v>
      </c>
      <c r="AK1323" s="117"/>
      <c r="AL1323" s="117"/>
      <c r="AM1323" s="117"/>
      <c r="AN1323" s="117"/>
      <c r="AO1323" s="117"/>
    </row>
    <row r="1324" ht="34.5" customHeight="1">
      <c r="A1324" s="111">
        <v>1933.0</v>
      </c>
      <c r="B1324" s="111" t="s">
        <v>9328</v>
      </c>
      <c r="C1324" s="111" t="s">
        <v>7983</v>
      </c>
      <c r="D1324" s="111">
        <v>2024.0</v>
      </c>
      <c r="E1324" s="111"/>
      <c r="F1324" s="111" t="s">
        <v>12418</v>
      </c>
      <c r="G1324" s="111" t="s">
        <v>12224</v>
      </c>
      <c r="H1324" s="111"/>
      <c r="I1324" s="111" t="s">
        <v>12406</v>
      </c>
      <c r="J1324" s="111" t="str">
        <f>IF(I1324&lt;&gt;"Dedicated renewable","N/A",)</f>
        <v>N/A</v>
      </c>
      <c r="K1324" s="111" t="s">
        <v>30</v>
      </c>
      <c r="L1324" s="111"/>
      <c r="M1324" s="111"/>
      <c r="N1324" s="111"/>
      <c r="O1324" s="111"/>
      <c r="P1324" s="111"/>
      <c r="Q1324" s="111"/>
      <c r="R1324" s="111"/>
      <c r="S1324" s="111"/>
      <c r="T1324" s="111"/>
      <c r="U1324" s="111"/>
      <c r="V1324" s="111"/>
      <c r="W1324" s="111"/>
      <c r="X1324" s="111"/>
      <c r="Y1324" s="111"/>
      <c r="Z1324" s="111" t="s">
        <v>14161</v>
      </c>
      <c r="AA1324" s="124">
        <v>3.2</v>
      </c>
      <c r="AB1324" s="125">
        <f>IF(Projects!$AI1324="Electrolysis",
AA1324/VLOOKUP(G1324,ElectrolysisConvF,3,FALSE),
AC1324*10^6/(H2dens*HoursInYear))</f>
        <v>695.6521739</v>
      </c>
      <c r="AC1324" s="126">
        <f t="shared" ref="AC1324:AC1325" si="259">AB1324*H2dens*HoursInYear/10^6</f>
        <v>0.5423582609</v>
      </c>
      <c r="AD1324" s="125"/>
      <c r="AE1324" s="125">
        <f t="shared" si="235"/>
        <v>695.6521739</v>
      </c>
      <c r="AF1324" s="127" t="s">
        <v>14162</v>
      </c>
      <c r="AG1324" s="127">
        <v>35.5582553193862</v>
      </c>
      <c r="AH1324" s="127">
        <v>139.703925109731</v>
      </c>
      <c r="AI1324" s="115" t="s">
        <v>12383</v>
      </c>
      <c r="AJ1324" s="116">
        <v>0.57</v>
      </c>
      <c r="AK1324" s="117"/>
      <c r="AL1324" s="117"/>
      <c r="AM1324" s="117"/>
      <c r="AN1324" s="117"/>
      <c r="AO1324" s="117"/>
    </row>
    <row r="1325" ht="34.5" customHeight="1">
      <c r="A1325" s="111">
        <v>1934.0</v>
      </c>
      <c r="B1325" s="111" t="s">
        <v>9329</v>
      </c>
      <c r="C1325" s="111" t="s">
        <v>8117</v>
      </c>
      <c r="D1325" s="111">
        <v>2022.0</v>
      </c>
      <c r="E1325" s="111"/>
      <c r="F1325" s="111" t="s">
        <v>12385</v>
      </c>
      <c r="G1325" s="111" t="s">
        <v>12381</v>
      </c>
      <c r="H1325" s="111" t="s">
        <v>12230</v>
      </c>
      <c r="I1325" s="111" t="s">
        <v>12394</v>
      </c>
      <c r="J1325" s="111" t="s">
        <v>12296</v>
      </c>
      <c r="K1325" s="111" t="s">
        <v>30</v>
      </c>
      <c r="L1325" s="111"/>
      <c r="M1325" s="111"/>
      <c r="N1325" s="111"/>
      <c r="O1325" s="111"/>
      <c r="P1325" s="111">
        <v>1.0</v>
      </c>
      <c r="Q1325" s="111"/>
      <c r="R1325" s="111"/>
      <c r="S1325" s="111"/>
      <c r="T1325" s="111"/>
      <c r="U1325" s="111"/>
      <c r="V1325" s="111"/>
      <c r="W1325" s="111"/>
      <c r="X1325" s="111"/>
      <c r="Y1325" s="111"/>
      <c r="Z1325" s="111" t="s">
        <v>12908</v>
      </c>
      <c r="AA1325" s="124">
        <v>1.0</v>
      </c>
      <c r="AB1325" s="125">
        <f>IF(Projects!$AI1325="Electrolysis",
AA1325/VLOOKUP(G1325,ElectrolysisConvF,3,FALSE),
AC1325*10^6/(H2dens*HoursInYear))</f>
        <v>222.2222222</v>
      </c>
      <c r="AC1325" s="126">
        <f t="shared" si="259"/>
        <v>0.1732533333</v>
      </c>
      <c r="AD1325" s="125"/>
      <c r="AE1325" s="125">
        <f t="shared" si="235"/>
        <v>222.2222222</v>
      </c>
      <c r="AF1325" s="127" t="s">
        <v>14163</v>
      </c>
      <c r="AG1325" s="127">
        <v>38.0676529829777</v>
      </c>
      <c r="AH1325" s="127">
        <v>23.5060129854451</v>
      </c>
      <c r="AI1325" s="115" t="s">
        <v>12383</v>
      </c>
      <c r="AJ1325" s="116">
        <v>0.5</v>
      </c>
      <c r="AK1325" s="117"/>
      <c r="AL1325" s="117"/>
      <c r="AM1325" s="117"/>
      <c r="AN1325" s="117"/>
      <c r="AO1325" s="117"/>
    </row>
    <row r="1326" ht="34.5" customHeight="1">
      <c r="A1326" s="111">
        <v>1935.0</v>
      </c>
      <c r="B1326" s="111" t="s">
        <v>9330</v>
      </c>
      <c r="C1326" s="111" t="s">
        <v>8590</v>
      </c>
      <c r="D1326" s="111">
        <v>2022.0</v>
      </c>
      <c r="E1326" s="111"/>
      <c r="F1326" s="111" t="s">
        <v>12385</v>
      </c>
      <c r="G1326" s="111" t="s">
        <v>12381</v>
      </c>
      <c r="H1326" s="111" t="s">
        <v>12230</v>
      </c>
      <c r="I1326" s="111" t="s">
        <v>12394</v>
      </c>
      <c r="J1326" s="111" t="s">
        <v>12291</v>
      </c>
      <c r="K1326" s="111" t="s">
        <v>30</v>
      </c>
      <c r="L1326" s="111"/>
      <c r="M1326" s="111"/>
      <c r="N1326" s="111"/>
      <c r="O1326" s="111"/>
      <c r="P1326" s="111"/>
      <c r="Q1326" s="111"/>
      <c r="R1326" s="111"/>
      <c r="S1326" s="111"/>
      <c r="T1326" s="111"/>
      <c r="U1326" s="111"/>
      <c r="V1326" s="111"/>
      <c r="W1326" s="111"/>
      <c r="X1326" s="111"/>
      <c r="Y1326" s="111"/>
      <c r="Z1326" s="111" t="s">
        <v>14164</v>
      </c>
      <c r="AA1326" s="126">
        <f>IF(Projects!$AI1326="Electrolysis",
AB1326*VLOOKUP(G1326,ElectrolysisConvF,3,FALSE),
"")</f>
        <v>0.9004155764</v>
      </c>
      <c r="AB1326" s="125">
        <f>AC1326/(H2dens*HoursInYear/10^6)</f>
        <v>200.0923503</v>
      </c>
      <c r="AC1326" s="125">
        <v>0.156</v>
      </c>
      <c r="AD1326" s="125"/>
      <c r="AE1326" s="125">
        <f t="shared" si="235"/>
        <v>200.0923503</v>
      </c>
      <c r="AF1326" s="127" t="s">
        <v>14165</v>
      </c>
      <c r="AG1326" s="127">
        <v>-8.39346819778973</v>
      </c>
      <c r="AH1326" s="127">
        <v>-34.9676970474933</v>
      </c>
      <c r="AI1326" s="115" t="s">
        <v>12383</v>
      </c>
      <c r="AJ1326" s="116">
        <v>0.3</v>
      </c>
      <c r="AK1326" s="117"/>
      <c r="AL1326" s="117"/>
      <c r="AM1326" s="117"/>
      <c r="AN1326" s="117"/>
      <c r="AO1326" s="117"/>
    </row>
    <row r="1327" ht="34.5" customHeight="1">
      <c r="A1327" s="111">
        <v>1936.0</v>
      </c>
      <c r="B1327" s="111" t="s">
        <v>9331</v>
      </c>
      <c r="C1327" s="111" t="s">
        <v>8021</v>
      </c>
      <c r="D1327" s="111">
        <v>2022.0</v>
      </c>
      <c r="E1327" s="111"/>
      <c r="F1327" s="111" t="s">
        <v>12385</v>
      </c>
      <c r="G1327" s="111" t="s">
        <v>12381</v>
      </c>
      <c r="H1327" s="111" t="s">
        <v>12230</v>
      </c>
      <c r="I1327" s="111" t="s">
        <v>12394</v>
      </c>
      <c r="J1327" s="111" t="s">
        <v>12291</v>
      </c>
      <c r="K1327" s="111" t="s">
        <v>30</v>
      </c>
      <c r="L1327" s="111"/>
      <c r="M1327" s="111"/>
      <c r="N1327" s="111"/>
      <c r="O1327" s="111"/>
      <c r="P1327" s="111"/>
      <c r="Q1327" s="111"/>
      <c r="R1327" s="111">
        <v>1.0</v>
      </c>
      <c r="S1327" s="111"/>
      <c r="T1327" s="111"/>
      <c r="U1327" s="111"/>
      <c r="V1327" s="111"/>
      <c r="W1327" s="111"/>
      <c r="X1327" s="111"/>
      <c r="Y1327" s="111"/>
      <c r="Z1327" s="111" t="s">
        <v>14166</v>
      </c>
      <c r="AA1327" s="124">
        <v>0.348</v>
      </c>
      <c r="AB1327" s="125">
        <f>IF(Projects!$AI1327="Electrolysis",
AA1327/VLOOKUP(G1327,ElectrolysisConvF,3,FALSE),
AC1327*10^6/(H2dens*HoursInYear))</f>
        <v>77.33333333</v>
      </c>
      <c r="AC1327" s="126">
        <f>AB1327*H2dens*HoursInYear/10^6</f>
        <v>0.06029216</v>
      </c>
      <c r="AD1327" s="125"/>
      <c r="AE1327" s="125">
        <f t="shared" si="235"/>
        <v>77.33333333</v>
      </c>
      <c r="AF1327" s="127" t="s">
        <v>14167</v>
      </c>
      <c r="AG1327" s="127">
        <v>-25.9182983409697</v>
      </c>
      <c r="AH1327" s="127">
        <v>113.552305873144</v>
      </c>
      <c r="AI1327" s="115" t="s">
        <v>12383</v>
      </c>
      <c r="AJ1327" s="116">
        <v>0.3</v>
      </c>
      <c r="AK1327" s="117"/>
      <c r="AL1327" s="117"/>
      <c r="AM1327" s="117"/>
      <c r="AN1327" s="117"/>
      <c r="AO1327" s="117"/>
    </row>
    <row r="1328" ht="34.5" customHeight="1">
      <c r="A1328" s="111">
        <v>1937.0</v>
      </c>
      <c r="B1328" s="111" t="s">
        <v>9332</v>
      </c>
      <c r="C1328" s="111" t="s">
        <v>8737</v>
      </c>
      <c r="D1328" s="111">
        <v>2022.0</v>
      </c>
      <c r="E1328" s="111"/>
      <c r="F1328" s="111" t="s">
        <v>12385</v>
      </c>
      <c r="G1328" s="111" t="s">
        <v>12381</v>
      </c>
      <c r="H1328" s="111" t="s">
        <v>12230</v>
      </c>
      <c r="I1328" s="111" t="s">
        <v>12394</v>
      </c>
      <c r="J1328" s="111" t="s">
        <v>12296</v>
      </c>
      <c r="K1328" s="111" t="s">
        <v>30</v>
      </c>
      <c r="L1328" s="111"/>
      <c r="M1328" s="111"/>
      <c r="N1328" s="111"/>
      <c r="O1328" s="111"/>
      <c r="P1328" s="111"/>
      <c r="Q1328" s="111">
        <v>1.0</v>
      </c>
      <c r="R1328" s="111"/>
      <c r="S1328" s="111"/>
      <c r="T1328" s="111"/>
      <c r="U1328" s="111"/>
      <c r="V1328" s="111"/>
      <c r="W1328" s="111"/>
      <c r="X1328" s="111"/>
      <c r="Y1328" s="111"/>
      <c r="Z1328" s="111" t="s">
        <v>14168</v>
      </c>
      <c r="AA1328" s="126">
        <f>IF(Projects!$AI1328="Electrolysis",
AB1328*VLOOKUP(G1328,ElectrolysisConvF,3,FALSE),
"")</f>
        <v>0.008426966292</v>
      </c>
      <c r="AB1328" s="125">
        <f>AC1328/(H2dens*HoursInYear/10^6)</f>
        <v>1.872659176</v>
      </c>
      <c r="AC1328" s="129">
        <f>4/1000*0.365</f>
        <v>0.00146</v>
      </c>
      <c r="AD1328" s="125"/>
      <c r="AE1328" s="125">
        <f t="shared" si="235"/>
        <v>1.872659176</v>
      </c>
      <c r="AF1328" s="127" t="s">
        <v>14169</v>
      </c>
      <c r="AG1328" s="127">
        <v>6.16816717393084</v>
      </c>
      <c r="AH1328" s="127">
        <v>-75.6199383196116</v>
      </c>
      <c r="AI1328" s="115" t="s">
        <v>12383</v>
      </c>
      <c r="AJ1328" s="116">
        <v>0.5</v>
      </c>
      <c r="AK1328" s="117"/>
      <c r="AL1328" s="117"/>
      <c r="AM1328" s="117"/>
      <c r="AN1328" s="117"/>
      <c r="AO1328" s="117"/>
    </row>
    <row r="1329" ht="34.5" customHeight="1">
      <c r="A1329" s="111">
        <v>1938.0</v>
      </c>
      <c r="B1329" s="111" t="s">
        <v>9333</v>
      </c>
      <c r="C1329" s="111" t="s">
        <v>8011</v>
      </c>
      <c r="D1329" s="111">
        <v>2024.0</v>
      </c>
      <c r="E1329" s="111"/>
      <c r="F1329" s="111" t="s">
        <v>12385</v>
      </c>
      <c r="G1329" s="111" t="s">
        <v>12224</v>
      </c>
      <c r="H1329" s="111"/>
      <c r="I1329" s="111" t="s">
        <v>12394</v>
      </c>
      <c r="J1329" s="111" t="s">
        <v>12296</v>
      </c>
      <c r="K1329" s="111" t="s">
        <v>30</v>
      </c>
      <c r="L1329" s="111"/>
      <c r="M1329" s="111"/>
      <c r="N1329" s="111"/>
      <c r="O1329" s="111"/>
      <c r="P1329" s="111"/>
      <c r="Q1329" s="111">
        <v>1.0</v>
      </c>
      <c r="R1329" s="111"/>
      <c r="S1329" s="111"/>
      <c r="T1329" s="111"/>
      <c r="U1329" s="111"/>
      <c r="V1329" s="111"/>
      <c r="W1329" s="111"/>
      <c r="X1329" s="111"/>
      <c r="Y1329" s="111"/>
      <c r="Z1329" s="111" t="s">
        <v>12395</v>
      </c>
      <c r="AA1329" s="124">
        <f>2.5-0.75</f>
        <v>1.75</v>
      </c>
      <c r="AB1329" s="125">
        <f>IF(Projects!$AI1329="Electrolysis",
AA1329/VLOOKUP(G1329,ElectrolysisConvF,3,FALSE),
AC1329*10^6/(H2dens*HoursInYear))</f>
        <v>380.4347826</v>
      </c>
      <c r="AC1329" s="126">
        <f t="shared" ref="AC1329:AC1330" si="260">AB1329*H2dens*HoursInYear/10^6</f>
        <v>0.2966021739</v>
      </c>
      <c r="AD1329" s="125"/>
      <c r="AE1329" s="125">
        <f>AB1329</f>
        <v>380.4347826</v>
      </c>
      <c r="AF1329" s="127" t="s">
        <v>14170</v>
      </c>
      <c r="AG1329" s="127">
        <v>46.9363159229428</v>
      </c>
      <c r="AH1329" s="127">
        <v>-2.06992707672759</v>
      </c>
      <c r="AI1329" s="115" t="s">
        <v>12383</v>
      </c>
      <c r="AJ1329" s="116">
        <v>0.5</v>
      </c>
      <c r="AK1329" s="117"/>
      <c r="AL1329" s="117"/>
      <c r="AM1329" s="117"/>
      <c r="AN1329" s="117"/>
      <c r="AO1329" s="117"/>
    </row>
    <row r="1330" ht="34.5" customHeight="1">
      <c r="A1330" s="111">
        <v>1939.0</v>
      </c>
      <c r="B1330" s="111" t="s">
        <v>9334</v>
      </c>
      <c r="C1330" s="111" t="s">
        <v>8011</v>
      </c>
      <c r="D1330" s="111">
        <v>2023.0</v>
      </c>
      <c r="E1330" s="111"/>
      <c r="F1330" s="111" t="s">
        <v>12385</v>
      </c>
      <c r="G1330" s="111" t="s">
        <v>12381</v>
      </c>
      <c r="H1330" s="111" t="s">
        <v>12230</v>
      </c>
      <c r="I1330" s="111" t="s">
        <v>12394</v>
      </c>
      <c r="J1330" s="111" t="s">
        <v>12296</v>
      </c>
      <c r="K1330" s="111" t="s">
        <v>30</v>
      </c>
      <c r="L1330" s="111"/>
      <c r="M1330" s="111"/>
      <c r="N1330" s="111"/>
      <c r="O1330" s="111"/>
      <c r="P1330" s="111"/>
      <c r="Q1330" s="111"/>
      <c r="R1330" s="111"/>
      <c r="S1330" s="111"/>
      <c r="T1330" s="111"/>
      <c r="U1330" s="111"/>
      <c r="V1330" s="111"/>
      <c r="W1330" s="111"/>
      <c r="X1330" s="111"/>
      <c r="Y1330" s="111"/>
      <c r="Z1330" s="111" t="s">
        <v>14171</v>
      </c>
      <c r="AA1330" s="124">
        <v>5.0</v>
      </c>
      <c r="AB1330" s="125">
        <f>IF(Projects!$AI1330="Electrolysis",
AA1330/VLOOKUP(G1330,ElectrolysisConvF,3,FALSE),
AC1330*10^6/(H2dens*HoursInYear))</f>
        <v>1111.111111</v>
      </c>
      <c r="AC1330" s="126">
        <f t="shared" si="260"/>
        <v>0.8662666667</v>
      </c>
      <c r="AD1330" s="125"/>
      <c r="AE1330" s="125">
        <f t="shared" ref="AE1330:AE1335" si="261">IF(AND(G1330&lt;&gt;"NG w CCUS",G1330&lt;&gt;"Oil w CCUS",G1330&lt;&gt;"Coal w CCUS"),AB1330,AD1330*10^3/(HoursInYear*IF(G1330="NG w CCUS",0.9105,1.9075)))</f>
        <v>1111.111111</v>
      </c>
      <c r="AF1330" s="127" t="s">
        <v>14170</v>
      </c>
      <c r="AG1330" s="127">
        <v>47.9336544506559</v>
      </c>
      <c r="AH1330" s="127">
        <v>-2.67658575681505</v>
      </c>
      <c r="AI1330" s="115" t="s">
        <v>12383</v>
      </c>
      <c r="AJ1330" s="116">
        <v>0.5</v>
      </c>
      <c r="AK1330" s="117"/>
      <c r="AL1330" s="117"/>
      <c r="AM1330" s="117"/>
      <c r="AN1330" s="117"/>
      <c r="AO1330" s="117"/>
    </row>
    <row r="1331" ht="34.5" customHeight="1">
      <c r="A1331" s="111">
        <v>1940.0</v>
      </c>
      <c r="B1331" s="111" t="s">
        <v>9335</v>
      </c>
      <c r="C1331" s="111" t="s">
        <v>8001</v>
      </c>
      <c r="D1331" s="111">
        <v>2024.0</v>
      </c>
      <c r="E1331" s="111"/>
      <c r="F1331" s="111" t="s">
        <v>12393</v>
      </c>
      <c r="G1331" s="111" t="s">
        <v>12224</v>
      </c>
      <c r="H1331" s="111"/>
      <c r="I1331" s="111" t="s">
        <v>12394</v>
      </c>
      <c r="J1331" s="111" t="s">
        <v>12291</v>
      </c>
      <c r="K1331" s="111" t="s">
        <v>30</v>
      </c>
      <c r="L1331" s="111"/>
      <c r="M1331" s="111"/>
      <c r="N1331" s="111"/>
      <c r="O1331" s="111"/>
      <c r="P1331" s="111">
        <v>1.0</v>
      </c>
      <c r="Q1331" s="111"/>
      <c r="R1331" s="111"/>
      <c r="S1331" s="111"/>
      <c r="T1331" s="111"/>
      <c r="U1331" s="111"/>
      <c r="V1331" s="111"/>
      <c r="W1331" s="111"/>
      <c r="X1331" s="111"/>
      <c r="Y1331" s="111"/>
      <c r="Z1331" s="111" t="s">
        <v>14172</v>
      </c>
      <c r="AA1331" s="126">
        <f>IF(Projects!$AI1331="Electrolysis",
AB1331*VLOOKUP(G1331,ElectrolysisConvF,3,FALSE),
"")</f>
        <v>28.91077933</v>
      </c>
      <c r="AB1331" s="125">
        <f>AC1331/(H2dens*HoursInYear/10^6)</f>
        <v>6284.952029</v>
      </c>
      <c r="AC1331" s="125">
        <f>7-AC1195</f>
        <v>4.9</v>
      </c>
      <c r="AD1331" s="125"/>
      <c r="AE1331" s="125">
        <f t="shared" si="261"/>
        <v>6284.952029</v>
      </c>
      <c r="AF1331" s="127" t="s">
        <v>13999</v>
      </c>
      <c r="AG1331" s="127">
        <v>40.2369739874703</v>
      </c>
      <c r="AH1331" s="127">
        <v>97.5426285729633</v>
      </c>
      <c r="AI1331" s="115" t="s">
        <v>12383</v>
      </c>
      <c r="AJ1331" s="116">
        <v>0.3</v>
      </c>
      <c r="AK1331" s="117"/>
      <c r="AL1331" s="117"/>
      <c r="AM1331" s="117"/>
      <c r="AN1331" s="117"/>
      <c r="AO1331" s="117"/>
    </row>
    <row r="1332" ht="34.5" customHeight="1">
      <c r="A1332" s="111">
        <v>1942.0</v>
      </c>
      <c r="B1332" s="111" t="s">
        <v>9336</v>
      </c>
      <c r="C1332" s="111" t="s">
        <v>7981</v>
      </c>
      <c r="D1332" s="111">
        <v>2023.0</v>
      </c>
      <c r="E1332" s="111"/>
      <c r="F1332" s="111" t="s">
        <v>12418</v>
      </c>
      <c r="G1332" s="111" t="s">
        <v>12239</v>
      </c>
      <c r="H1332" s="111" t="s">
        <v>14173</v>
      </c>
      <c r="I1332" s="111"/>
      <c r="J1332" s="111"/>
      <c r="K1332" s="111" t="s">
        <v>30</v>
      </c>
      <c r="L1332" s="111"/>
      <c r="M1332" s="111"/>
      <c r="N1332" s="111"/>
      <c r="O1332" s="111"/>
      <c r="P1332" s="111"/>
      <c r="Q1332" s="111">
        <v>1.0</v>
      </c>
      <c r="R1332" s="111"/>
      <c r="S1332" s="111"/>
      <c r="T1332" s="111"/>
      <c r="U1332" s="111"/>
      <c r="V1332" s="111"/>
      <c r="W1332" s="111"/>
      <c r="X1332" s="111"/>
      <c r="Y1332" s="111"/>
      <c r="Z1332" s="111" t="s">
        <v>14174</v>
      </c>
      <c r="AA1332" s="124"/>
      <c r="AB1332" s="125">
        <f>AC1332/(0.089*24*365/10^6)</f>
        <v>105.3370787</v>
      </c>
      <c r="AC1332" s="125">
        <f>225*365/1000000</f>
        <v>0.082125</v>
      </c>
      <c r="AD1332" s="125"/>
      <c r="AE1332" s="125">
        <f t="shared" si="261"/>
        <v>105.3370787</v>
      </c>
      <c r="AF1332" s="127" t="s">
        <v>14175</v>
      </c>
      <c r="AG1332" s="127">
        <v>34.0667917917026</v>
      </c>
      <c r="AH1332" s="127">
        <v>-118.165475584659</v>
      </c>
      <c r="AI1332" s="115" t="s">
        <v>12241</v>
      </c>
      <c r="AJ1332" s="116">
        <v>0.9</v>
      </c>
      <c r="AK1332" s="117"/>
      <c r="AL1332" s="117"/>
      <c r="AM1332" s="117"/>
      <c r="AN1332" s="117"/>
      <c r="AO1332" s="117"/>
    </row>
    <row r="1333" ht="34.5" customHeight="1">
      <c r="A1333" s="111">
        <v>1943.0</v>
      </c>
      <c r="B1333" s="111" t="s">
        <v>9337</v>
      </c>
      <c r="C1333" s="111" t="s">
        <v>7977</v>
      </c>
      <c r="D1333" s="111">
        <v>2024.0</v>
      </c>
      <c r="E1333" s="111"/>
      <c r="F1333" s="111" t="s">
        <v>12393</v>
      </c>
      <c r="G1333" s="111" t="s">
        <v>12226</v>
      </c>
      <c r="H1333" s="111"/>
      <c r="I1333" s="111" t="s">
        <v>12394</v>
      </c>
      <c r="J1333" s="111" t="s">
        <v>12291</v>
      </c>
      <c r="K1333" s="111" t="s">
        <v>30</v>
      </c>
      <c r="L1333" s="111"/>
      <c r="M1333" s="111"/>
      <c r="N1333" s="111"/>
      <c r="O1333" s="111"/>
      <c r="P1333" s="111">
        <v>1.0</v>
      </c>
      <c r="Q1333" s="111">
        <v>1.0</v>
      </c>
      <c r="R1333" s="111"/>
      <c r="S1333" s="111"/>
      <c r="T1333" s="111"/>
      <c r="U1333" s="111"/>
      <c r="V1333" s="111"/>
      <c r="W1333" s="111"/>
      <c r="X1333" s="111"/>
      <c r="Y1333" s="111"/>
      <c r="Z1333" s="111" t="s">
        <v>12908</v>
      </c>
      <c r="AA1333" s="124">
        <v>1.0</v>
      </c>
      <c r="AB1333" s="125">
        <f>IF(Projects!$AI1333="Electrolysis",
AA1333/VLOOKUP(G1333,ElectrolysisConvF,3,FALSE),
AC1333*10^6/(H2dens*HoursInYear))</f>
        <v>192.3076923</v>
      </c>
      <c r="AC1333" s="126">
        <f t="shared" ref="AC1333:AC1336" si="262">AB1333*H2dens*HoursInYear/10^6</f>
        <v>0.1499307692</v>
      </c>
      <c r="AD1333" s="125"/>
      <c r="AE1333" s="125">
        <f t="shared" si="261"/>
        <v>192.3076923</v>
      </c>
      <c r="AF1333" s="127" t="s">
        <v>14176</v>
      </c>
      <c r="AG1333" s="127">
        <v>37.3617362524511</v>
      </c>
      <c r="AH1333" s="127">
        <v>-5.99365613841754</v>
      </c>
      <c r="AI1333" s="115" t="s">
        <v>12383</v>
      </c>
      <c r="AJ1333" s="116">
        <v>0.3</v>
      </c>
      <c r="AK1333" s="117"/>
      <c r="AL1333" s="117"/>
      <c r="AM1333" s="117"/>
      <c r="AN1333" s="117"/>
      <c r="AO1333" s="117"/>
    </row>
    <row r="1334" ht="34.5" customHeight="1">
      <c r="A1334" s="111">
        <v>1944.0</v>
      </c>
      <c r="B1334" s="111" t="s">
        <v>9338</v>
      </c>
      <c r="C1334" s="111" t="s">
        <v>7977</v>
      </c>
      <c r="D1334" s="111"/>
      <c r="E1334" s="111"/>
      <c r="F1334" s="111" t="s">
        <v>12397</v>
      </c>
      <c r="G1334" s="111" t="s">
        <v>12381</v>
      </c>
      <c r="H1334" s="111" t="s">
        <v>12230</v>
      </c>
      <c r="I1334" s="111" t="s">
        <v>12394</v>
      </c>
      <c r="J1334" s="111" t="s">
        <v>12291</v>
      </c>
      <c r="K1334" s="111" t="s">
        <v>30</v>
      </c>
      <c r="L1334" s="111"/>
      <c r="M1334" s="111"/>
      <c r="N1334" s="111"/>
      <c r="O1334" s="111"/>
      <c r="P1334" s="111">
        <v>1.0</v>
      </c>
      <c r="Q1334" s="111">
        <v>1.0</v>
      </c>
      <c r="R1334" s="111"/>
      <c r="S1334" s="111">
        <v>1.0</v>
      </c>
      <c r="T1334" s="111"/>
      <c r="U1334" s="111">
        <v>1.0</v>
      </c>
      <c r="V1334" s="111"/>
      <c r="W1334" s="111"/>
      <c r="X1334" s="111"/>
      <c r="Y1334" s="111"/>
      <c r="Z1334" s="111" t="s">
        <v>12768</v>
      </c>
      <c r="AA1334" s="124">
        <v>49.0</v>
      </c>
      <c r="AB1334" s="125">
        <f>IF(Projects!$AI1334="Electrolysis",
AA1334/VLOOKUP(G1334,ElectrolysisConvF,3,FALSE),
AC1334*10^6/(H2dens*HoursInYear))</f>
        <v>10888.88889</v>
      </c>
      <c r="AC1334" s="126">
        <f t="shared" si="262"/>
        <v>8.489413333</v>
      </c>
      <c r="AD1334" s="125"/>
      <c r="AE1334" s="125">
        <f t="shared" si="261"/>
        <v>10888.88889</v>
      </c>
      <c r="AF1334" s="127" t="s">
        <v>14176</v>
      </c>
      <c r="AG1334" s="127">
        <v>37.3617362524511</v>
      </c>
      <c r="AH1334" s="127">
        <v>-5.99365613841754</v>
      </c>
      <c r="AI1334" s="115" t="s">
        <v>12383</v>
      </c>
      <c r="AJ1334" s="116">
        <v>0.3</v>
      </c>
      <c r="AK1334" s="117"/>
      <c r="AL1334" s="117"/>
      <c r="AM1334" s="117"/>
      <c r="AN1334" s="117"/>
      <c r="AO1334" s="117"/>
    </row>
    <row r="1335" ht="34.5" customHeight="1">
      <c r="A1335" s="111">
        <v>1945.0</v>
      </c>
      <c r="B1335" s="111" t="s">
        <v>9339</v>
      </c>
      <c r="C1335" s="111" t="s">
        <v>8539</v>
      </c>
      <c r="D1335" s="111">
        <v>2025.0</v>
      </c>
      <c r="E1335" s="111"/>
      <c r="F1335" s="111" t="s">
        <v>12418</v>
      </c>
      <c r="G1335" s="111" t="s">
        <v>13638</v>
      </c>
      <c r="H1335" s="111"/>
      <c r="I1335" s="111" t="s">
        <v>12287</v>
      </c>
      <c r="J1335" s="111" t="s">
        <v>12296</v>
      </c>
      <c r="K1335" s="111" t="s">
        <v>30</v>
      </c>
      <c r="L1335" s="111"/>
      <c r="M1335" s="111"/>
      <c r="N1335" s="111"/>
      <c r="O1335" s="111"/>
      <c r="P1335" s="111"/>
      <c r="Q1335" s="111"/>
      <c r="R1335" s="111"/>
      <c r="S1335" s="111"/>
      <c r="T1335" s="111"/>
      <c r="U1335" s="111"/>
      <c r="V1335" s="111"/>
      <c r="W1335" s="111"/>
      <c r="X1335" s="111"/>
      <c r="Y1335" s="111"/>
      <c r="Z1335" s="111" t="s">
        <v>12720</v>
      </c>
      <c r="AA1335" s="124">
        <v>2.0</v>
      </c>
      <c r="AB1335" s="125">
        <f>IF(Projects!$AI1335="Electrolysis",
AA1335/VLOOKUP(G1335,ElectrolysisConvF,3,FALSE),
AC1335*10^6/(H2dens*HoursInYear))</f>
        <v>444.4444444</v>
      </c>
      <c r="AC1335" s="126">
        <f t="shared" si="262"/>
        <v>0.3465066667</v>
      </c>
      <c r="AD1335" s="125"/>
      <c r="AE1335" s="125">
        <f t="shared" si="261"/>
        <v>444.4444444</v>
      </c>
      <c r="AF1335" s="127" t="s">
        <v>14177</v>
      </c>
      <c r="AG1335" s="127">
        <v>33.3961158178269</v>
      </c>
      <c r="AH1335" s="127">
        <v>126.581269345424</v>
      </c>
      <c r="AI1335" s="115" t="s">
        <v>12383</v>
      </c>
      <c r="AJ1335" s="116">
        <v>0.57</v>
      </c>
      <c r="AK1335" s="117"/>
      <c r="AL1335" s="117"/>
      <c r="AM1335" s="117"/>
      <c r="AN1335" s="117"/>
      <c r="AO1335" s="117"/>
    </row>
    <row r="1336" ht="34.5" customHeight="1">
      <c r="A1336" s="111">
        <v>1946.0</v>
      </c>
      <c r="B1336" s="111" t="s">
        <v>8417</v>
      </c>
      <c r="C1336" s="111" t="s">
        <v>7981</v>
      </c>
      <c r="D1336" s="111">
        <v>2025.0</v>
      </c>
      <c r="E1336" s="111"/>
      <c r="F1336" s="111" t="s">
        <v>12393</v>
      </c>
      <c r="G1336" s="111" t="s">
        <v>12381</v>
      </c>
      <c r="H1336" s="111" t="s">
        <v>12230</v>
      </c>
      <c r="I1336" s="111" t="s">
        <v>12406</v>
      </c>
      <c r="J1336" s="111"/>
      <c r="K1336" s="111" t="s">
        <v>30</v>
      </c>
      <c r="L1336" s="111"/>
      <c r="M1336" s="111"/>
      <c r="N1336" s="111"/>
      <c r="O1336" s="111"/>
      <c r="P1336" s="111"/>
      <c r="Q1336" s="111"/>
      <c r="R1336" s="111">
        <v>1.0</v>
      </c>
      <c r="S1336" s="111"/>
      <c r="T1336" s="111"/>
      <c r="U1336" s="111"/>
      <c r="V1336" s="111"/>
      <c r="W1336" s="111"/>
      <c r="X1336" s="111"/>
      <c r="Y1336" s="111"/>
      <c r="Z1336" s="111" t="s">
        <v>12835</v>
      </c>
      <c r="AA1336" s="124">
        <v>5.0</v>
      </c>
      <c r="AB1336" s="125">
        <f>IF(Projects!$AI1336="Electrolysis",
AA1336/VLOOKUP(G1336,ElectrolysisConvF,3,FALSE),
AC1336*10^6/(H2dens*HoursInYear))</f>
        <v>1111.111111</v>
      </c>
      <c r="AC1336" s="126">
        <f t="shared" si="262"/>
        <v>0.8662666667</v>
      </c>
      <c r="AD1336" s="125"/>
      <c r="AE1336" s="125">
        <f>AB1336</f>
        <v>1111.111111</v>
      </c>
      <c r="AF1336" s="127" t="s">
        <v>14178</v>
      </c>
      <c r="AG1336" s="127">
        <v>47.4934484730822</v>
      </c>
      <c r="AH1336" s="127">
        <v>-120.303227967588</v>
      </c>
      <c r="AI1336" s="115" t="s">
        <v>12383</v>
      </c>
      <c r="AJ1336" s="116">
        <v>0.57</v>
      </c>
      <c r="AK1336" s="117"/>
      <c r="AL1336" s="117"/>
      <c r="AM1336" s="117"/>
      <c r="AN1336" s="117"/>
      <c r="AO1336" s="117"/>
    </row>
    <row r="1337" ht="34.5" customHeight="1">
      <c r="A1337" s="111">
        <v>1947.0</v>
      </c>
      <c r="B1337" s="111" t="s">
        <v>9340</v>
      </c>
      <c r="C1337" s="111" t="s">
        <v>7983</v>
      </c>
      <c r="D1337" s="111">
        <v>2025.0</v>
      </c>
      <c r="E1337" s="111"/>
      <c r="F1337" s="111" t="s">
        <v>12393</v>
      </c>
      <c r="G1337" s="111" t="s">
        <v>12235</v>
      </c>
      <c r="H1337" s="111" t="s">
        <v>14158</v>
      </c>
      <c r="I1337" s="111"/>
      <c r="J1337" s="111"/>
      <c r="K1337" s="111" t="s">
        <v>174</v>
      </c>
      <c r="L1337" s="111"/>
      <c r="M1337" s="111">
        <v>1.0</v>
      </c>
      <c r="N1337" s="111"/>
      <c r="O1337" s="111"/>
      <c r="P1337" s="111"/>
      <c r="Q1337" s="111"/>
      <c r="R1337" s="111"/>
      <c r="S1337" s="111"/>
      <c r="T1337" s="111"/>
      <c r="U1337" s="111"/>
      <c r="V1337" s="111"/>
      <c r="W1337" s="111"/>
      <c r="X1337" s="111"/>
      <c r="Y1337" s="111"/>
      <c r="Z1337" s="111" t="s">
        <v>14179</v>
      </c>
      <c r="AA1337" s="124" t="str">
        <f>IF(OR(G1337="ALK",G1337="PEM",G1337="SOEC",G1337="Other Electrolysis"),
AB1337*VLOOKUP(G1337,ElectrolysisConvF,3,FALSE),
"")</f>
        <v/>
      </c>
      <c r="AB1337" s="125"/>
      <c r="AC1337" s="125">
        <v>0.7</v>
      </c>
      <c r="AD1337" s="125"/>
      <c r="AE1337" s="125">
        <f t="shared" ref="AE1337:AE1416" si="263">IF(AND(G1337&lt;&gt;"NG w CCUS",G1337&lt;&gt;"Oil w CCUS",G1337&lt;&gt;"Coal w CCUS"),AB1337,AD1337*10^3/(HoursInYear*IF(G1337="NG w CCUS",0.9105,1.9075)))</f>
        <v>0</v>
      </c>
      <c r="AF1337" s="127" t="s">
        <v>14180</v>
      </c>
      <c r="AG1337" s="127">
        <v>37.3654207722695</v>
      </c>
      <c r="AH1337" s="127">
        <v>138.5836651782</v>
      </c>
      <c r="AI1337" s="115" t="s">
        <v>12378</v>
      </c>
      <c r="AJ1337" s="116">
        <v>0.9</v>
      </c>
      <c r="AK1337" s="117"/>
      <c r="AL1337" s="117"/>
      <c r="AM1337" s="117"/>
      <c r="AN1337" s="117"/>
      <c r="AO1337" s="117"/>
    </row>
    <row r="1338" ht="34.5" customHeight="1">
      <c r="A1338" s="111">
        <v>1949.0</v>
      </c>
      <c r="B1338" s="111" t="s">
        <v>9341</v>
      </c>
      <c r="C1338" s="111" t="s">
        <v>8011</v>
      </c>
      <c r="D1338" s="111">
        <v>2025.0</v>
      </c>
      <c r="E1338" s="111"/>
      <c r="F1338" s="111" t="s">
        <v>12393</v>
      </c>
      <c r="G1338" s="111" t="s">
        <v>12235</v>
      </c>
      <c r="H1338" s="111" t="s">
        <v>14181</v>
      </c>
      <c r="I1338" s="111"/>
      <c r="J1338" s="111"/>
      <c r="K1338" s="111" t="s">
        <v>30</v>
      </c>
      <c r="L1338" s="111"/>
      <c r="M1338" s="111"/>
      <c r="N1338" s="111"/>
      <c r="O1338" s="111"/>
      <c r="P1338" s="111"/>
      <c r="Q1338" s="111"/>
      <c r="R1338" s="111"/>
      <c r="S1338" s="111"/>
      <c r="T1338" s="111"/>
      <c r="U1338" s="111"/>
      <c r="V1338" s="111">
        <v>1.0</v>
      </c>
      <c r="W1338" s="111"/>
      <c r="X1338" s="111"/>
      <c r="Y1338" s="111"/>
      <c r="Z1338" s="111" t="s">
        <v>14182</v>
      </c>
      <c r="AA1338" s="124" t="str">
        <f>IF(OR(G1338="ALK",G1338="PEM",G1338="SOEC",G1338="Other Electrolysis"),
AB1338*VLOOKUP(G1338,ElectrolysisConvF,3,FALSE),
"")</f>
        <v/>
      </c>
      <c r="AB1338" s="125"/>
      <c r="AC1338" s="125">
        <v>20.0</v>
      </c>
      <c r="AD1338" s="125">
        <v>110000.0</v>
      </c>
      <c r="AE1338" s="125">
        <f t="shared" si="263"/>
        <v>13791.4087</v>
      </c>
      <c r="AF1338" s="127" t="s">
        <v>14183</v>
      </c>
      <c r="AG1338" s="127">
        <v>48.5897517149273</v>
      </c>
      <c r="AH1338" s="127">
        <v>2.94800529828935</v>
      </c>
      <c r="AI1338" s="115" t="s">
        <v>12378</v>
      </c>
      <c r="AJ1338" s="116">
        <v>0.9</v>
      </c>
      <c r="AK1338" s="117"/>
      <c r="AL1338" s="117"/>
      <c r="AM1338" s="117"/>
      <c r="AN1338" s="117"/>
      <c r="AO1338" s="117"/>
    </row>
    <row r="1339" ht="34.5" customHeight="1">
      <c r="A1339" s="111">
        <v>1950.0</v>
      </c>
      <c r="B1339" s="111" t="s">
        <v>9342</v>
      </c>
      <c r="C1339" s="111" t="s">
        <v>8388</v>
      </c>
      <c r="D1339" s="111">
        <v>2030.0</v>
      </c>
      <c r="E1339" s="111"/>
      <c r="F1339" s="111" t="s">
        <v>12399</v>
      </c>
      <c r="G1339" s="111" t="s">
        <v>12381</v>
      </c>
      <c r="H1339" s="111" t="s">
        <v>12230</v>
      </c>
      <c r="I1339" s="111" t="s">
        <v>12394</v>
      </c>
      <c r="J1339" s="111" t="s">
        <v>12295</v>
      </c>
      <c r="K1339" s="111" t="s">
        <v>30</v>
      </c>
      <c r="L1339" s="111"/>
      <c r="M1339" s="111">
        <v>1.0</v>
      </c>
      <c r="N1339" s="111">
        <v>1.0</v>
      </c>
      <c r="O1339" s="111"/>
      <c r="P1339" s="111"/>
      <c r="Q1339" s="111"/>
      <c r="R1339" s="111"/>
      <c r="S1339" s="111"/>
      <c r="T1339" s="111"/>
      <c r="U1339" s="111"/>
      <c r="V1339" s="111"/>
      <c r="W1339" s="111">
        <v>1.0</v>
      </c>
      <c r="X1339" s="111">
        <v>1.0</v>
      </c>
      <c r="Y1339" s="111"/>
      <c r="Z1339" s="111" t="s">
        <v>14184</v>
      </c>
      <c r="AA1339" s="124">
        <v>1300.0</v>
      </c>
      <c r="AB1339" s="125">
        <f>IF(Projects!$AI1339="Electrolysis",
AA1339/VLOOKUP(G1339,ElectrolysisConvF,3,FALSE),
AC1339*10^6/(H2dens*HoursInYear))</f>
        <v>288888.8889</v>
      </c>
      <c r="AC1339" s="126">
        <f>AB1339*H2dens*HoursInYear/10^6</f>
        <v>225.2293333</v>
      </c>
      <c r="AD1339" s="125"/>
      <c r="AE1339" s="125">
        <f t="shared" si="263"/>
        <v>288888.8889</v>
      </c>
      <c r="AF1339" s="127" t="s">
        <v>14185</v>
      </c>
      <c r="AG1339" s="127">
        <v>22.5669574354741</v>
      </c>
      <c r="AH1339" s="127">
        <v>59.5072768591234</v>
      </c>
      <c r="AI1339" s="115" t="s">
        <v>12383</v>
      </c>
      <c r="AJ1339" s="116">
        <v>0.5</v>
      </c>
      <c r="AK1339" s="117"/>
      <c r="AL1339" s="117"/>
      <c r="AM1339" s="117"/>
      <c r="AN1339" s="117"/>
      <c r="AO1339" s="117"/>
    </row>
    <row r="1340" ht="34.5" customHeight="1">
      <c r="A1340" s="111">
        <v>1954.0</v>
      </c>
      <c r="B1340" s="111" t="s">
        <v>9343</v>
      </c>
      <c r="C1340" s="111" t="s">
        <v>8388</v>
      </c>
      <c r="D1340" s="111"/>
      <c r="E1340" s="111"/>
      <c r="F1340" s="111" t="s">
        <v>12397</v>
      </c>
      <c r="G1340" s="111" t="s">
        <v>12381</v>
      </c>
      <c r="H1340" s="111" t="s">
        <v>12230</v>
      </c>
      <c r="I1340" s="111" t="s">
        <v>12394</v>
      </c>
      <c r="J1340" s="111" t="s">
        <v>12296</v>
      </c>
      <c r="K1340" s="111" t="s">
        <v>30</v>
      </c>
      <c r="L1340" s="111"/>
      <c r="M1340" s="111"/>
      <c r="N1340" s="111"/>
      <c r="O1340" s="111"/>
      <c r="P1340" s="111"/>
      <c r="Q1340" s="111"/>
      <c r="R1340" s="111"/>
      <c r="S1340" s="111"/>
      <c r="T1340" s="111"/>
      <c r="U1340" s="111"/>
      <c r="V1340" s="111"/>
      <c r="W1340" s="111"/>
      <c r="X1340" s="111"/>
      <c r="Y1340" s="111"/>
      <c r="Z1340" s="111" t="s">
        <v>13360</v>
      </c>
      <c r="AA1340" s="126">
        <f>IF(Projects!$AI1340="Electrolysis",
AB1340*VLOOKUP(G1340,ElectrolysisConvF,3,FALSE),
"")</f>
        <v>1731.568416</v>
      </c>
      <c r="AB1340" s="125">
        <f t="shared" ref="AB1340:AB1353" si="264">AC1340/(H2dens*HoursInYear/10^6)</f>
        <v>384792.9814</v>
      </c>
      <c r="AC1340" s="125">
        <f>150/Projects!$AJ1340</f>
        <v>300</v>
      </c>
      <c r="AD1340" s="125"/>
      <c r="AE1340" s="125">
        <f t="shared" si="263"/>
        <v>384792.9814</v>
      </c>
      <c r="AF1340" s="127"/>
      <c r="AG1340" s="127">
        <v>19.6669277310332</v>
      </c>
      <c r="AH1340" s="127">
        <v>57.7254450103778</v>
      </c>
      <c r="AI1340" s="115" t="s">
        <v>12383</v>
      </c>
      <c r="AJ1340" s="116">
        <v>0.5</v>
      </c>
      <c r="AK1340" s="117"/>
      <c r="AL1340" s="117"/>
      <c r="AM1340" s="117"/>
      <c r="AN1340" s="117"/>
      <c r="AO1340" s="117"/>
    </row>
    <row r="1341" ht="34.5" customHeight="1">
      <c r="A1341" s="111">
        <v>1955.0</v>
      </c>
      <c r="B1341" s="111" t="s">
        <v>9344</v>
      </c>
      <c r="C1341" s="111" t="s">
        <v>8388</v>
      </c>
      <c r="D1341" s="111"/>
      <c r="E1341" s="111"/>
      <c r="F1341" s="111" t="s">
        <v>12399</v>
      </c>
      <c r="G1341" s="111" t="s">
        <v>12381</v>
      </c>
      <c r="H1341" s="111" t="s">
        <v>12230</v>
      </c>
      <c r="I1341" s="111" t="s">
        <v>12394</v>
      </c>
      <c r="J1341" s="111" t="s">
        <v>12296</v>
      </c>
      <c r="K1341" s="111" t="s">
        <v>30</v>
      </c>
      <c r="L1341" s="111"/>
      <c r="M1341" s="111"/>
      <c r="N1341" s="111"/>
      <c r="O1341" s="111"/>
      <c r="P1341" s="111"/>
      <c r="Q1341" s="111"/>
      <c r="R1341" s="111"/>
      <c r="S1341" s="111"/>
      <c r="T1341" s="111"/>
      <c r="U1341" s="111"/>
      <c r="V1341" s="111"/>
      <c r="W1341" s="111"/>
      <c r="X1341" s="111"/>
      <c r="Y1341" s="111"/>
      <c r="Z1341" s="111" t="s">
        <v>13360</v>
      </c>
      <c r="AA1341" s="126">
        <f>IF(Projects!$AI1341="Electrolysis",
AB1341*VLOOKUP(G1341,ElectrolysisConvF,3,FALSE),
"")</f>
        <v>1731.568416</v>
      </c>
      <c r="AB1341" s="125">
        <f t="shared" si="264"/>
        <v>384792.9814</v>
      </c>
      <c r="AC1341" s="125">
        <f>150/Projects!$AJ1341</f>
        <v>300</v>
      </c>
      <c r="AD1341" s="125"/>
      <c r="AE1341" s="125">
        <f t="shared" si="263"/>
        <v>384792.9814</v>
      </c>
      <c r="AF1341" s="127"/>
      <c r="AG1341" s="127">
        <v>18.632508497259</v>
      </c>
      <c r="AH1341" s="127">
        <v>53.9558812717681</v>
      </c>
      <c r="AI1341" s="115" t="s">
        <v>12383</v>
      </c>
      <c r="AJ1341" s="116">
        <v>0.5</v>
      </c>
      <c r="AK1341" s="117"/>
      <c r="AL1341" s="117"/>
      <c r="AM1341" s="117"/>
      <c r="AN1341" s="117"/>
      <c r="AO1341" s="117"/>
    </row>
    <row r="1342" ht="34.5" customHeight="1">
      <c r="A1342" s="111">
        <v>1956.0</v>
      </c>
      <c r="B1342" s="111" t="s">
        <v>9345</v>
      </c>
      <c r="C1342" s="111" t="s">
        <v>7981</v>
      </c>
      <c r="D1342" s="111">
        <v>2008.0</v>
      </c>
      <c r="E1342" s="111"/>
      <c r="F1342" s="111" t="s">
        <v>12385</v>
      </c>
      <c r="G1342" s="111" t="s">
        <v>12226</v>
      </c>
      <c r="H1342" s="111"/>
      <c r="I1342" s="111" t="s">
        <v>12287</v>
      </c>
      <c r="J1342" s="111"/>
      <c r="K1342" s="111" t="s">
        <v>30</v>
      </c>
      <c r="L1342" s="111"/>
      <c r="M1342" s="111"/>
      <c r="N1342" s="111"/>
      <c r="O1342" s="111"/>
      <c r="P1342" s="111"/>
      <c r="Q1342" s="111"/>
      <c r="R1342" s="111"/>
      <c r="S1342" s="111"/>
      <c r="T1342" s="111"/>
      <c r="U1342" s="111"/>
      <c r="V1342" s="111"/>
      <c r="W1342" s="111"/>
      <c r="X1342" s="111"/>
      <c r="Y1342" s="111"/>
      <c r="Z1342" s="111" t="s">
        <v>14186</v>
      </c>
      <c r="AA1342" s="126">
        <f>IF(Projects!$AI1342="Electrolysis",
AB1342*VLOOKUP(G1342,ElectrolysisConvF,3,FALSE),
"")</f>
        <v>15.82397004</v>
      </c>
      <c r="AB1342" s="125">
        <f t="shared" si="264"/>
        <v>3043.071161</v>
      </c>
      <c r="AC1342" s="125">
        <f>6.5*365/1000</f>
        <v>2.3725</v>
      </c>
      <c r="AD1342" s="125"/>
      <c r="AE1342" s="125">
        <f t="shared" si="263"/>
        <v>3043.071161</v>
      </c>
      <c r="AF1342" s="127" t="s">
        <v>14187</v>
      </c>
      <c r="AG1342" s="127">
        <v>35.2873618329058</v>
      </c>
      <c r="AH1342" s="127">
        <v>-84.7578453602363</v>
      </c>
      <c r="AI1342" s="115" t="s">
        <v>12383</v>
      </c>
      <c r="AJ1342" s="116">
        <v>0.57</v>
      </c>
      <c r="AK1342" s="117"/>
      <c r="AL1342" s="117"/>
      <c r="AM1342" s="117"/>
      <c r="AN1342" s="117"/>
      <c r="AO1342" s="117"/>
    </row>
    <row r="1343" ht="34.5" customHeight="1">
      <c r="A1343" s="111">
        <v>1957.0</v>
      </c>
      <c r="B1343" s="111" t="s">
        <v>9346</v>
      </c>
      <c r="C1343" s="111" t="s">
        <v>7981</v>
      </c>
      <c r="D1343" s="111">
        <v>2021.0</v>
      </c>
      <c r="E1343" s="111"/>
      <c r="F1343" s="111" t="s">
        <v>12385</v>
      </c>
      <c r="G1343" s="111" t="s">
        <v>12226</v>
      </c>
      <c r="H1343" s="111"/>
      <c r="I1343" s="111" t="s">
        <v>12287</v>
      </c>
      <c r="J1343" s="111"/>
      <c r="K1343" s="111" t="s">
        <v>30</v>
      </c>
      <c r="L1343" s="111"/>
      <c r="M1343" s="111"/>
      <c r="N1343" s="111"/>
      <c r="O1343" s="111"/>
      <c r="P1343" s="111"/>
      <c r="Q1343" s="111"/>
      <c r="R1343" s="111"/>
      <c r="S1343" s="111"/>
      <c r="T1343" s="111"/>
      <c r="U1343" s="111"/>
      <c r="V1343" s="111"/>
      <c r="W1343" s="111"/>
      <c r="X1343" s="111"/>
      <c r="Y1343" s="111"/>
      <c r="Z1343" s="111" t="s">
        <v>14188</v>
      </c>
      <c r="AA1343" s="126">
        <f>IF(Projects!$AI1343="Electrolysis",
AB1343*VLOOKUP(G1343,ElectrolysisConvF,3,FALSE),
"")</f>
        <v>8.520599251</v>
      </c>
      <c r="AB1343" s="125">
        <f t="shared" si="264"/>
        <v>1638.576779</v>
      </c>
      <c r="AC1343" s="125">
        <f>3.5*365/1000</f>
        <v>1.2775</v>
      </c>
      <c r="AD1343" s="125"/>
      <c r="AE1343" s="125">
        <f t="shared" si="263"/>
        <v>1638.576779</v>
      </c>
      <c r="AF1343" s="127" t="s">
        <v>14189</v>
      </c>
      <c r="AG1343" s="127">
        <v>35.2873618329058</v>
      </c>
      <c r="AH1343" s="127">
        <v>-84.7578453602363</v>
      </c>
      <c r="AI1343" s="115" t="s">
        <v>12383</v>
      </c>
      <c r="AJ1343" s="116">
        <v>0.57</v>
      </c>
      <c r="AK1343" s="117"/>
      <c r="AL1343" s="117"/>
      <c r="AM1343" s="117"/>
      <c r="AN1343" s="117"/>
      <c r="AO1343" s="117"/>
    </row>
    <row r="1344" ht="34.5" customHeight="1">
      <c r="A1344" s="111">
        <v>1958.0</v>
      </c>
      <c r="B1344" s="111" t="s">
        <v>9347</v>
      </c>
      <c r="C1344" s="111" t="s">
        <v>7981</v>
      </c>
      <c r="D1344" s="111">
        <v>2024.0</v>
      </c>
      <c r="E1344" s="111"/>
      <c r="F1344" s="111" t="s">
        <v>12393</v>
      </c>
      <c r="G1344" s="111" t="s">
        <v>12226</v>
      </c>
      <c r="H1344" s="111"/>
      <c r="I1344" s="111" t="s">
        <v>12287</v>
      </c>
      <c r="J1344" s="111"/>
      <c r="K1344" s="111" t="s">
        <v>30</v>
      </c>
      <c r="L1344" s="111"/>
      <c r="M1344" s="111"/>
      <c r="N1344" s="111"/>
      <c r="O1344" s="111"/>
      <c r="P1344" s="111"/>
      <c r="Q1344" s="111">
        <v>1.0</v>
      </c>
      <c r="R1344" s="111">
        <v>1.0</v>
      </c>
      <c r="S1344" s="111"/>
      <c r="T1344" s="111"/>
      <c r="U1344" s="111"/>
      <c r="V1344" s="111"/>
      <c r="W1344" s="111"/>
      <c r="X1344" s="111"/>
      <c r="Y1344" s="111"/>
      <c r="Z1344" s="111" t="s">
        <v>13606</v>
      </c>
      <c r="AA1344" s="126">
        <f>IF(Projects!$AI1344="Electrolysis",
AB1344*VLOOKUP(G1344,ElectrolysisConvF,3,FALSE),
"")</f>
        <v>21.35488534</v>
      </c>
      <c r="AB1344" s="125">
        <f t="shared" si="264"/>
        <v>4106.708719</v>
      </c>
      <c r="AC1344" s="125">
        <f>(5*365/1000)/Projects!$AJ1344</f>
        <v>3.201754386</v>
      </c>
      <c r="AD1344" s="125"/>
      <c r="AE1344" s="125">
        <f t="shared" si="263"/>
        <v>4106.708719</v>
      </c>
      <c r="AF1344" s="127" t="s">
        <v>14190</v>
      </c>
      <c r="AG1344" s="127">
        <v>35.2873618329058</v>
      </c>
      <c r="AH1344" s="127">
        <v>-84.7578453602363</v>
      </c>
      <c r="AI1344" s="115" t="s">
        <v>12383</v>
      </c>
      <c r="AJ1344" s="116">
        <v>0.57</v>
      </c>
      <c r="AK1344" s="117"/>
      <c r="AL1344" s="117"/>
      <c r="AM1344" s="117"/>
      <c r="AN1344" s="117"/>
      <c r="AO1344" s="117"/>
    </row>
    <row r="1345" ht="34.5" customHeight="1">
      <c r="A1345" s="111">
        <v>1959.0</v>
      </c>
      <c r="B1345" s="127" t="s">
        <v>9348</v>
      </c>
      <c r="C1345" s="111" t="s">
        <v>8001</v>
      </c>
      <c r="D1345" s="111">
        <v>2024.0</v>
      </c>
      <c r="E1345" s="111"/>
      <c r="F1345" s="111" t="s">
        <v>12393</v>
      </c>
      <c r="G1345" s="111" t="s">
        <v>12381</v>
      </c>
      <c r="H1345" s="111" t="s">
        <v>12230</v>
      </c>
      <c r="I1345" s="111" t="s">
        <v>12394</v>
      </c>
      <c r="J1345" s="111" t="s">
        <v>12295</v>
      </c>
      <c r="K1345" s="111" t="s">
        <v>174</v>
      </c>
      <c r="L1345" s="111"/>
      <c r="M1345" s="111">
        <v>1.0</v>
      </c>
      <c r="N1345" s="111"/>
      <c r="O1345" s="111"/>
      <c r="P1345" s="111"/>
      <c r="Q1345" s="111"/>
      <c r="R1345" s="111"/>
      <c r="S1345" s="111"/>
      <c r="T1345" s="111"/>
      <c r="U1345" s="111"/>
      <c r="V1345" s="111"/>
      <c r="W1345" s="111"/>
      <c r="X1345" s="111"/>
      <c r="Y1345" s="111"/>
      <c r="Z1345" s="111" t="s">
        <v>14191</v>
      </c>
      <c r="AA1345" s="126">
        <f>IF(Projects!$AI1345="Electrolysis",
AB1345*VLOOKUP(G1345,ElectrolysisConvF,3,FALSE),
"")</f>
        <v>207.7882099</v>
      </c>
      <c r="AB1345" s="125">
        <f t="shared" si="264"/>
        <v>46175.15777</v>
      </c>
      <c r="AC1345" s="125">
        <v>36.0</v>
      </c>
      <c r="AD1345" s="125"/>
      <c r="AE1345" s="125">
        <f t="shared" si="263"/>
        <v>46175.15777</v>
      </c>
      <c r="AF1345" s="127" t="s">
        <v>14192</v>
      </c>
      <c r="AG1345" s="127">
        <v>43.0964349441502</v>
      </c>
      <c r="AH1345" s="127">
        <v>109.713001314363</v>
      </c>
      <c r="AI1345" s="115" t="s">
        <v>12383</v>
      </c>
      <c r="AJ1345" s="116">
        <v>0.5</v>
      </c>
      <c r="AK1345" s="117"/>
      <c r="AL1345" s="117"/>
      <c r="AM1345" s="117"/>
      <c r="AN1345" s="117"/>
      <c r="AO1345" s="117"/>
    </row>
    <row r="1346" ht="34.5" customHeight="1">
      <c r="A1346" s="111">
        <v>1961.0</v>
      </c>
      <c r="B1346" s="111" t="s">
        <v>9349</v>
      </c>
      <c r="C1346" s="111" t="s">
        <v>8001</v>
      </c>
      <c r="D1346" s="111">
        <v>2024.0</v>
      </c>
      <c r="E1346" s="111"/>
      <c r="F1346" s="111" t="s">
        <v>12393</v>
      </c>
      <c r="G1346" s="111" t="s">
        <v>12381</v>
      </c>
      <c r="H1346" s="111" t="s">
        <v>12230</v>
      </c>
      <c r="I1346" s="111" t="s">
        <v>12394</v>
      </c>
      <c r="J1346" s="111" t="s">
        <v>12292</v>
      </c>
      <c r="K1346" s="111" t="s">
        <v>174</v>
      </c>
      <c r="L1346" s="111"/>
      <c r="M1346" s="111">
        <v>1.0</v>
      </c>
      <c r="N1346" s="111"/>
      <c r="O1346" s="111"/>
      <c r="P1346" s="111"/>
      <c r="Q1346" s="111"/>
      <c r="R1346" s="111"/>
      <c r="S1346" s="111"/>
      <c r="T1346" s="111"/>
      <c r="U1346" s="111"/>
      <c r="V1346" s="111"/>
      <c r="W1346" s="111"/>
      <c r="X1346" s="111"/>
      <c r="Y1346" s="111"/>
      <c r="Z1346" s="111" t="s">
        <v>14193</v>
      </c>
      <c r="AA1346" s="126">
        <f>IF(Projects!$AI1346="Electrolysis",
AB1346*VLOOKUP(G1346,ElectrolysisConvF,3,FALSE),
"")</f>
        <v>124.672926</v>
      </c>
      <c r="AB1346" s="125">
        <f t="shared" si="264"/>
        <v>27705.09466</v>
      </c>
      <c r="AC1346" s="126">
        <v>21.6</v>
      </c>
      <c r="AD1346" s="125"/>
      <c r="AE1346" s="125">
        <f t="shared" si="263"/>
        <v>27705.09466</v>
      </c>
      <c r="AF1346" s="127" t="s">
        <v>14192</v>
      </c>
      <c r="AG1346" s="127">
        <v>46.3772378452051</v>
      </c>
      <c r="AH1346" s="127">
        <v>121.438703192164</v>
      </c>
      <c r="AI1346" s="115" t="s">
        <v>12383</v>
      </c>
      <c r="AJ1346" s="116">
        <v>0.4</v>
      </c>
      <c r="AK1346" s="117"/>
      <c r="AL1346" s="117"/>
      <c r="AM1346" s="117"/>
      <c r="AN1346" s="117"/>
      <c r="AO1346" s="117"/>
    </row>
    <row r="1347" ht="34.5" customHeight="1">
      <c r="A1347" s="111">
        <v>1962.0</v>
      </c>
      <c r="B1347" s="127" t="s">
        <v>9350</v>
      </c>
      <c r="C1347" s="111" t="s">
        <v>8001</v>
      </c>
      <c r="D1347" s="111">
        <v>2024.0</v>
      </c>
      <c r="E1347" s="111"/>
      <c r="F1347" s="111" t="s">
        <v>12393</v>
      </c>
      <c r="G1347" s="111" t="s">
        <v>12224</v>
      </c>
      <c r="H1347" s="111"/>
      <c r="I1347" s="111" t="s">
        <v>12394</v>
      </c>
      <c r="J1347" s="111" t="s">
        <v>12295</v>
      </c>
      <c r="K1347" s="111" t="s">
        <v>174</v>
      </c>
      <c r="L1347" s="111"/>
      <c r="M1347" s="111">
        <v>1.0</v>
      </c>
      <c r="N1347" s="111"/>
      <c r="O1347" s="111"/>
      <c r="P1347" s="111"/>
      <c r="Q1347" s="111"/>
      <c r="R1347" s="111"/>
      <c r="S1347" s="111"/>
      <c r="T1347" s="111"/>
      <c r="U1347" s="111"/>
      <c r="V1347" s="111"/>
      <c r="W1347" s="111"/>
      <c r="X1347" s="111"/>
      <c r="Y1347" s="111"/>
      <c r="Z1347" s="111" t="s">
        <v>14194</v>
      </c>
      <c r="AA1347" s="126">
        <f>IF(Projects!$AI1347="Electrolysis",
AB1347*VLOOKUP(G1347,ElectrolysisConvF,3,FALSE),
"")</f>
        <v>679.9703104</v>
      </c>
      <c r="AB1347" s="125">
        <f t="shared" si="264"/>
        <v>147819.6327</v>
      </c>
      <c r="AC1347" s="125">
        <f>(320*3/17/0.98)/Projects!$AJ1347</f>
        <v>115.2460984</v>
      </c>
      <c r="AD1347" s="125"/>
      <c r="AE1347" s="125">
        <f t="shared" si="263"/>
        <v>147819.6327</v>
      </c>
      <c r="AF1347" s="127" t="s">
        <v>14195</v>
      </c>
      <c r="AG1347" s="127">
        <v>42.2720905262963</v>
      </c>
      <c r="AH1347" s="127">
        <v>118.890974193958</v>
      </c>
      <c r="AI1347" s="115" t="s">
        <v>12383</v>
      </c>
      <c r="AJ1347" s="116">
        <v>0.5</v>
      </c>
      <c r="AK1347" s="117"/>
      <c r="AL1347" s="117"/>
      <c r="AM1347" s="117"/>
      <c r="AN1347" s="117"/>
      <c r="AO1347" s="117"/>
    </row>
    <row r="1348" ht="34.5" customHeight="1">
      <c r="A1348" s="111">
        <v>1963.0</v>
      </c>
      <c r="B1348" s="111" t="s">
        <v>9351</v>
      </c>
      <c r="C1348" s="111" t="s">
        <v>8001</v>
      </c>
      <c r="D1348" s="111">
        <v>2024.0</v>
      </c>
      <c r="E1348" s="111"/>
      <c r="F1348" s="111" t="s">
        <v>12393</v>
      </c>
      <c r="G1348" s="111" t="s">
        <v>12381</v>
      </c>
      <c r="H1348" s="111" t="s">
        <v>12230</v>
      </c>
      <c r="I1348" s="111" t="s">
        <v>12394</v>
      </c>
      <c r="J1348" s="111" t="s">
        <v>12295</v>
      </c>
      <c r="K1348" s="111" t="s">
        <v>174</v>
      </c>
      <c r="L1348" s="111"/>
      <c r="M1348" s="111">
        <v>1.0</v>
      </c>
      <c r="N1348" s="111"/>
      <c r="O1348" s="111"/>
      <c r="P1348" s="111"/>
      <c r="Q1348" s="111"/>
      <c r="R1348" s="111"/>
      <c r="S1348" s="111"/>
      <c r="T1348" s="111"/>
      <c r="U1348" s="111"/>
      <c r="V1348" s="111"/>
      <c r="W1348" s="111"/>
      <c r="X1348" s="111"/>
      <c r="Y1348" s="111"/>
      <c r="Z1348" s="111" t="s">
        <v>14196</v>
      </c>
      <c r="AA1348" s="126">
        <f>IF(Projects!$AI1348="Electrolysis",
AB1348*VLOOKUP(G1348,ElectrolysisConvF,3,FALSE),
"")</f>
        <v>107.3572418</v>
      </c>
      <c r="AB1348" s="125">
        <f t="shared" si="264"/>
        <v>23857.16485</v>
      </c>
      <c r="AC1348" s="126">
        <v>18.6</v>
      </c>
      <c r="AD1348" s="125"/>
      <c r="AE1348" s="125">
        <f t="shared" si="263"/>
        <v>23857.16485</v>
      </c>
      <c r="AF1348" s="127" t="s">
        <v>14192</v>
      </c>
      <c r="AG1348" s="127">
        <v>42.2720905262963</v>
      </c>
      <c r="AH1348" s="127">
        <v>118.890974193958</v>
      </c>
      <c r="AI1348" s="115" t="s">
        <v>12383</v>
      </c>
      <c r="AJ1348" s="116">
        <v>0.5</v>
      </c>
      <c r="AK1348" s="117"/>
      <c r="AL1348" s="117"/>
      <c r="AM1348" s="117"/>
      <c r="AN1348" s="117"/>
      <c r="AO1348" s="117"/>
    </row>
    <row r="1349" ht="34.5" customHeight="1">
      <c r="A1349" s="111">
        <v>1964.0</v>
      </c>
      <c r="B1349" s="111" t="s">
        <v>9352</v>
      </c>
      <c r="C1349" s="111" t="s">
        <v>8001</v>
      </c>
      <c r="D1349" s="111">
        <v>2024.0</v>
      </c>
      <c r="E1349" s="111"/>
      <c r="F1349" s="111" t="s">
        <v>12393</v>
      </c>
      <c r="G1349" s="111" t="s">
        <v>12381</v>
      </c>
      <c r="H1349" s="111" t="s">
        <v>12230</v>
      </c>
      <c r="I1349" s="111" t="s">
        <v>12394</v>
      </c>
      <c r="J1349" s="111" t="s">
        <v>12295</v>
      </c>
      <c r="K1349" s="111" t="s">
        <v>30</v>
      </c>
      <c r="L1349" s="111"/>
      <c r="M1349" s="111"/>
      <c r="N1349" s="111"/>
      <c r="O1349" s="111"/>
      <c r="P1349" s="111"/>
      <c r="Q1349" s="111">
        <v>1.0</v>
      </c>
      <c r="R1349" s="111"/>
      <c r="S1349" s="111"/>
      <c r="T1349" s="111"/>
      <c r="U1349" s="111"/>
      <c r="V1349" s="111"/>
      <c r="W1349" s="111"/>
      <c r="X1349" s="111"/>
      <c r="Y1349" s="111"/>
      <c r="Z1349" s="111" t="s">
        <v>14197</v>
      </c>
      <c r="AA1349" s="126">
        <f>IF(Projects!$AI1349="Electrolysis",
AB1349*VLOOKUP(G1349,ElectrolysisConvF,3,FALSE),
"")</f>
        <v>31.42796675</v>
      </c>
      <c r="AB1349" s="125">
        <f t="shared" si="264"/>
        <v>6983.992612</v>
      </c>
      <c r="AC1349" s="126">
        <v>5.445</v>
      </c>
      <c r="AD1349" s="125"/>
      <c r="AE1349" s="125">
        <f t="shared" si="263"/>
        <v>6983.992612</v>
      </c>
      <c r="AF1349" s="127" t="s">
        <v>14192</v>
      </c>
      <c r="AG1349" s="127">
        <v>39.4108107426835</v>
      </c>
      <c r="AH1349" s="127">
        <v>109.750163403933</v>
      </c>
      <c r="AI1349" s="115" t="s">
        <v>12383</v>
      </c>
      <c r="AJ1349" s="116">
        <v>0.5</v>
      </c>
      <c r="AK1349" s="117"/>
      <c r="AL1349" s="117"/>
      <c r="AM1349" s="117"/>
      <c r="AN1349" s="117"/>
      <c r="AO1349" s="117"/>
    </row>
    <row r="1350" ht="34.5" customHeight="1">
      <c r="A1350" s="111">
        <v>1965.0</v>
      </c>
      <c r="B1350" s="111" t="s">
        <v>9353</v>
      </c>
      <c r="C1350" s="111" t="s">
        <v>8001</v>
      </c>
      <c r="D1350" s="111">
        <v>2025.0</v>
      </c>
      <c r="E1350" s="111"/>
      <c r="F1350" s="111" t="s">
        <v>12393</v>
      </c>
      <c r="G1350" s="111" t="s">
        <v>12224</v>
      </c>
      <c r="H1350" s="111"/>
      <c r="I1350" s="111" t="s">
        <v>12394</v>
      </c>
      <c r="J1350" s="111" t="s">
        <v>12295</v>
      </c>
      <c r="K1350" s="111" t="s">
        <v>174</v>
      </c>
      <c r="L1350" s="111"/>
      <c r="M1350" s="111">
        <v>1.0</v>
      </c>
      <c r="N1350" s="111"/>
      <c r="O1350" s="111"/>
      <c r="P1350" s="111">
        <v>1.0</v>
      </c>
      <c r="Q1350" s="111"/>
      <c r="R1350" s="111"/>
      <c r="S1350" s="111"/>
      <c r="T1350" s="111"/>
      <c r="U1350" s="111"/>
      <c r="V1350" s="111"/>
      <c r="W1350" s="111"/>
      <c r="X1350" s="111"/>
      <c r="Y1350" s="111"/>
      <c r="Z1350" s="111" t="s">
        <v>14198</v>
      </c>
      <c r="AA1350" s="126">
        <f>IF(Projects!$AI1350="Electrolysis",
AB1350*VLOOKUP(G1350,ElectrolysisConvF,3,FALSE),
"")</f>
        <v>122.8826125</v>
      </c>
      <c r="AB1350" s="125">
        <f t="shared" si="264"/>
        <v>26713.61141</v>
      </c>
      <c r="AC1350" s="126">
        <v>20.827</v>
      </c>
      <c r="AD1350" s="125"/>
      <c r="AE1350" s="125">
        <f t="shared" si="263"/>
        <v>26713.61141</v>
      </c>
      <c r="AF1350" s="127" t="s">
        <v>14192</v>
      </c>
      <c r="AG1350" s="127">
        <v>39.4761474467782</v>
      </c>
      <c r="AH1350" s="127">
        <v>107.611079769583</v>
      </c>
      <c r="AI1350" s="115" t="s">
        <v>12383</v>
      </c>
      <c r="AJ1350" s="116">
        <v>0.5</v>
      </c>
      <c r="AK1350" s="117"/>
      <c r="AL1350" s="117"/>
      <c r="AM1350" s="117"/>
      <c r="AN1350" s="117"/>
      <c r="AO1350" s="117"/>
    </row>
    <row r="1351" ht="34.5" customHeight="1">
      <c r="A1351" s="111">
        <v>1966.0</v>
      </c>
      <c r="B1351" s="111" t="s">
        <v>9354</v>
      </c>
      <c r="C1351" s="111" t="s">
        <v>8001</v>
      </c>
      <c r="D1351" s="111">
        <v>2024.0</v>
      </c>
      <c r="E1351" s="111"/>
      <c r="F1351" s="111" t="s">
        <v>12393</v>
      </c>
      <c r="G1351" s="111" t="s">
        <v>12224</v>
      </c>
      <c r="H1351" s="111"/>
      <c r="I1351" s="111" t="s">
        <v>12394</v>
      </c>
      <c r="J1351" s="111" t="s">
        <v>12295</v>
      </c>
      <c r="K1351" s="111" t="s">
        <v>174</v>
      </c>
      <c r="L1351" s="111"/>
      <c r="M1351" s="111">
        <v>1.0</v>
      </c>
      <c r="N1351" s="111"/>
      <c r="O1351" s="111"/>
      <c r="P1351" s="111"/>
      <c r="Q1351" s="111"/>
      <c r="R1351" s="111"/>
      <c r="S1351" s="111"/>
      <c r="T1351" s="111"/>
      <c r="U1351" s="111"/>
      <c r="V1351" s="111"/>
      <c r="W1351" s="111"/>
      <c r="X1351" s="111"/>
      <c r="Y1351" s="111"/>
      <c r="Z1351" s="111" t="s">
        <v>14199</v>
      </c>
      <c r="AA1351" s="126">
        <f>IF(Projects!$AI1351="Electrolysis",
AB1351*VLOOKUP(G1351,ElectrolysisConvF,3,FALSE),
"")</f>
        <v>91.21645888</v>
      </c>
      <c r="AB1351" s="125">
        <f t="shared" si="264"/>
        <v>19829.66497</v>
      </c>
      <c r="AC1351" s="126">
        <v>15.46</v>
      </c>
      <c r="AD1351" s="125"/>
      <c r="AE1351" s="125">
        <f t="shared" si="263"/>
        <v>19829.66497</v>
      </c>
      <c r="AF1351" s="127" t="s">
        <v>14192</v>
      </c>
      <c r="AG1351" s="127">
        <v>40.2251654855244</v>
      </c>
      <c r="AH1351" s="127">
        <v>109.695563497882</v>
      </c>
      <c r="AI1351" s="115" t="s">
        <v>12383</v>
      </c>
      <c r="AJ1351" s="116">
        <v>0.5</v>
      </c>
      <c r="AK1351" s="117"/>
      <c r="AL1351" s="117"/>
      <c r="AM1351" s="117"/>
      <c r="AN1351" s="117"/>
      <c r="AO1351" s="117"/>
    </row>
    <row r="1352" ht="34.5" customHeight="1">
      <c r="A1352" s="111">
        <v>1967.0</v>
      </c>
      <c r="B1352" s="111" t="s">
        <v>9355</v>
      </c>
      <c r="C1352" s="111" t="s">
        <v>8001</v>
      </c>
      <c r="D1352" s="111">
        <v>2024.0</v>
      </c>
      <c r="E1352" s="111"/>
      <c r="F1352" s="111" t="s">
        <v>12393</v>
      </c>
      <c r="G1352" s="111" t="s">
        <v>12381</v>
      </c>
      <c r="H1352" s="111" t="s">
        <v>12230</v>
      </c>
      <c r="I1352" s="111" t="s">
        <v>12394</v>
      </c>
      <c r="J1352" s="111" t="s">
        <v>12292</v>
      </c>
      <c r="K1352" s="111" t="s">
        <v>174</v>
      </c>
      <c r="L1352" s="111"/>
      <c r="M1352" s="111">
        <v>1.0</v>
      </c>
      <c r="N1352" s="111"/>
      <c r="O1352" s="111"/>
      <c r="P1352" s="111"/>
      <c r="Q1352" s="111"/>
      <c r="R1352" s="111"/>
      <c r="S1352" s="111"/>
      <c r="T1352" s="111"/>
      <c r="U1352" s="111"/>
      <c r="V1352" s="111"/>
      <c r="W1352" s="111"/>
      <c r="X1352" s="111"/>
      <c r="Y1352" s="111"/>
      <c r="Z1352" s="111" t="s">
        <v>14200</v>
      </c>
      <c r="AA1352" s="126">
        <f>IF(Projects!$AI1352="Electrolysis",
AB1352*VLOOKUP(G1352,ElectrolysisConvF,3,FALSE),
"")</f>
        <v>161.6130522</v>
      </c>
      <c r="AB1352" s="125">
        <f t="shared" si="264"/>
        <v>35914.0116</v>
      </c>
      <c r="AC1352" s="126">
        <v>28.0</v>
      </c>
      <c r="AD1352" s="125"/>
      <c r="AE1352" s="125">
        <f t="shared" si="263"/>
        <v>35914.0116</v>
      </c>
      <c r="AF1352" s="127" t="s">
        <v>14192</v>
      </c>
      <c r="AG1352" s="127">
        <v>40.6603467702166</v>
      </c>
      <c r="AH1352" s="127">
        <v>109.843022495452</v>
      </c>
      <c r="AI1352" s="115" t="s">
        <v>12383</v>
      </c>
      <c r="AJ1352" s="116">
        <v>0.4</v>
      </c>
      <c r="AK1352" s="117"/>
      <c r="AL1352" s="117"/>
      <c r="AM1352" s="117"/>
      <c r="AN1352" s="117"/>
      <c r="AO1352" s="117"/>
    </row>
    <row r="1353" ht="34.5" customHeight="1">
      <c r="A1353" s="111">
        <v>1968.0</v>
      </c>
      <c r="B1353" s="111" t="s">
        <v>9356</v>
      </c>
      <c r="C1353" s="111" t="s">
        <v>8001</v>
      </c>
      <c r="D1353" s="111">
        <v>2024.0</v>
      </c>
      <c r="E1353" s="111"/>
      <c r="F1353" s="111" t="s">
        <v>12393</v>
      </c>
      <c r="G1353" s="111" t="s">
        <v>12381</v>
      </c>
      <c r="H1353" s="111" t="s">
        <v>12230</v>
      </c>
      <c r="I1353" s="111" t="s">
        <v>12394</v>
      </c>
      <c r="J1353" s="111" t="s">
        <v>12295</v>
      </c>
      <c r="K1353" s="111" t="s">
        <v>174</v>
      </c>
      <c r="L1353" s="111"/>
      <c r="M1353" s="111">
        <v>1.0</v>
      </c>
      <c r="N1353" s="111"/>
      <c r="O1353" s="111"/>
      <c r="P1353" s="111"/>
      <c r="Q1353" s="111"/>
      <c r="R1353" s="111"/>
      <c r="S1353" s="111"/>
      <c r="T1353" s="111"/>
      <c r="U1353" s="111"/>
      <c r="V1353" s="111"/>
      <c r="W1353" s="111"/>
      <c r="X1353" s="111"/>
      <c r="Y1353" s="111"/>
      <c r="Z1353" s="111" t="s">
        <v>14201</v>
      </c>
      <c r="AA1353" s="126">
        <f>IF(Projects!$AI1353="Electrolysis",
AB1353*VLOOKUP(G1353,ElectrolysisConvF,3,FALSE),
"")</f>
        <v>148.3376943</v>
      </c>
      <c r="AB1353" s="125">
        <f t="shared" si="264"/>
        <v>32963.93207</v>
      </c>
      <c r="AC1353" s="126">
        <v>25.7</v>
      </c>
      <c r="AD1353" s="125"/>
      <c r="AE1353" s="125">
        <f t="shared" si="263"/>
        <v>32963.93207</v>
      </c>
      <c r="AF1353" s="127" t="s">
        <v>14192</v>
      </c>
      <c r="AG1353" s="127">
        <v>41.0680602036988</v>
      </c>
      <c r="AH1353" s="127">
        <v>113.312184413567</v>
      </c>
      <c r="AI1353" s="115" t="s">
        <v>12383</v>
      </c>
      <c r="AJ1353" s="116">
        <v>0.5</v>
      </c>
      <c r="AK1353" s="117"/>
      <c r="AL1353" s="117"/>
      <c r="AM1353" s="117"/>
      <c r="AN1353" s="117"/>
      <c r="AO1353" s="117"/>
    </row>
    <row r="1354" ht="34.5" customHeight="1">
      <c r="A1354" s="111">
        <v>1969.0</v>
      </c>
      <c r="B1354" s="127" t="s">
        <v>9357</v>
      </c>
      <c r="C1354" s="111" t="s">
        <v>7991</v>
      </c>
      <c r="D1354" s="111">
        <v>2030.0</v>
      </c>
      <c r="E1354" s="111"/>
      <c r="F1354" s="111" t="s">
        <v>12397</v>
      </c>
      <c r="G1354" s="111" t="s">
        <v>12381</v>
      </c>
      <c r="H1354" s="111" t="s">
        <v>12230</v>
      </c>
      <c r="I1354" s="111" t="s">
        <v>12394</v>
      </c>
      <c r="J1354" s="111" t="s">
        <v>12295</v>
      </c>
      <c r="K1354" s="111" t="s">
        <v>30</v>
      </c>
      <c r="L1354" s="111"/>
      <c r="M1354" s="111"/>
      <c r="N1354" s="111"/>
      <c r="O1354" s="111"/>
      <c r="P1354" s="111">
        <v>1.0</v>
      </c>
      <c r="Q1354" s="111">
        <v>1.0</v>
      </c>
      <c r="R1354" s="111"/>
      <c r="S1354" s="111"/>
      <c r="T1354" s="111"/>
      <c r="U1354" s="111"/>
      <c r="V1354" s="111"/>
      <c r="W1354" s="111"/>
      <c r="X1354" s="111"/>
      <c r="Y1354" s="111"/>
      <c r="Z1354" s="111" t="s">
        <v>14202</v>
      </c>
      <c r="AA1354" s="124">
        <f>190.5-AA822</f>
        <v>180</v>
      </c>
      <c r="AB1354" s="125">
        <f>IF(Projects!$AI1354="Electrolysis",
AA1354/VLOOKUP(G1354,ElectrolysisConvF,3,FALSE),
AC1354*10^6/(H2dens*HoursInYear))</f>
        <v>40000</v>
      </c>
      <c r="AC1354" s="126">
        <f t="shared" ref="AC1354:AC1356" si="265">AB1354*H2dens*HoursInYear/10^6</f>
        <v>31.1856</v>
      </c>
      <c r="AD1354" s="125"/>
      <c r="AE1354" s="125">
        <f t="shared" si="263"/>
        <v>40000</v>
      </c>
      <c r="AF1354" s="127" t="s">
        <v>13519</v>
      </c>
      <c r="AG1354" s="127">
        <v>53.4369442570234</v>
      </c>
      <c r="AH1354" s="127">
        <v>-2.40825504586318</v>
      </c>
      <c r="AI1354" s="115" t="s">
        <v>12383</v>
      </c>
      <c r="AJ1354" s="116">
        <v>0.5</v>
      </c>
      <c r="AK1354" s="117"/>
      <c r="AL1354" s="117"/>
      <c r="AM1354" s="117"/>
      <c r="AN1354" s="117"/>
      <c r="AO1354" s="117"/>
    </row>
    <row r="1355" ht="34.5" customHeight="1">
      <c r="A1355" s="111">
        <v>1970.0</v>
      </c>
      <c r="B1355" s="111" t="s">
        <v>9358</v>
      </c>
      <c r="C1355" s="111" t="s">
        <v>8108</v>
      </c>
      <c r="D1355" s="111">
        <v>2023.0</v>
      </c>
      <c r="E1355" s="111"/>
      <c r="F1355" s="111" t="s">
        <v>12385</v>
      </c>
      <c r="G1355" s="111" t="s">
        <v>12226</v>
      </c>
      <c r="H1355" s="111"/>
      <c r="I1355" s="111" t="s">
        <v>12759</v>
      </c>
      <c r="J1355" s="111" t="s">
        <v>12296</v>
      </c>
      <c r="K1355" s="111" t="s">
        <v>30</v>
      </c>
      <c r="L1355" s="111"/>
      <c r="M1355" s="111"/>
      <c r="N1355" s="111"/>
      <c r="O1355" s="111"/>
      <c r="P1355" s="111"/>
      <c r="Q1355" s="111"/>
      <c r="R1355" s="111"/>
      <c r="S1355" s="111">
        <v>1.0</v>
      </c>
      <c r="T1355" s="111"/>
      <c r="U1355" s="111"/>
      <c r="V1355" s="111"/>
      <c r="W1355" s="111"/>
      <c r="X1355" s="111"/>
      <c r="Y1355" s="111"/>
      <c r="Z1355" s="111" t="s">
        <v>14203</v>
      </c>
      <c r="AA1355" s="124">
        <v>0.0065</v>
      </c>
      <c r="AB1355" s="125">
        <f>IF(Projects!$AI1355="Electrolysis",
AA1355/VLOOKUP(G1355,ElectrolysisConvF,3,FALSE),
AC1355*10^6/(H2dens*HoursInYear))</f>
        <v>1.25</v>
      </c>
      <c r="AC1355" s="126">
        <f t="shared" si="265"/>
        <v>0.00097455</v>
      </c>
      <c r="AD1355" s="125"/>
      <c r="AE1355" s="125">
        <f t="shared" si="263"/>
        <v>1.25</v>
      </c>
      <c r="AF1355" s="127"/>
      <c r="AG1355" s="127">
        <v>21.1809015208844</v>
      </c>
      <c r="AH1355" s="127">
        <v>72.7193087479201</v>
      </c>
      <c r="AI1355" s="115" t="s">
        <v>12383</v>
      </c>
      <c r="AJ1355" s="116">
        <v>0.7</v>
      </c>
      <c r="AK1355" s="117"/>
      <c r="AL1355" s="117"/>
      <c r="AM1355" s="117"/>
      <c r="AN1355" s="117"/>
      <c r="AO1355" s="117"/>
    </row>
    <row r="1356" ht="34.5" customHeight="1">
      <c r="A1356" s="111">
        <v>1971.0</v>
      </c>
      <c r="B1356" s="111" t="s">
        <v>9359</v>
      </c>
      <c r="C1356" s="111" t="s">
        <v>8108</v>
      </c>
      <c r="D1356" s="111">
        <v>2024.0</v>
      </c>
      <c r="E1356" s="111"/>
      <c r="F1356" s="111" t="s">
        <v>12393</v>
      </c>
      <c r="G1356" s="111" t="s">
        <v>12224</v>
      </c>
      <c r="H1356" s="111"/>
      <c r="I1356" s="111" t="s">
        <v>12759</v>
      </c>
      <c r="J1356" s="111" t="s">
        <v>12296</v>
      </c>
      <c r="K1356" s="111" t="s">
        <v>30</v>
      </c>
      <c r="L1356" s="111"/>
      <c r="M1356" s="111"/>
      <c r="N1356" s="111"/>
      <c r="O1356" s="111"/>
      <c r="P1356" s="111"/>
      <c r="Q1356" s="111">
        <v>1.0</v>
      </c>
      <c r="R1356" s="111"/>
      <c r="S1356" s="111"/>
      <c r="T1356" s="111"/>
      <c r="U1356" s="111"/>
      <c r="V1356" s="111"/>
      <c r="W1356" s="111"/>
      <c r="X1356" s="111"/>
      <c r="Y1356" s="111"/>
      <c r="Z1356" s="111" t="s">
        <v>14204</v>
      </c>
      <c r="AA1356" s="124">
        <v>1.6</v>
      </c>
      <c r="AB1356" s="125">
        <f>IF(Projects!$AI1356="Electrolysis",
AA1356/VLOOKUP(G1356,ElectrolysisConvF,3,FALSE),
AC1356*10^6/(H2dens*HoursInYear))</f>
        <v>347.826087</v>
      </c>
      <c r="AC1356" s="126">
        <f t="shared" si="265"/>
        <v>0.2711791304</v>
      </c>
      <c r="AD1356" s="125"/>
      <c r="AE1356" s="125">
        <f t="shared" si="263"/>
        <v>347.826087</v>
      </c>
      <c r="AF1356" s="127"/>
      <c r="AG1356" s="127">
        <v>28.5257589645063</v>
      </c>
      <c r="AH1356" s="127">
        <v>77.5069559056058</v>
      </c>
      <c r="AI1356" s="115" t="s">
        <v>12383</v>
      </c>
      <c r="AJ1356" s="116">
        <v>0.7</v>
      </c>
      <c r="AK1356" s="117"/>
      <c r="AL1356" s="117"/>
      <c r="AM1356" s="117"/>
      <c r="AN1356" s="117"/>
      <c r="AO1356" s="117"/>
    </row>
    <row r="1357" ht="34.5" customHeight="1">
      <c r="A1357" s="111">
        <v>1972.0</v>
      </c>
      <c r="B1357" s="111" t="s">
        <v>9360</v>
      </c>
      <c r="C1357" s="130" t="s">
        <v>7987</v>
      </c>
      <c r="D1357" s="111">
        <v>2025.0</v>
      </c>
      <c r="E1357" s="111"/>
      <c r="F1357" s="111" t="s">
        <v>12393</v>
      </c>
      <c r="G1357" s="111" t="s">
        <v>12224</v>
      </c>
      <c r="H1357" s="111"/>
      <c r="I1357" s="111" t="s">
        <v>12394</v>
      </c>
      <c r="J1357" s="111" t="s">
        <v>12294</v>
      </c>
      <c r="K1357" s="111" t="s">
        <v>30</v>
      </c>
      <c r="L1357" s="111"/>
      <c r="M1357" s="111"/>
      <c r="N1357" s="111"/>
      <c r="O1357" s="111"/>
      <c r="P1357" s="111"/>
      <c r="Q1357" s="111"/>
      <c r="R1357" s="111"/>
      <c r="S1357" s="111"/>
      <c r="T1357" s="111"/>
      <c r="U1357" s="111"/>
      <c r="V1357" s="111"/>
      <c r="W1357" s="111"/>
      <c r="X1357" s="111"/>
      <c r="Y1357" s="111"/>
      <c r="Z1357" s="111" t="s">
        <v>14205</v>
      </c>
      <c r="AA1357" s="126">
        <f>IF(Projects!$AI1357="Electrolysis",
AB1357*VLOOKUP(G1357,ElectrolysisConvF,3,FALSE),
"")</f>
        <v>4.248114514</v>
      </c>
      <c r="AB1357" s="125">
        <f>AC1357/(H2dens*HoursInYear/10^6)</f>
        <v>923.5031553</v>
      </c>
      <c r="AC1357" s="125">
        <v>0.72</v>
      </c>
      <c r="AD1357" s="125"/>
      <c r="AE1357" s="125">
        <f t="shared" si="263"/>
        <v>923.5031553</v>
      </c>
      <c r="AF1357" s="127" t="s">
        <v>14206</v>
      </c>
      <c r="AG1357" s="127">
        <v>47.539892415871</v>
      </c>
      <c r="AH1357" s="127">
        <v>7.71235351615059</v>
      </c>
      <c r="AI1357" s="115" t="s">
        <v>12383</v>
      </c>
      <c r="AJ1357" s="116">
        <v>0.8</v>
      </c>
      <c r="AK1357" s="117"/>
      <c r="AL1357" s="117"/>
      <c r="AM1357" s="117"/>
      <c r="AN1357" s="117"/>
      <c r="AO1357" s="117"/>
    </row>
    <row r="1358" ht="34.5" customHeight="1">
      <c r="A1358" s="111">
        <v>1973.0</v>
      </c>
      <c r="B1358" s="111" t="s">
        <v>9361</v>
      </c>
      <c r="C1358" s="111" t="s">
        <v>7987</v>
      </c>
      <c r="D1358" s="111">
        <v>2027.0</v>
      </c>
      <c r="E1358" s="111"/>
      <c r="F1358" s="111" t="s">
        <v>12399</v>
      </c>
      <c r="G1358" s="111" t="s">
        <v>12381</v>
      </c>
      <c r="H1358" s="111" t="s">
        <v>12230</v>
      </c>
      <c r="I1358" s="111" t="s">
        <v>12394</v>
      </c>
      <c r="J1358" s="111" t="s">
        <v>12293</v>
      </c>
      <c r="K1358" s="111" t="s">
        <v>30</v>
      </c>
      <c r="L1358" s="111"/>
      <c r="M1358" s="111"/>
      <c r="N1358" s="111"/>
      <c r="O1358" s="111"/>
      <c r="P1358" s="111"/>
      <c r="Q1358" s="111"/>
      <c r="R1358" s="111"/>
      <c r="S1358" s="111"/>
      <c r="T1358" s="111"/>
      <c r="U1358" s="111"/>
      <c r="V1358" s="111"/>
      <c r="W1358" s="111"/>
      <c r="X1358" s="111"/>
      <c r="Y1358" s="111"/>
      <c r="Z1358" s="111" t="s">
        <v>12698</v>
      </c>
      <c r="AA1358" s="124">
        <v>100.0</v>
      </c>
      <c r="AB1358" s="125">
        <f>IF(Projects!$AI1358="Electrolysis",
AA1358/VLOOKUP(G1358,ElectrolysisConvF,3,FALSE),
AC1358*10^6/(H2dens*HoursInYear))</f>
        <v>22222.22222</v>
      </c>
      <c r="AC1358" s="126">
        <f t="shared" ref="AC1358:AC1360" si="266">AB1358*H2dens*HoursInYear/10^6</f>
        <v>17.32533333</v>
      </c>
      <c r="AD1358" s="125"/>
      <c r="AE1358" s="125">
        <f t="shared" si="263"/>
        <v>22222.22222</v>
      </c>
      <c r="AF1358" s="127" t="s">
        <v>14207</v>
      </c>
      <c r="AG1358" s="127">
        <v>53.5295406441506</v>
      </c>
      <c r="AH1358" s="127">
        <v>8.12969320043866</v>
      </c>
      <c r="AI1358" s="115" t="s">
        <v>12383</v>
      </c>
      <c r="AJ1358" s="116">
        <v>0.55</v>
      </c>
      <c r="AK1358" s="117"/>
      <c r="AL1358" s="117"/>
      <c r="AM1358" s="117"/>
      <c r="AN1358" s="117"/>
      <c r="AO1358" s="117"/>
    </row>
    <row r="1359" ht="34.5" customHeight="1">
      <c r="A1359" s="111">
        <v>1974.0</v>
      </c>
      <c r="B1359" s="111" t="s">
        <v>9362</v>
      </c>
      <c r="C1359" s="111" t="s">
        <v>8003</v>
      </c>
      <c r="D1359" s="111">
        <v>2024.0</v>
      </c>
      <c r="E1359" s="111"/>
      <c r="F1359" s="111" t="s">
        <v>12393</v>
      </c>
      <c r="G1359" s="111" t="s">
        <v>12381</v>
      </c>
      <c r="H1359" s="111" t="s">
        <v>12230</v>
      </c>
      <c r="I1359" s="111" t="s">
        <v>12394</v>
      </c>
      <c r="J1359" s="111" t="s">
        <v>12294</v>
      </c>
      <c r="K1359" s="111" t="s">
        <v>30</v>
      </c>
      <c r="L1359" s="111"/>
      <c r="M1359" s="111"/>
      <c r="N1359" s="111"/>
      <c r="O1359" s="111"/>
      <c r="P1359" s="111"/>
      <c r="Q1359" s="111">
        <v>1.0</v>
      </c>
      <c r="R1359" s="111"/>
      <c r="S1359" s="111"/>
      <c r="T1359" s="111"/>
      <c r="U1359" s="111"/>
      <c r="V1359" s="111"/>
      <c r="W1359" s="111"/>
      <c r="X1359" s="111"/>
      <c r="Y1359" s="111"/>
      <c r="Z1359" s="111" t="s">
        <v>14208</v>
      </c>
      <c r="AA1359" s="124">
        <f>2*5</f>
        <v>10</v>
      </c>
      <c r="AB1359" s="125">
        <f>IF(Projects!$AI1359="Electrolysis",
AA1359/VLOOKUP(G1359,ElectrolysisConvF,3,FALSE),
AC1359*10^6/(H2dens*HoursInYear))</f>
        <v>2222.222222</v>
      </c>
      <c r="AC1359" s="126">
        <f t="shared" si="266"/>
        <v>1.732533333</v>
      </c>
      <c r="AD1359" s="125"/>
      <c r="AE1359" s="125">
        <f t="shared" si="263"/>
        <v>2222.222222</v>
      </c>
      <c r="AF1359" s="127" t="s">
        <v>14209</v>
      </c>
      <c r="AG1359" s="127">
        <v>53.9154634541195</v>
      </c>
      <c r="AH1359" s="127">
        <v>-122.753800661167</v>
      </c>
      <c r="AI1359" s="115" t="s">
        <v>12383</v>
      </c>
      <c r="AJ1359" s="116">
        <v>0.8</v>
      </c>
      <c r="AK1359" s="117"/>
      <c r="AL1359" s="117"/>
      <c r="AM1359" s="117"/>
      <c r="AN1359" s="117"/>
      <c r="AO1359" s="117"/>
    </row>
    <row r="1360" ht="34.5" customHeight="1">
      <c r="A1360" s="111">
        <v>1975.0</v>
      </c>
      <c r="B1360" s="111" t="s">
        <v>9363</v>
      </c>
      <c r="C1360" s="111" t="s">
        <v>8011</v>
      </c>
      <c r="D1360" s="111">
        <v>2024.0</v>
      </c>
      <c r="E1360" s="111"/>
      <c r="F1360" s="111" t="s">
        <v>12385</v>
      </c>
      <c r="G1360" s="111" t="s">
        <v>12226</v>
      </c>
      <c r="H1360" s="111"/>
      <c r="I1360" s="111" t="s">
        <v>12287</v>
      </c>
      <c r="J1360" s="111"/>
      <c r="K1360" s="111" t="s">
        <v>30</v>
      </c>
      <c r="L1360" s="111"/>
      <c r="M1360" s="111"/>
      <c r="N1360" s="111"/>
      <c r="O1360" s="111"/>
      <c r="P1360" s="111"/>
      <c r="Q1360" s="111">
        <v>1.0</v>
      </c>
      <c r="R1360" s="111"/>
      <c r="S1360" s="111"/>
      <c r="T1360" s="111"/>
      <c r="U1360" s="111"/>
      <c r="V1360" s="111"/>
      <c r="W1360" s="111"/>
      <c r="X1360" s="111"/>
      <c r="Y1360" s="111"/>
      <c r="Z1360" s="111" t="s">
        <v>12908</v>
      </c>
      <c r="AA1360" s="124">
        <v>1.0</v>
      </c>
      <c r="AB1360" s="125">
        <f>IF(Projects!$AI1360="Electrolysis",
AA1360/VLOOKUP(G1360,ElectrolysisConvF,3,FALSE),
AC1360*10^6/(H2dens*HoursInYear))</f>
        <v>192.3076923</v>
      </c>
      <c r="AC1360" s="126">
        <f t="shared" si="266"/>
        <v>0.1499307692</v>
      </c>
      <c r="AD1360" s="125"/>
      <c r="AE1360" s="125">
        <f t="shared" si="263"/>
        <v>192.3076923</v>
      </c>
      <c r="AF1360" s="127" t="s">
        <v>14210</v>
      </c>
      <c r="AG1360" s="127">
        <v>48.9640917434348</v>
      </c>
      <c r="AH1360" s="127">
        <v>1.86828391130777</v>
      </c>
      <c r="AI1360" s="115" t="s">
        <v>12383</v>
      </c>
      <c r="AJ1360" s="116">
        <v>0.57</v>
      </c>
      <c r="AK1360" s="117"/>
      <c r="AL1360" s="117"/>
      <c r="AM1360" s="117"/>
      <c r="AN1360" s="117"/>
      <c r="AO1360" s="117"/>
    </row>
    <row r="1361" ht="34.5" customHeight="1">
      <c r="A1361" s="111">
        <v>1976.0</v>
      </c>
      <c r="B1361" s="111" t="s">
        <v>9364</v>
      </c>
      <c r="C1361" s="111" t="s">
        <v>7967</v>
      </c>
      <c r="D1361" s="111">
        <v>2023.0</v>
      </c>
      <c r="E1361" s="111"/>
      <c r="F1361" s="111" t="s">
        <v>12418</v>
      </c>
      <c r="G1361" s="111" t="s">
        <v>12239</v>
      </c>
      <c r="H1361" s="111" t="s">
        <v>13079</v>
      </c>
      <c r="I1361" s="111"/>
      <c r="J1361" s="111"/>
      <c r="K1361" s="111" t="s">
        <v>30</v>
      </c>
      <c r="L1361" s="111"/>
      <c r="M1361" s="111"/>
      <c r="N1361" s="111"/>
      <c r="O1361" s="111"/>
      <c r="P1361" s="111"/>
      <c r="Q1361" s="111"/>
      <c r="R1361" s="111"/>
      <c r="S1361" s="111"/>
      <c r="T1361" s="111"/>
      <c r="U1361" s="111"/>
      <c r="V1361" s="111"/>
      <c r="W1361" s="111"/>
      <c r="X1361" s="111"/>
      <c r="Y1361" s="111"/>
      <c r="Z1361" s="111" t="s">
        <v>14211</v>
      </c>
      <c r="AA1361" s="124"/>
      <c r="AB1361" s="125">
        <f t="shared" ref="AB1361:AB1363" si="267">AC1361/(H2dens*HoursInYear/10^6)</f>
        <v>1628.956954</v>
      </c>
      <c r="AC1361" s="125">
        <f>AVERAGE(240,2300)/1000</f>
        <v>1.27</v>
      </c>
      <c r="AD1361" s="125"/>
      <c r="AE1361" s="125">
        <f t="shared" si="263"/>
        <v>1628.956954</v>
      </c>
      <c r="AF1361" s="127" t="s">
        <v>14212</v>
      </c>
      <c r="AG1361" s="127">
        <v>52.635994993993</v>
      </c>
      <c r="AH1361" s="127">
        <v>4.74078575266932</v>
      </c>
      <c r="AI1361" s="115" t="s">
        <v>12241</v>
      </c>
      <c r="AJ1361" s="116">
        <v>0.9</v>
      </c>
      <c r="AK1361" s="117"/>
      <c r="AL1361" s="117"/>
      <c r="AM1361" s="117"/>
      <c r="AN1361" s="117"/>
      <c r="AO1361" s="117"/>
    </row>
    <row r="1362" ht="34.5" customHeight="1">
      <c r="A1362" s="111">
        <v>1977.0</v>
      </c>
      <c r="B1362" s="111" t="s">
        <v>9365</v>
      </c>
      <c r="C1362" s="111" t="s">
        <v>7967</v>
      </c>
      <c r="D1362" s="111">
        <v>2025.0</v>
      </c>
      <c r="E1362" s="111"/>
      <c r="F1362" s="111" t="s">
        <v>12399</v>
      </c>
      <c r="G1362" s="111" t="s">
        <v>12239</v>
      </c>
      <c r="H1362" s="111" t="s">
        <v>13001</v>
      </c>
      <c r="I1362" s="111"/>
      <c r="J1362" s="111"/>
      <c r="K1362" s="111" t="s">
        <v>30</v>
      </c>
      <c r="L1362" s="111"/>
      <c r="M1362" s="111"/>
      <c r="N1362" s="111"/>
      <c r="O1362" s="111"/>
      <c r="P1362" s="111"/>
      <c r="Q1362" s="111"/>
      <c r="R1362" s="111"/>
      <c r="S1362" s="111"/>
      <c r="T1362" s="111"/>
      <c r="U1362" s="111"/>
      <c r="V1362" s="111"/>
      <c r="W1362" s="111"/>
      <c r="X1362" s="111"/>
      <c r="Y1362" s="111"/>
      <c r="Z1362" s="111" t="s">
        <v>14213</v>
      </c>
      <c r="AA1362" s="124"/>
      <c r="AB1362" s="125">
        <f t="shared" si="267"/>
        <v>168.5393258</v>
      </c>
      <c r="AC1362" s="146">
        <f>15*HoursInYear/10^6</f>
        <v>0.1314</v>
      </c>
      <c r="AD1362" s="125"/>
      <c r="AE1362" s="125">
        <f t="shared" si="263"/>
        <v>168.5393258</v>
      </c>
      <c r="AF1362" s="127" t="s">
        <v>14212</v>
      </c>
      <c r="AG1362" s="127">
        <v>52.2487711295556</v>
      </c>
      <c r="AH1362" s="127">
        <v>5.21890479161453</v>
      </c>
      <c r="AI1362" s="115" t="s">
        <v>12241</v>
      </c>
      <c r="AJ1362" s="116">
        <v>0.9</v>
      </c>
      <c r="AK1362" s="117"/>
      <c r="AL1362" s="117"/>
      <c r="AM1362" s="117"/>
      <c r="AN1362" s="117"/>
      <c r="AO1362" s="117"/>
    </row>
    <row r="1363" ht="34.5" customHeight="1">
      <c r="A1363" s="111">
        <v>1978.0</v>
      </c>
      <c r="B1363" s="111" t="s">
        <v>9366</v>
      </c>
      <c r="C1363" s="111" t="s">
        <v>7967</v>
      </c>
      <c r="D1363" s="111"/>
      <c r="E1363" s="111"/>
      <c r="F1363" s="111" t="s">
        <v>12418</v>
      </c>
      <c r="G1363" s="111" t="s">
        <v>12239</v>
      </c>
      <c r="H1363" s="111" t="s">
        <v>14214</v>
      </c>
      <c r="I1363" s="111"/>
      <c r="J1363" s="111"/>
      <c r="K1363" s="111" t="s">
        <v>30</v>
      </c>
      <c r="L1363" s="111"/>
      <c r="M1363" s="111"/>
      <c r="N1363" s="111"/>
      <c r="O1363" s="111"/>
      <c r="P1363" s="111"/>
      <c r="Q1363" s="111"/>
      <c r="R1363" s="111"/>
      <c r="S1363" s="111"/>
      <c r="T1363" s="111"/>
      <c r="U1363" s="111"/>
      <c r="V1363" s="111"/>
      <c r="W1363" s="111"/>
      <c r="X1363" s="111"/>
      <c r="Y1363" s="111"/>
      <c r="Z1363" s="111" t="s">
        <v>14215</v>
      </c>
      <c r="AA1363" s="124"/>
      <c r="AB1363" s="125">
        <f t="shared" si="267"/>
        <v>5956.179775</v>
      </c>
      <c r="AC1363" s="125">
        <f>18.6*HoursInYear*0.95*3600/120/10^6</f>
        <v>4.643676</v>
      </c>
      <c r="AD1363" s="125"/>
      <c r="AE1363" s="125">
        <f t="shared" si="263"/>
        <v>5956.179775</v>
      </c>
      <c r="AF1363" s="127" t="s">
        <v>14216</v>
      </c>
      <c r="AG1363" s="127">
        <v>0.0</v>
      </c>
      <c r="AH1363" s="127">
        <v>0.0</v>
      </c>
      <c r="AI1363" s="115" t="s">
        <v>12241</v>
      </c>
      <c r="AJ1363" s="116">
        <v>0.9</v>
      </c>
      <c r="AK1363" s="117"/>
      <c r="AL1363" s="117"/>
      <c r="AM1363" s="117"/>
      <c r="AN1363" s="117"/>
      <c r="AO1363" s="117"/>
    </row>
    <row r="1364" ht="34.5" customHeight="1">
      <c r="A1364" s="111">
        <v>1979.0</v>
      </c>
      <c r="B1364" s="111" t="s">
        <v>9367</v>
      </c>
      <c r="C1364" s="111" t="s">
        <v>7967</v>
      </c>
      <c r="D1364" s="111">
        <v>2023.0</v>
      </c>
      <c r="E1364" s="111"/>
      <c r="F1364" s="111" t="s">
        <v>12385</v>
      </c>
      <c r="G1364" s="111" t="s">
        <v>12381</v>
      </c>
      <c r="H1364" s="111" t="s">
        <v>12230</v>
      </c>
      <c r="I1364" s="111" t="s">
        <v>12394</v>
      </c>
      <c r="J1364" s="111" t="s">
        <v>12296</v>
      </c>
      <c r="K1364" s="111" t="s">
        <v>30</v>
      </c>
      <c r="L1364" s="111"/>
      <c r="M1364" s="111"/>
      <c r="N1364" s="111"/>
      <c r="O1364" s="111"/>
      <c r="P1364" s="111">
        <v>1.0</v>
      </c>
      <c r="Q1364" s="111"/>
      <c r="R1364" s="111"/>
      <c r="S1364" s="111"/>
      <c r="T1364" s="111"/>
      <c r="U1364" s="111"/>
      <c r="V1364" s="111"/>
      <c r="W1364" s="111"/>
      <c r="X1364" s="111"/>
      <c r="Y1364" s="111"/>
      <c r="Z1364" s="111" t="s">
        <v>13418</v>
      </c>
      <c r="AA1364" s="124">
        <v>0.5</v>
      </c>
      <c r="AB1364" s="125">
        <f>IF(Projects!$AI1364="Electrolysis",
AA1364/VLOOKUP(G1364,ElectrolysisConvF,3,FALSE),
AC1364*10^6/(H2dens*HoursInYear))</f>
        <v>111.1111111</v>
      </c>
      <c r="AC1364" s="126">
        <f t="shared" ref="AC1364:AC1365" si="268">AB1364*H2dens*HoursInYear/10^6</f>
        <v>0.08662666667</v>
      </c>
      <c r="AD1364" s="125"/>
      <c r="AE1364" s="125">
        <f t="shared" si="263"/>
        <v>111.1111111</v>
      </c>
      <c r="AF1364" s="127" t="s">
        <v>14212</v>
      </c>
      <c r="AG1364" s="127">
        <v>52.2572052361781</v>
      </c>
      <c r="AH1364" s="127">
        <v>6.2087563061523</v>
      </c>
      <c r="AI1364" s="115" t="s">
        <v>12383</v>
      </c>
      <c r="AJ1364" s="116">
        <v>0.5</v>
      </c>
      <c r="AK1364" s="117"/>
      <c r="AL1364" s="117"/>
      <c r="AM1364" s="117"/>
      <c r="AN1364" s="117"/>
      <c r="AO1364" s="117"/>
    </row>
    <row r="1365" ht="34.5" customHeight="1">
      <c r="A1365" s="111">
        <v>1980.0</v>
      </c>
      <c r="B1365" s="111" t="s">
        <v>9368</v>
      </c>
      <c r="C1365" s="111" t="s">
        <v>7981</v>
      </c>
      <c r="D1365" s="111">
        <v>2023.0</v>
      </c>
      <c r="E1365" s="111"/>
      <c r="F1365" s="111" t="s">
        <v>12418</v>
      </c>
      <c r="G1365" s="111" t="s">
        <v>12228</v>
      </c>
      <c r="H1365" s="111"/>
      <c r="I1365" s="111" t="s">
        <v>12287</v>
      </c>
      <c r="J1365" s="111"/>
      <c r="K1365" s="111" t="s">
        <v>30</v>
      </c>
      <c r="L1365" s="111"/>
      <c r="M1365" s="111"/>
      <c r="N1365" s="111"/>
      <c r="O1365" s="111"/>
      <c r="P1365" s="111"/>
      <c r="Q1365" s="111"/>
      <c r="R1365" s="111"/>
      <c r="S1365" s="111"/>
      <c r="T1365" s="111"/>
      <c r="U1365" s="111"/>
      <c r="V1365" s="111"/>
      <c r="W1365" s="111"/>
      <c r="X1365" s="111"/>
      <c r="Y1365" s="111"/>
      <c r="Z1365" s="111" t="s">
        <v>12963</v>
      </c>
      <c r="AA1365" s="124">
        <v>4.0</v>
      </c>
      <c r="AB1365" s="125">
        <f>IF(Projects!$AI1365="Electrolysis",
AA1365/VLOOKUP(G1365,ElectrolysisConvF,3,FALSE),
AC1365*10^6/(H2dens*HoursInYear))</f>
        <v>1052.631579</v>
      </c>
      <c r="AC1365" s="126">
        <f t="shared" si="268"/>
        <v>0.8206736842</v>
      </c>
      <c r="AD1365" s="125"/>
      <c r="AE1365" s="125">
        <f t="shared" si="263"/>
        <v>1052.631579</v>
      </c>
      <c r="AF1365" s="127" t="s">
        <v>14217</v>
      </c>
      <c r="AG1365" s="127">
        <v>37.4178804183599</v>
      </c>
      <c r="AH1365" s="127">
        <v>-122.067137616486</v>
      </c>
      <c r="AI1365" s="115" t="s">
        <v>12383</v>
      </c>
      <c r="AJ1365" s="116">
        <v>0.57</v>
      </c>
      <c r="AK1365" s="117"/>
      <c r="AL1365" s="117"/>
      <c r="AM1365" s="117"/>
      <c r="AN1365" s="117"/>
      <c r="AO1365" s="117"/>
    </row>
    <row r="1366" ht="34.5" customHeight="1">
      <c r="A1366" s="111">
        <v>1981.0</v>
      </c>
      <c r="B1366" s="111" t="s">
        <v>9369</v>
      </c>
      <c r="C1366" s="111" t="s">
        <v>7967</v>
      </c>
      <c r="D1366" s="111"/>
      <c r="E1366" s="111"/>
      <c r="F1366" s="111" t="s">
        <v>12399</v>
      </c>
      <c r="G1366" s="111" t="s">
        <v>12381</v>
      </c>
      <c r="H1366" s="111" t="s">
        <v>12230</v>
      </c>
      <c r="I1366" s="111" t="s">
        <v>12287</v>
      </c>
      <c r="J1366" s="111" t="s">
        <v>12296</v>
      </c>
      <c r="K1366" s="111" t="s">
        <v>30</v>
      </c>
      <c r="L1366" s="111"/>
      <c r="M1366" s="111"/>
      <c r="N1366" s="111"/>
      <c r="O1366" s="111"/>
      <c r="P1366" s="111"/>
      <c r="Q1366" s="111">
        <v>1.0</v>
      </c>
      <c r="R1366" s="111"/>
      <c r="S1366" s="111"/>
      <c r="T1366" s="111"/>
      <c r="U1366" s="111"/>
      <c r="V1366" s="111"/>
      <c r="W1366" s="111"/>
      <c r="X1366" s="111"/>
      <c r="Y1366" s="111"/>
      <c r="Z1366" s="111"/>
      <c r="AA1366" s="124">
        <f>IF(OR(G1366="ALK",G1366="PEM",G1366="SOEC",G1366="Other Electrolysis"),
AB1366*VLOOKUP(G1366,ElectrolysisConvF,3,FALSE),
"")</f>
        <v>0</v>
      </c>
      <c r="AB1366" s="125"/>
      <c r="AC1366" s="125"/>
      <c r="AD1366" s="125"/>
      <c r="AE1366" s="125" t="str">
        <f t="shared" si="263"/>
        <v/>
      </c>
      <c r="AF1366" s="127" t="s">
        <v>14212</v>
      </c>
      <c r="AG1366" s="127">
        <v>0.0</v>
      </c>
      <c r="AH1366" s="127">
        <v>0.0</v>
      </c>
      <c r="AI1366" s="115" t="s">
        <v>12383</v>
      </c>
      <c r="AJ1366" s="116">
        <v>0.57</v>
      </c>
      <c r="AK1366" s="117"/>
      <c r="AL1366" s="117"/>
      <c r="AM1366" s="117"/>
      <c r="AN1366" s="117"/>
      <c r="AO1366" s="117"/>
    </row>
    <row r="1367" ht="34.5" customHeight="1">
      <c r="A1367" s="111">
        <v>1982.0</v>
      </c>
      <c r="B1367" s="111" t="s">
        <v>9370</v>
      </c>
      <c r="C1367" s="111" t="s">
        <v>7967</v>
      </c>
      <c r="D1367" s="111">
        <v>2023.0</v>
      </c>
      <c r="E1367" s="111"/>
      <c r="F1367" s="111" t="s">
        <v>12418</v>
      </c>
      <c r="G1367" s="111" t="s">
        <v>12381</v>
      </c>
      <c r="H1367" s="111" t="s">
        <v>12230</v>
      </c>
      <c r="I1367" s="111" t="s">
        <v>12287</v>
      </c>
      <c r="J1367" s="111" t="s">
        <v>12296</v>
      </c>
      <c r="K1367" s="111" t="s">
        <v>30</v>
      </c>
      <c r="L1367" s="111"/>
      <c r="M1367" s="111"/>
      <c r="N1367" s="111"/>
      <c r="O1367" s="111"/>
      <c r="P1367" s="111"/>
      <c r="Q1367" s="111"/>
      <c r="R1367" s="111"/>
      <c r="S1367" s="111">
        <v>1.0</v>
      </c>
      <c r="T1367" s="111"/>
      <c r="U1367" s="111"/>
      <c r="V1367" s="111"/>
      <c r="W1367" s="111"/>
      <c r="X1367" s="111"/>
      <c r="Y1367" s="111"/>
      <c r="Z1367" s="111"/>
      <c r="AA1367" s="124">
        <f>IF(OR(G1367="ALK",G1367="PEM",G1367="SOEC",G1367="Other Electrolysis"),
AB1367*VLOOKUP(G1367,ElectrolysisConvF,3,FALSE),
"")</f>
        <v>0</v>
      </c>
      <c r="AB1367" s="125"/>
      <c r="AC1367" s="125"/>
      <c r="AD1367" s="125"/>
      <c r="AE1367" s="125" t="str">
        <f t="shared" si="263"/>
        <v/>
      </c>
      <c r="AF1367" s="127" t="s">
        <v>14212</v>
      </c>
      <c r="AG1367" s="127">
        <v>0.0</v>
      </c>
      <c r="AH1367" s="127">
        <v>0.0</v>
      </c>
      <c r="AI1367" s="115" t="s">
        <v>12383</v>
      </c>
      <c r="AJ1367" s="116">
        <v>0.57</v>
      </c>
      <c r="AK1367" s="117"/>
      <c r="AL1367" s="117"/>
      <c r="AM1367" s="117"/>
      <c r="AN1367" s="117"/>
      <c r="AO1367" s="117"/>
    </row>
    <row r="1368" ht="34.5" customHeight="1">
      <c r="A1368" s="111">
        <v>1983.0</v>
      </c>
      <c r="B1368" s="111" t="s">
        <v>9371</v>
      </c>
      <c r="C1368" s="111" t="s">
        <v>7967</v>
      </c>
      <c r="D1368" s="111">
        <v>2025.0</v>
      </c>
      <c r="E1368" s="111"/>
      <c r="F1368" s="111" t="s">
        <v>12399</v>
      </c>
      <c r="G1368" s="111" t="s">
        <v>12381</v>
      </c>
      <c r="H1368" s="111" t="s">
        <v>12230</v>
      </c>
      <c r="I1368" s="111" t="s">
        <v>12287</v>
      </c>
      <c r="J1368" s="111" t="s">
        <v>12291</v>
      </c>
      <c r="K1368" s="111" t="s">
        <v>30</v>
      </c>
      <c r="L1368" s="111"/>
      <c r="M1368" s="111"/>
      <c r="N1368" s="111"/>
      <c r="O1368" s="111"/>
      <c r="P1368" s="111"/>
      <c r="Q1368" s="111"/>
      <c r="R1368" s="111"/>
      <c r="S1368" s="111">
        <v>1.0</v>
      </c>
      <c r="T1368" s="111"/>
      <c r="U1368" s="111"/>
      <c r="V1368" s="111"/>
      <c r="W1368" s="111"/>
      <c r="X1368" s="111"/>
      <c r="Y1368" s="111"/>
      <c r="Z1368" s="111"/>
      <c r="AA1368" s="124">
        <f>IF(OR(G1368="ALK",G1368="PEM",G1368="SOEC",G1368="Other Electrolysis"),
AB1368*VLOOKUP(G1368,ElectrolysisConvF,3,FALSE),
"")</f>
        <v>0</v>
      </c>
      <c r="AB1368" s="125"/>
      <c r="AC1368" s="125"/>
      <c r="AD1368" s="125"/>
      <c r="AE1368" s="125" t="str">
        <f t="shared" si="263"/>
        <v/>
      </c>
      <c r="AF1368" s="127" t="s">
        <v>14212</v>
      </c>
      <c r="AG1368" s="127">
        <v>0.0</v>
      </c>
      <c r="AH1368" s="127">
        <v>0.0</v>
      </c>
      <c r="AI1368" s="115" t="s">
        <v>12383</v>
      </c>
      <c r="AJ1368" s="116">
        <v>0.57</v>
      </c>
      <c r="AK1368" s="117"/>
      <c r="AL1368" s="117"/>
      <c r="AM1368" s="117"/>
      <c r="AN1368" s="117"/>
      <c r="AO1368" s="117"/>
    </row>
    <row r="1369" ht="34.5" customHeight="1">
      <c r="A1369" s="111">
        <v>1985.0</v>
      </c>
      <c r="B1369" s="111" t="s">
        <v>9372</v>
      </c>
      <c r="C1369" s="111" t="s">
        <v>7971</v>
      </c>
      <c r="D1369" s="111">
        <v>2028.0</v>
      </c>
      <c r="E1369" s="111"/>
      <c r="F1369" s="111" t="s">
        <v>12399</v>
      </c>
      <c r="G1369" s="111" t="s">
        <v>12381</v>
      </c>
      <c r="H1369" s="111" t="s">
        <v>12230</v>
      </c>
      <c r="I1369" s="111" t="s">
        <v>12759</v>
      </c>
      <c r="J1369" s="111" t="s">
        <v>12296</v>
      </c>
      <c r="K1369" s="111" t="s">
        <v>174</v>
      </c>
      <c r="L1369" s="111"/>
      <c r="M1369" s="111"/>
      <c r="N1369" s="111"/>
      <c r="O1369" s="111"/>
      <c r="P1369" s="111"/>
      <c r="Q1369" s="111"/>
      <c r="R1369" s="111"/>
      <c r="S1369" s="111"/>
      <c r="T1369" s="111"/>
      <c r="U1369" s="111"/>
      <c r="V1369" s="111"/>
      <c r="W1369" s="111"/>
      <c r="X1369" s="111"/>
      <c r="Y1369" s="111"/>
      <c r="Z1369" s="111" t="s">
        <v>12756</v>
      </c>
      <c r="AA1369" s="124">
        <v>250.0</v>
      </c>
      <c r="AB1369" s="125">
        <f>IF(Projects!$AI1369="Electrolysis",
AA1369/VLOOKUP(G1369,ElectrolysisConvF,3,FALSE),
AC1369*10^6/(H2dens*HoursInYear))</f>
        <v>55555.55556</v>
      </c>
      <c r="AC1369" s="126">
        <f t="shared" ref="AC1369:AC1372" si="269">AB1369*H2dens*HoursInYear/10^6</f>
        <v>43.31333333</v>
      </c>
      <c r="AD1369" s="125"/>
      <c r="AE1369" s="125">
        <f t="shared" si="263"/>
        <v>55555.55556</v>
      </c>
      <c r="AF1369" s="127" t="s">
        <v>14218</v>
      </c>
      <c r="AG1369" s="127">
        <v>68.4390284584935</v>
      </c>
      <c r="AH1369" s="127">
        <v>17.4231920549209</v>
      </c>
      <c r="AI1369" s="115" t="s">
        <v>12383</v>
      </c>
      <c r="AJ1369" s="116">
        <v>0.7</v>
      </c>
      <c r="AK1369" s="117"/>
      <c r="AL1369" s="117"/>
      <c r="AM1369" s="117"/>
      <c r="AN1369" s="117"/>
      <c r="AO1369" s="117"/>
    </row>
    <row r="1370" ht="34.5" customHeight="1">
      <c r="A1370" s="111">
        <v>1986.0</v>
      </c>
      <c r="B1370" s="111" t="s">
        <v>9373</v>
      </c>
      <c r="C1370" s="111" t="s">
        <v>7981</v>
      </c>
      <c r="D1370" s="111">
        <v>2023.0</v>
      </c>
      <c r="E1370" s="111"/>
      <c r="F1370" s="111" t="s">
        <v>12385</v>
      </c>
      <c r="G1370" s="111" t="s">
        <v>12226</v>
      </c>
      <c r="H1370" s="111"/>
      <c r="I1370" s="111" t="s">
        <v>12288</v>
      </c>
      <c r="J1370" s="111"/>
      <c r="K1370" s="111" t="s">
        <v>30</v>
      </c>
      <c r="L1370" s="111"/>
      <c r="M1370" s="111"/>
      <c r="N1370" s="111"/>
      <c r="O1370" s="111"/>
      <c r="P1370" s="111">
        <v>1.0</v>
      </c>
      <c r="Q1370" s="111">
        <v>1.0</v>
      </c>
      <c r="R1370" s="111"/>
      <c r="S1370" s="111"/>
      <c r="T1370" s="111"/>
      <c r="U1370" s="111"/>
      <c r="V1370" s="111"/>
      <c r="W1370" s="111"/>
      <c r="X1370" s="111"/>
      <c r="Y1370" s="111"/>
      <c r="Z1370" s="111" t="s">
        <v>12420</v>
      </c>
      <c r="AA1370" s="124">
        <v>1.0</v>
      </c>
      <c r="AB1370" s="125">
        <f>IF(Projects!$AI1370="Electrolysis",
AA1370/VLOOKUP(G1370,ElectrolysisConvF,3,FALSE),
AC1370*10^6/(H2dens*HoursInYear))</f>
        <v>192.3076923</v>
      </c>
      <c r="AC1370" s="126">
        <f t="shared" si="269"/>
        <v>0.1499307692</v>
      </c>
      <c r="AD1370" s="125"/>
      <c r="AE1370" s="125">
        <f t="shared" si="263"/>
        <v>192.3076923</v>
      </c>
      <c r="AF1370" s="127" t="s">
        <v>14219</v>
      </c>
      <c r="AG1370" s="127">
        <v>43.4407090372512</v>
      </c>
      <c r="AH1370" s="127">
        <v>-76.4130256884408</v>
      </c>
      <c r="AI1370" s="115" t="s">
        <v>12383</v>
      </c>
      <c r="AJ1370" s="116">
        <v>0.8</v>
      </c>
      <c r="AK1370" s="117"/>
      <c r="AL1370" s="117"/>
      <c r="AM1370" s="117"/>
      <c r="AN1370" s="117"/>
      <c r="AO1370" s="117"/>
    </row>
    <row r="1371" ht="34.5" customHeight="1">
      <c r="A1371" s="111">
        <v>1987.0</v>
      </c>
      <c r="B1371" s="111" t="s">
        <v>9374</v>
      </c>
      <c r="C1371" s="111" t="s">
        <v>8702</v>
      </c>
      <c r="D1371" s="111">
        <v>2026.0</v>
      </c>
      <c r="E1371" s="111"/>
      <c r="F1371" s="111" t="s">
        <v>12399</v>
      </c>
      <c r="G1371" s="111" t="s">
        <v>12381</v>
      </c>
      <c r="H1371" s="111" t="s">
        <v>12230</v>
      </c>
      <c r="I1371" s="111" t="s">
        <v>12394</v>
      </c>
      <c r="J1371" s="111" t="s">
        <v>12293</v>
      </c>
      <c r="K1371" s="111" t="s">
        <v>174</v>
      </c>
      <c r="L1371" s="111"/>
      <c r="M1371" s="111">
        <v>1.0</v>
      </c>
      <c r="N1371" s="111"/>
      <c r="O1371" s="111"/>
      <c r="P1371" s="111"/>
      <c r="Q1371" s="111"/>
      <c r="R1371" s="111"/>
      <c r="S1371" s="111"/>
      <c r="T1371" s="111"/>
      <c r="U1371" s="111"/>
      <c r="V1371" s="111"/>
      <c r="W1371" s="111"/>
      <c r="X1371" s="111"/>
      <c r="Y1371" s="111"/>
      <c r="Z1371" s="111" t="s">
        <v>14220</v>
      </c>
      <c r="AA1371" s="124">
        <v>3200.0</v>
      </c>
      <c r="AB1371" s="125">
        <f>IF(Projects!$AI1371="Electrolysis",
AA1371/VLOOKUP(G1371,ElectrolysisConvF,3,FALSE),
AC1371*10^6/(H2dens*HoursInYear))</f>
        <v>711111.1111</v>
      </c>
      <c r="AC1371" s="126">
        <f t="shared" si="269"/>
        <v>554.4106667</v>
      </c>
      <c r="AD1371" s="125"/>
      <c r="AE1371" s="125">
        <f t="shared" si="263"/>
        <v>711111.1111</v>
      </c>
      <c r="AF1371" s="127" t="s">
        <v>14221</v>
      </c>
      <c r="AG1371" s="127">
        <v>51.6499974</v>
      </c>
      <c r="AH1371" s="127">
        <v>-9.7166638</v>
      </c>
      <c r="AI1371" s="115" t="s">
        <v>12383</v>
      </c>
      <c r="AJ1371" s="116">
        <v>0.55</v>
      </c>
      <c r="AK1371" s="117"/>
      <c r="AL1371" s="117"/>
      <c r="AM1371" s="117"/>
      <c r="AN1371" s="117"/>
      <c r="AO1371" s="117"/>
    </row>
    <row r="1372" ht="34.5" customHeight="1">
      <c r="A1372" s="111">
        <v>1988.0</v>
      </c>
      <c r="B1372" s="111" t="s">
        <v>9375</v>
      </c>
      <c r="C1372" s="111" t="s">
        <v>8590</v>
      </c>
      <c r="D1372" s="111">
        <v>2026.0</v>
      </c>
      <c r="E1372" s="111"/>
      <c r="F1372" s="111" t="s">
        <v>12399</v>
      </c>
      <c r="G1372" s="111" t="s">
        <v>12381</v>
      </c>
      <c r="H1372" s="111" t="s">
        <v>12230</v>
      </c>
      <c r="I1372" s="111" t="s">
        <v>12287</v>
      </c>
      <c r="J1372" s="111" t="s">
        <v>12296</v>
      </c>
      <c r="K1372" s="111" t="s">
        <v>174</v>
      </c>
      <c r="L1372" s="111"/>
      <c r="M1372" s="111">
        <v>1.0</v>
      </c>
      <c r="N1372" s="111"/>
      <c r="O1372" s="111"/>
      <c r="P1372" s="111"/>
      <c r="Q1372" s="111"/>
      <c r="R1372" s="111"/>
      <c r="S1372" s="111"/>
      <c r="T1372" s="111"/>
      <c r="U1372" s="111"/>
      <c r="V1372" s="111"/>
      <c r="W1372" s="111"/>
      <c r="X1372" s="111"/>
      <c r="Y1372" s="111"/>
      <c r="Z1372" s="111" t="s">
        <v>14222</v>
      </c>
      <c r="AA1372" s="124">
        <v>2400.0</v>
      </c>
      <c r="AB1372" s="125">
        <f>IF(Projects!$AI1372="Electrolysis",
AA1372/VLOOKUP(G1372,ElectrolysisConvF,3,FALSE),
AC1372*10^6/(H2dens*HoursInYear))</f>
        <v>533333.3333</v>
      </c>
      <c r="AC1372" s="126">
        <f t="shared" si="269"/>
        <v>415.808</v>
      </c>
      <c r="AD1372" s="125"/>
      <c r="AE1372" s="125">
        <f t="shared" si="263"/>
        <v>533333.3333</v>
      </c>
      <c r="AF1372" s="127" t="s">
        <v>14223</v>
      </c>
      <c r="AG1372" s="127">
        <v>-3.53092803394662</v>
      </c>
      <c r="AH1372" s="127">
        <v>-38.7923774582973</v>
      </c>
      <c r="AI1372" s="115" t="s">
        <v>12383</v>
      </c>
      <c r="AJ1372" s="116">
        <v>0.57</v>
      </c>
      <c r="AK1372" s="117"/>
      <c r="AL1372" s="117"/>
      <c r="AM1372" s="117"/>
      <c r="AN1372" s="117"/>
      <c r="AO1372" s="117"/>
    </row>
    <row r="1373" ht="34.5" customHeight="1">
      <c r="A1373" s="111">
        <v>1989.0</v>
      </c>
      <c r="B1373" s="111" t="s">
        <v>9376</v>
      </c>
      <c r="C1373" s="111" t="s">
        <v>8562</v>
      </c>
      <c r="D1373" s="111"/>
      <c r="E1373" s="111"/>
      <c r="F1373" s="111" t="s">
        <v>12397</v>
      </c>
      <c r="G1373" s="111" t="s">
        <v>12381</v>
      </c>
      <c r="H1373" s="111" t="s">
        <v>12230</v>
      </c>
      <c r="I1373" s="111" t="s">
        <v>12394</v>
      </c>
      <c r="J1373" s="111" t="s">
        <v>12295</v>
      </c>
      <c r="K1373" s="111" t="s">
        <v>30</v>
      </c>
      <c r="L1373" s="111"/>
      <c r="M1373" s="111">
        <v>1.0</v>
      </c>
      <c r="N1373" s="111"/>
      <c r="O1373" s="111"/>
      <c r="P1373" s="111"/>
      <c r="Q1373" s="111"/>
      <c r="R1373" s="111"/>
      <c r="S1373" s="111"/>
      <c r="T1373" s="111"/>
      <c r="U1373" s="111"/>
      <c r="V1373" s="111"/>
      <c r="W1373" s="111"/>
      <c r="X1373" s="111"/>
      <c r="Y1373" s="111"/>
      <c r="Z1373" s="111"/>
      <c r="AA1373" s="124"/>
      <c r="AB1373" s="125"/>
      <c r="AC1373" s="125"/>
      <c r="AD1373" s="125"/>
      <c r="AE1373" s="125" t="str">
        <f t="shared" si="263"/>
        <v/>
      </c>
      <c r="AF1373" s="127" t="s">
        <v>14140</v>
      </c>
      <c r="AG1373" s="127">
        <v>31.051878</v>
      </c>
      <c r="AH1373" s="127">
        <v>-9.745255</v>
      </c>
      <c r="AI1373" s="115" t="s">
        <v>12383</v>
      </c>
      <c r="AJ1373" s="116">
        <v>0.5</v>
      </c>
      <c r="AK1373" s="117"/>
      <c r="AL1373" s="117"/>
      <c r="AM1373" s="117"/>
      <c r="AN1373" s="117"/>
      <c r="AO1373" s="117"/>
    </row>
    <row r="1374" ht="34.5" customHeight="1">
      <c r="A1374" s="111">
        <v>1990.0</v>
      </c>
      <c r="B1374" s="111" t="s">
        <v>9377</v>
      </c>
      <c r="C1374" s="111" t="s">
        <v>8021</v>
      </c>
      <c r="D1374" s="111">
        <v>2032.0</v>
      </c>
      <c r="E1374" s="111"/>
      <c r="F1374" s="111" t="s">
        <v>12397</v>
      </c>
      <c r="G1374" s="111" t="s">
        <v>12381</v>
      </c>
      <c r="H1374" s="111" t="s">
        <v>12230</v>
      </c>
      <c r="I1374" s="111" t="s">
        <v>12394</v>
      </c>
      <c r="J1374" s="111" t="s">
        <v>12295</v>
      </c>
      <c r="K1374" s="111" t="s">
        <v>174</v>
      </c>
      <c r="L1374" s="111"/>
      <c r="M1374" s="111"/>
      <c r="N1374" s="111"/>
      <c r="O1374" s="111"/>
      <c r="P1374" s="111"/>
      <c r="Q1374" s="111"/>
      <c r="R1374" s="111"/>
      <c r="S1374" s="111"/>
      <c r="T1374" s="111"/>
      <c r="U1374" s="111"/>
      <c r="V1374" s="111"/>
      <c r="W1374" s="111"/>
      <c r="X1374" s="111"/>
      <c r="Y1374" s="111"/>
      <c r="Z1374" s="111" t="s">
        <v>14224</v>
      </c>
      <c r="AA1374" s="126">
        <f>IF(Projects!$AI1374="Electrolysis",
AB1374*VLOOKUP(G1374,ElectrolysisConvF,3,FALSE),
"")</f>
        <v>3741.684453</v>
      </c>
      <c r="AB1374" s="125">
        <f t="shared" ref="AB1374:AB1375" si="270">AC1374/(H2dens*HoursInYear/10^6)</f>
        <v>831485.4339</v>
      </c>
      <c r="AC1374" s="125">
        <f>(1800*3/17/0.98)/Projects!$AJ1374</f>
        <v>648.2593037</v>
      </c>
      <c r="AD1374" s="125"/>
      <c r="AE1374" s="125">
        <f t="shared" si="263"/>
        <v>831485.4339</v>
      </c>
      <c r="AF1374" s="127" t="s">
        <v>14225</v>
      </c>
      <c r="AG1374" s="127">
        <v>-20.5226762295693</v>
      </c>
      <c r="AH1374" s="127">
        <v>147.818621069554</v>
      </c>
      <c r="AI1374" s="115" t="s">
        <v>12383</v>
      </c>
      <c r="AJ1374" s="116">
        <v>0.5</v>
      </c>
      <c r="AK1374" s="117"/>
      <c r="AL1374" s="117"/>
      <c r="AM1374" s="117"/>
      <c r="AN1374" s="117"/>
      <c r="AO1374" s="117"/>
    </row>
    <row r="1375" ht="34.5" customHeight="1">
      <c r="A1375" s="111">
        <v>1994.0</v>
      </c>
      <c r="B1375" s="111" t="s">
        <v>9378</v>
      </c>
      <c r="C1375" s="111" t="s">
        <v>7981</v>
      </c>
      <c r="D1375" s="111">
        <v>2030.0</v>
      </c>
      <c r="E1375" s="111"/>
      <c r="F1375" s="111" t="s">
        <v>12397</v>
      </c>
      <c r="G1375" s="111" t="s">
        <v>12381</v>
      </c>
      <c r="H1375" s="111" t="s">
        <v>12230</v>
      </c>
      <c r="I1375" s="111" t="s">
        <v>12287</v>
      </c>
      <c r="J1375" s="111" t="s">
        <v>12296</v>
      </c>
      <c r="K1375" s="111" t="s">
        <v>12449</v>
      </c>
      <c r="L1375" s="111"/>
      <c r="M1375" s="111"/>
      <c r="N1375" s="111"/>
      <c r="O1375" s="111"/>
      <c r="P1375" s="111"/>
      <c r="Q1375" s="111"/>
      <c r="R1375" s="111"/>
      <c r="S1375" s="111"/>
      <c r="T1375" s="111"/>
      <c r="U1375" s="111"/>
      <c r="V1375" s="111"/>
      <c r="W1375" s="111"/>
      <c r="X1375" s="111"/>
      <c r="Y1375" s="111"/>
      <c r="Z1375" s="111" t="s">
        <v>14226</v>
      </c>
      <c r="AA1375" s="126">
        <f>IF(Projects!$AI1375="Electrolysis",
AB1375*VLOOKUP(G1375,ElectrolysisConvF,3,FALSE),
"")</f>
        <v>335.8155718</v>
      </c>
      <c r="AB1375" s="125">
        <f t="shared" si="270"/>
        <v>74625.68263</v>
      </c>
      <c r="AC1375" s="125">
        <f>(130*4/16/0.98)/Projects!$AJ1375</f>
        <v>58.1811672</v>
      </c>
      <c r="AD1375" s="125"/>
      <c r="AE1375" s="125">
        <f t="shared" si="263"/>
        <v>74625.68263</v>
      </c>
      <c r="AF1375" s="127" t="s">
        <v>14227</v>
      </c>
      <c r="AG1375" s="127">
        <v>30.035508</v>
      </c>
      <c r="AH1375" s="127">
        <v>-93.337624</v>
      </c>
      <c r="AI1375" s="115" t="s">
        <v>12383</v>
      </c>
      <c r="AJ1375" s="116">
        <v>0.57</v>
      </c>
      <c r="AK1375" s="117"/>
      <c r="AL1375" s="117"/>
      <c r="AM1375" s="117"/>
      <c r="AN1375" s="117"/>
      <c r="AO1375" s="117"/>
    </row>
    <row r="1376" ht="51.0" customHeight="1">
      <c r="A1376" s="111">
        <v>1995.0</v>
      </c>
      <c r="B1376" s="111" t="s">
        <v>9379</v>
      </c>
      <c r="C1376" s="111" t="s">
        <v>8071</v>
      </c>
      <c r="D1376" s="111">
        <v>2025.0</v>
      </c>
      <c r="E1376" s="111"/>
      <c r="F1376" s="111" t="s">
        <v>12399</v>
      </c>
      <c r="G1376" s="111" t="s">
        <v>12381</v>
      </c>
      <c r="H1376" s="111" t="s">
        <v>12230</v>
      </c>
      <c r="I1376" s="111" t="s">
        <v>12394</v>
      </c>
      <c r="J1376" s="111" t="s">
        <v>12291</v>
      </c>
      <c r="K1376" s="111" t="s">
        <v>174</v>
      </c>
      <c r="L1376" s="111"/>
      <c r="M1376" s="111"/>
      <c r="N1376" s="111"/>
      <c r="O1376" s="111"/>
      <c r="P1376" s="111"/>
      <c r="Q1376" s="111"/>
      <c r="R1376" s="111"/>
      <c r="S1376" s="111"/>
      <c r="T1376" s="111"/>
      <c r="U1376" s="111"/>
      <c r="V1376" s="111"/>
      <c r="W1376" s="111"/>
      <c r="X1376" s="111"/>
      <c r="Y1376" s="111"/>
      <c r="Z1376" s="111" t="s">
        <v>14228</v>
      </c>
      <c r="AA1376" s="124">
        <f>400-100</f>
        <v>300</v>
      </c>
      <c r="AB1376" s="125">
        <f>IF(Projects!$AI1376="Electrolysis",
AA1376/VLOOKUP(G1376,ElectrolysisConvF,3,FALSE),
AC1376*10^6/(H2dens*HoursInYear))</f>
        <v>66666.66667</v>
      </c>
      <c r="AC1376" s="126">
        <f t="shared" ref="AC1376:AC1382" si="271">AB1376*H2dens*HoursInYear/10^6</f>
        <v>51.976</v>
      </c>
      <c r="AD1376" s="125"/>
      <c r="AE1376" s="125">
        <f t="shared" si="263"/>
        <v>66666.66667</v>
      </c>
      <c r="AF1376" s="127" t="s">
        <v>14229</v>
      </c>
      <c r="AG1376" s="127">
        <v>-22.339335</v>
      </c>
      <c r="AH1376" s="127">
        <v>-69.662196</v>
      </c>
      <c r="AI1376" s="115" t="s">
        <v>12383</v>
      </c>
      <c r="AJ1376" s="116">
        <v>0.3</v>
      </c>
      <c r="AK1376" s="117"/>
      <c r="AL1376" s="117"/>
      <c r="AM1376" s="117"/>
      <c r="AN1376" s="117"/>
      <c r="AO1376" s="117"/>
    </row>
    <row r="1377" ht="37.5" customHeight="1">
      <c r="A1377" s="111">
        <v>1996.0</v>
      </c>
      <c r="B1377" s="127" t="s">
        <v>9380</v>
      </c>
      <c r="C1377" s="111" t="s">
        <v>7977</v>
      </c>
      <c r="D1377" s="111">
        <v>2028.0</v>
      </c>
      <c r="E1377" s="111"/>
      <c r="F1377" s="111" t="s">
        <v>12399</v>
      </c>
      <c r="G1377" s="111" t="s">
        <v>12381</v>
      </c>
      <c r="H1377" s="111" t="s">
        <v>12230</v>
      </c>
      <c r="I1377" s="111" t="s">
        <v>12287</v>
      </c>
      <c r="J1377" s="111" t="s">
        <v>12296</v>
      </c>
      <c r="K1377" s="111" t="s">
        <v>12481</v>
      </c>
      <c r="L1377" s="111">
        <v>1.0</v>
      </c>
      <c r="M1377" s="111">
        <v>1.0</v>
      </c>
      <c r="N1377" s="111"/>
      <c r="O1377" s="111"/>
      <c r="P1377" s="111"/>
      <c r="Q1377" s="111">
        <v>1.0</v>
      </c>
      <c r="R1377" s="111"/>
      <c r="S1377" s="111"/>
      <c r="T1377" s="111"/>
      <c r="U1377" s="111"/>
      <c r="V1377" s="111"/>
      <c r="W1377" s="111">
        <v>1.0</v>
      </c>
      <c r="X1377" s="111"/>
      <c r="Y1377" s="111"/>
      <c r="Z1377" s="111" t="s">
        <v>14230</v>
      </c>
      <c r="AA1377" s="124">
        <v>500.0</v>
      </c>
      <c r="AB1377" s="125">
        <f>IF(Projects!$AI1377="Electrolysis",
AA1377/VLOOKUP(G1377,ElectrolysisConvF,3,FALSE),
AC1377*10^6/(H2dens*HoursInYear))</f>
        <v>111111.1111</v>
      </c>
      <c r="AC1377" s="126">
        <f t="shared" si="271"/>
        <v>86.62666667</v>
      </c>
      <c r="AD1377" s="125"/>
      <c r="AE1377" s="125">
        <f t="shared" si="263"/>
        <v>111111.1111</v>
      </c>
      <c r="AF1377" s="127" t="s">
        <v>14231</v>
      </c>
      <c r="AG1377" s="127">
        <v>36.20535</v>
      </c>
      <c r="AH1377" s="127">
        <v>-5.382586</v>
      </c>
      <c r="AI1377" s="115" t="s">
        <v>12383</v>
      </c>
      <c r="AJ1377" s="116">
        <v>0.57</v>
      </c>
      <c r="AK1377" s="117"/>
      <c r="AL1377" s="117"/>
      <c r="AM1377" s="117"/>
      <c r="AN1377" s="117"/>
      <c r="AO1377" s="117"/>
    </row>
    <row r="1378" ht="34.5" customHeight="1">
      <c r="A1378" s="111">
        <v>1997.0</v>
      </c>
      <c r="B1378" s="127" t="s">
        <v>9381</v>
      </c>
      <c r="C1378" s="111" t="s">
        <v>7977</v>
      </c>
      <c r="D1378" s="111">
        <v>2026.0</v>
      </c>
      <c r="E1378" s="111"/>
      <c r="F1378" s="111" t="s">
        <v>12399</v>
      </c>
      <c r="G1378" s="111" t="s">
        <v>12381</v>
      </c>
      <c r="H1378" s="111" t="s">
        <v>13082</v>
      </c>
      <c r="I1378" s="111" t="s">
        <v>12759</v>
      </c>
      <c r="J1378" s="111" t="s">
        <v>12291</v>
      </c>
      <c r="K1378" s="111" t="s">
        <v>12481</v>
      </c>
      <c r="L1378" s="111">
        <v>1.0</v>
      </c>
      <c r="M1378" s="111">
        <v>1.0</v>
      </c>
      <c r="N1378" s="111"/>
      <c r="O1378" s="111"/>
      <c r="P1378" s="111">
        <v>1.0</v>
      </c>
      <c r="Q1378" s="111">
        <v>1.0</v>
      </c>
      <c r="R1378" s="111"/>
      <c r="S1378" s="111"/>
      <c r="T1378" s="111"/>
      <c r="U1378" s="111"/>
      <c r="V1378" s="111"/>
      <c r="W1378" s="111"/>
      <c r="X1378" s="111"/>
      <c r="Y1378" s="111"/>
      <c r="Z1378" s="111" t="s">
        <v>14228</v>
      </c>
      <c r="AA1378" s="124">
        <v>400.0</v>
      </c>
      <c r="AB1378" s="125">
        <f>IF(Projects!$AI1378="Electrolysis",
AA1378/VLOOKUP(G1378,ElectrolysisConvF,3,FALSE),
AC1378*10^6/(H2dens*HoursInYear))</f>
        <v>88888.88889</v>
      </c>
      <c r="AC1378" s="126">
        <f t="shared" si="271"/>
        <v>69.30133333</v>
      </c>
      <c r="AD1378" s="125"/>
      <c r="AE1378" s="125">
        <f t="shared" si="263"/>
        <v>88888.88889</v>
      </c>
      <c r="AF1378" s="127" t="s">
        <v>14232</v>
      </c>
      <c r="AG1378" s="127">
        <v>37.2619638810127</v>
      </c>
      <c r="AH1378" s="127">
        <v>-6.94128464616816</v>
      </c>
      <c r="AI1378" s="115" t="s">
        <v>12383</v>
      </c>
      <c r="AJ1378" s="116">
        <v>0.7</v>
      </c>
      <c r="AK1378" s="117"/>
      <c r="AL1378" s="117"/>
      <c r="AM1378" s="117"/>
      <c r="AN1378" s="117"/>
      <c r="AO1378" s="117"/>
    </row>
    <row r="1379" ht="34.5" customHeight="1">
      <c r="A1379" s="111">
        <v>1998.0</v>
      </c>
      <c r="B1379" s="111" t="s">
        <v>9382</v>
      </c>
      <c r="C1379" s="111" t="s">
        <v>8785</v>
      </c>
      <c r="D1379" s="111"/>
      <c r="E1379" s="111"/>
      <c r="F1379" s="111" t="s">
        <v>12397</v>
      </c>
      <c r="G1379" s="111" t="s">
        <v>12381</v>
      </c>
      <c r="H1379" s="111" t="s">
        <v>12230</v>
      </c>
      <c r="I1379" s="111" t="s">
        <v>12394</v>
      </c>
      <c r="J1379" s="111" t="s">
        <v>12295</v>
      </c>
      <c r="K1379" s="111" t="s">
        <v>12415</v>
      </c>
      <c r="L1379" s="111"/>
      <c r="M1379" s="111"/>
      <c r="N1379" s="111">
        <v>1.0</v>
      </c>
      <c r="O1379" s="111"/>
      <c r="P1379" s="111"/>
      <c r="Q1379" s="111"/>
      <c r="R1379" s="111"/>
      <c r="S1379" s="111"/>
      <c r="T1379" s="111"/>
      <c r="U1379" s="111"/>
      <c r="V1379" s="111"/>
      <c r="W1379" s="111"/>
      <c r="X1379" s="111"/>
      <c r="Y1379" s="111"/>
      <c r="Z1379" s="111" t="s">
        <v>14233</v>
      </c>
      <c r="AA1379" s="124">
        <v>60.0</v>
      </c>
      <c r="AB1379" s="125">
        <f>IF(Projects!$AI1379="Electrolysis",
AA1379/VLOOKUP(G1379,ElectrolysisConvF,3,FALSE),
AC1379*10^6/(H2dens*HoursInYear))</f>
        <v>13333.33333</v>
      </c>
      <c r="AC1379" s="126">
        <f t="shared" si="271"/>
        <v>10.3952</v>
      </c>
      <c r="AD1379" s="125"/>
      <c r="AE1379" s="125">
        <f t="shared" si="263"/>
        <v>13333.33333</v>
      </c>
      <c r="AF1379" s="127" t="s">
        <v>14234</v>
      </c>
      <c r="AG1379" s="127">
        <v>31.437276</v>
      </c>
      <c r="AH1379" s="127">
        <v>31.754646</v>
      </c>
      <c r="AI1379" s="115" t="s">
        <v>12383</v>
      </c>
      <c r="AJ1379" s="116">
        <v>0.5</v>
      </c>
      <c r="AK1379" s="117"/>
      <c r="AL1379" s="117"/>
      <c r="AM1379" s="117"/>
      <c r="AN1379" s="117"/>
      <c r="AO1379" s="117"/>
    </row>
    <row r="1380" ht="34.5" customHeight="1">
      <c r="A1380" s="111">
        <v>2000.0</v>
      </c>
      <c r="B1380" s="111" t="s">
        <v>9383</v>
      </c>
      <c r="C1380" s="111" t="s">
        <v>8578</v>
      </c>
      <c r="D1380" s="111">
        <v>2028.0</v>
      </c>
      <c r="E1380" s="111"/>
      <c r="F1380" s="111" t="s">
        <v>12397</v>
      </c>
      <c r="G1380" s="111" t="s">
        <v>12228</v>
      </c>
      <c r="H1380" s="111"/>
      <c r="I1380" s="111" t="s">
        <v>12288</v>
      </c>
      <c r="J1380" s="111"/>
      <c r="K1380" s="111" t="s">
        <v>30</v>
      </c>
      <c r="L1380" s="111"/>
      <c r="M1380" s="111">
        <v>1.0</v>
      </c>
      <c r="N1380" s="111"/>
      <c r="O1380" s="111"/>
      <c r="P1380" s="111"/>
      <c r="Q1380" s="111"/>
      <c r="R1380" s="111"/>
      <c r="S1380" s="111"/>
      <c r="T1380" s="111"/>
      <c r="U1380" s="111"/>
      <c r="V1380" s="111"/>
      <c r="W1380" s="111"/>
      <c r="X1380" s="111"/>
      <c r="Y1380" s="111"/>
      <c r="Z1380" s="111" t="s">
        <v>13621</v>
      </c>
      <c r="AA1380" s="124">
        <v>1000.0</v>
      </c>
      <c r="AB1380" s="125">
        <f>IF(Projects!$AI1380="Electrolysis",
AA1380/VLOOKUP(G1380,ElectrolysisConvF,3,FALSE),
AC1380*10^6/(H2dens*HoursInYear))</f>
        <v>263157.8947</v>
      </c>
      <c r="AC1380" s="126">
        <f t="shared" si="271"/>
        <v>205.1684211</v>
      </c>
      <c r="AD1380" s="125"/>
      <c r="AE1380" s="125">
        <f t="shared" si="263"/>
        <v>263157.8947</v>
      </c>
      <c r="AF1380" s="127" t="s">
        <v>14235</v>
      </c>
      <c r="AG1380" s="127">
        <v>0.553772264910035</v>
      </c>
      <c r="AH1380" s="127">
        <v>117.571991411868</v>
      </c>
      <c r="AI1380" s="115" t="s">
        <v>12383</v>
      </c>
      <c r="AJ1380" s="116">
        <v>0.8</v>
      </c>
      <c r="AK1380" s="117"/>
      <c r="AL1380" s="117"/>
      <c r="AM1380" s="117"/>
      <c r="AN1380" s="117"/>
      <c r="AO1380" s="117"/>
    </row>
    <row r="1381" ht="34.5" customHeight="1">
      <c r="A1381" s="111">
        <v>2001.0</v>
      </c>
      <c r="B1381" s="111" t="s">
        <v>9384</v>
      </c>
      <c r="C1381" s="111" t="s">
        <v>9176</v>
      </c>
      <c r="D1381" s="111">
        <v>2028.0</v>
      </c>
      <c r="E1381" s="111"/>
      <c r="F1381" s="111" t="s">
        <v>12393</v>
      </c>
      <c r="G1381" s="111" t="s">
        <v>12381</v>
      </c>
      <c r="H1381" s="111" t="s">
        <v>12230</v>
      </c>
      <c r="I1381" s="111" t="s">
        <v>12394</v>
      </c>
      <c r="J1381" s="111" t="s">
        <v>12296</v>
      </c>
      <c r="K1381" s="111" t="s">
        <v>30</v>
      </c>
      <c r="L1381" s="111"/>
      <c r="M1381" s="111"/>
      <c r="N1381" s="111"/>
      <c r="O1381" s="111"/>
      <c r="P1381" s="111"/>
      <c r="Q1381" s="111"/>
      <c r="R1381" s="111"/>
      <c r="S1381" s="111"/>
      <c r="T1381" s="111"/>
      <c r="U1381" s="111"/>
      <c r="V1381" s="111">
        <v>1.0</v>
      </c>
      <c r="W1381" s="111"/>
      <c r="X1381" s="111"/>
      <c r="Y1381" s="111"/>
      <c r="Z1381" s="111" t="s">
        <v>13862</v>
      </c>
      <c r="AA1381" s="124">
        <v>55.0</v>
      </c>
      <c r="AB1381" s="125">
        <f>IF(Projects!$AI1381="Electrolysis",
AA1381/VLOOKUP(G1381,ElectrolysisConvF,3,FALSE),
AC1381*10^6/(H2dens*HoursInYear))</f>
        <v>12222.22222</v>
      </c>
      <c r="AC1381" s="126">
        <f t="shared" si="271"/>
        <v>9.528933333</v>
      </c>
      <c r="AD1381" s="125"/>
      <c r="AE1381" s="125">
        <f t="shared" si="263"/>
        <v>12222.22222</v>
      </c>
      <c r="AF1381" s="127" t="s">
        <v>14236</v>
      </c>
      <c r="AG1381" s="127">
        <v>44.9387734232469</v>
      </c>
      <c r="AH1381" s="127">
        <v>25.9959875752976</v>
      </c>
      <c r="AI1381" s="115" t="s">
        <v>12383</v>
      </c>
      <c r="AJ1381" s="116">
        <v>0.5</v>
      </c>
      <c r="AK1381" s="117"/>
      <c r="AL1381" s="117"/>
      <c r="AM1381" s="117"/>
      <c r="AN1381" s="117"/>
      <c r="AO1381" s="117"/>
    </row>
    <row r="1382" ht="34.5" customHeight="1">
      <c r="A1382" s="111">
        <v>2002.0</v>
      </c>
      <c r="B1382" s="111" t="s">
        <v>9385</v>
      </c>
      <c r="C1382" s="111" t="s">
        <v>9386</v>
      </c>
      <c r="D1382" s="111">
        <v>2024.0</v>
      </c>
      <c r="E1382" s="111"/>
      <c r="F1382" s="111" t="s">
        <v>12393</v>
      </c>
      <c r="G1382" s="111" t="s">
        <v>12224</v>
      </c>
      <c r="H1382" s="111"/>
      <c r="I1382" s="111" t="s">
        <v>12394</v>
      </c>
      <c r="J1382" s="111" t="s">
        <v>12292</v>
      </c>
      <c r="K1382" s="111" t="s">
        <v>174</v>
      </c>
      <c r="L1382" s="111"/>
      <c r="M1382" s="111">
        <v>1.0</v>
      </c>
      <c r="N1382" s="111"/>
      <c r="O1382" s="111"/>
      <c r="P1382" s="111"/>
      <c r="Q1382" s="111"/>
      <c r="R1382" s="111"/>
      <c r="S1382" s="111"/>
      <c r="T1382" s="111"/>
      <c r="U1382" s="111"/>
      <c r="V1382" s="111"/>
      <c r="W1382" s="111"/>
      <c r="X1382" s="111"/>
      <c r="Y1382" s="111"/>
      <c r="Z1382" s="111" t="s">
        <v>12589</v>
      </c>
      <c r="AA1382" s="124">
        <v>20.0</v>
      </c>
      <c r="AB1382" s="125">
        <f>IF(Projects!$AI1382="Electrolysis",
AA1382/VLOOKUP(G1382,ElectrolysisConvF,3,FALSE),
AC1382*10^6/(H2dens*HoursInYear))</f>
        <v>4347.826087</v>
      </c>
      <c r="AC1382" s="126">
        <f t="shared" si="271"/>
        <v>3.38973913</v>
      </c>
      <c r="AD1382" s="125"/>
      <c r="AE1382" s="125">
        <f t="shared" si="263"/>
        <v>4347.826087</v>
      </c>
      <c r="AF1382" s="127" t="s">
        <v>14237</v>
      </c>
      <c r="AG1382" s="127">
        <v>41.4880211242621</v>
      </c>
      <c r="AH1382" s="127">
        <v>69.58351215507</v>
      </c>
      <c r="AI1382" s="115" t="s">
        <v>12383</v>
      </c>
      <c r="AJ1382" s="116">
        <v>0.4</v>
      </c>
      <c r="AK1382" s="117"/>
      <c r="AL1382" s="117"/>
      <c r="AM1382" s="117"/>
      <c r="AN1382" s="117"/>
      <c r="AO1382" s="117"/>
    </row>
    <row r="1383" ht="34.5" customHeight="1">
      <c r="A1383" s="111">
        <v>2003.0</v>
      </c>
      <c r="B1383" s="111" t="s">
        <v>9387</v>
      </c>
      <c r="C1383" s="111" t="s">
        <v>9386</v>
      </c>
      <c r="D1383" s="111"/>
      <c r="E1383" s="111"/>
      <c r="F1383" s="111" t="s">
        <v>12397</v>
      </c>
      <c r="G1383" s="111" t="s">
        <v>12381</v>
      </c>
      <c r="H1383" s="111" t="s">
        <v>12230</v>
      </c>
      <c r="I1383" s="111" t="s">
        <v>12394</v>
      </c>
      <c r="J1383" s="111" t="s">
        <v>12292</v>
      </c>
      <c r="K1383" s="111" t="s">
        <v>174</v>
      </c>
      <c r="L1383" s="111"/>
      <c r="M1383" s="111">
        <v>1.0</v>
      </c>
      <c r="N1383" s="111"/>
      <c r="O1383" s="111"/>
      <c r="P1383" s="111"/>
      <c r="Q1383" s="111"/>
      <c r="R1383" s="111"/>
      <c r="S1383" s="111"/>
      <c r="T1383" s="111"/>
      <c r="U1383" s="111"/>
      <c r="V1383" s="111"/>
      <c r="W1383" s="111"/>
      <c r="X1383" s="111"/>
      <c r="Y1383" s="111"/>
      <c r="Z1383" s="111" t="s">
        <v>14238</v>
      </c>
      <c r="AA1383" s="126">
        <f>IF(Projects!$AI1383="Electrolysis",
AB1383*VLOOKUP(G1383,ElectrolysisConvF,3,FALSE),
"")</f>
        <v>1299.195991</v>
      </c>
      <c r="AB1383" s="125">
        <f>AC1383/(H2dens*HoursInYear/10^6)</f>
        <v>288710.2201</v>
      </c>
      <c r="AC1383" s="125">
        <f>(500*3/17/0.98)/Projects!$AJ1383</f>
        <v>225.090036</v>
      </c>
      <c r="AD1383" s="125"/>
      <c r="AE1383" s="125">
        <f t="shared" si="263"/>
        <v>288710.2201</v>
      </c>
      <c r="AF1383" s="127" t="s">
        <v>14237</v>
      </c>
      <c r="AG1383" s="127">
        <v>41.4880211242621</v>
      </c>
      <c r="AH1383" s="127">
        <v>69.58351215507</v>
      </c>
      <c r="AI1383" s="115" t="s">
        <v>12383</v>
      </c>
      <c r="AJ1383" s="116">
        <v>0.4</v>
      </c>
      <c r="AK1383" s="117"/>
      <c r="AL1383" s="117"/>
      <c r="AM1383" s="117"/>
      <c r="AN1383" s="117"/>
      <c r="AO1383" s="117"/>
    </row>
    <row r="1384" ht="34.5" customHeight="1">
      <c r="A1384" s="111">
        <v>2004.0</v>
      </c>
      <c r="B1384" s="111" t="s">
        <v>9388</v>
      </c>
      <c r="C1384" s="111" t="s">
        <v>8117</v>
      </c>
      <c r="D1384" s="111">
        <v>2027.0</v>
      </c>
      <c r="E1384" s="111"/>
      <c r="F1384" s="111" t="s">
        <v>12399</v>
      </c>
      <c r="G1384" s="111" t="s">
        <v>12381</v>
      </c>
      <c r="H1384" s="111" t="s">
        <v>12230</v>
      </c>
      <c r="I1384" s="111" t="s">
        <v>12394</v>
      </c>
      <c r="J1384" s="111" t="s">
        <v>12296</v>
      </c>
      <c r="K1384" s="111" t="s">
        <v>30</v>
      </c>
      <c r="L1384" s="111"/>
      <c r="M1384" s="111"/>
      <c r="N1384" s="111"/>
      <c r="O1384" s="111"/>
      <c r="P1384" s="111"/>
      <c r="Q1384" s="111">
        <v>1.0</v>
      </c>
      <c r="R1384" s="111">
        <v>1.0</v>
      </c>
      <c r="S1384" s="111"/>
      <c r="T1384" s="111"/>
      <c r="U1384" s="111"/>
      <c r="V1384" s="111"/>
      <c r="W1384" s="111"/>
      <c r="X1384" s="111"/>
      <c r="Y1384" s="111"/>
      <c r="Z1384" s="111" t="s">
        <v>12698</v>
      </c>
      <c r="AA1384" s="124">
        <v>100.0</v>
      </c>
      <c r="AB1384" s="125">
        <f>IF(Projects!$AI1384="Electrolysis",
AA1384/VLOOKUP(G1384,ElectrolysisConvF,3,FALSE),
AC1384*10^6/(H2dens*HoursInYear))</f>
        <v>22222.22222</v>
      </c>
      <c r="AC1384" s="126">
        <f>AB1384*H2dens*HoursInYear/10^6</f>
        <v>17.32533333</v>
      </c>
      <c r="AD1384" s="125"/>
      <c r="AE1384" s="125">
        <f t="shared" si="263"/>
        <v>22222.22222</v>
      </c>
      <c r="AF1384" s="127" t="s">
        <v>14239</v>
      </c>
      <c r="AG1384" s="127">
        <v>40.384982013509</v>
      </c>
      <c r="AH1384" s="127">
        <v>21.4394375301537</v>
      </c>
      <c r="AI1384" s="115" t="s">
        <v>12383</v>
      </c>
      <c r="AJ1384" s="116">
        <v>0.5</v>
      </c>
      <c r="AK1384" s="117"/>
      <c r="AL1384" s="117"/>
      <c r="AM1384" s="117"/>
      <c r="AN1384" s="117"/>
      <c r="AO1384" s="117"/>
    </row>
    <row r="1385" ht="34.5" customHeight="1">
      <c r="A1385" s="111">
        <v>2005.0</v>
      </c>
      <c r="B1385" s="111" t="s">
        <v>9389</v>
      </c>
      <c r="C1385" s="111" t="s">
        <v>8026</v>
      </c>
      <c r="D1385" s="111">
        <v>2024.0</v>
      </c>
      <c r="E1385" s="111"/>
      <c r="F1385" s="111" t="s">
        <v>12385</v>
      </c>
      <c r="G1385" s="111" t="s">
        <v>12241</v>
      </c>
      <c r="H1385" s="111" t="s">
        <v>13021</v>
      </c>
      <c r="I1385" s="111"/>
      <c r="J1385" s="111"/>
      <c r="K1385" s="111" t="s">
        <v>30</v>
      </c>
      <c r="L1385" s="111"/>
      <c r="M1385" s="111"/>
      <c r="N1385" s="111"/>
      <c r="O1385" s="111"/>
      <c r="P1385" s="111"/>
      <c r="Q1385" s="111"/>
      <c r="R1385" s="111"/>
      <c r="S1385" s="111"/>
      <c r="T1385" s="111"/>
      <c r="U1385" s="111"/>
      <c r="V1385" s="111"/>
      <c r="W1385" s="111"/>
      <c r="X1385" s="111"/>
      <c r="Y1385" s="111"/>
      <c r="Z1385" s="111" t="s">
        <v>14240</v>
      </c>
      <c r="AA1385" s="124"/>
      <c r="AB1385" s="125">
        <f>AC1385/(H2dens*HoursInYear/10^6)</f>
        <v>2565.286543</v>
      </c>
      <c r="AC1385" s="125">
        <v>2.0</v>
      </c>
      <c r="AD1385" s="125"/>
      <c r="AE1385" s="125">
        <f t="shared" si="263"/>
        <v>2565.286543</v>
      </c>
      <c r="AF1385" s="127" t="s">
        <v>14241</v>
      </c>
      <c r="AG1385" s="127">
        <v>63.8413308048752</v>
      </c>
      <c r="AH1385" s="127">
        <v>23.1269603942447</v>
      </c>
      <c r="AI1385" s="115" t="s">
        <v>12241</v>
      </c>
      <c r="AJ1385" s="116">
        <v>0.9</v>
      </c>
      <c r="AK1385" s="117"/>
      <c r="AL1385" s="117"/>
      <c r="AM1385" s="117"/>
      <c r="AN1385" s="117"/>
      <c r="AO1385" s="117"/>
    </row>
    <row r="1386" ht="34.5" customHeight="1">
      <c r="A1386" s="111">
        <v>2007.0</v>
      </c>
      <c r="B1386" s="111" t="s">
        <v>9390</v>
      </c>
      <c r="C1386" s="111" t="s">
        <v>8021</v>
      </c>
      <c r="D1386" s="111">
        <v>2024.0</v>
      </c>
      <c r="E1386" s="111"/>
      <c r="F1386" s="111" t="s">
        <v>12393</v>
      </c>
      <c r="G1386" s="111" t="s">
        <v>12226</v>
      </c>
      <c r="H1386" s="111"/>
      <c r="I1386" s="111" t="s">
        <v>12394</v>
      </c>
      <c r="J1386" s="111" t="s">
        <v>12291</v>
      </c>
      <c r="K1386" s="111" t="s">
        <v>30</v>
      </c>
      <c r="L1386" s="111"/>
      <c r="M1386" s="111"/>
      <c r="N1386" s="111"/>
      <c r="O1386" s="111"/>
      <c r="P1386" s="111"/>
      <c r="Q1386" s="111">
        <v>1.0</v>
      </c>
      <c r="R1386" s="111"/>
      <c r="S1386" s="111"/>
      <c r="T1386" s="111"/>
      <c r="U1386" s="111"/>
      <c r="V1386" s="111"/>
      <c r="W1386" s="111"/>
      <c r="X1386" s="111"/>
      <c r="Y1386" s="111"/>
      <c r="Z1386" s="111" t="s">
        <v>14242</v>
      </c>
      <c r="AA1386" s="124">
        <v>10.0</v>
      </c>
      <c r="AB1386" s="125">
        <f>IF(Projects!$AI1386="Electrolysis",
AA1386/VLOOKUP(G1386,ElectrolysisConvF,3,FALSE),
AC1386*10^6/(H2dens*HoursInYear))</f>
        <v>1923.076923</v>
      </c>
      <c r="AC1386" s="126">
        <f t="shared" ref="AC1386:AC1390" si="272">AB1386*H2dens*HoursInYear/10^6</f>
        <v>1.499307692</v>
      </c>
      <c r="AD1386" s="125"/>
      <c r="AE1386" s="125">
        <f t="shared" si="263"/>
        <v>1923.076923</v>
      </c>
      <c r="AF1386" s="127" t="s">
        <v>14243</v>
      </c>
      <c r="AG1386" s="127">
        <v>-31.6544413088491</v>
      </c>
      <c r="AH1386" s="127">
        <v>116.650375727315</v>
      </c>
      <c r="AI1386" s="115" t="s">
        <v>12383</v>
      </c>
      <c r="AJ1386" s="116">
        <v>0.3</v>
      </c>
      <c r="AK1386" s="117"/>
      <c r="AL1386" s="117"/>
      <c r="AM1386" s="117"/>
      <c r="AN1386" s="117"/>
      <c r="AO1386" s="117"/>
    </row>
    <row r="1387" ht="34.5" customHeight="1">
      <c r="A1387" s="111">
        <v>2008.0</v>
      </c>
      <c r="B1387" s="111" t="s">
        <v>9391</v>
      </c>
      <c r="C1387" s="111" t="s">
        <v>8021</v>
      </c>
      <c r="D1387" s="111">
        <v>2028.0</v>
      </c>
      <c r="E1387" s="111"/>
      <c r="F1387" s="111" t="s">
        <v>12397</v>
      </c>
      <c r="G1387" s="111" t="s">
        <v>12224</v>
      </c>
      <c r="H1387" s="111"/>
      <c r="I1387" s="111" t="s">
        <v>12394</v>
      </c>
      <c r="J1387" s="111" t="s">
        <v>12295</v>
      </c>
      <c r="K1387" s="111" t="s">
        <v>30</v>
      </c>
      <c r="L1387" s="111"/>
      <c r="M1387" s="111"/>
      <c r="N1387" s="111"/>
      <c r="O1387" s="111"/>
      <c r="P1387" s="111"/>
      <c r="Q1387" s="111"/>
      <c r="R1387" s="111"/>
      <c r="S1387" s="111"/>
      <c r="T1387" s="111"/>
      <c r="U1387" s="111"/>
      <c r="V1387" s="111"/>
      <c r="W1387" s="111"/>
      <c r="X1387" s="111"/>
      <c r="Y1387" s="111"/>
      <c r="Z1387" s="111" t="s">
        <v>14244</v>
      </c>
      <c r="AA1387" s="124">
        <v>300.0</v>
      </c>
      <c r="AB1387" s="125">
        <f>IF(Projects!$AI1387="Electrolysis",
AA1387/VLOOKUP(G1387,ElectrolysisConvF,3,FALSE),
AC1387*10^6/(H2dens*HoursInYear))</f>
        <v>65217.3913</v>
      </c>
      <c r="AC1387" s="126">
        <f t="shared" si="272"/>
        <v>50.84608696</v>
      </c>
      <c r="AD1387" s="125"/>
      <c r="AE1387" s="125">
        <f t="shared" si="263"/>
        <v>65217.3913</v>
      </c>
      <c r="AF1387" s="127" t="s">
        <v>14243</v>
      </c>
      <c r="AG1387" s="127">
        <v>-29.2453428049818</v>
      </c>
      <c r="AH1387" s="127">
        <v>114.934159115853</v>
      </c>
      <c r="AI1387" s="115" t="s">
        <v>12383</v>
      </c>
      <c r="AJ1387" s="116">
        <v>0.5</v>
      </c>
      <c r="AK1387" s="117"/>
      <c r="AL1387" s="117"/>
      <c r="AM1387" s="117"/>
      <c r="AN1387" s="117"/>
      <c r="AO1387" s="117"/>
    </row>
    <row r="1388" ht="34.5" customHeight="1">
      <c r="A1388" s="111">
        <v>2009.0</v>
      </c>
      <c r="B1388" s="111" t="s">
        <v>9392</v>
      </c>
      <c r="C1388" s="111" t="s">
        <v>8021</v>
      </c>
      <c r="D1388" s="111">
        <v>2028.0</v>
      </c>
      <c r="E1388" s="111"/>
      <c r="F1388" s="111" t="s">
        <v>12397</v>
      </c>
      <c r="G1388" s="111" t="s">
        <v>12224</v>
      </c>
      <c r="H1388" s="111"/>
      <c r="I1388" s="111" t="s">
        <v>12394</v>
      </c>
      <c r="J1388" s="111" t="s">
        <v>12295</v>
      </c>
      <c r="K1388" s="111" t="s">
        <v>30</v>
      </c>
      <c r="L1388" s="111"/>
      <c r="M1388" s="111"/>
      <c r="N1388" s="111"/>
      <c r="O1388" s="111"/>
      <c r="P1388" s="111"/>
      <c r="Q1388" s="111"/>
      <c r="R1388" s="111"/>
      <c r="S1388" s="111"/>
      <c r="T1388" s="111"/>
      <c r="U1388" s="111"/>
      <c r="V1388" s="111"/>
      <c r="W1388" s="111"/>
      <c r="X1388" s="111"/>
      <c r="Y1388" s="111"/>
      <c r="Z1388" s="111" t="s">
        <v>14244</v>
      </c>
      <c r="AA1388" s="124">
        <v>300.0</v>
      </c>
      <c r="AB1388" s="125">
        <f>IF(Projects!$AI1388="Electrolysis",
AA1388/VLOOKUP(G1388,ElectrolysisConvF,3,FALSE),
AC1388*10^6/(H2dens*HoursInYear))</f>
        <v>65217.3913</v>
      </c>
      <c r="AC1388" s="126">
        <f t="shared" si="272"/>
        <v>50.84608696</v>
      </c>
      <c r="AD1388" s="125"/>
      <c r="AE1388" s="125">
        <f t="shared" si="263"/>
        <v>65217.3913</v>
      </c>
      <c r="AF1388" s="127" t="s">
        <v>14243</v>
      </c>
      <c r="AG1388" s="127">
        <v>-29.2453428049818</v>
      </c>
      <c r="AH1388" s="127">
        <v>114.934159115853</v>
      </c>
      <c r="AI1388" s="115" t="s">
        <v>12383</v>
      </c>
      <c r="AJ1388" s="116">
        <v>0.5</v>
      </c>
      <c r="AK1388" s="117"/>
      <c r="AL1388" s="117"/>
      <c r="AM1388" s="117"/>
      <c r="AN1388" s="117"/>
      <c r="AO1388" s="117"/>
    </row>
    <row r="1389" ht="34.5" customHeight="1">
      <c r="A1389" s="111">
        <v>2010.0</v>
      </c>
      <c r="B1389" s="111" t="s">
        <v>9393</v>
      </c>
      <c r="C1389" s="111" t="s">
        <v>8047</v>
      </c>
      <c r="D1389" s="111">
        <v>2025.0</v>
      </c>
      <c r="E1389" s="111"/>
      <c r="F1389" s="111" t="s">
        <v>12399</v>
      </c>
      <c r="G1389" s="111" t="s">
        <v>12226</v>
      </c>
      <c r="H1389" s="111"/>
      <c r="I1389" s="111" t="s">
        <v>12394</v>
      </c>
      <c r="J1389" s="111" t="s">
        <v>12295</v>
      </c>
      <c r="K1389" s="111" t="s">
        <v>30</v>
      </c>
      <c r="L1389" s="111"/>
      <c r="M1389" s="111"/>
      <c r="N1389" s="111"/>
      <c r="O1389" s="111"/>
      <c r="P1389" s="111">
        <v>1.0</v>
      </c>
      <c r="Q1389" s="111">
        <v>1.0</v>
      </c>
      <c r="R1389" s="111"/>
      <c r="S1389" s="111"/>
      <c r="T1389" s="111"/>
      <c r="U1389" s="111"/>
      <c r="V1389" s="111"/>
      <c r="W1389" s="111"/>
      <c r="X1389" s="111"/>
      <c r="Y1389" s="111"/>
      <c r="Z1389" s="111" t="s">
        <v>12802</v>
      </c>
      <c r="AA1389" s="124">
        <v>30.0</v>
      </c>
      <c r="AB1389" s="125">
        <f>IF(Projects!$AI1389="Electrolysis",
AA1389/VLOOKUP(G1389,ElectrolysisConvF,3,FALSE),
AC1389*10^6/(H2dens*HoursInYear))</f>
        <v>5769.230769</v>
      </c>
      <c r="AC1389" s="126">
        <f t="shared" si="272"/>
        <v>4.497923077</v>
      </c>
      <c r="AD1389" s="125"/>
      <c r="AE1389" s="125">
        <f t="shared" si="263"/>
        <v>5769.230769</v>
      </c>
      <c r="AF1389" s="127" t="s">
        <v>14245</v>
      </c>
      <c r="AG1389" s="127">
        <v>42.1228450319685</v>
      </c>
      <c r="AH1389" s="127">
        <v>13.767228454952</v>
      </c>
      <c r="AI1389" s="115" t="s">
        <v>12383</v>
      </c>
      <c r="AJ1389" s="116">
        <v>0.5</v>
      </c>
      <c r="AK1389" s="117"/>
      <c r="AL1389" s="117"/>
      <c r="AM1389" s="117"/>
      <c r="AN1389" s="117"/>
      <c r="AO1389" s="117"/>
    </row>
    <row r="1390" ht="34.5" customHeight="1">
      <c r="A1390" s="111">
        <v>2011.0</v>
      </c>
      <c r="B1390" s="111" t="s">
        <v>9394</v>
      </c>
      <c r="C1390" s="111" t="s">
        <v>8147</v>
      </c>
      <c r="D1390" s="111"/>
      <c r="E1390" s="111"/>
      <c r="F1390" s="111" t="s">
        <v>12399</v>
      </c>
      <c r="G1390" s="111" t="s">
        <v>12224</v>
      </c>
      <c r="H1390" s="111"/>
      <c r="I1390" s="111" t="s">
        <v>12394</v>
      </c>
      <c r="J1390" s="111" t="s">
        <v>12295</v>
      </c>
      <c r="K1390" s="111" t="s">
        <v>30</v>
      </c>
      <c r="L1390" s="111"/>
      <c r="M1390" s="111"/>
      <c r="N1390" s="111"/>
      <c r="O1390" s="111"/>
      <c r="P1390" s="111"/>
      <c r="Q1390" s="111"/>
      <c r="R1390" s="111"/>
      <c r="S1390" s="111"/>
      <c r="T1390" s="111"/>
      <c r="U1390" s="111"/>
      <c r="V1390" s="111"/>
      <c r="W1390" s="111"/>
      <c r="X1390" s="111"/>
      <c r="Y1390" s="111"/>
      <c r="Z1390" s="111" t="s">
        <v>14246</v>
      </c>
      <c r="AA1390" s="124">
        <v>600.0</v>
      </c>
      <c r="AB1390" s="125">
        <f>IF(Projects!$AI1390="Electrolysis",
AA1390/VLOOKUP(G1390,ElectrolysisConvF,3,FALSE),
AC1390*10^6/(H2dens*HoursInYear))</f>
        <v>130434.7826</v>
      </c>
      <c r="AC1390" s="126">
        <f t="shared" si="272"/>
        <v>101.6921739</v>
      </c>
      <c r="AD1390" s="125"/>
      <c r="AE1390" s="125">
        <f t="shared" si="263"/>
        <v>130434.7826</v>
      </c>
      <c r="AF1390" s="127"/>
      <c r="AG1390" s="127">
        <v>-39.0578289833498</v>
      </c>
      <c r="AH1390" s="127">
        <v>174.031581219722</v>
      </c>
      <c r="AI1390" s="115" t="s">
        <v>12383</v>
      </c>
      <c r="AJ1390" s="116">
        <v>0.5</v>
      </c>
      <c r="AK1390" s="117"/>
      <c r="AL1390" s="117"/>
      <c r="AM1390" s="117"/>
      <c r="AN1390" s="117"/>
      <c r="AO1390" s="117"/>
    </row>
    <row r="1391" ht="34.5" customHeight="1">
      <c r="A1391" s="111">
        <v>2012.0</v>
      </c>
      <c r="B1391" s="111" t="s">
        <v>9395</v>
      </c>
      <c r="C1391" s="111" t="s">
        <v>8785</v>
      </c>
      <c r="D1391" s="111"/>
      <c r="E1391" s="111"/>
      <c r="F1391" s="111" t="s">
        <v>12399</v>
      </c>
      <c r="G1391" s="111" t="s">
        <v>12381</v>
      </c>
      <c r="H1391" s="111" t="s">
        <v>12230</v>
      </c>
      <c r="I1391" s="111" t="s">
        <v>12394</v>
      </c>
      <c r="J1391" s="111" t="s">
        <v>12295</v>
      </c>
      <c r="K1391" s="111" t="s">
        <v>174</v>
      </c>
      <c r="L1391" s="111"/>
      <c r="M1391" s="111">
        <v>1.0</v>
      </c>
      <c r="N1391" s="111"/>
      <c r="O1391" s="111"/>
      <c r="P1391" s="111"/>
      <c r="Q1391" s="111"/>
      <c r="R1391" s="111"/>
      <c r="S1391" s="111"/>
      <c r="T1391" s="111"/>
      <c r="U1391" s="111"/>
      <c r="V1391" s="111"/>
      <c r="W1391" s="111"/>
      <c r="X1391" s="111"/>
      <c r="Y1391" s="111"/>
      <c r="Z1391" s="111" t="s">
        <v>14247</v>
      </c>
      <c r="AA1391" s="126">
        <f>IF(Projects!$AI1391="Electrolysis",
AB1391*VLOOKUP(G1391,ElectrolysisConvF,3,FALSE),
"")</f>
        <v>259.8391981</v>
      </c>
      <c r="AB1391" s="125">
        <f>AC1391/(H2dens*HoursInYear/10^6)</f>
        <v>57742.04402</v>
      </c>
      <c r="AC1391" s="125">
        <f>(125*3/17/0.98)/Projects!$AJ1391</f>
        <v>45.0180072</v>
      </c>
      <c r="AD1391" s="125"/>
      <c r="AE1391" s="125">
        <f t="shared" si="263"/>
        <v>57742.04402</v>
      </c>
      <c r="AF1391" s="127" t="s">
        <v>14248</v>
      </c>
      <c r="AG1391" s="127">
        <v>29.659369</v>
      </c>
      <c r="AH1391" s="127">
        <v>32.34481</v>
      </c>
      <c r="AI1391" s="115" t="s">
        <v>12383</v>
      </c>
      <c r="AJ1391" s="116">
        <v>0.5</v>
      </c>
      <c r="AK1391" s="117"/>
      <c r="AL1391" s="117"/>
      <c r="AM1391" s="117"/>
      <c r="AN1391" s="117"/>
      <c r="AO1391" s="117"/>
    </row>
    <row r="1392" ht="34.5" customHeight="1">
      <c r="A1392" s="111">
        <v>2013.0</v>
      </c>
      <c r="B1392" s="111" t="s">
        <v>9396</v>
      </c>
      <c r="C1392" s="111" t="s">
        <v>8003</v>
      </c>
      <c r="D1392" s="111"/>
      <c r="E1392" s="111"/>
      <c r="F1392" s="111" t="s">
        <v>12418</v>
      </c>
      <c r="G1392" s="111" t="s">
        <v>12241</v>
      </c>
      <c r="H1392" s="111" t="s">
        <v>14249</v>
      </c>
      <c r="I1392" s="111"/>
      <c r="J1392" s="111"/>
      <c r="K1392" s="111" t="s">
        <v>30</v>
      </c>
      <c r="L1392" s="111"/>
      <c r="M1392" s="111"/>
      <c r="N1392" s="111"/>
      <c r="O1392" s="111"/>
      <c r="P1392" s="111"/>
      <c r="Q1392" s="111"/>
      <c r="R1392" s="111"/>
      <c r="S1392" s="111"/>
      <c r="T1392" s="111"/>
      <c r="U1392" s="111"/>
      <c r="V1392" s="111"/>
      <c r="W1392" s="111"/>
      <c r="X1392" s="111"/>
      <c r="Y1392" s="111"/>
      <c r="Z1392" s="111"/>
      <c r="AA1392" s="124" t="str">
        <f>IF(OR(G1392="ALK",G1392="PEM",G1392="SOEC",G1392="Other Electrolysis"),
AB1392*VLOOKUP(G1392,ElectrolysisConvF,3,FALSE),
"")</f>
        <v/>
      </c>
      <c r="AB1392" s="125"/>
      <c r="AC1392" s="125"/>
      <c r="AD1392" s="125"/>
      <c r="AE1392" s="125" t="str">
        <f t="shared" si="263"/>
        <v/>
      </c>
      <c r="AF1392" s="127" t="s">
        <v>14250</v>
      </c>
      <c r="AG1392" s="127">
        <v>51.9188006880279</v>
      </c>
      <c r="AH1392" s="127">
        <v>-109.135596708537</v>
      </c>
      <c r="AI1392" s="115" t="s">
        <v>12241</v>
      </c>
      <c r="AJ1392" s="116">
        <v>0.9</v>
      </c>
      <c r="AK1392" s="117"/>
      <c r="AL1392" s="117"/>
      <c r="AM1392" s="117"/>
      <c r="AN1392" s="117"/>
      <c r="AO1392" s="117"/>
    </row>
    <row r="1393" ht="34.5" customHeight="1">
      <c r="A1393" s="111">
        <v>2014.0</v>
      </c>
      <c r="B1393" s="111" t="s">
        <v>9397</v>
      </c>
      <c r="C1393" s="111" t="s">
        <v>8003</v>
      </c>
      <c r="D1393" s="111"/>
      <c r="E1393" s="111"/>
      <c r="F1393" s="111" t="s">
        <v>12399</v>
      </c>
      <c r="G1393" s="111" t="s">
        <v>12241</v>
      </c>
      <c r="H1393" s="111" t="s">
        <v>14249</v>
      </c>
      <c r="I1393" s="111"/>
      <c r="J1393" s="111"/>
      <c r="K1393" s="111" t="s">
        <v>30</v>
      </c>
      <c r="L1393" s="111"/>
      <c r="M1393" s="111"/>
      <c r="N1393" s="111"/>
      <c r="O1393" s="111"/>
      <c r="P1393" s="111"/>
      <c r="Q1393" s="111"/>
      <c r="R1393" s="111"/>
      <c r="S1393" s="111"/>
      <c r="T1393" s="111"/>
      <c r="U1393" s="111"/>
      <c r="V1393" s="111"/>
      <c r="W1393" s="111"/>
      <c r="X1393" s="111"/>
      <c r="Y1393" s="111"/>
      <c r="Z1393" s="111" t="s">
        <v>14251</v>
      </c>
      <c r="AA1393" s="124"/>
      <c r="AB1393" s="125">
        <f>AC1393/(H2dens*HoursInYear/10^6)</f>
        <v>234082.397</v>
      </c>
      <c r="AC1393" s="125">
        <f>0.5*365</f>
        <v>182.5</v>
      </c>
      <c r="AD1393" s="125"/>
      <c r="AE1393" s="125">
        <f t="shared" si="263"/>
        <v>234082.397</v>
      </c>
      <c r="AF1393" s="127" t="s">
        <v>14250</v>
      </c>
      <c r="AG1393" s="127">
        <v>51.9188006880279</v>
      </c>
      <c r="AH1393" s="127">
        <v>-109.135596708537</v>
      </c>
      <c r="AI1393" s="115" t="s">
        <v>12241</v>
      </c>
      <c r="AJ1393" s="116">
        <v>0.9</v>
      </c>
      <c r="AK1393" s="117"/>
      <c r="AL1393" s="117"/>
      <c r="AM1393" s="117"/>
      <c r="AN1393" s="117"/>
      <c r="AO1393" s="117"/>
    </row>
    <row r="1394" ht="34.5" customHeight="1">
      <c r="A1394" s="111">
        <v>2015.0</v>
      </c>
      <c r="B1394" s="111" t="s">
        <v>9398</v>
      </c>
      <c r="C1394" s="111" t="s">
        <v>8026</v>
      </c>
      <c r="D1394" s="111">
        <v>2030.0</v>
      </c>
      <c r="E1394" s="111"/>
      <c r="F1394" s="111" t="s">
        <v>12399</v>
      </c>
      <c r="G1394" s="111" t="s">
        <v>12226</v>
      </c>
      <c r="H1394" s="111"/>
      <c r="I1394" s="111" t="s">
        <v>12406</v>
      </c>
      <c r="J1394" s="111"/>
      <c r="K1394" s="111" t="s">
        <v>174</v>
      </c>
      <c r="L1394" s="111"/>
      <c r="M1394" s="111">
        <v>1.0</v>
      </c>
      <c r="N1394" s="111"/>
      <c r="O1394" s="111"/>
      <c r="P1394" s="111"/>
      <c r="Q1394" s="111"/>
      <c r="R1394" s="111"/>
      <c r="S1394" s="111"/>
      <c r="T1394" s="111"/>
      <c r="U1394" s="111"/>
      <c r="V1394" s="111"/>
      <c r="W1394" s="111"/>
      <c r="X1394" s="111"/>
      <c r="Y1394" s="111"/>
      <c r="Z1394" s="111" t="s">
        <v>12723</v>
      </c>
      <c r="AA1394" s="124">
        <v>1000.0</v>
      </c>
      <c r="AB1394" s="125">
        <f>IF(Projects!$AI1394="Electrolysis",
AA1394/VLOOKUP(G1394,ElectrolysisConvF,3,FALSE),
AC1394*10^6/(H2dens*HoursInYear))</f>
        <v>192307.6923</v>
      </c>
      <c r="AC1394" s="126">
        <f t="shared" ref="AC1394:AC1407" si="273">AB1394*H2dens*HoursInYear/10^6</f>
        <v>149.9307692</v>
      </c>
      <c r="AD1394" s="125"/>
      <c r="AE1394" s="125">
        <f t="shared" si="263"/>
        <v>192307.6923</v>
      </c>
      <c r="AF1394" s="127" t="s">
        <v>14252</v>
      </c>
      <c r="AG1394" s="127">
        <v>63.8413308048752</v>
      </c>
      <c r="AH1394" s="127">
        <v>23.1269603942447</v>
      </c>
      <c r="AI1394" s="115" t="s">
        <v>12383</v>
      </c>
      <c r="AJ1394" s="116">
        <v>0.57</v>
      </c>
      <c r="AK1394" s="117"/>
      <c r="AL1394" s="117"/>
      <c r="AM1394" s="117"/>
      <c r="AN1394" s="117"/>
      <c r="AO1394" s="117"/>
    </row>
    <row r="1395" ht="34.5" customHeight="1">
      <c r="A1395" s="111">
        <v>2016.0</v>
      </c>
      <c r="B1395" s="111" t="s">
        <v>9399</v>
      </c>
      <c r="C1395" s="111" t="s">
        <v>8026</v>
      </c>
      <c r="D1395" s="111">
        <v>2030.0</v>
      </c>
      <c r="E1395" s="111"/>
      <c r="F1395" s="111" t="s">
        <v>12399</v>
      </c>
      <c r="G1395" s="111" t="s">
        <v>12226</v>
      </c>
      <c r="H1395" s="111"/>
      <c r="I1395" s="111" t="s">
        <v>12406</v>
      </c>
      <c r="J1395" s="111"/>
      <c r="K1395" s="111" t="s">
        <v>30</v>
      </c>
      <c r="L1395" s="111"/>
      <c r="M1395" s="111"/>
      <c r="N1395" s="111"/>
      <c r="O1395" s="111">
        <v>1.0</v>
      </c>
      <c r="P1395" s="111"/>
      <c r="Q1395" s="111"/>
      <c r="R1395" s="111"/>
      <c r="S1395" s="111"/>
      <c r="T1395" s="111"/>
      <c r="U1395" s="111"/>
      <c r="V1395" s="111"/>
      <c r="W1395" s="111"/>
      <c r="X1395" s="111"/>
      <c r="Y1395" s="111"/>
      <c r="Z1395" s="111" t="s">
        <v>12723</v>
      </c>
      <c r="AA1395" s="124">
        <v>1000.0</v>
      </c>
      <c r="AB1395" s="125">
        <f>IF(Projects!$AI1395="Electrolysis",
AA1395/VLOOKUP(G1395,ElectrolysisConvF,3,FALSE),
AC1395*10^6/(H2dens*HoursInYear))</f>
        <v>192307.6923</v>
      </c>
      <c r="AC1395" s="126">
        <f t="shared" si="273"/>
        <v>149.9307692</v>
      </c>
      <c r="AD1395" s="125"/>
      <c r="AE1395" s="125">
        <f t="shared" si="263"/>
        <v>192307.6923</v>
      </c>
      <c r="AF1395" s="127" t="s">
        <v>14252</v>
      </c>
      <c r="AG1395" s="127">
        <v>62.2754283902342</v>
      </c>
      <c r="AH1395" s="127">
        <v>21.3813769030635</v>
      </c>
      <c r="AI1395" s="115" t="s">
        <v>12383</v>
      </c>
      <c r="AJ1395" s="116">
        <v>0.57</v>
      </c>
      <c r="AK1395" s="117"/>
      <c r="AL1395" s="117"/>
      <c r="AM1395" s="117"/>
      <c r="AN1395" s="117"/>
      <c r="AO1395" s="117"/>
    </row>
    <row r="1396" ht="34.5" customHeight="1">
      <c r="A1396" s="111">
        <v>2017.0</v>
      </c>
      <c r="B1396" s="111" t="s">
        <v>9400</v>
      </c>
      <c r="C1396" s="111" t="s">
        <v>8026</v>
      </c>
      <c r="D1396" s="111">
        <v>2030.0</v>
      </c>
      <c r="E1396" s="111"/>
      <c r="F1396" s="111" t="s">
        <v>12399</v>
      </c>
      <c r="G1396" s="111" t="s">
        <v>12226</v>
      </c>
      <c r="H1396" s="111"/>
      <c r="I1396" s="111" t="s">
        <v>12406</v>
      </c>
      <c r="J1396" s="111"/>
      <c r="K1396" s="111" t="s">
        <v>30</v>
      </c>
      <c r="L1396" s="111"/>
      <c r="M1396" s="111"/>
      <c r="N1396" s="111"/>
      <c r="O1396" s="111"/>
      <c r="P1396" s="111"/>
      <c r="Q1396" s="111">
        <v>1.0</v>
      </c>
      <c r="R1396" s="111"/>
      <c r="S1396" s="111"/>
      <c r="T1396" s="111"/>
      <c r="U1396" s="111"/>
      <c r="V1396" s="111"/>
      <c r="W1396" s="111"/>
      <c r="X1396" s="111"/>
      <c r="Y1396" s="111"/>
      <c r="Z1396" s="111" t="s">
        <v>13006</v>
      </c>
      <c r="AA1396" s="124">
        <v>200.0</v>
      </c>
      <c r="AB1396" s="125">
        <f>IF(Projects!$AI1396="Electrolysis",
AA1396/VLOOKUP(G1396,ElectrolysisConvF,3,FALSE),
AC1396*10^6/(H2dens*HoursInYear))</f>
        <v>38461.53846</v>
      </c>
      <c r="AC1396" s="126">
        <f t="shared" si="273"/>
        <v>29.98615385</v>
      </c>
      <c r="AD1396" s="125"/>
      <c r="AE1396" s="125">
        <f t="shared" si="263"/>
        <v>38461.53846</v>
      </c>
      <c r="AF1396" s="127" t="s">
        <v>14252</v>
      </c>
      <c r="AG1396" s="127">
        <v>60.3923</v>
      </c>
      <c r="AH1396" s="127">
        <v>25.6651</v>
      </c>
      <c r="AI1396" s="115" t="s">
        <v>12383</v>
      </c>
      <c r="AJ1396" s="116">
        <v>0.57</v>
      </c>
      <c r="AK1396" s="117"/>
      <c r="AL1396" s="117"/>
      <c r="AM1396" s="117"/>
      <c r="AN1396" s="117"/>
      <c r="AO1396" s="117"/>
    </row>
    <row r="1397" ht="34.5" customHeight="1">
      <c r="A1397" s="111">
        <v>2018.0</v>
      </c>
      <c r="B1397" s="111" t="s">
        <v>9401</v>
      </c>
      <c r="C1397" s="111" t="s">
        <v>7977</v>
      </c>
      <c r="D1397" s="111"/>
      <c r="E1397" s="111"/>
      <c r="F1397" s="111" t="s">
        <v>12399</v>
      </c>
      <c r="G1397" s="111" t="s">
        <v>12381</v>
      </c>
      <c r="H1397" s="111" t="s">
        <v>12230</v>
      </c>
      <c r="I1397" s="111" t="s">
        <v>12394</v>
      </c>
      <c r="J1397" s="111" t="s">
        <v>12296</v>
      </c>
      <c r="K1397" s="111" t="s">
        <v>30</v>
      </c>
      <c r="L1397" s="111"/>
      <c r="M1397" s="111"/>
      <c r="N1397" s="111"/>
      <c r="O1397" s="111"/>
      <c r="P1397" s="111"/>
      <c r="Q1397" s="111"/>
      <c r="R1397" s="111"/>
      <c r="S1397" s="111"/>
      <c r="T1397" s="111"/>
      <c r="U1397" s="111"/>
      <c r="V1397" s="111"/>
      <c r="W1397" s="111"/>
      <c r="X1397" s="111"/>
      <c r="Y1397" s="111"/>
      <c r="Z1397" s="111" t="s">
        <v>12835</v>
      </c>
      <c r="AA1397" s="124">
        <v>5.0</v>
      </c>
      <c r="AB1397" s="125">
        <f>IF(Projects!$AI1397="Electrolysis",
AA1397/VLOOKUP(G1397,ElectrolysisConvF,3,FALSE),
AC1397*10^6/(H2dens*HoursInYear))</f>
        <v>1111.111111</v>
      </c>
      <c r="AC1397" s="126">
        <f t="shared" si="273"/>
        <v>0.8662666667</v>
      </c>
      <c r="AD1397" s="125"/>
      <c r="AE1397" s="125">
        <f t="shared" si="263"/>
        <v>1111.111111</v>
      </c>
      <c r="AF1397" s="127" t="s">
        <v>14253</v>
      </c>
      <c r="AG1397" s="127">
        <v>43.3141821945677</v>
      </c>
      <c r="AH1397" s="127">
        <v>-5.87207263353258</v>
      </c>
      <c r="AI1397" s="115" t="s">
        <v>12383</v>
      </c>
      <c r="AJ1397" s="116">
        <v>0.5</v>
      </c>
      <c r="AK1397" s="117"/>
      <c r="AL1397" s="117"/>
      <c r="AM1397" s="117"/>
      <c r="AN1397" s="117"/>
      <c r="AO1397" s="117"/>
    </row>
    <row r="1398" ht="34.5" customHeight="1">
      <c r="A1398" s="111">
        <v>2019.0</v>
      </c>
      <c r="B1398" s="111" t="s">
        <v>9402</v>
      </c>
      <c r="C1398" s="111" t="s">
        <v>7977</v>
      </c>
      <c r="D1398" s="111"/>
      <c r="E1398" s="111"/>
      <c r="F1398" s="111" t="s">
        <v>12397</v>
      </c>
      <c r="G1398" s="111" t="s">
        <v>12381</v>
      </c>
      <c r="H1398" s="111" t="s">
        <v>12230</v>
      </c>
      <c r="I1398" s="111" t="s">
        <v>12394</v>
      </c>
      <c r="J1398" s="111" t="s">
        <v>12296</v>
      </c>
      <c r="K1398" s="111" t="s">
        <v>30</v>
      </c>
      <c r="L1398" s="111"/>
      <c r="M1398" s="111"/>
      <c r="N1398" s="111"/>
      <c r="O1398" s="111"/>
      <c r="P1398" s="111"/>
      <c r="Q1398" s="111"/>
      <c r="R1398" s="111"/>
      <c r="S1398" s="111"/>
      <c r="T1398" s="111"/>
      <c r="U1398" s="111"/>
      <c r="V1398" s="111"/>
      <c r="W1398" s="111"/>
      <c r="X1398" s="111"/>
      <c r="Y1398" s="111"/>
      <c r="Z1398" s="111" t="s">
        <v>12589</v>
      </c>
      <c r="AA1398" s="124">
        <v>15.0</v>
      </c>
      <c r="AB1398" s="125">
        <f>IF(Projects!$AI1398="Electrolysis",
AA1398/VLOOKUP(G1398,ElectrolysisConvF,3,FALSE),
AC1398*10^6/(H2dens*HoursInYear))</f>
        <v>3333.333333</v>
      </c>
      <c r="AC1398" s="126">
        <f t="shared" si="273"/>
        <v>2.5988</v>
      </c>
      <c r="AD1398" s="125"/>
      <c r="AE1398" s="125">
        <f t="shared" si="263"/>
        <v>3333.333333</v>
      </c>
      <c r="AF1398" s="127" t="s">
        <v>14253</v>
      </c>
      <c r="AG1398" s="127">
        <v>43.3141821945677</v>
      </c>
      <c r="AH1398" s="127">
        <v>-5.87207263353258</v>
      </c>
      <c r="AI1398" s="115" t="s">
        <v>12383</v>
      </c>
      <c r="AJ1398" s="116">
        <v>0.5</v>
      </c>
      <c r="AK1398" s="117"/>
      <c r="AL1398" s="117"/>
      <c r="AM1398" s="117"/>
      <c r="AN1398" s="117"/>
      <c r="AO1398" s="117"/>
    </row>
    <row r="1399" ht="34.5" customHeight="1">
      <c r="A1399" s="111">
        <v>2020.0</v>
      </c>
      <c r="B1399" s="111" t="s">
        <v>9403</v>
      </c>
      <c r="C1399" s="111" t="s">
        <v>7977</v>
      </c>
      <c r="D1399" s="111"/>
      <c r="E1399" s="111"/>
      <c r="F1399" s="111" t="s">
        <v>12399</v>
      </c>
      <c r="G1399" s="111" t="s">
        <v>12381</v>
      </c>
      <c r="H1399" s="111" t="s">
        <v>12230</v>
      </c>
      <c r="I1399" s="111" t="s">
        <v>12394</v>
      </c>
      <c r="J1399" s="111" t="s">
        <v>12296</v>
      </c>
      <c r="K1399" s="111" t="s">
        <v>30</v>
      </c>
      <c r="L1399" s="111"/>
      <c r="M1399" s="111"/>
      <c r="N1399" s="111"/>
      <c r="O1399" s="111"/>
      <c r="P1399" s="111">
        <v>1.0</v>
      </c>
      <c r="Q1399" s="111">
        <v>1.0</v>
      </c>
      <c r="R1399" s="111"/>
      <c r="S1399" s="111"/>
      <c r="T1399" s="111"/>
      <c r="U1399" s="111"/>
      <c r="V1399" s="111"/>
      <c r="W1399" s="111"/>
      <c r="X1399" s="111"/>
      <c r="Y1399" s="111"/>
      <c r="Z1399" s="111" t="s">
        <v>12703</v>
      </c>
      <c r="AA1399" s="124">
        <v>10.0</v>
      </c>
      <c r="AB1399" s="125">
        <f>IF(Projects!$AI1399="Electrolysis",
AA1399/VLOOKUP(G1399,ElectrolysisConvF,3,FALSE),
AC1399*10^6/(H2dens*HoursInYear))</f>
        <v>2222.222222</v>
      </c>
      <c r="AC1399" s="126">
        <f t="shared" si="273"/>
        <v>1.732533333</v>
      </c>
      <c r="AD1399" s="125"/>
      <c r="AE1399" s="125">
        <f t="shared" si="263"/>
        <v>2222.222222</v>
      </c>
      <c r="AF1399" s="127" t="s">
        <v>14253</v>
      </c>
      <c r="AG1399" s="127">
        <v>37.3396108837527</v>
      </c>
      <c r="AH1399" s="127">
        <v>-5.84179377613354</v>
      </c>
      <c r="AI1399" s="115" t="s">
        <v>12383</v>
      </c>
      <c r="AJ1399" s="116">
        <v>0.5</v>
      </c>
      <c r="AK1399" s="117"/>
      <c r="AL1399" s="117"/>
      <c r="AM1399" s="117"/>
      <c r="AN1399" s="117"/>
      <c r="AO1399" s="117"/>
    </row>
    <row r="1400" ht="34.5" customHeight="1">
      <c r="A1400" s="111">
        <v>2021.0</v>
      </c>
      <c r="B1400" s="111" t="s">
        <v>9404</v>
      </c>
      <c r="C1400" s="111" t="s">
        <v>7977</v>
      </c>
      <c r="D1400" s="111"/>
      <c r="E1400" s="111"/>
      <c r="F1400" s="111" t="s">
        <v>12399</v>
      </c>
      <c r="G1400" s="111" t="s">
        <v>12381</v>
      </c>
      <c r="H1400" s="111" t="s">
        <v>12230</v>
      </c>
      <c r="I1400" s="111" t="s">
        <v>12394</v>
      </c>
      <c r="J1400" s="111" t="s">
        <v>12296</v>
      </c>
      <c r="K1400" s="111" t="s">
        <v>30</v>
      </c>
      <c r="L1400" s="111"/>
      <c r="M1400" s="111"/>
      <c r="N1400" s="111"/>
      <c r="O1400" s="111"/>
      <c r="P1400" s="111"/>
      <c r="Q1400" s="111">
        <v>1.0</v>
      </c>
      <c r="R1400" s="111"/>
      <c r="S1400" s="111"/>
      <c r="T1400" s="111"/>
      <c r="U1400" s="111"/>
      <c r="V1400" s="111"/>
      <c r="W1400" s="111"/>
      <c r="X1400" s="111"/>
      <c r="Y1400" s="111"/>
      <c r="Z1400" s="111" t="s">
        <v>12589</v>
      </c>
      <c r="AA1400" s="124">
        <v>20.0</v>
      </c>
      <c r="AB1400" s="125">
        <f>IF(Projects!$AI1400="Electrolysis",
AA1400/VLOOKUP(G1400,ElectrolysisConvF,3,FALSE),
AC1400*10^6/(H2dens*HoursInYear))</f>
        <v>4444.444444</v>
      </c>
      <c r="AC1400" s="126">
        <f t="shared" si="273"/>
        <v>3.465066667</v>
      </c>
      <c r="AD1400" s="125"/>
      <c r="AE1400" s="125">
        <f t="shared" si="263"/>
        <v>4444.444444</v>
      </c>
      <c r="AF1400" s="127" t="s">
        <v>14254</v>
      </c>
      <c r="AG1400" s="127">
        <v>41.3904683047587</v>
      </c>
      <c r="AH1400" s="127">
        <v>2.16988385449095</v>
      </c>
      <c r="AI1400" s="115" t="s">
        <v>12383</v>
      </c>
      <c r="AJ1400" s="116">
        <v>0.5</v>
      </c>
      <c r="AK1400" s="117"/>
      <c r="AL1400" s="117"/>
      <c r="AM1400" s="117"/>
      <c r="AN1400" s="117"/>
      <c r="AO1400" s="117"/>
    </row>
    <row r="1401" ht="34.5" customHeight="1">
      <c r="A1401" s="111">
        <v>2022.0</v>
      </c>
      <c r="B1401" s="111" t="s">
        <v>9405</v>
      </c>
      <c r="C1401" s="111" t="s">
        <v>7977</v>
      </c>
      <c r="D1401" s="111"/>
      <c r="E1401" s="111"/>
      <c r="F1401" s="111" t="s">
        <v>12399</v>
      </c>
      <c r="G1401" s="111" t="s">
        <v>12381</v>
      </c>
      <c r="H1401" s="111" t="s">
        <v>12230</v>
      </c>
      <c r="I1401" s="111" t="s">
        <v>12394</v>
      </c>
      <c r="J1401" s="111" t="s">
        <v>12296</v>
      </c>
      <c r="K1401" s="111" t="s">
        <v>30</v>
      </c>
      <c r="L1401" s="111"/>
      <c r="M1401" s="111"/>
      <c r="N1401" s="111"/>
      <c r="O1401" s="111"/>
      <c r="P1401" s="111">
        <v>1.0</v>
      </c>
      <c r="Q1401" s="111"/>
      <c r="R1401" s="111"/>
      <c r="S1401" s="111"/>
      <c r="T1401" s="111"/>
      <c r="U1401" s="111"/>
      <c r="V1401" s="111"/>
      <c r="W1401" s="111"/>
      <c r="X1401" s="111"/>
      <c r="Y1401" s="111"/>
      <c r="Z1401" s="111" t="s">
        <v>12824</v>
      </c>
      <c r="AA1401" s="124">
        <v>15.0</v>
      </c>
      <c r="AB1401" s="125">
        <f>IF(Projects!$AI1401="Electrolysis",
AA1401/VLOOKUP(G1401,ElectrolysisConvF,3,FALSE),
AC1401*10^6/(H2dens*HoursInYear))</f>
        <v>3333.333333</v>
      </c>
      <c r="AC1401" s="126">
        <f t="shared" si="273"/>
        <v>2.5988</v>
      </c>
      <c r="AD1401" s="125"/>
      <c r="AE1401" s="125">
        <f t="shared" si="263"/>
        <v>3333.333333</v>
      </c>
      <c r="AF1401" s="127" t="s">
        <v>14253</v>
      </c>
      <c r="AG1401" s="127">
        <v>41.1189458754906</v>
      </c>
      <c r="AH1401" s="127">
        <v>1.24338923261384</v>
      </c>
      <c r="AI1401" s="115" t="s">
        <v>12383</v>
      </c>
      <c r="AJ1401" s="116">
        <v>0.5</v>
      </c>
      <c r="AK1401" s="117"/>
      <c r="AL1401" s="117"/>
      <c r="AM1401" s="117"/>
      <c r="AN1401" s="117"/>
      <c r="AO1401" s="117"/>
    </row>
    <row r="1402" ht="34.5" customHeight="1">
      <c r="A1402" s="111">
        <v>2023.0</v>
      </c>
      <c r="B1402" s="111" t="s">
        <v>9406</v>
      </c>
      <c r="C1402" s="111" t="s">
        <v>7977</v>
      </c>
      <c r="D1402" s="111"/>
      <c r="E1402" s="111"/>
      <c r="F1402" s="111" t="s">
        <v>12399</v>
      </c>
      <c r="G1402" s="111" t="s">
        <v>12381</v>
      </c>
      <c r="H1402" s="111" t="s">
        <v>12230</v>
      </c>
      <c r="I1402" s="111" t="s">
        <v>12394</v>
      </c>
      <c r="J1402" s="111" t="s">
        <v>12296</v>
      </c>
      <c r="K1402" s="111" t="s">
        <v>30</v>
      </c>
      <c r="L1402" s="111"/>
      <c r="M1402" s="111"/>
      <c r="N1402" s="111"/>
      <c r="O1402" s="111"/>
      <c r="P1402" s="111">
        <v>1.0</v>
      </c>
      <c r="Q1402" s="111"/>
      <c r="R1402" s="111"/>
      <c r="S1402" s="111"/>
      <c r="T1402" s="111"/>
      <c r="U1402" s="111"/>
      <c r="V1402" s="111"/>
      <c r="W1402" s="111"/>
      <c r="X1402" s="111"/>
      <c r="Y1402" s="111"/>
      <c r="Z1402" s="111" t="s">
        <v>12589</v>
      </c>
      <c r="AA1402" s="124">
        <v>20.0</v>
      </c>
      <c r="AB1402" s="125">
        <f>IF(Projects!$AI1402="Electrolysis",
AA1402/VLOOKUP(G1402,ElectrolysisConvF,3,FALSE),
AC1402*10^6/(H2dens*HoursInYear))</f>
        <v>4444.444444</v>
      </c>
      <c r="AC1402" s="126">
        <f t="shared" si="273"/>
        <v>3.465066667</v>
      </c>
      <c r="AD1402" s="125"/>
      <c r="AE1402" s="125">
        <f t="shared" si="263"/>
        <v>4444.444444</v>
      </c>
      <c r="AF1402" s="127" t="s">
        <v>14255</v>
      </c>
      <c r="AG1402" s="127">
        <v>37.2619638810127</v>
      </c>
      <c r="AH1402" s="127">
        <v>-6.94128464616816</v>
      </c>
      <c r="AI1402" s="115" t="s">
        <v>12383</v>
      </c>
      <c r="AJ1402" s="116">
        <v>0.5</v>
      </c>
      <c r="AK1402" s="117"/>
      <c r="AL1402" s="117"/>
      <c r="AM1402" s="117"/>
      <c r="AN1402" s="117"/>
      <c r="AO1402" s="117"/>
    </row>
    <row r="1403" ht="34.5" customHeight="1">
      <c r="A1403" s="111">
        <v>2024.0</v>
      </c>
      <c r="B1403" s="111" t="s">
        <v>9407</v>
      </c>
      <c r="C1403" s="111" t="s">
        <v>7977</v>
      </c>
      <c r="D1403" s="111">
        <v>2027.0</v>
      </c>
      <c r="E1403" s="111"/>
      <c r="F1403" s="111" t="s">
        <v>12399</v>
      </c>
      <c r="G1403" s="111" t="s">
        <v>12381</v>
      </c>
      <c r="H1403" s="111" t="s">
        <v>12230</v>
      </c>
      <c r="I1403" s="111" t="s">
        <v>12759</v>
      </c>
      <c r="J1403" s="111" t="s">
        <v>12295</v>
      </c>
      <c r="K1403" s="111" t="s">
        <v>30</v>
      </c>
      <c r="L1403" s="111"/>
      <c r="M1403" s="111"/>
      <c r="N1403" s="111"/>
      <c r="O1403" s="111"/>
      <c r="P1403" s="111"/>
      <c r="Q1403" s="111">
        <v>1.0</v>
      </c>
      <c r="R1403" s="111"/>
      <c r="S1403" s="111"/>
      <c r="T1403" s="111"/>
      <c r="U1403" s="111"/>
      <c r="V1403" s="111"/>
      <c r="W1403" s="111"/>
      <c r="X1403" s="111"/>
      <c r="Y1403" s="111"/>
      <c r="Z1403" s="111" t="s">
        <v>14256</v>
      </c>
      <c r="AA1403" s="124">
        <v>20.0</v>
      </c>
      <c r="AB1403" s="125">
        <f>IF(Projects!$AI1403="Electrolysis",
AA1403/VLOOKUP(G1403,ElectrolysisConvF,3,FALSE),
AC1403*10^6/(H2dens*HoursInYear))</f>
        <v>4444.444444</v>
      </c>
      <c r="AC1403" s="126">
        <f t="shared" si="273"/>
        <v>3.465066667</v>
      </c>
      <c r="AD1403" s="125"/>
      <c r="AE1403" s="125">
        <f t="shared" si="263"/>
        <v>4444.444444</v>
      </c>
      <c r="AF1403" s="127" t="s">
        <v>14257</v>
      </c>
      <c r="AG1403" s="127">
        <v>41.5719754341961</v>
      </c>
      <c r="AH1403" s="127">
        <v>-0.741827787326854</v>
      </c>
      <c r="AI1403" s="115" t="s">
        <v>12383</v>
      </c>
      <c r="AJ1403" s="116">
        <v>0.7</v>
      </c>
      <c r="AK1403" s="117"/>
      <c r="AL1403" s="117"/>
      <c r="AM1403" s="117"/>
      <c r="AN1403" s="117"/>
      <c r="AO1403" s="117"/>
    </row>
    <row r="1404" ht="34.5" customHeight="1">
      <c r="A1404" s="111">
        <v>2026.0</v>
      </c>
      <c r="B1404" s="111" t="s">
        <v>9408</v>
      </c>
      <c r="C1404" s="111" t="s">
        <v>7977</v>
      </c>
      <c r="D1404" s="111"/>
      <c r="E1404" s="111"/>
      <c r="F1404" s="111" t="s">
        <v>12399</v>
      </c>
      <c r="G1404" s="111" t="s">
        <v>12381</v>
      </c>
      <c r="H1404" s="111" t="s">
        <v>12230</v>
      </c>
      <c r="I1404" s="111" t="s">
        <v>12394</v>
      </c>
      <c r="J1404" s="111" t="s">
        <v>12296</v>
      </c>
      <c r="K1404" s="111" t="s">
        <v>30</v>
      </c>
      <c r="L1404" s="111"/>
      <c r="M1404" s="111"/>
      <c r="N1404" s="111"/>
      <c r="O1404" s="111"/>
      <c r="P1404" s="111"/>
      <c r="Q1404" s="111"/>
      <c r="R1404" s="111"/>
      <c r="S1404" s="111"/>
      <c r="T1404" s="111"/>
      <c r="U1404" s="111"/>
      <c r="V1404" s="111"/>
      <c r="W1404" s="111"/>
      <c r="X1404" s="111"/>
      <c r="Y1404" s="111"/>
      <c r="Z1404" s="111" t="s">
        <v>13337</v>
      </c>
      <c r="AA1404" s="124">
        <v>9.0</v>
      </c>
      <c r="AB1404" s="125">
        <f>IF(Projects!$AI1404="Electrolysis",
AA1404/VLOOKUP(G1404,ElectrolysisConvF,3,FALSE),
AC1404*10^6/(H2dens*HoursInYear))</f>
        <v>2000</v>
      </c>
      <c r="AC1404" s="126">
        <f t="shared" si="273"/>
        <v>1.55928</v>
      </c>
      <c r="AD1404" s="125"/>
      <c r="AE1404" s="125">
        <f t="shared" si="263"/>
        <v>2000</v>
      </c>
      <c r="AF1404" s="127" t="s">
        <v>14253</v>
      </c>
      <c r="AG1404" s="127">
        <v>37.7510872641628</v>
      </c>
      <c r="AH1404" s="127">
        <v>-3.74192975277361</v>
      </c>
      <c r="AI1404" s="115" t="s">
        <v>12383</v>
      </c>
      <c r="AJ1404" s="116">
        <v>0.5</v>
      </c>
      <c r="AK1404" s="117"/>
      <c r="AL1404" s="117"/>
      <c r="AM1404" s="117"/>
      <c r="AN1404" s="117"/>
      <c r="AO1404" s="117"/>
    </row>
    <row r="1405" ht="34.5" customHeight="1">
      <c r="A1405" s="111">
        <v>2027.0</v>
      </c>
      <c r="B1405" s="111" t="s">
        <v>9409</v>
      </c>
      <c r="C1405" s="111" t="s">
        <v>7981</v>
      </c>
      <c r="D1405" s="111">
        <v>2029.0</v>
      </c>
      <c r="E1405" s="111"/>
      <c r="F1405" s="111" t="s">
        <v>12399</v>
      </c>
      <c r="G1405" s="111" t="s">
        <v>12381</v>
      </c>
      <c r="H1405" s="111" t="s">
        <v>12230</v>
      </c>
      <c r="I1405" s="111" t="s">
        <v>12759</v>
      </c>
      <c r="J1405" s="111"/>
      <c r="K1405" s="111" t="s">
        <v>12449</v>
      </c>
      <c r="L1405" s="111"/>
      <c r="M1405" s="111"/>
      <c r="N1405" s="111"/>
      <c r="O1405" s="111"/>
      <c r="P1405" s="111"/>
      <c r="Q1405" s="111"/>
      <c r="R1405" s="111"/>
      <c r="S1405" s="111"/>
      <c r="T1405" s="111"/>
      <c r="U1405" s="111"/>
      <c r="V1405" s="111"/>
      <c r="W1405" s="111"/>
      <c r="X1405" s="111"/>
      <c r="Y1405" s="111"/>
      <c r="Z1405" s="111" t="s">
        <v>13620</v>
      </c>
      <c r="AA1405" s="124">
        <v>500.0</v>
      </c>
      <c r="AB1405" s="125">
        <f>IF(Projects!$AI1405="Electrolysis",
AA1405/VLOOKUP(G1405,ElectrolysisConvF,3,FALSE),
AC1405*10^6/(H2dens*HoursInYear))</f>
        <v>111111.1111</v>
      </c>
      <c r="AC1405" s="126">
        <f t="shared" si="273"/>
        <v>86.62666667</v>
      </c>
      <c r="AD1405" s="125"/>
      <c r="AE1405" s="125">
        <f t="shared" si="263"/>
        <v>111111.1111</v>
      </c>
      <c r="AF1405" s="127" t="s">
        <v>14258</v>
      </c>
      <c r="AG1405" s="127">
        <v>29.7593739999325</v>
      </c>
      <c r="AH1405" s="127">
        <v>-95.3999181590959</v>
      </c>
      <c r="AI1405" s="115" t="s">
        <v>12383</v>
      </c>
      <c r="AJ1405" s="116">
        <v>0.7</v>
      </c>
      <c r="AK1405" s="117"/>
      <c r="AL1405" s="117"/>
      <c r="AM1405" s="117"/>
      <c r="AN1405" s="117"/>
      <c r="AO1405" s="117"/>
    </row>
    <row r="1406" ht="34.5" customHeight="1">
      <c r="A1406" s="111">
        <v>2028.0</v>
      </c>
      <c r="B1406" s="111" t="s">
        <v>9410</v>
      </c>
      <c r="C1406" s="111" t="s">
        <v>7999</v>
      </c>
      <c r="D1406" s="111">
        <v>2023.0</v>
      </c>
      <c r="E1406" s="111"/>
      <c r="F1406" s="111" t="s">
        <v>12385</v>
      </c>
      <c r="G1406" s="111" t="s">
        <v>12381</v>
      </c>
      <c r="H1406" s="111" t="s">
        <v>12230</v>
      </c>
      <c r="I1406" s="111" t="s">
        <v>12394</v>
      </c>
      <c r="J1406" s="111" t="s">
        <v>12291</v>
      </c>
      <c r="K1406" s="111" t="s">
        <v>30</v>
      </c>
      <c r="L1406" s="111"/>
      <c r="M1406" s="111"/>
      <c r="N1406" s="111"/>
      <c r="O1406" s="111"/>
      <c r="P1406" s="111">
        <v>1.0</v>
      </c>
      <c r="Q1406" s="111">
        <v>1.0</v>
      </c>
      <c r="R1406" s="111"/>
      <c r="S1406" s="111"/>
      <c r="T1406" s="111"/>
      <c r="U1406" s="111"/>
      <c r="V1406" s="111"/>
      <c r="W1406" s="111"/>
      <c r="X1406" s="111"/>
      <c r="Y1406" s="111"/>
      <c r="Z1406" s="111" t="s">
        <v>12908</v>
      </c>
      <c r="AA1406" s="124">
        <v>1.0</v>
      </c>
      <c r="AB1406" s="125">
        <f>IF(Projects!$AI1406="Electrolysis",
AA1406/VLOOKUP(G1406,ElectrolysisConvF,3,FALSE),
AC1406*10^6/(H2dens*HoursInYear))</f>
        <v>222.2222222</v>
      </c>
      <c r="AC1406" s="126">
        <f t="shared" si="273"/>
        <v>0.1732533333</v>
      </c>
      <c r="AD1406" s="125"/>
      <c r="AE1406" s="125">
        <f t="shared" si="263"/>
        <v>222.2222222</v>
      </c>
      <c r="AF1406" s="127" t="s">
        <v>14259</v>
      </c>
      <c r="AG1406" s="127">
        <v>47.2637590131018</v>
      </c>
      <c r="AH1406" s="127">
        <v>15.1967448169806</v>
      </c>
      <c r="AI1406" s="115" t="s">
        <v>12383</v>
      </c>
      <c r="AJ1406" s="116">
        <v>0.3</v>
      </c>
      <c r="AK1406" s="117"/>
      <c r="AL1406" s="117"/>
      <c r="AM1406" s="117"/>
      <c r="AN1406" s="117"/>
      <c r="AO1406" s="117"/>
    </row>
    <row r="1407" ht="34.5" customHeight="1">
      <c r="A1407" s="111">
        <v>2029.0</v>
      </c>
      <c r="B1407" s="111" t="s">
        <v>9411</v>
      </c>
      <c r="C1407" s="111" t="s">
        <v>7999</v>
      </c>
      <c r="D1407" s="111"/>
      <c r="E1407" s="111"/>
      <c r="F1407" s="111" t="s">
        <v>12397</v>
      </c>
      <c r="G1407" s="111" t="s">
        <v>12381</v>
      </c>
      <c r="H1407" s="111" t="s">
        <v>12230</v>
      </c>
      <c r="I1407" s="111" t="s">
        <v>12287</v>
      </c>
      <c r="J1407" s="111"/>
      <c r="K1407" s="111" t="s">
        <v>30</v>
      </c>
      <c r="L1407" s="111"/>
      <c r="M1407" s="111"/>
      <c r="N1407" s="111"/>
      <c r="O1407" s="111"/>
      <c r="P1407" s="111">
        <v>1.0</v>
      </c>
      <c r="Q1407" s="111"/>
      <c r="R1407" s="111"/>
      <c r="S1407" s="111"/>
      <c r="T1407" s="111"/>
      <c r="U1407" s="111"/>
      <c r="V1407" s="111"/>
      <c r="W1407" s="111"/>
      <c r="X1407" s="111"/>
      <c r="Y1407" s="111"/>
      <c r="Z1407" s="111" t="s">
        <v>12806</v>
      </c>
      <c r="AA1407" s="124">
        <v>149.0</v>
      </c>
      <c r="AB1407" s="125">
        <f>IF(Projects!$AI1407="Electrolysis",
AA1407/VLOOKUP(G1407,ElectrolysisConvF,3,FALSE),
AC1407*10^6/(H2dens*HoursInYear))</f>
        <v>33111.11111</v>
      </c>
      <c r="AC1407" s="126">
        <f t="shared" si="273"/>
        <v>25.81474667</v>
      </c>
      <c r="AD1407" s="125"/>
      <c r="AE1407" s="125">
        <f t="shared" si="263"/>
        <v>33111.11111</v>
      </c>
      <c r="AF1407" s="127" t="s">
        <v>14259</v>
      </c>
      <c r="AG1407" s="127">
        <v>47.1275196132739</v>
      </c>
      <c r="AH1407" s="127">
        <v>15.3615397737585</v>
      </c>
      <c r="AI1407" s="115" t="s">
        <v>12383</v>
      </c>
      <c r="AJ1407" s="116">
        <v>0.57</v>
      </c>
      <c r="AK1407" s="117"/>
      <c r="AL1407" s="117"/>
      <c r="AM1407" s="117"/>
      <c r="AN1407" s="117"/>
      <c r="AO1407" s="117"/>
    </row>
    <row r="1408" ht="34.5" customHeight="1">
      <c r="A1408" s="111">
        <v>2030.0</v>
      </c>
      <c r="B1408" s="111" t="s">
        <v>9412</v>
      </c>
      <c r="C1408" s="111" t="s">
        <v>8138</v>
      </c>
      <c r="D1408" s="111"/>
      <c r="E1408" s="111"/>
      <c r="F1408" s="111" t="s">
        <v>12399</v>
      </c>
      <c r="G1408" s="111" t="s">
        <v>12226</v>
      </c>
      <c r="H1408" s="111"/>
      <c r="I1408" s="111" t="s">
        <v>12394</v>
      </c>
      <c r="J1408" s="111" t="s">
        <v>12292</v>
      </c>
      <c r="K1408" s="111" t="s">
        <v>30</v>
      </c>
      <c r="L1408" s="111"/>
      <c r="M1408" s="111"/>
      <c r="N1408" s="111"/>
      <c r="O1408" s="111"/>
      <c r="P1408" s="111"/>
      <c r="Q1408" s="111"/>
      <c r="R1408" s="111"/>
      <c r="S1408" s="111"/>
      <c r="T1408" s="111"/>
      <c r="U1408" s="111"/>
      <c r="V1408" s="111"/>
      <c r="W1408" s="111"/>
      <c r="X1408" s="111"/>
      <c r="Y1408" s="111"/>
      <c r="Z1408" s="111" t="s">
        <v>14260</v>
      </c>
      <c r="AA1408" s="126">
        <f>IF(Projects!$AI1408="Electrolysis",
AB1408*VLOOKUP(G1408,ElectrolysisConvF,3,FALSE),
"")</f>
        <v>334.7378277</v>
      </c>
      <c r="AB1408" s="125">
        <f t="shared" ref="AB1408:AB1410" si="274">AC1408/(H2dens*HoursInYear/10^6)</f>
        <v>64372.65918</v>
      </c>
      <c r="AC1408" s="125">
        <f>(55*365/1000)/Projects!$AJ1408</f>
        <v>50.1875</v>
      </c>
      <c r="AD1408" s="125"/>
      <c r="AE1408" s="125">
        <f t="shared" si="263"/>
        <v>64372.65918</v>
      </c>
      <c r="AF1408" s="127" t="s">
        <v>14261</v>
      </c>
      <c r="AG1408" s="127">
        <v>-53.764171</v>
      </c>
      <c r="AH1408" s="127">
        <v>-67.748406</v>
      </c>
      <c r="AI1408" s="115" t="s">
        <v>12383</v>
      </c>
      <c r="AJ1408" s="116">
        <v>0.4</v>
      </c>
      <c r="AK1408" s="117"/>
      <c r="AL1408" s="117"/>
      <c r="AM1408" s="117"/>
      <c r="AN1408" s="117"/>
      <c r="AO1408" s="117"/>
    </row>
    <row r="1409" ht="34.5" customHeight="1">
      <c r="A1409" s="111">
        <v>2031.0</v>
      </c>
      <c r="B1409" s="111" t="s">
        <v>9413</v>
      </c>
      <c r="C1409" s="111" t="s">
        <v>8003</v>
      </c>
      <c r="D1409" s="111">
        <v>2026.0</v>
      </c>
      <c r="E1409" s="111"/>
      <c r="F1409" s="111" t="s">
        <v>12399</v>
      </c>
      <c r="G1409" s="111" t="s">
        <v>12226</v>
      </c>
      <c r="H1409" s="111"/>
      <c r="I1409" s="111" t="s">
        <v>12406</v>
      </c>
      <c r="J1409" s="111"/>
      <c r="K1409" s="111" t="s">
        <v>30</v>
      </c>
      <c r="L1409" s="111"/>
      <c r="M1409" s="111"/>
      <c r="N1409" s="111"/>
      <c r="O1409" s="111"/>
      <c r="P1409" s="111"/>
      <c r="Q1409" s="111"/>
      <c r="R1409" s="111"/>
      <c r="S1409" s="111"/>
      <c r="T1409" s="111"/>
      <c r="U1409" s="111"/>
      <c r="V1409" s="111"/>
      <c r="W1409" s="111"/>
      <c r="X1409" s="111"/>
      <c r="Y1409" s="111"/>
      <c r="Z1409" s="111" t="s">
        <v>14262</v>
      </c>
      <c r="AA1409" s="126">
        <f>IF(Projects!$AI1409="Electrolysis",
AB1409*VLOOKUP(G1409,ElectrolysisConvF,3,FALSE),
"")</f>
        <v>421.4156195</v>
      </c>
      <c r="AB1409" s="125">
        <f t="shared" si="274"/>
        <v>81041.4653</v>
      </c>
      <c r="AC1409" s="125">
        <f>(200*3/17/0.98)/Projects!$AJ1409</f>
        <v>63.183168</v>
      </c>
      <c r="AD1409" s="125"/>
      <c r="AE1409" s="125">
        <f t="shared" si="263"/>
        <v>81041.4653</v>
      </c>
      <c r="AF1409" s="127" t="s">
        <v>14263</v>
      </c>
      <c r="AG1409" s="127">
        <v>45.583347</v>
      </c>
      <c r="AH1409" s="127">
        <v>-61.339879</v>
      </c>
      <c r="AI1409" s="115" t="s">
        <v>12383</v>
      </c>
      <c r="AJ1409" s="116">
        <v>0.57</v>
      </c>
      <c r="AK1409" s="117"/>
      <c r="AL1409" s="117"/>
      <c r="AM1409" s="117"/>
      <c r="AN1409" s="117"/>
      <c r="AO1409" s="117"/>
    </row>
    <row r="1410" ht="34.5" customHeight="1">
      <c r="A1410" s="111">
        <v>2032.0</v>
      </c>
      <c r="B1410" s="111" t="s">
        <v>9414</v>
      </c>
      <c r="C1410" s="111" t="s">
        <v>7977</v>
      </c>
      <c r="D1410" s="111">
        <v>2028.0</v>
      </c>
      <c r="E1410" s="111"/>
      <c r="F1410" s="111" t="s">
        <v>12399</v>
      </c>
      <c r="G1410" s="111" t="s">
        <v>12381</v>
      </c>
      <c r="H1410" s="111" t="s">
        <v>12230</v>
      </c>
      <c r="I1410" s="111" t="s">
        <v>12287</v>
      </c>
      <c r="J1410" s="111"/>
      <c r="K1410" s="111" t="s">
        <v>30</v>
      </c>
      <c r="L1410" s="111"/>
      <c r="M1410" s="111"/>
      <c r="N1410" s="111"/>
      <c r="O1410" s="111"/>
      <c r="P1410" s="111">
        <v>1.0</v>
      </c>
      <c r="Q1410" s="111">
        <v>1.0</v>
      </c>
      <c r="R1410" s="111"/>
      <c r="S1410" s="111"/>
      <c r="T1410" s="111"/>
      <c r="U1410" s="111"/>
      <c r="V1410" s="111"/>
      <c r="W1410" s="111"/>
      <c r="X1410" s="111"/>
      <c r="Y1410" s="111"/>
      <c r="Z1410" s="111" t="s">
        <v>14264</v>
      </c>
      <c r="AA1410" s="126">
        <f>IF(Projects!$AI1410="Electrolysis",
AB1410*VLOOKUP(G1410,ElectrolysisConvF,3,FALSE),
"")</f>
        <v>80.80652609</v>
      </c>
      <c r="AB1410" s="125">
        <f t="shared" si="274"/>
        <v>17957.0058</v>
      </c>
      <c r="AC1410" s="125">
        <v>14.0</v>
      </c>
      <c r="AD1410" s="125"/>
      <c r="AE1410" s="125">
        <f t="shared" si="263"/>
        <v>17957.0058</v>
      </c>
      <c r="AF1410" s="127" t="s">
        <v>14265</v>
      </c>
      <c r="AG1410" s="127">
        <v>39.4715951369353</v>
      </c>
      <c r="AH1410" s="127">
        <v>-0.366634623079343</v>
      </c>
      <c r="AI1410" s="115" t="s">
        <v>12383</v>
      </c>
      <c r="AJ1410" s="116">
        <v>0.57</v>
      </c>
      <c r="AK1410" s="117"/>
      <c r="AL1410" s="117"/>
      <c r="AM1410" s="117"/>
      <c r="AN1410" s="117"/>
      <c r="AO1410" s="117"/>
    </row>
    <row r="1411" ht="34.5" customHeight="1">
      <c r="A1411" s="111">
        <v>2033.0</v>
      </c>
      <c r="B1411" s="111" t="s">
        <v>9415</v>
      </c>
      <c r="C1411" s="111" t="s">
        <v>7977</v>
      </c>
      <c r="D1411" s="111">
        <v>2027.0</v>
      </c>
      <c r="E1411" s="111"/>
      <c r="F1411" s="111" t="s">
        <v>12399</v>
      </c>
      <c r="G1411" s="111" t="s">
        <v>12381</v>
      </c>
      <c r="H1411" s="111" t="s">
        <v>12230</v>
      </c>
      <c r="I1411" s="111" t="s">
        <v>12287</v>
      </c>
      <c r="J1411" s="111"/>
      <c r="K1411" s="111" t="s">
        <v>30</v>
      </c>
      <c r="L1411" s="111"/>
      <c r="M1411" s="111"/>
      <c r="N1411" s="111"/>
      <c r="O1411" s="111"/>
      <c r="P1411" s="111"/>
      <c r="Q1411" s="111"/>
      <c r="R1411" s="111"/>
      <c r="S1411" s="111"/>
      <c r="T1411" s="111"/>
      <c r="U1411" s="111"/>
      <c r="V1411" s="111"/>
      <c r="W1411" s="111"/>
      <c r="X1411" s="111"/>
      <c r="Y1411" s="111"/>
      <c r="Z1411" s="111" t="s">
        <v>13069</v>
      </c>
      <c r="AA1411" s="124">
        <v>500.0</v>
      </c>
      <c r="AB1411" s="125">
        <f>IF(Projects!$AI1411="Electrolysis",
AA1411/VLOOKUP(G1411,ElectrolysisConvF,3,FALSE),
AC1411*10^6/(H2dens*HoursInYear))</f>
        <v>111111.1111</v>
      </c>
      <c r="AC1411" s="126">
        <f>AB1411*H2dens*HoursInYear/10^6</f>
        <v>86.62666667</v>
      </c>
      <c r="AD1411" s="125"/>
      <c r="AE1411" s="125">
        <f t="shared" si="263"/>
        <v>111111.1111</v>
      </c>
      <c r="AF1411" s="127" t="s">
        <v>14266</v>
      </c>
      <c r="AG1411" s="127">
        <v>43.3481320820077</v>
      </c>
      <c r="AH1411" s="127">
        <v>-4.05037042271225</v>
      </c>
      <c r="AI1411" s="115" t="s">
        <v>12383</v>
      </c>
      <c r="AJ1411" s="116">
        <v>0.57</v>
      </c>
      <c r="AK1411" s="117"/>
      <c r="AL1411" s="117"/>
      <c r="AM1411" s="117"/>
      <c r="AN1411" s="117"/>
      <c r="AO1411" s="117"/>
    </row>
    <row r="1412" ht="34.5" customHeight="1">
      <c r="A1412" s="111">
        <v>2034.0</v>
      </c>
      <c r="B1412" s="111" t="s">
        <v>9416</v>
      </c>
      <c r="C1412" s="111" t="s">
        <v>7977</v>
      </c>
      <c r="D1412" s="111">
        <v>2031.0</v>
      </c>
      <c r="E1412" s="111"/>
      <c r="F1412" s="111" t="s">
        <v>12399</v>
      </c>
      <c r="G1412" s="111" t="s">
        <v>12381</v>
      </c>
      <c r="H1412" s="111" t="s">
        <v>12230</v>
      </c>
      <c r="I1412" s="111" t="s">
        <v>12406</v>
      </c>
      <c r="J1412" s="111"/>
      <c r="K1412" s="111" t="s">
        <v>174</v>
      </c>
      <c r="L1412" s="111"/>
      <c r="M1412" s="111">
        <v>1.0</v>
      </c>
      <c r="N1412" s="111"/>
      <c r="O1412" s="111"/>
      <c r="P1412" s="111"/>
      <c r="Q1412" s="111"/>
      <c r="R1412" s="111"/>
      <c r="S1412" s="111"/>
      <c r="T1412" s="111"/>
      <c r="U1412" s="111"/>
      <c r="V1412" s="111"/>
      <c r="W1412" s="111"/>
      <c r="X1412" s="111"/>
      <c r="Y1412" s="111"/>
      <c r="Z1412" s="111" t="s">
        <v>14267</v>
      </c>
      <c r="AA1412" s="126">
        <f>IF(Projects!$AI1412="Electrolysis",
AB1412*VLOOKUP(G1412,ElectrolysisConvF,3,FALSE),
"")</f>
        <v>1549.918024</v>
      </c>
      <c r="AB1412" s="125">
        <f>AC1412/(H2dens*HoursInYear/10^6)</f>
        <v>344426.2275</v>
      </c>
      <c r="AC1412" s="125">
        <f>850*3/17/0.98/Projects!$AJ1412</f>
        <v>268.528464</v>
      </c>
      <c r="AD1412" s="125"/>
      <c r="AE1412" s="125">
        <f t="shared" si="263"/>
        <v>344426.2275</v>
      </c>
      <c r="AF1412" s="127" t="s">
        <v>14268</v>
      </c>
      <c r="AG1412" s="127">
        <v>39.9724616151294</v>
      </c>
      <c r="AH1412" s="127">
        <v>0.0245645516196747</v>
      </c>
      <c r="AI1412" s="115" t="s">
        <v>12383</v>
      </c>
      <c r="AJ1412" s="116">
        <v>0.57</v>
      </c>
      <c r="AK1412" s="117"/>
      <c r="AL1412" s="117"/>
      <c r="AM1412" s="117"/>
      <c r="AN1412" s="117"/>
      <c r="AO1412" s="117"/>
    </row>
    <row r="1413" ht="34.5" customHeight="1">
      <c r="A1413" s="111">
        <v>2036.0</v>
      </c>
      <c r="B1413" s="111" t="s">
        <v>9417</v>
      </c>
      <c r="C1413" s="111" t="s">
        <v>8026</v>
      </c>
      <c r="D1413" s="111">
        <v>2027.0</v>
      </c>
      <c r="E1413" s="111"/>
      <c r="F1413" s="111" t="s">
        <v>12399</v>
      </c>
      <c r="G1413" s="111" t="s">
        <v>12381</v>
      </c>
      <c r="H1413" s="111" t="s">
        <v>12230</v>
      </c>
      <c r="I1413" s="111" t="s">
        <v>12419</v>
      </c>
      <c r="J1413" s="111"/>
      <c r="K1413" s="111" t="s">
        <v>30</v>
      </c>
      <c r="L1413" s="111"/>
      <c r="M1413" s="111">
        <v>1.0</v>
      </c>
      <c r="N1413" s="111"/>
      <c r="O1413" s="111"/>
      <c r="P1413" s="111">
        <v>1.0</v>
      </c>
      <c r="Q1413" s="111"/>
      <c r="R1413" s="111"/>
      <c r="S1413" s="111"/>
      <c r="T1413" s="111"/>
      <c r="U1413" s="111"/>
      <c r="V1413" s="111"/>
      <c r="W1413" s="111"/>
      <c r="X1413" s="111"/>
      <c r="Y1413" s="111"/>
      <c r="Z1413" s="111" t="s">
        <v>12794</v>
      </c>
      <c r="AA1413" s="124">
        <v>350.0</v>
      </c>
      <c r="AB1413" s="125">
        <f>IF(Projects!$AI1413="Electrolysis",
AA1413/VLOOKUP(G1413,ElectrolysisConvF,3,FALSE),
AC1413*10^6/(H2dens*HoursInYear))</f>
        <v>77777.77778</v>
      </c>
      <c r="AC1413" s="126">
        <f t="shared" ref="AC1413:AC1414" si="275">AB1413*H2dens*HoursInYear/10^6</f>
        <v>60.63866667</v>
      </c>
      <c r="AD1413" s="125"/>
      <c r="AE1413" s="125">
        <f t="shared" si="263"/>
        <v>77777.77778</v>
      </c>
      <c r="AF1413" s="127" t="s">
        <v>14269</v>
      </c>
      <c r="AG1413" s="127">
        <v>63.8413308048752</v>
      </c>
      <c r="AH1413" s="127">
        <v>23.1269603942447</v>
      </c>
      <c r="AI1413" s="115" t="s">
        <v>12383</v>
      </c>
      <c r="AJ1413" s="116">
        <v>0.57</v>
      </c>
      <c r="AK1413" s="117"/>
      <c r="AL1413" s="117"/>
      <c r="AM1413" s="117"/>
      <c r="AN1413" s="117"/>
      <c r="AO1413" s="117"/>
    </row>
    <row r="1414" ht="34.5" customHeight="1">
      <c r="A1414" s="111">
        <v>2037.0</v>
      </c>
      <c r="B1414" s="111" t="s">
        <v>9418</v>
      </c>
      <c r="C1414" s="111" t="s">
        <v>8021</v>
      </c>
      <c r="D1414" s="111">
        <v>2029.0</v>
      </c>
      <c r="E1414" s="111"/>
      <c r="F1414" s="111" t="s">
        <v>12397</v>
      </c>
      <c r="G1414" s="111" t="s">
        <v>12381</v>
      </c>
      <c r="H1414" s="111" t="s">
        <v>12230</v>
      </c>
      <c r="I1414" s="111" t="s">
        <v>12394</v>
      </c>
      <c r="J1414" s="111" t="s">
        <v>12294</v>
      </c>
      <c r="K1414" s="111" t="s">
        <v>30</v>
      </c>
      <c r="L1414" s="111"/>
      <c r="M1414" s="111"/>
      <c r="N1414" s="111"/>
      <c r="O1414" s="111"/>
      <c r="P1414" s="111"/>
      <c r="Q1414" s="111"/>
      <c r="R1414" s="111"/>
      <c r="S1414" s="111">
        <v>1.0</v>
      </c>
      <c r="T1414" s="111"/>
      <c r="U1414" s="111"/>
      <c r="V1414" s="111"/>
      <c r="W1414" s="111"/>
      <c r="X1414" s="111"/>
      <c r="Y1414" s="111"/>
      <c r="Z1414" s="111" t="s">
        <v>14270</v>
      </c>
      <c r="AA1414" s="124">
        <f>AVERAGE(15,25)</f>
        <v>20</v>
      </c>
      <c r="AB1414" s="125">
        <f>IF(Projects!$AI1414="Electrolysis",
AA1414/VLOOKUP(G1414,ElectrolysisConvF,3,FALSE),
AC1414*10^6/(H2dens*HoursInYear))</f>
        <v>4444.444444</v>
      </c>
      <c r="AC1414" s="126">
        <f t="shared" si="275"/>
        <v>3.465066667</v>
      </c>
      <c r="AD1414" s="125"/>
      <c r="AE1414" s="125">
        <f t="shared" si="263"/>
        <v>4444.444444</v>
      </c>
      <c r="AF1414" s="127" t="s">
        <v>14271</v>
      </c>
      <c r="AG1414" s="127">
        <v>-15.77422</v>
      </c>
      <c r="AH1414" s="127">
        <v>128.740009</v>
      </c>
      <c r="AI1414" s="115" t="s">
        <v>12383</v>
      </c>
      <c r="AJ1414" s="116">
        <v>0.8</v>
      </c>
      <c r="AK1414" s="117"/>
      <c r="AL1414" s="117"/>
      <c r="AM1414" s="117"/>
      <c r="AN1414" s="117"/>
      <c r="AO1414" s="117"/>
    </row>
    <row r="1415" ht="34.5" customHeight="1">
      <c r="A1415" s="111">
        <v>2038.0</v>
      </c>
      <c r="B1415" s="111" t="s">
        <v>9419</v>
      </c>
      <c r="C1415" s="111" t="s">
        <v>8021</v>
      </c>
      <c r="D1415" s="111"/>
      <c r="E1415" s="111"/>
      <c r="F1415" s="111" t="s">
        <v>12399</v>
      </c>
      <c r="G1415" s="111" t="s">
        <v>12235</v>
      </c>
      <c r="H1415" s="111" t="s">
        <v>13160</v>
      </c>
      <c r="I1415" s="111"/>
      <c r="J1415" s="111"/>
      <c r="K1415" s="111" t="s">
        <v>174</v>
      </c>
      <c r="L1415" s="111"/>
      <c r="M1415" s="111">
        <v>1.0</v>
      </c>
      <c r="N1415" s="111"/>
      <c r="O1415" s="111"/>
      <c r="P1415" s="111"/>
      <c r="Q1415" s="111"/>
      <c r="R1415" s="111"/>
      <c r="S1415" s="111"/>
      <c r="T1415" s="111"/>
      <c r="U1415" s="111"/>
      <c r="V1415" s="111"/>
      <c r="W1415" s="111"/>
      <c r="X1415" s="111"/>
      <c r="Y1415" s="111"/>
      <c r="Z1415" s="111" t="s">
        <v>14272</v>
      </c>
      <c r="AA1415" s="124"/>
      <c r="AB1415" s="125">
        <f t="shared" ref="AB1415:AB1416" si="276">AC1415/(H2dens*HoursInYear/10^6)</f>
        <v>57742.04402</v>
      </c>
      <c r="AC1415" s="126">
        <f>250*3/17/0.98</f>
        <v>45.0180072</v>
      </c>
      <c r="AD1415" s="125"/>
      <c r="AE1415" s="125">
        <f t="shared" si="263"/>
        <v>0</v>
      </c>
      <c r="AF1415" s="127" t="s">
        <v>14273</v>
      </c>
      <c r="AG1415" s="127">
        <v>-20.7372486779086</v>
      </c>
      <c r="AH1415" s="127">
        <v>121.601851050426</v>
      </c>
      <c r="AI1415" s="115" t="s">
        <v>12378</v>
      </c>
      <c r="AJ1415" s="116">
        <v>0.9</v>
      </c>
      <c r="AK1415" s="117"/>
      <c r="AL1415" s="117"/>
      <c r="AM1415" s="117"/>
      <c r="AN1415" s="117"/>
      <c r="AO1415" s="117"/>
    </row>
    <row r="1416" ht="34.5" customHeight="1">
      <c r="A1416" s="111">
        <v>2039.0</v>
      </c>
      <c r="B1416" s="111" t="s">
        <v>9420</v>
      </c>
      <c r="C1416" s="111" t="s">
        <v>8021</v>
      </c>
      <c r="D1416" s="111"/>
      <c r="E1416" s="111"/>
      <c r="F1416" s="111" t="s">
        <v>12397</v>
      </c>
      <c r="G1416" s="111" t="s">
        <v>12235</v>
      </c>
      <c r="H1416" s="111" t="s">
        <v>13160</v>
      </c>
      <c r="I1416" s="111"/>
      <c r="J1416" s="111"/>
      <c r="K1416" s="111" t="s">
        <v>174</v>
      </c>
      <c r="L1416" s="111"/>
      <c r="M1416" s="111">
        <v>1.0</v>
      </c>
      <c r="N1416" s="111"/>
      <c r="O1416" s="111"/>
      <c r="P1416" s="111"/>
      <c r="Q1416" s="111"/>
      <c r="R1416" s="111"/>
      <c r="S1416" s="111"/>
      <c r="T1416" s="111"/>
      <c r="U1416" s="111"/>
      <c r="V1416" s="111"/>
      <c r="W1416" s="111"/>
      <c r="X1416" s="111"/>
      <c r="Y1416" s="111"/>
      <c r="Z1416" s="111" t="s">
        <v>14274</v>
      </c>
      <c r="AA1416" s="124"/>
      <c r="AB1416" s="125">
        <f t="shared" si="276"/>
        <v>127032.4969</v>
      </c>
      <c r="AC1416" s="126">
        <f>(800-250)*3/17/0.98</f>
        <v>99.03961585</v>
      </c>
      <c r="AD1416" s="125"/>
      <c r="AE1416" s="125">
        <f t="shared" si="263"/>
        <v>0</v>
      </c>
      <c r="AF1416" s="127" t="s">
        <v>14273</v>
      </c>
      <c r="AG1416" s="127">
        <v>-20.7372486779086</v>
      </c>
      <c r="AH1416" s="127">
        <v>121.601851050426</v>
      </c>
      <c r="AI1416" s="115" t="s">
        <v>12378</v>
      </c>
      <c r="AJ1416" s="116">
        <v>0.9</v>
      </c>
      <c r="AK1416" s="117"/>
      <c r="AL1416" s="117"/>
      <c r="AM1416" s="117"/>
      <c r="AN1416" s="117"/>
      <c r="AO1416" s="117"/>
    </row>
    <row r="1417" ht="34.5" customHeight="1">
      <c r="A1417" s="111">
        <v>2040.0</v>
      </c>
      <c r="B1417" s="111" t="s">
        <v>9421</v>
      </c>
      <c r="C1417" s="111" t="s">
        <v>8021</v>
      </c>
      <c r="D1417" s="111">
        <v>2036.0</v>
      </c>
      <c r="E1417" s="111"/>
      <c r="F1417" s="111" t="s">
        <v>12399</v>
      </c>
      <c r="G1417" s="111" t="s">
        <v>12381</v>
      </c>
      <c r="H1417" s="111" t="s">
        <v>12230</v>
      </c>
      <c r="I1417" s="111" t="s">
        <v>12394</v>
      </c>
      <c r="J1417" s="111" t="s">
        <v>12295</v>
      </c>
      <c r="K1417" s="111" t="s">
        <v>12481</v>
      </c>
      <c r="L1417" s="111"/>
      <c r="M1417" s="111">
        <v>1.0</v>
      </c>
      <c r="N1417" s="111"/>
      <c r="O1417" s="111"/>
      <c r="P1417" s="111"/>
      <c r="Q1417" s="111"/>
      <c r="R1417" s="111"/>
      <c r="S1417" s="111"/>
      <c r="T1417" s="111"/>
      <c r="U1417" s="111"/>
      <c r="V1417" s="111"/>
      <c r="W1417" s="111"/>
      <c r="X1417" s="111"/>
      <c r="Y1417" s="111"/>
      <c r="Z1417" s="111" t="s">
        <v>14275</v>
      </c>
      <c r="AA1417" s="124">
        <v>14000.0</v>
      </c>
      <c r="AB1417" s="125">
        <f>IF(Projects!$AI1417="Electrolysis",
AA1417/VLOOKUP(G1417,ElectrolysisConvF,3,FALSE),
AC1417*10^6/(H2dens*HoursInYear))</f>
        <v>3111111.111</v>
      </c>
      <c r="AC1417" s="125">
        <f t="shared" ref="AC1417:AC1418" si="277">AB1417*H2dens*HoursInYear/10^6</f>
        <v>2425.546667</v>
      </c>
      <c r="AD1417" s="125"/>
      <c r="AE1417" s="125">
        <f>AB1417</f>
        <v>3111111.111</v>
      </c>
      <c r="AF1417" s="127" t="s">
        <v>14276</v>
      </c>
      <c r="AG1417" s="127">
        <v>-20.317253</v>
      </c>
      <c r="AH1417" s="127">
        <v>121.042081</v>
      </c>
      <c r="AI1417" s="115" t="s">
        <v>12383</v>
      </c>
      <c r="AJ1417" s="116">
        <v>0.5</v>
      </c>
      <c r="AK1417" s="117"/>
      <c r="AL1417" s="117"/>
      <c r="AM1417" s="117"/>
      <c r="AN1417" s="117"/>
      <c r="AO1417" s="117"/>
    </row>
    <row r="1418" ht="34.5" customHeight="1">
      <c r="A1418" s="111">
        <v>2041.0</v>
      </c>
      <c r="B1418" s="111" t="s">
        <v>9422</v>
      </c>
      <c r="C1418" s="111" t="s">
        <v>8590</v>
      </c>
      <c r="D1418" s="111"/>
      <c r="E1418" s="111"/>
      <c r="F1418" s="111" t="s">
        <v>12397</v>
      </c>
      <c r="G1418" s="111" t="s">
        <v>12381</v>
      </c>
      <c r="H1418" s="111" t="s">
        <v>12230</v>
      </c>
      <c r="I1418" s="111" t="s">
        <v>12394</v>
      </c>
      <c r="J1418" s="111" t="s">
        <v>12295</v>
      </c>
      <c r="K1418" s="111" t="s">
        <v>30</v>
      </c>
      <c r="L1418" s="111">
        <v>1.0</v>
      </c>
      <c r="M1418" s="111"/>
      <c r="N1418" s="111"/>
      <c r="O1418" s="111"/>
      <c r="P1418" s="111">
        <v>1.0</v>
      </c>
      <c r="Q1418" s="111"/>
      <c r="R1418" s="111"/>
      <c r="S1418" s="111"/>
      <c r="T1418" s="111"/>
      <c r="U1418" s="111"/>
      <c r="V1418" s="111"/>
      <c r="W1418" s="111"/>
      <c r="X1418" s="111"/>
      <c r="Y1418" s="111"/>
      <c r="Z1418" s="111" t="s">
        <v>14277</v>
      </c>
      <c r="AA1418" s="124">
        <v>5400.0</v>
      </c>
      <c r="AB1418" s="125">
        <f>IF(Projects!$AI1418="Electrolysis",
AA1418/VLOOKUP(G1418,ElectrolysisConvF,3,FALSE),
AC1418*10^6/(H2dens*HoursInYear))</f>
        <v>1200000</v>
      </c>
      <c r="AC1418" s="126">
        <f t="shared" si="277"/>
        <v>935.568</v>
      </c>
      <c r="AD1418" s="125"/>
      <c r="AE1418" s="125">
        <f t="shared" ref="AE1418:AE1429" si="278">IF(AND(G1418&lt;&gt;"NG w CCUS",G1418&lt;&gt;"Oil w CCUS",G1418&lt;&gt;"Coal w CCUS"),AB1418,AD1418*10^3/(HoursInYear*IF(G1418="NG w CCUS",0.9105,1.9075)))</f>
        <v>1200000</v>
      </c>
      <c r="AF1418" s="127" t="s">
        <v>14278</v>
      </c>
      <c r="AG1418" s="127">
        <v>-12.7342961435807</v>
      </c>
      <c r="AH1418" s="127">
        <v>-38.4379374174864</v>
      </c>
      <c r="AI1418" s="115" t="s">
        <v>12383</v>
      </c>
      <c r="AJ1418" s="116">
        <v>0.5</v>
      </c>
      <c r="AK1418" s="117"/>
      <c r="AL1418" s="117"/>
      <c r="AM1418" s="117"/>
      <c r="AN1418" s="117"/>
      <c r="AO1418" s="117"/>
    </row>
    <row r="1419" ht="34.5" customHeight="1">
      <c r="A1419" s="111">
        <v>2043.0</v>
      </c>
      <c r="B1419" s="111" t="s">
        <v>9423</v>
      </c>
      <c r="C1419" s="111" t="s">
        <v>7967</v>
      </c>
      <c r="D1419" s="111">
        <v>2027.0</v>
      </c>
      <c r="E1419" s="111"/>
      <c r="F1419" s="111" t="s">
        <v>12397</v>
      </c>
      <c r="G1419" s="111" t="s">
        <v>12381</v>
      </c>
      <c r="H1419" s="111" t="s">
        <v>12230</v>
      </c>
      <c r="I1419" s="111" t="s">
        <v>12394</v>
      </c>
      <c r="J1419" s="111" t="s">
        <v>12296</v>
      </c>
      <c r="K1419" s="111" t="s">
        <v>12251</v>
      </c>
      <c r="L1419" s="111"/>
      <c r="M1419" s="111"/>
      <c r="N1419" s="111"/>
      <c r="O1419" s="111"/>
      <c r="P1419" s="111"/>
      <c r="Q1419" s="111"/>
      <c r="R1419" s="111"/>
      <c r="S1419" s="111"/>
      <c r="T1419" s="111"/>
      <c r="U1419" s="111"/>
      <c r="V1419" s="111"/>
      <c r="W1419" s="111">
        <v>1.0</v>
      </c>
      <c r="X1419" s="111"/>
      <c r="Y1419" s="111"/>
      <c r="Z1419" s="111" t="s">
        <v>14279</v>
      </c>
      <c r="AA1419" s="124"/>
      <c r="AB1419" s="125"/>
      <c r="AC1419" s="125"/>
      <c r="AD1419" s="125"/>
      <c r="AE1419" s="125" t="str">
        <f t="shared" si="278"/>
        <v/>
      </c>
      <c r="AF1419" s="127" t="s">
        <v>14280</v>
      </c>
      <c r="AG1419" s="127">
        <v>52.3661016838894</v>
      </c>
      <c r="AH1419" s="127">
        <v>5.03477403347359</v>
      </c>
      <c r="AI1419" s="115" t="s">
        <v>12383</v>
      </c>
      <c r="AJ1419" s="116">
        <v>0.5</v>
      </c>
      <c r="AK1419" s="117"/>
      <c r="AL1419" s="117"/>
      <c r="AM1419" s="117"/>
      <c r="AN1419" s="117"/>
      <c r="AO1419" s="117"/>
    </row>
    <row r="1420" ht="34.5" customHeight="1">
      <c r="A1420" s="111">
        <v>2044.0</v>
      </c>
      <c r="B1420" s="111" t="s">
        <v>9424</v>
      </c>
      <c r="C1420" s="111" t="s">
        <v>8003</v>
      </c>
      <c r="D1420" s="111">
        <v>2026.0</v>
      </c>
      <c r="E1420" s="111"/>
      <c r="F1420" s="111" t="s">
        <v>12399</v>
      </c>
      <c r="G1420" s="111" t="s">
        <v>12226</v>
      </c>
      <c r="H1420" s="111"/>
      <c r="I1420" s="111" t="s">
        <v>12394</v>
      </c>
      <c r="J1420" s="111" t="s">
        <v>12292</v>
      </c>
      <c r="K1420" s="111" t="s">
        <v>30</v>
      </c>
      <c r="L1420" s="111"/>
      <c r="M1420" s="111"/>
      <c r="N1420" s="111"/>
      <c r="O1420" s="111"/>
      <c r="P1420" s="111"/>
      <c r="Q1420" s="111"/>
      <c r="R1420" s="111"/>
      <c r="S1420" s="111"/>
      <c r="T1420" s="111"/>
      <c r="U1420" s="111"/>
      <c r="V1420" s="111"/>
      <c r="W1420" s="111"/>
      <c r="X1420" s="111"/>
      <c r="Y1420" s="111"/>
      <c r="Z1420" s="111" t="s">
        <v>13693</v>
      </c>
      <c r="AA1420" s="126">
        <f>IF(Projects!$AI1420="Electrolysis",
AB1420*VLOOKUP(G1420,ElectrolysisConvF,3,FALSE),
"")</f>
        <v>2552.198346</v>
      </c>
      <c r="AB1420" s="125">
        <f>AC1420/(H2dens*HoursInYear/10^6)</f>
        <v>490807.3742</v>
      </c>
      <c r="AC1420" s="125">
        <f>(850*3/17/0.98)/Projects!$AJ1420</f>
        <v>382.6530612</v>
      </c>
      <c r="AD1420" s="125"/>
      <c r="AE1420" s="125">
        <f t="shared" si="278"/>
        <v>490807.3742</v>
      </c>
      <c r="AF1420" s="127" t="s">
        <v>14281</v>
      </c>
      <c r="AG1420" s="127">
        <v>45.583347</v>
      </c>
      <c r="AH1420" s="127">
        <v>-61.339879</v>
      </c>
      <c r="AI1420" s="115" t="s">
        <v>12383</v>
      </c>
      <c r="AJ1420" s="116">
        <v>0.4</v>
      </c>
      <c r="AK1420" s="144"/>
      <c r="AL1420" s="144"/>
      <c r="AM1420" s="144"/>
      <c r="AN1420" s="144"/>
      <c r="AO1420" s="144"/>
    </row>
    <row r="1421" ht="34.5" customHeight="1">
      <c r="A1421" s="111">
        <v>2047.0</v>
      </c>
      <c r="B1421" s="111" t="s">
        <v>9425</v>
      </c>
      <c r="C1421" s="111" t="s">
        <v>8578</v>
      </c>
      <c r="D1421" s="111"/>
      <c r="E1421" s="111"/>
      <c r="F1421" s="111" t="s">
        <v>12397</v>
      </c>
      <c r="G1421" s="111" t="s">
        <v>12381</v>
      </c>
      <c r="H1421" s="111" t="s">
        <v>12230</v>
      </c>
      <c r="I1421" s="111" t="s">
        <v>12419</v>
      </c>
      <c r="J1421" s="111"/>
      <c r="K1421" s="111" t="s">
        <v>30</v>
      </c>
      <c r="L1421" s="111"/>
      <c r="M1421" s="111"/>
      <c r="N1421" s="111"/>
      <c r="O1421" s="111"/>
      <c r="P1421" s="111">
        <v>1.0</v>
      </c>
      <c r="Q1421" s="111"/>
      <c r="R1421" s="111"/>
      <c r="S1421" s="111"/>
      <c r="T1421" s="111"/>
      <c r="U1421" s="111"/>
      <c r="V1421" s="111"/>
      <c r="W1421" s="111"/>
      <c r="X1421" s="111"/>
      <c r="Y1421" s="111"/>
      <c r="Z1421" s="111" t="s">
        <v>14282</v>
      </c>
      <c r="AA1421" s="124">
        <v>5000.0</v>
      </c>
      <c r="AB1421" s="125">
        <f>IF(Projects!$AI1421="Electrolysis",
AA1421/VLOOKUP(G1421,ElectrolysisConvF,3,FALSE),
AC1421*10^6/(H2dens*HoursInYear))</f>
        <v>1111111.111</v>
      </c>
      <c r="AC1421" s="126">
        <f t="shared" ref="AC1421:AC1422" si="279">AB1421*H2dens*HoursInYear/10^6</f>
        <v>866.2666667</v>
      </c>
      <c r="AD1421" s="125"/>
      <c r="AE1421" s="125">
        <f t="shared" si="278"/>
        <v>1111111.111</v>
      </c>
      <c r="AF1421" s="127" t="s">
        <v>14283</v>
      </c>
      <c r="AG1421" s="127">
        <v>-5.94891905006924</v>
      </c>
      <c r="AH1421" s="127">
        <v>106.018577707793</v>
      </c>
      <c r="AI1421" s="115" t="s">
        <v>12383</v>
      </c>
      <c r="AJ1421" s="116">
        <v>0.57</v>
      </c>
      <c r="AK1421" s="117"/>
      <c r="AL1421" s="117"/>
      <c r="AM1421" s="117"/>
      <c r="AN1421" s="117"/>
      <c r="AO1421" s="117"/>
    </row>
    <row r="1422" ht="34.5" customHeight="1">
      <c r="A1422" s="111">
        <v>2048.0</v>
      </c>
      <c r="B1422" s="111" t="s">
        <v>9426</v>
      </c>
      <c r="C1422" s="111" t="s">
        <v>8071</v>
      </c>
      <c r="D1422" s="111">
        <v>2024.0</v>
      </c>
      <c r="E1422" s="111"/>
      <c r="F1422" s="111" t="s">
        <v>12399</v>
      </c>
      <c r="G1422" s="111" t="s">
        <v>12381</v>
      </c>
      <c r="H1422" s="111" t="s">
        <v>12230</v>
      </c>
      <c r="I1422" s="111" t="s">
        <v>12394</v>
      </c>
      <c r="J1422" s="111" t="s">
        <v>12291</v>
      </c>
      <c r="K1422" s="111" t="s">
        <v>30</v>
      </c>
      <c r="L1422" s="111"/>
      <c r="M1422" s="111"/>
      <c r="N1422" s="111"/>
      <c r="O1422" s="111"/>
      <c r="P1422" s="111"/>
      <c r="Q1422" s="111">
        <v>1.0</v>
      </c>
      <c r="R1422" s="111"/>
      <c r="S1422" s="111"/>
      <c r="T1422" s="111"/>
      <c r="U1422" s="111"/>
      <c r="V1422" s="111"/>
      <c r="W1422" s="111"/>
      <c r="X1422" s="111"/>
      <c r="Y1422" s="111"/>
      <c r="Z1422" s="111" t="s">
        <v>14284</v>
      </c>
      <c r="AA1422" s="124">
        <v>3.0</v>
      </c>
      <c r="AB1422" s="125">
        <f>IF(Projects!$AI1422="Electrolysis",
AA1422/VLOOKUP(G1422,ElectrolysisConvF,3,FALSE),
AC1422*10^6/(H2dens*HoursInYear))</f>
        <v>666.6666667</v>
      </c>
      <c r="AC1422" s="126">
        <f t="shared" si="279"/>
        <v>0.51976</v>
      </c>
      <c r="AD1422" s="125"/>
      <c r="AE1422" s="125">
        <f t="shared" si="278"/>
        <v>666.6666667</v>
      </c>
      <c r="AF1422" s="127" t="s">
        <v>14285</v>
      </c>
      <c r="AG1422" s="127">
        <v>-23.099429662471</v>
      </c>
      <c r="AH1422" s="127">
        <v>-70.4497590669984</v>
      </c>
      <c r="AI1422" s="115" t="s">
        <v>12383</v>
      </c>
      <c r="AJ1422" s="116">
        <v>0.3</v>
      </c>
      <c r="AK1422" s="117"/>
      <c r="AL1422" s="117"/>
      <c r="AM1422" s="117"/>
      <c r="AN1422" s="117"/>
      <c r="AO1422" s="117"/>
    </row>
    <row r="1423" ht="34.5" customHeight="1">
      <c r="A1423" s="111">
        <v>2049.0</v>
      </c>
      <c r="B1423" s="111" t="s">
        <v>9427</v>
      </c>
      <c r="C1423" s="111" t="s">
        <v>7981</v>
      </c>
      <c r="D1423" s="111">
        <v>2027.0</v>
      </c>
      <c r="E1423" s="111"/>
      <c r="F1423" s="111" t="s">
        <v>12397</v>
      </c>
      <c r="G1423" s="111" t="s">
        <v>12226</v>
      </c>
      <c r="H1423" s="111"/>
      <c r="I1423" s="111" t="s">
        <v>12394</v>
      </c>
      <c r="J1423" s="111" t="s">
        <v>12295</v>
      </c>
      <c r="K1423" s="111" t="s">
        <v>30</v>
      </c>
      <c r="L1423" s="111"/>
      <c r="M1423" s="111"/>
      <c r="N1423" s="111"/>
      <c r="O1423" s="111"/>
      <c r="P1423" s="111">
        <v>1.0</v>
      </c>
      <c r="Q1423" s="111">
        <v>1.0</v>
      </c>
      <c r="R1423" s="111"/>
      <c r="S1423" s="111"/>
      <c r="T1423" s="111"/>
      <c r="U1423" s="111"/>
      <c r="V1423" s="111"/>
      <c r="W1423" s="111"/>
      <c r="X1423" s="111"/>
      <c r="Y1423" s="111"/>
      <c r="Z1423" s="111" t="s">
        <v>14286</v>
      </c>
      <c r="AA1423" s="126">
        <f>IF(Projects!$AI1423="Electrolysis",
AB1423*VLOOKUP(G1423,ElectrolysisConvF,3,FALSE),
"")</f>
        <v>973.7827715</v>
      </c>
      <c r="AB1423" s="125">
        <f>AC1423/(H2dens*HoursInYear/10^6)</f>
        <v>187265.9176</v>
      </c>
      <c r="AC1423" s="129">
        <f>((200/10^3)*365)/Projects!$AJ1423</f>
        <v>146</v>
      </c>
      <c r="AD1423" s="125"/>
      <c r="AE1423" s="125">
        <f t="shared" si="278"/>
        <v>187265.9176</v>
      </c>
      <c r="AF1423" s="127" t="s">
        <v>14287</v>
      </c>
      <c r="AG1423" s="127">
        <v>34.0686614893204</v>
      </c>
      <c r="AH1423" s="127">
        <v>-99.2304890249429</v>
      </c>
      <c r="AI1423" s="115" t="s">
        <v>12383</v>
      </c>
      <c r="AJ1423" s="116">
        <v>0.5</v>
      </c>
      <c r="AK1423" s="117"/>
      <c r="AL1423" s="117"/>
      <c r="AM1423" s="117"/>
      <c r="AN1423" s="117"/>
      <c r="AO1423" s="117"/>
    </row>
    <row r="1424" ht="34.5" customHeight="1">
      <c r="A1424" s="111">
        <v>2050.0</v>
      </c>
      <c r="B1424" s="111" t="s">
        <v>9428</v>
      </c>
      <c r="C1424" s="111" t="s">
        <v>8021</v>
      </c>
      <c r="D1424" s="111">
        <v>2026.0</v>
      </c>
      <c r="E1424" s="111"/>
      <c r="F1424" s="111" t="s">
        <v>12393</v>
      </c>
      <c r="G1424" s="111" t="s">
        <v>12381</v>
      </c>
      <c r="H1424" s="111" t="s">
        <v>12230</v>
      </c>
      <c r="I1424" s="111" t="s">
        <v>12394</v>
      </c>
      <c r="J1424" s="111" t="s">
        <v>12296</v>
      </c>
      <c r="K1424" s="111" t="s">
        <v>30</v>
      </c>
      <c r="L1424" s="111"/>
      <c r="M1424" s="111"/>
      <c r="N1424" s="111"/>
      <c r="O1424" s="111"/>
      <c r="P1424" s="111"/>
      <c r="Q1424" s="111"/>
      <c r="R1424" s="111">
        <v>1.0</v>
      </c>
      <c r="S1424" s="111"/>
      <c r="T1424" s="111"/>
      <c r="U1424" s="111"/>
      <c r="V1424" s="111"/>
      <c r="W1424" s="111"/>
      <c r="X1424" s="111"/>
      <c r="Y1424" s="111"/>
      <c r="Z1424" s="111" t="s">
        <v>12756</v>
      </c>
      <c r="AA1424" s="124">
        <v>250.0</v>
      </c>
      <c r="AB1424" s="125">
        <f>IF(Projects!$AI1424="Electrolysis",
AA1424/VLOOKUP(G1424,ElectrolysisConvF,3,FALSE),
AC1424*10^6/(H2dens*HoursInYear))</f>
        <v>55555.55556</v>
      </c>
      <c r="AC1424" s="126">
        <f t="shared" ref="AC1424:AC1426" si="280">AB1424*H2dens*HoursInYear/10^6</f>
        <v>43.31333333</v>
      </c>
      <c r="AD1424" s="125"/>
      <c r="AE1424" s="125">
        <f t="shared" si="278"/>
        <v>55555.55556</v>
      </c>
      <c r="AF1424" s="127" t="s">
        <v>14288</v>
      </c>
      <c r="AG1424" s="127">
        <v>-33.0349314630449</v>
      </c>
      <c r="AH1424" s="127">
        <v>137.575582376382</v>
      </c>
      <c r="AI1424" s="115" t="s">
        <v>12383</v>
      </c>
      <c r="AJ1424" s="116">
        <v>0.5</v>
      </c>
      <c r="AK1424" s="117"/>
      <c r="AL1424" s="117"/>
      <c r="AM1424" s="117"/>
      <c r="AN1424" s="117"/>
      <c r="AO1424" s="117"/>
    </row>
    <row r="1425" ht="34.5" customHeight="1">
      <c r="A1425" s="111">
        <v>2051.0</v>
      </c>
      <c r="B1425" s="111" t="s">
        <v>9429</v>
      </c>
      <c r="C1425" s="111" t="s">
        <v>8021</v>
      </c>
      <c r="D1425" s="111">
        <v>2025.0</v>
      </c>
      <c r="E1425" s="111"/>
      <c r="F1425" s="111" t="s">
        <v>12399</v>
      </c>
      <c r="G1425" s="111" t="s">
        <v>12381</v>
      </c>
      <c r="H1425" s="111" t="s">
        <v>12230</v>
      </c>
      <c r="I1425" s="111" t="s">
        <v>12394</v>
      </c>
      <c r="J1425" s="111" t="s">
        <v>12291</v>
      </c>
      <c r="K1425" s="111" t="s">
        <v>30</v>
      </c>
      <c r="L1425" s="111"/>
      <c r="M1425" s="111"/>
      <c r="N1425" s="111"/>
      <c r="O1425" s="111"/>
      <c r="P1425" s="111"/>
      <c r="Q1425" s="111">
        <v>1.0</v>
      </c>
      <c r="R1425" s="111">
        <v>1.0</v>
      </c>
      <c r="S1425" s="111">
        <v>1.0</v>
      </c>
      <c r="T1425" s="111"/>
      <c r="U1425" s="111">
        <v>1.0</v>
      </c>
      <c r="V1425" s="111"/>
      <c r="W1425" s="111"/>
      <c r="X1425" s="111"/>
      <c r="Y1425" s="111"/>
      <c r="Z1425" s="111" t="s">
        <v>13966</v>
      </c>
      <c r="AA1425" s="124">
        <v>36.0</v>
      </c>
      <c r="AB1425" s="125">
        <f>IF(Projects!$AI1425="Electrolysis",
AA1425/VLOOKUP(G1425,ElectrolysisConvF,3,FALSE),
AC1425*10^6/(H2dens*HoursInYear))</f>
        <v>8000</v>
      </c>
      <c r="AC1425" s="126">
        <f t="shared" si="280"/>
        <v>6.23712</v>
      </c>
      <c r="AD1425" s="125"/>
      <c r="AE1425" s="125">
        <f t="shared" si="278"/>
        <v>8000</v>
      </c>
      <c r="AF1425" s="127" t="s">
        <v>14289</v>
      </c>
      <c r="AG1425" s="127">
        <v>-32.7840523352758</v>
      </c>
      <c r="AH1425" s="127">
        <v>115.88596711953</v>
      </c>
      <c r="AI1425" s="115" t="s">
        <v>12383</v>
      </c>
      <c r="AJ1425" s="116">
        <v>0.3</v>
      </c>
      <c r="AK1425" s="117"/>
      <c r="AL1425" s="117"/>
      <c r="AM1425" s="117"/>
      <c r="AN1425" s="117"/>
      <c r="AO1425" s="117"/>
    </row>
    <row r="1426" ht="34.5" customHeight="1">
      <c r="A1426" s="111">
        <v>2052.0</v>
      </c>
      <c r="B1426" s="111" t="s">
        <v>9430</v>
      </c>
      <c r="C1426" s="111" t="s">
        <v>7981</v>
      </c>
      <c r="D1426" s="111">
        <v>2024.0</v>
      </c>
      <c r="E1426" s="111"/>
      <c r="F1426" s="111" t="s">
        <v>12418</v>
      </c>
      <c r="G1426" s="111" t="s">
        <v>12228</v>
      </c>
      <c r="H1426" s="111"/>
      <c r="I1426" s="111" t="s">
        <v>12288</v>
      </c>
      <c r="J1426" s="111"/>
      <c r="K1426" s="111" t="s">
        <v>30</v>
      </c>
      <c r="L1426" s="111"/>
      <c r="M1426" s="111"/>
      <c r="N1426" s="111"/>
      <c r="O1426" s="111"/>
      <c r="P1426" s="111"/>
      <c r="Q1426" s="111"/>
      <c r="R1426" s="111"/>
      <c r="S1426" s="111"/>
      <c r="T1426" s="111"/>
      <c r="U1426" s="111"/>
      <c r="V1426" s="111"/>
      <c r="W1426" s="111"/>
      <c r="X1426" s="111"/>
      <c r="Y1426" s="111"/>
      <c r="Z1426" s="111" t="s">
        <v>14290</v>
      </c>
      <c r="AA1426" s="124">
        <f>240/1000</f>
        <v>0.24</v>
      </c>
      <c r="AB1426" s="125">
        <f>IF(Projects!$AI1426="Electrolysis",
AA1426/VLOOKUP(G1426,ElectrolysisConvF,3,FALSE),
AC1426*10^6/(H2dens*HoursInYear))</f>
        <v>63.15789474</v>
      </c>
      <c r="AC1426" s="126">
        <f t="shared" si="280"/>
        <v>0.04924042105</v>
      </c>
      <c r="AD1426" s="125"/>
      <c r="AE1426" s="125">
        <f t="shared" si="278"/>
        <v>63.15789474</v>
      </c>
      <c r="AF1426" s="127" t="s">
        <v>14291</v>
      </c>
      <c r="AG1426" s="127">
        <v>44.5695213399711</v>
      </c>
      <c r="AH1426" s="127">
        <v>-92.7381030681496</v>
      </c>
      <c r="AI1426" s="115" t="s">
        <v>12383</v>
      </c>
      <c r="AJ1426" s="116">
        <v>0.8</v>
      </c>
      <c r="AK1426" s="117"/>
      <c r="AL1426" s="117"/>
      <c r="AM1426" s="117"/>
      <c r="AN1426" s="117"/>
      <c r="AO1426" s="117"/>
    </row>
    <row r="1427" ht="34.5" customHeight="1">
      <c r="A1427" s="111">
        <v>2053.0</v>
      </c>
      <c r="B1427" s="111" t="s">
        <v>9431</v>
      </c>
      <c r="C1427" s="111" t="s">
        <v>8590</v>
      </c>
      <c r="D1427" s="111">
        <v>2026.0</v>
      </c>
      <c r="E1427" s="111"/>
      <c r="F1427" s="111" t="s">
        <v>12399</v>
      </c>
      <c r="G1427" s="111" t="s">
        <v>12381</v>
      </c>
      <c r="H1427" s="111" t="s">
        <v>12230</v>
      </c>
      <c r="I1427" s="111" t="s">
        <v>12394</v>
      </c>
      <c r="J1427" s="111" t="s">
        <v>12291</v>
      </c>
      <c r="K1427" s="111" t="s">
        <v>30</v>
      </c>
      <c r="L1427" s="111"/>
      <c r="M1427" s="111"/>
      <c r="N1427" s="111"/>
      <c r="O1427" s="111"/>
      <c r="P1427" s="111">
        <v>1.0</v>
      </c>
      <c r="Q1427" s="111"/>
      <c r="R1427" s="111"/>
      <c r="S1427" s="111"/>
      <c r="T1427" s="111"/>
      <c r="U1427" s="111"/>
      <c r="V1427" s="111"/>
      <c r="W1427" s="111"/>
      <c r="X1427" s="111"/>
      <c r="Y1427" s="111"/>
      <c r="Z1427" s="111" t="s">
        <v>14292</v>
      </c>
      <c r="AA1427" s="126">
        <f>IF(Projects!$AI1427="Electrolysis",
AB1427*VLOOKUP(G1427,ElectrolysisConvF,3,FALSE),
"")</f>
        <v>3.498474963</v>
      </c>
      <c r="AB1427" s="125">
        <f>AC1427/(H2dens*HoursInYear/10^6)</f>
        <v>777.4388807</v>
      </c>
      <c r="AC1427" s="125">
        <f>0.3+1.7*3/17/0.98</f>
        <v>0.606122449</v>
      </c>
      <c r="AD1427" s="125"/>
      <c r="AE1427" s="125">
        <f t="shared" si="278"/>
        <v>777.4388807</v>
      </c>
      <c r="AF1427" s="127" t="s">
        <v>14293</v>
      </c>
      <c r="AG1427" s="127">
        <v>-20.3103759796894</v>
      </c>
      <c r="AH1427" s="127">
        <v>-40.2924451201083</v>
      </c>
      <c r="AI1427" s="115" t="s">
        <v>12383</v>
      </c>
      <c r="AJ1427" s="116">
        <v>0.3</v>
      </c>
      <c r="AK1427" s="117"/>
      <c r="AL1427" s="117"/>
      <c r="AM1427" s="117"/>
      <c r="AN1427" s="117"/>
      <c r="AO1427" s="117"/>
    </row>
    <row r="1428" ht="34.5" customHeight="1">
      <c r="A1428" s="111">
        <v>2054.0</v>
      </c>
      <c r="B1428" s="111" t="s">
        <v>9432</v>
      </c>
      <c r="C1428" s="111" t="s">
        <v>8590</v>
      </c>
      <c r="D1428" s="111">
        <v>2027.0</v>
      </c>
      <c r="E1428" s="111"/>
      <c r="F1428" s="111" t="s">
        <v>12397</v>
      </c>
      <c r="G1428" s="111" t="s">
        <v>12381</v>
      </c>
      <c r="H1428" s="111" t="s">
        <v>12230</v>
      </c>
      <c r="I1428" s="111" t="s">
        <v>12394</v>
      </c>
      <c r="J1428" s="111" t="s">
        <v>12296</v>
      </c>
      <c r="K1428" s="111" t="s">
        <v>174</v>
      </c>
      <c r="L1428" s="111"/>
      <c r="M1428" s="111">
        <v>1.0</v>
      </c>
      <c r="N1428" s="111"/>
      <c r="O1428" s="111"/>
      <c r="P1428" s="111"/>
      <c r="Q1428" s="111"/>
      <c r="R1428" s="111"/>
      <c r="S1428" s="111"/>
      <c r="T1428" s="111"/>
      <c r="U1428" s="111"/>
      <c r="V1428" s="111"/>
      <c r="W1428" s="111"/>
      <c r="X1428" s="111"/>
      <c r="Y1428" s="111"/>
      <c r="Z1428" s="111" t="s">
        <v>13102</v>
      </c>
      <c r="AA1428" s="124">
        <f>600-240</f>
        <v>360</v>
      </c>
      <c r="AB1428" s="125">
        <f>IF(Projects!$AI1428="Electrolysis",
AA1428/VLOOKUP(G1428,ElectrolysisConvF,3,FALSE),
AC1428*10^6/(H2dens*HoursInYear))</f>
        <v>80000</v>
      </c>
      <c r="AC1428" s="126">
        <f>AB1428*H2dens*HoursInYear/10^6</f>
        <v>62.3712</v>
      </c>
      <c r="AD1428" s="125"/>
      <c r="AE1428" s="125">
        <f t="shared" si="278"/>
        <v>80000</v>
      </c>
      <c r="AF1428" s="127" t="s">
        <v>14294</v>
      </c>
      <c r="AG1428" s="127">
        <v>-12.6899679586959</v>
      </c>
      <c r="AH1428" s="127">
        <v>-38.3179958243556</v>
      </c>
      <c r="AI1428" s="115" t="s">
        <v>12383</v>
      </c>
      <c r="AJ1428" s="116">
        <v>0.5</v>
      </c>
      <c r="AK1428" s="117"/>
      <c r="AL1428" s="117"/>
      <c r="AM1428" s="117"/>
      <c r="AN1428" s="117"/>
      <c r="AO1428" s="117"/>
    </row>
    <row r="1429" ht="34.5" customHeight="1">
      <c r="A1429" s="111">
        <v>2055.0</v>
      </c>
      <c r="B1429" s="111" t="s">
        <v>9433</v>
      </c>
      <c r="C1429" s="111" t="s">
        <v>8003</v>
      </c>
      <c r="D1429" s="111">
        <v>2028.0</v>
      </c>
      <c r="E1429" s="111"/>
      <c r="F1429" s="111" t="s">
        <v>12399</v>
      </c>
      <c r="G1429" s="111" t="s">
        <v>12235</v>
      </c>
      <c r="H1429" s="111" t="s">
        <v>13160</v>
      </c>
      <c r="I1429" s="111"/>
      <c r="J1429" s="111"/>
      <c r="K1429" s="111" t="s">
        <v>174</v>
      </c>
      <c r="L1429" s="111"/>
      <c r="M1429" s="111">
        <v>1.0</v>
      </c>
      <c r="N1429" s="111"/>
      <c r="O1429" s="111"/>
      <c r="P1429" s="111"/>
      <c r="Q1429" s="111"/>
      <c r="R1429" s="111"/>
      <c r="S1429" s="111"/>
      <c r="T1429" s="111"/>
      <c r="U1429" s="111"/>
      <c r="V1429" s="111"/>
      <c r="W1429" s="111"/>
      <c r="X1429" s="111"/>
      <c r="Y1429" s="111"/>
      <c r="Z1429" s="111" t="s">
        <v>13568</v>
      </c>
      <c r="AA1429" s="124"/>
      <c r="AB1429" s="125">
        <f>IF(Projects!$AI1429="Electrolysis",
AA1429/VLOOKUP(G1429,ElectrolysisConvF,3,FALSE),
AC1429*10^6/(H2dens*HoursInYear))</f>
        <v>230968.1761</v>
      </c>
      <c r="AC1429" s="125">
        <f>1000*3/17/0.98</f>
        <v>180.0720288</v>
      </c>
      <c r="AD1429" s="125"/>
      <c r="AE1429" s="125">
        <f t="shared" si="278"/>
        <v>0</v>
      </c>
      <c r="AF1429" s="127" t="s">
        <v>14295</v>
      </c>
      <c r="AG1429" s="127">
        <v>53.8313477558839</v>
      </c>
      <c r="AH1429" s="127">
        <v>-112.971247379397</v>
      </c>
      <c r="AI1429" s="115" t="s">
        <v>12378</v>
      </c>
      <c r="AJ1429" s="116">
        <v>0.9</v>
      </c>
      <c r="AK1429" s="117"/>
      <c r="AL1429" s="117"/>
      <c r="AM1429" s="117"/>
      <c r="AN1429" s="117"/>
      <c r="AO1429" s="117"/>
    </row>
    <row r="1430" ht="34.5" customHeight="1">
      <c r="A1430" s="111">
        <v>2056.0</v>
      </c>
      <c r="B1430" s="127" t="s">
        <v>9434</v>
      </c>
      <c r="C1430" s="111" t="s">
        <v>7977</v>
      </c>
      <c r="D1430" s="111">
        <v>2030.0</v>
      </c>
      <c r="E1430" s="111"/>
      <c r="F1430" s="111" t="s">
        <v>12397</v>
      </c>
      <c r="G1430" s="111" t="s">
        <v>12381</v>
      </c>
      <c r="H1430" s="111" t="s">
        <v>12230</v>
      </c>
      <c r="I1430" s="111" t="s">
        <v>12287</v>
      </c>
      <c r="J1430" s="111" t="s">
        <v>12296</v>
      </c>
      <c r="K1430" s="111" t="s">
        <v>12481</v>
      </c>
      <c r="L1430" s="111">
        <v>1.0</v>
      </c>
      <c r="M1430" s="111"/>
      <c r="N1430" s="111"/>
      <c r="O1430" s="111"/>
      <c r="P1430" s="111">
        <v>1.0</v>
      </c>
      <c r="Q1430" s="111">
        <v>1.0</v>
      </c>
      <c r="R1430" s="111"/>
      <c r="S1430" s="111"/>
      <c r="T1430" s="111"/>
      <c r="U1430" s="111"/>
      <c r="V1430" s="111">
        <v>1.0</v>
      </c>
      <c r="W1430" s="111">
        <v>1.0</v>
      </c>
      <c r="X1430" s="111"/>
      <c r="Y1430" s="111"/>
      <c r="Z1430" s="111" t="s">
        <v>14296</v>
      </c>
      <c r="AA1430" s="124">
        <v>400.0</v>
      </c>
      <c r="AB1430" s="125">
        <f>IF(Projects!$AI1430="Electrolysis",
AA1430/VLOOKUP(G1430,ElectrolysisConvF,3,FALSE),
AC1430*10^6/(H2dens*HoursInYear))</f>
        <v>88888.88889</v>
      </c>
      <c r="AC1430" s="126">
        <f t="shared" ref="AC1430:AC1439" si="281">AB1430*H2dens*HoursInYear/10^6</f>
        <v>69.30133333</v>
      </c>
      <c r="AD1430" s="125"/>
      <c r="AE1430" s="125"/>
      <c r="AF1430" s="127" t="s">
        <v>14297</v>
      </c>
      <c r="AG1430" s="127">
        <v>37.2619638810127</v>
      </c>
      <c r="AH1430" s="127">
        <v>-6.94128464616816</v>
      </c>
      <c r="AI1430" s="115" t="s">
        <v>12383</v>
      </c>
      <c r="AJ1430" s="116">
        <v>0.57</v>
      </c>
      <c r="AK1430" s="117"/>
      <c r="AL1430" s="117"/>
      <c r="AM1430" s="117"/>
      <c r="AN1430" s="117"/>
      <c r="AO1430" s="117"/>
    </row>
    <row r="1431" ht="34.5" customHeight="1">
      <c r="A1431" s="111">
        <v>2057.0</v>
      </c>
      <c r="B1431" s="111" t="s">
        <v>9435</v>
      </c>
      <c r="C1431" s="111" t="s">
        <v>8021</v>
      </c>
      <c r="D1431" s="111"/>
      <c r="E1431" s="111"/>
      <c r="F1431" s="111" t="s">
        <v>12397</v>
      </c>
      <c r="G1431" s="111" t="s">
        <v>12381</v>
      </c>
      <c r="H1431" s="111" t="s">
        <v>12230</v>
      </c>
      <c r="I1431" s="111" t="s">
        <v>12287</v>
      </c>
      <c r="J1431" s="111" t="s">
        <v>12296</v>
      </c>
      <c r="K1431" s="111" t="s">
        <v>30</v>
      </c>
      <c r="L1431" s="111"/>
      <c r="M1431" s="111"/>
      <c r="N1431" s="111"/>
      <c r="O1431" s="111"/>
      <c r="P1431" s="111"/>
      <c r="Q1431" s="111"/>
      <c r="R1431" s="111"/>
      <c r="S1431" s="111"/>
      <c r="T1431" s="111"/>
      <c r="U1431" s="111"/>
      <c r="V1431" s="111"/>
      <c r="W1431" s="111"/>
      <c r="X1431" s="111"/>
      <c r="Y1431" s="111"/>
      <c r="Z1431" s="111" t="s">
        <v>14298</v>
      </c>
      <c r="AA1431" s="124">
        <v>7000.0</v>
      </c>
      <c r="AB1431" s="125">
        <f>IF(Projects!$AI1431="Electrolysis",
AA1431/VLOOKUP(G1431,ElectrolysisConvF,3,FALSE),
AC1431*10^6/(H2dens*HoursInYear))</f>
        <v>1555555.556</v>
      </c>
      <c r="AC1431" s="126">
        <f t="shared" si="281"/>
        <v>1212.773333</v>
      </c>
      <c r="AD1431" s="125"/>
      <c r="AE1431" s="125">
        <f t="shared" ref="AE1431:AE1896" si="282">IF(AND(G1431&lt;&gt;"NG w CCUS",G1431&lt;&gt;"Oil w CCUS",G1431&lt;&gt;"Coal w CCUS"),AB1431,AD1431*10^3/(HoursInYear*IF(G1431="NG w CCUS",0.9105,1.9075)))</f>
        <v>1555555.556</v>
      </c>
      <c r="AF1431" s="127" t="s">
        <v>14299</v>
      </c>
      <c r="AG1431" s="127">
        <v>-32.3379048826763</v>
      </c>
      <c r="AH1431" s="127">
        <v>135.958139262761</v>
      </c>
      <c r="AI1431" s="115" t="s">
        <v>12383</v>
      </c>
      <c r="AJ1431" s="116">
        <v>0.57</v>
      </c>
      <c r="AK1431" s="117"/>
      <c r="AL1431" s="117"/>
      <c r="AM1431" s="117"/>
      <c r="AN1431" s="117"/>
      <c r="AO1431" s="117"/>
    </row>
    <row r="1432" ht="34.5" customHeight="1">
      <c r="A1432" s="111">
        <v>2058.0</v>
      </c>
      <c r="B1432" s="111" t="s">
        <v>9436</v>
      </c>
      <c r="C1432" s="111" t="s">
        <v>7987</v>
      </c>
      <c r="D1432" s="111">
        <v>2028.0</v>
      </c>
      <c r="E1432" s="111"/>
      <c r="F1432" s="111" t="s">
        <v>12397</v>
      </c>
      <c r="G1432" s="111" t="s">
        <v>12381</v>
      </c>
      <c r="H1432" s="111" t="s">
        <v>12230</v>
      </c>
      <c r="I1432" s="111" t="s">
        <v>12287</v>
      </c>
      <c r="J1432" s="111" t="s">
        <v>12296</v>
      </c>
      <c r="K1432" s="111" t="s">
        <v>30</v>
      </c>
      <c r="L1432" s="111"/>
      <c r="M1432" s="111"/>
      <c r="N1432" s="111"/>
      <c r="O1432" s="111"/>
      <c r="P1432" s="111"/>
      <c r="Q1432" s="111"/>
      <c r="R1432" s="111"/>
      <c r="S1432" s="111"/>
      <c r="T1432" s="111"/>
      <c r="U1432" s="111"/>
      <c r="V1432" s="111"/>
      <c r="W1432" s="111"/>
      <c r="X1432" s="111"/>
      <c r="Y1432" s="111"/>
      <c r="Z1432" s="111" t="s">
        <v>13069</v>
      </c>
      <c r="AA1432" s="124">
        <v>500.0</v>
      </c>
      <c r="AB1432" s="125">
        <f>IF(Projects!$AI1432="Electrolysis",
AA1432/VLOOKUP(G1432,ElectrolysisConvF,3,FALSE),
AC1432*10^6/(H2dens*HoursInYear))</f>
        <v>111111.1111</v>
      </c>
      <c r="AC1432" s="126">
        <f t="shared" si="281"/>
        <v>86.62666667</v>
      </c>
      <c r="AD1432" s="125"/>
      <c r="AE1432" s="125">
        <f t="shared" si="282"/>
        <v>111111.1111</v>
      </c>
      <c r="AF1432" s="127" t="s">
        <v>14300</v>
      </c>
      <c r="AG1432" s="127">
        <v>53.5295406441506</v>
      </c>
      <c r="AH1432" s="127">
        <v>8.12969320043866</v>
      </c>
      <c r="AI1432" s="115" t="s">
        <v>12383</v>
      </c>
      <c r="AJ1432" s="116">
        <v>0.57</v>
      </c>
      <c r="AK1432" s="117"/>
      <c r="AL1432" s="117"/>
      <c r="AM1432" s="117"/>
      <c r="AN1432" s="117"/>
      <c r="AO1432" s="117"/>
    </row>
    <row r="1433" ht="34.5" customHeight="1">
      <c r="A1433" s="111">
        <v>2059.0</v>
      </c>
      <c r="B1433" s="111" t="s">
        <v>9437</v>
      </c>
      <c r="C1433" s="111" t="s">
        <v>8562</v>
      </c>
      <c r="D1433" s="111">
        <v>2030.0</v>
      </c>
      <c r="E1433" s="111"/>
      <c r="F1433" s="111" t="s">
        <v>12399</v>
      </c>
      <c r="G1433" s="111" t="s">
        <v>12381</v>
      </c>
      <c r="H1433" s="111" t="s">
        <v>12230</v>
      </c>
      <c r="I1433" s="111" t="s">
        <v>12394</v>
      </c>
      <c r="J1433" s="111" t="s">
        <v>12296</v>
      </c>
      <c r="K1433" s="111" t="s">
        <v>174</v>
      </c>
      <c r="L1433" s="111"/>
      <c r="M1433" s="111"/>
      <c r="N1433" s="111"/>
      <c r="O1433" s="111"/>
      <c r="P1433" s="111"/>
      <c r="Q1433" s="111"/>
      <c r="R1433" s="111"/>
      <c r="S1433" s="111"/>
      <c r="T1433" s="111"/>
      <c r="U1433" s="111"/>
      <c r="V1433" s="111"/>
      <c r="W1433" s="111"/>
      <c r="X1433" s="111"/>
      <c r="Y1433" s="111"/>
      <c r="Z1433" s="111" t="s">
        <v>14301</v>
      </c>
      <c r="AA1433" s="124">
        <v>400.0</v>
      </c>
      <c r="AB1433" s="125">
        <f>IF(Projects!$AI1433="Electrolysis",
AA1433/VLOOKUP(G1433,ElectrolysisConvF,3,FALSE),
AC1433*10^6/(H2dens*HoursInYear))</f>
        <v>88888.88889</v>
      </c>
      <c r="AC1433" s="126">
        <f t="shared" si="281"/>
        <v>69.30133333</v>
      </c>
      <c r="AD1433" s="125"/>
      <c r="AE1433" s="125">
        <f t="shared" si="282"/>
        <v>88888.88889</v>
      </c>
      <c r="AF1433" s="127" t="s">
        <v>14302</v>
      </c>
      <c r="AG1433" s="127">
        <v>28.266656</v>
      </c>
      <c r="AH1433" s="127">
        <v>-10.716838</v>
      </c>
      <c r="AI1433" s="115" t="s">
        <v>12383</v>
      </c>
      <c r="AJ1433" s="116">
        <v>0.5</v>
      </c>
      <c r="AK1433" s="117"/>
      <c r="AL1433" s="117"/>
      <c r="AM1433" s="117"/>
      <c r="AN1433" s="117"/>
      <c r="AO1433" s="117"/>
    </row>
    <row r="1434" ht="34.5" customHeight="1">
      <c r="A1434" s="111">
        <v>2060.0</v>
      </c>
      <c r="B1434" s="111" t="s">
        <v>9438</v>
      </c>
      <c r="C1434" s="111" t="s">
        <v>8161</v>
      </c>
      <c r="D1434" s="111">
        <v>2029.0</v>
      </c>
      <c r="E1434" s="111"/>
      <c r="F1434" s="111" t="s">
        <v>12399</v>
      </c>
      <c r="G1434" s="111" t="s">
        <v>12224</v>
      </c>
      <c r="H1434" s="111"/>
      <c r="I1434" s="111" t="s">
        <v>12394</v>
      </c>
      <c r="J1434" s="111" t="s">
        <v>12296</v>
      </c>
      <c r="K1434" s="111" t="s">
        <v>12415</v>
      </c>
      <c r="L1434" s="111"/>
      <c r="M1434" s="111"/>
      <c r="N1434" s="111">
        <v>1.0</v>
      </c>
      <c r="O1434" s="111"/>
      <c r="P1434" s="111"/>
      <c r="Q1434" s="111"/>
      <c r="R1434" s="111"/>
      <c r="S1434" s="111"/>
      <c r="T1434" s="111"/>
      <c r="U1434" s="111"/>
      <c r="V1434" s="111"/>
      <c r="W1434" s="111"/>
      <c r="X1434" s="111"/>
      <c r="Y1434" s="111"/>
      <c r="Z1434" s="111" t="s">
        <v>14303</v>
      </c>
      <c r="AA1434" s="124">
        <v>500.0</v>
      </c>
      <c r="AB1434" s="125">
        <f>IF(Projects!$AI1434="Electrolysis",
AA1434/VLOOKUP(G1434,ElectrolysisConvF,3,FALSE),
AC1434*10^6/(H2dens*HoursInYear))</f>
        <v>108695.6522</v>
      </c>
      <c r="AC1434" s="126">
        <f t="shared" si="281"/>
        <v>84.74347826</v>
      </c>
      <c r="AD1434" s="125"/>
      <c r="AE1434" s="125">
        <f t="shared" si="282"/>
        <v>108695.6522</v>
      </c>
      <c r="AF1434" s="127" t="s">
        <v>14304</v>
      </c>
      <c r="AG1434" s="127">
        <v>40.64427</v>
      </c>
      <c r="AH1434" s="127">
        <v>-8.64554</v>
      </c>
      <c r="AI1434" s="115" t="s">
        <v>12383</v>
      </c>
      <c r="AJ1434" s="116">
        <v>0.5</v>
      </c>
      <c r="AK1434" s="117"/>
      <c r="AL1434" s="117"/>
      <c r="AM1434" s="117"/>
      <c r="AN1434" s="117"/>
      <c r="AO1434" s="117"/>
    </row>
    <row r="1435" ht="34.5" customHeight="1">
      <c r="A1435" s="111">
        <v>2061.0</v>
      </c>
      <c r="B1435" s="111" t="s">
        <v>9439</v>
      </c>
      <c r="C1435" s="111" t="s">
        <v>8413</v>
      </c>
      <c r="D1435" s="111">
        <v>2026.0</v>
      </c>
      <c r="E1435" s="111"/>
      <c r="F1435" s="111" t="s">
        <v>12399</v>
      </c>
      <c r="G1435" s="111" t="s">
        <v>12381</v>
      </c>
      <c r="H1435" s="111" t="s">
        <v>12230</v>
      </c>
      <c r="I1435" s="111" t="s">
        <v>12394</v>
      </c>
      <c r="J1435" s="111" t="s">
        <v>12295</v>
      </c>
      <c r="K1435" s="111" t="s">
        <v>12251</v>
      </c>
      <c r="L1435" s="111"/>
      <c r="M1435" s="111"/>
      <c r="N1435" s="111"/>
      <c r="O1435" s="111"/>
      <c r="P1435" s="111"/>
      <c r="Q1435" s="111"/>
      <c r="R1435" s="111"/>
      <c r="S1435" s="111"/>
      <c r="T1435" s="111"/>
      <c r="U1435" s="111"/>
      <c r="V1435" s="111"/>
      <c r="W1435" s="111">
        <v>1.0</v>
      </c>
      <c r="X1435" s="111"/>
      <c r="Y1435" s="111"/>
      <c r="Z1435" s="111" t="s">
        <v>12723</v>
      </c>
      <c r="AA1435" s="124">
        <v>1000.0</v>
      </c>
      <c r="AB1435" s="125">
        <f>IF(Projects!$AI1435="Electrolysis",
AA1435/VLOOKUP(G1435,ElectrolysisConvF,3,FALSE),
AC1435*10^6/(H2dens*HoursInYear))</f>
        <v>222222.2222</v>
      </c>
      <c r="AC1435" s="126">
        <f t="shared" si="281"/>
        <v>173.2533333</v>
      </c>
      <c r="AD1435" s="125"/>
      <c r="AE1435" s="125">
        <f t="shared" si="282"/>
        <v>222222.2222</v>
      </c>
      <c r="AF1435" s="127" t="s">
        <v>14305</v>
      </c>
      <c r="AG1435" s="127">
        <v>-32.3026802247784</v>
      </c>
      <c r="AH1435" s="127">
        <v>-58.0863669394904</v>
      </c>
      <c r="AI1435" s="115" t="s">
        <v>12383</v>
      </c>
      <c r="AJ1435" s="116">
        <v>0.5</v>
      </c>
      <c r="AK1435" s="117"/>
      <c r="AL1435" s="117"/>
      <c r="AM1435" s="117"/>
      <c r="AN1435" s="117"/>
      <c r="AO1435" s="117"/>
    </row>
    <row r="1436" ht="34.5" customHeight="1">
      <c r="A1436" s="111">
        <v>2062.0</v>
      </c>
      <c r="B1436" s="111" t="s">
        <v>9440</v>
      </c>
      <c r="C1436" s="111" t="s">
        <v>7977</v>
      </c>
      <c r="D1436" s="111">
        <v>2026.0</v>
      </c>
      <c r="E1436" s="111"/>
      <c r="F1436" s="111" t="s">
        <v>12399</v>
      </c>
      <c r="G1436" s="111" t="s">
        <v>12381</v>
      </c>
      <c r="H1436" s="111" t="s">
        <v>12230</v>
      </c>
      <c r="I1436" s="111" t="s">
        <v>12394</v>
      </c>
      <c r="J1436" s="111" t="s">
        <v>12291</v>
      </c>
      <c r="K1436" s="111" t="s">
        <v>174</v>
      </c>
      <c r="L1436" s="111"/>
      <c r="M1436" s="111">
        <v>1.0</v>
      </c>
      <c r="N1436" s="111"/>
      <c r="O1436" s="111"/>
      <c r="P1436" s="111"/>
      <c r="Q1436" s="111"/>
      <c r="R1436" s="111"/>
      <c r="S1436" s="111"/>
      <c r="T1436" s="111"/>
      <c r="U1436" s="111"/>
      <c r="V1436" s="111"/>
      <c r="W1436" s="111"/>
      <c r="X1436" s="111"/>
      <c r="Y1436" s="111"/>
      <c r="Z1436" s="111" t="s">
        <v>14306</v>
      </c>
      <c r="AA1436" s="124">
        <v>140.0</v>
      </c>
      <c r="AB1436" s="125">
        <f>IF(Projects!$AI1436="Electrolysis",
AA1436/VLOOKUP(G1436,ElectrolysisConvF,3,FALSE),
AC1436*10^6/(H2dens*HoursInYear))</f>
        <v>31111.11111</v>
      </c>
      <c r="AC1436" s="126">
        <f t="shared" si="281"/>
        <v>24.25546667</v>
      </c>
      <c r="AD1436" s="125"/>
      <c r="AE1436" s="125">
        <f t="shared" si="282"/>
        <v>31111.11111</v>
      </c>
      <c r="AF1436" s="127" t="s">
        <v>14307</v>
      </c>
      <c r="AG1436" s="127">
        <v>37.2488371305092</v>
      </c>
      <c r="AH1436" s="127">
        <v>-6.90973543888513</v>
      </c>
      <c r="AI1436" s="115" t="s">
        <v>12383</v>
      </c>
      <c r="AJ1436" s="116">
        <v>0.3</v>
      </c>
      <c r="AK1436" s="117"/>
      <c r="AL1436" s="117"/>
      <c r="AM1436" s="117"/>
      <c r="AN1436" s="117"/>
      <c r="AO1436" s="117"/>
    </row>
    <row r="1437" ht="34.5" customHeight="1">
      <c r="A1437" s="111">
        <v>2063.0</v>
      </c>
      <c r="B1437" s="111" t="s">
        <v>9441</v>
      </c>
      <c r="C1437" s="111" t="s">
        <v>8023</v>
      </c>
      <c r="D1437" s="111">
        <v>2024.0</v>
      </c>
      <c r="E1437" s="111"/>
      <c r="F1437" s="111" t="s">
        <v>12393</v>
      </c>
      <c r="G1437" s="111" t="s">
        <v>12226</v>
      </c>
      <c r="H1437" s="111"/>
      <c r="I1437" s="111" t="s">
        <v>12287</v>
      </c>
      <c r="J1437" s="111"/>
      <c r="K1437" s="111" t="s">
        <v>30</v>
      </c>
      <c r="L1437" s="111"/>
      <c r="M1437" s="111"/>
      <c r="N1437" s="111"/>
      <c r="O1437" s="111"/>
      <c r="P1437" s="111"/>
      <c r="Q1437" s="111">
        <v>1.0</v>
      </c>
      <c r="R1437" s="111"/>
      <c r="S1437" s="111"/>
      <c r="T1437" s="111"/>
      <c r="U1437" s="111"/>
      <c r="V1437" s="111"/>
      <c r="W1437" s="111"/>
      <c r="X1437" s="111"/>
      <c r="Y1437" s="111"/>
      <c r="Z1437" s="111" t="s">
        <v>12835</v>
      </c>
      <c r="AA1437" s="124">
        <v>5.0</v>
      </c>
      <c r="AB1437" s="125">
        <f>IF(Projects!$AI1437="Electrolysis",
AA1437/VLOOKUP(G1437,ElectrolysisConvF,3,FALSE),
AC1437*10^6/(H2dens*HoursInYear))</f>
        <v>961.5384615</v>
      </c>
      <c r="AC1437" s="126">
        <f t="shared" si="281"/>
        <v>0.7496538462</v>
      </c>
      <c r="AD1437" s="125"/>
      <c r="AE1437" s="125">
        <f t="shared" si="282"/>
        <v>961.5384615</v>
      </c>
      <c r="AF1437" s="127" t="s">
        <v>14308</v>
      </c>
      <c r="AG1437" s="127">
        <v>50.3273768848514</v>
      </c>
      <c r="AH1437" s="127">
        <v>22.3251081596896</v>
      </c>
      <c r="AI1437" s="115" t="s">
        <v>12383</v>
      </c>
      <c r="AJ1437" s="116">
        <v>0.57</v>
      </c>
      <c r="AK1437" s="117"/>
      <c r="AL1437" s="117"/>
      <c r="AM1437" s="117"/>
      <c r="AN1437" s="117"/>
      <c r="AO1437" s="117"/>
    </row>
    <row r="1438" ht="34.5" customHeight="1">
      <c r="A1438" s="111">
        <v>2064.0</v>
      </c>
      <c r="B1438" s="111" t="s">
        <v>9442</v>
      </c>
      <c r="C1438" s="111" t="s">
        <v>8108</v>
      </c>
      <c r="D1438" s="111">
        <v>2022.0</v>
      </c>
      <c r="E1438" s="111"/>
      <c r="F1438" s="111" t="s">
        <v>12418</v>
      </c>
      <c r="G1438" s="111" t="s">
        <v>12224</v>
      </c>
      <c r="H1438" s="111"/>
      <c r="I1438" s="111" t="s">
        <v>12394</v>
      </c>
      <c r="J1438" s="111" t="s">
        <v>12291</v>
      </c>
      <c r="K1438" s="111" t="s">
        <v>30</v>
      </c>
      <c r="L1438" s="111"/>
      <c r="M1438" s="111"/>
      <c r="N1438" s="111"/>
      <c r="O1438" s="111"/>
      <c r="P1438" s="111"/>
      <c r="Q1438" s="111"/>
      <c r="R1438" s="111"/>
      <c r="S1438" s="111">
        <v>1.0</v>
      </c>
      <c r="T1438" s="111"/>
      <c r="U1438" s="111"/>
      <c r="V1438" s="111"/>
      <c r="W1438" s="111"/>
      <c r="X1438" s="111"/>
      <c r="Y1438" s="111"/>
      <c r="Z1438" s="111" t="s">
        <v>14309</v>
      </c>
      <c r="AA1438" s="124">
        <v>0.1</v>
      </c>
      <c r="AB1438" s="125">
        <f>IF(Projects!$AI1438="Electrolysis",
AA1438/VLOOKUP(G1438,ElectrolysisConvF,3,FALSE),
AC1438*10^6/(H2dens*HoursInYear))</f>
        <v>21.73913043</v>
      </c>
      <c r="AC1438" s="126">
        <f t="shared" si="281"/>
        <v>0.01694869565</v>
      </c>
      <c r="AD1438" s="125"/>
      <c r="AE1438" s="125">
        <f t="shared" si="282"/>
        <v>21.73913043</v>
      </c>
      <c r="AF1438" s="127" t="s">
        <v>14310</v>
      </c>
      <c r="AG1438" s="127">
        <v>23.2018954962698</v>
      </c>
      <c r="AH1438" s="127">
        <v>75.8136993087529</v>
      </c>
      <c r="AI1438" s="115" t="s">
        <v>12383</v>
      </c>
      <c r="AJ1438" s="116">
        <v>0.3</v>
      </c>
      <c r="AK1438" s="117"/>
      <c r="AL1438" s="117"/>
      <c r="AM1438" s="117"/>
      <c r="AN1438" s="117"/>
      <c r="AO1438" s="117"/>
    </row>
    <row r="1439" ht="34.5" customHeight="1">
      <c r="A1439" s="111">
        <v>2065.0</v>
      </c>
      <c r="B1439" s="111" t="s">
        <v>9443</v>
      </c>
      <c r="C1439" s="111" t="s">
        <v>8108</v>
      </c>
      <c r="D1439" s="111">
        <v>2024.0</v>
      </c>
      <c r="E1439" s="111"/>
      <c r="F1439" s="111" t="s">
        <v>12385</v>
      </c>
      <c r="G1439" s="111" t="s">
        <v>12224</v>
      </c>
      <c r="H1439" s="111"/>
      <c r="I1439" s="111" t="s">
        <v>12394</v>
      </c>
      <c r="J1439" s="111" t="s">
        <v>12291</v>
      </c>
      <c r="K1439" s="111" t="s">
        <v>30</v>
      </c>
      <c r="L1439" s="111"/>
      <c r="M1439" s="111"/>
      <c r="N1439" s="111"/>
      <c r="O1439" s="111">
        <v>1.0</v>
      </c>
      <c r="P1439" s="111"/>
      <c r="Q1439" s="111"/>
      <c r="R1439" s="111"/>
      <c r="S1439" s="111"/>
      <c r="T1439" s="111"/>
      <c r="U1439" s="111"/>
      <c r="V1439" s="111"/>
      <c r="W1439" s="111"/>
      <c r="X1439" s="111"/>
      <c r="Y1439" s="111"/>
      <c r="Z1439" s="111" t="s">
        <v>14311</v>
      </c>
      <c r="AA1439" s="124">
        <v>1.8</v>
      </c>
      <c r="AB1439" s="125">
        <f>IF(Projects!$AI1439="Electrolysis",
AA1439/VLOOKUP(G1439,ElectrolysisConvF,3,FALSE),
AC1439*10^6/(H2dens*HoursInYear))</f>
        <v>391.3043478</v>
      </c>
      <c r="AC1439" s="126">
        <f t="shared" si="281"/>
        <v>0.3050765217</v>
      </c>
      <c r="AD1439" s="125"/>
      <c r="AE1439" s="125">
        <f t="shared" si="282"/>
        <v>391.3043478</v>
      </c>
      <c r="AF1439" s="127" t="s">
        <v>14312</v>
      </c>
      <c r="AG1439" s="127">
        <v>30.0306918977109</v>
      </c>
      <c r="AH1439" s="127">
        <v>76.3109550560845</v>
      </c>
      <c r="AI1439" s="115" t="s">
        <v>12383</v>
      </c>
      <c r="AJ1439" s="116">
        <v>0.3</v>
      </c>
      <c r="AK1439" s="117"/>
      <c r="AL1439" s="117"/>
      <c r="AM1439" s="117"/>
      <c r="AN1439" s="117"/>
      <c r="AO1439" s="117"/>
    </row>
    <row r="1440" ht="34.5" customHeight="1">
      <c r="A1440" s="111">
        <v>2066.0</v>
      </c>
      <c r="B1440" s="111" t="s">
        <v>9444</v>
      </c>
      <c r="C1440" s="111" t="s">
        <v>8087</v>
      </c>
      <c r="D1440" s="111">
        <v>2030.0</v>
      </c>
      <c r="E1440" s="111"/>
      <c r="F1440" s="111" t="s">
        <v>12399</v>
      </c>
      <c r="G1440" s="111" t="s">
        <v>12237</v>
      </c>
      <c r="H1440" s="111" t="s">
        <v>13373</v>
      </c>
      <c r="I1440" s="111"/>
      <c r="J1440" s="111"/>
      <c r="K1440" s="111" t="s">
        <v>30</v>
      </c>
      <c r="L1440" s="111">
        <v>1.0</v>
      </c>
      <c r="M1440" s="111"/>
      <c r="N1440" s="111"/>
      <c r="O1440" s="111"/>
      <c r="P1440" s="111"/>
      <c r="Q1440" s="111"/>
      <c r="R1440" s="111"/>
      <c r="S1440" s="111"/>
      <c r="T1440" s="111"/>
      <c r="U1440" s="111"/>
      <c r="V1440" s="111"/>
      <c r="W1440" s="111"/>
      <c r="X1440" s="111"/>
      <c r="Y1440" s="111"/>
      <c r="Z1440" s="111"/>
      <c r="AA1440" s="124" t="str">
        <f>IF(OR(G1440="ALK",G1440="PEM",G1440="SOEC",G1440="Other Electrolysis"),
AB1440*VLOOKUP(G1440,ElectrolysisConvF,3,FALSE),
"")</f>
        <v/>
      </c>
      <c r="AB1440" s="125"/>
      <c r="AC1440" s="125"/>
      <c r="AD1440" s="125"/>
      <c r="AE1440" s="125">
        <f t="shared" si="282"/>
        <v>0</v>
      </c>
      <c r="AF1440" s="127" t="s">
        <v>14313</v>
      </c>
      <c r="AG1440" s="127">
        <v>51.2550437170548</v>
      </c>
      <c r="AH1440" s="127">
        <v>4.34507718420176</v>
      </c>
      <c r="AI1440" s="115" t="s">
        <v>12378</v>
      </c>
      <c r="AJ1440" s="116">
        <v>0.9</v>
      </c>
      <c r="AK1440" s="117"/>
      <c r="AL1440" s="117"/>
      <c r="AM1440" s="117"/>
      <c r="AN1440" s="117"/>
      <c r="AO1440" s="117"/>
    </row>
    <row r="1441" ht="34.5" customHeight="1">
      <c r="A1441" s="111">
        <v>2067.0</v>
      </c>
      <c r="B1441" s="111" t="s">
        <v>9445</v>
      </c>
      <c r="C1441" s="111" t="s">
        <v>8001</v>
      </c>
      <c r="D1441" s="111">
        <v>2025.0</v>
      </c>
      <c r="E1441" s="111"/>
      <c r="F1441" s="111" t="s">
        <v>12399</v>
      </c>
      <c r="G1441" s="111" t="s">
        <v>12237</v>
      </c>
      <c r="H1441" s="111" t="s">
        <v>13373</v>
      </c>
      <c r="I1441" s="111"/>
      <c r="J1441" s="111"/>
      <c r="K1441" s="111" t="s">
        <v>30</v>
      </c>
      <c r="L1441" s="111">
        <v>1.0</v>
      </c>
      <c r="M1441" s="111"/>
      <c r="N1441" s="111"/>
      <c r="O1441" s="111"/>
      <c r="P1441" s="111"/>
      <c r="Q1441" s="111"/>
      <c r="R1441" s="111"/>
      <c r="S1441" s="111"/>
      <c r="T1441" s="111"/>
      <c r="U1441" s="111"/>
      <c r="V1441" s="111"/>
      <c r="W1441" s="111"/>
      <c r="X1441" s="111"/>
      <c r="Y1441" s="111"/>
      <c r="Z1441" s="111" t="s">
        <v>14314</v>
      </c>
      <c r="AA1441" s="124" t="str">
        <f>IF(OR(G1441="ALK",G1441="PEM",G1441="SOEC",G1441="Other Electrolysis"),
AB1441*VLOOKUP(G1441,ElectrolysisConvF,3,FALSE),
"")</f>
        <v/>
      </c>
      <c r="AB1441" s="125"/>
      <c r="AC1441" s="125"/>
      <c r="AD1441" s="125">
        <v>1000000.0</v>
      </c>
      <c r="AE1441" s="125">
        <f t="shared" si="282"/>
        <v>59845.47897</v>
      </c>
      <c r="AF1441" s="127" t="s">
        <v>14315</v>
      </c>
      <c r="AG1441" s="127">
        <v>38.1331411914258</v>
      </c>
      <c r="AH1441" s="127">
        <v>77.1461625349378</v>
      </c>
      <c r="AI1441" s="115" t="s">
        <v>12378</v>
      </c>
      <c r="AJ1441" s="116">
        <v>0.9</v>
      </c>
      <c r="AK1441" s="117"/>
      <c r="AL1441" s="117"/>
      <c r="AM1441" s="117"/>
      <c r="AN1441" s="117"/>
      <c r="AO1441" s="117"/>
    </row>
    <row r="1442" ht="34.5" customHeight="1">
      <c r="A1442" s="111">
        <v>2068.0</v>
      </c>
      <c r="B1442" s="111" t="s">
        <v>9446</v>
      </c>
      <c r="C1442" s="111" t="s">
        <v>7987</v>
      </c>
      <c r="D1442" s="111">
        <v>2029.0</v>
      </c>
      <c r="E1442" s="111"/>
      <c r="F1442" s="111" t="s">
        <v>12397</v>
      </c>
      <c r="G1442" s="111" t="s">
        <v>12235</v>
      </c>
      <c r="H1442" s="111" t="s">
        <v>13373</v>
      </c>
      <c r="I1442" s="111"/>
      <c r="J1442" s="111"/>
      <c r="K1442" s="111" t="s">
        <v>30</v>
      </c>
      <c r="L1442" s="111"/>
      <c r="M1442" s="111"/>
      <c r="N1442" s="111"/>
      <c r="O1442" s="111">
        <v>1.0</v>
      </c>
      <c r="P1442" s="111">
        <v>1.0</v>
      </c>
      <c r="Q1442" s="111"/>
      <c r="R1442" s="111">
        <v>1.0</v>
      </c>
      <c r="S1442" s="111"/>
      <c r="T1442" s="111"/>
      <c r="U1442" s="111"/>
      <c r="V1442" s="111"/>
      <c r="W1442" s="111"/>
      <c r="X1442" s="111"/>
      <c r="Y1442" s="111"/>
      <c r="Z1442" s="111" t="s">
        <v>13719</v>
      </c>
      <c r="AA1442" s="124"/>
      <c r="AB1442" s="125">
        <f>IF(Projects!$AI1442="Electrolysis",
AA1442/VLOOKUP(G1442,ElectrolysisConvF,3,FALSE),
AC1442*10^6/(H2dens*HoursInYear))</f>
        <v>320224.7191</v>
      </c>
      <c r="AC1442" s="126">
        <f>1000*HoursInYear*0.95*3.6/120/1000</f>
        <v>249.66</v>
      </c>
      <c r="AD1442" s="125">
        <v>1800000.0</v>
      </c>
      <c r="AE1442" s="125">
        <f t="shared" si="282"/>
        <v>225677.597</v>
      </c>
      <c r="AF1442" s="127"/>
      <c r="AG1442" s="127">
        <v>54.1352831032426</v>
      </c>
      <c r="AH1442" s="127">
        <v>12.116054205765</v>
      </c>
      <c r="AI1442" s="115" t="s">
        <v>12378</v>
      </c>
      <c r="AJ1442" s="116">
        <v>0.9</v>
      </c>
      <c r="AK1442" s="117"/>
      <c r="AL1442" s="117"/>
      <c r="AM1442" s="117"/>
      <c r="AN1442" s="117"/>
      <c r="AO1442" s="117"/>
    </row>
    <row r="1443" ht="34.5" customHeight="1">
      <c r="A1443" s="111">
        <v>2070.0</v>
      </c>
      <c r="B1443" s="111" t="s">
        <v>9447</v>
      </c>
      <c r="C1443" s="111" t="s">
        <v>7991</v>
      </c>
      <c r="D1443" s="111">
        <v>2030.0</v>
      </c>
      <c r="E1443" s="111"/>
      <c r="F1443" s="111" t="s">
        <v>12399</v>
      </c>
      <c r="G1443" s="111" t="s">
        <v>12235</v>
      </c>
      <c r="H1443" s="111" t="s">
        <v>13160</v>
      </c>
      <c r="I1443" s="111"/>
      <c r="J1443" s="111"/>
      <c r="K1443" s="111" t="s">
        <v>30</v>
      </c>
      <c r="L1443" s="111">
        <v>1.0</v>
      </c>
      <c r="M1443" s="111"/>
      <c r="N1443" s="111"/>
      <c r="O1443" s="111"/>
      <c r="P1443" s="111"/>
      <c r="Q1443" s="111"/>
      <c r="R1443" s="111"/>
      <c r="S1443" s="111"/>
      <c r="T1443" s="111"/>
      <c r="U1443" s="111"/>
      <c r="V1443" s="111"/>
      <c r="W1443" s="111"/>
      <c r="X1443" s="111"/>
      <c r="Y1443" s="111"/>
      <c r="Z1443" s="111" t="s">
        <v>13570</v>
      </c>
      <c r="AA1443" s="124" t="str">
        <f>IF(OR(G1443="ALK",G1443="PEM",G1443="SOEC",G1443="Other Electrolysis"),
AB1443*VLOOKUP(G1443,ElectrolysisConvF,3,FALSE),
"")</f>
        <v/>
      </c>
      <c r="AB1443" s="125"/>
      <c r="AC1443" s="125"/>
      <c r="AD1443" s="125">
        <v>550000.0</v>
      </c>
      <c r="AE1443" s="125">
        <f t="shared" si="282"/>
        <v>68957.04352</v>
      </c>
      <c r="AF1443" s="127" t="s">
        <v>13571</v>
      </c>
      <c r="AG1443" s="127">
        <v>53.639746518733</v>
      </c>
      <c r="AH1443" s="127">
        <v>-0.257045555211705</v>
      </c>
      <c r="AI1443" s="115" t="s">
        <v>12378</v>
      </c>
      <c r="AJ1443" s="116">
        <v>0.9</v>
      </c>
      <c r="AK1443" s="117"/>
      <c r="AL1443" s="117"/>
      <c r="AM1443" s="117"/>
      <c r="AN1443" s="117"/>
      <c r="AO1443" s="117"/>
    </row>
    <row r="1444" ht="34.5" customHeight="1">
      <c r="A1444" s="111">
        <v>2071.0</v>
      </c>
      <c r="B1444" s="111" t="s">
        <v>9448</v>
      </c>
      <c r="C1444" s="111" t="s">
        <v>7991</v>
      </c>
      <c r="D1444" s="111">
        <v>2027.0</v>
      </c>
      <c r="E1444" s="111"/>
      <c r="F1444" s="111" t="s">
        <v>12399</v>
      </c>
      <c r="G1444" s="111" t="s">
        <v>12235</v>
      </c>
      <c r="H1444" s="111" t="s">
        <v>13160</v>
      </c>
      <c r="I1444" s="111"/>
      <c r="J1444" s="111"/>
      <c r="K1444" s="111" t="s">
        <v>30</v>
      </c>
      <c r="L1444" s="111"/>
      <c r="M1444" s="111"/>
      <c r="N1444" s="111"/>
      <c r="O1444" s="111"/>
      <c r="P1444" s="111"/>
      <c r="Q1444" s="111"/>
      <c r="R1444" s="111"/>
      <c r="S1444" s="111"/>
      <c r="T1444" s="111"/>
      <c r="U1444" s="111"/>
      <c r="V1444" s="111"/>
      <c r="W1444" s="111"/>
      <c r="X1444" s="111"/>
      <c r="Y1444" s="111"/>
      <c r="Z1444" s="111" t="s">
        <v>14316</v>
      </c>
      <c r="AA1444" s="124"/>
      <c r="AB1444" s="125">
        <f>IF(Projects!$AI1444="Electrolysis",
AA1444/VLOOKUP(G1444,ElectrolysisConvF,3,FALSE),
AC1444*10^6/(H2dens*HoursInYear))</f>
        <v>336235.9551</v>
      </c>
      <c r="AC1444" s="125">
        <f>1050*HoursInYear*0.95*3.6/120/1000</f>
        <v>262.143</v>
      </c>
      <c r="AD1444" s="125">
        <v>1800000.0</v>
      </c>
      <c r="AE1444" s="125">
        <f t="shared" si="282"/>
        <v>225677.597</v>
      </c>
      <c r="AF1444" s="127" t="s">
        <v>13678</v>
      </c>
      <c r="AG1444" s="127">
        <v>51.5009866635143</v>
      </c>
      <c r="AH1444" s="127">
        <v>0.562990963891857</v>
      </c>
      <c r="AI1444" s="115" t="s">
        <v>12378</v>
      </c>
      <c r="AJ1444" s="116">
        <v>0.9</v>
      </c>
      <c r="AK1444" s="117"/>
      <c r="AL1444" s="117"/>
      <c r="AM1444" s="117"/>
      <c r="AN1444" s="117"/>
      <c r="AO1444" s="117"/>
    </row>
    <row r="1445" ht="34.5" customHeight="1">
      <c r="A1445" s="111">
        <v>2072.0</v>
      </c>
      <c r="B1445" s="111" t="s">
        <v>9449</v>
      </c>
      <c r="C1445" s="111" t="s">
        <v>7991</v>
      </c>
      <c r="D1445" s="111">
        <v>2029.0</v>
      </c>
      <c r="E1445" s="111"/>
      <c r="F1445" s="111" t="s">
        <v>12399</v>
      </c>
      <c r="G1445" s="111" t="s">
        <v>12241</v>
      </c>
      <c r="H1445" s="111" t="s">
        <v>14317</v>
      </c>
      <c r="I1445" s="111"/>
      <c r="J1445" s="111"/>
      <c r="K1445" s="111" t="s">
        <v>30</v>
      </c>
      <c r="L1445" s="111"/>
      <c r="M1445" s="111"/>
      <c r="N1445" s="111"/>
      <c r="O1445" s="111"/>
      <c r="P1445" s="111"/>
      <c r="Q1445" s="111"/>
      <c r="R1445" s="111"/>
      <c r="S1445" s="111"/>
      <c r="T1445" s="111"/>
      <c r="U1445" s="111"/>
      <c r="V1445" s="111"/>
      <c r="W1445" s="111"/>
      <c r="X1445" s="111"/>
      <c r="Y1445" s="111"/>
      <c r="Z1445" s="111"/>
      <c r="AA1445" s="124" t="str">
        <f>IF(OR(G1445="ALK",G1445="PEM",G1445="SOEC",G1445="Other Electrolysis"),
AB1445*VLOOKUP(G1445,ElectrolysisConvF,3,FALSE),
"")</f>
        <v/>
      </c>
      <c r="AB1445" s="125"/>
      <c r="AC1445" s="125"/>
      <c r="AD1445" s="125"/>
      <c r="AE1445" s="125" t="str">
        <f t="shared" si="282"/>
        <v/>
      </c>
      <c r="AF1445" s="127" t="s">
        <v>14318</v>
      </c>
      <c r="AG1445" s="127">
        <v>54.7819042325787</v>
      </c>
      <c r="AH1445" s="127">
        <v>-1.34538743016266</v>
      </c>
      <c r="AI1445" s="115" t="s">
        <v>12241</v>
      </c>
      <c r="AJ1445" s="116">
        <v>0.9</v>
      </c>
      <c r="AK1445" s="144"/>
      <c r="AL1445" s="144"/>
      <c r="AM1445" s="144"/>
      <c r="AN1445" s="144"/>
      <c r="AO1445" s="144"/>
    </row>
    <row r="1446" ht="34.5" customHeight="1">
      <c r="A1446" s="111">
        <v>2074.0</v>
      </c>
      <c r="B1446" s="111" t="s">
        <v>9450</v>
      </c>
      <c r="C1446" s="111" t="s">
        <v>8578</v>
      </c>
      <c r="D1446" s="111">
        <v>2030.0</v>
      </c>
      <c r="E1446" s="111"/>
      <c r="F1446" s="111" t="s">
        <v>12399</v>
      </c>
      <c r="G1446" s="111" t="s">
        <v>12235</v>
      </c>
      <c r="H1446" s="111" t="s">
        <v>12885</v>
      </c>
      <c r="I1446" s="111"/>
      <c r="J1446" s="111"/>
      <c r="K1446" s="111" t="s">
        <v>30</v>
      </c>
      <c r="L1446" s="111">
        <v>1.0</v>
      </c>
      <c r="M1446" s="111"/>
      <c r="N1446" s="111"/>
      <c r="O1446" s="111"/>
      <c r="P1446" s="111"/>
      <c r="Q1446" s="111"/>
      <c r="R1446" s="111"/>
      <c r="S1446" s="111"/>
      <c r="T1446" s="111"/>
      <c r="U1446" s="111"/>
      <c r="V1446" s="111"/>
      <c r="W1446" s="111"/>
      <c r="X1446" s="111"/>
      <c r="Y1446" s="111"/>
      <c r="Z1446" s="111" t="s">
        <v>14319</v>
      </c>
      <c r="AA1446" s="124" t="str">
        <f>IF(OR(G1446="ALK",G1446="PEM",G1446="SOEC",G1446="Other Electrolysis"),
AB1446*VLOOKUP(G1446,ElectrolysisConvF,3,FALSE),
"")</f>
        <v/>
      </c>
      <c r="AB1446" s="125"/>
      <c r="AC1446" s="125"/>
      <c r="AD1446" s="125">
        <v>1400000.0</v>
      </c>
      <c r="AE1446" s="125">
        <f t="shared" si="282"/>
        <v>175527.0199</v>
      </c>
      <c r="AF1446" s="127" t="s">
        <v>14320</v>
      </c>
      <c r="AG1446" s="127">
        <v>-1.25952824515172</v>
      </c>
      <c r="AH1446" s="127">
        <v>116.819218625787</v>
      </c>
      <c r="AI1446" s="115" t="s">
        <v>12378</v>
      </c>
      <c r="AJ1446" s="116">
        <v>0.9</v>
      </c>
      <c r="AK1446" s="117"/>
      <c r="AL1446" s="117"/>
      <c r="AM1446" s="117"/>
      <c r="AN1446" s="117"/>
      <c r="AO1446" s="117"/>
    </row>
    <row r="1447" ht="34.5" customHeight="1">
      <c r="A1447" s="111">
        <v>2075.0</v>
      </c>
      <c r="B1447" s="111" t="s">
        <v>9451</v>
      </c>
      <c r="C1447" s="111" t="s">
        <v>8108</v>
      </c>
      <c r="D1447" s="111"/>
      <c r="E1447" s="111"/>
      <c r="F1447" s="111" t="s">
        <v>12397</v>
      </c>
      <c r="G1447" s="111" t="s">
        <v>12233</v>
      </c>
      <c r="H1447" s="111" t="s">
        <v>13039</v>
      </c>
      <c r="I1447" s="111"/>
      <c r="J1447" s="111"/>
      <c r="K1447" s="111" t="s">
        <v>30</v>
      </c>
      <c r="L1447" s="111"/>
      <c r="M1447" s="111"/>
      <c r="N1447" s="111"/>
      <c r="O1447" s="111"/>
      <c r="P1447" s="111"/>
      <c r="Q1447" s="111"/>
      <c r="R1447" s="111"/>
      <c r="S1447" s="111"/>
      <c r="T1447" s="111"/>
      <c r="U1447" s="111"/>
      <c r="V1447" s="111"/>
      <c r="W1447" s="111"/>
      <c r="X1447" s="111"/>
      <c r="Y1447" s="111"/>
      <c r="Z1447" s="111"/>
      <c r="AA1447" s="124" t="str">
        <f>IF(OR(G1447="ALK",G1447="PEM",G1447="SOEC",G1447="Other Electrolysis"),
AB1447*VLOOKUP(G1447,ElectrolysisConvF,3,FALSE),
"")</f>
        <v/>
      </c>
      <c r="AB1447" s="125"/>
      <c r="AC1447" s="125"/>
      <c r="AD1447" s="125"/>
      <c r="AE1447" s="125">
        <f t="shared" si="282"/>
        <v>0</v>
      </c>
      <c r="AF1447" s="127" t="s">
        <v>14321</v>
      </c>
      <c r="AG1447" s="127">
        <v>19.5230476221858</v>
      </c>
      <c r="AH1447" s="127">
        <v>80.3355374453956</v>
      </c>
      <c r="AI1447" s="115" t="s">
        <v>12378</v>
      </c>
      <c r="AJ1447" s="116">
        <v>0.9</v>
      </c>
      <c r="AK1447" s="117"/>
      <c r="AL1447" s="117"/>
      <c r="AM1447" s="117"/>
      <c r="AN1447" s="117"/>
      <c r="AO1447" s="117"/>
    </row>
    <row r="1448" ht="34.5" customHeight="1">
      <c r="A1448" s="111">
        <v>2076.0</v>
      </c>
      <c r="B1448" s="111" t="s">
        <v>9452</v>
      </c>
      <c r="C1448" s="111" t="s">
        <v>8108</v>
      </c>
      <c r="D1448" s="111">
        <v>2026.0</v>
      </c>
      <c r="E1448" s="111"/>
      <c r="F1448" s="111" t="s">
        <v>12399</v>
      </c>
      <c r="G1448" s="111" t="s">
        <v>12235</v>
      </c>
      <c r="H1448" s="111" t="s">
        <v>12885</v>
      </c>
      <c r="I1448" s="111"/>
      <c r="J1448" s="111"/>
      <c r="K1448" s="111" t="s">
        <v>30</v>
      </c>
      <c r="L1448" s="111">
        <v>1.0</v>
      </c>
      <c r="M1448" s="111"/>
      <c r="N1448" s="111"/>
      <c r="O1448" s="111"/>
      <c r="P1448" s="111"/>
      <c r="Q1448" s="111"/>
      <c r="R1448" s="111"/>
      <c r="S1448" s="111"/>
      <c r="T1448" s="111"/>
      <c r="U1448" s="111"/>
      <c r="V1448" s="111"/>
      <c r="W1448" s="111"/>
      <c r="X1448" s="111"/>
      <c r="Y1448" s="111"/>
      <c r="Z1448" s="111" t="s">
        <v>14322</v>
      </c>
      <c r="AA1448" s="124" t="str">
        <f>IF(OR(G1448="ALK",G1448="PEM",G1448="SOEC",G1448="Other Electrolysis"),
AB1448*VLOOKUP(G1448,ElectrolysisConvF,3,FALSE),
"")</f>
        <v/>
      </c>
      <c r="AB1448" s="125"/>
      <c r="AC1448" s="125"/>
      <c r="AD1448" s="125">
        <v>350000.0</v>
      </c>
      <c r="AE1448" s="125">
        <f t="shared" si="282"/>
        <v>43881.75497</v>
      </c>
      <c r="AF1448" s="127" t="s">
        <v>14323</v>
      </c>
      <c r="AG1448" s="127">
        <v>22.3709187697086</v>
      </c>
      <c r="AH1448" s="127">
        <v>73.1227507663705</v>
      </c>
      <c r="AI1448" s="115" t="s">
        <v>12378</v>
      </c>
      <c r="AJ1448" s="116">
        <v>0.9</v>
      </c>
      <c r="AK1448" s="117"/>
      <c r="AL1448" s="117"/>
      <c r="AM1448" s="117"/>
      <c r="AN1448" s="117"/>
      <c r="AO1448" s="117"/>
    </row>
    <row r="1449" ht="34.5" customHeight="1">
      <c r="A1449" s="111">
        <v>2077.0</v>
      </c>
      <c r="B1449" s="111" t="s">
        <v>9453</v>
      </c>
      <c r="C1449" s="111" t="s">
        <v>8047</v>
      </c>
      <c r="D1449" s="111">
        <v>2028.0</v>
      </c>
      <c r="E1449" s="111"/>
      <c r="F1449" s="111" t="s">
        <v>12399</v>
      </c>
      <c r="G1449" s="111" t="s">
        <v>12235</v>
      </c>
      <c r="H1449" s="111" t="s">
        <v>13160</v>
      </c>
      <c r="I1449" s="111"/>
      <c r="J1449" s="111"/>
      <c r="K1449" s="111" t="s">
        <v>30</v>
      </c>
      <c r="L1449" s="111"/>
      <c r="M1449" s="111"/>
      <c r="N1449" s="111"/>
      <c r="O1449" s="111"/>
      <c r="P1449" s="111"/>
      <c r="Q1449" s="111"/>
      <c r="R1449" s="111"/>
      <c r="S1449" s="111"/>
      <c r="T1449" s="111"/>
      <c r="U1449" s="111"/>
      <c r="V1449" s="111">
        <v>1.0</v>
      </c>
      <c r="W1449" s="111"/>
      <c r="X1449" s="111"/>
      <c r="Y1449" s="111"/>
      <c r="Z1449" s="111" t="s">
        <v>14324</v>
      </c>
      <c r="AA1449" s="124"/>
      <c r="AB1449" s="125">
        <v>30000.0</v>
      </c>
      <c r="AC1449" s="126">
        <f>AB1449*H2dens*HoursInYear/10^6</f>
        <v>23.3892</v>
      </c>
      <c r="AD1449" s="125">
        <v>200000.0</v>
      </c>
      <c r="AE1449" s="125">
        <f t="shared" si="282"/>
        <v>25075.28855</v>
      </c>
      <c r="AF1449" s="127" t="s">
        <v>14325</v>
      </c>
      <c r="AG1449" s="127">
        <v>45.4582488807649</v>
      </c>
      <c r="AH1449" s="127">
        <v>12.2562711013163</v>
      </c>
      <c r="AI1449" s="115" t="s">
        <v>12378</v>
      </c>
      <c r="AJ1449" s="116">
        <v>0.9</v>
      </c>
      <c r="AK1449" s="117"/>
      <c r="AL1449" s="117"/>
      <c r="AM1449" s="117"/>
      <c r="AN1449" s="117"/>
      <c r="AO1449" s="117"/>
    </row>
    <row r="1450" ht="34.5" customHeight="1">
      <c r="A1450" s="111">
        <v>2078.0</v>
      </c>
      <c r="B1450" s="111" t="s">
        <v>9454</v>
      </c>
      <c r="C1450" s="111" t="s">
        <v>7967</v>
      </c>
      <c r="D1450" s="111">
        <v>2026.0</v>
      </c>
      <c r="E1450" s="111"/>
      <c r="F1450" s="111" t="s">
        <v>12393</v>
      </c>
      <c r="G1450" s="111" t="s">
        <v>12235</v>
      </c>
      <c r="H1450" s="111" t="s">
        <v>13160</v>
      </c>
      <c r="I1450" s="111"/>
      <c r="J1450" s="111"/>
      <c r="K1450" s="111" t="s">
        <v>174</v>
      </c>
      <c r="L1450" s="111"/>
      <c r="M1450" s="111">
        <v>1.0</v>
      </c>
      <c r="N1450" s="111"/>
      <c r="O1450" s="111"/>
      <c r="P1450" s="111"/>
      <c r="Q1450" s="111"/>
      <c r="R1450" s="111"/>
      <c r="S1450" s="111"/>
      <c r="T1450" s="111"/>
      <c r="U1450" s="111"/>
      <c r="V1450" s="111"/>
      <c r="W1450" s="111"/>
      <c r="X1450" s="111"/>
      <c r="Y1450" s="111"/>
      <c r="Z1450" s="111" t="s">
        <v>14326</v>
      </c>
      <c r="AA1450" s="124" t="str">
        <f>IF(OR(G1450="ALK",G1450="PEM",G1450="SOEC",G1450="Other Electrolysis"),
AB1450*VLOOKUP(G1450,ElectrolysisConvF,3,FALSE),
"")</f>
        <v/>
      </c>
      <c r="AB1450" s="125"/>
      <c r="AC1450" s="125"/>
      <c r="AD1450" s="125">
        <v>800000.0</v>
      </c>
      <c r="AE1450" s="125">
        <f t="shared" si="282"/>
        <v>100301.1542</v>
      </c>
      <c r="AF1450" s="127" t="s">
        <v>14327</v>
      </c>
      <c r="AG1450" s="127">
        <v>51.3060081174489</v>
      </c>
      <c r="AH1450" s="127">
        <v>3.8498667000111</v>
      </c>
      <c r="AI1450" s="115" t="s">
        <v>12378</v>
      </c>
      <c r="AJ1450" s="116">
        <v>0.9</v>
      </c>
      <c r="AK1450" s="117"/>
      <c r="AL1450" s="117"/>
      <c r="AM1450" s="117"/>
      <c r="AN1450" s="117"/>
      <c r="AO1450" s="117"/>
    </row>
    <row r="1451" ht="34.5" customHeight="1">
      <c r="A1451" s="111">
        <v>2079.0</v>
      </c>
      <c r="B1451" s="111" t="s">
        <v>9455</v>
      </c>
      <c r="C1451" s="111" t="s">
        <v>8388</v>
      </c>
      <c r="D1451" s="111"/>
      <c r="E1451" s="111"/>
      <c r="F1451" s="111" t="s">
        <v>12397</v>
      </c>
      <c r="G1451" s="111" t="s">
        <v>12235</v>
      </c>
      <c r="H1451" s="111" t="s">
        <v>13160</v>
      </c>
      <c r="I1451" s="111"/>
      <c r="J1451" s="111"/>
      <c r="K1451" s="111" t="s">
        <v>174</v>
      </c>
      <c r="L1451" s="111"/>
      <c r="M1451" s="111">
        <v>1.0</v>
      </c>
      <c r="N1451" s="111"/>
      <c r="O1451" s="111"/>
      <c r="P1451" s="111"/>
      <c r="Q1451" s="111"/>
      <c r="R1451" s="111"/>
      <c r="S1451" s="111"/>
      <c r="T1451" s="111"/>
      <c r="U1451" s="111"/>
      <c r="V1451" s="111"/>
      <c r="W1451" s="111"/>
      <c r="X1451" s="111"/>
      <c r="Y1451" s="111"/>
      <c r="Z1451" s="111" t="s">
        <v>14328</v>
      </c>
      <c r="AA1451" s="124"/>
      <c r="AB1451" s="125">
        <f>IF(Projects!$AI1451="Electrolysis",
AA1451/VLOOKUP(G1451,ElectrolysisConvF,3,FALSE),
AC1451*10^6/(H2dens*HoursInYear))</f>
        <v>295061.845</v>
      </c>
      <c r="AC1451" s="125">
        <f>3.5*365*3/17/0.98</f>
        <v>230.0420168</v>
      </c>
      <c r="AD1451" s="125"/>
      <c r="AE1451" s="125">
        <f t="shared" si="282"/>
        <v>0</v>
      </c>
      <c r="AF1451" s="127" t="s">
        <v>14329</v>
      </c>
      <c r="AG1451" s="127">
        <v>22.645874050238</v>
      </c>
      <c r="AH1451" s="127">
        <v>59.4653503958559</v>
      </c>
      <c r="AI1451" s="115" t="s">
        <v>12378</v>
      </c>
      <c r="AJ1451" s="116">
        <v>0.9</v>
      </c>
      <c r="AK1451" s="117"/>
      <c r="AL1451" s="117"/>
      <c r="AM1451" s="117"/>
      <c r="AN1451" s="117"/>
      <c r="AO1451" s="117"/>
    </row>
    <row r="1452" ht="34.5" customHeight="1">
      <c r="A1452" s="111">
        <v>2080.0</v>
      </c>
      <c r="B1452" s="111" t="s">
        <v>9456</v>
      </c>
      <c r="C1452" s="111" t="s">
        <v>7981</v>
      </c>
      <c r="D1452" s="111">
        <v>2029.0</v>
      </c>
      <c r="E1452" s="111"/>
      <c r="F1452" s="111" t="s">
        <v>12399</v>
      </c>
      <c r="G1452" s="111" t="s">
        <v>12235</v>
      </c>
      <c r="H1452" s="111" t="s">
        <v>12529</v>
      </c>
      <c r="I1452" s="111"/>
      <c r="J1452" s="111"/>
      <c r="K1452" s="111" t="s">
        <v>174</v>
      </c>
      <c r="L1452" s="111"/>
      <c r="M1452" s="111">
        <v>1.0</v>
      </c>
      <c r="N1452" s="111"/>
      <c r="O1452" s="111"/>
      <c r="P1452" s="111"/>
      <c r="Q1452" s="111"/>
      <c r="R1452" s="111"/>
      <c r="S1452" s="111"/>
      <c r="T1452" s="111"/>
      <c r="U1452" s="111"/>
      <c r="V1452" s="111"/>
      <c r="W1452" s="111"/>
      <c r="X1452" s="111"/>
      <c r="Y1452" s="111"/>
      <c r="Z1452" s="111" t="s">
        <v>14330</v>
      </c>
      <c r="AA1452" s="124"/>
      <c r="AB1452" s="125">
        <f>AC1452/(H2dens*HoursInYear/10^6)</f>
        <v>300258.6289</v>
      </c>
      <c r="AC1452" s="125">
        <f>1300*3/17/0.98</f>
        <v>234.0936375</v>
      </c>
      <c r="AD1452" s="125"/>
      <c r="AE1452" s="125">
        <f t="shared" si="282"/>
        <v>0</v>
      </c>
      <c r="AF1452" s="127" t="s">
        <v>14331</v>
      </c>
      <c r="AG1452" s="127">
        <v>27.836764820865</v>
      </c>
      <c r="AH1452" s="127">
        <v>-97.2034951819053</v>
      </c>
      <c r="AI1452" s="115" t="s">
        <v>12378</v>
      </c>
      <c r="AJ1452" s="116">
        <v>0.9</v>
      </c>
      <c r="AK1452" s="117"/>
      <c r="AL1452" s="117"/>
      <c r="AM1452" s="117"/>
      <c r="AN1452" s="117"/>
      <c r="AO1452" s="117"/>
    </row>
    <row r="1453" ht="34.5" customHeight="1">
      <c r="A1453" s="111">
        <v>2081.0</v>
      </c>
      <c r="B1453" s="111" t="s">
        <v>9457</v>
      </c>
      <c r="C1453" s="111" t="s">
        <v>7981</v>
      </c>
      <c r="D1453" s="111"/>
      <c r="E1453" s="111"/>
      <c r="F1453" s="111" t="s">
        <v>12399</v>
      </c>
      <c r="G1453" s="111" t="s">
        <v>12235</v>
      </c>
      <c r="H1453" s="111" t="s">
        <v>12885</v>
      </c>
      <c r="I1453" s="111"/>
      <c r="J1453" s="111"/>
      <c r="K1453" s="111" t="s">
        <v>174</v>
      </c>
      <c r="L1453" s="111"/>
      <c r="M1453" s="111">
        <v>1.0</v>
      </c>
      <c r="N1453" s="111"/>
      <c r="O1453" s="111"/>
      <c r="P1453" s="111"/>
      <c r="Q1453" s="111"/>
      <c r="R1453" s="111"/>
      <c r="S1453" s="111"/>
      <c r="T1453" s="111"/>
      <c r="U1453" s="111"/>
      <c r="V1453" s="111"/>
      <c r="W1453" s="111"/>
      <c r="X1453" s="111"/>
      <c r="Y1453" s="111"/>
      <c r="Z1453" s="111" t="s">
        <v>14332</v>
      </c>
      <c r="AA1453" s="124" t="str">
        <f>IF(OR(G1453="ALK",G1453="PEM",G1453="SOEC",G1453="Other Electrolysis"),
AB1453*VLOOKUP(G1453,ElectrolysisConvF,3,FALSE),
"")</f>
        <v/>
      </c>
      <c r="AB1453" s="125"/>
      <c r="AC1453" s="125"/>
      <c r="AD1453" s="125">
        <v>500000.0</v>
      </c>
      <c r="AE1453" s="125">
        <f t="shared" si="282"/>
        <v>62688.22138</v>
      </c>
      <c r="AF1453" s="127" t="s">
        <v>14333</v>
      </c>
      <c r="AG1453" s="127">
        <v>48.1659663059784</v>
      </c>
      <c r="AH1453" s="127">
        <v>-100.840061305064</v>
      </c>
      <c r="AI1453" s="115" t="s">
        <v>12378</v>
      </c>
      <c r="AJ1453" s="116">
        <v>0.9</v>
      </c>
      <c r="AK1453" s="117"/>
      <c r="AL1453" s="117"/>
      <c r="AM1453" s="117"/>
      <c r="AN1453" s="117"/>
      <c r="AO1453" s="117"/>
    </row>
    <row r="1454" ht="34.5" customHeight="1">
      <c r="A1454" s="111">
        <v>2082.0</v>
      </c>
      <c r="B1454" s="111" t="s">
        <v>9458</v>
      </c>
      <c r="C1454" s="111" t="s">
        <v>7981</v>
      </c>
      <c r="D1454" s="111">
        <v>2025.0</v>
      </c>
      <c r="E1454" s="111"/>
      <c r="F1454" s="111" t="s">
        <v>12393</v>
      </c>
      <c r="G1454" s="111" t="s">
        <v>12235</v>
      </c>
      <c r="H1454" s="111" t="s">
        <v>12529</v>
      </c>
      <c r="I1454" s="111"/>
      <c r="J1454" s="111"/>
      <c r="K1454" s="111" t="s">
        <v>30</v>
      </c>
      <c r="L1454" s="111"/>
      <c r="M1454" s="111"/>
      <c r="N1454" s="111"/>
      <c r="O1454" s="111"/>
      <c r="P1454" s="111"/>
      <c r="Q1454" s="111"/>
      <c r="R1454" s="111"/>
      <c r="S1454" s="111"/>
      <c r="T1454" s="111"/>
      <c r="U1454" s="111"/>
      <c r="V1454" s="111"/>
      <c r="W1454" s="111"/>
      <c r="X1454" s="111"/>
      <c r="Y1454" s="111"/>
      <c r="Z1454" s="111" t="s">
        <v>14334</v>
      </c>
      <c r="AA1454" s="124"/>
      <c r="AB1454" s="125">
        <f>IF(Projects!$AI1454="Electrolysis",
AA1454/VLOOKUP(G1454,ElectrolysisConvF,3,FALSE),
AC1454*10^6/(H2dens*HoursInYear))</f>
        <v>254064.9937</v>
      </c>
      <c r="AC1454" s="125">
        <f>1100*3/17/0.98</f>
        <v>198.0792317</v>
      </c>
      <c r="AD1454" s="125">
        <v>1700000.0</v>
      </c>
      <c r="AE1454" s="125">
        <f t="shared" si="282"/>
        <v>213139.9527</v>
      </c>
      <c r="AF1454" s="127" t="s">
        <v>14335</v>
      </c>
      <c r="AG1454" s="127">
        <v>30.0935252434742</v>
      </c>
      <c r="AH1454" s="127">
        <v>-94.2147905172389</v>
      </c>
      <c r="AI1454" s="115" t="s">
        <v>12378</v>
      </c>
      <c r="AJ1454" s="116">
        <v>0.9</v>
      </c>
      <c r="AK1454" s="117"/>
      <c r="AL1454" s="117"/>
      <c r="AM1454" s="117"/>
      <c r="AN1454" s="117"/>
      <c r="AO1454" s="117"/>
    </row>
    <row r="1455" ht="34.5" customHeight="1">
      <c r="A1455" s="111">
        <v>2083.0</v>
      </c>
      <c r="B1455" s="111" t="s">
        <v>9459</v>
      </c>
      <c r="C1455" s="111" t="s">
        <v>7981</v>
      </c>
      <c r="D1455" s="111">
        <v>2028.0</v>
      </c>
      <c r="E1455" s="111"/>
      <c r="F1455" s="111" t="s">
        <v>12393</v>
      </c>
      <c r="G1455" s="111" t="s">
        <v>12235</v>
      </c>
      <c r="H1455" s="111" t="s">
        <v>13160</v>
      </c>
      <c r="I1455" s="111"/>
      <c r="J1455" s="111"/>
      <c r="K1455" s="111" t="s">
        <v>174</v>
      </c>
      <c r="L1455" s="111"/>
      <c r="M1455" s="111">
        <v>1.0</v>
      </c>
      <c r="N1455" s="111"/>
      <c r="O1455" s="111"/>
      <c r="P1455" s="111"/>
      <c r="Q1455" s="111"/>
      <c r="R1455" s="111"/>
      <c r="S1455" s="111"/>
      <c r="T1455" s="111"/>
      <c r="U1455" s="111"/>
      <c r="V1455" s="111"/>
      <c r="W1455" s="111"/>
      <c r="X1455" s="111"/>
      <c r="Y1455" s="111"/>
      <c r="Z1455" s="111" t="s">
        <v>14332</v>
      </c>
      <c r="AA1455" s="124" t="str">
        <f>IF(OR(G1455="ALK",G1455="PEM",G1455="SOEC",G1455="Other Electrolysis"),
AB1455*VLOOKUP(G1455,ElectrolysisConvF,3,FALSE),
"")</f>
        <v/>
      </c>
      <c r="AB1455" s="125"/>
      <c r="AC1455" s="125"/>
      <c r="AD1455" s="125">
        <v>500000.0</v>
      </c>
      <c r="AE1455" s="125">
        <f t="shared" si="282"/>
        <v>62688.22138</v>
      </c>
      <c r="AF1455" s="127" t="s">
        <v>14336</v>
      </c>
      <c r="AG1455" s="127">
        <v>32.8635023376061</v>
      </c>
      <c r="AH1455" s="127">
        <v>-90.3822324056159</v>
      </c>
      <c r="AI1455" s="115" t="s">
        <v>12378</v>
      </c>
      <c r="AJ1455" s="116">
        <v>0.9</v>
      </c>
      <c r="AK1455" s="117"/>
      <c r="AL1455" s="117"/>
      <c r="AM1455" s="117"/>
      <c r="AN1455" s="117"/>
      <c r="AO1455" s="117"/>
    </row>
    <row r="1456" ht="34.5" customHeight="1">
      <c r="A1456" s="111">
        <v>2084.0</v>
      </c>
      <c r="B1456" s="111" t="s">
        <v>9460</v>
      </c>
      <c r="C1456" s="111" t="s">
        <v>7981</v>
      </c>
      <c r="D1456" s="111">
        <v>2028.0</v>
      </c>
      <c r="E1456" s="111"/>
      <c r="F1456" s="111" t="s">
        <v>12397</v>
      </c>
      <c r="G1456" s="111" t="s">
        <v>12235</v>
      </c>
      <c r="H1456" s="111" t="s">
        <v>13160</v>
      </c>
      <c r="I1456" s="111"/>
      <c r="J1456" s="111"/>
      <c r="K1456" s="111" t="s">
        <v>174</v>
      </c>
      <c r="L1456" s="111"/>
      <c r="M1456" s="111">
        <v>1.0</v>
      </c>
      <c r="N1456" s="111"/>
      <c r="O1456" s="111"/>
      <c r="P1456" s="111"/>
      <c r="Q1456" s="111"/>
      <c r="R1456" s="111"/>
      <c r="S1456" s="111"/>
      <c r="T1456" s="111"/>
      <c r="U1456" s="111"/>
      <c r="V1456" s="111"/>
      <c r="W1456" s="111"/>
      <c r="X1456" s="111"/>
      <c r="Y1456" s="111"/>
      <c r="Z1456" s="111" t="s">
        <v>14337</v>
      </c>
      <c r="AA1456" s="124"/>
      <c r="AB1456" s="125">
        <f>IF(Projects!$AI1456="Electrolysis",
AA1456/VLOOKUP(G1456,ElectrolysisConvF,3,FALSE),
AC1456*10^6/(H2dens*HoursInYear))</f>
        <v>1662970.868</v>
      </c>
      <c r="AC1456" s="125">
        <f>7200*3/17/0.98</f>
        <v>1296.518607</v>
      </c>
      <c r="AD1456" s="125">
        <v>1.2E7</v>
      </c>
      <c r="AE1456" s="125">
        <f t="shared" si="282"/>
        <v>1504517.313</v>
      </c>
      <c r="AF1456" s="127" t="s">
        <v>14338</v>
      </c>
      <c r="AG1456" s="127">
        <v>30.1861549586745</v>
      </c>
      <c r="AH1456" s="127">
        <v>-90.9481962306886</v>
      </c>
      <c r="AI1456" s="115" t="s">
        <v>12378</v>
      </c>
      <c r="AJ1456" s="116">
        <v>0.9</v>
      </c>
      <c r="AK1456" s="117"/>
      <c r="AL1456" s="117"/>
      <c r="AM1456" s="117"/>
      <c r="AN1456" s="117"/>
      <c r="AO1456" s="117"/>
    </row>
    <row r="1457" ht="34.5" customHeight="1">
      <c r="A1457" s="111">
        <v>2085.0</v>
      </c>
      <c r="B1457" s="111" t="s">
        <v>9461</v>
      </c>
      <c r="C1457" s="111" t="s">
        <v>7981</v>
      </c>
      <c r="D1457" s="111">
        <v>2026.0</v>
      </c>
      <c r="E1457" s="111"/>
      <c r="F1457" s="111" t="s">
        <v>12393</v>
      </c>
      <c r="G1457" s="111" t="s">
        <v>12235</v>
      </c>
      <c r="H1457" s="111" t="s">
        <v>13160</v>
      </c>
      <c r="I1457" s="111"/>
      <c r="J1457" s="111"/>
      <c r="K1457" s="111" t="s">
        <v>174</v>
      </c>
      <c r="L1457" s="111"/>
      <c r="M1457" s="111">
        <v>1.0</v>
      </c>
      <c r="N1457" s="111"/>
      <c r="O1457" s="111"/>
      <c r="P1457" s="111"/>
      <c r="Q1457" s="111"/>
      <c r="R1457" s="111"/>
      <c r="S1457" s="111"/>
      <c r="T1457" s="111"/>
      <c r="U1457" s="111"/>
      <c r="V1457" s="111"/>
      <c r="W1457" s="111"/>
      <c r="X1457" s="111"/>
      <c r="Y1457" s="111"/>
      <c r="Z1457" s="111" t="s">
        <v>14339</v>
      </c>
      <c r="AA1457" s="124"/>
      <c r="AB1457" s="125">
        <f>IF(Projects!$AI1457="Electrolysis",
AA1457/VLOOKUP(G1457,ElectrolysisConvF,3,FALSE),
AC1457*10^6/(H2dens*HoursInYear))</f>
        <v>138580.9057</v>
      </c>
      <c r="AC1457" s="125">
        <f>600*3/17/0.98</f>
        <v>108.0432173</v>
      </c>
      <c r="AD1457" s="125">
        <v>450000.0</v>
      </c>
      <c r="AE1457" s="125">
        <f t="shared" si="282"/>
        <v>56419.39925</v>
      </c>
      <c r="AF1457" s="127" t="s">
        <v>14340</v>
      </c>
      <c r="AG1457" s="127">
        <v>40.6984234774802</v>
      </c>
      <c r="AH1457" s="127">
        <v>-91.2254868657529</v>
      </c>
      <c r="AI1457" s="115" t="s">
        <v>12378</v>
      </c>
      <c r="AJ1457" s="116">
        <v>0.9</v>
      </c>
      <c r="AK1457" s="117"/>
      <c r="AL1457" s="117"/>
      <c r="AM1457" s="117"/>
      <c r="AN1457" s="117"/>
      <c r="AO1457" s="117"/>
    </row>
    <row r="1458" ht="34.5" customHeight="1">
      <c r="A1458" s="111">
        <v>2086.0</v>
      </c>
      <c r="B1458" s="111" t="s">
        <v>9462</v>
      </c>
      <c r="C1458" s="111" t="s">
        <v>7981</v>
      </c>
      <c r="D1458" s="111"/>
      <c r="E1458" s="111"/>
      <c r="F1458" s="111" t="s">
        <v>12399</v>
      </c>
      <c r="G1458" s="111" t="s">
        <v>12235</v>
      </c>
      <c r="H1458" s="111" t="s">
        <v>13160</v>
      </c>
      <c r="I1458" s="111"/>
      <c r="J1458" s="111"/>
      <c r="K1458" s="111" t="s">
        <v>174</v>
      </c>
      <c r="L1458" s="111"/>
      <c r="M1458" s="111">
        <v>1.0</v>
      </c>
      <c r="N1458" s="111"/>
      <c r="O1458" s="111"/>
      <c r="P1458" s="111"/>
      <c r="Q1458" s="111"/>
      <c r="R1458" s="111"/>
      <c r="S1458" s="111"/>
      <c r="T1458" s="111"/>
      <c r="U1458" s="111"/>
      <c r="V1458" s="111"/>
      <c r="W1458" s="111"/>
      <c r="X1458" s="111"/>
      <c r="Y1458" s="111"/>
      <c r="Z1458" s="111" t="s">
        <v>14341</v>
      </c>
      <c r="AA1458" s="124"/>
      <c r="AB1458" s="125">
        <f>IF(Projects!$AI1458="Electrolysis",
AA1458/VLOOKUP(G1458,ElectrolysisConvF,3,FALSE),
AC1458*10^6/(H2dens*HoursInYear))</f>
        <v>92387.27044</v>
      </c>
      <c r="AC1458" s="125">
        <f>400*3/17/0.98</f>
        <v>72.02881152</v>
      </c>
      <c r="AD1458" s="125">
        <v>250000.0</v>
      </c>
      <c r="AE1458" s="125">
        <f t="shared" si="282"/>
        <v>31344.11069</v>
      </c>
      <c r="AF1458" s="127" t="s">
        <v>14340</v>
      </c>
      <c r="AG1458" s="127">
        <v>40.6984234774802</v>
      </c>
      <c r="AH1458" s="127">
        <v>-91.2254868657529</v>
      </c>
      <c r="AI1458" s="115" t="s">
        <v>12378</v>
      </c>
      <c r="AJ1458" s="116">
        <v>0.9</v>
      </c>
      <c r="AK1458" s="117"/>
      <c r="AL1458" s="117"/>
      <c r="AM1458" s="117"/>
      <c r="AN1458" s="117"/>
      <c r="AO1458" s="117"/>
    </row>
    <row r="1459" ht="34.5" customHeight="1">
      <c r="A1459" s="111">
        <v>2087.0</v>
      </c>
      <c r="B1459" s="111" t="s">
        <v>9463</v>
      </c>
      <c r="C1459" s="111" t="s">
        <v>7981</v>
      </c>
      <c r="D1459" s="111">
        <v>2026.0</v>
      </c>
      <c r="E1459" s="111"/>
      <c r="F1459" s="111" t="s">
        <v>12399</v>
      </c>
      <c r="G1459" s="111" t="s">
        <v>12235</v>
      </c>
      <c r="H1459" s="111" t="s">
        <v>12885</v>
      </c>
      <c r="I1459" s="111"/>
      <c r="J1459" s="111"/>
      <c r="K1459" s="111" t="s">
        <v>30</v>
      </c>
      <c r="L1459" s="111"/>
      <c r="M1459" s="111"/>
      <c r="N1459" s="111"/>
      <c r="O1459" s="111"/>
      <c r="P1459" s="111"/>
      <c r="Q1459" s="111"/>
      <c r="R1459" s="111"/>
      <c r="S1459" s="111"/>
      <c r="T1459" s="111"/>
      <c r="U1459" s="111"/>
      <c r="V1459" s="111"/>
      <c r="W1459" s="111"/>
      <c r="X1459" s="111"/>
      <c r="Y1459" s="111"/>
      <c r="Z1459" s="111" t="s">
        <v>14342</v>
      </c>
      <c r="AA1459" s="124" t="str">
        <f>IF(OR(G1459="ALK",G1459="PEM",G1459="SOEC",G1459="Other Electrolysis"),
AB1459*VLOOKUP(G1459,ElectrolysisConvF,3,FALSE),
"")</f>
        <v/>
      </c>
      <c r="AB1459" s="125">
        <f>IF(Projects!$AI1459="Electrolysis",
AA1459/VLOOKUP(G1459,ElectrolysisConvF,3,FALSE),
AC1459*10^6/(H2dens*HoursInYear))</f>
        <v>33811.90179</v>
      </c>
      <c r="AC1459" s="126">
        <f>(65/1000)*365/Projects!$AJ1459</f>
        <v>26.36111111</v>
      </c>
      <c r="AD1459" s="125">
        <v>100000.0</v>
      </c>
      <c r="AE1459" s="125">
        <f t="shared" si="282"/>
        <v>12537.64428</v>
      </c>
      <c r="AF1459" s="127" t="s">
        <v>14343</v>
      </c>
      <c r="AG1459" s="127">
        <v>35.2711004613519</v>
      </c>
      <c r="AH1459" s="127">
        <v>-119.426847792404</v>
      </c>
      <c r="AI1459" s="115" t="s">
        <v>12378</v>
      </c>
      <c r="AJ1459" s="116">
        <v>0.9</v>
      </c>
      <c r="AK1459" s="117"/>
      <c r="AL1459" s="117"/>
      <c r="AM1459" s="117"/>
      <c r="AN1459" s="117"/>
      <c r="AO1459" s="117"/>
    </row>
    <row r="1460" ht="34.5" customHeight="1">
      <c r="A1460" s="111">
        <v>2088.0</v>
      </c>
      <c r="B1460" s="111" t="s">
        <v>9464</v>
      </c>
      <c r="C1460" s="111" t="s">
        <v>7981</v>
      </c>
      <c r="D1460" s="111">
        <v>2030.0</v>
      </c>
      <c r="E1460" s="111"/>
      <c r="F1460" s="111" t="s">
        <v>12399</v>
      </c>
      <c r="G1460" s="111" t="s">
        <v>12235</v>
      </c>
      <c r="H1460" s="111" t="s">
        <v>13160</v>
      </c>
      <c r="I1460" s="111"/>
      <c r="J1460" s="111"/>
      <c r="K1460" s="111" t="s">
        <v>174</v>
      </c>
      <c r="L1460" s="111"/>
      <c r="M1460" s="111">
        <v>1.0</v>
      </c>
      <c r="N1460" s="111"/>
      <c r="O1460" s="111"/>
      <c r="P1460" s="111"/>
      <c r="Q1460" s="111"/>
      <c r="R1460" s="111"/>
      <c r="S1460" s="111"/>
      <c r="T1460" s="111"/>
      <c r="U1460" s="111"/>
      <c r="V1460" s="111"/>
      <c r="W1460" s="111"/>
      <c r="X1460" s="111"/>
      <c r="Y1460" s="111"/>
      <c r="Z1460" s="111"/>
      <c r="AA1460" s="124" t="str">
        <f>IF(OR(G1460="ALK",G1460="PEM",G1460="SOEC",G1460="Other Electrolysis"),
AB1460*VLOOKUP(G1460,ElectrolysisConvF,3,FALSE),
"")</f>
        <v/>
      </c>
      <c r="AB1460" s="125"/>
      <c r="AC1460" s="125"/>
      <c r="AD1460" s="125"/>
      <c r="AE1460" s="125">
        <f t="shared" si="282"/>
        <v>0</v>
      </c>
      <c r="AF1460" s="127" t="s">
        <v>14344</v>
      </c>
      <c r="AG1460" s="127">
        <v>27.8845342759862</v>
      </c>
      <c r="AH1460" s="127">
        <v>-97.2653450968814</v>
      </c>
      <c r="AI1460" s="115" t="s">
        <v>12378</v>
      </c>
      <c r="AJ1460" s="116">
        <v>0.9</v>
      </c>
      <c r="AK1460" s="117"/>
      <c r="AL1460" s="117"/>
      <c r="AM1460" s="117"/>
      <c r="AN1460" s="117"/>
      <c r="AO1460" s="117"/>
    </row>
    <row r="1461" ht="34.5" customHeight="1">
      <c r="A1461" s="111">
        <v>2089.0</v>
      </c>
      <c r="B1461" s="111" t="s">
        <v>9465</v>
      </c>
      <c r="C1461" s="111" t="s">
        <v>7981</v>
      </c>
      <c r="D1461" s="111"/>
      <c r="E1461" s="111"/>
      <c r="F1461" s="111" t="s">
        <v>12397</v>
      </c>
      <c r="G1461" s="111" t="s">
        <v>12235</v>
      </c>
      <c r="H1461" s="111" t="s">
        <v>13160</v>
      </c>
      <c r="I1461" s="111"/>
      <c r="J1461" s="111"/>
      <c r="K1461" s="111" t="s">
        <v>174</v>
      </c>
      <c r="L1461" s="111"/>
      <c r="M1461" s="111">
        <v>1.0</v>
      </c>
      <c r="N1461" s="111"/>
      <c r="O1461" s="111"/>
      <c r="P1461" s="111"/>
      <c r="Q1461" s="111"/>
      <c r="R1461" s="111"/>
      <c r="S1461" s="111"/>
      <c r="T1461" s="111"/>
      <c r="U1461" s="111"/>
      <c r="V1461" s="111"/>
      <c r="W1461" s="111"/>
      <c r="X1461" s="111"/>
      <c r="Y1461" s="111"/>
      <c r="Z1461" s="111" t="s">
        <v>14345</v>
      </c>
      <c r="AA1461" s="124" t="str">
        <f>IF(OR(G1461="ALK",G1461="PEM",G1461="SOEC",G1461="Other Electrolysis"),
AB1461*VLOOKUP(G1461,ElectrolysisConvF,3,FALSE),
"")</f>
        <v/>
      </c>
      <c r="AB1461" s="125"/>
      <c r="AC1461" s="125"/>
      <c r="AD1461" s="125">
        <v>1000000.0</v>
      </c>
      <c r="AE1461" s="125">
        <f t="shared" si="282"/>
        <v>125376.4428</v>
      </c>
      <c r="AF1461" s="127" t="s">
        <v>14344</v>
      </c>
      <c r="AG1461" s="127">
        <v>27.8845342759862</v>
      </c>
      <c r="AH1461" s="127">
        <v>-97.2653450968814</v>
      </c>
      <c r="AI1461" s="115" t="s">
        <v>12378</v>
      </c>
      <c r="AJ1461" s="116">
        <v>0.9</v>
      </c>
      <c r="AK1461" s="117"/>
      <c r="AL1461" s="117"/>
      <c r="AM1461" s="117"/>
      <c r="AN1461" s="117"/>
      <c r="AO1461" s="117"/>
    </row>
    <row r="1462" ht="34.5" customHeight="1">
      <c r="A1462" s="111">
        <v>2090.0</v>
      </c>
      <c r="B1462" s="111" t="s">
        <v>9466</v>
      </c>
      <c r="C1462" s="111" t="s">
        <v>7981</v>
      </c>
      <c r="D1462" s="111"/>
      <c r="E1462" s="111"/>
      <c r="F1462" s="111" t="s">
        <v>12399</v>
      </c>
      <c r="G1462" s="111" t="s">
        <v>12235</v>
      </c>
      <c r="H1462" s="111" t="s">
        <v>13160</v>
      </c>
      <c r="I1462" s="111"/>
      <c r="J1462" s="111"/>
      <c r="K1462" s="111" t="s">
        <v>30</v>
      </c>
      <c r="L1462" s="111">
        <v>1.0</v>
      </c>
      <c r="M1462" s="111"/>
      <c r="N1462" s="111"/>
      <c r="O1462" s="111"/>
      <c r="P1462" s="111"/>
      <c r="Q1462" s="111"/>
      <c r="R1462" s="111"/>
      <c r="S1462" s="111"/>
      <c r="T1462" s="111"/>
      <c r="U1462" s="111"/>
      <c r="V1462" s="111"/>
      <c r="W1462" s="111"/>
      <c r="X1462" s="111"/>
      <c r="Y1462" s="111"/>
      <c r="Z1462" s="111"/>
      <c r="AA1462" s="124" t="str">
        <f>IF(OR(G1462="ALK",G1462="PEM",G1462="SOEC",G1462="Other Electrolysis"),
AB1462*VLOOKUP(G1462,ElectrolysisConvF,3,FALSE),
"")</f>
        <v/>
      </c>
      <c r="AB1462" s="125"/>
      <c r="AC1462" s="125"/>
      <c r="AD1462" s="125"/>
      <c r="AE1462" s="125">
        <f t="shared" si="282"/>
        <v>0</v>
      </c>
      <c r="AF1462" s="127" t="s">
        <v>14346</v>
      </c>
      <c r="AG1462" s="127">
        <v>38.046792303799</v>
      </c>
      <c r="AH1462" s="127">
        <v>-122.256025964307</v>
      </c>
      <c r="AI1462" s="115" t="s">
        <v>12378</v>
      </c>
      <c r="AJ1462" s="116">
        <v>0.9</v>
      </c>
      <c r="AK1462" s="117"/>
      <c r="AL1462" s="117"/>
      <c r="AM1462" s="117"/>
      <c r="AN1462" s="117"/>
      <c r="AO1462" s="117"/>
    </row>
    <row r="1463" ht="34.5" customHeight="1">
      <c r="A1463" s="111">
        <v>2091.0</v>
      </c>
      <c r="B1463" s="111" t="s">
        <v>9467</v>
      </c>
      <c r="C1463" s="111" t="s">
        <v>7981</v>
      </c>
      <c r="D1463" s="111"/>
      <c r="E1463" s="111"/>
      <c r="F1463" s="111" t="s">
        <v>12399</v>
      </c>
      <c r="G1463" s="111" t="s">
        <v>12235</v>
      </c>
      <c r="H1463" s="111" t="s">
        <v>13160</v>
      </c>
      <c r="I1463" s="111"/>
      <c r="J1463" s="111"/>
      <c r="K1463" s="111" t="s">
        <v>30</v>
      </c>
      <c r="L1463" s="111"/>
      <c r="M1463" s="111"/>
      <c r="N1463" s="111"/>
      <c r="O1463" s="111"/>
      <c r="P1463" s="111"/>
      <c r="Q1463" s="111"/>
      <c r="R1463" s="111"/>
      <c r="S1463" s="111"/>
      <c r="T1463" s="111"/>
      <c r="U1463" s="111"/>
      <c r="V1463" s="111"/>
      <c r="W1463" s="111"/>
      <c r="X1463" s="111"/>
      <c r="Y1463" s="111"/>
      <c r="Z1463" s="111" t="s">
        <v>14347</v>
      </c>
      <c r="AA1463" s="124" t="str">
        <f>IF(OR(G1463="ALK",G1463="PEM",G1463="SOEC",G1463="Other Electrolysis"),
AB1463*VLOOKUP(G1463,ElectrolysisConvF,3,FALSE),
"")</f>
        <v/>
      </c>
      <c r="AB1463" s="125"/>
      <c r="AC1463" s="125"/>
      <c r="AD1463" s="125">
        <v>1400000.0</v>
      </c>
      <c r="AE1463" s="125">
        <f t="shared" si="282"/>
        <v>175527.0199</v>
      </c>
      <c r="AF1463" s="127" t="s">
        <v>14348</v>
      </c>
      <c r="AG1463" s="127">
        <v>30.0200474759756</v>
      </c>
      <c r="AH1463" s="127">
        <v>-90.8227440340705</v>
      </c>
      <c r="AI1463" s="115" t="s">
        <v>12378</v>
      </c>
      <c r="AJ1463" s="116">
        <v>0.9</v>
      </c>
      <c r="AK1463" s="117"/>
      <c r="AL1463" s="117"/>
      <c r="AM1463" s="117"/>
      <c r="AN1463" s="117"/>
      <c r="AO1463" s="117"/>
    </row>
    <row r="1464" ht="34.5" customHeight="1">
      <c r="A1464" s="111">
        <v>2092.0</v>
      </c>
      <c r="B1464" s="111" t="s">
        <v>9468</v>
      </c>
      <c r="C1464" s="111" t="s">
        <v>7981</v>
      </c>
      <c r="D1464" s="111"/>
      <c r="E1464" s="111"/>
      <c r="F1464" s="111" t="s">
        <v>12399</v>
      </c>
      <c r="G1464" s="111" t="s">
        <v>12235</v>
      </c>
      <c r="H1464" s="111" t="s">
        <v>13160</v>
      </c>
      <c r="I1464" s="111"/>
      <c r="J1464" s="111"/>
      <c r="K1464" s="111" t="s">
        <v>30</v>
      </c>
      <c r="L1464" s="111"/>
      <c r="M1464" s="111"/>
      <c r="N1464" s="111"/>
      <c r="O1464" s="111"/>
      <c r="P1464" s="111"/>
      <c r="Q1464" s="111"/>
      <c r="R1464" s="111"/>
      <c r="S1464" s="111"/>
      <c r="T1464" s="111"/>
      <c r="U1464" s="111"/>
      <c r="V1464" s="111"/>
      <c r="W1464" s="111"/>
      <c r="X1464" s="111"/>
      <c r="Y1464" s="111"/>
      <c r="Z1464" s="111" t="s">
        <v>14349</v>
      </c>
      <c r="AA1464" s="124" t="str">
        <f>IF(OR(G1464="ALK",G1464="PEM",G1464="SOEC",G1464="Other Electrolysis"),
AB1464*VLOOKUP(G1464,ElectrolysisConvF,3,FALSE),
"")</f>
        <v/>
      </c>
      <c r="AB1464" s="125"/>
      <c r="AC1464" s="125"/>
      <c r="AD1464" s="125">
        <v>1660000.0</v>
      </c>
      <c r="AE1464" s="125">
        <f t="shared" si="282"/>
        <v>208124.895</v>
      </c>
      <c r="AF1464" s="127" t="s">
        <v>14346</v>
      </c>
      <c r="AG1464" s="127">
        <v>43.4338944655544</v>
      </c>
      <c r="AH1464" s="127">
        <v>-107.903023605264</v>
      </c>
      <c r="AI1464" s="115" t="s">
        <v>12378</v>
      </c>
      <c r="AJ1464" s="116">
        <v>0.9</v>
      </c>
      <c r="AK1464" s="117"/>
      <c r="AL1464" s="117"/>
      <c r="AM1464" s="117"/>
      <c r="AN1464" s="117"/>
      <c r="AO1464" s="117"/>
    </row>
    <row r="1465" ht="34.5" customHeight="1">
      <c r="A1465" s="111">
        <v>2093.0</v>
      </c>
      <c r="B1465" s="111" t="s">
        <v>9469</v>
      </c>
      <c r="C1465" s="111" t="s">
        <v>7981</v>
      </c>
      <c r="D1465" s="111"/>
      <c r="E1465" s="111"/>
      <c r="F1465" s="111" t="s">
        <v>12399</v>
      </c>
      <c r="G1465" s="111" t="s">
        <v>12235</v>
      </c>
      <c r="H1465" s="111" t="s">
        <v>13160</v>
      </c>
      <c r="I1465" s="111"/>
      <c r="J1465" s="111"/>
      <c r="K1465" s="111" t="s">
        <v>30</v>
      </c>
      <c r="L1465" s="111"/>
      <c r="M1465" s="111"/>
      <c r="N1465" s="111"/>
      <c r="O1465" s="111"/>
      <c r="P1465" s="111"/>
      <c r="Q1465" s="111"/>
      <c r="R1465" s="111"/>
      <c r="S1465" s="111"/>
      <c r="T1465" s="111"/>
      <c r="U1465" s="111"/>
      <c r="V1465" s="111"/>
      <c r="W1465" s="111"/>
      <c r="X1465" s="111"/>
      <c r="Y1465" s="111"/>
      <c r="Z1465" s="111"/>
      <c r="AA1465" s="124" t="str">
        <f>IF(OR(G1465="ALK",G1465="PEM",G1465="SOEC",G1465="Other Electrolysis"),
AB1465*VLOOKUP(G1465,ElectrolysisConvF,3,FALSE),
"")</f>
        <v/>
      </c>
      <c r="AB1465" s="125"/>
      <c r="AC1465" s="125"/>
      <c r="AD1465" s="125"/>
      <c r="AE1465" s="125">
        <f t="shared" si="282"/>
        <v>0</v>
      </c>
      <c r="AF1465" s="127" t="s">
        <v>14350</v>
      </c>
      <c r="AG1465" s="127">
        <v>29.4441167293377</v>
      </c>
      <c r="AH1465" s="127">
        <v>-90.6693624554118</v>
      </c>
      <c r="AI1465" s="115" t="s">
        <v>12378</v>
      </c>
      <c r="AJ1465" s="116">
        <v>0.9</v>
      </c>
      <c r="AK1465" s="117"/>
      <c r="AL1465" s="117"/>
      <c r="AM1465" s="117"/>
      <c r="AN1465" s="117"/>
      <c r="AO1465" s="117"/>
    </row>
    <row r="1466" ht="34.5" customHeight="1">
      <c r="A1466" s="111">
        <v>2094.0</v>
      </c>
      <c r="B1466" s="111" t="s">
        <v>9470</v>
      </c>
      <c r="C1466" s="111" t="s">
        <v>7981</v>
      </c>
      <c r="D1466" s="111"/>
      <c r="E1466" s="111"/>
      <c r="F1466" s="111" t="s">
        <v>12399</v>
      </c>
      <c r="G1466" s="111" t="s">
        <v>12235</v>
      </c>
      <c r="H1466" s="111" t="s">
        <v>13160</v>
      </c>
      <c r="I1466" s="111"/>
      <c r="J1466" s="111"/>
      <c r="K1466" s="111" t="s">
        <v>30</v>
      </c>
      <c r="L1466" s="111"/>
      <c r="M1466" s="111"/>
      <c r="N1466" s="111"/>
      <c r="O1466" s="111"/>
      <c r="P1466" s="111"/>
      <c r="Q1466" s="111"/>
      <c r="R1466" s="111"/>
      <c r="S1466" s="111"/>
      <c r="T1466" s="111"/>
      <c r="U1466" s="111"/>
      <c r="V1466" s="111"/>
      <c r="W1466" s="111"/>
      <c r="X1466" s="111"/>
      <c r="Y1466" s="111"/>
      <c r="Z1466" s="111"/>
      <c r="AA1466" s="124" t="str">
        <f>IF(OR(G1466="ALK",G1466="PEM",G1466="SOEC",G1466="Other Electrolysis"),
AB1466*VLOOKUP(G1466,ElectrolysisConvF,3,FALSE),
"")</f>
        <v/>
      </c>
      <c r="AB1466" s="125"/>
      <c r="AC1466" s="125"/>
      <c r="AD1466" s="125"/>
      <c r="AE1466" s="125">
        <f t="shared" si="282"/>
        <v>0</v>
      </c>
      <c r="AF1466" s="127" t="s">
        <v>14350</v>
      </c>
      <c r="AG1466" s="127">
        <v>39.7521401168275</v>
      </c>
      <c r="AH1466" s="127">
        <v>-122.965570235525</v>
      </c>
      <c r="AI1466" s="115" t="s">
        <v>12378</v>
      </c>
      <c r="AJ1466" s="116">
        <v>0.9</v>
      </c>
      <c r="AK1466" s="117"/>
      <c r="AL1466" s="117"/>
      <c r="AM1466" s="117"/>
      <c r="AN1466" s="117"/>
      <c r="AO1466" s="117"/>
    </row>
    <row r="1467" ht="34.5" customHeight="1">
      <c r="A1467" s="111">
        <v>2095.0</v>
      </c>
      <c r="B1467" s="111" t="s">
        <v>9471</v>
      </c>
      <c r="C1467" s="111" t="s">
        <v>8785</v>
      </c>
      <c r="D1467" s="111"/>
      <c r="E1467" s="111"/>
      <c r="F1467" s="111" t="s">
        <v>12397</v>
      </c>
      <c r="G1467" s="111" t="s">
        <v>12381</v>
      </c>
      <c r="H1467" s="111" t="s">
        <v>12230</v>
      </c>
      <c r="I1467" s="111" t="s">
        <v>12394</v>
      </c>
      <c r="J1467" s="111" t="s">
        <v>12296</v>
      </c>
      <c r="K1467" s="111" t="s">
        <v>30</v>
      </c>
      <c r="L1467" s="111"/>
      <c r="M1467" s="111"/>
      <c r="N1467" s="111"/>
      <c r="O1467" s="111">
        <v>1.0</v>
      </c>
      <c r="P1467" s="111"/>
      <c r="Q1467" s="111"/>
      <c r="R1467" s="111"/>
      <c r="S1467" s="111"/>
      <c r="T1467" s="111"/>
      <c r="U1467" s="111"/>
      <c r="V1467" s="111"/>
      <c r="W1467" s="111"/>
      <c r="X1467" s="111"/>
      <c r="Y1467" s="111"/>
      <c r="Z1467" s="111" t="s">
        <v>14351</v>
      </c>
      <c r="AA1467" s="126">
        <f>IF(Projects!$AI1467="Electrolysis",
AB1467*VLOOKUP(G1467,ElectrolysisConvF,3,FALSE),
"")</f>
        <v>3623.018316</v>
      </c>
      <c r="AB1467" s="125">
        <f>AC1467/(H2dens*HoursInYear/10^6)</f>
        <v>805115.1814</v>
      </c>
      <c r="AC1467" s="125">
        <f>5000*0.06277/Projects!$AJ1467</f>
        <v>627.7</v>
      </c>
      <c r="AD1467" s="125"/>
      <c r="AE1467" s="125">
        <f t="shared" si="282"/>
        <v>805115.1814</v>
      </c>
      <c r="AF1467" s="127"/>
      <c r="AG1467" s="127">
        <v>29.659369</v>
      </c>
      <c r="AH1467" s="127">
        <v>32.34481</v>
      </c>
      <c r="AI1467" s="115" t="s">
        <v>12383</v>
      </c>
      <c r="AJ1467" s="116">
        <v>0.5</v>
      </c>
      <c r="AK1467" s="117"/>
      <c r="AL1467" s="117"/>
      <c r="AM1467" s="117"/>
      <c r="AN1467" s="117"/>
      <c r="AO1467" s="117"/>
    </row>
    <row r="1468" ht="34.5" customHeight="1">
      <c r="A1468" s="111">
        <v>2096.0</v>
      </c>
      <c r="B1468" s="111" t="s">
        <v>9472</v>
      </c>
      <c r="C1468" s="111" t="s">
        <v>8437</v>
      </c>
      <c r="D1468" s="111">
        <v>2027.0</v>
      </c>
      <c r="E1468" s="111"/>
      <c r="F1468" s="111" t="s">
        <v>12399</v>
      </c>
      <c r="G1468" s="111" t="s">
        <v>12224</v>
      </c>
      <c r="H1468" s="111"/>
      <c r="I1468" s="111" t="s">
        <v>12406</v>
      </c>
      <c r="J1468" s="111"/>
      <c r="K1468" s="111" t="s">
        <v>174</v>
      </c>
      <c r="L1468" s="111"/>
      <c r="M1468" s="111">
        <v>1.0</v>
      </c>
      <c r="N1468" s="111"/>
      <c r="O1468" s="111"/>
      <c r="P1468" s="111"/>
      <c r="Q1468" s="111"/>
      <c r="R1468" s="111"/>
      <c r="S1468" s="111"/>
      <c r="T1468" s="111"/>
      <c r="U1468" s="111"/>
      <c r="V1468" s="111"/>
      <c r="W1468" s="111"/>
      <c r="X1468" s="111"/>
      <c r="Y1468" s="111"/>
      <c r="Z1468" s="111" t="s">
        <v>14352</v>
      </c>
      <c r="AA1468" s="124">
        <v>145.0</v>
      </c>
      <c r="AB1468" s="125">
        <f>IF(Projects!$AI1468="Electrolysis",
AA1468/VLOOKUP(G1468,ElectrolysisConvF,3,FALSE),
AC1468*10^6/(H2dens*HoursInYear))</f>
        <v>31521.73913</v>
      </c>
      <c r="AC1468" s="126">
        <f t="shared" ref="AC1468:AC1470" si="283">AB1468*H2dens*HoursInYear/10^6</f>
        <v>24.5756087</v>
      </c>
      <c r="AD1468" s="125"/>
      <c r="AE1468" s="125">
        <f t="shared" si="282"/>
        <v>31521.73913</v>
      </c>
      <c r="AF1468" s="127" t="s">
        <v>14353</v>
      </c>
      <c r="AG1468" s="127">
        <v>-25.5085388475998</v>
      </c>
      <c r="AH1468" s="127">
        <v>-57.5609821637221</v>
      </c>
      <c r="AI1468" s="115" t="s">
        <v>12383</v>
      </c>
      <c r="AJ1468" s="116">
        <v>0.57</v>
      </c>
      <c r="AK1468" s="117"/>
      <c r="AL1468" s="117"/>
      <c r="AM1468" s="117"/>
      <c r="AN1468" s="117"/>
      <c r="AO1468" s="117"/>
    </row>
    <row r="1469" ht="34.5" customHeight="1">
      <c r="A1469" s="111">
        <v>2097.0</v>
      </c>
      <c r="B1469" s="111" t="s">
        <v>9473</v>
      </c>
      <c r="C1469" s="111" t="s">
        <v>7991</v>
      </c>
      <c r="D1469" s="111">
        <v>2026.0</v>
      </c>
      <c r="E1469" s="111"/>
      <c r="F1469" s="111" t="s">
        <v>12393</v>
      </c>
      <c r="G1469" s="111" t="s">
        <v>12381</v>
      </c>
      <c r="H1469" s="111" t="s">
        <v>12230</v>
      </c>
      <c r="I1469" s="111" t="s">
        <v>12406</v>
      </c>
      <c r="J1469" s="111"/>
      <c r="K1469" s="111" t="s">
        <v>30</v>
      </c>
      <c r="L1469" s="111"/>
      <c r="M1469" s="111"/>
      <c r="N1469" s="111"/>
      <c r="O1469" s="111"/>
      <c r="P1469" s="111">
        <v>1.0</v>
      </c>
      <c r="Q1469" s="111"/>
      <c r="R1469" s="111"/>
      <c r="S1469" s="111"/>
      <c r="T1469" s="111"/>
      <c r="U1469" s="111"/>
      <c r="V1469" s="111"/>
      <c r="W1469" s="111"/>
      <c r="X1469" s="111"/>
      <c r="Y1469" s="111"/>
      <c r="Z1469" s="111" t="s">
        <v>12386</v>
      </c>
      <c r="AA1469" s="124">
        <v>7.0</v>
      </c>
      <c r="AB1469" s="125">
        <f>IF(Projects!$AI1469="Electrolysis",
AA1469/VLOOKUP(G1469,ElectrolysisConvF,3,FALSE),
AC1469*10^6/(H2dens*HoursInYear))</f>
        <v>1555.555556</v>
      </c>
      <c r="AC1469" s="126">
        <f t="shared" si="283"/>
        <v>1.212773333</v>
      </c>
      <c r="AD1469" s="125"/>
      <c r="AE1469" s="125">
        <f t="shared" si="282"/>
        <v>1555.555556</v>
      </c>
      <c r="AF1469" s="127" t="s">
        <v>14354</v>
      </c>
      <c r="AG1469" s="127">
        <v>50.3961783988706</v>
      </c>
      <c r="AH1469" s="127">
        <v>-3.99792956663153</v>
      </c>
      <c r="AI1469" s="115" t="s">
        <v>12383</v>
      </c>
      <c r="AJ1469" s="116">
        <v>0.57</v>
      </c>
      <c r="AK1469" s="117"/>
      <c r="AL1469" s="117"/>
      <c r="AM1469" s="117"/>
      <c r="AN1469" s="117"/>
      <c r="AO1469" s="117"/>
    </row>
    <row r="1470" ht="34.5" customHeight="1">
      <c r="A1470" s="111">
        <v>2098.0</v>
      </c>
      <c r="B1470" s="111" t="s">
        <v>206</v>
      </c>
      <c r="C1470" s="111" t="s">
        <v>7977</v>
      </c>
      <c r="D1470" s="111">
        <v>2023.0</v>
      </c>
      <c r="E1470" s="111"/>
      <c r="F1470" s="111" t="s">
        <v>12385</v>
      </c>
      <c r="G1470" s="111" t="s">
        <v>12381</v>
      </c>
      <c r="H1470" s="111" t="s">
        <v>12230</v>
      </c>
      <c r="I1470" s="111" t="s">
        <v>12394</v>
      </c>
      <c r="J1470" s="111" t="s">
        <v>12291</v>
      </c>
      <c r="K1470" s="111" t="s">
        <v>30</v>
      </c>
      <c r="L1470" s="111"/>
      <c r="M1470" s="111"/>
      <c r="N1470" s="111"/>
      <c r="O1470" s="111"/>
      <c r="P1470" s="111">
        <v>1.0</v>
      </c>
      <c r="Q1470" s="111"/>
      <c r="R1470" s="111"/>
      <c r="S1470" s="111"/>
      <c r="T1470" s="111"/>
      <c r="U1470" s="111"/>
      <c r="V1470" s="111"/>
      <c r="W1470" s="111"/>
      <c r="X1470" s="111"/>
      <c r="Y1470" s="111"/>
      <c r="Z1470" s="111" t="s">
        <v>14355</v>
      </c>
      <c r="AA1470" s="124">
        <v>8.0</v>
      </c>
      <c r="AB1470" s="125">
        <f>IF(Projects!$AI1470="Electrolysis",
AA1470/VLOOKUP(G1470,ElectrolysisConvF,3,FALSE),
AC1470*10^6/(H2dens*HoursInYear))</f>
        <v>1777.777778</v>
      </c>
      <c r="AC1470" s="126">
        <f t="shared" si="283"/>
        <v>1.386026667</v>
      </c>
      <c r="AD1470" s="125"/>
      <c r="AE1470" s="125">
        <f t="shared" si="282"/>
        <v>1777.777778</v>
      </c>
      <c r="AF1470" s="127" t="s">
        <v>14356</v>
      </c>
      <c r="AG1470" s="127">
        <v>39.9649732792709</v>
      </c>
      <c r="AH1470" s="127">
        <v>-0.258763321751508</v>
      </c>
      <c r="AI1470" s="115" t="s">
        <v>12383</v>
      </c>
      <c r="AJ1470" s="116">
        <v>0.3</v>
      </c>
      <c r="AK1470" s="117"/>
      <c r="AL1470" s="117"/>
      <c r="AM1470" s="117"/>
      <c r="AN1470" s="117"/>
      <c r="AO1470" s="117"/>
    </row>
    <row r="1471" ht="34.5" customHeight="1">
      <c r="A1471" s="111">
        <v>2099.0</v>
      </c>
      <c r="B1471" s="111" t="s">
        <v>9474</v>
      </c>
      <c r="C1471" s="111" t="s">
        <v>7977</v>
      </c>
      <c r="D1471" s="111">
        <v>2026.0</v>
      </c>
      <c r="E1471" s="111"/>
      <c r="F1471" s="111" t="s">
        <v>12399</v>
      </c>
      <c r="G1471" s="111" t="s">
        <v>12381</v>
      </c>
      <c r="H1471" s="111" t="s">
        <v>12230</v>
      </c>
      <c r="I1471" s="111" t="s">
        <v>12394</v>
      </c>
      <c r="J1471" s="111" t="s">
        <v>12291</v>
      </c>
      <c r="K1471" s="111" t="s">
        <v>30</v>
      </c>
      <c r="L1471" s="111"/>
      <c r="M1471" s="111"/>
      <c r="N1471" s="111"/>
      <c r="O1471" s="111"/>
      <c r="P1471" s="111">
        <v>1.0</v>
      </c>
      <c r="Q1471" s="111"/>
      <c r="R1471" s="111"/>
      <c r="S1471" s="111"/>
      <c r="T1471" s="111"/>
      <c r="U1471" s="111"/>
      <c r="V1471" s="111"/>
      <c r="W1471" s="111"/>
      <c r="X1471" s="111"/>
      <c r="Y1471" s="111"/>
      <c r="Z1471" s="111"/>
      <c r="AA1471" s="124"/>
      <c r="AB1471" s="125"/>
      <c r="AC1471" s="125"/>
      <c r="AD1471" s="125"/>
      <c r="AE1471" s="125" t="str">
        <f t="shared" si="282"/>
        <v/>
      </c>
      <c r="AF1471" s="127" t="s">
        <v>14356</v>
      </c>
      <c r="AG1471" s="127">
        <v>39.9649732792709</v>
      </c>
      <c r="AH1471" s="127">
        <v>-0.258763321751508</v>
      </c>
      <c r="AI1471" s="115" t="s">
        <v>12383</v>
      </c>
      <c r="AJ1471" s="116">
        <v>0.3</v>
      </c>
      <c r="AK1471" s="144"/>
      <c r="AL1471" s="144"/>
      <c r="AM1471" s="144"/>
      <c r="AN1471" s="144"/>
      <c r="AO1471" s="144"/>
    </row>
    <row r="1472" ht="34.5" customHeight="1">
      <c r="A1472" s="111">
        <v>2102.0</v>
      </c>
      <c r="B1472" s="111" t="s">
        <v>9475</v>
      </c>
      <c r="C1472" s="111" t="s">
        <v>7981</v>
      </c>
      <c r="D1472" s="111">
        <v>2024.0</v>
      </c>
      <c r="E1472" s="111"/>
      <c r="F1472" s="111" t="s">
        <v>12385</v>
      </c>
      <c r="G1472" s="111" t="s">
        <v>12226</v>
      </c>
      <c r="H1472" s="111"/>
      <c r="I1472" s="111" t="s">
        <v>12394</v>
      </c>
      <c r="J1472" s="111" t="s">
        <v>12296</v>
      </c>
      <c r="K1472" s="111" t="s">
        <v>12251</v>
      </c>
      <c r="L1472" s="111"/>
      <c r="M1472" s="111"/>
      <c r="N1472" s="111"/>
      <c r="O1472" s="111"/>
      <c r="P1472" s="111"/>
      <c r="Q1472" s="111"/>
      <c r="R1472" s="111"/>
      <c r="S1472" s="111"/>
      <c r="T1472" s="111"/>
      <c r="U1472" s="111"/>
      <c r="V1472" s="111"/>
      <c r="W1472" s="111">
        <v>1.0</v>
      </c>
      <c r="X1472" s="111"/>
      <c r="Y1472" s="111"/>
      <c r="Z1472" s="111" t="s">
        <v>14357</v>
      </c>
      <c r="AA1472" s="126">
        <v>2.5</v>
      </c>
      <c r="AB1472" s="125">
        <f>IF(Projects!$AI1472="Electrolysis",
AA1472/VLOOKUP(G1472,ElectrolysisConvF,3,FALSE),
AC1472*10^6/(H2dens*HoursInYear))</f>
        <v>480.7692308</v>
      </c>
      <c r="AC1472" s="126">
        <f t="shared" ref="AC1472:AC1475" si="284">AB1472*H2dens*HoursInYear/10^6</f>
        <v>0.3748269231</v>
      </c>
      <c r="AD1472" s="125"/>
      <c r="AE1472" s="125">
        <f t="shared" si="282"/>
        <v>480.7692308</v>
      </c>
      <c r="AF1472" s="127" t="s">
        <v>14358</v>
      </c>
      <c r="AG1472" s="127">
        <v>32.3780775408961</v>
      </c>
      <c r="AH1472" s="127">
        <v>-82.5840085313282</v>
      </c>
      <c r="AI1472" s="115" t="s">
        <v>12383</v>
      </c>
      <c r="AJ1472" s="116">
        <v>0.5</v>
      </c>
      <c r="AK1472" s="117"/>
      <c r="AL1472" s="117"/>
      <c r="AM1472" s="117"/>
      <c r="AN1472" s="117"/>
      <c r="AO1472" s="117"/>
    </row>
    <row r="1473" ht="34.5" customHeight="1">
      <c r="A1473" s="111">
        <v>2103.0</v>
      </c>
      <c r="B1473" s="111" t="s">
        <v>9476</v>
      </c>
      <c r="C1473" s="111" t="s">
        <v>8785</v>
      </c>
      <c r="D1473" s="111"/>
      <c r="E1473" s="111"/>
      <c r="F1473" s="111" t="s">
        <v>12397</v>
      </c>
      <c r="G1473" s="111" t="s">
        <v>12381</v>
      </c>
      <c r="H1473" s="111" t="s">
        <v>12230</v>
      </c>
      <c r="I1473" s="111" t="s">
        <v>12394</v>
      </c>
      <c r="J1473" s="111" t="s">
        <v>12295</v>
      </c>
      <c r="K1473" s="111" t="s">
        <v>30</v>
      </c>
      <c r="L1473" s="111"/>
      <c r="M1473" s="111"/>
      <c r="N1473" s="111"/>
      <c r="O1473" s="111"/>
      <c r="P1473" s="111"/>
      <c r="Q1473" s="111"/>
      <c r="R1473" s="111"/>
      <c r="S1473" s="111"/>
      <c r="T1473" s="111"/>
      <c r="U1473" s="111"/>
      <c r="V1473" s="111"/>
      <c r="W1473" s="111"/>
      <c r="X1473" s="111"/>
      <c r="Y1473" s="111"/>
      <c r="Z1473" s="111" t="s">
        <v>14359</v>
      </c>
      <c r="AA1473" s="124">
        <v>2980.0</v>
      </c>
      <c r="AB1473" s="125">
        <f>IF(Projects!$AI1473="Electrolysis",
AA1473/VLOOKUP(G1473,ElectrolysisConvF,3,FALSE),
AC1473*10^6/(H2dens*HoursInYear))</f>
        <v>662222.2222</v>
      </c>
      <c r="AC1473" s="126">
        <f t="shared" si="284"/>
        <v>516.2949333</v>
      </c>
      <c r="AD1473" s="125"/>
      <c r="AE1473" s="125">
        <f t="shared" si="282"/>
        <v>662222.2222</v>
      </c>
      <c r="AF1473" s="127" t="s">
        <v>14360</v>
      </c>
      <c r="AG1473" s="127">
        <v>28.1046417515799</v>
      </c>
      <c r="AH1473" s="127">
        <v>32.173224067015</v>
      </c>
      <c r="AI1473" s="115" t="s">
        <v>12383</v>
      </c>
      <c r="AJ1473" s="116">
        <v>0.5</v>
      </c>
      <c r="AK1473" s="117"/>
      <c r="AL1473" s="117"/>
      <c r="AM1473" s="117"/>
      <c r="AN1473" s="117"/>
      <c r="AO1473" s="117"/>
    </row>
    <row r="1474" ht="34.5" customHeight="1">
      <c r="A1474" s="111">
        <v>2104.0</v>
      </c>
      <c r="B1474" s="111" t="s">
        <v>9477</v>
      </c>
      <c r="C1474" s="111" t="s">
        <v>7981</v>
      </c>
      <c r="D1474" s="111">
        <v>2026.0</v>
      </c>
      <c r="E1474" s="111"/>
      <c r="F1474" s="111" t="s">
        <v>12397</v>
      </c>
      <c r="G1474" s="111" t="s">
        <v>12228</v>
      </c>
      <c r="H1474" s="111"/>
      <c r="I1474" s="111" t="s">
        <v>12394</v>
      </c>
      <c r="J1474" s="111" t="s">
        <v>12296</v>
      </c>
      <c r="K1474" s="111" t="s">
        <v>174</v>
      </c>
      <c r="L1474" s="111"/>
      <c r="M1474" s="111">
        <v>1.0</v>
      </c>
      <c r="N1474" s="111"/>
      <c r="O1474" s="111"/>
      <c r="P1474" s="111"/>
      <c r="Q1474" s="111"/>
      <c r="R1474" s="111"/>
      <c r="S1474" s="111"/>
      <c r="T1474" s="111"/>
      <c r="U1474" s="111"/>
      <c r="V1474" s="111"/>
      <c r="W1474" s="111"/>
      <c r="X1474" s="111"/>
      <c r="Y1474" s="111"/>
      <c r="Z1474" s="111" t="s">
        <v>12698</v>
      </c>
      <c r="AA1474" s="124">
        <v>100.0</v>
      </c>
      <c r="AB1474" s="125">
        <f>IF(Projects!$AI1474="Electrolysis",
AA1474/VLOOKUP(G1474,ElectrolysisConvF,3,FALSE),
AC1474*10^6/(H2dens*HoursInYear))</f>
        <v>26315.78947</v>
      </c>
      <c r="AC1474" s="126">
        <f t="shared" si="284"/>
        <v>20.51684211</v>
      </c>
      <c r="AD1474" s="125"/>
      <c r="AE1474" s="125">
        <f t="shared" si="282"/>
        <v>26315.78947</v>
      </c>
      <c r="AF1474" s="127" t="s">
        <v>14361</v>
      </c>
      <c r="AG1474" s="127">
        <v>28.7033692877675</v>
      </c>
      <c r="AH1474" s="127">
        <v>-96.9406361124884</v>
      </c>
      <c r="AI1474" s="115" t="s">
        <v>12383</v>
      </c>
      <c r="AJ1474" s="116">
        <v>0.5</v>
      </c>
      <c r="AK1474" s="117"/>
      <c r="AL1474" s="117"/>
      <c r="AM1474" s="117"/>
      <c r="AN1474" s="117"/>
      <c r="AO1474" s="117"/>
    </row>
    <row r="1475" ht="34.5" customHeight="1">
      <c r="A1475" s="111">
        <v>2105.0</v>
      </c>
      <c r="B1475" s="111" t="s">
        <v>9478</v>
      </c>
      <c r="C1475" s="111" t="s">
        <v>7987</v>
      </c>
      <c r="D1475" s="111">
        <v>2024.0</v>
      </c>
      <c r="E1475" s="111"/>
      <c r="F1475" s="111" t="s">
        <v>12385</v>
      </c>
      <c r="G1475" s="111" t="s">
        <v>12224</v>
      </c>
      <c r="H1475" s="111"/>
      <c r="I1475" s="111" t="s">
        <v>12394</v>
      </c>
      <c r="J1475" s="111" t="s">
        <v>12291</v>
      </c>
      <c r="K1475" s="111" t="s">
        <v>30</v>
      </c>
      <c r="L1475" s="111"/>
      <c r="M1475" s="111"/>
      <c r="N1475" s="111"/>
      <c r="O1475" s="111"/>
      <c r="P1475" s="111"/>
      <c r="Q1475" s="111">
        <v>1.0</v>
      </c>
      <c r="R1475" s="111"/>
      <c r="S1475" s="111"/>
      <c r="T1475" s="111"/>
      <c r="U1475" s="111"/>
      <c r="V1475" s="111"/>
      <c r="W1475" s="111"/>
      <c r="X1475" s="111"/>
      <c r="Y1475" s="111"/>
      <c r="Z1475" s="111" t="s">
        <v>14362</v>
      </c>
      <c r="AA1475" s="124">
        <v>5.0</v>
      </c>
      <c r="AB1475" s="125">
        <f>IF(Projects!$AI1475="Electrolysis",
AA1475/VLOOKUP(G1475,ElectrolysisConvF,3,FALSE),
AC1475*10^6/(H2dens*HoursInYear))</f>
        <v>1086.956522</v>
      </c>
      <c r="AC1475" s="126">
        <f t="shared" si="284"/>
        <v>0.8474347826</v>
      </c>
      <c r="AD1475" s="125"/>
      <c r="AE1475" s="125">
        <f t="shared" si="282"/>
        <v>1086.956522</v>
      </c>
      <c r="AF1475" s="127" t="s">
        <v>14363</v>
      </c>
      <c r="AG1475" s="127">
        <v>48.6641306216014</v>
      </c>
      <c r="AH1475" s="127">
        <v>11.9730214901096</v>
      </c>
      <c r="AI1475" s="115" t="s">
        <v>12383</v>
      </c>
      <c r="AJ1475" s="116">
        <v>0.3</v>
      </c>
      <c r="AK1475" s="117"/>
      <c r="AL1475" s="117"/>
      <c r="AM1475" s="117"/>
      <c r="AN1475" s="117"/>
      <c r="AO1475" s="117"/>
    </row>
    <row r="1476" ht="34.5" customHeight="1">
      <c r="A1476" s="111">
        <v>2106.0</v>
      </c>
      <c r="B1476" s="111" t="s">
        <v>9479</v>
      </c>
      <c r="C1476" s="111" t="s">
        <v>8388</v>
      </c>
      <c r="D1476" s="111">
        <v>2030.0</v>
      </c>
      <c r="E1476" s="111"/>
      <c r="F1476" s="111" t="s">
        <v>12399</v>
      </c>
      <c r="G1476" s="111" t="s">
        <v>12381</v>
      </c>
      <c r="H1476" s="111" t="s">
        <v>12230</v>
      </c>
      <c r="I1476" s="111" t="s">
        <v>12394</v>
      </c>
      <c r="J1476" s="111" t="s">
        <v>12296</v>
      </c>
      <c r="K1476" s="111" t="s">
        <v>174</v>
      </c>
      <c r="L1476" s="111"/>
      <c r="M1476" s="111">
        <v>1.0</v>
      </c>
      <c r="N1476" s="111"/>
      <c r="O1476" s="111"/>
      <c r="P1476" s="111"/>
      <c r="Q1476" s="111"/>
      <c r="R1476" s="111"/>
      <c r="S1476" s="111"/>
      <c r="T1476" s="111"/>
      <c r="U1476" s="111"/>
      <c r="V1476" s="111"/>
      <c r="W1476" s="111"/>
      <c r="X1476" s="111"/>
      <c r="Y1476" s="111"/>
      <c r="Z1476" s="111" t="s">
        <v>14364</v>
      </c>
      <c r="AA1476" s="126">
        <f>IF(Projects!$AI1476="Electrolysis",
AB1476*VLOOKUP(G1476,ElectrolysisConvF,3,FALSE),
"")</f>
        <v>2539.633677</v>
      </c>
      <c r="AB1476" s="125">
        <f>AC1476/(H2dens*HoursInYear/10^6)</f>
        <v>564363.0394</v>
      </c>
      <c r="AC1476" s="126">
        <f>220/Projects!$AJ1476</f>
        <v>440</v>
      </c>
      <c r="AD1476" s="125"/>
      <c r="AE1476" s="125">
        <f t="shared" si="282"/>
        <v>564363.0394</v>
      </c>
      <c r="AF1476" s="127" t="s">
        <v>14365</v>
      </c>
      <c r="AG1476" s="127">
        <v>19.6669277310332</v>
      </c>
      <c r="AH1476" s="127">
        <v>57.7254450103778</v>
      </c>
      <c r="AI1476" s="115" t="s">
        <v>12383</v>
      </c>
      <c r="AJ1476" s="116">
        <v>0.5</v>
      </c>
      <c r="AK1476" s="117"/>
      <c r="AL1476" s="117"/>
      <c r="AM1476" s="117"/>
      <c r="AN1476" s="117"/>
      <c r="AO1476" s="117"/>
    </row>
    <row r="1477" ht="34.5" customHeight="1">
      <c r="A1477" s="111">
        <v>2107.0</v>
      </c>
      <c r="B1477" s="111" t="s">
        <v>9480</v>
      </c>
      <c r="C1477" s="111" t="s">
        <v>8117</v>
      </c>
      <c r="D1477" s="111"/>
      <c r="E1477" s="111"/>
      <c r="F1477" s="111" t="s">
        <v>12399</v>
      </c>
      <c r="G1477" s="111" t="s">
        <v>12381</v>
      </c>
      <c r="H1477" s="111" t="s">
        <v>12230</v>
      </c>
      <c r="I1477" s="111" t="s">
        <v>12394</v>
      </c>
      <c r="J1477" s="111" t="s">
        <v>12291</v>
      </c>
      <c r="K1477" s="111" t="s">
        <v>30</v>
      </c>
      <c r="L1477" s="111"/>
      <c r="M1477" s="111"/>
      <c r="N1477" s="111"/>
      <c r="O1477" s="111"/>
      <c r="P1477" s="111"/>
      <c r="Q1477" s="111"/>
      <c r="R1477" s="111"/>
      <c r="S1477" s="111"/>
      <c r="T1477" s="111"/>
      <c r="U1477" s="111"/>
      <c r="V1477" s="111"/>
      <c r="W1477" s="111"/>
      <c r="X1477" s="111"/>
      <c r="Y1477" s="111"/>
      <c r="Z1477" s="111" t="s">
        <v>12768</v>
      </c>
      <c r="AA1477" s="124">
        <v>50.0</v>
      </c>
      <c r="AB1477" s="125">
        <f>IF(Projects!$AI1477="Electrolysis",
AA1477/VLOOKUP(G1477,ElectrolysisConvF,3,FALSE),
AC1477*10^6/(H2dens*HoursInYear))</f>
        <v>11111.11111</v>
      </c>
      <c r="AC1477" s="126">
        <f t="shared" ref="AC1477:AC1478" si="285">AB1477*H2dens*HoursInYear/10^6</f>
        <v>8.662666667</v>
      </c>
      <c r="AD1477" s="125"/>
      <c r="AE1477" s="125">
        <f t="shared" si="282"/>
        <v>11111.11111</v>
      </c>
      <c r="AF1477" s="127" t="s">
        <v>14366</v>
      </c>
      <c r="AG1477" s="127">
        <v>38.7782267858296</v>
      </c>
      <c r="AH1477" s="127">
        <v>22.7201600302207</v>
      </c>
      <c r="AI1477" s="115" t="s">
        <v>12383</v>
      </c>
      <c r="AJ1477" s="116">
        <v>0.3</v>
      </c>
      <c r="AK1477" s="117"/>
      <c r="AL1477" s="117"/>
      <c r="AM1477" s="117"/>
      <c r="AN1477" s="117"/>
      <c r="AO1477" s="117"/>
    </row>
    <row r="1478" ht="34.5" customHeight="1">
      <c r="A1478" s="111">
        <v>2108.0</v>
      </c>
      <c r="B1478" s="111" t="s">
        <v>9481</v>
      </c>
      <c r="C1478" s="111" t="s">
        <v>8891</v>
      </c>
      <c r="D1478" s="111"/>
      <c r="E1478" s="111"/>
      <c r="F1478" s="111" t="s">
        <v>12399</v>
      </c>
      <c r="G1478" s="111" t="s">
        <v>12381</v>
      </c>
      <c r="H1478" s="111" t="s">
        <v>12230</v>
      </c>
      <c r="I1478" s="111" t="s">
        <v>12394</v>
      </c>
      <c r="J1478" s="111" t="s">
        <v>12296</v>
      </c>
      <c r="K1478" s="111" t="s">
        <v>174</v>
      </c>
      <c r="L1478" s="111"/>
      <c r="M1478" s="111">
        <v>1.0</v>
      </c>
      <c r="N1478" s="111"/>
      <c r="O1478" s="111"/>
      <c r="P1478" s="111"/>
      <c r="Q1478" s="111"/>
      <c r="R1478" s="111"/>
      <c r="S1478" s="111"/>
      <c r="T1478" s="111"/>
      <c r="U1478" s="111"/>
      <c r="V1478" s="111"/>
      <c r="W1478" s="111"/>
      <c r="X1478" s="111"/>
      <c r="Y1478" s="111"/>
      <c r="Z1478" s="111" t="s">
        <v>12835</v>
      </c>
      <c r="AA1478" s="124">
        <v>5.0</v>
      </c>
      <c r="AB1478" s="125">
        <f>IF(Projects!$AI1478="Electrolysis",
AA1478/VLOOKUP(G1478,ElectrolysisConvF,3,FALSE),
AC1478*10^6/(H2dens*HoursInYear))</f>
        <v>1111.111111</v>
      </c>
      <c r="AC1478" s="126">
        <f t="shared" si="285"/>
        <v>0.8662666667</v>
      </c>
      <c r="AD1478" s="125"/>
      <c r="AE1478" s="125">
        <f t="shared" si="282"/>
        <v>1111.111111</v>
      </c>
      <c r="AF1478" s="127"/>
      <c r="AG1478" s="127">
        <v>-0.842934319370739</v>
      </c>
      <c r="AH1478" s="127">
        <v>36.318704915658</v>
      </c>
      <c r="AI1478" s="115" t="s">
        <v>12383</v>
      </c>
      <c r="AJ1478" s="116">
        <v>0.5</v>
      </c>
      <c r="AK1478" s="117"/>
      <c r="AL1478" s="117"/>
      <c r="AM1478" s="117"/>
      <c r="AN1478" s="117"/>
      <c r="AO1478" s="117"/>
    </row>
    <row r="1479" ht="34.5" customHeight="1">
      <c r="A1479" s="111">
        <v>2109.0</v>
      </c>
      <c r="B1479" s="111" t="s">
        <v>9482</v>
      </c>
      <c r="C1479" s="111" t="s">
        <v>9296</v>
      </c>
      <c r="D1479" s="111"/>
      <c r="E1479" s="111"/>
      <c r="F1479" s="111" t="s">
        <v>12397</v>
      </c>
      <c r="G1479" s="111" t="s">
        <v>12381</v>
      </c>
      <c r="H1479" s="111" t="s">
        <v>12230</v>
      </c>
      <c r="I1479" s="111" t="s">
        <v>12394</v>
      </c>
      <c r="J1479" s="111" t="s">
        <v>12296</v>
      </c>
      <c r="K1479" s="111" t="s">
        <v>30</v>
      </c>
      <c r="L1479" s="111"/>
      <c r="M1479" s="111"/>
      <c r="N1479" s="111"/>
      <c r="O1479" s="111"/>
      <c r="P1479" s="111"/>
      <c r="Q1479" s="111"/>
      <c r="R1479" s="111"/>
      <c r="S1479" s="111"/>
      <c r="T1479" s="111"/>
      <c r="U1479" s="111"/>
      <c r="V1479" s="111"/>
      <c r="W1479" s="111"/>
      <c r="X1479" s="111"/>
      <c r="Y1479" s="111"/>
      <c r="Z1479" s="111"/>
      <c r="AA1479" s="124">
        <f>IF(OR(G1479="ALK",G1479="PEM",G1479="SOEC",G1479="Other Electrolysis"),
AB1479*VLOOKUP(G1479,ElectrolysisConvF,3,FALSE),
"")</f>
        <v>0</v>
      </c>
      <c r="AB1479" s="125"/>
      <c r="AC1479" s="125"/>
      <c r="AD1479" s="125"/>
      <c r="AE1479" s="125" t="str">
        <f t="shared" si="282"/>
        <v/>
      </c>
      <c r="AF1479" s="127" t="s">
        <v>14367</v>
      </c>
      <c r="AG1479" s="127">
        <v>11.7205593325596</v>
      </c>
      <c r="AH1479" s="127">
        <v>42.7729418358331</v>
      </c>
      <c r="AI1479" s="115" t="s">
        <v>12383</v>
      </c>
      <c r="AJ1479" s="116">
        <v>0.5</v>
      </c>
      <c r="AK1479" s="117"/>
      <c r="AL1479" s="117"/>
      <c r="AM1479" s="117"/>
      <c r="AN1479" s="117"/>
      <c r="AO1479" s="117"/>
    </row>
    <row r="1480" ht="34.5" customHeight="1">
      <c r="A1480" s="111">
        <v>2110.0</v>
      </c>
      <c r="B1480" s="111" t="s">
        <v>9483</v>
      </c>
      <c r="C1480" s="111" t="s">
        <v>8600</v>
      </c>
      <c r="D1480" s="111"/>
      <c r="E1480" s="111"/>
      <c r="F1480" s="111" t="s">
        <v>12397</v>
      </c>
      <c r="G1480" s="111" t="s">
        <v>12226</v>
      </c>
      <c r="H1480" s="111"/>
      <c r="I1480" s="111" t="s">
        <v>12394</v>
      </c>
      <c r="J1480" s="111" t="s">
        <v>12291</v>
      </c>
      <c r="K1480" s="111" t="s">
        <v>174</v>
      </c>
      <c r="L1480" s="111"/>
      <c r="M1480" s="111">
        <v>1.0</v>
      </c>
      <c r="N1480" s="111"/>
      <c r="O1480" s="111"/>
      <c r="P1480" s="111"/>
      <c r="Q1480" s="111"/>
      <c r="R1480" s="111"/>
      <c r="S1480" s="111"/>
      <c r="T1480" s="111"/>
      <c r="U1480" s="111"/>
      <c r="V1480" s="111"/>
      <c r="W1480" s="111"/>
      <c r="X1480" s="111"/>
      <c r="Y1480" s="111"/>
      <c r="Z1480" s="111" t="s">
        <v>14368</v>
      </c>
      <c r="AA1480" s="124">
        <v>274.0</v>
      </c>
      <c r="AB1480" s="125">
        <f>IF(Projects!$AI1480="Electrolysis",
AA1480/VLOOKUP(G1480,ElectrolysisConvF,3,FALSE),
AC1480*10^6/(H2dens*HoursInYear))</f>
        <v>52692.30769</v>
      </c>
      <c r="AC1480" s="126">
        <f t="shared" ref="AC1480:AC1482" si="286">AB1480*H2dens*HoursInYear/10^6</f>
        <v>41.08103077</v>
      </c>
      <c r="AD1480" s="125"/>
      <c r="AE1480" s="125">
        <f t="shared" si="282"/>
        <v>52692.30769</v>
      </c>
      <c r="AF1480" s="127" t="s">
        <v>14369</v>
      </c>
      <c r="AG1480" s="127">
        <v>24.0511122449776</v>
      </c>
      <c r="AH1480" s="127">
        <v>-104.522975191898</v>
      </c>
      <c r="AI1480" s="115" t="s">
        <v>12383</v>
      </c>
      <c r="AJ1480" s="116">
        <v>0.3</v>
      </c>
      <c r="AK1480" s="117"/>
      <c r="AL1480" s="117"/>
      <c r="AM1480" s="117"/>
      <c r="AN1480" s="117"/>
      <c r="AO1480" s="117"/>
    </row>
    <row r="1481" ht="34.5" customHeight="1">
      <c r="A1481" s="111">
        <v>2111.0</v>
      </c>
      <c r="B1481" s="111" t="s">
        <v>9484</v>
      </c>
      <c r="C1481" s="111" t="s">
        <v>8047</v>
      </c>
      <c r="D1481" s="111">
        <v>2027.0</v>
      </c>
      <c r="E1481" s="111"/>
      <c r="F1481" s="111" t="s">
        <v>12397</v>
      </c>
      <c r="G1481" s="111" t="s">
        <v>12381</v>
      </c>
      <c r="H1481" s="111" t="s">
        <v>12230</v>
      </c>
      <c r="I1481" s="111" t="s">
        <v>12394</v>
      </c>
      <c r="J1481" s="111" t="s">
        <v>12293</v>
      </c>
      <c r="K1481" s="111" t="s">
        <v>30</v>
      </c>
      <c r="L1481" s="111"/>
      <c r="M1481" s="111"/>
      <c r="N1481" s="111"/>
      <c r="O1481" s="111"/>
      <c r="P1481" s="111"/>
      <c r="Q1481" s="111"/>
      <c r="R1481" s="111"/>
      <c r="S1481" s="111"/>
      <c r="T1481" s="111"/>
      <c r="U1481" s="111"/>
      <c r="V1481" s="111"/>
      <c r="W1481" s="111"/>
      <c r="X1481" s="111"/>
      <c r="Y1481" s="111"/>
      <c r="Z1481" s="111" t="s">
        <v>12723</v>
      </c>
      <c r="AA1481" s="124">
        <v>1000.0</v>
      </c>
      <c r="AB1481" s="125">
        <f>IF(Projects!$AI1481="Electrolysis",
AA1481/VLOOKUP(G1481,ElectrolysisConvF,3,FALSE),
AC1481*10^6/(H2dens*HoursInYear))</f>
        <v>222222.2222</v>
      </c>
      <c r="AC1481" s="126">
        <f t="shared" si="286"/>
        <v>173.2533333</v>
      </c>
      <c r="AD1481" s="125"/>
      <c r="AE1481" s="125">
        <f t="shared" si="282"/>
        <v>222222.2222</v>
      </c>
      <c r="AF1481" s="127" t="s">
        <v>14370</v>
      </c>
      <c r="AG1481" s="127">
        <v>39.3052296419816</v>
      </c>
      <c r="AH1481" s="127">
        <v>17.4362805408174</v>
      </c>
      <c r="AI1481" s="115" t="s">
        <v>12383</v>
      </c>
      <c r="AJ1481" s="116">
        <v>0.55</v>
      </c>
      <c r="AK1481" s="117"/>
      <c r="AL1481" s="117"/>
      <c r="AM1481" s="117"/>
      <c r="AN1481" s="117"/>
      <c r="AO1481" s="117"/>
    </row>
    <row r="1482" ht="34.5" customHeight="1">
      <c r="A1482" s="111">
        <v>2112.0</v>
      </c>
      <c r="B1482" s="111" t="s">
        <v>9485</v>
      </c>
      <c r="C1482" s="111" t="s">
        <v>8371</v>
      </c>
      <c r="D1482" s="111"/>
      <c r="E1482" s="111"/>
      <c r="F1482" s="111" t="s">
        <v>12397</v>
      </c>
      <c r="G1482" s="111" t="s">
        <v>12381</v>
      </c>
      <c r="H1482" s="111" t="s">
        <v>12230</v>
      </c>
      <c r="I1482" s="111" t="s">
        <v>12394</v>
      </c>
      <c r="J1482" s="111" t="s">
        <v>12296</v>
      </c>
      <c r="K1482" s="111" t="s">
        <v>30</v>
      </c>
      <c r="L1482" s="111"/>
      <c r="M1482" s="111"/>
      <c r="N1482" s="111"/>
      <c r="O1482" s="111"/>
      <c r="P1482" s="111"/>
      <c r="Q1482" s="111">
        <v>1.0</v>
      </c>
      <c r="R1482" s="111"/>
      <c r="S1482" s="111"/>
      <c r="T1482" s="111"/>
      <c r="U1482" s="111"/>
      <c r="V1482" s="111"/>
      <c r="W1482" s="111"/>
      <c r="X1482" s="111"/>
      <c r="Y1482" s="111"/>
      <c r="Z1482" s="111" t="s">
        <v>12589</v>
      </c>
      <c r="AA1482" s="124">
        <v>20.0</v>
      </c>
      <c r="AB1482" s="125">
        <f>IF(Projects!$AI1482="Electrolysis",
AA1482/VLOOKUP(G1482,ElectrolysisConvF,3,FALSE),
AC1482*10^6/(H2dens*HoursInYear))</f>
        <v>4444.444444</v>
      </c>
      <c r="AC1482" s="126">
        <f t="shared" si="286"/>
        <v>3.465066667</v>
      </c>
      <c r="AD1482" s="125"/>
      <c r="AE1482" s="125">
        <f t="shared" si="282"/>
        <v>4444.444444</v>
      </c>
      <c r="AF1482" s="127" t="s">
        <v>14371</v>
      </c>
      <c r="AG1482" s="127">
        <v>24.298933860178</v>
      </c>
      <c r="AH1482" s="127">
        <v>54.3540001038411</v>
      </c>
      <c r="AI1482" s="115" t="s">
        <v>12383</v>
      </c>
      <c r="AJ1482" s="116">
        <v>0.5</v>
      </c>
      <c r="AK1482" s="117"/>
      <c r="AL1482" s="117"/>
      <c r="AM1482" s="117"/>
      <c r="AN1482" s="117"/>
      <c r="AO1482" s="117"/>
    </row>
    <row r="1483" ht="34.5" customHeight="1">
      <c r="A1483" s="111">
        <v>2113.0</v>
      </c>
      <c r="B1483" s="111" t="s">
        <v>9486</v>
      </c>
      <c r="C1483" s="111" t="s">
        <v>7991</v>
      </c>
      <c r="D1483" s="111">
        <v>2023.0</v>
      </c>
      <c r="E1483" s="111"/>
      <c r="F1483" s="111" t="s">
        <v>12418</v>
      </c>
      <c r="G1483" s="111" t="s">
        <v>12381</v>
      </c>
      <c r="H1483" s="111" t="s">
        <v>12230</v>
      </c>
      <c r="I1483" s="111" t="s">
        <v>12287</v>
      </c>
      <c r="J1483" s="111" t="str">
        <f>IF(I1483&lt;&gt;"Dedicated renewable","N/A",)</f>
        <v>N/A</v>
      </c>
      <c r="K1483" s="111" t="s">
        <v>12251</v>
      </c>
      <c r="L1483" s="111"/>
      <c r="M1483" s="111"/>
      <c r="N1483" s="111"/>
      <c r="O1483" s="111"/>
      <c r="P1483" s="111"/>
      <c r="Q1483" s="111"/>
      <c r="R1483" s="111"/>
      <c r="S1483" s="111"/>
      <c r="T1483" s="111"/>
      <c r="U1483" s="111"/>
      <c r="V1483" s="111"/>
      <c r="W1483" s="111">
        <v>1.0</v>
      </c>
      <c r="X1483" s="111"/>
      <c r="Y1483" s="111"/>
      <c r="Z1483" s="111"/>
      <c r="AA1483" s="124">
        <f>IF(OR(G1483="ALK",G1483="PEM",G1483="SOEC",G1483="Other Electrolysis"),
AB1483*VLOOKUP(G1483,ElectrolysisConvF,3,FALSE),
"")</f>
        <v>0</v>
      </c>
      <c r="AB1483" s="125"/>
      <c r="AC1483" s="125"/>
      <c r="AD1483" s="125"/>
      <c r="AE1483" s="125" t="str">
        <f t="shared" si="282"/>
        <v/>
      </c>
      <c r="AF1483" s="127" t="s">
        <v>14372</v>
      </c>
      <c r="AG1483" s="127">
        <v>51.9156067553591</v>
      </c>
      <c r="AH1483" s="127">
        <v>-1.14105214629842</v>
      </c>
      <c r="AI1483" s="115" t="s">
        <v>12383</v>
      </c>
      <c r="AJ1483" s="116">
        <v>0.57</v>
      </c>
      <c r="AK1483" s="117"/>
      <c r="AL1483" s="117"/>
      <c r="AM1483" s="117"/>
      <c r="AN1483" s="117"/>
      <c r="AO1483" s="117"/>
    </row>
    <row r="1484" ht="34.5" customHeight="1">
      <c r="A1484" s="111">
        <v>2114.0</v>
      </c>
      <c r="B1484" s="111" t="s">
        <v>9487</v>
      </c>
      <c r="C1484" s="111" t="s">
        <v>7991</v>
      </c>
      <c r="D1484" s="111">
        <v>2026.0</v>
      </c>
      <c r="E1484" s="111"/>
      <c r="F1484" s="111" t="s">
        <v>12399</v>
      </c>
      <c r="G1484" s="111" t="s">
        <v>12381</v>
      </c>
      <c r="H1484" s="111" t="s">
        <v>12230</v>
      </c>
      <c r="I1484" s="111" t="s">
        <v>12394</v>
      </c>
      <c r="J1484" s="111" t="s">
        <v>12295</v>
      </c>
      <c r="K1484" s="111" t="s">
        <v>30</v>
      </c>
      <c r="L1484" s="111"/>
      <c r="M1484" s="111"/>
      <c r="N1484" s="111"/>
      <c r="O1484" s="111"/>
      <c r="P1484" s="111"/>
      <c r="Q1484" s="111">
        <v>1.0</v>
      </c>
      <c r="R1484" s="111"/>
      <c r="S1484" s="111"/>
      <c r="T1484" s="111"/>
      <c r="U1484" s="111"/>
      <c r="V1484" s="111"/>
      <c r="W1484" s="111"/>
      <c r="X1484" s="111"/>
      <c r="Y1484" s="111"/>
      <c r="Z1484" s="111" t="s">
        <v>12824</v>
      </c>
      <c r="AA1484" s="124">
        <v>15.0</v>
      </c>
      <c r="AB1484" s="125">
        <f>IF(Projects!$AI1484="Electrolysis",
AA1484/VLOOKUP(G1484,ElectrolysisConvF,3,FALSE),
AC1484*10^6/(H2dens*HoursInYear))</f>
        <v>3333.333333</v>
      </c>
      <c r="AC1484" s="126">
        <f t="shared" ref="AC1484:AC1487" si="287">AB1484*H2dens*HoursInYear/10^6</f>
        <v>2.5988</v>
      </c>
      <c r="AD1484" s="125"/>
      <c r="AE1484" s="125">
        <f t="shared" si="282"/>
        <v>3333.333333</v>
      </c>
      <c r="AF1484" s="127" t="s">
        <v>14373</v>
      </c>
      <c r="AG1484" s="127">
        <v>51.8769816077563</v>
      </c>
      <c r="AH1484" s="127">
        <v>-4.93068595596786</v>
      </c>
      <c r="AI1484" s="115" t="s">
        <v>12383</v>
      </c>
      <c r="AJ1484" s="116">
        <v>0.5</v>
      </c>
      <c r="AK1484" s="117"/>
      <c r="AL1484" s="117"/>
      <c r="AM1484" s="117"/>
      <c r="AN1484" s="117"/>
      <c r="AO1484" s="117"/>
    </row>
    <row r="1485" ht="34.5" customHeight="1">
      <c r="A1485" s="111">
        <v>2115.0</v>
      </c>
      <c r="B1485" s="111" t="s">
        <v>9488</v>
      </c>
      <c r="C1485" s="111" t="s">
        <v>8117</v>
      </c>
      <c r="D1485" s="111"/>
      <c r="E1485" s="111"/>
      <c r="F1485" s="111" t="s">
        <v>12397</v>
      </c>
      <c r="G1485" s="111" t="s">
        <v>12381</v>
      </c>
      <c r="H1485" s="111" t="s">
        <v>12230</v>
      </c>
      <c r="I1485" s="111" t="s">
        <v>12394</v>
      </c>
      <c r="J1485" s="111" t="s">
        <v>12296</v>
      </c>
      <c r="K1485" s="111" t="s">
        <v>30</v>
      </c>
      <c r="L1485" s="111"/>
      <c r="M1485" s="111"/>
      <c r="N1485" s="111"/>
      <c r="O1485" s="111"/>
      <c r="P1485" s="111"/>
      <c r="Q1485" s="111"/>
      <c r="R1485" s="111"/>
      <c r="S1485" s="111"/>
      <c r="T1485" s="111"/>
      <c r="U1485" s="111"/>
      <c r="V1485" s="111"/>
      <c r="W1485" s="111"/>
      <c r="X1485" s="111"/>
      <c r="Y1485" s="111"/>
      <c r="Z1485" s="111" t="s">
        <v>12991</v>
      </c>
      <c r="AA1485" s="124">
        <v>300.0</v>
      </c>
      <c r="AB1485" s="125">
        <f>IF(Projects!$AI1485="Electrolysis",
AA1485/VLOOKUP(G1485,ElectrolysisConvF,3,FALSE),
AC1485*10^6/(H2dens*HoursInYear))</f>
        <v>66666.66667</v>
      </c>
      <c r="AC1485" s="126">
        <f t="shared" si="287"/>
        <v>51.976</v>
      </c>
      <c r="AD1485" s="125"/>
      <c r="AE1485" s="125">
        <f t="shared" si="282"/>
        <v>66666.66667</v>
      </c>
      <c r="AF1485" s="127" t="s">
        <v>14370</v>
      </c>
      <c r="AG1485" s="127">
        <v>37.7733698737914</v>
      </c>
      <c r="AH1485" s="127">
        <v>21.072480830667</v>
      </c>
      <c r="AI1485" s="115" t="s">
        <v>12383</v>
      </c>
      <c r="AJ1485" s="116">
        <v>0.5</v>
      </c>
      <c r="AK1485" s="117"/>
      <c r="AL1485" s="117"/>
      <c r="AM1485" s="117"/>
      <c r="AN1485" s="117"/>
      <c r="AO1485" s="117"/>
    </row>
    <row r="1486" ht="34.5" customHeight="1">
      <c r="A1486" s="111">
        <v>2116.0</v>
      </c>
      <c r="B1486" s="111" t="s">
        <v>9489</v>
      </c>
      <c r="C1486" s="111" t="s">
        <v>7977</v>
      </c>
      <c r="D1486" s="111">
        <v>2025.0</v>
      </c>
      <c r="E1486" s="111"/>
      <c r="F1486" s="111" t="s">
        <v>12393</v>
      </c>
      <c r="G1486" s="111" t="s">
        <v>12381</v>
      </c>
      <c r="H1486" s="111" t="s">
        <v>12230</v>
      </c>
      <c r="I1486" s="111" t="s">
        <v>12394</v>
      </c>
      <c r="J1486" s="111" t="s">
        <v>12296</v>
      </c>
      <c r="K1486" s="111" t="s">
        <v>30</v>
      </c>
      <c r="L1486" s="111"/>
      <c r="M1486" s="111"/>
      <c r="N1486" s="111"/>
      <c r="O1486" s="111"/>
      <c r="P1486" s="111"/>
      <c r="Q1486" s="111">
        <v>1.0</v>
      </c>
      <c r="R1486" s="111"/>
      <c r="S1486" s="111"/>
      <c r="T1486" s="111"/>
      <c r="U1486" s="111"/>
      <c r="V1486" s="111"/>
      <c r="W1486" s="111"/>
      <c r="X1486" s="111"/>
      <c r="Y1486" s="111"/>
      <c r="Z1486" s="111" t="s">
        <v>12997</v>
      </c>
      <c r="AA1486" s="124">
        <v>1.4</v>
      </c>
      <c r="AB1486" s="125">
        <f>IF(Projects!$AI1486="Electrolysis",
AA1486/VLOOKUP(G1486,ElectrolysisConvF,3,FALSE),
AC1486*10^6/(H2dens*HoursInYear))</f>
        <v>311.1111111</v>
      </c>
      <c r="AC1486" s="126">
        <f t="shared" si="287"/>
        <v>0.2425546667</v>
      </c>
      <c r="AD1486" s="125"/>
      <c r="AE1486" s="125">
        <f t="shared" si="282"/>
        <v>311.1111111</v>
      </c>
      <c r="AF1486" s="127" t="s">
        <v>14374</v>
      </c>
      <c r="AG1486" s="127">
        <v>42.2272868450773</v>
      </c>
      <c r="AH1486" s="127">
        <v>-8.74042138243829</v>
      </c>
      <c r="AI1486" s="115" t="s">
        <v>12383</v>
      </c>
      <c r="AJ1486" s="116">
        <v>0.5</v>
      </c>
      <c r="AK1486" s="117"/>
      <c r="AL1486" s="117"/>
      <c r="AM1486" s="117"/>
      <c r="AN1486" s="117"/>
      <c r="AO1486" s="117"/>
    </row>
    <row r="1487" ht="34.5" customHeight="1">
      <c r="A1487" s="111">
        <v>2117.0</v>
      </c>
      <c r="B1487" s="111" t="s">
        <v>9490</v>
      </c>
      <c r="C1487" s="111" t="s">
        <v>7967</v>
      </c>
      <c r="D1487" s="111">
        <v>2026.0</v>
      </c>
      <c r="E1487" s="111"/>
      <c r="F1487" s="111" t="s">
        <v>12399</v>
      </c>
      <c r="G1487" s="111" t="s">
        <v>12381</v>
      </c>
      <c r="H1487" s="111" t="s">
        <v>12230</v>
      </c>
      <c r="I1487" s="111" t="s">
        <v>12394</v>
      </c>
      <c r="J1487" s="111" t="s">
        <v>12293</v>
      </c>
      <c r="K1487" s="111" t="s">
        <v>30</v>
      </c>
      <c r="L1487" s="111"/>
      <c r="M1487" s="111">
        <v>1.0</v>
      </c>
      <c r="N1487" s="111">
        <v>1.0</v>
      </c>
      <c r="O1487" s="111"/>
      <c r="P1487" s="111">
        <v>1.0</v>
      </c>
      <c r="Q1487" s="111"/>
      <c r="R1487" s="111"/>
      <c r="S1487" s="111"/>
      <c r="T1487" s="111"/>
      <c r="U1487" s="111"/>
      <c r="V1487" s="111"/>
      <c r="W1487" s="111"/>
      <c r="X1487" s="111"/>
      <c r="Y1487" s="111"/>
      <c r="Z1487" s="111" t="s">
        <v>13006</v>
      </c>
      <c r="AA1487" s="124">
        <v>200.0</v>
      </c>
      <c r="AB1487" s="125">
        <f>IF(Projects!$AI1487="Electrolysis",
AA1487/VLOOKUP(G1487,ElectrolysisConvF,3,FALSE),
AC1487*10^6/(H2dens*HoursInYear))</f>
        <v>44444.44444</v>
      </c>
      <c r="AC1487" s="126">
        <f t="shared" si="287"/>
        <v>34.65066667</v>
      </c>
      <c r="AD1487" s="125"/>
      <c r="AE1487" s="125">
        <f t="shared" si="282"/>
        <v>44444.44444</v>
      </c>
      <c r="AF1487" s="127" t="s">
        <v>14375</v>
      </c>
      <c r="AG1487" s="127">
        <v>53.3344145029669</v>
      </c>
      <c r="AH1487" s="127">
        <v>6.92135994987017</v>
      </c>
      <c r="AI1487" s="115" t="s">
        <v>12383</v>
      </c>
      <c r="AJ1487" s="116">
        <v>0.55</v>
      </c>
      <c r="AK1487" s="117"/>
      <c r="AL1487" s="117"/>
      <c r="AM1487" s="117"/>
      <c r="AN1487" s="117"/>
      <c r="AO1487" s="117"/>
    </row>
    <row r="1488" ht="34.5" customHeight="1">
      <c r="A1488" s="111">
        <v>2118.0</v>
      </c>
      <c r="B1488" s="111" t="s">
        <v>9491</v>
      </c>
      <c r="C1488" s="111" t="s">
        <v>9492</v>
      </c>
      <c r="D1488" s="111">
        <v>2027.0</v>
      </c>
      <c r="E1488" s="111"/>
      <c r="F1488" s="111" t="s">
        <v>12399</v>
      </c>
      <c r="G1488" s="111" t="s">
        <v>12381</v>
      </c>
      <c r="H1488" s="111" t="s">
        <v>12230</v>
      </c>
      <c r="I1488" s="111" t="s">
        <v>12394</v>
      </c>
      <c r="J1488" s="111" t="s">
        <v>12296</v>
      </c>
      <c r="K1488" s="111" t="s">
        <v>30</v>
      </c>
      <c r="L1488" s="111"/>
      <c r="M1488" s="111"/>
      <c r="N1488" s="111"/>
      <c r="O1488" s="111"/>
      <c r="P1488" s="111"/>
      <c r="Q1488" s="111"/>
      <c r="R1488" s="111"/>
      <c r="S1488" s="111"/>
      <c r="T1488" s="111"/>
      <c r="U1488" s="111"/>
      <c r="V1488" s="111">
        <v>1.0</v>
      </c>
      <c r="W1488" s="111"/>
      <c r="X1488" s="111"/>
      <c r="Y1488" s="111"/>
      <c r="Z1488" s="111" t="s">
        <v>14376</v>
      </c>
      <c r="AA1488" s="126">
        <f>IF(Projects!$AI1488="Electrolysis",
AB1488*VLOOKUP(G1488,ElectrolysisConvF,3,FALSE),
"")</f>
        <v>4675.234724</v>
      </c>
      <c r="AB1488" s="125">
        <f>AC1488/(H2dens*HoursInYear/10^6)</f>
        <v>1038941.05</v>
      </c>
      <c r="AC1488" s="126">
        <f>405/Projects!$AJ1488</f>
        <v>810</v>
      </c>
      <c r="AD1488" s="125"/>
      <c r="AE1488" s="125">
        <f t="shared" si="282"/>
        <v>1038941.05</v>
      </c>
      <c r="AF1488" s="127" t="s">
        <v>14377</v>
      </c>
      <c r="AG1488" s="127">
        <v>8.95813943062742</v>
      </c>
      <c r="AH1488" s="127">
        <v>-79.5696423306991</v>
      </c>
      <c r="AI1488" s="115" t="s">
        <v>12383</v>
      </c>
      <c r="AJ1488" s="116">
        <v>0.5</v>
      </c>
      <c r="AK1488" s="117"/>
      <c r="AL1488" s="117"/>
      <c r="AM1488" s="117"/>
      <c r="AN1488" s="117"/>
      <c r="AO1488" s="117"/>
    </row>
    <row r="1489" ht="34.5" customHeight="1">
      <c r="A1489" s="111">
        <v>2119.0</v>
      </c>
      <c r="B1489" s="111" t="s">
        <v>9493</v>
      </c>
      <c r="C1489" s="111" t="s">
        <v>8047</v>
      </c>
      <c r="D1489" s="111">
        <v>2026.0</v>
      </c>
      <c r="E1489" s="111"/>
      <c r="F1489" s="111" t="s">
        <v>12399</v>
      </c>
      <c r="G1489" s="111" t="s">
        <v>12381</v>
      </c>
      <c r="H1489" s="111" t="s">
        <v>12230</v>
      </c>
      <c r="I1489" s="111" t="s">
        <v>12394</v>
      </c>
      <c r="J1489" s="111" t="s">
        <v>12296</v>
      </c>
      <c r="K1489" s="111" t="s">
        <v>30</v>
      </c>
      <c r="L1489" s="111">
        <v>1.0</v>
      </c>
      <c r="M1489" s="111"/>
      <c r="N1489" s="111"/>
      <c r="O1489" s="111"/>
      <c r="P1489" s="111">
        <v>1.0</v>
      </c>
      <c r="Q1489" s="111"/>
      <c r="R1489" s="111"/>
      <c r="S1489" s="111"/>
      <c r="T1489" s="111"/>
      <c r="U1489" s="111"/>
      <c r="V1489" s="111"/>
      <c r="W1489" s="111">
        <v>1.0</v>
      </c>
      <c r="X1489" s="111"/>
      <c r="Y1489" s="111"/>
      <c r="Z1489" s="111" t="s">
        <v>12589</v>
      </c>
      <c r="AA1489" s="124">
        <v>20.0</v>
      </c>
      <c r="AB1489" s="125">
        <f>IF(Projects!$AI1489="Electrolysis",
AA1489/VLOOKUP(G1489,ElectrolysisConvF,3,FALSE),
AC1489*10^6/(H2dens*HoursInYear))</f>
        <v>4444.444444</v>
      </c>
      <c r="AC1489" s="126">
        <f t="shared" ref="AC1489:AC1493" si="288">AB1489*H2dens*HoursInYear/10^6</f>
        <v>3.465066667</v>
      </c>
      <c r="AD1489" s="125"/>
      <c r="AE1489" s="125">
        <f t="shared" si="282"/>
        <v>4444.444444</v>
      </c>
      <c r="AF1489" s="127" t="s">
        <v>14378</v>
      </c>
      <c r="AG1489" s="127">
        <v>40.8309622516676</v>
      </c>
      <c r="AH1489" s="127">
        <v>8.37844130847618</v>
      </c>
      <c r="AI1489" s="115" t="s">
        <v>12383</v>
      </c>
      <c r="AJ1489" s="116">
        <v>0.5</v>
      </c>
      <c r="AK1489" s="117"/>
      <c r="AL1489" s="117"/>
      <c r="AM1489" s="117"/>
      <c r="AN1489" s="117"/>
      <c r="AO1489" s="117"/>
    </row>
    <row r="1490" ht="34.5" customHeight="1">
      <c r="A1490" s="111">
        <v>2120.0</v>
      </c>
      <c r="B1490" s="111" t="s">
        <v>9494</v>
      </c>
      <c r="C1490" s="111" t="s">
        <v>8047</v>
      </c>
      <c r="D1490" s="111">
        <v>2030.0</v>
      </c>
      <c r="E1490" s="111"/>
      <c r="F1490" s="111" t="s">
        <v>12399</v>
      </c>
      <c r="G1490" s="111" t="s">
        <v>12381</v>
      </c>
      <c r="H1490" s="111" t="s">
        <v>12230</v>
      </c>
      <c r="I1490" s="111" t="s">
        <v>12394</v>
      </c>
      <c r="J1490" s="111" t="s">
        <v>12296</v>
      </c>
      <c r="K1490" s="111" t="s">
        <v>30</v>
      </c>
      <c r="L1490" s="111">
        <v>1.0</v>
      </c>
      <c r="M1490" s="111"/>
      <c r="N1490" s="111"/>
      <c r="O1490" s="111"/>
      <c r="P1490" s="111">
        <v>1.0</v>
      </c>
      <c r="Q1490" s="111"/>
      <c r="R1490" s="111"/>
      <c r="S1490" s="111"/>
      <c r="T1490" s="111"/>
      <c r="U1490" s="111"/>
      <c r="V1490" s="111"/>
      <c r="W1490" s="111">
        <v>1.0</v>
      </c>
      <c r="X1490" s="111"/>
      <c r="Y1490" s="111"/>
      <c r="Z1490" s="111" t="s">
        <v>13006</v>
      </c>
      <c r="AA1490" s="124">
        <v>180.0</v>
      </c>
      <c r="AB1490" s="125">
        <f>IF(Projects!$AI1490="Electrolysis",
AA1490/VLOOKUP(G1490,ElectrolysisConvF,3,FALSE),
AC1490*10^6/(H2dens*HoursInYear))</f>
        <v>40000</v>
      </c>
      <c r="AC1490" s="126">
        <f t="shared" si="288"/>
        <v>31.1856</v>
      </c>
      <c r="AD1490" s="125"/>
      <c r="AE1490" s="125">
        <f t="shared" si="282"/>
        <v>40000</v>
      </c>
      <c r="AF1490" s="127" t="s">
        <v>14378</v>
      </c>
      <c r="AG1490" s="127">
        <v>40.8309622516676</v>
      </c>
      <c r="AH1490" s="127">
        <v>8.37844130847618</v>
      </c>
      <c r="AI1490" s="115" t="s">
        <v>12383</v>
      </c>
      <c r="AJ1490" s="116">
        <v>0.5</v>
      </c>
      <c r="AK1490" s="117"/>
      <c r="AL1490" s="117"/>
      <c r="AM1490" s="117"/>
      <c r="AN1490" s="117"/>
      <c r="AO1490" s="117"/>
    </row>
    <row r="1491" ht="34.5" customHeight="1">
      <c r="A1491" s="111">
        <v>2121.0</v>
      </c>
      <c r="B1491" s="111" t="s">
        <v>9495</v>
      </c>
      <c r="C1491" s="111" t="s">
        <v>7991</v>
      </c>
      <c r="D1491" s="111">
        <v>2026.0</v>
      </c>
      <c r="E1491" s="111"/>
      <c r="F1491" s="111" t="s">
        <v>12399</v>
      </c>
      <c r="G1491" s="111" t="s">
        <v>12226</v>
      </c>
      <c r="H1491" s="111"/>
      <c r="I1491" s="111" t="s">
        <v>12394</v>
      </c>
      <c r="J1491" s="111" t="s">
        <v>12292</v>
      </c>
      <c r="K1491" s="111" t="s">
        <v>30</v>
      </c>
      <c r="L1491" s="111"/>
      <c r="M1491" s="111"/>
      <c r="N1491" s="111"/>
      <c r="O1491" s="111"/>
      <c r="P1491" s="111">
        <v>1.0</v>
      </c>
      <c r="Q1491" s="111"/>
      <c r="R1491" s="111"/>
      <c r="S1491" s="111"/>
      <c r="T1491" s="111"/>
      <c r="U1491" s="111"/>
      <c r="V1491" s="111"/>
      <c r="W1491" s="111"/>
      <c r="X1491" s="111"/>
      <c r="Y1491" s="111"/>
      <c r="Z1491" s="111" t="s">
        <v>12802</v>
      </c>
      <c r="AA1491" s="124">
        <v>30.0</v>
      </c>
      <c r="AB1491" s="125">
        <f>IF(Projects!$AI1491="Electrolysis",
AA1491/VLOOKUP(G1491,ElectrolysisConvF,3,FALSE),
AC1491*10^6/(H2dens*HoursInYear))</f>
        <v>5769.230769</v>
      </c>
      <c r="AC1491" s="126">
        <f t="shared" si="288"/>
        <v>4.497923077</v>
      </c>
      <c r="AD1491" s="125"/>
      <c r="AE1491" s="125">
        <f t="shared" si="282"/>
        <v>5769.230769</v>
      </c>
      <c r="AF1491" s="127" t="s">
        <v>14379</v>
      </c>
      <c r="AG1491" s="127">
        <v>53.2784189927593</v>
      </c>
      <c r="AH1491" s="127">
        <v>-2.73726562410066</v>
      </c>
      <c r="AI1491" s="115" t="s">
        <v>12383</v>
      </c>
      <c r="AJ1491" s="116">
        <v>0.4</v>
      </c>
      <c r="AK1491" s="117"/>
      <c r="AL1491" s="117"/>
      <c r="AM1491" s="117"/>
      <c r="AN1491" s="117"/>
      <c r="AO1491" s="117"/>
    </row>
    <row r="1492" ht="34.5" customHeight="1">
      <c r="A1492" s="111">
        <v>2122.0</v>
      </c>
      <c r="B1492" s="111" t="s">
        <v>9496</v>
      </c>
      <c r="C1492" s="111" t="s">
        <v>7977</v>
      </c>
      <c r="D1492" s="111">
        <v>2026.0</v>
      </c>
      <c r="E1492" s="111"/>
      <c r="F1492" s="111" t="s">
        <v>12399</v>
      </c>
      <c r="G1492" s="111" t="s">
        <v>12381</v>
      </c>
      <c r="H1492" s="111" t="s">
        <v>12230</v>
      </c>
      <c r="I1492" s="111" t="s">
        <v>12394</v>
      </c>
      <c r="J1492" s="111" t="s">
        <v>12296</v>
      </c>
      <c r="K1492" s="111" t="s">
        <v>30</v>
      </c>
      <c r="L1492" s="111"/>
      <c r="M1492" s="111"/>
      <c r="N1492" s="111"/>
      <c r="O1492" s="111"/>
      <c r="P1492" s="111"/>
      <c r="Q1492" s="111"/>
      <c r="R1492" s="111"/>
      <c r="S1492" s="111"/>
      <c r="T1492" s="111"/>
      <c r="U1492" s="111"/>
      <c r="V1492" s="111"/>
      <c r="W1492" s="111"/>
      <c r="X1492" s="111"/>
      <c r="Y1492" s="111"/>
      <c r="Z1492" s="111" t="s">
        <v>13306</v>
      </c>
      <c r="AA1492" s="124">
        <v>90.0</v>
      </c>
      <c r="AB1492" s="125">
        <f>IF(Projects!$AI1492="Electrolysis",
AA1492/VLOOKUP(G1492,ElectrolysisConvF,3,FALSE),
AC1492*10^6/(H2dens*HoursInYear))</f>
        <v>20000</v>
      </c>
      <c r="AC1492" s="126">
        <f t="shared" si="288"/>
        <v>15.5928</v>
      </c>
      <c r="AD1492" s="125"/>
      <c r="AE1492" s="125">
        <f t="shared" si="282"/>
        <v>20000</v>
      </c>
      <c r="AF1492" s="127" t="s">
        <v>14380</v>
      </c>
      <c r="AG1492" s="127">
        <v>39.9934106692918</v>
      </c>
      <c r="AH1492" s="127">
        <v>-0.0208546706238567</v>
      </c>
      <c r="AI1492" s="115" t="s">
        <v>12383</v>
      </c>
      <c r="AJ1492" s="116">
        <v>0.5</v>
      </c>
      <c r="AK1492" s="117"/>
      <c r="AL1492" s="117"/>
      <c r="AM1492" s="117"/>
      <c r="AN1492" s="117"/>
      <c r="AO1492" s="117"/>
    </row>
    <row r="1493" ht="34.5" customHeight="1">
      <c r="A1493" s="111">
        <v>2123.0</v>
      </c>
      <c r="B1493" s="111" t="s">
        <v>9497</v>
      </c>
      <c r="C1493" s="111" t="s">
        <v>7977</v>
      </c>
      <c r="D1493" s="111">
        <v>2026.0</v>
      </c>
      <c r="E1493" s="111"/>
      <c r="F1493" s="111" t="s">
        <v>12399</v>
      </c>
      <c r="G1493" s="111" t="s">
        <v>12381</v>
      </c>
      <c r="H1493" s="111" t="s">
        <v>12230</v>
      </c>
      <c r="I1493" s="111" t="s">
        <v>12394</v>
      </c>
      <c r="J1493" s="111" t="s">
        <v>12296</v>
      </c>
      <c r="K1493" s="111" t="s">
        <v>30</v>
      </c>
      <c r="L1493" s="111"/>
      <c r="M1493" s="111"/>
      <c r="N1493" s="111"/>
      <c r="O1493" s="111"/>
      <c r="P1493" s="111"/>
      <c r="Q1493" s="111"/>
      <c r="R1493" s="111"/>
      <c r="S1493" s="111"/>
      <c r="T1493" s="111"/>
      <c r="U1493" s="111"/>
      <c r="V1493" s="111"/>
      <c r="W1493" s="111"/>
      <c r="X1493" s="111"/>
      <c r="Y1493" s="111"/>
      <c r="Z1493" s="111" t="s">
        <v>14381</v>
      </c>
      <c r="AA1493" s="124">
        <v>115.0</v>
      </c>
      <c r="AB1493" s="125">
        <f>IF(Projects!$AI1493="Electrolysis",
AA1493/VLOOKUP(G1493,ElectrolysisConvF,3,FALSE),
AC1493*10^6/(H2dens*HoursInYear))</f>
        <v>25555.55556</v>
      </c>
      <c r="AC1493" s="126">
        <f t="shared" si="288"/>
        <v>19.92413333</v>
      </c>
      <c r="AD1493" s="125"/>
      <c r="AE1493" s="125">
        <f t="shared" si="282"/>
        <v>25555.55556</v>
      </c>
      <c r="AF1493" s="127" t="s">
        <v>14380</v>
      </c>
      <c r="AG1493" s="127">
        <v>37.5970229786114</v>
      </c>
      <c r="AH1493" s="127">
        <v>-1.00998327679861</v>
      </c>
      <c r="AI1493" s="115" t="s">
        <v>12383</v>
      </c>
      <c r="AJ1493" s="116">
        <v>0.5</v>
      </c>
      <c r="AK1493" s="117"/>
      <c r="AL1493" s="117"/>
      <c r="AM1493" s="117"/>
      <c r="AN1493" s="117"/>
      <c r="AO1493" s="117"/>
    </row>
    <row r="1494" ht="34.5" customHeight="1">
      <c r="A1494" s="111">
        <v>2124.0</v>
      </c>
      <c r="B1494" s="111" t="s">
        <v>9498</v>
      </c>
      <c r="C1494" s="111" t="s">
        <v>8071</v>
      </c>
      <c r="D1494" s="111">
        <v>2028.0</v>
      </c>
      <c r="E1494" s="111"/>
      <c r="F1494" s="111" t="s">
        <v>12399</v>
      </c>
      <c r="G1494" s="111" t="s">
        <v>12381</v>
      </c>
      <c r="H1494" s="111" t="s">
        <v>12230</v>
      </c>
      <c r="I1494" s="111" t="s">
        <v>12394</v>
      </c>
      <c r="J1494" s="111" t="s">
        <v>12292</v>
      </c>
      <c r="K1494" s="111" t="s">
        <v>30</v>
      </c>
      <c r="L1494" s="111"/>
      <c r="M1494" s="111"/>
      <c r="N1494" s="111"/>
      <c r="O1494" s="111"/>
      <c r="P1494" s="111"/>
      <c r="Q1494" s="111"/>
      <c r="R1494" s="111"/>
      <c r="S1494" s="111"/>
      <c r="T1494" s="111"/>
      <c r="U1494" s="111"/>
      <c r="V1494" s="111"/>
      <c r="W1494" s="111"/>
      <c r="X1494" s="111"/>
      <c r="Y1494" s="111"/>
      <c r="Z1494" s="111" t="s">
        <v>14382</v>
      </c>
      <c r="AA1494" s="126">
        <f>IF(Projects!$AI1494="Electrolysis",
AB1494*VLOOKUP(G1494,ElectrolysisConvF,3,FALSE),
"")</f>
        <v>3637.748774</v>
      </c>
      <c r="AB1494" s="125">
        <f t="shared" ref="AB1494:AB1499" si="289">AC1494/(H2dens*HoursInYear/10^6)</f>
        <v>808388.6163</v>
      </c>
      <c r="AC1494" s="125">
        <f>1400*3/17/0.98/Projects!$AJ1494</f>
        <v>630.2521008</v>
      </c>
      <c r="AD1494" s="125"/>
      <c r="AE1494" s="125">
        <f t="shared" si="282"/>
        <v>808388.6163</v>
      </c>
      <c r="AF1494" s="127" t="s">
        <v>14383</v>
      </c>
      <c r="AG1494" s="127">
        <v>-52.675479109211</v>
      </c>
      <c r="AH1494" s="127">
        <v>-69.2546731957503</v>
      </c>
      <c r="AI1494" s="115" t="s">
        <v>12383</v>
      </c>
      <c r="AJ1494" s="149">
        <v>0.4</v>
      </c>
      <c r="AK1494" s="117"/>
      <c r="AL1494" s="117"/>
      <c r="AM1494" s="117"/>
      <c r="AN1494" s="117"/>
      <c r="AO1494" s="117"/>
    </row>
    <row r="1495" ht="34.5" customHeight="1">
      <c r="A1495" s="111">
        <v>2125.0</v>
      </c>
      <c r="B1495" s="111" t="s">
        <v>9499</v>
      </c>
      <c r="C1495" s="111" t="s">
        <v>8001</v>
      </c>
      <c r="D1495" s="111">
        <v>2024.0</v>
      </c>
      <c r="E1495" s="111"/>
      <c r="F1495" s="111" t="s">
        <v>12393</v>
      </c>
      <c r="G1495" s="111" t="s">
        <v>12224</v>
      </c>
      <c r="H1495" s="111"/>
      <c r="I1495" s="111" t="s">
        <v>12394</v>
      </c>
      <c r="J1495" s="111" t="s">
        <v>12292</v>
      </c>
      <c r="K1495" s="111" t="s">
        <v>174</v>
      </c>
      <c r="L1495" s="111"/>
      <c r="M1495" s="111">
        <v>1.0</v>
      </c>
      <c r="N1495" s="111"/>
      <c r="O1495" s="111"/>
      <c r="P1495" s="111">
        <v>1.0</v>
      </c>
      <c r="Q1495" s="111"/>
      <c r="R1495" s="111"/>
      <c r="S1495" s="111"/>
      <c r="T1495" s="111"/>
      <c r="U1495" s="111"/>
      <c r="V1495" s="111"/>
      <c r="W1495" s="111"/>
      <c r="X1495" s="111"/>
      <c r="Y1495" s="111"/>
      <c r="Z1495" s="111" t="s">
        <v>14384</v>
      </c>
      <c r="AA1495" s="126">
        <f>IF(Projects!$AI1495="Electrolysis",
AB1495*VLOOKUP(G1495,ElectrolysisConvF,3,FALSE),
"")</f>
        <v>158.218665</v>
      </c>
      <c r="AB1495" s="125">
        <f t="shared" si="289"/>
        <v>34395.36196</v>
      </c>
      <c r="AC1495" s="125">
        <f>26816/1000</f>
        <v>26.816</v>
      </c>
      <c r="AD1495" s="125"/>
      <c r="AE1495" s="125">
        <f t="shared" si="282"/>
        <v>34395.36196</v>
      </c>
      <c r="AF1495" s="127" t="s">
        <v>14192</v>
      </c>
      <c r="AG1495" s="127">
        <v>46.1247345031596</v>
      </c>
      <c r="AH1495" s="127">
        <v>121.97467265715</v>
      </c>
      <c r="AI1495" s="115" t="s">
        <v>12383</v>
      </c>
      <c r="AJ1495" s="116">
        <v>0.4</v>
      </c>
      <c r="AK1495" s="117"/>
      <c r="AL1495" s="117"/>
      <c r="AM1495" s="117"/>
      <c r="AN1495" s="117"/>
      <c r="AO1495" s="117"/>
    </row>
    <row r="1496" ht="34.5" customHeight="1">
      <c r="A1496" s="111">
        <v>2126.0</v>
      </c>
      <c r="B1496" s="111" t="s">
        <v>9500</v>
      </c>
      <c r="C1496" s="111" t="s">
        <v>8001</v>
      </c>
      <c r="D1496" s="111">
        <v>2023.0</v>
      </c>
      <c r="E1496" s="111"/>
      <c r="F1496" s="111" t="s">
        <v>12385</v>
      </c>
      <c r="G1496" s="111" t="s">
        <v>12224</v>
      </c>
      <c r="H1496" s="111"/>
      <c r="I1496" s="111" t="s">
        <v>12394</v>
      </c>
      <c r="J1496" s="111" t="s">
        <v>12292</v>
      </c>
      <c r="K1496" s="111" t="s">
        <v>30</v>
      </c>
      <c r="L1496" s="111"/>
      <c r="M1496" s="111"/>
      <c r="N1496" s="111"/>
      <c r="O1496" s="111"/>
      <c r="P1496" s="111"/>
      <c r="Q1496" s="111">
        <v>1.0</v>
      </c>
      <c r="R1496" s="111"/>
      <c r="S1496" s="111"/>
      <c r="T1496" s="111"/>
      <c r="U1496" s="111"/>
      <c r="V1496" s="111"/>
      <c r="W1496" s="111"/>
      <c r="X1496" s="111"/>
      <c r="Y1496" s="111"/>
      <c r="Z1496" s="111" t="s">
        <v>14385</v>
      </c>
      <c r="AA1496" s="126">
        <f>IF(Projects!$AI1496="Electrolysis",
AB1496*VLOOKUP(G1496,ElectrolysisConvF,3,FALSE),
"")</f>
        <v>2.265661074</v>
      </c>
      <c r="AB1496" s="125">
        <f t="shared" si="289"/>
        <v>492.5350162</v>
      </c>
      <c r="AC1496" s="126">
        <f>384/1000</f>
        <v>0.384</v>
      </c>
      <c r="AD1496" s="125"/>
      <c r="AE1496" s="125">
        <f t="shared" si="282"/>
        <v>492.5350162</v>
      </c>
      <c r="AF1496" s="127" t="s">
        <v>14192</v>
      </c>
      <c r="AG1496" s="127">
        <v>43.8984135979575</v>
      </c>
      <c r="AH1496" s="127">
        <v>116.034810175204</v>
      </c>
      <c r="AI1496" s="115" t="s">
        <v>12383</v>
      </c>
      <c r="AJ1496" s="116">
        <v>0.4</v>
      </c>
      <c r="AK1496" s="117"/>
      <c r="AL1496" s="117"/>
      <c r="AM1496" s="117"/>
      <c r="AN1496" s="117"/>
      <c r="AO1496" s="117"/>
    </row>
    <row r="1497" ht="34.5" customHeight="1">
      <c r="A1497" s="111">
        <v>2127.0</v>
      </c>
      <c r="B1497" s="111" t="s">
        <v>9501</v>
      </c>
      <c r="C1497" s="111" t="s">
        <v>8001</v>
      </c>
      <c r="D1497" s="111">
        <v>2024.0</v>
      </c>
      <c r="E1497" s="111"/>
      <c r="F1497" s="111" t="s">
        <v>12393</v>
      </c>
      <c r="G1497" s="111" t="s">
        <v>12381</v>
      </c>
      <c r="H1497" s="111" t="s">
        <v>12230</v>
      </c>
      <c r="I1497" s="111" t="s">
        <v>12394</v>
      </c>
      <c r="J1497" s="111" t="s">
        <v>12295</v>
      </c>
      <c r="K1497" s="111" t="s">
        <v>174</v>
      </c>
      <c r="L1497" s="111"/>
      <c r="M1497" s="111">
        <v>1.0</v>
      </c>
      <c r="N1497" s="111"/>
      <c r="O1497" s="111"/>
      <c r="P1497" s="111"/>
      <c r="Q1497" s="111"/>
      <c r="R1497" s="111"/>
      <c r="S1497" s="111"/>
      <c r="T1497" s="111"/>
      <c r="U1497" s="111"/>
      <c r="V1497" s="111"/>
      <c r="W1497" s="111"/>
      <c r="X1497" s="111"/>
      <c r="Y1497" s="111"/>
      <c r="Z1497" s="111" t="s">
        <v>14386</v>
      </c>
      <c r="AA1497" s="126">
        <f>IF(Projects!$AI1497="Electrolysis",
AB1497*VLOOKUP(G1497,ElectrolysisConvF,3,FALSE),
"")</f>
        <v>57.71894721</v>
      </c>
      <c r="AB1497" s="125">
        <f t="shared" si="289"/>
        <v>12826.43271</v>
      </c>
      <c r="AC1497" s="125">
        <f>10000/1000</f>
        <v>10</v>
      </c>
      <c r="AD1497" s="125"/>
      <c r="AE1497" s="125">
        <f t="shared" si="282"/>
        <v>12826.43271</v>
      </c>
      <c r="AF1497" s="127" t="s">
        <v>14192</v>
      </c>
      <c r="AG1497" s="127">
        <v>40.9438603541513</v>
      </c>
      <c r="AH1497" s="127">
        <v>107.248845363403</v>
      </c>
      <c r="AI1497" s="115" t="s">
        <v>12383</v>
      </c>
      <c r="AJ1497" s="116">
        <v>0.5</v>
      </c>
      <c r="AK1497" s="117"/>
      <c r="AL1497" s="117"/>
      <c r="AM1497" s="117"/>
      <c r="AN1497" s="117"/>
      <c r="AO1497" s="117"/>
    </row>
    <row r="1498" ht="34.5" customHeight="1">
      <c r="A1498" s="111">
        <v>2128.0</v>
      </c>
      <c r="B1498" s="111" t="s">
        <v>9502</v>
      </c>
      <c r="C1498" s="111" t="s">
        <v>8001</v>
      </c>
      <c r="D1498" s="111">
        <v>2024.0</v>
      </c>
      <c r="E1498" s="111"/>
      <c r="F1498" s="111" t="s">
        <v>12393</v>
      </c>
      <c r="G1498" s="111" t="s">
        <v>12381</v>
      </c>
      <c r="H1498" s="111" t="s">
        <v>12230</v>
      </c>
      <c r="I1498" s="111" t="s">
        <v>12394</v>
      </c>
      <c r="J1498" s="111" t="s">
        <v>12295</v>
      </c>
      <c r="K1498" s="111" t="s">
        <v>30</v>
      </c>
      <c r="L1498" s="111"/>
      <c r="M1498" s="111"/>
      <c r="N1498" s="111"/>
      <c r="O1498" s="111"/>
      <c r="P1498" s="111"/>
      <c r="Q1498" s="111">
        <v>1.0</v>
      </c>
      <c r="R1498" s="111"/>
      <c r="S1498" s="111"/>
      <c r="T1498" s="111"/>
      <c r="U1498" s="111"/>
      <c r="V1498" s="111"/>
      <c r="W1498" s="111"/>
      <c r="X1498" s="111"/>
      <c r="Y1498" s="111"/>
      <c r="Z1498" s="111" t="s">
        <v>14197</v>
      </c>
      <c r="AA1498" s="126">
        <f>IF(Projects!$AI1498="Electrolysis",
AB1498*VLOOKUP(G1498,ElectrolysisConvF,3,FALSE),
"")</f>
        <v>31.42796675</v>
      </c>
      <c r="AB1498" s="125">
        <f t="shared" si="289"/>
        <v>6983.992612</v>
      </c>
      <c r="AC1498" s="125">
        <f>5445/1000</f>
        <v>5.445</v>
      </c>
      <c r="AD1498" s="125"/>
      <c r="AE1498" s="125">
        <f t="shared" si="282"/>
        <v>6983.992612</v>
      </c>
      <c r="AF1498" s="127" t="s">
        <v>14192</v>
      </c>
      <c r="AG1498" s="127">
        <v>43.8984135979575</v>
      </c>
      <c r="AH1498" s="127">
        <v>116.034810175204</v>
      </c>
      <c r="AI1498" s="115" t="s">
        <v>12383</v>
      </c>
      <c r="AJ1498" s="116">
        <v>0.5</v>
      </c>
      <c r="AK1498" s="117"/>
      <c r="AL1498" s="117"/>
      <c r="AM1498" s="117"/>
      <c r="AN1498" s="117"/>
      <c r="AO1498" s="117"/>
    </row>
    <row r="1499" ht="34.5" customHeight="1">
      <c r="A1499" s="111">
        <v>2129.0</v>
      </c>
      <c r="B1499" s="127" t="s">
        <v>9503</v>
      </c>
      <c r="C1499" s="111" t="s">
        <v>8001</v>
      </c>
      <c r="D1499" s="111">
        <v>2025.0</v>
      </c>
      <c r="E1499" s="111"/>
      <c r="F1499" s="111" t="s">
        <v>12393</v>
      </c>
      <c r="G1499" s="111" t="s">
        <v>12381</v>
      </c>
      <c r="H1499" s="111" t="s">
        <v>12230</v>
      </c>
      <c r="I1499" s="111" t="s">
        <v>12394</v>
      </c>
      <c r="J1499" s="111" t="s">
        <v>12295</v>
      </c>
      <c r="K1499" s="111" t="s">
        <v>174</v>
      </c>
      <c r="L1499" s="111"/>
      <c r="M1499" s="111">
        <v>1.0</v>
      </c>
      <c r="N1499" s="111"/>
      <c r="O1499" s="111"/>
      <c r="P1499" s="111"/>
      <c r="Q1499" s="111"/>
      <c r="R1499" s="111"/>
      <c r="S1499" s="111"/>
      <c r="T1499" s="111"/>
      <c r="U1499" s="111"/>
      <c r="V1499" s="111"/>
      <c r="W1499" s="111"/>
      <c r="X1499" s="111"/>
      <c r="Y1499" s="111"/>
      <c r="Z1499" s="111" t="s">
        <v>14387</v>
      </c>
      <c r="AA1499" s="126">
        <f>IF(Projects!$AI1499="Electrolysis",
AB1499*VLOOKUP(G1499,ElectrolysisConvF,3,FALSE),
"")</f>
        <v>109.6659997</v>
      </c>
      <c r="AB1499" s="125">
        <f t="shared" si="289"/>
        <v>24370.22215</v>
      </c>
      <c r="AC1499" s="125">
        <f>19000/1000</f>
        <v>19</v>
      </c>
      <c r="AD1499" s="125"/>
      <c r="AE1499" s="125">
        <f t="shared" si="282"/>
        <v>24370.22215</v>
      </c>
      <c r="AF1499" s="127" t="s">
        <v>14192</v>
      </c>
      <c r="AG1499" s="127">
        <v>38.8586264930582</v>
      </c>
      <c r="AH1499" s="127">
        <v>105.73515733974</v>
      </c>
      <c r="AI1499" s="115" t="s">
        <v>12383</v>
      </c>
      <c r="AJ1499" s="116">
        <v>0.5</v>
      </c>
      <c r="AK1499" s="117"/>
      <c r="AL1499" s="117"/>
      <c r="AM1499" s="117"/>
      <c r="AN1499" s="117"/>
      <c r="AO1499" s="117"/>
    </row>
    <row r="1500" ht="34.5" customHeight="1">
      <c r="A1500" s="111">
        <v>2130.0</v>
      </c>
      <c r="B1500" s="111" t="s">
        <v>9504</v>
      </c>
      <c r="C1500" s="111" t="s">
        <v>7999</v>
      </c>
      <c r="D1500" s="111">
        <v>2026.0</v>
      </c>
      <c r="E1500" s="111"/>
      <c r="F1500" s="111" t="s">
        <v>12399</v>
      </c>
      <c r="G1500" s="111" t="s">
        <v>12226</v>
      </c>
      <c r="H1500" s="111"/>
      <c r="I1500" s="111" t="s">
        <v>12394</v>
      </c>
      <c r="J1500" s="111" t="s">
        <v>12296</v>
      </c>
      <c r="K1500" s="111" t="s">
        <v>174</v>
      </c>
      <c r="L1500" s="111"/>
      <c r="M1500" s="111">
        <v>1.0</v>
      </c>
      <c r="N1500" s="111"/>
      <c r="O1500" s="111"/>
      <c r="P1500" s="111"/>
      <c r="Q1500" s="111"/>
      <c r="R1500" s="111"/>
      <c r="S1500" s="111"/>
      <c r="T1500" s="111"/>
      <c r="U1500" s="111"/>
      <c r="V1500" s="111"/>
      <c r="W1500" s="111"/>
      <c r="X1500" s="111"/>
      <c r="Y1500" s="111"/>
      <c r="Z1500" s="111" t="s">
        <v>13066</v>
      </c>
      <c r="AA1500" s="124">
        <v>60.0</v>
      </c>
      <c r="AB1500" s="125">
        <f>IF(Projects!$AI1500="Electrolysis",
AA1500/VLOOKUP(G1500,ElectrolysisConvF,3,FALSE),
AC1500*10^6/(H2dens*HoursInYear))</f>
        <v>11538.46154</v>
      </c>
      <c r="AC1500" s="126">
        <f>AB1500*H2dens*HoursInYear/10^6</f>
        <v>8.995846154</v>
      </c>
      <c r="AD1500" s="125"/>
      <c r="AE1500" s="125">
        <f t="shared" si="282"/>
        <v>11538.46154</v>
      </c>
      <c r="AF1500" s="127" t="s">
        <v>14388</v>
      </c>
      <c r="AG1500" s="127">
        <v>48.3364984201889</v>
      </c>
      <c r="AH1500" s="127">
        <v>14.2900021996381</v>
      </c>
      <c r="AI1500" s="115" t="s">
        <v>12383</v>
      </c>
      <c r="AJ1500" s="116">
        <v>0.5</v>
      </c>
      <c r="AK1500" s="117"/>
      <c r="AL1500" s="117"/>
      <c r="AM1500" s="117"/>
      <c r="AN1500" s="117"/>
      <c r="AO1500" s="117"/>
    </row>
    <row r="1501" ht="34.5" customHeight="1">
      <c r="A1501" s="111">
        <v>2131.0</v>
      </c>
      <c r="B1501" s="111" t="s">
        <v>9505</v>
      </c>
      <c r="C1501" s="111" t="s">
        <v>8590</v>
      </c>
      <c r="D1501" s="111"/>
      <c r="E1501" s="111"/>
      <c r="F1501" s="111" t="s">
        <v>12397</v>
      </c>
      <c r="G1501" s="111" t="s">
        <v>12381</v>
      </c>
      <c r="H1501" s="111" t="s">
        <v>12230</v>
      </c>
      <c r="I1501" s="111" t="s">
        <v>12394</v>
      </c>
      <c r="J1501" s="111" t="s">
        <v>12296</v>
      </c>
      <c r="K1501" s="111" t="s">
        <v>174</v>
      </c>
      <c r="L1501" s="111"/>
      <c r="M1501" s="111">
        <v>1.0</v>
      </c>
      <c r="N1501" s="111"/>
      <c r="O1501" s="111"/>
      <c r="P1501" s="111"/>
      <c r="Q1501" s="111"/>
      <c r="R1501" s="111"/>
      <c r="S1501" s="111"/>
      <c r="T1501" s="111"/>
      <c r="U1501" s="111"/>
      <c r="V1501" s="111"/>
      <c r="W1501" s="111"/>
      <c r="X1501" s="111"/>
      <c r="Y1501" s="111"/>
      <c r="Z1501" s="111" t="s">
        <v>14389</v>
      </c>
      <c r="AA1501" s="126">
        <f>IF(Projects!$AI1501="Electrolysis",
AB1501*VLOOKUP(G1501,ElectrolysisConvF,3,FALSE),
"")</f>
        <v>1662.970868</v>
      </c>
      <c r="AB1501" s="125">
        <f t="shared" ref="AB1501:AB1502" si="290">AC1501/(H2dens*HoursInYear/10^6)</f>
        <v>369549.0818</v>
      </c>
      <c r="AC1501" s="125">
        <f>(800*3/17/0.98)/Projects!$AJ1501</f>
        <v>288.1152461</v>
      </c>
      <c r="AD1501" s="125"/>
      <c r="AE1501" s="125">
        <f t="shared" si="282"/>
        <v>369549.0818</v>
      </c>
      <c r="AF1501" s="127" t="s">
        <v>14390</v>
      </c>
      <c r="AG1501" s="127">
        <v>-3.54461689820214</v>
      </c>
      <c r="AH1501" s="127">
        <v>-38.8146377191775</v>
      </c>
      <c r="AI1501" s="115" t="s">
        <v>12383</v>
      </c>
      <c r="AJ1501" s="116">
        <v>0.5</v>
      </c>
      <c r="AK1501" s="117"/>
      <c r="AL1501" s="117"/>
      <c r="AM1501" s="117"/>
      <c r="AN1501" s="117"/>
      <c r="AO1501" s="117"/>
    </row>
    <row r="1502" ht="34.5" customHeight="1">
      <c r="A1502" s="111">
        <v>2132.0</v>
      </c>
      <c r="B1502" s="111" t="s">
        <v>9506</v>
      </c>
      <c r="C1502" s="111" t="s">
        <v>8539</v>
      </c>
      <c r="D1502" s="111">
        <v>2030.0</v>
      </c>
      <c r="E1502" s="111"/>
      <c r="F1502" s="111" t="s">
        <v>12397</v>
      </c>
      <c r="G1502" s="111" t="s">
        <v>12235</v>
      </c>
      <c r="H1502" s="111" t="s">
        <v>13160</v>
      </c>
      <c r="I1502" s="111"/>
      <c r="J1502" s="111"/>
      <c r="K1502" s="111" t="s">
        <v>30</v>
      </c>
      <c r="L1502" s="111"/>
      <c r="M1502" s="111"/>
      <c r="N1502" s="111"/>
      <c r="O1502" s="111"/>
      <c r="P1502" s="111"/>
      <c r="Q1502" s="111"/>
      <c r="R1502" s="111"/>
      <c r="S1502" s="111"/>
      <c r="T1502" s="111"/>
      <c r="U1502" s="111"/>
      <c r="V1502" s="111"/>
      <c r="W1502" s="111"/>
      <c r="X1502" s="111"/>
      <c r="Y1502" s="111"/>
      <c r="Z1502" s="111" t="s">
        <v>14391</v>
      </c>
      <c r="AA1502" s="124"/>
      <c r="AB1502" s="125">
        <f t="shared" si="290"/>
        <v>10261.14617</v>
      </c>
      <c r="AC1502" s="125">
        <f>8000/1000</f>
        <v>8</v>
      </c>
      <c r="AD1502" s="125"/>
      <c r="AE1502" s="125">
        <f t="shared" si="282"/>
        <v>0</v>
      </c>
      <c r="AF1502" s="127" t="s">
        <v>14392</v>
      </c>
      <c r="AG1502" s="127">
        <v>35.0922802243938</v>
      </c>
      <c r="AH1502" s="127">
        <v>128.364586683858</v>
      </c>
      <c r="AI1502" s="115" t="s">
        <v>12378</v>
      </c>
      <c r="AJ1502" s="116">
        <v>0.9</v>
      </c>
      <c r="AK1502" s="117"/>
      <c r="AL1502" s="117"/>
      <c r="AM1502" s="117"/>
      <c r="AN1502" s="117"/>
      <c r="AO1502" s="117"/>
    </row>
    <row r="1503" ht="34.5" customHeight="1">
      <c r="A1503" s="111">
        <v>2133.0</v>
      </c>
      <c r="B1503" s="111" t="s">
        <v>9507</v>
      </c>
      <c r="C1503" s="111" t="s">
        <v>8031</v>
      </c>
      <c r="D1503" s="111">
        <v>2024.0</v>
      </c>
      <c r="E1503" s="111"/>
      <c r="F1503" s="111" t="s">
        <v>12399</v>
      </c>
      <c r="G1503" s="111" t="s">
        <v>12224</v>
      </c>
      <c r="H1503" s="111"/>
      <c r="I1503" s="111" t="s">
        <v>12287</v>
      </c>
      <c r="J1503" s="111" t="s">
        <v>12296</v>
      </c>
      <c r="K1503" s="111" t="s">
        <v>30</v>
      </c>
      <c r="L1503" s="111"/>
      <c r="M1503" s="111"/>
      <c r="N1503" s="111"/>
      <c r="O1503" s="111"/>
      <c r="P1503" s="111"/>
      <c r="Q1503" s="111"/>
      <c r="R1503" s="111"/>
      <c r="S1503" s="111"/>
      <c r="T1503" s="111"/>
      <c r="U1503" s="111"/>
      <c r="V1503" s="111"/>
      <c r="W1503" s="111"/>
      <c r="X1503" s="111"/>
      <c r="Y1503" s="111"/>
      <c r="Z1503" s="111" t="s">
        <v>13337</v>
      </c>
      <c r="AA1503" s="124">
        <v>9.0</v>
      </c>
      <c r="AB1503" s="125">
        <f>IF(Projects!$AI1503="Electrolysis",
AA1503/VLOOKUP(G1503,ElectrolysisConvF,3,FALSE),
AC1503*10^6/(H2dens*HoursInYear))</f>
        <v>1956.521739</v>
      </c>
      <c r="AC1503" s="125">
        <f>AB1503*H2dens*HoursInYear/10^6</f>
        <v>1.525382609</v>
      </c>
      <c r="AD1503" s="125"/>
      <c r="AE1503" s="125">
        <f t="shared" si="282"/>
        <v>1956.521739</v>
      </c>
      <c r="AF1503" s="127" t="s">
        <v>14393</v>
      </c>
      <c r="AG1503" s="127">
        <v>1.27519247218782</v>
      </c>
      <c r="AH1503" s="127">
        <v>103.682691125496</v>
      </c>
      <c r="AI1503" s="115" t="s">
        <v>12383</v>
      </c>
      <c r="AJ1503" s="116">
        <v>0.57</v>
      </c>
      <c r="AK1503" s="117"/>
      <c r="AL1503" s="117"/>
      <c r="AM1503" s="117"/>
      <c r="AN1503" s="117"/>
      <c r="AO1503" s="117"/>
    </row>
    <row r="1504" ht="34.5" customHeight="1">
      <c r="A1504" s="111">
        <v>2134.0</v>
      </c>
      <c r="B1504" s="111" t="s">
        <v>9508</v>
      </c>
      <c r="C1504" s="111" t="s">
        <v>8108</v>
      </c>
      <c r="D1504" s="111">
        <v>2026.0</v>
      </c>
      <c r="E1504" s="111"/>
      <c r="F1504" s="111" t="s">
        <v>12397</v>
      </c>
      <c r="G1504" s="111" t="s">
        <v>12381</v>
      </c>
      <c r="H1504" s="111" t="s">
        <v>12230</v>
      </c>
      <c r="I1504" s="111" t="s">
        <v>12394</v>
      </c>
      <c r="J1504" s="111" t="s">
        <v>12291</v>
      </c>
      <c r="K1504" s="111" t="s">
        <v>30</v>
      </c>
      <c r="L1504" s="111"/>
      <c r="M1504" s="111"/>
      <c r="N1504" s="111"/>
      <c r="O1504" s="111"/>
      <c r="P1504" s="111"/>
      <c r="Q1504" s="111"/>
      <c r="R1504" s="111"/>
      <c r="S1504" s="111"/>
      <c r="T1504" s="111"/>
      <c r="U1504" s="111"/>
      <c r="V1504" s="111"/>
      <c r="W1504" s="111"/>
      <c r="X1504" s="111"/>
      <c r="Y1504" s="111"/>
      <c r="Z1504" s="111" t="s">
        <v>14394</v>
      </c>
      <c r="AA1504" s="126">
        <f>IF(Projects!$AI1504="Electrolysis",
AB1504*VLOOKUP(G1504,ElectrolysisConvF,3,FALSE),
"")</f>
        <v>210.6741573</v>
      </c>
      <c r="AB1504" s="125">
        <f t="shared" ref="AB1504:AB1507" si="291">AC1504/(H2dens*HoursInYear/10^6)</f>
        <v>46816.4794</v>
      </c>
      <c r="AC1504" s="125">
        <f>30*365/1000/Projects!$AJ1504</f>
        <v>36.5</v>
      </c>
      <c r="AD1504" s="125"/>
      <c r="AE1504" s="125">
        <f t="shared" si="282"/>
        <v>46816.4794</v>
      </c>
      <c r="AF1504" s="127" t="s">
        <v>14395</v>
      </c>
      <c r="AG1504" s="127">
        <v>1.09956501055449</v>
      </c>
      <c r="AH1504" s="127">
        <v>104.482806950009</v>
      </c>
      <c r="AI1504" s="115" t="s">
        <v>12383</v>
      </c>
      <c r="AJ1504" s="116">
        <v>0.3</v>
      </c>
      <c r="AK1504" s="117"/>
      <c r="AL1504" s="117"/>
      <c r="AM1504" s="117"/>
      <c r="AN1504" s="117"/>
      <c r="AO1504" s="117"/>
    </row>
    <row r="1505" ht="34.5" customHeight="1">
      <c r="A1505" s="111">
        <v>2135.0</v>
      </c>
      <c r="B1505" s="111" t="s">
        <v>9509</v>
      </c>
      <c r="C1505" s="111" t="s">
        <v>8108</v>
      </c>
      <c r="D1505" s="111">
        <v>2028.0</v>
      </c>
      <c r="E1505" s="111"/>
      <c r="F1505" s="111" t="s">
        <v>12397</v>
      </c>
      <c r="G1505" s="111" t="s">
        <v>12381</v>
      </c>
      <c r="H1505" s="111" t="s">
        <v>12230</v>
      </c>
      <c r="I1505" s="111" t="s">
        <v>12394</v>
      </c>
      <c r="J1505" s="111" t="s">
        <v>12291</v>
      </c>
      <c r="K1505" s="111" t="s">
        <v>30</v>
      </c>
      <c r="L1505" s="111"/>
      <c r="M1505" s="111"/>
      <c r="N1505" s="111"/>
      <c r="O1505" s="111"/>
      <c r="P1505" s="111"/>
      <c r="Q1505" s="111"/>
      <c r="R1505" s="111"/>
      <c r="S1505" s="111"/>
      <c r="T1505" s="111"/>
      <c r="U1505" s="111"/>
      <c r="V1505" s="111"/>
      <c r="W1505" s="111"/>
      <c r="X1505" s="111"/>
      <c r="Y1505" s="111"/>
      <c r="Z1505" s="111" t="s">
        <v>14396</v>
      </c>
      <c r="AA1505" s="126">
        <f>IF(Projects!$AI1505="Electrolysis",
AB1505*VLOOKUP(G1505,ElectrolysisConvF,3,FALSE),
"")</f>
        <v>210.6741573</v>
      </c>
      <c r="AB1505" s="125">
        <f t="shared" si="291"/>
        <v>46816.4794</v>
      </c>
      <c r="AC1505" s="125">
        <f>30*365/1000/Projects!$AJ1505</f>
        <v>36.5</v>
      </c>
      <c r="AD1505" s="125"/>
      <c r="AE1505" s="125">
        <f t="shared" si="282"/>
        <v>46816.4794</v>
      </c>
      <c r="AF1505" s="127" t="s">
        <v>14395</v>
      </c>
      <c r="AG1505" s="127">
        <v>1.09956501055449</v>
      </c>
      <c r="AH1505" s="127">
        <v>104.482806950009</v>
      </c>
      <c r="AI1505" s="115" t="s">
        <v>12383</v>
      </c>
      <c r="AJ1505" s="116">
        <v>0.3</v>
      </c>
      <c r="AK1505" s="117"/>
      <c r="AL1505" s="117"/>
      <c r="AM1505" s="117"/>
      <c r="AN1505" s="117"/>
      <c r="AO1505" s="117"/>
    </row>
    <row r="1506" ht="34.5" customHeight="1">
      <c r="A1506" s="111">
        <v>2136.0</v>
      </c>
      <c r="B1506" s="111" t="s">
        <v>9510</v>
      </c>
      <c r="C1506" s="111" t="s">
        <v>8108</v>
      </c>
      <c r="D1506" s="111">
        <v>2033.0</v>
      </c>
      <c r="E1506" s="111"/>
      <c r="F1506" s="111" t="s">
        <v>12397</v>
      </c>
      <c r="G1506" s="111" t="s">
        <v>12381</v>
      </c>
      <c r="H1506" s="111" t="s">
        <v>12230</v>
      </c>
      <c r="I1506" s="111" t="s">
        <v>12394</v>
      </c>
      <c r="J1506" s="111" t="s">
        <v>12291</v>
      </c>
      <c r="K1506" s="111" t="s">
        <v>30</v>
      </c>
      <c r="L1506" s="111"/>
      <c r="M1506" s="111"/>
      <c r="N1506" s="111"/>
      <c r="O1506" s="111"/>
      <c r="P1506" s="111"/>
      <c r="Q1506" s="111"/>
      <c r="R1506" s="111"/>
      <c r="S1506" s="111"/>
      <c r="T1506" s="111"/>
      <c r="U1506" s="111"/>
      <c r="V1506" s="111"/>
      <c r="W1506" s="111"/>
      <c r="X1506" s="111"/>
      <c r="Y1506" s="111"/>
      <c r="Z1506" s="111" t="s">
        <v>14397</v>
      </c>
      <c r="AA1506" s="126">
        <f>IF(Projects!$AI1506="Electrolysis",
AB1506*VLOOKUP(G1506,ElectrolysisConvF,3,FALSE),
"")</f>
        <v>386.2359551</v>
      </c>
      <c r="AB1506" s="125">
        <f t="shared" si="291"/>
        <v>85830.21223</v>
      </c>
      <c r="AC1506" s="125">
        <f>(115-60)*365/1000/Projects!$AJ1506</f>
        <v>66.91666667</v>
      </c>
      <c r="AD1506" s="125"/>
      <c r="AE1506" s="125">
        <f t="shared" si="282"/>
        <v>85830.21223</v>
      </c>
      <c r="AF1506" s="127" t="s">
        <v>14395</v>
      </c>
      <c r="AG1506" s="127">
        <v>1.09956501055449</v>
      </c>
      <c r="AH1506" s="127">
        <v>104.482806950009</v>
      </c>
      <c r="AI1506" s="115" t="s">
        <v>12383</v>
      </c>
      <c r="AJ1506" s="116">
        <v>0.3</v>
      </c>
      <c r="AK1506" s="117"/>
      <c r="AL1506" s="117"/>
      <c r="AM1506" s="117"/>
      <c r="AN1506" s="117"/>
      <c r="AO1506" s="117"/>
    </row>
    <row r="1507" ht="34.5" customHeight="1">
      <c r="A1507" s="111">
        <v>2137.0</v>
      </c>
      <c r="B1507" s="111" t="s">
        <v>9511</v>
      </c>
      <c r="C1507" s="111" t="s">
        <v>8371</v>
      </c>
      <c r="D1507" s="111">
        <v>2028.0</v>
      </c>
      <c r="E1507" s="111"/>
      <c r="F1507" s="111" t="s">
        <v>12397</v>
      </c>
      <c r="G1507" s="111" t="s">
        <v>12381</v>
      </c>
      <c r="H1507" s="111" t="s">
        <v>12230</v>
      </c>
      <c r="I1507" s="111" t="s">
        <v>12394</v>
      </c>
      <c r="J1507" s="111" t="s">
        <v>12291</v>
      </c>
      <c r="K1507" s="111" t="s">
        <v>174</v>
      </c>
      <c r="L1507" s="111"/>
      <c r="M1507" s="111">
        <v>1.0</v>
      </c>
      <c r="N1507" s="111"/>
      <c r="O1507" s="111"/>
      <c r="P1507" s="111"/>
      <c r="Q1507" s="111"/>
      <c r="R1507" s="111"/>
      <c r="S1507" s="111"/>
      <c r="T1507" s="111"/>
      <c r="U1507" s="111"/>
      <c r="V1507" s="111"/>
      <c r="W1507" s="111"/>
      <c r="X1507" s="111"/>
      <c r="Y1507" s="111"/>
      <c r="Z1507" s="111" t="s">
        <v>14398</v>
      </c>
      <c r="AA1507" s="126">
        <f>IF(Projects!$AI1507="Electrolysis",
AB1507*VLOOKUP(G1507,ElectrolysisConvF,3,FALSE),
"")</f>
        <v>692.9045283</v>
      </c>
      <c r="AB1507" s="125">
        <f t="shared" si="291"/>
        <v>153978.7841</v>
      </c>
      <c r="AC1507" s="125">
        <f>(200*3/17/0.98)/Projects!$AJ1507</f>
        <v>120.0480192</v>
      </c>
      <c r="AD1507" s="125"/>
      <c r="AE1507" s="125">
        <f t="shared" si="282"/>
        <v>153978.7841</v>
      </c>
      <c r="AF1507" s="127" t="s">
        <v>14399</v>
      </c>
      <c r="AG1507" s="127">
        <v>24.9691219445532</v>
      </c>
      <c r="AH1507" s="127">
        <v>55.1323142117953</v>
      </c>
      <c r="AI1507" s="115" t="s">
        <v>12383</v>
      </c>
      <c r="AJ1507" s="116">
        <v>0.3</v>
      </c>
      <c r="AK1507" s="117"/>
      <c r="AL1507" s="117"/>
      <c r="AM1507" s="117"/>
      <c r="AN1507" s="117"/>
      <c r="AO1507" s="117"/>
    </row>
    <row r="1508" ht="34.5" customHeight="1">
      <c r="A1508" s="111">
        <v>2138.0</v>
      </c>
      <c r="B1508" s="111" t="s">
        <v>9512</v>
      </c>
      <c r="C1508" s="111" t="s">
        <v>8021</v>
      </c>
      <c r="D1508" s="111">
        <v>2027.0</v>
      </c>
      <c r="E1508" s="111"/>
      <c r="F1508" s="111" t="s">
        <v>12397</v>
      </c>
      <c r="G1508" s="111" t="s">
        <v>12381</v>
      </c>
      <c r="H1508" s="111" t="s">
        <v>12230</v>
      </c>
      <c r="I1508" s="111" t="s">
        <v>12394</v>
      </c>
      <c r="J1508" s="111" t="s">
        <v>12295</v>
      </c>
      <c r="K1508" s="111" t="s">
        <v>30</v>
      </c>
      <c r="L1508" s="111"/>
      <c r="M1508" s="111"/>
      <c r="N1508" s="111"/>
      <c r="O1508" s="111"/>
      <c r="P1508" s="111"/>
      <c r="Q1508" s="111"/>
      <c r="R1508" s="111"/>
      <c r="S1508" s="111"/>
      <c r="T1508" s="111"/>
      <c r="U1508" s="111"/>
      <c r="V1508" s="111"/>
      <c r="W1508" s="111"/>
      <c r="X1508" s="111"/>
      <c r="Y1508" s="111"/>
      <c r="Z1508" s="111"/>
      <c r="AA1508" s="124">
        <f>IF(OR(G1508="ALK",G1508="PEM",G1508="SOEC",G1508="Other Electrolysis"),
AB1508*VLOOKUP(G1508,ElectrolysisConvF,3,FALSE),
"")</f>
        <v>0</v>
      </c>
      <c r="AB1508" s="125"/>
      <c r="AC1508" s="125"/>
      <c r="AD1508" s="125"/>
      <c r="AE1508" s="125" t="str">
        <f t="shared" si="282"/>
        <v/>
      </c>
      <c r="AF1508" s="127" t="s">
        <v>14400</v>
      </c>
      <c r="AG1508" s="127">
        <v>-20.1830783555979</v>
      </c>
      <c r="AH1508" s="127">
        <v>145.011081869198</v>
      </c>
      <c r="AI1508" s="115" t="s">
        <v>12383</v>
      </c>
      <c r="AJ1508" s="116">
        <v>0.5</v>
      </c>
      <c r="AK1508" s="117"/>
      <c r="AL1508" s="117"/>
      <c r="AM1508" s="117"/>
      <c r="AN1508" s="117"/>
      <c r="AO1508" s="117"/>
    </row>
    <row r="1509" ht="34.5" customHeight="1">
      <c r="A1509" s="111">
        <v>2139.0</v>
      </c>
      <c r="B1509" s="111" t="s">
        <v>9512</v>
      </c>
      <c r="C1509" s="111" t="s">
        <v>8021</v>
      </c>
      <c r="D1509" s="111"/>
      <c r="E1509" s="111"/>
      <c r="F1509" s="111" t="s">
        <v>12397</v>
      </c>
      <c r="G1509" s="111" t="s">
        <v>12381</v>
      </c>
      <c r="H1509" s="111" t="s">
        <v>12230</v>
      </c>
      <c r="I1509" s="111" t="s">
        <v>12394</v>
      </c>
      <c r="J1509" s="111" t="s">
        <v>12295</v>
      </c>
      <c r="K1509" s="111" t="s">
        <v>30</v>
      </c>
      <c r="L1509" s="111"/>
      <c r="M1509" s="111"/>
      <c r="N1509" s="111"/>
      <c r="O1509" s="111"/>
      <c r="P1509" s="111"/>
      <c r="Q1509" s="111"/>
      <c r="R1509" s="111"/>
      <c r="S1509" s="111"/>
      <c r="T1509" s="111"/>
      <c r="U1509" s="111"/>
      <c r="V1509" s="111"/>
      <c r="W1509" s="111"/>
      <c r="X1509" s="111"/>
      <c r="Y1509" s="111"/>
      <c r="Z1509" s="111"/>
      <c r="AA1509" s="124">
        <f>IF(OR(G1509="ALK",G1509="PEM",G1509="SOEC",G1509="Other Electrolysis"),
AB1509*VLOOKUP(G1509,ElectrolysisConvF,3,FALSE),
"")</f>
        <v>0</v>
      </c>
      <c r="AB1509" s="125"/>
      <c r="AC1509" s="125"/>
      <c r="AD1509" s="125"/>
      <c r="AE1509" s="125" t="str">
        <f t="shared" si="282"/>
        <v/>
      </c>
      <c r="AF1509" s="127" t="s">
        <v>14400</v>
      </c>
      <c r="AG1509" s="127">
        <v>0.0</v>
      </c>
      <c r="AH1509" s="127">
        <v>0.0</v>
      </c>
      <c r="AI1509" s="115" t="s">
        <v>12383</v>
      </c>
      <c r="AJ1509" s="116">
        <v>0.5</v>
      </c>
      <c r="AK1509" s="117"/>
      <c r="AL1509" s="117"/>
      <c r="AM1509" s="117"/>
      <c r="AN1509" s="117"/>
      <c r="AO1509" s="117"/>
    </row>
    <row r="1510" ht="34.5" customHeight="1">
      <c r="A1510" s="111">
        <v>2140.0</v>
      </c>
      <c r="B1510" s="111" t="s">
        <v>9513</v>
      </c>
      <c r="C1510" s="111" t="s">
        <v>8787</v>
      </c>
      <c r="D1510" s="111">
        <v>2029.0</v>
      </c>
      <c r="E1510" s="111"/>
      <c r="F1510" s="111" t="s">
        <v>12397</v>
      </c>
      <c r="G1510" s="111" t="s">
        <v>12381</v>
      </c>
      <c r="H1510" s="111" t="s">
        <v>12230</v>
      </c>
      <c r="I1510" s="111" t="s">
        <v>12394</v>
      </c>
      <c r="J1510" s="111" t="s">
        <v>12291</v>
      </c>
      <c r="K1510" s="111" t="s">
        <v>30</v>
      </c>
      <c r="L1510" s="111"/>
      <c r="M1510" s="111"/>
      <c r="N1510" s="111"/>
      <c r="O1510" s="111"/>
      <c r="P1510" s="111"/>
      <c r="Q1510" s="111"/>
      <c r="R1510" s="111">
        <v>1.0</v>
      </c>
      <c r="S1510" s="111"/>
      <c r="T1510" s="111"/>
      <c r="U1510" s="111"/>
      <c r="V1510" s="111"/>
      <c r="W1510" s="111"/>
      <c r="X1510" s="111"/>
      <c r="Y1510" s="111"/>
      <c r="Z1510" s="111" t="s">
        <v>14401</v>
      </c>
      <c r="AA1510" s="126">
        <f>IF(Projects!$AI1510="Electrolysis",
AB1510*VLOOKUP(G1510,ElectrolysisConvF,3,FALSE),
"")</f>
        <v>22.12559643</v>
      </c>
      <c r="AB1510" s="125">
        <f t="shared" ref="AB1510:AB1511" si="292">AC1510/(H2dens*HoursInYear/10^6)</f>
        <v>4916.799206</v>
      </c>
      <c r="AC1510" s="126">
        <f>1.15/Projects!$AJ1510</f>
        <v>3.833333333</v>
      </c>
      <c r="AD1510" s="125"/>
      <c r="AE1510" s="125">
        <f t="shared" si="282"/>
        <v>4916.799206</v>
      </c>
      <c r="AF1510" s="127" t="s">
        <v>14402</v>
      </c>
      <c r="AG1510" s="127">
        <v>-20.193772632129</v>
      </c>
      <c r="AH1510" s="127">
        <v>32.6494639935017</v>
      </c>
      <c r="AI1510" s="115" t="s">
        <v>12383</v>
      </c>
      <c r="AJ1510" s="116">
        <v>0.3</v>
      </c>
      <c r="AK1510" s="117"/>
      <c r="AL1510" s="117"/>
      <c r="AM1510" s="117"/>
      <c r="AN1510" s="117"/>
      <c r="AO1510" s="117"/>
    </row>
    <row r="1511" ht="34.5" customHeight="1">
      <c r="A1511" s="111">
        <v>2141.0</v>
      </c>
      <c r="B1511" s="111" t="s">
        <v>9514</v>
      </c>
      <c r="C1511" s="111" t="s">
        <v>8240</v>
      </c>
      <c r="D1511" s="111"/>
      <c r="E1511" s="111"/>
      <c r="F1511" s="111" t="s">
        <v>12397</v>
      </c>
      <c r="G1511" s="111" t="s">
        <v>12381</v>
      </c>
      <c r="H1511" s="111" t="s">
        <v>12230</v>
      </c>
      <c r="I1511" s="111" t="s">
        <v>12394</v>
      </c>
      <c r="J1511" s="111" t="s">
        <v>12296</v>
      </c>
      <c r="K1511" s="111" t="s">
        <v>174</v>
      </c>
      <c r="L1511" s="111"/>
      <c r="M1511" s="111">
        <v>1.0</v>
      </c>
      <c r="N1511" s="111"/>
      <c r="O1511" s="111"/>
      <c r="P1511" s="111"/>
      <c r="Q1511" s="111"/>
      <c r="R1511" s="111"/>
      <c r="S1511" s="111"/>
      <c r="T1511" s="111"/>
      <c r="U1511" s="111"/>
      <c r="V1511" s="111"/>
      <c r="W1511" s="111"/>
      <c r="X1511" s="111"/>
      <c r="Y1511" s="111"/>
      <c r="Z1511" s="111" t="s">
        <v>14403</v>
      </c>
      <c r="AA1511" s="126">
        <f>IF(Projects!$AI1511="Electrolysis",
AB1511*VLOOKUP(G1511,ElectrolysisConvF,3,FALSE),
"")</f>
        <v>2494.456302</v>
      </c>
      <c r="AB1511" s="125">
        <f t="shared" si="292"/>
        <v>554323.6226</v>
      </c>
      <c r="AC1511" s="125">
        <f>(1200*3/17/0.98)/Projects!$AJ1511</f>
        <v>432.1728691</v>
      </c>
      <c r="AD1511" s="125"/>
      <c r="AE1511" s="125">
        <f t="shared" si="282"/>
        <v>554323.6226</v>
      </c>
      <c r="AF1511" s="127" t="s">
        <v>14404</v>
      </c>
      <c r="AG1511" s="127">
        <v>23.5591758777653</v>
      </c>
      <c r="AH1511" s="127">
        <v>38.7020304333159</v>
      </c>
      <c r="AI1511" s="115" t="s">
        <v>12383</v>
      </c>
      <c r="AJ1511" s="116">
        <v>0.5</v>
      </c>
      <c r="AK1511" s="117"/>
      <c r="AL1511" s="117"/>
      <c r="AM1511" s="117"/>
      <c r="AN1511" s="117"/>
      <c r="AO1511" s="117"/>
    </row>
    <row r="1512" ht="34.5" customHeight="1">
      <c r="A1512" s="111">
        <v>2142.0</v>
      </c>
      <c r="B1512" s="111" t="s">
        <v>9515</v>
      </c>
      <c r="C1512" s="111" t="s">
        <v>8578</v>
      </c>
      <c r="D1512" s="111">
        <v>2025.0</v>
      </c>
      <c r="E1512" s="111"/>
      <c r="F1512" s="111" t="s">
        <v>12399</v>
      </c>
      <c r="G1512" s="111" t="s">
        <v>12381</v>
      </c>
      <c r="H1512" s="111" t="s">
        <v>12230</v>
      </c>
      <c r="I1512" s="111" t="s">
        <v>12394</v>
      </c>
      <c r="J1512" s="111" t="s">
        <v>12291</v>
      </c>
      <c r="K1512" s="111" t="s">
        <v>30</v>
      </c>
      <c r="L1512" s="111"/>
      <c r="M1512" s="111"/>
      <c r="N1512" s="111"/>
      <c r="O1512" s="111"/>
      <c r="P1512" s="111"/>
      <c r="Q1512" s="111"/>
      <c r="R1512" s="111"/>
      <c r="S1512" s="111"/>
      <c r="T1512" s="111"/>
      <c r="U1512" s="111"/>
      <c r="V1512" s="111"/>
      <c r="W1512" s="111"/>
      <c r="X1512" s="111"/>
      <c r="Y1512" s="111"/>
      <c r="Z1512" s="111" t="s">
        <v>12703</v>
      </c>
      <c r="AA1512" s="124">
        <v>10.0</v>
      </c>
      <c r="AB1512" s="125">
        <f>IF(Projects!$AI1512="Electrolysis",
AA1512/VLOOKUP(G1512,ElectrolysisConvF,3,FALSE),
AC1512*10^6/(H2dens*HoursInYear))</f>
        <v>2222.222222</v>
      </c>
      <c r="AC1512" s="126">
        <f>AB1512*H2dens*HoursInYear/10^6</f>
        <v>1.732533333</v>
      </c>
      <c r="AD1512" s="125"/>
      <c r="AE1512" s="125">
        <f t="shared" si="282"/>
        <v>2222.222222</v>
      </c>
      <c r="AF1512" s="127" t="s">
        <v>14405</v>
      </c>
      <c r="AG1512" s="127">
        <v>0.775089216122492</v>
      </c>
      <c r="AH1512" s="127">
        <v>103.439606230315</v>
      </c>
      <c r="AI1512" s="115" t="s">
        <v>12383</v>
      </c>
      <c r="AJ1512" s="116">
        <v>0.3</v>
      </c>
      <c r="AK1512" s="117"/>
      <c r="AL1512" s="117"/>
      <c r="AM1512" s="117"/>
      <c r="AN1512" s="117"/>
      <c r="AO1512" s="117"/>
    </row>
    <row r="1513" ht="34.5" customHeight="1">
      <c r="A1513" s="111">
        <v>2143.0</v>
      </c>
      <c r="B1513" s="111" t="s">
        <v>9516</v>
      </c>
      <c r="C1513" s="111" t="s">
        <v>8041</v>
      </c>
      <c r="D1513" s="111"/>
      <c r="E1513" s="111"/>
      <c r="F1513" s="111" t="s">
        <v>12397</v>
      </c>
      <c r="G1513" s="111" t="s">
        <v>12381</v>
      </c>
      <c r="H1513" s="111" t="s">
        <v>12230</v>
      </c>
      <c r="I1513" s="111" t="s">
        <v>12394</v>
      </c>
      <c r="J1513" s="111" t="s">
        <v>12296</v>
      </c>
      <c r="K1513" s="111" t="s">
        <v>174</v>
      </c>
      <c r="L1513" s="111"/>
      <c r="M1513" s="111">
        <v>1.0</v>
      </c>
      <c r="N1513" s="111"/>
      <c r="O1513" s="111"/>
      <c r="P1513" s="111"/>
      <c r="Q1513" s="111"/>
      <c r="R1513" s="111"/>
      <c r="S1513" s="111"/>
      <c r="T1513" s="111"/>
      <c r="U1513" s="111"/>
      <c r="V1513" s="111"/>
      <c r="W1513" s="111"/>
      <c r="X1513" s="111"/>
      <c r="Y1513" s="111"/>
      <c r="Z1513" s="111" t="s">
        <v>14406</v>
      </c>
      <c r="AA1513" s="126">
        <f>IF(Projects!$AI1513="Electrolysis",
AB1513*VLOOKUP(G1513,ElectrolysisConvF,3,FALSE),
"")</f>
        <v>2494.456302</v>
      </c>
      <c r="AB1513" s="125">
        <f>AC1513/(H2dens*HoursInYear/10^6)</f>
        <v>554323.6226</v>
      </c>
      <c r="AC1513" s="125">
        <f>(1200*3/17/0.98)/Projects!$AJ1513</f>
        <v>432.1728691</v>
      </c>
      <c r="AD1513" s="125"/>
      <c r="AE1513" s="125">
        <f t="shared" si="282"/>
        <v>554323.6226</v>
      </c>
      <c r="AF1513" s="127" t="s">
        <v>14407</v>
      </c>
      <c r="AG1513" s="127">
        <v>14.9471860045103</v>
      </c>
      <c r="AH1513" s="127">
        <v>100.918815004366</v>
      </c>
      <c r="AI1513" s="115" t="s">
        <v>12383</v>
      </c>
      <c r="AJ1513" s="116">
        <v>0.5</v>
      </c>
      <c r="AK1513" s="117"/>
      <c r="AL1513" s="117"/>
      <c r="AM1513" s="117"/>
      <c r="AN1513" s="117"/>
      <c r="AO1513" s="117"/>
    </row>
    <row r="1514" ht="34.5" customHeight="1">
      <c r="A1514" s="111">
        <v>2144.0</v>
      </c>
      <c r="B1514" s="111" t="s">
        <v>9517</v>
      </c>
      <c r="C1514" s="111" t="s">
        <v>7981</v>
      </c>
      <c r="D1514" s="111">
        <v>2025.0</v>
      </c>
      <c r="E1514" s="111"/>
      <c r="F1514" s="111" t="s">
        <v>12399</v>
      </c>
      <c r="G1514" s="111" t="s">
        <v>12381</v>
      </c>
      <c r="H1514" s="111" t="s">
        <v>12230</v>
      </c>
      <c r="I1514" s="111" t="s">
        <v>12394</v>
      </c>
      <c r="J1514" s="111" t="s">
        <v>12296</v>
      </c>
      <c r="K1514" s="111" t="s">
        <v>30</v>
      </c>
      <c r="L1514" s="111"/>
      <c r="M1514" s="111"/>
      <c r="N1514" s="111"/>
      <c r="O1514" s="111"/>
      <c r="P1514" s="111"/>
      <c r="Q1514" s="111"/>
      <c r="R1514" s="111"/>
      <c r="S1514" s="111"/>
      <c r="T1514" s="111"/>
      <c r="U1514" s="111"/>
      <c r="V1514" s="111"/>
      <c r="W1514" s="111"/>
      <c r="X1514" s="111"/>
      <c r="Y1514" s="111"/>
      <c r="Z1514" s="111" t="s">
        <v>12798</v>
      </c>
      <c r="AA1514" s="124">
        <v>250.0</v>
      </c>
      <c r="AB1514" s="125">
        <f>IF(Projects!$AI1514="Electrolysis",
AA1514/VLOOKUP(G1514,ElectrolysisConvF,3,FALSE),
AC1514*10^6/(H2dens*HoursInYear))</f>
        <v>55555.55556</v>
      </c>
      <c r="AC1514" s="126">
        <f t="shared" ref="AC1514:AC1523" si="293">AB1514*H2dens*HoursInYear/10^6</f>
        <v>43.31333333</v>
      </c>
      <c r="AD1514" s="125"/>
      <c r="AE1514" s="125">
        <f t="shared" si="282"/>
        <v>55555.55556</v>
      </c>
      <c r="AF1514" s="127" t="s">
        <v>14408</v>
      </c>
      <c r="AG1514" s="127">
        <v>33.0228589588458</v>
      </c>
      <c r="AH1514" s="127">
        <v>-98.6628373389148</v>
      </c>
      <c r="AI1514" s="115" t="s">
        <v>12383</v>
      </c>
      <c r="AJ1514" s="116">
        <v>0.5</v>
      </c>
      <c r="AK1514" s="117"/>
      <c r="AL1514" s="117"/>
      <c r="AM1514" s="117"/>
      <c r="AN1514" s="117"/>
      <c r="AO1514" s="117"/>
    </row>
    <row r="1515" ht="34.5" customHeight="1">
      <c r="A1515" s="111">
        <v>2145.0</v>
      </c>
      <c r="B1515" s="111" t="s">
        <v>9518</v>
      </c>
      <c r="C1515" s="111" t="s">
        <v>7981</v>
      </c>
      <c r="D1515" s="111">
        <v>2025.0</v>
      </c>
      <c r="E1515" s="111"/>
      <c r="F1515" s="111" t="s">
        <v>12397</v>
      </c>
      <c r="G1515" s="111" t="s">
        <v>12381</v>
      </c>
      <c r="H1515" s="111" t="s">
        <v>12230</v>
      </c>
      <c r="I1515" s="111" t="s">
        <v>12394</v>
      </c>
      <c r="J1515" s="111" t="s">
        <v>12291</v>
      </c>
      <c r="K1515" s="111" t="s">
        <v>30</v>
      </c>
      <c r="L1515" s="111"/>
      <c r="M1515" s="111"/>
      <c r="N1515" s="111"/>
      <c r="O1515" s="111"/>
      <c r="P1515" s="111"/>
      <c r="Q1515" s="111">
        <v>1.0</v>
      </c>
      <c r="R1515" s="111"/>
      <c r="S1515" s="111"/>
      <c r="T1515" s="111"/>
      <c r="U1515" s="111"/>
      <c r="V1515" s="111"/>
      <c r="W1515" s="111"/>
      <c r="X1515" s="111"/>
      <c r="Y1515" s="111"/>
      <c r="Z1515" s="111" t="s">
        <v>13140</v>
      </c>
      <c r="AA1515" s="124">
        <v>75.0</v>
      </c>
      <c r="AB1515" s="125">
        <f>IF(Projects!$AI1515="Electrolysis",
AA1515/VLOOKUP(G1515,ElectrolysisConvF,3,FALSE),
AC1515*10^6/(H2dens*HoursInYear))</f>
        <v>16666.66667</v>
      </c>
      <c r="AC1515" s="126">
        <f t="shared" si="293"/>
        <v>12.994</v>
      </c>
      <c r="AD1515" s="125"/>
      <c r="AE1515" s="125">
        <f t="shared" si="282"/>
        <v>16666.66667</v>
      </c>
      <c r="AF1515" s="127" t="s">
        <v>14409</v>
      </c>
      <c r="AG1515" s="127">
        <v>35.4528086685199</v>
      </c>
      <c r="AH1515" s="127">
        <v>-118.987787905765</v>
      </c>
      <c r="AI1515" s="115" t="s">
        <v>12383</v>
      </c>
      <c r="AJ1515" s="116">
        <v>0.3</v>
      </c>
      <c r="AK1515" s="117"/>
      <c r="AL1515" s="117"/>
      <c r="AM1515" s="117"/>
      <c r="AN1515" s="117"/>
      <c r="AO1515" s="117"/>
    </row>
    <row r="1516" ht="34.5" customHeight="1">
      <c r="A1516" s="111">
        <v>2146.0</v>
      </c>
      <c r="B1516" s="111" t="s">
        <v>9519</v>
      </c>
      <c r="C1516" s="111" t="s">
        <v>8021</v>
      </c>
      <c r="D1516" s="111"/>
      <c r="E1516" s="111"/>
      <c r="F1516" s="111" t="s">
        <v>12397</v>
      </c>
      <c r="G1516" s="111" t="s">
        <v>12381</v>
      </c>
      <c r="H1516" s="111" t="s">
        <v>12230</v>
      </c>
      <c r="I1516" s="111" t="s">
        <v>12394</v>
      </c>
      <c r="J1516" s="111" t="s">
        <v>12296</v>
      </c>
      <c r="K1516" s="111" t="s">
        <v>30</v>
      </c>
      <c r="L1516" s="111"/>
      <c r="M1516" s="111"/>
      <c r="N1516" s="111"/>
      <c r="O1516" s="111"/>
      <c r="P1516" s="111"/>
      <c r="Q1516" s="111"/>
      <c r="R1516" s="111"/>
      <c r="S1516" s="111"/>
      <c r="T1516" s="111"/>
      <c r="U1516" s="111"/>
      <c r="V1516" s="111"/>
      <c r="W1516" s="111"/>
      <c r="X1516" s="111"/>
      <c r="Y1516" s="111"/>
      <c r="Z1516" s="111" t="s">
        <v>12806</v>
      </c>
      <c r="AA1516" s="124">
        <v>150.0</v>
      </c>
      <c r="AB1516" s="125">
        <f>IF(Projects!$AI1516="Electrolysis",
AA1516/VLOOKUP(G1516,ElectrolysisConvF,3,FALSE),
AC1516*10^6/(H2dens*HoursInYear))</f>
        <v>33333.33333</v>
      </c>
      <c r="AC1516" s="126">
        <f t="shared" si="293"/>
        <v>25.988</v>
      </c>
      <c r="AD1516" s="125"/>
      <c r="AE1516" s="125">
        <f t="shared" si="282"/>
        <v>33333.33333</v>
      </c>
      <c r="AF1516" s="127" t="s">
        <v>14410</v>
      </c>
      <c r="AG1516" s="127">
        <v>-24.8715150331893</v>
      </c>
      <c r="AH1516" s="127">
        <v>116.566952919499</v>
      </c>
      <c r="AI1516" s="115" t="s">
        <v>12383</v>
      </c>
      <c r="AJ1516" s="116">
        <v>0.5</v>
      </c>
      <c r="AK1516" s="117"/>
      <c r="AL1516" s="117"/>
      <c r="AM1516" s="117"/>
      <c r="AN1516" s="117"/>
      <c r="AO1516" s="117"/>
    </row>
    <row r="1517" ht="34.5" customHeight="1">
      <c r="A1517" s="111">
        <v>2147.0</v>
      </c>
      <c r="B1517" s="111" t="s">
        <v>9520</v>
      </c>
      <c r="C1517" s="111" t="s">
        <v>8021</v>
      </c>
      <c r="D1517" s="111"/>
      <c r="E1517" s="111"/>
      <c r="F1517" s="111" t="s">
        <v>12397</v>
      </c>
      <c r="G1517" s="111" t="s">
        <v>12381</v>
      </c>
      <c r="H1517" s="111" t="s">
        <v>12230</v>
      </c>
      <c r="I1517" s="111" t="s">
        <v>12394</v>
      </c>
      <c r="J1517" s="111" t="s">
        <v>12296</v>
      </c>
      <c r="K1517" s="111" t="s">
        <v>30</v>
      </c>
      <c r="L1517" s="111"/>
      <c r="M1517" s="111"/>
      <c r="N1517" s="111"/>
      <c r="O1517" s="111"/>
      <c r="P1517" s="111"/>
      <c r="Q1517" s="111"/>
      <c r="R1517" s="111"/>
      <c r="S1517" s="111"/>
      <c r="T1517" s="111"/>
      <c r="U1517" s="111"/>
      <c r="V1517" s="111"/>
      <c r="W1517" s="111"/>
      <c r="X1517" s="111"/>
      <c r="Y1517" s="111"/>
      <c r="Z1517" s="111" t="s">
        <v>13069</v>
      </c>
      <c r="AA1517" s="124">
        <v>350.0</v>
      </c>
      <c r="AB1517" s="125">
        <f>IF(Projects!$AI1517="Electrolysis",
AA1517/VLOOKUP(G1517,ElectrolysisConvF,3,FALSE),
AC1517*10^6/(H2dens*HoursInYear))</f>
        <v>77777.77778</v>
      </c>
      <c r="AC1517" s="126">
        <f t="shared" si="293"/>
        <v>60.63866667</v>
      </c>
      <c r="AD1517" s="125"/>
      <c r="AE1517" s="125">
        <f t="shared" si="282"/>
        <v>77777.77778</v>
      </c>
      <c r="AF1517" s="127" t="s">
        <v>14410</v>
      </c>
      <c r="AG1517" s="127">
        <v>-24.8715150331893</v>
      </c>
      <c r="AH1517" s="127">
        <v>116.566952919499</v>
      </c>
      <c r="AI1517" s="115" t="s">
        <v>12383</v>
      </c>
      <c r="AJ1517" s="116">
        <v>0.5</v>
      </c>
      <c r="AK1517" s="117"/>
      <c r="AL1517" s="117"/>
      <c r="AM1517" s="117"/>
      <c r="AN1517" s="117"/>
      <c r="AO1517" s="117"/>
    </row>
    <row r="1518" ht="34.5" customHeight="1">
      <c r="A1518" s="111">
        <v>2148.0</v>
      </c>
      <c r="B1518" s="111" t="s">
        <v>9521</v>
      </c>
      <c r="C1518" s="111" t="s">
        <v>8021</v>
      </c>
      <c r="D1518" s="111"/>
      <c r="E1518" s="111"/>
      <c r="F1518" s="111" t="s">
        <v>12397</v>
      </c>
      <c r="G1518" s="111" t="s">
        <v>12381</v>
      </c>
      <c r="H1518" s="111" t="s">
        <v>12230</v>
      </c>
      <c r="I1518" s="111" t="s">
        <v>12394</v>
      </c>
      <c r="J1518" s="111" t="s">
        <v>12296</v>
      </c>
      <c r="K1518" s="111" t="s">
        <v>30</v>
      </c>
      <c r="L1518" s="111"/>
      <c r="M1518" s="111"/>
      <c r="N1518" s="111"/>
      <c r="O1518" s="111"/>
      <c r="P1518" s="111"/>
      <c r="Q1518" s="111"/>
      <c r="R1518" s="111"/>
      <c r="S1518" s="111"/>
      <c r="T1518" s="111"/>
      <c r="U1518" s="111"/>
      <c r="V1518" s="111"/>
      <c r="W1518" s="111"/>
      <c r="X1518" s="111"/>
      <c r="Y1518" s="111"/>
      <c r="Z1518" s="111" t="s">
        <v>12723</v>
      </c>
      <c r="AA1518" s="124">
        <v>500.0</v>
      </c>
      <c r="AB1518" s="125">
        <f>IF(Projects!$AI1518="Electrolysis",
AA1518/VLOOKUP(G1518,ElectrolysisConvF,3,FALSE),
AC1518*10^6/(H2dens*HoursInYear))</f>
        <v>111111.1111</v>
      </c>
      <c r="AC1518" s="126">
        <f t="shared" si="293"/>
        <v>86.62666667</v>
      </c>
      <c r="AD1518" s="125"/>
      <c r="AE1518" s="125">
        <f t="shared" si="282"/>
        <v>111111.1111</v>
      </c>
      <c r="AF1518" s="127" t="s">
        <v>14410</v>
      </c>
      <c r="AG1518" s="127">
        <v>-24.8715150331893</v>
      </c>
      <c r="AH1518" s="127">
        <v>116.566952919499</v>
      </c>
      <c r="AI1518" s="115" t="s">
        <v>12383</v>
      </c>
      <c r="AJ1518" s="116">
        <v>0.5</v>
      </c>
      <c r="AK1518" s="117"/>
      <c r="AL1518" s="117"/>
      <c r="AM1518" s="117"/>
      <c r="AN1518" s="117"/>
      <c r="AO1518" s="117"/>
    </row>
    <row r="1519" ht="34.5" customHeight="1">
      <c r="A1519" s="111">
        <v>2149.0</v>
      </c>
      <c r="B1519" s="111" t="s">
        <v>9522</v>
      </c>
      <c r="C1519" s="111" t="s">
        <v>7994</v>
      </c>
      <c r="D1519" s="111">
        <v>2028.0</v>
      </c>
      <c r="E1519" s="111"/>
      <c r="F1519" s="111" t="s">
        <v>12399</v>
      </c>
      <c r="G1519" s="111" t="s">
        <v>12381</v>
      </c>
      <c r="H1519" s="111" t="s">
        <v>12230</v>
      </c>
      <c r="I1519" s="111" t="s">
        <v>12394</v>
      </c>
      <c r="J1519" s="111" t="s">
        <v>12295</v>
      </c>
      <c r="K1519" s="111" t="s">
        <v>30</v>
      </c>
      <c r="L1519" s="111"/>
      <c r="M1519" s="111"/>
      <c r="N1519" s="111"/>
      <c r="O1519" s="111"/>
      <c r="P1519" s="111"/>
      <c r="Q1519" s="111"/>
      <c r="R1519" s="111"/>
      <c r="S1519" s="111"/>
      <c r="T1519" s="111"/>
      <c r="U1519" s="111"/>
      <c r="V1519" s="111"/>
      <c r="W1519" s="111"/>
      <c r="X1519" s="111"/>
      <c r="Y1519" s="111"/>
      <c r="Z1519" s="111" t="s">
        <v>12806</v>
      </c>
      <c r="AA1519" s="124">
        <v>150.0</v>
      </c>
      <c r="AB1519" s="125">
        <f>IF(Projects!$AI1519="Electrolysis",
AA1519/VLOOKUP(G1519,ElectrolysisConvF,3,FALSE),
AC1519*10^6/(H2dens*HoursInYear))</f>
        <v>33333.33333</v>
      </c>
      <c r="AC1519" s="126">
        <f t="shared" si="293"/>
        <v>25.988</v>
      </c>
      <c r="AD1519" s="125"/>
      <c r="AE1519" s="125">
        <f t="shared" si="282"/>
        <v>33333.33333</v>
      </c>
      <c r="AF1519" s="127" t="s">
        <v>14411</v>
      </c>
      <c r="AG1519" s="127">
        <v>56.4579505018526</v>
      </c>
      <c r="AH1519" s="127">
        <v>8.92458382473043</v>
      </c>
      <c r="AI1519" s="115" t="s">
        <v>12383</v>
      </c>
      <c r="AJ1519" s="116">
        <v>0.5</v>
      </c>
      <c r="AK1519" s="117"/>
      <c r="AL1519" s="117"/>
      <c r="AM1519" s="117"/>
      <c r="AN1519" s="117"/>
      <c r="AO1519" s="117"/>
    </row>
    <row r="1520" ht="34.5" customHeight="1">
      <c r="A1520" s="111">
        <v>2150.0</v>
      </c>
      <c r="B1520" s="111" t="s">
        <v>9522</v>
      </c>
      <c r="C1520" s="111" t="s">
        <v>7994</v>
      </c>
      <c r="D1520" s="111"/>
      <c r="E1520" s="111"/>
      <c r="F1520" s="111" t="s">
        <v>12397</v>
      </c>
      <c r="G1520" s="111" t="s">
        <v>12381</v>
      </c>
      <c r="H1520" s="111" t="s">
        <v>12230</v>
      </c>
      <c r="I1520" s="111" t="s">
        <v>12394</v>
      </c>
      <c r="J1520" s="111" t="s">
        <v>12295</v>
      </c>
      <c r="K1520" s="111" t="s">
        <v>30</v>
      </c>
      <c r="L1520" s="111"/>
      <c r="M1520" s="111"/>
      <c r="N1520" s="111"/>
      <c r="O1520" s="111"/>
      <c r="P1520" s="111"/>
      <c r="Q1520" s="111"/>
      <c r="R1520" s="111"/>
      <c r="S1520" s="111"/>
      <c r="T1520" s="111"/>
      <c r="U1520" s="111"/>
      <c r="V1520" s="111"/>
      <c r="W1520" s="111"/>
      <c r="X1520" s="111"/>
      <c r="Y1520" s="111"/>
      <c r="Z1520" s="111" t="s">
        <v>13147</v>
      </c>
      <c r="AA1520" s="124">
        <v>2850.0</v>
      </c>
      <c r="AB1520" s="125">
        <f>IF(Projects!$AI1520="Electrolysis",
AA1520/VLOOKUP(G1520,ElectrolysisConvF,3,FALSE),
AC1520*10^6/(H2dens*HoursInYear))</f>
        <v>633333.3333</v>
      </c>
      <c r="AC1520" s="126">
        <f t="shared" si="293"/>
        <v>493.772</v>
      </c>
      <c r="AD1520" s="125"/>
      <c r="AE1520" s="125">
        <f t="shared" si="282"/>
        <v>633333.3333</v>
      </c>
      <c r="AF1520" s="127" t="s">
        <v>14412</v>
      </c>
      <c r="AG1520" s="127">
        <v>56.4579505018526</v>
      </c>
      <c r="AH1520" s="127">
        <v>8.92458382473043</v>
      </c>
      <c r="AI1520" s="115" t="s">
        <v>12383</v>
      </c>
      <c r="AJ1520" s="116">
        <v>0.5</v>
      </c>
      <c r="AK1520" s="117"/>
      <c r="AL1520" s="117"/>
      <c r="AM1520" s="117"/>
      <c r="AN1520" s="117"/>
      <c r="AO1520" s="117"/>
    </row>
    <row r="1521" ht="34.5" customHeight="1">
      <c r="A1521" s="111">
        <v>2152.0</v>
      </c>
      <c r="B1521" s="111" t="s">
        <v>9523</v>
      </c>
      <c r="C1521" s="111" t="s">
        <v>7977</v>
      </c>
      <c r="D1521" s="111"/>
      <c r="E1521" s="111"/>
      <c r="F1521" s="111" t="s">
        <v>12397</v>
      </c>
      <c r="G1521" s="111" t="s">
        <v>12224</v>
      </c>
      <c r="H1521" s="111"/>
      <c r="I1521" s="111" t="s">
        <v>12759</v>
      </c>
      <c r="J1521" s="111" t="s">
        <v>12292</v>
      </c>
      <c r="K1521" s="111" t="s">
        <v>30</v>
      </c>
      <c r="L1521" s="111">
        <v>1.0</v>
      </c>
      <c r="M1521" s="111"/>
      <c r="N1521" s="111"/>
      <c r="O1521" s="111"/>
      <c r="P1521" s="111"/>
      <c r="Q1521" s="111"/>
      <c r="R1521" s="111"/>
      <c r="S1521" s="111"/>
      <c r="T1521" s="111"/>
      <c r="U1521" s="111"/>
      <c r="V1521" s="111"/>
      <c r="W1521" s="111"/>
      <c r="X1521" s="111"/>
      <c r="Y1521" s="111"/>
      <c r="Z1521" s="111" t="s">
        <v>13006</v>
      </c>
      <c r="AA1521" s="124">
        <v>170.0</v>
      </c>
      <c r="AB1521" s="125">
        <f>IF(Projects!$AI1521="Electrolysis",
AA1521/VLOOKUP(G1521,ElectrolysisConvF,3,FALSE),
AC1521*10^6/(H2dens*HoursInYear))</f>
        <v>36956.52174</v>
      </c>
      <c r="AC1521" s="126">
        <f t="shared" si="293"/>
        <v>28.81278261</v>
      </c>
      <c r="AD1521" s="125"/>
      <c r="AE1521" s="125">
        <f t="shared" si="282"/>
        <v>36956.52174</v>
      </c>
      <c r="AF1521" s="127" t="s">
        <v>14413</v>
      </c>
      <c r="AG1521" s="127">
        <v>43.2086208451703</v>
      </c>
      <c r="AH1521" s="127">
        <v>-8.43789993335298</v>
      </c>
      <c r="AI1521" s="115" t="s">
        <v>12383</v>
      </c>
      <c r="AJ1521" s="116">
        <v>0.7</v>
      </c>
      <c r="AK1521" s="117"/>
      <c r="AL1521" s="117"/>
      <c r="AM1521" s="117"/>
      <c r="AN1521" s="117"/>
      <c r="AO1521" s="117"/>
    </row>
    <row r="1522" ht="34.5" customHeight="1">
      <c r="A1522" s="111">
        <v>2153.0</v>
      </c>
      <c r="B1522" s="111" t="s">
        <v>9524</v>
      </c>
      <c r="C1522" s="111" t="s">
        <v>8003</v>
      </c>
      <c r="D1522" s="111"/>
      <c r="E1522" s="111"/>
      <c r="F1522" s="111" t="s">
        <v>12399</v>
      </c>
      <c r="G1522" s="111" t="s">
        <v>12381</v>
      </c>
      <c r="H1522" s="111" t="s">
        <v>12230</v>
      </c>
      <c r="I1522" s="111" t="s">
        <v>12394</v>
      </c>
      <c r="J1522" s="111" t="s">
        <v>12296</v>
      </c>
      <c r="K1522" s="111" t="s">
        <v>30</v>
      </c>
      <c r="L1522" s="111"/>
      <c r="M1522" s="111"/>
      <c r="N1522" s="111"/>
      <c r="O1522" s="111"/>
      <c r="P1522" s="111"/>
      <c r="Q1522" s="111">
        <v>1.0</v>
      </c>
      <c r="R1522" s="111"/>
      <c r="S1522" s="111"/>
      <c r="T1522" s="111"/>
      <c r="U1522" s="111"/>
      <c r="V1522" s="111"/>
      <c r="W1522" s="111"/>
      <c r="X1522" s="111"/>
      <c r="Y1522" s="111"/>
      <c r="Z1522" s="111" t="s">
        <v>12768</v>
      </c>
      <c r="AA1522" s="124">
        <v>50.0</v>
      </c>
      <c r="AB1522" s="125">
        <f>IF(Projects!$AI1522="Electrolysis",
AA1522/VLOOKUP(G1522,ElectrolysisConvF,3,FALSE),
AC1522*10^6/(H2dens*HoursInYear))</f>
        <v>11111.11111</v>
      </c>
      <c r="AC1522" s="126">
        <f t="shared" si="293"/>
        <v>8.662666667</v>
      </c>
      <c r="AD1522" s="125"/>
      <c r="AE1522" s="125">
        <f t="shared" si="282"/>
        <v>11111.11111</v>
      </c>
      <c r="AF1522" s="127" t="s">
        <v>14413</v>
      </c>
      <c r="AG1522" s="127">
        <v>46.6976904753214</v>
      </c>
      <c r="AH1522" s="127">
        <v>-72.8098677755457</v>
      </c>
      <c r="AI1522" s="115" t="s">
        <v>12383</v>
      </c>
      <c r="AJ1522" s="116">
        <v>0.5</v>
      </c>
      <c r="AK1522" s="117"/>
      <c r="AL1522" s="117"/>
      <c r="AM1522" s="117"/>
      <c r="AN1522" s="117"/>
      <c r="AO1522" s="117"/>
    </row>
    <row r="1523" ht="34.5" customHeight="1">
      <c r="A1523" s="111">
        <v>2154.0</v>
      </c>
      <c r="B1523" s="111" t="s">
        <v>9525</v>
      </c>
      <c r="C1523" s="111" t="s">
        <v>8026</v>
      </c>
      <c r="D1523" s="111">
        <v>2027.0</v>
      </c>
      <c r="E1523" s="111"/>
      <c r="F1523" s="111" t="s">
        <v>12399</v>
      </c>
      <c r="G1523" s="111" t="s">
        <v>12381</v>
      </c>
      <c r="H1523" s="111" t="s">
        <v>12230</v>
      </c>
      <c r="I1523" s="111" t="s">
        <v>12394</v>
      </c>
      <c r="J1523" s="111" t="s">
        <v>12296</v>
      </c>
      <c r="K1523" s="111" t="s">
        <v>30</v>
      </c>
      <c r="L1523" s="111"/>
      <c r="M1523" s="111"/>
      <c r="N1523" s="111"/>
      <c r="O1523" s="111">
        <v>1.0</v>
      </c>
      <c r="P1523" s="111"/>
      <c r="Q1523" s="111"/>
      <c r="R1523" s="111"/>
      <c r="S1523" s="111"/>
      <c r="T1523" s="111"/>
      <c r="U1523" s="111"/>
      <c r="V1523" s="111"/>
      <c r="W1523" s="111"/>
      <c r="X1523" s="111"/>
      <c r="Y1523" s="111"/>
      <c r="Z1523" s="111" t="s">
        <v>14414</v>
      </c>
      <c r="AA1523" s="124">
        <v>800.0</v>
      </c>
      <c r="AB1523" s="125">
        <f>IF(Projects!$AI1523="Electrolysis",
AA1523/VLOOKUP(G1523,ElectrolysisConvF,3,FALSE),
AC1523*10^6/(H2dens*HoursInYear))</f>
        <v>177777.7778</v>
      </c>
      <c r="AC1523" s="126">
        <f t="shared" si="293"/>
        <v>138.6026667</v>
      </c>
      <c r="AD1523" s="125"/>
      <c r="AE1523" s="125">
        <f t="shared" si="282"/>
        <v>177777.7778</v>
      </c>
      <c r="AF1523" s="127" t="s">
        <v>14415</v>
      </c>
      <c r="AG1523" s="127">
        <v>60.0501163995222</v>
      </c>
      <c r="AH1523" s="127">
        <v>24.0087549567843</v>
      </c>
      <c r="AI1523" s="115" t="s">
        <v>12383</v>
      </c>
      <c r="AJ1523" s="116">
        <v>0.5</v>
      </c>
      <c r="AK1523" s="117"/>
      <c r="AL1523" s="117"/>
      <c r="AM1523" s="117"/>
      <c r="AN1523" s="117"/>
      <c r="AO1523" s="117"/>
    </row>
    <row r="1524" ht="34.5" customHeight="1">
      <c r="A1524" s="111">
        <v>2155.0</v>
      </c>
      <c r="B1524" s="111" t="s">
        <v>9526</v>
      </c>
      <c r="C1524" s="111" t="s">
        <v>7974</v>
      </c>
      <c r="D1524" s="111">
        <v>2026.0</v>
      </c>
      <c r="E1524" s="111"/>
      <c r="F1524" s="111" t="s">
        <v>12399</v>
      </c>
      <c r="G1524" s="111" t="s">
        <v>12381</v>
      </c>
      <c r="H1524" s="111" t="s">
        <v>12230</v>
      </c>
      <c r="I1524" s="111" t="s">
        <v>12394</v>
      </c>
      <c r="J1524" s="111" t="s">
        <v>12295</v>
      </c>
      <c r="K1524" s="111" t="s">
        <v>12415</v>
      </c>
      <c r="L1524" s="111"/>
      <c r="M1524" s="111"/>
      <c r="N1524" s="111">
        <v>1.0</v>
      </c>
      <c r="O1524" s="111"/>
      <c r="P1524" s="111"/>
      <c r="Q1524" s="111">
        <v>1.0</v>
      </c>
      <c r="R1524" s="111"/>
      <c r="S1524" s="111"/>
      <c r="T1524" s="111"/>
      <c r="U1524" s="111"/>
      <c r="V1524" s="111"/>
      <c r="W1524" s="111"/>
      <c r="X1524" s="111"/>
      <c r="Y1524" s="111"/>
      <c r="Z1524" s="111" t="s">
        <v>14416</v>
      </c>
      <c r="AA1524" s="126">
        <f>IF(Projects!$AI1524="Electrolysis",
AB1524*VLOOKUP(G1524,ElectrolysisConvF,3,FALSE),
"")</f>
        <v>220.8638602</v>
      </c>
      <c r="AB1524" s="125">
        <f>AC1524/(H2dens*HoursInYear/10^6)</f>
        <v>49080.85783</v>
      </c>
      <c r="AC1524" s="125">
        <f>100*0.191327/Projects!$AJ1524</f>
        <v>38.2654</v>
      </c>
      <c r="AD1524" s="125"/>
      <c r="AE1524" s="125">
        <f t="shared" si="282"/>
        <v>49080.85783</v>
      </c>
      <c r="AF1524" s="127" t="s">
        <v>14417</v>
      </c>
      <c r="AG1524" s="127">
        <v>64.827747353286</v>
      </c>
      <c r="AH1524" s="127">
        <v>18.4514692320124</v>
      </c>
      <c r="AI1524" s="115" t="s">
        <v>12383</v>
      </c>
      <c r="AJ1524" s="116">
        <v>0.5</v>
      </c>
      <c r="AK1524" s="117"/>
      <c r="AL1524" s="117"/>
      <c r="AM1524" s="117"/>
      <c r="AN1524" s="117"/>
      <c r="AO1524" s="117"/>
    </row>
    <row r="1525" ht="34.5" customHeight="1">
      <c r="A1525" s="111">
        <v>2156.0</v>
      </c>
      <c r="B1525" s="111" t="s">
        <v>9527</v>
      </c>
      <c r="C1525" s="111" t="s">
        <v>8108</v>
      </c>
      <c r="D1525" s="111">
        <v>2027.0</v>
      </c>
      <c r="E1525" s="111"/>
      <c r="F1525" s="111" t="s">
        <v>12393</v>
      </c>
      <c r="G1525" s="111" t="s">
        <v>12224</v>
      </c>
      <c r="H1525" s="111"/>
      <c r="I1525" s="111" t="s">
        <v>12759</v>
      </c>
      <c r="J1525" s="111" t="s">
        <v>12295</v>
      </c>
      <c r="K1525" s="111" t="s">
        <v>174</v>
      </c>
      <c r="L1525" s="111"/>
      <c r="M1525" s="111">
        <v>1.0</v>
      </c>
      <c r="N1525" s="111"/>
      <c r="O1525" s="111"/>
      <c r="P1525" s="111"/>
      <c r="Q1525" s="111"/>
      <c r="R1525" s="111"/>
      <c r="S1525" s="111"/>
      <c r="T1525" s="111"/>
      <c r="U1525" s="111"/>
      <c r="V1525" s="111"/>
      <c r="W1525" s="111"/>
      <c r="X1525" s="111"/>
      <c r="Y1525" s="111"/>
      <c r="Z1525" s="111" t="s">
        <v>14184</v>
      </c>
      <c r="AA1525" s="126">
        <v>1300.0</v>
      </c>
      <c r="AB1525" s="125">
        <f>IF(Projects!$AI1525="Electrolysis",
AA1525/VLOOKUP(G1525,ElectrolysisConvF,3,FALSE),
AC1525*10^6/(H2dens*HoursInYear))</f>
        <v>282608.6957</v>
      </c>
      <c r="AC1525" s="126">
        <f t="shared" ref="AC1525:AC1527" si="294">AB1525*H2dens*HoursInYear/10^6</f>
        <v>220.3330435</v>
      </c>
      <c r="AD1525" s="125"/>
      <c r="AE1525" s="125">
        <f t="shared" si="282"/>
        <v>282608.6957</v>
      </c>
      <c r="AF1525" s="127" t="s">
        <v>14418</v>
      </c>
      <c r="AG1525" s="127">
        <v>16.9888480591</v>
      </c>
      <c r="AH1525" s="127">
        <v>82.2355597277334</v>
      </c>
      <c r="AI1525" s="115" t="s">
        <v>12383</v>
      </c>
      <c r="AJ1525" s="116">
        <v>0.7</v>
      </c>
      <c r="AK1525" s="117"/>
      <c r="AL1525" s="117"/>
      <c r="AM1525" s="117"/>
      <c r="AN1525" s="117"/>
      <c r="AO1525" s="117"/>
    </row>
    <row r="1526" ht="34.5" customHeight="1">
      <c r="A1526" s="111">
        <v>2157.0</v>
      </c>
      <c r="B1526" s="111" t="s">
        <v>9528</v>
      </c>
      <c r="C1526" s="111" t="s">
        <v>8071</v>
      </c>
      <c r="D1526" s="111">
        <v>2025.0</v>
      </c>
      <c r="E1526" s="111"/>
      <c r="F1526" s="111" t="s">
        <v>12393</v>
      </c>
      <c r="G1526" s="111" t="s">
        <v>12381</v>
      </c>
      <c r="H1526" s="111" t="s">
        <v>12230</v>
      </c>
      <c r="I1526" s="111" t="s">
        <v>12394</v>
      </c>
      <c r="J1526" s="111" t="s">
        <v>12292</v>
      </c>
      <c r="K1526" s="111" t="s">
        <v>30</v>
      </c>
      <c r="L1526" s="111">
        <v>1.0</v>
      </c>
      <c r="M1526" s="111"/>
      <c r="N1526" s="111"/>
      <c r="O1526" s="111"/>
      <c r="P1526" s="111">
        <v>1.0</v>
      </c>
      <c r="Q1526" s="111">
        <v>1.0</v>
      </c>
      <c r="R1526" s="111"/>
      <c r="S1526" s="111"/>
      <c r="T1526" s="111"/>
      <c r="U1526" s="111"/>
      <c r="V1526" s="111"/>
      <c r="W1526" s="111"/>
      <c r="X1526" s="111"/>
      <c r="Y1526" s="111"/>
      <c r="Z1526" s="111" t="s">
        <v>12908</v>
      </c>
      <c r="AA1526" s="124">
        <v>1.0</v>
      </c>
      <c r="AB1526" s="125">
        <f>IF(Projects!$AI1526="Electrolysis",
AA1526/VLOOKUP(G1526,ElectrolysisConvF,3,FALSE),
AC1526*10^6/(H2dens*HoursInYear))</f>
        <v>222.2222222</v>
      </c>
      <c r="AC1526" s="126">
        <f t="shared" si="294"/>
        <v>0.1732533333</v>
      </c>
      <c r="AD1526" s="125"/>
      <c r="AE1526" s="125">
        <f t="shared" si="282"/>
        <v>222.2222222</v>
      </c>
      <c r="AF1526" s="127" t="s">
        <v>14419</v>
      </c>
      <c r="AG1526" s="127">
        <v>-52.8395729333717</v>
      </c>
      <c r="AH1526" s="127">
        <v>-70.2008508656903</v>
      </c>
      <c r="AI1526" s="115" t="s">
        <v>12383</v>
      </c>
      <c r="AJ1526" s="116">
        <v>0.4</v>
      </c>
      <c r="AK1526" s="117"/>
      <c r="AL1526" s="117"/>
      <c r="AM1526" s="117"/>
      <c r="AN1526" s="117"/>
      <c r="AO1526" s="117"/>
    </row>
    <row r="1527" ht="34.5" customHeight="1">
      <c r="A1527" s="111">
        <v>2158.0</v>
      </c>
      <c r="B1527" s="111" t="s">
        <v>9529</v>
      </c>
      <c r="C1527" s="111" t="s">
        <v>8087</v>
      </c>
      <c r="D1527" s="111">
        <v>2026.0</v>
      </c>
      <c r="E1527" s="111"/>
      <c r="F1527" s="111" t="s">
        <v>12418</v>
      </c>
      <c r="G1527" s="111" t="s">
        <v>12226</v>
      </c>
      <c r="H1527" s="111"/>
      <c r="I1527" s="111" t="s">
        <v>12394</v>
      </c>
      <c r="J1527" s="111" t="s">
        <v>12293</v>
      </c>
      <c r="K1527" s="111" t="s">
        <v>30</v>
      </c>
      <c r="L1527" s="111"/>
      <c r="M1527" s="111"/>
      <c r="N1527" s="111"/>
      <c r="O1527" s="111"/>
      <c r="P1527" s="111"/>
      <c r="Q1527" s="111"/>
      <c r="R1527" s="111"/>
      <c r="S1527" s="111"/>
      <c r="T1527" s="111"/>
      <c r="U1527" s="111"/>
      <c r="V1527" s="111"/>
      <c r="W1527" s="111"/>
      <c r="X1527" s="111"/>
      <c r="Y1527" s="111"/>
      <c r="Z1527" s="111" t="s">
        <v>12703</v>
      </c>
      <c r="AA1527" s="124">
        <v>10.0</v>
      </c>
      <c r="AB1527" s="125">
        <f>IF(Projects!$AI1527="Electrolysis",
AA1527/VLOOKUP(G1527,ElectrolysisConvF,3,FALSE),
AC1527*10^6/(H2dens*HoursInYear))</f>
        <v>1923.076923</v>
      </c>
      <c r="AC1527" s="126">
        <f t="shared" si="294"/>
        <v>1.499307692</v>
      </c>
      <c r="AD1527" s="125"/>
      <c r="AE1527" s="125">
        <f t="shared" si="282"/>
        <v>1923.076923</v>
      </c>
      <c r="AF1527" s="127" t="s">
        <v>14420</v>
      </c>
      <c r="AG1527" s="127">
        <v>51.252064866612</v>
      </c>
      <c r="AH1527" s="127">
        <v>2.90765243875169</v>
      </c>
      <c r="AI1527" s="115" t="s">
        <v>12383</v>
      </c>
      <c r="AJ1527" s="116">
        <v>0.55</v>
      </c>
      <c r="AK1527" s="117"/>
      <c r="AL1527" s="117"/>
      <c r="AM1527" s="117"/>
      <c r="AN1527" s="117"/>
      <c r="AO1527" s="117"/>
    </row>
    <row r="1528" ht="34.5" customHeight="1">
      <c r="A1528" s="111">
        <v>2159.0</v>
      </c>
      <c r="B1528" s="111" t="s">
        <v>9530</v>
      </c>
      <c r="C1528" s="111" t="s">
        <v>8003</v>
      </c>
      <c r="D1528" s="111">
        <v>2029.0</v>
      </c>
      <c r="E1528" s="111"/>
      <c r="F1528" s="111" t="s">
        <v>12393</v>
      </c>
      <c r="G1528" s="111" t="s">
        <v>12235</v>
      </c>
      <c r="H1528" s="111" t="s">
        <v>12529</v>
      </c>
      <c r="I1528" s="111"/>
      <c r="J1528" s="111"/>
      <c r="K1528" s="111" t="s">
        <v>30</v>
      </c>
      <c r="L1528" s="111"/>
      <c r="M1528" s="111"/>
      <c r="N1528" s="111"/>
      <c r="O1528" s="111"/>
      <c r="P1528" s="111">
        <v>1.0</v>
      </c>
      <c r="Q1528" s="111"/>
      <c r="R1528" s="111"/>
      <c r="S1528" s="111"/>
      <c r="T1528" s="111"/>
      <c r="U1528" s="111"/>
      <c r="V1528" s="111"/>
      <c r="W1528" s="111"/>
      <c r="X1528" s="111"/>
      <c r="Y1528" s="111"/>
      <c r="Z1528" s="111" t="s">
        <v>14421</v>
      </c>
      <c r="AA1528" s="124" t="str">
        <f>IF(OR(G1528="ALK",G1528="PEM",G1528="SOEC",G1528="Other Electrolysis"),
AB1528*VLOOKUP(G1528,ElectrolysisConvF,3,FALSE),
"")</f>
        <v/>
      </c>
      <c r="AB1528" s="125">
        <v>1282643.271253399</v>
      </c>
      <c r="AC1528" s="125">
        <v>1000.0</v>
      </c>
      <c r="AD1528" s="125"/>
      <c r="AE1528" s="125">
        <f t="shared" si="282"/>
        <v>0</v>
      </c>
      <c r="AF1528" s="127" t="s">
        <v>14422</v>
      </c>
      <c r="AG1528" s="127">
        <v>53.7140226225863</v>
      </c>
      <c r="AH1528" s="127">
        <v>-113.207956381858</v>
      </c>
      <c r="AI1528" s="115" t="s">
        <v>12378</v>
      </c>
      <c r="AJ1528" s="116">
        <v>0.9</v>
      </c>
      <c r="AK1528" s="117"/>
      <c r="AL1528" s="117"/>
      <c r="AM1528" s="117"/>
      <c r="AN1528" s="117"/>
      <c r="AO1528" s="117"/>
    </row>
    <row r="1529" ht="34.5" customHeight="1">
      <c r="A1529" s="111">
        <v>2160.0</v>
      </c>
      <c r="B1529" s="111" t="s">
        <v>9531</v>
      </c>
      <c r="C1529" s="111" t="s">
        <v>7981</v>
      </c>
      <c r="D1529" s="111">
        <v>2029.0</v>
      </c>
      <c r="E1529" s="111"/>
      <c r="F1529" s="111" t="s">
        <v>12399</v>
      </c>
      <c r="G1529" s="111" t="s">
        <v>12235</v>
      </c>
      <c r="H1529" s="111" t="s">
        <v>13160</v>
      </c>
      <c r="I1529" s="111"/>
      <c r="J1529" s="111"/>
      <c r="K1529" s="111" t="s">
        <v>174</v>
      </c>
      <c r="L1529" s="111"/>
      <c r="M1529" s="111">
        <v>1.0</v>
      </c>
      <c r="N1529" s="111"/>
      <c r="O1529" s="111"/>
      <c r="P1529" s="111"/>
      <c r="Q1529" s="111"/>
      <c r="R1529" s="111"/>
      <c r="S1529" s="111"/>
      <c r="T1529" s="111"/>
      <c r="U1529" s="111"/>
      <c r="V1529" s="111"/>
      <c r="W1529" s="111"/>
      <c r="X1529" s="111"/>
      <c r="Y1529" s="111"/>
      <c r="Z1529" s="111" t="s">
        <v>14330</v>
      </c>
      <c r="AA1529" s="124"/>
      <c r="AB1529" s="125">
        <f>AC1529/(H2dens*HoursInYear/10^6)</f>
        <v>300258.6289</v>
      </c>
      <c r="AC1529" s="125">
        <f>1300*3/17/0.98</f>
        <v>234.0936375</v>
      </c>
      <c r="AD1529" s="125"/>
      <c r="AE1529" s="125">
        <f t="shared" si="282"/>
        <v>0</v>
      </c>
      <c r="AF1529" s="127" t="s">
        <v>14423</v>
      </c>
      <c r="AG1529" s="127">
        <v>29.7942074112788</v>
      </c>
      <c r="AH1529" s="127">
        <v>-92.5736165020838</v>
      </c>
      <c r="AI1529" s="115" t="s">
        <v>12378</v>
      </c>
      <c r="AJ1529" s="116">
        <v>0.9</v>
      </c>
      <c r="AK1529" s="117"/>
      <c r="AL1529" s="117"/>
      <c r="AM1529" s="117"/>
      <c r="AN1529" s="117"/>
      <c r="AO1529" s="117"/>
    </row>
    <row r="1530" ht="34.5" customHeight="1">
      <c r="A1530" s="111">
        <v>2161.0</v>
      </c>
      <c r="B1530" s="111" t="s">
        <v>9532</v>
      </c>
      <c r="C1530" s="111" t="s">
        <v>7991</v>
      </c>
      <c r="D1530" s="111">
        <v>2028.0</v>
      </c>
      <c r="E1530" s="111"/>
      <c r="F1530" s="111" t="s">
        <v>12393</v>
      </c>
      <c r="G1530" s="111" t="s">
        <v>12381</v>
      </c>
      <c r="H1530" s="111" t="s">
        <v>12230</v>
      </c>
      <c r="I1530" s="111" t="s">
        <v>12394</v>
      </c>
      <c r="J1530" s="111" t="s">
        <v>12292</v>
      </c>
      <c r="K1530" s="111" t="s">
        <v>30</v>
      </c>
      <c r="L1530" s="111"/>
      <c r="M1530" s="111"/>
      <c r="N1530" s="111"/>
      <c r="O1530" s="111"/>
      <c r="P1530" s="111"/>
      <c r="Q1530" s="111"/>
      <c r="R1530" s="111">
        <v>1.0</v>
      </c>
      <c r="S1530" s="111"/>
      <c r="T1530" s="111"/>
      <c r="U1530" s="111"/>
      <c r="V1530" s="111"/>
      <c r="W1530" s="111"/>
      <c r="X1530" s="111"/>
      <c r="Y1530" s="111"/>
      <c r="Z1530" s="111" t="s">
        <v>13447</v>
      </c>
      <c r="AA1530" s="124">
        <v>35.0</v>
      </c>
      <c r="AB1530" s="125">
        <f>IF(Projects!$AI1530="Electrolysis",
AA1530/VLOOKUP(G1530,ElectrolysisConvF,3,FALSE),
AC1530*10^6/(H2dens*HoursInYear))</f>
        <v>7777.777778</v>
      </c>
      <c r="AC1530" s="126">
        <f t="shared" ref="AC1530:AC1541" si="295">AB1530*H2dens*HoursInYear/10^6</f>
        <v>6.063866667</v>
      </c>
      <c r="AD1530" s="125"/>
      <c r="AE1530" s="125">
        <f t="shared" si="282"/>
        <v>7777.777778</v>
      </c>
      <c r="AF1530" s="127" t="s">
        <v>14424</v>
      </c>
      <c r="AG1530" s="127">
        <v>53.8237939967852</v>
      </c>
      <c r="AH1530" s="127">
        <v>-0.105366944817345</v>
      </c>
      <c r="AI1530" s="115" t="s">
        <v>12383</v>
      </c>
      <c r="AJ1530" s="116">
        <v>0.4</v>
      </c>
      <c r="AK1530" s="144"/>
      <c r="AL1530" s="144"/>
      <c r="AM1530" s="144"/>
      <c r="AN1530" s="144"/>
      <c r="AO1530" s="144"/>
    </row>
    <row r="1531" ht="34.5" customHeight="1">
      <c r="A1531" s="111">
        <v>2163.0</v>
      </c>
      <c r="B1531" s="111" t="s">
        <v>9533</v>
      </c>
      <c r="C1531" s="111" t="s">
        <v>7991</v>
      </c>
      <c r="D1531" s="111">
        <v>2028.0</v>
      </c>
      <c r="E1531" s="111"/>
      <c r="F1531" s="111" t="s">
        <v>12399</v>
      </c>
      <c r="G1531" s="111" t="s">
        <v>12381</v>
      </c>
      <c r="H1531" s="111" t="s">
        <v>12230</v>
      </c>
      <c r="I1531" s="111" t="s">
        <v>12394</v>
      </c>
      <c r="J1531" s="111" t="s">
        <v>12292</v>
      </c>
      <c r="K1531" s="111" t="s">
        <v>30</v>
      </c>
      <c r="L1531" s="111"/>
      <c r="M1531" s="111"/>
      <c r="N1531" s="111"/>
      <c r="O1531" s="111"/>
      <c r="P1531" s="111"/>
      <c r="Q1531" s="111"/>
      <c r="R1531" s="111"/>
      <c r="S1531" s="111">
        <v>1.0</v>
      </c>
      <c r="T1531" s="111"/>
      <c r="U1531" s="111"/>
      <c r="V1531" s="111"/>
      <c r="W1531" s="111"/>
      <c r="X1531" s="111"/>
      <c r="Y1531" s="111"/>
      <c r="Z1531" s="111" t="s">
        <v>13069</v>
      </c>
      <c r="AA1531" s="124">
        <v>500.0</v>
      </c>
      <c r="AB1531" s="125">
        <f>IF(Projects!$AI1531="Electrolysis",
AA1531/VLOOKUP(G1531,ElectrolysisConvF,3,FALSE),
AC1531*10^6/(H2dens*HoursInYear))</f>
        <v>111111.1111</v>
      </c>
      <c r="AC1531" s="126">
        <f t="shared" si="295"/>
        <v>86.62666667</v>
      </c>
      <c r="AD1531" s="125"/>
      <c r="AE1531" s="125">
        <f t="shared" si="282"/>
        <v>111111.1111</v>
      </c>
      <c r="AF1531" s="127" t="s">
        <v>14425</v>
      </c>
      <c r="AG1531" s="127">
        <v>57.2334061565088</v>
      </c>
      <c r="AH1531" s="127">
        <v>-2.34648167966755</v>
      </c>
      <c r="AI1531" s="115" t="s">
        <v>12383</v>
      </c>
      <c r="AJ1531" s="116">
        <v>0.4</v>
      </c>
      <c r="AK1531" s="117"/>
      <c r="AL1531" s="117"/>
      <c r="AM1531" s="117"/>
      <c r="AN1531" s="117"/>
      <c r="AO1531" s="117"/>
    </row>
    <row r="1532" ht="34.5" customHeight="1">
      <c r="A1532" s="111">
        <v>2164.0</v>
      </c>
      <c r="B1532" s="111" t="s">
        <v>9534</v>
      </c>
      <c r="C1532" s="111" t="s">
        <v>7991</v>
      </c>
      <c r="D1532" s="111">
        <v>2030.0</v>
      </c>
      <c r="E1532" s="111"/>
      <c r="F1532" s="111" t="s">
        <v>12397</v>
      </c>
      <c r="G1532" s="111" t="s">
        <v>12381</v>
      </c>
      <c r="H1532" s="111" t="s">
        <v>12230</v>
      </c>
      <c r="I1532" s="111" t="s">
        <v>12394</v>
      </c>
      <c r="J1532" s="111" t="s">
        <v>12292</v>
      </c>
      <c r="K1532" s="111" t="s">
        <v>30</v>
      </c>
      <c r="L1532" s="111"/>
      <c r="M1532" s="111"/>
      <c r="N1532" s="111"/>
      <c r="O1532" s="111"/>
      <c r="P1532" s="111"/>
      <c r="Q1532" s="111"/>
      <c r="R1532" s="111"/>
      <c r="S1532" s="111">
        <v>1.0</v>
      </c>
      <c r="T1532" s="111"/>
      <c r="U1532" s="111"/>
      <c r="V1532" s="111"/>
      <c r="W1532" s="111"/>
      <c r="X1532" s="111"/>
      <c r="Y1532" s="111"/>
      <c r="Z1532" s="111" t="s">
        <v>13147</v>
      </c>
      <c r="AA1532" s="124">
        <f>3000-500</f>
        <v>2500</v>
      </c>
      <c r="AB1532" s="125">
        <f>IF(Projects!$AI1532="Electrolysis",
AA1532/VLOOKUP(G1532,ElectrolysisConvF,3,FALSE),
AC1532*10^6/(H2dens*HoursInYear))</f>
        <v>555555.5556</v>
      </c>
      <c r="AC1532" s="126">
        <f t="shared" si="295"/>
        <v>433.1333333</v>
      </c>
      <c r="AD1532" s="125"/>
      <c r="AE1532" s="125">
        <f t="shared" si="282"/>
        <v>555555.5556</v>
      </c>
      <c r="AF1532" s="127" t="s">
        <v>14425</v>
      </c>
      <c r="AG1532" s="127">
        <v>57.2334061565088</v>
      </c>
      <c r="AH1532" s="127">
        <v>-2.34648167966755</v>
      </c>
      <c r="AI1532" s="115" t="s">
        <v>12383</v>
      </c>
      <c r="AJ1532" s="116">
        <v>0.4</v>
      </c>
      <c r="AK1532" s="117"/>
      <c r="AL1532" s="117"/>
      <c r="AM1532" s="117"/>
      <c r="AN1532" s="117"/>
      <c r="AO1532" s="117"/>
    </row>
    <row r="1533" ht="34.5" customHeight="1">
      <c r="A1533" s="111">
        <v>2165.0</v>
      </c>
      <c r="B1533" s="111" t="s">
        <v>9535</v>
      </c>
      <c r="C1533" s="111" t="s">
        <v>8021</v>
      </c>
      <c r="D1533" s="111"/>
      <c r="E1533" s="111"/>
      <c r="F1533" s="111" t="s">
        <v>12397</v>
      </c>
      <c r="G1533" s="111" t="s">
        <v>12381</v>
      </c>
      <c r="H1533" s="111" t="s">
        <v>12230</v>
      </c>
      <c r="I1533" s="111" t="s">
        <v>12394</v>
      </c>
      <c r="J1533" s="111" t="s">
        <v>12291</v>
      </c>
      <c r="K1533" s="111" t="s">
        <v>30</v>
      </c>
      <c r="L1533" s="111"/>
      <c r="M1533" s="111"/>
      <c r="N1533" s="111"/>
      <c r="O1533" s="111"/>
      <c r="P1533" s="111"/>
      <c r="Q1533" s="111">
        <v>1.0</v>
      </c>
      <c r="R1533" s="111"/>
      <c r="S1533" s="111"/>
      <c r="T1533" s="111"/>
      <c r="U1533" s="111"/>
      <c r="V1533" s="111"/>
      <c r="W1533" s="111"/>
      <c r="X1533" s="111"/>
      <c r="Y1533" s="111"/>
      <c r="Z1533" s="111" t="s">
        <v>14426</v>
      </c>
      <c r="AA1533" s="124">
        <v>560.0</v>
      </c>
      <c r="AB1533" s="125">
        <f>IF(Projects!$AI1533="Electrolysis",
AA1533/VLOOKUP(G1533,ElectrolysisConvF,3,FALSE),
AC1533*10^6/(H2dens*HoursInYear))</f>
        <v>124444.4444</v>
      </c>
      <c r="AC1533" s="126">
        <f t="shared" si="295"/>
        <v>97.02186667</v>
      </c>
      <c r="AD1533" s="125"/>
      <c r="AE1533" s="125">
        <f t="shared" si="282"/>
        <v>124444.4444</v>
      </c>
      <c r="AF1533" s="127" t="s">
        <v>14427</v>
      </c>
      <c r="AG1533" s="127">
        <v>-38.1511736126328</v>
      </c>
      <c r="AH1533" s="127">
        <v>146.789549978835</v>
      </c>
      <c r="AI1533" s="115" t="s">
        <v>12383</v>
      </c>
      <c r="AJ1533" s="116">
        <v>0.3</v>
      </c>
      <c r="AK1533" s="117"/>
      <c r="AL1533" s="117"/>
      <c r="AM1533" s="117"/>
      <c r="AN1533" s="117"/>
      <c r="AO1533" s="117"/>
    </row>
    <row r="1534" ht="34.5" customHeight="1">
      <c r="A1534" s="111">
        <v>2166.0</v>
      </c>
      <c r="B1534" s="111" t="s">
        <v>9536</v>
      </c>
      <c r="C1534" s="111" t="s">
        <v>8177</v>
      </c>
      <c r="D1534" s="111">
        <v>2028.0</v>
      </c>
      <c r="E1534" s="111"/>
      <c r="F1534" s="111" t="s">
        <v>12397</v>
      </c>
      <c r="G1534" s="111" t="s">
        <v>12381</v>
      </c>
      <c r="H1534" s="111" t="s">
        <v>12230</v>
      </c>
      <c r="I1534" s="111" t="s">
        <v>12394</v>
      </c>
      <c r="J1534" s="111" t="s">
        <v>12296</v>
      </c>
      <c r="K1534" s="111" t="s">
        <v>174</v>
      </c>
      <c r="L1534" s="111"/>
      <c r="M1534" s="111">
        <v>1.0</v>
      </c>
      <c r="N1534" s="111"/>
      <c r="O1534" s="111"/>
      <c r="P1534" s="111"/>
      <c r="Q1534" s="111"/>
      <c r="R1534" s="111"/>
      <c r="S1534" s="111"/>
      <c r="T1534" s="111"/>
      <c r="U1534" s="111"/>
      <c r="V1534" s="111"/>
      <c r="W1534" s="111"/>
      <c r="X1534" s="111"/>
      <c r="Y1534" s="111"/>
      <c r="Z1534" s="111" t="s">
        <v>14428</v>
      </c>
      <c r="AA1534" s="124">
        <v>400.0</v>
      </c>
      <c r="AB1534" s="125">
        <f>IF(Projects!$AI1534="Electrolysis",
AA1534/VLOOKUP(G1534,ElectrolysisConvF,3,FALSE),
AC1534*10^6/(H2dens*HoursInYear))</f>
        <v>88888.88889</v>
      </c>
      <c r="AC1534" s="126">
        <f t="shared" si="295"/>
        <v>69.30133333</v>
      </c>
      <c r="AD1534" s="125"/>
      <c r="AE1534" s="125">
        <f t="shared" si="282"/>
        <v>88888.88889</v>
      </c>
      <c r="AF1534" s="127" t="s">
        <v>14429</v>
      </c>
      <c r="AG1534" s="127">
        <v>18.0775974108041</v>
      </c>
      <c r="AH1534" s="127">
        <v>-15.9662688115245</v>
      </c>
      <c r="AI1534" s="115" t="s">
        <v>12383</v>
      </c>
      <c r="AJ1534" s="116">
        <v>0.5</v>
      </c>
      <c r="AK1534" s="117"/>
      <c r="AL1534" s="117"/>
      <c r="AM1534" s="117"/>
      <c r="AN1534" s="117"/>
      <c r="AO1534" s="117"/>
    </row>
    <row r="1535" ht="34.5" customHeight="1">
      <c r="A1535" s="111">
        <v>2167.0</v>
      </c>
      <c r="B1535" s="111" t="s">
        <v>9537</v>
      </c>
      <c r="C1535" s="111" t="s">
        <v>8177</v>
      </c>
      <c r="D1535" s="111"/>
      <c r="E1535" s="111"/>
      <c r="F1535" s="111" t="s">
        <v>12397</v>
      </c>
      <c r="G1535" s="111" t="s">
        <v>12381</v>
      </c>
      <c r="H1535" s="111" t="s">
        <v>12230</v>
      </c>
      <c r="I1535" s="111" t="s">
        <v>12394</v>
      </c>
      <c r="J1535" s="111" t="s">
        <v>12296</v>
      </c>
      <c r="K1535" s="111" t="s">
        <v>174</v>
      </c>
      <c r="L1535" s="111"/>
      <c r="M1535" s="111">
        <v>1.0</v>
      </c>
      <c r="N1535" s="111"/>
      <c r="O1535" s="111"/>
      <c r="P1535" s="111"/>
      <c r="Q1535" s="111"/>
      <c r="R1535" s="111"/>
      <c r="S1535" s="111"/>
      <c r="T1535" s="111"/>
      <c r="U1535" s="111"/>
      <c r="V1535" s="111"/>
      <c r="W1535" s="111"/>
      <c r="X1535" s="111"/>
      <c r="Y1535" s="111"/>
      <c r="Z1535" s="111" t="s">
        <v>14430</v>
      </c>
      <c r="AA1535" s="124">
        <f>10000-400</f>
        <v>9600</v>
      </c>
      <c r="AB1535" s="125">
        <f>IF(Projects!$AI1535="Electrolysis",
AA1535/VLOOKUP(G1535,ElectrolysisConvF,3,FALSE),
AC1535*10^6/(H2dens*HoursInYear))</f>
        <v>2133333.333</v>
      </c>
      <c r="AC1535" s="126">
        <f t="shared" si="295"/>
        <v>1663.232</v>
      </c>
      <c r="AD1535" s="125"/>
      <c r="AE1535" s="125">
        <f t="shared" si="282"/>
        <v>2133333.333</v>
      </c>
      <c r="AF1535" s="127" t="s">
        <v>14429</v>
      </c>
      <c r="AG1535" s="127">
        <v>18.0775974108041</v>
      </c>
      <c r="AH1535" s="127">
        <v>-15.9662688115245</v>
      </c>
      <c r="AI1535" s="115" t="s">
        <v>12383</v>
      </c>
      <c r="AJ1535" s="116">
        <v>0.5</v>
      </c>
      <c r="AK1535" s="117"/>
      <c r="AL1535" s="117"/>
      <c r="AM1535" s="117"/>
      <c r="AN1535" s="117"/>
      <c r="AO1535" s="117"/>
    </row>
    <row r="1536" ht="34.5" customHeight="1">
      <c r="A1536" s="111">
        <v>2168.0</v>
      </c>
      <c r="B1536" s="111" t="s">
        <v>9538</v>
      </c>
      <c r="C1536" s="111" t="s">
        <v>8590</v>
      </c>
      <c r="D1536" s="111">
        <v>2027.0</v>
      </c>
      <c r="E1536" s="111"/>
      <c r="F1536" s="111" t="s">
        <v>12397</v>
      </c>
      <c r="G1536" s="111" t="s">
        <v>12381</v>
      </c>
      <c r="H1536" s="111" t="s">
        <v>12230</v>
      </c>
      <c r="I1536" s="111" t="s">
        <v>12394</v>
      </c>
      <c r="J1536" s="111" t="s">
        <v>12292</v>
      </c>
      <c r="K1536" s="111" t="s">
        <v>174</v>
      </c>
      <c r="L1536" s="111"/>
      <c r="M1536" s="111">
        <v>1.0</v>
      </c>
      <c r="N1536" s="111"/>
      <c r="O1536" s="111"/>
      <c r="P1536" s="111"/>
      <c r="Q1536" s="111"/>
      <c r="R1536" s="111"/>
      <c r="S1536" s="111"/>
      <c r="T1536" s="111"/>
      <c r="U1536" s="111"/>
      <c r="V1536" s="111"/>
      <c r="W1536" s="111"/>
      <c r="X1536" s="111"/>
      <c r="Y1536" s="111"/>
      <c r="Z1536" s="111" t="s">
        <v>14431</v>
      </c>
      <c r="AA1536" s="124">
        <v>300.0</v>
      </c>
      <c r="AB1536" s="125">
        <f>IF(Projects!$AI1536="Electrolysis",
AA1536/VLOOKUP(G1536,ElectrolysisConvF,3,FALSE),
AC1536*10^6/(H2dens*HoursInYear))</f>
        <v>66666.66667</v>
      </c>
      <c r="AC1536" s="126">
        <f t="shared" si="295"/>
        <v>51.976</v>
      </c>
      <c r="AD1536" s="125"/>
      <c r="AE1536" s="125">
        <f t="shared" si="282"/>
        <v>66666.66667</v>
      </c>
      <c r="AF1536" s="127" t="s">
        <v>14432</v>
      </c>
      <c r="AG1536" s="127">
        <v>-29.2993956149261</v>
      </c>
      <c r="AH1536" s="127">
        <v>-52.393027949611</v>
      </c>
      <c r="AI1536" s="115" t="s">
        <v>12383</v>
      </c>
      <c r="AJ1536" s="116">
        <v>0.4</v>
      </c>
      <c r="AK1536" s="117"/>
      <c r="AL1536" s="117"/>
      <c r="AM1536" s="117"/>
      <c r="AN1536" s="117"/>
      <c r="AO1536" s="117"/>
    </row>
    <row r="1537" ht="34.5" customHeight="1">
      <c r="A1537" s="111">
        <v>2169.0</v>
      </c>
      <c r="B1537" s="111" t="s">
        <v>9539</v>
      </c>
      <c r="C1537" s="111" t="s">
        <v>7971</v>
      </c>
      <c r="D1537" s="111">
        <v>2027.0</v>
      </c>
      <c r="E1537" s="111"/>
      <c r="F1537" s="111" t="s">
        <v>12399</v>
      </c>
      <c r="G1537" s="111" t="s">
        <v>12381</v>
      </c>
      <c r="H1537" s="111" t="s">
        <v>12230</v>
      </c>
      <c r="I1537" s="111" t="s">
        <v>12394</v>
      </c>
      <c r="J1537" s="111" t="s">
        <v>12296</v>
      </c>
      <c r="K1537" s="111" t="s">
        <v>30</v>
      </c>
      <c r="L1537" s="111"/>
      <c r="M1537" s="111"/>
      <c r="N1537" s="111"/>
      <c r="O1537" s="111"/>
      <c r="P1537" s="111"/>
      <c r="Q1537" s="111"/>
      <c r="R1537" s="111"/>
      <c r="S1537" s="111"/>
      <c r="T1537" s="111"/>
      <c r="U1537" s="111"/>
      <c r="V1537" s="111"/>
      <c r="W1537" s="111"/>
      <c r="X1537" s="111"/>
      <c r="Y1537" s="111"/>
      <c r="Z1537" s="111" t="s">
        <v>12589</v>
      </c>
      <c r="AA1537" s="124">
        <v>20.0</v>
      </c>
      <c r="AB1537" s="125">
        <f>IF(Projects!$AI1537="Electrolysis",
AA1537/VLOOKUP(G1537,ElectrolysisConvF,3,FALSE),
AC1537*10^6/(H2dens*HoursInYear))</f>
        <v>4444.444444</v>
      </c>
      <c r="AC1537" s="126">
        <f t="shared" si="295"/>
        <v>3.465066667</v>
      </c>
      <c r="AD1537" s="125"/>
      <c r="AE1537" s="125">
        <f t="shared" si="282"/>
        <v>4444.444444</v>
      </c>
      <c r="AF1537" s="127" t="s">
        <v>14433</v>
      </c>
      <c r="AG1537" s="127">
        <v>62.476604963655</v>
      </c>
      <c r="AH1537" s="127">
        <v>6.22118997199151</v>
      </c>
      <c r="AI1537" s="115" t="s">
        <v>12383</v>
      </c>
      <c r="AJ1537" s="116">
        <v>0.5</v>
      </c>
      <c r="AK1537" s="117"/>
      <c r="AL1537" s="117"/>
      <c r="AM1537" s="117"/>
      <c r="AN1537" s="117"/>
      <c r="AO1537" s="117"/>
    </row>
    <row r="1538" ht="34.5" customHeight="1">
      <c r="A1538" s="111">
        <v>2170.0</v>
      </c>
      <c r="B1538" s="111" t="s">
        <v>9540</v>
      </c>
      <c r="C1538" s="111" t="s">
        <v>7971</v>
      </c>
      <c r="D1538" s="111">
        <v>2027.0</v>
      </c>
      <c r="E1538" s="111"/>
      <c r="F1538" s="111" t="s">
        <v>12397</v>
      </c>
      <c r="G1538" s="111" t="s">
        <v>12381</v>
      </c>
      <c r="H1538" s="111" t="s">
        <v>12230</v>
      </c>
      <c r="I1538" s="111" t="s">
        <v>12394</v>
      </c>
      <c r="J1538" s="111" t="s">
        <v>12296</v>
      </c>
      <c r="K1538" s="111" t="s">
        <v>30</v>
      </c>
      <c r="L1538" s="111"/>
      <c r="M1538" s="111"/>
      <c r="N1538" s="111"/>
      <c r="O1538" s="111"/>
      <c r="P1538" s="111"/>
      <c r="Q1538" s="111"/>
      <c r="R1538" s="111"/>
      <c r="S1538" s="111"/>
      <c r="T1538" s="111"/>
      <c r="U1538" s="111"/>
      <c r="V1538" s="111"/>
      <c r="W1538" s="111"/>
      <c r="X1538" s="111"/>
      <c r="Y1538" s="111"/>
      <c r="Z1538" s="111" t="s">
        <v>14434</v>
      </c>
      <c r="AA1538" s="124">
        <f>270-20</f>
        <v>250</v>
      </c>
      <c r="AB1538" s="125">
        <f>IF(Projects!$AI1538="Electrolysis",
AA1538/VLOOKUP(G1538,ElectrolysisConvF,3,FALSE),
AC1538*10^6/(H2dens*HoursInYear))</f>
        <v>55555.55556</v>
      </c>
      <c r="AC1538" s="126">
        <f t="shared" si="295"/>
        <v>43.31333333</v>
      </c>
      <c r="AD1538" s="125"/>
      <c r="AE1538" s="125">
        <f t="shared" si="282"/>
        <v>55555.55556</v>
      </c>
      <c r="AF1538" s="127" t="s">
        <v>14433</v>
      </c>
      <c r="AG1538" s="127">
        <v>62.476604963655</v>
      </c>
      <c r="AH1538" s="127">
        <v>6.22118997199151</v>
      </c>
      <c r="AI1538" s="115" t="s">
        <v>12383</v>
      </c>
      <c r="AJ1538" s="116">
        <v>0.5</v>
      </c>
      <c r="AK1538" s="117"/>
      <c r="AL1538" s="117"/>
      <c r="AM1538" s="117"/>
      <c r="AN1538" s="117"/>
      <c r="AO1538" s="117"/>
    </row>
    <row r="1539" ht="34.5" customHeight="1">
      <c r="A1539" s="111">
        <v>2171.0</v>
      </c>
      <c r="B1539" s="111" t="s">
        <v>9541</v>
      </c>
      <c r="C1539" s="111" t="s">
        <v>7987</v>
      </c>
      <c r="D1539" s="111">
        <v>2028.0</v>
      </c>
      <c r="E1539" s="111"/>
      <c r="F1539" s="111" t="s">
        <v>12393</v>
      </c>
      <c r="G1539" s="111" t="s">
        <v>12381</v>
      </c>
      <c r="H1539" s="111" t="s">
        <v>12230</v>
      </c>
      <c r="I1539" s="111" t="s">
        <v>12287</v>
      </c>
      <c r="J1539" s="111" t="s">
        <v>12296</v>
      </c>
      <c r="K1539" s="111" t="s">
        <v>30</v>
      </c>
      <c r="L1539" s="111"/>
      <c r="M1539" s="111"/>
      <c r="N1539" s="111"/>
      <c r="O1539" s="111">
        <v>1.0</v>
      </c>
      <c r="P1539" s="111"/>
      <c r="Q1539" s="111"/>
      <c r="R1539" s="111"/>
      <c r="S1539" s="111"/>
      <c r="T1539" s="111"/>
      <c r="U1539" s="111"/>
      <c r="V1539" s="111"/>
      <c r="W1539" s="111"/>
      <c r="X1539" s="111"/>
      <c r="Y1539" s="111"/>
      <c r="Z1539" s="111" t="s">
        <v>12768</v>
      </c>
      <c r="AA1539" s="124">
        <v>50.0</v>
      </c>
      <c r="AB1539" s="125">
        <f>IF(Projects!$AI1539="Electrolysis",
AA1539/VLOOKUP(G1539,ElectrolysisConvF,3,FALSE),
AC1539*10^6/(H2dens*HoursInYear))</f>
        <v>11111.11111</v>
      </c>
      <c r="AC1539" s="126">
        <f t="shared" si="295"/>
        <v>8.662666667</v>
      </c>
      <c r="AD1539" s="125"/>
      <c r="AE1539" s="125">
        <f t="shared" si="282"/>
        <v>11111.11111</v>
      </c>
      <c r="AF1539" s="127" t="s">
        <v>14435</v>
      </c>
      <c r="AG1539" s="127">
        <v>53.1564853537341</v>
      </c>
      <c r="AH1539" s="127">
        <v>8.69234048739408</v>
      </c>
      <c r="AI1539" s="115" t="s">
        <v>12383</v>
      </c>
      <c r="AJ1539" s="116">
        <v>0.57</v>
      </c>
      <c r="AK1539" s="117"/>
      <c r="AL1539" s="117"/>
      <c r="AM1539" s="117"/>
      <c r="AN1539" s="117"/>
      <c r="AO1539" s="117"/>
    </row>
    <row r="1540" ht="34.5" customHeight="1">
      <c r="A1540" s="111">
        <v>2172.0</v>
      </c>
      <c r="B1540" s="111" t="s">
        <v>9542</v>
      </c>
      <c r="C1540" s="111" t="s">
        <v>7977</v>
      </c>
      <c r="D1540" s="111">
        <v>2026.0</v>
      </c>
      <c r="E1540" s="111"/>
      <c r="F1540" s="111" t="s">
        <v>12393</v>
      </c>
      <c r="G1540" s="111" t="s">
        <v>12226</v>
      </c>
      <c r="H1540" s="111"/>
      <c r="I1540" s="111" t="s">
        <v>12759</v>
      </c>
      <c r="J1540" s="111"/>
      <c r="K1540" s="111" t="s">
        <v>30</v>
      </c>
      <c r="L1540" s="111"/>
      <c r="M1540" s="111"/>
      <c r="N1540" s="111"/>
      <c r="O1540" s="111"/>
      <c r="P1540" s="111">
        <v>1.0</v>
      </c>
      <c r="Q1540" s="111">
        <v>1.0</v>
      </c>
      <c r="R1540" s="111"/>
      <c r="S1540" s="111"/>
      <c r="T1540" s="111"/>
      <c r="U1540" s="111"/>
      <c r="V1540" s="111"/>
      <c r="W1540" s="111"/>
      <c r="X1540" s="111"/>
      <c r="Y1540" s="111"/>
      <c r="Z1540" s="111" t="s">
        <v>14436</v>
      </c>
      <c r="AA1540" s="124">
        <v>25.0</v>
      </c>
      <c r="AB1540" s="125">
        <v>5000.0</v>
      </c>
      <c r="AC1540" s="126">
        <f t="shared" si="295"/>
        <v>3.8982</v>
      </c>
      <c r="AD1540" s="125"/>
      <c r="AE1540" s="125">
        <f t="shared" si="282"/>
        <v>5000</v>
      </c>
      <c r="AF1540" s="127" t="s">
        <v>14437</v>
      </c>
      <c r="AG1540" s="127">
        <v>42.5731400087339</v>
      </c>
      <c r="AH1540" s="127">
        <v>-1.27783412802553</v>
      </c>
      <c r="AI1540" s="115" t="s">
        <v>12383</v>
      </c>
      <c r="AJ1540" s="116">
        <v>0.7</v>
      </c>
      <c r="AK1540" s="117"/>
      <c r="AL1540" s="117"/>
      <c r="AM1540" s="117"/>
      <c r="AN1540" s="117"/>
      <c r="AO1540" s="117"/>
    </row>
    <row r="1541" ht="34.5" customHeight="1">
      <c r="A1541" s="111">
        <v>2173.0</v>
      </c>
      <c r="B1541" s="111" t="s">
        <v>9543</v>
      </c>
      <c r="C1541" s="111" t="s">
        <v>7991</v>
      </c>
      <c r="D1541" s="111">
        <v>2028.0</v>
      </c>
      <c r="E1541" s="111"/>
      <c r="F1541" s="111" t="s">
        <v>12399</v>
      </c>
      <c r="G1541" s="111" t="s">
        <v>12381</v>
      </c>
      <c r="H1541" s="111" t="s">
        <v>12230</v>
      </c>
      <c r="I1541" s="111" t="s">
        <v>12394</v>
      </c>
      <c r="J1541" s="111" t="s">
        <v>12295</v>
      </c>
      <c r="K1541" s="111" t="s">
        <v>30</v>
      </c>
      <c r="L1541" s="111"/>
      <c r="M1541" s="111"/>
      <c r="N1541" s="111"/>
      <c r="O1541" s="111"/>
      <c r="P1541" s="111"/>
      <c r="Q1541" s="111"/>
      <c r="R1541" s="111"/>
      <c r="S1541" s="111"/>
      <c r="T1541" s="111"/>
      <c r="U1541" s="111"/>
      <c r="V1541" s="111"/>
      <c r="W1541" s="111"/>
      <c r="X1541" s="111"/>
      <c r="Y1541" s="111"/>
      <c r="Z1541" s="111" t="s">
        <v>12698</v>
      </c>
      <c r="AA1541" s="124">
        <v>100.0</v>
      </c>
      <c r="AB1541" s="125">
        <f>IF(Projects!$AI1541="Electrolysis",
AA1541/VLOOKUP(G1541,ElectrolysisConvF,3,FALSE),
AC1541*10^6/(H2dens*HoursInYear))</f>
        <v>22222.22222</v>
      </c>
      <c r="AC1541" s="126">
        <f t="shared" si="295"/>
        <v>17.32533333</v>
      </c>
      <c r="AD1541" s="125"/>
      <c r="AE1541" s="125">
        <f t="shared" si="282"/>
        <v>22222.22222</v>
      </c>
      <c r="AF1541" s="127" t="s">
        <v>14438</v>
      </c>
      <c r="AG1541" s="127">
        <v>53.7688072228231</v>
      </c>
      <c r="AH1541" s="127">
        <v>-0.326574707802377</v>
      </c>
      <c r="AI1541" s="115" t="s">
        <v>12383</v>
      </c>
      <c r="AJ1541" s="116">
        <v>0.5</v>
      </c>
      <c r="AK1541" s="117"/>
      <c r="AL1541" s="117"/>
      <c r="AM1541" s="117"/>
      <c r="AN1541" s="117"/>
      <c r="AO1541" s="117"/>
    </row>
    <row r="1542" ht="34.5" customHeight="1">
      <c r="A1542" s="111">
        <v>2174.0</v>
      </c>
      <c r="B1542" s="111" t="s">
        <v>9544</v>
      </c>
      <c r="C1542" s="111" t="s">
        <v>7991</v>
      </c>
      <c r="D1542" s="111"/>
      <c r="E1542" s="111"/>
      <c r="F1542" s="111" t="s">
        <v>12399</v>
      </c>
      <c r="G1542" s="111" t="s">
        <v>12381</v>
      </c>
      <c r="H1542" s="111" t="s">
        <v>12230</v>
      </c>
      <c r="I1542" s="111" t="s">
        <v>12394</v>
      </c>
      <c r="J1542" s="111" t="s">
        <v>12295</v>
      </c>
      <c r="K1542" s="111" t="s">
        <v>12249</v>
      </c>
      <c r="L1542" s="111"/>
      <c r="M1542" s="111"/>
      <c r="N1542" s="111"/>
      <c r="O1542" s="111"/>
      <c r="P1542" s="111"/>
      <c r="Q1542" s="111"/>
      <c r="R1542" s="111"/>
      <c r="S1542" s="111"/>
      <c r="T1542" s="111"/>
      <c r="U1542" s="111"/>
      <c r="V1542" s="111"/>
      <c r="W1542" s="111"/>
      <c r="X1542" s="111"/>
      <c r="Y1542" s="111"/>
      <c r="Z1542" s="111"/>
      <c r="AA1542" s="124">
        <f>IF(OR(G1542="ALK",G1542="PEM",G1542="SOEC",G1542="Other Electrolysis"),
AB1542*VLOOKUP(G1542,ElectrolysisConvF,3,FALSE),
"")</f>
        <v>0</v>
      </c>
      <c r="AB1542" s="125"/>
      <c r="AC1542" s="125"/>
      <c r="AD1542" s="125"/>
      <c r="AE1542" s="125" t="str">
        <f t="shared" si="282"/>
        <v/>
      </c>
      <c r="AF1542" s="127" t="s">
        <v>14439</v>
      </c>
      <c r="AG1542" s="127">
        <v>57.1608917314843</v>
      </c>
      <c r="AH1542" s="127">
        <v>-2.08086388378604</v>
      </c>
      <c r="AI1542" s="115" t="s">
        <v>12383</v>
      </c>
      <c r="AJ1542" s="116">
        <v>0.5</v>
      </c>
      <c r="AK1542" s="117"/>
      <c r="AL1542" s="117"/>
      <c r="AM1542" s="117"/>
      <c r="AN1542" s="117"/>
      <c r="AO1542" s="117"/>
    </row>
    <row r="1543" ht="34.5" customHeight="1">
      <c r="A1543" s="111">
        <v>2175.0</v>
      </c>
      <c r="B1543" s="111" t="s">
        <v>9545</v>
      </c>
      <c r="C1543" s="111" t="s">
        <v>8001</v>
      </c>
      <c r="D1543" s="111"/>
      <c r="E1543" s="111"/>
      <c r="F1543" s="111" t="s">
        <v>12393</v>
      </c>
      <c r="G1543" s="111" t="s">
        <v>12226</v>
      </c>
      <c r="H1543" s="111"/>
      <c r="I1543" s="111" t="s">
        <v>12394</v>
      </c>
      <c r="J1543" s="111" t="s">
        <v>12295</v>
      </c>
      <c r="K1543" s="111" t="s">
        <v>30</v>
      </c>
      <c r="L1543" s="111"/>
      <c r="M1543" s="111"/>
      <c r="N1543" s="111"/>
      <c r="O1543" s="111"/>
      <c r="P1543" s="111"/>
      <c r="Q1543" s="111"/>
      <c r="R1543" s="111"/>
      <c r="S1543" s="111"/>
      <c r="T1543" s="111"/>
      <c r="U1543" s="111"/>
      <c r="V1543" s="111"/>
      <c r="W1543" s="111"/>
      <c r="X1543" s="111"/>
      <c r="Y1543" s="111"/>
      <c r="Z1543" s="111" t="s">
        <v>13217</v>
      </c>
      <c r="AA1543" s="126">
        <f>IF(Projects!$AI1543="Electrolysis",
AB1543*VLOOKUP(G1543,ElectrolysisConvF,3,FALSE),
"")</f>
        <v>666.9745011</v>
      </c>
      <c r="AB1543" s="125">
        <f>AC1543/(H2dens*HoursInYear/10^6)</f>
        <v>128264.3271</v>
      </c>
      <c r="AC1543" s="126">
        <f>50/Projects!$AJ1543</f>
        <v>100</v>
      </c>
      <c r="AD1543" s="125"/>
      <c r="AE1543" s="125">
        <f t="shared" si="282"/>
        <v>128264.3271</v>
      </c>
      <c r="AF1543" s="127" t="s">
        <v>14440</v>
      </c>
      <c r="AG1543" s="127">
        <v>40.4707863802473</v>
      </c>
      <c r="AH1543" s="127">
        <v>113.207589612722</v>
      </c>
      <c r="AI1543" s="115" t="s">
        <v>12383</v>
      </c>
      <c r="AJ1543" s="116">
        <v>0.5</v>
      </c>
      <c r="AK1543" s="117"/>
      <c r="AL1543" s="117"/>
      <c r="AM1543" s="117"/>
      <c r="AN1543" s="117"/>
      <c r="AO1543" s="117"/>
    </row>
    <row r="1544" ht="34.5" customHeight="1">
      <c r="A1544" s="111">
        <v>2176.0</v>
      </c>
      <c r="B1544" s="111" t="s">
        <v>9546</v>
      </c>
      <c r="C1544" s="111" t="s">
        <v>7987</v>
      </c>
      <c r="D1544" s="111">
        <v>2025.0</v>
      </c>
      <c r="E1544" s="111"/>
      <c r="F1544" s="111" t="s">
        <v>12399</v>
      </c>
      <c r="G1544" s="111" t="s">
        <v>12381</v>
      </c>
      <c r="H1544" s="111" t="s">
        <v>12230</v>
      </c>
      <c r="I1544" s="111" t="s">
        <v>12406</v>
      </c>
      <c r="J1544" s="111" t="str">
        <f t="shared" ref="J1544:J1545" si="296">IF(I1544&lt;&gt;"Dedicated renewable","N/A",)</f>
        <v>N/A</v>
      </c>
      <c r="K1544" s="111" t="s">
        <v>30</v>
      </c>
      <c r="L1544" s="111"/>
      <c r="M1544" s="111"/>
      <c r="N1544" s="111"/>
      <c r="O1544" s="111"/>
      <c r="P1544" s="111"/>
      <c r="Q1544" s="111">
        <v>1.0</v>
      </c>
      <c r="R1544" s="111"/>
      <c r="S1544" s="111"/>
      <c r="T1544" s="111"/>
      <c r="U1544" s="111"/>
      <c r="V1544" s="111"/>
      <c r="W1544" s="111"/>
      <c r="X1544" s="111"/>
      <c r="Y1544" s="111"/>
      <c r="Z1544" s="111" t="s">
        <v>12698</v>
      </c>
      <c r="AA1544" s="124">
        <v>100.0</v>
      </c>
      <c r="AB1544" s="125">
        <f>IF(Projects!$AI1544="Electrolysis",
AA1544/VLOOKUP(G1544,ElectrolysisConvF,3,FALSE),
AC1544*10^6/(H2dens*HoursInYear))</f>
        <v>22222.22222</v>
      </c>
      <c r="AC1544" s="126">
        <f t="shared" ref="AC1544:AC1551" si="297">AB1544*H2dens*HoursInYear/10^6</f>
        <v>17.32533333</v>
      </c>
      <c r="AD1544" s="125"/>
      <c r="AE1544" s="125">
        <f t="shared" si="282"/>
        <v>22222.22222</v>
      </c>
      <c r="AF1544" s="127" t="s">
        <v>14441</v>
      </c>
      <c r="AG1544" s="127">
        <v>51.1195374925335</v>
      </c>
      <c r="AH1544" s="127">
        <v>12.5030656955765</v>
      </c>
      <c r="AI1544" s="115" t="s">
        <v>12383</v>
      </c>
      <c r="AJ1544" s="116">
        <v>0.57</v>
      </c>
      <c r="AK1544" s="117"/>
      <c r="AL1544" s="117"/>
      <c r="AM1544" s="117"/>
      <c r="AN1544" s="117"/>
      <c r="AO1544" s="117"/>
    </row>
    <row r="1545" ht="34.5" customHeight="1">
      <c r="A1545" s="111">
        <v>2177.0</v>
      </c>
      <c r="B1545" s="111" t="s">
        <v>9547</v>
      </c>
      <c r="C1545" s="111" t="s">
        <v>7987</v>
      </c>
      <c r="D1545" s="111">
        <v>2030.0</v>
      </c>
      <c r="E1545" s="111"/>
      <c r="F1545" s="111" t="s">
        <v>12397</v>
      </c>
      <c r="G1545" s="111" t="s">
        <v>12381</v>
      </c>
      <c r="H1545" s="111" t="s">
        <v>12230</v>
      </c>
      <c r="I1545" s="111" t="s">
        <v>12406</v>
      </c>
      <c r="J1545" s="111" t="str">
        <f t="shared" si="296"/>
        <v>N/A</v>
      </c>
      <c r="K1545" s="111" t="s">
        <v>30</v>
      </c>
      <c r="L1545" s="111"/>
      <c r="M1545" s="111"/>
      <c r="N1545" s="111"/>
      <c r="O1545" s="111"/>
      <c r="P1545" s="111">
        <v>1.0</v>
      </c>
      <c r="Q1545" s="111">
        <v>1.0</v>
      </c>
      <c r="R1545" s="111"/>
      <c r="S1545" s="111"/>
      <c r="T1545" s="111"/>
      <c r="U1545" s="111"/>
      <c r="V1545" s="111"/>
      <c r="W1545" s="111"/>
      <c r="X1545" s="111"/>
      <c r="Y1545" s="111"/>
      <c r="Z1545" s="111" t="s">
        <v>12723</v>
      </c>
      <c r="AA1545" s="124">
        <v>900.0</v>
      </c>
      <c r="AB1545" s="125">
        <f>IF(Projects!$AI1545="Electrolysis",
AA1545/VLOOKUP(G1545,ElectrolysisConvF,3,FALSE),
AC1545*10^6/(H2dens*HoursInYear))</f>
        <v>200000</v>
      </c>
      <c r="AC1545" s="126">
        <f t="shared" si="297"/>
        <v>155.928</v>
      </c>
      <c r="AD1545" s="125"/>
      <c r="AE1545" s="125">
        <f t="shared" si="282"/>
        <v>200000</v>
      </c>
      <c r="AF1545" s="127" t="s">
        <v>14441</v>
      </c>
      <c r="AG1545" s="127">
        <v>51.1195374925335</v>
      </c>
      <c r="AH1545" s="127">
        <v>12.5030656955765</v>
      </c>
      <c r="AI1545" s="115" t="s">
        <v>12383</v>
      </c>
      <c r="AJ1545" s="116">
        <v>0.57</v>
      </c>
      <c r="AK1545" s="117"/>
      <c r="AL1545" s="117"/>
      <c r="AM1545" s="117"/>
      <c r="AN1545" s="117"/>
      <c r="AO1545" s="117"/>
    </row>
    <row r="1546" ht="34.5" customHeight="1">
      <c r="A1546" s="111">
        <v>2178.0</v>
      </c>
      <c r="B1546" s="111" t="s">
        <v>9548</v>
      </c>
      <c r="C1546" s="111" t="s">
        <v>8047</v>
      </c>
      <c r="D1546" s="111"/>
      <c r="E1546" s="111"/>
      <c r="F1546" s="111" t="s">
        <v>12397</v>
      </c>
      <c r="G1546" s="111" t="s">
        <v>12226</v>
      </c>
      <c r="H1546" s="111"/>
      <c r="I1546" s="111" t="s">
        <v>12287</v>
      </c>
      <c r="J1546" s="111"/>
      <c r="K1546" s="111" t="s">
        <v>30</v>
      </c>
      <c r="L1546" s="111"/>
      <c r="M1546" s="111"/>
      <c r="N1546" s="111"/>
      <c r="O1546" s="111"/>
      <c r="P1546" s="111"/>
      <c r="Q1546" s="111"/>
      <c r="R1546" s="111"/>
      <c r="S1546" s="111"/>
      <c r="T1546" s="111"/>
      <c r="U1546" s="111"/>
      <c r="V1546" s="111"/>
      <c r="W1546" s="111"/>
      <c r="X1546" s="111"/>
      <c r="Y1546" s="111"/>
      <c r="Z1546" s="111" t="s">
        <v>14442</v>
      </c>
      <c r="AA1546" s="124">
        <v>80.0</v>
      </c>
      <c r="AB1546" s="125">
        <f>IF(Projects!$AI1546="Electrolysis",
AA1546/VLOOKUP(G1546,ElectrolysisConvF,3,FALSE),
AC1546*10^6/(H2dens*HoursInYear))</f>
        <v>15384.61538</v>
      </c>
      <c r="AC1546" s="126">
        <f t="shared" si="297"/>
        <v>11.99446154</v>
      </c>
      <c r="AD1546" s="125">
        <v>0.12</v>
      </c>
      <c r="AE1546" s="125">
        <f t="shared" si="282"/>
        <v>15384.61538</v>
      </c>
      <c r="AF1546" s="127" t="s">
        <v>14443</v>
      </c>
      <c r="AG1546" s="127">
        <v>37.2247389814287</v>
      </c>
      <c r="AH1546" s="127">
        <v>15.1753949252129</v>
      </c>
      <c r="AI1546" s="115" t="s">
        <v>12383</v>
      </c>
      <c r="AJ1546" s="116">
        <v>0.57</v>
      </c>
      <c r="AK1546" s="117"/>
      <c r="AL1546" s="117"/>
      <c r="AM1546" s="117"/>
      <c r="AN1546" s="117"/>
      <c r="AO1546" s="117"/>
    </row>
    <row r="1547" ht="34.5" customHeight="1">
      <c r="A1547" s="111">
        <v>2179.0</v>
      </c>
      <c r="B1547" s="111" t="s">
        <v>9549</v>
      </c>
      <c r="C1547" s="111" t="s">
        <v>8785</v>
      </c>
      <c r="D1547" s="111">
        <v>2032.0</v>
      </c>
      <c r="E1547" s="111"/>
      <c r="F1547" s="111" t="s">
        <v>12397</v>
      </c>
      <c r="G1547" s="111" t="s">
        <v>12381</v>
      </c>
      <c r="H1547" s="111" t="s">
        <v>12230</v>
      </c>
      <c r="I1547" s="111" t="s">
        <v>12394</v>
      </c>
      <c r="J1547" s="111" t="s">
        <v>12295</v>
      </c>
      <c r="K1547" s="111" t="s">
        <v>30</v>
      </c>
      <c r="L1547" s="111"/>
      <c r="M1547" s="111">
        <v>1.0</v>
      </c>
      <c r="N1547" s="111"/>
      <c r="O1547" s="111"/>
      <c r="P1547" s="111"/>
      <c r="Q1547" s="111"/>
      <c r="R1547" s="111"/>
      <c r="S1547" s="111"/>
      <c r="T1547" s="111"/>
      <c r="U1547" s="111"/>
      <c r="V1547" s="111"/>
      <c r="W1547" s="111"/>
      <c r="X1547" s="111"/>
      <c r="Y1547" s="111"/>
      <c r="Z1547" s="111" t="s">
        <v>12723</v>
      </c>
      <c r="AA1547" s="124">
        <v>500.0</v>
      </c>
      <c r="AB1547" s="125">
        <f>IF(Projects!$AI1547="Electrolysis",
AA1547/VLOOKUP(G1547,ElectrolysisConvF,3,FALSE),
AC1547*10^6/(H2dens*HoursInYear))</f>
        <v>111111.1111</v>
      </c>
      <c r="AC1547" s="126">
        <f t="shared" si="297"/>
        <v>86.62666667</v>
      </c>
      <c r="AD1547" s="125"/>
      <c r="AE1547" s="125">
        <f t="shared" si="282"/>
        <v>111111.1111</v>
      </c>
      <c r="AF1547" s="127" t="s">
        <v>13558</v>
      </c>
      <c r="AG1547" s="127">
        <v>29.6489099140896</v>
      </c>
      <c r="AH1547" s="127">
        <v>32.3507303941584</v>
      </c>
      <c r="AI1547" s="115" t="s">
        <v>12383</v>
      </c>
      <c r="AJ1547" s="116">
        <v>0.5</v>
      </c>
      <c r="AK1547" s="117"/>
      <c r="AL1547" s="117"/>
      <c r="AM1547" s="117"/>
      <c r="AN1547" s="117"/>
      <c r="AO1547" s="117"/>
    </row>
    <row r="1548" ht="34.5" customHeight="1">
      <c r="A1548" s="111">
        <v>2180.0</v>
      </c>
      <c r="B1548" s="111" t="s">
        <v>9550</v>
      </c>
      <c r="C1548" s="111" t="s">
        <v>8003</v>
      </c>
      <c r="D1548" s="111">
        <v>2027.0</v>
      </c>
      <c r="E1548" s="111"/>
      <c r="F1548" s="111" t="s">
        <v>12399</v>
      </c>
      <c r="G1548" s="111" t="s">
        <v>12224</v>
      </c>
      <c r="H1548" s="111"/>
      <c r="I1548" s="111" t="s">
        <v>12394</v>
      </c>
      <c r="J1548" s="111" t="s">
        <v>12292</v>
      </c>
      <c r="K1548" s="111" t="s">
        <v>30</v>
      </c>
      <c r="L1548" s="111"/>
      <c r="M1548" s="111">
        <v>1.0</v>
      </c>
      <c r="N1548" s="111"/>
      <c r="O1548" s="111"/>
      <c r="P1548" s="111"/>
      <c r="Q1548" s="111"/>
      <c r="R1548" s="111">
        <v>1.0</v>
      </c>
      <c r="S1548" s="111">
        <v>1.0</v>
      </c>
      <c r="T1548" s="111"/>
      <c r="U1548" s="111"/>
      <c r="V1548" s="111"/>
      <c r="W1548" s="111"/>
      <c r="X1548" s="111"/>
      <c r="Y1548" s="111"/>
      <c r="Z1548" s="111" t="s">
        <v>14444</v>
      </c>
      <c r="AA1548" s="124">
        <v>650.0</v>
      </c>
      <c r="AB1548" s="125">
        <f>IF(Projects!$AI1548="Electrolysis",
AA1548/VLOOKUP(G1548,ElectrolysisConvF,3,FALSE),
AC1548*10^6/(H2dens*HoursInYear))</f>
        <v>141304.3478</v>
      </c>
      <c r="AC1548" s="126">
        <f t="shared" si="297"/>
        <v>110.1665217</v>
      </c>
      <c r="AD1548" s="125"/>
      <c r="AE1548" s="125">
        <f t="shared" si="282"/>
        <v>141304.3478</v>
      </c>
      <c r="AF1548" s="127" t="s">
        <v>14445</v>
      </c>
      <c r="AG1548" s="127">
        <v>48.5223958842751</v>
      </c>
      <c r="AH1548" s="127">
        <v>-58.4347252755619</v>
      </c>
      <c r="AI1548" s="115" t="s">
        <v>12383</v>
      </c>
      <c r="AJ1548" s="116">
        <v>0.4</v>
      </c>
      <c r="AK1548" s="117"/>
      <c r="AL1548" s="117"/>
      <c r="AM1548" s="117"/>
      <c r="AN1548" s="117"/>
      <c r="AO1548" s="117"/>
    </row>
    <row r="1549" ht="34.5" customHeight="1">
      <c r="A1549" s="111">
        <v>2181.0</v>
      </c>
      <c r="B1549" s="111" t="s">
        <v>9551</v>
      </c>
      <c r="C1549" s="111" t="s">
        <v>7977</v>
      </c>
      <c r="D1549" s="111"/>
      <c r="E1549" s="111"/>
      <c r="F1549" s="111" t="s">
        <v>12397</v>
      </c>
      <c r="G1549" s="111" t="s">
        <v>12381</v>
      </c>
      <c r="H1549" s="111" t="s">
        <v>12230</v>
      </c>
      <c r="I1549" s="111" t="s">
        <v>12394</v>
      </c>
      <c r="J1549" s="111" t="s">
        <v>12291</v>
      </c>
      <c r="K1549" s="111" t="s">
        <v>30</v>
      </c>
      <c r="L1549" s="111"/>
      <c r="M1549" s="111"/>
      <c r="N1549" s="111"/>
      <c r="O1549" s="111"/>
      <c r="P1549" s="111"/>
      <c r="Q1549" s="111"/>
      <c r="R1549" s="111"/>
      <c r="S1549" s="111"/>
      <c r="T1549" s="111"/>
      <c r="U1549" s="111"/>
      <c r="V1549" s="111"/>
      <c r="W1549" s="111"/>
      <c r="X1549" s="111"/>
      <c r="Y1549" s="111"/>
      <c r="Z1549" s="111" t="s">
        <v>12824</v>
      </c>
      <c r="AA1549" s="124">
        <f>15-5</f>
        <v>10</v>
      </c>
      <c r="AB1549" s="125">
        <f>IF(Projects!$AI1549="Electrolysis",
AA1549/VLOOKUP(G1549,ElectrolysisConvF,3,FALSE),
AC1549*10^6/(H2dens*HoursInYear))</f>
        <v>2222.222222</v>
      </c>
      <c r="AC1549" s="126">
        <f t="shared" si="297"/>
        <v>1.732533333</v>
      </c>
      <c r="AD1549" s="125"/>
      <c r="AE1549" s="125">
        <f t="shared" si="282"/>
        <v>2222.222222</v>
      </c>
      <c r="AF1549" s="127" t="s">
        <v>14446</v>
      </c>
      <c r="AG1549" s="127">
        <v>41.6181506379372</v>
      </c>
      <c r="AH1549" s="127">
        <v>-4.81302460795548</v>
      </c>
      <c r="AI1549" s="115" t="s">
        <v>12383</v>
      </c>
      <c r="AJ1549" s="116">
        <v>0.3</v>
      </c>
      <c r="AK1549" s="117"/>
      <c r="AL1549" s="117"/>
      <c r="AM1549" s="117"/>
      <c r="AN1549" s="117"/>
      <c r="AO1549" s="117"/>
    </row>
    <row r="1550" ht="34.5" customHeight="1">
      <c r="A1550" s="111">
        <v>2182.0</v>
      </c>
      <c r="B1550" s="111" t="s">
        <v>9552</v>
      </c>
      <c r="C1550" s="111" t="s">
        <v>7977</v>
      </c>
      <c r="D1550" s="111">
        <v>2026.0</v>
      </c>
      <c r="E1550" s="111"/>
      <c r="F1550" s="111" t="s">
        <v>12397</v>
      </c>
      <c r="G1550" s="111" t="s">
        <v>12224</v>
      </c>
      <c r="H1550" s="111"/>
      <c r="I1550" s="111" t="s">
        <v>12394</v>
      </c>
      <c r="J1550" s="111" t="s">
        <v>12291</v>
      </c>
      <c r="K1550" s="111" t="s">
        <v>30</v>
      </c>
      <c r="L1550" s="111"/>
      <c r="M1550" s="111"/>
      <c r="N1550" s="111"/>
      <c r="O1550" s="111"/>
      <c r="P1550" s="111"/>
      <c r="Q1550" s="111"/>
      <c r="R1550" s="111"/>
      <c r="S1550" s="111"/>
      <c r="T1550" s="111"/>
      <c r="U1550" s="111"/>
      <c r="V1550" s="111"/>
      <c r="W1550" s="111"/>
      <c r="X1550" s="111"/>
      <c r="Y1550" s="111"/>
      <c r="Z1550" s="111" t="s">
        <v>12698</v>
      </c>
      <c r="AA1550" s="124">
        <v>70.0</v>
      </c>
      <c r="AB1550" s="125">
        <f>IF(Projects!$AI1550="Electrolysis",
AA1550/VLOOKUP(G1550,ElectrolysisConvF,3,FALSE),
AC1550*10^6/(H2dens*HoursInYear))</f>
        <v>15217.3913</v>
      </c>
      <c r="AC1550" s="126">
        <f t="shared" si="297"/>
        <v>11.86408696</v>
      </c>
      <c r="AD1550" s="125"/>
      <c r="AE1550" s="125">
        <f t="shared" si="282"/>
        <v>15217.3913</v>
      </c>
      <c r="AF1550" s="127" t="s">
        <v>14446</v>
      </c>
      <c r="AG1550" s="127">
        <v>38.7163108181324</v>
      </c>
      <c r="AH1550" s="127">
        <v>-4.15795414622984</v>
      </c>
      <c r="AI1550" s="115" t="s">
        <v>12383</v>
      </c>
      <c r="AJ1550" s="116">
        <v>0.3</v>
      </c>
      <c r="AK1550" s="144"/>
      <c r="AL1550" s="144"/>
      <c r="AM1550" s="144"/>
      <c r="AN1550" s="144"/>
      <c r="AO1550" s="144"/>
    </row>
    <row r="1551" ht="34.5" customHeight="1">
      <c r="A1551" s="111">
        <v>2184.0</v>
      </c>
      <c r="B1551" s="111" t="s">
        <v>9553</v>
      </c>
      <c r="C1551" s="111" t="s">
        <v>9176</v>
      </c>
      <c r="D1551" s="111"/>
      <c r="E1551" s="111"/>
      <c r="F1551" s="111" t="s">
        <v>12399</v>
      </c>
      <c r="G1551" s="111" t="s">
        <v>12226</v>
      </c>
      <c r="H1551" s="111"/>
      <c r="I1551" s="111" t="s">
        <v>12394</v>
      </c>
      <c r="J1551" s="111" t="s">
        <v>12292</v>
      </c>
      <c r="K1551" s="111" t="s">
        <v>30</v>
      </c>
      <c r="L1551" s="111"/>
      <c r="M1551" s="111"/>
      <c r="N1551" s="111"/>
      <c r="O1551" s="111"/>
      <c r="P1551" s="111"/>
      <c r="Q1551" s="111">
        <v>1.0</v>
      </c>
      <c r="R1551" s="111"/>
      <c r="S1551" s="111"/>
      <c r="T1551" s="111"/>
      <c r="U1551" s="111"/>
      <c r="V1551" s="111"/>
      <c r="W1551" s="111"/>
      <c r="X1551" s="111"/>
      <c r="Y1551" s="111"/>
      <c r="Z1551" s="111" t="s">
        <v>12703</v>
      </c>
      <c r="AA1551" s="124">
        <v>10.0</v>
      </c>
      <c r="AB1551" s="125">
        <f>IF(Projects!$AI1551="Electrolysis",
AA1551/VLOOKUP(G1551,ElectrolysisConvF,3,FALSE),
AC1551*10^6/(H2dens*HoursInYear))</f>
        <v>1923.076923</v>
      </c>
      <c r="AC1551" s="126">
        <f t="shared" si="297"/>
        <v>1.499307692</v>
      </c>
      <c r="AD1551" s="125"/>
      <c r="AE1551" s="125">
        <f t="shared" si="282"/>
        <v>1923.076923</v>
      </c>
      <c r="AF1551" s="127" t="s">
        <v>14447</v>
      </c>
      <c r="AG1551" s="127">
        <v>46.3263651107071</v>
      </c>
      <c r="AH1551" s="127">
        <v>25.3606556820124</v>
      </c>
      <c r="AI1551" s="115" t="s">
        <v>12383</v>
      </c>
      <c r="AJ1551" s="116">
        <v>0.4</v>
      </c>
      <c r="AK1551" s="117"/>
      <c r="AL1551" s="117"/>
      <c r="AM1551" s="117"/>
      <c r="AN1551" s="117"/>
      <c r="AO1551" s="117"/>
    </row>
    <row r="1552" ht="34.5" customHeight="1">
      <c r="A1552" s="111">
        <v>2185.0</v>
      </c>
      <c r="B1552" s="111" t="s">
        <v>9554</v>
      </c>
      <c r="C1552" s="111" t="s">
        <v>7977</v>
      </c>
      <c r="D1552" s="111">
        <v>2026.0</v>
      </c>
      <c r="E1552" s="111"/>
      <c r="F1552" s="111" t="s">
        <v>12399</v>
      </c>
      <c r="G1552" s="111" t="s">
        <v>12381</v>
      </c>
      <c r="H1552" s="111" t="s">
        <v>12230</v>
      </c>
      <c r="I1552" s="111" t="s">
        <v>12394</v>
      </c>
      <c r="J1552" s="111" t="s">
        <v>12291</v>
      </c>
      <c r="K1552" s="111" t="s">
        <v>12415</v>
      </c>
      <c r="L1552" s="111"/>
      <c r="M1552" s="111"/>
      <c r="N1552" s="111">
        <v>1.0</v>
      </c>
      <c r="O1552" s="111"/>
      <c r="P1552" s="111"/>
      <c r="Q1552" s="111"/>
      <c r="R1552" s="111"/>
      <c r="S1552" s="111"/>
      <c r="T1552" s="111"/>
      <c r="U1552" s="111"/>
      <c r="V1552" s="111"/>
      <c r="W1552" s="111"/>
      <c r="X1552" s="111"/>
      <c r="Y1552" s="111"/>
      <c r="Z1552" s="111" t="s">
        <v>14448</v>
      </c>
      <c r="AA1552" s="126">
        <f>IF(Projects!$AI1552="Electrolysis",
AB1552*VLOOKUP(G1552,ElectrolysisConvF,3,FALSE),
"")</f>
        <v>138.5254733</v>
      </c>
      <c r="AB1552" s="125">
        <f>AC1552/(H2dens*HoursInYear/10^6)</f>
        <v>30783.43851</v>
      </c>
      <c r="AC1552" s="126">
        <f>7.2/Projects!$AJ1552</f>
        <v>24</v>
      </c>
      <c r="AD1552" s="125"/>
      <c r="AE1552" s="125">
        <f t="shared" si="282"/>
        <v>30783.43851</v>
      </c>
      <c r="AF1552" s="127" t="s">
        <v>14449</v>
      </c>
      <c r="AG1552" s="127">
        <v>37.0528557893</v>
      </c>
      <c r="AH1552" s="127">
        <v>-2.38994967817158</v>
      </c>
      <c r="AI1552" s="115" t="s">
        <v>12383</v>
      </c>
      <c r="AJ1552" s="116">
        <v>0.3</v>
      </c>
      <c r="AK1552" s="144"/>
      <c r="AL1552" s="144"/>
      <c r="AM1552" s="144"/>
      <c r="AN1552" s="144"/>
      <c r="AO1552" s="144"/>
    </row>
    <row r="1553" ht="34.5" customHeight="1">
      <c r="A1553" s="111">
        <v>2187.0</v>
      </c>
      <c r="B1553" s="111" t="s">
        <v>9555</v>
      </c>
      <c r="C1553" s="111" t="s">
        <v>8071</v>
      </c>
      <c r="D1553" s="111">
        <v>2030.0</v>
      </c>
      <c r="E1553" s="111"/>
      <c r="F1553" s="111" t="s">
        <v>12397</v>
      </c>
      <c r="G1553" s="111" t="s">
        <v>12381</v>
      </c>
      <c r="H1553" s="111" t="s">
        <v>12230</v>
      </c>
      <c r="I1553" s="111" t="s">
        <v>12394</v>
      </c>
      <c r="J1553" s="111" t="s">
        <v>12292</v>
      </c>
      <c r="K1553" s="111" t="s">
        <v>174</v>
      </c>
      <c r="L1553" s="111"/>
      <c r="M1553" s="111">
        <v>1.0</v>
      </c>
      <c r="N1553" s="111"/>
      <c r="O1553" s="111"/>
      <c r="P1553" s="111"/>
      <c r="Q1553" s="111"/>
      <c r="R1553" s="111"/>
      <c r="S1553" s="111"/>
      <c r="T1553" s="111"/>
      <c r="U1553" s="111"/>
      <c r="V1553" s="111"/>
      <c r="W1553" s="111"/>
      <c r="X1553" s="111"/>
      <c r="Y1553" s="111"/>
      <c r="Z1553" s="111" t="s">
        <v>14450</v>
      </c>
      <c r="AA1553" s="124">
        <v>840.0</v>
      </c>
      <c r="AB1553" s="125">
        <f>IF(Projects!$AI1553="Electrolysis",
AA1553/VLOOKUP(G1553,ElectrolysisConvF,3,FALSE),
AC1553*10^6/(H2dens*HoursInYear))</f>
        <v>186666.6667</v>
      </c>
      <c r="AC1553" s="126">
        <f>AB1553*H2dens*HoursInYear/10^6</f>
        <v>145.5328</v>
      </c>
      <c r="AD1553" s="125"/>
      <c r="AE1553" s="125">
        <f t="shared" si="282"/>
        <v>186666.6667</v>
      </c>
      <c r="AF1553" s="127" t="s">
        <v>14451</v>
      </c>
      <c r="AG1553" s="127">
        <v>-52.2789852567838</v>
      </c>
      <c r="AH1553" s="127">
        <v>-71.2794486451293</v>
      </c>
      <c r="AI1553" s="115" t="s">
        <v>12383</v>
      </c>
      <c r="AJ1553" s="116">
        <v>0.4</v>
      </c>
      <c r="AK1553" s="117"/>
      <c r="AL1553" s="117"/>
      <c r="AM1553" s="117"/>
      <c r="AN1553" s="117"/>
      <c r="AO1553" s="117"/>
    </row>
    <row r="1554" ht="34.5" customHeight="1">
      <c r="A1554" s="111">
        <v>2188.0</v>
      </c>
      <c r="B1554" s="111" t="s">
        <v>9556</v>
      </c>
      <c r="C1554" s="111" t="s">
        <v>7987</v>
      </c>
      <c r="D1554" s="111"/>
      <c r="E1554" s="111"/>
      <c r="F1554" s="111" t="s">
        <v>12397</v>
      </c>
      <c r="G1554" s="111" t="s">
        <v>12381</v>
      </c>
      <c r="H1554" s="111" t="s">
        <v>12230</v>
      </c>
      <c r="I1554" s="111" t="s">
        <v>12287</v>
      </c>
      <c r="J1554" s="111"/>
      <c r="K1554" s="111" t="s">
        <v>12415</v>
      </c>
      <c r="L1554" s="111"/>
      <c r="M1554" s="111"/>
      <c r="N1554" s="111">
        <v>1.0</v>
      </c>
      <c r="O1554" s="111"/>
      <c r="P1554" s="111"/>
      <c r="Q1554" s="111"/>
      <c r="R1554" s="111"/>
      <c r="S1554" s="111"/>
      <c r="T1554" s="111"/>
      <c r="U1554" s="111"/>
      <c r="V1554" s="111"/>
      <c r="W1554" s="111"/>
      <c r="X1554" s="111"/>
      <c r="Y1554" s="111"/>
      <c r="Z1554" s="111" t="s">
        <v>14452</v>
      </c>
      <c r="AA1554" s="126">
        <f>IF(Projects!$AI1554="Electrolysis",
AB1554*VLOOKUP(G1554,ElectrolysisConvF,3,FALSE),
"")</f>
        <v>387.4804566</v>
      </c>
      <c r="AB1554" s="125">
        <f t="shared" ref="AB1554:AB1555" si="298">AC1554/(H2dens*HoursInYear/10^6)</f>
        <v>86106.76813</v>
      </c>
      <c r="AC1554" s="125">
        <f>200*0.191327/Projects!$AJ1554</f>
        <v>67.1322807</v>
      </c>
      <c r="AD1554" s="125"/>
      <c r="AE1554" s="125">
        <f t="shared" si="282"/>
        <v>86106.76813</v>
      </c>
      <c r="AF1554" s="127" t="s">
        <v>14453</v>
      </c>
      <c r="AG1554" s="127">
        <v>53.5695830004429</v>
      </c>
      <c r="AH1554" s="127">
        <v>9.87014328409467</v>
      </c>
      <c r="AI1554" s="115" t="s">
        <v>12383</v>
      </c>
      <c r="AJ1554" s="116">
        <v>0.57</v>
      </c>
      <c r="AK1554" s="117"/>
      <c r="AL1554" s="117"/>
      <c r="AM1554" s="117"/>
      <c r="AN1554" s="117"/>
      <c r="AO1554" s="117"/>
    </row>
    <row r="1555" ht="34.5" customHeight="1">
      <c r="A1555" s="111">
        <v>2189.0</v>
      </c>
      <c r="B1555" s="111" t="s">
        <v>9557</v>
      </c>
      <c r="C1555" s="111" t="s">
        <v>7971</v>
      </c>
      <c r="D1555" s="111"/>
      <c r="E1555" s="111"/>
      <c r="F1555" s="111" t="s">
        <v>12397</v>
      </c>
      <c r="G1555" s="111" t="s">
        <v>12224</v>
      </c>
      <c r="H1555" s="111"/>
      <c r="I1555" s="111" t="s">
        <v>12287</v>
      </c>
      <c r="J1555" s="111"/>
      <c r="K1555" s="111" t="s">
        <v>12415</v>
      </c>
      <c r="L1555" s="111"/>
      <c r="M1555" s="111"/>
      <c r="N1555" s="111">
        <v>1.0</v>
      </c>
      <c r="O1555" s="111"/>
      <c r="P1555" s="111"/>
      <c r="Q1555" s="111"/>
      <c r="R1555" s="111"/>
      <c r="S1555" s="111"/>
      <c r="T1555" s="111"/>
      <c r="U1555" s="111"/>
      <c r="V1555" s="111"/>
      <c r="W1555" s="111"/>
      <c r="X1555" s="111"/>
      <c r="Y1555" s="111"/>
      <c r="Z1555" s="111" t="s">
        <v>14454</v>
      </c>
      <c r="AA1555" s="126">
        <f>IF(Projects!$AI1555="Electrolysis",
AB1555*VLOOKUP(G1555,ElectrolysisConvF,3,FALSE),
"")</f>
        <v>819.811573</v>
      </c>
      <c r="AB1555" s="125">
        <f t="shared" si="298"/>
        <v>178219.9072</v>
      </c>
      <c r="AC1555" s="125">
        <f>100*0.792/Projects!$AJ1555</f>
        <v>138.9473684</v>
      </c>
      <c r="AD1555" s="125"/>
      <c r="AE1555" s="125">
        <f t="shared" si="282"/>
        <v>178219.9072</v>
      </c>
      <c r="AF1555" s="127" t="s">
        <v>14455</v>
      </c>
      <c r="AG1555" s="127">
        <v>66.310371</v>
      </c>
      <c r="AH1555" s="127">
        <v>14.169271</v>
      </c>
      <c r="AI1555" s="115" t="s">
        <v>12383</v>
      </c>
      <c r="AJ1555" s="116">
        <v>0.57</v>
      </c>
      <c r="AK1555" s="117"/>
      <c r="AL1555" s="117"/>
      <c r="AM1555" s="117"/>
      <c r="AN1555" s="117"/>
      <c r="AO1555" s="117"/>
    </row>
    <row r="1556" ht="34.5" customHeight="1">
      <c r="A1556" s="111">
        <v>2190.0</v>
      </c>
      <c r="B1556" s="111" t="s">
        <v>9558</v>
      </c>
      <c r="C1556" s="111" t="s">
        <v>8365</v>
      </c>
      <c r="D1556" s="111">
        <v>2027.0</v>
      </c>
      <c r="E1556" s="111"/>
      <c r="F1556" s="111" t="s">
        <v>12399</v>
      </c>
      <c r="G1556" s="111" t="s">
        <v>12381</v>
      </c>
      <c r="H1556" s="111" t="s">
        <v>12230</v>
      </c>
      <c r="I1556" s="111" t="s">
        <v>12394</v>
      </c>
      <c r="J1556" s="111" t="s">
        <v>12295</v>
      </c>
      <c r="K1556" s="111" t="s">
        <v>12415</v>
      </c>
      <c r="L1556" s="111"/>
      <c r="M1556" s="111"/>
      <c r="N1556" s="111">
        <v>1.0</v>
      </c>
      <c r="O1556" s="111"/>
      <c r="P1556" s="111"/>
      <c r="Q1556" s="111"/>
      <c r="R1556" s="111"/>
      <c r="S1556" s="111"/>
      <c r="T1556" s="111"/>
      <c r="U1556" s="111"/>
      <c r="V1556" s="111"/>
      <c r="W1556" s="111"/>
      <c r="X1556" s="111"/>
      <c r="Y1556" s="111"/>
      <c r="Z1556" s="111" t="s">
        <v>12548</v>
      </c>
      <c r="AA1556" s="124">
        <v>120.0</v>
      </c>
      <c r="AB1556" s="125">
        <f>IF(Projects!$AI1556="Electrolysis",
AA1556/VLOOKUP(G1556,ElectrolysisConvF,3,FALSE),
AC1556*10^6/(H2dens*HoursInYear))</f>
        <v>26666.66667</v>
      </c>
      <c r="AC1556" s="126">
        <f t="shared" ref="AC1556:AC1557" si="299">AB1556*H2dens*HoursInYear/10^6</f>
        <v>20.7904</v>
      </c>
      <c r="AD1556" s="125"/>
      <c r="AE1556" s="125">
        <f t="shared" si="282"/>
        <v>26666.66667</v>
      </c>
      <c r="AF1556" s="127" t="s">
        <v>14456</v>
      </c>
      <c r="AG1556" s="127">
        <v>-34.0028212077119</v>
      </c>
      <c r="AH1556" s="127">
        <v>24.7553618309595</v>
      </c>
      <c r="AI1556" s="115" t="s">
        <v>12383</v>
      </c>
      <c r="AJ1556" s="116">
        <v>0.5</v>
      </c>
      <c r="AK1556" s="117"/>
      <c r="AL1556" s="117"/>
      <c r="AM1556" s="117"/>
      <c r="AN1556" s="117"/>
      <c r="AO1556" s="117"/>
    </row>
    <row r="1557" ht="34.5" customHeight="1">
      <c r="A1557" s="111">
        <v>2191.0</v>
      </c>
      <c r="B1557" s="111" t="s">
        <v>9559</v>
      </c>
      <c r="C1557" s="111" t="s">
        <v>7981</v>
      </c>
      <c r="D1557" s="111">
        <v>2025.0</v>
      </c>
      <c r="E1557" s="111"/>
      <c r="F1557" s="111" t="s">
        <v>12399</v>
      </c>
      <c r="G1557" s="111" t="s">
        <v>12381</v>
      </c>
      <c r="H1557" s="111" t="s">
        <v>12230</v>
      </c>
      <c r="I1557" s="111" t="s">
        <v>12394</v>
      </c>
      <c r="J1557" s="111" t="s">
        <v>12295</v>
      </c>
      <c r="K1557" s="111" t="s">
        <v>12415</v>
      </c>
      <c r="L1557" s="111"/>
      <c r="M1557" s="111"/>
      <c r="N1557" s="111">
        <v>1.0</v>
      </c>
      <c r="O1557" s="111"/>
      <c r="P1557" s="111"/>
      <c r="Q1557" s="111"/>
      <c r="R1557" s="111"/>
      <c r="S1557" s="111"/>
      <c r="T1557" s="111"/>
      <c r="U1557" s="111"/>
      <c r="V1557" s="111"/>
      <c r="W1557" s="111"/>
      <c r="X1557" s="111"/>
      <c r="Y1557" s="111"/>
      <c r="Z1557" s="111" t="s">
        <v>14457</v>
      </c>
      <c r="AA1557" s="124">
        <v>675.0</v>
      </c>
      <c r="AB1557" s="125">
        <f>IF(Projects!$AI1557="Electrolysis",
AA1557/VLOOKUP(G1557,ElectrolysisConvF,3,FALSE),
AC1557*10^6/(H2dens*HoursInYear))</f>
        <v>150000</v>
      </c>
      <c r="AC1557" s="126">
        <f t="shared" si="299"/>
        <v>116.946</v>
      </c>
      <c r="AD1557" s="125"/>
      <c r="AE1557" s="125">
        <f t="shared" si="282"/>
        <v>150000</v>
      </c>
      <c r="AF1557" s="127" t="s">
        <v>14458</v>
      </c>
      <c r="AG1557" s="127">
        <v>29.7631481753487</v>
      </c>
      <c r="AH1557" s="127">
        <v>-85.2328234890843</v>
      </c>
      <c r="AI1557" s="115" t="s">
        <v>12383</v>
      </c>
      <c r="AJ1557" s="116">
        <v>0.5</v>
      </c>
      <c r="AK1557" s="117"/>
      <c r="AL1557" s="117"/>
      <c r="AM1557" s="117"/>
      <c r="AN1557" s="117"/>
      <c r="AO1557" s="117"/>
    </row>
    <row r="1558" ht="34.5" customHeight="1">
      <c r="A1558" s="111">
        <v>2192.0</v>
      </c>
      <c r="B1558" s="111" t="s">
        <v>9560</v>
      </c>
      <c r="C1558" s="111" t="s">
        <v>7981</v>
      </c>
      <c r="D1558" s="111">
        <v>2027.0</v>
      </c>
      <c r="E1558" s="111"/>
      <c r="F1558" s="111" t="s">
        <v>12399</v>
      </c>
      <c r="G1558" s="111" t="s">
        <v>12381</v>
      </c>
      <c r="H1558" s="111" t="s">
        <v>12230</v>
      </c>
      <c r="I1558" s="111" t="s">
        <v>12394</v>
      </c>
      <c r="J1558" s="111" t="s">
        <v>12296</v>
      </c>
      <c r="K1558" s="111" t="s">
        <v>12415</v>
      </c>
      <c r="L1558" s="111"/>
      <c r="M1558" s="111"/>
      <c r="N1558" s="111">
        <v>1.0</v>
      </c>
      <c r="O1558" s="111"/>
      <c r="P1558" s="111"/>
      <c r="Q1558" s="111"/>
      <c r="R1558" s="111"/>
      <c r="S1558" s="111"/>
      <c r="T1558" s="111"/>
      <c r="U1558" s="111"/>
      <c r="V1558" s="111"/>
      <c r="W1558" s="111"/>
      <c r="X1558" s="111"/>
      <c r="Y1558" s="111"/>
      <c r="Z1558" s="111" t="s">
        <v>14459</v>
      </c>
      <c r="AA1558" s="126">
        <f>IF(Projects!$AI1558="Electrolysis",
AB1558*VLOOKUP(G1558,ElectrolysisConvF,3,FALSE),
"")</f>
        <v>220.8638602</v>
      </c>
      <c r="AB1558" s="125">
        <f>AC1558/(H2dens*HoursInYear/10^6)</f>
        <v>49080.85783</v>
      </c>
      <c r="AC1558" s="125">
        <f>100*0.191327/Projects!$AJ1558</f>
        <v>38.2654</v>
      </c>
      <c r="AD1558" s="125"/>
      <c r="AE1558" s="125">
        <f t="shared" si="282"/>
        <v>49080.85783</v>
      </c>
      <c r="AF1558" s="127" t="s">
        <v>14460</v>
      </c>
      <c r="AG1558" s="127">
        <v>45.8738662505143</v>
      </c>
      <c r="AH1558" s="127">
        <v>-96.7240235795632</v>
      </c>
      <c r="AI1558" s="115" t="s">
        <v>12383</v>
      </c>
      <c r="AJ1558" s="116">
        <v>0.5</v>
      </c>
      <c r="AK1558" s="117"/>
      <c r="AL1558" s="117"/>
      <c r="AM1558" s="117"/>
      <c r="AN1558" s="117"/>
      <c r="AO1558" s="117"/>
    </row>
    <row r="1559" ht="34.5" customHeight="1">
      <c r="A1559" s="111">
        <v>2193.0</v>
      </c>
      <c r="B1559" s="111" t="s">
        <v>9561</v>
      </c>
      <c r="C1559" s="111" t="s">
        <v>7987</v>
      </c>
      <c r="D1559" s="111"/>
      <c r="E1559" s="111"/>
      <c r="F1559" s="111" t="s">
        <v>12397</v>
      </c>
      <c r="G1559" s="111" t="s">
        <v>12381</v>
      </c>
      <c r="H1559" s="111" t="s">
        <v>12230</v>
      </c>
      <c r="I1559" s="111" t="s">
        <v>12394</v>
      </c>
      <c r="J1559" s="111" t="s">
        <v>12296</v>
      </c>
      <c r="K1559" s="111" t="s">
        <v>30</v>
      </c>
      <c r="L1559" s="111"/>
      <c r="M1559" s="111"/>
      <c r="N1559" s="111"/>
      <c r="O1559" s="111"/>
      <c r="P1559" s="111"/>
      <c r="Q1559" s="111"/>
      <c r="R1559" s="111"/>
      <c r="S1559" s="111"/>
      <c r="T1559" s="111"/>
      <c r="U1559" s="111"/>
      <c r="V1559" s="111"/>
      <c r="W1559" s="111"/>
      <c r="X1559" s="111"/>
      <c r="Y1559" s="111"/>
      <c r="Z1559" s="111" t="s">
        <v>13006</v>
      </c>
      <c r="AA1559" s="124">
        <v>190.0</v>
      </c>
      <c r="AB1559" s="125">
        <f>IF(Projects!$AI1559="Electrolysis",
AA1559/VLOOKUP(G1559,ElectrolysisConvF,3,FALSE),
AC1559*10^6/(H2dens*HoursInYear))</f>
        <v>42222.22222</v>
      </c>
      <c r="AC1559" s="126">
        <f t="shared" ref="AC1559:AC1563" si="300">AB1559*H2dens*HoursInYear/10^6</f>
        <v>32.91813333</v>
      </c>
      <c r="AD1559" s="125"/>
      <c r="AE1559" s="125">
        <f t="shared" si="282"/>
        <v>42222.22222</v>
      </c>
      <c r="AF1559" s="127" t="s">
        <v>13971</v>
      </c>
      <c r="AG1559" s="127">
        <v>53.3602460839282</v>
      </c>
      <c r="AH1559" s="127">
        <v>7.21164166207105</v>
      </c>
      <c r="AI1559" s="115" t="s">
        <v>12383</v>
      </c>
      <c r="AJ1559" s="116">
        <v>0.5</v>
      </c>
      <c r="AK1559" s="117"/>
      <c r="AL1559" s="117"/>
      <c r="AM1559" s="117"/>
      <c r="AN1559" s="117"/>
      <c r="AO1559" s="117"/>
    </row>
    <row r="1560" ht="34.5" customHeight="1">
      <c r="A1560" s="111">
        <v>2194.0</v>
      </c>
      <c r="B1560" s="111" t="s">
        <v>9562</v>
      </c>
      <c r="C1560" s="111" t="s">
        <v>7994</v>
      </c>
      <c r="D1560" s="111">
        <v>2030.0</v>
      </c>
      <c r="E1560" s="111"/>
      <c r="F1560" s="111" t="s">
        <v>12399</v>
      </c>
      <c r="G1560" s="111" t="s">
        <v>12381</v>
      </c>
      <c r="H1560" s="111" t="s">
        <v>12230</v>
      </c>
      <c r="I1560" s="111" t="s">
        <v>12394</v>
      </c>
      <c r="J1560" s="111" t="s">
        <v>12295</v>
      </c>
      <c r="K1560" s="111" t="s">
        <v>12415</v>
      </c>
      <c r="L1560" s="111"/>
      <c r="M1560" s="111">
        <v>1.0</v>
      </c>
      <c r="N1560" s="111">
        <v>1.0</v>
      </c>
      <c r="O1560" s="111"/>
      <c r="P1560" s="111">
        <v>1.0</v>
      </c>
      <c r="Q1560" s="111">
        <v>1.0</v>
      </c>
      <c r="R1560" s="111"/>
      <c r="S1560" s="111"/>
      <c r="T1560" s="111"/>
      <c r="U1560" s="111"/>
      <c r="V1560" s="111"/>
      <c r="W1560" s="111"/>
      <c r="X1560" s="111"/>
      <c r="Y1560" s="111"/>
      <c r="Z1560" s="111" t="s">
        <v>13632</v>
      </c>
      <c r="AA1560" s="124">
        <v>2000.0</v>
      </c>
      <c r="AB1560" s="125">
        <f>IF(Projects!$AI1560="Electrolysis",
AA1560/VLOOKUP(G1560,ElectrolysisConvF,3,FALSE),
AC1560*10^6/(H2dens*HoursInYear))</f>
        <v>444444.4444</v>
      </c>
      <c r="AC1560" s="126">
        <f t="shared" si="300"/>
        <v>346.5066667</v>
      </c>
      <c r="AD1560" s="125"/>
      <c r="AE1560" s="125">
        <f t="shared" si="282"/>
        <v>444444.4444</v>
      </c>
      <c r="AF1560" s="127" t="s">
        <v>14461</v>
      </c>
      <c r="AG1560" s="127">
        <v>55.8922890921463</v>
      </c>
      <c r="AH1560" s="127">
        <v>8.47884034083438</v>
      </c>
      <c r="AI1560" s="115" t="s">
        <v>12383</v>
      </c>
      <c r="AJ1560" s="116">
        <v>0.5</v>
      </c>
      <c r="AK1560" s="117"/>
      <c r="AL1560" s="117"/>
      <c r="AM1560" s="117"/>
      <c r="AN1560" s="117"/>
      <c r="AO1560" s="117"/>
    </row>
    <row r="1561" ht="34.5" customHeight="1">
      <c r="A1561" s="111">
        <v>2195.0</v>
      </c>
      <c r="B1561" s="111" t="s">
        <v>9563</v>
      </c>
      <c r="C1561" s="111" t="s">
        <v>7981</v>
      </c>
      <c r="D1561" s="111">
        <v>2025.0</v>
      </c>
      <c r="E1561" s="111"/>
      <c r="F1561" s="111" t="s">
        <v>12397</v>
      </c>
      <c r="G1561" s="111" t="s">
        <v>12224</v>
      </c>
      <c r="H1561" s="111"/>
      <c r="I1561" s="111" t="s">
        <v>12287</v>
      </c>
      <c r="J1561" s="111"/>
      <c r="K1561" s="111" t="s">
        <v>30</v>
      </c>
      <c r="L1561" s="111"/>
      <c r="M1561" s="111"/>
      <c r="N1561" s="111"/>
      <c r="O1561" s="111"/>
      <c r="P1561" s="111">
        <v>1.0</v>
      </c>
      <c r="Q1561" s="111">
        <v>1.0</v>
      </c>
      <c r="R1561" s="111"/>
      <c r="S1561" s="111"/>
      <c r="T1561" s="111"/>
      <c r="U1561" s="111"/>
      <c r="V1561" s="111"/>
      <c r="W1561" s="111"/>
      <c r="X1561" s="111"/>
      <c r="Y1561" s="111"/>
      <c r="Z1561" s="111" t="s">
        <v>14088</v>
      </c>
      <c r="AA1561" s="124">
        <v>135.0</v>
      </c>
      <c r="AB1561" s="125">
        <f>IF(Projects!$AI1561="Electrolysis",
AA1561/VLOOKUP(G1561,ElectrolysisConvF,3,FALSE),
AC1561*10^6/(H2dens*HoursInYear))</f>
        <v>29347.82609</v>
      </c>
      <c r="AC1561" s="126">
        <f t="shared" si="300"/>
        <v>22.88073913</v>
      </c>
      <c r="AD1561" s="125"/>
      <c r="AE1561" s="125">
        <f t="shared" si="282"/>
        <v>29347.82609</v>
      </c>
      <c r="AF1561" s="127" t="s">
        <v>14462</v>
      </c>
      <c r="AG1561" s="127">
        <v>34.7114329716142</v>
      </c>
      <c r="AH1561" s="127">
        <v>-118.344687390685</v>
      </c>
      <c r="AI1561" s="115" t="s">
        <v>12383</v>
      </c>
      <c r="AJ1561" s="116">
        <v>0.57</v>
      </c>
      <c r="AK1561" s="117"/>
      <c r="AL1561" s="117"/>
      <c r="AM1561" s="117"/>
      <c r="AN1561" s="117"/>
      <c r="AO1561" s="117"/>
    </row>
    <row r="1562" ht="34.5" customHeight="1">
      <c r="A1562" s="111">
        <v>2196.0</v>
      </c>
      <c r="B1562" s="111" t="s">
        <v>9564</v>
      </c>
      <c r="C1562" s="111" t="s">
        <v>8021</v>
      </c>
      <c r="D1562" s="111">
        <v>2028.0</v>
      </c>
      <c r="E1562" s="111"/>
      <c r="F1562" s="111" t="s">
        <v>12399</v>
      </c>
      <c r="G1562" s="111" t="s">
        <v>12381</v>
      </c>
      <c r="H1562" s="111" t="s">
        <v>12230</v>
      </c>
      <c r="I1562" s="111" t="s">
        <v>12394</v>
      </c>
      <c r="J1562" s="111" t="s">
        <v>12295</v>
      </c>
      <c r="K1562" s="111" t="s">
        <v>12415</v>
      </c>
      <c r="L1562" s="111"/>
      <c r="M1562" s="111"/>
      <c r="N1562" s="111">
        <v>1.0</v>
      </c>
      <c r="O1562" s="111"/>
      <c r="P1562" s="111"/>
      <c r="Q1562" s="111"/>
      <c r="R1562" s="111"/>
      <c r="S1562" s="111"/>
      <c r="T1562" s="111"/>
      <c r="U1562" s="111"/>
      <c r="V1562" s="111"/>
      <c r="W1562" s="111"/>
      <c r="X1562" s="111"/>
      <c r="Y1562" s="111"/>
      <c r="Z1562" s="111" t="s">
        <v>12703</v>
      </c>
      <c r="AA1562" s="124">
        <v>10.0</v>
      </c>
      <c r="AB1562" s="125">
        <f>IF(Projects!$AI1562="Electrolysis",
AA1562/VLOOKUP(G1562,ElectrolysisConvF,3,FALSE),
AC1562*10^6/(H2dens*HoursInYear))</f>
        <v>2222.222222</v>
      </c>
      <c r="AC1562" s="126">
        <f t="shared" si="300"/>
        <v>1.732533333</v>
      </c>
      <c r="AD1562" s="125"/>
      <c r="AE1562" s="125">
        <f t="shared" si="282"/>
        <v>2222.222222</v>
      </c>
      <c r="AF1562" s="127" t="s">
        <v>14463</v>
      </c>
      <c r="AG1562" s="127">
        <v>-32.4657906406812</v>
      </c>
      <c r="AH1562" s="127">
        <v>137.782015437897</v>
      </c>
      <c r="AI1562" s="115" t="s">
        <v>12383</v>
      </c>
      <c r="AJ1562" s="116">
        <v>0.5</v>
      </c>
      <c r="AK1562" s="117"/>
      <c r="AL1562" s="117"/>
      <c r="AM1562" s="117"/>
      <c r="AN1562" s="117"/>
      <c r="AO1562" s="117"/>
    </row>
    <row r="1563" ht="34.5" customHeight="1">
      <c r="A1563" s="111">
        <v>2197.0</v>
      </c>
      <c r="B1563" s="111" t="s">
        <v>9565</v>
      </c>
      <c r="C1563" s="111" t="s">
        <v>8021</v>
      </c>
      <c r="D1563" s="111"/>
      <c r="E1563" s="111"/>
      <c r="F1563" s="111" t="s">
        <v>12399</v>
      </c>
      <c r="G1563" s="111" t="s">
        <v>12381</v>
      </c>
      <c r="H1563" s="111" t="s">
        <v>12230</v>
      </c>
      <c r="I1563" s="111" t="s">
        <v>12394</v>
      </c>
      <c r="J1563" s="111" t="s">
        <v>12296</v>
      </c>
      <c r="K1563" s="111" t="s">
        <v>174</v>
      </c>
      <c r="L1563" s="111"/>
      <c r="M1563" s="111">
        <v>1.0</v>
      </c>
      <c r="N1563" s="111"/>
      <c r="O1563" s="111"/>
      <c r="P1563" s="111"/>
      <c r="Q1563" s="111"/>
      <c r="R1563" s="111"/>
      <c r="S1563" s="111"/>
      <c r="T1563" s="111"/>
      <c r="U1563" s="111"/>
      <c r="V1563" s="111"/>
      <c r="W1563" s="111"/>
      <c r="X1563" s="111"/>
      <c r="Y1563" s="111"/>
      <c r="Z1563" s="111" t="s">
        <v>12723</v>
      </c>
      <c r="AA1563" s="124">
        <v>1000.0</v>
      </c>
      <c r="AB1563" s="125">
        <f>IF(Projects!$AI1563="Electrolysis",
AA1563/VLOOKUP(G1563,ElectrolysisConvF,3,FALSE),
AC1563*10^6/(H2dens*HoursInYear))</f>
        <v>222222.2222</v>
      </c>
      <c r="AC1563" s="126">
        <f t="shared" si="300"/>
        <v>173.2533333</v>
      </c>
      <c r="AD1563" s="125"/>
      <c r="AE1563" s="125">
        <f t="shared" si="282"/>
        <v>222222.2222</v>
      </c>
      <c r="AF1563" s="127" t="s">
        <v>14463</v>
      </c>
      <c r="AG1563" s="127">
        <v>-34.4502379010168</v>
      </c>
      <c r="AH1563" s="127">
        <v>150.776679131108</v>
      </c>
      <c r="AI1563" s="115" t="s">
        <v>12383</v>
      </c>
      <c r="AJ1563" s="116">
        <v>0.5</v>
      </c>
      <c r="AK1563" s="117"/>
      <c r="AL1563" s="117"/>
      <c r="AM1563" s="117"/>
      <c r="AN1563" s="117"/>
      <c r="AO1563" s="117"/>
    </row>
    <row r="1564" ht="34.5" customHeight="1">
      <c r="A1564" s="111">
        <v>2198.0</v>
      </c>
      <c r="B1564" s="111" t="s">
        <v>9566</v>
      </c>
      <c r="C1564" s="111" t="s">
        <v>8365</v>
      </c>
      <c r="D1564" s="111"/>
      <c r="E1564" s="111"/>
      <c r="F1564" s="111" t="s">
        <v>12397</v>
      </c>
      <c r="G1564" s="111" t="s">
        <v>12381</v>
      </c>
      <c r="H1564" s="111" t="s">
        <v>12230</v>
      </c>
      <c r="I1564" s="111" t="s">
        <v>12394</v>
      </c>
      <c r="J1564" s="111" t="s">
        <v>12295</v>
      </c>
      <c r="K1564" s="111" t="s">
        <v>174</v>
      </c>
      <c r="L1564" s="111"/>
      <c r="M1564" s="111"/>
      <c r="N1564" s="111">
        <v>1.0</v>
      </c>
      <c r="O1564" s="111"/>
      <c r="P1564" s="111"/>
      <c r="Q1564" s="111"/>
      <c r="R1564" s="111"/>
      <c r="S1564" s="111"/>
      <c r="T1564" s="111"/>
      <c r="U1564" s="111"/>
      <c r="V1564" s="111"/>
      <c r="W1564" s="111"/>
      <c r="X1564" s="111"/>
      <c r="Y1564" s="111"/>
      <c r="Z1564" s="111" t="s">
        <v>14038</v>
      </c>
      <c r="AA1564" s="126">
        <f>IF(Projects!$AI1564="Electrolysis",
AB1564*VLOOKUP(G1564,ElectrolysisConvF,3,FALSE),
"")</f>
        <v>207.8713585</v>
      </c>
      <c r="AB1564" s="125">
        <f t="shared" ref="AB1564:AB1565" si="301">AC1564/(H2dens*HoursInYear/10^6)</f>
        <v>46193.63522</v>
      </c>
      <c r="AC1564" s="125">
        <f>100*3/17/0.98/Projects!$AJ1564</f>
        <v>36.01440576</v>
      </c>
      <c r="AD1564" s="125"/>
      <c r="AE1564" s="125">
        <f t="shared" si="282"/>
        <v>46193.63522</v>
      </c>
      <c r="AF1564" s="127" t="s">
        <v>14464</v>
      </c>
      <c r="AG1564" s="127">
        <v>-30.9537436306853</v>
      </c>
      <c r="AH1564" s="127">
        <v>18.2868524492858</v>
      </c>
      <c r="AI1564" s="115" t="s">
        <v>12383</v>
      </c>
      <c r="AJ1564" s="116">
        <v>0.5</v>
      </c>
      <c r="AK1564" s="117"/>
      <c r="AL1564" s="117"/>
      <c r="AM1564" s="117"/>
      <c r="AN1564" s="117"/>
      <c r="AO1564" s="117"/>
    </row>
    <row r="1565" ht="34.5" customHeight="1">
      <c r="A1565" s="111">
        <v>2199.0</v>
      </c>
      <c r="B1565" s="111" t="s">
        <v>9567</v>
      </c>
      <c r="C1565" s="111" t="s">
        <v>8371</v>
      </c>
      <c r="D1565" s="111"/>
      <c r="E1565" s="111"/>
      <c r="F1565" s="111" t="s">
        <v>12399</v>
      </c>
      <c r="G1565" s="111" t="s">
        <v>12381</v>
      </c>
      <c r="H1565" s="111" t="s">
        <v>12230</v>
      </c>
      <c r="I1565" s="111" t="s">
        <v>12394</v>
      </c>
      <c r="J1565" s="111" t="s">
        <v>12291</v>
      </c>
      <c r="K1565" s="111" t="s">
        <v>174</v>
      </c>
      <c r="L1565" s="111"/>
      <c r="M1565" s="111">
        <v>1.0</v>
      </c>
      <c r="N1565" s="111"/>
      <c r="O1565" s="111"/>
      <c r="P1565" s="111"/>
      <c r="Q1565" s="111"/>
      <c r="R1565" s="111"/>
      <c r="S1565" s="111"/>
      <c r="T1565" s="111"/>
      <c r="U1565" s="111"/>
      <c r="V1565" s="111"/>
      <c r="W1565" s="111"/>
      <c r="X1565" s="111"/>
      <c r="Y1565" s="111"/>
      <c r="Z1565" s="111" t="s">
        <v>14465</v>
      </c>
      <c r="AA1565" s="126">
        <f>IF(Projects!$AI1565="Electrolysis",
AB1565*VLOOKUP(G1565,ElectrolysisConvF,3,FALSE),
"")</f>
        <v>2078.713585</v>
      </c>
      <c r="AB1565" s="125">
        <f t="shared" si="301"/>
        <v>461936.3522</v>
      </c>
      <c r="AC1565" s="125">
        <f>600*3/17/0.98/Projects!$AJ1565</f>
        <v>360.1440576</v>
      </c>
      <c r="AD1565" s="125"/>
      <c r="AE1565" s="125">
        <f t="shared" si="282"/>
        <v>461936.3522</v>
      </c>
      <c r="AF1565" s="127" t="s">
        <v>14466</v>
      </c>
      <c r="AG1565" s="127">
        <v>24.1458624955385</v>
      </c>
      <c r="AH1565" s="127">
        <v>54.3257880185883</v>
      </c>
      <c r="AI1565" s="115" t="s">
        <v>12383</v>
      </c>
      <c r="AJ1565" s="116">
        <v>0.3</v>
      </c>
      <c r="AK1565" s="117"/>
      <c r="AL1565" s="117"/>
      <c r="AM1565" s="117"/>
      <c r="AN1565" s="117"/>
      <c r="AO1565" s="117"/>
    </row>
    <row r="1566" ht="34.5" customHeight="1">
      <c r="A1566" s="111">
        <v>2200.0</v>
      </c>
      <c r="B1566" s="111" t="s">
        <v>9568</v>
      </c>
      <c r="C1566" s="111" t="s">
        <v>7981</v>
      </c>
      <c r="D1566" s="111">
        <v>2028.0</v>
      </c>
      <c r="E1566" s="111"/>
      <c r="F1566" s="111" t="s">
        <v>12397</v>
      </c>
      <c r="G1566" s="111" t="s">
        <v>12381</v>
      </c>
      <c r="H1566" s="111" t="s">
        <v>12230</v>
      </c>
      <c r="I1566" s="111" t="s">
        <v>12394</v>
      </c>
      <c r="J1566" s="111" t="s">
        <v>12295</v>
      </c>
      <c r="K1566" s="111" t="s">
        <v>30</v>
      </c>
      <c r="L1566" s="111"/>
      <c r="M1566" s="111">
        <v>1.0</v>
      </c>
      <c r="N1566" s="111">
        <v>1.0</v>
      </c>
      <c r="O1566" s="111"/>
      <c r="P1566" s="111"/>
      <c r="Q1566" s="111"/>
      <c r="R1566" s="111"/>
      <c r="S1566" s="111"/>
      <c r="T1566" s="111"/>
      <c r="U1566" s="111"/>
      <c r="V1566" s="111">
        <v>1.0</v>
      </c>
      <c r="W1566" s="111">
        <v>1.0</v>
      </c>
      <c r="X1566" s="111"/>
      <c r="Y1566" s="111"/>
      <c r="Z1566" s="111" t="s">
        <v>12777</v>
      </c>
      <c r="AA1566" s="124">
        <v>1000.0</v>
      </c>
      <c r="AB1566" s="125">
        <f>IF(Projects!$AI1566="Electrolysis",
AA1566/VLOOKUP(G1566,ElectrolysisConvF,3,FALSE),
AC1566*10^6/(H2dens*HoursInYear))</f>
        <v>222222.2222</v>
      </c>
      <c r="AC1566" s="126">
        <f t="shared" ref="AC1566:AC1567" si="302">AB1566*H2dens*HoursInYear/10^6</f>
        <v>173.2533333</v>
      </c>
      <c r="AD1566" s="125"/>
      <c r="AE1566" s="125">
        <f t="shared" si="282"/>
        <v>222222.2222</v>
      </c>
      <c r="AF1566" s="127" t="s">
        <v>14467</v>
      </c>
      <c r="AG1566" s="127">
        <v>42.7364197285164</v>
      </c>
      <c r="AH1566" s="127">
        <v>-107.598115561326</v>
      </c>
      <c r="AI1566" s="115" t="s">
        <v>12383</v>
      </c>
      <c r="AJ1566" s="116">
        <v>0.5</v>
      </c>
      <c r="AK1566" s="117"/>
      <c r="AL1566" s="117"/>
      <c r="AM1566" s="117"/>
      <c r="AN1566" s="117"/>
      <c r="AO1566" s="117"/>
    </row>
    <row r="1567" ht="34.5" customHeight="1">
      <c r="A1567" s="111">
        <v>2201.0</v>
      </c>
      <c r="B1567" s="111" t="s">
        <v>9569</v>
      </c>
      <c r="C1567" s="111" t="s">
        <v>9570</v>
      </c>
      <c r="D1567" s="111"/>
      <c r="E1567" s="111"/>
      <c r="F1567" s="111" t="s">
        <v>12399</v>
      </c>
      <c r="G1567" s="111" t="s">
        <v>12381</v>
      </c>
      <c r="H1567" s="111" t="s">
        <v>12230</v>
      </c>
      <c r="I1567" s="111" t="s">
        <v>12394</v>
      </c>
      <c r="J1567" s="111" t="s">
        <v>12296</v>
      </c>
      <c r="K1567" s="111" t="s">
        <v>30</v>
      </c>
      <c r="L1567" s="111"/>
      <c r="M1567" s="111"/>
      <c r="N1567" s="111"/>
      <c r="O1567" s="111"/>
      <c r="P1567" s="111"/>
      <c r="Q1567" s="111"/>
      <c r="R1567" s="111"/>
      <c r="S1567" s="111"/>
      <c r="T1567" s="111"/>
      <c r="U1567" s="111"/>
      <c r="V1567" s="111"/>
      <c r="W1567" s="111"/>
      <c r="X1567" s="111"/>
      <c r="Y1567" s="111"/>
      <c r="Z1567" s="111" t="s">
        <v>12703</v>
      </c>
      <c r="AA1567" s="124">
        <v>10.0</v>
      </c>
      <c r="AB1567" s="125">
        <f>IF(Projects!$AI1567="Electrolysis",
AA1567/VLOOKUP(G1567,ElectrolysisConvF,3,FALSE),
AC1567*10^6/(H2dens*HoursInYear))</f>
        <v>2222.222222</v>
      </c>
      <c r="AC1567" s="126">
        <f t="shared" si="302"/>
        <v>1.732533333</v>
      </c>
      <c r="AD1567" s="125"/>
      <c r="AE1567" s="125">
        <f t="shared" si="282"/>
        <v>2222.222222</v>
      </c>
      <c r="AF1567" s="127" t="s">
        <v>14468</v>
      </c>
      <c r="AG1567" s="127">
        <v>43.3129941226452</v>
      </c>
      <c r="AH1567" s="127">
        <v>107.040545861841</v>
      </c>
      <c r="AI1567" s="115" t="s">
        <v>12383</v>
      </c>
      <c r="AJ1567" s="116">
        <v>0.5</v>
      </c>
      <c r="AK1567" s="117"/>
      <c r="AL1567" s="117"/>
      <c r="AM1567" s="117"/>
      <c r="AN1567" s="117"/>
      <c r="AO1567" s="117"/>
    </row>
    <row r="1568" ht="34.5" customHeight="1">
      <c r="A1568" s="111">
        <v>2202.0</v>
      </c>
      <c r="B1568" s="111" t="s">
        <v>9571</v>
      </c>
      <c r="C1568" s="111" t="s">
        <v>7981</v>
      </c>
      <c r="D1568" s="111">
        <v>2027.0</v>
      </c>
      <c r="E1568" s="111"/>
      <c r="F1568" s="111" t="s">
        <v>12399</v>
      </c>
      <c r="G1568" s="111" t="s">
        <v>12235</v>
      </c>
      <c r="H1568" s="111" t="s">
        <v>12529</v>
      </c>
      <c r="I1568" s="111"/>
      <c r="J1568" s="111"/>
      <c r="K1568" s="111" t="s">
        <v>174</v>
      </c>
      <c r="L1568" s="111"/>
      <c r="M1568" s="111">
        <v>1.0</v>
      </c>
      <c r="N1568" s="111"/>
      <c r="O1568" s="111"/>
      <c r="P1568" s="111"/>
      <c r="Q1568" s="111"/>
      <c r="R1568" s="111"/>
      <c r="S1568" s="111"/>
      <c r="T1568" s="111"/>
      <c r="U1568" s="111"/>
      <c r="V1568" s="111"/>
      <c r="W1568" s="111"/>
      <c r="X1568" s="111"/>
      <c r="Y1568" s="111"/>
      <c r="Z1568" s="111" t="s">
        <v>14469</v>
      </c>
      <c r="AA1568" s="124" t="str">
        <f>IF(OR(G1568="ALK",G1568="PEM",G1568="SOEC",G1568="Other Electrolysis"),
AB1568*VLOOKUP(G1568,ElectrolysisConvF,3,FALSE),
"")</f>
        <v/>
      </c>
      <c r="AB1568" s="125">
        <f>IF(Projects!$AI1568="Electrolysis",
AA1568/VLOOKUP(G1568,ElectrolysisConvF,3,FALSE),
AC1568*10^6/(H2dens*HoursInYear))</f>
        <v>337213.5371</v>
      </c>
      <c r="AC1568" s="125">
        <f>4*365*3/17/0.98</f>
        <v>262.9051621</v>
      </c>
      <c r="AD1568" s="125"/>
      <c r="AE1568" s="125">
        <f t="shared" si="282"/>
        <v>0</v>
      </c>
      <c r="AF1568" s="127" t="s">
        <v>14470</v>
      </c>
      <c r="AG1568" s="127">
        <v>30.728442543229</v>
      </c>
      <c r="AH1568" s="127">
        <v>-88.585547230402</v>
      </c>
      <c r="AI1568" s="115" t="s">
        <v>12378</v>
      </c>
      <c r="AJ1568" s="116">
        <v>0.9</v>
      </c>
      <c r="AK1568" s="117"/>
      <c r="AL1568" s="117"/>
      <c r="AM1568" s="117"/>
      <c r="AN1568" s="117"/>
      <c r="AO1568" s="117"/>
    </row>
    <row r="1569" ht="34.5" customHeight="1">
      <c r="A1569" s="111">
        <v>2203.0</v>
      </c>
      <c r="B1569" s="111" t="s">
        <v>9572</v>
      </c>
      <c r="C1569" s="111" t="s">
        <v>8001</v>
      </c>
      <c r="D1569" s="111">
        <v>2026.0</v>
      </c>
      <c r="E1569" s="111"/>
      <c r="F1569" s="111" t="s">
        <v>12399</v>
      </c>
      <c r="G1569" s="111" t="s">
        <v>12224</v>
      </c>
      <c r="H1569" s="111"/>
      <c r="I1569" s="111" t="s">
        <v>12394</v>
      </c>
      <c r="J1569" s="111" t="s">
        <v>12292</v>
      </c>
      <c r="K1569" s="111" t="s">
        <v>12415</v>
      </c>
      <c r="L1569" s="111"/>
      <c r="M1569" s="111"/>
      <c r="N1569" s="111">
        <v>1.0</v>
      </c>
      <c r="O1569" s="111"/>
      <c r="P1569" s="111"/>
      <c r="Q1569" s="111"/>
      <c r="R1569" s="111"/>
      <c r="S1569" s="111"/>
      <c r="T1569" s="111"/>
      <c r="U1569" s="111"/>
      <c r="V1569" s="111"/>
      <c r="W1569" s="111"/>
      <c r="X1569" s="111"/>
      <c r="Y1569" s="111"/>
      <c r="Z1569" s="111" t="s">
        <v>14471</v>
      </c>
      <c r="AA1569" s="126">
        <f>IF(Projects!$AI1569="Electrolysis",
AB1569*VLOOKUP(G1569,ElectrolysisConvF,3,FALSE),
"")</f>
        <v>361.2351136</v>
      </c>
      <c r="AB1569" s="125">
        <f>AC1569/(H2dens*HoursInYear/10^6)</f>
        <v>78529.37253</v>
      </c>
      <c r="AC1569" s="125">
        <f>(320*0.191327)</f>
        <v>61.22464</v>
      </c>
      <c r="AD1569" s="125"/>
      <c r="AE1569" s="125">
        <f t="shared" si="282"/>
        <v>78529.37253</v>
      </c>
      <c r="AF1569" s="127" t="s">
        <v>14472</v>
      </c>
      <c r="AG1569" s="127">
        <v>43.8012208463047</v>
      </c>
      <c r="AH1569" s="127">
        <v>122.251264320879</v>
      </c>
      <c r="AI1569" s="115" t="s">
        <v>12383</v>
      </c>
      <c r="AJ1569" s="116">
        <v>0.4</v>
      </c>
      <c r="AK1569" s="117"/>
      <c r="AL1569" s="117"/>
      <c r="AM1569" s="117"/>
      <c r="AN1569" s="117"/>
      <c r="AO1569" s="117"/>
    </row>
    <row r="1570" ht="34.5" customHeight="1">
      <c r="A1570" s="111">
        <v>2204.0</v>
      </c>
      <c r="B1570" s="111" t="s">
        <v>9573</v>
      </c>
      <c r="C1570" s="111" t="s">
        <v>8600</v>
      </c>
      <c r="D1570" s="111">
        <v>2028.0</v>
      </c>
      <c r="E1570" s="111"/>
      <c r="F1570" s="111" t="s">
        <v>12397</v>
      </c>
      <c r="G1570" s="111" t="s">
        <v>12224</v>
      </c>
      <c r="H1570" s="111"/>
      <c r="I1570" s="111" t="s">
        <v>12394</v>
      </c>
      <c r="J1570" s="111" t="s">
        <v>12295</v>
      </c>
      <c r="K1570" s="111" t="s">
        <v>174</v>
      </c>
      <c r="L1570" s="111"/>
      <c r="M1570" s="111">
        <v>1.0</v>
      </c>
      <c r="N1570" s="111"/>
      <c r="O1570" s="111"/>
      <c r="P1570" s="111"/>
      <c r="Q1570" s="111"/>
      <c r="R1570" s="111"/>
      <c r="S1570" s="111"/>
      <c r="T1570" s="111"/>
      <c r="U1570" s="111"/>
      <c r="V1570" s="111"/>
      <c r="W1570" s="111"/>
      <c r="X1570" s="111"/>
      <c r="Y1570" s="111"/>
      <c r="Z1570" s="111" t="s">
        <v>12804</v>
      </c>
      <c r="AA1570" s="124">
        <v>160.0</v>
      </c>
      <c r="AB1570" s="125">
        <f>IF(Projects!$AI1570="Electrolysis",
AA1570/VLOOKUP(G1570,ElectrolysisConvF,3,FALSE),
AC1570*10^6/(H2dens*HoursInYear))</f>
        <v>34782.6087</v>
      </c>
      <c r="AC1570" s="126">
        <f t="shared" ref="AC1570:AC1571" si="303">AB1570*H2dens*HoursInYear/10^6</f>
        <v>27.11791304</v>
      </c>
      <c r="AD1570" s="125"/>
      <c r="AE1570" s="125">
        <f t="shared" si="282"/>
        <v>34782.6087</v>
      </c>
      <c r="AF1570" s="127" t="s">
        <v>14473</v>
      </c>
      <c r="AG1570" s="127">
        <v>19.439911375837</v>
      </c>
      <c r="AH1570" s="127">
        <v>-90.4423027391538</v>
      </c>
      <c r="AI1570" s="115" t="s">
        <v>12383</v>
      </c>
      <c r="AJ1570" s="116">
        <v>0.5</v>
      </c>
      <c r="AK1570" s="117"/>
      <c r="AL1570" s="117"/>
      <c r="AM1570" s="117"/>
      <c r="AN1570" s="117"/>
      <c r="AO1570" s="117"/>
    </row>
    <row r="1571" ht="34.5" customHeight="1">
      <c r="A1571" s="111">
        <v>2205.0</v>
      </c>
      <c r="B1571" s="111" t="s">
        <v>9574</v>
      </c>
      <c r="C1571" s="111" t="s">
        <v>8600</v>
      </c>
      <c r="D1571" s="111">
        <v>2028.0</v>
      </c>
      <c r="E1571" s="111"/>
      <c r="F1571" s="111" t="s">
        <v>12397</v>
      </c>
      <c r="G1571" s="111" t="s">
        <v>12226</v>
      </c>
      <c r="H1571" s="111"/>
      <c r="I1571" s="111" t="s">
        <v>12394</v>
      </c>
      <c r="J1571" s="111" t="s">
        <v>12295</v>
      </c>
      <c r="K1571" s="111" t="s">
        <v>174</v>
      </c>
      <c r="L1571" s="111"/>
      <c r="M1571" s="111">
        <v>1.0</v>
      </c>
      <c r="N1571" s="111"/>
      <c r="O1571" s="111"/>
      <c r="P1571" s="111"/>
      <c r="Q1571" s="111"/>
      <c r="R1571" s="111"/>
      <c r="S1571" s="111"/>
      <c r="T1571" s="111"/>
      <c r="U1571" s="111"/>
      <c r="V1571" s="111"/>
      <c r="W1571" s="111"/>
      <c r="X1571" s="111"/>
      <c r="Y1571" s="111"/>
      <c r="Z1571" s="111" t="s">
        <v>13098</v>
      </c>
      <c r="AA1571" s="124">
        <v>40.0</v>
      </c>
      <c r="AB1571" s="125">
        <f>IF(Projects!$AI1571="Electrolysis",
AA1571/VLOOKUP(G1571,ElectrolysisConvF,3,FALSE),
AC1571*10^6/(H2dens*HoursInYear))</f>
        <v>7692.307692</v>
      </c>
      <c r="AC1571" s="126">
        <f t="shared" si="303"/>
        <v>5.997230769</v>
      </c>
      <c r="AD1571" s="125"/>
      <c r="AE1571" s="125">
        <f t="shared" si="282"/>
        <v>7692.307692</v>
      </c>
      <c r="AF1571" s="127" t="s">
        <v>14473</v>
      </c>
      <c r="AG1571" s="127">
        <v>19.439911375837</v>
      </c>
      <c r="AH1571" s="127">
        <v>-90.4423027391538</v>
      </c>
      <c r="AI1571" s="115" t="s">
        <v>12383</v>
      </c>
      <c r="AJ1571" s="116">
        <v>0.5</v>
      </c>
      <c r="AK1571" s="117"/>
      <c r="AL1571" s="117"/>
      <c r="AM1571" s="117"/>
      <c r="AN1571" s="117"/>
      <c r="AO1571" s="117"/>
    </row>
    <row r="1572" ht="34.5" customHeight="1">
      <c r="A1572" s="111">
        <v>2206.0</v>
      </c>
      <c r="B1572" s="111" t="s">
        <v>9575</v>
      </c>
      <c r="C1572" s="111" t="s">
        <v>7983</v>
      </c>
      <c r="D1572" s="111">
        <v>2024.0</v>
      </c>
      <c r="E1572" s="111">
        <v>2028.0</v>
      </c>
      <c r="F1572" s="111" t="s">
        <v>12418</v>
      </c>
      <c r="G1572" s="111" t="s">
        <v>12224</v>
      </c>
      <c r="H1572" s="111"/>
      <c r="I1572" s="111" t="s">
        <v>12394</v>
      </c>
      <c r="J1572" s="111" t="s">
        <v>12296</v>
      </c>
      <c r="K1572" s="111" t="s">
        <v>174</v>
      </c>
      <c r="L1572" s="111"/>
      <c r="M1572" s="111">
        <v>1.0</v>
      </c>
      <c r="N1572" s="111"/>
      <c r="O1572" s="111"/>
      <c r="P1572" s="111"/>
      <c r="Q1572" s="111"/>
      <c r="R1572" s="111"/>
      <c r="S1572" s="111"/>
      <c r="T1572" s="111"/>
      <c r="U1572" s="111"/>
      <c r="V1572" s="111"/>
      <c r="W1572" s="111"/>
      <c r="X1572" s="111"/>
      <c r="Y1572" s="111"/>
      <c r="Z1572" s="111" t="s">
        <v>14474</v>
      </c>
      <c r="AA1572" s="126">
        <f>IF(Projects!$AI1572="Electrolysis",
AB1572*VLOOKUP(G1572,ElectrolysisConvF,3,FALSE),
"")</f>
        <v>3.102364541</v>
      </c>
      <c r="AB1572" s="125">
        <f t="shared" ref="AB1572:AB1573" si="304">AC1572/(H2dens*HoursInYear/10^6)</f>
        <v>674.4270742</v>
      </c>
      <c r="AC1572" s="125">
        <f>1.46*3/17/0.98/Projects!$AJ1572</f>
        <v>0.5258103241</v>
      </c>
      <c r="AD1572" s="125"/>
      <c r="AE1572" s="125">
        <f t="shared" si="282"/>
        <v>674.4270742</v>
      </c>
      <c r="AF1572" s="127" t="s">
        <v>14475</v>
      </c>
      <c r="AG1572" s="127">
        <v>37.7514678689435</v>
      </c>
      <c r="AH1572" s="127">
        <v>140.493050925712</v>
      </c>
      <c r="AI1572" s="115" t="s">
        <v>12383</v>
      </c>
      <c r="AJ1572" s="116">
        <v>0.5</v>
      </c>
      <c r="AK1572" s="117"/>
      <c r="AL1572" s="117"/>
      <c r="AM1572" s="117"/>
      <c r="AN1572" s="117"/>
      <c r="AO1572" s="117"/>
    </row>
    <row r="1573" ht="34.5" customHeight="1">
      <c r="A1573" s="111">
        <v>2207.0</v>
      </c>
      <c r="B1573" s="111" t="s">
        <v>9576</v>
      </c>
      <c r="C1573" s="111" t="s">
        <v>8001</v>
      </c>
      <c r="D1573" s="111"/>
      <c r="E1573" s="111"/>
      <c r="F1573" s="111" t="s">
        <v>12397</v>
      </c>
      <c r="G1573" s="111" t="s">
        <v>12381</v>
      </c>
      <c r="H1573" s="111" t="s">
        <v>12230</v>
      </c>
      <c r="I1573" s="111" t="s">
        <v>12394</v>
      </c>
      <c r="J1573" s="111" t="s">
        <v>12295</v>
      </c>
      <c r="K1573" s="111" t="s">
        <v>30</v>
      </c>
      <c r="L1573" s="111"/>
      <c r="M1573" s="111"/>
      <c r="N1573" s="111"/>
      <c r="O1573" s="111"/>
      <c r="P1573" s="111"/>
      <c r="Q1573" s="111"/>
      <c r="R1573" s="111"/>
      <c r="S1573" s="111"/>
      <c r="T1573" s="111"/>
      <c r="U1573" s="111"/>
      <c r="V1573" s="111"/>
      <c r="W1573" s="111"/>
      <c r="X1573" s="111"/>
      <c r="Y1573" s="111"/>
      <c r="Z1573" s="111" t="s">
        <v>14476</v>
      </c>
      <c r="AA1573" s="126">
        <f>IF(Projects!$AI1573="Electrolysis",
AB1573*VLOOKUP(G1573,ElectrolysisConvF,3,FALSE),
"")</f>
        <v>38.09450516</v>
      </c>
      <c r="AB1573" s="125">
        <f t="shared" si="304"/>
        <v>8465.44559</v>
      </c>
      <c r="AC1573" s="125">
        <f>3.3/Projects!$AJ1573</f>
        <v>6.6</v>
      </c>
      <c r="AD1573" s="125"/>
      <c r="AE1573" s="125">
        <f t="shared" si="282"/>
        <v>8465.44559</v>
      </c>
      <c r="AF1573" s="127" t="s">
        <v>14477</v>
      </c>
      <c r="AG1573" s="127">
        <v>40.4654958582226</v>
      </c>
      <c r="AH1573" s="127">
        <v>113.222221614873</v>
      </c>
      <c r="AI1573" s="115" t="s">
        <v>12383</v>
      </c>
      <c r="AJ1573" s="116">
        <v>0.5</v>
      </c>
      <c r="AK1573" s="117"/>
      <c r="AL1573" s="117"/>
      <c r="AM1573" s="117"/>
      <c r="AN1573" s="117"/>
      <c r="AO1573" s="117"/>
    </row>
    <row r="1574" ht="34.5" customHeight="1">
      <c r="A1574" s="111">
        <v>2208.0</v>
      </c>
      <c r="B1574" s="111" t="s">
        <v>9577</v>
      </c>
      <c r="C1574" s="111" t="s">
        <v>7987</v>
      </c>
      <c r="D1574" s="111">
        <v>2024.0</v>
      </c>
      <c r="E1574" s="111"/>
      <c r="F1574" s="111" t="s">
        <v>12393</v>
      </c>
      <c r="G1574" s="111" t="s">
        <v>12224</v>
      </c>
      <c r="H1574" s="111"/>
      <c r="I1574" s="111" t="s">
        <v>12406</v>
      </c>
      <c r="J1574" s="111" t="s">
        <v>12295</v>
      </c>
      <c r="K1574" s="111" t="s">
        <v>30</v>
      </c>
      <c r="L1574" s="111"/>
      <c r="M1574" s="111"/>
      <c r="N1574" s="111"/>
      <c r="O1574" s="111"/>
      <c r="P1574" s="111">
        <v>1.0</v>
      </c>
      <c r="Q1574" s="111">
        <v>1.0</v>
      </c>
      <c r="R1574" s="111"/>
      <c r="S1574" s="111"/>
      <c r="T1574" s="111"/>
      <c r="U1574" s="111"/>
      <c r="V1574" s="111"/>
      <c r="W1574" s="111"/>
      <c r="X1574" s="111"/>
      <c r="Y1574" s="111"/>
      <c r="Z1574" s="111" t="s">
        <v>12703</v>
      </c>
      <c r="AA1574" s="124">
        <v>10.0</v>
      </c>
      <c r="AB1574" s="125">
        <f>IF(Projects!$AI1574="Electrolysis",
AA1574/VLOOKUP(G1574,ElectrolysisConvF,3,FALSE),
AC1574*10^6/(H2dens*HoursInYear))</f>
        <v>2173.913043</v>
      </c>
      <c r="AC1574" s="126">
        <f t="shared" ref="AC1574:AC1576" si="305">AB1574*H2dens*HoursInYear/10^6</f>
        <v>1.694869565</v>
      </c>
      <c r="AD1574" s="125"/>
      <c r="AE1574" s="125">
        <f t="shared" si="282"/>
        <v>2173.913043</v>
      </c>
      <c r="AF1574" s="127" t="s">
        <v>14478</v>
      </c>
      <c r="AG1574" s="127">
        <v>48.7937151071925</v>
      </c>
      <c r="AH1574" s="127">
        <v>9.80461616393821</v>
      </c>
      <c r="AI1574" s="115" t="s">
        <v>12383</v>
      </c>
      <c r="AJ1574" s="116">
        <v>0.57</v>
      </c>
      <c r="AK1574" s="117"/>
      <c r="AL1574" s="117"/>
      <c r="AM1574" s="117"/>
      <c r="AN1574" s="117"/>
      <c r="AO1574" s="117"/>
    </row>
    <row r="1575" ht="34.5" customHeight="1">
      <c r="A1575" s="111">
        <v>2209.0</v>
      </c>
      <c r="B1575" s="111" t="s">
        <v>9578</v>
      </c>
      <c r="C1575" s="111" t="s">
        <v>8047</v>
      </c>
      <c r="D1575" s="111"/>
      <c r="E1575" s="111"/>
      <c r="F1575" s="111" t="s">
        <v>12418</v>
      </c>
      <c r="G1575" s="111" t="s">
        <v>12226</v>
      </c>
      <c r="H1575" s="111"/>
      <c r="I1575" s="111" t="s">
        <v>12394</v>
      </c>
      <c r="J1575" s="111" t="s">
        <v>12296</v>
      </c>
      <c r="K1575" s="111" t="s">
        <v>30</v>
      </c>
      <c r="L1575" s="111"/>
      <c r="M1575" s="111"/>
      <c r="N1575" s="111"/>
      <c r="O1575" s="111"/>
      <c r="P1575" s="111"/>
      <c r="Q1575" s="111"/>
      <c r="R1575" s="111"/>
      <c r="S1575" s="111"/>
      <c r="T1575" s="111"/>
      <c r="U1575" s="111"/>
      <c r="V1575" s="111"/>
      <c r="W1575" s="111"/>
      <c r="X1575" s="111"/>
      <c r="Y1575" s="111"/>
      <c r="Z1575" s="111" t="s">
        <v>12908</v>
      </c>
      <c r="AA1575" s="124">
        <v>1.0</v>
      </c>
      <c r="AB1575" s="125">
        <f>IF(Projects!$AI1575="Electrolysis",
AA1575/VLOOKUP(G1575,ElectrolysisConvF,3,FALSE),
AC1575*10^6/(H2dens*HoursInYear))</f>
        <v>192.3076923</v>
      </c>
      <c r="AC1575" s="126">
        <f t="shared" si="305"/>
        <v>0.1499307692</v>
      </c>
      <c r="AD1575" s="125"/>
      <c r="AE1575" s="125">
        <f t="shared" si="282"/>
        <v>192.3076923</v>
      </c>
      <c r="AF1575" s="127" t="s">
        <v>14479</v>
      </c>
      <c r="AG1575" s="127">
        <v>40.7914594109269</v>
      </c>
      <c r="AH1575" s="127">
        <v>8.27023838834964</v>
      </c>
      <c r="AI1575" s="115" t="s">
        <v>12383</v>
      </c>
      <c r="AJ1575" s="116">
        <v>0.5</v>
      </c>
      <c r="AK1575" s="117"/>
      <c r="AL1575" s="117"/>
      <c r="AM1575" s="117"/>
      <c r="AN1575" s="117"/>
      <c r="AO1575" s="117"/>
    </row>
    <row r="1576" ht="34.5" customHeight="1">
      <c r="A1576" s="111">
        <v>2210.0</v>
      </c>
      <c r="B1576" s="111" t="s">
        <v>9579</v>
      </c>
      <c r="C1576" s="111" t="s">
        <v>8047</v>
      </c>
      <c r="D1576" s="111">
        <v>2030.0</v>
      </c>
      <c r="E1576" s="111"/>
      <c r="F1576" s="111" t="s">
        <v>12399</v>
      </c>
      <c r="G1576" s="111" t="s">
        <v>12381</v>
      </c>
      <c r="H1576" s="111" t="s">
        <v>12230</v>
      </c>
      <c r="I1576" s="111" t="s">
        <v>12394</v>
      </c>
      <c r="J1576" s="111" t="s">
        <v>12295</v>
      </c>
      <c r="K1576" s="111" t="s">
        <v>30</v>
      </c>
      <c r="L1576" s="111"/>
      <c r="M1576" s="111"/>
      <c r="N1576" s="111"/>
      <c r="O1576" s="111"/>
      <c r="P1576" s="111"/>
      <c r="Q1576" s="111"/>
      <c r="R1576" s="111"/>
      <c r="S1576" s="111"/>
      <c r="T1576" s="111"/>
      <c r="U1576" s="111"/>
      <c r="V1576" s="111"/>
      <c r="W1576" s="111"/>
      <c r="X1576" s="111"/>
      <c r="Y1576" s="111"/>
      <c r="Z1576" s="111" t="s">
        <v>12768</v>
      </c>
      <c r="AA1576" s="124">
        <v>50.0</v>
      </c>
      <c r="AB1576" s="125">
        <f>IF(Projects!$AI1576="Electrolysis",
AA1576/VLOOKUP(G1576,ElectrolysisConvF,3,FALSE),
AC1576*10^6/(H2dens*HoursInYear))</f>
        <v>11111.11111</v>
      </c>
      <c r="AC1576" s="126">
        <f t="shared" si="305"/>
        <v>8.662666667</v>
      </c>
      <c r="AD1576" s="125"/>
      <c r="AE1576" s="125">
        <f t="shared" si="282"/>
        <v>11111.11111</v>
      </c>
      <c r="AF1576" s="127" t="s">
        <v>14479</v>
      </c>
      <c r="AG1576" s="127">
        <v>40.7914594109269</v>
      </c>
      <c r="AH1576" s="127">
        <v>8.27023838834964</v>
      </c>
      <c r="AI1576" s="115" t="s">
        <v>12383</v>
      </c>
      <c r="AJ1576" s="116">
        <v>0.5</v>
      </c>
      <c r="AK1576" s="117"/>
      <c r="AL1576" s="117"/>
      <c r="AM1576" s="117"/>
      <c r="AN1576" s="117"/>
      <c r="AO1576" s="117"/>
    </row>
    <row r="1577" ht="34.5" customHeight="1">
      <c r="A1577" s="111">
        <v>2211.0</v>
      </c>
      <c r="B1577" s="111" t="s">
        <v>9580</v>
      </c>
      <c r="C1577" s="111" t="s">
        <v>7974</v>
      </c>
      <c r="D1577" s="111">
        <v>2030.0</v>
      </c>
      <c r="E1577" s="111"/>
      <c r="F1577" s="111" t="s">
        <v>12397</v>
      </c>
      <c r="G1577" s="111" t="s">
        <v>12381</v>
      </c>
      <c r="H1577" s="111" t="s">
        <v>12230</v>
      </c>
      <c r="I1577" s="111" t="s">
        <v>12394</v>
      </c>
      <c r="J1577" s="111" t="s">
        <v>12293</v>
      </c>
      <c r="K1577" s="111" t="s">
        <v>30</v>
      </c>
      <c r="L1577" s="111"/>
      <c r="M1577" s="111"/>
      <c r="N1577" s="111"/>
      <c r="O1577" s="111"/>
      <c r="P1577" s="111"/>
      <c r="Q1577" s="111"/>
      <c r="R1577" s="111"/>
      <c r="S1577" s="111"/>
      <c r="T1577" s="111"/>
      <c r="U1577" s="111"/>
      <c r="V1577" s="111"/>
      <c r="W1577" s="111"/>
      <c r="X1577" s="111"/>
      <c r="Y1577" s="111"/>
      <c r="Z1577" s="111" t="s">
        <v>14480</v>
      </c>
      <c r="AA1577" s="126">
        <f>IF(Projects!$AI1577="Electrolysis",
AB1577*VLOOKUP(G1577,ElectrolysisConvF,3,FALSE),
"")</f>
        <v>2361.229658</v>
      </c>
      <c r="AB1577" s="125">
        <f>AC1577/(H2dens*HoursInYear/10^6)</f>
        <v>524717.7019</v>
      </c>
      <c r="AC1577" s="125">
        <f>225/Projects!$AJ1577</f>
        <v>409.0909091</v>
      </c>
      <c r="AD1577" s="125"/>
      <c r="AE1577" s="125">
        <f t="shared" si="282"/>
        <v>524717.7019</v>
      </c>
      <c r="AF1577" s="127" t="s">
        <v>14481</v>
      </c>
      <c r="AG1577" s="127">
        <v>55.7083499915144</v>
      </c>
      <c r="AH1577" s="127">
        <v>16.043518293038</v>
      </c>
      <c r="AI1577" s="115" t="s">
        <v>12383</v>
      </c>
      <c r="AJ1577" s="116">
        <v>0.55</v>
      </c>
      <c r="AK1577" s="117"/>
      <c r="AL1577" s="117"/>
      <c r="AM1577" s="117"/>
      <c r="AN1577" s="117"/>
      <c r="AO1577" s="117"/>
    </row>
    <row r="1578" ht="34.5" customHeight="1">
      <c r="A1578" s="111">
        <v>2212.0</v>
      </c>
      <c r="B1578" s="111" t="s">
        <v>9581</v>
      </c>
      <c r="C1578" s="111" t="s">
        <v>7977</v>
      </c>
      <c r="D1578" s="111">
        <v>2026.0</v>
      </c>
      <c r="E1578" s="111"/>
      <c r="F1578" s="111" t="s">
        <v>12399</v>
      </c>
      <c r="G1578" s="111" t="s">
        <v>12239</v>
      </c>
      <c r="H1578" s="111" t="s">
        <v>13334</v>
      </c>
      <c r="I1578" s="111"/>
      <c r="J1578" s="111"/>
      <c r="K1578" s="111" t="s">
        <v>12415</v>
      </c>
      <c r="L1578" s="111"/>
      <c r="M1578" s="111"/>
      <c r="N1578" s="111">
        <v>1.0</v>
      </c>
      <c r="O1578" s="111"/>
      <c r="P1578" s="111"/>
      <c r="Q1578" s="111"/>
      <c r="R1578" s="111"/>
      <c r="S1578" s="111"/>
      <c r="T1578" s="111"/>
      <c r="U1578" s="111"/>
      <c r="V1578" s="111"/>
      <c r="W1578" s="111"/>
      <c r="X1578" s="111"/>
      <c r="Y1578" s="111"/>
      <c r="Z1578" s="111" t="s">
        <v>14482</v>
      </c>
      <c r="AA1578" s="124"/>
      <c r="AB1578" s="125">
        <f>AC1578/(0.089*24*365/10^6)</f>
        <v>10797.7605</v>
      </c>
      <c r="AC1578" s="125">
        <f>66*0.127551</f>
        <v>8.418366</v>
      </c>
      <c r="AD1578" s="125"/>
      <c r="AE1578" s="125">
        <f t="shared" si="282"/>
        <v>10797.7605</v>
      </c>
      <c r="AF1578" s="127" t="s">
        <v>14483</v>
      </c>
      <c r="AG1578" s="127">
        <v>41.6833008554961</v>
      </c>
      <c r="AH1578" s="127">
        <v>-0.922446717097776</v>
      </c>
      <c r="AI1578" s="115" t="s">
        <v>12241</v>
      </c>
      <c r="AJ1578" s="116">
        <v>0.9</v>
      </c>
      <c r="AK1578" s="117"/>
      <c r="AL1578" s="117"/>
      <c r="AM1578" s="117"/>
      <c r="AN1578" s="117"/>
      <c r="AO1578" s="117"/>
    </row>
    <row r="1579" ht="34.5" customHeight="1">
      <c r="A1579" s="111">
        <v>2213.0</v>
      </c>
      <c r="B1579" s="111" t="s">
        <v>9582</v>
      </c>
      <c r="C1579" s="111" t="s">
        <v>7977</v>
      </c>
      <c r="D1579" s="111">
        <v>2028.0</v>
      </c>
      <c r="E1579" s="111"/>
      <c r="F1579" s="111" t="s">
        <v>12397</v>
      </c>
      <c r="G1579" s="111" t="s">
        <v>12381</v>
      </c>
      <c r="H1579" s="111" t="s">
        <v>12230</v>
      </c>
      <c r="I1579" s="111" t="s">
        <v>12394</v>
      </c>
      <c r="J1579" s="111" t="s">
        <v>12296</v>
      </c>
      <c r="K1579" s="111" t="s">
        <v>12415</v>
      </c>
      <c r="L1579" s="111"/>
      <c r="M1579" s="111"/>
      <c r="N1579" s="111">
        <v>1.0</v>
      </c>
      <c r="O1579" s="111"/>
      <c r="P1579" s="111"/>
      <c r="Q1579" s="111"/>
      <c r="R1579" s="111"/>
      <c r="S1579" s="111"/>
      <c r="T1579" s="111"/>
      <c r="U1579" s="111"/>
      <c r="V1579" s="111"/>
      <c r="W1579" s="111"/>
      <c r="X1579" s="111"/>
      <c r="Y1579" s="111"/>
      <c r="Z1579" s="111" t="s">
        <v>14484</v>
      </c>
      <c r="AA1579" s="126">
        <f>IF(Projects!$AI1579="Electrolysis",
AB1579*VLOOKUP(G1579,ElectrolysisConvF,3,FALSE),
"")</f>
        <v>154.6047022</v>
      </c>
      <c r="AB1579" s="125">
        <f>AC1579/(H2dens*HoursInYear/10^6)</f>
        <v>34356.60048</v>
      </c>
      <c r="AC1579" s="125">
        <f>70*0.191327/Projects!$AJ1579</f>
        <v>26.78578</v>
      </c>
      <c r="AD1579" s="125"/>
      <c r="AE1579" s="125">
        <f t="shared" si="282"/>
        <v>34356.60048</v>
      </c>
      <c r="AF1579" s="127" t="s">
        <v>14483</v>
      </c>
      <c r="AG1579" s="127">
        <v>41.6833008554961</v>
      </c>
      <c r="AH1579" s="127">
        <v>0.0</v>
      </c>
      <c r="AI1579" s="115" t="s">
        <v>12383</v>
      </c>
      <c r="AJ1579" s="116">
        <v>0.5</v>
      </c>
      <c r="AK1579" s="117"/>
      <c r="AL1579" s="117"/>
      <c r="AM1579" s="117"/>
      <c r="AN1579" s="117"/>
      <c r="AO1579" s="117"/>
    </row>
    <row r="1580" ht="34.5" customHeight="1">
      <c r="A1580" s="111">
        <v>2214.0</v>
      </c>
      <c r="B1580" s="111" t="s">
        <v>9583</v>
      </c>
      <c r="C1580" s="111" t="s">
        <v>7977</v>
      </c>
      <c r="D1580" s="111">
        <v>2026.0</v>
      </c>
      <c r="E1580" s="111"/>
      <c r="F1580" s="111" t="s">
        <v>12399</v>
      </c>
      <c r="G1580" s="111" t="s">
        <v>12381</v>
      </c>
      <c r="H1580" s="111" t="s">
        <v>12230</v>
      </c>
      <c r="I1580" s="111" t="s">
        <v>12394</v>
      </c>
      <c r="J1580" s="111" t="s">
        <v>12295</v>
      </c>
      <c r="K1580" s="111" t="s">
        <v>30</v>
      </c>
      <c r="L1580" s="111"/>
      <c r="M1580" s="111"/>
      <c r="N1580" s="111"/>
      <c r="O1580" s="111"/>
      <c r="P1580" s="111"/>
      <c r="Q1580" s="111"/>
      <c r="R1580" s="111"/>
      <c r="S1580" s="111"/>
      <c r="T1580" s="111"/>
      <c r="U1580" s="111"/>
      <c r="V1580" s="111"/>
      <c r="W1580" s="111"/>
      <c r="X1580" s="111"/>
      <c r="Y1580" s="111"/>
      <c r="Z1580" s="111" t="s">
        <v>14485</v>
      </c>
      <c r="AA1580" s="124">
        <v>125.0</v>
      </c>
      <c r="AB1580" s="125">
        <f>IF(Projects!$AI1580="Electrolysis",
AA1580/VLOOKUP(G1580,ElectrolysisConvF,3,FALSE),
AC1580*10^6/(H2dens*HoursInYear))</f>
        <v>27777.77778</v>
      </c>
      <c r="AC1580" s="126">
        <f t="shared" ref="AC1580:AC1581" si="306">AB1580*H2dens*HoursInYear/10^6</f>
        <v>21.65666667</v>
      </c>
      <c r="AD1580" s="125"/>
      <c r="AE1580" s="125">
        <f t="shared" si="282"/>
        <v>27777.77778</v>
      </c>
      <c r="AF1580" s="127" t="s">
        <v>14486</v>
      </c>
      <c r="AG1580" s="127">
        <v>36.1851402237509</v>
      </c>
      <c r="AH1580" s="127">
        <v>-5.49260916811512</v>
      </c>
      <c r="AI1580" s="115" t="s">
        <v>12383</v>
      </c>
      <c r="AJ1580" s="116">
        <v>0.5</v>
      </c>
      <c r="AK1580" s="117"/>
      <c r="AL1580" s="117"/>
      <c r="AM1580" s="117"/>
      <c r="AN1580" s="117"/>
      <c r="AO1580" s="117"/>
    </row>
    <row r="1581" ht="34.5" customHeight="1">
      <c r="A1581" s="111">
        <v>2215.0</v>
      </c>
      <c r="B1581" s="111" t="s">
        <v>9584</v>
      </c>
      <c r="C1581" s="111" t="s">
        <v>7977</v>
      </c>
      <c r="D1581" s="111">
        <v>2030.0</v>
      </c>
      <c r="E1581" s="111"/>
      <c r="F1581" s="111" t="s">
        <v>12397</v>
      </c>
      <c r="G1581" s="111" t="s">
        <v>12381</v>
      </c>
      <c r="H1581" s="111" t="s">
        <v>12230</v>
      </c>
      <c r="I1581" s="111" t="s">
        <v>12394</v>
      </c>
      <c r="J1581" s="111" t="s">
        <v>12295</v>
      </c>
      <c r="K1581" s="111" t="s">
        <v>30</v>
      </c>
      <c r="L1581" s="111"/>
      <c r="M1581" s="111"/>
      <c r="N1581" s="111"/>
      <c r="O1581" s="111"/>
      <c r="P1581" s="111"/>
      <c r="Q1581" s="111"/>
      <c r="R1581" s="111"/>
      <c r="S1581" s="111"/>
      <c r="T1581" s="111"/>
      <c r="U1581" s="111"/>
      <c r="V1581" s="111"/>
      <c r="W1581" s="111"/>
      <c r="X1581" s="111"/>
      <c r="Y1581" s="111"/>
      <c r="Z1581" s="111" t="s">
        <v>13675</v>
      </c>
      <c r="AA1581" s="124">
        <v>400.0</v>
      </c>
      <c r="AB1581" s="125">
        <f>IF(Projects!$AI1581="Electrolysis",
AA1581/VLOOKUP(G1581,ElectrolysisConvF,3,FALSE),
AC1581*10^6/(H2dens*HoursInYear))</f>
        <v>88888.88889</v>
      </c>
      <c r="AC1581" s="126">
        <f t="shared" si="306"/>
        <v>69.30133333</v>
      </c>
      <c r="AD1581" s="125"/>
      <c r="AE1581" s="125">
        <f t="shared" si="282"/>
        <v>88888.88889</v>
      </c>
      <c r="AF1581" s="127" t="s">
        <v>14486</v>
      </c>
      <c r="AG1581" s="127">
        <v>36.1851402237509</v>
      </c>
      <c r="AH1581" s="127">
        <v>-5.49260916811512</v>
      </c>
      <c r="AI1581" s="115" t="s">
        <v>12383</v>
      </c>
      <c r="AJ1581" s="116">
        <v>0.5</v>
      </c>
      <c r="AK1581" s="117"/>
      <c r="AL1581" s="117"/>
      <c r="AM1581" s="117"/>
      <c r="AN1581" s="117"/>
      <c r="AO1581" s="117"/>
    </row>
    <row r="1582" ht="34.5" customHeight="1">
      <c r="A1582" s="111">
        <v>2216.0</v>
      </c>
      <c r="B1582" s="111" t="s">
        <v>9585</v>
      </c>
      <c r="C1582" s="111" t="s">
        <v>8702</v>
      </c>
      <c r="D1582" s="111"/>
      <c r="E1582" s="111"/>
      <c r="F1582" s="111" t="s">
        <v>12399</v>
      </c>
      <c r="G1582" s="111" t="s">
        <v>12239</v>
      </c>
      <c r="H1582" s="111" t="s">
        <v>13334</v>
      </c>
      <c r="I1582" s="111"/>
      <c r="J1582" s="111"/>
      <c r="K1582" s="111" t="s">
        <v>30</v>
      </c>
      <c r="L1582" s="111"/>
      <c r="M1582" s="111"/>
      <c r="N1582" s="111"/>
      <c r="O1582" s="111"/>
      <c r="P1582" s="111"/>
      <c r="Q1582" s="111"/>
      <c r="R1582" s="111"/>
      <c r="S1582" s="111"/>
      <c r="T1582" s="111"/>
      <c r="U1582" s="111"/>
      <c r="V1582" s="111"/>
      <c r="W1582" s="111"/>
      <c r="X1582" s="111"/>
      <c r="Y1582" s="111"/>
      <c r="Z1582" s="111"/>
      <c r="AA1582" s="124" t="str">
        <f>IF(OR(G1582="ALK",G1582="PEM",G1582="SOEC",G1582="Other Electrolysis"),
AB1582*VLOOKUP(G1582,ElectrolysisConvF,3,FALSE),
"")</f>
        <v/>
      </c>
      <c r="AB1582" s="125"/>
      <c r="AC1582" s="125"/>
      <c r="AD1582" s="125"/>
      <c r="AE1582" s="125" t="str">
        <f t="shared" si="282"/>
        <v/>
      </c>
      <c r="AF1582" s="127" t="s">
        <v>14487</v>
      </c>
      <c r="AG1582" s="127">
        <v>53.699652055567</v>
      </c>
      <c r="AH1582" s="127">
        <v>-7.72837916063634</v>
      </c>
      <c r="AI1582" s="115" t="s">
        <v>12241</v>
      </c>
      <c r="AJ1582" s="116">
        <v>0.9</v>
      </c>
      <c r="AK1582" s="117"/>
      <c r="AL1582" s="117"/>
      <c r="AM1582" s="117"/>
      <c r="AN1582" s="117"/>
      <c r="AO1582" s="117"/>
    </row>
    <row r="1583" ht="34.5" customHeight="1">
      <c r="A1583" s="111">
        <v>2217.0</v>
      </c>
      <c r="B1583" s="111" t="s">
        <v>9586</v>
      </c>
      <c r="C1583" s="111" t="s">
        <v>8003</v>
      </c>
      <c r="D1583" s="111">
        <v>2027.0</v>
      </c>
      <c r="E1583" s="111"/>
      <c r="F1583" s="111" t="s">
        <v>12399</v>
      </c>
      <c r="G1583" s="111" t="s">
        <v>12381</v>
      </c>
      <c r="H1583" s="111" t="s">
        <v>12230</v>
      </c>
      <c r="I1583" s="111" t="s">
        <v>12394</v>
      </c>
      <c r="J1583" s="111" t="s">
        <v>12292</v>
      </c>
      <c r="K1583" s="111" t="s">
        <v>30</v>
      </c>
      <c r="L1583" s="111">
        <v>1.0</v>
      </c>
      <c r="M1583" s="111"/>
      <c r="N1583" s="111"/>
      <c r="O1583" s="111"/>
      <c r="P1583" s="111"/>
      <c r="Q1583" s="111"/>
      <c r="R1583" s="111"/>
      <c r="S1583" s="111"/>
      <c r="T1583" s="111"/>
      <c r="U1583" s="111"/>
      <c r="V1583" s="111"/>
      <c r="W1583" s="111">
        <v>1.0</v>
      </c>
      <c r="X1583" s="111"/>
      <c r="Y1583" s="111"/>
      <c r="Z1583" s="111" t="s">
        <v>14488</v>
      </c>
      <c r="AA1583" s="126">
        <f>IF(Projects!$AI1583="Electrolysis",
AB1583*VLOOKUP(G1583,ElectrolysisConvF,3,FALSE),
"")</f>
        <v>505.0407881</v>
      </c>
      <c r="AB1583" s="125">
        <f>AC1583/(H2dens*HoursInYear/10^6)</f>
        <v>112231.2862</v>
      </c>
      <c r="AC1583" s="125">
        <f>35/Projects!$AJ1583</f>
        <v>87.5</v>
      </c>
      <c r="AD1583" s="125"/>
      <c r="AE1583" s="125">
        <f t="shared" si="282"/>
        <v>112231.2862</v>
      </c>
      <c r="AF1583" s="127" t="s">
        <v>14489</v>
      </c>
      <c r="AG1583" s="127">
        <v>47.8120850515615</v>
      </c>
      <c r="AH1583" s="127">
        <v>-53.9119847557629</v>
      </c>
      <c r="AI1583" s="115" t="s">
        <v>12383</v>
      </c>
      <c r="AJ1583" s="116">
        <v>0.4</v>
      </c>
      <c r="AK1583" s="117"/>
      <c r="AL1583" s="117"/>
      <c r="AM1583" s="117"/>
      <c r="AN1583" s="117"/>
      <c r="AO1583" s="117"/>
    </row>
    <row r="1584" ht="34.5" customHeight="1">
      <c r="A1584" s="111">
        <v>2218.0</v>
      </c>
      <c r="B1584" s="111" t="s">
        <v>9587</v>
      </c>
      <c r="C1584" s="111" t="s">
        <v>7971</v>
      </c>
      <c r="D1584" s="111">
        <v>2027.0</v>
      </c>
      <c r="E1584" s="111"/>
      <c r="F1584" s="111" t="s">
        <v>12399</v>
      </c>
      <c r="G1584" s="111" t="s">
        <v>12226</v>
      </c>
      <c r="H1584" s="111"/>
      <c r="I1584" s="111" t="s">
        <v>12406</v>
      </c>
      <c r="J1584" s="111"/>
      <c r="K1584" s="111" t="s">
        <v>174</v>
      </c>
      <c r="L1584" s="111"/>
      <c r="M1584" s="111">
        <v>1.0</v>
      </c>
      <c r="N1584" s="111"/>
      <c r="O1584" s="111"/>
      <c r="P1584" s="111"/>
      <c r="Q1584" s="111"/>
      <c r="R1584" s="111"/>
      <c r="S1584" s="111"/>
      <c r="T1584" s="111"/>
      <c r="U1584" s="111"/>
      <c r="V1584" s="111"/>
      <c r="W1584" s="111"/>
      <c r="X1584" s="111"/>
      <c r="Y1584" s="111"/>
      <c r="Z1584" s="111" t="s">
        <v>12991</v>
      </c>
      <c r="AA1584" s="124">
        <v>300.0</v>
      </c>
      <c r="AB1584" s="125">
        <f>IF(Projects!$AI1584="Electrolysis",
AA1584/VLOOKUP(G1584,ElectrolysisConvF,3,FALSE),
AC1584*10^6/(H2dens*HoursInYear))</f>
        <v>57692.30769</v>
      </c>
      <c r="AC1584" s="126">
        <f>AB1584*H2dens*HoursInYear/10^6</f>
        <v>44.97923077</v>
      </c>
      <c r="AD1584" s="125"/>
      <c r="AE1584" s="125">
        <f t="shared" si="282"/>
        <v>57692.30769</v>
      </c>
      <c r="AF1584" s="127" t="s">
        <v>14490</v>
      </c>
      <c r="AG1584" s="127">
        <v>61.7685791880478</v>
      </c>
      <c r="AH1584" s="127">
        <v>5.29727894668468</v>
      </c>
      <c r="AI1584" s="115" t="s">
        <v>12383</v>
      </c>
      <c r="AJ1584" s="116">
        <v>0.57</v>
      </c>
      <c r="AK1584" s="117"/>
      <c r="AL1584" s="117"/>
      <c r="AM1584" s="117"/>
      <c r="AN1584" s="117"/>
      <c r="AO1584" s="117"/>
    </row>
    <row r="1585" ht="34.5" customHeight="1">
      <c r="A1585" s="111">
        <v>2219.0</v>
      </c>
      <c r="B1585" s="111" t="s">
        <v>9588</v>
      </c>
      <c r="C1585" s="111" t="s">
        <v>7967</v>
      </c>
      <c r="D1585" s="111">
        <v>2028.0</v>
      </c>
      <c r="E1585" s="111"/>
      <c r="F1585" s="111" t="s">
        <v>12399</v>
      </c>
      <c r="G1585" s="111" t="s">
        <v>12235</v>
      </c>
      <c r="H1585" s="111" t="s">
        <v>12529</v>
      </c>
      <c r="I1585" s="111"/>
      <c r="J1585" s="111"/>
      <c r="K1585" s="111" t="s">
        <v>30</v>
      </c>
      <c r="L1585" s="111"/>
      <c r="M1585" s="111"/>
      <c r="N1585" s="111"/>
      <c r="O1585" s="111"/>
      <c r="P1585" s="111"/>
      <c r="Q1585" s="111"/>
      <c r="R1585" s="111"/>
      <c r="S1585" s="111"/>
      <c r="T1585" s="111"/>
      <c r="U1585" s="111"/>
      <c r="V1585" s="111"/>
      <c r="W1585" s="111"/>
      <c r="X1585" s="111"/>
      <c r="Y1585" s="111"/>
      <c r="Z1585" s="111" t="s">
        <v>14491</v>
      </c>
      <c r="AA1585" s="124"/>
      <c r="AB1585" s="125">
        <f>AC1585/(0.089*24*365/10^6)</f>
        <v>384792.9814</v>
      </c>
      <c r="AC1585" s="125">
        <v>300.0</v>
      </c>
      <c r="AD1585" s="125"/>
      <c r="AE1585" s="125">
        <f t="shared" si="282"/>
        <v>0</v>
      </c>
      <c r="AF1585" s="127" t="s">
        <v>14492</v>
      </c>
      <c r="AG1585" s="127">
        <v>51.958861608754</v>
      </c>
      <c r="AH1585" s="127">
        <v>4.05634190554556</v>
      </c>
      <c r="AI1585" s="115" t="s">
        <v>12378</v>
      </c>
      <c r="AJ1585" s="116">
        <v>0.9</v>
      </c>
      <c r="AK1585" s="117"/>
      <c r="AL1585" s="117"/>
      <c r="AM1585" s="117"/>
      <c r="AN1585" s="117"/>
      <c r="AO1585" s="117"/>
    </row>
    <row r="1586" ht="34.5" customHeight="1">
      <c r="A1586" s="111">
        <v>2220.0</v>
      </c>
      <c r="B1586" s="111" t="s">
        <v>9589</v>
      </c>
      <c r="C1586" s="111" t="s">
        <v>8737</v>
      </c>
      <c r="D1586" s="111"/>
      <c r="E1586" s="111"/>
      <c r="F1586" s="111" t="s">
        <v>12399</v>
      </c>
      <c r="G1586" s="111" t="s">
        <v>12381</v>
      </c>
      <c r="H1586" s="111" t="s">
        <v>12230</v>
      </c>
      <c r="I1586" s="111" t="s">
        <v>12394</v>
      </c>
      <c r="J1586" s="111" t="s">
        <v>12296</v>
      </c>
      <c r="K1586" s="111" t="s">
        <v>30</v>
      </c>
      <c r="L1586" s="111"/>
      <c r="M1586" s="111"/>
      <c r="N1586" s="111">
        <v>1.0</v>
      </c>
      <c r="O1586" s="111"/>
      <c r="P1586" s="111"/>
      <c r="Q1586" s="111"/>
      <c r="R1586" s="111"/>
      <c r="S1586" s="111"/>
      <c r="T1586" s="111"/>
      <c r="U1586" s="111"/>
      <c r="V1586" s="111">
        <v>1.0</v>
      </c>
      <c r="W1586" s="111"/>
      <c r="X1586" s="111"/>
      <c r="Y1586" s="111"/>
      <c r="Z1586" s="111" t="s">
        <v>14493</v>
      </c>
      <c r="AA1586" s="126">
        <f>IF(Projects!$AI1586="Electrolysis",
AB1586*VLOOKUP(G1586,ElectrolysisConvF,3,FALSE),
"")</f>
        <v>207.7882099</v>
      </c>
      <c r="AB1586" s="125">
        <f t="shared" ref="AB1586:AB1588" si="307">AC1586/(H2dens*HoursInYear/10^6)</f>
        <v>46175.15777</v>
      </c>
      <c r="AC1586" s="125">
        <f>18/Projects!$AJ1586</f>
        <v>36</v>
      </c>
      <c r="AD1586" s="125"/>
      <c r="AE1586" s="125">
        <f t="shared" si="282"/>
        <v>46175.15777</v>
      </c>
      <c r="AF1586" s="127" t="s">
        <v>14494</v>
      </c>
      <c r="AG1586" s="127">
        <v>10.1559214055513</v>
      </c>
      <c r="AH1586" s="127">
        <v>-73.9874436411484</v>
      </c>
      <c r="AI1586" s="115" t="s">
        <v>12383</v>
      </c>
      <c r="AJ1586" s="116">
        <v>0.5</v>
      </c>
      <c r="AK1586" s="117"/>
      <c r="AL1586" s="117"/>
      <c r="AM1586" s="117"/>
      <c r="AN1586" s="117"/>
      <c r="AO1586" s="117"/>
    </row>
    <row r="1587" ht="34.5" customHeight="1">
      <c r="A1587" s="111">
        <v>2221.0</v>
      </c>
      <c r="B1587" s="111" t="s">
        <v>9590</v>
      </c>
      <c r="C1587" s="111" t="s">
        <v>7983</v>
      </c>
      <c r="D1587" s="111">
        <v>2030.0</v>
      </c>
      <c r="E1587" s="111"/>
      <c r="F1587" s="111" t="s">
        <v>12397</v>
      </c>
      <c r="G1587" s="111" t="s">
        <v>12241</v>
      </c>
      <c r="H1587" s="111" t="s">
        <v>13021</v>
      </c>
      <c r="I1587" s="111"/>
      <c r="J1587" s="111"/>
      <c r="K1587" s="111" t="s">
        <v>30</v>
      </c>
      <c r="L1587" s="111"/>
      <c r="M1587" s="111"/>
      <c r="N1587" s="111"/>
      <c r="O1587" s="111"/>
      <c r="P1587" s="111">
        <v>1.0</v>
      </c>
      <c r="Q1587" s="111">
        <v>1.0</v>
      </c>
      <c r="R1587" s="111">
        <v>1.0</v>
      </c>
      <c r="S1587" s="111"/>
      <c r="T1587" s="111"/>
      <c r="U1587" s="111"/>
      <c r="V1587" s="111"/>
      <c r="W1587" s="111"/>
      <c r="X1587" s="111"/>
      <c r="Y1587" s="111"/>
      <c r="Z1587" s="111" t="s">
        <v>14495</v>
      </c>
      <c r="AA1587" s="124"/>
      <c r="AB1587" s="125">
        <f t="shared" si="307"/>
        <v>8016.520445</v>
      </c>
      <c r="AC1587" s="125">
        <f>6.25</f>
        <v>6.25</v>
      </c>
      <c r="AD1587" s="125"/>
      <c r="AE1587" s="125">
        <f t="shared" si="282"/>
        <v>8016.520445</v>
      </c>
      <c r="AF1587" s="127" t="s">
        <v>14496</v>
      </c>
      <c r="AG1587" s="127">
        <v>35.3663187648692</v>
      </c>
      <c r="AH1587" s="127">
        <v>136.859727407587</v>
      </c>
      <c r="AI1587" s="115" t="s">
        <v>12241</v>
      </c>
      <c r="AJ1587" s="116">
        <v>0.9</v>
      </c>
      <c r="AK1587" s="117"/>
      <c r="AL1587" s="117"/>
      <c r="AM1587" s="117"/>
      <c r="AN1587" s="117"/>
      <c r="AO1587" s="117"/>
    </row>
    <row r="1588" ht="34.5" customHeight="1">
      <c r="A1588" s="111">
        <v>2222.0</v>
      </c>
      <c r="B1588" s="111" t="s">
        <v>9591</v>
      </c>
      <c r="C1588" s="111" t="s">
        <v>7983</v>
      </c>
      <c r="D1588" s="111"/>
      <c r="E1588" s="111"/>
      <c r="F1588" s="111" t="s">
        <v>12397</v>
      </c>
      <c r="G1588" s="111" t="s">
        <v>12241</v>
      </c>
      <c r="H1588" s="111" t="s">
        <v>13021</v>
      </c>
      <c r="I1588" s="111"/>
      <c r="J1588" s="111"/>
      <c r="K1588" s="111" t="s">
        <v>30</v>
      </c>
      <c r="L1588" s="111"/>
      <c r="M1588" s="111"/>
      <c r="N1588" s="111"/>
      <c r="O1588" s="111"/>
      <c r="P1588" s="111">
        <v>1.0</v>
      </c>
      <c r="Q1588" s="111">
        <v>1.0</v>
      </c>
      <c r="R1588" s="111">
        <v>1.0</v>
      </c>
      <c r="S1588" s="111"/>
      <c r="T1588" s="111"/>
      <c r="U1588" s="111"/>
      <c r="V1588" s="111"/>
      <c r="W1588" s="111"/>
      <c r="X1588" s="111"/>
      <c r="Y1588" s="111"/>
      <c r="Z1588" s="111" t="s">
        <v>14497</v>
      </c>
      <c r="AA1588" s="124"/>
      <c r="AB1588" s="125">
        <f t="shared" si="307"/>
        <v>96198.24534</v>
      </c>
      <c r="AC1588" s="125">
        <v>75.0</v>
      </c>
      <c r="AD1588" s="125"/>
      <c r="AE1588" s="125">
        <f t="shared" si="282"/>
        <v>96198.24534</v>
      </c>
      <c r="AF1588" s="127" t="s">
        <v>14496</v>
      </c>
      <c r="AG1588" s="127">
        <v>35.3663187648692</v>
      </c>
      <c r="AH1588" s="127">
        <v>136.859727407587</v>
      </c>
      <c r="AI1588" s="115" t="s">
        <v>12241</v>
      </c>
      <c r="AJ1588" s="116">
        <v>0.9</v>
      </c>
      <c r="AK1588" s="117"/>
      <c r="AL1588" s="117"/>
      <c r="AM1588" s="117"/>
      <c r="AN1588" s="117"/>
      <c r="AO1588" s="117"/>
    </row>
    <row r="1589" ht="34.5" customHeight="1">
      <c r="A1589" s="111">
        <v>2223.0</v>
      </c>
      <c r="B1589" s="111" t="s">
        <v>9592</v>
      </c>
      <c r="C1589" s="111" t="s">
        <v>7981</v>
      </c>
      <c r="D1589" s="111">
        <v>2028.0</v>
      </c>
      <c r="E1589" s="111"/>
      <c r="F1589" s="111" t="s">
        <v>12397</v>
      </c>
      <c r="G1589" s="111" t="s">
        <v>12235</v>
      </c>
      <c r="H1589" s="111" t="s">
        <v>12529</v>
      </c>
      <c r="I1589" s="111" t="str">
        <f>IF(AND(G1589&lt;&gt;"ALK",G1589&lt;&gt;"PEM",G1589&lt;&gt;"SOEC",G1589&lt;&gt;"Other electrolysis"),"N/A","")</f>
        <v>N/A</v>
      </c>
      <c r="J1589" s="111" t="str">
        <f>IF(I1589&lt;&gt;"Dedicated renewable","N/A",)</f>
        <v>N/A</v>
      </c>
      <c r="K1589" s="111" t="s">
        <v>174</v>
      </c>
      <c r="L1589" s="111"/>
      <c r="M1589" s="111"/>
      <c r="N1589" s="111"/>
      <c r="O1589" s="111"/>
      <c r="P1589" s="111"/>
      <c r="Q1589" s="111"/>
      <c r="R1589" s="111"/>
      <c r="S1589" s="111"/>
      <c r="T1589" s="111"/>
      <c r="U1589" s="111"/>
      <c r="V1589" s="111"/>
      <c r="W1589" s="111"/>
      <c r="X1589" s="111"/>
      <c r="Y1589" s="111"/>
      <c r="Z1589" s="111" t="s">
        <v>14498</v>
      </c>
      <c r="AA1589" s="124"/>
      <c r="AB1589" s="125">
        <f>IF(Projects!$AI1589="Electrolysis",
AA1589/VLOOKUP(G1589,ElectrolysisConvF,3,FALSE),
AC1589*10^6/(H2dens*HoursInYear))</f>
        <v>505820.3057</v>
      </c>
      <c r="AC1589" s="125">
        <f>6*365*3/17/0.98</f>
        <v>394.3577431</v>
      </c>
      <c r="AD1589" s="125">
        <v>3600000.0</v>
      </c>
      <c r="AE1589" s="125">
        <f t="shared" si="282"/>
        <v>451355.194</v>
      </c>
      <c r="AF1589" s="127" t="s">
        <v>14499</v>
      </c>
      <c r="AG1589" s="127">
        <v>37.7566750562146</v>
      </c>
      <c r="AH1589" s="127">
        <v>-82.1670745067602</v>
      </c>
      <c r="AI1589" s="115" t="s">
        <v>12378</v>
      </c>
      <c r="AJ1589" s="116">
        <v>0.9</v>
      </c>
      <c r="AK1589" s="117"/>
      <c r="AL1589" s="117"/>
      <c r="AM1589" s="117"/>
      <c r="AN1589" s="117"/>
      <c r="AO1589" s="117"/>
    </row>
    <row r="1590" ht="34.5" customHeight="1">
      <c r="A1590" s="111">
        <v>2224.0</v>
      </c>
      <c r="B1590" s="111" t="s">
        <v>9593</v>
      </c>
      <c r="C1590" s="111" t="s">
        <v>8713</v>
      </c>
      <c r="D1590" s="111">
        <v>2027.0</v>
      </c>
      <c r="E1590" s="111"/>
      <c r="F1590" s="111" t="s">
        <v>12397</v>
      </c>
      <c r="G1590" s="111" t="s">
        <v>12381</v>
      </c>
      <c r="H1590" s="111" t="s">
        <v>12230</v>
      </c>
      <c r="I1590" s="111" t="s">
        <v>12394</v>
      </c>
      <c r="J1590" s="111" t="s">
        <v>12296</v>
      </c>
      <c r="K1590" s="111" t="s">
        <v>174</v>
      </c>
      <c r="L1590" s="111"/>
      <c r="M1590" s="111">
        <v>1.0</v>
      </c>
      <c r="N1590" s="111"/>
      <c r="O1590" s="111"/>
      <c r="P1590" s="111"/>
      <c r="Q1590" s="111"/>
      <c r="R1590" s="111"/>
      <c r="S1590" s="111"/>
      <c r="T1590" s="111"/>
      <c r="U1590" s="111"/>
      <c r="V1590" s="111"/>
      <c r="W1590" s="111"/>
      <c r="X1590" s="111"/>
      <c r="Y1590" s="111"/>
      <c r="Z1590" s="111" t="s">
        <v>14500</v>
      </c>
      <c r="AA1590" s="126">
        <f>IF(Projects!$AI1590="Electrolysis",
AB1590*VLOOKUP(G1590,ElectrolysisConvF,3,FALSE),
"")</f>
        <v>873.0597056</v>
      </c>
      <c r="AB1590" s="125">
        <f t="shared" ref="AB1590:AB1592" si="308">AC1590/(H2dens*HoursInYear/10^6)</f>
        <v>194013.2679</v>
      </c>
      <c r="AC1590" s="125">
        <f>((0.42*1000)*3/17/0.98/Projects!$AJ1590)</f>
        <v>151.2605042</v>
      </c>
      <c r="AD1590" s="125"/>
      <c r="AE1590" s="125">
        <f t="shared" si="282"/>
        <v>194013.2679</v>
      </c>
      <c r="AF1590" s="127" t="s">
        <v>14501</v>
      </c>
      <c r="AG1590" s="127">
        <v>-16.4091531531236</v>
      </c>
      <c r="AH1590" s="127">
        <v>-71.5347211661349</v>
      </c>
      <c r="AI1590" s="115" t="s">
        <v>12383</v>
      </c>
      <c r="AJ1590" s="116">
        <v>0.5</v>
      </c>
      <c r="AK1590" s="117"/>
      <c r="AL1590" s="117"/>
      <c r="AM1590" s="117"/>
      <c r="AN1590" s="117"/>
      <c r="AO1590" s="117"/>
    </row>
    <row r="1591" ht="34.5" customHeight="1">
      <c r="A1591" s="111">
        <v>2225.0</v>
      </c>
      <c r="B1591" s="111" t="s">
        <v>9594</v>
      </c>
      <c r="C1591" s="111" t="s">
        <v>8138</v>
      </c>
      <c r="D1591" s="111">
        <v>2030.0</v>
      </c>
      <c r="E1591" s="111"/>
      <c r="F1591" s="111" t="s">
        <v>12399</v>
      </c>
      <c r="G1591" s="111" t="s">
        <v>12381</v>
      </c>
      <c r="H1591" s="111" t="s">
        <v>12230</v>
      </c>
      <c r="I1591" s="111" t="s">
        <v>12394</v>
      </c>
      <c r="J1591" s="111" t="s">
        <v>12296</v>
      </c>
      <c r="K1591" s="111" t="s">
        <v>30</v>
      </c>
      <c r="L1591" s="111"/>
      <c r="M1591" s="111">
        <v>1.0</v>
      </c>
      <c r="N1591" s="111">
        <v>1.0</v>
      </c>
      <c r="O1591" s="111"/>
      <c r="P1591" s="111">
        <v>1.0</v>
      </c>
      <c r="Q1591" s="111"/>
      <c r="R1591" s="111"/>
      <c r="S1591" s="111"/>
      <c r="T1591" s="111"/>
      <c r="U1591" s="111"/>
      <c r="V1591" s="111"/>
      <c r="W1591" s="111"/>
      <c r="X1591" s="111"/>
      <c r="Y1591" s="111"/>
      <c r="Z1591" s="111" t="s">
        <v>14488</v>
      </c>
      <c r="AA1591" s="126">
        <f>IF(Projects!$AI1591="Electrolysis",
AB1591*VLOOKUP(G1591,ElectrolysisConvF,3,FALSE),
"")</f>
        <v>404.0326304</v>
      </c>
      <c r="AB1591" s="125">
        <f t="shared" si="308"/>
        <v>89785.02899</v>
      </c>
      <c r="AC1591" s="125">
        <f>35/Projects!$AJ1591</f>
        <v>70</v>
      </c>
      <c r="AD1591" s="125"/>
      <c r="AE1591" s="125">
        <f t="shared" si="282"/>
        <v>89785.02899</v>
      </c>
      <c r="AF1591" s="127" t="s">
        <v>14502</v>
      </c>
      <c r="AG1591" s="127">
        <v>-51.0322502875594</v>
      </c>
      <c r="AH1591" s="127">
        <v>-69.4568767436419</v>
      </c>
      <c r="AI1591" s="115" t="s">
        <v>12383</v>
      </c>
      <c r="AJ1591" s="116">
        <v>0.5</v>
      </c>
      <c r="AK1591" s="117"/>
      <c r="AL1591" s="117"/>
      <c r="AM1591" s="117"/>
      <c r="AN1591" s="117"/>
      <c r="AO1591" s="117"/>
    </row>
    <row r="1592" ht="34.5" customHeight="1">
      <c r="A1592" s="111">
        <v>2226.0</v>
      </c>
      <c r="B1592" s="111" t="s">
        <v>9595</v>
      </c>
      <c r="C1592" s="111" t="s">
        <v>8003</v>
      </c>
      <c r="D1592" s="111">
        <v>2028.0</v>
      </c>
      <c r="E1592" s="111"/>
      <c r="F1592" s="111" t="s">
        <v>12399</v>
      </c>
      <c r="G1592" s="111" t="s">
        <v>12381</v>
      </c>
      <c r="H1592" s="111" t="s">
        <v>12230</v>
      </c>
      <c r="I1592" s="111" t="s">
        <v>12394</v>
      </c>
      <c r="J1592" s="111" t="s">
        <v>12292</v>
      </c>
      <c r="K1592" s="111" t="s">
        <v>174</v>
      </c>
      <c r="L1592" s="111"/>
      <c r="M1592" s="111">
        <v>1.0</v>
      </c>
      <c r="N1592" s="111"/>
      <c r="O1592" s="111"/>
      <c r="P1592" s="111"/>
      <c r="Q1592" s="111"/>
      <c r="R1592" s="111"/>
      <c r="S1592" s="111"/>
      <c r="T1592" s="111"/>
      <c r="U1592" s="111"/>
      <c r="V1592" s="111"/>
      <c r="W1592" s="111"/>
      <c r="X1592" s="111"/>
      <c r="Y1592" s="111"/>
      <c r="Z1592" s="111" t="s">
        <v>14503</v>
      </c>
      <c r="AA1592" s="126">
        <f>IF(Projects!$AI1592="Electrolysis",
AB1592*VLOOKUP(G1592,ElectrolysisConvF,3,FALSE),
"")</f>
        <v>5196.783962</v>
      </c>
      <c r="AB1592" s="125">
        <f t="shared" si="308"/>
        <v>1154840.88</v>
      </c>
      <c r="AC1592" s="125">
        <f>2000*3/17/0.98/Projects!$AJ1592</f>
        <v>900.3601441</v>
      </c>
      <c r="AD1592" s="125"/>
      <c r="AE1592" s="125">
        <f t="shared" si="282"/>
        <v>1154840.88</v>
      </c>
      <c r="AF1592" s="127" t="s">
        <v>14504</v>
      </c>
      <c r="AG1592" s="127">
        <v>45.583347</v>
      </c>
      <c r="AH1592" s="127">
        <v>-61.339879</v>
      </c>
      <c r="AI1592" s="115" t="s">
        <v>12383</v>
      </c>
      <c r="AJ1592" s="116">
        <v>0.4</v>
      </c>
      <c r="AK1592" s="117"/>
      <c r="AL1592" s="117"/>
      <c r="AM1592" s="117"/>
      <c r="AN1592" s="117"/>
      <c r="AO1592" s="117"/>
    </row>
    <row r="1593" ht="34.5" customHeight="1">
      <c r="A1593" s="111">
        <v>2227.0</v>
      </c>
      <c r="B1593" s="111" t="s">
        <v>9596</v>
      </c>
      <c r="C1593" s="111" t="s">
        <v>7977</v>
      </c>
      <c r="D1593" s="111">
        <v>2027.0</v>
      </c>
      <c r="E1593" s="111"/>
      <c r="F1593" s="111" t="s">
        <v>12399</v>
      </c>
      <c r="G1593" s="111" t="s">
        <v>12381</v>
      </c>
      <c r="H1593" s="111" t="s">
        <v>12230</v>
      </c>
      <c r="I1593" s="111" t="s">
        <v>12394</v>
      </c>
      <c r="J1593" s="111" t="s">
        <v>12295</v>
      </c>
      <c r="K1593" s="111" t="s">
        <v>30</v>
      </c>
      <c r="L1593" s="111"/>
      <c r="M1593" s="111"/>
      <c r="N1593" s="111"/>
      <c r="O1593" s="111"/>
      <c r="P1593" s="111"/>
      <c r="Q1593" s="111"/>
      <c r="R1593" s="111"/>
      <c r="S1593" s="111"/>
      <c r="T1593" s="111"/>
      <c r="U1593" s="111"/>
      <c r="V1593" s="111"/>
      <c r="W1593" s="111"/>
      <c r="X1593" s="111"/>
      <c r="Y1593" s="111"/>
      <c r="Z1593" s="111" t="s">
        <v>13647</v>
      </c>
      <c r="AA1593" s="124">
        <v>800.0</v>
      </c>
      <c r="AB1593" s="125">
        <f>IF(Projects!$AI1593="Electrolysis",
AA1593/VLOOKUP(G1593,ElectrolysisConvF,3,FALSE),
AC1593*10^6/(H2dens*HoursInYear))</f>
        <v>177777.7778</v>
      </c>
      <c r="AC1593" s="126">
        <f t="shared" ref="AC1593:AC1596" si="309">AB1593*H2dens*HoursInYear/10^6</f>
        <v>138.6026667</v>
      </c>
      <c r="AD1593" s="125"/>
      <c r="AE1593" s="125">
        <f t="shared" si="282"/>
        <v>177777.7778</v>
      </c>
      <c r="AF1593" s="127" t="s">
        <v>14505</v>
      </c>
      <c r="AG1593" s="127">
        <v>38.9992367889187</v>
      </c>
      <c r="AH1593" s="127">
        <v>-1.8554395584503</v>
      </c>
      <c r="AI1593" s="115" t="s">
        <v>12383</v>
      </c>
      <c r="AJ1593" s="116">
        <v>0.5</v>
      </c>
      <c r="AK1593" s="117"/>
      <c r="AL1593" s="117"/>
      <c r="AM1593" s="117"/>
      <c r="AN1593" s="117"/>
      <c r="AO1593" s="117"/>
    </row>
    <row r="1594" ht="34.5" customHeight="1">
      <c r="A1594" s="111">
        <v>2228.0</v>
      </c>
      <c r="B1594" s="111" t="s">
        <v>9597</v>
      </c>
      <c r="C1594" s="111" t="s">
        <v>7977</v>
      </c>
      <c r="D1594" s="111">
        <v>2030.0</v>
      </c>
      <c r="E1594" s="111"/>
      <c r="F1594" s="111" t="s">
        <v>12397</v>
      </c>
      <c r="G1594" s="111" t="s">
        <v>12381</v>
      </c>
      <c r="H1594" s="111" t="s">
        <v>12230</v>
      </c>
      <c r="I1594" s="111" t="s">
        <v>12394</v>
      </c>
      <c r="J1594" s="111" t="s">
        <v>12295</v>
      </c>
      <c r="K1594" s="111" t="s">
        <v>30</v>
      </c>
      <c r="L1594" s="111"/>
      <c r="M1594" s="111"/>
      <c r="N1594" s="111"/>
      <c r="O1594" s="111"/>
      <c r="P1594" s="111"/>
      <c r="Q1594" s="111"/>
      <c r="R1594" s="111"/>
      <c r="S1594" s="111"/>
      <c r="T1594" s="111"/>
      <c r="U1594" s="111"/>
      <c r="V1594" s="111"/>
      <c r="W1594" s="111"/>
      <c r="X1594" s="111"/>
      <c r="Y1594" s="111"/>
      <c r="Z1594" s="111" t="s">
        <v>13647</v>
      </c>
      <c r="AA1594" s="124">
        <v>800.0</v>
      </c>
      <c r="AB1594" s="125">
        <f>IF(Projects!$AI1594="Electrolysis",
AA1594/VLOOKUP(G1594,ElectrolysisConvF,3,FALSE),
AC1594*10^6/(H2dens*HoursInYear))</f>
        <v>177777.7778</v>
      </c>
      <c r="AC1594" s="126">
        <f t="shared" si="309"/>
        <v>138.6026667</v>
      </c>
      <c r="AD1594" s="125"/>
      <c r="AE1594" s="125">
        <f t="shared" si="282"/>
        <v>177777.7778</v>
      </c>
      <c r="AF1594" s="127" t="s">
        <v>14505</v>
      </c>
      <c r="AG1594" s="127">
        <v>38.9992367889187</v>
      </c>
      <c r="AH1594" s="127">
        <v>-1.8554395584503</v>
      </c>
      <c r="AI1594" s="115" t="s">
        <v>12383</v>
      </c>
      <c r="AJ1594" s="116">
        <v>0.5</v>
      </c>
      <c r="AK1594" s="117"/>
      <c r="AL1594" s="117"/>
      <c r="AM1594" s="117"/>
      <c r="AN1594" s="117"/>
      <c r="AO1594" s="117"/>
    </row>
    <row r="1595" ht="34.5" customHeight="1">
      <c r="A1595" s="111">
        <v>2229.0</v>
      </c>
      <c r="B1595" s="111" t="s">
        <v>9598</v>
      </c>
      <c r="C1595" s="111" t="s">
        <v>8647</v>
      </c>
      <c r="D1595" s="111">
        <v>2027.0</v>
      </c>
      <c r="E1595" s="111"/>
      <c r="F1595" s="111" t="s">
        <v>12399</v>
      </c>
      <c r="G1595" s="111" t="s">
        <v>12381</v>
      </c>
      <c r="H1595" s="111" t="s">
        <v>12230</v>
      </c>
      <c r="I1595" s="111" t="s">
        <v>12759</v>
      </c>
      <c r="J1595" s="111"/>
      <c r="K1595" s="111" t="s">
        <v>30</v>
      </c>
      <c r="L1595" s="111"/>
      <c r="M1595" s="111"/>
      <c r="N1595" s="111"/>
      <c r="O1595" s="111"/>
      <c r="P1595" s="111"/>
      <c r="Q1595" s="111"/>
      <c r="R1595" s="111"/>
      <c r="S1595" s="111"/>
      <c r="T1595" s="111"/>
      <c r="U1595" s="111"/>
      <c r="V1595" s="111"/>
      <c r="W1595" s="111"/>
      <c r="X1595" s="111"/>
      <c r="Y1595" s="111"/>
      <c r="Z1595" s="111" t="s">
        <v>14506</v>
      </c>
      <c r="AA1595" s="124">
        <v>171.0</v>
      </c>
      <c r="AB1595" s="125">
        <f>IF(Projects!$AI1595="Electrolysis",
AA1595/VLOOKUP(G1595,ElectrolysisConvF,3,FALSE),
AC1595*10^6/(H2dens*HoursInYear))</f>
        <v>38000</v>
      </c>
      <c r="AC1595" s="126">
        <f t="shared" si="309"/>
        <v>29.62632</v>
      </c>
      <c r="AD1595" s="125"/>
      <c r="AE1595" s="125">
        <f t="shared" si="282"/>
        <v>38000</v>
      </c>
      <c r="AF1595" s="127" t="s">
        <v>14507</v>
      </c>
      <c r="AG1595" s="127">
        <v>55.1347566593577</v>
      </c>
      <c r="AH1595" s="127">
        <v>21.9061317575029</v>
      </c>
      <c r="AI1595" s="115" t="s">
        <v>12383</v>
      </c>
      <c r="AJ1595" s="116">
        <v>0.7</v>
      </c>
      <c r="AK1595" s="117"/>
      <c r="AL1595" s="117"/>
      <c r="AM1595" s="117"/>
      <c r="AN1595" s="117"/>
      <c r="AO1595" s="117"/>
    </row>
    <row r="1596" ht="34.5" customHeight="1">
      <c r="A1596" s="111">
        <v>2230.0</v>
      </c>
      <c r="B1596" s="111" t="s">
        <v>9599</v>
      </c>
      <c r="C1596" s="111" t="s">
        <v>7981</v>
      </c>
      <c r="D1596" s="111"/>
      <c r="E1596" s="111"/>
      <c r="F1596" s="111" t="s">
        <v>12397</v>
      </c>
      <c r="G1596" s="111" t="s">
        <v>12381</v>
      </c>
      <c r="H1596" s="111" t="s">
        <v>12230</v>
      </c>
      <c r="I1596" s="111" t="s">
        <v>12394</v>
      </c>
      <c r="J1596" s="111" t="s">
        <v>12292</v>
      </c>
      <c r="K1596" s="111" t="s">
        <v>174</v>
      </c>
      <c r="L1596" s="111"/>
      <c r="M1596" s="111">
        <v>1.0</v>
      </c>
      <c r="N1596" s="111"/>
      <c r="O1596" s="111"/>
      <c r="P1596" s="111"/>
      <c r="Q1596" s="111"/>
      <c r="R1596" s="111"/>
      <c r="S1596" s="111"/>
      <c r="T1596" s="111"/>
      <c r="U1596" s="111"/>
      <c r="V1596" s="111"/>
      <c r="W1596" s="111"/>
      <c r="X1596" s="111"/>
      <c r="Y1596" s="111"/>
      <c r="Z1596" s="111" t="s">
        <v>12698</v>
      </c>
      <c r="AA1596" s="124">
        <v>100.0</v>
      </c>
      <c r="AB1596" s="125">
        <f>IF(Projects!$AI1596="Electrolysis",
AA1596/VLOOKUP(G1596,ElectrolysisConvF,3,FALSE),
AC1596*10^6/(H2dens*HoursInYear))</f>
        <v>22222.22222</v>
      </c>
      <c r="AC1596" s="126">
        <f t="shared" si="309"/>
        <v>17.32533333</v>
      </c>
      <c r="AD1596" s="125"/>
      <c r="AE1596" s="125">
        <f t="shared" si="282"/>
        <v>22222.22222</v>
      </c>
      <c r="AF1596" s="127" t="s">
        <v>14508</v>
      </c>
      <c r="AG1596" s="127">
        <v>36.2413289997659</v>
      </c>
      <c r="AH1596" s="127">
        <v>-95.6814020589108</v>
      </c>
      <c r="AI1596" s="115" t="s">
        <v>12383</v>
      </c>
      <c r="AJ1596" s="116">
        <v>0.4</v>
      </c>
      <c r="AK1596" s="117"/>
      <c r="AL1596" s="117"/>
      <c r="AM1596" s="117"/>
      <c r="AN1596" s="117"/>
      <c r="AO1596" s="117"/>
    </row>
    <row r="1597" ht="34.5" customHeight="1">
      <c r="A1597" s="111">
        <v>2231.0</v>
      </c>
      <c r="B1597" s="111" t="s">
        <v>9600</v>
      </c>
      <c r="C1597" s="111" t="s">
        <v>9601</v>
      </c>
      <c r="D1597" s="111"/>
      <c r="E1597" s="111"/>
      <c r="F1597" s="111" t="s">
        <v>12397</v>
      </c>
      <c r="G1597" s="111" t="s">
        <v>12381</v>
      </c>
      <c r="H1597" s="111" t="s">
        <v>12230</v>
      </c>
      <c r="I1597" s="111" t="s">
        <v>12394</v>
      </c>
      <c r="J1597" s="111" t="s">
        <v>12295</v>
      </c>
      <c r="K1597" s="111" t="s">
        <v>30</v>
      </c>
      <c r="L1597" s="111"/>
      <c r="M1597" s="111"/>
      <c r="N1597" s="111"/>
      <c r="O1597" s="111"/>
      <c r="P1597" s="111"/>
      <c r="Q1597" s="111"/>
      <c r="R1597" s="111"/>
      <c r="S1597" s="111"/>
      <c r="T1597" s="111"/>
      <c r="U1597" s="111"/>
      <c r="V1597" s="111"/>
      <c r="W1597" s="111"/>
      <c r="X1597" s="111"/>
      <c r="Y1597" s="111"/>
      <c r="Z1597" s="111" t="s">
        <v>14509</v>
      </c>
      <c r="AA1597" s="126">
        <f>IF(Projects!$AI1597="Electrolysis",
AB1597*VLOOKUP(G1597,ElectrolysisConvF,3,FALSE),
"")</f>
        <v>164.4989995</v>
      </c>
      <c r="AB1597" s="125">
        <f>AC1597/(H2dens*HoursInYear/10^6)</f>
        <v>36555.33323</v>
      </c>
      <c r="AC1597" s="125">
        <f>28.5</f>
        <v>28.5</v>
      </c>
      <c r="AD1597" s="125"/>
      <c r="AE1597" s="125">
        <f t="shared" si="282"/>
        <v>36555.33323</v>
      </c>
      <c r="AF1597" s="127" t="s">
        <v>14510</v>
      </c>
      <c r="AG1597" s="127">
        <v>15.563585209942</v>
      </c>
      <c r="AH1597" s="127">
        <v>-61.4555530805733</v>
      </c>
      <c r="AI1597" s="115" t="s">
        <v>12383</v>
      </c>
      <c r="AJ1597" s="116">
        <v>0.5</v>
      </c>
      <c r="AK1597" s="117"/>
      <c r="AL1597" s="117"/>
      <c r="AM1597" s="117"/>
      <c r="AN1597" s="117"/>
      <c r="AO1597" s="117"/>
    </row>
    <row r="1598" ht="34.5" customHeight="1">
      <c r="A1598" s="111">
        <v>2232.0</v>
      </c>
      <c r="B1598" s="111" t="s">
        <v>9602</v>
      </c>
      <c r="C1598" s="111" t="s">
        <v>7977</v>
      </c>
      <c r="D1598" s="111">
        <v>2025.0</v>
      </c>
      <c r="E1598" s="111"/>
      <c r="F1598" s="111" t="s">
        <v>12399</v>
      </c>
      <c r="G1598" s="111" t="s">
        <v>12381</v>
      </c>
      <c r="H1598" s="111" t="s">
        <v>12230</v>
      </c>
      <c r="I1598" s="111" t="s">
        <v>12394</v>
      </c>
      <c r="J1598" s="111" t="s">
        <v>12291</v>
      </c>
      <c r="K1598" s="111" t="s">
        <v>30</v>
      </c>
      <c r="L1598" s="111"/>
      <c r="M1598" s="111"/>
      <c r="N1598" s="111"/>
      <c r="O1598" s="111"/>
      <c r="P1598" s="111"/>
      <c r="Q1598" s="111"/>
      <c r="R1598" s="111"/>
      <c r="S1598" s="111"/>
      <c r="T1598" s="111"/>
      <c r="U1598" s="111"/>
      <c r="V1598" s="111"/>
      <c r="W1598" s="111"/>
      <c r="X1598" s="111"/>
      <c r="Y1598" s="111"/>
      <c r="Z1598" s="111" t="s">
        <v>13069</v>
      </c>
      <c r="AA1598" s="124">
        <v>500.0</v>
      </c>
      <c r="AB1598" s="125">
        <f>IF(Projects!$AI1598="Electrolysis",
AA1598/VLOOKUP(G1598,ElectrolysisConvF,3,FALSE),
AC1598*10^6/(H2dens*HoursInYear))</f>
        <v>111111.1111</v>
      </c>
      <c r="AC1598" s="126">
        <f t="shared" ref="AC1598:AC1599" si="310">AB1598*H2dens*HoursInYear/10^6</f>
        <v>86.62666667</v>
      </c>
      <c r="AD1598" s="125"/>
      <c r="AE1598" s="125">
        <f t="shared" si="282"/>
        <v>111111.1111</v>
      </c>
      <c r="AF1598" s="127" t="s">
        <v>14511</v>
      </c>
      <c r="AG1598" s="127">
        <v>38.7163108181324</v>
      </c>
      <c r="AH1598" s="127">
        <v>-4.15795414622984</v>
      </c>
      <c r="AI1598" s="115" t="s">
        <v>12383</v>
      </c>
      <c r="AJ1598" s="116">
        <v>0.3</v>
      </c>
      <c r="AK1598" s="117"/>
      <c r="AL1598" s="117"/>
      <c r="AM1598" s="117"/>
      <c r="AN1598" s="117"/>
      <c r="AO1598" s="117"/>
    </row>
    <row r="1599" ht="34.5" customHeight="1">
      <c r="A1599" s="111">
        <v>2233.0</v>
      </c>
      <c r="B1599" s="111" t="s">
        <v>9603</v>
      </c>
      <c r="C1599" s="111" t="s">
        <v>7987</v>
      </c>
      <c r="D1599" s="111">
        <v>2027.0</v>
      </c>
      <c r="E1599" s="111"/>
      <c r="F1599" s="111" t="s">
        <v>12399</v>
      </c>
      <c r="G1599" s="111" t="s">
        <v>12381</v>
      </c>
      <c r="H1599" s="111" t="s">
        <v>12230</v>
      </c>
      <c r="I1599" s="111" t="s">
        <v>12394</v>
      </c>
      <c r="J1599" s="111" t="s">
        <v>12296</v>
      </c>
      <c r="K1599" s="111" t="s">
        <v>30</v>
      </c>
      <c r="L1599" s="111"/>
      <c r="M1599" s="111"/>
      <c r="N1599" s="111"/>
      <c r="O1599" s="111"/>
      <c r="P1599" s="111"/>
      <c r="Q1599" s="111"/>
      <c r="R1599" s="111"/>
      <c r="S1599" s="111"/>
      <c r="T1599" s="111"/>
      <c r="U1599" s="111"/>
      <c r="V1599" s="111"/>
      <c r="W1599" s="111"/>
      <c r="X1599" s="111"/>
      <c r="Y1599" s="111"/>
      <c r="Z1599" s="111" t="s">
        <v>14512</v>
      </c>
      <c r="AA1599" s="124">
        <v>210.0</v>
      </c>
      <c r="AB1599" s="125">
        <f>IF(Projects!$AI1599="Electrolysis",
AA1599/VLOOKUP(G1599,ElectrolysisConvF,3,FALSE),
AC1599*10^6/(H2dens*HoursInYear))</f>
        <v>46666.66667</v>
      </c>
      <c r="AC1599" s="126">
        <f t="shared" si="310"/>
        <v>36.3832</v>
      </c>
      <c r="AD1599" s="125"/>
      <c r="AE1599" s="125">
        <f t="shared" si="282"/>
        <v>46666.66667</v>
      </c>
      <c r="AF1599" s="127" t="s">
        <v>14513</v>
      </c>
      <c r="AG1599" s="127">
        <v>0.0</v>
      </c>
      <c r="AH1599" s="127">
        <v>0.0</v>
      </c>
      <c r="AI1599" s="115" t="s">
        <v>12383</v>
      </c>
      <c r="AJ1599" s="116">
        <v>0.5</v>
      </c>
      <c r="AK1599" s="117"/>
      <c r="AL1599" s="117"/>
      <c r="AM1599" s="117"/>
      <c r="AN1599" s="117"/>
      <c r="AO1599" s="117"/>
    </row>
    <row r="1600" ht="34.5" customHeight="1">
      <c r="A1600" s="111">
        <v>2234.0</v>
      </c>
      <c r="B1600" s="111" t="s">
        <v>9604</v>
      </c>
      <c r="C1600" s="111" t="s">
        <v>8071</v>
      </c>
      <c r="D1600" s="111"/>
      <c r="E1600" s="111"/>
      <c r="F1600" s="111" t="s">
        <v>12397</v>
      </c>
      <c r="G1600" s="111" t="s">
        <v>12381</v>
      </c>
      <c r="H1600" s="111" t="s">
        <v>12230</v>
      </c>
      <c r="I1600" s="111" t="s">
        <v>12394</v>
      </c>
      <c r="J1600" s="111" t="s">
        <v>12291</v>
      </c>
      <c r="K1600" s="111" t="s">
        <v>174</v>
      </c>
      <c r="L1600" s="111"/>
      <c r="M1600" s="111">
        <v>1.0</v>
      </c>
      <c r="N1600" s="111"/>
      <c r="O1600" s="111"/>
      <c r="P1600" s="111"/>
      <c r="Q1600" s="111"/>
      <c r="R1600" s="111"/>
      <c r="S1600" s="111"/>
      <c r="T1600" s="111"/>
      <c r="U1600" s="111"/>
      <c r="V1600" s="111"/>
      <c r="W1600" s="111"/>
      <c r="X1600" s="111"/>
      <c r="Y1600" s="111"/>
      <c r="Z1600" s="111" t="s">
        <v>14514</v>
      </c>
      <c r="AA1600" s="126">
        <f>IF(Projects!$AI1600="Electrolysis",
AB1600*VLOOKUP(G1600,ElectrolysisConvF,3,FALSE),
"")</f>
        <v>1590.215892</v>
      </c>
      <c r="AB1600" s="125">
        <f t="shared" ref="AB1600:AB1601" si="311">AC1600/(H2dens*HoursInYear/10^6)</f>
        <v>353381.3094</v>
      </c>
      <c r="AC1600" s="125">
        <f>(459*3/17/0.98/Projects!$AJ1600)</f>
        <v>275.5102041</v>
      </c>
      <c r="AD1600" s="125"/>
      <c r="AE1600" s="125">
        <f t="shared" si="282"/>
        <v>353381.3094</v>
      </c>
      <c r="AF1600" s="127" t="s">
        <v>14515</v>
      </c>
      <c r="AG1600" s="127">
        <v>-26.7499987846264</v>
      </c>
      <c r="AH1600" s="127">
        <v>-70.5545608856544</v>
      </c>
      <c r="AI1600" s="115" t="s">
        <v>12383</v>
      </c>
      <c r="AJ1600" s="116">
        <v>0.3</v>
      </c>
      <c r="AK1600" s="117"/>
      <c r="AL1600" s="117"/>
      <c r="AM1600" s="117"/>
      <c r="AN1600" s="117"/>
      <c r="AO1600" s="117"/>
    </row>
    <row r="1601" ht="34.5" customHeight="1">
      <c r="A1601" s="111">
        <v>2235.0</v>
      </c>
      <c r="B1601" s="111" t="s">
        <v>9605</v>
      </c>
      <c r="C1601" s="111" t="s">
        <v>8011</v>
      </c>
      <c r="D1601" s="111"/>
      <c r="E1601" s="111"/>
      <c r="F1601" s="111" t="s">
        <v>12397</v>
      </c>
      <c r="G1601" s="111" t="s">
        <v>12241</v>
      </c>
      <c r="H1601" s="111" t="s">
        <v>13021</v>
      </c>
      <c r="I1601" s="111"/>
      <c r="J1601" s="111"/>
      <c r="K1601" s="111" t="s">
        <v>30</v>
      </c>
      <c r="L1601" s="111"/>
      <c r="M1601" s="111"/>
      <c r="N1601" s="111"/>
      <c r="O1601" s="111"/>
      <c r="P1601" s="111"/>
      <c r="Q1601" s="111"/>
      <c r="R1601" s="111"/>
      <c r="S1601" s="111"/>
      <c r="T1601" s="111"/>
      <c r="U1601" s="111"/>
      <c r="V1601" s="111"/>
      <c r="W1601" s="111"/>
      <c r="X1601" s="111"/>
      <c r="Y1601" s="111"/>
      <c r="Z1601" s="111" t="s">
        <v>14516</v>
      </c>
      <c r="AA1601" s="124"/>
      <c r="AB1601" s="125">
        <f t="shared" si="311"/>
        <v>3562.897976</v>
      </c>
      <c r="AC1601" s="125">
        <f>2.5/Projects!$AJ1601</f>
        <v>2.777777778</v>
      </c>
      <c r="AD1601" s="125"/>
      <c r="AE1601" s="125">
        <f t="shared" si="282"/>
        <v>3562.897976</v>
      </c>
      <c r="AF1601" s="127" t="s">
        <v>14517</v>
      </c>
      <c r="AG1601" s="127">
        <v>47.2169106942013</v>
      </c>
      <c r="AH1601" s="127">
        <v>-1.55280229670032</v>
      </c>
      <c r="AI1601" s="115" t="s">
        <v>12241</v>
      </c>
      <c r="AJ1601" s="116">
        <v>0.9</v>
      </c>
      <c r="AK1601" s="117"/>
      <c r="AL1601" s="117"/>
      <c r="AM1601" s="117"/>
      <c r="AN1601" s="117"/>
      <c r="AO1601" s="117"/>
    </row>
    <row r="1602" ht="34.5" customHeight="1">
      <c r="A1602" s="111">
        <v>2236.0</v>
      </c>
      <c r="B1602" s="111" t="s">
        <v>9606</v>
      </c>
      <c r="C1602" s="111" t="s">
        <v>8108</v>
      </c>
      <c r="D1602" s="111">
        <v>2025.0</v>
      </c>
      <c r="E1602" s="111"/>
      <c r="F1602" s="111" t="s">
        <v>12399</v>
      </c>
      <c r="G1602" s="111" t="s">
        <v>12224</v>
      </c>
      <c r="H1602" s="111"/>
      <c r="I1602" s="111" t="s">
        <v>12394</v>
      </c>
      <c r="J1602" s="111" t="s">
        <v>12296</v>
      </c>
      <c r="K1602" s="111" t="s">
        <v>30</v>
      </c>
      <c r="L1602" s="111"/>
      <c r="M1602" s="111"/>
      <c r="N1602" s="111"/>
      <c r="O1602" s="111">
        <v>1.0</v>
      </c>
      <c r="P1602" s="111"/>
      <c r="Q1602" s="111"/>
      <c r="R1602" s="111"/>
      <c r="S1602" s="111"/>
      <c r="T1602" s="111"/>
      <c r="U1602" s="111"/>
      <c r="V1602" s="111"/>
      <c r="W1602" s="111"/>
      <c r="X1602" s="111"/>
      <c r="Y1602" s="111"/>
      <c r="Z1602" s="111" t="s">
        <v>13736</v>
      </c>
      <c r="AA1602" s="124">
        <v>12.0</v>
      </c>
      <c r="AB1602" s="125">
        <f>IF(Projects!$AI1602="Electrolysis",
AA1602/VLOOKUP(G1602,ElectrolysisConvF,3,FALSE),
AC1602*10^6/(H2dens*HoursInYear))</f>
        <v>2608.695652</v>
      </c>
      <c r="AC1602" s="126">
        <f>AB1602*H2dens*HoursInYear/10^6</f>
        <v>2.033843478</v>
      </c>
      <c r="AD1602" s="125"/>
      <c r="AE1602" s="125">
        <f t="shared" si="282"/>
        <v>2608.695652</v>
      </c>
      <c r="AF1602" s="127" t="s">
        <v>14518</v>
      </c>
      <c r="AG1602" s="127">
        <v>12.9759638400835</v>
      </c>
      <c r="AH1602" s="127">
        <v>77.5348021587731</v>
      </c>
      <c r="AI1602" s="115" t="s">
        <v>12383</v>
      </c>
      <c r="AJ1602" s="116">
        <v>0.5</v>
      </c>
      <c r="AK1602" s="117"/>
      <c r="AL1602" s="117"/>
      <c r="AM1602" s="117"/>
      <c r="AN1602" s="117"/>
      <c r="AO1602" s="117"/>
    </row>
    <row r="1603" ht="34.5" customHeight="1">
      <c r="A1603" s="111">
        <v>2237.0</v>
      </c>
      <c r="B1603" s="111" t="s">
        <v>9607</v>
      </c>
      <c r="C1603" s="111" t="s">
        <v>7983</v>
      </c>
      <c r="D1603" s="111">
        <v>2030.0</v>
      </c>
      <c r="E1603" s="111"/>
      <c r="F1603" s="111" t="s">
        <v>12397</v>
      </c>
      <c r="G1603" s="111" t="s">
        <v>13722</v>
      </c>
      <c r="H1603" s="111" t="s">
        <v>13334</v>
      </c>
      <c r="I1603" s="111"/>
      <c r="J1603" s="111"/>
      <c r="K1603" s="111" t="s">
        <v>30</v>
      </c>
      <c r="L1603" s="111">
        <v>1.0</v>
      </c>
      <c r="M1603" s="111"/>
      <c r="N1603" s="111"/>
      <c r="O1603" s="111"/>
      <c r="P1603" s="111"/>
      <c r="Q1603" s="111"/>
      <c r="R1603" s="111"/>
      <c r="S1603" s="111"/>
      <c r="T1603" s="111"/>
      <c r="U1603" s="111"/>
      <c r="V1603" s="111"/>
      <c r="W1603" s="111"/>
      <c r="X1603" s="111"/>
      <c r="Y1603" s="111"/>
      <c r="Z1603" s="111" t="s">
        <v>13606</v>
      </c>
      <c r="AA1603" s="124"/>
      <c r="AB1603" s="125">
        <f>AC1603/(H2dens*HoursInYear/10^6)</f>
        <v>7802.746567</v>
      </c>
      <c r="AC1603" s="125">
        <f>(15/1000*365)/Projects!$AJ1603</f>
        <v>6.083333333</v>
      </c>
      <c r="AD1603" s="125"/>
      <c r="AE1603" s="125">
        <f t="shared" si="282"/>
        <v>7802.746567</v>
      </c>
      <c r="AF1603" s="127" t="s">
        <v>14519</v>
      </c>
      <c r="AG1603" s="127">
        <v>34.9791318472056</v>
      </c>
      <c r="AH1603" s="127">
        <v>136.84508777326</v>
      </c>
      <c r="AI1603" s="115" t="s">
        <v>12241</v>
      </c>
      <c r="AJ1603" s="116">
        <v>0.9</v>
      </c>
      <c r="AK1603" s="117"/>
      <c r="AL1603" s="117"/>
      <c r="AM1603" s="117"/>
      <c r="AN1603" s="117"/>
      <c r="AO1603" s="117"/>
    </row>
    <row r="1604" ht="34.5" customHeight="1">
      <c r="A1604" s="111">
        <v>2238.0</v>
      </c>
      <c r="B1604" s="111" t="s">
        <v>9608</v>
      </c>
      <c r="C1604" s="111" t="s">
        <v>8003</v>
      </c>
      <c r="D1604" s="111"/>
      <c r="E1604" s="111"/>
      <c r="F1604" s="111" t="s">
        <v>12399</v>
      </c>
      <c r="G1604" s="111" t="s">
        <v>12381</v>
      </c>
      <c r="H1604" s="111" t="s">
        <v>12230</v>
      </c>
      <c r="I1604" s="111" t="s">
        <v>12394</v>
      </c>
      <c r="J1604" s="111" t="s">
        <v>12292</v>
      </c>
      <c r="K1604" s="111" t="s">
        <v>174</v>
      </c>
      <c r="L1604" s="111"/>
      <c r="M1604" s="111"/>
      <c r="N1604" s="111"/>
      <c r="O1604" s="111"/>
      <c r="P1604" s="111"/>
      <c r="Q1604" s="111"/>
      <c r="R1604" s="111"/>
      <c r="S1604" s="111"/>
      <c r="T1604" s="111"/>
      <c r="U1604" s="111"/>
      <c r="V1604" s="111"/>
      <c r="W1604" s="111"/>
      <c r="X1604" s="111"/>
      <c r="Y1604" s="111"/>
      <c r="Z1604" s="111" t="s">
        <v>14184</v>
      </c>
      <c r="AA1604" s="124">
        <v>1300.0</v>
      </c>
      <c r="AB1604" s="125">
        <v>288888.88888888893</v>
      </c>
      <c r="AC1604" s="125">
        <v>225.22933333333333</v>
      </c>
      <c r="AD1604" s="125"/>
      <c r="AE1604" s="125">
        <f t="shared" si="282"/>
        <v>288888.8889</v>
      </c>
      <c r="AF1604" s="127" t="s">
        <v>14520</v>
      </c>
      <c r="AG1604" s="127">
        <v>47.2937646032663</v>
      </c>
      <c r="AH1604" s="127">
        <v>-53.9742061399226</v>
      </c>
      <c r="AI1604" s="115" t="s">
        <v>12383</v>
      </c>
      <c r="AJ1604" s="116">
        <v>0.4</v>
      </c>
      <c r="AK1604" s="117"/>
      <c r="AL1604" s="117"/>
      <c r="AM1604" s="117"/>
      <c r="AN1604" s="117"/>
      <c r="AO1604" s="117"/>
    </row>
    <row r="1605" ht="34.5" customHeight="1">
      <c r="A1605" s="111">
        <v>2239.0</v>
      </c>
      <c r="B1605" s="111" t="s">
        <v>9609</v>
      </c>
      <c r="C1605" s="111" t="s">
        <v>8590</v>
      </c>
      <c r="D1605" s="111">
        <v>2028.0</v>
      </c>
      <c r="E1605" s="111"/>
      <c r="F1605" s="111" t="s">
        <v>12397</v>
      </c>
      <c r="G1605" s="111" t="s">
        <v>12381</v>
      </c>
      <c r="H1605" s="111" t="s">
        <v>12230</v>
      </c>
      <c r="I1605" s="111" t="s">
        <v>12394</v>
      </c>
      <c r="J1605" s="111" t="s">
        <v>12291</v>
      </c>
      <c r="K1605" s="111" t="s">
        <v>174</v>
      </c>
      <c r="L1605" s="111"/>
      <c r="M1605" s="111">
        <v>1.0</v>
      </c>
      <c r="N1605" s="111"/>
      <c r="O1605" s="111"/>
      <c r="P1605" s="111">
        <v>1.0</v>
      </c>
      <c r="Q1605" s="111"/>
      <c r="R1605" s="111"/>
      <c r="S1605" s="111"/>
      <c r="T1605" s="111"/>
      <c r="U1605" s="111"/>
      <c r="V1605" s="111"/>
      <c r="W1605" s="111"/>
      <c r="X1605" s="111"/>
      <c r="Y1605" s="111"/>
      <c r="Z1605" s="111" t="s">
        <v>14521</v>
      </c>
      <c r="AA1605" s="126">
        <f>IF(Projects!$AI1605="Electrolysis",
AB1605*VLOOKUP(G1605,ElectrolysisConvF,3,FALSE),
"")</f>
        <v>1633.446206</v>
      </c>
      <c r="AB1605" s="125">
        <f t="shared" ref="AB1605:AB1607" si="312">AC1605/(H2dens*HoursInYear/10^6)</f>
        <v>362988.0458</v>
      </c>
      <c r="AC1605" s="125">
        <v>283.0</v>
      </c>
      <c r="AD1605" s="125"/>
      <c r="AE1605" s="125">
        <f t="shared" si="282"/>
        <v>362988.0458</v>
      </c>
      <c r="AF1605" s="127" t="s">
        <v>14522</v>
      </c>
      <c r="AG1605" s="127">
        <v>-7.68217376662555</v>
      </c>
      <c r="AH1605" s="127">
        <v>-42.5222369705834</v>
      </c>
      <c r="AI1605" s="115" t="s">
        <v>12383</v>
      </c>
      <c r="AJ1605" s="116">
        <v>0.3</v>
      </c>
      <c r="AK1605" s="117"/>
      <c r="AL1605" s="117"/>
      <c r="AM1605" s="117"/>
      <c r="AN1605" s="117"/>
      <c r="AO1605" s="117"/>
    </row>
    <row r="1606" ht="34.5" customHeight="1">
      <c r="A1606" s="111">
        <v>2240.0</v>
      </c>
      <c r="B1606" s="111" t="s">
        <v>9610</v>
      </c>
      <c r="C1606" s="111" t="s">
        <v>8590</v>
      </c>
      <c r="D1606" s="111"/>
      <c r="E1606" s="111"/>
      <c r="F1606" s="111" t="s">
        <v>12397</v>
      </c>
      <c r="G1606" s="111" t="s">
        <v>12381</v>
      </c>
      <c r="H1606" s="111" t="s">
        <v>12230</v>
      </c>
      <c r="I1606" s="111" t="s">
        <v>12394</v>
      </c>
      <c r="J1606" s="111" t="s">
        <v>12291</v>
      </c>
      <c r="K1606" s="111" t="s">
        <v>174</v>
      </c>
      <c r="L1606" s="111"/>
      <c r="M1606" s="111">
        <v>1.0</v>
      </c>
      <c r="N1606" s="111"/>
      <c r="O1606" s="111"/>
      <c r="P1606" s="111">
        <v>1.0</v>
      </c>
      <c r="Q1606" s="111"/>
      <c r="R1606" s="111"/>
      <c r="S1606" s="111"/>
      <c r="T1606" s="111"/>
      <c r="U1606" s="111"/>
      <c r="V1606" s="111"/>
      <c r="W1606" s="111"/>
      <c r="X1606" s="111"/>
      <c r="Y1606" s="111"/>
      <c r="Z1606" s="111" t="s">
        <v>14523</v>
      </c>
      <c r="AA1606" s="126">
        <f>IF(Projects!$AI1606="Electrolysis",
AB1606*VLOOKUP(G1606,ElectrolysisConvF,3,FALSE),
"")</f>
        <v>8178.774819</v>
      </c>
      <c r="AB1606" s="125">
        <f t="shared" si="312"/>
        <v>1817505.515</v>
      </c>
      <c r="AC1606" s="125">
        <v>1417.0</v>
      </c>
      <c r="AD1606" s="125"/>
      <c r="AE1606" s="125">
        <f t="shared" si="282"/>
        <v>1817505.515</v>
      </c>
      <c r="AF1606" s="127" t="s">
        <v>14522</v>
      </c>
      <c r="AG1606" s="127">
        <v>-7.68217376662555</v>
      </c>
      <c r="AH1606" s="127">
        <v>-42.5222369705834</v>
      </c>
      <c r="AI1606" s="115" t="s">
        <v>12383</v>
      </c>
      <c r="AJ1606" s="116">
        <v>0.3</v>
      </c>
      <c r="AK1606" s="117"/>
      <c r="AL1606" s="117"/>
      <c r="AM1606" s="117"/>
      <c r="AN1606" s="117"/>
      <c r="AO1606" s="117"/>
    </row>
    <row r="1607" ht="34.5" customHeight="1">
      <c r="A1607" s="111">
        <v>2241.0</v>
      </c>
      <c r="B1607" s="111" t="s">
        <v>9611</v>
      </c>
      <c r="C1607" s="111" t="s">
        <v>7974</v>
      </c>
      <c r="D1607" s="111"/>
      <c r="E1607" s="111"/>
      <c r="F1607" s="111" t="s">
        <v>12399</v>
      </c>
      <c r="G1607" s="111" t="s">
        <v>13722</v>
      </c>
      <c r="H1607" s="111" t="s">
        <v>13334</v>
      </c>
      <c r="I1607" s="111"/>
      <c r="J1607" s="111"/>
      <c r="K1607" s="111" t="s">
        <v>30</v>
      </c>
      <c r="L1607" s="111"/>
      <c r="M1607" s="111"/>
      <c r="N1607" s="111"/>
      <c r="O1607" s="111"/>
      <c r="P1607" s="111"/>
      <c r="Q1607" s="111"/>
      <c r="R1607" s="111"/>
      <c r="S1607" s="111"/>
      <c r="T1607" s="111"/>
      <c r="U1607" s="111"/>
      <c r="V1607" s="111"/>
      <c r="W1607" s="111"/>
      <c r="X1607" s="111"/>
      <c r="Y1607" s="111"/>
      <c r="Z1607" s="111" t="s">
        <v>14524</v>
      </c>
      <c r="AA1607" s="124"/>
      <c r="AB1607" s="125">
        <f t="shared" si="312"/>
        <v>17101.91028</v>
      </c>
      <c r="AC1607" s="125">
        <f>12/Projects!$AJ1607</f>
        <v>13.33333333</v>
      </c>
      <c r="AD1607" s="125"/>
      <c r="AE1607" s="125">
        <f t="shared" si="282"/>
        <v>17101.91028</v>
      </c>
      <c r="AF1607" s="127" t="s">
        <v>14525</v>
      </c>
      <c r="AG1607" s="127">
        <v>59.5124292886059</v>
      </c>
      <c r="AH1607" s="127">
        <v>15.9947878967248</v>
      </c>
      <c r="AI1607" s="115" t="s">
        <v>12241</v>
      </c>
      <c r="AJ1607" s="116">
        <v>0.9</v>
      </c>
      <c r="AK1607" s="117"/>
      <c r="AL1607" s="117"/>
      <c r="AM1607" s="117"/>
      <c r="AN1607" s="117"/>
      <c r="AO1607" s="117"/>
    </row>
    <row r="1608" ht="34.5" customHeight="1">
      <c r="A1608" s="111">
        <v>2242.0</v>
      </c>
      <c r="B1608" s="111" t="s">
        <v>9612</v>
      </c>
      <c r="C1608" s="111" t="s">
        <v>8003</v>
      </c>
      <c r="D1608" s="111">
        <v>2025.0</v>
      </c>
      <c r="E1608" s="111"/>
      <c r="F1608" s="111" t="s">
        <v>12397</v>
      </c>
      <c r="G1608" s="111" t="s">
        <v>13638</v>
      </c>
      <c r="H1608" s="111"/>
      <c r="I1608" s="111" t="s">
        <v>12287</v>
      </c>
      <c r="J1608" s="111" t="s">
        <v>12295</v>
      </c>
      <c r="K1608" s="111" t="s">
        <v>30</v>
      </c>
      <c r="L1608" s="111"/>
      <c r="M1608" s="111"/>
      <c r="N1608" s="111"/>
      <c r="O1608" s="111"/>
      <c r="P1608" s="111">
        <v>1.0</v>
      </c>
      <c r="Q1608" s="111">
        <v>1.0</v>
      </c>
      <c r="R1608" s="111"/>
      <c r="S1608" s="111"/>
      <c r="T1608" s="111"/>
      <c r="U1608" s="111"/>
      <c r="V1608" s="111"/>
      <c r="W1608" s="111"/>
      <c r="X1608" s="111"/>
      <c r="Y1608" s="111"/>
      <c r="Z1608" s="111" t="s">
        <v>12720</v>
      </c>
      <c r="AA1608" s="124">
        <v>2.0</v>
      </c>
      <c r="AB1608" s="125">
        <f>IF(Projects!$AI1608="Electrolysis",
AA1608/VLOOKUP(G1608,ElectrolysisConvF,3,FALSE),
AC1608*10^6/(H2dens*HoursInYear))</f>
        <v>444.4444444</v>
      </c>
      <c r="AC1608" s="126">
        <f t="shared" ref="AC1608:AC1611" si="313">AB1608*H2dens*HoursInYear/10^6</f>
        <v>0.3465066667</v>
      </c>
      <c r="AD1608" s="125"/>
      <c r="AE1608" s="125">
        <f t="shared" si="282"/>
        <v>444.4444444</v>
      </c>
      <c r="AF1608" s="127" t="s">
        <v>14526</v>
      </c>
      <c r="AG1608" s="127">
        <v>46.3504010911844</v>
      </c>
      <c r="AH1608" s="127">
        <v>-63.4115572100728</v>
      </c>
      <c r="AI1608" s="115" t="s">
        <v>12383</v>
      </c>
      <c r="AJ1608" s="116">
        <v>0.57</v>
      </c>
      <c r="AK1608" s="117"/>
      <c r="AL1608" s="117"/>
      <c r="AM1608" s="117"/>
      <c r="AN1608" s="117"/>
      <c r="AO1608" s="117"/>
    </row>
    <row r="1609" ht="34.5" customHeight="1">
      <c r="A1609" s="111">
        <v>2243.0</v>
      </c>
      <c r="B1609" s="111" t="s">
        <v>9613</v>
      </c>
      <c r="C1609" s="111" t="s">
        <v>7967</v>
      </c>
      <c r="D1609" s="111">
        <v>2025.0</v>
      </c>
      <c r="E1609" s="111"/>
      <c r="F1609" s="111" t="s">
        <v>12393</v>
      </c>
      <c r="G1609" s="111" t="s">
        <v>13638</v>
      </c>
      <c r="H1609" s="111"/>
      <c r="I1609" s="111" t="s">
        <v>12287</v>
      </c>
      <c r="J1609" s="111" t="s">
        <v>12296</v>
      </c>
      <c r="K1609" s="111" t="s">
        <v>30</v>
      </c>
      <c r="L1609" s="111"/>
      <c r="M1609" s="111"/>
      <c r="N1609" s="111"/>
      <c r="O1609" s="111"/>
      <c r="P1609" s="111"/>
      <c r="Q1609" s="111">
        <v>1.0</v>
      </c>
      <c r="R1609" s="111"/>
      <c r="S1609" s="111"/>
      <c r="T1609" s="111"/>
      <c r="U1609" s="111"/>
      <c r="V1609" s="111"/>
      <c r="W1609" s="111"/>
      <c r="X1609" s="111"/>
      <c r="Y1609" s="111"/>
      <c r="Z1609" s="111" t="s">
        <v>12908</v>
      </c>
      <c r="AA1609" s="124">
        <v>1.0</v>
      </c>
      <c r="AB1609" s="125">
        <f>IF(Projects!$AI1609="Electrolysis",
AA1609/VLOOKUP(G1609,ElectrolysisConvF,3,FALSE),
AC1609*10^6/(H2dens*HoursInYear))</f>
        <v>222.2222222</v>
      </c>
      <c r="AC1609" s="126">
        <f t="shared" si="313"/>
        <v>0.1732533333</v>
      </c>
      <c r="AD1609" s="125"/>
      <c r="AE1609" s="125">
        <f t="shared" si="282"/>
        <v>222.2222222</v>
      </c>
      <c r="AF1609" s="127" t="s">
        <v>14527</v>
      </c>
      <c r="AG1609" s="127">
        <v>51.6918438028077</v>
      </c>
      <c r="AH1609" s="127">
        <v>4.20952203529951</v>
      </c>
      <c r="AI1609" s="115" t="s">
        <v>12383</v>
      </c>
      <c r="AJ1609" s="116">
        <v>0.57</v>
      </c>
      <c r="AK1609" s="117"/>
      <c r="AL1609" s="117"/>
      <c r="AM1609" s="117"/>
      <c r="AN1609" s="117"/>
      <c r="AO1609" s="117"/>
    </row>
    <row r="1610" ht="34.5" customHeight="1">
      <c r="A1610" s="111">
        <v>2244.0</v>
      </c>
      <c r="B1610" s="111" t="s">
        <v>9614</v>
      </c>
      <c r="C1610" s="111" t="s">
        <v>7987</v>
      </c>
      <c r="D1610" s="111">
        <v>2024.0</v>
      </c>
      <c r="E1610" s="111"/>
      <c r="F1610" s="111" t="s">
        <v>12393</v>
      </c>
      <c r="G1610" s="111" t="s">
        <v>13638</v>
      </c>
      <c r="H1610" s="111"/>
      <c r="I1610" s="111" t="s">
        <v>12287</v>
      </c>
      <c r="J1610" s="111" t="s">
        <v>12291</v>
      </c>
      <c r="K1610" s="111" t="s">
        <v>30</v>
      </c>
      <c r="L1610" s="111"/>
      <c r="M1610" s="111"/>
      <c r="N1610" s="111"/>
      <c r="O1610" s="111"/>
      <c r="P1610" s="111"/>
      <c r="Q1610" s="111">
        <v>1.0</v>
      </c>
      <c r="R1610" s="111"/>
      <c r="S1610" s="111"/>
      <c r="T1610" s="111"/>
      <c r="U1610" s="111"/>
      <c r="V1610" s="111"/>
      <c r="W1610" s="111"/>
      <c r="X1610" s="111"/>
      <c r="Y1610" s="111"/>
      <c r="Z1610" s="111" t="s">
        <v>12908</v>
      </c>
      <c r="AA1610" s="124">
        <v>1.0</v>
      </c>
      <c r="AB1610" s="125">
        <f>IF(Projects!$AI1610="Electrolysis",
AA1610/VLOOKUP(G1610,ElectrolysisConvF,3,FALSE),
AC1610*10^6/(H2dens*HoursInYear))</f>
        <v>222.2222222</v>
      </c>
      <c r="AC1610" s="126">
        <f t="shared" si="313"/>
        <v>0.1732533333</v>
      </c>
      <c r="AD1610" s="125"/>
      <c r="AE1610" s="125">
        <f t="shared" si="282"/>
        <v>222.2222222</v>
      </c>
      <c r="AF1610" s="127" t="s">
        <v>14528</v>
      </c>
      <c r="AG1610" s="127">
        <v>52.2687162354093</v>
      </c>
      <c r="AH1610" s="127">
        <v>10.5100176489066</v>
      </c>
      <c r="AI1610" s="115" t="s">
        <v>12383</v>
      </c>
      <c r="AJ1610" s="116">
        <v>0.57</v>
      </c>
      <c r="AK1610" s="117"/>
      <c r="AL1610" s="117"/>
      <c r="AM1610" s="117"/>
      <c r="AN1610" s="117"/>
      <c r="AO1610" s="117"/>
    </row>
    <row r="1611" ht="34.5" customHeight="1">
      <c r="A1611" s="111">
        <v>2246.0</v>
      </c>
      <c r="B1611" s="111" t="s">
        <v>9615</v>
      </c>
      <c r="C1611" s="111" t="s">
        <v>7977</v>
      </c>
      <c r="D1611" s="111">
        <v>2028.0</v>
      </c>
      <c r="E1611" s="111"/>
      <c r="F1611" s="111" t="s">
        <v>12399</v>
      </c>
      <c r="G1611" s="111" t="s">
        <v>12224</v>
      </c>
      <c r="H1611" s="111"/>
      <c r="I1611" s="111" t="s">
        <v>12406</v>
      </c>
      <c r="J1611" s="111"/>
      <c r="K1611" s="111" t="s">
        <v>30</v>
      </c>
      <c r="L1611" s="111">
        <v>1.0</v>
      </c>
      <c r="M1611" s="111"/>
      <c r="N1611" s="111"/>
      <c r="O1611" s="111"/>
      <c r="P1611" s="111"/>
      <c r="Q1611" s="111"/>
      <c r="R1611" s="111"/>
      <c r="S1611" s="111">
        <v>1.0</v>
      </c>
      <c r="T1611" s="111"/>
      <c r="U1611" s="111"/>
      <c r="V1611" s="111"/>
      <c r="W1611" s="111"/>
      <c r="X1611" s="111"/>
      <c r="Y1611" s="111"/>
      <c r="Z1611" s="111" t="s">
        <v>12806</v>
      </c>
      <c r="AA1611" s="124">
        <v>150.0</v>
      </c>
      <c r="AB1611" s="125">
        <f>IF(Projects!$AI1611="Electrolysis",
AA1611/VLOOKUP(G1611,ElectrolysisConvF,3,FALSE),
AC1611*10^6/(H2dens*HoursInYear))</f>
        <v>32608.69565</v>
      </c>
      <c r="AC1611" s="126">
        <f t="shared" si="313"/>
        <v>25.42304348</v>
      </c>
      <c r="AD1611" s="125"/>
      <c r="AE1611" s="125">
        <f t="shared" si="282"/>
        <v>32608.69565</v>
      </c>
      <c r="AF1611" s="127" t="s">
        <v>14529</v>
      </c>
      <c r="AG1611" s="127">
        <v>41.1856748098436</v>
      </c>
      <c r="AH1611" s="127">
        <v>1.21743273719217</v>
      </c>
      <c r="AI1611" s="115" t="s">
        <v>12383</v>
      </c>
      <c r="AJ1611" s="116">
        <v>0.57</v>
      </c>
      <c r="AK1611" s="117"/>
      <c r="AL1611" s="117"/>
      <c r="AM1611" s="117"/>
      <c r="AN1611" s="117"/>
      <c r="AO1611" s="117"/>
    </row>
    <row r="1612" ht="34.5" customHeight="1">
      <c r="A1612" s="111">
        <v>2248.0</v>
      </c>
      <c r="B1612" s="111" t="s">
        <v>9616</v>
      </c>
      <c r="C1612" s="111" t="s">
        <v>7977</v>
      </c>
      <c r="D1612" s="111"/>
      <c r="E1612" s="111"/>
      <c r="F1612" s="111" t="s">
        <v>12399</v>
      </c>
      <c r="G1612" s="111" t="s">
        <v>12381</v>
      </c>
      <c r="H1612" s="111" t="s">
        <v>12230</v>
      </c>
      <c r="I1612" s="111" t="s">
        <v>12394</v>
      </c>
      <c r="J1612" s="111" t="s">
        <v>12296</v>
      </c>
      <c r="K1612" s="111" t="s">
        <v>12251</v>
      </c>
      <c r="L1612" s="111"/>
      <c r="M1612" s="111"/>
      <c r="N1612" s="111"/>
      <c r="O1612" s="111"/>
      <c r="P1612" s="111"/>
      <c r="Q1612" s="111"/>
      <c r="R1612" s="111"/>
      <c r="S1612" s="111"/>
      <c r="T1612" s="111"/>
      <c r="U1612" s="111"/>
      <c r="V1612" s="111"/>
      <c r="W1612" s="111">
        <v>1.0</v>
      </c>
      <c r="X1612" s="111"/>
      <c r="Y1612" s="111"/>
      <c r="Z1612" s="111" t="s">
        <v>14530</v>
      </c>
      <c r="AA1612" s="126">
        <f>IF(Projects!$AI1612="Electrolysis",
AB1612*VLOOKUP(G1612,ElectrolysisConvF,3,FALSE),
"")</f>
        <v>115.4378944</v>
      </c>
      <c r="AB1612" s="125">
        <f t="shared" ref="AB1612:AB1613" si="314">AC1612/(H2dens*HoursInYear/10^6)</f>
        <v>25652.86543</v>
      </c>
      <c r="AC1612" s="125">
        <f>10/Projects!$AJ1612</f>
        <v>20</v>
      </c>
      <c r="AD1612" s="125"/>
      <c r="AE1612" s="125">
        <f t="shared" si="282"/>
        <v>25652.86543</v>
      </c>
      <c r="AF1612" s="127" t="s">
        <v>14531</v>
      </c>
      <c r="AG1612" s="127">
        <v>43.1577637857109</v>
      </c>
      <c r="AH1612" s="127">
        <v>-8.00932152480751</v>
      </c>
      <c r="AI1612" s="115" t="s">
        <v>12383</v>
      </c>
      <c r="AJ1612" s="116">
        <v>0.5</v>
      </c>
      <c r="AK1612" s="144"/>
      <c r="AL1612" s="144"/>
      <c r="AM1612" s="144"/>
      <c r="AN1612" s="144"/>
      <c r="AO1612" s="144"/>
    </row>
    <row r="1613" ht="34.5" customHeight="1">
      <c r="A1613" s="111">
        <v>2250.0</v>
      </c>
      <c r="B1613" s="111" t="s">
        <v>9617</v>
      </c>
      <c r="C1613" s="111" t="s">
        <v>8008</v>
      </c>
      <c r="D1613" s="111"/>
      <c r="E1613" s="111"/>
      <c r="F1613" s="111" t="s">
        <v>12399</v>
      </c>
      <c r="G1613" s="111" t="s">
        <v>12381</v>
      </c>
      <c r="H1613" s="111" t="s">
        <v>12230</v>
      </c>
      <c r="I1613" s="111" t="s">
        <v>12394</v>
      </c>
      <c r="J1613" s="111" t="s">
        <v>12293</v>
      </c>
      <c r="K1613" s="111" t="s">
        <v>30</v>
      </c>
      <c r="L1613" s="111"/>
      <c r="M1613" s="111"/>
      <c r="N1613" s="111"/>
      <c r="O1613" s="111"/>
      <c r="P1613" s="111"/>
      <c r="Q1613" s="111"/>
      <c r="R1613" s="111"/>
      <c r="S1613" s="111"/>
      <c r="T1613" s="111"/>
      <c r="U1613" s="111"/>
      <c r="V1613" s="111"/>
      <c r="W1613" s="111"/>
      <c r="X1613" s="111"/>
      <c r="Y1613" s="111"/>
      <c r="Z1613" s="111" t="s">
        <v>14532</v>
      </c>
      <c r="AA1613" s="126">
        <f>IF(Projects!$AI1613="Electrolysis",
AB1613*VLOOKUP(G1613,ElectrolysisConvF,3,FALSE),
"")</f>
        <v>1049.435404</v>
      </c>
      <c r="AB1613" s="125">
        <f t="shared" si="314"/>
        <v>233207.8675</v>
      </c>
      <c r="AC1613" s="125">
        <f>100/Projects!$AJ1613</f>
        <v>181.8181818</v>
      </c>
      <c r="AD1613" s="125"/>
      <c r="AE1613" s="125">
        <f t="shared" si="282"/>
        <v>233207.8675</v>
      </c>
      <c r="AF1613" s="127" t="s">
        <v>14533</v>
      </c>
      <c r="AG1613" s="127">
        <v>59.9029347164406</v>
      </c>
      <c r="AH1613" s="127">
        <v>24.5095813357372</v>
      </c>
      <c r="AI1613" s="115" t="s">
        <v>12383</v>
      </c>
      <c r="AJ1613" s="116">
        <v>0.55</v>
      </c>
      <c r="AK1613" s="117"/>
      <c r="AL1613" s="117"/>
      <c r="AM1613" s="117"/>
      <c r="AN1613" s="117"/>
      <c r="AO1613" s="117"/>
    </row>
    <row r="1614" ht="34.5" customHeight="1">
      <c r="A1614" s="111">
        <v>2251.0</v>
      </c>
      <c r="B1614" s="111" t="s">
        <v>9618</v>
      </c>
      <c r="C1614" s="111" t="s">
        <v>7977</v>
      </c>
      <c r="D1614" s="111">
        <v>2026.0</v>
      </c>
      <c r="E1614" s="111"/>
      <c r="F1614" s="111" t="s">
        <v>12399</v>
      </c>
      <c r="G1614" s="111" t="s">
        <v>12224</v>
      </c>
      <c r="H1614" s="111"/>
      <c r="I1614" s="111" t="s">
        <v>12394</v>
      </c>
      <c r="J1614" s="111" t="s">
        <v>12291</v>
      </c>
      <c r="K1614" s="111" t="s">
        <v>30</v>
      </c>
      <c r="L1614" s="111">
        <v>1.0</v>
      </c>
      <c r="M1614" s="111">
        <v>1.0</v>
      </c>
      <c r="N1614" s="111"/>
      <c r="O1614" s="111"/>
      <c r="P1614" s="111"/>
      <c r="Q1614" s="111"/>
      <c r="R1614" s="111"/>
      <c r="S1614" s="111"/>
      <c r="T1614" s="111"/>
      <c r="U1614" s="111"/>
      <c r="V1614" s="111"/>
      <c r="W1614" s="111"/>
      <c r="X1614" s="111"/>
      <c r="Y1614" s="111"/>
      <c r="Z1614" s="111" t="s">
        <v>12802</v>
      </c>
      <c r="AA1614" s="124">
        <v>30.0</v>
      </c>
      <c r="AB1614" s="125">
        <f>IF(Projects!$AI1614="Electrolysis",
AA1614/VLOOKUP(G1614,ElectrolysisConvF,3,FALSE),
AC1614*10^6/(H2dens*HoursInYear))</f>
        <v>6521.73913</v>
      </c>
      <c r="AC1614" s="126">
        <f>AB1614*H2dens*HoursInYear/10^6</f>
        <v>5.084608696</v>
      </c>
      <c r="AD1614" s="125"/>
      <c r="AE1614" s="125">
        <f t="shared" si="282"/>
        <v>6521.73913</v>
      </c>
      <c r="AF1614" s="127" t="s">
        <v>14534</v>
      </c>
      <c r="AG1614" s="127">
        <v>38.6760226741535</v>
      </c>
      <c r="AH1614" s="127">
        <v>-4.05777364654716</v>
      </c>
      <c r="AI1614" s="115" t="s">
        <v>12383</v>
      </c>
      <c r="AJ1614" s="116">
        <v>0.3</v>
      </c>
      <c r="AK1614" s="117"/>
      <c r="AL1614" s="117"/>
      <c r="AM1614" s="117"/>
      <c r="AN1614" s="117"/>
      <c r="AO1614" s="117"/>
    </row>
    <row r="1615" ht="34.5" customHeight="1">
      <c r="A1615" s="111">
        <v>2252.0</v>
      </c>
      <c r="B1615" s="111" t="s">
        <v>9619</v>
      </c>
      <c r="C1615" s="111" t="s">
        <v>8021</v>
      </c>
      <c r="D1615" s="111"/>
      <c r="E1615" s="111"/>
      <c r="F1615" s="111" t="s">
        <v>12399</v>
      </c>
      <c r="G1615" s="111" t="s">
        <v>12381</v>
      </c>
      <c r="H1615" s="111" t="s">
        <v>12230</v>
      </c>
      <c r="I1615" s="111" t="s">
        <v>12394</v>
      </c>
      <c r="J1615" s="111" t="s">
        <v>12296</v>
      </c>
      <c r="K1615" s="111" t="s">
        <v>30</v>
      </c>
      <c r="L1615" s="111"/>
      <c r="M1615" s="111"/>
      <c r="N1615" s="111"/>
      <c r="O1615" s="111">
        <v>1.0</v>
      </c>
      <c r="P1615" s="111"/>
      <c r="Q1615" s="111"/>
      <c r="R1615" s="111"/>
      <c r="S1615" s="111"/>
      <c r="T1615" s="111"/>
      <c r="U1615" s="111"/>
      <c r="V1615" s="111"/>
      <c r="W1615" s="111"/>
      <c r="X1615" s="111"/>
      <c r="Y1615" s="111"/>
      <c r="Z1615" s="111" t="s">
        <v>14535</v>
      </c>
      <c r="AA1615" s="126">
        <f>IF(Projects!$AI1615="Electrolysis",
AB1615*VLOOKUP(G1615,ElectrolysisConvF,3,FALSE),
"")</f>
        <v>10.3894105</v>
      </c>
      <c r="AB1615" s="125">
        <f>AC1615/(H2dens*HoursInYear/10^6)</f>
        <v>2308.757888</v>
      </c>
      <c r="AC1615" s="125">
        <v>1.8</v>
      </c>
      <c r="AD1615" s="125"/>
      <c r="AE1615" s="125">
        <f t="shared" si="282"/>
        <v>2308.757888</v>
      </c>
      <c r="AF1615" s="127" t="s">
        <v>14536</v>
      </c>
      <c r="AG1615" s="127">
        <v>-37.9136751465855</v>
      </c>
      <c r="AH1615" s="127">
        <v>145.448169950393</v>
      </c>
      <c r="AI1615" s="115" t="s">
        <v>12383</v>
      </c>
      <c r="AJ1615" s="116">
        <v>0.5</v>
      </c>
      <c r="AK1615" s="117"/>
      <c r="AL1615" s="117"/>
      <c r="AM1615" s="117"/>
      <c r="AN1615" s="117"/>
      <c r="AO1615" s="117"/>
    </row>
    <row r="1616" ht="34.5" customHeight="1">
      <c r="A1616" s="111">
        <v>2253.0</v>
      </c>
      <c r="B1616" s="111" t="s">
        <v>9620</v>
      </c>
      <c r="C1616" s="111" t="s">
        <v>7991</v>
      </c>
      <c r="D1616" s="111">
        <v>2026.0</v>
      </c>
      <c r="E1616" s="111"/>
      <c r="F1616" s="111" t="s">
        <v>12393</v>
      </c>
      <c r="G1616" s="111" t="s">
        <v>12381</v>
      </c>
      <c r="H1616" s="111" t="s">
        <v>12230</v>
      </c>
      <c r="I1616" s="111" t="s">
        <v>12394</v>
      </c>
      <c r="J1616" s="111" t="s">
        <v>12296</v>
      </c>
      <c r="K1616" s="111" t="s">
        <v>30</v>
      </c>
      <c r="L1616" s="111"/>
      <c r="M1616" s="111"/>
      <c r="N1616" s="111"/>
      <c r="O1616" s="111"/>
      <c r="P1616" s="111">
        <v>1.0</v>
      </c>
      <c r="Q1616" s="111"/>
      <c r="R1616" s="111"/>
      <c r="S1616" s="111"/>
      <c r="T1616" s="111"/>
      <c r="U1616" s="111"/>
      <c r="V1616" s="111"/>
      <c r="W1616" s="111"/>
      <c r="X1616" s="111"/>
      <c r="Y1616" s="111"/>
      <c r="Z1616" s="111" t="s">
        <v>14537</v>
      </c>
      <c r="AA1616" s="124">
        <v>17.0</v>
      </c>
      <c r="AB1616" s="125">
        <f>IF(Projects!$AI1616="Electrolysis",
AA1616/VLOOKUP(G1616,ElectrolysisConvF,3,FALSE),
AC1616*10^6/(H2dens*HoursInYear))</f>
        <v>3777.777778</v>
      </c>
      <c r="AC1616" s="126">
        <f t="shared" ref="AC1616:AC1617" si="315">AB1616*H2dens*HoursInYear/10^6</f>
        <v>2.945306667</v>
      </c>
      <c r="AD1616" s="125"/>
      <c r="AE1616" s="125">
        <f t="shared" si="282"/>
        <v>3777.777778</v>
      </c>
      <c r="AF1616" s="127" t="s">
        <v>14538</v>
      </c>
      <c r="AG1616" s="127">
        <v>51.4311670747446</v>
      </c>
      <c r="AH1616" s="127">
        <v>0.328778154967668</v>
      </c>
      <c r="AI1616" s="115" t="s">
        <v>12383</v>
      </c>
      <c r="AJ1616" s="116">
        <v>0.5</v>
      </c>
      <c r="AK1616" s="117"/>
      <c r="AL1616" s="117"/>
      <c r="AM1616" s="117"/>
      <c r="AN1616" s="117"/>
      <c r="AO1616" s="117"/>
    </row>
    <row r="1617" ht="34.5" customHeight="1">
      <c r="A1617" s="111">
        <v>2254.0</v>
      </c>
      <c r="B1617" s="111" t="s">
        <v>9621</v>
      </c>
      <c r="C1617" s="111" t="s">
        <v>7977</v>
      </c>
      <c r="D1617" s="111"/>
      <c r="E1617" s="111"/>
      <c r="F1617" s="111" t="s">
        <v>12399</v>
      </c>
      <c r="G1617" s="111" t="s">
        <v>12381</v>
      </c>
      <c r="H1617" s="111" t="s">
        <v>12230</v>
      </c>
      <c r="I1617" s="111" t="s">
        <v>12394</v>
      </c>
      <c r="J1617" s="111" t="s">
        <v>12296</v>
      </c>
      <c r="K1617" s="111" t="s">
        <v>30</v>
      </c>
      <c r="L1617" s="111"/>
      <c r="M1617" s="111"/>
      <c r="N1617" s="111"/>
      <c r="O1617" s="111"/>
      <c r="P1617" s="111"/>
      <c r="Q1617" s="111"/>
      <c r="R1617" s="111"/>
      <c r="S1617" s="111"/>
      <c r="T1617" s="111"/>
      <c r="U1617" s="111"/>
      <c r="V1617" s="111"/>
      <c r="W1617" s="111"/>
      <c r="X1617" s="111"/>
      <c r="Y1617" s="111"/>
      <c r="Z1617" s="111" t="s">
        <v>12700</v>
      </c>
      <c r="AA1617" s="126">
        <v>25.0</v>
      </c>
      <c r="AB1617" s="125">
        <f>IF(Projects!$AI1617="Electrolysis",
AA1617/VLOOKUP(G1617,ElectrolysisConvF,3,FALSE),
AC1617*10^6/(H2dens*HoursInYear))</f>
        <v>5555.555556</v>
      </c>
      <c r="AC1617" s="126">
        <f t="shared" si="315"/>
        <v>4.331333333</v>
      </c>
      <c r="AD1617" s="125"/>
      <c r="AE1617" s="125">
        <f t="shared" si="282"/>
        <v>5555.555556</v>
      </c>
      <c r="AF1617" s="127" t="s">
        <v>14539</v>
      </c>
      <c r="AG1617" s="127">
        <v>40.3412480339253</v>
      </c>
      <c r="AH1617" s="127">
        <v>-1.12173587383863</v>
      </c>
      <c r="AI1617" s="115" t="s">
        <v>12383</v>
      </c>
      <c r="AJ1617" s="116">
        <v>0.5</v>
      </c>
      <c r="AK1617" s="117"/>
      <c r="AL1617" s="117"/>
      <c r="AM1617" s="117"/>
      <c r="AN1617" s="117"/>
      <c r="AO1617" s="117"/>
    </row>
    <row r="1618" ht="34.5" customHeight="1">
      <c r="A1618" s="111">
        <v>2255.0</v>
      </c>
      <c r="B1618" s="111" t="s">
        <v>9622</v>
      </c>
      <c r="C1618" s="111" t="s">
        <v>7977</v>
      </c>
      <c r="D1618" s="111"/>
      <c r="E1618" s="111"/>
      <c r="F1618" s="111" t="s">
        <v>12399</v>
      </c>
      <c r="G1618" s="111" t="s">
        <v>12381</v>
      </c>
      <c r="H1618" s="111" t="s">
        <v>12230</v>
      </c>
      <c r="I1618" s="111" t="s">
        <v>12394</v>
      </c>
      <c r="J1618" s="111" t="s">
        <v>12296</v>
      </c>
      <c r="K1618" s="111" t="s">
        <v>174</v>
      </c>
      <c r="L1618" s="111"/>
      <c r="M1618" s="111">
        <v>1.0</v>
      </c>
      <c r="N1618" s="111"/>
      <c r="O1618" s="111"/>
      <c r="P1618" s="111"/>
      <c r="Q1618" s="111"/>
      <c r="R1618" s="111"/>
      <c r="S1618" s="111"/>
      <c r="T1618" s="111"/>
      <c r="U1618" s="111"/>
      <c r="V1618" s="111"/>
      <c r="W1618" s="111"/>
      <c r="X1618" s="111"/>
      <c r="Y1618" s="111"/>
      <c r="Z1618" s="111" t="s">
        <v>14540</v>
      </c>
      <c r="AA1618" s="126">
        <f>IF(Projects!$AI1618="Electrolysis",
AB1618*VLOOKUP(G1618,ElectrolysisConvF,3,FALSE),
"")</f>
        <v>311.8070377</v>
      </c>
      <c r="AB1618" s="125">
        <f t="shared" ref="AB1618:AB1620" si="316">AC1618/(H2dens*HoursInYear/10^6)</f>
        <v>69290.45283</v>
      </c>
      <c r="AC1618" s="125">
        <f>150*3/17/0.98/Projects!$AJ1618</f>
        <v>54.02160864</v>
      </c>
      <c r="AD1618" s="125"/>
      <c r="AE1618" s="125">
        <f t="shared" si="282"/>
        <v>69290.45283</v>
      </c>
      <c r="AF1618" s="127" t="s">
        <v>14541</v>
      </c>
      <c r="AG1618" s="127">
        <v>43.3605536312833</v>
      </c>
      <c r="AH1618" s="127">
        <v>-8.49002371860196</v>
      </c>
      <c r="AI1618" s="115" t="s">
        <v>12383</v>
      </c>
      <c r="AJ1618" s="116">
        <v>0.5</v>
      </c>
      <c r="AK1618" s="117"/>
      <c r="AL1618" s="117"/>
      <c r="AM1618" s="117"/>
      <c r="AN1618" s="117"/>
      <c r="AO1618" s="117"/>
    </row>
    <row r="1619" ht="34.5" customHeight="1">
      <c r="A1619" s="111">
        <v>2256.0</v>
      </c>
      <c r="B1619" s="111" t="s">
        <v>9623</v>
      </c>
      <c r="C1619" s="111" t="s">
        <v>7977</v>
      </c>
      <c r="D1619" s="111">
        <v>2025.0</v>
      </c>
      <c r="E1619" s="111"/>
      <c r="F1619" s="111" t="s">
        <v>12399</v>
      </c>
      <c r="G1619" s="111" t="s">
        <v>12239</v>
      </c>
      <c r="H1619" s="111" t="s">
        <v>13334</v>
      </c>
      <c r="I1619" s="111"/>
      <c r="J1619" s="111"/>
      <c r="K1619" s="111" t="s">
        <v>30</v>
      </c>
      <c r="L1619" s="111"/>
      <c r="M1619" s="111"/>
      <c r="N1619" s="111"/>
      <c r="O1619" s="111"/>
      <c r="P1619" s="111"/>
      <c r="Q1619" s="111"/>
      <c r="R1619" s="111"/>
      <c r="S1619" s="111"/>
      <c r="T1619" s="111"/>
      <c r="U1619" s="111"/>
      <c r="V1619" s="111"/>
      <c r="W1619" s="111"/>
      <c r="X1619" s="111"/>
      <c r="Y1619" s="111"/>
      <c r="Z1619" s="111" t="s">
        <v>14542</v>
      </c>
      <c r="AA1619" s="124"/>
      <c r="AB1619" s="125">
        <f t="shared" si="316"/>
        <v>2280.254704</v>
      </c>
      <c r="AC1619" s="125">
        <f>1.6/Projects!$AJ1619</f>
        <v>1.777777778</v>
      </c>
      <c r="AD1619" s="125"/>
      <c r="AE1619" s="125">
        <f t="shared" si="282"/>
        <v>2280.254704</v>
      </c>
      <c r="AF1619" s="127" t="s">
        <v>14543</v>
      </c>
      <c r="AG1619" s="127">
        <v>41.6523967045885</v>
      </c>
      <c r="AH1619" s="127">
        <v>-0.903048983772471</v>
      </c>
      <c r="AI1619" s="115" t="s">
        <v>12241</v>
      </c>
      <c r="AJ1619" s="116">
        <v>0.9</v>
      </c>
      <c r="AK1619" s="117"/>
      <c r="AL1619" s="117"/>
      <c r="AM1619" s="117"/>
      <c r="AN1619" s="117"/>
      <c r="AO1619" s="117"/>
    </row>
    <row r="1620" ht="34.5" customHeight="1">
      <c r="A1620" s="111">
        <v>2257.0</v>
      </c>
      <c r="B1620" s="111" t="s">
        <v>9624</v>
      </c>
      <c r="C1620" s="111" t="s">
        <v>7981</v>
      </c>
      <c r="D1620" s="111">
        <v>2026.0</v>
      </c>
      <c r="E1620" s="111"/>
      <c r="F1620" s="111" t="s">
        <v>12397</v>
      </c>
      <c r="G1620" s="111" t="s">
        <v>12381</v>
      </c>
      <c r="H1620" s="111" t="s">
        <v>12230</v>
      </c>
      <c r="I1620" s="111" t="s">
        <v>12394</v>
      </c>
      <c r="J1620" s="111" t="s">
        <v>12296</v>
      </c>
      <c r="K1620" s="111" t="s">
        <v>30</v>
      </c>
      <c r="L1620" s="111"/>
      <c r="M1620" s="111"/>
      <c r="N1620" s="111"/>
      <c r="O1620" s="111"/>
      <c r="P1620" s="111"/>
      <c r="Q1620" s="111"/>
      <c r="R1620" s="111"/>
      <c r="S1620" s="111"/>
      <c r="T1620" s="111"/>
      <c r="U1620" s="111"/>
      <c r="V1620" s="111"/>
      <c r="W1620" s="111"/>
      <c r="X1620" s="111"/>
      <c r="Y1620" s="111"/>
      <c r="Z1620" s="111" t="s">
        <v>14544</v>
      </c>
      <c r="AA1620" s="126">
        <f>IF(Projects!$AI1620="Electrolysis",
AB1620*VLOOKUP(G1620,ElectrolysisConvF,3,FALSE),
"")</f>
        <v>189.6067416</v>
      </c>
      <c r="AB1620" s="125">
        <f t="shared" si="316"/>
        <v>42134.83146</v>
      </c>
      <c r="AC1620" s="125">
        <f>45*0.365/Projects!$AJ1620</f>
        <v>32.85</v>
      </c>
      <c r="AD1620" s="125"/>
      <c r="AE1620" s="125">
        <f t="shared" si="282"/>
        <v>42134.83146</v>
      </c>
      <c r="AF1620" s="127" t="s">
        <v>14545</v>
      </c>
      <c r="AG1620" s="127">
        <v>46.9552772152261</v>
      </c>
      <c r="AH1620" s="127">
        <v>-123.841915417813</v>
      </c>
      <c r="AI1620" s="115" t="s">
        <v>12383</v>
      </c>
      <c r="AJ1620" s="116">
        <v>0.5</v>
      </c>
      <c r="AK1620" s="117"/>
      <c r="AL1620" s="117"/>
      <c r="AM1620" s="117"/>
      <c r="AN1620" s="117"/>
      <c r="AO1620" s="117"/>
    </row>
    <row r="1621" ht="34.5" customHeight="1">
      <c r="A1621" s="111">
        <v>2258.0</v>
      </c>
      <c r="B1621" s="111" t="s">
        <v>9625</v>
      </c>
      <c r="C1621" s="111" t="s">
        <v>7987</v>
      </c>
      <c r="D1621" s="111">
        <v>2025.0</v>
      </c>
      <c r="E1621" s="111"/>
      <c r="F1621" s="111" t="s">
        <v>12399</v>
      </c>
      <c r="G1621" s="111" t="s">
        <v>12381</v>
      </c>
      <c r="H1621" s="111" t="s">
        <v>12230</v>
      </c>
      <c r="I1621" s="111" t="s">
        <v>12394</v>
      </c>
      <c r="J1621" s="111" t="s">
        <v>12296</v>
      </c>
      <c r="K1621" s="111" t="s">
        <v>30</v>
      </c>
      <c r="L1621" s="111"/>
      <c r="M1621" s="111"/>
      <c r="N1621" s="111"/>
      <c r="O1621" s="111"/>
      <c r="P1621" s="111">
        <v>1.0</v>
      </c>
      <c r="Q1621" s="111"/>
      <c r="R1621" s="111"/>
      <c r="S1621" s="111"/>
      <c r="T1621" s="111"/>
      <c r="U1621" s="111"/>
      <c r="V1621" s="111"/>
      <c r="W1621" s="111"/>
      <c r="X1621" s="111"/>
      <c r="Y1621" s="111"/>
      <c r="Z1621" s="111" t="s">
        <v>12824</v>
      </c>
      <c r="AA1621" s="124">
        <v>15.0</v>
      </c>
      <c r="AB1621" s="125">
        <f>IF(Projects!$AI1621="Electrolysis",
AA1621/VLOOKUP(G1621,ElectrolysisConvF,3,FALSE),
AC1621*10^6/(H2dens*HoursInYear))</f>
        <v>3333.333333</v>
      </c>
      <c r="AC1621" s="126">
        <f>AB1621*H2dens*HoursInYear/10^6</f>
        <v>2.5988</v>
      </c>
      <c r="AD1621" s="125"/>
      <c r="AE1621" s="125">
        <f t="shared" si="282"/>
        <v>3333.333333</v>
      </c>
      <c r="AF1621" s="127" t="s">
        <v>14546</v>
      </c>
      <c r="AG1621" s="127">
        <v>49.5728858476376</v>
      </c>
      <c r="AH1621" s="127">
        <v>10.8761673862823</v>
      </c>
      <c r="AI1621" s="115" t="s">
        <v>12383</v>
      </c>
      <c r="AJ1621" s="116">
        <v>0.5</v>
      </c>
      <c r="AK1621" s="117"/>
      <c r="AL1621" s="117"/>
      <c r="AM1621" s="117"/>
      <c r="AN1621" s="117"/>
      <c r="AO1621" s="117"/>
    </row>
    <row r="1622" ht="34.5" customHeight="1">
      <c r="A1622" s="111">
        <v>2259.0</v>
      </c>
      <c r="B1622" s="111" t="s">
        <v>9626</v>
      </c>
      <c r="C1622" s="111" t="s">
        <v>7981</v>
      </c>
      <c r="D1622" s="111">
        <v>2026.0</v>
      </c>
      <c r="E1622" s="111"/>
      <c r="F1622" s="111" t="s">
        <v>12399</v>
      </c>
      <c r="G1622" s="111" t="s">
        <v>12381</v>
      </c>
      <c r="H1622" s="111" t="s">
        <v>12230</v>
      </c>
      <c r="I1622" s="111" t="s">
        <v>12394</v>
      </c>
      <c r="J1622" s="111" t="s">
        <v>12296</v>
      </c>
      <c r="K1622" s="111" t="s">
        <v>12415</v>
      </c>
      <c r="L1622" s="111"/>
      <c r="M1622" s="111"/>
      <c r="N1622" s="111">
        <v>1.0</v>
      </c>
      <c r="O1622" s="111"/>
      <c r="P1622" s="111"/>
      <c r="Q1622" s="111"/>
      <c r="R1622" s="111"/>
      <c r="S1622" s="111"/>
      <c r="T1622" s="111"/>
      <c r="U1622" s="111"/>
      <c r="V1622" s="111"/>
      <c r="W1622" s="111"/>
      <c r="X1622" s="111"/>
      <c r="Y1622" s="111"/>
      <c r="Z1622" s="111" t="s">
        <v>14547</v>
      </c>
      <c r="AA1622" s="126">
        <f>IF(Projects!$AI1622="Electrolysis",
AB1622*VLOOKUP(G1622,ElectrolysisConvF,3,FALSE),
"")</f>
        <v>430.6845275</v>
      </c>
      <c r="AB1622" s="125">
        <f>AC1622/(H2dens*HoursInYear/10^6)</f>
        <v>95707.67277</v>
      </c>
      <c r="AC1622" s="125">
        <f>390*0.191327</f>
        <v>74.61753</v>
      </c>
      <c r="AD1622" s="125"/>
      <c r="AE1622" s="125">
        <f t="shared" si="282"/>
        <v>95707.67277</v>
      </c>
      <c r="AF1622" s="127" t="s">
        <v>14548</v>
      </c>
      <c r="AG1622" s="127">
        <v>34.7906481479028</v>
      </c>
      <c r="AH1622" s="127">
        <v>-82.8551714899322</v>
      </c>
      <c r="AI1622" s="115" t="s">
        <v>12383</v>
      </c>
      <c r="AJ1622" s="116">
        <v>0.5</v>
      </c>
      <c r="AK1622" s="117"/>
      <c r="AL1622" s="117"/>
      <c r="AM1622" s="117"/>
      <c r="AN1622" s="117"/>
      <c r="AO1622" s="117"/>
    </row>
    <row r="1623" ht="34.5" customHeight="1">
      <c r="A1623" s="111">
        <v>2260.0</v>
      </c>
      <c r="B1623" s="111" t="s">
        <v>9627</v>
      </c>
      <c r="C1623" s="111" t="s">
        <v>7977</v>
      </c>
      <c r="D1623" s="111">
        <v>2025.0</v>
      </c>
      <c r="E1623" s="111"/>
      <c r="F1623" s="111" t="s">
        <v>12399</v>
      </c>
      <c r="G1623" s="111" t="s">
        <v>12381</v>
      </c>
      <c r="H1623" s="111" t="s">
        <v>12230</v>
      </c>
      <c r="I1623" s="111" t="s">
        <v>12394</v>
      </c>
      <c r="J1623" s="111" t="s">
        <v>12296</v>
      </c>
      <c r="K1623" s="111" t="s">
        <v>30</v>
      </c>
      <c r="L1623" s="111"/>
      <c r="M1623" s="111"/>
      <c r="N1623" s="111"/>
      <c r="O1623" s="111"/>
      <c r="P1623" s="111"/>
      <c r="Q1623" s="111"/>
      <c r="R1623" s="111"/>
      <c r="S1623" s="111"/>
      <c r="T1623" s="111"/>
      <c r="U1623" s="111"/>
      <c r="V1623" s="111"/>
      <c r="W1623" s="111"/>
      <c r="X1623" s="111"/>
      <c r="Y1623" s="111"/>
      <c r="Z1623" s="111" t="s">
        <v>13200</v>
      </c>
      <c r="AA1623" s="124">
        <v>70.0</v>
      </c>
      <c r="AB1623" s="125">
        <f>IF(Projects!$AI1623="Electrolysis",
AA1623/VLOOKUP(G1623,ElectrolysisConvF,3,FALSE),
AC1623*10^6/(H2dens*HoursInYear))</f>
        <v>15555.55556</v>
      </c>
      <c r="AC1623" s="126">
        <f t="shared" ref="AC1623:AC1626" si="317">AB1623*H2dens*HoursInYear/10^6</f>
        <v>12.12773333</v>
      </c>
      <c r="AD1623" s="125"/>
      <c r="AE1623" s="125">
        <f t="shared" si="282"/>
        <v>15555.55556</v>
      </c>
      <c r="AF1623" s="127" t="s">
        <v>14549</v>
      </c>
      <c r="AG1623" s="127">
        <v>39.4178380997624</v>
      </c>
      <c r="AH1623" s="127">
        <v>-3.21761548796866</v>
      </c>
      <c r="AI1623" s="115" t="s">
        <v>12383</v>
      </c>
      <c r="AJ1623" s="116">
        <v>0.5</v>
      </c>
      <c r="AK1623" s="117"/>
      <c r="AL1623" s="117"/>
      <c r="AM1623" s="117"/>
      <c r="AN1623" s="117"/>
      <c r="AO1623" s="117"/>
    </row>
    <row r="1624" ht="34.5" customHeight="1">
      <c r="A1624" s="111">
        <v>2261.0</v>
      </c>
      <c r="B1624" s="111" t="s">
        <v>9628</v>
      </c>
      <c r="C1624" s="111" t="s">
        <v>8023</v>
      </c>
      <c r="D1624" s="111">
        <v>2025.0</v>
      </c>
      <c r="E1624" s="111"/>
      <c r="F1624" s="111" t="s">
        <v>12399</v>
      </c>
      <c r="G1624" s="111" t="s">
        <v>12381</v>
      </c>
      <c r="H1624" s="111" t="s">
        <v>12230</v>
      </c>
      <c r="I1624" s="111" t="s">
        <v>12394</v>
      </c>
      <c r="J1624" s="111" t="s">
        <v>12291</v>
      </c>
      <c r="K1624" s="111" t="s">
        <v>30</v>
      </c>
      <c r="L1624" s="111"/>
      <c r="M1624" s="111"/>
      <c r="N1624" s="111"/>
      <c r="O1624" s="111"/>
      <c r="P1624" s="111"/>
      <c r="Q1624" s="111"/>
      <c r="R1624" s="111"/>
      <c r="S1624" s="111"/>
      <c r="T1624" s="111"/>
      <c r="U1624" s="111"/>
      <c r="V1624" s="111"/>
      <c r="W1624" s="111"/>
      <c r="X1624" s="111"/>
      <c r="Y1624" s="111"/>
      <c r="Z1624" s="111" t="s">
        <v>12835</v>
      </c>
      <c r="AA1624" s="124">
        <v>5.0</v>
      </c>
      <c r="AB1624" s="125">
        <f>IF(Projects!$AI1624="Electrolysis",
AA1624/VLOOKUP(G1624,ElectrolysisConvF,3,FALSE),
AC1624*10^6/(H2dens*HoursInYear))</f>
        <v>1111.111111</v>
      </c>
      <c r="AC1624" s="126">
        <f t="shared" si="317"/>
        <v>0.8662666667</v>
      </c>
      <c r="AD1624" s="125"/>
      <c r="AE1624" s="125">
        <f t="shared" si="282"/>
        <v>1111.111111</v>
      </c>
      <c r="AF1624" s="127" t="s">
        <v>14550</v>
      </c>
      <c r="AG1624" s="127">
        <v>50.2552876286798</v>
      </c>
      <c r="AH1624" s="127">
        <v>19.0350018398115</v>
      </c>
      <c r="AI1624" s="115" t="s">
        <v>12383</v>
      </c>
      <c r="AJ1624" s="116">
        <v>0.3</v>
      </c>
      <c r="AK1624" s="117"/>
      <c r="AL1624" s="117"/>
      <c r="AM1624" s="117"/>
      <c r="AN1624" s="117"/>
      <c r="AO1624" s="117"/>
    </row>
    <row r="1625" ht="34.5" customHeight="1">
      <c r="A1625" s="111">
        <v>2262.0</v>
      </c>
      <c r="B1625" s="111" t="s">
        <v>9629</v>
      </c>
      <c r="C1625" s="111" t="s">
        <v>7991</v>
      </c>
      <c r="D1625" s="111">
        <v>2025.0</v>
      </c>
      <c r="E1625" s="111"/>
      <c r="F1625" s="111" t="s">
        <v>12393</v>
      </c>
      <c r="G1625" s="111" t="s">
        <v>12381</v>
      </c>
      <c r="H1625" s="111" t="s">
        <v>12230</v>
      </c>
      <c r="I1625" s="111" t="s">
        <v>12394</v>
      </c>
      <c r="J1625" s="111" t="s">
        <v>12296</v>
      </c>
      <c r="K1625" s="111" t="s">
        <v>30</v>
      </c>
      <c r="L1625" s="111"/>
      <c r="M1625" s="111"/>
      <c r="N1625" s="111"/>
      <c r="O1625" s="111"/>
      <c r="P1625" s="111"/>
      <c r="Q1625" s="111">
        <v>1.0</v>
      </c>
      <c r="R1625" s="111"/>
      <c r="S1625" s="111"/>
      <c r="T1625" s="111"/>
      <c r="U1625" s="111"/>
      <c r="V1625" s="111"/>
      <c r="W1625" s="111"/>
      <c r="X1625" s="111"/>
      <c r="Y1625" s="111"/>
      <c r="Z1625" s="111" t="s">
        <v>14551</v>
      </c>
      <c r="AA1625" s="124">
        <v>24.5</v>
      </c>
      <c r="AB1625" s="125">
        <f>IF(Projects!$AI1625="Electrolysis",
AA1625/VLOOKUP(G1625,ElectrolysisConvF,3,FALSE),
AC1625*10^6/(H2dens*HoursInYear))</f>
        <v>5444.444444</v>
      </c>
      <c r="AC1625" s="126">
        <f t="shared" si="317"/>
        <v>4.244706667</v>
      </c>
      <c r="AD1625" s="125"/>
      <c r="AE1625" s="125">
        <f t="shared" si="282"/>
        <v>5444.444444</v>
      </c>
      <c r="AF1625" s="127" t="s">
        <v>14552</v>
      </c>
      <c r="AG1625" s="127">
        <v>53.7981119410234</v>
      </c>
      <c r="AH1625" s="127">
        <v>-1.79487248021921</v>
      </c>
      <c r="AI1625" s="115" t="s">
        <v>12383</v>
      </c>
      <c r="AJ1625" s="116">
        <v>0.5</v>
      </c>
      <c r="AK1625" s="117"/>
      <c r="AL1625" s="117"/>
      <c r="AM1625" s="117"/>
      <c r="AN1625" s="117"/>
      <c r="AO1625" s="117"/>
    </row>
    <row r="1626" ht="34.5" customHeight="1">
      <c r="A1626" s="111">
        <v>2263.0</v>
      </c>
      <c r="B1626" s="111" t="s">
        <v>9630</v>
      </c>
      <c r="C1626" s="111" t="s">
        <v>7991</v>
      </c>
      <c r="D1626" s="111">
        <v>2026.0</v>
      </c>
      <c r="E1626" s="111"/>
      <c r="F1626" s="111" t="s">
        <v>12393</v>
      </c>
      <c r="G1626" s="111" t="s">
        <v>12381</v>
      </c>
      <c r="H1626" s="111" t="s">
        <v>12230</v>
      </c>
      <c r="I1626" s="111" t="s">
        <v>12394</v>
      </c>
      <c r="J1626" s="111" t="s">
        <v>12296</v>
      </c>
      <c r="K1626" s="111" t="s">
        <v>30</v>
      </c>
      <c r="L1626" s="111"/>
      <c r="M1626" s="111"/>
      <c r="N1626" s="111"/>
      <c r="O1626" s="111"/>
      <c r="P1626" s="111">
        <v>1.0</v>
      </c>
      <c r="Q1626" s="111">
        <v>1.0</v>
      </c>
      <c r="R1626" s="111"/>
      <c r="S1626" s="111"/>
      <c r="T1626" s="111"/>
      <c r="U1626" s="111"/>
      <c r="V1626" s="111"/>
      <c r="W1626" s="111"/>
      <c r="X1626" s="111"/>
      <c r="Y1626" s="111"/>
      <c r="Z1626" s="111" t="s">
        <v>14553</v>
      </c>
      <c r="AA1626" s="124">
        <v>10.6</v>
      </c>
      <c r="AB1626" s="125">
        <f>IF(Projects!$AI1626="Electrolysis",
AA1626/VLOOKUP(G1626,ElectrolysisConvF,3,FALSE),
AC1626*10^6/(H2dens*HoursInYear))</f>
        <v>2355.555556</v>
      </c>
      <c r="AC1626" s="126">
        <f t="shared" si="317"/>
        <v>1.836485333</v>
      </c>
      <c r="AD1626" s="125"/>
      <c r="AE1626" s="125">
        <f t="shared" si="282"/>
        <v>2355.555556</v>
      </c>
      <c r="AF1626" s="127" t="s">
        <v>14554</v>
      </c>
      <c r="AG1626" s="127">
        <v>57.6821564490991</v>
      </c>
      <c r="AH1626" s="127">
        <v>-4.03368441645542</v>
      </c>
      <c r="AI1626" s="115" t="s">
        <v>12383</v>
      </c>
      <c r="AJ1626" s="116">
        <v>0.5</v>
      </c>
      <c r="AK1626" s="117"/>
      <c r="AL1626" s="117"/>
      <c r="AM1626" s="117"/>
      <c r="AN1626" s="117"/>
      <c r="AO1626" s="117"/>
    </row>
    <row r="1627" ht="34.5" customHeight="1">
      <c r="A1627" s="111">
        <v>2265.0</v>
      </c>
      <c r="B1627" s="111" t="s">
        <v>9631</v>
      </c>
      <c r="C1627" s="111" t="s">
        <v>7991</v>
      </c>
      <c r="D1627" s="111">
        <v>2028.0</v>
      </c>
      <c r="E1627" s="111"/>
      <c r="F1627" s="111" t="s">
        <v>12399</v>
      </c>
      <c r="G1627" s="111" t="s">
        <v>12381</v>
      </c>
      <c r="H1627" s="111" t="s">
        <v>12230</v>
      </c>
      <c r="I1627" s="111" t="s">
        <v>12394</v>
      </c>
      <c r="J1627" s="111" t="s">
        <v>12296</v>
      </c>
      <c r="K1627" s="111" t="s">
        <v>30</v>
      </c>
      <c r="L1627" s="111"/>
      <c r="M1627" s="111"/>
      <c r="N1627" s="111"/>
      <c r="O1627" s="111"/>
      <c r="P1627" s="111"/>
      <c r="Q1627" s="111"/>
      <c r="R1627" s="111"/>
      <c r="S1627" s="111"/>
      <c r="T1627" s="111"/>
      <c r="U1627" s="111"/>
      <c r="V1627" s="111"/>
      <c r="W1627" s="111"/>
      <c r="X1627" s="111"/>
      <c r="Y1627" s="111"/>
      <c r="Z1627" s="111"/>
      <c r="AA1627" s="124">
        <f>IF(OR(G1627="ALK",G1627="PEM",G1627="SOEC",G1627="Other Electrolysis"),
AB1627*VLOOKUP(G1627,ElectrolysisConvF,3,FALSE),
"")</f>
        <v>0</v>
      </c>
      <c r="AB1627" s="125"/>
      <c r="AC1627" s="125"/>
      <c r="AD1627" s="125"/>
      <c r="AE1627" s="125" t="str">
        <f t="shared" si="282"/>
        <v/>
      </c>
      <c r="AF1627" s="127" t="s">
        <v>14552</v>
      </c>
      <c r="AG1627" s="127">
        <v>53.2263306124098</v>
      </c>
      <c r="AH1627" s="127">
        <v>-0.804093436344976</v>
      </c>
      <c r="AI1627" s="115" t="s">
        <v>12383</v>
      </c>
      <c r="AJ1627" s="116">
        <v>0.5</v>
      </c>
      <c r="AK1627" s="117"/>
      <c r="AL1627" s="117"/>
      <c r="AM1627" s="117"/>
      <c r="AN1627" s="117"/>
      <c r="AO1627" s="117"/>
    </row>
    <row r="1628" ht="34.5" customHeight="1">
      <c r="A1628" s="111">
        <v>2266.0</v>
      </c>
      <c r="B1628" s="111" t="s">
        <v>9632</v>
      </c>
      <c r="C1628" s="111" t="s">
        <v>7991</v>
      </c>
      <c r="D1628" s="111">
        <v>2025.0</v>
      </c>
      <c r="E1628" s="111"/>
      <c r="F1628" s="111" t="s">
        <v>12393</v>
      </c>
      <c r="G1628" s="111" t="s">
        <v>12381</v>
      </c>
      <c r="H1628" s="111" t="s">
        <v>12230</v>
      </c>
      <c r="I1628" s="111" t="s">
        <v>12394</v>
      </c>
      <c r="J1628" s="111" t="s">
        <v>12296</v>
      </c>
      <c r="K1628" s="111" t="s">
        <v>30</v>
      </c>
      <c r="L1628" s="111"/>
      <c r="M1628" s="111"/>
      <c r="N1628" s="111"/>
      <c r="O1628" s="111"/>
      <c r="P1628" s="111"/>
      <c r="Q1628" s="111"/>
      <c r="R1628" s="111"/>
      <c r="S1628" s="111"/>
      <c r="T1628" s="111"/>
      <c r="U1628" s="111"/>
      <c r="V1628" s="111"/>
      <c r="W1628" s="111"/>
      <c r="X1628" s="111"/>
      <c r="Y1628" s="111"/>
      <c r="Z1628" s="111" t="s">
        <v>14555</v>
      </c>
      <c r="AA1628" s="124">
        <v>5.2</v>
      </c>
      <c r="AB1628" s="125">
        <f>IF(Projects!$AI1628="Electrolysis",
AA1628/VLOOKUP(G1628,ElectrolysisConvF,3,FALSE),
AC1628*10^6/(H2dens*HoursInYear))</f>
        <v>1155.555556</v>
      </c>
      <c r="AC1628" s="126">
        <f t="shared" ref="AC1628:AC1631" si="318">AB1628*H2dens*HoursInYear/10^6</f>
        <v>0.9009173333</v>
      </c>
      <c r="AD1628" s="125"/>
      <c r="AE1628" s="125">
        <f t="shared" si="282"/>
        <v>1155.555556</v>
      </c>
      <c r="AF1628" s="127" t="s">
        <v>14552</v>
      </c>
      <c r="AG1628" s="127">
        <v>51.5538880842306</v>
      </c>
      <c r="AH1628" s="127">
        <v>-3.57337808442771</v>
      </c>
      <c r="AI1628" s="115" t="s">
        <v>12383</v>
      </c>
      <c r="AJ1628" s="116">
        <v>0.5</v>
      </c>
      <c r="AK1628" s="117"/>
      <c r="AL1628" s="117"/>
      <c r="AM1628" s="117"/>
      <c r="AN1628" s="117"/>
      <c r="AO1628" s="117"/>
    </row>
    <row r="1629" ht="34.5" customHeight="1">
      <c r="A1629" s="111">
        <v>2267.0</v>
      </c>
      <c r="B1629" s="111" t="s">
        <v>9633</v>
      </c>
      <c r="C1629" s="111" t="s">
        <v>7991</v>
      </c>
      <c r="D1629" s="111">
        <v>2030.0</v>
      </c>
      <c r="E1629" s="111"/>
      <c r="F1629" s="111" t="s">
        <v>12399</v>
      </c>
      <c r="G1629" s="111" t="s">
        <v>12381</v>
      </c>
      <c r="H1629" s="111" t="s">
        <v>12230</v>
      </c>
      <c r="I1629" s="111" t="s">
        <v>12394</v>
      </c>
      <c r="J1629" s="111" t="s">
        <v>12296</v>
      </c>
      <c r="K1629" s="111" t="s">
        <v>30</v>
      </c>
      <c r="L1629" s="111"/>
      <c r="M1629" s="111"/>
      <c r="N1629" s="111"/>
      <c r="O1629" s="111"/>
      <c r="P1629" s="111"/>
      <c r="Q1629" s="111"/>
      <c r="R1629" s="111"/>
      <c r="S1629" s="111">
        <v>1.0</v>
      </c>
      <c r="T1629" s="111"/>
      <c r="U1629" s="111"/>
      <c r="V1629" s="111"/>
      <c r="W1629" s="111"/>
      <c r="X1629" s="111"/>
      <c r="Y1629" s="111"/>
      <c r="Z1629" s="111" t="s">
        <v>14556</v>
      </c>
      <c r="AA1629" s="124">
        <v>8.0</v>
      </c>
      <c r="AB1629" s="125">
        <f>IF(Projects!$AI1629="Electrolysis",
AA1629/VLOOKUP(G1629,ElectrolysisConvF,3,FALSE),
AC1629*10^6/(H2dens*HoursInYear))</f>
        <v>1777.777778</v>
      </c>
      <c r="AC1629" s="126">
        <f t="shared" si="318"/>
        <v>1.386026667</v>
      </c>
      <c r="AD1629" s="125"/>
      <c r="AE1629" s="125">
        <f t="shared" si="282"/>
        <v>1777.777778</v>
      </c>
      <c r="AF1629" s="127" t="s">
        <v>14552</v>
      </c>
      <c r="AG1629" s="127">
        <v>54.0427694797672</v>
      </c>
      <c r="AH1629" s="127">
        <v>-2.66632948079446</v>
      </c>
      <c r="AI1629" s="115" t="s">
        <v>12383</v>
      </c>
      <c r="AJ1629" s="116">
        <v>0.5</v>
      </c>
      <c r="AK1629" s="117"/>
      <c r="AL1629" s="117"/>
      <c r="AM1629" s="117"/>
      <c r="AN1629" s="117"/>
      <c r="AO1629" s="117"/>
    </row>
    <row r="1630" ht="34.5" customHeight="1">
      <c r="A1630" s="111">
        <v>2268.0</v>
      </c>
      <c r="B1630" s="111" t="s">
        <v>9634</v>
      </c>
      <c r="C1630" s="111" t="s">
        <v>7991</v>
      </c>
      <c r="D1630" s="111">
        <v>2026.0</v>
      </c>
      <c r="E1630" s="111"/>
      <c r="F1630" s="111" t="s">
        <v>12399</v>
      </c>
      <c r="G1630" s="111" t="s">
        <v>12381</v>
      </c>
      <c r="H1630" s="111" t="s">
        <v>12230</v>
      </c>
      <c r="I1630" s="111" t="s">
        <v>12394</v>
      </c>
      <c r="J1630" s="111" t="s">
        <v>12296</v>
      </c>
      <c r="K1630" s="111" t="s">
        <v>30</v>
      </c>
      <c r="L1630" s="111"/>
      <c r="M1630" s="111"/>
      <c r="N1630" s="111"/>
      <c r="O1630" s="111"/>
      <c r="P1630" s="111">
        <v>1.0</v>
      </c>
      <c r="Q1630" s="111">
        <v>1.0</v>
      </c>
      <c r="R1630" s="111">
        <v>1.0</v>
      </c>
      <c r="S1630" s="111"/>
      <c r="T1630" s="111"/>
      <c r="U1630" s="111"/>
      <c r="V1630" s="111"/>
      <c r="W1630" s="111"/>
      <c r="X1630" s="111"/>
      <c r="Y1630" s="111"/>
      <c r="Z1630" s="111" t="s">
        <v>12589</v>
      </c>
      <c r="AA1630" s="124">
        <v>20.0</v>
      </c>
      <c r="AB1630" s="125">
        <f>IF(Projects!$AI1630="Electrolysis",
AA1630/VLOOKUP(G1630,ElectrolysisConvF,3,FALSE),
AC1630*10^6/(H2dens*HoursInYear))</f>
        <v>4444.444444</v>
      </c>
      <c r="AC1630" s="126">
        <f t="shared" si="318"/>
        <v>3.465066667</v>
      </c>
      <c r="AD1630" s="125"/>
      <c r="AE1630" s="125">
        <f t="shared" si="282"/>
        <v>4444.444444</v>
      </c>
      <c r="AF1630" s="127" t="s">
        <v>14557</v>
      </c>
      <c r="AG1630" s="127">
        <v>51.7138210675648</v>
      </c>
      <c r="AH1630" s="127">
        <v>-5.03503315892466</v>
      </c>
      <c r="AI1630" s="115" t="s">
        <v>12383</v>
      </c>
      <c r="AJ1630" s="116">
        <v>0.5</v>
      </c>
      <c r="AK1630" s="117"/>
      <c r="AL1630" s="117"/>
      <c r="AM1630" s="117"/>
      <c r="AN1630" s="117"/>
      <c r="AO1630" s="117"/>
    </row>
    <row r="1631" ht="34.5" customHeight="1">
      <c r="A1631" s="111">
        <v>2269.0</v>
      </c>
      <c r="B1631" s="111" t="s">
        <v>9635</v>
      </c>
      <c r="C1631" s="111" t="s">
        <v>7983</v>
      </c>
      <c r="D1631" s="111">
        <v>2025.0</v>
      </c>
      <c r="E1631" s="111"/>
      <c r="F1631" s="111" t="s">
        <v>12399</v>
      </c>
      <c r="G1631" s="111" t="s">
        <v>12381</v>
      </c>
      <c r="H1631" s="111" t="s">
        <v>12230</v>
      </c>
      <c r="I1631" s="111" t="s">
        <v>12394</v>
      </c>
      <c r="J1631" s="111" t="s">
        <v>12291</v>
      </c>
      <c r="K1631" s="111" t="s">
        <v>30</v>
      </c>
      <c r="L1631" s="111"/>
      <c r="M1631" s="111"/>
      <c r="N1631" s="111"/>
      <c r="O1631" s="111"/>
      <c r="P1631" s="111">
        <v>1.0</v>
      </c>
      <c r="Q1631" s="111"/>
      <c r="R1631" s="111"/>
      <c r="S1631" s="111"/>
      <c r="T1631" s="111"/>
      <c r="U1631" s="111"/>
      <c r="V1631" s="111"/>
      <c r="W1631" s="111"/>
      <c r="X1631" s="111"/>
      <c r="Y1631" s="111"/>
      <c r="Z1631" s="111" t="s">
        <v>13251</v>
      </c>
      <c r="AA1631" s="124">
        <v>16.0</v>
      </c>
      <c r="AB1631" s="125">
        <f>IF(Projects!$AI1631="Electrolysis",
AA1631/VLOOKUP(G1631,ElectrolysisConvF,3,FALSE),
AC1631*10^6/(H2dens*HoursInYear))</f>
        <v>3555.555556</v>
      </c>
      <c r="AC1631" s="126">
        <f t="shared" si="318"/>
        <v>2.772053333</v>
      </c>
      <c r="AD1631" s="125"/>
      <c r="AE1631" s="125">
        <f t="shared" si="282"/>
        <v>3555.555556</v>
      </c>
      <c r="AF1631" s="127" t="s">
        <v>14558</v>
      </c>
      <c r="AG1631" s="127">
        <v>35.5817868777354</v>
      </c>
      <c r="AH1631" s="127">
        <v>138.629752182902</v>
      </c>
      <c r="AI1631" s="115" t="s">
        <v>12383</v>
      </c>
      <c r="AJ1631" s="116">
        <v>0.3</v>
      </c>
      <c r="AK1631" s="117"/>
      <c r="AL1631" s="117"/>
      <c r="AM1631" s="117"/>
      <c r="AN1631" s="117"/>
      <c r="AO1631" s="117"/>
    </row>
    <row r="1632" ht="34.5" customHeight="1">
      <c r="A1632" s="111">
        <v>2270.0</v>
      </c>
      <c r="B1632" s="111" t="s">
        <v>9636</v>
      </c>
      <c r="C1632" s="111" t="s">
        <v>8539</v>
      </c>
      <c r="D1632" s="111"/>
      <c r="E1632" s="111"/>
      <c r="F1632" s="111" t="s">
        <v>12397</v>
      </c>
      <c r="G1632" s="111" t="s">
        <v>12239</v>
      </c>
      <c r="H1632" s="111" t="s">
        <v>14559</v>
      </c>
      <c r="I1632" s="111"/>
      <c r="J1632" s="111"/>
      <c r="K1632" s="111" t="s">
        <v>30</v>
      </c>
      <c r="L1632" s="111"/>
      <c r="M1632" s="111"/>
      <c r="N1632" s="111"/>
      <c r="O1632" s="111"/>
      <c r="P1632" s="111"/>
      <c r="Q1632" s="111"/>
      <c r="R1632" s="111"/>
      <c r="S1632" s="111"/>
      <c r="T1632" s="111"/>
      <c r="U1632" s="111"/>
      <c r="V1632" s="111"/>
      <c r="W1632" s="111"/>
      <c r="X1632" s="111"/>
      <c r="Y1632" s="111"/>
      <c r="Z1632" s="111"/>
      <c r="AA1632" s="124" t="str">
        <f>IF(OR(G1632="ALK",G1632="PEM",G1632="SOEC",G1632="Other Electrolysis"),
AB1632*VLOOKUP(G1632,ElectrolysisConvF,3,FALSE),
"")</f>
        <v/>
      </c>
      <c r="AB1632" s="125"/>
      <c r="AC1632" s="125"/>
      <c r="AD1632" s="125"/>
      <c r="AE1632" s="125" t="str">
        <f t="shared" si="282"/>
        <v/>
      </c>
      <c r="AF1632" s="127" t="s">
        <v>14560</v>
      </c>
      <c r="AG1632" s="127">
        <v>0.0</v>
      </c>
      <c r="AH1632" s="127">
        <v>0.0</v>
      </c>
      <c r="AI1632" s="115" t="s">
        <v>12241</v>
      </c>
      <c r="AJ1632" s="116">
        <v>0.9</v>
      </c>
      <c r="AK1632" s="117"/>
      <c r="AL1632" s="117"/>
      <c r="AM1632" s="117"/>
      <c r="AN1632" s="117"/>
      <c r="AO1632" s="117"/>
    </row>
    <row r="1633" ht="34.5" customHeight="1">
      <c r="A1633" s="111">
        <v>2271.0</v>
      </c>
      <c r="B1633" s="111" t="s">
        <v>9637</v>
      </c>
      <c r="C1633" s="111" t="s">
        <v>8562</v>
      </c>
      <c r="D1633" s="111">
        <v>2027.0</v>
      </c>
      <c r="E1633" s="111"/>
      <c r="F1633" s="111" t="s">
        <v>12397</v>
      </c>
      <c r="G1633" s="111" t="s">
        <v>12381</v>
      </c>
      <c r="H1633" s="111" t="s">
        <v>12230</v>
      </c>
      <c r="I1633" s="111" t="s">
        <v>12394</v>
      </c>
      <c r="J1633" s="111" t="s">
        <v>12295</v>
      </c>
      <c r="K1633" s="111" t="s">
        <v>174</v>
      </c>
      <c r="L1633" s="111"/>
      <c r="M1633" s="111">
        <v>1.0</v>
      </c>
      <c r="N1633" s="111"/>
      <c r="O1633" s="111"/>
      <c r="P1633" s="111"/>
      <c r="Q1633" s="111"/>
      <c r="R1633" s="111"/>
      <c r="S1633" s="111"/>
      <c r="T1633" s="111"/>
      <c r="U1633" s="111"/>
      <c r="V1633" s="111"/>
      <c r="W1633" s="111"/>
      <c r="X1633" s="111"/>
      <c r="Y1633" s="111"/>
      <c r="Z1633" s="111" t="s">
        <v>13693</v>
      </c>
      <c r="AA1633" s="126">
        <f>IF(Projects!$AI1633="Electrolysis",
AB1633*VLOOKUP(G1633,ElectrolysisConvF,3,FALSE),
"")</f>
        <v>2078.713585</v>
      </c>
      <c r="AB1633" s="125">
        <f>AC1633/(H2dens*HoursInYear/10^6)</f>
        <v>461936.3522</v>
      </c>
      <c r="AC1633" s="125">
        <f>1000*3/17/0.98/Projects!$AJ1633</f>
        <v>360.1440576</v>
      </c>
      <c r="AD1633" s="125"/>
      <c r="AE1633" s="125">
        <f t="shared" si="282"/>
        <v>461936.3522</v>
      </c>
      <c r="AF1633" s="127" t="s">
        <v>14561</v>
      </c>
      <c r="AG1633" s="127">
        <v>31.9150802186704</v>
      </c>
      <c r="AH1633" s="127">
        <v>-6.13423629771616</v>
      </c>
      <c r="AI1633" s="115" t="s">
        <v>12383</v>
      </c>
      <c r="AJ1633" s="116">
        <v>0.5</v>
      </c>
      <c r="AK1633" s="117"/>
      <c r="AL1633" s="117"/>
      <c r="AM1633" s="117"/>
      <c r="AN1633" s="117"/>
      <c r="AO1633" s="117"/>
    </row>
    <row r="1634" ht="34.5" customHeight="1">
      <c r="A1634" s="111">
        <v>2272.0</v>
      </c>
      <c r="B1634" s="111" t="s">
        <v>9638</v>
      </c>
      <c r="C1634" s="111" t="s">
        <v>8047</v>
      </c>
      <c r="D1634" s="111"/>
      <c r="E1634" s="111"/>
      <c r="F1634" s="111" t="s">
        <v>12399</v>
      </c>
      <c r="G1634" s="111" t="s">
        <v>12381</v>
      </c>
      <c r="H1634" s="111" t="s">
        <v>12230</v>
      </c>
      <c r="I1634" s="111" t="s">
        <v>12394</v>
      </c>
      <c r="J1634" s="111" t="s">
        <v>12296</v>
      </c>
      <c r="K1634" s="111" t="s">
        <v>12415</v>
      </c>
      <c r="L1634" s="111"/>
      <c r="M1634" s="111"/>
      <c r="N1634" s="111"/>
      <c r="O1634" s="111"/>
      <c r="P1634" s="111"/>
      <c r="Q1634" s="111"/>
      <c r="R1634" s="111"/>
      <c r="S1634" s="111"/>
      <c r="T1634" s="111"/>
      <c r="U1634" s="111"/>
      <c r="V1634" s="111"/>
      <c r="W1634" s="111"/>
      <c r="X1634" s="111"/>
      <c r="Y1634" s="111"/>
      <c r="Z1634" s="111"/>
      <c r="AA1634" s="124">
        <f>IF(OR(G1634="ALK",G1634="PEM",G1634="SOEC",G1634="Other Electrolysis"),
AB1634*VLOOKUP(G1634,ElectrolysisConvF,3,FALSE),
"")</f>
        <v>0</v>
      </c>
      <c r="AB1634" s="125"/>
      <c r="AC1634" s="125"/>
      <c r="AD1634" s="125"/>
      <c r="AE1634" s="125" t="str">
        <f t="shared" si="282"/>
        <v/>
      </c>
      <c r="AF1634" s="127" t="s">
        <v>14562</v>
      </c>
      <c r="AG1634" s="127">
        <v>41.1799207444629</v>
      </c>
      <c r="AH1634" s="127">
        <v>16.6561080795936</v>
      </c>
      <c r="AI1634" s="115" t="s">
        <v>12383</v>
      </c>
      <c r="AJ1634" s="116">
        <v>0.5</v>
      </c>
      <c r="AK1634" s="117"/>
      <c r="AL1634" s="117"/>
      <c r="AM1634" s="117"/>
      <c r="AN1634" s="117"/>
      <c r="AO1634" s="117"/>
    </row>
    <row r="1635" ht="34.5" customHeight="1">
      <c r="A1635" s="111">
        <v>2273.0</v>
      </c>
      <c r="B1635" s="111" t="s">
        <v>9585</v>
      </c>
      <c r="C1635" s="111" t="s">
        <v>8008</v>
      </c>
      <c r="D1635" s="111"/>
      <c r="E1635" s="111"/>
      <c r="F1635" s="111" t="s">
        <v>12397</v>
      </c>
      <c r="G1635" s="111" t="s">
        <v>12239</v>
      </c>
      <c r="H1635" s="111" t="s">
        <v>13334</v>
      </c>
      <c r="I1635" s="111"/>
      <c r="J1635" s="111"/>
      <c r="K1635" s="111" t="s">
        <v>30</v>
      </c>
      <c r="L1635" s="111"/>
      <c r="M1635" s="111"/>
      <c r="N1635" s="111"/>
      <c r="O1635" s="111"/>
      <c r="P1635" s="111"/>
      <c r="Q1635" s="111"/>
      <c r="R1635" s="111"/>
      <c r="S1635" s="111"/>
      <c r="T1635" s="111"/>
      <c r="U1635" s="111"/>
      <c r="V1635" s="111"/>
      <c r="W1635" s="111"/>
      <c r="X1635" s="111"/>
      <c r="Y1635" s="111"/>
      <c r="Z1635" s="111"/>
      <c r="AA1635" s="124" t="str">
        <f>IF(OR(G1635="ALK",G1635="PEM",G1635="SOEC",G1635="Other Electrolysis"),
AB1635*VLOOKUP(G1635,ElectrolysisConvF,3,FALSE),
"")</f>
        <v/>
      </c>
      <c r="AB1635" s="125"/>
      <c r="AC1635" s="125"/>
      <c r="AD1635" s="125"/>
      <c r="AE1635" s="125" t="str">
        <f t="shared" si="282"/>
        <v/>
      </c>
      <c r="AF1635" s="127" t="s">
        <v>14563</v>
      </c>
      <c r="AG1635" s="127">
        <v>58.6949228160264</v>
      </c>
      <c r="AH1635" s="127">
        <v>25.5570394596788</v>
      </c>
      <c r="AI1635" s="115" t="s">
        <v>12241</v>
      </c>
      <c r="AJ1635" s="116">
        <v>0.9</v>
      </c>
      <c r="AK1635" s="117"/>
      <c r="AL1635" s="117"/>
      <c r="AM1635" s="117"/>
      <c r="AN1635" s="117"/>
      <c r="AO1635" s="117"/>
    </row>
    <row r="1636" ht="39.75" customHeight="1">
      <c r="A1636" s="111">
        <v>2274.0</v>
      </c>
      <c r="B1636" s="111" t="s">
        <v>9639</v>
      </c>
      <c r="C1636" s="111" t="s">
        <v>8011</v>
      </c>
      <c r="D1636" s="111"/>
      <c r="E1636" s="111"/>
      <c r="F1636" s="111" t="s">
        <v>12397</v>
      </c>
      <c r="G1636" s="111" t="s">
        <v>12239</v>
      </c>
      <c r="H1636" s="111" t="s">
        <v>13079</v>
      </c>
      <c r="I1636" s="111"/>
      <c r="J1636" s="111"/>
      <c r="K1636" s="111" t="s">
        <v>30</v>
      </c>
      <c r="L1636" s="111"/>
      <c r="M1636" s="111"/>
      <c r="N1636" s="111"/>
      <c r="O1636" s="111"/>
      <c r="P1636" s="111"/>
      <c r="Q1636" s="111"/>
      <c r="R1636" s="111"/>
      <c r="S1636" s="111"/>
      <c r="T1636" s="111"/>
      <c r="U1636" s="111"/>
      <c r="V1636" s="111"/>
      <c r="W1636" s="111"/>
      <c r="X1636" s="111"/>
      <c r="Y1636" s="111"/>
      <c r="Z1636" s="111" t="s">
        <v>14564</v>
      </c>
      <c r="AA1636" s="124"/>
      <c r="AB1636" s="125">
        <f>AC1636/(H2dens*HoursInYear/10^6)</f>
        <v>320.6608178</v>
      </c>
      <c r="AC1636" s="125">
        <f>225/1000/Projects!$AJ1636</f>
        <v>0.25</v>
      </c>
      <c r="AD1636" s="125"/>
      <c r="AE1636" s="125">
        <f t="shared" si="282"/>
        <v>320.6608178</v>
      </c>
      <c r="AF1636" s="127" t="s">
        <v>14565</v>
      </c>
      <c r="AG1636" s="127">
        <v>48.5895522039812</v>
      </c>
      <c r="AH1636" s="127">
        <v>2.45483706966318</v>
      </c>
      <c r="AI1636" s="115" t="s">
        <v>12241</v>
      </c>
      <c r="AJ1636" s="116">
        <v>0.9</v>
      </c>
      <c r="AK1636" s="117"/>
      <c r="AL1636" s="117"/>
      <c r="AM1636" s="117"/>
      <c r="AN1636" s="117"/>
      <c r="AO1636" s="117"/>
    </row>
    <row r="1637" ht="34.5" customHeight="1">
      <c r="A1637" s="111">
        <v>2275.0</v>
      </c>
      <c r="B1637" s="111" t="s">
        <v>9640</v>
      </c>
      <c r="C1637" s="111" t="s">
        <v>8539</v>
      </c>
      <c r="D1637" s="111">
        <v>2026.0</v>
      </c>
      <c r="E1637" s="111"/>
      <c r="F1637" s="111" t="s">
        <v>12397</v>
      </c>
      <c r="G1637" s="111" t="s">
        <v>12228</v>
      </c>
      <c r="H1637" s="111"/>
      <c r="I1637" s="111" t="s">
        <v>12288</v>
      </c>
      <c r="J1637" s="111"/>
      <c r="K1637" s="111" t="s">
        <v>30</v>
      </c>
      <c r="L1637" s="111"/>
      <c r="M1637" s="111"/>
      <c r="N1637" s="111"/>
      <c r="O1637" s="111"/>
      <c r="P1637" s="111"/>
      <c r="Q1637" s="111"/>
      <c r="R1637" s="111"/>
      <c r="S1637" s="111"/>
      <c r="T1637" s="111"/>
      <c r="U1637" s="111"/>
      <c r="V1637" s="111"/>
      <c r="W1637" s="111"/>
      <c r="X1637" s="111"/>
      <c r="Y1637" s="111"/>
      <c r="Z1637" s="111"/>
      <c r="AA1637" s="124">
        <f>IF(OR(G1637="ALK",G1637="PEM",G1637="SOEC",G1637="Other Electrolysis"),
AB1637*VLOOKUP(G1637,ElectrolysisConvF,3,FALSE),
"")</f>
        <v>0</v>
      </c>
      <c r="AB1637" s="125"/>
      <c r="AC1637" s="125"/>
      <c r="AD1637" s="125"/>
      <c r="AE1637" s="125" t="str">
        <f t="shared" si="282"/>
        <v/>
      </c>
      <c r="AF1637" s="127" t="s">
        <v>14566</v>
      </c>
      <c r="AG1637" s="127">
        <v>37.5582294548829</v>
      </c>
      <c r="AH1637" s="127">
        <v>127.008457909337</v>
      </c>
      <c r="AI1637" s="115" t="s">
        <v>12383</v>
      </c>
      <c r="AJ1637" s="116">
        <v>0.8</v>
      </c>
      <c r="AK1637" s="117"/>
      <c r="AL1637" s="117"/>
      <c r="AM1637" s="117"/>
      <c r="AN1637" s="117"/>
      <c r="AO1637" s="117"/>
    </row>
    <row r="1638" ht="34.5" customHeight="1">
      <c r="A1638" s="111">
        <v>2276.0</v>
      </c>
      <c r="B1638" s="111" t="s">
        <v>9641</v>
      </c>
      <c r="C1638" s="111" t="s">
        <v>7977</v>
      </c>
      <c r="D1638" s="111"/>
      <c r="E1638" s="111"/>
      <c r="F1638" s="111" t="s">
        <v>12418</v>
      </c>
      <c r="G1638" s="111" t="s">
        <v>12381</v>
      </c>
      <c r="H1638" s="111" t="s">
        <v>12230</v>
      </c>
      <c r="I1638" s="111" t="s">
        <v>12394</v>
      </c>
      <c r="J1638" s="111" t="s">
        <v>12292</v>
      </c>
      <c r="K1638" s="111" t="s">
        <v>30</v>
      </c>
      <c r="L1638" s="111"/>
      <c r="M1638" s="111"/>
      <c r="N1638" s="111"/>
      <c r="O1638" s="111"/>
      <c r="P1638" s="111"/>
      <c r="Q1638" s="111"/>
      <c r="R1638" s="111"/>
      <c r="S1638" s="111"/>
      <c r="T1638" s="111"/>
      <c r="U1638" s="111"/>
      <c r="V1638" s="111"/>
      <c r="W1638" s="111"/>
      <c r="X1638" s="111"/>
      <c r="Y1638" s="111"/>
      <c r="Z1638" s="111" t="s">
        <v>14567</v>
      </c>
      <c r="AA1638" s="124">
        <v>0.4</v>
      </c>
      <c r="AB1638" s="125">
        <f>IF(Projects!$AI1638="Electrolysis",
AA1638/VLOOKUP(G1638,ElectrolysisConvF,3,FALSE),
AC1638*10^6/(H2dens*HoursInYear))</f>
        <v>88.88888889</v>
      </c>
      <c r="AC1638" s="126">
        <f t="shared" ref="AC1638:AC1641" si="319">AB1638*H2dens*HoursInYear/10^6</f>
        <v>0.06930133333</v>
      </c>
      <c r="AD1638" s="125"/>
      <c r="AE1638" s="125">
        <f t="shared" si="282"/>
        <v>88.88888889</v>
      </c>
      <c r="AF1638" s="127" t="s">
        <v>14568</v>
      </c>
      <c r="AG1638" s="127">
        <v>42.9383655901609</v>
      </c>
      <c r="AH1638" s="127">
        <v>-1.71222141521622</v>
      </c>
      <c r="AI1638" s="115" t="s">
        <v>12383</v>
      </c>
      <c r="AJ1638" s="116">
        <v>0.4</v>
      </c>
      <c r="AK1638" s="117"/>
      <c r="AL1638" s="117"/>
      <c r="AM1638" s="117"/>
      <c r="AN1638" s="117"/>
      <c r="AO1638" s="117"/>
    </row>
    <row r="1639" ht="34.5" customHeight="1">
      <c r="A1639" s="111">
        <v>2277.0</v>
      </c>
      <c r="B1639" s="111" t="s">
        <v>9642</v>
      </c>
      <c r="C1639" s="111" t="s">
        <v>8702</v>
      </c>
      <c r="D1639" s="111">
        <v>2026.0</v>
      </c>
      <c r="E1639" s="111"/>
      <c r="F1639" s="111" t="s">
        <v>12399</v>
      </c>
      <c r="G1639" s="111" t="s">
        <v>12381</v>
      </c>
      <c r="H1639" s="111" t="s">
        <v>12230</v>
      </c>
      <c r="I1639" s="111" t="s">
        <v>12287</v>
      </c>
      <c r="J1639" s="111" t="s">
        <v>12296</v>
      </c>
      <c r="K1639" s="111" t="s">
        <v>30</v>
      </c>
      <c r="L1639" s="111"/>
      <c r="M1639" s="111"/>
      <c r="N1639" s="111"/>
      <c r="O1639" s="111"/>
      <c r="P1639" s="111">
        <v>1.0</v>
      </c>
      <c r="Q1639" s="111">
        <v>1.0</v>
      </c>
      <c r="R1639" s="111"/>
      <c r="S1639" s="111"/>
      <c r="T1639" s="111"/>
      <c r="U1639" s="111"/>
      <c r="V1639" s="111"/>
      <c r="W1639" s="111"/>
      <c r="X1639" s="111"/>
      <c r="Y1639" s="111"/>
      <c r="Z1639" s="111" t="s">
        <v>12703</v>
      </c>
      <c r="AA1639" s="124">
        <v>10.0</v>
      </c>
      <c r="AB1639" s="125">
        <f>IF(Projects!$AI1639="Electrolysis",
AA1639/VLOOKUP(G1639,ElectrolysisConvF,3,FALSE),
AC1639*10^6/(H2dens*HoursInYear))</f>
        <v>2222.222222</v>
      </c>
      <c r="AC1639" s="126">
        <f t="shared" si="319"/>
        <v>1.732533333</v>
      </c>
      <c r="AD1639" s="125"/>
      <c r="AE1639" s="125">
        <f t="shared" si="282"/>
        <v>2222.222222</v>
      </c>
      <c r="AF1639" s="127" t="s">
        <v>14569</v>
      </c>
      <c r="AG1639" s="127">
        <v>53.8245248086156</v>
      </c>
      <c r="AH1639" s="127">
        <v>-6.42897393744687</v>
      </c>
      <c r="AI1639" s="115" t="s">
        <v>12383</v>
      </c>
      <c r="AJ1639" s="116">
        <v>0.57</v>
      </c>
      <c r="AK1639" s="117"/>
      <c r="AL1639" s="117"/>
      <c r="AM1639" s="117"/>
      <c r="AN1639" s="117"/>
      <c r="AO1639" s="117"/>
    </row>
    <row r="1640" ht="34.5" customHeight="1">
      <c r="A1640" s="111">
        <v>2278.0</v>
      </c>
      <c r="B1640" s="111" t="s">
        <v>9643</v>
      </c>
      <c r="C1640" s="111" t="s">
        <v>8702</v>
      </c>
      <c r="D1640" s="111">
        <v>2025.0</v>
      </c>
      <c r="E1640" s="111"/>
      <c r="F1640" s="111" t="s">
        <v>12393</v>
      </c>
      <c r="G1640" s="111" t="s">
        <v>12381</v>
      </c>
      <c r="H1640" s="111" t="s">
        <v>12230</v>
      </c>
      <c r="I1640" s="111" t="s">
        <v>12394</v>
      </c>
      <c r="J1640" s="111" t="s">
        <v>12292</v>
      </c>
      <c r="K1640" s="111" t="s">
        <v>30</v>
      </c>
      <c r="L1640" s="111"/>
      <c r="M1640" s="111"/>
      <c r="N1640" s="111"/>
      <c r="O1640" s="111"/>
      <c r="P1640" s="111"/>
      <c r="Q1640" s="111"/>
      <c r="R1640" s="111"/>
      <c r="S1640" s="111"/>
      <c r="T1640" s="111"/>
      <c r="U1640" s="111"/>
      <c r="V1640" s="111"/>
      <c r="W1640" s="111"/>
      <c r="X1640" s="111"/>
      <c r="Y1640" s="111"/>
      <c r="Z1640" s="111" t="s">
        <v>12720</v>
      </c>
      <c r="AA1640" s="124">
        <v>2.0</v>
      </c>
      <c r="AB1640" s="125">
        <f>IF(Projects!$AI1640="Electrolysis",
AA1640/VLOOKUP(G1640,ElectrolysisConvF,3,FALSE),
AC1640*10^6/(H2dens*HoursInYear))</f>
        <v>444.4444444</v>
      </c>
      <c r="AC1640" s="126">
        <f t="shared" si="319"/>
        <v>0.3465066667</v>
      </c>
      <c r="AD1640" s="125"/>
      <c r="AE1640" s="125">
        <f t="shared" si="282"/>
        <v>444.4444444</v>
      </c>
      <c r="AF1640" s="127" t="s">
        <v>14570</v>
      </c>
      <c r="AG1640" s="127">
        <v>53.2966089746484</v>
      </c>
      <c r="AH1640" s="127">
        <v>-7.22096104349862</v>
      </c>
      <c r="AI1640" s="115" t="s">
        <v>12383</v>
      </c>
      <c r="AJ1640" s="116">
        <v>0.4</v>
      </c>
      <c r="AK1640" s="117"/>
      <c r="AL1640" s="117"/>
      <c r="AM1640" s="117"/>
      <c r="AN1640" s="117"/>
      <c r="AO1640" s="117"/>
    </row>
    <row r="1641" ht="34.5" customHeight="1">
      <c r="A1641" s="111">
        <v>2279.0</v>
      </c>
      <c r="B1641" s="111" t="s">
        <v>9644</v>
      </c>
      <c r="C1641" s="111" t="s">
        <v>8702</v>
      </c>
      <c r="D1641" s="111"/>
      <c r="E1641" s="111"/>
      <c r="F1641" s="111" t="s">
        <v>12399</v>
      </c>
      <c r="G1641" s="111" t="s">
        <v>12381</v>
      </c>
      <c r="H1641" s="111" t="s">
        <v>12230</v>
      </c>
      <c r="I1641" s="111" t="s">
        <v>12394</v>
      </c>
      <c r="J1641" s="111" t="s">
        <v>12292</v>
      </c>
      <c r="K1641" s="111" t="s">
        <v>30</v>
      </c>
      <c r="L1641" s="111"/>
      <c r="M1641" s="111"/>
      <c r="N1641" s="111"/>
      <c r="O1641" s="111"/>
      <c r="P1641" s="111"/>
      <c r="Q1641" s="111">
        <v>1.0</v>
      </c>
      <c r="R1641" s="111"/>
      <c r="S1641" s="111"/>
      <c r="T1641" s="111"/>
      <c r="U1641" s="111"/>
      <c r="V1641" s="111"/>
      <c r="W1641" s="111"/>
      <c r="X1641" s="111"/>
      <c r="Y1641" s="111"/>
      <c r="Z1641" s="111" t="s">
        <v>13497</v>
      </c>
      <c r="AA1641" s="124">
        <v>80.0</v>
      </c>
      <c r="AB1641" s="125">
        <f>IF(Projects!$AI1641="Electrolysis",
AA1641/VLOOKUP(G1641,ElectrolysisConvF,3,FALSE),
AC1641*10^6/(H2dens*HoursInYear))</f>
        <v>17777.77778</v>
      </c>
      <c r="AC1641" s="126">
        <f t="shared" si="319"/>
        <v>13.86026667</v>
      </c>
      <c r="AD1641" s="125"/>
      <c r="AE1641" s="125">
        <f t="shared" si="282"/>
        <v>17777.77778</v>
      </c>
      <c r="AF1641" s="127" t="s">
        <v>14571</v>
      </c>
      <c r="AG1641" s="127">
        <v>53.9957672401246</v>
      </c>
      <c r="AH1641" s="127">
        <v>-9.52015255901722</v>
      </c>
      <c r="AI1641" s="115" t="s">
        <v>12383</v>
      </c>
      <c r="AJ1641" s="116">
        <v>0.4</v>
      </c>
      <c r="AK1641" s="117"/>
      <c r="AL1641" s="117"/>
      <c r="AM1641" s="117"/>
      <c r="AN1641" s="117"/>
      <c r="AO1641" s="117"/>
    </row>
    <row r="1642" ht="34.5" customHeight="1">
      <c r="A1642" s="111">
        <v>2280.0</v>
      </c>
      <c r="B1642" s="111" t="s">
        <v>9645</v>
      </c>
      <c r="C1642" s="111" t="s">
        <v>8702</v>
      </c>
      <c r="D1642" s="111">
        <v>2030.0</v>
      </c>
      <c r="E1642" s="111"/>
      <c r="F1642" s="111" t="s">
        <v>12397</v>
      </c>
      <c r="G1642" s="111" t="s">
        <v>12381</v>
      </c>
      <c r="H1642" s="111" t="s">
        <v>12230</v>
      </c>
      <c r="I1642" s="111" t="s">
        <v>12394</v>
      </c>
      <c r="J1642" s="111" t="s">
        <v>12293</v>
      </c>
      <c r="K1642" s="111" t="s">
        <v>30</v>
      </c>
      <c r="L1642" s="111"/>
      <c r="M1642" s="111"/>
      <c r="N1642" s="111"/>
      <c r="O1642" s="111"/>
      <c r="P1642" s="111"/>
      <c r="Q1642" s="111"/>
      <c r="R1642" s="111"/>
      <c r="S1642" s="111"/>
      <c r="T1642" s="111"/>
      <c r="U1642" s="111"/>
      <c r="V1642" s="111"/>
      <c r="W1642" s="111"/>
      <c r="X1642" s="111"/>
      <c r="Y1642" s="111"/>
      <c r="Z1642" s="111"/>
      <c r="AA1642" s="124">
        <f>IF(OR(G1642="ALK",G1642="PEM",G1642="SOEC",G1642="Other Electrolysis"),
AB1642*VLOOKUP(G1642,ElectrolysisConvF,3,FALSE),
"")</f>
        <v>0</v>
      </c>
      <c r="AB1642" s="125"/>
      <c r="AC1642" s="125"/>
      <c r="AD1642" s="125"/>
      <c r="AE1642" s="125" t="str">
        <f t="shared" si="282"/>
        <v/>
      </c>
      <c r="AF1642" s="127" t="s">
        <v>14572</v>
      </c>
      <c r="AG1642" s="127">
        <v>52.6791165999513</v>
      </c>
      <c r="AH1642" s="127">
        <v>-9.06425607643631</v>
      </c>
      <c r="AI1642" s="115" t="s">
        <v>12383</v>
      </c>
      <c r="AJ1642" s="116">
        <v>0.55</v>
      </c>
      <c r="AK1642" s="117"/>
      <c r="AL1642" s="117"/>
      <c r="AM1642" s="117"/>
      <c r="AN1642" s="117"/>
      <c r="AO1642" s="117"/>
    </row>
    <row r="1643" ht="34.5" customHeight="1">
      <c r="A1643" s="111">
        <v>2281.0</v>
      </c>
      <c r="B1643" s="111" t="s">
        <v>9646</v>
      </c>
      <c r="C1643" s="111" t="s">
        <v>8702</v>
      </c>
      <c r="D1643" s="111">
        <v>2026.0</v>
      </c>
      <c r="E1643" s="111"/>
      <c r="F1643" s="111" t="s">
        <v>12399</v>
      </c>
      <c r="G1643" s="111" t="s">
        <v>12381</v>
      </c>
      <c r="H1643" s="111" t="s">
        <v>12230</v>
      </c>
      <c r="I1643" s="111" t="s">
        <v>12394</v>
      </c>
      <c r="J1643" s="111" t="s">
        <v>12296</v>
      </c>
      <c r="K1643" s="111" t="s">
        <v>30</v>
      </c>
      <c r="L1643" s="111"/>
      <c r="M1643" s="111"/>
      <c r="N1643" s="111"/>
      <c r="O1643" s="111"/>
      <c r="P1643" s="111"/>
      <c r="Q1643" s="111"/>
      <c r="R1643" s="111"/>
      <c r="S1643" s="111"/>
      <c r="T1643" s="111"/>
      <c r="U1643" s="111"/>
      <c r="V1643" s="111"/>
      <c r="W1643" s="111"/>
      <c r="X1643" s="111"/>
      <c r="Y1643" s="111"/>
      <c r="Z1643" s="111" t="s">
        <v>12768</v>
      </c>
      <c r="AA1643" s="124">
        <v>50.0</v>
      </c>
      <c r="AB1643" s="125">
        <f>IF(Projects!$AI1643="Electrolysis",
AA1643/VLOOKUP(G1643,ElectrolysisConvF,3,FALSE),
AC1643*10^6/(H2dens*HoursInYear))</f>
        <v>11111.11111</v>
      </c>
      <c r="AC1643" s="126">
        <f t="shared" ref="AC1643:AC1644" si="320">AB1643*H2dens*HoursInYear/10^6</f>
        <v>8.662666667</v>
      </c>
      <c r="AD1643" s="125"/>
      <c r="AE1643" s="125">
        <f t="shared" si="282"/>
        <v>11111.11111</v>
      </c>
      <c r="AF1643" s="127" t="s">
        <v>14573</v>
      </c>
      <c r="AG1643" s="127">
        <v>51.8377185090546</v>
      </c>
      <c r="AH1643" s="127">
        <v>-8.20522034086703</v>
      </c>
      <c r="AI1643" s="115" t="s">
        <v>12383</v>
      </c>
      <c r="AJ1643" s="116">
        <v>0.5</v>
      </c>
      <c r="AK1643" s="117"/>
      <c r="AL1643" s="117"/>
      <c r="AM1643" s="117"/>
      <c r="AN1643" s="117"/>
      <c r="AO1643" s="117"/>
    </row>
    <row r="1644" ht="34.5" customHeight="1">
      <c r="A1644" s="111">
        <v>2282.0</v>
      </c>
      <c r="B1644" s="111" t="s">
        <v>9647</v>
      </c>
      <c r="C1644" s="111" t="s">
        <v>7987</v>
      </c>
      <c r="D1644" s="111">
        <v>2025.0</v>
      </c>
      <c r="E1644" s="111"/>
      <c r="F1644" s="111" t="s">
        <v>12399</v>
      </c>
      <c r="G1644" s="111" t="s">
        <v>12381</v>
      </c>
      <c r="H1644" s="111" t="s">
        <v>12230</v>
      </c>
      <c r="I1644" s="111" t="s">
        <v>12394</v>
      </c>
      <c r="J1644" s="111" t="s">
        <v>12296</v>
      </c>
      <c r="K1644" s="111" t="s">
        <v>30</v>
      </c>
      <c r="L1644" s="111"/>
      <c r="M1644" s="111"/>
      <c r="N1644" s="111"/>
      <c r="O1644" s="111"/>
      <c r="P1644" s="111"/>
      <c r="Q1644" s="111"/>
      <c r="R1644" s="111"/>
      <c r="S1644" s="111"/>
      <c r="T1644" s="111"/>
      <c r="U1644" s="111"/>
      <c r="V1644" s="111"/>
      <c r="W1644" s="111"/>
      <c r="X1644" s="111"/>
      <c r="Y1644" s="111"/>
      <c r="Z1644" s="111" t="s">
        <v>12589</v>
      </c>
      <c r="AA1644" s="124">
        <v>20.0</v>
      </c>
      <c r="AB1644" s="125">
        <f>IF(Projects!$AI1644="Electrolysis",
AA1644/VLOOKUP(G1644,ElectrolysisConvF,3,FALSE),
AC1644*10^6/(H2dens*HoursInYear))</f>
        <v>4444.444444</v>
      </c>
      <c r="AC1644" s="126">
        <f t="shared" si="320"/>
        <v>3.465066667</v>
      </c>
      <c r="AD1644" s="125"/>
      <c r="AE1644" s="125">
        <f t="shared" si="282"/>
        <v>4444.444444</v>
      </c>
      <c r="AF1644" s="127" t="s">
        <v>14574</v>
      </c>
      <c r="AG1644" s="127">
        <v>51.45565445873</v>
      </c>
      <c r="AH1644" s="127">
        <v>6.76888638813079</v>
      </c>
      <c r="AI1644" s="115" t="s">
        <v>12383</v>
      </c>
      <c r="AJ1644" s="116">
        <v>0.5</v>
      </c>
      <c r="AK1644" s="117"/>
      <c r="AL1644" s="117"/>
      <c r="AM1644" s="117"/>
      <c r="AN1644" s="117"/>
      <c r="AO1644" s="117"/>
    </row>
    <row r="1645" ht="34.5" customHeight="1">
      <c r="A1645" s="111">
        <v>2283.0</v>
      </c>
      <c r="B1645" s="111" t="s">
        <v>9648</v>
      </c>
      <c r="C1645" s="111" t="s">
        <v>9649</v>
      </c>
      <c r="D1645" s="111">
        <v>2028.0</v>
      </c>
      <c r="E1645" s="111"/>
      <c r="F1645" s="111" t="s">
        <v>12399</v>
      </c>
      <c r="G1645" s="111" t="s">
        <v>12381</v>
      </c>
      <c r="H1645" s="111" t="s">
        <v>12230</v>
      </c>
      <c r="I1645" s="111" t="s">
        <v>12394</v>
      </c>
      <c r="J1645" s="111" t="s">
        <v>12291</v>
      </c>
      <c r="K1645" s="111" t="s">
        <v>174</v>
      </c>
      <c r="L1645" s="111"/>
      <c r="M1645" s="111">
        <v>1.0</v>
      </c>
      <c r="N1645" s="111"/>
      <c r="O1645" s="111"/>
      <c r="P1645" s="111"/>
      <c r="Q1645" s="111"/>
      <c r="R1645" s="111"/>
      <c r="S1645" s="111">
        <v>1.0</v>
      </c>
      <c r="T1645" s="111"/>
      <c r="U1645" s="111"/>
      <c r="V1645" s="111"/>
      <c r="W1645" s="111"/>
      <c r="X1645" s="111"/>
      <c r="Y1645" s="111"/>
      <c r="Z1645" s="111" t="s">
        <v>14575</v>
      </c>
      <c r="AA1645" s="126">
        <f>IF(Projects!$AI1645="Electrolysis",
AB1645*VLOOKUP(G1645,ElectrolysisConvF,3,FALSE),
"")</f>
        <v>346.4522641</v>
      </c>
      <c r="AB1645" s="125">
        <f t="shared" ref="AB1645:AB1646" si="321">AC1645/(H2dens*HoursInYear/10^6)</f>
        <v>76989.39203</v>
      </c>
      <c r="AC1645" s="125">
        <f>(100*3/17/0.98/Projects!$AJ1645)</f>
        <v>60.0240096</v>
      </c>
      <c r="AD1645" s="125"/>
      <c r="AE1645" s="125">
        <f t="shared" si="282"/>
        <v>76989.39203</v>
      </c>
      <c r="AF1645" s="127" t="s">
        <v>14576</v>
      </c>
      <c r="AG1645" s="127">
        <v>29.4906412867415</v>
      </c>
      <c r="AH1645" s="127">
        <v>34.988208201008</v>
      </c>
      <c r="AI1645" s="115" t="s">
        <v>12383</v>
      </c>
      <c r="AJ1645" s="116">
        <v>0.3</v>
      </c>
      <c r="AK1645" s="117"/>
      <c r="AL1645" s="117"/>
      <c r="AM1645" s="117"/>
      <c r="AN1645" s="117"/>
      <c r="AO1645" s="117"/>
    </row>
    <row r="1646" ht="34.5" customHeight="1">
      <c r="A1646" s="111">
        <v>2284.0</v>
      </c>
      <c r="B1646" s="111" t="s">
        <v>9650</v>
      </c>
      <c r="C1646" s="111" t="s">
        <v>7977</v>
      </c>
      <c r="D1646" s="111"/>
      <c r="E1646" s="111"/>
      <c r="F1646" s="111" t="s">
        <v>12397</v>
      </c>
      <c r="G1646" s="111" t="s">
        <v>12226</v>
      </c>
      <c r="H1646" s="111"/>
      <c r="I1646" s="111" t="s">
        <v>12394</v>
      </c>
      <c r="J1646" s="111" t="s">
        <v>12296</v>
      </c>
      <c r="K1646" s="111" t="s">
        <v>30</v>
      </c>
      <c r="L1646" s="111"/>
      <c r="M1646" s="111"/>
      <c r="N1646" s="111"/>
      <c r="O1646" s="111"/>
      <c r="P1646" s="111">
        <v>1.0</v>
      </c>
      <c r="Q1646" s="111"/>
      <c r="R1646" s="111"/>
      <c r="S1646" s="111"/>
      <c r="T1646" s="111"/>
      <c r="U1646" s="111"/>
      <c r="V1646" s="111"/>
      <c r="W1646" s="111"/>
      <c r="X1646" s="111"/>
      <c r="Y1646" s="111"/>
      <c r="Z1646" s="111" t="s">
        <v>14099</v>
      </c>
      <c r="AA1646" s="126">
        <f>IF(Projects!$AI1646="Electrolysis",
AB1646*VLOOKUP(G1646,ElectrolysisConvF,3,FALSE),
"")</f>
        <v>13339.49002</v>
      </c>
      <c r="AB1646" s="125">
        <f t="shared" si="321"/>
        <v>2565286.543</v>
      </c>
      <c r="AC1646" s="125">
        <f>1000/Projects!$AJ1646</f>
        <v>2000</v>
      </c>
      <c r="AD1646" s="125"/>
      <c r="AE1646" s="125">
        <f t="shared" si="282"/>
        <v>2565286.543</v>
      </c>
      <c r="AF1646" s="127" t="s">
        <v>14577</v>
      </c>
      <c r="AG1646" s="127">
        <v>38.6009238839647</v>
      </c>
      <c r="AH1646" s="127">
        <v>-3.85821545642448</v>
      </c>
      <c r="AI1646" s="115" t="s">
        <v>12383</v>
      </c>
      <c r="AJ1646" s="116">
        <v>0.5</v>
      </c>
      <c r="AK1646" s="117"/>
      <c r="AL1646" s="117"/>
      <c r="AM1646" s="117"/>
      <c r="AN1646" s="117"/>
      <c r="AO1646" s="117"/>
    </row>
    <row r="1647" ht="34.5" customHeight="1">
      <c r="A1647" s="111">
        <v>2285.0</v>
      </c>
      <c r="B1647" s="111" t="s">
        <v>9651</v>
      </c>
      <c r="C1647" s="111" t="s">
        <v>8021</v>
      </c>
      <c r="D1647" s="111"/>
      <c r="E1647" s="111"/>
      <c r="F1647" s="111" t="s">
        <v>12397</v>
      </c>
      <c r="G1647" s="111" t="s">
        <v>12381</v>
      </c>
      <c r="H1647" s="111" t="s">
        <v>12230</v>
      </c>
      <c r="I1647" s="111" t="s">
        <v>12394</v>
      </c>
      <c r="J1647" s="111" t="s">
        <v>12291</v>
      </c>
      <c r="K1647" s="111" t="s">
        <v>30</v>
      </c>
      <c r="L1647" s="111"/>
      <c r="M1647" s="111"/>
      <c r="N1647" s="111"/>
      <c r="O1647" s="111"/>
      <c r="P1647" s="111"/>
      <c r="Q1647" s="111"/>
      <c r="R1647" s="111"/>
      <c r="S1647" s="111"/>
      <c r="T1647" s="111"/>
      <c r="U1647" s="111"/>
      <c r="V1647" s="111"/>
      <c r="W1647" s="111"/>
      <c r="X1647" s="111"/>
      <c r="Y1647" s="111"/>
      <c r="Z1647" s="111" t="s">
        <v>12768</v>
      </c>
      <c r="AA1647" s="124">
        <v>50.0</v>
      </c>
      <c r="AB1647" s="125">
        <f>IF(Projects!$AI1647="Electrolysis",
AA1647/VLOOKUP(G1647,ElectrolysisConvF,3,FALSE),
AC1647*10^6/(H2dens*HoursInYear))</f>
        <v>11111.11111</v>
      </c>
      <c r="AC1647" s="126">
        <f t="shared" ref="AC1647:AC1650" si="322">AB1647*H2dens*HoursInYear/10^6</f>
        <v>8.662666667</v>
      </c>
      <c r="AD1647" s="125"/>
      <c r="AE1647" s="125">
        <f t="shared" si="282"/>
        <v>11111.11111</v>
      </c>
      <c r="AF1647" s="127" t="s">
        <v>14578</v>
      </c>
      <c r="AG1647" s="127">
        <v>-26.7463521256063</v>
      </c>
      <c r="AH1647" s="127">
        <v>150.625441390265</v>
      </c>
      <c r="AI1647" s="115" t="s">
        <v>12383</v>
      </c>
      <c r="AJ1647" s="116">
        <v>0.3</v>
      </c>
      <c r="AK1647" s="117"/>
      <c r="AL1647" s="117"/>
      <c r="AM1647" s="117"/>
      <c r="AN1647" s="117"/>
      <c r="AO1647" s="117"/>
    </row>
    <row r="1648" ht="34.5" customHeight="1">
      <c r="A1648" s="111">
        <v>2286.0</v>
      </c>
      <c r="B1648" s="111" t="s">
        <v>9652</v>
      </c>
      <c r="C1648" s="111" t="s">
        <v>8021</v>
      </c>
      <c r="D1648" s="111">
        <v>2024.0</v>
      </c>
      <c r="E1648" s="111"/>
      <c r="F1648" s="111" t="s">
        <v>12399</v>
      </c>
      <c r="G1648" s="111" t="s">
        <v>12381</v>
      </c>
      <c r="H1648" s="111" t="s">
        <v>12230</v>
      </c>
      <c r="I1648" s="111" t="s">
        <v>12394</v>
      </c>
      <c r="J1648" s="111" t="s">
        <v>12291</v>
      </c>
      <c r="K1648" s="111" t="s">
        <v>30</v>
      </c>
      <c r="L1648" s="111"/>
      <c r="M1648" s="111"/>
      <c r="N1648" s="111"/>
      <c r="O1648" s="111"/>
      <c r="P1648" s="111"/>
      <c r="Q1648" s="111"/>
      <c r="R1648" s="111"/>
      <c r="S1648" s="111"/>
      <c r="T1648" s="111"/>
      <c r="U1648" s="111"/>
      <c r="V1648" s="111"/>
      <c r="W1648" s="111"/>
      <c r="X1648" s="111"/>
      <c r="Y1648" s="111"/>
      <c r="Z1648" s="111" t="s">
        <v>14579</v>
      </c>
      <c r="AA1648" s="124">
        <v>0.25</v>
      </c>
      <c r="AB1648" s="125">
        <f>IF(Projects!$AI1648="Electrolysis",
AA1648/VLOOKUP(G1648,ElectrolysisConvF,3,FALSE),
AC1648*10^6/(H2dens*HoursInYear))</f>
        <v>55.55555556</v>
      </c>
      <c r="AC1648" s="126">
        <f t="shared" si="322"/>
        <v>0.04331333333</v>
      </c>
      <c r="AD1648" s="125"/>
      <c r="AE1648" s="125">
        <f t="shared" si="282"/>
        <v>55.55555556</v>
      </c>
      <c r="AF1648" s="127" t="s">
        <v>14580</v>
      </c>
      <c r="AG1648" s="127">
        <v>-27.2631292935574</v>
      </c>
      <c r="AH1648" s="127">
        <v>150.942306277066</v>
      </c>
      <c r="AI1648" s="115" t="s">
        <v>12383</v>
      </c>
      <c r="AJ1648" s="116">
        <v>0.3</v>
      </c>
      <c r="AK1648" s="117"/>
      <c r="AL1648" s="117"/>
      <c r="AM1648" s="117"/>
      <c r="AN1648" s="117"/>
      <c r="AO1648" s="117"/>
    </row>
    <row r="1649" ht="34.5" customHeight="1">
      <c r="A1649" s="111">
        <v>2287.0</v>
      </c>
      <c r="B1649" s="111" t="s">
        <v>9653</v>
      </c>
      <c r="C1649" s="111" t="s">
        <v>8021</v>
      </c>
      <c r="D1649" s="111">
        <v>2024.0</v>
      </c>
      <c r="E1649" s="111"/>
      <c r="F1649" s="111" t="s">
        <v>12399</v>
      </c>
      <c r="G1649" s="111" t="s">
        <v>12381</v>
      </c>
      <c r="H1649" s="111" t="s">
        <v>12230</v>
      </c>
      <c r="I1649" s="111" t="s">
        <v>12394</v>
      </c>
      <c r="J1649" s="111" t="s">
        <v>12291</v>
      </c>
      <c r="K1649" s="111" t="s">
        <v>30</v>
      </c>
      <c r="L1649" s="111"/>
      <c r="M1649" s="111"/>
      <c r="N1649" s="111"/>
      <c r="O1649" s="111"/>
      <c r="P1649" s="111"/>
      <c r="Q1649" s="111"/>
      <c r="R1649" s="111"/>
      <c r="S1649" s="111"/>
      <c r="T1649" s="111"/>
      <c r="U1649" s="111"/>
      <c r="V1649" s="111"/>
      <c r="W1649" s="111"/>
      <c r="X1649" s="111"/>
      <c r="Y1649" s="111"/>
      <c r="Z1649" s="111" t="s">
        <v>13497</v>
      </c>
      <c r="AA1649" s="124">
        <v>80.0</v>
      </c>
      <c r="AB1649" s="125">
        <f>IF(Projects!$AI1649="Electrolysis",
AA1649/VLOOKUP(G1649,ElectrolysisConvF,3,FALSE),
AC1649*10^6/(H2dens*HoursInYear))</f>
        <v>17777.77778</v>
      </c>
      <c r="AC1649" s="126">
        <f t="shared" si="322"/>
        <v>13.86026667</v>
      </c>
      <c r="AD1649" s="125"/>
      <c r="AE1649" s="125">
        <f t="shared" si="282"/>
        <v>17777.77778</v>
      </c>
      <c r="AF1649" s="127" t="s">
        <v>14580</v>
      </c>
      <c r="AG1649" s="127">
        <v>-27.2631292935574</v>
      </c>
      <c r="AH1649" s="127">
        <v>150.942306277066</v>
      </c>
      <c r="AI1649" s="115" t="s">
        <v>12383</v>
      </c>
      <c r="AJ1649" s="116">
        <v>0.3</v>
      </c>
      <c r="AK1649" s="117"/>
      <c r="AL1649" s="117"/>
      <c r="AM1649" s="117"/>
      <c r="AN1649" s="117"/>
      <c r="AO1649" s="117"/>
    </row>
    <row r="1650" ht="34.5" customHeight="1">
      <c r="A1650" s="111">
        <v>2288.0</v>
      </c>
      <c r="B1650" s="111" t="s">
        <v>9654</v>
      </c>
      <c r="C1650" s="111" t="s">
        <v>8001</v>
      </c>
      <c r="D1650" s="111">
        <v>2023.0</v>
      </c>
      <c r="E1650" s="111"/>
      <c r="F1650" s="111" t="s">
        <v>12385</v>
      </c>
      <c r="G1650" s="111" t="s">
        <v>12224</v>
      </c>
      <c r="H1650" s="111"/>
      <c r="I1650" s="111" t="s">
        <v>12394</v>
      </c>
      <c r="J1650" s="111" t="s">
        <v>12291</v>
      </c>
      <c r="K1650" s="111" t="s">
        <v>30</v>
      </c>
      <c r="L1650" s="111"/>
      <c r="M1650" s="111"/>
      <c r="N1650" s="111"/>
      <c r="O1650" s="111"/>
      <c r="P1650" s="111">
        <v>1.0</v>
      </c>
      <c r="Q1650" s="111">
        <v>1.0</v>
      </c>
      <c r="R1650" s="111"/>
      <c r="S1650" s="111"/>
      <c r="T1650" s="111"/>
      <c r="U1650" s="111"/>
      <c r="V1650" s="111"/>
      <c r="W1650" s="111"/>
      <c r="X1650" s="111"/>
      <c r="Y1650" s="111"/>
      <c r="Z1650" s="111" t="s">
        <v>14581</v>
      </c>
      <c r="AA1650" s="126">
        <f>IF(Projects!$AI1650="Electrolysis",
AB1650*VLOOKUP(G1650,ElectrolysisConvF,3,FALSE),
"")</f>
        <v>69</v>
      </c>
      <c r="AB1650" s="125">
        <f>15*1000</f>
        <v>15000</v>
      </c>
      <c r="AC1650" s="125">
        <f t="shared" si="322"/>
        <v>11.6946</v>
      </c>
      <c r="AD1650" s="125"/>
      <c r="AE1650" s="125">
        <f t="shared" si="282"/>
        <v>15000</v>
      </c>
      <c r="AF1650" s="127" t="s">
        <v>14582</v>
      </c>
      <c r="AG1650" s="127">
        <v>39.6217064512335</v>
      </c>
      <c r="AH1650" s="127">
        <v>109.728046667016</v>
      </c>
      <c r="AI1650" s="115" t="s">
        <v>12383</v>
      </c>
      <c r="AJ1650" s="116">
        <v>0.3</v>
      </c>
      <c r="AK1650" s="117"/>
      <c r="AL1650" s="117"/>
      <c r="AM1650" s="117"/>
      <c r="AN1650" s="117"/>
      <c r="AO1650" s="117"/>
    </row>
    <row r="1651" ht="34.5" customHeight="1">
      <c r="A1651" s="111">
        <v>2289.0</v>
      </c>
      <c r="B1651" s="111" t="s">
        <v>9655</v>
      </c>
      <c r="C1651" s="111" t="s">
        <v>7981</v>
      </c>
      <c r="D1651" s="111">
        <v>2024.0</v>
      </c>
      <c r="E1651" s="111"/>
      <c r="F1651" s="111" t="s">
        <v>12393</v>
      </c>
      <c r="G1651" s="111" t="s">
        <v>12226</v>
      </c>
      <c r="H1651" s="111"/>
      <c r="I1651" s="111" t="s">
        <v>12394</v>
      </c>
      <c r="J1651" s="111" t="s">
        <v>12296</v>
      </c>
      <c r="K1651" s="111" t="s">
        <v>12251</v>
      </c>
      <c r="L1651" s="111"/>
      <c r="M1651" s="111"/>
      <c r="N1651" s="111"/>
      <c r="O1651" s="111"/>
      <c r="P1651" s="111"/>
      <c r="Q1651" s="111"/>
      <c r="R1651" s="111"/>
      <c r="S1651" s="111"/>
      <c r="T1651" s="111"/>
      <c r="U1651" s="111"/>
      <c r="V1651" s="111"/>
      <c r="W1651" s="111">
        <v>1.0</v>
      </c>
      <c r="X1651" s="111"/>
      <c r="Y1651" s="111"/>
      <c r="Z1651" s="111" t="s">
        <v>14583</v>
      </c>
      <c r="AA1651" s="126">
        <f>IF(Projects!$AI1651="Electrolysis",
AB1651*VLOOKUP(G1651,ElectrolysisConvF,3,FALSE),
"")</f>
        <v>0.8330845005</v>
      </c>
      <c r="AB1651" s="125">
        <f>AC1651/(H2dens*HoursInYear/10^6)</f>
        <v>160.2085578</v>
      </c>
      <c r="AC1651" s="125">
        <f>40000*3.785*0.803*45/0.73/120/1000000/Projects!$AJ1651</f>
        <v>0.124905</v>
      </c>
      <c r="AD1651" s="125"/>
      <c r="AE1651" s="125">
        <f t="shared" si="282"/>
        <v>160.2085578</v>
      </c>
      <c r="AF1651" s="127" t="s">
        <v>14584</v>
      </c>
      <c r="AG1651" s="127">
        <v>47.1443618862552</v>
      </c>
      <c r="AH1651" s="127">
        <v>-119.244050681904</v>
      </c>
      <c r="AI1651" s="115" t="s">
        <v>12383</v>
      </c>
      <c r="AJ1651" s="116">
        <v>0.5</v>
      </c>
      <c r="AK1651" s="117"/>
      <c r="AL1651" s="117"/>
      <c r="AM1651" s="117"/>
      <c r="AN1651" s="117"/>
      <c r="AO1651" s="117"/>
    </row>
    <row r="1652" ht="34.5" customHeight="1">
      <c r="A1652" s="111">
        <v>2292.0</v>
      </c>
      <c r="B1652" s="111" t="s">
        <v>9656</v>
      </c>
      <c r="C1652" s="111" t="s">
        <v>8003</v>
      </c>
      <c r="D1652" s="111">
        <v>2030.0</v>
      </c>
      <c r="E1652" s="111"/>
      <c r="F1652" s="111" t="s">
        <v>12399</v>
      </c>
      <c r="G1652" s="111" t="s">
        <v>12224</v>
      </c>
      <c r="H1652" s="111"/>
      <c r="I1652" s="111" t="s">
        <v>12394</v>
      </c>
      <c r="J1652" s="111" t="s">
        <v>12292</v>
      </c>
      <c r="K1652" s="111" t="s">
        <v>30</v>
      </c>
      <c r="L1652" s="111"/>
      <c r="M1652" s="111">
        <v>1.0</v>
      </c>
      <c r="N1652" s="111"/>
      <c r="O1652" s="111"/>
      <c r="P1652" s="111"/>
      <c r="Q1652" s="111"/>
      <c r="R1652" s="111">
        <v>1.0</v>
      </c>
      <c r="S1652" s="111">
        <v>1.0</v>
      </c>
      <c r="T1652" s="111"/>
      <c r="U1652" s="111"/>
      <c r="V1652" s="111"/>
      <c r="W1652" s="111"/>
      <c r="X1652" s="111"/>
      <c r="Y1652" s="111"/>
      <c r="Z1652" s="111" t="s">
        <v>14585</v>
      </c>
      <c r="AA1652" s="124">
        <v>650.0</v>
      </c>
      <c r="AB1652" s="125">
        <f>IF(Projects!$AI1652="Electrolysis",
AA1652/VLOOKUP(G1652,ElectrolysisConvF,3,FALSE),
AC1652*10^6/(H2dens*HoursInYear))</f>
        <v>141304.3478</v>
      </c>
      <c r="AC1652" s="126">
        <f t="shared" ref="AC1652:AC1660" si="323">AB1652*H2dens*HoursInYear/10^6</f>
        <v>110.1665217</v>
      </c>
      <c r="AD1652" s="125"/>
      <c r="AE1652" s="125">
        <f t="shared" si="282"/>
        <v>141304.3478</v>
      </c>
      <c r="AF1652" s="127" t="s">
        <v>14445</v>
      </c>
      <c r="AG1652" s="127">
        <v>48.5223958842751</v>
      </c>
      <c r="AH1652" s="127">
        <v>-58.4347252755619</v>
      </c>
      <c r="AI1652" s="115" t="s">
        <v>12383</v>
      </c>
      <c r="AJ1652" s="116">
        <v>0.4</v>
      </c>
      <c r="AK1652" s="117"/>
      <c r="AL1652" s="117"/>
      <c r="AM1652" s="117"/>
      <c r="AN1652" s="117"/>
      <c r="AO1652" s="117"/>
    </row>
    <row r="1653" ht="34.5" customHeight="1">
      <c r="A1653" s="111">
        <v>2293.0</v>
      </c>
      <c r="B1653" s="111" t="s">
        <v>9657</v>
      </c>
      <c r="C1653" s="111" t="s">
        <v>8001</v>
      </c>
      <c r="D1653" s="111">
        <v>2028.0</v>
      </c>
      <c r="E1653" s="111"/>
      <c r="F1653" s="111" t="s">
        <v>12397</v>
      </c>
      <c r="G1653" s="111" t="s">
        <v>12235</v>
      </c>
      <c r="H1653" s="111" t="s">
        <v>12885</v>
      </c>
      <c r="I1653" s="111"/>
      <c r="J1653" s="111"/>
      <c r="K1653" s="111" t="s">
        <v>30</v>
      </c>
      <c r="L1653" s="111"/>
      <c r="M1653" s="111"/>
      <c r="N1653" s="111"/>
      <c r="O1653" s="111"/>
      <c r="P1653" s="111">
        <v>1.0</v>
      </c>
      <c r="Q1653" s="111"/>
      <c r="R1653" s="111"/>
      <c r="S1653" s="111"/>
      <c r="T1653" s="111"/>
      <c r="U1653" s="111"/>
      <c r="V1653" s="111"/>
      <c r="W1653" s="111"/>
      <c r="X1653" s="111"/>
      <c r="Y1653" s="111"/>
      <c r="Z1653" s="111" t="s">
        <v>14586</v>
      </c>
      <c r="AA1653" s="124"/>
      <c r="AB1653" s="125">
        <v>70000.0</v>
      </c>
      <c r="AC1653" s="126">
        <f t="shared" si="323"/>
        <v>54.5748</v>
      </c>
      <c r="AD1653" s="125"/>
      <c r="AE1653" s="125">
        <f t="shared" si="282"/>
        <v>0</v>
      </c>
      <c r="AF1653" s="127" t="s">
        <v>14587</v>
      </c>
      <c r="AG1653" s="127">
        <v>31.2196846645682</v>
      </c>
      <c r="AH1653" s="127">
        <v>121.444600993447</v>
      </c>
      <c r="AI1653" s="115" t="s">
        <v>12378</v>
      </c>
      <c r="AJ1653" s="116">
        <v>0.9</v>
      </c>
      <c r="AK1653" s="117"/>
      <c r="AL1653" s="117"/>
      <c r="AM1653" s="117"/>
      <c r="AN1653" s="117"/>
      <c r="AO1653" s="117"/>
    </row>
    <row r="1654" ht="34.5" customHeight="1">
      <c r="A1654" s="111">
        <v>2294.0</v>
      </c>
      <c r="B1654" s="111" t="s">
        <v>9658</v>
      </c>
      <c r="C1654" s="111" t="s">
        <v>8087</v>
      </c>
      <c r="D1654" s="111">
        <v>2025.0</v>
      </c>
      <c r="E1654" s="111"/>
      <c r="F1654" s="111" t="s">
        <v>12393</v>
      </c>
      <c r="G1654" s="111" t="s">
        <v>12381</v>
      </c>
      <c r="H1654" s="111" t="s">
        <v>12230</v>
      </c>
      <c r="I1654" s="111" t="s">
        <v>12287</v>
      </c>
      <c r="J1654" s="111" t="str">
        <f>IF(I1654&lt;&gt;"Dedicated renewable","N/A",)</f>
        <v>N/A</v>
      </c>
      <c r="K1654" s="111" t="s">
        <v>30</v>
      </c>
      <c r="L1654" s="111"/>
      <c r="M1654" s="111"/>
      <c r="N1654" s="111"/>
      <c r="O1654" s="111"/>
      <c r="P1654" s="111"/>
      <c r="Q1654" s="111">
        <v>1.0</v>
      </c>
      <c r="R1654" s="111"/>
      <c r="S1654" s="111"/>
      <c r="T1654" s="111"/>
      <c r="U1654" s="111"/>
      <c r="V1654" s="111"/>
      <c r="W1654" s="111"/>
      <c r="X1654" s="111"/>
      <c r="Y1654" s="111"/>
      <c r="Z1654" s="111" t="s">
        <v>12395</v>
      </c>
      <c r="AA1654" s="124">
        <v>2.5</v>
      </c>
      <c r="AB1654" s="125">
        <f>IF(Projects!$AI1654="Electrolysis",
AA1654/VLOOKUP(G1654,ElectrolysisConvF,3,FALSE),
AC1654*10^6/(H2dens*HoursInYear))</f>
        <v>555.5555556</v>
      </c>
      <c r="AC1654" s="126">
        <f t="shared" si="323"/>
        <v>0.4331333333</v>
      </c>
      <c r="AD1654" s="125"/>
      <c r="AE1654" s="125">
        <f t="shared" si="282"/>
        <v>555.5555556</v>
      </c>
      <c r="AF1654" s="127" t="s">
        <v>14588</v>
      </c>
      <c r="AG1654" s="127">
        <v>51.1721815456294</v>
      </c>
      <c r="AH1654" s="127">
        <v>3.86683866039317</v>
      </c>
      <c r="AI1654" s="115" t="s">
        <v>12383</v>
      </c>
      <c r="AJ1654" s="116">
        <v>0.57</v>
      </c>
      <c r="AK1654" s="117"/>
      <c r="AL1654" s="117"/>
      <c r="AM1654" s="117"/>
      <c r="AN1654" s="117"/>
      <c r="AO1654" s="117"/>
    </row>
    <row r="1655" ht="34.5" customHeight="1">
      <c r="A1655" s="111">
        <v>2296.0</v>
      </c>
      <c r="B1655" s="111" t="s">
        <v>9659</v>
      </c>
      <c r="C1655" s="111" t="s">
        <v>8011</v>
      </c>
      <c r="D1655" s="111">
        <v>2026.0</v>
      </c>
      <c r="E1655" s="111"/>
      <c r="F1655" s="111" t="s">
        <v>12399</v>
      </c>
      <c r="G1655" s="111" t="s">
        <v>12381</v>
      </c>
      <c r="H1655" s="111" t="s">
        <v>12230</v>
      </c>
      <c r="I1655" s="111" t="s">
        <v>12406</v>
      </c>
      <c r="J1655" s="111"/>
      <c r="K1655" s="111" t="s">
        <v>30</v>
      </c>
      <c r="L1655" s="111"/>
      <c r="M1655" s="111"/>
      <c r="N1655" s="111"/>
      <c r="O1655" s="111"/>
      <c r="P1655" s="111"/>
      <c r="Q1655" s="111">
        <v>1.0</v>
      </c>
      <c r="R1655" s="111"/>
      <c r="S1655" s="111"/>
      <c r="T1655" s="111"/>
      <c r="U1655" s="111"/>
      <c r="V1655" s="111"/>
      <c r="W1655" s="111"/>
      <c r="X1655" s="111"/>
      <c r="Y1655" s="111"/>
      <c r="Z1655" s="111" t="s">
        <v>12395</v>
      </c>
      <c r="AA1655" s="124">
        <v>2.5</v>
      </c>
      <c r="AB1655" s="125">
        <f>IF(Projects!$AI1655="Electrolysis",
AA1655/VLOOKUP(G1655,ElectrolysisConvF,3,FALSE),
AC1655*10^6/(H2dens*HoursInYear))</f>
        <v>555.5555556</v>
      </c>
      <c r="AC1655" s="126">
        <f t="shared" si="323"/>
        <v>0.4331333333</v>
      </c>
      <c r="AD1655" s="125"/>
      <c r="AE1655" s="125">
        <f t="shared" si="282"/>
        <v>555.5555556</v>
      </c>
      <c r="AF1655" s="127"/>
      <c r="AG1655" s="127">
        <v>50.319258</v>
      </c>
      <c r="AH1655" s="127">
        <v>3.385513</v>
      </c>
      <c r="AI1655" s="115" t="s">
        <v>12383</v>
      </c>
      <c r="AJ1655" s="116">
        <v>0.57</v>
      </c>
      <c r="AK1655" s="117"/>
      <c r="AL1655" s="117"/>
      <c r="AM1655" s="117"/>
      <c r="AN1655" s="117"/>
      <c r="AO1655" s="117"/>
    </row>
    <row r="1656" ht="34.5" customHeight="1">
      <c r="A1656" s="111">
        <v>2297.0</v>
      </c>
      <c r="B1656" s="111" t="s">
        <v>9660</v>
      </c>
      <c r="C1656" s="111" t="s">
        <v>8011</v>
      </c>
      <c r="D1656" s="111">
        <v>2029.0</v>
      </c>
      <c r="E1656" s="111"/>
      <c r="F1656" s="111" t="s">
        <v>12399</v>
      </c>
      <c r="G1656" s="111" t="s">
        <v>12381</v>
      </c>
      <c r="H1656" s="111" t="s">
        <v>12230</v>
      </c>
      <c r="I1656" s="111" t="s">
        <v>12406</v>
      </c>
      <c r="J1656" s="111"/>
      <c r="K1656" s="111" t="s">
        <v>30</v>
      </c>
      <c r="L1656" s="111"/>
      <c r="M1656" s="111"/>
      <c r="N1656" s="111"/>
      <c r="O1656" s="111"/>
      <c r="P1656" s="111">
        <v>1.0</v>
      </c>
      <c r="Q1656" s="111"/>
      <c r="R1656" s="111"/>
      <c r="S1656" s="111"/>
      <c r="T1656" s="111"/>
      <c r="U1656" s="111"/>
      <c r="V1656" s="111"/>
      <c r="W1656" s="111"/>
      <c r="X1656" s="111"/>
      <c r="Y1656" s="111"/>
      <c r="Z1656" s="111" t="s">
        <v>12548</v>
      </c>
      <c r="AA1656" s="124">
        <v>120.0</v>
      </c>
      <c r="AB1656" s="125">
        <f>IF(Projects!$AI1656="Electrolysis",
AA1656/VLOOKUP(G1656,ElectrolysisConvF,3,FALSE),
AC1656*10^6/(H2dens*HoursInYear))</f>
        <v>26666.66667</v>
      </c>
      <c r="AC1656" s="126">
        <f t="shared" si="323"/>
        <v>20.7904</v>
      </c>
      <c r="AD1656" s="125"/>
      <c r="AE1656" s="125">
        <f t="shared" si="282"/>
        <v>26666.66667</v>
      </c>
      <c r="AF1656" s="127"/>
      <c r="AG1656" s="127">
        <v>50.319258</v>
      </c>
      <c r="AH1656" s="127">
        <v>3.385513</v>
      </c>
      <c r="AI1656" s="115" t="s">
        <v>12383</v>
      </c>
      <c r="AJ1656" s="116">
        <v>0.57</v>
      </c>
      <c r="AK1656" s="117"/>
      <c r="AL1656" s="117"/>
      <c r="AM1656" s="117"/>
      <c r="AN1656" s="117"/>
      <c r="AO1656" s="117"/>
    </row>
    <row r="1657" ht="34.5" customHeight="1">
      <c r="A1657" s="111">
        <v>2298.0</v>
      </c>
      <c r="B1657" s="111" t="s">
        <v>9661</v>
      </c>
      <c r="C1657" s="111" t="s">
        <v>8011</v>
      </c>
      <c r="D1657" s="111">
        <v>2028.0</v>
      </c>
      <c r="E1657" s="111"/>
      <c r="F1657" s="111" t="s">
        <v>12399</v>
      </c>
      <c r="G1657" s="111" t="s">
        <v>12226</v>
      </c>
      <c r="H1657" s="111"/>
      <c r="I1657" s="111" t="s">
        <v>12406</v>
      </c>
      <c r="J1657" s="111"/>
      <c r="K1657" s="111" t="s">
        <v>30</v>
      </c>
      <c r="L1657" s="111"/>
      <c r="M1657" s="111"/>
      <c r="N1657" s="111"/>
      <c r="O1657" s="111">
        <v>1.0</v>
      </c>
      <c r="P1657" s="111"/>
      <c r="Q1657" s="111"/>
      <c r="R1657" s="111"/>
      <c r="S1657" s="111"/>
      <c r="T1657" s="111"/>
      <c r="U1657" s="111"/>
      <c r="V1657" s="111"/>
      <c r="W1657" s="111"/>
      <c r="X1657" s="111"/>
      <c r="Y1657" s="111"/>
      <c r="Z1657" s="111" t="s">
        <v>12991</v>
      </c>
      <c r="AA1657" s="124">
        <v>300.0</v>
      </c>
      <c r="AB1657" s="125">
        <f>IF(Projects!$AI1657="Electrolysis",
AA1657/VLOOKUP(G1657,ElectrolysisConvF,3,FALSE),
AC1657*10^6/(H2dens*HoursInYear))</f>
        <v>57692.30769</v>
      </c>
      <c r="AC1657" s="126">
        <f t="shared" si="323"/>
        <v>44.97923077</v>
      </c>
      <c r="AD1657" s="125"/>
      <c r="AE1657" s="125">
        <f t="shared" si="282"/>
        <v>57692.30769</v>
      </c>
      <c r="AF1657" s="127"/>
      <c r="AG1657" s="127">
        <v>49.158542</v>
      </c>
      <c r="AH1657" s="127">
        <v>6.707243</v>
      </c>
      <c r="AI1657" s="115" t="s">
        <v>12383</v>
      </c>
      <c r="AJ1657" s="116">
        <v>0.57</v>
      </c>
      <c r="AK1657" s="117"/>
      <c r="AL1657" s="117"/>
      <c r="AM1657" s="117"/>
      <c r="AN1657" s="117"/>
      <c r="AO1657" s="117"/>
    </row>
    <row r="1658" ht="34.5" customHeight="1">
      <c r="A1658" s="111">
        <v>2299.0</v>
      </c>
      <c r="B1658" s="111" t="s">
        <v>9662</v>
      </c>
      <c r="C1658" s="111" t="s">
        <v>8011</v>
      </c>
      <c r="D1658" s="111">
        <v>2025.0</v>
      </c>
      <c r="E1658" s="111"/>
      <c r="F1658" s="111" t="s">
        <v>12399</v>
      </c>
      <c r="G1658" s="111" t="s">
        <v>12381</v>
      </c>
      <c r="H1658" s="111" t="s">
        <v>12230</v>
      </c>
      <c r="I1658" s="111" t="s">
        <v>12406</v>
      </c>
      <c r="J1658" s="111"/>
      <c r="K1658" s="111" t="s">
        <v>30</v>
      </c>
      <c r="L1658" s="111"/>
      <c r="M1658" s="111"/>
      <c r="N1658" s="111"/>
      <c r="O1658" s="111"/>
      <c r="P1658" s="111"/>
      <c r="Q1658" s="111">
        <v>1.0</v>
      </c>
      <c r="R1658" s="111"/>
      <c r="S1658" s="111"/>
      <c r="T1658" s="111"/>
      <c r="U1658" s="111"/>
      <c r="V1658" s="111"/>
      <c r="W1658" s="111"/>
      <c r="X1658" s="111"/>
      <c r="Y1658" s="111"/>
      <c r="Z1658" s="111" t="s">
        <v>12720</v>
      </c>
      <c r="AA1658" s="124">
        <v>2.0</v>
      </c>
      <c r="AB1658" s="125">
        <f>IF(Projects!$AI1658="Electrolysis",
AA1658/VLOOKUP(G1658,ElectrolysisConvF,3,FALSE),
AC1658*10^6/(H2dens*HoursInYear))</f>
        <v>444.4444444</v>
      </c>
      <c r="AC1658" s="126">
        <f t="shared" si="323"/>
        <v>0.3465066667</v>
      </c>
      <c r="AD1658" s="125"/>
      <c r="AE1658" s="125">
        <f t="shared" si="282"/>
        <v>444.4444444</v>
      </c>
      <c r="AF1658" s="127"/>
      <c r="AG1658" s="127">
        <v>46.070767</v>
      </c>
      <c r="AH1658" s="127">
        <v>6.426499</v>
      </c>
      <c r="AI1658" s="115" t="s">
        <v>12383</v>
      </c>
      <c r="AJ1658" s="116">
        <v>0.57</v>
      </c>
      <c r="AK1658" s="117"/>
      <c r="AL1658" s="117"/>
      <c r="AM1658" s="117"/>
      <c r="AN1658" s="117"/>
      <c r="AO1658" s="117"/>
    </row>
    <row r="1659" ht="34.5" customHeight="1">
      <c r="A1659" s="111">
        <v>2300.0</v>
      </c>
      <c r="B1659" s="111" t="s">
        <v>9663</v>
      </c>
      <c r="C1659" s="111" t="s">
        <v>8011</v>
      </c>
      <c r="D1659" s="111">
        <v>2025.0</v>
      </c>
      <c r="E1659" s="111"/>
      <c r="F1659" s="111" t="s">
        <v>12399</v>
      </c>
      <c r="G1659" s="111" t="s">
        <v>12381</v>
      </c>
      <c r="H1659" s="111" t="s">
        <v>12230</v>
      </c>
      <c r="I1659" s="111" t="s">
        <v>12406</v>
      </c>
      <c r="J1659" s="111"/>
      <c r="K1659" s="111" t="s">
        <v>30</v>
      </c>
      <c r="L1659" s="111"/>
      <c r="M1659" s="111"/>
      <c r="N1659" s="111"/>
      <c r="O1659" s="111"/>
      <c r="P1659" s="111"/>
      <c r="Q1659" s="111">
        <v>1.0</v>
      </c>
      <c r="R1659" s="111"/>
      <c r="S1659" s="111"/>
      <c r="T1659" s="111"/>
      <c r="U1659" s="111"/>
      <c r="V1659" s="111"/>
      <c r="W1659" s="111"/>
      <c r="X1659" s="111"/>
      <c r="Y1659" s="111"/>
      <c r="Z1659" s="111" t="s">
        <v>12908</v>
      </c>
      <c r="AA1659" s="124">
        <v>1.0</v>
      </c>
      <c r="AB1659" s="125">
        <f>IF(Projects!$AI1659="Electrolysis",
AA1659/VLOOKUP(G1659,ElectrolysisConvF,3,FALSE),
AC1659*10^6/(H2dens*HoursInYear))</f>
        <v>222.2222222</v>
      </c>
      <c r="AC1659" s="126">
        <f t="shared" si="323"/>
        <v>0.1732533333</v>
      </c>
      <c r="AD1659" s="125"/>
      <c r="AE1659" s="125">
        <f t="shared" si="282"/>
        <v>222.2222222</v>
      </c>
      <c r="AF1659" s="127"/>
      <c r="AG1659" s="127">
        <v>48.707409</v>
      </c>
      <c r="AH1659" s="127">
        <v>2.296813</v>
      </c>
      <c r="AI1659" s="115" t="s">
        <v>12383</v>
      </c>
      <c r="AJ1659" s="116">
        <v>0.57</v>
      </c>
      <c r="AK1659" s="117"/>
      <c r="AL1659" s="117"/>
      <c r="AM1659" s="117"/>
      <c r="AN1659" s="117"/>
      <c r="AO1659" s="117"/>
    </row>
    <row r="1660" ht="34.5" customHeight="1">
      <c r="A1660" s="111">
        <v>2301.0</v>
      </c>
      <c r="B1660" s="111" t="s">
        <v>9664</v>
      </c>
      <c r="C1660" s="111" t="s">
        <v>7981</v>
      </c>
      <c r="D1660" s="111"/>
      <c r="E1660" s="111"/>
      <c r="F1660" s="111" t="s">
        <v>12397</v>
      </c>
      <c r="G1660" s="111" t="s">
        <v>12381</v>
      </c>
      <c r="H1660" s="111" t="s">
        <v>12230</v>
      </c>
      <c r="I1660" s="111" t="s">
        <v>12394</v>
      </c>
      <c r="J1660" s="111" t="s">
        <v>12295</v>
      </c>
      <c r="K1660" s="111" t="s">
        <v>30</v>
      </c>
      <c r="L1660" s="111"/>
      <c r="M1660" s="111"/>
      <c r="N1660" s="111"/>
      <c r="O1660" s="111"/>
      <c r="P1660" s="111"/>
      <c r="Q1660" s="111"/>
      <c r="R1660" s="111"/>
      <c r="S1660" s="111">
        <v>1.0</v>
      </c>
      <c r="T1660" s="111"/>
      <c r="U1660" s="111"/>
      <c r="V1660" s="111"/>
      <c r="W1660" s="111"/>
      <c r="X1660" s="111"/>
      <c r="Y1660" s="111"/>
      <c r="Z1660" s="111" t="s">
        <v>14589</v>
      </c>
      <c r="AA1660" s="124">
        <v>15000.0</v>
      </c>
      <c r="AB1660" s="125">
        <f>IF(Projects!$AI1660="Electrolysis",
AA1660/VLOOKUP(G1660,ElectrolysisConvF,3,FALSE),
AC1660*10^6/(H2dens*HoursInYear))</f>
        <v>3333333.333</v>
      </c>
      <c r="AC1660" s="126">
        <f t="shared" si="323"/>
        <v>2598.8</v>
      </c>
      <c r="AD1660" s="125"/>
      <c r="AE1660" s="125">
        <f t="shared" si="282"/>
        <v>3333333.333</v>
      </c>
      <c r="AF1660" s="127" t="s">
        <v>14590</v>
      </c>
      <c r="AG1660" s="127">
        <v>34.611987429994</v>
      </c>
      <c r="AH1660" s="127">
        <v>-117.543812578548</v>
      </c>
      <c r="AI1660" s="115" t="s">
        <v>12383</v>
      </c>
      <c r="AJ1660" s="116">
        <v>0.5</v>
      </c>
      <c r="AK1660" s="117"/>
      <c r="AL1660" s="117"/>
      <c r="AM1660" s="117"/>
      <c r="AN1660" s="117"/>
      <c r="AO1660" s="117"/>
    </row>
    <row r="1661" ht="34.5" customHeight="1">
      <c r="A1661" s="111">
        <v>2302.0</v>
      </c>
      <c r="B1661" s="111" t="s">
        <v>9665</v>
      </c>
      <c r="C1661" s="111" t="s">
        <v>8785</v>
      </c>
      <c r="D1661" s="111"/>
      <c r="E1661" s="111"/>
      <c r="F1661" s="111" t="s">
        <v>12397</v>
      </c>
      <c r="G1661" s="111" t="s">
        <v>12381</v>
      </c>
      <c r="H1661" s="111" t="s">
        <v>12230</v>
      </c>
      <c r="I1661" s="111" t="s">
        <v>12394</v>
      </c>
      <c r="J1661" s="111" t="s">
        <v>12295</v>
      </c>
      <c r="K1661" s="111" t="s">
        <v>174</v>
      </c>
      <c r="L1661" s="111"/>
      <c r="M1661" s="111"/>
      <c r="N1661" s="111"/>
      <c r="O1661" s="111"/>
      <c r="P1661" s="111"/>
      <c r="Q1661" s="111"/>
      <c r="R1661" s="111"/>
      <c r="S1661" s="111"/>
      <c r="T1661" s="111"/>
      <c r="U1661" s="111"/>
      <c r="V1661" s="111"/>
      <c r="W1661" s="111"/>
      <c r="X1661" s="111"/>
      <c r="Y1661" s="111"/>
      <c r="Z1661" s="111" t="s">
        <v>14591</v>
      </c>
      <c r="AA1661" s="126">
        <f>IF(Projects!$AI1661="Electrolysis",
AB1661*VLOOKUP(G1661,ElectrolysisConvF,3,FALSE),
"")</f>
        <v>25396.33677</v>
      </c>
      <c r="AB1661" s="125">
        <f t="shared" ref="AB1661:AB1662" si="324">AC1661/(H2dens*HoursInYear/10^6)</f>
        <v>5643630.394</v>
      </c>
      <c r="AC1661" s="125">
        <f>2200/Projects!$AJ1661</f>
        <v>4400</v>
      </c>
      <c r="AD1661" s="125"/>
      <c r="AE1661" s="125">
        <f t="shared" si="282"/>
        <v>5643630.394</v>
      </c>
      <c r="AF1661" s="127" t="s">
        <v>14592</v>
      </c>
      <c r="AG1661" s="127">
        <v>29.6931824389789</v>
      </c>
      <c r="AH1661" s="127">
        <v>32.3166154140095</v>
      </c>
      <c r="AI1661" s="115" t="s">
        <v>12383</v>
      </c>
      <c r="AJ1661" s="116">
        <v>0.5</v>
      </c>
      <c r="AK1661" s="117"/>
      <c r="AL1661" s="117"/>
      <c r="AM1661" s="117"/>
      <c r="AN1661" s="117"/>
      <c r="AO1661" s="117"/>
    </row>
    <row r="1662" ht="34.5" customHeight="1">
      <c r="A1662" s="111">
        <v>2303.0</v>
      </c>
      <c r="B1662" s="111" t="s">
        <v>9666</v>
      </c>
      <c r="C1662" s="111" t="s">
        <v>8785</v>
      </c>
      <c r="D1662" s="111"/>
      <c r="E1662" s="111"/>
      <c r="F1662" s="111" t="s">
        <v>12397</v>
      </c>
      <c r="G1662" s="111" t="s">
        <v>12381</v>
      </c>
      <c r="H1662" s="111" t="s">
        <v>12230</v>
      </c>
      <c r="I1662" s="111" t="s">
        <v>12394</v>
      </c>
      <c r="J1662" s="111" t="s">
        <v>12295</v>
      </c>
      <c r="K1662" s="111" t="s">
        <v>174</v>
      </c>
      <c r="L1662" s="111"/>
      <c r="M1662" s="111">
        <v>1.0</v>
      </c>
      <c r="N1662" s="111"/>
      <c r="O1662" s="111"/>
      <c r="P1662" s="111"/>
      <c r="Q1662" s="111"/>
      <c r="R1662" s="111"/>
      <c r="S1662" s="111"/>
      <c r="T1662" s="111"/>
      <c r="U1662" s="111"/>
      <c r="V1662" s="111"/>
      <c r="W1662" s="111"/>
      <c r="X1662" s="111"/>
      <c r="Y1662" s="111"/>
      <c r="Z1662" s="111" t="s">
        <v>14593</v>
      </c>
      <c r="AA1662" s="126">
        <f>IF(Projects!$AI1662="Electrolysis",
AB1662*VLOOKUP(G1662,ElectrolysisConvF,3,FALSE),
"")</f>
        <v>103.9356792</v>
      </c>
      <c r="AB1662" s="125">
        <f t="shared" si="324"/>
        <v>23096.81761</v>
      </c>
      <c r="AC1662" s="125">
        <f>100*3/17/0.98</f>
        <v>18.00720288</v>
      </c>
      <c r="AD1662" s="125"/>
      <c r="AE1662" s="125">
        <f t="shared" si="282"/>
        <v>23096.81761</v>
      </c>
      <c r="AF1662" s="127" t="s">
        <v>14594</v>
      </c>
      <c r="AG1662" s="127">
        <v>30.4826815874054</v>
      </c>
      <c r="AH1662" s="127">
        <v>32.4191012799522</v>
      </c>
      <c r="AI1662" s="115" t="s">
        <v>12383</v>
      </c>
      <c r="AJ1662" s="116">
        <v>0.5</v>
      </c>
      <c r="AK1662" s="117"/>
      <c r="AL1662" s="117"/>
      <c r="AM1662" s="117"/>
      <c r="AN1662" s="117"/>
      <c r="AO1662" s="117"/>
    </row>
    <row r="1663" ht="34.5" customHeight="1">
      <c r="A1663" s="111">
        <v>2304.0</v>
      </c>
      <c r="B1663" s="111" t="s">
        <v>9667</v>
      </c>
      <c r="C1663" s="111" t="s">
        <v>8785</v>
      </c>
      <c r="D1663" s="111"/>
      <c r="E1663" s="111"/>
      <c r="F1663" s="111" t="s">
        <v>12397</v>
      </c>
      <c r="G1663" s="111" t="s">
        <v>12381</v>
      </c>
      <c r="H1663" s="111" t="s">
        <v>12230</v>
      </c>
      <c r="I1663" s="111" t="s">
        <v>12394</v>
      </c>
      <c r="J1663" s="111" t="s">
        <v>12295</v>
      </c>
      <c r="K1663" s="111" t="s">
        <v>30</v>
      </c>
      <c r="L1663" s="111"/>
      <c r="M1663" s="111">
        <v>1.0</v>
      </c>
      <c r="N1663" s="111"/>
      <c r="O1663" s="111"/>
      <c r="P1663" s="111"/>
      <c r="Q1663" s="111">
        <v>1.0</v>
      </c>
      <c r="R1663" s="111"/>
      <c r="S1663" s="111"/>
      <c r="T1663" s="111"/>
      <c r="U1663" s="111"/>
      <c r="V1663" s="111"/>
      <c r="W1663" s="111"/>
      <c r="X1663" s="111"/>
      <c r="Y1663" s="111"/>
      <c r="Z1663" s="111" t="s">
        <v>14595</v>
      </c>
      <c r="AA1663" s="124">
        <v>3500.0</v>
      </c>
      <c r="AB1663" s="125">
        <f>IF(Projects!$AI1663="Electrolysis",
AA1663/VLOOKUP(G1663,ElectrolysisConvF,3,FALSE),
AC1663*10^6/(H2dens*HoursInYear))</f>
        <v>777777.7778</v>
      </c>
      <c r="AC1663" s="126">
        <f t="shared" ref="AC1663:AC1678" si="325">AB1663*H2dens*HoursInYear/10^6</f>
        <v>606.3866667</v>
      </c>
      <c r="AD1663" s="125"/>
      <c r="AE1663" s="125">
        <f t="shared" si="282"/>
        <v>777777.7778</v>
      </c>
      <c r="AF1663" s="127" t="s">
        <v>14594</v>
      </c>
      <c r="AG1663" s="127">
        <v>30.4826815874054</v>
      </c>
      <c r="AH1663" s="127">
        <v>32.4191012799522</v>
      </c>
      <c r="AI1663" s="115" t="s">
        <v>12383</v>
      </c>
      <c r="AJ1663" s="116">
        <v>0.5</v>
      </c>
      <c r="AK1663" s="117"/>
      <c r="AL1663" s="117"/>
      <c r="AM1663" s="117"/>
      <c r="AN1663" s="117"/>
      <c r="AO1663" s="117"/>
    </row>
    <row r="1664" ht="34.5" customHeight="1">
      <c r="A1664" s="111">
        <v>2305.0</v>
      </c>
      <c r="B1664" s="111" t="s">
        <v>9668</v>
      </c>
      <c r="C1664" s="111" t="s">
        <v>8873</v>
      </c>
      <c r="D1664" s="111">
        <v>2024.0</v>
      </c>
      <c r="E1664" s="111"/>
      <c r="F1664" s="111" t="s">
        <v>12393</v>
      </c>
      <c r="G1664" s="111" t="s">
        <v>12381</v>
      </c>
      <c r="H1664" s="111" t="s">
        <v>12230</v>
      </c>
      <c r="I1664" s="111" t="s">
        <v>12394</v>
      </c>
      <c r="J1664" s="111" t="s">
        <v>12291</v>
      </c>
      <c r="K1664" s="111" t="s">
        <v>174</v>
      </c>
      <c r="L1664" s="111"/>
      <c r="M1664" s="111">
        <v>1.0</v>
      </c>
      <c r="N1664" s="111"/>
      <c r="O1664" s="111"/>
      <c r="P1664" s="111"/>
      <c r="Q1664" s="111"/>
      <c r="R1664" s="111"/>
      <c r="S1664" s="111"/>
      <c r="T1664" s="111"/>
      <c r="U1664" s="111"/>
      <c r="V1664" s="111"/>
      <c r="W1664" s="111"/>
      <c r="X1664" s="111"/>
      <c r="Y1664" s="111"/>
      <c r="Z1664" s="111" t="s">
        <v>14596</v>
      </c>
      <c r="AA1664" s="124">
        <v>0.25</v>
      </c>
      <c r="AB1664" s="125">
        <f>IF(Projects!$AI1664="Electrolysis",
AA1664/VLOOKUP(G1664,ElectrolysisConvF,3,FALSE),
AC1664*10^6/(H2dens*HoursInYear))</f>
        <v>55.55555556</v>
      </c>
      <c r="AC1664" s="129">
        <f t="shared" si="325"/>
        <v>0.04331333333</v>
      </c>
      <c r="AD1664" s="125"/>
      <c r="AE1664" s="125">
        <f t="shared" si="282"/>
        <v>55.55555556</v>
      </c>
      <c r="AF1664" s="127" t="s">
        <v>14597</v>
      </c>
      <c r="AG1664" s="127">
        <v>-22.4897205431696</v>
      </c>
      <c r="AH1664" s="127">
        <v>16.9544270733683</v>
      </c>
      <c r="AI1664" s="115" t="s">
        <v>12383</v>
      </c>
      <c r="AJ1664" s="116">
        <v>0.3</v>
      </c>
      <c r="AK1664" s="117"/>
      <c r="AL1664" s="117"/>
      <c r="AM1664" s="117"/>
      <c r="AN1664" s="117"/>
      <c r="AO1664" s="117"/>
    </row>
    <row r="1665" ht="34.5" customHeight="1">
      <c r="A1665" s="111">
        <v>2306.0</v>
      </c>
      <c r="B1665" s="111" t="s">
        <v>9669</v>
      </c>
      <c r="C1665" s="111" t="s">
        <v>8873</v>
      </c>
      <c r="D1665" s="111">
        <v>2027.0</v>
      </c>
      <c r="E1665" s="111"/>
      <c r="F1665" s="111" t="s">
        <v>12399</v>
      </c>
      <c r="G1665" s="111" t="s">
        <v>12381</v>
      </c>
      <c r="H1665" s="111" t="s">
        <v>12230</v>
      </c>
      <c r="I1665" s="111" t="s">
        <v>12394</v>
      </c>
      <c r="J1665" s="111" t="s">
        <v>12295</v>
      </c>
      <c r="K1665" s="111" t="s">
        <v>174</v>
      </c>
      <c r="L1665" s="111"/>
      <c r="M1665" s="111">
        <v>1.0</v>
      </c>
      <c r="N1665" s="111"/>
      <c r="O1665" s="111"/>
      <c r="P1665" s="111"/>
      <c r="Q1665" s="111"/>
      <c r="R1665" s="111"/>
      <c r="S1665" s="111"/>
      <c r="T1665" s="111"/>
      <c r="U1665" s="111"/>
      <c r="V1665" s="111"/>
      <c r="W1665" s="111"/>
      <c r="X1665" s="111"/>
      <c r="Y1665" s="111"/>
      <c r="Z1665" s="111" t="s">
        <v>14598</v>
      </c>
      <c r="AA1665" s="124">
        <f>5-AA1664</f>
        <v>4.75</v>
      </c>
      <c r="AB1665" s="125">
        <f>IF(Projects!$AI1665="Electrolysis",
AA1665/VLOOKUP(G1665,ElectrolysisConvF,3,FALSE),
AC1665*10^6/(H2dens*HoursInYear))</f>
        <v>1055.555556</v>
      </c>
      <c r="AC1665" s="126">
        <f t="shared" si="325"/>
        <v>0.8229533333</v>
      </c>
      <c r="AD1665" s="125"/>
      <c r="AE1665" s="125">
        <f t="shared" si="282"/>
        <v>1055.555556</v>
      </c>
      <c r="AF1665" s="127" t="s">
        <v>14597</v>
      </c>
      <c r="AG1665" s="127">
        <v>-22.4897205431696</v>
      </c>
      <c r="AH1665" s="127">
        <v>16.9544270733683</v>
      </c>
      <c r="AI1665" s="115" t="s">
        <v>12383</v>
      </c>
      <c r="AJ1665" s="116">
        <v>0.5</v>
      </c>
      <c r="AK1665" s="117"/>
      <c r="AL1665" s="117"/>
      <c r="AM1665" s="117"/>
      <c r="AN1665" s="117"/>
      <c r="AO1665" s="117"/>
    </row>
    <row r="1666" ht="34.5" customHeight="1">
      <c r="A1666" s="111">
        <v>2307.0</v>
      </c>
      <c r="B1666" s="111" t="s">
        <v>9670</v>
      </c>
      <c r="C1666" s="111" t="s">
        <v>8873</v>
      </c>
      <c r="D1666" s="111">
        <v>2032.0</v>
      </c>
      <c r="E1666" s="111"/>
      <c r="F1666" s="111" t="s">
        <v>12399</v>
      </c>
      <c r="G1666" s="111" t="s">
        <v>12381</v>
      </c>
      <c r="H1666" s="111" t="s">
        <v>12230</v>
      </c>
      <c r="I1666" s="111" t="s">
        <v>12394</v>
      </c>
      <c r="J1666" s="111" t="s">
        <v>12295</v>
      </c>
      <c r="K1666" s="111" t="s">
        <v>174</v>
      </c>
      <c r="L1666" s="111"/>
      <c r="M1666" s="111">
        <v>1.0</v>
      </c>
      <c r="N1666" s="111"/>
      <c r="O1666" s="111"/>
      <c r="P1666" s="111"/>
      <c r="Q1666" s="111"/>
      <c r="R1666" s="111"/>
      <c r="S1666" s="111"/>
      <c r="T1666" s="111"/>
      <c r="U1666" s="111"/>
      <c r="V1666" s="111"/>
      <c r="W1666" s="111"/>
      <c r="X1666" s="111"/>
      <c r="Y1666" s="111"/>
      <c r="Z1666" s="111" t="s">
        <v>14599</v>
      </c>
      <c r="AA1666" s="124">
        <f>420-AA1665</f>
        <v>415.25</v>
      </c>
      <c r="AB1666" s="125">
        <f>IF(Projects!$AI1666="Electrolysis",
AA1666/VLOOKUP(G1666,ElectrolysisConvF,3,FALSE),
AC1666*10^6/(H2dens*HoursInYear))</f>
        <v>92277.77778</v>
      </c>
      <c r="AC1666" s="126">
        <f t="shared" si="325"/>
        <v>71.94344667</v>
      </c>
      <c r="AD1666" s="125"/>
      <c r="AE1666" s="125">
        <f t="shared" si="282"/>
        <v>92277.77778</v>
      </c>
      <c r="AF1666" s="127" t="s">
        <v>14597</v>
      </c>
      <c r="AG1666" s="127">
        <v>-22.4897205431696</v>
      </c>
      <c r="AH1666" s="127">
        <v>16.9544270733683</v>
      </c>
      <c r="AI1666" s="115" t="s">
        <v>12383</v>
      </c>
      <c r="AJ1666" s="116">
        <v>0.5</v>
      </c>
      <c r="AK1666" s="117"/>
      <c r="AL1666" s="117"/>
      <c r="AM1666" s="117"/>
      <c r="AN1666" s="117"/>
      <c r="AO1666" s="117"/>
    </row>
    <row r="1667" ht="34.5" customHeight="1">
      <c r="A1667" s="111">
        <v>2308.0</v>
      </c>
      <c r="B1667" s="111" t="s">
        <v>9671</v>
      </c>
      <c r="C1667" s="111" t="s">
        <v>8873</v>
      </c>
      <c r="D1667" s="111">
        <v>2032.0</v>
      </c>
      <c r="E1667" s="111"/>
      <c r="F1667" s="111" t="s">
        <v>12397</v>
      </c>
      <c r="G1667" s="111" t="s">
        <v>12381</v>
      </c>
      <c r="H1667" s="111" t="s">
        <v>12230</v>
      </c>
      <c r="I1667" s="111" t="s">
        <v>12394</v>
      </c>
      <c r="J1667" s="111" t="s">
        <v>12295</v>
      </c>
      <c r="K1667" s="111" t="s">
        <v>174</v>
      </c>
      <c r="L1667" s="111"/>
      <c r="M1667" s="111">
        <v>1.0</v>
      </c>
      <c r="N1667" s="111"/>
      <c r="O1667" s="111"/>
      <c r="P1667" s="111"/>
      <c r="Q1667" s="111"/>
      <c r="R1667" s="111"/>
      <c r="S1667" s="111"/>
      <c r="T1667" s="111"/>
      <c r="U1667" s="111"/>
      <c r="V1667" s="111"/>
      <c r="W1667" s="111"/>
      <c r="X1667" s="111"/>
      <c r="Y1667" s="111"/>
      <c r="Z1667" s="111" t="s">
        <v>14600</v>
      </c>
      <c r="AA1667" s="124">
        <f>840-AA1666</f>
        <v>424.75</v>
      </c>
      <c r="AB1667" s="125">
        <f>IF(Projects!$AI1667="Electrolysis",
AA1667/VLOOKUP(G1667,ElectrolysisConvF,3,FALSE),
AC1667*10^6/(H2dens*HoursInYear))</f>
        <v>94388.88889</v>
      </c>
      <c r="AC1667" s="126">
        <f t="shared" si="325"/>
        <v>73.58935333</v>
      </c>
      <c r="AD1667" s="125"/>
      <c r="AE1667" s="125">
        <f t="shared" si="282"/>
        <v>94388.88889</v>
      </c>
      <c r="AF1667" s="127" t="s">
        <v>14597</v>
      </c>
      <c r="AG1667" s="127">
        <v>-22.4897205431696</v>
      </c>
      <c r="AH1667" s="127">
        <v>16.9544270733683</v>
      </c>
      <c r="AI1667" s="115" t="s">
        <v>12383</v>
      </c>
      <c r="AJ1667" s="116">
        <v>0.5</v>
      </c>
      <c r="AK1667" s="117"/>
      <c r="AL1667" s="117"/>
      <c r="AM1667" s="117"/>
      <c r="AN1667" s="117"/>
      <c r="AO1667" s="117"/>
    </row>
    <row r="1668" ht="34.5" customHeight="1">
      <c r="A1668" s="111">
        <v>2309.0</v>
      </c>
      <c r="B1668" s="111" t="s">
        <v>9672</v>
      </c>
      <c r="C1668" s="111" t="s">
        <v>8011</v>
      </c>
      <c r="D1668" s="111">
        <v>2025.0</v>
      </c>
      <c r="E1668" s="111"/>
      <c r="F1668" s="111" t="s">
        <v>12393</v>
      </c>
      <c r="G1668" s="111" t="s">
        <v>12224</v>
      </c>
      <c r="H1668" s="111"/>
      <c r="I1668" s="111" t="s">
        <v>12406</v>
      </c>
      <c r="J1668" s="111"/>
      <c r="K1668" s="111" t="s">
        <v>30</v>
      </c>
      <c r="L1668" s="111"/>
      <c r="M1668" s="111"/>
      <c r="N1668" s="111"/>
      <c r="O1668" s="111"/>
      <c r="P1668" s="111"/>
      <c r="Q1668" s="111">
        <v>1.0</v>
      </c>
      <c r="R1668" s="111"/>
      <c r="S1668" s="111"/>
      <c r="T1668" s="111"/>
      <c r="U1668" s="111"/>
      <c r="V1668" s="111"/>
      <c r="W1668" s="111"/>
      <c r="X1668" s="111"/>
      <c r="Y1668" s="111"/>
      <c r="Z1668" s="111" t="s">
        <v>12908</v>
      </c>
      <c r="AA1668" s="124">
        <v>1.0</v>
      </c>
      <c r="AB1668" s="125">
        <f>IF(Projects!$AI1668="Electrolysis",
AA1668/VLOOKUP(G1668,ElectrolysisConvF,3,FALSE),
AC1668*10^6/(H2dens*HoursInYear))</f>
        <v>217.3913043</v>
      </c>
      <c r="AC1668" s="126">
        <f t="shared" si="325"/>
        <v>0.1694869565</v>
      </c>
      <c r="AD1668" s="125"/>
      <c r="AE1668" s="125">
        <f t="shared" si="282"/>
        <v>217.3913043</v>
      </c>
      <c r="AF1668" s="127" t="s">
        <v>14601</v>
      </c>
      <c r="AG1668" s="127">
        <v>51.0171748829956</v>
      </c>
      <c r="AH1668" s="127">
        <v>2.41903116280467</v>
      </c>
      <c r="AI1668" s="115" t="s">
        <v>12383</v>
      </c>
      <c r="AJ1668" s="116">
        <v>0.57</v>
      </c>
      <c r="AK1668" s="117"/>
      <c r="AL1668" s="117"/>
      <c r="AM1668" s="117"/>
      <c r="AN1668" s="117"/>
      <c r="AO1668" s="117"/>
    </row>
    <row r="1669" ht="34.5" customHeight="1">
      <c r="A1669" s="111">
        <v>2310.0</v>
      </c>
      <c r="B1669" s="111" t="s">
        <v>9673</v>
      </c>
      <c r="C1669" s="111" t="s">
        <v>8011</v>
      </c>
      <c r="D1669" s="111">
        <v>2025.0</v>
      </c>
      <c r="E1669" s="111"/>
      <c r="F1669" s="111" t="s">
        <v>12399</v>
      </c>
      <c r="G1669" s="111" t="s">
        <v>12224</v>
      </c>
      <c r="H1669" s="111"/>
      <c r="I1669" s="111" t="s">
        <v>12406</v>
      </c>
      <c r="J1669" s="111"/>
      <c r="K1669" s="111" t="s">
        <v>30</v>
      </c>
      <c r="L1669" s="111"/>
      <c r="M1669" s="111"/>
      <c r="N1669" s="111"/>
      <c r="O1669" s="111"/>
      <c r="P1669" s="111"/>
      <c r="Q1669" s="111">
        <v>1.0</v>
      </c>
      <c r="R1669" s="111"/>
      <c r="S1669" s="111"/>
      <c r="T1669" s="111"/>
      <c r="U1669" s="111"/>
      <c r="V1669" s="111"/>
      <c r="W1669" s="111"/>
      <c r="X1669" s="111"/>
      <c r="Y1669" s="111"/>
      <c r="Z1669" s="111" t="s">
        <v>12720</v>
      </c>
      <c r="AA1669" s="124">
        <v>2.0</v>
      </c>
      <c r="AB1669" s="125">
        <f>IF(Projects!$AI1669="Electrolysis",
AA1669/VLOOKUP(G1669,ElectrolysisConvF,3,FALSE),
AC1669*10^6/(H2dens*HoursInYear))</f>
        <v>434.7826087</v>
      </c>
      <c r="AC1669" s="126">
        <f t="shared" si="325"/>
        <v>0.338973913</v>
      </c>
      <c r="AD1669" s="125"/>
      <c r="AE1669" s="125">
        <f t="shared" si="282"/>
        <v>434.7826087</v>
      </c>
      <c r="AF1669" s="127" t="s">
        <v>14601</v>
      </c>
      <c r="AG1669" s="127">
        <v>43.2070120868973</v>
      </c>
      <c r="AH1669" s="127">
        <v>1.01147326073728</v>
      </c>
      <c r="AI1669" s="115" t="s">
        <v>12383</v>
      </c>
      <c r="AJ1669" s="116">
        <v>0.57</v>
      </c>
      <c r="AK1669" s="117"/>
      <c r="AL1669" s="117"/>
      <c r="AM1669" s="117"/>
      <c r="AN1669" s="117"/>
      <c r="AO1669" s="117"/>
    </row>
    <row r="1670" ht="34.5" customHeight="1">
      <c r="A1670" s="111">
        <v>2311.0</v>
      </c>
      <c r="B1670" s="111" t="s">
        <v>9674</v>
      </c>
      <c r="C1670" s="111" t="s">
        <v>8011</v>
      </c>
      <c r="D1670" s="111">
        <v>2025.0</v>
      </c>
      <c r="E1670" s="111"/>
      <c r="F1670" s="111" t="s">
        <v>12399</v>
      </c>
      <c r="G1670" s="111" t="s">
        <v>12224</v>
      </c>
      <c r="H1670" s="111"/>
      <c r="I1670" s="111" t="s">
        <v>12406</v>
      </c>
      <c r="J1670" s="111"/>
      <c r="K1670" s="111" t="s">
        <v>30</v>
      </c>
      <c r="L1670" s="111"/>
      <c r="M1670" s="111"/>
      <c r="N1670" s="111"/>
      <c r="O1670" s="111"/>
      <c r="P1670" s="111"/>
      <c r="Q1670" s="111">
        <v>1.0</v>
      </c>
      <c r="R1670" s="111"/>
      <c r="S1670" s="111"/>
      <c r="T1670" s="111"/>
      <c r="U1670" s="111"/>
      <c r="V1670" s="111"/>
      <c r="W1670" s="111"/>
      <c r="X1670" s="111"/>
      <c r="Y1670" s="111"/>
      <c r="Z1670" s="111" t="s">
        <v>12720</v>
      </c>
      <c r="AA1670" s="124">
        <v>2.0</v>
      </c>
      <c r="AB1670" s="125">
        <f>IF(Projects!$AI1670="Electrolysis",
AA1670/VLOOKUP(G1670,ElectrolysisConvF,3,FALSE),
AC1670*10^6/(H2dens*HoursInYear))</f>
        <v>434.7826087</v>
      </c>
      <c r="AC1670" s="126">
        <f t="shared" si="325"/>
        <v>0.338973913</v>
      </c>
      <c r="AD1670" s="125"/>
      <c r="AE1670" s="125">
        <f t="shared" si="282"/>
        <v>434.7826087</v>
      </c>
      <c r="AF1670" s="127" t="s">
        <v>14601</v>
      </c>
      <c r="AG1670" s="127">
        <v>48.784304934084</v>
      </c>
      <c r="AH1670" s="127">
        <v>2.40247163986997</v>
      </c>
      <c r="AI1670" s="115" t="s">
        <v>12383</v>
      </c>
      <c r="AJ1670" s="116">
        <v>0.57</v>
      </c>
      <c r="AK1670" s="117"/>
      <c r="AL1670" s="117"/>
      <c r="AM1670" s="117"/>
      <c r="AN1670" s="117"/>
      <c r="AO1670" s="117"/>
    </row>
    <row r="1671" ht="34.5" customHeight="1">
      <c r="A1671" s="111">
        <v>2312.0</v>
      </c>
      <c r="B1671" s="111" t="s">
        <v>9675</v>
      </c>
      <c r="C1671" s="111" t="s">
        <v>8011</v>
      </c>
      <c r="D1671" s="111">
        <v>2025.0</v>
      </c>
      <c r="E1671" s="111"/>
      <c r="F1671" s="111" t="s">
        <v>12399</v>
      </c>
      <c r="G1671" s="111" t="s">
        <v>12224</v>
      </c>
      <c r="H1671" s="111"/>
      <c r="I1671" s="111" t="s">
        <v>12406</v>
      </c>
      <c r="J1671" s="111"/>
      <c r="K1671" s="111" t="s">
        <v>30</v>
      </c>
      <c r="L1671" s="111"/>
      <c r="M1671" s="111"/>
      <c r="N1671" s="111"/>
      <c r="O1671" s="111"/>
      <c r="P1671" s="111"/>
      <c r="Q1671" s="111">
        <v>1.0</v>
      </c>
      <c r="R1671" s="111"/>
      <c r="S1671" s="111"/>
      <c r="T1671" s="111"/>
      <c r="U1671" s="111"/>
      <c r="V1671" s="111"/>
      <c r="W1671" s="111"/>
      <c r="X1671" s="111"/>
      <c r="Y1671" s="111"/>
      <c r="Z1671" s="111" t="s">
        <v>12720</v>
      </c>
      <c r="AA1671" s="124">
        <v>2.0</v>
      </c>
      <c r="AB1671" s="125">
        <f>IF(Projects!$AI1671="Electrolysis",
AA1671/VLOOKUP(G1671,ElectrolysisConvF,3,FALSE),
AC1671*10^6/(H2dens*HoursInYear))</f>
        <v>434.7826087</v>
      </c>
      <c r="AC1671" s="126">
        <f t="shared" si="325"/>
        <v>0.338973913</v>
      </c>
      <c r="AD1671" s="125"/>
      <c r="AE1671" s="125">
        <f t="shared" si="282"/>
        <v>434.7826087</v>
      </c>
      <c r="AF1671" s="127" t="s">
        <v>14601</v>
      </c>
      <c r="AG1671" s="127">
        <v>49.4910264446047</v>
      </c>
      <c r="AH1671" s="127">
        <v>0.141837155546191</v>
      </c>
      <c r="AI1671" s="115" t="s">
        <v>12383</v>
      </c>
      <c r="AJ1671" s="116">
        <v>0.57</v>
      </c>
      <c r="AK1671" s="117"/>
      <c r="AL1671" s="117"/>
      <c r="AM1671" s="117"/>
      <c r="AN1671" s="117"/>
      <c r="AO1671" s="117"/>
    </row>
    <row r="1672" ht="34.5" customHeight="1">
      <c r="A1672" s="111">
        <v>2313.0</v>
      </c>
      <c r="B1672" s="111" t="s">
        <v>9676</v>
      </c>
      <c r="C1672" s="111" t="s">
        <v>8011</v>
      </c>
      <c r="D1672" s="111">
        <v>2025.0</v>
      </c>
      <c r="E1672" s="111"/>
      <c r="F1672" s="111" t="s">
        <v>12399</v>
      </c>
      <c r="G1672" s="111" t="s">
        <v>12224</v>
      </c>
      <c r="H1672" s="111"/>
      <c r="I1672" s="111" t="s">
        <v>12406</v>
      </c>
      <c r="J1672" s="111"/>
      <c r="K1672" s="111" t="s">
        <v>30</v>
      </c>
      <c r="L1672" s="111"/>
      <c r="M1672" s="111"/>
      <c r="N1672" s="111"/>
      <c r="O1672" s="111"/>
      <c r="P1672" s="111"/>
      <c r="Q1672" s="111">
        <v>1.0</v>
      </c>
      <c r="R1672" s="111"/>
      <c r="S1672" s="111"/>
      <c r="T1672" s="111"/>
      <c r="U1672" s="111"/>
      <c r="V1672" s="111"/>
      <c r="W1672" s="111"/>
      <c r="X1672" s="111"/>
      <c r="Y1672" s="111"/>
      <c r="Z1672" s="111" t="s">
        <v>12720</v>
      </c>
      <c r="AA1672" s="124">
        <v>2.0</v>
      </c>
      <c r="AB1672" s="125">
        <f>IF(Projects!$AI1672="Electrolysis",
AA1672/VLOOKUP(G1672,ElectrolysisConvF,3,FALSE),
AC1672*10^6/(H2dens*HoursInYear))</f>
        <v>434.7826087</v>
      </c>
      <c r="AC1672" s="126">
        <f t="shared" si="325"/>
        <v>0.338973913</v>
      </c>
      <c r="AD1672" s="125"/>
      <c r="AE1672" s="125">
        <f t="shared" si="282"/>
        <v>434.7826087</v>
      </c>
      <c r="AF1672" s="127" t="s">
        <v>14601</v>
      </c>
      <c r="AG1672" s="127">
        <v>48.7678495264522</v>
      </c>
      <c r="AH1672" s="127">
        <v>2.30620581628347</v>
      </c>
      <c r="AI1672" s="115" t="s">
        <v>12383</v>
      </c>
      <c r="AJ1672" s="116">
        <v>0.57</v>
      </c>
      <c r="AK1672" s="117"/>
      <c r="AL1672" s="117"/>
      <c r="AM1672" s="117"/>
      <c r="AN1672" s="117"/>
      <c r="AO1672" s="117"/>
    </row>
    <row r="1673" ht="34.5" customHeight="1">
      <c r="A1673" s="111">
        <v>2314.0</v>
      </c>
      <c r="B1673" s="111" t="s">
        <v>9677</v>
      </c>
      <c r="C1673" s="111" t="s">
        <v>8011</v>
      </c>
      <c r="D1673" s="111">
        <v>2025.0</v>
      </c>
      <c r="E1673" s="111"/>
      <c r="F1673" s="111" t="s">
        <v>12399</v>
      </c>
      <c r="G1673" s="111" t="s">
        <v>12224</v>
      </c>
      <c r="H1673" s="111"/>
      <c r="I1673" s="111" t="s">
        <v>12406</v>
      </c>
      <c r="J1673" s="111"/>
      <c r="K1673" s="111" t="s">
        <v>30</v>
      </c>
      <c r="L1673" s="111"/>
      <c r="M1673" s="111"/>
      <c r="N1673" s="111"/>
      <c r="O1673" s="111"/>
      <c r="P1673" s="111"/>
      <c r="Q1673" s="111">
        <v>1.0</v>
      </c>
      <c r="R1673" s="111"/>
      <c r="S1673" s="111"/>
      <c r="T1673" s="111"/>
      <c r="U1673" s="111"/>
      <c r="V1673" s="111"/>
      <c r="W1673" s="111"/>
      <c r="X1673" s="111"/>
      <c r="Y1673" s="111"/>
      <c r="Z1673" s="111" t="s">
        <v>12720</v>
      </c>
      <c r="AA1673" s="124">
        <v>2.0</v>
      </c>
      <c r="AB1673" s="125">
        <f>IF(Projects!$AI1673="Electrolysis",
AA1673/VLOOKUP(G1673,ElectrolysisConvF,3,FALSE),
AC1673*10^6/(H2dens*HoursInYear))</f>
        <v>434.7826087</v>
      </c>
      <c r="AC1673" s="126">
        <f t="shared" si="325"/>
        <v>0.338973913</v>
      </c>
      <c r="AD1673" s="125"/>
      <c r="AE1673" s="125">
        <f t="shared" si="282"/>
        <v>434.7826087</v>
      </c>
      <c r="AF1673" s="127" t="s">
        <v>14601</v>
      </c>
      <c r="AG1673" s="127">
        <v>43.5746766320959</v>
      </c>
      <c r="AH1673" s="127">
        <v>7.00197399040606</v>
      </c>
      <c r="AI1673" s="115" t="s">
        <v>12383</v>
      </c>
      <c r="AJ1673" s="116">
        <v>0.57</v>
      </c>
      <c r="AK1673" s="117"/>
      <c r="AL1673" s="117"/>
      <c r="AM1673" s="117"/>
      <c r="AN1673" s="117"/>
      <c r="AO1673" s="117"/>
    </row>
    <row r="1674" ht="34.5" customHeight="1">
      <c r="A1674" s="111">
        <v>2315.0</v>
      </c>
      <c r="B1674" s="111" t="s">
        <v>9678</v>
      </c>
      <c r="C1674" s="111" t="s">
        <v>8011</v>
      </c>
      <c r="D1674" s="111">
        <v>2027.0</v>
      </c>
      <c r="E1674" s="111"/>
      <c r="F1674" s="111" t="s">
        <v>12399</v>
      </c>
      <c r="G1674" s="111" t="s">
        <v>12224</v>
      </c>
      <c r="H1674" s="111"/>
      <c r="I1674" s="111" t="s">
        <v>12406</v>
      </c>
      <c r="J1674" s="111"/>
      <c r="K1674" s="111" t="s">
        <v>30</v>
      </c>
      <c r="L1674" s="111"/>
      <c r="M1674" s="111"/>
      <c r="N1674" s="111"/>
      <c r="O1674" s="111"/>
      <c r="P1674" s="111">
        <v>1.0</v>
      </c>
      <c r="Q1674" s="111"/>
      <c r="R1674" s="111"/>
      <c r="S1674" s="111"/>
      <c r="T1674" s="111"/>
      <c r="U1674" s="111"/>
      <c r="V1674" s="111"/>
      <c r="W1674" s="111"/>
      <c r="X1674" s="111"/>
      <c r="Y1674" s="111"/>
      <c r="Z1674" s="111" t="s">
        <v>13697</v>
      </c>
      <c r="AA1674" s="124">
        <v>85.0</v>
      </c>
      <c r="AB1674" s="125">
        <f>IF(Projects!$AI1674="Electrolysis",
AA1674/VLOOKUP(G1674,ElectrolysisConvF,3,FALSE),
AC1674*10^6/(H2dens*HoursInYear))</f>
        <v>18478.26087</v>
      </c>
      <c r="AC1674" s="126">
        <f t="shared" si="325"/>
        <v>14.4063913</v>
      </c>
      <c r="AD1674" s="125"/>
      <c r="AE1674" s="125">
        <f t="shared" si="282"/>
        <v>18478.26087</v>
      </c>
      <c r="AF1674" s="127" t="s">
        <v>14602</v>
      </c>
      <c r="AG1674" s="127">
        <v>45.7091745975376</v>
      </c>
      <c r="AH1674" s="127">
        <v>4.84949349829034</v>
      </c>
      <c r="AI1674" s="115" t="s">
        <v>12383</v>
      </c>
      <c r="AJ1674" s="116">
        <v>0.57</v>
      </c>
      <c r="AK1674" s="117"/>
      <c r="AL1674" s="117"/>
      <c r="AM1674" s="117"/>
      <c r="AN1674" s="117"/>
      <c r="AO1674" s="117"/>
    </row>
    <row r="1675" ht="34.5" customHeight="1">
      <c r="A1675" s="111">
        <v>2316.0</v>
      </c>
      <c r="B1675" s="111" t="s">
        <v>9679</v>
      </c>
      <c r="C1675" s="111" t="s">
        <v>8011</v>
      </c>
      <c r="D1675" s="111">
        <v>2030.0</v>
      </c>
      <c r="E1675" s="111"/>
      <c r="F1675" s="111" t="s">
        <v>12399</v>
      </c>
      <c r="G1675" s="111" t="s">
        <v>12381</v>
      </c>
      <c r="H1675" s="111" t="s">
        <v>12230</v>
      </c>
      <c r="I1675" s="111" t="s">
        <v>12406</v>
      </c>
      <c r="J1675" s="111"/>
      <c r="K1675" s="111" t="s">
        <v>12251</v>
      </c>
      <c r="L1675" s="111"/>
      <c r="M1675" s="111"/>
      <c r="N1675" s="111"/>
      <c r="O1675" s="111"/>
      <c r="P1675" s="111"/>
      <c r="Q1675" s="111"/>
      <c r="R1675" s="111"/>
      <c r="S1675" s="111"/>
      <c r="T1675" s="111"/>
      <c r="U1675" s="111"/>
      <c r="V1675" s="111"/>
      <c r="W1675" s="111">
        <v>1.0</v>
      </c>
      <c r="X1675" s="111"/>
      <c r="Y1675" s="111"/>
      <c r="Z1675" s="111" t="s">
        <v>14603</v>
      </c>
      <c r="AA1675" s="126">
        <v>200.0</v>
      </c>
      <c r="AB1675" s="125">
        <f>IF(Projects!$AI1675="Electrolysis",
AA1675/VLOOKUP(G1675,ElectrolysisConvF,3,FALSE),
AC1675*10^6/(H2dens*HoursInYear))</f>
        <v>44444.44444</v>
      </c>
      <c r="AC1675" s="126">
        <f t="shared" si="325"/>
        <v>34.65066667</v>
      </c>
      <c r="AD1675" s="125"/>
      <c r="AE1675" s="125">
        <f t="shared" si="282"/>
        <v>44444.44444</v>
      </c>
      <c r="AF1675" s="127" t="s">
        <v>14604</v>
      </c>
      <c r="AG1675" s="127">
        <v>48.1097050412182</v>
      </c>
      <c r="AH1675" s="127">
        <v>-1.01199036557909</v>
      </c>
      <c r="AI1675" s="115" t="s">
        <v>12383</v>
      </c>
      <c r="AJ1675" s="116">
        <v>0.57</v>
      </c>
      <c r="AK1675" s="117"/>
      <c r="AL1675" s="117"/>
      <c r="AM1675" s="117"/>
      <c r="AN1675" s="117"/>
      <c r="AO1675" s="117"/>
    </row>
    <row r="1676" ht="34.5" customHeight="1">
      <c r="A1676" s="111">
        <v>2317.0</v>
      </c>
      <c r="B1676" s="111" t="s">
        <v>9680</v>
      </c>
      <c r="C1676" s="111" t="s">
        <v>7991</v>
      </c>
      <c r="D1676" s="111">
        <v>2026.0</v>
      </c>
      <c r="E1676" s="111"/>
      <c r="F1676" s="111" t="s">
        <v>12393</v>
      </c>
      <c r="G1676" s="111" t="s">
        <v>12224</v>
      </c>
      <c r="H1676" s="111"/>
      <c r="I1676" s="111" t="s">
        <v>12394</v>
      </c>
      <c r="J1676" s="111" t="s">
        <v>12296</v>
      </c>
      <c r="K1676" s="111" t="s">
        <v>30</v>
      </c>
      <c r="L1676" s="111"/>
      <c r="M1676" s="111"/>
      <c r="N1676" s="111"/>
      <c r="O1676" s="111"/>
      <c r="P1676" s="111"/>
      <c r="Q1676" s="111">
        <v>1.0</v>
      </c>
      <c r="R1676" s="111"/>
      <c r="S1676" s="111"/>
      <c r="T1676" s="111"/>
      <c r="U1676" s="111"/>
      <c r="V1676" s="111"/>
      <c r="W1676" s="111"/>
      <c r="X1676" s="111"/>
      <c r="Y1676" s="111"/>
      <c r="Z1676" s="111" t="s">
        <v>12420</v>
      </c>
      <c r="AA1676" s="124">
        <v>1.0</v>
      </c>
      <c r="AB1676" s="125">
        <f>IF(Projects!$AI1676="Electrolysis",
AA1676/VLOOKUP(G1676,ElectrolysisConvF,3,FALSE),
AC1676*10^6/(H2dens*HoursInYear))</f>
        <v>217.3913043</v>
      </c>
      <c r="AC1676" s="126">
        <f t="shared" si="325"/>
        <v>0.1694869565</v>
      </c>
      <c r="AD1676" s="125"/>
      <c r="AE1676" s="125">
        <f t="shared" si="282"/>
        <v>217.3913043</v>
      </c>
      <c r="AF1676" s="127" t="s">
        <v>14605</v>
      </c>
      <c r="AG1676" s="127">
        <v>53.307071534992</v>
      </c>
      <c r="AH1676" s="127">
        <v>-4.63775646689211</v>
      </c>
      <c r="AI1676" s="115" t="s">
        <v>12383</v>
      </c>
      <c r="AJ1676" s="116">
        <v>0.5</v>
      </c>
      <c r="AK1676" s="117"/>
      <c r="AL1676" s="117"/>
      <c r="AM1676" s="117"/>
      <c r="AN1676" s="117"/>
      <c r="AO1676" s="117"/>
    </row>
    <row r="1677" ht="34.5" customHeight="1">
      <c r="A1677" s="111">
        <v>2318.0</v>
      </c>
      <c r="B1677" s="111" t="s">
        <v>9681</v>
      </c>
      <c r="C1677" s="111" t="s">
        <v>8021</v>
      </c>
      <c r="D1677" s="111">
        <v>2025.0</v>
      </c>
      <c r="E1677" s="111"/>
      <c r="F1677" s="111" t="s">
        <v>12418</v>
      </c>
      <c r="G1677" s="111" t="s">
        <v>12224</v>
      </c>
      <c r="H1677" s="111" t="s">
        <v>14606</v>
      </c>
      <c r="I1677" s="111" t="s">
        <v>12287</v>
      </c>
      <c r="J1677" s="111"/>
      <c r="K1677" s="111" t="s">
        <v>30</v>
      </c>
      <c r="L1677" s="111"/>
      <c r="M1677" s="111"/>
      <c r="N1677" s="111"/>
      <c r="O1677" s="111"/>
      <c r="P1677" s="111"/>
      <c r="Q1677" s="111"/>
      <c r="R1677" s="111"/>
      <c r="S1677" s="111"/>
      <c r="T1677" s="111"/>
      <c r="U1677" s="111"/>
      <c r="V1677" s="111"/>
      <c r="W1677" s="111"/>
      <c r="X1677" s="111"/>
      <c r="Y1677" s="111"/>
      <c r="Z1677" s="111" t="s">
        <v>12835</v>
      </c>
      <c r="AA1677" s="124">
        <v>5.0</v>
      </c>
      <c r="AB1677" s="125">
        <f>IF(Projects!$AI1677="Electrolysis",
AA1677/VLOOKUP(G1677,ElectrolysisConvF,3,FALSE),
AC1677*10^6/(H2dens*HoursInYear))</f>
        <v>1086.956522</v>
      </c>
      <c r="AC1677" s="126">
        <f t="shared" si="325"/>
        <v>0.8474347826</v>
      </c>
      <c r="AD1677" s="125"/>
      <c r="AE1677" s="125">
        <f t="shared" si="282"/>
        <v>1086.956522</v>
      </c>
      <c r="AF1677" s="127" t="s">
        <v>14607</v>
      </c>
      <c r="AG1677" s="127">
        <v>-23.5084044634193</v>
      </c>
      <c r="AH1677" s="127">
        <v>150.321245753449</v>
      </c>
      <c r="AI1677" s="115" t="s">
        <v>12383</v>
      </c>
      <c r="AJ1677" s="116">
        <v>0.57</v>
      </c>
      <c r="AK1677" s="117"/>
      <c r="AL1677" s="117"/>
      <c r="AM1677" s="117"/>
      <c r="AN1677" s="117"/>
      <c r="AO1677" s="117"/>
    </row>
    <row r="1678" ht="34.5" customHeight="1">
      <c r="A1678" s="111">
        <v>2319.0</v>
      </c>
      <c r="B1678" s="111" t="s">
        <v>9682</v>
      </c>
      <c r="C1678" s="111" t="s">
        <v>8047</v>
      </c>
      <c r="D1678" s="111">
        <v>2028.0</v>
      </c>
      <c r="E1678" s="111"/>
      <c r="F1678" s="111" t="s">
        <v>12399</v>
      </c>
      <c r="G1678" s="111" t="s">
        <v>12241</v>
      </c>
      <c r="H1678" s="111" t="s">
        <v>13334</v>
      </c>
      <c r="I1678" s="111"/>
      <c r="J1678" s="111"/>
      <c r="K1678" s="111" t="s">
        <v>30</v>
      </c>
      <c r="L1678" s="111">
        <v>1.0</v>
      </c>
      <c r="M1678" s="111"/>
      <c r="N1678" s="111">
        <v>1.0</v>
      </c>
      <c r="O1678" s="111"/>
      <c r="P1678" s="111"/>
      <c r="Q1678" s="111"/>
      <c r="R1678" s="111"/>
      <c r="S1678" s="111"/>
      <c r="T1678" s="111"/>
      <c r="U1678" s="111"/>
      <c r="V1678" s="111"/>
      <c r="W1678" s="111"/>
      <c r="X1678" s="111"/>
      <c r="Y1678" s="111"/>
      <c r="Z1678" s="111" t="s">
        <v>14608</v>
      </c>
      <c r="AA1678" s="124"/>
      <c r="AB1678" s="125">
        <v>2000.0</v>
      </c>
      <c r="AC1678" s="126">
        <f t="shared" si="325"/>
        <v>1.55928</v>
      </c>
      <c r="AD1678" s="125"/>
      <c r="AE1678" s="125">
        <f t="shared" si="282"/>
        <v>2000</v>
      </c>
      <c r="AF1678" s="127" t="s">
        <v>14609</v>
      </c>
      <c r="AG1678" s="127">
        <v>45.1007835423131</v>
      </c>
      <c r="AH1678" s="127">
        <v>8.91779212795064</v>
      </c>
      <c r="AI1678" s="115" t="s">
        <v>12241</v>
      </c>
      <c r="AJ1678" s="116">
        <v>0.9</v>
      </c>
      <c r="AK1678" s="117"/>
      <c r="AL1678" s="117"/>
      <c r="AM1678" s="117"/>
      <c r="AN1678" s="117"/>
      <c r="AO1678" s="117"/>
    </row>
    <row r="1679" ht="34.5" customHeight="1">
      <c r="A1679" s="111">
        <v>2320.0</v>
      </c>
      <c r="B1679" s="111" t="s">
        <v>9683</v>
      </c>
      <c r="C1679" s="111" t="s">
        <v>7991</v>
      </c>
      <c r="D1679" s="111"/>
      <c r="E1679" s="111"/>
      <c r="F1679" s="111" t="s">
        <v>12399</v>
      </c>
      <c r="G1679" s="111" t="s">
        <v>12235</v>
      </c>
      <c r="H1679" s="111" t="s">
        <v>12529</v>
      </c>
      <c r="I1679" s="111"/>
      <c r="J1679" s="111"/>
      <c r="K1679" s="111" t="s">
        <v>30</v>
      </c>
      <c r="L1679" s="111"/>
      <c r="M1679" s="111"/>
      <c r="N1679" s="111"/>
      <c r="O1679" s="111"/>
      <c r="P1679" s="111">
        <v>1.0</v>
      </c>
      <c r="Q1679" s="111"/>
      <c r="R1679" s="111">
        <v>1.0</v>
      </c>
      <c r="S1679" s="111">
        <v>1.0</v>
      </c>
      <c r="T1679" s="111"/>
      <c r="U1679" s="111"/>
      <c r="V1679" s="111"/>
      <c r="W1679" s="111"/>
      <c r="X1679" s="111"/>
      <c r="Y1679" s="111"/>
      <c r="Z1679" s="111" t="s">
        <v>14610</v>
      </c>
      <c r="AA1679" s="124"/>
      <c r="AB1679" s="125">
        <f>IF(Projects!$AI1679="Electrolysis",
AA1679/VLOOKUP(G1679,ElectrolysisConvF,3,FALSE),
AC1679*10^6/(H2dens*HoursInYear))</f>
        <v>192134.8315</v>
      </c>
      <c r="AC1679" s="126">
        <f>600*HoursInYear*0.95*3600/120/10^6</f>
        <v>149.796</v>
      </c>
      <c r="AD1679" s="125">
        <v>1000000.0</v>
      </c>
      <c r="AE1679" s="125">
        <f t="shared" si="282"/>
        <v>125376.4428</v>
      </c>
      <c r="AF1679" s="127" t="s">
        <v>14611</v>
      </c>
      <c r="AG1679" s="127">
        <v>53.743618917531</v>
      </c>
      <c r="AH1679" s="127">
        <v>-0.249534750460349</v>
      </c>
      <c r="AI1679" s="115" t="s">
        <v>12378</v>
      </c>
      <c r="AJ1679" s="116">
        <v>0.9</v>
      </c>
      <c r="AK1679" s="117"/>
      <c r="AL1679" s="117"/>
      <c r="AM1679" s="117"/>
      <c r="AN1679" s="117"/>
      <c r="AO1679" s="117"/>
    </row>
    <row r="1680" ht="34.5" customHeight="1">
      <c r="A1680" s="111">
        <v>2323.0</v>
      </c>
      <c r="B1680" s="111" t="s">
        <v>9684</v>
      </c>
      <c r="C1680" s="111" t="s">
        <v>8161</v>
      </c>
      <c r="D1680" s="111">
        <v>2025.0</v>
      </c>
      <c r="E1680" s="111"/>
      <c r="F1680" s="111" t="s">
        <v>12399</v>
      </c>
      <c r="G1680" s="111" t="s">
        <v>12226</v>
      </c>
      <c r="H1680" s="111"/>
      <c r="I1680" s="111" t="s">
        <v>12759</v>
      </c>
      <c r="J1680" s="111" t="s">
        <v>12291</v>
      </c>
      <c r="K1680" s="111" t="s">
        <v>30</v>
      </c>
      <c r="L1680" s="111"/>
      <c r="M1680" s="111"/>
      <c r="N1680" s="111">
        <v>1.0</v>
      </c>
      <c r="O1680" s="111"/>
      <c r="P1680" s="111"/>
      <c r="Q1680" s="111"/>
      <c r="R1680" s="111"/>
      <c r="S1680" s="111"/>
      <c r="T1680" s="111"/>
      <c r="U1680" s="111"/>
      <c r="V1680" s="111"/>
      <c r="W1680" s="111"/>
      <c r="X1680" s="111"/>
      <c r="Y1680" s="111"/>
      <c r="Z1680" s="111" t="s">
        <v>12963</v>
      </c>
      <c r="AA1680" s="124">
        <v>4.0</v>
      </c>
      <c r="AB1680" s="125">
        <f>IF(Projects!$AI1680="Electrolysis",
AA1680/VLOOKUP(G1680,ElectrolysisConvF,3,FALSE),
AC1680*10^6/(H2dens*HoursInYear))</f>
        <v>769.2307692</v>
      </c>
      <c r="AC1680" s="126">
        <f t="shared" ref="AC1680:AC1689" si="326">AB1680*H2dens*HoursInYear/10^6</f>
        <v>0.5997230769</v>
      </c>
      <c r="AD1680" s="125"/>
      <c r="AE1680" s="125">
        <f t="shared" si="282"/>
        <v>769.2307692</v>
      </c>
      <c r="AF1680" s="127" t="s">
        <v>14612</v>
      </c>
      <c r="AG1680" s="127">
        <v>37.9588935688728</v>
      </c>
      <c r="AH1680" s="127">
        <v>-8.86007328888969</v>
      </c>
      <c r="AI1680" s="115" t="s">
        <v>12383</v>
      </c>
      <c r="AJ1680" s="116">
        <v>0.7</v>
      </c>
      <c r="AK1680" s="117"/>
      <c r="AL1680" s="117"/>
      <c r="AM1680" s="117"/>
      <c r="AN1680" s="117"/>
      <c r="AO1680" s="117"/>
    </row>
    <row r="1681" ht="34.5" customHeight="1">
      <c r="A1681" s="111">
        <v>2324.0</v>
      </c>
      <c r="B1681" s="111" t="s">
        <v>9685</v>
      </c>
      <c r="C1681" s="111" t="s">
        <v>8047</v>
      </c>
      <c r="D1681" s="111">
        <v>2031.0</v>
      </c>
      <c r="E1681" s="111"/>
      <c r="F1681" s="111" t="s">
        <v>12397</v>
      </c>
      <c r="G1681" s="111" t="s">
        <v>12381</v>
      </c>
      <c r="H1681" s="111" t="s">
        <v>12230</v>
      </c>
      <c r="I1681" s="111" t="s">
        <v>12406</v>
      </c>
      <c r="J1681" s="111"/>
      <c r="K1681" s="111" t="s">
        <v>30</v>
      </c>
      <c r="L1681" s="111"/>
      <c r="M1681" s="111"/>
      <c r="N1681" s="111"/>
      <c r="O1681" s="111"/>
      <c r="P1681" s="111"/>
      <c r="Q1681" s="111"/>
      <c r="R1681" s="111"/>
      <c r="S1681" s="111">
        <v>1.0</v>
      </c>
      <c r="T1681" s="111"/>
      <c r="U1681" s="111"/>
      <c r="V1681" s="111"/>
      <c r="W1681" s="111"/>
      <c r="X1681" s="111"/>
      <c r="Y1681" s="111"/>
      <c r="Z1681" s="111" t="s">
        <v>13647</v>
      </c>
      <c r="AA1681" s="124">
        <v>710.0</v>
      </c>
      <c r="AB1681" s="125">
        <f>IF(Projects!$AI1681="Electrolysis",
AA1681/VLOOKUP(G1681,ElectrolysisConvF,3,FALSE),
AC1681*10^6/(H2dens*HoursInYear))</f>
        <v>157777.7778</v>
      </c>
      <c r="AC1681" s="126">
        <f t="shared" si="326"/>
        <v>123.0098667</v>
      </c>
      <c r="AD1681" s="125"/>
      <c r="AE1681" s="125">
        <f t="shared" si="282"/>
        <v>157777.7778</v>
      </c>
      <c r="AF1681" s="127" t="s">
        <v>14613</v>
      </c>
      <c r="AG1681" s="127">
        <v>41.0668789763343</v>
      </c>
      <c r="AH1681" s="127">
        <v>16.6825775917671</v>
      </c>
      <c r="AI1681" s="115" t="s">
        <v>12383</v>
      </c>
      <c r="AJ1681" s="116">
        <v>0.57</v>
      </c>
      <c r="AK1681" s="117"/>
      <c r="AL1681" s="117"/>
      <c r="AM1681" s="117"/>
      <c r="AN1681" s="117"/>
      <c r="AO1681" s="117"/>
    </row>
    <row r="1682" ht="34.5" customHeight="1">
      <c r="A1682" s="111">
        <v>2325.0</v>
      </c>
      <c r="B1682" s="111" t="s">
        <v>9686</v>
      </c>
      <c r="C1682" s="111" t="s">
        <v>8047</v>
      </c>
      <c r="D1682" s="111">
        <v>2026.0</v>
      </c>
      <c r="E1682" s="111"/>
      <c r="F1682" s="111" t="s">
        <v>12397</v>
      </c>
      <c r="G1682" s="111" t="s">
        <v>12381</v>
      </c>
      <c r="H1682" s="111" t="s">
        <v>12230</v>
      </c>
      <c r="I1682" s="111" t="s">
        <v>12406</v>
      </c>
      <c r="J1682" s="111"/>
      <c r="K1682" s="111" t="s">
        <v>12449</v>
      </c>
      <c r="L1682" s="111"/>
      <c r="M1682" s="111"/>
      <c r="N1682" s="111"/>
      <c r="O1682" s="111"/>
      <c r="P1682" s="111"/>
      <c r="Q1682" s="111"/>
      <c r="R1682" s="111"/>
      <c r="S1682" s="111"/>
      <c r="T1682" s="111"/>
      <c r="U1682" s="111"/>
      <c r="V1682" s="111"/>
      <c r="W1682" s="111"/>
      <c r="X1682" s="111">
        <v>1.0</v>
      </c>
      <c r="Y1682" s="111"/>
      <c r="Z1682" s="111" t="s">
        <v>13306</v>
      </c>
      <c r="AA1682" s="124">
        <v>90.0</v>
      </c>
      <c r="AB1682" s="125">
        <f>IF(Projects!$AI1682="Electrolysis",
AA1682/VLOOKUP(G1682,ElectrolysisConvF,3,FALSE),
AC1682*10^6/(H2dens*HoursInYear))</f>
        <v>20000</v>
      </c>
      <c r="AC1682" s="126">
        <f t="shared" si="326"/>
        <v>15.5928</v>
      </c>
      <c r="AD1682" s="125"/>
      <c r="AE1682" s="125">
        <f t="shared" si="282"/>
        <v>20000</v>
      </c>
      <c r="AF1682" s="127" t="s">
        <v>14613</v>
      </c>
      <c r="AG1682" s="127">
        <v>37.1073998432247</v>
      </c>
      <c r="AH1682" s="127">
        <v>15.0170182032133</v>
      </c>
      <c r="AI1682" s="115" t="s">
        <v>12383</v>
      </c>
      <c r="AJ1682" s="116">
        <v>0.57</v>
      </c>
      <c r="AK1682" s="117"/>
      <c r="AL1682" s="117"/>
      <c r="AM1682" s="117"/>
      <c r="AN1682" s="117"/>
      <c r="AO1682" s="117"/>
    </row>
    <row r="1683" ht="34.5" customHeight="1">
      <c r="A1683" s="111">
        <v>2326.0</v>
      </c>
      <c r="B1683" s="111" t="s">
        <v>9687</v>
      </c>
      <c r="C1683" s="111" t="s">
        <v>8047</v>
      </c>
      <c r="D1683" s="111">
        <v>2031.0</v>
      </c>
      <c r="E1683" s="111"/>
      <c r="F1683" s="111" t="s">
        <v>12397</v>
      </c>
      <c r="G1683" s="111" t="s">
        <v>12381</v>
      </c>
      <c r="H1683" s="111" t="s">
        <v>12230</v>
      </c>
      <c r="I1683" s="111" t="s">
        <v>12406</v>
      </c>
      <c r="J1683" s="111"/>
      <c r="K1683" s="111" t="s">
        <v>30</v>
      </c>
      <c r="L1683" s="111"/>
      <c r="M1683" s="111"/>
      <c r="N1683" s="111"/>
      <c r="O1683" s="111"/>
      <c r="P1683" s="111"/>
      <c r="Q1683" s="111"/>
      <c r="R1683" s="111"/>
      <c r="S1683" s="111">
        <v>1.0</v>
      </c>
      <c r="T1683" s="111"/>
      <c r="U1683" s="111"/>
      <c r="V1683" s="111"/>
      <c r="W1683" s="111"/>
      <c r="X1683" s="111"/>
      <c r="Y1683" s="111"/>
      <c r="Z1683" s="111" t="s">
        <v>13102</v>
      </c>
      <c r="AA1683" s="124">
        <v>610.0</v>
      </c>
      <c r="AB1683" s="125">
        <f>IF(Projects!$AI1683="Electrolysis",
AA1683/VLOOKUP(G1683,ElectrolysisConvF,3,FALSE),
AC1683*10^6/(H2dens*HoursInYear))</f>
        <v>135555.5556</v>
      </c>
      <c r="AC1683" s="126">
        <f t="shared" si="326"/>
        <v>105.6845333</v>
      </c>
      <c r="AD1683" s="125"/>
      <c r="AE1683" s="125">
        <f t="shared" si="282"/>
        <v>135555.5556</v>
      </c>
      <c r="AF1683" s="127" t="s">
        <v>14613</v>
      </c>
      <c r="AG1683" s="127">
        <v>37.1073998432247</v>
      </c>
      <c r="AH1683" s="127">
        <v>15.0170182032133</v>
      </c>
      <c r="AI1683" s="115" t="s">
        <v>12383</v>
      </c>
      <c r="AJ1683" s="116">
        <v>0.57</v>
      </c>
      <c r="AK1683" s="117"/>
      <c r="AL1683" s="117"/>
      <c r="AM1683" s="117"/>
      <c r="AN1683" s="117"/>
      <c r="AO1683" s="117"/>
    </row>
    <row r="1684" ht="34.5" customHeight="1">
      <c r="A1684" s="111">
        <v>2327.0</v>
      </c>
      <c r="B1684" s="111" t="s">
        <v>9688</v>
      </c>
      <c r="C1684" s="111" t="s">
        <v>8047</v>
      </c>
      <c r="D1684" s="111">
        <v>2026.0</v>
      </c>
      <c r="E1684" s="111"/>
      <c r="F1684" s="111" t="s">
        <v>12393</v>
      </c>
      <c r="G1684" s="111" t="s">
        <v>12224</v>
      </c>
      <c r="H1684" s="111"/>
      <c r="I1684" s="111" t="s">
        <v>12394</v>
      </c>
      <c r="J1684" s="111" t="s">
        <v>12291</v>
      </c>
      <c r="K1684" s="111" t="s">
        <v>30</v>
      </c>
      <c r="L1684" s="111"/>
      <c r="M1684" s="111"/>
      <c r="N1684" s="111"/>
      <c r="O1684" s="111"/>
      <c r="P1684" s="111"/>
      <c r="Q1684" s="111">
        <v>1.0</v>
      </c>
      <c r="R1684" s="111">
        <v>1.0</v>
      </c>
      <c r="S1684" s="111"/>
      <c r="T1684" s="111"/>
      <c r="U1684" s="111"/>
      <c r="V1684" s="111"/>
      <c r="W1684" s="111"/>
      <c r="X1684" s="111"/>
      <c r="Y1684" s="111"/>
      <c r="Z1684" s="111" t="s">
        <v>12395</v>
      </c>
      <c r="AA1684" s="124">
        <v>2.5</v>
      </c>
      <c r="AB1684" s="125">
        <f>IF(Projects!$AI1684="Electrolysis",
AA1684/VLOOKUP(G1684,ElectrolysisConvF,3,FALSE),
AC1684*10^6/(H2dens*HoursInYear))</f>
        <v>543.4782609</v>
      </c>
      <c r="AC1684" s="126">
        <f t="shared" si="326"/>
        <v>0.4237173913</v>
      </c>
      <c r="AD1684" s="125"/>
      <c r="AE1684" s="125">
        <f t="shared" si="282"/>
        <v>543.4782609</v>
      </c>
      <c r="AF1684" s="127" t="s">
        <v>14613</v>
      </c>
      <c r="AG1684" s="127">
        <v>44.6460300404565</v>
      </c>
      <c r="AH1684" s="127">
        <v>10.9235623748586</v>
      </c>
      <c r="AI1684" s="115" t="s">
        <v>12383</v>
      </c>
      <c r="AJ1684" s="116">
        <v>0.3</v>
      </c>
      <c r="AK1684" s="117"/>
      <c r="AL1684" s="117"/>
      <c r="AM1684" s="117"/>
      <c r="AN1684" s="117"/>
      <c r="AO1684" s="117"/>
    </row>
    <row r="1685" ht="34.5" customHeight="1">
      <c r="A1685" s="111">
        <v>2328.0</v>
      </c>
      <c r="B1685" s="111" t="s">
        <v>9689</v>
      </c>
      <c r="C1685" s="111" t="s">
        <v>7987</v>
      </c>
      <c r="D1685" s="111">
        <v>2026.0</v>
      </c>
      <c r="E1685" s="111"/>
      <c r="F1685" s="111" t="s">
        <v>12397</v>
      </c>
      <c r="G1685" s="111" t="s">
        <v>12226</v>
      </c>
      <c r="H1685" s="111"/>
      <c r="I1685" s="111" t="s">
        <v>12394</v>
      </c>
      <c r="J1685" s="111" t="s">
        <v>12294</v>
      </c>
      <c r="K1685" s="111" t="s">
        <v>30</v>
      </c>
      <c r="L1685" s="111"/>
      <c r="M1685" s="111"/>
      <c r="N1685" s="111"/>
      <c r="O1685" s="111"/>
      <c r="P1685" s="111"/>
      <c r="Q1685" s="111">
        <v>1.0</v>
      </c>
      <c r="R1685" s="111">
        <v>1.0</v>
      </c>
      <c r="S1685" s="111"/>
      <c r="T1685" s="111"/>
      <c r="U1685" s="111"/>
      <c r="V1685" s="111"/>
      <c r="W1685" s="111"/>
      <c r="X1685" s="111"/>
      <c r="Y1685" s="111"/>
      <c r="Z1685" s="111" t="s">
        <v>12768</v>
      </c>
      <c r="AA1685" s="124">
        <v>50.0</v>
      </c>
      <c r="AB1685" s="125">
        <f>IF(Projects!$AI1685="Electrolysis",
AA1685/VLOOKUP(G1685,ElectrolysisConvF,3,FALSE),
AC1685*10^6/(H2dens*HoursInYear))</f>
        <v>9615.384615</v>
      </c>
      <c r="AC1685" s="126">
        <f t="shared" si="326"/>
        <v>7.496538462</v>
      </c>
      <c r="AD1685" s="125"/>
      <c r="AE1685" s="125">
        <f t="shared" si="282"/>
        <v>9615.384615</v>
      </c>
      <c r="AF1685" s="127" t="s">
        <v>14614</v>
      </c>
      <c r="AG1685" s="127">
        <v>47.5957469807682</v>
      </c>
      <c r="AH1685" s="127">
        <v>8.14713811233834</v>
      </c>
      <c r="AI1685" s="115" t="s">
        <v>12383</v>
      </c>
      <c r="AJ1685" s="116">
        <v>0.8</v>
      </c>
      <c r="AK1685" s="117"/>
      <c r="AL1685" s="117"/>
      <c r="AM1685" s="117"/>
      <c r="AN1685" s="117"/>
      <c r="AO1685" s="117"/>
    </row>
    <row r="1686" ht="34.5" customHeight="1">
      <c r="A1686" s="111">
        <v>2329.0</v>
      </c>
      <c r="B1686" s="111" t="s">
        <v>9690</v>
      </c>
      <c r="C1686" s="111" t="s">
        <v>8071</v>
      </c>
      <c r="D1686" s="111">
        <v>2025.0</v>
      </c>
      <c r="E1686" s="111"/>
      <c r="F1686" s="111" t="s">
        <v>12399</v>
      </c>
      <c r="G1686" s="111" t="s">
        <v>12381</v>
      </c>
      <c r="H1686" s="111" t="s">
        <v>12230</v>
      </c>
      <c r="I1686" s="111" t="s">
        <v>12394</v>
      </c>
      <c r="J1686" s="111" t="s">
        <v>12291</v>
      </c>
      <c r="K1686" s="111" t="s">
        <v>30</v>
      </c>
      <c r="L1686" s="111"/>
      <c r="M1686" s="111"/>
      <c r="N1686" s="111"/>
      <c r="O1686" s="111"/>
      <c r="P1686" s="111"/>
      <c r="Q1686" s="111"/>
      <c r="R1686" s="111"/>
      <c r="S1686" s="111"/>
      <c r="T1686" s="111"/>
      <c r="U1686" s="111"/>
      <c r="V1686" s="111"/>
      <c r="W1686" s="111"/>
      <c r="X1686" s="111"/>
      <c r="Y1686" s="111"/>
      <c r="Z1686" s="111" t="s">
        <v>12698</v>
      </c>
      <c r="AA1686" s="124">
        <v>100.0</v>
      </c>
      <c r="AB1686" s="125">
        <f>IF(Projects!$AI1686="Electrolysis",
AA1686/VLOOKUP(G1686,ElectrolysisConvF,3,FALSE),
AC1686*10^6/(H2dens*HoursInYear))</f>
        <v>22222.22222</v>
      </c>
      <c r="AC1686" s="126">
        <f t="shared" si="326"/>
        <v>17.32533333</v>
      </c>
      <c r="AD1686" s="125"/>
      <c r="AE1686" s="125">
        <f t="shared" si="282"/>
        <v>22222.22222</v>
      </c>
      <c r="AF1686" s="127"/>
      <c r="AG1686" s="127">
        <v>-22.339335</v>
      </c>
      <c r="AH1686" s="127">
        <v>-69.662196</v>
      </c>
      <c r="AI1686" s="115" t="s">
        <v>12383</v>
      </c>
      <c r="AJ1686" s="116">
        <v>0.3</v>
      </c>
      <c r="AK1686" s="117"/>
      <c r="AL1686" s="117"/>
      <c r="AM1686" s="117"/>
      <c r="AN1686" s="117"/>
      <c r="AO1686" s="117"/>
    </row>
    <row r="1687" ht="34.5" customHeight="1">
      <c r="A1687" s="111">
        <v>2330.0</v>
      </c>
      <c r="B1687" s="111" t="s">
        <v>9691</v>
      </c>
      <c r="C1687" s="111" t="s">
        <v>8071</v>
      </c>
      <c r="D1687" s="111"/>
      <c r="E1687" s="111"/>
      <c r="F1687" s="111" t="s">
        <v>12397</v>
      </c>
      <c r="G1687" s="111" t="s">
        <v>12381</v>
      </c>
      <c r="H1687" s="111" t="s">
        <v>12230</v>
      </c>
      <c r="I1687" s="111" t="s">
        <v>12394</v>
      </c>
      <c r="J1687" s="111" t="s">
        <v>12296</v>
      </c>
      <c r="K1687" s="111" t="s">
        <v>30</v>
      </c>
      <c r="L1687" s="111"/>
      <c r="M1687" s="111"/>
      <c r="N1687" s="111"/>
      <c r="O1687" s="111"/>
      <c r="P1687" s="111"/>
      <c r="Q1687" s="111"/>
      <c r="R1687" s="111"/>
      <c r="S1687" s="111"/>
      <c r="T1687" s="111"/>
      <c r="U1687" s="111"/>
      <c r="V1687" s="111"/>
      <c r="W1687" s="111"/>
      <c r="X1687" s="111"/>
      <c r="Y1687" s="111"/>
      <c r="Z1687" s="111" t="s">
        <v>12908</v>
      </c>
      <c r="AA1687" s="124">
        <v>1.0</v>
      </c>
      <c r="AB1687" s="125">
        <f>IF(Projects!$AI1687="Electrolysis",
AA1687/VLOOKUP(G1687,ElectrolysisConvF,3,FALSE),
AC1687*10^6/(H2dens*HoursInYear))</f>
        <v>222.2222222</v>
      </c>
      <c r="AC1687" s="126">
        <f t="shared" si="326"/>
        <v>0.1732533333</v>
      </c>
      <c r="AD1687" s="125"/>
      <c r="AE1687" s="125">
        <f t="shared" si="282"/>
        <v>222.2222222</v>
      </c>
      <c r="AF1687" s="127" t="s">
        <v>14615</v>
      </c>
      <c r="AG1687" s="127">
        <v>-37.3773000112154</v>
      </c>
      <c r="AH1687" s="127">
        <v>-73.0315451070037</v>
      </c>
      <c r="AI1687" s="115" t="s">
        <v>12383</v>
      </c>
      <c r="AJ1687" s="116">
        <v>0.5</v>
      </c>
      <c r="AK1687" s="117"/>
      <c r="AL1687" s="117"/>
      <c r="AM1687" s="117"/>
      <c r="AN1687" s="117"/>
      <c r="AO1687" s="117"/>
    </row>
    <row r="1688" ht="34.5" customHeight="1">
      <c r="A1688" s="111">
        <v>2331.0</v>
      </c>
      <c r="B1688" s="111" t="s">
        <v>9692</v>
      </c>
      <c r="C1688" s="111" t="s">
        <v>8071</v>
      </c>
      <c r="D1688" s="111"/>
      <c r="E1688" s="111"/>
      <c r="F1688" s="111" t="s">
        <v>12397</v>
      </c>
      <c r="G1688" s="111" t="s">
        <v>12381</v>
      </c>
      <c r="H1688" s="111" t="s">
        <v>12230</v>
      </c>
      <c r="I1688" s="111" t="s">
        <v>12394</v>
      </c>
      <c r="J1688" s="111" t="s">
        <v>12296</v>
      </c>
      <c r="K1688" s="111" t="s">
        <v>30</v>
      </c>
      <c r="L1688" s="111"/>
      <c r="M1688" s="111"/>
      <c r="N1688" s="111"/>
      <c r="O1688" s="111"/>
      <c r="P1688" s="111"/>
      <c r="Q1688" s="111"/>
      <c r="R1688" s="111"/>
      <c r="S1688" s="111"/>
      <c r="T1688" s="111"/>
      <c r="U1688" s="111"/>
      <c r="V1688" s="111"/>
      <c r="W1688" s="111"/>
      <c r="X1688" s="111"/>
      <c r="Y1688" s="111"/>
      <c r="Z1688" s="111" t="s">
        <v>12703</v>
      </c>
      <c r="AA1688" s="124">
        <f>10-1</f>
        <v>9</v>
      </c>
      <c r="AB1688" s="125">
        <f>IF(Projects!$AI1688="Electrolysis",
AA1688/VLOOKUP(G1688,ElectrolysisConvF,3,FALSE),
AC1688*10^6/(H2dens*HoursInYear))</f>
        <v>2000</v>
      </c>
      <c r="AC1688" s="126">
        <f t="shared" si="326"/>
        <v>1.55928</v>
      </c>
      <c r="AD1688" s="125"/>
      <c r="AE1688" s="125">
        <f t="shared" si="282"/>
        <v>2000</v>
      </c>
      <c r="AF1688" s="127" t="s">
        <v>14615</v>
      </c>
      <c r="AG1688" s="127">
        <v>-37.3773000112154</v>
      </c>
      <c r="AH1688" s="127">
        <v>-73.0315451070037</v>
      </c>
      <c r="AI1688" s="115" t="s">
        <v>12383</v>
      </c>
      <c r="AJ1688" s="116">
        <v>0.5</v>
      </c>
      <c r="AK1688" s="117"/>
      <c r="AL1688" s="117"/>
      <c r="AM1688" s="117"/>
      <c r="AN1688" s="117"/>
      <c r="AO1688" s="117"/>
    </row>
    <row r="1689" ht="34.5" customHeight="1">
      <c r="A1689" s="111">
        <v>2332.0</v>
      </c>
      <c r="B1689" s="111" t="s">
        <v>9693</v>
      </c>
      <c r="C1689" s="111" t="s">
        <v>8071</v>
      </c>
      <c r="D1689" s="111"/>
      <c r="E1689" s="111"/>
      <c r="F1689" s="111" t="s">
        <v>12397</v>
      </c>
      <c r="G1689" s="111" t="s">
        <v>12381</v>
      </c>
      <c r="H1689" s="111" t="s">
        <v>12230</v>
      </c>
      <c r="I1689" s="111" t="s">
        <v>12394</v>
      </c>
      <c r="J1689" s="111" t="s">
        <v>12296</v>
      </c>
      <c r="K1689" s="111" t="s">
        <v>30</v>
      </c>
      <c r="L1689" s="111"/>
      <c r="M1689" s="111"/>
      <c r="N1689" s="111"/>
      <c r="O1689" s="111"/>
      <c r="P1689" s="111"/>
      <c r="Q1689" s="111"/>
      <c r="R1689" s="111"/>
      <c r="S1689" s="111"/>
      <c r="T1689" s="111"/>
      <c r="U1689" s="111"/>
      <c r="V1689" s="111"/>
      <c r="W1689" s="111"/>
      <c r="X1689" s="111"/>
      <c r="Y1689" s="111"/>
      <c r="Z1689" s="111" t="s">
        <v>12698</v>
      </c>
      <c r="AA1689" s="124">
        <f>100-10</f>
        <v>90</v>
      </c>
      <c r="AB1689" s="125">
        <f>IF(Projects!$AI1689="Electrolysis",
AA1689/VLOOKUP(G1689,ElectrolysisConvF,3,FALSE),
AC1689*10^6/(H2dens*HoursInYear))</f>
        <v>20000</v>
      </c>
      <c r="AC1689" s="126">
        <f t="shared" si="326"/>
        <v>15.5928</v>
      </c>
      <c r="AD1689" s="125"/>
      <c r="AE1689" s="125">
        <f t="shared" si="282"/>
        <v>20000</v>
      </c>
      <c r="AF1689" s="127" t="s">
        <v>14615</v>
      </c>
      <c r="AG1689" s="127">
        <v>-37.3773000112154</v>
      </c>
      <c r="AH1689" s="127">
        <v>-73.0315451070037</v>
      </c>
      <c r="AI1689" s="115" t="s">
        <v>12383</v>
      </c>
      <c r="AJ1689" s="116">
        <v>0.5</v>
      </c>
      <c r="AK1689" s="117"/>
      <c r="AL1689" s="117"/>
      <c r="AM1689" s="117"/>
      <c r="AN1689" s="117"/>
      <c r="AO1689" s="117"/>
    </row>
    <row r="1690" ht="34.5" customHeight="1">
      <c r="A1690" s="111">
        <v>2333.0</v>
      </c>
      <c r="B1690" s="111" t="s">
        <v>9694</v>
      </c>
      <c r="C1690" s="111" t="s">
        <v>8071</v>
      </c>
      <c r="D1690" s="111"/>
      <c r="E1690" s="111"/>
      <c r="F1690" s="111" t="s">
        <v>12397</v>
      </c>
      <c r="G1690" s="111" t="s">
        <v>12381</v>
      </c>
      <c r="H1690" s="111" t="s">
        <v>12230</v>
      </c>
      <c r="I1690" s="111" t="s">
        <v>12394</v>
      </c>
      <c r="J1690" s="111" t="s">
        <v>12295</v>
      </c>
      <c r="K1690" s="111" t="s">
        <v>30</v>
      </c>
      <c r="L1690" s="111"/>
      <c r="M1690" s="111"/>
      <c r="N1690" s="111"/>
      <c r="O1690" s="111"/>
      <c r="P1690" s="111">
        <v>1.0</v>
      </c>
      <c r="Q1690" s="111"/>
      <c r="R1690" s="111"/>
      <c r="S1690" s="111"/>
      <c r="T1690" s="111"/>
      <c r="U1690" s="111"/>
      <c r="V1690" s="111"/>
      <c r="W1690" s="111"/>
      <c r="X1690" s="111"/>
      <c r="Y1690" s="111"/>
      <c r="Z1690" s="111" t="s">
        <v>14616</v>
      </c>
      <c r="AA1690" s="126">
        <f>IF(Projects!$AI1690="Electrolysis",
AB1690*VLOOKUP(G1690,ElectrolysisConvF,3,FALSE),
"")</f>
        <v>1.264044944</v>
      </c>
      <c r="AB1690" s="125">
        <f t="shared" ref="AB1690:AB1691" si="327">AC1690/(H2dens*HoursInYear/10^6)</f>
        <v>280.8988764</v>
      </c>
      <c r="AC1690" s="146">
        <f>300/1000000*365/Projects!$AJ1690</f>
        <v>0.219</v>
      </c>
      <c r="AD1690" s="125"/>
      <c r="AE1690" s="125">
        <f t="shared" si="282"/>
        <v>280.8988764</v>
      </c>
      <c r="AF1690" s="127" t="s">
        <v>14617</v>
      </c>
      <c r="AG1690" s="127">
        <v>-37.3773000112154</v>
      </c>
      <c r="AH1690" s="127">
        <v>-73.0315451070037</v>
      </c>
      <c r="AI1690" s="115" t="s">
        <v>12383</v>
      </c>
      <c r="AJ1690" s="116">
        <v>0.5</v>
      </c>
      <c r="AK1690" s="117"/>
      <c r="AL1690" s="117"/>
      <c r="AM1690" s="117"/>
      <c r="AN1690" s="117"/>
      <c r="AO1690" s="117"/>
    </row>
    <row r="1691" ht="34.5" customHeight="1">
      <c r="A1691" s="111">
        <v>2334.0</v>
      </c>
      <c r="B1691" s="111" t="s">
        <v>9695</v>
      </c>
      <c r="C1691" s="111" t="s">
        <v>8071</v>
      </c>
      <c r="D1691" s="111">
        <v>2027.0</v>
      </c>
      <c r="E1691" s="111"/>
      <c r="F1691" s="111" t="s">
        <v>12399</v>
      </c>
      <c r="G1691" s="111" t="s">
        <v>12381</v>
      </c>
      <c r="H1691" s="111" t="s">
        <v>12230</v>
      </c>
      <c r="I1691" s="111" t="s">
        <v>12394</v>
      </c>
      <c r="J1691" s="111" t="s">
        <v>12292</v>
      </c>
      <c r="K1691" s="111" t="s">
        <v>30</v>
      </c>
      <c r="L1691" s="111"/>
      <c r="M1691" s="111"/>
      <c r="N1691" s="111"/>
      <c r="O1691" s="111"/>
      <c r="P1691" s="111"/>
      <c r="Q1691" s="111"/>
      <c r="R1691" s="111">
        <v>1.0</v>
      </c>
      <c r="S1691" s="111"/>
      <c r="T1691" s="111"/>
      <c r="U1691" s="111"/>
      <c r="V1691" s="111"/>
      <c r="W1691" s="111"/>
      <c r="X1691" s="111"/>
      <c r="Y1691" s="111"/>
      <c r="Z1691" s="111" t="s">
        <v>14618</v>
      </c>
      <c r="AA1691" s="126">
        <f>IF(Projects!$AI1691="Electrolysis",
AB1691*VLOOKUP(G1691,ElectrolysisConvF,3,FALSE),
"")</f>
        <v>12.98676312</v>
      </c>
      <c r="AB1691" s="125">
        <f t="shared" si="327"/>
        <v>2885.94736</v>
      </c>
      <c r="AC1691" s="125">
        <f>900/1000/Projects!$AJ1691</f>
        <v>2.25</v>
      </c>
      <c r="AD1691" s="125"/>
      <c r="AE1691" s="125">
        <f t="shared" si="282"/>
        <v>2885.94736</v>
      </c>
      <c r="AF1691" s="127" t="s">
        <v>14617</v>
      </c>
      <c r="AG1691" s="127">
        <v>-45.71150350667</v>
      </c>
      <c r="AH1691" s="127">
        <v>-73.0212660402224</v>
      </c>
      <c r="AI1691" s="115" t="s">
        <v>12383</v>
      </c>
      <c r="AJ1691" s="116">
        <v>0.4</v>
      </c>
      <c r="AK1691" s="117"/>
      <c r="AL1691" s="117"/>
      <c r="AM1691" s="117"/>
      <c r="AN1691" s="117"/>
      <c r="AO1691" s="117"/>
    </row>
    <row r="1692" ht="34.5" customHeight="1">
      <c r="A1692" s="111">
        <v>2335.0</v>
      </c>
      <c r="B1692" s="111" t="s">
        <v>9696</v>
      </c>
      <c r="C1692" s="111" t="s">
        <v>8071</v>
      </c>
      <c r="D1692" s="111">
        <v>2025.0</v>
      </c>
      <c r="E1692" s="111"/>
      <c r="F1692" s="111" t="s">
        <v>12397</v>
      </c>
      <c r="G1692" s="111" t="s">
        <v>12381</v>
      </c>
      <c r="H1692" s="111" t="s">
        <v>12230</v>
      </c>
      <c r="I1692" s="111" t="s">
        <v>12759</v>
      </c>
      <c r="J1692" s="111" t="s">
        <v>12296</v>
      </c>
      <c r="K1692" s="111" t="s">
        <v>30</v>
      </c>
      <c r="L1692" s="111"/>
      <c r="M1692" s="111"/>
      <c r="N1692" s="111"/>
      <c r="O1692" s="111"/>
      <c r="P1692" s="111"/>
      <c r="Q1692" s="111"/>
      <c r="R1692" s="111"/>
      <c r="S1692" s="111">
        <v>1.0</v>
      </c>
      <c r="T1692" s="111"/>
      <c r="U1692" s="111"/>
      <c r="V1692" s="111"/>
      <c r="W1692" s="111"/>
      <c r="X1692" s="111"/>
      <c r="Y1692" s="111"/>
      <c r="Z1692" s="111" t="s">
        <v>12698</v>
      </c>
      <c r="AA1692" s="124">
        <v>100.0</v>
      </c>
      <c r="AB1692" s="125">
        <f>IF(Projects!$AI1692="Electrolysis",
AA1692/VLOOKUP(G1692,ElectrolysisConvF,3,FALSE),
AC1692*10^6/(H2dens*HoursInYear))</f>
        <v>22222.22222</v>
      </c>
      <c r="AC1692" s="126">
        <f t="shared" ref="AC1692:AC1693" si="328">AB1692*H2dens*HoursInYear/10^6</f>
        <v>17.32533333</v>
      </c>
      <c r="AD1692" s="125"/>
      <c r="AE1692" s="125">
        <f t="shared" si="282"/>
        <v>22222.22222</v>
      </c>
      <c r="AF1692" s="127" t="s">
        <v>14617</v>
      </c>
      <c r="AG1692" s="127">
        <v>-23.3990803648907</v>
      </c>
      <c r="AH1692" s="127">
        <v>-69.252182822016</v>
      </c>
      <c r="AI1692" s="115" t="s">
        <v>12383</v>
      </c>
      <c r="AJ1692" s="116">
        <v>0.7</v>
      </c>
      <c r="AK1692" s="117"/>
      <c r="AL1692" s="117"/>
      <c r="AM1692" s="117"/>
      <c r="AN1692" s="117"/>
      <c r="AO1692" s="117"/>
    </row>
    <row r="1693" ht="34.5" customHeight="1">
      <c r="A1693" s="111">
        <v>2336.0</v>
      </c>
      <c r="B1693" s="111" t="s">
        <v>9697</v>
      </c>
      <c r="C1693" s="111" t="s">
        <v>8071</v>
      </c>
      <c r="D1693" s="111">
        <v>2024.0</v>
      </c>
      <c r="E1693" s="111"/>
      <c r="F1693" s="111" t="s">
        <v>12418</v>
      </c>
      <c r="G1693" s="111" t="s">
        <v>12381</v>
      </c>
      <c r="H1693" s="111" t="s">
        <v>12230</v>
      </c>
      <c r="I1693" s="111" t="s">
        <v>12394</v>
      </c>
      <c r="J1693" s="111" t="s">
        <v>12291</v>
      </c>
      <c r="K1693" s="111" t="s">
        <v>30</v>
      </c>
      <c r="L1693" s="111"/>
      <c r="M1693" s="111"/>
      <c r="N1693" s="111"/>
      <c r="O1693" s="111"/>
      <c r="P1693" s="111">
        <v>1.0</v>
      </c>
      <c r="Q1693" s="111"/>
      <c r="R1693" s="111"/>
      <c r="S1693" s="111"/>
      <c r="T1693" s="111"/>
      <c r="U1693" s="111"/>
      <c r="V1693" s="111"/>
      <c r="W1693" s="111"/>
      <c r="X1693" s="111"/>
      <c r="Y1693" s="111"/>
      <c r="Z1693" s="111" t="s">
        <v>12720</v>
      </c>
      <c r="AA1693" s="124">
        <v>2.0</v>
      </c>
      <c r="AB1693" s="125">
        <f>IF(Projects!$AI1693="Electrolysis",
AA1693/VLOOKUP(G1693,ElectrolysisConvF,3,FALSE),
AC1693*10^6/(H2dens*HoursInYear))</f>
        <v>444.4444444</v>
      </c>
      <c r="AC1693" s="126">
        <f t="shared" si="328"/>
        <v>0.3465066667</v>
      </c>
      <c r="AD1693" s="125"/>
      <c r="AE1693" s="125">
        <f t="shared" si="282"/>
        <v>444.4444444</v>
      </c>
      <c r="AF1693" s="127" t="s">
        <v>14617</v>
      </c>
      <c r="AG1693" s="127">
        <v>-33.4667665639997</v>
      </c>
      <c r="AH1693" s="127">
        <v>-70.8760255453696</v>
      </c>
      <c r="AI1693" s="115" t="s">
        <v>12383</v>
      </c>
      <c r="AJ1693" s="116">
        <v>0.3</v>
      </c>
      <c r="AK1693" s="117"/>
      <c r="AL1693" s="117"/>
      <c r="AM1693" s="117"/>
      <c r="AN1693" s="117"/>
      <c r="AO1693" s="117"/>
    </row>
    <row r="1694" ht="34.5" customHeight="1">
      <c r="A1694" s="111">
        <v>2337.0</v>
      </c>
      <c r="B1694" s="111" t="s">
        <v>9698</v>
      </c>
      <c r="C1694" s="111" t="s">
        <v>8071</v>
      </c>
      <c r="D1694" s="111">
        <v>2028.0</v>
      </c>
      <c r="E1694" s="111"/>
      <c r="F1694" s="111" t="s">
        <v>12399</v>
      </c>
      <c r="G1694" s="111" t="s">
        <v>12381</v>
      </c>
      <c r="H1694" s="111" t="s">
        <v>12230</v>
      </c>
      <c r="I1694" s="111" t="s">
        <v>12394</v>
      </c>
      <c r="J1694" s="111" t="s">
        <v>12292</v>
      </c>
      <c r="K1694" s="111" t="s">
        <v>174</v>
      </c>
      <c r="L1694" s="111"/>
      <c r="M1694" s="111">
        <v>1.0</v>
      </c>
      <c r="N1694" s="111"/>
      <c r="O1694" s="111"/>
      <c r="P1694" s="111">
        <v>1.0</v>
      </c>
      <c r="Q1694" s="111"/>
      <c r="R1694" s="111"/>
      <c r="S1694" s="111"/>
      <c r="T1694" s="111"/>
      <c r="U1694" s="111"/>
      <c r="V1694" s="111"/>
      <c r="W1694" s="111"/>
      <c r="X1694" s="111"/>
      <c r="Y1694" s="111"/>
      <c r="Z1694" s="111" t="s">
        <v>14619</v>
      </c>
      <c r="AA1694" s="126">
        <f>IF(Projects!$AI1694="Electrolysis",
AB1694*VLOOKUP(G1694,ElectrolysisConvF,3,FALSE),
"")</f>
        <v>1818.874387</v>
      </c>
      <c r="AB1694" s="125">
        <f>AC1694/(H2dens*HoursInYear/10^6)</f>
        <v>404194.3082</v>
      </c>
      <c r="AC1694" s="125">
        <f>(700*3/17/0.98/Projects!$AJ1694)</f>
        <v>315.1260504</v>
      </c>
      <c r="AD1694" s="125"/>
      <c r="AE1694" s="125">
        <f t="shared" si="282"/>
        <v>404194.3082</v>
      </c>
      <c r="AF1694" s="127" t="s">
        <v>14617</v>
      </c>
      <c r="AG1694" s="127">
        <v>-50.615096291667</v>
      </c>
      <c r="AH1694" s="127">
        <v>-74.5013589002638</v>
      </c>
      <c r="AI1694" s="115" t="s">
        <v>12383</v>
      </c>
      <c r="AJ1694" s="116">
        <v>0.4</v>
      </c>
      <c r="AK1694" s="117"/>
      <c r="AL1694" s="117"/>
      <c r="AM1694" s="117"/>
      <c r="AN1694" s="117"/>
      <c r="AO1694" s="117"/>
    </row>
    <row r="1695" ht="34.5" customHeight="1">
      <c r="A1695" s="111">
        <v>2339.0</v>
      </c>
      <c r="B1695" s="111" t="s">
        <v>9699</v>
      </c>
      <c r="C1695" s="111" t="s">
        <v>8737</v>
      </c>
      <c r="D1695" s="111"/>
      <c r="E1695" s="111"/>
      <c r="F1695" s="111" t="s">
        <v>12393</v>
      </c>
      <c r="G1695" s="111" t="s">
        <v>13722</v>
      </c>
      <c r="H1695" s="111"/>
      <c r="I1695" s="111"/>
      <c r="J1695" s="111"/>
      <c r="K1695" s="111" t="s">
        <v>12481</v>
      </c>
      <c r="L1695" s="111"/>
      <c r="M1695" s="111"/>
      <c r="N1695" s="111"/>
      <c r="O1695" s="111"/>
      <c r="P1695" s="111">
        <v>1.0</v>
      </c>
      <c r="Q1695" s="111">
        <v>1.0</v>
      </c>
      <c r="R1695" s="111"/>
      <c r="S1695" s="111">
        <v>1.0</v>
      </c>
      <c r="T1695" s="111"/>
      <c r="U1695" s="111"/>
      <c r="V1695" s="111"/>
      <c r="W1695" s="111"/>
      <c r="X1695" s="111"/>
      <c r="Y1695" s="111"/>
      <c r="Z1695" s="111" t="s">
        <v>14620</v>
      </c>
      <c r="AA1695" s="124"/>
      <c r="AB1695" s="125">
        <v>47.0</v>
      </c>
      <c r="AC1695" s="125"/>
      <c r="AD1695" s="125"/>
      <c r="AE1695" s="125">
        <f t="shared" si="282"/>
        <v>47</v>
      </c>
      <c r="AF1695" s="127" t="s">
        <v>14621</v>
      </c>
      <c r="AG1695" s="127">
        <v>7.06145535471596</v>
      </c>
      <c r="AH1695" s="127">
        <v>-73.5358024849172</v>
      </c>
      <c r="AI1695" s="115" t="s">
        <v>12241</v>
      </c>
      <c r="AJ1695" s="116">
        <v>0.9</v>
      </c>
      <c r="AK1695" s="117"/>
      <c r="AL1695" s="117"/>
      <c r="AM1695" s="117"/>
      <c r="AN1695" s="117"/>
      <c r="AO1695" s="117"/>
    </row>
    <row r="1696" ht="34.5" customHeight="1">
      <c r="A1696" s="111">
        <v>2340.0</v>
      </c>
      <c r="B1696" s="111" t="s">
        <v>9700</v>
      </c>
      <c r="C1696" s="111" t="s">
        <v>8737</v>
      </c>
      <c r="D1696" s="111">
        <v>2027.0</v>
      </c>
      <c r="E1696" s="111"/>
      <c r="F1696" s="111" t="s">
        <v>12399</v>
      </c>
      <c r="G1696" s="111" t="s">
        <v>12224</v>
      </c>
      <c r="H1696" s="111"/>
      <c r="I1696" s="111" t="s">
        <v>12394</v>
      </c>
      <c r="J1696" s="111" t="s">
        <v>12291</v>
      </c>
      <c r="K1696" s="111" t="s">
        <v>174</v>
      </c>
      <c r="L1696" s="111"/>
      <c r="M1696" s="111">
        <v>1.0</v>
      </c>
      <c r="N1696" s="111"/>
      <c r="O1696" s="111"/>
      <c r="P1696" s="111">
        <v>1.0</v>
      </c>
      <c r="Q1696" s="111"/>
      <c r="R1696" s="111"/>
      <c r="S1696" s="111"/>
      <c r="T1696" s="111"/>
      <c r="U1696" s="111"/>
      <c r="V1696" s="111"/>
      <c r="W1696" s="111"/>
      <c r="X1696" s="111"/>
      <c r="Y1696" s="111"/>
      <c r="Z1696" s="111" t="s">
        <v>14622</v>
      </c>
      <c r="AA1696" s="124">
        <v>30.0</v>
      </c>
      <c r="AB1696" s="125">
        <f>IF(Projects!$AI1696="Electrolysis",
AA1696/VLOOKUP(G1696,ElectrolysisConvF,3,FALSE),
AC1696*10^6/(H2dens*HoursInYear))</f>
        <v>6521.73913</v>
      </c>
      <c r="AC1696" s="126">
        <f t="shared" ref="AC1696:AC1701" si="329">AB1696*H2dens*HoursInYear/10^6</f>
        <v>5.084608696</v>
      </c>
      <c r="AD1696" s="125"/>
      <c r="AE1696" s="125">
        <f t="shared" si="282"/>
        <v>6521.73913</v>
      </c>
      <c r="AF1696" s="127" t="s">
        <v>14621</v>
      </c>
      <c r="AG1696" s="127">
        <v>3.5996581061734</v>
      </c>
      <c r="AH1696" s="127">
        <v>-76.3986090099248</v>
      </c>
      <c r="AI1696" s="115" t="s">
        <v>12383</v>
      </c>
      <c r="AJ1696" s="116">
        <v>0.3</v>
      </c>
      <c r="AK1696" s="117"/>
      <c r="AL1696" s="117"/>
      <c r="AM1696" s="117"/>
      <c r="AN1696" s="117"/>
      <c r="AO1696" s="117"/>
    </row>
    <row r="1697" ht="34.5" customHeight="1">
      <c r="A1697" s="111">
        <v>2341.0</v>
      </c>
      <c r="B1697" s="111" t="s">
        <v>9701</v>
      </c>
      <c r="C1697" s="111" t="s">
        <v>8737</v>
      </c>
      <c r="D1697" s="111">
        <v>2024.0</v>
      </c>
      <c r="E1697" s="111"/>
      <c r="F1697" s="111" t="s">
        <v>12393</v>
      </c>
      <c r="G1697" s="111" t="s">
        <v>12224</v>
      </c>
      <c r="H1697" s="111"/>
      <c r="I1697" s="111" t="s">
        <v>12394</v>
      </c>
      <c r="J1697" s="111" t="s">
        <v>12294</v>
      </c>
      <c r="K1697" s="111" t="s">
        <v>174</v>
      </c>
      <c r="L1697" s="111"/>
      <c r="M1697" s="111">
        <v>1.0</v>
      </c>
      <c r="N1697" s="111"/>
      <c r="O1697" s="111"/>
      <c r="P1697" s="111"/>
      <c r="Q1697" s="111"/>
      <c r="R1697" s="111"/>
      <c r="S1697" s="111"/>
      <c r="T1697" s="111"/>
      <c r="U1697" s="111"/>
      <c r="V1697" s="111"/>
      <c r="W1697" s="111"/>
      <c r="X1697" s="111"/>
      <c r="Y1697" s="111"/>
      <c r="Z1697" s="111" t="s">
        <v>14623</v>
      </c>
      <c r="AA1697" s="124">
        <v>2.3</v>
      </c>
      <c r="AB1697" s="125">
        <f>IF(Projects!$AI1697="Electrolysis",
AA1697/VLOOKUP(G1697,ElectrolysisConvF,3,FALSE),
AC1697*10^6/(H2dens*HoursInYear))</f>
        <v>500</v>
      </c>
      <c r="AC1697" s="126">
        <f t="shared" si="329"/>
        <v>0.38982</v>
      </c>
      <c r="AD1697" s="125"/>
      <c r="AE1697" s="125">
        <f t="shared" si="282"/>
        <v>500</v>
      </c>
      <c r="AF1697" s="127" t="s">
        <v>14621</v>
      </c>
      <c r="AG1697" s="127">
        <v>7.04522407410878</v>
      </c>
      <c r="AH1697" s="127">
        <v>-75.6643555031804</v>
      </c>
      <c r="AI1697" s="115" t="s">
        <v>12383</v>
      </c>
      <c r="AJ1697" s="116">
        <v>0.8</v>
      </c>
      <c r="AK1697" s="117"/>
      <c r="AL1697" s="117"/>
      <c r="AM1697" s="117"/>
      <c r="AN1697" s="117"/>
      <c r="AO1697" s="117"/>
    </row>
    <row r="1698" ht="34.5" customHeight="1">
      <c r="A1698" s="111">
        <v>2342.0</v>
      </c>
      <c r="B1698" s="111" t="s">
        <v>9702</v>
      </c>
      <c r="C1698" s="111" t="s">
        <v>8737</v>
      </c>
      <c r="D1698" s="111">
        <v>2030.0</v>
      </c>
      <c r="E1698" s="111"/>
      <c r="F1698" s="111" t="s">
        <v>12393</v>
      </c>
      <c r="G1698" s="111" t="s">
        <v>12224</v>
      </c>
      <c r="H1698" s="111"/>
      <c r="I1698" s="111" t="s">
        <v>12394</v>
      </c>
      <c r="J1698" s="111" t="s">
        <v>12294</v>
      </c>
      <c r="K1698" s="111" t="s">
        <v>12481</v>
      </c>
      <c r="L1698" s="111"/>
      <c r="M1698" s="111">
        <v>1.0</v>
      </c>
      <c r="N1698" s="111"/>
      <c r="O1698" s="111"/>
      <c r="P1698" s="111"/>
      <c r="Q1698" s="111">
        <v>1.0</v>
      </c>
      <c r="R1698" s="111">
        <v>1.0</v>
      </c>
      <c r="S1698" s="111"/>
      <c r="T1698" s="111"/>
      <c r="U1698" s="111"/>
      <c r="V1698" s="111"/>
      <c r="W1698" s="111"/>
      <c r="X1698" s="111"/>
      <c r="Y1698" s="111"/>
      <c r="Z1698" s="111" t="s">
        <v>13912</v>
      </c>
      <c r="AA1698" s="124">
        <v>50.0</v>
      </c>
      <c r="AB1698" s="125">
        <f>IF(Projects!$AI1698="Electrolysis",
AA1698/VLOOKUP(G1698,ElectrolysisConvF,3,FALSE),
AC1698*10^6/(H2dens*HoursInYear))</f>
        <v>10869.56522</v>
      </c>
      <c r="AC1698" s="126">
        <f t="shared" si="329"/>
        <v>8.474347826</v>
      </c>
      <c r="AD1698" s="125"/>
      <c r="AE1698" s="125">
        <f t="shared" si="282"/>
        <v>10869.56522</v>
      </c>
      <c r="AF1698" s="127" t="s">
        <v>14621</v>
      </c>
      <c r="AG1698" s="127">
        <v>8.42775278988502</v>
      </c>
      <c r="AH1698" s="127">
        <v>-76.5762207525574</v>
      </c>
      <c r="AI1698" s="115" t="s">
        <v>12383</v>
      </c>
      <c r="AJ1698" s="116">
        <v>0.8</v>
      </c>
      <c r="AK1698" s="117"/>
      <c r="AL1698" s="117"/>
      <c r="AM1698" s="117"/>
      <c r="AN1698" s="117"/>
      <c r="AO1698" s="117"/>
    </row>
    <row r="1699" ht="34.5" customHeight="1">
      <c r="A1699" s="111">
        <v>2343.0</v>
      </c>
      <c r="B1699" s="111" t="s">
        <v>9703</v>
      </c>
      <c r="C1699" s="111" t="s">
        <v>8737</v>
      </c>
      <c r="D1699" s="111">
        <v>2025.0</v>
      </c>
      <c r="E1699" s="111"/>
      <c r="F1699" s="111" t="s">
        <v>12399</v>
      </c>
      <c r="G1699" s="111" t="s">
        <v>12224</v>
      </c>
      <c r="H1699" s="111"/>
      <c r="I1699" s="111" t="s">
        <v>12406</v>
      </c>
      <c r="J1699" s="111"/>
      <c r="K1699" s="111" t="s">
        <v>174</v>
      </c>
      <c r="L1699" s="111"/>
      <c r="M1699" s="111">
        <v>1.0</v>
      </c>
      <c r="N1699" s="111"/>
      <c r="O1699" s="111"/>
      <c r="P1699" s="111"/>
      <c r="Q1699" s="111"/>
      <c r="R1699" s="111"/>
      <c r="S1699" s="111"/>
      <c r="T1699" s="111"/>
      <c r="U1699" s="111"/>
      <c r="V1699" s="111"/>
      <c r="W1699" s="111"/>
      <c r="X1699" s="111"/>
      <c r="Y1699" s="111"/>
      <c r="Z1699" s="111" t="s">
        <v>12420</v>
      </c>
      <c r="AA1699" s="124">
        <v>1.0</v>
      </c>
      <c r="AB1699" s="125">
        <f>IF(Projects!$AI1699="Electrolysis",
AA1699/VLOOKUP(G1699,ElectrolysisConvF,3,FALSE),
AC1699*10^6/(H2dens*HoursInYear))</f>
        <v>217.3913043</v>
      </c>
      <c r="AC1699" s="126">
        <f t="shared" si="329"/>
        <v>0.1694869565</v>
      </c>
      <c r="AD1699" s="125"/>
      <c r="AE1699" s="125">
        <f t="shared" si="282"/>
        <v>217.3913043</v>
      </c>
      <c r="AF1699" s="127" t="s">
        <v>14621</v>
      </c>
      <c r="AG1699" s="127">
        <v>9.42899670731238</v>
      </c>
      <c r="AH1699" s="127">
        <v>-75.4709430996985</v>
      </c>
      <c r="AI1699" s="115" t="s">
        <v>12383</v>
      </c>
      <c r="AJ1699" s="116">
        <v>0.57</v>
      </c>
      <c r="AK1699" s="117"/>
      <c r="AL1699" s="117"/>
      <c r="AM1699" s="117"/>
      <c r="AN1699" s="117"/>
      <c r="AO1699" s="117"/>
    </row>
    <row r="1700" ht="34.5" customHeight="1">
      <c r="A1700" s="111">
        <v>2344.0</v>
      </c>
      <c r="B1700" s="111" t="s">
        <v>9704</v>
      </c>
      <c r="C1700" s="111" t="s">
        <v>8737</v>
      </c>
      <c r="D1700" s="111">
        <v>2030.0</v>
      </c>
      <c r="E1700" s="111"/>
      <c r="F1700" s="111" t="s">
        <v>12399</v>
      </c>
      <c r="G1700" s="111" t="s">
        <v>12226</v>
      </c>
      <c r="H1700" s="111"/>
      <c r="I1700" s="111" t="s">
        <v>12394</v>
      </c>
      <c r="J1700" s="111" t="s">
        <v>12295</v>
      </c>
      <c r="K1700" s="111" t="s">
        <v>12481</v>
      </c>
      <c r="L1700" s="111">
        <v>1.0</v>
      </c>
      <c r="M1700" s="111">
        <v>1.0</v>
      </c>
      <c r="N1700" s="111"/>
      <c r="O1700" s="111"/>
      <c r="P1700" s="111">
        <v>1.0</v>
      </c>
      <c r="Q1700" s="111"/>
      <c r="R1700" s="111"/>
      <c r="S1700" s="111"/>
      <c r="T1700" s="111"/>
      <c r="U1700" s="111"/>
      <c r="V1700" s="111"/>
      <c r="W1700" s="111"/>
      <c r="X1700" s="111"/>
      <c r="Y1700" s="111"/>
      <c r="Z1700" s="111" t="s">
        <v>13342</v>
      </c>
      <c r="AA1700" s="124">
        <v>3000.0</v>
      </c>
      <c r="AB1700" s="125">
        <f>IF(Projects!$AI1700="Electrolysis",
AA1700/VLOOKUP(G1700,ElectrolysisConvF,3,FALSE),
AC1700*10^6/(H2dens*HoursInYear))</f>
        <v>576923.0769</v>
      </c>
      <c r="AC1700" s="126">
        <f t="shared" si="329"/>
        <v>449.7923077</v>
      </c>
      <c r="AD1700" s="125"/>
      <c r="AE1700" s="125">
        <f t="shared" si="282"/>
        <v>576923.0769</v>
      </c>
      <c r="AF1700" s="127" t="s">
        <v>14621</v>
      </c>
      <c r="AG1700" s="127">
        <v>9.52920737724891</v>
      </c>
      <c r="AH1700" s="127">
        <v>-75.5785266496022</v>
      </c>
      <c r="AI1700" s="115" t="s">
        <v>12383</v>
      </c>
      <c r="AJ1700" s="116">
        <v>0.5</v>
      </c>
      <c r="AK1700" s="117"/>
      <c r="AL1700" s="117"/>
      <c r="AM1700" s="117"/>
      <c r="AN1700" s="117"/>
      <c r="AO1700" s="117"/>
    </row>
    <row r="1701" ht="34.5" customHeight="1">
      <c r="A1701" s="111">
        <v>2345.0</v>
      </c>
      <c r="B1701" s="111" t="s">
        <v>9705</v>
      </c>
      <c r="C1701" s="111" t="s">
        <v>8737</v>
      </c>
      <c r="D1701" s="111">
        <v>2030.0</v>
      </c>
      <c r="E1701" s="111"/>
      <c r="F1701" s="111" t="s">
        <v>12399</v>
      </c>
      <c r="G1701" s="111" t="s">
        <v>12381</v>
      </c>
      <c r="H1701" s="111" t="s">
        <v>12230</v>
      </c>
      <c r="I1701" s="111" t="s">
        <v>12394</v>
      </c>
      <c r="J1701" s="111" t="s">
        <v>12295</v>
      </c>
      <c r="K1701" s="111" t="s">
        <v>12481</v>
      </c>
      <c r="L1701" s="111"/>
      <c r="M1701" s="111">
        <v>1.0</v>
      </c>
      <c r="N1701" s="111">
        <v>1.0</v>
      </c>
      <c r="O1701" s="111"/>
      <c r="P1701" s="111"/>
      <c r="Q1701" s="111"/>
      <c r="R1701" s="111"/>
      <c r="S1701" s="111"/>
      <c r="T1701" s="111"/>
      <c r="U1701" s="111"/>
      <c r="V1701" s="111"/>
      <c r="W1701" s="111"/>
      <c r="X1701" s="111"/>
      <c r="Y1701" s="111"/>
      <c r="Z1701" s="111" t="s">
        <v>14624</v>
      </c>
      <c r="AA1701" s="126">
        <f>IF(Projects!$AI1701="Electrolysis",
AB1701*VLOOKUP(G1701,ElectrolysisConvF,3,FALSE),
"")</f>
        <v>125.163</v>
      </c>
      <c r="AB1701" s="125">
        <v>27814.0</v>
      </c>
      <c r="AC1701" s="126">
        <f t="shared" si="329"/>
        <v>21.68490696</v>
      </c>
      <c r="AD1701" s="125"/>
      <c r="AE1701" s="125">
        <f t="shared" si="282"/>
        <v>27814</v>
      </c>
      <c r="AF1701" s="127" t="s">
        <v>14621</v>
      </c>
      <c r="AG1701" s="127">
        <v>9.47601383361257</v>
      </c>
      <c r="AH1701" s="127">
        <v>-75.9593313354518</v>
      </c>
      <c r="AI1701" s="115" t="s">
        <v>12383</v>
      </c>
      <c r="AJ1701" s="116">
        <v>0.5</v>
      </c>
      <c r="AK1701" s="117"/>
      <c r="AL1701" s="117"/>
      <c r="AM1701" s="117"/>
      <c r="AN1701" s="117"/>
      <c r="AO1701" s="117"/>
    </row>
    <row r="1702" ht="34.5" customHeight="1">
      <c r="A1702" s="111">
        <v>2346.0</v>
      </c>
      <c r="B1702" s="111" t="s">
        <v>9706</v>
      </c>
      <c r="C1702" s="111" t="s">
        <v>8737</v>
      </c>
      <c r="D1702" s="111"/>
      <c r="E1702" s="111"/>
      <c r="F1702" s="111" t="s">
        <v>12399</v>
      </c>
      <c r="G1702" s="111" t="s">
        <v>12381</v>
      </c>
      <c r="H1702" s="111" t="s">
        <v>12230</v>
      </c>
      <c r="I1702" s="111" t="s">
        <v>12287</v>
      </c>
      <c r="J1702" s="111"/>
      <c r="K1702" s="111" t="s">
        <v>30</v>
      </c>
      <c r="L1702" s="111"/>
      <c r="M1702" s="111"/>
      <c r="N1702" s="111"/>
      <c r="O1702" s="111"/>
      <c r="P1702" s="111"/>
      <c r="Q1702" s="111"/>
      <c r="R1702" s="111"/>
      <c r="S1702" s="111"/>
      <c r="T1702" s="111"/>
      <c r="U1702" s="111"/>
      <c r="V1702" s="111"/>
      <c r="W1702" s="111"/>
      <c r="X1702" s="111"/>
      <c r="Y1702" s="111"/>
      <c r="Z1702" s="111"/>
      <c r="AA1702" s="124">
        <f>IF(OR(G1702="ALK",G1702="PEM",G1702="SOEC",G1702="Other Electrolysis"),
AB1702*VLOOKUP(G1702,ElectrolysisConvF,3,FALSE),
"")</f>
        <v>0</v>
      </c>
      <c r="AB1702" s="125"/>
      <c r="AC1702" s="125"/>
      <c r="AD1702" s="125"/>
      <c r="AE1702" s="125" t="str">
        <f t="shared" si="282"/>
        <v/>
      </c>
      <c r="AF1702" s="127" t="s">
        <v>14621</v>
      </c>
      <c r="AG1702" s="127">
        <v>9.84208480128492</v>
      </c>
      <c r="AH1702" s="127">
        <v>-74.8109525753114</v>
      </c>
      <c r="AI1702" s="115" t="s">
        <v>12383</v>
      </c>
      <c r="AJ1702" s="116">
        <v>0.57</v>
      </c>
      <c r="AK1702" s="117"/>
      <c r="AL1702" s="117"/>
      <c r="AM1702" s="117"/>
      <c r="AN1702" s="117"/>
      <c r="AO1702" s="117"/>
    </row>
    <row r="1703" ht="34.5" customHeight="1">
      <c r="A1703" s="111">
        <v>2347.0</v>
      </c>
      <c r="B1703" s="111" t="s">
        <v>9707</v>
      </c>
      <c r="C1703" s="111" t="s">
        <v>8737</v>
      </c>
      <c r="D1703" s="111">
        <v>2026.0</v>
      </c>
      <c r="E1703" s="111"/>
      <c r="F1703" s="111" t="s">
        <v>12397</v>
      </c>
      <c r="G1703" s="111" t="s">
        <v>12226</v>
      </c>
      <c r="H1703" s="111"/>
      <c r="I1703" s="111" t="s">
        <v>12394</v>
      </c>
      <c r="J1703" s="111" t="s">
        <v>12291</v>
      </c>
      <c r="K1703" s="111" t="s">
        <v>30</v>
      </c>
      <c r="L1703" s="111"/>
      <c r="M1703" s="111"/>
      <c r="N1703" s="111"/>
      <c r="O1703" s="111"/>
      <c r="P1703" s="111"/>
      <c r="Q1703" s="111">
        <v>1.0</v>
      </c>
      <c r="R1703" s="111"/>
      <c r="S1703" s="111"/>
      <c r="T1703" s="111"/>
      <c r="U1703" s="111"/>
      <c r="V1703" s="111"/>
      <c r="W1703" s="111"/>
      <c r="X1703" s="111"/>
      <c r="Y1703" s="111"/>
      <c r="Z1703" s="111" t="s">
        <v>12424</v>
      </c>
      <c r="AA1703" s="124">
        <v>2.0</v>
      </c>
      <c r="AB1703" s="125">
        <f>IF(Projects!$AI1703="Electrolysis",
AA1703/VLOOKUP(G1703,ElectrolysisConvF,3,FALSE),
AC1703*10^6/(H2dens*HoursInYear))</f>
        <v>384.6153846</v>
      </c>
      <c r="AC1703" s="126">
        <f t="shared" ref="AC1703:AC1710" si="330">AB1703*H2dens*HoursInYear/10^6</f>
        <v>0.2998615385</v>
      </c>
      <c r="AD1703" s="125"/>
      <c r="AE1703" s="125">
        <f t="shared" si="282"/>
        <v>384.6153846</v>
      </c>
      <c r="AF1703" s="127" t="s">
        <v>14621</v>
      </c>
      <c r="AG1703" s="127">
        <v>8.22523374412547</v>
      </c>
      <c r="AH1703" s="127">
        <v>-75.4658385957841</v>
      </c>
      <c r="AI1703" s="115" t="s">
        <v>12383</v>
      </c>
      <c r="AJ1703" s="116">
        <v>0.3</v>
      </c>
      <c r="AK1703" s="117"/>
      <c r="AL1703" s="117"/>
      <c r="AM1703" s="117"/>
      <c r="AN1703" s="117"/>
      <c r="AO1703" s="117"/>
    </row>
    <row r="1704" ht="34.5" customHeight="1">
      <c r="A1704" s="111">
        <v>2348.0</v>
      </c>
      <c r="B1704" s="111" t="s">
        <v>9708</v>
      </c>
      <c r="C1704" s="111" t="s">
        <v>8737</v>
      </c>
      <c r="D1704" s="111">
        <v>2027.0</v>
      </c>
      <c r="E1704" s="111"/>
      <c r="F1704" s="111" t="s">
        <v>12397</v>
      </c>
      <c r="G1704" s="111" t="s">
        <v>12226</v>
      </c>
      <c r="H1704" s="111"/>
      <c r="I1704" s="111" t="s">
        <v>12394</v>
      </c>
      <c r="J1704" s="111" t="s">
        <v>12291</v>
      </c>
      <c r="K1704" s="111" t="s">
        <v>12481</v>
      </c>
      <c r="L1704" s="111">
        <v>1.0</v>
      </c>
      <c r="M1704" s="111">
        <v>1.0</v>
      </c>
      <c r="N1704" s="111"/>
      <c r="O1704" s="111"/>
      <c r="P1704" s="111">
        <v>1.0</v>
      </c>
      <c r="Q1704" s="111"/>
      <c r="R1704" s="111"/>
      <c r="S1704" s="111"/>
      <c r="T1704" s="111"/>
      <c r="U1704" s="111"/>
      <c r="V1704" s="111"/>
      <c r="W1704" s="111"/>
      <c r="X1704" s="111"/>
      <c r="Y1704" s="111"/>
      <c r="Z1704" s="111" t="s">
        <v>14625</v>
      </c>
      <c r="AA1704" s="126">
        <f>IF(Projects!$AI1704="Electrolysis",
AB1704*VLOOKUP(G1704,ElectrolysisConvF,3,FALSE),
"")</f>
        <v>1106.3832</v>
      </c>
      <c r="AB1704" s="125">
        <v>212766.0</v>
      </c>
      <c r="AC1704" s="126">
        <f t="shared" si="330"/>
        <v>165.8808842</v>
      </c>
      <c r="AD1704" s="125"/>
      <c r="AE1704" s="125">
        <f t="shared" si="282"/>
        <v>212766</v>
      </c>
      <c r="AF1704" s="127" t="s">
        <v>14621</v>
      </c>
      <c r="AG1704" s="127">
        <v>10.6302282870633</v>
      </c>
      <c r="AH1704" s="127">
        <v>-74.924482227576</v>
      </c>
      <c r="AI1704" s="115" t="s">
        <v>12383</v>
      </c>
      <c r="AJ1704" s="116">
        <v>0.3</v>
      </c>
      <c r="AK1704" s="117"/>
      <c r="AL1704" s="117"/>
      <c r="AM1704" s="117"/>
      <c r="AN1704" s="117"/>
      <c r="AO1704" s="117"/>
    </row>
    <row r="1705" ht="34.5" customHeight="1">
      <c r="A1705" s="111">
        <v>2349.0</v>
      </c>
      <c r="B1705" s="111" t="s">
        <v>9709</v>
      </c>
      <c r="C1705" s="111" t="s">
        <v>8737</v>
      </c>
      <c r="D1705" s="111">
        <v>2027.0</v>
      </c>
      <c r="E1705" s="111"/>
      <c r="F1705" s="111" t="s">
        <v>12399</v>
      </c>
      <c r="G1705" s="111" t="s">
        <v>12226</v>
      </c>
      <c r="H1705" s="111"/>
      <c r="I1705" s="111" t="s">
        <v>12394</v>
      </c>
      <c r="J1705" s="111" t="s">
        <v>12291</v>
      </c>
      <c r="K1705" s="111" t="s">
        <v>12481</v>
      </c>
      <c r="L1705" s="111">
        <v>1.0</v>
      </c>
      <c r="M1705" s="111">
        <v>1.0</v>
      </c>
      <c r="N1705" s="111"/>
      <c r="O1705" s="111"/>
      <c r="P1705" s="111"/>
      <c r="Q1705" s="111"/>
      <c r="R1705" s="111"/>
      <c r="S1705" s="111"/>
      <c r="T1705" s="111"/>
      <c r="U1705" s="111"/>
      <c r="V1705" s="111"/>
      <c r="W1705" s="111"/>
      <c r="X1705" s="111"/>
      <c r="Y1705" s="111"/>
      <c r="Z1705" s="111" t="s">
        <v>12800</v>
      </c>
      <c r="AA1705" s="124">
        <v>40.0</v>
      </c>
      <c r="AB1705" s="125">
        <f>IF(Projects!$AI1705="Electrolysis",
AA1705/VLOOKUP(G1705,ElectrolysisConvF,3,FALSE),
AC1705*10^6/(H2dens*HoursInYear))</f>
        <v>7692.307692</v>
      </c>
      <c r="AC1705" s="126">
        <f t="shared" si="330"/>
        <v>5.997230769</v>
      </c>
      <c r="AD1705" s="125"/>
      <c r="AE1705" s="125">
        <f t="shared" si="282"/>
        <v>7692.307692</v>
      </c>
      <c r="AF1705" s="127" t="s">
        <v>14621</v>
      </c>
      <c r="AG1705" s="127">
        <v>10.411669226466</v>
      </c>
      <c r="AH1705" s="127">
        <v>-75.4975452399044</v>
      </c>
      <c r="AI1705" s="115" t="s">
        <v>12383</v>
      </c>
      <c r="AJ1705" s="116">
        <v>0.3</v>
      </c>
      <c r="AK1705" s="117"/>
      <c r="AL1705" s="117"/>
      <c r="AM1705" s="117"/>
      <c r="AN1705" s="117"/>
      <c r="AO1705" s="117"/>
    </row>
    <row r="1706" ht="34.5" customHeight="1">
      <c r="A1706" s="111">
        <v>2350.0</v>
      </c>
      <c r="B1706" s="111" t="s">
        <v>9710</v>
      </c>
      <c r="C1706" s="111" t="s">
        <v>8737</v>
      </c>
      <c r="D1706" s="111">
        <v>2027.0</v>
      </c>
      <c r="E1706" s="111"/>
      <c r="F1706" s="111" t="s">
        <v>12397</v>
      </c>
      <c r="G1706" s="111" t="s">
        <v>12226</v>
      </c>
      <c r="H1706" s="111"/>
      <c r="I1706" s="111" t="s">
        <v>12394</v>
      </c>
      <c r="J1706" s="111" t="s">
        <v>12293</v>
      </c>
      <c r="K1706" s="111" t="s">
        <v>12481</v>
      </c>
      <c r="L1706" s="111">
        <v>1.0</v>
      </c>
      <c r="M1706" s="111">
        <v>1.0</v>
      </c>
      <c r="N1706" s="111">
        <v>1.0</v>
      </c>
      <c r="O1706" s="111"/>
      <c r="P1706" s="111">
        <v>1.0</v>
      </c>
      <c r="Q1706" s="111"/>
      <c r="R1706" s="111"/>
      <c r="S1706" s="111"/>
      <c r="T1706" s="111"/>
      <c r="U1706" s="111"/>
      <c r="V1706" s="111"/>
      <c r="W1706" s="111"/>
      <c r="X1706" s="111"/>
      <c r="Y1706" s="111"/>
      <c r="Z1706" s="111" t="s">
        <v>14626</v>
      </c>
      <c r="AA1706" s="126">
        <f>IF(Projects!$AI1706="Electrolysis",
AB1706*VLOOKUP(G1706,ElectrolysisConvF,3,FALSE),
"")</f>
        <v>1217.0236</v>
      </c>
      <c r="AB1706" s="125">
        <v>234043.0</v>
      </c>
      <c r="AC1706" s="126">
        <f t="shared" si="330"/>
        <v>182.4692845</v>
      </c>
      <c r="AD1706" s="125"/>
      <c r="AE1706" s="125">
        <f t="shared" si="282"/>
        <v>234043</v>
      </c>
      <c r="AF1706" s="127" t="s">
        <v>14621</v>
      </c>
      <c r="AG1706" s="127">
        <v>11.0758134543759</v>
      </c>
      <c r="AH1706" s="127">
        <v>-74.8124798331968</v>
      </c>
      <c r="AI1706" s="115" t="s">
        <v>12383</v>
      </c>
      <c r="AJ1706" s="116">
        <v>0.55</v>
      </c>
      <c r="AK1706" s="117"/>
      <c r="AL1706" s="117"/>
      <c r="AM1706" s="117"/>
      <c r="AN1706" s="117"/>
      <c r="AO1706" s="117"/>
    </row>
    <row r="1707" ht="34.5" customHeight="1">
      <c r="A1707" s="111">
        <v>2351.0</v>
      </c>
      <c r="B1707" s="111" t="s">
        <v>9711</v>
      </c>
      <c r="C1707" s="111" t="s">
        <v>8737</v>
      </c>
      <c r="D1707" s="111">
        <v>2027.0</v>
      </c>
      <c r="E1707" s="111"/>
      <c r="F1707" s="111" t="s">
        <v>12399</v>
      </c>
      <c r="G1707" s="111" t="s">
        <v>12226</v>
      </c>
      <c r="H1707" s="111"/>
      <c r="I1707" s="111" t="s">
        <v>12394</v>
      </c>
      <c r="J1707" s="111" t="s">
        <v>12291</v>
      </c>
      <c r="K1707" s="111" t="s">
        <v>30</v>
      </c>
      <c r="L1707" s="111"/>
      <c r="M1707" s="111"/>
      <c r="N1707" s="111"/>
      <c r="O1707" s="111"/>
      <c r="P1707" s="111"/>
      <c r="Q1707" s="111">
        <v>1.0</v>
      </c>
      <c r="R1707" s="111"/>
      <c r="S1707" s="111"/>
      <c r="T1707" s="111"/>
      <c r="U1707" s="111"/>
      <c r="V1707" s="111"/>
      <c r="W1707" s="111"/>
      <c r="X1707" s="111"/>
      <c r="Y1707" s="111"/>
      <c r="Z1707" s="111" t="s">
        <v>14627</v>
      </c>
      <c r="AA1707" s="124">
        <v>1.2</v>
      </c>
      <c r="AB1707" s="125">
        <f>IF(Projects!$AI1707="Electrolysis",
AA1707/VLOOKUP(G1707,ElectrolysisConvF,3,FALSE),
AC1707*10^6/(H2dens*HoursInYear))</f>
        <v>230.7692308</v>
      </c>
      <c r="AC1707" s="126">
        <f t="shared" si="330"/>
        <v>0.1799169231</v>
      </c>
      <c r="AD1707" s="125"/>
      <c r="AE1707" s="125">
        <f t="shared" si="282"/>
        <v>230.7692308</v>
      </c>
      <c r="AF1707" s="127" t="s">
        <v>14621</v>
      </c>
      <c r="AG1707" s="127">
        <v>5.41504936329133</v>
      </c>
      <c r="AH1707" s="127">
        <v>-77.3636887493262</v>
      </c>
      <c r="AI1707" s="115" t="s">
        <v>12383</v>
      </c>
      <c r="AJ1707" s="116">
        <v>0.3</v>
      </c>
      <c r="AK1707" s="117"/>
      <c r="AL1707" s="117"/>
      <c r="AM1707" s="117"/>
      <c r="AN1707" s="117"/>
      <c r="AO1707" s="117"/>
    </row>
    <row r="1708" ht="34.5" customHeight="1">
      <c r="A1708" s="111">
        <v>2352.0</v>
      </c>
      <c r="B1708" s="111" t="s">
        <v>9712</v>
      </c>
      <c r="C1708" s="111" t="s">
        <v>8737</v>
      </c>
      <c r="D1708" s="111">
        <v>2027.0</v>
      </c>
      <c r="E1708" s="111"/>
      <c r="F1708" s="111" t="s">
        <v>12399</v>
      </c>
      <c r="G1708" s="111" t="s">
        <v>12224</v>
      </c>
      <c r="H1708" s="111"/>
      <c r="I1708" s="111" t="s">
        <v>12406</v>
      </c>
      <c r="J1708" s="111"/>
      <c r="K1708" s="111" t="s">
        <v>174</v>
      </c>
      <c r="L1708" s="111">
        <v>1.0</v>
      </c>
      <c r="M1708" s="111"/>
      <c r="N1708" s="111"/>
      <c r="O1708" s="111"/>
      <c r="P1708" s="111"/>
      <c r="Q1708" s="111"/>
      <c r="R1708" s="111"/>
      <c r="S1708" s="111"/>
      <c r="T1708" s="111"/>
      <c r="U1708" s="111"/>
      <c r="V1708" s="111"/>
      <c r="W1708" s="111"/>
      <c r="X1708" s="111"/>
      <c r="Y1708" s="111"/>
      <c r="Z1708" s="111" t="s">
        <v>14143</v>
      </c>
      <c r="AA1708" s="124">
        <v>1000.0</v>
      </c>
      <c r="AB1708" s="125">
        <f>IF(Projects!$AI1708="Electrolysis",
AA1708/VLOOKUP(G1708,ElectrolysisConvF,3,FALSE),
AC1708*10^6/(H2dens*HoursInYear))</f>
        <v>217391.3043</v>
      </c>
      <c r="AC1708" s="126">
        <f t="shared" si="330"/>
        <v>169.4869565</v>
      </c>
      <c r="AD1708" s="125"/>
      <c r="AE1708" s="125">
        <f t="shared" si="282"/>
        <v>217391.3043</v>
      </c>
      <c r="AF1708" s="127" t="s">
        <v>14621</v>
      </c>
      <c r="AG1708" s="127">
        <v>9.01778603134348</v>
      </c>
      <c r="AH1708" s="127">
        <v>-76.1252511777842</v>
      </c>
      <c r="AI1708" s="115" t="s">
        <v>12383</v>
      </c>
      <c r="AJ1708" s="116">
        <v>0.57</v>
      </c>
      <c r="AK1708" s="117"/>
      <c r="AL1708" s="117"/>
      <c r="AM1708" s="117"/>
      <c r="AN1708" s="117"/>
      <c r="AO1708" s="117"/>
    </row>
    <row r="1709" ht="34.5" customHeight="1">
      <c r="A1709" s="111">
        <v>2353.0</v>
      </c>
      <c r="B1709" s="111" t="s">
        <v>9713</v>
      </c>
      <c r="C1709" s="111" t="s">
        <v>8737</v>
      </c>
      <c r="D1709" s="111">
        <v>2023.0</v>
      </c>
      <c r="E1709" s="111"/>
      <c r="F1709" s="111" t="s">
        <v>12385</v>
      </c>
      <c r="G1709" s="111" t="s">
        <v>12226</v>
      </c>
      <c r="H1709" s="111"/>
      <c r="I1709" s="111" t="s">
        <v>12394</v>
      </c>
      <c r="J1709" s="111" t="s">
        <v>12291</v>
      </c>
      <c r="K1709" s="111" t="s">
        <v>30</v>
      </c>
      <c r="L1709" s="111"/>
      <c r="M1709" s="111"/>
      <c r="N1709" s="111"/>
      <c r="O1709" s="111"/>
      <c r="P1709" s="111"/>
      <c r="Q1709" s="111">
        <v>1.0</v>
      </c>
      <c r="R1709" s="111"/>
      <c r="S1709" s="111"/>
      <c r="T1709" s="111"/>
      <c r="U1709" s="111"/>
      <c r="V1709" s="111"/>
      <c r="W1709" s="111"/>
      <c r="X1709" s="111"/>
      <c r="Y1709" s="111"/>
      <c r="Z1709" s="111" t="s">
        <v>14628</v>
      </c>
      <c r="AA1709" s="124">
        <v>0.165</v>
      </c>
      <c r="AB1709" s="125">
        <f>IF(Projects!$AI1709="Electrolysis",
AA1709/VLOOKUP(G1709,ElectrolysisConvF,3,FALSE),
AC1709*10^6/(H2dens*HoursInYear))</f>
        <v>31.73076923</v>
      </c>
      <c r="AC1709" s="126">
        <f t="shared" si="330"/>
        <v>0.02473857692</v>
      </c>
      <c r="AD1709" s="125"/>
      <c r="AE1709" s="125">
        <f t="shared" si="282"/>
        <v>31.73076923</v>
      </c>
      <c r="AF1709" s="127" t="s">
        <v>14621</v>
      </c>
      <c r="AG1709" s="127">
        <v>4.68087749246425</v>
      </c>
      <c r="AH1709" s="127">
        <v>-74.0704424438969</v>
      </c>
      <c r="AI1709" s="115" t="s">
        <v>12383</v>
      </c>
      <c r="AJ1709" s="116">
        <v>0.3</v>
      </c>
      <c r="AK1709" s="117"/>
      <c r="AL1709" s="117"/>
      <c r="AM1709" s="117"/>
      <c r="AN1709" s="117"/>
      <c r="AO1709" s="117"/>
    </row>
    <row r="1710" ht="34.5" customHeight="1">
      <c r="A1710" s="111">
        <v>2354.0</v>
      </c>
      <c r="B1710" s="111" t="s">
        <v>9714</v>
      </c>
      <c r="C1710" s="111" t="s">
        <v>8071</v>
      </c>
      <c r="D1710" s="111"/>
      <c r="E1710" s="111"/>
      <c r="F1710" s="111" t="s">
        <v>12397</v>
      </c>
      <c r="G1710" s="111" t="s">
        <v>12381</v>
      </c>
      <c r="H1710" s="111" t="s">
        <v>12230</v>
      </c>
      <c r="I1710" s="111" t="s">
        <v>12394</v>
      </c>
      <c r="J1710" s="111" t="s">
        <v>12291</v>
      </c>
      <c r="K1710" s="111" t="s">
        <v>30</v>
      </c>
      <c r="L1710" s="111"/>
      <c r="M1710" s="111"/>
      <c r="N1710" s="111"/>
      <c r="O1710" s="111"/>
      <c r="P1710" s="111">
        <v>1.0</v>
      </c>
      <c r="Q1710" s="111">
        <v>1.0</v>
      </c>
      <c r="R1710" s="111"/>
      <c r="S1710" s="111"/>
      <c r="T1710" s="111"/>
      <c r="U1710" s="111"/>
      <c r="V1710" s="111"/>
      <c r="W1710" s="111"/>
      <c r="X1710" s="111"/>
      <c r="Y1710" s="111"/>
      <c r="Z1710" s="111" t="s">
        <v>13106</v>
      </c>
      <c r="AA1710" s="124">
        <v>6.0</v>
      </c>
      <c r="AB1710" s="125">
        <f>IF(Projects!$AI1710="Electrolysis",
AA1710/VLOOKUP(G1710,ElectrolysisConvF,3,FALSE),
AC1710*10^6/(H2dens*HoursInYear))</f>
        <v>1333.333333</v>
      </c>
      <c r="AC1710" s="126">
        <f t="shared" si="330"/>
        <v>1.03952</v>
      </c>
      <c r="AD1710" s="125"/>
      <c r="AE1710" s="125">
        <f t="shared" si="282"/>
        <v>1333.333333</v>
      </c>
      <c r="AF1710" s="127" t="s">
        <v>14617</v>
      </c>
      <c r="AG1710" s="127">
        <v>-23.3990803648907</v>
      </c>
      <c r="AH1710" s="127">
        <v>-69.252182822016</v>
      </c>
      <c r="AI1710" s="115" t="s">
        <v>12383</v>
      </c>
      <c r="AJ1710" s="116">
        <v>0.3</v>
      </c>
      <c r="AK1710" s="117"/>
      <c r="AL1710" s="117"/>
      <c r="AM1710" s="117"/>
      <c r="AN1710" s="117"/>
      <c r="AO1710" s="117"/>
    </row>
    <row r="1711" ht="34.5" customHeight="1">
      <c r="A1711" s="111">
        <v>2355.0</v>
      </c>
      <c r="B1711" s="111" t="s">
        <v>9715</v>
      </c>
      <c r="C1711" s="111" t="s">
        <v>8071</v>
      </c>
      <c r="D1711" s="111"/>
      <c r="E1711" s="111"/>
      <c r="F1711" s="111" t="s">
        <v>12397</v>
      </c>
      <c r="G1711" s="111" t="s">
        <v>12381</v>
      </c>
      <c r="H1711" s="111" t="s">
        <v>12230</v>
      </c>
      <c r="I1711" s="111" t="s">
        <v>12394</v>
      </c>
      <c r="J1711" s="111" t="s">
        <v>12291</v>
      </c>
      <c r="K1711" s="111" t="s">
        <v>30</v>
      </c>
      <c r="L1711" s="111"/>
      <c r="M1711" s="111"/>
      <c r="N1711" s="111"/>
      <c r="O1711" s="111"/>
      <c r="P1711" s="111"/>
      <c r="Q1711" s="111">
        <v>1.0</v>
      </c>
      <c r="R1711" s="111"/>
      <c r="S1711" s="111"/>
      <c r="T1711" s="111"/>
      <c r="U1711" s="111"/>
      <c r="V1711" s="111"/>
      <c r="W1711" s="111"/>
      <c r="X1711" s="111"/>
      <c r="Y1711" s="111"/>
      <c r="Z1711" s="111" t="s">
        <v>14629</v>
      </c>
      <c r="AA1711" s="126">
        <f>IF(Projects!$AI1711="Electrolysis",
AB1711*VLOOKUP(G1711,ElectrolysisConvF,3,FALSE),
"")</f>
        <v>0.9235031553</v>
      </c>
      <c r="AB1711" s="125">
        <f t="shared" ref="AB1711:AB1712" si="331">AC1711/(H2dens*HoursInYear/10^6)</f>
        <v>205.2229234</v>
      </c>
      <c r="AC1711" s="146">
        <f>48/1000/Projects!$AJ1711</f>
        <v>0.16</v>
      </c>
      <c r="AD1711" s="125"/>
      <c r="AE1711" s="125">
        <f t="shared" si="282"/>
        <v>205.2229234</v>
      </c>
      <c r="AF1711" s="127" t="s">
        <v>14617</v>
      </c>
      <c r="AG1711" s="127">
        <v>-23.3990803648907</v>
      </c>
      <c r="AH1711" s="127">
        <v>-69.252182822016</v>
      </c>
      <c r="AI1711" s="115" t="s">
        <v>12383</v>
      </c>
      <c r="AJ1711" s="116">
        <v>0.3</v>
      </c>
      <c r="AK1711" s="117"/>
      <c r="AL1711" s="117"/>
      <c r="AM1711" s="117"/>
      <c r="AN1711" s="117"/>
      <c r="AO1711" s="117"/>
    </row>
    <row r="1712" ht="34.5" customHeight="1">
      <c r="A1712" s="111">
        <v>2356.0</v>
      </c>
      <c r="B1712" s="111" t="s">
        <v>9716</v>
      </c>
      <c r="C1712" s="111" t="s">
        <v>8071</v>
      </c>
      <c r="D1712" s="111"/>
      <c r="E1712" s="111"/>
      <c r="F1712" s="111" t="s">
        <v>12397</v>
      </c>
      <c r="G1712" s="111" t="s">
        <v>12381</v>
      </c>
      <c r="H1712" s="111" t="s">
        <v>12230</v>
      </c>
      <c r="I1712" s="111" t="s">
        <v>12759</v>
      </c>
      <c r="J1712" s="111" t="s">
        <v>12291</v>
      </c>
      <c r="K1712" s="111" t="s">
        <v>30</v>
      </c>
      <c r="L1712" s="111"/>
      <c r="M1712" s="111"/>
      <c r="N1712" s="111"/>
      <c r="O1712" s="111"/>
      <c r="P1712" s="111"/>
      <c r="Q1712" s="111">
        <v>1.0</v>
      </c>
      <c r="R1712" s="111"/>
      <c r="S1712" s="111"/>
      <c r="T1712" s="111"/>
      <c r="U1712" s="111"/>
      <c r="V1712" s="111"/>
      <c r="W1712" s="111"/>
      <c r="X1712" s="111"/>
      <c r="Y1712" s="111"/>
      <c r="Z1712" s="111" t="s">
        <v>14630</v>
      </c>
      <c r="AA1712" s="126">
        <f>IF(Projects!$AI1712="Electrolysis",
AB1712*VLOOKUP(G1712,ElectrolysisConvF,3,FALSE),
"")</f>
        <v>902.8892456</v>
      </c>
      <c r="AB1712" s="125">
        <f t="shared" si="331"/>
        <v>200642.0546</v>
      </c>
      <c r="AC1712" s="125">
        <f>300/1000*365/Projects!$AJ1712</f>
        <v>156.4285714</v>
      </c>
      <c r="AD1712" s="125"/>
      <c r="AE1712" s="125">
        <f t="shared" si="282"/>
        <v>200642.0546</v>
      </c>
      <c r="AF1712" s="127" t="s">
        <v>14617</v>
      </c>
      <c r="AG1712" s="127">
        <v>-23.3990803648907</v>
      </c>
      <c r="AH1712" s="127">
        <v>-69.252182822016</v>
      </c>
      <c r="AI1712" s="115" t="s">
        <v>12383</v>
      </c>
      <c r="AJ1712" s="116">
        <v>0.7</v>
      </c>
      <c r="AK1712" s="117"/>
      <c r="AL1712" s="117"/>
      <c r="AM1712" s="117"/>
      <c r="AN1712" s="117"/>
      <c r="AO1712" s="117"/>
    </row>
    <row r="1713" ht="34.5" customHeight="1">
      <c r="A1713" s="111">
        <v>2357.0</v>
      </c>
      <c r="B1713" s="111" t="s">
        <v>9717</v>
      </c>
      <c r="C1713" s="111" t="s">
        <v>8071</v>
      </c>
      <c r="D1713" s="111">
        <v>2024.0</v>
      </c>
      <c r="E1713" s="111"/>
      <c r="F1713" s="111" t="s">
        <v>12385</v>
      </c>
      <c r="G1713" s="111" t="s">
        <v>12381</v>
      </c>
      <c r="H1713" s="111" t="s">
        <v>12230</v>
      </c>
      <c r="I1713" s="111" t="s">
        <v>12759</v>
      </c>
      <c r="J1713" s="111" t="s">
        <v>12295</v>
      </c>
      <c r="K1713" s="111" t="s">
        <v>30</v>
      </c>
      <c r="L1713" s="111"/>
      <c r="M1713" s="111"/>
      <c r="N1713" s="111"/>
      <c r="O1713" s="111"/>
      <c r="P1713" s="111"/>
      <c r="Q1713" s="111">
        <v>1.0</v>
      </c>
      <c r="R1713" s="111">
        <v>1.0</v>
      </c>
      <c r="S1713" s="111"/>
      <c r="T1713" s="111"/>
      <c r="U1713" s="111"/>
      <c r="V1713" s="111"/>
      <c r="W1713" s="111"/>
      <c r="X1713" s="111"/>
      <c r="Y1713" s="111"/>
      <c r="Z1713" s="111" t="s">
        <v>14631</v>
      </c>
      <c r="AA1713" s="124">
        <f>25/1000</f>
        <v>0.025</v>
      </c>
      <c r="AB1713" s="125">
        <f>IF(Projects!$AI1713="Electrolysis",
AA1713/VLOOKUP(G1713,ElectrolysisConvF,3,FALSE),
AC1713*10^6/(H2dens*HoursInYear))</f>
        <v>5.555555556</v>
      </c>
      <c r="AC1713" s="126">
        <f>AB1713*H2dens*HoursInYear/10^6</f>
        <v>0.004331333333</v>
      </c>
      <c r="AD1713" s="125"/>
      <c r="AE1713" s="125">
        <f t="shared" si="282"/>
        <v>5.555555556</v>
      </c>
      <c r="AF1713" s="127" t="s">
        <v>14617</v>
      </c>
      <c r="AG1713" s="127">
        <v>-37.3773000112154</v>
      </c>
      <c r="AH1713" s="127">
        <v>-73.0315451070037</v>
      </c>
      <c r="AI1713" s="115" t="s">
        <v>12383</v>
      </c>
      <c r="AJ1713" s="116">
        <v>0.7</v>
      </c>
      <c r="AK1713" s="117"/>
      <c r="AL1713" s="117"/>
      <c r="AM1713" s="117"/>
      <c r="AN1713" s="117"/>
      <c r="AO1713" s="117"/>
    </row>
    <row r="1714" ht="34.5" customHeight="1">
      <c r="A1714" s="111">
        <v>2358.0</v>
      </c>
      <c r="B1714" s="111" t="s">
        <v>9718</v>
      </c>
      <c r="C1714" s="111" t="s">
        <v>8071</v>
      </c>
      <c r="D1714" s="111">
        <v>2027.0</v>
      </c>
      <c r="E1714" s="111"/>
      <c r="F1714" s="111" t="s">
        <v>12397</v>
      </c>
      <c r="G1714" s="111" t="s">
        <v>12381</v>
      </c>
      <c r="H1714" s="111" t="s">
        <v>12230</v>
      </c>
      <c r="I1714" s="111" t="s">
        <v>12394</v>
      </c>
      <c r="J1714" s="111" t="s">
        <v>12292</v>
      </c>
      <c r="K1714" s="111" t="s">
        <v>174</v>
      </c>
      <c r="L1714" s="111"/>
      <c r="M1714" s="111">
        <v>1.0</v>
      </c>
      <c r="N1714" s="111"/>
      <c r="O1714" s="111"/>
      <c r="P1714" s="111">
        <v>1.0</v>
      </c>
      <c r="Q1714" s="111">
        <v>1.0</v>
      </c>
      <c r="R1714" s="111"/>
      <c r="S1714" s="111"/>
      <c r="T1714" s="111"/>
      <c r="U1714" s="111"/>
      <c r="V1714" s="111"/>
      <c r="W1714" s="111"/>
      <c r="X1714" s="111"/>
      <c r="Y1714" s="111"/>
      <c r="Z1714" s="111" t="s">
        <v>14632</v>
      </c>
      <c r="AA1714" s="126">
        <f>IF(Projects!$AI1714="Electrolysis",
AB1714*VLOOKUP(G1714,ElectrolysisConvF,3,FALSE),
"")</f>
        <v>1948.793986</v>
      </c>
      <c r="AB1714" s="125">
        <f t="shared" ref="AB1714:AB1715" si="332">AC1714/(H2dens*HoursInYear/10^6)</f>
        <v>433065.3302</v>
      </c>
      <c r="AC1714" s="125">
        <f>(750*3/17/0.98/Projects!$AJ1714)</f>
        <v>337.635054</v>
      </c>
      <c r="AD1714" s="125"/>
      <c r="AE1714" s="125">
        <f t="shared" si="282"/>
        <v>433065.3302</v>
      </c>
      <c r="AF1714" s="127" t="s">
        <v>14617</v>
      </c>
      <c r="AG1714" s="127">
        <v>-50.615096291667</v>
      </c>
      <c r="AH1714" s="127">
        <v>-74.5013589002638</v>
      </c>
      <c r="AI1714" s="115" t="s">
        <v>12383</v>
      </c>
      <c r="AJ1714" s="116">
        <v>0.4</v>
      </c>
      <c r="AK1714" s="117"/>
      <c r="AL1714" s="117"/>
      <c r="AM1714" s="117"/>
      <c r="AN1714" s="117"/>
      <c r="AO1714" s="117"/>
    </row>
    <row r="1715" ht="34.5" customHeight="1">
      <c r="A1715" s="111">
        <v>2359.0</v>
      </c>
      <c r="B1715" s="111" t="s">
        <v>9719</v>
      </c>
      <c r="C1715" s="111" t="s">
        <v>8071</v>
      </c>
      <c r="D1715" s="111">
        <v>2027.0</v>
      </c>
      <c r="E1715" s="111"/>
      <c r="F1715" s="111" t="s">
        <v>12399</v>
      </c>
      <c r="G1715" s="111" t="s">
        <v>12381</v>
      </c>
      <c r="H1715" s="111" t="s">
        <v>12230</v>
      </c>
      <c r="I1715" s="111" t="s">
        <v>12759</v>
      </c>
      <c r="J1715" s="111" t="s">
        <v>12295</v>
      </c>
      <c r="K1715" s="111" t="s">
        <v>174</v>
      </c>
      <c r="L1715" s="111"/>
      <c r="M1715" s="111">
        <v>1.0</v>
      </c>
      <c r="N1715" s="111"/>
      <c r="O1715" s="111"/>
      <c r="P1715" s="111">
        <v>1.0</v>
      </c>
      <c r="Q1715" s="111">
        <v>1.0</v>
      </c>
      <c r="R1715" s="111"/>
      <c r="S1715" s="111"/>
      <c r="T1715" s="111"/>
      <c r="U1715" s="111"/>
      <c r="V1715" s="111"/>
      <c r="W1715" s="111"/>
      <c r="X1715" s="111"/>
      <c r="Y1715" s="111"/>
      <c r="Z1715" s="111" t="s">
        <v>14633</v>
      </c>
      <c r="AA1715" s="126">
        <f>IF(Projects!$AI1715="Electrolysis",
AB1715*VLOOKUP(G1715,ElectrolysisConvF,3,FALSE),
"")</f>
        <v>255.3848119</v>
      </c>
      <c r="AB1715" s="125">
        <f t="shared" si="332"/>
        <v>56752.18041</v>
      </c>
      <c r="AC1715" s="125">
        <f>(172*3/17/0.98/Projects!$AJ1715)</f>
        <v>44.24626994</v>
      </c>
      <c r="AD1715" s="125"/>
      <c r="AE1715" s="125">
        <f t="shared" si="282"/>
        <v>56752.18041</v>
      </c>
      <c r="AF1715" s="127" t="s">
        <v>14617</v>
      </c>
      <c r="AG1715" s="127">
        <v>-23.3990803648907</v>
      </c>
      <c r="AH1715" s="127">
        <v>-69.252182822016</v>
      </c>
      <c r="AI1715" s="115" t="s">
        <v>12383</v>
      </c>
      <c r="AJ1715" s="116">
        <v>0.7</v>
      </c>
      <c r="AK1715" s="117"/>
      <c r="AL1715" s="117"/>
      <c r="AM1715" s="117"/>
      <c r="AN1715" s="117"/>
      <c r="AO1715" s="117"/>
    </row>
    <row r="1716" ht="34.5" customHeight="1">
      <c r="A1716" s="111">
        <v>2360.0</v>
      </c>
      <c r="B1716" s="111" t="s">
        <v>9720</v>
      </c>
      <c r="C1716" s="111" t="s">
        <v>8071</v>
      </c>
      <c r="D1716" s="111"/>
      <c r="E1716" s="111"/>
      <c r="F1716" s="111" t="s">
        <v>12393</v>
      </c>
      <c r="G1716" s="111" t="s">
        <v>12381</v>
      </c>
      <c r="H1716" s="111" t="s">
        <v>12230</v>
      </c>
      <c r="I1716" s="111" t="s">
        <v>12394</v>
      </c>
      <c r="J1716" s="111" t="s">
        <v>12296</v>
      </c>
      <c r="K1716" s="111" t="s">
        <v>30</v>
      </c>
      <c r="L1716" s="111"/>
      <c r="M1716" s="111"/>
      <c r="N1716" s="111"/>
      <c r="O1716" s="111"/>
      <c r="P1716" s="111">
        <v>1.0</v>
      </c>
      <c r="Q1716" s="111"/>
      <c r="R1716" s="111"/>
      <c r="S1716" s="111"/>
      <c r="T1716" s="111"/>
      <c r="U1716" s="111"/>
      <c r="V1716" s="111"/>
      <c r="W1716" s="111"/>
      <c r="X1716" s="111"/>
      <c r="Y1716" s="111"/>
      <c r="Z1716" s="111" t="s">
        <v>12589</v>
      </c>
      <c r="AA1716" s="124">
        <v>20.0</v>
      </c>
      <c r="AB1716" s="125">
        <f>IF(Projects!$AI1716="Electrolysis",
AA1716/VLOOKUP(G1716,ElectrolysisConvF,3,FALSE),
AC1716*10^6/(H2dens*HoursInYear))</f>
        <v>4444.444444</v>
      </c>
      <c r="AC1716" s="126">
        <f>AB1716*H2dens*HoursInYear/10^6</f>
        <v>3.465066667</v>
      </c>
      <c r="AD1716" s="125"/>
      <c r="AE1716" s="125">
        <f t="shared" si="282"/>
        <v>4444.444444</v>
      </c>
      <c r="AF1716" s="127" t="s">
        <v>14634</v>
      </c>
      <c r="AG1716" s="127">
        <v>-50.615096291667</v>
      </c>
      <c r="AH1716" s="127">
        <v>-74.5013589002638</v>
      </c>
      <c r="AI1716" s="115" t="s">
        <v>12383</v>
      </c>
      <c r="AJ1716" s="116">
        <v>0.5</v>
      </c>
      <c r="AK1716" s="117"/>
      <c r="AL1716" s="117"/>
      <c r="AM1716" s="117"/>
      <c r="AN1716" s="117"/>
      <c r="AO1716" s="117"/>
    </row>
    <row r="1717" ht="34.5" customHeight="1">
      <c r="A1717" s="111">
        <v>2361.0</v>
      </c>
      <c r="B1717" s="111" t="s">
        <v>9721</v>
      </c>
      <c r="C1717" s="111" t="s">
        <v>8071</v>
      </c>
      <c r="D1717" s="111">
        <v>2024.0</v>
      </c>
      <c r="E1717" s="111"/>
      <c r="F1717" s="111" t="s">
        <v>12399</v>
      </c>
      <c r="G1717" s="111" t="s">
        <v>12381</v>
      </c>
      <c r="H1717" s="111" t="s">
        <v>12230</v>
      </c>
      <c r="I1717" s="111" t="s">
        <v>12394</v>
      </c>
      <c r="J1717" s="111" t="s">
        <v>12296</v>
      </c>
      <c r="K1717" s="111" t="s">
        <v>30</v>
      </c>
      <c r="L1717" s="111"/>
      <c r="M1717" s="111"/>
      <c r="N1717" s="111"/>
      <c r="O1717" s="111"/>
      <c r="P1717" s="111"/>
      <c r="Q1717" s="111">
        <v>1.0</v>
      </c>
      <c r="R1717" s="111"/>
      <c r="S1717" s="111"/>
      <c r="T1717" s="111"/>
      <c r="U1717" s="111"/>
      <c r="V1717" s="111"/>
      <c r="W1717" s="111"/>
      <c r="X1717" s="111"/>
      <c r="Y1717" s="111"/>
      <c r="Z1717" s="111"/>
      <c r="AA1717" s="124">
        <f>IF(OR(G1717="ALK",G1717="PEM",G1717="SOEC",G1717="Other Electrolysis"),
AB1717*VLOOKUP(G1717,ElectrolysisConvF,3,FALSE),
"")</f>
        <v>0</v>
      </c>
      <c r="AB1717" s="125"/>
      <c r="AC1717" s="125"/>
      <c r="AD1717" s="125"/>
      <c r="AE1717" s="125" t="str">
        <f t="shared" si="282"/>
        <v/>
      </c>
      <c r="AF1717" s="127" t="s">
        <v>14635</v>
      </c>
      <c r="AG1717" s="127">
        <v>-23.3990803648907</v>
      </c>
      <c r="AH1717" s="127">
        <v>-69.252182822016</v>
      </c>
      <c r="AI1717" s="115" t="s">
        <v>12383</v>
      </c>
      <c r="AJ1717" s="116">
        <v>0.5</v>
      </c>
      <c r="AK1717" s="117"/>
      <c r="AL1717" s="117"/>
      <c r="AM1717" s="117"/>
      <c r="AN1717" s="117"/>
      <c r="AO1717" s="117"/>
    </row>
    <row r="1718" ht="34.5" customHeight="1">
      <c r="A1718" s="111">
        <v>2362.0</v>
      </c>
      <c r="B1718" s="111" t="s">
        <v>9722</v>
      </c>
      <c r="C1718" s="111" t="s">
        <v>8071</v>
      </c>
      <c r="D1718" s="111"/>
      <c r="E1718" s="111"/>
      <c r="F1718" s="111" t="s">
        <v>12397</v>
      </c>
      <c r="G1718" s="111" t="s">
        <v>12381</v>
      </c>
      <c r="H1718" s="111" t="s">
        <v>12230</v>
      </c>
      <c r="I1718" s="111" t="s">
        <v>12394</v>
      </c>
      <c r="J1718" s="111" t="s">
        <v>12296</v>
      </c>
      <c r="K1718" s="111" t="s">
        <v>30</v>
      </c>
      <c r="L1718" s="111"/>
      <c r="M1718" s="111"/>
      <c r="N1718" s="111"/>
      <c r="O1718" s="111"/>
      <c r="P1718" s="111"/>
      <c r="Q1718" s="111"/>
      <c r="R1718" s="111"/>
      <c r="S1718" s="111"/>
      <c r="T1718" s="111"/>
      <c r="U1718" s="111"/>
      <c r="V1718" s="111"/>
      <c r="W1718" s="111"/>
      <c r="X1718" s="111"/>
      <c r="Y1718" s="111"/>
      <c r="Z1718" s="111"/>
      <c r="AA1718" s="124">
        <f>IF(OR(G1718="ALK",G1718="PEM",G1718="SOEC",G1718="Other Electrolysis"),
AB1718*VLOOKUP(G1718,ElectrolysisConvF,3,FALSE),
"")</f>
        <v>0</v>
      </c>
      <c r="AB1718" s="125"/>
      <c r="AC1718" s="125"/>
      <c r="AD1718" s="125"/>
      <c r="AE1718" s="125" t="str">
        <f t="shared" si="282"/>
        <v/>
      </c>
      <c r="AF1718" s="127" t="s">
        <v>14636</v>
      </c>
      <c r="AG1718" s="127">
        <v>-45.7268442817993</v>
      </c>
      <c r="AH1718" s="127">
        <v>-73.1311293241695</v>
      </c>
      <c r="AI1718" s="115" t="s">
        <v>12383</v>
      </c>
      <c r="AJ1718" s="116">
        <v>0.5</v>
      </c>
      <c r="AK1718" s="117"/>
      <c r="AL1718" s="117"/>
      <c r="AM1718" s="117"/>
      <c r="AN1718" s="117"/>
      <c r="AO1718" s="117"/>
    </row>
    <row r="1719" ht="34.5" customHeight="1">
      <c r="A1719" s="111">
        <v>2363.0</v>
      </c>
      <c r="B1719" s="111" t="s">
        <v>9723</v>
      </c>
      <c r="C1719" s="111" t="s">
        <v>8071</v>
      </c>
      <c r="D1719" s="111">
        <v>2022.0</v>
      </c>
      <c r="E1719" s="111"/>
      <c r="F1719" s="111" t="s">
        <v>12385</v>
      </c>
      <c r="G1719" s="111" t="s">
        <v>12381</v>
      </c>
      <c r="H1719" s="111" t="s">
        <v>12230</v>
      </c>
      <c r="I1719" s="111" t="s">
        <v>12394</v>
      </c>
      <c r="J1719" s="111" t="s">
        <v>12291</v>
      </c>
      <c r="K1719" s="111" t="s">
        <v>30</v>
      </c>
      <c r="L1719" s="111"/>
      <c r="M1719" s="111"/>
      <c r="N1719" s="111"/>
      <c r="O1719" s="111"/>
      <c r="P1719" s="111"/>
      <c r="Q1719" s="111"/>
      <c r="R1719" s="111"/>
      <c r="S1719" s="111"/>
      <c r="T1719" s="111"/>
      <c r="U1719" s="111"/>
      <c r="V1719" s="111"/>
      <c r="W1719" s="111"/>
      <c r="X1719" s="111"/>
      <c r="Y1719" s="111"/>
      <c r="Z1719" s="111" t="s">
        <v>12574</v>
      </c>
      <c r="AA1719" s="124">
        <v>0.02</v>
      </c>
      <c r="AB1719" s="125">
        <f>IF(Projects!$AI1719="Electrolysis",
AA1719/VLOOKUP(G1719,ElectrolysisConvF,3,FALSE),
AC1719*10^6/(H2dens*HoursInYear))</f>
        <v>4.444444444</v>
      </c>
      <c r="AC1719" s="126">
        <f>AB1719*H2dens*HoursInYear/10^6</f>
        <v>0.003465066667</v>
      </c>
      <c r="AD1719" s="125"/>
      <c r="AE1719" s="125">
        <f t="shared" si="282"/>
        <v>4.444444444</v>
      </c>
      <c r="AF1719" s="127" t="s">
        <v>14637</v>
      </c>
      <c r="AG1719" s="127">
        <v>-23.3990803648907</v>
      </c>
      <c r="AH1719" s="127">
        <v>-69.252182822016</v>
      </c>
      <c r="AI1719" s="115" t="s">
        <v>12383</v>
      </c>
      <c r="AJ1719" s="116">
        <v>0.3</v>
      </c>
      <c r="AK1719" s="117"/>
      <c r="AL1719" s="117"/>
      <c r="AM1719" s="117"/>
      <c r="AN1719" s="117"/>
      <c r="AO1719" s="117"/>
    </row>
    <row r="1720" ht="34.5" customHeight="1">
      <c r="A1720" s="111">
        <v>2364.0</v>
      </c>
      <c r="B1720" s="111" t="s">
        <v>9724</v>
      </c>
      <c r="C1720" s="111" t="s">
        <v>8071</v>
      </c>
      <c r="D1720" s="111">
        <v>2027.0</v>
      </c>
      <c r="E1720" s="111"/>
      <c r="F1720" s="111" t="s">
        <v>12397</v>
      </c>
      <c r="G1720" s="111" t="s">
        <v>12381</v>
      </c>
      <c r="H1720" s="111" t="s">
        <v>12230</v>
      </c>
      <c r="I1720" s="111" t="s">
        <v>12394</v>
      </c>
      <c r="J1720" s="111" t="s">
        <v>12291</v>
      </c>
      <c r="K1720" s="111" t="s">
        <v>174</v>
      </c>
      <c r="L1720" s="111"/>
      <c r="M1720" s="111">
        <v>1.0</v>
      </c>
      <c r="N1720" s="111"/>
      <c r="O1720" s="111"/>
      <c r="P1720" s="111"/>
      <c r="Q1720" s="111"/>
      <c r="R1720" s="111"/>
      <c r="S1720" s="111"/>
      <c r="T1720" s="111"/>
      <c r="U1720" s="111"/>
      <c r="V1720" s="111"/>
      <c r="W1720" s="111"/>
      <c r="X1720" s="111"/>
      <c r="Y1720" s="111"/>
      <c r="Z1720" s="111" t="s">
        <v>14638</v>
      </c>
      <c r="AA1720" s="126">
        <f>IF(Projects!$AI1720="Electrolysis",
AB1720*VLOOKUP(G1720,ElectrolysisConvF,3,FALSE),
"")</f>
        <v>1004.711566</v>
      </c>
      <c r="AB1720" s="125">
        <f t="shared" ref="AB1720:AB1721" si="333">AC1720/(H2dens*HoursInYear/10^6)</f>
        <v>223269.2369</v>
      </c>
      <c r="AC1720" s="125">
        <f>(290*3/17/0.98/Projects!$AJ1720)</f>
        <v>174.0696279</v>
      </c>
      <c r="AD1720" s="125"/>
      <c r="AE1720" s="125">
        <f t="shared" si="282"/>
        <v>223269.2369</v>
      </c>
      <c r="AF1720" s="127" t="s">
        <v>14639</v>
      </c>
      <c r="AG1720" s="127">
        <v>-23.3990803648907</v>
      </c>
      <c r="AH1720" s="127">
        <v>-69.252182822016</v>
      </c>
      <c r="AI1720" s="115" t="s">
        <v>12383</v>
      </c>
      <c r="AJ1720" s="116">
        <v>0.3</v>
      </c>
      <c r="AK1720" s="117"/>
      <c r="AL1720" s="117"/>
      <c r="AM1720" s="117"/>
      <c r="AN1720" s="117"/>
      <c r="AO1720" s="117"/>
    </row>
    <row r="1721" ht="34.5" customHeight="1">
      <c r="A1721" s="111">
        <v>2365.0</v>
      </c>
      <c r="B1721" s="111" t="s">
        <v>9725</v>
      </c>
      <c r="C1721" s="111" t="s">
        <v>8071</v>
      </c>
      <c r="D1721" s="111">
        <v>2027.0</v>
      </c>
      <c r="E1721" s="111"/>
      <c r="F1721" s="111" t="s">
        <v>12399</v>
      </c>
      <c r="G1721" s="111" t="s">
        <v>12381</v>
      </c>
      <c r="H1721" s="111" t="s">
        <v>12230</v>
      </c>
      <c r="I1721" s="111" t="s">
        <v>12394</v>
      </c>
      <c r="J1721" s="111" t="s">
        <v>12292</v>
      </c>
      <c r="K1721" s="111" t="s">
        <v>174</v>
      </c>
      <c r="L1721" s="111"/>
      <c r="M1721" s="111">
        <v>1.0</v>
      </c>
      <c r="N1721" s="111"/>
      <c r="O1721" s="111"/>
      <c r="P1721" s="111"/>
      <c r="Q1721" s="111"/>
      <c r="R1721" s="111"/>
      <c r="S1721" s="111"/>
      <c r="T1721" s="111"/>
      <c r="U1721" s="111"/>
      <c r="V1721" s="111"/>
      <c r="W1721" s="111"/>
      <c r="X1721" s="111"/>
      <c r="Y1721" s="111"/>
      <c r="Z1721" s="111" t="s">
        <v>14151</v>
      </c>
      <c r="AA1721" s="126">
        <f>IF(Projects!$AI1721="Electrolysis",
AB1721*VLOOKUP(G1721,ElectrolysisConvF,3,FALSE),
"")</f>
        <v>1299.195991</v>
      </c>
      <c r="AB1721" s="125">
        <f t="shared" si="333"/>
        <v>288710.2201</v>
      </c>
      <c r="AC1721" s="125">
        <f>(500*3/17/0.98/Projects!$AJ1721)</f>
        <v>225.090036</v>
      </c>
      <c r="AD1721" s="125"/>
      <c r="AE1721" s="125">
        <f t="shared" si="282"/>
        <v>288710.2201</v>
      </c>
      <c r="AF1721" s="127" t="s">
        <v>14617</v>
      </c>
      <c r="AG1721" s="127">
        <v>-50.615096291667</v>
      </c>
      <c r="AH1721" s="127">
        <v>-74.5013589002638</v>
      </c>
      <c r="AI1721" s="115" t="s">
        <v>12383</v>
      </c>
      <c r="AJ1721" s="116">
        <v>0.4</v>
      </c>
      <c r="AK1721" s="117"/>
      <c r="AL1721" s="117"/>
      <c r="AM1721" s="117"/>
      <c r="AN1721" s="117"/>
      <c r="AO1721" s="117"/>
    </row>
    <row r="1722" ht="34.5" customHeight="1">
      <c r="A1722" s="111">
        <v>2366.0</v>
      </c>
      <c r="B1722" s="111" t="s">
        <v>9726</v>
      </c>
      <c r="C1722" s="111" t="s">
        <v>8026</v>
      </c>
      <c r="D1722" s="111">
        <v>2020.0</v>
      </c>
      <c r="E1722" s="111"/>
      <c r="F1722" s="111" t="s">
        <v>12385</v>
      </c>
      <c r="G1722" s="111" t="s">
        <v>12381</v>
      </c>
      <c r="H1722" s="111" t="s">
        <v>12230</v>
      </c>
      <c r="I1722" s="111" t="s">
        <v>12406</v>
      </c>
      <c r="J1722" s="111"/>
      <c r="K1722" s="111" t="s">
        <v>30</v>
      </c>
      <c r="L1722" s="111">
        <v>1.0</v>
      </c>
      <c r="M1722" s="111"/>
      <c r="N1722" s="111"/>
      <c r="O1722" s="111"/>
      <c r="P1722" s="111"/>
      <c r="Q1722" s="111"/>
      <c r="R1722" s="111"/>
      <c r="S1722" s="111"/>
      <c r="T1722" s="111"/>
      <c r="U1722" s="111"/>
      <c r="V1722" s="111"/>
      <c r="W1722" s="111"/>
      <c r="X1722" s="111"/>
      <c r="Y1722" s="111"/>
      <c r="Z1722" s="111" t="s">
        <v>13227</v>
      </c>
      <c r="AA1722" s="124">
        <v>0.7</v>
      </c>
      <c r="AB1722" s="125">
        <f>IF(Projects!$AI1722="Electrolysis",
AA1722/VLOOKUP(G1722,ElectrolysisConvF,3,FALSE),
AC1722*10^6/(H2dens*HoursInYear))</f>
        <v>155.5555556</v>
      </c>
      <c r="AC1722" s="126">
        <f t="shared" ref="AC1722:AC1754" si="334">AB1722*H2dens*HoursInYear/10^6</f>
        <v>0.1212773333</v>
      </c>
      <c r="AD1722" s="125"/>
      <c r="AE1722" s="125">
        <f t="shared" si="282"/>
        <v>155.5555556</v>
      </c>
      <c r="AF1722" s="127"/>
      <c r="AG1722" s="127">
        <v>60.5267411092739</v>
      </c>
      <c r="AH1722" s="127">
        <v>27.141011962863</v>
      </c>
      <c r="AI1722" s="115" t="s">
        <v>12383</v>
      </c>
      <c r="AJ1722" s="116">
        <v>0.57</v>
      </c>
      <c r="AK1722" s="117"/>
      <c r="AL1722" s="117"/>
      <c r="AM1722" s="117"/>
      <c r="AN1722" s="117"/>
      <c r="AO1722" s="117"/>
    </row>
    <row r="1723" ht="34.5" customHeight="1">
      <c r="A1723" s="111">
        <v>2367.0</v>
      </c>
      <c r="B1723" s="111" t="s">
        <v>9727</v>
      </c>
      <c r="C1723" s="111" t="s">
        <v>8591</v>
      </c>
      <c r="D1723" s="111">
        <v>2024.0</v>
      </c>
      <c r="E1723" s="111"/>
      <c r="F1723" s="111" t="s">
        <v>12393</v>
      </c>
      <c r="G1723" s="111" t="s">
        <v>12381</v>
      </c>
      <c r="H1723" s="111" t="s">
        <v>12230</v>
      </c>
      <c r="I1723" s="111" t="s">
        <v>12394</v>
      </c>
      <c r="J1723" s="111" t="s">
        <v>12291</v>
      </c>
      <c r="K1723" s="111" t="s">
        <v>30</v>
      </c>
      <c r="L1723" s="111"/>
      <c r="M1723" s="111"/>
      <c r="N1723" s="111"/>
      <c r="O1723" s="111"/>
      <c r="P1723" s="111"/>
      <c r="Q1723" s="111"/>
      <c r="R1723" s="111">
        <v>1.0</v>
      </c>
      <c r="S1723" s="111"/>
      <c r="T1723" s="111"/>
      <c r="U1723" s="111"/>
      <c r="V1723" s="111"/>
      <c r="W1723" s="111"/>
      <c r="X1723" s="111"/>
      <c r="Y1723" s="111"/>
      <c r="Z1723" s="111" t="s">
        <v>12908</v>
      </c>
      <c r="AA1723" s="124">
        <v>1.0</v>
      </c>
      <c r="AB1723" s="125">
        <f>IF(Projects!$AI1723="Electrolysis",
AA1723/VLOOKUP(G1723,ElectrolysisConvF,3,FALSE),
AC1723*10^6/(H2dens*HoursInYear))</f>
        <v>222.2222222</v>
      </c>
      <c r="AC1723" s="126">
        <f t="shared" si="334"/>
        <v>0.1732533333</v>
      </c>
      <c r="AD1723" s="125"/>
      <c r="AE1723" s="125">
        <f t="shared" si="282"/>
        <v>222.2222222</v>
      </c>
      <c r="AF1723" s="127" t="s">
        <v>14640</v>
      </c>
      <c r="AG1723" s="127">
        <v>47.8934703494515</v>
      </c>
      <c r="AH1723" s="127">
        <v>20.7024755026607</v>
      </c>
      <c r="AI1723" s="115" t="s">
        <v>12383</v>
      </c>
      <c r="AJ1723" s="116">
        <v>0.3</v>
      </c>
      <c r="AK1723" s="117"/>
      <c r="AL1723" s="117"/>
      <c r="AM1723" s="117"/>
      <c r="AN1723" s="117"/>
      <c r="AO1723" s="117"/>
    </row>
    <row r="1724" ht="34.5" customHeight="1">
      <c r="A1724" s="111">
        <v>2368.0</v>
      </c>
      <c r="B1724" s="111" t="s">
        <v>104</v>
      </c>
      <c r="C1724" s="111" t="s">
        <v>8122</v>
      </c>
      <c r="D1724" s="111">
        <v>2018.0</v>
      </c>
      <c r="E1724" s="111"/>
      <c r="F1724" s="111" t="s">
        <v>12385</v>
      </c>
      <c r="G1724" s="111" t="s">
        <v>12381</v>
      </c>
      <c r="H1724" s="111" t="s">
        <v>12230</v>
      </c>
      <c r="I1724" s="111" t="s">
        <v>12287</v>
      </c>
      <c r="J1724" s="111"/>
      <c r="K1724" s="111" t="s">
        <v>30</v>
      </c>
      <c r="L1724" s="111"/>
      <c r="M1724" s="111"/>
      <c r="N1724" s="111"/>
      <c r="O1724" s="111"/>
      <c r="P1724" s="111"/>
      <c r="Q1724" s="111">
        <v>1.0</v>
      </c>
      <c r="R1724" s="111"/>
      <c r="S1724" s="111"/>
      <c r="T1724" s="111"/>
      <c r="U1724" s="111"/>
      <c r="V1724" s="111"/>
      <c r="W1724" s="111"/>
      <c r="X1724" s="111"/>
      <c r="Y1724" s="111"/>
      <c r="Z1724" s="111" t="s">
        <v>13227</v>
      </c>
      <c r="AA1724" s="124">
        <v>0.7</v>
      </c>
      <c r="AB1724" s="125">
        <f>IF(Projects!$AI1724="Electrolysis",
AA1724/VLOOKUP(G1724,ElectrolysisConvF,3,FALSE),
AC1724*10^6/(H2dens*HoursInYear))</f>
        <v>155.5555556</v>
      </c>
      <c r="AC1724" s="126">
        <f t="shared" si="334"/>
        <v>0.1212773333</v>
      </c>
      <c r="AD1724" s="125"/>
      <c r="AE1724" s="125">
        <f t="shared" si="282"/>
        <v>155.5555556</v>
      </c>
      <c r="AF1724" s="127"/>
      <c r="AG1724" s="127">
        <v>64.0364234782397</v>
      </c>
      <c r="AH1724" s="127">
        <v>-21.4043909789244</v>
      </c>
      <c r="AI1724" s="115" t="s">
        <v>12383</v>
      </c>
      <c r="AJ1724" s="116">
        <v>0.57</v>
      </c>
      <c r="AK1724" s="117"/>
      <c r="AL1724" s="117"/>
      <c r="AM1724" s="117"/>
      <c r="AN1724" s="117"/>
      <c r="AO1724" s="117"/>
    </row>
    <row r="1725" ht="34.5" customHeight="1">
      <c r="A1725" s="111">
        <v>2369.0</v>
      </c>
      <c r="B1725" s="111" t="s">
        <v>9728</v>
      </c>
      <c r="C1725" s="111" t="s">
        <v>7974</v>
      </c>
      <c r="D1725" s="111">
        <v>2025.0</v>
      </c>
      <c r="E1725" s="111"/>
      <c r="F1725" s="111" t="s">
        <v>12399</v>
      </c>
      <c r="G1725" s="111" t="s">
        <v>12224</v>
      </c>
      <c r="H1725" s="111"/>
      <c r="I1725" s="111" t="s">
        <v>12406</v>
      </c>
      <c r="J1725" s="111"/>
      <c r="K1725" s="111" t="s">
        <v>30</v>
      </c>
      <c r="L1725" s="111"/>
      <c r="M1725" s="111"/>
      <c r="N1725" s="111"/>
      <c r="O1725" s="111">
        <v>1.0</v>
      </c>
      <c r="P1725" s="111"/>
      <c r="Q1725" s="111"/>
      <c r="R1725" s="111"/>
      <c r="S1725" s="111"/>
      <c r="T1725" s="111"/>
      <c r="U1725" s="111"/>
      <c r="V1725" s="111"/>
      <c r="W1725" s="111"/>
      <c r="X1725" s="111"/>
      <c r="Y1725" s="111"/>
      <c r="Z1725" s="111" t="s">
        <v>13437</v>
      </c>
      <c r="AA1725" s="124">
        <v>17.0</v>
      </c>
      <c r="AB1725" s="125">
        <f>IF(Projects!$AI1725="Electrolysis",
AA1725/VLOOKUP(G1725,ElectrolysisConvF,3,FALSE),
AC1725*10^6/(H2dens*HoursInYear))</f>
        <v>3695.652174</v>
      </c>
      <c r="AC1725" s="126">
        <f t="shared" si="334"/>
        <v>2.881278261</v>
      </c>
      <c r="AD1725" s="125"/>
      <c r="AE1725" s="125">
        <f t="shared" si="282"/>
        <v>3695.652174</v>
      </c>
      <c r="AF1725" s="127" t="s">
        <v>14641</v>
      </c>
      <c r="AG1725" s="127">
        <v>60.1380057512096</v>
      </c>
      <c r="AH1725" s="127">
        <v>15.4131249317878</v>
      </c>
      <c r="AI1725" s="115" t="s">
        <v>12383</v>
      </c>
      <c r="AJ1725" s="116">
        <v>0.57</v>
      </c>
      <c r="AK1725" s="117"/>
      <c r="AL1725" s="117"/>
      <c r="AM1725" s="117"/>
      <c r="AN1725" s="117"/>
      <c r="AO1725" s="117"/>
    </row>
    <row r="1726" ht="34.5" customHeight="1">
      <c r="A1726" s="111">
        <v>2371.0</v>
      </c>
      <c r="B1726" s="111" t="s">
        <v>191</v>
      </c>
      <c r="C1726" s="111" t="s">
        <v>7985</v>
      </c>
      <c r="D1726" s="111">
        <v>2022.0</v>
      </c>
      <c r="E1726" s="111"/>
      <c r="F1726" s="111" t="s">
        <v>12385</v>
      </c>
      <c r="G1726" s="111" t="s">
        <v>12381</v>
      </c>
      <c r="H1726" s="111" t="s">
        <v>12230</v>
      </c>
      <c r="I1726" s="111" t="s">
        <v>12394</v>
      </c>
      <c r="J1726" s="111" t="s">
        <v>12296</v>
      </c>
      <c r="K1726" s="111" t="s">
        <v>30</v>
      </c>
      <c r="L1726" s="111"/>
      <c r="M1726" s="111"/>
      <c r="N1726" s="111"/>
      <c r="O1726" s="111"/>
      <c r="P1726" s="111"/>
      <c r="Q1726" s="111">
        <v>1.0</v>
      </c>
      <c r="R1726" s="111"/>
      <c r="S1726" s="111"/>
      <c r="T1726" s="111"/>
      <c r="U1726" s="111"/>
      <c r="V1726" s="111"/>
      <c r="W1726" s="111"/>
      <c r="X1726" s="111"/>
      <c r="Y1726" s="111"/>
      <c r="Z1726" s="111" t="s">
        <v>12424</v>
      </c>
      <c r="AA1726" s="124">
        <v>2.0</v>
      </c>
      <c r="AB1726" s="125">
        <f>IF(Projects!$AI1726="Electrolysis",
AA1726/VLOOKUP(G1726,ElectrolysisConvF,3,FALSE),
AC1726*10^6/(H2dens*HoursInYear))</f>
        <v>444.4444444</v>
      </c>
      <c r="AC1726" s="126">
        <f t="shared" si="334"/>
        <v>0.3465066667</v>
      </c>
      <c r="AD1726" s="125"/>
      <c r="AE1726" s="125">
        <f t="shared" si="282"/>
        <v>444.4444444</v>
      </c>
      <c r="AF1726" s="127" t="s">
        <v>14642</v>
      </c>
      <c r="AG1726" s="127">
        <v>47.4005800104364</v>
      </c>
      <c r="AH1726" s="127">
        <v>9.32816180963526</v>
      </c>
      <c r="AI1726" s="115" t="s">
        <v>12383</v>
      </c>
      <c r="AJ1726" s="116">
        <v>0.5</v>
      </c>
      <c r="AK1726" s="117"/>
      <c r="AL1726" s="117"/>
      <c r="AM1726" s="117"/>
      <c r="AN1726" s="117"/>
      <c r="AO1726" s="117"/>
    </row>
    <row r="1727" ht="34.5" customHeight="1">
      <c r="A1727" s="111">
        <v>2372.0</v>
      </c>
      <c r="B1727" s="111" t="s">
        <v>9729</v>
      </c>
      <c r="C1727" s="111" t="s">
        <v>7985</v>
      </c>
      <c r="D1727" s="111">
        <v>2024.0</v>
      </c>
      <c r="E1727" s="111"/>
      <c r="F1727" s="111" t="s">
        <v>12393</v>
      </c>
      <c r="G1727" s="111" t="s">
        <v>12381</v>
      </c>
      <c r="H1727" s="111" t="s">
        <v>12230</v>
      </c>
      <c r="I1727" s="111" t="s">
        <v>12406</v>
      </c>
      <c r="J1727" s="111"/>
      <c r="K1727" s="111" t="s">
        <v>30</v>
      </c>
      <c r="L1727" s="111"/>
      <c r="M1727" s="111"/>
      <c r="N1727" s="111"/>
      <c r="O1727" s="111"/>
      <c r="P1727" s="111">
        <v>1.0</v>
      </c>
      <c r="Q1727" s="111"/>
      <c r="R1727" s="111"/>
      <c r="S1727" s="111"/>
      <c r="T1727" s="111"/>
      <c r="U1727" s="111"/>
      <c r="V1727" s="111"/>
      <c r="W1727" s="111"/>
      <c r="X1727" s="111"/>
      <c r="Y1727" s="111"/>
      <c r="Z1727" s="111" t="s">
        <v>14643</v>
      </c>
      <c r="AA1727" s="124">
        <v>2.3</v>
      </c>
      <c r="AB1727" s="125">
        <f>IF(Projects!$AI1727="Electrolysis",
AA1727/VLOOKUP(G1727,ElectrolysisConvF,3,FALSE),
AC1727*10^6/(H2dens*HoursInYear))</f>
        <v>511.1111111</v>
      </c>
      <c r="AC1727" s="126">
        <f t="shared" si="334"/>
        <v>0.3984826667</v>
      </c>
      <c r="AD1727" s="125"/>
      <c r="AE1727" s="125">
        <f t="shared" si="282"/>
        <v>511.1111111</v>
      </c>
      <c r="AF1727" s="127" t="s">
        <v>14644</v>
      </c>
      <c r="AG1727" s="127">
        <v>47.1739693425705</v>
      </c>
      <c r="AH1727" s="127">
        <v>9.4816022236665</v>
      </c>
      <c r="AI1727" s="115" t="s">
        <v>12383</v>
      </c>
      <c r="AJ1727" s="116">
        <v>0.57</v>
      </c>
      <c r="AK1727" s="117"/>
      <c r="AL1727" s="117"/>
      <c r="AM1727" s="117"/>
      <c r="AN1727" s="117"/>
      <c r="AO1727" s="117"/>
    </row>
    <row r="1728" ht="34.5" customHeight="1">
      <c r="A1728" s="111">
        <v>2373.0</v>
      </c>
      <c r="B1728" s="111" t="s">
        <v>365</v>
      </c>
      <c r="C1728" s="111" t="s">
        <v>7991</v>
      </c>
      <c r="D1728" s="111">
        <v>2024.0</v>
      </c>
      <c r="E1728" s="111"/>
      <c r="F1728" s="111" t="s">
        <v>12393</v>
      </c>
      <c r="G1728" s="111" t="s">
        <v>12224</v>
      </c>
      <c r="H1728" s="111"/>
      <c r="I1728" s="111" t="s">
        <v>12394</v>
      </c>
      <c r="J1728" s="111" t="s">
        <v>12292</v>
      </c>
      <c r="K1728" s="111" t="s">
        <v>30</v>
      </c>
      <c r="L1728" s="111"/>
      <c r="M1728" s="111"/>
      <c r="N1728" s="111"/>
      <c r="O1728" s="111"/>
      <c r="P1728" s="111">
        <v>1.0</v>
      </c>
      <c r="Q1728" s="111"/>
      <c r="R1728" s="111"/>
      <c r="S1728" s="111"/>
      <c r="T1728" s="111"/>
      <c r="U1728" s="111"/>
      <c r="V1728" s="111"/>
      <c r="W1728" s="111"/>
      <c r="X1728" s="111"/>
      <c r="Y1728" s="111"/>
      <c r="Z1728" s="111" t="s">
        <v>13332</v>
      </c>
      <c r="AA1728" s="124">
        <v>0.9</v>
      </c>
      <c r="AB1728" s="125">
        <f>IF(Projects!$AI1728="Electrolysis",
AA1728/VLOOKUP(G1728,ElectrolysisConvF,3,FALSE),
AC1728*10^6/(H2dens*HoursInYear))</f>
        <v>195.6521739</v>
      </c>
      <c r="AC1728" s="146">
        <f t="shared" si="334"/>
        <v>0.1525382609</v>
      </c>
      <c r="AD1728" s="125"/>
      <c r="AE1728" s="125">
        <f t="shared" si="282"/>
        <v>195.6521739</v>
      </c>
      <c r="AF1728" s="127" t="s">
        <v>14645</v>
      </c>
      <c r="AG1728" s="127">
        <v>56.6649947228489</v>
      </c>
      <c r="AH1728" s="127">
        <v>-2.52812163682435</v>
      </c>
      <c r="AI1728" s="115" t="s">
        <v>12383</v>
      </c>
      <c r="AJ1728" s="116">
        <v>0.4</v>
      </c>
      <c r="AK1728" s="117"/>
      <c r="AL1728" s="117"/>
      <c r="AM1728" s="117"/>
      <c r="AN1728" s="117"/>
      <c r="AO1728" s="117"/>
    </row>
    <row r="1729" ht="34.5" customHeight="1">
      <c r="A1729" s="111">
        <v>2374.0</v>
      </c>
      <c r="B1729" s="111" t="s">
        <v>9730</v>
      </c>
      <c r="C1729" s="111" t="s">
        <v>8737</v>
      </c>
      <c r="D1729" s="111">
        <v>2033.0</v>
      </c>
      <c r="E1729" s="111"/>
      <c r="F1729" s="111" t="s">
        <v>12399</v>
      </c>
      <c r="G1729" s="111" t="s">
        <v>12241</v>
      </c>
      <c r="H1729" s="111" t="s">
        <v>14646</v>
      </c>
      <c r="I1729" s="111"/>
      <c r="J1729" s="111"/>
      <c r="K1729" s="111" t="s">
        <v>30</v>
      </c>
      <c r="L1729" s="111"/>
      <c r="M1729" s="111"/>
      <c r="N1729" s="111"/>
      <c r="O1729" s="111"/>
      <c r="P1729" s="111"/>
      <c r="Q1729" s="111"/>
      <c r="R1729" s="111"/>
      <c r="S1729" s="111"/>
      <c r="T1729" s="111"/>
      <c r="U1729" s="111"/>
      <c r="V1729" s="111"/>
      <c r="W1729" s="111"/>
      <c r="X1729" s="111"/>
      <c r="Y1729" s="111"/>
      <c r="Z1729" s="111" t="s">
        <v>14647</v>
      </c>
      <c r="AA1729" s="124"/>
      <c r="AB1729" s="125">
        <v>245293.0</v>
      </c>
      <c r="AC1729" s="126">
        <f t="shared" si="334"/>
        <v>191.2402345</v>
      </c>
      <c r="AD1729" s="125"/>
      <c r="AE1729" s="125">
        <f t="shared" si="282"/>
        <v>245293</v>
      </c>
      <c r="AF1729" s="127" t="s">
        <v>14621</v>
      </c>
      <c r="AG1729" s="127">
        <v>10.1559214055513</v>
      </c>
      <c r="AH1729" s="127">
        <v>-74.2511154758471</v>
      </c>
      <c r="AI1729" s="115" t="s">
        <v>12241</v>
      </c>
      <c r="AJ1729" s="116">
        <v>0.9</v>
      </c>
      <c r="AK1729" s="117"/>
      <c r="AL1729" s="117"/>
      <c r="AM1729" s="117"/>
      <c r="AN1729" s="117"/>
      <c r="AO1729" s="117"/>
    </row>
    <row r="1730" ht="34.5" customHeight="1">
      <c r="A1730" s="111">
        <v>2375.0</v>
      </c>
      <c r="B1730" s="111" t="s">
        <v>9731</v>
      </c>
      <c r="C1730" s="111" t="s">
        <v>8737</v>
      </c>
      <c r="D1730" s="111">
        <v>2040.0</v>
      </c>
      <c r="E1730" s="111"/>
      <c r="F1730" s="111" t="s">
        <v>12397</v>
      </c>
      <c r="G1730" s="111" t="s">
        <v>12381</v>
      </c>
      <c r="H1730" s="111" t="s">
        <v>12230</v>
      </c>
      <c r="I1730" s="111" t="s">
        <v>12287</v>
      </c>
      <c r="J1730" s="111"/>
      <c r="K1730" s="111" t="s">
        <v>12481</v>
      </c>
      <c r="L1730" s="111"/>
      <c r="M1730" s="111">
        <v>1.0</v>
      </c>
      <c r="N1730" s="111"/>
      <c r="O1730" s="111"/>
      <c r="P1730" s="111"/>
      <c r="Q1730" s="111"/>
      <c r="R1730" s="111"/>
      <c r="S1730" s="111"/>
      <c r="T1730" s="111"/>
      <c r="U1730" s="111"/>
      <c r="V1730" s="111"/>
      <c r="W1730" s="111"/>
      <c r="X1730" s="111"/>
      <c r="Y1730" s="111"/>
      <c r="Z1730" s="111" t="s">
        <v>14648</v>
      </c>
      <c r="AA1730" s="124">
        <v>3500.0</v>
      </c>
      <c r="AB1730" s="125">
        <f>IF(Projects!$AI1730="Electrolysis",
AA1730/VLOOKUP(G1730,ElectrolysisConvF,3,FALSE),
AC1730*10^6/(H2dens*HoursInYear))</f>
        <v>777777.7778</v>
      </c>
      <c r="AC1730" s="126">
        <f t="shared" si="334"/>
        <v>606.3866667</v>
      </c>
      <c r="AD1730" s="125"/>
      <c r="AE1730" s="125">
        <f t="shared" si="282"/>
        <v>777777.7778</v>
      </c>
      <c r="AF1730" s="127" t="s">
        <v>14621</v>
      </c>
      <c r="AG1730" s="127">
        <v>7.72507505025574</v>
      </c>
      <c r="AH1730" s="127">
        <v>-76.5802170158968</v>
      </c>
      <c r="AI1730" s="115" t="s">
        <v>12383</v>
      </c>
      <c r="AJ1730" s="116">
        <v>0.57</v>
      </c>
      <c r="AK1730" s="117"/>
      <c r="AL1730" s="117"/>
      <c r="AM1730" s="117"/>
      <c r="AN1730" s="117"/>
      <c r="AO1730" s="117"/>
    </row>
    <row r="1731" ht="34.5" customHeight="1">
      <c r="A1731" s="111">
        <v>2376.0</v>
      </c>
      <c r="B1731" s="111" t="s">
        <v>9732</v>
      </c>
      <c r="C1731" s="111" t="s">
        <v>8737</v>
      </c>
      <c r="D1731" s="111">
        <v>2027.0</v>
      </c>
      <c r="E1731" s="111"/>
      <c r="F1731" s="111" t="s">
        <v>12397</v>
      </c>
      <c r="G1731" s="111" t="s">
        <v>12381</v>
      </c>
      <c r="H1731" s="111" t="s">
        <v>12230</v>
      </c>
      <c r="I1731" s="111" t="s">
        <v>12287</v>
      </c>
      <c r="J1731" s="111"/>
      <c r="K1731" s="111" t="s">
        <v>30</v>
      </c>
      <c r="L1731" s="111"/>
      <c r="M1731" s="111"/>
      <c r="N1731" s="111"/>
      <c r="O1731" s="111"/>
      <c r="P1731" s="111"/>
      <c r="Q1731" s="111">
        <v>1.0</v>
      </c>
      <c r="R1731" s="111"/>
      <c r="S1731" s="111"/>
      <c r="T1731" s="111"/>
      <c r="U1731" s="111"/>
      <c r="V1731" s="111"/>
      <c r="W1731" s="111"/>
      <c r="X1731" s="111"/>
      <c r="Y1731" s="111"/>
      <c r="Z1731" s="111" t="s">
        <v>12800</v>
      </c>
      <c r="AA1731" s="124">
        <v>40.0</v>
      </c>
      <c r="AB1731" s="125">
        <f>IF(Projects!$AI1731="Electrolysis",
AA1731/VLOOKUP(G1731,ElectrolysisConvF,3,FALSE),
AC1731*10^6/(H2dens*HoursInYear))</f>
        <v>8888.888889</v>
      </c>
      <c r="AC1731" s="126">
        <f t="shared" si="334"/>
        <v>6.930133333</v>
      </c>
      <c r="AD1731" s="125"/>
      <c r="AE1731" s="125">
        <f t="shared" si="282"/>
        <v>8888.888889</v>
      </c>
      <c r="AF1731" s="127" t="s">
        <v>14621</v>
      </c>
      <c r="AG1731" s="127">
        <v>9.9395649929454</v>
      </c>
      <c r="AH1731" s="127">
        <v>-73.7237717309302</v>
      </c>
      <c r="AI1731" s="115" t="s">
        <v>12383</v>
      </c>
      <c r="AJ1731" s="116">
        <v>0.57</v>
      </c>
      <c r="AK1731" s="117"/>
      <c r="AL1731" s="117"/>
      <c r="AM1731" s="117"/>
      <c r="AN1731" s="117"/>
      <c r="AO1731" s="117"/>
    </row>
    <row r="1732" ht="34.5" customHeight="1">
      <c r="A1732" s="111">
        <v>2377.0</v>
      </c>
      <c r="B1732" s="111" t="s">
        <v>9733</v>
      </c>
      <c r="C1732" s="111" t="s">
        <v>8737</v>
      </c>
      <c r="D1732" s="111">
        <v>2026.0</v>
      </c>
      <c r="E1732" s="111"/>
      <c r="F1732" s="111" t="s">
        <v>12397</v>
      </c>
      <c r="G1732" s="111" t="s">
        <v>12241</v>
      </c>
      <c r="H1732" s="111" t="s">
        <v>14646</v>
      </c>
      <c r="I1732" s="111"/>
      <c r="J1732" s="111"/>
      <c r="K1732" s="111" t="s">
        <v>30</v>
      </c>
      <c r="L1732" s="111"/>
      <c r="M1732" s="111"/>
      <c r="N1732" s="111"/>
      <c r="O1732" s="111"/>
      <c r="P1732" s="111"/>
      <c r="Q1732" s="111">
        <v>1.0</v>
      </c>
      <c r="R1732" s="111"/>
      <c r="S1732" s="111"/>
      <c r="T1732" s="111"/>
      <c r="U1732" s="111"/>
      <c r="V1732" s="111"/>
      <c r="W1732" s="111"/>
      <c r="X1732" s="111"/>
      <c r="Y1732" s="111"/>
      <c r="Z1732" s="111" t="s">
        <v>14649</v>
      </c>
      <c r="AA1732" s="124"/>
      <c r="AB1732" s="125">
        <v>7607.0</v>
      </c>
      <c r="AC1732" s="126">
        <f t="shared" si="334"/>
        <v>5.93072148</v>
      </c>
      <c r="AD1732" s="125"/>
      <c r="AE1732" s="125">
        <f t="shared" si="282"/>
        <v>7607</v>
      </c>
      <c r="AF1732" s="127" t="s">
        <v>14621</v>
      </c>
      <c r="AG1732" s="127">
        <v>8.24730251419912</v>
      </c>
      <c r="AH1732" s="127">
        <v>-75.6134201502158</v>
      </c>
      <c r="AI1732" s="115" t="s">
        <v>12241</v>
      </c>
      <c r="AJ1732" s="116">
        <v>0.9</v>
      </c>
      <c r="AK1732" s="117"/>
      <c r="AL1732" s="117"/>
      <c r="AM1732" s="117"/>
      <c r="AN1732" s="117"/>
      <c r="AO1732" s="117"/>
    </row>
    <row r="1733" ht="34.5" customHeight="1">
      <c r="A1733" s="111">
        <v>2378.0</v>
      </c>
      <c r="B1733" s="111" t="s">
        <v>9734</v>
      </c>
      <c r="C1733" s="111" t="s">
        <v>8737</v>
      </c>
      <c r="D1733" s="111">
        <v>2040.0</v>
      </c>
      <c r="E1733" s="111"/>
      <c r="F1733" s="111" t="s">
        <v>12397</v>
      </c>
      <c r="G1733" s="111" t="s">
        <v>12381</v>
      </c>
      <c r="H1733" s="111" t="s">
        <v>12230</v>
      </c>
      <c r="I1733" s="111" t="s">
        <v>12287</v>
      </c>
      <c r="J1733" s="111"/>
      <c r="K1733" s="111" t="s">
        <v>12481</v>
      </c>
      <c r="L1733" s="111"/>
      <c r="M1733" s="111"/>
      <c r="N1733" s="111"/>
      <c r="O1733" s="111"/>
      <c r="P1733" s="111"/>
      <c r="Q1733" s="111">
        <v>1.0</v>
      </c>
      <c r="R1733" s="111"/>
      <c r="S1733" s="111"/>
      <c r="T1733" s="111"/>
      <c r="U1733" s="111"/>
      <c r="V1733" s="111"/>
      <c r="W1733" s="111"/>
      <c r="X1733" s="111"/>
      <c r="Y1733" s="111"/>
      <c r="Z1733" s="111" t="s">
        <v>14650</v>
      </c>
      <c r="AA1733" s="124">
        <v>2300.0</v>
      </c>
      <c r="AB1733" s="125">
        <f>IF(Projects!$AI1733="Electrolysis",
AA1733/VLOOKUP(G1733,ElectrolysisConvF,3,FALSE),
AC1733*10^6/(H2dens*HoursInYear))</f>
        <v>511111.1111</v>
      </c>
      <c r="AC1733" s="126">
        <f t="shared" si="334"/>
        <v>398.4826667</v>
      </c>
      <c r="AD1733" s="125"/>
      <c r="AE1733" s="125">
        <f t="shared" si="282"/>
        <v>511111.1111</v>
      </c>
      <c r="AF1733" s="127" t="s">
        <v>14621</v>
      </c>
      <c r="AG1733" s="127">
        <v>8.50678901075562</v>
      </c>
      <c r="AH1733" s="127">
        <v>-74.7706688360509</v>
      </c>
      <c r="AI1733" s="115" t="s">
        <v>12383</v>
      </c>
      <c r="AJ1733" s="116">
        <v>0.57</v>
      </c>
      <c r="AK1733" s="117"/>
      <c r="AL1733" s="117"/>
      <c r="AM1733" s="117"/>
      <c r="AN1733" s="117"/>
      <c r="AO1733" s="117"/>
    </row>
    <row r="1734" ht="34.5" customHeight="1">
      <c r="A1734" s="111">
        <v>2379.0</v>
      </c>
      <c r="B1734" s="111" t="s">
        <v>9731</v>
      </c>
      <c r="C1734" s="111" t="s">
        <v>8737</v>
      </c>
      <c r="D1734" s="111">
        <v>2030.0</v>
      </c>
      <c r="E1734" s="111"/>
      <c r="F1734" s="111" t="s">
        <v>12397</v>
      </c>
      <c r="G1734" s="111" t="s">
        <v>12226</v>
      </c>
      <c r="H1734" s="111"/>
      <c r="I1734" s="111" t="s">
        <v>12406</v>
      </c>
      <c r="J1734" s="111"/>
      <c r="K1734" s="111" t="s">
        <v>174</v>
      </c>
      <c r="L1734" s="111"/>
      <c r="M1734" s="111">
        <v>1.0</v>
      </c>
      <c r="N1734" s="111"/>
      <c r="O1734" s="111"/>
      <c r="P1734" s="111">
        <v>1.0</v>
      </c>
      <c r="Q1734" s="111"/>
      <c r="R1734" s="111">
        <v>1.0</v>
      </c>
      <c r="S1734" s="111"/>
      <c r="T1734" s="111"/>
      <c r="U1734" s="111"/>
      <c r="V1734" s="111"/>
      <c r="W1734" s="111"/>
      <c r="X1734" s="111"/>
      <c r="Y1734" s="111"/>
      <c r="Z1734" s="111" t="s">
        <v>13776</v>
      </c>
      <c r="AA1734" s="124">
        <v>120.0</v>
      </c>
      <c r="AB1734" s="125">
        <f>IF(Projects!$AI1734="Electrolysis",
AA1734/VLOOKUP(G1734,ElectrolysisConvF,3,FALSE),
AC1734*10^6/(H2dens*HoursInYear))</f>
        <v>23076.92308</v>
      </c>
      <c r="AC1734" s="126">
        <f t="shared" si="334"/>
        <v>17.99169231</v>
      </c>
      <c r="AD1734" s="125"/>
      <c r="AE1734" s="125">
        <f t="shared" si="282"/>
        <v>23076.92308</v>
      </c>
      <c r="AF1734" s="127" t="s">
        <v>14621</v>
      </c>
      <c r="AG1734" s="127">
        <v>8.24730251419912</v>
      </c>
      <c r="AH1734" s="127">
        <v>-76.5802170158968</v>
      </c>
      <c r="AI1734" s="115" t="s">
        <v>12383</v>
      </c>
      <c r="AJ1734" s="116">
        <v>0.57</v>
      </c>
      <c r="AK1734" s="117"/>
      <c r="AL1734" s="117"/>
      <c r="AM1734" s="117"/>
      <c r="AN1734" s="117"/>
      <c r="AO1734" s="117"/>
    </row>
    <row r="1735" ht="34.5" customHeight="1">
      <c r="A1735" s="111">
        <v>2381.0</v>
      </c>
      <c r="B1735" s="111" t="s">
        <v>9735</v>
      </c>
      <c r="C1735" s="111" t="s">
        <v>8011</v>
      </c>
      <c r="D1735" s="111">
        <v>2027.0</v>
      </c>
      <c r="E1735" s="111"/>
      <c r="F1735" s="111" t="s">
        <v>12399</v>
      </c>
      <c r="G1735" s="111" t="s">
        <v>12381</v>
      </c>
      <c r="H1735" s="111" t="s">
        <v>12230</v>
      </c>
      <c r="I1735" s="111" t="s">
        <v>12287</v>
      </c>
      <c r="J1735" s="111"/>
      <c r="K1735" s="111" t="s">
        <v>30</v>
      </c>
      <c r="L1735" s="111">
        <v>1.0</v>
      </c>
      <c r="M1735" s="111"/>
      <c r="N1735" s="111"/>
      <c r="O1735" s="111">
        <v>1.0</v>
      </c>
      <c r="P1735" s="111">
        <v>1.0</v>
      </c>
      <c r="Q1735" s="111"/>
      <c r="R1735" s="111"/>
      <c r="S1735" s="111"/>
      <c r="T1735" s="111"/>
      <c r="U1735" s="111"/>
      <c r="V1735" s="111"/>
      <c r="W1735" s="111"/>
      <c r="X1735" s="111"/>
      <c r="Y1735" s="111"/>
      <c r="Z1735" s="111" t="s">
        <v>13006</v>
      </c>
      <c r="AA1735" s="124">
        <v>100.0</v>
      </c>
      <c r="AB1735" s="125">
        <f>IF(Projects!$AI1735="Electrolysis",
AA1735/VLOOKUP(G1735,ElectrolysisConvF,3,FALSE),
AC1735*10^6/(H2dens*HoursInYear))</f>
        <v>22222.22222</v>
      </c>
      <c r="AC1735" s="126">
        <f t="shared" si="334"/>
        <v>17.32533333</v>
      </c>
      <c r="AD1735" s="125"/>
      <c r="AE1735" s="125">
        <f t="shared" si="282"/>
        <v>22222.22222</v>
      </c>
      <c r="AF1735" s="127" t="s">
        <v>13748</v>
      </c>
      <c r="AG1735" s="127">
        <v>43.4168522123239</v>
      </c>
      <c r="AH1735" s="127">
        <v>4.83439803488868</v>
      </c>
      <c r="AI1735" s="115" t="s">
        <v>12383</v>
      </c>
      <c r="AJ1735" s="116">
        <v>0.57</v>
      </c>
      <c r="AK1735" s="117"/>
      <c r="AL1735" s="117"/>
      <c r="AM1735" s="117"/>
      <c r="AN1735" s="117"/>
      <c r="AO1735" s="117"/>
    </row>
    <row r="1736" ht="34.5" customHeight="1">
      <c r="A1736" s="111">
        <v>2382.0</v>
      </c>
      <c r="B1736" s="111" t="s">
        <v>9736</v>
      </c>
      <c r="C1736" s="111" t="s">
        <v>8011</v>
      </c>
      <c r="D1736" s="111">
        <v>2028.0</v>
      </c>
      <c r="E1736" s="111"/>
      <c r="F1736" s="111" t="s">
        <v>12399</v>
      </c>
      <c r="G1736" s="111" t="s">
        <v>12381</v>
      </c>
      <c r="H1736" s="111" t="s">
        <v>12230</v>
      </c>
      <c r="I1736" s="111" t="s">
        <v>12287</v>
      </c>
      <c r="J1736" s="111"/>
      <c r="K1736" s="111" t="s">
        <v>30</v>
      </c>
      <c r="L1736" s="111">
        <v>1.0</v>
      </c>
      <c r="M1736" s="111"/>
      <c r="N1736" s="111"/>
      <c r="O1736" s="111">
        <v>1.0</v>
      </c>
      <c r="P1736" s="111">
        <v>1.0</v>
      </c>
      <c r="Q1736" s="111"/>
      <c r="R1736" s="111"/>
      <c r="S1736" s="111"/>
      <c r="T1736" s="111"/>
      <c r="U1736" s="111"/>
      <c r="V1736" s="111"/>
      <c r="W1736" s="111"/>
      <c r="X1736" s="111"/>
      <c r="Y1736" s="111"/>
      <c r="Z1736" s="111" t="s">
        <v>12991</v>
      </c>
      <c r="AA1736" s="124">
        <v>100.0</v>
      </c>
      <c r="AB1736" s="125">
        <f>IF(Projects!$AI1736="Electrolysis",
AA1736/VLOOKUP(G1736,ElectrolysisConvF,3,FALSE),
AC1736*10^6/(H2dens*HoursInYear))</f>
        <v>22222.22222</v>
      </c>
      <c r="AC1736" s="126">
        <f t="shared" si="334"/>
        <v>17.32533333</v>
      </c>
      <c r="AD1736" s="125"/>
      <c r="AE1736" s="125">
        <f t="shared" si="282"/>
        <v>22222.22222</v>
      </c>
      <c r="AF1736" s="127" t="s">
        <v>13748</v>
      </c>
      <c r="AG1736" s="127">
        <v>43.4168522123239</v>
      </c>
      <c r="AH1736" s="127">
        <v>4.83439803488868</v>
      </c>
      <c r="AI1736" s="115" t="s">
        <v>12383</v>
      </c>
      <c r="AJ1736" s="116">
        <v>0.57</v>
      </c>
      <c r="AK1736" s="117"/>
      <c r="AL1736" s="117"/>
      <c r="AM1736" s="117"/>
      <c r="AN1736" s="117"/>
      <c r="AO1736" s="117"/>
    </row>
    <row r="1737" ht="34.5" customHeight="1">
      <c r="A1737" s="111">
        <v>2383.0</v>
      </c>
      <c r="B1737" s="111" t="s">
        <v>9737</v>
      </c>
      <c r="C1737" s="111" t="s">
        <v>8011</v>
      </c>
      <c r="D1737" s="111">
        <v>2029.0</v>
      </c>
      <c r="E1737" s="111"/>
      <c r="F1737" s="111" t="s">
        <v>12399</v>
      </c>
      <c r="G1737" s="111" t="s">
        <v>12381</v>
      </c>
      <c r="H1737" s="111" t="s">
        <v>12230</v>
      </c>
      <c r="I1737" s="111" t="s">
        <v>12287</v>
      </c>
      <c r="J1737" s="111"/>
      <c r="K1737" s="111" t="s">
        <v>30</v>
      </c>
      <c r="L1737" s="111">
        <v>1.0</v>
      </c>
      <c r="M1737" s="111"/>
      <c r="N1737" s="111"/>
      <c r="O1737" s="111">
        <v>1.0</v>
      </c>
      <c r="P1737" s="111">
        <v>1.0</v>
      </c>
      <c r="Q1737" s="111"/>
      <c r="R1737" s="111"/>
      <c r="S1737" s="111"/>
      <c r="T1737" s="111"/>
      <c r="U1737" s="111"/>
      <c r="V1737" s="111"/>
      <c r="W1737" s="111"/>
      <c r="X1737" s="111"/>
      <c r="Y1737" s="111"/>
      <c r="Z1737" s="111" t="s">
        <v>13675</v>
      </c>
      <c r="AA1737" s="124">
        <v>100.0</v>
      </c>
      <c r="AB1737" s="125">
        <f>IF(Projects!$AI1737="Electrolysis",
AA1737/VLOOKUP(G1737,ElectrolysisConvF,3,FALSE),
AC1737*10^6/(H2dens*HoursInYear))</f>
        <v>22222.22222</v>
      </c>
      <c r="AC1737" s="126">
        <f t="shared" si="334"/>
        <v>17.32533333</v>
      </c>
      <c r="AD1737" s="125"/>
      <c r="AE1737" s="125">
        <f t="shared" si="282"/>
        <v>22222.22222</v>
      </c>
      <c r="AF1737" s="127" t="s">
        <v>13748</v>
      </c>
      <c r="AG1737" s="127">
        <v>43.4168522123239</v>
      </c>
      <c r="AH1737" s="127">
        <v>4.83439803488868</v>
      </c>
      <c r="AI1737" s="115" t="s">
        <v>12383</v>
      </c>
      <c r="AJ1737" s="116">
        <v>0.57</v>
      </c>
      <c r="AK1737" s="117"/>
      <c r="AL1737" s="117"/>
      <c r="AM1737" s="117"/>
      <c r="AN1737" s="117"/>
      <c r="AO1737" s="117"/>
    </row>
    <row r="1738" ht="34.5" customHeight="1">
      <c r="A1738" s="111">
        <v>2384.0</v>
      </c>
      <c r="B1738" s="111" t="s">
        <v>9738</v>
      </c>
      <c r="C1738" s="111" t="s">
        <v>8011</v>
      </c>
      <c r="D1738" s="111">
        <v>2030.0</v>
      </c>
      <c r="E1738" s="111"/>
      <c r="F1738" s="111" t="s">
        <v>12399</v>
      </c>
      <c r="G1738" s="111" t="s">
        <v>12381</v>
      </c>
      <c r="H1738" s="111" t="s">
        <v>12230</v>
      </c>
      <c r="I1738" s="111" t="s">
        <v>12287</v>
      </c>
      <c r="J1738" s="111"/>
      <c r="K1738" s="111" t="s">
        <v>30</v>
      </c>
      <c r="L1738" s="111">
        <v>1.0</v>
      </c>
      <c r="M1738" s="111"/>
      <c r="N1738" s="111"/>
      <c r="O1738" s="111">
        <v>1.0</v>
      </c>
      <c r="P1738" s="111">
        <v>1.0</v>
      </c>
      <c r="Q1738" s="111"/>
      <c r="R1738" s="111"/>
      <c r="S1738" s="111"/>
      <c r="T1738" s="111"/>
      <c r="U1738" s="111"/>
      <c r="V1738" s="111"/>
      <c r="W1738" s="111"/>
      <c r="X1738" s="111"/>
      <c r="Y1738" s="111"/>
      <c r="Z1738" s="111" t="s">
        <v>13069</v>
      </c>
      <c r="AA1738" s="124">
        <v>100.0</v>
      </c>
      <c r="AB1738" s="125">
        <f>IF(Projects!$AI1738="Electrolysis",
AA1738/VLOOKUP(G1738,ElectrolysisConvF,3,FALSE),
AC1738*10^6/(H2dens*HoursInYear))</f>
        <v>22222.22222</v>
      </c>
      <c r="AC1738" s="126">
        <f t="shared" si="334"/>
        <v>17.32533333</v>
      </c>
      <c r="AD1738" s="125"/>
      <c r="AE1738" s="125">
        <f t="shared" si="282"/>
        <v>22222.22222</v>
      </c>
      <c r="AF1738" s="127" t="s">
        <v>13748</v>
      </c>
      <c r="AG1738" s="127">
        <v>43.4168522123239</v>
      </c>
      <c r="AH1738" s="127">
        <v>4.83439803488868</v>
      </c>
      <c r="AI1738" s="115" t="s">
        <v>12383</v>
      </c>
      <c r="AJ1738" s="116">
        <v>0.57</v>
      </c>
      <c r="AK1738" s="117"/>
      <c r="AL1738" s="117"/>
      <c r="AM1738" s="117"/>
      <c r="AN1738" s="117"/>
      <c r="AO1738" s="117"/>
    </row>
    <row r="1739" ht="34.5" customHeight="1">
      <c r="A1739" s="111">
        <v>2385.0</v>
      </c>
      <c r="B1739" s="111" t="s">
        <v>9739</v>
      </c>
      <c r="C1739" s="111" t="s">
        <v>8011</v>
      </c>
      <c r="D1739" s="111">
        <v>2030.0</v>
      </c>
      <c r="E1739" s="111"/>
      <c r="F1739" s="111" t="s">
        <v>12397</v>
      </c>
      <c r="G1739" s="111" t="s">
        <v>12381</v>
      </c>
      <c r="H1739" s="111" t="s">
        <v>12230</v>
      </c>
      <c r="I1739" s="111" t="s">
        <v>12406</v>
      </c>
      <c r="J1739" s="111"/>
      <c r="K1739" s="111" t="s">
        <v>30</v>
      </c>
      <c r="L1739" s="111"/>
      <c r="M1739" s="111"/>
      <c r="N1739" s="111"/>
      <c r="O1739" s="111"/>
      <c r="P1739" s="111"/>
      <c r="Q1739" s="111"/>
      <c r="R1739" s="111"/>
      <c r="S1739" s="111"/>
      <c r="T1739" s="111"/>
      <c r="U1739" s="111"/>
      <c r="V1739" s="111"/>
      <c r="W1739" s="111"/>
      <c r="X1739" s="111"/>
      <c r="Y1739" s="111"/>
      <c r="Z1739" s="111" t="s">
        <v>13098</v>
      </c>
      <c r="AA1739" s="124">
        <v>20.0</v>
      </c>
      <c r="AB1739" s="125">
        <f>IF(Projects!$AI1739="Electrolysis",
AA1739/VLOOKUP(G1739,ElectrolysisConvF,3,FALSE),
AC1739*10^6/(H2dens*HoursInYear))</f>
        <v>4444.444444</v>
      </c>
      <c r="AC1739" s="126">
        <f t="shared" si="334"/>
        <v>3.465066667</v>
      </c>
      <c r="AD1739" s="125"/>
      <c r="AE1739" s="125">
        <f t="shared" si="282"/>
        <v>4444.444444</v>
      </c>
      <c r="AF1739" s="127"/>
      <c r="AG1739" s="127">
        <v>45.702181</v>
      </c>
      <c r="AH1739" s="127">
        <v>4.844148</v>
      </c>
      <c r="AI1739" s="115" t="s">
        <v>12383</v>
      </c>
      <c r="AJ1739" s="116">
        <v>0.57</v>
      </c>
      <c r="AK1739" s="117"/>
      <c r="AL1739" s="117"/>
      <c r="AM1739" s="117"/>
      <c r="AN1739" s="117"/>
      <c r="AO1739" s="117"/>
    </row>
    <row r="1740" ht="34.5" customHeight="1">
      <c r="A1740" s="111">
        <v>2386.0</v>
      </c>
      <c r="B1740" s="111" t="s">
        <v>9740</v>
      </c>
      <c r="C1740" s="111" t="s">
        <v>8011</v>
      </c>
      <c r="D1740" s="111">
        <v>2027.0</v>
      </c>
      <c r="E1740" s="111"/>
      <c r="F1740" s="111" t="s">
        <v>12393</v>
      </c>
      <c r="G1740" s="111" t="s">
        <v>12224</v>
      </c>
      <c r="H1740" s="111"/>
      <c r="I1740" s="111" t="s">
        <v>12406</v>
      </c>
      <c r="J1740" s="111"/>
      <c r="K1740" s="111" t="s">
        <v>30</v>
      </c>
      <c r="L1740" s="111"/>
      <c r="M1740" s="111"/>
      <c r="N1740" s="111"/>
      <c r="O1740" s="111"/>
      <c r="P1740" s="111"/>
      <c r="Q1740" s="111">
        <v>1.0</v>
      </c>
      <c r="R1740" s="111"/>
      <c r="S1740" s="111"/>
      <c r="T1740" s="111"/>
      <c r="U1740" s="111"/>
      <c r="V1740" s="111"/>
      <c r="W1740" s="111"/>
      <c r="X1740" s="111"/>
      <c r="Y1740" s="111"/>
      <c r="Z1740" s="111" t="s">
        <v>12424</v>
      </c>
      <c r="AA1740" s="124">
        <v>2.0</v>
      </c>
      <c r="AB1740" s="125">
        <f>IF(Projects!$AI1740="Electrolysis",
AA1740/VLOOKUP(G1740,ElectrolysisConvF,3,FALSE),
AC1740*10^6/(H2dens*HoursInYear))</f>
        <v>434.7826087</v>
      </c>
      <c r="AC1740" s="126">
        <f t="shared" si="334"/>
        <v>0.338973913</v>
      </c>
      <c r="AD1740" s="125"/>
      <c r="AE1740" s="125">
        <f t="shared" si="282"/>
        <v>434.7826087</v>
      </c>
      <c r="AF1740" s="127" t="s">
        <v>14651</v>
      </c>
      <c r="AG1740" s="127">
        <v>47.319832054</v>
      </c>
      <c r="AH1740" s="127">
        <v>5.038166514</v>
      </c>
      <c r="AI1740" s="115" t="s">
        <v>12383</v>
      </c>
      <c r="AJ1740" s="116">
        <v>0.57</v>
      </c>
      <c r="AK1740" s="117"/>
      <c r="AL1740" s="117"/>
      <c r="AM1740" s="117"/>
      <c r="AN1740" s="117"/>
      <c r="AO1740" s="117"/>
    </row>
    <row r="1741" ht="34.5" customHeight="1">
      <c r="A1741" s="111">
        <v>2387.0</v>
      </c>
      <c r="B1741" s="111" t="s">
        <v>9741</v>
      </c>
      <c r="C1741" s="111" t="s">
        <v>8011</v>
      </c>
      <c r="D1741" s="111">
        <v>2024.0</v>
      </c>
      <c r="E1741" s="111"/>
      <c r="F1741" s="111" t="s">
        <v>12385</v>
      </c>
      <c r="G1741" s="111" t="s">
        <v>12224</v>
      </c>
      <c r="H1741" s="111"/>
      <c r="I1741" s="111" t="s">
        <v>12406</v>
      </c>
      <c r="J1741" s="111"/>
      <c r="K1741" s="111" t="s">
        <v>30</v>
      </c>
      <c r="L1741" s="111"/>
      <c r="M1741" s="111"/>
      <c r="N1741" s="111"/>
      <c r="O1741" s="111"/>
      <c r="P1741" s="111"/>
      <c r="Q1741" s="111">
        <v>1.0</v>
      </c>
      <c r="R1741" s="111"/>
      <c r="S1741" s="111"/>
      <c r="T1741" s="111"/>
      <c r="U1741" s="111"/>
      <c r="V1741" s="111"/>
      <c r="W1741" s="111"/>
      <c r="X1741" s="111"/>
      <c r="Y1741" s="111"/>
      <c r="Z1741" s="111" t="s">
        <v>12720</v>
      </c>
      <c r="AA1741" s="124">
        <v>1.0</v>
      </c>
      <c r="AB1741" s="125">
        <f>IF(Projects!$AI1741="Electrolysis",
AA1741/VLOOKUP(G1741,ElectrolysisConvF,3,FALSE),
AC1741*10^6/(H2dens*HoursInYear))</f>
        <v>217.3913043</v>
      </c>
      <c r="AC1741" s="126">
        <f t="shared" si="334"/>
        <v>0.1694869565</v>
      </c>
      <c r="AD1741" s="125"/>
      <c r="AE1741" s="125">
        <f t="shared" si="282"/>
        <v>217.3913043</v>
      </c>
      <c r="AF1741" s="127" t="s">
        <v>13750</v>
      </c>
      <c r="AG1741" s="127">
        <v>47.6192450919772</v>
      </c>
      <c r="AH1741" s="127">
        <v>6.86503785248722</v>
      </c>
      <c r="AI1741" s="115" t="s">
        <v>12383</v>
      </c>
      <c r="AJ1741" s="116">
        <v>0.57</v>
      </c>
      <c r="AK1741" s="117"/>
      <c r="AL1741" s="117"/>
      <c r="AM1741" s="117"/>
      <c r="AN1741" s="117"/>
      <c r="AO1741" s="117"/>
    </row>
    <row r="1742" ht="34.5" customHeight="1">
      <c r="A1742" s="111">
        <v>2389.0</v>
      </c>
      <c r="B1742" s="111" t="s">
        <v>9742</v>
      </c>
      <c r="C1742" s="111" t="s">
        <v>8011</v>
      </c>
      <c r="D1742" s="111">
        <v>2026.0</v>
      </c>
      <c r="E1742" s="111"/>
      <c r="F1742" s="111" t="s">
        <v>12397</v>
      </c>
      <c r="G1742" s="111" t="s">
        <v>12381</v>
      </c>
      <c r="H1742" s="111" t="s">
        <v>12230</v>
      </c>
      <c r="I1742" s="111" t="s">
        <v>12287</v>
      </c>
      <c r="J1742" s="111"/>
      <c r="K1742" s="111" t="s">
        <v>30</v>
      </c>
      <c r="L1742" s="111"/>
      <c r="M1742" s="111"/>
      <c r="N1742" s="111"/>
      <c r="O1742" s="111"/>
      <c r="P1742" s="111">
        <v>1.0</v>
      </c>
      <c r="Q1742" s="111">
        <v>1.0</v>
      </c>
      <c r="R1742" s="111"/>
      <c r="S1742" s="111"/>
      <c r="T1742" s="111"/>
      <c r="U1742" s="111"/>
      <c r="V1742" s="111"/>
      <c r="W1742" s="111"/>
      <c r="X1742" s="111"/>
      <c r="Y1742" s="111"/>
      <c r="Z1742" s="111" t="s">
        <v>12703</v>
      </c>
      <c r="AA1742" s="124">
        <v>10.0</v>
      </c>
      <c r="AB1742" s="125">
        <f>IF(Projects!$AI1742="Electrolysis",
AA1742/VLOOKUP(G1742,ElectrolysisConvF,3,FALSE),
AC1742*10^6/(H2dens*HoursInYear))</f>
        <v>2222.222222</v>
      </c>
      <c r="AC1742" s="126">
        <f t="shared" si="334"/>
        <v>1.732533333</v>
      </c>
      <c r="AD1742" s="125"/>
      <c r="AE1742" s="125">
        <f t="shared" si="282"/>
        <v>2222.222222</v>
      </c>
      <c r="AF1742" s="127" t="s">
        <v>14652</v>
      </c>
      <c r="AG1742" s="127">
        <v>48.405691949255</v>
      </c>
      <c r="AH1742" s="127">
        <v>-4.07693310946807</v>
      </c>
      <c r="AI1742" s="115" t="s">
        <v>12383</v>
      </c>
      <c r="AJ1742" s="116">
        <v>0.57</v>
      </c>
      <c r="AK1742" s="117"/>
      <c r="AL1742" s="117"/>
      <c r="AM1742" s="117"/>
      <c r="AN1742" s="117"/>
      <c r="AO1742" s="117"/>
    </row>
    <row r="1743" ht="34.5" customHeight="1">
      <c r="A1743" s="111">
        <v>2390.0</v>
      </c>
      <c r="B1743" s="111" t="s">
        <v>9743</v>
      </c>
      <c r="C1743" s="111" t="s">
        <v>8011</v>
      </c>
      <c r="D1743" s="111">
        <v>2026.0</v>
      </c>
      <c r="E1743" s="111"/>
      <c r="F1743" s="111" t="s">
        <v>12397</v>
      </c>
      <c r="G1743" s="111" t="s">
        <v>12381</v>
      </c>
      <c r="H1743" s="111" t="s">
        <v>12230</v>
      </c>
      <c r="I1743" s="111" t="s">
        <v>12287</v>
      </c>
      <c r="J1743" s="111"/>
      <c r="K1743" s="111" t="s">
        <v>30</v>
      </c>
      <c r="L1743" s="111"/>
      <c r="M1743" s="111"/>
      <c r="N1743" s="111"/>
      <c r="O1743" s="111"/>
      <c r="P1743" s="111">
        <v>1.0</v>
      </c>
      <c r="Q1743" s="111">
        <v>1.0</v>
      </c>
      <c r="R1743" s="111"/>
      <c r="S1743" s="111"/>
      <c r="T1743" s="111"/>
      <c r="U1743" s="111"/>
      <c r="V1743" s="111"/>
      <c r="W1743" s="111"/>
      <c r="X1743" s="111"/>
      <c r="Y1743" s="111"/>
      <c r="Z1743" s="111" t="s">
        <v>12703</v>
      </c>
      <c r="AA1743" s="124">
        <v>10.0</v>
      </c>
      <c r="AB1743" s="125">
        <f>IF(Projects!$AI1743="Electrolysis",
AA1743/VLOOKUP(G1743,ElectrolysisConvF,3,FALSE),
AC1743*10^6/(H2dens*HoursInYear))</f>
        <v>2222.222222</v>
      </c>
      <c r="AC1743" s="126">
        <f t="shared" si="334"/>
        <v>1.732533333</v>
      </c>
      <c r="AD1743" s="125"/>
      <c r="AE1743" s="125">
        <f t="shared" si="282"/>
        <v>2222.222222</v>
      </c>
      <c r="AF1743" s="127" t="s">
        <v>14653</v>
      </c>
      <c r="AG1743" s="127">
        <v>48.0836368723819</v>
      </c>
      <c r="AH1743" s="127">
        <v>-2.28161249841114</v>
      </c>
      <c r="AI1743" s="115" t="s">
        <v>12383</v>
      </c>
      <c r="AJ1743" s="116">
        <v>0.57</v>
      </c>
      <c r="AK1743" s="117"/>
      <c r="AL1743" s="117"/>
      <c r="AM1743" s="117"/>
      <c r="AN1743" s="117"/>
      <c r="AO1743" s="117"/>
    </row>
    <row r="1744" ht="34.5" customHeight="1">
      <c r="A1744" s="111">
        <v>2391.0</v>
      </c>
      <c r="B1744" s="111" t="s">
        <v>9744</v>
      </c>
      <c r="C1744" s="111" t="s">
        <v>8011</v>
      </c>
      <c r="D1744" s="111">
        <v>2025.0</v>
      </c>
      <c r="E1744" s="111"/>
      <c r="F1744" s="111" t="s">
        <v>12399</v>
      </c>
      <c r="G1744" s="111" t="s">
        <v>12381</v>
      </c>
      <c r="H1744" s="111" t="s">
        <v>12230</v>
      </c>
      <c r="I1744" s="111" t="s">
        <v>12406</v>
      </c>
      <c r="J1744" s="111"/>
      <c r="K1744" s="111" t="s">
        <v>30</v>
      </c>
      <c r="L1744" s="111"/>
      <c r="M1744" s="111"/>
      <c r="N1744" s="111"/>
      <c r="O1744" s="111"/>
      <c r="P1744" s="111"/>
      <c r="Q1744" s="111">
        <v>1.0</v>
      </c>
      <c r="R1744" s="111"/>
      <c r="S1744" s="111"/>
      <c r="T1744" s="111"/>
      <c r="U1744" s="111"/>
      <c r="V1744" s="111"/>
      <c r="W1744" s="111"/>
      <c r="X1744" s="111"/>
      <c r="Y1744" s="111"/>
      <c r="Z1744" s="111" t="s">
        <v>12589</v>
      </c>
      <c r="AA1744" s="124">
        <v>20.0</v>
      </c>
      <c r="AB1744" s="125">
        <f>IF(Projects!$AI1744="Electrolysis",
AA1744/VLOOKUP(G1744,ElectrolysisConvF,3,FALSE),
AC1744*10^6/(H2dens*HoursInYear))</f>
        <v>4444.444444</v>
      </c>
      <c r="AC1744" s="126">
        <f t="shared" si="334"/>
        <v>3.465066667</v>
      </c>
      <c r="AD1744" s="125"/>
      <c r="AE1744" s="125">
        <f t="shared" si="282"/>
        <v>4444.444444</v>
      </c>
      <c r="AF1744" s="127" t="s">
        <v>14654</v>
      </c>
      <c r="AG1744" s="127">
        <v>42.4300677199898</v>
      </c>
      <c r="AH1744" s="127">
        <v>9.20102326089924</v>
      </c>
      <c r="AI1744" s="115" t="s">
        <v>12383</v>
      </c>
      <c r="AJ1744" s="116">
        <v>0.57</v>
      </c>
      <c r="AK1744" s="117"/>
      <c r="AL1744" s="117"/>
      <c r="AM1744" s="117"/>
      <c r="AN1744" s="117"/>
      <c r="AO1744" s="117"/>
    </row>
    <row r="1745" ht="34.5" customHeight="1">
      <c r="A1745" s="111">
        <v>2392.0</v>
      </c>
      <c r="B1745" s="111" t="s">
        <v>9745</v>
      </c>
      <c r="C1745" s="111" t="s">
        <v>8011</v>
      </c>
      <c r="D1745" s="111">
        <v>2025.0</v>
      </c>
      <c r="E1745" s="111"/>
      <c r="F1745" s="111" t="s">
        <v>12397</v>
      </c>
      <c r="G1745" s="111" t="s">
        <v>12381</v>
      </c>
      <c r="H1745" s="111" t="s">
        <v>12230</v>
      </c>
      <c r="I1745" s="111" t="s">
        <v>12759</v>
      </c>
      <c r="J1745" s="111" t="s">
        <v>12291</v>
      </c>
      <c r="K1745" s="111" t="s">
        <v>30</v>
      </c>
      <c r="L1745" s="111"/>
      <c r="M1745" s="111"/>
      <c r="N1745" s="111"/>
      <c r="O1745" s="111"/>
      <c r="P1745" s="111"/>
      <c r="Q1745" s="111">
        <v>1.0</v>
      </c>
      <c r="R1745" s="111"/>
      <c r="S1745" s="111">
        <v>1.0</v>
      </c>
      <c r="T1745" s="111"/>
      <c r="U1745" s="111">
        <v>1.0</v>
      </c>
      <c r="V1745" s="111"/>
      <c r="W1745" s="111"/>
      <c r="X1745" s="111"/>
      <c r="Y1745" s="111"/>
      <c r="Z1745" s="111" t="s">
        <v>12835</v>
      </c>
      <c r="AA1745" s="124">
        <v>5.0</v>
      </c>
      <c r="AB1745" s="125">
        <f>IF(Projects!$AI1745="Electrolysis",
AA1745/VLOOKUP(G1745,ElectrolysisConvF,3,FALSE),
AC1745*10^6/(H2dens*HoursInYear))</f>
        <v>1111.111111</v>
      </c>
      <c r="AC1745" s="126">
        <f t="shared" si="334"/>
        <v>0.8662666667</v>
      </c>
      <c r="AD1745" s="125"/>
      <c r="AE1745" s="125">
        <f t="shared" si="282"/>
        <v>1111.111111</v>
      </c>
      <c r="AF1745" s="127" t="s">
        <v>14655</v>
      </c>
      <c r="AG1745" s="127">
        <v>41.9204141021491</v>
      </c>
      <c r="AH1745" s="127">
        <v>8.73707223139806</v>
      </c>
      <c r="AI1745" s="115" t="s">
        <v>12383</v>
      </c>
      <c r="AJ1745" s="116">
        <v>0.7</v>
      </c>
      <c r="AK1745" s="117"/>
      <c r="AL1745" s="117"/>
      <c r="AM1745" s="117"/>
      <c r="AN1745" s="117"/>
      <c r="AO1745" s="117"/>
    </row>
    <row r="1746" ht="34.5" customHeight="1">
      <c r="A1746" s="111">
        <v>2393.0</v>
      </c>
      <c r="B1746" s="111" t="s">
        <v>9746</v>
      </c>
      <c r="C1746" s="111" t="s">
        <v>8011</v>
      </c>
      <c r="D1746" s="111">
        <v>2025.0</v>
      </c>
      <c r="E1746" s="111"/>
      <c r="F1746" s="111" t="s">
        <v>12397</v>
      </c>
      <c r="G1746" s="111" t="s">
        <v>12381</v>
      </c>
      <c r="H1746" s="111" t="s">
        <v>12230</v>
      </c>
      <c r="I1746" s="111" t="s">
        <v>12394</v>
      </c>
      <c r="J1746" s="111" t="s">
        <v>12291</v>
      </c>
      <c r="K1746" s="111" t="s">
        <v>30</v>
      </c>
      <c r="L1746" s="111"/>
      <c r="M1746" s="111"/>
      <c r="N1746" s="111"/>
      <c r="O1746" s="111"/>
      <c r="P1746" s="111"/>
      <c r="Q1746" s="111">
        <v>1.0</v>
      </c>
      <c r="R1746" s="111"/>
      <c r="S1746" s="111">
        <v>1.0</v>
      </c>
      <c r="T1746" s="111"/>
      <c r="U1746" s="111">
        <v>1.0</v>
      </c>
      <c r="V1746" s="111"/>
      <c r="W1746" s="111"/>
      <c r="X1746" s="111"/>
      <c r="Y1746" s="111"/>
      <c r="Z1746" s="111" t="s">
        <v>12835</v>
      </c>
      <c r="AA1746" s="124">
        <v>5.0</v>
      </c>
      <c r="AB1746" s="125">
        <f>IF(Projects!$AI1746="Electrolysis",
AA1746/VLOOKUP(G1746,ElectrolysisConvF,3,FALSE),
AC1746*10^6/(H2dens*HoursInYear))</f>
        <v>1111.111111</v>
      </c>
      <c r="AC1746" s="126">
        <f t="shared" si="334"/>
        <v>0.8662666667</v>
      </c>
      <c r="AD1746" s="125"/>
      <c r="AE1746" s="125">
        <f t="shared" si="282"/>
        <v>1111.111111</v>
      </c>
      <c r="AF1746" s="127" t="s">
        <v>14656</v>
      </c>
      <c r="AG1746" s="127">
        <v>42.6971029816831</v>
      </c>
      <c r="AH1746" s="127">
        <v>9.45113717492356</v>
      </c>
      <c r="AI1746" s="115" t="s">
        <v>12383</v>
      </c>
      <c r="AJ1746" s="116">
        <v>0.3</v>
      </c>
      <c r="AK1746" s="117"/>
      <c r="AL1746" s="117"/>
      <c r="AM1746" s="117"/>
      <c r="AN1746" s="117"/>
      <c r="AO1746" s="117"/>
    </row>
    <row r="1747" ht="34.5" customHeight="1">
      <c r="A1747" s="111">
        <v>2394.0</v>
      </c>
      <c r="B1747" s="111" t="s">
        <v>9747</v>
      </c>
      <c r="C1747" s="111" t="s">
        <v>8011</v>
      </c>
      <c r="D1747" s="111">
        <v>2026.0</v>
      </c>
      <c r="E1747" s="111"/>
      <c r="F1747" s="111" t="s">
        <v>12397</v>
      </c>
      <c r="G1747" s="111" t="s">
        <v>12381</v>
      </c>
      <c r="H1747" s="111" t="s">
        <v>12230</v>
      </c>
      <c r="I1747" s="111" t="s">
        <v>12406</v>
      </c>
      <c r="J1747" s="111"/>
      <c r="K1747" s="111" t="s">
        <v>30</v>
      </c>
      <c r="L1747" s="111"/>
      <c r="M1747" s="111"/>
      <c r="N1747" s="111"/>
      <c r="O1747" s="111"/>
      <c r="P1747" s="111">
        <v>1.0</v>
      </c>
      <c r="Q1747" s="111">
        <v>1.0</v>
      </c>
      <c r="R1747" s="111"/>
      <c r="S1747" s="111"/>
      <c r="T1747" s="111"/>
      <c r="U1747" s="111"/>
      <c r="V1747" s="111"/>
      <c r="W1747" s="111"/>
      <c r="X1747" s="111"/>
      <c r="Y1747" s="111"/>
      <c r="Z1747" s="111" t="s">
        <v>13337</v>
      </c>
      <c r="AA1747" s="124">
        <v>9.0</v>
      </c>
      <c r="AB1747" s="125">
        <f>IF(Projects!$AI1747="Electrolysis",
AA1747/VLOOKUP(G1747,ElectrolysisConvF,3,FALSE),
AC1747*10^6/(H2dens*HoursInYear))</f>
        <v>2000</v>
      </c>
      <c r="AC1747" s="126">
        <f t="shared" si="334"/>
        <v>1.55928</v>
      </c>
      <c r="AD1747" s="125"/>
      <c r="AE1747" s="125">
        <f t="shared" si="282"/>
        <v>2000</v>
      </c>
      <c r="AF1747" s="127" t="s">
        <v>14657</v>
      </c>
      <c r="AG1747" s="127">
        <v>48.1780557799083</v>
      </c>
      <c r="AH1747" s="127">
        <v>6.44956618780518</v>
      </c>
      <c r="AI1747" s="115" t="s">
        <v>12383</v>
      </c>
      <c r="AJ1747" s="116">
        <v>0.57</v>
      </c>
      <c r="AK1747" s="117"/>
      <c r="AL1747" s="117"/>
      <c r="AM1747" s="117"/>
      <c r="AN1747" s="117"/>
      <c r="AO1747" s="117"/>
    </row>
    <row r="1748" ht="34.5" customHeight="1">
      <c r="A1748" s="111">
        <v>2395.0</v>
      </c>
      <c r="B1748" s="111" t="s">
        <v>9748</v>
      </c>
      <c r="C1748" s="111" t="s">
        <v>8011</v>
      </c>
      <c r="D1748" s="111">
        <v>2028.0</v>
      </c>
      <c r="E1748" s="111"/>
      <c r="F1748" s="111" t="s">
        <v>12397</v>
      </c>
      <c r="G1748" s="111" t="s">
        <v>12381</v>
      </c>
      <c r="H1748" s="111" t="s">
        <v>12230</v>
      </c>
      <c r="I1748" s="111" t="s">
        <v>12406</v>
      </c>
      <c r="J1748" s="111"/>
      <c r="K1748" s="111" t="s">
        <v>30</v>
      </c>
      <c r="L1748" s="111"/>
      <c r="M1748" s="111"/>
      <c r="N1748" s="111"/>
      <c r="O1748" s="111"/>
      <c r="P1748" s="111"/>
      <c r="Q1748" s="111">
        <v>1.0</v>
      </c>
      <c r="R1748" s="111"/>
      <c r="S1748" s="111"/>
      <c r="T1748" s="111"/>
      <c r="U1748" s="111"/>
      <c r="V1748" s="111"/>
      <c r="W1748" s="111"/>
      <c r="X1748" s="111"/>
      <c r="Y1748" s="111"/>
      <c r="Z1748" s="111" t="s">
        <v>13006</v>
      </c>
      <c r="AA1748" s="124">
        <v>200.0</v>
      </c>
      <c r="AB1748" s="125">
        <f>IF(Projects!$AI1748="Electrolysis",
AA1748/VLOOKUP(G1748,ElectrolysisConvF,3,FALSE),
AC1748*10^6/(H2dens*HoursInYear))</f>
        <v>44444.44444</v>
      </c>
      <c r="AC1748" s="126">
        <f t="shared" si="334"/>
        <v>34.65066667</v>
      </c>
      <c r="AD1748" s="125"/>
      <c r="AE1748" s="125">
        <f t="shared" si="282"/>
        <v>44444.44444</v>
      </c>
      <c r="AF1748" s="127" t="s">
        <v>14658</v>
      </c>
      <c r="AG1748" s="127">
        <v>49.3574650133655</v>
      </c>
      <c r="AH1748" s="127">
        <v>6.16698329886576</v>
      </c>
      <c r="AI1748" s="115" t="s">
        <v>12383</v>
      </c>
      <c r="AJ1748" s="116">
        <v>0.57</v>
      </c>
      <c r="AK1748" s="117"/>
      <c r="AL1748" s="117"/>
      <c r="AM1748" s="117"/>
      <c r="AN1748" s="117"/>
      <c r="AO1748" s="117"/>
    </row>
    <row r="1749" ht="34.5" customHeight="1">
      <c r="A1749" s="111">
        <v>2396.0</v>
      </c>
      <c r="B1749" s="111" t="s">
        <v>9749</v>
      </c>
      <c r="C1749" s="111" t="s">
        <v>8011</v>
      </c>
      <c r="D1749" s="111">
        <v>2030.0</v>
      </c>
      <c r="E1749" s="111"/>
      <c r="F1749" s="111" t="s">
        <v>12397</v>
      </c>
      <c r="G1749" s="111" t="s">
        <v>12381</v>
      </c>
      <c r="H1749" s="111" t="s">
        <v>12230</v>
      </c>
      <c r="I1749" s="111" t="s">
        <v>12406</v>
      </c>
      <c r="J1749" s="111"/>
      <c r="K1749" s="111" t="s">
        <v>30</v>
      </c>
      <c r="L1749" s="111"/>
      <c r="M1749" s="111"/>
      <c r="N1749" s="111"/>
      <c r="O1749" s="111"/>
      <c r="P1749" s="111"/>
      <c r="Q1749" s="111">
        <v>1.0</v>
      </c>
      <c r="R1749" s="111"/>
      <c r="S1749" s="111"/>
      <c r="T1749" s="111"/>
      <c r="U1749" s="111"/>
      <c r="V1749" s="111"/>
      <c r="W1749" s="111"/>
      <c r="X1749" s="111"/>
      <c r="Y1749" s="111"/>
      <c r="Z1749" s="111" t="s">
        <v>13675</v>
      </c>
      <c r="AA1749" s="124">
        <f>400-200</f>
        <v>200</v>
      </c>
      <c r="AB1749" s="125">
        <f>IF(Projects!$AI1749="Electrolysis",
AA1749/VLOOKUP(G1749,ElectrolysisConvF,3,FALSE),
AC1749*10^6/(H2dens*HoursInYear))</f>
        <v>44444.44444</v>
      </c>
      <c r="AC1749" s="126">
        <f t="shared" si="334"/>
        <v>34.65066667</v>
      </c>
      <c r="AD1749" s="125"/>
      <c r="AE1749" s="125">
        <f t="shared" si="282"/>
        <v>44444.44444</v>
      </c>
      <c r="AF1749" s="127" t="s">
        <v>14658</v>
      </c>
      <c r="AG1749" s="127">
        <v>49.3574650133655</v>
      </c>
      <c r="AH1749" s="127">
        <v>6.16698329886576</v>
      </c>
      <c r="AI1749" s="115" t="s">
        <v>12383</v>
      </c>
      <c r="AJ1749" s="116">
        <v>0.57</v>
      </c>
      <c r="AK1749" s="117"/>
      <c r="AL1749" s="117"/>
      <c r="AM1749" s="117"/>
      <c r="AN1749" s="117"/>
      <c r="AO1749" s="117"/>
    </row>
    <row r="1750" ht="34.5" customHeight="1">
      <c r="A1750" s="111">
        <v>2397.0</v>
      </c>
      <c r="B1750" s="111" t="s">
        <v>9750</v>
      </c>
      <c r="C1750" s="111" t="s">
        <v>8011</v>
      </c>
      <c r="D1750" s="111">
        <v>2028.0</v>
      </c>
      <c r="E1750" s="111"/>
      <c r="F1750" s="111" t="s">
        <v>12397</v>
      </c>
      <c r="G1750" s="111" t="s">
        <v>12381</v>
      </c>
      <c r="H1750" s="111" t="s">
        <v>12230</v>
      </c>
      <c r="I1750" s="111" t="s">
        <v>12287</v>
      </c>
      <c r="J1750" s="111" t="s">
        <v>12296</v>
      </c>
      <c r="K1750" s="111" t="s">
        <v>30</v>
      </c>
      <c r="L1750" s="111"/>
      <c r="M1750" s="111"/>
      <c r="N1750" s="111"/>
      <c r="O1750" s="111"/>
      <c r="P1750" s="111"/>
      <c r="Q1750" s="111"/>
      <c r="R1750" s="111"/>
      <c r="S1750" s="111"/>
      <c r="T1750" s="111"/>
      <c r="U1750" s="111"/>
      <c r="V1750" s="111"/>
      <c r="W1750" s="111"/>
      <c r="X1750" s="111"/>
      <c r="Y1750" s="111"/>
      <c r="Z1750" s="111" t="s">
        <v>13006</v>
      </c>
      <c r="AA1750" s="124">
        <v>200.0</v>
      </c>
      <c r="AB1750" s="125">
        <f>IF(Projects!$AI1750="Electrolysis",
AA1750/VLOOKUP(G1750,ElectrolysisConvF,3,FALSE),
AC1750*10^6/(H2dens*HoursInYear))</f>
        <v>44444.44444</v>
      </c>
      <c r="AC1750" s="126">
        <f t="shared" si="334"/>
        <v>34.65066667</v>
      </c>
      <c r="AD1750" s="125"/>
      <c r="AE1750" s="125">
        <f t="shared" si="282"/>
        <v>44444.44444</v>
      </c>
      <c r="AF1750" s="127" t="s">
        <v>14659</v>
      </c>
      <c r="AG1750" s="127">
        <v>50.3577678128777</v>
      </c>
      <c r="AH1750" s="127">
        <v>3.51900267085151</v>
      </c>
      <c r="AI1750" s="115" t="s">
        <v>12383</v>
      </c>
      <c r="AJ1750" s="116">
        <v>0.57</v>
      </c>
      <c r="AK1750" s="117"/>
      <c r="AL1750" s="117"/>
      <c r="AM1750" s="117"/>
      <c r="AN1750" s="117"/>
      <c r="AO1750" s="117"/>
    </row>
    <row r="1751" ht="34.5" customHeight="1">
      <c r="A1751" s="111">
        <v>2398.0</v>
      </c>
      <c r="B1751" s="111" t="s">
        <v>9751</v>
      </c>
      <c r="C1751" s="111" t="s">
        <v>8011</v>
      </c>
      <c r="D1751" s="111">
        <v>2028.0</v>
      </c>
      <c r="E1751" s="111"/>
      <c r="F1751" s="111" t="s">
        <v>12397</v>
      </c>
      <c r="G1751" s="111" t="s">
        <v>12381</v>
      </c>
      <c r="H1751" s="111" t="s">
        <v>12230</v>
      </c>
      <c r="I1751" s="111" t="s">
        <v>12287</v>
      </c>
      <c r="J1751" s="111" t="s">
        <v>12296</v>
      </c>
      <c r="K1751" s="111" t="s">
        <v>30</v>
      </c>
      <c r="L1751" s="111"/>
      <c r="M1751" s="111"/>
      <c r="N1751" s="111"/>
      <c r="O1751" s="111"/>
      <c r="P1751" s="111"/>
      <c r="Q1751" s="111"/>
      <c r="R1751" s="111"/>
      <c r="S1751" s="111"/>
      <c r="T1751" s="111"/>
      <c r="U1751" s="111"/>
      <c r="V1751" s="111"/>
      <c r="W1751" s="111"/>
      <c r="X1751" s="111"/>
      <c r="Y1751" s="111"/>
      <c r="Z1751" s="111" t="s">
        <v>13675</v>
      </c>
      <c r="AA1751" s="124">
        <f>400-200</f>
        <v>200</v>
      </c>
      <c r="AB1751" s="125">
        <f>IF(Projects!$AI1751="Electrolysis",
AA1751/VLOOKUP(G1751,ElectrolysisConvF,3,FALSE),
AC1751*10^6/(H2dens*HoursInYear))</f>
        <v>44444.44444</v>
      </c>
      <c r="AC1751" s="126">
        <f t="shared" si="334"/>
        <v>34.65066667</v>
      </c>
      <c r="AD1751" s="125"/>
      <c r="AE1751" s="125">
        <f t="shared" si="282"/>
        <v>44444.44444</v>
      </c>
      <c r="AF1751" s="127" t="s">
        <v>14659</v>
      </c>
      <c r="AG1751" s="127">
        <v>50.3577678128777</v>
      </c>
      <c r="AH1751" s="127">
        <v>3.51900267085151</v>
      </c>
      <c r="AI1751" s="115" t="s">
        <v>12383</v>
      </c>
      <c r="AJ1751" s="116">
        <v>0.57</v>
      </c>
      <c r="AK1751" s="117"/>
      <c r="AL1751" s="117"/>
      <c r="AM1751" s="117"/>
      <c r="AN1751" s="117"/>
      <c r="AO1751" s="117"/>
    </row>
    <row r="1752" ht="34.5" customHeight="1">
      <c r="A1752" s="111">
        <v>2399.0</v>
      </c>
      <c r="B1752" s="111" t="s">
        <v>9752</v>
      </c>
      <c r="C1752" s="111" t="s">
        <v>8011</v>
      </c>
      <c r="D1752" s="111">
        <v>2030.0</v>
      </c>
      <c r="E1752" s="111"/>
      <c r="F1752" s="111" t="s">
        <v>12397</v>
      </c>
      <c r="G1752" s="111" t="s">
        <v>12226</v>
      </c>
      <c r="H1752" s="111"/>
      <c r="I1752" s="111" t="s">
        <v>12394</v>
      </c>
      <c r="J1752" s="111" t="s">
        <v>12291</v>
      </c>
      <c r="K1752" s="111" t="s">
        <v>30</v>
      </c>
      <c r="L1752" s="111"/>
      <c r="M1752" s="111"/>
      <c r="N1752" s="111"/>
      <c r="O1752" s="111"/>
      <c r="P1752" s="111"/>
      <c r="Q1752" s="111"/>
      <c r="R1752" s="111"/>
      <c r="S1752" s="111"/>
      <c r="T1752" s="111"/>
      <c r="U1752" s="111"/>
      <c r="V1752" s="111"/>
      <c r="W1752" s="111"/>
      <c r="X1752" s="111"/>
      <c r="Y1752" s="111"/>
      <c r="Z1752" s="111" t="s">
        <v>12703</v>
      </c>
      <c r="AA1752" s="124">
        <v>10.0</v>
      </c>
      <c r="AB1752" s="125">
        <f>IF(Projects!$AI1752="Electrolysis",
AA1752/VLOOKUP(G1752,ElectrolysisConvF,3,FALSE),
AC1752*10^6/(H2dens*HoursInYear))</f>
        <v>1923.076923</v>
      </c>
      <c r="AC1752" s="126">
        <f t="shared" si="334"/>
        <v>1.499307692</v>
      </c>
      <c r="AD1752" s="125"/>
      <c r="AE1752" s="125">
        <f t="shared" si="282"/>
        <v>1923.076923</v>
      </c>
      <c r="AF1752" s="127" t="s">
        <v>14660</v>
      </c>
      <c r="AG1752" s="127">
        <v>43.89416822599</v>
      </c>
      <c r="AH1752" s="127">
        <v>3.99862804287302</v>
      </c>
      <c r="AI1752" s="115" t="s">
        <v>12383</v>
      </c>
      <c r="AJ1752" s="116">
        <v>0.3</v>
      </c>
      <c r="AK1752" s="117"/>
      <c r="AL1752" s="117"/>
      <c r="AM1752" s="117"/>
      <c r="AN1752" s="117"/>
      <c r="AO1752" s="117"/>
    </row>
    <row r="1753" ht="34.5" customHeight="1">
      <c r="A1753" s="111">
        <v>2400.0</v>
      </c>
      <c r="B1753" s="111" t="s">
        <v>9753</v>
      </c>
      <c r="C1753" s="111" t="s">
        <v>8011</v>
      </c>
      <c r="D1753" s="111">
        <v>2025.0</v>
      </c>
      <c r="E1753" s="111"/>
      <c r="F1753" s="111" t="s">
        <v>12397</v>
      </c>
      <c r="G1753" s="111" t="s">
        <v>12381</v>
      </c>
      <c r="H1753" s="111" t="s">
        <v>12230</v>
      </c>
      <c r="I1753" s="111" t="s">
        <v>12394</v>
      </c>
      <c r="J1753" s="111" t="s">
        <v>12291</v>
      </c>
      <c r="K1753" s="111" t="s">
        <v>30</v>
      </c>
      <c r="L1753" s="111"/>
      <c r="M1753" s="111"/>
      <c r="N1753" s="111"/>
      <c r="O1753" s="111"/>
      <c r="P1753" s="111"/>
      <c r="Q1753" s="111"/>
      <c r="R1753" s="111"/>
      <c r="S1753" s="111"/>
      <c r="T1753" s="111"/>
      <c r="U1753" s="111"/>
      <c r="V1753" s="111"/>
      <c r="W1753" s="111"/>
      <c r="X1753" s="111"/>
      <c r="Y1753" s="111"/>
      <c r="Z1753" s="111" t="s">
        <v>12802</v>
      </c>
      <c r="AA1753" s="124">
        <v>30.0</v>
      </c>
      <c r="AB1753" s="125">
        <f>IF(Projects!$AI1753="Electrolysis",
AA1753/VLOOKUP(G1753,ElectrolysisConvF,3,FALSE),
AC1753*10^6/(H2dens*HoursInYear))</f>
        <v>6666.666667</v>
      </c>
      <c r="AC1753" s="126">
        <f t="shared" si="334"/>
        <v>5.1976</v>
      </c>
      <c r="AD1753" s="125"/>
      <c r="AE1753" s="125">
        <f t="shared" si="282"/>
        <v>6666.666667</v>
      </c>
      <c r="AF1753" s="127" t="s">
        <v>14661</v>
      </c>
      <c r="AG1753" s="127">
        <v>43.1256908528304</v>
      </c>
      <c r="AH1753" s="127">
        <v>0.386603372573129</v>
      </c>
      <c r="AI1753" s="115" t="s">
        <v>12383</v>
      </c>
      <c r="AJ1753" s="116">
        <v>0.3</v>
      </c>
      <c r="AK1753" s="117"/>
      <c r="AL1753" s="117"/>
      <c r="AM1753" s="117"/>
      <c r="AN1753" s="117"/>
      <c r="AO1753" s="117"/>
    </row>
    <row r="1754" ht="34.5" customHeight="1">
      <c r="A1754" s="111">
        <v>2401.0</v>
      </c>
      <c r="B1754" s="111" t="s">
        <v>9754</v>
      </c>
      <c r="C1754" s="111" t="s">
        <v>8011</v>
      </c>
      <c r="D1754" s="111">
        <v>2028.0</v>
      </c>
      <c r="E1754" s="111"/>
      <c r="F1754" s="111" t="s">
        <v>12399</v>
      </c>
      <c r="G1754" s="111" t="s">
        <v>12381</v>
      </c>
      <c r="H1754" s="111" t="s">
        <v>12230</v>
      </c>
      <c r="I1754" s="111" t="s">
        <v>12394</v>
      </c>
      <c r="J1754" s="111" t="s">
        <v>12291</v>
      </c>
      <c r="K1754" s="111" t="s">
        <v>30</v>
      </c>
      <c r="L1754" s="111"/>
      <c r="M1754" s="111"/>
      <c r="N1754" s="111"/>
      <c r="O1754" s="111"/>
      <c r="P1754" s="111">
        <v>1.0</v>
      </c>
      <c r="Q1754" s="111">
        <v>1.0</v>
      </c>
      <c r="R1754" s="111"/>
      <c r="S1754" s="111"/>
      <c r="T1754" s="111"/>
      <c r="U1754" s="111"/>
      <c r="V1754" s="111"/>
      <c r="W1754" s="111"/>
      <c r="X1754" s="111"/>
      <c r="Y1754" s="111"/>
      <c r="Z1754" s="111" t="s">
        <v>13066</v>
      </c>
      <c r="AA1754" s="124">
        <v>60.0</v>
      </c>
      <c r="AB1754" s="125">
        <f>IF(Projects!$AI1754="Electrolysis",
AA1754/VLOOKUP(G1754,ElectrolysisConvF,3,FALSE),
AC1754*10^6/(H2dens*HoursInYear))</f>
        <v>13333.33333</v>
      </c>
      <c r="AC1754" s="126">
        <f t="shared" si="334"/>
        <v>10.3952</v>
      </c>
      <c r="AD1754" s="125"/>
      <c r="AE1754" s="125">
        <f t="shared" si="282"/>
        <v>13333.33333</v>
      </c>
      <c r="AF1754" s="127" t="s">
        <v>14662</v>
      </c>
      <c r="AG1754" s="127">
        <v>43.4385688933401</v>
      </c>
      <c r="AH1754" s="127">
        <v>4.95044538769038</v>
      </c>
      <c r="AI1754" s="115" t="s">
        <v>12383</v>
      </c>
      <c r="AJ1754" s="116">
        <v>0.3</v>
      </c>
      <c r="AK1754" s="117"/>
      <c r="AL1754" s="117"/>
      <c r="AM1754" s="117"/>
      <c r="AN1754" s="117"/>
      <c r="AO1754" s="117"/>
    </row>
    <row r="1755" ht="34.5" customHeight="1">
      <c r="A1755" s="111">
        <v>2402.0</v>
      </c>
      <c r="B1755" s="111" t="s">
        <v>9755</v>
      </c>
      <c r="C1755" s="111" t="s">
        <v>8011</v>
      </c>
      <c r="D1755" s="111">
        <v>2025.0</v>
      </c>
      <c r="E1755" s="111"/>
      <c r="F1755" s="111" t="s">
        <v>12393</v>
      </c>
      <c r="G1755" s="111" t="s">
        <v>12239</v>
      </c>
      <c r="H1755" s="111" t="s">
        <v>13079</v>
      </c>
      <c r="I1755" s="111"/>
      <c r="J1755" s="111"/>
      <c r="K1755" s="111" t="s">
        <v>30</v>
      </c>
      <c r="L1755" s="111"/>
      <c r="M1755" s="111"/>
      <c r="N1755" s="111"/>
      <c r="O1755" s="111"/>
      <c r="P1755" s="111"/>
      <c r="Q1755" s="111"/>
      <c r="R1755" s="111"/>
      <c r="S1755" s="111"/>
      <c r="T1755" s="111"/>
      <c r="U1755" s="111"/>
      <c r="V1755" s="111"/>
      <c r="W1755" s="111"/>
      <c r="X1755" s="111"/>
      <c r="Y1755" s="111"/>
      <c r="Z1755" s="111" t="s">
        <v>14663</v>
      </c>
      <c r="AA1755" s="125"/>
      <c r="AB1755" s="125">
        <f>AC1755/(H2dens*HoursInYear/10^6)</f>
        <v>156.7675109</v>
      </c>
      <c r="AC1755" s="125">
        <f>110/1000/Projects!$AJ1755</f>
        <v>0.1222222222</v>
      </c>
      <c r="AD1755" s="125"/>
      <c r="AE1755" s="125">
        <f t="shared" si="282"/>
        <v>156.7675109</v>
      </c>
      <c r="AF1755" s="127" t="s">
        <v>14664</v>
      </c>
      <c r="AG1755" s="127">
        <v>48.0268791072815</v>
      </c>
      <c r="AH1755" s="127">
        <v>0.114277216511359</v>
      </c>
      <c r="AI1755" s="115" t="s">
        <v>12241</v>
      </c>
      <c r="AJ1755" s="116">
        <v>0.9</v>
      </c>
      <c r="AK1755" s="117"/>
      <c r="AL1755" s="117"/>
      <c r="AM1755" s="117"/>
      <c r="AN1755" s="117"/>
      <c r="AO1755" s="117"/>
    </row>
    <row r="1756" ht="34.5" customHeight="1">
      <c r="A1756" s="111">
        <v>2405.0</v>
      </c>
      <c r="B1756" s="111" t="s">
        <v>9756</v>
      </c>
      <c r="C1756" s="111" t="s">
        <v>8011</v>
      </c>
      <c r="D1756" s="111">
        <v>2024.0</v>
      </c>
      <c r="E1756" s="111"/>
      <c r="F1756" s="111" t="s">
        <v>12399</v>
      </c>
      <c r="G1756" s="111" t="s">
        <v>12381</v>
      </c>
      <c r="H1756" s="111" t="s">
        <v>12230</v>
      </c>
      <c r="I1756" s="111" t="s">
        <v>12406</v>
      </c>
      <c r="J1756" s="111"/>
      <c r="K1756" s="111" t="s">
        <v>30</v>
      </c>
      <c r="L1756" s="111"/>
      <c r="M1756" s="111"/>
      <c r="N1756" s="111"/>
      <c r="O1756" s="111"/>
      <c r="P1756" s="111"/>
      <c r="Q1756" s="111">
        <v>1.0</v>
      </c>
      <c r="R1756" s="111"/>
      <c r="S1756" s="111"/>
      <c r="T1756" s="111"/>
      <c r="U1756" s="111"/>
      <c r="V1756" s="111"/>
      <c r="W1756" s="111"/>
      <c r="X1756" s="111"/>
      <c r="Y1756" s="111"/>
      <c r="Z1756" s="111"/>
      <c r="AA1756" s="124">
        <f>IF(OR(G1756="ALK",G1756="PEM",G1756="SOEC",G1756="Other Electrolysis"),
AB1756*VLOOKUP(G1756,ElectrolysisConvF,3,FALSE),
"")</f>
        <v>0</v>
      </c>
      <c r="AB1756" s="125"/>
      <c r="AC1756" s="125"/>
      <c r="AD1756" s="125"/>
      <c r="AE1756" s="125" t="str">
        <f t="shared" si="282"/>
        <v/>
      </c>
      <c r="AF1756" s="127" t="s">
        <v>14665</v>
      </c>
      <c r="AG1756" s="127">
        <v>48.8144788760629</v>
      </c>
      <c r="AH1756" s="127">
        <v>2.52925567573293</v>
      </c>
      <c r="AI1756" s="115" t="s">
        <v>12383</v>
      </c>
      <c r="AJ1756" s="116">
        <v>0.57</v>
      </c>
      <c r="AK1756" s="117"/>
      <c r="AL1756" s="117"/>
      <c r="AM1756" s="117"/>
      <c r="AN1756" s="117"/>
      <c r="AO1756" s="117"/>
    </row>
    <row r="1757" ht="34.5" customHeight="1">
      <c r="A1757" s="111">
        <v>2406.0</v>
      </c>
      <c r="B1757" s="111" t="s">
        <v>9757</v>
      </c>
      <c r="C1757" s="111" t="s">
        <v>8011</v>
      </c>
      <c r="D1757" s="111">
        <v>2024.0</v>
      </c>
      <c r="E1757" s="111"/>
      <c r="F1757" s="111" t="s">
        <v>12399</v>
      </c>
      <c r="G1757" s="111" t="s">
        <v>12381</v>
      </c>
      <c r="H1757" s="111" t="s">
        <v>12230</v>
      </c>
      <c r="I1757" s="111" t="s">
        <v>12406</v>
      </c>
      <c r="J1757" s="111"/>
      <c r="K1757" s="111" t="s">
        <v>30</v>
      </c>
      <c r="L1757" s="111"/>
      <c r="M1757" s="111"/>
      <c r="N1757" s="111"/>
      <c r="O1757" s="111"/>
      <c r="P1757" s="111"/>
      <c r="Q1757" s="111">
        <v>1.0</v>
      </c>
      <c r="R1757" s="111"/>
      <c r="S1757" s="111"/>
      <c r="T1757" s="111"/>
      <c r="U1757" s="111"/>
      <c r="V1757" s="111"/>
      <c r="W1757" s="111"/>
      <c r="X1757" s="111"/>
      <c r="Y1757" s="111"/>
      <c r="Z1757" s="111"/>
      <c r="AA1757" s="124">
        <f>IF(OR(G1757="ALK",G1757="PEM",G1757="SOEC",G1757="Other Electrolysis"),
AB1757*VLOOKUP(G1757,ElectrolysisConvF,3,FALSE),
"")</f>
        <v>0</v>
      </c>
      <c r="AB1757" s="125"/>
      <c r="AC1757" s="125"/>
      <c r="AD1757" s="125"/>
      <c r="AE1757" s="125" t="str">
        <f t="shared" si="282"/>
        <v/>
      </c>
      <c r="AF1757" s="127" t="s">
        <v>14665</v>
      </c>
      <c r="AG1757" s="127">
        <v>48.8144788760629</v>
      </c>
      <c r="AH1757" s="127">
        <v>2.52925567573293</v>
      </c>
      <c r="AI1757" s="115" t="s">
        <v>12383</v>
      </c>
      <c r="AJ1757" s="116">
        <v>0.57</v>
      </c>
      <c r="AK1757" s="117"/>
      <c r="AL1757" s="117"/>
      <c r="AM1757" s="117"/>
      <c r="AN1757" s="117"/>
      <c r="AO1757" s="117"/>
    </row>
    <row r="1758" ht="34.5" customHeight="1">
      <c r="A1758" s="111">
        <v>2407.0</v>
      </c>
      <c r="B1758" s="111" t="s">
        <v>9758</v>
      </c>
      <c r="C1758" s="111" t="s">
        <v>8011</v>
      </c>
      <c r="D1758" s="111">
        <v>2028.0</v>
      </c>
      <c r="E1758" s="111"/>
      <c r="F1758" s="111" t="s">
        <v>12399</v>
      </c>
      <c r="G1758" s="111" t="s">
        <v>12381</v>
      </c>
      <c r="H1758" s="111" t="s">
        <v>12230</v>
      </c>
      <c r="I1758" s="111" t="s">
        <v>12287</v>
      </c>
      <c r="J1758" s="111" t="s">
        <v>12296</v>
      </c>
      <c r="K1758" s="111" t="s">
        <v>12415</v>
      </c>
      <c r="L1758" s="111"/>
      <c r="M1758" s="111"/>
      <c r="N1758" s="111">
        <v>1.0</v>
      </c>
      <c r="O1758" s="111"/>
      <c r="P1758" s="111">
        <v>1.0</v>
      </c>
      <c r="Q1758" s="111">
        <v>1.0</v>
      </c>
      <c r="R1758" s="111"/>
      <c r="S1758" s="111"/>
      <c r="T1758" s="111"/>
      <c r="U1758" s="111"/>
      <c r="V1758" s="111"/>
      <c r="W1758" s="111"/>
      <c r="X1758" s="111"/>
      <c r="Y1758" s="111"/>
      <c r="Z1758" s="111" t="s">
        <v>14666</v>
      </c>
      <c r="AA1758" s="124">
        <v>260.0</v>
      </c>
      <c r="AB1758" s="125">
        <f>IF(Projects!$AI1758="Electrolysis",
AA1758/VLOOKUP(G1758,ElectrolysisConvF,3,FALSE),
AC1758*10^6/(H2dens*HoursInYear))</f>
        <v>57777.77778</v>
      </c>
      <c r="AC1758" s="126">
        <f>AB1758*H2dens*HoursInYear/10^6</f>
        <v>45.04586667</v>
      </c>
      <c r="AD1758" s="125"/>
      <c r="AE1758" s="125">
        <f t="shared" si="282"/>
        <v>57777.77778</v>
      </c>
      <c r="AF1758" s="127" t="s">
        <v>14667</v>
      </c>
      <c r="AG1758" s="127">
        <v>43.4139551441718</v>
      </c>
      <c r="AH1758" s="127">
        <v>-0.620279241169652</v>
      </c>
      <c r="AI1758" s="115" t="s">
        <v>12383</v>
      </c>
      <c r="AJ1758" s="116">
        <v>0.57</v>
      </c>
      <c r="AK1758" s="117"/>
      <c r="AL1758" s="117"/>
      <c r="AM1758" s="117"/>
      <c r="AN1758" s="117"/>
      <c r="AO1758" s="117"/>
    </row>
    <row r="1759" ht="34.5" customHeight="1">
      <c r="A1759" s="111">
        <v>2408.0</v>
      </c>
      <c r="B1759" s="111" t="s">
        <v>9759</v>
      </c>
      <c r="C1759" s="111" t="s">
        <v>8011</v>
      </c>
      <c r="D1759" s="111">
        <v>2027.0</v>
      </c>
      <c r="E1759" s="111"/>
      <c r="F1759" s="111" t="s">
        <v>12397</v>
      </c>
      <c r="G1759" s="111" t="s">
        <v>12381</v>
      </c>
      <c r="H1759" s="111" t="s">
        <v>12230</v>
      </c>
      <c r="I1759" s="111" t="s">
        <v>12287</v>
      </c>
      <c r="J1759" s="111" t="s">
        <v>12296</v>
      </c>
      <c r="K1759" s="111" t="s">
        <v>30</v>
      </c>
      <c r="L1759" s="111"/>
      <c r="M1759" s="111"/>
      <c r="N1759" s="111"/>
      <c r="O1759" s="111"/>
      <c r="P1759" s="111"/>
      <c r="Q1759" s="111">
        <v>1.0</v>
      </c>
      <c r="R1759" s="111"/>
      <c r="S1759" s="111"/>
      <c r="T1759" s="111"/>
      <c r="U1759" s="111"/>
      <c r="V1759" s="111"/>
      <c r="W1759" s="111"/>
      <c r="X1759" s="111"/>
      <c r="Y1759" s="111"/>
      <c r="Z1759" s="111" t="s">
        <v>14668</v>
      </c>
      <c r="AA1759" s="126">
        <f>IF(Projects!$AI1759="Electrolysis",
AB1759*VLOOKUP(G1759,ElectrolysisConvF,3,FALSE),
"")</f>
        <v>30.37839327</v>
      </c>
      <c r="AB1759" s="125">
        <f>AC1759/(H2dens*HoursInYear/10^6)</f>
        <v>6750.754059</v>
      </c>
      <c r="AC1759" s="125">
        <f>(3000/1000/Projects!$AJ1759)</f>
        <v>5.263157895</v>
      </c>
      <c r="AD1759" s="125"/>
      <c r="AE1759" s="125">
        <f t="shared" si="282"/>
        <v>6750.754059</v>
      </c>
      <c r="AF1759" s="127" t="s">
        <v>14669</v>
      </c>
      <c r="AG1759" s="127">
        <v>44.8386182994371</v>
      </c>
      <c r="AH1759" s="127">
        <v>-0.584642715316968</v>
      </c>
      <c r="AI1759" s="115" t="s">
        <v>12383</v>
      </c>
      <c r="AJ1759" s="116">
        <v>0.57</v>
      </c>
      <c r="AK1759" s="117"/>
      <c r="AL1759" s="117"/>
      <c r="AM1759" s="117"/>
      <c r="AN1759" s="117"/>
      <c r="AO1759" s="117"/>
    </row>
    <row r="1760" ht="34.5" customHeight="1">
      <c r="A1760" s="111">
        <v>2409.0</v>
      </c>
      <c r="B1760" s="111" t="s">
        <v>9760</v>
      </c>
      <c r="C1760" s="111" t="s">
        <v>8011</v>
      </c>
      <c r="D1760" s="111">
        <v>2028.0</v>
      </c>
      <c r="E1760" s="111"/>
      <c r="F1760" s="111" t="s">
        <v>12397</v>
      </c>
      <c r="G1760" s="111" t="s">
        <v>12381</v>
      </c>
      <c r="H1760" s="111" t="s">
        <v>12230</v>
      </c>
      <c r="I1760" s="111" t="s">
        <v>12287</v>
      </c>
      <c r="J1760" s="111" t="s">
        <v>12296</v>
      </c>
      <c r="K1760" s="111" t="s">
        <v>30</v>
      </c>
      <c r="L1760" s="111"/>
      <c r="M1760" s="111"/>
      <c r="N1760" s="111"/>
      <c r="O1760" s="111"/>
      <c r="P1760" s="111"/>
      <c r="Q1760" s="111"/>
      <c r="R1760" s="111"/>
      <c r="S1760" s="111"/>
      <c r="T1760" s="111"/>
      <c r="U1760" s="111"/>
      <c r="V1760" s="111"/>
      <c r="W1760" s="111">
        <v>1.0</v>
      </c>
      <c r="X1760" s="111"/>
      <c r="Y1760" s="111"/>
      <c r="Z1760" s="111" t="s">
        <v>14670</v>
      </c>
      <c r="AA1760" s="124">
        <v>260.0</v>
      </c>
      <c r="AB1760" s="125">
        <f>IF(Projects!$AI1760="Electrolysis",
AA1760/VLOOKUP(G1760,ElectrolysisConvF,3,FALSE),
AC1760*10^6/(H2dens*HoursInYear))</f>
        <v>57777.77778</v>
      </c>
      <c r="AC1760" s="126">
        <f t="shared" ref="AC1760:AC1761" si="335">AB1760*H2dens*HoursInYear/10^6</f>
        <v>45.04586667</v>
      </c>
      <c r="AD1760" s="125"/>
      <c r="AE1760" s="125">
        <f t="shared" si="282"/>
        <v>57777.77778</v>
      </c>
      <c r="AF1760" s="127" t="s">
        <v>14671</v>
      </c>
      <c r="AG1760" s="127">
        <v>43.4133316605875</v>
      </c>
      <c r="AH1760" s="127">
        <v>-0.618219304554587</v>
      </c>
      <c r="AI1760" s="115" t="s">
        <v>12383</v>
      </c>
      <c r="AJ1760" s="116">
        <v>0.57</v>
      </c>
      <c r="AK1760" s="117"/>
      <c r="AL1760" s="117"/>
      <c r="AM1760" s="117"/>
      <c r="AN1760" s="117"/>
      <c r="AO1760" s="117"/>
    </row>
    <row r="1761" ht="34.5" customHeight="1">
      <c r="A1761" s="111">
        <v>2410.0</v>
      </c>
      <c r="B1761" s="111" t="s">
        <v>9761</v>
      </c>
      <c r="C1761" s="111" t="s">
        <v>7981</v>
      </c>
      <c r="D1761" s="111">
        <v>2022.0</v>
      </c>
      <c r="E1761" s="111"/>
      <c r="F1761" s="111" t="s">
        <v>12418</v>
      </c>
      <c r="G1761" s="111" t="s">
        <v>12226</v>
      </c>
      <c r="H1761" s="111"/>
      <c r="I1761" s="111" t="s">
        <v>12394</v>
      </c>
      <c r="J1761" s="111" t="s">
        <v>12296</v>
      </c>
      <c r="K1761" s="111" t="s">
        <v>30</v>
      </c>
      <c r="L1761" s="111"/>
      <c r="M1761" s="111"/>
      <c r="N1761" s="111"/>
      <c r="O1761" s="111"/>
      <c r="P1761" s="111"/>
      <c r="Q1761" s="111"/>
      <c r="R1761" s="111"/>
      <c r="S1761" s="111"/>
      <c r="T1761" s="111"/>
      <c r="U1761" s="111"/>
      <c r="V1761" s="111"/>
      <c r="W1761" s="111"/>
      <c r="X1761" s="111"/>
      <c r="Y1761" s="111"/>
      <c r="Z1761" s="111" t="s">
        <v>12908</v>
      </c>
      <c r="AA1761" s="124">
        <v>1.0</v>
      </c>
      <c r="AB1761" s="125">
        <f>IF(Projects!$AI1761="Electrolysis",
AA1761/VLOOKUP(G1761,ElectrolysisConvF,3,FALSE),
AC1761*10^6/(H2dens*HoursInYear))</f>
        <v>192.3076923</v>
      </c>
      <c r="AC1761" s="126">
        <f t="shared" si="335"/>
        <v>0.1499307692</v>
      </c>
      <c r="AD1761" s="125"/>
      <c r="AE1761" s="125">
        <f t="shared" si="282"/>
        <v>192.3076923</v>
      </c>
      <c r="AF1761" s="127" t="s">
        <v>14672</v>
      </c>
      <c r="AG1761" s="127">
        <v>33.2582468677006</v>
      </c>
      <c r="AH1761" s="127">
        <v>-116.379092411948</v>
      </c>
      <c r="AI1761" s="115" t="s">
        <v>12383</v>
      </c>
      <c r="AJ1761" s="116">
        <v>0.5</v>
      </c>
      <c r="AK1761" s="117"/>
      <c r="AL1761" s="117"/>
      <c r="AM1761" s="117"/>
      <c r="AN1761" s="117"/>
      <c r="AO1761" s="117"/>
    </row>
    <row r="1762" ht="34.5" customHeight="1">
      <c r="A1762" s="111">
        <v>2411.0</v>
      </c>
      <c r="B1762" s="111" t="s">
        <v>9762</v>
      </c>
      <c r="C1762" s="111" t="s">
        <v>7981</v>
      </c>
      <c r="D1762" s="111">
        <v>2021.0</v>
      </c>
      <c r="E1762" s="111"/>
      <c r="F1762" s="111" t="s">
        <v>12418</v>
      </c>
      <c r="G1762" s="111" t="s">
        <v>12226</v>
      </c>
      <c r="H1762" s="111"/>
      <c r="I1762" s="111" t="s">
        <v>12394</v>
      </c>
      <c r="J1762" s="111" t="s">
        <v>12296</v>
      </c>
      <c r="K1762" s="111" t="s">
        <v>30</v>
      </c>
      <c r="L1762" s="111"/>
      <c r="M1762" s="111"/>
      <c r="N1762" s="111"/>
      <c r="O1762" s="111"/>
      <c r="P1762" s="111"/>
      <c r="Q1762" s="111"/>
      <c r="R1762" s="111"/>
      <c r="S1762" s="111">
        <v>1.0</v>
      </c>
      <c r="T1762" s="111"/>
      <c r="U1762" s="111"/>
      <c r="V1762" s="111"/>
      <c r="W1762" s="111"/>
      <c r="X1762" s="111"/>
      <c r="Y1762" s="111"/>
      <c r="Z1762" s="111"/>
      <c r="AA1762" s="124"/>
      <c r="AB1762" s="125"/>
      <c r="AC1762" s="125"/>
      <c r="AD1762" s="125"/>
      <c r="AE1762" s="125" t="str">
        <f t="shared" si="282"/>
        <v/>
      </c>
      <c r="AF1762" s="127" t="s">
        <v>14673</v>
      </c>
      <c r="AG1762" s="127">
        <v>37.7716057085934</v>
      </c>
      <c r="AH1762" s="127">
        <v>-122.387352115804</v>
      </c>
      <c r="AI1762" s="115" t="s">
        <v>12383</v>
      </c>
      <c r="AJ1762" s="116">
        <v>0.5</v>
      </c>
      <c r="AK1762" s="117"/>
      <c r="AL1762" s="117"/>
      <c r="AM1762" s="117"/>
      <c r="AN1762" s="117"/>
      <c r="AO1762" s="117"/>
    </row>
    <row r="1763" ht="34.5" customHeight="1">
      <c r="A1763" s="111">
        <v>2412.0</v>
      </c>
      <c r="B1763" s="111" t="s">
        <v>9763</v>
      </c>
      <c r="C1763" s="111" t="s">
        <v>7981</v>
      </c>
      <c r="D1763" s="111">
        <v>2020.0</v>
      </c>
      <c r="E1763" s="111"/>
      <c r="F1763" s="111" t="s">
        <v>12418</v>
      </c>
      <c r="G1763" s="111" t="s">
        <v>12228</v>
      </c>
      <c r="H1763" s="111"/>
      <c r="I1763" s="111" t="s">
        <v>12288</v>
      </c>
      <c r="J1763" s="111"/>
      <c r="K1763" s="111" t="s">
        <v>30</v>
      </c>
      <c r="L1763" s="111"/>
      <c r="M1763" s="111"/>
      <c r="N1763" s="111"/>
      <c r="O1763" s="111"/>
      <c r="P1763" s="111"/>
      <c r="Q1763" s="111">
        <v>1.0</v>
      </c>
      <c r="R1763" s="111"/>
      <c r="S1763" s="111"/>
      <c r="T1763" s="111"/>
      <c r="U1763" s="111"/>
      <c r="V1763" s="111"/>
      <c r="W1763" s="111"/>
      <c r="X1763" s="111"/>
      <c r="Y1763" s="111"/>
      <c r="Z1763" s="111" t="s">
        <v>12716</v>
      </c>
      <c r="AA1763" s="124">
        <v>0.25</v>
      </c>
      <c r="AB1763" s="125">
        <f>IF(Projects!$AI1763="Electrolysis",
AA1763/VLOOKUP(G1763,ElectrolysisConvF,3,FALSE),
AC1763*10^6/(H2dens*HoursInYear))</f>
        <v>65.78947368</v>
      </c>
      <c r="AC1763" s="126">
        <f t="shared" ref="AC1763:AC1767" si="336">AB1763*H2dens*HoursInYear/10^6</f>
        <v>0.05129210526</v>
      </c>
      <c r="AD1763" s="125"/>
      <c r="AE1763" s="125">
        <f t="shared" si="282"/>
        <v>65.78947368</v>
      </c>
      <c r="AF1763" s="127" t="s">
        <v>14674</v>
      </c>
      <c r="AG1763" s="127">
        <v>41.3870348049205</v>
      </c>
      <c r="AH1763" s="127">
        <v>-73.4689802586509</v>
      </c>
      <c r="AI1763" s="115" t="s">
        <v>12383</v>
      </c>
      <c r="AJ1763" s="116">
        <v>0.8</v>
      </c>
      <c r="AK1763" s="117"/>
      <c r="AL1763" s="117"/>
      <c r="AM1763" s="117"/>
      <c r="AN1763" s="117"/>
      <c r="AO1763" s="117"/>
    </row>
    <row r="1764" ht="34.5" customHeight="1">
      <c r="A1764" s="111">
        <v>2414.0</v>
      </c>
      <c r="B1764" s="111" t="s">
        <v>9764</v>
      </c>
      <c r="C1764" s="111" t="s">
        <v>7999</v>
      </c>
      <c r="D1764" s="111">
        <v>2027.0</v>
      </c>
      <c r="E1764" s="111"/>
      <c r="F1764" s="111" t="s">
        <v>12399</v>
      </c>
      <c r="G1764" s="111" t="s">
        <v>12381</v>
      </c>
      <c r="H1764" s="111" t="s">
        <v>12230</v>
      </c>
      <c r="I1764" s="111" t="s">
        <v>12287</v>
      </c>
      <c r="J1764" s="111" t="s">
        <v>12294</v>
      </c>
      <c r="K1764" s="111" t="s">
        <v>30</v>
      </c>
      <c r="L1764" s="111"/>
      <c r="M1764" s="111"/>
      <c r="N1764" s="111"/>
      <c r="O1764" s="111"/>
      <c r="P1764" s="111"/>
      <c r="Q1764" s="111">
        <v>1.0</v>
      </c>
      <c r="R1764" s="111"/>
      <c r="S1764" s="111"/>
      <c r="T1764" s="111"/>
      <c r="U1764" s="111">
        <v>1.0</v>
      </c>
      <c r="V1764" s="111"/>
      <c r="W1764" s="111"/>
      <c r="X1764" s="111"/>
      <c r="Y1764" s="111"/>
      <c r="Z1764" s="111" t="s">
        <v>12603</v>
      </c>
      <c r="AA1764" s="124">
        <f>5-1</f>
        <v>4</v>
      </c>
      <c r="AB1764" s="125">
        <f>IF(Projects!$AI1764="Electrolysis",
AA1764/VLOOKUP(G1764,ElectrolysisConvF,3,FALSE),
AC1764*10^6/(H2dens*HoursInYear))</f>
        <v>888.8888889</v>
      </c>
      <c r="AC1764" s="126">
        <f t="shared" si="336"/>
        <v>0.6930133333</v>
      </c>
      <c r="AD1764" s="125"/>
      <c r="AE1764" s="125">
        <f t="shared" si="282"/>
        <v>888.8888889</v>
      </c>
      <c r="AF1764" s="127" t="s">
        <v>14675</v>
      </c>
      <c r="AG1764" s="127">
        <v>47.583996</v>
      </c>
      <c r="AH1764" s="127">
        <v>12.1692134</v>
      </c>
      <c r="AI1764" s="115" t="s">
        <v>12383</v>
      </c>
      <c r="AJ1764" s="116">
        <v>0.57</v>
      </c>
      <c r="AK1764" s="117"/>
      <c r="AL1764" s="117"/>
      <c r="AM1764" s="117"/>
      <c r="AN1764" s="117"/>
      <c r="AO1764" s="117"/>
    </row>
    <row r="1765" ht="34.5" customHeight="1">
      <c r="A1765" s="111">
        <v>2415.0</v>
      </c>
      <c r="B1765" s="111" t="s">
        <v>9765</v>
      </c>
      <c r="C1765" s="111" t="s">
        <v>7999</v>
      </c>
      <c r="D1765" s="111">
        <v>2025.0</v>
      </c>
      <c r="E1765" s="111"/>
      <c r="F1765" s="111" t="s">
        <v>12393</v>
      </c>
      <c r="G1765" s="111" t="s">
        <v>12224</v>
      </c>
      <c r="H1765" s="111"/>
      <c r="I1765" s="111" t="s">
        <v>12406</v>
      </c>
      <c r="J1765" s="111"/>
      <c r="K1765" s="111" t="s">
        <v>30</v>
      </c>
      <c r="L1765" s="111"/>
      <c r="M1765" s="111"/>
      <c r="N1765" s="111"/>
      <c r="O1765" s="111"/>
      <c r="P1765" s="111">
        <v>1.0</v>
      </c>
      <c r="Q1765" s="111"/>
      <c r="R1765" s="111"/>
      <c r="S1765" s="111"/>
      <c r="T1765" s="111"/>
      <c r="U1765" s="111"/>
      <c r="V1765" s="111"/>
      <c r="W1765" s="111"/>
      <c r="X1765" s="111"/>
      <c r="Y1765" s="111"/>
      <c r="Z1765" s="111" t="s">
        <v>12446</v>
      </c>
      <c r="AA1765" s="124">
        <v>4.0</v>
      </c>
      <c r="AB1765" s="125">
        <f>IF(Projects!$AI1765="Electrolysis",
AA1765/VLOOKUP(G1765,ElectrolysisConvF,3,FALSE),
AC1765*10^6/(H2dens*HoursInYear))</f>
        <v>869.5652174</v>
      </c>
      <c r="AC1765" s="126">
        <f t="shared" si="336"/>
        <v>0.6779478261</v>
      </c>
      <c r="AD1765" s="125"/>
      <c r="AE1765" s="125">
        <f t="shared" si="282"/>
        <v>869.5652174</v>
      </c>
      <c r="AF1765" s="127" t="s">
        <v>14676</v>
      </c>
      <c r="AG1765" s="127">
        <v>47.4946272059998</v>
      </c>
      <c r="AH1765" s="127">
        <v>10.7370149443023</v>
      </c>
      <c r="AI1765" s="115" t="s">
        <v>12383</v>
      </c>
      <c r="AJ1765" s="116">
        <v>0.57</v>
      </c>
      <c r="AK1765" s="117"/>
      <c r="AL1765" s="117"/>
      <c r="AM1765" s="117"/>
      <c r="AN1765" s="117"/>
      <c r="AO1765" s="117"/>
    </row>
    <row r="1766" ht="34.5" customHeight="1">
      <c r="A1766" s="111">
        <v>2416.0</v>
      </c>
      <c r="B1766" s="111" t="s">
        <v>306</v>
      </c>
      <c r="C1766" s="111" t="s">
        <v>7999</v>
      </c>
      <c r="D1766" s="111">
        <v>2024.0</v>
      </c>
      <c r="E1766" s="111"/>
      <c r="F1766" s="111" t="s">
        <v>12385</v>
      </c>
      <c r="G1766" s="111" t="s">
        <v>12381</v>
      </c>
      <c r="H1766" s="111" t="s">
        <v>12230</v>
      </c>
      <c r="I1766" s="111" t="s">
        <v>12406</v>
      </c>
      <c r="J1766" s="111"/>
      <c r="K1766" s="111" t="s">
        <v>30</v>
      </c>
      <c r="L1766" s="111"/>
      <c r="M1766" s="111"/>
      <c r="N1766" s="111"/>
      <c r="O1766" s="111"/>
      <c r="P1766" s="111"/>
      <c r="Q1766" s="111">
        <v>1.0</v>
      </c>
      <c r="R1766" s="111">
        <v>1.0</v>
      </c>
      <c r="S1766" s="111"/>
      <c r="T1766" s="111"/>
      <c r="U1766" s="111"/>
      <c r="V1766" s="111"/>
      <c r="W1766" s="111"/>
      <c r="X1766" s="111"/>
      <c r="Y1766" s="111"/>
      <c r="Z1766" s="111" t="s">
        <v>14677</v>
      </c>
      <c r="AA1766" s="124">
        <v>3.0</v>
      </c>
      <c r="AB1766" s="125">
        <f>IF(Projects!$AI1766="Electrolysis",
AA1766/VLOOKUP(G1766,ElectrolysisConvF,3,FALSE),
AC1766*10^6/(H2dens*HoursInYear))</f>
        <v>666.6666667</v>
      </c>
      <c r="AC1766" s="126">
        <f t="shared" si="336"/>
        <v>0.51976</v>
      </c>
      <c r="AD1766" s="125"/>
      <c r="AE1766" s="125">
        <f t="shared" si="282"/>
        <v>666.6666667</v>
      </c>
      <c r="AF1766" s="127" t="s">
        <v>14678</v>
      </c>
      <c r="AG1766" s="127">
        <v>48.1816372961229</v>
      </c>
      <c r="AH1766" s="127">
        <v>16.423432380782</v>
      </c>
      <c r="AI1766" s="115" t="s">
        <v>12383</v>
      </c>
      <c r="AJ1766" s="116">
        <v>0.57</v>
      </c>
      <c r="AK1766" s="117"/>
      <c r="AL1766" s="117"/>
      <c r="AM1766" s="117"/>
      <c r="AN1766" s="117"/>
      <c r="AO1766" s="117"/>
    </row>
    <row r="1767" ht="34.5" customHeight="1">
      <c r="A1767" s="111">
        <v>2417.0</v>
      </c>
      <c r="B1767" s="111" t="s">
        <v>9766</v>
      </c>
      <c r="C1767" s="111" t="s">
        <v>7999</v>
      </c>
      <c r="D1767" s="111">
        <v>2025.0</v>
      </c>
      <c r="E1767" s="111"/>
      <c r="F1767" s="111" t="s">
        <v>12393</v>
      </c>
      <c r="G1767" s="111" t="s">
        <v>12226</v>
      </c>
      <c r="H1767" s="111"/>
      <c r="I1767" s="111" t="s">
        <v>12287</v>
      </c>
      <c r="J1767" s="111" t="s">
        <v>12294</v>
      </c>
      <c r="K1767" s="111" t="s">
        <v>30</v>
      </c>
      <c r="L1767" s="111"/>
      <c r="M1767" s="111"/>
      <c r="N1767" s="111"/>
      <c r="O1767" s="111"/>
      <c r="P1767" s="111"/>
      <c r="Q1767" s="111">
        <v>1.0</v>
      </c>
      <c r="R1767" s="111"/>
      <c r="S1767" s="111"/>
      <c r="T1767" s="111"/>
      <c r="U1767" s="111">
        <v>1.0</v>
      </c>
      <c r="V1767" s="111"/>
      <c r="W1767" s="111"/>
      <c r="X1767" s="111"/>
      <c r="Y1767" s="111"/>
      <c r="Z1767" s="111" t="s">
        <v>12420</v>
      </c>
      <c r="AA1767" s="124">
        <v>1.0</v>
      </c>
      <c r="AB1767" s="125">
        <f>IF(Projects!$AI1767="Electrolysis",
AA1767/VLOOKUP(G1767,ElectrolysisConvF,3,FALSE),
AC1767*10^6/(H2dens*HoursInYear))</f>
        <v>192.3076923</v>
      </c>
      <c r="AC1767" s="126">
        <f t="shared" si="336"/>
        <v>0.1499307692</v>
      </c>
      <c r="AD1767" s="125"/>
      <c r="AE1767" s="125">
        <f t="shared" si="282"/>
        <v>192.3076923</v>
      </c>
      <c r="AF1767" s="127" t="s">
        <v>14675</v>
      </c>
      <c r="AG1767" s="127">
        <v>47.583996</v>
      </c>
      <c r="AH1767" s="127">
        <v>12.1692134</v>
      </c>
      <c r="AI1767" s="115" t="s">
        <v>12383</v>
      </c>
      <c r="AJ1767" s="116">
        <v>0.57</v>
      </c>
      <c r="AK1767" s="117"/>
      <c r="AL1767" s="117"/>
      <c r="AM1767" s="117"/>
      <c r="AN1767" s="117"/>
      <c r="AO1767" s="117"/>
    </row>
    <row r="1768" ht="34.5" customHeight="1">
      <c r="A1768" s="111">
        <v>2418.0</v>
      </c>
      <c r="B1768" s="111" t="s">
        <v>237</v>
      </c>
      <c r="C1768" s="111" t="s">
        <v>7999</v>
      </c>
      <c r="D1768" s="111">
        <v>2023.0</v>
      </c>
      <c r="E1768" s="111"/>
      <c r="F1768" s="111" t="s">
        <v>12385</v>
      </c>
      <c r="G1768" s="111" t="s">
        <v>12226</v>
      </c>
      <c r="H1768" s="111"/>
      <c r="I1768" s="111" t="s">
        <v>12394</v>
      </c>
      <c r="J1768" s="111" t="s">
        <v>12295</v>
      </c>
      <c r="K1768" s="111" t="s">
        <v>12449</v>
      </c>
      <c r="L1768" s="111"/>
      <c r="M1768" s="111"/>
      <c r="N1768" s="111"/>
      <c r="O1768" s="111"/>
      <c r="P1768" s="111"/>
      <c r="Q1768" s="111"/>
      <c r="R1768" s="111"/>
      <c r="S1768" s="111"/>
      <c r="T1768" s="111"/>
      <c r="U1768" s="111"/>
      <c r="V1768" s="111"/>
      <c r="W1768" s="111"/>
      <c r="X1768" s="111">
        <v>1.0</v>
      </c>
      <c r="Y1768" s="111"/>
      <c r="Z1768" s="111" t="s">
        <v>14679</v>
      </c>
      <c r="AA1768" s="126">
        <f>IF(Projects!$AI1768="Electrolysis",
AB1768*VLOOKUP(G1768,ElectrolysisConvF,3,FALSE),
"")</f>
        <v>2.000923503</v>
      </c>
      <c r="AB1768" s="125">
        <f>AC1768/(H2dens*HoursInYear/10^6)</f>
        <v>384.7929814</v>
      </c>
      <c r="AC1768" s="146">
        <f>300/1000</f>
        <v>0.3</v>
      </c>
      <c r="AD1768" s="125"/>
      <c r="AE1768" s="125">
        <f t="shared" si="282"/>
        <v>384.7929814</v>
      </c>
      <c r="AF1768" s="127" t="s">
        <v>14680</v>
      </c>
      <c r="AG1768" s="127">
        <v>46.7813377</v>
      </c>
      <c r="AH1768" s="127">
        <v>15.5881617</v>
      </c>
      <c r="AI1768" s="115" t="s">
        <v>12383</v>
      </c>
      <c r="AJ1768" s="116">
        <v>0.5</v>
      </c>
      <c r="AK1768" s="117"/>
      <c r="AL1768" s="117"/>
      <c r="AM1768" s="117"/>
      <c r="AN1768" s="117"/>
      <c r="AO1768" s="117"/>
    </row>
    <row r="1769" ht="34.5" customHeight="1">
      <c r="A1769" s="111">
        <v>2419.0</v>
      </c>
      <c r="B1769" s="111" t="s">
        <v>349</v>
      </c>
      <c r="C1769" s="111" t="s">
        <v>7999</v>
      </c>
      <c r="D1769" s="111">
        <v>2024.0</v>
      </c>
      <c r="E1769" s="111"/>
      <c r="F1769" s="111" t="s">
        <v>12393</v>
      </c>
      <c r="G1769" s="111" t="s">
        <v>12228</v>
      </c>
      <c r="H1769" s="111"/>
      <c r="I1769" s="111" t="s">
        <v>12406</v>
      </c>
      <c r="J1769" s="111"/>
      <c r="K1769" s="111" t="s">
        <v>30</v>
      </c>
      <c r="L1769" s="111"/>
      <c r="M1769" s="111"/>
      <c r="N1769" s="111"/>
      <c r="O1769" s="111"/>
      <c r="P1769" s="111"/>
      <c r="Q1769" s="111">
        <v>1.0</v>
      </c>
      <c r="R1769" s="111"/>
      <c r="S1769" s="111"/>
      <c r="T1769" s="111"/>
      <c r="U1769" s="111"/>
      <c r="V1769" s="111"/>
      <c r="W1769" s="111"/>
      <c r="X1769" s="111"/>
      <c r="Y1769" s="111"/>
      <c r="Z1769" s="111" t="s">
        <v>12420</v>
      </c>
      <c r="AA1769" s="124">
        <v>1.0</v>
      </c>
      <c r="AB1769" s="125">
        <f>IF(Projects!$AI1769="Electrolysis",
AA1769/VLOOKUP(G1769,ElectrolysisConvF,3,FALSE),
AC1769*10^6/(H2dens*HoursInYear))</f>
        <v>263.1578947</v>
      </c>
      <c r="AC1769" s="126">
        <f t="shared" ref="AC1769:AC1771" si="337">AB1769*H2dens*HoursInYear/10^6</f>
        <v>0.2051684211</v>
      </c>
      <c r="AD1769" s="125"/>
      <c r="AE1769" s="125">
        <f t="shared" si="282"/>
        <v>263.1578947</v>
      </c>
      <c r="AF1769" s="127" t="s">
        <v>14681</v>
      </c>
      <c r="AG1769" s="127">
        <v>47.0592760259164</v>
      </c>
      <c r="AH1769" s="127">
        <v>15.4601771792893</v>
      </c>
      <c r="AI1769" s="115" t="s">
        <v>12383</v>
      </c>
      <c r="AJ1769" s="116">
        <v>0.57</v>
      </c>
      <c r="AK1769" s="117"/>
      <c r="AL1769" s="117"/>
      <c r="AM1769" s="117"/>
      <c r="AN1769" s="117"/>
      <c r="AO1769" s="117"/>
    </row>
    <row r="1770" ht="34.5" customHeight="1">
      <c r="A1770" s="111">
        <v>2420.0</v>
      </c>
      <c r="B1770" s="111" t="s">
        <v>9767</v>
      </c>
      <c r="C1770" s="111" t="s">
        <v>7999</v>
      </c>
      <c r="D1770" s="111">
        <v>2017.0</v>
      </c>
      <c r="E1770" s="111"/>
      <c r="F1770" s="111" t="s">
        <v>12385</v>
      </c>
      <c r="G1770" s="111" t="s">
        <v>13638</v>
      </c>
      <c r="H1770" s="111"/>
      <c r="I1770" s="111" t="s">
        <v>12394</v>
      </c>
      <c r="J1770" s="111" t="s">
        <v>12291</v>
      </c>
      <c r="K1770" s="111" t="s">
        <v>30</v>
      </c>
      <c r="L1770" s="111"/>
      <c r="M1770" s="111"/>
      <c r="N1770" s="111"/>
      <c r="O1770" s="111"/>
      <c r="P1770" s="111"/>
      <c r="Q1770" s="111">
        <v>1.0</v>
      </c>
      <c r="R1770" s="111"/>
      <c r="S1770" s="111"/>
      <c r="T1770" s="111"/>
      <c r="U1770" s="111"/>
      <c r="V1770" s="111"/>
      <c r="W1770" s="111"/>
      <c r="X1770" s="111"/>
      <c r="Y1770" s="111"/>
      <c r="Z1770" s="111" t="s">
        <v>13295</v>
      </c>
      <c r="AA1770" s="124">
        <v>0.35</v>
      </c>
      <c r="AB1770" s="125">
        <f>IF(Projects!$AI1770="Electrolysis",
AA1770/VLOOKUP(G1770,ElectrolysisConvF,3,FALSE),
AC1770*10^6/(H2dens*HoursInYear))</f>
        <v>77.77777778</v>
      </c>
      <c r="AC1770" s="126">
        <f t="shared" si="337"/>
        <v>0.06063866667</v>
      </c>
      <c r="AD1770" s="125"/>
      <c r="AE1770" s="125">
        <f t="shared" si="282"/>
        <v>77.77777778</v>
      </c>
      <c r="AF1770" s="127" t="s">
        <v>14682</v>
      </c>
      <c r="AG1770" s="127">
        <v>47.712001112809</v>
      </c>
      <c r="AH1770" s="127">
        <v>14.1609956588841</v>
      </c>
      <c r="AI1770" s="115" t="s">
        <v>12383</v>
      </c>
      <c r="AJ1770" s="116">
        <v>0.3</v>
      </c>
      <c r="AK1770" s="117"/>
      <c r="AL1770" s="117"/>
      <c r="AM1770" s="117"/>
      <c r="AN1770" s="117"/>
      <c r="AO1770" s="117"/>
    </row>
    <row r="1771" ht="34.5" customHeight="1">
      <c r="A1771" s="111">
        <v>2421.0</v>
      </c>
      <c r="B1771" s="111" t="s">
        <v>9768</v>
      </c>
      <c r="C1771" s="111" t="s">
        <v>7999</v>
      </c>
      <c r="D1771" s="111">
        <v>2020.0</v>
      </c>
      <c r="E1771" s="111"/>
      <c r="F1771" s="111" t="s">
        <v>12385</v>
      </c>
      <c r="G1771" s="111" t="s">
        <v>12228</v>
      </c>
      <c r="H1771" s="111"/>
      <c r="I1771" s="111" t="s">
        <v>12759</v>
      </c>
      <c r="J1771" s="111" t="s">
        <v>12294</v>
      </c>
      <c r="K1771" s="111" t="s">
        <v>30</v>
      </c>
      <c r="L1771" s="111"/>
      <c r="M1771" s="111"/>
      <c r="N1771" s="111"/>
      <c r="O1771" s="111"/>
      <c r="P1771" s="111"/>
      <c r="Q1771" s="111"/>
      <c r="R1771" s="111">
        <v>1.0</v>
      </c>
      <c r="S1771" s="111"/>
      <c r="T1771" s="111"/>
      <c r="U1771" s="111"/>
      <c r="V1771" s="111"/>
      <c r="W1771" s="111"/>
      <c r="X1771" s="111"/>
      <c r="Y1771" s="111"/>
      <c r="Z1771" s="111" t="s">
        <v>12471</v>
      </c>
      <c r="AA1771" s="124">
        <v>0.15</v>
      </c>
      <c r="AB1771" s="125">
        <f>IF(Projects!$AI1771="Electrolysis",
AA1771/VLOOKUP(G1771,ElectrolysisConvF,3,FALSE),
AC1771*10^6/(H2dens*HoursInYear))</f>
        <v>39.47368421</v>
      </c>
      <c r="AC1771" s="126">
        <f t="shared" si="337"/>
        <v>0.03077526316</v>
      </c>
      <c r="AD1771" s="125"/>
      <c r="AE1771" s="125">
        <f t="shared" si="282"/>
        <v>39.47368421</v>
      </c>
      <c r="AF1771" s="127" t="s">
        <v>14683</v>
      </c>
      <c r="AG1771" s="127">
        <v>46.9117041209547</v>
      </c>
      <c r="AH1771" s="127">
        <v>15.4873618215583</v>
      </c>
      <c r="AI1771" s="115" t="s">
        <v>12383</v>
      </c>
      <c r="AJ1771" s="116">
        <v>0.7</v>
      </c>
      <c r="AK1771" s="117"/>
      <c r="AL1771" s="117"/>
      <c r="AM1771" s="117"/>
      <c r="AN1771" s="117"/>
      <c r="AO1771" s="117"/>
    </row>
    <row r="1772" ht="34.5" customHeight="1">
      <c r="A1772" s="111">
        <v>2422.0</v>
      </c>
      <c r="B1772" s="111" t="s">
        <v>9769</v>
      </c>
      <c r="C1772" s="111" t="s">
        <v>8008</v>
      </c>
      <c r="D1772" s="111"/>
      <c r="E1772" s="111"/>
      <c r="F1772" s="111" t="s">
        <v>12397</v>
      </c>
      <c r="G1772" s="111" t="s">
        <v>12381</v>
      </c>
      <c r="H1772" s="111"/>
      <c r="I1772" s="111" t="s">
        <v>12759</v>
      </c>
      <c r="J1772" s="111" t="s">
        <v>12296</v>
      </c>
      <c r="K1772" s="111" t="s">
        <v>30</v>
      </c>
      <c r="L1772" s="111"/>
      <c r="M1772" s="111"/>
      <c r="N1772" s="111"/>
      <c r="O1772" s="111"/>
      <c r="P1772" s="111">
        <v>1.0</v>
      </c>
      <c r="Q1772" s="111"/>
      <c r="R1772" s="111"/>
      <c r="S1772" s="111"/>
      <c r="T1772" s="111"/>
      <c r="U1772" s="111"/>
      <c r="V1772" s="111"/>
      <c r="W1772" s="111"/>
      <c r="X1772" s="111"/>
      <c r="Y1772" s="111"/>
      <c r="Z1772" s="111"/>
      <c r="AA1772" s="124">
        <f>IF(OR(G1772="ALK",G1772="PEM",G1772="SOEC",G1772="Other Electrolysis"),
AB1772*VLOOKUP(G1772,ElectrolysisConvF,3,FALSE),
"")</f>
        <v>0</v>
      </c>
      <c r="AB1772" s="125"/>
      <c r="AC1772" s="125"/>
      <c r="AD1772" s="125"/>
      <c r="AE1772" s="125" t="str">
        <f t="shared" si="282"/>
        <v/>
      </c>
      <c r="AF1772" s="127" t="s">
        <v>14684</v>
      </c>
      <c r="AG1772" s="127">
        <v>58.3776701040608</v>
      </c>
      <c r="AH1772" s="127">
        <v>26.7295957084019</v>
      </c>
      <c r="AI1772" s="115" t="s">
        <v>12383</v>
      </c>
      <c r="AJ1772" s="116">
        <v>0.7</v>
      </c>
      <c r="AK1772" s="117"/>
      <c r="AL1772" s="117"/>
      <c r="AM1772" s="117"/>
      <c r="AN1772" s="117"/>
      <c r="AO1772" s="117"/>
    </row>
    <row r="1773" ht="34.5" customHeight="1">
      <c r="A1773" s="111">
        <v>2423.0</v>
      </c>
      <c r="B1773" s="111" t="s">
        <v>9770</v>
      </c>
      <c r="C1773" s="111" t="s">
        <v>8008</v>
      </c>
      <c r="D1773" s="111">
        <v>2030.0</v>
      </c>
      <c r="E1773" s="111"/>
      <c r="F1773" s="111" t="s">
        <v>12397</v>
      </c>
      <c r="G1773" s="111" t="s">
        <v>12226</v>
      </c>
      <c r="H1773" s="111"/>
      <c r="I1773" s="111" t="s">
        <v>12759</v>
      </c>
      <c r="J1773" s="111" t="s">
        <v>12296</v>
      </c>
      <c r="K1773" s="111" t="s">
        <v>30</v>
      </c>
      <c r="L1773" s="111"/>
      <c r="M1773" s="111"/>
      <c r="N1773" s="111"/>
      <c r="O1773" s="111"/>
      <c r="P1773" s="111">
        <v>1.0</v>
      </c>
      <c r="Q1773" s="111"/>
      <c r="R1773" s="111"/>
      <c r="S1773" s="111"/>
      <c r="T1773" s="111"/>
      <c r="U1773" s="111"/>
      <c r="V1773" s="111"/>
      <c r="W1773" s="111"/>
      <c r="X1773" s="111"/>
      <c r="Y1773" s="111"/>
      <c r="Z1773" s="111" t="s">
        <v>12739</v>
      </c>
      <c r="AA1773" s="124">
        <v>24.0</v>
      </c>
      <c r="AB1773" s="125">
        <f>IF(Projects!$AI1773="Electrolysis",
AA1773/VLOOKUP(G1773,ElectrolysisConvF,3,FALSE),
AC1773*10^6/(H2dens*HoursInYear))</f>
        <v>4615.384615</v>
      </c>
      <c r="AC1773" s="126">
        <f>AB1773*H2dens*HoursInYear/10^6</f>
        <v>3.598338462</v>
      </c>
      <c r="AD1773" s="125"/>
      <c r="AE1773" s="125">
        <f t="shared" si="282"/>
        <v>4615.384615</v>
      </c>
      <c r="AF1773" s="125"/>
      <c r="AG1773" s="127">
        <v>59.3538419426786</v>
      </c>
      <c r="AH1773" s="127">
        <v>24.0453019727331</v>
      </c>
      <c r="AI1773" s="115" t="s">
        <v>12383</v>
      </c>
      <c r="AJ1773" s="116">
        <v>0.7</v>
      </c>
      <c r="AK1773" s="117"/>
      <c r="AL1773" s="117"/>
      <c r="AM1773" s="117"/>
      <c r="AN1773" s="117"/>
      <c r="AO1773" s="117"/>
    </row>
    <row r="1774" ht="34.5" customHeight="1">
      <c r="A1774" s="111">
        <v>2424.0</v>
      </c>
      <c r="B1774" s="111" t="s">
        <v>9771</v>
      </c>
      <c r="C1774" s="111" t="s">
        <v>8008</v>
      </c>
      <c r="D1774" s="111">
        <v>2025.0</v>
      </c>
      <c r="E1774" s="111"/>
      <c r="F1774" s="111" t="s">
        <v>12399</v>
      </c>
      <c r="G1774" s="111" t="s">
        <v>12224</v>
      </c>
      <c r="H1774" s="111"/>
      <c r="I1774" s="111" t="s">
        <v>12394</v>
      </c>
      <c r="J1774" s="111" t="s">
        <v>12291</v>
      </c>
      <c r="K1774" s="111" t="s">
        <v>30</v>
      </c>
      <c r="L1774" s="111"/>
      <c r="M1774" s="111"/>
      <c r="N1774" s="111"/>
      <c r="O1774" s="111"/>
      <c r="P1774" s="111">
        <v>1.0</v>
      </c>
      <c r="Q1774" s="111"/>
      <c r="R1774" s="111"/>
      <c r="S1774" s="111"/>
      <c r="T1774" s="111"/>
      <c r="U1774" s="111"/>
      <c r="V1774" s="111"/>
      <c r="W1774" s="111"/>
      <c r="X1774" s="111"/>
      <c r="Y1774" s="111"/>
      <c r="Z1774" s="111" t="s">
        <v>14685</v>
      </c>
      <c r="AA1774" s="126">
        <f>IF(Projects!$AI1774="Electrolysis",
AB1774*VLOOKUP(G1774,ElectrolysisConvF,3,FALSE),
"")</f>
        <v>0.2124057257</v>
      </c>
      <c r="AB1774" s="125">
        <f t="shared" ref="AB1774:AB1775" si="338">AC1774/(H2dens*HoursInYear/10^6)</f>
        <v>46.17515777</v>
      </c>
      <c r="AC1774" s="129">
        <f>36/1000</f>
        <v>0.036</v>
      </c>
      <c r="AD1774" s="125"/>
      <c r="AE1774" s="125">
        <f t="shared" si="282"/>
        <v>46.17515777</v>
      </c>
      <c r="AF1774" s="127" t="s">
        <v>14686</v>
      </c>
      <c r="AG1774" s="127">
        <v>59.4374977470437</v>
      </c>
      <c r="AH1774" s="127">
        <v>24.9003984916742</v>
      </c>
      <c r="AI1774" s="115" t="s">
        <v>12383</v>
      </c>
      <c r="AJ1774" s="116">
        <v>0.3</v>
      </c>
      <c r="AK1774" s="117"/>
      <c r="AL1774" s="117"/>
      <c r="AM1774" s="117"/>
      <c r="AN1774" s="117"/>
      <c r="AO1774" s="117"/>
    </row>
    <row r="1775" ht="34.5" customHeight="1">
      <c r="A1775" s="111">
        <v>2425.0</v>
      </c>
      <c r="B1775" s="111" t="s">
        <v>9772</v>
      </c>
      <c r="C1775" s="111" t="s">
        <v>8008</v>
      </c>
      <c r="D1775" s="111">
        <v>2010.0</v>
      </c>
      <c r="E1775" s="111"/>
      <c r="F1775" s="111" t="s">
        <v>12385</v>
      </c>
      <c r="G1775" s="111" t="s">
        <v>12381</v>
      </c>
      <c r="H1775" s="111" t="s">
        <v>12230</v>
      </c>
      <c r="I1775" s="111" t="s">
        <v>12394</v>
      </c>
      <c r="J1775" s="111" t="s">
        <v>12296</v>
      </c>
      <c r="K1775" s="111" t="s">
        <v>30</v>
      </c>
      <c r="L1775" s="111"/>
      <c r="M1775" s="111"/>
      <c r="N1775" s="111"/>
      <c r="O1775" s="111"/>
      <c r="P1775" s="111">
        <v>1.0</v>
      </c>
      <c r="Q1775" s="111"/>
      <c r="R1775" s="111"/>
      <c r="S1775" s="111"/>
      <c r="T1775" s="111"/>
      <c r="U1775" s="111"/>
      <c r="V1775" s="111"/>
      <c r="W1775" s="111"/>
      <c r="X1775" s="111"/>
      <c r="Y1775" s="111"/>
      <c r="Z1775" s="111" t="s">
        <v>14687</v>
      </c>
      <c r="AA1775" s="126">
        <f>IF(Projects!$AI1775="Electrolysis",
AB1775*VLOOKUP(G1775,ElectrolysisConvF,3,FALSE),
"")</f>
        <v>0.144297368</v>
      </c>
      <c r="AB1775" s="125">
        <f t="shared" si="338"/>
        <v>32.06608178</v>
      </c>
      <c r="AC1775" s="129">
        <f>25/1000</f>
        <v>0.025</v>
      </c>
      <c r="AD1775" s="125"/>
      <c r="AE1775" s="125">
        <f t="shared" si="282"/>
        <v>32.06608178</v>
      </c>
      <c r="AF1775" s="127" t="s">
        <v>14688</v>
      </c>
      <c r="AG1775" s="127">
        <v>59.2756366371454</v>
      </c>
      <c r="AH1775" s="127">
        <v>27.9054387771757</v>
      </c>
      <c r="AI1775" s="115" t="s">
        <v>12383</v>
      </c>
      <c r="AJ1775" s="116">
        <v>0.5</v>
      </c>
      <c r="AK1775" s="117"/>
      <c r="AL1775" s="117"/>
      <c r="AM1775" s="117"/>
      <c r="AN1775" s="117"/>
      <c r="AO1775" s="117"/>
    </row>
    <row r="1776" ht="34.5" customHeight="1">
      <c r="A1776" s="111">
        <v>2426.0</v>
      </c>
      <c r="B1776" s="111" t="s">
        <v>9773</v>
      </c>
      <c r="C1776" s="111" t="s">
        <v>8026</v>
      </c>
      <c r="D1776" s="111">
        <v>2030.0</v>
      </c>
      <c r="E1776" s="111"/>
      <c r="F1776" s="111" t="s">
        <v>12399</v>
      </c>
      <c r="G1776" s="111" t="s">
        <v>12224</v>
      </c>
      <c r="H1776" s="111"/>
      <c r="I1776" s="111" t="s">
        <v>12394</v>
      </c>
      <c r="J1776" s="111" t="s">
        <v>12295</v>
      </c>
      <c r="K1776" s="111" t="s">
        <v>12481</v>
      </c>
      <c r="L1776" s="111"/>
      <c r="M1776" s="111"/>
      <c r="N1776" s="111"/>
      <c r="O1776" s="111"/>
      <c r="P1776" s="111">
        <v>1.0</v>
      </c>
      <c r="Q1776" s="111"/>
      <c r="R1776" s="111"/>
      <c r="S1776" s="111"/>
      <c r="T1776" s="111"/>
      <c r="U1776" s="111"/>
      <c r="V1776" s="111"/>
      <c r="W1776" s="111"/>
      <c r="X1776" s="111">
        <v>1.0</v>
      </c>
      <c r="Y1776" s="111">
        <v>1.0</v>
      </c>
      <c r="Z1776" s="111" t="s">
        <v>13006</v>
      </c>
      <c r="AA1776" s="124">
        <v>200.0</v>
      </c>
      <c r="AB1776" s="125">
        <f>IF(Projects!$AI1776="Electrolysis",
AA1776/VLOOKUP(G1776,ElectrolysisConvF,3,FALSE),
AC1776*10^6/(H2dens*HoursInYear))</f>
        <v>43478.26087</v>
      </c>
      <c r="AC1776" s="126">
        <f t="shared" ref="AC1776:AC1795" si="339">AB1776*H2dens*HoursInYear/10^6</f>
        <v>33.8973913</v>
      </c>
      <c r="AD1776" s="125"/>
      <c r="AE1776" s="125">
        <f t="shared" si="282"/>
        <v>43478.26087</v>
      </c>
      <c r="AF1776" s="127" t="s">
        <v>14689</v>
      </c>
      <c r="AG1776" s="127">
        <v>63.854723</v>
      </c>
      <c r="AH1776" s="127">
        <v>23.049399</v>
      </c>
      <c r="AI1776" s="115" t="s">
        <v>12383</v>
      </c>
      <c r="AJ1776" s="116">
        <v>0.5</v>
      </c>
      <c r="AK1776" s="117"/>
      <c r="AL1776" s="117"/>
      <c r="AM1776" s="117"/>
      <c r="AN1776" s="117"/>
      <c r="AO1776" s="117"/>
    </row>
    <row r="1777" ht="34.5" customHeight="1">
      <c r="A1777" s="111">
        <v>2427.0</v>
      </c>
      <c r="B1777" s="111" t="s">
        <v>9774</v>
      </c>
      <c r="C1777" s="111" t="s">
        <v>8026</v>
      </c>
      <c r="D1777" s="111">
        <v>2030.0</v>
      </c>
      <c r="E1777" s="111"/>
      <c r="F1777" s="111" t="s">
        <v>12399</v>
      </c>
      <c r="G1777" s="111" t="s">
        <v>12381</v>
      </c>
      <c r="H1777" s="111" t="s">
        <v>12230</v>
      </c>
      <c r="I1777" s="111" t="s">
        <v>12406</v>
      </c>
      <c r="J1777" s="111"/>
      <c r="K1777" s="111" t="s">
        <v>174</v>
      </c>
      <c r="L1777" s="111"/>
      <c r="M1777" s="111">
        <v>1.0</v>
      </c>
      <c r="N1777" s="111"/>
      <c r="O1777" s="111"/>
      <c r="P1777" s="111">
        <v>1.0</v>
      </c>
      <c r="Q1777" s="111">
        <v>1.0</v>
      </c>
      <c r="R1777" s="111"/>
      <c r="S1777" s="111"/>
      <c r="T1777" s="111"/>
      <c r="U1777" s="111"/>
      <c r="V1777" s="111"/>
      <c r="W1777" s="111"/>
      <c r="X1777" s="111"/>
      <c r="Y1777" s="111"/>
      <c r="Z1777" s="111" t="s">
        <v>12808</v>
      </c>
      <c r="AA1777" s="126">
        <v>280.0</v>
      </c>
      <c r="AB1777" s="125">
        <f>IF(Projects!$AI1777="Electrolysis",
AA1777/VLOOKUP(G1777,ElectrolysisConvF,3,FALSE),
AC1777*10^6/(H2dens*HoursInYear))</f>
        <v>62222.22222</v>
      </c>
      <c r="AC1777" s="126">
        <f t="shared" si="339"/>
        <v>48.51093333</v>
      </c>
      <c r="AD1777" s="125"/>
      <c r="AE1777" s="125">
        <f t="shared" si="282"/>
        <v>62222.22222</v>
      </c>
      <c r="AF1777" s="127" t="s">
        <v>14690</v>
      </c>
      <c r="AG1777" s="127">
        <v>65.739292294177</v>
      </c>
      <c r="AH1777" s="127">
        <v>24.5496920105328</v>
      </c>
      <c r="AI1777" s="115" t="s">
        <v>12383</v>
      </c>
      <c r="AJ1777" s="116">
        <v>0.57</v>
      </c>
      <c r="AK1777" s="117"/>
      <c r="AL1777" s="117"/>
      <c r="AM1777" s="117"/>
      <c r="AN1777" s="117"/>
      <c r="AO1777" s="117"/>
    </row>
    <row r="1778" ht="34.5" customHeight="1">
      <c r="A1778" s="111">
        <v>2428.0</v>
      </c>
      <c r="B1778" s="111" t="s">
        <v>9775</v>
      </c>
      <c r="C1778" s="111" t="s">
        <v>8026</v>
      </c>
      <c r="D1778" s="111">
        <v>2026.0</v>
      </c>
      <c r="E1778" s="111"/>
      <c r="F1778" s="111" t="s">
        <v>12399</v>
      </c>
      <c r="G1778" s="111" t="s">
        <v>12381</v>
      </c>
      <c r="H1778" s="111" t="s">
        <v>12230</v>
      </c>
      <c r="I1778" s="111" t="s">
        <v>12406</v>
      </c>
      <c r="J1778" s="111"/>
      <c r="K1778" s="111" t="s">
        <v>12415</v>
      </c>
      <c r="L1778" s="111"/>
      <c r="M1778" s="111"/>
      <c r="N1778" s="111">
        <v>1.0</v>
      </c>
      <c r="O1778" s="111"/>
      <c r="P1778" s="111"/>
      <c r="Q1778" s="111">
        <v>1.0</v>
      </c>
      <c r="R1778" s="111"/>
      <c r="S1778" s="111"/>
      <c r="T1778" s="111"/>
      <c r="U1778" s="111"/>
      <c r="V1778" s="111"/>
      <c r="W1778" s="111"/>
      <c r="X1778" s="111"/>
      <c r="Y1778" s="111"/>
      <c r="Z1778" s="150" t="s">
        <v>14691</v>
      </c>
      <c r="AA1778" s="124">
        <v>17.0</v>
      </c>
      <c r="AB1778" s="125">
        <f>IF(Projects!$AI1778="Electrolysis",
AA1778/VLOOKUP(G1778,ElectrolysisConvF,3,FALSE),
AC1778*10^6/(H2dens*HoursInYear))</f>
        <v>3777.777778</v>
      </c>
      <c r="AC1778" s="126">
        <f t="shared" si="339"/>
        <v>2.945306667</v>
      </c>
      <c r="AD1778" s="125"/>
      <c r="AE1778" s="125">
        <f t="shared" si="282"/>
        <v>3777.777778</v>
      </c>
      <c r="AF1778" s="127" t="s">
        <v>14692</v>
      </c>
      <c r="AG1778" s="127">
        <v>61.0384229856236</v>
      </c>
      <c r="AH1778" s="127">
        <v>28.1817125322882</v>
      </c>
      <c r="AI1778" s="115" t="s">
        <v>12383</v>
      </c>
      <c r="AJ1778" s="116">
        <v>0.57</v>
      </c>
      <c r="AK1778" s="117"/>
      <c r="AL1778" s="117"/>
      <c r="AM1778" s="117"/>
      <c r="AN1778" s="117"/>
      <c r="AO1778" s="117"/>
    </row>
    <row r="1779" ht="34.5" customHeight="1">
      <c r="A1779" s="111">
        <v>2429.0</v>
      </c>
      <c r="B1779" s="111" t="s">
        <v>9776</v>
      </c>
      <c r="C1779" s="111" t="s">
        <v>8026</v>
      </c>
      <c r="D1779" s="111">
        <v>2026.0</v>
      </c>
      <c r="E1779" s="111"/>
      <c r="F1779" s="111" t="s">
        <v>12399</v>
      </c>
      <c r="G1779" s="111" t="s">
        <v>12381</v>
      </c>
      <c r="H1779" s="111" t="s">
        <v>12230</v>
      </c>
      <c r="I1779" s="111" t="s">
        <v>12406</v>
      </c>
      <c r="J1779" s="111"/>
      <c r="K1779" s="111" t="s">
        <v>12449</v>
      </c>
      <c r="L1779" s="111"/>
      <c r="M1779" s="111"/>
      <c r="N1779" s="111"/>
      <c r="O1779" s="111"/>
      <c r="P1779" s="111">
        <v>1.0</v>
      </c>
      <c r="Q1779" s="111">
        <v>1.0</v>
      </c>
      <c r="R1779" s="111"/>
      <c r="S1779" s="111"/>
      <c r="T1779" s="111"/>
      <c r="U1779" s="111"/>
      <c r="V1779" s="111"/>
      <c r="W1779" s="111"/>
      <c r="X1779" s="111"/>
      <c r="Y1779" s="111"/>
      <c r="Z1779" s="150" t="s">
        <v>14693</v>
      </c>
      <c r="AA1779" s="124">
        <v>40.0</v>
      </c>
      <c r="AB1779" s="125">
        <f>IF(Projects!$AI1779="Electrolysis",
AA1779/VLOOKUP(G1779,ElectrolysisConvF,3,FALSE),
AC1779*10^6/(H2dens*HoursInYear))</f>
        <v>8888.888889</v>
      </c>
      <c r="AC1779" s="126">
        <f t="shared" si="339"/>
        <v>6.930133333</v>
      </c>
      <c r="AD1779" s="125"/>
      <c r="AE1779" s="125">
        <f t="shared" si="282"/>
        <v>8888.888889</v>
      </c>
      <c r="AF1779" s="127" t="s">
        <v>14694</v>
      </c>
      <c r="AG1779" s="127">
        <v>60.441521</v>
      </c>
      <c r="AH1779" s="127">
        <v>26.894655</v>
      </c>
      <c r="AI1779" s="115" t="s">
        <v>12383</v>
      </c>
      <c r="AJ1779" s="116">
        <v>0.57</v>
      </c>
      <c r="AK1779" s="117"/>
      <c r="AL1779" s="117"/>
      <c r="AM1779" s="117"/>
      <c r="AN1779" s="117"/>
      <c r="AO1779" s="117"/>
    </row>
    <row r="1780" ht="34.5" customHeight="1">
      <c r="A1780" s="111">
        <v>2430.0</v>
      </c>
      <c r="B1780" s="111" t="s">
        <v>9777</v>
      </c>
      <c r="C1780" s="111" t="s">
        <v>8026</v>
      </c>
      <c r="D1780" s="111">
        <v>2026.0</v>
      </c>
      <c r="E1780" s="111"/>
      <c r="F1780" s="111" t="s">
        <v>12399</v>
      </c>
      <c r="G1780" s="111" t="s">
        <v>12381</v>
      </c>
      <c r="H1780" s="111" t="s">
        <v>12230</v>
      </c>
      <c r="I1780" s="111" t="s">
        <v>12406</v>
      </c>
      <c r="J1780" s="111"/>
      <c r="K1780" s="111" t="s">
        <v>12449</v>
      </c>
      <c r="L1780" s="111"/>
      <c r="M1780" s="111"/>
      <c r="N1780" s="111"/>
      <c r="O1780" s="111"/>
      <c r="P1780" s="111">
        <v>1.0</v>
      </c>
      <c r="Q1780" s="111">
        <v>1.0</v>
      </c>
      <c r="R1780" s="111"/>
      <c r="S1780" s="111"/>
      <c r="T1780" s="111"/>
      <c r="U1780" s="111"/>
      <c r="V1780" s="111"/>
      <c r="W1780" s="111"/>
      <c r="X1780" s="111"/>
      <c r="Y1780" s="111"/>
      <c r="Z1780" s="150" t="s">
        <v>12548</v>
      </c>
      <c r="AA1780" s="124">
        <v>120.0</v>
      </c>
      <c r="AB1780" s="125">
        <f>IF(Projects!$AI1780="Electrolysis",
AA1780/VLOOKUP(G1780,ElectrolysisConvF,3,FALSE),
AC1780*10^6/(H2dens*HoursInYear))</f>
        <v>26666.66667</v>
      </c>
      <c r="AC1780" s="126">
        <f t="shared" si="339"/>
        <v>20.7904</v>
      </c>
      <c r="AD1780" s="125"/>
      <c r="AE1780" s="125">
        <f t="shared" si="282"/>
        <v>26666.66667</v>
      </c>
      <c r="AF1780" s="127" t="s">
        <v>14695</v>
      </c>
      <c r="AG1780" s="127">
        <v>60.98987</v>
      </c>
      <c r="AH1780" s="127">
        <v>25.719878</v>
      </c>
      <c r="AI1780" s="115" t="s">
        <v>12383</v>
      </c>
      <c r="AJ1780" s="116">
        <v>0.57</v>
      </c>
      <c r="AK1780" s="117"/>
      <c r="AL1780" s="117"/>
      <c r="AM1780" s="117"/>
      <c r="AN1780" s="117"/>
      <c r="AO1780" s="117"/>
    </row>
    <row r="1781" ht="34.5" customHeight="1">
      <c r="A1781" s="111">
        <v>2431.0</v>
      </c>
      <c r="B1781" s="111" t="s">
        <v>9778</v>
      </c>
      <c r="C1781" s="111" t="s">
        <v>8026</v>
      </c>
      <c r="D1781" s="111">
        <v>2025.0</v>
      </c>
      <c r="E1781" s="111"/>
      <c r="F1781" s="111" t="s">
        <v>12399</v>
      </c>
      <c r="G1781" s="111" t="s">
        <v>12381</v>
      </c>
      <c r="H1781" s="111" t="s">
        <v>12230</v>
      </c>
      <c r="I1781" s="111" t="s">
        <v>12406</v>
      </c>
      <c r="J1781" s="111"/>
      <c r="K1781" s="111" t="s">
        <v>30</v>
      </c>
      <c r="L1781" s="111"/>
      <c r="M1781" s="111"/>
      <c r="N1781" s="111"/>
      <c r="O1781" s="111"/>
      <c r="P1781" s="111">
        <v>1.0</v>
      </c>
      <c r="Q1781" s="111">
        <v>1.0</v>
      </c>
      <c r="R1781" s="111"/>
      <c r="S1781" s="111"/>
      <c r="T1781" s="111"/>
      <c r="U1781" s="111"/>
      <c r="V1781" s="111"/>
      <c r="W1781" s="111"/>
      <c r="X1781" s="111"/>
      <c r="Y1781" s="111"/>
      <c r="Z1781" s="150" t="s">
        <v>13066</v>
      </c>
      <c r="AA1781" s="124">
        <v>60.0</v>
      </c>
      <c r="AB1781" s="125">
        <f>IF(Projects!$AI1781="Electrolysis",
AA1781/VLOOKUP(G1781,ElectrolysisConvF,3,FALSE),
AC1781*10^6/(H2dens*HoursInYear))</f>
        <v>13333.33333</v>
      </c>
      <c r="AC1781" s="126">
        <f t="shared" si="339"/>
        <v>10.3952</v>
      </c>
      <c r="AD1781" s="125"/>
      <c r="AE1781" s="125">
        <f t="shared" si="282"/>
        <v>13333.33333</v>
      </c>
      <c r="AF1781" s="127" t="s">
        <v>14696</v>
      </c>
      <c r="AG1781" s="127">
        <v>61.540897</v>
      </c>
      <c r="AH1781" s="127">
        <v>23.981937</v>
      </c>
      <c r="AI1781" s="115" t="s">
        <v>12383</v>
      </c>
      <c r="AJ1781" s="116">
        <v>0.57</v>
      </c>
      <c r="AK1781" s="117"/>
      <c r="AL1781" s="117"/>
      <c r="AM1781" s="117"/>
      <c r="AN1781" s="117"/>
      <c r="AO1781" s="117"/>
    </row>
    <row r="1782" ht="34.5" customHeight="1">
      <c r="A1782" s="111">
        <v>2432.0</v>
      </c>
      <c r="B1782" s="111" t="s">
        <v>9779</v>
      </c>
      <c r="C1782" s="111" t="s">
        <v>8026</v>
      </c>
      <c r="D1782" s="111">
        <v>2026.0</v>
      </c>
      <c r="E1782" s="111"/>
      <c r="F1782" s="111" t="s">
        <v>12399</v>
      </c>
      <c r="G1782" s="111" t="s">
        <v>12381</v>
      </c>
      <c r="H1782" s="111" t="s">
        <v>12230</v>
      </c>
      <c r="I1782" s="111" t="s">
        <v>12394</v>
      </c>
      <c r="J1782" s="111" t="s">
        <v>12296</v>
      </c>
      <c r="K1782" s="111" t="s">
        <v>30</v>
      </c>
      <c r="L1782" s="111"/>
      <c r="M1782" s="111"/>
      <c r="N1782" s="111"/>
      <c r="O1782" s="111"/>
      <c r="P1782" s="111">
        <v>1.0</v>
      </c>
      <c r="Q1782" s="111">
        <v>1.0</v>
      </c>
      <c r="R1782" s="111"/>
      <c r="S1782" s="111"/>
      <c r="T1782" s="111"/>
      <c r="U1782" s="111"/>
      <c r="V1782" s="111"/>
      <c r="W1782" s="111"/>
      <c r="X1782" s="111"/>
      <c r="Y1782" s="111"/>
      <c r="Z1782" s="111" t="s">
        <v>13098</v>
      </c>
      <c r="AA1782" s="124">
        <v>40.0</v>
      </c>
      <c r="AB1782" s="125">
        <f>IF(Projects!$AI1782="Electrolysis",
AA1782/VLOOKUP(G1782,ElectrolysisConvF,3,FALSE),
AC1782*10^6/(H2dens*HoursInYear))</f>
        <v>8888.888889</v>
      </c>
      <c r="AC1782" s="126">
        <f t="shared" si="339"/>
        <v>6.930133333</v>
      </c>
      <c r="AD1782" s="125"/>
      <c r="AE1782" s="125">
        <f t="shared" si="282"/>
        <v>8888.888889</v>
      </c>
      <c r="AF1782" s="127" t="s">
        <v>14697</v>
      </c>
      <c r="AG1782" s="127">
        <v>62.6199620287964</v>
      </c>
      <c r="AH1782" s="127">
        <v>29.7025510521757</v>
      </c>
      <c r="AI1782" s="115" t="s">
        <v>12383</v>
      </c>
      <c r="AJ1782" s="116">
        <v>0.5</v>
      </c>
      <c r="AK1782" s="117"/>
      <c r="AL1782" s="117"/>
      <c r="AM1782" s="117"/>
      <c r="AN1782" s="117"/>
      <c r="AO1782" s="117"/>
    </row>
    <row r="1783" ht="34.5" customHeight="1">
      <c r="A1783" s="111">
        <v>2433.0</v>
      </c>
      <c r="B1783" s="111" t="s">
        <v>9780</v>
      </c>
      <c r="C1783" s="111" t="s">
        <v>8026</v>
      </c>
      <c r="D1783" s="111">
        <v>2026.0</v>
      </c>
      <c r="E1783" s="111"/>
      <c r="F1783" s="111" t="s">
        <v>12399</v>
      </c>
      <c r="G1783" s="111" t="s">
        <v>12381</v>
      </c>
      <c r="H1783" s="111" t="s">
        <v>12230</v>
      </c>
      <c r="I1783" s="111" t="s">
        <v>12406</v>
      </c>
      <c r="J1783" s="111"/>
      <c r="K1783" s="111" t="s">
        <v>30</v>
      </c>
      <c r="L1783" s="111"/>
      <c r="M1783" s="111"/>
      <c r="N1783" s="111"/>
      <c r="O1783" s="111"/>
      <c r="P1783" s="111">
        <v>1.0</v>
      </c>
      <c r="Q1783" s="111">
        <v>1.0</v>
      </c>
      <c r="R1783" s="111"/>
      <c r="S1783" s="111"/>
      <c r="T1783" s="111"/>
      <c r="U1783" s="111"/>
      <c r="V1783" s="111"/>
      <c r="W1783" s="111"/>
      <c r="X1783" s="111"/>
      <c r="Y1783" s="111"/>
      <c r="Z1783" s="111" t="s">
        <v>13098</v>
      </c>
      <c r="AA1783" s="124">
        <v>40.0</v>
      </c>
      <c r="AB1783" s="125">
        <f>IF(Projects!$AI1783="Electrolysis",
AA1783/VLOOKUP(G1783,ElectrolysisConvF,3,FALSE),
AC1783*10^6/(H2dens*HoursInYear))</f>
        <v>8888.888889</v>
      </c>
      <c r="AC1783" s="126">
        <f t="shared" si="339"/>
        <v>6.930133333</v>
      </c>
      <c r="AD1783" s="125"/>
      <c r="AE1783" s="125">
        <f t="shared" si="282"/>
        <v>8888.888889</v>
      </c>
      <c r="AF1783" s="127" t="s">
        <v>14698</v>
      </c>
      <c r="AG1783" s="127">
        <v>61.67155</v>
      </c>
      <c r="AH1783" s="127">
        <v>27.28966</v>
      </c>
      <c r="AI1783" s="115" t="s">
        <v>12383</v>
      </c>
      <c r="AJ1783" s="116">
        <v>0.57</v>
      </c>
      <c r="AK1783" s="117"/>
      <c r="AL1783" s="117"/>
      <c r="AM1783" s="117"/>
      <c r="AN1783" s="117"/>
      <c r="AO1783" s="117"/>
    </row>
    <row r="1784" ht="34.5" customHeight="1">
      <c r="A1784" s="111">
        <v>2434.0</v>
      </c>
      <c r="B1784" s="111" t="s">
        <v>9781</v>
      </c>
      <c r="C1784" s="111" t="s">
        <v>8026</v>
      </c>
      <c r="D1784" s="111">
        <v>2026.0</v>
      </c>
      <c r="E1784" s="111"/>
      <c r="F1784" s="111" t="s">
        <v>12399</v>
      </c>
      <c r="G1784" s="111" t="s">
        <v>12381</v>
      </c>
      <c r="H1784" s="111" t="s">
        <v>12230</v>
      </c>
      <c r="I1784" s="111" t="s">
        <v>12406</v>
      </c>
      <c r="J1784" s="111"/>
      <c r="K1784" s="111" t="s">
        <v>30</v>
      </c>
      <c r="L1784" s="111"/>
      <c r="M1784" s="111"/>
      <c r="N1784" s="111"/>
      <c r="O1784" s="111"/>
      <c r="P1784" s="111">
        <v>1.0</v>
      </c>
      <c r="Q1784" s="111">
        <v>1.0</v>
      </c>
      <c r="R1784" s="111"/>
      <c r="S1784" s="111"/>
      <c r="T1784" s="111"/>
      <c r="U1784" s="111"/>
      <c r="V1784" s="111"/>
      <c r="W1784" s="111"/>
      <c r="X1784" s="111"/>
      <c r="Y1784" s="111"/>
      <c r="Z1784" s="111" t="s">
        <v>12589</v>
      </c>
      <c r="AA1784" s="124">
        <v>20.0</v>
      </c>
      <c r="AB1784" s="125">
        <f>IF(Projects!$AI1784="Electrolysis",
AA1784/VLOOKUP(G1784,ElectrolysisConvF,3,FALSE),
AC1784*10^6/(H2dens*HoursInYear))</f>
        <v>4444.444444</v>
      </c>
      <c r="AC1784" s="126">
        <f t="shared" si="339"/>
        <v>3.465066667</v>
      </c>
      <c r="AD1784" s="125"/>
      <c r="AE1784" s="125">
        <f t="shared" si="282"/>
        <v>4444.444444</v>
      </c>
      <c r="AF1784" s="127" t="s">
        <v>14699</v>
      </c>
      <c r="AG1784" s="127">
        <v>61.574804</v>
      </c>
      <c r="AH1784" s="127">
        <v>21.55598</v>
      </c>
      <c r="AI1784" s="115" t="s">
        <v>12383</v>
      </c>
      <c r="AJ1784" s="116">
        <v>0.57</v>
      </c>
      <c r="AK1784" s="117"/>
      <c r="AL1784" s="117"/>
      <c r="AM1784" s="117"/>
      <c r="AN1784" s="117"/>
      <c r="AO1784" s="117"/>
    </row>
    <row r="1785" ht="34.5" customHeight="1">
      <c r="A1785" s="111">
        <v>2435.0</v>
      </c>
      <c r="B1785" s="111" t="s">
        <v>9782</v>
      </c>
      <c r="C1785" s="111" t="s">
        <v>8026</v>
      </c>
      <c r="D1785" s="111">
        <v>2025.0</v>
      </c>
      <c r="E1785" s="111"/>
      <c r="F1785" s="111" t="s">
        <v>12399</v>
      </c>
      <c r="G1785" s="111" t="s">
        <v>12381</v>
      </c>
      <c r="H1785" s="111" t="s">
        <v>12230</v>
      </c>
      <c r="I1785" s="111" t="s">
        <v>12406</v>
      </c>
      <c r="J1785" s="111"/>
      <c r="K1785" s="111" t="s">
        <v>30</v>
      </c>
      <c r="L1785" s="111"/>
      <c r="M1785" s="111"/>
      <c r="N1785" s="111"/>
      <c r="O1785" s="111"/>
      <c r="P1785" s="111"/>
      <c r="Q1785" s="111">
        <v>1.0</v>
      </c>
      <c r="R1785" s="111"/>
      <c r="S1785" s="111"/>
      <c r="T1785" s="111"/>
      <c r="U1785" s="111"/>
      <c r="V1785" s="111"/>
      <c r="W1785" s="111">
        <v>1.0</v>
      </c>
      <c r="X1785" s="111"/>
      <c r="Y1785" s="111"/>
      <c r="Z1785" s="111" t="s">
        <v>12589</v>
      </c>
      <c r="AA1785" s="124">
        <v>20.0</v>
      </c>
      <c r="AB1785" s="125">
        <f>IF(Projects!$AI1785="Electrolysis",
AA1785/VLOOKUP(G1785,ElectrolysisConvF,3,FALSE),
AC1785*10^6/(H2dens*HoursInYear))</f>
        <v>4444.444444</v>
      </c>
      <c r="AC1785" s="126">
        <f t="shared" si="339"/>
        <v>3.465066667</v>
      </c>
      <c r="AD1785" s="125"/>
      <c r="AE1785" s="125">
        <f t="shared" si="282"/>
        <v>4444.444444</v>
      </c>
      <c r="AF1785" s="127" t="s">
        <v>14700</v>
      </c>
      <c r="AG1785" s="127">
        <v>61.0697665275325</v>
      </c>
      <c r="AH1785" s="127">
        <v>28.2469298988267</v>
      </c>
      <c r="AI1785" s="115" t="s">
        <v>12383</v>
      </c>
      <c r="AJ1785" s="116">
        <v>0.57</v>
      </c>
      <c r="AK1785" s="117"/>
      <c r="AL1785" s="117"/>
      <c r="AM1785" s="117"/>
      <c r="AN1785" s="117"/>
      <c r="AO1785" s="117"/>
    </row>
    <row r="1786" ht="34.5" customHeight="1">
      <c r="A1786" s="111">
        <v>2436.0</v>
      </c>
      <c r="B1786" s="111" t="s">
        <v>9783</v>
      </c>
      <c r="C1786" s="111" t="s">
        <v>8026</v>
      </c>
      <c r="D1786" s="111">
        <v>2026.0</v>
      </c>
      <c r="E1786" s="111"/>
      <c r="F1786" s="111" t="s">
        <v>12393</v>
      </c>
      <c r="G1786" s="111" t="s">
        <v>12381</v>
      </c>
      <c r="H1786" s="111" t="s">
        <v>12230</v>
      </c>
      <c r="I1786" s="111" t="s">
        <v>12394</v>
      </c>
      <c r="J1786" s="111" t="s">
        <v>12296</v>
      </c>
      <c r="K1786" s="111" t="s">
        <v>30</v>
      </c>
      <c r="L1786" s="111"/>
      <c r="M1786" s="111"/>
      <c r="N1786" s="111"/>
      <c r="O1786" s="111"/>
      <c r="P1786" s="111"/>
      <c r="Q1786" s="111"/>
      <c r="R1786" s="111">
        <v>1.0</v>
      </c>
      <c r="S1786" s="111"/>
      <c r="T1786" s="111"/>
      <c r="U1786" s="111"/>
      <c r="V1786" s="111"/>
      <c r="W1786" s="111"/>
      <c r="X1786" s="111"/>
      <c r="Y1786" s="111"/>
      <c r="Z1786" s="111" t="s">
        <v>12703</v>
      </c>
      <c r="AA1786" s="124">
        <v>10.0</v>
      </c>
      <c r="AB1786" s="125">
        <f>IF(Projects!$AI1786="Electrolysis",
AA1786/VLOOKUP(G1786,ElectrolysisConvF,3,FALSE),
AC1786*10^6/(H2dens*HoursInYear))</f>
        <v>2222.222222</v>
      </c>
      <c r="AC1786" s="126">
        <f t="shared" si="339"/>
        <v>1.732533333</v>
      </c>
      <c r="AD1786" s="125"/>
      <c r="AE1786" s="125">
        <f t="shared" si="282"/>
        <v>2222.222222</v>
      </c>
      <c r="AF1786" s="127" t="s">
        <v>14696</v>
      </c>
      <c r="AG1786" s="127">
        <v>63.10121</v>
      </c>
      <c r="AH1786" s="127">
        <v>21.601948</v>
      </c>
      <c r="AI1786" s="115" t="s">
        <v>12383</v>
      </c>
      <c r="AJ1786" s="116">
        <v>0.5</v>
      </c>
      <c r="AK1786" s="117"/>
      <c r="AL1786" s="117"/>
      <c r="AM1786" s="117"/>
      <c r="AN1786" s="117"/>
      <c r="AO1786" s="117"/>
    </row>
    <row r="1787" ht="34.5" customHeight="1">
      <c r="A1787" s="111">
        <v>2437.0</v>
      </c>
      <c r="B1787" s="111" t="s">
        <v>9784</v>
      </c>
      <c r="C1787" s="111" t="s">
        <v>8026</v>
      </c>
      <c r="D1787" s="111">
        <v>2025.0</v>
      </c>
      <c r="E1787" s="111"/>
      <c r="F1787" s="111" t="s">
        <v>12393</v>
      </c>
      <c r="G1787" s="111" t="s">
        <v>12381</v>
      </c>
      <c r="H1787" s="111" t="s">
        <v>12230</v>
      </c>
      <c r="I1787" s="111" t="s">
        <v>12406</v>
      </c>
      <c r="J1787" s="111"/>
      <c r="K1787" s="111" t="s">
        <v>30</v>
      </c>
      <c r="L1787" s="111"/>
      <c r="M1787" s="111"/>
      <c r="N1787" s="111"/>
      <c r="O1787" s="111"/>
      <c r="P1787" s="111"/>
      <c r="Q1787" s="111">
        <v>1.0</v>
      </c>
      <c r="R1787" s="111"/>
      <c r="S1787" s="111"/>
      <c r="T1787" s="111"/>
      <c r="U1787" s="111"/>
      <c r="V1787" s="111"/>
      <c r="W1787" s="111"/>
      <c r="X1787" s="111"/>
      <c r="Y1787" s="111"/>
      <c r="Z1787" s="111" t="s">
        <v>12395</v>
      </c>
      <c r="AA1787" s="124">
        <v>2.5</v>
      </c>
      <c r="AB1787" s="125">
        <f>IF(Projects!$AI1787="Electrolysis",
AA1787/VLOOKUP(G1787,ElectrolysisConvF,3,FALSE),
AC1787*10^6/(H2dens*HoursInYear))</f>
        <v>555.5555556</v>
      </c>
      <c r="AC1787" s="126">
        <f t="shared" si="339"/>
        <v>0.4331333333</v>
      </c>
      <c r="AD1787" s="125"/>
      <c r="AE1787" s="125">
        <f t="shared" si="282"/>
        <v>555.5555556</v>
      </c>
      <c r="AF1787" s="127" t="s">
        <v>14701</v>
      </c>
      <c r="AG1787" s="127">
        <v>61.2937632191511</v>
      </c>
      <c r="AH1787" s="127">
        <v>23.7408119114836</v>
      </c>
      <c r="AI1787" s="115" t="s">
        <v>12383</v>
      </c>
      <c r="AJ1787" s="116">
        <v>0.57</v>
      </c>
      <c r="AK1787" s="117"/>
      <c r="AL1787" s="117"/>
      <c r="AM1787" s="117"/>
      <c r="AN1787" s="117"/>
      <c r="AO1787" s="117"/>
    </row>
    <row r="1788" ht="34.5" customHeight="1">
      <c r="A1788" s="111">
        <v>2438.0</v>
      </c>
      <c r="B1788" s="111" t="s">
        <v>9785</v>
      </c>
      <c r="C1788" s="111" t="s">
        <v>8026</v>
      </c>
      <c r="D1788" s="111">
        <v>2026.0</v>
      </c>
      <c r="E1788" s="111"/>
      <c r="F1788" s="111" t="s">
        <v>12393</v>
      </c>
      <c r="G1788" s="111" t="s">
        <v>12226</v>
      </c>
      <c r="H1788" s="111"/>
      <c r="I1788" s="111" t="s">
        <v>12406</v>
      </c>
      <c r="J1788" s="111"/>
      <c r="K1788" s="111" t="s">
        <v>30</v>
      </c>
      <c r="L1788" s="111"/>
      <c r="M1788" s="111"/>
      <c r="N1788" s="111"/>
      <c r="O1788" s="111"/>
      <c r="P1788" s="111">
        <v>1.0</v>
      </c>
      <c r="Q1788" s="111">
        <v>1.0</v>
      </c>
      <c r="R1788" s="111"/>
      <c r="S1788" s="111"/>
      <c r="T1788" s="111"/>
      <c r="U1788" s="111">
        <v>1.0</v>
      </c>
      <c r="V1788" s="111"/>
      <c r="W1788" s="111"/>
      <c r="X1788" s="111"/>
      <c r="Y1788" s="111"/>
      <c r="Z1788" s="111" t="s">
        <v>12963</v>
      </c>
      <c r="AA1788" s="124">
        <v>4.0</v>
      </c>
      <c r="AB1788" s="125">
        <f>IF(Projects!$AI1788="Electrolysis",
AA1788/VLOOKUP(G1788,ElectrolysisConvF,3,FALSE),
AC1788*10^6/(H2dens*HoursInYear))</f>
        <v>769.2307692</v>
      </c>
      <c r="AC1788" s="126">
        <f t="shared" si="339"/>
        <v>0.5997230769</v>
      </c>
      <c r="AD1788" s="125"/>
      <c r="AE1788" s="125">
        <f t="shared" si="282"/>
        <v>769.2307692</v>
      </c>
      <c r="AF1788" s="127" t="s">
        <v>14702</v>
      </c>
      <c r="AG1788" s="127">
        <v>60.2107099201774</v>
      </c>
      <c r="AH1788" s="127">
        <v>25.1400472587567</v>
      </c>
      <c r="AI1788" s="115" t="s">
        <v>12383</v>
      </c>
      <c r="AJ1788" s="116">
        <v>0.57</v>
      </c>
      <c r="AK1788" s="117"/>
      <c r="AL1788" s="117"/>
      <c r="AM1788" s="117"/>
      <c r="AN1788" s="117"/>
      <c r="AO1788" s="117"/>
    </row>
    <row r="1789" ht="34.5" customHeight="1">
      <c r="A1789" s="111">
        <v>2439.0</v>
      </c>
      <c r="B1789" s="111" t="s">
        <v>9786</v>
      </c>
      <c r="C1789" s="111" t="s">
        <v>9176</v>
      </c>
      <c r="D1789" s="111">
        <v>2030.0</v>
      </c>
      <c r="E1789" s="111"/>
      <c r="F1789" s="111" t="s">
        <v>12397</v>
      </c>
      <c r="G1789" s="111" t="s">
        <v>12381</v>
      </c>
      <c r="H1789" s="111" t="s">
        <v>12230</v>
      </c>
      <c r="I1789" s="111" t="s">
        <v>12406</v>
      </c>
      <c r="J1789" s="111"/>
      <c r="K1789" s="111" t="s">
        <v>30</v>
      </c>
      <c r="L1789" s="111"/>
      <c r="M1789" s="111"/>
      <c r="N1789" s="111"/>
      <c r="O1789" s="111"/>
      <c r="P1789" s="111"/>
      <c r="Q1789" s="111"/>
      <c r="R1789" s="111">
        <v>1.0</v>
      </c>
      <c r="S1789" s="111"/>
      <c r="T1789" s="111"/>
      <c r="U1789" s="111"/>
      <c r="V1789" s="111"/>
      <c r="W1789" s="111"/>
      <c r="X1789" s="111"/>
      <c r="Y1789" s="111"/>
      <c r="Z1789" s="111" t="s">
        <v>12709</v>
      </c>
      <c r="AA1789" s="124">
        <v>100.0</v>
      </c>
      <c r="AB1789" s="125">
        <f>IF(Projects!$AI1789="Electrolysis",
AA1789/VLOOKUP(G1789,ElectrolysisConvF,3,FALSE),
AC1789*10^6/(H2dens*HoursInYear))</f>
        <v>22222.22222</v>
      </c>
      <c r="AC1789" s="126">
        <f t="shared" si="339"/>
        <v>17.32533333</v>
      </c>
      <c r="AD1789" s="125"/>
      <c r="AE1789" s="125">
        <f t="shared" si="282"/>
        <v>22222.22222</v>
      </c>
      <c r="AF1789" s="127" t="s">
        <v>14703</v>
      </c>
      <c r="AG1789" s="127">
        <v>45.8403249602134</v>
      </c>
      <c r="AH1789" s="127">
        <v>25.0435517659759</v>
      </c>
      <c r="AI1789" s="115" t="s">
        <v>12383</v>
      </c>
      <c r="AJ1789" s="116">
        <v>0.57</v>
      </c>
      <c r="AK1789" s="117"/>
      <c r="AL1789" s="117"/>
      <c r="AM1789" s="117"/>
      <c r="AN1789" s="117"/>
      <c r="AO1789" s="117"/>
    </row>
    <row r="1790" ht="34.5" customHeight="1">
      <c r="A1790" s="111">
        <v>2440.0</v>
      </c>
      <c r="B1790" s="111" t="s">
        <v>407</v>
      </c>
      <c r="C1790" s="111" t="s">
        <v>9176</v>
      </c>
      <c r="D1790" s="111">
        <v>2025.0</v>
      </c>
      <c r="E1790" s="111"/>
      <c r="F1790" s="111" t="s">
        <v>12399</v>
      </c>
      <c r="G1790" s="111" t="s">
        <v>12224</v>
      </c>
      <c r="H1790" s="111"/>
      <c r="I1790" s="111" t="s">
        <v>12406</v>
      </c>
      <c r="J1790" s="111"/>
      <c r="K1790" s="111" t="s">
        <v>30</v>
      </c>
      <c r="L1790" s="111"/>
      <c r="M1790" s="111"/>
      <c r="N1790" s="111"/>
      <c r="O1790" s="111"/>
      <c r="P1790" s="111"/>
      <c r="Q1790" s="111"/>
      <c r="R1790" s="111"/>
      <c r="S1790" s="111"/>
      <c r="T1790" s="111"/>
      <c r="U1790" s="111"/>
      <c r="V1790" s="111"/>
      <c r="W1790" s="111"/>
      <c r="X1790" s="111"/>
      <c r="Y1790" s="111"/>
      <c r="Z1790" s="111" t="s">
        <v>12603</v>
      </c>
      <c r="AA1790" s="124">
        <v>5.0</v>
      </c>
      <c r="AB1790" s="125">
        <f>IF(Projects!$AI1790="Electrolysis",
AA1790/VLOOKUP(G1790,ElectrolysisConvF,3,FALSE),
AC1790*10^6/(H2dens*HoursInYear))</f>
        <v>1086.956522</v>
      </c>
      <c r="AC1790" s="126">
        <f t="shared" si="339"/>
        <v>0.8474347826</v>
      </c>
      <c r="AD1790" s="125"/>
      <c r="AE1790" s="125">
        <f t="shared" si="282"/>
        <v>1086.956522</v>
      </c>
      <c r="AF1790" s="127" t="s">
        <v>14704</v>
      </c>
      <c r="AG1790" s="127">
        <v>46.567153</v>
      </c>
      <c r="AH1790" s="127">
        <v>23.788949</v>
      </c>
      <c r="AI1790" s="115" t="s">
        <v>12383</v>
      </c>
      <c r="AJ1790" s="116">
        <v>0.57</v>
      </c>
      <c r="AK1790" s="144"/>
      <c r="AL1790" s="144"/>
      <c r="AM1790" s="144"/>
      <c r="AN1790" s="144"/>
      <c r="AO1790" s="144"/>
    </row>
    <row r="1791" ht="34.5" customHeight="1">
      <c r="A1791" s="111">
        <v>2442.0</v>
      </c>
      <c r="B1791" s="111" t="s">
        <v>9787</v>
      </c>
      <c r="C1791" s="111" t="s">
        <v>8161</v>
      </c>
      <c r="D1791" s="111">
        <v>2025.0</v>
      </c>
      <c r="E1791" s="111"/>
      <c r="F1791" s="111" t="s">
        <v>12393</v>
      </c>
      <c r="G1791" s="111" t="s">
        <v>12226</v>
      </c>
      <c r="H1791" s="111"/>
      <c r="I1791" s="111" t="s">
        <v>12394</v>
      </c>
      <c r="J1791" s="111" t="s">
        <v>12291</v>
      </c>
      <c r="K1791" s="111" t="s">
        <v>30</v>
      </c>
      <c r="L1791" s="111"/>
      <c r="M1791" s="111"/>
      <c r="N1791" s="111"/>
      <c r="O1791" s="111"/>
      <c r="P1791" s="111"/>
      <c r="Q1791" s="111">
        <v>1.0</v>
      </c>
      <c r="R1791" s="111">
        <v>1.0</v>
      </c>
      <c r="S1791" s="111"/>
      <c r="T1791" s="111"/>
      <c r="U1791" s="111"/>
      <c r="V1791" s="111"/>
      <c r="W1791" s="111"/>
      <c r="X1791" s="111"/>
      <c r="Y1791" s="111"/>
      <c r="Z1791" s="111" t="s">
        <v>12446</v>
      </c>
      <c r="AA1791" s="124">
        <v>4.0</v>
      </c>
      <c r="AB1791" s="125">
        <f>IF(Projects!$AI1791="Electrolysis",
AA1791/VLOOKUP(G1791,ElectrolysisConvF,3,FALSE),
AC1791*10^6/(H2dens*HoursInYear))</f>
        <v>769.2307692</v>
      </c>
      <c r="AC1791" s="126">
        <f t="shared" si="339"/>
        <v>0.5997230769</v>
      </c>
      <c r="AD1791" s="125"/>
      <c r="AE1791" s="125">
        <f t="shared" si="282"/>
        <v>769.2307692</v>
      </c>
      <c r="AF1791" s="127" t="s">
        <v>14705</v>
      </c>
      <c r="AG1791" s="127">
        <v>37.9832689135513</v>
      </c>
      <c r="AH1791" s="127">
        <v>-8.82367514254395</v>
      </c>
      <c r="AI1791" s="115" t="s">
        <v>12383</v>
      </c>
      <c r="AJ1791" s="116">
        <v>0.3</v>
      </c>
      <c r="AK1791" s="117"/>
      <c r="AL1791" s="117"/>
      <c r="AM1791" s="117"/>
      <c r="AN1791" s="117"/>
      <c r="AO1791" s="117"/>
    </row>
    <row r="1792" ht="34.5" customHeight="1">
      <c r="A1792" s="111">
        <v>2443.0</v>
      </c>
      <c r="B1792" s="111" t="s">
        <v>9788</v>
      </c>
      <c r="C1792" s="111" t="s">
        <v>8161</v>
      </c>
      <c r="D1792" s="111">
        <v>2025.0</v>
      </c>
      <c r="E1792" s="111"/>
      <c r="F1792" s="111" t="s">
        <v>12399</v>
      </c>
      <c r="G1792" s="111" t="s">
        <v>12226</v>
      </c>
      <c r="H1792" s="111"/>
      <c r="I1792" s="111" t="s">
        <v>12406</v>
      </c>
      <c r="J1792" s="111"/>
      <c r="K1792" s="111" t="s">
        <v>30</v>
      </c>
      <c r="L1792" s="111"/>
      <c r="M1792" s="111"/>
      <c r="N1792" s="111"/>
      <c r="O1792" s="111"/>
      <c r="P1792" s="111">
        <v>1.0</v>
      </c>
      <c r="Q1792" s="111"/>
      <c r="R1792" s="111"/>
      <c r="S1792" s="111"/>
      <c r="T1792" s="111"/>
      <c r="U1792" s="111"/>
      <c r="V1792" s="111"/>
      <c r="W1792" s="111"/>
      <c r="X1792" s="111">
        <v>1.0</v>
      </c>
      <c r="Y1792" s="111"/>
      <c r="Z1792" s="111" t="s">
        <v>14706</v>
      </c>
      <c r="AA1792" s="124">
        <v>6.6</v>
      </c>
      <c r="AB1792" s="125">
        <f>IF(Projects!$AI1792="Electrolysis",
AA1792/VLOOKUP(G1792,ElectrolysisConvF,3,FALSE),
AC1792*10^6/(H2dens*HoursInYear))</f>
        <v>1269.230769</v>
      </c>
      <c r="AC1792" s="126">
        <f t="shared" si="339"/>
        <v>0.9895430769</v>
      </c>
      <c r="AD1792" s="125"/>
      <c r="AE1792" s="125">
        <f t="shared" si="282"/>
        <v>1269.230769</v>
      </c>
      <c r="AF1792" s="127" t="s">
        <v>14707</v>
      </c>
      <c r="AG1792" s="127">
        <v>37.983268913513</v>
      </c>
      <c r="AH1792" s="127">
        <v>-8.82367514254395</v>
      </c>
      <c r="AI1792" s="115" t="s">
        <v>12383</v>
      </c>
      <c r="AJ1792" s="116">
        <v>0.57</v>
      </c>
      <c r="AK1792" s="144"/>
      <c r="AL1792" s="144"/>
      <c r="AM1792" s="144"/>
      <c r="AN1792" s="144"/>
      <c r="AO1792" s="144"/>
    </row>
    <row r="1793" ht="34.5" customHeight="1">
      <c r="A1793" s="111">
        <v>2445.0</v>
      </c>
      <c r="B1793" s="111" t="s">
        <v>9789</v>
      </c>
      <c r="C1793" s="111" t="s">
        <v>8108</v>
      </c>
      <c r="D1793" s="111">
        <v>2024.0</v>
      </c>
      <c r="E1793" s="111"/>
      <c r="F1793" s="111" t="s">
        <v>12385</v>
      </c>
      <c r="G1793" s="111" t="s">
        <v>12226</v>
      </c>
      <c r="H1793" s="111"/>
      <c r="I1793" s="111" t="s">
        <v>12759</v>
      </c>
      <c r="J1793" s="111" t="s">
        <v>12296</v>
      </c>
      <c r="K1793" s="111" t="s">
        <v>30</v>
      </c>
      <c r="L1793" s="111"/>
      <c r="M1793" s="111"/>
      <c r="N1793" s="111"/>
      <c r="O1793" s="111"/>
      <c r="P1793" s="111"/>
      <c r="Q1793" s="111"/>
      <c r="R1793" s="111">
        <v>1.0</v>
      </c>
      <c r="S1793" s="111"/>
      <c r="T1793" s="111"/>
      <c r="U1793" s="111"/>
      <c r="V1793" s="111"/>
      <c r="W1793" s="111"/>
      <c r="X1793" s="111"/>
      <c r="Y1793" s="111"/>
      <c r="Z1793" s="111" t="s">
        <v>14708</v>
      </c>
      <c r="AA1793" s="124">
        <v>0.34</v>
      </c>
      <c r="AB1793" s="125">
        <f>IF(Projects!$AI1793="Electrolysis",
AA1793/VLOOKUP(G1793,ElectrolysisConvF,3,FALSE),
AC1793*10^6/(H2dens*HoursInYear))</f>
        <v>65.38461538</v>
      </c>
      <c r="AC1793" s="126">
        <f t="shared" si="339"/>
        <v>0.05097646154</v>
      </c>
      <c r="AD1793" s="125"/>
      <c r="AE1793" s="125">
        <f t="shared" si="282"/>
        <v>65.38461538</v>
      </c>
      <c r="AF1793" s="127" t="s">
        <v>14709</v>
      </c>
      <c r="AG1793" s="127">
        <v>25.0917947210412</v>
      </c>
      <c r="AH1793" s="127">
        <v>72.3779797117818</v>
      </c>
      <c r="AI1793" s="115" t="s">
        <v>12383</v>
      </c>
      <c r="AJ1793" s="116">
        <v>0.7</v>
      </c>
      <c r="AK1793" s="117"/>
      <c r="AL1793" s="117"/>
      <c r="AM1793" s="117"/>
      <c r="AN1793" s="117"/>
      <c r="AO1793" s="117"/>
    </row>
    <row r="1794" ht="34.5" customHeight="1">
      <c r="A1794" s="111">
        <v>2446.0</v>
      </c>
      <c r="B1794" s="145" t="s">
        <v>9790</v>
      </c>
      <c r="C1794" s="111" t="s">
        <v>8108</v>
      </c>
      <c r="D1794" s="111">
        <v>2025.0</v>
      </c>
      <c r="E1794" s="111"/>
      <c r="F1794" s="111" t="s">
        <v>12393</v>
      </c>
      <c r="G1794" s="111" t="s">
        <v>12226</v>
      </c>
      <c r="H1794" s="111"/>
      <c r="I1794" s="111" t="s">
        <v>12394</v>
      </c>
      <c r="J1794" s="111" t="s">
        <v>12291</v>
      </c>
      <c r="K1794" s="111" t="s">
        <v>30</v>
      </c>
      <c r="L1794" s="111"/>
      <c r="M1794" s="111"/>
      <c r="N1794" s="111"/>
      <c r="O1794" s="111"/>
      <c r="P1794" s="111"/>
      <c r="Q1794" s="111"/>
      <c r="R1794" s="111">
        <v>1.0</v>
      </c>
      <c r="S1794" s="111"/>
      <c r="T1794" s="111"/>
      <c r="U1794" s="111"/>
      <c r="V1794" s="111"/>
      <c r="W1794" s="111"/>
      <c r="X1794" s="111"/>
      <c r="Y1794" s="111"/>
      <c r="Z1794" s="111" t="s">
        <v>12420</v>
      </c>
      <c r="AA1794" s="124">
        <v>1.0</v>
      </c>
      <c r="AB1794" s="125">
        <f>IF(Projects!$AI1794="Electrolysis",
AA1794/VLOOKUP(G1794,ElectrolysisConvF,3,FALSE),
AC1794*10^6/(H2dens*HoursInYear))</f>
        <v>192.3076923</v>
      </c>
      <c r="AC1794" s="126">
        <f t="shared" si="339"/>
        <v>0.1499307692</v>
      </c>
      <c r="AD1794" s="125"/>
      <c r="AE1794" s="125">
        <f t="shared" si="282"/>
        <v>192.3076923</v>
      </c>
      <c r="AF1794" s="127" t="s">
        <v>14709</v>
      </c>
      <c r="AG1794" s="127">
        <v>33.6019122017365</v>
      </c>
      <c r="AH1794" s="127">
        <v>78.6573027622279</v>
      </c>
      <c r="AI1794" s="115" t="s">
        <v>12383</v>
      </c>
      <c r="AJ1794" s="116">
        <v>0.3</v>
      </c>
      <c r="AK1794" s="117"/>
      <c r="AL1794" s="117"/>
      <c r="AM1794" s="117"/>
      <c r="AN1794" s="117"/>
      <c r="AO1794" s="117"/>
    </row>
    <row r="1795" ht="34.5" customHeight="1">
      <c r="A1795" s="111">
        <v>2447.0</v>
      </c>
      <c r="B1795" s="111" t="s">
        <v>9791</v>
      </c>
      <c r="C1795" s="111" t="s">
        <v>7987</v>
      </c>
      <c r="D1795" s="111">
        <v>2027.0</v>
      </c>
      <c r="E1795" s="111"/>
      <c r="F1795" s="111" t="s">
        <v>12399</v>
      </c>
      <c r="G1795" s="111" t="s">
        <v>12381</v>
      </c>
      <c r="H1795" s="111" t="s">
        <v>12230</v>
      </c>
      <c r="I1795" s="111" t="s">
        <v>12406</v>
      </c>
      <c r="J1795" s="111"/>
      <c r="K1795" s="111" t="s">
        <v>30</v>
      </c>
      <c r="L1795" s="111"/>
      <c r="M1795" s="111"/>
      <c r="N1795" s="111"/>
      <c r="O1795" s="111"/>
      <c r="P1795" s="111"/>
      <c r="Q1795" s="111"/>
      <c r="R1795" s="111"/>
      <c r="S1795" s="111"/>
      <c r="T1795" s="111"/>
      <c r="U1795" s="111"/>
      <c r="V1795" s="111"/>
      <c r="W1795" s="111"/>
      <c r="X1795" s="111"/>
      <c r="Y1795" s="111"/>
      <c r="Z1795" s="111" t="s">
        <v>13102</v>
      </c>
      <c r="AA1795" s="124">
        <v>600.0</v>
      </c>
      <c r="AB1795" s="125">
        <f>IF(Projects!$AI1795="Electrolysis",
AA1795/VLOOKUP(G1795,ElectrolysisConvF,3,FALSE),
AC1795*10^6/(H2dens*HoursInYear))</f>
        <v>133333.3333</v>
      </c>
      <c r="AC1795" s="126">
        <f t="shared" si="339"/>
        <v>103.952</v>
      </c>
      <c r="AD1795" s="125"/>
      <c r="AE1795" s="125">
        <f t="shared" si="282"/>
        <v>133333.3333</v>
      </c>
      <c r="AF1795" s="127" t="s">
        <v>14710</v>
      </c>
      <c r="AG1795" s="127">
        <v>54.1302986718926</v>
      </c>
      <c r="AH1795" s="127">
        <v>13.6264433712111</v>
      </c>
      <c r="AI1795" s="115" t="s">
        <v>12383</v>
      </c>
      <c r="AJ1795" s="116">
        <v>0.57</v>
      </c>
      <c r="AK1795" s="117"/>
      <c r="AL1795" s="117"/>
      <c r="AM1795" s="117"/>
      <c r="AN1795" s="117"/>
      <c r="AO1795" s="117"/>
    </row>
    <row r="1796" ht="34.5" customHeight="1">
      <c r="A1796" s="111">
        <v>2448.0</v>
      </c>
      <c r="B1796" s="111" t="s">
        <v>9792</v>
      </c>
      <c r="C1796" s="111" t="s">
        <v>7981</v>
      </c>
      <c r="D1796" s="111"/>
      <c r="E1796" s="111"/>
      <c r="F1796" s="111" t="s">
        <v>12399</v>
      </c>
      <c r="G1796" s="111" t="s">
        <v>13722</v>
      </c>
      <c r="H1796" s="111"/>
      <c r="I1796" s="111"/>
      <c r="J1796" s="111"/>
      <c r="K1796" s="111" t="s">
        <v>30</v>
      </c>
      <c r="L1796" s="111"/>
      <c r="M1796" s="111"/>
      <c r="N1796" s="111"/>
      <c r="O1796" s="111"/>
      <c r="P1796" s="111"/>
      <c r="Q1796" s="111"/>
      <c r="R1796" s="111"/>
      <c r="S1796" s="111"/>
      <c r="T1796" s="111"/>
      <c r="U1796" s="111"/>
      <c r="V1796" s="111"/>
      <c r="W1796" s="111"/>
      <c r="X1796" s="111"/>
      <c r="Y1796" s="111"/>
      <c r="Z1796" s="111" t="s">
        <v>14711</v>
      </c>
      <c r="AA1796" s="124"/>
      <c r="AB1796" s="125">
        <f>AC1796/(H2dens*HoursInYear/10^6)</f>
        <v>26935.5087</v>
      </c>
      <c r="AC1796" s="125">
        <v>21.0</v>
      </c>
      <c r="AD1796" s="125">
        <v>450000.0</v>
      </c>
      <c r="AE1796" s="125">
        <f t="shared" si="282"/>
        <v>26935.5087</v>
      </c>
      <c r="AF1796" s="127" t="s">
        <v>14712</v>
      </c>
      <c r="AG1796" s="127">
        <v>38.5743503095798</v>
      </c>
      <c r="AH1796" s="127">
        <v>-121.525974677112</v>
      </c>
      <c r="AI1796" s="115" t="s">
        <v>12241</v>
      </c>
      <c r="AJ1796" s="116">
        <v>0.9</v>
      </c>
      <c r="AK1796" s="117"/>
      <c r="AL1796" s="117"/>
      <c r="AM1796" s="117"/>
      <c r="AN1796" s="117"/>
      <c r="AO1796" s="117"/>
    </row>
    <row r="1797" ht="34.5" customHeight="1">
      <c r="A1797" s="111">
        <v>2449.0</v>
      </c>
      <c r="B1797" s="111" t="s">
        <v>9793</v>
      </c>
      <c r="C1797" s="111" t="s">
        <v>7981</v>
      </c>
      <c r="D1797" s="111">
        <v>2026.0</v>
      </c>
      <c r="E1797" s="111"/>
      <c r="F1797" s="111" t="s">
        <v>12399</v>
      </c>
      <c r="G1797" s="111" t="s">
        <v>13722</v>
      </c>
      <c r="H1797" s="111"/>
      <c r="I1797" s="111"/>
      <c r="J1797" s="111"/>
      <c r="K1797" s="111" t="s">
        <v>30</v>
      </c>
      <c r="L1797" s="111"/>
      <c r="M1797" s="111"/>
      <c r="N1797" s="111"/>
      <c r="O1797" s="111"/>
      <c r="P1797" s="111"/>
      <c r="Q1797" s="111"/>
      <c r="R1797" s="111"/>
      <c r="S1797" s="111"/>
      <c r="T1797" s="111"/>
      <c r="U1797" s="111"/>
      <c r="V1797" s="111"/>
      <c r="W1797" s="111"/>
      <c r="X1797" s="111"/>
      <c r="Y1797" s="111"/>
      <c r="Z1797" s="111"/>
      <c r="AA1797" s="124" t="str">
        <f>IF(OR(G1797="ALK",G1797="PEM",G1797="SOEC",G1797="Other Electrolysis"),
AB1797*VLOOKUP(G1797,ElectrolysisConvF,3,FALSE),
"")</f>
        <v/>
      </c>
      <c r="AB1797" s="125"/>
      <c r="AC1797" s="125"/>
      <c r="AD1797" s="125"/>
      <c r="AE1797" s="125" t="str">
        <f t="shared" si="282"/>
        <v/>
      </c>
      <c r="AF1797" s="127" t="s">
        <v>14713</v>
      </c>
      <c r="AG1797" s="127">
        <v>30.8195098280554</v>
      </c>
      <c r="AH1797" s="127">
        <v>-92.5654207700248</v>
      </c>
      <c r="AI1797" s="115" t="s">
        <v>12241</v>
      </c>
      <c r="AJ1797" s="116">
        <v>0.9</v>
      </c>
      <c r="AK1797" s="117"/>
      <c r="AL1797" s="117"/>
      <c r="AM1797" s="117"/>
      <c r="AN1797" s="117"/>
      <c r="AO1797" s="117"/>
    </row>
    <row r="1798" ht="34.5" customHeight="1">
      <c r="A1798" s="111">
        <v>2450.0</v>
      </c>
      <c r="B1798" s="111" t="s">
        <v>9770</v>
      </c>
      <c r="C1798" s="111" t="s">
        <v>8008</v>
      </c>
      <c r="D1798" s="111">
        <v>2030.0</v>
      </c>
      <c r="E1798" s="111"/>
      <c r="F1798" s="111" t="s">
        <v>12397</v>
      </c>
      <c r="G1798" s="111" t="s">
        <v>12226</v>
      </c>
      <c r="H1798" s="111"/>
      <c r="I1798" s="111" t="s">
        <v>12759</v>
      </c>
      <c r="J1798" s="111" t="s">
        <v>12296</v>
      </c>
      <c r="K1798" s="111" t="s">
        <v>30</v>
      </c>
      <c r="L1798" s="111"/>
      <c r="M1798" s="111"/>
      <c r="N1798" s="111"/>
      <c r="O1798" s="111"/>
      <c r="P1798" s="111">
        <v>1.0</v>
      </c>
      <c r="Q1798" s="111"/>
      <c r="R1798" s="111"/>
      <c r="S1798" s="111"/>
      <c r="T1798" s="111"/>
      <c r="U1798" s="111"/>
      <c r="V1798" s="111"/>
      <c r="W1798" s="111"/>
      <c r="X1798" s="111"/>
      <c r="Y1798" s="111"/>
      <c r="Z1798" s="111" t="s">
        <v>12739</v>
      </c>
      <c r="AA1798" s="124">
        <v>24.0</v>
      </c>
      <c r="AB1798" s="125">
        <f>IF(Projects!$AI1798="Electrolysis",
AA1798/VLOOKUP(G1798,ElectrolysisConvF,3,FALSE),
AC1798*10^6/(H2dens*HoursInYear))</f>
        <v>4615.384615</v>
      </c>
      <c r="AC1798" s="126">
        <f t="shared" ref="AC1798:AC1800" si="340">AB1798*H2dens*HoursInYear/10^6</f>
        <v>3.598338462</v>
      </c>
      <c r="AD1798" s="125"/>
      <c r="AE1798" s="125">
        <f t="shared" si="282"/>
        <v>4615.384615</v>
      </c>
      <c r="AF1798" s="127" t="s">
        <v>14714</v>
      </c>
      <c r="AG1798" s="127">
        <v>59.3538419426786</v>
      </c>
      <c r="AH1798" s="127">
        <v>24.0453019727331</v>
      </c>
      <c r="AI1798" s="115" t="s">
        <v>12383</v>
      </c>
      <c r="AJ1798" s="116">
        <v>0.7</v>
      </c>
      <c r="AK1798" s="117"/>
      <c r="AL1798" s="117"/>
      <c r="AM1798" s="117"/>
      <c r="AN1798" s="117"/>
      <c r="AO1798" s="117"/>
    </row>
    <row r="1799" ht="34.5" customHeight="1">
      <c r="A1799" s="111">
        <v>2452.0</v>
      </c>
      <c r="B1799" s="111" t="s">
        <v>9794</v>
      </c>
      <c r="C1799" s="111" t="s">
        <v>8026</v>
      </c>
      <c r="D1799" s="111">
        <v>2023.0</v>
      </c>
      <c r="E1799" s="111"/>
      <c r="F1799" s="111" t="s">
        <v>12418</v>
      </c>
      <c r="G1799" s="111" t="s">
        <v>12228</v>
      </c>
      <c r="H1799" s="111"/>
      <c r="I1799" s="111" t="s">
        <v>12406</v>
      </c>
      <c r="J1799" s="111"/>
      <c r="K1799" s="111" t="s">
        <v>30</v>
      </c>
      <c r="L1799" s="111"/>
      <c r="M1799" s="111"/>
      <c r="N1799" s="111"/>
      <c r="O1799" s="111"/>
      <c r="P1799" s="111">
        <v>1.0</v>
      </c>
      <c r="Q1799" s="111"/>
      <c r="R1799" s="111"/>
      <c r="S1799" s="111"/>
      <c r="T1799" s="111"/>
      <c r="U1799" s="111"/>
      <c r="V1799" s="111"/>
      <c r="W1799" s="111"/>
      <c r="X1799" s="111"/>
      <c r="Y1799" s="111"/>
      <c r="Z1799" s="111" t="s">
        <v>14715</v>
      </c>
      <c r="AA1799" s="124">
        <v>0.125</v>
      </c>
      <c r="AB1799" s="125">
        <f>IF(Projects!$AI1799="Electrolysis",
AA1799/VLOOKUP(G1799,ElectrolysisConvF,3,FALSE),
AC1799*10^6/(H2dens*HoursInYear))</f>
        <v>32.89473684</v>
      </c>
      <c r="AC1799" s="126">
        <f t="shared" si="340"/>
        <v>0.02564605263</v>
      </c>
      <c r="AD1799" s="125"/>
      <c r="AE1799" s="125">
        <f t="shared" si="282"/>
        <v>32.89473684</v>
      </c>
      <c r="AF1799" s="127" t="s">
        <v>14716</v>
      </c>
      <c r="AG1799" s="127">
        <v>60.1841738709636</v>
      </c>
      <c r="AH1799" s="127">
        <v>24.8142177339411</v>
      </c>
      <c r="AI1799" s="115" t="s">
        <v>12383</v>
      </c>
      <c r="AJ1799" s="116">
        <v>0.57</v>
      </c>
      <c r="AK1799" s="117"/>
      <c r="AL1799" s="117"/>
      <c r="AM1799" s="117"/>
      <c r="AN1799" s="117"/>
      <c r="AO1799" s="117"/>
    </row>
    <row r="1800" ht="34.5" customHeight="1">
      <c r="A1800" s="111">
        <v>2453.0</v>
      </c>
      <c r="B1800" s="111" t="s">
        <v>9795</v>
      </c>
      <c r="C1800" s="111" t="s">
        <v>8108</v>
      </c>
      <c r="D1800" s="111">
        <v>2027.0</v>
      </c>
      <c r="E1800" s="111"/>
      <c r="F1800" s="111" t="s">
        <v>12397</v>
      </c>
      <c r="G1800" s="111" t="s">
        <v>12381</v>
      </c>
      <c r="H1800" s="111" t="s">
        <v>12230</v>
      </c>
      <c r="I1800" s="111" t="s">
        <v>12394</v>
      </c>
      <c r="J1800" s="111" t="s">
        <v>12296</v>
      </c>
      <c r="K1800" s="111" t="s">
        <v>174</v>
      </c>
      <c r="L1800" s="111"/>
      <c r="M1800" s="111">
        <v>1.0</v>
      </c>
      <c r="N1800" s="111"/>
      <c r="O1800" s="111"/>
      <c r="P1800" s="111"/>
      <c r="Q1800" s="111"/>
      <c r="R1800" s="111"/>
      <c r="S1800" s="111"/>
      <c r="T1800" s="111"/>
      <c r="U1800" s="111"/>
      <c r="V1800" s="111"/>
      <c r="W1800" s="111"/>
      <c r="X1800" s="111"/>
      <c r="Y1800" s="111"/>
      <c r="Z1800" s="111" t="s">
        <v>14717</v>
      </c>
      <c r="AA1800" s="126">
        <v>1275.0</v>
      </c>
      <c r="AB1800" s="125">
        <f>IF(Projects!$AI1800="Electrolysis",
AA1800/VLOOKUP(G1800,ElectrolysisConvF,3,FALSE),
AC1800*10^6/(H2dens*HoursInYear))</f>
        <v>283333.3333</v>
      </c>
      <c r="AC1800" s="126">
        <f t="shared" si="340"/>
        <v>220.898</v>
      </c>
      <c r="AD1800" s="125"/>
      <c r="AE1800" s="125">
        <f t="shared" si="282"/>
        <v>283333.3333</v>
      </c>
      <c r="AF1800" s="127" t="s">
        <v>14718</v>
      </c>
      <c r="AG1800" s="127">
        <v>14.7410833165014</v>
      </c>
      <c r="AH1800" s="127">
        <v>75.0636378765073</v>
      </c>
      <c r="AI1800" s="115" t="s">
        <v>12383</v>
      </c>
      <c r="AJ1800" s="116">
        <v>0.5</v>
      </c>
      <c r="AK1800" s="117"/>
      <c r="AL1800" s="117"/>
      <c r="AM1800" s="117"/>
      <c r="AN1800" s="117"/>
      <c r="AO1800" s="117"/>
    </row>
    <row r="1801" ht="34.5" customHeight="1">
      <c r="A1801" s="111">
        <v>2454.0</v>
      </c>
      <c r="B1801" s="111" t="s">
        <v>9796</v>
      </c>
      <c r="C1801" s="111" t="s">
        <v>8108</v>
      </c>
      <c r="D1801" s="111">
        <v>2030.0</v>
      </c>
      <c r="E1801" s="111"/>
      <c r="F1801" s="111" t="s">
        <v>12397</v>
      </c>
      <c r="G1801" s="111" t="s">
        <v>12381</v>
      </c>
      <c r="H1801" s="111" t="s">
        <v>12230</v>
      </c>
      <c r="I1801" s="111" t="s">
        <v>12394</v>
      </c>
      <c r="J1801" s="111" t="s">
        <v>12296</v>
      </c>
      <c r="K1801" s="111" t="s">
        <v>30</v>
      </c>
      <c r="L1801" s="111"/>
      <c r="M1801" s="111"/>
      <c r="N1801" s="111"/>
      <c r="O1801" s="111"/>
      <c r="P1801" s="111">
        <v>1.0</v>
      </c>
      <c r="Q1801" s="111"/>
      <c r="R1801" s="111"/>
      <c r="S1801" s="111"/>
      <c r="T1801" s="111"/>
      <c r="U1801" s="111"/>
      <c r="V1801" s="111"/>
      <c r="W1801" s="111"/>
      <c r="X1801" s="111"/>
      <c r="Y1801" s="111"/>
      <c r="Z1801" s="111" t="s">
        <v>14719</v>
      </c>
      <c r="AA1801" s="126">
        <f>IF(Projects!$AI1801="Electrolysis",
AB1801*VLOOKUP(G1801,ElectrolysisConvF,3,FALSE),
"")</f>
        <v>11543.78944</v>
      </c>
      <c r="AB1801" s="125">
        <f t="shared" ref="AB1801:AB1807" si="341">AC1801/(H2dens*HoursInYear/10^6)</f>
        <v>2565286.543</v>
      </c>
      <c r="AC1801" s="125">
        <f>(1000/Projects!$AJ1801)</f>
        <v>2000</v>
      </c>
      <c r="AD1801" s="125"/>
      <c r="AE1801" s="125">
        <f t="shared" si="282"/>
        <v>2565286.543</v>
      </c>
      <c r="AF1801" s="127" t="s">
        <v>14720</v>
      </c>
      <c r="AG1801" s="127">
        <v>0.0</v>
      </c>
      <c r="AH1801" s="127">
        <v>0.0</v>
      </c>
      <c r="AI1801" s="115" t="s">
        <v>12383</v>
      </c>
      <c r="AJ1801" s="116">
        <v>0.5</v>
      </c>
      <c r="AK1801" s="117"/>
      <c r="AL1801" s="117"/>
      <c r="AM1801" s="117"/>
      <c r="AN1801" s="117"/>
      <c r="AO1801" s="117"/>
    </row>
    <row r="1802" ht="34.5" customHeight="1">
      <c r="A1802" s="111">
        <v>2455.0</v>
      </c>
      <c r="B1802" s="111" t="s">
        <v>9797</v>
      </c>
      <c r="C1802" s="111" t="s">
        <v>8108</v>
      </c>
      <c r="D1802" s="111">
        <v>2025.0</v>
      </c>
      <c r="E1802" s="111"/>
      <c r="F1802" s="111" t="s">
        <v>12399</v>
      </c>
      <c r="G1802" s="111" t="s">
        <v>12239</v>
      </c>
      <c r="H1802" s="111" t="s">
        <v>13334</v>
      </c>
      <c r="I1802" s="111"/>
      <c r="J1802" s="111"/>
      <c r="K1802" s="111" t="s">
        <v>30</v>
      </c>
      <c r="L1802" s="111"/>
      <c r="M1802" s="111"/>
      <c r="N1802" s="111"/>
      <c r="O1802" s="111"/>
      <c r="P1802" s="111">
        <v>1.0</v>
      </c>
      <c r="Q1802" s="111"/>
      <c r="R1802" s="111"/>
      <c r="S1802" s="111"/>
      <c r="T1802" s="111"/>
      <c r="U1802" s="111"/>
      <c r="V1802" s="111"/>
      <c r="W1802" s="111"/>
      <c r="X1802" s="111"/>
      <c r="Y1802" s="111"/>
      <c r="Z1802" s="111" t="s">
        <v>14721</v>
      </c>
      <c r="AA1802" s="124"/>
      <c r="AB1802" s="125">
        <f t="shared" si="341"/>
        <v>520.1831045</v>
      </c>
      <c r="AC1802" s="146">
        <f>(365/1000/Projects!$AJ1802)</f>
        <v>0.4055555556</v>
      </c>
      <c r="AD1802" s="125"/>
      <c r="AE1802" s="125">
        <f t="shared" si="282"/>
        <v>520.1831045</v>
      </c>
      <c r="AF1802" s="127" t="s">
        <v>14720</v>
      </c>
      <c r="AG1802" s="127">
        <v>25.1367723954927</v>
      </c>
      <c r="AH1802" s="127">
        <v>82.5662404050943</v>
      </c>
      <c r="AI1802" s="115" t="s">
        <v>12241</v>
      </c>
      <c r="AJ1802" s="116">
        <v>0.9</v>
      </c>
      <c r="AK1802" s="117"/>
      <c r="AL1802" s="117"/>
      <c r="AM1802" s="117"/>
      <c r="AN1802" s="117"/>
      <c r="AO1802" s="117"/>
    </row>
    <row r="1803" ht="34.5" customHeight="1">
      <c r="A1803" s="111">
        <v>2456.0</v>
      </c>
      <c r="B1803" s="111" t="s">
        <v>9798</v>
      </c>
      <c r="C1803" s="111" t="s">
        <v>8108</v>
      </c>
      <c r="D1803" s="111">
        <v>2027.0</v>
      </c>
      <c r="E1803" s="111"/>
      <c r="F1803" s="111" t="s">
        <v>12399</v>
      </c>
      <c r="G1803" s="111" t="s">
        <v>12381</v>
      </c>
      <c r="H1803" s="111" t="s">
        <v>12230</v>
      </c>
      <c r="I1803" s="111" t="s">
        <v>12394</v>
      </c>
      <c r="J1803" s="111" t="s">
        <v>12296</v>
      </c>
      <c r="K1803" s="111" t="s">
        <v>30</v>
      </c>
      <c r="L1803" s="111"/>
      <c r="M1803" s="111"/>
      <c r="N1803" s="111"/>
      <c r="O1803" s="111"/>
      <c r="P1803" s="111"/>
      <c r="Q1803" s="111">
        <v>1.0</v>
      </c>
      <c r="R1803" s="111"/>
      <c r="S1803" s="111"/>
      <c r="T1803" s="111"/>
      <c r="U1803" s="111"/>
      <c r="V1803" s="111"/>
      <c r="W1803" s="111"/>
      <c r="X1803" s="111"/>
      <c r="Y1803" s="111"/>
      <c r="Z1803" s="111" t="s">
        <v>14722</v>
      </c>
      <c r="AA1803" s="126">
        <f>IF(Projects!$AI1803="Electrolysis",
AB1803*VLOOKUP(G1803,ElectrolysisConvF,3,FALSE),
"")</f>
        <v>1.095505618</v>
      </c>
      <c r="AB1803" s="125">
        <f t="shared" si="341"/>
        <v>243.4456929</v>
      </c>
      <c r="AC1803" s="146">
        <f>(94.9/1000/Projects!$AJ1803)</f>
        <v>0.1898</v>
      </c>
      <c r="AD1803" s="125"/>
      <c r="AE1803" s="125">
        <f t="shared" si="282"/>
        <v>243.4456929</v>
      </c>
      <c r="AF1803" s="127" t="s">
        <v>14720</v>
      </c>
      <c r="AG1803" s="127">
        <v>28.5136386570959</v>
      </c>
      <c r="AH1803" s="127">
        <v>77.298712548313</v>
      </c>
      <c r="AI1803" s="115" t="s">
        <v>12383</v>
      </c>
      <c r="AJ1803" s="116">
        <v>0.5</v>
      </c>
      <c r="AK1803" s="117"/>
      <c r="AL1803" s="117"/>
      <c r="AM1803" s="117"/>
      <c r="AN1803" s="117"/>
      <c r="AO1803" s="117"/>
    </row>
    <row r="1804" ht="34.5" customHeight="1">
      <c r="A1804" s="111">
        <v>2457.0</v>
      </c>
      <c r="B1804" s="111" t="s">
        <v>9799</v>
      </c>
      <c r="C1804" s="111" t="s">
        <v>8108</v>
      </c>
      <c r="D1804" s="111">
        <v>2027.0</v>
      </c>
      <c r="E1804" s="111"/>
      <c r="F1804" s="111" t="s">
        <v>12399</v>
      </c>
      <c r="G1804" s="111" t="s">
        <v>12381</v>
      </c>
      <c r="H1804" s="111" t="s">
        <v>12230</v>
      </c>
      <c r="I1804" s="111" t="s">
        <v>12394</v>
      </c>
      <c r="J1804" s="111" t="s">
        <v>12296</v>
      </c>
      <c r="K1804" s="111" t="s">
        <v>30</v>
      </c>
      <c r="L1804" s="111"/>
      <c r="M1804" s="111"/>
      <c r="N1804" s="111"/>
      <c r="O1804" s="111"/>
      <c r="P1804" s="111">
        <v>1.0</v>
      </c>
      <c r="Q1804" s="111"/>
      <c r="R1804" s="111"/>
      <c r="S1804" s="111"/>
      <c r="T1804" s="111"/>
      <c r="U1804" s="111"/>
      <c r="V1804" s="111"/>
      <c r="W1804" s="111"/>
      <c r="X1804" s="111"/>
      <c r="Y1804" s="111"/>
      <c r="Z1804" s="111" t="s">
        <v>14723</v>
      </c>
      <c r="AA1804" s="126">
        <f>IF(Projects!$AI1804="Electrolysis",
AB1804*VLOOKUP(G1804,ElectrolysisConvF,3,FALSE),
"")</f>
        <v>57.71894721</v>
      </c>
      <c r="AB1804" s="125">
        <f t="shared" si="341"/>
        <v>12826.43271</v>
      </c>
      <c r="AC1804" s="125">
        <f>(5/Projects!$AJ1804)</f>
        <v>10</v>
      </c>
      <c r="AD1804" s="125"/>
      <c r="AE1804" s="125">
        <f t="shared" si="282"/>
        <v>12826.43271</v>
      </c>
      <c r="AF1804" s="127" t="s">
        <v>14720</v>
      </c>
      <c r="AG1804" s="127">
        <v>14.7975498591162</v>
      </c>
      <c r="AH1804" s="127">
        <v>80.0292836640059</v>
      </c>
      <c r="AI1804" s="115" t="s">
        <v>12383</v>
      </c>
      <c r="AJ1804" s="116">
        <v>0.5</v>
      </c>
      <c r="AK1804" s="117"/>
      <c r="AL1804" s="117"/>
      <c r="AM1804" s="117"/>
      <c r="AN1804" s="117"/>
      <c r="AO1804" s="117"/>
    </row>
    <row r="1805" ht="34.5" customHeight="1">
      <c r="A1805" s="111">
        <v>2458.0</v>
      </c>
      <c r="B1805" s="111" t="s">
        <v>9800</v>
      </c>
      <c r="C1805" s="111" t="s">
        <v>8108</v>
      </c>
      <c r="D1805" s="111">
        <v>2025.0</v>
      </c>
      <c r="E1805" s="111"/>
      <c r="F1805" s="111" t="s">
        <v>12399</v>
      </c>
      <c r="G1805" s="111" t="s">
        <v>12381</v>
      </c>
      <c r="H1805" s="111" t="s">
        <v>12230</v>
      </c>
      <c r="I1805" s="111" t="s">
        <v>12394</v>
      </c>
      <c r="J1805" s="111" t="s">
        <v>12296</v>
      </c>
      <c r="K1805" s="111" t="s">
        <v>30</v>
      </c>
      <c r="L1805" s="111"/>
      <c r="M1805" s="111"/>
      <c r="N1805" s="111"/>
      <c r="O1805" s="111"/>
      <c r="P1805" s="111">
        <v>1.0</v>
      </c>
      <c r="Q1805" s="111"/>
      <c r="R1805" s="111"/>
      <c r="S1805" s="111"/>
      <c r="T1805" s="111"/>
      <c r="U1805" s="111"/>
      <c r="V1805" s="111"/>
      <c r="W1805" s="111"/>
      <c r="X1805" s="111"/>
      <c r="Y1805" s="111"/>
      <c r="Z1805" s="111" t="s">
        <v>14724</v>
      </c>
      <c r="AA1805" s="126">
        <f>IF(Projects!$AI1805="Electrolysis",
AB1805*VLOOKUP(G1805,ElectrolysisConvF,3,FALSE),
"")</f>
        <v>37.31495306</v>
      </c>
      <c r="AB1805" s="125">
        <f t="shared" si="341"/>
        <v>8292.21179</v>
      </c>
      <c r="AC1805" s="146">
        <f>(3232.47/1000/Projects!$AJ1805)</f>
        <v>6.46494</v>
      </c>
      <c r="AD1805" s="125"/>
      <c r="AE1805" s="125">
        <f t="shared" si="282"/>
        <v>8292.21179</v>
      </c>
      <c r="AF1805" s="127" t="s">
        <v>14720</v>
      </c>
      <c r="AG1805" s="127">
        <v>24.2398595175898</v>
      </c>
      <c r="AH1805" s="127">
        <v>78.1502519076614</v>
      </c>
      <c r="AI1805" s="115" t="s">
        <v>12383</v>
      </c>
      <c r="AJ1805" s="116">
        <v>0.5</v>
      </c>
      <c r="AK1805" s="117"/>
      <c r="AL1805" s="117"/>
      <c r="AM1805" s="117"/>
      <c r="AN1805" s="117"/>
      <c r="AO1805" s="117"/>
    </row>
    <row r="1806" ht="34.5" customHeight="1">
      <c r="A1806" s="111">
        <v>2459.0</v>
      </c>
      <c r="B1806" s="111" t="s">
        <v>9801</v>
      </c>
      <c r="C1806" s="111" t="s">
        <v>8108</v>
      </c>
      <c r="D1806" s="111">
        <v>2026.0</v>
      </c>
      <c r="E1806" s="111"/>
      <c r="F1806" s="111" t="s">
        <v>12399</v>
      </c>
      <c r="G1806" s="111" t="s">
        <v>12381</v>
      </c>
      <c r="H1806" s="111" t="s">
        <v>12230</v>
      </c>
      <c r="I1806" s="111" t="s">
        <v>12394</v>
      </c>
      <c r="J1806" s="111" t="s">
        <v>12296</v>
      </c>
      <c r="K1806" s="111" t="s">
        <v>30</v>
      </c>
      <c r="L1806" s="111"/>
      <c r="M1806" s="111"/>
      <c r="N1806" s="111"/>
      <c r="O1806" s="111"/>
      <c r="P1806" s="111"/>
      <c r="Q1806" s="111">
        <v>1.0</v>
      </c>
      <c r="R1806" s="111"/>
      <c r="S1806" s="111"/>
      <c r="T1806" s="111"/>
      <c r="U1806" s="111"/>
      <c r="V1806" s="111"/>
      <c r="W1806" s="111"/>
      <c r="X1806" s="111"/>
      <c r="Y1806" s="111"/>
      <c r="Z1806" s="111" t="s">
        <v>14725</v>
      </c>
      <c r="AA1806" s="126">
        <f>IF(Projects!$AI1806="Electrolysis",
AB1806*VLOOKUP(G1806,ElectrolysisConvF,3,FALSE),
"")</f>
        <v>0.08426966292</v>
      </c>
      <c r="AB1806" s="125">
        <f t="shared" si="341"/>
        <v>18.72659176</v>
      </c>
      <c r="AC1806" s="146">
        <f>(7.3/1000/Projects!$AJ1806)</f>
        <v>0.0146</v>
      </c>
      <c r="AD1806" s="125"/>
      <c r="AE1806" s="125">
        <f t="shared" si="282"/>
        <v>18.72659176</v>
      </c>
      <c r="AF1806" s="127" t="s">
        <v>14720</v>
      </c>
      <c r="AG1806" s="127">
        <v>30.5527426993409</v>
      </c>
      <c r="AH1806" s="127">
        <v>78.4278599643161</v>
      </c>
      <c r="AI1806" s="115" t="s">
        <v>12383</v>
      </c>
      <c r="AJ1806" s="116">
        <v>0.5</v>
      </c>
      <c r="AK1806" s="117"/>
      <c r="AL1806" s="117"/>
      <c r="AM1806" s="117"/>
      <c r="AN1806" s="117"/>
      <c r="AO1806" s="117"/>
    </row>
    <row r="1807" ht="34.5" customHeight="1">
      <c r="A1807" s="111">
        <v>2460.0</v>
      </c>
      <c r="B1807" s="111" t="s">
        <v>9802</v>
      </c>
      <c r="C1807" s="111" t="s">
        <v>8108</v>
      </c>
      <c r="D1807" s="111">
        <v>2026.0</v>
      </c>
      <c r="E1807" s="111"/>
      <c r="F1807" s="111" t="s">
        <v>12397</v>
      </c>
      <c r="G1807" s="111" t="s">
        <v>12381</v>
      </c>
      <c r="H1807" s="111" t="s">
        <v>12230</v>
      </c>
      <c r="I1807" s="111" t="s">
        <v>12394</v>
      </c>
      <c r="J1807" s="111" t="s">
        <v>12296</v>
      </c>
      <c r="K1807" s="111" t="s">
        <v>30</v>
      </c>
      <c r="L1807" s="111"/>
      <c r="M1807" s="111"/>
      <c r="N1807" s="111"/>
      <c r="O1807" s="111"/>
      <c r="P1807" s="111">
        <v>1.0</v>
      </c>
      <c r="Q1807" s="111">
        <v>1.0</v>
      </c>
      <c r="R1807" s="111">
        <v>1.0</v>
      </c>
      <c r="S1807" s="111">
        <v>1.0</v>
      </c>
      <c r="T1807" s="111">
        <v>1.0</v>
      </c>
      <c r="U1807" s="111"/>
      <c r="V1807" s="111"/>
      <c r="W1807" s="111"/>
      <c r="X1807" s="111"/>
      <c r="Y1807" s="111"/>
      <c r="Z1807" s="111" t="s">
        <v>14726</v>
      </c>
      <c r="AA1807" s="126">
        <f>IF(Projects!$AI1807="Electrolysis",
AB1807*VLOOKUP(G1807,ElectrolysisConvF,3,FALSE),
"")</f>
        <v>1492.611975</v>
      </c>
      <c r="AB1807" s="125">
        <f t="shared" si="341"/>
        <v>331691.5499</v>
      </c>
      <c r="AC1807" s="125">
        <f>(129.3/Projects!$AJ1807)</f>
        <v>258.6</v>
      </c>
      <c r="AD1807" s="125"/>
      <c r="AE1807" s="125">
        <f t="shared" si="282"/>
        <v>331691.5499</v>
      </c>
      <c r="AF1807" s="127" t="s">
        <v>14720</v>
      </c>
      <c r="AG1807" s="127">
        <v>26.4218032451132</v>
      </c>
      <c r="AH1807" s="127">
        <v>80.9159793620563</v>
      </c>
      <c r="AI1807" s="115" t="s">
        <v>12383</v>
      </c>
      <c r="AJ1807" s="116">
        <v>0.5</v>
      </c>
      <c r="AK1807" s="117"/>
      <c r="AL1807" s="117"/>
      <c r="AM1807" s="117"/>
      <c r="AN1807" s="117"/>
      <c r="AO1807" s="117"/>
    </row>
    <row r="1808" ht="34.5" customHeight="1">
      <c r="A1808" s="111">
        <v>2461.0</v>
      </c>
      <c r="B1808" s="111" t="s">
        <v>9803</v>
      </c>
      <c r="C1808" s="111" t="s">
        <v>8108</v>
      </c>
      <c r="D1808" s="111">
        <v>2026.0</v>
      </c>
      <c r="E1808" s="111"/>
      <c r="F1808" s="111" t="s">
        <v>12397</v>
      </c>
      <c r="G1808" s="111" t="s">
        <v>12381</v>
      </c>
      <c r="H1808" s="111" t="s">
        <v>12230</v>
      </c>
      <c r="I1808" s="111" t="s">
        <v>12394</v>
      </c>
      <c r="J1808" s="111" t="s">
        <v>12296</v>
      </c>
      <c r="K1808" s="111" t="s">
        <v>174</v>
      </c>
      <c r="L1808" s="111"/>
      <c r="M1808" s="111">
        <v>1.0</v>
      </c>
      <c r="N1808" s="111"/>
      <c r="O1808" s="111"/>
      <c r="P1808" s="111"/>
      <c r="Q1808" s="111"/>
      <c r="R1808" s="111"/>
      <c r="S1808" s="111"/>
      <c r="T1808" s="111"/>
      <c r="U1808" s="111"/>
      <c r="V1808" s="111"/>
      <c r="W1808" s="111"/>
      <c r="X1808" s="111"/>
      <c r="Y1808" s="111"/>
      <c r="Z1808" s="111" t="s">
        <v>14727</v>
      </c>
      <c r="AA1808" s="126">
        <v>3440.0</v>
      </c>
      <c r="AB1808" s="125">
        <f>IF(Projects!$AI1808="Electrolysis",
AA1808/VLOOKUP(G1808,ElectrolysisConvF,3,FALSE),
AC1808*10^6/(H2dens*HoursInYear))</f>
        <v>764444.4444</v>
      </c>
      <c r="AC1808" s="126">
        <f>AB1808*H2dens*HoursInYear/10^6</f>
        <v>595.9914667</v>
      </c>
      <c r="AD1808" s="125"/>
      <c r="AE1808" s="125">
        <f t="shared" si="282"/>
        <v>764444.4444</v>
      </c>
      <c r="AF1808" s="127" t="s">
        <v>14718</v>
      </c>
      <c r="AG1808" s="127">
        <v>0.0</v>
      </c>
      <c r="AH1808" s="127">
        <v>0.0</v>
      </c>
      <c r="AI1808" s="115" t="s">
        <v>12383</v>
      </c>
      <c r="AJ1808" s="116">
        <v>0.5</v>
      </c>
      <c r="AK1808" s="117"/>
      <c r="AL1808" s="117"/>
      <c r="AM1808" s="117"/>
      <c r="AN1808" s="117"/>
      <c r="AO1808" s="117"/>
    </row>
    <row r="1809" ht="34.5" customHeight="1">
      <c r="A1809" s="111">
        <v>2462.0</v>
      </c>
      <c r="B1809" s="111" t="s">
        <v>8163</v>
      </c>
      <c r="C1809" s="111" t="s">
        <v>8108</v>
      </c>
      <c r="D1809" s="111">
        <v>2015.0</v>
      </c>
      <c r="E1809" s="111"/>
      <c r="F1809" s="111" t="s">
        <v>12385</v>
      </c>
      <c r="G1809" s="111" t="s">
        <v>12381</v>
      </c>
      <c r="H1809" s="111" t="s">
        <v>12230</v>
      </c>
      <c r="I1809" s="111" t="s">
        <v>12394</v>
      </c>
      <c r="J1809" s="111" t="s">
        <v>12296</v>
      </c>
      <c r="K1809" s="111" t="s">
        <v>30</v>
      </c>
      <c r="L1809" s="111"/>
      <c r="M1809" s="111"/>
      <c r="N1809" s="111"/>
      <c r="O1809" s="111"/>
      <c r="P1809" s="111">
        <v>1.0</v>
      </c>
      <c r="Q1809" s="111">
        <v>1.0</v>
      </c>
      <c r="R1809" s="111">
        <v>1.0</v>
      </c>
      <c r="S1809" s="111">
        <v>1.0</v>
      </c>
      <c r="T1809" s="111">
        <v>1.0</v>
      </c>
      <c r="U1809" s="111"/>
      <c r="V1809" s="111"/>
      <c r="W1809" s="111"/>
      <c r="X1809" s="111"/>
      <c r="Y1809" s="111"/>
      <c r="Z1809" s="111" t="s">
        <v>14728</v>
      </c>
      <c r="AA1809" s="126">
        <f>IF(Projects!$AI1809="Electrolysis",
AB1809*VLOOKUP(G1809,ElectrolysisConvF,3,FALSE),
"")</f>
        <v>0.2239495152</v>
      </c>
      <c r="AB1809" s="125">
        <f t="shared" ref="AB1809:AB1810" si="342">AC1809/(H2dens*HoursInYear/10^6)</f>
        <v>49.76655892</v>
      </c>
      <c r="AC1809" s="146">
        <f>(19.4/1000/Projects!$AJ1809)</f>
        <v>0.0388</v>
      </c>
      <c r="AD1809" s="125"/>
      <c r="AE1809" s="125">
        <f t="shared" si="282"/>
        <v>49.76655892</v>
      </c>
      <c r="AF1809" s="127" t="s">
        <v>14720</v>
      </c>
      <c r="AG1809" s="127">
        <v>28.4328420078812</v>
      </c>
      <c r="AH1809" s="127">
        <v>77.1521651986211</v>
      </c>
      <c r="AI1809" s="115" t="s">
        <v>12383</v>
      </c>
      <c r="AJ1809" s="116">
        <v>0.5</v>
      </c>
      <c r="AK1809" s="117"/>
      <c r="AL1809" s="117"/>
      <c r="AM1809" s="117"/>
      <c r="AN1809" s="117"/>
      <c r="AO1809" s="117"/>
    </row>
    <row r="1810" ht="34.5" customHeight="1">
      <c r="A1810" s="111">
        <v>2463.0</v>
      </c>
      <c r="B1810" s="111" t="s">
        <v>9804</v>
      </c>
      <c r="C1810" s="111" t="s">
        <v>8108</v>
      </c>
      <c r="D1810" s="111">
        <v>2027.0</v>
      </c>
      <c r="E1810" s="111"/>
      <c r="F1810" s="111" t="s">
        <v>12397</v>
      </c>
      <c r="G1810" s="111" t="s">
        <v>12381</v>
      </c>
      <c r="H1810" s="111" t="s">
        <v>12230</v>
      </c>
      <c r="I1810" s="111" t="s">
        <v>12394</v>
      </c>
      <c r="J1810" s="111" t="s">
        <v>12296</v>
      </c>
      <c r="K1810" s="111" t="s">
        <v>174</v>
      </c>
      <c r="L1810" s="111"/>
      <c r="M1810" s="111">
        <v>1.0</v>
      </c>
      <c r="N1810" s="111"/>
      <c r="O1810" s="111"/>
      <c r="P1810" s="111"/>
      <c r="Q1810" s="111"/>
      <c r="R1810" s="111"/>
      <c r="S1810" s="111"/>
      <c r="T1810" s="111"/>
      <c r="U1810" s="111"/>
      <c r="V1810" s="111"/>
      <c r="W1810" s="111"/>
      <c r="X1810" s="111"/>
      <c r="Y1810" s="111"/>
      <c r="Z1810" s="111" t="s">
        <v>14729</v>
      </c>
      <c r="AA1810" s="126">
        <f>IF(Projects!$AI1810="Electrolysis",
AB1810*VLOOKUP(G1810,ElectrolysisConvF,3,FALSE),
"")</f>
        <v>3463.136832</v>
      </c>
      <c r="AB1810" s="125">
        <f t="shared" si="342"/>
        <v>769585.9628</v>
      </c>
      <c r="AC1810" s="125">
        <f>(300/Projects!$AJ1810)</f>
        <v>600</v>
      </c>
      <c r="AD1810" s="125"/>
      <c r="AE1810" s="125">
        <f t="shared" si="282"/>
        <v>769585.9628</v>
      </c>
      <c r="AF1810" s="127" t="s">
        <v>14720</v>
      </c>
      <c r="AG1810" s="127">
        <v>31.9360301552043</v>
      </c>
      <c r="AH1810" s="127">
        <v>77.2019323078682</v>
      </c>
      <c r="AI1810" s="115" t="s">
        <v>12383</v>
      </c>
      <c r="AJ1810" s="116">
        <v>0.5</v>
      </c>
      <c r="AK1810" s="117"/>
      <c r="AL1810" s="117"/>
      <c r="AM1810" s="117"/>
      <c r="AN1810" s="117"/>
      <c r="AO1810" s="117"/>
    </row>
    <row r="1811" ht="34.5" customHeight="1">
      <c r="A1811" s="111">
        <v>2464.0</v>
      </c>
      <c r="B1811" s="111" t="s">
        <v>9805</v>
      </c>
      <c r="C1811" s="111" t="s">
        <v>8108</v>
      </c>
      <c r="D1811" s="111">
        <v>2024.0</v>
      </c>
      <c r="E1811" s="111"/>
      <c r="F1811" s="111" t="s">
        <v>12393</v>
      </c>
      <c r="G1811" s="111" t="s">
        <v>12381</v>
      </c>
      <c r="H1811" s="111" t="s">
        <v>12230</v>
      </c>
      <c r="I1811" s="111" t="s">
        <v>12394</v>
      </c>
      <c r="J1811" s="111" t="s">
        <v>12296</v>
      </c>
      <c r="K1811" s="111" t="s">
        <v>30</v>
      </c>
      <c r="L1811" s="111">
        <v>1.0</v>
      </c>
      <c r="M1811" s="111"/>
      <c r="N1811" s="111"/>
      <c r="O1811" s="111"/>
      <c r="P1811" s="111">
        <v>1.0</v>
      </c>
      <c r="Q1811" s="111"/>
      <c r="R1811" s="111"/>
      <c r="S1811" s="111"/>
      <c r="T1811" s="111"/>
      <c r="U1811" s="111"/>
      <c r="V1811" s="111"/>
      <c r="W1811" s="111"/>
      <c r="X1811" s="111"/>
      <c r="Y1811" s="111"/>
      <c r="Z1811" s="111" t="s">
        <v>14730</v>
      </c>
      <c r="AA1811" s="126">
        <v>2.4</v>
      </c>
      <c r="AB1811" s="125">
        <f>IF(Projects!$AI1811="Electrolysis",
AA1811/VLOOKUP(G1811,ElectrolysisConvF,3,FALSE),
AC1811*10^6/(H2dens*HoursInYear))</f>
        <v>533.3333333</v>
      </c>
      <c r="AC1811" s="126">
        <f>AB1811*H2dens*HoursInYear/10^6</f>
        <v>0.415808</v>
      </c>
      <c r="AD1811" s="125"/>
      <c r="AE1811" s="125">
        <f t="shared" si="282"/>
        <v>533.3333333</v>
      </c>
      <c r="AF1811" s="127" t="s">
        <v>14731</v>
      </c>
      <c r="AG1811" s="127">
        <v>17.7039380976552</v>
      </c>
      <c r="AH1811" s="127">
        <v>83.2193164958463</v>
      </c>
      <c r="AI1811" s="115" t="s">
        <v>12383</v>
      </c>
      <c r="AJ1811" s="116">
        <v>0.5</v>
      </c>
      <c r="AK1811" s="117"/>
      <c r="AL1811" s="117"/>
      <c r="AM1811" s="117"/>
      <c r="AN1811" s="117"/>
      <c r="AO1811" s="117"/>
    </row>
    <row r="1812" ht="34.5" customHeight="1">
      <c r="A1812" s="111">
        <v>2465.0</v>
      </c>
      <c r="B1812" s="111" t="s">
        <v>9806</v>
      </c>
      <c r="C1812" s="111" t="s">
        <v>8108</v>
      </c>
      <c r="D1812" s="111">
        <v>2026.0</v>
      </c>
      <c r="E1812" s="111"/>
      <c r="F1812" s="111" t="s">
        <v>12399</v>
      </c>
      <c r="G1812" s="111" t="s">
        <v>12239</v>
      </c>
      <c r="H1812" s="111" t="s">
        <v>13334</v>
      </c>
      <c r="I1812" s="111"/>
      <c r="J1812" s="111"/>
      <c r="K1812" s="111" t="s">
        <v>30</v>
      </c>
      <c r="L1812" s="111"/>
      <c r="M1812" s="111"/>
      <c r="N1812" s="111"/>
      <c r="O1812" s="111"/>
      <c r="P1812" s="111">
        <v>1.0</v>
      </c>
      <c r="Q1812" s="111">
        <v>1.0</v>
      </c>
      <c r="R1812" s="111">
        <v>1.0</v>
      </c>
      <c r="S1812" s="111">
        <v>1.0</v>
      </c>
      <c r="T1812" s="111">
        <v>1.0</v>
      </c>
      <c r="U1812" s="111"/>
      <c r="V1812" s="111"/>
      <c r="W1812" s="111"/>
      <c r="X1812" s="111"/>
      <c r="Y1812" s="111"/>
      <c r="Z1812" s="111" t="s">
        <v>14732</v>
      </c>
      <c r="AA1812" s="124"/>
      <c r="AB1812" s="125">
        <f>AC1812/(H2dens*HoursInYear/10^6)</f>
        <v>74906.36704</v>
      </c>
      <c r="AC1812" s="125">
        <f>(52.56/Projects!$AJ1812)</f>
        <v>58.4</v>
      </c>
      <c r="AD1812" s="125"/>
      <c r="AE1812" s="125">
        <f t="shared" si="282"/>
        <v>74906.36704</v>
      </c>
      <c r="AF1812" s="127" t="s">
        <v>14720</v>
      </c>
      <c r="AG1812" s="127">
        <v>22.7274350023707</v>
      </c>
      <c r="AH1812" s="127">
        <v>75.8569795481991</v>
      </c>
      <c r="AI1812" s="115" t="s">
        <v>12241</v>
      </c>
      <c r="AJ1812" s="116">
        <v>0.9</v>
      </c>
      <c r="AK1812" s="117"/>
      <c r="AL1812" s="117"/>
      <c r="AM1812" s="117"/>
      <c r="AN1812" s="117"/>
      <c r="AO1812" s="117"/>
    </row>
    <row r="1813" ht="34.5" customHeight="1">
      <c r="A1813" s="111">
        <v>2466.0</v>
      </c>
      <c r="B1813" s="111" t="s">
        <v>9807</v>
      </c>
      <c r="C1813" s="111" t="s">
        <v>8108</v>
      </c>
      <c r="D1813" s="111">
        <v>2024.0</v>
      </c>
      <c r="E1813" s="111"/>
      <c r="F1813" s="111" t="s">
        <v>12385</v>
      </c>
      <c r="G1813" s="111" t="s">
        <v>12224</v>
      </c>
      <c r="H1813" s="111"/>
      <c r="I1813" s="111" t="s">
        <v>12394</v>
      </c>
      <c r="J1813" s="111" t="s">
        <v>12291</v>
      </c>
      <c r="K1813" s="111" t="s">
        <v>30</v>
      </c>
      <c r="L1813" s="111"/>
      <c r="M1813" s="111"/>
      <c r="N1813" s="111"/>
      <c r="O1813" s="111"/>
      <c r="P1813" s="111">
        <v>1.0</v>
      </c>
      <c r="Q1813" s="111"/>
      <c r="R1813" s="111"/>
      <c r="S1813" s="111"/>
      <c r="T1813" s="111"/>
      <c r="U1813" s="111"/>
      <c r="V1813" s="111"/>
      <c r="W1813" s="111"/>
      <c r="X1813" s="111"/>
      <c r="Y1813" s="111"/>
      <c r="Z1813" s="111" t="s">
        <v>14733</v>
      </c>
      <c r="AA1813" s="126">
        <v>1.8</v>
      </c>
      <c r="AB1813" s="125">
        <f>IF(Projects!$AI1813="Electrolysis",
AA1813/VLOOKUP(G1813,ElectrolysisConvF,3,FALSE),
AC1813*10^6/(H2dens*HoursInYear))</f>
        <v>391.3043478</v>
      </c>
      <c r="AC1813" s="126">
        <f>AB1813*H2dens*HoursInYear/10^6</f>
        <v>0.3050765217</v>
      </c>
      <c r="AD1813" s="125"/>
      <c r="AE1813" s="125">
        <f t="shared" si="282"/>
        <v>391.3043478</v>
      </c>
      <c r="AF1813" s="127" t="s">
        <v>14720</v>
      </c>
      <c r="AG1813" s="127">
        <v>24.0459765869385</v>
      </c>
      <c r="AH1813" s="127">
        <v>76.1766183827331</v>
      </c>
      <c r="AI1813" s="115" t="s">
        <v>12383</v>
      </c>
      <c r="AJ1813" s="116">
        <v>0.3</v>
      </c>
      <c r="AK1813" s="117"/>
      <c r="AL1813" s="117"/>
      <c r="AM1813" s="117"/>
      <c r="AN1813" s="117"/>
      <c r="AO1813" s="117"/>
    </row>
    <row r="1814" ht="34.5" customHeight="1">
      <c r="A1814" s="111">
        <v>2467.0</v>
      </c>
      <c r="B1814" s="111" t="s">
        <v>9808</v>
      </c>
      <c r="C1814" s="111" t="s">
        <v>8108</v>
      </c>
      <c r="D1814" s="111">
        <v>2022.0</v>
      </c>
      <c r="E1814" s="111"/>
      <c r="F1814" s="111" t="s">
        <v>12385</v>
      </c>
      <c r="G1814" s="111" t="s">
        <v>12381</v>
      </c>
      <c r="H1814" s="111" t="s">
        <v>12230</v>
      </c>
      <c r="I1814" s="111" t="s">
        <v>12394</v>
      </c>
      <c r="J1814" s="111" t="s">
        <v>12296</v>
      </c>
      <c r="K1814" s="111" t="s">
        <v>30</v>
      </c>
      <c r="L1814" s="111"/>
      <c r="M1814" s="111"/>
      <c r="N1814" s="111"/>
      <c r="O1814" s="111"/>
      <c r="P1814" s="111"/>
      <c r="Q1814" s="111"/>
      <c r="R1814" s="111"/>
      <c r="S1814" s="111">
        <v>1.0</v>
      </c>
      <c r="T1814" s="111"/>
      <c r="U1814" s="111"/>
      <c r="V1814" s="111"/>
      <c r="W1814" s="111"/>
      <c r="X1814" s="111"/>
      <c r="Y1814" s="111"/>
      <c r="Z1814" s="111" t="s">
        <v>14734</v>
      </c>
      <c r="AA1814" s="126">
        <f>IF(Projects!$AI1814="Electrolysis",
AB1814*VLOOKUP(G1814,ElectrolysisConvF,3,FALSE),
"")</f>
        <v>0.8657842081</v>
      </c>
      <c r="AB1814" s="125">
        <f t="shared" ref="AB1814:AB1820" si="343">AC1814/(H2dens*HoursInYear/10^6)</f>
        <v>192.3964907</v>
      </c>
      <c r="AC1814" s="146">
        <f>(75/1000/Projects!$AJ1814)</f>
        <v>0.15</v>
      </c>
      <c r="AD1814" s="125"/>
      <c r="AE1814" s="125">
        <f t="shared" si="282"/>
        <v>192.3964907</v>
      </c>
      <c r="AF1814" s="127" t="s">
        <v>14720</v>
      </c>
      <c r="AG1814" s="127">
        <v>26.7506936598752</v>
      </c>
      <c r="AH1814" s="127">
        <v>94.2031670481235</v>
      </c>
      <c r="AI1814" s="115" t="s">
        <v>12383</v>
      </c>
      <c r="AJ1814" s="116">
        <v>0.5</v>
      </c>
      <c r="AK1814" s="117"/>
      <c r="AL1814" s="117"/>
      <c r="AM1814" s="117"/>
      <c r="AN1814" s="117"/>
      <c r="AO1814" s="117"/>
    </row>
    <row r="1815" ht="34.5" customHeight="1">
      <c r="A1815" s="111">
        <v>2468.0</v>
      </c>
      <c r="B1815" s="111" t="s">
        <v>9809</v>
      </c>
      <c r="C1815" s="111" t="s">
        <v>8108</v>
      </c>
      <c r="D1815" s="111">
        <v>2026.0</v>
      </c>
      <c r="E1815" s="111"/>
      <c r="F1815" s="111" t="s">
        <v>12399</v>
      </c>
      <c r="G1815" s="111" t="s">
        <v>12381</v>
      </c>
      <c r="H1815" s="111" t="s">
        <v>12230</v>
      </c>
      <c r="I1815" s="111" t="s">
        <v>12394</v>
      </c>
      <c r="J1815" s="111" t="s">
        <v>12296</v>
      </c>
      <c r="K1815" s="111" t="s">
        <v>30</v>
      </c>
      <c r="L1815" s="111"/>
      <c r="M1815" s="111"/>
      <c r="N1815" s="111"/>
      <c r="O1815" s="111"/>
      <c r="P1815" s="111">
        <v>1.0</v>
      </c>
      <c r="Q1815" s="111">
        <v>1.0</v>
      </c>
      <c r="R1815" s="111">
        <v>1.0</v>
      </c>
      <c r="S1815" s="111">
        <v>1.0</v>
      </c>
      <c r="T1815" s="111">
        <v>1.0</v>
      </c>
      <c r="U1815" s="111"/>
      <c r="V1815" s="111"/>
      <c r="W1815" s="111"/>
      <c r="X1815" s="111"/>
      <c r="Y1815" s="111"/>
      <c r="Z1815" s="111" t="s">
        <v>14735</v>
      </c>
      <c r="AA1815" s="126">
        <f>IF(Projects!$AI1815="Electrolysis",
AB1815*VLOOKUP(G1815,ElectrolysisConvF,3,FALSE),
"")</f>
        <v>0.04213483146</v>
      </c>
      <c r="AB1815" s="125">
        <f t="shared" si="343"/>
        <v>9.36329588</v>
      </c>
      <c r="AC1815" s="146">
        <f>(3.65/1000/Projects!$AJ1815)</f>
        <v>0.0073</v>
      </c>
      <c r="AD1815" s="125"/>
      <c r="AE1815" s="125">
        <f t="shared" si="282"/>
        <v>9.36329588</v>
      </c>
      <c r="AF1815" s="127" t="s">
        <v>14720</v>
      </c>
      <c r="AG1815" s="127">
        <v>19.2243229793555</v>
      </c>
      <c r="AH1815" s="127">
        <v>72.8679938757539</v>
      </c>
      <c r="AI1815" s="115" t="s">
        <v>12383</v>
      </c>
      <c r="AJ1815" s="116">
        <v>0.5</v>
      </c>
      <c r="AK1815" s="117"/>
      <c r="AL1815" s="117"/>
      <c r="AM1815" s="117"/>
      <c r="AN1815" s="117"/>
      <c r="AO1815" s="117"/>
    </row>
    <row r="1816" ht="34.5" customHeight="1">
      <c r="A1816" s="111">
        <v>2469.0</v>
      </c>
      <c r="B1816" s="111" t="s">
        <v>9810</v>
      </c>
      <c r="C1816" s="111" t="s">
        <v>8108</v>
      </c>
      <c r="D1816" s="111">
        <v>2027.0</v>
      </c>
      <c r="E1816" s="111"/>
      <c r="F1816" s="111" t="s">
        <v>12399</v>
      </c>
      <c r="G1816" s="111" t="s">
        <v>12381</v>
      </c>
      <c r="H1816" s="111" t="s">
        <v>12230</v>
      </c>
      <c r="I1816" s="111" t="s">
        <v>12394</v>
      </c>
      <c r="J1816" s="111" t="s">
        <v>12296</v>
      </c>
      <c r="K1816" s="111" t="s">
        <v>174</v>
      </c>
      <c r="L1816" s="111"/>
      <c r="M1816" s="111">
        <v>1.0</v>
      </c>
      <c r="N1816" s="111"/>
      <c r="O1816" s="111"/>
      <c r="P1816" s="111"/>
      <c r="Q1816" s="111"/>
      <c r="R1816" s="111"/>
      <c r="S1816" s="111"/>
      <c r="T1816" s="111"/>
      <c r="U1816" s="111"/>
      <c r="V1816" s="111"/>
      <c r="W1816" s="111"/>
      <c r="X1816" s="111"/>
      <c r="Y1816" s="111"/>
      <c r="Z1816" s="111" t="s">
        <v>14736</v>
      </c>
      <c r="AA1816" s="126">
        <f>IF(Projects!$AI1816="Electrolysis",
AB1816*VLOOKUP(G1816,ElectrolysisConvF,3,FALSE),
"")</f>
        <v>43.86639988</v>
      </c>
      <c r="AB1816" s="125">
        <f t="shared" si="343"/>
        <v>9748.088862</v>
      </c>
      <c r="AC1816" s="125">
        <f>(3.8/Projects!$AJ1816)</f>
        <v>7.6</v>
      </c>
      <c r="AD1816" s="125"/>
      <c r="AE1816" s="125">
        <f t="shared" si="282"/>
        <v>9748.088862</v>
      </c>
      <c r="AF1816" s="127" t="s">
        <v>14720</v>
      </c>
      <c r="AG1816" s="127">
        <v>14.7410833165014</v>
      </c>
      <c r="AH1816" s="127">
        <v>75.0636378765073</v>
      </c>
      <c r="AI1816" s="115" t="s">
        <v>12383</v>
      </c>
      <c r="AJ1816" s="116">
        <v>0.5</v>
      </c>
      <c r="AK1816" s="117"/>
      <c r="AL1816" s="117"/>
      <c r="AM1816" s="117"/>
      <c r="AN1816" s="117"/>
      <c r="AO1816" s="117"/>
    </row>
    <row r="1817" ht="34.5" customHeight="1">
      <c r="A1817" s="111">
        <v>2470.0</v>
      </c>
      <c r="B1817" s="111" t="s">
        <v>9811</v>
      </c>
      <c r="C1817" s="111" t="s">
        <v>8108</v>
      </c>
      <c r="D1817" s="111">
        <v>2027.0</v>
      </c>
      <c r="E1817" s="111"/>
      <c r="F1817" s="111" t="s">
        <v>12397</v>
      </c>
      <c r="G1817" s="111" t="s">
        <v>12381</v>
      </c>
      <c r="H1817" s="111" t="s">
        <v>12230</v>
      </c>
      <c r="I1817" s="111" t="s">
        <v>12394</v>
      </c>
      <c r="J1817" s="111" t="s">
        <v>12296</v>
      </c>
      <c r="K1817" s="111" t="s">
        <v>174</v>
      </c>
      <c r="L1817" s="111"/>
      <c r="M1817" s="111">
        <v>1.0</v>
      </c>
      <c r="N1817" s="111"/>
      <c r="O1817" s="111"/>
      <c r="P1817" s="111"/>
      <c r="Q1817" s="111"/>
      <c r="R1817" s="111"/>
      <c r="S1817" s="111"/>
      <c r="T1817" s="111"/>
      <c r="U1817" s="111"/>
      <c r="V1817" s="111"/>
      <c r="W1817" s="111"/>
      <c r="X1817" s="111"/>
      <c r="Y1817" s="111"/>
      <c r="Z1817" s="111" t="s">
        <v>14037</v>
      </c>
      <c r="AA1817" s="126">
        <f>IF(Projects!$AI1817="Electrolysis",
AB1817*VLOOKUP(G1817,ElectrolysisConvF,3,FALSE),
"")</f>
        <v>2308.757888</v>
      </c>
      <c r="AB1817" s="125">
        <f t="shared" si="343"/>
        <v>513057.3085</v>
      </c>
      <c r="AC1817" s="125">
        <f>(200/Projects!$AJ1817)</f>
        <v>400</v>
      </c>
      <c r="AD1817" s="125"/>
      <c r="AE1817" s="125">
        <f t="shared" si="282"/>
        <v>513057.3085</v>
      </c>
      <c r="AF1817" s="127" t="s">
        <v>14720</v>
      </c>
      <c r="AG1817" s="127">
        <v>14.7410833165014</v>
      </c>
      <c r="AH1817" s="127">
        <v>75.0636378765073</v>
      </c>
      <c r="AI1817" s="115" t="s">
        <v>12383</v>
      </c>
      <c r="AJ1817" s="116">
        <v>0.5</v>
      </c>
      <c r="AK1817" s="117"/>
      <c r="AL1817" s="117"/>
      <c r="AM1817" s="117"/>
      <c r="AN1817" s="117"/>
      <c r="AO1817" s="117"/>
    </row>
    <row r="1818" ht="34.5" customHeight="1">
      <c r="A1818" s="111">
        <v>2471.0</v>
      </c>
      <c r="B1818" s="111" t="s">
        <v>9812</v>
      </c>
      <c r="C1818" s="111" t="s">
        <v>8108</v>
      </c>
      <c r="D1818" s="111">
        <v>2027.0</v>
      </c>
      <c r="E1818" s="111"/>
      <c r="F1818" s="111" t="s">
        <v>12399</v>
      </c>
      <c r="G1818" s="111" t="s">
        <v>12381</v>
      </c>
      <c r="H1818" s="111" t="s">
        <v>12230</v>
      </c>
      <c r="I1818" s="111" t="s">
        <v>12394</v>
      </c>
      <c r="J1818" s="111" t="s">
        <v>12296</v>
      </c>
      <c r="K1818" s="111" t="s">
        <v>30</v>
      </c>
      <c r="L1818" s="111"/>
      <c r="M1818" s="111"/>
      <c r="N1818" s="111"/>
      <c r="O1818" s="111"/>
      <c r="P1818" s="111">
        <v>1.0</v>
      </c>
      <c r="Q1818" s="111">
        <v>1.0</v>
      </c>
      <c r="R1818" s="111"/>
      <c r="S1818" s="111"/>
      <c r="T1818" s="111"/>
      <c r="U1818" s="111"/>
      <c r="V1818" s="111"/>
      <c r="W1818" s="111"/>
      <c r="X1818" s="111"/>
      <c r="Y1818" s="111"/>
      <c r="Z1818" s="111" t="s">
        <v>14737</v>
      </c>
      <c r="AA1818" s="126">
        <f>IF(Projects!$AI1818="Electrolysis",
AB1818*VLOOKUP(G1818,ElectrolysisConvF,3,FALSE),
"")</f>
        <v>0.008426966292</v>
      </c>
      <c r="AB1818" s="125">
        <f t="shared" si="343"/>
        <v>1.872659176</v>
      </c>
      <c r="AC1818" s="146">
        <f>(0.73/1000/Projects!$AJ1818)</f>
        <v>0.00146</v>
      </c>
      <c r="AD1818" s="125"/>
      <c r="AE1818" s="125">
        <f t="shared" si="282"/>
        <v>1.872659176</v>
      </c>
      <c r="AF1818" s="127" t="s">
        <v>14720</v>
      </c>
      <c r="AG1818" s="127">
        <v>9.94445933506477</v>
      </c>
      <c r="AH1818" s="127">
        <v>76.2652117514344</v>
      </c>
      <c r="AI1818" s="115" t="s">
        <v>12383</v>
      </c>
      <c r="AJ1818" s="116">
        <v>0.5</v>
      </c>
      <c r="AK1818" s="117"/>
      <c r="AL1818" s="117"/>
      <c r="AM1818" s="117"/>
      <c r="AN1818" s="117"/>
      <c r="AO1818" s="117"/>
    </row>
    <row r="1819" ht="34.5" customHeight="1">
      <c r="A1819" s="111">
        <v>2472.0</v>
      </c>
      <c r="B1819" s="111" t="s">
        <v>9813</v>
      </c>
      <c r="C1819" s="111" t="s">
        <v>8108</v>
      </c>
      <c r="D1819" s="111">
        <v>2025.0</v>
      </c>
      <c r="E1819" s="111"/>
      <c r="F1819" s="111" t="s">
        <v>12397</v>
      </c>
      <c r="G1819" s="111" t="s">
        <v>12381</v>
      </c>
      <c r="H1819" s="111" t="s">
        <v>12230</v>
      </c>
      <c r="I1819" s="111" t="s">
        <v>12287</v>
      </c>
      <c r="J1819" s="111" t="s">
        <v>12296</v>
      </c>
      <c r="K1819" s="111" t="s">
        <v>30</v>
      </c>
      <c r="L1819" s="111"/>
      <c r="M1819" s="111"/>
      <c r="N1819" s="111"/>
      <c r="O1819" s="111"/>
      <c r="P1819" s="111">
        <v>1.0</v>
      </c>
      <c r="Q1819" s="111">
        <v>1.0</v>
      </c>
      <c r="R1819" s="111">
        <v>1.0</v>
      </c>
      <c r="S1819" s="111">
        <v>1.0</v>
      </c>
      <c r="T1819" s="111">
        <v>1.0</v>
      </c>
      <c r="U1819" s="111"/>
      <c r="V1819" s="111"/>
      <c r="W1819" s="111"/>
      <c r="X1819" s="111"/>
      <c r="Y1819" s="111"/>
      <c r="Z1819" s="111" t="s">
        <v>14738</v>
      </c>
      <c r="AA1819" s="126">
        <f>IF(Projects!$AI1819="Electrolysis",
AB1819*VLOOKUP(G1819,ElectrolysisConvF,3,FALSE),
"")</f>
        <v>221.7622708</v>
      </c>
      <c r="AB1819" s="125">
        <f t="shared" si="343"/>
        <v>49280.50463</v>
      </c>
      <c r="AC1819" s="125">
        <f>(21.9/Projects!$AJ1819)</f>
        <v>38.42105263</v>
      </c>
      <c r="AD1819" s="125"/>
      <c r="AE1819" s="125">
        <f t="shared" si="282"/>
        <v>49280.50463</v>
      </c>
      <c r="AF1819" s="127" t="s">
        <v>14720</v>
      </c>
      <c r="AG1819" s="127">
        <v>0.0</v>
      </c>
      <c r="AH1819" s="127">
        <v>0.0</v>
      </c>
      <c r="AI1819" s="115" t="s">
        <v>12383</v>
      </c>
      <c r="AJ1819" s="116">
        <v>0.57</v>
      </c>
      <c r="AK1819" s="117"/>
      <c r="AL1819" s="117"/>
      <c r="AM1819" s="117"/>
      <c r="AN1819" s="117"/>
      <c r="AO1819" s="117"/>
    </row>
    <row r="1820" ht="34.5" customHeight="1">
      <c r="A1820" s="111">
        <v>2473.0</v>
      </c>
      <c r="B1820" s="111" t="s">
        <v>9814</v>
      </c>
      <c r="C1820" s="111" t="s">
        <v>8108</v>
      </c>
      <c r="D1820" s="111">
        <v>2027.0</v>
      </c>
      <c r="E1820" s="111"/>
      <c r="F1820" s="111" t="s">
        <v>12399</v>
      </c>
      <c r="G1820" s="111" t="s">
        <v>12381</v>
      </c>
      <c r="H1820" s="111" t="s">
        <v>12230</v>
      </c>
      <c r="I1820" s="111" t="s">
        <v>12394</v>
      </c>
      <c r="J1820" s="111" t="s">
        <v>12296</v>
      </c>
      <c r="K1820" s="111" t="s">
        <v>30</v>
      </c>
      <c r="L1820" s="111"/>
      <c r="M1820" s="111"/>
      <c r="N1820" s="111"/>
      <c r="O1820" s="111"/>
      <c r="P1820" s="111">
        <v>1.0</v>
      </c>
      <c r="Q1820" s="111">
        <v>1.0</v>
      </c>
      <c r="R1820" s="111">
        <v>1.0</v>
      </c>
      <c r="S1820" s="111">
        <v>1.0</v>
      </c>
      <c r="T1820" s="111">
        <v>1.0</v>
      </c>
      <c r="U1820" s="111"/>
      <c r="V1820" s="111"/>
      <c r="W1820" s="111"/>
      <c r="X1820" s="111"/>
      <c r="Y1820" s="111"/>
      <c r="Z1820" s="111" t="s">
        <v>14723</v>
      </c>
      <c r="AA1820" s="126">
        <f>IF(Projects!$AI1820="Electrolysis",
AB1820*VLOOKUP(G1820,ElectrolysisConvF,3,FALSE),
"")</f>
        <v>57.71894721</v>
      </c>
      <c r="AB1820" s="125">
        <f t="shared" si="343"/>
        <v>12826.43271</v>
      </c>
      <c r="AC1820" s="125">
        <f>(5/Projects!$AJ1820)</f>
        <v>10</v>
      </c>
      <c r="AD1820" s="125"/>
      <c r="AE1820" s="125">
        <f t="shared" si="282"/>
        <v>12826.43271</v>
      </c>
      <c r="AF1820" s="127" t="s">
        <v>14720</v>
      </c>
      <c r="AG1820" s="127">
        <v>34.6581375618252</v>
      </c>
      <c r="AH1820" s="127">
        <v>77.0919346655951</v>
      </c>
      <c r="AI1820" s="115" t="s">
        <v>12383</v>
      </c>
      <c r="AJ1820" s="116">
        <v>0.5</v>
      </c>
      <c r="AK1820" s="117"/>
      <c r="AL1820" s="117"/>
      <c r="AM1820" s="117"/>
      <c r="AN1820" s="117"/>
      <c r="AO1820" s="117"/>
    </row>
    <row r="1821" ht="34.5" customHeight="1">
      <c r="A1821" s="111">
        <v>2474.0</v>
      </c>
      <c r="B1821" s="111" t="s">
        <v>9815</v>
      </c>
      <c r="C1821" s="111" t="s">
        <v>8108</v>
      </c>
      <c r="D1821" s="111">
        <v>2025.0</v>
      </c>
      <c r="E1821" s="111"/>
      <c r="F1821" s="111" t="s">
        <v>12399</v>
      </c>
      <c r="G1821" s="111" t="s">
        <v>12226</v>
      </c>
      <c r="H1821" s="111"/>
      <c r="I1821" s="111" t="s">
        <v>12394</v>
      </c>
      <c r="J1821" s="111" t="s">
        <v>12296</v>
      </c>
      <c r="K1821" s="111" t="s">
        <v>30</v>
      </c>
      <c r="L1821" s="111"/>
      <c r="M1821" s="111"/>
      <c r="N1821" s="111"/>
      <c r="O1821" s="111"/>
      <c r="P1821" s="111">
        <v>1.0</v>
      </c>
      <c r="Q1821" s="111"/>
      <c r="R1821" s="111"/>
      <c r="S1821" s="111"/>
      <c r="T1821" s="111"/>
      <c r="U1821" s="111"/>
      <c r="V1821" s="111"/>
      <c r="W1821" s="111"/>
      <c r="X1821" s="111"/>
      <c r="Y1821" s="111"/>
      <c r="Z1821" s="111" t="s">
        <v>12420</v>
      </c>
      <c r="AA1821" s="124">
        <v>1.0</v>
      </c>
      <c r="AB1821" s="125">
        <f>IF(Projects!$AI1821="Electrolysis",
AA1821/VLOOKUP(G1821,ElectrolysisConvF,3,FALSE),
AC1821*10^6/(H2dens*HoursInYear))</f>
        <v>192.3076923</v>
      </c>
      <c r="AC1821" s="126">
        <f>AB1821*H2dens*HoursInYear/10^6</f>
        <v>0.1499307692</v>
      </c>
      <c r="AD1821" s="125"/>
      <c r="AE1821" s="125">
        <f t="shared" si="282"/>
        <v>192.3076923</v>
      </c>
      <c r="AF1821" s="127" t="s">
        <v>14739</v>
      </c>
      <c r="AG1821" s="127">
        <v>21.178604200526</v>
      </c>
      <c r="AH1821" s="127">
        <v>72.6611986243126</v>
      </c>
      <c r="AI1821" s="115" t="s">
        <v>12383</v>
      </c>
      <c r="AJ1821" s="116">
        <v>0.5</v>
      </c>
      <c r="AK1821" s="117"/>
      <c r="AL1821" s="117"/>
      <c r="AM1821" s="117"/>
      <c r="AN1821" s="117"/>
      <c r="AO1821" s="117"/>
    </row>
    <row r="1822" ht="34.5" customHeight="1">
      <c r="A1822" s="111">
        <v>2475.0</v>
      </c>
      <c r="B1822" s="111" t="s">
        <v>9816</v>
      </c>
      <c r="C1822" s="111" t="s">
        <v>8108</v>
      </c>
      <c r="D1822" s="111">
        <v>2040.0</v>
      </c>
      <c r="E1822" s="111"/>
      <c r="F1822" s="111" t="s">
        <v>12399</v>
      </c>
      <c r="G1822" s="111" t="s">
        <v>12381</v>
      </c>
      <c r="H1822" s="111" t="s">
        <v>12230</v>
      </c>
      <c r="I1822" s="111" t="s">
        <v>12394</v>
      </c>
      <c r="J1822" s="111" t="s">
        <v>12296</v>
      </c>
      <c r="K1822" s="111" t="s">
        <v>30</v>
      </c>
      <c r="L1822" s="111"/>
      <c r="M1822" s="111"/>
      <c r="N1822" s="111"/>
      <c r="O1822" s="111"/>
      <c r="P1822" s="111">
        <v>1.0</v>
      </c>
      <c r="Q1822" s="111">
        <v>1.0</v>
      </c>
      <c r="R1822" s="111">
        <v>1.0</v>
      </c>
      <c r="S1822" s="111">
        <v>1.0</v>
      </c>
      <c r="T1822" s="111">
        <v>1.0</v>
      </c>
      <c r="U1822" s="111"/>
      <c r="V1822" s="111"/>
      <c r="W1822" s="111"/>
      <c r="X1822" s="111"/>
      <c r="Y1822" s="111"/>
      <c r="Z1822" s="111" t="s">
        <v>14740</v>
      </c>
      <c r="AA1822" s="126">
        <f>IF(Projects!$AI1822="Electrolysis",
AB1822*VLOOKUP(G1822,ElectrolysisConvF,3,FALSE),
"")</f>
        <v>0.1896644605</v>
      </c>
      <c r="AB1822" s="125">
        <f t="shared" ref="AB1822:AB1839" si="344">AC1822/(H2dens*HoursInYear/10^6)</f>
        <v>42.14765789</v>
      </c>
      <c r="AC1822" s="146">
        <f>(16.43/1000/Projects!$AJ1822)</f>
        <v>0.03286</v>
      </c>
      <c r="AD1822" s="125"/>
      <c r="AE1822" s="125">
        <f t="shared" si="282"/>
        <v>42.14765789</v>
      </c>
      <c r="AF1822" s="127" t="s">
        <v>14720</v>
      </c>
      <c r="AG1822" s="127">
        <v>23.5553595378511</v>
      </c>
      <c r="AH1822" s="127">
        <v>77.1970923430614</v>
      </c>
      <c r="AI1822" s="115" t="s">
        <v>12383</v>
      </c>
      <c r="AJ1822" s="116">
        <v>0.5</v>
      </c>
      <c r="AK1822" s="117"/>
      <c r="AL1822" s="117"/>
      <c r="AM1822" s="117"/>
      <c r="AN1822" s="117"/>
      <c r="AO1822" s="117"/>
    </row>
    <row r="1823" ht="34.5" customHeight="1">
      <c r="A1823" s="111">
        <v>2476.0</v>
      </c>
      <c r="B1823" s="111" t="s">
        <v>9817</v>
      </c>
      <c r="C1823" s="111" t="s">
        <v>8108</v>
      </c>
      <c r="D1823" s="111">
        <v>2027.0</v>
      </c>
      <c r="E1823" s="111"/>
      <c r="F1823" s="111" t="s">
        <v>12399</v>
      </c>
      <c r="G1823" s="111" t="s">
        <v>12381</v>
      </c>
      <c r="H1823" s="111" t="s">
        <v>12230</v>
      </c>
      <c r="I1823" s="111" t="s">
        <v>12394</v>
      </c>
      <c r="J1823" s="111" t="s">
        <v>12296</v>
      </c>
      <c r="K1823" s="111" t="s">
        <v>30</v>
      </c>
      <c r="L1823" s="111"/>
      <c r="M1823" s="111"/>
      <c r="N1823" s="111"/>
      <c r="O1823" s="111"/>
      <c r="P1823" s="111"/>
      <c r="Q1823" s="111"/>
      <c r="R1823" s="111"/>
      <c r="S1823" s="111"/>
      <c r="T1823" s="111"/>
      <c r="U1823" s="111"/>
      <c r="V1823" s="111"/>
      <c r="W1823" s="111"/>
      <c r="X1823" s="111"/>
      <c r="Y1823" s="111"/>
      <c r="Z1823" s="111" t="s">
        <v>14741</v>
      </c>
      <c r="AA1823" s="126">
        <f>IF(Projects!$AI1823="Electrolysis",
AB1823*VLOOKUP(G1823,ElectrolysisConvF,3,FALSE),
"")</f>
        <v>0.7390334</v>
      </c>
      <c r="AB1823" s="125">
        <f t="shared" si="344"/>
        <v>164.2296445</v>
      </c>
      <c r="AC1823" s="146">
        <f>(64.02/1000/Projects!$AJ1823)</f>
        <v>0.12804</v>
      </c>
      <c r="AD1823" s="125"/>
      <c r="AE1823" s="125">
        <f t="shared" si="282"/>
        <v>164.2296445</v>
      </c>
      <c r="AF1823" s="127" t="s">
        <v>14720</v>
      </c>
      <c r="AG1823" s="127">
        <v>0.0</v>
      </c>
      <c r="AH1823" s="127">
        <v>0.0</v>
      </c>
      <c r="AI1823" s="115" t="s">
        <v>12383</v>
      </c>
      <c r="AJ1823" s="116">
        <v>0.5</v>
      </c>
      <c r="AK1823" s="117"/>
      <c r="AL1823" s="117"/>
      <c r="AM1823" s="117"/>
      <c r="AN1823" s="117"/>
      <c r="AO1823" s="117"/>
    </row>
    <row r="1824" ht="34.5" customHeight="1">
      <c r="A1824" s="111">
        <v>2477.0</v>
      </c>
      <c r="B1824" s="111" t="s">
        <v>9818</v>
      </c>
      <c r="C1824" s="111" t="s">
        <v>8108</v>
      </c>
      <c r="D1824" s="111">
        <v>2025.0</v>
      </c>
      <c r="E1824" s="111"/>
      <c r="F1824" s="111" t="s">
        <v>12397</v>
      </c>
      <c r="G1824" s="111" t="s">
        <v>12381</v>
      </c>
      <c r="H1824" s="111" t="s">
        <v>12230</v>
      </c>
      <c r="I1824" s="111" t="s">
        <v>12394</v>
      </c>
      <c r="J1824" s="111" t="s">
        <v>12296</v>
      </c>
      <c r="K1824" s="111" t="s">
        <v>30</v>
      </c>
      <c r="L1824" s="111"/>
      <c r="M1824" s="111"/>
      <c r="N1824" s="111"/>
      <c r="O1824" s="111"/>
      <c r="P1824" s="111"/>
      <c r="Q1824" s="111"/>
      <c r="R1824" s="111"/>
      <c r="S1824" s="111">
        <v>1.0</v>
      </c>
      <c r="T1824" s="111"/>
      <c r="U1824" s="111"/>
      <c r="V1824" s="111"/>
      <c r="W1824" s="111"/>
      <c r="X1824" s="111"/>
      <c r="Y1824" s="111"/>
      <c r="Z1824" s="111" t="s">
        <v>13785</v>
      </c>
      <c r="AA1824" s="126">
        <f>IF(Projects!$AI1824="Electrolysis",
AB1824*VLOOKUP(G1824,ElectrolysisConvF,3,FALSE),
"")</f>
        <v>577.1894721</v>
      </c>
      <c r="AB1824" s="125">
        <f t="shared" si="344"/>
        <v>128264.3271</v>
      </c>
      <c r="AC1824" s="125">
        <f>(50/Projects!$AJ1824)</f>
        <v>100</v>
      </c>
      <c r="AD1824" s="125"/>
      <c r="AE1824" s="125">
        <f t="shared" si="282"/>
        <v>128264.3271</v>
      </c>
      <c r="AF1824" s="127" t="s">
        <v>14720</v>
      </c>
      <c r="AG1824" s="127">
        <v>19.5467276870142</v>
      </c>
      <c r="AH1824" s="127">
        <v>75.5786032764628</v>
      </c>
      <c r="AI1824" s="115" t="s">
        <v>12383</v>
      </c>
      <c r="AJ1824" s="116">
        <v>0.5</v>
      </c>
      <c r="AK1824" s="117"/>
      <c r="AL1824" s="117"/>
      <c r="AM1824" s="117"/>
      <c r="AN1824" s="117"/>
      <c r="AO1824" s="117"/>
    </row>
    <row r="1825" ht="34.5" customHeight="1">
      <c r="A1825" s="111">
        <v>2478.0</v>
      </c>
      <c r="B1825" s="111" t="s">
        <v>9819</v>
      </c>
      <c r="C1825" s="111" t="s">
        <v>8108</v>
      </c>
      <c r="D1825" s="111">
        <v>2026.0</v>
      </c>
      <c r="E1825" s="111"/>
      <c r="F1825" s="111" t="s">
        <v>12399</v>
      </c>
      <c r="G1825" s="111" t="s">
        <v>12239</v>
      </c>
      <c r="H1825" s="111" t="s">
        <v>13334</v>
      </c>
      <c r="I1825" s="111"/>
      <c r="J1825" s="111"/>
      <c r="K1825" s="111" t="s">
        <v>30</v>
      </c>
      <c r="L1825" s="111"/>
      <c r="M1825" s="111"/>
      <c r="N1825" s="111"/>
      <c r="O1825" s="111"/>
      <c r="P1825" s="111"/>
      <c r="Q1825" s="111"/>
      <c r="R1825" s="111"/>
      <c r="S1825" s="111"/>
      <c r="T1825" s="111"/>
      <c r="U1825" s="111"/>
      <c r="V1825" s="111"/>
      <c r="W1825" s="111"/>
      <c r="X1825" s="111"/>
      <c r="Y1825" s="111"/>
      <c r="Z1825" s="111" t="s">
        <v>14742</v>
      </c>
      <c r="AA1825" s="124"/>
      <c r="AB1825" s="125">
        <f t="shared" si="344"/>
        <v>1151.699645</v>
      </c>
      <c r="AC1825" s="146">
        <f>(808.12/1000/Projects!$AJ1825)</f>
        <v>0.8979111111</v>
      </c>
      <c r="AD1825" s="125"/>
      <c r="AE1825" s="125">
        <f t="shared" si="282"/>
        <v>1151.699645</v>
      </c>
      <c r="AF1825" s="127" t="s">
        <v>14720</v>
      </c>
      <c r="AG1825" s="127">
        <v>21.1527411969057</v>
      </c>
      <c r="AH1825" s="127">
        <v>79.0937922245582</v>
      </c>
      <c r="AI1825" s="115" t="s">
        <v>12241</v>
      </c>
      <c r="AJ1825" s="116">
        <v>0.9</v>
      </c>
      <c r="AK1825" s="117"/>
      <c r="AL1825" s="117"/>
      <c r="AM1825" s="117"/>
      <c r="AN1825" s="117"/>
      <c r="AO1825" s="117"/>
    </row>
    <row r="1826" ht="34.5" customHeight="1">
      <c r="A1826" s="111">
        <v>2479.0</v>
      </c>
      <c r="B1826" s="111" t="s">
        <v>9820</v>
      </c>
      <c r="C1826" s="111" t="s">
        <v>8108</v>
      </c>
      <c r="D1826" s="111">
        <v>2032.0</v>
      </c>
      <c r="E1826" s="111"/>
      <c r="F1826" s="111" t="s">
        <v>12399</v>
      </c>
      <c r="G1826" s="111" t="s">
        <v>12381</v>
      </c>
      <c r="H1826" s="111" t="s">
        <v>12230</v>
      </c>
      <c r="I1826" s="111" t="s">
        <v>12394</v>
      </c>
      <c r="J1826" s="111" t="s">
        <v>12296</v>
      </c>
      <c r="K1826" s="111" t="s">
        <v>12481</v>
      </c>
      <c r="L1826" s="111"/>
      <c r="M1826" s="111"/>
      <c r="N1826" s="111"/>
      <c r="O1826" s="111"/>
      <c r="P1826" s="111">
        <v>1.0</v>
      </c>
      <c r="Q1826" s="111"/>
      <c r="R1826" s="111"/>
      <c r="S1826" s="111"/>
      <c r="T1826" s="111"/>
      <c r="U1826" s="111"/>
      <c r="V1826" s="111"/>
      <c r="W1826" s="111"/>
      <c r="X1826" s="111"/>
      <c r="Y1826" s="111"/>
      <c r="Z1826" s="111" t="s">
        <v>14723</v>
      </c>
      <c r="AA1826" s="126">
        <f>IF(Projects!$AI1826="Electrolysis",
AB1826*VLOOKUP(G1826,ElectrolysisConvF,3,FALSE),
"")</f>
        <v>57.71894721</v>
      </c>
      <c r="AB1826" s="125">
        <f t="shared" si="344"/>
        <v>12826.43271</v>
      </c>
      <c r="AC1826" s="125">
        <f>(5/Projects!$AJ1826)</f>
        <v>10</v>
      </c>
      <c r="AD1826" s="125"/>
      <c r="AE1826" s="125">
        <f t="shared" si="282"/>
        <v>12826.43271</v>
      </c>
      <c r="AF1826" s="127" t="s">
        <v>14720</v>
      </c>
      <c r="AG1826" s="127">
        <v>17.6910437020223</v>
      </c>
      <c r="AH1826" s="127">
        <v>83.0036055663404</v>
      </c>
      <c r="AI1826" s="115" t="s">
        <v>12383</v>
      </c>
      <c r="AJ1826" s="116">
        <v>0.5</v>
      </c>
      <c r="AK1826" s="117"/>
      <c r="AL1826" s="117"/>
      <c r="AM1826" s="117"/>
      <c r="AN1826" s="117"/>
      <c r="AO1826" s="117"/>
    </row>
    <row r="1827" ht="34.5" customHeight="1">
      <c r="A1827" s="111">
        <v>2480.0</v>
      </c>
      <c r="B1827" s="111" t="s">
        <v>9821</v>
      </c>
      <c r="C1827" s="111" t="s">
        <v>8108</v>
      </c>
      <c r="D1827" s="111">
        <v>2030.0</v>
      </c>
      <c r="E1827" s="111"/>
      <c r="F1827" s="111" t="s">
        <v>12397</v>
      </c>
      <c r="G1827" s="111" t="s">
        <v>12226</v>
      </c>
      <c r="H1827" s="111"/>
      <c r="I1827" s="111" t="s">
        <v>12394</v>
      </c>
      <c r="J1827" s="111" t="s">
        <v>12296</v>
      </c>
      <c r="K1827" s="111" t="s">
        <v>30</v>
      </c>
      <c r="L1827" s="111"/>
      <c r="M1827" s="111"/>
      <c r="N1827" s="111"/>
      <c r="O1827" s="111"/>
      <c r="P1827" s="111"/>
      <c r="Q1827" s="111"/>
      <c r="R1827" s="111">
        <v>1.0</v>
      </c>
      <c r="S1827" s="111"/>
      <c r="T1827" s="111"/>
      <c r="U1827" s="111"/>
      <c r="V1827" s="111"/>
      <c r="W1827" s="111"/>
      <c r="X1827" s="111"/>
      <c r="Y1827" s="111"/>
      <c r="Z1827" s="111" t="s">
        <v>14743</v>
      </c>
      <c r="AA1827" s="126">
        <f>IF(Projects!$AI1827="Electrolysis",
AB1827*VLOOKUP(G1827,ElectrolysisConvF,3,FALSE),
"")</f>
        <v>7303.370787</v>
      </c>
      <c r="AB1827" s="125">
        <f t="shared" si="344"/>
        <v>1404494.382</v>
      </c>
      <c r="AC1827" s="125">
        <f>(547.5/Projects!$AJ1827)</f>
        <v>1095</v>
      </c>
      <c r="AD1827" s="125"/>
      <c r="AE1827" s="125">
        <f t="shared" si="282"/>
        <v>1404494.382</v>
      </c>
      <c r="AF1827" s="127" t="s">
        <v>14720</v>
      </c>
      <c r="AG1827" s="127">
        <v>24.0737830213287</v>
      </c>
      <c r="AH1827" s="127">
        <v>84.1805595980033</v>
      </c>
      <c r="AI1827" s="115" t="s">
        <v>12383</v>
      </c>
      <c r="AJ1827" s="116">
        <v>0.5</v>
      </c>
      <c r="AK1827" s="117"/>
      <c r="AL1827" s="117"/>
      <c r="AM1827" s="117"/>
      <c r="AN1827" s="117"/>
      <c r="AO1827" s="117"/>
    </row>
    <row r="1828" ht="34.5" customHeight="1">
      <c r="A1828" s="111">
        <v>2481.0</v>
      </c>
      <c r="B1828" s="111" t="s">
        <v>9822</v>
      </c>
      <c r="C1828" s="111" t="s">
        <v>8108</v>
      </c>
      <c r="D1828" s="111">
        <v>2027.0</v>
      </c>
      <c r="E1828" s="111"/>
      <c r="F1828" s="111" t="s">
        <v>12399</v>
      </c>
      <c r="G1828" s="111" t="s">
        <v>12381</v>
      </c>
      <c r="H1828" s="111" t="s">
        <v>12230</v>
      </c>
      <c r="I1828" s="111" t="s">
        <v>12394</v>
      </c>
      <c r="J1828" s="111" t="s">
        <v>12296</v>
      </c>
      <c r="K1828" s="111" t="s">
        <v>30</v>
      </c>
      <c r="L1828" s="111">
        <v>1.0</v>
      </c>
      <c r="M1828" s="111"/>
      <c r="N1828" s="111"/>
      <c r="O1828" s="111"/>
      <c r="P1828" s="111"/>
      <c r="Q1828" s="111"/>
      <c r="R1828" s="111"/>
      <c r="S1828" s="111"/>
      <c r="T1828" s="111"/>
      <c r="U1828" s="111"/>
      <c r="V1828" s="111"/>
      <c r="W1828" s="111"/>
      <c r="X1828" s="111"/>
      <c r="Y1828" s="111"/>
      <c r="Z1828" s="111" t="s">
        <v>13656</v>
      </c>
      <c r="AA1828" s="126">
        <f>IF(Projects!$AI1828="Electrolysis",
AB1828*VLOOKUP(G1828,ElectrolysisConvF,3,FALSE),
"")</f>
        <v>115.4378944</v>
      </c>
      <c r="AB1828" s="125">
        <f t="shared" si="344"/>
        <v>25652.86543</v>
      </c>
      <c r="AC1828" s="146">
        <f>(10/Projects!$AJ1828)</f>
        <v>20</v>
      </c>
      <c r="AD1828" s="125"/>
      <c r="AE1828" s="125">
        <f t="shared" si="282"/>
        <v>25652.86543</v>
      </c>
      <c r="AF1828" s="127" t="s">
        <v>14744</v>
      </c>
      <c r="AG1828" s="127">
        <v>26.5753466895561</v>
      </c>
      <c r="AH1828" s="127">
        <v>93.7887104589141</v>
      </c>
      <c r="AI1828" s="115" t="s">
        <v>12383</v>
      </c>
      <c r="AJ1828" s="116">
        <v>0.5</v>
      </c>
      <c r="AK1828" s="117"/>
      <c r="AL1828" s="117"/>
      <c r="AM1828" s="117"/>
      <c r="AN1828" s="117"/>
      <c r="AO1828" s="117"/>
    </row>
    <row r="1829" ht="34.5" customHeight="1">
      <c r="A1829" s="111">
        <v>2482.0</v>
      </c>
      <c r="B1829" s="111" t="s">
        <v>9823</v>
      </c>
      <c r="C1829" s="111" t="s">
        <v>8108</v>
      </c>
      <c r="D1829" s="111">
        <v>2030.0</v>
      </c>
      <c r="E1829" s="111"/>
      <c r="F1829" s="111" t="s">
        <v>12399</v>
      </c>
      <c r="G1829" s="111" t="s">
        <v>12381</v>
      </c>
      <c r="H1829" s="111" t="s">
        <v>12230</v>
      </c>
      <c r="I1829" s="111" t="s">
        <v>12394</v>
      </c>
      <c r="J1829" s="111" t="s">
        <v>12296</v>
      </c>
      <c r="K1829" s="111" t="s">
        <v>174</v>
      </c>
      <c r="L1829" s="111"/>
      <c r="M1829" s="111">
        <v>1.0</v>
      </c>
      <c r="N1829" s="111"/>
      <c r="O1829" s="111"/>
      <c r="P1829" s="111"/>
      <c r="Q1829" s="111"/>
      <c r="R1829" s="111"/>
      <c r="S1829" s="111"/>
      <c r="T1829" s="111"/>
      <c r="U1829" s="111"/>
      <c r="V1829" s="111"/>
      <c r="W1829" s="111"/>
      <c r="X1829" s="111"/>
      <c r="Y1829" s="111"/>
      <c r="Z1829" s="111" t="s">
        <v>14745</v>
      </c>
      <c r="AA1829" s="126">
        <f>IF(Projects!$AI1829="Electrolysis",
AB1829*VLOOKUP(G1829,ElectrolysisConvF,3,FALSE),
"")</f>
        <v>0.5388640911</v>
      </c>
      <c r="AB1829" s="125">
        <f t="shared" si="344"/>
        <v>119.7475758</v>
      </c>
      <c r="AC1829" s="146">
        <f>(46.68/1000/Projects!$AJ1829)</f>
        <v>0.09336</v>
      </c>
      <c r="AD1829" s="125"/>
      <c r="AE1829" s="125">
        <f t="shared" si="282"/>
        <v>119.7475758</v>
      </c>
      <c r="AF1829" s="127" t="s">
        <v>14720</v>
      </c>
      <c r="AG1829" s="127">
        <v>14.894339913711</v>
      </c>
      <c r="AH1829" s="127">
        <v>78.9654007364639</v>
      </c>
      <c r="AI1829" s="115" t="s">
        <v>12383</v>
      </c>
      <c r="AJ1829" s="116">
        <v>0.5</v>
      </c>
      <c r="AK1829" s="117"/>
      <c r="AL1829" s="117"/>
      <c r="AM1829" s="117"/>
      <c r="AN1829" s="117"/>
      <c r="AO1829" s="117"/>
    </row>
    <row r="1830" ht="34.5" customHeight="1">
      <c r="A1830" s="111">
        <v>2483.0</v>
      </c>
      <c r="B1830" s="111" t="s">
        <v>9824</v>
      </c>
      <c r="C1830" s="111" t="s">
        <v>8108</v>
      </c>
      <c r="D1830" s="111">
        <v>2030.0</v>
      </c>
      <c r="E1830" s="111"/>
      <c r="F1830" s="111" t="s">
        <v>12399</v>
      </c>
      <c r="G1830" s="111" t="s">
        <v>12381</v>
      </c>
      <c r="H1830" s="111" t="s">
        <v>12230</v>
      </c>
      <c r="I1830" s="111" t="s">
        <v>12394</v>
      </c>
      <c r="J1830" s="111" t="s">
        <v>12296</v>
      </c>
      <c r="K1830" s="111" t="s">
        <v>174</v>
      </c>
      <c r="L1830" s="111"/>
      <c r="M1830" s="111">
        <v>1.0</v>
      </c>
      <c r="N1830" s="111"/>
      <c r="O1830" s="111"/>
      <c r="P1830" s="111"/>
      <c r="Q1830" s="111"/>
      <c r="R1830" s="111"/>
      <c r="S1830" s="111"/>
      <c r="T1830" s="111"/>
      <c r="U1830" s="111"/>
      <c r="V1830" s="111"/>
      <c r="W1830" s="111"/>
      <c r="X1830" s="111"/>
      <c r="Y1830" s="111"/>
      <c r="Z1830" s="111" t="s">
        <v>14746</v>
      </c>
      <c r="AA1830" s="126">
        <f>IF(Projects!$AI1830="Electrolysis",
AB1830*VLOOKUP(G1830,ElectrolysisConvF,3,FALSE),
"")</f>
        <v>30.33707865</v>
      </c>
      <c r="AB1830" s="125">
        <f t="shared" si="344"/>
        <v>6741.573034</v>
      </c>
      <c r="AC1830" s="146">
        <f>(2628/1000/Projects!$AJ1830)</f>
        <v>5.256</v>
      </c>
      <c r="AD1830" s="125"/>
      <c r="AE1830" s="125">
        <f t="shared" si="282"/>
        <v>6741.573034</v>
      </c>
      <c r="AF1830" s="127" t="s">
        <v>14720</v>
      </c>
      <c r="AG1830" s="127">
        <v>23.2147521874703</v>
      </c>
      <c r="AH1830" s="127">
        <v>70.9049755715192</v>
      </c>
      <c r="AI1830" s="115" t="s">
        <v>12383</v>
      </c>
      <c r="AJ1830" s="116">
        <v>0.5</v>
      </c>
      <c r="AK1830" s="117"/>
      <c r="AL1830" s="117"/>
      <c r="AM1830" s="117"/>
      <c r="AN1830" s="117"/>
      <c r="AO1830" s="117"/>
    </row>
    <row r="1831" ht="34.5" customHeight="1">
      <c r="A1831" s="111">
        <v>2484.0</v>
      </c>
      <c r="B1831" s="111" t="s">
        <v>9825</v>
      </c>
      <c r="C1831" s="111" t="s">
        <v>8108</v>
      </c>
      <c r="D1831" s="111">
        <v>2024.0</v>
      </c>
      <c r="E1831" s="111"/>
      <c r="F1831" s="111" t="s">
        <v>12393</v>
      </c>
      <c r="G1831" s="111" t="s">
        <v>12239</v>
      </c>
      <c r="H1831" s="111" t="s">
        <v>13334</v>
      </c>
      <c r="I1831" s="111"/>
      <c r="J1831" s="111"/>
      <c r="K1831" s="111" t="s">
        <v>30</v>
      </c>
      <c r="L1831" s="111"/>
      <c r="M1831" s="111"/>
      <c r="N1831" s="111"/>
      <c r="O1831" s="111"/>
      <c r="P1831" s="111"/>
      <c r="Q1831" s="111"/>
      <c r="R1831" s="111"/>
      <c r="S1831" s="111"/>
      <c r="T1831" s="111"/>
      <c r="U1831" s="111"/>
      <c r="V1831" s="111"/>
      <c r="W1831" s="111"/>
      <c r="X1831" s="111"/>
      <c r="Y1831" s="111"/>
      <c r="Z1831" s="111" t="s">
        <v>14747</v>
      </c>
      <c r="AA1831" s="124"/>
      <c r="AB1831" s="125">
        <f t="shared" si="344"/>
        <v>2850.318381</v>
      </c>
      <c r="AC1831" s="125">
        <f>(2/Projects!$AJ1831)</f>
        <v>2.222222222</v>
      </c>
      <c r="AD1831" s="125"/>
      <c r="AE1831" s="125">
        <f t="shared" si="282"/>
        <v>2850.318381</v>
      </c>
      <c r="AF1831" s="127" t="s">
        <v>14720</v>
      </c>
      <c r="AG1831" s="127">
        <v>18.5288305007873</v>
      </c>
      <c r="AH1831" s="127">
        <v>73.8591868597771</v>
      </c>
      <c r="AI1831" s="115" t="s">
        <v>12241</v>
      </c>
      <c r="AJ1831" s="116">
        <v>0.9</v>
      </c>
      <c r="AK1831" s="117"/>
      <c r="AL1831" s="117"/>
      <c r="AM1831" s="117"/>
      <c r="AN1831" s="117"/>
      <c r="AO1831" s="117"/>
    </row>
    <row r="1832" ht="34.5" customHeight="1">
      <c r="A1832" s="111">
        <v>2485.0</v>
      </c>
      <c r="B1832" s="111" t="s">
        <v>9826</v>
      </c>
      <c r="C1832" s="111" t="s">
        <v>8108</v>
      </c>
      <c r="D1832" s="111">
        <v>2027.0</v>
      </c>
      <c r="E1832" s="111"/>
      <c r="F1832" s="111" t="s">
        <v>12399</v>
      </c>
      <c r="G1832" s="111" t="s">
        <v>12381</v>
      </c>
      <c r="H1832" s="111" t="s">
        <v>12230</v>
      </c>
      <c r="I1832" s="111" t="s">
        <v>12394</v>
      </c>
      <c r="J1832" s="111" t="s">
        <v>12296</v>
      </c>
      <c r="K1832" s="111" t="s">
        <v>174</v>
      </c>
      <c r="L1832" s="111"/>
      <c r="M1832" s="111">
        <v>1.0</v>
      </c>
      <c r="N1832" s="111"/>
      <c r="O1832" s="111"/>
      <c r="P1832" s="111"/>
      <c r="Q1832" s="111"/>
      <c r="R1832" s="111"/>
      <c r="S1832" s="111"/>
      <c r="T1832" s="111"/>
      <c r="U1832" s="111"/>
      <c r="V1832" s="111"/>
      <c r="W1832" s="111"/>
      <c r="X1832" s="111"/>
      <c r="Y1832" s="111"/>
      <c r="Z1832" s="111" t="s">
        <v>14748</v>
      </c>
      <c r="AA1832" s="126">
        <f>IF(Projects!$AI1832="Electrolysis",
AB1832*VLOOKUP(G1832,ElectrolysisConvF,3,FALSE),
"")</f>
        <v>0.1154378944</v>
      </c>
      <c r="AB1832" s="125">
        <f t="shared" si="344"/>
        <v>25.65286543</v>
      </c>
      <c r="AC1832" s="146">
        <f>(10/1000/Projects!$AJ1832)</f>
        <v>0.02</v>
      </c>
      <c r="AD1832" s="125"/>
      <c r="AE1832" s="125">
        <f t="shared" si="282"/>
        <v>25.65286543</v>
      </c>
      <c r="AF1832" s="127" t="s">
        <v>14720</v>
      </c>
      <c r="AG1832" s="127">
        <v>0.0</v>
      </c>
      <c r="AH1832" s="127">
        <v>0.0</v>
      </c>
      <c r="AI1832" s="115" t="s">
        <v>12383</v>
      </c>
      <c r="AJ1832" s="116">
        <v>0.5</v>
      </c>
      <c r="AK1832" s="117"/>
      <c r="AL1832" s="117"/>
      <c r="AM1832" s="117"/>
      <c r="AN1832" s="117"/>
      <c r="AO1832" s="117"/>
    </row>
    <row r="1833" ht="34.5" customHeight="1">
      <c r="A1833" s="111">
        <v>2486.0</v>
      </c>
      <c r="B1833" s="111" t="s">
        <v>9827</v>
      </c>
      <c r="C1833" s="111" t="s">
        <v>8108</v>
      </c>
      <c r="D1833" s="111">
        <v>2030.0</v>
      </c>
      <c r="E1833" s="111"/>
      <c r="F1833" s="111" t="s">
        <v>12399</v>
      </c>
      <c r="G1833" s="111" t="s">
        <v>12381</v>
      </c>
      <c r="H1833" s="111" t="s">
        <v>12230</v>
      </c>
      <c r="I1833" s="111" t="s">
        <v>12287</v>
      </c>
      <c r="J1833" s="111" t="s">
        <v>12296</v>
      </c>
      <c r="K1833" s="111" t="s">
        <v>30</v>
      </c>
      <c r="L1833" s="111"/>
      <c r="M1833" s="111"/>
      <c r="N1833" s="111"/>
      <c r="O1833" s="111"/>
      <c r="P1833" s="111">
        <v>1.0</v>
      </c>
      <c r="Q1833" s="111">
        <v>1.0</v>
      </c>
      <c r="R1833" s="111"/>
      <c r="S1833" s="111"/>
      <c r="T1833" s="111"/>
      <c r="U1833" s="111"/>
      <c r="V1833" s="111"/>
      <c r="W1833" s="111"/>
      <c r="X1833" s="111"/>
      <c r="Y1833" s="111"/>
      <c r="Z1833" s="111" t="s">
        <v>14749</v>
      </c>
      <c r="AA1833" s="126">
        <f>IF(Projects!$AI1833="Electrolysis",
AB1833*VLOOKUP(G1833,ElectrolysisConvF,3,FALSE),
"")</f>
        <v>36.96037847</v>
      </c>
      <c r="AB1833" s="125">
        <f t="shared" si="344"/>
        <v>8213.417439</v>
      </c>
      <c r="AC1833" s="146">
        <f>(3650/1000/Projects!$AJ1833)</f>
        <v>6.403508772</v>
      </c>
      <c r="AD1833" s="125"/>
      <c r="AE1833" s="125">
        <f t="shared" si="282"/>
        <v>8213.417439</v>
      </c>
      <c r="AF1833" s="127" t="s">
        <v>14720</v>
      </c>
      <c r="AG1833" s="127">
        <v>18.5288305007873</v>
      </c>
      <c r="AH1833" s="127">
        <v>73.8591868597771</v>
      </c>
      <c r="AI1833" s="115" t="s">
        <v>12383</v>
      </c>
      <c r="AJ1833" s="116">
        <v>0.57</v>
      </c>
      <c r="AK1833" s="117"/>
      <c r="AL1833" s="117"/>
      <c r="AM1833" s="117"/>
      <c r="AN1833" s="117"/>
      <c r="AO1833" s="117"/>
    </row>
    <row r="1834" ht="34.5" customHeight="1">
      <c r="A1834" s="111">
        <v>2487.0</v>
      </c>
      <c r="B1834" s="111" t="s">
        <v>9828</v>
      </c>
      <c r="C1834" s="111" t="s">
        <v>8108</v>
      </c>
      <c r="D1834" s="111">
        <v>2027.0</v>
      </c>
      <c r="E1834" s="111"/>
      <c r="F1834" s="111" t="s">
        <v>12399</v>
      </c>
      <c r="G1834" s="111" t="s">
        <v>12381</v>
      </c>
      <c r="H1834" s="111" t="s">
        <v>12230</v>
      </c>
      <c r="I1834" s="111" t="s">
        <v>12394</v>
      </c>
      <c r="J1834" s="111" t="s">
        <v>12296</v>
      </c>
      <c r="K1834" s="111" t="s">
        <v>174</v>
      </c>
      <c r="L1834" s="111"/>
      <c r="M1834" s="111">
        <v>1.0</v>
      </c>
      <c r="N1834" s="111"/>
      <c r="O1834" s="111"/>
      <c r="P1834" s="111"/>
      <c r="Q1834" s="111"/>
      <c r="R1834" s="111"/>
      <c r="S1834" s="111"/>
      <c r="T1834" s="111"/>
      <c r="U1834" s="111"/>
      <c r="V1834" s="111"/>
      <c r="W1834" s="111"/>
      <c r="X1834" s="111"/>
      <c r="Y1834" s="111"/>
      <c r="Z1834" s="111" t="s">
        <v>14721</v>
      </c>
      <c r="AA1834" s="126">
        <f>IF(Projects!$AI1834="Electrolysis",
AB1834*VLOOKUP(G1834,ElectrolysisConvF,3,FALSE),
"")</f>
        <v>4.213483146</v>
      </c>
      <c r="AB1834" s="125">
        <f t="shared" si="344"/>
        <v>936.329588</v>
      </c>
      <c r="AC1834" s="146">
        <f>(365/1000/Projects!$AJ1834)</f>
        <v>0.73</v>
      </c>
      <c r="AD1834" s="125"/>
      <c r="AE1834" s="125">
        <f t="shared" si="282"/>
        <v>936.329588</v>
      </c>
      <c r="AF1834" s="127" t="s">
        <v>14720</v>
      </c>
      <c r="AG1834" s="127">
        <v>20.4793341102483</v>
      </c>
      <c r="AH1834" s="127">
        <v>84.3557120617725</v>
      </c>
      <c r="AI1834" s="115" t="s">
        <v>12383</v>
      </c>
      <c r="AJ1834" s="116">
        <v>0.5</v>
      </c>
      <c r="AK1834" s="117"/>
      <c r="AL1834" s="117"/>
      <c r="AM1834" s="117"/>
      <c r="AN1834" s="117"/>
      <c r="AO1834" s="117"/>
    </row>
    <row r="1835" ht="34.5" customHeight="1">
      <c r="A1835" s="111">
        <v>2488.0</v>
      </c>
      <c r="B1835" s="111" t="s">
        <v>9829</v>
      </c>
      <c r="C1835" s="111" t="s">
        <v>8108</v>
      </c>
      <c r="D1835" s="111">
        <v>2025.0</v>
      </c>
      <c r="E1835" s="111"/>
      <c r="F1835" s="111" t="s">
        <v>12399</v>
      </c>
      <c r="G1835" s="111" t="s">
        <v>12228</v>
      </c>
      <c r="H1835" s="111"/>
      <c r="I1835" s="111" t="s">
        <v>12394</v>
      </c>
      <c r="J1835" s="111" t="s">
        <v>12296</v>
      </c>
      <c r="K1835" s="111" t="s">
        <v>30</v>
      </c>
      <c r="L1835" s="111"/>
      <c r="M1835" s="111"/>
      <c r="N1835" s="111"/>
      <c r="O1835" s="111"/>
      <c r="P1835" s="111">
        <v>1.0</v>
      </c>
      <c r="Q1835" s="111"/>
      <c r="R1835" s="111"/>
      <c r="S1835" s="111"/>
      <c r="T1835" s="111"/>
      <c r="U1835" s="111"/>
      <c r="V1835" s="111"/>
      <c r="W1835" s="111"/>
      <c r="X1835" s="111"/>
      <c r="Y1835" s="111"/>
      <c r="Z1835" s="111" t="s">
        <v>14750</v>
      </c>
      <c r="AA1835" s="129">
        <f>IF(Projects!$AI1835="Electrolysis",
AB1835*VLOOKUP(G1835,ElectrolysisConvF,3,FALSE),
"")</f>
        <v>0.008285875532</v>
      </c>
      <c r="AB1835" s="125">
        <f t="shared" si="344"/>
        <v>2.180493561</v>
      </c>
      <c r="AC1835" s="146">
        <f>(0.85/1000/Projects!$AJ1835)</f>
        <v>0.0017</v>
      </c>
      <c r="AD1835" s="125"/>
      <c r="AE1835" s="125">
        <f t="shared" si="282"/>
        <v>2.180493561</v>
      </c>
      <c r="AF1835" s="127" t="s">
        <v>14720</v>
      </c>
      <c r="AG1835" s="127">
        <v>12.9860637717918</v>
      </c>
      <c r="AH1835" s="127">
        <v>77.5959041796795</v>
      </c>
      <c r="AI1835" s="115" t="s">
        <v>12383</v>
      </c>
      <c r="AJ1835" s="116">
        <v>0.5</v>
      </c>
      <c r="AK1835" s="117"/>
      <c r="AL1835" s="117"/>
      <c r="AM1835" s="117"/>
      <c r="AN1835" s="117"/>
      <c r="AO1835" s="117"/>
    </row>
    <row r="1836" ht="34.5" customHeight="1">
      <c r="A1836" s="111">
        <v>2489.0</v>
      </c>
      <c r="B1836" s="111" t="s">
        <v>9830</v>
      </c>
      <c r="C1836" s="111" t="s">
        <v>8108</v>
      </c>
      <c r="D1836" s="111">
        <v>2026.0</v>
      </c>
      <c r="E1836" s="111"/>
      <c r="F1836" s="111" t="s">
        <v>12399</v>
      </c>
      <c r="G1836" s="111" t="s">
        <v>12239</v>
      </c>
      <c r="H1836" s="111" t="s">
        <v>13334</v>
      </c>
      <c r="I1836" s="111"/>
      <c r="J1836" s="111"/>
      <c r="K1836" s="111" t="s">
        <v>30</v>
      </c>
      <c r="L1836" s="111"/>
      <c r="M1836" s="111"/>
      <c r="N1836" s="111"/>
      <c r="O1836" s="111"/>
      <c r="P1836" s="111"/>
      <c r="Q1836" s="111"/>
      <c r="R1836" s="111"/>
      <c r="S1836" s="111"/>
      <c r="T1836" s="111"/>
      <c r="U1836" s="111"/>
      <c r="V1836" s="111"/>
      <c r="W1836" s="111"/>
      <c r="X1836" s="111"/>
      <c r="Y1836" s="111"/>
      <c r="Z1836" s="111" t="s">
        <v>14751</v>
      </c>
      <c r="AA1836" s="124"/>
      <c r="AB1836" s="125">
        <f t="shared" si="344"/>
        <v>52.01831045</v>
      </c>
      <c r="AC1836" s="146">
        <f>(36.5/1000/Projects!$AJ1836)</f>
        <v>0.04055555556</v>
      </c>
      <c r="AD1836" s="125"/>
      <c r="AE1836" s="125">
        <f t="shared" si="282"/>
        <v>52.01831045</v>
      </c>
      <c r="AF1836" s="127" t="s">
        <v>14720</v>
      </c>
      <c r="AG1836" s="127">
        <v>0.0</v>
      </c>
      <c r="AH1836" s="127">
        <v>0.0</v>
      </c>
      <c r="AI1836" s="115" t="s">
        <v>12241</v>
      </c>
      <c r="AJ1836" s="116">
        <v>0.9</v>
      </c>
      <c r="AK1836" s="117"/>
      <c r="AL1836" s="117"/>
      <c r="AM1836" s="117"/>
      <c r="AN1836" s="117"/>
      <c r="AO1836" s="117"/>
    </row>
    <row r="1837" ht="34.5" customHeight="1">
      <c r="A1837" s="111">
        <v>2490.0</v>
      </c>
      <c r="B1837" s="111" t="s">
        <v>9831</v>
      </c>
      <c r="C1837" s="111" t="s">
        <v>8108</v>
      </c>
      <c r="D1837" s="111">
        <v>2025.0</v>
      </c>
      <c r="E1837" s="111"/>
      <c r="F1837" s="111" t="s">
        <v>12399</v>
      </c>
      <c r="G1837" s="111" t="s">
        <v>12381</v>
      </c>
      <c r="H1837" s="111" t="s">
        <v>12230</v>
      </c>
      <c r="I1837" s="111" t="s">
        <v>12287</v>
      </c>
      <c r="J1837" s="111" t="s">
        <v>12296</v>
      </c>
      <c r="K1837" s="111" t="s">
        <v>30</v>
      </c>
      <c r="L1837" s="111"/>
      <c r="M1837" s="111"/>
      <c r="N1837" s="111"/>
      <c r="O1837" s="111"/>
      <c r="P1837" s="111">
        <v>1.0</v>
      </c>
      <c r="Q1837" s="111">
        <v>1.0</v>
      </c>
      <c r="R1837" s="111"/>
      <c r="S1837" s="111"/>
      <c r="T1837" s="111"/>
      <c r="U1837" s="111"/>
      <c r="V1837" s="111"/>
      <c r="W1837" s="111"/>
      <c r="X1837" s="111"/>
      <c r="Y1837" s="111"/>
      <c r="Z1837" s="111" t="s">
        <v>14752</v>
      </c>
      <c r="AA1837" s="126">
        <f>IF(Projects!$AI1837="Electrolysis",
AB1837*VLOOKUP(G1837,ElectrolysisConvF,3,FALSE),
"")</f>
        <v>15.88789968</v>
      </c>
      <c r="AB1837" s="125">
        <f t="shared" si="344"/>
        <v>3530.644373</v>
      </c>
      <c r="AC1837" s="146">
        <f>(1569/1000/Projects!$AJ1837)</f>
        <v>2.752631579</v>
      </c>
      <c r="AD1837" s="125"/>
      <c r="AE1837" s="125">
        <f t="shared" si="282"/>
        <v>3530.644373</v>
      </c>
      <c r="AF1837" s="127" t="s">
        <v>14720</v>
      </c>
      <c r="AG1837" s="127">
        <v>17.7000132965672</v>
      </c>
      <c r="AH1837" s="127">
        <v>83.2694416137709</v>
      </c>
      <c r="AI1837" s="115" t="s">
        <v>12383</v>
      </c>
      <c r="AJ1837" s="116">
        <v>0.57</v>
      </c>
      <c r="AK1837" s="117"/>
      <c r="AL1837" s="117"/>
      <c r="AM1837" s="117"/>
      <c r="AN1837" s="117"/>
      <c r="AO1837" s="117"/>
    </row>
    <row r="1838" ht="34.5" customHeight="1">
      <c r="A1838" s="111">
        <v>2491.0</v>
      </c>
      <c r="B1838" s="111" t="s">
        <v>9832</v>
      </c>
      <c r="C1838" s="111" t="s">
        <v>8108</v>
      </c>
      <c r="D1838" s="111">
        <v>2024.0</v>
      </c>
      <c r="E1838" s="111"/>
      <c r="F1838" s="111" t="s">
        <v>12399</v>
      </c>
      <c r="G1838" s="111" t="s">
        <v>12381</v>
      </c>
      <c r="H1838" s="111" t="s">
        <v>12230</v>
      </c>
      <c r="I1838" s="111" t="s">
        <v>12394</v>
      </c>
      <c r="J1838" s="111" t="s">
        <v>12296</v>
      </c>
      <c r="K1838" s="111" t="s">
        <v>30</v>
      </c>
      <c r="L1838" s="111"/>
      <c r="M1838" s="111"/>
      <c r="N1838" s="111"/>
      <c r="O1838" s="111"/>
      <c r="P1838" s="111"/>
      <c r="Q1838" s="111"/>
      <c r="R1838" s="111"/>
      <c r="S1838" s="111"/>
      <c r="T1838" s="111"/>
      <c r="U1838" s="111"/>
      <c r="V1838" s="111"/>
      <c r="W1838" s="111"/>
      <c r="X1838" s="111"/>
      <c r="Y1838" s="111"/>
      <c r="Z1838" s="111" t="s">
        <v>14753</v>
      </c>
      <c r="AA1838" s="126">
        <f>IF(Projects!$AI1838="Electrolysis",
AB1838*VLOOKUP(G1838,ElectrolysisConvF,3,FALSE),
"")</f>
        <v>8.311528398</v>
      </c>
      <c r="AB1838" s="125">
        <f t="shared" si="344"/>
        <v>1847.006311</v>
      </c>
      <c r="AC1838" s="146">
        <f>(720/1000/Projects!$AJ1838)</f>
        <v>1.44</v>
      </c>
      <c r="AD1838" s="125"/>
      <c r="AE1838" s="125">
        <f t="shared" si="282"/>
        <v>1847.006311</v>
      </c>
      <c r="AF1838" s="127" t="s">
        <v>14720</v>
      </c>
      <c r="AG1838" s="127">
        <v>0.0</v>
      </c>
      <c r="AH1838" s="127">
        <v>0.0</v>
      </c>
      <c r="AI1838" s="115" t="s">
        <v>12383</v>
      </c>
      <c r="AJ1838" s="116">
        <v>0.5</v>
      </c>
      <c r="AK1838" s="117"/>
      <c r="AL1838" s="117"/>
      <c r="AM1838" s="117"/>
      <c r="AN1838" s="117"/>
      <c r="AO1838" s="117"/>
    </row>
    <row r="1839" ht="34.5" customHeight="1">
      <c r="A1839" s="111">
        <v>2492.0</v>
      </c>
      <c r="B1839" s="111" t="s">
        <v>9833</v>
      </c>
      <c r="C1839" s="111" t="s">
        <v>8108</v>
      </c>
      <c r="D1839" s="111">
        <v>2027.0</v>
      </c>
      <c r="E1839" s="111"/>
      <c r="F1839" s="111" t="s">
        <v>12399</v>
      </c>
      <c r="G1839" s="111" t="s">
        <v>12381</v>
      </c>
      <c r="H1839" s="111" t="s">
        <v>12230</v>
      </c>
      <c r="I1839" s="111" t="s">
        <v>12394</v>
      </c>
      <c r="J1839" s="111" t="s">
        <v>12296</v>
      </c>
      <c r="K1839" s="111" t="s">
        <v>30</v>
      </c>
      <c r="L1839" s="111"/>
      <c r="M1839" s="111"/>
      <c r="N1839" s="111"/>
      <c r="O1839" s="111"/>
      <c r="P1839" s="111"/>
      <c r="Q1839" s="111"/>
      <c r="R1839" s="111"/>
      <c r="S1839" s="111"/>
      <c r="T1839" s="111"/>
      <c r="U1839" s="111"/>
      <c r="V1839" s="111"/>
      <c r="W1839" s="111"/>
      <c r="X1839" s="111"/>
      <c r="Y1839" s="111"/>
      <c r="Z1839" s="111" t="s">
        <v>14754</v>
      </c>
      <c r="AA1839" s="126">
        <f>IF(Projects!$AI1839="Electrolysis",
AB1839*VLOOKUP(G1839,ElectrolysisConvF,3,FALSE),
"")</f>
        <v>46.17515777</v>
      </c>
      <c r="AB1839" s="125">
        <f t="shared" si="344"/>
        <v>10261.14617</v>
      </c>
      <c r="AC1839" s="125">
        <f>(4/Projects!$AJ1839)</f>
        <v>8</v>
      </c>
      <c r="AD1839" s="125"/>
      <c r="AE1839" s="125">
        <f t="shared" si="282"/>
        <v>10261.14617</v>
      </c>
      <c r="AF1839" s="127" t="s">
        <v>14720</v>
      </c>
      <c r="AG1839" s="127">
        <v>23.5224416810313</v>
      </c>
      <c r="AH1839" s="127">
        <v>87.3072111968294</v>
      </c>
      <c r="AI1839" s="115" t="s">
        <v>12383</v>
      </c>
      <c r="AJ1839" s="116">
        <v>0.5</v>
      </c>
      <c r="AK1839" s="117"/>
      <c r="AL1839" s="117"/>
      <c r="AM1839" s="117"/>
      <c r="AN1839" s="117"/>
      <c r="AO1839" s="117"/>
    </row>
    <row r="1840" ht="34.5" customHeight="1">
      <c r="A1840" s="111">
        <v>2493.0</v>
      </c>
      <c r="B1840" s="111" t="s">
        <v>9834</v>
      </c>
      <c r="C1840" s="111" t="s">
        <v>8590</v>
      </c>
      <c r="D1840" s="111">
        <v>2024.0</v>
      </c>
      <c r="E1840" s="111"/>
      <c r="F1840" s="111" t="s">
        <v>12418</v>
      </c>
      <c r="G1840" s="111" t="s">
        <v>12239</v>
      </c>
      <c r="H1840" s="111" t="s">
        <v>14755</v>
      </c>
      <c r="I1840" s="111"/>
      <c r="J1840" s="111"/>
      <c r="K1840" s="111" t="s">
        <v>30</v>
      </c>
      <c r="L1840" s="111"/>
      <c r="M1840" s="111"/>
      <c r="N1840" s="111"/>
      <c r="O1840" s="111"/>
      <c r="P1840" s="111"/>
      <c r="Q1840" s="111"/>
      <c r="R1840" s="111"/>
      <c r="S1840" s="111"/>
      <c r="T1840" s="111"/>
      <c r="U1840" s="111"/>
      <c r="V1840" s="111"/>
      <c r="W1840" s="111"/>
      <c r="X1840" s="111"/>
      <c r="Y1840" s="111"/>
      <c r="Z1840" s="111" t="s">
        <v>14756</v>
      </c>
      <c r="AA1840" s="124"/>
      <c r="AB1840" s="125">
        <f t="shared" ref="AB1840:AB1841" si="345">AC1840/(0.089*24*365/10^6)</f>
        <v>50.56179775</v>
      </c>
      <c r="AC1840" s="125">
        <f>4.5/10^6*HoursInYear</f>
        <v>0.03942</v>
      </c>
      <c r="AD1840" s="125"/>
      <c r="AE1840" s="125">
        <f t="shared" si="282"/>
        <v>50.56179775</v>
      </c>
      <c r="AF1840" s="127" t="s">
        <v>14757</v>
      </c>
      <c r="AG1840" s="127">
        <v>-23.5685464064058</v>
      </c>
      <c r="AH1840" s="127">
        <v>-46.658470587758</v>
      </c>
      <c r="AI1840" s="115" t="s">
        <v>12241</v>
      </c>
      <c r="AJ1840" s="116">
        <v>0.9</v>
      </c>
      <c r="AK1840" s="117"/>
      <c r="AL1840" s="117"/>
      <c r="AM1840" s="117"/>
      <c r="AN1840" s="117"/>
      <c r="AO1840" s="117"/>
    </row>
    <row r="1841" ht="34.5" customHeight="1">
      <c r="A1841" s="111">
        <v>2494.0</v>
      </c>
      <c r="B1841" s="111" t="s">
        <v>9835</v>
      </c>
      <c r="C1841" s="111" t="s">
        <v>8590</v>
      </c>
      <c r="D1841" s="111">
        <v>2024.0</v>
      </c>
      <c r="E1841" s="111"/>
      <c r="F1841" s="111" t="s">
        <v>12418</v>
      </c>
      <c r="G1841" s="111" t="s">
        <v>12239</v>
      </c>
      <c r="H1841" s="111" t="s">
        <v>14755</v>
      </c>
      <c r="I1841" s="111"/>
      <c r="J1841" s="111"/>
      <c r="K1841" s="111" t="s">
        <v>30</v>
      </c>
      <c r="L1841" s="111"/>
      <c r="M1841" s="111"/>
      <c r="N1841" s="111"/>
      <c r="O1841" s="111"/>
      <c r="P1841" s="111"/>
      <c r="Q1841" s="111"/>
      <c r="R1841" s="111"/>
      <c r="S1841" s="111"/>
      <c r="T1841" s="111"/>
      <c r="U1841" s="111"/>
      <c r="V1841" s="111"/>
      <c r="W1841" s="111"/>
      <c r="X1841" s="111"/>
      <c r="Y1841" s="111"/>
      <c r="Z1841" s="111" t="s">
        <v>14758</v>
      </c>
      <c r="AA1841" s="124"/>
      <c r="AB1841" s="125">
        <f t="shared" si="345"/>
        <v>460.6741573</v>
      </c>
      <c r="AC1841" s="125">
        <f>41/10^6*HoursInYear</f>
        <v>0.35916</v>
      </c>
      <c r="AD1841" s="125"/>
      <c r="AE1841" s="125">
        <f t="shared" si="282"/>
        <v>460.6741573</v>
      </c>
      <c r="AF1841" s="127" t="s">
        <v>14757</v>
      </c>
      <c r="AG1841" s="127">
        <v>-23.5685464064058</v>
      </c>
      <c r="AH1841" s="127">
        <v>-46.658470587758</v>
      </c>
      <c r="AI1841" s="115" t="s">
        <v>12241</v>
      </c>
      <c r="AJ1841" s="116">
        <v>0.9</v>
      </c>
      <c r="AK1841" s="117"/>
      <c r="AL1841" s="117"/>
      <c r="AM1841" s="117"/>
      <c r="AN1841" s="117"/>
      <c r="AO1841" s="117"/>
    </row>
    <row r="1842" ht="34.5" customHeight="1">
      <c r="A1842" s="111">
        <v>2495.0</v>
      </c>
      <c r="B1842" s="111" t="s">
        <v>9836</v>
      </c>
      <c r="C1842" s="111" t="s">
        <v>8590</v>
      </c>
      <c r="D1842" s="111">
        <v>2026.0</v>
      </c>
      <c r="E1842" s="111"/>
      <c r="F1842" s="111" t="s">
        <v>12397</v>
      </c>
      <c r="G1842" s="111" t="s">
        <v>12381</v>
      </c>
      <c r="H1842" s="111" t="s">
        <v>12230</v>
      </c>
      <c r="I1842" s="111" t="s">
        <v>12394</v>
      </c>
      <c r="J1842" s="111" t="s">
        <v>12295</v>
      </c>
      <c r="K1842" s="111" t="s">
        <v>174</v>
      </c>
      <c r="L1842" s="111"/>
      <c r="M1842" s="111">
        <v>1.0</v>
      </c>
      <c r="N1842" s="111"/>
      <c r="O1842" s="111"/>
      <c r="P1842" s="111"/>
      <c r="Q1842" s="111"/>
      <c r="R1842" s="111"/>
      <c r="S1842" s="111"/>
      <c r="T1842" s="111"/>
      <c r="U1842" s="111"/>
      <c r="V1842" s="111"/>
      <c r="W1842" s="111"/>
      <c r="X1842" s="111"/>
      <c r="Y1842" s="111"/>
      <c r="Z1842" s="111" t="s">
        <v>14759</v>
      </c>
      <c r="AA1842" s="126">
        <f>IF(Projects!$AI1842="Electrolysis",
AB1842*VLOOKUP(G1842,ElectrolysisConvF,3,FALSE),
"")</f>
        <v>300.1385255</v>
      </c>
      <c r="AB1842" s="125">
        <f>AC1842/(H2dens*HoursInYear/10^6)</f>
        <v>66697.45011</v>
      </c>
      <c r="AC1842" s="125">
        <v>52.0</v>
      </c>
      <c r="AD1842" s="125"/>
      <c r="AE1842" s="125">
        <f t="shared" si="282"/>
        <v>66697.45011</v>
      </c>
      <c r="AF1842" s="127" t="s">
        <v>14760</v>
      </c>
      <c r="AG1842" s="127">
        <v>-4.70683866558346</v>
      </c>
      <c r="AH1842" s="127">
        <v>-36.8392858861453</v>
      </c>
      <c r="AI1842" s="115" t="s">
        <v>12383</v>
      </c>
      <c r="AJ1842" s="116">
        <v>0.5</v>
      </c>
      <c r="AK1842" s="117"/>
      <c r="AL1842" s="117"/>
      <c r="AM1842" s="117"/>
      <c r="AN1842" s="117"/>
      <c r="AO1842" s="117"/>
    </row>
    <row r="1843" ht="34.5" customHeight="1">
      <c r="A1843" s="111">
        <v>2496.0</v>
      </c>
      <c r="B1843" s="111" t="s">
        <v>9837</v>
      </c>
      <c r="C1843" s="111" t="s">
        <v>7981</v>
      </c>
      <c r="D1843" s="111">
        <v>2030.0</v>
      </c>
      <c r="E1843" s="111"/>
      <c r="F1843" s="111" t="s">
        <v>12399</v>
      </c>
      <c r="G1843" s="111" t="s">
        <v>12381</v>
      </c>
      <c r="H1843" s="111" t="s">
        <v>12230</v>
      </c>
      <c r="I1843" s="111" t="s">
        <v>12759</v>
      </c>
      <c r="J1843" s="111" t="str">
        <f>IF(I1843&lt;&gt;"Dedicated renewable","N/A",)</f>
        <v>N/A</v>
      </c>
      <c r="K1843" s="111" t="s">
        <v>12481</v>
      </c>
      <c r="L1843" s="111"/>
      <c r="M1843" s="111">
        <v>1.0</v>
      </c>
      <c r="N1843" s="111"/>
      <c r="O1843" s="111"/>
      <c r="P1843" s="111">
        <v>1.0</v>
      </c>
      <c r="Q1843" s="111">
        <v>1.0</v>
      </c>
      <c r="R1843" s="111">
        <v>1.0</v>
      </c>
      <c r="S1843" s="111"/>
      <c r="T1843" s="111"/>
      <c r="U1843" s="111"/>
      <c r="V1843" s="111"/>
      <c r="W1843" s="111"/>
      <c r="X1843" s="111"/>
      <c r="Y1843" s="111"/>
      <c r="Z1843" s="111" t="s">
        <v>14761</v>
      </c>
      <c r="AA1843" s="124">
        <v>1200.0</v>
      </c>
      <c r="AB1843" s="125">
        <f>IF(Projects!$AI1843="Electrolysis",
AA1843/VLOOKUP(G1843,ElectrolysisConvF,3,FALSE),
AC1843*10^6/(H2dens*HoursInYear))</f>
        <v>266666.6667</v>
      </c>
      <c r="AC1843" s="126">
        <f t="shared" ref="AC1843:AC1847" si="346">AB1843*H2dens*HoursInYear/10^6</f>
        <v>207.904</v>
      </c>
      <c r="AD1843" s="125"/>
      <c r="AE1843" s="125">
        <f t="shared" si="282"/>
        <v>266666.6667</v>
      </c>
      <c r="AF1843" s="127" t="s">
        <v>14762</v>
      </c>
      <c r="AG1843" s="127">
        <v>27.8845342759862</v>
      </c>
      <c r="AH1843" s="127">
        <v>-97.2653450968814</v>
      </c>
      <c r="AI1843" s="115" t="s">
        <v>12383</v>
      </c>
      <c r="AJ1843" s="116">
        <v>0.7</v>
      </c>
      <c r="AK1843" s="117"/>
      <c r="AL1843" s="117"/>
      <c r="AM1843" s="117"/>
      <c r="AN1843" s="117"/>
      <c r="AO1843" s="117"/>
    </row>
    <row r="1844" ht="34.5" customHeight="1">
      <c r="A1844" s="111">
        <v>2497.0</v>
      </c>
      <c r="B1844" s="111" t="s">
        <v>9838</v>
      </c>
      <c r="C1844" s="111" t="s">
        <v>7981</v>
      </c>
      <c r="D1844" s="111"/>
      <c r="E1844" s="111"/>
      <c r="F1844" s="111" t="s">
        <v>12397</v>
      </c>
      <c r="G1844" s="111" t="s">
        <v>12381</v>
      </c>
      <c r="H1844" s="111" t="s">
        <v>12230</v>
      </c>
      <c r="I1844" s="111" t="s">
        <v>12394</v>
      </c>
      <c r="J1844" s="111" t="s">
        <v>12295</v>
      </c>
      <c r="K1844" s="111" t="s">
        <v>174</v>
      </c>
      <c r="L1844" s="111"/>
      <c r="M1844" s="111">
        <v>1.0</v>
      </c>
      <c r="N1844" s="111"/>
      <c r="O1844" s="111"/>
      <c r="P1844" s="111"/>
      <c r="Q1844" s="111"/>
      <c r="R1844" s="111"/>
      <c r="S1844" s="111"/>
      <c r="T1844" s="111"/>
      <c r="U1844" s="111"/>
      <c r="V1844" s="111"/>
      <c r="W1844" s="111"/>
      <c r="X1844" s="111"/>
      <c r="Y1844" s="111"/>
      <c r="Z1844" s="111" t="s">
        <v>12723</v>
      </c>
      <c r="AA1844" s="124">
        <v>1000.0</v>
      </c>
      <c r="AB1844" s="125">
        <f>IF(Projects!$AI1844="Electrolysis",
AA1844/VLOOKUP(G1844,ElectrolysisConvF,3,FALSE),
AC1844*10^6/(H2dens*HoursInYear))</f>
        <v>222222.2222</v>
      </c>
      <c r="AC1844" s="126">
        <f t="shared" si="346"/>
        <v>173.2533333</v>
      </c>
      <c r="AD1844" s="125"/>
      <c r="AE1844" s="125">
        <f t="shared" si="282"/>
        <v>222222.2222</v>
      </c>
      <c r="AF1844" s="127" t="s">
        <v>14763</v>
      </c>
      <c r="AG1844" s="127">
        <v>28.8582220425448</v>
      </c>
      <c r="AH1844" s="127">
        <v>-96.1058000989289</v>
      </c>
      <c r="AI1844" s="115" t="s">
        <v>12383</v>
      </c>
      <c r="AJ1844" s="116">
        <v>0.5</v>
      </c>
      <c r="AK1844" s="117"/>
      <c r="AL1844" s="117"/>
      <c r="AM1844" s="117"/>
      <c r="AN1844" s="117"/>
      <c r="AO1844" s="117"/>
    </row>
    <row r="1845" ht="34.5" customHeight="1">
      <c r="A1845" s="111">
        <v>2498.0</v>
      </c>
      <c r="B1845" s="111" t="s">
        <v>9839</v>
      </c>
      <c r="C1845" s="111" t="s">
        <v>7987</v>
      </c>
      <c r="D1845" s="111">
        <v>2028.0</v>
      </c>
      <c r="E1845" s="111"/>
      <c r="F1845" s="111" t="s">
        <v>12399</v>
      </c>
      <c r="G1845" s="111" t="s">
        <v>12381</v>
      </c>
      <c r="H1845" s="111" t="s">
        <v>12230</v>
      </c>
      <c r="I1845" s="111" t="s">
        <v>12394</v>
      </c>
      <c r="J1845" s="111" t="s">
        <v>12296</v>
      </c>
      <c r="K1845" s="111" t="s">
        <v>30</v>
      </c>
      <c r="L1845" s="111"/>
      <c r="M1845" s="111"/>
      <c r="N1845" s="111"/>
      <c r="O1845" s="111"/>
      <c r="P1845" s="111"/>
      <c r="Q1845" s="111"/>
      <c r="R1845" s="111"/>
      <c r="S1845" s="111">
        <v>1.0</v>
      </c>
      <c r="T1845" s="111"/>
      <c r="U1845" s="111"/>
      <c r="V1845" s="111"/>
      <c r="W1845" s="111"/>
      <c r="X1845" s="111"/>
      <c r="Y1845" s="111"/>
      <c r="Z1845" s="111" t="s">
        <v>13200</v>
      </c>
      <c r="AA1845" s="124">
        <v>70.0</v>
      </c>
      <c r="AB1845" s="125">
        <f>IF(Projects!$AI1845="Electrolysis",
AA1845/VLOOKUP(G1845,ElectrolysisConvF,3,FALSE),
AC1845*10^6/(H2dens*HoursInYear))</f>
        <v>15555.55556</v>
      </c>
      <c r="AC1845" s="126">
        <f t="shared" si="346"/>
        <v>12.12773333</v>
      </c>
      <c r="AD1845" s="125"/>
      <c r="AE1845" s="125">
        <f t="shared" si="282"/>
        <v>15555.55556</v>
      </c>
      <c r="AF1845" s="127" t="s">
        <v>14764</v>
      </c>
      <c r="AG1845" s="127">
        <v>49.5072101344986</v>
      </c>
      <c r="AH1845" s="127">
        <v>6.42774224942866</v>
      </c>
      <c r="AI1845" s="115" t="s">
        <v>12383</v>
      </c>
      <c r="AJ1845" s="116">
        <v>0.5</v>
      </c>
      <c r="AK1845" s="117"/>
      <c r="AL1845" s="117"/>
      <c r="AM1845" s="117"/>
      <c r="AN1845" s="117"/>
      <c r="AO1845" s="117"/>
    </row>
    <row r="1846" ht="34.5" customHeight="1">
      <c r="A1846" s="111">
        <v>2499.0</v>
      </c>
      <c r="B1846" s="111" t="s">
        <v>9840</v>
      </c>
      <c r="C1846" s="111" t="s">
        <v>7987</v>
      </c>
      <c r="D1846" s="111">
        <v>2027.0</v>
      </c>
      <c r="E1846" s="111"/>
      <c r="F1846" s="111" t="s">
        <v>12399</v>
      </c>
      <c r="G1846" s="111" t="s">
        <v>12381</v>
      </c>
      <c r="H1846" s="111" t="s">
        <v>12230</v>
      </c>
      <c r="I1846" s="111" t="s">
        <v>12394</v>
      </c>
      <c r="J1846" s="111" t="s">
        <v>12296</v>
      </c>
      <c r="K1846" s="111" t="s">
        <v>12251</v>
      </c>
      <c r="L1846" s="111"/>
      <c r="M1846" s="111"/>
      <c r="N1846" s="111"/>
      <c r="O1846" s="111"/>
      <c r="P1846" s="111"/>
      <c r="Q1846" s="111"/>
      <c r="R1846" s="111"/>
      <c r="S1846" s="111"/>
      <c r="T1846" s="111"/>
      <c r="U1846" s="111"/>
      <c r="V1846" s="111"/>
      <c r="W1846" s="111">
        <v>1.0</v>
      </c>
      <c r="X1846" s="111"/>
      <c r="Y1846" s="111"/>
      <c r="Z1846" s="111" t="s">
        <v>14485</v>
      </c>
      <c r="AA1846" s="124">
        <v>130.0</v>
      </c>
      <c r="AB1846" s="125">
        <f>IF(Projects!$AI1846="Electrolysis",
AA1846/VLOOKUP(G1846,ElectrolysisConvF,3,FALSE),
AC1846*10^6/(H2dens*HoursInYear))</f>
        <v>28888.88889</v>
      </c>
      <c r="AC1846" s="126">
        <f t="shared" si="346"/>
        <v>22.52293333</v>
      </c>
      <c r="AD1846" s="125"/>
      <c r="AE1846" s="125">
        <f t="shared" si="282"/>
        <v>28888.88889</v>
      </c>
      <c r="AF1846" s="127" t="s">
        <v>14765</v>
      </c>
      <c r="AG1846" s="127">
        <v>53.2115383003904</v>
      </c>
      <c r="AH1846" s="127">
        <v>12.2184661748563</v>
      </c>
      <c r="AI1846" s="115" t="s">
        <v>12383</v>
      </c>
      <c r="AJ1846" s="116">
        <v>0.5</v>
      </c>
      <c r="AK1846" s="117"/>
      <c r="AL1846" s="117"/>
      <c r="AM1846" s="117"/>
      <c r="AN1846" s="117"/>
      <c r="AO1846" s="117"/>
    </row>
    <row r="1847" ht="34.5" customHeight="1">
      <c r="A1847" s="111">
        <v>2500.0</v>
      </c>
      <c r="B1847" s="111" t="s">
        <v>9841</v>
      </c>
      <c r="C1847" s="111" t="s">
        <v>8001</v>
      </c>
      <c r="D1847" s="111"/>
      <c r="E1847" s="111"/>
      <c r="F1847" s="111" t="s">
        <v>12399</v>
      </c>
      <c r="G1847" s="111" t="s">
        <v>12224</v>
      </c>
      <c r="H1847" s="111"/>
      <c r="I1847" s="111" t="s">
        <v>12394</v>
      </c>
      <c r="J1847" s="111" t="s">
        <v>12295</v>
      </c>
      <c r="K1847" s="111" t="s">
        <v>30</v>
      </c>
      <c r="L1847" s="111"/>
      <c r="M1847" s="111"/>
      <c r="N1847" s="111"/>
      <c r="O1847" s="111"/>
      <c r="P1847" s="111"/>
      <c r="Q1847" s="111"/>
      <c r="R1847" s="111"/>
      <c r="S1847" s="111"/>
      <c r="T1847" s="111"/>
      <c r="U1847" s="111"/>
      <c r="V1847" s="111"/>
      <c r="W1847" s="111"/>
      <c r="X1847" s="111"/>
      <c r="Y1847" s="111"/>
      <c r="Z1847" s="111" t="s">
        <v>14434</v>
      </c>
      <c r="AA1847" s="124">
        <v>270.0</v>
      </c>
      <c r="AB1847" s="125">
        <f>IF(Projects!$AI1847="Electrolysis",
AA1847/VLOOKUP(G1847,ElectrolysisConvF,3,FALSE),
AC1847*10^6/(H2dens*HoursInYear))</f>
        <v>58695.65217</v>
      </c>
      <c r="AC1847" s="126">
        <f t="shared" si="346"/>
        <v>45.76147826</v>
      </c>
      <c r="AD1847" s="125"/>
      <c r="AE1847" s="125">
        <f t="shared" si="282"/>
        <v>58695.65217</v>
      </c>
      <c r="AF1847" s="127" t="s">
        <v>14766</v>
      </c>
      <c r="AG1847" s="127">
        <v>46.0622547141511</v>
      </c>
      <c r="AH1847" s="127">
        <v>122.041625953866</v>
      </c>
      <c r="AI1847" s="115" t="s">
        <v>12383</v>
      </c>
      <c r="AJ1847" s="116">
        <v>0.5</v>
      </c>
      <c r="AK1847" s="117"/>
      <c r="AL1847" s="117"/>
      <c r="AM1847" s="117"/>
      <c r="AN1847" s="117"/>
      <c r="AO1847" s="117"/>
    </row>
    <row r="1848" ht="34.5" customHeight="1">
      <c r="A1848" s="111">
        <v>2501.0</v>
      </c>
      <c r="B1848" s="111" t="s">
        <v>9842</v>
      </c>
      <c r="C1848" s="111" t="s">
        <v>8026</v>
      </c>
      <c r="D1848" s="111">
        <v>2029.0</v>
      </c>
      <c r="E1848" s="111"/>
      <c r="F1848" s="111" t="s">
        <v>12399</v>
      </c>
      <c r="G1848" s="111" t="s">
        <v>12381</v>
      </c>
      <c r="H1848" s="111" t="s">
        <v>12230</v>
      </c>
      <c r="I1848" s="111" t="s">
        <v>12406</v>
      </c>
      <c r="J1848" s="111"/>
      <c r="K1848" s="111" t="s">
        <v>12415</v>
      </c>
      <c r="L1848" s="111"/>
      <c r="M1848" s="111"/>
      <c r="N1848" s="111">
        <v>1.0</v>
      </c>
      <c r="O1848" s="111"/>
      <c r="P1848" s="111"/>
      <c r="Q1848" s="111"/>
      <c r="R1848" s="111"/>
      <c r="S1848" s="111"/>
      <c r="T1848" s="111"/>
      <c r="U1848" s="111"/>
      <c r="V1848" s="111"/>
      <c r="W1848" s="111"/>
      <c r="X1848" s="111"/>
      <c r="Y1848" s="111"/>
      <c r="Z1848" s="111" t="s">
        <v>14767</v>
      </c>
      <c r="AA1848" s="126">
        <f>IF(Projects!$AI1848="Electrolysis",
AB1848*VLOOKUP(G1848,ElectrolysisConvF,3,FALSE),
"")</f>
        <v>309.2094043</v>
      </c>
      <c r="AB1848" s="125">
        <f t="shared" ref="AB1848:AB1849" si="347">AC1848/(H2dens*HoursInYear/10^6)</f>
        <v>68713.20096</v>
      </c>
      <c r="AC1848" s="125">
        <f>280*0.191327</f>
        <v>53.57156</v>
      </c>
      <c r="AD1848" s="125"/>
      <c r="AE1848" s="125">
        <f t="shared" si="282"/>
        <v>68713.20096</v>
      </c>
      <c r="AF1848" s="127" t="s">
        <v>14768</v>
      </c>
      <c r="AG1848" s="127">
        <v>63.8587738059714</v>
      </c>
      <c r="AH1848" s="127">
        <v>23.0306352536322</v>
      </c>
      <c r="AI1848" s="115" t="s">
        <v>12383</v>
      </c>
      <c r="AJ1848" s="116">
        <v>0.57</v>
      </c>
      <c r="AK1848" s="117"/>
      <c r="AL1848" s="117"/>
      <c r="AM1848" s="117"/>
      <c r="AN1848" s="117"/>
      <c r="AO1848" s="117"/>
    </row>
    <row r="1849" ht="34.5" customHeight="1">
      <c r="A1849" s="111">
        <v>2502.0</v>
      </c>
      <c r="B1849" s="111" t="s">
        <v>9843</v>
      </c>
      <c r="C1849" s="111" t="s">
        <v>7981</v>
      </c>
      <c r="D1849" s="111">
        <v>2027.0</v>
      </c>
      <c r="E1849" s="111"/>
      <c r="F1849" s="111" t="s">
        <v>12397</v>
      </c>
      <c r="G1849" s="111" t="s">
        <v>12381</v>
      </c>
      <c r="H1849" s="111" t="s">
        <v>12230</v>
      </c>
      <c r="I1849" s="111" t="s">
        <v>12406</v>
      </c>
      <c r="J1849" s="111"/>
      <c r="K1849" s="111" t="s">
        <v>174</v>
      </c>
      <c r="L1849" s="111"/>
      <c r="M1849" s="111">
        <v>1.0</v>
      </c>
      <c r="N1849" s="111"/>
      <c r="O1849" s="111"/>
      <c r="P1849" s="111"/>
      <c r="Q1849" s="111"/>
      <c r="R1849" s="111"/>
      <c r="S1849" s="111"/>
      <c r="T1849" s="111"/>
      <c r="U1849" s="111"/>
      <c r="V1849" s="111"/>
      <c r="W1849" s="111"/>
      <c r="X1849" s="111"/>
      <c r="Y1849" s="111"/>
      <c r="Z1849" s="111" t="s">
        <v>14769</v>
      </c>
      <c r="AA1849" s="126">
        <f>IF(Projects!$AI1849="Electrolysis",
AB1849*VLOOKUP(G1849,ElectrolysisConvF,3,FALSE),
"")</f>
        <v>2188.119563</v>
      </c>
      <c r="AB1849" s="125">
        <f t="shared" si="347"/>
        <v>486248.7918</v>
      </c>
      <c r="AC1849" s="125">
        <f>(1200*3/17/0.98/Projects!$AJ1849)</f>
        <v>379.099008</v>
      </c>
      <c r="AD1849" s="125"/>
      <c r="AE1849" s="125">
        <f t="shared" si="282"/>
        <v>486248.7918</v>
      </c>
      <c r="AF1849" s="127" t="s">
        <v>14770</v>
      </c>
      <c r="AG1849" s="127">
        <v>28.6985965860373</v>
      </c>
      <c r="AH1849" s="127">
        <v>-96.9576437884814</v>
      </c>
      <c r="AI1849" s="115" t="s">
        <v>12383</v>
      </c>
      <c r="AJ1849" s="116">
        <v>0.57</v>
      </c>
      <c r="AK1849" s="117"/>
      <c r="AL1849" s="117"/>
      <c r="AM1849" s="117"/>
      <c r="AN1849" s="117"/>
      <c r="AO1849" s="117"/>
    </row>
    <row r="1850" ht="34.5" customHeight="1">
      <c r="A1850" s="111">
        <v>2503.0</v>
      </c>
      <c r="B1850" s="111" t="s">
        <v>9844</v>
      </c>
      <c r="C1850" s="111" t="s">
        <v>7985</v>
      </c>
      <c r="D1850" s="111">
        <v>2023.0</v>
      </c>
      <c r="E1850" s="111"/>
      <c r="F1850" s="111" t="s">
        <v>12385</v>
      </c>
      <c r="G1850" s="111" t="s">
        <v>12224</v>
      </c>
      <c r="H1850" s="111"/>
      <c r="I1850" s="111" t="s">
        <v>12394</v>
      </c>
      <c r="J1850" s="111" t="s">
        <v>12291</v>
      </c>
      <c r="K1850" s="111" t="s">
        <v>12449</v>
      </c>
      <c r="L1850" s="111"/>
      <c r="M1850" s="111"/>
      <c r="N1850" s="111"/>
      <c r="O1850" s="111"/>
      <c r="P1850" s="111"/>
      <c r="Q1850" s="111"/>
      <c r="R1850" s="111"/>
      <c r="S1850" s="111"/>
      <c r="T1850" s="111"/>
      <c r="U1850" s="111"/>
      <c r="V1850" s="111"/>
      <c r="W1850" s="111"/>
      <c r="X1850" s="111">
        <v>1.0</v>
      </c>
      <c r="Y1850" s="111"/>
      <c r="Z1850" s="111" t="s">
        <v>12968</v>
      </c>
      <c r="AA1850" s="124">
        <v>0.5</v>
      </c>
      <c r="AB1850" s="125">
        <f>IF(Projects!$AI1850="Electrolysis",
AA1850/VLOOKUP(G1850,ElectrolysisConvF,3,FALSE),
AC1850*10^6/(H2dens*HoursInYear))</f>
        <v>108.6956522</v>
      </c>
      <c r="AC1850" s="126">
        <f t="shared" ref="AC1850:AC1852" si="348">AB1850*H2dens*HoursInYear/10^6</f>
        <v>0.08474347826</v>
      </c>
      <c r="AD1850" s="125"/>
      <c r="AE1850" s="125">
        <f t="shared" si="282"/>
        <v>108.6956522</v>
      </c>
      <c r="AF1850" s="127" t="s">
        <v>14771</v>
      </c>
      <c r="AG1850" s="127">
        <v>46.3230700009309</v>
      </c>
      <c r="AH1850" s="127">
        <v>6.97194186722552</v>
      </c>
      <c r="AI1850" s="115" t="s">
        <v>12383</v>
      </c>
      <c r="AJ1850" s="116">
        <v>0.3</v>
      </c>
      <c r="AK1850" s="117"/>
      <c r="AL1850" s="117"/>
      <c r="AM1850" s="117"/>
      <c r="AN1850" s="117"/>
      <c r="AO1850" s="117"/>
    </row>
    <row r="1851" ht="34.5" customHeight="1">
      <c r="A1851" s="111">
        <v>2504.0</v>
      </c>
      <c r="B1851" s="111" t="s">
        <v>9845</v>
      </c>
      <c r="C1851" s="111" t="s">
        <v>7974</v>
      </c>
      <c r="D1851" s="111">
        <v>2030.0</v>
      </c>
      <c r="E1851" s="111"/>
      <c r="F1851" s="111" t="s">
        <v>12397</v>
      </c>
      <c r="G1851" s="111" t="s">
        <v>14772</v>
      </c>
      <c r="H1851" s="111"/>
      <c r="I1851" s="111" t="s">
        <v>12406</v>
      </c>
      <c r="J1851" s="111"/>
      <c r="K1851" s="111" t="s">
        <v>30</v>
      </c>
      <c r="L1851" s="111"/>
      <c r="M1851" s="111"/>
      <c r="N1851" s="111"/>
      <c r="O1851" s="111">
        <v>1.0</v>
      </c>
      <c r="P1851" s="111"/>
      <c r="Q1851" s="111"/>
      <c r="R1851" s="111"/>
      <c r="S1851" s="111"/>
      <c r="T1851" s="111"/>
      <c r="U1851" s="111"/>
      <c r="V1851" s="111"/>
      <c r="W1851" s="111"/>
      <c r="X1851" s="111"/>
      <c r="Y1851" s="111"/>
      <c r="Z1851" s="111" t="s">
        <v>14773</v>
      </c>
      <c r="AA1851" s="126">
        <v>500.0</v>
      </c>
      <c r="AB1851" s="125">
        <f>IF(Projects!$AI1851="Electrolysis",
AA1851/VLOOKUP(G1851,ElectrolysisConvF,3,FALSE),
AC1851*10^6/(H2dens*HoursInYear))</f>
        <v>111111.1111</v>
      </c>
      <c r="AC1851" s="126">
        <f t="shared" si="348"/>
        <v>86.62666667</v>
      </c>
      <c r="AD1851" s="125"/>
      <c r="AE1851" s="125">
        <f t="shared" si="282"/>
        <v>111111.1111</v>
      </c>
      <c r="AF1851" s="127" t="s">
        <v>14774</v>
      </c>
      <c r="AG1851" s="127">
        <v>65.5854558141391</v>
      </c>
      <c r="AH1851" s="127">
        <v>22.1576613609812</v>
      </c>
      <c r="AI1851" s="115" t="s">
        <v>12383</v>
      </c>
      <c r="AJ1851" s="116">
        <v>0.57</v>
      </c>
      <c r="AK1851" s="117"/>
      <c r="AL1851" s="117"/>
      <c r="AM1851" s="117"/>
      <c r="AN1851" s="117"/>
      <c r="AO1851" s="117"/>
    </row>
    <row r="1852" ht="34.5" customHeight="1">
      <c r="A1852" s="111">
        <v>2505.0</v>
      </c>
      <c r="B1852" s="111" t="s">
        <v>9846</v>
      </c>
      <c r="C1852" s="111" t="s">
        <v>7974</v>
      </c>
      <c r="D1852" s="111">
        <v>2030.0</v>
      </c>
      <c r="E1852" s="111"/>
      <c r="F1852" s="111" t="s">
        <v>12397</v>
      </c>
      <c r="G1852" s="111" t="s">
        <v>12381</v>
      </c>
      <c r="H1852" s="111" t="s">
        <v>12230</v>
      </c>
      <c r="I1852" s="111" t="s">
        <v>12394</v>
      </c>
      <c r="J1852" s="111" t="s">
        <v>12294</v>
      </c>
      <c r="K1852" s="111" t="s">
        <v>30</v>
      </c>
      <c r="L1852" s="111"/>
      <c r="M1852" s="111"/>
      <c r="N1852" s="111"/>
      <c r="O1852" s="111">
        <v>1.0</v>
      </c>
      <c r="P1852" s="111"/>
      <c r="Q1852" s="111"/>
      <c r="R1852" s="111"/>
      <c r="S1852" s="111"/>
      <c r="T1852" s="111"/>
      <c r="U1852" s="111"/>
      <c r="V1852" s="111"/>
      <c r="W1852" s="111"/>
      <c r="X1852" s="111"/>
      <c r="Y1852" s="111"/>
      <c r="Z1852" s="111" t="s">
        <v>14775</v>
      </c>
      <c r="AA1852" s="124">
        <v>800.0</v>
      </c>
      <c r="AB1852" s="125">
        <f>IF(Projects!$AI1852="Electrolysis",
AA1852/VLOOKUP(G1852,ElectrolysisConvF,3,FALSE),
AC1852*10^6/(H2dens*HoursInYear))</f>
        <v>177777.7778</v>
      </c>
      <c r="AC1852" s="126">
        <f t="shared" si="348"/>
        <v>138.6026667</v>
      </c>
      <c r="AD1852" s="125"/>
      <c r="AE1852" s="125">
        <f t="shared" si="282"/>
        <v>177777.7778</v>
      </c>
      <c r="AF1852" s="127" t="s">
        <v>14776</v>
      </c>
      <c r="AG1852" s="127">
        <v>65.8289892026369</v>
      </c>
      <c r="AH1852" s="127">
        <v>21.6904535018585</v>
      </c>
      <c r="AI1852" s="115" t="s">
        <v>12383</v>
      </c>
      <c r="AJ1852" s="116">
        <v>0.8</v>
      </c>
      <c r="AK1852" s="117"/>
      <c r="AL1852" s="117"/>
      <c r="AM1852" s="117"/>
      <c r="AN1852" s="117"/>
      <c r="AO1852" s="117"/>
    </row>
    <row r="1853" ht="34.5" customHeight="1">
      <c r="A1853" s="111">
        <v>2506.0</v>
      </c>
      <c r="B1853" s="111" t="s">
        <v>9847</v>
      </c>
      <c r="C1853" s="111" t="s">
        <v>8021</v>
      </c>
      <c r="D1853" s="111">
        <v>2028.0</v>
      </c>
      <c r="E1853" s="111"/>
      <c r="F1853" s="111" t="s">
        <v>12399</v>
      </c>
      <c r="G1853" s="111" t="s">
        <v>12381</v>
      </c>
      <c r="H1853" s="111" t="s">
        <v>12230</v>
      </c>
      <c r="I1853" s="111" t="s">
        <v>12394</v>
      </c>
      <c r="J1853" s="111" t="s">
        <v>12295</v>
      </c>
      <c r="K1853" s="111" t="s">
        <v>174</v>
      </c>
      <c r="L1853" s="111"/>
      <c r="M1853" s="111">
        <v>1.0</v>
      </c>
      <c r="N1853" s="111"/>
      <c r="O1853" s="111"/>
      <c r="P1853" s="111"/>
      <c r="Q1853" s="111"/>
      <c r="R1853" s="111"/>
      <c r="S1853" s="111"/>
      <c r="T1853" s="111"/>
      <c r="U1853" s="111">
        <v>1.0</v>
      </c>
      <c r="V1853" s="111"/>
      <c r="W1853" s="111"/>
      <c r="X1853" s="111"/>
      <c r="Y1853" s="111"/>
      <c r="Z1853" s="111" t="s">
        <v>14777</v>
      </c>
      <c r="AA1853" s="126">
        <f>IF(Projects!$AI1853="Electrolysis",
AB1853*VLOOKUP(G1853,ElectrolysisConvF,3,FALSE),
"")</f>
        <v>259.8391981</v>
      </c>
      <c r="AB1853" s="125">
        <f>AC1853/(H2dens*HoursInYear/10^6)</f>
        <v>57742.04402</v>
      </c>
      <c r="AC1853" s="125">
        <f>250*3/17/0.98</f>
        <v>45.0180072</v>
      </c>
      <c r="AD1853" s="125"/>
      <c r="AE1853" s="125">
        <f t="shared" si="282"/>
        <v>57742.04402</v>
      </c>
      <c r="AF1853" s="127" t="s">
        <v>14778</v>
      </c>
      <c r="AG1853" s="127">
        <v>-15.7767627282992</v>
      </c>
      <c r="AH1853" s="127">
        <v>128.750233278639</v>
      </c>
      <c r="AI1853" s="115" t="s">
        <v>12383</v>
      </c>
      <c r="AJ1853" s="116">
        <v>0.5</v>
      </c>
      <c r="AK1853" s="117"/>
      <c r="AL1853" s="117"/>
      <c r="AM1853" s="117"/>
      <c r="AN1853" s="117"/>
      <c r="AO1853" s="117"/>
    </row>
    <row r="1854" ht="34.5" customHeight="1">
      <c r="A1854" s="111">
        <v>2507.0</v>
      </c>
      <c r="B1854" s="111" t="s">
        <v>9848</v>
      </c>
      <c r="C1854" s="111" t="s">
        <v>8021</v>
      </c>
      <c r="D1854" s="111">
        <v>2028.0</v>
      </c>
      <c r="E1854" s="111"/>
      <c r="F1854" s="111" t="s">
        <v>12397</v>
      </c>
      <c r="G1854" s="111" t="s">
        <v>12381</v>
      </c>
      <c r="H1854" s="111" t="s">
        <v>12230</v>
      </c>
      <c r="I1854" s="111" t="s">
        <v>12394</v>
      </c>
      <c r="J1854" s="111" t="s">
        <v>12296</v>
      </c>
      <c r="K1854" s="111" t="s">
        <v>174</v>
      </c>
      <c r="L1854" s="111"/>
      <c r="M1854" s="111">
        <v>1.0</v>
      </c>
      <c r="N1854" s="111"/>
      <c r="O1854" s="111"/>
      <c r="P1854" s="111"/>
      <c r="Q1854" s="111"/>
      <c r="R1854" s="111"/>
      <c r="S1854" s="111"/>
      <c r="T1854" s="111"/>
      <c r="U1854" s="111"/>
      <c r="V1854" s="111"/>
      <c r="W1854" s="111"/>
      <c r="X1854" s="111"/>
      <c r="Y1854" s="111"/>
      <c r="Z1854" s="111" t="s">
        <v>14282</v>
      </c>
      <c r="AA1854" s="124">
        <v>5000.0</v>
      </c>
      <c r="AB1854" s="125">
        <f>IF(Projects!$AI1854="Electrolysis",
AA1854/VLOOKUP(G1854,ElectrolysisConvF,3,FALSE),
AC1854*10^6/(H2dens*HoursInYear))</f>
        <v>1111111.111</v>
      </c>
      <c r="AC1854" s="126">
        <f>AB1854*H2dens*HoursInYear/10^6</f>
        <v>866.2666667</v>
      </c>
      <c r="AD1854" s="125"/>
      <c r="AE1854" s="125">
        <f t="shared" si="282"/>
        <v>1111111.111</v>
      </c>
      <c r="AF1854" s="127" t="s">
        <v>14779</v>
      </c>
      <c r="AG1854" s="127">
        <v>-34.1868836485371</v>
      </c>
      <c r="AH1854" s="127">
        <v>136.315484197039</v>
      </c>
      <c r="AI1854" s="115" t="s">
        <v>12383</v>
      </c>
      <c r="AJ1854" s="116">
        <v>0.5</v>
      </c>
      <c r="AK1854" s="117"/>
      <c r="AL1854" s="117"/>
      <c r="AM1854" s="117"/>
      <c r="AN1854" s="117"/>
      <c r="AO1854" s="117"/>
    </row>
    <row r="1855" ht="34.5" customHeight="1">
      <c r="A1855" s="111">
        <v>2508.0</v>
      </c>
      <c r="B1855" s="111" t="s">
        <v>9849</v>
      </c>
      <c r="C1855" s="111" t="s">
        <v>8600</v>
      </c>
      <c r="D1855" s="111"/>
      <c r="E1855" s="111"/>
      <c r="F1855" s="111" t="s">
        <v>12397</v>
      </c>
      <c r="G1855" s="111" t="s">
        <v>12381</v>
      </c>
      <c r="H1855" s="111" t="s">
        <v>12230</v>
      </c>
      <c r="I1855" s="111" t="s">
        <v>12287</v>
      </c>
      <c r="J1855" s="111" t="s">
        <v>12296</v>
      </c>
      <c r="K1855" s="111" t="s">
        <v>30</v>
      </c>
      <c r="L1855" s="111"/>
      <c r="M1855" s="111"/>
      <c r="N1855" s="111"/>
      <c r="O1855" s="111"/>
      <c r="P1855" s="111"/>
      <c r="Q1855" s="111"/>
      <c r="R1855" s="111"/>
      <c r="S1855" s="111"/>
      <c r="T1855" s="111"/>
      <c r="U1855" s="111"/>
      <c r="V1855" s="111"/>
      <c r="W1855" s="111"/>
      <c r="X1855" s="111"/>
      <c r="Y1855" s="111"/>
      <c r="Z1855" s="111"/>
      <c r="AA1855" s="124">
        <f>IF(OR(G1855="ALK",G1855="PEM",G1855="SOEC",G1855="Other Electrolysis"),
AB1855*VLOOKUP(G1855,ElectrolysisConvF,3,FALSE),
"")</f>
        <v>0</v>
      </c>
      <c r="AB1855" s="125"/>
      <c r="AC1855" s="125"/>
      <c r="AD1855" s="125"/>
      <c r="AE1855" s="125" t="str">
        <f t="shared" si="282"/>
        <v/>
      </c>
      <c r="AF1855" s="127" t="s">
        <v>14780</v>
      </c>
      <c r="AG1855" s="127">
        <v>17.072432913075</v>
      </c>
      <c r="AH1855" s="127">
        <v>-96.7269774948536</v>
      </c>
      <c r="AI1855" s="115" t="s">
        <v>12383</v>
      </c>
      <c r="AJ1855" s="116">
        <v>0.57</v>
      </c>
      <c r="AK1855" s="117"/>
      <c r="AL1855" s="117"/>
      <c r="AM1855" s="117"/>
      <c r="AN1855" s="117"/>
      <c r="AO1855" s="117"/>
    </row>
    <row r="1856" ht="34.5" customHeight="1">
      <c r="A1856" s="111">
        <v>2509.0</v>
      </c>
      <c r="B1856" s="111" t="s">
        <v>9850</v>
      </c>
      <c r="C1856" s="111" t="s">
        <v>8388</v>
      </c>
      <c r="D1856" s="111"/>
      <c r="E1856" s="111"/>
      <c r="F1856" s="111" t="s">
        <v>12397</v>
      </c>
      <c r="G1856" s="111" t="s">
        <v>12381</v>
      </c>
      <c r="H1856" s="111" t="s">
        <v>12230</v>
      </c>
      <c r="I1856" s="111" t="s">
        <v>12394</v>
      </c>
      <c r="J1856" s="111" t="s">
        <v>12296</v>
      </c>
      <c r="K1856" s="111" t="s">
        <v>30</v>
      </c>
      <c r="L1856" s="111"/>
      <c r="M1856" s="111"/>
      <c r="N1856" s="111"/>
      <c r="O1856" s="111"/>
      <c r="P1856" s="111"/>
      <c r="Q1856" s="111"/>
      <c r="R1856" s="111"/>
      <c r="S1856" s="111"/>
      <c r="T1856" s="111"/>
      <c r="U1856" s="111"/>
      <c r="V1856" s="111"/>
      <c r="W1856" s="111"/>
      <c r="X1856" s="111"/>
      <c r="Y1856" s="111"/>
      <c r="Z1856" s="111" t="s">
        <v>14037</v>
      </c>
      <c r="AA1856" s="126">
        <f>IF(Projects!$AI1856="Electrolysis",
AB1856*VLOOKUP(G1856,ElectrolysisConvF,3,FALSE),
"")</f>
        <v>1154.378944</v>
      </c>
      <c r="AB1856" s="125">
        <f>AC1856/(H2dens*HoursInYear/10^6)</f>
        <v>256528.6543</v>
      </c>
      <c r="AC1856" s="125">
        <v>200.0</v>
      </c>
      <c r="AD1856" s="125"/>
      <c r="AE1856" s="125">
        <f t="shared" si="282"/>
        <v>256528.6543</v>
      </c>
      <c r="AF1856" s="127" t="s">
        <v>14781</v>
      </c>
      <c r="AG1856" s="127">
        <v>19.6402558893837</v>
      </c>
      <c r="AH1856" s="127">
        <v>57.6771362958818</v>
      </c>
      <c r="AI1856" s="115" t="s">
        <v>12383</v>
      </c>
      <c r="AJ1856" s="116">
        <v>0.5</v>
      </c>
      <c r="AK1856" s="117"/>
      <c r="AL1856" s="117"/>
      <c r="AM1856" s="117"/>
      <c r="AN1856" s="117"/>
      <c r="AO1856" s="117"/>
    </row>
    <row r="1857" ht="34.5" customHeight="1">
      <c r="A1857" s="111">
        <v>2510.0</v>
      </c>
      <c r="B1857" s="111" t="s">
        <v>9851</v>
      </c>
      <c r="C1857" s="111" t="s">
        <v>9296</v>
      </c>
      <c r="D1857" s="111"/>
      <c r="E1857" s="111"/>
      <c r="F1857" s="111" t="s">
        <v>12397</v>
      </c>
      <c r="G1857" s="111" t="s">
        <v>12381</v>
      </c>
      <c r="H1857" s="111" t="s">
        <v>12230</v>
      </c>
      <c r="I1857" s="111" t="s">
        <v>12394</v>
      </c>
      <c r="J1857" s="111" t="s">
        <v>12296</v>
      </c>
      <c r="K1857" s="111" t="s">
        <v>174</v>
      </c>
      <c r="L1857" s="111"/>
      <c r="M1857" s="111">
        <v>1.0</v>
      </c>
      <c r="N1857" s="111"/>
      <c r="O1857" s="111"/>
      <c r="P1857" s="111"/>
      <c r="Q1857" s="111"/>
      <c r="R1857" s="111"/>
      <c r="S1857" s="111"/>
      <c r="T1857" s="111"/>
      <c r="U1857" s="111"/>
      <c r="V1857" s="111"/>
      <c r="W1857" s="111"/>
      <c r="X1857" s="111"/>
      <c r="Y1857" s="111"/>
      <c r="Z1857" s="111" t="s">
        <v>14782</v>
      </c>
      <c r="AA1857" s="124">
        <v>1000.0</v>
      </c>
      <c r="AB1857" s="125">
        <f>IF(Projects!$AI1857="Electrolysis",
AA1857/VLOOKUP(G1857,ElectrolysisConvF,3,FALSE),
AC1857*10^6/(H2dens*HoursInYear))</f>
        <v>222222.2222</v>
      </c>
      <c r="AC1857" s="125">
        <f t="shared" ref="AC1857:AC1863" si="349">AB1857*H2dens*HoursInYear/10^6</f>
        <v>173.2533333</v>
      </c>
      <c r="AD1857" s="125"/>
      <c r="AE1857" s="125">
        <f t="shared" si="282"/>
        <v>222222.2222</v>
      </c>
      <c r="AF1857" s="127" t="s">
        <v>14783</v>
      </c>
      <c r="AG1857" s="127">
        <v>11.7205593325596</v>
      </c>
      <c r="AH1857" s="127">
        <v>42.7729418358331</v>
      </c>
      <c r="AI1857" s="115" t="s">
        <v>12383</v>
      </c>
      <c r="AJ1857" s="116">
        <v>0.5</v>
      </c>
      <c r="AK1857" s="117"/>
      <c r="AL1857" s="117"/>
      <c r="AM1857" s="117"/>
      <c r="AN1857" s="117"/>
      <c r="AO1857" s="117"/>
    </row>
    <row r="1858" ht="34.5" customHeight="1">
      <c r="A1858" s="111">
        <v>2511.0</v>
      </c>
      <c r="B1858" s="111" t="s">
        <v>9852</v>
      </c>
      <c r="C1858" s="111" t="s">
        <v>8891</v>
      </c>
      <c r="D1858" s="111"/>
      <c r="E1858" s="111"/>
      <c r="F1858" s="111" t="s">
        <v>12397</v>
      </c>
      <c r="G1858" s="111" t="s">
        <v>12381</v>
      </c>
      <c r="H1858" s="111" t="s">
        <v>12230</v>
      </c>
      <c r="I1858" s="111" t="s">
        <v>12394</v>
      </c>
      <c r="J1858" s="111" t="s">
        <v>12296</v>
      </c>
      <c r="K1858" s="111" t="s">
        <v>30</v>
      </c>
      <c r="L1858" s="111"/>
      <c r="M1858" s="111"/>
      <c r="N1858" s="111"/>
      <c r="O1858" s="111"/>
      <c r="P1858" s="111"/>
      <c r="Q1858" s="111"/>
      <c r="R1858" s="111"/>
      <c r="S1858" s="111"/>
      <c r="T1858" s="111"/>
      <c r="U1858" s="111"/>
      <c r="V1858" s="111"/>
      <c r="W1858" s="111"/>
      <c r="X1858" s="111"/>
      <c r="Y1858" s="111"/>
      <c r="Z1858" s="111" t="s">
        <v>13621</v>
      </c>
      <c r="AA1858" s="124">
        <v>1000.0</v>
      </c>
      <c r="AB1858" s="125">
        <f>IF(Projects!$AI1858="Electrolysis",
AA1858/VLOOKUP(G1858,ElectrolysisConvF,3,FALSE),
AC1858*10^6/(H2dens*HoursInYear))</f>
        <v>222222.2222</v>
      </c>
      <c r="AC1858" s="125">
        <f t="shared" si="349"/>
        <v>173.2533333</v>
      </c>
      <c r="AD1858" s="125"/>
      <c r="AE1858" s="125">
        <f t="shared" si="282"/>
        <v>222222.2222</v>
      </c>
      <c r="AF1858" s="127" t="s">
        <v>14783</v>
      </c>
      <c r="AG1858" s="127">
        <v>-4.06066882132557</v>
      </c>
      <c r="AH1858" s="127">
        <v>39.6609196438798</v>
      </c>
      <c r="AI1858" s="115" t="s">
        <v>12383</v>
      </c>
      <c r="AJ1858" s="116">
        <v>0.5</v>
      </c>
      <c r="AK1858" s="117"/>
      <c r="AL1858" s="117"/>
      <c r="AM1858" s="117"/>
      <c r="AN1858" s="117"/>
      <c r="AO1858" s="117"/>
    </row>
    <row r="1859" ht="34.5" customHeight="1">
      <c r="A1859" s="111">
        <v>2512.0</v>
      </c>
      <c r="B1859" s="111" t="s">
        <v>9853</v>
      </c>
      <c r="C1859" s="111" t="s">
        <v>8011</v>
      </c>
      <c r="D1859" s="111">
        <v>2029.0</v>
      </c>
      <c r="E1859" s="111"/>
      <c r="F1859" s="111" t="s">
        <v>12399</v>
      </c>
      <c r="G1859" s="111" t="s">
        <v>12381</v>
      </c>
      <c r="H1859" s="111" t="s">
        <v>12230</v>
      </c>
      <c r="I1859" s="111" t="s">
        <v>12759</v>
      </c>
      <c r="J1859" s="111"/>
      <c r="K1859" s="111" t="s">
        <v>12251</v>
      </c>
      <c r="L1859" s="111"/>
      <c r="M1859" s="111"/>
      <c r="N1859" s="111"/>
      <c r="O1859" s="111"/>
      <c r="P1859" s="111"/>
      <c r="Q1859" s="111">
        <v>1.0</v>
      </c>
      <c r="R1859" s="111"/>
      <c r="S1859" s="111"/>
      <c r="T1859" s="111"/>
      <c r="U1859" s="111"/>
      <c r="V1859" s="111"/>
      <c r="W1859" s="111">
        <v>1.0</v>
      </c>
      <c r="X1859" s="111"/>
      <c r="Y1859" s="111"/>
      <c r="Z1859" s="111" t="s">
        <v>14784</v>
      </c>
      <c r="AA1859" s="124">
        <v>255.0</v>
      </c>
      <c r="AB1859" s="125">
        <f>IF(Projects!$AI1859="Electrolysis",
AA1859/VLOOKUP(G1859,ElectrolysisConvF,3,FALSE),
AC1859*10^6/(H2dens*HoursInYear))</f>
        <v>56666.66667</v>
      </c>
      <c r="AC1859" s="126">
        <f t="shared" si="349"/>
        <v>44.1796</v>
      </c>
      <c r="AD1859" s="125"/>
      <c r="AE1859" s="125">
        <f t="shared" si="282"/>
        <v>56666.66667</v>
      </c>
      <c r="AF1859" s="127" t="s">
        <v>14785</v>
      </c>
      <c r="AG1859" s="127">
        <v>49.4948890255158</v>
      </c>
      <c r="AH1859" s="127">
        <v>0.10808378192232</v>
      </c>
      <c r="AI1859" s="115" t="s">
        <v>12383</v>
      </c>
      <c r="AJ1859" s="116">
        <v>0.7</v>
      </c>
      <c r="AK1859" s="117"/>
      <c r="AL1859" s="117"/>
      <c r="AM1859" s="117"/>
      <c r="AN1859" s="117"/>
      <c r="AO1859" s="117"/>
    </row>
    <row r="1860" ht="34.5" customHeight="1">
      <c r="A1860" s="111">
        <v>2513.0</v>
      </c>
      <c r="B1860" s="111" t="s">
        <v>9854</v>
      </c>
      <c r="C1860" s="111" t="s">
        <v>8365</v>
      </c>
      <c r="D1860" s="111"/>
      <c r="E1860" s="111"/>
      <c r="F1860" s="111" t="s">
        <v>12397</v>
      </c>
      <c r="G1860" s="111" t="s">
        <v>12381</v>
      </c>
      <c r="H1860" s="111" t="s">
        <v>12230</v>
      </c>
      <c r="I1860" s="111" t="s">
        <v>12394</v>
      </c>
      <c r="J1860" s="111" t="s">
        <v>12296</v>
      </c>
      <c r="K1860" s="111" t="s">
        <v>12251</v>
      </c>
      <c r="L1860" s="111"/>
      <c r="M1860" s="111"/>
      <c r="N1860" s="111"/>
      <c r="O1860" s="111"/>
      <c r="P1860" s="111"/>
      <c r="Q1860" s="111">
        <v>1.0</v>
      </c>
      <c r="R1860" s="111"/>
      <c r="S1860" s="111"/>
      <c r="T1860" s="111"/>
      <c r="U1860" s="111"/>
      <c r="V1860" s="111"/>
      <c r="W1860" s="111">
        <v>1.0</v>
      </c>
      <c r="X1860" s="111"/>
      <c r="Y1860" s="111"/>
      <c r="Z1860" s="111" t="s">
        <v>14786</v>
      </c>
      <c r="AA1860" s="124">
        <v>1000.0</v>
      </c>
      <c r="AB1860" s="125">
        <f>IF(Projects!$AI1860="Electrolysis",
AA1860/VLOOKUP(G1860,ElectrolysisConvF,3,FALSE),
AC1860*10^6/(H2dens*HoursInYear))</f>
        <v>222222.2222</v>
      </c>
      <c r="AC1860" s="126">
        <f t="shared" si="349"/>
        <v>173.2533333</v>
      </c>
      <c r="AD1860" s="125"/>
      <c r="AE1860" s="125">
        <f t="shared" si="282"/>
        <v>222222.2222</v>
      </c>
      <c r="AF1860" s="127" t="s">
        <v>14787</v>
      </c>
      <c r="AG1860" s="127">
        <v>-31.2105422756263</v>
      </c>
      <c r="AH1860" s="127">
        <v>17.9275271853643</v>
      </c>
      <c r="AI1860" s="115" t="s">
        <v>12383</v>
      </c>
      <c r="AJ1860" s="116">
        <v>0.5</v>
      </c>
      <c r="AK1860" s="117"/>
      <c r="AL1860" s="117"/>
      <c r="AM1860" s="117"/>
      <c r="AN1860" s="117"/>
      <c r="AO1860" s="117"/>
    </row>
    <row r="1861" ht="34.5" customHeight="1">
      <c r="A1861" s="111">
        <v>2514.0</v>
      </c>
      <c r="B1861" s="111" t="s">
        <v>9855</v>
      </c>
      <c r="C1861" s="111" t="s">
        <v>7987</v>
      </c>
      <c r="D1861" s="111">
        <v>2026.0</v>
      </c>
      <c r="E1861" s="111"/>
      <c r="F1861" s="111" t="s">
        <v>12399</v>
      </c>
      <c r="G1861" s="111" t="s">
        <v>12381</v>
      </c>
      <c r="H1861" s="111" t="s">
        <v>12230</v>
      </c>
      <c r="I1861" s="111" t="s">
        <v>12287</v>
      </c>
      <c r="J1861" s="111" t="s">
        <v>12296</v>
      </c>
      <c r="K1861" s="111" t="s">
        <v>30</v>
      </c>
      <c r="L1861" s="111"/>
      <c r="M1861" s="111"/>
      <c r="N1861" s="111"/>
      <c r="O1861" s="111"/>
      <c r="P1861" s="111"/>
      <c r="Q1861" s="111"/>
      <c r="R1861" s="111"/>
      <c r="S1861" s="111"/>
      <c r="T1861" s="111"/>
      <c r="U1861" s="111"/>
      <c r="V1861" s="111"/>
      <c r="W1861" s="111"/>
      <c r="X1861" s="111"/>
      <c r="Y1861" s="111"/>
      <c r="Z1861" s="111" t="s">
        <v>13306</v>
      </c>
      <c r="AA1861" s="124">
        <v>90.0</v>
      </c>
      <c r="AB1861" s="125">
        <f>IF(Projects!$AI1861="Electrolysis",
AA1861/VLOOKUP(G1861,ElectrolysisConvF,3,FALSE),
AC1861*10^6/(H2dens*HoursInYear))</f>
        <v>20000</v>
      </c>
      <c r="AC1861" s="126">
        <f t="shared" si="349"/>
        <v>15.5928</v>
      </c>
      <c r="AD1861" s="125"/>
      <c r="AE1861" s="125">
        <f t="shared" si="282"/>
        <v>20000</v>
      </c>
      <c r="AF1861" s="127" t="s">
        <v>14788</v>
      </c>
      <c r="AG1861" s="127">
        <v>51.2605273710641</v>
      </c>
      <c r="AH1861" s="127">
        <v>12.3503662197016</v>
      </c>
      <c r="AI1861" s="115" t="s">
        <v>12383</v>
      </c>
      <c r="AJ1861" s="116">
        <v>0.57</v>
      </c>
      <c r="AK1861" s="117"/>
      <c r="AL1861" s="117"/>
      <c r="AM1861" s="117"/>
      <c r="AN1861" s="117"/>
      <c r="AO1861" s="117"/>
    </row>
    <row r="1862" ht="34.5" customHeight="1">
      <c r="A1862" s="111">
        <v>2515.0</v>
      </c>
      <c r="B1862" s="111" t="s">
        <v>9856</v>
      </c>
      <c r="C1862" s="111" t="s">
        <v>8021</v>
      </c>
      <c r="D1862" s="111">
        <v>2024.0</v>
      </c>
      <c r="E1862" s="111"/>
      <c r="F1862" s="111" t="s">
        <v>12393</v>
      </c>
      <c r="G1862" s="111" t="s">
        <v>12381</v>
      </c>
      <c r="H1862" s="111" t="s">
        <v>12230</v>
      </c>
      <c r="I1862" s="111" t="s">
        <v>12394</v>
      </c>
      <c r="J1862" s="111" t="s">
        <v>12291</v>
      </c>
      <c r="K1862" s="111" t="s">
        <v>30</v>
      </c>
      <c r="L1862" s="111"/>
      <c r="M1862" s="111"/>
      <c r="N1862" s="111"/>
      <c r="O1862" s="111"/>
      <c r="P1862" s="111"/>
      <c r="Q1862" s="111"/>
      <c r="R1862" s="111"/>
      <c r="S1862" s="111"/>
      <c r="T1862" s="111"/>
      <c r="U1862" s="111"/>
      <c r="V1862" s="111"/>
      <c r="W1862" s="111"/>
      <c r="X1862" s="111"/>
      <c r="Y1862" s="111"/>
      <c r="Z1862" s="111" t="s">
        <v>13736</v>
      </c>
      <c r="AA1862" s="124">
        <v>12.0</v>
      </c>
      <c r="AB1862" s="125">
        <f>IF(Projects!$AI1862="Electrolysis",
AA1862/VLOOKUP(G1862,ElectrolysisConvF,3,FALSE),
AC1862*10^6/(H2dens*HoursInYear))</f>
        <v>2666.666667</v>
      </c>
      <c r="AC1862" s="126">
        <f t="shared" si="349"/>
        <v>2.07904</v>
      </c>
      <c r="AD1862" s="125"/>
      <c r="AE1862" s="125">
        <f t="shared" si="282"/>
        <v>2666.666667</v>
      </c>
      <c r="AF1862" s="127" t="s">
        <v>14789</v>
      </c>
      <c r="AG1862" s="127">
        <v>-29.4616163545643</v>
      </c>
      <c r="AH1862" s="127">
        <v>149.833525576213</v>
      </c>
      <c r="AI1862" s="115" t="s">
        <v>12383</v>
      </c>
      <c r="AJ1862" s="116">
        <v>0.3</v>
      </c>
      <c r="AK1862" s="117"/>
      <c r="AL1862" s="117"/>
      <c r="AM1862" s="117"/>
      <c r="AN1862" s="117"/>
      <c r="AO1862" s="117"/>
    </row>
    <row r="1863" ht="34.5" customHeight="1">
      <c r="A1863" s="111">
        <v>2516.0</v>
      </c>
      <c r="B1863" s="111" t="s">
        <v>9857</v>
      </c>
      <c r="C1863" s="111" t="s">
        <v>7987</v>
      </c>
      <c r="D1863" s="111">
        <v>2030.0</v>
      </c>
      <c r="E1863" s="111"/>
      <c r="F1863" s="111" t="s">
        <v>12397</v>
      </c>
      <c r="G1863" s="111" t="s">
        <v>12381</v>
      </c>
      <c r="H1863" s="111" t="s">
        <v>12230</v>
      </c>
      <c r="I1863" s="111" t="s">
        <v>12287</v>
      </c>
      <c r="J1863" s="111" t="s">
        <v>12296</v>
      </c>
      <c r="K1863" s="111" t="s">
        <v>12251</v>
      </c>
      <c r="L1863" s="111"/>
      <c r="M1863" s="111"/>
      <c r="N1863" s="111"/>
      <c r="O1863" s="111"/>
      <c r="P1863" s="111"/>
      <c r="Q1863" s="111"/>
      <c r="R1863" s="111"/>
      <c r="S1863" s="111"/>
      <c r="T1863" s="111"/>
      <c r="U1863" s="111"/>
      <c r="V1863" s="111"/>
      <c r="W1863" s="111">
        <v>1.0</v>
      </c>
      <c r="X1863" s="111"/>
      <c r="Y1863" s="111"/>
      <c r="Z1863" s="111" t="s">
        <v>14790</v>
      </c>
      <c r="AA1863" s="124">
        <v>1000.0</v>
      </c>
      <c r="AB1863" s="125">
        <f>IF(Projects!$AI1863="Electrolysis",
AA1863/VLOOKUP(G1863,ElectrolysisConvF,3,FALSE),
AC1863*10^6/(H2dens*HoursInYear))</f>
        <v>222222.2222</v>
      </c>
      <c r="AC1863" s="126">
        <f t="shared" si="349"/>
        <v>173.2533333</v>
      </c>
      <c r="AD1863" s="125"/>
      <c r="AE1863" s="125">
        <f t="shared" si="282"/>
        <v>222222.2222</v>
      </c>
      <c r="AF1863" s="127" t="s">
        <v>14791</v>
      </c>
      <c r="AG1863" s="127">
        <v>51.2605273710641</v>
      </c>
      <c r="AH1863" s="127">
        <v>12.3503662197016</v>
      </c>
      <c r="AI1863" s="115" t="s">
        <v>12383</v>
      </c>
      <c r="AJ1863" s="116">
        <v>0.57</v>
      </c>
      <c r="AK1863" s="117"/>
      <c r="AL1863" s="117"/>
      <c r="AM1863" s="117"/>
      <c r="AN1863" s="117"/>
      <c r="AO1863" s="117"/>
    </row>
    <row r="1864" ht="34.5" customHeight="1">
      <c r="A1864" s="111">
        <v>2517.0</v>
      </c>
      <c r="B1864" s="111" t="s">
        <v>9858</v>
      </c>
      <c r="C1864" s="111" t="s">
        <v>8108</v>
      </c>
      <c r="D1864" s="111"/>
      <c r="E1864" s="111"/>
      <c r="F1864" s="111" t="s">
        <v>12399</v>
      </c>
      <c r="G1864" s="111" t="s">
        <v>12381</v>
      </c>
      <c r="H1864" s="111" t="s">
        <v>12230</v>
      </c>
      <c r="I1864" s="111" t="s">
        <v>12394</v>
      </c>
      <c r="J1864" s="111" t="s">
        <v>12296</v>
      </c>
      <c r="K1864" s="111" t="s">
        <v>174</v>
      </c>
      <c r="L1864" s="111"/>
      <c r="M1864" s="111">
        <v>1.0</v>
      </c>
      <c r="N1864" s="111"/>
      <c r="O1864" s="111"/>
      <c r="P1864" s="111"/>
      <c r="Q1864" s="111"/>
      <c r="R1864" s="111"/>
      <c r="S1864" s="111"/>
      <c r="T1864" s="111"/>
      <c r="U1864" s="111"/>
      <c r="V1864" s="111"/>
      <c r="W1864" s="111"/>
      <c r="X1864" s="111"/>
      <c r="Y1864" s="111"/>
      <c r="Z1864" s="111" t="s">
        <v>14151</v>
      </c>
      <c r="AA1864" s="126">
        <f>IF(Projects!$AI1864="Electrolysis",
AB1864*VLOOKUP(G1864,ElectrolysisConvF,3,FALSE),
"")</f>
        <v>1039.356792</v>
      </c>
      <c r="AB1864" s="125">
        <f t="shared" ref="AB1864:AB1866" si="350">AC1864/(H2dens*HoursInYear/10^6)</f>
        <v>230968.1761</v>
      </c>
      <c r="AC1864" s="125">
        <f>(500*3/17/0.98)/Projects!$AJ1864</f>
        <v>180.0720288</v>
      </c>
      <c r="AD1864" s="125"/>
      <c r="AE1864" s="125">
        <f t="shared" si="282"/>
        <v>230968.1761</v>
      </c>
      <c r="AF1864" s="127" t="s">
        <v>14792</v>
      </c>
      <c r="AG1864" s="127">
        <v>20.4690458273687</v>
      </c>
      <c r="AH1864" s="127">
        <v>84.2351744409113</v>
      </c>
      <c r="AI1864" s="115" t="s">
        <v>12383</v>
      </c>
      <c r="AJ1864" s="116">
        <v>0.5</v>
      </c>
      <c r="AK1864" s="117"/>
      <c r="AL1864" s="117"/>
      <c r="AM1864" s="117"/>
      <c r="AN1864" s="117"/>
      <c r="AO1864" s="117"/>
    </row>
    <row r="1865" ht="34.5" customHeight="1">
      <c r="A1865" s="111">
        <v>2518.0</v>
      </c>
      <c r="B1865" s="111" t="s">
        <v>9859</v>
      </c>
      <c r="C1865" s="111" t="s">
        <v>8578</v>
      </c>
      <c r="D1865" s="111">
        <v>2027.0</v>
      </c>
      <c r="E1865" s="111"/>
      <c r="F1865" s="111" t="s">
        <v>12399</v>
      </c>
      <c r="G1865" s="111" t="s">
        <v>12381</v>
      </c>
      <c r="H1865" s="111" t="s">
        <v>12230</v>
      </c>
      <c r="I1865" s="111" t="s">
        <v>12394</v>
      </c>
      <c r="J1865" s="111" t="s">
        <v>12296</v>
      </c>
      <c r="K1865" s="111" t="s">
        <v>174</v>
      </c>
      <c r="L1865" s="111"/>
      <c r="M1865" s="111">
        <v>1.0</v>
      </c>
      <c r="N1865" s="111"/>
      <c r="O1865" s="111"/>
      <c r="P1865" s="111"/>
      <c r="Q1865" s="111"/>
      <c r="R1865" s="111"/>
      <c r="S1865" s="111"/>
      <c r="T1865" s="111"/>
      <c r="U1865" s="111"/>
      <c r="V1865" s="111"/>
      <c r="W1865" s="111"/>
      <c r="X1865" s="111"/>
      <c r="Y1865" s="111"/>
      <c r="Z1865" s="111" t="s">
        <v>14793</v>
      </c>
      <c r="AA1865" s="126">
        <f>IF(Projects!$AI1865="Electrolysis",
AB1865*VLOOKUP(G1865,ElectrolysisConvF,3,FALSE),
"")</f>
        <v>173.1568416</v>
      </c>
      <c r="AB1865" s="125">
        <f t="shared" si="350"/>
        <v>38479.29814</v>
      </c>
      <c r="AC1865" s="125">
        <v>30.0</v>
      </c>
      <c r="AD1865" s="125"/>
      <c r="AE1865" s="125">
        <f t="shared" si="282"/>
        <v>38479.29814</v>
      </c>
      <c r="AF1865" s="127" t="s">
        <v>14794</v>
      </c>
      <c r="AG1865" s="127">
        <v>-7.51657642416924</v>
      </c>
      <c r="AH1865" s="127">
        <v>112.144196120358</v>
      </c>
      <c r="AI1865" s="115" t="s">
        <v>12383</v>
      </c>
      <c r="AJ1865" s="116">
        <v>0.5</v>
      </c>
      <c r="AK1865" s="117"/>
      <c r="AL1865" s="117"/>
      <c r="AM1865" s="117"/>
      <c r="AN1865" s="117"/>
      <c r="AO1865" s="117"/>
    </row>
    <row r="1866" ht="34.5" customHeight="1">
      <c r="A1866" s="111">
        <v>2519.0</v>
      </c>
      <c r="B1866" s="111" t="s">
        <v>9860</v>
      </c>
      <c r="C1866" s="145" t="s">
        <v>7981</v>
      </c>
      <c r="D1866" s="145">
        <v>2027.0</v>
      </c>
      <c r="E1866" s="111"/>
      <c r="F1866" s="145" t="s">
        <v>12397</v>
      </c>
      <c r="G1866" s="145" t="s">
        <v>12381</v>
      </c>
      <c r="H1866" s="145" t="s">
        <v>12230</v>
      </c>
      <c r="I1866" s="145" t="s">
        <v>12394</v>
      </c>
      <c r="J1866" s="145" t="s">
        <v>12295</v>
      </c>
      <c r="K1866" s="145" t="s">
        <v>30</v>
      </c>
      <c r="L1866" s="111"/>
      <c r="M1866" s="111"/>
      <c r="N1866" s="111"/>
      <c r="O1866" s="111"/>
      <c r="P1866" s="111"/>
      <c r="Q1866" s="111"/>
      <c r="R1866" s="111"/>
      <c r="S1866" s="111"/>
      <c r="T1866" s="111"/>
      <c r="U1866" s="111"/>
      <c r="V1866" s="111"/>
      <c r="W1866" s="111"/>
      <c r="X1866" s="111"/>
      <c r="Y1866" s="111"/>
      <c r="Z1866" s="111" t="s">
        <v>14795</v>
      </c>
      <c r="AA1866" s="151">
        <f>IF(Projects!$AI1866="Electrolysis",
AB1866*VLOOKUP(G1866,ElectrolysisConvF,3,FALSE),
"")</f>
        <v>507.9267354</v>
      </c>
      <c r="AB1866" s="125">
        <f t="shared" si="350"/>
        <v>112872.6079</v>
      </c>
      <c r="AC1866" s="152">
        <f>44/Projects!$AJ1866</f>
        <v>88</v>
      </c>
      <c r="AD1866" s="125"/>
      <c r="AE1866" s="125">
        <f t="shared" si="282"/>
        <v>112872.6079</v>
      </c>
      <c r="AF1866" s="127" t="s">
        <v>14796</v>
      </c>
      <c r="AG1866" s="127">
        <v>30.1923611013654</v>
      </c>
      <c r="AH1866" s="127">
        <v>-90.9605584725617</v>
      </c>
      <c r="AI1866" s="115" t="s">
        <v>12383</v>
      </c>
      <c r="AJ1866" s="116">
        <v>0.5</v>
      </c>
      <c r="AK1866" s="117"/>
      <c r="AL1866" s="117"/>
      <c r="AM1866" s="117"/>
      <c r="AN1866" s="117"/>
      <c r="AO1866" s="117"/>
    </row>
    <row r="1867" ht="34.5" customHeight="1">
      <c r="A1867" s="111">
        <v>2520.0</v>
      </c>
      <c r="B1867" s="111" t="s">
        <v>9861</v>
      </c>
      <c r="C1867" s="111" t="s">
        <v>7977</v>
      </c>
      <c r="D1867" s="111"/>
      <c r="E1867" s="111"/>
      <c r="F1867" s="111" t="s">
        <v>12397</v>
      </c>
      <c r="G1867" s="111" t="s">
        <v>12381</v>
      </c>
      <c r="H1867" s="111" t="s">
        <v>12230</v>
      </c>
      <c r="I1867" s="111" t="s">
        <v>12394</v>
      </c>
      <c r="J1867" s="111" t="s">
        <v>12291</v>
      </c>
      <c r="K1867" s="111" t="s">
        <v>30</v>
      </c>
      <c r="L1867" s="111"/>
      <c r="M1867" s="111"/>
      <c r="N1867" s="111"/>
      <c r="O1867" s="111"/>
      <c r="P1867" s="111"/>
      <c r="Q1867" s="111"/>
      <c r="R1867" s="111"/>
      <c r="S1867" s="111">
        <v>1.0</v>
      </c>
      <c r="T1867" s="111"/>
      <c r="U1867" s="111"/>
      <c r="V1867" s="111"/>
      <c r="W1867" s="111"/>
      <c r="X1867" s="111"/>
      <c r="Y1867" s="111"/>
      <c r="Z1867" s="111" t="s">
        <v>14797</v>
      </c>
      <c r="AA1867" s="124">
        <v>352.0</v>
      </c>
      <c r="AB1867" s="125">
        <f>IF(Projects!$AI1867="Electrolysis",
AA1867/VLOOKUP(G1867,ElectrolysisConvF,3,FALSE),
AC1867*10^6/(H2dens*HoursInYear))</f>
        <v>78222.22222</v>
      </c>
      <c r="AC1867" s="126">
        <f>AB1867*H2dens*HoursInYear/10^6</f>
        <v>60.98517333</v>
      </c>
      <c r="AD1867" s="125"/>
      <c r="AE1867" s="125">
        <f t="shared" si="282"/>
        <v>78222.22222</v>
      </c>
      <c r="AF1867" s="127" t="s">
        <v>14798</v>
      </c>
      <c r="AG1867" s="127">
        <v>36.5212131475424</v>
      </c>
      <c r="AH1867" s="127">
        <v>-6.28066486611788</v>
      </c>
      <c r="AI1867" s="115" t="s">
        <v>12383</v>
      </c>
      <c r="AJ1867" s="116">
        <v>0.3</v>
      </c>
      <c r="AK1867" s="117"/>
      <c r="AL1867" s="117"/>
      <c r="AM1867" s="117"/>
      <c r="AN1867" s="117"/>
      <c r="AO1867" s="117"/>
    </row>
    <row r="1868" ht="34.5" customHeight="1">
      <c r="A1868" s="111">
        <v>2521.0</v>
      </c>
      <c r="B1868" s="111" t="s">
        <v>9862</v>
      </c>
      <c r="C1868" s="111" t="s">
        <v>9863</v>
      </c>
      <c r="D1868" s="111"/>
      <c r="E1868" s="111"/>
      <c r="F1868" s="111" t="s">
        <v>12397</v>
      </c>
      <c r="G1868" s="111" t="s">
        <v>12381</v>
      </c>
      <c r="H1868" s="111" t="s">
        <v>12230</v>
      </c>
      <c r="I1868" s="111" t="s">
        <v>12394</v>
      </c>
      <c r="J1868" s="111" t="s">
        <v>12291</v>
      </c>
      <c r="K1868" s="111" t="s">
        <v>30</v>
      </c>
      <c r="L1868" s="111"/>
      <c r="M1868" s="111"/>
      <c r="N1868" s="111"/>
      <c r="O1868" s="111"/>
      <c r="P1868" s="111"/>
      <c r="Q1868" s="111"/>
      <c r="R1868" s="111"/>
      <c r="S1868" s="111"/>
      <c r="T1868" s="111"/>
      <c r="U1868" s="111"/>
      <c r="V1868" s="111"/>
      <c r="W1868" s="111"/>
      <c r="X1868" s="111"/>
      <c r="Y1868" s="111"/>
      <c r="Z1868" s="111" t="s">
        <v>14799</v>
      </c>
      <c r="AA1868" s="126">
        <f>IF(Projects!$AI1868="Electrolysis",
AB1868*VLOOKUP(G1868,ElectrolysisConvF,3,FALSE),
"")</f>
        <v>8426.966292</v>
      </c>
      <c r="AB1868" s="125">
        <f>AC1868/(H2dens*HoursInYear/10^6)</f>
        <v>1872659.176</v>
      </c>
      <c r="AC1868" s="125">
        <f>4*365</f>
        <v>1460</v>
      </c>
      <c r="AD1868" s="125"/>
      <c r="AE1868" s="125">
        <f t="shared" si="282"/>
        <v>1872659.176</v>
      </c>
      <c r="AF1868" s="127" t="s">
        <v>14800</v>
      </c>
      <c r="AG1868" s="127">
        <v>-22.7865526905832</v>
      </c>
      <c r="AH1868" s="127">
        <v>34.7173605707429</v>
      </c>
      <c r="AI1868" s="115" t="s">
        <v>12383</v>
      </c>
      <c r="AJ1868" s="116">
        <v>0.3</v>
      </c>
      <c r="AK1868" s="117"/>
      <c r="AL1868" s="117"/>
      <c r="AM1868" s="117"/>
      <c r="AN1868" s="117"/>
      <c r="AO1868" s="117"/>
    </row>
    <row r="1869" ht="34.5" customHeight="1">
      <c r="A1869" s="111">
        <v>2522.0</v>
      </c>
      <c r="B1869" s="111" t="s">
        <v>9864</v>
      </c>
      <c r="C1869" s="111" t="s">
        <v>7991</v>
      </c>
      <c r="D1869" s="111">
        <v>2026.0</v>
      </c>
      <c r="E1869" s="111"/>
      <c r="F1869" s="111" t="s">
        <v>12397</v>
      </c>
      <c r="G1869" s="111" t="s">
        <v>12381</v>
      </c>
      <c r="H1869" s="111" t="s">
        <v>12230</v>
      </c>
      <c r="I1869" s="111" t="s">
        <v>12394</v>
      </c>
      <c r="J1869" s="111" t="s">
        <v>12296</v>
      </c>
      <c r="K1869" s="111" t="s">
        <v>30</v>
      </c>
      <c r="L1869" s="111"/>
      <c r="M1869" s="111"/>
      <c r="N1869" s="111"/>
      <c r="O1869" s="111"/>
      <c r="P1869" s="111">
        <v>1.0</v>
      </c>
      <c r="Q1869" s="111">
        <v>1.0</v>
      </c>
      <c r="R1869" s="111">
        <v>1.0</v>
      </c>
      <c r="S1869" s="111"/>
      <c r="T1869" s="111"/>
      <c r="U1869" s="111"/>
      <c r="V1869" s="111"/>
      <c r="W1869" s="111"/>
      <c r="X1869" s="111"/>
      <c r="Y1869" s="111"/>
      <c r="Z1869" s="111" t="s">
        <v>12698</v>
      </c>
      <c r="AA1869" s="124">
        <v>100.0</v>
      </c>
      <c r="AB1869" s="125">
        <f>IF(Projects!$AI1869="Electrolysis",
AA1869/VLOOKUP(G1869,ElectrolysisConvF,3,FALSE),
AC1869*10^6/(H2dens*HoursInYear))</f>
        <v>22222.22222</v>
      </c>
      <c r="AC1869" s="126">
        <f t="shared" ref="AC1869:AC1873" si="351">AB1869*H2dens*HoursInYear/10^6</f>
        <v>17.32533333</v>
      </c>
      <c r="AD1869" s="125"/>
      <c r="AE1869" s="125">
        <f t="shared" si="282"/>
        <v>22222.22222</v>
      </c>
      <c r="AF1869" s="127" t="s">
        <v>14801</v>
      </c>
      <c r="AG1869" s="127">
        <v>52.8653675180097</v>
      </c>
      <c r="AH1869" s="127">
        <v>-1.25433988510284</v>
      </c>
      <c r="AI1869" s="115" t="s">
        <v>12383</v>
      </c>
      <c r="AJ1869" s="116">
        <v>0.5</v>
      </c>
      <c r="AK1869" s="117"/>
      <c r="AL1869" s="117"/>
      <c r="AM1869" s="117"/>
      <c r="AN1869" s="117"/>
      <c r="AO1869" s="117"/>
    </row>
    <row r="1870" ht="34.5" customHeight="1">
      <c r="A1870" s="111">
        <v>2523.0</v>
      </c>
      <c r="B1870" s="111" t="s">
        <v>9865</v>
      </c>
      <c r="C1870" s="111" t="s">
        <v>7991</v>
      </c>
      <c r="D1870" s="111">
        <v>2030.0</v>
      </c>
      <c r="E1870" s="111"/>
      <c r="F1870" s="111" t="s">
        <v>12397</v>
      </c>
      <c r="G1870" s="111" t="s">
        <v>12381</v>
      </c>
      <c r="H1870" s="111" t="s">
        <v>12230</v>
      </c>
      <c r="I1870" s="111" t="s">
        <v>12394</v>
      </c>
      <c r="J1870" s="111" t="s">
        <v>12296</v>
      </c>
      <c r="K1870" s="111" t="s">
        <v>30</v>
      </c>
      <c r="L1870" s="111"/>
      <c r="M1870" s="111"/>
      <c r="N1870" s="111"/>
      <c r="O1870" s="111"/>
      <c r="P1870" s="111">
        <v>1.0</v>
      </c>
      <c r="Q1870" s="111">
        <v>1.0</v>
      </c>
      <c r="R1870" s="111">
        <v>1.0</v>
      </c>
      <c r="S1870" s="111"/>
      <c r="T1870" s="111"/>
      <c r="U1870" s="111"/>
      <c r="V1870" s="111"/>
      <c r="W1870" s="111"/>
      <c r="X1870" s="111"/>
      <c r="Y1870" s="111"/>
      <c r="Z1870" s="111" t="s">
        <v>13069</v>
      </c>
      <c r="AA1870" s="124">
        <f>500-100</f>
        <v>400</v>
      </c>
      <c r="AB1870" s="125">
        <f>IF(Projects!$AI1870="Electrolysis",
AA1870/VLOOKUP(G1870,ElectrolysisConvF,3,FALSE),
AC1870*10^6/(H2dens*HoursInYear))</f>
        <v>88888.88889</v>
      </c>
      <c r="AC1870" s="126">
        <f t="shared" si="351"/>
        <v>69.30133333</v>
      </c>
      <c r="AD1870" s="125"/>
      <c r="AE1870" s="125">
        <f t="shared" si="282"/>
        <v>88888.88889</v>
      </c>
      <c r="AF1870" s="127" t="s">
        <v>14801</v>
      </c>
      <c r="AG1870" s="127">
        <v>52.8653675180097</v>
      </c>
      <c r="AH1870" s="127">
        <v>-1.25433988510284</v>
      </c>
      <c r="AI1870" s="115" t="s">
        <v>12383</v>
      </c>
      <c r="AJ1870" s="116">
        <v>0.5</v>
      </c>
      <c r="AK1870" s="117"/>
      <c r="AL1870" s="117"/>
      <c r="AM1870" s="117"/>
      <c r="AN1870" s="117"/>
      <c r="AO1870" s="117"/>
    </row>
    <row r="1871" ht="34.5" customHeight="1">
      <c r="A1871" s="111">
        <v>2524.0</v>
      </c>
      <c r="B1871" s="111" t="s">
        <v>9866</v>
      </c>
      <c r="C1871" s="111" t="s">
        <v>7987</v>
      </c>
      <c r="D1871" s="111">
        <v>2026.0</v>
      </c>
      <c r="E1871" s="111"/>
      <c r="F1871" s="111" t="s">
        <v>12399</v>
      </c>
      <c r="G1871" s="111" t="s">
        <v>12226</v>
      </c>
      <c r="H1871" s="111"/>
      <c r="I1871" s="111" t="s">
        <v>12394</v>
      </c>
      <c r="J1871" s="111" t="s">
        <v>12293</v>
      </c>
      <c r="K1871" s="111" t="s">
        <v>30</v>
      </c>
      <c r="L1871" s="111"/>
      <c r="M1871" s="111"/>
      <c r="N1871" s="111"/>
      <c r="O1871" s="111"/>
      <c r="P1871" s="111"/>
      <c r="Q1871" s="111"/>
      <c r="R1871" s="111"/>
      <c r="S1871" s="111">
        <v>1.0</v>
      </c>
      <c r="T1871" s="111"/>
      <c r="U1871" s="111"/>
      <c r="V1871" s="111"/>
      <c r="W1871" s="111"/>
      <c r="X1871" s="111"/>
      <c r="Y1871" s="111"/>
      <c r="Z1871" s="111" t="s">
        <v>13006</v>
      </c>
      <c r="AA1871" s="124">
        <v>200.0</v>
      </c>
      <c r="AB1871" s="125">
        <f>IF(Projects!$AI1871="Electrolysis",
AA1871/VLOOKUP(G1871,ElectrolysisConvF,3,FALSE),
AC1871*10^6/(H2dens*HoursInYear))</f>
        <v>38461.53846</v>
      </c>
      <c r="AC1871" s="126">
        <f t="shared" si="351"/>
        <v>29.98615385</v>
      </c>
      <c r="AD1871" s="125"/>
      <c r="AE1871" s="125">
        <f t="shared" si="282"/>
        <v>38461.53846</v>
      </c>
      <c r="AF1871" s="127" t="s">
        <v>14802</v>
      </c>
      <c r="AG1871" s="127">
        <v>54.1302986718926</v>
      </c>
      <c r="AH1871" s="127">
        <v>13.6264433712111</v>
      </c>
      <c r="AI1871" s="115" t="s">
        <v>12383</v>
      </c>
      <c r="AJ1871" s="116">
        <v>0.55</v>
      </c>
      <c r="AK1871" s="117"/>
      <c r="AL1871" s="117"/>
      <c r="AM1871" s="117"/>
      <c r="AN1871" s="117"/>
      <c r="AO1871" s="117"/>
    </row>
    <row r="1872" ht="34.5" customHeight="1">
      <c r="A1872" s="111">
        <v>2525.0</v>
      </c>
      <c r="B1872" s="111" t="s">
        <v>9867</v>
      </c>
      <c r="C1872" s="111" t="s">
        <v>7987</v>
      </c>
      <c r="D1872" s="111">
        <v>2028.0</v>
      </c>
      <c r="E1872" s="111"/>
      <c r="F1872" s="111" t="s">
        <v>12399</v>
      </c>
      <c r="G1872" s="111" t="s">
        <v>12226</v>
      </c>
      <c r="H1872" s="111"/>
      <c r="I1872" s="111" t="s">
        <v>12394</v>
      </c>
      <c r="J1872" s="111" t="s">
        <v>12293</v>
      </c>
      <c r="K1872" s="111" t="s">
        <v>30</v>
      </c>
      <c r="L1872" s="111"/>
      <c r="M1872" s="111"/>
      <c r="N1872" s="111"/>
      <c r="O1872" s="111"/>
      <c r="P1872" s="111"/>
      <c r="Q1872" s="111"/>
      <c r="R1872" s="111"/>
      <c r="S1872" s="111">
        <v>1.0</v>
      </c>
      <c r="T1872" s="111"/>
      <c r="U1872" s="111"/>
      <c r="V1872" s="111"/>
      <c r="W1872" s="111"/>
      <c r="X1872" s="111"/>
      <c r="Y1872" s="111"/>
      <c r="Z1872" s="111" t="s">
        <v>13069</v>
      </c>
      <c r="AA1872" s="124">
        <v>300.0</v>
      </c>
      <c r="AB1872" s="125">
        <f>IF(Projects!$AI1872="Electrolysis",
AA1872/VLOOKUP(G1872,ElectrolysisConvF,3,FALSE),
AC1872*10^6/(H2dens*HoursInYear))</f>
        <v>57692.30769</v>
      </c>
      <c r="AC1872" s="126">
        <f t="shared" si="351"/>
        <v>44.97923077</v>
      </c>
      <c r="AD1872" s="125"/>
      <c r="AE1872" s="125">
        <f t="shared" si="282"/>
        <v>57692.30769</v>
      </c>
      <c r="AF1872" s="127" t="s">
        <v>14802</v>
      </c>
      <c r="AG1872" s="127">
        <v>54.1302986718926</v>
      </c>
      <c r="AH1872" s="127">
        <v>13.6264433712111</v>
      </c>
      <c r="AI1872" s="115" t="s">
        <v>12383</v>
      </c>
      <c r="AJ1872" s="116">
        <v>0.55</v>
      </c>
      <c r="AK1872" s="117"/>
      <c r="AL1872" s="117"/>
      <c r="AM1872" s="117"/>
      <c r="AN1872" s="117"/>
      <c r="AO1872" s="117"/>
    </row>
    <row r="1873" ht="34.5" customHeight="1">
      <c r="A1873" s="111">
        <v>2526.0</v>
      </c>
      <c r="B1873" s="111" t="s">
        <v>9868</v>
      </c>
      <c r="C1873" s="145" t="s">
        <v>7981</v>
      </c>
      <c r="D1873" s="111"/>
      <c r="E1873" s="111"/>
      <c r="F1873" s="145" t="s">
        <v>12397</v>
      </c>
      <c r="G1873" s="145" t="s">
        <v>12381</v>
      </c>
      <c r="H1873" s="145" t="s">
        <v>12230</v>
      </c>
      <c r="I1873" s="145" t="s">
        <v>12394</v>
      </c>
      <c r="J1873" s="111" t="s">
        <v>12296</v>
      </c>
      <c r="K1873" s="145" t="s">
        <v>30</v>
      </c>
      <c r="L1873" s="111"/>
      <c r="M1873" s="111"/>
      <c r="N1873" s="111"/>
      <c r="O1873" s="111"/>
      <c r="P1873" s="111"/>
      <c r="Q1873" s="111"/>
      <c r="R1873" s="111"/>
      <c r="S1873" s="111"/>
      <c r="T1873" s="111"/>
      <c r="U1873" s="111"/>
      <c r="V1873" s="111"/>
      <c r="W1873" s="111"/>
      <c r="X1873" s="111"/>
      <c r="Y1873" s="111"/>
      <c r="Z1873" s="111" t="s">
        <v>12723</v>
      </c>
      <c r="AA1873" s="124">
        <v>1000.0</v>
      </c>
      <c r="AB1873" s="125">
        <f>IF(Projects!$AI1873="Electrolysis",
AA1873/VLOOKUP(G1873,ElectrolysisConvF,3,FALSE),
AC1873*10^6/(H2dens*HoursInYear))</f>
        <v>222222.2222</v>
      </c>
      <c r="AC1873" s="126">
        <f t="shared" si="351"/>
        <v>173.2533333</v>
      </c>
      <c r="AD1873" s="125"/>
      <c r="AE1873" s="125">
        <f t="shared" si="282"/>
        <v>222222.2222</v>
      </c>
      <c r="AF1873" s="127" t="s">
        <v>14803</v>
      </c>
      <c r="AG1873" s="127">
        <v>38.9725641042096</v>
      </c>
      <c r="AH1873" s="127">
        <v>-81.1329537540372</v>
      </c>
      <c r="AI1873" s="115" t="s">
        <v>12383</v>
      </c>
      <c r="AJ1873" s="116">
        <v>0.5</v>
      </c>
      <c r="AK1873" s="117"/>
      <c r="AL1873" s="117"/>
      <c r="AM1873" s="117"/>
      <c r="AN1873" s="117"/>
      <c r="AO1873" s="117"/>
    </row>
    <row r="1874" ht="34.5" customHeight="1">
      <c r="A1874" s="111">
        <v>2527.0</v>
      </c>
      <c r="B1874" s="111" t="s">
        <v>9869</v>
      </c>
      <c r="C1874" s="111" t="s">
        <v>8021</v>
      </c>
      <c r="D1874" s="111">
        <v>2027.0</v>
      </c>
      <c r="E1874" s="111"/>
      <c r="F1874" s="111" t="s">
        <v>12397</v>
      </c>
      <c r="G1874" s="111" t="s">
        <v>12381</v>
      </c>
      <c r="H1874" s="111" t="s">
        <v>12230</v>
      </c>
      <c r="I1874" s="111" t="s">
        <v>12394</v>
      </c>
      <c r="J1874" s="111" t="s">
        <v>12296</v>
      </c>
      <c r="K1874" s="111" t="s">
        <v>174</v>
      </c>
      <c r="L1874" s="111"/>
      <c r="M1874" s="111">
        <v>1.0</v>
      </c>
      <c r="N1874" s="111"/>
      <c r="O1874" s="111"/>
      <c r="P1874" s="111"/>
      <c r="Q1874" s="111"/>
      <c r="R1874" s="111"/>
      <c r="S1874" s="111"/>
      <c r="T1874" s="111"/>
      <c r="U1874" s="111"/>
      <c r="V1874" s="111"/>
      <c r="W1874" s="111"/>
      <c r="X1874" s="111"/>
      <c r="Y1874" s="111"/>
      <c r="Z1874" s="111" t="s">
        <v>13568</v>
      </c>
      <c r="AA1874" s="126">
        <f>IF(Projects!$AI1874="Electrolysis",
AB1874*VLOOKUP(G1874,ElectrolysisConvF,3,FALSE),
"")</f>
        <v>1039.356792</v>
      </c>
      <c r="AB1874" s="125">
        <f>AC1874/(H2dens*HoursInYear/10^6)</f>
        <v>230968.1761</v>
      </c>
      <c r="AC1874" s="126">
        <f>1000*3/17/0.98</f>
        <v>180.0720288</v>
      </c>
      <c r="AD1874" s="125"/>
      <c r="AE1874" s="125">
        <f t="shared" si="282"/>
        <v>230968.1761</v>
      </c>
      <c r="AF1874" s="127" t="s">
        <v>14804</v>
      </c>
      <c r="AG1874" s="127">
        <v>-28.7761722069864</v>
      </c>
      <c r="AH1874" s="127">
        <v>114.609183849978</v>
      </c>
      <c r="AI1874" s="115" t="s">
        <v>12383</v>
      </c>
      <c r="AJ1874" s="116">
        <v>0.5</v>
      </c>
      <c r="AK1874" s="117"/>
      <c r="AL1874" s="117"/>
      <c r="AM1874" s="117"/>
      <c r="AN1874" s="117"/>
      <c r="AO1874" s="117"/>
    </row>
    <row r="1875" ht="34.5" customHeight="1">
      <c r="A1875" s="111">
        <v>2528.0</v>
      </c>
      <c r="B1875" s="111" t="s">
        <v>9870</v>
      </c>
      <c r="C1875" s="111" t="s">
        <v>7967</v>
      </c>
      <c r="D1875" s="111">
        <v>2027.0</v>
      </c>
      <c r="E1875" s="111"/>
      <c r="F1875" s="111" t="s">
        <v>12397</v>
      </c>
      <c r="G1875" s="111" t="s">
        <v>12381</v>
      </c>
      <c r="H1875" s="111" t="s">
        <v>12230</v>
      </c>
      <c r="I1875" s="111" t="s">
        <v>12394</v>
      </c>
      <c r="J1875" s="111" t="s">
        <v>12293</v>
      </c>
      <c r="K1875" s="111" t="s">
        <v>174</v>
      </c>
      <c r="L1875" s="111"/>
      <c r="M1875" s="111"/>
      <c r="N1875" s="111"/>
      <c r="O1875" s="111"/>
      <c r="P1875" s="111"/>
      <c r="Q1875" s="111"/>
      <c r="R1875" s="111"/>
      <c r="S1875" s="111"/>
      <c r="T1875" s="111"/>
      <c r="U1875" s="111"/>
      <c r="V1875" s="111"/>
      <c r="W1875" s="111"/>
      <c r="X1875" s="111"/>
      <c r="Y1875" s="111"/>
      <c r="Z1875" s="111"/>
      <c r="AA1875" s="124">
        <f>IF(OR(G1875="ALK",G1875="PEM",G1875="SOEC",G1875="Other Electrolysis"),
AB1875*VLOOKUP(G1875,ElectrolysisConvF,3,FALSE),
"")</f>
        <v>0</v>
      </c>
      <c r="AB1875" s="125"/>
      <c r="AC1875" s="125"/>
      <c r="AD1875" s="125"/>
      <c r="AE1875" s="125" t="str">
        <f t="shared" si="282"/>
        <v/>
      </c>
      <c r="AF1875" s="127" t="s">
        <v>14805</v>
      </c>
      <c r="AG1875" s="127">
        <v>53.1595242004302</v>
      </c>
      <c r="AH1875" s="127">
        <v>5.26656812664597</v>
      </c>
      <c r="AI1875" s="115" t="s">
        <v>12383</v>
      </c>
      <c r="AJ1875" s="116">
        <v>0.55</v>
      </c>
      <c r="AK1875" s="117"/>
      <c r="AL1875" s="117"/>
      <c r="AM1875" s="117"/>
      <c r="AN1875" s="117"/>
      <c r="AO1875" s="117"/>
    </row>
    <row r="1876" ht="34.5" customHeight="1">
      <c r="A1876" s="111">
        <v>2529.0</v>
      </c>
      <c r="B1876" s="111" t="s">
        <v>9871</v>
      </c>
      <c r="C1876" s="111" t="s">
        <v>8071</v>
      </c>
      <c r="D1876" s="111">
        <v>2027.0</v>
      </c>
      <c r="E1876" s="111"/>
      <c r="F1876" s="111" t="s">
        <v>12397</v>
      </c>
      <c r="G1876" s="111" t="s">
        <v>12381</v>
      </c>
      <c r="H1876" s="111" t="s">
        <v>12230</v>
      </c>
      <c r="I1876" s="111" t="s">
        <v>12394</v>
      </c>
      <c r="J1876" s="111" t="s">
        <v>12296</v>
      </c>
      <c r="K1876" s="111" t="s">
        <v>30</v>
      </c>
      <c r="L1876" s="111"/>
      <c r="M1876" s="111"/>
      <c r="N1876" s="111"/>
      <c r="O1876" s="111"/>
      <c r="P1876" s="111"/>
      <c r="Q1876" s="111"/>
      <c r="R1876" s="111"/>
      <c r="S1876" s="111"/>
      <c r="T1876" s="111"/>
      <c r="U1876" s="111"/>
      <c r="V1876" s="111"/>
      <c r="W1876" s="111"/>
      <c r="X1876" s="111"/>
      <c r="Y1876" s="111"/>
      <c r="Z1876" s="111" t="s">
        <v>14806</v>
      </c>
      <c r="AA1876" s="124">
        <f t="shared" ref="AA1876:AA1878" si="352">2*2500</f>
        <v>5000</v>
      </c>
      <c r="AB1876" s="125">
        <f>IF(Projects!$AI1876="Electrolysis",
AA1876/VLOOKUP(G1876,ElectrolysisConvF,3,FALSE),
AC1876*10^6/(H2dens*HoursInYear))</f>
        <v>1111111.111</v>
      </c>
      <c r="AC1876" s="126">
        <f t="shared" ref="AC1876:AC1881" si="353">AB1876*H2dens*HoursInYear/10^6</f>
        <v>866.2666667</v>
      </c>
      <c r="AD1876" s="125"/>
      <c r="AE1876" s="125">
        <f t="shared" si="282"/>
        <v>1111111.111</v>
      </c>
      <c r="AF1876" s="127" t="s">
        <v>14807</v>
      </c>
      <c r="AG1876" s="127">
        <v>-25.4064574741164</v>
      </c>
      <c r="AH1876" s="127">
        <v>-70.4799341887104</v>
      </c>
      <c r="AI1876" s="115" t="s">
        <v>12383</v>
      </c>
      <c r="AJ1876" s="116">
        <v>0.5</v>
      </c>
      <c r="AK1876" s="117"/>
      <c r="AL1876" s="117"/>
      <c r="AM1876" s="117"/>
      <c r="AN1876" s="117"/>
      <c r="AO1876" s="117"/>
    </row>
    <row r="1877" ht="34.5" customHeight="1">
      <c r="A1877" s="111">
        <v>2530.0</v>
      </c>
      <c r="B1877" s="111" t="s">
        <v>9872</v>
      </c>
      <c r="C1877" s="111" t="s">
        <v>8071</v>
      </c>
      <c r="D1877" s="111">
        <v>2029.0</v>
      </c>
      <c r="E1877" s="111"/>
      <c r="F1877" s="111" t="s">
        <v>12397</v>
      </c>
      <c r="G1877" s="111" t="s">
        <v>12381</v>
      </c>
      <c r="H1877" s="111" t="s">
        <v>12230</v>
      </c>
      <c r="I1877" s="111" t="s">
        <v>12394</v>
      </c>
      <c r="J1877" s="111" t="s">
        <v>12296</v>
      </c>
      <c r="K1877" s="111" t="s">
        <v>30</v>
      </c>
      <c r="L1877" s="111"/>
      <c r="M1877" s="111"/>
      <c r="N1877" s="111"/>
      <c r="O1877" s="111"/>
      <c r="P1877" s="111"/>
      <c r="Q1877" s="111"/>
      <c r="R1877" s="111"/>
      <c r="S1877" s="111"/>
      <c r="T1877" s="111"/>
      <c r="U1877" s="111"/>
      <c r="V1877" s="111"/>
      <c r="W1877" s="111"/>
      <c r="X1877" s="111"/>
      <c r="Y1877" s="111"/>
      <c r="Z1877" s="111" t="s">
        <v>14806</v>
      </c>
      <c r="AA1877" s="124">
        <f t="shared" si="352"/>
        <v>5000</v>
      </c>
      <c r="AB1877" s="125">
        <f>IF(Projects!$AI1877="Electrolysis",
AA1877/VLOOKUP(G1877,ElectrolysisConvF,3,FALSE),
AC1877*10^6/(H2dens*HoursInYear))</f>
        <v>1111111.111</v>
      </c>
      <c r="AC1877" s="126">
        <f t="shared" si="353"/>
        <v>866.2666667</v>
      </c>
      <c r="AD1877" s="125"/>
      <c r="AE1877" s="125">
        <f t="shared" si="282"/>
        <v>1111111.111</v>
      </c>
      <c r="AF1877" s="127" t="s">
        <v>14807</v>
      </c>
      <c r="AG1877" s="127">
        <v>-25.4064574741164</v>
      </c>
      <c r="AH1877" s="127">
        <v>-70.4799341887104</v>
      </c>
      <c r="AI1877" s="115" t="s">
        <v>12383</v>
      </c>
      <c r="AJ1877" s="116">
        <v>0.5</v>
      </c>
      <c r="AK1877" s="117"/>
      <c r="AL1877" s="117"/>
      <c r="AM1877" s="117"/>
      <c r="AN1877" s="117"/>
      <c r="AO1877" s="117"/>
    </row>
    <row r="1878" ht="34.5" customHeight="1">
      <c r="A1878" s="111">
        <v>2531.0</v>
      </c>
      <c r="B1878" s="111" t="s">
        <v>9873</v>
      </c>
      <c r="C1878" s="111" t="s">
        <v>8071</v>
      </c>
      <c r="D1878" s="111">
        <v>2031.0</v>
      </c>
      <c r="E1878" s="111"/>
      <c r="F1878" s="111" t="s">
        <v>12397</v>
      </c>
      <c r="G1878" s="111" t="s">
        <v>12381</v>
      </c>
      <c r="H1878" s="111" t="s">
        <v>12230</v>
      </c>
      <c r="I1878" s="111" t="s">
        <v>12394</v>
      </c>
      <c r="J1878" s="111" t="s">
        <v>12296</v>
      </c>
      <c r="K1878" s="111" t="s">
        <v>30</v>
      </c>
      <c r="L1878" s="111"/>
      <c r="M1878" s="111"/>
      <c r="N1878" s="111"/>
      <c r="O1878" s="111"/>
      <c r="P1878" s="111"/>
      <c r="Q1878" s="111"/>
      <c r="R1878" s="111"/>
      <c r="S1878" s="111"/>
      <c r="T1878" s="111"/>
      <c r="U1878" s="111"/>
      <c r="V1878" s="111"/>
      <c r="W1878" s="111"/>
      <c r="X1878" s="111"/>
      <c r="Y1878" s="111"/>
      <c r="Z1878" s="111" t="s">
        <v>14806</v>
      </c>
      <c r="AA1878" s="124">
        <f t="shared" si="352"/>
        <v>5000</v>
      </c>
      <c r="AB1878" s="125">
        <f>IF(Projects!$AI1878="Electrolysis",
AA1878/VLOOKUP(G1878,ElectrolysisConvF,3,FALSE),
AC1878*10^6/(H2dens*HoursInYear))</f>
        <v>1111111.111</v>
      </c>
      <c r="AC1878" s="126">
        <f t="shared" si="353"/>
        <v>866.2666667</v>
      </c>
      <c r="AD1878" s="125"/>
      <c r="AE1878" s="125">
        <f t="shared" si="282"/>
        <v>1111111.111</v>
      </c>
      <c r="AF1878" s="127" t="s">
        <v>14807</v>
      </c>
      <c r="AG1878" s="127">
        <v>-25.4064574741164</v>
      </c>
      <c r="AH1878" s="127">
        <v>-70.4799341887104</v>
      </c>
      <c r="AI1878" s="115" t="s">
        <v>12383</v>
      </c>
      <c r="AJ1878" s="116">
        <v>0.5</v>
      </c>
      <c r="AK1878" s="117"/>
      <c r="AL1878" s="117"/>
      <c r="AM1878" s="117"/>
      <c r="AN1878" s="117"/>
      <c r="AO1878" s="117"/>
    </row>
    <row r="1879" ht="34.5" customHeight="1">
      <c r="A1879" s="111">
        <v>2532.0</v>
      </c>
      <c r="B1879" s="111" t="s">
        <v>9874</v>
      </c>
      <c r="C1879" s="111" t="s">
        <v>8071</v>
      </c>
      <c r="D1879" s="111">
        <v>2033.0</v>
      </c>
      <c r="E1879" s="111"/>
      <c r="F1879" s="111" t="s">
        <v>12397</v>
      </c>
      <c r="G1879" s="111" t="s">
        <v>12381</v>
      </c>
      <c r="H1879" s="111" t="s">
        <v>12230</v>
      </c>
      <c r="I1879" s="111" t="s">
        <v>12394</v>
      </c>
      <c r="J1879" s="111" t="s">
        <v>12296</v>
      </c>
      <c r="K1879" s="111" t="s">
        <v>30</v>
      </c>
      <c r="L1879" s="111"/>
      <c r="M1879" s="111"/>
      <c r="N1879" s="111"/>
      <c r="O1879" s="111"/>
      <c r="P1879" s="111"/>
      <c r="Q1879" s="111"/>
      <c r="R1879" s="111"/>
      <c r="S1879" s="111"/>
      <c r="T1879" s="111"/>
      <c r="U1879" s="111"/>
      <c r="V1879" s="111"/>
      <c r="W1879" s="111"/>
      <c r="X1879" s="111"/>
      <c r="Y1879" s="111"/>
      <c r="Z1879" s="111" t="s">
        <v>14808</v>
      </c>
      <c r="AA1879" s="124">
        <f>4*2500</f>
        <v>10000</v>
      </c>
      <c r="AB1879" s="125">
        <f>IF(Projects!$AI1879="Electrolysis",
AA1879/VLOOKUP(G1879,ElectrolysisConvF,3,FALSE),
AC1879*10^6/(H2dens*HoursInYear))</f>
        <v>2222222.222</v>
      </c>
      <c r="AC1879" s="126">
        <f t="shared" si="353"/>
        <v>1732.533333</v>
      </c>
      <c r="AD1879" s="125"/>
      <c r="AE1879" s="125">
        <f t="shared" si="282"/>
        <v>2222222.222</v>
      </c>
      <c r="AF1879" s="127" t="s">
        <v>14807</v>
      </c>
      <c r="AG1879" s="127">
        <v>-25.4064574741164</v>
      </c>
      <c r="AH1879" s="127">
        <v>-70.4799341887104</v>
      </c>
      <c r="AI1879" s="115" t="s">
        <v>12383</v>
      </c>
      <c r="AJ1879" s="116">
        <v>0.5</v>
      </c>
      <c r="AK1879" s="117"/>
      <c r="AL1879" s="117"/>
      <c r="AM1879" s="117"/>
      <c r="AN1879" s="117"/>
      <c r="AO1879" s="117"/>
    </row>
    <row r="1880" ht="34.5" customHeight="1">
      <c r="A1880" s="111">
        <v>2533.0</v>
      </c>
      <c r="B1880" s="111" t="s">
        <v>9875</v>
      </c>
      <c r="C1880" s="111" t="s">
        <v>8001</v>
      </c>
      <c r="D1880" s="111">
        <v>2025.0</v>
      </c>
      <c r="E1880" s="111"/>
      <c r="F1880" s="111" t="s">
        <v>12393</v>
      </c>
      <c r="G1880" s="111" t="s">
        <v>12224</v>
      </c>
      <c r="H1880" s="111"/>
      <c r="I1880" s="111" t="s">
        <v>12759</v>
      </c>
      <c r="J1880" s="111"/>
      <c r="K1880" s="111" t="s">
        <v>12481</v>
      </c>
      <c r="L1880" s="111"/>
      <c r="M1880" s="111">
        <v>1.0</v>
      </c>
      <c r="N1880" s="111">
        <v>1.0</v>
      </c>
      <c r="O1880" s="111"/>
      <c r="P1880" s="111"/>
      <c r="Q1880" s="111">
        <v>1.0</v>
      </c>
      <c r="R1880" s="111"/>
      <c r="S1880" s="111"/>
      <c r="T1880" s="111"/>
      <c r="U1880" s="111"/>
      <c r="V1880" s="111"/>
      <c r="W1880" s="111"/>
      <c r="X1880" s="111"/>
      <c r="Y1880" s="111"/>
      <c r="Z1880" s="127" t="s">
        <v>14809</v>
      </c>
      <c r="AA1880" s="126">
        <v>640.0</v>
      </c>
      <c r="AB1880" s="125">
        <f>IF(Projects!$AI1880="Electrolysis",
AA1880/VLOOKUP(G1880,ElectrolysisConvF,3,FALSE),
AC1880*10^6/(H2dens*HoursInYear))</f>
        <v>139130.4348</v>
      </c>
      <c r="AC1880" s="126">
        <f t="shared" si="353"/>
        <v>108.4716522</v>
      </c>
      <c r="AD1880" s="125"/>
      <c r="AE1880" s="125">
        <f t="shared" si="282"/>
        <v>139130.4348</v>
      </c>
      <c r="AF1880" s="127" t="s">
        <v>14810</v>
      </c>
      <c r="AG1880" s="127">
        <v>45.1468985491529</v>
      </c>
      <c r="AH1880" s="127">
        <v>124.828845075208</v>
      </c>
      <c r="AI1880" s="115" t="s">
        <v>12383</v>
      </c>
      <c r="AJ1880" s="116">
        <v>0.7</v>
      </c>
      <c r="AK1880" s="117"/>
      <c r="AL1880" s="117"/>
      <c r="AM1880" s="117"/>
      <c r="AN1880" s="117"/>
      <c r="AO1880" s="117"/>
    </row>
    <row r="1881" ht="34.5" customHeight="1">
      <c r="A1881" s="111">
        <v>2534.0</v>
      </c>
      <c r="B1881" s="111" t="s">
        <v>9876</v>
      </c>
      <c r="C1881" s="111" t="s">
        <v>7971</v>
      </c>
      <c r="D1881" s="111">
        <v>2026.0</v>
      </c>
      <c r="E1881" s="111"/>
      <c r="F1881" s="111" t="s">
        <v>12399</v>
      </c>
      <c r="G1881" s="111" t="s">
        <v>12381</v>
      </c>
      <c r="H1881" s="111" t="s">
        <v>12230</v>
      </c>
      <c r="I1881" s="111" t="s">
        <v>12759</v>
      </c>
      <c r="J1881" s="111" t="s">
        <v>12295</v>
      </c>
      <c r="K1881" s="111" t="s">
        <v>174</v>
      </c>
      <c r="L1881" s="111"/>
      <c r="M1881" s="111">
        <v>1.0</v>
      </c>
      <c r="N1881" s="111"/>
      <c r="O1881" s="111"/>
      <c r="P1881" s="111"/>
      <c r="Q1881" s="111">
        <v>1.0</v>
      </c>
      <c r="R1881" s="111"/>
      <c r="S1881" s="111"/>
      <c r="T1881" s="111"/>
      <c r="U1881" s="111"/>
      <c r="V1881" s="111"/>
      <c r="W1881" s="111"/>
      <c r="X1881" s="111"/>
      <c r="Y1881" s="111"/>
      <c r="Z1881" s="111" t="s">
        <v>14485</v>
      </c>
      <c r="AA1881" s="124">
        <v>130.0</v>
      </c>
      <c r="AB1881" s="125">
        <f>IF(Projects!$AI1881="Electrolysis",
AA1881/VLOOKUP(G1881,ElectrolysisConvF,3,FALSE),
AC1881*10^6/(H2dens*HoursInYear))</f>
        <v>28888.88889</v>
      </c>
      <c r="AC1881" s="126">
        <f t="shared" si="353"/>
        <v>22.52293333</v>
      </c>
      <c r="AD1881" s="125"/>
      <c r="AE1881" s="125">
        <f t="shared" si="282"/>
        <v>28888.88889</v>
      </c>
      <c r="AF1881" s="127" t="s">
        <v>14811</v>
      </c>
      <c r="AG1881" s="127">
        <v>61.031530350675</v>
      </c>
      <c r="AH1881" s="127">
        <v>5.08745564130266</v>
      </c>
      <c r="AI1881" s="115" t="s">
        <v>12383</v>
      </c>
      <c r="AJ1881" s="116">
        <v>0.7</v>
      </c>
      <c r="AK1881" s="117"/>
      <c r="AL1881" s="117"/>
      <c r="AM1881" s="117"/>
      <c r="AN1881" s="117"/>
      <c r="AO1881" s="117"/>
    </row>
    <row r="1882" ht="34.5" customHeight="1">
      <c r="A1882" s="111">
        <v>2535.0</v>
      </c>
      <c r="B1882" s="111" t="s">
        <v>9877</v>
      </c>
      <c r="C1882" s="111" t="s">
        <v>8177</v>
      </c>
      <c r="D1882" s="111"/>
      <c r="E1882" s="111"/>
      <c r="F1882" s="111" t="s">
        <v>12397</v>
      </c>
      <c r="G1882" s="111" t="s">
        <v>12381</v>
      </c>
      <c r="H1882" s="111" t="s">
        <v>12230</v>
      </c>
      <c r="I1882" s="111" t="s">
        <v>12394</v>
      </c>
      <c r="J1882" s="111" t="s">
        <v>12295</v>
      </c>
      <c r="K1882" s="111" t="s">
        <v>30</v>
      </c>
      <c r="L1882" s="111"/>
      <c r="M1882" s="111"/>
      <c r="N1882" s="111"/>
      <c r="O1882" s="111"/>
      <c r="P1882" s="111"/>
      <c r="Q1882" s="111"/>
      <c r="R1882" s="111"/>
      <c r="S1882" s="111"/>
      <c r="T1882" s="111"/>
      <c r="U1882" s="111"/>
      <c r="V1882" s="111"/>
      <c r="W1882" s="111"/>
      <c r="X1882" s="111"/>
      <c r="Y1882" s="111"/>
      <c r="Z1882" s="111" t="s">
        <v>14812</v>
      </c>
      <c r="AA1882" s="126">
        <f>IF(Projects!$AI1882="Electrolysis",
AB1882*VLOOKUP(G1882,ElectrolysisConvF,3,FALSE),
"")</f>
        <v>20787.13252</v>
      </c>
      <c r="AB1882" s="125">
        <f t="shared" ref="AB1882:AB1883" si="354">AC1882/(H2dens*HoursInYear/10^6)</f>
        <v>4619362.783</v>
      </c>
      <c r="AC1882" s="126">
        <f>10000*0.180072/Projects!$AJ1882</f>
        <v>3601.44</v>
      </c>
      <c r="AD1882" s="125"/>
      <c r="AE1882" s="125">
        <f t="shared" si="282"/>
        <v>4619362.783</v>
      </c>
      <c r="AF1882" s="127" t="s">
        <v>14813</v>
      </c>
      <c r="AG1882" s="127">
        <v>19.171723</v>
      </c>
      <c r="AH1882" s="127">
        <v>-15.994444</v>
      </c>
      <c r="AI1882" s="115" t="s">
        <v>12383</v>
      </c>
      <c r="AJ1882" s="116">
        <v>0.5</v>
      </c>
      <c r="AK1882" s="117"/>
      <c r="AL1882" s="117"/>
      <c r="AM1882" s="117"/>
      <c r="AN1882" s="117"/>
      <c r="AO1882" s="117"/>
    </row>
    <row r="1883" ht="34.5" customHeight="1">
      <c r="A1883" s="111">
        <v>2536.0</v>
      </c>
      <c r="B1883" s="111" t="s">
        <v>9878</v>
      </c>
      <c r="C1883" s="111" t="s">
        <v>8021</v>
      </c>
      <c r="D1883" s="111">
        <v>2028.0</v>
      </c>
      <c r="E1883" s="111"/>
      <c r="F1883" s="111" t="s">
        <v>12399</v>
      </c>
      <c r="G1883" s="111" t="s">
        <v>12381</v>
      </c>
      <c r="H1883" s="111" t="s">
        <v>12230</v>
      </c>
      <c r="I1883" s="111" t="s">
        <v>12394</v>
      </c>
      <c r="J1883" s="111" t="s">
        <v>12296</v>
      </c>
      <c r="K1883" s="111" t="s">
        <v>174</v>
      </c>
      <c r="L1883" s="111"/>
      <c r="M1883" s="111">
        <v>1.0</v>
      </c>
      <c r="N1883" s="111"/>
      <c r="O1883" s="111"/>
      <c r="P1883" s="111"/>
      <c r="Q1883" s="111"/>
      <c r="R1883" s="111"/>
      <c r="S1883" s="111"/>
      <c r="T1883" s="111"/>
      <c r="U1883" s="111"/>
      <c r="V1883" s="111"/>
      <c r="W1883" s="111"/>
      <c r="X1883" s="111"/>
      <c r="Y1883" s="111"/>
      <c r="Z1883" s="111" t="s">
        <v>14814</v>
      </c>
      <c r="AA1883" s="126">
        <f>IF(Projects!$AI1883="Electrolysis",
AB1883*VLOOKUP(G1883,ElectrolysisConvF,3,FALSE),
"")</f>
        <v>948.4130731</v>
      </c>
      <c r="AB1883" s="125">
        <f t="shared" si="354"/>
        <v>210758.4607</v>
      </c>
      <c r="AC1883" s="126">
        <f>912.5*3/17/0.98</f>
        <v>164.3157263</v>
      </c>
      <c r="AD1883" s="125"/>
      <c r="AE1883" s="125">
        <f t="shared" si="282"/>
        <v>210758.4607</v>
      </c>
      <c r="AF1883" s="127" t="s">
        <v>14815</v>
      </c>
      <c r="AG1883" s="127">
        <v>-12.3032600505206</v>
      </c>
      <c r="AH1883" s="127">
        <v>136.809879433453</v>
      </c>
      <c r="AI1883" s="115" t="s">
        <v>12383</v>
      </c>
      <c r="AJ1883" s="116">
        <v>0.5</v>
      </c>
      <c r="AK1883" s="117"/>
      <c r="AL1883" s="117"/>
      <c r="AM1883" s="117"/>
      <c r="AN1883" s="117"/>
      <c r="AO1883" s="117"/>
    </row>
    <row r="1884" ht="34.5" customHeight="1">
      <c r="A1884" s="111">
        <v>2537.0</v>
      </c>
      <c r="B1884" s="111" t="s">
        <v>9879</v>
      </c>
      <c r="C1884" s="111" t="s">
        <v>7987</v>
      </c>
      <c r="D1884" s="111">
        <v>2023.0</v>
      </c>
      <c r="E1884" s="111"/>
      <c r="F1884" s="111" t="s">
        <v>12418</v>
      </c>
      <c r="G1884" s="111" t="s">
        <v>12228</v>
      </c>
      <c r="H1884" s="111"/>
      <c r="I1884" s="111" t="s">
        <v>12394</v>
      </c>
      <c r="J1884" s="111" t="s">
        <v>12296</v>
      </c>
      <c r="K1884" s="111" t="s">
        <v>30</v>
      </c>
      <c r="L1884" s="111"/>
      <c r="M1884" s="111"/>
      <c r="N1884" s="111"/>
      <c r="O1884" s="111"/>
      <c r="P1884" s="111"/>
      <c r="Q1884" s="111"/>
      <c r="R1884" s="111"/>
      <c r="S1884" s="111"/>
      <c r="T1884" s="111"/>
      <c r="U1884" s="111"/>
      <c r="V1884" s="111"/>
      <c r="W1884" s="111"/>
      <c r="X1884" s="111"/>
      <c r="Y1884" s="111"/>
      <c r="Z1884" s="111" t="s">
        <v>14579</v>
      </c>
      <c r="AA1884" s="124">
        <f>250/1000</f>
        <v>0.25</v>
      </c>
      <c r="AB1884" s="125">
        <f>IF(Projects!$AI1884="Electrolysis",
AA1884/VLOOKUP(G1884,ElectrolysisConvF,3,FALSE),
AC1884*10^6/(H2dens*HoursInYear))</f>
        <v>65.78947368</v>
      </c>
      <c r="AC1884" s="126">
        <f t="shared" ref="AC1884:AC1885" si="355">AB1884*H2dens*HoursInYear/10^6</f>
        <v>0.05129210526</v>
      </c>
      <c r="AD1884" s="125"/>
      <c r="AE1884" s="125">
        <f t="shared" si="282"/>
        <v>65.78947368</v>
      </c>
      <c r="AF1884" s="127" t="s">
        <v>14816</v>
      </c>
      <c r="AG1884" s="127">
        <v>52.4825565137023</v>
      </c>
      <c r="AH1884" s="127">
        <v>7.29966781182499</v>
      </c>
      <c r="AI1884" s="115" t="s">
        <v>12383</v>
      </c>
      <c r="AJ1884" s="116">
        <v>0.5</v>
      </c>
      <c r="AK1884" s="117"/>
      <c r="AL1884" s="117"/>
      <c r="AM1884" s="117"/>
      <c r="AN1884" s="117"/>
      <c r="AO1884" s="117"/>
    </row>
    <row r="1885" ht="34.5" customHeight="1">
      <c r="A1885" s="111">
        <v>2538.0</v>
      </c>
      <c r="B1885" s="111" t="s">
        <v>9880</v>
      </c>
      <c r="C1885" s="111" t="s">
        <v>8161</v>
      </c>
      <c r="D1885" s="111">
        <v>2027.0</v>
      </c>
      <c r="E1885" s="111"/>
      <c r="F1885" s="111" t="s">
        <v>12399</v>
      </c>
      <c r="G1885" s="111" t="s">
        <v>12381</v>
      </c>
      <c r="H1885" s="111" t="s">
        <v>12230</v>
      </c>
      <c r="I1885" s="111" t="s">
        <v>12394</v>
      </c>
      <c r="J1885" s="111" t="s">
        <v>12295</v>
      </c>
      <c r="K1885" s="111" t="s">
        <v>30</v>
      </c>
      <c r="L1885" s="111"/>
      <c r="M1885" s="111"/>
      <c r="N1885" s="111"/>
      <c r="O1885" s="111"/>
      <c r="P1885" s="111"/>
      <c r="Q1885" s="111"/>
      <c r="R1885" s="111"/>
      <c r="S1885" s="111"/>
      <c r="T1885" s="111"/>
      <c r="U1885" s="111"/>
      <c r="V1885" s="111"/>
      <c r="W1885" s="111"/>
      <c r="X1885" s="111"/>
      <c r="Y1885" s="111"/>
      <c r="Z1885" s="111" t="s">
        <v>14817</v>
      </c>
      <c r="AA1885" s="124">
        <v>330.0</v>
      </c>
      <c r="AB1885" s="125">
        <f>IF(Projects!$AI1885="Electrolysis",
AA1885/VLOOKUP(G1885,ElectrolysisConvF,3,FALSE),
AC1885*10^6/(H2dens*HoursInYear))</f>
        <v>73333.33333</v>
      </c>
      <c r="AC1885" s="126">
        <f t="shared" si="355"/>
        <v>57.1736</v>
      </c>
      <c r="AD1885" s="125"/>
      <c r="AE1885" s="125">
        <f t="shared" si="282"/>
        <v>73333.33333</v>
      </c>
      <c r="AF1885" s="127" t="s">
        <v>14818</v>
      </c>
      <c r="AG1885" s="127">
        <v>37.9560097122579</v>
      </c>
      <c r="AH1885" s="127">
        <v>-8.81848918981237</v>
      </c>
      <c r="AI1885" s="115" t="s">
        <v>12383</v>
      </c>
      <c r="AJ1885" s="116">
        <v>0.5</v>
      </c>
      <c r="AK1885" s="117"/>
      <c r="AL1885" s="117"/>
      <c r="AM1885" s="117"/>
      <c r="AN1885" s="117"/>
      <c r="AO1885" s="117"/>
    </row>
    <row r="1886" ht="34.5" customHeight="1">
      <c r="A1886" s="111">
        <v>2539.0</v>
      </c>
      <c r="B1886" s="111" t="s">
        <v>9881</v>
      </c>
      <c r="C1886" s="111" t="s">
        <v>8108</v>
      </c>
      <c r="D1886" s="111">
        <v>2030.0</v>
      </c>
      <c r="E1886" s="111"/>
      <c r="F1886" s="111" t="s">
        <v>12397</v>
      </c>
      <c r="G1886" s="111" t="s">
        <v>12239</v>
      </c>
      <c r="H1886" s="111" t="s">
        <v>13079</v>
      </c>
      <c r="I1886" s="111"/>
      <c r="J1886" s="111"/>
      <c r="K1886" s="111" t="s">
        <v>30</v>
      </c>
      <c r="L1886" s="111">
        <v>1.0</v>
      </c>
      <c r="M1886" s="111"/>
      <c r="N1886" s="111"/>
      <c r="O1886" s="111"/>
      <c r="P1886" s="111"/>
      <c r="Q1886" s="111"/>
      <c r="R1886" s="111"/>
      <c r="S1886" s="111"/>
      <c r="T1886" s="111"/>
      <c r="U1886" s="111"/>
      <c r="V1886" s="111"/>
      <c r="W1886" s="111"/>
      <c r="X1886" s="111"/>
      <c r="Y1886" s="111"/>
      <c r="Z1886" s="111" t="s">
        <v>14819</v>
      </c>
      <c r="AA1886" s="124"/>
      <c r="AB1886" s="125">
        <f t="shared" ref="AB1886:AB1891" si="356">AC1886/(H2dens*HoursInYear/10^6)</f>
        <v>498.8057166</v>
      </c>
      <c r="AC1886" s="146">
        <f>(350/1000/Projects!$AJ1886)</f>
        <v>0.3888888889</v>
      </c>
      <c r="AD1886" s="125"/>
      <c r="AE1886" s="125">
        <f t="shared" si="282"/>
        <v>498.8057166</v>
      </c>
      <c r="AF1886" s="127" t="s">
        <v>14820</v>
      </c>
      <c r="AG1886" s="127">
        <v>22.3709187697086</v>
      </c>
      <c r="AH1886" s="127">
        <v>73.1227507663705</v>
      </c>
      <c r="AI1886" s="115" t="s">
        <v>12241</v>
      </c>
      <c r="AJ1886" s="116">
        <v>0.9</v>
      </c>
      <c r="AK1886" s="117"/>
      <c r="AL1886" s="117"/>
      <c r="AM1886" s="117"/>
      <c r="AN1886" s="117"/>
      <c r="AO1886" s="117"/>
    </row>
    <row r="1887" ht="34.5" customHeight="1">
      <c r="A1887" s="111">
        <v>2540.0</v>
      </c>
      <c r="B1887" s="111" t="s">
        <v>9882</v>
      </c>
      <c r="C1887" s="111" t="s">
        <v>8108</v>
      </c>
      <c r="D1887" s="111">
        <v>2027.0</v>
      </c>
      <c r="E1887" s="111"/>
      <c r="F1887" s="111" t="s">
        <v>12397</v>
      </c>
      <c r="G1887" s="111" t="s">
        <v>12381</v>
      </c>
      <c r="H1887" s="111" t="s">
        <v>12230</v>
      </c>
      <c r="I1887" s="111" t="s">
        <v>12394</v>
      </c>
      <c r="J1887" s="111" t="s">
        <v>12296</v>
      </c>
      <c r="K1887" s="111" t="s">
        <v>30</v>
      </c>
      <c r="L1887" s="111">
        <v>1.0</v>
      </c>
      <c r="M1887" s="111"/>
      <c r="N1887" s="111"/>
      <c r="O1887" s="111"/>
      <c r="P1887" s="111"/>
      <c r="Q1887" s="111"/>
      <c r="R1887" s="111"/>
      <c r="S1887" s="111"/>
      <c r="T1887" s="111"/>
      <c r="U1887" s="111"/>
      <c r="V1887" s="111"/>
      <c r="W1887" s="111"/>
      <c r="X1887" s="111"/>
      <c r="Y1887" s="111"/>
      <c r="Z1887" s="111" t="s">
        <v>14821</v>
      </c>
      <c r="AA1887" s="129">
        <f>IF(Projects!$AI1887="Electrolysis",
AB1887*VLOOKUP(G1887,ElectrolysisConvF,3,FALSE),
"")</f>
        <v>0.01154378944</v>
      </c>
      <c r="AB1887" s="125">
        <f t="shared" si="356"/>
        <v>2.565286543</v>
      </c>
      <c r="AC1887" s="146">
        <f>(1/1000/Projects!$AJ1887)</f>
        <v>0.002</v>
      </c>
      <c r="AD1887" s="125"/>
      <c r="AE1887" s="125">
        <f t="shared" si="282"/>
        <v>2.565286543</v>
      </c>
      <c r="AF1887" s="127" t="s">
        <v>14820</v>
      </c>
      <c r="AG1887" s="127">
        <v>13.2803940405198</v>
      </c>
      <c r="AH1887" s="127">
        <v>80.5624142374577</v>
      </c>
      <c r="AI1887" s="115" t="s">
        <v>12383</v>
      </c>
      <c r="AJ1887" s="116">
        <v>0.5</v>
      </c>
      <c r="AK1887" s="117"/>
      <c r="AL1887" s="117"/>
      <c r="AM1887" s="117"/>
      <c r="AN1887" s="117"/>
      <c r="AO1887" s="117"/>
    </row>
    <row r="1888" ht="34.5" customHeight="1">
      <c r="A1888" s="111">
        <v>2541.0</v>
      </c>
      <c r="B1888" s="111" t="s">
        <v>9883</v>
      </c>
      <c r="C1888" s="111" t="s">
        <v>8108</v>
      </c>
      <c r="D1888" s="111">
        <v>2030.0</v>
      </c>
      <c r="E1888" s="111"/>
      <c r="F1888" s="111" t="s">
        <v>12397</v>
      </c>
      <c r="G1888" s="111" t="s">
        <v>12381</v>
      </c>
      <c r="H1888" s="111" t="s">
        <v>12230</v>
      </c>
      <c r="I1888" s="111" t="s">
        <v>12394</v>
      </c>
      <c r="J1888" s="111" t="s">
        <v>12296</v>
      </c>
      <c r="K1888" s="111" t="s">
        <v>30</v>
      </c>
      <c r="L1888" s="111">
        <v>1.0</v>
      </c>
      <c r="M1888" s="111"/>
      <c r="N1888" s="111"/>
      <c r="O1888" s="111"/>
      <c r="P1888" s="111"/>
      <c r="Q1888" s="111"/>
      <c r="R1888" s="111"/>
      <c r="S1888" s="111"/>
      <c r="T1888" s="111"/>
      <c r="U1888" s="111"/>
      <c r="V1888" s="111"/>
      <c r="W1888" s="111"/>
      <c r="X1888" s="111"/>
      <c r="Y1888" s="111"/>
      <c r="Z1888" s="111" t="s">
        <v>14822</v>
      </c>
      <c r="AA1888" s="129">
        <f>IF(Projects!$AI1888="Electrolysis",
AB1888*VLOOKUP(G1888,ElectrolysisConvF,3,FALSE),
"")</f>
        <v>0.04617515777</v>
      </c>
      <c r="AB1888" s="125">
        <f t="shared" si="356"/>
        <v>10.26114617</v>
      </c>
      <c r="AC1888" s="146">
        <f>((5-1)/1000/Projects!$AJ1888)</f>
        <v>0.008</v>
      </c>
      <c r="AD1888" s="125"/>
      <c r="AE1888" s="125">
        <f t="shared" si="282"/>
        <v>10.26114617</v>
      </c>
      <c r="AF1888" s="127" t="s">
        <v>14820</v>
      </c>
      <c r="AG1888" s="127">
        <v>13.2803940405198</v>
      </c>
      <c r="AH1888" s="127">
        <v>80.5624142374577</v>
      </c>
      <c r="AI1888" s="115" t="s">
        <v>12383</v>
      </c>
      <c r="AJ1888" s="116">
        <v>0.5</v>
      </c>
      <c r="AK1888" s="117"/>
      <c r="AL1888" s="117"/>
      <c r="AM1888" s="117"/>
      <c r="AN1888" s="117"/>
      <c r="AO1888" s="117"/>
    </row>
    <row r="1889" ht="34.5" customHeight="1">
      <c r="A1889" s="111">
        <v>2542.0</v>
      </c>
      <c r="B1889" s="111" t="s">
        <v>9884</v>
      </c>
      <c r="C1889" s="111" t="s">
        <v>8108</v>
      </c>
      <c r="D1889" s="111">
        <v>2025.0</v>
      </c>
      <c r="E1889" s="111"/>
      <c r="F1889" s="111" t="s">
        <v>12397</v>
      </c>
      <c r="G1889" s="111" t="s">
        <v>12381</v>
      </c>
      <c r="H1889" s="111" t="s">
        <v>12230</v>
      </c>
      <c r="I1889" s="111" t="s">
        <v>12394</v>
      </c>
      <c r="J1889" s="111" t="s">
        <v>12296</v>
      </c>
      <c r="K1889" s="111" t="s">
        <v>30</v>
      </c>
      <c r="L1889" s="111">
        <v>1.0</v>
      </c>
      <c r="M1889" s="111"/>
      <c r="N1889" s="111"/>
      <c r="O1889" s="111"/>
      <c r="P1889" s="111"/>
      <c r="Q1889" s="111"/>
      <c r="R1889" s="111"/>
      <c r="S1889" s="111"/>
      <c r="T1889" s="111"/>
      <c r="U1889" s="111"/>
      <c r="V1889" s="111"/>
      <c r="W1889" s="111"/>
      <c r="X1889" s="111"/>
      <c r="Y1889" s="111"/>
      <c r="Z1889" s="111" t="s">
        <v>14823</v>
      </c>
      <c r="AA1889" s="129">
        <f>IF(Projects!$AI1889="Electrolysis",
AB1889*VLOOKUP(G1889,ElectrolysisConvF,3,FALSE),
"")</f>
        <v>0.005771894721</v>
      </c>
      <c r="AB1889" s="125">
        <f t="shared" si="356"/>
        <v>1.282643271</v>
      </c>
      <c r="AC1889" s="146">
        <f>(0.5/1000/Projects!$AJ1889)</f>
        <v>0.001</v>
      </c>
      <c r="AD1889" s="125"/>
      <c r="AE1889" s="125">
        <f t="shared" si="282"/>
        <v>1.282643271</v>
      </c>
      <c r="AF1889" s="127" t="s">
        <v>14820</v>
      </c>
      <c r="AG1889" s="127">
        <v>14.7410833165014</v>
      </c>
      <c r="AH1889" s="127">
        <v>75.0636378765073</v>
      </c>
      <c r="AI1889" s="115" t="s">
        <v>12383</v>
      </c>
      <c r="AJ1889" s="116">
        <v>0.5</v>
      </c>
      <c r="AK1889" s="117"/>
      <c r="AL1889" s="117"/>
      <c r="AM1889" s="117"/>
      <c r="AN1889" s="117"/>
      <c r="AO1889" s="117"/>
    </row>
    <row r="1890" ht="34.5" customHeight="1">
      <c r="A1890" s="111">
        <v>2543.0</v>
      </c>
      <c r="B1890" s="111" t="s">
        <v>9885</v>
      </c>
      <c r="C1890" s="111" t="s">
        <v>8108</v>
      </c>
      <c r="D1890" s="111">
        <v>2030.0</v>
      </c>
      <c r="E1890" s="111"/>
      <c r="F1890" s="111" t="s">
        <v>12397</v>
      </c>
      <c r="G1890" s="111" t="s">
        <v>12381</v>
      </c>
      <c r="H1890" s="111" t="s">
        <v>12230</v>
      </c>
      <c r="I1890" s="111" t="s">
        <v>12394</v>
      </c>
      <c r="J1890" s="111" t="s">
        <v>12296</v>
      </c>
      <c r="K1890" s="111" t="s">
        <v>30</v>
      </c>
      <c r="L1890" s="111">
        <v>1.0</v>
      </c>
      <c r="M1890" s="111"/>
      <c r="N1890" s="111"/>
      <c r="O1890" s="111"/>
      <c r="P1890" s="111"/>
      <c r="Q1890" s="111"/>
      <c r="R1890" s="111"/>
      <c r="S1890" s="111"/>
      <c r="T1890" s="111"/>
      <c r="U1890" s="111"/>
      <c r="V1890" s="111"/>
      <c r="W1890" s="111"/>
      <c r="X1890" s="111"/>
      <c r="Y1890" s="111"/>
      <c r="Z1890" s="111" t="s">
        <v>14822</v>
      </c>
      <c r="AA1890" s="129">
        <f>IF(Projects!$AI1890="Electrolysis",
AB1890*VLOOKUP(G1890,ElectrolysisConvF,3,FALSE),
"")</f>
        <v>0.04617515777</v>
      </c>
      <c r="AB1890" s="125">
        <f t="shared" si="356"/>
        <v>10.26114617</v>
      </c>
      <c r="AC1890" s="146">
        <f>((5-1)/1000/Projects!$AJ1890)</f>
        <v>0.008</v>
      </c>
      <c r="AD1890" s="125"/>
      <c r="AE1890" s="125">
        <f t="shared" si="282"/>
        <v>10.26114617</v>
      </c>
      <c r="AF1890" s="127" t="s">
        <v>14820</v>
      </c>
      <c r="AG1890" s="127">
        <v>14.7410833165014</v>
      </c>
      <c r="AH1890" s="127">
        <v>75.0636378765073</v>
      </c>
      <c r="AI1890" s="115" t="s">
        <v>12383</v>
      </c>
      <c r="AJ1890" s="116">
        <v>0.5</v>
      </c>
      <c r="AK1890" s="117"/>
      <c r="AL1890" s="117"/>
      <c r="AM1890" s="117"/>
      <c r="AN1890" s="117"/>
      <c r="AO1890" s="117"/>
    </row>
    <row r="1891" ht="34.5" customHeight="1">
      <c r="A1891" s="111">
        <v>2544.0</v>
      </c>
      <c r="B1891" s="111" t="s">
        <v>9886</v>
      </c>
      <c r="C1891" s="111" t="s">
        <v>7981</v>
      </c>
      <c r="D1891" s="111">
        <v>2027.0</v>
      </c>
      <c r="E1891" s="111"/>
      <c r="F1891" s="111" t="s">
        <v>12397</v>
      </c>
      <c r="G1891" s="111" t="s">
        <v>12381</v>
      </c>
      <c r="H1891" s="111" t="s">
        <v>12230</v>
      </c>
      <c r="I1891" s="111" t="s">
        <v>12394</v>
      </c>
      <c r="J1891" s="111" t="s">
        <v>12294</v>
      </c>
      <c r="K1891" s="111" t="s">
        <v>30</v>
      </c>
      <c r="L1891" s="111"/>
      <c r="M1891" s="111"/>
      <c r="N1891" s="111"/>
      <c r="O1891" s="111"/>
      <c r="P1891" s="111"/>
      <c r="Q1891" s="111">
        <v>1.0</v>
      </c>
      <c r="R1891" s="111"/>
      <c r="S1891" s="111"/>
      <c r="T1891" s="111"/>
      <c r="U1891" s="111"/>
      <c r="V1891" s="111"/>
      <c r="W1891" s="111"/>
      <c r="X1891" s="111"/>
      <c r="Y1891" s="111"/>
      <c r="Z1891" s="111" t="s">
        <v>14824</v>
      </c>
      <c r="AA1891" s="126">
        <f>IF(Projects!$AI1891="Electrolysis",
AB1891*VLOOKUP(G1891,ElectrolysisConvF,3,FALSE),
"")</f>
        <v>92.16994382</v>
      </c>
      <c r="AB1891" s="125">
        <f t="shared" si="356"/>
        <v>20482.20974</v>
      </c>
      <c r="AC1891" s="129">
        <f>((35/10^3)*365)/Projects!$AJ1891</f>
        <v>15.96875</v>
      </c>
      <c r="AD1891" s="125"/>
      <c r="AE1891" s="125">
        <f t="shared" si="282"/>
        <v>20482.20974</v>
      </c>
      <c r="AF1891" s="127" t="s">
        <v>14825</v>
      </c>
      <c r="AG1891" s="127">
        <v>44.9278911142064</v>
      </c>
      <c r="AH1891" s="127">
        <v>-74.8916921991964</v>
      </c>
      <c r="AI1891" s="115" t="s">
        <v>12383</v>
      </c>
      <c r="AJ1891" s="116">
        <v>0.8</v>
      </c>
      <c r="AK1891" s="117"/>
      <c r="AL1891" s="117"/>
      <c r="AM1891" s="117"/>
      <c r="AN1891" s="117"/>
      <c r="AO1891" s="117"/>
    </row>
    <row r="1892" ht="34.5" customHeight="1">
      <c r="A1892" s="111">
        <v>2545.0</v>
      </c>
      <c r="B1892" s="145" t="s">
        <v>9887</v>
      </c>
      <c r="C1892" s="145" t="s">
        <v>8578</v>
      </c>
      <c r="D1892" s="145">
        <v>2026.0</v>
      </c>
      <c r="E1892" s="145"/>
      <c r="F1892" s="145" t="s">
        <v>12399</v>
      </c>
      <c r="G1892" s="145" t="s">
        <v>12381</v>
      </c>
      <c r="H1892" s="145" t="s">
        <v>12230</v>
      </c>
      <c r="I1892" s="145" t="s">
        <v>12394</v>
      </c>
      <c r="J1892" s="145" t="s">
        <v>12296</v>
      </c>
      <c r="K1892" s="145" t="s">
        <v>30</v>
      </c>
      <c r="L1892" s="145"/>
      <c r="M1892" s="145"/>
      <c r="N1892" s="145"/>
      <c r="O1892" s="145"/>
      <c r="P1892" s="145">
        <v>1.0</v>
      </c>
      <c r="Q1892" s="145"/>
      <c r="R1892" s="145"/>
      <c r="S1892" s="145"/>
      <c r="T1892" s="145"/>
      <c r="U1892" s="145"/>
      <c r="V1892" s="145"/>
      <c r="W1892" s="145"/>
      <c r="X1892" s="145"/>
      <c r="Y1892" s="145"/>
      <c r="Z1892" s="145" t="s">
        <v>14826</v>
      </c>
      <c r="AA1892" s="151">
        <v>300.0</v>
      </c>
      <c r="AB1892" s="125">
        <f>IF(Projects!$AI1892="Electrolysis",
AA1892/VLOOKUP(G1892,ElectrolysisConvF,3,FALSE),
AC1892*10^6/(H2dens*HoursInYear))</f>
        <v>66666.66667</v>
      </c>
      <c r="AC1892" s="151">
        <f t="shared" ref="AC1892:AC1897" si="357">AB1892*H2dens*HoursInYear/10^6</f>
        <v>51.976</v>
      </c>
      <c r="AD1892" s="152"/>
      <c r="AE1892" s="152">
        <f t="shared" si="282"/>
        <v>66666.66667</v>
      </c>
      <c r="AF1892" s="153" t="s">
        <v>14827</v>
      </c>
      <c r="AG1892" s="127">
        <v>0.0</v>
      </c>
      <c r="AH1892" s="127">
        <v>0.0</v>
      </c>
      <c r="AI1892" s="115" t="s">
        <v>12383</v>
      </c>
      <c r="AJ1892" s="154">
        <v>0.5</v>
      </c>
      <c r="AK1892" s="117"/>
      <c r="AL1892" s="117"/>
      <c r="AM1892" s="117"/>
      <c r="AN1892" s="117"/>
      <c r="AO1892" s="117"/>
    </row>
    <row r="1893" ht="34.5" customHeight="1">
      <c r="A1893" s="111">
        <v>2547.0</v>
      </c>
      <c r="B1893" s="111" t="s">
        <v>9888</v>
      </c>
      <c r="C1893" s="111" t="s">
        <v>8021</v>
      </c>
      <c r="D1893" s="111"/>
      <c r="E1893" s="111"/>
      <c r="F1893" s="111" t="s">
        <v>12399</v>
      </c>
      <c r="G1893" s="111" t="s">
        <v>12381</v>
      </c>
      <c r="H1893" s="111" t="s">
        <v>12230</v>
      </c>
      <c r="I1893" s="111" t="s">
        <v>12394</v>
      </c>
      <c r="J1893" s="111" t="s">
        <v>12296</v>
      </c>
      <c r="K1893" s="111" t="s">
        <v>174</v>
      </c>
      <c r="L1893" s="111"/>
      <c r="M1893" s="111">
        <v>1.0</v>
      </c>
      <c r="N1893" s="111"/>
      <c r="O1893" s="111"/>
      <c r="P1893" s="111"/>
      <c r="Q1893" s="111"/>
      <c r="R1893" s="111"/>
      <c r="S1893" s="111"/>
      <c r="T1893" s="111"/>
      <c r="U1893" s="111"/>
      <c r="V1893" s="111"/>
      <c r="W1893" s="111"/>
      <c r="X1893" s="111"/>
      <c r="Y1893" s="111"/>
      <c r="Z1893" s="111" t="s">
        <v>12723</v>
      </c>
      <c r="AA1893" s="124">
        <v>1000.0</v>
      </c>
      <c r="AB1893" s="125">
        <f>IF(Projects!$AI1893="Electrolysis",
AA1893/VLOOKUP(G1893,ElectrolysisConvF,3,FALSE),
AC1893*10^6/(H2dens*HoursInYear))</f>
        <v>222222.2222</v>
      </c>
      <c r="AC1893" s="126">
        <f t="shared" si="357"/>
        <v>173.2533333</v>
      </c>
      <c r="AD1893" s="125"/>
      <c r="AE1893" s="125">
        <f t="shared" si="282"/>
        <v>222222.2222</v>
      </c>
      <c r="AF1893" s="127" t="s">
        <v>14828</v>
      </c>
      <c r="AG1893" s="127">
        <v>-20.0560758263322</v>
      </c>
      <c r="AH1893" s="127">
        <v>147.907235854906</v>
      </c>
      <c r="AI1893" s="115" t="s">
        <v>12383</v>
      </c>
      <c r="AJ1893" s="116">
        <v>0.5</v>
      </c>
      <c r="AK1893" s="117"/>
      <c r="AL1893" s="117"/>
      <c r="AM1893" s="117"/>
      <c r="AN1893" s="117"/>
      <c r="AO1893" s="117"/>
    </row>
    <row r="1894" ht="34.5" customHeight="1">
      <c r="A1894" s="111">
        <v>2548.0</v>
      </c>
      <c r="B1894" s="111" t="s">
        <v>9889</v>
      </c>
      <c r="C1894" s="111" t="s">
        <v>7991</v>
      </c>
      <c r="D1894" s="111">
        <v>2025.0</v>
      </c>
      <c r="E1894" s="111"/>
      <c r="F1894" s="111" t="s">
        <v>12393</v>
      </c>
      <c r="G1894" s="111" t="s">
        <v>12381</v>
      </c>
      <c r="H1894" s="111" t="s">
        <v>12230</v>
      </c>
      <c r="I1894" s="111" t="s">
        <v>12394</v>
      </c>
      <c r="J1894" s="111" t="s">
        <v>12296</v>
      </c>
      <c r="K1894" s="111" t="s">
        <v>30</v>
      </c>
      <c r="L1894" s="111"/>
      <c r="M1894" s="111"/>
      <c r="N1894" s="111"/>
      <c r="O1894" s="111"/>
      <c r="P1894" s="111"/>
      <c r="Q1894" s="111">
        <v>1.0</v>
      </c>
      <c r="R1894" s="111"/>
      <c r="S1894" s="111"/>
      <c r="T1894" s="111"/>
      <c r="U1894" s="111"/>
      <c r="V1894" s="111"/>
      <c r="W1894" s="111"/>
      <c r="X1894" s="111"/>
      <c r="Y1894" s="111"/>
      <c r="Z1894" s="111" t="s">
        <v>12395</v>
      </c>
      <c r="AA1894" s="124">
        <v>2.5</v>
      </c>
      <c r="AB1894" s="125">
        <f>IF(Projects!$AI1894="Electrolysis",
AA1894/VLOOKUP(G1894,ElectrolysisConvF,3,FALSE),
AC1894*10^6/(H2dens*HoursInYear))</f>
        <v>555.5555556</v>
      </c>
      <c r="AC1894" s="126">
        <f t="shared" si="357"/>
        <v>0.4331333333</v>
      </c>
      <c r="AD1894" s="125"/>
      <c r="AE1894" s="125">
        <f t="shared" si="282"/>
        <v>555.5555556</v>
      </c>
      <c r="AF1894" s="127" t="s">
        <v>14829</v>
      </c>
      <c r="AG1894" s="127">
        <v>55.3940099753337</v>
      </c>
      <c r="AH1894" s="127">
        <v>-4.19157853203003</v>
      </c>
      <c r="AI1894" s="115" t="s">
        <v>12383</v>
      </c>
      <c r="AJ1894" s="116">
        <v>0.5</v>
      </c>
      <c r="AK1894" s="117"/>
      <c r="AL1894" s="117"/>
      <c r="AM1894" s="117"/>
      <c r="AN1894" s="117"/>
      <c r="AO1894" s="117"/>
    </row>
    <row r="1895" ht="34.5" customHeight="1">
      <c r="A1895" s="111">
        <v>2549.0</v>
      </c>
      <c r="B1895" s="111" t="s">
        <v>9890</v>
      </c>
      <c r="C1895" s="111" t="s">
        <v>7987</v>
      </c>
      <c r="D1895" s="111">
        <v>2028.0</v>
      </c>
      <c r="E1895" s="111"/>
      <c r="F1895" s="111" t="s">
        <v>12393</v>
      </c>
      <c r="G1895" s="111" t="s">
        <v>12226</v>
      </c>
      <c r="H1895" s="111"/>
      <c r="I1895" s="111" t="s">
        <v>12287</v>
      </c>
      <c r="J1895" s="111" t="s">
        <v>12296</v>
      </c>
      <c r="K1895" s="111" t="s">
        <v>30</v>
      </c>
      <c r="L1895" s="111"/>
      <c r="M1895" s="111"/>
      <c r="N1895" s="111"/>
      <c r="O1895" s="111">
        <v>1.0</v>
      </c>
      <c r="P1895" s="111">
        <v>1.0</v>
      </c>
      <c r="Q1895" s="111">
        <v>1.0</v>
      </c>
      <c r="R1895" s="111"/>
      <c r="S1895" s="111"/>
      <c r="T1895" s="111"/>
      <c r="U1895" s="111"/>
      <c r="V1895" s="111"/>
      <c r="W1895" s="111"/>
      <c r="X1895" s="111"/>
      <c r="Y1895" s="111"/>
      <c r="Z1895" s="111" t="s">
        <v>12808</v>
      </c>
      <c r="AA1895" s="124">
        <v>280.0</v>
      </c>
      <c r="AB1895" s="125">
        <f>IF(Projects!$AI1895="Electrolysis",
AA1895/VLOOKUP(G1895,ElectrolysisConvF,3,FALSE),
AC1895*10^6/(H2dens*HoursInYear))</f>
        <v>53846.15385</v>
      </c>
      <c r="AC1895" s="126">
        <f t="shared" si="357"/>
        <v>41.98061538</v>
      </c>
      <c r="AD1895" s="125"/>
      <c r="AE1895" s="125">
        <f t="shared" si="282"/>
        <v>53846.15385</v>
      </c>
      <c r="AF1895" s="127" t="s">
        <v>14830</v>
      </c>
      <c r="AG1895" s="127">
        <v>53.359480143554</v>
      </c>
      <c r="AH1895" s="127">
        <v>7.20958867708828</v>
      </c>
      <c r="AI1895" s="115" t="s">
        <v>12383</v>
      </c>
      <c r="AJ1895" s="116">
        <v>0.57</v>
      </c>
      <c r="AK1895" s="117"/>
      <c r="AL1895" s="117"/>
      <c r="AM1895" s="117"/>
      <c r="AN1895" s="117"/>
      <c r="AO1895" s="117"/>
    </row>
    <row r="1896" ht="34.5" customHeight="1">
      <c r="A1896" s="111">
        <v>2550.0</v>
      </c>
      <c r="B1896" s="111" t="s">
        <v>9891</v>
      </c>
      <c r="C1896" s="111" t="s">
        <v>7971</v>
      </c>
      <c r="D1896" s="111">
        <v>2024.0</v>
      </c>
      <c r="E1896" s="111"/>
      <c r="F1896" s="111" t="s">
        <v>12393</v>
      </c>
      <c r="G1896" s="111" t="s">
        <v>12226</v>
      </c>
      <c r="H1896" s="111"/>
      <c r="I1896" s="111" t="s">
        <v>12394</v>
      </c>
      <c r="J1896" s="111" t="s">
        <v>12293</v>
      </c>
      <c r="K1896" s="111" t="s">
        <v>174</v>
      </c>
      <c r="L1896" s="111"/>
      <c r="M1896" s="111">
        <v>1.0</v>
      </c>
      <c r="N1896" s="111"/>
      <c r="O1896" s="111"/>
      <c r="P1896" s="111"/>
      <c r="Q1896" s="111"/>
      <c r="R1896" s="111"/>
      <c r="S1896" s="111"/>
      <c r="T1896" s="111"/>
      <c r="U1896" s="111"/>
      <c r="V1896" s="111"/>
      <c r="W1896" s="111"/>
      <c r="X1896" s="111"/>
      <c r="Y1896" s="111"/>
      <c r="Z1896" s="111" t="s">
        <v>12908</v>
      </c>
      <c r="AA1896" s="124">
        <v>1.0</v>
      </c>
      <c r="AB1896" s="125">
        <f>IF(Projects!$AI1896="Electrolysis",
AA1896/VLOOKUP(G1896,ElectrolysisConvF,3,FALSE),
AC1896*10^6/(H2dens*HoursInYear))</f>
        <v>192.3076923</v>
      </c>
      <c r="AC1896" s="126">
        <f t="shared" si="357"/>
        <v>0.1499307692</v>
      </c>
      <c r="AD1896" s="125"/>
      <c r="AE1896" s="125">
        <f t="shared" si="282"/>
        <v>192.3076923</v>
      </c>
      <c r="AF1896" s="127" t="s">
        <v>14831</v>
      </c>
      <c r="AG1896" s="127">
        <v>59.27490187193</v>
      </c>
      <c r="AH1896" s="127">
        <v>5.52592296694544</v>
      </c>
      <c r="AI1896" s="115" t="s">
        <v>12383</v>
      </c>
      <c r="AJ1896" s="116">
        <v>0.55</v>
      </c>
      <c r="AK1896" s="117"/>
      <c r="AL1896" s="117"/>
      <c r="AM1896" s="117"/>
      <c r="AN1896" s="117"/>
      <c r="AO1896" s="117"/>
    </row>
    <row r="1897" ht="34.5" customHeight="1">
      <c r="A1897" s="111">
        <v>2551.0</v>
      </c>
      <c r="B1897" s="111" t="s">
        <v>9892</v>
      </c>
      <c r="C1897" s="111" t="s">
        <v>8177</v>
      </c>
      <c r="D1897" s="111">
        <v>2037.0</v>
      </c>
      <c r="E1897" s="111"/>
      <c r="F1897" s="111" t="s">
        <v>12399</v>
      </c>
      <c r="G1897" s="111" t="s">
        <v>12381</v>
      </c>
      <c r="H1897" s="111" t="s">
        <v>12230</v>
      </c>
      <c r="I1897" s="111" t="s">
        <v>12394</v>
      </c>
      <c r="J1897" s="111" t="s">
        <v>12295</v>
      </c>
      <c r="K1897" s="111" t="s">
        <v>174</v>
      </c>
      <c r="L1897" s="111"/>
      <c r="M1897" s="111">
        <v>1.0</v>
      </c>
      <c r="N1897" s="111"/>
      <c r="O1897" s="111"/>
      <c r="P1897" s="111"/>
      <c r="Q1897" s="111"/>
      <c r="R1897" s="111"/>
      <c r="S1897" s="111"/>
      <c r="T1897" s="111"/>
      <c r="U1897" s="111"/>
      <c r="V1897" s="111"/>
      <c r="W1897" s="111"/>
      <c r="X1897" s="111"/>
      <c r="Y1897" s="111"/>
      <c r="Z1897" s="111" t="s">
        <v>13633</v>
      </c>
      <c r="AA1897" s="125">
        <v>12500.0</v>
      </c>
      <c r="AB1897" s="125">
        <f>IF(Projects!$AI1897="Electrolysis",
AA1897/VLOOKUP(G1897,ElectrolysisConvF,3,FALSE),
AC1897*10^6/(H2dens*HoursInYear))</f>
        <v>2777777.778</v>
      </c>
      <c r="AC1897" s="126">
        <f t="shared" si="357"/>
        <v>2165.666667</v>
      </c>
      <c r="AD1897" s="125"/>
      <c r="AE1897" s="125">
        <f>AB1897</f>
        <v>2777777.778</v>
      </c>
      <c r="AF1897" s="127" t="s">
        <v>12692</v>
      </c>
      <c r="AG1897" s="127">
        <v>23.7</v>
      </c>
      <c r="AH1897" s="127">
        <v>-9.22</v>
      </c>
      <c r="AI1897" s="115" t="s">
        <v>12383</v>
      </c>
      <c r="AJ1897" s="116">
        <v>0.5</v>
      </c>
      <c r="AK1897" s="117"/>
      <c r="AL1897" s="117"/>
      <c r="AM1897" s="117"/>
      <c r="AN1897" s="117"/>
      <c r="AO1897" s="117"/>
    </row>
    <row r="1898" ht="34.5" customHeight="1">
      <c r="A1898" s="111">
        <v>2552.0</v>
      </c>
      <c r="B1898" s="111" t="s">
        <v>9893</v>
      </c>
      <c r="C1898" s="111" t="s">
        <v>7981</v>
      </c>
      <c r="D1898" s="111">
        <v>2027.0</v>
      </c>
      <c r="E1898" s="111"/>
      <c r="F1898" s="111" t="s">
        <v>12399</v>
      </c>
      <c r="G1898" s="111" t="s">
        <v>12235</v>
      </c>
      <c r="H1898" s="111" t="s">
        <v>12529</v>
      </c>
      <c r="I1898" s="111"/>
      <c r="J1898" s="111"/>
      <c r="K1898" s="111" t="s">
        <v>174</v>
      </c>
      <c r="L1898" s="111"/>
      <c r="M1898" s="111">
        <v>1.0</v>
      </c>
      <c r="N1898" s="111"/>
      <c r="O1898" s="111"/>
      <c r="P1898" s="111"/>
      <c r="Q1898" s="111"/>
      <c r="R1898" s="111">
        <v>1.0</v>
      </c>
      <c r="S1898" s="111"/>
      <c r="T1898" s="111"/>
      <c r="U1898" s="111"/>
      <c r="V1898" s="111"/>
      <c r="W1898" s="111"/>
      <c r="X1898" s="111"/>
      <c r="Y1898" s="111"/>
      <c r="Z1898" s="111" t="s">
        <v>14039</v>
      </c>
      <c r="AA1898" s="126" t="str">
        <f>IF(OR(G1898="ALK",G1898="PEM",G1898="SOEC",G1898="Other Electrolysis"),
AB1898*VLOOKUP(G1898,ElectrolysisConvF,3,FALSE),
"")</f>
        <v/>
      </c>
      <c r="AB1898" s="125">
        <f>IF(Projects!$AI1898="Electrolysis",
AA1898/VLOOKUP(G1898,ElectrolysisConvF,3,FALSE),
AC1898*10^6/(H2dens*HoursInYear))</f>
        <v>230968.1761</v>
      </c>
      <c r="AC1898" s="125">
        <f>1000*3/17/0.98</f>
        <v>180.0720288</v>
      </c>
      <c r="AD1898" s="125"/>
      <c r="AE1898" s="125">
        <f t="shared" ref="AE1898:AE2021" si="358">IF(AND(G1898&lt;&gt;"NG w CCUS",G1898&lt;&gt;"Oil w CCUS",G1898&lt;&gt;"Coal w CCUS"),AB1898,AD1898*10^3/(HoursInYear*IF(G1898="NG w CCUS",0.9105,1.9075)))</f>
        <v>0</v>
      </c>
      <c r="AF1898" s="127" t="s">
        <v>14832</v>
      </c>
      <c r="AG1898" s="127">
        <v>29.6143275876274</v>
      </c>
      <c r="AH1898" s="127">
        <v>-94.8999211411769</v>
      </c>
      <c r="AI1898" s="115" t="s">
        <v>12378</v>
      </c>
      <c r="AJ1898" s="116">
        <v>0.9</v>
      </c>
      <c r="AK1898" s="117"/>
      <c r="AL1898" s="117"/>
      <c r="AM1898" s="117"/>
      <c r="AN1898" s="117"/>
      <c r="AO1898" s="117"/>
    </row>
    <row r="1899" ht="34.5" customHeight="1">
      <c r="A1899" s="111">
        <v>2556.0</v>
      </c>
      <c r="B1899" s="111" t="s">
        <v>9894</v>
      </c>
      <c r="C1899" s="111" t="s">
        <v>8001</v>
      </c>
      <c r="D1899" s="111">
        <v>2027.0</v>
      </c>
      <c r="E1899" s="111"/>
      <c r="F1899" s="111" t="s">
        <v>12393</v>
      </c>
      <c r="G1899" s="111" t="s">
        <v>12381</v>
      </c>
      <c r="H1899" s="111" t="s">
        <v>12230</v>
      </c>
      <c r="I1899" s="111" t="s">
        <v>12394</v>
      </c>
      <c r="J1899" s="111" t="s">
        <v>12292</v>
      </c>
      <c r="K1899" s="111" t="s">
        <v>12415</v>
      </c>
      <c r="L1899" s="111"/>
      <c r="M1899" s="111"/>
      <c r="N1899" s="111">
        <v>1.0</v>
      </c>
      <c r="O1899" s="111"/>
      <c r="P1899" s="111"/>
      <c r="Q1899" s="111"/>
      <c r="R1899" s="111"/>
      <c r="S1899" s="111"/>
      <c r="T1899" s="111"/>
      <c r="U1899" s="111"/>
      <c r="V1899" s="111"/>
      <c r="W1899" s="111"/>
      <c r="X1899" s="111"/>
      <c r="Y1899" s="111"/>
      <c r="Z1899" s="111" t="s">
        <v>14833</v>
      </c>
      <c r="AA1899" s="126">
        <f>IF(Projects!$AI1899="Electrolysis",
AB1899*VLOOKUP(G1899,ElectrolysisConvF,3,FALSE),
"")</f>
        <v>721.4868401</v>
      </c>
      <c r="AB1899" s="125">
        <f t="shared" ref="AB1899:AB1901" si="359">AC1899/(H2dens*HoursInYear/10^6)</f>
        <v>160330.4089</v>
      </c>
      <c r="AC1899" s="126">
        <f>50/Projects!$AJ1899</f>
        <v>125</v>
      </c>
      <c r="AD1899" s="125"/>
      <c r="AE1899" s="125">
        <f t="shared" si="358"/>
        <v>160330.4089</v>
      </c>
      <c r="AF1899" s="127" t="s">
        <v>14834</v>
      </c>
      <c r="AG1899" s="127">
        <v>45.6256610172764</v>
      </c>
      <c r="AH1899" s="127">
        <v>122.840992821297</v>
      </c>
      <c r="AI1899" s="115" t="s">
        <v>12383</v>
      </c>
      <c r="AJ1899" s="116">
        <v>0.4</v>
      </c>
      <c r="AK1899" s="155"/>
      <c r="AL1899" s="155"/>
      <c r="AM1899" s="155"/>
      <c r="AN1899" s="155"/>
      <c r="AO1899" s="155"/>
    </row>
    <row r="1900" ht="34.5" customHeight="1">
      <c r="A1900" s="111">
        <v>2560.0</v>
      </c>
      <c r="B1900" s="111" t="s">
        <v>9895</v>
      </c>
      <c r="C1900" s="111" t="s">
        <v>8590</v>
      </c>
      <c r="D1900" s="111">
        <v>2027.0</v>
      </c>
      <c r="E1900" s="111"/>
      <c r="F1900" s="111" t="s">
        <v>12397</v>
      </c>
      <c r="G1900" s="111" t="s">
        <v>12381</v>
      </c>
      <c r="H1900" s="111" t="s">
        <v>12230</v>
      </c>
      <c r="I1900" s="111" t="s">
        <v>12394</v>
      </c>
      <c r="J1900" s="111" t="s">
        <v>12295</v>
      </c>
      <c r="K1900" s="111" t="s">
        <v>30</v>
      </c>
      <c r="L1900" s="111"/>
      <c r="M1900" s="111"/>
      <c r="N1900" s="111"/>
      <c r="O1900" s="111"/>
      <c r="P1900" s="111">
        <v>1.0</v>
      </c>
      <c r="Q1900" s="111"/>
      <c r="R1900" s="111"/>
      <c r="S1900" s="111"/>
      <c r="T1900" s="111"/>
      <c r="U1900" s="111"/>
      <c r="V1900" s="111"/>
      <c r="W1900" s="111"/>
      <c r="X1900" s="111"/>
      <c r="Y1900" s="111"/>
      <c r="Z1900" s="111" t="s">
        <v>14835</v>
      </c>
      <c r="AA1900" s="126">
        <f>IF(Projects!$AI1900="Electrolysis",
AB1900*VLOOKUP(G1900,ElectrolysisConvF,3,FALSE),
"")</f>
        <v>233.8552783</v>
      </c>
      <c r="AB1900" s="125">
        <f t="shared" si="359"/>
        <v>51967.83962</v>
      </c>
      <c r="AC1900" s="125">
        <f>(500*0.45)*3/17/0.98</f>
        <v>40.51620648</v>
      </c>
      <c r="AD1900" s="125"/>
      <c r="AE1900" s="125">
        <f t="shared" si="358"/>
        <v>51967.83962</v>
      </c>
      <c r="AF1900" s="127" t="s">
        <v>14836</v>
      </c>
      <c r="AG1900" s="127">
        <v>-19.746794386517</v>
      </c>
      <c r="AH1900" s="127">
        <v>-47.9330540832462</v>
      </c>
      <c r="AI1900" s="115" t="s">
        <v>12383</v>
      </c>
      <c r="AJ1900" s="116">
        <v>0.5</v>
      </c>
      <c r="AK1900" s="117"/>
      <c r="AL1900" s="117"/>
      <c r="AM1900" s="117"/>
      <c r="AN1900" s="117"/>
      <c r="AO1900" s="117"/>
    </row>
    <row r="1901" ht="34.5" customHeight="1">
      <c r="A1901" s="111">
        <v>2561.0</v>
      </c>
      <c r="B1901" s="111" t="s">
        <v>9896</v>
      </c>
      <c r="C1901" s="111" t="s">
        <v>7981</v>
      </c>
      <c r="D1901" s="111">
        <v>2027.0</v>
      </c>
      <c r="E1901" s="111"/>
      <c r="F1901" s="111" t="s">
        <v>12399</v>
      </c>
      <c r="G1901" s="111" t="s">
        <v>12381</v>
      </c>
      <c r="H1901" s="111" t="s">
        <v>12230</v>
      </c>
      <c r="I1901" s="111" t="s">
        <v>12394</v>
      </c>
      <c r="J1901" s="111" t="s">
        <v>12296</v>
      </c>
      <c r="K1901" s="111" t="s">
        <v>30</v>
      </c>
      <c r="L1901" s="111"/>
      <c r="M1901" s="111"/>
      <c r="N1901" s="111"/>
      <c r="O1901" s="111"/>
      <c r="P1901" s="111">
        <v>1.0</v>
      </c>
      <c r="Q1901" s="111"/>
      <c r="R1901" s="111"/>
      <c r="S1901" s="111"/>
      <c r="T1901" s="111"/>
      <c r="U1901" s="111"/>
      <c r="V1901" s="111"/>
      <c r="W1901" s="111"/>
      <c r="X1901" s="111"/>
      <c r="Y1901" s="111"/>
      <c r="Z1901" s="111" t="s">
        <v>14837</v>
      </c>
      <c r="AA1901" s="126">
        <f>IF(Projects!$AI1901="Electrolysis",
AB1901*VLOOKUP(G1901,ElectrolysisConvF,3,FALSE),
"")</f>
        <v>327.3973896</v>
      </c>
      <c r="AB1901" s="125">
        <f t="shared" si="359"/>
        <v>72754.97547</v>
      </c>
      <c r="AC1901" s="125">
        <f>(700*0.45)*3/17/0.98</f>
        <v>56.72268908</v>
      </c>
      <c r="AD1901" s="125"/>
      <c r="AE1901" s="125">
        <f t="shared" si="358"/>
        <v>72754.97547</v>
      </c>
      <c r="AF1901" s="127" t="s">
        <v>14838</v>
      </c>
      <c r="AG1901" s="127">
        <v>46.2794322667486</v>
      </c>
      <c r="AH1901" s="127">
        <v>-119.272198629081</v>
      </c>
      <c r="AI1901" s="115" t="s">
        <v>12383</v>
      </c>
      <c r="AJ1901" s="116">
        <v>0.5</v>
      </c>
      <c r="AK1901" s="117"/>
      <c r="AL1901" s="117"/>
      <c r="AM1901" s="117"/>
      <c r="AN1901" s="117"/>
      <c r="AO1901" s="117"/>
    </row>
    <row r="1902" ht="34.5" customHeight="1">
      <c r="A1902" s="111">
        <v>2562.0</v>
      </c>
      <c r="B1902" s="111" t="s">
        <v>9897</v>
      </c>
      <c r="C1902" s="111" t="s">
        <v>8873</v>
      </c>
      <c r="D1902" s="111">
        <v>2024.0</v>
      </c>
      <c r="E1902" s="111"/>
      <c r="F1902" s="111" t="s">
        <v>12385</v>
      </c>
      <c r="G1902" s="111" t="s">
        <v>12226</v>
      </c>
      <c r="H1902" s="111"/>
      <c r="I1902" s="111" t="s">
        <v>12394</v>
      </c>
      <c r="J1902" s="111" t="s">
        <v>12291</v>
      </c>
      <c r="K1902" s="111" t="s">
        <v>30</v>
      </c>
      <c r="L1902" s="111"/>
      <c r="M1902" s="111"/>
      <c r="N1902" s="111"/>
      <c r="O1902" s="111"/>
      <c r="P1902" s="111"/>
      <c r="Q1902" s="111">
        <v>1.0</v>
      </c>
      <c r="R1902" s="111"/>
      <c r="S1902" s="111"/>
      <c r="T1902" s="111"/>
      <c r="U1902" s="111"/>
      <c r="V1902" s="111"/>
      <c r="W1902" s="111"/>
      <c r="X1902" s="111"/>
      <c r="Y1902" s="111"/>
      <c r="Z1902" s="111" t="s">
        <v>12835</v>
      </c>
      <c r="AA1902" s="126">
        <v>5.0</v>
      </c>
      <c r="AB1902" s="125">
        <f>IF(Projects!$AI1902="Electrolysis",
AA1902/VLOOKUP(G1902,ElectrolysisConvF,3,FALSE),
AC1902*10^6/(H2dens*HoursInYear))</f>
        <v>961.5384615</v>
      </c>
      <c r="AC1902" s="126">
        <f>AB1902*H2dens*HoursInYear/10^6</f>
        <v>0.7496538462</v>
      </c>
      <c r="AD1902" s="125"/>
      <c r="AE1902" s="125">
        <f t="shared" si="358"/>
        <v>961.5384615</v>
      </c>
      <c r="AF1902" s="127" t="s">
        <v>14839</v>
      </c>
      <c r="AG1902" s="127">
        <v>-22.97384909359</v>
      </c>
      <c r="AH1902" s="127">
        <v>14.5190665163872</v>
      </c>
      <c r="AI1902" s="115" t="s">
        <v>12383</v>
      </c>
      <c r="AJ1902" s="116">
        <v>0.3</v>
      </c>
      <c r="AK1902" s="117"/>
      <c r="AL1902" s="117"/>
      <c r="AM1902" s="117"/>
      <c r="AN1902" s="117"/>
      <c r="AO1902" s="117"/>
    </row>
    <row r="1903" ht="34.5" customHeight="1">
      <c r="A1903" s="111">
        <v>2563.0</v>
      </c>
      <c r="B1903" s="111" t="s">
        <v>9898</v>
      </c>
      <c r="C1903" s="111" t="s">
        <v>7994</v>
      </c>
      <c r="D1903" s="111">
        <v>2026.0</v>
      </c>
      <c r="E1903" s="111"/>
      <c r="F1903" s="111" t="s">
        <v>12399</v>
      </c>
      <c r="G1903" s="111" t="s">
        <v>12381</v>
      </c>
      <c r="H1903" s="111" t="s">
        <v>12230</v>
      </c>
      <c r="I1903" s="111" t="s">
        <v>12394</v>
      </c>
      <c r="J1903" s="111" t="s">
        <v>12296</v>
      </c>
      <c r="K1903" s="111" t="s">
        <v>12251</v>
      </c>
      <c r="L1903" s="111"/>
      <c r="M1903" s="111"/>
      <c r="N1903" s="111"/>
      <c r="O1903" s="111"/>
      <c r="P1903" s="111"/>
      <c r="Q1903" s="111">
        <v>1.0</v>
      </c>
      <c r="R1903" s="111"/>
      <c r="S1903" s="111"/>
      <c r="T1903" s="111"/>
      <c r="U1903" s="111"/>
      <c r="V1903" s="111"/>
      <c r="W1903" s="111">
        <v>1.0</v>
      </c>
      <c r="X1903" s="111"/>
      <c r="Y1903" s="111"/>
      <c r="Z1903" s="111" t="s">
        <v>14840</v>
      </c>
      <c r="AA1903" s="126">
        <f>IF(Projects!$AI1903="Electrolysis",
AB1903*VLOOKUP(G1903,ElectrolysisConvF,3,FALSE),
"")</f>
        <v>403.2419599</v>
      </c>
      <c r="AB1903" s="125">
        <f>AC1903/(H2dens*HoursInYear/10^6)</f>
        <v>89609.32443</v>
      </c>
      <c r="AC1903" s="126">
        <f>(68*0.045/0.73/0.12)/Projects!$AJ1903</f>
        <v>69.8630137</v>
      </c>
      <c r="AD1903" s="125"/>
      <c r="AE1903" s="125">
        <f t="shared" si="358"/>
        <v>89609.32443</v>
      </c>
      <c r="AF1903" s="127" t="s">
        <v>14841</v>
      </c>
      <c r="AG1903" s="127">
        <v>55.0090102393915</v>
      </c>
      <c r="AH1903" s="127">
        <v>11.9111668084083</v>
      </c>
      <c r="AI1903" s="115" t="s">
        <v>12383</v>
      </c>
      <c r="AJ1903" s="116">
        <v>0.5</v>
      </c>
      <c r="AK1903" s="117"/>
      <c r="AL1903" s="117"/>
      <c r="AM1903" s="117"/>
      <c r="AN1903" s="117"/>
      <c r="AO1903" s="117"/>
    </row>
    <row r="1904" ht="34.5" customHeight="1">
      <c r="A1904" s="111">
        <v>2564.0</v>
      </c>
      <c r="B1904" s="111" t="s">
        <v>9899</v>
      </c>
      <c r="C1904" s="111" t="s">
        <v>8021</v>
      </c>
      <c r="D1904" s="111">
        <v>2026.0</v>
      </c>
      <c r="E1904" s="111"/>
      <c r="F1904" s="111" t="s">
        <v>12399</v>
      </c>
      <c r="G1904" s="111" t="s">
        <v>12226</v>
      </c>
      <c r="H1904" s="111"/>
      <c r="I1904" s="111" t="s">
        <v>12406</v>
      </c>
      <c r="J1904" s="111"/>
      <c r="K1904" s="111" t="s">
        <v>174</v>
      </c>
      <c r="L1904" s="111"/>
      <c r="M1904" s="111">
        <v>1.0</v>
      </c>
      <c r="N1904" s="111"/>
      <c r="O1904" s="111"/>
      <c r="P1904" s="111"/>
      <c r="Q1904" s="111"/>
      <c r="R1904" s="111"/>
      <c r="S1904" s="111"/>
      <c r="T1904" s="111"/>
      <c r="U1904" s="111"/>
      <c r="V1904" s="111"/>
      <c r="W1904" s="111"/>
      <c r="X1904" s="111"/>
      <c r="Y1904" s="111"/>
      <c r="Z1904" s="111" t="s">
        <v>14842</v>
      </c>
      <c r="AA1904" s="125">
        <v>550.0</v>
      </c>
      <c r="AB1904" s="125">
        <f>IF(Projects!$AI1904="Electrolysis",
AA1904/VLOOKUP(G1904,ElectrolysisConvF,3,FALSE),
AC1904*10^6/(H2dens*HoursInYear))</f>
        <v>105769.2308</v>
      </c>
      <c r="AC1904" s="126">
        <f t="shared" ref="AC1904:AC1905" si="360">AB1904*H2dens*HoursInYear/10^6</f>
        <v>82.46192308</v>
      </c>
      <c r="AD1904" s="125"/>
      <c r="AE1904" s="125">
        <f t="shared" si="358"/>
        <v>105769.2308</v>
      </c>
      <c r="AF1904" s="127" t="s">
        <v>14843</v>
      </c>
      <c r="AG1904" s="127">
        <v>-27.4288441464941</v>
      </c>
      <c r="AH1904" s="127">
        <v>153.184843656717</v>
      </c>
      <c r="AI1904" s="115" t="s">
        <v>12383</v>
      </c>
      <c r="AJ1904" s="116">
        <v>0.57</v>
      </c>
      <c r="AK1904" s="117"/>
      <c r="AL1904" s="117"/>
      <c r="AM1904" s="117"/>
      <c r="AN1904" s="117"/>
      <c r="AO1904" s="117"/>
    </row>
    <row r="1905" ht="34.5" customHeight="1">
      <c r="A1905" s="111">
        <v>2565.0</v>
      </c>
      <c r="B1905" s="111" t="s">
        <v>9900</v>
      </c>
      <c r="C1905" s="111" t="s">
        <v>7981</v>
      </c>
      <c r="D1905" s="111">
        <v>2026.0</v>
      </c>
      <c r="E1905" s="111"/>
      <c r="F1905" s="111" t="s">
        <v>12393</v>
      </c>
      <c r="G1905" s="111" t="s">
        <v>12224</v>
      </c>
      <c r="H1905" s="111"/>
      <c r="I1905" s="111" t="s">
        <v>12406</v>
      </c>
      <c r="J1905" s="111"/>
      <c r="K1905" s="111" t="s">
        <v>30</v>
      </c>
      <c r="L1905" s="111"/>
      <c r="M1905" s="111"/>
      <c r="N1905" s="111"/>
      <c r="O1905" s="111"/>
      <c r="P1905" s="111"/>
      <c r="Q1905" s="111">
        <v>1.0</v>
      </c>
      <c r="R1905" s="111"/>
      <c r="S1905" s="111"/>
      <c r="T1905" s="111"/>
      <c r="U1905" s="111"/>
      <c r="V1905" s="111"/>
      <c r="W1905" s="111"/>
      <c r="X1905" s="111"/>
      <c r="Y1905" s="111"/>
      <c r="Z1905" s="111" t="s">
        <v>13497</v>
      </c>
      <c r="AA1905" s="124">
        <v>80.0</v>
      </c>
      <c r="AB1905" s="125">
        <f>IF(Projects!$AI1905="Electrolysis",
AA1905/VLOOKUP(G1905,ElectrolysisConvF,3,FALSE),
AC1905*10^6/(H2dens*HoursInYear))</f>
        <v>17391.30435</v>
      </c>
      <c r="AC1905" s="126">
        <f t="shared" si="360"/>
        <v>13.55895652</v>
      </c>
      <c r="AD1905" s="125"/>
      <c r="AE1905" s="125">
        <f t="shared" si="358"/>
        <v>17391.30435</v>
      </c>
      <c r="AF1905" s="127" t="s">
        <v>14844</v>
      </c>
      <c r="AG1905" s="127">
        <v>33.4485759351321</v>
      </c>
      <c r="AH1905" s="127">
        <v>-112.071492652816</v>
      </c>
      <c r="AI1905" s="115" t="s">
        <v>12383</v>
      </c>
      <c r="AJ1905" s="116">
        <v>0.57</v>
      </c>
      <c r="AK1905" s="117"/>
      <c r="AL1905" s="117"/>
      <c r="AM1905" s="117"/>
      <c r="AN1905" s="117"/>
      <c r="AO1905" s="117"/>
    </row>
    <row r="1906" ht="34.5" customHeight="1">
      <c r="A1906" s="111">
        <v>2566.0</v>
      </c>
      <c r="B1906" s="111" t="s">
        <v>9901</v>
      </c>
      <c r="C1906" s="111" t="s">
        <v>8590</v>
      </c>
      <c r="D1906" s="111"/>
      <c r="E1906" s="111"/>
      <c r="F1906" s="111" t="s">
        <v>12397</v>
      </c>
      <c r="G1906" s="111" t="s">
        <v>12381</v>
      </c>
      <c r="H1906" s="111" t="s">
        <v>12230</v>
      </c>
      <c r="I1906" s="111" t="s">
        <v>12394</v>
      </c>
      <c r="J1906" s="111" t="s">
        <v>12295</v>
      </c>
      <c r="K1906" s="111" t="s">
        <v>174</v>
      </c>
      <c r="L1906" s="111"/>
      <c r="M1906" s="111">
        <v>1.0</v>
      </c>
      <c r="N1906" s="111"/>
      <c r="O1906" s="111"/>
      <c r="P1906" s="111"/>
      <c r="Q1906" s="111"/>
      <c r="R1906" s="111"/>
      <c r="S1906" s="111"/>
      <c r="T1906" s="111"/>
      <c r="U1906" s="111"/>
      <c r="V1906" s="111"/>
      <c r="W1906" s="111"/>
      <c r="X1906" s="111"/>
      <c r="Y1906" s="111"/>
      <c r="Z1906" s="111" t="s">
        <v>14845</v>
      </c>
      <c r="AA1906" s="124">
        <f>IF(Projects!$AI1906="Electrolysis",
AB1906*VLOOKUP(G1906,ElectrolysisConvF,3,FALSE),
"")</f>
        <v>16161.30522</v>
      </c>
      <c r="AB1906" s="125">
        <f>AC1906/(H2dens*HoursInYear/10^6)</f>
        <v>3591401.16</v>
      </c>
      <c r="AC1906" s="125">
        <f>2800</f>
        <v>2800</v>
      </c>
      <c r="AD1906" s="125"/>
      <c r="AE1906" s="125">
        <f t="shared" si="358"/>
        <v>3591401.16</v>
      </c>
      <c r="AF1906" s="127" t="s">
        <v>14846</v>
      </c>
      <c r="AG1906" s="127">
        <v>-7.68217376662555</v>
      </c>
      <c r="AH1906" s="127">
        <v>-42.5222369705834</v>
      </c>
      <c r="AI1906" s="115" t="s">
        <v>12383</v>
      </c>
      <c r="AJ1906" s="116">
        <v>0.5</v>
      </c>
      <c r="AK1906" s="117"/>
      <c r="AL1906" s="117"/>
      <c r="AM1906" s="117"/>
      <c r="AN1906" s="117"/>
      <c r="AO1906" s="117"/>
    </row>
    <row r="1907" ht="34.5" customHeight="1">
      <c r="A1907" s="111">
        <v>2567.0</v>
      </c>
      <c r="B1907" s="111" t="s">
        <v>9902</v>
      </c>
      <c r="C1907" s="111" t="s">
        <v>8003</v>
      </c>
      <c r="D1907" s="111"/>
      <c r="E1907" s="111"/>
      <c r="F1907" s="111" t="s">
        <v>12397</v>
      </c>
      <c r="G1907" s="111" t="s">
        <v>12381</v>
      </c>
      <c r="H1907" s="111" t="s">
        <v>12230</v>
      </c>
      <c r="I1907" s="111" t="s">
        <v>12394</v>
      </c>
      <c r="J1907" s="111" t="s">
        <v>12296</v>
      </c>
      <c r="K1907" s="111" t="s">
        <v>30</v>
      </c>
      <c r="L1907" s="111"/>
      <c r="M1907" s="111"/>
      <c r="N1907" s="111"/>
      <c r="O1907" s="111">
        <v>1.0</v>
      </c>
      <c r="P1907" s="111"/>
      <c r="Q1907" s="111"/>
      <c r="R1907" s="111"/>
      <c r="S1907" s="111"/>
      <c r="T1907" s="111"/>
      <c r="U1907" s="111"/>
      <c r="V1907" s="111"/>
      <c r="W1907" s="111"/>
      <c r="X1907" s="111"/>
      <c r="Y1907" s="111"/>
      <c r="Z1907" s="111"/>
      <c r="AA1907" s="126"/>
      <c r="AB1907" s="125"/>
      <c r="AC1907" s="126"/>
      <c r="AD1907" s="125"/>
      <c r="AE1907" s="125" t="str">
        <f t="shared" si="358"/>
        <v/>
      </c>
      <c r="AF1907" s="127" t="s">
        <v>14847</v>
      </c>
      <c r="AG1907" s="127">
        <v>50.318944145324</v>
      </c>
      <c r="AH1907" s="127">
        <v>-66.0749429104739</v>
      </c>
      <c r="AI1907" s="115" t="s">
        <v>12383</v>
      </c>
      <c r="AJ1907" s="116">
        <v>0.5</v>
      </c>
      <c r="AK1907" s="117"/>
      <c r="AL1907" s="117"/>
      <c r="AM1907" s="117"/>
      <c r="AN1907" s="117"/>
      <c r="AO1907" s="117"/>
    </row>
    <row r="1908" ht="34.5" customHeight="1">
      <c r="A1908" s="111">
        <v>2568.0</v>
      </c>
      <c r="B1908" s="111" t="s">
        <v>9903</v>
      </c>
      <c r="C1908" s="111" t="s">
        <v>8578</v>
      </c>
      <c r="D1908" s="111">
        <v>2023.0</v>
      </c>
      <c r="E1908" s="111"/>
      <c r="F1908" s="111" t="s">
        <v>12385</v>
      </c>
      <c r="G1908" s="111" t="s">
        <v>12381</v>
      </c>
      <c r="H1908" s="111" t="s">
        <v>12230</v>
      </c>
      <c r="I1908" s="111" t="s">
        <v>12394</v>
      </c>
      <c r="J1908" s="111" t="s">
        <v>12295</v>
      </c>
      <c r="K1908" s="111" t="s">
        <v>30</v>
      </c>
      <c r="L1908" s="111"/>
      <c r="M1908" s="111"/>
      <c r="N1908" s="111"/>
      <c r="O1908" s="111"/>
      <c r="P1908" s="111"/>
      <c r="Q1908" s="111"/>
      <c r="R1908" s="111">
        <v>1.0</v>
      </c>
      <c r="S1908" s="111"/>
      <c r="T1908" s="111"/>
      <c r="U1908" s="111"/>
      <c r="V1908" s="111"/>
      <c r="W1908" s="111"/>
      <c r="X1908" s="111"/>
      <c r="Y1908" s="111"/>
      <c r="Z1908" s="111" t="s">
        <v>14848</v>
      </c>
      <c r="AA1908" s="126">
        <f>IF(Projects!$AI1908="Electrolysis",
AB1908*VLOOKUP(G1908,ElectrolysisConvF,3,FALSE),
"")</f>
        <v>0.2943666308</v>
      </c>
      <c r="AB1908" s="125">
        <f t="shared" ref="AB1908:AB1909" si="361">AC1908/(H2dens*HoursInYear/10^6)</f>
        <v>65.41480683</v>
      </c>
      <c r="AC1908" s="126">
        <f>51/1000</f>
        <v>0.051</v>
      </c>
      <c r="AD1908" s="125"/>
      <c r="AE1908" s="125">
        <f t="shared" si="358"/>
        <v>65.41480683</v>
      </c>
      <c r="AF1908" s="127" t="s">
        <v>14849</v>
      </c>
      <c r="AG1908" s="127">
        <v>-6.19422490707724</v>
      </c>
      <c r="AH1908" s="127">
        <v>106.820574273816</v>
      </c>
      <c r="AI1908" s="115" t="s">
        <v>12383</v>
      </c>
      <c r="AJ1908" s="116">
        <v>0.5</v>
      </c>
      <c r="AK1908" s="117"/>
      <c r="AL1908" s="117"/>
      <c r="AM1908" s="117"/>
      <c r="AN1908" s="117"/>
      <c r="AO1908" s="117"/>
    </row>
    <row r="1909" ht="34.5" customHeight="1">
      <c r="A1909" s="111">
        <v>2569.0</v>
      </c>
      <c r="B1909" s="111" t="s">
        <v>9904</v>
      </c>
      <c r="C1909" s="111" t="s">
        <v>7991</v>
      </c>
      <c r="D1909" s="111">
        <v>2028.0</v>
      </c>
      <c r="E1909" s="111"/>
      <c r="F1909" s="111" t="s">
        <v>12399</v>
      </c>
      <c r="G1909" s="111" t="s">
        <v>12235</v>
      </c>
      <c r="H1909" s="111" t="s">
        <v>12529</v>
      </c>
      <c r="I1909" s="111"/>
      <c r="J1909" s="111"/>
      <c r="K1909" s="111" t="s">
        <v>30</v>
      </c>
      <c r="L1909" s="111">
        <v>1.0</v>
      </c>
      <c r="M1909" s="111"/>
      <c r="N1909" s="111"/>
      <c r="O1909" s="111"/>
      <c r="P1909" s="111"/>
      <c r="Q1909" s="111"/>
      <c r="R1909" s="111"/>
      <c r="S1909" s="111"/>
      <c r="T1909" s="111"/>
      <c r="U1909" s="111"/>
      <c r="V1909" s="111"/>
      <c r="W1909" s="111"/>
      <c r="X1909" s="111"/>
      <c r="Y1909" s="111"/>
      <c r="Z1909" s="111" t="s">
        <v>14850</v>
      </c>
      <c r="AA1909" s="126" t="str">
        <f>IF(Projects!$AI1909="Electrolysis",
AB1909*VLOOKUP(G1909,ElectrolysisConvF,3,FALSE),
"")</f>
        <v/>
      </c>
      <c r="AB1909" s="125">
        <f t="shared" si="361"/>
        <v>295007.9524</v>
      </c>
      <c r="AC1909" s="126">
        <v>230.0</v>
      </c>
      <c r="AD1909" s="131">
        <f>1.9*10^6-AD89</f>
        <v>-13100000</v>
      </c>
      <c r="AE1909" s="125">
        <f t="shared" si="358"/>
        <v>-1642431.4</v>
      </c>
      <c r="AF1909" s="127" t="s">
        <v>14851</v>
      </c>
      <c r="AG1909" s="127">
        <v>53.277031209918</v>
      </c>
      <c r="AH1909" s="127">
        <v>-2.84186914778824</v>
      </c>
      <c r="AI1909" s="115" t="s">
        <v>12378</v>
      </c>
      <c r="AJ1909" s="116">
        <v>0.9</v>
      </c>
      <c r="AK1909" s="117"/>
      <c r="AL1909" s="117"/>
      <c r="AM1909" s="117"/>
      <c r="AN1909" s="117"/>
      <c r="AO1909" s="117"/>
    </row>
    <row r="1910" ht="34.5" customHeight="1">
      <c r="A1910" s="111">
        <v>2570.0</v>
      </c>
      <c r="B1910" s="111" t="s">
        <v>9905</v>
      </c>
      <c r="C1910" s="111" t="s">
        <v>8161</v>
      </c>
      <c r="D1910" s="111">
        <v>2030.0</v>
      </c>
      <c r="E1910" s="111"/>
      <c r="F1910" s="111" t="s">
        <v>12397</v>
      </c>
      <c r="G1910" s="111" t="s">
        <v>12381</v>
      </c>
      <c r="H1910" s="111" t="s">
        <v>12230</v>
      </c>
      <c r="I1910" s="111" t="s">
        <v>12759</v>
      </c>
      <c r="J1910" s="111" t="s">
        <v>12291</v>
      </c>
      <c r="K1910" s="111" t="s">
        <v>174</v>
      </c>
      <c r="L1910" s="111"/>
      <c r="M1910" s="111">
        <v>1.0</v>
      </c>
      <c r="N1910" s="111"/>
      <c r="O1910" s="111"/>
      <c r="P1910" s="111"/>
      <c r="Q1910" s="111"/>
      <c r="R1910" s="111"/>
      <c r="S1910" s="111"/>
      <c r="T1910" s="111"/>
      <c r="U1910" s="111"/>
      <c r="V1910" s="111"/>
      <c r="W1910" s="111"/>
      <c r="X1910" s="111"/>
      <c r="Y1910" s="111"/>
      <c r="Z1910" s="111" t="s">
        <v>14852</v>
      </c>
      <c r="AA1910" s="124">
        <v>700.0</v>
      </c>
      <c r="AB1910" s="125">
        <f>IF(Projects!$AI1910="Electrolysis",
AA1910/VLOOKUP(G1910,ElectrolysisConvF,3,FALSE),
AC1910*10^6/(H2dens*HoursInYear))</f>
        <v>155555.5556</v>
      </c>
      <c r="AC1910" s="126">
        <f>AB1910*H2dens*HoursInYear/10^6</f>
        <v>121.2773333</v>
      </c>
      <c r="AD1910" s="125"/>
      <c r="AE1910" s="125">
        <f t="shared" si="358"/>
        <v>155555.5556</v>
      </c>
      <c r="AF1910" s="127" t="s">
        <v>14853</v>
      </c>
      <c r="AG1910" s="127">
        <v>37.9588935688728</v>
      </c>
      <c r="AH1910" s="127">
        <v>-8.86007328888969</v>
      </c>
      <c r="AI1910" s="115" t="s">
        <v>12383</v>
      </c>
      <c r="AJ1910" s="116">
        <v>0.7</v>
      </c>
      <c r="AK1910" s="117"/>
      <c r="AL1910" s="117"/>
      <c r="AM1910" s="117"/>
      <c r="AN1910" s="117"/>
      <c r="AO1910" s="117"/>
    </row>
    <row r="1911" ht="34.5" customHeight="1">
      <c r="A1911" s="111">
        <v>2571.0</v>
      </c>
      <c r="B1911" s="111" t="s">
        <v>9906</v>
      </c>
      <c r="C1911" s="111" t="s">
        <v>8021</v>
      </c>
      <c r="D1911" s="111">
        <v>2028.0</v>
      </c>
      <c r="E1911" s="111"/>
      <c r="F1911" s="111" t="s">
        <v>12397</v>
      </c>
      <c r="G1911" s="111" t="s">
        <v>12381</v>
      </c>
      <c r="H1911" s="111" t="s">
        <v>12230</v>
      </c>
      <c r="I1911" s="111" t="s">
        <v>12394</v>
      </c>
      <c r="J1911" s="111" t="s">
        <v>12296</v>
      </c>
      <c r="K1911" s="111" t="s">
        <v>30</v>
      </c>
      <c r="L1911" s="111"/>
      <c r="M1911" s="111"/>
      <c r="N1911" s="111"/>
      <c r="O1911" s="111">
        <v>1.0</v>
      </c>
      <c r="P1911" s="111"/>
      <c r="Q1911" s="111"/>
      <c r="R1911" s="111"/>
      <c r="S1911" s="111"/>
      <c r="T1911" s="111"/>
      <c r="U1911" s="111"/>
      <c r="V1911" s="111"/>
      <c r="W1911" s="111"/>
      <c r="X1911" s="111"/>
      <c r="Y1911" s="111"/>
      <c r="Z1911" s="111" t="s">
        <v>14854</v>
      </c>
      <c r="AA1911" s="126">
        <f>IF(Projects!$AI1911="Electrolysis",
AB1911*VLOOKUP(G1911,ElectrolysisConvF,3,FALSE),
"")</f>
        <v>5.771894721</v>
      </c>
      <c r="AB1911" s="125">
        <f>AC1911/(H2dens*HoursInYear/10^6)</f>
        <v>1282.643271</v>
      </c>
      <c r="AC1911" s="126">
        <v>1.0</v>
      </c>
      <c r="AD1911" s="125"/>
      <c r="AE1911" s="125">
        <f t="shared" si="358"/>
        <v>1282.643271</v>
      </c>
      <c r="AF1911" s="127" t="s">
        <v>14855</v>
      </c>
      <c r="AG1911" s="127">
        <v>-31.2735574431355</v>
      </c>
      <c r="AH1911" s="127">
        <v>115.957761374424</v>
      </c>
      <c r="AI1911" s="115" t="s">
        <v>12383</v>
      </c>
      <c r="AJ1911" s="116">
        <v>0.5</v>
      </c>
      <c r="AK1911" s="117"/>
      <c r="AL1911" s="117"/>
      <c r="AM1911" s="117"/>
      <c r="AN1911" s="117"/>
      <c r="AO1911" s="117"/>
    </row>
    <row r="1912" ht="34.5" customHeight="1">
      <c r="A1912" s="111">
        <v>2572.0</v>
      </c>
      <c r="B1912" s="111" t="s">
        <v>9907</v>
      </c>
      <c r="C1912" s="111" t="s">
        <v>7971</v>
      </c>
      <c r="D1912" s="111">
        <v>2024.0</v>
      </c>
      <c r="E1912" s="111"/>
      <c r="F1912" s="111" t="s">
        <v>12385</v>
      </c>
      <c r="G1912" s="111" t="s">
        <v>12235</v>
      </c>
      <c r="H1912" s="111" t="s">
        <v>13160</v>
      </c>
      <c r="I1912" s="111"/>
      <c r="J1912" s="111"/>
      <c r="K1912" s="111" t="s">
        <v>30</v>
      </c>
      <c r="L1912" s="111"/>
      <c r="M1912" s="111"/>
      <c r="N1912" s="111"/>
      <c r="O1912" s="111"/>
      <c r="P1912" s="111"/>
      <c r="Q1912" s="111"/>
      <c r="R1912" s="111"/>
      <c r="S1912" s="111"/>
      <c r="T1912" s="111"/>
      <c r="U1912" s="111"/>
      <c r="V1912" s="111"/>
      <c r="W1912" s="111"/>
      <c r="X1912" s="111"/>
      <c r="Y1912" s="111"/>
      <c r="Z1912" s="111" t="s">
        <v>14630</v>
      </c>
      <c r="AA1912" s="126"/>
      <c r="AB1912" s="125">
        <f>IF(Projects!$AI1912="Electrolysis",
AA1912/VLOOKUP(G1912,ElectrolysisConvF,3,FALSE),
AC1912*10^6/(H2dens*HoursInYear))</f>
        <v>520.1831045</v>
      </c>
      <c r="AC1912" s="126">
        <f>(1/1000)*365/Projects!$AJ1912</f>
        <v>0.4055555556</v>
      </c>
      <c r="AD1912" s="125"/>
      <c r="AE1912" s="125">
        <f t="shared" si="358"/>
        <v>0</v>
      </c>
      <c r="AF1912" s="127" t="s">
        <v>14856</v>
      </c>
      <c r="AG1912" s="127">
        <v>60.5582877313865</v>
      </c>
      <c r="AH1912" s="127">
        <v>4.83767676960779</v>
      </c>
      <c r="AI1912" s="115" t="s">
        <v>12378</v>
      </c>
      <c r="AJ1912" s="116">
        <v>0.9</v>
      </c>
      <c r="AK1912" s="117"/>
      <c r="AL1912" s="117"/>
      <c r="AM1912" s="117"/>
      <c r="AN1912" s="117"/>
      <c r="AO1912" s="117"/>
    </row>
    <row r="1913" ht="34.5" customHeight="1">
      <c r="A1913" s="111">
        <v>2573.0</v>
      </c>
      <c r="B1913" s="111" t="s">
        <v>9908</v>
      </c>
      <c r="C1913" s="111" t="s">
        <v>7981</v>
      </c>
      <c r="D1913" s="111">
        <v>2030.0</v>
      </c>
      <c r="E1913" s="111"/>
      <c r="F1913" s="111" t="s">
        <v>12397</v>
      </c>
      <c r="G1913" s="111" t="s">
        <v>12235</v>
      </c>
      <c r="H1913" s="111" t="s">
        <v>13160</v>
      </c>
      <c r="I1913" s="111"/>
      <c r="J1913" s="111"/>
      <c r="K1913" s="111" t="s">
        <v>174</v>
      </c>
      <c r="L1913" s="111"/>
      <c r="M1913" s="111"/>
      <c r="N1913" s="111"/>
      <c r="O1913" s="111"/>
      <c r="P1913" s="111"/>
      <c r="Q1913" s="111">
        <v>1.0</v>
      </c>
      <c r="R1913" s="111"/>
      <c r="S1913" s="111"/>
      <c r="T1913" s="111"/>
      <c r="U1913" s="111"/>
      <c r="V1913" s="111"/>
      <c r="W1913" s="111"/>
      <c r="X1913" s="111"/>
      <c r="Y1913" s="111"/>
      <c r="Z1913" s="111" t="s">
        <v>14857</v>
      </c>
      <c r="AA1913" s="126"/>
      <c r="AB1913" s="125">
        <f>IF(Projects!$AI1913="Electrolysis",
AA1913/VLOOKUP(G1913,ElectrolysisConvF,3,FALSE),
AC1913*10^6/(H2dens*HoursInYear))</f>
        <v>461936.3522</v>
      </c>
      <c r="AC1913" s="125">
        <f>2000*3/17/0.98</f>
        <v>360.1440576</v>
      </c>
      <c r="AD1913" s="125"/>
      <c r="AE1913" s="125">
        <f t="shared" si="358"/>
        <v>0</v>
      </c>
      <c r="AF1913" s="127" t="s">
        <v>14858</v>
      </c>
      <c r="AG1913" s="127">
        <v>29.7942074112788</v>
      </c>
      <c r="AH1913" s="127">
        <v>-92.5736165020838</v>
      </c>
      <c r="AI1913" s="115" t="s">
        <v>12378</v>
      </c>
      <c r="AJ1913" s="116">
        <v>0.9</v>
      </c>
      <c r="AK1913" s="117"/>
      <c r="AL1913" s="117"/>
      <c r="AM1913" s="117"/>
      <c r="AN1913" s="117"/>
      <c r="AO1913" s="117"/>
    </row>
    <row r="1914" ht="34.5" customHeight="1">
      <c r="A1914" s="111">
        <v>2574.0</v>
      </c>
      <c r="B1914" s="111" t="s">
        <v>9909</v>
      </c>
      <c r="C1914" s="111" t="s">
        <v>8108</v>
      </c>
      <c r="D1914" s="111">
        <v>2027.0</v>
      </c>
      <c r="E1914" s="111"/>
      <c r="F1914" s="111" t="s">
        <v>12397</v>
      </c>
      <c r="G1914" s="111" t="s">
        <v>12381</v>
      </c>
      <c r="H1914" s="111" t="s">
        <v>12230</v>
      </c>
      <c r="I1914" s="111" t="s">
        <v>12394</v>
      </c>
      <c r="J1914" s="111" t="s">
        <v>12296</v>
      </c>
      <c r="K1914" s="111" t="s">
        <v>174</v>
      </c>
      <c r="L1914" s="111"/>
      <c r="M1914" s="111">
        <v>1.0</v>
      </c>
      <c r="N1914" s="111"/>
      <c r="O1914" s="111"/>
      <c r="P1914" s="111"/>
      <c r="Q1914" s="111"/>
      <c r="R1914" s="111"/>
      <c r="S1914" s="111"/>
      <c r="T1914" s="111"/>
      <c r="U1914" s="111"/>
      <c r="V1914" s="111"/>
      <c r="W1914" s="111"/>
      <c r="X1914" s="111"/>
      <c r="Y1914" s="111"/>
      <c r="Z1914" s="111" t="s">
        <v>14859</v>
      </c>
      <c r="AA1914" s="126">
        <f>IF(Projects!$AI1914="Electrolysis",
AB1914*VLOOKUP(G1914,ElectrolysisConvF,3,FALSE),
"")</f>
        <v>276.4689068</v>
      </c>
      <c r="AB1914" s="125">
        <f t="shared" ref="AB1914:AB1917" si="362">AC1914/(H2dens*HoursInYear/10^6)</f>
        <v>61437.53484</v>
      </c>
      <c r="AC1914" s="125">
        <f>(133*3/17/0.98)/Projects!$AJ1914</f>
        <v>47.89915966</v>
      </c>
      <c r="AD1914" s="125"/>
      <c r="AE1914" s="125">
        <f t="shared" si="358"/>
        <v>61437.53484</v>
      </c>
      <c r="AF1914" s="127" t="s">
        <v>14860</v>
      </c>
      <c r="AG1914" s="127">
        <v>23.0212054254069</v>
      </c>
      <c r="AH1914" s="127">
        <v>70.2124705737217</v>
      </c>
      <c r="AI1914" s="115" t="s">
        <v>12383</v>
      </c>
      <c r="AJ1914" s="116">
        <v>0.5</v>
      </c>
      <c r="AK1914" s="117"/>
      <c r="AL1914" s="117"/>
      <c r="AM1914" s="117"/>
      <c r="AN1914" s="117"/>
      <c r="AO1914" s="117"/>
    </row>
    <row r="1915" ht="34.5" customHeight="1">
      <c r="A1915" s="111">
        <v>2575.0</v>
      </c>
      <c r="B1915" s="111" t="s">
        <v>9910</v>
      </c>
      <c r="C1915" s="111" t="s">
        <v>8108</v>
      </c>
      <c r="D1915" s="111">
        <v>2025.0</v>
      </c>
      <c r="E1915" s="111"/>
      <c r="F1915" s="111" t="s">
        <v>12397</v>
      </c>
      <c r="G1915" s="111" t="s">
        <v>12381</v>
      </c>
      <c r="H1915" s="111" t="s">
        <v>12230</v>
      </c>
      <c r="I1915" s="111" t="s">
        <v>12394</v>
      </c>
      <c r="J1915" s="111" t="s">
        <v>12296</v>
      </c>
      <c r="K1915" s="111" t="s">
        <v>174</v>
      </c>
      <c r="L1915" s="111"/>
      <c r="M1915" s="111">
        <v>1.0</v>
      </c>
      <c r="N1915" s="111"/>
      <c r="O1915" s="111"/>
      <c r="P1915" s="111"/>
      <c r="Q1915" s="111"/>
      <c r="R1915" s="111"/>
      <c r="S1915" s="111"/>
      <c r="T1915" s="111"/>
      <c r="U1915" s="111"/>
      <c r="V1915" s="111"/>
      <c r="W1915" s="111"/>
      <c r="X1915" s="111"/>
      <c r="Y1915" s="111"/>
      <c r="Z1915" s="111" t="s">
        <v>14861</v>
      </c>
      <c r="AA1915" s="126">
        <f>IF(Projects!$AI1915="Electrolysis",
AB1915*VLOOKUP(G1915,ElectrolysisConvF,3,FALSE),
"")</f>
        <v>15.59035189</v>
      </c>
      <c r="AB1915" s="125">
        <f t="shared" si="362"/>
        <v>3464.522641</v>
      </c>
      <c r="AC1915" s="125">
        <f>(15*3/17/0.98)</f>
        <v>2.701080432</v>
      </c>
      <c r="AD1915" s="125"/>
      <c r="AE1915" s="125">
        <f t="shared" si="358"/>
        <v>3464.522641</v>
      </c>
      <c r="AF1915" s="127" t="s">
        <v>14862</v>
      </c>
      <c r="AG1915" s="127">
        <v>25.2190466216847</v>
      </c>
      <c r="AH1915" s="127">
        <v>75.8644713014465</v>
      </c>
      <c r="AI1915" s="115" t="s">
        <v>12383</v>
      </c>
      <c r="AJ1915" s="116">
        <v>0.5</v>
      </c>
      <c r="AK1915" s="117"/>
      <c r="AL1915" s="117"/>
      <c r="AM1915" s="117"/>
      <c r="AN1915" s="117"/>
      <c r="AO1915" s="117"/>
    </row>
    <row r="1916" ht="34.5" customHeight="1">
      <c r="A1916" s="111">
        <v>2576.0</v>
      </c>
      <c r="B1916" s="111" t="s">
        <v>9911</v>
      </c>
      <c r="C1916" s="111" t="s">
        <v>8240</v>
      </c>
      <c r="D1916" s="111"/>
      <c r="E1916" s="111"/>
      <c r="F1916" s="111" t="s">
        <v>12397</v>
      </c>
      <c r="G1916" s="111" t="s">
        <v>12235</v>
      </c>
      <c r="H1916" s="111" t="s">
        <v>14863</v>
      </c>
      <c r="I1916" s="111"/>
      <c r="J1916" s="111"/>
      <c r="K1916" s="111" t="s">
        <v>30</v>
      </c>
      <c r="L1916" s="111"/>
      <c r="M1916" s="111"/>
      <c r="N1916" s="111"/>
      <c r="O1916" s="111"/>
      <c r="P1916" s="111"/>
      <c r="Q1916" s="111"/>
      <c r="R1916" s="111"/>
      <c r="S1916" s="111"/>
      <c r="T1916" s="111"/>
      <c r="U1916" s="111"/>
      <c r="V1916" s="111"/>
      <c r="W1916" s="111"/>
      <c r="X1916" s="111"/>
      <c r="Y1916" s="111"/>
      <c r="Z1916" s="111" t="s">
        <v>14864</v>
      </c>
      <c r="AA1916" s="126"/>
      <c r="AB1916" s="125">
        <f t="shared" si="362"/>
        <v>2808.988764</v>
      </c>
      <c r="AC1916" s="126">
        <f>6/1000*365</f>
        <v>2.19</v>
      </c>
      <c r="AD1916" s="125"/>
      <c r="AE1916" s="125">
        <f t="shared" si="358"/>
        <v>0</v>
      </c>
      <c r="AF1916" s="127" t="s">
        <v>14865</v>
      </c>
      <c r="AG1916" s="127">
        <v>22.5257151417782</v>
      </c>
      <c r="AH1916" s="127">
        <v>54.007737440483</v>
      </c>
      <c r="AI1916" s="115" t="s">
        <v>12378</v>
      </c>
      <c r="AJ1916" s="116">
        <v>0.9</v>
      </c>
      <c r="AK1916" s="117"/>
      <c r="AL1916" s="117"/>
      <c r="AM1916" s="117"/>
      <c r="AN1916" s="117"/>
      <c r="AO1916" s="117"/>
    </row>
    <row r="1917" ht="34.5" customHeight="1">
      <c r="A1917" s="111">
        <v>2577.0</v>
      </c>
      <c r="B1917" s="111" t="s">
        <v>9912</v>
      </c>
      <c r="C1917" s="111" t="s">
        <v>8785</v>
      </c>
      <c r="D1917" s="111"/>
      <c r="E1917" s="111"/>
      <c r="F1917" s="111" t="s">
        <v>12397</v>
      </c>
      <c r="G1917" s="111" t="s">
        <v>12381</v>
      </c>
      <c r="H1917" s="111" t="s">
        <v>12230</v>
      </c>
      <c r="I1917" s="111" t="s">
        <v>12394</v>
      </c>
      <c r="J1917" s="111" t="s">
        <v>12295</v>
      </c>
      <c r="K1917" s="111" t="s">
        <v>174</v>
      </c>
      <c r="L1917" s="111"/>
      <c r="M1917" s="111">
        <v>1.0</v>
      </c>
      <c r="N1917" s="111"/>
      <c r="O1917" s="111"/>
      <c r="P1917" s="111"/>
      <c r="Q1917" s="111"/>
      <c r="R1917" s="111"/>
      <c r="S1917" s="111"/>
      <c r="T1917" s="111"/>
      <c r="U1917" s="111"/>
      <c r="V1917" s="111"/>
      <c r="W1917" s="111"/>
      <c r="X1917" s="111"/>
      <c r="Y1917" s="111"/>
      <c r="Z1917" s="111" t="s">
        <v>14406</v>
      </c>
      <c r="AA1917" s="126">
        <f>IF(Projects!$AI1917="Electrolysis",
AB1917*VLOOKUP(G1917,ElectrolysisConvF,3,FALSE),
"")</f>
        <v>2494.456302</v>
      </c>
      <c r="AB1917" s="125">
        <f t="shared" si="362"/>
        <v>554323.6226</v>
      </c>
      <c r="AC1917" s="126">
        <f>(1200*3/17/0.98)/Projects!$AJ1917</f>
        <v>432.1728691</v>
      </c>
      <c r="AD1917" s="125"/>
      <c r="AE1917" s="125">
        <f t="shared" si="358"/>
        <v>554323.6226</v>
      </c>
      <c r="AF1917" s="127" t="s">
        <v>14866</v>
      </c>
      <c r="AG1917" s="127">
        <v>29.673639376082</v>
      </c>
      <c r="AH1917" s="127">
        <v>32.3348108807118</v>
      </c>
      <c r="AI1917" s="115" t="s">
        <v>12383</v>
      </c>
      <c r="AJ1917" s="116">
        <v>0.5</v>
      </c>
      <c r="AK1917" s="117"/>
      <c r="AL1917" s="117"/>
      <c r="AM1917" s="117"/>
      <c r="AN1917" s="117"/>
      <c r="AO1917" s="117"/>
    </row>
    <row r="1918" ht="34.5" customHeight="1">
      <c r="A1918" s="111">
        <v>2578.0</v>
      </c>
      <c r="B1918" s="111" t="s">
        <v>9913</v>
      </c>
      <c r="C1918" s="111" t="s">
        <v>7987</v>
      </c>
      <c r="D1918" s="111">
        <v>2025.0</v>
      </c>
      <c r="E1918" s="111"/>
      <c r="F1918" s="111" t="s">
        <v>12399</v>
      </c>
      <c r="G1918" s="111" t="s">
        <v>12381</v>
      </c>
      <c r="H1918" s="111" t="s">
        <v>12230</v>
      </c>
      <c r="I1918" s="111" t="s">
        <v>12394</v>
      </c>
      <c r="J1918" s="111" t="s">
        <v>12292</v>
      </c>
      <c r="K1918" s="111" t="s">
        <v>30</v>
      </c>
      <c r="L1918" s="111"/>
      <c r="M1918" s="111"/>
      <c r="N1918" s="111"/>
      <c r="O1918" s="111"/>
      <c r="P1918" s="111"/>
      <c r="Q1918" s="111">
        <v>1.0</v>
      </c>
      <c r="R1918" s="111"/>
      <c r="S1918" s="111"/>
      <c r="T1918" s="111"/>
      <c r="U1918" s="111"/>
      <c r="V1918" s="111"/>
      <c r="W1918" s="111"/>
      <c r="X1918" s="111"/>
      <c r="Y1918" s="111"/>
      <c r="Z1918" s="111" t="s">
        <v>12835</v>
      </c>
      <c r="AA1918" s="126">
        <v>5.0</v>
      </c>
      <c r="AB1918" s="125">
        <f>IF(Projects!$AI1918="Electrolysis",
AA1918/VLOOKUP(G1918,ElectrolysisConvF,3,FALSE),
AC1918*10^6/(H2dens*HoursInYear))</f>
        <v>1111.111111</v>
      </c>
      <c r="AC1918" s="126">
        <f t="shared" ref="AC1918:AC1919" si="363">AB1918*H2dens*HoursInYear/10^6</f>
        <v>0.8662666667</v>
      </c>
      <c r="AD1918" s="125"/>
      <c r="AE1918" s="125">
        <f t="shared" si="358"/>
        <v>1111.111111</v>
      </c>
      <c r="AF1918" s="127" t="s">
        <v>14867</v>
      </c>
      <c r="AG1918" s="127">
        <v>50.6736576816798</v>
      </c>
      <c r="AH1918" s="127">
        <v>9.77469231889947</v>
      </c>
      <c r="AI1918" s="115" t="s">
        <v>12383</v>
      </c>
      <c r="AJ1918" s="116">
        <v>0.4</v>
      </c>
      <c r="AK1918" s="117"/>
      <c r="AL1918" s="117"/>
      <c r="AM1918" s="117"/>
      <c r="AN1918" s="117"/>
      <c r="AO1918" s="117"/>
    </row>
    <row r="1919" ht="34.5" customHeight="1">
      <c r="A1919" s="111">
        <v>2579.0</v>
      </c>
      <c r="B1919" s="111" t="s">
        <v>9914</v>
      </c>
      <c r="C1919" s="111" t="s">
        <v>8562</v>
      </c>
      <c r="D1919" s="111">
        <v>2028.0</v>
      </c>
      <c r="E1919" s="111"/>
      <c r="F1919" s="111" t="s">
        <v>12399</v>
      </c>
      <c r="G1919" s="111" t="s">
        <v>12381</v>
      </c>
      <c r="H1919" s="111" t="s">
        <v>12230</v>
      </c>
      <c r="I1919" s="111" t="s">
        <v>12394</v>
      </c>
      <c r="J1919" s="111" t="s">
        <v>12296</v>
      </c>
      <c r="K1919" s="111" t="s">
        <v>30</v>
      </c>
      <c r="L1919" s="111"/>
      <c r="M1919" s="111"/>
      <c r="N1919" s="111"/>
      <c r="O1919" s="111"/>
      <c r="P1919" s="111">
        <v>1.0</v>
      </c>
      <c r="Q1919" s="111"/>
      <c r="R1919" s="111"/>
      <c r="S1919" s="111"/>
      <c r="T1919" s="111"/>
      <c r="U1919" s="111"/>
      <c r="V1919" s="111"/>
      <c r="W1919" s="111"/>
      <c r="X1919" s="111"/>
      <c r="Y1919" s="111"/>
      <c r="Z1919" s="111" t="s">
        <v>13707</v>
      </c>
      <c r="AA1919" s="126">
        <v>8000.0</v>
      </c>
      <c r="AB1919" s="125">
        <f>IF(Projects!$AI1919="Electrolysis",
AA1919/VLOOKUP(G1919,ElectrolysisConvF,3,FALSE),
AC1919*10^6/(H2dens*HoursInYear))</f>
        <v>1777777.778</v>
      </c>
      <c r="AC1919" s="126">
        <f t="shared" si="363"/>
        <v>1386.026667</v>
      </c>
      <c r="AD1919" s="125"/>
      <c r="AE1919" s="125">
        <f t="shared" si="358"/>
        <v>1777777.778</v>
      </c>
      <c r="AF1919" s="127" t="s">
        <v>14868</v>
      </c>
      <c r="AG1919" s="127">
        <v>23.723174731851</v>
      </c>
      <c r="AH1919" s="127">
        <v>-15.934762435401</v>
      </c>
      <c r="AI1919" s="115" t="s">
        <v>12383</v>
      </c>
      <c r="AJ1919" s="116">
        <v>0.5</v>
      </c>
      <c r="AK1919" s="117"/>
      <c r="AL1919" s="117"/>
      <c r="AM1919" s="117"/>
      <c r="AN1919" s="117"/>
      <c r="AO1919" s="117"/>
    </row>
    <row r="1920" ht="34.5" customHeight="1">
      <c r="A1920" s="111">
        <v>2580.0</v>
      </c>
      <c r="B1920" s="111" t="s">
        <v>9915</v>
      </c>
      <c r="C1920" s="111" t="s">
        <v>8008</v>
      </c>
      <c r="D1920" s="111"/>
      <c r="E1920" s="111"/>
      <c r="F1920" s="111" t="s">
        <v>12397</v>
      </c>
      <c r="G1920" s="111" t="s">
        <v>12381</v>
      </c>
      <c r="H1920" s="111" t="s">
        <v>12230</v>
      </c>
      <c r="I1920" s="111" t="s">
        <v>12394</v>
      </c>
      <c r="J1920" s="111" t="s">
        <v>12293</v>
      </c>
      <c r="K1920" s="111" t="s">
        <v>30</v>
      </c>
      <c r="L1920" s="111"/>
      <c r="M1920" s="111"/>
      <c r="N1920" s="111"/>
      <c r="O1920" s="111"/>
      <c r="P1920" s="111"/>
      <c r="Q1920" s="111"/>
      <c r="R1920" s="111"/>
      <c r="S1920" s="111"/>
      <c r="T1920" s="111"/>
      <c r="U1920" s="111"/>
      <c r="V1920" s="111"/>
      <c r="W1920" s="111"/>
      <c r="X1920" s="111"/>
      <c r="Y1920" s="111"/>
      <c r="Z1920" s="111"/>
      <c r="AA1920" s="126">
        <f>IF(OR(G1920="ALK",G1920="PEM",G1920="SOEC",G1920="Other Electrolysis"),
AB1920*VLOOKUP(G1920,ElectrolysisConvF,3,FALSE),
"")</f>
        <v>0</v>
      </c>
      <c r="AB1920" s="125"/>
      <c r="AC1920" s="126"/>
      <c r="AD1920" s="125"/>
      <c r="AE1920" s="125" t="str">
        <f t="shared" si="358"/>
        <v/>
      </c>
      <c r="AF1920" s="127" t="s">
        <v>14869</v>
      </c>
      <c r="AG1920" s="127">
        <v>59.51297111931</v>
      </c>
      <c r="AH1920" s="127">
        <v>24.8209245595583</v>
      </c>
      <c r="AI1920" s="115" t="s">
        <v>12383</v>
      </c>
      <c r="AJ1920" s="116">
        <v>0.55</v>
      </c>
      <c r="AK1920" s="117"/>
      <c r="AL1920" s="117"/>
      <c r="AM1920" s="117"/>
      <c r="AN1920" s="117"/>
      <c r="AO1920" s="117"/>
    </row>
    <row r="1921" ht="34.5" customHeight="1">
      <c r="A1921" s="111">
        <v>2581.0</v>
      </c>
      <c r="B1921" s="111" t="s">
        <v>9916</v>
      </c>
      <c r="C1921" s="111" t="s">
        <v>8578</v>
      </c>
      <c r="D1921" s="111"/>
      <c r="E1921" s="111"/>
      <c r="F1921" s="111" t="s">
        <v>12397</v>
      </c>
      <c r="G1921" s="111" t="s">
        <v>12381</v>
      </c>
      <c r="H1921" s="111" t="s">
        <v>12230</v>
      </c>
      <c r="I1921" s="111" t="s">
        <v>12394</v>
      </c>
      <c r="J1921" s="111" t="s">
        <v>12296</v>
      </c>
      <c r="K1921" s="111" t="s">
        <v>30</v>
      </c>
      <c r="L1921" s="111"/>
      <c r="M1921" s="111"/>
      <c r="N1921" s="111"/>
      <c r="O1921" s="111"/>
      <c r="P1921" s="111"/>
      <c r="Q1921" s="111"/>
      <c r="R1921" s="111"/>
      <c r="S1921" s="111"/>
      <c r="T1921" s="111"/>
      <c r="U1921" s="111"/>
      <c r="V1921" s="111"/>
      <c r="W1921" s="111"/>
      <c r="X1921" s="111"/>
      <c r="Y1921" s="111"/>
      <c r="Z1921" s="111" t="s">
        <v>14870</v>
      </c>
      <c r="AA1921" s="126">
        <f>IF(Projects!$AI1921="Electrolysis",
AB1921*VLOOKUP(G1921,ElectrolysisConvF,3,FALSE),
"")</f>
        <v>577.1894721</v>
      </c>
      <c r="AB1921" s="125">
        <f>AC1921/(H2dens*HoursInYear/10^6)</f>
        <v>128264.3271</v>
      </c>
      <c r="AC1921" s="125">
        <v>100.0</v>
      </c>
      <c r="AD1921" s="125"/>
      <c r="AE1921" s="125">
        <f t="shared" si="358"/>
        <v>128264.3271</v>
      </c>
      <c r="AF1921" s="127" t="s">
        <v>14871</v>
      </c>
      <c r="AG1921" s="127">
        <v>0.0</v>
      </c>
      <c r="AH1921" s="127">
        <v>0.0</v>
      </c>
      <c r="AI1921" s="115" t="s">
        <v>12383</v>
      </c>
      <c r="AJ1921" s="116">
        <v>0.5</v>
      </c>
      <c r="AK1921" s="117"/>
      <c r="AL1921" s="117"/>
      <c r="AM1921" s="117"/>
      <c r="AN1921" s="117"/>
      <c r="AO1921" s="117"/>
    </row>
    <row r="1922" ht="34.5" customHeight="1">
      <c r="A1922" s="111">
        <v>2582.0</v>
      </c>
      <c r="B1922" s="111" t="s">
        <v>9917</v>
      </c>
      <c r="C1922" s="111" t="s">
        <v>8003</v>
      </c>
      <c r="D1922" s="111"/>
      <c r="E1922" s="111"/>
      <c r="F1922" s="111" t="s">
        <v>12397</v>
      </c>
      <c r="G1922" s="111" t="s">
        <v>12381</v>
      </c>
      <c r="H1922" s="111" t="s">
        <v>12230</v>
      </c>
      <c r="I1922" s="111" t="s">
        <v>12394</v>
      </c>
      <c r="J1922" s="111" t="s">
        <v>12294</v>
      </c>
      <c r="K1922" s="111" t="s">
        <v>174</v>
      </c>
      <c r="L1922" s="111"/>
      <c r="M1922" s="111"/>
      <c r="N1922" s="111"/>
      <c r="O1922" s="111"/>
      <c r="P1922" s="111"/>
      <c r="Q1922" s="111"/>
      <c r="R1922" s="111"/>
      <c r="S1922" s="111"/>
      <c r="T1922" s="111"/>
      <c r="U1922" s="111"/>
      <c r="V1922" s="111"/>
      <c r="W1922" s="111"/>
      <c r="X1922" s="111"/>
      <c r="Y1922" s="111"/>
      <c r="Z1922" s="111" t="s">
        <v>14872</v>
      </c>
      <c r="AA1922" s="126">
        <v>1000.0</v>
      </c>
      <c r="AB1922" s="125">
        <f>IF(Projects!$AI1922="Electrolysis",
AA1922/VLOOKUP(G1922,ElectrolysisConvF,3,FALSE),
AC1922*10^6/(H2dens*HoursInYear))</f>
        <v>222222.2222</v>
      </c>
      <c r="AC1922" s="126">
        <f t="shared" ref="AC1922:AC1924" si="364">AB1922*H2dens*HoursInYear/10^6</f>
        <v>173.2533333</v>
      </c>
      <c r="AD1922" s="125"/>
      <c r="AE1922" s="125">
        <f t="shared" si="358"/>
        <v>222222.2222</v>
      </c>
      <c r="AF1922" s="127" t="s">
        <v>14873</v>
      </c>
      <c r="AG1922" s="127">
        <v>53.91748549153</v>
      </c>
      <c r="AH1922" s="127">
        <v>-122.760666639468</v>
      </c>
      <c r="AI1922" s="115" t="s">
        <v>12383</v>
      </c>
      <c r="AJ1922" s="116">
        <v>0.8</v>
      </c>
      <c r="AK1922" s="117"/>
      <c r="AL1922" s="117"/>
      <c r="AM1922" s="117"/>
      <c r="AN1922" s="117"/>
      <c r="AO1922" s="117"/>
    </row>
    <row r="1923" ht="34.5" customHeight="1">
      <c r="A1923" s="111">
        <v>2583.0</v>
      </c>
      <c r="B1923" s="111" t="s">
        <v>9918</v>
      </c>
      <c r="C1923" s="111" t="s">
        <v>7977</v>
      </c>
      <c r="D1923" s="111">
        <v>2024.0</v>
      </c>
      <c r="E1923" s="111"/>
      <c r="F1923" s="111" t="s">
        <v>12393</v>
      </c>
      <c r="G1923" s="111" t="s">
        <v>12381</v>
      </c>
      <c r="H1923" s="111" t="s">
        <v>12230</v>
      </c>
      <c r="I1923" s="111" t="s">
        <v>12394</v>
      </c>
      <c r="J1923" s="111" t="s">
        <v>12296</v>
      </c>
      <c r="K1923" s="111" t="s">
        <v>30</v>
      </c>
      <c r="L1923" s="111"/>
      <c r="M1923" s="111"/>
      <c r="N1923" s="111"/>
      <c r="O1923" s="111"/>
      <c r="P1923" s="111"/>
      <c r="Q1923" s="111"/>
      <c r="R1923" s="111"/>
      <c r="S1923" s="111"/>
      <c r="T1923" s="111"/>
      <c r="U1923" s="111"/>
      <c r="V1923" s="111"/>
      <c r="W1923" s="111"/>
      <c r="X1923" s="111"/>
      <c r="Y1923" s="111"/>
      <c r="Z1923" s="111" t="s">
        <v>12395</v>
      </c>
      <c r="AA1923" s="126">
        <v>2.5</v>
      </c>
      <c r="AB1923" s="125">
        <f>IF(Projects!$AI1923="Electrolysis",
AA1923/VLOOKUP(G1923,ElectrolysisConvF,3,FALSE),
AC1923*10^6/(H2dens*HoursInYear))</f>
        <v>555.5555556</v>
      </c>
      <c r="AC1923" s="126">
        <f t="shared" si="364"/>
        <v>0.4331333333</v>
      </c>
      <c r="AD1923" s="125"/>
      <c r="AE1923" s="125">
        <f t="shared" si="358"/>
        <v>555.5555556</v>
      </c>
      <c r="AF1923" s="127" t="s">
        <v>14874</v>
      </c>
      <c r="AG1923" s="127">
        <v>41.817438704712</v>
      </c>
      <c r="AH1923" s="127">
        <v>-2.44460852225901</v>
      </c>
      <c r="AI1923" s="115" t="s">
        <v>12383</v>
      </c>
      <c r="AJ1923" s="116">
        <v>0.5</v>
      </c>
      <c r="AK1923" s="117"/>
      <c r="AL1923" s="117"/>
      <c r="AM1923" s="117"/>
      <c r="AN1923" s="117"/>
      <c r="AO1923" s="117"/>
    </row>
    <row r="1924" ht="34.5" customHeight="1">
      <c r="A1924" s="111">
        <v>2584.0</v>
      </c>
      <c r="B1924" s="111" t="s">
        <v>9919</v>
      </c>
      <c r="C1924" s="111" t="s">
        <v>8026</v>
      </c>
      <c r="D1924" s="111"/>
      <c r="E1924" s="111"/>
      <c r="F1924" s="111" t="s">
        <v>12397</v>
      </c>
      <c r="G1924" s="111" t="s">
        <v>12381</v>
      </c>
      <c r="H1924" s="111" t="s">
        <v>12230</v>
      </c>
      <c r="I1924" s="111" t="s">
        <v>12394</v>
      </c>
      <c r="J1924" s="111" t="s">
        <v>12296</v>
      </c>
      <c r="K1924" s="111" t="s">
        <v>12251</v>
      </c>
      <c r="L1924" s="111"/>
      <c r="M1924" s="111"/>
      <c r="N1924" s="111"/>
      <c r="O1924" s="111"/>
      <c r="P1924" s="111"/>
      <c r="Q1924" s="111"/>
      <c r="R1924" s="111"/>
      <c r="S1924" s="111"/>
      <c r="T1924" s="111"/>
      <c r="U1924" s="111"/>
      <c r="V1924" s="111"/>
      <c r="W1924" s="111">
        <v>1.0</v>
      </c>
      <c r="X1924" s="111"/>
      <c r="Y1924" s="111"/>
      <c r="Z1924" s="111" t="s">
        <v>13147</v>
      </c>
      <c r="AA1924" s="126">
        <v>3000.0</v>
      </c>
      <c r="AB1924" s="125">
        <f>IF(Projects!$AI1924="Electrolysis",
AA1924/VLOOKUP(G1924,ElectrolysisConvF,3,FALSE),
AC1924*10^6/(H2dens*HoursInYear))</f>
        <v>666666.6667</v>
      </c>
      <c r="AC1924" s="126">
        <f t="shared" si="364"/>
        <v>519.76</v>
      </c>
      <c r="AD1924" s="125"/>
      <c r="AE1924" s="125">
        <f t="shared" si="358"/>
        <v>666666.6667</v>
      </c>
      <c r="AF1924" s="127" t="s">
        <v>14875</v>
      </c>
      <c r="AG1924" s="127">
        <v>60.1643636896243</v>
      </c>
      <c r="AH1924" s="127">
        <v>20.0601246752107</v>
      </c>
      <c r="AI1924" s="115" t="s">
        <v>12383</v>
      </c>
      <c r="AJ1924" s="116">
        <v>0.5</v>
      </c>
      <c r="AK1924" s="117"/>
      <c r="AL1924" s="117"/>
      <c r="AM1924" s="117"/>
      <c r="AN1924" s="117"/>
      <c r="AO1924" s="117"/>
    </row>
    <row r="1925" ht="34.5" customHeight="1">
      <c r="A1925" s="111">
        <v>2585.0</v>
      </c>
      <c r="B1925" s="111" t="s">
        <v>9920</v>
      </c>
      <c r="C1925" s="111" t="s">
        <v>8365</v>
      </c>
      <c r="D1925" s="111">
        <v>2024.0</v>
      </c>
      <c r="E1925" s="111"/>
      <c r="F1925" s="111" t="s">
        <v>12418</v>
      </c>
      <c r="G1925" s="111" t="s">
        <v>12241</v>
      </c>
      <c r="H1925" s="111" t="s">
        <v>13021</v>
      </c>
      <c r="I1925" s="111"/>
      <c r="J1925" s="111"/>
      <c r="K1925" s="111" t="s">
        <v>30</v>
      </c>
      <c r="L1925" s="111"/>
      <c r="M1925" s="111"/>
      <c r="N1925" s="111"/>
      <c r="O1925" s="111">
        <v>1.0</v>
      </c>
      <c r="P1925" s="111"/>
      <c r="Q1925" s="111"/>
      <c r="R1925" s="111"/>
      <c r="S1925" s="111"/>
      <c r="T1925" s="111"/>
      <c r="U1925" s="111"/>
      <c r="V1925" s="111"/>
      <c r="W1925" s="111"/>
      <c r="X1925" s="111"/>
      <c r="Y1925" s="111"/>
      <c r="Z1925" s="111" t="s">
        <v>14876</v>
      </c>
      <c r="AA1925" s="126"/>
      <c r="AB1925" s="125">
        <f>AC1925/(H2dens*HoursInYear/10^6)</f>
        <v>56.17977528</v>
      </c>
      <c r="AC1925" s="146">
        <f>(5/10^6)*8760</f>
        <v>0.0438</v>
      </c>
      <c r="AD1925" s="125"/>
      <c r="AE1925" s="125">
        <f t="shared" si="358"/>
        <v>56.17977528</v>
      </c>
      <c r="AF1925" s="127" t="s">
        <v>14877</v>
      </c>
      <c r="AG1925" s="127">
        <v>-25.6551170753138</v>
      </c>
      <c r="AH1925" s="127">
        <v>27.2514737040933</v>
      </c>
      <c r="AI1925" s="115" t="s">
        <v>12241</v>
      </c>
      <c r="AJ1925" s="116">
        <v>0.9</v>
      </c>
      <c r="AK1925" s="117"/>
      <c r="AL1925" s="117"/>
      <c r="AM1925" s="117"/>
      <c r="AN1925" s="117"/>
      <c r="AO1925" s="117"/>
    </row>
    <row r="1926" ht="34.5" customHeight="1">
      <c r="A1926" s="111">
        <v>2586.0</v>
      </c>
      <c r="B1926" s="111" t="s">
        <v>9921</v>
      </c>
      <c r="C1926" s="111" t="s">
        <v>7987</v>
      </c>
      <c r="D1926" s="111">
        <v>2023.0</v>
      </c>
      <c r="E1926" s="111"/>
      <c r="F1926" s="111" t="s">
        <v>12385</v>
      </c>
      <c r="G1926" s="111" t="s">
        <v>13638</v>
      </c>
      <c r="H1926" s="111"/>
      <c r="I1926" s="111" t="s">
        <v>12287</v>
      </c>
      <c r="J1926" s="111" t="s">
        <v>12296</v>
      </c>
      <c r="K1926" s="111" t="s">
        <v>30</v>
      </c>
      <c r="L1926" s="111"/>
      <c r="M1926" s="111"/>
      <c r="N1926" s="111"/>
      <c r="O1926" s="111"/>
      <c r="P1926" s="111">
        <v>1.0</v>
      </c>
      <c r="Q1926" s="111"/>
      <c r="R1926" s="111"/>
      <c r="S1926" s="111"/>
      <c r="T1926" s="111"/>
      <c r="U1926" s="111"/>
      <c r="V1926" s="111"/>
      <c r="W1926" s="111"/>
      <c r="X1926" s="111"/>
      <c r="Y1926" s="111"/>
      <c r="Z1926" s="111" t="s">
        <v>14878</v>
      </c>
      <c r="AA1926" s="126">
        <f>120/1000</f>
        <v>0.12</v>
      </c>
      <c r="AB1926" s="125">
        <f>IF(Projects!$AI1926="Electrolysis",
AA1926/VLOOKUP(G1926,ElectrolysisConvF,3,FALSE),
AC1926*10^6/(H2dens*HoursInYear))</f>
        <v>26.66666667</v>
      </c>
      <c r="AC1926" s="126">
        <f t="shared" ref="AC1926:AC1927" si="365">AB1926*H2dens*HoursInYear/10^6</f>
        <v>0.0207904</v>
      </c>
      <c r="AD1926" s="125"/>
      <c r="AE1926" s="125">
        <f t="shared" si="358"/>
        <v>26.66666667</v>
      </c>
      <c r="AF1926" s="127" t="s">
        <v>14879</v>
      </c>
      <c r="AG1926" s="127">
        <v>52.2958654137676</v>
      </c>
      <c r="AH1926" s="127">
        <v>7.58637142327562</v>
      </c>
      <c r="AI1926" s="115" t="s">
        <v>12383</v>
      </c>
      <c r="AJ1926" s="116">
        <v>0.57</v>
      </c>
      <c r="AK1926" s="117"/>
      <c r="AL1926" s="117"/>
      <c r="AM1926" s="117"/>
      <c r="AN1926" s="117"/>
      <c r="AO1926" s="117"/>
    </row>
    <row r="1927" ht="34.5" customHeight="1">
      <c r="A1927" s="111">
        <v>2587.0</v>
      </c>
      <c r="B1927" s="111" t="s">
        <v>9922</v>
      </c>
      <c r="C1927" s="111" t="s">
        <v>7987</v>
      </c>
      <c r="D1927" s="111">
        <v>2026.0</v>
      </c>
      <c r="E1927" s="111"/>
      <c r="F1927" s="111" t="s">
        <v>12393</v>
      </c>
      <c r="G1927" s="111" t="s">
        <v>12381</v>
      </c>
      <c r="H1927" s="111" t="s">
        <v>12230</v>
      </c>
      <c r="I1927" s="111" t="s">
        <v>12394</v>
      </c>
      <c r="J1927" s="111" t="s">
        <v>12292</v>
      </c>
      <c r="K1927" s="111" t="s">
        <v>30</v>
      </c>
      <c r="L1927" s="111"/>
      <c r="M1927" s="111"/>
      <c r="N1927" s="111"/>
      <c r="O1927" s="111"/>
      <c r="P1927" s="111"/>
      <c r="Q1927" s="111">
        <v>1.0</v>
      </c>
      <c r="R1927" s="111"/>
      <c r="S1927" s="111"/>
      <c r="T1927" s="111"/>
      <c r="U1927" s="111"/>
      <c r="V1927" s="111"/>
      <c r="W1927" s="111"/>
      <c r="X1927" s="111"/>
      <c r="Y1927" s="111"/>
      <c r="Z1927" s="111" t="s">
        <v>12835</v>
      </c>
      <c r="AA1927" s="126">
        <v>5.0</v>
      </c>
      <c r="AB1927" s="125">
        <f>IF(Projects!$AI1927="Electrolysis",
AA1927/VLOOKUP(G1927,ElectrolysisConvF,3,FALSE),
AC1927*10^6/(H2dens*HoursInYear))</f>
        <v>1111.111111</v>
      </c>
      <c r="AC1927" s="126">
        <f t="shared" si="365"/>
        <v>0.8662666667</v>
      </c>
      <c r="AD1927" s="125"/>
      <c r="AE1927" s="125">
        <f t="shared" si="358"/>
        <v>1111.111111</v>
      </c>
      <c r="AF1927" s="127" t="s">
        <v>14880</v>
      </c>
      <c r="AG1927" s="127">
        <v>50.9881650612229</v>
      </c>
      <c r="AH1927" s="127">
        <v>6.57199701319871</v>
      </c>
      <c r="AI1927" s="115" t="s">
        <v>12383</v>
      </c>
      <c r="AJ1927" s="116">
        <v>0.4</v>
      </c>
      <c r="AK1927" s="117"/>
      <c r="AL1927" s="117"/>
      <c r="AM1927" s="117"/>
      <c r="AN1927" s="117"/>
      <c r="AO1927" s="117"/>
    </row>
    <row r="1928" ht="34.5" customHeight="1">
      <c r="A1928" s="111">
        <v>2588.0</v>
      </c>
      <c r="B1928" s="111" t="s">
        <v>9923</v>
      </c>
      <c r="C1928" s="111" t="s">
        <v>8117</v>
      </c>
      <c r="D1928" s="111"/>
      <c r="E1928" s="111"/>
      <c r="F1928" s="111" t="s">
        <v>12399</v>
      </c>
      <c r="G1928" s="111" t="s">
        <v>12226</v>
      </c>
      <c r="H1928" s="111"/>
      <c r="I1928" s="111" t="s">
        <v>12394</v>
      </c>
      <c r="J1928" s="111" t="s">
        <v>12292</v>
      </c>
      <c r="K1928" s="111" t="s">
        <v>30</v>
      </c>
      <c r="L1928" s="111"/>
      <c r="M1928" s="111"/>
      <c r="N1928" s="111"/>
      <c r="O1928" s="111"/>
      <c r="P1928" s="111"/>
      <c r="Q1928" s="111">
        <v>1.0</v>
      </c>
      <c r="R1928" s="111">
        <v>1.0</v>
      </c>
      <c r="S1928" s="111"/>
      <c r="T1928" s="111"/>
      <c r="U1928" s="111"/>
      <c r="V1928" s="111"/>
      <c r="W1928" s="111"/>
      <c r="X1928" s="111"/>
      <c r="Y1928" s="111"/>
      <c r="Z1928" s="111" t="s">
        <v>14881</v>
      </c>
      <c r="AA1928" s="126">
        <f>IF(Projects!$AI1928="Electrolysis",
AB1928*VLOOKUP(G1928,ElectrolysisConvF,3,FALSE),
"")</f>
        <v>90.04155764</v>
      </c>
      <c r="AB1928" s="125">
        <f>AC1928/(H2dens*HoursInYear/10^6)</f>
        <v>17315.68416</v>
      </c>
      <c r="AC1928" s="126">
        <v>13.5</v>
      </c>
      <c r="AD1928" s="125"/>
      <c r="AE1928" s="125">
        <f t="shared" si="358"/>
        <v>17315.68416</v>
      </c>
      <c r="AF1928" s="127" t="s">
        <v>14882</v>
      </c>
      <c r="AG1928" s="127">
        <v>35.0119280766485</v>
      </c>
      <c r="AH1928" s="127">
        <v>26.1367750384861</v>
      </c>
      <c r="AI1928" s="115" t="s">
        <v>12383</v>
      </c>
      <c r="AJ1928" s="116">
        <v>0.4</v>
      </c>
      <c r="AK1928" s="117"/>
      <c r="AL1928" s="117"/>
      <c r="AM1928" s="117"/>
      <c r="AN1928" s="117"/>
      <c r="AO1928" s="117"/>
    </row>
    <row r="1929" ht="34.5" customHeight="1">
      <c r="A1929" s="111">
        <v>2589.0</v>
      </c>
      <c r="B1929" s="111" t="s">
        <v>9924</v>
      </c>
      <c r="C1929" s="111" t="s">
        <v>7967</v>
      </c>
      <c r="D1929" s="111">
        <v>2025.0</v>
      </c>
      <c r="E1929" s="111"/>
      <c r="F1929" s="111" t="s">
        <v>12399</v>
      </c>
      <c r="G1929" s="111" t="s">
        <v>12381</v>
      </c>
      <c r="H1929" s="111" t="s">
        <v>12230</v>
      </c>
      <c r="I1929" s="111" t="s">
        <v>12394</v>
      </c>
      <c r="J1929" s="111" t="s">
        <v>12292</v>
      </c>
      <c r="K1929" s="111" t="s">
        <v>30</v>
      </c>
      <c r="L1929" s="111"/>
      <c r="M1929" s="111"/>
      <c r="N1929" s="111"/>
      <c r="O1929" s="111"/>
      <c r="P1929" s="111">
        <v>1.0</v>
      </c>
      <c r="Q1929" s="111"/>
      <c r="R1929" s="111"/>
      <c r="S1929" s="111"/>
      <c r="T1929" s="111"/>
      <c r="U1929" s="111"/>
      <c r="V1929" s="111"/>
      <c r="W1929" s="111"/>
      <c r="X1929" s="111"/>
      <c r="Y1929" s="111"/>
      <c r="Z1929" s="111" t="s">
        <v>12589</v>
      </c>
      <c r="AA1929" s="124">
        <v>20.0</v>
      </c>
      <c r="AB1929" s="125">
        <f>IF(Projects!$AI1929="Electrolysis",
AA1929/VLOOKUP(G1929,ElectrolysisConvF,3,FALSE),
AC1929*10^6/(H2dens*HoursInYear))</f>
        <v>4444.444444</v>
      </c>
      <c r="AC1929" s="126">
        <f>AB1929*H2dens*HoursInYear/10^6</f>
        <v>3.465066667</v>
      </c>
      <c r="AD1929" s="125"/>
      <c r="AE1929" s="125">
        <f t="shared" si="358"/>
        <v>4444.444444</v>
      </c>
      <c r="AF1929" s="127" t="s">
        <v>14883</v>
      </c>
      <c r="AG1929" s="127">
        <v>53.3344145029669</v>
      </c>
      <c r="AH1929" s="127">
        <v>6.92135994987017</v>
      </c>
      <c r="AI1929" s="115" t="s">
        <v>12383</v>
      </c>
      <c r="AJ1929" s="116">
        <v>0.4</v>
      </c>
      <c r="AK1929" s="117"/>
      <c r="AL1929" s="117"/>
      <c r="AM1929" s="117"/>
      <c r="AN1929" s="117"/>
      <c r="AO1929" s="117"/>
    </row>
    <row r="1930" ht="34.5" customHeight="1">
      <c r="A1930" s="111">
        <v>2590.0</v>
      </c>
      <c r="B1930" s="111" t="s">
        <v>9925</v>
      </c>
      <c r="C1930" s="111" t="s">
        <v>8003</v>
      </c>
      <c r="D1930" s="111">
        <v>2024.0</v>
      </c>
      <c r="E1930" s="111"/>
      <c r="F1930" s="111" t="s">
        <v>12418</v>
      </c>
      <c r="G1930" s="111" t="s">
        <v>12381</v>
      </c>
      <c r="H1930" s="111" t="s">
        <v>12230</v>
      </c>
      <c r="I1930" s="111" t="s">
        <v>12394</v>
      </c>
      <c r="J1930" s="111" t="s">
        <v>12296</v>
      </c>
      <c r="K1930" s="111" t="s">
        <v>12481</v>
      </c>
      <c r="L1930" s="111"/>
      <c r="M1930" s="111"/>
      <c r="N1930" s="111"/>
      <c r="O1930" s="111"/>
      <c r="P1930" s="111">
        <v>1.0</v>
      </c>
      <c r="Q1930" s="111">
        <v>1.0</v>
      </c>
      <c r="R1930" s="111"/>
      <c r="S1930" s="111"/>
      <c r="T1930" s="111"/>
      <c r="U1930" s="111"/>
      <c r="V1930" s="111"/>
      <c r="W1930" s="111"/>
      <c r="X1930" s="111"/>
      <c r="Y1930" s="111"/>
      <c r="Z1930" s="111"/>
      <c r="AA1930" s="126">
        <f>IF(OR(G1930="ALK",G1930="PEM",G1930="SOEC",G1930="Other Electrolysis"),
AB1930*VLOOKUP(G1930,ElectrolysisConvF,3,FALSE),
"")</f>
        <v>0</v>
      </c>
      <c r="AB1930" s="125"/>
      <c r="AC1930" s="126"/>
      <c r="AD1930" s="125"/>
      <c r="AE1930" s="125" t="str">
        <f t="shared" si="358"/>
        <v/>
      </c>
      <c r="AF1930" s="127" t="s">
        <v>14884</v>
      </c>
      <c r="AG1930" s="127">
        <v>56.6498373497339</v>
      </c>
      <c r="AH1930" s="127">
        <v>-76.4074312358329</v>
      </c>
      <c r="AI1930" s="115" t="s">
        <v>12383</v>
      </c>
      <c r="AJ1930" s="116">
        <v>0.5</v>
      </c>
      <c r="AK1930" s="117"/>
      <c r="AL1930" s="117"/>
      <c r="AM1930" s="117"/>
      <c r="AN1930" s="117"/>
      <c r="AO1930" s="117"/>
    </row>
    <row r="1931" ht="34.5" customHeight="1">
      <c r="A1931" s="111">
        <v>2591.0</v>
      </c>
      <c r="B1931" s="111" t="s">
        <v>9926</v>
      </c>
      <c r="C1931" s="111" t="s">
        <v>8011</v>
      </c>
      <c r="D1931" s="111">
        <v>2025.0</v>
      </c>
      <c r="E1931" s="111"/>
      <c r="F1931" s="111" t="s">
        <v>12399</v>
      </c>
      <c r="G1931" s="111" t="s">
        <v>12381</v>
      </c>
      <c r="H1931" s="111" t="s">
        <v>12230</v>
      </c>
      <c r="I1931" s="111" t="s">
        <v>12394</v>
      </c>
      <c r="J1931" s="111" t="s">
        <v>12296</v>
      </c>
      <c r="K1931" s="111" t="s">
        <v>30</v>
      </c>
      <c r="L1931" s="111"/>
      <c r="M1931" s="111"/>
      <c r="N1931" s="111"/>
      <c r="O1931" s="111"/>
      <c r="P1931" s="111"/>
      <c r="Q1931" s="111">
        <v>1.0</v>
      </c>
      <c r="R1931" s="111"/>
      <c r="S1931" s="111"/>
      <c r="T1931" s="111"/>
      <c r="U1931" s="111"/>
      <c r="V1931" s="111"/>
      <c r="W1931" s="111"/>
      <c r="X1931" s="111"/>
      <c r="Y1931" s="111"/>
      <c r="Z1931" s="111" t="s">
        <v>14885</v>
      </c>
      <c r="AA1931" s="126">
        <v>5.0</v>
      </c>
      <c r="AB1931" s="125">
        <f>IF(Projects!$AI1931="Electrolysis",
AA1931/VLOOKUP(G1931,ElectrolysisConvF,3,FALSE),
AC1931*10^6/(H2dens*HoursInYear))</f>
        <v>1111.111111</v>
      </c>
      <c r="AC1931" s="126">
        <f t="shared" ref="AC1931:AC1932" si="366">AB1931*H2dens*HoursInYear/10^6</f>
        <v>0.8662666667</v>
      </c>
      <c r="AD1931" s="125"/>
      <c r="AE1931" s="125">
        <f t="shared" si="358"/>
        <v>1111.111111</v>
      </c>
      <c r="AF1931" s="127" t="s">
        <v>14886</v>
      </c>
      <c r="AG1931" s="127">
        <v>45.3710126340364</v>
      </c>
      <c r="AH1931" s="127">
        <v>5.99273404556225</v>
      </c>
      <c r="AI1931" s="115" t="s">
        <v>12383</v>
      </c>
      <c r="AJ1931" s="116">
        <v>0.5</v>
      </c>
      <c r="AK1931" s="117"/>
      <c r="AL1931" s="117"/>
      <c r="AM1931" s="117"/>
      <c r="AN1931" s="117"/>
      <c r="AO1931" s="117"/>
    </row>
    <row r="1932" ht="34.5" customHeight="1">
      <c r="A1932" s="111">
        <v>2592.0</v>
      </c>
      <c r="B1932" s="111" t="s">
        <v>9927</v>
      </c>
      <c r="C1932" s="111" t="s">
        <v>8873</v>
      </c>
      <c r="D1932" s="111">
        <v>2024.0</v>
      </c>
      <c r="E1932" s="111"/>
      <c r="F1932" s="111" t="s">
        <v>12393</v>
      </c>
      <c r="G1932" s="111" t="s">
        <v>12224</v>
      </c>
      <c r="H1932" s="111" t="s">
        <v>12230</v>
      </c>
      <c r="I1932" s="111" t="s">
        <v>12394</v>
      </c>
      <c r="J1932" s="111" t="s">
        <v>12291</v>
      </c>
      <c r="K1932" s="111" t="s">
        <v>30</v>
      </c>
      <c r="L1932" s="111"/>
      <c r="M1932" s="111"/>
      <c r="N1932" s="111"/>
      <c r="O1932" s="111">
        <v>1.0</v>
      </c>
      <c r="P1932" s="111"/>
      <c r="Q1932" s="111"/>
      <c r="R1932" s="111"/>
      <c r="S1932" s="111"/>
      <c r="T1932" s="111"/>
      <c r="U1932" s="111"/>
      <c r="V1932" s="111"/>
      <c r="W1932" s="111"/>
      <c r="X1932" s="111"/>
      <c r="Y1932" s="111"/>
      <c r="Z1932" s="111" t="s">
        <v>14887</v>
      </c>
      <c r="AA1932" s="126">
        <v>12.0</v>
      </c>
      <c r="AB1932" s="125">
        <f>IF(Projects!$AI1932="Electrolysis",
AA1932/VLOOKUP(G1932,ElectrolysisConvF,3,FALSE),
AC1932*10^6/(H2dens*HoursInYear))</f>
        <v>2608.695652</v>
      </c>
      <c r="AC1932" s="126">
        <f t="shared" si="366"/>
        <v>2.033843478</v>
      </c>
      <c r="AD1932" s="125"/>
      <c r="AE1932" s="125">
        <f t="shared" si="358"/>
        <v>2608.695652</v>
      </c>
      <c r="AF1932" s="127" t="s">
        <v>14888</v>
      </c>
      <c r="AG1932" s="127">
        <v>-18.6212832033066</v>
      </c>
      <c r="AH1932" s="127">
        <v>17.1691348270418</v>
      </c>
      <c r="AI1932" s="115" t="s">
        <v>12383</v>
      </c>
      <c r="AJ1932" s="116">
        <v>0.3</v>
      </c>
      <c r="AK1932" s="117"/>
      <c r="AL1932" s="117"/>
      <c r="AM1932" s="117"/>
      <c r="AN1932" s="117"/>
      <c r="AO1932" s="117"/>
    </row>
    <row r="1933" ht="34.5" customHeight="1">
      <c r="A1933" s="111">
        <v>2593.0</v>
      </c>
      <c r="B1933" s="111" t="s">
        <v>9928</v>
      </c>
      <c r="C1933" s="111" t="s">
        <v>8873</v>
      </c>
      <c r="D1933" s="111">
        <v>2026.0</v>
      </c>
      <c r="E1933" s="111"/>
      <c r="F1933" s="111" t="s">
        <v>12399</v>
      </c>
      <c r="G1933" s="111" t="s">
        <v>12381</v>
      </c>
      <c r="H1933" s="111" t="s">
        <v>12230</v>
      </c>
      <c r="I1933" s="111" t="s">
        <v>12394</v>
      </c>
      <c r="J1933" s="111" t="s">
        <v>12295</v>
      </c>
      <c r="K1933" s="111" t="s">
        <v>30</v>
      </c>
      <c r="L1933" s="111"/>
      <c r="M1933" s="111"/>
      <c r="N1933" s="111"/>
      <c r="O1933" s="111">
        <v>1.0</v>
      </c>
      <c r="P1933" s="111"/>
      <c r="Q1933" s="111"/>
      <c r="R1933" s="111"/>
      <c r="S1933" s="111"/>
      <c r="T1933" s="111"/>
      <c r="U1933" s="111"/>
      <c r="V1933" s="111"/>
      <c r="W1933" s="111"/>
      <c r="X1933" s="111"/>
      <c r="Y1933" s="111"/>
      <c r="Z1933" s="111"/>
      <c r="AA1933" s="126"/>
      <c r="AB1933" s="125"/>
      <c r="AC1933" s="126"/>
      <c r="AD1933" s="125"/>
      <c r="AE1933" s="125" t="str">
        <f t="shared" si="358"/>
        <v/>
      </c>
      <c r="AF1933" s="127" t="s">
        <v>14888</v>
      </c>
      <c r="AG1933" s="127">
        <v>-18.6212832033066</v>
      </c>
      <c r="AH1933" s="127">
        <v>17.1691348270418</v>
      </c>
      <c r="AI1933" s="115" t="s">
        <v>12383</v>
      </c>
      <c r="AJ1933" s="116">
        <v>0.5</v>
      </c>
      <c r="AK1933" s="117"/>
      <c r="AL1933" s="117"/>
      <c r="AM1933" s="117"/>
      <c r="AN1933" s="117"/>
      <c r="AO1933" s="117"/>
    </row>
    <row r="1934" ht="34.5" customHeight="1">
      <c r="A1934" s="111">
        <v>2594.0</v>
      </c>
      <c r="B1934" s="111" t="s">
        <v>9929</v>
      </c>
      <c r="C1934" s="111" t="s">
        <v>7987</v>
      </c>
      <c r="D1934" s="111">
        <v>2026.0</v>
      </c>
      <c r="E1934" s="111"/>
      <c r="F1934" s="111" t="s">
        <v>12399</v>
      </c>
      <c r="G1934" s="111" t="s">
        <v>12381</v>
      </c>
      <c r="H1934" s="111" t="s">
        <v>12230</v>
      </c>
      <c r="I1934" s="111" t="s">
        <v>12394</v>
      </c>
      <c r="J1934" s="111" t="s">
        <v>12296</v>
      </c>
      <c r="K1934" s="111" t="s">
        <v>30</v>
      </c>
      <c r="L1934" s="111">
        <v>1.0</v>
      </c>
      <c r="M1934" s="111"/>
      <c r="N1934" s="111">
        <v>1.0</v>
      </c>
      <c r="O1934" s="111"/>
      <c r="P1934" s="111"/>
      <c r="Q1934" s="111"/>
      <c r="R1934" s="111"/>
      <c r="S1934" s="111"/>
      <c r="T1934" s="111"/>
      <c r="U1934" s="111"/>
      <c r="V1934" s="111"/>
      <c r="W1934" s="111"/>
      <c r="X1934" s="111"/>
      <c r="Y1934" s="111"/>
      <c r="Z1934" s="111" t="s">
        <v>13069</v>
      </c>
      <c r="AA1934" s="126">
        <v>500.0</v>
      </c>
      <c r="AB1934" s="125">
        <f>IF(Projects!$AI1934="Electrolysis",
AA1934/VLOOKUP(G1934,ElectrolysisConvF,3,FALSE),
AC1934*10^6/(H2dens*HoursInYear))</f>
        <v>111111.1111</v>
      </c>
      <c r="AC1934" s="126">
        <f t="shared" ref="AC1934:AC1935" si="367">AB1934*H2dens*HoursInYear/10^6</f>
        <v>86.62666667</v>
      </c>
      <c r="AD1934" s="125"/>
      <c r="AE1934" s="125">
        <f t="shared" si="358"/>
        <v>111111.1111</v>
      </c>
      <c r="AF1934" s="127" t="s">
        <v>14889</v>
      </c>
      <c r="AG1934" s="127">
        <v>54.1903872939082</v>
      </c>
      <c r="AH1934" s="127">
        <v>9.10862940059004</v>
      </c>
      <c r="AI1934" s="115" t="s">
        <v>12383</v>
      </c>
      <c r="AJ1934" s="116">
        <v>0.5</v>
      </c>
      <c r="AK1934" s="117"/>
      <c r="AL1934" s="117"/>
      <c r="AM1934" s="117"/>
      <c r="AN1934" s="117"/>
      <c r="AO1934" s="117"/>
    </row>
    <row r="1935" ht="34.5" customHeight="1">
      <c r="A1935" s="111">
        <v>2595.0</v>
      </c>
      <c r="B1935" s="111" t="s">
        <v>9930</v>
      </c>
      <c r="C1935" s="111" t="s">
        <v>8021</v>
      </c>
      <c r="D1935" s="111">
        <v>2025.0</v>
      </c>
      <c r="E1935" s="111"/>
      <c r="F1935" s="111" t="s">
        <v>12393</v>
      </c>
      <c r="G1935" s="111" t="s">
        <v>12226</v>
      </c>
      <c r="H1935" s="111"/>
      <c r="I1935" s="111" t="s">
        <v>12394</v>
      </c>
      <c r="J1935" s="111" t="s">
        <v>12295</v>
      </c>
      <c r="K1935" s="111" t="s">
        <v>30</v>
      </c>
      <c r="L1935" s="111"/>
      <c r="M1935" s="111"/>
      <c r="N1935" s="111"/>
      <c r="O1935" s="111"/>
      <c r="P1935" s="111">
        <v>1.0</v>
      </c>
      <c r="Q1935" s="111"/>
      <c r="R1935" s="111"/>
      <c r="S1935" s="111"/>
      <c r="T1935" s="111"/>
      <c r="U1935" s="111"/>
      <c r="V1935" s="111"/>
      <c r="W1935" s="111"/>
      <c r="X1935" s="111"/>
      <c r="Y1935" s="111"/>
      <c r="Z1935" s="111" t="s">
        <v>12802</v>
      </c>
      <c r="AA1935" s="126">
        <v>30.0</v>
      </c>
      <c r="AB1935" s="125">
        <f>IF(Projects!$AI1935="Electrolysis",
AA1935/VLOOKUP(G1935,ElectrolysisConvF,3,FALSE),
AC1935*10^6/(H2dens*HoursInYear))</f>
        <v>5769.230769</v>
      </c>
      <c r="AC1935" s="126">
        <f t="shared" si="367"/>
        <v>4.497923077</v>
      </c>
      <c r="AD1935" s="125"/>
      <c r="AE1935" s="125">
        <f t="shared" si="358"/>
        <v>5769.230769</v>
      </c>
      <c r="AF1935" s="127" t="s">
        <v>14890</v>
      </c>
      <c r="AG1935" s="127">
        <v>-23.8415355203833</v>
      </c>
      <c r="AH1935" s="127">
        <v>151.250589188345</v>
      </c>
      <c r="AI1935" s="115" t="s">
        <v>12383</v>
      </c>
      <c r="AJ1935" s="116">
        <v>0.5</v>
      </c>
      <c r="AK1935" s="117"/>
      <c r="AL1935" s="117"/>
      <c r="AM1935" s="117"/>
      <c r="AN1935" s="117"/>
      <c r="AO1935" s="117"/>
    </row>
    <row r="1936" ht="34.5" customHeight="1">
      <c r="A1936" s="111">
        <v>2596.0</v>
      </c>
      <c r="B1936" s="111" t="s">
        <v>9931</v>
      </c>
      <c r="C1936" s="111" t="s">
        <v>8021</v>
      </c>
      <c r="D1936" s="111">
        <v>2025.0</v>
      </c>
      <c r="E1936" s="111"/>
      <c r="F1936" s="111" t="s">
        <v>12393</v>
      </c>
      <c r="G1936" s="111" t="s">
        <v>12381</v>
      </c>
      <c r="H1936" s="111" t="s">
        <v>12230</v>
      </c>
      <c r="I1936" s="111" t="s">
        <v>12394</v>
      </c>
      <c r="J1936" s="111" t="s">
        <v>12295</v>
      </c>
      <c r="K1936" s="111" t="s">
        <v>30</v>
      </c>
      <c r="L1936" s="111"/>
      <c r="M1936" s="111"/>
      <c r="N1936" s="111"/>
      <c r="O1936" s="111">
        <v>1.0</v>
      </c>
      <c r="P1936" s="111"/>
      <c r="Q1936" s="111"/>
      <c r="R1936" s="111"/>
      <c r="S1936" s="111"/>
      <c r="T1936" s="111"/>
      <c r="U1936" s="111"/>
      <c r="V1936" s="111"/>
      <c r="W1936" s="111"/>
      <c r="X1936" s="111"/>
      <c r="Y1936" s="111"/>
      <c r="Z1936" s="111" t="s">
        <v>14891</v>
      </c>
      <c r="AA1936" s="126">
        <f>IF(Projects!$AI1936="Electrolysis",
AB1936*VLOOKUP(G1936,ElectrolysisConvF,3,FALSE),
"")</f>
        <v>8.657842081</v>
      </c>
      <c r="AB1936" s="125">
        <f>AC1936/(H2dens*HoursInYear/10^6)</f>
        <v>1923.964907</v>
      </c>
      <c r="AC1936" s="126">
        <v>1.5</v>
      </c>
      <c r="AD1936" s="125"/>
      <c r="AE1936" s="125">
        <f t="shared" si="358"/>
        <v>1923.964907</v>
      </c>
      <c r="AF1936" s="127" t="s">
        <v>14892</v>
      </c>
      <c r="AG1936" s="127">
        <v>-28.1688330657034</v>
      </c>
      <c r="AH1936" s="127">
        <v>152.981454746062</v>
      </c>
      <c r="AI1936" s="115" t="s">
        <v>12383</v>
      </c>
      <c r="AJ1936" s="116">
        <v>0.5</v>
      </c>
      <c r="AK1936" s="117"/>
      <c r="AL1936" s="117"/>
      <c r="AM1936" s="117"/>
      <c r="AN1936" s="117"/>
      <c r="AO1936" s="117"/>
    </row>
    <row r="1937" ht="34.5" customHeight="1">
      <c r="A1937" s="111">
        <v>2597.0</v>
      </c>
      <c r="B1937" s="111" t="s">
        <v>9932</v>
      </c>
      <c r="C1937" s="111" t="s">
        <v>8785</v>
      </c>
      <c r="D1937" s="111">
        <v>2026.0</v>
      </c>
      <c r="E1937" s="111"/>
      <c r="F1937" s="111" t="s">
        <v>12399</v>
      </c>
      <c r="G1937" s="111" t="s">
        <v>12381</v>
      </c>
      <c r="H1937" s="111" t="s">
        <v>12230</v>
      </c>
      <c r="I1937" s="111" t="s">
        <v>12394</v>
      </c>
      <c r="J1937" s="111" t="s">
        <v>12295</v>
      </c>
      <c r="K1937" s="111" t="s">
        <v>174</v>
      </c>
      <c r="L1937" s="111"/>
      <c r="M1937" s="111">
        <v>1.0</v>
      </c>
      <c r="N1937" s="111"/>
      <c r="O1937" s="111"/>
      <c r="P1937" s="111"/>
      <c r="Q1937" s="111"/>
      <c r="R1937" s="111"/>
      <c r="S1937" s="111"/>
      <c r="T1937" s="111"/>
      <c r="U1937" s="111"/>
      <c r="V1937" s="111"/>
      <c r="W1937" s="111"/>
      <c r="X1937" s="111"/>
      <c r="Y1937" s="111"/>
      <c r="Z1937" s="111" t="s">
        <v>12698</v>
      </c>
      <c r="AA1937" s="124">
        <f>100-15</f>
        <v>85</v>
      </c>
      <c r="AB1937" s="125">
        <f>IF(Projects!$AI1937="Electrolysis",
AA1937/VLOOKUP(G1937,ElectrolysisConvF,3,FALSE),
AC1937*10^6/(H2dens*HoursInYear))</f>
        <v>18888.88889</v>
      </c>
      <c r="AC1937" s="126">
        <f t="shared" ref="AC1937:AC1941" si="368">AB1937*H2dens*HoursInYear/10^6</f>
        <v>14.72653333</v>
      </c>
      <c r="AD1937" s="125"/>
      <c r="AE1937" s="125">
        <f t="shared" si="358"/>
        <v>18888.88889</v>
      </c>
      <c r="AF1937" s="127" t="s">
        <v>14893</v>
      </c>
      <c r="AG1937" s="127">
        <v>29.6333926321958</v>
      </c>
      <c r="AH1937" s="127">
        <v>32.3008063477238</v>
      </c>
      <c r="AI1937" s="115" t="s">
        <v>12383</v>
      </c>
      <c r="AJ1937" s="116">
        <v>0.5</v>
      </c>
      <c r="AK1937" s="117"/>
      <c r="AL1937" s="117"/>
      <c r="AM1937" s="117"/>
      <c r="AN1937" s="117"/>
      <c r="AO1937" s="117"/>
    </row>
    <row r="1938" ht="34.5" customHeight="1">
      <c r="A1938" s="111">
        <v>2598.0</v>
      </c>
      <c r="B1938" s="111" t="s">
        <v>9933</v>
      </c>
      <c r="C1938" s="111" t="s">
        <v>8021</v>
      </c>
      <c r="D1938" s="111">
        <v>2028.0</v>
      </c>
      <c r="E1938" s="111"/>
      <c r="F1938" s="111" t="s">
        <v>12393</v>
      </c>
      <c r="G1938" s="111" t="s">
        <v>12226</v>
      </c>
      <c r="H1938" s="111"/>
      <c r="I1938" s="111" t="s">
        <v>12394</v>
      </c>
      <c r="J1938" s="111" t="s">
        <v>12295</v>
      </c>
      <c r="K1938" s="111" t="s">
        <v>30</v>
      </c>
      <c r="L1938" s="111"/>
      <c r="M1938" s="111"/>
      <c r="N1938" s="111"/>
      <c r="O1938" s="111"/>
      <c r="P1938" s="111">
        <v>1.0</v>
      </c>
      <c r="Q1938" s="111"/>
      <c r="R1938" s="111"/>
      <c r="S1938" s="111"/>
      <c r="T1938" s="111"/>
      <c r="U1938" s="111"/>
      <c r="V1938" s="111"/>
      <c r="W1938" s="111"/>
      <c r="X1938" s="111"/>
      <c r="Y1938" s="111"/>
      <c r="Z1938" s="111" t="s">
        <v>12768</v>
      </c>
      <c r="AA1938" s="126">
        <v>20.0</v>
      </c>
      <c r="AB1938" s="125">
        <f>IF(Projects!$AI1938="Electrolysis",
AA1938/VLOOKUP(G1938,ElectrolysisConvF,3,FALSE),
AC1938*10^6/(H2dens*HoursInYear))</f>
        <v>3846.153846</v>
      </c>
      <c r="AC1938" s="126">
        <f t="shared" si="368"/>
        <v>2.998615385</v>
      </c>
      <c r="AD1938" s="125"/>
      <c r="AE1938" s="125">
        <f t="shared" si="358"/>
        <v>3846.153846</v>
      </c>
      <c r="AF1938" s="127" t="s">
        <v>14890</v>
      </c>
      <c r="AG1938" s="127">
        <v>-23.8415355203833</v>
      </c>
      <c r="AH1938" s="127">
        <v>151.250589188345</v>
      </c>
      <c r="AI1938" s="115" t="s">
        <v>12383</v>
      </c>
      <c r="AJ1938" s="116">
        <v>0.5</v>
      </c>
      <c r="AK1938" s="117"/>
      <c r="AL1938" s="117"/>
      <c r="AM1938" s="117"/>
      <c r="AN1938" s="117"/>
      <c r="AO1938" s="117"/>
    </row>
    <row r="1939" ht="34.5" customHeight="1">
      <c r="A1939" s="111">
        <v>2599.0</v>
      </c>
      <c r="B1939" s="111" t="s">
        <v>9934</v>
      </c>
      <c r="C1939" s="111" t="s">
        <v>7967</v>
      </c>
      <c r="D1939" s="111">
        <v>2029.0</v>
      </c>
      <c r="E1939" s="111"/>
      <c r="F1939" s="111" t="s">
        <v>12397</v>
      </c>
      <c r="G1939" s="111" t="s">
        <v>12381</v>
      </c>
      <c r="H1939" s="111" t="s">
        <v>12230</v>
      </c>
      <c r="I1939" s="111" t="s">
        <v>12394</v>
      </c>
      <c r="J1939" s="111" t="s">
        <v>12295</v>
      </c>
      <c r="K1939" s="111" t="s">
        <v>30</v>
      </c>
      <c r="L1939" s="111"/>
      <c r="M1939" s="111"/>
      <c r="N1939" s="111"/>
      <c r="O1939" s="111"/>
      <c r="P1939" s="111">
        <v>1.0</v>
      </c>
      <c r="Q1939" s="111"/>
      <c r="R1939" s="111"/>
      <c r="S1939" s="111"/>
      <c r="T1939" s="111"/>
      <c r="U1939" s="111"/>
      <c r="V1939" s="111"/>
      <c r="W1939" s="111"/>
      <c r="X1939" s="111"/>
      <c r="Y1939" s="111"/>
      <c r="Z1939" s="111" t="s">
        <v>14894</v>
      </c>
      <c r="AA1939" s="126">
        <v>225.0</v>
      </c>
      <c r="AB1939" s="125">
        <f>IF(Projects!$AI1939="Electrolysis",
AA1939/VLOOKUP(G1939,ElectrolysisConvF,3,FALSE),
AC1939*10^6/(H2dens*HoursInYear))</f>
        <v>50000</v>
      </c>
      <c r="AC1939" s="126">
        <f t="shared" si="368"/>
        <v>38.982</v>
      </c>
      <c r="AD1939" s="125"/>
      <c r="AE1939" s="125">
        <f t="shared" si="358"/>
        <v>50000</v>
      </c>
      <c r="AF1939" s="127" t="s">
        <v>14895</v>
      </c>
      <c r="AG1939" s="127">
        <v>51.958861608754</v>
      </c>
      <c r="AH1939" s="127">
        <v>4.05634190554556</v>
      </c>
      <c r="AI1939" s="115" t="s">
        <v>12383</v>
      </c>
      <c r="AJ1939" s="116">
        <v>0.5</v>
      </c>
      <c r="AK1939" s="117"/>
      <c r="AL1939" s="117"/>
      <c r="AM1939" s="117"/>
      <c r="AN1939" s="117"/>
      <c r="AO1939" s="117"/>
    </row>
    <row r="1940" ht="34.5" customHeight="1">
      <c r="A1940" s="111">
        <v>2600.0</v>
      </c>
      <c r="B1940" s="111" t="s">
        <v>9935</v>
      </c>
      <c r="C1940" s="111" t="s">
        <v>8562</v>
      </c>
      <c r="D1940" s="111">
        <v>2028.0</v>
      </c>
      <c r="E1940" s="111"/>
      <c r="F1940" s="111" t="s">
        <v>12397</v>
      </c>
      <c r="G1940" s="111" t="s">
        <v>12381</v>
      </c>
      <c r="H1940" s="111" t="s">
        <v>12230</v>
      </c>
      <c r="I1940" s="111" t="s">
        <v>12394</v>
      </c>
      <c r="J1940" s="111" t="s">
        <v>12295</v>
      </c>
      <c r="K1940" s="111" t="s">
        <v>30</v>
      </c>
      <c r="L1940" s="111"/>
      <c r="M1940" s="111"/>
      <c r="N1940" s="111"/>
      <c r="O1940" s="111"/>
      <c r="P1940" s="111"/>
      <c r="Q1940" s="111"/>
      <c r="R1940" s="111"/>
      <c r="S1940" s="111"/>
      <c r="T1940" s="111"/>
      <c r="U1940" s="111"/>
      <c r="V1940" s="111"/>
      <c r="W1940" s="111"/>
      <c r="X1940" s="111"/>
      <c r="Y1940" s="111"/>
      <c r="Z1940" s="111" t="s">
        <v>12723</v>
      </c>
      <c r="AA1940" s="126">
        <v>1000.0</v>
      </c>
      <c r="AB1940" s="125">
        <f>IF(Projects!$AI1940="Electrolysis",
AA1940/VLOOKUP(G1940,ElectrolysisConvF,3,FALSE),
AC1940*10^6/(H2dens*HoursInYear))</f>
        <v>222222.2222</v>
      </c>
      <c r="AC1940" s="126">
        <f t="shared" si="368"/>
        <v>173.2533333</v>
      </c>
      <c r="AD1940" s="125"/>
      <c r="AE1940" s="125">
        <f t="shared" si="358"/>
        <v>222222.2222</v>
      </c>
      <c r="AF1940" s="127" t="s">
        <v>14896</v>
      </c>
      <c r="AG1940" s="127">
        <v>23.723174731851</v>
      </c>
      <c r="AH1940" s="127">
        <v>-15.934762435401</v>
      </c>
      <c r="AI1940" s="115" t="s">
        <v>12383</v>
      </c>
      <c r="AJ1940" s="116">
        <v>0.5</v>
      </c>
      <c r="AK1940" s="117"/>
      <c r="AL1940" s="117"/>
      <c r="AM1940" s="117"/>
      <c r="AN1940" s="117"/>
      <c r="AO1940" s="117"/>
    </row>
    <row r="1941" ht="34.5" customHeight="1">
      <c r="A1941" s="111">
        <v>2601.0</v>
      </c>
      <c r="B1941" s="111" t="s">
        <v>9936</v>
      </c>
      <c r="C1941" s="111" t="s">
        <v>8562</v>
      </c>
      <c r="D1941" s="111">
        <v>2030.0</v>
      </c>
      <c r="E1941" s="111"/>
      <c r="F1941" s="111" t="s">
        <v>12397</v>
      </c>
      <c r="G1941" s="111" t="s">
        <v>12381</v>
      </c>
      <c r="H1941" s="111" t="s">
        <v>12230</v>
      </c>
      <c r="I1941" s="111" t="s">
        <v>12394</v>
      </c>
      <c r="J1941" s="111" t="s">
        <v>12295</v>
      </c>
      <c r="K1941" s="111" t="s">
        <v>30</v>
      </c>
      <c r="L1941" s="111"/>
      <c r="M1941" s="111"/>
      <c r="N1941" s="111"/>
      <c r="O1941" s="111"/>
      <c r="P1941" s="111"/>
      <c r="Q1941" s="111"/>
      <c r="R1941" s="111"/>
      <c r="S1941" s="111"/>
      <c r="T1941" s="111"/>
      <c r="U1941" s="111"/>
      <c r="V1941" s="111"/>
      <c r="W1941" s="111"/>
      <c r="X1941" s="111"/>
      <c r="Y1941" s="111"/>
      <c r="Z1941" s="111" t="s">
        <v>13707</v>
      </c>
      <c r="AA1941" s="126">
        <v>7000.0</v>
      </c>
      <c r="AB1941" s="125">
        <f>IF(Projects!$AI1941="Electrolysis",
AA1941/VLOOKUP(G1941,ElectrolysisConvF,3,FALSE),
AC1941*10^6/(H2dens*HoursInYear))</f>
        <v>1555555.556</v>
      </c>
      <c r="AC1941" s="126">
        <f t="shared" si="368"/>
        <v>1212.773333</v>
      </c>
      <c r="AD1941" s="125"/>
      <c r="AE1941" s="125">
        <f t="shared" si="358"/>
        <v>1555555.556</v>
      </c>
      <c r="AF1941" s="127" t="s">
        <v>14896</v>
      </c>
      <c r="AG1941" s="127">
        <v>23.723174731851</v>
      </c>
      <c r="AH1941" s="127">
        <v>-15.934762435401</v>
      </c>
      <c r="AI1941" s="115" t="s">
        <v>12383</v>
      </c>
      <c r="AJ1941" s="116">
        <v>0.5</v>
      </c>
      <c r="AK1941" s="117"/>
      <c r="AL1941" s="117"/>
      <c r="AM1941" s="117"/>
      <c r="AN1941" s="117"/>
      <c r="AO1941" s="117"/>
    </row>
    <row r="1942" ht="34.5" customHeight="1">
      <c r="A1942" s="111">
        <v>2602.0</v>
      </c>
      <c r="B1942" s="111" t="s">
        <v>9937</v>
      </c>
      <c r="C1942" s="111" t="s">
        <v>7987</v>
      </c>
      <c r="D1942" s="111">
        <v>2023.0</v>
      </c>
      <c r="E1942" s="111">
        <v>2026.0</v>
      </c>
      <c r="F1942" s="111" t="s">
        <v>12385</v>
      </c>
      <c r="G1942" s="111" t="s">
        <v>12381</v>
      </c>
      <c r="H1942" s="111" t="s">
        <v>12230</v>
      </c>
      <c r="I1942" s="111" t="s">
        <v>12394</v>
      </c>
      <c r="J1942" s="111" t="s">
        <v>12296</v>
      </c>
      <c r="K1942" s="111" t="s">
        <v>12415</v>
      </c>
      <c r="L1942" s="111"/>
      <c r="M1942" s="111"/>
      <c r="N1942" s="111"/>
      <c r="O1942" s="111"/>
      <c r="P1942" s="111">
        <v>1.0</v>
      </c>
      <c r="Q1942" s="111">
        <v>1.0</v>
      </c>
      <c r="R1942" s="111"/>
      <c r="S1942" s="111"/>
      <c r="T1942" s="111"/>
      <c r="U1942" s="111"/>
      <c r="V1942" s="111"/>
      <c r="W1942" s="111"/>
      <c r="X1942" s="111"/>
      <c r="Y1942" s="111"/>
      <c r="Z1942" s="111"/>
      <c r="AA1942" s="126">
        <f>IF(OR(G1942="ALK",G1942="PEM",G1942="SOEC",G1942="Other Electrolysis"),
AB1942*VLOOKUP(G1942,ElectrolysisConvF,3,FALSE),
"")</f>
        <v>0</v>
      </c>
      <c r="AB1942" s="125"/>
      <c r="AC1942" s="126"/>
      <c r="AD1942" s="125"/>
      <c r="AE1942" s="125" t="str">
        <f t="shared" si="358"/>
        <v/>
      </c>
      <c r="AF1942" s="127" t="s">
        <v>14897</v>
      </c>
      <c r="AG1942" s="127">
        <v>51.3247111673379</v>
      </c>
      <c r="AH1942" s="127">
        <v>12.024311061848</v>
      </c>
      <c r="AI1942" s="115" t="s">
        <v>12383</v>
      </c>
      <c r="AJ1942" s="116">
        <v>0.5</v>
      </c>
      <c r="AK1942" s="117"/>
      <c r="AL1942" s="117"/>
      <c r="AM1942" s="117"/>
      <c r="AN1942" s="117"/>
      <c r="AO1942" s="117"/>
    </row>
    <row r="1943" ht="34.5" customHeight="1">
      <c r="A1943" s="111">
        <v>2603.0</v>
      </c>
      <c r="B1943" s="111" t="s">
        <v>9938</v>
      </c>
      <c r="C1943" s="111" t="s">
        <v>8001</v>
      </c>
      <c r="D1943" s="111">
        <v>2026.0</v>
      </c>
      <c r="E1943" s="111"/>
      <c r="F1943" s="111" t="s">
        <v>12393</v>
      </c>
      <c r="G1943" s="111" t="s">
        <v>12381</v>
      </c>
      <c r="H1943" s="111" t="s">
        <v>12230</v>
      </c>
      <c r="I1943" s="111" t="s">
        <v>12394</v>
      </c>
      <c r="J1943" s="111" t="s">
        <v>12292</v>
      </c>
      <c r="K1943" s="111" t="s">
        <v>12415</v>
      </c>
      <c r="L1943" s="111"/>
      <c r="M1943" s="111"/>
      <c r="N1943" s="111"/>
      <c r="O1943" s="111"/>
      <c r="P1943" s="111"/>
      <c r="Q1943" s="111">
        <v>1.0</v>
      </c>
      <c r="R1943" s="111"/>
      <c r="S1943" s="111"/>
      <c r="T1943" s="111"/>
      <c r="U1943" s="111"/>
      <c r="V1943" s="111"/>
      <c r="W1943" s="111"/>
      <c r="X1943" s="111"/>
      <c r="Y1943" s="111"/>
      <c r="Z1943" s="111" t="s">
        <v>14898</v>
      </c>
      <c r="AA1943" s="126">
        <f>IF(Projects!$AI1943="Electrolysis",
AB1943*VLOOKUP(G1943,ElectrolysisConvF,3,FALSE),
"")</f>
        <v>552.1596506</v>
      </c>
      <c r="AB1943" s="125">
        <f>AC1943/(H2dens*HoursInYear/10^6)</f>
        <v>122702.1446</v>
      </c>
      <c r="AC1943" s="125">
        <f>500*0.191327</f>
        <v>95.6635</v>
      </c>
      <c r="AD1943" s="125"/>
      <c r="AE1943" s="125">
        <f t="shared" si="358"/>
        <v>122702.1446</v>
      </c>
      <c r="AF1943" s="127" t="s">
        <v>14899</v>
      </c>
      <c r="AG1943" s="127">
        <v>46.0923824858943</v>
      </c>
      <c r="AH1943" s="127">
        <v>122.036806643073</v>
      </c>
      <c r="AI1943" s="115" t="s">
        <v>12383</v>
      </c>
      <c r="AJ1943" s="116">
        <v>0.4</v>
      </c>
      <c r="AK1943" s="117"/>
      <c r="AL1943" s="117"/>
      <c r="AM1943" s="117"/>
      <c r="AN1943" s="117"/>
      <c r="AO1943" s="117"/>
    </row>
    <row r="1944" ht="34.5" customHeight="1">
      <c r="A1944" s="111">
        <v>2604.0</v>
      </c>
      <c r="B1944" s="111" t="s">
        <v>9939</v>
      </c>
      <c r="C1944" s="111" t="s">
        <v>8785</v>
      </c>
      <c r="D1944" s="111">
        <v>2027.0</v>
      </c>
      <c r="E1944" s="111"/>
      <c r="F1944" s="111" t="s">
        <v>12397</v>
      </c>
      <c r="G1944" s="111" t="s">
        <v>12381</v>
      </c>
      <c r="H1944" s="111" t="s">
        <v>12230</v>
      </c>
      <c r="I1944" s="111" t="s">
        <v>12394</v>
      </c>
      <c r="J1944" s="111" t="s">
        <v>12295</v>
      </c>
      <c r="K1944" s="111" t="s">
        <v>12415</v>
      </c>
      <c r="L1944" s="111"/>
      <c r="M1944" s="111"/>
      <c r="N1944" s="111">
        <v>1.0</v>
      </c>
      <c r="O1944" s="111"/>
      <c r="P1944" s="111"/>
      <c r="Q1944" s="111">
        <v>1.0</v>
      </c>
      <c r="R1944" s="111"/>
      <c r="S1944" s="111"/>
      <c r="T1944" s="111"/>
      <c r="U1944" s="111"/>
      <c r="V1944" s="111"/>
      <c r="W1944" s="111"/>
      <c r="X1944" s="111"/>
      <c r="Y1944" s="111"/>
      <c r="Z1944" s="111" t="s">
        <v>14900</v>
      </c>
      <c r="AA1944" s="126">
        <v>190.0</v>
      </c>
      <c r="AB1944" s="125">
        <f>IF(Projects!$AI1944="Electrolysis",
AA1944/VLOOKUP(G1944,ElectrolysisConvF,3,FALSE),
AC1944*10^6/(H2dens*HoursInYear))</f>
        <v>42222.22222</v>
      </c>
      <c r="AC1944" s="126">
        <f t="shared" ref="AC1944:AC1946" si="369">AB1944*H2dens*HoursInYear/10^6</f>
        <v>32.91813333</v>
      </c>
      <c r="AD1944" s="125"/>
      <c r="AE1944" s="125">
        <f t="shared" si="358"/>
        <v>42222.22222</v>
      </c>
      <c r="AF1944" s="127" t="s">
        <v>14901</v>
      </c>
      <c r="AG1944" s="127">
        <v>31.2665542268882</v>
      </c>
      <c r="AH1944" s="127">
        <v>32.3004465182525</v>
      </c>
      <c r="AI1944" s="115" t="s">
        <v>12383</v>
      </c>
      <c r="AJ1944" s="116">
        <v>0.5</v>
      </c>
      <c r="AK1944" s="117"/>
      <c r="AL1944" s="117"/>
      <c r="AM1944" s="117"/>
      <c r="AN1944" s="117"/>
      <c r="AO1944" s="117"/>
    </row>
    <row r="1945" ht="34.5" customHeight="1">
      <c r="A1945" s="111">
        <v>2605.0</v>
      </c>
      <c r="B1945" s="111" t="s">
        <v>9940</v>
      </c>
      <c r="C1945" s="111" t="s">
        <v>7983</v>
      </c>
      <c r="D1945" s="111">
        <v>2023.0</v>
      </c>
      <c r="E1945" s="111"/>
      <c r="F1945" s="111" t="s">
        <v>12385</v>
      </c>
      <c r="G1945" s="111" t="s">
        <v>12224</v>
      </c>
      <c r="H1945" s="111"/>
      <c r="I1945" s="111" t="s">
        <v>12406</v>
      </c>
      <c r="J1945" s="111"/>
      <c r="K1945" s="111" t="s">
        <v>30</v>
      </c>
      <c r="L1945" s="111"/>
      <c r="M1945" s="111"/>
      <c r="N1945" s="111"/>
      <c r="O1945" s="111"/>
      <c r="P1945" s="111"/>
      <c r="Q1945" s="111"/>
      <c r="R1945" s="111">
        <v>1.0</v>
      </c>
      <c r="S1945" s="111"/>
      <c r="T1945" s="111"/>
      <c r="U1945" s="111"/>
      <c r="V1945" s="111"/>
      <c r="W1945" s="111"/>
      <c r="X1945" s="111"/>
      <c r="Y1945" s="111"/>
      <c r="Z1945" s="111" t="s">
        <v>14902</v>
      </c>
      <c r="AA1945" s="126">
        <f>IF(Projects!$AI1945="Electrolysis",
AB1945*VLOOKUP(G1945,ElectrolysisConvF,3,FALSE),
"")</f>
        <v>5.06</v>
      </c>
      <c r="AB1945" s="125">
        <v>1100.0</v>
      </c>
      <c r="AC1945" s="126">
        <f t="shared" si="369"/>
        <v>0.857604</v>
      </c>
      <c r="AD1945" s="125"/>
      <c r="AE1945" s="125">
        <f t="shared" si="358"/>
        <v>1100</v>
      </c>
      <c r="AF1945" s="127" t="s">
        <v>14903</v>
      </c>
      <c r="AG1945" s="127">
        <v>35.0196073650121</v>
      </c>
      <c r="AH1945" s="127">
        <v>134.833137729952</v>
      </c>
      <c r="AI1945" s="115" t="s">
        <v>12383</v>
      </c>
      <c r="AJ1945" s="116">
        <v>0.57</v>
      </c>
      <c r="AK1945" s="117"/>
      <c r="AL1945" s="117"/>
      <c r="AM1945" s="117"/>
      <c r="AN1945" s="117"/>
      <c r="AO1945" s="117"/>
    </row>
    <row r="1946" ht="34.5" customHeight="1">
      <c r="A1946" s="111">
        <v>2606.0</v>
      </c>
      <c r="B1946" s="111" t="s">
        <v>9941</v>
      </c>
      <c r="C1946" s="111" t="s">
        <v>7967</v>
      </c>
      <c r="D1946" s="111">
        <v>2028.0</v>
      </c>
      <c r="E1946" s="111"/>
      <c r="F1946" s="111" t="s">
        <v>12399</v>
      </c>
      <c r="G1946" s="111" t="s">
        <v>12224</v>
      </c>
      <c r="H1946" s="111"/>
      <c r="I1946" s="111" t="s">
        <v>12394</v>
      </c>
      <c r="J1946" s="111" t="s">
        <v>12295</v>
      </c>
      <c r="K1946" s="111" t="s">
        <v>30</v>
      </c>
      <c r="L1946" s="111"/>
      <c r="M1946" s="111"/>
      <c r="N1946" s="111"/>
      <c r="O1946" s="111"/>
      <c r="P1946" s="111">
        <v>1.0</v>
      </c>
      <c r="Q1946" s="111"/>
      <c r="R1946" s="111"/>
      <c r="S1946" s="111"/>
      <c r="T1946" s="111"/>
      <c r="U1946" s="111"/>
      <c r="V1946" s="111"/>
      <c r="W1946" s="111">
        <v>1.0</v>
      </c>
      <c r="X1946" s="111"/>
      <c r="Y1946" s="111"/>
      <c r="Z1946" s="111" t="s">
        <v>12768</v>
      </c>
      <c r="AA1946" s="126">
        <v>50.0</v>
      </c>
      <c r="AB1946" s="125">
        <f>IF(Projects!$AI1946="Electrolysis",
AA1946/VLOOKUP(G1946,ElectrolysisConvF,3,FALSE),
AC1946*10^6/(H2dens*HoursInYear))</f>
        <v>10869.56522</v>
      </c>
      <c r="AC1946" s="126">
        <f t="shared" si="369"/>
        <v>8.474347826</v>
      </c>
      <c r="AD1946" s="125"/>
      <c r="AE1946" s="125">
        <f t="shared" si="358"/>
        <v>10869.56522</v>
      </c>
      <c r="AF1946" s="127" t="s">
        <v>14904</v>
      </c>
      <c r="AG1946" s="127">
        <v>53.3344145029669</v>
      </c>
      <c r="AH1946" s="127">
        <v>6.92135994987017</v>
      </c>
      <c r="AI1946" s="115" t="s">
        <v>12383</v>
      </c>
      <c r="AJ1946" s="116">
        <v>0.5</v>
      </c>
      <c r="AK1946" s="117"/>
      <c r="AL1946" s="117"/>
      <c r="AM1946" s="117"/>
      <c r="AN1946" s="117"/>
      <c r="AO1946" s="117"/>
    </row>
    <row r="1947" ht="34.5" customHeight="1">
      <c r="A1947" s="111">
        <v>2607.0</v>
      </c>
      <c r="B1947" s="111" t="s">
        <v>9942</v>
      </c>
      <c r="C1947" s="111" t="s">
        <v>8785</v>
      </c>
      <c r="D1947" s="111"/>
      <c r="E1947" s="111"/>
      <c r="F1947" s="111" t="s">
        <v>12397</v>
      </c>
      <c r="G1947" s="111" t="s">
        <v>12381</v>
      </c>
      <c r="H1947" s="111" t="s">
        <v>12230</v>
      </c>
      <c r="I1947" s="111" t="s">
        <v>12394</v>
      </c>
      <c r="J1947" s="111" t="s">
        <v>12295</v>
      </c>
      <c r="K1947" s="111" t="s">
        <v>174</v>
      </c>
      <c r="L1947" s="111"/>
      <c r="M1947" s="111">
        <v>1.0</v>
      </c>
      <c r="N1947" s="111"/>
      <c r="O1947" s="111"/>
      <c r="P1947" s="111"/>
      <c r="Q1947" s="111"/>
      <c r="R1947" s="111"/>
      <c r="S1947" s="111"/>
      <c r="T1947" s="111"/>
      <c r="U1947" s="111"/>
      <c r="V1947" s="111"/>
      <c r="W1947" s="111"/>
      <c r="X1947" s="111"/>
      <c r="Y1947" s="111"/>
      <c r="Z1947" s="111" t="s">
        <v>14905</v>
      </c>
      <c r="AA1947" s="126">
        <f>IF(Projects!$AI1947="Electrolysis",
AB1947*VLOOKUP(G1947,ElectrolysisConvF,3,FALSE),
"")</f>
        <v>623.6140755</v>
      </c>
      <c r="AB1947" s="125">
        <f t="shared" ref="AB1947:AB1948" si="370">AC1947/(H2dens*HoursInYear/10^6)</f>
        <v>138580.9057</v>
      </c>
      <c r="AC1947" s="126">
        <f>600*3/17/0.98</f>
        <v>108.0432173</v>
      </c>
      <c r="AD1947" s="125"/>
      <c r="AE1947" s="125">
        <f t="shared" si="358"/>
        <v>138580.9057</v>
      </c>
      <c r="AF1947" s="127" t="s">
        <v>14906</v>
      </c>
      <c r="AG1947" s="127">
        <v>29.659369</v>
      </c>
      <c r="AH1947" s="127">
        <v>32.34481</v>
      </c>
      <c r="AI1947" s="115" t="s">
        <v>12383</v>
      </c>
      <c r="AJ1947" s="116">
        <v>0.5</v>
      </c>
      <c r="AK1947" s="117"/>
      <c r="AL1947" s="117"/>
      <c r="AM1947" s="117"/>
      <c r="AN1947" s="117"/>
      <c r="AO1947" s="117"/>
    </row>
    <row r="1948" ht="34.5" customHeight="1">
      <c r="A1948" s="111">
        <v>2609.0</v>
      </c>
      <c r="B1948" s="111" t="s">
        <v>9943</v>
      </c>
      <c r="C1948" s="111" t="s">
        <v>7981</v>
      </c>
      <c r="D1948" s="111">
        <v>2027.0</v>
      </c>
      <c r="E1948" s="111"/>
      <c r="F1948" s="111" t="s">
        <v>12399</v>
      </c>
      <c r="G1948" s="111" t="s">
        <v>12235</v>
      </c>
      <c r="H1948" s="111" t="s">
        <v>14907</v>
      </c>
      <c r="I1948" s="111"/>
      <c r="J1948" s="111"/>
      <c r="K1948" s="111" t="s">
        <v>174</v>
      </c>
      <c r="L1948" s="111"/>
      <c r="M1948" s="111">
        <v>1.0</v>
      </c>
      <c r="N1948" s="111"/>
      <c r="O1948" s="111"/>
      <c r="P1948" s="111">
        <v>1.0</v>
      </c>
      <c r="Q1948" s="111">
        <v>1.0</v>
      </c>
      <c r="R1948" s="111"/>
      <c r="S1948" s="111"/>
      <c r="T1948" s="111"/>
      <c r="U1948" s="111"/>
      <c r="V1948" s="111"/>
      <c r="W1948" s="111"/>
      <c r="X1948" s="111"/>
      <c r="Y1948" s="111"/>
      <c r="Z1948" s="111" t="s">
        <v>14908</v>
      </c>
      <c r="AA1948" s="126"/>
      <c r="AB1948" s="125">
        <f t="shared" si="370"/>
        <v>203251.995</v>
      </c>
      <c r="AC1948" s="126">
        <f>(880*3/17/0.98)</f>
        <v>158.4633854</v>
      </c>
      <c r="AD1948" s="125"/>
      <c r="AE1948" s="125">
        <f t="shared" si="358"/>
        <v>0</v>
      </c>
      <c r="AF1948" s="127" t="s">
        <v>14909</v>
      </c>
      <c r="AG1948" s="127">
        <v>29.8925834119319</v>
      </c>
      <c r="AH1948" s="127">
        <v>-93.8957237628197</v>
      </c>
      <c r="AI1948" s="115" t="s">
        <v>12378</v>
      </c>
      <c r="AJ1948" s="116">
        <v>0.9</v>
      </c>
      <c r="AK1948" s="117"/>
      <c r="AL1948" s="117"/>
      <c r="AM1948" s="117"/>
      <c r="AN1948" s="117"/>
      <c r="AO1948" s="117"/>
    </row>
    <row r="1949" ht="34.5" customHeight="1">
      <c r="A1949" s="111">
        <v>2611.0</v>
      </c>
      <c r="B1949" s="111" t="s">
        <v>9944</v>
      </c>
      <c r="C1949" s="111" t="s">
        <v>8003</v>
      </c>
      <c r="D1949" s="111">
        <v>2028.0</v>
      </c>
      <c r="E1949" s="111"/>
      <c r="F1949" s="111" t="s">
        <v>12399</v>
      </c>
      <c r="G1949" s="111" t="s">
        <v>12381</v>
      </c>
      <c r="H1949" s="111" t="s">
        <v>12230</v>
      </c>
      <c r="I1949" s="111" t="s">
        <v>12394</v>
      </c>
      <c r="J1949" s="111" t="s">
        <v>12295</v>
      </c>
      <c r="K1949" s="111" t="s">
        <v>12481</v>
      </c>
      <c r="L1949" s="111"/>
      <c r="M1949" s="111"/>
      <c r="N1949" s="111"/>
      <c r="O1949" s="111"/>
      <c r="P1949" s="111"/>
      <c r="Q1949" s="111">
        <v>1.0</v>
      </c>
      <c r="R1949" s="111"/>
      <c r="S1949" s="111"/>
      <c r="T1949" s="111"/>
      <c r="U1949" s="111"/>
      <c r="V1949" s="111"/>
      <c r="W1949" s="111">
        <v>1.0</v>
      </c>
      <c r="X1949" s="111"/>
      <c r="Y1949" s="111"/>
      <c r="Z1949" s="111" t="s">
        <v>13620</v>
      </c>
      <c r="AA1949" s="126">
        <v>500.0</v>
      </c>
      <c r="AB1949" s="125">
        <f>IF(Projects!$AI1949="Electrolysis",
AA1949/VLOOKUP(G1949,ElectrolysisConvF,3,FALSE),
AC1949*10^6/(H2dens*HoursInYear))</f>
        <v>111111.1111</v>
      </c>
      <c r="AC1949" s="126">
        <f>AB1949*H2dens*HoursInYear/10^6</f>
        <v>86.62666667</v>
      </c>
      <c r="AD1949" s="125"/>
      <c r="AE1949" s="125">
        <f t="shared" si="358"/>
        <v>111111.1111</v>
      </c>
      <c r="AF1949" s="127" t="s">
        <v>14910</v>
      </c>
      <c r="AG1949" s="127">
        <v>46.9154099346854</v>
      </c>
      <c r="AH1949" s="127">
        <v>-72.6155259188843</v>
      </c>
      <c r="AI1949" s="115" t="s">
        <v>12383</v>
      </c>
      <c r="AJ1949" s="116">
        <v>0.5</v>
      </c>
      <c r="AK1949" s="117"/>
      <c r="AL1949" s="117"/>
      <c r="AM1949" s="117"/>
      <c r="AN1949" s="117"/>
      <c r="AO1949" s="117"/>
    </row>
    <row r="1950" ht="34.5" customHeight="1">
      <c r="A1950" s="111">
        <v>2612.0</v>
      </c>
      <c r="B1950" s="127" t="s">
        <v>9945</v>
      </c>
      <c r="C1950" s="111" t="s">
        <v>7977</v>
      </c>
      <c r="D1950" s="111">
        <v>2028.0</v>
      </c>
      <c r="E1950" s="111"/>
      <c r="F1950" s="111" t="s">
        <v>12399</v>
      </c>
      <c r="G1950" s="111" t="s">
        <v>12381</v>
      </c>
      <c r="H1950" s="111" t="s">
        <v>12230</v>
      </c>
      <c r="I1950" s="111" t="s">
        <v>12287</v>
      </c>
      <c r="J1950" s="111"/>
      <c r="K1950" s="111" t="s">
        <v>12415</v>
      </c>
      <c r="L1950" s="111"/>
      <c r="M1950" s="111"/>
      <c r="N1950" s="111"/>
      <c r="O1950" s="111"/>
      <c r="P1950" s="111">
        <v>1.0</v>
      </c>
      <c r="Q1950" s="111"/>
      <c r="R1950" s="111"/>
      <c r="S1950" s="111"/>
      <c r="T1950" s="111"/>
      <c r="U1950" s="111"/>
      <c r="V1950" s="111"/>
      <c r="W1950" s="111"/>
      <c r="X1950" s="111"/>
      <c r="Y1950" s="111"/>
      <c r="Z1950" s="111" t="s">
        <v>14911</v>
      </c>
      <c r="AA1950" s="126">
        <f>IF(Projects!$AI1950="Electrolysis",
AB1950*VLOOKUP(G1950,ElectrolysisConvF,3,FALSE),
"")</f>
        <v>331.2957904</v>
      </c>
      <c r="AB1950" s="125">
        <f>AC1950/(H2dens*HoursInYear/10^6)</f>
        <v>73621.28675</v>
      </c>
      <c r="AC1950" s="125">
        <f>300*0.191327</f>
        <v>57.3981</v>
      </c>
      <c r="AD1950" s="125"/>
      <c r="AE1950" s="125">
        <f t="shared" si="358"/>
        <v>73621.28675</v>
      </c>
      <c r="AF1950" s="127" t="s">
        <v>14912</v>
      </c>
      <c r="AG1950" s="127">
        <v>37.2197957856124</v>
      </c>
      <c r="AH1950" s="127">
        <v>-6.9371736040034</v>
      </c>
      <c r="AI1950" s="115" t="s">
        <v>12383</v>
      </c>
      <c r="AJ1950" s="116">
        <v>0.57</v>
      </c>
      <c r="AK1950" s="117"/>
      <c r="AL1950" s="117"/>
      <c r="AM1950" s="117"/>
      <c r="AN1950" s="117"/>
      <c r="AO1950" s="117"/>
    </row>
    <row r="1951" ht="34.5" customHeight="1">
      <c r="A1951" s="111">
        <v>2613.0</v>
      </c>
      <c r="B1951" s="111" t="s">
        <v>9946</v>
      </c>
      <c r="C1951" s="111" t="s">
        <v>8177</v>
      </c>
      <c r="D1951" s="111">
        <v>2028.0</v>
      </c>
      <c r="E1951" s="111"/>
      <c r="F1951" s="111" t="s">
        <v>12397</v>
      </c>
      <c r="G1951" s="111" t="s">
        <v>12381</v>
      </c>
      <c r="H1951" s="111" t="s">
        <v>12230</v>
      </c>
      <c r="I1951" s="111" t="s">
        <v>12394</v>
      </c>
      <c r="J1951" s="111" t="s">
        <v>12295</v>
      </c>
      <c r="K1951" s="111" t="s">
        <v>30</v>
      </c>
      <c r="L1951" s="111"/>
      <c r="M1951" s="111"/>
      <c r="N1951" s="111"/>
      <c r="O1951" s="111"/>
      <c r="P1951" s="111"/>
      <c r="Q1951" s="111"/>
      <c r="R1951" s="111"/>
      <c r="S1951" s="111"/>
      <c r="T1951" s="111"/>
      <c r="U1951" s="111"/>
      <c r="V1951" s="111"/>
      <c r="W1951" s="111"/>
      <c r="X1951" s="111"/>
      <c r="Y1951" s="111"/>
      <c r="Z1951" s="111" t="s">
        <v>14913</v>
      </c>
      <c r="AA1951" s="126">
        <v>35000.0</v>
      </c>
      <c r="AB1951" s="125">
        <f>IF(Projects!$AI1951="Electrolysis",
AA1951/VLOOKUP(G1951,ElectrolysisConvF,3,FALSE),
AC1951*10^6/(H2dens*HoursInYear))</f>
        <v>7777777.778</v>
      </c>
      <c r="AC1951" s="126">
        <f>AB1951*H2dens*HoursInYear/10^6</f>
        <v>6063.866667</v>
      </c>
      <c r="AD1951" s="125"/>
      <c r="AE1951" s="125">
        <f t="shared" si="358"/>
        <v>7777777.778</v>
      </c>
      <c r="AF1951" s="127" t="s">
        <v>14914</v>
      </c>
      <c r="AG1951" s="127">
        <v>18.6211088216298</v>
      </c>
      <c r="AH1951" s="127">
        <v>-12.4682963675008</v>
      </c>
      <c r="AI1951" s="115" t="s">
        <v>12383</v>
      </c>
      <c r="AJ1951" s="116">
        <v>0.5</v>
      </c>
      <c r="AK1951" s="117"/>
      <c r="AL1951" s="117"/>
      <c r="AM1951" s="117"/>
      <c r="AN1951" s="117"/>
      <c r="AO1951" s="117"/>
    </row>
    <row r="1952" ht="34.5" customHeight="1">
      <c r="A1952" s="111">
        <v>2614.0</v>
      </c>
      <c r="B1952" s="111" t="s">
        <v>9947</v>
      </c>
      <c r="C1952" s="111" t="s">
        <v>8785</v>
      </c>
      <c r="D1952" s="111">
        <v>2028.0</v>
      </c>
      <c r="E1952" s="111"/>
      <c r="F1952" s="111" t="s">
        <v>12399</v>
      </c>
      <c r="G1952" s="111" t="s">
        <v>12381</v>
      </c>
      <c r="H1952" s="111" t="s">
        <v>12230</v>
      </c>
      <c r="I1952" s="111" t="s">
        <v>12394</v>
      </c>
      <c r="J1952" s="111" t="s">
        <v>12295</v>
      </c>
      <c r="K1952" s="111" t="s">
        <v>12415</v>
      </c>
      <c r="L1952" s="111"/>
      <c r="M1952" s="111"/>
      <c r="N1952" s="111">
        <v>1.0</v>
      </c>
      <c r="O1952" s="111"/>
      <c r="P1952" s="111">
        <v>1.0</v>
      </c>
      <c r="Q1952" s="111">
        <v>1.0</v>
      </c>
      <c r="R1952" s="111"/>
      <c r="S1952" s="111"/>
      <c r="T1952" s="111"/>
      <c r="U1952" s="111"/>
      <c r="V1952" s="111"/>
      <c r="W1952" s="111"/>
      <c r="X1952" s="111"/>
      <c r="Y1952" s="111"/>
      <c r="Z1952" s="111" t="s">
        <v>14915</v>
      </c>
      <c r="AA1952" s="126">
        <f>IF(Projects!$AI1952="Electrolysis",
AB1952*VLOOKUP(G1952,ElectrolysisConvF,3,FALSE),
"")</f>
        <v>662.5915807</v>
      </c>
      <c r="AB1952" s="125">
        <f>AC1952/(H2dens*HoursInYear/10^6)</f>
        <v>147242.5735</v>
      </c>
      <c r="AC1952" s="125">
        <f>300*0.191327/Projects!$AJ1952</f>
        <v>114.7962</v>
      </c>
      <c r="AD1952" s="125"/>
      <c r="AE1952" s="125">
        <f t="shared" si="358"/>
        <v>147242.5735</v>
      </c>
      <c r="AF1952" s="127" t="s">
        <v>14916</v>
      </c>
      <c r="AG1952" s="127">
        <v>29.659369</v>
      </c>
      <c r="AH1952" s="127">
        <v>32.34481</v>
      </c>
      <c r="AI1952" s="115" t="s">
        <v>12383</v>
      </c>
      <c r="AJ1952" s="116">
        <v>0.5</v>
      </c>
      <c r="AK1952" s="117"/>
      <c r="AL1952" s="117"/>
      <c r="AM1952" s="117"/>
      <c r="AN1952" s="117"/>
      <c r="AO1952" s="117"/>
    </row>
    <row r="1953" ht="34.5" customHeight="1">
      <c r="A1953" s="111">
        <v>2615.0</v>
      </c>
      <c r="B1953" s="111" t="s">
        <v>9948</v>
      </c>
      <c r="C1953" s="111" t="s">
        <v>9949</v>
      </c>
      <c r="D1953" s="111">
        <v>2028.0</v>
      </c>
      <c r="E1953" s="111"/>
      <c r="F1953" s="111" t="s">
        <v>12397</v>
      </c>
      <c r="G1953" s="111" t="s">
        <v>12381</v>
      </c>
      <c r="H1953" s="111" t="s">
        <v>12230</v>
      </c>
      <c r="I1953" s="111" t="s">
        <v>12394</v>
      </c>
      <c r="J1953" s="111" t="s">
        <v>12295</v>
      </c>
      <c r="K1953" s="111" t="s">
        <v>30</v>
      </c>
      <c r="L1953" s="111"/>
      <c r="M1953" s="111"/>
      <c r="N1953" s="111"/>
      <c r="O1953" s="111"/>
      <c r="P1953" s="111"/>
      <c r="Q1953" s="111"/>
      <c r="R1953" s="111"/>
      <c r="S1953" s="111"/>
      <c r="T1953" s="111"/>
      <c r="U1953" s="111"/>
      <c r="V1953" s="111"/>
      <c r="W1953" s="111"/>
      <c r="X1953" s="111"/>
      <c r="Y1953" s="111"/>
      <c r="Z1953" s="111" t="s">
        <v>14917</v>
      </c>
      <c r="AA1953" s="126">
        <v>350.0</v>
      </c>
      <c r="AB1953" s="125">
        <f>IF(Projects!$AI1953="Electrolysis",
AA1953/VLOOKUP(G1953,ElectrolysisConvF,3,FALSE),
AC1953*10^6/(H2dens*HoursInYear))</f>
        <v>77777.77778</v>
      </c>
      <c r="AC1953" s="126">
        <f>AB1953*H2dens*HoursInYear/10^6</f>
        <v>60.63866667</v>
      </c>
      <c r="AD1953" s="125"/>
      <c r="AE1953" s="125">
        <f t="shared" si="358"/>
        <v>77777.77778</v>
      </c>
      <c r="AF1953" s="127" t="s">
        <v>14918</v>
      </c>
      <c r="AG1953" s="127">
        <v>18.452420186298</v>
      </c>
      <c r="AH1953" s="127">
        <v>-68.9487855396054</v>
      </c>
      <c r="AI1953" s="115" t="s">
        <v>12383</v>
      </c>
      <c r="AJ1953" s="116">
        <v>0.5</v>
      </c>
      <c r="AK1953" s="117"/>
      <c r="AL1953" s="117"/>
      <c r="AM1953" s="117"/>
      <c r="AN1953" s="117"/>
      <c r="AO1953" s="117"/>
    </row>
    <row r="1954" ht="34.5" customHeight="1">
      <c r="A1954" s="111">
        <v>2622.0</v>
      </c>
      <c r="B1954" s="111" t="s">
        <v>9950</v>
      </c>
      <c r="C1954" s="111" t="s">
        <v>9951</v>
      </c>
      <c r="D1954" s="111">
        <v>2026.0</v>
      </c>
      <c r="E1954" s="111"/>
      <c r="F1954" s="111" t="s">
        <v>12393</v>
      </c>
      <c r="G1954" s="111" t="s">
        <v>12235</v>
      </c>
      <c r="H1954" s="111" t="s">
        <v>13373</v>
      </c>
      <c r="I1954" s="111"/>
      <c r="J1954" s="111"/>
      <c r="K1954" s="111" t="s">
        <v>174</v>
      </c>
      <c r="L1954" s="111"/>
      <c r="M1954" s="111">
        <v>1.0</v>
      </c>
      <c r="N1954" s="111"/>
      <c r="O1954" s="111"/>
      <c r="P1954" s="111"/>
      <c r="Q1954" s="111"/>
      <c r="R1954" s="111"/>
      <c r="S1954" s="111"/>
      <c r="T1954" s="111"/>
      <c r="U1954" s="111"/>
      <c r="V1954" s="111"/>
      <c r="W1954" s="111"/>
      <c r="X1954" s="111"/>
      <c r="Y1954" s="111"/>
      <c r="Z1954" s="111" t="s">
        <v>14919</v>
      </c>
      <c r="AA1954" s="126"/>
      <c r="AB1954" s="125">
        <f>AC1954/(H2dens*HoursInYear/10^6)</f>
        <v>277161.8113</v>
      </c>
      <c r="AC1954" s="126">
        <f>(1.2*1000*3/17/0.98)</f>
        <v>216.0864346</v>
      </c>
      <c r="AD1954" s="125">
        <v>1500000.0</v>
      </c>
      <c r="AE1954" s="125">
        <f t="shared" si="358"/>
        <v>188064.6642</v>
      </c>
      <c r="AF1954" s="127" t="s">
        <v>14920</v>
      </c>
      <c r="AG1954" s="127">
        <v>24.9897100116978</v>
      </c>
      <c r="AH1954" s="127">
        <v>51.5723527971168</v>
      </c>
      <c r="AI1954" s="115" t="s">
        <v>12378</v>
      </c>
      <c r="AJ1954" s="116">
        <v>0.9</v>
      </c>
      <c r="AK1954" s="117"/>
      <c r="AL1954" s="117"/>
      <c r="AM1954" s="117"/>
      <c r="AN1954" s="117"/>
      <c r="AO1954" s="117"/>
    </row>
    <row r="1955" ht="34.5" customHeight="1">
      <c r="A1955" s="111">
        <v>2623.0</v>
      </c>
      <c r="B1955" s="111" t="s">
        <v>235</v>
      </c>
      <c r="C1955" s="111" t="s">
        <v>7999</v>
      </c>
      <c r="D1955" s="111">
        <v>2023.0</v>
      </c>
      <c r="E1955" s="111"/>
      <c r="F1955" s="111" t="s">
        <v>12418</v>
      </c>
      <c r="G1955" s="111" t="s">
        <v>12226</v>
      </c>
      <c r="H1955" s="111"/>
      <c r="I1955" s="111" t="s">
        <v>12394</v>
      </c>
      <c r="J1955" s="111" t="s">
        <v>12295</v>
      </c>
      <c r="K1955" s="111" t="s">
        <v>30</v>
      </c>
      <c r="L1955" s="111"/>
      <c r="M1955" s="111"/>
      <c r="N1955" s="111"/>
      <c r="O1955" s="111"/>
      <c r="P1955" s="111"/>
      <c r="Q1955" s="111"/>
      <c r="R1955" s="111"/>
      <c r="S1955" s="111">
        <v>1.0</v>
      </c>
      <c r="T1955" s="111"/>
      <c r="U1955" s="111">
        <v>1.0</v>
      </c>
      <c r="V1955" s="111"/>
      <c r="W1955" s="111"/>
      <c r="X1955" s="111"/>
      <c r="Y1955" s="111"/>
      <c r="Z1955" s="111" t="s">
        <v>14921</v>
      </c>
      <c r="AA1955" s="126">
        <v>2.0</v>
      </c>
      <c r="AB1955" s="125">
        <f>IF(Projects!$AI1955="Electrolysis",
AA1955/VLOOKUP(G1955,ElectrolysisConvF,3,FALSE),
AC1955*10^6/(H2dens*HoursInYear))</f>
        <v>384.6153846</v>
      </c>
      <c r="AC1955" s="126">
        <f>AB1955*H2dens*HoursInYear/10^6</f>
        <v>0.2998615385</v>
      </c>
      <c r="AD1955" s="125"/>
      <c r="AE1955" s="125">
        <f t="shared" si="358"/>
        <v>384.6153846</v>
      </c>
      <c r="AF1955" s="127" t="s">
        <v>14922</v>
      </c>
      <c r="AG1955" s="127">
        <v>47.9851682548485</v>
      </c>
      <c r="AH1955" s="127">
        <v>13.5608745428873</v>
      </c>
      <c r="AI1955" s="115" t="s">
        <v>12383</v>
      </c>
      <c r="AJ1955" s="116">
        <v>0.5</v>
      </c>
      <c r="AK1955" s="117"/>
      <c r="AL1955" s="117"/>
      <c r="AM1955" s="117"/>
      <c r="AN1955" s="117"/>
      <c r="AO1955" s="117"/>
    </row>
    <row r="1956" ht="34.5" customHeight="1">
      <c r="A1956" s="111">
        <v>2624.0</v>
      </c>
      <c r="B1956" s="111" t="s">
        <v>9952</v>
      </c>
      <c r="C1956" s="111" t="s">
        <v>7981</v>
      </c>
      <c r="D1956" s="111">
        <v>2025.0</v>
      </c>
      <c r="E1956" s="111"/>
      <c r="F1956" s="111" t="s">
        <v>12418</v>
      </c>
      <c r="G1956" s="111" t="s">
        <v>12233</v>
      </c>
      <c r="H1956" s="111"/>
      <c r="I1956" s="111"/>
      <c r="J1956" s="111"/>
      <c r="K1956" s="111" t="s">
        <v>30</v>
      </c>
      <c r="L1956" s="111"/>
      <c r="M1956" s="111"/>
      <c r="N1956" s="111"/>
      <c r="O1956" s="111"/>
      <c r="P1956" s="111"/>
      <c r="Q1956" s="111"/>
      <c r="R1956" s="111"/>
      <c r="S1956" s="111"/>
      <c r="T1956" s="111"/>
      <c r="U1956" s="111"/>
      <c r="V1956" s="111"/>
      <c r="W1956" s="111"/>
      <c r="X1956" s="111"/>
      <c r="Y1956" s="111"/>
      <c r="Z1956" s="111" t="s">
        <v>14923</v>
      </c>
      <c r="AA1956" s="126" t="str">
        <f>IF(OR(G1956="ALK",G1956="PEM",G1956="SOEC",G1956="Other Electrolysis"),
AB1956*VLOOKUP(G1956,ElectrolysisConvF,3,FALSE),
"")</f>
        <v/>
      </c>
      <c r="AB1956" s="125">
        <f>IF(Projects!$AI1956="Electrolysis",
AA1956/VLOOKUP(G1956,ElectrolysisConvF,3,FALSE),
AC1956*10^6/(H2dens*HoursInYear))</f>
        <v>7802.746567</v>
      </c>
      <c r="AC1956" s="126">
        <f>(15/1000*365)/Projects!$AJ1956</f>
        <v>6.083333333</v>
      </c>
      <c r="AD1956" s="125"/>
      <c r="AE1956" s="125">
        <f t="shared" si="358"/>
        <v>0</v>
      </c>
      <c r="AF1956" s="127" t="s">
        <v>14924</v>
      </c>
      <c r="AG1956" s="127">
        <v>44.2739867416455</v>
      </c>
      <c r="AH1956" s="127">
        <v>-105.455085541004</v>
      </c>
      <c r="AI1956" s="115" t="s">
        <v>12378</v>
      </c>
      <c r="AJ1956" s="116">
        <v>0.9</v>
      </c>
      <c r="AK1956" s="117"/>
      <c r="AL1956" s="117"/>
      <c r="AM1956" s="117"/>
      <c r="AN1956" s="117"/>
      <c r="AO1956" s="117"/>
    </row>
    <row r="1957" ht="34.5" customHeight="1">
      <c r="A1957" s="111">
        <v>2625.0</v>
      </c>
      <c r="B1957" s="111" t="s">
        <v>9953</v>
      </c>
      <c r="C1957" s="111" t="s">
        <v>7981</v>
      </c>
      <c r="D1957" s="111">
        <v>2026.0</v>
      </c>
      <c r="E1957" s="111"/>
      <c r="F1957" s="111" t="s">
        <v>12418</v>
      </c>
      <c r="G1957" s="111" t="s">
        <v>12235</v>
      </c>
      <c r="H1957" s="111" t="s">
        <v>12885</v>
      </c>
      <c r="I1957" s="111"/>
      <c r="J1957" s="111"/>
      <c r="K1957" s="111" t="s">
        <v>30</v>
      </c>
      <c r="L1957" s="111"/>
      <c r="M1957" s="111"/>
      <c r="N1957" s="111"/>
      <c r="O1957" s="111"/>
      <c r="P1957" s="111"/>
      <c r="Q1957" s="111"/>
      <c r="R1957" s="111"/>
      <c r="S1957" s="111"/>
      <c r="T1957" s="111"/>
      <c r="U1957" s="111"/>
      <c r="V1957" s="111"/>
      <c r="W1957" s="111"/>
      <c r="X1957" s="111"/>
      <c r="Y1957" s="111"/>
      <c r="Z1957" s="111" t="s">
        <v>14925</v>
      </c>
      <c r="AA1957" s="126" t="str">
        <f>IF(OR(G1957="ALK",G1957="PEM",G1957="SOEC",G1957="Other Electrolysis"),
AB1957*VLOOKUP(G1957,ElectrolysisConvF,3,FALSE),
"")</f>
        <v/>
      </c>
      <c r="AB1957" s="125">
        <f>IF(Projects!$AI1957="Electrolysis",
AA1957/VLOOKUP(G1957,ElectrolysisConvF,3,FALSE),
AC1957*10^6/(H2dens*HoursInYear))</f>
        <v>520.1831045</v>
      </c>
      <c r="AC1957" s="126">
        <f>(1/1000)*365/Projects!$AJ1957</f>
        <v>0.4055555556</v>
      </c>
      <c r="AD1957" s="125"/>
      <c r="AE1957" s="125">
        <f t="shared" si="358"/>
        <v>0</v>
      </c>
      <c r="AF1957" s="127" t="s">
        <v>14926</v>
      </c>
      <c r="AG1957" s="127">
        <v>41.0591943069837</v>
      </c>
      <c r="AH1957" s="127">
        <v>-104.891578101129</v>
      </c>
      <c r="AI1957" s="115" t="s">
        <v>12378</v>
      </c>
      <c r="AJ1957" s="116">
        <v>0.9</v>
      </c>
      <c r="AK1957" s="117"/>
      <c r="AL1957" s="117"/>
      <c r="AM1957" s="117"/>
      <c r="AN1957" s="117"/>
      <c r="AO1957" s="117"/>
    </row>
    <row r="1958" ht="34.5" customHeight="1">
      <c r="A1958" s="111">
        <v>2626.0</v>
      </c>
      <c r="B1958" s="111" t="s">
        <v>9954</v>
      </c>
      <c r="C1958" s="111" t="s">
        <v>8539</v>
      </c>
      <c r="D1958" s="111">
        <v>2025.0</v>
      </c>
      <c r="E1958" s="111"/>
      <c r="F1958" s="111" t="s">
        <v>12393</v>
      </c>
      <c r="G1958" s="111" t="s">
        <v>12224</v>
      </c>
      <c r="H1958" s="111"/>
      <c r="I1958" s="111" t="s">
        <v>12394</v>
      </c>
      <c r="J1958" s="111" t="s">
        <v>12291</v>
      </c>
      <c r="K1958" s="111" t="s">
        <v>30</v>
      </c>
      <c r="L1958" s="111"/>
      <c r="M1958" s="111"/>
      <c r="N1958" s="111"/>
      <c r="O1958" s="111"/>
      <c r="P1958" s="111"/>
      <c r="Q1958" s="111">
        <v>1.0</v>
      </c>
      <c r="R1958" s="111">
        <v>1.0</v>
      </c>
      <c r="S1958" s="111"/>
      <c r="T1958" s="111"/>
      <c r="U1958" s="111"/>
      <c r="V1958" s="111"/>
      <c r="W1958" s="111"/>
      <c r="X1958" s="111"/>
      <c r="Y1958" s="111"/>
      <c r="Z1958" s="111" t="s">
        <v>14927</v>
      </c>
      <c r="AA1958" s="126">
        <f>IF(Projects!$AI1958="Electrolysis",
AB1958*VLOOKUP(G1958,ElectrolysisConvF,3,FALSE),
"")</f>
        <v>4.307116105</v>
      </c>
      <c r="AB1958" s="125">
        <f>AC1958/(H2dens*HoursInYear/10^6)</f>
        <v>936.329588</v>
      </c>
      <c r="AC1958" s="125">
        <f>((0.6/1000)*365/Projects!$AJ1958)</f>
        <v>0.73</v>
      </c>
      <c r="AD1958" s="125"/>
      <c r="AE1958" s="125">
        <f t="shared" si="358"/>
        <v>936.329588</v>
      </c>
      <c r="AF1958" s="127" t="s">
        <v>14928</v>
      </c>
      <c r="AG1958" s="127">
        <v>36.0612851899911</v>
      </c>
      <c r="AH1958" s="127">
        <v>128.077667686249</v>
      </c>
      <c r="AI1958" s="115" t="s">
        <v>12383</v>
      </c>
      <c r="AJ1958" s="116">
        <v>0.3</v>
      </c>
      <c r="AK1958" s="117"/>
      <c r="AL1958" s="117"/>
      <c r="AM1958" s="117"/>
      <c r="AN1958" s="117"/>
      <c r="AO1958" s="117"/>
    </row>
    <row r="1959" ht="34.5" customHeight="1">
      <c r="A1959" s="111">
        <v>2627.0</v>
      </c>
      <c r="B1959" s="111" t="s">
        <v>9955</v>
      </c>
      <c r="C1959" s="111" t="s">
        <v>7987</v>
      </c>
      <c r="D1959" s="111">
        <v>2023.0</v>
      </c>
      <c r="E1959" s="111"/>
      <c r="F1959" s="111" t="s">
        <v>12418</v>
      </c>
      <c r="G1959" s="111" t="s">
        <v>13638</v>
      </c>
      <c r="H1959" s="111"/>
      <c r="I1959" s="111"/>
      <c r="J1959" s="111"/>
      <c r="K1959" s="111" t="s">
        <v>30</v>
      </c>
      <c r="L1959" s="111"/>
      <c r="M1959" s="111"/>
      <c r="N1959" s="111"/>
      <c r="O1959" s="111"/>
      <c r="P1959" s="111"/>
      <c r="Q1959" s="111"/>
      <c r="R1959" s="111"/>
      <c r="S1959" s="111"/>
      <c r="T1959" s="111"/>
      <c r="U1959" s="111"/>
      <c r="V1959" s="111"/>
      <c r="W1959" s="111"/>
      <c r="X1959" s="111"/>
      <c r="Y1959" s="111"/>
      <c r="Z1959" s="111" t="s">
        <v>14929</v>
      </c>
      <c r="AA1959" s="124">
        <v>1.0</v>
      </c>
      <c r="AB1959" s="125">
        <f>IF(Projects!$AI1959="Electrolysis",
AA1959/VLOOKUP(G1959,ElectrolysisConvF,3,FALSE),
AC1959*10^6/(H2dens*HoursInYear))</f>
        <v>222.2222222</v>
      </c>
      <c r="AC1959" s="126">
        <f t="shared" ref="AC1959:AC1964" si="371">AB1959*H2dens*HoursInYear/10^6</f>
        <v>0.1732533333</v>
      </c>
      <c r="AD1959" s="125"/>
      <c r="AE1959" s="125">
        <f t="shared" si="358"/>
        <v>222.2222222</v>
      </c>
      <c r="AF1959" s="127" t="s">
        <v>14930</v>
      </c>
      <c r="AG1959" s="127">
        <v>52.2000340471413</v>
      </c>
      <c r="AH1959" s="127">
        <v>7.62321869449201</v>
      </c>
      <c r="AI1959" s="115" t="s">
        <v>12383</v>
      </c>
      <c r="AJ1959" s="116" t="e">
        <v>#N/A</v>
      </c>
      <c r="AK1959" s="117"/>
      <c r="AL1959" s="117"/>
      <c r="AM1959" s="117"/>
      <c r="AN1959" s="117"/>
      <c r="AO1959" s="117"/>
    </row>
    <row r="1960" ht="34.5" customHeight="1">
      <c r="A1960" s="111">
        <v>2628.0</v>
      </c>
      <c r="B1960" s="111" t="s">
        <v>9956</v>
      </c>
      <c r="C1960" s="111" t="s">
        <v>8026</v>
      </c>
      <c r="D1960" s="111">
        <v>2027.0</v>
      </c>
      <c r="E1960" s="111"/>
      <c r="F1960" s="111" t="s">
        <v>12399</v>
      </c>
      <c r="G1960" s="111" t="s">
        <v>12381</v>
      </c>
      <c r="H1960" s="111" t="s">
        <v>12230</v>
      </c>
      <c r="I1960" s="111" t="s">
        <v>12287</v>
      </c>
      <c r="J1960" s="111"/>
      <c r="K1960" s="111" t="s">
        <v>12449</v>
      </c>
      <c r="L1960" s="111"/>
      <c r="M1960" s="111"/>
      <c r="N1960" s="111"/>
      <c r="O1960" s="111"/>
      <c r="P1960" s="111"/>
      <c r="Q1960" s="111">
        <v>1.0</v>
      </c>
      <c r="R1960" s="111"/>
      <c r="S1960" s="111"/>
      <c r="T1960" s="111"/>
      <c r="U1960" s="111"/>
      <c r="V1960" s="111"/>
      <c r="W1960" s="111"/>
      <c r="X1960" s="111"/>
      <c r="Y1960" s="111"/>
      <c r="Z1960" s="111" t="s">
        <v>14931</v>
      </c>
      <c r="AA1960" s="126">
        <v>50.0</v>
      </c>
      <c r="AB1960" s="125">
        <f>IF(Projects!$AI1960="Electrolysis",
AA1960/VLOOKUP(G1960,ElectrolysisConvF,3,FALSE),
AC1960*10^6/(H2dens*HoursInYear))</f>
        <v>11111.11111</v>
      </c>
      <c r="AC1960" s="126">
        <f t="shared" si="371"/>
        <v>8.662666667</v>
      </c>
      <c r="AD1960" s="125"/>
      <c r="AE1960" s="125">
        <f t="shared" si="358"/>
        <v>11111.11111</v>
      </c>
      <c r="AF1960" s="127" t="s">
        <v>14932</v>
      </c>
      <c r="AG1960" s="127">
        <v>60.4662594940638</v>
      </c>
      <c r="AH1960" s="127">
        <v>25.1127157043182</v>
      </c>
      <c r="AI1960" s="115" t="s">
        <v>12383</v>
      </c>
      <c r="AJ1960" s="116">
        <v>0.57</v>
      </c>
      <c r="AK1960" s="117"/>
      <c r="AL1960" s="117"/>
      <c r="AM1960" s="117"/>
      <c r="AN1960" s="117"/>
      <c r="AO1960" s="117"/>
    </row>
    <row r="1961" ht="34.5" customHeight="1">
      <c r="A1961" s="111">
        <v>2629.0</v>
      </c>
      <c r="B1961" s="111" t="s">
        <v>9957</v>
      </c>
      <c r="C1961" s="111" t="s">
        <v>8026</v>
      </c>
      <c r="D1961" s="111">
        <v>2027.0</v>
      </c>
      <c r="E1961" s="111"/>
      <c r="F1961" s="111" t="s">
        <v>12399</v>
      </c>
      <c r="G1961" s="111" t="s">
        <v>12381</v>
      </c>
      <c r="H1961" s="111" t="s">
        <v>12230</v>
      </c>
      <c r="I1961" s="111" t="s">
        <v>12287</v>
      </c>
      <c r="J1961" s="111"/>
      <c r="K1961" s="111" t="s">
        <v>12449</v>
      </c>
      <c r="L1961" s="111"/>
      <c r="M1961" s="111"/>
      <c r="N1961" s="111"/>
      <c r="O1961" s="111"/>
      <c r="P1961" s="111"/>
      <c r="Q1961" s="111">
        <v>1.0</v>
      </c>
      <c r="R1961" s="111"/>
      <c r="S1961" s="111"/>
      <c r="T1961" s="111"/>
      <c r="U1961" s="111">
        <v>1.0</v>
      </c>
      <c r="V1961" s="111"/>
      <c r="W1961" s="111"/>
      <c r="X1961" s="111"/>
      <c r="Y1961" s="111"/>
      <c r="Z1961" s="111" t="s">
        <v>14933</v>
      </c>
      <c r="AA1961" s="126">
        <v>150.0</v>
      </c>
      <c r="AB1961" s="125">
        <f>IF(Projects!$AI1961="Electrolysis",
AA1961/VLOOKUP(G1961,ElectrolysisConvF,3,FALSE),
AC1961*10^6/(H2dens*HoursInYear))</f>
        <v>33333.33333</v>
      </c>
      <c r="AC1961" s="126">
        <f t="shared" si="371"/>
        <v>25.988</v>
      </c>
      <c r="AD1961" s="125"/>
      <c r="AE1961" s="125">
        <f t="shared" si="358"/>
        <v>33333.33333</v>
      </c>
      <c r="AF1961" s="127" t="s">
        <v>14934</v>
      </c>
      <c r="AG1961" s="127">
        <v>61.5527379353427</v>
      </c>
      <c r="AH1961" s="127">
        <v>23.974372407829</v>
      </c>
      <c r="AI1961" s="115" t="s">
        <v>12383</v>
      </c>
      <c r="AJ1961" s="116">
        <v>0.57</v>
      </c>
      <c r="AK1961" s="117"/>
      <c r="AL1961" s="117"/>
      <c r="AM1961" s="117"/>
      <c r="AN1961" s="117"/>
      <c r="AO1961" s="117"/>
    </row>
    <row r="1962" ht="34.5" customHeight="1">
      <c r="A1962" s="111">
        <v>2630.0</v>
      </c>
      <c r="B1962" s="111" t="s">
        <v>9958</v>
      </c>
      <c r="C1962" s="111" t="s">
        <v>8026</v>
      </c>
      <c r="D1962" s="111">
        <v>2027.0</v>
      </c>
      <c r="E1962" s="111"/>
      <c r="F1962" s="111" t="s">
        <v>12399</v>
      </c>
      <c r="G1962" s="111" t="s">
        <v>12381</v>
      </c>
      <c r="H1962" s="111" t="s">
        <v>12230</v>
      </c>
      <c r="I1962" s="111" t="s">
        <v>12287</v>
      </c>
      <c r="J1962" s="111"/>
      <c r="K1962" s="111" t="s">
        <v>12449</v>
      </c>
      <c r="L1962" s="111"/>
      <c r="M1962" s="111"/>
      <c r="N1962" s="111"/>
      <c r="O1962" s="111"/>
      <c r="P1962" s="111"/>
      <c r="Q1962" s="111">
        <v>1.0</v>
      </c>
      <c r="R1962" s="111"/>
      <c r="S1962" s="111"/>
      <c r="T1962" s="111"/>
      <c r="U1962" s="111">
        <v>1.0</v>
      </c>
      <c r="V1962" s="111"/>
      <c r="W1962" s="111"/>
      <c r="X1962" s="111"/>
      <c r="Y1962" s="111"/>
      <c r="Z1962" s="111" t="s">
        <v>14935</v>
      </c>
      <c r="AA1962" s="126">
        <v>100.0</v>
      </c>
      <c r="AB1962" s="125">
        <f>IF(Projects!$AI1962="Electrolysis",
AA1962/VLOOKUP(G1962,ElectrolysisConvF,3,FALSE),
AC1962*10^6/(H2dens*HoursInYear))</f>
        <v>22222.22222</v>
      </c>
      <c r="AC1962" s="126">
        <f t="shared" si="371"/>
        <v>17.32533333</v>
      </c>
      <c r="AD1962" s="125"/>
      <c r="AE1962" s="125">
        <f t="shared" si="358"/>
        <v>22222.22222</v>
      </c>
      <c r="AF1962" s="127" t="s">
        <v>14936</v>
      </c>
      <c r="AG1962" s="127">
        <v>60.9827089143641</v>
      </c>
      <c r="AH1962" s="127">
        <v>25.7894591105701</v>
      </c>
      <c r="AI1962" s="115" t="s">
        <v>12383</v>
      </c>
      <c r="AJ1962" s="116">
        <v>0.57</v>
      </c>
      <c r="AK1962" s="117"/>
      <c r="AL1962" s="117"/>
      <c r="AM1962" s="117"/>
      <c r="AN1962" s="117"/>
      <c r="AO1962" s="117"/>
    </row>
    <row r="1963" ht="34.5" customHeight="1">
      <c r="A1963" s="111">
        <v>2631.0</v>
      </c>
      <c r="B1963" s="111" t="s">
        <v>9959</v>
      </c>
      <c r="C1963" s="111" t="s">
        <v>8026</v>
      </c>
      <c r="D1963" s="111">
        <v>2026.0</v>
      </c>
      <c r="E1963" s="111"/>
      <c r="F1963" s="111" t="s">
        <v>12399</v>
      </c>
      <c r="G1963" s="111" t="s">
        <v>12381</v>
      </c>
      <c r="H1963" s="111" t="s">
        <v>12230</v>
      </c>
      <c r="I1963" s="111" t="s">
        <v>12287</v>
      </c>
      <c r="J1963" s="111"/>
      <c r="K1963" s="111" t="s">
        <v>12449</v>
      </c>
      <c r="L1963" s="111"/>
      <c r="M1963" s="111"/>
      <c r="N1963" s="111"/>
      <c r="O1963" s="111"/>
      <c r="P1963" s="111"/>
      <c r="Q1963" s="111">
        <v>1.0</v>
      </c>
      <c r="R1963" s="111"/>
      <c r="S1963" s="111"/>
      <c r="T1963" s="111"/>
      <c r="U1963" s="111">
        <v>1.0</v>
      </c>
      <c r="V1963" s="111"/>
      <c r="W1963" s="111"/>
      <c r="X1963" s="111"/>
      <c r="Y1963" s="111"/>
      <c r="Z1963" s="111" t="s">
        <v>14933</v>
      </c>
      <c r="AA1963" s="126">
        <v>150.0</v>
      </c>
      <c r="AB1963" s="125">
        <f>IF(Projects!$AI1963="Electrolysis",
AA1963/VLOOKUP(G1963,ElectrolysisConvF,3,FALSE),
AC1963*10^6/(H2dens*HoursInYear))</f>
        <v>33333.33333</v>
      </c>
      <c r="AC1963" s="126">
        <f t="shared" si="371"/>
        <v>25.988</v>
      </c>
      <c r="AD1963" s="125"/>
      <c r="AE1963" s="125">
        <f t="shared" si="358"/>
        <v>33333.33333</v>
      </c>
      <c r="AF1963" s="127" t="s">
        <v>14937</v>
      </c>
      <c r="AG1963" s="127">
        <v>60.5249870379448</v>
      </c>
      <c r="AH1963" s="127">
        <v>26.8525727205455</v>
      </c>
      <c r="AI1963" s="115" t="s">
        <v>12383</v>
      </c>
      <c r="AJ1963" s="116">
        <v>0.57</v>
      </c>
      <c r="AK1963" s="117"/>
      <c r="AL1963" s="117"/>
      <c r="AM1963" s="117"/>
      <c r="AN1963" s="117"/>
      <c r="AO1963" s="117"/>
    </row>
    <row r="1964" ht="34.5" customHeight="1">
      <c r="A1964" s="111">
        <v>2632.0</v>
      </c>
      <c r="B1964" s="111" t="s">
        <v>9960</v>
      </c>
      <c r="C1964" s="111" t="s">
        <v>8026</v>
      </c>
      <c r="D1964" s="111">
        <v>2027.0</v>
      </c>
      <c r="E1964" s="111"/>
      <c r="F1964" s="111" t="s">
        <v>12399</v>
      </c>
      <c r="G1964" s="111" t="s">
        <v>12381</v>
      </c>
      <c r="H1964" s="111" t="s">
        <v>12230</v>
      </c>
      <c r="I1964" s="111" t="s">
        <v>12287</v>
      </c>
      <c r="J1964" s="111"/>
      <c r="K1964" s="111" t="s">
        <v>12449</v>
      </c>
      <c r="L1964" s="111"/>
      <c r="M1964" s="111"/>
      <c r="N1964" s="111"/>
      <c r="O1964" s="111"/>
      <c r="P1964" s="111"/>
      <c r="Q1964" s="111">
        <v>1.0</v>
      </c>
      <c r="R1964" s="111"/>
      <c r="S1964" s="111"/>
      <c r="T1964" s="111"/>
      <c r="U1964" s="111">
        <v>1.0</v>
      </c>
      <c r="V1964" s="111"/>
      <c r="W1964" s="111"/>
      <c r="X1964" s="111"/>
      <c r="Y1964" s="111"/>
      <c r="Z1964" s="111" t="s">
        <v>14931</v>
      </c>
      <c r="AA1964" s="126">
        <v>50.0</v>
      </c>
      <c r="AB1964" s="125">
        <f>IF(Projects!$AI1964="Electrolysis",
AA1964/VLOOKUP(G1964,ElectrolysisConvF,3,FALSE),
AC1964*10^6/(H2dens*HoursInYear))</f>
        <v>11111.11111</v>
      </c>
      <c r="AC1964" s="126">
        <f t="shared" si="371"/>
        <v>8.662666667</v>
      </c>
      <c r="AD1964" s="125"/>
      <c r="AE1964" s="125">
        <f t="shared" si="358"/>
        <v>11111.11111</v>
      </c>
      <c r="AF1964" s="127" t="s">
        <v>14938</v>
      </c>
      <c r="AG1964" s="127">
        <v>61.6703365432153</v>
      </c>
      <c r="AH1964" s="127">
        <v>27.2900970047199</v>
      </c>
      <c r="AI1964" s="115" t="s">
        <v>12383</v>
      </c>
      <c r="AJ1964" s="116">
        <v>0.57</v>
      </c>
      <c r="AK1964" s="117"/>
      <c r="AL1964" s="117"/>
      <c r="AM1964" s="117"/>
      <c r="AN1964" s="117"/>
      <c r="AO1964" s="117"/>
    </row>
    <row r="1965" ht="34.5" customHeight="1">
      <c r="A1965" s="111">
        <v>2633.0</v>
      </c>
      <c r="B1965" s="111" t="s">
        <v>9961</v>
      </c>
      <c r="C1965" s="111" t="s">
        <v>8026</v>
      </c>
      <c r="D1965" s="111">
        <v>2027.0</v>
      </c>
      <c r="E1965" s="111"/>
      <c r="F1965" s="111" t="s">
        <v>12399</v>
      </c>
      <c r="G1965" s="111" t="s">
        <v>12381</v>
      </c>
      <c r="H1965" s="111" t="s">
        <v>12230</v>
      </c>
      <c r="I1965" s="111" t="s">
        <v>12406</v>
      </c>
      <c r="J1965" s="111"/>
      <c r="K1965" s="111" t="s">
        <v>30</v>
      </c>
      <c r="L1965" s="111"/>
      <c r="M1965" s="111"/>
      <c r="N1965" s="111">
        <v>1.0</v>
      </c>
      <c r="O1965" s="111"/>
      <c r="P1965" s="111"/>
      <c r="Q1965" s="111">
        <v>1.0</v>
      </c>
      <c r="R1965" s="111"/>
      <c r="S1965" s="111"/>
      <c r="T1965" s="111"/>
      <c r="U1965" s="111"/>
      <c r="V1965" s="111"/>
      <c r="W1965" s="111"/>
      <c r="X1965" s="111"/>
      <c r="Y1965" s="111"/>
      <c r="Z1965" s="111" t="s">
        <v>14939</v>
      </c>
      <c r="AA1965" s="126">
        <f>IF(Projects!$AI1965="Electrolysis",
AB1965*VLOOKUP(G1965,ElectrolysisConvF,3,FALSE),
"")</f>
        <v>69.26273665</v>
      </c>
      <c r="AB1965" s="125">
        <f t="shared" ref="AB1965:AB1967" si="372">AC1965/(H2dens*HoursInYear/10^6)</f>
        <v>15391.71926</v>
      </c>
      <c r="AC1965" s="125">
        <f>12</f>
        <v>12</v>
      </c>
      <c r="AD1965" s="125"/>
      <c r="AE1965" s="125">
        <f t="shared" si="358"/>
        <v>15391.71926</v>
      </c>
      <c r="AF1965" s="127" t="s">
        <v>14940</v>
      </c>
      <c r="AG1965" s="127">
        <v>61.4887083214934</v>
      </c>
      <c r="AH1965" s="127">
        <v>21.8112096891666</v>
      </c>
      <c r="AI1965" s="115" t="s">
        <v>12383</v>
      </c>
      <c r="AJ1965" s="116">
        <v>0.57</v>
      </c>
      <c r="AK1965" s="117"/>
      <c r="AL1965" s="117"/>
      <c r="AM1965" s="117"/>
      <c r="AN1965" s="117"/>
      <c r="AO1965" s="117"/>
    </row>
    <row r="1966" ht="34.5" customHeight="1">
      <c r="A1966" s="111">
        <v>2634.0</v>
      </c>
      <c r="B1966" s="111" t="s">
        <v>9962</v>
      </c>
      <c r="C1966" s="111" t="s">
        <v>8001</v>
      </c>
      <c r="D1966" s="111"/>
      <c r="E1966" s="111"/>
      <c r="F1966" s="111" t="s">
        <v>12397</v>
      </c>
      <c r="G1966" s="111" t="s">
        <v>12224</v>
      </c>
      <c r="H1966" s="111"/>
      <c r="I1966" s="111" t="s">
        <v>12759</v>
      </c>
      <c r="J1966" s="111"/>
      <c r="K1966" s="111" t="s">
        <v>12481</v>
      </c>
      <c r="L1966" s="111"/>
      <c r="M1966" s="111">
        <v>1.0</v>
      </c>
      <c r="N1966" s="111">
        <v>1.0</v>
      </c>
      <c r="O1966" s="111"/>
      <c r="P1966" s="111"/>
      <c r="Q1966" s="111">
        <v>1.0</v>
      </c>
      <c r="R1966" s="111"/>
      <c r="S1966" s="111"/>
      <c r="T1966" s="111"/>
      <c r="U1966" s="111"/>
      <c r="V1966" s="111"/>
      <c r="W1966" s="111"/>
      <c r="X1966" s="111"/>
      <c r="Y1966" s="111"/>
      <c r="Z1966" s="127" t="s">
        <v>14941</v>
      </c>
      <c r="AA1966" s="126">
        <f>IF(Projects!$AI1966="Electrolysis",
AB1966*VLOOKUP(G1966,ElectrolysisConvF,3,FALSE),
"")</f>
        <v>808.4917821</v>
      </c>
      <c r="AB1966" s="125">
        <f t="shared" si="372"/>
        <v>175759.0831</v>
      </c>
      <c r="AC1966" s="125">
        <f>(110-45)+(400*3/17/0.98)</f>
        <v>137.0288115</v>
      </c>
      <c r="AD1966" s="125"/>
      <c r="AE1966" s="125">
        <f t="shared" si="358"/>
        <v>175759.0831</v>
      </c>
      <c r="AF1966" s="127" t="s">
        <v>14942</v>
      </c>
      <c r="AG1966" s="127">
        <v>45.1468985491529</v>
      </c>
      <c r="AH1966" s="127">
        <v>124.828845075208</v>
      </c>
      <c r="AI1966" s="115" t="s">
        <v>12383</v>
      </c>
      <c r="AJ1966" s="116">
        <v>0.7</v>
      </c>
      <c r="AK1966" s="117"/>
      <c r="AL1966" s="117"/>
      <c r="AM1966" s="117"/>
      <c r="AN1966" s="117"/>
      <c r="AO1966" s="117"/>
    </row>
    <row r="1967" ht="33.75" customHeight="1">
      <c r="A1967" s="111">
        <v>2635.0</v>
      </c>
      <c r="B1967" s="111" t="s">
        <v>9963</v>
      </c>
      <c r="C1967" s="111" t="s">
        <v>8001</v>
      </c>
      <c r="D1967" s="111">
        <v>2024.0</v>
      </c>
      <c r="E1967" s="111"/>
      <c r="F1967" s="111" t="s">
        <v>12393</v>
      </c>
      <c r="G1967" s="111" t="s">
        <v>12381</v>
      </c>
      <c r="H1967" s="111" t="s">
        <v>12230</v>
      </c>
      <c r="I1967" s="111" t="s">
        <v>12394</v>
      </c>
      <c r="J1967" s="111" t="s">
        <v>12295</v>
      </c>
      <c r="K1967" s="111" t="s">
        <v>30</v>
      </c>
      <c r="L1967" s="111"/>
      <c r="M1967" s="111"/>
      <c r="N1967" s="111"/>
      <c r="O1967" s="111"/>
      <c r="P1967" s="111">
        <v>1.0</v>
      </c>
      <c r="Q1967" s="111"/>
      <c r="R1967" s="111"/>
      <c r="S1967" s="111"/>
      <c r="T1967" s="111"/>
      <c r="U1967" s="111"/>
      <c r="V1967" s="111"/>
      <c r="W1967" s="111"/>
      <c r="X1967" s="111"/>
      <c r="Y1967" s="111"/>
      <c r="Z1967" s="111" t="s">
        <v>14943</v>
      </c>
      <c r="AA1967" s="126">
        <f>IF(Projects!$AI1967="Electrolysis",
AB1967*VLOOKUP(G1967,ElectrolysisConvF,3,FALSE),
"")</f>
        <v>115.4378944</v>
      </c>
      <c r="AB1967" s="125">
        <f t="shared" si="372"/>
        <v>25652.86543</v>
      </c>
      <c r="AC1967" s="126">
        <f>20</f>
        <v>20</v>
      </c>
      <c r="AD1967" s="125"/>
      <c r="AE1967" s="125">
        <f t="shared" si="358"/>
        <v>25652.86543</v>
      </c>
      <c r="AF1967" s="127" t="s">
        <v>14944</v>
      </c>
      <c r="AG1967" s="127">
        <v>39.6740578446643</v>
      </c>
      <c r="AH1967" s="127">
        <v>109.724756063919</v>
      </c>
      <c r="AI1967" s="115" t="s">
        <v>12383</v>
      </c>
      <c r="AJ1967" s="116">
        <v>0.5</v>
      </c>
      <c r="AK1967" s="117"/>
      <c r="AL1967" s="117"/>
      <c r="AM1967" s="117"/>
      <c r="AN1967" s="117"/>
      <c r="AO1967" s="117"/>
    </row>
    <row r="1968" ht="34.5" customHeight="1">
      <c r="A1968" s="111">
        <v>2645.0</v>
      </c>
      <c r="B1968" s="111" t="s">
        <v>9964</v>
      </c>
      <c r="C1968" s="111" t="s">
        <v>8001</v>
      </c>
      <c r="D1968" s="111">
        <v>2023.0</v>
      </c>
      <c r="E1968" s="111"/>
      <c r="F1968" s="111" t="s">
        <v>12385</v>
      </c>
      <c r="G1968" s="111" t="s">
        <v>12239</v>
      </c>
      <c r="H1968" s="111"/>
      <c r="I1968" s="111" t="str">
        <f>IF(AND(G1968&lt;&gt;"ALK",G1968&lt;&gt;"PEM",G1968&lt;&gt;"SOEC",G1968&lt;&gt;"Other electrolysis"),"N/A","")</f>
        <v>N/A</v>
      </c>
      <c r="J1968" s="111"/>
      <c r="K1968" s="111" t="s">
        <v>30</v>
      </c>
      <c r="L1968" s="111"/>
      <c r="M1968" s="111"/>
      <c r="N1968" s="111"/>
      <c r="O1968" s="111"/>
      <c r="P1968" s="111"/>
      <c r="Q1968" s="111">
        <v>1.0</v>
      </c>
      <c r="R1968" s="111"/>
      <c r="S1968" s="111"/>
      <c r="T1968" s="111"/>
      <c r="U1968" s="111"/>
      <c r="V1968" s="111"/>
      <c r="W1968" s="111"/>
      <c r="X1968" s="111"/>
      <c r="Y1968" s="111"/>
      <c r="Z1968" s="111" t="s">
        <v>14945</v>
      </c>
      <c r="AA1968" s="124"/>
      <c r="AB1968" s="125">
        <v>3000.0</v>
      </c>
      <c r="AC1968" s="126">
        <f>AB1968*H2dens*HoursInYear/10^6</f>
        <v>2.33892</v>
      </c>
      <c r="AD1968" s="125"/>
      <c r="AE1968" s="125">
        <f t="shared" si="358"/>
        <v>3000</v>
      </c>
      <c r="AF1968" s="111" t="s">
        <v>14946</v>
      </c>
      <c r="AG1968" s="127">
        <v>22.9933648645892</v>
      </c>
      <c r="AH1968" s="127">
        <v>113.076252802835</v>
      </c>
      <c r="AI1968" s="115" t="s">
        <v>12241</v>
      </c>
      <c r="AJ1968" s="116">
        <v>0.9</v>
      </c>
      <c r="AK1968" s="117"/>
      <c r="AL1968" s="117"/>
      <c r="AM1968" s="117"/>
      <c r="AN1968" s="117"/>
      <c r="AO1968" s="117"/>
    </row>
    <row r="1969" ht="34.5" customHeight="1">
      <c r="A1969" s="111">
        <v>2647.0</v>
      </c>
      <c r="B1969" s="127" t="s">
        <v>9965</v>
      </c>
      <c r="C1969" s="111" t="s">
        <v>8001</v>
      </c>
      <c r="D1969" s="111">
        <v>2024.0</v>
      </c>
      <c r="E1969" s="111"/>
      <c r="F1969" s="111" t="s">
        <v>12393</v>
      </c>
      <c r="G1969" s="111" t="s">
        <v>12224</v>
      </c>
      <c r="H1969" s="111"/>
      <c r="I1969" s="111" t="s">
        <v>12394</v>
      </c>
      <c r="J1969" s="111" t="s">
        <v>12292</v>
      </c>
      <c r="K1969" s="111" t="s">
        <v>12481</v>
      </c>
      <c r="L1969" s="111"/>
      <c r="M1969" s="111"/>
      <c r="N1969" s="111">
        <v>1.0</v>
      </c>
      <c r="O1969" s="111"/>
      <c r="P1969" s="111"/>
      <c r="Q1969" s="111"/>
      <c r="R1969" s="111"/>
      <c r="S1969" s="111"/>
      <c r="T1969" s="111"/>
      <c r="U1969" s="111"/>
      <c r="V1969" s="111"/>
      <c r="W1969" s="111"/>
      <c r="X1969" s="111"/>
      <c r="Y1969" s="111"/>
      <c r="Z1969" s="111" t="s">
        <v>14947</v>
      </c>
      <c r="AA1969" s="126">
        <f>IF(Projects!$AI1969="Electrolysis",
AB1969*VLOOKUP(G1969,ElectrolysisConvF,3,FALSE),
"")</f>
        <v>56.44298651</v>
      </c>
      <c r="AB1969" s="125">
        <f t="shared" ref="AB1969:AB1972" si="373">AC1969/(H2dens*HoursInYear/10^6)</f>
        <v>12270.21446</v>
      </c>
      <c r="AC1969" s="125">
        <f>(50*0.191327)</f>
        <v>9.56635</v>
      </c>
      <c r="AD1969" s="111"/>
      <c r="AE1969" s="125">
        <f t="shared" si="358"/>
        <v>12270.21446</v>
      </c>
      <c r="AF1969" s="111" t="s">
        <v>14948</v>
      </c>
      <c r="AG1969" s="127">
        <v>44.0405971204557</v>
      </c>
      <c r="AH1969" s="127">
        <v>87.2522958900573</v>
      </c>
      <c r="AI1969" s="156" t="s">
        <v>12383</v>
      </c>
      <c r="AJ1969" s="116">
        <v>0.4</v>
      </c>
      <c r="AK1969" s="117"/>
      <c r="AL1969" s="117"/>
      <c r="AM1969" s="117"/>
      <c r="AN1969" s="117"/>
      <c r="AO1969" s="117"/>
    </row>
    <row r="1970" ht="34.5" customHeight="1">
      <c r="A1970" s="111">
        <v>2672.0</v>
      </c>
      <c r="B1970" s="127" t="s">
        <v>9966</v>
      </c>
      <c r="C1970" s="111" t="s">
        <v>8001</v>
      </c>
      <c r="D1970" s="111">
        <v>2024.0</v>
      </c>
      <c r="E1970" s="111"/>
      <c r="F1970" s="111" t="s">
        <v>12393</v>
      </c>
      <c r="G1970" s="111" t="s">
        <v>12381</v>
      </c>
      <c r="H1970" s="111" t="s">
        <v>12230</v>
      </c>
      <c r="I1970" s="111" t="s">
        <v>12394</v>
      </c>
      <c r="J1970" s="111" t="s">
        <v>12292</v>
      </c>
      <c r="K1970" s="111" t="s">
        <v>12415</v>
      </c>
      <c r="L1970" s="111"/>
      <c r="M1970" s="111"/>
      <c r="N1970" s="111">
        <v>1.0</v>
      </c>
      <c r="O1970" s="111"/>
      <c r="P1970" s="111"/>
      <c r="Q1970" s="111"/>
      <c r="R1970" s="111"/>
      <c r="S1970" s="111"/>
      <c r="T1970" s="111"/>
      <c r="U1970" s="111"/>
      <c r="V1970" s="111"/>
      <c r="W1970" s="111"/>
      <c r="X1970" s="111"/>
      <c r="Y1970" s="111"/>
      <c r="Z1970" s="111" t="s">
        <v>14949</v>
      </c>
      <c r="AA1970" s="126">
        <f>IF(Projects!$AI1970="Electrolysis",
AB1970*VLOOKUP(G1970,ElectrolysisConvF,3,FALSE),
"")</f>
        <v>11.04319301</v>
      </c>
      <c r="AB1970" s="125">
        <f t="shared" si="373"/>
        <v>2454.042892</v>
      </c>
      <c r="AC1970" s="125">
        <f>(10*0.191327)</f>
        <v>1.91327</v>
      </c>
      <c r="AD1970" s="111"/>
      <c r="AE1970" s="125">
        <f t="shared" si="358"/>
        <v>2454.042892</v>
      </c>
      <c r="AF1970" s="111" t="s">
        <v>14948</v>
      </c>
      <c r="AG1970" s="127">
        <v>38.920834</v>
      </c>
      <c r="AH1970" s="127">
        <v>121.639168</v>
      </c>
      <c r="AI1970" s="156" t="s">
        <v>12383</v>
      </c>
      <c r="AJ1970" s="116">
        <v>0.4</v>
      </c>
      <c r="AK1970" s="117"/>
      <c r="AL1970" s="117"/>
      <c r="AM1970" s="117"/>
      <c r="AN1970" s="117"/>
      <c r="AO1970" s="117"/>
    </row>
    <row r="1971" ht="34.5" customHeight="1">
      <c r="A1971" s="111">
        <v>2683.0</v>
      </c>
      <c r="B1971" s="127" t="s">
        <v>9967</v>
      </c>
      <c r="C1971" s="111" t="s">
        <v>8001</v>
      </c>
      <c r="D1971" s="111"/>
      <c r="E1971" s="111"/>
      <c r="F1971" s="111" t="s">
        <v>12397</v>
      </c>
      <c r="G1971" s="111" t="s">
        <v>12381</v>
      </c>
      <c r="H1971" s="111" t="s">
        <v>12230</v>
      </c>
      <c r="I1971" s="111" t="s">
        <v>12394</v>
      </c>
      <c r="J1971" s="111" t="s">
        <v>12292</v>
      </c>
      <c r="K1971" s="111" t="s">
        <v>12481</v>
      </c>
      <c r="L1971" s="111"/>
      <c r="M1971" s="111"/>
      <c r="N1971" s="111">
        <v>1.0</v>
      </c>
      <c r="O1971" s="111"/>
      <c r="P1971" s="111"/>
      <c r="Q1971" s="111"/>
      <c r="R1971" s="111"/>
      <c r="S1971" s="111"/>
      <c r="T1971" s="111"/>
      <c r="U1971" s="111"/>
      <c r="V1971" s="111"/>
      <c r="W1971" s="111"/>
      <c r="X1971" s="111"/>
      <c r="Y1971" s="111"/>
      <c r="Z1971" s="111" t="s">
        <v>14950</v>
      </c>
      <c r="AA1971" s="126">
        <f>IF(Projects!$AI1971="Electrolysis",
AB1971*VLOOKUP(G1971,ElectrolysisConvF,3,FALSE),
"")</f>
        <v>55.21596506</v>
      </c>
      <c r="AB1971" s="125">
        <f t="shared" si="373"/>
        <v>12270.21446</v>
      </c>
      <c r="AC1971" s="125">
        <f>(50*0.191327)</f>
        <v>9.56635</v>
      </c>
      <c r="AD1971" s="111"/>
      <c r="AE1971" s="125">
        <f t="shared" si="358"/>
        <v>12270.21446</v>
      </c>
      <c r="AF1971" s="111" t="s">
        <v>14948</v>
      </c>
      <c r="AG1971" s="127">
        <v>44.0405971204557</v>
      </c>
      <c r="AH1971" s="127">
        <v>87.2522958900573</v>
      </c>
      <c r="AI1971" s="156" t="s">
        <v>12383</v>
      </c>
      <c r="AJ1971" s="116">
        <v>0.4</v>
      </c>
      <c r="AK1971" s="117"/>
      <c r="AL1971" s="117"/>
      <c r="AM1971" s="117"/>
      <c r="AN1971" s="117"/>
      <c r="AO1971" s="117"/>
    </row>
    <row r="1972" ht="34.5" customHeight="1">
      <c r="A1972" s="111">
        <v>2684.0</v>
      </c>
      <c r="B1972" s="127" t="s">
        <v>9968</v>
      </c>
      <c r="C1972" s="111" t="s">
        <v>8001</v>
      </c>
      <c r="D1972" s="111"/>
      <c r="E1972" s="111"/>
      <c r="F1972" s="111" t="s">
        <v>12397</v>
      </c>
      <c r="G1972" s="111" t="s">
        <v>12381</v>
      </c>
      <c r="H1972" s="111" t="s">
        <v>12230</v>
      </c>
      <c r="I1972" s="111" t="s">
        <v>12394</v>
      </c>
      <c r="J1972" s="111" t="s">
        <v>12292</v>
      </c>
      <c r="K1972" s="111" t="s">
        <v>12481</v>
      </c>
      <c r="L1972" s="111"/>
      <c r="M1972" s="111"/>
      <c r="N1972" s="111">
        <v>1.0</v>
      </c>
      <c r="O1972" s="111"/>
      <c r="P1972" s="111"/>
      <c r="Q1972" s="111"/>
      <c r="R1972" s="111"/>
      <c r="S1972" s="111"/>
      <c r="T1972" s="111"/>
      <c r="U1972" s="111"/>
      <c r="V1972" s="111"/>
      <c r="W1972" s="111"/>
      <c r="X1972" s="111"/>
      <c r="Y1972" s="111"/>
      <c r="Z1972" s="111" t="s">
        <v>14951</v>
      </c>
      <c r="AA1972" s="126">
        <f>IF(Projects!$AI1972="Electrolysis",
AB1972*VLOOKUP(G1972,ElectrolysisConvF,3,FALSE),
"")</f>
        <v>220.8638602</v>
      </c>
      <c r="AB1972" s="125">
        <f t="shared" si="373"/>
        <v>49080.85783</v>
      </c>
      <c r="AC1972" s="125">
        <f>(200*0.191327)</f>
        <v>38.2654</v>
      </c>
      <c r="AD1972" s="111"/>
      <c r="AE1972" s="125">
        <f t="shared" si="358"/>
        <v>49080.85783</v>
      </c>
      <c r="AF1972" s="111" t="s">
        <v>14948</v>
      </c>
      <c r="AG1972" s="127">
        <v>44.0405971204557</v>
      </c>
      <c r="AH1972" s="127">
        <v>87.2522958900573</v>
      </c>
      <c r="AI1972" s="156" t="s">
        <v>12383</v>
      </c>
      <c r="AJ1972" s="116">
        <v>0.4</v>
      </c>
      <c r="AK1972" s="117"/>
      <c r="AL1972" s="117"/>
      <c r="AM1972" s="117"/>
      <c r="AN1972" s="117"/>
      <c r="AO1972" s="117"/>
    </row>
    <row r="1973" ht="34.5" customHeight="1">
      <c r="A1973" s="111">
        <v>2686.0</v>
      </c>
      <c r="B1973" s="111" t="s">
        <v>9969</v>
      </c>
      <c r="C1973" s="111" t="s">
        <v>8713</v>
      </c>
      <c r="D1973" s="111">
        <v>2023.0</v>
      </c>
      <c r="E1973" s="111"/>
      <c r="F1973" s="111" t="s">
        <v>12385</v>
      </c>
      <c r="G1973" s="111" t="s">
        <v>12381</v>
      </c>
      <c r="H1973" s="111" t="s">
        <v>12230</v>
      </c>
      <c r="I1973" s="111" t="s">
        <v>12394</v>
      </c>
      <c r="J1973" s="111" t="s">
        <v>12291</v>
      </c>
      <c r="K1973" s="111" t="s">
        <v>30</v>
      </c>
      <c r="L1973" s="111"/>
      <c r="M1973" s="111"/>
      <c r="N1973" s="111"/>
      <c r="O1973" s="111"/>
      <c r="P1973" s="111"/>
      <c r="Q1973" s="111"/>
      <c r="R1973" s="111"/>
      <c r="S1973" s="111"/>
      <c r="T1973" s="111">
        <v>1.0</v>
      </c>
      <c r="U1973" s="111"/>
      <c r="V1973" s="111"/>
      <c r="W1973" s="111"/>
      <c r="X1973" s="111"/>
      <c r="Y1973" s="111"/>
      <c r="Z1973" s="111" t="s">
        <v>14952</v>
      </c>
      <c r="AA1973" s="126">
        <f>IF(Projects!$AI1973="Electrolysis",
AB1973*VLOOKUP(G1973,ElectrolysisConvF,3,FALSE),
"")</f>
        <v>0.004109589041</v>
      </c>
      <c r="AB1973" s="125">
        <f>8000/(365*24)</f>
        <v>0.9132420091</v>
      </c>
      <c r="AC1973" s="125">
        <f>AB1973*H2dens*HoursInYear/10^6</f>
        <v>0.000712</v>
      </c>
      <c r="AD1973" s="125"/>
      <c r="AE1973" s="125">
        <f t="shared" si="358"/>
        <v>0.9132420091</v>
      </c>
      <c r="AF1973" s="127" t="s">
        <v>14953</v>
      </c>
      <c r="AG1973" s="127">
        <v>-12.5020284718409</v>
      </c>
      <c r="AH1973" s="127">
        <v>-76.7301004711636</v>
      </c>
      <c r="AI1973" s="115" t="s">
        <v>12383</v>
      </c>
      <c r="AJ1973" s="116">
        <v>0.3</v>
      </c>
      <c r="AK1973" s="117"/>
      <c r="AL1973" s="117"/>
      <c r="AM1973" s="117"/>
      <c r="AN1973" s="117"/>
      <c r="AO1973" s="117"/>
    </row>
    <row r="1974" ht="34.5" customHeight="1">
      <c r="A1974" s="111">
        <v>2687.0</v>
      </c>
      <c r="B1974" s="111" t="s">
        <v>9970</v>
      </c>
      <c r="C1974" s="111" t="s">
        <v>7987</v>
      </c>
      <c r="D1974" s="111">
        <v>2021.0</v>
      </c>
      <c r="E1974" s="111"/>
      <c r="F1974" s="111" t="s">
        <v>12418</v>
      </c>
      <c r="G1974" s="111" t="s">
        <v>12226</v>
      </c>
      <c r="H1974" s="111"/>
      <c r="I1974" s="111" t="s">
        <v>12394</v>
      </c>
      <c r="J1974" s="111" t="s">
        <v>12295</v>
      </c>
      <c r="K1974" s="111" t="s">
        <v>12251</v>
      </c>
      <c r="L1974" s="111"/>
      <c r="M1974" s="111"/>
      <c r="N1974" s="111"/>
      <c r="O1974" s="111"/>
      <c r="P1974" s="111"/>
      <c r="Q1974" s="111">
        <v>1.0</v>
      </c>
      <c r="R1974" s="111"/>
      <c r="S1974" s="111"/>
      <c r="T1974" s="111"/>
      <c r="U1974" s="111"/>
      <c r="V1974" s="111"/>
      <c r="W1974" s="111">
        <v>1.0</v>
      </c>
      <c r="X1974" s="111"/>
      <c r="Y1974" s="111"/>
      <c r="Z1974" s="111" t="s">
        <v>14954</v>
      </c>
      <c r="AA1974" s="126">
        <f>IF(Projects!$AI1974="Electrolysis",
AB1974*VLOOKUP(G1974,ElectrolysisConvF,3,FALSE),
"")</f>
        <v>1.233445995</v>
      </c>
      <c r="AB1974" s="125">
        <f>AC1974/(H2dens*HoursInYear/10^6)</f>
        <v>237.2011529</v>
      </c>
      <c r="AC1974" s="126">
        <f>(0.36*0.045/0.73/0.12)</f>
        <v>0.1849315068</v>
      </c>
      <c r="AD1974" s="125"/>
      <c r="AE1974" s="125">
        <f t="shared" si="358"/>
        <v>237.2011529</v>
      </c>
      <c r="AF1974" s="127" t="s">
        <v>14955</v>
      </c>
      <c r="AG1974" s="127">
        <v>52.8505195746245</v>
      </c>
      <c r="AH1974" s="127">
        <v>7.70494151299893</v>
      </c>
      <c r="AI1974" s="115" t="s">
        <v>12383</v>
      </c>
      <c r="AJ1974" s="116">
        <v>0.5</v>
      </c>
      <c r="AK1974" s="117"/>
      <c r="AL1974" s="117"/>
      <c r="AM1974" s="117"/>
      <c r="AN1974" s="117"/>
      <c r="AO1974" s="117"/>
    </row>
    <row r="1975" ht="34.5" customHeight="1">
      <c r="A1975" s="111">
        <v>2688.0</v>
      </c>
      <c r="B1975" s="111" t="s">
        <v>9971</v>
      </c>
      <c r="C1975" s="111" t="s">
        <v>8003</v>
      </c>
      <c r="D1975" s="111">
        <v>2030.0</v>
      </c>
      <c r="E1975" s="111"/>
      <c r="F1975" s="111" t="s">
        <v>12399</v>
      </c>
      <c r="G1975" s="111"/>
      <c r="H1975" s="111"/>
      <c r="I1975" s="111" t="str">
        <f>IF(AND(G1975&lt;&gt;"ALK",G1975&lt;&gt;"PEM",G1975&lt;&gt;"SOEC",G1975&lt;&gt;"Other electrolysis"),"N/A","")</f>
        <v>N/A</v>
      </c>
      <c r="J1975" s="111"/>
      <c r="K1975" s="111" t="s">
        <v>30</v>
      </c>
      <c r="L1975" s="111"/>
      <c r="M1975" s="111">
        <v>1.0</v>
      </c>
      <c r="N1975" s="111"/>
      <c r="O1975" s="111"/>
      <c r="P1975" s="111">
        <v>1.0</v>
      </c>
      <c r="Q1975" s="111"/>
      <c r="R1975" s="111"/>
      <c r="S1975" s="111"/>
      <c r="T1975" s="111"/>
      <c r="U1975" s="111"/>
      <c r="V1975" s="111"/>
      <c r="W1975" s="111"/>
      <c r="X1975" s="111"/>
      <c r="Y1975" s="111"/>
      <c r="Z1975" s="111" t="s">
        <v>14956</v>
      </c>
      <c r="AA1975" s="124">
        <v>2297.2140988148376</v>
      </c>
      <c r="AB1975" s="125">
        <v>510492.0219588528</v>
      </c>
      <c r="AC1975" s="125">
        <v>398.0</v>
      </c>
      <c r="AD1975" s="125"/>
      <c r="AE1975" s="125">
        <f t="shared" si="358"/>
        <v>510492.022</v>
      </c>
      <c r="AF1975" s="127" t="s">
        <v>14957</v>
      </c>
      <c r="AG1975" s="127">
        <v>54.7184761884051</v>
      </c>
      <c r="AH1975" s="127">
        <v>-122.782168055715</v>
      </c>
      <c r="AI1975" s="115" t="e">
        <v>#N/A</v>
      </c>
      <c r="AJ1975" s="116">
        <v>0.57</v>
      </c>
      <c r="AK1975" s="117"/>
      <c r="AL1975" s="117"/>
      <c r="AM1975" s="117"/>
      <c r="AN1975" s="117"/>
      <c r="AO1975" s="117"/>
    </row>
    <row r="1976" ht="34.5" customHeight="1">
      <c r="A1976" s="111">
        <v>2689.0</v>
      </c>
      <c r="B1976" s="111" t="s">
        <v>9972</v>
      </c>
      <c r="C1976" s="111" t="s">
        <v>9649</v>
      </c>
      <c r="D1976" s="111"/>
      <c r="E1976" s="111"/>
      <c r="F1976" s="111" t="s">
        <v>12399</v>
      </c>
      <c r="G1976" s="111" t="s">
        <v>12381</v>
      </c>
      <c r="H1976" s="111" t="s">
        <v>12230</v>
      </c>
      <c r="I1976" s="111" t="s">
        <v>12394</v>
      </c>
      <c r="J1976" s="111" t="s">
        <v>12292</v>
      </c>
      <c r="K1976" s="111" t="s">
        <v>30</v>
      </c>
      <c r="L1976" s="111"/>
      <c r="M1976" s="111"/>
      <c r="N1976" s="111"/>
      <c r="O1976" s="111"/>
      <c r="P1976" s="111"/>
      <c r="Q1976" s="111"/>
      <c r="R1976" s="111"/>
      <c r="S1976" s="111"/>
      <c r="T1976" s="111"/>
      <c r="U1976" s="111"/>
      <c r="V1976" s="111"/>
      <c r="W1976" s="111"/>
      <c r="X1976" s="111"/>
      <c r="Y1976" s="111"/>
      <c r="Z1976" s="111" t="s">
        <v>13846</v>
      </c>
      <c r="AA1976" s="126">
        <f>IF(Projects!$AI1976="Electrolysis",
AB1976*VLOOKUP(G1976,ElectrolysisConvF,3,FALSE),
"")</f>
        <v>288.594736</v>
      </c>
      <c r="AB1976" s="125">
        <f t="shared" ref="AB1976:AB1987" si="374">AC1976/(H2dens*HoursInYear/10^6)</f>
        <v>64132.16356</v>
      </c>
      <c r="AC1976" s="126">
        <f>50</f>
        <v>50</v>
      </c>
      <c r="AD1976" s="125"/>
      <c r="AE1976" s="125">
        <f t="shared" si="358"/>
        <v>64132.16356</v>
      </c>
      <c r="AF1976" s="127" t="s">
        <v>14958</v>
      </c>
      <c r="AG1976" s="127">
        <v>29.4687545308148</v>
      </c>
      <c r="AH1976" s="127">
        <v>34.9780013009407</v>
      </c>
      <c r="AI1976" s="115" t="s">
        <v>12383</v>
      </c>
      <c r="AJ1976" s="116">
        <v>0.4</v>
      </c>
      <c r="AK1976" s="117"/>
      <c r="AL1976" s="117"/>
      <c r="AM1976" s="117"/>
      <c r="AN1976" s="117"/>
      <c r="AO1976" s="117"/>
    </row>
    <row r="1977" ht="34.5" customHeight="1">
      <c r="A1977" s="111">
        <v>2690.0</v>
      </c>
      <c r="B1977" s="111" t="s">
        <v>9973</v>
      </c>
      <c r="C1977" s="111" t="s">
        <v>9649</v>
      </c>
      <c r="D1977" s="111"/>
      <c r="E1977" s="111"/>
      <c r="F1977" s="111" t="s">
        <v>12399</v>
      </c>
      <c r="G1977" s="111" t="s">
        <v>12381</v>
      </c>
      <c r="H1977" s="111" t="s">
        <v>12230</v>
      </c>
      <c r="I1977" s="111" t="s">
        <v>12289</v>
      </c>
      <c r="J1977" s="111"/>
      <c r="K1977" s="111" t="s">
        <v>174</v>
      </c>
      <c r="L1977" s="111"/>
      <c r="M1977" s="111">
        <v>1.0</v>
      </c>
      <c r="N1977" s="111"/>
      <c r="O1977" s="111"/>
      <c r="P1977" s="111"/>
      <c r="Q1977" s="111"/>
      <c r="R1977" s="111"/>
      <c r="S1977" s="111"/>
      <c r="T1977" s="111"/>
      <c r="U1977" s="111"/>
      <c r="V1977" s="111"/>
      <c r="W1977" s="111"/>
      <c r="X1977" s="111"/>
      <c r="Y1977" s="111"/>
      <c r="Z1977" s="111" t="s">
        <v>14959</v>
      </c>
      <c r="AA1977" s="126">
        <f>IF(Projects!$AI1977="Electrolysis",
AB1977*VLOOKUP(G1977,ElectrolysisConvF,3,FALSE),
"")</f>
        <v>129.9195991</v>
      </c>
      <c r="AB1977" s="125">
        <f t="shared" si="374"/>
        <v>28871.02201</v>
      </c>
      <c r="AC1977" s="125">
        <f>(125*3/17/0.98)</f>
        <v>22.5090036</v>
      </c>
      <c r="AD1977" s="125"/>
      <c r="AE1977" s="125">
        <f t="shared" si="358"/>
        <v>28871.02201</v>
      </c>
      <c r="AF1977" s="127" t="s">
        <v>14958</v>
      </c>
      <c r="AG1977" s="127">
        <v>0.0</v>
      </c>
      <c r="AH1977" s="127">
        <v>0.0</v>
      </c>
      <c r="AI1977" s="115" t="s">
        <v>12383</v>
      </c>
      <c r="AJ1977" s="116">
        <v>0.57</v>
      </c>
      <c r="AK1977" s="117"/>
      <c r="AL1977" s="117"/>
      <c r="AM1977" s="117"/>
      <c r="AN1977" s="117"/>
      <c r="AO1977" s="117"/>
    </row>
    <row r="1978" ht="34.5" customHeight="1">
      <c r="A1978" s="111">
        <v>2691.0</v>
      </c>
      <c r="B1978" s="111" t="s">
        <v>9974</v>
      </c>
      <c r="C1978" s="111" t="s">
        <v>9649</v>
      </c>
      <c r="D1978" s="111"/>
      <c r="E1978" s="111"/>
      <c r="F1978" s="111" t="s">
        <v>12399</v>
      </c>
      <c r="G1978" s="111" t="s">
        <v>12381</v>
      </c>
      <c r="H1978" s="111" t="s">
        <v>12230</v>
      </c>
      <c r="I1978" s="111" t="s">
        <v>12289</v>
      </c>
      <c r="J1978" s="111"/>
      <c r="K1978" s="111" t="s">
        <v>174</v>
      </c>
      <c r="L1978" s="111"/>
      <c r="M1978" s="111">
        <v>1.0</v>
      </c>
      <c r="N1978" s="111"/>
      <c r="O1978" s="111"/>
      <c r="P1978" s="111"/>
      <c r="Q1978" s="111"/>
      <c r="R1978" s="111"/>
      <c r="S1978" s="111"/>
      <c r="T1978" s="111"/>
      <c r="U1978" s="111"/>
      <c r="V1978" s="111"/>
      <c r="W1978" s="111"/>
      <c r="X1978" s="111"/>
      <c r="Y1978" s="111"/>
      <c r="Z1978" s="111" t="s">
        <v>14960</v>
      </c>
      <c r="AA1978" s="126">
        <f>IF(Projects!$AI1978="Electrolysis",
AB1978*VLOOKUP(G1978,ElectrolysisConvF,3,FALSE),
"")</f>
        <v>1039.356792</v>
      </c>
      <c r="AB1978" s="125">
        <f t="shared" si="374"/>
        <v>230968.1761</v>
      </c>
      <c r="AC1978" s="125">
        <f>1000*3/17/0.98</f>
        <v>180.0720288</v>
      </c>
      <c r="AD1978" s="125"/>
      <c r="AE1978" s="125">
        <f t="shared" si="358"/>
        <v>230968.1761</v>
      </c>
      <c r="AF1978" s="127" t="s">
        <v>14958</v>
      </c>
      <c r="AG1978" s="127">
        <v>0.0</v>
      </c>
      <c r="AH1978" s="127">
        <v>0.0</v>
      </c>
      <c r="AI1978" s="115" t="s">
        <v>12383</v>
      </c>
      <c r="AJ1978" s="116">
        <v>0.57</v>
      </c>
      <c r="AK1978" s="117"/>
      <c r="AL1978" s="117"/>
      <c r="AM1978" s="117"/>
      <c r="AN1978" s="117"/>
      <c r="AO1978" s="117"/>
    </row>
    <row r="1979" ht="34.5" customHeight="1">
      <c r="A1979" s="111">
        <v>2692.0</v>
      </c>
      <c r="B1979" s="111" t="s">
        <v>9975</v>
      </c>
      <c r="C1979" s="111" t="s">
        <v>9649</v>
      </c>
      <c r="D1979" s="111"/>
      <c r="E1979" s="111"/>
      <c r="F1979" s="111" t="s">
        <v>12399</v>
      </c>
      <c r="G1979" s="111" t="s">
        <v>12381</v>
      </c>
      <c r="H1979" s="111" t="s">
        <v>12230</v>
      </c>
      <c r="I1979" s="111" t="s">
        <v>12289</v>
      </c>
      <c r="J1979" s="111"/>
      <c r="K1979" s="111" t="s">
        <v>174</v>
      </c>
      <c r="L1979" s="111"/>
      <c r="M1979" s="111">
        <v>1.0</v>
      </c>
      <c r="N1979" s="111"/>
      <c r="O1979" s="111"/>
      <c r="P1979" s="111"/>
      <c r="Q1979" s="111"/>
      <c r="R1979" s="111"/>
      <c r="S1979" s="111"/>
      <c r="T1979" s="111"/>
      <c r="U1979" s="111"/>
      <c r="V1979" s="111"/>
      <c r="W1979" s="111"/>
      <c r="X1979" s="111"/>
      <c r="Y1979" s="111"/>
      <c r="Z1979" s="111" t="s">
        <v>14961</v>
      </c>
      <c r="AA1979" s="126">
        <f>IF(Projects!$AI1979="Electrolysis",
AB1979*VLOOKUP(G1979,ElectrolysisConvF,3,FALSE),
"")</f>
        <v>103.9356792</v>
      </c>
      <c r="AB1979" s="125">
        <f t="shared" si="374"/>
        <v>23096.81761</v>
      </c>
      <c r="AC1979" s="125">
        <f>100*3/17/0.98</f>
        <v>18.00720288</v>
      </c>
      <c r="AD1979" s="125"/>
      <c r="AE1979" s="125">
        <f t="shared" si="358"/>
        <v>23096.81761</v>
      </c>
      <c r="AF1979" s="127" t="s">
        <v>14958</v>
      </c>
      <c r="AG1979" s="127">
        <v>0.0</v>
      </c>
      <c r="AH1979" s="127">
        <v>0.0</v>
      </c>
      <c r="AI1979" s="115" t="s">
        <v>12383</v>
      </c>
      <c r="AJ1979" s="116">
        <v>0.57</v>
      </c>
      <c r="AK1979" s="117"/>
      <c r="AL1979" s="117"/>
      <c r="AM1979" s="117"/>
      <c r="AN1979" s="117"/>
      <c r="AO1979" s="117"/>
    </row>
    <row r="1980" ht="34.5" customHeight="1">
      <c r="A1980" s="111">
        <v>2693.0</v>
      </c>
      <c r="B1980" s="111" t="s">
        <v>9976</v>
      </c>
      <c r="C1980" s="111" t="s">
        <v>9649</v>
      </c>
      <c r="D1980" s="111">
        <v>2030.0</v>
      </c>
      <c r="E1980" s="111"/>
      <c r="F1980" s="111" t="s">
        <v>12397</v>
      </c>
      <c r="G1980" s="111" t="s">
        <v>12381</v>
      </c>
      <c r="H1980" s="111" t="s">
        <v>12230</v>
      </c>
      <c r="I1980" s="111" t="s">
        <v>12289</v>
      </c>
      <c r="J1980" s="111"/>
      <c r="K1980" s="111" t="s">
        <v>174</v>
      </c>
      <c r="L1980" s="111"/>
      <c r="M1980" s="111">
        <v>1.0</v>
      </c>
      <c r="N1980" s="111"/>
      <c r="O1980" s="111"/>
      <c r="P1980" s="111"/>
      <c r="Q1980" s="111"/>
      <c r="R1980" s="111"/>
      <c r="S1980" s="111"/>
      <c r="T1980" s="111"/>
      <c r="U1980" s="111"/>
      <c r="V1980" s="111"/>
      <c r="W1980" s="111"/>
      <c r="X1980" s="111"/>
      <c r="Y1980" s="111"/>
      <c r="Z1980" s="111" t="s">
        <v>14962</v>
      </c>
      <c r="AA1980" s="126">
        <f>IF(Projects!$AI1980="Electrolysis",
AB1980*VLOOKUP(G1980,ElectrolysisConvF,3,FALSE),
"")</f>
        <v>935.4211132</v>
      </c>
      <c r="AB1980" s="125">
        <f t="shared" si="374"/>
        <v>207871.3585</v>
      </c>
      <c r="AC1980" s="125">
        <f>(900*3/17/0.98)</f>
        <v>162.0648259</v>
      </c>
      <c r="AD1980" s="125"/>
      <c r="AE1980" s="125">
        <f t="shared" si="358"/>
        <v>207871.3585</v>
      </c>
      <c r="AF1980" s="127" t="s">
        <v>14958</v>
      </c>
      <c r="AG1980" s="127">
        <v>0.0</v>
      </c>
      <c r="AH1980" s="127">
        <v>0.0</v>
      </c>
      <c r="AI1980" s="115" t="s">
        <v>12383</v>
      </c>
      <c r="AJ1980" s="116">
        <v>0.57</v>
      </c>
      <c r="AK1980" s="117"/>
      <c r="AL1980" s="117"/>
      <c r="AM1980" s="117"/>
      <c r="AN1980" s="117"/>
      <c r="AO1980" s="117"/>
    </row>
    <row r="1981" ht="34.5" customHeight="1">
      <c r="A1981" s="111">
        <v>2694.0</v>
      </c>
      <c r="B1981" s="111" t="s">
        <v>9977</v>
      </c>
      <c r="C1981" s="111" t="s">
        <v>9649</v>
      </c>
      <c r="D1981" s="111"/>
      <c r="E1981" s="111"/>
      <c r="F1981" s="111" t="s">
        <v>12399</v>
      </c>
      <c r="G1981" s="111" t="s">
        <v>12381</v>
      </c>
      <c r="H1981" s="111" t="s">
        <v>12230</v>
      </c>
      <c r="I1981" s="111" t="s">
        <v>12289</v>
      </c>
      <c r="J1981" s="111"/>
      <c r="K1981" s="111" t="s">
        <v>174</v>
      </c>
      <c r="L1981" s="111"/>
      <c r="M1981" s="111">
        <v>1.0</v>
      </c>
      <c r="N1981" s="111"/>
      <c r="O1981" s="111"/>
      <c r="P1981" s="111"/>
      <c r="Q1981" s="111"/>
      <c r="R1981" s="111"/>
      <c r="S1981" s="111"/>
      <c r="T1981" s="111"/>
      <c r="U1981" s="111"/>
      <c r="V1981" s="111"/>
      <c r="W1981" s="111"/>
      <c r="X1981" s="111"/>
      <c r="Y1981" s="111"/>
      <c r="Z1981" s="111" t="s">
        <v>14963</v>
      </c>
      <c r="AA1981" s="126">
        <f>IF(Projects!$AI1981="Electrolysis",
AB1981*VLOOKUP(G1981,ElectrolysisConvF,3,FALSE),
"")</f>
        <v>155.9035189</v>
      </c>
      <c r="AB1981" s="125">
        <f t="shared" si="374"/>
        <v>34645.22641</v>
      </c>
      <c r="AC1981" s="125">
        <f>(150*3/17/0.98)</f>
        <v>27.01080432</v>
      </c>
      <c r="AD1981" s="125"/>
      <c r="AE1981" s="125">
        <f t="shared" si="358"/>
        <v>34645.22641</v>
      </c>
      <c r="AF1981" s="127" t="s">
        <v>14958</v>
      </c>
      <c r="AG1981" s="127">
        <v>0.0</v>
      </c>
      <c r="AH1981" s="127">
        <v>0.0</v>
      </c>
      <c r="AI1981" s="115" t="s">
        <v>12383</v>
      </c>
      <c r="AJ1981" s="116">
        <v>0.57</v>
      </c>
      <c r="AK1981" s="117"/>
      <c r="AL1981" s="117"/>
      <c r="AM1981" s="117"/>
      <c r="AN1981" s="117"/>
      <c r="AO1981" s="117"/>
    </row>
    <row r="1982" ht="34.5" customHeight="1">
      <c r="A1982" s="111">
        <v>2695.0</v>
      </c>
      <c r="B1982" s="111" t="s">
        <v>9978</v>
      </c>
      <c r="C1982" s="111" t="s">
        <v>9649</v>
      </c>
      <c r="D1982" s="111"/>
      <c r="E1982" s="111"/>
      <c r="F1982" s="111" t="s">
        <v>12399</v>
      </c>
      <c r="G1982" s="111" t="s">
        <v>12381</v>
      </c>
      <c r="H1982" s="111" t="s">
        <v>12230</v>
      </c>
      <c r="I1982" s="111" t="s">
        <v>12289</v>
      </c>
      <c r="J1982" s="111"/>
      <c r="K1982" s="111" t="s">
        <v>174</v>
      </c>
      <c r="L1982" s="111"/>
      <c r="M1982" s="111">
        <v>1.0</v>
      </c>
      <c r="N1982" s="111"/>
      <c r="O1982" s="111"/>
      <c r="P1982" s="111"/>
      <c r="Q1982" s="111"/>
      <c r="R1982" s="111"/>
      <c r="S1982" s="111"/>
      <c r="T1982" s="111"/>
      <c r="U1982" s="111"/>
      <c r="V1982" s="111"/>
      <c r="W1982" s="111"/>
      <c r="X1982" s="111"/>
      <c r="Y1982" s="111"/>
      <c r="Z1982" s="111" t="s">
        <v>14961</v>
      </c>
      <c r="AA1982" s="126">
        <f>IF(Projects!$AI1982="Electrolysis",
AB1982*VLOOKUP(G1982,ElectrolysisConvF,3,FALSE),
"")</f>
        <v>103.9356792</v>
      </c>
      <c r="AB1982" s="125">
        <f t="shared" si="374"/>
        <v>23096.81761</v>
      </c>
      <c r="AC1982" s="125">
        <f>100*3/17/0.98</f>
        <v>18.00720288</v>
      </c>
      <c r="AD1982" s="125"/>
      <c r="AE1982" s="125">
        <f t="shared" si="358"/>
        <v>23096.81761</v>
      </c>
      <c r="AF1982" s="127" t="s">
        <v>14964</v>
      </c>
      <c r="AG1982" s="127">
        <v>0.0</v>
      </c>
      <c r="AH1982" s="127">
        <v>0.0</v>
      </c>
      <c r="AI1982" s="115" t="s">
        <v>12383</v>
      </c>
      <c r="AJ1982" s="116">
        <v>0.57</v>
      </c>
      <c r="AK1982" s="117"/>
      <c r="AL1982" s="117"/>
      <c r="AM1982" s="117"/>
      <c r="AN1982" s="117"/>
      <c r="AO1982" s="117"/>
    </row>
    <row r="1983" ht="34.5" customHeight="1">
      <c r="A1983" s="111">
        <v>2696.0</v>
      </c>
      <c r="B1983" s="111" t="s">
        <v>9979</v>
      </c>
      <c r="C1983" s="111" t="s">
        <v>9649</v>
      </c>
      <c r="D1983" s="111"/>
      <c r="E1983" s="111"/>
      <c r="F1983" s="111" t="s">
        <v>12399</v>
      </c>
      <c r="G1983" s="111" t="s">
        <v>12381</v>
      </c>
      <c r="H1983" s="111" t="s">
        <v>12230</v>
      </c>
      <c r="I1983" s="111" t="s">
        <v>12289</v>
      </c>
      <c r="J1983" s="111"/>
      <c r="K1983" s="111" t="s">
        <v>174</v>
      </c>
      <c r="L1983" s="111"/>
      <c r="M1983" s="111">
        <v>1.0</v>
      </c>
      <c r="N1983" s="111"/>
      <c r="O1983" s="111"/>
      <c r="P1983" s="111"/>
      <c r="Q1983" s="111"/>
      <c r="R1983" s="111"/>
      <c r="S1983" s="111"/>
      <c r="T1983" s="111"/>
      <c r="U1983" s="111"/>
      <c r="V1983" s="111"/>
      <c r="W1983" s="111"/>
      <c r="X1983" s="111"/>
      <c r="Y1983" s="111"/>
      <c r="Z1983" s="111" t="s">
        <v>14965</v>
      </c>
      <c r="AA1983" s="126">
        <f>IF(Projects!$AI1983="Electrolysis",
AB1983*VLOOKUP(G1983,ElectrolysisConvF,3,FALSE),
"")</f>
        <v>155.9035189</v>
      </c>
      <c r="AB1983" s="125">
        <f t="shared" si="374"/>
        <v>34645.22641</v>
      </c>
      <c r="AC1983" s="125">
        <f>(150*3/17/0.98)</f>
        <v>27.01080432</v>
      </c>
      <c r="AD1983" s="125"/>
      <c r="AE1983" s="125">
        <f t="shared" si="358"/>
        <v>34645.22641</v>
      </c>
      <c r="AF1983" s="127" t="s">
        <v>14964</v>
      </c>
      <c r="AG1983" s="127">
        <v>0.0</v>
      </c>
      <c r="AH1983" s="127">
        <v>0.0</v>
      </c>
      <c r="AI1983" s="115" t="s">
        <v>12383</v>
      </c>
      <c r="AJ1983" s="116">
        <v>0.57</v>
      </c>
      <c r="AK1983" s="117"/>
      <c r="AL1983" s="117"/>
      <c r="AM1983" s="117"/>
      <c r="AN1983" s="117"/>
      <c r="AO1983" s="117"/>
    </row>
    <row r="1984" ht="34.5" customHeight="1">
      <c r="A1984" s="111">
        <v>2697.0</v>
      </c>
      <c r="B1984" s="111" t="s">
        <v>9980</v>
      </c>
      <c r="C1984" s="111" t="s">
        <v>9649</v>
      </c>
      <c r="D1984" s="111"/>
      <c r="E1984" s="111"/>
      <c r="F1984" s="111" t="s">
        <v>12399</v>
      </c>
      <c r="G1984" s="111" t="s">
        <v>12381</v>
      </c>
      <c r="H1984" s="111" t="s">
        <v>12230</v>
      </c>
      <c r="I1984" s="111" t="s">
        <v>12289</v>
      </c>
      <c r="J1984" s="111"/>
      <c r="K1984" s="111" t="s">
        <v>174</v>
      </c>
      <c r="L1984" s="111"/>
      <c r="M1984" s="111">
        <v>1.0</v>
      </c>
      <c r="N1984" s="111"/>
      <c r="O1984" s="111"/>
      <c r="P1984" s="111"/>
      <c r="Q1984" s="111"/>
      <c r="R1984" s="111"/>
      <c r="S1984" s="111"/>
      <c r="T1984" s="111"/>
      <c r="U1984" s="111"/>
      <c r="V1984" s="111"/>
      <c r="W1984" s="111"/>
      <c r="X1984" s="111"/>
      <c r="Y1984" s="111"/>
      <c r="Z1984" s="111" t="s">
        <v>14966</v>
      </c>
      <c r="AA1984" s="126">
        <f>IF(Projects!$AI1984="Electrolysis",
AB1984*VLOOKUP(G1984,ElectrolysisConvF,3,FALSE),
"")</f>
        <v>207.8713585</v>
      </c>
      <c r="AB1984" s="125">
        <f t="shared" si="374"/>
        <v>46193.63522</v>
      </c>
      <c r="AC1984" s="125">
        <f>(200*3/17/0.98)</f>
        <v>36.01440576</v>
      </c>
      <c r="AD1984" s="125"/>
      <c r="AE1984" s="125">
        <f t="shared" si="358"/>
        <v>46193.63522</v>
      </c>
      <c r="AF1984" s="127" t="s">
        <v>14964</v>
      </c>
      <c r="AG1984" s="127">
        <v>0.0</v>
      </c>
      <c r="AH1984" s="127">
        <v>0.0</v>
      </c>
      <c r="AI1984" s="115" t="s">
        <v>12383</v>
      </c>
      <c r="AJ1984" s="116">
        <v>0.57</v>
      </c>
      <c r="AK1984" s="117"/>
      <c r="AL1984" s="117"/>
      <c r="AM1984" s="117"/>
      <c r="AN1984" s="117"/>
      <c r="AO1984" s="117"/>
    </row>
    <row r="1985" ht="34.5" customHeight="1">
      <c r="A1985" s="111">
        <v>2698.0</v>
      </c>
      <c r="B1985" s="111" t="s">
        <v>9981</v>
      </c>
      <c r="C1985" s="111" t="s">
        <v>9649</v>
      </c>
      <c r="D1985" s="111"/>
      <c r="E1985" s="111"/>
      <c r="F1985" s="111" t="s">
        <v>12399</v>
      </c>
      <c r="G1985" s="111" t="s">
        <v>12381</v>
      </c>
      <c r="H1985" s="111" t="s">
        <v>12230</v>
      </c>
      <c r="I1985" s="111" t="s">
        <v>12289</v>
      </c>
      <c r="J1985" s="111"/>
      <c r="K1985" s="111" t="s">
        <v>174</v>
      </c>
      <c r="L1985" s="111"/>
      <c r="M1985" s="111">
        <v>1.0</v>
      </c>
      <c r="N1985" s="111"/>
      <c r="O1985" s="111"/>
      <c r="P1985" s="111"/>
      <c r="Q1985" s="111"/>
      <c r="R1985" s="111"/>
      <c r="S1985" s="111"/>
      <c r="T1985" s="111"/>
      <c r="U1985" s="111"/>
      <c r="V1985" s="111"/>
      <c r="W1985" s="111"/>
      <c r="X1985" s="111"/>
      <c r="Y1985" s="111"/>
      <c r="Z1985" s="111" t="s">
        <v>14962</v>
      </c>
      <c r="AA1985" s="126">
        <f>IF(Projects!$AI1985="Electrolysis",
AB1985*VLOOKUP(G1985,ElectrolysisConvF,3,FALSE),
"")</f>
        <v>1039.356792</v>
      </c>
      <c r="AB1985" s="125">
        <f t="shared" si="374"/>
        <v>230968.1761</v>
      </c>
      <c r="AC1985" s="125">
        <f>1000*3/17/0.98</f>
        <v>180.0720288</v>
      </c>
      <c r="AD1985" s="125"/>
      <c r="AE1985" s="125">
        <f t="shared" si="358"/>
        <v>230968.1761</v>
      </c>
      <c r="AF1985" s="127" t="s">
        <v>14964</v>
      </c>
      <c r="AG1985" s="127">
        <v>0.0</v>
      </c>
      <c r="AH1985" s="127">
        <v>0.0</v>
      </c>
      <c r="AI1985" s="115" t="s">
        <v>12383</v>
      </c>
      <c r="AJ1985" s="116">
        <v>0.57</v>
      </c>
      <c r="AK1985" s="117"/>
      <c r="AL1985" s="117"/>
      <c r="AM1985" s="117"/>
      <c r="AN1985" s="117"/>
      <c r="AO1985" s="117"/>
    </row>
    <row r="1986" ht="34.5" customHeight="1">
      <c r="A1986" s="111">
        <v>2699.0</v>
      </c>
      <c r="B1986" s="111" t="s">
        <v>9982</v>
      </c>
      <c r="C1986" s="111" t="s">
        <v>9649</v>
      </c>
      <c r="D1986" s="111"/>
      <c r="E1986" s="111"/>
      <c r="F1986" s="111" t="s">
        <v>12399</v>
      </c>
      <c r="G1986" s="111" t="s">
        <v>12381</v>
      </c>
      <c r="H1986" s="111" t="s">
        <v>12230</v>
      </c>
      <c r="I1986" s="111" t="s">
        <v>12289</v>
      </c>
      <c r="J1986" s="111"/>
      <c r="K1986" s="111" t="s">
        <v>174</v>
      </c>
      <c r="L1986" s="111"/>
      <c r="M1986" s="111">
        <v>1.0</v>
      </c>
      <c r="N1986" s="111"/>
      <c r="O1986" s="111"/>
      <c r="P1986" s="111"/>
      <c r="Q1986" s="111"/>
      <c r="R1986" s="111"/>
      <c r="S1986" s="111"/>
      <c r="T1986" s="111"/>
      <c r="U1986" s="111"/>
      <c r="V1986" s="111"/>
      <c r="W1986" s="111"/>
      <c r="X1986" s="111"/>
      <c r="Y1986" s="111"/>
      <c r="Z1986" s="111" t="s">
        <v>14967</v>
      </c>
      <c r="AA1986" s="126">
        <f>IF(Projects!$AI1986="Electrolysis",
AB1986*VLOOKUP(G1986,ElectrolysisConvF,3,FALSE),
"")</f>
        <v>187.0842226</v>
      </c>
      <c r="AB1986" s="125">
        <f t="shared" si="374"/>
        <v>41574.2717</v>
      </c>
      <c r="AC1986" s="125">
        <f>(180*3/17/0.98)</f>
        <v>32.41296519</v>
      </c>
      <c r="AD1986" s="125"/>
      <c r="AE1986" s="125">
        <f t="shared" si="358"/>
        <v>41574.2717</v>
      </c>
      <c r="AF1986" s="127" t="s">
        <v>14968</v>
      </c>
      <c r="AG1986" s="127">
        <v>0.0</v>
      </c>
      <c r="AH1986" s="127">
        <v>0.0</v>
      </c>
      <c r="AI1986" s="115" t="s">
        <v>12383</v>
      </c>
      <c r="AJ1986" s="116">
        <v>0.57</v>
      </c>
      <c r="AK1986" s="117"/>
      <c r="AL1986" s="117"/>
      <c r="AM1986" s="117"/>
      <c r="AN1986" s="117"/>
      <c r="AO1986" s="117"/>
    </row>
    <row r="1987" ht="34.5" customHeight="1">
      <c r="A1987" s="111">
        <v>2700.0</v>
      </c>
      <c r="B1987" s="111" t="s">
        <v>9983</v>
      </c>
      <c r="C1987" s="111" t="s">
        <v>9984</v>
      </c>
      <c r="D1987" s="111">
        <v>2028.0</v>
      </c>
      <c r="E1987" s="111"/>
      <c r="F1987" s="111" t="s">
        <v>12399</v>
      </c>
      <c r="G1987" s="111" t="s">
        <v>12381</v>
      </c>
      <c r="H1987" s="111" t="s">
        <v>12230</v>
      </c>
      <c r="I1987" s="111" t="s">
        <v>12394</v>
      </c>
      <c r="J1987" s="111" t="s">
        <v>12295</v>
      </c>
      <c r="K1987" s="111" t="s">
        <v>30</v>
      </c>
      <c r="L1987" s="111"/>
      <c r="M1987" s="111"/>
      <c r="N1987" s="111"/>
      <c r="O1987" s="111"/>
      <c r="P1987" s="111">
        <v>1.0</v>
      </c>
      <c r="Q1987" s="111"/>
      <c r="R1987" s="111"/>
      <c r="S1987" s="111"/>
      <c r="T1987" s="111"/>
      <c r="U1987" s="111"/>
      <c r="V1987" s="111"/>
      <c r="W1987" s="111"/>
      <c r="X1987" s="111"/>
      <c r="Y1987" s="111"/>
      <c r="Z1987" s="111" t="s">
        <v>14969</v>
      </c>
      <c r="AA1987" s="126">
        <f>IF(Projects!$AI1987="Electrolysis",
AB1987*VLOOKUP(G1987,ElectrolysisConvF,3,FALSE),
"")</f>
        <v>346.3136832</v>
      </c>
      <c r="AB1987" s="125">
        <f t="shared" si="374"/>
        <v>76958.59628</v>
      </c>
      <c r="AC1987" s="146">
        <f>(30/Projects!$AJ1987)</f>
        <v>60</v>
      </c>
      <c r="AD1987" s="125"/>
      <c r="AE1987" s="125">
        <f t="shared" si="358"/>
        <v>76958.59628</v>
      </c>
      <c r="AF1987" s="127" t="s">
        <v>14970</v>
      </c>
      <c r="AG1987" s="127">
        <v>44.0727466408729</v>
      </c>
      <c r="AH1987" s="127">
        <v>22.1021008263228</v>
      </c>
      <c r="AI1987" s="115" t="s">
        <v>12383</v>
      </c>
      <c r="AJ1987" s="116">
        <v>0.5</v>
      </c>
      <c r="AK1987" s="117"/>
      <c r="AL1987" s="117"/>
      <c r="AM1987" s="117"/>
      <c r="AN1987" s="117"/>
      <c r="AO1987" s="117"/>
    </row>
    <row r="1988" ht="34.5" customHeight="1">
      <c r="A1988" s="111">
        <v>2701.0</v>
      </c>
      <c r="B1988" s="111" t="s">
        <v>9985</v>
      </c>
      <c r="C1988" s="111" t="s">
        <v>7987</v>
      </c>
      <c r="D1988" s="111">
        <v>2023.0</v>
      </c>
      <c r="E1988" s="111"/>
      <c r="F1988" s="111" t="s">
        <v>12385</v>
      </c>
      <c r="G1988" s="111" t="s">
        <v>13638</v>
      </c>
      <c r="H1988" s="111"/>
      <c r="I1988" s="111" t="s">
        <v>12394</v>
      </c>
      <c r="J1988" s="111" t="s">
        <v>12291</v>
      </c>
      <c r="K1988" s="111" t="s">
        <v>30</v>
      </c>
      <c r="L1988" s="111"/>
      <c r="M1988" s="111"/>
      <c r="N1988" s="111"/>
      <c r="O1988" s="111"/>
      <c r="P1988" s="111"/>
      <c r="Q1988" s="111"/>
      <c r="R1988" s="111">
        <v>1.0</v>
      </c>
      <c r="S1988" s="111"/>
      <c r="T1988" s="111"/>
      <c r="U1988" s="111">
        <v>1.0</v>
      </c>
      <c r="V1988" s="111"/>
      <c r="W1988" s="111"/>
      <c r="X1988" s="111"/>
      <c r="Y1988" s="111"/>
      <c r="Z1988" s="111" t="s">
        <v>14971</v>
      </c>
      <c r="AA1988" s="124">
        <v>1.354</v>
      </c>
      <c r="AB1988" s="125">
        <f>IF(Projects!$AI1988="Electrolysis",
AA1988/VLOOKUP(G1988,ElectrolysisConvF,3,FALSE),
AC1988*10^6/(H2dens*HoursInYear))</f>
        <v>300.8888889</v>
      </c>
      <c r="AC1988" s="126">
        <f t="shared" ref="AC1988:AC1991" si="375">AB1988*H2dens*HoursInYear/10^6</f>
        <v>0.2345850133</v>
      </c>
      <c r="AD1988" s="125"/>
      <c r="AE1988" s="125">
        <f t="shared" si="358"/>
        <v>300.8888889</v>
      </c>
      <c r="AF1988" s="127" t="s">
        <v>14972</v>
      </c>
      <c r="AG1988" s="127">
        <v>52.329927267672</v>
      </c>
      <c r="AH1988" s="127">
        <v>10.9050760825214</v>
      </c>
      <c r="AI1988" s="115" t="s">
        <v>12383</v>
      </c>
      <c r="AJ1988" s="116">
        <v>0.3</v>
      </c>
      <c r="AK1988" s="117"/>
      <c r="AL1988" s="117"/>
      <c r="AM1988" s="117"/>
      <c r="AN1988" s="117"/>
      <c r="AO1988" s="117"/>
    </row>
    <row r="1989" ht="34.5" customHeight="1">
      <c r="A1989" s="111">
        <v>2702.0</v>
      </c>
      <c r="B1989" s="111" t="s">
        <v>9986</v>
      </c>
      <c r="C1989" s="111" t="s">
        <v>8047</v>
      </c>
      <c r="D1989" s="111">
        <v>2026.0</v>
      </c>
      <c r="E1989" s="111"/>
      <c r="F1989" s="111" t="s">
        <v>12399</v>
      </c>
      <c r="G1989" s="111" t="s">
        <v>13638</v>
      </c>
      <c r="H1989" s="111"/>
      <c r="I1989" s="111" t="s">
        <v>12394</v>
      </c>
      <c r="J1989" s="111" t="s">
        <v>12296</v>
      </c>
      <c r="K1989" s="111" t="s">
        <v>30</v>
      </c>
      <c r="L1989" s="111"/>
      <c r="M1989" s="111"/>
      <c r="N1989" s="111"/>
      <c r="O1989" s="111"/>
      <c r="P1989" s="111">
        <v>1.0</v>
      </c>
      <c r="Q1989" s="111"/>
      <c r="R1989" s="111"/>
      <c r="S1989" s="111"/>
      <c r="T1989" s="111"/>
      <c r="U1989" s="111"/>
      <c r="V1989" s="111"/>
      <c r="W1989" s="111"/>
      <c r="X1989" s="111"/>
      <c r="Y1989" s="111"/>
      <c r="Z1989" s="111" t="s">
        <v>14973</v>
      </c>
      <c r="AA1989" s="124">
        <v>1.0</v>
      </c>
      <c r="AB1989" s="125">
        <f>IF(Projects!$AI1989="Electrolysis",
AA1989/VLOOKUP(G1989,ElectrolysisConvF,3,FALSE),
AC1989*10^6/(H2dens*HoursInYear))</f>
        <v>222.2222222</v>
      </c>
      <c r="AC1989" s="126">
        <f t="shared" si="375"/>
        <v>0.1732533333</v>
      </c>
      <c r="AD1989" s="125"/>
      <c r="AE1989" s="125">
        <f t="shared" si="358"/>
        <v>222.2222222</v>
      </c>
      <c r="AF1989" s="127" t="s">
        <v>14974</v>
      </c>
      <c r="AG1989" s="127">
        <v>46.0052405699426</v>
      </c>
      <c r="AH1989" s="127">
        <v>8.32512219874111</v>
      </c>
      <c r="AI1989" s="115" t="s">
        <v>12383</v>
      </c>
      <c r="AJ1989" s="116">
        <v>0.5</v>
      </c>
      <c r="AK1989" s="117"/>
      <c r="AL1989" s="117"/>
      <c r="AM1989" s="117"/>
      <c r="AN1989" s="117"/>
      <c r="AO1989" s="117"/>
    </row>
    <row r="1990" ht="34.5" customHeight="1">
      <c r="A1990" s="111">
        <v>2703.0</v>
      </c>
      <c r="B1990" s="111" t="s">
        <v>9987</v>
      </c>
      <c r="C1990" s="111" t="s">
        <v>7991</v>
      </c>
      <c r="D1990" s="111">
        <v>2024.0</v>
      </c>
      <c r="E1990" s="111"/>
      <c r="F1990" s="111" t="s">
        <v>12393</v>
      </c>
      <c r="G1990" s="111" t="s">
        <v>13638</v>
      </c>
      <c r="H1990" s="111"/>
      <c r="I1990" s="111" t="s">
        <v>12394</v>
      </c>
      <c r="J1990" s="111" t="s">
        <v>12296</v>
      </c>
      <c r="K1990" s="111" t="s">
        <v>30</v>
      </c>
      <c r="L1990" s="111"/>
      <c r="M1990" s="111"/>
      <c r="N1990" s="111"/>
      <c r="O1990" s="111"/>
      <c r="P1990" s="111"/>
      <c r="Q1990" s="111">
        <v>1.0</v>
      </c>
      <c r="R1990" s="111"/>
      <c r="S1990" s="111"/>
      <c r="T1990" s="111"/>
      <c r="U1990" s="111"/>
      <c r="V1990" s="111"/>
      <c r="W1990" s="111"/>
      <c r="X1990" s="111"/>
      <c r="Y1990" s="111"/>
      <c r="Z1990" s="111" t="s">
        <v>14973</v>
      </c>
      <c r="AA1990" s="124">
        <v>1.0</v>
      </c>
      <c r="AB1990" s="125">
        <f>IF(Projects!$AI1990="Electrolysis",
AA1990/VLOOKUP(G1990,ElectrolysisConvF,3,FALSE),
AC1990*10^6/(H2dens*HoursInYear))</f>
        <v>222.2222222</v>
      </c>
      <c r="AC1990" s="126">
        <f t="shared" si="375"/>
        <v>0.1732533333</v>
      </c>
      <c r="AD1990" s="125"/>
      <c r="AE1990" s="125">
        <f t="shared" si="358"/>
        <v>222.2222222</v>
      </c>
      <c r="AF1990" s="127" t="s">
        <v>14975</v>
      </c>
      <c r="AG1990" s="127">
        <v>52.7713601535241</v>
      </c>
      <c r="AH1990" s="127">
        <v>-1.20484782011225</v>
      </c>
      <c r="AI1990" s="115" t="s">
        <v>12383</v>
      </c>
      <c r="AJ1990" s="116">
        <v>0.5</v>
      </c>
      <c r="AK1990" s="117"/>
      <c r="AL1990" s="117"/>
      <c r="AM1990" s="117"/>
      <c r="AN1990" s="117"/>
      <c r="AO1990" s="117"/>
    </row>
    <row r="1991" ht="34.5" customHeight="1">
      <c r="A1991" s="111">
        <v>2704.0</v>
      </c>
      <c r="B1991" s="111" t="s">
        <v>9988</v>
      </c>
      <c r="C1991" s="111" t="s">
        <v>8620</v>
      </c>
      <c r="D1991" s="111">
        <v>2024.0</v>
      </c>
      <c r="E1991" s="111"/>
      <c r="F1991" s="111" t="s">
        <v>12393</v>
      </c>
      <c r="G1991" s="111" t="s">
        <v>13638</v>
      </c>
      <c r="H1991" s="111"/>
      <c r="I1991" s="111" t="s">
        <v>12394</v>
      </c>
      <c r="J1991" s="111" t="s">
        <v>12292</v>
      </c>
      <c r="K1991" s="111" t="s">
        <v>30</v>
      </c>
      <c r="L1991" s="111"/>
      <c r="M1991" s="111"/>
      <c r="N1991" s="111"/>
      <c r="O1991" s="111"/>
      <c r="P1991" s="111">
        <v>1.0</v>
      </c>
      <c r="Q1991" s="111"/>
      <c r="R1991" s="111"/>
      <c r="S1991" s="111"/>
      <c r="T1991" s="111"/>
      <c r="U1991" s="111"/>
      <c r="V1991" s="111"/>
      <c r="W1991" s="111"/>
      <c r="X1991" s="111"/>
      <c r="Y1991" s="111"/>
      <c r="Z1991" s="111" t="s">
        <v>14976</v>
      </c>
      <c r="AA1991" s="124">
        <v>0.5</v>
      </c>
      <c r="AB1991" s="125">
        <f>IF(Projects!$AI1991="Electrolysis",
AA1991/VLOOKUP(G1991,ElectrolysisConvF,3,FALSE),
AC1991*10^6/(H2dens*HoursInYear))</f>
        <v>111.1111111</v>
      </c>
      <c r="AC1991" s="126">
        <f t="shared" si="375"/>
        <v>0.08662666667</v>
      </c>
      <c r="AD1991" s="125"/>
      <c r="AE1991" s="125">
        <f t="shared" si="358"/>
        <v>111.1111111</v>
      </c>
      <c r="AF1991" s="127" t="s">
        <v>14977</v>
      </c>
      <c r="AG1991" s="127">
        <v>49.2953970139537</v>
      </c>
      <c r="AH1991" s="127">
        <v>14.1497448823086</v>
      </c>
      <c r="AI1991" s="115" t="s">
        <v>12383</v>
      </c>
      <c r="AJ1991" s="116">
        <v>0.4</v>
      </c>
      <c r="AK1991" s="117"/>
      <c r="AL1991" s="117"/>
      <c r="AM1991" s="117"/>
      <c r="AN1991" s="117"/>
      <c r="AO1991" s="117"/>
    </row>
    <row r="1992" ht="34.5" customHeight="1">
      <c r="A1992" s="133">
        <v>2705.0</v>
      </c>
      <c r="B1992" s="133" t="s">
        <v>9989</v>
      </c>
      <c r="C1992" s="133" t="s">
        <v>8001</v>
      </c>
      <c r="D1992" s="133">
        <v>2025.0</v>
      </c>
      <c r="E1992" s="133"/>
      <c r="F1992" s="133" t="s">
        <v>12399</v>
      </c>
      <c r="G1992" s="133" t="s">
        <v>13638</v>
      </c>
      <c r="H1992" s="133"/>
      <c r="I1992" s="133" t="s">
        <v>12289</v>
      </c>
      <c r="J1992" s="133"/>
      <c r="K1992" s="133" t="s">
        <v>30</v>
      </c>
      <c r="L1992" s="133"/>
      <c r="M1992" s="133"/>
      <c r="N1992" s="133"/>
      <c r="O1992" s="133"/>
      <c r="P1992" s="133"/>
      <c r="Q1992" s="133"/>
      <c r="R1992" s="133"/>
      <c r="S1992" s="133"/>
      <c r="T1992" s="133"/>
      <c r="U1992" s="133"/>
      <c r="V1992" s="133"/>
      <c r="W1992" s="133"/>
      <c r="X1992" s="133"/>
      <c r="Y1992" s="133"/>
      <c r="Z1992" s="133" t="s">
        <v>14978</v>
      </c>
      <c r="AA1992" s="134" t="str">
        <f>IF(OR(G1992="ALK",G1992="PEM",G1992="SOEC",G1992="Other Electrolysis"),
AB1992*VLOOKUP(G1992,ElectrolysisConvF,3,FALSE),
"")</f>
        <v/>
      </c>
      <c r="AB1992" s="136"/>
      <c r="AC1992" s="136"/>
      <c r="AD1992" s="135"/>
      <c r="AE1992" s="135" t="str">
        <f t="shared" si="358"/>
        <v/>
      </c>
      <c r="AF1992" s="137" t="s">
        <v>14979</v>
      </c>
      <c r="AG1992" s="137">
        <v>0.0</v>
      </c>
      <c r="AH1992" s="137">
        <v>0.0</v>
      </c>
      <c r="AI1992" s="115" t="s">
        <v>12383</v>
      </c>
      <c r="AJ1992" s="116">
        <v>0.57</v>
      </c>
      <c r="AK1992" s="117"/>
      <c r="AL1992" s="117"/>
      <c r="AM1992" s="117"/>
      <c r="AN1992" s="117"/>
      <c r="AO1992" s="117"/>
    </row>
    <row r="1993" ht="34.5" customHeight="1">
      <c r="A1993" s="111">
        <v>2706.0</v>
      </c>
      <c r="B1993" s="111" t="s">
        <v>9990</v>
      </c>
      <c r="C1993" s="111" t="s">
        <v>7987</v>
      </c>
      <c r="D1993" s="111">
        <v>2025.0</v>
      </c>
      <c r="E1993" s="111"/>
      <c r="F1993" s="111" t="s">
        <v>12397</v>
      </c>
      <c r="G1993" s="111" t="s">
        <v>12381</v>
      </c>
      <c r="H1993" s="111" t="s">
        <v>12230</v>
      </c>
      <c r="I1993" s="111" t="s">
        <v>12287</v>
      </c>
      <c r="J1993" s="111"/>
      <c r="K1993" s="111" t="s">
        <v>12415</v>
      </c>
      <c r="L1993" s="111"/>
      <c r="M1993" s="111"/>
      <c r="N1993" s="111">
        <v>1.0</v>
      </c>
      <c r="O1993" s="111"/>
      <c r="P1993" s="111">
        <v>1.0</v>
      </c>
      <c r="Q1993" s="111">
        <v>1.0</v>
      </c>
      <c r="R1993" s="111"/>
      <c r="S1993" s="111"/>
      <c r="T1993" s="111"/>
      <c r="U1993" s="111"/>
      <c r="V1993" s="111"/>
      <c r="W1993" s="111"/>
      <c r="X1993" s="111"/>
      <c r="Y1993" s="111"/>
      <c r="Z1993" s="111"/>
      <c r="AA1993" s="124">
        <f>IF(OR(G1993="ALK",G1993="PEM",G1993="SOEC",G1993="Other Electrolysis"),
AB1993*VLOOKUP(G1993,ElectrolysisConvF,3,FALSE),
"")</f>
        <v>0</v>
      </c>
      <c r="AB1993" s="125"/>
      <c r="AC1993" s="125"/>
      <c r="AD1993" s="125"/>
      <c r="AE1993" s="125" t="str">
        <f t="shared" si="358"/>
        <v/>
      </c>
      <c r="AF1993" s="127" t="s">
        <v>14980</v>
      </c>
      <c r="AG1993" s="127">
        <v>50.6498168941204</v>
      </c>
      <c r="AH1993" s="127">
        <v>10.6791241268308</v>
      </c>
      <c r="AI1993" s="115" t="s">
        <v>12383</v>
      </c>
      <c r="AJ1993" s="116">
        <v>0.57</v>
      </c>
      <c r="AK1993" s="117"/>
      <c r="AL1993" s="117"/>
      <c r="AM1993" s="117"/>
      <c r="AN1993" s="117"/>
      <c r="AO1993" s="117"/>
    </row>
    <row r="1994" ht="34.5" customHeight="1">
      <c r="A1994" s="111">
        <v>2707.0</v>
      </c>
      <c r="B1994" s="111" t="s">
        <v>9991</v>
      </c>
      <c r="C1994" s="111" t="s">
        <v>8011</v>
      </c>
      <c r="D1994" s="111">
        <v>2028.0</v>
      </c>
      <c r="E1994" s="111"/>
      <c r="F1994" s="111" t="s">
        <v>12399</v>
      </c>
      <c r="G1994" s="111" t="s">
        <v>12381</v>
      </c>
      <c r="H1994" s="111" t="s">
        <v>12230</v>
      </c>
      <c r="I1994" s="111" t="s">
        <v>12287</v>
      </c>
      <c r="J1994" s="111" t="s">
        <v>12296</v>
      </c>
      <c r="K1994" s="111" t="s">
        <v>12415</v>
      </c>
      <c r="L1994" s="111"/>
      <c r="M1994" s="111"/>
      <c r="N1994" s="111">
        <v>1.0</v>
      </c>
      <c r="O1994" s="111"/>
      <c r="P1994" s="111">
        <v>1.0</v>
      </c>
      <c r="Q1994" s="111"/>
      <c r="R1994" s="111"/>
      <c r="S1994" s="111"/>
      <c r="T1994" s="111"/>
      <c r="U1994" s="111"/>
      <c r="V1994" s="111"/>
      <c r="W1994" s="111"/>
      <c r="X1994" s="111"/>
      <c r="Y1994" s="111"/>
      <c r="Z1994" s="111" t="s">
        <v>14981</v>
      </c>
      <c r="AA1994" s="126">
        <f>IF(Projects!$AI1994="Electrolysis",
AB1994*VLOOKUP(G1994,ElectrolysisConvF,3,FALSE),
"")</f>
        <v>290.6103424</v>
      </c>
      <c r="AB1994" s="125">
        <f>AC1994/(H2dens*HoursInYear/10^6)</f>
        <v>64580.07609</v>
      </c>
      <c r="AC1994" s="125">
        <f>150*0.191327/Projects!$AJ1994</f>
        <v>50.34921053</v>
      </c>
      <c r="AD1994" s="125"/>
      <c r="AE1994" s="125">
        <f t="shared" si="358"/>
        <v>64580.07609</v>
      </c>
      <c r="AF1994" s="127" t="s">
        <v>14982</v>
      </c>
      <c r="AG1994" s="127">
        <v>45.360475960041</v>
      </c>
      <c r="AH1994" s="127">
        <v>4.79679822921752</v>
      </c>
      <c r="AI1994" s="115" t="s">
        <v>12383</v>
      </c>
      <c r="AJ1994" s="116">
        <v>0.57</v>
      </c>
      <c r="AK1994" s="117"/>
      <c r="AL1994" s="117"/>
      <c r="AM1994" s="117"/>
      <c r="AN1994" s="117"/>
      <c r="AO1994" s="117"/>
    </row>
    <row r="1995" ht="34.5" customHeight="1">
      <c r="A1995" s="111">
        <v>2708.0</v>
      </c>
      <c r="B1995" s="111" t="s">
        <v>9992</v>
      </c>
      <c r="C1995" s="111" t="s">
        <v>7987</v>
      </c>
      <c r="D1995" s="111">
        <v>2028.0</v>
      </c>
      <c r="E1995" s="111"/>
      <c r="F1995" s="111" t="s">
        <v>12397</v>
      </c>
      <c r="G1995" s="111" t="s">
        <v>12381</v>
      </c>
      <c r="H1995" s="111" t="s">
        <v>12230</v>
      </c>
      <c r="I1995" s="111" t="s">
        <v>12406</v>
      </c>
      <c r="J1995" s="111"/>
      <c r="K1995" s="111" t="s">
        <v>12415</v>
      </c>
      <c r="L1995" s="111"/>
      <c r="M1995" s="111"/>
      <c r="N1995" s="111">
        <v>1.0</v>
      </c>
      <c r="O1995" s="111"/>
      <c r="P1995" s="111"/>
      <c r="Q1995" s="111">
        <v>1.0</v>
      </c>
      <c r="R1995" s="111"/>
      <c r="S1995" s="111"/>
      <c r="T1995" s="111"/>
      <c r="U1995" s="111"/>
      <c r="V1995" s="111"/>
      <c r="W1995" s="111"/>
      <c r="X1995" s="111"/>
      <c r="Y1995" s="111"/>
      <c r="Z1995" s="111" t="s">
        <v>14983</v>
      </c>
      <c r="AA1995" s="124">
        <v>85.0</v>
      </c>
      <c r="AB1995" s="125">
        <f>IF(Projects!$AI1995="Electrolysis",
AA1995/VLOOKUP(G1995,ElectrolysisConvF,3,FALSE),
AC1995*10^6/(H2dens*HoursInYear))</f>
        <v>18888.88889</v>
      </c>
      <c r="AC1995" s="126">
        <f t="shared" ref="AC1995:AC1996" si="376">AB1995*H2dens*HoursInYear/10^6</f>
        <v>14.72653333</v>
      </c>
      <c r="AD1995" s="125"/>
      <c r="AE1995" s="125">
        <f t="shared" si="358"/>
        <v>18888.88889</v>
      </c>
      <c r="AF1995" s="127" t="s">
        <v>14984</v>
      </c>
      <c r="AG1995" s="127">
        <v>52.9440659030629</v>
      </c>
      <c r="AH1995" s="127">
        <v>8.88382809681084</v>
      </c>
      <c r="AI1995" s="115" t="s">
        <v>12383</v>
      </c>
      <c r="AJ1995" s="116">
        <v>0.57</v>
      </c>
      <c r="AK1995" s="117"/>
      <c r="AL1995" s="117"/>
      <c r="AM1995" s="117"/>
      <c r="AN1995" s="117"/>
      <c r="AO1995" s="117"/>
    </row>
    <row r="1996" ht="34.5" customHeight="1">
      <c r="A1996" s="111">
        <v>2709.0</v>
      </c>
      <c r="B1996" s="111" t="s">
        <v>9993</v>
      </c>
      <c r="C1996" s="111" t="s">
        <v>8122</v>
      </c>
      <c r="D1996" s="111">
        <v>2026.0</v>
      </c>
      <c r="E1996" s="111"/>
      <c r="F1996" s="111" t="s">
        <v>12399</v>
      </c>
      <c r="G1996" s="111" t="s">
        <v>12381</v>
      </c>
      <c r="H1996" s="111" t="s">
        <v>12230</v>
      </c>
      <c r="I1996" s="111" t="s">
        <v>12394</v>
      </c>
      <c r="J1996" s="111" t="s">
        <v>12295</v>
      </c>
      <c r="K1996" s="111" t="s">
        <v>30</v>
      </c>
      <c r="L1996" s="111"/>
      <c r="M1996" s="111"/>
      <c r="N1996" s="111">
        <v>1.0</v>
      </c>
      <c r="O1996" s="111"/>
      <c r="P1996" s="111"/>
      <c r="Q1996" s="111">
        <v>1.0</v>
      </c>
      <c r="R1996" s="111"/>
      <c r="S1996" s="111"/>
      <c r="T1996" s="111"/>
      <c r="U1996" s="111"/>
      <c r="V1996" s="111"/>
      <c r="W1996" s="111"/>
      <c r="X1996" s="111"/>
      <c r="Y1996" s="111"/>
      <c r="Z1996" s="111" t="s">
        <v>14985</v>
      </c>
      <c r="AA1996" s="124">
        <v>60.0</v>
      </c>
      <c r="AB1996" s="125">
        <f>IF(Projects!$AI1996="Electrolysis",
AA1996/VLOOKUP(G1996,ElectrolysisConvF,3,FALSE),
AC1996*10^6/(H2dens*HoursInYear))</f>
        <v>13333.33333</v>
      </c>
      <c r="AC1996" s="126">
        <f t="shared" si="376"/>
        <v>10.3952</v>
      </c>
      <c r="AD1996" s="125"/>
      <c r="AE1996" s="125">
        <f t="shared" si="358"/>
        <v>13333.33333</v>
      </c>
      <c r="AF1996" s="127" t="s">
        <v>14986</v>
      </c>
      <c r="AG1996" s="127">
        <v>63.8106651053466</v>
      </c>
      <c r="AH1996" s="127">
        <v>-22.682991206315</v>
      </c>
      <c r="AI1996" s="115" t="s">
        <v>12383</v>
      </c>
      <c r="AJ1996" s="116">
        <v>0.5</v>
      </c>
      <c r="AK1996" s="117"/>
      <c r="AL1996" s="117"/>
      <c r="AM1996" s="117"/>
      <c r="AN1996" s="117"/>
      <c r="AO1996" s="117"/>
    </row>
    <row r="1997" ht="34.5" customHeight="1">
      <c r="A1997" s="111">
        <v>2710.0</v>
      </c>
      <c r="B1997" s="111" t="s">
        <v>9994</v>
      </c>
      <c r="C1997" s="111" t="s">
        <v>7991</v>
      </c>
      <c r="D1997" s="111">
        <v>2026.0</v>
      </c>
      <c r="E1997" s="111"/>
      <c r="F1997" s="111" t="s">
        <v>12399</v>
      </c>
      <c r="G1997" s="111" t="s">
        <v>12381</v>
      </c>
      <c r="H1997" s="111" t="s">
        <v>12230</v>
      </c>
      <c r="I1997" s="111" t="s">
        <v>12287</v>
      </c>
      <c r="J1997" s="111"/>
      <c r="K1997" s="111" t="s">
        <v>12415</v>
      </c>
      <c r="L1997" s="111"/>
      <c r="M1997" s="111"/>
      <c r="N1997" s="111">
        <v>1.0</v>
      </c>
      <c r="O1997" s="111"/>
      <c r="P1997" s="111"/>
      <c r="Q1997" s="111"/>
      <c r="R1997" s="111"/>
      <c r="S1997" s="111"/>
      <c r="T1997" s="111"/>
      <c r="U1997" s="111"/>
      <c r="V1997" s="111"/>
      <c r="W1997" s="111"/>
      <c r="X1997" s="111"/>
      <c r="Y1997" s="111"/>
      <c r="Z1997" s="111" t="s">
        <v>14987</v>
      </c>
      <c r="AA1997" s="126">
        <f>IF(Projects!$AI1997="Electrolysis",
AB1997*VLOOKUP(G1997,ElectrolysisConvF,3,FALSE),
"")</f>
        <v>38.74804566</v>
      </c>
      <c r="AB1997" s="125">
        <f t="shared" ref="AB1997:AB1999" si="377">AC1997/(H2dens*HoursInYear/10^6)</f>
        <v>8610.676813</v>
      </c>
      <c r="AC1997" s="125">
        <f>20*0.191327/Projects!$AJ1997</f>
        <v>6.71322807</v>
      </c>
      <c r="AD1997" s="125"/>
      <c r="AE1997" s="125">
        <f t="shared" si="358"/>
        <v>8610.676813</v>
      </c>
      <c r="AF1997" s="127" t="s">
        <v>14988</v>
      </c>
      <c r="AG1997" s="127">
        <v>57.7075187710783</v>
      </c>
      <c r="AH1997" s="127">
        <v>-4.02954635462174</v>
      </c>
      <c r="AI1997" s="115" t="s">
        <v>12383</v>
      </c>
      <c r="AJ1997" s="116">
        <v>0.57</v>
      </c>
      <c r="AK1997" s="117"/>
      <c r="AL1997" s="117"/>
      <c r="AM1997" s="117"/>
      <c r="AN1997" s="117"/>
      <c r="AO1997" s="117"/>
    </row>
    <row r="1998" ht="34.5" customHeight="1">
      <c r="A1998" s="111">
        <v>2711.0</v>
      </c>
      <c r="B1998" s="111" t="s">
        <v>9995</v>
      </c>
      <c r="C1998" s="111" t="s">
        <v>7977</v>
      </c>
      <c r="D1998" s="111">
        <v>2025.0</v>
      </c>
      <c r="E1998" s="111"/>
      <c r="F1998" s="111" t="s">
        <v>12397</v>
      </c>
      <c r="G1998" s="111" t="s">
        <v>12381</v>
      </c>
      <c r="H1998" s="111" t="s">
        <v>12230</v>
      </c>
      <c r="I1998" s="111" t="s">
        <v>12394</v>
      </c>
      <c r="J1998" s="111" t="s">
        <v>12295</v>
      </c>
      <c r="K1998" s="111" t="s">
        <v>12415</v>
      </c>
      <c r="L1998" s="111"/>
      <c r="M1998" s="111"/>
      <c r="N1998" s="111">
        <v>1.0</v>
      </c>
      <c r="O1998" s="111"/>
      <c r="P1998" s="111"/>
      <c r="Q1998" s="111">
        <v>1.0</v>
      </c>
      <c r="R1998" s="111"/>
      <c r="S1998" s="111"/>
      <c r="T1998" s="111"/>
      <c r="U1998" s="111"/>
      <c r="V1998" s="111"/>
      <c r="W1998" s="111"/>
      <c r="X1998" s="111"/>
      <c r="Y1998" s="111"/>
      <c r="Z1998" s="111" t="s">
        <v>14989</v>
      </c>
      <c r="AA1998" s="126">
        <f>IF(Projects!$AI1998="Electrolysis",
AB1998*VLOOKUP(G1998,ElectrolysisConvF,3,FALSE),
"")</f>
        <v>69.57211598</v>
      </c>
      <c r="AB1998" s="125">
        <f t="shared" si="377"/>
        <v>15460.47022</v>
      </c>
      <c r="AC1998" s="125">
        <f>31.5*0.191327/Projects!$AJ1998</f>
        <v>12.053601</v>
      </c>
      <c r="AD1998" s="125"/>
      <c r="AE1998" s="125">
        <f t="shared" si="358"/>
        <v>15460.47022</v>
      </c>
      <c r="AF1998" s="127" t="s">
        <v>14990</v>
      </c>
      <c r="AG1998" s="127">
        <v>36.5212131475424</v>
      </c>
      <c r="AH1998" s="127">
        <v>-6.28066486611788</v>
      </c>
      <c r="AI1998" s="115" t="s">
        <v>12383</v>
      </c>
      <c r="AJ1998" s="116">
        <v>0.5</v>
      </c>
      <c r="AK1998" s="117"/>
      <c r="AL1998" s="117"/>
      <c r="AM1998" s="117"/>
      <c r="AN1998" s="117"/>
      <c r="AO1998" s="117"/>
    </row>
    <row r="1999" ht="34.5" customHeight="1">
      <c r="A1999" s="111">
        <v>2712.0</v>
      </c>
      <c r="B1999" s="111" t="s">
        <v>9996</v>
      </c>
      <c r="C1999" s="111" t="s">
        <v>7977</v>
      </c>
      <c r="D1999" s="111"/>
      <c r="E1999" s="111"/>
      <c r="F1999" s="111" t="s">
        <v>12397</v>
      </c>
      <c r="G1999" s="111" t="s">
        <v>12381</v>
      </c>
      <c r="H1999" s="111" t="s">
        <v>12230</v>
      </c>
      <c r="I1999" s="111" t="s">
        <v>12394</v>
      </c>
      <c r="J1999" s="111" t="s">
        <v>12295</v>
      </c>
      <c r="K1999" s="111" t="s">
        <v>12415</v>
      </c>
      <c r="L1999" s="111"/>
      <c r="M1999" s="111"/>
      <c r="N1999" s="111">
        <v>1.0</v>
      </c>
      <c r="O1999" s="111"/>
      <c r="P1999" s="111"/>
      <c r="Q1999" s="111">
        <v>1.0</v>
      </c>
      <c r="R1999" s="111"/>
      <c r="S1999" s="111"/>
      <c r="T1999" s="111"/>
      <c r="U1999" s="111"/>
      <c r="V1999" s="111"/>
      <c r="W1999" s="111"/>
      <c r="X1999" s="111"/>
      <c r="Y1999" s="111"/>
      <c r="Z1999" s="111" t="s">
        <v>14991</v>
      </c>
      <c r="AA1999" s="126">
        <f>IF(Projects!$AI1999="Electrolysis",
AB1999*VLOOKUP(G1999,ElectrolysisConvF,3,FALSE),
"")</f>
        <v>2208.638602</v>
      </c>
      <c r="AB1999" s="125">
        <f t="shared" si="377"/>
        <v>490808.5783</v>
      </c>
      <c r="AC1999" s="125">
        <f>1000*0.191327/Projects!$AJ1999</f>
        <v>382.654</v>
      </c>
      <c r="AD1999" s="125"/>
      <c r="AE1999" s="125">
        <f t="shared" si="358"/>
        <v>490808.5783</v>
      </c>
      <c r="AF1999" s="127"/>
      <c r="AG1999" s="127">
        <v>0.0</v>
      </c>
      <c r="AH1999" s="127">
        <v>0.0</v>
      </c>
      <c r="AI1999" s="115" t="s">
        <v>12383</v>
      </c>
      <c r="AJ1999" s="116">
        <v>0.5</v>
      </c>
      <c r="AK1999" s="117"/>
      <c r="AL1999" s="117"/>
      <c r="AM1999" s="117"/>
      <c r="AN1999" s="117"/>
      <c r="AO1999" s="117"/>
    </row>
    <row r="2000" ht="34.5" customHeight="1">
      <c r="A2000" s="111">
        <v>2713.0</v>
      </c>
      <c r="B2000" s="111" t="s">
        <v>9997</v>
      </c>
      <c r="C2000" s="111" t="s">
        <v>7971</v>
      </c>
      <c r="D2000" s="111">
        <v>2025.0</v>
      </c>
      <c r="E2000" s="111"/>
      <c r="F2000" s="111" t="s">
        <v>12393</v>
      </c>
      <c r="G2000" s="111" t="s">
        <v>12224</v>
      </c>
      <c r="H2000" s="111"/>
      <c r="I2000" s="111" t="s">
        <v>12287</v>
      </c>
      <c r="J2000" s="111"/>
      <c r="K2000" s="111" t="s">
        <v>30</v>
      </c>
      <c r="L2000" s="111"/>
      <c r="M2000" s="111"/>
      <c r="N2000" s="111"/>
      <c r="O2000" s="111"/>
      <c r="P2000" s="111">
        <v>1.0</v>
      </c>
      <c r="Q2000" s="111">
        <v>1.0</v>
      </c>
      <c r="R2000" s="111"/>
      <c r="S2000" s="111"/>
      <c r="T2000" s="111"/>
      <c r="U2000" s="111"/>
      <c r="V2000" s="111"/>
      <c r="W2000" s="111"/>
      <c r="X2000" s="111"/>
      <c r="Y2000" s="111"/>
      <c r="Z2000" s="111" t="s">
        <v>14992</v>
      </c>
      <c r="AA2000" s="124">
        <v>20.0</v>
      </c>
      <c r="AB2000" s="125">
        <f>IF(Projects!$AI2000="Electrolysis",
AA2000/VLOOKUP(G2000,ElectrolysisConvF,3,FALSE),
AC2000*10^6/(H2dens*HoursInYear))</f>
        <v>4347.826087</v>
      </c>
      <c r="AC2000" s="126">
        <f t="shared" ref="AC2000:AC2003" si="378">AB2000*H2dens*HoursInYear/10^6</f>
        <v>3.38973913</v>
      </c>
      <c r="AD2000" s="125"/>
      <c r="AE2000" s="125">
        <f t="shared" si="358"/>
        <v>4347.826087</v>
      </c>
      <c r="AF2000" s="127" t="s">
        <v>14993</v>
      </c>
      <c r="AG2000" s="127">
        <v>58.1449200162199</v>
      </c>
      <c r="AH2000" s="127">
        <v>8.02465756689522</v>
      </c>
      <c r="AI2000" s="115" t="s">
        <v>12383</v>
      </c>
      <c r="AJ2000" s="116">
        <v>0.57</v>
      </c>
      <c r="AK2000" s="117"/>
      <c r="AL2000" s="117"/>
      <c r="AM2000" s="117"/>
      <c r="AN2000" s="117"/>
      <c r="AO2000" s="117"/>
    </row>
    <row r="2001" ht="34.5" customHeight="1">
      <c r="A2001" s="111">
        <v>2714.0</v>
      </c>
      <c r="B2001" s="111" t="s">
        <v>9998</v>
      </c>
      <c r="C2001" s="111" t="s">
        <v>7971</v>
      </c>
      <c r="D2001" s="111">
        <v>2027.0</v>
      </c>
      <c r="E2001" s="111"/>
      <c r="F2001" s="111" t="s">
        <v>12399</v>
      </c>
      <c r="G2001" s="111" t="s">
        <v>12381</v>
      </c>
      <c r="H2001" s="111" t="s">
        <v>12230</v>
      </c>
      <c r="I2001" s="111" t="s">
        <v>12287</v>
      </c>
      <c r="J2001" s="111"/>
      <c r="K2001" s="111" t="s">
        <v>30</v>
      </c>
      <c r="L2001" s="111"/>
      <c r="M2001" s="111"/>
      <c r="N2001" s="111"/>
      <c r="O2001" s="111"/>
      <c r="P2001" s="111">
        <v>1.0</v>
      </c>
      <c r="Q2001" s="111">
        <v>1.0</v>
      </c>
      <c r="R2001" s="111"/>
      <c r="S2001" s="111"/>
      <c r="T2001" s="111"/>
      <c r="U2001" s="111"/>
      <c r="V2001" s="111"/>
      <c r="W2001" s="111"/>
      <c r="X2001" s="111"/>
      <c r="Y2001" s="111"/>
      <c r="Z2001" s="111" t="s">
        <v>14994</v>
      </c>
      <c r="AA2001" s="124">
        <v>40.0</v>
      </c>
      <c r="AB2001" s="125">
        <f>IF(Projects!$AI2001="Electrolysis",
AA2001/VLOOKUP(G2001,ElectrolysisConvF,3,FALSE),
AC2001*10^6/(H2dens*HoursInYear))</f>
        <v>8888.888889</v>
      </c>
      <c r="AC2001" s="126">
        <f t="shared" si="378"/>
        <v>6.930133333</v>
      </c>
      <c r="AD2001" s="125"/>
      <c r="AE2001" s="125">
        <f t="shared" si="358"/>
        <v>8888.888889</v>
      </c>
      <c r="AF2001" s="127" t="s">
        <v>14995</v>
      </c>
      <c r="AG2001" s="127">
        <v>58.1449200162199</v>
      </c>
      <c r="AH2001" s="127">
        <v>8.02465756689522</v>
      </c>
      <c r="AI2001" s="115" t="s">
        <v>12383</v>
      </c>
      <c r="AJ2001" s="116">
        <v>0.57</v>
      </c>
      <c r="AK2001" s="117"/>
      <c r="AL2001" s="117"/>
      <c r="AM2001" s="117"/>
      <c r="AN2001" s="117"/>
      <c r="AO2001" s="117"/>
    </row>
    <row r="2002" ht="34.5" customHeight="1">
      <c r="A2002" s="111">
        <v>2715.0</v>
      </c>
      <c r="B2002" s="111" t="s">
        <v>9999</v>
      </c>
      <c r="C2002" s="111" t="s">
        <v>7974</v>
      </c>
      <c r="D2002" s="111"/>
      <c r="E2002" s="111"/>
      <c r="F2002" s="111" t="s">
        <v>12399</v>
      </c>
      <c r="G2002" s="111" t="s">
        <v>12381</v>
      </c>
      <c r="H2002" s="111" t="s">
        <v>12230</v>
      </c>
      <c r="I2002" s="111" t="s">
        <v>12394</v>
      </c>
      <c r="J2002" s="111" t="s">
        <v>12293</v>
      </c>
      <c r="K2002" s="111" t="s">
        <v>30</v>
      </c>
      <c r="L2002" s="111"/>
      <c r="M2002" s="111">
        <v>1.0</v>
      </c>
      <c r="N2002" s="111">
        <v>1.0</v>
      </c>
      <c r="O2002" s="111"/>
      <c r="P2002" s="111"/>
      <c r="Q2002" s="111"/>
      <c r="R2002" s="111"/>
      <c r="S2002" s="111"/>
      <c r="T2002" s="111"/>
      <c r="U2002" s="111"/>
      <c r="V2002" s="111"/>
      <c r="W2002" s="111">
        <v>1.0</v>
      </c>
      <c r="X2002" s="111"/>
      <c r="Y2002" s="111"/>
      <c r="Z2002" s="111" t="s">
        <v>14996</v>
      </c>
      <c r="AA2002" s="124">
        <v>600.0</v>
      </c>
      <c r="AB2002" s="125">
        <f>IF(Projects!$AI2002="Electrolysis",
AA2002/VLOOKUP(G2002,ElectrolysisConvF,3,FALSE),
AC2002*10^6/(H2dens*HoursInYear))</f>
        <v>133333.3333</v>
      </c>
      <c r="AC2002" s="126">
        <f t="shared" si="378"/>
        <v>103.952</v>
      </c>
      <c r="AD2002" s="125"/>
      <c r="AE2002" s="125">
        <f t="shared" si="358"/>
        <v>133333.3333</v>
      </c>
      <c r="AF2002" s="127" t="s">
        <v>14997</v>
      </c>
      <c r="AG2002" s="127">
        <v>61.3198461552365</v>
      </c>
      <c r="AH2002" s="127">
        <v>17.387107209766</v>
      </c>
      <c r="AI2002" s="115" t="s">
        <v>12383</v>
      </c>
      <c r="AJ2002" s="116">
        <v>0.55</v>
      </c>
      <c r="AK2002" s="117"/>
      <c r="AL2002" s="117"/>
      <c r="AM2002" s="117"/>
      <c r="AN2002" s="117"/>
      <c r="AO2002" s="117"/>
    </row>
    <row r="2003" ht="34.5" customHeight="1">
      <c r="A2003" s="111">
        <v>2715.0</v>
      </c>
      <c r="B2003" s="111" t="s">
        <v>10000</v>
      </c>
      <c r="C2003" s="111" t="s">
        <v>7987</v>
      </c>
      <c r="D2003" s="111">
        <v>2024.0</v>
      </c>
      <c r="E2003" s="111"/>
      <c r="F2003" s="111" t="s">
        <v>12393</v>
      </c>
      <c r="G2003" s="111" t="s">
        <v>12381</v>
      </c>
      <c r="H2003" s="111" t="s">
        <v>12230</v>
      </c>
      <c r="I2003" s="111" t="s">
        <v>12406</v>
      </c>
      <c r="J2003" s="111"/>
      <c r="K2003" s="111" t="s">
        <v>30</v>
      </c>
      <c r="L2003" s="111"/>
      <c r="M2003" s="111"/>
      <c r="N2003" s="111"/>
      <c r="O2003" s="111"/>
      <c r="P2003" s="111">
        <v>1.0</v>
      </c>
      <c r="Q2003" s="111">
        <v>1.0</v>
      </c>
      <c r="R2003" s="111"/>
      <c r="S2003" s="111"/>
      <c r="T2003" s="111"/>
      <c r="U2003" s="111"/>
      <c r="V2003" s="111"/>
      <c r="W2003" s="111"/>
      <c r="X2003" s="111"/>
      <c r="Y2003" s="111"/>
      <c r="Z2003" s="111" t="s">
        <v>14998</v>
      </c>
      <c r="AA2003" s="124">
        <v>10.0</v>
      </c>
      <c r="AB2003" s="125">
        <f>IF(Projects!$AI2003="Electrolysis",
AA2003/VLOOKUP(G2003,ElectrolysisConvF,3,FALSE),
AC2003*10^6/(H2dens*HoursInYear))</f>
        <v>2222.222222</v>
      </c>
      <c r="AC2003" s="126">
        <f t="shared" si="378"/>
        <v>1.732533333</v>
      </c>
      <c r="AD2003" s="125"/>
      <c r="AE2003" s="125">
        <f t="shared" si="358"/>
        <v>2222.222222</v>
      </c>
      <c r="AF2003" s="127" t="s">
        <v>14999</v>
      </c>
      <c r="AG2003" s="127">
        <v>61.3198461552365</v>
      </c>
      <c r="AH2003" s="127">
        <v>17.387107209766</v>
      </c>
      <c r="AI2003" s="115" t="s">
        <v>12383</v>
      </c>
      <c r="AJ2003" s="116">
        <v>0.57</v>
      </c>
      <c r="AK2003" s="117"/>
      <c r="AL2003" s="117"/>
      <c r="AM2003" s="117"/>
      <c r="AN2003" s="117"/>
      <c r="AO2003" s="117"/>
    </row>
    <row r="2004" ht="34.5" customHeight="1">
      <c r="A2004" s="111">
        <v>2718.0</v>
      </c>
      <c r="B2004" s="111" t="s">
        <v>10001</v>
      </c>
      <c r="C2004" s="111" t="s">
        <v>8001</v>
      </c>
      <c r="D2004" s="111">
        <v>2027.0</v>
      </c>
      <c r="E2004" s="111"/>
      <c r="F2004" s="111" t="s">
        <v>12399</v>
      </c>
      <c r="G2004" s="111" t="s">
        <v>12381</v>
      </c>
      <c r="H2004" s="111" t="s">
        <v>12230</v>
      </c>
      <c r="I2004" s="111" t="s">
        <v>12287</v>
      </c>
      <c r="J2004" s="111"/>
      <c r="K2004" s="111" t="s">
        <v>12415</v>
      </c>
      <c r="L2004" s="111"/>
      <c r="M2004" s="111"/>
      <c r="N2004" s="111">
        <v>1.0</v>
      </c>
      <c r="O2004" s="111"/>
      <c r="P2004" s="111"/>
      <c r="Q2004" s="111"/>
      <c r="R2004" s="111"/>
      <c r="S2004" s="111"/>
      <c r="T2004" s="111"/>
      <c r="U2004" s="111"/>
      <c r="V2004" s="111"/>
      <c r="W2004" s="111"/>
      <c r="X2004" s="111"/>
      <c r="Y2004" s="111"/>
      <c r="Z2004" s="111" t="s">
        <v>15000</v>
      </c>
      <c r="AA2004" s="126">
        <f>IF(Projects!$AI2004="Electrolysis",
AB2004*VLOOKUP(G2004,ElectrolysisConvF,3,FALSE),
"")</f>
        <v>387.4804566</v>
      </c>
      <c r="AB2004" s="125">
        <f t="shared" ref="AB2004:AB2008" si="379">AC2004/(H2dens*HoursInYear/10^6)</f>
        <v>86106.76813</v>
      </c>
      <c r="AC2004" s="125">
        <f>200*0.191327/Projects!$AJ2004</f>
        <v>67.1322807</v>
      </c>
      <c r="AD2004" s="125"/>
      <c r="AE2004" s="125">
        <f t="shared" si="358"/>
        <v>86106.76813</v>
      </c>
      <c r="AF2004" s="127" t="s">
        <v>14948</v>
      </c>
      <c r="AG2004" s="127">
        <v>36.7931204059812</v>
      </c>
      <c r="AH2004" s="127">
        <v>121.115067941697</v>
      </c>
      <c r="AI2004" s="115" t="s">
        <v>12383</v>
      </c>
      <c r="AJ2004" s="116">
        <v>0.57</v>
      </c>
      <c r="AK2004" s="117"/>
      <c r="AL2004" s="117"/>
      <c r="AM2004" s="117"/>
      <c r="AN2004" s="117"/>
      <c r="AO2004" s="117"/>
    </row>
    <row r="2005" ht="34.5" customHeight="1">
      <c r="A2005" s="111">
        <v>2719.0</v>
      </c>
      <c r="B2005" s="111" t="s">
        <v>10002</v>
      </c>
      <c r="C2005" s="111" t="s">
        <v>8108</v>
      </c>
      <c r="D2005" s="111"/>
      <c r="E2005" s="111"/>
      <c r="F2005" s="111" t="s">
        <v>12397</v>
      </c>
      <c r="G2005" s="111" t="s">
        <v>12381</v>
      </c>
      <c r="H2005" s="111" t="s">
        <v>12230</v>
      </c>
      <c r="I2005" s="111" t="s">
        <v>12394</v>
      </c>
      <c r="J2005" s="111" t="s">
        <v>12295</v>
      </c>
      <c r="K2005" s="111" t="s">
        <v>12481</v>
      </c>
      <c r="L2005" s="111"/>
      <c r="M2005" s="111">
        <v>1.0</v>
      </c>
      <c r="N2005" s="111">
        <v>1.0</v>
      </c>
      <c r="O2005" s="111"/>
      <c r="P2005" s="111"/>
      <c r="Q2005" s="111"/>
      <c r="R2005" s="111"/>
      <c r="S2005" s="111"/>
      <c r="T2005" s="111"/>
      <c r="U2005" s="111"/>
      <c r="V2005" s="111"/>
      <c r="W2005" s="111"/>
      <c r="X2005" s="111"/>
      <c r="Y2005" s="111"/>
      <c r="Z2005" s="111" t="s">
        <v>15001</v>
      </c>
      <c r="AA2005" s="126">
        <f>IF(Projects!$AI2005="Electrolysis",
AB2005*VLOOKUP(G2005,ElectrolysisConvF,3,FALSE),
"")</f>
        <v>86.18880831</v>
      </c>
      <c r="AB2005" s="125">
        <f t="shared" si="379"/>
        <v>19153.06851</v>
      </c>
      <c r="AC2005" s="125">
        <f>((27*0.191327)+(12.775*3/17/0.98))/Projects!$AJ2005</f>
        <v>14.93249834</v>
      </c>
      <c r="AD2005" s="125"/>
      <c r="AE2005" s="125">
        <f t="shared" si="358"/>
        <v>19153.06851</v>
      </c>
      <c r="AF2005" s="127" t="s">
        <v>15002</v>
      </c>
      <c r="AG2005" s="127">
        <v>22.2479233170989</v>
      </c>
      <c r="AH2005" s="127">
        <v>71.6963615615984</v>
      </c>
      <c r="AI2005" s="115" t="s">
        <v>12383</v>
      </c>
      <c r="AJ2005" s="116">
        <v>0.5</v>
      </c>
      <c r="AK2005" s="117"/>
      <c r="AL2005" s="117"/>
      <c r="AM2005" s="117"/>
      <c r="AN2005" s="117"/>
      <c r="AO2005" s="117"/>
    </row>
    <row r="2006" ht="34.5" customHeight="1">
      <c r="A2006" s="111">
        <v>2720.0</v>
      </c>
      <c r="B2006" s="111" t="s">
        <v>10003</v>
      </c>
      <c r="C2006" s="111" t="s">
        <v>8108</v>
      </c>
      <c r="D2006" s="111"/>
      <c r="E2006" s="111"/>
      <c r="F2006" s="111" t="s">
        <v>12397</v>
      </c>
      <c r="G2006" s="111" t="s">
        <v>12381</v>
      </c>
      <c r="H2006" s="111" t="s">
        <v>12230</v>
      </c>
      <c r="I2006" s="111" t="s">
        <v>12394</v>
      </c>
      <c r="J2006" s="111" t="s">
        <v>12295</v>
      </c>
      <c r="K2006" s="111" t="s">
        <v>12251</v>
      </c>
      <c r="L2006" s="111"/>
      <c r="M2006" s="111"/>
      <c r="N2006" s="111">
        <v>1.0</v>
      </c>
      <c r="O2006" s="111"/>
      <c r="P2006" s="111"/>
      <c r="Q2006" s="111">
        <v>1.0</v>
      </c>
      <c r="R2006" s="111"/>
      <c r="S2006" s="111"/>
      <c r="T2006" s="111"/>
      <c r="U2006" s="111"/>
      <c r="V2006" s="111"/>
      <c r="W2006" s="111">
        <v>1.0</v>
      </c>
      <c r="X2006" s="111"/>
      <c r="Y2006" s="111"/>
      <c r="Z2006" s="111" t="s">
        <v>13782</v>
      </c>
      <c r="AA2006" s="126">
        <f>IF(Projects!$AI2006="Electrolysis",
AB2006*VLOOKUP(G2006,ElectrolysisConvF,3,FALSE),
"")</f>
        <v>220.8638602</v>
      </c>
      <c r="AB2006" s="125">
        <f t="shared" si="379"/>
        <v>49080.85783</v>
      </c>
      <c r="AC2006" s="125">
        <f>(100*0.191327)/Projects!$AJ2006</f>
        <v>38.2654</v>
      </c>
      <c r="AD2006" s="125"/>
      <c r="AE2006" s="125">
        <f t="shared" si="358"/>
        <v>49080.85783</v>
      </c>
      <c r="AF2006" s="127" t="s">
        <v>15003</v>
      </c>
      <c r="AG2006" s="127">
        <v>8.31885343593635</v>
      </c>
      <c r="AH2006" s="127">
        <v>77.7404485061997</v>
      </c>
      <c r="AI2006" s="115" t="s">
        <v>12383</v>
      </c>
      <c r="AJ2006" s="116">
        <v>0.5</v>
      </c>
      <c r="AK2006" s="117"/>
      <c r="AL2006" s="117"/>
      <c r="AM2006" s="117"/>
      <c r="AN2006" s="117"/>
      <c r="AO2006" s="117"/>
    </row>
    <row r="2007" ht="34.5" customHeight="1">
      <c r="A2007" s="111">
        <v>2721.0</v>
      </c>
      <c r="B2007" s="111" t="s">
        <v>10004</v>
      </c>
      <c r="C2007" s="111" t="s">
        <v>8108</v>
      </c>
      <c r="D2007" s="111"/>
      <c r="E2007" s="111"/>
      <c r="F2007" s="111" t="s">
        <v>12397</v>
      </c>
      <c r="G2007" s="111" t="s">
        <v>12381</v>
      </c>
      <c r="H2007" s="111" t="s">
        <v>12230</v>
      </c>
      <c r="I2007" s="111" t="s">
        <v>12289</v>
      </c>
      <c r="J2007" s="111"/>
      <c r="K2007" s="111" t="s">
        <v>12415</v>
      </c>
      <c r="L2007" s="111"/>
      <c r="M2007" s="111"/>
      <c r="N2007" s="111">
        <v>1.0</v>
      </c>
      <c r="O2007" s="111"/>
      <c r="P2007" s="111"/>
      <c r="Q2007" s="111"/>
      <c r="R2007" s="111"/>
      <c r="S2007" s="111"/>
      <c r="T2007" s="111"/>
      <c r="U2007" s="111"/>
      <c r="V2007" s="111"/>
      <c r="W2007" s="111"/>
      <c r="X2007" s="111"/>
      <c r="Y2007" s="111"/>
      <c r="Z2007" s="111" t="s">
        <v>15004</v>
      </c>
      <c r="AA2007" s="126">
        <f>IF(Projects!$AI2007="Electrolysis",
AB2007*VLOOKUP(G2007,ElectrolysisConvF,3,FALSE),
"")</f>
        <v>968.7011414</v>
      </c>
      <c r="AB2007" s="125">
        <f t="shared" si="379"/>
        <v>215266.9203</v>
      </c>
      <c r="AC2007" s="125">
        <f>(500*0.191327)/Projects!$AJ2007</f>
        <v>167.8307018</v>
      </c>
      <c r="AD2007" s="125"/>
      <c r="AE2007" s="125">
        <f t="shared" si="358"/>
        <v>215266.9203</v>
      </c>
      <c r="AF2007" s="127" t="s">
        <v>15005</v>
      </c>
      <c r="AG2007" s="127">
        <v>18.3460778036498</v>
      </c>
      <c r="AH2007" s="127">
        <v>81.8830456715631</v>
      </c>
      <c r="AI2007" s="115" t="s">
        <v>12383</v>
      </c>
      <c r="AJ2007" s="116">
        <v>0.57</v>
      </c>
      <c r="AK2007" s="117"/>
      <c r="AL2007" s="117"/>
      <c r="AM2007" s="117"/>
      <c r="AN2007" s="117"/>
      <c r="AO2007" s="117"/>
    </row>
    <row r="2008" ht="34.5" customHeight="1">
      <c r="A2008" s="111">
        <v>2722.0</v>
      </c>
      <c r="B2008" s="111" t="s">
        <v>10005</v>
      </c>
      <c r="C2008" s="111" t="s">
        <v>8108</v>
      </c>
      <c r="D2008" s="111"/>
      <c r="E2008" s="111"/>
      <c r="F2008" s="111" t="s">
        <v>12397</v>
      </c>
      <c r="G2008" s="111" t="s">
        <v>12381</v>
      </c>
      <c r="H2008" s="111" t="s">
        <v>12230</v>
      </c>
      <c r="I2008" s="111" t="s">
        <v>12289</v>
      </c>
      <c r="J2008" s="111"/>
      <c r="K2008" s="111" t="s">
        <v>12415</v>
      </c>
      <c r="L2008" s="111"/>
      <c r="M2008" s="111"/>
      <c r="N2008" s="111">
        <v>1.0</v>
      </c>
      <c r="O2008" s="111"/>
      <c r="P2008" s="111"/>
      <c r="Q2008" s="111"/>
      <c r="R2008" s="111"/>
      <c r="S2008" s="111"/>
      <c r="T2008" s="111"/>
      <c r="U2008" s="111"/>
      <c r="V2008" s="111"/>
      <c r="W2008" s="111"/>
      <c r="X2008" s="111"/>
      <c r="Y2008" s="111"/>
      <c r="Z2008" s="111" t="s">
        <v>14915</v>
      </c>
      <c r="AA2008" s="126">
        <f>IF(Projects!$AI2008="Electrolysis",
AB2008*VLOOKUP(G2008,ElectrolysisConvF,3,FALSE),
"")</f>
        <v>581.2206849</v>
      </c>
      <c r="AB2008" s="125">
        <f t="shared" si="379"/>
        <v>129160.1522</v>
      </c>
      <c r="AC2008" s="125">
        <f>(300*0.191327)/Projects!$AJ2008</f>
        <v>100.6984211</v>
      </c>
      <c r="AD2008" s="125"/>
      <c r="AE2008" s="125">
        <f t="shared" si="358"/>
        <v>129160.1522</v>
      </c>
      <c r="AF2008" s="127" t="s">
        <v>15005</v>
      </c>
      <c r="AG2008" s="127">
        <v>19.1723836363939</v>
      </c>
      <c r="AH2008" s="127">
        <v>83.4144668741305</v>
      </c>
      <c r="AI2008" s="115" t="s">
        <v>12383</v>
      </c>
      <c r="AJ2008" s="116">
        <v>0.57</v>
      </c>
      <c r="AK2008" s="117"/>
      <c r="AL2008" s="117"/>
      <c r="AM2008" s="117"/>
      <c r="AN2008" s="117"/>
      <c r="AO2008" s="117"/>
    </row>
    <row r="2009" ht="34.5" customHeight="1">
      <c r="A2009" s="111">
        <v>2723.0</v>
      </c>
      <c r="B2009" s="111" t="s">
        <v>10006</v>
      </c>
      <c r="C2009" s="111" t="s">
        <v>7994</v>
      </c>
      <c r="D2009" s="111">
        <v>2027.0</v>
      </c>
      <c r="E2009" s="111"/>
      <c r="F2009" s="111" t="s">
        <v>12397</v>
      </c>
      <c r="G2009" s="111" t="s">
        <v>12381</v>
      </c>
      <c r="H2009" s="111" t="s">
        <v>12230</v>
      </c>
      <c r="I2009" s="111" t="s">
        <v>12289</v>
      </c>
      <c r="J2009" s="111"/>
      <c r="K2009" s="111" t="s">
        <v>12415</v>
      </c>
      <c r="L2009" s="111"/>
      <c r="M2009" s="111"/>
      <c r="N2009" s="111">
        <v>1.0</v>
      </c>
      <c r="O2009" s="111"/>
      <c r="P2009" s="111"/>
      <c r="Q2009" s="111"/>
      <c r="R2009" s="111"/>
      <c r="S2009" s="111"/>
      <c r="T2009" s="111"/>
      <c r="U2009" s="111"/>
      <c r="V2009" s="111"/>
      <c r="W2009" s="111">
        <v>1.0</v>
      </c>
      <c r="X2009" s="111"/>
      <c r="Y2009" s="111"/>
      <c r="Z2009" s="111" t="s">
        <v>15006</v>
      </c>
      <c r="AA2009" s="124">
        <v>150.0</v>
      </c>
      <c r="AB2009" s="125">
        <f>IF(Projects!$AI2009="Electrolysis",
AA2009/VLOOKUP(G2009,ElectrolysisConvF,3,FALSE),
AC2009*10^6/(H2dens*HoursInYear))</f>
        <v>33333.33333</v>
      </c>
      <c r="AC2009" s="126">
        <f t="shared" ref="AC2009:AC2010" si="380">AB2009*H2dens*HoursInYear/10^6</f>
        <v>25.988</v>
      </c>
      <c r="AD2009" s="125"/>
      <c r="AE2009" s="125">
        <f t="shared" si="358"/>
        <v>33333.33333</v>
      </c>
      <c r="AF2009" s="127" t="s">
        <v>15007</v>
      </c>
      <c r="AG2009" s="127">
        <v>54.9013410338146</v>
      </c>
      <c r="AH2009" s="127">
        <v>9.35218267961373</v>
      </c>
      <c r="AI2009" s="115" t="s">
        <v>12383</v>
      </c>
      <c r="AJ2009" s="116">
        <v>0.57</v>
      </c>
      <c r="AK2009" s="117"/>
      <c r="AL2009" s="117"/>
      <c r="AM2009" s="117"/>
      <c r="AN2009" s="117"/>
      <c r="AO2009" s="117"/>
    </row>
    <row r="2010" ht="34.5" customHeight="1">
      <c r="A2010" s="111">
        <v>2724.0</v>
      </c>
      <c r="B2010" s="111" t="s">
        <v>10007</v>
      </c>
      <c r="C2010" s="111" t="s">
        <v>8041</v>
      </c>
      <c r="D2010" s="111"/>
      <c r="E2010" s="111"/>
      <c r="F2010" s="111" t="s">
        <v>12397</v>
      </c>
      <c r="G2010" s="111" t="s">
        <v>12381</v>
      </c>
      <c r="H2010" s="111" t="s">
        <v>12230</v>
      </c>
      <c r="I2010" s="111" t="s">
        <v>12394</v>
      </c>
      <c r="J2010" s="111" t="s">
        <v>12295</v>
      </c>
      <c r="K2010" s="111" t="s">
        <v>30</v>
      </c>
      <c r="L2010" s="111"/>
      <c r="M2010" s="111"/>
      <c r="N2010" s="111"/>
      <c r="O2010" s="111">
        <v>1.0</v>
      </c>
      <c r="P2010" s="111"/>
      <c r="Q2010" s="111"/>
      <c r="R2010" s="111"/>
      <c r="S2010" s="111"/>
      <c r="T2010" s="111"/>
      <c r="U2010" s="111"/>
      <c r="V2010" s="111"/>
      <c r="W2010" s="111"/>
      <c r="X2010" s="111"/>
      <c r="Y2010" s="111"/>
      <c r="Z2010" s="111" t="s">
        <v>13346</v>
      </c>
      <c r="AA2010" s="124">
        <v>25.0</v>
      </c>
      <c r="AB2010" s="125">
        <f>IF(Projects!$AI2010="Electrolysis",
AA2010/VLOOKUP(G2010,ElectrolysisConvF,3,FALSE),
AC2010*10^6/(H2dens*HoursInYear))</f>
        <v>5555.555556</v>
      </c>
      <c r="AC2010" s="126">
        <f t="shared" si="380"/>
        <v>4.331333333</v>
      </c>
      <c r="AD2010" s="125"/>
      <c r="AE2010" s="125">
        <f t="shared" si="358"/>
        <v>5555.555556</v>
      </c>
      <c r="AF2010" s="127" t="s">
        <v>15008</v>
      </c>
      <c r="AG2010" s="127">
        <v>13.6678267720799</v>
      </c>
      <c r="AH2010" s="127">
        <v>100.622994394148</v>
      </c>
      <c r="AI2010" s="115" t="s">
        <v>12383</v>
      </c>
      <c r="AJ2010" s="116">
        <v>0.5</v>
      </c>
      <c r="AK2010" s="117"/>
      <c r="AL2010" s="117"/>
      <c r="AM2010" s="117"/>
      <c r="AN2010" s="117"/>
      <c r="AO2010" s="117"/>
    </row>
    <row r="2011" ht="34.5" customHeight="1">
      <c r="A2011" s="111">
        <v>2725.0</v>
      </c>
      <c r="B2011" s="111" t="s">
        <v>10008</v>
      </c>
      <c r="C2011" s="111" t="s">
        <v>8003</v>
      </c>
      <c r="D2011" s="111">
        <v>2025.0</v>
      </c>
      <c r="E2011" s="111"/>
      <c r="F2011" s="111" t="s">
        <v>12399</v>
      </c>
      <c r="G2011" s="111" t="s">
        <v>12381</v>
      </c>
      <c r="H2011" s="111" t="s">
        <v>12230</v>
      </c>
      <c r="I2011" s="111" t="s">
        <v>12289</v>
      </c>
      <c r="J2011" s="111"/>
      <c r="K2011" s="111" t="s">
        <v>12251</v>
      </c>
      <c r="L2011" s="111"/>
      <c r="M2011" s="111"/>
      <c r="N2011" s="111"/>
      <c r="O2011" s="111"/>
      <c r="P2011" s="111"/>
      <c r="Q2011" s="111">
        <v>1.0</v>
      </c>
      <c r="R2011" s="111"/>
      <c r="S2011" s="111"/>
      <c r="T2011" s="111"/>
      <c r="U2011" s="111"/>
      <c r="V2011" s="111"/>
      <c r="W2011" s="111">
        <v>1.0</v>
      </c>
      <c r="X2011" s="111"/>
      <c r="Y2011" s="111"/>
      <c r="Z2011" s="111" t="s">
        <v>15009</v>
      </c>
      <c r="AA2011" s="126">
        <f>IF(Projects!$AI2011="Electrolysis",
AB2011*VLOOKUP(G2011,ElectrolysisConvF,3,FALSE),
"")</f>
        <v>68.19533146</v>
      </c>
      <c r="AB2011" s="125">
        <f t="shared" ref="AB2011:AB2021" si="381">AC2011/(H2dens*HoursInYear/10^6)</f>
        <v>15154.5181</v>
      </c>
      <c r="AC2011" s="126">
        <f>(23*0.045/0.73/0.12)</f>
        <v>11.81506849</v>
      </c>
      <c r="AD2011" s="125"/>
      <c r="AE2011" s="125">
        <f t="shared" si="358"/>
        <v>15154.5181</v>
      </c>
      <c r="AF2011" s="127"/>
      <c r="AG2011" s="127">
        <v>45.6342663969805</v>
      </c>
      <c r="AH2011" s="127">
        <v>-73.5213112846543</v>
      </c>
      <c r="AI2011" s="115" t="s">
        <v>12383</v>
      </c>
      <c r="AJ2011" s="116">
        <v>0.57</v>
      </c>
      <c r="AK2011" s="117"/>
      <c r="AL2011" s="117"/>
      <c r="AM2011" s="117"/>
      <c r="AN2011" s="117"/>
      <c r="AO2011" s="117"/>
    </row>
    <row r="2012" ht="34.5" customHeight="1">
      <c r="A2012" s="111">
        <v>2726.0</v>
      </c>
      <c r="B2012" s="111" t="s">
        <v>10009</v>
      </c>
      <c r="C2012" s="111" t="s">
        <v>8001</v>
      </c>
      <c r="D2012" s="111">
        <v>2025.0</v>
      </c>
      <c r="E2012" s="111"/>
      <c r="F2012" s="111" t="s">
        <v>12399</v>
      </c>
      <c r="G2012" s="111" t="s">
        <v>12381</v>
      </c>
      <c r="H2012" s="111" t="s">
        <v>12230</v>
      </c>
      <c r="I2012" s="111" t="s">
        <v>12394</v>
      </c>
      <c r="J2012" s="111" t="s">
        <v>12292</v>
      </c>
      <c r="K2012" s="111" t="s">
        <v>12251</v>
      </c>
      <c r="L2012" s="111"/>
      <c r="M2012" s="111"/>
      <c r="N2012" s="111"/>
      <c r="O2012" s="111"/>
      <c r="P2012" s="111"/>
      <c r="Q2012" s="111"/>
      <c r="R2012" s="111"/>
      <c r="S2012" s="111"/>
      <c r="T2012" s="111"/>
      <c r="U2012" s="111"/>
      <c r="V2012" s="111"/>
      <c r="W2012" s="111">
        <v>1.0</v>
      </c>
      <c r="X2012" s="111"/>
      <c r="Y2012" s="111"/>
      <c r="Z2012" s="111" t="s">
        <v>15010</v>
      </c>
      <c r="AA2012" s="126">
        <f>IF(Projects!$AI2012="Electrolysis",
AB2012*VLOOKUP(G2012,ElectrolysisConvF,3,FALSE),
"")</f>
        <v>29.65014411</v>
      </c>
      <c r="AB2012" s="125">
        <f t="shared" si="381"/>
        <v>6588.920914</v>
      </c>
      <c r="AC2012" s="126">
        <f>(10*0.045/0.73/0.12)</f>
        <v>5.136986301</v>
      </c>
      <c r="AD2012" s="125"/>
      <c r="AE2012" s="125">
        <f t="shared" si="358"/>
        <v>6588.920914</v>
      </c>
      <c r="AF2012" s="127" t="s">
        <v>15011</v>
      </c>
      <c r="AG2012" s="127">
        <v>47.355702506321</v>
      </c>
      <c r="AH2012" s="127">
        <v>124.048273774773</v>
      </c>
      <c r="AI2012" s="115" t="s">
        <v>12383</v>
      </c>
      <c r="AJ2012" s="116">
        <v>0.4</v>
      </c>
      <c r="AK2012" s="117"/>
      <c r="AL2012" s="117"/>
      <c r="AM2012" s="117"/>
      <c r="AN2012" s="117"/>
      <c r="AO2012" s="117"/>
    </row>
    <row r="2013" ht="34.5" customHeight="1">
      <c r="A2013" s="111">
        <v>2727.0</v>
      </c>
      <c r="B2013" s="111" t="s">
        <v>10010</v>
      </c>
      <c r="C2013" s="111" t="s">
        <v>8001</v>
      </c>
      <c r="D2013" s="111">
        <v>2030.0</v>
      </c>
      <c r="E2013" s="111"/>
      <c r="F2013" s="111" t="s">
        <v>12397</v>
      </c>
      <c r="G2013" s="111" t="s">
        <v>12381</v>
      </c>
      <c r="H2013" s="111" t="s">
        <v>12230</v>
      </c>
      <c r="I2013" s="111" t="s">
        <v>12394</v>
      </c>
      <c r="J2013" s="111" t="s">
        <v>12292</v>
      </c>
      <c r="K2013" s="111" t="s">
        <v>12251</v>
      </c>
      <c r="L2013" s="111"/>
      <c r="M2013" s="111"/>
      <c r="N2013" s="111"/>
      <c r="O2013" s="111"/>
      <c r="P2013" s="111"/>
      <c r="Q2013" s="111"/>
      <c r="R2013" s="111"/>
      <c r="S2013" s="111"/>
      <c r="T2013" s="111"/>
      <c r="U2013" s="111"/>
      <c r="V2013" s="111"/>
      <c r="W2013" s="111">
        <v>1.0</v>
      </c>
      <c r="X2013" s="111"/>
      <c r="Y2013" s="111"/>
      <c r="Z2013" s="111" t="s">
        <v>15012</v>
      </c>
      <c r="AA2013" s="126">
        <f>IF(Projects!$AI2013="Electrolysis",
AB2013*VLOOKUP(G2013,ElectrolysisConvF,3,FALSE),
"")</f>
        <v>946.5907342</v>
      </c>
      <c r="AB2013" s="126">
        <f t="shared" si="381"/>
        <v>210353.4965</v>
      </c>
      <c r="AC2013" s="126">
        <v>164.0</v>
      </c>
      <c r="AD2013" s="125"/>
      <c r="AE2013" s="125">
        <f t="shared" si="358"/>
        <v>210353.4965</v>
      </c>
      <c r="AF2013" s="127" t="s">
        <v>15011</v>
      </c>
      <c r="AG2013" s="127">
        <v>47.355702506321</v>
      </c>
      <c r="AH2013" s="127">
        <v>124.048273774773</v>
      </c>
      <c r="AI2013" s="115" t="s">
        <v>12383</v>
      </c>
      <c r="AJ2013" s="116">
        <v>0.4</v>
      </c>
      <c r="AK2013" s="117"/>
      <c r="AL2013" s="117"/>
      <c r="AM2013" s="117"/>
      <c r="AN2013" s="117"/>
      <c r="AO2013" s="117"/>
    </row>
    <row r="2014" ht="34.5" customHeight="1">
      <c r="A2014" s="111">
        <v>2728.0</v>
      </c>
      <c r="B2014" s="111" t="s">
        <v>10011</v>
      </c>
      <c r="C2014" s="111" t="s">
        <v>7987</v>
      </c>
      <c r="D2014" s="111">
        <v>2028.0</v>
      </c>
      <c r="E2014" s="111"/>
      <c r="F2014" s="111" t="s">
        <v>12399</v>
      </c>
      <c r="G2014" s="111" t="s">
        <v>12381</v>
      </c>
      <c r="H2014" s="111" t="s">
        <v>12230</v>
      </c>
      <c r="I2014" s="111" t="s">
        <v>12289</v>
      </c>
      <c r="J2014" s="111"/>
      <c r="K2014" s="111" t="s">
        <v>12251</v>
      </c>
      <c r="L2014" s="111"/>
      <c r="M2014" s="111"/>
      <c r="N2014" s="111"/>
      <c r="O2014" s="111"/>
      <c r="P2014" s="111"/>
      <c r="Q2014" s="111">
        <v>1.0</v>
      </c>
      <c r="R2014" s="111"/>
      <c r="S2014" s="111"/>
      <c r="T2014" s="111"/>
      <c r="U2014" s="111"/>
      <c r="V2014" s="111"/>
      <c r="W2014" s="111">
        <v>1.0</v>
      </c>
      <c r="X2014" s="111"/>
      <c r="Y2014" s="111"/>
      <c r="Z2014" s="111" t="s">
        <v>15013</v>
      </c>
      <c r="AA2014" s="126">
        <f>IF(Projects!$AI2014="Electrolysis",
AB2014*VLOOKUP(G2014,ElectrolysisConvF,3,FALSE),
"")</f>
        <v>148.2507206</v>
      </c>
      <c r="AB2014" s="125">
        <f t="shared" si="381"/>
        <v>32944.60457</v>
      </c>
      <c r="AC2014" s="126">
        <f>(50*0.045/0.73/0.12)</f>
        <v>25.68493151</v>
      </c>
      <c r="AD2014" s="125"/>
      <c r="AE2014" s="125">
        <f t="shared" si="358"/>
        <v>32944.60457</v>
      </c>
      <c r="AF2014" s="127" t="s">
        <v>15014</v>
      </c>
      <c r="AG2014" s="127">
        <v>48.6601919589153</v>
      </c>
      <c r="AH2014" s="127">
        <v>10.1543361762755</v>
      </c>
      <c r="AI2014" s="115" t="s">
        <v>12383</v>
      </c>
      <c r="AJ2014" s="116">
        <v>0.57</v>
      </c>
      <c r="AK2014" s="117"/>
      <c r="AL2014" s="117"/>
      <c r="AM2014" s="117"/>
      <c r="AN2014" s="117"/>
      <c r="AO2014" s="117"/>
    </row>
    <row r="2015" ht="34.5" customHeight="1">
      <c r="A2015" s="111">
        <v>2729.0</v>
      </c>
      <c r="B2015" s="111" t="s">
        <v>10012</v>
      </c>
      <c r="C2015" s="111" t="s">
        <v>7987</v>
      </c>
      <c r="D2015" s="111">
        <v>2022.0</v>
      </c>
      <c r="E2015" s="111"/>
      <c r="F2015" s="111" t="s">
        <v>12418</v>
      </c>
      <c r="G2015" s="111" t="s">
        <v>12381</v>
      </c>
      <c r="H2015" s="111" t="s">
        <v>12230</v>
      </c>
      <c r="I2015" s="111" t="s">
        <v>12289</v>
      </c>
      <c r="J2015" s="111"/>
      <c r="K2015" s="111" t="s">
        <v>12251</v>
      </c>
      <c r="L2015" s="111"/>
      <c r="M2015" s="111"/>
      <c r="N2015" s="111"/>
      <c r="O2015" s="111"/>
      <c r="P2015" s="111"/>
      <c r="Q2015" s="111">
        <v>1.0</v>
      </c>
      <c r="R2015" s="111"/>
      <c r="S2015" s="111"/>
      <c r="T2015" s="111"/>
      <c r="U2015" s="111"/>
      <c r="V2015" s="111"/>
      <c r="W2015" s="111">
        <v>1.0</v>
      </c>
      <c r="X2015" s="111"/>
      <c r="Y2015" s="111"/>
      <c r="Z2015" s="111" t="s">
        <v>15015</v>
      </c>
      <c r="AA2015" s="126">
        <f>IF(Projects!$AI2015="Electrolysis",
AB2015*VLOOKUP(G2015,ElectrolysisConvF,3,FALSE),
"")</f>
        <v>0.5930028823</v>
      </c>
      <c r="AB2015" s="125">
        <f t="shared" si="381"/>
        <v>131.7784183</v>
      </c>
      <c r="AC2015" s="126">
        <f>(0.2*0.045/0.73/0.12)</f>
        <v>0.102739726</v>
      </c>
      <c r="AD2015" s="125"/>
      <c r="AE2015" s="125">
        <f t="shared" si="358"/>
        <v>131.7784183</v>
      </c>
      <c r="AF2015" s="127" t="s">
        <v>15016</v>
      </c>
      <c r="AG2015" s="127">
        <v>53.5142697661571</v>
      </c>
      <c r="AH2015" s="127">
        <v>9.95004694091784</v>
      </c>
      <c r="AI2015" s="115" t="s">
        <v>12383</v>
      </c>
      <c r="AJ2015" s="116">
        <v>0.57</v>
      </c>
      <c r="AK2015" s="117"/>
      <c r="AL2015" s="117"/>
      <c r="AM2015" s="117"/>
      <c r="AN2015" s="117"/>
      <c r="AO2015" s="117"/>
    </row>
    <row r="2016" ht="34.5" customHeight="1">
      <c r="A2016" s="111">
        <v>2730.0</v>
      </c>
      <c r="B2016" s="111" t="s">
        <v>10013</v>
      </c>
      <c r="C2016" s="111" t="s">
        <v>8122</v>
      </c>
      <c r="D2016" s="111">
        <v>2028.0</v>
      </c>
      <c r="E2016" s="111"/>
      <c r="F2016" s="111" t="s">
        <v>12399</v>
      </c>
      <c r="G2016" s="111" t="s">
        <v>12381</v>
      </c>
      <c r="H2016" s="111" t="s">
        <v>12230</v>
      </c>
      <c r="I2016" s="111" t="s">
        <v>12406</v>
      </c>
      <c r="J2016" s="111"/>
      <c r="K2016" s="111" t="s">
        <v>12251</v>
      </c>
      <c r="L2016" s="111"/>
      <c r="M2016" s="111"/>
      <c r="N2016" s="111"/>
      <c r="O2016" s="111"/>
      <c r="P2016" s="111"/>
      <c r="Q2016" s="111">
        <v>1.0</v>
      </c>
      <c r="R2016" s="111"/>
      <c r="S2016" s="111"/>
      <c r="T2016" s="111"/>
      <c r="U2016" s="111"/>
      <c r="V2016" s="111"/>
      <c r="W2016" s="111">
        <v>1.0</v>
      </c>
      <c r="X2016" s="111"/>
      <c r="Y2016" s="111"/>
      <c r="Z2016" s="111" t="s">
        <v>15017</v>
      </c>
      <c r="AA2016" s="126">
        <f>IF(Projects!$AI2016="Electrolysis",
AB2016*VLOOKUP(G2016,ElectrolysisConvF,3,FALSE),
"")</f>
        <v>192.7259367</v>
      </c>
      <c r="AB2016" s="125">
        <f t="shared" si="381"/>
        <v>42827.98594</v>
      </c>
      <c r="AC2016" s="126">
        <f>(65*0.045/0.73/0.12)</f>
        <v>33.39041096</v>
      </c>
      <c r="AD2016" s="125"/>
      <c r="AE2016" s="125">
        <f t="shared" si="358"/>
        <v>42827.98594</v>
      </c>
      <c r="AF2016" s="127" t="s">
        <v>15018</v>
      </c>
      <c r="AG2016" s="127">
        <v>64.0311682250677</v>
      </c>
      <c r="AH2016" s="127">
        <v>-22.5681227263252</v>
      </c>
      <c r="AI2016" s="115" t="s">
        <v>12383</v>
      </c>
      <c r="AJ2016" s="116">
        <v>0.57</v>
      </c>
      <c r="AK2016" s="117"/>
      <c r="AL2016" s="117"/>
      <c r="AM2016" s="117"/>
      <c r="AN2016" s="117"/>
      <c r="AO2016" s="117"/>
    </row>
    <row r="2017" ht="34.5" customHeight="1">
      <c r="A2017" s="111">
        <v>2731.0</v>
      </c>
      <c r="B2017" s="111" t="s">
        <v>10014</v>
      </c>
      <c r="C2017" s="111" t="s">
        <v>7974</v>
      </c>
      <c r="D2017" s="111">
        <v>2025.0</v>
      </c>
      <c r="E2017" s="111"/>
      <c r="F2017" s="111" t="s">
        <v>12397</v>
      </c>
      <c r="G2017" s="111" t="s">
        <v>12381</v>
      </c>
      <c r="H2017" s="111" t="s">
        <v>12230</v>
      </c>
      <c r="I2017" s="111" t="s">
        <v>12289</v>
      </c>
      <c r="J2017" s="111"/>
      <c r="K2017" s="111" t="s">
        <v>12251</v>
      </c>
      <c r="L2017" s="111"/>
      <c r="M2017" s="111"/>
      <c r="N2017" s="111"/>
      <c r="O2017" s="111"/>
      <c r="P2017" s="111"/>
      <c r="Q2017" s="111">
        <v>1.0</v>
      </c>
      <c r="R2017" s="111"/>
      <c r="S2017" s="111"/>
      <c r="T2017" s="111"/>
      <c r="U2017" s="111"/>
      <c r="V2017" s="111"/>
      <c r="W2017" s="111">
        <v>1.0</v>
      </c>
      <c r="X2017" s="111"/>
      <c r="Y2017" s="111"/>
      <c r="Z2017" s="111" t="s">
        <v>15019</v>
      </c>
      <c r="AA2017" s="126">
        <f>IF(Projects!$AI2017="Electrolysis",
AB2017*VLOOKUP(G2017,ElectrolysisConvF,3,FALSE),
"")</f>
        <v>59.30028823</v>
      </c>
      <c r="AB2017" s="125">
        <f t="shared" si="381"/>
        <v>13177.84183</v>
      </c>
      <c r="AC2017" s="126">
        <f>(20*0.045/0.73/0.12)</f>
        <v>10.2739726</v>
      </c>
      <c r="AD2017" s="125"/>
      <c r="AE2017" s="125">
        <f t="shared" si="358"/>
        <v>13177.84183</v>
      </c>
      <c r="AF2017" s="127" t="s">
        <v>15020</v>
      </c>
      <c r="AG2017" s="127">
        <v>59.6654988945498</v>
      </c>
      <c r="AH2017" s="127">
        <v>17.8987672677665</v>
      </c>
      <c r="AI2017" s="115" t="s">
        <v>12383</v>
      </c>
      <c r="AJ2017" s="116">
        <v>0.57</v>
      </c>
      <c r="AK2017" s="117"/>
      <c r="AL2017" s="117"/>
      <c r="AM2017" s="117"/>
      <c r="AN2017" s="117"/>
      <c r="AO2017" s="117"/>
    </row>
    <row r="2018" ht="27.0" customHeight="1">
      <c r="A2018" s="111">
        <v>2732.0</v>
      </c>
      <c r="B2018" s="111" t="s">
        <v>10015</v>
      </c>
      <c r="C2018" s="111" t="s">
        <v>7991</v>
      </c>
      <c r="D2018" s="111">
        <v>2026.0</v>
      </c>
      <c r="E2018" s="111"/>
      <c r="F2018" s="111" t="s">
        <v>12399</v>
      </c>
      <c r="G2018" s="111" t="s">
        <v>12381</v>
      </c>
      <c r="H2018" s="111" t="s">
        <v>12230</v>
      </c>
      <c r="I2018" s="111" t="s">
        <v>12289</v>
      </c>
      <c r="J2018" s="111"/>
      <c r="K2018" s="111" t="s">
        <v>12251</v>
      </c>
      <c r="L2018" s="111"/>
      <c r="M2018" s="111"/>
      <c r="N2018" s="111"/>
      <c r="O2018" s="111"/>
      <c r="P2018" s="111"/>
      <c r="Q2018" s="111">
        <v>1.0</v>
      </c>
      <c r="R2018" s="111"/>
      <c r="S2018" s="111"/>
      <c r="T2018" s="111"/>
      <c r="U2018" s="111"/>
      <c r="V2018" s="111"/>
      <c r="W2018" s="111">
        <v>1.0</v>
      </c>
      <c r="X2018" s="111"/>
      <c r="Y2018" s="111"/>
      <c r="Z2018" s="111" t="s">
        <v>15021</v>
      </c>
      <c r="AA2018" s="126">
        <f>IF(Projects!$AI2018="Electrolysis",
AB2018*VLOOKUP(G2018,ElectrolysisConvF,3,FALSE),
"")</f>
        <v>41.51020176</v>
      </c>
      <c r="AB2018" s="125">
        <f t="shared" si="381"/>
        <v>9224.48928</v>
      </c>
      <c r="AC2018" s="126">
        <f>(14*0.045/0.73/0.12)</f>
        <v>7.191780822</v>
      </c>
      <c r="AD2018" s="125"/>
      <c r="AE2018" s="125">
        <f t="shared" si="358"/>
        <v>9224.48928</v>
      </c>
      <c r="AF2018" s="127" t="s">
        <v>15022</v>
      </c>
      <c r="AG2018" s="127">
        <v>54.5917410207027</v>
      </c>
      <c r="AH2018" s="127">
        <v>-1.14965592272594</v>
      </c>
      <c r="AI2018" s="115" t="s">
        <v>12383</v>
      </c>
      <c r="AJ2018" s="116">
        <v>0.57</v>
      </c>
      <c r="AK2018" s="117"/>
      <c r="AL2018" s="117"/>
      <c r="AM2018" s="117"/>
      <c r="AN2018" s="117"/>
      <c r="AO2018" s="117"/>
    </row>
    <row r="2019" ht="34.5" customHeight="1">
      <c r="A2019" s="111">
        <v>2733.0</v>
      </c>
      <c r="B2019" s="111" t="s">
        <v>10016</v>
      </c>
      <c r="C2019" s="111" t="s">
        <v>7991</v>
      </c>
      <c r="D2019" s="111">
        <v>2028.0</v>
      </c>
      <c r="E2019" s="111"/>
      <c r="F2019" s="111" t="s">
        <v>12399</v>
      </c>
      <c r="G2019" s="111" t="s">
        <v>12381</v>
      </c>
      <c r="H2019" s="111" t="s">
        <v>12230</v>
      </c>
      <c r="I2019" s="111" t="s">
        <v>12289</v>
      </c>
      <c r="J2019" s="111"/>
      <c r="K2019" s="111" t="s">
        <v>12251</v>
      </c>
      <c r="L2019" s="111"/>
      <c r="M2019" s="111"/>
      <c r="N2019" s="111"/>
      <c r="O2019" s="111"/>
      <c r="P2019" s="111"/>
      <c r="Q2019" s="111">
        <v>1.0</v>
      </c>
      <c r="R2019" s="111"/>
      <c r="S2019" s="111"/>
      <c r="T2019" s="111"/>
      <c r="U2019" s="111"/>
      <c r="V2019" s="111"/>
      <c r="W2019" s="111">
        <v>1.0</v>
      </c>
      <c r="X2019" s="111"/>
      <c r="Y2019" s="111"/>
      <c r="Z2019" s="111" t="s">
        <v>15023</v>
      </c>
      <c r="AA2019" s="126">
        <f>IF(Projects!$AI2019="Electrolysis",
AB2019*VLOOKUP(G2019,ElectrolysisConvF,3,FALSE),
"")</f>
        <v>237.2011529</v>
      </c>
      <c r="AB2019" s="125">
        <f t="shared" si="381"/>
        <v>52711.36731</v>
      </c>
      <c r="AC2019" s="126">
        <f>(80*0.045/0.73/0.12)</f>
        <v>41.09589041</v>
      </c>
      <c r="AD2019" s="125"/>
      <c r="AE2019" s="125">
        <f t="shared" si="358"/>
        <v>52711.36731</v>
      </c>
      <c r="AF2019" s="127" t="s">
        <v>15024</v>
      </c>
      <c r="AG2019" s="127">
        <v>54.5917410207027</v>
      </c>
      <c r="AH2019" s="127">
        <v>-1.14965592272594</v>
      </c>
      <c r="AI2019" s="115" t="s">
        <v>12383</v>
      </c>
      <c r="AJ2019" s="116">
        <v>0.57</v>
      </c>
      <c r="AK2019" s="117"/>
      <c r="AL2019" s="117"/>
      <c r="AM2019" s="117"/>
      <c r="AN2019" s="117"/>
      <c r="AO2019" s="117"/>
    </row>
    <row r="2020" ht="34.5" customHeight="1">
      <c r="A2020" s="111">
        <v>2734.0</v>
      </c>
      <c r="B2020" s="111" t="s">
        <v>10017</v>
      </c>
      <c r="C2020" s="111" t="s">
        <v>7991</v>
      </c>
      <c r="D2020" s="111">
        <v>2026.0</v>
      </c>
      <c r="E2020" s="111"/>
      <c r="F2020" s="111" t="s">
        <v>12397</v>
      </c>
      <c r="G2020" s="111" t="s">
        <v>12381</v>
      </c>
      <c r="H2020" s="111" t="s">
        <v>12230</v>
      </c>
      <c r="I2020" s="111" t="s">
        <v>12289</v>
      </c>
      <c r="J2020" s="111"/>
      <c r="K2020" s="111" t="s">
        <v>12251</v>
      </c>
      <c r="L2020" s="111"/>
      <c r="M2020" s="111"/>
      <c r="N2020" s="111"/>
      <c r="O2020" s="111"/>
      <c r="P2020" s="111"/>
      <c r="Q2020" s="111"/>
      <c r="R2020" s="111"/>
      <c r="S2020" s="111"/>
      <c r="T2020" s="111"/>
      <c r="U2020" s="111"/>
      <c r="V2020" s="111"/>
      <c r="W2020" s="111">
        <v>1.0</v>
      </c>
      <c r="X2020" s="111"/>
      <c r="Y2020" s="111"/>
      <c r="Z2020" s="111" t="s">
        <v>15025</v>
      </c>
      <c r="AA2020" s="126">
        <f>IF(Projects!$AI2020="Electrolysis",
AB2020*VLOOKUP(G2020,ElectrolysisConvF,3,FALSE),
"")</f>
        <v>21.94110664</v>
      </c>
      <c r="AB2020" s="125">
        <f t="shared" si="381"/>
        <v>4875.801476</v>
      </c>
      <c r="AC2020" s="126">
        <f>(7.4*0.045/0.73/0.12)</f>
        <v>3.801369863</v>
      </c>
      <c r="AD2020" s="125"/>
      <c r="AE2020" s="125">
        <f t="shared" si="358"/>
        <v>4875.801476</v>
      </c>
      <c r="AF2020" s="127" t="s">
        <v>15026</v>
      </c>
      <c r="AG2020" s="127">
        <v>53.3595659806811</v>
      </c>
      <c r="AH2020" s="127">
        <v>-1.48730120465321</v>
      </c>
      <c r="AI2020" s="115" t="s">
        <v>12383</v>
      </c>
      <c r="AJ2020" s="116">
        <v>0.57</v>
      </c>
      <c r="AK2020" s="117"/>
      <c r="AL2020" s="117"/>
      <c r="AM2020" s="117"/>
      <c r="AN2020" s="117"/>
      <c r="AO2020" s="117"/>
    </row>
    <row r="2021" ht="34.5" customHeight="1">
      <c r="A2021" s="111">
        <v>2735.0</v>
      </c>
      <c r="B2021" s="111" t="s">
        <v>10018</v>
      </c>
      <c r="C2021" s="111" t="s">
        <v>9089</v>
      </c>
      <c r="D2021" s="111">
        <v>2025.0</v>
      </c>
      <c r="E2021" s="111"/>
      <c r="F2021" s="111" t="s">
        <v>12418</v>
      </c>
      <c r="G2021" s="111" t="s">
        <v>12381</v>
      </c>
      <c r="H2021" s="111" t="s">
        <v>12230</v>
      </c>
      <c r="I2021" s="111" t="s">
        <v>12289</v>
      </c>
      <c r="J2021" s="111"/>
      <c r="K2021" s="111" t="s">
        <v>12251</v>
      </c>
      <c r="L2021" s="111"/>
      <c r="M2021" s="111"/>
      <c r="N2021" s="111"/>
      <c r="O2021" s="111"/>
      <c r="P2021" s="111">
        <v>1.0</v>
      </c>
      <c r="Q2021" s="111"/>
      <c r="R2021" s="111"/>
      <c r="S2021" s="111"/>
      <c r="T2021" s="111"/>
      <c r="U2021" s="111"/>
      <c r="V2021" s="111"/>
      <c r="W2021" s="111">
        <v>1.0</v>
      </c>
      <c r="X2021" s="111"/>
      <c r="Y2021" s="111"/>
      <c r="Z2021" s="111" t="s">
        <v>15027</v>
      </c>
      <c r="AA2021" s="126">
        <f>IF(Projects!$AI2021="Electrolysis",
AB2021*VLOOKUP(G2021,ElectrolysisConvF,3,FALSE),
"")</f>
        <v>3.121067801</v>
      </c>
      <c r="AB2021" s="125">
        <f t="shared" si="381"/>
        <v>693.5706225</v>
      </c>
      <c r="AC2021" s="126">
        <f>(0.6*0.045/0.73/0.12)/Projects!$AJ2021</f>
        <v>0.5407354001</v>
      </c>
      <c r="AD2021" s="125"/>
      <c r="AE2021" s="125">
        <f t="shared" si="358"/>
        <v>693.5706225</v>
      </c>
      <c r="AF2021" s="127" t="s">
        <v>15028</v>
      </c>
      <c r="AG2021" s="127">
        <v>0.0</v>
      </c>
      <c r="AH2021" s="127">
        <v>0.0</v>
      </c>
      <c r="AI2021" s="115" t="s">
        <v>12383</v>
      </c>
      <c r="AJ2021" s="116">
        <v>0.57</v>
      </c>
      <c r="AK2021" s="117"/>
      <c r="AL2021" s="117"/>
      <c r="AM2021" s="117"/>
      <c r="AN2021" s="117"/>
      <c r="AO2021" s="117"/>
    </row>
    <row r="2022" ht="34.5" customHeight="1">
      <c r="A2022" s="111">
        <v>2736.0</v>
      </c>
      <c r="B2022" s="111" t="s">
        <v>10019</v>
      </c>
      <c r="C2022" s="111" t="s">
        <v>8003</v>
      </c>
      <c r="D2022" s="111">
        <v>2030.0</v>
      </c>
      <c r="E2022" s="111"/>
      <c r="F2022" s="111" t="s">
        <v>12397</v>
      </c>
      <c r="G2022" s="111" t="s">
        <v>12381</v>
      </c>
      <c r="H2022" s="111" t="s">
        <v>12230</v>
      </c>
      <c r="I2022" s="111" t="s">
        <v>12394</v>
      </c>
      <c r="J2022" s="111" t="s">
        <v>12292</v>
      </c>
      <c r="K2022" s="111" t="s">
        <v>30</v>
      </c>
      <c r="L2022" s="111"/>
      <c r="M2022" s="111">
        <v>1.0</v>
      </c>
      <c r="N2022" s="111"/>
      <c r="O2022" s="111"/>
      <c r="P2022" s="111"/>
      <c r="Q2022" s="111"/>
      <c r="R2022" s="111">
        <v>1.0</v>
      </c>
      <c r="S2022" s="111">
        <v>1.0</v>
      </c>
      <c r="T2022" s="111"/>
      <c r="U2022" s="111"/>
      <c r="V2022" s="111"/>
      <c r="W2022" s="111"/>
      <c r="X2022" s="111"/>
      <c r="Y2022" s="111"/>
      <c r="Z2022" s="111" t="s">
        <v>15029</v>
      </c>
      <c r="AA2022" s="124">
        <v>650.0</v>
      </c>
      <c r="AB2022" s="125">
        <f>IF(Projects!$AI2022="Electrolysis",
AA2022/VLOOKUP(G2022,ElectrolysisConvF,3,FALSE),
AC2022*10^6/(H2dens*HoursInYear))</f>
        <v>144444.4444</v>
      </c>
      <c r="AC2022" s="126">
        <f t="shared" ref="AC2022:AC2023" si="382">AB2022*H2dens*HoursInYear/10^6</f>
        <v>112.6146667</v>
      </c>
      <c r="AD2022" s="125"/>
      <c r="AE2022" s="125">
        <f>IF(AND(G2022&lt;&gt;"NG w CCUS",G2022&lt;&gt;"Oil w CCUS",G2022&lt;&gt;"Coal w CCUS"),AB690,AD2022*10^3/(HoursInYear*IF(G2022="NG w CCUS",0.9105,1.9075)))</f>
        <v>869.5652174</v>
      </c>
      <c r="AF2022" s="127"/>
      <c r="AG2022" s="127">
        <v>48.5223958842751</v>
      </c>
      <c r="AH2022" s="127">
        <v>-58.4347252755619</v>
      </c>
      <c r="AI2022" s="115" t="s">
        <v>12383</v>
      </c>
      <c r="AJ2022" s="116">
        <v>0.4</v>
      </c>
      <c r="AK2022" s="117"/>
      <c r="AL2022" s="117"/>
      <c r="AM2022" s="117"/>
      <c r="AN2022" s="117"/>
      <c r="AO2022" s="117"/>
    </row>
    <row r="2023" ht="34.5" customHeight="1">
      <c r="A2023" s="111">
        <v>2737.0</v>
      </c>
      <c r="B2023" s="111" t="s">
        <v>10020</v>
      </c>
      <c r="C2023" s="111" t="s">
        <v>8016</v>
      </c>
      <c r="D2023" s="111">
        <v>2026.0</v>
      </c>
      <c r="E2023" s="111"/>
      <c r="F2023" s="111" t="s">
        <v>12393</v>
      </c>
      <c r="G2023" s="111" t="s">
        <v>12381</v>
      </c>
      <c r="H2023" s="111" t="s">
        <v>12230</v>
      </c>
      <c r="I2023" s="111" t="s">
        <v>12394</v>
      </c>
      <c r="J2023" s="111" t="s">
        <v>12291</v>
      </c>
      <c r="K2023" s="111" t="s">
        <v>30</v>
      </c>
      <c r="L2023" s="111"/>
      <c r="M2023" s="111"/>
      <c r="N2023" s="111"/>
      <c r="O2023" s="111"/>
      <c r="P2023" s="111"/>
      <c r="Q2023" s="111"/>
      <c r="R2023" s="111"/>
      <c r="S2023" s="111"/>
      <c r="T2023" s="111"/>
      <c r="U2023" s="111"/>
      <c r="V2023" s="111"/>
      <c r="W2023" s="111"/>
      <c r="X2023" s="111"/>
      <c r="Y2023" s="111"/>
      <c r="Z2023" s="111" t="s">
        <v>13066</v>
      </c>
      <c r="AA2023" s="124">
        <v>60.0</v>
      </c>
      <c r="AB2023" s="125">
        <f>IF(Projects!$AI2023="Electrolysis",
AA2023/VLOOKUP(G2023,ElectrolysisConvF,3,FALSE),
AC2023*10^6/(H2dens*HoursInYear))</f>
        <v>13333.33333</v>
      </c>
      <c r="AC2023" s="126">
        <f t="shared" si="382"/>
        <v>10.3952</v>
      </c>
      <c r="AD2023" s="125"/>
      <c r="AE2023" s="125">
        <f t="shared" ref="AE2023:AE2057" si="383">IF(AND(G2023&lt;&gt;"NG w CCUS",G2023&lt;&gt;"Oil w CCUS",G2023&lt;&gt;"Coal w CCUS"),AB2023,AD2023*10^3/(HoursInYear*IF(G2023="NG w CCUS",0.9105,1.9075)))</f>
        <v>13333.33333</v>
      </c>
      <c r="AF2023" s="127" t="s">
        <v>15030</v>
      </c>
      <c r="AG2023" s="127">
        <v>4.39009741673522</v>
      </c>
      <c r="AH2023" s="127">
        <v>100.691448510058</v>
      </c>
      <c r="AI2023" s="115" t="s">
        <v>12383</v>
      </c>
      <c r="AJ2023" s="116">
        <v>0.3</v>
      </c>
      <c r="AK2023" s="117"/>
      <c r="AL2023" s="117"/>
      <c r="AM2023" s="117"/>
      <c r="AN2023" s="117"/>
      <c r="AO2023" s="117"/>
    </row>
    <row r="2024" ht="34.5" customHeight="1">
      <c r="A2024" s="111">
        <v>2738.0</v>
      </c>
      <c r="B2024" s="111" t="s">
        <v>10021</v>
      </c>
      <c r="C2024" s="111" t="s">
        <v>8365</v>
      </c>
      <c r="D2024" s="111">
        <v>2028.0</v>
      </c>
      <c r="E2024" s="111"/>
      <c r="F2024" s="111" t="s">
        <v>12397</v>
      </c>
      <c r="G2024" s="111" t="s">
        <v>12381</v>
      </c>
      <c r="H2024" s="111" t="s">
        <v>12230</v>
      </c>
      <c r="I2024" s="111" t="s">
        <v>12394</v>
      </c>
      <c r="J2024" s="111" t="s">
        <v>12291</v>
      </c>
      <c r="K2024" s="111" t="s">
        <v>30</v>
      </c>
      <c r="L2024" s="111"/>
      <c r="M2024" s="111"/>
      <c r="N2024" s="111"/>
      <c r="O2024" s="111"/>
      <c r="P2024" s="111"/>
      <c r="Q2024" s="111"/>
      <c r="R2024" s="111">
        <v>1.0</v>
      </c>
      <c r="S2024" s="111"/>
      <c r="T2024" s="111"/>
      <c r="U2024" s="111"/>
      <c r="V2024" s="111"/>
      <c r="W2024" s="111"/>
      <c r="X2024" s="111"/>
      <c r="Y2024" s="111"/>
      <c r="Z2024" s="111" t="s">
        <v>15031</v>
      </c>
      <c r="AA2024" s="126">
        <f>IF(Projects!$AI2024="Electrolysis",
AB2024*VLOOKUP(G2024,ElectrolysisConvF,3,FALSE),
"")</f>
        <v>346.3136832</v>
      </c>
      <c r="AB2024" s="125">
        <f t="shared" ref="AB2024:AB2026" si="384">AC2024/(H2dens*HoursInYear/10^6)</f>
        <v>76958.59628</v>
      </c>
      <c r="AC2024" s="125">
        <f>18/Projects!$AJ2024</f>
        <v>60</v>
      </c>
      <c r="AD2024" s="125"/>
      <c r="AE2024" s="125">
        <f t="shared" si="383"/>
        <v>76958.59628</v>
      </c>
      <c r="AF2024" s="127" t="s">
        <v>15032</v>
      </c>
      <c r="AG2024" s="127">
        <v>-26.5370718775434</v>
      </c>
      <c r="AH2024" s="127">
        <v>29.6171828672496</v>
      </c>
      <c r="AI2024" s="115" t="s">
        <v>12383</v>
      </c>
      <c r="AJ2024" s="116">
        <v>0.3</v>
      </c>
      <c r="AK2024" s="117"/>
      <c r="AL2024" s="117"/>
      <c r="AM2024" s="117"/>
      <c r="AN2024" s="117"/>
      <c r="AO2024" s="117"/>
    </row>
    <row r="2025" ht="34.5" customHeight="1">
      <c r="A2025" s="111">
        <v>2740.0</v>
      </c>
      <c r="B2025" s="111" t="s">
        <v>10022</v>
      </c>
      <c r="C2025" s="111" t="s">
        <v>10023</v>
      </c>
      <c r="D2025" s="111"/>
      <c r="E2025" s="111"/>
      <c r="F2025" s="111" t="s">
        <v>12397</v>
      </c>
      <c r="G2025" s="111" t="s">
        <v>12381</v>
      </c>
      <c r="H2025" s="111" t="s">
        <v>12230</v>
      </c>
      <c r="I2025" s="111" t="s">
        <v>12394</v>
      </c>
      <c r="J2025" s="111" t="s">
        <v>12291</v>
      </c>
      <c r="K2025" s="111" t="s">
        <v>30</v>
      </c>
      <c r="L2025" s="111"/>
      <c r="M2025" s="111"/>
      <c r="N2025" s="111"/>
      <c r="O2025" s="111"/>
      <c r="P2025" s="111"/>
      <c r="Q2025" s="111"/>
      <c r="R2025" s="111">
        <v>1.0</v>
      </c>
      <c r="S2025" s="111"/>
      <c r="T2025" s="111"/>
      <c r="U2025" s="111"/>
      <c r="V2025" s="111"/>
      <c r="W2025" s="111"/>
      <c r="X2025" s="111"/>
      <c r="Y2025" s="111"/>
      <c r="Z2025" s="111" t="s">
        <v>15033</v>
      </c>
      <c r="AA2025" s="126">
        <f>IF(Projects!$AI2025="Electrolysis",
AB2025*VLOOKUP(G2025,ElectrolysisConvF,3,FALSE),
"")</f>
        <v>30.78343851</v>
      </c>
      <c r="AB2025" s="125">
        <f t="shared" si="384"/>
        <v>6840.764113</v>
      </c>
      <c r="AC2025" s="125">
        <f>1.6/Projects!$AJ2025</f>
        <v>5.333333333</v>
      </c>
      <c r="AD2025" s="125"/>
      <c r="AE2025" s="125">
        <f t="shared" si="383"/>
        <v>6840.764113</v>
      </c>
      <c r="AF2025" s="127" t="s">
        <v>15032</v>
      </c>
      <c r="AG2025" s="127">
        <v>7.31340762698422</v>
      </c>
      <c r="AH2025" s="127">
        <v>122.819841016067</v>
      </c>
      <c r="AI2025" s="115" t="s">
        <v>12383</v>
      </c>
      <c r="AJ2025" s="116">
        <v>0.3</v>
      </c>
      <c r="AK2025" s="117"/>
      <c r="AL2025" s="117"/>
      <c r="AM2025" s="117"/>
      <c r="AN2025" s="117"/>
      <c r="AO2025" s="117"/>
    </row>
    <row r="2026" ht="34.5" customHeight="1">
      <c r="A2026" s="111">
        <v>2741.0</v>
      </c>
      <c r="B2026" s="111" t="s">
        <v>10024</v>
      </c>
      <c r="C2026" s="111" t="s">
        <v>10025</v>
      </c>
      <c r="D2026" s="111"/>
      <c r="E2026" s="111"/>
      <c r="F2026" s="111" t="s">
        <v>12397</v>
      </c>
      <c r="G2026" s="111" t="s">
        <v>12381</v>
      </c>
      <c r="H2026" s="111" t="s">
        <v>12230</v>
      </c>
      <c r="I2026" s="111" t="s">
        <v>12394</v>
      </c>
      <c r="J2026" s="111" t="s">
        <v>12291</v>
      </c>
      <c r="K2026" s="111" t="s">
        <v>30</v>
      </c>
      <c r="L2026" s="111"/>
      <c r="M2026" s="111"/>
      <c r="N2026" s="111"/>
      <c r="O2026" s="111"/>
      <c r="P2026" s="111"/>
      <c r="Q2026" s="111"/>
      <c r="R2026" s="111">
        <v>1.0</v>
      </c>
      <c r="S2026" s="111"/>
      <c r="T2026" s="111"/>
      <c r="U2026" s="111"/>
      <c r="V2026" s="111"/>
      <c r="W2026" s="111"/>
      <c r="X2026" s="111"/>
      <c r="Y2026" s="111"/>
      <c r="Z2026" s="111" t="s">
        <v>15034</v>
      </c>
      <c r="AA2026" s="126">
        <f>IF(Projects!$AI2026="Electrolysis",
AB2026*VLOOKUP(G2026,ElectrolysisConvF,3,FALSE),
"")</f>
        <v>7.695859628</v>
      </c>
      <c r="AB2026" s="125">
        <f t="shared" si="384"/>
        <v>1710.191028</v>
      </c>
      <c r="AC2026" s="125">
        <f>0.4/Projects!$AJ2026</f>
        <v>1.333333333</v>
      </c>
      <c r="AD2026" s="125"/>
      <c r="AE2026" s="125">
        <f t="shared" si="383"/>
        <v>1710.191028</v>
      </c>
      <c r="AF2026" s="127" t="s">
        <v>15032</v>
      </c>
      <c r="AG2026" s="127">
        <v>-18.1154530849246</v>
      </c>
      <c r="AH2026" s="127">
        <v>178.447084445086</v>
      </c>
      <c r="AI2026" s="115" t="s">
        <v>12383</v>
      </c>
      <c r="AJ2026" s="116">
        <v>0.3</v>
      </c>
      <c r="AK2026" s="117"/>
      <c r="AL2026" s="117"/>
      <c r="AM2026" s="117"/>
      <c r="AN2026" s="117"/>
      <c r="AO2026" s="117"/>
    </row>
    <row r="2027" ht="34.5" customHeight="1">
      <c r="A2027" s="111">
        <v>2742.0</v>
      </c>
      <c r="B2027" s="111" t="s">
        <v>10026</v>
      </c>
      <c r="C2027" s="111" t="s">
        <v>7991</v>
      </c>
      <c r="D2027" s="111">
        <v>2030.0</v>
      </c>
      <c r="E2027" s="111"/>
      <c r="F2027" s="111" t="s">
        <v>12397</v>
      </c>
      <c r="G2027" s="111" t="s">
        <v>12381</v>
      </c>
      <c r="H2027" s="111" t="s">
        <v>12230</v>
      </c>
      <c r="I2027" s="111" t="s">
        <v>12406</v>
      </c>
      <c r="J2027" s="111"/>
      <c r="K2027" s="111" t="s">
        <v>30</v>
      </c>
      <c r="L2027" s="111"/>
      <c r="M2027" s="111"/>
      <c r="N2027" s="111"/>
      <c r="O2027" s="111"/>
      <c r="P2027" s="111"/>
      <c r="Q2027" s="111"/>
      <c r="R2027" s="111"/>
      <c r="S2027" s="111"/>
      <c r="T2027" s="111"/>
      <c r="U2027" s="111"/>
      <c r="V2027" s="111"/>
      <c r="W2027" s="111"/>
      <c r="X2027" s="111"/>
      <c r="Y2027" s="111"/>
      <c r="Z2027" s="111" t="s">
        <v>15035</v>
      </c>
      <c r="AA2027" s="126">
        <v>360.0</v>
      </c>
      <c r="AB2027" s="125">
        <f>IF(Projects!$AI2027="Electrolysis",
AA2027/VLOOKUP(G2027,ElectrolysisConvF,3,FALSE),
AC2027*10^6/(H2dens*HoursInYear))</f>
        <v>80000</v>
      </c>
      <c r="AC2027" s="126">
        <f>AB2027*H2dens*HoursInYear/10^6</f>
        <v>62.3712</v>
      </c>
      <c r="AD2027" s="125"/>
      <c r="AE2027" s="125">
        <f t="shared" si="383"/>
        <v>80000</v>
      </c>
      <c r="AF2027" s="127" t="s">
        <v>15036</v>
      </c>
      <c r="AG2027" s="127">
        <v>56.5390163335948</v>
      </c>
      <c r="AH2027" s="127">
        <v>-2.64363628965377</v>
      </c>
      <c r="AI2027" s="115" t="s">
        <v>12383</v>
      </c>
      <c r="AJ2027" s="116">
        <v>0.57</v>
      </c>
      <c r="AK2027" s="117"/>
      <c r="AL2027" s="117"/>
      <c r="AM2027" s="117"/>
      <c r="AN2027" s="117"/>
      <c r="AO2027" s="117"/>
    </row>
    <row r="2028" ht="34.5" customHeight="1">
      <c r="A2028" s="111">
        <v>2743.0</v>
      </c>
      <c r="B2028" s="111" t="s">
        <v>10027</v>
      </c>
      <c r="C2028" s="111" t="s">
        <v>10028</v>
      </c>
      <c r="D2028" s="111">
        <v>2029.0</v>
      </c>
      <c r="E2028" s="111"/>
      <c r="F2028" s="111" t="s">
        <v>12399</v>
      </c>
      <c r="G2028" s="111" t="s">
        <v>12381</v>
      </c>
      <c r="H2028" s="111" t="s">
        <v>12230</v>
      </c>
      <c r="I2028" s="111" t="s">
        <v>12406</v>
      </c>
      <c r="J2028" s="111"/>
      <c r="K2028" s="111" t="s">
        <v>30</v>
      </c>
      <c r="L2028" s="111"/>
      <c r="M2028" s="111">
        <v>1.0</v>
      </c>
      <c r="N2028" s="111"/>
      <c r="O2028" s="111"/>
      <c r="P2028" s="111"/>
      <c r="Q2028" s="111"/>
      <c r="R2028" s="111"/>
      <c r="S2028" s="111"/>
      <c r="T2028" s="111"/>
      <c r="U2028" s="111"/>
      <c r="V2028" s="111"/>
      <c r="W2028" s="111"/>
      <c r="X2028" s="111"/>
      <c r="Y2028" s="111"/>
      <c r="Z2028" s="111" t="s">
        <v>15037</v>
      </c>
      <c r="AA2028" s="126">
        <f>IF(Projects!$AI2028="Electrolysis",
AB2028*VLOOKUP(G2028,ElectrolysisConvF,3,FALSE),
"")</f>
        <v>115.4378944</v>
      </c>
      <c r="AB2028" s="125">
        <f t="shared" ref="AB2028:AB2029" si="385">AC2028/(H2dens*HoursInYear/10^6)</f>
        <v>25652.86543</v>
      </c>
      <c r="AC2028" s="125">
        <f>11.4/Projects!$AJ2028</f>
        <v>20</v>
      </c>
      <c r="AD2028" s="125"/>
      <c r="AE2028" s="125">
        <f t="shared" si="383"/>
        <v>25652.86543</v>
      </c>
      <c r="AF2028" s="127" t="s">
        <v>15038</v>
      </c>
      <c r="AG2028" s="127">
        <v>2.24145550895633</v>
      </c>
      <c r="AH2028" s="127">
        <v>32.270496594245</v>
      </c>
      <c r="AI2028" s="115" t="s">
        <v>12383</v>
      </c>
      <c r="AJ2028" s="116">
        <v>0.57</v>
      </c>
      <c r="AK2028" s="117"/>
      <c r="AL2028" s="117"/>
      <c r="AM2028" s="117"/>
      <c r="AN2028" s="117"/>
      <c r="AO2028" s="117"/>
    </row>
    <row r="2029" ht="34.5" customHeight="1">
      <c r="A2029" s="111">
        <v>2744.0</v>
      </c>
      <c r="B2029" s="111" t="s">
        <v>10029</v>
      </c>
      <c r="C2029" s="111" t="s">
        <v>7981</v>
      </c>
      <c r="D2029" s="111">
        <v>2028.0</v>
      </c>
      <c r="E2029" s="111"/>
      <c r="F2029" s="111" t="s">
        <v>12399</v>
      </c>
      <c r="G2029" s="111" t="s">
        <v>12381</v>
      </c>
      <c r="H2029" s="111" t="s">
        <v>12230</v>
      </c>
      <c r="I2029" s="111" t="s">
        <v>12394</v>
      </c>
      <c r="J2029" s="111" t="s">
        <v>12295</v>
      </c>
      <c r="K2029" s="111" t="s">
        <v>12415</v>
      </c>
      <c r="L2029" s="111"/>
      <c r="M2029" s="111"/>
      <c r="N2029" s="111">
        <v>1.0</v>
      </c>
      <c r="O2029" s="111"/>
      <c r="P2029" s="111">
        <v>1.0</v>
      </c>
      <c r="Q2029" s="111">
        <v>1.0</v>
      </c>
      <c r="R2029" s="111"/>
      <c r="S2029" s="111"/>
      <c r="T2029" s="111"/>
      <c r="U2029" s="111"/>
      <c r="V2029" s="111"/>
      <c r="W2029" s="111"/>
      <c r="X2029" s="111"/>
      <c r="Y2029" s="111"/>
      <c r="Z2029" s="111" t="s">
        <v>13782</v>
      </c>
      <c r="AA2029" s="126">
        <f>IF(Projects!$AI2029="Electrolysis",
AB2029*VLOOKUP(G2029,ElectrolysisConvF,3,FALSE),
"")</f>
        <v>220.8638602</v>
      </c>
      <c r="AB2029" s="125">
        <f t="shared" si="385"/>
        <v>49080.85783</v>
      </c>
      <c r="AC2029" s="125">
        <f>(100*0.191327)/Projects!$AJ2029</f>
        <v>38.2654</v>
      </c>
      <c r="AD2029" s="125"/>
      <c r="AE2029" s="125">
        <f t="shared" si="383"/>
        <v>49080.85783</v>
      </c>
      <c r="AF2029" s="127" t="s">
        <v>15039</v>
      </c>
      <c r="AG2029" s="127">
        <v>28.6968447650673</v>
      </c>
      <c r="AH2029" s="127">
        <v>-96.9625200144601</v>
      </c>
      <c r="AI2029" s="115" t="s">
        <v>12383</v>
      </c>
      <c r="AJ2029" s="116">
        <v>0.5</v>
      </c>
      <c r="AK2029" s="117"/>
      <c r="AL2029" s="117"/>
      <c r="AM2029" s="117"/>
      <c r="AN2029" s="117"/>
      <c r="AO2029" s="117"/>
    </row>
    <row r="2030" ht="34.5" customHeight="1">
      <c r="A2030" s="111">
        <v>2745.0</v>
      </c>
      <c r="B2030" s="111" t="s">
        <v>10030</v>
      </c>
      <c r="C2030" s="111" t="s">
        <v>8026</v>
      </c>
      <c r="D2030" s="111">
        <v>2028.0</v>
      </c>
      <c r="E2030" s="111"/>
      <c r="F2030" s="111" t="s">
        <v>12399</v>
      </c>
      <c r="G2030" s="111" t="s">
        <v>12381</v>
      </c>
      <c r="H2030" s="111" t="s">
        <v>12230</v>
      </c>
      <c r="I2030" s="111" t="s">
        <v>12287</v>
      </c>
      <c r="J2030" s="111"/>
      <c r="K2030" s="111" t="s">
        <v>12251</v>
      </c>
      <c r="L2030" s="111"/>
      <c r="M2030" s="111"/>
      <c r="N2030" s="111">
        <v>1.0</v>
      </c>
      <c r="O2030" s="111"/>
      <c r="P2030" s="111"/>
      <c r="Q2030" s="111">
        <v>1.0</v>
      </c>
      <c r="R2030" s="111"/>
      <c r="S2030" s="111"/>
      <c r="T2030" s="111"/>
      <c r="U2030" s="111"/>
      <c r="V2030" s="111"/>
      <c r="W2030" s="111"/>
      <c r="X2030" s="111"/>
      <c r="Y2030" s="111">
        <v>1.0</v>
      </c>
      <c r="Z2030" s="111" t="s">
        <v>15040</v>
      </c>
      <c r="AA2030" s="124">
        <v>100.0</v>
      </c>
      <c r="AB2030" s="125">
        <f>IF(Projects!$AI2030="Electrolysis",
AA2030/VLOOKUP(G2030,ElectrolysisConvF,3,FALSE),
AC2030*10^6/(H2dens*HoursInYear))</f>
        <v>22222.22222</v>
      </c>
      <c r="AC2030" s="126">
        <f t="shared" ref="AC2030:AC2035" si="386">AB2030*H2dens*HoursInYear/10^6</f>
        <v>17.32533333</v>
      </c>
      <c r="AD2030" s="125"/>
      <c r="AE2030" s="125">
        <f t="shared" si="383"/>
        <v>22222.22222</v>
      </c>
      <c r="AF2030" s="127" t="s">
        <v>15041</v>
      </c>
      <c r="AG2030" s="127">
        <v>65.0241587953625</v>
      </c>
      <c r="AH2030" s="127">
        <v>25.5070357803036</v>
      </c>
      <c r="AI2030" s="115" t="s">
        <v>12383</v>
      </c>
      <c r="AJ2030" s="116">
        <v>0.57</v>
      </c>
      <c r="AK2030" s="117"/>
      <c r="AL2030" s="117"/>
      <c r="AM2030" s="117"/>
      <c r="AN2030" s="117"/>
      <c r="AO2030" s="117"/>
    </row>
    <row r="2031" ht="34.5" customHeight="1">
      <c r="A2031" s="111">
        <v>2746.0</v>
      </c>
      <c r="B2031" s="111" t="s">
        <v>10031</v>
      </c>
      <c r="C2031" s="111" t="s">
        <v>7991</v>
      </c>
      <c r="D2031" s="111">
        <v>2027.0</v>
      </c>
      <c r="E2031" s="111"/>
      <c r="F2031" s="111" t="s">
        <v>12399</v>
      </c>
      <c r="G2031" s="111" t="s">
        <v>12381</v>
      </c>
      <c r="H2031" s="111" t="s">
        <v>12230</v>
      </c>
      <c r="I2031" s="111" t="s">
        <v>12406</v>
      </c>
      <c r="J2031" s="111"/>
      <c r="K2031" s="111" t="s">
        <v>30</v>
      </c>
      <c r="L2031" s="111"/>
      <c r="M2031" s="111"/>
      <c r="N2031" s="111"/>
      <c r="O2031" s="111"/>
      <c r="P2031" s="111">
        <v>1.0</v>
      </c>
      <c r="Q2031" s="111">
        <v>1.0</v>
      </c>
      <c r="R2031" s="111"/>
      <c r="S2031" s="111"/>
      <c r="T2031" s="111"/>
      <c r="U2031" s="111"/>
      <c r="V2031" s="111"/>
      <c r="W2031" s="111"/>
      <c r="X2031" s="111"/>
      <c r="Y2031" s="111"/>
      <c r="Z2031" s="111" t="s">
        <v>15042</v>
      </c>
      <c r="AA2031" s="124">
        <v>10.0</v>
      </c>
      <c r="AB2031" s="125">
        <f>IF(Projects!$AI2031="Electrolysis",
AA2031/VLOOKUP(G2031,ElectrolysisConvF,3,FALSE),
AC2031*10^6/(H2dens*HoursInYear))</f>
        <v>2222.222222</v>
      </c>
      <c r="AC2031" s="126">
        <f t="shared" si="386"/>
        <v>1.732533333</v>
      </c>
      <c r="AD2031" s="125"/>
      <c r="AE2031" s="125">
        <f t="shared" si="383"/>
        <v>2222.222222</v>
      </c>
      <c r="AF2031" s="127" t="s">
        <v>15043</v>
      </c>
      <c r="AG2031" s="127">
        <v>56.1158834996824</v>
      </c>
      <c r="AH2031" s="127">
        <v>-3.92556830276871</v>
      </c>
      <c r="AI2031" s="115" t="s">
        <v>12383</v>
      </c>
      <c r="AJ2031" s="116">
        <v>0.57</v>
      </c>
      <c r="AK2031" s="117"/>
      <c r="AL2031" s="117"/>
      <c r="AM2031" s="117"/>
      <c r="AN2031" s="117"/>
      <c r="AO2031" s="117"/>
    </row>
    <row r="2032" ht="34.5" customHeight="1">
      <c r="A2032" s="111">
        <v>2747.0</v>
      </c>
      <c r="B2032" s="111" t="s">
        <v>10032</v>
      </c>
      <c r="C2032" s="111" t="s">
        <v>7991</v>
      </c>
      <c r="D2032" s="111">
        <v>2026.0</v>
      </c>
      <c r="E2032" s="111"/>
      <c r="F2032" s="111" t="s">
        <v>12399</v>
      </c>
      <c r="G2032" s="111" t="s">
        <v>12381</v>
      </c>
      <c r="H2032" s="111" t="s">
        <v>12230</v>
      </c>
      <c r="I2032" s="111" t="s">
        <v>12406</v>
      </c>
      <c r="J2032" s="111"/>
      <c r="K2032" s="111" t="s">
        <v>30</v>
      </c>
      <c r="L2032" s="111"/>
      <c r="M2032" s="111"/>
      <c r="N2032" s="111"/>
      <c r="O2032" s="111"/>
      <c r="P2032" s="111">
        <v>1.0</v>
      </c>
      <c r="Q2032" s="111"/>
      <c r="R2032" s="111"/>
      <c r="S2032" s="111"/>
      <c r="T2032" s="111"/>
      <c r="U2032" s="111"/>
      <c r="V2032" s="111"/>
      <c r="W2032" s="111"/>
      <c r="X2032" s="111"/>
      <c r="Y2032" s="111"/>
      <c r="Z2032" s="111" t="s">
        <v>12411</v>
      </c>
      <c r="AA2032" s="124">
        <v>20.0</v>
      </c>
      <c r="AB2032" s="125">
        <f>IF(Projects!$AI2032="Electrolysis",
AA2032/VLOOKUP(G2032,ElectrolysisConvF,3,FALSE),
AC2032*10^6/(H2dens*HoursInYear))</f>
        <v>4444.444444</v>
      </c>
      <c r="AC2032" s="126">
        <f t="shared" si="386"/>
        <v>3.465066667</v>
      </c>
      <c r="AD2032" s="125"/>
      <c r="AE2032" s="125">
        <f t="shared" si="383"/>
        <v>4444.444444</v>
      </c>
      <c r="AF2032" s="127" t="s">
        <v>15044</v>
      </c>
      <c r="AG2032" s="127">
        <v>53.5187366523907</v>
      </c>
      <c r="AH2032" s="127">
        <v>-2.65991010432154</v>
      </c>
      <c r="AI2032" s="115" t="s">
        <v>12383</v>
      </c>
      <c r="AJ2032" s="116">
        <v>0.57</v>
      </c>
      <c r="AK2032" s="117"/>
      <c r="AL2032" s="117"/>
      <c r="AM2032" s="117"/>
      <c r="AN2032" s="117"/>
      <c r="AO2032" s="117"/>
    </row>
    <row r="2033" ht="34.5" customHeight="1">
      <c r="A2033" s="111">
        <v>2748.0</v>
      </c>
      <c r="B2033" s="111" t="s">
        <v>10033</v>
      </c>
      <c r="C2033" s="111" t="s">
        <v>7987</v>
      </c>
      <c r="D2033" s="111"/>
      <c r="E2033" s="111"/>
      <c r="F2033" s="111" t="s">
        <v>12399</v>
      </c>
      <c r="G2033" s="111" t="s">
        <v>12381</v>
      </c>
      <c r="H2033" s="111" t="s">
        <v>12230</v>
      </c>
      <c r="I2033" s="111" t="s">
        <v>12394</v>
      </c>
      <c r="J2033" s="111" t="s">
        <v>12295</v>
      </c>
      <c r="K2033" s="111" t="s">
        <v>30</v>
      </c>
      <c r="L2033" s="111"/>
      <c r="M2033" s="111"/>
      <c r="N2033" s="111"/>
      <c r="O2033" s="111"/>
      <c r="P2033" s="111">
        <v>1.0</v>
      </c>
      <c r="Q2033" s="111">
        <v>1.0</v>
      </c>
      <c r="R2033" s="111"/>
      <c r="S2033" s="111"/>
      <c r="T2033" s="111"/>
      <c r="U2033" s="111"/>
      <c r="V2033" s="111"/>
      <c r="W2033" s="111"/>
      <c r="X2033" s="111"/>
      <c r="Y2033" s="111"/>
      <c r="Z2033" s="111" t="s">
        <v>13912</v>
      </c>
      <c r="AA2033" s="124">
        <v>50.0</v>
      </c>
      <c r="AB2033" s="125">
        <f>IF(Projects!$AI2033="Electrolysis",
AA2033/VLOOKUP(G2033,ElectrolysisConvF,3,FALSE),
AC2033*10^6/(H2dens*HoursInYear))</f>
        <v>11111.11111</v>
      </c>
      <c r="AC2033" s="126">
        <f t="shared" si="386"/>
        <v>8.662666667</v>
      </c>
      <c r="AD2033" s="125"/>
      <c r="AE2033" s="125">
        <f t="shared" si="383"/>
        <v>11111.11111</v>
      </c>
      <c r="AF2033" s="127" t="s">
        <v>15045</v>
      </c>
      <c r="AG2033" s="127">
        <v>53.3761067777126</v>
      </c>
      <c r="AH2033" s="127">
        <v>7.18769566422792</v>
      </c>
      <c r="AI2033" s="115" t="s">
        <v>12383</v>
      </c>
      <c r="AJ2033" s="116">
        <v>0.5</v>
      </c>
      <c r="AK2033" s="117"/>
      <c r="AL2033" s="117"/>
      <c r="AM2033" s="117"/>
      <c r="AN2033" s="117"/>
      <c r="AO2033" s="117"/>
    </row>
    <row r="2034" ht="34.5" customHeight="1">
      <c r="A2034" s="111">
        <v>2749.0</v>
      </c>
      <c r="B2034" s="111" t="s">
        <v>10034</v>
      </c>
      <c r="C2034" s="111" t="s">
        <v>7987</v>
      </c>
      <c r="D2034" s="111">
        <v>2025.0</v>
      </c>
      <c r="E2034" s="111"/>
      <c r="F2034" s="111" t="s">
        <v>12393</v>
      </c>
      <c r="G2034" s="111" t="s">
        <v>12381</v>
      </c>
      <c r="H2034" s="111" t="s">
        <v>12230</v>
      </c>
      <c r="I2034" s="111" t="s">
        <v>12289</v>
      </c>
      <c r="J2034" s="111"/>
      <c r="K2034" s="111" t="s">
        <v>30</v>
      </c>
      <c r="L2034" s="111"/>
      <c r="M2034" s="111"/>
      <c r="N2034" s="111"/>
      <c r="O2034" s="111"/>
      <c r="P2034" s="111"/>
      <c r="Q2034" s="111">
        <v>1.0</v>
      </c>
      <c r="R2034" s="111"/>
      <c r="S2034" s="111"/>
      <c r="T2034" s="111"/>
      <c r="U2034" s="111"/>
      <c r="V2034" s="111"/>
      <c r="W2034" s="111"/>
      <c r="X2034" s="111"/>
      <c r="Y2034" s="111"/>
      <c r="Z2034" s="111" t="s">
        <v>14921</v>
      </c>
      <c r="AA2034" s="124">
        <v>2.0</v>
      </c>
      <c r="AB2034" s="125">
        <f>IF(Projects!$AI2034="Electrolysis",
AA2034/VLOOKUP(G2034,ElectrolysisConvF,3,FALSE),
AC2034*10^6/(H2dens*HoursInYear))</f>
        <v>444.4444444</v>
      </c>
      <c r="AC2034" s="126">
        <f t="shared" si="386"/>
        <v>0.3465066667</v>
      </c>
      <c r="AD2034" s="125"/>
      <c r="AE2034" s="125">
        <f t="shared" si="383"/>
        <v>444.4444444</v>
      </c>
      <c r="AF2034" s="127" t="s">
        <v>15046</v>
      </c>
      <c r="AG2034" s="127">
        <v>48.8410037441289</v>
      </c>
      <c r="AH2034" s="127">
        <v>9.3092910773409</v>
      </c>
      <c r="AI2034" s="115" t="s">
        <v>12383</v>
      </c>
      <c r="AJ2034" s="116">
        <v>0.57</v>
      </c>
      <c r="AK2034" s="117"/>
      <c r="AL2034" s="117"/>
      <c r="AM2034" s="117"/>
      <c r="AN2034" s="117"/>
      <c r="AO2034" s="117"/>
    </row>
    <row r="2035" ht="34.5" customHeight="1">
      <c r="A2035" s="111">
        <v>2750.0</v>
      </c>
      <c r="B2035" s="111" t="s">
        <v>10035</v>
      </c>
      <c r="C2035" s="111" t="s">
        <v>7987</v>
      </c>
      <c r="D2035" s="111">
        <v>2024.0</v>
      </c>
      <c r="E2035" s="111"/>
      <c r="F2035" s="111" t="s">
        <v>12393</v>
      </c>
      <c r="G2035" s="111" t="s">
        <v>12226</v>
      </c>
      <c r="H2035" s="111"/>
      <c r="I2035" s="111" t="s">
        <v>12394</v>
      </c>
      <c r="J2035" s="111" t="s">
        <v>12292</v>
      </c>
      <c r="K2035" s="111" t="s">
        <v>30</v>
      </c>
      <c r="L2035" s="111"/>
      <c r="M2035" s="111"/>
      <c r="N2035" s="111"/>
      <c r="O2035" s="111"/>
      <c r="P2035" s="111"/>
      <c r="Q2035" s="111">
        <v>1.0</v>
      </c>
      <c r="R2035" s="111"/>
      <c r="S2035" s="111"/>
      <c r="T2035" s="111"/>
      <c r="U2035" s="111"/>
      <c r="V2035" s="111"/>
      <c r="W2035" s="111"/>
      <c r="X2035" s="111"/>
      <c r="Y2035" s="111"/>
      <c r="Z2035" s="111" t="s">
        <v>14921</v>
      </c>
      <c r="AA2035" s="124">
        <v>2.0</v>
      </c>
      <c r="AB2035" s="125">
        <f>IF(Projects!$AI2035="Electrolysis",
AA2035/VLOOKUP(G2035,ElectrolysisConvF,3,FALSE),
AC2035*10^6/(H2dens*HoursInYear))</f>
        <v>384.6153846</v>
      </c>
      <c r="AC2035" s="126">
        <f t="shared" si="386"/>
        <v>0.2998615385</v>
      </c>
      <c r="AD2035" s="125"/>
      <c r="AE2035" s="125">
        <f t="shared" si="383"/>
        <v>384.6153846</v>
      </c>
      <c r="AF2035" s="127" t="s">
        <v>15047</v>
      </c>
      <c r="AG2035" s="127">
        <v>53.5719390049817</v>
      </c>
      <c r="AH2035" s="127">
        <v>8.57391483185141</v>
      </c>
      <c r="AI2035" s="115" t="s">
        <v>12383</v>
      </c>
      <c r="AJ2035" s="116">
        <v>0.4</v>
      </c>
      <c r="AK2035" s="117"/>
      <c r="AL2035" s="117"/>
      <c r="AM2035" s="117"/>
      <c r="AN2035" s="117"/>
      <c r="AO2035" s="117"/>
    </row>
    <row r="2036" ht="34.5" customHeight="1">
      <c r="A2036" s="111">
        <v>2751.0</v>
      </c>
      <c r="B2036" s="111" t="s">
        <v>10036</v>
      </c>
      <c r="C2036" s="111" t="s">
        <v>7987</v>
      </c>
      <c r="D2036" s="111">
        <v>2024.0</v>
      </c>
      <c r="E2036" s="111"/>
      <c r="F2036" s="111" t="s">
        <v>12393</v>
      </c>
      <c r="G2036" s="111" t="s">
        <v>12226</v>
      </c>
      <c r="H2036" s="111"/>
      <c r="I2036" s="111" t="s">
        <v>12289</v>
      </c>
      <c r="J2036" s="111"/>
      <c r="K2036" s="111" t="s">
        <v>30</v>
      </c>
      <c r="L2036" s="111"/>
      <c r="M2036" s="111"/>
      <c r="N2036" s="111"/>
      <c r="O2036" s="111"/>
      <c r="P2036" s="111"/>
      <c r="Q2036" s="111">
        <v>1.0</v>
      </c>
      <c r="R2036" s="111"/>
      <c r="S2036" s="111"/>
      <c r="T2036" s="111"/>
      <c r="U2036" s="111"/>
      <c r="V2036" s="111"/>
      <c r="W2036" s="111"/>
      <c r="X2036" s="111"/>
      <c r="Y2036" s="111"/>
      <c r="Z2036" s="111" t="s">
        <v>15048</v>
      </c>
      <c r="AA2036" s="126">
        <f>IF(Projects!$AI2036="Electrolysis",
AB2036*VLOOKUP(G2036,ElectrolysisConvF,3,FALSE),
"")</f>
        <v>8.190914925</v>
      </c>
      <c r="AB2036" s="125">
        <f t="shared" ref="AB2036:AB2040" si="387">AC2036/(H2dens*HoursInYear/10^6)</f>
        <v>1575.175947</v>
      </c>
      <c r="AC2036" s="125">
        <f>0.7/Projects!$AJ2036</f>
        <v>1.228070175</v>
      </c>
      <c r="AD2036" s="125"/>
      <c r="AE2036" s="125">
        <f t="shared" si="383"/>
        <v>1575.175947</v>
      </c>
      <c r="AF2036" s="127" t="s">
        <v>15049</v>
      </c>
      <c r="AG2036" s="127">
        <v>49.5078143782495</v>
      </c>
      <c r="AH2036" s="127">
        <v>8.47769665131464</v>
      </c>
      <c r="AI2036" s="115" t="s">
        <v>12383</v>
      </c>
      <c r="AJ2036" s="116">
        <v>0.57</v>
      </c>
      <c r="AK2036" s="117"/>
      <c r="AL2036" s="117"/>
      <c r="AM2036" s="117"/>
      <c r="AN2036" s="117"/>
      <c r="AO2036" s="117"/>
    </row>
    <row r="2037" ht="34.5" customHeight="1">
      <c r="A2037" s="111">
        <v>2752.0</v>
      </c>
      <c r="B2037" s="111" t="s">
        <v>10037</v>
      </c>
      <c r="C2037" s="111" t="s">
        <v>8021</v>
      </c>
      <c r="D2037" s="111">
        <v>2030.0</v>
      </c>
      <c r="E2037" s="111"/>
      <c r="F2037" s="111" t="s">
        <v>12397</v>
      </c>
      <c r="G2037" s="111" t="s">
        <v>12381</v>
      </c>
      <c r="H2037" s="111" t="s">
        <v>12230</v>
      </c>
      <c r="I2037" s="111" t="s">
        <v>12287</v>
      </c>
      <c r="J2037" s="111" t="s">
        <v>12296</v>
      </c>
      <c r="K2037" s="111" t="s">
        <v>12449</v>
      </c>
      <c r="L2037" s="111"/>
      <c r="M2037" s="111"/>
      <c r="N2037" s="111"/>
      <c r="O2037" s="111"/>
      <c r="P2037" s="111"/>
      <c r="Q2037" s="111"/>
      <c r="R2037" s="111"/>
      <c r="S2037" s="111"/>
      <c r="T2037" s="111"/>
      <c r="U2037" s="111"/>
      <c r="V2037" s="111"/>
      <c r="W2037" s="111"/>
      <c r="X2037" s="111"/>
      <c r="Y2037" s="111"/>
      <c r="Z2037" s="111" t="s">
        <v>14226</v>
      </c>
      <c r="AA2037" s="126">
        <f>IF(Projects!$AI2037="Electrolysis",
AB2037*VLOOKUP(G2037,ElectrolysisConvF,3,FALSE),
"")</f>
        <v>751.3681744</v>
      </c>
      <c r="AB2037" s="125">
        <f t="shared" si="387"/>
        <v>166970.7054</v>
      </c>
      <c r="AC2037" s="125">
        <f>(130*50/120/0.73)/Projects!$AJ2037</f>
        <v>130.1770408</v>
      </c>
      <c r="AD2037" s="125"/>
      <c r="AE2037" s="125">
        <f t="shared" si="383"/>
        <v>166970.7054</v>
      </c>
      <c r="AF2037" s="127" t="s">
        <v>15050</v>
      </c>
      <c r="AG2037" s="127">
        <v>-26.6152073470805</v>
      </c>
      <c r="AH2037" s="127">
        <v>143.1276063058</v>
      </c>
      <c r="AI2037" s="115" t="s">
        <v>12383</v>
      </c>
      <c r="AJ2037" s="116">
        <v>0.57</v>
      </c>
      <c r="AK2037" s="117"/>
      <c r="AL2037" s="117"/>
      <c r="AM2037" s="117"/>
      <c r="AN2037" s="117"/>
      <c r="AO2037" s="117"/>
    </row>
    <row r="2038" ht="34.5" customHeight="1">
      <c r="A2038" s="111">
        <v>2753.0</v>
      </c>
      <c r="B2038" s="111" t="s">
        <v>10038</v>
      </c>
      <c r="C2038" s="111" t="s">
        <v>7981</v>
      </c>
      <c r="D2038" s="111">
        <v>2026.0</v>
      </c>
      <c r="E2038" s="111"/>
      <c r="F2038" s="111" t="s">
        <v>12399</v>
      </c>
      <c r="G2038" s="111" t="s">
        <v>12239</v>
      </c>
      <c r="H2038" s="111" t="s">
        <v>13079</v>
      </c>
      <c r="I2038" s="111" t="s">
        <v>12289</v>
      </c>
      <c r="J2038" s="111"/>
      <c r="K2038" s="111" t="s">
        <v>12251</v>
      </c>
      <c r="L2038" s="111"/>
      <c r="M2038" s="111"/>
      <c r="N2038" s="111"/>
      <c r="O2038" s="111"/>
      <c r="P2038" s="111"/>
      <c r="Q2038" s="111"/>
      <c r="R2038" s="111"/>
      <c r="S2038" s="111"/>
      <c r="T2038" s="111"/>
      <c r="U2038" s="111"/>
      <c r="V2038" s="111"/>
      <c r="W2038" s="111">
        <v>1.0</v>
      </c>
      <c r="X2038" s="111"/>
      <c r="Y2038" s="111"/>
      <c r="Z2038" s="111" t="s">
        <v>15051</v>
      </c>
      <c r="AA2038" s="124"/>
      <c r="AB2038" s="125">
        <f t="shared" si="387"/>
        <v>58641.39613</v>
      </c>
      <c r="AC2038" s="126">
        <f>(89*0.045/0.73/0.12)</f>
        <v>45.71917808</v>
      </c>
      <c r="AD2038" s="125"/>
      <c r="AE2038" s="125">
        <f t="shared" si="383"/>
        <v>58641.39613</v>
      </c>
      <c r="AF2038" s="127" t="s">
        <v>15052</v>
      </c>
      <c r="AG2038" s="127">
        <v>41.6154624571692</v>
      </c>
      <c r="AH2038" s="127">
        <v>-87.2293375334636</v>
      </c>
      <c r="AI2038" s="115" t="s">
        <v>12241</v>
      </c>
      <c r="AJ2038" s="116">
        <v>0.9</v>
      </c>
      <c r="AK2038" s="117"/>
      <c r="AL2038" s="117"/>
      <c r="AM2038" s="117"/>
      <c r="AN2038" s="117"/>
      <c r="AO2038" s="117"/>
    </row>
    <row r="2039" ht="34.5" customHeight="1">
      <c r="A2039" s="111">
        <v>2754.0</v>
      </c>
      <c r="B2039" s="111" t="s">
        <v>10039</v>
      </c>
      <c r="C2039" s="111" t="s">
        <v>7981</v>
      </c>
      <c r="D2039" s="111">
        <v>2026.0</v>
      </c>
      <c r="E2039" s="111"/>
      <c r="F2039" s="111" t="s">
        <v>12399</v>
      </c>
      <c r="G2039" s="111" t="s">
        <v>13722</v>
      </c>
      <c r="H2039" s="111" t="s">
        <v>13079</v>
      </c>
      <c r="I2039" s="111" t="s">
        <v>12289</v>
      </c>
      <c r="J2039" s="111"/>
      <c r="K2039" s="111" t="s">
        <v>12251</v>
      </c>
      <c r="L2039" s="111"/>
      <c r="M2039" s="111"/>
      <c r="N2039" s="111"/>
      <c r="O2039" s="111"/>
      <c r="P2039" s="111"/>
      <c r="Q2039" s="111">
        <v>1.0</v>
      </c>
      <c r="R2039" s="111"/>
      <c r="S2039" s="111"/>
      <c r="T2039" s="111"/>
      <c r="U2039" s="111"/>
      <c r="V2039" s="111"/>
      <c r="W2039" s="111">
        <v>1.0</v>
      </c>
      <c r="X2039" s="111"/>
      <c r="Y2039" s="111"/>
      <c r="Z2039" s="111" t="s">
        <v>15053</v>
      </c>
      <c r="AA2039" s="126"/>
      <c r="AB2039" s="125">
        <f t="shared" si="387"/>
        <v>50065.17431</v>
      </c>
      <c r="AC2039" s="125">
        <f>25000000*3.785*0.803*45/0.73/120/1000000</f>
        <v>39.0328125</v>
      </c>
      <c r="AD2039" s="125"/>
      <c r="AE2039" s="125">
        <f t="shared" si="383"/>
        <v>50065.17431</v>
      </c>
      <c r="AF2039" s="127" t="s">
        <v>15054</v>
      </c>
      <c r="AG2039" s="127">
        <v>31.5402592175429</v>
      </c>
      <c r="AH2039" s="127">
        <v>-91.4346449003536</v>
      </c>
      <c r="AI2039" s="115" t="s">
        <v>12241</v>
      </c>
      <c r="AJ2039" s="116">
        <v>0.9</v>
      </c>
      <c r="AK2039" s="117"/>
      <c r="AL2039" s="117"/>
      <c r="AM2039" s="117"/>
      <c r="AN2039" s="117"/>
      <c r="AO2039" s="117"/>
    </row>
    <row r="2040" ht="34.5" customHeight="1">
      <c r="A2040" s="111">
        <v>2755.0</v>
      </c>
      <c r="B2040" s="111" t="s">
        <v>10040</v>
      </c>
      <c r="C2040" s="111" t="s">
        <v>7981</v>
      </c>
      <c r="D2040" s="111">
        <v>2026.0</v>
      </c>
      <c r="E2040" s="111"/>
      <c r="F2040" s="111" t="s">
        <v>12399</v>
      </c>
      <c r="G2040" s="111" t="s">
        <v>12381</v>
      </c>
      <c r="H2040" s="111" t="s">
        <v>12230</v>
      </c>
      <c r="I2040" s="111" t="s">
        <v>12394</v>
      </c>
      <c r="J2040" s="111" t="s">
        <v>12295</v>
      </c>
      <c r="K2040" s="111" t="s">
        <v>12251</v>
      </c>
      <c r="L2040" s="111"/>
      <c r="M2040" s="111"/>
      <c r="N2040" s="111"/>
      <c r="O2040" s="111"/>
      <c r="P2040" s="111"/>
      <c r="Q2040" s="111">
        <v>1.0</v>
      </c>
      <c r="R2040" s="111"/>
      <c r="S2040" s="111"/>
      <c r="T2040" s="111"/>
      <c r="U2040" s="111"/>
      <c r="V2040" s="111"/>
      <c r="W2040" s="111">
        <v>1.0</v>
      </c>
      <c r="X2040" s="111"/>
      <c r="Y2040" s="111"/>
      <c r="Z2040" s="111" t="s">
        <v>15055</v>
      </c>
      <c r="AA2040" s="126">
        <f>IF(Projects!$AI2040="Electrolysis",
AB2040*VLOOKUP(G2040,ElectrolysisConvF,3,FALSE),
"")</f>
        <v>585.7625394</v>
      </c>
      <c r="AB2040" s="125">
        <f t="shared" si="387"/>
        <v>130169.4532</v>
      </c>
      <c r="AC2040" s="125">
        <f>65000000*3.785*0.803*45/0.73/120/1000000</f>
        <v>101.4853125</v>
      </c>
      <c r="AD2040" s="125"/>
      <c r="AE2040" s="125">
        <f t="shared" si="383"/>
        <v>130169.4532</v>
      </c>
      <c r="AF2040" s="127" t="s">
        <v>15056</v>
      </c>
      <c r="AG2040" s="127">
        <v>44.359220037864</v>
      </c>
      <c r="AH2040" s="127">
        <v>-97.3822523590103</v>
      </c>
      <c r="AI2040" s="115" t="s">
        <v>12383</v>
      </c>
      <c r="AJ2040" s="116">
        <v>0.5</v>
      </c>
      <c r="AK2040" s="117"/>
      <c r="AL2040" s="117"/>
      <c r="AM2040" s="117"/>
      <c r="AN2040" s="117"/>
      <c r="AO2040" s="117"/>
    </row>
    <row r="2041" ht="34.5" customHeight="1">
      <c r="A2041" s="111">
        <v>2756.0</v>
      </c>
      <c r="B2041" s="111" t="s">
        <v>10041</v>
      </c>
      <c r="C2041" s="111" t="s">
        <v>7981</v>
      </c>
      <c r="D2041" s="111">
        <v>2025.0</v>
      </c>
      <c r="E2041" s="111"/>
      <c r="F2041" s="111" t="s">
        <v>12393</v>
      </c>
      <c r="G2041" s="111" t="s">
        <v>12241</v>
      </c>
      <c r="H2041" s="111"/>
      <c r="I2041" s="111" t="str">
        <f t="shared" ref="I2041:I2042" si="388">IF(AND(G2041&lt;&gt;"ALK",G2041&lt;&gt;"PEM",G2041&lt;&gt;"SOEC",G2041&lt;&gt;"Other electrolysis"),"N/A","")</f>
        <v>N/A</v>
      </c>
      <c r="J2041" s="111"/>
      <c r="K2041" s="111" t="s">
        <v>12251</v>
      </c>
      <c r="L2041" s="111"/>
      <c r="M2041" s="111"/>
      <c r="N2041" s="111"/>
      <c r="O2041" s="111"/>
      <c r="P2041" s="111"/>
      <c r="Q2041" s="111"/>
      <c r="R2041" s="111"/>
      <c r="S2041" s="111"/>
      <c r="T2041" s="111"/>
      <c r="U2041" s="111"/>
      <c r="V2041" s="111"/>
      <c r="W2041" s="111">
        <v>1.0</v>
      </c>
      <c r="X2041" s="111"/>
      <c r="Y2041" s="111"/>
      <c r="Z2041" s="111" t="s">
        <v>15057</v>
      </c>
      <c r="AA2041" s="126"/>
      <c r="AB2041" s="125"/>
      <c r="AC2041" s="157"/>
      <c r="AD2041" s="157"/>
      <c r="AE2041" s="125" t="str">
        <f t="shared" si="383"/>
        <v/>
      </c>
      <c r="AF2041" s="127" t="s">
        <v>15058</v>
      </c>
      <c r="AG2041" s="127">
        <v>37.718882804798</v>
      </c>
      <c r="AH2041" s="127">
        <v>-120.917731979687</v>
      </c>
      <c r="AI2041" s="115" t="s">
        <v>12241</v>
      </c>
      <c r="AJ2041" s="116">
        <v>0.9</v>
      </c>
      <c r="AK2041" s="117"/>
      <c r="AL2041" s="117"/>
      <c r="AM2041" s="117"/>
      <c r="AN2041" s="117"/>
      <c r="AO2041" s="117"/>
    </row>
    <row r="2042" ht="34.5" customHeight="1">
      <c r="A2042" s="111">
        <v>2757.0</v>
      </c>
      <c r="B2042" s="111" t="s">
        <v>10042</v>
      </c>
      <c r="C2042" s="111" t="s">
        <v>7981</v>
      </c>
      <c r="D2042" s="111">
        <v>2025.0</v>
      </c>
      <c r="E2042" s="111"/>
      <c r="F2042" s="111" t="s">
        <v>12399</v>
      </c>
      <c r="G2042" s="111" t="s">
        <v>13722</v>
      </c>
      <c r="H2042" s="111" t="s">
        <v>13079</v>
      </c>
      <c r="I2042" s="111" t="str">
        <f t="shared" si="388"/>
        <v>N/A</v>
      </c>
      <c r="J2042" s="111"/>
      <c r="K2042" s="111" t="s">
        <v>12251</v>
      </c>
      <c r="L2042" s="111"/>
      <c r="M2042" s="111"/>
      <c r="N2042" s="111"/>
      <c r="O2042" s="111"/>
      <c r="P2042" s="111"/>
      <c r="Q2042" s="111">
        <v>1.0</v>
      </c>
      <c r="R2042" s="111"/>
      <c r="S2042" s="111"/>
      <c r="T2042" s="111"/>
      <c r="U2042" s="111"/>
      <c r="V2042" s="111"/>
      <c r="W2042" s="111">
        <v>1.0</v>
      </c>
      <c r="X2042" s="111"/>
      <c r="Y2042" s="111"/>
      <c r="Z2042" s="111" t="s">
        <v>15059</v>
      </c>
      <c r="AA2042" s="126"/>
      <c r="AB2042" s="125">
        <f>AC2042/(H2dens*HoursInYear/10^6)</f>
        <v>68088.63706</v>
      </c>
      <c r="AC2042" s="125">
        <f>34000000*3.785*0.803*45/0.73/120/1000000</f>
        <v>53.084625</v>
      </c>
      <c r="AD2042" s="125"/>
      <c r="AE2042" s="125">
        <f t="shared" si="383"/>
        <v>68088.63706</v>
      </c>
      <c r="AF2042" s="127" t="s">
        <v>15060</v>
      </c>
      <c r="AG2042" s="127">
        <v>30.7389730254395</v>
      </c>
      <c r="AH2042" s="127">
        <v>-93.6403647151807</v>
      </c>
      <c r="AI2042" s="115" t="s">
        <v>12241</v>
      </c>
      <c r="AJ2042" s="116">
        <v>0.9</v>
      </c>
      <c r="AK2042" s="117"/>
      <c r="AL2042" s="117"/>
      <c r="AM2042" s="117"/>
      <c r="AN2042" s="117"/>
      <c r="AO2042" s="117"/>
    </row>
    <row r="2043" ht="34.5" customHeight="1">
      <c r="A2043" s="111">
        <v>2758.0</v>
      </c>
      <c r="B2043" s="111" t="s">
        <v>10043</v>
      </c>
      <c r="C2043" s="111" t="s">
        <v>8177</v>
      </c>
      <c r="D2043" s="111">
        <v>2029.0</v>
      </c>
      <c r="E2043" s="111"/>
      <c r="F2043" s="111" t="s">
        <v>12399</v>
      </c>
      <c r="G2043" s="111" t="s">
        <v>12381</v>
      </c>
      <c r="H2043" s="111" t="s">
        <v>12230</v>
      </c>
      <c r="I2043" s="111" t="s">
        <v>12394</v>
      </c>
      <c r="J2043" s="111" t="s">
        <v>12296</v>
      </c>
      <c r="K2043" s="111" t="s">
        <v>174</v>
      </c>
      <c r="L2043" s="111"/>
      <c r="M2043" s="111">
        <v>1.0</v>
      </c>
      <c r="N2043" s="111"/>
      <c r="O2043" s="111"/>
      <c r="P2043" s="111"/>
      <c r="Q2043" s="111"/>
      <c r="R2043" s="111"/>
      <c r="S2043" s="111"/>
      <c r="T2043" s="111"/>
      <c r="U2043" s="111"/>
      <c r="V2043" s="111"/>
      <c r="W2043" s="111"/>
      <c r="X2043" s="111"/>
      <c r="Y2043" s="111"/>
      <c r="Z2043" s="111" t="s">
        <v>15061</v>
      </c>
      <c r="AA2043" s="124">
        <v>160.0</v>
      </c>
      <c r="AB2043" s="125">
        <f>IF(Projects!$AI2043="Electrolysis",
AA2043/VLOOKUP(G2043,ElectrolysisConvF,3,FALSE),
AC2043*10^6/(H2dens*HoursInYear))</f>
        <v>35555.55556</v>
      </c>
      <c r="AC2043" s="126">
        <f t="shared" ref="AC2043:AC2045" si="389">AB2043*H2dens*HoursInYear/10^6</f>
        <v>27.72053333</v>
      </c>
      <c r="AD2043" s="125"/>
      <c r="AE2043" s="125">
        <f t="shared" si="383"/>
        <v>35555.55556</v>
      </c>
      <c r="AF2043" s="127" t="s">
        <v>15062</v>
      </c>
      <c r="AG2043" s="127">
        <v>17.8994587644828</v>
      </c>
      <c r="AH2043" s="127">
        <v>-15.9861333523998</v>
      </c>
      <c r="AI2043" s="115" t="s">
        <v>12383</v>
      </c>
      <c r="AJ2043" s="116">
        <v>0.5</v>
      </c>
      <c r="AK2043" s="117"/>
      <c r="AL2043" s="117"/>
      <c r="AM2043" s="117"/>
      <c r="AN2043" s="117"/>
      <c r="AO2043" s="117"/>
    </row>
    <row r="2044" ht="34.5" customHeight="1">
      <c r="A2044" s="111">
        <v>2759.0</v>
      </c>
      <c r="B2044" s="111" t="s">
        <v>10044</v>
      </c>
      <c r="C2044" s="111" t="s">
        <v>8590</v>
      </c>
      <c r="D2044" s="111"/>
      <c r="E2044" s="111"/>
      <c r="F2044" s="111" t="s">
        <v>12397</v>
      </c>
      <c r="G2044" s="111" t="s">
        <v>12381</v>
      </c>
      <c r="H2044" s="111" t="s">
        <v>12230</v>
      </c>
      <c r="I2044" s="111" t="s">
        <v>12287</v>
      </c>
      <c r="J2044" s="111"/>
      <c r="K2044" s="111" t="s">
        <v>30</v>
      </c>
      <c r="L2044" s="111"/>
      <c r="M2044" s="111"/>
      <c r="N2044" s="111"/>
      <c r="O2044" s="111">
        <v>1.0</v>
      </c>
      <c r="P2044" s="111"/>
      <c r="Q2044" s="111"/>
      <c r="R2044" s="111"/>
      <c r="S2044" s="111"/>
      <c r="T2044" s="111"/>
      <c r="U2044" s="111"/>
      <c r="V2044" s="111"/>
      <c r="W2044" s="111"/>
      <c r="X2044" s="111"/>
      <c r="Y2044" s="111"/>
      <c r="Z2044" s="111" t="s">
        <v>12422</v>
      </c>
      <c r="AA2044" s="124">
        <v>10.0</v>
      </c>
      <c r="AB2044" s="125">
        <f>IF(Projects!$AI2044="Electrolysis",
AA2044/VLOOKUP(G2044,ElectrolysisConvF,3,FALSE),
AC2044*10^6/(H2dens*HoursInYear))</f>
        <v>2222.222222</v>
      </c>
      <c r="AC2044" s="126">
        <f t="shared" si="389"/>
        <v>1.732533333</v>
      </c>
      <c r="AD2044" s="125"/>
      <c r="AE2044" s="125">
        <f t="shared" si="383"/>
        <v>2222.222222</v>
      </c>
      <c r="AF2044" s="127" t="s">
        <v>15063</v>
      </c>
      <c r="AG2044" s="127">
        <v>-23.0019294506947</v>
      </c>
      <c r="AH2044" s="127">
        <v>-43.415092445601</v>
      </c>
      <c r="AI2044" s="115" t="s">
        <v>12383</v>
      </c>
      <c r="AJ2044" s="116">
        <v>0.57</v>
      </c>
      <c r="AK2044" s="117"/>
      <c r="AL2044" s="117"/>
      <c r="AM2044" s="117"/>
      <c r="AN2044" s="117"/>
      <c r="AO2044" s="117"/>
    </row>
    <row r="2045" ht="34.5" customHeight="1">
      <c r="A2045" s="111">
        <v>2760.0</v>
      </c>
      <c r="B2045" s="111" t="s">
        <v>10045</v>
      </c>
      <c r="C2045" s="111" t="s">
        <v>7987</v>
      </c>
      <c r="D2045" s="111">
        <v>2025.0</v>
      </c>
      <c r="E2045" s="111"/>
      <c r="F2045" s="111" t="s">
        <v>12399</v>
      </c>
      <c r="G2045" s="111" t="s">
        <v>12226</v>
      </c>
      <c r="H2045" s="111"/>
      <c r="I2045" s="111" t="s">
        <v>12394</v>
      </c>
      <c r="J2045" s="111" t="s">
        <v>12295</v>
      </c>
      <c r="K2045" s="111" t="s">
        <v>30</v>
      </c>
      <c r="L2045" s="111"/>
      <c r="M2045" s="111"/>
      <c r="N2045" s="111"/>
      <c r="O2045" s="111"/>
      <c r="P2045" s="111"/>
      <c r="Q2045" s="111">
        <v>1.0</v>
      </c>
      <c r="R2045" s="111"/>
      <c r="S2045" s="111"/>
      <c r="T2045" s="111"/>
      <c r="U2045" s="111"/>
      <c r="V2045" s="111"/>
      <c r="W2045" s="111"/>
      <c r="X2045" s="111"/>
      <c r="Y2045" s="111"/>
      <c r="Z2045" s="111" t="s">
        <v>15064</v>
      </c>
      <c r="AA2045" s="124">
        <v>4.0</v>
      </c>
      <c r="AB2045" s="125">
        <f>IF(Projects!$AI2045="Electrolysis",
AA2045/VLOOKUP(G2045,ElectrolysisConvF,3,FALSE),
AC2045*10^6/(H2dens*HoursInYear))</f>
        <v>769.2307692</v>
      </c>
      <c r="AC2045" s="126">
        <f t="shared" si="389"/>
        <v>0.5997230769</v>
      </c>
      <c r="AD2045" s="125"/>
      <c r="AE2045" s="125">
        <f t="shared" si="383"/>
        <v>769.2307692</v>
      </c>
      <c r="AF2045" s="127" t="s">
        <v>15065</v>
      </c>
      <c r="AG2045" s="127">
        <v>54.857682166</v>
      </c>
      <c r="AH2045" s="127">
        <v>8.98928967719308</v>
      </c>
      <c r="AI2045" s="115" t="s">
        <v>12383</v>
      </c>
      <c r="AJ2045" s="116">
        <v>0.5</v>
      </c>
      <c r="AK2045" s="117"/>
      <c r="AL2045" s="117"/>
      <c r="AM2045" s="117"/>
      <c r="AN2045" s="117"/>
      <c r="AO2045" s="117"/>
    </row>
    <row r="2046" ht="34.5" customHeight="1">
      <c r="A2046" s="111">
        <v>2761.0</v>
      </c>
      <c r="B2046" s="111" t="s">
        <v>10046</v>
      </c>
      <c r="C2046" s="111" t="s">
        <v>7981</v>
      </c>
      <c r="D2046" s="111">
        <v>2024.0</v>
      </c>
      <c r="E2046" s="111"/>
      <c r="F2046" s="111" t="s">
        <v>12385</v>
      </c>
      <c r="G2046" s="111" t="s">
        <v>12381</v>
      </c>
      <c r="H2046" s="111" t="s">
        <v>12230</v>
      </c>
      <c r="I2046" s="111" t="s">
        <v>12394</v>
      </c>
      <c r="J2046" s="111" t="s">
        <v>12295</v>
      </c>
      <c r="K2046" s="111" t="s">
        <v>12251</v>
      </c>
      <c r="L2046" s="111"/>
      <c r="M2046" s="111"/>
      <c r="N2046" s="111"/>
      <c r="O2046" s="111"/>
      <c r="P2046" s="111"/>
      <c r="Q2046" s="111"/>
      <c r="R2046" s="111"/>
      <c r="S2046" s="111"/>
      <c r="T2046" s="111"/>
      <c r="U2046" s="111"/>
      <c r="V2046" s="111"/>
      <c r="W2046" s="111">
        <v>1.0</v>
      </c>
      <c r="X2046" s="111"/>
      <c r="Y2046" s="111"/>
      <c r="Z2046" s="111"/>
      <c r="AA2046" s="124">
        <f>IF(OR(G2046="ALK",G2046="PEM",G2046="SOEC",G2046="Other Electrolysis"),
AB2046*VLOOKUP(G2046,ElectrolysisConvF,3,FALSE),
"")</f>
        <v>0</v>
      </c>
      <c r="AB2046" s="125"/>
      <c r="AC2046" s="125"/>
      <c r="AD2046" s="125"/>
      <c r="AE2046" s="125" t="str">
        <f t="shared" si="383"/>
        <v/>
      </c>
      <c r="AF2046" s="127" t="s">
        <v>15066</v>
      </c>
      <c r="AG2046" s="127">
        <v>27.8062852390039</v>
      </c>
      <c r="AH2046" s="127">
        <v>-97.4607367923113</v>
      </c>
      <c r="AI2046" s="115" t="s">
        <v>12383</v>
      </c>
      <c r="AJ2046" s="116">
        <v>0.5</v>
      </c>
      <c r="AK2046" s="117"/>
      <c r="AL2046" s="117"/>
      <c r="AM2046" s="117"/>
      <c r="AN2046" s="117"/>
      <c r="AO2046" s="117"/>
    </row>
    <row r="2047" ht="34.5" customHeight="1">
      <c r="A2047" s="111">
        <v>2762.0</v>
      </c>
      <c r="B2047" s="111" t="s">
        <v>10047</v>
      </c>
      <c r="C2047" s="111" t="s">
        <v>7987</v>
      </c>
      <c r="D2047" s="111">
        <v>2026.0</v>
      </c>
      <c r="E2047" s="111"/>
      <c r="F2047" s="111" t="s">
        <v>12393</v>
      </c>
      <c r="G2047" s="111" t="s">
        <v>12381</v>
      </c>
      <c r="H2047" s="111" t="s">
        <v>12230</v>
      </c>
      <c r="I2047" s="111" t="s">
        <v>12406</v>
      </c>
      <c r="J2047" s="111"/>
      <c r="K2047" s="111" t="s">
        <v>30</v>
      </c>
      <c r="L2047" s="111"/>
      <c r="M2047" s="111"/>
      <c r="N2047" s="111"/>
      <c r="O2047" s="111"/>
      <c r="P2047" s="111">
        <v>1.0</v>
      </c>
      <c r="Q2047" s="111">
        <v>1.0</v>
      </c>
      <c r="R2047" s="111"/>
      <c r="S2047" s="111"/>
      <c r="T2047" s="111"/>
      <c r="U2047" s="111"/>
      <c r="V2047" s="111"/>
      <c r="W2047" s="111"/>
      <c r="X2047" s="111"/>
      <c r="Y2047" s="111"/>
      <c r="Z2047" s="111" t="s">
        <v>15067</v>
      </c>
      <c r="AA2047" s="124">
        <v>50.0</v>
      </c>
      <c r="AB2047" s="125">
        <f>IF(Projects!$AI2047="Electrolysis",
AA2047/VLOOKUP(G2047,ElectrolysisConvF,3,FALSE),
AC2047*10^6/(H2dens*HoursInYear))</f>
        <v>11111.11111</v>
      </c>
      <c r="AC2047" s="126">
        <f t="shared" ref="AC2047:AC2058" si="390">AB2047*H2dens*HoursInYear/10^6</f>
        <v>8.662666667</v>
      </c>
      <c r="AD2047" s="125"/>
      <c r="AE2047" s="125">
        <f t="shared" si="383"/>
        <v>11111.11111</v>
      </c>
      <c r="AF2047" s="127" t="s">
        <v>15068</v>
      </c>
      <c r="AG2047" s="127">
        <v>54.1025873746056</v>
      </c>
      <c r="AH2047" s="127">
        <v>9.98051544415043</v>
      </c>
      <c r="AI2047" s="115" t="s">
        <v>12383</v>
      </c>
      <c r="AJ2047" s="116">
        <v>0.57</v>
      </c>
      <c r="AK2047" s="117"/>
      <c r="AL2047" s="117"/>
      <c r="AM2047" s="117"/>
      <c r="AN2047" s="117"/>
      <c r="AO2047" s="117"/>
    </row>
    <row r="2048" ht="34.5" customHeight="1">
      <c r="A2048" s="111">
        <v>2763.0</v>
      </c>
      <c r="B2048" s="111" t="s">
        <v>10048</v>
      </c>
      <c r="C2048" s="111" t="s">
        <v>8011</v>
      </c>
      <c r="D2048" s="111">
        <v>2029.0</v>
      </c>
      <c r="E2048" s="111"/>
      <c r="F2048" s="111" t="s">
        <v>12399</v>
      </c>
      <c r="G2048" s="111" t="s">
        <v>12381</v>
      </c>
      <c r="H2048" s="111" t="s">
        <v>12230</v>
      </c>
      <c r="I2048" s="111" t="s">
        <v>12287</v>
      </c>
      <c r="J2048" s="111"/>
      <c r="K2048" s="111" t="s">
        <v>30</v>
      </c>
      <c r="L2048" s="111"/>
      <c r="M2048" s="111"/>
      <c r="N2048" s="111"/>
      <c r="O2048" s="111"/>
      <c r="P2048" s="111"/>
      <c r="Q2048" s="111">
        <v>1.0</v>
      </c>
      <c r="R2048" s="111"/>
      <c r="S2048" s="111"/>
      <c r="T2048" s="111"/>
      <c r="U2048" s="111"/>
      <c r="V2048" s="111"/>
      <c r="W2048" s="111">
        <v>1.0</v>
      </c>
      <c r="X2048" s="111"/>
      <c r="Y2048" s="111"/>
      <c r="Z2048" s="111" t="s">
        <v>15069</v>
      </c>
      <c r="AA2048" s="124">
        <v>350.0</v>
      </c>
      <c r="AB2048" s="125">
        <f>IF(Projects!$AI2048="Electrolysis",
AA2048/VLOOKUP(G2048,ElectrolysisConvF,3,FALSE),
AC2048*10^6/(H2dens*HoursInYear))</f>
        <v>77777.77778</v>
      </c>
      <c r="AC2048" s="126">
        <f t="shared" si="390"/>
        <v>60.63866667</v>
      </c>
      <c r="AD2048" s="125"/>
      <c r="AE2048" s="125">
        <f t="shared" si="383"/>
        <v>77777.77778</v>
      </c>
      <c r="AF2048" s="127" t="s">
        <v>15070</v>
      </c>
      <c r="AG2048" s="127">
        <v>49.4032830615112</v>
      </c>
      <c r="AH2048" s="127">
        <v>1.01863378526841</v>
      </c>
      <c r="AI2048" s="115" t="s">
        <v>12383</v>
      </c>
      <c r="AJ2048" s="116">
        <v>0.57</v>
      </c>
      <c r="AK2048" s="117"/>
      <c r="AL2048" s="117"/>
      <c r="AM2048" s="117"/>
      <c r="AN2048" s="117"/>
      <c r="AO2048" s="117"/>
    </row>
    <row r="2049" ht="34.5" customHeight="1">
      <c r="A2049" s="111">
        <v>2764.0</v>
      </c>
      <c r="B2049" s="111" t="s">
        <v>10049</v>
      </c>
      <c r="C2049" s="111" t="s">
        <v>8011</v>
      </c>
      <c r="D2049" s="111">
        <v>2028.0</v>
      </c>
      <c r="E2049" s="111"/>
      <c r="F2049" s="111" t="s">
        <v>12399</v>
      </c>
      <c r="G2049" s="111" t="s">
        <v>12381</v>
      </c>
      <c r="H2049" s="111" t="s">
        <v>12230</v>
      </c>
      <c r="I2049" s="111" t="s">
        <v>12287</v>
      </c>
      <c r="J2049" s="111"/>
      <c r="K2049" s="111" t="s">
        <v>30</v>
      </c>
      <c r="L2049" s="111"/>
      <c r="M2049" s="111"/>
      <c r="N2049" s="111"/>
      <c r="O2049" s="111"/>
      <c r="P2049" s="111">
        <v>1.0</v>
      </c>
      <c r="Q2049" s="111">
        <v>1.0</v>
      </c>
      <c r="R2049" s="111"/>
      <c r="S2049" s="111"/>
      <c r="T2049" s="111"/>
      <c r="U2049" s="111"/>
      <c r="V2049" s="111"/>
      <c r="W2049" s="111"/>
      <c r="X2049" s="111"/>
      <c r="Y2049" s="111"/>
      <c r="Z2049" s="111" t="s">
        <v>15071</v>
      </c>
      <c r="AA2049" s="126">
        <v>200.0</v>
      </c>
      <c r="AB2049" s="125">
        <f>IF(Projects!$AI2049="Electrolysis",
AA2049/VLOOKUP(G2049,ElectrolysisConvF,3,FALSE),
AC2049*10^6/(H2dens*HoursInYear))</f>
        <v>44444.44444</v>
      </c>
      <c r="AC2049" s="126">
        <f t="shared" si="390"/>
        <v>34.65066667</v>
      </c>
      <c r="AD2049" s="125"/>
      <c r="AE2049" s="125">
        <f t="shared" si="383"/>
        <v>44444.44444</v>
      </c>
      <c r="AF2049" s="127" t="s">
        <v>15072</v>
      </c>
      <c r="AG2049" s="127">
        <v>47.2827132659348</v>
      </c>
      <c r="AH2049" s="127">
        <v>-2.19243915733597</v>
      </c>
      <c r="AI2049" s="115" t="s">
        <v>12383</v>
      </c>
      <c r="AJ2049" s="116">
        <v>0.57</v>
      </c>
      <c r="AK2049" s="117"/>
      <c r="AL2049" s="117"/>
      <c r="AM2049" s="117"/>
      <c r="AN2049" s="117"/>
      <c r="AO2049" s="117"/>
    </row>
    <row r="2050" ht="34.5" customHeight="1">
      <c r="A2050" s="111">
        <v>2765.0</v>
      </c>
      <c r="B2050" s="111" t="s">
        <v>10050</v>
      </c>
      <c r="C2050" s="111" t="s">
        <v>8161</v>
      </c>
      <c r="D2050" s="111">
        <v>2025.0</v>
      </c>
      <c r="E2050" s="111"/>
      <c r="F2050" s="111" t="s">
        <v>12399</v>
      </c>
      <c r="G2050" s="111" t="s">
        <v>12226</v>
      </c>
      <c r="H2050" s="111"/>
      <c r="I2050" s="111" t="s">
        <v>12287</v>
      </c>
      <c r="J2050" s="111"/>
      <c r="K2050" s="111" t="s">
        <v>30</v>
      </c>
      <c r="L2050" s="111"/>
      <c r="M2050" s="111"/>
      <c r="N2050" s="111"/>
      <c r="O2050" s="111"/>
      <c r="P2050" s="111">
        <v>1.0</v>
      </c>
      <c r="Q2050" s="111"/>
      <c r="R2050" s="111"/>
      <c r="S2050" s="111"/>
      <c r="T2050" s="111"/>
      <c r="U2050" s="111"/>
      <c r="V2050" s="111"/>
      <c r="W2050" s="111"/>
      <c r="X2050" s="111"/>
      <c r="Y2050" s="111"/>
      <c r="Z2050" s="111" t="s">
        <v>15073</v>
      </c>
      <c r="AA2050" s="124">
        <v>25.0</v>
      </c>
      <c r="AB2050" s="125">
        <f>IF(Projects!$AI2050="Electrolysis",
AA2050/VLOOKUP(G2050,ElectrolysisConvF,3,FALSE),
AC2050*10^6/(H2dens*HoursInYear))</f>
        <v>4807.692308</v>
      </c>
      <c r="AC2050" s="126">
        <f t="shared" si="390"/>
        <v>3.748269231</v>
      </c>
      <c r="AD2050" s="125"/>
      <c r="AE2050" s="125">
        <f t="shared" si="383"/>
        <v>4807.692308</v>
      </c>
      <c r="AF2050" s="127" t="s">
        <v>15074</v>
      </c>
      <c r="AG2050" s="127">
        <v>40.6504956691483</v>
      </c>
      <c r="AH2050" s="127">
        <v>-8.63052140631941</v>
      </c>
      <c r="AI2050" s="115" t="s">
        <v>12383</v>
      </c>
      <c r="AJ2050" s="116">
        <v>0.57</v>
      </c>
      <c r="AK2050" s="117"/>
      <c r="AL2050" s="117"/>
      <c r="AM2050" s="117"/>
      <c r="AN2050" s="117"/>
      <c r="AO2050" s="117"/>
    </row>
    <row r="2051" ht="34.5" customHeight="1">
      <c r="A2051" s="111">
        <v>2766.0</v>
      </c>
      <c r="B2051" s="111" t="s">
        <v>10051</v>
      </c>
      <c r="C2051" s="111" t="s">
        <v>7991</v>
      </c>
      <c r="D2051" s="111">
        <v>2028.0</v>
      </c>
      <c r="E2051" s="111"/>
      <c r="F2051" s="111" t="s">
        <v>12399</v>
      </c>
      <c r="G2051" s="111" t="s">
        <v>12381</v>
      </c>
      <c r="H2051" s="111" t="s">
        <v>12230</v>
      </c>
      <c r="I2051" s="111" t="s">
        <v>12759</v>
      </c>
      <c r="J2051" s="111"/>
      <c r="K2051" s="111" t="s">
        <v>30</v>
      </c>
      <c r="L2051" s="111"/>
      <c r="M2051" s="111"/>
      <c r="N2051" s="111"/>
      <c r="O2051" s="111"/>
      <c r="P2051" s="111"/>
      <c r="Q2051" s="111"/>
      <c r="R2051" s="111"/>
      <c r="S2051" s="111"/>
      <c r="T2051" s="111"/>
      <c r="U2051" s="111"/>
      <c r="V2051" s="111"/>
      <c r="W2051" s="111"/>
      <c r="X2051" s="111"/>
      <c r="Y2051" s="111"/>
      <c r="Z2051" s="111" t="s">
        <v>14670</v>
      </c>
      <c r="AA2051" s="124">
        <v>260.0</v>
      </c>
      <c r="AB2051" s="125">
        <f>IF(Projects!$AI2051="Electrolysis",
AA2051/VLOOKUP(G2051,ElectrolysisConvF,3,FALSE),
AC2051*10^6/(H2dens*HoursInYear))</f>
        <v>57777.77778</v>
      </c>
      <c r="AC2051" s="126">
        <f t="shared" si="390"/>
        <v>45.04586667</v>
      </c>
      <c r="AD2051" s="125"/>
      <c r="AE2051" s="125">
        <f t="shared" si="383"/>
        <v>57777.77778</v>
      </c>
      <c r="AF2051" s="127" t="s">
        <v>15075</v>
      </c>
      <c r="AG2051" s="127">
        <v>54.5896324833949</v>
      </c>
      <c r="AH2051" s="127">
        <v>-1.0974553209276</v>
      </c>
      <c r="AI2051" s="115" t="s">
        <v>12383</v>
      </c>
      <c r="AJ2051" s="116">
        <v>0.7</v>
      </c>
      <c r="AK2051" s="117"/>
      <c r="AL2051" s="117"/>
      <c r="AM2051" s="117"/>
      <c r="AN2051" s="117"/>
      <c r="AO2051" s="117"/>
    </row>
    <row r="2052" ht="34.5" customHeight="1">
      <c r="A2052" s="111">
        <v>2767.0</v>
      </c>
      <c r="B2052" s="111" t="s">
        <v>10052</v>
      </c>
      <c r="C2052" s="111" t="s">
        <v>7999</v>
      </c>
      <c r="D2052" s="111">
        <v>2023.0</v>
      </c>
      <c r="E2052" s="111"/>
      <c r="F2052" s="111" t="s">
        <v>12385</v>
      </c>
      <c r="G2052" s="111" t="s">
        <v>12226</v>
      </c>
      <c r="H2052" s="111"/>
      <c r="I2052" s="111" t="s">
        <v>12406</v>
      </c>
      <c r="J2052" s="111"/>
      <c r="K2052" s="111" t="s">
        <v>30</v>
      </c>
      <c r="L2052" s="111"/>
      <c r="M2052" s="111"/>
      <c r="N2052" s="111"/>
      <c r="O2052" s="111"/>
      <c r="P2052" s="111"/>
      <c r="Q2052" s="111"/>
      <c r="R2052" s="111">
        <v>1.0</v>
      </c>
      <c r="S2052" s="111"/>
      <c r="T2052" s="111"/>
      <c r="U2052" s="111"/>
      <c r="V2052" s="111"/>
      <c r="W2052" s="111"/>
      <c r="X2052" s="111"/>
      <c r="Y2052" s="111"/>
      <c r="Z2052" s="111" t="s">
        <v>12720</v>
      </c>
      <c r="AA2052" s="124">
        <v>2.0</v>
      </c>
      <c r="AB2052" s="125">
        <f>IF(Projects!$AI2052="Electrolysis",
AA2052/VLOOKUP(G2052,ElectrolysisConvF,3,FALSE),
AC2052*10^6/(H2dens*HoursInYear))</f>
        <v>384.6153846</v>
      </c>
      <c r="AC2052" s="126">
        <f t="shared" si="390"/>
        <v>0.2998615385</v>
      </c>
      <c r="AD2052" s="125"/>
      <c r="AE2052" s="125">
        <f t="shared" si="383"/>
        <v>384.6153846</v>
      </c>
      <c r="AF2052" s="127" t="s">
        <v>15076</v>
      </c>
      <c r="AG2052" s="127">
        <v>47.9902740795209</v>
      </c>
      <c r="AH2052" s="127">
        <v>13.5538178267574</v>
      </c>
      <c r="AI2052" s="115" t="s">
        <v>12383</v>
      </c>
      <c r="AJ2052" s="116">
        <v>0.57</v>
      </c>
      <c r="AK2052" s="117"/>
      <c r="AL2052" s="117"/>
      <c r="AM2052" s="117"/>
      <c r="AN2052" s="117"/>
      <c r="AO2052" s="117"/>
    </row>
    <row r="2053" ht="34.5" customHeight="1">
      <c r="A2053" s="111">
        <v>2768.0</v>
      </c>
      <c r="B2053" s="111" t="s">
        <v>10053</v>
      </c>
      <c r="C2053" s="111" t="s">
        <v>8001</v>
      </c>
      <c r="D2053" s="111">
        <v>2026.0</v>
      </c>
      <c r="E2053" s="111"/>
      <c r="F2053" s="111" t="s">
        <v>12393</v>
      </c>
      <c r="G2053" s="111" t="s">
        <v>12224</v>
      </c>
      <c r="H2053" s="111"/>
      <c r="I2053" s="111" t="s">
        <v>12394</v>
      </c>
      <c r="J2053" s="111" t="s">
        <v>12295</v>
      </c>
      <c r="K2053" s="111" t="s">
        <v>174</v>
      </c>
      <c r="L2053" s="111"/>
      <c r="M2053" s="111">
        <v>1.0</v>
      </c>
      <c r="N2053" s="111"/>
      <c r="O2053" s="111"/>
      <c r="P2053" s="111"/>
      <c r="Q2053" s="111"/>
      <c r="R2053" s="111"/>
      <c r="S2053" s="111"/>
      <c r="T2053" s="111"/>
      <c r="U2053" s="111"/>
      <c r="V2053" s="111"/>
      <c r="W2053" s="111"/>
      <c r="X2053" s="111"/>
      <c r="Y2053" s="111"/>
      <c r="Z2053" s="111" t="s">
        <v>15077</v>
      </c>
      <c r="AA2053" s="124">
        <v>150.0</v>
      </c>
      <c r="AB2053" s="125">
        <f>IF(Projects!$AI2053="Electrolysis",
AA2053/VLOOKUP(G2053,ElectrolysisConvF,3,FALSE),
AC2053*10^6/(H2dens*HoursInYear))</f>
        <v>32608.69565</v>
      </c>
      <c r="AC2053" s="126">
        <f t="shared" si="390"/>
        <v>25.42304348</v>
      </c>
      <c r="AD2053" s="125"/>
      <c r="AE2053" s="125">
        <f t="shared" si="383"/>
        <v>32608.69565</v>
      </c>
      <c r="AF2053" s="127" t="s">
        <v>15078</v>
      </c>
      <c r="AG2053" s="127">
        <v>38.3157749991014</v>
      </c>
      <c r="AH2053" s="127">
        <v>116.835802710577</v>
      </c>
      <c r="AI2053" s="115" t="s">
        <v>12383</v>
      </c>
      <c r="AJ2053" s="116">
        <v>0.5</v>
      </c>
      <c r="AK2053" s="158"/>
      <c r="AL2053" s="158"/>
      <c r="AM2053" s="158"/>
      <c r="AN2053" s="158"/>
      <c r="AO2053" s="158"/>
    </row>
    <row r="2054" ht="34.5" customHeight="1">
      <c r="A2054" s="111">
        <v>2770.0</v>
      </c>
      <c r="B2054" s="111" t="s">
        <v>10054</v>
      </c>
      <c r="C2054" s="111" t="s">
        <v>8891</v>
      </c>
      <c r="D2054" s="111"/>
      <c r="E2054" s="111"/>
      <c r="F2054" s="111" t="s">
        <v>12399</v>
      </c>
      <c r="G2054" s="111" t="s">
        <v>12381</v>
      </c>
      <c r="H2054" s="111" t="s">
        <v>12230</v>
      </c>
      <c r="I2054" s="111" t="s">
        <v>12394</v>
      </c>
      <c r="J2054" s="111" t="s">
        <v>12291</v>
      </c>
      <c r="K2054" s="111" t="s">
        <v>30</v>
      </c>
      <c r="L2054" s="111"/>
      <c r="M2054" s="111"/>
      <c r="N2054" s="111"/>
      <c r="O2054" s="111"/>
      <c r="P2054" s="111"/>
      <c r="Q2054" s="111"/>
      <c r="R2054" s="111">
        <v>1.0</v>
      </c>
      <c r="S2054" s="111"/>
      <c r="T2054" s="111"/>
      <c r="U2054" s="111"/>
      <c r="V2054" s="111"/>
      <c r="W2054" s="111"/>
      <c r="X2054" s="111"/>
      <c r="Y2054" s="111"/>
      <c r="Z2054" s="111" t="s">
        <v>15079</v>
      </c>
      <c r="AA2054" s="124">
        <v>64.0</v>
      </c>
      <c r="AB2054" s="125">
        <f>IF(Projects!$AI2054="Electrolysis",
AA2054/VLOOKUP(G2054,ElectrolysisConvF,3,FALSE),
AC2054*10^6/(H2dens*HoursInYear))</f>
        <v>14222.22222</v>
      </c>
      <c r="AC2054" s="126">
        <f t="shared" si="390"/>
        <v>11.08821333</v>
      </c>
      <c r="AD2054" s="125"/>
      <c r="AE2054" s="125">
        <f t="shared" si="383"/>
        <v>14222.22222</v>
      </c>
      <c r="AF2054" s="127" t="s">
        <v>15080</v>
      </c>
      <c r="AG2054" s="127">
        <v>39.1092693405338</v>
      </c>
      <c r="AH2054" s="127">
        <v>22.2829454565787</v>
      </c>
      <c r="AI2054" s="115" t="s">
        <v>12383</v>
      </c>
      <c r="AJ2054" s="116">
        <v>0.3</v>
      </c>
      <c r="AK2054" s="117"/>
      <c r="AL2054" s="117"/>
      <c r="AM2054" s="117"/>
      <c r="AN2054" s="117"/>
      <c r="AO2054" s="117"/>
    </row>
    <row r="2055" ht="34.5" customHeight="1">
      <c r="A2055" s="111">
        <v>2771.0</v>
      </c>
      <c r="B2055" s="111" t="s">
        <v>10055</v>
      </c>
      <c r="C2055" s="111" t="s">
        <v>10056</v>
      </c>
      <c r="D2055" s="111">
        <v>2029.0</v>
      </c>
      <c r="E2055" s="111"/>
      <c r="F2055" s="111" t="s">
        <v>12399</v>
      </c>
      <c r="G2055" s="111" t="s">
        <v>12381</v>
      </c>
      <c r="H2055" s="111" t="s">
        <v>12230</v>
      </c>
      <c r="I2055" s="111" t="s">
        <v>12394</v>
      </c>
      <c r="J2055" s="111" t="s">
        <v>12291</v>
      </c>
      <c r="K2055" s="111" t="s">
        <v>30</v>
      </c>
      <c r="L2055" s="111"/>
      <c r="M2055" s="111"/>
      <c r="N2055" s="111"/>
      <c r="O2055" s="111"/>
      <c r="P2055" s="111"/>
      <c r="Q2055" s="111"/>
      <c r="R2055" s="111">
        <v>1.0</v>
      </c>
      <c r="S2055" s="111"/>
      <c r="T2055" s="111"/>
      <c r="U2055" s="111"/>
      <c r="V2055" s="111"/>
      <c r="W2055" s="111"/>
      <c r="X2055" s="111"/>
      <c r="Y2055" s="111"/>
      <c r="Z2055" s="111" t="s">
        <v>12802</v>
      </c>
      <c r="AA2055" s="124">
        <v>30.0</v>
      </c>
      <c r="AB2055" s="125">
        <f>IF(Projects!$AI2055="Electrolysis",
AA2055/VLOOKUP(G2055,ElectrolysisConvF,3,FALSE),
AC2055*10^6/(H2dens*HoursInYear))</f>
        <v>6666.666667</v>
      </c>
      <c r="AC2055" s="126">
        <f t="shared" si="390"/>
        <v>5.1976</v>
      </c>
      <c r="AD2055" s="125"/>
      <c r="AE2055" s="125">
        <f t="shared" si="383"/>
        <v>6666.666667</v>
      </c>
      <c r="AF2055" s="127" t="s">
        <v>15080</v>
      </c>
      <c r="AG2055" s="127">
        <v>35.0645569027904</v>
      </c>
      <c r="AH2055" s="127">
        <v>33.0039068969373</v>
      </c>
      <c r="AI2055" s="115" t="s">
        <v>12383</v>
      </c>
      <c r="AJ2055" s="116">
        <v>0.3</v>
      </c>
      <c r="AK2055" s="117"/>
      <c r="AL2055" s="117"/>
      <c r="AM2055" s="117"/>
      <c r="AN2055" s="117"/>
      <c r="AO2055" s="117"/>
    </row>
    <row r="2056" ht="34.5" customHeight="1">
      <c r="A2056" s="111">
        <v>2772.0</v>
      </c>
      <c r="B2056" s="111" t="s">
        <v>10057</v>
      </c>
      <c r="C2056" s="111" t="s">
        <v>8891</v>
      </c>
      <c r="D2056" s="111">
        <v>2030.0</v>
      </c>
      <c r="E2056" s="111"/>
      <c r="F2056" s="111" t="s">
        <v>12399</v>
      </c>
      <c r="G2056" s="111" t="s">
        <v>12381</v>
      </c>
      <c r="H2056" s="111" t="s">
        <v>12230</v>
      </c>
      <c r="I2056" s="111" t="s">
        <v>12394</v>
      </c>
      <c r="J2056" s="111" t="s">
        <v>12291</v>
      </c>
      <c r="K2056" s="111" t="s">
        <v>30</v>
      </c>
      <c r="L2056" s="111"/>
      <c r="M2056" s="111"/>
      <c r="N2056" s="111"/>
      <c r="O2056" s="111"/>
      <c r="P2056" s="111"/>
      <c r="Q2056" s="111"/>
      <c r="R2056" s="111">
        <v>1.0</v>
      </c>
      <c r="S2056" s="111"/>
      <c r="T2056" s="111"/>
      <c r="U2056" s="111"/>
      <c r="V2056" s="111"/>
      <c r="W2056" s="111"/>
      <c r="X2056" s="111"/>
      <c r="Y2056" s="111"/>
      <c r="Z2056" s="111" t="s">
        <v>12768</v>
      </c>
      <c r="AA2056" s="124">
        <v>50.0</v>
      </c>
      <c r="AB2056" s="125">
        <f>IF(Projects!$AI2056="Electrolysis",
AA2056/VLOOKUP(G2056,ElectrolysisConvF,3,FALSE),
AC2056*10^6/(H2dens*HoursInYear))</f>
        <v>11111.11111</v>
      </c>
      <c r="AC2056" s="126">
        <f t="shared" si="390"/>
        <v>8.662666667</v>
      </c>
      <c r="AD2056" s="125"/>
      <c r="AE2056" s="125">
        <f t="shared" si="383"/>
        <v>11111.11111</v>
      </c>
      <c r="AF2056" s="127" t="s">
        <v>15080</v>
      </c>
      <c r="AG2056" s="127">
        <v>-0.7569626596454</v>
      </c>
      <c r="AH2056" s="127">
        <v>37.8116221331877</v>
      </c>
      <c r="AI2056" s="115" t="s">
        <v>12383</v>
      </c>
      <c r="AJ2056" s="116">
        <v>0.3</v>
      </c>
      <c r="AK2056" s="117"/>
      <c r="AL2056" s="117"/>
      <c r="AM2056" s="117"/>
      <c r="AN2056" s="117"/>
      <c r="AO2056" s="117"/>
    </row>
    <row r="2057" ht="34.5" customHeight="1">
      <c r="A2057" s="111">
        <v>2773.0</v>
      </c>
      <c r="B2057" s="111" t="s">
        <v>10058</v>
      </c>
      <c r="C2057" s="111" t="s">
        <v>8047</v>
      </c>
      <c r="D2057" s="111"/>
      <c r="E2057" s="111"/>
      <c r="F2057" s="111" t="s">
        <v>12397</v>
      </c>
      <c r="G2057" s="111" t="s">
        <v>12381</v>
      </c>
      <c r="H2057" s="111" t="s">
        <v>12230</v>
      </c>
      <c r="I2057" s="111" t="s">
        <v>12287</v>
      </c>
      <c r="J2057" s="111"/>
      <c r="K2057" s="111" t="s">
        <v>30</v>
      </c>
      <c r="L2057" s="111"/>
      <c r="M2057" s="111"/>
      <c r="N2057" s="111"/>
      <c r="O2057" s="111"/>
      <c r="P2057" s="111">
        <v>1.0</v>
      </c>
      <c r="Q2057" s="111"/>
      <c r="R2057" s="111"/>
      <c r="S2057" s="111"/>
      <c r="T2057" s="111"/>
      <c r="U2057" s="111"/>
      <c r="V2057" s="111"/>
      <c r="W2057" s="111"/>
      <c r="X2057" s="111"/>
      <c r="Y2057" s="111"/>
      <c r="Z2057" s="111" t="s">
        <v>12709</v>
      </c>
      <c r="AA2057" s="124">
        <v>100.0</v>
      </c>
      <c r="AB2057" s="125">
        <f>IF(Projects!$AI2057="Electrolysis",
AA2057/VLOOKUP(G2057,ElectrolysisConvF,3,FALSE),
AC2057*10^6/(H2dens*HoursInYear))</f>
        <v>22222.22222</v>
      </c>
      <c r="AC2057" s="126">
        <f t="shared" si="390"/>
        <v>17.32533333</v>
      </c>
      <c r="AD2057" s="125"/>
      <c r="AE2057" s="125">
        <f t="shared" si="383"/>
        <v>22222.22222</v>
      </c>
      <c r="AF2057" s="127" t="s">
        <v>15081</v>
      </c>
      <c r="AG2057" s="127">
        <v>37.2010525323687</v>
      </c>
      <c r="AH2057" s="127">
        <v>15.1834646537126</v>
      </c>
      <c r="AI2057" s="115" t="s">
        <v>12383</v>
      </c>
      <c r="AJ2057" s="116">
        <v>0.57</v>
      </c>
      <c r="AK2057" s="117"/>
      <c r="AL2057" s="117"/>
      <c r="AM2057" s="117"/>
      <c r="AN2057" s="117"/>
      <c r="AO2057" s="117"/>
    </row>
    <row r="2058" ht="34.5" customHeight="1">
      <c r="A2058" s="111">
        <v>2774.0</v>
      </c>
      <c r="B2058" s="111" t="s">
        <v>10059</v>
      </c>
      <c r="C2058" s="111" t="s">
        <v>7981</v>
      </c>
      <c r="D2058" s="111"/>
      <c r="E2058" s="111"/>
      <c r="F2058" s="111" t="s">
        <v>12397</v>
      </c>
      <c r="G2058" s="111" t="s">
        <v>12226</v>
      </c>
      <c r="H2058" s="111"/>
      <c r="I2058" s="111" t="s">
        <v>12394</v>
      </c>
      <c r="J2058" s="111" t="s">
        <v>12291</v>
      </c>
      <c r="K2058" s="111" t="s">
        <v>30</v>
      </c>
      <c r="L2058" s="111"/>
      <c r="M2058" s="111"/>
      <c r="N2058" s="111"/>
      <c r="O2058" s="111"/>
      <c r="P2058" s="111"/>
      <c r="Q2058" s="111">
        <v>1.0</v>
      </c>
      <c r="R2058" s="111"/>
      <c r="S2058" s="111"/>
      <c r="T2058" s="111"/>
      <c r="U2058" s="111"/>
      <c r="V2058" s="111"/>
      <c r="W2058" s="111"/>
      <c r="X2058" s="111"/>
      <c r="Y2058" s="111"/>
      <c r="Z2058" s="111" t="s">
        <v>12603</v>
      </c>
      <c r="AA2058" s="124">
        <v>5.0</v>
      </c>
      <c r="AB2058" s="125">
        <f>IF(Projects!$AI2058="Electrolysis",
AA2058/VLOOKUP(G2058,ElectrolysisConvF,3,FALSE),
AC2058*10^6/(H2dens*HoursInYear))</f>
        <v>961.5384615</v>
      </c>
      <c r="AC2058" s="126">
        <f t="shared" si="390"/>
        <v>0.7496538462</v>
      </c>
      <c r="AD2058" s="125"/>
      <c r="AE2058" s="125"/>
      <c r="AF2058" s="127" t="s">
        <v>15082</v>
      </c>
      <c r="AG2058" s="127">
        <v>35.6215001494353</v>
      </c>
      <c r="AH2058" s="127">
        <v>-119.688908493561</v>
      </c>
      <c r="AI2058" s="115" t="s">
        <v>12383</v>
      </c>
      <c r="AJ2058" s="116">
        <v>0.3</v>
      </c>
      <c r="AK2058" s="117"/>
      <c r="AL2058" s="117"/>
      <c r="AM2058" s="117"/>
      <c r="AN2058" s="117"/>
      <c r="AO2058" s="117"/>
    </row>
    <row r="2059" ht="34.5" customHeight="1">
      <c r="A2059" s="111">
        <v>2775.0</v>
      </c>
      <c r="B2059" s="111" t="s">
        <v>10060</v>
      </c>
      <c r="C2059" s="111" t="s">
        <v>7977</v>
      </c>
      <c r="D2059" s="111">
        <v>2028.0</v>
      </c>
      <c r="E2059" s="111"/>
      <c r="F2059" s="111" t="s">
        <v>12399</v>
      </c>
      <c r="G2059" s="111" t="s">
        <v>12381</v>
      </c>
      <c r="H2059" s="111" t="s">
        <v>12230</v>
      </c>
      <c r="I2059" s="111" t="s">
        <v>12394</v>
      </c>
      <c r="J2059" s="111" t="s">
        <v>12295</v>
      </c>
      <c r="K2059" s="111" t="s">
        <v>30</v>
      </c>
      <c r="L2059" s="111"/>
      <c r="M2059" s="111"/>
      <c r="N2059" s="111"/>
      <c r="O2059" s="111"/>
      <c r="P2059" s="111"/>
      <c r="Q2059" s="111"/>
      <c r="R2059" s="111"/>
      <c r="S2059" s="111"/>
      <c r="T2059" s="111"/>
      <c r="U2059" s="111"/>
      <c r="V2059" s="111"/>
      <c r="W2059" s="111">
        <v>1.0</v>
      </c>
      <c r="X2059" s="111"/>
      <c r="Y2059" s="111"/>
      <c r="Z2059" s="111" t="s">
        <v>15083</v>
      </c>
      <c r="AA2059" s="126">
        <f>IF(Projects!$AI2059="Electrolysis",
AB2059*VLOOKUP(G2059,ElectrolysisConvF,3,FALSE),
"")</f>
        <v>207.7882099</v>
      </c>
      <c r="AB2059" s="125">
        <f>AC2059/(H2dens*HoursInYear/10^6)</f>
        <v>46175.15777</v>
      </c>
      <c r="AC2059" s="125">
        <f>18/Projects!$AJ2059</f>
        <v>36</v>
      </c>
      <c r="AD2059" s="125"/>
      <c r="AE2059" s="125">
        <f>IF(AND(G2059&lt;&gt;"NG w CCUS",G2059&lt;&gt;"Oil w CCUS",G2059&lt;&gt;"Coal w CCUS"),AB2059,AD2059*10^3/(HoursInYear*IF(G2059="NG w CCUS",0.9105,1.9075)))</f>
        <v>46175.15777</v>
      </c>
      <c r="AF2059" s="127" t="s">
        <v>15084</v>
      </c>
      <c r="AG2059" s="127">
        <v>41.817438704712</v>
      </c>
      <c r="AH2059" s="127">
        <v>-2.44460852225901</v>
      </c>
      <c r="AI2059" s="115" t="s">
        <v>12383</v>
      </c>
      <c r="AJ2059" s="116">
        <v>0.5</v>
      </c>
      <c r="AK2059" s="117"/>
      <c r="AL2059" s="117"/>
      <c r="AM2059" s="117"/>
      <c r="AN2059" s="117"/>
      <c r="AO2059" s="117"/>
    </row>
    <row r="2060" ht="34.5" customHeight="1">
      <c r="A2060" s="111">
        <v>2776.0</v>
      </c>
      <c r="B2060" s="111" t="s">
        <v>10061</v>
      </c>
      <c r="C2060" s="111" t="s">
        <v>8087</v>
      </c>
      <c r="D2060" s="111">
        <v>2025.0</v>
      </c>
      <c r="E2060" s="111"/>
      <c r="F2060" s="111" t="s">
        <v>12418</v>
      </c>
      <c r="G2060" s="111" t="s">
        <v>13638</v>
      </c>
      <c r="H2060" s="111"/>
      <c r="I2060" s="111" t="s">
        <v>12287</v>
      </c>
      <c r="J2060" s="111"/>
      <c r="K2060" s="111" t="s">
        <v>30</v>
      </c>
      <c r="L2060" s="111"/>
      <c r="M2060" s="111"/>
      <c r="N2060" s="111"/>
      <c r="O2060" s="111"/>
      <c r="P2060" s="111"/>
      <c r="Q2060" s="111"/>
      <c r="R2060" s="111"/>
      <c r="S2060" s="111"/>
      <c r="T2060" s="111"/>
      <c r="U2060" s="111"/>
      <c r="V2060" s="111"/>
      <c r="W2060" s="111"/>
      <c r="X2060" s="111"/>
      <c r="Y2060" s="111"/>
      <c r="Z2060" s="111"/>
      <c r="AA2060" s="124"/>
      <c r="AB2060" s="125"/>
      <c r="AC2060" s="125"/>
      <c r="AD2060" s="125"/>
      <c r="AE2060" s="125"/>
      <c r="AF2060" s="127" t="s">
        <v>15085</v>
      </c>
      <c r="AG2060" s="127">
        <v>51.2410643042794</v>
      </c>
      <c r="AH2060" s="127">
        <v>4.40442803559651</v>
      </c>
      <c r="AI2060" s="115" t="s">
        <v>12383</v>
      </c>
      <c r="AJ2060" s="116">
        <v>0.57</v>
      </c>
      <c r="AK2060" s="117"/>
      <c r="AL2060" s="117"/>
      <c r="AM2060" s="117"/>
      <c r="AN2060" s="117"/>
      <c r="AO2060" s="117"/>
    </row>
    <row r="2061" ht="34.5" customHeight="1">
      <c r="A2061" s="111">
        <v>2777.0</v>
      </c>
      <c r="B2061" s="111" t="s">
        <v>10062</v>
      </c>
      <c r="C2061" s="111" t="s">
        <v>8161</v>
      </c>
      <c r="D2061" s="111">
        <v>2029.0</v>
      </c>
      <c r="E2061" s="111"/>
      <c r="F2061" s="111" t="s">
        <v>12418</v>
      </c>
      <c r="G2061" s="111" t="s">
        <v>12381</v>
      </c>
      <c r="H2061" s="111" t="s">
        <v>12230</v>
      </c>
      <c r="I2061" s="111" t="s">
        <v>12287</v>
      </c>
      <c r="J2061" s="111"/>
      <c r="K2061" s="111" t="s">
        <v>30</v>
      </c>
      <c r="L2061" s="111"/>
      <c r="M2061" s="111"/>
      <c r="N2061" s="111"/>
      <c r="O2061" s="111"/>
      <c r="P2061" s="111"/>
      <c r="Q2061" s="111"/>
      <c r="R2061" s="111"/>
      <c r="S2061" s="111"/>
      <c r="T2061" s="111"/>
      <c r="U2061" s="111"/>
      <c r="V2061" s="111"/>
      <c r="W2061" s="111"/>
      <c r="X2061" s="111"/>
      <c r="Y2061" s="111"/>
      <c r="Z2061" s="111" t="s">
        <v>15086</v>
      </c>
      <c r="AA2061" s="124">
        <v>11.0</v>
      </c>
      <c r="AB2061" s="125">
        <f>IF(Projects!$AI2061="Electrolysis",
AA2061/VLOOKUP(G2060,ElectrolysisConvF,3,FALSE),
AC2061*10^6/(H2dens*HoursInYear))</f>
        <v>2444.444444</v>
      </c>
      <c r="AC2061" s="126">
        <f t="shared" ref="AC2061:AC2066" si="391">AB2061*H2dens*HoursInYear/10^6</f>
        <v>1.905786667</v>
      </c>
      <c r="AD2061" s="125"/>
      <c r="AE2061" s="125">
        <f>IF(AND(G2060&lt;&gt;"NG w CCUS",G2060&lt;&gt;"Oil w CCUS",G2060&lt;&gt;"Coal w CCUS"),AB2061,AD2060*10^3/(HoursInYear*IF(G2060="NG w CCUS",0.9105,1.9075)))</f>
        <v>2444.444444</v>
      </c>
      <c r="AF2061" s="127" t="s">
        <v>15087</v>
      </c>
      <c r="AG2061" s="127">
        <v>38.5705965982953</v>
      </c>
      <c r="AH2061" s="127">
        <v>-7.91444660175755</v>
      </c>
      <c r="AI2061" s="115" t="s">
        <v>12383</v>
      </c>
      <c r="AJ2061" s="116">
        <v>0.57</v>
      </c>
      <c r="AK2061" s="117"/>
      <c r="AL2061" s="117"/>
      <c r="AM2061" s="117"/>
      <c r="AN2061" s="117"/>
      <c r="AO2061" s="117"/>
    </row>
    <row r="2062" ht="34.5" customHeight="1">
      <c r="A2062" s="111">
        <v>2778.0</v>
      </c>
      <c r="B2062" s="111" t="s">
        <v>10063</v>
      </c>
      <c r="C2062" s="111" t="s">
        <v>8590</v>
      </c>
      <c r="D2062" s="111">
        <v>2025.0</v>
      </c>
      <c r="E2062" s="111"/>
      <c r="F2062" s="111" t="s">
        <v>12393</v>
      </c>
      <c r="G2062" s="111" t="s">
        <v>12224</v>
      </c>
      <c r="H2062" s="111"/>
      <c r="I2062" s="111" t="s">
        <v>12406</v>
      </c>
      <c r="J2062" s="111"/>
      <c r="K2062" s="111" t="s">
        <v>30</v>
      </c>
      <c r="L2062" s="111"/>
      <c r="M2062" s="111"/>
      <c r="N2062" s="111"/>
      <c r="O2062" s="111"/>
      <c r="P2062" s="111">
        <v>1.0</v>
      </c>
      <c r="Q2062" s="111"/>
      <c r="R2062" s="111"/>
      <c r="S2062" s="111"/>
      <c r="T2062" s="111"/>
      <c r="U2062" s="111"/>
      <c r="V2062" s="111"/>
      <c r="W2062" s="111"/>
      <c r="X2062" s="111"/>
      <c r="Y2062" s="111"/>
      <c r="Z2062" s="111" t="s">
        <v>12835</v>
      </c>
      <c r="AA2062" s="124">
        <v>5.0</v>
      </c>
      <c r="AB2062" s="125">
        <f>IF(Projects!$AI2062="Electrolysis",
AA2062/VLOOKUP(G2061,ElectrolysisConvF,3,FALSE),
AC2062*10^6/(H2dens*HoursInYear))</f>
        <v>1111.111111</v>
      </c>
      <c r="AC2062" s="126">
        <f t="shared" si="391"/>
        <v>0.8662666667</v>
      </c>
      <c r="AD2062" s="125"/>
      <c r="AE2062" s="125">
        <f t="shared" ref="AE2062:AE2127" si="392">IF(AND(G2062&lt;&gt;"NG w CCUS",G2062&lt;&gt;"Oil w CCUS",G2062&lt;&gt;"Coal w CCUS"),AB2062,AD2062*10^3/(HoursInYear*IF(G2062="NG w CCUS",0.9105,1.9075)))</f>
        <v>1111.111111</v>
      </c>
      <c r="AF2062" s="127" t="s">
        <v>15088</v>
      </c>
      <c r="AG2062" s="127">
        <v>-23.3047883523186</v>
      </c>
      <c r="AH2062" s="127">
        <v>-45.9892649909943</v>
      </c>
      <c r="AI2062" s="115" t="s">
        <v>12383</v>
      </c>
      <c r="AJ2062" s="116">
        <v>0.57</v>
      </c>
      <c r="AK2062" s="117"/>
      <c r="AL2062" s="117"/>
      <c r="AM2062" s="117"/>
      <c r="AN2062" s="117"/>
      <c r="AO2062" s="117"/>
    </row>
    <row r="2063" ht="34.5" customHeight="1">
      <c r="A2063" s="111">
        <v>2779.0</v>
      </c>
      <c r="B2063" s="111" t="s">
        <v>10064</v>
      </c>
      <c r="C2063" s="111" t="s">
        <v>8011</v>
      </c>
      <c r="D2063" s="111">
        <v>2024.0</v>
      </c>
      <c r="E2063" s="111"/>
      <c r="F2063" s="111" t="s">
        <v>12393</v>
      </c>
      <c r="G2063" s="111" t="s">
        <v>12381</v>
      </c>
      <c r="H2063" s="111" t="s">
        <v>12230</v>
      </c>
      <c r="I2063" s="111" t="s">
        <v>12406</v>
      </c>
      <c r="J2063" s="111"/>
      <c r="K2063" s="111" t="s">
        <v>30</v>
      </c>
      <c r="L2063" s="111"/>
      <c r="M2063" s="111"/>
      <c r="N2063" s="111"/>
      <c r="O2063" s="111"/>
      <c r="P2063" s="111">
        <v>1.0</v>
      </c>
      <c r="Q2063" s="111">
        <v>1.0</v>
      </c>
      <c r="R2063" s="111"/>
      <c r="S2063" s="111"/>
      <c r="T2063" s="111"/>
      <c r="U2063" s="111"/>
      <c r="V2063" s="111"/>
      <c r="W2063" s="111"/>
      <c r="X2063" s="111"/>
      <c r="Y2063" s="111"/>
      <c r="Z2063" s="111" t="s">
        <v>15089</v>
      </c>
      <c r="AA2063" s="124">
        <v>1.5</v>
      </c>
      <c r="AB2063" s="125">
        <f>IF(Projects!$AI2063="Electrolysis",
AA2063/VLOOKUP(G2063,ElectrolysisConvF,3,FALSE),
AC2063*10^6/(H2dens*HoursInYear))</f>
        <v>333.3333333</v>
      </c>
      <c r="AC2063" s="126">
        <f t="shared" si="391"/>
        <v>0.25988</v>
      </c>
      <c r="AD2063" s="125"/>
      <c r="AE2063" s="125">
        <f t="shared" si="392"/>
        <v>333.3333333</v>
      </c>
      <c r="AF2063" s="127" t="s">
        <v>15090</v>
      </c>
      <c r="AG2063" s="127">
        <v>49.154152</v>
      </c>
      <c r="AH2063" s="127">
        <v>6.705371</v>
      </c>
      <c r="AI2063" s="115" t="s">
        <v>12383</v>
      </c>
      <c r="AJ2063" s="116">
        <v>0.57</v>
      </c>
      <c r="AK2063" s="117"/>
      <c r="AL2063" s="117"/>
      <c r="AM2063" s="117"/>
      <c r="AN2063" s="117"/>
      <c r="AO2063" s="117"/>
    </row>
    <row r="2064" ht="34.5" customHeight="1">
      <c r="A2064" s="111">
        <v>2780.0</v>
      </c>
      <c r="B2064" s="111" t="s">
        <v>10065</v>
      </c>
      <c r="C2064" s="111" t="s">
        <v>8011</v>
      </c>
      <c r="D2064" s="111">
        <v>2024.0</v>
      </c>
      <c r="E2064" s="111"/>
      <c r="F2064" s="111" t="s">
        <v>12385</v>
      </c>
      <c r="G2064" s="111" t="s">
        <v>12381</v>
      </c>
      <c r="H2064" s="111" t="s">
        <v>12230</v>
      </c>
      <c r="I2064" s="111" t="s">
        <v>12394</v>
      </c>
      <c r="J2064" s="111" t="s">
        <v>12291</v>
      </c>
      <c r="K2064" s="111" t="s">
        <v>30</v>
      </c>
      <c r="L2064" s="111"/>
      <c r="M2064" s="111"/>
      <c r="N2064" s="111"/>
      <c r="O2064" s="111"/>
      <c r="P2064" s="111">
        <v>1.0</v>
      </c>
      <c r="Q2064" s="111"/>
      <c r="R2064" s="111"/>
      <c r="S2064" s="111"/>
      <c r="T2064" s="111"/>
      <c r="U2064" s="111"/>
      <c r="V2064" s="111"/>
      <c r="W2064" s="111"/>
      <c r="X2064" s="111">
        <v>1.0</v>
      </c>
      <c r="Y2064" s="111">
        <v>1.0</v>
      </c>
      <c r="Z2064" s="111" t="s">
        <v>12446</v>
      </c>
      <c r="AA2064" s="124">
        <v>4.0</v>
      </c>
      <c r="AB2064" s="125">
        <f>IF(Projects!$AI2064="Electrolysis",
AA2064/VLOOKUP(G2064,ElectrolysisConvF,3,FALSE),
AC2064*10^6/(H2dens*HoursInYear))</f>
        <v>888.8888889</v>
      </c>
      <c r="AC2064" s="126">
        <f t="shared" si="391"/>
        <v>0.6930133333</v>
      </c>
      <c r="AD2064" s="125"/>
      <c r="AE2064" s="125">
        <f t="shared" si="392"/>
        <v>888.8888889</v>
      </c>
      <c r="AF2064" s="127"/>
      <c r="AG2064" s="127">
        <v>45.1726447212503</v>
      </c>
      <c r="AH2064" s="127">
        <v>-0.225200416111762</v>
      </c>
      <c r="AI2064" s="115" t="s">
        <v>12383</v>
      </c>
      <c r="AJ2064" s="116">
        <v>0.3</v>
      </c>
      <c r="AK2064" s="117"/>
      <c r="AL2064" s="117"/>
      <c r="AM2064" s="117"/>
      <c r="AN2064" s="117"/>
      <c r="AO2064" s="117"/>
    </row>
    <row r="2065" ht="34.5" customHeight="1">
      <c r="A2065" s="111">
        <v>2781.0</v>
      </c>
      <c r="B2065" s="111" t="s">
        <v>10066</v>
      </c>
      <c r="C2065" s="111" t="s">
        <v>8011</v>
      </c>
      <c r="D2065" s="111">
        <v>2024.0</v>
      </c>
      <c r="E2065" s="111"/>
      <c r="F2065" s="111" t="s">
        <v>12393</v>
      </c>
      <c r="G2065" s="111" t="s">
        <v>12381</v>
      </c>
      <c r="H2065" s="111" t="s">
        <v>12230</v>
      </c>
      <c r="I2065" s="111" t="s">
        <v>12287</v>
      </c>
      <c r="J2065" s="111"/>
      <c r="K2065" s="111" t="s">
        <v>30</v>
      </c>
      <c r="L2065" s="111"/>
      <c r="M2065" s="111"/>
      <c r="N2065" s="111"/>
      <c r="O2065" s="111"/>
      <c r="P2065" s="111"/>
      <c r="Q2065" s="111">
        <v>1.0</v>
      </c>
      <c r="R2065" s="111"/>
      <c r="S2065" s="111"/>
      <c r="T2065" s="111"/>
      <c r="U2065" s="111"/>
      <c r="V2065" s="111"/>
      <c r="W2065" s="111"/>
      <c r="X2065" s="111"/>
      <c r="Y2065" s="111"/>
      <c r="Z2065" s="111" t="s">
        <v>12413</v>
      </c>
      <c r="AA2065" s="124">
        <v>2.5</v>
      </c>
      <c r="AB2065" s="125">
        <f>IF(Projects!$AI2065="Electrolysis",
AA2065/VLOOKUP(G2065,ElectrolysisConvF,3,FALSE),
AC2065*10^6/(H2dens*HoursInYear))</f>
        <v>555.5555556</v>
      </c>
      <c r="AC2065" s="126">
        <f t="shared" si="391"/>
        <v>0.4331333333</v>
      </c>
      <c r="AD2065" s="125"/>
      <c r="AE2065" s="125">
        <f t="shared" si="392"/>
        <v>555.5555556</v>
      </c>
      <c r="AF2065" s="127"/>
      <c r="AG2065" s="127">
        <v>47.4991757714381</v>
      </c>
      <c r="AH2065" s="127">
        <v>3.90319523320012</v>
      </c>
      <c r="AI2065" s="115" t="s">
        <v>12383</v>
      </c>
      <c r="AJ2065" s="116">
        <v>0.57</v>
      </c>
      <c r="AK2065" s="117"/>
      <c r="AL2065" s="117"/>
      <c r="AM2065" s="117"/>
      <c r="AN2065" s="117"/>
      <c r="AO2065" s="117"/>
    </row>
    <row r="2066" ht="34.5" customHeight="1">
      <c r="A2066" s="111">
        <v>2782.0</v>
      </c>
      <c r="B2066" s="111" t="s">
        <v>10067</v>
      </c>
      <c r="C2066" s="111" t="s">
        <v>8011</v>
      </c>
      <c r="D2066" s="111">
        <v>2024.0</v>
      </c>
      <c r="E2066" s="111"/>
      <c r="F2066" s="111" t="s">
        <v>12393</v>
      </c>
      <c r="G2066" s="111" t="s">
        <v>12381</v>
      </c>
      <c r="H2066" s="111" t="s">
        <v>12230</v>
      </c>
      <c r="I2066" s="111" t="s">
        <v>12287</v>
      </c>
      <c r="J2066" s="111"/>
      <c r="K2066" s="111" t="s">
        <v>30</v>
      </c>
      <c r="L2066" s="111"/>
      <c r="M2066" s="111"/>
      <c r="N2066" s="111"/>
      <c r="O2066" s="111"/>
      <c r="P2066" s="111"/>
      <c r="Q2066" s="111">
        <v>1.0</v>
      </c>
      <c r="R2066" s="111"/>
      <c r="S2066" s="111"/>
      <c r="T2066" s="111"/>
      <c r="U2066" s="111"/>
      <c r="V2066" s="111"/>
      <c r="W2066" s="111"/>
      <c r="X2066" s="111"/>
      <c r="Y2066" s="111"/>
      <c r="Z2066" s="111" t="s">
        <v>15091</v>
      </c>
      <c r="AA2066" s="124">
        <v>5.0</v>
      </c>
      <c r="AB2066" s="125">
        <f>IF(Projects!$AI2066="Electrolysis",
AA2066/VLOOKUP(G2066,ElectrolysisConvF,3,FALSE),
AC2066*10^6/(H2dens*HoursInYear))</f>
        <v>1111.111111</v>
      </c>
      <c r="AC2066" s="126">
        <f t="shared" si="391"/>
        <v>0.8662666667</v>
      </c>
      <c r="AD2066" s="125"/>
      <c r="AE2066" s="125">
        <f t="shared" si="392"/>
        <v>1111.111111</v>
      </c>
      <c r="AF2066" s="127" t="s">
        <v>15092</v>
      </c>
      <c r="AG2066" s="127">
        <v>47.3908707572371</v>
      </c>
      <c r="AH2066" s="127">
        <v>0.654220571005365</v>
      </c>
      <c r="AI2066" s="115" t="s">
        <v>12383</v>
      </c>
      <c r="AJ2066" s="116">
        <v>0.57</v>
      </c>
      <c r="AK2066" s="117"/>
      <c r="AL2066" s="117"/>
      <c r="AM2066" s="117"/>
      <c r="AN2066" s="117"/>
      <c r="AO2066" s="117"/>
    </row>
    <row r="2067" ht="34.5" customHeight="1">
      <c r="A2067" s="111">
        <v>2783.0</v>
      </c>
      <c r="B2067" s="111" t="s">
        <v>10068</v>
      </c>
      <c r="C2067" s="111" t="s">
        <v>8001</v>
      </c>
      <c r="D2067" s="111"/>
      <c r="E2067" s="111"/>
      <c r="F2067" s="111" t="s">
        <v>12393</v>
      </c>
      <c r="G2067" s="111" t="s">
        <v>12381</v>
      </c>
      <c r="H2067" s="111" t="s">
        <v>12230</v>
      </c>
      <c r="I2067" s="111" t="s">
        <v>12394</v>
      </c>
      <c r="J2067" s="111" t="s">
        <v>12295</v>
      </c>
      <c r="K2067" s="111" t="s">
        <v>12415</v>
      </c>
      <c r="L2067" s="111"/>
      <c r="M2067" s="111"/>
      <c r="N2067" s="111">
        <v>1.0</v>
      </c>
      <c r="O2067" s="111"/>
      <c r="P2067" s="111"/>
      <c r="Q2067" s="111"/>
      <c r="R2067" s="111"/>
      <c r="S2067" s="111"/>
      <c r="T2067" s="111"/>
      <c r="U2067" s="111"/>
      <c r="V2067" s="111"/>
      <c r="W2067" s="111"/>
      <c r="X2067" s="111"/>
      <c r="Y2067" s="111"/>
      <c r="Z2067" s="111" t="s">
        <v>14915</v>
      </c>
      <c r="AA2067" s="126">
        <f>IF(Projects!$AI2067="Electrolysis",
AB2067*VLOOKUP(G2067,ElectrolysisConvF,3,FALSE),
"")</f>
        <v>662.5915807</v>
      </c>
      <c r="AB2067" s="125">
        <f>AC2067/(H2dens*HoursInYear/10^6)</f>
        <v>147242.5735</v>
      </c>
      <c r="AC2067" s="125">
        <f>300*0.191327/Projects!$AJ2067</f>
        <v>114.7962</v>
      </c>
      <c r="AD2067" s="125"/>
      <c r="AE2067" s="125">
        <f t="shared" si="392"/>
        <v>147242.5735</v>
      </c>
      <c r="AF2067" s="127" t="s">
        <v>15093</v>
      </c>
      <c r="AG2067" s="127">
        <v>42.8780165283717</v>
      </c>
      <c r="AH2067" s="127">
        <v>125.101658793693</v>
      </c>
      <c r="AI2067" s="115" t="s">
        <v>12383</v>
      </c>
      <c r="AJ2067" s="116">
        <v>0.5</v>
      </c>
      <c r="AK2067" s="117"/>
      <c r="AL2067" s="117"/>
      <c r="AM2067" s="117"/>
      <c r="AN2067" s="117"/>
      <c r="AO2067" s="117"/>
    </row>
    <row r="2068" ht="34.5" customHeight="1">
      <c r="A2068" s="111">
        <v>2784.0</v>
      </c>
      <c r="B2068" s="111" t="s">
        <v>10069</v>
      </c>
      <c r="C2068" s="111" t="s">
        <v>8108</v>
      </c>
      <c r="D2068" s="111">
        <v>2024.0</v>
      </c>
      <c r="E2068" s="111"/>
      <c r="F2068" s="111" t="s">
        <v>12385</v>
      </c>
      <c r="G2068" s="111" t="s">
        <v>12226</v>
      </c>
      <c r="H2068" s="111"/>
      <c r="I2068" s="111" t="s">
        <v>12394</v>
      </c>
      <c r="J2068" s="111" t="s">
        <v>12296</v>
      </c>
      <c r="K2068" s="111" t="s">
        <v>30</v>
      </c>
      <c r="L2068" s="111"/>
      <c r="M2068" s="111"/>
      <c r="N2068" s="111"/>
      <c r="O2068" s="111"/>
      <c r="P2068" s="111">
        <v>1.0</v>
      </c>
      <c r="Q2068" s="111"/>
      <c r="R2068" s="111"/>
      <c r="S2068" s="111"/>
      <c r="T2068" s="111"/>
      <c r="U2068" s="111"/>
      <c r="V2068" s="111"/>
      <c r="W2068" s="111"/>
      <c r="X2068" s="111"/>
      <c r="Y2068" s="111"/>
      <c r="Z2068" s="111" t="s">
        <v>12420</v>
      </c>
      <c r="AA2068" s="124">
        <v>1.0</v>
      </c>
      <c r="AB2068" s="125">
        <f>IF(Projects!$AI2068="Electrolysis",
AA2068/VLOOKUP(G2068,ElectrolysisConvF,3,FALSE),
AC2068*10^6/(H2dens*HoursInYear))</f>
        <v>192.3076923</v>
      </c>
      <c r="AC2068" s="126">
        <f t="shared" ref="AC2068:AC2071" si="393">AB2068*H2dens*HoursInYear/10^6</f>
        <v>0.1499307692</v>
      </c>
      <c r="AD2068" s="125"/>
      <c r="AE2068" s="125">
        <f t="shared" si="392"/>
        <v>192.3076923</v>
      </c>
      <c r="AF2068" s="127" t="s">
        <v>14739</v>
      </c>
      <c r="AG2068" s="127">
        <v>21.178604200526</v>
      </c>
      <c r="AH2068" s="127">
        <v>72.6611986243126</v>
      </c>
      <c r="AI2068" s="115" t="s">
        <v>12383</v>
      </c>
      <c r="AJ2068" s="116">
        <v>0.5</v>
      </c>
      <c r="AK2068" s="117"/>
      <c r="AL2068" s="117"/>
      <c r="AM2068" s="117"/>
      <c r="AN2068" s="117"/>
      <c r="AO2068" s="117"/>
    </row>
    <row r="2069" ht="34.5" customHeight="1">
      <c r="A2069" s="111">
        <v>2785.0</v>
      </c>
      <c r="B2069" s="111" t="s">
        <v>10070</v>
      </c>
      <c r="C2069" s="111" t="s">
        <v>8069</v>
      </c>
      <c r="D2069" s="111">
        <v>2028.0</v>
      </c>
      <c r="E2069" s="111"/>
      <c r="F2069" s="111" t="s">
        <v>12399</v>
      </c>
      <c r="G2069" s="111" t="s">
        <v>12224</v>
      </c>
      <c r="H2069" s="111"/>
      <c r="I2069" s="111" t="s">
        <v>12406</v>
      </c>
      <c r="J2069" s="111"/>
      <c r="K2069" s="111" t="s">
        <v>174</v>
      </c>
      <c r="L2069" s="111"/>
      <c r="M2069" s="111">
        <v>1.0</v>
      </c>
      <c r="N2069" s="111"/>
      <c r="O2069" s="111"/>
      <c r="P2069" s="111"/>
      <c r="Q2069" s="111"/>
      <c r="R2069" s="111"/>
      <c r="S2069" s="111"/>
      <c r="T2069" s="111"/>
      <c r="U2069" s="111"/>
      <c r="V2069" s="111"/>
      <c r="W2069" s="111"/>
      <c r="X2069" s="111"/>
      <c r="Y2069" s="111"/>
      <c r="Z2069" s="111" t="s">
        <v>12548</v>
      </c>
      <c r="AA2069" s="124">
        <v>120.0</v>
      </c>
      <c r="AB2069" s="125">
        <f>IF(Projects!$AI2069="Electrolysis",
AA2069/VLOOKUP(G2069,ElectrolysisConvF,3,FALSE),
AC2069*10^6/(H2dens*HoursInYear))</f>
        <v>26086.95652</v>
      </c>
      <c r="AC2069" s="126">
        <f t="shared" si="393"/>
        <v>20.33843478</v>
      </c>
      <c r="AD2069" s="125"/>
      <c r="AE2069" s="125">
        <f t="shared" si="392"/>
        <v>26086.95652</v>
      </c>
      <c r="AF2069" s="127" t="s">
        <v>15094</v>
      </c>
      <c r="AG2069" s="127">
        <v>9.8775675833248</v>
      </c>
      <c r="AH2069" s="127">
        <v>-83.4724941610153</v>
      </c>
      <c r="AI2069" s="115" t="s">
        <v>12383</v>
      </c>
      <c r="AJ2069" s="116">
        <v>0.57</v>
      </c>
      <c r="AK2069" s="117"/>
      <c r="AL2069" s="117"/>
      <c r="AM2069" s="117"/>
      <c r="AN2069" s="117"/>
      <c r="AO2069" s="117"/>
    </row>
    <row r="2070" ht="34.5" customHeight="1">
      <c r="A2070" s="111">
        <v>2786.0</v>
      </c>
      <c r="B2070" s="111" t="s">
        <v>284</v>
      </c>
      <c r="C2070" s="111" t="s">
        <v>7987</v>
      </c>
      <c r="D2070" s="111">
        <v>2025.0</v>
      </c>
      <c r="E2070" s="111"/>
      <c r="F2070" s="111" t="s">
        <v>12393</v>
      </c>
      <c r="G2070" s="111" t="s">
        <v>12226</v>
      </c>
      <c r="H2070" s="111"/>
      <c r="I2070" s="111" t="s">
        <v>12406</v>
      </c>
      <c r="J2070" s="111"/>
      <c r="K2070" s="111" t="s">
        <v>30</v>
      </c>
      <c r="L2070" s="111"/>
      <c r="M2070" s="111"/>
      <c r="N2070" s="111"/>
      <c r="O2070" s="111"/>
      <c r="P2070" s="111">
        <v>1.0</v>
      </c>
      <c r="Q2070" s="111">
        <v>1.0</v>
      </c>
      <c r="R2070" s="111">
        <v>1.0</v>
      </c>
      <c r="S2070" s="111"/>
      <c r="T2070" s="111"/>
      <c r="U2070" s="111"/>
      <c r="V2070" s="111"/>
      <c r="W2070" s="111"/>
      <c r="X2070" s="111"/>
      <c r="Y2070" s="111"/>
      <c r="Z2070" s="111" t="s">
        <v>12703</v>
      </c>
      <c r="AA2070" s="124">
        <v>10.0</v>
      </c>
      <c r="AB2070" s="125">
        <f>IF(Projects!$AI2070="Electrolysis",
AA2070/VLOOKUP(G2070,ElectrolysisConvF,3,FALSE),
AC2070*10^6/(H2dens*HoursInYear))</f>
        <v>1923.076923</v>
      </c>
      <c r="AC2070" s="126">
        <f t="shared" si="393"/>
        <v>1.499307692</v>
      </c>
      <c r="AD2070" s="125"/>
      <c r="AE2070" s="125">
        <f t="shared" si="392"/>
        <v>1923.076923</v>
      </c>
      <c r="AF2070" s="127" t="s">
        <v>15095</v>
      </c>
      <c r="AG2070" s="127">
        <v>52.1064556527049</v>
      </c>
      <c r="AH2070" s="127">
        <v>11.6493739996202</v>
      </c>
      <c r="AI2070" s="115" t="s">
        <v>12383</v>
      </c>
      <c r="AJ2070" s="116">
        <v>0.57</v>
      </c>
      <c r="AK2070" s="117"/>
      <c r="AL2070" s="117"/>
      <c r="AM2070" s="117"/>
      <c r="AN2070" s="117"/>
      <c r="AO2070" s="117"/>
    </row>
    <row r="2071" ht="34.5" customHeight="1">
      <c r="A2071" s="111">
        <v>2787.0</v>
      </c>
      <c r="B2071" s="111" t="s">
        <v>10071</v>
      </c>
      <c r="C2071" s="111" t="s">
        <v>10072</v>
      </c>
      <c r="D2071" s="111"/>
      <c r="E2071" s="111"/>
      <c r="F2071" s="111" t="s">
        <v>12399</v>
      </c>
      <c r="G2071" s="111" t="s">
        <v>12226</v>
      </c>
      <c r="H2071" s="111"/>
      <c r="I2071" s="111" t="s">
        <v>12287</v>
      </c>
      <c r="J2071" s="111"/>
      <c r="K2071" s="111" t="s">
        <v>30</v>
      </c>
      <c r="L2071" s="111">
        <v>1.0</v>
      </c>
      <c r="M2071" s="111"/>
      <c r="N2071" s="111"/>
      <c r="O2071" s="111"/>
      <c r="P2071" s="111"/>
      <c r="Q2071" s="111"/>
      <c r="R2071" s="111"/>
      <c r="S2071" s="111"/>
      <c r="T2071" s="111"/>
      <c r="U2071" s="111"/>
      <c r="V2071" s="111"/>
      <c r="W2071" s="111"/>
      <c r="X2071" s="111"/>
      <c r="Y2071" s="111"/>
      <c r="Z2071" s="111" t="s">
        <v>12703</v>
      </c>
      <c r="AA2071" s="124">
        <v>10.0</v>
      </c>
      <c r="AB2071" s="125">
        <f>IF(Projects!$AI2071="Electrolysis",
AA2071/VLOOKUP(G2071,ElectrolysisConvF,3,FALSE),
AC2071*10^6/(H2dens*HoursInYear))</f>
        <v>1923.076923</v>
      </c>
      <c r="AC2071" s="126">
        <f t="shared" si="393"/>
        <v>1.499307692</v>
      </c>
      <c r="AD2071" s="125"/>
      <c r="AE2071" s="125">
        <f t="shared" si="392"/>
        <v>1923.076923</v>
      </c>
      <c r="AF2071" s="127" t="s">
        <v>15096</v>
      </c>
      <c r="AG2071" s="127">
        <v>45.2885240577018</v>
      </c>
      <c r="AH2071" s="127">
        <v>14.5334565746487</v>
      </c>
      <c r="AI2071" s="115" t="s">
        <v>12383</v>
      </c>
      <c r="AJ2071" s="116">
        <v>0.57</v>
      </c>
      <c r="AK2071" s="117"/>
      <c r="AL2071" s="117"/>
      <c r="AM2071" s="117"/>
      <c r="AN2071" s="117"/>
      <c r="AO2071" s="117"/>
    </row>
    <row r="2072" ht="34.5" customHeight="1">
      <c r="A2072" s="111">
        <v>2788.0</v>
      </c>
      <c r="B2072" s="111" t="s">
        <v>10073</v>
      </c>
      <c r="C2072" s="111" t="s">
        <v>9176</v>
      </c>
      <c r="D2072" s="111"/>
      <c r="E2072" s="111"/>
      <c r="F2072" s="111" t="s">
        <v>12397</v>
      </c>
      <c r="G2072" s="111" t="s">
        <v>12381</v>
      </c>
      <c r="H2072" s="111" t="s">
        <v>12230</v>
      </c>
      <c r="I2072" s="111" t="s">
        <v>12394</v>
      </c>
      <c r="J2072" s="111" t="s">
        <v>12296</v>
      </c>
      <c r="K2072" s="111" t="s">
        <v>30</v>
      </c>
      <c r="L2072" s="111">
        <v>1.0</v>
      </c>
      <c r="M2072" s="111"/>
      <c r="N2072" s="111"/>
      <c r="O2072" s="111"/>
      <c r="P2072" s="111"/>
      <c r="Q2072" s="111"/>
      <c r="R2072" s="111"/>
      <c r="S2072" s="111"/>
      <c r="T2072" s="111"/>
      <c r="U2072" s="111"/>
      <c r="V2072" s="111"/>
      <c r="W2072" s="111"/>
      <c r="X2072" s="111"/>
      <c r="Y2072" s="111"/>
      <c r="Z2072" s="111" t="s">
        <v>15097</v>
      </c>
      <c r="AA2072" s="126">
        <f>IF(Projects!$AI2072="Electrolysis",
AB2072*VLOOKUP(G2072,ElectrolysisConvF,3,FALSE),
"")</f>
        <v>63.49084193</v>
      </c>
      <c r="AB2072" s="125">
        <f t="shared" ref="AB2072:AB2073" si="394">AC2072/(H2dens*HoursInYear/10^6)</f>
        <v>14109.07598</v>
      </c>
      <c r="AC2072" s="125">
        <v>11.0</v>
      </c>
      <c r="AD2072" s="125"/>
      <c r="AE2072" s="125">
        <f t="shared" si="392"/>
        <v>14109.07598</v>
      </c>
      <c r="AF2072" s="127" t="s">
        <v>15098</v>
      </c>
      <c r="AG2072" s="127">
        <v>44.3458722434707</v>
      </c>
      <c r="AH2072" s="127">
        <v>28.6430176142668</v>
      </c>
      <c r="AI2072" s="115" t="s">
        <v>12383</v>
      </c>
      <c r="AJ2072" s="116">
        <v>0.5</v>
      </c>
      <c r="AK2072" s="117"/>
      <c r="AL2072" s="117"/>
      <c r="AM2072" s="117"/>
      <c r="AN2072" s="117"/>
      <c r="AO2072" s="117"/>
    </row>
    <row r="2073" ht="34.5" customHeight="1">
      <c r="A2073" s="111">
        <v>2789.0</v>
      </c>
      <c r="B2073" s="127" t="s">
        <v>10074</v>
      </c>
      <c r="C2073" s="111" t="s">
        <v>8001</v>
      </c>
      <c r="D2073" s="111">
        <v>2026.0</v>
      </c>
      <c r="E2073" s="111"/>
      <c r="F2073" s="111" t="s">
        <v>12399</v>
      </c>
      <c r="G2073" s="111" t="s">
        <v>12224</v>
      </c>
      <c r="H2073" s="111"/>
      <c r="I2073" s="111" t="s">
        <v>12394</v>
      </c>
      <c r="J2073" s="111" t="s">
        <v>12295</v>
      </c>
      <c r="K2073" s="111" t="s">
        <v>174</v>
      </c>
      <c r="L2073" s="111"/>
      <c r="M2073" s="111">
        <v>1.0</v>
      </c>
      <c r="N2073" s="111"/>
      <c r="O2073" s="111"/>
      <c r="P2073" s="111"/>
      <c r="Q2073" s="111"/>
      <c r="R2073" s="111"/>
      <c r="S2073" s="111"/>
      <c r="T2073" s="111"/>
      <c r="U2073" s="111"/>
      <c r="V2073" s="111"/>
      <c r="W2073" s="111"/>
      <c r="X2073" s="111"/>
      <c r="Y2073" s="111"/>
      <c r="Z2073" s="111" t="s">
        <v>15099</v>
      </c>
      <c r="AA2073" s="126">
        <f>IF(Projects!$AI2073="Electrolysis",
AB2073*VLOOKUP(G2073,ElectrolysisConvF,3,FALSE),
"")</f>
        <v>637.472166</v>
      </c>
      <c r="AB2073" s="125">
        <f t="shared" si="394"/>
        <v>138580.9057</v>
      </c>
      <c r="AC2073" s="125">
        <f>(300*3/17/0.98)/Projects!$AJ2073</f>
        <v>108.0432173</v>
      </c>
      <c r="AD2073" s="125"/>
      <c r="AE2073" s="125">
        <f t="shared" si="392"/>
        <v>138580.9057</v>
      </c>
      <c r="AF2073" s="127" t="s">
        <v>15100</v>
      </c>
      <c r="AG2073" s="127">
        <v>42.2720905262963</v>
      </c>
      <c r="AH2073" s="127">
        <v>118.890974193958</v>
      </c>
      <c r="AI2073" s="115" t="s">
        <v>12383</v>
      </c>
      <c r="AJ2073" s="116">
        <v>0.5</v>
      </c>
      <c r="AK2073" s="117"/>
      <c r="AL2073" s="117"/>
      <c r="AM2073" s="117"/>
      <c r="AN2073" s="117"/>
      <c r="AO2073" s="117"/>
    </row>
    <row r="2074" ht="34.5" customHeight="1">
      <c r="A2074" s="111">
        <v>2790.0</v>
      </c>
      <c r="B2074" s="111" t="s">
        <v>10075</v>
      </c>
      <c r="C2074" s="111" t="s">
        <v>8021</v>
      </c>
      <c r="D2074" s="111">
        <v>2024.0</v>
      </c>
      <c r="E2074" s="111"/>
      <c r="F2074" s="111" t="s">
        <v>12393</v>
      </c>
      <c r="G2074" s="111" t="s">
        <v>12224</v>
      </c>
      <c r="H2074" s="111"/>
      <c r="I2074" s="111" t="s">
        <v>12394</v>
      </c>
      <c r="J2074" s="111" t="s">
        <v>12291</v>
      </c>
      <c r="K2074" s="111" t="s">
        <v>30</v>
      </c>
      <c r="L2074" s="111"/>
      <c r="M2074" s="111"/>
      <c r="N2074" s="111"/>
      <c r="O2074" s="111"/>
      <c r="P2074" s="111">
        <v>1.0</v>
      </c>
      <c r="Q2074" s="111"/>
      <c r="R2074" s="111"/>
      <c r="S2074" s="111"/>
      <c r="T2074" s="111">
        <v>1.0</v>
      </c>
      <c r="U2074" s="111"/>
      <c r="V2074" s="111"/>
      <c r="W2074" s="111"/>
      <c r="X2074" s="111"/>
      <c r="Y2074" s="111"/>
      <c r="Z2074" s="111" t="s">
        <v>15101</v>
      </c>
      <c r="AA2074" s="124">
        <v>2.0</v>
      </c>
      <c r="AB2074" s="125">
        <f>IF(Projects!$AI2074="Electrolysis",
AA2074/VLOOKUP(G2074,ElectrolysisConvF,3,FALSE),
AC2074*10^6/(H2dens*HoursInYear))</f>
        <v>434.7826087</v>
      </c>
      <c r="AC2074" s="126">
        <f t="shared" ref="AC2074:AC2077" si="395">AB2074*H2dens*HoursInYear/10^6</f>
        <v>0.338973913</v>
      </c>
      <c r="AD2074" s="125"/>
      <c r="AE2074" s="125">
        <f t="shared" si="392"/>
        <v>434.7826087</v>
      </c>
      <c r="AF2074" s="127" t="s">
        <v>15102</v>
      </c>
      <c r="AG2074" s="127">
        <v>-28.537447622541</v>
      </c>
      <c r="AH2074" s="127">
        <v>150.2846210325</v>
      </c>
      <c r="AI2074" s="115" t="s">
        <v>12383</v>
      </c>
      <c r="AJ2074" s="116">
        <v>0.3</v>
      </c>
      <c r="AK2074" s="117"/>
      <c r="AL2074" s="117"/>
      <c r="AM2074" s="117"/>
      <c r="AN2074" s="117"/>
      <c r="AO2074" s="117"/>
    </row>
    <row r="2075" ht="34.5" customHeight="1">
      <c r="A2075" s="111">
        <v>2791.0</v>
      </c>
      <c r="B2075" s="111" t="s">
        <v>10076</v>
      </c>
      <c r="C2075" s="111" t="s">
        <v>8021</v>
      </c>
      <c r="D2075" s="111"/>
      <c r="E2075" s="111"/>
      <c r="F2075" s="111" t="s">
        <v>12397</v>
      </c>
      <c r="G2075" s="111" t="s">
        <v>12224</v>
      </c>
      <c r="H2075" s="111"/>
      <c r="I2075" s="111" t="s">
        <v>12287</v>
      </c>
      <c r="J2075" s="111"/>
      <c r="K2075" s="111" t="s">
        <v>30</v>
      </c>
      <c r="L2075" s="111"/>
      <c r="M2075" s="111"/>
      <c r="N2075" s="111"/>
      <c r="O2075" s="111"/>
      <c r="P2075" s="111">
        <v>1.0</v>
      </c>
      <c r="Q2075" s="111">
        <v>1.0</v>
      </c>
      <c r="R2075" s="111"/>
      <c r="S2075" s="111"/>
      <c r="T2075" s="111"/>
      <c r="U2075" s="111"/>
      <c r="V2075" s="111"/>
      <c r="W2075" s="111"/>
      <c r="X2075" s="111"/>
      <c r="Y2075" s="111"/>
      <c r="Z2075" s="111" t="s">
        <v>15103</v>
      </c>
      <c r="AA2075" s="124">
        <v>50.0</v>
      </c>
      <c r="AB2075" s="125">
        <f>IF(Projects!$AI2075="Electrolysis",
AA2075/VLOOKUP(G2075,ElectrolysisConvF,3,FALSE),
AC2075*10^6/(H2dens*HoursInYear))</f>
        <v>10869.56522</v>
      </c>
      <c r="AC2075" s="126">
        <f t="shared" si="395"/>
        <v>8.474347826</v>
      </c>
      <c r="AD2075" s="125"/>
      <c r="AE2075" s="125">
        <f t="shared" si="392"/>
        <v>10869.56522</v>
      </c>
      <c r="AF2075" s="127" t="s">
        <v>15102</v>
      </c>
      <c r="AG2075" s="127">
        <v>-28.537447622541</v>
      </c>
      <c r="AH2075" s="127">
        <v>150.2846210325</v>
      </c>
      <c r="AI2075" s="115" t="s">
        <v>12383</v>
      </c>
      <c r="AJ2075" s="116">
        <v>0.57</v>
      </c>
      <c r="AK2075" s="117"/>
      <c r="AL2075" s="117"/>
      <c r="AM2075" s="117"/>
      <c r="AN2075" s="117"/>
      <c r="AO2075" s="117"/>
    </row>
    <row r="2076" ht="34.5" customHeight="1">
      <c r="A2076" s="111">
        <v>2793.0</v>
      </c>
      <c r="B2076" s="111" t="s">
        <v>10077</v>
      </c>
      <c r="C2076" s="111" t="s">
        <v>7967</v>
      </c>
      <c r="D2076" s="111">
        <v>2028.0</v>
      </c>
      <c r="E2076" s="111"/>
      <c r="F2076" s="111" t="s">
        <v>12399</v>
      </c>
      <c r="G2076" s="111" t="s">
        <v>12381</v>
      </c>
      <c r="H2076" s="111" t="s">
        <v>12230</v>
      </c>
      <c r="I2076" s="111" t="s">
        <v>12287</v>
      </c>
      <c r="J2076" s="111"/>
      <c r="K2076" s="111" t="s">
        <v>30</v>
      </c>
      <c r="L2076" s="111"/>
      <c r="M2076" s="111"/>
      <c r="N2076" s="111"/>
      <c r="O2076" s="111"/>
      <c r="P2076" s="111"/>
      <c r="Q2076" s="111"/>
      <c r="R2076" s="111"/>
      <c r="S2076" s="111"/>
      <c r="T2076" s="111"/>
      <c r="U2076" s="111"/>
      <c r="V2076" s="111"/>
      <c r="W2076" s="111"/>
      <c r="X2076" s="111"/>
      <c r="Y2076" s="111"/>
      <c r="Z2076" s="111" t="s">
        <v>15104</v>
      </c>
      <c r="AA2076" s="124">
        <v>300.0</v>
      </c>
      <c r="AB2076" s="125">
        <f>IF(Projects!$AI2076="Electrolysis",
AA2076/VLOOKUP(G2076,ElectrolysisConvF,3,FALSE),
AC2076*10^6/(H2dens*HoursInYear))</f>
        <v>66666.66667</v>
      </c>
      <c r="AC2076" s="125">
        <f t="shared" si="395"/>
        <v>51.976</v>
      </c>
      <c r="AD2076" s="125"/>
      <c r="AE2076" s="125">
        <f t="shared" si="392"/>
        <v>66666.66667</v>
      </c>
      <c r="AF2076" s="127" t="s">
        <v>15105</v>
      </c>
      <c r="AG2076" s="127">
        <v>51.4189536432728</v>
      </c>
      <c r="AH2076" s="127">
        <v>3.72739827547602</v>
      </c>
      <c r="AI2076" s="115" t="s">
        <v>12383</v>
      </c>
      <c r="AJ2076" s="116">
        <v>0.57</v>
      </c>
      <c r="AK2076" s="117"/>
      <c r="AL2076" s="117"/>
      <c r="AM2076" s="117"/>
      <c r="AN2076" s="117"/>
      <c r="AO2076" s="117"/>
    </row>
    <row r="2077" ht="34.5" customHeight="1">
      <c r="A2077" s="111">
        <v>2794.0</v>
      </c>
      <c r="B2077" s="111" t="s">
        <v>10078</v>
      </c>
      <c r="C2077" s="111" t="s">
        <v>7967</v>
      </c>
      <c r="D2077" s="111">
        <v>2028.0</v>
      </c>
      <c r="E2077" s="111"/>
      <c r="F2077" s="111" t="s">
        <v>12397</v>
      </c>
      <c r="G2077" s="111" t="s">
        <v>12381</v>
      </c>
      <c r="H2077" s="111" t="s">
        <v>12230</v>
      </c>
      <c r="I2077" s="111" t="s">
        <v>12394</v>
      </c>
      <c r="J2077" s="111" t="s">
        <v>12295</v>
      </c>
      <c r="K2077" s="111" t="s">
        <v>30</v>
      </c>
      <c r="L2077" s="111"/>
      <c r="M2077" s="111"/>
      <c r="N2077" s="111"/>
      <c r="O2077" s="111"/>
      <c r="P2077" s="111">
        <v>1.0</v>
      </c>
      <c r="Q2077" s="111"/>
      <c r="R2077" s="111"/>
      <c r="S2077" s="111"/>
      <c r="T2077" s="111"/>
      <c r="U2077" s="111"/>
      <c r="V2077" s="111"/>
      <c r="W2077" s="111"/>
      <c r="X2077" s="111"/>
      <c r="Y2077" s="111"/>
      <c r="Z2077" s="111" t="s">
        <v>15106</v>
      </c>
      <c r="AA2077" s="124">
        <v>60.0</v>
      </c>
      <c r="AB2077" s="125">
        <f>IF(Projects!$AI2077="Electrolysis",
AA2077/VLOOKUP(G2077,ElectrolysisConvF,3,FALSE),
AC2077*10^6/(H2dens*HoursInYear))</f>
        <v>13333.33333</v>
      </c>
      <c r="AC2077" s="125">
        <f t="shared" si="395"/>
        <v>10.3952</v>
      </c>
      <c r="AD2077" s="125"/>
      <c r="AE2077" s="125">
        <f t="shared" si="392"/>
        <v>13333.33333</v>
      </c>
      <c r="AF2077" s="127" t="s">
        <v>15105</v>
      </c>
      <c r="AG2077" s="127">
        <v>51.4159226074984</v>
      </c>
      <c r="AH2077" s="127">
        <v>4.18738247505048</v>
      </c>
      <c r="AI2077" s="115" t="s">
        <v>12383</v>
      </c>
      <c r="AJ2077" s="116">
        <v>0.5</v>
      </c>
      <c r="AK2077" s="117"/>
      <c r="AL2077" s="117"/>
      <c r="AM2077" s="117"/>
      <c r="AN2077" s="117"/>
      <c r="AO2077" s="117"/>
    </row>
    <row r="2078" ht="34.5" customHeight="1">
      <c r="A2078" s="111">
        <v>2795.0</v>
      </c>
      <c r="B2078" s="111" t="s">
        <v>10079</v>
      </c>
      <c r="C2078" s="111" t="s">
        <v>7967</v>
      </c>
      <c r="D2078" s="111">
        <v>2030.0</v>
      </c>
      <c r="E2078" s="111"/>
      <c r="F2078" s="111" t="s">
        <v>12397</v>
      </c>
      <c r="G2078" s="111" t="s">
        <v>12381</v>
      </c>
      <c r="H2078" s="111" t="s">
        <v>12230</v>
      </c>
      <c r="I2078" s="111" t="s">
        <v>12394</v>
      </c>
      <c r="J2078" s="111" t="s">
        <v>12292</v>
      </c>
      <c r="K2078" s="111" t="s">
        <v>30</v>
      </c>
      <c r="L2078" s="111"/>
      <c r="M2078" s="111"/>
      <c r="N2078" s="111"/>
      <c r="O2078" s="111"/>
      <c r="P2078" s="111"/>
      <c r="Q2078" s="111"/>
      <c r="R2078" s="111"/>
      <c r="S2078" s="111"/>
      <c r="T2078" s="111"/>
      <c r="U2078" s="111">
        <v>1.0</v>
      </c>
      <c r="V2078" s="111"/>
      <c r="W2078" s="111"/>
      <c r="X2078" s="111"/>
      <c r="Y2078" s="111"/>
      <c r="Z2078" s="111"/>
      <c r="AA2078" s="124">
        <f>IF(OR(G2078="ALK",G2078="PEM",G2078="SOEC",G2078="Other Electrolysis"),
AB2078*VLOOKUP(G2078,ElectrolysisConvF,3,FALSE),
"")</f>
        <v>0</v>
      </c>
      <c r="AB2078" s="125"/>
      <c r="AC2078" s="125"/>
      <c r="AD2078" s="125"/>
      <c r="AE2078" s="125" t="str">
        <f t="shared" si="392"/>
        <v/>
      </c>
      <c r="AF2078" s="127" t="s">
        <v>15105</v>
      </c>
      <c r="AG2078" s="127">
        <v>51.7529181056375</v>
      </c>
      <c r="AH2078" s="127">
        <v>4.16861069943974</v>
      </c>
      <c r="AI2078" s="115" t="s">
        <v>12383</v>
      </c>
      <c r="AJ2078" s="116">
        <v>0.4</v>
      </c>
      <c r="AK2078" s="117"/>
      <c r="AL2078" s="117"/>
      <c r="AM2078" s="117"/>
      <c r="AN2078" s="117"/>
      <c r="AO2078" s="117"/>
    </row>
    <row r="2079" ht="34.5" customHeight="1">
      <c r="A2079" s="111">
        <v>2796.0</v>
      </c>
      <c r="B2079" s="111" t="s">
        <v>10080</v>
      </c>
      <c r="C2079" s="111" t="s">
        <v>7967</v>
      </c>
      <c r="D2079" s="111">
        <v>2024.0</v>
      </c>
      <c r="E2079" s="111"/>
      <c r="F2079" s="111" t="s">
        <v>12385</v>
      </c>
      <c r="G2079" s="111" t="s">
        <v>13638</v>
      </c>
      <c r="H2079" s="111"/>
      <c r="I2079" s="111" t="s">
        <v>12394</v>
      </c>
      <c r="J2079" s="111" t="s">
        <v>12291</v>
      </c>
      <c r="K2079" s="111" t="s">
        <v>30</v>
      </c>
      <c r="L2079" s="111"/>
      <c r="M2079" s="111"/>
      <c r="N2079" s="111"/>
      <c r="O2079" s="111"/>
      <c r="P2079" s="111"/>
      <c r="Q2079" s="111"/>
      <c r="R2079" s="111">
        <v>1.0</v>
      </c>
      <c r="S2079" s="111"/>
      <c r="T2079" s="111"/>
      <c r="U2079" s="111">
        <v>1.0</v>
      </c>
      <c r="V2079" s="111"/>
      <c r="W2079" s="111"/>
      <c r="X2079" s="111"/>
      <c r="Y2079" s="111"/>
      <c r="Z2079" s="127" t="s">
        <v>15107</v>
      </c>
      <c r="AA2079" s="129">
        <f>IF(Projects!$AI2079="Electrolysis",
AB2079*VLOOKUP(G2079,ElectrolysisConvF,3,FALSE),
"")</f>
        <v>0.0675</v>
      </c>
      <c r="AB2079" s="125">
        <v>15.0</v>
      </c>
      <c r="AC2079" s="146">
        <f>AB2079*H2dens*HoursInYear/10^6</f>
        <v>0.0116946</v>
      </c>
      <c r="AD2079" s="125"/>
      <c r="AE2079" s="125">
        <f t="shared" si="392"/>
        <v>15</v>
      </c>
      <c r="AF2079" s="127" t="s">
        <v>15105</v>
      </c>
      <c r="AG2079" s="127">
        <v>51.7383512019451</v>
      </c>
      <c r="AH2079" s="127">
        <v>4.240628273344</v>
      </c>
      <c r="AI2079" s="115" t="s">
        <v>12383</v>
      </c>
      <c r="AJ2079" s="116">
        <v>0.3</v>
      </c>
      <c r="AK2079" s="117"/>
      <c r="AL2079" s="117"/>
      <c r="AM2079" s="117"/>
      <c r="AN2079" s="117"/>
      <c r="AO2079" s="117"/>
    </row>
    <row r="2080" ht="34.5" customHeight="1">
      <c r="A2080" s="111">
        <v>2797.0</v>
      </c>
      <c r="B2080" s="111" t="s">
        <v>10081</v>
      </c>
      <c r="C2080" s="111" t="s">
        <v>7967</v>
      </c>
      <c r="D2080" s="111">
        <v>2024.0</v>
      </c>
      <c r="E2080" s="111"/>
      <c r="F2080" s="111" t="s">
        <v>12393</v>
      </c>
      <c r="G2080" s="111" t="s">
        <v>12381</v>
      </c>
      <c r="H2080" s="111" t="s">
        <v>12230</v>
      </c>
      <c r="I2080" s="111" t="s">
        <v>12394</v>
      </c>
      <c r="J2080" s="111" t="s">
        <v>12291</v>
      </c>
      <c r="K2080" s="111" t="s">
        <v>30</v>
      </c>
      <c r="L2080" s="111"/>
      <c r="M2080" s="111"/>
      <c r="N2080" s="111"/>
      <c r="O2080" s="111"/>
      <c r="P2080" s="111">
        <v>1.0</v>
      </c>
      <c r="Q2080" s="111"/>
      <c r="R2080" s="111"/>
      <c r="S2080" s="111"/>
      <c r="T2080" s="111"/>
      <c r="U2080" s="111"/>
      <c r="V2080" s="111"/>
      <c r="W2080" s="111"/>
      <c r="X2080" s="111"/>
      <c r="Y2080" s="111"/>
      <c r="Z2080" s="111" t="s">
        <v>15108</v>
      </c>
      <c r="AA2080" s="126">
        <f>IF(Projects!$AI2080="Electrolysis",
AB2080*VLOOKUP(G2080,ElectrolysisConvF,3,FALSE),
"")</f>
        <v>24.04956134</v>
      </c>
      <c r="AB2080" s="125">
        <f>AC2080/(H2dens*HoursInYear/10^6)</f>
        <v>5344.346964</v>
      </c>
      <c r="AC2080" s="125">
        <f>1.25/Projects!$AJ2080</f>
        <v>4.166666667</v>
      </c>
      <c r="AD2080" s="125"/>
      <c r="AE2080" s="125">
        <f t="shared" si="392"/>
        <v>5344.346964</v>
      </c>
      <c r="AF2080" s="127" t="s">
        <v>15109</v>
      </c>
      <c r="AG2080" s="127">
        <v>52.5388902903262</v>
      </c>
      <c r="AH2080" s="127">
        <v>5.54894652475058</v>
      </c>
      <c r="AI2080" s="115" t="s">
        <v>12383</v>
      </c>
      <c r="AJ2080" s="116">
        <v>0.3</v>
      </c>
      <c r="AK2080" s="117"/>
      <c r="AL2080" s="117"/>
      <c r="AM2080" s="117"/>
      <c r="AN2080" s="117"/>
      <c r="AO2080" s="117"/>
    </row>
    <row r="2081" ht="34.5" customHeight="1">
      <c r="A2081" s="111">
        <v>2798.0</v>
      </c>
      <c r="B2081" s="111" t="s">
        <v>10082</v>
      </c>
      <c r="C2081" s="111" t="s">
        <v>7967</v>
      </c>
      <c r="D2081" s="111">
        <v>2028.0</v>
      </c>
      <c r="E2081" s="111"/>
      <c r="F2081" s="111" t="s">
        <v>12397</v>
      </c>
      <c r="G2081" s="111" t="s">
        <v>12381</v>
      </c>
      <c r="H2081" s="111" t="s">
        <v>12230</v>
      </c>
      <c r="I2081" s="111" t="s">
        <v>12394</v>
      </c>
      <c r="J2081" s="111" t="s">
        <v>12292</v>
      </c>
      <c r="K2081" s="111" t="s">
        <v>30</v>
      </c>
      <c r="L2081" s="111"/>
      <c r="M2081" s="111"/>
      <c r="N2081" s="111"/>
      <c r="O2081" s="111"/>
      <c r="P2081" s="111"/>
      <c r="Q2081" s="111"/>
      <c r="R2081" s="111"/>
      <c r="S2081" s="111"/>
      <c r="T2081" s="111"/>
      <c r="U2081" s="111"/>
      <c r="V2081" s="111"/>
      <c r="W2081" s="111"/>
      <c r="X2081" s="111"/>
      <c r="Y2081" s="111"/>
      <c r="Z2081" s="111" t="s">
        <v>13169</v>
      </c>
      <c r="AA2081" s="124">
        <v>15.0</v>
      </c>
      <c r="AB2081" s="125">
        <f>IF(Projects!$AI2081="Electrolysis",
AA2081/VLOOKUP(G2081,ElectrolysisConvF,3,FALSE),
AC2081*10^6/(H2dens*HoursInYear))</f>
        <v>3333.333333</v>
      </c>
      <c r="AC2081" s="125">
        <f t="shared" ref="AC2081:AC2086" si="396">AB2081*H2dens*HoursInYear/10^6</f>
        <v>2.5988</v>
      </c>
      <c r="AD2081" s="125"/>
      <c r="AE2081" s="125">
        <f t="shared" si="392"/>
        <v>3333.333333</v>
      </c>
      <c r="AF2081" s="127" t="s">
        <v>15105</v>
      </c>
      <c r="AG2081" s="127">
        <v>52.384690860303</v>
      </c>
      <c r="AH2081" s="127">
        <v>5.41756977806103</v>
      </c>
      <c r="AI2081" s="115" t="s">
        <v>12383</v>
      </c>
      <c r="AJ2081" s="116">
        <v>0.4</v>
      </c>
      <c r="AK2081" s="117"/>
      <c r="AL2081" s="117"/>
      <c r="AM2081" s="117"/>
      <c r="AN2081" s="117"/>
      <c r="AO2081" s="117"/>
    </row>
    <row r="2082" ht="34.5" customHeight="1">
      <c r="A2082" s="111">
        <v>2799.0</v>
      </c>
      <c r="B2082" s="159" t="s">
        <v>10083</v>
      </c>
      <c r="C2082" s="111" t="s">
        <v>7967</v>
      </c>
      <c r="D2082" s="111"/>
      <c r="E2082" s="111"/>
      <c r="F2082" s="111" t="s">
        <v>12385</v>
      </c>
      <c r="G2082" s="111" t="s">
        <v>12381</v>
      </c>
      <c r="H2082" s="111" t="s">
        <v>12230</v>
      </c>
      <c r="I2082" s="111" t="s">
        <v>12394</v>
      </c>
      <c r="J2082" s="111" t="s">
        <v>12295</v>
      </c>
      <c r="K2082" s="111" t="s">
        <v>30</v>
      </c>
      <c r="L2082" s="111"/>
      <c r="M2082" s="111"/>
      <c r="N2082" s="111"/>
      <c r="O2082" s="111"/>
      <c r="P2082" s="111"/>
      <c r="Q2082" s="111">
        <v>1.0</v>
      </c>
      <c r="R2082" s="111"/>
      <c r="S2082" s="111"/>
      <c r="T2082" s="111"/>
      <c r="U2082" s="111"/>
      <c r="V2082" s="111"/>
      <c r="W2082" s="111"/>
      <c r="X2082" s="111"/>
      <c r="Y2082" s="111"/>
      <c r="Z2082" s="111" t="s">
        <v>15110</v>
      </c>
      <c r="AA2082" s="124">
        <v>0.25</v>
      </c>
      <c r="AB2082" s="125">
        <f>IF(Projects!$AI2082="Electrolysis",
AA2082/VLOOKUP(G2082,ElectrolysisConvF,3,FALSE),
AC2082*10^6/(H2dens*HoursInYear))</f>
        <v>55.55555556</v>
      </c>
      <c r="AC2082" s="125">
        <f t="shared" si="396"/>
        <v>0.04331333333</v>
      </c>
      <c r="AD2082" s="125"/>
      <c r="AE2082" s="125">
        <f t="shared" si="392"/>
        <v>55.55555556</v>
      </c>
      <c r="AF2082" s="127" t="s">
        <v>15105</v>
      </c>
      <c r="AG2082" s="127">
        <v>52.4064112505596</v>
      </c>
      <c r="AH2082" s="127">
        <v>4.75013527916019</v>
      </c>
      <c r="AI2082" s="115" t="s">
        <v>12383</v>
      </c>
      <c r="AJ2082" s="116">
        <v>0.5</v>
      </c>
      <c r="AK2082" s="117"/>
      <c r="AL2082" s="117"/>
      <c r="AM2082" s="117"/>
      <c r="AN2082" s="117"/>
      <c r="AO2082" s="117"/>
    </row>
    <row r="2083" ht="34.5" customHeight="1">
      <c r="A2083" s="111">
        <v>2800.0</v>
      </c>
      <c r="B2083" s="111" t="s">
        <v>10084</v>
      </c>
      <c r="C2083" s="111" t="s">
        <v>7967</v>
      </c>
      <c r="D2083" s="111">
        <v>2027.0</v>
      </c>
      <c r="E2083" s="111"/>
      <c r="F2083" s="111" t="s">
        <v>12397</v>
      </c>
      <c r="G2083" s="111" t="s">
        <v>12381</v>
      </c>
      <c r="H2083" s="111" t="s">
        <v>12230</v>
      </c>
      <c r="I2083" s="111" t="s">
        <v>12287</v>
      </c>
      <c r="J2083" s="111"/>
      <c r="K2083" s="111" t="s">
        <v>30</v>
      </c>
      <c r="L2083" s="111"/>
      <c r="M2083" s="111"/>
      <c r="N2083" s="111"/>
      <c r="O2083" s="111"/>
      <c r="P2083" s="111"/>
      <c r="Q2083" s="111"/>
      <c r="R2083" s="111"/>
      <c r="S2083" s="111"/>
      <c r="T2083" s="111"/>
      <c r="U2083" s="111"/>
      <c r="V2083" s="111"/>
      <c r="W2083" s="111"/>
      <c r="X2083" s="111"/>
      <c r="Y2083" s="111"/>
      <c r="Z2083" s="111" t="s">
        <v>13169</v>
      </c>
      <c r="AA2083" s="124">
        <v>15.0</v>
      </c>
      <c r="AB2083" s="125">
        <f>IF(Projects!$AI2083="Electrolysis",
AA2083/VLOOKUP(G2083,ElectrolysisConvF,3,FALSE),
AC2083*10^6/(H2dens*HoursInYear))</f>
        <v>3333.333333</v>
      </c>
      <c r="AC2083" s="125">
        <f t="shared" si="396"/>
        <v>2.5988</v>
      </c>
      <c r="AD2083" s="125"/>
      <c r="AE2083" s="125">
        <f t="shared" si="392"/>
        <v>3333.333333</v>
      </c>
      <c r="AF2083" s="127" t="s">
        <v>15105</v>
      </c>
      <c r="AG2083" s="127">
        <v>52.3936110860026</v>
      </c>
      <c r="AH2083" s="127">
        <v>4.65763797098238</v>
      </c>
      <c r="AI2083" s="115" t="s">
        <v>12383</v>
      </c>
      <c r="AJ2083" s="116">
        <v>0.57</v>
      </c>
      <c r="AK2083" s="117"/>
      <c r="AL2083" s="117"/>
      <c r="AM2083" s="117"/>
      <c r="AN2083" s="117"/>
      <c r="AO2083" s="117"/>
    </row>
    <row r="2084" ht="34.5" customHeight="1">
      <c r="A2084" s="111">
        <v>2801.0</v>
      </c>
      <c r="B2084" s="111" t="s">
        <v>10085</v>
      </c>
      <c r="C2084" s="111" t="s">
        <v>7967</v>
      </c>
      <c r="D2084" s="111">
        <v>2030.0</v>
      </c>
      <c r="E2084" s="111"/>
      <c r="F2084" s="111" t="s">
        <v>12399</v>
      </c>
      <c r="G2084" s="111" t="s">
        <v>12381</v>
      </c>
      <c r="H2084" s="111" t="s">
        <v>12230</v>
      </c>
      <c r="I2084" s="111" t="s">
        <v>12287</v>
      </c>
      <c r="J2084" s="111"/>
      <c r="K2084" s="111" t="s">
        <v>30</v>
      </c>
      <c r="L2084" s="111"/>
      <c r="M2084" s="111"/>
      <c r="N2084" s="111"/>
      <c r="O2084" s="111"/>
      <c r="P2084" s="111"/>
      <c r="Q2084" s="111">
        <v>1.0</v>
      </c>
      <c r="R2084" s="111"/>
      <c r="S2084" s="111"/>
      <c r="T2084" s="111"/>
      <c r="U2084" s="111"/>
      <c r="V2084" s="111"/>
      <c r="W2084" s="111"/>
      <c r="X2084" s="111"/>
      <c r="Y2084" s="111"/>
      <c r="Z2084" s="111" t="s">
        <v>12411</v>
      </c>
      <c r="AA2084" s="124">
        <v>20.0</v>
      </c>
      <c r="AB2084" s="125">
        <f>IF(Projects!$AI2084="Electrolysis",
AA2084/VLOOKUP(G2084,ElectrolysisConvF,3,FALSE),
AC2084*10^6/(H2dens*HoursInYear))</f>
        <v>4444.444444</v>
      </c>
      <c r="AC2084" s="125">
        <f t="shared" si="396"/>
        <v>3.465066667</v>
      </c>
      <c r="AD2084" s="125"/>
      <c r="AE2084" s="125">
        <f t="shared" si="392"/>
        <v>4444.444444</v>
      </c>
      <c r="AF2084" s="127" t="s">
        <v>15111</v>
      </c>
      <c r="AG2084" s="127">
        <v>52.7029124887235</v>
      </c>
      <c r="AH2084" s="127">
        <v>5.87931409981145</v>
      </c>
      <c r="AI2084" s="115" t="s">
        <v>12383</v>
      </c>
      <c r="AJ2084" s="116">
        <v>0.57</v>
      </c>
      <c r="AK2084" s="117"/>
      <c r="AL2084" s="117"/>
      <c r="AM2084" s="117"/>
      <c r="AN2084" s="117"/>
      <c r="AO2084" s="117"/>
    </row>
    <row r="2085" ht="34.5" customHeight="1">
      <c r="A2085" s="111">
        <v>2802.0</v>
      </c>
      <c r="B2085" s="111" t="s">
        <v>10086</v>
      </c>
      <c r="C2085" s="111" t="s">
        <v>7967</v>
      </c>
      <c r="D2085" s="111">
        <v>2025.0</v>
      </c>
      <c r="E2085" s="111"/>
      <c r="F2085" s="111" t="s">
        <v>12399</v>
      </c>
      <c r="G2085" s="111" t="s">
        <v>12381</v>
      </c>
      <c r="H2085" s="111" t="s">
        <v>12230</v>
      </c>
      <c r="I2085" s="111" t="s">
        <v>12394</v>
      </c>
      <c r="J2085" s="111" t="s">
        <v>12291</v>
      </c>
      <c r="K2085" s="111" t="s">
        <v>30</v>
      </c>
      <c r="L2085" s="111"/>
      <c r="M2085" s="111"/>
      <c r="N2085" s="111"/>
      <c r="O2085" s="111"/>
      <c r="P2085" s="111"/>
      <c r="Q2085" s="111"/>
      <c r="R2085" s="111"/>
      <c r="S2085" s="111"/>
      <c r="T2085" s="111"/>
      <c r="U2085" s="111"/>
      <c r="V2085" s="111"/>
      <c r="W2085" s="111"/>
      <c r="X2085" s="111"/>
      <c r="Y2085" s="111"/>
      <c r="Z2085" s="111" t="s">
        <v>15112</v>
      </c>
      <c r="AA2085" s="124">
        <v>5.0</v>
      </c>
      <c r="AB2085" s="125">
        <f>IF(Projects!$AI2085="Electrolysis",
AA2085/VLOOKUP(G2085,ElectrolysisConvF,3,FALSE),
AC2085*10^6/(H2dens*HoursInYear))</f>
        <v>1111.111111</v>
      </c>
      <c r="AC2085" s="125">
        <f t="shared" si="396"/>
        <v>0.8662666667</v>
      </c>
      <c r="AD2085" s="125"/>
      <c r="AE2085" s="125">
        <f t="shared" si="392"/>
        <v>1111.111111</v>
      </c>
      <c r="AF2085" s="127" t="s">
        <v>15105</v>
      </c>
      <c r="AG2085" s="127">
        <v>52.9418844419474</v>
      </c>
      <c r="AH2085" s="127">
        <v>6.90802869679471</v>
      </c>
      <c r="AI2085" s="115" t="s">
        <v>12383</v>
      </c>
      <c r="AJ2085" s="116">
        <v>0.3</v>
      </c>
      <c r="AK2085" s="117"/>
      <c r="AL2085" s="117"/>
      <c r="AM2085" s="117"/>
      <c r="AN2085" s="117"/>
      <c r="AO2085" s="117"/>
    </row>
    <row r="2086" ht="34.5" customHeight="1">
      <c r="A2086" s="111">
        <v>2803.0</v>
      </c>
      <c r="B2086" s="111" t="s">
        <v>10087</v>
      </c>
      <c r="C2086" s="111" t="s">
        <v>7991</v>
      </c>
      <c r="D2086" s="111"/>
      <c r="E2086" s="111"/>
      <c r="F2086" s="111" t="s">
        <v>12418</v>
      </c>
      <c r="G2086" s="111" t="s">
        <v>12228</v>
      </c>
      <c r="H2086" s="111"/>
      <c r="I2086" s="111" t="s">
        <v>12288</v>
      </c>
      <c r="J2086" s="111"/>
      <c r="K2086" s="111" t="s">
        <v>30</v>
      </c>
      <c r="L2086" s="111"/>
      <c r="M2086" s="111"/>
      <c r="N2086" s="111"/>
      <c r="O2086" s="111"/>
      <c r="P2086" s="111">
        <v>1.0</v>
      </c>
      <c r="Q2086" s="111"/>
      <c r="R2086" s="111"/>
      <c r="S2086" s="111"/>
      <c r="T2086" s="111"/>
      <c r="U2086" s="111"/>
      <c r="V2086" s="111"/>
      <c r="W2086" s="111"/>
      <c r="X2086" s="111"/>
      <c r="Y2086" s="111"/>
      <c r="Z2086" s="111" t="s">
        <v>12420</v>
      </c>
      <c r="AA2086" s="124">
        <v>1.0</v>
      </c>
      <c r="AB2086" s="125">
        <f>IF(Projects!$AI2086="Electrolysis",
AA2086/VLOOKUP(G2086,ElectrolysisConvF,3,FALSE),
AC2086*10^6/(H2dens*HoursInYear))</f>
        <v>263.1578947</v>
      </c>
      <c r="AC2086" s="125">
        <f t="shared" si="396"/>
        <v>0.2051684211</v>
      </c>
      <c r="AD2086" s="125"/>
      <c r="AE2086" s="125">
        <f t="shared" si="392"/>
        <v>263.1578947</v>
      </c>
      <c r="AF2086" s="127" t="s">
        <v>15113</v>
      </c>
      <c r="AG2086" s="127">
        <v>54.0731128254385</v>
      </c>
      <c r="AH2086" s="127">
        <v>-2.89958121602321</v>
      </c>
      <c r="AI2086" s="115" t="s">
        <v>12383</v>
      </c>
      <c r="AJ2086" s="116">
        <v>0.8</v>
      </c>
      <c r="AK2086" s="117"/>
      <c r="AL2086" s="117"/>
      <c r="AM2086" s="117"/>
      <c r="AN2086" s="117"/>
      <c r="AO2086" s="117"/>
    </row>
    <row r="2087" ht="34.5" customHeight="1">
      <c r="A2087" s="111">
        <v>2804.0</v>
      </c>
      <c r="B2087" s="111" t="s">
        <v>10088</v>
      </c>
      <c r="C2087" s="111" t="s">
        <v>7974</v>
      </c>
      <c r="D2087" s="111"/>
      <c r="E2087" s="111"/>
      <c r="F2087" s="111" t="s">
        <v>12397</v>
      </c>
      <c r="G2087" s="111" t="s">
        <v>12381</v>
      </c>
      <c r="H2087" s="111" t="s">
        <v>12230</v>
      </c>
      <c r="I2087" s="111" t="s">
        <v>12394</v>
      </c>
      <c r="J2087" s="111" t="s">
        <v>12293</v>
      </c>
      <c r="K2087" s="111" t="s">
        <v>30</v>
      </c>
      <c r="L2087" s="111"/>
      <c r="M2087" s="111"/>
      <c r="N2087" s="111"/>
      <c r="O2087" s="111"/>
      <c r="P2087" s="111"/>
      <c r="Q2087" s="111">
        <v>1.0</v>
      </c>
      <c r="R2087" s="111"/>
      <c r="S2087" s="111"/>
      <c r="T2087" s="111"/>
      <c r="U2087" s="111"/>
      <c r="V2087" s="111"/>
      <c r="W2087" s="111">
        <v>1.0</v>
      </c>
      <c r="X2087" s="111"/>
      <c r="Y2087" s="111"/>
      <c r="Z2087" s="111"/>
      <c r="AA2087" s="124">
        <f>IF(OR(G2087="ALK",G2087="PEM",G2087="SOEC",G2087="Other Electrolysis"),
AB2087*VLOOKUP(G2087,ElectrolysisConvF,3,FALSE),
"")</f>
        <v>0</v>
      </c>
      <c r="AB2087" s="125"/>
      <c r="AC2087" s="125"/>
      <c r="AD2087" s="125"/>
      <c r="AE2087" s="125" t="str">
        <f t="shared" si="392"/>
        <v/>
      </c>
      <c r="AF2087" s="127" t="s">
        <v>15114</v>
      </c>
      <c r="AG2087" s="127">
        <v>56.8440013108329</v>
      </c>
      <c r="AH2087" s="127">
        <v>18.0244055375982</v>
      </c>
      <c r="AI2087" s="115" t="s">
        <v>12383</v>
      </c>
      <c r="AJ2087" s="116">
        <v>0.55</v>
      </c>
      <c r="AK2087" s="117"/>
      <c r="AL2087" s="117"/>
      <c r="AM2087" s="117"/>
      <c r="AN2087" s="117"/>
      <c r="AO2087" s="117"/>
    </row>
    <row r="2088" ht="34.5" customHeight="1">
      <c r="A2088" s="111">
        <v>2805.0</v>
      </c>
      <c r="B2088" s="111" t="s">
        <v>10089</v>
      </c>
      <c r="C2088" s="111" t="s">
        <v>7981</v>
      </c>
      <c r="D2088" s="111"/>
      <c r="E2088" s="111"/>
      <c r="F2088" s="111" t="s">
        <v>12399</v>
      </c>
      <c r="G2088" s="111" t="s">
        <v>12233</v>
      </c>
      <c r="H2088" s="111"/>
      <c r="I2088" s="111"/>
      <c r="J2088" s="111"/>
      <c r="K2088" s="111" t="s">
        <v>30</v>
      </c>
      <c r="L2088" s="111"/>
      <c r="M2088" s="111"/>
      <c r="N2088" s="111"/>
      <c r="O2088" s="111"/>
      <c r="P2088" s="111"/>
      <c r="Q2088" s="111"/>
      <c r="R2088" s="111"/>
      <c r="S2088" s="111"/>
      <c r="T2088" s="111"/>
      <c r="U2088" s="111"/>
      <c r="V2088" s="111"/>
      <c r="W2088" s="111"/>
      <c r="X2088" s="111"/>
      <c r="Y2088" s="111"/>
      <c r="Z2088" s="111" t="s">
        <v>15115</v>
      </c>
      <c r="AA2088" s="124" t="str">
        <f>IF(OR(G2088="ALK",G2088="PEM",G2088="SOEC",G2088="Other Electrolysis"),
AB2088*VLOOKUP(G2088,ElectrolysisConvF,3,FALSE),
"")</f>
        <v/>
      </c>
      <c r="AB2088" s="125"/>
      <c r="AC2088" s="125"/>
      <c r="AD2088" s="125">
        <v>1500000.0</v>
      </c>
      <c r="AE2088" s="125">
        <f t="shared" si="392"/>
        <v>89768.21846</v>
      </c>
      <c r="AF2088" s="127" t="s">
        <v>15116</v>
      </c>
      <c r="AG2088" s="127">
        <v>47.333763273233</v>
      </c>
      <c r="AH2088" s="127">
        <v>-101.772015083176</v>
      </c>
      <c r="AI2088" s="115" t="s">
        <v>12378</v>
      </c>
      <c r="AJ2088" s="116">
        <v>0.9</v>
      </c>
      <c r="AK2088" s="117"/>
      <c r="AL2088" s="117"/>
      <c r="AM2088" s="117"/>
      <c r="AN2088" s="117"/>
      <c r="AO2088" s="117"/>
    </row>
    <row r="2089" ht="34.5" customHeight="1">
      <c r="A2089" s="111">
        <v>2806.0</v>
      </c>
      <c r="B2089" s="111" t="s">
        <v>10090</v>
      </c>
      <c r="C2089" s="111" t="s">
        <v>8001</v>
      </c>
      <c r="D2089" s="111"/>
      <c r="E2089" s="111"/>
      <c r="F2089" s="111" t="s">
        <v>12399</v>
      </c>
      <c r="G2089" s="111" t="s">
        <v>12233</v>
      </c>
      <c r="H2089" s="111"/>
      <c r="I2089" s="111"/>
      <c r="J2089" s="111"/>
      <c r="K2089" s="111" t="s">
        <v>30</v>
      </c>
      <c r="L2089" s="111"/>
      <c r="M2089" s="111"/>
      <c r="N2089" s="111"/>
      <c r="O2089" s="111"/>
      <c r="P2089" s="111"/>
      <c r="Q2089" s="111"/>
      <c r="R2089" s="111"/>
      <c r="S2089" s="111"/>
      <c r="T2089" s="111"/>
      <c r="U2089" s="111"/>
      <c r="V2089" s="111"/>
      <c r="W2089" s="111"/>
      <c r="X2089" s="111"/>
      <c r="Y2089" s="111"/>
      <c r="Z2089" s="111" t="s">
        <v>15117</v>
      </c>
      <c r="AA2089" s="124" t="str">
        <f>IF(OR(G2089="ALK",G2089="PEM",G2089="SOEC",G2089="Other Electrolysis"),
AB2089*VLOOKUP(G2089,ElectrolysisConvF,3,FALSE),
"")</f>
        <v/>
      </c>
      <c r="AB2089" s="125"/>
      <c r="AC2089" s="125"/>
      <c r="AD2089" s="125">
        <v>2400000.0</v>
      </c>
      <c r="AE2089" s="125">
        <f t="shared" si="392"/>
        <v>143629.1495</v>
      </c>
      <c r="AF2089" s="127" t="s">
        <v>15118</v>
      </c>
      <c r="AG2089" s="127">
        <v>36.5632228364683</v>
      </c>
      <c r="AH2089" s="127">
        <v>110.100825068466</v>
      </c>
      <c r="AI2089" s="115" t="s">
        <v>12378</v>
      </c>
      <c r="AJ2089" s="116">
        <v>0.9</v>
      </c>
      <c r="AK2089" s="117"/>
      <c r="AL2089" s="117"/>
      <c r="AM2089" s="117"/>
      <c r="AN2089" s="117"/>
      <c r="AO2089" s="117"/>
    </row>
    <row r="2090" ht="34.5" customHeight="1">
      <c r="A2090" s="111">
        <v>2807.0</v>
      </c>
      <c r="B2090" s="111" t="s">
        <v>10091</v>
      </c>
      <c r="C2090" s="111" t="s">
        <v>8001</v>
      </c>
      <c r="D2090" s="111"/>
      <c r="E2090" s="111"/>
      <c r="F2090" s="111" t="s">
        <v>12399</v>
      </c>
      <c r="G2090" s="111" t="s">
        <v>12233</v>
      </c>
      <c r="H2090" s="111"/>
      <c r="I2090" s="111"/>
      <c r="J2090" s="111"/>
      <c r="K2090" s="111" t="s">
        <v>30</v>
      </c>
      <c r="L2090" s="111"/>
      <c r="M2090" s="111"/>
      <c r="N2090" s="111"/>
      <c r="O2090" s="111"/>
      <c r="P2090" s="111"/>
      <c r="Q2090" s="111"/>
      <c r="R2090" s="111"/>
      <c r="S2090" s="111"/>
      <c r="T2090" s="111"/>
      <c r="U2090" s="111"/>
      <c r="V2090" s="111"/>
      <c r="W2090" s="111"/>
      <c r="X2090" s="111"/>
      <c r="Y2090" s="111"/>
      <c r="Z2090" s="111" t="s">
        <v>15119</v>
      </c>
      <c r="AA2090" s="124" t="str">
        <f>IF(OR(G2090="ALK",G2090="PEM",G2090="SOEC",G2090="Other Electrolysis"),
AB2090*VLOOKUP(G2090,ElectrolysisConvF,3,FALSE),
"")</f>
        <v/>
      </c>
      <c r="AB2090" s="125"/>
      <c r="AC2090" s="125"/>
      <c r="AD2090" s="125">
        <v>2300000.0</v>
      </c>
      <c r="AE2090" s="125">
        <f t="shared" si="392"/>
        <v>137644.6016</v>
      </c>
      <c r="AF2090" s="127" t="s">
        <v>15118</v>
      </c>
      <c r="AG2090" s="127">
        <v>36.5632228364683</v>
      </c>
      <c r="AH2090" s="127">
        <v>110.100825068466</v>
      </c>
      <c r="AI2090" s="115" t="s">
        <v>12378</v>
      </c>
      <c r="AJ2090" s="116">
        <v>0.9</v>
      </c>
      <c r="AK2090" s="117"/>
      <c r="AL2090" s="117"/>
      <c r="AM2090" s="117"/>
      <c r="AN2090" s="117"/>
      <c r="AO2090" s="117"/>
    </row>
    <row r="2091" ht="34.5" customHeight="1">
      <c r="A2091" s="111">
        <v>2808.0</v>
      </c>
      <c r="B2091" s="111" t="s">
        <v>10092</v>
      </c>
      <c r="C2091" s="111" t="s">
        <v>8003</v>
      </c>
      <c r="D2091" s="111"/>
      <c r="E2091" s="111"/>
      <c r="F2091" s="111" t="s">
        <v>12399</v>
      </c>
      <c r="G2091" s="111" t="s">
        <v>12235</v>
      </c>
      <c r="H2091" s="111" t="s">
        <v>13160</v>
      </c>
      <c r="I2091" s="111"/>
      <c r="J2091" s="111"/>
      <c r="K2091" s="111" t="s">
        <v>174</v>
      </c>
      <c r="L2091" s="111"/>
      <c r="M2091" s="111">
        <v>1.0</v>
      </c>
      <c r="N2091" s="111"/>
      <c r="O2091" s="111"/>
      <c r="P2091" s="111"/>
      <c r="Q2091" s="111"/>
      <c r="R2091" s="111"/>
      <c r="S2091" s="111"/>
      <c r="T2091" s="111"/>
      <c r="U2091" s="111"/>
      <c r="V2091" s="111"/>
      <c r="W2091" s="111"/>
      <c r="X2091" s="111"/>
      <c r="Y2091" s="111"/>
      <c r="Z2091" s="111"/>
      <c r="AA2091" s="124" t="str">
        <f>IF(OR(G2091="ALK",G2091="PEM",G2091="SOEC",G2091="Other Electrolysis"),
AB2091*VLOOKUP(G2091,ElectrolysisConvF,3,FALSE),
"")</f>
        <v/>
      </c>
      <c r="AB2091" s="125"/>
      <c r="AC2091" s="125"/>
      <c r="AD2091" s="125"/>
      <c r="AE2091" s="125">
        <f t="shared" si="392"/>
        <v>0</v>
      </c>
      <c r="AF2091" s="127" t="s">
        <v>15120</v>
      </c>
      <c r="AG2091" s="127">
        <v>50.6473133931551</v>
      </c>
      <c r="AH2091" s="127">
        <v>-105.376353435732</v>
      </c>
      <c r="AI2091" s="115" t="s">
        <v>12378</v>
      </c>
      <c r="AJ2091" s="116">
        <v>0.9</v>
      </c>
      <c r="AK2091" s="117"/>
      <c r="AL2091" s="117"/>
      <c r="AM2091" s="117"/>
      <c r="AN2091" s="117"/>
      <c r="AO2091" s="117"/>
    </row>
    <row r="2092" ht="34.5" customHeight="1">
      <c r="A2092" s="111">
        <v>2809.0</v>
      </c>
      <c r="B2092" s="111" t="s">
        <v>10093</v>
      </c>
      <c r="C2092" s="111" t="s">
        <v>10072</v>
      </c>
      <c r="D2092" s="111">
        <v>2028.0</v>
      </c>
      <c r="E2092" s="111"/>
      <c r="F2092" s="111" t="s">
        <v>12399</v>
      </c>
      <c r="G2092" s="111" t="s">
        <v>12235</v>
      </c>
      <c r="H2092" s="111" t="s">
        <v>13160</v>
      </c>
      <c r="I2092" s="111"/>
      <c r="J2092" s="111"/>
      <c r="K2092" s="111" t="s">
        <v>174</v>
      </c>
      <c r="L2092" s="111"/>
      <c r="M2092" s="111">
        <v>1.0</v>
      </c>
      <c r="N2092" s="111"/>
      <c r="O2092" s="111"/>
      <c r="P2092" s="111"/>
      <c r="Q2092" s="111"/>
      <c r="R2092" s="111"/>
      <c r="S2092" s="111"/>
      <c r="T2092" s="111"/>
      <c r="U2092" s="111"/>
      <c r="V2092" s="111"/>
      <c r="W2092" s="111"/>
      <c r="X2092" s="111"/>
      <c r="Y2092" s="111"/>
      <c r="Z2092" s="111" t="s">
        <v>15121</v>
      </c>
      <c r="AA2092" s="124" t="str">
        <f>IF(OR(G2092="ALK",G2092="PEM",G2092="SOEC",G2092="Other Electrolysis"),
AB2092*VLOOKUP(G2092,ElectrolysisConvF,3,FALSE),
"")</f>
        <v/>
      </c>
      <c r="AB2092" s="125"/>
      <c r="AC2092" s="125"/>
      <c r="AD2092" s="125">
        <v>190000.0</v>
      </c>
      <c r="AE2092" s="125">
        <f t="shared" si="392"/>
        <v>23821.52413</v>
      </c>
      <c r="AF2092" s="127" t="s">
        <v>15122</v>
      </c>
      <c r="AG2092" s="127">
        <v>45.4556935837814</v>
      </c>
      <c r="AH2092" s="127">
        <v>16.7557155419129</v>
      </c>
      <c r="AI2092" s="115" t="s">
        <v>12378</v>
      </c>
      <c r="AJ2092" s="116">
        <v>0.9</v>
      </c>
      <c r="AK2092" s="117"/>
      <c r="AL2092" s="117"/>
      <c r="AM2092" s="117"/>
      <c r="AN2092" s="117"/>
      <c r="AO2092" s="117"/>
    </row>
    <row r="2093" ht="34.5" customHeight="1">
      <c r="A2093" s="111">
        <v>2810.0</v>
      </c>
      <c r="B2093" s="111" t="s">
        <v>10094</v>
      </c>
      <c r="C2093" s="111" t="s">
        <v>7981</v>
      </c>
      <c r="D2093" s="111"/>
      <c r="E2093" s="111"/>
      <c r="F2093" s="111" t="s">
        <v>12399</v>
      </c>
      <c r="G2093" s="111" t="s">
        <v>12235</v>
      </c>
      <c r="H2093" s="111" t="s">
        <v>13160</v>
      </c>
      <c r="I2093" s="111"/>
      <c r="J2093" s="111"/>
      <c r="K2093" s="111" t="s">
        <v>12251</v>
      </c>
      <c r="L2093" s="111"/>
      <c r="M2093" s="111"/>
      <c r="N2093" s="111"/>
      <c r="O2093" s="111"/>
      <c r="P2093" s="111"/>
      <c r="Q2093" s="111"/>
      <c r="R2093" s="111"/>
      <c r="S2093" s="111"/>
      <c r="T2093" s="111"/>
      <c r="U2093" s="111"/>
      <c r="V2093" s="111"/>
      <c r="W2093" s="111">
        <v>1.0</v>
      </c>
      <c r="X2093" s="111"/>
      <c r="Y2093" s="111"/>
      <c r="Z2093" s="111" t="s">
        <v>15123</v>
      </c>
      <c r="AA2093" s="124" t="str">
        <f>IF(OR(G2093="ALK",G2093="PEM",G2093="SOEC",G2093="Other Electrolysis"),
AB2093*VLOOKUP(G2093,ElectrolysisConvF,3,FALSE),
"")</f>
        <v/>
      </c>
      <c r="AB2093" s="125"/>
      <c r="AC2093" s="125"/>
      <c r="AD2093" s="125">
        <v>2000000.0</v>
      </c>
      <c r="AE2093" s="125">
        <f t="shared" si="392"/>
        <v>250752.8855</v>
      </c>
      <c r="AF2093" s="127" t="s">
        <v>15124</v>
      </c>
      <c r="AG2093" s="127">
        <v>48.3264590086492</v>
      </c>
      <c r="AH2093" s="127">
        <v>-103.420803079571</v>
      </c>
      <c r="AI2093" s="115" t="s">
        <v>12378</v>
      </c>
      <c r="AJ2093" s="116">
        <v>0.9</v>
      </c>
      <c r="AK2093" s="117"/>
      <c r="AL2093" s="117"/>
      <c r="AM2093" s="117"/>
      <c r="AN2093" s="117"/>
      <c r="AO2093" s="117"/>
    </row>
    <row r="2094" ht="34.5" customHeight="1">
      <c r="A2094" s="111">
        <v>2811.0</v>
      </c>
      <c r="B2094" s="111" t="s">
        <v>10095</v>
      </c>
      <c r="C2094" s="111" t="s">
        <v>7981</v>
      </c>
      <c r="D2094" s="111"/>
      <c r="E2094" s="111"/>
      <c r="F2094" s="111" t="s">
        <v>12399</v>
      </c>
      <c r="G2094" s="111" t="s">
        <v>12235</v>
      </c>
      <c r="H2094" s="111" t="s">
        <v>13160</v>
      </c>
      <c r="I2094" s="111"/>
      <c r="J2094" s="111"/>
      <c r="K2094" s="111" t="s">
        <v>174</v>
      </c>
      <c r="L2094" s="111"/>
      <c r="M2094" s="111">
        <v>1.0</v>
      </c>
      <c r="N2094" s="111"/>
      <c r="O2094" s="111"/>
      <c r="P2094" s="111"/>
      <c r="Q2094" s="111"/>
      <c r="R2094" s="111"/>
      <c r="S2094" s="111"/>
      <c r="T2094" s="111"/>
      <c r="U2094" s="111"/>
      <c r="V2094" s="111"/>
      <c r="W2094" s="111"/>
      <c r="X2094" s="111"/>
      <c r="Y2094" s="111"/>
      <c r="Z2094" s="111"/>
      <c r="AA2094" s="124" t="str">
        <f>IF(OR(G2094="ALK",G2094="PEM",G2094="SOEC",G2094="Other Electrolysis"),
AB2094*VLOOKUP(G2094,ElectrolysisConvF,3,FALSE),
"")</f>
        <v/>
      </c>
      <c r="AB2094" s="125"/>
      <c r="AC2094" s="125"/>
      <c r="AD2094" s="125"/>
      <c r="AE2094" s="125">
        <f t="shared" si="392"/>
        <v>0</v>
      </c>
      <c r="AF2094" s="127" t="s">
        <v>15125</v>
      </c>
      <c r="AG2094" s="127">
        <v>30.24</v>
      </c>
      <c r="AH2094" s="127">
        <v>-93.18</v>
      </c>
      <c r="AI2094" s="115" t="s">
        <v>12378</v>
      </c>
      <c r="AJ2094" s="116">
        <v>0.9</v>
      </c>
      <c r="AK2094" s="117"/>
      <c r="AL2094" s="117"/>
      <c r="AM2094" s="117"/>
      <c r="AN2094" s="117"/>
      <c r="AO2094" s="117"/>
    </row>
    <row r="2095" ht="34.5" customHeight="1">
      <c r="A2095" s="111">
        <v>2812.0</v>
      </c>
      <c r="B2095" s="111" t="s">
        <v>10096</v>
      </c>
      <c r="C2095" s="111" t="s">
        <v>8021</v>
      </c>
      <c r="D2095" s="111"/>
      <c r="E2095" s="111"/>
      <c r="F2095" s="111" t="s">
        <v>12399</v>
      </c>
      <c r="G2095" s="111" t="s">
        <v>12235</v>
      </c>
      <c r="H2095" s="111" t="s">
        <v>13160</v>
      </c>
      <c r="I2095" s="111"/>
      <c r="J2095" s="111"/>
      <c r="K2095" s="111" t="s">
        <v>174</v>
      </c>
      <c r="L2095" s="111"/>
      <c r="M2095" s="111">
        <v>1.0</v>
      </c>
      <c r="N2095" s="111"/>
      <c r="O2095" s="111"/>
      <c r="P2095" s="111"/>
      <c r="Q2095" s="111"/>
      <c r="R2095" s="111"/>
      <c r="S2095" s="111"/>
      <c r="T2095" s="111"/>
      <c r="U2095" s="111"/>
      <c r="V2095" s="111"/>
      <c r="W2095" s="111"/>
      <c r="X2095" s="111"/>
      <c r="Y2095" s="111"/>
      <c r="Z2095" s="111" t="s">
        <v>14274</v>
      </c>
      <c r="AA2095" s="124" t="str">
        <f>IF(OR(G2095="ALK",G2095="PEM",G2095="SOEC",G2095="Other Electrolysis"),
AB2095*VLOOKUP(G2095,ElectrolysisConvF,3,FALSE),
"")</f>
        <v/>
      </c>
      <c r="AB2095" s="125">
        <f>AC2095/(H2dens*HoursInYear/10^6)</f>
        <v>184774.5409</v>
      </c>
      <c r="AC2095" s="125">
        <f>800*3/17/0.98</f>
        <v>144.057623</v>
      </c>
      <c r="AD2095" s="125"/>
      <c r="AE2095" s="125">
        <f t="shared" si="392"/>
        <v>0</v>
      </c>
      <c r="AF2095" s="127" t="s">
        <v>15126</v>
      </c>
      <c r="AG2095" s="127">
        <v>-20.6244122978571</v>
      </c>
      <c r="AH2095" s="127">
        <v>116.783710389836</v>
      </c>
      <c r="AI2095" s="115" t="s">
        <v>12378</v>
      </c>
      <c r="AJ2095" s="116">
        <v>0.9</v>
      </c>
      <c r="AK2095" s="117"/>
      <c r="AL2095" s="117"/>
      <c r="AM2095" s="117"/>
      <c r="AN2095" s="117"/>
      <c r="AO2095" s="117"/>
    </row>
    <row r="2096" ht="34.5" customHeight="1">
      <c r="A2096" s="111">
        <v>2813.0</v>
      </c>
      <c r="B2096" s="111" t="s">
        <v>10097</v>
      </c>
      <c r="C2096" s="111" t="s">
        <v>7981</v>
      </c>
      <c r="D2096" s="111"/>
      <c r="E2096" s="111"/>
      <c r="F2096" s="111" t="s">
        <v>12397</v>
      </c>
      <c r="G2096" s="111" t="s">
        <v>12235</v>
      </c>
      <c r="H2096" s="111" t="s">
        <v>13160</v>
      </c>
      <c r="I2096" s="111"/>
      <c r="J2096" s="111"/>
      <c r="K2096" s="111" t="s">
        <v>30</v>
      </c>
      <c r="L2096" s="111"/>
      <c r="M2096" s="111"/>
      <c r="N2096" s="111"/>
      <c r="O2096" s="111"/>
      <c r="P2096" s="111"/>
      <c r="Q2096" s="111"/>
      <c r="R2096" s="111"/>
      <c r="S2096" s="111"/>
      <c r="T2096" s="111"/>
      <c r="U2096" s="111"/>
      <c r="V2096" s="111"/>
      <c r="W2096" s="111"/>
      <c r="X2096" s="111"/>
      <c r="Y2096" s="111"/>
      <c r="Z2096" s="111"/>
      <c r="AA2096" s="124" t="str">
        <f>IF(OR(G2096="ALK",G2096="PEM",G2096="SOEC",G2096="Other Electrolysis"),
AB2096*VLOOKUP(G2096,ElectrolysisConvF,3,FALSE),
"")</f>
        <v/>
      </c>
      <c r="AB2096" s="125"/>
      <c r="AC2096" s="125"/>
      <c r="AD2096" s="125"/>
      <c r="AE2096" s="125">
        <f t="shared" si="392"/>
        <v>0</v>
      </c>
      <c r="AF2096" s="127" t="s">
        <v>15127</v>
      </c>
      <c r="AG2096" s="127">
        <v>28.913235112747</v>
      </c>
      <c r="AH2096" s="127">
        <v>-95.7621995310933</v>
      </c>
      <c r="AI2096" s="115" t="s">
        <v>12378</v>
      </c>
      <c r="AJ2096" s="116">
        <v>0.9</v>
      </c>
      <c r="AK2096" s="160"/>
      <c r="AL2096" s="160"/>
      <c r="AM2096" s="160"/>
      <c r="AN2096" s="160"/>
      <c r="AO2096" s="160"/>
    </row>
    <row r="2097" ht="34.5" customHeight="1">
      <c r="A2097" s="111">
        <v>2814.0</v>
      </c>
      <c r="B2097" s="111" t="s">
        <v>10098</v>
      </c>
      <c r="C2097" s="111" t="s">
        <v>8539</v>
      </c>
      <c r="D2097" s="111">
        <v>2030.0</v>
      </c>
      <c r="E2097" s="111"/>
      <c r="F2097" s="111" t="s">
        <v>12397</v>
      </c>
      <c r="G2097" s="111" t="s">
        <v>12235</v>
      </c>
      <c r="H2097" s="111" t="s">
        <v>13160</v>
      </c>
      <c r="I2097" s="111"/>
      <c r="J2097" s="111"/>
      <c r="K2097" s="111" t="s">
        <v>30</v>
      </c>
      <c r="L2097" s="111"/>
      <c r="M2097" s="111"/>
      <c r="N2097" s="111"/>
      <c r="O2097" s="111"/>
      <c r="P2097" s="111"/>
      <c r="Q2097" s="111"/>
      <c r="R2097" s="111"/>
      <c r="S2097" s="111"/>
      <c r="T2097" s="111"/>
      <c r="U2097" s="111"/>
      <c r="V2097" s="111"/>
      <c r="W2097" s="111"/>
      <c r="X2097" s="111"/>
      <c r="Y2097" s="111"/>
      <c r="Z2097" s="111"/>
      <c r="AA2097" s="124" t="str">
        <f>IF(OR(G2097="ALK",G2097="PEM",G2097="SOEC",G2097="Other Electrolysis"),
AB2097*VLOOKUP(G2097,ElectrolysisConvF,3,FALSE),
"")</f>
        <v/>
      </c>
      <c r="AB2097" s="125"/>
      <c r="AC2097" s="125"/>
      <c r="AD2097" s="125"/>
      <c r="AE2097" s="125">
        <f t="shared" si="392"/>
        <v>0</v>
      </c>
      <c r="AF2097" s="127" t="s">
        <v>15128</v>
      </c>
      <c r="AG2097" s="127">
        <v>34.9144197494875</v>
      </c>
      <c r="AH2097" s="127">
        <v>127.66570214959</v>
      </c>
      <c r="AI2097" s="115" t="s">
        <v>12378</v>
      </c>
      <c r="AJ2097" s="116">
        <v>0.9</v>
      </c>
      <c r="AK2097" s="160"/>
      <c r="AL2097" s="160"/>
      <c r="AM2097" s="160"/>
      <c r="AN2097" s="160"/>
      <c r="AO2097" s="160"/>
    </row>
    <row r="2098" ht="34.5" customHeight="1">
      <c r="A2098" s="111">
        <v>2815.0</v>
      </c>
      <c r="B2098" s="111" t="s">
        <v>10099</v>
      </c>
      <c r="C2098" s="111" t="s">
        <v>10100</v>
      </c>
      <c r="D2098" s="111">
        <v>2030.0</v>
      </c>
      <c r="E2098" s="111"/>
      <c r="F2098" s="111" t="s">
        <v>12399</v>
      </c>
      <c r="G2098" s="111" t="s">
        <v>12381</v>
      </c>
      <c r="H2098" s="111" t="s">
        <v>12230</v>
      </c>
      <c r="I2098" s="111" t="s">
        <v>12394</v>
      </c>
      <c r="J2098" s="111" t="s">
        <v>12295</v>
      </c>
      <c r="K2098" s="111" t="s">
        <v>30</v>
      </c>
      <c r="L2098" s="111"/>
      <c r="M2098" s="111"/>
      <c r="N2098" s="111"/>
      <c r="O2098" s="111"/>
      <c r="P2098" s="111"/>
      <c r="Q2098" s="111"/>
      <c r="R2098" s="111"/>
      <c r="S2098" s="111"/>
      <c r="T2098" s="111"/>
      <c r="U2098" s="111"/>
      <c r="V2098" s="111"/>
      <c r="W2098" s="111"/>
      <c r="X2098" s="111"/>
      <c r="Y2098" s="111"/>
      <c r="Z2098" s="111" t="s">
        <v>15129</v>
      </c>
      <c r="AA2098" s="124">
        <v>2000.0</v>
      </c>
      <c r="AB2098" s="125">
        <f>IF(Projects!$AI2098="Electrolysis",
AA2098/VLOOKUP(G2098,ElectrolysisConvF,3,FALSE),
AC2098*10^6/(H2dens*HoursInYear))</f>
        <v>444444.4444</v>
      </c>
      <c r="AC2098" s="125">
        <f t="shared" ref="AC2098:AC2100" si="397">AB2098*H2dens*HoursInYear/10^6</f>
        <v>346.5066667</v>
      </c>
      <c r="AD2098" s="125"/>
      <c r="AE2098" s="125">
        <f t="shared" si="392"/>
        <v>444444.4444</v>
      </c>
      <c r="AF2098" s="127" t="s">
        <v>15130</v>
      </c>
      <c r="AG2098" s="127">
        <v>32.8086476496874</v>
      </c>
      <c r="AH2098" s="127">
        <v>9.71817545701757</v>
      </c>
      <c r="AI2098" s="115" t="s">
        <v>12383</v>
      </c>
      <c r="AJ2098" s="116">
        <v>0.5</v>
      </c>
      <c r="AK2098" s="160"/>
      <c r="AL2098" s="160"/>
      <c r="AM2098" s="160"/>
      <c r="AN2098" s="160"/>
      <c r="AO2098" s="160"/>
    </row>
    <row r="2099" ht="34.5" customHeight="1">
      <c r="A2099" s="111">
        <v>2816.0</v>
      </c>
      <c r="B2099" s="111" t="s">
        <v>10101</v>
      </c>
      <c r="C2099" s="111" t="s">
        <v>10100</v>
      </c>
      <c r="D2099" s="111">
        <v>2035.0</v>
      </c>
      <c r="E2099" s="111"/>
      <c r="F2099" s="111" t="s">
        <v>12397</v>
      </c>
      <c r="G2099" s="111" t="s">
        <v>12381</v>
      </c>
      <c r="H2099" s="111" t="s">
        <v>12230</v>
      </c>
      <c r="I2099" s="111" t="s">
        <v>12394</v>
      </c>
      <c r="J2099" s="111" t="s">
        <v>12295</v>
      </c>
      <c r="K2099" s="111" t="s">
        <v>30</v>
      </c>
      <c r="L2099" s="111"/>
      <c r="M2099" s="111"/>
      <c r="N2099" s="111"/>
      <c r="O2099" s="111"/>
      <c r="P2099" s="111"/>
      <c r="Q2099" s="111"/>
      <c r="R2099" s="111"/>
      <c r="S2099" s="111"/>
      <c r="T2099" s="111"/>
      <c r="U2099" s="111"/>
      <c r="V2099" s="111"/>
      <c r="W2099" s="111"/>
      <c r="X2099" s="111"/>
      <c r="Y2099" s="111"/>
      <c r="Z2099" s="111" t="s">
        <v>15131</v>
      </c>
      <c r="AA2099" s="124">
        <f>10000-AA2098</f>
        <v>8000</v>
      </c>
      <c r="AB2099" s="125">
        <f>IF(Projects!$AI2099="Electrolysis",
AA2099/VLOOKUP(G2099,ElectrolysisConvF,3,FALSE),
AC2099*10^6/(H2dens*HoursInYear))</f>
        <v>1777777.778</v>
      </c>
      <c r="AC2099" s="125">
        <f t="shared" si="397"/>
        <v>1386.026667</v>
      </c>
      <c r="AD2099" s="125"/>
      <c r="AE2099" s="125">
        <f t="shared" si="392"/>
        <v>1777777.778</v>
      </c>
      <c r="AF2099" s="127" t="s">
        <v>15130</v>
      </c>
      <c r="AG2099" s="127">
        <v>32.8086476496874</v>
      </c>
      <c r="AH2099" s="127">
        <v>9.71817545701757</v>
      </c>
      <c r="AI2099" s="115" t="s">
        <v>12383</v>
      </c>
      <c r="AJ2099" s="116">
        <v>0.5</v>
      </c>
      <c r="AK2099" s="160"/>
      <c r="AL2099" s="160"/>
      <c r="AM2099" s="160"/>
      <c r="AN2099" s="160"/>
      <c r="AO2099" s="160"/>
    </row>
    <row r="2100" ht="34.5" customHeight="1">
      <c r="A2100" s="111">
        <v>2817.0</v>
      </c>
      <c r="B2100" s="111" t="s">
        <v>10102</v>
      </c>
      <c r="C2100" s="111" t="s">
        <v>10072</v>
      </c>
      <c r="D2100" s="111"/>
      <c r="E2100" s="111"/>
      <c r="F2100" s="111" t="s">
        <v>12397</v>
      </c>
      <c r="G2100" s="111" t="s">
        <v>12226</v>
      </c>
      <c r="H2100" s="111"/>
      <c r="I2100" s="111" t="s">
        <v>12287</v>
      </c>
      <c r="J2100" s="111"/>
      <c r="K2100" s="111" t="s">
        <v>30</v>
      </c>
      <c r="L2100" s="111">
        <v>1.0</v>
      </c>
      <c r="M2100" s="111"/>
      <c r="N2100" s="111"/>
      <c r="O2100" s="111"/>
      <c r="P2100" s="111">
        <v>1.0</v>
      </c>
      <c r="Q2100" s="111"/>
      <c r="R2100" s="111"/>
      <c r="S2100" s="111"/>
      <c r="T2100" s="111"/>
      <c r="U2100" s="111"/>
      <c r="V2100" s="111"/>
      <c r="W2100" s="111"/>
      <c r="X2100" s="111"/>
      <c r="Y2100" s="111"/>
      <c r="Z2100" s="111" t="s">
        <v>12422</v>
      </c>
      <c r="AA2100" s="124">
        <v>10.0</v>
      </c>
      <c r="AB2100" s="125">
        <f>IF(Projects!$AI2100="Electrolysis",
AA2100/VLOOKUP(G2100,ElectrolysisConvF,3,FALSE),
AC2100*10^6/(H2dens*HoursInYear))</f>
        <v>1923.076923</v>
      </c>
      <c r="AC2100" s="125">
        <f t="shared" si="397"/>
        <v>1.499307692</v>
      </c>
      <c r="AD2100" s="125"/>
      <c r="AE2100" s="125">
        <f t="shared" si="392"/>
        <v>1923.076923</v>
      </c>
      <c r="AF2100" s="127" t="s">
        <v>15132</v>
      </c>
      <c r="AG2100" s="127">
        <v>45.289145799217</v>
      </c>
      <c r="AH2100" s="127">
        <v>14.532670750989</v>
      </c>
      <c r="AI2100" s="115" t="s">
        <v>12383</v>
      </c>
      <c r="AJ2100" s="116">
        <v>0.57</v>
      </c>
      <c r="AK2100" s="160"/>
      <c r="AL2100" s="160"/>
      <c r="AM2100" s="160"/>
      <c r="AN2100" s="160"/>
      <c r="AO2100" s="160"/>
    </row>
    <row r="2101" ht="34.5" customHeight="1">
      <c r="A2101" s="111">
        <v>2818.0</v>
      </c>
      <c r="B2101" s="111" t="s">
        <v>10103</v>
      </c>
      <c r="C2101" s="111" t="s">
        <v>8021</v>
      </c>
      <c r="D2101" s="111"/>
      <c r="E2101" s="111"/>
      <c r="F2101" s="111" t="s">
        <v>12399</v>
      </c>
      <c r="G2101" s="111" t="s">
        <v>12233</v>
      </c>
      <c r="H2101" s="111"/>
      <c r="I2101" s="111"/>
      <c r="J2101" s="111"/>
      <c r="K2101" s="111" t="s">
        <v>30</v>
      </c>
      <c r="L2101" s="111"/>
      <c r="M2101" s="111"/>
      <c r="N2101" s="111"/>
      <c r="O2101" s="111"/>
      <c r="P2101" s="111"/>
      <c r="Q2101" s="111"/>
      <c r="R2101" s="111"/>
      <c r="S2101" s="111"/>
      <c r="T2101" s="111"/>
      <c r="U2101" s="111"/>
      <c r="V2101" s="111"/>
      <c r="W2101" s="111"/>
      <c r="X2101" s="111"/>
      <c r="Y2101" s="111"/>
      <c r="Z2101" s="111"/>
      <c r="AA2101" s="124"/>
      <c r="AB2101" s="125"/>
      <c r="AC2101" s="125"/>
      <c r="AD2101" s="125"/>
      <c r="AE2101" s="125">
        <f t="shared" si="392"/>
        <v>0</v>
      </c>
      <c r="AF2101" s="127" t="s">
        <v>15133</v>
      </c>
      <c r="AG2101" s="127">
        <v>-38.4370189772945</v>
      </c>
      <c r="AH2101" s="127">
        <v>146.635529833934</v>
      </c>
      <c r="AI2101" s="115" t="s">
        <v>12378</v>
      </c>
      <c r="AJ2101" s="116">
        <v>0.9</v>
      </c>
      <c r="AK2101" s="160"/>
      <c r="AL2101" s="160"/>
      <c r="AM2101" s="160"/>
      <c r="AN2101" s="160"/>
      <c r="AO2101" s="160"/>
    </row>
    <row r="2102" ht="34.5" customHeight="1">
      <c r="A2102" s="111">
        <v>2819.0</v>
      </c>
      <c r="B2102" s="111" t="s">
        <v>10104</v>
      </c>
      <c r="C2102" s="111" t="s">
        <v>7981</v>
      </c>
      <c r="D2102" s="111">
        <v>2030.0</v>
      </c>
      <c r="E2102" s="111"/>
      <c r="F2102" s="111" t="s">
        <v>12399</v>
      </c>
      <c r="G2102" s="111" t="s">
        <v>12235</v>
      </c>
      <c r="H2102" s="111" t="s">
        <v>13160</v>
      </c>
      <c r="I2102" s="111"/>
      <c r="J2102" s="111"/>
      <c r="K2102" s="111" t="s">
        <v>30</v>
      </c>
      <c r="L2102" s="111"/>
      <c r="M2102" s="111"/>
      <c r="N2102" s="111"/>
      <c r="O2102" s="111">
        <v>1.0</v>
      </c>
      <c r="P2102" s="111">
        <v>1.0</v>
      </c>
      <c r="Q2102" s="111">
        <v>1.0</v>
      </c>
      <c r="R2102" s="111">
        <v>1.0</v>
      </c>
      <c r="S2102" s="111"/>
      <c r="T2102" s="111"/>
      <c r="U2102" s="111"/>
      <c r="V2102" s="111"/>
      <c r="W2102" s="111"/>
      <c r="X2102" s="111"/>
      <c r="Y2102" s="111"/>
      <c r="Z2102" s="111" t="s">
        <v>15134</v>
      </c>
      <c r="AA2102" s="124" t="str">
        <f>IF(OR(G2102="ALK",G2102="PEM",G2102="SOEC",G2102="Other Electrolysis"),
AB2102*VLOOKUP(G2102,ElectrolysisConvF,3,FALSE),
"")</f>
        <v/>
      </c>
      <c r="AB2102" s="125"/>
      <c r="AC2102" s="125">
        <f t="shared" ref="AC2102:AC2105" si="398">500*365/1000</f>
        <v>182.5</v>
      </c>
      <c r="AD2102" s="125">
        <v>1700000.0</v>
      </c>
      <c r="AE2102" s="125">
        <f t="shared" si="392"/>
        <v>213139.9527</v>
      </c>
      <c r="AF2102" s="127" t="s">
        <v>15135</v>
      </c>
      <c r="AG2102" s="127">
        <v>38.723745100966</v>
      </c>
      <c r="AH2102" s="127">
        <v>-82.101964763115</v>
      </c>
      <c r="AI2102" s="115" t="s">
        <v>12378</v>
      </c>
      <c r="AJ2102" s="116">
        <v>0.9</v>
      </c>
      <c r="AK2102" s="160"/>
      <c r="AL2102" s="160"/>
      <c r="AM2102" s="160"/>
      <c r="AN2102" s="160"/>
      <c r="AO2102" s="160"/>
    </row>
    <row r="2103" ht="34.5" customHeight="1">
      <c r="A2103" s="111">
        <v>2820.0</v>
      </c>
      <c r="B2103" s="111" t="s">
        <v>10105</v>
      </c>
      <c r="C2103" s="111" t="s">
        <v>7981</v>
      </c>
      <c r="D2103" s="111"/>
      <c r="E2103" s="111"/>
      <c r="F2103" s="111" t="s">
        <v>12397</v>
      </c>
      <c r="G2103" s="111" t="s">
        <v>12235</v>
      </c>
      <c r="H2103" s="111" t="s">
        <v>13160</v>
      </c>
      <c r="I2103" s="111"/>
      <c r="J2103" s="111"/>
      <c r="K2103" s="111" t="s">
        <v>30</v>
      </c>
      <c r="L2103" s="111"/>
      <c r="M2103" s="111"/>
      <c r="N2103" s="111"/>
      <c r="O2103" s="111">
        <v>1.0</v>
      </c>
      <c r="P2103" s="111">
        <v>1.0</v>
      </c>
      <c r="Q2103" s="111">
        <v>1.0</v>
      </c>
      <c r="R2103" s="111">
        <v>1.0</v>
      </c>
      <c r="S2103" s="111"/>
      <c r="T2103" s="111"/>
      <c r="U2103" s="111"/>
      <c r="V2103" s="111"/>
      <c r="W2103" s="111"/>
      <c r="X2103" s="111"/>
      <c r="Y2103" s="111"/>
      <c r="Z2103" s="111" t="s">
        <v>15134</v>
      </c>
      <c r="AA2103" s="124" t="str">
        <f>IF(OR(G2103="ALK",G2103="PEM",G2103="SOEC",G2103="Other Electrolysis"),
AB2103*VLOOKUP(G2103,ElectrolysisConvF,3,FALSE),
"")</f>
        <v/>
      </c>
      <c r="AB2103" s="125"/>
      <c r="AC2103" s="125">
        <f t="shared" si="398"/>
        <v>182.5</v>
      </c>
      <c r="AD2103" s="125">
        <v>1700000.0</v>
      </c>
      <c r="AE2103" s="125">
        <f t="shared" si="392"/>
        <v>213139.9527</v>
      </c>
      <c r="AF2103" s="127" t="s">
        <v>15135</v>
      </c>
      <c r="AG2103" s="127">
        <v>38.723745100966</v>
      </c>
      <c r="AH2103" s="127">
        <v>-82.101964763115</v>
      </c>
      <c r="AI2103" s="115" t="s">
        <v>12378</v>
      </c>
      <c r="AJ2103" s="116">
        <v>0.9</v>
      </c>
      <c r="AK2103" s="160"/>
      <c r="AL2103" s="160"/>
      <c r="AM2103" s="160"/>
      <c r="AN2103" s="160"/>
      <c r="AO2103" s="160"/>
    </row>
    <row r="2104" ht="34.5" customHeight="1">
      <c r="A2104" s="111">
        <v>2821.0</v>
      </c>
      <c r="B2104" s="111" t="s">
        <v>10106</v>
      </c>
      <c r="C2104" s="111" t="s">
        <v>7981</v>
      </c>
      <c r="D2104" s="111"/>
      <c r="E2104" s="111"/>
      <c r="F2104" s="111" t="s">
        <v>12397</v>
      </c>
      <c r="G2104" s="111" t="s">
        <v>12235</v>
      </c>
      <c r="H2104" s="111" t="s">
        <v>13160</v>
      </c>
      <c r="I2104" s="111"/>
      <c r="J2104" s="111"/>
      <c r="K2104" s="111" t="s">
        <v>30</v>
      </c>
      <c r="L2104" s="111"/>
      <c r="M2104" s="111"/>
      <c r="N2104" s="111"/>
      <c r="O2104" s="111">
        <v>1.0</v>
      </c>
      <c r="P2104" s="111">
        <v>1.0</v>
      </c>
      <c r="Q2104" s="111">
        <v>1.0</v>
      </c>
      <c r="R2104" s="111">
        <v>1.0</v>
      </c>
      <c r="S2104" s="111"/>
      <c r="T2104" s="111"/>
      <c r="U2104" s="111"/>
      <c r="V2104" s="111"/>
      <c r="W2104" s="111"/>
      <c r="X2104" s="111"/>
      <c r="Y2104" s="111"/>
      <c r="Z2104" s="111" t="s">
        <v>15134</v>
      </c>
      <c r="AA2104" s="124" t="str">
        <f>IF(OR(G2104="ALK",G2104="PEM",G2104="SOEC",G2104="Other Electrolysis"),
AB2104*VLOOKUP(G2104,ElectrolysisConvF,3,FALSE),
"")</f>
        <v/>
      </c>
      <c r="AB2104" s="125"/>
      <c r="AC2104" s="125">
        <f t="shared" si="398"/>
        <v>182.5</v>
      </c>
      <c r="AD2104" s="125">
        <v>1700000.0</v>
      </c>
      <c r="AE2104" s="125">
        <f t="shared" si="392"/>
        <v>213139.9527</v>
      </c>
      <c r="AF2104" s="127" t="s">
        <v>15135</v>
      </c>
      <c r="AG2104" s="127">
        <v>38.723745100966</v>
      </c>
      <c r="AH2104" s="127">
        <v>-82.101964763115</v>
      </c>
      <c r="AI2104" s="115" t="s">
        <v>12378</v>
      </c>
      <c r="AJ2104" s="116">
        <v>0.9</v>
      </c>
      <c r="AK2104" s="160"/>
      <c r="AL2104" s="160"/>
      <c r="AM2104" s="160"/>
      <c r="AN2104" s="160"/>
      <c r="AO2104" s="160"/>
    </row>
    <row r="2105" ht="34.5" customHeight="1">
      <c r="A2105" s="111">
        <v>2822.0</v>
      </c>
      <c r="B2105" s="111" t="s">
        <v>10107</v>
      </c>
      <c r="C2105" s="111" t="s">
        <v>7981</v>
      </c>
      <c r="D2105" s="111"/>
      <c r="E2105" s="111"/>
      <c r="F2105" s="111" t="s">
        <v>12397</v>
      </c>
      <c r="G2105" s="111" t="s">
        <v>12235</v>
      </c>
      <c r="H2105" s="111" t="s">
        <v>13160</v>
      </c>
      <c r="I2105" s="111"/>
      <c r="J2105" s="111"/>
      <c r="K2105" s="111" t="s">
        <v>30</v>
      </c>
      <c r="L2105" s="111"/>
      <c r="M2105" s="111"/>
      <c r="N2105" s="111"/>
      <c r="O2105" s="111">
        <v>1.0</v>
      </c>
      <c r="P2105" s="111">
        <v>1.0</v>
      </c>
      <c r="Q2105" s="111">
        <v>1.0</v>
      </c>
      <c r="R2105" s="111">
        <v>1.0</v>
      </c>
      <c r="S2105" s="111"/>
      <c r="T2105" s="111"/>
      <c r="U2105" s="111"/>
      <c r="V2105" s="111"/>
      <c r="W2105" s="111"/>
      <c r="X2105" s="111"/>
      <c r="Y2105" s="111"/>
      <c r="Z2105" s="111" t="s">
        <v>15134</v>
      </c>
      <c r="AA2105" s="124" t="str">
        <f>IF(OR(G2105="ALK",G2105="PEM",G2105="SOEC",G2105="Other Electrolysis"),
AB2105*VLOOKUP(G2105,ElectrolysisConvF,3,FALSE),
"")</f>
        <v/>
      </c>
      <c r="AB2105" s="125"/>
      <c r="AC2105" s="125">
        <f t="shared" si="398"/>
        <v>182.5</v>
      </c>
      <c r="AD2105" s="125">
        <v>1700000.0</v>
      </c>
      <c r="AE2105" s="125">
        <f t="shared" si="392"/>
        <v>213139.9527</v>
      </c>
      <c r="AF2105" s="127" t="s">
        <v>15135</v>
      </c>
      <c r="AG2105" s="127">
        <v>38.723745100966</v>
      </c>
      <c r="AH2105" s="127">
        <v>-82.101964763115</v>
      </c>
      <c r="AI2105" s="115" t="s">
        <v>12378</v>
      </c>
      <c r="AJ2105" s="116">
        <v>0.9</v>
      </c>
      <c r="AK2105" s="160"/>
      <c r="AL2105" s="160"/>
      <c r="AM2105" s="160"/>
      <c r="AN2105" s="160"/>
      <c r="AO2105" s="160"/>
    </row>
    <row r="2106" ht="34.5" customHeight="1">
      <c r="A2106" s="111">
        <v>2823.0</v>
      </c>
      <c r="B2106" s="111" t="s">
        <v>10108</v>
      </c>
      <c r="C2106" s="111" t="s">
        <v>7981</v>
      </c>
      <c r="D2106" s="111">
        <v>2026.0</v>
      </c>
      <c r="E2106" s="111"/>
      <c r="F2106" s="111" t="s">
        <v>12393</v>
      </c>
      <c r="G2106" s="111" t="s">
        <v>12235</v>
      </c>
      <c r="H2106" s="111" t="s">
        <v>13160</v>
      </c>
      <c r="I2106" s="111"/>
      <c r="J2106" s="111"/>
      <c r="K2106" s="111" t="s">
        <v>30</v>
      </c>
      <c r="L2106" s="111">
        <v>1.0</v>
      </c>
      <c r="M2106" s="111"/>
      <c r="N2106" s="111"/>
      <c r="O2106" s="111"/>
      <c r="P2106" s="111"/>
      <c r="Q2106" s="111"/>
      <c r="R2106" s="111"/>
      <c r="S2106" s="111"/>
      <c r="T2106" s="111"/>
      <c r="U2106" s="111"/>
      <c r="V2106" s="111"/>
      <c r="W2106" s="111"/>
      <c r="X2106" s="111"/>
      <c r="Y2106" s="111"/>
      <c r="Z2106" s="111" t="s">
        <v>15136</v>
      </c>
      <c r="AA2106" s="124" t="str">
        <f>IF(OR(G2106="ALK",G2106="PEM",G2106="SOEC",G2106="Other Electrolysis"),
AB2106*VLOOKUP(G2106,ElectrolysisConvF,3,FALSE),
"")</f>
        <v/>
      </c>
      <c r="AB2106" s="125"/>
      <c r="AC2106" s="125"/>
      <c r="AD2106" s="125">
        <v>650000.0</v>
      </c>
      <c r="AE2106" s="125">
        <f t="shared" si="392"/>
        <v>81494.6878</v>
      </c>
      <c r="AF2106" s="127" t="s">
        <v>15137</v>
      </c>
      <c r="AG2106" s="127">
        <v>53.796743099579</v>
      </c>
      <c r="AH2106" s="127">
        <v>-113.091151469817</v>
      </c>
      <c r="AI2106" s="115" t="s">
        <v>12378</v>
      </c>
      <c r="AJ2106" s="116">
        <v>0.9</v>
      </c>
      <c r="AK2106" s="160"/>
      <c r="AL2106" s="160"/>
      <c r="AM2106" s="160"/>
      <c r="AN2106" s="160"/>
      <c r="AO2106" s="160"/>
    </row>
    <row r="2107" ht="34.5" customHeight="1">
      <c r="A2107" s="111">
        <v>2824.0</v>
      </c>
      <c r="B2107" s="111" t="s">
        <v>10109</v>
      </c>
      <c r="C2107" s="111" t="s">
        <v>7971</v>
      </c>
      <c r="D2107" s="111"/>
      <c r="E2107" s="111"/>
      <c r="F2107" s="111" t="s">
        <v>12399</v>
      </c>
      <c r="G2107" s="111" t="s">
        <v>12235</v>
      </c>
      <c r="H2107" s="111" t="s">
        <v>13160</v>
      </c>
      <c r="I2107" s="111"/>
      <c r="J2107" s="111"/>
      <c r="K2107" s="111" t="s">
        <v>30</v>
      </c>
      <c r="L2107" s="111">
        <v>1.0</v>
      </c>
      <c r="M2107" s="111"/>
      <c r="N2107" s="111"/>
      <c r="O2107" s="111"/>
      <c r="P2107" s="111"/>
      <c r="Q2107" s="111"/>
      <c r="R2107" s="111"/>
      <c r="S2107" s="111"/>
      <c r="T2107" s="111"/>
      <c r="U2107" s="111"/>
      <c r="V2107" s="111"/>
      <c r="W2107" s="111"/>
      <c r="X2107" s="111"/>
      <c r="Y2107" s="111"/>
      <c r="Z2107" s="111"/>
      <c r="AA2107" s="124" t="str">
        <f>IF(OR(G2107="ALK",G2107="PEM",G2107="SOEC",G2107="Other Electrolysis"),
AB2107*VLOOKUP(G2107,ElectrolysisConvF,3,FALSE),
"")</f>
        <v/>
      </c>
      <c r="AB2107" s="125"/>
      <c r="AC2107" s="125"/>
      <c r="AD2107" s="125"/>
      <c r="AE2107" s="125">
        <f t="shared" si="392"/>
        <v>0</v>
      </c>
      <c r="AF2107" s="127" t="s">
        <v>15138</v>
      </c>
      <c r="AG2107" s="127">
        <v>60.8027912977047</v>
      </c>
      <c r="AH2107" s="127">
        <v>5.018351211969</v>
      </c>
      <c r="AI2107" s="115" t="s">
        <v>12378</v>
      </c>
      <c r="AJ2107" s="116">
        <v>0.9</v>
      </c>
      <c r="AK2107" s="160"/>
      <c r="AL2107" s="160"/>
      <c r="AM2107" s="160"/>
      <c r="AN2107" s="160"/>
      <c r="AO2107" s="160"/>
    </row>
    <row r="2108" ht="34.5" customHeight="1">
      <c r="A2108" s="111">
        <v>2825.0</v>
      </c>
      <c r="B2108" s="111" t="s">
        <v>10110</v>
      </c>
      <c r="C2108" s="111" t="s">
        <v>7981</v>
      </c>
      <c r="D2108" s="111"/>
      <c r="E2108" s="111"/>
      <c r="F2108" s="111" t="s">
        <v>12397</v>
      </c>
      <c r="G2108" s="111" t="s">
        <v>12381</v>
      </c>
      <c r="H2108" s="111" t="s">
        <v>12230</v>
      </c>
      <c r="I2108" s="111" t="s">
        <v>12287</v>
      </c>
      <c r="J2108" s="111"/>
      <c r="K2108" s="111" t="s">
        <v>30</v>
      </c>
      <c r="L2108" s="111"/>
      <c r="M2108" s="111"/>
      <c r="N2108" s="111"/>
      <c r="O2108" s="111"/>
      <c r="P2108" s="111"/>
      <c r="Q2108" s="111">
        <v>1.0</v>
      </c>
      <c r="R2108" s="111"/>
      <c r="S2108" s="111"/>
      <c r="T2108" s="111"/>
      <c r="U2108" s="111"/>
      <c r="V2108" s="111"/>
      <c r="W2108" s="111"/>
      <c r="X2108" s="111"/>
      <c r="Y2108" s="111"/>
      <c r="Z2108" s="111" t="s">
        <v>15139</v>
      </c>
      <c r="AA2108" s="124">
        <f>IF(Projects!$AI2108="Electrolysis",
AB2108*VLOOKUP(G2108,ElectrolysisConvF,3,FALSE),
"")</f>
        <v>443.5245417</v>
      </c>
      <c r="AB2108" s="125">
        <f>AC2108/(H2dens*HoursInYear/10^6)</f>
        <v>98561.00926</v>
      </c>
      <c r="AC2108" s="125">
        <f>0.12*365/Projects!$AJ2108</f>
        <v>76.84210526</v>
      </c>
      <c r="AD2108" s="125"/>
      <c r="AE2108" s="125">
        <f t="shared" si="392"/>
        <v>98561.00926</v>
      </c>
      <c r="AF2108" s="127" t="s">
        <v>15140</v>
      </c>
      <c r="AG2108" s="127">
        <v>33.4963936286278</v>
      </c>
      <c r="AH2108" s="127">
        <v>-112.93286643472</v>
      </c>
      <c r="AI2108" s="115" t="s">
        <v>12383</v>
      </c>
      <c r="AJ2108" s="116">
        <v>0.57</v>
      </c>
      <c r="AK2108" s="160"/>
      <c r="AL2108" s="160"/>
      <c r="AM2108" s="160"/>
      <c r="AN2108" s="160"/>
      <c r="AO2108" s="160"/>
    </row>
    <row r="2109" ht="34.5" customHeight="1">
      <c r="A2109" s="111">
        <v>2826.0</v>
      </c>
      <c r="B2109" s="111" t="s">
        <v>10111</v>
      </c>
      <c r="C2109" s="111" t="s">
        <v>7987</v>
      </c>
      <c r="D2109" s="111">
        <v>2026.0</v>
      </c>
      <c r="E2109" s="111"/>
      <c r="F2109" s="111" t="s">
        <v>12399</v>
      </c>
      <c r="G2109" s="111" t="s">
        <v>12224</v>
      </c>
      <c r="H2109" s="111"/>
      <c r="I2109" s="111" t="s">
        <v>12287</v>
      </c>
      <c r="J2109" s="111"/>
      <c r="K2109" s="111" t="s">
        <v>30</v>
      </c>
      <c r="L2109" s="111"/>
      <c r="M2109" s="111"/>
      <c r="N2109" s="111"/>
      <c r="O2109" s="111">
        <v>1.0</v>
      </c>
      <c r="P2109" s="111"/>
      <c r="Q2109" s="111"/>
      <c r="R2109" s="111"/>
      <c r="S2109" s="111"/>
      <c r="T2109" s="111"/>
      <c r="U2109" s="111"/>
      <c r="V2109" s="111"/>
      <c r="W2109" s="111"/>
      <c r="X2109" s="111"/>
      <c r="Y2109" s="111"/>
      <c r="Z2109" s="111" t="s">
        <v>15141</v>
      </c>
      <c r="AA2109" s="124">
        <v>100.0</v>
      </c>
      <c r="AB2109" s="125">
        <f>IF(Projects!$AI2109="Electrolysis",
AA2109/VLOOKUP(G2109,ElectrolysisConvF,3,FALSE),
AC2109*10^6/(H2dens*HoursInYear))</f>
        <v>21739.13043</v>
      </c>
      <c r="AC2109" s="125">
        <f t="shared" ref="AC2109:AC2127" si="399">AB2109*H2dens*HoursInYear/10^6</f>
        <v>16.94869565</v>
      </c>
      <c r="AD2109" s="125"/>
      <c r="AE2109" s="125">
        <f t="shared" si="392"/>
        <v>21739.13043</v>
      </c>
      <c r="AF2109" s="127" t="s">
        <v>15142</v>
      </c>
      <c r="AG2109" s="127">
        <v>52.1523434613963</v>
      </c>
      <c r="AH2109" s="127">
        <v>10.4066598815022</v>
      </c>
      <c r="AI2109" s="115" t="s">
        <v>12383</v>
      </c>
      <c r="AJ2109" s="116">
        <v>0.57</v>
      </c>
      <c r="AK2109" s="160"/>
      <c r="AL2109" s="160"/>
      <c r="AM2109" s="160"/>
      <c r="AN2109" s="160"/>
      <c r="AO2109" s="160"/>
    </row>
    <row r="2110" ht="34.5" customHeight="1">
      <c r="A2110" s="111">
        <v>2827.0</v>
      </c>
      <c r="B2110" s="111" t="s">
        <v>10112</v>
      </c>
      <c r="C2110" s="111" t="s">
        <v>8539</v>
      </c>
      <c r="D2110" s="111">
        <v>2025.0</v>
      </c>
      <c r="E2110" s="111"/>
      <c r="F2110" s="111" t="s">
        <v>12399</v>
      </c>
      <c r="G2110" s="111" t="s">
        <v>12226</v>
      </c>
      <c r="H2110" s="111"/>
      <c r="I2110" s="111" t="s">
        <v>12287</v>
      </c>
      <c r="J2110" s="111"/>
      <c r="K2110" s="111" t="s">
        <v>30</v>
      </c>
      <c r="L2110" s="111"/>
      <c r="M2110" s="111"/>
      <c r="N2110" s="111"/>
      <c r="O2110" s="111"/>
      <c r="P2110" s="111"/>
      <c r="Q2110" s="111">
        <v>1.0</v>
      </c>
      <c r="R2110" s="111"/>
      <c r="S2110" s="111"/>
      <c r="T2110" s="111"/>
      <c r="U2110" s="111"/>
      <c r="V2110" s="111"/>
      <c r="W2110" s="111"/>
      <c r="X2110" s="111"/>
      <c r="Y2110" s="111"/>
      <c r="Z2110" s="111" t="s">
        <v>15143</v>
      </c>
      <c r="AA2110" s="124">
        <v>2.5</v>
      </c>
      <c r="AB2110" s="125">
        <f>IF(Projects!$AI2110="Electrolysis",
AA2110/VLOOKUP(G2110,ElectrolysisConvF,3,FALSE),
AC2110*10^6/(H2dens*HoursInYear))</f>
        <v>480.7692308</v>
      </c>
      <c r="AC2110" s="125">
        <f t="shared" si="399"/>
        <v>0.3748269231</v>
      </c>
      <c r="AD2110" s="125"/>
      <c r="AE2110" s="125">
        <f t="shared" si="392"/>
        <v>480.7692308</v>
      </c>
      <c r="AF2110" s="127" t="s">
        <v>15144</v>
      </c>
      <c r="AG2110" s="127">
        <v>35.717658315057</v>
      </c>
      <c r="AH2110" s="127">
        <v>127.152888786892</v>
      </c>
      <c r="AI2110" s="115" t="s">
        <v>12383</v>
      </c>
      <c r="AJ2110" s="116">
        <v>0.57</v>
      </c>
      <c r="AK2110" s="160"/>
      <c r="AL2110" s="160"/>
      <c r="AM2110" s="160"/>
      <c r="AN2110" s="160"/>
      <c r="AO2110" s="160"/>
    </row>
    <row r="2111" ht="34.5" customHeight="1">
      <c r="A2111" s="111">
        <v>2828.0</v>
      </c>
      <c r="B2111" s="111" t="s">
        <v>10113</v>
      </c>
      <c r="C2111" s="111" t="s">
        <v>8047</v>
      </c>
      <c r="D2111" s="111">
        <v>2026.0</v>
      </c>
      <c r="E2111" s="111"/>
      <c r="F2111" s="111" t="s">
        <v>12399</v>
      </c>
      <c r="G2111" s="111" t="s">
        <v>12381</v>
      </c>
      <c r="H2111" s="111" t="s">
        <v>12230</v>
      </c>
      <c r="I2111" s="111" t="s">
        <v>12759</v>
      </c>
      <c r="J2111" s="111"/>
      <c r="K2111" s="111" t="s">
        <v>30</v>
      </c>
      <c r="L2111" s="111"/>
      <c r="M2111" s="111"/>
      <c r="N2111" s="111"/>
      <c r="O2111" s="111"/>
      <c r="P2111" s="111"/>
      <c r="Q2111" s="111"/>
      <c r="R2111" s="111"/>
      <c r="S2111" s="111"/>
      <c r="T2111" s="111"/>
      <c r="U2111" s="111"/>
      <c r="V2111" s="111"/>
      <c r="W2111" s="111"/>
      <c r="X2111" s="111"/>
      <c r="Y2111" s="111"/>
      <c r="Z2111" s="111" t="s">
        <v>12424</v>
      </c>
      <c r="AA2111" s="124">
        <v>2.0</v>
      </c>
      <c r="AB2111" s="125">
        <f>IF(Projects!$AI2111="Electrolysis",
AA2111/VLOOKUP(G2111,ElectrolysisConvF,3,FALSE),
AC2111*10^6/(H2dens*HoursInYear))</f>
        <v>444.4444444</v>
      </c>
      <c r="AC2111" s="125">
        <f t="shared" si="399"/>
        <v>0.3465066667</v>
      </c>
      <c r="AD2111" s="125"/>
      <c r="AE2111" s="125">
        <f t="shared" si="392"/>
        <v>444.4444444</v>
      </c>
      <c r="AF2111" s="127"/>
      <c r="AG2111" s="127">
        <v>40.5658421734616</v>
      </c>
      <c r="AH2111" s="127">
        <v>18.0408215670188</v>
      </c>
      <c r="AI2111" s="115" t="s">
        <v>12383</v>
      </c>
      <c r="AJ2111" s="116">
        <v>0.7</v>
      </c>
      <c r="AK2111" s="160"/>
      <c r="AL2111" s="160"/>
      <c r="AM2111" s="160"/>
      <c r="AN2111" s="160"/>
      <c r="AO2111" s="160"/>
    </row>
    <row r="2112" ht="34.5" customHeight="1">
      <c r="A2112" s="111">
        <v>2829.0</v>
      </c>
      <c r="B2112" s="111" t="s">
        <v>10114</v>
      </c>
      <c r="C2112" s="111" t="s">
        <v>7977</v>
      </c>
      <c r="D2112" s="111"/>
      <c r="E2112" s="111"/>
      <c r="F2112" s="111" t="s">
        <v>12397</v>
      </c>
      <c r="G2112" s="111" t="s">
        <v>12381</v>
      </c>
      <c r="H2112" s="111" t="s">
        <v>12230</v>
      </c>
      <c r="I2112" s="111" t="s">
        <v>12287</v>
      </c>
      <c r="J2112" s="111"/>
      <c r="K2112" s="111" t="s">
        <v>30</v>
      </c>
      <c r="L2112" s="111"/>
      <c r="M2112" s="111"/>
      <c r="N2112" s="111"/>
      <c r="O2112" s="111"/>
      <c r="P2112" s="111">
        <v>1.0</v>
      </c>
      <c r="Q2112" s="111"/>
      <c r="R2112" s="111"/>
      <c r="S2112" s="111"/>
      <c r="T2112" s="111"/>
      <c r="U2112" s="111"/>
      <c r="V2112" s="111"/>
      <c r="W2112" s="111"/>
      <c r="X2112" s="111"/>
      <c r="Y2112" s="111"/>
      <c r="Z2112" s="111" t="s">
        <v>12411</v>
      </c>
      <c r="AA2112" s="124">
        <v>20.0</v>
      </c>
      <c r="AB2112" s="125">
        <f>IF(Projects!$AI2112="Electrolysis",
AA2112/VLOOKUP(G2112,ElectrolysisConvF,3,FALSE),
AC2112*10^6/(H2dens*HoursInYear))</f>
        <v>4444.444444</v>
      </c>
      <c r="AC2112" s="125">
        <f t="shared" si="399"/>
        <v>3.465066667</v>
      </c>
      <c r="AD2112" s="125"/>
      <c r="AE2112" s="125">
        <f t="shared" si="392"/>
        <v>4444.444444</v>
      </c>
      <c r="AF2112" s="127" t="s">
        <v>15145</v>
      </c>
      <c r="AG2112" s="127">
        <v>41.3250902599708</v>
      </c>
      <c r="AH2112" s="127">
        <v>-0.427870477158879</v>
      </c>
      <c r="AI2112" s="115" t="s">
        <v>12383</v>
      </c>
      <c r="AJ2112" s="116">
        <v>0.57</v>
      </c>
      <c r="AK2112" s="160"/>
      <c r="AL2112" s="160"/>
      <c r="AM2112" s="160"/>
      <c r="AN2112" s="160"/>
      <c r="AO2112" s="160"/>
    </row>
    <row r="2113" ht="34.5" customHeight="1">
      <c r="A2113" s="111">
        <v>2830.0</v>
      </c>
      <c r="B2113" s="111" t="s">
        <v>10115</v>
      </c>
      <c r="C2113" s="111" t="s">
        <v>7977</v>
      </c>
      <c r="D2113" s="111">
        <v>2028.0</v>
      </c>
      <c r="E2113" s="111"/>
      <c r="F2113" s="111" t="s">
        <v>12399</v>
      </c>
      <c r="G2113" s="111" t="s">
        <v>12381</v>
      </c>
      <c r="H2113" s="111" t="s">
        <v>12230</v>
      </c>
      <c r="I2113" s="111" t="s">
        <v>12287</v>
      </c>
      <c r="J2113" s="111"/>
      <c r="K2113" s="111" t="s">
        <v>30</v>
      </c>
      <c r="L2113" s="111"/>
      <c r="M2113" s="111"/>
      <c r="N2113" s="111">
        <v>1.0</v>
      </c>
      <c r="O2113" s="111"/>
      <c r="P2113" s="111"/>
      <c r="Q2113" s="111"/>
      <c r="R2113" s="111"/>
      <c r="S2113" s="111"/>
      <c r="T2113" s="111"/>
      <c r="U2113" s="111"/>
      <c r="V2113" s="111"/>
      <c r="W2113" s="111"/>
      <c r="X2113" s="111"/>
      <c r="Y2113" s="111"/>
      <c r="Z2113" s="111" t="s">
        <v>13912</v>
      </c>
      <c r="AA2113" s="124">
        <v>50.0</v>
      </c>
      <c r="AB2113" s="125">
        <f>IF(Projects!$AI2113="Electrolysis",
AA2113/VLOOKUP(G2113,ElectrolysisConvF,3,FALSE),
AC2113*10^6/(H2dens*HoursInYear))</f>
        <v>11111.11111</v>
      </c>
      <c r="AC2113" s="125">
        <f t="shared" si="399"/>
        <v>8.662666667</v>
      </c>
      <c r="AD2113" s="125"/>
      <c r="AE2113" s="125">
        <f t="shared" si="392"/>
        <v>11111.11111</v>
      </c>
      <c r="AF2113" s="127" t="s">
        <v>15145</v>
      </c>
      <c r="AG2113" s="127">
        <v>43.5333826397664</v>
      </c>
      <c r="AH2113" s="127">
        <v>-5.69045214460794</v>
      </c>
      <c r="AI2113" s="115" t="s">
        <v>12383</v>
      </c>
      <c r="AJ2113" s="116">
        <v>0.57</v>
      </c>
      <c r="AK2113" s="160"/>
      <c r="AL2113" s="160"/>
      <c r="AM2113" s="160"/>
      <c r="AN2113" s="160"/>
      <c r="AO2113" s="160"/>
    </row>
    <row r="2114" ht="34.5" customHeight="1">
      <c r="A2114" s="111">
        <v>2831.0</v>
      </c>
      <c r="B2114" s="111" t="s">
        <v>10116</v>
      </c>
      <c r="C2114" s="111" t="s">
        <v>7977</v>
      </c>
      <c r="D2114" s="111"/>
      <c r="E2114" s="111"/>
      <c r="F2114" s="111" t="s">
        <v>12397</v>
      </c>
      <c r="G2114" s="111" t="s">
        <v>12381</v>
      </c>
      <c r="H2114" s="111" t="s">
        <v>12230</v>
      </c>
      <c r="I2114" s="111" t="s">
        <v>12287</v>
      </c>
      <c r="J2114" s="111"/>
      <c r="K2114" s="111" t="s">
        <v>30</v>
      </c>
      <c r="L2114" s="111"/>
      <c r="M2114" s="111">
        <v>1.0</v>
      </c>
      <c r="N2114" s="111"/>
      <c r="O2114" s="111"/>
      <c r="P2114" s="111"/>
      <c r="Q2114" s="111"/>
      <c r="R2114" s="111"/>
      <c r="S2114" s="111"/>
      <c r="T2114" s="111"/>
      <c r="U2114" s="111"/>
      <c r="V2114" s="111"/>
      <c r="W2114" s="111"/>
      <c r="X2114" s="111"/>
      <c r="Y2114" s="111"/>
      <c r="Z2114" s="111" t="s">
        <v>13912</v>
      </c>
      <c r="AA2114" s="124">
        <v>50.0</v>
      </c>
      <c r="AB2114" s="125">
        <f>IF(Projects!$AI2114="Electrolysis",
AA2114/VLOOKUP(G2114,ElectrolysisConvF,3,FALSE),
AC2114*10^6/(H2dens*HoursInYear))</f>
        <v>11111.11111</v>
      </c>
      <c r="AC2114" s="125">
        <f t="shared" si="399"/>
        <v>8.662666667</v>
      </c>
      <c r="AD2114" s="125"/>
      <c r="AE2114" s="125">
        <f t="shared" si="392"/>
        <v>11111.11111</v>
      </c>
      <c r="AF2114" s="127" t="s">
        <v>15145</v>
      </c>
      <c r="AG2114" s="127">
        <v>41.2350754732715</v>
      </c>
      <c r="AH2114" s="127">
        <v>-0.0489396207606994</v>
      </c>
      <c r="AI2114" s="115" t="s">
        <v>12383</v>
      </c>
      <c r="AJ2114" s="116">
        <v>0.57</v>
      </c>
      <c r="AK2114" s="160"/>
      <c r="AL2114" s="160"/>
      <c r="AM2114" s="160"/>
      <c r="AN2114" s="160"/>
      <c r="AO2114" s="160"/>
    </row>
    <row r="2115" ht="34.5" customHeight="1">
      <c r="A2115" s="111">
        <v>2832.0</v>
      </c>
      <c r="B2115" s="111" t="s">
        <v>10117</v>
      </c>
      <c r="C2115" s="111" t="s">
        <v>7977</v>
      </c>
      <c r="D2115" s="111"/>
      <c r="E2115" s="111"/>
      <c r="F2115" s="111" t="s">
        <v>12397</v>
      </c>
      <c r="G2115" s="111" t="s">
        <v>12381</v>
      </c>
      <c r="H2115" s="111" t="s">
        <v>12230</v>
      </c>
      <c r="I2115" s="111" t="s">
        <v>12287</v>
      </c>
      <c r="J2115" s="111"/>
      <c r="K2115" s="111" t="s">
        <v>30</v>
      </c>
      <c r="L2115" s="111"/>
      <c r="M2115" s="111">
        <v>1.0</v>
      </c>
      <c r="N2115" s="111"/>
      <c r="O2115" s="111"/>
      <c r="P2115" s="111">
        <v>1.0</v>
      </c>
      <c r="Q2115" s="111"/>
      <c r="R2115" s="111"/>
      <c r="S2115" s="111"/>
      <c r="T2115" s="111"/>
      <c r="U2115" s="111"/>
      <c r="V2115" s="111"/>
      <c r="W2115" s="111"/>
      <c r="X2115" s="111"/>
      <c r="Y2115" s="111"/>
      <c r="Z2115" s="111" t="s">
        <v>12800</v>
      </c>
      <c r="AA2115" s="124">
        <v>40.0</v>
      </c>
      <c r="AB2115" s="125">
        <f>IF(Projects!$AI2115="Electrolysis",
AA2115/VLOOKUP(G2115,ElectrolysisConvF,3,FALSE),
AC2115*10^6/(H2dens*HoursInYear))</f>
        <v>8888.888889</v>
      </c>
      <c r="AC2115" s="125">
        <f t="shared" si="399"/>
        <v>6.930133333</v>
      </c>
      <c r="AD2115" s="125"/>
      <c r="AE2115" s="125">
        <f t="shared" si="392"/>
        <v>8888.888889</v>
      </c>
      <c r="AF2115" s="127" t="s">
        <v>15146</v>
      </c>
      <c r="AG2115" s="127">
        <v>43.4552206166376</v>
      </c>
      <c r="AH2115" s="127">
        <v>-7.84226997511741</v>
      </c>
      <c r="AI2115" s="115" t="s">
        <v>12383</v>
      </c>
      <c r="AJ2115" s="116">
        <v>0.57</v>
      </c>
      <c r="AK2115" s="160"/>
      <c r="AL2115" s="160"/>
      <c r="AM2115" s="160"/>
      <c r="AN2115" s="160"/>
      <c r="AO2115" s="160"/>
    </row>
    <row r="2116" ht="34.5" customHeight="1">
      <c r="A2116" s="111">
        <v>2833.0</v>
      </c>
      <c r="B2116" s="111" t="s">
        <v>10118</v>
      </c>
      <c r="C2116" s="111" t="s">
        <v>7977</v>
      </c>
      <c r="D2116" s="111">
        <v>2026.0</v>
      </c>
      <c r="E2116" s="111"/>
      <c r="F2116" s="111" t="s">
        <v>12397</v>
      </c>
      <c r="G2116" s="111" t="s">
        <v>12226</v>
      </c>
      <c r="H2116" s="111"/>
      <c r="I2116" s="111" t="s">
        <v>12287</v>
      </c>
      <c r="J2116" s="111"/>
      <c r="K2116" s="111" t="s">
        <v>30</v>
      </c>
      <c r="L2116" s="111"/>
      <c r="M2116" s="111"/>
      <c r="N2116" s="111"/>
      <c r="O2116" s="111"/>
      <c r="P2116" s="111">
        <v>1.0</v>
      </c>
      <c r="Q2116" s="111">
        <v>1.0</v>
      </c>
      <c r="R2116" s="111"/>
      <c r="S2116" s="111"/>
      <c r="T2116" s="111"/>
      <c r="U2116" s="111"/>
      <c r="V2116" s="111"/>
      <c r="W2116" s="111"/>
      <c r="X2116" s="111"/>
      <c r="Y2116" s="111"/>
      <c r="Z2116" s="111" t="s">
        <v>15147</v>
      </c>
      <c r="AA2116" s="124">
        <v>15.0</v>
      </c>
      <c r="AB2116" s="125">
        <f>IF(Projects!$AI2116="Electrolysis",
AA2116/VLOOKUP(G2116,ElectrolysisConvF,3,FALSE),
AC2116*10^6/(H2dens*HoursInYear))</f>
        <v>2884.615385</v>
      </c>
      <c r="AC2116" s="125">
        <f t="shared" si="399"/>
        <v>2.248961538</v>
      </c>
      <c r="AD2116" s="125"/>
      <c r="AE2116" s="125">
        <f t="shared" si="392"/>
        <v>2884.615385</v>
      </c>
      <c r="AF2116" s="127" t="s">
        <v>15148</v>
      </c>
      <c r="AG2116" s="127">
        <v>41.2464483150638</v>
      </c>
      <c r="AH2116" s="127">
        <v>1.24650107892504</v>
      </c>
      <c r="AI2116" s="115" t="s">
        <v>12383</v>
      </c>
      <c r="AJ2116" s="116">
        <v>0.57</v>
      </c>
      <c r="AK2116" s="160"/>
      <c r="AL2116" s="160"/>
      <c r="AM2116" s="160"/>
      <c r="AN2116" s="160"/>
      <c r="AO2116" s="160"/>
    </row>
    <row r="2117" ht="34.5" customHeight="1">
      <c r="A2117" s="111">
        <v>2834.0</v>
      </c>
      <c r="B2117" s="111" t="s">
        <v>10119</v>
      </c>
      <c r="C2117" s="111" t="s">
        <v>7977</v>
      </c>
      <c r="D2117" s="111">
        <v>2025.0</v>
      </c>
      <c r="E2117" s="111"/>
      <c r="F2117" s="111" t="s">
        <v>12399</v>
      </c>
      <c r="G2117" s="111" t="s">
        <v>12381</v>
      </c>
      <c r="H2117" s="111" t="s">
        <v>12230</v>
      </c>
      <c r="I2117" s="111" t="s">
        <v>12287</v>
      </c>
      <c r="J2117" s="111"/>
      <c r="K2117" s="111" t="s">
        <v>30</v>
      </c>
      <c r="L2117" s="111"/>
      <c r="M2117" s="111"/>
      <c r="N2117" s="111"/>
      <c r="O2117" s="111"/>
      <c r="P2117" s="111"/>
      <c r="Q2117" s="111">
        <v>1.0</v>
      </c>
      <c r="R2117" s="111"/>
      <c r="S2117" s="111"/>
      <c r="T2117" s="111"/>
      <c r="U2117" s="111"/>
      <c r="V2117" s="111"/>
      <c r="W2117" s="111"/>
      <c r="X2117" s="111"/>
      <c r="Y2117" s="111"/>
      <c r="Z2117" s="111" t="s">
        <v>12422</v>
      </c>
      <c r="AA2117" s="124">
        <v>10.0</v>
      </c>
      <c r="AB2117" s="125">
        <f>IF(Projects!$AI2117="Electrolysis",
AA2117/VLOOKUP(G2117,ElectrolysisConvF,3,FALSE),
AC2117*10^6/(H2dens*HoursInYear))</f>
        <v>2222.222222</v>
      </c>
      <c r="AC2117" s="125">
        <f t="shared" si="399"/>
        <v>1.732533333</v>
      </c>
      <c r="AD2117" s="125"/>
      <c r="AE2117" s="125">
        <f t="shared" si="392"/>
        <v>2222.222222</v>
      </c>
      <c r="AF2117" s="127" t="s">
        <v>15145</v>
      </c>
      <c r="AG2117" s="127">
        <v>43.3515770530805</v>
      </c>
      <c r="AH2117" s="127">
        <v>-3.07964171746844</v>
      </c>
      <c r="AI2117" s="115" t="s">
        <v>12383</v>
      </c>
      <c r="AJ2117" s="116">
        <v>0.57</v>
      </c>
      <c r="AK2117" s="160"/>
      <c r="AL2117" s="160"/>
      <c r="AM2117" s="160"/>
      <c r="AN2117" s="160"/>
      <c r="AO2117" s="160"/>
    </row>
    <row r="2118" ht="34.5" customHeight="1">
      <c r="A2118" s="111">
        <v>2835.0</v>
      </c>
      <c r="B2118" s="111" t="s">
        <v>10120</v>
      </c>
      <c r="C2118" s="111" t="s">
        <v>7977</v>
      </c>
      <c r="D2118" s="111"/>
      <c r="E2118" s="111"/>
      <c r="F2118" s="111" t="s">
        <v>12397</v>
      </c>
      <c r="G2118" s="111" t="s">
        <v>12381</v>
      </c>
      <c r="H2118" s="111" t="s">
        <v>12230</v>
      </c>
      <c r="I2118" s="111" t="s">
        <v>12287</v>
      </c>
      <c r="J2118" s="111"/>
      <c r="K2118" s="111" t="s">
        <v>30</v>
      </c>
      <c r="L2118" s="111"/>
      <c r="M2118" s="111"/>
      <c r="N2118" s="111"/>
      <c r="O2118" s="111"/>
      <c r="P2118" s="111">
        <v>1.0</v>
      </c>
      <c r="Q2118" s="111">
        <v>1.0</v>
      </c>
      <c r="R2118" s="111"/>
      <c r="S2118" s="111"/>
      <c r="T2118" s="111"/>
      <c r="U2118" s="111"/>
      <c r="V2118" s="111"/>
      <c r="W2118" s="111"/>
      <c r="X2118" s="111"/>
      <c r="Y2118" s="111"/>
      <c r="Z2118" s="111" t="s">
        <v>12422</v>
      </c>
      <c r="AA2118" s="124">
        <v>10.0</v>
      </c>
      <c r="AB2118" s="125">
        <f>IF(Projects!$AI2118="Electrolysis",
AA2118/VLOOKUP(G2118,ElectrolysisConvF,3,FALSE),
AC2118*10^6/(H2dens*HoursInYear))</f>
        <v>2222.222222</v>
      </c>
      <c r="AC2118" s="125">
        <f t="shared" si="399"/>
        <v>1.732533333</v>
      </c>
      <c r="AD2118" s="125"/>
      <c r="AE2118" s="125">
        <f t="shared" si="392"/>
        <v>2222.222222</v>
      </c>
      <c r="AF2118" s="127" t="s">
        <v>15145</v>
      </c>
      <c r="AG2118" s="127">
        <v>37.3519706047812</v>
      </c>
      <c r="AH2118" s="127">
        <v>-2.19448564045553</v>
      </c>
      <c r="AI2118" s="115" t="s">
        <v>12383</v>
      </c>
      <c r="AJ2118" s="116">
        <v>0.57</v>
      </c>
      <c r="AK2118" s="160"/>
      <c r="AL2118" s="160"/>
      <c r="AM2118" s="160"/>
      <c r="AN2118" s="160"/>
      <c r="AO2118" s="160"/>
    </row>
    <row r="2119" ht="34.5" customHeight="1">
      <c r="A2119" s="111">
        <v>2836.0</v>
      </c>
      <c r="B2119" s="111" t="s">
        <v>10121</v>
      </c>
      <c r="C2119" s="111" t="s">
        <v>7977</v>
      </c>
      <c r="D2119" s="111">
        <v>2028.0</v>
      </c>
      <c r="E2119" s="111"/>
      <c r="F2119" s="111" t="s">
        <v>12397</v>
      </c>
      <c r="G2119" s="111" t="s">
        <v>12381</v>
      </c>
      <c r="H2119" s="111" t="s">
        <v>12230</v>
      </c>
      <c r="I2119" s="111" t="s">
        <v>12287</v>
      </c>
      <c r="J2119" s="111"/>
      <c r="K2119" s="111" t="s">
        <v>12415</v>
      </c>
      <c r="L2119" s="111"/>
      <c r="M2119" s="111"/>
      <c r="N2119" s="111">
        <v>1.0</v>
      </c>
      <c r="O2119" s="111"/>
      <c r="P2119" s="111"/>
      <c r="Q2119" s="111"/>
      <c r="R2119" s="111"/>
      <c r="S2119" s="111"/>
      <c r="T2119" s="111"/>
      <c r="U2119" s="111"/>
      <c r="V2119" s="111"/>
      <c r="W2119" s="111"/>
      <c r="X2119" s="111"/>
      <c r="Y2119" s="111"/>
      <c r="Z2119" s="111" t="s">
        <v>13912</v>
      </c>
      <c r="AA2119" s="124">
        <v>50.0</v>
      </c>
      <c r="AB2119" s="125">
        <f>IF(Projects!$AI2119="Electrolysis",
AA2119/VLOOKUP(G2119,ElectrolysisConvF,3,FALSE),
AC2119*10^6/(H2dens*HoursInYear))</f>
        <v>11111.11111</v>
      </c>
      <c r="AC2119" s="125">
        <f t="shared" si="399"/>
        <v>8.662666667</v>
      </c>
      <c r="AD2119" s="125"/>
      <c r="AE2119" s="125">
        <f t="shared" si="392"/>
        <v>11111.11111</v>
      </c>
      <c r="AF2119" s="127" t="s">
        <v>15149</v>
      </c>
      <c r="AG2119" s="127">
        <v>38.961207840834</v>
      </c>
      <c r="AH2119" s="127">
        <v>-2.74531045365082</v>
      </c>
      <c r="AI2119" s="115" t="s">
        <v>12383</v>
      </c>
      <c r="AJ2119" s="116">
        <v>0.57</v>
      </c>
      <c r="AK2119" s="160"/>
      <c r="AL2119" s="160"/>
      <c r="AM2119" s="160"/>
      <c r="AN2119" s="160"/>
      <c r="AO2119" s="160"/>
    </row>
    <row r="2120" ht="34.5" customHeight="1">
      <c r="A2120" s="111">
        <v>2837.0</v>
      </c>
      <c r="B2120" s="111" t="s">
        <v>10122</v>
      </c>
      <c r="C2120" s="111" t="s">
        <v>7977</v>
      </c>
      <c r="D2120" s="111">
        <v>2026.0</v>
      </c>
      <c r="E2120" s="111"/>
      <c r="F2120" s="111" t="s">
        <v>12397</v>
      </c>
      <c r="G2120" s="111" t="s">
        <v>12381</v>
      </c>
      <c r="H2120" s="111" t="s">
        <v>12230</v>
      </c>
      <c r="I2120" s="111" t="s">
        <v>12287</v>
      </c>
      <c r="J2120" s="111"/>
      <c r="K2120" s="111" t="s">
        <v>30</v>
      </c>
      <c r="L2120" s="111"/>
      <c r="M2120" s="111"/>
      <c r="N2120" s="111"/>
      <c r="O2120" s="111"/>
      <c r="P2120" s="111">
        <v>1.0</v>
      </c>
      <c r="Q2120" s="111"/>
      <c r="R2120" s="111"/>
      <c r="S2120" s="111"/>
      <c r="T2120" s="111"/>
      <c r="U2120" s="111"/>
      <c r="V2120" s="111"/>
      <c r="W2120" s="111">
        <v>1.0</v>
      </c>
      <c r="X2120" s="111"/>
      <c r="Y2120" s="111"/>
      <c r="Z2120" s="111" t="s">
        <v>12603</v>
      </c>
      <c r="AA2120" s="124">
        <v>5.0</v>
      </c>
      <c r="AB2120" s="125">
        <f>IF(Projects!$AI2120="Electrolysis",
AA2120/VLOOKUP(G2120,ElectrolysisConvF,3,FALSE),
AC2120*10^6/(H2dens*HoursInYear))</f>
        <v>1111.111111</v>
      </c>
      <c r="AC2120" s="125">
        <f t="shared" si="399"/>
        <v>0.8662666667</v>
      </c>
      <c r="AD2120" s="125"/>
      <c r="AE2120" s="125">
        <f t="shared" si="392"/>
        <v>1111.111111</v>
      </c>
      <c r="AF2120" s="127" t="s">
        <v>15150</v>
      </c>
      <c r="AG2120" s="127">
        <v>40.7441105913376</v>
      </c>
      <c r="AH2120" s="127">
        <v>-3.02936738902857</v>
      </c>
      <c r="AI2120" s="115" t="s">
        <v>12383</v>
      </c>
      <c r="AJ2120" s="116">
        <v>0.57</v>
      </c>
      <c r="AK2120" s="160"/>
      <c r="AL2120" s="160"/>
      <c r="AM2120" s="160"/>
      <c r="AN2120" s="160"/>
      <c r="AO2120" s="160"/>
    </row>
    <row r="2121" ht="34.5" customHeight="1">
      <c r="A2121" s="111">
        <v>2838.0</v>
      </c>
      <c r="B2121" s="111" t="s">
        <v>10123</v>
      </c>
      <c r="C2121" s="111" t="s">
        <v>7981</v>
      </c>
      <c r="D2121" s="111">
        <v>2025.0</v>
      </c>
      <c r="E2121" s="111"/>
      <c r="F2121" s="111" t="s">
        <v>12399</v>
      </c>
      <c r="G2121" s="111" t="s">
        <v>12381</v>
      </c>
      <c r="H2121" s="111" t="s">
        <v>15151</v>
      </c>
      <c r="I2121" s="111" t="s">
        <v>12394</v>
      </c>
      <c r="J2121" s="111" t="s">
        <v>12295</v>
      </c>
      <c r="K2121" s="111" t="s">
        <v>30</v>
      </c>
      <c r="L2121" s="111"/>
      <c r="M2121" s="111"/>
      <c r="N2121" s="111"/>
      <c r="O2121" s="111"/>
      <c r="P2121" s="111"/>
      <c r="Q2121" s="111"/>
      <c r="R2121" s="111"/>
      <c r="S2121" s="111"/>
      <c r="T2121" s="111"/>
      <c r="U2121" s="111"/>
      <c r="V2121" s="111"/>
      <c r="W2121" s="111"/>
      <c r="X2121" s="111"/>
      <c r="Y2121" s="111"/>
      <c r="Z2121" s="111" t="s">
        <v>15152</v>
      </c>
      <c r="AA2121" s="124">
        <v>2200.0</v>
      </c>
      <c r="AB2121" s="125">
        <f>IF(Projects!$AI2121="Electrolysis",
AA2121/VLOOKUP(G2121,ElectrolysisConvF,3,FALSE),
AC2121*10^6/(H2dens*HoursInYear))</f>
        <v>488888.8889</v>
      </c>
      <c r="AC2121" s="125">
        <f t="shared" si="399"/>
        <v>381.1573333</v>
      </c>
      <c r="AD2121" s="125"/>
      <c r="AE2121" s="125">
        <f t="shared" si="392"/>
        <v>488888.8889</v>
      </c>
      <c r="AF2121" s="127" t="s">
        <v>15153</v>
      </c>
      <c r="AG2121" s="127">
        <v>31.5625625261817</v>
      </c>
      <c r="AH2121" s="127">
        <v>-88.8452404601783</v>
      </c>
      <c r="AI2121" s="115" t="s">
        <v>12383</v>
      </c>
      <c r="AJ2121" s="116">
        <v>0.5</v>
      </c>
      <c r="AK2121" s="160"/>
      <c r="AL2121" s="160"/>
      <c r="AM2121" s="160"/>
      <c r="AN2121" s="160"/>
      <c r="AO2121" s="160"/>
    </row>
    <row r="2122" ht="34.5" customHeight="1">
      <c r="A2122" s="111">
        <v>2839.0</v>
      </c>
      <c r="B2122" s="111" t="s">
        <v>10124</v>
      </c>
      <c r="C2122" s="111" t="s">
        <v>7981</v>
      </c>
      <c r="D2122" s="111"/>
      <c r="E2122" s="111"/>
      <c r="F2122" s="111" t="s">
        <v>12393</v>
      </c>
      <c r="G2122" s="111" t="s">
        <v>12224</v>
      </c>
      <c r="H2122" s="111"/>
      <c r="I2122" s="111" t="s">
        <v>12287</v>
      </c>
      <c r="J2122" s="111"/>
      <c r="K2122" s="111" t="s">
        <v>174</v>
      </c>
      <c r="L2122" s="111"/>
      <c r="M2122" s="111"/>
      <c r="N2122" s="111"/>
      <c r="O2122" s="111"/>
      <c r="P2122" s="111"/>
      <c r="Q2122" s="111">
        <v>1.0</v>
      </c>
      <c r="R2122" s="111"/>
      <c r="S2122" s="111"/>
      <c r="T2122" s="111"/>
      <c r="U2122" s="111"/>
      <c r="V2122" s="111"/>
      <c r="W2122" s="111"/>
      <c r="X2122" s="111"/>
      <c r="Y2122" s="111"/>
      <c r="Z2122" s="111" t="s">
        <v>13142</v>
      </c>
      <c r="AA2122" s="124">
        <v>200.0</v>
      </c>
      <c r="AB2122" s="125">
        <f>IF(Projects!$AI2122="Electrolysis",
AA2122/VLOOKUP(G2122,ElectrolysisConvF,3,FALSE),
AC2122*10^6/(H2dens*HoursInYear))</f>
        <v>43478.26087</v>
      </c>
      <c r="AC2122" s="125">
        <f t="shared" si="399"/>
        <v>33.8973913</v>
      </c>
      <c r="AD2122" s="125"/>
      <c r="AE2122" s="125">
        <f t="shared" si="392"/>
        <v>43478.26087</v>
      </c>
      <c r="AF2122" s="127"/>
      <c r="AG2122" s="127">
        <v>40.9191162340735</v>
      </c>
      <c r="AH2122" s="127">
        <v>-100.158185265754</v>
      </c>
      <c r="AI2122" s="115" t="s">
        <v>12383</v>
      </c>
      <c r="AJ2122" s="116">
        <v>0.57</v>
      </c>
      <c r="AK2122" s="160"/>
      <c r="AL2122" s="160"/>
      <c r="AM2122" s="160"/>
      <c r="AN2122" s="160"/>
      <c r="AO2122" s="160"/>
    </row>
    <row r="2123" ht="34.5" customHeight="1">
      <c r="A2123" s="111">
        <v>2840.0</v>
      </c>
      <c r="B2123" s="111" t="s">
        <v>10125</v>
      </c>
      <c r="C2123" s="111" t="s">
        <v>8108</v>
      </c>
      <c r="D2123" s="111"/>
      <c r="E2123" s="111"/>
      <c r="F2123" s="111" t="s">
        <v>12397</v>
      </c>
      <c r="G2123" s="111" t="s">
        <v>12381</v>
      </c>
      <c r="H2123" s="111" t="s">
        <v>12230</v>
      </c>
      <c r="I2123" s="111" t="s">
        <v>12287</v>
      </c>
      <c r="J2123" s="111"/>
      <c r="K2123" s="111" t="s">
        <v>30</v>
      </c>
      <c r="L2123" s="111"/>
      <c r="M2123" s="111"/>
      <c r="N2123" s="111"/>
      <c r="O2123" s="111"/>
      <c r="P2123" s="111"/>
      <c r="Q2123" s="111"/>
      <c r="R2123" s="111"/>
      <c r="S2123" s="111"/>
      <c r="T2123" s="111"/>
      <c r="U2123" s="111"/>
      <c r="V2123" s="111"/>
      <c r="W2123" s="111"/>
      <c r="X2123" s="111"/>
      <c r="Y2123" s="111"/>
      <c r="Z2123" s="111" t="s">
        <v>12723</v>
      </c>
      <c r="AA2123" s="124">
        <v>1000.0</v>
      </c>
      <c r="AB2123" s="125">
        <f>IF(Projects!$AI2123="Electrolysis",
AA2123/VLOOKUP(G2123,ElectrolysisConvF,3,FALSE),
AC2123*10^6/(H2dens*HoursInYear))</f>
        <v>222222.2222</v>
      </c>
      <c r="AC2123" s="125">
        <f t="shared" si="399"/>
        <v>173.2533333</v>
      </c>
      <c r="AD2123" s="125"/>
      <c r="AE2123" s="125">
        <f t="shared" si="392"/>
        <v>222222.2222</v>
      </c>
      <c r="AF2123" s="127" t="s">
        <v>15154</v>
      </c>
      <c r="AG2123" s="127">
        <v>21.9263617017798</v>
      </c>
      <c r="AH2123" s="127">
        <v>71.5400870910866</v>
      </c>
      <c r="AI2123" s="115" t="s">
        <v>12383</v>
      </c>
      <c r="AJ2123" s="116">
        <v>0.57</v>
      </c>
      <c r="AK2123" s="160"/>
      <c r="AL2123" s="160"/>
      <c r="AM2123" s="160"/>
      <c r="AN2123" s="160"/>
      <c r="AO2123" s="160"/>
    </row>
    <row r="2124" ht="34.5" customHeight="1">
      <c r="A2124" s="111">
        <v>2841.0</v>
      </c>
      <c r="B2124" s="111" t="s">
        <v>10126</v>
      </c>
      <c r="C2124" s="111" t="s">
        <v>8071</v>
      </c>
      <c r="D2124" s="111"/>
      <c r="E2124" s="111"/>
      <c r="F2124" s="111" t="s">
        <v>12399</v>
      </c>
      <c r="G2124" s="111" t="s">
        <v>12226</v>
      </c>
      <c r="H2124" s="111"/>
      <c r="I2124" s="111" t="s">
        <v>12394</v>
      </c>
      <c r="J2124" s="111" t="s">
        <v>12292</v>
      </c>
      <c r="K2124" s="111" t="s">
        <v>30</v>
      </c>
      <c r="L2124" s="111"/>
      <c r="M2124" s="111"/>
      <c r="N2124" s="111"/>
      <c r="O2124" s="111"/>
      <c r="P2124" s="111">
        <v>1.0</v>
      </c>
      <c r="Q2124" s="111"/>
      <c r="R2124" s="111"/>
      <c r="S2124" s="111"/>
      <c r="T2124" s="111"/>
      <c r="U2124" s="111"/>
      <c r="V2124" s="111"/>
      <c r="W2124" s="111"/>
      <c r="X2124" s="111"/>
      <c r="Y2124" s="111"/>
      <c r="Z2124" s="111" t="s">
        <v>12589</v>
      </c>
      <c r="AA2124" s="124">
        <v>20.0</v>
      </c>
      <c r="AB2124" s="125">
        <f>IF(Projects!$AI2124="Electrolysis",
AA2124/VLOOKUP(G2124,ElectrolysisConvF,3,FALSE),
AC2124*10^6/(H2dens*HoursInYear))</f>
        <v>3846.153846</v>
      </c>
      <c r="AC2124" s="125">
        <f t="shared" si="399"/>
        <v>2.998615385</v>
      </c>
      <c r="AD2124" s="125"/>
      <c r="AE2124" s="125">
        <f t="shared" si="392"/>
        <v>3846.153846</v>
      </c>
      <c r="AF2124" s="127" t="s">
        <v>15155</v>
      </c>
      <c r="AG2124" s="127">
        <v>-22.43316896013</v>
      </c>
      <c r="AH2124" s="127">
        <v>-68.9950676022945</v>
      </c>
      <c r="AI2124" s="115" t="s">
        <v>12383</v>
      </c>
      <c r="AJ2124" s="116">
        <v>0.4</v>
      </c>
      <c r="AK2124" s="160"/>
      <c r="AL2124" s="160"/>
      <c r="AM2124" s="160"/>
      <c r="AN2124" s="160"/>
      <c r="AO2124" s="160"/>
    </row>
    <row r="2125" ht="34.5" customHeight="1">
      <c r="A2125" s="111">
        <v>2842.0</v>
      </c>
      <c r="B2125" s="111" t="s">
        <v>10127</v>
      </c>
      <c r="C2125" s="111" t="s">
        <v>8071</v>
      </c>
      <c r="D2125" s="111"/>
      <c r="E2125" s="111"/>
      <c r="F2125" s="111" t="s">
        <v>12397</v>
      </c>
      <c r="G2125" s="111" t="s">
        <v>12381</v>
      </c>
      <c r="H2125" s="111" t="s">
        <v>12230</v>
      </c>
      <c r="I2125" s="111" t="s">
        <v>12394</v>
      </c>
      <c r="J2125" s="111" t="s">
        <v>12292</v>
      </c>
      <c r="K2125" s="111" t="s">
        <v>30</v>
      </c>
      <c r="L2125" s="111"/>
      <c r="M2125" s="111"/>
      <c r="N2125" s="111"/>
      <c r="O2125" s="111"/>
      <c r="P2125" s="111">
        <v>1.0</v>
      </c>
      <c r="Q2125" s="111"/>
      <c r="R2125" s="111"/>
      <c r="S2125" s="111"/>
      <c r="T2125" s="111"/>
      <c r="U2125" s="111"/>
      <c r="V2125" s="111"/>
      <c r="W2125" s="111"/>
      <c r="X2125" s="111"/>
      <c r="Y2125" s="111"/>
      <c r="Z2125" s="111" t="s">
        <v>12698</v>
      </c>
      <c r="AA2125" s="124">
        <v>80.0</v>
      </c>
      <c r="AB2125" s="125">
        <f>IF(Projects!$AI2125="Electrolysis",
AA2125/VLOOKUP(G2125,ElectrolysisConvF,3,FALSE),
AC2125*10^6/(H2dens*HoursInYear))</f>
        <v>17777.77778</v>
      </c>
      <c r="AC2125" s="125">
        <f t="shared" si="399"/>
        <v>13.86026667</v>
      </c>
      <c r="AD2125" s="125"/>
      <c r="AE2125" s="125">
        <f t="shared" si="392"/>
        <v>17777.77778</v>
      </c>
      <c r="AF2125" s="127" t="s">
        <v>15156</v>
      </c>
      <c r="AG2125" s="127">
        <v>-22.43316896013</v>
      </c>
      <c r="AH2125" s="127">
        <v>-68.9950676022945</v>
      </c>
      <c r="AI2125" s="115" t="s">
        <v>12383</v>
      </c>
      <c r="AJ2125" s="116">
        <v>0.4</v>
      </c>
      <c r="AK2125" s="160"/>
      <c r="AL2125" s="160"/>
      <c r="AM2125" s="160"/>
      <c r="AN2125" s="160"/>
      <c r="AO2125" s="160"/>
    </row>
    <row r="2126" ht="34.5" customHeight="1">
      <c r="A2126" s="111">
        <v>2843.0</v>
      </c>
      <c r="B2126" s="111" t="s">
        <v>10128</v>
      </c>
      <c r="C2126" s="111" t="s">
        <v>8071</v>
      </c>
      <c r="D2126" s="111"/>
      <c r="E2126" s="111"/>
      <c r="F2126" s="111" t="s">
        <v>12397</v>
      </c>
      <c r="G2126" s="111" t="s">
        <v>12381</v>
      </c>
      <c r="H2126" s="111" t="s">
        <v>12230</v>
      </c>
      <c r="I2126" s="111" t="s">
        <v>12394</v>
      </c>
      <c r="J2126" s="111" t="s">
        <v>12292</v>
      </c>
      <c r="K2126" s="111" t="s">
        <v>30</v>
      </c>
      <c r="L2126" s="111"/>
      <c r="M2126" s="111"/>
      <c r="N2126" s="111"/>
      <c r="O2126" s="111"/>
      <c r="P2126" s="111">
        <v>1.0</v>
      </c>
      <c r="Q2126" s="111"/>
      <c r="R2126" s="111"/>
      <c r="S2126" s="111"/>
      <c r="T2126" s="111"/>
      <c r="U2126" s="111"/>
      <c r="V2126" s="111"/>
      <c r="W2126" s="111"/>
      <c r="X2126" s="111"/>
      <c r="Y2126" s="111"/>
      <c r="Z2126" s="111" t="s">
        <v>13006</v>
      </c>
      <c r="AA2126" s="124">
        <v>100.0</v>
      </c>
      <c r="AB2126" s="125">
        <f>IF(Projects!$AI2126="Electrolysis",
AA2126/VLOOKUP(G2126,ElectrolysisConvF,3,FALSE),
AC2126*10^6/(H2dens*HoursInYear))</f>
        <v>22222.22222</v>
      </c>
      <c r="AC2126" s="125">
        <f t="shared" si="399"/>
        <v>17.32533333</v>
      </c>
      <c r="AD2126" s="125"/>
      <c r="AE2126" s="125">
        <f t="shared" si="392"/>
        <v>22222.22222</v>
      </c>
      <c r="AF2126" s="127" t="s">
        <v>15156</v>
      </c>
      <c r="AG2126" s="127">
        <v>-22.43316896013</v>
      </c>
      <c r="AH2126" s="127">
        <v>-68.9950676022945</v>
      </c>
      <c r="AI2126" s="115" t="s">
        <v>12383</v>
      </c>
      <c r="AJ2126" s="116">
        <v>0.4</v>
      </c>
      <c r="AK2126" s="160"/>
      <c r="AL2126" s="160"/>
      <c r="AM2126" s="160"/>
      <c r="AN2126" s="160"/>
      <c r="AO2126" s="160"/>
    </row>
    <row r="2127" ht="34.5" customHeight="1">
      <c r="A2127" s="111">
        <v>2844.0</v>
      </c>
      <c r="B2127" s="111" t="s">
        <v>10129</v>
      </c>
      <c r="C2127" s="111" t="s">
        <v>7971</v>
      </c>
      <c r="D2127" s="111">
        <v>2030.0</v>
      </c>
      <c r="E2127" s="111"/>
      <c r="F2127" s="111" t="s">
        <v>12397</v>
      </c>
      <c r="G2127" s="111" t="s">
        <v>12381</v>
      </c>
      <c r="H2127" s="111" t="s">
        <v>12230</v>
      </c>
      <c r="I2127" s="111" t="s">
        <v>12287</v>
      </c>
      <c r="J2127" s="111"/>
      <c r="K2127" s="111" t="s">
        <v>12251</v>
      </c>
      <c r="L2127" s="111"/>
      <c r="M2127" s="111"/>
      <c r="N2127" s="111"/>
      <c r="O2127" s="111"/>
      <c r="P2127" s="111"/>
      <c r="Q2127" s="111"/>
      <c r="R2127" s="111"/>
      <c r="S2127" s="111"/>
      <c r="T2127" s="111"/>
      <c r="U2127" s="111"/>
      <c r="V2127" s="111"/>
      <c r="W2127" s="111">
        <v>1.0</v>
      </c>
      <c r="X2127" s="111"/>
      <c r="Y2127" s="111"/>
      <c r="Z2127" s="111" t="s">
        <v>15157</v>
      </c>
      <c r="AA2127" s="124">
        <v>34.0</v>
      </c>
      <c r="AB2127" s="125">
        <f>IF(Projects!$AI2127="Electrolysis",
AA2127/VLOOKUP(G2127,ElectrolysisConvF,3,FALSE),
AC2127*10^6/(H2dens*HoursInYear))</f>
        <v>7555.555556</v>
      </c>
      <c r="AC2127" s="125">
        <f t="shared" si="399"/>
        <v>5.890613333</v>
      </c>
      <c r="AD2127" s="125"/>
      <c r="AE2127" s="125">
        <f t="shared" si="392"/>
        <v>7555.555556</v>
      </c>
      <c r="AF2127" s="127" t="s">
        <v>15158</v>
      </c>
      <c r="AG2127" s="127">
        <v>66.3106212107965</v>
      </c>
      <c r="AH2127" s="127">
        <v>14.1676406414196</v>
      </c>
      <c r="AI2127" s="115" t="s">
        <v>12383</v>
      </c>
      <c r="AJ2127" s="116">
        <v>0.57</v>
      </c>
      <c r="AK2127" s="160"/>
      <c r="AL2127" s="160"/>
      <c r="AM2127" s="160"/>
      <c r="AN2127" s="160"/>
      <c r="AO2127" s="160"/>
    </row>
    <row r="2128" ht="34.5" customHeight="1">
      <c r="A2128" s="111">
        <v>2845.0</v>
      </c>
      <c r="B2128" s="111" t="s">
        <v>10130</v>
      </c>
      <c r="C2128" s="111" t="s">
        <v>10028</v>
      </c>
      <c r="D2128" s="111"/>
      <c r="E2128" s="111"/>
      <c r="F2128" s="111" t="s">
        <v>12397</v>
      </c>
      <c r="G2128" s="111" t="s">
        <v>12381</v>
      </c>
      <c r="H2128" s="111" t="s">
        <v>12230</v>
      </c>
      <c r="I2128" s="111" t="s">
        <v>12406</v>
      </c>
      <c r="J2128" s="111"/>
      <c r="K2128" s="111" t="s">
        <v>174</v>
      </c>
      <c r="L2128" s="111"/>
      <c r="M2128" s="111">
        <v>1.0</v>
      </c>
      <c r="N2128" s="111"/>
      <c r="O2128" s="111"/>
      <c r="P2128" s="111"/>
      <c r="Q2128" s="111"/>
      <c r="R2128" s="111"/>
      <c r="S2128" s="111"/>
      <c r="T2128" s="111"/>
      <c r="U2128" s="111"/>
      <c r="V2128" s="111"/>
      <c r="W2128" s="111"/>
      <c r="X2128" s="111"/>
      <c r="Y2128" s="111"/>
      <c r="Z2128" s="111"/>
      <c r="AA2128" s="124"/>
      <c r="AB2128" s="125"/>
      <c r="AC2128" s="125"/>
      <c r="AD2128" s="125"/>
      <c r="AE2128" s="125"/>
      <c r="AF2128" s="127" t="s">
        <v>15159</v>
      </c>
      <c r="AG2128" s="127">
        <v>2.25590568054653</v>
      </c>
      <c r="AH2128" s="127">
        <v>32.2415899985208</v>
      </c>
      <c r="AI2128" s="115" t="s">
        <v>12383</v>
      </c>
      <c r="AJ2128" s="116">
        <v>0.57</v>
      </c>
      <c r="AK2128" s="160"/>
      <c r="AL2128" s="160"/>
      <c r="AM2128" s="160"/>
      <c r="AN2128" s="160"/>
      <c r="AO2128" s="160"/>
    </row>
    <row r="2129" ht="34.5" customHeight="1">
      <c r="A2129" s="111">
        <v>2846.0</v>
      </c>
      <c r="B2129" s="111" t="s">
        <v>10131</v>
      </c>
      <c r="C2129" s="111" t="s">
        <v>7991</v>
      </c>
      <c r="D2129" s="111">
        <v>2028.0</v>
      </c>
      <c r="E2129" s="111"/>
      <c r="F2129" s="111" t="s">
        <v>12397</v>
      </c>
      <c r="G2129" s="111" t="s">
        <v>12381</v>
      </c>
      <c r="H2129" s="111" t="s">
        <v>12230</v>
      </c>
      <c r="I2129" s="111" t="s">
        <v>12287</v>
      </c>
      <c r="J2129" s="111"/>
      <c r="K2129" s="111" t="s">
        <v>30</v>
      </c>
      <c r="L2129" s="111"/>
      <c r="M2129" s="111"/>
      <c r="N2129" s="111"/>
      <c r="O2129" s="111"/>
      <c r="P2129" s="111">
        <v>1.0</v>
      </c>
      <c r="Q2129" s="111">
        <v>1.0</v>
      </c>
      <c r="R2129" s="111"/>
      <c r="S2129" s="111"/>
      <c r="T2129" s="111"/>
      <c r="U2129" s="111"/>
      <c r="V2129" s="111"/>
      <c r="W2129" s="111"/>
      <c r="X2129" s="111"/>
      <c r="Y2129" s="111"/>
      <c r="Z2129" s="111" t="s">
        <v>12589</v>
      </c>
      <c r="AA2129" s="124">
        <v>20.0</v>
      </c>
      <c r="AB2129" s="125">
        <f>IF(Projects!$AI2129="Electrolysis",
AA2129/VLOOKUP(G2129,ElectrolysisConvF,3,FALSE),
AC2129*10^6/(H2dens*HoursInYear))</f>
        <v>4444.444444</v>
      </c>
      <c r="AC2129" s="125">
        <f t="shared" ref="AC2129:AC2132" si="400">AB2129*H2dens*HoursInYear/10^6</f>
        <v>3.465066667</v>
      </c>
      <c r="AD2129" s="125"/>
      <c r="AE2129" s="125">
        <f t="shared" ref="AE2129:AE2249" si="401">IF(AND(G2129&lt;&gt;"NG w CCUS",G2129&lt;&gt;"Oil w CCUS",G2129&lt;&gt;"Coal w CCUS"),AB2129,AD2129*10^3/(HoursInYear*IF(G2129="NG w CCUS",0.9105,1.9075)))</f>
        <v>4444.444444</v>
      </c>
      <c r="AF2129" s="127" t="s">
        <v>15160</v>
      </c>
      <c r="AG2129" s="127">
        <v>54.9968366980604</v>
      </c>
      <c r="AH2129" s="127">
        <v>-1.64731559600559</v>
      </c>
      <c r="AI2129" s="115" t="s">
        <v>12383</v>
      </c>
      <c r="AJ2129" s="116">
        <v>0.57</v>
      </c>
      <c r="AK2129" s="160"/>
      <c r="AL2129" s="160"/>
      <c r="AM2129" s="160"/>
      <c r="AN2129" s="160"/>
      <c r="AO2129" s="160"/>
    </row>
    <row r="2130" ht="33.0" customHeight="1">
      <c r="A2130" s="111">
        <v>2847.0</v>
      </c>
      <c r="B2130" s="111" t="s">
        <v>10132</v>
      </c>
      <c r="C2130" s="111" t="s">
        <v>7977</v>
      </c>
      <c r="D2130" s="111"/>
      <c r="E2130" s="111"/>
      <c r="F2130" s="111" t="s">
        <v>12397</v>
      </c>
      <c r="G2130" s="111" t="s">
        <v>12381</v>
      </c>
      <c r="H2130" s="111" t="s">
        <v>12230</v>
      </c>
      <c r="I2130" s="111" t="s">
        <v>12394</v>
      </c>
      <c r="J2130" s="111" t="s">
        <v>12295</v>
      </c>
      <c r="K2130" s="111" t="s">
        <v>30</v>
      </c>
      <c r="L2130" s="111"/>
      <c r="M2130" s="111"/>
      <c r="N2130" s="111"/>
      <c r="O2130" s="111"/>
      <c r="P2130" s="111"/>
      <c r="Q2130" s="111"/>
      <c r="R2130" s="111"/>
      <c r="S2130" s="111"/>
      <c r="T2130" s="111"/>
      <c r="U2130" s="111"/>
      <c r="V2130" s="111"/>
      <c r="W2130" s="111"/>
      <c r="X2130" s="111"/>
      <c r="Y2130" s="111"/>
      <c r="Z2130" s="111" t="s">
        <v>12723</v>
      </c>
      <c r="AA2130" s="124">
        <v>1000.0</v>
      </c>
      <c r="AB2130" s="125">
        <f>IF(Projects!$AI2130="Electrolysis",
AA2130/VLOOKUP(G2130,ElectrolysisConvF,3,FALSE),
AC2130*10^6/(H2dens*HoursInYear))</f>
        <v>222222.2222</v>
      </c>
      <c r="AC2130" s="126">
        <f t="shared" si="400"/>
        <v>173.2533333</v>
      </c>
      <c r="AD2130" s="125"/>
      <c r="AE2130" s="125">
        <f t="shared" si="401"/>
        <v>222222.2222</v>
      </c>
      <c r="AF2130" s="127" t="s">
        <v>15161</v>
      </c>
      <c r="AG2130" s="127">
        <v>38.9460582207866</v>
      </c>
      <c r="AH2130" s="127">
        <v>-2.00050095848156</v>
      </c>
      <c r="AI2130" s="115" t="s">
        <v>12383</v>
      </c>
      <c r="AJ2130" s="116">
        <v>0.5</v>
      </c>
      <c r="AK2130" s="117"/>
      <c r="AL2130" s="117"/>
      <c r="AM2130" s="117"/>
      <c r="AN2130" s="117"/>
      <c r="AO2130" s="117"/>
    </row>
    <row r="2131" ht="33.0" customHeight="1">
      <c r="A2131" s="111">
        <v>2848.0</v>
      </c>
      <c r="B2131" s="111" t="s">
        <v>10133</v>
      </c>
      <c r="C2131" s="111" t="s">
        <v>7987</v>
      </c>
      <c r="D2131" s="111"/>
      <c r="E2131" s="111"/>
      <c r="F2131" s="111" t="s">
        <v>12397</v>
      </c>
      <c r="G2131" s="111" t="s">
        <v>12381</v>
      </c>
      <c r="H2131" s="111" t="s">
        <v>12230</v>
      </c>
      <c r="I2131" s="111" t="s">
        <v>12287</v>
      </c>
      <c r="J2131" s="111"/>
      <c r="K2131" s="111" t="s">
        <v>30</v>
      </c>
      <c r="L2131" s="111"/>
      <c r="M2131" s="111"/>
      <c r="N2131" s="111"/>
      <c r="O2131" s="111">
        <v>1.0</v>
      </c>
      <c r="P2131" s="111"/>
      <c r="Q2131" s="111"/>
      <c r="R2131" s="111"/>
      <c r="S2131" s="111"/>
      <c r="T2131" s="111"/>
      <c r="U2131" s="111"/>
      <c r="V2131" s="111"/>
      <c r="W2131" s="111"/>
      <c r="X2131" s="111"/>
      <c r="Y2131" s="111"/>
      <c r="Z2131" s="111" t="s">
        <v>15162</v>
      </c>
      <c r="AA2131" s="124">
        <f>520-157</f>
        <v>363</v>
      </c>
      <c r="AB2131" s="125">
        <f>IF(Projects!$AI2131="Electrolysis",
AA2131/VLOOKUP(G2131,ElectrolysisConvF,3,FALSE),
AC2131*10^6/(H2dens*HoursInYear))</f>
        <v>80666.66667</v>
      </c>
      <c r="AC2131" s="126">
        <f t="shared" si="400"/>
        <v>62.89096</v>
      </c>
      <c r="AD2131" s="125"/>
      <c r="AE2131" s="125">
        <f t="shared" si="401"/>
        <v>80666.66667</v>
      </c>
      <c r="AF2131" s="127" t="s">
        <v>15163</v>
      </c>
      <c r="AG2131" s="127">
        <v>51.4448541551683</v>
      </c>
      <c r="AH2131" s="127">
        <v>6.72219270453604</v>
      </c>
      <c r="AI2131" s="115" t="s">
        <v>12383</v>
      </c>
      <c r="AJ2131" s="116">
        <v>0.57</v>
      </c>
      <c r="AK2131" s="117"/>
      <c r="AL2131" s="117"/>
      <c r="AM2131" s="117"/>
      <c r="AN2131" s="117"/>
      <c r="AO2131" s="117"/>
    </row>
    <row r="2132" ht="29.25" customHeight="1">
      <c r="A2132" s="111">
        <v>2849.0</v>
      </c>
      <c r="B2132" s="111" t="s">
        <v>10134</v>
      </c>
      <c r="C2132" s="111" t="s">
        <v>7977</v>
      </c>
      <c r="D2132" s="111"/>
      <c r="E2132" s="111"/>
      <c r="F2132" s="111" t="s">
        <v>12397</v>
      </c>
      <c r="G2132" s="111" t="s">
        <v>12381</v>
      </c>
      <c r="H2132" s="111" t="s">
        <v>12230</v>
      </c>
      <c r="I2132" s="111" t="s">
        <v>12394</v>
      </c>
      <c r="J2132" s="111" t="s">
        <v>12295</v>
      </c>
      <c r="K2132" s="111" t="s">
        <v>12415</v>
      </c>
      <c r="L2132" s="111"/>
      <c r="M2132" s="111"/>
      <c r="N2132" s="111"/>
      <c r="O2132" s="111"/>
      <c r="P2132" s="111">
        <v>1.0</v>
      </c>
      <c r="Q2132" s="111">
        <v>1.0</v>
      </c>
      <c r="R2132" s="111"/>
      <c r="S2132" s="111"/>
      <c r="T2132" s="111"/>
      <c r="U2132" s="111"/>
      <c r="V2132" s="111"/>
      <c r="W2132" s="111"/>
      <c r="X2132" s="111"/>
      <c r="Y2132" s="111"/>
      <c r="Z2132" s="111" t="s">
        <v>15164</v>
      </c>
      <c r="AA2132" s="124">
        <v>300.0</v>
      </c>
      <c r="AB2132" s="125">
        <f>IF(Projects!$AI2132="Electrolysis",
AA2132/VLOOKUP(G2132,ElectrolysisConvF,3,FALSE),
AC2132*10^6/(H2dens*HoursInYear))</f>
        <v>66666.66667</v>
      </c>
      <c r="AC2132" s="126">
        <f t="shared" si="400"/>
        <v>51.976</v>
      </c>
      <c r="AD2132" s="125"/>
      <c r="AE2132" s="125">
        <f t="shared" si="401"/>
        <v>66666.66667</v>
      </c>
      <c r="AF2132" s="127" t="s">
        <v>15165</v>
      </c>
      <c r="AG2132" s="127">
        <v>41.481604823242</v>
      </c>
      <c r="AH2132" s="127">
        <v>-2.5289754706679</v>
      </c>
      <c r="AI2132" s="115" t="s">
        <v>12383</v>
      </c>
      <c r="AJ2132" s="116">
        <v>0.5</v>
      </c>
      <c r="AK2132" s="117"/>
      <c r="AL2132" s="117"/>
      <c r="AM2132" s="117"/>
      <c r="AN2132" s="117"/>
      <c r="AO2132" s="117"/>
    </row>
    <row r="2133" ht="29.25" customHeight="1">
      <c r="A2133" s="111">
        <v>2850.0</v>
      </c>
      <c r="B2133" s="111" t="s">
        <v>10135</v>
      </c>
      <c r="C2133" s="111" t="s">
        <v>7991</v>
      </c>
      <c r="D2133" s="111">
        <v>2025.0</v>
      </c>
      <c r="E2133" s="111"/>
      <c r="F2133" s="111" t="s">
        <v>12399</v>
      </c>
      <c r="G2133" s="111" t="s">
        <v>12381</v>
      </c>
      <c r="H2133" s="111" t="s">
        <v>12230</v>
      </c>
      <c r="I2133" s="111" t="s">
        <v>12287</v>
      </c>
      <c r="J2133" s="111"/>
      <c r="K2133" s="111" t="s">
        <v>30</v>
      </c>
      <c r="L2133" s="111"/>
      <c r="M2133" s="111"/>
      <c r="N2133" s="111"/>
      <c r="O2133" s="111"/>
      <c r="P2133" s="111"/>
      <c r="Q2133" s="111"/>
      <c r="R2133" s="111">
        <v>1.0</v>
      </c>
      <c r="S2133" s="111"/>
      <c r="T2133" s="111"/>
      <c r="U2133" s="111"/>
      <c r="V2133" s="111"/>
      <c r="W2133" s="111"/>
      <c r="X2133" s="111"/>
      <c r="Y2133" s="111"/>
      <c r="Z2133" s="111" t="s">
        <v>15166</v>
      </c>
      <c r="AA2133" s="126">
        <f>IF(Projects!$AI2133="Electrolysis",
AB2133*VLOOKUP(G2133,ElectrolysisConvF,3,FALSE),
"")</f>
        <v>3.16011236</v>
      </c>
      <c r="AB2133" s="125">
        <f>AC2133/(H2dens*HoursInYear/10^6)</f>
        <v>702.247191</v>
      </c>
      <c r="AC2133" s="146">
        <f>((1.5/1000)*365)</f>
        <v>0.5475</v>
      </c>
      <c r="AD2133" s="125"/>
      <c r="AE2133" s="125">
        <f t="shared" si="401"/>
        <v>702.247191</v>
      </c>
      <c r="AF2133" s="127" t="s">
        <v>15167</v>
      </c>
      <c r="AG2133" s="127">
        <v>54.5770019898215</v>
      </c>
      <c r="AH2133" s="127">
        <v>-1.26373441603763</v>
      </c>
      <c r="AI2133" s="115" t="s">
        <v>12383</v>
      </c>
      <c r="AJ2133" s="116">
        <v>0.57</v>
      </c>
      <c r="AK2133" s="117"/>
      <c r="AL2133" s="117"/>
      <c r="AM2133" s="117"/>
      <c r="AN2133" s="117"/>
      <c r="AO2133" s="117"/>
    </row>
    <row r="2134" ht="29.25" customHeight="1">
      <c r="A2134" s="111">
        <v>2851.0</v>
      </c>
      <c r="B2134" s="111" t="s">
        <v>10136</v>
      </c>
      <c r="C2134" s="111" t="s">
        <v>10100</v>
      </c>
      <c r="D2134" s="111">
        <v>2030.0</v>
      </c>
      <c r="E2134" s="111"/>
      <c r="F2134" s="111" t="s">
        <v>12397</v>
      </c>
      <c r="G2134" s="111" t="s">
        <v>12381</v>
      </c>
      <c r="H2134" s="111" t="s">
        <v>12230</v>
      </c>
      <c r="I2134" s="111" t="s">
        <v>12394</v>
      </c>
      <c r="J2134" s="111" t="s">
        <v>12296</v>
      </c>
      <c r="K2134" s="111" t="s">
        <v>30</v>
      </c>
      <c r="L2134" s="111"/>
      <c r="M2134" s="111"/>
      <c r="N2134" s="111"/>
      <c r="O2134" s="111"/>
      <c r="P2134" s="111"/>
      <c r="Q2134" s="111"/>
      <c r="R2134" s="111"/>
      <c r="S2134" s="111"/>
      <c r="T2134" s="111"/>
      <c r="U2134" s="111"/>
      <c r="V2134" s="111"/>
      <c r="W2134" s="111"/>
      <c r="X2134" s="111"/>
      <c r="Y2134" s="111"/>
      <c r="Z2134" s="111" t="s">
        <v>15129</v>
      </c>
      <c r="AA2134" s="124">
        <v>2000.0</v>
      </c>
      <c r="AB2134" s="125">
        <f>IF(Projects!$AI2134="Electrolysis",
AA2134/VLOOKUP(G2134,ElectrolysisConvF,3,FALSE),
AC2134*10^6/(H2dens*HoursInYear))</f>
        <v>444444.4444</v>
      </c>
      <c r="AC2134" s="125">
        <f t="shared" ref="AC2134:AC2135" si="402">AB2134*H2dens*HoursInYear/10^6</f>
        <v>346.5066667</v>
      </c>
      <c r="AD2134" s="125"/>
      <c r="AE2134" s="125">
        <f t="shared" si="401"/>
        <v>444444.4444</v>
      </c>
      <c r="AF2134" s="127" t="s">
        <v>15168</v>
      </c>
      <c r="AG2134" s="127">
        <v>35.8831200621419</v>
      </c>
      <c r="AH2134" s="127">
        <v>10.1304868961318</v>
      </c>
      <c r="AI2134" s="115" t="s">
        <v>12383</v>
      </c>
      <c r="AJ2134" s="116">
        <v>0.5</v>
      </c>
      <c r="AK2134" s="117"/>
      <c r="AL2134" s="117"/>
      <c r="AM2134" s="117"/>
      <c r="AN2134" s="117"/>
      <c r="AO2134" s="117"/>
    </row>
    <row r="2135" ht="29.25" customHeight="1">
      <c r="A2135" s="111">
        <v>2852.0</v>
      </c>
      <c r="B2135" s="111" t="s">
        <v>10137</v>
      </c>
      <c r="C2135" s="111" t="s">
        <v>10100</v>
      </c>
      <c r="D2135" s="111"/>
      <c r="E2135" s="111"/>
      <c r="F2135" s="111" t="s">
        <v>12397</v>
      </c>
      <c r="G2135" s="111" t="s">
        <v>12381</v>
      </c>
      <c r="H2135" s="111" t="s">
        <v>12230</v>
      </c>
      <c r="I2135" s="111" t="s">
        <v>12394</v>
      </c>
      <c r="J2135" s="111" t="s">
        <v>12296</v>
      </c>
      <c r="K2135" s="111" t="s">
        <v>30</v>
      </c>
      <c r="L2135" s="111"/>
      <c r="M2135" s="111"/>
      <c r="N2135" s="111"/>
      <c r="O2135" s="111"/>
      <c r="P2135" s="111"/>
      <c r="Q2135" s="111"/>
      <c r="R2135" s="111"/>
      <c r="S2135" s="111"/>
      <c r="T2135" s="111"/>
      <c r="U2135" s="111"/>
      <c r="V2135" s="111"/>
      <c r="W2135" s="111"/>
      <c r="X2135" s="111"/>
      <c r="Y2135" s="111"/>
      <c r="Z2135" s="111" t="s">
        <v>15169</v>
      </c>
      <c r="AA2135" s="124">
        <v>4000.0</v>
      </c>
      <c r="AB2135" s="125">
        <f>IF(Projects!$AI2135="Electrolysis",
AA2135/VLOOKUP(G2135,ElectrolysisConvF,3,FALSE),
AC2135*10^6/(H2dens*HoursInYear))</f>
        <v>888888.8889</v>
      </c>
      <c r="AC2135" s="125">
        <f t="shared" si="402"/>
        <v>693.0133333</v>
      </c>
      <c r="AD2135" s="125"/>
      <c r="AE2135" s="125">
        <f t="shared" si="401"/>
        <v>888888.8889</v>
      </c>
      <c r="AF2135" s="127" t="s">
        <v>15168</v>
      </c>
      <c r="AG2135" s="127">
        <v>35.8831200621419</v>
      </c>
      <c r="AH2135" s="127">
        <v>10.1304868961318</v>
      </c>
      <c r="AI2135" s="115" t="s">
        <v>12383</v>
      </c>
      <c r="AJ2135" s="116">
        <v>0.5</v>
      </c>
      <c r="AK2135" s="117"/>
      <c r="AL2135" s="117"/>
      <c r="AM2135" s="117"/>
      <c r="AN2135" s="117"/>
      <c r="AO2135" s="117"/>
    </row>
    <row r="2136" ht="29.25" customHeight="1">
      <c r="A2136" s="111">
        <v>2853.0</v>
      </c>
      <c r="B2136" s="111" t="s">
        <v>10138</v>
      </c>
      <c r="C2136" s="111" t="s">
        <v>7981</v>
      </c>
      <c r="D2136" s="111">
        <v>2024.0</v>
      </c>
      <c r="E2136" s="111"/>
      <c r="F2136" s="111" t="s">
        <v>12418</v>
      </c>
      <c r="G2136" s="111" t="s">
        <v>12241</v>
      </c>
      <c r="H2136" s="111" t="s">
        <v>13021</v>
      </c>
      <c r="I2136" s="111"/>
      <c r="J2136" s="111"/>
      <c r="K2136" s="111" t="s">
        <v>30</v>
      </c>
      <c r="L2136" s="111"/>
      <c r="M2136" s="111"/>
      <c r="N2136" s="111"/>
      <c r="O2136" s="111"/>
      <c r="P2136" s="111"/>
      <c r="Q2136" s="111"/>
      <c r="R2136" s="111"/>
      <c r="S2136" s="111">
        <v>1.0</v>
      </c>
      <c r="T2136" s="111"/>
      <c r="U2136" s="111"/>
      <c r="V2136" s="111"/>
      <c r="W2136" s="111"/>
      <c r="X2136" s="111"/>
      <c r="Y2136" s="111"/>
      <c r="Z2136" s="111"/>
      <c r="AA2136" s="124" t="str">
        <f>IF(OR(G2136="ALK",G2136="PEM",G2136="SOEC",G2136="Other Electrolysis"),
AB2136*VLOOKUP(G2136,ElectrolysisConvF,3,FALSE),
"")</f>
        <v/>
      </c>
      <c r="AB2136" s="125"/>
      <c r="AC2136" s="125"/>
      <c r="AD2136" s="125"/>
      <c r="AE2136" s="125" t="str">
        <f t="shared" si="401"/>
        <v/>
      </c>
      <c r="AF2136" s="127" t="s">
        <v>15170</v>
      </c>
      <c r="AG2136" s="127">
        <v>45.4416563381526</v>
      </c>
      <c r="AH2136" s="127">
        <v>-122.468519682833</v>
      </c>
      <c r="AI2136" s="115" t="s">
        <v>12241</v>
      </c>
      <c r="AJ2136" s="116">
        <v>0.9</v>
      </c>
      <c r="AK2136" s="117"/>
      <c r="AL2136" s="117"/>
      <c r="AM2136" s="117"/>
      <c r="AN2136" s="117"/>
      <c r="AO2136" s="117"/>
    </row>
    <row r="2137" ht="29.25" customHeight="1">
      <c r="A2137" s="111">
        <v>2854.0</v>
      </c>
      <c r="B2137" s="111" t="s">
        <v>10139</v>
      </c>
      <c r="C2137" s="111" t="s">
        <v>8001</v>
      </c>
      <c r="D2137" s="111"/>
      <c r="E2137" s="111"/>
      <c r="F2137" s="111" t="s">
        <v>12399</v>
      </c>
      <c r="G2137" s="111" t="s">
        <v>12381</v>
      </c>
      <c r="H2137" s="111" t="s">
        <v>12230</v>
      </c>
      <c r="I2137" s="111" t="s">
        <v>12394</v>
      </c>
      <c r="J2137" s="111" t="s">
        <v>12295</v>
      </c>
      <c r="K2137" s="111" t="s">
        <v>30</v>
      </c>
      <c r="L2137" s="111"/>
      <c r="M2137" s="111"/>
      <c r="N2137" s="111"/>
      <c r="O2137" s="111"/>
      <c r="P2137" s="111"/>
      <c r="Q2137" s="111"/>
      <c r="R2137" s="111"/>
      <c r="S2137" s="111"/>
      <c r="T2137" s="111"/>
      <c r="U2137" s="111"/>
      <c r="V2137" s="111"/>
      <c r="W2137" s="111"/>
      <c r="X2137" s="111"/>
      <c r="Y2137" s="111"/>
      <c r="Z2137" s="111" t="s">
        <v>12723</v>
      </c>
      <c r="AA2137" s="124">
        <v>1000.0</v>
      </c>
      <c r="AB2137" s="125">
        <f>IF(Projects!$AI2137="Electrolysis",
AA2137/VLOOKUP(G2137,ElectrolysisConvF,3,FALSE),
AC2137*10^6/(H2dens*HoursInYear))</f>
        <v>222222.2222</v>
      </c>
      <c r="AC2137" s="126">
        <f t="shared" ref="AC2137:AC2138" si="403">AB2137*H2dens*HoursInYear/10^6</f>
        <v>173.2533333</v>
      </c>
      <c r="AD2137" s="125"/>
      <c r="AE2137" s="125">
        <f t="shared" si="401"/>
        <v>222222.2222</v>
      </c>
      <c r="AF2137" s="127" t="s">
        <v>15171</v>
      </c>
      <c r="AG2137" s="127">
        <v>37.3854273227386</v>
      </c>
      <c r="AH2137" s="127">
        <v>97.3148143704082</v>
      </c>
      <c r="AI2137" s="115" t="s">
        <v>12383</v>
      </c>
      <c r="AJ2137" s="116">
        <v>0.5</v>
      </c>
      <c r="AK2137" s="117"/>
      <c r="AL2137" s="117"/>
      <c r="AM2137" s="117"/>
      <c r="AN2137" s="117"/>
      <c r="AO2137" s="117"/>
    </row>
    <row r="2138" ht="29.25" customHeight="1">
      <c r="A2138" s="111">
        <v>2855.0</v>
      </c>
      <c r="B2138" s="111" t="s">
        <v>10140</v>
      </c>
      <c r="C2138" s="111" t="s">
        <v>8388</v>
      </c>
      <c r="D2138" s="111">
        <v>2030.0</v>
      </c>
      <c r="E2138" s="111"/>
      <c r="F2138" s="111" t="s">
        <v>12399</v>
      </c>
      <c r="G2138" s="111" t="s">
        <v>12381</v>
      </c>
      <c r="H2138" s="111" t="s">
        <v>12230</v>
      </c>
      <c r="I2138" s="111" t="s">
        <v>12394</v>
      </c>
      <c r="J2138" s="111" t="s">
        <v>12295</v>
      </c>
      <c r="K2138" s="111" t="s">
        <v>174</v>
      </c>
      <c r="L2138" s="111"/>
      <c r="M2138" s="111">
        <v>1.0</v>
      </c>
      <c r="N2138" s="111"/>
      <c r="O2138" s="111"/>
      <c r="P2138" s="111"/>
      <c r="Q2138" s="111"/>
      <c r="R2138" s="111"/>
      <c r="S2138" s="111"/>
      <c r="T2138" s="111"/>
      <c r="U2138" s="111"/>
      <c r="V2138" s="111"/>
      <c r="W2138" s="111"/>
      <c r="X2138" s="111"/>
      <c r="Y2138" s="111"/>
      <c r="Z2138" s="111" t="s">
        <v>12691</v>
      </c>
      <c r="AA2138" s="124">
        <v>2500.0</v>
      </c>
      <c r="AB2138" s="125">
        <f>IF(Projects!$AI2138="Electrolysis",
AA2138/VLOOKUP(G2138,ElectrolysisConvF,3,FALSE),
AC2138*10^6/(H2dens*HoursInYear))</f>
        <v>555555.5556</v>
      </c>
      <c r="AC2138" s="126">
        <f t="shared" si="403"/>
        <v>433.1333333</v>
      </c>
      <c r="AD2138" s="125"/>
      <c r="AE2138" s="125">
        <f t="shared" si="401"/>
        <v>555555.5556</v>
      </c>
      <c r="AF2138" s="127" t="s">
        <v>15172</v>
      </c>
      <c r="AG2138" s="127">
        <v>17.8219581736149</v>
      </c>
      <c r="AH2138" s="127">
        <v>54.9678598676827</v>
      </c>
      <c r="AI2138" s="115" t="s">
        <v>12383</v>
      </c>
      <c r="AJ2138" s="116">
        <v>0.5</v>
      </c>
      <c r="AK2138" s="117"/>
      <c r="AL2138" s="117"/>
      <c r="AM2138" s="117"/>
      <c r="AN2138" s="117"/>
      <c r="AO2138" s="117"/>
    </row>
    <row r="2139" ht="29.25" customHeight="1">
      <c r="A2139" s="111">
        <v>2856.0</v>
      </c>
      <c r="B2139" s="111" t="s">
        <v>10141</v>
      </c>
      <c r="C2139" s="111" t="s">
        <v>8388</v>
      </c>
      <c r="D2139" s="111">
        <v>2030.0</v>
      </c>
      <c r="E2139" s="111"/>
      <c r="F2139" s="111" t="s">
        <v>12399</v>
      </c>
      <c r="G2139" s="111" t="s">
        <v>12381</v>
      </c>
      <c r="H2139" s="111" t="s">
        <v>12230</v>
      </c>
      <c r="I2139" s="111" t="s">
        <v>12394</v>
      </c>
      <c r="J2139" s="111" t="s">
        <v>12295</v>
      </c>
      <c r="K2139" s="111" t="s">
        <v>30</v>
      </c>
      <c r="L2139" s="111"/>
      <c r="M2139" s="111">
        <v>1.0</v>
      </c>
      <c r="N2139" s="111"/>
      <c r="O2139" s="111"/>
      <c r="P2139" s="111">
        <v>1.0</v>
      </c>
      <c r="Q2139" s="111"/>
      <c r="R2139" s="111"/>
      <c r="S2139" s="111"/>
      <c r="T2139" s="111"/>
      <c r="U2139" s="111"/>
      <c r="V2139" s="111"/>
      <c r="W2139" s="111"/>
      <c r="X2139" s="111"/>
      <c r="Y2139" s="111"/>
      <c r="Z2139" s="111" t="s">
        <v>14037</v>
      </c>
      <c r="AA2139" s="126">
        <f>IF(Projects!$AI2139="Electrolysis",
AB2139*VLOOKUP(G2139,ElectrolysisConvF,3,FALSE),
"")</f>
        <v>2308.757888</v>
      </c>
      <c r="AB2139" s="125">
        <f>AC2139/(H2dens*HoursInYear/10^6)</f>
        <v>513057.3085</v>
      </c>
      <c r="AC2139" s="125">
        <f>200/Projects!$AJ2139</f>
        <v>400</v>
      </c>
      <c r="AD2139" s="125"/>
      <c r="AE2139" s="125">
        <f t="shared" si="401"/>
        <v>513057.3085</v>
      </c>
      <c r="AF2139" s="127" t="s">
        <v>15172</v>
      </c>
      <c r="AG2139" s="127">
        <v>17.8219581736149</v>
      </c>
      <c r="AH2139" s="127">
        <v>54.9678598676827</v>
      </c>
      <c r="AI2139" s="115" t="s">
        <v>12383</v>
      </c>
      <c r="AJ2139" s="116">
        <v>0.5</v>
      </c>
      <c r="AK2139" s="117"/>
      <c r="AL2139" s="117"/>
      <c r="AM2139" s="117"/>
      <c r="AN2139" s="117"/>
      <c r="AO2139" s="117"/>
    </row>
    <row r="2140" ht="29.25" customHeight="1">
      <c r="A2140" s="111">
        <v>2857.0</v>
      </c>
      <c r="B2140" s="111" t="s">
        <v>10142</v>
      </c>
      <c r="C2140" s="111" t="s">
        <v>8011</v>
      </c>
      <c r="D2140" s="111">
        <v>2030.0</v>
      </c>
      <c r="E2140" s="111"/>
      <c r="F2140" s="111" t="s">
        <v>12399</v>
      </c>
      <c r="G2140" s="111" t="s">
        <v>12224</v>
      </c>
      <c r="H2140" s="111"/>
      <c r="I2140" s="111" t="s">
        <v>12287</v>
      </c>
      <c r="J2140" s="111"/>
      <c r="K2140" s="111" t="s">
        <v>174</v>
      </c>
      <c r="L2140" s="111"/>
      <c r="M2140" s="111">
        <v>1.0</v>
      </c>
      <c r="N2140" s="111"/>
      <c r="O2140" s="111"/>
      <c r="P2140" s="111"/>
      <c r="Q2140" s="111"/>
      <c r="R2140" s="111"/>
      <c r="S2140" s="111"/>
      <c r="T2140" s="111"/>
      <c r="U2140" s="111"/>
      <c r="V2140" s="111"/>
      <c r="W2140" s="111"/>
      <c r="X2140" s="111"/>
      <c r="Y2140" s="111"/>
      <c r="Z2140" s="111" t="s">
        <v>15173</v>
      </c>
      <c r="AA2140" s="124">
        <v>200.0</v>
      </c>
      <c r="AB2140" s="125">
        <f>IF(Projects!$AI2140="Electrolysis",
AA2140/VLOOKUP(G2140,ElectrolysisConvF,3,FALSE),
AC2140*10^6/(H2dens*HoursInYear))</f>
        <v>43478.26087</v>
      </c>
      <c r="AC2140" s="126">
        <f>AB2140*H2dens*HoursInYear/10^6</f>
        <v>33.8973913</v>
      </c>
      <c r="AD2140" s="125"/>
      <c r="AE2140" s="125">
        <f t="shared" si="401"/>
        <v>43478.26087</v>
      </c>
      <c r="AF2140" s="127" t="s">
        <v>15174</v>
      </c>
      <c r="AG2140" s="127">
        <v>49.7460232844297</v>
      </c>
      <c r="AH2140" s="127">
        <v>2.93022753280734</v>
      </c>
      <c r="AI2140" s="115" t="s">
        <v>12383</v>
      </c>
      <c r="AJ2140" s="116">
        <v>0.57</v>
      </c>
      <c r="AK2140" s="117"/>
      <c r="AL2140" s="117"/>
      <c r="AM2140" s="117"/>
      <c r="AN2140" s="117"/>
      <c r="AO2140" s="117"/>
    </row>
    <row r="2141" ht="29.25" customHeight="1">
      <c r="A2141" s="111">
        <v>2858.0</v>
      </c>
      <c r="B2141" s="111" t="s">
        <v>10143</v>
      </c>
      <c r="C2141" s="111" t="s">
        <v>8001</v>
      </c>
      <c r="D2141" s="111"/>
      <c r="E2141" s="111"/>
      <c r="F2141" s="111" t="s">
        <v>12399</v>
      </c>
      <c r="G2141" s="111" t="s">
        <v>12381</v>
      </c>
      <c r="H2141" s="111" t="s">
        <v>12230</v>
      </c>
      <c r="I2141" s="111" t="s">
        <v>12394</v>
      </c>
      <c r="J2141" s="111" t="s">
        <v>12292</v>
      </c>
      <c r="K2141" s="111" t="s">
        <v>12251</v>
      </c>
      <c r="L2141" s="111"/>
      <c r="M2141" s="111"/>
      <c r="N2141" s="111"/>
      <c r="O2141" s="111"/>
      <c r="P2141" s="111"/>
      <c r="Q2141" s="111"/>
      <c r="R2141" s="111"/>
      <c r="S2141" s="111"/>
      <c r="T2141" s="111"/>
      <c r="U2141" s="111"/>
      <c r="V2141" s="111"/>
      <c r="W2141" s="111">
        <v>1.0</v>
      </c>
      <c r="X2141" s="111"/>
      <c r="Y2141" s="111"/>
      <c r="Z2141" s="111" t="s">
        <v>15175</v>
      </c>
      <c r="AA2141" s="126">
        <f>IF(Projects!$AI2141="Electrolysis",
AB2141*VLOOKUP(G2141,ElectrolysisConvF,3,FALSE),
"")</f>
        <v>741.2536028</v>
      </c>
      <c r="AB2141" s="125">
        <f t="shared" ref="AB2141:AB2145" si="404">AC2141/(H2dens*HoursInYear/10^6)</f>
        <v>164723.0228</v>
      </c>
      <c r="AC2141" s="126">
        <f>(100*0.045/0.73/0.12)/Projects!$AJ2141</f>
        <v>128.4246575</v>
      </c>
      <c r="AD2141" s="125"/>
      <c r="AE2141" s="125">
        <f t="shared" si="401"/>
        <v>164723.0228</v>
      </c>
      <c r="AF2141" s="127" t="s">
        <v>15176</v>
      </c>
      <c r="AG2141" s="127">
        <v>44.8034952040048</v>
      </c>
      <c r="AH2141" s="127">
        <v>120.815819137878</v>
      </c>
      <c r="AI2141" s="115" t="s">
        <v>12383</v>
      </c>
      <c r="AJ2141" s="116">
        <v>0.4</v>
      </c>
      <c r="AK2141" s="117"/>
      <c r="AL2141" s="117"/>
      <c r="AM2141" s="117"/>
      <c r="AN2141" s="117"/>
      <c r="AO2141" s="117"/>
    </row>
    <row r="2142" ht="29.25" customHeight="1">
      <c r="A2142" s="111">
        <v>2859.0</v>
      </c>
      <c r="B2142" s="111" t="s">
        <v>10143</v>
      </c>
      <c r="C2142" s="111" t="s">
        <v>8001</v>
      </c>
      <c r="D2142" s="111"/>
      <c r="E2142" s="111"/>
      <c r="F2142" s="111" t="s">
        <v>12399</v>
      </c>
      <c r="G2142" s="111" t="s">
        <v>12381</v>
      </c>
      <c r="H2142" s="111" t="s">
        <v>12230</v>
      </c>
      <c r="I2142" s="111" t="s">
        <v>12394</v>
      </c>
      <c r="J2142" s="111" t="s">
        <v>12292</v>
      </c>
      <c r="K2142" s="111" t="s">
        <v>12251</v>
      </c>
      <c r="L2142" s="111"/>
      <c r="M2142" s="111"/>
      <c r="N2142" s="111"/>
      <c r="O2142" s="111"/>
      <c r="P2142" s="111"/>
      <c r="Q2142" s="111"/>
      <c r="R2142" s="111"/>
      <c r="S2142" s="111"/>
      <c r="T2142" s="111"/>
      <c r="U2142" s="111"/>
      <c r="V2142" s="111"/>
      <c r="W2142" s="111">
        <v>1.0</v>
      </c>
      <c r="X2142" s="111"/>
      <c r="Y2142" s="111"/>
      <c r="Z2142" s="111" t="s">
        <v>15177</v>
      </c>
      <c r="AA2142" s="126">
        <f>IF(Projects!$AI2142="Electrolysis",
AB2142*VLOOKUP(G2142,ElectrolysisConvF,3,FALSE),
"")</f>
        <v>1482.507206</v>
      </c>
      <c r="AB2142" s="125">
        <f t="shared" si="404"/>
        <v>329446.0457</v>
      </c>
      <c r="AC2142" s="126">
        <f>(200*0.045/0.73/0.12)/Projects!$AJ2142</f>
        <v>256.8493151</v>
      </c>
      <c r="AD2142" s="125"/>
      <c r="AE2142" s="125">
        <f t="shared" si="401"/>
        <v>329446.0457</v>
      </c>
      <c r="AF2142" s="127" t="s">
        <v>15176</v>
      </c>
      <c r="AG2142" s="127">
        <v>44.8034952040048</v>
      </c>
      <c r="AH2142" s="127">
        <v>120.815819137878</v>
      </c>
      <c r="AI2142" s="115" t="s">
        <v>12383</v>
      </c>
      <c r="AJ2142" s="116">
        <v>0.4</v>
      </c>
      <c r="AK2142" s="117"/>
      <c r="AL2142" s="117"/>
      <c r="AM2142" s="117"/>
      <c r="AN2142" s="117"/>
      <c r="AO2142" s="117"/>
    </row>
    <row r="2143" ht="29.25" customHeight="1">
      <c r="A2143" s="111">
        <v>2860.0</v>
      </c>
      <c r="B2143" s="111" t="s">
        <v>10144</v>
      </c>
      <c r="C2143" s="111" t="s">
        <v>8713</v>
      </c>
      <c r="D2143" s="111"/>
      <c r="E2143" s="111"/>
      <c r="F2143" s="111" t="s">
        <v>12399</v>
      </c>
      <c r="G2143" s="111" t="s">
        <v>12381</v>
      </c>
      <c r="H2143" s="111" t="s">
        <v>12230</v>
      </c>
      <c r="I2143" s="111" t="s">
        <v>12394</v>
      </c>
      <c r="J2143" s="111" t="s">
        <v>12291</v>
      </c>
      <c r="K2143" s="111" t="s">
        <v>174</v>
      </c>
      <c r="L2143" s="111"/>
      <c r="M2143" s="111">
        <v>1.0</v>
      </c>
      <c r="N2143" s="111"/>
      <c r="O2143" s="111"/>
      <c r="P2143" s="111"/>
      <c r="Q2143" s="111"/>
      <c r="R2143" s="111"/>
      <c r="S2143" s="111"/>
      <c r="T2143" s="111"/>
      <c r="U2143" s="111"/>
      <c r="V2143" s="111"/>
      <c r="W2143" s="111"/>
      <c r="X2143" s="111"/>
      <c r="Y2143" s="111"/>
      <c r="Z2143" s="111" t="s">
        <v>15178</v>
      </c>
      <c r="AA2143" s="126">
        <f>IF(Projects!$AI2143="Electrolysis",
AB2143*VLOOKUP(G2143,ElectrolysisConvF,3,FALSE),
"")</f>
        <v>1539.171926</v>
      </c>
      <c r="AB2143" s="125">
        <f t="shared" si="404"/>
        <v>342038.2057</v>
      </c>
      <c r="AC2143" s="125">
        <f>80/Projects!$AJ2143</f>
        <v>266.6666667</v>
      </c>
      <c r="AD2143" s="125"/>
      <c r="AE2143" s="125">
        <f t="shared" si="401"/>
        <v>342038.2057</v>
      </c>
      <c r="AF2143" s="127" t="s">
        <v>15179</v>
      </c>
      <c r="AG2143" s="127">
        <v>-16.748561665931</v>
      </c>
      <c r="AH2143" s="127">
        <v>-71.8742528574287</v>
      </c>
      <c r="AI2143" s="115" t="s">
        <v>12383</v>
      </c>
      <c r="AJ2143" s="116">
        <v>0.3</v>
      </c>
      <c r="AK2143" s="117"/>
      <c r="AL2143" s="117"/>
      <c r="AM2143" s="117"/>
      <c r="AN2143" s="117"/>
      <c r="AO2143" s="117"/>
    </row>
    <row r="2144" ht="29.25" customHeight="1">
      <c r="A2144" s="111">
        <v>2861.0</v>
      </c>
      <c r="B2144" s="111" t="s">
        <v>10145</v>
      </c>
      <c r="C2144" s="111" t="s">
        <v>8873</v>
      </c>
      <c r="D2144" s="111">
        <v>2027.0</v>
      </c>
      <c r="E2144" s="111"/>
      <c r="F2144" s="111" t="s">
        <v>12399</v>
      </c>
      <c r="G2144" s="111" t="s">
        <v>12381</v>
      </c>
      <c r="H2144" s="111" t="s">
        <v>12230</v>
      </c>
      <c r="I2144" s="111" t="s">
        <v>12394</v>
      </c>
      <c r="J2144" s="111" t="s">
        <v>12296</v>
      </c>
      <c r="K2144" s="111" t="s">
        <v>174</v>
      </c>
      <c r="L2144" s="111"/>
      <c r="M2144" s="111">
        <v>1.0</v>
      </c>
      <c r="N2144" s="111"/>
      <c r="O2144" s="111"/>
      <c r="P2144" s="111"/>
      <c r="Q2144" s="111"/>
      <c r="R2144" s="111"/>
      <c r="S2144" s="111"/>
      <c r="T2144" s="111"/>
      <c r="U2144" s="111"/>
      <c r="V2144" s="111"/>
      <c r="W2144" s="111"/>
      <c r="X2144" s="111"/>
      <c r="Y2144" s="111"/>
      <c r="Z2144" s="111" t="s">
        <v>15180</v>
      </c>
      <c r="AA2144" s="126">
        <f>IF(Projects!$AI2144="Electrolysis",
AB2144*VLOOKUP(G2144,ElectrolysisConvF,3,FALSE),
"")</f>
        <v>1039.356792</v>
      </c>
      <c r="AB2144" s="125">
        <f t="shared" si="404"/>
        <v>230968.1761</v>
      </c>
      <c r="AC2144" s="125">
        <f>500*3/17/0.98/Projects!$AJ2144</f>
        <v>180.0720288</v>
      </c>
      <c r="AD2144" s="125"/>
      <c r="AE2144" s="125">
        <f t="shared" si="401"/>
        <v>230968.1761</v>
      </c>
      <c r="AF2144" s="127" t="s">
        <v>15181</v>
      </c>
      <c r="AG2144" s="127">
        <v>-22.9533894366065</v>
      </c>
      <c r="AH2144" s="127">
        <v>14.4921389187704</v>
      </c>
      <c r="AI2144" s="115" t="s">
        <v>12383</v>
      </c>
      <c r="AJ2144" s="116">
        <v>0.5</v>
      </c>
      <c r="AK2144" s="117"/>
      <c r="AL2144" s="117"/>
      <c r="AM2144" s="117"/>
      <c r="AN2144" s="117"/>
      <c r="AO2144" s="117"/>
    </row>
    <row r="2145" ht="29.25" customHeight="1">
      <c r="A2145" s="111">
        <v>2862.0</v>
      </c>
      <c r="B2145" s="111" t="s">
        <v>10146</v>
      </c>
      <c r="C2145" s="111" t="s">
        <v>7971</v>
      </c>
      <c r="D2145" s="111">
        <v>2029.0</v>
      </c>
      <c r="E2145" s="111"/>
      <c r="F2145" s="111" t="s">
        <v>12399</v>
      </c>
      <c r="G2145" s="111" t="s">
        <v>12381</v>
      </c>
      <c r="H2145" s="111" t="s">
        <v>12230</v>
      </c>
      <c r="I2145" s="111" t="s">
        <v>12394</v>
      </c>
      <c r="J2145" s="111" t="s">
        <v>12293</v>
      </c>
      <c r="K2145" s="111" t="s">
        <v>174</v>
      </c>
      <c r="L2145" s="111"/>
      <c r="M2145" s="111">
        <v>1.0</v>
      </c>
      <c r="N2145" s="111"/>
      <c r="O2145" s="111"/>
      <c r="P2145" s="111"/>
      <c r="Q2145" s="111"/>
      <c r="R2145" s="111"/>
      <c r="S2145" s="111"/>
      <c r="T2145" s="111"/>
      <c r="U2145" s="111"/>
      <c r="V2145" s="111"/>
      <c r="W2145" s="111"/>
      <c r="X2145" s="111"/>
      <c r="Y2145" s="111"/>
      <c r="Z2145" s="111" t="s">
        <v>15180</v>
      </c>
      <c r="AA2145" s="126">
        <f>IF(Projects!$AI2145="Electrolysis",
AB2145*VLOOKUP(G2145,ElectrolysisConvF,3,FALSE),
"")</f>
        <v>1152.74117</v>
      </c>
      <c r="AB2145" s="125">
        <f t="shared" si="404"/>
        <v>256164.7044</v>
      </c>
      <c r="AC2145" s="125">
        <f>610*3/17/0.98/Projects!$AJ2145</f>
        <v>199.7162501</v>
      </c>
      <c r="AD2145" s="125"/>
      <c r="AE2145" s="125">
        <f t="shared" si="401"/>
        <v>256164.7044</v>
      </c>
      <c r="AF2145" s="127" t="s">
        <v>15182</v>
      </c>
      <c r="AG2145" s="127">
        <v>71.1054444602182</v>
      </c>
      <c r="AH2145" s="127">
        <v>28.0697771873031</v>
      </c>
      <c r="AI2145" s="115" t="s">
        <v>12383</v>
      </c>
      <c r="AJ2145" s="116">
        <v>0.55</v>
      </c>
      <c r="AK2145" s="117"/>
      <c r="AL2145" s="117"/>
      <c r="AM2145" s="117"/>
      <c r="AN2145" s="117"/>
      <c r="AO2145" s="117"/>
    </row>
    <row r="2146" ht="29.25" customHeight="1">
      <c r="A2146" s="111">
        <v>2863.0</v>
      </c>
      <c r="B2146" s="111" t="s">
        <v>10147</v>
      </c>
      <c r="C2146" s="111" t="s">
        <v>7977</v>
      </c>
      <c r="D2146" s="111">
        <v>2029.0</v>
      </c>
      <c r="E2146" s="111"/>
      <c r="F2146" s="111" t="s">
        <v>12399</v>
      </c>
      <c r="G2146" s="111" t="s">
        <v>12381</v>
      </c>
      <c r="H2146" s="111" t="s">
        <v>12230</v>
      </c>
      <c r="I2146" s="111" t="s">
        <v>12394</v>
      </c>
      <c r="J2146" s="111" t="s">
        <v>12296</v>
      </c>
      <c r="K2146" s="111" t="s">
        <v>12415</v>
      </c>
      <c r="L2146" s="111"/>
      <c r="M2146" s="111"/>
      <c r="N2146" s="111"/>
      <c r="O2146" s="111"/>
      <c r="P2146" s="111"/>
      <c r="Q2146" s="111"/>
      <c r="R2146" s="111"/>
      <c r="S2146" s="111"/>
      <c r="T2146" s="111"/>
      <c r="U2146" s="111"/>
      <c r="V2146" s="111"/>
      <c r="W2146" s="111"/>
      <c r="X2146" s="111"/>
      <c r="Y2146" s="111"/>
      <c r="Z2146" s="111" t="s">
        <v>13647</v>
      </c>
      <c r="AA2146" s="126">
        <v>800.0</v>
      </c>
      <c r="AB2146" s="125">
        <f>IF(Projects!$AI2146="Electrolysis",
AA2146/VLOOKUP(G2146,ElectrolysisConvF,3,FALSE),
AC2146*10^6/(H2dens*HoursInYear))</f>
        <v>177777.7778</v>
      </c>
      <c r="AC2146" s="125">
        <f t="shared" ref="AC2146:AC2148" si="405">AB2146*H2dens*HoursInYear/10^6</f>
        <v>138.6026667</v>
      </c>
      <c r="AD2146" s="125"/>
      <c r="AE2146" s="125">
        <f t="shared" si="401"/>
        <v>177777.7778</v>
      </c>
      <c r="AF2146" s="127" t="s">
        <v>15183</v>
      </c>
      <c r="AG2146" s="127">
        <v>37.25542927422</v>
      </c>
      <c r="AH2146" s="127">
        <v>-6.9661627686812</v>
      </c>
      <c r="AI2146" s="115" t="s">
        <v>12383</v>
      </c>
      <c r="AJ2146" s="116">
        <v>0.5</v>
      </c>
      <c r="AK2146" s="117"/>
      <c r="AL2146" s="117"/>
      <c r="AM2146" s="117"/>
      <c r="AN2146" s="117"/>
      <c r="AO2146" s="117"/>
    </row>
    <row r="2147" ht="29.25" customHeight="1">
      <c r="A2147" s="111">
        <v>2864.0</v>
      </c>
      <c r="B2147" s="111" t="s">
        <v>10148</v>
      </c>
      <c r="C2147" s="111" t="s">
        <v>7977</v>
      </c>
      <c r="D2147" s="111"/>
      <c r="E2147" s="111"/>
      <c r="F2147" s="111" t="s">
        <v>12399</v>
      </c>
      <c r="G2147" s="111" t="s">
        <v>12381</v>
      </c>
      <c r="H2147" s="111" t="s">
        <v>12230</v>
      </c>
      <c r="I2147" s="111" t="s">
        <v>12394</v>
      </c>
      <c r="J2147" s="111" t="s">
        <v>12291</v>
      </c>
      <c r="K2147" s="111" t="s">
        <v>174</v>
      </c>
      <c r="L2147" s="111"/>
      <c r="M2147" s="111">
        <v>1.0</v>
      </c>
      <c r="N2147" s="111"/>
      <c r="O2147" s="111"/>
      <c r="P2147" s="111"/>
      <c r="Q2147" s="111"/>
      <c r="R2147" s="111"/>
      <c r="S2147" s="111"/>
      <c r="T2147" s="111"/>
      <c r="U2147" s="111"/>
      <c r="V2147" s="111"/>
      <c r="W2147" s="111"/>
      <c r="X2147" s="111"/>
      <c r="Y2147" s="111"/>
      <c r="Z2147" s="111" t="s">
        <v>12698</v>
      </c>
      <c r="AA2147" s="126">
        <v>100.0</v>
      </c>
      <c r="AB2147" s="125">
        <f>IF(Projects!$AI2147="Electrolysis",
AA2147/VLOOKUP(G2147,ElectrolysisConvF,3,FALSE),
AC2147*10^6/(H2dens*HoursInYear))</f>
        <v>22222.22222</v>
      </c>
      <c r="AC2147" s="125">
        <f t="shared" si="405"/>
        <v>17.32533333</v>
      </c>
      <c r="AD2147" s="125"/>
      <c r="AE2147" s="125">
        <f t="shared" si="401"/>
        <v>22222.22222</v>
      </c>
      <c r="AF2147" s="127" t="s">
        <v>15184</v>
      </c>
      <c r="AG2147" s="127">
        <v>37.3656153181744</v>
      </c>
      <c r="AH2147" s="127">
        <v>-6.9740391889453</v>
      </c>
      <c r="AI2147" s="115" t="s">
        <v>12383</v>
      </c>
      <c r="AJ2147" s="116">
        <v>0.3</v>
      </c>
      <c r="AK2147" s="117"/>
      <c r="AL2147" s="117"/>
      <c r="AM2147" s="117"/>
      <c r="AN2147" s="117"/>
      <c r="AO2147" s="117"/>
    </row>
    <row r="2148" ht="29.25" customHeight="1">
      <c r="A2148" s="111">
        <v>2865.0</v>
      </c>
      <c r="B2148" s="111" t="s">
        <v>10149</v>
      </c>
      <c r="C2148" s="111" t="s">
        <v>7977</v>
      </c>
      <c r="D2148" s="111"/>
      <c r="E2148" s="111"/>
      <c r="F2148" s="111" t="s">
        <v>12399</v>
      </c>
      <c r="G2148" s="111" t="s">
        <v>12381</v>
      </c>
      <c r="H2148" s="111" t="s">
        <v>12230</v>
      </c>
      <c r="I2148" s="111" t="s">
        <v>12394</v>
      </c>
      <c r="J2148" s="111" t="s">
        <v>12291</v>
      </c>
      <c r="K2148" s="111" t="s">
        <v>174</v>
      </c>
      <c r="L2148" s="111"/>
      <c r="M2148" s="111">
        <v>1.0</v>
      </c>
      <c r="N2148" s="111"/>
      <c r="O2148" s="111"/>
      <c r="P2148" s="111"/>
      <c r="Q2148" s="111"/>
      <c r="R2148" s="111"/>
      <c r="S2148" s="111"/>
      <c r="T2148" s="111"/>
      <c r="U2148" s="111"/>
      <c r="V2148" s="111"/>
      <c r="W2148" s="111"/>
      <c r="X2148" s="111"/>
      <c r="Y2148" s="111"/>
      <c r="Z2148" s="111" t="s">
        <v>13200</v>
      </c>
      <c r="AA2148" s="126">
        <v>70.0</v>
      </c>
      <c r="AB2148" s="125">
        <f>IF(Projects!$AI2148="Electrolysis",
AA2148/VLOOKUP(G2148,ElectrolysisConvF,3,FALSE),
AC2148*10^6/(H2dens*HoursInYear))</f>
        <v>15555.55556</v>
      </c>
      <c r="AC2148" s="125">
        <f t="shared" si="405"/>
        <v>12.12773333</v>
      </c>
      <c r="AD2148" s="125"/>
      <c r="AE2148" s="125">
        <f t="shared" si="401"/>
        <v>15555.55556</v>
      </c>
      <c r="AF2148" s="127" t="s">
        <v>15184</v>
      </c>
      <c r="AG2148" s="127">
        <v>37.3113394617013</v>
      </c>
      <c r="AH2148" s="127">
        <v>-6.83711574501853</v>
      </c>
      <c r="AI2148" s="115" t="s">
        <v>12383</v>
      </c>
      <c r="AJ2148" s="116">
        <v>0.3</v>
      </c>
      <c r="AK2148" s="117"/>
      <c r="AL2148" s="117"/>
      <c r="AM2148" s="117"/>
      <c r="AN2148" s="117"/>
      <c r="AO2148" s="117"/>
    </row>
    <row r="2149" ht="29.25" customHeight="1">
      <c r="A2149" s="111">
        <v>2866.0</v>
      </c>
      <c r="B2149" s="111" t="s">
        <v>10150</v>
      </c>
      <c r="C2149" s="111" t="s">
        <v>8413</v>
      </c>
      <c r="D2149" s="111"/>
      <c r="E2149" s="111"/>
      <c r="F2149" s="111" t="s">
        <v>12397</v>
      </c>
      <c r="G2149" s="111" t="s">
        <v>12381</v>
      </c>
      <c r="H2149" s="111" t="s">
        <v>12230</v>
      </c>
      <c r="I2149" s="111" t="s">
        <v>12394</v>
      </c>
      <c r="J2149" s="111" t="s">
        <v>12296</v>
      </c>
      <c r="K2149" s="111" t="s">
        <v>174</v>
      </c>
      <c r="L2149" s="111"/>
      <c r="M2149" s="111">
        <v>1.0</v>
      </c>
      <c r="N2149" s="111"/>
      <c r="O2149" s="111"/>
      <c r="P2149" s="111"/>
      <c r="Q2149" s="111"/>
      <c r="R2149" s="111"/>
      <c r="S2149" s="111"/>
      <c r="T2149" s="111"/>
      <c r="U2149" s="111"/>
      <c r="V2149" s="111"/>
      <c r="W2149" s="111"/>
      <c r="X2149" s="111"/>
      <c r="Y2149" s="111"/>
      <c r="Z2149" s="111"/>
      <c r="AA2149" s="126">
        <f>IF(OR(G2149="ALK",G2149="PEM",G2149="SOEC",G2149="Other Electrolysis"),
AB2149*VLOOKUP(G2149,ElectrolysisConvF,3,FALSE),
"")</f>
        <v>0</v>
      </c>
      <c r="AB2149" s="125"/>
      <c r="AC2149" s="125"/>
      <c r="AD2149" s="125"/>
      <c r="AE2149" s="125" t="str">
        <f t="shared" si="401"/>
        <v/>
      </c>
      <c r="AF2149" s="127" t="s">
        <v>15185</v>
      </c>
      <c r="AG2149" s="127">
        <v>-33.9094905102472</v>
      </c>
      <c r="AH2149" s="127">
        <v>-53.962409426766</v>
      </c>
      <c r="AI2149" s="115" t="s">
        <v>12383</v>
      </c>
      <c r="AJ2149" s="116">
        <v>0.5</v>
      </c>
      <c r="AK2149" s="117"/>
      <c r="AL2149" s="117"/>
      <c r="AM2149" s="117"/>
      <c r="AN2149" s="117"/>
      <c r="AO2149" s="117"/>
    </row>
    <row r="2150" ht="29.25" customHeight="1">
      <c r="A2150" s="111">
        <v>2867.0</v>
      </c>
      <c r="B2150" s="111" t="s">
        <v>10151</v>
      </c>
      <c r="C2150" s="111" t="s">
        <v>10152</v>
      </c>
      <c r="D2150" s="111"/>
      <c r="E2150" s="111"/>
      <c r="F2150" s="111" t="s">
        <v>12397</v>
      </c>
      <c r="G2150" s="111" t="s">
        <v>12381</v>
      </c>
      <c r="H2150" s="111" t="s">
        <v>12230</v>
      </c>
      <c r="I2150" s="111" t="s">
        <v>12287</v>
      </c>
      <c r="J2150" s="111"/>
      <c r="K2150" s="111" t="s">
        <v>30</v>
      </c>
      <c r="L2150" s="111"/>
      <c r="M2150" s="111"/>
      <c r="N2150" s="111"/>
      <c r="O2150" s="111"/>
      <c r="P2150" s="111"/>
      <c r="Q2150" s="111"/>
      <c r="R2150" s="111"/>
      <c r="S2150" s="111"/>
      <c r="T2150" s="111"/>
      <c r="U2150" s="111"/>
      <c r="V2150" s="111"/>
      <c r="W2150" s="111"/>
      <c r="X2150" s="111"/>
      <c r="Y2150" s="111"/>
      <c r="Z2150" s="111" t="s">
        <v>12768</v>
      </c>
      <c r="AA2150" s="126">
        <v>50.0</v>
      </c>
      <c r="AB2150" s="125">
        <f>IF(Projects!$AI2150="Electrolysis",
AA2150/VLOOKUP(G2150,ElectrolysisConvF,3,FALSE),
AC2150*10^6/(H2dens*HoursInYear))</f>
        <v>11111.11111</v>
      </c>
      <c r="AC2150" s="125">
        <f t="shared" ref="AC2150:AC2151" si="406">AB2150*H2dens*HoursInYear/10^6</f>
        <v>8.662666667</v>
      </c>
      <c r="AD2150" s="125"/>
      <c r="AE2150" s="125">
        <f t="shared" si="401"/>
        <v>11111.11111</v>
      </c>
      <c r="AF2150" s="127" t="s">
        <v>15186</v>
      </c>
      <c r="AG2150" s="127">
        <v>35.7058126149046</v>
      </c>
      <c r="AH2150" s="127">
        <v>-0.664628543017622</v>
      </c>
      <c r="AI2150" s="115" t="s">
        <v>12383</v>
      </c>
      <c r="AJ2150" s="116">
        <v>0.57</v>
      </c>
      <c r="AK2150" s="117"/>
      <c r="AL2150" s="117"/>
      <c r="AM2150" s="117"/>
      <c r="AN2150" s="117"/>
      <c r="AO2150" s="117"/>
    </row>
    <row r="2151" ht="29.25" customHeight="1">
      <c r="A2151" s="111">
        <v>2868.0</v>
      </c>
      <c r="B2151" s="111" t="s">
        <v>10153</v>
      </c>
      <c r="C2151" s="111" t="s">
        <v>8108</v>
      </c>
      <c r="D2151" s="111"/>
      <c r="E2151" s="111"/>
      <c r="F2151" s="111" t="s">
        <v>12418</v>
      </c>
      <c r="G2151" s="111" t="s">
        <v>12381</v>
      </c>
      <c r="H2151" s="111" t="s">
        <v>12230</v>
      </c>
      <c r="I2151" s="111" t="s">
        <v>12287</v>
      </c>
      <c r="J2151" s="111"/>
      <c r="K2151" s="111" t="s">
        <v>30</v>
      </c>
      <c r="L2151" s="111"/>
      <c r="M2151" s="111"/>
      <c r="N2151" s="111"/>
      <c r="O2151" s="111"/>
      <c r="P2151" s="111"/>
      <c r="Q2151" s="111">
        <v>1.0</v>
      </c>
      <c r="R2151" s="111"/>
      <c r="S2151" s="111"/>
      <c r="T2151" s="111"/>
      <c r="U2151" s="111"/>
      <c r="V2151" s="111"/>
      <c r="W2151" s="111"/>
      <c r="X2151" s="111"/>
      <c r="Y2151" s="111"/>
      <c r="Z2151" s="111" t="s">
        <v>15187</v>
      </c>
      <c r="AA2151" s="126">
        <v>1.0</v>
      </c>
      <c r="AB2151" s="125">
        <f>IF(Projects!$AI2151="Electrolysis",
AA2151/VLOOKUP(G2151,ElectrolysisConvF,3,FALSE),
AC2151*10^6/(H2dens*HoursInYear))</f>
        <v>222.2222222</v>
      </c>
      <c r="AC2151" s="125">
        <f t="shared" si="406"/>
        <v>0.1732533333</v>
      </c>
      <c r="AD2151" s="125"/>
      <c r="AE2151" s="125">
        <f t="shared" si="401"/>
        <v>222.2222222</v>
      </c>
      <c r="AF2151" s="127" t="s">
        <v>15188</v>
      </c>
      <c r="AG2151" s="127">
        <v>10.1545608659165</v>
      </c>
      <c r="AH2151" s="127">
        <v>76.3788608354739</v>
      </c>
      <c r="AI2151" s="115" t="s">
        <v>12383</v>
      </c>
      <c r="AJ2151" s="116">
        <v>0.57</v>
      </c>
      <c r="AK2151" s="117"/>
      <c r="AL2151" s="117"/>
      <c r="AM2151" s="117"/>
      <c r="AN2151" s="117"/>
      <c r="AO2151" s="117"/>
    </row>
    <row r="2152" ht="29.25" customHeight="1">
      <c r="A2152" s="111">
        <v>2869.0</v>
      </c>
      <c r="B2152" s="111" t="s">
        <v>10154</v>
      </c>
      <c r="C2152" s="111" t="s">
        <v>8108</v>
      </c>
      <c r="D2152" s="111"/>
      <c r="E2152" s="111"/>
      <c r="F2152" s="111" t="s">
        <v>12397</v>
      </c>
      <c r="G2152" s="111" t="s">
        <v>12381</v>
      </c>
      <c r="H2152" s="111" t="s">
        <v>12230</v>
      </c>
      <c r="I2152" s="111" t="s">
        <v>12287</v>
      </c>
      <c r="J2152" s="111"/>
      <c r="K2152" s="111" t="s">
        <v>30</v>
      </c>
      <c r="L2152" s="111"/>
      <c r="M2152" s="111"/>
      <c r="N2152" s="111"/>
      <c r="O2152" s="111"/>
      <c r="P2152" s="111"/>
      <c r="Q2152" s="111"/>
      <c r="R2152" s="111"/>
      <c r="S2152" s="111"/>
      <c r="T2152" s="111"/>
      <c r="U2152" s="111"/>
      <c r="V2152" s="111"/>
      <c r="W2152" s="111"/>
      <c r="X2152" s="111"/>
      <c r="Y2152" s="111"/>
      <c r="Z2152" s="111" t="s">
        <v>15189</v>
      </c>
      <c r="AA2152" s="126">
        <f>IF(Projects!$AI2152="Electrolysis",
AB2152*VLOOKUP(G2152,ElectrolysisConvF,3,FALSE),
"")</f>
        <v>4435.245417</v>
      </c>
      <c r="AB2152" s="125">
        <f t="shared" ref="AB2152:AB2158" si="407">AC2152/(H2dens*HoursInYear/10^6)</f>
        <v>985610.0926</v>
      </c>
      <c r="AC2152" s="125">
        <f>(1.2*365)/Projects!$AJ2152</f>
        <v>768.4210526</v>
      </c>
      <c r="AD2152" s="125"/>
      <c r="AE2152" s="125">
        <f t="shared" si="401"/>
        <v>985610.0926</v>
      </c>
      <c r="AF2152" s="127" t="s">
        <v>15190</v>
      </c>
      <c r="AG2152" s="127">
        <v>17.4941448365284</v>
      </c>
      <c r="AH2152" s="127">
        <v>83.0025048368955</v>
      </c>
      <c r="AI2152" s="115" t="s">
        <v>12383</v>
      </c>
      <c r="AJ2152" s="116">
        <v>0.57</v>
      </c>
      <c r="AK2152" s="117"/>
      <c r="AL2152" s="117"/>
      <c r="AM2152" s="117"/>
      <c r="AN2152" s="117"/>
      <c r="AO2152" s="117"/>
    </row>
    <row r="2153" ht="29.25" customHeight="1">
      <c r="A2153" s="111">
        <v>2870.0</v>
      </c>
      <c r="B2153" s="111" t="s">
        <v>10155</v>
      </c>
      <c r="C2153" s="111" t="s">
        <v>8001</v>
      </c>
      <c r="D2153" s="111">
        <v>2025.0</v>
      </c>
      <c r="E2153" s="111"/>
      <c r="F2153" s="111" t="s">
        <v>12399</v>
      </c>
      <c r="G2153" s="111" t="s">
        <v>12239</v>
      </c>
      <c r="H2153" s="111"/>
      <c r="I2153" s="111"/>
      <c r="J2153" s="111"/>
      <c r="K2153" s="111" t="s">
        <v>12415</v>
      </c>
      <c r="L2153" s="111"/>
      <c r="M2153" s="111"/>
      <c r="N2153" s="111">
        <v>1.0</v>
      </c>
      <c r="O2153" s="111"/>
      <c r="P2153" s="111"/>
      <c r="Q2153" s="111"/>
      <c r="R2153" s="111"/>
      <c r="S2153" s="111"/>
      <c r="T2153" s="111"/>
      <c r="U2153" s="111"/>
      <c r="V2153" s="111"/>
      <c r="W2153" s="111"/>
      <c r="X2153" s="111"/>
      <c r="Y2153" s="111"/>
      <c r="Z2153" s="111" t="s">
        <v>15191</v>
      </c>
      <c r="AA2153" s="126" t="str">
        <f>IF(Projects!$AI2153="Electrolysis",
AB2153*VLOOKUP(G2153,ElectrolysisConvF,3,FALSE),
"")</f>
        <v/>
      </c>
      <c r="AB2153" s="125">
        <f t="shared" si="407"/>
        <v>24540.42892</v>
      </c>
      <c r="AC2153" s="125">
        <f>(100*0.191327)</f>
        <v>19.1327</v>
      </c>
      <c r="AD2153" s="125"/>
      <c r="AE2153" s="125">
        <f t="shared" si="401"/>
        <v>24540.42892</v>
      </c>
      <c r="AF2153" s="127" t="s">
        <v>15192</v>
      </c>
      <c r="AG2153" s="127">
        <v>36.1689985861459</v>
      </c>
      <c r="AH2153" s="127">
        <v>118.977609452134</v>
      </c>
      <c r="AI2153" s="115" t="s">
        <v>12241</v>
      </c>
      <c r="AJ2153" s="116">
        <v>0.9</v>
      </c>
      <c r="AK2153" s="117"/>
      <c r="AL2153" s="117"/>
      <c r="AM2153" s="117"/>
      <c r="AN2153" s="117"/>
      <c r="AO2153" s="117"/>
    </row>
    <row r="2154" ht="29.25" customHeight="1">
      <c r="A2154" s="111">
        <v>2871.0</v>
      </c>
      <c r="B2154" s="111" t="s">
        <v>10156</v>
      </c>
      <c r="C2154" s="111" t="s">
        <v>8001</v>
      </c>
      <c r="D2154" s="111">
        <v>2026.0</v>
      </c>
      <c r="E2154" s="111"/>
      <c r="F2154" s="111" t="s">
        <v>12399</v>
      </c>
      <c r="G2154" s="111" t="s">
        <v>12381</v>
      </c>
      <c r="H2154" s="111" t="s">
        <v>12230</v>
      </c>
      <c r="I2154" s="111" t="s">
        <v>12287</v>
      </c>
      <c r="J2154" s="111"/>
      <c r="K2154" s="111" t="s">
        <v>12415</v>
      </c>
      <c r="L2154" s="111"/>
      <c r="M2154" s="111"/>
      <c r="N2154" s="111">
        <v>1.0</v>
      </c>
      <c r="O2154" s="111"/>
      <c r="P2154" s="111"/>
      <c r="Q2154" s="111"/>
      <c r="R2154" s="111"/>
      <c r="S2154" s="111"/>
      <c r="T2154" s="111"/>
      <c r="U2154" s="111"/>
      <c r="V2154" s="111"/>
      <c r="W2154" s="111"/>
      <c r="X2154" s="111"/>
      <c r="Y2154" s="111"/>
      <c r="Z2154" s="111" t="s">
        <v>15193</v>
      </c>
      <c r="AA2154" s="126">
        <f>IF(Projects!$AI2154="Electrolysis",
AB2154*VLOOKUP(G2154,ElectrolysisConvF,3,FALSE),
"")</f>
        <v>441.7277205</v>
      </c>
      <c r="AB2154" s="125">
        <f t="shared" si="407"/>
        <v>98161.71566</v>
      </c>
      <c r="AC2154" s="125">
        <f>(400*0.191327)</f>
        <v>76.5308</v>
      </c>
      <c r="AD2154" s="125"/>
      <c r="AE2154" s="125">
        <f t="shared" si="401"/>
        <v>98161.71566</v>
      </c>
      <c r="AF2154" s="127" t="s">
        <v>15194</v>
      </c>
      <c r="AG2154" s="127">
        <v>46.0957117702211</v>
      </c>
      <c r="AH2154" s="127">
        <v>122.050380816697</v>
      </c>
      <c r="AI2154" s="115" t="s">
        <v>12383</v>
      </c>
      <c r="AJ2154" s="116">
        <v>0.57</v>
      </c>
      <c r="AK2154" s="117"/>
      <c r="AL2154" s="117"/>
      <c r="AM2154" s="117"/>
      <c r="AN2154" s="117"/>
      <c r="AO2154" s="117"/>
    </row>
    <row r="2155" ht="29.25" customHeight="1">
      <c r="A2155" s="111">
        <v>2872.0</v>
      </c>
      <c r="B2155" s="111" t="s">
        <v>10157</v>
      </c>
      <c r="C2155" s="111" t="s">
        <v>8001</v>
      </c>
      <c r="D2155" s="111">
        <v>2026.0</v>
      </c>
      <c r="E2155" s="111"/>
      <c r="F2155" s="111" t="s">
        <v>12399</v>
      </c>
      <c r="G2155" s="111" t="s">
        <v>12381</v>
      </c>
      <c r="H2155" s="111" t="s">
        <v>12230</v>
      </c>
      <c r="I2155" s="111" t="s">
        <v>12394</v>
      </c>
      <c r="J2155" s="111" t="s">
        <v>12291</v>
      </c>
      <c r="K2155" s="111" t="s">
        <v>12415</v>
      </c>
      <c r="L2155" s="111"/>
      <c r="M2155" s="111"/>
      <c r="N2155" s="111">
        <v>1.0</v>
      </c>
      <c r="O2155" s="111"/>
      <c r="P2155" s="111"/>
      <c r="Q2155" s="111"/>
      <c r="R2155" s="111"/>
      <c r="S2155" s="111"/>
      <c r="T2155" s="111"/>
      <c r="U2155" s="111"/>
      <c r="V2155" s="111"/>
      <c r="W2155" s="111"/>
      <c r="X2155" s="111"/>
      <c r="Y2155" s="111"/>
      <c r="Z2155" s="111" t="s">
        <v>15195</v>
      </c>
      <c r="AA2155" s="126">
        <f>IF(Projects!$AI2155="Electrolysis",
AB2155*VLOOKUP(G2155,ElectrolysisConvF,3,FALSE),
"")</f>
        <v>220.8638602</v>
      </c>
      <c r="AB2155" s="125">
        <f t="shared" si="407"/>
        <v>49080.85783</v>
      </c>
      <c r="AC2155" s="125">
        <f>(200*0.191327)</f>
        <v>38.2654</v>
      </c>
      <c r="AD2155" s="125"/>
      <c r="AE2155" s="125">
        <f t="shared" si="401"/>
        <v>49080.85783</v>
      </c>
      <c r="AF2155" s="127" t="s">
        <v>15192</v>
      </c>
      <c r="AG2155" s="127">
        <v>42.2876297915966</v>
      </c>
      <c r="AH2155" s="127">
        <v>118.905017699862</v>
      </c>
      <c r="AI2155" s="115" t="s">
        <v>12383</v>
      </c>
      <c r="AJ2155" s="116">
        <v>0.3</v>
      </c>
      <c r="AK2155" s="117"/>
      <c r="AL2155" s="117"/>
      <c r="AM2155" s="117"/>
      <c r="AN2155" s="117"/>
      <c r="AO2155" s="117"/>
    </row>
    <row r="2156" ht="29.25" customHeight="1">
      <c r="A2156" s="111">
        <v>2873.0</v>
      </c>
      <c r="B2156" s="111" t="s">
        <v>10158</v>
      </c>
      <c r="C2156" s="111" t="s">
        <v>8001</v>
      </c>
      <c r="D2156" s="111">
        <v>2026.0</v>
      </c>
      <c r="E2156" s="111"/>
      <c r="F2156" s="111" t="s">
        <v>12393</v>
      </c>
      <c r="G2156" s="111" t="s">
        <v>12381</v>
      </c>
      <c r="H2156" s="111" t="s">
        <v>12230</v>
      </c>
      <c r="I2156" s="111" t="s">
        <v>12287</v>
      </c>
      <c r="J2156" s="111"/>
      <c r="K2156" s="111" t="s">
        <v>12415</v>
      </c>
      <c r="L2156" s="111"/>
      <c r="M2156" s="111"/>
      <c r="N2156" s="111">
        <v>1.0</v>
      </c>
      <c r="O2156" s="111"/>
      <c r="P2156" s="111"/>
      <c r="Q2156" s="111"/>
      <c r="R2156" s="111"/>
      <c r="S2156" s="111"/>
      <c r="T2156" s="111"/>
      <c r="U2156" s="111"/>
      <c r="V2156" s="111"/>
      <c r="W2156" s="111"/>
      <c r="X2156" s="111"/>
      <c r="Y2156" s="111"/>
      <c r="Z2156" s="111" t="s">
        <v>15196</v>
      </c>
      <c r="AA2156" s="126">
        <f>IF(Projects!$AI2156="Electrolysis",
AB2156*VLOOKUP(G2156,ElectrolysisConvF,3,FALSE),
"")</f>
        <v>33.12957904</v>
      </c>
      <c r="AB2156" s="125">
        <f t="shared" si="407"/>
        <v>7362.128675</v>
      </c>
      <c r="AC2156" s="125">
        <f>30*0.191327</f>
        <v>5.73981</v>
      </c>
      <c r="AD2156" s="125"/>
      <c r="AE2156" s="125">
        <f t="shared" si="401"/>
        <v>7362.128675</v>
      </c>
      <c r="AF2156" s="127" t="s">
        <v>15197</v>
      </c>
      <c r="AG2156" s="127">
        <v>35.7269611051694</v>
      </c>
      <c r="AH2156" s="127">
        <v>107.185336246003</v>
      </c>
      <c r="AI2156" s="115" t="s">
        <v>12383</v>
      </c>
      <c r="AJ2156" s="116">
        <v>0.57</v>
      </c>
      <c r="AK2156" s="117"/>
      <c r="AL2156" s="117"/>
      <c r="AM2156" s="117"/>
      <c r="AN2156" s="117"/>
      <c r="AO2156" s="117"/>
    </row>
    <row r="2157" ht="29.25" customHeight="1">
      <c r="A2157" s="111">
        <v>2874.0</v>
      </c>
      <c r="B2157" s="111" t="s">
        <v>10159</v>
      </c>
      <c r="C2157" s="111" t="s">
        <v>8001</v>
      </c>
      <c r="D2157" s="111">
        <v>2025.0</v>
      </c>
      <c r="E2157" s="111"/>
      <c r="F2157" s="111" t="s">
        <v>12399</v>
      </c>
      <c r="G2157" s="111" t="s">
        <v>12381</v>
      </c>
      <c r="H2157" s="111" t="s">
        <v>12230</v>
      </c>
      <c r="I2157" s="111" t="s">
        <v>12287</v>
      </c>
      <c r="J2157" s="111"/>
      <c r="K2157" s="111" t="s">
        <v>12415</v>
      </c>
      <c r="L2157" s="111"/>
      <c r="M2157" s="111"/>
      <c r="N2157" s="111">
        <v>1.0</v>
      </c>
      <c r="O2157" s="111"/>
      <c r="P2157" s="111"/>
      <c r="Q2157" s="111"/>
      <c r="R2157" s="111"/>
      <c r="S2157" s="111"/>
      <c r="T2157" s="111"/>
      <c r="U2157" s="111"/>
      <c r="V2157" s="111"/>
      <c r="W2157" s="111"/>
      <c r="X2157" s="111"/>
      <c r="Y2157" s="111"/>
      <c r="Z2157" s="111" t="s">
        <v>15198</v>
      </c>
      <c r="AA2157" s="126">
        <f>IF(Projects!$AI2157="Electrolysis",
AB2157*VLOOKUP(G2157,ElectrolysisConvF,3,FALSE),
"")</f>
        <v>22.08638602</v>
      </c>
      <c r="AB2157" s="125">
        <f t="shared" si="407"/>
        <v>4908.085783</v>
      </c>
      <c r="AC2157" s="125">
        <f>(20*0.191327)</f>
        <v>3.82654</v>
      </c>
      <c r="AD2157" s="125"/>
      <c r="AE2157" s="125">
        <f t="shared" si="401"/>
        <v>4908.085783</v>
      </c>
      <c r="AF2157" s="127" t="s">
        <v>15194</v>
      </c>
      <c r="AG2157" s="127">
        <v>40.8388018446057</v>
      </c>
      <c r="AH2157" s="127">
        <v>107.40683023617</v>
      </c>
      <c r="AI2157" s="115" t="s">
        <v>12383</v>
      </c>
      <c r="AJ2157" s="116">
        <v>0.57</v>
      </c>
      <c r="AK2157" s="117"/>
      <c r="AL2157" s="117"/>
      <c r="AM2157" s="117"/>
      <c r="AN2157" s="117"/>
      <c r="AO2157" s="117"/>
    </row>
    <row r="2158" ht="29.25" customHeight="1">
      <c r="A2158" s="111">
        <v>2875.0</v>
      </c>
      <c r="B2158" s="111" t="s">
        <v>10160</v>
      </c>
      <c r="C2158" s="111" t="s">
        <v>7967</v>
      </c>
      <c r="D2158" s="111">
        <v>2029.0</v>
      </c>
      <c r="E2158" s="111"/>
      <c r="F2158" s="111" t="s">
        <v>12397</v>
      </c>
      <c r="G2158" s="111" t="s">
        <v>12381</v>
      </c>
      <c r="H2158" s="111" t="s">
        <v>12230</v>
      </c>
      <c r="I2158" s="111" t="s">
        <v>12394</v>
      </c>
      <c r="J2158" s="111" t="s">
        <v>12293</v>
      </c>
      <c r="K2158" s="111" t="s">
        <v>30</v>
      </c>
      <c r="L2158" s="111"/>
      <c r="M2158" s="111"/>
      <c r="N2158" s="111"/>
      <c r="O2158" s="111"/>
      <c r="P2158" s="111">
        <v>1.0</v>
      </c>
      <c r="Q2158" s="111"/>
      <c r="R2158" s="111">
        <v>1.0</v>
      </c>
      <c r="S2158" s="111"/>
      <c r="T2158" s="111"/>
      <c r="U2158" s="111"/>
      <c r="V2158" s="111"/>
      <c r="W2158" s="111"/>
      <c r="X2158" s="111"/>
      <c r="Y2158" s="111"/>
      <c r="Z2158" s="111" t="s">
        <v>15199</v>
      </c>
      <c r="AA2158" s="126">
        <f>IF(Projects!$AI2158="Electrolysis",
AB2158*VLOOKUP(G2158,ElectrolysisConvF,3,FALSE),
"")</f>
        <v>839.548323</v>
      </c>
      <c r="AB2158" s="125">
        <f t="shared" si="407"/>
        <v>186566.294</v>
      </c>
      <c r="AC2158" s="125">
        <f>80/Projects!$AJ2158</f>
        <v>145.4545455</v>
      </c>
      <c r="AD2158" s="125"/>
      <c r="AE2158" s="125">
        <f t="shared" si="401"/>
        <v>186566.294</v>
      </c>
      <c r="AF2158" s="127" t="s">
        <v>15200</v>
      </c>
      <c r="AG2158" s="127">
        <v>53.4850309254238</v>
      </c>
      <c r="AH2158" s="127">
        <v>6.43618861363811</v>
      </c>
      <c r="AI2158" s="115" t="s">
        <v>12383</v>
      </c>
      <c r="AJ2158" s="116">
        <v>0.55</v>
      </c>
      <c r="AK2158" s="117"/>
      <c r="AL2158" s="117"/>
      <c r="AM2158" s="117"/>
      <c r="AN2158" s="117"/>
      <c r="AO2158" s="117"/>
    </row>
    <row r="2159" ht="29.25" customHeight="1">
      <c r="A2159" s="111">
        <v>2876.0</v>
      </c>
      <c r="B2159" s="111" t="s">
        <v>10161</v>
      </c>
      <c r="C2159" s="111" t="s">
        <v>7981</v>
      </c>
      <c r="D2159" s="111"/>
      <c r="E2159" s="111"/>
      <c r="F2159" s="111" t="s">
        <v>12399</v>
      </c>
      <c r="G2159" s="111" t="s">
        <v>12381</v>
      </c>
      <c r="H2159" s="111" t="s">
        <v>12230</v>
      </c>
      <c r="I2159" s="111" t="s">
        <v>12394</v>
      </c>
      <c r="J2159" s="111" t="s">
        <v>12291</v>
      </c>
      <c r="K2159" s="111" t="s">
        <v>30</v>
      </c>
      <c r="L2159" s="111"/>
      <c r="M2159" s="111"/>
      <c r="N2159" s="111"/>
      <c r="O2159" s="111"/>
      <c r="P2159" s="111"/>
      <c r="Q2159" s="111"/>
      <c r="R2159" s="111"/>
      <c r="S2159" s="111"/>
      <c r="T2159" s="111"/>
      <c r="U2159" s="111"/>
      <c r="V2159" s="111"/>
      <c r="W2159" s="111"/>
      <c r="X2159" s="111"/>
      <c r="Y2159" s="111"/>
      <c r="Z2159" s="111" t="s">
        <v>12835</v>
      </c>
      <c r="AA2159" s="126">
        <v>5.0</v>
      </c>
      <c r="AB2159" s="125">
        <f>IF(Projects!$AI2159="Electrolysis",
AA2159/VLOOKUP(G2159,ElectrolysisConvF,3,FALSE),
AC2159*10^6/(H2dens*HoursInYear))</f>
        <v>1111.111111</v>
      </c>
      <c r="AC2159" s="125">
        <f>AB2159*H2dens*HoursInYear/10^6</f>
        <v>0.8662666667</v>
      </c>
      <c r="AD2159" s="125"/>
      <c r="AE2159" s="125">
        <f t="shared" si="401"/>
        <v>1111.111111</v>
      </c>
      <c r="AF2159" s="127" t="s">
        <v>15201</v>
      </c>
      <c r="AG2159" s="127">
        <v>40.1892555854629</v>
      </c>
      <c r="AH2159" s="127">
        <v>-122.146347566007</v>
      </c>
      <c r="AI2159" s="115" t="s">
        <v>12383</v>
      </c>
      <c r="AJ2159" s="116">
        <v>0.3</v>
      </c>
      <c r="AK2159" s="117"/>
      <c r="AL2159" s="117"/>
      <c r="AM2159" s="117"/>
      <c r="AN2159" s="117"/>
      <c r="AO2159" s="117"/>
    </row>
    <row r="2160" ht="29.25" customHeight="1">
      <c r="A2160" s="111">
        <v>2877.0</v>
      </c>
      <c r="B2160" s="111" t="s">
        <v>10162</v>
      </c>
      <c r="C2160" s="111" t="s">
        <v>8108</v>
      </c>
      <c r="D2160" s="111"/>
      <c r="E2160" s="111"/>
      <c r="F2160" s="111" t="s">
        <v>12399</v>
      </c>
      <c r="G2160" s="111" t="s">
        <v>12381</v>
      </c>
      <c r="H2160" s="111" t="s">
        <v>12230</v>
      </c>
      <c r="I2160" s="111" t="s">
        <v>12394</v>
      </c>
      <c r="J2160" s="111" t="s">
        <v>12296</v>
      </c>
      <c r="K2160" s="111" t="s">
        <v>174</v>
      </c>
      <c r="L2160" s="111"/>
      <c r="M2160" s="111">
        <v>1.0</v>
      </c>
      <c r="N2160" s="111"/>
      <c r="O2160" s="111"/>
      <c r="P2160" s="111"/>
      <c r="Q2160" s="111"/>
      <c r="R2160" s="111"/>
      <c r="S2160" s="111"/>
      <c r="T2160" s="111"/>
      <c r="U2160" s="111"/>
      <c r="V2160" s="111"/>
      <c r="W2160" s="111"/>
      <c r="X2160" s="111"/>
      <c r="Y2160" s="111"/>
      <c r="Z2160" s="111" t="s">
        <v>15202</v>
      </c>
      <c r="AA2160" s="126">
        <f>IF(Projects!$AI2160="Electrolysis",
AB2160*VLOOKUP(G2160,ElectrolysisConvF,3,FALSE),
"")</f>
        <v>2494.456302</v>
      </c>
      <c r="AB2160" s="125">
        <f t="shared" ref="AB2160:AB2164" si="408">AC2160/(H2dens*HoursInYear/10^6)</f>
        <v>554323.6226</v>
      </c>
      <c r="AC2160" s="125">
        <f>1200*3/17/0.98/Projects!$AJ2160</f>
        <v>432.1728691</v>
      </c>
      <c r="AD2160" s="125"/>
      <c r="AE2160" s="125">
        <f t="shared" si="401"/>
        <v>554323.6226</v>
      </c>
      <c r="AF2160" s="127" t="s">
        <v>15203</v>
      </c>
      <c r="AG2160" s="127">
        <v>20.2450473694553</v>
      </c>
      <c r="AH2160" s="127">
        <v>86.1668502565203</v>
      </c>
      <c r="AI2160" s="115" t="s">
        <v>12383</v>
      </c>
      <c r="AJ2160" s="116">
        <v>0.5</v>
      </c>
      <c r="AK2160" s="117"/>
      <c r="AL2160" s="117"/>
      <c r="AM2160" s="117"/>
      <c r="AN2160" s="117"/>
      <c r="AO2160" s="117"/>
    </row>
    <row r="2161" ht="29.25" customHeight="1">
      <c r="A2161" s="111">
        <v>2878.0</v>
      </c>
      <c r="B2161" s="111" t="s">
        <v>10163</v>
      </c>
      <c r="C2161" s="111" t="s">
        <v>8108</v>
      </c>
      <c r="D2161" s="111"/>
      <c r="E2161" s="111"/>
      <c r="F2161" s="111" t="s">
        <v>12399</v>
      </c>
      <c r="G2161" s="111" t="s">
        <v>12381</v>
      </c>
      <c r="H2161" s="111" t="s">
        <v>12230</v>
      </c>
      <c r="I2161" s="111" t="s">
        <v>12394</v>
      </c>
      <c r="J2161" s="111" t="s">
        <v>12296</v>
      </c>
      <c r="K2161" s="111" t="s">
        <v>174</v>
      </c>
      <c r="L2161" s="111"/>
      <c r="M2161" s="111">
        <v>1.0</v>
      </c>
      <c r="N2161" s="111"/>
      <c r="O2161" s="111"/>
      <c r="P2161" s="111"/>
      <c r="Q2161" s="111"/>
      <c r="R2161" s="111"/>
      <c r="S2161" s="111"/>
      <c r="T2161" s="111"/>
      <c r="U2161" s="111"/>
      <c r="V2161" s="111"/>
      <c r="W2161" s="111"/>
      <c r="X2161" s="111"/>
      <c r="Y2161" s="111"/>
      <c r="Z2161" s="111" t="s">
        <v>15204</v>
      </c>
      <c r="AA2161" s="126">
        <f>IF(Projects!$AI2161="Electrolysis",
AB2161*VLOOKUP(G2161,ElectrolysisConvF,3,FALSE),
"")</f>
        <v>623.6140755</v>
      </c>
      <c r="AB2161" s="125">
        <f t="shared" si="408"/>
        <v>138580.9057</v>
      </c>
      <c r="AC2161" s="125">
        <f>300*3/17/0.98/Projects!$AJ2161</f>
        <v>108.0432173</v>
      </c>
      <c r="AD2161" s="125"/>
      <c r="AE2161" s="125">
        <f t="shared" si="401"/>
        <v>138580.9057</v>
      </c>
      <c r="AF2161" s="127" t="s">
        <v>15203</v>
      </c>
      <c r="AG2161" s="127">
        <v>19.3140707490764</v>
      </c>
      <c r="AH2161" s="127">
        <v>85.0039560947029</v>
      </c>
      <c r="AI2161" s="115" t="s">
        <v>12383</v>
      </c>
      <c r="AJ2161" s="116">
        <v>0.5</v>
      </c>
      <c r="AK2161" s="117"/>
      <c r="AL2161" s="117"/>
      <c r="AM2161" s="117"/>
      <c r="AN2161" s="117"/>
      <c r="AO2161" s="117"/>
    </row>
    <row r="2162" ht="29.25" customHeight="1">
      <c r="A2162" s="111">
        <v>2879.0</v>
      </c>
      <c r="B2162" s="111" t="s">
        <v>10164</v>
      </c>
      <c r="C2162" s="111" t="s">
        <v>8108</v>
      </c>
      <c r="D2162" s="111"/>
      <c r="E2162" s="111"/>
      <c r="F2162" s="111" t="s">
        <v>12399</v>
      </c>
      <c r="G2162" s="111" t="s">
        <v>12381</v>
      </c>
      <c r="H2162" s="111" t="s">
        <v>12230</v>
      </c>
      <c r="I2162" s="111" t="s">
        <v>12406</v>
      </c>
      <c r="J2162" s="111"/>
      <c r="K2162" s="111" t="s">
        <v>174</v>
      </c>
      <c r="L2162" s="111"/>
      <c r="M2162" s="111">
        <v>1.0</v>
      </c>
      <c r="N2162" s="111"/>
      <c r="O2162" s="111"/>
      <c r="P2162" s="111"/>
      <c r="Q2162" s="111"/>
      <c r="R2162" s="111"/>
      <c r="S2162" s="111"/>
      <c r="T2162" s="111"/>
      <c r="U2162" s="111"/>
      <c r="V2162" s="111"/>
      <c r="W2162" s="111"/>
      <c r="X2162" s="111"/>
      <c r="Y2162" s="111"/>
      <c r="Z2162" s="111" t="s">
        <v>15205</v>
      </c>
      <c r="AA2162" s="126">
        <f>IF(Projects!$AI2162="Electrolysis",
AB2162*VLOOKUP(G2162,ElectrolysisConvF,3,FALSE),
"")</f>
        <v>1312.871738</v>
      </c>
      <c r="AB2162" s="125">
        <f t="shared" si="408"/>
        <v>291749.2751</v>
      </c>
      <c r="AC2162" s="125">
        <f>720*3/17/0.98/Projects!$AJ2162</f>
        <v>227.4594048</v>
      </c>
      <c r="AD2162" s="125"/>
      <c r="AE2162" s="125">
        <f t="shared" si="401"/>
        <v>291749.2751</v>
      </c>
      <c r="AF2162" s="127" t="s">
        <v>15206</v>
      </c>
      <c r="AG2162" s="127">
        <v>19.3238515364283</v>
      </c>
      <c r="AH2162" s="127">
        <v>84.9870382842889</v>
      </c>
      <c r="AI2162" s="115" t="s">
        <v>12383</v>
      </c>
      <c r="AJ2162" s="116">
        <v>0.57</v>
      </c>
      <c r="AK2162" s="117"/>
      <c r="AL2162" s="117"/>
      <c r="AM2162" s="117"/>
      <c r="AN2162" s="117"/>
      <c r="AO2162" s="117"/>
    </row>
    <row r="2163" ht="29.25" customHeight="1">
      <c r="A2163" s="111">
        <v>2880.0</v>
      </c>
      <c r="B2163" s="111" t="s">
        <v>10165</v>
      </c>
      <c r="C2163" s="111" t="s">
        <v>8600</v>
      </c>
      <c r="D2163" s="111"/>
      <c r="E2163" s="111"/>
      <c r="F2163" s="111" t="s">
        <v>12397</v>
      </c>
      <c r="G2163" s="111" t="s">
        <v>12381</v>
      </c>
      <c r="H2163" s="111" t="s">
        <v>12230</v>
      </c>
      <c r="I2163" s="111" t="s">
        <v>12394</v>
      </c>
      <c r="J2163" s="111" t="s">
        <v>12291</v>
      </c>
      <c r="K2163" s="111" t="s">
        <v>30</v>
      </c>
      <c r="L2163" s="111"/>
      <c r="M2163" s="111"/>
      <c r="N2163" s="111"/>
      <c r="O2163" s="111"/>
      <c r="P2163" s="111">
        <v>1.0</v>
      </c>
      <c r="Q2163" s="111">
        <v>1.0</v>
      </c>
      <c r="R2163" s="111">
        <v>1.0</v>
      </c>
      <c r="S2163" s="111"/>
      <c r="T2163" s="111"/>
      <c r="U2163" s="111"/>
      <c r="V2163" s="111"/>
      <c r="W2163" s="111"/>
      <c r="X2163" s="111"/>
      <c r="Y2163" s="111"/>
      <c r="Z2163" s="111" t="s">
        <v>15207</v>
      </c>
      <c r="AA2163" s="126">
        <f>IF(Projects!$AI2163="Electrolysis",
AB2163*VLOOKUP(G2163,ElectrolysisConvF,3,FALSE),
"")</f>
        <v>808.0652609</v>
      </c>
      <c r="AB2163" s="125">
        <f t="shared" si="408"/>
        <v>179570.058</v>
      </c>
      <c r="AC2163" s="125">
        <f>42/Projects!$AJ2163</f>
        <v>140</v>
      </c>
      <c r="AD2163" s="125"/>
      <c r="AE2163" s="125">
        <f t="shared" si="401"/>
        <v>179570.058</v>
      </c>
      <c r="AF2163" s="127" t="s">
        <v>15208</v>
      </c>
      <c r="AG2163" s="127">
        <v>26.4204807692208</v>
      </c>
      <c r="AH2163" s="127">
        <v>-108.629113155999</v>
      </c>
      <c r="AI2163" s="115" t="s">
        <v>12383</v>
      </c>
      <c r="AJ2163" s="116">
        <v>0.3</v>
      </c>
      <c r="AK2163" s="117"/>
      <c r="AL2163" s="117"/>
      <c r="AM2163" s="117"/>
      <c r="AN2163" s="117"/>
      <c r="AO2163" s="117"/>
    </row>
    <row r="2164" ht="29.25" customHeight="1">
      <c r="A2164" s="111">
        <v>2881.0</v>
      </c>
      <c r="B2164" s="111" t="s">
        <v>10166</v>
      </c>
      <c r="C2164" s="111" t="s">
        <v>8602</v>
      </c>
      <c r="D2164" s="111"/>
      <c r="E2164" s="111"/>
      <c r="F2164" s="111" t="s">
        <v>12397</v>
      </c>
      <c r="G2164" s="111" t="s">
        <v>12381</v>
      </c>
      <c r="H2164" s="111" t="s">
        <v>15151</v>
      </c>
      <c r="I2164" s="111" t="s">
        <v>12394</v>
      </c>
      <c r="J2164" s="111" t="s">
        <v>12295</v>
      </c>
      <c r="K2164" s="111" t="s">
        <v>30</v>
      </c>
      <c r="L2164" s="111"/>
      <c r="M2164" s="111"/>
      <c r="N2164" s="111"/>
      <c r="O2164" s="111"/>
      <c r="P2164" s="111"/>
      <c r="Q2164" s="111"/>
      <c r="R2164" s="111"/>
      <c r="S2164" s="111"/>
      <c r="T2164" s="111"/>
      <c r="U2164" s="111"/>
      <c r="V2164" s="111"/>
      <c r="W2164" s="111"/>
      <c r="X2164" s="111"/>
      <c r="Y2164" s="111"/>
      <c r="Z2164" s="111" t="s">
        <v>15209</v>
      </c>
      <c r="AA2164" s="126">
        <f>IF(Projects!$AI2164="Electrolysis",
AB2164*VLOOKUP(G2164,ElectrolysisConvF,3,FALSE),
"")</f>
        <v>692.6273665</v>
      </c>
      <c r="AB2164" s="125">
        <f t="shared" si="408"/>
        <v>153917.1926</v>
      </c>
      <c r="AC2164" s="125">
        <f>60/Projects!$AJ2164</f>
        <v>120</v>
      </c>
      <c r="AD2164" s="125"/>
      <c r="AE2164" s="125">
        <f t="shared" si="401"/>
        <v>153917.1926</v>
      </c>
      <c r="AF2164" s="127" t="s">
        <v>15210</v>
      </c>
      <c r="AG2164" s="127">
        <v>16.6702730120863</v>
      </c>
      <c r="AH2164" s="127">
        <v>107.154806544629</v>
      </c>
      <c r="AI2164" s="115" t="s">
        <v>12383</v>
      </c>
      <c r="AJ2164" s="116">
        <v>0.5</v>
      </c>
      <c r="AK2164" s="117"/>
      <c r="AL2164" s="117"/>
      <c r="AM2164" s="117"/>
      <c r="AN2164" s="117"/>
      <c r="AO2164" s="117"/>
    </row>
    <row r="2165" ht="29.25" customHeight="1">
      <c r="A2165" s="111">
        <v>2882.0</v>
      </c>
      <c r="B2165" s="111" t="s">
        <v>10167</v>
      </c>
      <c r="C2165" s="111" t="s">
        <v>8047</v>
      </c>
      <c r="D2165" s="111"/>
      <c r="E2165" s="111"/>
      <c r="F2165" s="111" t="s">
        <v>12399</v>
      </c>
      <c r="G2165" s="111" t="s">
        <v>12381</v>
      </c>
      <c r="H2165" s="111" t="s">
        <v>12230</v>
      </c>
      <c r="I2165" s="111" t="s">
        <v>12394</v>
      </c>
      <c r="J2165" s="111" t="s">
        <v>12291</v>
      </c>
      <c r="K2165" s="111" t="s">
        <v>30</v>
      </c>
      <c r="L2165" s="111"/>
      <c r="M2165" s="111"/>
      <c r="N2165" s="111"/>
      <c r="O2165" s="111"/>
      <c r="P2165" s="111"/>
      <c r="Q2165" s="111">
        <v>1.0</v>
      </c>
      <c r="R2165" s="111"/>
      <c r="S2165" s="111"/>
      <c r="T2165" s="111"/>
      <c r="U2165" s="111"/>
      <c r="V2165" s="111"/>
      <c r="W2165" s="111"/>
      <c r="X2165" s="111"/>
      <c r="Y2165" s="111"/>
      <c r="Z2165" s="111" t="s">
        <v>15211</v>
      </c>
      <c r="AA2165" s="126">
        <v>15.0</v>
      </c>
      <c r="AB2165" s="125">
        <f>IF(Projects!$AI2165="Electrolysis",
AA2165/VLOOKUP(G2165,ElectrolysisConvF,3,FALSE),
AC2165*10^6/(H2dens*HoursInYear))</f>
        <v>3333.333333</v>
      </c>
      <c r="AC2165" s="125">
        <f>AB2165*H2dens*HoursInYear/10^6</f>
        <v>2.5988</v>
      </c>
      <c r="AD2165" s="125"/>
      <c r="AE2165" s="125">
        <f t="shared" si="401"/>
        <v>3333.333333</v>
      </c>
      <c r="AF2165" s="127" t="s">
        <v>15212</v>
      </c>
      <c r="AG2165" s="127">
        <v>43.6086119145692</v>
      </c>
      <c r="AH2165" s="127">
        <v>11.4673927067389</v>
      </c>
      <c r="AI2165" s="115" t="s">
        <v>12383</v>
      </c>
      <c r="AJ2165" s="116">
        <v>0.3</v>
      </c>
      <c r="AK2165" s="117"/>
      <c r="AL2165" s="117"/>
      <c r="AM2165" s="117"/>
      <c r="AN2165" s="117"/>
      <c r="AO2165" s="117"/>
    </row>
    <row r="2166" ht="29.25" customHeight="1">
      <c r="A2166" s="111">
        <v>2883.0</v>
      </c>
      <c r="B2166" s="111" t="s">
        <v>10168</v>
      </c>
      <c r="C2166" s="111" t="s">
        <v>8108</v>
      </c>
      <c r="D2166" s="111"/>
      <c r="E2166" s="111"/>
      <c r="F2166" s="111" t="s">
        <v>12397</v>
      </c>
      <c r="G2166" s="111" t="s">
        <v>12381</v>
      </c>
      <c r="H2166" s="111" t="s">
        <v>12230</v>
      </c>
      <c r="I2166" s="111" t="s">
        <v>12394</v>
      </c>
      <c r="J2166" s="111" t="s">
        <v>12296</v>
      </c>
      <c r="K2166" s="111" t="s">
        <v>174</v>
      </c>
      <c r="L2166" s="111"/>
      <c r="M2166" s="111">
        <v>1.0</v>
      </c>
      <c r="N2166" s="111"/>
      <c r="O2166" s="111"/>
      <c r="P2166" s="111"/>
      <c r="Q2166" s="111"/>
      <c r="R2166" s="111"/>
      <c r="S2166" s="111"/>
      <c r="T2166" s="111"/>
      <c r="U2166" s="111"/>
      <c r="V2166" s="111"/>
      <c r="W2166" s="111"/>
      <c r="X2166" s="111"/>
      <c r="Y2166" s="111"/>
      <c r="Z2166" s="111" t="s">
        <v>15213</v>
      </c>
      <c r="AA2166" s="126">
        <f>IF(Projects!$AI2166="Electrolysis",
AB2166*VLOOKUP(G2166,ElectrolysisConvF,3,FALSE),
"")</f>
        <v>207.8713585</v>
      </c>
      <c r="AB2166" s="125">
        <f t="shared" ref="AB2166:AB2175" si="409">AC2166/(H2dens*HoursInYear/10^6)</f>
        <v>46193.63522</v>
      </c>
      <c r="AC2166" s="125">
        <f>100*3/17/0.98/Projects!$AJ2166</f>
        <v>36.01440576</v>
      </c>
      <c r="AD2166" s="125"/>
      <c r="AE2166" s="125">
        <f t="shared" si="401"/>
        <v>46193.63522</v>
      </c>
      <c r="AF2166" s="127" t="s">
        <v>15214</v>
      </c>
      <c r="AG2166" s="127">
        <v>20.3137512592472</v>
      </c>
      <c r="AH2166" s="127">
        <v>86.7034140216303</v>
      </c>
      <c r="AI2166" s="115" t="s">
        <v>12383</v>
      </c>
      <c r="AJ2166" s="116">
        <v>0.5</v>
      </c>
      <c r="AK2166" s="117"/>
      <c r="AL2166" s="117"/>
      <c r="AM2166" s="117"/>
      <c r="AN2166" s="117"/>
      <c r="AO2166" s="117"/>
    </row>
    <row r="2167" ht="29.25" customHeight="1">
      <c r="A2167" s="111">
        <v>2884.0</v>
      </c>
      <c r="B2167" s="111" t="s">
        <v>10169</v>
      </c>
      <c r="C2167" s="111" t="s">
        <v>8108</v>
      </c>
      <c r="D2167" s="111">
        <v>2026.0</v>
      </c>
      <c r="E2167" s="111"/>
      <c r="F2167" s="111" t="s">
        <v>12399</v>
      </c>
      <c r="G2167" s="111" t="s">
        <v>12224</v>
      </c>
      <c r="H2167" s="111"/>
      <c r="I2167" s="111" t="s">
        <v>12759</v>
      </c>
      <c r="J2167" s="111" t="s">
        <v>12295</v>
      </c>
      <c r="K2167" s="111" t="s">
        <v>174</v>
      </c>
      <c r="L2167" s="111"/>
      <c r="M2167" s="111">
        <v>1.0</v>
      </c>
      <c r="N2167" s="111"/>
      <c r="O2167" s="111">
        <v>1.0</v>
      </c>
      <c r="P2167" s="111">
        <v>1.0</v>
      </c>
      <c r="Q2167" s="111">
        <v>1.0</v>
      </c>
      <c r="R2167" s="111">
        <v>1.0</v>
      </c>
      <c r="S2167" s="111"/>
      <c r="T2167" s="111"/>
      <c r="U2167" s="111"/>
      <c r="V2167" s="111"/>
      <c r="W2167" s="111"/>
      <c r="X2167" s="111"/>
      <c r="Y2167" s="111"/>
      <c r="Z2167" s="111" t="s">
        <v>15215</v>
      </c>
      <c r="AA2167" s="126">
        <f>IF(Projects!$AI2167="Electrolysis",
AB2167*VLOOKUP(G2167,ElectrolysisConvF,3,FALSE),
"")</f>
        <v>0.9106745229</v>
      </c>
      <c r="AB2167" s="125">
        <f t="shared" si="409"/>
        <v>197.9727224</v>
      </c>
      <c r="AC2167" s="125">
        <f>0.6*3/17/0.98/Projects!$AJ2167</f>
        <v>0.1543474533</v>
      </c>
      <c r="AD2167" s="125"/>
      <c r="AE2167" s="125">
        <f t="shared" si="401"/>
        <v>197.9727224</v>
      </c>
      <c r="AF2167" s="127" t="s">
        <v>15216</v>
      </c>
      <c r="AG2167" s="127">
        <v>19.2772592538212</v>
      </c>
      <c r="AH2167" s="127">
        <v>84.9404151665785</v>
      </c>
      <c r="AI2167" s="115" t="s">
        <v>12383</v>
      </c>
      <c r="AJ2167" s="116">
        <v>0.7</v>
      </c>
      <c r="AK2167" s="117"/>
      <c r="AL2167" s="117"/>
      <c r="AM2167" s="117"/>
      <c r="AN2167" s="117"/>
      <c r="AO2167" s="117"/>
    </row>
    <row r="2168" ht="29.25" customHeight="1">
      <c r="A2168" s="111">
        <v>2885.0</v>
      </c>
      <c r="B2168" s="111" t="s">
        <v>10170</v>
      </c>
      <c r="C2168" s="111" t="s">
        <v>8108</v>
      </c>
      <c r="D2168" s="111"/>
      <c r="E2168" s="111"/>
      <c r="F2168" s="111" t="s">
        <v>12399</v>
      </c>
      <c r="G2168" s="111" t="s">
        <v>12224</v>
      </c>
      <c r="H2168" s="111"/>
      <c r="I2168" s="111" t="s">
        <v>12759</v>
      </c>
      <c r="J2168" s="111" t="s">
        <v>12295</v>
      </c>
      <c r="K2168" s="111" t="s">
        <v>174</v>
      </c>
      <c r="L2168" s="111"/>
      <c r="M2168" s="111">
        <v>1.0</v>
      </c>
      <c r="N2168" s="111"/>
      <c r="O2168" s="111">
        <v>1.0</v>
      </c>
      <c r="P2168" s="111">
        <v>1.0</v>
      </c>
      <c r="Q2168" s="111">
        <v>1.0</v>
      </c>
      <c r="R2168" s="111">
        <v>1.0</v>
      </c>
      <c r="S2168" s="111"/>
      <c r="T2168" s="111"/>
      <c r="U2168" s="111"/>
      <c r="V2168" s="111"/>
      <c r="W2168" s="111"/>
      <c r="X2168" s="111"/>
      <c r="Y2168" s="111"/>
      <c r="Z2168" s="111" t="s">
        <v>15217</v>
      </c>
      <c r="AA2168" s="126">
        <f>IF(Projects!$AI2168="Electrolysis",
AB2168*VLOOKUP(G2168,ElectrolysisConvF,3,FALSE),
"")</f>
        <v>3.946256266</v>
      </c>
      <c r="AB2168" s="125">
        <f t="shared" si="409"/>
        <v>857.8817969</v>
      </c>
      <c r="AC2168" s="125">
        <f>(3.2-0.6)*3/17/0.98/Projects!$AJ2168</f>
        <v>0.6688389642</v>
      </c>
      <c r="AD2168" s="125"/>
      <c r="AE2168" s="125">
        <f t="shared" si="401"/>
        <v>857.8817969</v>
      </c>
      <c r="AF2168" s="127" t="s">
        <v>15216</v>
      </c>
      <c r="AG2168" s="127">
        <v>19.2772592538212</v>
      </c>
      <c r="AH2168" s="127">
        <v>84.9404151665785</v>
      </c>
      <c r="AI2168" s="115" t="s">
        <v>12383</v>
      </c>
      <c r="AJ2168" s="116">
        <v>0.7</v>
      </c>
      <c r="AK2168" s="117"/>
      <c r="AL2168" s="117"/>
      <c r="AM2168" s="117"/>
      <c r="AN2168" s="117"/>
      <c r="AO2168" s="117"/>
    </row>
    <row r="2169" ht="29.25" customHeight="1">
      <c r="A2169" s="111">
        <v>2886.0</v>
      </c>
      <c r="B2169" s="111" t="s">
        <v>10171</v>
      </c>
      <c r="C2169" s="111" t="s">
        <v>8108</v>
      </c>
      <c r="D2169" s="111">
        <v>2027.0</v>
      </c>
      <c r="E2169" s="111"/>
      <c r="F2169" s="111" t="s">
        <v>12399</v>
      </c>
      <c r="G2169" s="111" t="s">
        <v>12381</v>
      </c>
      <c r="H2169" s="111" t="s">
        <v>12230</v>
      </c>
      <c r="I2169" s="111" t="s">
        <v>12394</v>
      </c>
      <c r="J2169" s="111" t="s">
        <v>12296</v>
      </c>
      <c r="K2169" s="111" t="s">
        <v>174</v>
      </c>
      <c r="L2169" s="111"/>
      <c r="M2169" s="111">
        <v>1.0</v>
      </c>
      <c r="N2169" s="111"/>
      <c r="O2169" s="111"/>
      <c r="P2169" s="111"/>
      <c r="Q2169" s="111"/>
      <c r="R2169" s="111"/>
      <c r="S2169" s="111"/>
      <c r="T2169" s="111"/>
      <c r="U2169" s="111"/>
      <c r="V2169" s="111"/>
      <c r="W2169" s="111"/>
      <c r="X2169" s="111"/>
      <c r="Y2169" s="111"/>
      <c r="Z2169" s="111" t="s">
        <v>15213</v>
      </c>
      <c r="AA2169" s="126">
        <f>IF(Projects!$AI2169="Electrolysis",
AB2169*VLOOKUP(G2169,ElectrolysisConvF,3,FALSE),
"")</f>
        <v>207.8713585</v>
      </c>
      <c r="AB2169" s="125">
        <f t="shared" si="409"/>
        <v>46193.63522</v>
      </c>
      <c r="AC2169" s="125">
        <f>100*3/17/0.98/Projects!$AJ2169</f>
        <v>36.01440576</v>
      </c>
      <c r="AD2169" s="125"/>
      <c r="AE2169" s="125">
        <f t="shared" si="401"/>
        <v>46193.63522</v>
      </c>
      <c r="AF2169" s="127" t="s">
        <v>15218</v>
      </c>
      <c r="AG2169" s="127">
        <v>8.37488146398001</v>
      </c>
      <c r="AH2169" s="127">
        <v>76.989836259798</v>
      </c>
      <c r="AI2169" s="115" t="s">
        <v>12383</v>
      </c>
      <c r="AJ2169" s="116">
        <v>0.5</v>
      </c>
      <c r="AK2169" s="117"/>
      <c r="AL2169" s="117"/>
      <c r="AM2169" s="117"/>
      <c r="AN2169" s="117"/>
      <c r="AO2169" s="117"/>
    </row>
    <row r="2170" ht="29.25" customHeight="1">
      <c r="A2170" s="111">
        <v>2887.0</v>
      </c>
      <c r="B2170" s="111" t="s">
        <v>10172</v>
      </c>
      <c r="C2170" s="111" t="s">
        <v>8108</v>
      </c>
      <c r="D2170" s="111"/>
      <c r="E2170" s="111"/>
      <c r="F2170" s="111" t="s">
        <v>12397</v>
      </c>
      <c r="G2170" s="111" t="s">
        <v>12381</v>
      </c>
      <c r="H2170" s="111" t="s">
        <v>12230</v>
      </c>
      <c r="I2170" s="111" t="s">
        <v>12394</v>
      </c>
      <c r="J2170" s="111" t="s">
        <v>12296</v>
      </c>
      <c r="K2170" s="111" t="s">
        <v>174</v>
      </c>
      <c r="L2170" s="111"/>
      <c r="M2170" s="111">
        <v>1.0</v>
      </c>
      <c r="N2170" s="111"/>
      <c r="O2170" s="111"/>
      <c r="P2170" s="111"/>
      <c r="Q2170" s="111"/>
      <c r="R2170" s="111"/>
      <c r="S2170" s="111"/>
      <c r="T2170" s="111"/>
      <c r="U2170" s="111"/>
      <c r="V2170" s="111"/>
      <c r="W2170" s="111"/>
      <c r="X2170" s="111"/>
      <c r="Y2170" s="111"/>
      <c r="Z2170" s="111" t="s">
        <v>14238</v>
      </c>
      <c r="AA2170" s="126">
        <f>IF(Projects!$AI2170="Electrolysis",
AB2170*VLOOKUP(G2170,ElectrolysisConvF,3,FALSE),
"")</f>
        <v>1039.356792</v>
      </c>
      <c r="AB2170" s="125">
        <f t="shared" si="409"/>
        <v>230968.1761</v>
      </c>
      <c r="AC2170" s="125">
        <f>500*3/17/0.98/Projects!$AJ2170</f>
        <v>180.0720288</v>
      </c>
      <c r="AD2170" s="125"/>
      <c r="AE2170" s="125">
        <f t="shared" si="401"/>
        <v>230968.1761</v>
      </c>
      <c r="AF2170" s="127" t="s">
        <v>15218</v>
      </c>
      <c r="AG2170" s="127">
        <v>8.37488146398001</v>
      </c>
      <c r="AH2170" s="127">
        <v>76.989836259798</v>
      </c>
      <c r="AI2170" s="115" t="s">
        <v>12383</v>
      </c>
      <c r="AJ2170" s="116">
        <v>0.5</v>
      </c>
      <c r="AK2170" s="117"/>
      <c r="AL2170" s="117"/>
      <c r="AM2170" s="117"/>
      <c r="AN2170" s="117"/>
      <c r="AO2170" s="117"/>
    </row>
    <row r="2171" ht="29.25" customHeight="1">
      <c r="A2171" s="111">
        <v>2888.0</v>
      </c>
      <c r="B2171" s="111" t="s">
        <v>10173</v>
      </c>
      <c r="C2171" s="111" t="s">
        <v>8108</v>
      </c>
      <c r="D2171" s="111"/>
      <c r="E2171" s="111"/>
      <c r="F2171" s="111" t="s">
        <v>12397</v>
      </c>
      <c r="G2171" s="111" t="s">
        <v>12381</v>
      </c>
      <c r="H2171" s="111" t="s">
        <v>12230</v>
      </c>
      <c r="I2171" s="111" t="s">
        <v>12394</v>
      </c>
      <c r="J2171" s="111" t="s">
        <v>12296</v>
      </c>
      <c r="K2171" s="111" t="s">
        <v>174</v>
      </c>
      <c r="L2171" s="111"/>
      <c r="M2171" s="111">
        <v>1.0</v>
      </c>
      <c r="N2171" s="111"/>
      <c r="O2171" s="111"/>
      <c r="P2171" s="111"/>
      <c r="Q2171" s="111"/>
      <c r="R2171" s="111"/>
      <c r="S2171" s="111"/>
      <c r="T2171" s="111"/>
      <c r="U2171" s="111"/>
      <c r="V2171" s="111"/>
      <c r="W2171" s="111"/>
      <c r="X2171" s="111"/>
      <c r="Y2171" s="111"/>
      <c r="Z2171" s="111" t="s">
        <v>14238</v>
      </c>
      <c r="AA2171" s="126">
        <f>IF(Projects!$AI2171="Electrolysis",
AB2171*VLOOKUP(G2171,ElectrolysisConvF,3,FALSE),
"")</f>
        <v>1039.356792</v>
      </c>
      <c r="AB2171" s="125">
        <f t="shared" si="409"/>
        <v>230968.1761</v>
      </c>
      <c r="AC2171" s="125">
        <f>500*3/17/0.98/Projects!$AJ2171</f>
        <v>180.0720288</v>
      </c>
      <c r="AD2171" s="125"/>
      <c r="AE2171" s="125">
        <f t="shared" si="401"/>
        <v>230968.1761</v>
      </c>
      <c r="AF2171" s="127" t="s">
        <v>15218</v>
      </c>
      <c r="AG2171" s="127">
        <v>8.37488146398001</v>
      </c>
      <c r="AH2171" s="127">
        <v>76.989836259798</v>
      </c>
      <c r="AI2171" s="115" t="s">
        <v>12383</v>
      </c>
      <c r="AJ2171" s="116">
        <v>0.5</v>
      </c>
      <c r="AK2171" s="117"/>
      <c r="AL2171" s="117"/>
      <c r="AM2171" s="117"/>
      <c r="AN2171" s="117"/>
      <c r="AO2171" s="117"/>
    </row>
    <row r="2172" ht="29.25" customHeight="1">
      <c r="A2172" s="111">
        <v>2889.0</v>
      </c>
      <c r="B2172" s="111" t="s">
        <v>10174</v>
      </c>
      <c r="C2172" s="111" t="s">
        <v>8578</v>
      </c>
      <c r="D2172" s="111"/>
      <c r="E2172" s="111"/>
      <c r="F2172" s="111" t="s">
        <v>12397</v>
      </c>
      <c r="G2172" s="111" t="s">
        <v>12235</v>
      </c>
      <c r="H2172" s="111" t="s">
        <v>12885</v>
      </c>
      <c r="I2172" s="111"/>
      <c r="J2172" s="111"/>
      <c r="K2172" s="111" t="s">
        <v>174</v>
      </c>
      <c r="L2172" s="111"/>
      <c r="M2172" s="111">
        <v>1.0</v>
      </c>
      <c r="N2172" s="111"/>
      <c r="O2172" s="111"/>
      <c r="P2172" s="111"/>
      <c r="Q2172" s="111"/>
      <c r="R2172" s="111"/>
      <c r="S2172" s="111"/>
      <c r="T2172" s="111"/>
      <c r="U2172" s="111"/>
      <c r="V2172" s="111"/>
      <c r="W2172" s="111"/>
      <c r="X2172" s="111"/>
      <c r="Y2172" s="111"/>
      <c r="Z2172" s="111" t="s">
        <v>15219</v>
      </c>
      <c r="AA2172" s="126" t="str">
        <f>IF(Projects!$AI2172="Electrolysis",
AB2172*VLOOKUP(G2172,ElectrolysisConvF,3,FALSE),
"")</f>
        <v/>
      </c>
      <c r="AB2172" s="125">
        <f t="shared" si="409"/>
        <v>168606.7686</v>
      </c>
      <c r="AC2172" s="125">
        <f>730*3/17/0.98</f>
        <v>131.452581</v>
      </c>
      <c r="AD2172" s="125"/>
      <c r="AE2172" s="125">
        <f t="shared" si="401"/>
        <v>0</v>
      </c>
      <c r="AF2172" s="127" t="s">
        <v>15220</v>
      </c>
      <c r="AG2172" s="127">
        <v>-6.24013459572743</v>
      </c>
      <c r="AH2172" s="127">
        <v>107.886113606934</v>
      </c>
      <c r="AI2172" s="115" t="s">
        <v>12378</v>
      </c>
      <c r="AJ2172" s="116">
        <v>0.9</v>
      </c>
      <c r="AK2172" s="117"/>
      <c r="AL2172" s="117"/>
      <c r="AM2172" s="117"/>
      <c r="AN2172" s="117"/>
      <c r="AO2172" s="117"/>
    </row>
    <row r="2173" ht="29.25" customHeight="1">
      <c r="A2173" s="111">
        <v>2890.0</v>
      </c>
      <c r="B2173" s="111" t="s">
        <v>10175</v>
      </c>
      <c r="C2173" s="111" t="s">
        <v>8578</v>
      </c>
      <c r="D2173" s="111">
        <v>2030.0</v>
      </c>
      <c r="E2173" s="111"/>
      <c r="F2173" s="111" t="s">
        <v>12397</v>
      </c>
      <c r="G2173" s="111" t="s">
        <v>12381</v>
      </c>
      <c r="H2173" s="111" t="s">
        <v>12230</v>
      </c>
      <c r="I2173" s="111" t="s">
        <v>12394</v>
      </c>
      <c r="J2173" s="111" t="s">
        <v>12295</v>
      </c>
      <c r="K2173" s="111" t="s">
        <v>30</v>
      </c>
      <c r="L2173" s="111"/>
      <c r="M2173" s="111"/>
      <c r="N2173" s="111"/>
      <c r="O2173" s="111"/>
      <c r="P2173" s="111"/>
      <c r="Q2173" s="111"/>
      <c r="R2173" s="111"/>
      <c r="S2173" s="111"/>
      <c r="T2173" s="111"/>
      <c r="U2173" s="111"/>
      <c r="V2173" s="111"/>
      <c r="W2173" s="111"/>
      <c r="X2173" s="111"/>
      <c r="Y2173" s="111"/>
      <c r="Z2173" s="111" t="s">
        <v>14870</v>
      </c>
      <c r="AA2173" s="126">
        <f>IF(Projects!$AI2173="Electrolysis",
AB2173*VLOOKUP(G2173,ElectrolysisConvF,3,FALSE),
"")</f>
        <v>577.1894721</v>
      </c>
      <c r="AB2173" s="125">
        <f t="shared" si="409"/>
        <v>128264.3271</v>
      </c>
      <c r="AC2173" s="125">
        <v>100.0</v>
      </c>
      <c r="AD2173" s="125"/>
      <c r="AE2173" s="125">
        <f t="shared" si="401"/>
        <v>128264.3271</v>
      </c>
      <c r="AF2173" s="127" t="s">
        <v>15220</v>
      </c>
      <c r="AG2173" s="127">
        <v>-5.306544</v>
      </c>
      <c r="AH2173" s="127">
        <v>104.577194</v>
      </c>
      <c r="AI2173" s="115" t="s">
        <v>12383</v>
      </c>
      <c r="AJ2173" s="116">
        <v>0.5</v>
      </c>
      <c r="AK2173" s="117"/>
      <c r="AL2173" s="117"/>
      <c r="AM2173" s="117"/>
      <c r="AN2173" s="117"/>
      <c r="AO2173" s="117"/>
    </row>
    <row r="2174" ht="29.25" customHeight="1">
      <c r="A2174" s="111">
        <v>2891.0</v>
      </c>
      <c r="B2174" s="111" t="s">
        <v>10176</v>
      </c>
      <c r="C2174" s="111" t="s">
        <v>8578</v>
      </c>
      <c r="D2174" s="111">
        <v>2030.0</v>
      </c>
      <c r="E2174" s="111"/>
      <c r="F2174" s="111" t="s">
        <v>12397</v>
      </c>
      <c r="G2174" s="111" t="s">
        <v>12381</v>
      </c>
      <c r="H2174" s="111" t="s">
        <v>12230</v>
      </c>
      <c r="I2174" s="111" t="s">
        <v>12394</v>
      </c>
      <c r="J2174" s="111" t="s">
        <v>12291</v>
      </c>
      <c r="K2174" s="111" t="s">
        <v>30</v>
      </c>
      <c r="L2174" s="111"/>
      <c r="M2174" s="111"/>
      <c r="N2174" s="111"/>
      <c r="O2174" s="111"/>
      <c r="P2174" s="111"/>
      <c r="Q2174" s="111"/>
      <c r="R2174" s="111"/>
      <c r="S2174" s="111"/>
      <c r="T2174" s="111"/>
      <c r="U2174" s="111"/>
      <c r="V2174" s="111"/>
      <c r="W2174" s="111"/>
      <c r="X2174" s="111"/>
      <c r="Y2174" s="111"/>
      <c r="Z2174" s="111" t="s">
        <v>14870</v>
      </c>
      <c r="AA2174" s="126">
        <f>IF(Projects!$AI2174="Electrolysis",
AB2174*VLOOKUP(G2174,ElectrolysisConvF,3,FALSE),
"")</f>
        <v>577.1894721</v>
      </c>
      <c r="AB2174" s="125">
        <f t="shared" si="409"/>
        <v>128264.3271</v>
      </c>
      <c r="AC2174" s="125">
        <v>100.0</v>
      </c>
      <c r="AD2174" s="125"/>
      <c r="AE2174" s="125">
        <f t="shared" si="401"/>
        <v>128264.3271</v>
      </c>
      <c r="AF2174" s="127" t="s">
        <v>15220</v>
      </c>
      <c r="AG2174" s="127">
        <v>1.0593867176579</v>
      </c>
      <c r="AH2174" s="127">
        <v>104.466911568652</v>
      </c>
      <c r="AI2174" s="115" t="s">
        <v>12383</v>
      </c>
      <c r="AJ2174" s="116">
        <v>0.3</v>
      </c>
      <c r="AK2174" s="117"/>
      <c r="AL2174" s="117"/>
      <c r="AM2174" s="117"/>
      <c r="AN2174" s="117"/>
      <c r="AO2174" s="117"/>
    </row>
    <row r="2175" ht="29.25" customHeight="1">
      <c r="A2175" s="111">
        <v>2892.0</v>
      </c>
      <c r="B2175" s="111" t="s">
        <v>10177</v>
      </c>
      <c r="C2175" s="111" t="s">
        <v>8578</v>
      </c>
      <c r="D2175" s="111">
        <v>2030.0</v>
      </c>
      <c r="E2175" s="111"/>
      <c r="F2175" s="111" t="s">
        <v>12397</v>
      </c>
      <c r="G2175" s="111" t="s">
        <v>12381</v>
      </c>
      <c r="H2175" s="111" t="s">
        <v>12230</v>
      </c>
      <c r="I2175" s="111" t="s">
        <v>12394</v>
      </c>
      <c r="J2175" s="111" t="s">
        <v>12295</v>
      </c>
      <c r="K2175" s="111" t="s">
        <v>174</v>
      </c>
      <c r="L2175" s="111"/>
      <c r="M2175" s="111">
        <v>1.0</v>
      </c>
      <c r="N2175" s="111"/>
      <c r="O2175" s="111"/>
      <c r="P2175" s="111"/>
      <c r="Q2175" s="111"/>
      <c r="R2175" s="111"/>
      <c r="S2175" s="111"/>
      <c r="T2175" s="111"/>
      <c r="U2175" s="111"/>
      <c r="V2175" s="111"/>
      <c r="W2175" s="111"/>
      <c r="X2175" s="111"/>
      <c r="Y2175" s="111"/>
      <c r="Z2175" s="111" t="s">
        <v>15221</v>
      </c>
      <c r="AA2175" s="126">
        <f>IF(Projects!$AI2175="Electrolysis",
AB2175*VLOOKUP(G2175,ElectrolysisConvF,3,FALSE),
"")</f>
        <v>519.6783962</v>
      </c>
      <c r="AB2175" s="125">
        <f t="shared" si="409"/>
        <v>115484.088</v>
      </c>
      <c r="AC2175" s="125">
        <f>500*3/17/0.98</f>
        <v>90.03601441</v>
      </c>
      <c r="AD2175" s="125"/>
      <c r="AE2175" s="125">
        <f t="shared" si="401"/>
        <v>115484.088</v>
      </c>
      <c r="AF2175" s="127" t="s">
        <v>15220</v>
      </c>
      <c r="AG2175" s="127">
        <v>1.24747122645081</v>
      </c>
      <c r="AH2175" s="127">
        <v>124.642168576279</v>
      </c>
      <c r="AI2175" s="115" t="s">
        <v>12383</v>
      </c>
      <c r="AJ2175" s="116">
        <v>0.5</v>
      </c>
      <c r="AK2175" s="117"/>
      <c r="AL2175" s="117"/>
      <c r="AM2175" s="117"/>
      <c r="AN2175" s="117"/>
      <c r="AO2175" s="117"/>
    </row>
    <row r="2176" ht="29.25" customHeight="1">
      <c r="A2176" s="111">
        <v>2893.0</v>
      </c>
      <c r="B2176" s="111" t="s">
        <v>10178</v>
      </c>
      <c r="C2176" s="111" t="s">
        <v>8578</v>
      </c>
      <c r="D2176" s="111">
        <v>2027.0</v>
      </c>
      <c r="E2176" s="111"/>
      <c r="F2176" s="111" t="s">
        <v>12397</v>
      </c>
      <c r="G2176" s="111" t="s">
        <v>12381</v>
      </c>
      <c r="H2176" s="111" t="s">
        <v>12230</v>
      </c>
      <c r="I2176" s="111" t="s">
        <v>12394</v>
      </c>
      <c r="J2176" s="111" t="s">
        <v>12295</v>
      </c>
      <c r="K2176" s="111" t="s">
        <v>30</v>
      </c>
      <c r="L2176" s="111"/>
      <c r="M2176" s="111"/>
      <c r="N2176" s="111"/>
      <c r="O2176" s="111">
        <v>1.0</v>
      </c>
      <c r="P2176" s="111"/>
      <c r="Q2176" s="111"/>
      <c r="R2176" s="111"/>
      <c r="S2176" s="111"/>
      <c r="T2176" s="111"/>
      <c r="U2176" s="111"/>
      <c r="V2176" s="111"/>
      <c r="W2176" s="111"/>
      <c r="X2176" s="111"/>
      <c r="Y2176" s="111"/>
      <c r="Z2176" s="111"/>
      <c r="AA2176" s="126">
        <f>IF(OR(G2176="ALK",G2176="PEM",G2176="SOEC",G2176="Other Electrolysis"),
AB2176*VLOOKUP(G2176,ElectrolysisConvF,3,FALSE),
"")</f>
        <v>0</v>
      </c>
      <c r="AB2176" s="125"/>
      <c r="AC2176" s="125"/>
      <c r="AD2176" s="125"/>
      <c r="AE2176" s="125" t="str">
        <f t="shared" si="401"/>
        <v/>
      </c>
      <c r="AF2176" s="127" t="s">
        <v>15220</v>
      </c>
      <c r="AG2176" s="127">
        <v>-5.94206935569126</v>
      </c>
      <c r="AH2176" s="127">
        <v>106.037781362071</v>
      </c>
      <c r="AI2176" s="115" t="s">
        <v>12383</v>
      </c>
      <c r="AJ2176" s="116">
        <v>0.5</v>
      </c>
      <c r="AK2176" s="117"/>
      <c r="AL2176" s="117"/>
      <c r="AM2176" s="117"/>
      <c r="AN2176" s="117"/>
      <c r="AO2176" s="117"/>
    </row>
    <row r="2177" ht="29.25" customHeight="1">
      <c r="A2177" s="111">
        <v>2894.0</v>
      </c>
      <c r="B2177" s="111" t="s">
        <v>10179</v>
      </c>
      <c r="C2177" s="111" t="s">
        <v>8047</v>
      </c>
      <c r="D2177" s="111">
        <v>2026.0</v>
      </c>
      <c r="E2177" s="111"/>
      <c r="F2177" s="111" t="s">
        <v>12393</v>
      </c>
      <c r="G2177" s="111" t="s">
        <v>12381</v>
      </c>
      <c r="H2177" s="111" t="s">
        <v>12230</v>
      </c>
      <c r="I2177" s="111" t="s">
        <v>12394</v>
      </c>
      <c r="J2177" s="111" t="s">
        <v>12291</v>
      </c>
      <c r="K2177" s="111" t="s">
        <v>30</v>
      </c>
      <c r="L2177" s="111"/>
      <c r="M2177" s="111"/>
      <c r="N2177" s="111"/>
      <c r="O2177" s="111"/>
      <c r="P2177" s="111">
        <v>1.0</v>
      </c>
      <c r="Q2177" s="111">
        <v>1.0</v>
      </c>
      <c r="R2177" s="111"/>
      <c r="S2177" s="111"/>
      <c r="T2177" s="111"/>
      <c r="U2177" s="111">
        <v>1.0</v>
      </c>
      <c r="V2177" s="111"/>
      <c r="W2177" s="111"/>
      <c r="X2177" s="111"/>
      <c r="Y2177" s="111"/>
      <c r="Z2177" s="111" t="s">
        <v>15222</v>
      </c>
      <c r="AA2177" s="126">
        <v>9.18</v>
      </c>
      <c r="AB2177" s="125">
        <f>IF(Projects!$AI2177="Electrolysis",
AA2177/VLOOKUP(G2177,ElectrolysisConvF,3,FALSE),
AC2177*10^6/(H2dens*HoursInYear))</f>
        <v>2040</v>
      </c>
      <c r="AC2177" s="125">
        <f t="shared" ref="AC2177:AC2182" si="410">AB2177*H2dens*HoursInYear/10^6</f>
        <v>1.5904656</v>
      </c>
      <c r="AD2177" s="125"/>
      <c r="AE2177" s="125">
        <f t="shared" si="401"/>
        <v>2040</v>
      </c>
      <c r="AF2177" s="127" t="s">
        <v>15223</v>
      </c>
      <c r="AG2177" s="127">
        <v>45.157</v>
      </c>
      <c r="AH2177" s="127">
        <v>10.792</v>
      </c>
      <c r="AI2177" s="115" t="s">
        <v>12383</v>
      </c>
      <c r="AJ2177" s="116">
        <v>0.3</v>
      </c>
      <c r="AK2177" s="117"/>
      <c r="AL2177" s="117"/>
      <c r="AM2177" s="117"/>
      <c r="AN2177" s="117"/>
      <c r="AO2177" s="117"/>
    </row>
    <row r="2178" ht="29.25" customHeight="1">
      <c r="A2178" s="111">
        <v>2895.0</v>
      </c>
      <c r="B2178" s="111" t="s">
        <v>10180</v>
      </c>
      <c r="C2178" s="111" t="s">
        <v>8047</v>
      </c>
      <c r="D2178" s="111">
        <v>2026.0</v>
      </c>
      <c r="E2178" s="111"/>
      <c r="F2178" s="111" t="s">
        <v>12399</v>
      </c>
      <c r="G2178" s="111" t="s">
        <v>12381</v>
      </c>
      <c r="H2178" s="111" t="s">
        <v>12230</v>
      </c>
      <c r="I2178" s="111" t="s">
        <v>12394</v>
      </c>
      <c r="J2178" s="111" t="s">
        <v>12291</v>
      </c>
      <c r="K2178" s="111" t="s">
        <v>30</v>
      </c>
      <c r="L2178" s="111"/>
      <c r="M2178" s="111"/>
      <c r="N2178" s="111"/>
      <c r="O2178" s="111"/>
      <c r="P2178" s="111">
        <v>1.0</v>
      </c>
      <c r="Q2178" s="111"/>
      <c r="R2178" s="111"/>
      <c r="S2178" s="111"/>
      <c r="T2178" s="111"/>
      <c r="U2178" s="111"/>
      <c r="V2178" s="111"/>
      <c r="W2178" s="111"/>
      <c r="X2178" s="111"/>
      <c r="Y2178" s="111"/>
      <c r="Z2178" s="111" t="s">
        <v>12835</v>
      </c>
      <c r="AA2178" s="126">
        <v>5.0</v>
      </c>
      <c r="AB2178" s="125">
        <f>IF(Projects!$AI2178="Electrolysis",
AA2178/VLOOKUP(G2178,ElectrolysisConvF,3,FALSE),
AC2178*10^6/(H2dens*HoursInYear))</f>
        <v>1111.111111</v>
      </c>
      <c r="AC2178" s="125">
        <f t="shared" si="410"/>
        <v>0.8662666667</v>
      </c>
      <c r="AD2178" s="125"/>
      <c r="AE2178" s="125">
        <f t="shared" si="401"/>
        <v>1111.111111</v>
      </c>
      <c r="AF2178" s="127" t="s">
        <v>15224</v>
      </c>
      <c r="AG2178" s="127">
        <v>45.463</v>
      </c>
      <c r="AH2178" s="127">
        <v>12.267</v>
      </c>
      <c r="AI2178" s="115" t="s">
        <v>12383</v>
      </c>
      <c r="AJ2178" s="116">
        <v>0.3</v>
      </c>
      <c r="AK2178" s="117"/>
      <c r="AL2178" s="117"/>
      <c r="AM2178" s="117"/>
      <c r="AN2178" s="117"/>
      <c r="AO2178" s="117"/>
    </row>
    <row r="2179" ht="34.5" customHeight="1">
      <c r="A2179" s="111">
        <v>2896.0</v>
      </c>
      <c r="B2179" s="111" t="s">
        <v>10181</v>
      </c>
      <c r="C2179" s="111" t="s">
        <v>8047</v>
      </c>
      <c r="D2179" s="111">
        <v>2026.0</v>
      </c>
      <c r="E2179" s="111"/>
      <c r="F2179" s="111" t="s">
        <v>12399</v>
      </c>
      <c r="G2179" s="111" t="s">
        <v>12381</v>
      </c>
      <c r="H2179" s="111" t="s">
        <v>12230</v>
      </c>
      <c r="I2179" s="111" t="s">
        <v>12394</v>
      </c>
      <c r="J2179" s="111" t="s">
        <v>12291</v>
      </c>
      <c r="K2179" s="111" t="s">
        <v>30</v>
      </c>
      <c r="L2179" s="111"/>
      <c r="M2179" s="111"/>
      <c r="N2179" s="111"/>
      <c r="O2179" s="111"/>
      <c r="P2179" s="111">
        <v>1.0</v>
      </c>
      <c r="Q2179" s="111"/>
      <c r="R2179" s="111"/>
      <c r="S2179" s="111"/>
      <c r="T2179" s="111"/>
      <c r="U2179" s="111"/>
      <c r="V2179" s="111"/>
      <c r="W2179" s="111"/>
      <c r="X2179" s="111"/>
      <c r="Y2179" s="111"/>
      <c r="Z2179" s="111" t="s">
        <v>14355</v>
      </c>
      <c r="AA2179" s="126">
        <v>8.0</v>
      </c>
      <c r="AB2179" s="125">
        <f>IF(Projects!$AI2179="Electrolysis",
AA2179/VLOOKUP(G2179,ElectrolysisConvF,3,FALSE),
AC2179*10^6/(H2dens*HoursInYear))</f>
        <v>1777.777778</v>
      </c>
      <c r="AC2179" s="126">
        <f t="shared" si="410"/>
        <v>1.386026667</v>
      </c>
      <c r="AD2179" s="125"/>
      <c r="AE2179" s="125">
        <f t="shared" si="401"/>
        <v>1777.777778</v>
      </c>
      <c r="AF2179" s="127" t="s">
        <v>15225</v>
      </c>
      <c r="AG2179" s="127">
        <v>42.518</v>
      </c>
      <c r="AH2179" s="127">
        <v>12.516</v>
      </c>
      <c r="AI2179" s="115" t="s">
        <v>12383</v>
      </c>
      <c r="AJ2179" s="116">
        <v>0.3</v>
      </c>
      <c r="AK2179" s="117"/>
      <c r="AL2179" s="117"/>
      <c r="AM2179" s="117"/>
      <c r="AN2179" s="117"/>
      <c r="AO2179" s="117"/>
    </row>
    <row r="2180" ht="34.5" customHeight="1">
      <c r="A2180" s="111">
        <v>2897.0</v>
      </c>
      <c r="B2180" s="111" t="s">
        <v>10182</v>
      </c>
      <c r="C2180" s="111" t="s">
        <v>8047</v>
      </c>
      <c r="D2180" s="111">
        <v>2026.0</v>
      </c>
      <c r="E2180" s="111"/>
      <c r="F2180" s="111" t="s">
        <v>12399</v>
      </c>
      <c r="G2180" s="111" t="s">
        <v>12381</v>
      </c>
      <c r="H2180" s="111" t="s">
        <v>12230</v>
      </c>
      <c r="I2180" s="111" t="s">
        <v>12394</v>
      </c>
      <c r="J2180" s="111" t="s">
        <v>12293</v>
      </c>
      <c r="K2180" s="111" t="s">
        <v>30</v>
      </c>
      <c r="L2180" s="111"/>
      <c r="M2180" s="111"/>
      <c r="N2180" s="111"/>
      <c r="O2180" s="111"/>
      <c r="P2180" s="111"/>
      <c r="Q2180" s="111"/>
      <c r="R2180" s="111"/>
      <c r="S2180" s="111"/>
      <c r="T2180" s="111"/>
      <c r="U2180" s="111"/>
      <c r="V2180" s="111"/>
      <c r="W2180" s="111"/>
      <c r="X2180" s="111"/>
      <c r="Y2180" s="111"/>
      <c r="Z2180" s="111" t="s">
        <v>13647</v>
      </c>
      <c r="AA2180" s="126">
        <v>800.0</v>
      </c>
      <c r="AB2180" s="125">
        <f>IF(Projects!$AI2180="Electrolysis",
AA2180/VLOOKUP(G2180,ElectrolysisConvF,3,FALSE),
AC2180*10^6/(H2dens*HoursInYear))</f>
        <v>177777.7778</v>
      </c>
      <c r="AC2180" s="126">
        <f t="shared" si="410"/>
        <v>138.6026667</v>
      </c>
      <c r="AD2180" s="125"/>
      <c r="AE2180" s="125">
        <f t="shared" si="401"/>
        <v>177777.7778</v>
      </c>
      <c r="AF2180" s="127" t="s">
        <v>15223</v>
      </c>
      <c r="AG2180" s="127">
        <v>41.949</v>
      </c>
      <c r="AH2180" s="127">
        <v>15.004</v>
      </c>
      <c r="AI2180" s="115" t="s">
        <v>12383</v>
      </c>
      <c r="AJ2180" s="116">
        <v>0.55</v>
      </c>
      <c r="AK2180" s="117"/>
      <c r="AL2180" s="117"/>
      <c r="AM2180" s="117"/>
      <c r="AN2180" s="117"/>
      <c r="AO2180" s="117"/>
    </row>
    <row r="2181" ht="34.5" customHeight="1">
      <c r="A2181" s="111">
        <v>2898.0</v>
      </c>
      <c r="B2181" s="111" t="s">
        <v>10183</v>
      </c>
      <c r="C2181" s="111" t="s">
        <v>8047</v>
      </c>
      <c r="D2181" s="111"/>
      <c r="E2181" s="111"/>
      <c r="F2181" s="111" t="s">
        <v>12399</v>
      </c>
      <c r="G2181" s="111" t="s">
        <v>12226</v>
      </c>
      <c r="H2181" s="111"/>
      <c r="I2181" s="111" t="s">
        <v>12287</v>
      </c>
      <c r="J2181" s="111"/>
      <c r="K2181" s="111" t="s">
        <v>30</v>
      </c>
      <c r="L2181" s="111"/>
      <c r="M2181" s="111"/>
      <c r="N2181" s="111"/>
      <c r="O2181" s="111"/>
      <c r="P2181" s="111">
        <v>1.0</v>
      </c>
      <c r="Q2181" s="111">
        <v>1.0</v>
      </c>
      <c r="R2181" s="111"/>
      <c r="S2181" s="111"/>
      <c r="T2181" s="111"/>
      <c r="U2181" s="111"/>
      <c r="V2181" s="111"/>
      <c r="W2181" s="111"/>
      <c r="X2181" s="111"/>
      <c r="Y2181" s="111"/>
      <c r="Z2181" s="111" t="s">
        <v>12835</v>
      </c>
      <c r="AA2181" s="126">
        <v>5.0</v>
      </c>
      <c r="AB2181" s="125">
        <f>IF(Projects!$AI2181="Electrolysis",
AA2181/VLOOKUP(G2181,ElectrolysisConvF,3,FALSE),
AC2181*10^6/(H2dens*HoursInYear))</f>
        <v>961.5384615</v>
      </c>
      <c r="AC2181" s="126">
        <f t="shared" si="410"/>
        <v>0.7496538462</v>
      </c>
      <c r="AD2181" s="125"/>
      <c r="AE2181" s="125">
        <f t="shared" si="401"/>
        <v>961.5384615</v>
      </c>
      <c r="AF2181" s="127" t="s">
        <v>15223</v>
      </c>
      <c r="AG2181" s="127">
        <v>45.6354840370743</v>
      </c>
      <c r="AH2181" s="127">
        <v>8.7139744017433</v>
      </c>
      <c r="AI2181" s="115" t="s">
        <v>12383</v>
      </c>
      <c r="AJ2181" s="116">
        <v>0.57</v>
      </c>
      <c r="AK2181" s="117"/>
      <c r="AL2181" s="117"/>
      <c r="AM2181" s="117"/>
      <c r="AN2181" s="117"/>
      <c r="AO2181" s="117"/>
    </row>
    <row r="2182" ht="34.5" customHeight="1">
      <c r="A2182" s="111">
        <v>2899.0</v>
      </c>
      <c r="B2182" s="111" t="s">
        <v>10184</v>
      </c>
      <c r="C2182" s="111" t="s">
        <v>8047</v>
      </c>
      <c r="D2182" s="111">
        <v>2025.0</v>
      </c>
      <c r="E2182" s="111"/>
      <c r="F2182" s="111" t="s">
        <v>12399</v>
      </c>
      <c r="G2182" s="111" t="s">
        <v>12381</v>
      </c>
      <c r="H2182" s="111" t="s">
        <v>12230</v>
      </c>
      <c r="I2182" s="111" t="s">
        <v>12287</v>
      </c>
      <c r="J2182" s="111"/>
      <c r="K2182" s="111" t="s">
        <v>30</v>
      </c>
      <c r="L2182" s="111"/>
      <c r="M2182" s="111"/>
      <c r="N2182" s="111"/>
      <c r="O2182" s="111"/>
      <c r="P2182" s="111"/>
      <c r="Q2182" s="111">
        <v>1.0</v>
      </c>
      <c r="R2182" s="111"/>
      <c r="S2182" s="111"/>
      <c r="T2182" s="111"/>
      <c r="U2182" s="111"/>
      <c r="V2182" s="111"/>
      <c r="W2182" s="111"/>
      <c r="X2182" s="111"/>
      <c r="Y2182" s="111"/>
      <c r="Z2182" s="111" t="s">
        <v>12835</v>
      </c>
      <c r="AA2182" s="126">
        <v>5.0</v>
      </c>
      <c r="AB2182" s="125">
        <f>IF(Projects!$AI2182="Electrolysis",
AA2182/VLOOKUP(G2182,ElectrolysisConvF,3,FALSE),
AC2182*10^6/(H2dens*HoursInYear))</f>
        <v>1111.111111</v>
      </c>
      <c r="AC2182" s="126">
        <f t="shared" si="410"/>
        <v>0.8662666667</v>
      </c>
      <c r="AD2182" s="125"/>
      <c r="AE2182" s="125">
        <f t="shared" si="401"/>
        <v>1111.111111</v>
      </c>
      <c r="AF2182" s="127" t="s">
        <v>15226</v>
      </c>
      <c r="AG2182" s="127">
        <v>45.5428562245423</v>
      </c>
      <c r="AH2182" s="127">
        <v>10.2504532968465</v>
      </c>
      <c r="AI2182" s="115" t="s">
        <v>12383</v>
      </c>
      <c r="AJ2182" s="116">
        <v>0.57</v>
      </c>
      <c r="AK2182" s="117"/>
      <c r="AL2182" s="117"/>
      <c r="AM2182" s="117"/>
      <c r="AN2182" s="117"/>
      <c r="AO2182" s="117"/>
    </row>
    <row r="2183" ht="34.5" customHeight="1">
      <c r="A2183" s="111">
        <v>2900.0</v>
      </c>
      <c r="B2183" s="111" t="s">
        <v>10185</v>
      </c>
      <c r="C2183" s="111" t="s">
        <v>8108</v>
      </c>
      <c r="D2183" s="111"/>
      <c r="E2183" s="111"/>
      <c r="F2183" s="111" t="s">
        <v>12397</v>
      </c>
      <c r="G2183" s="111" t="s">
        <v>12381</v>
      </c>
      <c r="H2183" s="111" t="s">
        <v>12230</v>
      </c>
      <c r="I2183" s="111" t="s">
        <v>12287</v>
      </c>
      <c r="J2183" s="111"/>
      <c r="K2183" s="111" t="s">
        <v>174</v>
      </c>
      <c r="L2183" s="111"/>
      <c r="M2183" s="111">
        <v>1.0</v>
      </c>
      <c r="N2183" s="111"/>
      <c r="O2183" s="111"/>
      <c r="P2183" s="111"/>
      <c r="Q2183" s="111"/>
      <c r="R2183" s="111"/>
      <c r="S2183" s="111"/>
      <c r="T2183" s="111"/>
      <c r="U2183" s="111"/>
      <c r="V2183" s="111"/>
      <c r="W2183" s="111"/>
      <c r="X2183" s="111"/>
      <c r="Y2183" s="111"/>
      <c r="Z2183" s="111" t="s">
        <v>15221</v>
      </c>
      <c r="AA2183" s="126">
        <f>IF(Projects!$AI2183="Electrolysis",
AB2183*VLOOKUP(G2183,ElectrolysisConvF,3,FALSE),
"")</f>
        <v>519.6783962</v>
      </c>
      <c r="AB2183" s="125">
        <f>AC2183/(H2dens*HoursInYear/10^6)</f>
        <v>115484.088</v>
      </c>
      <c r="AC2183" s="126">
        <f>500*3/17/0.98</f>
        <v>90.03601441</v>
      </c>
      <c r="AD2183" s="125"/>
      <c r="AE2183" s="125">
        <f t="shared" si="401"/>
        <v>115484.088</v>
      </c>
      <c r="AF2183" s="127" t="s">
        <v>15227</v>
      </c>
      <c r="AG2183" s="127">
        <v>18.8729611475165</v>
      </c>
      <c r="AH2183" s="127">
        <v>74.8669875110083</v>
      </c>
      <c r="AI2183" s="115" t="s">
        <v>12383</v>
      </c>
      <c r="AJ2183" s="116">
        <v>0.57</v>
      </c>
      <c r="AK2183" s="117"/>
      <c r="AL2183" s="117"/>
      <c r="AM2183" s="117"/>
      <c r="AN2183" s="117"/>
      <c r="AO2183" s="117"/>
    </row>
    <row r="2184" ht="34.5" customHeight="1">
      <c r="A2184" s="111">
        <v>2901.0</v>
      </c>
      <c r="B2184" s="111" t="s">
        <v>10186</v>
      </c>
      <c r="C2184" s="111" t="s">
        <v>7971</v>
      </c>
      <c r="D2184" s="111">
        <v>2028.0</v>
      </c>
      <c r="E2184" s="111"/>
      <c r="F2184" s="111" t="s">
        <v>12399</v>
      </c>
      <c r="G2184" s="111" t="s">
        <v>12381</v>
      </c>
      <c r="H2184" s="111" t="s">
        <v>12230</v>
      </c>
      <c r="I2184" s="111" t="s">
        <v>12406</v>
      </c>
      <c r="J2184" s="111"/>
      <c r="K2184" s="111" t="s">
        <v>174</v>
      </c>
      <c r="L2184" s="111"/>
      <c r="M2184" s="111">
        <v>1.0</v>
      </c>
      <c r="N2184" s="111"/>
      <c r="O2184" s="111"/>
      <c r="P2184" s="111"/>
      <c r="Q2184" s="111"/>
      <c r="R2184" s="111"/>
      <c r="S2184" s="111"/>
      <c r="T2184" s="111"/>
      <c r="U2184" s="111"/>
      <c r="V2184" s="111"/>
      <c r="W2184" s="111"/>
      <c r="X2184" s="111"/>
      <c r="Y2184" s="111"/>
      <c r="Z2184" s="111" t="s">
        <v>15228</v>
      </c>
      <c r="AA2184" s="124">
        <v>171.0</v>
      </c>
      <c r="AB2184" s="125">
        <f>IF(Projects!$AI2184="Electrolysis",
AA2184/VLOOKUP(G2184,ElectrolysisConvF,3,FALSE),
AC2184*10^6/(H2dens*HoursInYear))</f>
        <v>38000</v>
      </c>
      <c r="AC2184" s="126">
        <f>AB2184*H2dens*HoursInYear/10^6</f>
        <v>29.62632</v>
      </c>
      <c r="AD2184" s="125"/>
      <c r="AE2184" s="125">
        <f t="shared" si="401"/>
        <v>38000</v>
      </c>
      <c r="AF2184" s="127" t="s">
        <v>15229</v>
      </c>
      <c r="AG2184" s="127">
        <v>58.4497177460841</v>
      </c>
      <c r="AH2184" s="127">
        <v>8.84933770982461</v>
      </c>
      <c r="AI2184" s="115" t="s">
        <v>12383</v>
      </c>
      <c r="AJ2184" s="116">
        <v>0.57</v>
      </c>
      <c r="AK2184" s="117"/>
      <c r="AL2184" s="117"/>
      <c r="AM2184" s="117"/>
      <c r="AN2184" s="117"/>
      <c r="AO2184" s="117"/>
    </row>
    <row r="2185" ht="34.5" customHeight="1">
      <c r="A2185" s="111">
        <v>2902.0</v>
      </c>
      <c r="B2185" s="111" t="s">
        <v>10187</v>
      </c>
      <c r="C2185" s="111" t="s">
        <v>7971</v>
      </c>
      <c r="D2185" s="111"/>
      <c r="E2185" s="111"/>
      <c r="F2185" s="111" t="s">
        <v>12397</v>
      </c>
      <c r="G2185" s="111" t="s">
        <v>12381</v>
      </c>
      <c r="H2185" s="111" t="s">
        <v>12230</v>
      </c>
      <c r="I2185" s="111" t="s">
        <v>12287</v>
      </c>
      <c r="J2185" s="111"/>
      <c r="K2185" s="111" t="s">
        <v>174</v>
      </c>
      <c r="L2185" s="111"/>
      <c r="M2185" s="111">
        <v>1.0</v>
      </c>
      <c r="N2185" s="111"/>
      <c r="O2185" s="111"/>
      <c r="P2185" s="111"/>
      <c r="Q2185" s="111"/>
      <c r="R2185" s="111"/>
      <c r="S2185" s="111"/>
      <c r="T2185" s="111"/>
      <c r="U2185" s="111"/>
      <c r="V2185" s="111"/>
      <c r="W2185" s="111"/>
      <c r="X2185" s="111"/>
      <c r="Y2185" s="111"/>
      <c r="Z2185" s="111" t="s">
        <v>15213</v>
      </c>
      <c r="AA2185" s="124">
        <f>IF(Projects!$AI2185="Electrolysis",
AB2185*VLOOKUP(G2185,ElectrolysisConvF,3,FALSE),
"")</f>
        <v>182.3432969</v>
      </c>
      <c r="AB2185" s="125">
        <f>AC2185/(H2dens*HoursInYear/10^6)</f>
        <v>40520.73265</v>
      </c>
      <c r="AC2185" s="126">
        <f>100*3/17/0.98/Projects!$AJ2185</f>
        <v>31.591584</v>
      </c>
      <c r="AD2185" s="125"/>
      <c r="AE2185" s="125">
        <f t="shared" si="401"/>
        <v>40520.73265</v>
      </c>
      <c r="AF2185" s="127" t="s">
        <v>15230</v>
      </c>
      <c r="AG2185" s="127">
        <v>59.3099496853397</v>
      </c>
      <c r="AH2185" s="127">
        <v>10.5184101668732</v>
      </c>
      <c r="AI2185" s="115" t="s">
        <v>12383</v>
      </c>
      <c r="AJ2185" s="116">
        <v>0.57</v>
      </c>
      <c r="AK2185" s="117"/>
      <c r="AL2185" s="117"/>
      <c r="AM2185" s="117"/>
      <c r="AN2185" s="117"/>
      <c r="AO2185" s="117"/>
    </row>
    <row r="2186" ht="34.5" customHeight="1">
      <c r="A2186" s="111">
        <v>2903.0</v>
      </c>
      <c r="B2186" s="111" t="s">
        <v>10188</v>
      </c>
      <c r="C2186" s="111" t="s">
        <v>8590</v>
      </c>
      <c r="D2186" s="111">
        <v>2030.0</v>
      </c>
      <c r="E2186" s="111"/>
      <c r="F2186" s="111" t="s">
        <v>12399</v>
      </c>
      <c r="G2186" s="111" t="s">
        <v>12381</v>
      </c>
      <c r="H2186" s="111" t="s">
        <v>12230</v>
      </c>
      <c r="I2186" s="111" t="s">
        <v>12759</v>
      </c>
      <c r="J2186" s="111"/>
      <c r="K2186" s="111" t="s">
        <v>174</v>
      </c>
      <c r="L2186" s="111"/>
      <c r="M2186" s="111">
        <v>1.0</v>
      </c>
      <c r="N2186" s="111"/>
      <c r="O2186" s="111"/>
      <c r="P2186" s="111"/>
      <c r="Q2186" s="111"/>
      <c r="R2186" s="111"/>
      <c r="S2186" s="111"/>
      <c r="T2186" s="111"/>
      <c r="U2186" s="111"/>
      <c r="V2186" s="111"/>
      <c r="W2186" s="111"/>
      <c r="X2186" s="111"/>
      <c r="Y2186" s="111"/>
      <c r="Z2186" s="111" t="s">
        <v>12723</v>
      </c>
      <c r="AA2186" s="124">
        <v>1000.0</v>
      </c>
      <c r="AB2186" s="125">
        <f>IF(Projects!$AI2186="Electrolysis",
AA2186/VLOOKUP(G2186,ElectrolysisConvF,3,FALSE),
AC2186*10^6/(H2dens*HoursInYear))</f>
        <v>222222.2222</v>
      </c>
      <c r="AC2186" s="126">
        <f t="shared" ref="AC2186:AC2190" si="411">AB2186*H2dens*HoursInYear/10^6</f>
        <v>173.2533333</v>
      </c>
      <c r="AD2186" s="125"/>
      <c r="AE2186" s="125">
        <f t="shared" si="401"/>
        <v>222222.2222</v>
      </c>
      <c r="AF2186" s="127" t="s">
        <v>15231</v>
      </c>
      <c r="AG2186" s="127">
        <v>-3.53092803394662</v>
      </c>
      <c r="AH2186" s="127">
        <v>-38.7923774582973</v>
      </c>
      <c r="AI2186" s="115" t="s">
        <v>12383</v>
      </c>
      <c r="AJ2186" s="116">
        <v>0.7</v>
      </c>
      <c r="AK2186" s="117"/>
      <c r="AL2186" s="117"/>
      <c r="AM2186" s="117"/>
      <c r="AN2186" s="117"/>
      <c r="AO2186" s="117"/>
    </row>
    <row r="2187" ht="34.5" customHeight="1">
      <c r="A2187" s="111">
        <v>2904.0</v>
      </c>
      <c r="B2187" s="111" t="s">
        <v>10189</v>
      </c>
      <c r="C2187" s="111" t="s">
        <v>8021</v>
      </c>
      <c r="D2187" s="111">
        <v>2027.0</v>
      </c>
      <c r="E2187" s="111"/>
      <c r="F2187" s="111" t="s">
        <v>12399</v>
      </c>
      <c r="G2187" s="111" t="s">
        <v>12381</v>
      </c>
      <c r="H2187" s="111" t="s">
        <v>12230</v>
      </c>
      <c r="I2187" s="111" t="s">
        <v>12759</v>
      </c>
      <c r="J2187" s="111"/>
      <c r="K2187" s="111" t="s">
        <v>30</v>
      </c>
      <c r="L2187" s="111"/>
      <c r="M2187" s="111"/>
      <c r="N2187" s="111"/>
      <c r="O2187" s="111"/>
      <c r="P2187" s="111"/>
      <c r="Q2187" s="111"/>
      <c r="R2187" s="111"/>
      <c r="S2187" s="111"/>
      <c r="T2187" s="111"/>
      <c r="U2187" s="111"/>
      <c r="V2187" s="111"/>
      <c r="W2187" s="111"/>
      <c r="X2187" s="111"/>
      <c r="Y2187" s="111"/>
      <c r="Z2187" s="111" t="s">
        <v>12768</v>
      </c>
      <c r="AA2187" s="126">
        <v>50.0</v>
      </c>
      <c r="AB2187" s="125">
        <f>IF(Projects!$AI2187="Electrolysis",
AA2187/VLOOKUP(G2187,ElectrolysisConvF,3,FALSE),
AC2187*10^6/(H2dens*HoursInYear))</f>
        <v>11111.11111</v>
      </c>
      <c r="AC2187" s="126">
        <f t="shared" si="411"/>
        <v>8.662666667</v>
      </c>
      <c r="AD2187" s="125"/>
      <c r="AE2187" s="125">
        <f t="shared" si="401"/>
        <v>11111.11111</v>
      </c>
      <c r="AF2187" s="127" t="s">
        <v>15232</v>
      </c>
      <c r="AG2187" s="127">
        <v>-23.8059755377543</v>
      </c>
      <c r="AH2187" s="127">
        <v>151.060685014358</v>
      </c>
      <c r="AI2187" s="115" t="s">
        <v>12383</v>
      </c>
      <c r="AJ2187" s="116">
        <v>0.7</v>
      </c>
      <c r="AK2187" s="117"/>
      <c r="AL2187" s="117"/>
      <c r="AM2187" s="117"/>
      <c r="AN2187" s="117"/>
      <c r="AO2187" s="117"/>
    </row>
    <row r="2188" ht="34.5" customHeight="1">
      <c r="A2188" s="111">
        <v>2905.0</v>
      </c>
      <c r="B2188" s="111" t="s">
        <v>10190</v>
      </c>
      <c r="C2188" s="111" t="s">
        <v>8021</v>
      </c>
      <c r="D2188" s="111">
        <v>2030.0</v>
      </c>
      <c r="E2188" s="111"/>
      <c r="F2188" s="111" t="s">
        <v>12397</v>
      </c>
      <c r="G2188" s="111" t="s">
        <v>12381</v>
      </c>
      <c r="H2188" s="111" t="s">
        <v>12230</v>
      </c>
      <c r="I2188" s="111" t="s">
        <v>12759</v>
      </c>
      <c r="J2188" s="111"/>
      <c r="K2188" s="111" t="s">
        <v>30</v>
      </c>
      <c r="L2188" s="111"/>
      <c r="M2188" s="111"/>
      <c r="N2188" s="111"/>
      <c r="O2188" s="111"/>
      <c r="P2188" s="111"/>
      <c r="Q2188" s="111"/>
      <c r="R2188" s="111"/>
      <c r="S2188" s="111"/>
      <c r="T2188" s="111"/>
      <c r="U2188" s="111"/>
      <c r="V2188" s="111"/>
      <c r="W2188" s="111"/>
      <c r="X2188" s="111"/>
      <c r="Y2188" s="111"/>
      <c r="Z2188" s="111" t="s">
        <v>12794</v>
      </c>
      <c r="AA2188" s="126">
        <v>350.0</v>
      </c>
      <c r="AB2188" s="125">
        <f>IF(Projects!$AI2188="Electrolysis",
AA2188/VLOOKUP(G2188,ElectrolysisConvF,3,FALSE),
AC2188*10^6/(H2dens*HoursInYear))</f>
        <v>77777.77778</v>
      </c>
      <c r="AC2188" s="126">
        <f t="shared" si="411"/>
        <v>60.63866667</v>
      </c>
      <c r="AD2188" s="125"/>
      <c r="AE2188" s="125">
        <f t="shared" si="401"/>
        <v>77777.77778</v>
      </c>
      <c r="AF2188" s="127" t="s">
        <v>15232</v>
      </c>
      <c r="AG2188" s="127">
        <v>-23.8059755377543</v>
      </c>
      <c r="AH2188" s="127">
        <v>151.060685014358</v>
      </c>
      <c r="AI2188" s="115" t="s">
        <v>12383</v>
      </c>
      <c r="AJ2188" s="116">
        <v>0.7</v>
      </c>
      <c r="AK2188" s="117"/>
      <c r="AL2188" s="117"/>
      <c r="AM2188" s="117"/>
      <c r="AN2188" s="117"/>
      <c r="AO2188" s="117"/>
    </row>
    <row r="2189" ht="34.5" customHeight="1">
      <c r="A2189" s="111">
        <v>2906.0</v>
      </c>
      <c r="B2189" s="111" t="s">
        <v>10191</v>
      </c>
      <c r="C2189" s="111" t="s">
        <v>8016</v>
      </c>
      <c r="D2189" s="111"/>
      <c r="E2189" s="111"/>
      <c r="F2189" s="111" t="s">
        <v>12397</v>
      </c>
      <c r="G2189" s="111" t="s">
        <v>12381</v>
      </c>
      <c r="H2189" s="111" t="s">
        <v>12230</v>
      </c>
      <c r="I2189" s="111" t="s">
        <v>12394</v>
      </c>
      <c r="J2189" s="111" t="s">
        <v>12296</v>
      </c>
      <c r="K2189" s="111" t="s">
        <v>30</v>
      </c>
      <c r="L2189" s="111"/>
      <c r="M2189" s="111"/>
      <c r="N2189" s="111"/>
      <c r="O2189" s="111"/>
      <c r="P2189" s="111"/>
      <c r="Q2189" s="111"/>
      <c r="R2189" s="111"/>
      <c r="S2189" s="111"/>
      <c r="T2189" s="111"/>
      <c r="U2189" s="111"/>
      <c r="V2189" s="111"/>
      <c r="W2189" s="111"/>
      <c r="X2189" s="111"/>
      <c r="Y2189" s="111"/>
      <c r="Z2189" s="111" t="s">
        <v>13006</v>
      </c>
      <c r="AA2189" s="126">
        <v>200.0</v>
      </c>
      <c r="AB2189" s="125">
        <f>IF(Projects!$AI2189="Electrolysis",
AA2189/VLOOKUP(G2189,ElectrolysisConvF,3,FALSE),
AC2189*10^6/(H2dens*HoursInYear))</f>
        <v>44444.44444</v>
      </c>
      <c r="AC2189" s="126">
        <f t="shared" si="411"/>
        <v>34.65066667</v>
      </c>
      <c r="AD2189" s="125"/>
      <c r="AE2189" s="125">
        <f t="shared" si="401"/>
        <v>44444.44444</v>
      </c>
      <c r="AF2189" s="127" t="s">
        <v>15233</v>
      </c>
      <c r="AG2189" s="127">
        <v>4.65068238189132</v>
      </c>
      <c r="AH2189" s="127">
        <v>103.382167597631</v>
      </c>
      <c r="AI2189" s="115" t="s">
        <v>12383</v>
      </c>
      <c r="AJ2189" s="116">
        <v>0.5</v>
      </c>
      <c r="AK2189" s="117"/>
      <c r="AL2189" s="117"/>
      <c r="AM2189" s="117"/>
      <c r="AN2189" s="117"/>
      <c r="AO2189" s="117"/>
    </row>
    <row r="2190" ht="34.5" customHeight="1">
      <c r="A2190" s="111">
        <v>2907.0</v>
      </c>
      <c r="B2190" s="111" t="s">
        <v>10192</v>
      </c>
      <c r="C2190" s="111" t="s">
        <v>8069</v>
      </c>
      <c r="D2190" s="111">
        <v>2028.0</v>
      </c>
      <c r="E2190" s="111"/>
      <c r="F2190" s="111" t="s">
        <v>12397</v>
      </c>
      <c r="G2190" s="111" t="s">
        <v>12381</v>
      </c>
      <c r="H2190" s="111" t="s">
        <v>12230</v>
      </c>
      <c r="I2190" s="111" t="s">
        <v>12394</v>
      </c>
      <c r="J2190" s="111" t="s">
        <v>12295</v>
      </c>
      <c r="K2190" s="111" t="s">
        <v>174</v>
      </c>
      <c r="L2190" s="111"/>
      <c r="M2190" s="111"/>
      <c r="N2190" s="111"/>
      <c r="O2190" s="111"/>
      <c r="P2190" s="111"/>
      <c r="Q2190" s="111"/>
      <c r="R2190" s="111"/>
      <c r="S2190" s="111"/>
      <c r="T2190" s="111"/>
      <c r="U2190" s="111"/>
      <c r="V2190" s="111"/>
      <c r="W2190" s="111"/>
      <c r="X2190" s="111"/>
      <c r="Y2190" s="111"/>
      <c r="Z2190" s="111" t="s">
        <v>13006</v>
      </c>
      <c r="AA2190" s="124">
        <v>200.0</v>
      </c>
      <c r="AB2190" s="125">
        <f>IF(Projects!$AI2190="Electrolysis",
AA2190/VLOOKUP(G2190,ElectrolysisConvF,3,FALSE),
AC2190*10^6/(H2dens*HoursInYear))</f>
        <v>44444.44444</v>
      </c>
      <c r="AC2190" s="126">
        <f t="shared" si="411"/>
        <v>34.65066667</v>
      </c>
      <c r="AD2190" s="125"/>
      <c r="AE2190" s="125">
        <f t="shared" si="401"/>
        <v>44444.44444</v>
      </c>
      <c r="AF2190" s="127" t="s">
        <v>15234</v>
      </c>
      <c r="AG2190" s="127">
        <v>9.41219525067958</v>
      </c>
      <c r="AH2190" s="127">
        <v>-84.1040275145548</v>
      </c>
      <c r="AI2190" s="115" t="s">
        <v>12383</v>
      </c>
      <c r="AJ2190" s="116">
        <v>0.5</v>
      </c>
      <c r="AK2190" s="117"/>
      <c r="AL2190" s="117"/>
      <c r="AM2190" s="117"/>
      <c r="AN2190" s="117"/>
      <c r="AO2190" s="117"/>
    </row>
    <row r="2191" ht="34.5" customHeight="1">
      <c r="A2191" s="111">
        <v>2908.0</v>
      </c>
      <c r="B2191" s="111" t="s">
        <v>10193</v>
      </c>
      <c r="C2191" s="111" t="s">
        <v>8590</v>
      </c>
      <c r="D2191" s="111">
        <v>2026.0</v>
      </c>
      <c r="E2191" s="111"/>
      <c r="F2191" s="111" t="s">
        <v>12399</v>
      </c>
      <c r="G2191" s="111" t="s">
        <v>12381</v>
      </c>
      <c r="H2191" s="111" t="s">
        <v>12230</v>
      </c>
      <c r="I2191" s="111" t="s">
        <v>12287</v>
      </c>
      <c r="J2191" s="111"/>
      <c r="K2191" s="111" t="s">
        <v>12415</v>
      </c>
      <c r="L2191" s="111"/>
      <c r="M2191" s="111"/>
      <c r="N2191" s="111">
        <v>1.0</v>
      </c>
      <c r="O2191" s="111"/>
      <c r="P2191" s="111"/>
      <c r="Q2191" s="111"/>
      <c r="R2191" s="111"/>
      <c r="S2191" s="111"/>
      <c r="T2191" s="111"/>
      <c r="U2191" s="111"/>
      <c r="V2191" s="111"/>
      <c r="W2191" s="111"/>
      <c r="X2191" s="111"/>
      <c r="Y2191" s="111"/>
      <c r="Z2191" s="111" t="s">
        <v>13782</v>
      </c>
      <c r="AA2191" s="124">
        <f>IF(Projects!$AI2191="Electrolysis",
AB2191*VLOOKUP(G2191,ElectrolysisConvF,3,FALSE),
"")</f>
        <v>193.7402283</v>
      </c>
      <c r="AB2191" s="125">
        <f t="shared" ref="AB2191:AB2192" si="412">AC2191/(H2dens*HoursInYear/10^6)</f>
        <v>43053.38406</v>
      </c>
      <c r="AC2191" s="126">
        <f>(100*0.191327)/Projects!$AJ2191</f>
        <v>33.56614035</v>
      </c>
      <c r="AD2191" s="125"/>
      <c r="AE2191" s="125">
        <f t="shared" si="401"/>
        <v>43053.38406</v>
      </c>
      <c r="AF2191" s="127" t="s">
        <v>15235</v>
      </c>
      <c r="AG2191" s="127">
        <v>-8.39346819778973</v>
      </c>
      <c r="AH2191" s="127">
        <v>-34.9676970474933</v>
      </c>
      <c r="AI2191" s="115" t="s">
        <v>12383</v>
      </c>
      <c r="AJ2191" s="116">
        <v>0.57</v>
      </c>
      <c r="AK2191" s="117"/>
      <c r="AL2191" s="117"/>
      <c r="AM2191" s="117"/>
      <c r="AN2191" s="117"/>
      <c r="AO2191" s="117"/>
    </row>
    <row r="2192" ht="34.5" customHeight="1">
      <c r="A2192" s="111">
        <v>2909.0</v>
      </c>
      <c r="B2192" s="111" t="s">
        <v>10194</v>
      </c>
      <c r="C2192" s="111" t="s">
        <v>8008</v>
      </c>
      <c r="D2192" s="111">
        <v>2028.0</v>
      </c>
      <c r="E2192" s="111"/>
      <c r="F2192" s="111" t="s">
        <v>12399</v>
      </c>
      <c r="G2192" s="111" t="s">
        <v>12381</v>
      </c>
      <c r="H2192" s="111" t="s">
        <v>12230</v>
      </c>
      <c r="I2192" s="111" t="s">
        <v>12394</v>
      </c>
      <c r="J2192" s="111" t="s">
        <v>12293</v>
      </c>
      <c r="K2192" s="111" t="s">
        <v>12415</v>
      </c>
      <c r="L2192" s="111"/>
      <c r="M2192" s="111"/>
      <c r="N2192" s="111">
        <v>1.0</v>
      </c>
      <c r="O2192" s="111"/>
      <c r="P2192" s="111"/>
      <c r="Q2192" s="111"/>
      <c r="R2192" s="111"/>
      <c r="S2192" s="111"/>
      <c r="T2192" s="111"/>
      <c r="U2192" s="111"/>
      <c r="V2192" s="111"/>
      <c r="W2192" s="111"/>
      <c r="X2192" s="111"/>
      <c r="Y2192" s="111"/>
      <c r="Z2192" s="111" t="s">
        <v>15004</v>
      </c>
      <c r="AA2192" s="124">
        <f>IF(Projects!$AI2192="Electrolysis",
AB2192*VLOOKUP(G2192,ElectrolysisConvF,3,FALSE),
"")</f>
        <v>1003.926637</v>
      </c>
      <c r="AB2192" s="125">
        <f t="shared" si="412"/>
        <v>223094.8083</v>
      </c>
      <c r="AC2192" s="126">
        <f>(500*0.191327)/Projects!$AJ2192</f>
        <v>173.9336364</v>
      </c>
      <c r="AD2192" s="125"/>
      <c r="AE2192" s="125">
        <f t="shared" si="401"/>
        <v>223094.8083</v>
      </c>
      <c r="AF2192" s="127" t="s">
        <v>15236</v>
      </c>
      <c r="AG2192" s="127">
        <v>58.3958297153906</v>
      </c>
      <c r="AH2192" s="127">
        <v>24.4399716302236</v>
      </c>
      <c r="AI2192" s="115" t="s">
        <v>12383</v>
      </c>
      <c r="AJ2192" s="116">
        <v>0.55</v>
      </c>
      <c r="AK2192" s="117"/>
      <c r="AL2192" s="117"/>
      <c r="AM2192" s="117"/>
      <c r="AN2192" s="117"/>
      <c r="AO2192" s="117"/>
    </row>
    <row r="2193" ht="34.5" customHeight="1">
      <c r="A2193" s="111">
        <v>2910.0</v>
      </c>
      <c r="B2193" s="111" t="s">
        <v>10195</v>
      </c>
      <c r="C2193" s="111" t="s">
        <v>8071</v>
      </c>
      <c r="D2193" s="111">
        <v>2032.0</v>
      </c>
      <c r="E2193" s="111"/>
      <c r="F2193" s="111" t="s">
        <v>12397</v>
      </c>
      <c r="G2193" s="111" t="s">
        <v>12381</v>
      </c>
      <c r="H2193" s="111" t="s">
        <v>12230</v>
      </c>
      <c r="I2193" s="111" t="s">
        <v>12394</v>
      </c>
      <c r="J2193" s="111" t="s">
        <v>12292</v>
      </c>
      <c r="K2193" s="111" t="s">
        <v>174</v>
      </c>
      <c r="L2193" s="111"/>
      <c r="M2193" s="111">
        <v>1.0</v>
      </c>
      <c r="N2193" s="111"/>
      <c r="O2193" s="111"/>
      <c r="P2193" s="111"/>
      <c r="Q2193" s="111"/>
      <c r="R2193" s="111"/>
      <c r="S2193" s="111"/>
      <c r="T2193" s="111"/>
      <c r="U2193" s="111"/>
      <c r="V2193" s="111"/>
      <c r="W2193" s="111"/>
      <c r="X2193" s="111"/>
      <c r="Y2193" s="111"/>
      <c r="Z2193" s="111" t="s">
        <v>12723</v>
      </c>
      <c r="AA2193" s="124">
        <v>1000.0</v>
      </c>
      <c r="AB2193" s="125">
        <f>IF(Projects!$AI2193="Electrolysis",
AA2193/VLOOKUP(G2193,ElectrolysisConvF,3,FALSE),
AC2193*10^6/(H2dens*HoursInYear))</f>
        <v>222222.2222</v>
      </c>
      <c r="AC2193" s="126">
        <f t="shared" ref="AC2193:AC2198" si="413">AB2193*H2dens*HoursInYear/10^6</f>
        <v>173.2533333</v>
      </c>
      <c r="AD2193" s="125"/>
      <c r="AE2193" s="125">
        <f t="shared" si="401"/>
        <v>222222.2222</v>
      </c>
      <c r="AF2193" s="127" t="s">
        <v>15237</v>
      </c>
      <c r="AG2193" s="127">
        <v>-53.4654375559453</v>
      </c>
      <c r="AH2193" s="127">
        <v>-71.6168099613389</v>
      </c>
      <c r="AI2193" s="115" t="s">
        <v>12383</v>
      </c>
      <c r="AJ2193" s="116">
        <v>0.4</v>
      </c>
      <c r="AK2193" s="117"/>
      <c r="AL2193" s="117"/>
      <c r="AM2193" s="117"/>
      <c r="AN2193" s="117"/>
      <c r="AO2193" s="117"/>
    </row>
    <row r="2194" ht="34.5" customHeight="1">
      <c r="A2194" s="111">
        <v>2911.0</v>
      </c>
      <c r="B2194" s="111" t="s">
        <v>10196</v>
      </c>
      <c r="C2194" s="111" t="s">
        <v>8071</v>
      </c>
      <c r="D2194" s="111">
        <v>2032.0</v>
      </c>
      <c r="E2194" s="111"/>
      <c r="F2194" s="111" t="s">
        <v>12397</v>
      </c>
      <c r="G2194" s="111" t="s">
        <v>12381</v>
      </c>
      <c r="H2194" s="111" t="s">
        <v>12230</v>
      </c>
      <c r="I2194" s="111" t="s">
        <v>12394</v>
      </c>
      <c r="J2194" s="111" t="s">
        <v>12292</v>
      </c>
      <c r="K2194" s="111" t="s">
        <v>174</v>
      </c>
      <c r="L2194" s="111"/>
      <c r="M2194" s="111">
        <v>1.0</v>
      </c>
      <c r="N2194" s="111"/>
      <c r="O2194" s="111"/>
      <c r="P2194" s="111"/>
      <c r="Q2194" s="111"/>
      <c r="R2194" s="111"/>
      <c r="S2194" s="111"/>
      <c r="T2194" s="111"/>
      <c r="U2194" s="111"/>
      <c r="V2194" s="111"/>
      <c r="W2194" s="111"/>
      <c r="X2194" s="111"/>
      <c r="Y2194" s="111"/>
      <c r="Z2194" s="111" t="s">
        <v>15238</v>
      </c>
      <c r="AA2194" s="124">
        <v>1500.0</v>
      </c>
      <c r="AB2194" s="125">
        <f>IF(Projects!$AI2194="Electrolysis",
AA2194/VLOOKUP(G2194,ElectrolysisConvF,3,FALSE),
AC2194*10^6/(H2dens*HoursInYear))</f>
        <v>333333.3333</v>
      </c>
      <c r="AC2194" s="126">
        <f t="shared" si="413"/>
        <v>259.88</v>
      </c>
      <c r="AD2194" s="125"/>
      <c r="AE2194" s="125">
        <f t="shared" si="401"/>
        <v>333333.3333</v>
      </c>
      <c r="AF2194" s="127" t="s">
        <v>15237</v>
      </c>
      <c r="AG2194" s="127">
        <v>-51.4577196214412</v>
      </c>
      <c r="AH2194" s="127">
        <v>-73.9239387272992</v>
      </c>
      <c r="AI2194" s="115" t="s">
        <v>12383</v>
      </c>
      <c r="AJ2194" s="116">
        <v>0.4</v>
      </c>
      <c r="AK2194" s="117"/>
      <c r="AL2194" s="117"/>
      <c r="AM2194" s="117"/>
      <c r="AN2194" s="117"/>
      <c r="AO2194" s="117"/>
    </row>
    <row r="2195" ht="34.5" customHeight="1">
      <c r="A2195" s="111">
        <v>2912.0</v>
      </c>
      <c r="B2195" s="111" t="s">
        <v>10197</v>
      </c>
      <c r="C2195" s="111" t="s">
        <v>8071</v>
      </c>
      <c r="D2195" s="111"/>
      <c r="E2195" s="111"/>
      <c r="F2195" s="111" t="s">
        <v>12397</v>
      </c>
      <c r="G2195" s="111" t="s">
        <v>12381</v>
      </c>
      <c r="H2195" s="111" t="s">
        <v>12230</v>
      </c>
      <c r="I2195" s="111" t="s">
        <v>12394</v>
      </c>
      <c r="J2195" s="111" t="s">
        <v>12295</v>
      </c>
      <c r="K2195" s="111" t="s">
        <v>174</v>
      </c>
      <c r="L2195" s="111"/>
      <c r="M2195" s="111">
        <v>1.0</v>
      </c>
      <c r="N2195" s="111"/>
      <c r="O2195" s="111"/>
      <c r="P2195" s="111"/>
      <c r="Q2195" s="111"/>
      <c r="R2195" s="111"/>
      <c r="S2195" s="111"/>
      <c r="T2195" s="111"/>
      <c r="U2195" s="111"/>
      <c r="V2195" s="111"/>
      <c r="W2195" s="111"/>
      <c r="X2195" s="111"/>
      <c r="Y2195" s="111"/>
      <c r="Z2195" s="111" t="s">
        <v>15239</v>
      </c>
      <c r="AA2195" s="124">
        <v>1440.0</v>
      </c>
      <c r="AB2195" s="125">
        <f>IF(Projects!$AI2195="Electrolysis",
AA2195/VLOOKUP(G2195,ElectrolysisConvF,3,FALSE),
AC2195*10^6/(H2dens*HoursInYear))</f>
        <v>320000</v>
      </c>
      <c r="AC2195" s="126">
        <f t="shared" si="413"/>
        <v>249.4848</v>
      </c>
      <c r="AD2195" s="125"/>
      <c r="AE2195" s="125">
        <f t="shared" si="401"/>
        <v>320000</v>
      </c>
      <c r="AF2195" s="127" t="s">
        <v>15240</v>
      </c>
      <c r="AG2195" s="127">
        <v>-23.4737506788131</v>
      </c>
      <c r="AH2195" s="127">
        <v>-70.3886912879207</v>
      </c>
      <c r="AI2195" s="115" t="s">
        <v>12383</v>
      </c>
      <c r="AJ2195" s="116">
        <v>0.5</v>
      </c>
      <c r="AK2195" s="117"/>
      <c r="AL2195" s="117"/>
      <c r="AM2195" s="117"/>
      <c r="AN2195" s="117"/>
      <c r="AO2195" s="117"/>
    </row>
    <row r="2196" ht="34.5" customHeight="1">
      <c r="A2196" s="111">
        <v>2913.0</v>
      </c>
      <c r="B2196" s="111" t="s">
        <v>10198</v>
      </c>
      <c r="C2196" s="111" t="s">
        <v>8590</v>
      </c>
      <c r="D2196" s="111">
        <v>2030.0</v>
      </c>
      <c r="E2196" s="111"/>
      <c r="F2196" s="111" t="s">
        <v>12397</v>
      </c>
      <c r="G2196" s="111" t="s">
        <v>12381</v>
      </c>
      <c r="H2196" s="111" t="s">
        <v>12230</v>
      </c>
      <c r="I2196" s="111" t="s">
        <v>12287</v>
      </c>
      <c r="J2196" s="111"/>
      <c r="K2196" s="111" t="s">
        <v>174</v>
      </c>
      <c r="L2196" s="111"/>
      <c r="M2196" s="111">
        <v>1.0</v>
      </c>
      <c r="N2196" s="111"/>
      <c r="O2196" s="111"/>
      <c r="P2196" s="111"/>
      <c r="Q2196" s="111"/>
      <c r="R2196" s="111"/>
      <c r="S2196" s="111"/>
      <c r="T2196" s="111"/>
      <c r="U2196" s="111"/>
      <c r="V2196" s="111"/>
      <c r="W2196" s="111"/>
      <c r="X2196" s="111"/>
      <c r="Y2196" s="111"/>
      <c r="Z2196" s="111" t="s">
        <v>15241</v>
      </c>
      <c r="AA2196" s="124">
        <v>500.0</v>
      </c>
      <c r="AB2196" s="125">
        <f>IF(Projects!$AI2196="Electrolysis",
AA2196/VLOOKUP(G2196,ElectrolysisConvF,3,FALSE),
AC2196*10^6/(H2dens*HoursInYear))</f>
        <v>111111.1111</v>
      </c>
      <c r="AC2196" s="126">
        <f t="shared" si="413"/>
        <v>86.62666667</v>
      </c>
      <c r="AD2196" s="125"/>
      <c r="AE2196" s="125">
        <f t="shared" si="401"/>
        <v>111111.1111</v>
      </c>
      <c r="AF2196" s="127" t="s">
        <v>15242</v>
      </c>
      <c r="AG2196" s="127">
        <v>-3.53</v>
      </c>
      <c r="AH2196" s="127">
        <v>-38.79</v>
      </c>
      <c r="AI2196" s="115" t="s">
        <v>12383</v>
      </c>
      <c r="AJ2196" s="116">
        <v>0.57</v>
      </c>
      <c r="AK2196" s="117"/>
      <c r="AL2196" s="117"/>
      <c r="AM2196" s="117"/>
      <c r="AN2196" s="117"/>
      <c r="AO2196" s="117"/>
    </row>
    <row r="2197" ht="34.5" customHeight="1">
      <c r="A2197" s="111">
        <v>2914.0</v>
      </c>
      <c r="B2197" s="111" t="s">
        <v>10199</v>
      </c>
      <c r="C2197" s="111" t="s">
        <v>8161</v>
      </c>
      <c r="D2197" s="111">
        <v>2027.0</v>
      </c>
      <c r="E2197" s="111"/>
      <c r="F2197" s="111" t="s">
        <v>12399</v>
      </c>
      <c r="G2197" s="111" t="s">
        <v>12381</v>
      </c>
      <c r="H2197" s="111" t="s">
        <v>12230</v>
      </c>
      <c r="I2197" s="111" t="s">
        <v>12394</v>
      </c>
      <c r="J2197" s="111" t="s">
        <v>12296</v>
      </c>
      <c r="K2197" s="111" t="s">
        <v>174</v>
      </c>
      <c r="L2197" s="111"/>
      <c r="M2197" s="111">
        <v>1.0</v>
      </c>
      <c r="N2197" s="111"/>
      <c r="O2197" s="111"/>
      <c r="P2197" s="111"/>
      <c r="Q2197" s="111"/>
      <c r="R2197" s="111"/>
      <c r="S2197" s="111"/>
      <c r="T2197" s="111"/>
      <c r="U2197" s="111"/>
      <c r="V2197" s="111"/>
      <c r="W2197" s="111"/>
      <c r="X2197" s="111"/>
      <c r="Y2197" s="111"/>
      <c r="Z2197" s="111" t="s">
        <v>15243</v>
      </c>
      <c r="AA2197" s="124">
        <v>137.0</v>
      </c>
      <c r="AB2197" s="125">
        <f>IF(Projects!$AI2197="Electrolysis",
AA2197/VLOOKUP(G2197,ElectrolysisConvF,3,FALSE),
AC2197*10^6/(H2dens*HoursInYear))</f>
        <v>30444.44444</v>
      </c>
      <c r="AC2197" s="126">
        <f t="shared" si="413"/>
        <v>23.73570667</v>
      </c>
      <c r="AD2197" s="125"/>
      <c r="AE2197" s="125">
        <f t="shared" si="401"/>
        <v>30444.44444</v>
      </c>
      <c r="AF2197" s="127" t="s">
        <v>15244</v>
      </c>
      <c r="AG2197" s="127">
        <v>37.9934700544525</v>
      </c>
      <c r="AH2197" s="127">
        <v>-8.85421195911899</v>
      </c>
      <c r="AI2197" s="115" t="s">
        <v>12383</v>
      </c>
      <c r="AJ2197" s="116">
        <v>0.5</v>
      </c>
      <c r="AK2197" s="117"/>
      <c r="AL2197" s="117"/>
      <c r="AM2197" s="117"/>
      <c r="AN2197" s="117"/>
      <c r="AO2197" s="117"/>
    </row>
    <row r="2198" ht="34.5" customHeight="1">
      <c r="A2198" s="111">
        <v>2915.0</v>
      </c>
      <c r="B2198" s="111" t="s">
        <v>10200</v>
      </c>
      <c r="C2198" s="111" t="s">
        <v>8590</v>
      </c>
      <c r="D2198" s="111"/>
      <c r="E2198" s="111"/>
      <c r="F2198" s="111" t="s">
        <v>12397</v>
      </c>
      <c r="G2198" s="111" t="s">
        <v>12381</v>
      </c>
      <c r="H2198" s="111" t="s">
        <v>12230</v>
      </c>
      <c r="I2198" s="111" t="s">
        <v>12287</v>
      </c>
      <c r="J2198" s="111"/>
      <c r="K2198" s="111" t="s">
        <v>30</v>
      </c>
      <c r="L2198" s="111"/>
      <c r="M2198" s="111"/>
      <c r="N2198" s="111"/>
      <c r="O2198" s="111"/>
      <c r="P2198" s="111"/>
      <c r="Q2198" s="111"/>
      <c r="R2198" s="111"/>
      <c r="S2198" s="111"/>
      <c r="T2198" s="111"/>
      <c r="U2198" s="111"/>
      <c r="V2198" s="111"/>
      <c r="W2198" s="111"/>
      <c r="X2198" s="111"/>
      <c r="Y2198" s="111"/>
      <c r="Z2198" s="111" t="s">
        <v>12703</v>
      </c>
      <c r="AA2198" s="124">
        <v>10.0</v>
      </c>
      <c r="AB2198" s="125">
        <f>IF(Projects!$AI2198="Electrolysis",
AA2198/VLOOKUP(G2198,ElectrolysisConvF,3,FALSE),
AC2198*10^6/(H2dens*HoursInYear))</f>
        <v>2222.222222</v>
      </c>
      <c r="AC2198" s="126">
        <f t="shared" si="413"/>
        <v>1.732533333</v>
      </c>
      <c r="AD2198" s="125"/>
      <c r="AE2198" s="125">
        <f t="shared" si="401"/>
        <v>2222.222222</v>
      </c>
      <c r="AF2198" s="127" t="s">
        <v>15245</v>
      </c>
      <c r="AG2198" s="127">
        <v>-21.8667292150067</v>
      </c>
      <c r="AH2198" s="127">
        <v>-41.0159843088845</v>
      </c>
      <c r="AI2198" s="115" t="s">
        <v>12383</v>
      </c>
      <c r="AJ2198" s="116">
        <v>0.57</v>
      </c>
      <c r="AK2198" s="117"/>
      <c r="AL2198" s="117"/>
      <c r="AM2198" s="117"/>
      <c r="AN2198" s="117"/>
      <c r="AO2198" s="117"/>
    </row>
    <row r="2199" ht="34.5" customHeight="1">
      <c r="A2199" s="111">
        <v>2916.0</v>
      </c>
      <c r="B2199" s="111" t="s">
        <v>10201</v>
      </c>
      <c r="C2199" s="111" t="s">
        <v>8021</v>
      </c>
      <c r="D2199" s="111">
        <v>2028.0</v>
      </c>
      <c r="E2199" s="111"/>
      <c r="F2199" s="111" t="s">
        <v>12397</v>
      </c>
      <c r="G2199" s="111" t="s">
        <v>12381</v>
      </c>
      <c r="H2199" s="111" t="s">
        <v>12230</v>
      </c>
      <c r="I2199" s="111" t="s">
        <v>12287</v>
      </c>
      <c r="J2199" s="111"/>
      <c r="K2199" s="111" t="s">
        <v>12415</v>
      </c>
      <c r="L2199" s="111"/>
      <c r="M2199" s="111"/>
      <c r="N2199" s="111">
        <v>1.0</v>
      </c>
      <c r="O2199" s="111"/>
      <c r="P2199" s="111"/>
      <c r="Q2199" s="111"/>
      <c r="R2199" s="111"/>
      <c r="S2199" s="111"/>
      <c r="T2199" s="111"/>
      <c r="U2199" s="111"/>
      <c r="V2199" s="111"/>
      <c r="W2199" s="111"/>
      <c r="X2199" s="111"/>
      <c r="Y2199" s="111"/>
      <c r="Z2199" s="111" t="s">
        <v>15246</v>
      </c>
      <c r="AA2199" s="124">
        <f>IF(Projects!$AI2199="Electrolysis",
AB2199*VLOOKUP(G2199,ElectrolysisConvF,3,FALSE),
"")</f>
        <v>193.7402283</v>
      </c>
      <c r="AB2199" s="125">
        <f t="shared" ref="AB2199:AB2211" si="414">AC2199/(H2dens*HoursInYear/10^6)</f>
        <v>43053.38406</v>
      </c>
      <c r="AC2199" s="126">
        <f>(100*0.191327)/Projects!$AJ2199</f>
        <v>33.56614035</v>
      </c>
      <c r="AD2199" s="125"/>
      <c r="AE2199" s="125">
        <f t="shared" si="401"/>
        <v>43053.38406</v>
      </c>
      <c r="AF2199" s="127" t="s">
        <v>15247</v>
      </c>
      <c r="AG2199" s="127">
        <v>-23.9650649571223</v>
      </c>
      <c r="AH2199" s="127">
        <v>151.340716674184</v>
      </c>
      <c r="AI2199" s="115" t="s">
        <v>12383</v>
      </c>
      <c r="AJ2199" s="116">
        <v>0.57</v>
      </c>
      <c r="AK2199" s="117"/>
      <c r="AL2199" s="117"/>
      <c r="AM2199" s="117"/>
      <c r="AN2199" s="117"/>
      <c r="AO2199" s="117"/>
    </row>
    <row r="2200" ht="34.5" customHeight="1">
      <c r="A2200" s="111">
        <v>2917.0</v>
      </c>
      <c r="B2200" s="111" t="s">
        <v>10202</v>
      </c>
      <c r="C2200" s="111" t="s">
        <v>8001</v>
      </c>
      <c r="D2200" s="111"/>
      <c r="E2200" s="111"/>
      <c r="F2200" s="111" t="s">
        <v>12397</v>
      </c>
      <c r="G2200" s="111" t="s">
        <v>12381</v>
      </c>
      <c r="H2200" s="111" t="s">
        <v>12230</v>
      </c>
      <c r="I2200" s="111" t="s">
        <v>12394</v>
      </c>
      <c r="J2200" s="111" t="s">
        <v>12292</v>
      </c>
      <c r="K2200" s="111" t="s">
        <v>12415</v>
      </c>
      <c r="L2200" s="111"/>
      <c r="M2200" s="111"/>
      <c r="N2200" s="111">
        <v>1.0</v>
      </c>
      <c r="O2200" s="111"/>
      <c r="P2200" s="111"/>
      <c r="Q2200" s="111"/>
      <c r="R2200" s="111"/>
      <c r="S2200" s="111"/>
      <c r="T2200" s="111"/>
      <c r="U2200" s="111"/>
      <c r="V2200" s="111"/>
      <c r="W2200" s="111"/>
      <c r="X2200" s="111"/>
      <c r="Y2200" s="111"/>
      <c r="Z2200" s="111" t="s">
        <v>15248</v>
      </c>
      <c r="AA2200" s="124">
        <f>IF(Projects!$AI2200="Electrolysis",
AB2200*VLOOKUP(G2200,ElectrolysisConvF,3,FALSE),
"")</f>
        <v>541.1164576</v>
      </c>
      <c r="AB2200" s="125">
        <f t="shared" si="414"/>
        <v>120248.1017</v>
      </c>
      <c r="AC2200" s="126">
        <f>(490*0.191327)</f>
        <v>93.75023</v>
      </c>
      <c r="AD2200" s="125"/>
      <c r="AE2200" s="125">
        <f t="shared" si="401"/>
        <v>120248.1017</v>
      </c>
      <c r="AF2200" s="127" t="s">
        <v>14948</v>
      </c>
      <c r="AG2200" s="127">
        <v>38.920834</v>
      </c>
      <c r="AH2200" s="127">
        <v>121.639168</v>
      </c>
      <c r="AI2200" s="115" t="s">
        <v>12383</v>
      </c>
      <c r="AJ2200" s="116">
        <v>0.4</v>
      </c>
      <c r="AK2200" s="117"/>
      <c r="AL2200" s="117"/>
      <c r="AM2200" s="117"/>
      <c r="AN2200" s="117"/>
      <c r="AO2200" s="117"/>
    </row>
    <row r="2201" ht="34.5" customHeight="1">
      <c r="A2201" s="111">
        <v>2918.0</v>
      </c>
      <c r="B2201" s="111" t="s">
        <v>10203</v>
      </c>
      <c r="C2201" s="111" t="s">
        <v>8003</v>
      </c>
      <c r="D2201" s="111">
        <v>2029.0</v>
      </c>
      <c r="E2201" s="111"/>
      <c r="F2201" s="111" t="s">
        <v>12399</v>
      </c>
      <c r="G2201" s="111" t="s">
        <v>12381</v>
      </c>
      <c r="H2201" s="111" t="s">
        <v>12230</v>
      </c>
      <c r="I2201" s="111" t="s">
        <v>12394</v>
      </c>
      <c r="J2201" s="111" t="s">
        <v>12294</v>
      </c>
      <c r="K2201" s="111" t="s">
        <v>174</v>
      </c>
      <c r="L2201" s="111"/>
      <c r="M2201" s="111">
        <v>1.0</v>
      </c>
      <c r="N2201" s="111"/>
      <c r="O2201" s="111"/>
      <c r="P2201" s="111"/>
      <c r="Q2201" s="111"/>
      <c r="R2201" s="111"/>
      <c r="S2201" s="111"/>
      <c r="T2201" s="111"/>
      <c r="U2201" s="111"/>
      <c r="V2201" s="111"/>
      <c r="W2201" s="111"/>
      <c r="X2201" s="111"/>
      <c r="Y2201" s="111"/>
      <c r="Z2201" s="111" t="s">
        <v>15249</v>
      </c>
      <c r="AA2201" s="124">
        <f>IF(Projects!$AI2201="Electrolysis",
AB2201*VLOOKUP(G2201,ElectrolysisConvF,3,FALSE),
"")</f>
        <v>519.6783962</v>
      </c>
      <c r="AB2201" s="125">
        <f t="shared" si="414"/>
        <v>115484.088</v>
      </c>
      <c r="AC2201" s="126">
        <f>400*3/17/0.98/Projects!$AJ2201</f>
        <v>90.03601441</v>
      </c>
      <c r="AD2201" s="125"/>
      <c r="AE2201" s="125">
        <f t="shared" si="401"/>
        <v>115484.088</v>
      </c>
      <c r="AF2201" s="127" t="s">
        <v>15250</v>
      </c>
      <c r="AG2201" s="127">
        <v>50.2534908632488</v>
      </c>
      <c r="AH2201" s="127">
        <v>-66.3511994627657</v>
      </c>
      <c r="AI2201" s="115" t="s">
        <v>12383</v>
      </c>
      <c r="AJ2201" s="116">
        <v>0.8</v>
      </c>
      <c r="AK2201" s="117"/>
      <c r="AL2201" s="117"/>
      <c r="AM2201" s="117"/>
      <c r="AN2201" s="117"/>
      <c r="AO2201" s="117"/>
    </row>
    <row r="2202" ht="34.5" customHeight="1">
      <c r="A2202" s="111">
        <v>2919.0</v>
      </c>
      <c r="B2202" s="111" t="s">
        <v>10204</v>
      </c>
      <c r="C2202" s="111" t="s">
        <v>8001</v>
      </c>
      <c r="D2202" s="111">
        <v>2025.0</v>
      </c>
      <c r="E2202" s="111"/>
      <c r="F2202" s="111" t="s">
        <v>12399</v>
      </c>
      <c r="G2202" s="111" t="s">
        <v>12381</v>
      </c>
      <c r="H2202" s="111" t="s">
        <v>12230</v>
      </c>
      <c r="I2202" s="111" t="s">
        <v>12287</v>
      </c>
      <c r="J2202" s="111"/>
      <c r="K2202" s="111" t="s">
        <v>12415</v>
      </c>
      <c r="L2202" s="111"/>
      <c r="M2202" s="111"/>
      <c r="N2202" s="111">
        <v>1.0</v>
      </c>
      <c r="O2202" s="111"/>
      <c r="P2202" s="111"/>
      <c r="Q2202" s="111"/>
      <c r="R2202" s="111"/>
      <c r="S2202" s="111"/>
      <c r="T2202" s="111"/>
      <c r="U2202" s="111"/>
      <c r="V2202" s="111"/>
      <c r="W2202" s="111"/>
      <c r="X2202" s="111"/>
      <c r="Y2202" s="111"/>
      <c r="Z2202" s="111" t="s">
        <v>15251</v>
      </c>
      <c r="AA2202" s="124">
        <f>IF(Projects!$AI2202="Electrolysis",
AB2202*VLOOKUP(G2202,ElectrolysisConvF,3,FALSE),
"")</f>
        <v>662.5915807</v>
      </c>
      <c r="AB2202" s="125">
        <f t="shared" si="414"/>
        <v>147242.5735</v>
      </c>
      <c r="AC2202" s="126">
        <f>(600*0.191327)</f>
        <v>114.7962</v>
      </c>
      <c r="AD2202" s="125"/>
      <c r="AE2202" s="125">
        <f t="shared" si="401"/>
        <v>147242.5735</v>
      </c>
      <c r="AF2202" s="127" t="s">
        <v>15252</v>
      </c>
      <c r="AG2202" s="127">
        <v>42.2230853192098</v>
      </c>
      <c r="AH2202" s="127">
        <v>119.008006884662</v>
      </c>
      <c r="AI2202" s="115" t="s">
        <v>12383</v>
      </c>
      <c r="AJ2202" s="116">
        <v>0.57</v>
      </c>
      <c r="AK2202" s="117"/>
      <c r="AL2202" s="117"/>
      <c r="AM2202" s="117"/>
      <c r="AN2202" s="117"/>
      <c r="AO2202" s="117"/>
    </row>
    <row r="2203" ht="34.5" customHeight="1">
      <c r="A2203" s="111">
        <v>2920.0</v>
      </c>
      <c r="B2203" s="111" t="s">
        <v>10205</v>
      </c>
      <c r="C2203" s="111" t="s">
        <v>8001</v>
      </c>
      <c r="D2203" s="111"/>
      <c r="E2203" s="111"/>
      <c r="F2203" s="111" t="s">
        <v>12397</v>
      </c>
      <c r="G2203" s="111" t="s">
        <v>12381</v>
      </c>
      <c r="H2203" s="111" t="s">
        <v>12230</v>
      </c>
      <c r="I2203" s="111" t="s">
        <v>12287</v>
      </c>
      <c r="J2203" s="111"/>
      <c r="K2203" s="111" t="s">
        <v>12415</v>
      </c>
      <c r="L2203" s="111"/>
      <c r="M2203" s="111"/>
      <c r="N2203" s="111">
        <v>1.0</v>
      </c>
      <c r="O2203" s="111"/>
      <c r="P2203" s="111"/>
      <c r="Q2203" s="111"/>
      <c r="R2203" s="111"/>
      <c r="S2203" s="111"/>
      <c r="T2203" s="111"/>
      <c r="U2203" s="111"/>
      <c r="V2203" s="111"/>
      <c r="W2203" s="111"/>
      <c r="X2203" s="111"/>
      <c r="Y2203" s="111"/>
      <c r="Z2203" s="111" t="s">
        <v>15193</v>
      </c>
      <c r="AA2203" s="124">
        <f>IF(Projects!$AI2203="Electrolysis",
AB2203*VLOOKUP(G2203,ElectrolysisConvF,3,FALSE),
"")</f>
        <v>441.7277205</v>
      </c>
      <c r="AB2203" s="125">
        <f t="shared" si="414"/>
        <v>98161.71566</v>
      </c>
      <c r="AC2203" s="126">
        <f>(400*0.191327)</f>
        <v>76.5308</v>
      </c>
      <c r="AD2203" s="125"/>
      <c r="AE2203" s="125">
        <f t="shared" si="401"/>
        <v>98161.71566</v>
      </c>
      <c r="AF2203" s="127" t="s">
        <v>15252</v>
      </c>
      <c r="AG2203" s="127">
        <v>42.2230853192098</v>
      </c>
      <c r="AH2203" s="127">
        <v>119.008006884662</v>
      </c>
      <c r="AI2203" s="115" t="s">
        <v>12383</v>
      </c>
      <c r="AJ2203" s="116">
        <v>0.57</v>
      </c>
      <c r="AK2203" s="117"/>
      <c r="AL2203" s="117"/>
      <c r="AM2203" s="117"/>
      <c r="AN2203" s="117"/>
      <c r="AO2203" s="117"/>
    </row>
    <row r="2204" ht="34.5" customHeight="1">
      <c r="A2204" s="111">
        <v>2921.0</v>
      </c>
      <c r="B2204" s="111" t="s">
        <v>10206</v>
      </c>
      <c r="C2204" s="111" t="s">
        <v>8001</v>
      </c>
      <c r="D2204" s="111">
        <v>2027.0</v>
      </c>
      <c r="E2204" s="111"/>
      <c r="F2204" s="111" t="s">
        <v>12399</v>
      </c>
      <c r="G2204" s="111" t="s">
        <v>12381</v>
      </c>
      <c r="H2204" s="111" t="s">
        <v>12230</v>
      </c>
      <c r="I2204" s="111" t="s">
        <v>12394</v>
      </c>
      <c r="J2204" s="111" t="s">
        <v>12295</v>
      </c>
      <c r="K2204" s="111" t="s">
        <v>12415</v>
      </c>
      <c r="L2204" s="111"/>
      <c r="M2204" s="111"/>
      <c r="N2204" s="111">
        <v>1.0</v>
      </c>
      <c r="O2204" s="111"/>
      <c r="P2204" s="111"/>
      <c r="Q2204" s="111"/>
      <c r="R2204" s="111"/>
      <c r="S2204" s="111"/>
      <c r="T2204" s="111"/>
      <c r="U2204" s="111"/>
      <c r="V2204" s="111"/>
      <c r="W2204" s="111"/>
      <c r="X2204" s="111"/>
      <c r="Y2204" s="111"/>
      <c r="Z2204" s="111" t="s">
        <v>15253</v>
      </c>
      <c r="AA2204" s="124">
        <f>IF(Projects!$AI2204="Electrolysis",
AB2204*VLOOKUP(G2204,ElectrolysisConvF,3,FALSE),
"")</f>
        <v>773.0235109</v>
      </c>
      <c r="AB2204" s="125">
        <f t="shared" si="414"/>
        <v>171783.0024</v>
      </c>
      <c r="AC2204" s="126">
        <f>(700*0.191327)</f>
        <v>133.9289</v>
      </c>
      <c r="AD2204" s="125"/>
      <c r="AE2204" s="125">
        <f t="shared" si="401"/>
        <v>171783.0024</v>
      </c>
      <c r="AF2204" s="127" t="s">
        <v>15252</v>
      </c>
      <c r="AG2204" s="127">
        <v>39.3255179900624</v>
      </c>
      <c r="AH2204" s="127">
        <v>107.758773142999</v>
      </c>
      <c r="AI2204" s="115" t="s">
        <v>12383</v>
      </c>
      <c r="AJ2204" s="116">
        <v>0.5</v>
      </c>
      <c r="AK2204" s="117"/>
      <c r="AL2204" s="117"/>
      <c r="AM2204" s="117"/>
      <c r="AN2204" s="117"/>
      <c r="AO2204" s="117"/>
    </row>
    <row r="2205" ht="34.5" customHeight="1">
      <c r="A2205" s="111">
        <v>2922.0</v>
      </c>
      <c r="B2205" s="111" t="s">
        <v>10207</v>
      </c>
      <c r="C2205" s="111" t="s">
        <v>8001</v>
      </c>
      <c r="D2205" s="111"/>
      <c r="E2205" s="111"/>
      <c r="F2205" s="111" t="s">
        <v>12399</v>
      </c>
      <c r="G2205" s="111" t="s">
        <v>12381</v>
      </c>
      <c r="H2205" s="111" t="s">
        <v>12230</v>
      </c>
      <c r="I2205" s="111" t="s">
        <v>12287</v>
      </c>
      <c r="J2205" s="111"/>
      <c r="K2205" s="111" t="s">
        <v>12415</v>
      </c>
      <c r="L2205" s="111"/>
      <c r="M2205" s="111"/>
      <c r="N2205" s="111">
        <v>1.0</v>
      </c>
      <c r="O2205" s="111"/>
      <c r="P2205" s="111"/>
      <c r="Q2205" s="111"/>
      <c r="R2205" s="111"/>
      <c r="S2205" s="111"/>
      <c r="T2205" s="111"/>
      <c r="U2205" s="111"/>
      <c r="V2205" s="111"/>
      <c r="W2205" s="111"/>
      <c r="X2205" s="111"/>
      <c r="Y2205" s="111"/>
      <c r="Z2205" s="111" t="s">
        <v>15254</v>
      </c>
      <c r="AA2205" s="124">
        <f>IF(Projects!$AI2205="Electrolysis",
AB2205*VLOOKUP(G2205,ElectrolysisConvF,3,FALSE),
"")</f>
        <v>372.7077642</v>
      </c>
      <c r="AB2205" s="125">
        <f t="shared" si="414"/>
        <v>82823.94759</v>
      </c>
      <c r="AC2205" s="126">
        <f>(337.5*0.191327)</f>
        <v>64.5728625</v>
      </c>
      <c r="AD2205" s="125"/>
      <c r="AE2205" s="125">
        <f t="shared" si="401"/>
        <v>82823.94759</v>
      </c>
      <c r="AF2205" s="127" t="s">
        <v>15255</v>
      </c>
      <c r="AG2205" s="127">
        <v>39.7688254984121</v>
      </c>
      <c r="AH2205" s="127">
        <v>109.742352188501</v>
      </c>
      <c r="AI2205" s="115" t="s">
        <v>12383</v>
      </c>
      <c r="AJ2205" s="116">
        <v>0.57</v>
      </c>
      <c r="AK2205" s="117"/>
      <c r="AL2205" s="117"/>
      <c r="AM2205" s="117"/>
      <c r="AN2205" s="117"/>
      <c r="AO2205" s="117"/>
    </row>
    <row r="2206" ht="34.5" customHeight="1">
      <c r="A2206" s="111">
        <v>2923.0</v>
      </c>
      <c r="B2206" s="111" t="s">
        <v>10208</v>
      </c>
      <c r="C2206" s="111" t="s">
        <v>8001</v>
      </c>
      <c r="D2206" s="111"/>
      <c r="E2206" s="111"/>
      <c r="F2206" s="111" t="s">
        <v>12399</v>
      </c>
      <c r="G2206" s="111" t="s">
        <v>12381</v>
      </c>
      <c r="H2206" s="111" t="s">
        <v>12230</v>
      </c>
      <c r="I2206" s="111" t="s">
        <v>12287</v>
      </c>
      <c r="J2206" s="111"/>
      <c r="K2206" s="111" t="s">
        <v>12415</v>
      </c>
      <c r="L2206" s="111"/>
      <c r="M2206" s="111"/>
      <c r="N2206" s="111">
        <v>1.0</v>
      </c>
      <c r="O2206" s="111"/>
      <c r="P2206" s="111"/>
      <c r="Q2206" s="111"/>
      <c r="R2206" s="111"/>
      <c r="S2206" s="111"/>
      <c r="T2206" s="111"/>
      <c r="U2206" s="111"/>
      <c r="V2206" s="111"/>
      <c r="W2206" s="111"/>
      <c r="X2206" s="111"/>
      <c r="Y2206" s="111"/>
      <c r="Z2206" s="111" t="s">
        <v>15248</v>
      </c>
      <c r="AA2206" s="124">
        <f>IF(Projects!$AI2206="Electrolysis",
AB2206*VLOOKUP(G2206,ElectrolysisConvF,3,FALSE),
"")</f>
        <v>541.1164576</v>
      </c>
      <c r="AB2206" s="125">
        <f t="shared" si="414"/>
        <v>120248.1017</v>
      </c>
      <c r="AC2206" s="126">
        <f>(490*0.191327)</f>
        <v>93.75023</v>
      </c>
      <c r="AD2206" s="125"/>
      <c r="AE2206" s="125">
        <f t="shared" si="401"/>
        <v>120248.1017</v>
      </c>
      <c r="AF2206" s="127" t="s">
        <v>15256</v>
      </c>
      <c r="AG2206" s="127">
        <v>38.9172372691748</v>
      </c>
      <c r="AH2206" s="127">
        <v>105.293768450861</v>
      </c>
      <c r="AI2206" s="115" t="s">
        <v>12383</v>
      </c>
      <c r="AJ2206" s="116">
        <v>0.57</v>
      </c>
      <c r="AK2206" s="117"/>
      <c r="AL2206" s="117"/>
      <c r="AM2206" s="117"/>
      <c r="AN2206" s="117"/>
      <c r="AO2206" s="117"/>
    </row>
    <row r="2207" ht="34.5" customHeight="1">
      <c r="A2207" s="111">
        <v>2924.0</v>
      </c>
      <c r="B2207" s="111" t="s">
        <v>10209</v>
      </c>
      <c r="C2207" s="111" t="s">
        <v>8001</v>
      </c>
      <c r="D2207" s="111"/>
      <c r="E2207" s="111"/>
      <c r="F2207" s="111" t="s">
        <v>12397</v>
      </c>
      <c r="G2207" s="111" t="s">
        <v>12381</v>
      </c>
      <c r="H2207" s="111" t="s">
        <v>12230</v>
      </c>
      <c r="I2207" s="111" t="s">
        <v>12287</v>
      </c>
      <c r="J2207" s="111"/>
      <c r="K2207" s="111" t="s">
        <v>12415</v>
      </c>
      <c r="L2207" s="111"/>
      <c r="M2207" s="111"/>
      <c r="N2207" s="111">
        <v>1.0</v>
      </c>
      <c r="O2207" s="111"/>
      <c r="P2207" s="111"/>
      <c r="Q2207" s="111"/>
      <c r="R2207" s="111"/>
      <c r="S2207" s="111"/>
      <c r="T2207" s="111"/>
      <c r="U2207" s="111"/>
      <c r="V2207" s="111"/>
      <c r="W2207" s="111"/>
      <c r="X2207" s="111"/>
      <c r="Y2207" s="111"/>
      <c r="Z2207" s="111" t="s">
        <v>15257</v>
      </c>
      <c r="AA2207" s="124">
        <f>IF(Projects!$AI2207="Electrolysis",
AB2207*VLOOKUP(G2207,ElectrolysisConvF,3,FALSE),
"")</f>
        <v>4969.436855</v>
      </c>
      <c r="AB2207" s="125">
        <f t="shared" si="414"/>
        <v>1104319.301</v>
      </c>
      <c r="AC2207" s="126">
        <f>(4500*0.191327)</f>
        <v>860.9715</v>
      </c>
      <c r="AD2207" s="125"/>
      <c r="AE2207" s="125">
        <f t="shared" si="401"/>
        <v>1104319.301</v>
      </c>
      <c r="AF2207" s="127" t="s">
        <v>15258</v>
      </c>
      <c r="AG2207" s="127">
        <v>38.9172372691748</v>
      </c>
      <c r="AH2207" s="127">
        <v>105.293768450861</v>
      </c>
      <c r="AI2207" s="115" t="s">
        <v>12383</v>
      </c>
      <c r="AJ2207" s="116">
        <v>0.57</v>
      </c>
      <c r="AK2207" s="117"/>
      <c r="AL2207" s="117"/>
      <c r="AM2207" s="117"/>
      <c r="AN2207" s="117"/>
      <c r="AO2207" s="117"/>
    </row>
    <row r="2208" ht="34.5" customHeight="1">
      <c r="A2208" s="111">
        <v>2925.0</v>
      </c>
      <c r="B2208" s="111" t="s">
        <v>10210</v>
      </c>
      <c r="C2208" s="111" t="s">
        <v>8026</v>
      </c>
      <c r="D2208" s="111"/>
      <c r="E2208" s="111"/>
      <c r="F2208" s="111" t="s">
        <v>12397</v>
      </c>
      <c r="G2208" s="111" t="s">
        <v>12381</v>
      </c>
      <c r="H2208" s="111" t="s">
        <v>12230</v>
      </c>
      <c r="I2208" s="111" t="s">
        <v>12287</v>
      </c>
      <c r="J2208" s="111"/>
      <c r="K2208" s="111" t="s">
        <v>12415</v>
      </c>
      <c r="L2208" s="111"/>
      <c r="M2208" s="111"/>
      <c r="N2208" s="111">
        <v>1.0</v>
      </c>
      <c r="O2208" s="111"/>
      <c r="P2208" s="111"/>
      <c r="Q2208" s="111">
        <v>1.0</v>
      </c>
      <c r="R2208" s="111"/>
      <c r="S2208" s="111"/>
      <c r="T2208" s="111"/>
      <c r="U2208" s="111"/>
      <c r="V2208" s="111"/>
      <c r="W2208" s="111"/>
      <c r="X2208" s="111"/>
      <c r="Y2208" s="111"/>
      <c r="Z2208" s="111" t="s">
        <v>15191</v>
      </c>
      <c r="AA2208" s="124">
        <f>IF(Projects!$AI2208="Electrolysis",
AB2208*VLOOKUP(G2208,ElectrolysisConvF,3,FALSE),
"")</f>
        <v>110.4319301</v>
      </c>
      <c r="AB2208" s="125">
        <f t="shared" si="414"/>
        <v>24540.42892</v>
      </c>
      <c r="AC2208" s="126">
        <f>(100*0.191327)</f>
        <v>19.1327</v>
      </c>
      <c r="AD2208" s="125"/>
      <c r="AE2208" s="125">
        <f t="shared" si="401"/>
        <v>24540.42892</v>
      </c>
      <c r="AF2208" s="127" t="s">
        <v>15259</v>
      </c>
      <c r="AG2208" s="127">
        <v>64.1431273175954</v>
      </c>
      <c r="AH2208" s="127">
        <v>25.3466412638714</v>
      </c>
      <c r="AI2208" s="115" t="s">
        <v>12383</v>
      </c>
      <c r="AJ2208" s="116">
        <v>0.57</v>
      </c>
      <c r="AK2208" s="117"/>
      <c r="AL2208" s="117"/>
      <c r="AM2208" s="117"/>
      <c r="AN2208" s="117"/>
      <c r="AO2208" s="117"/>
    </row>
    <row r="2209" ht="34.5" customHeight="1">
      <c r="A2209" s="111">
        <v>2926.0</v>
      </c>
      <c r="B2209" s="111" t="s">
        <v>10211</v>
      </c>
      <c r="C2209" s="111" t="s">
        <v>8600</v>
      </c>
      <c r="D2209" s="111">
        <v>2027.0</v>
      </c>
      <c r="E2209" s="111"/>
      <c r="F2209" s="111" t="s">
        <v>12397</v>
      </c>
      <c r="G2209" s="111" t="s">
        <v>12381</v>
      </c>
      <c r="H2209" s="111" t="s">
        <v>12230</v>
      </c>
      <c r="I2209" s="111" t="s">
        <v>12287</v>
      </c>
      <c r="J2209" s="111"/>
      <c r="K2209" s="111" t="s">
        <v>12415</v>
      </c>
      <c r="L2209" s="111"/>
      <c r="M2209" s="111"/>
      <c r="N2209" s="111">
        <v>1.0</v>
      </c>
      <c r="O2209" s="111"/>
      <c r="P2209" s="111"/>
      <c r="Q2209" s="111"/>
      <c r="R2209" s="111"/>
      <c r="S2209" s="111"/>
      <c r="T2209" s="111"/>
      <c r="U2209" s="111"/>
      <c r="V2209" s="111"/>
      <c r="W2209" s="111"/>
      <c r="X2209" s="111"/>
      <c r="Y2209" s="111"/>
      <c r="Z2209" s="111" t="s">
        <v>14911</v>
      </c>
      <c r="AA2209" s="124">
        <f>IF(Projects!$AI2209="Electrolysis",
AB2209*VLOOKUP(G2209,ElectrolysisConvF,3,FALSE),
"")</f>
        <v>331.2957904</v>
      </c>
      <c r="AB2209" s="125">
        <f t="shared" si="414"/>
        <v>73621.28675</v>
      </c>
      <c r="AC2209" s="126">
        <f>300*0.191327</f>
        <v>57.3981</v>
      </c>
      <c r="AD2209" s="125"/>
      <c r="AE2209" s="125">
        <f t="shared" si="401"/>
        <v>73621.28675</v>
      </c>
      <c r="AF2209" s="127" t="s">
        <v>15260</v>
      </c>
      <c r="AG2209" s="127">
        <v>25.6973035165956</v>
      </c>
      <c r="AH2209" s="127">
        <v>-109.07430968339</v>
      </c>
      <c r="AI2209" s="115" t="s">
        <v>12383</v>
      </c>
      <c r="AJ2209" s="116">
        <v>0.57</v>
      </c>
      <c r="AK2209" s="117"/>
      <c r="AL2209" s="117"/>
      <c r="AM2209" s="117"/>
      <c r="AN2209" s="117"/>
      <c r="AO2209" s="117"/>
    </row>
    <row r="2210" ht="34.5" customHeight="1">
      <c r="A2210" s="111">
        <v>2927.0</v>
      </c>
      <c r="B2210" s="111" t="s">
        <v>10212</v>
      </c>
      <c r="C2210" s="111" t="s">
        <v>8240</v>
      </c>
      <c r="D2210" s="111"/>
      <c r="E2210" s="111"/>
      <c r="F2210" s="111" t="s">
        <v>12418</v>
      </c>
      <c r="G2210" s="111" t="s">
        <v>12381</v>
      </c>
      <c r="H2210" s="111" t="s">
        <v>12230</v>
      </c>
      <c r="I2210" s="111" t="s">
        <v>12287</v>
      </c>
      <c r="J2210" s="111"/>
      <c r="K2210" s="111" t="s">
        <v>12415</v>
      </c>
      <c r="L2210" s="111"/>
      <c r="M2210" s="111"/>
      <c r="N2210" s="111">
        <v>1.0</v>
      </c>
      <c r="O2210" s="111"/>
      <c r="P2210" s="111"/>
      <c r="Q2210" s="111"/>
      <c r="R2210" s="111"/>
      <c r="S2210" s="111"/>
      <c r="T2210" s="111"/>
      <c r="U2210" s="111"/>
      <c r="V2210" s="111"/>
      <c r="W2210" s="111"/>
      <c r="X2210" s="111"/>
      <c r="Y2210" s="111"/>
      <c r="Z2210" s="111" t="s">
        <v>15261</v>
      </c>
      <c r="AA2210" s="124">
        <f>IF(Projects!$AI2210="Electrolysis",
AB2210*VLOOKUP(G2210,ElectrolysisConvF,3,FALSE),
"")</f>
        <v>4.836918539</v>
      </c>
      <c r="AB2210" s="125">
        <f t="shared" si="414"/>
        <v>1074.870787</v>
      </c>
      <c r="AC2210" s="126">
        <f>(12*365/1000*0.191327)</f>
        <v>0.83801226</v>
      </c>
      <c r="AD2210" s="125"/>
      <c r="AE2210" s="125">
        <f t="shared" si="401"/>
        <v>1074.870787</v>
      </c>
      <c r="AF2210" s="127" t="s">
        <v>15262</v>
      </c>
      <c r="AG2210" s="127">
        <v>28.31</v>
      </c>
      <c r="AH2210" s="127">
        <v>34.85</v>
      </c>
      <c r="AI2210" s="115" t="s">
        <v>12383</v>
      </c>
      <c r="AJ2210" s="116">
        <v>0.57</v>
      </c>
      <c r="AK2210" s="117"/>
      <c r="AL2210" s="117"/>
      <c r="AM2210" s="117"/>
      <c r="AN2210" s="117"/>
      <c r="AO2210" s="117"/>
    </row>
    <row r="2211" ht="34.5" customHeight="1">
      <c r="A2211" s="111">
        <v>2928.0</v>
      </c>
      <c r="B2211" s="111" t="s">
        <v>10213</v>
      </c>
      <c r="C2211" s="111" t="s">
        <v>7974</v>
      </c>
      <c r="D2211" s="111"/>
      <c r="E2211" s="111"/>
      <c r="F2211" s="111" t="s">
        <v>12397</v>
      </c>
      <c r="G2211" s="111" t="s">
        <v>12381</v>
      </c>
      <c r="H2211" s="111" t="s">
        <v>12230</v>
      </c>
      <c r="I2211" s="111" t="s">
        <v>12287</v>
      </c>
      <c r="J2211" s="111"/>
      <c r="K2211" s="111" t="s">
        <v>12415</v>
      </c>
      <c r="L2211" s="111"/>
      <c r="M2211" s="111"/>
      <c r="N2211" s="111">
        <v>1.0</v>
      </c>
      <c r="O2211" s="111"/>
      <c r="P2211" s="111"/>
      <c r="Q2211" s="111"/>
      <c r="R2211" s="111"/>
      <c r="S2211" s="111"/>
      <c r="T2211" s="111"/>
      <c r="U2211" s="111"/>
      <c r="V2211" s="111"/>
      <c r="W2211" s="111"/>
      <c r="X2211" s="111"/>
      <c r="Y2211" s="111"/>
      <c r="Z2211" s="111" t="s">
        <v>15191</v>
      </c>
      <c r="AA2211" s="124">
        <f>IF(Projects!$AI2211="Electrolysis",
AB2211*VLOOKUP(G2211,ElectrolysisConvF,3,FALSE),
"")</f>
        <v>110.4319301</v>
      </c>
      <c r="AB2211" s="125">
        <f t="shared" si="414"/>
        <v>24540.42892</v>
      </c>
      <c r="AC2211" s="126">
        <f>(100*0.191327)</f>
        <v>19.1327</v>
      </c>
      <c r="AD2211" s="125"/>
      <c r="AE2211" s="125">
        <f t="shared" si="401"/>
        <v>24540.42892</v>
      </c>
      <c r="AF2211" s="127" t="s">
        <v>15263</v>
      </c>
      <c r="AG2211" s="127">
        <v>62.9248721891407</v>
      </c>
      <c r="AH2211" s="127">
        <v>17.8416101962347</v>
      </c>
      <c r="AI2211" s="115" t="s">
        <v>12383</v>
      </c>
      <c r="AJ2211" s="116">
        <v>0.57</v>
      </c>
      <c r="AK2211" s="117"/>
      <c r="AL2211" s="117"/>
      <c r="AM2211" s="117"/>
      <c r="AN2211" s="117"/>
      <c r="AO2211" s="117"/>
    </row>
    <row r="2212" ht="34.5" customHeight="1">
      <c r="A2212" s="111">
        <v>2929.0</v>
      </c>
      <c r="B2212" s="111" t="s">
        <v>10214</v>
      </c>
      <c r="C2212" s="111" t="s">
        <v>8590</v>
      </c>
      <c r="D2212" s="111">
        <v>2030.0</v>
      </c>
      <c r="E2212" s="111"/>
      <c r="F2212" s="111" t="s">
        <v>12397</v>
      </c>
      <c r="G2212" s="111" t="s">
        <v>12381</v>
      </c>
      <c r="H2212" s="111" t="s">
        <v>12230</v>
      </c>
      <c r="I2212" s="111" t="s">
        <v>12287</v>
      </c>
      <c r="J2212" s="111"/>
      <c r="K2212" s="111" t="s">
        <v>174</v>
      </c>
      <c r="L2212" s="111"/>
      <c r="M2212" s="111">
        <v>1.0</v>
      </c>
      <c r="N2212" s="111"/>
      <c r="O2212" s="111"/>
      <c r="P2212" s="111"/>
      <c r="Q2212" s="111"/>
      <c r="R2212" s="111"/>
      <c r="S2212" s="111"/>
      <c r="T2212" s="111"/>
      <c r="U2212" s="111"/>
      <c r="V2212" s="111"/>
      <c r="W2212" s="111"/>
      <c r="X2212" s="111"/>
      <c r="Y2212" s="111"/>
      <c r="Z2212" s="111" t="s">
        <v>15264</v>
      </c>
      <c r="AA2212" s="124">
        <v>2000.0</v>
      </c>
      <c r="AB2212" s="125">
        <f>IF(Projects!$AI2212="Electrolysis",
AA2212/VLOOKUP(G2212,ElectrolysisConvF,3,FALSE),
AC2212*10^6/(H2dens*HoursInYear))</f>
        <v>444444.4444</v>
      </c>
      <c r="AC2212" s="126">
        <f>AB2212*H2dens*HoursInYear/10^6</f>
        <v>346.5066667</v>
      </c>
      <c r="AD2212" s="125"/>
      <c r="AE2212" s="125">
        <f t="shared" si="401"/>
        <v>444444.4444</v>
      </c>
      <c r="AF2212" s="127" t="s">
        <v>15265</v>
      </c>
      <c r="AG2212" s="127">
        <v>-3.53</v>
      </c>
      <c r="AH2212" s="127">
        <v>-38.79</v>
      </c>
      <c r="AI2212" s="115" t="s">
        <v>12383</v>
      </c>
      <c r="AJ2212" s="116">
        <v>0.57</v>
      </c>
      <c r="AK2212" s="117"/>
      <c r="AL2212" s="117"/>
      <c r="AM2212" s="117"/>
      <c r="AN2212" s="117"/>
      <c r="AO2212" s="117"/>
    </row>
    <row r="2213" ht="34.5" customHeight="1">
      <c r="A2213" s="111">
        <v>2930.0</v>
      </c>
      <c r="B2213" s="111" t="s">
        <v>10215</v>
      </c>
      <c r="C2213" s="111" t="s">
        <v>8071</v>
      </c>
      <c r="D2213" s="111">
        <v>2027.0</v>
      </c>
      <c r="E2213" s="111"/>
      <c r="F2213" s="111" t="s">
        <v>12397</v>
      </c>
      <c r="G2213" s="111" t="s">
        <v>12381</v>
      </c>
      <c r="H2213" s="111" t="s">
        <v>12230</v>
      </c>
      <c r="I2213" s="111" t="s">
        <v>12287</v>
      </c>
      <c r="J2213" s="111"/>
      <c r="K2213" s="111" t="s">
        <v>174</v>
      </c>
      <c r="L2213" s="111"/>
      <c r="M2213" s="111">
        <v>1.0</v>
      </c>
      <c r="N2213" s="111"/>
      <c r="O2213" s="111"/>
      <c r="P2213" s="111"/>
      <c r="Q2213" s="111"/>
      <c r="R2213" s="111"/>
      <c r="S2213" s="111"/>
      <c r="T2213" s="111"/>
      <c r="U2213" s="111"/>
      <c r="V2213" s="111"/>
      <c r="W2213" s="111"/>
      <c r="X2213" s="111"/>
      <c r="Y2213" s="111"/>
      <c r="Z2213" s="111" t="s">
        <v>15266</v>
      </c>
      <c r="AA2213" s="126">
        <f>IF(Projects!$AI2213="Electrolysis",
AB2213*VLOOKUP(G2213,ElectrolysisConvF,3,FALSE),
"")</f>
        <v>547.0298908</v>
      </c>
      <c r="AB2213" s="125">
        <f t="shared" ref="AB2213:AB2215" si="415">AC2213/(H2dens*HoursInYear/10^6)</f>
        <v>121562.1979</v>
      </c>
      <c r="AC2213" s="125">
        <f>(300*3/17/0.98/Projects!$AJ2213)</f>
        <v>94.77475201</v>
      </c>
      <c r="AD2213" s="125"/>
      <c r="AE2213" s="125">
        <f t="shared" si="401"/>
        <v>121562.1979</v>
      </c>
      <c r="AF2213" s="127" t="s">
        <v>15267</v>
      </c>
      <c r="AG2213" s="127">
        <v>-23.4737506788131</v>
      </c>
      <c r="AH2213" s="127">
        <v>-70.3886912879207</v>
      </c>
      <c r="AI2213" s="115" t="s">
        <v>12383</v>
      </c>
      <c r="AJ2213" s="116">
        <v>0.57</v>
      </c>
      <c r="AK2213" s="117"/>
      <c r="AL2213" s="117"/>
      <c r="AM2213" s="117"/>
      <c r="AN2213" s="117"/>
      <c r="AO2213" s="117"/>
    </row>
    <row r="2214" ht="34.5" customHeight="1">
      <c r="A2214" s="111">
        <v>2931.0</v>
      </c>
      <c r="B2214" s="111" t="s">
        <v>10216</v>
      </c>
      <c r="C2214" s="111" t="s">
        <v>8071</v>
      </c>
      <c r="D2214" s="111"/>
      <c r="E2214" s="111"/>
      <c r="F2214" s="111" t="s">
        <v>12397</v>
      </c>
      <c r="G2214" s="111" t="s">
        <v>12381</v>
      </c>
      <c r="H2214" s="111" t="s">
        <v>12230</v>
      </c>
      <c r="I2214" s="111" t="s">
        <v>12287</v>
      </c>
      <c r="J2214" s="111"/>
      <c r="K2214" s="111" t="s">
        <v>174</v>
      </c>
      <c r="L2214" s="111"/>
      <c r="M2214" s="111">
        <v>1.0</v>
      </c>
      <c r="N2214" s="111"/>
      <c r="O2214" s="111"/>
      <c r="P2214" s="111"/>
      <c r="Q2214" s="111"/>
      <c r="R2214" s="111"/>
      <c r="S2214" s="111"/>
      <c r="T2214" s="111"/>
      <c r="U2214" s="111"/>
      <c r="V2214" s="111"/>
      <c r="W2214" s="111"/>
      <c r="X2214" s="111"/>
      <c r="Y2214" s="111"/>
      <c r="Z2214" s="111" t="s">
        <v>15268</v>
      </c>
      <c r="AA2214" s="126">
        <f>IF(Projects!$AI2214="Electrolysis",
AB2214*VLOOKUP(G2214,ElectrolysisConvF,3,FALSE),
"")</f>
        <v>547.0298908</v>
      </c>
      <c r="AB2214" s="125">
        <f t="shared" si="415"/>
        <v>121562.1979</v>
      </c>
      <c r="AC2214" s="125">
        <f>(300*3/17/0.98/Projects!$AJ2214)</f>
        <v>94.77475201</v>
      </c>
      <c r="AD2214" s="125"/>
      <c r="AE2214" s="125">
        <f t="shared" si="401"/>
        <v>121562.1979</v>
      </c>
      <c r="AF2214" s="127" t="s">
        <v>15267</v>
      </c>
      <c r="AG2214" s="127">
        <v>-23.4737506788131</v>
      </c>
      <c r="AH2214" s="127">
        <v>-70.3886912879207</v>
      </c>
      <c r="AI2214" s="115" t="s">
        <v>12383</v>
      </c>
      <c r="AJ2214" s="116">
        <v>0.57</v>
      </c>
      <c r="AK2214" s="117"/>
      <c r="AL2214" s="117"/>
      <c r="AM2214" s="117"/>
      <c r="AN2214" s="117"/>
      <c r="AO2214" s="117"/>
    </row>
    <row r="2215" ht="34.5" customHeight="1">
      <c r="A2215" s="111">
        <v>2932.0</v>
      </c>
      <c r="B2215" s="111" t="s">
        <v>10217</v>
      </c>
      <c r="C2215" s="111" t="s">
        <v>8713</v>
      </c>
      <c r="D2215" s="111">
        <v>2032.0</v>
      </c>
      <c r="E2215" s="111"/>
      <c r="F2215" s="111" t="s">
        <v>12397</v>
      </c>
      <c r="G2215" s="111" t="s">
        <v>12381</v>
      </c>
      <c r="H2215" s="111" t="s">
        <v>12230</v>
      </c>
      <c r="I2215" s="111" t="s">
        <v>12394</v>
      </c>
      <c r="J2215" s="111" t="s">
        <v>12296</v>
      </c>
      <c r="K2215" s="111" t="s">
        <v>174</v>
      </c>
      <c r="L2215" s="111"/>
      <c r="M2215" s="111">
        <v>1.0</v>
      </c>
      <c r="N2215" s="111"/>
      <c r="O2215" s="111"/>
      <c r="P2215" s="111"/>
      <c r="Q2215" s="111"/>
      <c r="R2215" s="111"/>
      <c r="S2215" s="111"/>
      <c r="T2215" s="111"/>
      <c r="U2215" s="111"/>
      <c r="V2215" s="111"/>
      <c r="W2215" s="111"/>
      <c r="X2215" s="111"/>
      <c r="Y2215" s="111"/>
      <c r="Z2215" s="111" t="s">
        <v>15269</v>
      </c>
      <c r="AA2215" s="126">
        <f>IF(Projects!$AI2215="Electrolysis",
AB2215*VLOOKUP(G2215,ElectrolysisConvF,3,FALSE),
"")</f>
        <v>2556.817709</v>
      </c>
      <c r="AB2215" s="125">
        <f t="shared" si="415"/>
        <v>568181.7132</v>
      </c>
      <c r="AC2215" s="125">
        <f>((1.65-0.42)*1000*3/17/0.98/Projects!$AJ2215)</f>
        <v>442.9771909</v>
      </c>
      <c r="AD2215" s="125"/>
      <c r="AE2215" s="125">
        <f t="shared" si="401"/>
        <v>568181.7132</v>
      </c>
      <c r="AF2215" s="127" t="s">
        <v>15270</v>
      </c>
      <c r="AG2215" s="127">
        <v>-16.4091531531236</v>
      </c>
      <c r="AH2215" s="127">
        <v>-71.5347211661349</v>
      </c>
      <c r="AI2215" s="115" t="s">
        <v>12383</v>
      </c>
      <c r="AJ2215" s="116">
        <v>0.5</v>
      </c>
      <c r="AK2215" s="117"/>
      <c r="AL2215" s="117"/>
      <c r="AM2215" s="117"/>
      <c r="AN2215" s="117"/>
      <c r="AO2215" s="117"/>
    </row>
    <row r="2216" ht="34.5" customHeight="1">
      <c r="A2216" s="111">
        <v>2933.0</v>
      </c>
      <c r="B2216" s="111" t="s">
        <v>10218</v>
      </c>
      <c r="C2216" s="111" t="s">
        <v>8600</v>
      </c>
      <c r="D2216" s="111"/>
      <c r="E2216" s="111"/>
      <c r="F2216" s="111" t="s">
        <v>12397</v>
      </c>
      <c r="G2216" s="111" t="s">
        <v>12381</v>
      </c>
      <c r="H2216" s="111" t="s">
        <v>12230</v>
      </c>
      <c r="I2216" s="111" t="s">
        <v>12287</v>
      </c>
      <c r="J2216" s="111"/>
      <c r="K2216" s="111" t="s">
        <v>12481</v>
      </c>
      <c r="L2216" s="111"/>
      <c r="M2216" s="111"/>
      <c r="N2216" s="111"/>
      <c r="O2216" s="111"/>
      <c r="P2216" s="111"/>
      <c r="Q2216" s="111"/>
      <c r="R2216" s="111"/>
      <c r="S2216" s="111"/>
      <c r="T2216" s="111"/>
      <c r="U2216" s="111"/>
      <c r="V2216" s="111"/>
      <c r="W2216" s="111"/>
      <c r="X2216" s="111"/>
      <c r="Y2216" s="111"/>
      <c r="Z2216" s="111"/>
      <c r="AA2216" s="124">
        <f>IF(OR(G2216="ALK",G2216="PEM",G2216="SOEC",G2216="Other Electrolysis"),
AB2216*VLOOKUP(G2216,ElectrolysisConvF,3,FALSE),
"")</f>
        <v>0</v>
      </c>
      <c r="AB2216" s="125"/>
      <c r="AC2216" s="125"/>
      <c r="AD2216" s="125"/>
      <c r="AE2216" s="125" t="str">
        <f t="shared" si="401"/>
        <v/>
      </c>
      <c r="AF2216" s="127" t="s">
        <v>15271</v>
      </c>
      <c r="AG2216" s="127">
        <v>17.0722725675635</v>
      </c>
      <c r="AH2216" s="127">
        <v>-96.7286404874975</v>
      </c>
      <c r="AI2216" s="115" t="s">
        <v>12383</v>
      </c>
      <c r="AJ2216" s="116">
        <v>0.57</v>
      </c>
      <c r="AK2216" s="117"/>
      <c r="AL2216" s="117"/>
      <c r="AM2216" s="117"/>
      <c r="AN2216" s="117"/>
      <c r="AO2216" s="117"/>
    </row>
    <row r="2217" ht="34.5" customHeight="1">
      <c r="A2217" s="111">
        <v>2934.0</v>
      </c>
      <c r="B2217" s="111" t="s">
        <v>10219</v>
      </c>
      <c r="C2217" s="111" t="s">
        <v>8590</v>
      </c>
      <c r="D2217" s="111"/>
      <c r="E2217" s="111"/>
      <c r="F2217" s="111" t="s">
        <v>12397</v>
      </c>
      <c r="G2217" s="111" t="s">
        <v>12381</v>
      </c>
      <c r="H2217" s="111" t="s">
        <v>12230</v>
      </c>
      <c r="I2217" s="111" t="s">
        <v>12394</v>
      </c>
      <c r="J2217" s="111" t="s">
        <v>12294</v>
      </c>
      <c r="K2217" s="111" t="s">
        <v>30</v>
      </c>
      <c r="L2217" s="111"/>
      <c r="M2217" s="111"/>
      <c r="N2217" s="111"/>
      <c r="O2217" s="111"/>
      <c r="P2217" s="111"/>
      <c r="Q2217" s="111"/>
      <c r="R2217" s="111"/>
      <c r="S2217" s="111"/>
      <c r="T2217" s="111"/>
      <c r="U2217" s="111"/>
      <c r="V2217" s="111"/>
      <c r="W2217" s="111"/>
      <c r="X2217" s="111"/>
      <c r="Y2217" s="111"/>
      <c r="Z2217" s="111"/>
      <c r="AA2217" s="124">
        <f>IF(OR(G2217="ALK",G2217="PEM",G2217="SOEC",G2217="Other Electrolysis"),
AB2217*VLOOKUP(G2217,ElectrolysisConvF,3,FALSE),
"")</f>
        <v>0</v>
      </c>
      <c r="AB2217" s="125"/>
      <c r="AC2217" s="125"/>
      <c r="AD2217" s="125"/>
      <c r="AE2217" s="125" t="str">
        <f t="shared" si="401"/>
        <v/>
      </c>
      <c r="AF2217" s="127" t="s">
        <v>15272</v>
      </c>
      <c r="AG2217" s="127">
        <v>-23.9658348972071</v>
      </c>
      <c r="AH2217" s="127">
        <v>-46.3016325683692</v>
      </c>
      <c r="AI2217" s="115" t="s">
        <v>12383</v>
      </c>
      <c r="AJ2217" s="116">
        <v>0.8</v>
      </c>
      <c r="AK2217" s="117"/>
      <c r="AL2217" s="117"/>
      <c r="AM2217" s="117"/>
      <c r="AN2217" s="117"/>
      <c r="AO2217" s="117"/>
    </row>
    <row r="2218" ht="34.5" customHeight="1">
      <c r="A2218" s="111">
        <v>2935.0</v>
      </c>
      <c r="B2218" s="111" t="s">
        <v>10220</v>
      </c>
      <c r="C2218" s="111" t="s">
        <v>8737</v>
      </c>
      <c r="D2218" s="111">
        <v>2024.0</v>
      </c>
      <c r="E2218" s="111"/>
      <c r="F2218" s="111" t="s">
        <v>12393</v>
      </c>
      <c r="G2218" s="111" t="s">
        <v>12381</v>
      </c>
      <c r="H2218" s="111" t="s">
        <v>12230</v>
      </c>
      <c r="I2218" s="111" t="s">
        <v>12394</v>
      </c>
      <c r="J2218" s="111" t="s">
        <v>12294</v>
      </c>
      <c r="K2218" s="111" t="s">
        <v>174</v>
      </c>
      <c r="L2218" s="111"/>
      <c r="M2218" s="111">
        <v>1.0</v>
      </c>
      <c r="N2218" s="111"/>
      <c r="O2218" s="111"/>
      <c r="P2218" s="111"/>
      <c r="Q2218" s="111"/>
      <c r="R2218" s="111"/>
      <c r="S2218" s="111"/>
      <c r="T2218" s="111"/>
      <c r="U2218" s="111"/>
      <c r="V2218" s="111"/>
      <c r="W2218" s="111"/>
      <c r="X2218" s="111"/>
      <c r="Y2218" s="111"/>
      <c r="Z2218" s="111" t="s">
        <v>15273</v>
      </c>
      <c r="AA2218" s="126">
        <f>IF(Projects!$AI2218="Electrolysis",
AB2218*VLOOKUP(G2218,ElectrolysisConvF,3,FALSE),
"")</f>
        <v>0.7214868401</v>
      </c>
      <c r="AB2218" s="125">
        <f t="shared" ref="AB2218:AB2220" si="416">AC2218/(H2dens*HoursInYear/10^6)</f>
        <v>160.3304089</v>
      </c>
      <c r="AC2218" s="126">
        <f>0.1/Projects!$AJ2218</f>
        <v>0.125</v>
      </c>
      <c r="AD2218" s="125"/>
      <c r="AE2218" s="125">
        <f t="shared" si="401"/>
        <v>160.3304089</v>
      </c>
      <c r="AF2218" s="127" t="s">
        <v>15274</v>
      </c>
      <c r="AG2218" s="127">
        <v>8.24730251419912</v>
      </c>
      <c r="AH2218" s="127">
        <v>-76.5802170158968</v>
      </c>
      <c r="AI2218" s="115" t="s">
        <v>12383</v>
      </c>
      <c r="AJ2218" s="116">
        <v>0.8</v>
      </c>
      <c r="AK2218" s="117"/>
      <c r="AL2218" s="117"/>
      <c r="AM2218" s="117"/>
      <c r="AN2218" s="117"/>
      <c r="AO2218" s="117"/>
    </row>
    <row r="2219" ht="34.5" customHeight="1">
      <c r="A2219" s="111">
        <v>2936.0</v>
      </c>
      <c r="B2219" s="111" t="s">
        <v>10221</v>
      </c>
      <c r="C2219" s="111" t="s">
        <v>8737</v>
      </c>
      <c r="D2219" s="111">
        <v>2027.0</v>
      </c>
      <c r="E2219" s="111"/>
      <c r="F2219" s="111" t="s">
        <v>12397</v>
      </c>
      <c r="G2219" s="111" t="s">
        <v>12381</v>
      </c>
      <c r="H2219" s="111" t="s">
        <v>12230</v>
      </c>
      <c r="I2219" s="111" t="s">
        <v>12394</v>
      </c>
      <c r="J2219" s="111" t="s">
        <v>12294</v>
      </c>
      <c r="K2219" s="111" t="s">
        <v>30</v>
      </c>
      <c r="L2219" s="111"/>
      <c r="M2219" s="111"/>
      <c r="N2219" s="111"/>
      <c r="O2219" s="111"/>
      <c r="P2219" s="111"/>
      <c r="Q2219" s="111"/>
      <c r="R2219" s="111"/>
      <c r="S2219" s="111"/>
      <c r="T2219" s="111"/>
      <c r="U2219" s="111"/>
      <c r="V2219" s="111"/>
      <c r="W2219" s="111"/>
      <c r="X2219" s="111"/>
      <c r="Y2219" s="111"/>
      <c r="Z2219" s="111" t="s">
        <v>15275</v>
      </c>
      <c r="AA2219" s="126">
        <f>IF(Projects!$AI2219="Electrolysis",
AB2219*VLOOKUP(G2219,ElectrolysisConvF,3,FALSE),
"")</f>
        <v>2.88594736</v>
      </c>
      <c r="AB2219" s="125">
        <f t="shared" si="416"/>
        <v>641.3216356</v>
      </c>
      <c r="AC2219" s="126">
        <f>0.4/Projects!$AJ2219</f>
        <v>0.5</v>
      </c>
      <c r="AD2219" s="125"/>
      <c r="AE2219" s="125">
        <f t="shared" si="401"/>
        <v>641.3216356</v>
      </c>
      <c r="AF2219" s="127" t="s">
        <v>15274</v>
      </c>
      <c r="AG2219" s="127">
        <v>8.24730251419912</v>
      </c>
      <c r="AH2219" s="127">
        <v>-76.5802170158968</v>
      </c>
      <c r="AI2219" s="115" t="s">
        <v>12383</v>
      </c>
      <c r="AJ2219" s="116">
        <v>0.8</v>
      </c>
      <c r="AK2219" s="117"/>
      <c r="AL2219" s="117"/>
      <c r="AM2219" s="117"/>
      <c r="AN2219" s="117"/>
      <c r="AO2219" s="117"/>
    </row>
    <row r="2220" ht="34.5" customHeight="1">
      <c r="A2220" s="111">
        <v>2937.0</v>
      </c>
      <c r="B2220" s="111" t="s">
        <v>10222</v>
      </c>
      <c r="C2220" s="111" t="s">
        <v>8590</v>
      </c>
      <c r="D2220" s="111">
        <v>2021.0</v>
      </c>
      <c r="E2220" s="111"/>
      <c r="F2220" s="111" t="s">
        <v>12418</v>
      </c>
      <c r="G2220" s="111" t="s">
        <v>12381</v>
      </c>
      <c r="H2220" s="111" t="s">
        <v>12230</v>
      </c>
      <c r="I2220" s="111" t="s">
        <v>12287</v>
      </c>
      <c r="J2220" s="111"/>
      <c r="K2220" s="111" t="s">
        <v>30</v>
      </c>
      <c r="L2220" s="111"/>
      <c r="M2220" s="111"/>
      <c r="N2220" s="111"/>
      <c r="O2220" s="111"/>
      <c r="P2220" s="111"/>
      <c r="Q2220" s="111"/>
      <c r="R2220" s="111">
        <v>1.0</v>
      </c>
      <c r="S2220" s="111"/>
      <c r="T2220" s="111"/>
      <c r="U2220" s="111"/>
      <c r="V2220" s="111"/>
      <c r="W2220" s="111"/>
      <c r="X2220" s="111"/>
      <c r="Y2220" s="111"/>
      <c r="Z2220" s="111" t="s">
        <v>15276</v>
      </c>
      <c r="AA2220" s="124">
        <f>IF(Projects!$AI2220="Electrolysis",
AB2220*VLOOKUP(G2220,ElectrolysisConvF,3,FALSE),
"")</f>
        <v>0.5771894721</v>
      </c>
      <c r="AB2220" s="125">
        <f t="shared" si="416"/>
        <v>128.2643271</v>
      </c>
      <c r="AC2220" s="125">
        <f>0.1</f>
        <v>0.1</v>
      </c>
      <c r="AD2220" s="125"/>
      <c r="AE2220" s="125">
        <f t="shared" si="401"/>
        <v>128.2643271</v>
      </c>
      <c r="AF2220" s="127" t="s">
        <v>15277</v>
      </c>
      <c r="AG2220" s="127">
        <v>-23.0086285730379</v>
      </c>
      <c r="AH2220" s="127">
        <v>-44.4559855173439</v>
      </c>
      <c r="AI2220" s="115" t="s">
        <v>12383</v>
      </c>
      <c r="AJ2220" s="116">
        <v>0.57</v>
      </c>
      <c r="AK2220" s="117"/>
      <c r="AL2220" s="117"/>
      <c r="AM2220" s="117"/>
      <c r="AN2220" s="117"/>
      <c r="AO2220" s="117"/>
    </row>
    <row r="2221" ht="34.5" customHeight="1">
      <c r="A2221" s="111">
        <v>2938.0</v>
      </c>
      <c r="B2221" s="111" t="s">
        <v>10223</v>
      </c>
      <c r="C2221" s="111" t="s">
        <v>8071</v>
      </c>
      <c r="D2221" s="111"/>
      <c r="E2221" s="111"/>
      <c r="F2221" s="111" t="s">
        <v>12397</v>
      </c>
      <c r="G2221" s="111" t="s">
        <v>12381</v>
      </c>
      <c r="H2221" s="111" t="s">
        <v>12230</v>
      </c>
      <c r="I2221" s="111" t="s">
        <v>12287</v>
      </c>
      <c r="J2221" s="111"/>
      <c r="K2221" s="111" t="s">
        <v>174</v>
      </c>
      <c r="L2221" s="111"/>
      <c r="M2221" s="111">
        <v>1.0</v>
      </c>
      <c r="N2221" s="111"/>
      <c r="O2221" s="111"/>
      <c r="P2221" s="111"/>
      <c r="Q2221" s="111"/>
      <c r="R2221" s="111"/>
      <c r="S2221" s="111"/>
      <c r="T2221" s="111"/>
      <c r="U2221" s="111"/>
      <c r="V2221" s="111"/>
      <c r="W2221" s="111"/>
      <c r="X2221" s="111"/>
      <c r="Y2221" s="111"/>
      <c r="Z2221" s="111"/>
      <c r="AA2221" s="124">
        <f>IF(OR(G2221="ALK",G2221="PEM",G2221="SOEC",G2221="Other Electrolysis"),
AB2221*VLOOKUP(G2221,ElectrolysisConvF,3,FALSE),
"")</f>
        <v>0</v>
      </c>
      <c r="AB2221" s="125"/>
      <c r="AC2221" s="125"/>
      <c r="AD2221" s="125"/>
      <c r="AE2221" s="125" t="str">
        <f t="shared" si="401"/>
        <v/>
      </c>
      <c r="AF2221" s="127" t="s">
        <v>15278</v>
      </c>
      <c r="AG2221" s="127">
        <v>-38.596839000199</v>
      </c>
      <c r="AH2221" s="127">
        <v>-73.2662985046676</v>
      </c>
      <c r="AI2221" s="115" t="s">
        <v>12383</v>
      </c>
      <c r="AJ2221" s="116">
        <v>0.57</v>
      </c>
      <c r="AK2221" s="117"/>
      <c r="AL2221" s="117"/>
      <c r="AM2221" s="117"/>
      <c r="AN2221" s="117"/>
      <c r="AO2221" s="117"/>
    </row>
    <row r="2222" ht="34.5" customHeight="1">
      <c r="A2222" s="111">
        <v>2939.0</v>
      </c>
      <c r="B2222" s="111" t="s">
        <v>10224</v>
      </c>
      <c r="C2222" s="111" t="s">
        <v>8590</v>
      </c>
      <c r="D2222" s="111">
        <v>2027.0</v>
      </c>
      <c r="E2222" s="111"/>
      <c r="F2222" s="111" t="s">
        <v>12397</v>
      </c>
      <c r="G2222" s="111" t="s">
        <v>12381</v>
      </c>
      <c r="H2222" s="111" t="s">
        <v>12230</v>
      </c>
      <c r="I2222" s="111" t="s">
        <v>12287</v>
      </c>
      <c r="J2222" s="111"/>
      <c r="K2222" s="111" t="s">
        <v>30</v>
      </c>
      <c r="L2222" s="111"/>
      <c r="M2222" s="111"/>
      <c r="N2222" s="111"/>
      <c r="O2222" s="111"/>
      <c r="P2222" s="111"/>
      <c r="Q2222" s="111"/>
      <c r="R2222" s="111"/>
      <c r="S2222" s="111"/>
      <c r="T2222" s="111"/>
      <c r="U2222" s="111"/>
      <c r="V2222" s="111"/>
      <c r="W2222" s="111"/>
      <c r="X2222" s="111"/>
      <c r="Y2222" s="111"/>
      <c r="Z2222" s="111" t="s">
        <v>15279</v>
      </c>
      <c r="AA2222" s="124">
        <f>IF(Projects!$AI2222="Electrolysis",
AB2222*VLOOKUP(G2222,ElectrolysisConvF,3,FALSE),
"")</f>
        <v>6926.273665</v>
      </c>
      <c r="AB2222" s="125">
        <f>AC2222/(H2dens*HoursInYear/10^6)</f>
        <v>1539171.926</v>
      </c>
      <c r="AC2222" s="125">
        <f>(1.2*1000)</f>
        <v>1200</v>
      </c>
      <c r="AD2222" s="125"/>
      <c r="AE2222" s="125">
        <f t="shared" si="401"/>
        <v>1539171.926</v>
      </c>
      <c r="AF2222" s="127" t="s">
        <v>15280</v>
      </c>
      <c r="AG2222" s="127">
        <v>-3.55095800931114</v>
      </c>
      <c r="AH2222" s="127">
        <v>-38.8294563169832</v>
      </c>
      <c r="AI2222" s="115" t="s">
        <v>12383</v>
      </c>
      <c r="AJ2222" s="116">
        <v>0.57</v>
      </c>
      <c r="AK2222" s="117"/>
      <c r="AL2222" s="117"/>
      <c r="AM2222" s="117"/>
      <c r="AN2222" s="117"/>
      <c r="AO2222" s="117"/>
    </row>
    <row r="2223" ht="34.5" customHeight="1">
      <c r="A2223" s="111">
        <v>2940.0</v>
      </c>
      <c r="B2223" s="111" t="s">
        <v>10225</v>
      </c>
      <c r="C2223" s="111" t="s">
        <v>7987</v>
      </c>
      <c r="D2223" s="111"/>
      <c r="E2223" s="111"/>
      <c r="F2223" s="111" t="s">
        <v>12397</v>
      </c>
      <c r="G2223" s="111" t="s">
        <v>12381</v>
      </c>
      <c r="H2223" s="111" t="s">
        <v>12230</v>
      </c>
      <c r="I2223" s="111" t="s">
        <v>12394</v>
      </c>
      <c r="J2223" s="111" t="s">
        <v>12296</v>
      </c>
      <c r="K2223" s="111" t="s">
        <v>30</v>
      </c>
      <c r="L2223" s="111">
        <v>1.0</v>
      </c>
      <c r="M2223" s="111"/>
      <c r="N2223" s="111"/>
      <c r="O2223" s="111"/>
      <c r="P2223" s="111"/>
      <c r="Q2223" s="111"/>
      <c r="R2223" s="111"/>
      <c r="S2223" s="111"/>
      <c r="T2223" s="111"/>
      <c r="U2223" s="111"/>
      <c r="V2223" s="111"/>
      <c r="W2223" s="111"/>
      <c r="X2223" s="111"/>
      <c r="Y2223" s="111"/>
      <c r="Z2223" s="111" t="s">
        <v>12802</v>
      </c>
      <c r="AA2223" s="124">
        <v>30.0</v>
      </c>
      <c r="AB2223" s="125">
        <f>IF(Projects!$AI2223="Electrolysis",
AA2223/VLOOKUP(G2223,ElectrolysisConvF,3,FALSE),
AC2223*10^6/(H2dens*HoursInYear))</f>
        <v>6666.666667</v>
      </c>
      <c r="AC2223" s="125">
        <f t="shared" ref="AC2223:AC2235" si="417">AB2223*H2dens*HoursInYear/10^6</f>
        <v>5.1976</v>
      </c>
      <c r="AD2223" s="125"/>
      <c r="AE2223" s="125">
        <f t="shared" si="401"/>
        <v>6666.666667</v>
      </c>
      <c r="AF2223" s="127" t="s">
        <v>15281</v>
      </c>
      <c r="AG2223" s="127">
        <v>51.3870917285608</v>
      </c>
      <c r="AH2223" s="127">
        <v>11.8672628096575</v>
      </c>
      <c r="AI2223" s="115" t="s">
        <v>12383</v>
      </c>
      <c r="AJ2223" s="116">
        <v>0.5</v>
      </c>
      <c r="AK2223" s="117"/>
      <c r="AL2223" s="117"/>
      <c r="AM2223" s="117"/>
      <c r="AN2223" s="117"/>
      <c r="AO2223" s="117"/>
    </row>
    <row r="2224" ht="34.5" customHeight="1">
      <c r="A2224" s="111">
        <v>2941.0</v>
      </c>
      <c r="B2224" s="111" t="s">
        <v>10226</v>
      </c>
      <c r="C2224" s="111" t="s">
        <v>8001</v>
      </c>
      <c r="D2224" s="111"/>
      <c r="E2224" s="111"/>
      <c r="F2224" s="111" t="s">
        <v>12393</v>
      </c>
      <c r="G2224" s="111" t="s">
        <v>12224</v>
      </c>
      <c r="H2224" s="111"/>
      <c r="I2224" s="111" t="s">
        <v>12394</v>
      </c>
      <c r="J2224" s="111" t="s">
        <v>12295</v>
      </c>
      <c r="K2224" s="111" t="s">
        <v>12481</v>
      </c>
      <c r="L2224" s="111"/>
      <c r="M2224" s="111">
        <v>1.0</v>
      </c>
      <c r="N2224" s="111"/>
      <c r="O2224" s="111"/>
      <c r="P2224" s="111"/>
      <c r="Q2224" s="111"/>
      <c r="R2224" s="111"/>
      <c r="S2224" s="111"/>
      <c r="T2224" s="111"/>
      <c r="U2224" s="111"/>
      <c r="V2224" s="111"/>
      <c r="W2224" s="111"/>
      <c r="X2224" s="111"/>
      <c r="Y2224" s="111"/>
      <c r="Z2224" s="111" t="s">
        <v>12723</v>
      </c>
      <c r="AA2224" s="124">
        <v>1000.0</v>
      </c>
      <c r="AB2224" s="125">
        <f>IF(Projects!$AI2224="Electrolysis",
AA2224/VLOOKUP(G2224,ElectrolysisConvF,3,FALSE),
AC2224*10^6/(H2dens*HoursInYear))</f>
        <v>217391.3043</v>
      </c>
      <c r="AC2224" s="126">
        <f t="shared" si="417"/>
        <v>169.4869565</v>
      </c>
      <c r="AD2224" s="125"/>
      <c r="AE2224" s="125">
        <f t="shared" si="401"/>
        <v>217391.3043</v>
      </c>
      <c r="AF2224" s="127" t="s">
        <v>15282</v>
      </c>
      <c r="AG2224" s="127">
        <v>40.9970560815471</v>
      </c>
      <c r="AH2224" s="127">
        <v>113.126216565237</v>
      </c>
      <c r="AI2224" s="115" t="s">
        <v>12383</v>
      </c>
      <c r="AJ2224" s="116">
        <v>0.5</v>
      </c>
      <c r="AK2224" s="117"/>
      <c r="AL2224" s="117"/>
      <c r="AM2224" s="117"/>
      <c r="AN2224" s="117"/>
      <c r="AO2224" s="117"/>
    </row>
    <row r="2225" ht="34.5" customHeight="1">
      <c r="A2225" s="111">
        <v>2942.0</v>
      </c>
      <c r="B2225" s="111" t="s">
        <v>10227</v>
      </c>
      <c r="C2225" s="111" t="s">
        <v>8071</v>
      </c>
      <c r="D2225" s="111"/>
      <c r="E2225" s="111"/>
      <c r="F2225" s="111" t="s">
        <v>12397</v>
      </c>
      <c r="G2225" s="111" t="s">
        <v>12381</v>
      </c>
      <c r="H2225" s="111" t="s">
        <v>12230</v>
      </c>
      <c r="I2225" s="111" t="s">
        <v>12394</v>
      </c>
      <c r="J2225" s="111" t="s">
        <v>12292</v>
      </c>
      <c r="K2225" s="111" t="s">
        <v>30</v>
      </c>
      <c r="L2225" s="111"/>
      <c r="M2225" s="111"/>
      <c r="N2225" s="111"/>
      <c r="O2225" s="111"/>
      <c r="P2225" s="111"/>
      <c r="Q2225" s="111"/>
      <c r="R2225" s="111"/>
      <c r="S2225" s="111"/>
      <c r="T2225" s="111"/>
      <c r="U2225" s="111"/>
      <c r="V2225" s="111"/>
      <c r="W2225" s="111"/>
      <c r="X2225" s="111"/>
      <c r="Y2225" s="111"/>
      <c r="Z2225" s="111" t="s">
        <v>15283</v>
      </c>
      <c r="AA2225" s="124">
        <v>227.0</v>
      </c>
      <c r="AB2225" s="125">
        <f>IF(Projects!$AI2225="Electrolysis",
AA2225/VLOOKUP(G2225,ElectrolysisConvF,3,FALSE),
AC2225*10^6/(H2dens*HoursInYear))</f>
        <v>50444.44444</v>
      </c>
      <c r="AC2225" s="126">
        <f t="shared" si="417"/>
        <v>39.32850667</v>
      </c>
      <c r="AD2225" s="125"/>
      <c r="AE2225" s="125">
        <f t="shared" si="401"/>
        <v>50444.44444</v>
      </c>
      <c r="AF2225" s="127" t="s">
        <v>15284</v>
      </c>
      <c r="AG2225" s="127">
        <v>-54.1051771502839</v>
      </c>
      <c r="AH2225" s="127">
        <v>-68.1193262586878</v>
      </c>
      <c r="AI2225" s="115" t="s">
        <v>12383</v>
      </c>
      <c r="AJ2225" s="116">
        <v>0.4</v>
      </c>
      <c r="AK2225" s="117"/>
      <c r="AL2225" s="117"/>
      <c r="AM2225" s="117"/>
      <c r="AN2225" s="117"/>
      <c r="AO2225" s="117"/>
    </row>
    <row r="2226" ht="34.5" customHeight="1">
      <c r="A2226" s="111">
        <v>2943.0</v>
      </c>
      <c r="B2226" s="111" t="s">
        <v>10228</v>
      </c>
      <c r="C2226" s="111" t="s">
        <v>7977</v>
      </c>
      <c r="D2226" s="111">
        <v>2023.0</v>
      </c>
      <c r="E2226" s="111"/>
      <c r="F2226" s="111" t="s">
        <v>12385</v>
      </c>
      <c r="G2226" s="111" t="s">
        <v>12226</v>
      </c>
      <c r="H2226" s="111"/>
      <c r="I2226" s="111" t="s">
        <v>12406</v>
      </c>
      <c r="J2226" s="111"/>
      <c r="K2226" s="111" t="s">
        <v>12251</v>
      </c>
      <c r="L2226" s="111"/>
      <c r="M2226" s="111"/>
      <c r="N2226" s="111"/>
      <c r="O2226" s="111"/>
      <c r="P2226" s="111"/>
      <c r="Q2226" s="111"/>
      <c r="R2226" s="111"/>
      <c r="S2226" s="111"/>
      <c r="T2226" s="111"/>
      <c r="U2226" s="111"/>
      <c r="V2226" s="111"/>
      <c r="W2226" s="111">
        <v>1.0</v>
      </c>
      <c r="X2226" s="111"/>
      <c r="Y2226" s="111"/>
      <c r="Z2226" s="111" t="s">
        <v>12720</v>
      </c>
      <c r="AA2226" s="124">
        <v>2.0</v>
      </c>
      <c r="AB2226" s="125">
        <f>IF(Projects!$AI2226="Electrolysis",
AA2226/VLOOKUP(G2226,ElectrolysisConvF,3,FALSE),
AC2226*10^6/(H2dens*HoursInYear))</f>
        <v>384.6153846</v>
      </c>
      <c r="AC2226" s="126">
        <f t="shared" si="417"/>
        <v>0.2998615385</v>
      </c>
      <c r="AD2226" s="125"/>
      <c r="AE2226" s="125">
        <f t="shared" si="401"/>
        <v>384.6153846</v>
      </c>
      <c r="AF2226" s="127" t="s">
        <v>15285</v>
      </c>
      <c r="AG2226" s="127">
        <v>39.1517062587045</v>
      </c>
      <c r="AH2226" s="127">
        <v>-5.89713604170273</v>
      </c>
      <c r="AI2226" s="115" t="s">
        <v>12383</v>
      </c>
      <c r="AJ2226" s="116">
        <v>0.57</v>
      </c>
      <c r="AK2226" s="117"/>
      <c r="AL2226" s="117"/>
      <c r="AM2226" s="117"/>
      <c r="AN2226" s="117"/>
      <c r="AO2226" s="117"/>
    </row>
    <row r="2227" ht="34.5" customHeight="1">
      <c r="A2227" s="111">
        <v>2944.0</v>
      </c>
      <c r="B2227" s="111" t="s">
        <v>10229</v>
      </c>
      <c r="C2227" s="111" t="s">
        <v>7977</v>
      </c>
      <c r="D2227" s="111">
        <v>2027.0</v>
      </c>
      <c r="E2227" s="111"/>
      <c r="F2227" s="111" t="s">
        <v>12399</v>
      </c>
      <c r="G2227" s="111" t="s">
        <v>12224</v>
      </c>
      <c r="H2227" s="111"/>
      <c r="I2227" s="111" t="s">
        <v>12759</v>
      </c>
      <c r="J2227" s="111" t="s">
        <v>12291</v>
      </c>
      <c r="K2227" s="111" t="s">
        <v>30</v>
      </c>
      <c r="L2227" s="111"/>
      <c r="M2227" s="111"/>
      <c r="N2227" s="111"/>
      <c r="O2227" s="111"/>
      <c r="P2227" s="111">
        <v>1.0</v>
      </c>
      <c r="Q2227" s="111">
        <v>1.0</v>
      </c>
      <c r="R2227" s="111"/>
      <c r="S2227" s="111"/>
      <c r="T2227" s="111"/>
      <c r="U2227" s="111"/>
      <c r="V2227" s="111"/>
      <c r="W2227" s="111"/>
      <c r="X2227" s="111"/>
      <c r="Y2227" s="111"/>
      <c r="Z2227" s="111" t="s">
        <v>12824</v>
      </c>
      <c r="AA2227" s="124">
        <v>15.0</v>
      </c>
      <c r="AB2227" s="125">
        <f>IF(Projects!$AI2227="Electrolysis",
AA2227/VLOOKUP(G2227,ElectrolysisConvF,3,FALSE),
AC2227*10^6/(H2dens*HoursInYear))</f>
        <v>3260.869565</v>
      </c>
      <c r="AC2227" s="126">
        <f t="shared" si="417"/>
        <v>2.542304348</v>
      </c>
      <c r="AD2227" s="125"/>
      <c r="AE2227" s="125">
        <f t="shared" si="401"/>
        <v>3260.869565</v>
      </c>
      <c r="AF2227" s="127"/>
      <c r="AG2227" s="127">
        <v>41.108611111</v>
      </c>
      <c r="AH2227" s="127">
        <v>1.18944444444</v>
      </c>
      <c r="AI2227" s="115" t="s">
        <v>12383</v>
      </c>
      <c r="AJ2227" s="116">
        <v>0.7</v>
      </c>
      <c r="AK2227" s="117"/>
      <c r="AL2227" s="117"/>
      <c r="AM2227" s="117"/>
      <c r="AN2227" s="117"/>
      <c r="AO2227" s="117"/>
    </row>
    <row r="2228" ht="34.5" customHeight="1">
      <c r="A2228" s="111">
        <v>2945.0</v>
      </c>
      <c r="B2228" s="111" t="s">
        <v>10230</v>
      </c>
      <c r="C2228" s="111" t="s">
        <v>8047</v>
      </c>
      <c r="D2228" s="111">
        <v>2026.0</v>
      </c>
      <c r="E2228" s="111"/>
      <c r="F2228" s="111" t="s">
        <v>12399</v>
      </c>
      <c r="G2228" s="111" t="s">
        <v>13638</v>
      </c>
      <c r="H2228" s="111"/>
      <c r="I2228" s="111" t="s">
        <v>12394</v>
      </c>
      <c r="J2228" s="111" t="s">
        <v>12296</v>
      </c>
      <c r="K2228" s="111" t="s">
        <v>30</v>
      </c>
      <c r="L2228" s="111"/>
      <c r="M2228" s="111"/>
      <c r="N2228" s="111"/>
      <c r="O2228" s="111"/>
      <c r="P2228" s="111"/>
      <c r="Q2228" s="111"/>
      <c r="R2228" s="111"/>
      <c r="S2228" s="111"/>
      <c r="T2228" s="111"/>
      <c r="U2228" s="111"/>
      <c r="V2228" s="111"/>
      <c r="W2228" s="111"/>
      <c r="X2228" s="111"/>
      <c r="Y2228" s="111"/>
      <c r="Z2228" s="111" t="s">
        <v>15286</v>
      </c>
      <c r="AA2228" s="124">
        <v>4.0</v>
      </c>
      <c r="AB2228" s="125">
        <f>IF(Projects!$AI2228="Electrolysis",
AA2228/VLOOKUP(G2228,ElectrolysisConvF,3,FALSE),
AC2228*10^6/(H2dens*HoursInYear))</f>
        <v>888.8888889</v>
      </c>
      <c r="AC2228" s="126">
        <f t="shared" si="417"/>
        <v>0.6930133333</v>
      </c>
      <c r="AD2228" s="125"/>
      <c r="AE2228" s="125">
        <f t="shared" si="401"/>
        <v>888.8888889</v>
      </c>
      <c r="AF2228" s="127" t="s">
        <v>15287</v>
      </c>
      <c r="AG2228" s="127">
        <v>0.0</v>
      </c>
      <c r="AH2228" s="127">
        <v>0.0</v>
      </c>
      <c r="AI2228" s="115" t="s">
        <v>12383</v>
      </c>
      <c r="AJ2228" s="116">
        <v>0.5</v>
      </c>
      <c r="AK2228" s="117"/>
      <c r="AL2228" s="117"/>
      <c r="AM2228" s="117"/>
      <c r="AN2228" s="117"/>
      <c r="AO2228" s="117"/>
    </row>
    <row r="2229" ht="34.5" customHeight="1">
      <c r="A2229" s="111">
        <v>2946.0</v>
      </c>
      <c r="B2229" s="111" t="s">
        <v>10231</v>
      </c>
      <c r="C2229" s="111" t="s">
        <v>8047</v>
      </c>
      <c r="D2229" s="111">
        <v>2026.0</v>
      </c>
      <c r="E2229" s="111"/>
      <c r="F2229" s="111" t="s">
        <v>12397</v>
      </c>
      <c r="G2229" s="111" t="s">
        <v>13638</v>
      </c>
      <c r="H2229" s="111"/>
      <c r="I2229" s="111" t="s">
        <v>12394</v>
      </c>
      <c r="J2229" s="111" t="s">
        <v>12296</v>
      </c>
      <c r="K2229" s="111" t="s">
        <v>30</v>
      </c>
      <c r="L2229" s="111"/>
      <c r="M2229" s="111"/>
      <c r="N2229" s="111"/>
      <c r="O2229" s="111"/>
      <c r="P2229" s="111"/>
      <c r="Q2229" s="111"/>
      <c r="R2229" s="111"/>
      <c r="S2229" s="111"/>
      <c r="T2229" s="111"/>
      <c r="U2229" s="111"/>
      <c r="V2229" s="111"/>
      <c r="W2229" s="111"/>
      <c r="X2229" s="111"/>
      <c r="Y2229" s="111"/>
      <c r="Z2229" s="111" t="s">
        <v>15288</v>
      </c>
      <c r="AA2229" s="124">
        <v>3.0</v>
      </c>
      <c r="AB2229" s="125">
        <f>IF(Projects!$AI2229="Electrolysis",
AA2229/VLOOKUP(G2229,ElectrolysisConvF,3,FALSE),
AC2229*10^6/(H2dens*HoursInYear))</f>
        <v>666.6666667</v>
      </c>
      <c r="AC2229" s="126">
        <f t="shared" si="417"/>
        <v>0.51976</v>
      </c>
      <c r="AD2229" s="125"/>
      <c r="AE2229" s="125">
        <f t="shared" si="401"/>
        <v>666.6666667</v>
      </c>
      <c r="AF2229" s="127" t="s">
        <v>15287</v>
      </c>
      <c r="AG2229" s="127">
        <v>41.8867342099192</v>
      </c>
      <c r="AH2229" s="127">
        <v>12.5311326473152</v>
      </c>
      <c r="AI2229" s="115" t="s">
        <v>12383</v>
      </c>
      <c r="AJ2229" s="116">
        <v>0.5</v>
      </c>
      <c r="AK2229" s="117"/>
      <c r="AL2229" s="117"/>
      <c r="AM2229" s="117"/>
      <c r="AN2229" s="117"/>
      <c r="AO2229" s="117"/>
    </row>
    <row r="2230" ht="34.5" customHeight="1">
      <c r="A2230" s="111">
        <v>2947.0</v>
      </c>
      <c r="B2230" s="111" t="s">
        <v>10232</v>
      </c>
      <c r="C2230" s="111" t="s">
        <v>7987</v>
      </c>
      <c r="D2230" s="111">
        <v>2025.0</v>
      </c>
      <c r="E2230" s="111"/>
      <c r="F2230" s="111" t="s">
        <v>12397</v>
      </c>
      <c r="G2230" s="111" t="s">
        <v>13638</v>
      </c>
      <c r="H2230" s="111"/>
      <c r="I2230" s="111" t="s">
        <v>12394</v>
      </c>
      <c r="J2230" s="111" t="s">
        <v>12296</v>
      </c>
      <c r="K2230" s="111" t="s">
        <v>30</v>
      </c>
      <c r="L2230" s="111"/>
      <c r="M2230" s="111"/>
      <c r="N2230" s="111"/>
      <c r="O2230" s="111"/>
      <c r="P2230" s="111"/>
      <c r="Q2230" s="111"/>
      <c r="R2230" s="111"/>
      <c r="S2230" s="111"/>
      <c r="T2230" s="111"/>
      <c r="U2230" s="111"/>
      <c r="V2230" s="111"/>
      <c r="W2230" s="111"/>
      <c r="X2230" s="111"/>
      <c r="Y2230" s="111"/>
      <c r="Z2230" s="111" t="s">
        <v>14976</v>
      </c>
      <c r="AA2230" s="124">
        <v>0.5</v>
      </c>
      <c r="AB2230" s="125">
        <f>IF(Projects!$AI2230="Electrolysis",
AA2230/VLOOKUP(G2230,ElectrolysisConvF,3,FALSE),
AC2230*10^6/(H2dens*HoursInYear))</f>
        <v>111.1111111</v>
      </c>
      <c r="AC2230" s="126">
        <f t="shared" si="417"/>
        <v>0.08662666667</v>
      </c>
      <c r="AD2230" s="125"/>
      <c r="AE2230" s="125">
        <f t="shared" si="401"/>
        <v>111.1111111</v>
      </c>
      <c r="AF2230" s="127" t="s">
        <v>15289</v>
      </c>
      <c r="AG2230" s="127">
        <v>48.993417</v>
      </c>
      <c r="AH2230" s="127">
        <v>8.550129</v>
      </c>
      <c r="AI2230" s="115" t="s">
        <v>12383</v>
      </c>
      <c r="AJ2230" s="116">
        <v>0.5</v>
      </c>
      <c r="AK2230" s="117"/>
      <c r="AL2230" s="117"/>
      <c r="AM2230" s="117"/>
      <c r="AN2230" s="117"/>
      <c r="AO2230" s="117"/>
    </row>
    <row r="2231" ht="34.5" customHeight="1">
      <c r="A2231" s="111">
        <v>2948.0</v>
      </c>
      <c r="B2231" s="111" t="s">
        <v>10233</v>
      </c>
      <c r="C2231" s="111" t="s">
        <v>8108</v>
      </c>
      <c r="D2231" s="111"/>
      <c r="E2231" s="111"/>
      <c r="F2231" s="111" t="s">
        <v>12393</v>
      </c>
      <c r="G2231" s="111" t="s">
        <v>12224</v>
      </c>
      <c r="H2231" s="111"/>
      <c r="I2231" s="111" t="s">
        <v>12759</v>
      </c>
      <c r="J2231" s="111" t="s">
        <v>12295</v>
      </c>
      <c r="K2231" s="111" t="s">
        <v>30</v>
      </c>
      <c r="L2231" s="111"/>
      <c r="M2231" s="111"/>
      <c r="N2231" s="111"/>
      <c r="O2231" s="111"/>
      <c r="P2231" s="111">
        <v>1.0</v>
      </c>
      <c r="Q2231" s="111"/>
      <c r="R2231" s="111"/>
      <c r="S2231" s="111"/>
      <c r="T2231" s="111"/>
      <c r="U2231" s="111"/>
      <c r="V2231" s="111"/>
      <c r="W2231" s="111"/>
      <c r="X2231" s="111"/>
      <c r="Y2231" s="111"/>
      <c r="Z2231" s="111" t="s">
        <v>15290</v>
      </c>
      <c r="AA2231" s="124">
        <v>1.8</v>
      </c>
      <c r="AB2231" s="125">
        <f>IF(Projects!$AI2231="Electrolysis",
AA2231/VLOOKUP(G2231,ElectrolysisConvF,3,FALSE),
AC2231*10^6/(H2dens*HoursInYear))</f>
        <v>391.3043478</v>
      </c>
      <c r="AC2231" s="126">
        <f t="shared" si="417"/>
        <v>0.3050765217</v>
      </c>
      <c r="AD2231" s="125"/>
      <c r="AE2231" s="125">
        <f t="shared" si="401"/>
        <v>391.3043478</v>
      </c>
      <c r="AF2231" s="127"/>
      <c r="AG2231" s="127">
        <v>24.0459765869385</v>
      </c>
      <c r="AH2231" s="127">
        <v>76.1766183827331</v>
      </c>
      <c r="AI2231" s="115" t="s">
        <v>12383</v>
      </c>
      <c r="AJ2231" s="116">
        <v>0.7</v>
      </c>
      <c r="AK2231" s="117"/>
      <c r="AL2231" s="117"/>
      <c r="AM2231" s="117"/>
      <c r="AN2231" s="117"/>
      <c r="AO2231" s="117"/>
    </row>
    <row r="2232" ht="34.5" customHeight="1">
      <c r="A2232" s="111">
        <v>2949.0</v>
      </c>
      <c r="B2232" s="111" t="s">
        <v>10234</v>
      </c>
      <c r="C2232" s="111" t="s">
        <v>7977</v>
      </c>
      <c r="D2232" s="111">
        <v>2024.0</v>
      </c>
      <c r="E2232" s="111"/>
      <c r="F2232" s="111" t="s">
        <v>12393</v>
      </c>
      <c r="G2232" s="111" t="s">
        <v>12226</v>
      </c>
      <c r="H2232" s="111"/>
      <c r="I2232" s="111" t="s">
        <v>12759</v>
      </c>
      <c r="J2232" s="111" t="s">
        <v>12291</v>
      </c>
      <c r="K2232" s="111" t="s">
        <v>30</v>
      </c>
      <c r="L2232" s="111"/>
      <c r="M2232" s="111"/>
      <c r="N2232" s="111"/>
      <c r="O2232" s="111"/>
      <c r="P2232" s="111">
        <v>1.0</v>
      </c>
      <c r="Q2232" s="111"/>
      <c r="R2232" s="111"/>
      <c r="S2232" s="111"/>
      <c r="T2232" s="111"/>
      <c r="U2232" s="111"/>
      <c r="V2232" s="111"/>
      <c r="W2232" s="111"/>
      <c r="X2232" s="111"/>
      <c r="Y2232" s="111"/>
      <c r="Z2232" s="111" t="s">
        <v>12546</v>
      </c>
      <c r="AA2232" s="124">
        <v>1.25</v>
      </c>
      <c r="AB2232" s="125">
        <f>IF(Projects!$AI2232="Electrolysis",
AA2232/VLOOKUP(G2232,ElectrolysisConvF,3,FALSE),
AC2232*10^6/(H2dens*HoursInYear))</f>
        <v>240.3846154</v>
      </c>
      <c r="AC2232" s="126">
        <f t="shared" si="417"/>
        <v>0.1874134615</v>
      </c>
      <c r="AD2232" s="125"/>
      <c r="AE2232" s="125">
        <f t="shared" si="401"/>
        <v>240.3846154</v>
      </c>
      <c r="AF2232" s="127"/>
      <c r="AG2232" s="127">
        <v>39.9934106692918</v>
      </c>
      <c r="AH2232" s="127">
        <v>-0.0208546706238567</v>
      </c>
      <c r="AI2232" s="115" t="s">
        <v>12383</v>
      </c>
      <c r="AJ2232" s="116">
        <v>0.7</v>
      </c>
      <c r="AK2232" s="117"/>
      <c r="AL2232" s="117"/>
      <c r="AM2232" s="117"/>
      <c r="AN2232" s="117"/>
      <c r="AO2232" s="117"/>
    </row>
    <row r="2233" ht="34.5" customHeight="1">
      <c r="A2233" s="111">
        <v>2950.0</v>
      </c>
      <c r="B2233" s="111" t="s">
        <v>10235</v>
      </c>
      <c r="C2233" s="111" t="s">
        <v>7977</v>
      </c>
      <c r="D2233" s="111">
        <v>2026.0</v>
      </c>
      <c r="E2233" s="111"/>
      <c r="F2233" s="111" t="s">
        <v>12399</v>
      </c>
      <c r="G2233" s="111" t="s">
        <v>12381</v>
      </c>
      <c r="H2233" s="111" t="s">
        <v>12230</v>
      </c>
      <c r="I2233" s="111" t="s">
        <v>12759</v>
      </c>
      <c r="J2233" s="111" t="s">
        <v>12291</v>
      </c>
      <c r="K2233" s="111" t="s">
        <v>30</v>
      </c>
      <c r="L2233" s="111"/>
      <c r="M2233" s="111"/>
      <c r="N2233" s="111"/>
      <c r="O2233" s="111"/>
      <c r="P2233" s="111">
        <v>1.0</v>
      </c>
      <c r="Q2233" s="111"/>
      <c r="R2233" s="111"/>
      <c r="S2233" s="111"/>
      <c r="T2233" s="111"/>
      <c r="U2233" s="111"/>
      <c r="V2233" s="111"/>
      <c r="W2233" s="111"/>
      <c r="X2233" s="111"/>
      <c r="Y2233" s="111"/>
      <c r="Z2233" s="111" t="s">
        <v>12395</v>
      </c>
      <c r="AA2233" s="124">
        <v>2.5</v>
      </c>
      <c r="AB2233" s="125">
        <f>IF(Projects!$AI2233="Electrolysis",
AA2233/VLOOKUP(G2233,ElectrolysisConvF,3,FALSE),
AC2233*10^6/(H2dens*HoursInYear))</f>
        <v>555.5555556</v>
      </c>
      <c r="AC2233" s="126">
        <f t="shared" si="417"/>
        <v>0.4331333333</v>
      </c>
      <c r="AD2233" s="125"/>
      <c r="AE2233" s="125">
        <f t="shared" si="401"/>
        <v>555.5555556</v>
      </c>
      <c r="AF2233" s="127"/>
      <c r="AG2233" s="127">
        <v>41.3904683047587</v>
      </c>
      <c r="AH2233" s="127">
        <v>2.16988385449095</v>
      </c>
      <c r="AI2233" s="115" t="s">
        <v>12383</v>
      </c>
      <c r="AJ2233" s="116">
        <v>0.7</v>
      </c>
      <c r="AK2233" s="117"/>
      <c r="AL2233" s="117"/>
      <c r="AM2233" s="117"/>
      <c r="AN2233" s="117"/>
      <c r="AO2233" s="117"/>
    </row>
    <row r="2234" ht="34.5" customHeight="1">
      <c r="A2234" s="111">
        <v>2951.0</v>
      </c>
      <c r="B2234" s="111" t="s">
        <v>10236</v>
      </c>
      <c r="C2234" s="111" t="s">
        <v>10237</v>
      </c>
      <c r="D2234" s="111"/>
      <c r="E2234" s="111"/>
      <c r="F2234" s="111" t="s">
        <v>12397</v>
      </c>
      <c r="G2234" s="111" t="s">
        <v>12381</v>
      </c>
      <c r="H2234" s="111" t="s">
        <v>12230</v>
      </c>
      <c r="I2234" s="111" t="s">
        <v>12394</v>
      </c>
      <c r="J2234" s="111" t="s">
        <v>12296</v>
      </c>
      <c r="K2234" s="111" t="s">
        <v>30</v>
      </c>
      <c r="L2234" s="111"/>
      <c r="M2234" s="111"/>
      <c r="N2234" s="111"/>
      <c r="O2234" s="111"/>
      <c r="P2234" s="111"/>
      <c r="Q2234" s="111"/>
      <c r="R2234" s="111"/>
      <c r="S2234" s="111"/>
      <c r="T2234" s="111"/>
      <c r="U2234" s="111"/>
      <c r="V2234" s="111"/>
      <c r="W2234" s="111"/>
      <c r="X2234" s="111"/>
      <c r="Y2234" s="111"/>
      <c r="Z2234" s="111" t="s">
        <v>12963</v>
      </c>
      <c r="AA2234" s="124">
        <v>4.0</v>
      </c>
      <c r="AB2234" s="125">
        <f>IF(Projects!$AI2234="Electrolysis",
AA2234/VLOOKUP(G2234,ElectrolysisConvF,3,FALSE),
AC2234*10^6/(H2dens*HoursInYear))</f>
        <v>888.8888889</v>
      </c>
      <c r="AC2234" s="126">
        <f t="shared" si="417"/>
        <v>0.6930133333</v>
      </c>
      <c r="AD2234" s="125"/>
      <c r="AE2234" s="125">
        <f t="shared" si="401"/>
        <v>888.8888889</v>
      </c>
      <c r="AF2234" s="127" t="s">
        <v>15291</v>
      </c>
      <c r="AG2234" s="127">
        <v>26.036714147858</v>
      </c>
      <c r="AH2234" s="127">
        <v>50.5368830508888</v>
      </c>
      <c r="AI2234" s="115" t="s">
        <v>12383</v>
      </c>
      <c r="AJ2234" s="116">
        <v>0.5</v>
      </c>
      <c r="AK2234" s="117"/>
      <c r="AL2234" s="117"/>
      <c r="AM2234" s="117"/>
      <c r="AN2234" s="117"/>
      <c r="AO2234" s="117"/>
    </row>
    <row r="2235" ht="34.5" customHeight="1">
      <c r="A2235" s="111">
        <v>2952.0</v>
      </c>
      <c r="B2235" s="111" t="s">
        <v>10238</v>
      </c>
      <c r="C2235" s="111" t="s">
        <v>8785</v>
      </c>
      <c r="D2235" s="111"/>
      <c r="E2235" s="111"/>
      <c r="F2235" s="111" t="s">
        <v>12399</v>
      </c>
      <c r="G2235" s="111" t="s">
        <v>12381</v>
      </c>
      <c r="H2235" s="111" t="s">
        <v>12230</v>
      </c>
      <c r="I2235" s="111" t="s">
        <v>12394</v>
      </c>
      <c r="J2235" s="111" t="s">
        <v>12296</v>
      </c>
      <c r="K2235" s="111" t="s">
        <v>174</v>
      </c>
      <c r="L2235" s="111"/>
      <c r="M2235" s="111">
        <v>1.0</v>
      </c>
      <c r="N2235" s="111"/>
      <c r="O2235" s="111"/>
      <c r="P2235" s="111"/>
      <c r="Q2235" s="111"/>
      <c r="R2235" s="111"/>
      <c r="S2235" s="111"/>
      <c r="T2235" s="111"/>
      <c r="U2235" s="111"/>
      <c r="V2235" s="111"/>
      <c r="W2235" s="111"/>
      <c r="X2235" s="111"/>
      <c r="Y2235" s="111"/>
      <c r="Z2235" s="111" t="s">
        <v>15292</v>
      </c>
      <c r="AA2235" s="124">
        <v>500.0</v>
      </c>
      <c r="AB2235" s="125">
        <f>IF(Projects!$AI2235="Electrolysis",
AA2235/VLOOKUP(G2235,ElectrolysisConvF,3,FALSE),
AC2235*10^6/(H2dens*HoursInYear))</f>
        <v>111111.1111</v>
      </c>
      <c r="AC2235" s="126">
        <f t="shared" si="417"/>
        <v>86.62666667</v>
      </c>
      <c r="AD2235" s="125"/>
      <c r="AE2235" s="125">
        <f t="shared" si="401"/>
        <v>111111.1111</v>
      </c>
      <c r="AF2235" s="127" t="s">
        <v>15293</v>
      </c>
      <c r="AG2235" s="127">
        <v>31.1313960128891</v>
      </c>
      <c r="AH2235" s="127">
        <v>27.4213925735977</v>
      </c>
      <c r="AI2235" s="115" t="s">
        <v>12383</v>
      </c>
      <c r="AJ2235" s="116">
        <v>0.5</v>
      </c>
      <c r="AK2235" s="117"/>
      <c r="AL2235" s="117"/>
      <c r="AM2235" s="117"/>
      <c r="AN2235" s="117"/>
      <c r="AO2235" s="117"/>
    </row>
    <row r="2236" ht="34.5" customHeight="1">
      <c r="A2236" s="111">
        <v>2953.0</v>
      </c>
      <c r="B2236" s="111" t="s">
        <v>10239</v>
      </c>
      <c r="C2236" s="111" t="s">
        <v>8785</v>
      </c>
      <c r="D2236" s="111"/>
      <c r="E2236" s="111"/>
      <c r="F2236" s="111" t="s">
        <v>12397</v>
      </c>
      <c r="G2236" s="111" t="s">
        <v>12381</v>
      </c>
      <c r="H2236" s="111" t="s">
        <v>12230</v>
      </c>
      <c r="I2236" s="111" t="s">
        <v>12394</v>
      </c>
      <c r="J2236" s="111" t="s">
        <v>12296</v>
      </c>
      <c r="K2236" s="111" t="s">
        <v>174</v>
      </c>
      <c r="L2236" s="111"/>
      <c r="M2236" s="111">
        <v>1.0</v>
      </c>
      <c r="N2236" s="111"/>
      <c r="O2236" s="111"/>
      <c r="P2236" s="111"/>
      <c r="Q2236" s="111"/>
      <c r="R2236" s="111"/>
      <c r="S2236" s="111"/>
      <c r="T2236" s="111"/>
      <c r="U2236" s="111"/>
      <c r="V2236" s="111"/>
      <c r="W2236" s="111"/>
      <c r="X2236" s="111"/>
      <c r="Y2236" s="111"/>
      <c r="Z2236" s="111" t="s">
        <v>15294</v>
      </c>
      <c r="AA2236" s="126">
        <f>IF(Projects!$AI2236="Electrolysis",
AB2236*VLOOKUP(G2236,ElectrolysisConvF,3,FALSE),
"")</f>
        <v>1039.356792</v>
      </c>
      <c r="AB2236" s="125">
        <f t="shared" ref="AB2236:AB2240" si="418">AC2236/(H2dens*HoursInYear/10^6)</f>
        <v>230968.1761</v>
      </c>
      <c r="AC2236" s="125">
        <f>(500*3/17/0.98/Projects!$AJ2236)</f>
        <v>180.0720288</v>
      </c>
      <c r="AD2236" s="125"/>
      <c r="AE2236" s="125">
        <f t="shared" si="401"/>
        <v>230968.1761</v>
      </c>
      <c r="AF2236" s="127" t="s">
        <v>15295</v>
      </c>
      <c r="AG2236" s="127">
        <v>29.6569141353264</v>
      </c>
      <c r="AH2236" s="127">
        <v>32.3378967099185</v>
      </c>
      <c r="AI2236" s="115" t="s">
        <v>12383</v>
      </c>
      <c r="AJ2236" s="116">
        <v>0.5</v>
      </c>
      <c r="AK2236" s="117"/>
      <c r="AL2236" s="117"/>
      <c r="AM2236" s="117"/>
      <c r="AN2236" s="117"/>
      <c r="AO2236" s="117"/>
    </row>
    <row r="2237" ht="34.5" customHeight="1">
      <c r="A2237" s="111">
        <v>2954.0</v>
      </c>
      <c r="B2237" s="111" t="s">
        <v>10240</v>
      </c>
      <c r="C2237" s="111" t="s">
        <v>8785</v>
      </c>
      <c r="D2237" s="111"/>
      <c r="E2237" s="111"/>
      <c r="F2237" s="111" t="s">
        <v>12397</v>
      </c>
      <c r="G2237" s="111" t="s">
        <v>12381</v>
      </c>
      <c r="H2237" s="111" t="s">
        <v>12230</v>
      </c>
      <c r="I2237" s="111" t="s">
        <v>12394</v>
      </c>
      <c r="J2237" s="111" t="s">
        <v>12296</v>
      </c>
      <c r="K2237" s="111" t="s">
        <v>174</v>
      </c>
      <c r="L2237" s="111"/>
      <c r="M2237" s="111">
        <v>1.0</v>
      </c>
      <c r="N2237" s="111"/>
      <c r="O2237" s="111"/>
      <c r="P2237" s="111"/>
      <c r="Q2237" s="111"/>
      <c r="R2237" s="111"/>
      <c r="S2237" s="111"/>
      <c r="T2237" s="111"/>
      <c r="U2237" s="111"/>
      <c r="V2237" s="111"/>
      <c r="W2237" s="111"/>
      <c r="X2237" s="111"/>
      <c r="Y2237" s="111"/>
      <c r="Z2237" s="111" t="s">
        <v>15296</v>
      </c>
      <c r="AA2237" s="126">
        <f>IF(Projects!$AI2237="Electrolysis",
AB2237*VLOOKUP(G2237,ElectrolysisConvF,3,FALSE),
"")</f>
        <v>415.742717</v>
      </c>
      <c r="AB2237" s="125">
        <f t="shared" si="418"/>
        <v>92387.27044</v>
      </c>
      <c r="AC2237" s="125">
        <f>(200*3/17/0.98/Projects!$AJ2237)</f>
        <v>72.02881152</v>
      </c>
      <c r="AD2237" s="125"/>
      <c r="AE2237" s="125">
        <f t="shared" si="401"/>
        <v>92387.27044</v>
      </c>
      <c r="AF2237" s="127" t="s">
        <v>15297</v>
      </c>
      <c r="AG2237" s="127">
        <v>0.0</v>
      </c>
      <c r="AH2237" s="127">
        <v>0.0</v>
      </c>
      <c r="AI2237" s="115" t="s">
        <v>12383</v>
      </c>
      <c r="AJ2237" s="116">
        <v>0.5</v>
      </c>
      <c r="AK2237" s="117"/>
      <c r="AL2237" s="117"/>
      <c r="AM2237" s="117"/>
      <c r="AN2237" s="117"/>
      <c r="AO2237" s="117"/>
    </row>
    <row r="2238" ht="34.5" customHeight="1">
      <c r="A2238" s="111">
        <v>2957.0</v>
      </c>
      <c r="B2238" s="111" t="s">
        <v>10241</v>
      </c>
      <c r="C2238" s="111" t="s">
        <v>7977</v>
      </c>
      <c r="D2238" s="111">
        <v>2026.0</v>
      </c>
      <c r="E2238" s="111"/>
      <c r="F2238" s="111" t="s">
        <v>12399</v>
      </c>
      <c r="G2238" s="111" t="s">
        <v>12381</v>
      </c>
      <c r="H2238" s="111" t="s">
        <v>12230</v>
      </c>
      <c r="I2238" s="111" t="s">
        <v>12394</v>
      </c>
      <c r="J2238" s="111" t="s">
        <v>12296</v>
      </c>
      <c r="K2238" s="111" t="s">
        <v>174</v>
      </c>
      <c r="L2238" s="111"/>
      <c r="M2238" s="111">
        <v>1.0</v>
      </c>
      <c r="N2238" s="111"/>
      <c r="O2238" s="111"/>
      <c r="P2238" s="111"/>
      <c r="Q2238" s="111"/>
      <c r="R2238" s="111"/>
      <c r="S2238" s="111"/>
      <c r="T2238" s="111"/>
      <c r="U2238" s="111"/>
      <c r="V2238" s="111"/>
      <c r="W2238" s="111"/>
      <c r="X2238" s="111"/>
      <c r="Y2238" s="111"/>
      <c r="Z2238" s="111" t="s">
        <v>15298</v>
      </c>
      <c r="AA2238" s="126">
        <f>IF(Projects!$AI2238="Electrolysis",
AB2238*VLOOKUP(G2238,ElectrolysisConvF,3,FALSE),
"")</f>
        <v>298.2953994</v>
      </c>
      <c r="AB2238" s="125">
        <f t="shared" si="418"/>
        <v>66287.86654</v>
      </c>
      <c r="AC2238" s="125">
        <f>287*3/17/0.98</f>
        <v>51.68067227</v>
      </c>
      <c r="AD2238" s="125"/>
      <c r="AE2238" s="125">
        <f t="shared" si="401"/>
        <v>66287.86654</v>
      </c>
      <c r="AF2238" s="127" t="s">
        <v>15299</v>
      </c>
      <c r="AG2238" s="127">
        <v>37.3891815324199</v>
      </c>
      <c r="AH2238" s="127">
        <v>-5.98323936669221</v>
      </c>
      <c r="AI2238" s="115" t="s">
        <v>12383</v>
      </c>
      <c r="AJ2238" s="116">
        <v>0.5</v>
      </c>
      <c r="AK2238" s="117"/>
      <c r="AL2238" s="117"/>
      <c r="AM2238" s="117"/>
      <c r="AN2238" s="117"/>
      <c r="AO2238" s="117"/>
    </row>
    <row r="2239" ht="34.5" customHeight="1">
      <c r="A2239" s="111">
        <v>2958.0</v>
      </c>
      <c r="B2239" s="111" t="s">
        <v>10242</v>
      </c>
      <c r="C2239" s="111" t="s">
        <v>7977</v>
      </c>
      <c r="D2239" s="111">
        <v>2028.0</v>
      </c>
      <c r="E2239" s="111"/>
      <c r="F2239" s="111" t="s">
        <v>12397</v>
      </c>
      <c r="G2239" s="111" t="s">
        <v>12381</v>
      </c>
      <c r="H2239" s="111" t="s">
        <v>12230</v>
      </c>
      <c r="I2239" s="111" t="s">
        <v>12394</v>
      </c>
      <c r="J2239" s="111" t="s">
        <v>12296</v>
      </c>
      <c r="K2239" s="111" t="s">
        <v>174</v>
      </c>
      <c r="L2239" s="111"/>
      <c r="M2239" s="111">
        <v>1.0</v>
      </c>
      <c r="N2239" s="111"/>
      <c r="O2239" s="111"/>
      <c r="P2239" s="111"/>
      <c r="Q2239" s="111"/>
      <c r="R2239" s="111"/>
      <c r="S2239" s="111"/>
      <c r="T2239" s="111"/>
      <c r="U2239" s="111"/>
      <c r="V2239" s="111"/>
      <c r="W2239" s="111"/>
      <c r="X2239" s="111"/>
      <c r="Y2239" s="111"/>
      <c r="Z2239" s="111" t="s">
        <v>15300</v>
      </c>
      <c r="AA2239" s="126">
        <f>IF(Projects!$AI2239="Electrolysis",
AB2239*VLOOKUP(G2239,ElectrolysisConvF,3,FALSE),
"")</f>
        <v>298.2953994</v>
      </c>
      <c r="AB2239" s="125">
        <f t="shared" si="418"/>
        <v>66287.86654</v>
      </c>
      <c r="AC2239" s="125">
        <f>(574-287)*3/17/0.98</f>
        <v>51.68067227</v>
      </c>
      <c r="AD2239" s="125"/>
      <c r="AE2239" s="125">
        <f t="shared" si="401"/>
        <v>66287.86654</v>
      </c>
      <c r="AF2239" s="127" t="s">
        <v>15299</v>
      </c>
      <c r="AG2239" s="127">
        <v>37.3891815324199</v>
      </c>
      <c r="AH2239" s="127">
        <v>-5.98323936669221</v>
      </c>
      <c r="AI2239" s="115" t="s">
        <v>12383</v>
      </c>
      <c r="AJ2239" s="116">
        <v>0.5</v>
      </c>
      <c r="AK2239" s="117"/>
      <c r="AL2239" s="117"/>
      <c r="AM2239" s="117"/>
      <c r="AN2239" s="117"/>
      <c r="AO2239" s="117"/>
    </row>
    <row r="2240" ht="34.5" customHeight="1">
      <c r="A2240" s="111">
        <v>2959.0</v>
      </c>
      <c r="B2240" s="111" t="s">
        <v>10243</v>
      </c>
      <c r="C2240" s="111" t="s">
        <v>7977</v>
      </c>
      <c r="D2240" s="111">
        <v>2030.0</v>
      </c>
      <c r="E2240" s="111"/>
      <c r="F2240" s="111" t="s">
        <v>12397</v>
      </c>
      <c r="G2240" s="111" t="s">
        <v>12381</v>
      </c>
      <c r="H2240" s="111" t="s">
        <v>12230</v>
      </c>
      <c r="I2240" s="111" t="s">
        <v>12394</v>
      </c>
      <c r="J2240" s="111" t="s">
        <v>12296</v>
      </c>
      <c r="K2240" s="111" t="s">
        <v>174</v>
      </c>
      <c r="L2240" s="111"/>
      <c r="M2240" s="111">
        <v>1.0</v>
      </c>
      <c r="N2240" s="111"/>
      <c r="O2240" s="111"/>
      <c r="P2240" s="111"/>
      <c r="Q2240" s="111"/>
      <c r="R2240" s="111"/>
      <c r="S2240" s="111"/>
      <c r="T2240" s="111"/>
      <c r="U2240" s="111"/>
      <c r="V2240" s="111"/>
      <c r="W2240" s="111"/>
      <c r="X2240" s="111"/>
      <c r="Y2240" s="111"/>
      <c r="Z2240" s="111" t="s">
        <v>15301</v>
      </c>
      <c r="AA2240" s="126">
        <f>IF(Projects!$AI2240="Electrolysis",
AB2240*VLOOKUP(G2240,ElectrolysisConvF,3,FALSE),
"")</f>
        <v>298.2953994</v>
      </c>
      <c r="AB2240" s="125">
        <f t="shared" si="418"/>
        <v>66287.86654</v>
      </c>
      <c r="AC2240" s="125">
        <f>(861-574)*3/17/0.98</f>
        <v>51.68067227</v>
      </c>
      <c r="AD2240" s="125"/>
      <c r="AE2240" s="125">
        <f t="shared" si="401"/>
        <v>66287.86654</v>
      </c>
      <c r="AF2240" s="127" t="s">
        <v>15299</v>
      </c>
      <c r="AG2240" s="127">
        <v>37.3891815324199</v>
      </c>
      <c r="AH2240" s="127">
        <v>-5.98323936669221</v>
      </c>
      <c r="AI2240" s="115" t="s">
        <v>12383</v>
      </c>
      <c r="AJ2240" s="116">
        <v>0.5</v>
      </c>
      <c r="AK2240" s="117"/>
      <c r="AL2240" s="117"/>
      <c r="AM2240" s="117"/>
      <c r="AN2240" s="117"/>
      <c r="AO2240" s="117"/>
    </row>
    <row r="2241" ht="34.5" customHeight="1">
      <c r="A2241" s="111">
        <v>2960.0</v>
      </c>
      <c r="B2241" s="111" t="s">
        <v>10244</v>
      </c>
      <c r="C2241" s="111" t="s">
        <v>8365</v>
      </c>
      <c r="D2241" s="111"/>
      <c r="E2241" s="111"/>
      <c r="F2241" s="111" t="s">
        <v>12397</v>
      </c>
      <c r="G2241" s="111" t="s">
        <v>12381</v>
      </c>
      <c r="H2241" s="111" t="s">
        <v>12230</v>
      </c>
      <c r="I2241" s="111" t="s">
        <v>12394</v>
      </c>
      <c r="J2241" s="111" t="s">
        <v>12296</v>
      </c>
      <c r="K2241" s="111" t="s">
        <v>30</v>
      </c>
      <c r="L2241" s="111"/>
      <c r="M2241" s="111">
        <v>1.0</v>
      </c>
      <c r="N2241" s="111"/>
      <c r="O2241" s="111"/>
      <c r="P2241" s="111"/>
      <c r="Q2241" s="111"/>
      <c r="R2241" s="111"/>
      <c r="S2241" s="111"/>
      <c r="T2241" s="111"/>
      <c r="U2241" s="111"/>
      <c r="V2241" s="111"/>
      <c r="W2241" s="111"/>
      <c r="X2241" s="111"/>
      <c r="Y2241" s="111"/>
      <c r="Z2241" s="111" t="s">
        <v>15302</v>
      </c>
      <c r="AA2241" s="124">
        <v>44.0</v>
      </c>
      <c r="AB2241" s="125">
        <f>IF(Projects!$AI2241="Electrolysis",
AA2241/VLOOKUP(G2241,ElectrolysisConvF,3,FALSE),
AC2241*10^6/(H2dens*HoursInYear))</f>
        <v>9777.777778</v>
      </c>
      <c r="AC2241" s="126">
        <f>AB2241*H2dens*HoursInYear/10^6</f>
        <v>7.623146667</v>
      </c>
      <c r="AD2241" s="125"/>
      <c r="AE2241" s="125">
        <f t="shared" si="401"/>
        <v>9777.777778</v>
      </c>
      <c r="AF2241" s="127" t="s">
        <v>15303</v>
      </c>
      <c r="AG2241" s="127">
        <v>-32.995119161771</v>
      </c>
      <c r="AH2241" s="127">
        <v>17.992656849477</v>
      </c>
      <c r="AI2241" s="115" t="s">
        <v>12383</v>
      </c>
      <c r="AJ2241" s="116">
        <v>0.5</v>
      </c>
      <c r="AK2241" s="117"/>
      <c r="AL2241" s="117"/>
      <c r="AM2241" s="117"/>
      <c r="AN2241" s="117"/>
      <c r="AO2241" s="117"/>
    </row>
    <row r="2242" ht="34.5" customHeight="1">
      <c r="A2242" s="111">
        <v>2961.0</v>
      </c>
      <c r="B2242" s="111" t="s">
        <v>10245</v>
      </c>
      <c r="C2242" s="111" t="s">
        <v>9069</v>
      </c>
      <c r="D2242" s="111"/>
      <c r="E2242" s="111"/>
      <c r="F2242" s="111" t="s">
        <v>12399</v>
      </c>
      <c r="G2242" s="111" t="s">
        <v>12381</v>
      </c>
      <c r="H2242" s="111" t="s">
        <v>12230</v>
      </c>
      <c r="I2242" s="111" t="s">
        <v>12406</v>
      </c>
      <c r="J2242" s="111"/>
      <c r="K2242" s="111" t="s">
        <v>174</v>
      </c>
      <c r="L2242" s="111"/>
      <c r="M2242" s="111">
        <v>1.0</v>
      </c>
      <c r="N2242" s="111"/>
      <c r="O2242" s="111"/>
      <c r="P2242" s="111"/>
      <c r="Q2242" s="111"/>
      <c r="R2242" s="111"/>
      <c r="S2242" s="111"/>
      <c r="T2242" s="111"/>
      <c r="U2242" s="111"/>
      <c r="V2242" s="111"/>
      <c r="W2242" s="111"/>
      <c r="X2242" s="111"/>
      <c r="Y2242" s="111"/>
      <c r="Z2242" s="111" t="s">
        <v>15304</v>
      </c>
      <c r="AA2242" s="126">
        <f>IF(Projects!$AI2242="Electrolysis",
AB2242*VLOOKUP(G2242,ElectrolysisConvF,3,FALSE),
"")</f>
        <v>204.2244925</v>
      </c>
      <c r="AB2242" s="125">
        <f>AC2242/(H2dens*HoursInYear/10^6)</f>
        <v>45383.22057</v>
      </c>
      <c r="AC2242" s="125">
        <f>(112*3/17/0.98/Projects!$AJ2242)</f>
        <v>35.38257408</v>
      </c>
      <c r="AD2242" s="125"/>
      <c r="AE2242" s="125">
        <f t="shared" si="401"/>
        <v>45383.22057</v>
      </c>
      <c r="AF2242" s="127" t="s">
        <v>15305</v>
      </c>
      <c r="AG2242" s="127">
        <v>-9.7326393894419</v>
      </c>
      <c r="AH2242" s="127">
        <v>15.4260907723946</v>
      </c>
      <c r="AI2242" s="115" t="s">
        <v>12383</v>
      </c>
      <c r="AJ2242" s="116">
        <v>0.57</v>
      </c>
      <c r="AK2242" s="117"/>
      <c r="AL2242" s="117"/>
      <c r="AM2242" s="117"/>
      <c r="AN2242" s="117"/>
      <c r="AO2242" s="117"/>
    </row>
    <row r="2243" ht="34.5" customHeight="1">
      <c r="A2243" s="111">
        <v>2962.0</v>
      </c>
      <c r="B2243" s="111" t="s">
        <v>10246</v>
      </c>
      <c r="C2243" s="111" t="s">
        <v>7981</v>
      </c>
      <c r="D2243" s="111">
        <v>2027.0</v>
      </c>
      <c r="E2243" s="111"/>
      <c r="F2243" s="111" t="s">
        <v>12399</v>
      </c>
      <c r="G2243" s="111" t="s">
        <v>12241</v>
      </c>
      <c r="H2243" s="111"/>
      <c r="I2243" s="111"/>
      <c r="J2243" s="111"/>
      <c r="K2243" s="111" t="s">
        <v>30</v>
      </c>
      <c r="L2243" s="111">
        <v>1.0</v>
      </c>
      <c r="M2243" s="111"/>
      <c r="N2243" s="111"/>
      <c r="O2243" s="111"/>
      <c r="P2243" s="111"/>
      <c r="Q2243" s="111"/>
      <c r="R2243" s="111">
        <v>1.0</v>
      </c>
      <c r="S2243" s="111"/>
      <c r="T2243" s="111"/>
      <c r="U2243" s="111"/>
      <c r="V2243" s="111"/>
      <c r="W2243" s="111"/>
      <c r="X2243" s="111"/>
      <c r="Y2243" s="111"/>
      <c r="Z2243" s="111"/>
      <c r="AA2243" s="124" t="str">
        <f>IF(OR(G2243="ALK",G2243="PEM",G2243="SOEC",G2243="Other Electrolysis"),
AB2243*VLOOKUP(G2243,ElectrolysisConvF,3,FALSE),
"")</f>
        <v/>
      </c>
      <c r="AB2243" s="125"/>
      <c r="AC2243" s="125"/>
      <c r="AD2243" s="125"/>
      <c r="AE2243" s="125" t="str">
        <f t="shared" si="401"/>
        <v/>
      </c>
      <c r="AF2243" s="127" t="s">
        <v>15306</v>
      </c>
      <c r="AG2243" s="127">
        <v>25.9554298913569</v>
      </c>
      <c r="AH2243" s="127">
        <v>-97.375614372712</v>
      </c>
      <c r="AI2243" s="115" t="s">
        <v>12241</v>
      </c>
      <c r="AJ2243" s="116">
        <v>0.9</v>
      </c>
      <c r="AK2243" s="117"/>
      <c r="AL2243" s="117"/>
      <c r="AM2243" s="117"/>
      <c r="AN2243" s="117"/>
      <c r="AO2243" s="117"/>
    </row>
    <row r="2244" ht="34.5" customHeight="1">
      <c r="A2244" s="111">
        <v>2963.0</v>
      </c>
      <c r="B2244" s="111" t="s">
        <v>10247</v>
      </c>
      <c r="C2244" s="111" t="s">
        <v>7974</v>
      </c>
      <c r="D2244" s="111"/>
      <c r="E2244" s="111"/>
      <c r="F2244" s="111" t="s">
        <v>12399</v>
      </c>
      <c r="G2244" s="111" t="s">
        <v>12381</v>
      </c>
      <c r="H2244" s="111" t="s">
        <v>12230</v>
      </c>
      <c r="I2244" s="111" t="s">
        <v>12287</v>
      </c>
      <c r="J2244" s="111"/>
      <c r="K2244" s="111" t="s">
        <v>30</v>
      </c>
      <c r="L2244" s="111"/>
      <c r="M2244" s="111"/>
      <c r="N2244" s="111"/>
      <c r="O2244" s="111"/>
      <c r="P2244" s="111">
        <v>1.0</v>
      </c>
      <c r="Q2244" s="111"/>
      <c r="R2244" s="111"/>
      <c r="S2244" s="111"/>
      <c r="T2244" s="111"/>
      <c r="U2244" s="111"/>
      <c r="V2244" s="111"/>
      <c r="W2244" s="111"/>
      <c r="X2244" s="111"/>
      <c r="Y2244" s="111"/>
      <c r="Z2244" s="111" t="s">
        <v>15307</v>
      </c>
      <c r="AA2244" s="126">
        <f>IF(Projects!$AI2244="Electrolysis",
AB2244*VLOOKUP(G2244,ElectrolysisConvF,3,FALSE),
"")</f>
        <v>218.2649264</v>
      </c>
      <c r="AB2244" s="125">
        <f>AC2244/(H2dens*HoursInYear/10^6)</f>
        <v>48503.31698</v>
      </c>
      <c r="AC2244" s="125">
        <f>1000*0.21*3/17/0.98</f>
        <v>37.81512605</v>
      </c>
      <c r="AD2244" s="125"/>
      <c r="AE2244" s="125">
        <f t="shared" si="401"/>
        <v>48503.31698</v>
      </c>
      <c r="AF2244" s="127" t="s">
        <v>15308</v>
      </c>
      <c r="AG2244" s="127">
        <v>65.6225330116392</v>
      </c>
      <c r="AH2244" s="127">
        <v>22.1886228462873</v>
      </c>
      <c r="AI2244" s="115" t="s">
        <v>12383</v>
      </c>
      <c r="AJ2244" s="116">
        <v>0.57</v>
      </c>
      <c r="AK2244" s="117"/>
      <c r="AL2244" s="117"/>
      <c r="AM2244" s="117"/>
      <c r="AN2244" s="117"/>
      <c r="AO2244" s="117"/>
    </row>
    <row r="2245" ht="34.5" customHeight="1">
      <c r="A2245" s="111">
        <v>2964.0</v>
      </c>
      <c r="B2245" s="111" t="s">
        <v>10248</v>
      </c>
      <c r="C2245" s="111" t="s">
        <v>8539</v>
      </c>
      <c r="D2245" s="111">
        <v>2027.0</v>
      </c>
      <c r="E2245" s="111"/>
      <c r="F2245" s="111" t="s">
        <v>12418</v>
      </c>
      <c r="G2245" s="111" t="s">
        <v>12381</v>
      </c>
      <c r="H2245" s="111" t="s">
        <v>12230</v>
      </c>
      <c r="I2245" s="111" t="s">
        <v>12288</v>
      </c>
      <c r="J2245" s="111"/>
      <c r="K2245" s="111" t="s">
        <v>30</v>
      </c>
      <c r="L2245" s="111"/>
      <c r="M2245" s="111"/>
      <c r="N2245" s="111"/>
      <c r="O2245" s="111"/>
      <c r="P2245" s="111"/>
      <c r="Q2245" s="111"/>
      <c r="R2245" s="111"/>
      <c r="S2245" s="111"/>
      <c r="T2245" s="111"/>
      <c r="U2245" s="111"/>
      <c r="V2245" s="111"/>
      <c r="W2245" s="111"/>
      <c r="X2245" s="111"/>
      <c r="Y2245" s="111"/>
      <c r="Z2245" s="111" t="s">
        <v>12422</v>
      </c>
      <c r="AA2245" s="124">
        <v>10.0</v>
      </c>
      <c r="AB2245" s="125">
        <f>IF(Projects!$AI2245="Electrolysis",
AA2245/VLOOKUP(G2245,ElectrolysisConvF,3,FALSE),
AC2245*10^6/(H2dens*HoursInYear))</f>
        <v>2222.222222</v>
      </c>
      <c r="AC2245" s="126">
        <f>AB2245*H2dens*HoursInYear/10^6</f>
        <v>1.732533333</v>
      </c>
      <c r="AD2245" s="125"/>
      <c r="AE2245" s="125">
        <f t="shared" si="401"/>
        <v>2222.222222</v>
      </c>
      <c r="AF2245" s="127" t="s">
        <v>15309</v>
      </c>
      <c r="AG2245" s="127">
        <v>0.0</v>
      </c>
      <c r="AH2245" s="127">
        <v>0.0</v>
      </c>
      <c r="AI2245" s="115" t="s">
        <v>12383</v>
      </c>
      <c r="AJ2245" s="116">
        <v>0.8</v>
      </c>
      <c r="AK2245" s="117"/>
      <c r="AL2245" s="117"/>
      <c r="AM2245" s="117"/>
      <c r="AN2245" s="117"/>
      <c r="AO2245" s="117"/>
    </row>
    <row r="2246" ht="34.5" customHeight="1">
      <c r="A2246" s="111">
        <v>2965.0</v>
      </c>
      <c r="B2246" s="111" t="s">
        <v>10249</v>
      </c>
      <c r="C2246" s="111" t="s">
        <v>7994</v>
      </c>
      <c r="D2246" s="111"/>
      <c r="E2246" s="111"/>
      <c r="F2246" s="111" t="s">
        <v>12397</v>
      </c>
      <c r="G2246" s="111" t="s">
        <v>12381</v>
      </c>
      <c r="H2246" s="111" t="s">
        <v>12230</v>
      </c>
      <c r="I2246" s="111" t="s">
        <v>12406</v>
      </c>
      <c r="J2246" s="111"/>
      <c r="K2246" s="111" t="s">
        <v>30</v>
      </c>
      <c r="L2246" s="111"/>
      <c r="M2246" s="111"/>
      <c r="N2246" s="111"/>
      <c r="O2246" s="111"/>
      <c r="P2246" s="111">
        <v>1.0</v>
      </c>
      <c r="Q2246" s="111"/>
      <c r="R2246" s="111"/>
      <c r="S2246" s="111"/>
      <c r="T2246" s="111"/>
      <c r="U2246" s="111"/>
      <c r="V2246" s="111"/>
      <c r="W2246" s="111"/>
      <c r="X2246" s="111"/>
      <c r="Y2246" s="111"/>
      <c r="Z2246" s="111" t="s">
        <v>13656</v>
      </c>
      <c r="AA2246" s="124">
        <f>IF(Projects!$AI2246="Electrolysis",
AB2246*VLOOKUP(G2246,ElectrolysisConvF,3,FALSE),
"")</f>
        <v>101.2613109</v>
      </c>
      <c r="AB2246" s="125">
        <f t="shared" ref="AB2246:AB2258" si="419">AC2246/(H2dens*HoursInYear/10^6)</f>
        <v>22502.51353</v>
      </c>
      <c r="AC2246" s="125">
        <f>10/Projects!$AJ2246</f>
        <v>17.54385965</v>
      </c>
      <c r="AD2246" s="125"/>
      <c r="AE2246" s="125">
        <f t="shared" si="401"/>
        <v>22502.51353</v>
      </c>
      <c r="AF2246" s="127" t="s">
        <v>15310</v>
      </c>
      <c r="AG2246" s="127">
        <v>55.4803656964349</v>
      </c>
      <c r="AH2246" s="127">
        <v>9.12223280317703</v>
      </c>
      <c r="AI2246" s="115" t="s">
        <v>12383</v>
      </c>
      <c r="AJ2246" s="116">
        <v>0.57</v>
      </c>
      <c r="AK2246" s="117"/>
      <c r="AL2246" s="117"/>
      <c r="AM2246" s="117"/>
      <c r="AN2246" s="117"/>
      <c r="AO2246" s="117"/>
    </row>
    <row r="2247" ht="34.5" customHeight="1">
      <c r="A2247" s="111">
        <v>2966.0</v>
      </c>
      <c r="B2247" s="111" t="s">
        <v>10250</v>
      </c>
      <c r="C2247" s="111" t="s">
        <v>8600</v>
      </c>
      <c r="D2247" s="111">
        <v>2028.0</v>
      </c>
      <c r="E2247" s="111"/>
      <c r="F2247" s="111" t="s">
        <v>12397</v>
      </c>
      <c r="G2247" s="111" t="s">
        <v>12381</v>
      </c>
      <c r="H2247" s="111" t="s">
        <v>12230</v>
      </c>
      <c r="I2247" s="111" t="s">
        <v>12394</v>
      </c>
      <c r="J2247" s="111" t="s">
        <v>12291</v>
      </c>
      <c r="K2247" s="111" t="s">
        <v>30</v>
      </c>
      <c r="L2247" s="111"/>
      <c r="M2247" s="111">
        <v>1.0</v>
      </c>
      <c r="N2247" s="111"/>
      <c r="O2247" s="111"/>
      <c r="P2247" s="111">
        <v>1.0</v>
      </c>
      <c r="Q2247" s="111"/>
      <c r="R2247" s="111"/>
      <c r="S2247" s="111"/>
      <c r="T2247" s="111"/>
      <c r="U2247" s="111"/>
      <c r="V2247" s="111"/>
      <c r="W2247" s="111"/>
      <c r="X2247" s="111"/>
      <c r="Y2247" s="111"/>
      <c r="Z2247" s="111" t="s">
        <v>14465</v>
      </c>
      <c r="AA2247" s="126">
        <f>IF(Projects!$AI2247="Electrolysis",
AB2247*VLOOKUP(G2247,ElectrolysisConvF,3,FALSE),
"")</f>
        <v>2078.713585</v>
      </c>
      <c r="AB2247" s="125">
        <f t="shared" si="419"/>
        <v>461936.3522</v>
      </c>
      <c r="AC2247" s="125">
        <f>(600*3/17/0.98/Projects!$AJ2247)</f>
        <v>360.1440576</v>
      </c>
      <c r="AD2247" s="125"/>
      <c r="AE2247" s="125">
        <f t="shared" si="401"/>
        <v>461936.3522</v>
      </c>
      <c r="AF2247" s="127" t="s">
        <v>15311</v>
      </c>
      <c r="AG2247" s="127">
        <v>29.4647640594241</v>
      </c>
      <c r="AH2247" s="127">
        <v>-112.208944595666</v>
      </c>
      <c r="AI2247" s="115" t="s">
        <v>12383</v>
      </c>
      <c r="AJ2247" s="116">
        <v>0.3</v>
      </c>
      <c r="AK2247" s="117"/>
      <c r="AL2247" s="117"/>
      <c r="AM2247" s="117"/>
      <c r="AN2247" s="117"/>
      <c r="AO2247" s="117"/>
    </row>
    <row r="2248" ht="34.5" customHeight="1">
      <c r="A2248" s="111">
        <v>2967.0</v>
      </c>
      <c r="B2248" s="111" t="s">
        <v>10251</v>
      </c>
      <c r="C2248" s="111" t="s">
        <v>8600</v>
      </c>
      <c r="D2248" s="111">
        <v>2030.0</v>
      </c>
      <c r="E2248" s="111"/>
      <c r="F2248" s="111" t="s">
        <v>12397</v>
      </c>
      <c r="G2248" s="111" t="s">
        <v>12381</v>
      </c>
      <c r="H2248" s="111" t="s">
        <v>12230</v>
      </c>
      <c r="I2248" s="111" t="s">
        <v>12394</v>
      </c>
      <c r="J2248" s="111" t="s">
        <v>12291</v>
      </c>
      <c r="K2248" s="111" t="s">
        <v>30</v>
      </c>
      <c r="L2248" s="111"/>
      <c r="M2248" s="111">
        <v>1.0</v>
      </c>
      <c r="N2248" s="111"/>
      <c r="O2248" s="111"/>
      <c r="P2248" s="111">
        <v>1.0</v>
      </c>
      <c r="Q2248" s="111"/>
      <c r="R2248" s="111"/>
      <c r="S2248" s="111"/>
      <c r="T2248" s="111"/>
      <c r="U2248" s="111"/>
      <c r="V2248" s="111"/>
      <c r="W2248" s="111"/>
      <c r="X2248" s="111"/>
      <c r="Y2248" s="111"/>
      <c r="Z2248" s="111" t="s">
        <v>15312</v>
      </c>
      <c r="AA2248" s="126">
        <f>IF(Projects!$AI2248="Electrolysis",
AB2248*VLOOKUP(G2248,ElectrolysisConvF,3,FALSE),
"")</f>
        <v>2078.713585</v>
      </c>
      <c r="AB2248" s="125">
        <f t="shared" si="419"/>
        <v>461936.3522</v>
      </c>
      <c r="AC2248" s="125">
        <f>(600*3/17/0.98/Projects!$AJ2248)</f>
        <v>360.1440576</v>
      </c>
      <c r="AD2248" s="125"/>
      <c r="AE2248" s="125">
        <f t="shared" si="401"/>
        <v>461936.3522</v>
      </c>
      <c r="AF2248" s="127" t="s">
        <v>15311</v>
      </c>
      <c r="AG2248" s="127">
        <v>29.4647640594241</v>
      </c>
      <c r="AH2248" s="127">
        <v>-112.208944595666</v>
      </c>
      <c r="AI2248" s="115" t="s">
        <v>12383</v>
      </c>
      <c r="AJ2248" s="116">
        <v>0.3</v>
      </c>
      <c r="AK2248" s="117"/>
      <c r="AL2248" s="117"/>
      <c r="AM2248" s="117"/>
      <c r="AN2248" s="117"/>
      <c r="AO2248" s="117"/>
    </row>
    <row r="2249" ht="34.5" customHeight="1">
      <c r="A2249" s="111">
        <v>2968.0</v>
      </c>
      <c r="B2249" s="111" t="s">
        <v>10252</v>
      </c>
      <c r="C2249" s="111" t="s">
        <v>8001</v>
      </c>
      <c r="D2249" s="111">
        <v>2026.0</v>
      </c>
      <c r="E2249" s="111"/>
      <c r="F2249" s="111" t="s">
        <v>12393</v>
      </c>
      <c r="G2249" s="111" t="s">
        <v>12239</v>
      </c>
      <c r="H2249" s="111"/>
      <c r="I2249" s="111"/>
      <c r="J2249" s="111"/>
      <c r="K2249" s="111" t="s">
        <v>12415</v>
      </c>
      <c r="L2249" s="111"/>
      <c r="M2249" s="111"/>
      <c r="N2249" s="111">
        <v>1.0</v>
      </c>
      <c r="O2249" s="111"/>
      <c r="P2249" s="111"/>
      <c r="Q2249" s="111"/>
      <c r="R2249" s="111"/>
      <c r="S2249" s="111"/>
      <c r="T2249" s="111"/>
      <c r="U2249" s="111"/>
      <c r="V2249" s="111"/>
      <c r="W2249" s="111"/>
      <c r="X2249" s="111"/>
      <c r="Y2249" s="111"/>
      <c r="Z2249" s="111" t="s">
        <v>15313</v>
      </c>
      <c r="AA2249" s="126" t="str">
        <f>IF(Projects!$AI2249="Electrolysis",
AB2249*VLOOKUP(G2249,ElectrolysisConvF,3,FALSE),
"")</f>
        <v/>
      </c>
      <c r="AB2249" s="125">
        <f t="shared" si="419"/>
        <v>29448.5147</v>
      </c>
      <c r="AC2249" s="125">
        <f>(120*0.191327)</f>
        <v>22.95924</v>
      </c>
      <c r="AD2249" s="125"/>
      <c r="AE2249" s="125">
        <f t="shared" si="401"/>
        <v>29448.5147</v>
      </c>
      <c r="AF2249" s="127" t="s">
        <v>15314</v>
      </c>
      <c r="AG2249" s="127">
        <v>34.050780694017</v>
      </c>
      <c r="AH2249" s="127">
        <v>113.796998936743</v>
      </c>
      <c r="AI2249" s="115" t="s">
        <v>12241</v>
      </c>
      <c r="AJ2249" s="116">
        <v>0.9</v>
      </c>
      <c r="AK2249" s="117"/>
      <c r="AL2249" s="117"/>
      <c r="AM2249" s="117"/>
      <c r="AN2249" s="117"/>
      <c r="AO2249" s="117"/>
    </row>
    <row r="2250" ht="34.5" customHeight="1">
      <c r="A2250" s="111">
        <v>2969.0</v>
      </c>
      <c r="B2250" s="111" t="s">
        <v>10253</v>
      </c>
      <c r="C2250" s="111" t="s">
        <v>8001</v>
      </c>
      <c r="D2250" s="111"/>
      <c r="E2250" s="111"/>
      <c r="F2250" s="111" t="s">
        <v>12399</v>
      </c>
      <c r="G2250" s="111" t="s">
        <v>12381</v>
      </c>
      <c r="H2250" s="111" t="s">
        <v>12230</v>
      </c>
      <c r="I2250" s="111" t="s">
        <v>12287</v>
      </c>
      <c r="J2250" s="111"/>
      <c r="K2250" s="111" t="s">
        <v>12415</v>
      </c>
      <c r="L2250" s="111"/>
      <c r="M2250" s="111"/>
      <c r="N2250" s="111">
        <v>1.0</v>
      </c>
      <c r="O2250" s="111"/>
      <c r="P2250" s="111"/>
      <c r="Q2250" s="111"/>
      <c r="R2250" s="111"/>
      <c r="S2250" s="111"/>
      <c r="T2250" s="111"/>
      <c r="U2250" s="111"/>
      <c r="V2250" s="111"/>
      <c r="W2250" s="111"/>
      <c r="X2250" s="111"/>
      <c r="Y2250" s="111"/>
      <c r="Z2250" s="111" t="s">
        <v>15315</v>
      </c>
      <c r="AA2250" s="126">
        <f>IF(Projects!$AI2250="Electrolysis",
AB2250*VLOOKUP(G2250,ElectrolysisConvF,3,FALSE),
"")</f>
        <v>231.9070533</v>
      </c>
      <c r="AB2250" s="125">
        <f t="shared" si="419"/>
        <v>51534.90072</v>
      </c>
      <c r="AC2250" s="125">
        <f>(210*0.191327)</f>
        <v>40.17867</v>
      </c>
      <c r="AD2250" s="125"/>
      <c r="AE2250" s="125"/>
      <c r="AF2250" s="127" t="s">
        <v>15316</v>
      </c>
      <c r="AG2250" s="127">
        <v>37.4120770681614</v>
      </c>
      <c r="AH2250" s="127">
        <v>118.719826556485</v>
      </c>
      <c r="AI2250" s="115" t="s">
        <v>12383</v>
      </c>
      <c r="AJ2250" s="116">
        <v>0.57</v>
      </c>
      <c r="AK2250" s="117"/>
      <c r="AL2250" s="117"/>
      <c r="AM2250" s="117"/>
      <c r="AN2250" s="117"/>
      <c r="AO2250" s="117"/>
    </row>
    <row r="2251" ht="34.5" customHeight="1">
      <c r="A2251" s="111">
        <v>2970.0</v>
      </c>
      <c r="B2251" s="111" t="s">
        <v>10254</v>
      </c>
      <c r="C2251" s="111" t="s">
        <v>8001</v>
      </c>
      <c r="D2251" s="111"/>
      <c r="E2251" s="111"/>
      <c r="F2251" s="111" t="s">
        <v>12399</v>
      </c>
      <c r="G2251" s="111" t="s">
        <v>12381</v>
      </c>
      <c r="H2251" s="111" t="s">
        <v>12230</v>
      </c>
      <c r="I2251" s="111" t="s">
        <v>12394</v>
      </c>
      <c r="J2251" s="111" t="s">
        <v>12292</v>
      </c>
      <c r="K2251" s="111" t="s">
        <v>12415</v>
      </c>
      <c r="L2251" s="111"/>
      <c r="M2251" s="111"/>
      <c r="N2251" s="111">
        <v>1.0</v>
      </c>
      <c r="O2251" s="111"/>
      <c r="P2251" s="111"/>
      <c r="Q2251" s="111"/>
      <c r="R2251" s="111"/>
      <c r="S2251" s="111"/>
      <c r="T2251" s="111"/>
      <c r="U2251" s="111"/>
      <c r="V2251" s="111"/>
      <c r="W2251" s="111"/>
      <c r="X2251" s="111"/>
      <c r="Y2251" s="111"/>
      <c r="Z2251" s="111" t="s">
        <v>15317</v>
      </c>
      <c r="AA2251" s="126">
        <f>IF(Projects!$AI2251="Electrolysis",
AB2251*VLOOKUP(G2251,ElectrolysisConvF,3,FALSE),
"")</f>
        <v>496.9436855</v>
      </c>
      <c r="AB2251" s="125">
        <f t="shared" si="419"/>
        <v>110431.9301</v>
      </c>
      <c r="AC2251" s="125">
        <f>(450*0.191327)</f>
        <v>86.09715</v>
      </c>
      <c r="AD2251" s="125"/>
      <c r="AE2251" s="125"/>
      <c r="AF2251" s="127" t="s">
        <v>15316</v>
      </c>
      <c r="AG2251" s="127">
        <v>44.1201177758482</v>
      </c>
      <c r="AH2251" s="127">
        <v>87.2458443861379</v>
      </c>
      <c r="AI2251" s="115" t="s">
        <v>12383</v>
      </c>
      <c r="AJ2251" s="116">
        <v>0.4</v>
      </c>
      <c r="AK2251" s="117"/>
      <c r="AL2251" s="117"/>
      <c r="AM2251" s="117"/>
      <c r="AN2251" s="117"/>
      <c r="AO2251" s="117"/>
    </row>
    <row r="2252" ht="34.5" customHeight="1">
      <c r="A2252" s="111">
        <v>2971.0</v>
      </c>
      <c r="B2252" s="111" t="s">
        <v>10255</v>
      </c>
      <c r="C2252" s="111" t="s">
        <v>8001</v>
      </c>
      <c r="D2252" s="111"/>
      <c r="E2252" s="111"/>
      <c r="F2252" s="111" t="s">
        <v>12399</v>
      </c>
      <c r="G2252" s="111" t="s">
        <v>12381</v>
      </c>
      <c r="H2252" s="111" t="s">
        <v>12230</v>
      </c>
      <c r="I2252" s="111" t="s">
        <v>12287</v>
      </c>
      <c r="J2252" s="111"/>
      <c r="K2252" s="111" t="s">
        <v>12415</v>
      </c>
      <c r="L2252" s="111"/>
      <c r="M2252" s="111"/>
      <c r="N2252" s="111">
        <v>1.0</v>
      </c>
      <c r="O2252" s="111"/>
      <c r="P2252" s="111"/>
      <c r="Q2252" s="111"/>
      <c r="R2252" s="111"/>
      <c r="S2252" s="111"/>
      <c r="T2252" s="111"/>
      <c r="U2252" s="111"/>
      <c r="V2252" s="111"/>
      <c r="W2252" s="111"/>
      <c r="X2252" s="111"/>
      <c r="Y2252" s="111"/>
      <c r="Z2252" s="111" t="s">
        <v>15248</v>
      </c>
      <c r="AA2252" s="126">
        <f>IF(Projects!$AI2252="Electrolysis",
AB2252*VLOOKUP(G2252,ElectrolysisConvF,3,FALSE),
"")</f>
        <v>552.1596506</v>
      </c>
      <c r="AB2252" s="125">
        <f t="shared" si="419"/>
        <v>122702.1446</v>
      </c>
      <c r="AC2252" s="125">
        <f>500*0.191327</f>
        <v>95.6635</v>
      </c>
      <c r="AD2252" s="125"/>
      <c r="AE2252" s="125">
        <f t="shared" ref="AE2252:AE2285" si="420">IF(AND(G2252&lt;&gt;"NG w CCUS",G2252&lt;&gt;"Oil w CCUS",G2252&lt;&gt;"Coal w CCUS"),AB2252,AD2252*10^3/(HoursInYear*IF(G2252="NG w CCUS",0.9105,1.9075)))</f>
        <v>122702.1446</v>
      </c>
      <c r="AF2252" s="127" t="s">
        <v>15316</v>
      </c>
      <c r="AG2252" s="127">
        <v>37.4177271861722</v>
      </c>
      <c r="AH2252" s="127">
        <v>121.430625272712</v>
      </c>
      <c r="AI2252" s="115" t="s">
        <v>12383</v>
      </c>
      <c r="AJ2252" s="116">
        <v>0.57</v>
      </c>
      <c r="AK2252" s="117"/>
      <c r="AL2252" s="117"/>
      <c r="AM2252" s="117"/>
      <c r="AN2252" s="117"/>
      <c r="AO2252" s="117"/>
    </row>
    <row r="2253" ht="34.5" customHeight="1">
      <c r="A2253" s="111">
        <v>2972.0</v>
      </c>
      <c r="B2253" s="127" t="s">
        <v>10256</v>
      </c>
      <c r="C2253" s="111" t="s">
        <v>8001</v>
      </c>
      <c r="D2253" s="111"/>
      <c r="E2253" s="111"/>
      <c r="F2253" s="111" t="s">
        <v>12399</v>
      </c>
      <c r="G2253" s="111" t="s">
        <v>12381</v>
      </c>
      <c r="H2253" s="111" t="s">
        <v>12230</v>
      </c>
      <c r="I2253" s="111" t="s">
        <v>12394</v>
      </c>
      <c r="J2253" s="111" t="s">
        <v>12292</v>
      </c>
      <c r="K2253" s="111" t="s">
        <v>12415</v>
      </c>
      <c r="L2253" s="111"/>
      <c r="M2253" s="111"/>
      <c r="N2253" s="111">
        <v>1.0</v>
      </c>
      <c r="O2253" s="111"/>
      <c r="P2253" s="111"/>
      <c r="Q2253" s="111"/>
      <c r="R2253" s="111"/>
      <c r="S2253" s="111"/>
      <c r="T2253" s="111"/>
      <c r="U2253" s="111"/>
      <c r="V2253" s="111"/>
      <c r="W2253" s="111"/>
      <c r="X2253" s="111"/>
      <c r="Y2253" s="111"/>
      <c r="Z2253" s="111" t="s">
        <v>15318</v>
      </c>
      <c r="AA2253" s="126">
        <f>IF(Projects!$AI2253="Electrolysis",
AB2253*VLOOKUP(G2253,ElectrolysisConvF,3,FALSE),
"")</f>
        <v>198.7774742</v>
      </c>
      <c r="AB2253" s="125">
        <f t="shared" si="419"/>
        <v>44172.77205</v>
      </c>
      <c r="AC2253" s="125">
        <f>(180*0.191327)</f>
        <v>34.43886</v>
      </c>
      <c r="AD2253" s="125"/>
      <c r="AE2253" s="125">
        <f t="shared" si="420"/>
        <v>44172.77205</v>
      </c>
      <c r="AF2253" s="127" t="s">
        <v>15316</v>
      </c>
      <c r="AG2253" s="127">
        <v>41.1282450014997</v>
      </c>
      <c r="AH2253" s="127">
        <v>121.110976987243</v>
      </c>
      <c r="AI2253" s="115" t="s">
        <v>12383</v>
      </c>
      <c r="AJ2253" s="116">
        <v>0.4</v>
      </c>
      <c r="AK2253" s="117"/>
      <c r="AL2253" s="117"/>
      <c r="AM2253" s="117"/>
      <c r="AN2253" s="117"/>
      <c r="AO2253" s="117"/>
    </row>
    <row r="2254" ht="34.5" customHeight="1">
      <c r="A2254" s="111">
        <v>2973.0</v>
      </c>
      <c r="B2254" s="111" t="s">
        <v>10257</v>
      </c>
      <c r="C2254" s="111" t="s">
        <v>8001</v>
      </c>
      <c r="D2254" s="111"/>
      <c r="E2254" s="111"/>
      <c r="F2254" s="111" t="s">
        <v>12399</v>
      </c>
      <c r="G2254" s="111" t="s">
        <v>12381</v>
      </c>
      <c r="H2254" s="111" t="s">
        <v>12230</v>
      </c>
      <c r="I2254" s="111" t="s">
        <v>12394</v>
      </c>
      <c r="J2254" s="111" t="s">
        <v>12292</v>
      </c>
      <c r="K2254" s="111" t="s">
        <v>12415</v>
      </c>
      <c r="L2254" s="111"/>
      <c r="M2254" s="111"/>
      <c r="N2254" s="111">
        <v>1.0</v>
      </c>
      <c r="O2254" s="111"/>
      <c r="P2254" s="111"/>
      <c r="Q2254" s="111"/>
      <c r="R2254" s="111"/>
      <c r="S2254" s="111"/>
      <c r="T2254" s="111"/>
      <c r="U2254" s="111"/>
      <c r="V2254" s="111"/>
      <c r="W2254" s="111"/>
      <c r="X2254" s="111"/>
      <c r="Y2254" s="111"/>
      <c r="Z2254" s="111" t="s">
        <v>15313</v>
      </c>
      <c r="AA2254" s="126">
        <f>IF(Projects!$AI2254="Electrolysis",
AB2254*VLOOKUP(G2254,ElectrolysisConvF,3,FALSE),
"")</f>
        <v>132.5183161</v>
      </c>
      <c r="AB2254" s="125">
        <f t="shared" si="419"/>
        <v>29448.5147</v>
      </c>
      <c r="AC2254" s="125">
        <f>(120*0.191327)</f>
        <v>22.95924</v>
      </c>
      <c r="AD2254" s="125"/>
      <c r="AE2254" s="125">
        <f t="shared" si="420"/>
        <v>29448.5147</v>
      </c>
      <c r="AF2254" s="127" t="s">
        <v>15316</v>
      </c>
      <c r="AG2254" s="127">
        <v>42.3003276145551</v>
      </c>
      <c r="AH2254" s="127">
        <v>118.905704345328</v>
      </c>
      <c r="AI2254" s="115" t="s">
        <v>12383</v>
      </c>
      <c r="AJ2254" s="116">
        <v>0.4</v>
      </c>
      <c r="AK2254" s="117"/>
      <c r="AL2254" s="117"/>
      <c r="AM2254" s="117"/>
      <c r="AN2254" s="117"/>
      <c r="AO2254" s="117"/>
    </row>
    <row r="2255" ht="34.5" customHeight="1">
      <c r="A2255" s="111">
        <v>2974.0</v>
      </c>
      <c r="B2255" s="111" t="s">
        <v>10258</v>
      </c>
      <c r="C2255" s="111" t="s">
        <v>8001</v>
      </c>
      <c r="D2255" s="111"/>
      <c r="E2255" s="111"/>
      <c r="F2255" s="111" t="s">
        <v>12399</v>
      </c>
      <c r="G2255" s="111" t="s">
        <v>12381</v>
      </c>
      <c r="H2255" s="111" t="s">
        <v>12230</v>
      </c>
      <c r="I2255" s="111" t="s">
        <v>12287</v>
      </c>
      <c r="J2255" s="111"/>
      <c r="K2255" s="111" t="s">
        <v>12415</v>
      </c>
      <c r="L2255" s="111"/>
      <c r="M2255" s="111"/>
      <c r="N2255" s="111">
        <v>1.0</v>
      </c>
      <c r="O2255" s="111"/>
      <c r="P2255" s="111"/>
      <c r="Q2255" s="111"/>
      <c r="R2255" s="111"/>
      <c r="S2255" s="111"/>
      <c r="T2255" s="111"/>
      <c r="U2255" s="111"/>
      <c r="V2255" s="111"/>
      <c r="W2255" s="111"/>
      <c r="X2255" s="111"/>
      <c r="Y2255" s="111"/>
      <c r="Z2255" s="111" t="s">
        <v>15319</v>
      </c>
      <c r="AA2255" s="126">
        <f>IF(Projects!$AI2255="Electrolysis",
AB2255*VLOOKUP(G2255,ElectrolysisConvF,3,FALSE),
"")</f>
        <v>5521.596506</v>
      </c>
      <c r="AB2255" s="125">
        <f t="shared" si="419"/>
        <v>1227021.446</v>
      </c>
      <c r="AC2255" s="125">
        <f>(5000*0.191327)</f>
        <v>956.635</v>
      </c>
      <c r="AD2255" s="125"/>
      <c r="AE2255" s="125">
        <f t="shared" si="420"/>
        <v>1227021.446</v>
      </c>
      <c r="AF2255" s="127" t="s">
        <v>15316</v>
      </c>
      <c r="AG2255" s="127">
        <v>40.6370890132863</v>
      </c>
      <c r="AH2255" s="127">
        <v>122.271195528197</v>
      </c>
      <c r="AI2255" s="115" t="s">
        <v>12383</v>
      </c>
      <c r="AJ2255" s="116">
        <v>0.57</v>
      </c>
      <c r="AK2255" s="117"/>
      <c r="AL2255" s="117"/>
      <c r="AM2255" s="117"/>
      <c r="AN2255" s="117"/>
      <c r="AO2255" s="117"/>
    </row>
    <row r="2256" ht="34.5" customHeight="1">
      <c r="A2256" s="111">
        <v>2975.0</v>
      </c>
      <c r="B2256" s="111" t="s">
        <v>10259</v>
      </c>
      <c r="C2256" s="111" t="s">
        <v>8001</v>
      </c>
      <c r="D2256" s="111"/>
      <c r="E2256" s="111"/>
      <c r="F2256" s="111" t="s">
        <v>12399</v>
      </c>
      <c r="G2256" s="111" t="s">
        <v>12381</v>
      </c>
      <c r="H2256" s="111" t="s">
        <v>12230</v>
      </c>
      <c r="I2256" s="111" t="s">
        <v>12287</v>
      </c>
      <c r="J2256" s="111"/>
      <c r="K2256" s="111" t="s">
        <v>12415</v>
      </c>
      <c r="L2256" s="111"/>
      <c r="M2256" s="111"/>
      <c r="N2256" s="111">
        <v>1.0</v>
      </c>
      <c r="O2256" s="111"/>
      <c r="P2256" s="111"/>
      <c r="Q2256" s="111"/>
      <c r="R2256" s="111"/>
      <c r="S2256" s="111"/>
      <c r="T2256" s="111"/>
      <c r="U2256" s="111"/>
      <c r="V2256" s="111"/>
      <c r="W2256" s="111"/>
      <c r="X2256" s="111"/>
      <c r="Y2256" s="111"/>
      <c r="Z2256" s="111" t="s">
        <v>14911</v>
      </c>
      <c r="AA2256" s="126">
        <f>IF(Projects!$AI2256="Electrolysis",
AB2256*VLOOKUP(G2256,ElectrolysisConvF,3,FALSE),
"")</f>
        <v>331.2957904</v>
      </c>
      <c r="AB2256" s="125">
        <f t="shared" si="419"/>
        <v>73621.28675</v>
      </c>
      <c r="AC2256" s="125">
        <f>300*0.191327</f>
        <v>57.3981</v>
      </c>
      <c r="AD2256" s="125"/>
      <c r="AE2256" s="125">
        <f t="shared" si="420"/>
        <v>73621.28675</v>
      </c>
      <c r="AF2256" s="127" t="s">
        <v>15316</v>
      </c>
      <c r="AG2256" s="127">
        <v>33.3653223761457</v>
      </c>
      <c r="AH2256" s="127">
        <v>120.179080699451</v>
      </c>
      <c r="AI2256" s="115" t="s">
        <v>12383</v>
      </c>
      <c r="AJ2256" s="116">
        <v>0.57</v>
      </c>
      <c r="AK2256" s="117"/>
      <c r="AL2256" s="117"/>
      <c r="AM2256" s="117"/>
      <c r="AN2256" s="117"/>
      <c r="AO2256" s="117"/>
    </row>
    <row r="2257" ht="34.5" customHeight="1">
      <c r="A2257" s="111">
        <v>2976.0</v>
      </c>
      <c r="B2257" s="111" t="s">
        <v>10260</v>
      </c>
      <c r="C2257" s="111" t="s">
        <v>8001</v>
      </c>
      <c r="D2257" s="111">
        <v>2024.0</v>
      </c>
      <c r="E2257" s="111"/>
      <c r="F2257" s="111" t="s">
        <v>12399</v>
      </c>
      <c r="G2257" s="111" t="s">
        <v>12381</v>
      </c>
      <c r="H2257" s="111" t="s">
        <v>12230</v>
      </c>
      <c r="I2257" s="111" t="s">
        <v>12287</v>
      </c>
      <c r="J2257" s="111"/>
      <c r="K2257" s="111" t="s">
        <v>12415</v>
      </c>
      <c r="L2257" s="111"/>
      <c r="M2257" s="111"/>
      <c r="N2257" s="111"/>
      <c r="O2257" s="111"/>
      <c r="P2257" s="111"/>
      <c r="Q2257" s="111">
        <v>1.0</v>
      </c>
      <c r="R2257" s="111"/>
      <c r="S2257" s="111"/>
      <c r="T2257" s="111"/>
      <c r="U2257" s="111"/>
      <c r="V2257" s="111"/>
      <c r="W2257" s="111"/>
      <c r="X2257" s="111"/>
      <c r="Y2257" s="111"/>
      <c r="Z2257" s="111" t="s">
        <v>15320</v>
      </c>
      <c r="AA2257" s="126">
        <f>IF(Projects!$AI2257="Electrolysis",
AB2257*VLOOKUP(G2257,ElectrolysisConvF,3,FALSE),
"")</f>
        <v>419.6413345</v>
      </c>
      <c r="AB2257" s="125">
        <f t="shared" si="419"/>
        <v>93253.62988</v>
      </c>
      <c r="AC2257" s="125">
        <f>(380*0.191327)</f>
        <v>72.70426</v>
      </c>
      <c r="AD2257" s="125"/>
      <c r="AE2257" s="125">
        <f t="shared" si="420"/>
        <v>93253.62988</v>
      </c>
      <c r="AF2257" s="127" t="s">
        <v>15321</v>
      </c>
      <c r="AG2257" s="127">
        <v>32.1267586841422</v>
      </c>
      <c r="AH2257" s="127">
        <v>118.781643194689</v>
      </c>
      <c r="AI2257" s="115" t="s">
        <v>12383</v>
      </c>
      <c r="AJ2257" s="116">
        <v>0.57</v>
      </c>
      <c r="AK2257" s="117"/>
      <c r="AL2257" s="117"/>
      <c r="AM2257" s="117"/>
      <c r="AN2257" s="117"/>
      <c r="AO2257" s="117"/>
    </row>
    <row r="2258" ht="34.5" customHeight="1">
      <c r="A2258" s="111">
        <v>2977.0</v>
      </c>
      <c r="B2258" s="111" t="s">
        <v>10261</v>
      </c>
      <c r="C2258" s="111" t="s">
        <v>8001</v>
      </c>
      <c r="D2258" s="111"/>
      <c r="E2258" s="111"/>
      <c r="F2258" s="111" t="s">
        <v>12399</v>
      </c>
      <c r="G2258" s="111" t="s">
        <v>12381</v>
      </c>
      <c r="H2258" s="111" t="s">
        <v>12230</v>
      </c>
      <c r="I2258" s="111" t="s">
        <v>12287</v>
      </c>
      <c r="J2258" s="111"/>
      <c r="K2258" s="111" t="s">
        <v>12415</v>
      </c>
      <c r="L2258" s="111"/>
      <c r="M2258" s="111"/>
      <c r="N2258" s="111">
        <v>1.0</v>
      </c>
      <c r="O2258" s="111"/>
      <c r="P2258" s="111"/>
      <c r="Q2258" s="111"/>
      <c r="R2258" s="111"/>
      <c r="S2258" s="111"/>
      <c r="T2258" s="111"/>
      <c r="U2258" s="111"/>
      <c r="V2258" s="111"/>
      <c r="W2258" s="111"/>
      <c r="X2258" s="111"/>
      <c r="Y2258" s="111"/>
      <c r="Z2258" s="111" t="s">
        <v>14911</v>
      </c>
      <c r="AA2258" s="126">
        <f>IF(Projects!$AI2258="Electrolysis",
AB2258*VLOOKUP(G2258,ElectrolysisConvF,3,FALSE),
"")</f>
        <v>331.2957904</v>
      </c>
      <c r="AB2258" s="125">
        <f t="shared" si="419"/>
        <v>73621.28675</v>
      </c>
      <c r="AC2258" s="125">
        <f>300*0.191327</f>
        <v>57.3981</v>
      </c>
      <c r="AD2258" s="125"/>
      <c r="AE2258" s="125">
        <f t="shared" si="420"/>
        <v>73621.28675</v>
      </c>
      <c r="AF2258" s="127" t="s">
        <v>15316</v>
      </c>
      <c r="AG2258" s="127">
        <v>33.3653223761457</v>
      </c>
      <c r="AH2258" s="127">
        <v>120.179080699451</v>
      </c>
      <c r="AI2258" s="115" t="s">
        <v>12383</v>
      </c>
      <c r="AJ2258" s="116">
        <v>0.57</v>
      </c>
      <c r="AK2258" s="117"/>
      <c r="AL2258" s="117"/>
      <c r="AM2258" s="117"/>
      <c r="AN2258" s="117"/>
      <c r="AO2258" s="117"/>
    </row>
    <row r="2259" ht="34.5" customHeight="1">
      <c r="A2259" s="111">
        <v>2978.0</v>
      </c>
      <c r="B2259" s="111" t="s">
        <v>10262</v>
      </c>
      <c r="C2259" s="111" t="s">
        <v>8590</v>
      </c>
      <c r="D2259" s="111">
        <v>2025.0</v>
      </c>
      <c r="E2259" s="111"/>
      <c r="F2259" s="111" t="s">
        <v>12397</v>
      </c>
      <c r="G2259" s="111" t="s">
        <v>12381</v>
      </c>
      <c r="H2259" s="111" t="s">
        <v>12230</v>
      </c>
      <c r="I2259" s="111" t="s">
        <v>12287</v>
      </c>
      <c r="J2259" s="111"/>
      <c r="K2259" s="111" t="s">
        <v>30</v>
      </c>
      <c r="L2259" s="111"/>
      <c r="M2259" s="111">
        <v>1.0</v>
      </c>
      <c r="N2259" s="111"/>
      <c r="O2259" s="111"/>
      <c r="P2259" s="111"/>
      <c r="Q2259" s="111"/>
      <c r="R2259" s="111"/>
      <c r="S2259" s="111"/>
      <c r="T2259" s="111"/>
      <c r="U2259" s="111"/>
      <c r="V2259" s="111"/>
      <c r="W2259" s="111"/>
      <c r="X2259" s="111"/>
      <c r="Y2259" s="111"/>
      <c r="Z2259" s="111" t="s">
        <v>15322</v>
      </c>
      <c r="AA2259" s="124">
        <v>140.0</v>
      </c>
      <c r="AB2259" s="125">
        <f>IF(Projects!$AI2259="Electrolysis",
AA2259/VLOOKUP(G2259,ElectrolysisConvF,3,FALSE),
AC2259*10^6/(H2dens*HoursInYear))</f>
        <v>31111.11111</v>
      </c>
      <c r="AC2259" s="126">
        <f>AB2259*H2dens*HoursInYear/10^6</f>
        <v>24.25546667</v>
      </c>
      <c r="AD2259" s="125"/>
      <c r="AE2259" s="125">
        <f t="shared" si="420"/>
        <v>31111.11111</v>
      </c>
      <c r="AF2259" s="127" t="s">
        <v>15323</v>
      </c>
      <c r="AG2259" s="127">
        <v>-8.39346819778973</v>
      </c>
      <c r="AH2259" s="127">
        <v>-34.9676970474933</v>
      </c>
      <c r="AI2259" s="115" t="s">
        <v>12383</v>
      </c>
      <c r="AJ2259" s="116">
        <v>0.57</v>
      </c>
      <c r="AK2259" s="117"/>
      <c r="AL2259" s="117"/>
      <c r="AM2259" s="117"/>
      <c r="AN2259" s="117"/>
      <c r="AO2259" s="117"/>
    </row>
    <row r="2260" ht="34.5" customHeight="1">
      <c r="A2260" s="111">
        <v>2979.0</v>
      </c>
      <c r="B2260" s="111" t="s">
        <v>10263</v>
      </c>
      <c r="C2260" s="111" t="s">
        <v>8001</v>
      </c>
      <c r="D2260" s="111"/>
      <c r="E2260" s="111"/>
      <c r="F2260" s="111" t="s">
        <v>12399</v>
      </c>
      <c r="G2260" s="111" t="s">
        <v>12381</v>
      </c>
      <c r="H2260" s="111" t="s">
        <v>12230</v>
      </c>
      <c r="I2260" s="111" t="s">
        <v>12287</v>
      </c>
      <c r="J2260" s="111"/>
      <c r="K2260" s="111" t="s">
        <v>12415</v>
      </c>
      <c r="L2260" s="111"/>
      <c r="M2260" s="111"/>
      <c r="N2260" s="111">
        <v>1.0</v>
      </c>
      <c r="O2260" s="111"/>
      <c r="P2260" s="111"/>
      <c r="Q2260" s="111"/>
      <c r="R2260" s="111"/>
      <c r="S2260" s="111"/>
      <c r="T2260" s="111"/>
      <c r="U2260" s="111"/>
      <c r="V2260" s="111"/>
      <c r="W2260" s="111"/>
      <c r="X2260" s="111"/>
      <c r="Y2260" s="111"/>
      <c r="Z2260" s="111" t="s">
        <v>15324</v>
      </c>
      <c r="AA2260" s="126">
        <f>IF(Projects!$AI2260="Electrolysis",
AB2260*VLOOKUP(G2260,ElectrolysisConvF,3,FALSE),
"")</f>
        <v>1104.319301</v>
      </c>
      <c r="AB2260" s="125">
        <f t="shared" ref="AB2260:AB2285" si="421">AC2260/(H2dens*HoursInYear/10^6)</f>
        <v>245404.2892</v>
      </c>
      <c r="AC2260" s="125">
        <f>(1000*0.191327)</f>
        <v>191.327</v>
      </c>
      <c r="AD2260" s="125"/>
      <c r="AE2260" s="125">
        <f t="shared" si="420"/>
        <v>245404.2892</v>
      </c>
      <c r="AF2260" s="127" t="s">
        <v>15316</v>
      </c>
      <c r="AG2260" s="127">
        <v>36.6282727442959</v>
      </c>
      <c r="AH2260" s="127">
        <v>114.440800371181</v>
      </c>
      <c r="AI2260" s="115" t="s">
        <v>12383</v>
      </c>
      <c r="AJ2260" s="116">
        <v>0.57</v>
      </c>
      <c r="AK2260" s="117"/>
      <c r="AL2260" s="117"/>
      <c r="AM2260" s="117"/>
      <c r="AN2260" s="117"/>
      <c r="AO2260" s="117"/>
    </row>
    <row r="2261" ht="34.5" customHeight="1">
      <c r="A2261" s="111">
        <v>2980.0</v>
      </c>
      <c r="B2261" s="111" t="s">
        <v>10264</v>
      </c>
      <c r="C2261" s="111" t="s">
        <v>8001</v>
      </c>
      <c r="D2261" s="111"/>
      <c r="E2261" s="111"/>
      <c r="F2261" s="111" t="s">
        <v>12418</v>
      </c>
      <c r="G2261" s="111" t="s">
        <v>12381</v>
      </c>
      <c r="H2261" s="111" t="s">
        <v>12230</v>
      </c>
      <c r="I2261" s="111" t="s">
        <v>12287</v>
      </c>
      <c r="J2261" s="111"/>
      <c r="K2261" s="111" t="s">
        <v>12415</v>
      </c>
      <c r="L2261" s="111"/>
      <c r="M2261" s="111"/>
      <c r="N2261" s="111">
        <v>1.0</v>
      </c>
      <c r="O2261" s="111"/>
      <c r="P2261" s="111"/>
      <c r="Q2261" s="111"/>
      <c r="R2261" s="111"/>
      <c r="S2261" s="111"/>
      <c r="T2261" s="111"/>
      <c r="U2261" s="111"/>
      <c r="V2261" s="111"/>
      <c r="W2261" s="111"/>
      <c r="X2261" s="111"/>
      <c r="Y2261" s="111"/>
      <c r="Z2261" s="111" t="s">
        <v>15191</v>
      </c>
      <c r="AA2261" s="126">
        <f>IF(Projects!$AI2261="Electrolysis",
AB2261*VLOOKUP(G2261,ElectrolysisConvF,3,FALSE),
"")</f>
        <v>110.4319301</v>
      </c>
      <c r="AB2261" s="125">
        <f t="shared" si="421"/>
        <v>24540.42892</v>
      </c>
      <c r="AC2261" s="125">
        <f>(100*0.191327)</f>
        <v>19.1327</v>
      </c>
      <c r="AD2261" s="125"/>
      <c r="AE2261" s="125">
        <f t="shared" si="420"/>
        <v>24540.42892</v>
      </c>
      <c r="AF2261" s="127" t="s">
        <v>15316</v>
      </c>
      <c r="AG2261" s="127">
        <v>30.0027683517081</v>
      </c>
      <c r="AH2261" s="127">
        <v>122.210475958779</v>
      </c>
      <c r="AI2261" s="115" t="s">
        <v>12383</v>
      </c>
      <c r="AJ2261" s="116">
        <v>0.57</v>
      </c>
      <c r="AK2261" s="117"/>
      <c r="AL2261" s="117"/>
      <c r="AM2261" s="117"/>
      <c r="AN2261" s="117"/>
      <c r="AO2261" s="117"/>
    </row>
    <row r="2262" ht="34.5" customHeight="1">
      <c r="A2262" s="111">
        <v>2981.0</v>
      </c>
      <c r="B2262" s="111" t="s">
        <v>10265</v>
      </c>
      <c r="C2262" s="111" t="s">
        <v>8001</v>
      </c>
      <c r="D2262" s="111"/>
      <c r="E2262" s="111"/>
      <c r="F2262" s="111" t="s">
        <v>12399</v>
      </c>
      <c r="G2262" s="111" t="s">
        <v>12381</v>
      </c>
      <c r="H2262" s="111" t="s">
        <v>12230</v>
      </c>
      <c r="I2262" s="111" t="s">
        <v>12287</v>
      </c>
      <c r="J2262" s="111"/>
      <c r="K2262" s="111" t="s">
        <v>12415</v>
      </c>
      <c r="L2262" s="111"/>
      <c r="M2262" s="111"/>
      <c r="N2262" s="111">
        <v>1.0</v>
      </c>
      <c r="O2262" s="111"/>
      <c r="P2262" s="111"/>
      <c r="Q2262" s="111"/>
      <c r="R2262" s="111"/>
      <c r="S2262" s="111"/>
      <c r="T2262" s="111"/>
      <c r="U2262" s="111"/>
      <c r="V2262" s="111"/>
      <c r="W2262" s="111"/>
      <c r="X2262" s="111"/>
      <c r="Y2262" s="111"/>
      <c r="Z2262" s="111" t="s">
        <v>15325</v>
      </c>
      <c r="AA2262" s="126">
        <f>IF(Projects!$AI2262="Electrolysis",
AB2262*VLOOKUP(G2262,ElectrolysisConvF,3,FALSE),
"")</f>
        <v>176.6910882</v>
      </c>
      <c r="AB2262" s="125">
        <f t="shared" si="421"/>
        <v>39264.68627</v>
      </c>
      <c r="AC2262" s="125">
        <f>(160*0.191327)</f>
        <v>30.61232</v>
      </c>
      <c r="AD2262" s="125"/>
      <c r="AE2262" s="125">
        <f t="shared" si="420"/>
        <v>39264.68627</v>
      </c>
      <c r="AF2262" s="127" t="s">
        <v>15316</v>
      </c>
      <c r="AG2262" s="127">
        <v>26.6717820491934</v>
      </c>
      <c r="AH2262" s="127">
        <v>107.973499139875</v>
      </c>
      <c r="AI2262" s="115" t="s">
        <v>12383</v>
      </c>
      <c r="AJ2262" s="116">
        <v>0.57</v>
      </c>
      <c r="AK2262" s="117"/>
      <c r="AL2262" s="117"/>
      <c r="AM2262" s="117"/>
      <c r="AN2262" s="117"/>
      <c r="AO2262" s="117"/>
    </row>
    <row r="2263" ht="34.5" customHeight="1">
      <c r="A2263" s="111">
        <v>2982.0</v>
      </c>
      <c r="B2263" s="111" t="s">
        <v>10266</v>
      </c>
      <c r="C2263" s="111" t="s">
        <v>8001</v>
      </c>
      <c r="D2263" s="111"/>
      <c r="E2263" s="111"/>
      <c r="F2263" s="111" t="s">
        <v>12399</v>
      </c>
      <c r="G2263" s="111" t="s">
        <v>12381</v>
      </c>
      <c r="H2263" s="111" t="s">
        <v>12230</v>
      </c>
      <c r="I2263" s="111" t="s">
        <v>12287</v>
      </c>
      <c r="J2263" s="111"/>
      <c r="K2263" s="111" t="s">
        <v>12415</v>
      </c>
      <c r="L2263" s="111"/>
      <c r="M2263" s="111"/>
      <c r="N2263" s="111">
        <v>1.0</v>
      </c>
      <c r="O2263" s="111"/>
      <c r="P2263" s="111"/>
      <c r="Q2263" s="111"/>
      <c r="R2263" s="111"/>
      <c r="S2263" s="111"/>
      <c r="T2263" s="111"/>
      <c r="U2263" s="111"/>
      <c r="V2263" s="111"/>
      <c r="W2263" s="111"/>
      <c r="X2263" s="111"/>
      <c r="Y2263" s="111"/>
      <c r="Z2263" s="111" t="s">
        <v>14911</v>
      </c>
      <c r="AA2263" s="126">
        <f>IF(Projects!$AI2263="Electrolysis",
AB2263*VLOOKUP(G2263,ElectrolysisConvF,3,FALSE),
"")</f>
        <v>331.2957904</v>
      </c>
      <c r="AB2263" s="125">
        <f t="shared" si="421"/>
        <v>73621.28675</v>
      </c>
      <c r="AC2263" s="125">
        <f>300*0.191327</f>
        <v>57.3981</v>
      </c>
      <c r="AD2263" s="125"/>
      <c r="AE2263" s="125">
        <f t="shared" si="420"/>
        <v>73621.28675</v>
      </c>
      <c r="AF2263" s="127" t="s">
        <v>15316</v>
      </c>
      <c r="AG2263" s="127">
        <v>45.6256610172764</v>
      </c>
      <c r="AH2263" s="127">
        <v>122.840992821297</v>
      </c>
      <c r="AI2263" s="115" t="s">
        <v>12383</v>
      </c>
      <c r="AJ2263" s="116">
        <v>0.57</v>
      </c>
      <c r="AK2263" s="117"/>
      <c r="AL2263" s="117"/>
      <c r="AM2263" s="117"/>
      <c r="AN2263" s="117"/>
      <c r="AO2263" s="117"/>
    </row>
    <row r="2264" ht="34.5" customHeight="1">
      <c r="A2264" s="111">
        <v>2983.0</v>
      </c>
      <c r="B2264" s="111" t="s">
        <v>10267</v>
      </c>
      <c r="C2264" s="111" t="s">
        <v>8001</v>
      </c>
      <c r="D2264" s="111"/>
      <c r="E2264" s="111"/>
      <c r="F2264" s="111" t="s">
        <v>12399</v>
      </c>
      <c r="G2264" s="111" t="s">
        <v>12381</v>
      </c>
      <c r="H2264" s="111" t="s">
        <v>12230</v>
      </c>
      <c r="I2264" s="111" t="s">
        <v>12287</v>
      </c>
      <c r="J2264" s="111"/>
      <c r="K2264" s="111" t="s">
        <v>12415</v>
      </c>
      <c r="L2264" s="111"/>
      <c r="M2264" s="111"/>
      <c r="N2264" s="111">
        <v>1.0</v>
      </c>
      <c r="O2264" s="111"/>
      <c r="P2264" s="111"/>
      <c r="Q2264" s="111"/>
      <c r="R2264" s="111"/>
      <c r="S2264" s="111"/>
      <c r="T2264" s="111"/>
      <c r="U2264" s="111"/>
      <c r="V2264" s="111"/>
      <c r="W2264" s="111"/>
      <c r="X2264" s="111"/>
      <c r="Y2264" s="111"/>
      <c r="Z2264" s="111" t="s">
        <v>15324</v>
      </c>
      <c r="AA2264" s="126">
        <f>IF(Projects!$AI2264="Electrolysis",
AB2264*VLOOKUP(G2264,ElectrolysisConvF,3,FALSE),
"")</f>
        <v>1104.319301</v>
      </c>
      <c r="AB2264" s="125">
        <f t="shared" si="421"/>
        <v>245404.2892</v>
      </c>
      <c r="AC2264" s="125">
        <f>(1000*0.191327)</f>
        <v>191.327</v>
      </c>
      <c r="AD2264" s="125"/>
      <c r="AE2264" s="125">
        <f t="shared" si="420"/>
        <v>245404.2892</v>
      </c>
      <c r="AF2264" s="127" t="s">
        <v>15316</v>
      </c>
      <c r="AG2264" s="127">
        <v>46.6797626753215</v>
      </c>
      <c r="AH2264" s="127">
        <v>131.165417352668</v>
      </c>
      <c r="AI2264" s="115" t="s">
        <v>12383</v>
      </c>
      <c r="AJ2264" s="116">
        <v>0.57</v>
      </c>
      <c r="AK2264" s="117"/>
      <c r="AL2264" s="117"/>
      <c r="AM2264" s="117"/>
      <c r="AN2264" s="117"/>
      <c r="AO2264" s="117"/>
    </row>
    <row r="2265" ht="34.5" customHeight="1">
      <c r="A2265" s="111">
        <v>2984.0</v>
      </c>
      <c r="B2265" s="127" t="s">
        <v>10268</v>
      </c>
      <c r="C2265" s="111" t="s">
        <v>8001</v>
      </c>
      <c r="D2265" s="111"/>
      <c r="E2265" s="111"/>
      <c r="F2265" s="111" t="s">
        <v>12399</v>
      </c>
      <c r="G2265" s="111" t="s">
        <v>12381</v>
      </c>
      <c r="H2265" s="111" t="s">
        <v>12230</v>
      </c>
      <c r="I2265" s="111" t="s">
        <v>12394</v>
      </c>
      <c r="J2265" s="111" t="s">
        <v>12292</v>
      </c>
      <c r="K2265" s="111" t="s">
        <v>12415</v>
      </c>
      <c r="L2265" s="111"/>
      <c r="M2265" s="111"/>
      <c r="N2265" s="111">
        <v>1.0</v>
      </c>
      <c r="O2265" s="111"/>
      <c r="P2265" s="111"/>
      <c r="Q2265" s="111"/>
      <c r="R2265" s="111"/>
      <c r="S2265" s="111"/>
      <c r="T2265" s="111"/>
      <c r="U2265" s="111"/>
      <c r="V2265" s="111"/>
      <c r="W2265" s="111"/>
      <c r="X2265" s="111"/>
      <c r="Y2265" s="111"/>
      <c r="Z2265" s="111" t="s">
        <v>14911</v>
      </c>
      <c r="AA2265" s="126">
        <f>IF(Projects!$AI2265="Electrolysis",
AB2265*VLOOKUP(G2265,ElectrolysisConvF,3,FALSE),
"")</f>
        <v>331.2957904</v>
      </c>
      <c r="AB2265" s="125">
        <f t="shared" si="421"/>
        <v>73621.28675</v>
      </c>
      <c r="AC2265" s="125">
        <f>300*0.191327</f>
        <v>57.3981</v>
      </c>
      <c r="AD2265" s="125"/>
      <c r="AE2265" s="125">
        <f t="shared" si="420"/>
        <v>73621.28675</v>
      </c>
      <c r="AF2265" s="127" t="s">
        <v>15316</v>
      </c>
      <c r="AG2265" s="127">
        <v>45.3119416772561</v>
      </c>
      <c r="AH2265" s="127">
        <v>130.963420609269</v>
      </c>
      <c r="AI2265" s="115" t="s">
        <v>12383</v>
      </c>
      <c r="AJ2265" s="116">
        <v>0.4</v>
      </c>
      <c r="AK2265" s="117"/>
      <c r="AL2265" s="117"/>
      <c r="AM2265" s="117"/>
      <c r="AN2265" s="117"/>
      <c r="AO2265" s="117"/>
    </row>
    <row r="2266" ht="34.5" customHeight="1">
      <c r="A2266" s="111">
        <v>2985.0</v>
      </c>
      <c r="B2266" s="127" t="s">
        <v>10269</v>
      </c>
      <c r="C2266" s="111" t="s">
        <v>8001</v>
      </c>
      <c r="D2266" s="111"/>
      <c r="E2266" s="111"/>
      <c r="F2266" s="111" t="s">
        <v>12399</v>
      </c>
      <c r="G2266" s="111" t="s">
        <v>12239</v>
      </c>
      <c r="H2266" s="111"/>
      <c r="I2266" s="111"/>
      <c r="J2266" s="111"/>
      <c r="K2266" s="111" t="s">
        <v>12415</v>
      </c>
      <c r="L2266" s="111"/>
      <c r="M2266" s="111"/>
      <c r="N2266" s="111">
        <v>1.0</v>
      </c>
      <c r="O2266" s="111"/>
      <c r="P2266" s="111"/>
      <c r="Q2266" s="111">
        <v>1.0</v>
      </c>
      <c r="R2266" s="111"/>
      <c r="S2266" s="111"/>
      <c r="T2266" s="111"/>
      <c r="U2266" s="111"/>
      <c r="V2266" s="111"/>
      <c r="W2266" s="111"/>
      <c r="X2266" s="111"/>
      <c r="Y2266" s="111"/>
      <c r="Z2266" s="111" t="s">
        <v>15326</v>
      </c>
      <c r="AA2266" s="126" t="str">
        <f>IF(Projects!$AI2266="Electrolysis",
AB2266*VLOOKUP(G2266,ElectrolysisConvF,3,FALSE),
"")</f>
        <v/>
      </c>
      <c r="AB2266" s="125">
        <f t="shared" si="421"/>
        <v>36810.64337</v>
      </c>
      <c r="AC2266" s="125">
        <f>(150*0.191327)</f>
        <v>28.69905</v>
      </c>
      <c r="AD2266" s="125"/>
      <c r="AE2266" s="125">
        <f t="shared" si="420"/>
        <v>36810.64337</v>
      </c>
      <c r="AF2266" s="127" t="s">
        <v>15327</v>
      </c>
      <c r="AG2266" s="127">
        <v>29.6930292258961</v>
      </c>
      <c r="AH2266" s="127">
        <v>115.651464337188</v>
      </c>
      <c r="AI2266" s="115" t="s">
        <v>12241</v>
      </c>
      <c r="AJ2266" s="116">
        <v>0.9</v>
      </c>
      <c r="AK2266" s="117"/>
      <c r="AL2266" s="117"/>
      <c r="AM2266" s="117"/>
      <c r="AN2266" s="117"/>
      <c r="AO2266" s="117"/>
    </row>
    <row r="2267" ht="34.5" customHeight="1">
      <c r="A2267" s="111">
        <v>2986.0</v>
      </c>
      <c r="B2267" s="127" t="s">
        <v>10270</v>
      </c>
      <c r="C2267" s="111" t="s">
        <v>8001</v>
      </c>
      <c r="D2267" s="111"/>
      <c r="E2267" s="111"/>
      <c r="F2267" s="111" t="s">
        <v>12393</v>
      </c>
      <c r="G2267" s="111" t="s">
        <v>12239</v>
      </c>
      <c r="H2267" s="111"/>
      <c r="I2267" s="111"/>
      <c r="J2267" s="111"/>
      <c r="K2267" s="111" t="s">
        <v>12415</v>
      </c>
      <c r="L2267" s="111"/>
      <c r="M2267" s="111"/>
      <c r="N2267" s="111">
        <v>1.0</v>
      </c>
      <c r="O2267" s="111"/>
      <c r="P2267" s="111"/>
      <c r="Q2267" s="111"/>
      <c r="R2267" s="111"/>
      <c r="S2267" s="111"/>
      <c r="T2267" s="111"/>
      <c r="U2267" s="111"/>
      <c r="V2267" s="111"/>
      <c r="W2267" s="111"/>
      <c r="X2267" s="111"/>
      <c r="Y2267" s="111"/>
      <c r="Z2267" s="111" t="s">
        <v>14911</v>
      </c>
      <c r="AA2267" s="126" t="str">
        <f>IF(Projects!$AI2267="Electrolysis",
AB2267*VLOOKUP(G2267,ElectrolysisConvF,3,FALSE),
"")</f>
        <v/>
      </c>
      <c r="AB2267" s="125">
        <f t="shared" si="421"/>
        <v>73621.28675</v>
      </c>
      <c r="AC2267" s="125">
        <f t="shared" ref="AC2267:AC2268" si="422">300*0.191327</f>
        <v>57.3981</v>
      </c>
      <c r="AD2267" s="125"/>
      <c r="AE2267" s="125">
        <f t="shared" si="420"/>
        <v>73621.28675</v>
      </c>
      <c r="AF2267" s="127" t="s">
        <v>15328</v>
      </c>
      <c r="AG2267" s="127">
        <v>42.3003276145551</v>
      </c>
      <c r="AH2267" s="127">
        <v>118.905704345328</v>
      </c>
      <c r="AI2267" s="115" t="s">
        <v>12241</v>
      </c>
      <c r="AJ2267" s="116">
        <v>0.9</v>
      </c>
      <c r="AK2267" s="117"/>
      <c r="AL2267" s="117"/>
      <c r="AM2267" s="117"/>
      <c r="AN2267" s="117"/>
      <c r="AO2267" s="117"/>
    </row>
    <row r="2268" ht="34.5" customHeight="1">
      <c r="A2268" s="111">
        <v>2987.0</v>
      </c>
      <c r="B2268" s="127" t="s">
        <v>10271</v>
      </c>
      <c r="C2268" s="111" t="s">
        <v>8001</v>
      </c>
      <c r="D2268" s="111"/>
      <c r="E2268" s="111"/>
      <c r="F2268" s="111" t="s">
        <v>12393</v>
      </c>
      <c r="G2268" s="111" t="s">
        <v>12381</v>
      </c>
      <c r="H2268" s="111" t="s">
        <v>12230</v>
      </c>
      <c r="I2268" s="111" t="s">
        <v>12394</v>
      </c>
      <c r="J2268" s="111" t="s">
        <v>12295</v>
      </c>
      <c r="K2268" s="111" t="s">
        <v>12481</v>
      </c>
      <c r="L2268" s="111"/>
      <c r="M2268" s="111">
        <v>1.0</v>
      </c>
      <c r="N2268" s="111">
        <v>1.0</v>
      </c>
      <c r="O2268" s="111"/>
      <c r="P2268" s="111"/>
      <c r="Q2268" s="111"/>
      <c r="R2268" s="111"/>
      <c r="S2268" s="111"/>
      <c r="T2268" s="111"/>
      <c r="U2268" s="111"/>
      <c r="V2268" s="111"/>
      <c r="W2268" s="111"/>
      <c r="X2268" s="111"/>
      <c r="Y2268" s="111"/>
      <c r="Z2268" s="111" t="s">
        <v>14911</v>
      </c>
      <c r="AA2268" s="126">
        <f>IF(Projects!$AI2268="Electrolysis",
AB2268*VLOOKUP(G2268,ElectrolysisConvF,3,FALSE),
"")</f>
        <v>331.2957904</v>
      </c>
      <c r="AB2268" s="125">
        <f t="shared" si="421"/>
        <v>73621.28675</v>
      </c>
      <c r="AC2268" s="125">
        <f t="shared" si="422"/>
        <v>57.3981</v>
      </c>
      <c r="AD2268" s="125"/>
      <c r="AE2268" s="125">
        <f t="shared" si="420"/>
        <v>73621.28675</v>
      </c>
      <c r="AF2268" s="127" t="s">
        <v>15329</v>
      </c>
      <c r="AG2268" s="127">
        <v>43.657080269121</v>
      </c>
      <c r="AH2268" s="127">
        <v>122.200916393583</v>
      </c>
      <c r="AI2268" s="115" t="s">
        <v>12383</v>
      </c>
      <c r="AJ2268" s="116">
        <v>0.5</v>
      </c>
      <c r="AK2268" s="117"/>
      <c r="AL2268" s="117"/>
      <c r="AM2268" s="117"/>
      <c r="AN2268" s="117"/>
      <c r="AO2268" s="117"/>
    </row>
    <row r="2269" ht="34.5" customHeight="1">
      <c r="A2269" s="111">
        <v>2988.0</v>
      </c>
      <c r="B2269" s="111" t="s">
        <v>10272</v>
      </c>
      <c r="C2269" s="111" t="s">
        <v>8001</v>
      </c>
      <c r="D2269" s="111">
        <v>2023.0</v>
      </c>
      <c r="E2269" s="111"/>
      <c r="F2269" s="111" t="s">
        <v>12385</v>
      </c>
      <c r="G2269" s="111" t="s">
        <v>12381</v>
      </c>
      <c r="H2269" s="111" t="s">
        <v>12230</v>
      </c>
      <c r="I2269" s="111" t="s">
        <v>12287</v>
      </c>
      <c r="J2269" s="111"/>
      <c r="K2269" s="111" t="s">
        <v>12415</v>
      </c>
      <c r="L2269" s="111"/>
      <c r="M2269" s="111"/>
      <c r="N2269" s="111">
        <v>1.0</v>
      </c>
      <c r="O2269" s="111"/>
      <c r="P2269" s="111"/>
      <c r="Q2269" s="111"/>
      <c r="R2269" s="111"/>
      <c r="S2269" s="111"/>
      <c r="T2269" s="111"/>
      <c r="U2269" s="111"/>
      <c r="V2269" s="111"/>
      <c r="W2269" s="111"/>
      <c r="X2269" s="111"/>
      <c r="Y2269" s="111"/>
      <c r="Z2269" s="111" t="s">
        <v>15191</v>
      </c>
      <c r="AA2269" s="126">
        <f>IF(Projects!$AI2269="Electrolysis",
AB2269*VLOOKUP(G2269,ElectrolysisConvF,3,FALSE),
"")</f>
        <v>110.4319301</v>
      </c>
      <c r="AB2269" s="125">
        <f t="shared" si="421"/>
        <v>24540.42892</v>
      </c>
      <c r="AC2269" s="125">
        <f>(100*0.191327)</f>
        <v>19.1327</v>
      </c>
      <c r="AD2269" s="125"/>
      <c r="AE2269" s="125">
        <f t="shared" si="420"/>
        <v>24540.42892</v>
      </c>
      <c r="AF2269" s="127" t="s">
        <v>15330</v>
      </c>
      <c r="AG2269" s="127">
        <v>34.6205416039302</v>
      </c>
      <c r="AH2269" s="127">
        <v>119.106890144275</v>
      </c>
      <c r="AI2269" s="115" t="s">
        <v>12383</v>
      </c>
      <c r="AJ2269" s="116">
        <v>0.57</v>
      </c>
      <c r="AK2269" s="117"/>
      <c r="AL2269" s="117"/>
      <c r="AM2269" s="117"/>
      <c r="AN2269" s="117"/>
      <c r="AO2269" s="117"/>
    </row>
    <row r="2270" ht="34.5" customHeight="1">
      <c r="A2270" s="111">
        <v>2989.0</v>
      </c>
      <c r="B2270" s="111" t="s">
        <v>10273</v>
      </c>
      <c r="C2270" s="111" t="s">
        <v>8001</v>
      </c>
      <c r="D2270" s="111"/>
      <c r="E2270" s="111"/>
      <c r="F2270" s="111" t="s">
        <v>12393</v>
      </c>
      <c r="G2270" s="111" t="s">
        <v>12381</v>
      </c>
      <c r="H2270" s="111" t="s">
        <v>12230</v>
      </c>
      <c r="I2270" s="111" t="s">
        <v>12287</v>
      </c>
      <c r="J2270" s="111"/>
      <c r="K2270" s="111" t="s">
        <v>12415</v>
      </c>
      <c r="L2270" s="111"/>
      <c r="M2270" s="111"/>
      <c r="N2270" s="111">
        <v>1.0</v>
      </c>
      <c r="O2270" s="111"/>
      <c r="P2270" s="111"/>
      <c r="Q2270" s="111"/>
      <c r="R2270" s="111"/>
      <c r="S2270" s="111"/>
      <c r="T2270" s="111"/>
      <c r="U2270" s="111"/>
      <c r="V2270" s="111"/>
      <c r="W2270" s="111"/>
      <c r="X2270" s="111"/>
      <c r="Y2270" s="111"/>
      <c r="Z2270" s="111" t="s">
        <v>15253</v>
      </c>
      <c r="AA2270" s="126">
        <f>IF(Projects!$AI2270="Electrolysis",
AB2270*VLOOKUP(G2270,ElectrolysisConvF,3,FALSE),
"")</f>
        <v>773.0235109</v>
      </c>
      <c r="AB2270" s="125">
        <f t="shared" si="421"/>
        <v>171783.0024</v>
      </c>
      <c r="AC2270" s="125">
        <f>(700*0.191327)</f>
        <v>133.9289</v>
      </c>
      <c r="AD2270" s="125"/>
      <c r="AE2270" s="125">
        <f t="shared" si="420"/>
        <v>171783.0024</v>
      </c>
      <c r="AF2270" s="127" t="s">
        <v>15316</v>
      </c>
      <c r="AG2270" s="127">
        <v>39.5172318501697</v>
      </c>
      <c r="AH2270" s="127">
        <v>107.079938047575</v>
      </c>
      <c r="AI2270" s="115" t="s">
        <v>12383</v>
      </c>
      <c r="AJ2270" s="116">
        <v>0.57</v>
      </c>
      <c r="AK2270" s="117"/>
      <c r="AL2270" s="117"/>
      <c r="AM2270" s="117"/>
      <c r="AN2270" s="117"/>
      <c r="AO2270" s="117"/>
    </row>
    <row r="2271" ht="34.5" customHeight="1">
      <c r="A2271" s="111">
        <v>2990.0</v>
      </c>
      <c r="B2271" s="111" t="s">
        <v>10274</v>
      </c>
      <c r="C2271" s="111" t="s">
        <v>8001</v>
      </c>
      <c r="D2271" s="111"/>
      <c r="E2271" s="111"/>
      <c r="F2271" s="111" t="s">
        <v>12418</v>
      </c>
      <c r="G2271" s="111" t="s">
        <v>12381</v>
      </c>
      <c r="H2271" s="111" t="s">
        <v>12230</v>
      </c>
      <c r="I2271" s="111" t="s">
        <v>12394</v>
      </c>
      <c r="J2271" s="111" t="s">
        <v>12295</v>
      </c>
      <c r="K2271" s="111" t="s">
        <v>174</v>
      </c>
      <c r="L2271" s="111"/>
      <c r="M2271" s="111">
        <v>1.0</v>
      </c>
      <c r="N2271" s="111">
        <v>1.0</v>
      </c>
      <c r="O2271" s="111"/>
      <c r="P2271" s="111"/>
      <c r="Q2271" s="111"/>
      <c r="R2271" s="111"/>
      <c r="S2271" s="111"/>
      <c r="T2271" s="111"/>
      <c r="U2271" s="111"/>
      <c r="V2271" s="111"/>
      <c r="W2271" s="111"/>
      <c r="X2271" s="111"/>
      <c r="Y2271" s="111"/>
      <c r="Z2271" s="111" t="s">
        <v>15331</v>
      </c>
      <c r="AA2271" s="126">
        <f>IF(Projects!$AI2271="Electrolysis",
AB2271*VLOOKUP(G2271,ElectrolysisConvF,3,FALSE),
"")</f>
        <v>361.1124115</v>
      </c>
      <c r="AB2271" s="125">
        <f t="shared" si="421"/>
        <v>80247.20256</v>
      </c>
      <c r="AC2271" s="125">
        <f>(327*0.191327)</f>
        <v>62.563929</v>
      </c>
      <c r="AD2271" s="125"/>
      <c r="AE2271" s="125">
        <f t="shared" si="420"/>
        <v>80247.20256</v>
      </c>
      <c r="AF2271" s="127" t="s">
        <v>15332</v>
      </c>
      <c r="AG2271" s="127">
        <v>45.1468985491529</v>
      </c>
      <c r="AH2271" s="127">
        <v>124.828845075208</v>
      </c>
      <c r="AI2271" s="115" t="s">
        <v>12383</v>
      </c>
      <c r="AJ2271" s="116">
        <v>0.5</v>
      </c>
      <c r="AK2271" s="117"/>
      <c r="AL2271" s="117"/>
      <c r="AM2271" s="117"/>
      <c r="AN2271" s="117"/>
      <c r="AO2271" s="117"/>
    </row>
    <row r="2272" ht="34.5" customHeight="1">
      <c r="A2272" s="111">
        <v>2991.0</v>
      </c>
      <c r="B2272" s="111" t="s">
        <v>10275</v>
      </c>
      <c r="C2272" s="111" t="s">
        <v>8001</v>
      </c>
      <c r="D2272" s="111">
        <v>2024.0</v>
      </c>
      <c r="E2272" s="111"/>
      <c r="F2272" s="111" t="s">
        <v>12418</v>
      </c>
      <c r="G2272" s="111" t="s">
        <v>12381</v>
      </c>
      <c r="H2272" s="111" t="s">
        <v>12230</v>
      </c>
      <c r="I2272" s="111" t="s">
        <v>12394</v>
      </c>
      <c r="J2272" s="111" t="s">
        <v>12292</v>
      </c>
      <c r="K2272" s="111" t="s">
        <v>12415</v>
      </c>
      <c r="L2272" s="111"/>
      <c r="M2272" s="111"/>
      <c r="N2272" s="111">
        <v>1.0</v>
      </c>
      <c r="O2272" s="111"/>
      <c r="P2272" s="111"/>
      <c r="Q2272" s="111"/>
      <c r="R2272" s="111"/>
      <c r="S2272" s="111"/>
      <c r="T2272" s="111"/>
      <c r="U2272" s="111"/>
      <c r="V2272" s="111"/>
      <c r="W2272" s="111"/>
      <c r="X2272" s="111"/>
      <c r="Y2272" s="111"/>
      <c r="Z2272" s="111" t="s">
        <v>15191</v>
      </c>
      <c r="AA2272" s="126">
        <f>IF(Projects!$AI2272="Electrolysis",
AB2272*VLOOKUP(G2272,ElectrolysisConvF,3,FALSE),
"")</f>
        <v>110.4319301</v>
      </c>
      <c r="AB2272" s="125">
        <f t="shared" si="421"/>
        <v>24540.42892</v>
      </c>
      <c r="AC2272" s="125">
        <f>(100*0.191327)</f>
        <v>19.1327</v>
      </c>
      <c r="AD2272" s="125"/>
      <c r="AE2272" s="125">
        <f t="shared" si="420"/>
        <v>24540.42892</v>
      </c>
      <c r="AF2272" s="127" t="s">
        <v>15333</v>
      </c>
      <c r="AG2272" s="127">
        <v>42.2818768085899</v>
      </c>
      <c r="AH2272" s="127">
        <v>123.808967892541</v>
      </c>
      <c r="AI2272" s="115" t="s">
        <v>12383</v>
      </c>
      <c r="AJ2272" s="116">
        <v>0.4</v>
      </c>
      <c r="AK2272" s="117"/>
      <c r="AL2272" s="117"/>
      <c r="AM2272" s="117"/>
      <c r="AN2272" s="117"/>
      <c r="AO2272" s="117"/>
    </row>
    <row r="2273" ht="34.5" customHeight="1">
      <c r="A2273" s="111">
        <v>2992.0</v>
      </c>
      <c r="B2273" s="111" t="s">
        <v>10276</v>
      </c>
      <c r="C2273" s="111" t="s">
        <v>8001</v>
      </c>
      <c r="D2273" s="111"/>
      <c r="E2273" s="111"/>
      <c r="F2273" s="111" t="s">
        <v>12397</v>
      </c>
      <c r="G2273" s="111" t="s">
        <v>12239</v>
      </c>
      <c r="H2273" s="111"/>
      <c r="I2273" s="111"/>
      <c r="J2273" s="111"/>
      <c r="K2273" s="111" t="s">
        <v>12415</v>
      </c>
      <c r="L2273" s="111"/>
      <c r="M2273" s="111"/>
      <c r="N2273" s="111">
        <v>1.0</v>
      </c>
      <c r="O2273" s="111"/>
      <c r="P2273" s="111"/>
      <c r="Q2273" s="111"/>
      <c r="R2273" s="111"/>
      <c r="S2273" s="111"/>
      <c r="T2273" s="111"/>
      <c r="U2273" s="111"/>
      <c r="V2273" s="111"/>
      <c r="W2273" s="111"/>
      <c r="X2273" s="111"/>
      <c r="Y2273" s="111"/>
      <c r="Z2273" s="111" t="s">
        <v>15326</v>
      </c>
      <c r="AA2273" s="126" t="str">
        <f>IF(Projects!$AI2273="Electrolysis",
AB2273*VLOOKUP(G2273,ElectrolysisConvF,3,FALSE),
"")</f>
        <v/>
      </c>
      <c r="AB2273" s="125">
        <f t="shared" si="421"/>
        <v>36810.64337</v>
      </c>
      <c r="AC2273" s="125">
        <f>(150*0.191327)</f>
        <v>28.69905</v>
      </c>
      <c r="AD2273" s="125"/>
      <c r="AE2273" s="125">
        <f t="shared" si="420"/>
        <v>36810.64337</v>
      </c>
      <c r="AF2273" s="127" t="s">
        <v>15316</v>
      </c>
      <c r="AG2273" s="127">
        <v>21.4834298899254</v>
      </c>
      <c r="AH2273" s="127">
        <v>109.184310370403</v>
      </c>
      <c r="AI2273" s="115" t="s">
        <v>12241</v>
      </c>
      <c r="AJ2273" s="116">
        <v>0.9</v>
      </c>
      <c r="AK2273" s="117"/>
      <c r="AL2273" s="117"/>
      <c r="AM2273" s="117"/>
      <c r="AN2273" s="117"/>
      <c r="AO2273" s="117"/>
    </row>
    <row r="2274" ht="34.5" customHeight="1">
      <c r="A2274" s="111">
        <v>2993.0</v>
      </c>
      <c r="B2274" s="111" t="s">
        <v>10277</v>
      </c>
      <c r="C2274" s="111" t="s">
        <v>8001</v>
      </c>
      <c r="D2274" s="111"/>
      <c r="E2274" s="111"/>
      <c r="F2274" s="111" t="s">
        <v>12399</v>
      </c>
      <c r="G2274" s="111" t="s">
        <v>12381</v>
      </c>
      <c r="H2274" s="111" t="s">
        <v>12230</v>
      </c>
      <c r="I2274" s="111" t="s">
        <v>12394</v>
      </c>
      <c r="J2274" s="111" t="s">
        <v>12295</v>
      </c>
      <c r="K2274" s="111" t="s">
        <v>12481</v>
      </c>
      <c r="L2274" s="111"/>
      <c r="M2274" s="111">
        <v>1.0</v>
      </c>
      <c r="N2274" s="111">
        <v>1.0</v>
      </c>
      <c r="O2274" s="111"/>
      <c r="P2274" s="111"/>
      <c r="Q2274" s="111"/>
      <c r="R2274" s="111"/>
      <c r="S2274" s="111"/>
      <c r="T2274" s="111"/>
      <c r="U2274" s="111"/>
      <c r="V2274" s="111"/>
      <c r="W2274" s="111"/>
      <c r="X2274" s="111"/>
      <c r="Y2274" s="111"/>
      <c r="Z2274" s="111" t="s">
        <v>15334</v>
      </c>
      <c r="AA2274" s="126">
        <f>IF(Projects!$AI2274="Electrolysis",
AB2274*VLOOKUP(G2274,ElectrolysisConvF,3,FALSE),
"")</f>
        <v>883.455441</v>
      </c>
      <c r="AB2274" s="125">
        <f t="shared" si="421"/>
        <v>196323.4313</v>
      </c>
      <c r="AC2274" s="125">
        <f>(800*0.191327)</f>
        <v>153.0616</v>
      </c>
      <c r="AD2274" s="125"/>
      <c r="AE2274" s="125">
        <f t="shared" si="420"/>
        <v>196323.4313</v>
      </c>
      <c r="AF2274" s="127" t="s">
        <v>15316</v>
      </c>
      <c r="AG2274" s="127">
        <v>46.4282473146947</v>
      </c>
      <c r="AH2274" s="127">
        <v>125.384251892132</v>
      </c>
      <c r="AI2274" s="115" t="s">
        <v>12383</v>
      </c>
      <c r="AJ2274" s="116">
        <v>0.5</v>
      </c>
      <c r="AK2274" s="117"/>
      <c r="AL2274" s="117"/>
      <c r="AM2274" s="117"/>
      <c r="AN2274" s="117"/>
      <c r="AO2274" s="117"/>
    </row>
    <row r="2275" ht="34.5" customHeight="1">
      <c r="A2275" s="111">
        <v>2994.0</v>
      </c>
      <c r="B2275" s="111" t="s">
        <v>10278</v>
      </c>
      <c r="C2275" s="111" t="s">
        <v>8001</v>
      </c>
      <c r="D2275" s="111"/>
      <c r="E2275" s="111"/>
      <c r="F2275" s="111" t="s">
        <v>12399</v>
      </c>
      <c r="G2275" s="111" t="s">
        <v>12381</v>
      </c>
      <c r="H2275" s="111" t="s">
        <v>12230</v>
      </c>
      <c r="I2275" s="111" t="s">
        <v>12394</v>
      </c>
      <c r="J2275" s="111" t="s">
        <v>12292</v>
      </c>
      <c r="K2275" s="111" t="s">
        <v>12415</v>
      </c>
      <c r="L2275" s="111"/>
      <c r="M2275" s="111"/>
      <c r="N2275" s="111">
        <v>1.0</v>
      </c>
      <c r="O2275" s="111"/>
      <c r="P2275" s="111"/>
      <c r="Q2275" s="111"/>
      <c r="R2275" s="111"/>
      <c r="S2275" s="111"/>
      <c r="T2275" s="111"/>
      <c r="U2275" s="111"/>
      <c r="V2275" s="111"/>
      <c r="W2275" s="111"/>
      <c r="X2275" s="111"/>
      <c r="Y2275" s="111"/>
      <c r="Z2275" s="111" t="s">
        <v>15195</v>
      </c>
      <c r="AA2275" s="126">
        <f>IF(Projects!$AI2275="Electrolysis",
AB2275*VLOOKUP(G2275,ElectrolysisConvF,3,FALSE),
"")</f>
        <v>220.8638602</v>
      </c>
      <c r="AB2275" s="125">
        <f t="shared" si="421"/>
        <v>49080.85783</v>
      </c>
      <c r="AC2275" s="125">
        <f>(200*0.191327)</f>
        <v>38.2654</v>
      </c>
      <c r="AD2275" s="125"/>
      <c r="AE2275" s="125">
        <f t="shared" si="420"/>
        <v>49080.85783</v>
      </c>
      <c r="AF2275" s="127" t="s">
        <v>15316</v>
      </c>
      <c r="AG2275" s="127">
        <v>46.4770581657455</v>
      </c>
      <c r="AH2275" s="127">
        <v>121.984937612463</v>
      </c>
      <c r="AI2275" s="115" t="s">
        <v>12383</v>
      </c>
      <c r="AJ2275" s="116">
        <v>0.4</v>
      </c>
      <c r="AK2275" s="117"/>
      <c r="AL2275" s="117"/>
      <c r="AM2275" s="117"/>
      <c r="AN2275" s="117"/>
      <c r="AO2275" s="117"/>
    </row>
    <row r="2276" ht="34.5" customHeight="1">
      <c r="A2276" s="111">
        <v>2995.0</v>
      </c>
      <c r="B2276" s="111" t="s">
        <v>10279</v>
      </c>
      <c r="C2276" s="111" t="s">
        <v>8001</v>
      </c>
      <c r="D2276" s="111"/>
      <c r="E2276" s="111"/>
      <c r="F2276" s="111" t="s">
        <v>12399</v>
      </c>
      <c r="G2276" s="111" t="s">
        <v>12381</v>
      </c>
      <c r="H2276" s="111" t="s">
        <v>12230</v>
      </c>
      <c r="I2276" s="111" t="s">
        <v>12394</v>
      </c>
      <c r="J2276" s="111" t="s">
        <v>12295</v>
      </c>
      <c r="K2276" s="111" t="s">
        <v>12415</v>
      </c>
      <c r="L2276" s="111"/>
      <c r="M2276" s="111"/>
      <c r="N2276" s="111">
        <v>1.0</v>
      </c>
      <c r="O2276" s="111"/>
      <c r="P2276" s="111"/>
      <c r="Q2276" s="111"/>
      <c r="R2276" s="111"/>
      <c r="S2276" s="111"/>
      <c r="T2276" s="111"/>
      <c r="U2276" s="111"/>
      <c r="V2276" s="111"/>
      <c r="W2276" s="111"/>
      <c r="X2276" s="111"/>
      <c r="Y2276" s="111"/>
      <c r="Z2276" s="111" t="s">
        <v>15324</v>
      </c>
      <c r="AA2276" s="126">
        <f>IF(Projects!$AI2276="Electrolysis",
AB2276*VLOOKUP(G2276,ElectrolysisConvF,3,FALSE),
"")</f>
        <v>1104.319301</v>
      </c>
      <c r="AB2276" s="125">
        <f t="shared" si="421"/>
        <v>245404.2892</v>
      </c>
      <c r="AC2276" s="125">
        <f t="shared" ref="AC2276:AC2277" si="423">(1000*0.191327)</f>
        <v>191.327</v>
      </c>
      <c r="AD2276" s="125"/>
      <c r="AE2276" s="125">
        <f t="shared" si="420"/>
        <v>245404.2892</v>
      </c>
      <c r="AF2276" s="127" t="s">
        <v>15316</v>
      </c>
      <c r="AG2276" s="127">
        <v>42.2818768085899</v>
      </c>
      <c r="AH2276" s="127">
        <v>123.808967892541</v>
      </c>
      <c r="AI2276" s="115" t="s">
        <v>12383</v>
      </c>
      <c r="AJ2276" s="116">
        <v>0.5</v>
      </c>
      <c r="AK2276" s="117"/>
      <c r="AL2276" s="117"/>
      <c r="AM2276" s="117"/>
      <c r="AN2276" s="117"/>
      <c r="AO2276" s="117"/>
    </row>
    <row r="2277" ht="34.5" customHeight="1">
      <c r="A2277" s="111">
        <v>2996.0</v>
      </c>
      <c r="B2277" s="111" t="s">
        <v>10280</v>
      </c>
      <c r="C2277" s="111" t="s">
        <v>8001</v>
      </c>
      <c r="D2277" s="111"/>
      <c r="E2277" s="111"/>
      <c r="F2277" s="111" t="s">
        <v>12399</v>
      </c>
      <c r="G2277" s="111" t="s">
        <v>12381</v>
      </c>
      <c r="H2277" s="111" t="s">
        <v>12230</v>
      </c>
      <c r="I2277" s="111" t="s">
        <v>12287</v>
      </c>
      <c r="J2277" s="111"/>
      <c r="K2277" s="111" t="s">
        <v>12415</v>
      </c>
      <c r="L2277" s="111"/>
      <c r="M2277" s="111"/>
      <c r="N2277" s="111">
        <v>1.0</v>
      </c>
      <c r="O2277" s="111"/>
      <c r="P2277" s="111"/>
      <c r="Q2277" s="111"/>
      <c r="R2277" s="111"/>
      <c r="S2277" s="111"/>
      <c r="T2277" s="111"/>
      <c r="U2277" s="111"/>
      <c r="V2277" s="111"/>
      <c r="W2277" s="111"/>
      <c r="X2277" s="111"/>
      <c r="Y2277" s="111"/>
      <c r="Z2277" s="111" t="s">
        <v>15324</v>
      </c>
      <c r="AA2277" s="126">
        <f>IF(Projects!$AI2277="Electrolysis",
AB2277*VLOOKUP(G2277,ElectrolysisConvF,3,FALSE),
"")</f>
        <v>1104.319301</v>
      </c>
      <c r="AB2277" s="125">
        <f t="shared" si="421"/>
        <v>245404.2892</v>
      </c>
      <c r="AC2277" s="125">
        <f t="shared" si="423"/>
        <v>191.327</v>
      </c>
      <c r="AD2277" s="125"/>
      <c r="AE2277" s="125">
        <f t="shared" si="420"/>
        <v>245404.2892</v>
      </c>
      <c r="AF2277" s="127" t="s">
        <v>15316</v>
      </c>
      <c r="AG2277" s="127">
        <v>33.3653223761457</v>
      </c>
      <c r="AH2277" s="127">
        <v>120.179080699451</v>
      </c>
      <c r="AI2277" s="115" t="s">
        <v>12383</v>
      </c>
      <c r="AJ2277" s="116">
        <v>0.57</v>
      </c>
      <c r="AK2277" s="117"/>
      <c r="AL2277" s="117"/>
      <c r="AM2277" s="117"/>
      <c r="AN2277" s="117"/>
      <c r="AO2277" s="117"/>
    </row>
    <row r="2278" ht="34.5" customHeight="1">
      <c r="A2278" s="111">
        <v>2997.0</v>
      </c>
      <c r="B2278" s="111" t="s">
        <v>10281</v>
      </c>
      <c r="C2278" s="111" t="s">
        <v>8001</v>
      </c>
      <c r="D2278" s="111"/>
      <c r="E2278" s="111"/>
      <c r="F2278" s="111" t="s">
        <v>12399</v>
      </c>
      <c r="G2278" s="111" t="s">
        <v>12381</v>
      </c>
      <c r="H2278" s="111" t="s">
        <v>12230</v>
      </c>
      <c r="I2278" s="111" t="s">
        <v>12287</v>
      </c>
      <c r="J2278" s="111"/>
      <c r="K2278" s="111" t="s">
        <v>12415</v>
      </c>
      <c r="L2278" s="111"/>
      <c r="M2278" s="111"/>
      <c r="N2278" s="111">
        <v>1.0</v>
      </c>
      <c r="O2278" s="111"/>
      <c r="P2278" s="111"/>
      <c r="Q2278" s="111"/>
      <c r="R2278" s="111"/>
      <c r="S2278" s="111"/>
      <c r="T2278" s="111"/>
      <c r="U2278" s="111"/>
      <c r="V2278" s="111"/>
      <c r="W2278" s="111"/>
      <c r="X2278" s="111"/>
      <c r="Y2278" s="111"/>
      <c r="Z2278" s="111" t="s">
        <v>15195</v>
      </c>
      <c r="AA2278" s="126">
        <f>IF(Projects!$AI2278="Electrolysis",
AB2278*VLOOKUP(G2278,ElectrolysisConvF,3,FALSE),
"")</f>
        <v>220.8638602</v>
      </c>
      <c r="AB2278" s="125">
        <f t="shared" si="421"/>
        <v>49080.85783</v>
      </c>
      <c r="AC2278" s="125">
        <f>(200*0.191327)</f>
        <v>38.2654</v>
      </c>
      <c r="AD2278" s="125"/>
      <c r="AE2278" s="125">
        <f t="shared" si="420"/>
        <v>49080.85783</v>
      </c>
      <c r="AF2278" s="127" t="s">
        <v>15316</v>
      </c>
      <c r="AG2278" s="127">
        <v>44.0158227343036</v>
      </c>
      <c r="AH2278" s="127">
        <v>116.01121261231</v>
      </c>
      <c r="AI2278" s="115" t="s">
        <v>12383</v>
      </c>
      <c r="AJ2278" s="116">
        <v>0.57</v>
      </c>
      <c r="AK2278" s="117"/>
      <c r="AL2278" s="117"/>
      <c r="AM2278" s="117"/>
      <c r="AN2278" s="117"/>
      <c r="AO2278" s="117"/>
    </row>
    <row r="2279" ht="34.5" customHeight="1">
      <c r="A2279" s="111">
        <v>2998.0</v>
      </c>
      <c r="B2279" s="111" t="s">
        <v>10282</v>
      </c>
      <c r="C2279" s="111" t="s">
        <v>8001</v>
      </c>
      <c r="D2279" s="111"/>
      <c r="E2279" s="111"/>
      <c r="F2279" s="111" t="s">
        <v>12399</v>
      </c>
      <c r="G2279" s="111" t="s">
        <v>12381</v>
      </c>
      <c r="H2279" s="111" t="s">
        <v>12230</v>
      </c>
      <c r="I2279" s="111" t="s">
        <v>12394</v>
      </c>
      <c r="J2279" s="111" t="s">
        <v>12292</v>
      </c>
      <c r="K2279" s="111" t="s">
        <v>12415</v>
      </c>
      <c r="L2279" s="111"/>
      <c r="M2279" s="111"/>
      <c r="N2279" s="111">
        <v>1.0</v>
      </c>
      <c r="O2279" s="111"/>
      <c r="P2279" s="111"/>
      <c r="Q2279" s="111"/>
      <c r="R2279" s="111"/>
      <c r="S2279" s="111"/>
      <c r="T2279" s="111"/>
      <c r="U2279" s="111"/>
      <c r="V2279" s="111"/>
      <c r="W2279" s="111"/>
      <c r="X2279" s="111"/>
      <c r="Y2279" s="111"/>
      <c r="Z2279" s="111" t="s">
        <v>14911</v>
      </c>
      <c r="AA2279" s="126">
        <f>IF(Projects!$AI2279="Electrolysis",
AB2279*VLOOKUP(G2279,ElectrolysisConvF,3,FALSE),
"")</f>
        <v>331.2957904</v>
      </c>
      <c r="AB2279" s="125">
        <f t="shared" si="421"/>
        <v>73621.28675</v>
      </c>
      <c r="AC2279" s="125">
        <f>300*0.191327</f>
        <v>57.3981</v>
      </c>
      <c r="AD2279" s="125"/>
      <c r="AE2279" s="125">
        <f t="shared" si="420"/>
        <v>73621.28675</v>
      </c>
      <c r="AF2279" s="127" t="s">
        <v>15335</v>
      </c>
      <c r="AG2279" s="127">
        <v>35.9991819947524</v>
      </c>
      <c r="AH2279" s="127">
        <v>118.172747647449</v>
      </c>
      <c r="AI2279" s="115" t="s">
        <v>12383</v>
      </c>
      <c r="AJ2279" s="116">
        <v>0.4</v>
      </c>
      <c r="AK2279" s="117"/>
      <c r="AL2279" s="117"/>
      <c r="AM2279" s="117"/>
      <c r="AN2279" s="117"/>
      <c r="AO2279" s="117"/>
    </row>
    <row r="2280" ht="34.5" customHeight="1">
      <c r="A2280" s="111">
        <v>2999.0</v>
      </c>
      <c r="B2280" s="111" t="s">
        <v>10283</v>
      </c>
      <c r="C2280" s="111" t="s">
        <v>8001</v>
      </c>
      <c r="D2280" s="111"/>
      <c r="E2280" s="111"/>
      <c r="F2280" s="111" t="s">
        <v>12399</v>
      </c>
      <c r="G2280" s="111" t="s">
        <v>12241</v>
      </c>
      <c r="H2280" s="111"/>
      <c r="I2280" s="111"/>
      <c r="J2280" s="111"/>
      <c r="K2280" s="111" t="s">
        <v>12415</v>
      </c>
      <c r="L2280" s="111"/>
      <c r="M2280" s="111"/>
      <c r="N2280" s="111">
        <v>1.0</v>
      </c>
      <c r="O2280" s="111"/>
      <c r="P2280" s="111"/>
      <c r="Q2280" s="111"/>
      <c r="R2280" s="111"/>
      <c r="S2280" s="111"/>
      <c r="T2280" s="111"/>
      <c r="U2280" s="111"/>
      <c r="V2280" s="111"/>
      <c r="W2280" s="111"/>
      <c r="X2280" s="111"/>
      <c r="Y2280" s="111"/>
      <c r="Z2280" s="111" t="s">
        <v>15195</v>
      </c>
      <c r="AA2280" s="126" t="str">
        <f>IF(Projects!$AI2280="Electrolysis",
AB2280*VLOOKUP(G2280,ElectrolysisConvF,3,FALSE),
"")</f>
        <v/>
      </c>
      <c r="AB2280" s="125">
        <f t="shared" si="421"/>
        <v>49080.85783</v>
      </c>
      <c r="AC2280" s="125">
        <f>(200*0.191327)</f>
        <v>38.2654</v>
      </c>
      <c r="AD2280" s="125"/>
      <c r="AE2280" s="125">
        <f t="shared" si="420"/>
        <v>49080.85783</v>
      </c>
      <c r="AF2280" s="127" t="s">
        <v>15316</v>
      </c>
      <c r="AG2280" s="127">
        <v>43.1846815116909</v>
      </c>
      <c r="AH2280" s="127">
        <v>124.435746245173</v>
      </c>
      <c r="AI2280" s="115" t="s">
        <v>12241</v>
      </c>
      <c r="AJ2280" s="116">
        <v>0.9</v>
      </c>
      <c r="AK2280" s="117"/>
      <c r="AL2280" s="117"/>
      <c r="AM2280" s="117"/>
      <c r="AN2280" s="117"/>
      <c r="AO2280" s="117"/>
    </row>
    <row r="2281" ht="34.5" customHeight="1">
      <c r="A2281" s="111">
        <v>3000.0</v>
      </c>
      <c r="B2281" s="111" t="s">
        <v>10284</v>
      </c>
      <c r="C2281" s="111" t="s">
        <v>8001</v>
      </c>
      <c r="D2281" s="111"/>
      <c r="E2281" s="111"/>
      <c r="F2281" s="111" t="s">
        <v>12399</v>
      </c>
      <c r="G2281" s="111" t="s">
        <v>12381</v>
      </c>
      <c r="H2281" s="111" t="s">
        <v>12230</v>
      </c>
      <c r="I2281" s="111" t="s">
        <v>12406</v>
      </c>
      <c r="J2281" s="111" t="str">
        <f t="shared" ref="J2281:J2282" si="424">IF(I2281&lt;&gt;"Dedicated renewable","N/A",)</f>
        <v>N/A</v>
      </c>
      <c r="K2281" s="111" t="s">
        <v>12415</v>
      </c>
      <c r="L2281" s="111"/>
      <c r="M2281" s="111"/>
      <c r="N2281" s="111">
        <v>1.0</v>
      </c>
      <c r="O2281" s="111"/>
      <c r="P2281" s="111"/>
      <c r="Q2281" s="111"/>
      <c r="R2281" s="111"/>
      <c r="S2281" s="111"/>
      <c r="T2281" s="111"/>
      <c r="U2281" s="111"/>
      <c r="V2281" s="111"/>
      <c r="W2281" s="111"/>
      <c r="X2281" s="111"/>
      <c r="Y2281" s="111"/>
      <c r="Z2281" s="111" t="s">
        <v>15193</v>
      </c>
      <c r="AA2281" s="126">
        <f>IF(Projects!$AI2281="Electrolysis",
AB2281*VLOOKUP(G2281,ElectrolysisConvF,3,FALSE),
"")</f>
        <v>441.7277205</v>
      </c>
      <c r="AB2281" s="125">
        <f t="shared" si="421"/>
        <v>98161.71566</v>
      </c>
      <c r="AC2281" s="125">
        <f>(400*0.191327)</f>
        <v>76.5308</v>
      </c>
      <c r="AD2281" s="125"/>
      <c r="AE2281" s="125">
        <f t="shared" si="420"/>
        <v>98161.71566</v>
      </c>
      <c r="AF2281" s="127" t="s">
        <v>15316</v>
      </c>
      <c r="AG2281" s="127">
        <v>45.1468985491529</v>
      </c>
      <c r="AH2281" s="127">
        <v>124.828845075208</v>
      </c>
      <c r="AI2281" s="115" t="s">
        <v>12383</v>
      </c>
      <c r="AJ2281" s="116">
        <v>0.57</v>
      </c>
      <c r="AK2281" s="117"/>
      <c r="AL2281" s="117"/>
      <c r="AM2281" s="117"/>
      <c r="AN2281" s="117"/>
      <c r="AO2281" s="117"/>
    </row>
    <row r="2282" ht="34.5" customHeight="1">
      <c r="A2282" s="111">
        <v>3001.0</v>
      </c>
      <c r="B2282" s="111" t="s">
        <v>10285</v>
      </c>
      <c r="C2282" s="111" t="s">
        <v>8001</v>
      </c>
      <c r="D2282" s="111"/>
      <c r="E2282" s="111"/>
      <c r="F2282" s="145" t="s">
        <v>12399</v>
      </c>
      <c r="G2282" s="145" t="s">
        <v>12381</v>
      </c>
      <c r="H2282" s="145" t="s">
        <v>12230</v>
      </c>
      <c r="I2282" s="145" t="s">
        <v>12287</v>
      </c>
      <c r="J2282" s="111" t="str">
        <f t="shared" si="424"/>
        <v>N/A</v>
      </c>
      <c r="K2282" s="111" t="s">
        <v>12415</v>
      </c>
      <c r="L2282" s="111"/>
      <c r="M2282" s="111"/>
      <c r="N2282" s="111">
        <v>1.0</v>
      </c>
      <c r="O2282" s="111"/>
      <c r="P2282" s="111"/>
      <c r="Q2282" s="111"/>
      <c r="R2282" s="111"/>
      <c r="S2282" s="111"/>
      <c r="T2282" s="111"/>
      <c r="U2282" s="111"/>
      <c r="V2282" s="111"/>
      <c r="W2282" s="111"/>
      <c r="X2282" s="111"/>
      <c r="Y2282" s="111"/>
      <c r="Z2282" s="145" t="s">
        <v>15326</v>
      </c>
      <c r="AA2282" s="126">
        <f>IF(Projects!$AI2282="Electrolysis",
AB2282*VLOOKUP(G2282,ElectrolysisConvF,3,FALSE),
"")</f>
        <v>165.6478952</v>
      </c>
      <c r="AB2282" s="125">
        <f t="shared" si="421"/>
        <v>36810.64337</v>
      </c>
      <c r="AC2282" s="125">
        <f>(150*0.191327)</f>
        <v>28.69905</v>
      </c>
      <c r="AD2282" s="125"/>
      <c r="AE2282" s="125">
        <f t="shared" si="420"/>
        <v>36810.64337</v>
      </c>
      <c r="AF2282" s="127" t="s">
        <v>15316</v>
      </c>
      <c r="AG2282" s="127">
        <v>44.8618372716836</v>
      </c>
      <c r="AH2282" s="127">
        <v>126.567507725282</v>
      </c>
      <c r="AI2282" s="115" t="s">
        <v>12383</v>
      </c>
      <c r="AJ2282" s="116">
        <v>0.57</v>
      </c>
      <c r="AK2282" s="117"/>
      <c r="AL2282" s="117"/>
      <c r="AM2282" s="117"/>
      <c r="AN2282" s="117"/>
      <c r="AO2282" s="117"/>
    </row>
    <row r="2283" ht="34.5" customHeight="1">
      <c r="A2283" s="111">
        <v>3002.0</v>
      </c>
      <c r="B2283" s="111" t="s">
        <v>10286</v>
      </c>
      <c r="C2283" s="111" t="s">
        <v>8590</v>
      </c>
      <c r="D2283" s="111"/>
      <c r="E2283" s="111"/>
      <c r="F2283" s="111" t="s">
        <v>12397</v>
      </c>
      <c r="G2283" s="111" t="s">
        <v>12381</v>
      </c>
      <c r="H2283" s="111" t="s">
        <v>12230</v>
      </c>
      <c r="I2283" s="111" t="s">
        <v>12394</v>
      </c>
      <c r="J2283" s="111" t="s">
        <v>12293</v>
      </c>
      <c r="K2283" s="111" t="s">
        <v>174</v>
      </c>
      <c r="L2283" s="111"/>
      <c r="M2283" s="111">
        <v>1.0</v>
      </c>
      <c r="N2283" s="111"/>
      <c r="O2283" s="111"/>
      <c r="P2283" s="111"/>
      <c r="Q2283" s="111"/>
      <c r="R2283" s="111"/>
      <c r="S2283" s="111"/>
      <c r="T2283" s="111"/>
      <c r="U2283" s="111"/>
      <c r="V2283" s="111"/>
      <c r="W2283" s="111"/>
      <c r="X2283" s="111"/>
      <c r="Y2283" s="111"/>
      <c r="Z2283" s="111" t="s">
        <v>15336</v>
      </c>
      <c r="AA2283" s="126">
        <f>IF(Projects!$AI2283="Electrolysis",
AB2283*VLOOKUP(G2283,ElectrolysisConvF,3,FALSE),
"")</f>
        <v>1760.42789</v>
      </c>
      <c r="AB2283" s="125">
        <f t="shared" si="421"/>
        <v>391206.1977</v>
      </c>
      <c r="AC2283" s="126">
        <f>305-AC782</f>
        <v>305</v>
      </c>
      <c r="AD2283" s="125"/>
      <c r="AE2283" s="125">
        <f t="shared" si="420"/>
        <v>391206.1977</v>
      </c>
      <c r="AF2283" s="127" t="s">
        <v>15337</v>
      </c>
      <c r="AG2283" s="127">
        <v>-3.54515</v>
      </c>
      <c r="AH2283" s="127">
        <v>-38.81322</v>
      </c>
      <c r="AI2283" s="115" t="s">
        <v>12383</v>
      </c>
      <c r="AJ2283" s="116">
        <v>0.55</v>
      </c>
      <c r="AK2283" s="117"/>
      <c r="AL2283" s="117"/>
      <c r="AM2283" s="117"/>
      <c r="AN2283" s="117"/>
      <c r="AO2283" s="117"/>
    </row>
    <row r="2284" ht="34.5" customHeight="1">
      <c r="A2284" s="111">
        <v>3003.0</v>
      </c>
      <c r="B2284" s="111" t="s">
        <v>10287</v>
      </c>
      <c r="C2284" s="111" t="s">
        <v>8590</v>
      </c>
      <c r="D2284" s="111">
        <v>2023.0</v>
      </c>
      <c r="E2284" s="111"/>
      <c r="F2284" s="111" t="s">
        <v>12418</v>
      </c>
      <c r="G2284" s="111" t="s">
        <v>13638</v>
      </c>
      <c r="H2284" s="111"/>
      <c r="I2284" s="111" t="s">
        <v>12406</v>
      </c>
      <c r="J2284" s="111"/>
      <c r="K2284" s="111" t="s">
        <v>12481</v>
      </c>
      <c r="L2284" s="111"/>
      <c r="M2284" s="111"/>
      <c r="N2284" s="111"/>
      <c r="O2284" s="111"/>
      <c r="P2284" s="111"/>
      <c r="Q2284" s="111">
        <v>1.0</v>
      </c>
      <c r="R2284" s="111"/>
      <c r="S2284" s="111"/>
      <c r="T2284" s="111"/>
      <c r="U2284" s="111"/>
      <c r="V2284" s="111"/>
      <c r="W2284" s="111"/>
      <c r="X2284" s="111"/>
      <c r="Y2284" s="111"/>
      <c r="Z2284" s="111" t="s">
        <v>15338</v>
      </c>
      <c r="AA2284" s="124">
        <f>IF(Projects!$AI2284="Electrolysis",
AB2284*VLOOKUP(G2284,ElectrolysisConvF,3,FALSE),
"")</f>
        <v>0.01731568416</v>
      </c>
      <c r="AB2284" s="125">
        <f t="shared" si="421"/>
        <v>3.847929814</v>
      </c>
      <c r="AC2284" s="125">
        <f>0.003</f>
        <v>0.003</v>
      </c>
      <c r="AD2284" s="125"/>
      <c r="AE2284" s="125">
        <f t="shared" si="420"/>
        <v>3.847929814</v>
      </c>
      <c r="AF2284" s="127" t="s">
        <v>15339</v>
      </c>
      <c r="AG2284" s="127">
        <v>-22.8623464</v>
      </c>
      <c r="AH2284" s="127">
        <v>-43.2289807</v>
      </c>
      <c r="AI2284" s="115" t="s">
        <v>12383</v>
      </c>
      <c r="AJ2284" s="116">
        <v>0.57</v>
      </c>
      <c r="AK2284" s="117"/>
      <c r="AL2284" s="117"/>
      <c r="AM2284" s="117"/>
      <c r="AN2284" s="117"/>
      <c r="AO2284" s="117"/>
    </row>
    <row r="2285" ht="34.5" customHeight="1">
      <c r="A2285" s="111">
        <v>3004.0</v>
      </c>
      <c r="B2285" s="111" t="s">
        <v>10288</v>
      </c>
      <c r="C2285" s="111" t="s">
        <v>8590</v>
      </c>
      <c r="D2285" s="111">
        <v>2027.0</v>
      </c>
      <c r="E2285" s="111"/>
      <c r="F2285" s="111" t="s">
        <v>12399</v>
      </c>
      <c r="G2285" s="111" t="s">
        <v>12381</v>
      </c>
      <c r="H2285" s="111" t="s">
        <v>12230</v>
      </c>
      <c r="I2285" s="111" t="s">
        <v>12287</v>
      </c>
      <c r="J2285" s="111"/>
      <c r="K2285" s="111" t="s">
        <v>30</v>
      </c>
      <c r="L2285" s="111"/>
      <c r="M2285" s="111">
        <v>1.0</v>
      </c>
      <c r="N2285" s="111"/>
      <c r="O2285" s="111"/>
      <c r="P2285" s="111"/>
      <c r="Q2285" s="111"/>
      <c r="R2285" s="111"/>
      <c r="S2285" s="111"/>
      <c r="T2285" s="111"/>
      <c r="U2285" s="111"/>
      <c r="V2285" s="111"/>
      <c r="W2285" s="111"/>
      <c r="X2285" s="111"/>
      <c r="Y2285" s="111"/>
      <c r="Z2285" s="111" t="s">
        <v>15340</v>
      </c>
      <c r="AA2285" s="124">
        <f>IF(Projects!$AI2285="Electrolysis",
AB2285*VLOOKUP(G2285,ElectrolysisConvF,3,FALSE),
"")</f>
        <v>242.4195783</v>
      </c>
      <c r="AB2285" s="125">
        <f t="shared" si="421"/>
        <v>53871.01739</v>
      </c>
      <c r="AC2285" s="125">
        <f>42</f>
        <v>42</v>
      </c>
      <c r="AD2285" s="125"/>
      <c r="AE2285" s="125">
        <f t="shared" si="420"/>
        <v>53871.01739</v>
      </c>
      <c r="AF2285" s="127" t="s">
        <v>15341</v>
      </c>
      <c r="AG2285" s="127">
        <v>-3.53092803394662</v>
      </c>
      <c r="AH2285" s="127">
        <v>-38.7923774582973</v>
      </c>
      <c r="AI2285" s="115" t="s">
        <v>12383</v>
      </c>
      <c r="AJ2285" s="116">
        <v>0.57</v>
      </c>
      <c r="AK2285" s="117"/>
      <c r="AL2285" s="117"/>
      <c r="AM2285" s="117"/>
      <c r="AN2285" s="117"/>
      <c r="AO2285" s="117"/>
    </row>
    <row r="2286" ht="34.5" customHeight="1">
      <c r="A2286" s="111">
        <v>3005.0</v>
      </c>
      <c r="B2286" s="111" t="s">
        <v>10289</v>
      </c>
      <c r="C2286" s="111" t="s">
        <v>8011</v>
      </c>
      <c r="D2286" s="111">
        <v>2026.0</v>
      </c>
      <c r="E2286" s="111"/>
      <c r="F2286" s="111" t="s">
        <v>12393</v>
      </c>
      <c r="G2286" s="111" t="s">
        <v>12381</v>
      </c>
      <c r="H2286" s="111" t="s">
        <v>12230</v>
      </c>
      <c r="I2286" s="111" t="s">
        <v>12287</v>
      </c>
      <c r="J2286" s="111"/>
      <c r="K2286" s="111" t="s">
        <v>30</v>
      </c>
      <c r="L2286" s="111"/>
      <c r="M2286" s="111"/>
      <c r="N2286" s="111"/>
      <c r="O2286" s="111">
        <v>1.0</v>
      </c>
      <c r="P2286" s="111"/>
      <c r="Q2286" s="111"/>
      <c r="R2286" s="111"/>
      <c r="S2286" s="111"/>
      <c r="T2286" s="111"/>
      <c r="U2286" s="111"/>
      <c r="V2286" s="111"/>
      <c r="W2286" s="111"/>
      <c r="X2286" s="111"/>
      <c r="Y2286" s="111"/>
      <c r="Z2286" s="111"/>
      <c r="AA2286" s="124"/>
      <c r="AB2286" s="125"/>
      <c r="AC2286" s="125"/>
      <c r="AD2286" s="125"/>
      <c r="AE2286" s="125"/>
      <c r="AF2286" s="127" t="s">
        <v>15342</v>
      </c>
      <c r="AG2286" s="127">
        <v>49.3201991010035</v>
      </c>
      <c r="AH2286" s="127">
        <v>6.11268439004312</v>
      </c>
      <c r="AI2286" s="115" t="s">
        <v>12383</v>
      </c>
      <c r="AJ2286" s="116">
        <v>0.57</v>
      </c>
      <c r="AK2286" s="117"/>
      <c r="AL2286" s="117"/>
      <c r="AM2286" s="117"/>
      <c r="AN2286" s="117"/>
      <c r="AO2286" s="117"/>
    </row>
    <row r="2287" ht="34.5" customHeight="1">
      <c r="A2287" s="111">
        <v>3006.0</v>
      </c>
      <c r="B2287" s="111" t="s">
        <v>10290</v>
      </c>
      <c r="C2287" s="111" t="s">
        <v>7977</v>
      </c>
      <c r="D2287" s="111">
        <v>2026.0</v>
      </c>
      <c r="E2287" s="111"/>
      <c r="F2287" s="111" t="s">
        <v>12399</v>
      </c>
      <c r="G2287" s="111" t="s">
        <v>12381</v>
      </c>
      <c r="H2287" s="111" t="s">
        <v>12230</v>
      </c>
      <c r="I2287" s="111" t="s">
        <v>12394</v>
      </c>
      <c r="J2287" s="111" t="s">
        <v>12291</v>
      </c>
      <c r="K2287" s="111" t="s">
        <v>30</v>
      </c>
      <c r="L2287" s="111"/>
      <c r="M2287" s="111"/>
      <c r="N2287" s="111"/>
      <c r="O2287" s="111"/>
      <c r="P2287" s="111"/>
      <c r="Q2287" s="111">
        <v>1.0</v>
      </c>
      <c r="R2287" s="111"/>
      <c r="S2287" s="111"/>
      <c r="T2287" s="111"/>
      <c r="U2287" s="111"/>
      <c r="V2287" s="111"/>
      <c r="W2287" s="111"/>
      <c r="X2287" s="111"/>
      <c r="Y2287" s="111"/>
      <c r="Z2287" s="111" t="s">
        <v>15343</v>
      </c>
      <c r="AA2287" s="124">
        <f>IF(Projects!$AI2287="Electrolysis",
AB2287*VLOOKUP(G2286,ElectrolysisConvF,3,FALSE),
"")</f>
        <v>15.62259504</v>
      </c>
      <c r="AB2287" s="125">
        <f>AC2287/(H2dens*HoursInYear/10^6)</f>
        <v>3471.687788</v>
      </c>
      <c r="AC2287" s="125">
        <f>0.812/Projects!$AJ2287</f>
        <v>2.706666667</v>
      </c>
      <c r="AD2287" s="125"/>
      <c r="AE2287" s="125">
        <f t="shared" ref="AE2287:AE2309" si="425">IF(AND(G2287&lt;&gt;"NG w CCUS",G2287&lt;&gt;"Oil w CCUS",G2287&lt;&gt;"Coal w CCUS"),AB2287,AD2287*10^3/(HoursInYear*IF(G2287="NG w CCUS",0.9105,1.9075)))</f>
        <v>3471.687788</v>
      </c>
      <c r="AF2287" s="127" t="s">
        <v>15344</v>
      </c>
      <c r="AG2287" s="127">
        <v>37.3879805677215</v>
      </c>
      <c r="AH2287" s="127">
        <v>-6.60613316575764</v>
      </c>
      <c r="AI2287" s="115" t="s">
        <v>12383</v>
      </c>
      <c r="AJ2287" s="116">
        <v>0.3</v>
      </c>
      <c r="AK2287" s="117"/>
      <c r="AL2287" s="117"/>
      <c r="AM2287" s="117"/>
      <c r="AN2287" s="117"/>
      <c r="AO2287" s="117"/>
    </row>
    <row r="2288" ht="34.5" customHeight="1">
      <c r="A2288" s="111">
        <v>3007.0</v>
      </c>
      <c r="B2288" s="111" t="s">
        <v>10291</v>
      </c>
      <c r="C2288" s="111" t="s">
        <v>7967</v>
      </c>
      <c r="D2288" s="111">
        <v>2028.0</v>
      </c>
      <c r="E2288" s="111"/>
      <c r="F2288" s="111" t="s">
        <v>12399</v>
      </c>
      <c r="G2288" s="111" t="s">
        <v>12381</v>
      </c>
      <c r="H2288" s="111" t="s">
        <v>12230</v>
      </c>
      <c r="I2288" s="111" t="s">
        <v>12394</v>
      </c>
      <c r="J2288" s="111" t="s">
        <v>12293</v>
      </c>
      <c r="K2288" s="111" t="s">
        <v>30</v>
      </c>
      <c r="L2288" s="111">
        <v>1.0</v>
      </c>
      <c r="M2288" s="111"/>
      <c r="N2288" s="111"/>
      <c r="O2288" s="111"/>
      <c r="P2288" s="111"/>
      <c r="Q2288" s="111"/>
      <c r="R2288" s="111"/>
      <c r="S2288" s="111"/>
      <c r="T2288" s="111"/>
      <c r="U2288" s="111"/>
      <c r="V2288" s="111"/>
      <c r="W2288" s="111"/>
      <c r="X2288" s="111"/>
      <c r="Y2288" s="111"/>
      <c r="Z2288" s="111" t="s">
        <v>15345</v>
      </c>
      <c r="AA2288" s="124">
        <v>350.0</v>
      </c>
      <c r="AB2288" s="125">
        <f>IF(Projects!$AI2288="Electrolysis",
AA2288/VLOOKUP(G2288,ElectrolysisConvF,3,FALSE),
AC2288*10^6/(H2dens*HoursInYear))</f>
        <v>77777.77778</v>
      </c>
      <c r="AC2288" s="125">
        <f>AB2288*H2dens*HoursInYear/10^6</f>
        <v>60.63866667</v>
      </c>
      <c r="AD2288" s="125"/>
      <c r="AE2288" s="125">
        <f t="shared" si="425"/>
        <v>77777.77778</v>
      </c>
      <c r="AF2288" s="127"/>
      <c r="AG2288" s="127">
        <v>53.2682664935595</v>
      </c>
      <c r="AH2288" s="127">
        <v>4.58977365493299</v>
      </c>
      <c r="AI2288" s="115" t="s">
        <v>12383</v>
      </c>
      <c r="AJ2288" s="116">
        <v>0.55</v>
      </c>
      <c r="AK2288" s="117"/>
      <c r="AL2288" s="117"/>
      <c r="AM2288" s="117"/>
      <c r="AN2288" s="117"/>
      <c r="AO2288" s="117"/>
    </row>
    <row r="2289" ht="34.5" customHeight="1">
      <c r="A2289" s="111">
        <v>3008.0</v>
      </c>
      <c r="B2289" s="111" t="s">
        <v>10292</v>
      </c>
      <c r="C2289" s="111" t="s">
        <v>8003</v>
      </c>
      <c r="D2289" s="111"/>
      <c r="E2289" s="111"/>
      <c r="F2289" s="111" t="s">
        <v>12399</v>
      </c>
      <c r="G2289" s="111" t="s">
        <v>12381</v>
      </c>
      <c r="H2289" s="111" t="s">
        <v>12230</v>
      </c>
      <c r="I2289" s="111" t="s">
        <v>12394</v>
      </c>
      <c r="J2289" s="111" t="s">
        <v>12292</v>
      </c>
      <c r="K2289" s="111" t="s">
        <v>30</v>
      </c>
      <c r="L2289" s="111">
        <v>1.0</v>
      </c>
      <c r="M2289" s="111"/>
      <c r="N2289" s="111"/>
      <c r="O2289" s="111"/>
      <c r="P2289" s="111"/>
      <c r="Q2289" s="111"/>
      <c r="R2289" s="111"/>
      <c r="S2289" s="111"/>
      <c r="T2289" s="111"/>
      <c r="U2289" s="111"/>
      <c r="V2289" s="111"/>
      <c r="W2289" s="111"/>
      <c r="X2289" s="111"/>
      <c r="Y2289" s="111"/>
      <c r="Z2289" s="111" t="s">
        <v>15346</v>
      </c>
      <c r="AA2289" s="126">
        <f>IF(Projects!$AI2289="Electrolysis",
AB2289*VLOOKUP(G2289,ElectrolysisConvF,3,FALSE),
"")</f>
        <v>1442.97368</v>
      </c>
      <c r="AB2289" s="125">
        <f>AC2289/(H2dens*HoursInYear/10^6)</f>
        <v>320660.8178</v>
      </c>
      <c r="AC2289" s="125">
        <f>100/Projects!$AJ2289</f>
        <v>250</v>
      </c>
      <c r="AD2289" s="125"/>
      <c r="AE2289" s="125">
        <f t="shared" si="425"/>
        <v>320660.8178</v>
      </c>
      <c r="AF2289" s="127" t="s">
        <v>15347</v>
      </c>
      <c r="AG2289" s="127">
        <v>47.425092728062</v>
      </c>
      <c r="AH2289" s="127">
        <v>-53.6254497653476</v>
      </c>
      <c r="AI2289" s="115" t="s">
        <v>12383</v>
      </c>
      <c r="AJ2289" s="116">
        <v>0.4</v>
      </c>
      <c r="AK2289" s="117"/>
      <c r="AL2289" s="117"/>
      <c r="AM2289" s="117"/>
      <c r="AN2289" s="117"/>
      <c r="AO2289" s="117"/>
    </row>
    <row r="2290" ht="34.5" customHeight="1">
      <c r="A2290" s="111">
        <v>3009.0</v>
      </c>
      <c r="B2290" s="111" t="s">
        <v>10293</v>
      </c>
      <c r="C2290" s="111" t="s">
        <v>8161</v>
      </c>
      <c r="D2290" s="111">
        <v>2027.0</v>
      </c>
      <c r="E2290" s="111"/>
      <c r="F2290" s="111" t="s">
        <v>12399</v>
      </c>
      <c r="G2290" s="111" t="s">
        <v>12226</v>
      </c>
      <c r="H2290" s="111"/>
      <c r="I2290" s="111" t="s">
        <v>12759</v>
      </c>
      <c r="J2290" s="111"/>
      <c r="K2290" s="111" t="s">
        <v>30</v>
      </c>
      <c r="L2290" s="111">
        <v>1.0</v>
      </c>
      <c r="M2290" s="111"/>
      <c r="N2290" s="111"/>
      <c r="O2290" s="111"/>
      <c r="P2290" s="111"/>
      <c r="Q2290" s="111"/>
      <c r="R2290" s="111"/>
      <c r="S2290" s="111"/>
      <c r="T2290" s="111"/>
      <c r="U2290" s="111"/>
      <c r="V2290" s="111"/>
      <c r="W2290" s="111"/>
      <c r="X2290" s="111"/>
      <c r="Y2290" s="111"/>
      <c r="Z2290" s="111" t="s">
        <v>15348</v>
      </c>
      <c r="AA2290" s="124">
        <f>310-AA1273</f>
        <v>250</v>
      </c>
      <c r="AB2290" s="125">
        <f>IF(Projects!$AI2290="Electrolysis",
AA2290/VLOOKUP(G2290,ElectrolysisConvF,3,FALSE),
AC2290*10^6/(H2dens*HoursInYear))</f>
        <v>48076.92308</v>
      </c>
      <c r="AC2290" s="126">
        <f t="shared" ref="AC2290:AC2291" si="426">AB2290*H2dens*HoursInYear/10^6</f>
        <v>37.48269231</v>
      </c>
      <c r="AD2290" s="125"/>
      <c r="AE2290" s="125">
        <f t="shared" si="425"/>
        <v>48076.92308</v>
      </c>
      <c r="AF2290" s="127"/>
      <c r="AG2290" s="127">
        <v>37.9640325151618</v>
      </c>
      <c r="AH2290" s="127">
        <v>-8.81015788759686</v>
      </c>
      <c r="AI2290" s="115" t="s">
        <v>12383</v>
      </c>
      <c r="AJ2290" s="116">
        <v>0.7</v>
      </c>
      <c r="AK2290" s="117"/>
      <c r="AL2290" s="117"/>
      <c r="AM2290" s="117"/>
      <c r="AN2290" s="117"/>
      <c r="AO2290" s="117"/>
    </row>
    <row r="2291" ht="34.5" customHeight="1">
      <c r="A2291" s="111">
        <v>3010.0</v>
      </c>
      <c r="B2291" s="111" t="s">
        <v>10294</v>
      </c>
      <c r="C2291" s="111" t="s">
        <v>8161</v>
      </c>
      <c r="D2291" s="111">
        <v>2029.0</v>
      </c>
      <c r="E2291" s="111"/>
      <c r="F2291" s="111" t="s">
        <v>12397</v>
      </c>
      <c r="G2291" s="111" t="s">
        <v>12226</v>
      </c>
      <c r="H2291" s="111"/>
      <c r="I2291" s="111" t="s">
        <v>12759</v>
      </c>
      <c r="J2291" s="111"/>
      <c r="K2291" s="111" t="s">
        <v>30</v>
      </c>
      <c r="L2291" s="111">
        <v>1.0</v>
      </c>
      <c r="M2291" s="111"/>
      <c r="N2291" s="111"/>
      <c r="O2291" s="111"/>
      <c r="P2291" s="111"/>
      <c r="Q2291" s="111"/>
      <c r="R2291" s="111"/>
      <c r="S2291" s="111"/>
      <c r="T2291" s="111"/>
      <c r="U2291" s="111"/>
      <c r="V2291" s="111"/>
      <c r="W2291" s="111"/>
      <c r="X2291" s="111"/>
      <c r="Y2291" s="111"/>
      <c r="Z2291" s="111" t="s">
        <v>15349</v>
      </c>
      <c r="AA2291" s="124">
        <f>510-AA2290-AA1273</f>
        <v>200</v>
      </c>
      <c r="AB2291" s="125">
        <f>IF(Projects!$AI2291="Electrolysis",
AA2291/VLOOKUP(G2291,ElectrolysisConvF,3,FALSE),
AC2291*10^6/(H2dens*HoursInYear))</f>
        <v>38461.53846</v>
      </c>
      <c r="AC2291" s="126">
        <f t="shared" si="426"/>
        <v>29.98615385</v>
      </c>
      <c r="AD2291" s="125"/>
      <c r="AE2291" s="125">
        <f t="shared" si="425"/>
        <v>38461.53846</v>
      </c>
      <c r="AF2291" s="127"/>
      <c r="AG2291" s="127">
        <v>37.9640325151618</v>
      </c>
      <c r="AH2291" s="127">
        <v>-8.81015788759686</v>
      </c>
      <c r="AI2291" s="115" t="s">
        <v>12383</v>
      </c>
      <c r="AJ2291" s="116">
        <v>0.7</v>
      </c>
      <c r="AK2291" s="117"/>
      <c r="AL2291" s="117"/>
      <c r="AM2291" s="117"/>
      <c r="AN2291" s="117"/>
      <c r="AO2291" s="117"/>
    </row>
    <row r="2292" ht="34.5" customHeight="1">
      <c r="A2292" s="111">
        <v>3011.0</v>
      </c>
      <c r="B2292" s="127" t="s">
        <v>10295</v>
      </c>
      <c r="C2292" s="111" t="s">
        <v>8001</v>
      </c>
      <c r="D2292" s="111">
        <v>2029.0</v>
      </c>
      <c r="E2292" s="111"/>
      <c r="F2292" s="111" t="s">
        <v>12399</v>
      </c>
      <c r="G2292" s="111" t="s">
        <v>12224</v>
      </c>
      <c r="H2292" s="111"/>
      <c r="I2292" s="111" t="s">
        <v>12394</v>
      </c>
      <c r="J2292" s="111" t="s">
        <v>12295</v>
      </c>
      <c r="K2292" s="111" t="s">
        <v>174</v>
      </c>
      <c r="L2292" s="111"/>
      <c r="M2292" s="111">
        <v>1.0</v>
      </c>
      <c r="N2292" s="111"/>
      <c r="O2292" s="111"/>
      <c r="P2292" s="111"/>
      <c r="Q2292" s="111"/>
      <c r="R2292" s="111"/>
      <c r="S2292" s="111"/>
      <c r="T2292" s="111"/>
      <c r="U2292" s="111"/>
      <c r="V2292" s="111"/>
      <c r="W2292" s="111"/>
      <c r="X2292" s="111"/>
      <c r="Y2292" s="111"/>
      <c r="Z2292" s="111" t="s">
        <v>15350</v>
      </c>
      <c r="AA2292" s="126">
        <f>IF(Projects!$AI2292="Electrolysis",
AB2292*VLOOKUP(G2292,ElectrolysisConvF,3,FALSE),
"")</f>
        <v>594.9740216</v>
      </c>
      <c r="AB2292" s="125">
        <f t="shared" ref="AB2292:AB2295" si="427">AC2292/(H2dens*HoursInYear/10^6)</f>
        <v>129342.1786</v>
      </c>
      <c r="AC2292" s="125">
        <f>(280*3/17/0.98)/Projects!$AJ2292</f>
        <v>100.8403361</v>
      </c>
      <c r="AD2292" s="125"/>
      <c r="AE2292" s="125">
        <f t="shared" si="425"/>
        <v>129342.1786</v>
      </c>
      <c r="AF2292" s="127" t="s">
        <v>15100</v>
      </c>
      <c r="AG2292" s="127">
        <v>42.2720905262963</v>
      </c>
      <c r="AH2292" s="127">
        <v>118.890974193958</v>
      </c>
      <c r="AI2292" s="115" t="s">
        <v>12383</v>
      </c>
      <c r="AJ2292" s="116">
        <v>0.5</v>
      </c>
      <c r="AK2292" s="117"/>
      <c r="AL2292" s="117"/>
      <c r="AM2292" s="117"/>
      <c r="AN2292" s="117"/>
      <c r="AO2292" s="117"/>
    </row>
    <row r="2293" ht="34.5" customHeight="1">
      <c r="A2293" s="111">
        <v>3012.0</v>
      </c>
      <c r="B2293" s="111" t="s">
        <v>10296</v>
      </c>
      <c r="C2293" s="111" t="s">
        <v>7977</v>
      </c>
      <c r="D2293" s="111">
        <v>2028.0</v>
      </c>
      <c r="E2293" s="111"/>
      <c r="F2293" s="111" t="s">
        <v>12399</v>
      </c>
      <c r="G2293" s="111" t="s">
        <v>12381</v>
      </c>
      <c r="H2293" s="111" t="s">
        <v>12230</v>
      </c>
      <c r="I2293" s="111" t="s">
        <v>12394</v>
      </c>
      <c r="J2293" s="111" t="s">
        <v>12296</v>
      </c>
      <c r="K2293" s="111" t="s">
        <v>174</v>
      </c>
      <c r="L2293" s="111"/>
      <c r="M2293" s="111">
        <v>1.0</v>
      </c>
      <c r="N2293" s="111"/>
      <c r="O2293" s="111"/>
      <c r="P2293" s="111"/>
      <c r="Q2293" s="111">
        <v>1.0</v>
      </c>
      <c r="R2293" s="111"/>
      <c r="S2293" s="111"/>
      <c r="T2293" s="111"/>
      <c r="U2293" s="111"/>
      <c r="V2293" s="111"/>
      <c r="W2293" s="111"/>
      <c r="X2293" s="111"/>
      <c r="Y2293" s="111"/>
      <c r="Z2293" s="111" t="s">
        <v>15351</v>
      </c>
      <c r="AA2293" s="126">
        <f>IF(Projects!$AI2293="Electrolysis",
AB2293*VLOOKUP(G2293,ElectrolysisConvF,3,FALSE),
"")</f>
        <v>294.1379723</v>
      </c>
      <c r="AB2293" s="125">
        <f t="shared" si="427"/>
        <v>65363.99384</v>
      </c>
      <c r="AC2293" s="125">
        <f>283*3/17/0.98</f>
        <v>50.96038415</v>
      </c>
      <c r="AD2293" s="125"/>
      <c r="AE2293" s="125">
        <f t="shared" si="425"/>
        <v>65363.99384</v>
      </c>
      <c r="AF2293" s="127" t="s">
        <v>15352</v>
      </c>
      <c r="AG2293" s="127">
        <v>39.9572137116035</v>
      </c>
      <c r="AH2293" s="127">
        <v>0.0123494134243755</v>
      </c>
      <c r="AI2293" s="115" t="s">
        <v>12383</v>
      </c>
      <c r="AJ2293" s="116">
        <v>0.5</v>
      </c>
      <c r="AK2293" s="117"/>
      <c r="AL2293" s="117"/>
      <c r="AM2293" s="117"/>
      <c r="AN2293" s="117"/>
      <c r="AO2293" s="117"/>
    </row>
    <row r="2294" ht="34.5" customHeight="1">
      <c r="A2294" s="111">
        <v>3013.0</v>
      </c>
      <c r="B2294" s="111" t="s">
        <v>10297</v>
      </c>
      <c r="C2294" s="111" t="s">
        <v>7977</v>
      </c>
      <c r="D2294" s="111">
        <v>2030.0</v>
      </c>
      <c r="E2294" s="111"/>
      <c r="F2294" s="111" t="s">
        <v>12397</v>
      </c>
      <c r="G2294" s="111" t="s">
        <v>12381</v>
      </c>
      <c r="H2294" s="111" t="s">
        <v>12230</v>
      </c>
      <c r="I2294" s="111" t="s">
        <v>12394</v>
      </c>
      <c r="J2294" s="111" t="s">
        <v>12296</v>
      </c>
      <c r="K2294" s="111" t="s">
        <v>174</v>
      </c>
      <c r="L2294" s="111"/>
      <c r="M2294" s="111">
        <v>1.0</v>
      </c>
      <c r="N2294" s="111"/>
      <c r="O2294" s="111"/>
      <c r="P2294" s="111"/>
      <c r="Q2294" s="111">
        <v>1.0</v>
      </c>
      <c r="R2294" s="111"/>
      <c r="S2294" s="111"/>
      <c r="T2294" s="111"/>
      <c r="U2294" s="111"/>
      <c r="V2294" s="111"/>
      <c r="W2294" s="111"/>
      <c r="X2294" s="111"/>
      <c r="Y2294" s="111"/>
      <c r="Z2294" s="111" t="s">
        <v>15353</v>
      </c>
      <c r="AA2294" s="126">
        <f>IF(Projects!$AI2294="Electrolysis",
AB2294*VLOOKUP(G2294,ElectrolysisConvF,3,FALSE),
"")</f>
        <v>295.1773291</v>
      </c>
      <c r="AB2294" s="125">
        <f t="shared" si="427"/>
        <v>65594.96201</v>
      </c>
      <c r="AC2294" s="125">
        <f>(567-283)*3/17/0.98</f>
        <v>51.14045618</v>
      </c>
      <c r="AD2294" s="125"/>
      <c r="AE2294" s="125">
        <f t="shared" si="425"/>
        <v>65594.96201</v>
      </c>
      <c r="AF2294" s="127" t="s">
        <v>15352</v>
      </c>
      <c r="AG2294" s="127">
        <v>39.9572137116035</v>
      </c>
      <c r="AH2294" s="127">
        <v>0.0123494134243755</v>
      </c>
      <c r="AI2294" s="115" t="s">
        <v>12383</v>
      </c>
      <c r="AJ2294" s="116">
        <v>0.5</v>
      </c>
      <c r="AK2294" s="117"/>
      <c r="AL2294" s="117"/>
      <c r="AM2294" s="117"/>
      <c r="AN2294" s="117"/>
      <c r="AO2294" s="117"/>
    </row>
    <row r="2295" ht="34.5" customHeight="1">
      <c r="A2295" s="111">
        <v>3014.0</v>
      </c>
      <c r="B2295" s="111" t="s">
        <v>10298</v>
      </c>
      <c r="C2295" s="111" t="s">
        <v>7977</v>
      </c>
      <c r="D2295" s="111">
        <v>2031.0</v>
      </c>
      <c r="E2295" s="111"/>
      <c r="F2295" s="111" t="s">
        <v>12397</v>
      </c>
      <c r="G2295" s="111" t="s">
        <v>12381</v>
      </c>
      <c r="H2295" s="111" t="s">
        <v>12230</v>
      </c>
      <c r="I2295" s="111" t="s">
        <v>12394</v>
      </c>
      <c r="J2295" s="111" t="s">
        <v>12296</v>
      </c>
      <c r="K2295" s="111" t="s">
        <v>174</v>
      </c>
      <c r="L2295" s="111"/>
      <c r="M2295" s="111">
        <v>1.0</v>
      </c>
      <c r="N2295" s="111"/>
      <c r="O2295" s="111"/>
      <c r="P2295" s="111"/>
      <c r="Q2295" s="111">
        <v>1.0</v>
      </c>
      <c r="R2295" s="111"/>
      <c r="S2295" s="111"/>
      <c r="T2295" s="111"/>
      <c r="U2295" s="111"/>
      <c r="V2295" s="111"/>
      <c r="W2295" s="111"/>
      <c r="X2295" s="111"/>
      <c r="Y2295" s="111"/>
      <c r="Z2295" s="111" t="s">
        <v>15354</v>
      </c>
      <c r="AA2295" s="126">
        <f>IF(Projects!$AI2295="Electrolysis",
AB2295*VLOOKUP(G2295,ElectrolysisConvF,3,FALSE),
"")</f>
        <v>294.1379723</v>
      </c>
      <c r="AB2295" s="125">
        <f t="shared" si="427"/>
        <v>65363.99384</v>
      </c>
      <c r="AC2295" s="125">
        <f>(850-567)*3/17/0.98</f>
        <v>50.96038415</v>
      </c>
      <c r="AD2295" s="125"/>
      <c r="AE2295" s="125">
        <f t="shared" si="425"/>
        <v>65363.99384</v>
      </c>
      <c r="AF2295" s="127" t="s">
        <v>15352</v>
      </c>
      <c r="AG2295" s="127">
        <v>39.9572137116035</v>
      </c>
      <c r="AH2295" s="127">
        <v>0.0123494134243755</v>
      </c>
      <c r="AI2295" s="115" t="s">
        <v>12383</v>
      </c>
      <c r="AJ2295" s="116">
        <v>0.5</v>
      </c>
      <c r="AK2295" s="117"/>
      <c r="AL2295" s="117"/>
      <c r="AM2295" s="117"/>
      <c r="AN2295" s="117"/>
      <c r="AO2295" s="117"/>
    </row>
    <row r="2296" ht="34.5" customHeight="1">
      <c r="A2296" s="111">
        <v>3015.0</v>
      </c>
      <c r="B2296" s="111" t="s">
        <v>10299</v>
      </c>
      <c r="C2296" s="111" t="s">
        <v>7977</v>
      </c>
      <c r="D2296" s="111">
        <v>2028.0</v>
      </c>
      <c r="E2296" s="111"/>
      <c r="F2296" s="111" t="s">
        <v>12399</v>
      </c>
      <c r="G2296" s="111" t="s">
        <v>12381</v>
      </c>
      <c r="H2296" s="111" t="s">
        <v>12230</v>
      </c>
      <c r="I2296" s="111" t="s">
        <v>12394</v>
      </c>
      <c r="J2296" s="111" t="s">
        <v>12296</v>
      </c>
      <c r="K2296" s="111" t="s">
        <v>174</v>
      </c>
      <c r="L2296" s="111"/>
      <c r="M2296" s="111">
        <v>1.0</v>
      </c>
      <c r="N2296" s="111"/>
      <c r="O2296" s="111"/>
      <c r="P2296" s="111"/>
      <c r="Q2296" s="111"/>
      <c r="R2296" s="111"/>
      <c r="S2296" s="111"/>
      <c r="T2296" s="111"/>
      <c r="U2296" s="111"/>
      <c r="V2296" s="111"/>
      <c r="W2296" s="111"/>
      <c r="X2296" s="111"/>
      <c r="Y2296" s="111"/>
      <c r="Z2296" s="111" t="s">
        <v>13142</v>
      </c>
      <c r="AA2296" s="124">
        <v>200.0</v>
      </c>
      <c r="AB2296" s="125">
        <f>IF(Projects!$AI2296="Electrolysis",
AA2296/VLOOKUP(G2296,ElectrolysisConvF,3,FALSE),
AC2296*10^6/(H2dens*HoursInYear))</f>
        <v>44444.44444</v>
      </c>
      <c r="AC2296" s="126">
        <f t="shared" ref="AC2296:AC2298" si="428">AB2296*H2dens*HoursInYear/10^6</f>
        <v>34.65066667</v>
      </c>
      <c r="AD2296" s="125"/>
      <c r="AE2296" s="125">
        <f t="shared" si="425"/>
        <v>44444.44444</v>
      </c>
      <c r="AF2296" s="127" t="s">
        <v>15355</v>
      </c>
      <c r="AG2296" s="127">
        <v>43.3592697868624</v>
      </c>
      <c r="AH2296" s="127">
        <v>-8.40530897430623</v>
      </c>
      <c r="AI2296" s="115" t="s">
        <v>12383</v>
      </c>
      <c r="AJ2296" s="116">
        <v>0.5</v>
      </c>
      <c r="AK2296" s="117"/>
      <c r="AL2296" s="117"/>
      <c r="AM2296" s="117"/>
      <c r="AN2296" s="117"/>
      <c r="AO2296" s="117"/>
    </row>
    <row r="2297" ht="34.5" customHeight="1">
      <c r="A2297" s="111">
        <v>3016.0</v>
      </c>
      <c r="B2297" s="111" t="s">
        <v>10300</v>
      </c>
      <c r="C2297" s="111" t="s">
        <v>7977</v>
      </c>
      <c r="D2297" s="111">
        <v>2030.0</v>
      </c>
      <c r="E2297" s="111"/>
      <c r="F2297" s="111" t="s">
        <v>12397</v>
      </c>
      <c r="G2297" s="111" t="s">
        <v>12381</v>
      </c>
      <c r="H2297" s="111" t="s">
        <v>12230</v>
      </c>
      <c r="I2297" s="111" t="s">
        <v>12394</v>
      </c>
      <c r="J2297" s="111" t="s">
        <v>12296</v>
      </c>
      <c r="K2297" s="111" t="s">
        <v>174</v>
      </c>
      <c r="L2297" s="111"/>
      <c r="M2297" s="111">
        <v>1.0</v>
      </c>
      <c r="N2297" s="111"/>
      <c r="O2297" s="111"/>
      <c r="P2297" s="111"/>
      <c r="Q2297" s="111"/>
      <c r="R2297" s="111"/>
      <c r="S2297" s="111"/>
      <c r="T2297" s="111"/>
      <c r="U2297" s="111"/>
      <c r="V2297" s="111"/>
      <c r="W2297" s="111"/>
      <c r="X2297" s="111"/>
      <c r="Y2297" s="111"/>
      <c r="Z2297" s="111" t="s">
        <v>15356</v>
      </c>
      <c r="AA2297" s="124">
        <f>600-AA2296</f>
        <v>400</v>
      </c>
      <c r="AB2297" s="125">
        <f>IF(Projects!$AI2297="Electrolysis",
AA2297/VLOOKUP(G2297,ElectrolysisConvF,3,FALSE),
AC2297*10^6/(H2dens*HoursInYear))</f>
        <v>88888.88889</v>
      </c>
      <c r="AC2297" s="126">
        <f t="shared" si="428"/>
        <v>69.30133333</v>
      </c>
      <c r="AD2297" s="125"/>
      <c r="AE2297" s="125">
        <f t="shared" si="425"/>
        <v>88888.88889</v>
      </c>
      <c r="AF2297" s="127" t="s">
        <v>15355</v>
      </c>
      <c r="AG2297" s="127">
        <v>43.3592697868624</v>
      </c>
      <c r="AH2297" s="127">
        <v>-8.40530897430623</v>
      </c>
      <c r="AI2297" s="115" t="s">
        <v>12383</v>
      </c>
      <c r="AJ2297" s="116">
        <v>0.5</v>
      </c>
      <c r="AK2297" s="117"/>
      <c r="AL2297" s="117"/>
      <c r="AM2297" s="117"/>
      <c r="AN2297" s="117"/>
      <c r="AO2297" s="117"/>
    </row>
    <row r="2298" ht="34.5" customHeight="1">
      <c r="A2298" s="111">
        <v>3017.0</v>
      </c>
      <c r="B2298" s="111" t="s">
        <v>10301</v>
      </c>
      <c r="C2298" s="111" t="s">
        <v>7977</v>
      </c>
      <c r="D2298" s="111">
        <v>2031.0</v>
      </c>
      <c r="E2298" s="111"/>
      <c r="F2298" s="111" t="s">
        <v>12397</v>
      </c>
      <c r="G2298" s="111" t="s">
        <v>12381</v>
      </c>
      <c r="H2298" s="111" t="s">
        <v>12230</v>
      </c>
      <c r="I2298" s="111" t="s">
        <v>12394</v>
      </c>
      <c r="J2298" s="111" t="s">
        <v>12296</v>
      </c>
      <c r="K2298" s="111" t="s">
        <v>174</v>
      </c>
      <c r="L2298" s="111"/>
      <c r="M2298" s="111">
        <v>1.0</v>
      </c>
      <c r="N2298" s="111"/>
      <c r="O2298" s="111"/>
      <c r="P2298" s="111"/>
      <c r="Q2298" s="111"/>
      <c r="R2298" s="111"/>
      <c r="S2298" s="111"/>
      <c r="T2298" s="111"/>
      <c r="U2298" s="111"/>
      <c r="V2298" s="111"/>
      <c r="W2298" s="111"/>
      <c r="X2298" s="111"/>
      <c r="Y2298" s="111"/>
      <c r="Z2298" s="111" t="s">
        <v>15357</v>
      </c>
      <c r="AA2298" s="124">
        <f>1000-AA2297-AA2296</f>
        <v>400</v>
      </c>
      <c r="AB2298" s="125">
        <f>IF(Projects!$AI2298="Electrolysis",
AA2298/VLOOKUP(G2298,ElectrolysisConvF,3,FALSE),
AC2298*10^6/(H2dens*HoursInYear))</f>
        <v>88888.88889</v>
      </c>
      <c r="AC2298" s="126">
        <f t="shared" si="428"/>
        <v>69.30133333</v>
      </c>
      <c r="AD2298" s="125"/>
      <c r="AE2298" s="125">
        <f t="shared" si="425"/>
        <v>88888.88889</v>
      </c>
      <c r="AF2298" s="127" t="s">
        <v>15355</v>
      </c>
      <c r="AG2298" s="127">
        <v>43.3592697868624</v>
      </c>
      <c r="AH2298" s="127">
        <v>-8.40530897430623</v>
      </c>
      <c r="AI2298" s="115" t="s">
        <v>12383</v>
      </c>
      <c r="AJ2298" s="116">
        <v>0.5</v>
      </c>
      <c r="AK2298" s="117"/>
      <c r="AL2298" s="117"/>
      <c r="AM2298" s="117"/>
      <c r="AN2298" s="117"/>
      <c r="AO2298" s="117"/>
    </row>
    <row r="2299" ht="34.5" customHeight="1">
      <c r="A2299" s="111">
        <v>3018.0</v>
      </c>
      <c r="B2299" s="127" t="s">
        <v>10302</v>
      </c>
      <c r="C2299" s="111" t="s">
        <v>8001</v>
      </c>
      <c r="D2299" s="111">
        <v>2026.0</v>
      </c>
      <c r="E2299" s="111"/>
      <c r="F2299" s="111" t="s">
        <v>12399</v>
      </c>
      <c r="G2299" s="111" t="s">
        <v>12381</v>
      </c>
      <c r="H2299" s="111" t="s">
        <v>12230</v>
      </c>
      <c r="I2299" s="111" t="s">
        <v>12394</v>
      </c>
      <c r="J2299" s="111" t="s">
        <v>12295</v>
      </c>
      <c r="K2299" s="111" t="s">
        <v>30</v>
      </c>
      <c r="L2299" s="111"/>
      <c r="M2299" s="111"/>
      <c r="N2299" s="111"/>
      <c r="O2299" s="111"/>
      <c r="P2299" s="111"/>
      <c r="Q2299" s="111"/>
      <c r="R2299" s="111"/>
      <c r="S2299" s="111"/>
      <c r="T2299" s="111"/>
      <c r="U2299" s="111"/>
      <c r="V2299" s="111"/>
      <c r="W2299" s="111"/>
      <c r="X2299" s="111"/>
      <c r="Y2299" s="111"/>
      <c r="Z2299" s="111" t="s">
        <v>15358</v>
      </c>
      <c r="AA2299" s="126">
        <f>IF(Projects!$AI2299="Electrolysis",
AB2299*VLOOKUP(G2299,ElectrolysisConvF,3,FALSE),
"")</f>
        <v>311.6823149</v>
      </c>
      <c r="AB2299" s="125">
        <f>AC2299/(H2dens*HoursInYear/10^6)</f>
        <v>69262.73665</v>
      </c>
      <c r="AC2299" s="125">
        <f>54</f>
        <v>54</v>
      </c>
      <c r="AD2299" s="125"/>
      <c r="AE2299" s="125">
        <f t="shared" si="425"/>
        <v>69262.73665</v>
      </c>
      <c r="AF2299" s="127" t="s">
        <v>15359</v>
      </c>
      <c r="AG2299" s="127">
        <v>41.0915781888478</v>
      </c>
      <c r="AH2299" s="127">
        <v>107.045939473826</v>
      </c>
      <c r="AI2299" s="115" t="s">
        <v>12383</v>
      </c>
      <c r="AJ2299" s="116">
        <v>0.5</v>
      </c>
      <c r="AK2299" s="117"/>
      <c r="AL2299" s="117"/>
      <c r="AM2299" s="117"/>
      <c r="AN2299" s="117"/>
      <c r="AO2299" s="117"/>
    </row>
    <row r="2300" ht="34.5" customHeight="1">
      <c r="A2300" s="111">
        <v>3019.0</v>
      </c>
      <c r="B2300" s="127" t="s">
        <v>10303</v>
      </c>
      <c r="C2300" s="111" t="s">
        <v>7977</v>
      </c>
      <c r="D2300" s="111">
        <v>2029.0</v>
      </c>
      <c r="E2300" s="111"/>
      <c r="F2300" s="111" t="s">
        <v>12397</v>
      </c>
      <c r="G2300" s="111" t="s">
        <v>12381</v>
      </c>
      <c r="H2300" s="111" t="s">
        <v>12230</v>
      </c>
      <c r="I2300" s="111" t="s">
        <v>12287</v>
      </c>
      <c r="J2300" s="111"/>
      <c r="K2300" s="111" t="s">
        <v>12481</v>
      </c>
      <c r="L2300" s="111"/>
      <c r="M2300" s="111">
        <v>1.0</v>
      </c>
      <c r="N2300" s="111">
        <v>1.0</v>
      </c>
      <c r="O2300" s="111"/>
      <c r="P2300" s="111"/>
      <c r="Q2300" s="111"/>
      <c r="R2300" s="111">
        <v>1.0</v>
      </c>
      <c r="S2300" s="111"/>
      <c r="T2300" s="111"/>
      <c r="U2300" s="111"/>
      <c r="V2300" s="111"/>
      <c r="W2300" s="111"/>
      <c r="X2300" s="111"/>
      <c r="Y2300" s="111">
        <v>1.0</v>
      </c>
      <c r="Z2300" s="111" t="s">
        <v>13620</v>
      </c>
      <c r="AA2300" s="124">
        <v>500.0</v>
      </c>
      <c r="AB2300" s="125">
        <f>IF(Projects!$AI2300="Electrolysis",
AA2300/VLOOKUP(G2300,ElectrolysisConvF,3,FALSE),
AC2300*10^6/(H2dens*HoursInYear))</f>
        <v>111111.1111</v>
      </c>
      <c r="AC2300" s="126">
        <f>AB2300*H2dens*HoursInYear/10^6</f>
        <v>86.62666667</v>
      </c>
      <c r="AD2300" s="125"/>
      <c r="AE2300" s="125">
        <f t="shared" si="425"/>
        <v>111111.1111</v>
      </c>
      <c r="AF2300" s="127"/>
      <c r="AG2300" s="127">
        <v>36.20535</v>
      </c>
      <c r="AH2300" s="127">
        <v>-5.382586</v>
      </c>
      <c r="AI2300" s="115" t="s">
        <v>12383</v>
      </c>
      <c r="AJ2300" s="116">
        <v>0.57</v>
      </c>
      <c r="AK2300" s="117"/>
      <c r="AL2300" s="117"/>
      <c r="AM2300" s="117"/>
      <c r="AN2300" s="117"/>
      <c r="AO2300" s="117"/>
    </row>
    <row r="2301" ht="34.5" customHeight="1">
      <c r="A2301" s="111">
        <v>3020.0</v>
      </c>
      <c r="B2301" s="111" t="s">
        <v>10304</v>
      </c>
      <c r="C2301" s="111" t="s">
        <v>7981</v>
      </c>
      <c r="D2301" s="111">
        <v>2025.0</v>
      </c>
      <c r="E2301" s="111"/>
      <c r="F2301" s="111" t="s">
        <v>12393</v>
      </c>
      <c r="G2301" s="111" t="s">
        <v>12235</v>
      </c>
      <c r="H2301" s="111" t="s">
        <v>12885</v>
      </c>
      <c r="I2301" s="111"/>
      <c r="J2301" s="111"/>
      <c r="K2301" s="111" t="s">
        <v>174</v>
      </c>
      <c r="L2301" s="111"/>
      <c r="M2301" s="111">
        <v>1.0</v>
      </c>
      <c r="N2301" s="111"/>
      <c r="O2301" s="111"/>
      <c r="P2301" s="111"/>
      <c r="Q2301" s="111"/>
      <c r="R2301" s="111"/>
      <c r="S2301" s="111"/>
      <c r="T2301" s="111"/>
      <c r="U2301" s="111"/>
      <c r="V2301" s="111"/>
      <c r="W2301" s="111"/>
      <c r="X2301" s="111"/>
      <c r="Y2301" s="111"/>
      <c r="Z2301" s="111" t="s">
        <v>15360</v>
      </c>
      <c r="AA2301" s="126"/>
      <c r="AB2301" s="125"/>
      <c r="AC2301" s="125"/>
      <c r="AD2301" s="125"/>
      <c r="AE2301" s="125">
        <f t="shared" si="425"/>
        <v>0</v>
      </c>
      <c r="AF2301" s="127"/>
      <c r="AG2301" s="127">
        <v>30.0989819627013</v>
      </c>
      <c r="AH2301" s="127">
        <v>-90.9545251386236</v>
      </c>
      <c r="AI2301" s="115" t="s">
        <v>12378</v>
      </c>
      <c r="AJ2301" s="116">
        <v>0.9</v>
      </c>
      <c r="AK2301" s="117"/>
      <c r="AL2301" s="117"/>
      <c r="AM2301" s="117"/>
      <c r="AN2301" s="117"/>
      <c r="AO2301" s="117"/>
    </row>
    <row r="2302" ht="34.5" customHeight="1">
      <c r="A2302" s="111">
        <v>3021.0</v>
      </c>
      <c r="B2302" s="111" t="s">
        <v>10305</v>
      </c>
      <c r="C2302" s="111" t="s">
        <v>8785</v>
      </c>
      <c r="D2302" s="111"/>
      <c r="E2302" s="111"/>
      <c r="F2302" s="111" t="s">
        <v>12397</v>
      </c>
      <c r="G2302" s="111" t="s">
        <v>12381</v>
      </c>
      <c r="H2302" s="111" t="s">
        <v>12230</v>
      </c>
      <c r="I2302" s="111" t="s">
        <v>12287</v>
      </c>
      <c r="J2302" s="111"/>
      <c r="K2302" s="111" t="s">
        <v>174</v>
      </c>
      <c r="L2302" s="111"/>
      <c r="M2302" s="111">
        <v>1.0</v>
      </c>
      <c r="N2302" s="111"/>
      <c r="O2302" s="111"/>
      <c r="P2302" s="111"/>
      <c r="Q2302" s="111"/>
      <c r="R2302" s="111"/>
      <c r="S2302" s="111"/>
      <c r="T2302" s="111"/>
      <c r="U2302" s="111"/>
      <c r="V2302" s="111"/>
      <c r="W2302" s="111"/>
      <c r="X2302" s="111"/>
      <c r="Y2302" s="111"/>
      <c r="Z2302" s="111" t="s">
        <v>15361</v>
      </c>
      <c r="AA2302" s="124">
        <v>500.0</v>
      </c>
      <c r="AB2302" s="125">
        <f>IF(Projects!$AI2302="Electrolysis",
AA2302/VLOOKUP(G2302,ElectrolysisConvF,3,FALSE),
AC2302*10^6/(H2dens*HoursInYear))</f>
        <v>111111.1111</v>
      </c>
      <c r="AC2302" s="126">
        <f>AB2302*H2dens*HoursInYear/10^6</f>
        <v>86.62666667</v>
      </c>
      <c r="AD2302" s="125"/>
      <c r="AE2302" s="125">
        <f t="shared" si="425"/>
        <v>111111.1111</v>
      </c>
      <c r="AF2302" s="127" t="s">
        <v>13955</v>
      </c>
      <c r="AG2302" s="127">
        <v>29.659369</v>
      </c>
      <c r="AH2302" s="127">
        <v>32.34481</v>
      </c>
      <c r="AI2302" s="115" t="s">
        <v>12383</v>
      </c>
      <c r="AJ2302" s="116">
        <v>0.57</v>
      </c>
      <c r="AK2302" s="117"/>
      <c r="AL2302" s="117"/>
      <c r="AM2302" s="117"/>
      <c r="AN2302" s="117"/>
      <c r="AO2302" s="117"/>
    </row>
    <row r="2303" ht="34.5" customHeight="1">
      <c r="A2303" s="111">
        <v>3022.0</v>
      </c>
      <c r="B2303" s="111" t="s">
        <v>10306</v>
      </c>
      <c r="C2303" s="111" t="s">
        <v>8785</v>
      </c>
      <c r="D2303" s="111"/>
      <c r="E2303" s="111"/>
      <c r="F2303" s="111" t="s">
        <v>12397</v>
      </c>
      <c r="G2303" s="111" t="s">
        <v>12381</v>
      </c>
      <c r="H2303" s="111" t="s">
        <v>12230</v>
      </c>
      <c r="I2303" s="111" t="s">
        <v>12287</v>
      </c>
      <c r="J2303" s="111"/>
      <c r="K2303" s="111" t="s">
        <v>174</v>
      </c>
      <c r="L2303" s="111"/>
      <c r="M2303" s="111">
        <v>1.0</v>
      </c>
      <c r="N2303" s="111"/>
      <c r="O2303" s="111"/>
      <c r="P2303" s="111"/>
      <c r="Q2303" s="111"/>
      <c r="R2303" s="111"/>
      <c r="S2303" s="111"/>
      <c r="T2303" s="111"/>
      <c r="U2303" s="111"/>
      <c r="V2303" s="111"/>
      <c r="W2303" s="111"/>
      <c r="X2303" s="111"/>
      <c r="Y2303" s="111"/>
      <c r="Z2303" s="111" t="s">
        <v>15362</v>
      </c>
      <c r="AA2303" s="126">
        <f>IF(Projects!$AI2303="Electrolysis",
AB2303*VLOOKUP(G2303,ElectrolysisConvF,3,FALSE),
"")</f>
        <v>2598.391981</v>
      </c>
      <c r="AB2303" s="125">
        <f>AC2303/(H2dens*HoursInYear/10^6)</f>
        <v>577420.4402</v>
      </c>
      <c r="AC2303" s="125">
        <f>2500*3/17/0.98</f>
        <v>450.180072</v>
      </c>
      <c r="AD2303" s="125"/>
      <c r="AE2303" s="125">
        <f t="shared" si="425"/>
        <v>577420.4402</v>
      </c>
      <c r="AF2303" s="127" t="s">
        <v>15363</v>
      </c>
      <c r="AG2303" s="127">
        <v>30.5664370510562</v>
      </c>
      <c r="AH2303" s="127">
        <v>30.825847911698</v>
      </c>
      <c r="AI2303" s="115" t="s">
        <v>12383</v>
      </c>
      <c r="AJ2303" s="116">
        <v>0.57</v>
      </c>
      <c r="AK2303" s="117"/>
      <c r="AL2303" s="117"/>
      <c r="AM2303" s="117"/>
      <c r="AN2303" s="117"/>
      <c r="AO2303" s="117"/>
    </row>
    <row r="2304" ht="34.5" customHeight="1">
      <c r="A2304" s="111">
        <v>3023.0</v>
      </c>
      <c r="B2304" s="111" t="s">
        <v>10307</v>
      </c>
      <c r="C2304" s="111" t="s">
        <v>8785</v>
      </c>
      <c r="D2304" s="111"/>
      <c r="E2304" s="111"/>
      <c r="F2304" s="111" t="s">
        <v>12397</v>
      </c>
      <c r="G2304" s="111" t="s">
        <v>12381</v>
      </c>
      <c r="H2304" s="111" t="s">
        <v>12230</v>
      </c>
      <c r="I2304" s="111" t="s">
        <v>12394</v>
      </c>
      <c r="J2304" s="111" t="s">
        <v>12295</v>
      </c>
      <c r="K2304" s="111" t="s">
        <v>174</v>
      </c>
      <c r="L2304" s="111"/>
      <c r="M2304" s="111">
        <v>1.0</v>
      </c>
      <c r="N2304" s="111"/>
      <c r="O2304" s="111"/>
      <c r="P2304" s="111"/>
      <c r="Q2304" s="111">
        <v>1.0</v>
      </c>
      <c r="R2304" s="111"/>
      <c r="S2304" s="111"/>
      <c r="T2304" s="111"/>
      <c r="U2304" s="111"/>
      <c r="V2304" s="111"/>
      <c r="W2304" s="111">
        <v>1.0</v>
      </c>
      <c r="X2304" s="111"/>
      <c r="Y2304" s="111"/>
      <c r="Z2304" s="111" t="s">
        <v>15364</v>
      </c>
      <c r="AA2304" s="124">
        <v>1000.0</v>
      </c>
      <c r="AB2304" s="125">
        <f>IF(Projects!$AI2304="Electrolysis",
AA2304/VLOOKUP(G2304,ElectrolysisConvF,3,FALSE),
AC2304*10^6/(H2dens*HoursInYear))</f>
        <v>222222.2222</v>
      </c>
      <c r="AC2304" s="126">
        <f t="shared" ref="AC2304:AC2305" si="429">AB2304*H2dens*HoursInYear/10^6</f>
        <v>173.2533333</v>
      </c>
      <c r="AD2304" s="125"/>
      <c r="AE2304" s="125">
        <f t="shared" si="425"/>
        <v>222222.2222</v>
      </c>
      <c r="AF2304" s="127" t="s">
        <v>15365</v>
      </c>
      <c r="AG2304" s="127">
        <v>29.659369</v>
      </c>
      <c r="AH2304" s="127">
        <v>32.34481</v>
      </c>
      <c r="AI2304" s="115" t="s">
        <v>12383</v>
      </c>
      <c r="AJ2304" s="116">
        <v>0.5</v>
      </c>
      <c r="AK2304" s="117"/>
      <c r="AL2304" s="117"/>
      <c r="AM2304" s="117"/>
      <c r="AN2304" s="117"/>
      <c r="AO2304" s="117"/>
    </row>
    <row r="2305" ht="34.5" customHeight="1">
      <c r="A2305" s="111">
        <v>3024.0</v>
      </c>
      <c r="B2305" s="111" t="s">
        <v>10308</v>
      </c>
      <c r="C2305" s="111" t="s">
        <v>8785</v>
      </c>
      <c r="D2305" s="111">
        <v>2029.0</v>
      </c>
      <c r="E2305" s="111"/>
      <c r="F2305" s="111" t="s">
        <v>12397</v>
      </c>
      <c r="G2305" s="111" t="s">
        <v>12228</v>
      </c>
      <c r="H2305" s="111"/>
      <c r="I2305" s="111" t="s">
        <v>12394</v>
      </c>
      <c r="J2305" s="111" t="s">
        <v>12295</v>
      </c>
      <c r="K2305" s="111" t="s">
        <v>12481</v>
      </c>
      <c r="L2305" s="111"/>
      <c r="M2305" s="111">
        <v>1.0</v>
      </c>
      <c r="N2305" s="111"/>
      <c r="O2305" s="111"/>
      <c r="P2305" s="111"/>
      <c r="Q2305" s="111"/>
      <c r="R2305" s="111"/>
      <c r="S2305" s="111"/>
      <c r="T2305" s="111"/>
      <c r="U2305" s="111"/>
      <c r="V2305" s="111"/>
      <c r="W2305" s="111"/>
      <c r="X2305" s="111"/>
      <c r="Y2305" s="111"/>
      <c r="Z2305" s="111" t="s">
        <v>15366</v>
      </c>
      <c r="AA2305" s="126">
        <v>250.0</v>
      </c>
      <c r="AB2305" s="125">
        <f>IF(Projects!$AI2305="Electrolysis",
AA2305/VLOOKUP(G2305,ElectrolysisConvF,3,FALSE),
AC2305*10^6/(H2dens*HoursInYear))</f>
        <v>65789.47368</v>
      </c>
      <c r="AC2305" s="126">
        <f t="shared" si="429"/>
        <v>51.29210526</v>
      </c>
      <c r="AD2305" s="125"/>
      <c r="AE2305" s="125">
        <f t="shared" si="425"/>
        <v>65789.47368</v>
      </c>
      <c r="AF2305" s="127" t="s">
        <v>15367</v>
      </c>
      <c r="AG2305" s="127">
        <v>29.659369</v>
      </c>
      <c r="AH2305" s="127">
        <v>32.34481</v>
      </c>
      <c r="AI2305" s="115" t="s">
        <v>12383</v>
      </c>
      <c r="AJ2305" s="116">
        <v>0.5</v>
      </c>
      <c r="AK2305" s="117"/>
      <c r="AL2305" s="117"/>
      <c r="AM2305" s="117"/>
      <c r="AN2305" s="117"/>
      <c r="AO2305" s="117"/>
    </row>
    <row r="2306" ht="34.5" customHeight="1">
      <c r="A2306" s="111">
        <v>3025.0</v>
      </c>
      <c r="B2306" s="111" t="s">
        <v>10309</v>
      </c>
      <c r="C2306" s="111" t="s">
        <v>8785</v>
      </c>
      <c r="D2306" s="111"/>
      <c r="E2306" s="111"/>
      <c r="F2306" s="111" t="s">
        <v>12397</v>
      </c>
      <c r="G2306" s="111" t="s">
        <v>12381</v>
      </c>
      <c r="H2306" s="111" t="s">
        <v>12230</v>
      </c>
      <c r="I2306" s="111" t="s">
        <v>12289</v>
      </c>
      <c r="J2306" s="111"/>
      <c r="K2306" s="111" t="s">
        <v>174</v>
      </c>
      <c r="L2306" s="111"/>
      <c r="M2306" s="111">
        <v>1.0</v>
      </c>
      <c r="N2306" s="111"/>
      <c r="O2306" s="111"/>
      <c r="P2306" s="111"/>
      <c r="Q2306" s="111"/>
      <c r="R2306" s="111"/>
      <c r="S2306" s="111"/>
      <c r="T2306" s="111"/>
      <c r="U2306" s="111"/>
      <c r="V2306" s="111"/>
      <c r="W2306" s="111"/>
      <c r="X2306" s="111"/>
      <c r="Y2306" s="111"/>
      <c r="Z2306" s="111" t="s">
        <v>15368</v>
      </c>
      <c r="AA2306" s="126">
        <f>IF(Projects!$AI2306="Electrolysis",
AB2306*VLOOKUP(G2306,ElectrolysisConvF,3,FALSE),
"")</f>
        <v>910.4765502</v>
      </c>
      <c r="AB2306" s="125">
        <f>AC2306/(H2dens*HoursInYear/10^6)</f>
        <v>202328.1223</v>
      </c>
      <c r="AC2306" s="125">
        <f>(2.4*365)*3/17/0.98</f>
        <v>157.7430972</v>
      </c>
      <c r="AD2306" s="125"/>
      <c r="AE2306" s="125">
        <f t="shared" si="425"/>
        <v>202328.1223</v>
      </c>
      <c r="AF2306" s="127" t="s">
        <v>15369</v>
      </c>
      <c r="AG2306" s="127">
        <v>31.2734199677773</v>
      </c>
      <c r="AH2306" s="127">
        <v>30.0972977290455</v>
      </c>
      <c r="AI2306" s="115" t="s">
        <v>12383</v>
      </c>
      <c r="AJ2306" s="116">
        <v>0.57</v>
      </c>
      <c r="AK2306" s="117"/>
      <c r="AL2306" s="117"/>
      <c r="AM2306" s="117"/>
      <c r="AN2306" s="117"/>
      <c r="AO2306" s="117"/>
    </row>
    <row r="2307" ht="34.5" customHeight="1">
      <c r="A2307" s="111">
        <v>3026.0</v>
      </c>
      <c r="B2307" s="111" t="s">
        <v>10310</v>
      </c>
      <c r="C2307" s="111" t="s">
        <v>10311</v>
      </c>
      <c r="D2307" s="111"/>
      <c r="E2307" s="111"/>
      <c r="F2307" s="111" t="s">
        <v>12397</v>
      </c>
      <c r="G2307" s="111" t="s">
        <v>12381</v>
      </c>
      <c r="H2307" s="111" t="s">
        <v>15370</v>
      </c>
      <c r="I2307" s="111" t="s">
        <v>12394</v>
      </c>
      <c r="J2307" s="111" t="s">
        <v>12291</v>
      </c>
      <c r="K2307" s="111" t="s">
        <v>30</v>
      </c>
      <c r="L2307" s="111"/>
      <c r="M2307" s="111"/>
      <c r="N2307" s="111"/>
      <c r="O2307" s="111"/>
      <c r="P2307" s="111">
        <v>1.0</v>
      </c>
      <c r="Q2307" s="111"/>
      <c r="R2307" s="111"/>
      <c r="S2307" s="111"/>
      <c r="T2307" s="111"/>
      <c r="U2307" s="111"/>
      <c r="V2307" s="111"/>
      <c r="W2307" s="111"/>
      <c r="X2307" s="111"/>
      <c r="Y2307" s="111"/>
      <c r="Z2307" s="127" t="s">
        <v>15371</v>
      </c>
      <c r="AA2307" s="124">
        <v>30.0</v>
      </c>
      <c r="AB2307" s="125">
        <f>IF(Projects!$AI2307="Electrolysis",
AA2307/VLOOKUP(G2307,ElectrolysisConvF,3,FALSE),
AC2307*10^6/(H2dens*HoursInYear))</f>
        <v>6666.666667</v>
      </c>
      <c r="AC2307" s="126">
        <f t="shared" ref="AC2307:AC2308" si="430">AB2307*H2dens*HoursInYear/10^6</f>
        <v>5.1976</v>
      </c>
      <c r="AD2307" s="125"/>
      <c r="AE2307" s="125">
        <f t="shared" si="425"/>
        <v>6666.666667</v>
      </c>
      <c r="AF2307" s="127" t="s">
        <v>15372</v>
      </c>
      <c r="AG2307" s="127">
        <v>29.8956798620234</v>
      </c>
      <c r="AH2307" s="127">
        <v>35.0556415323061</v>
      </c>
      <c r="AI2307" s="115" t="s">
        <v>12383</v>
      </c>
      <c r="AJ2307" s="116">
        <v>0.3</v>
      </c>
      <c r="AK2307" s="117"/>
      <c r="AL2307" s="117"/>
      <c r="AM2307" s="117"/>
      <c r="AN2307" s="117"/>
      <c r="AO2307" s="117"/>
    </row>
    <row r="2308" ht="34.5" customHeight="1">
      <c r="A2308" s="111">
        <v>3027.0</v>
      </c>
      <c r="B2308" s="111" t="s">
        <v>10312</v>
      </c>
      <c r="C2308" s="111" t="s">
        <v>8562</v>
      </c>
      <c r="D2308" s="111"/>
      <c r="E2308" s="111"/>
      <c r="F2308" s="111" t="s">
        <v>12418</v>
      </c>
      <c r="G2308" s="111" t="s">
        <v>12381</v>
      </c>
      <c r="H2308" s="111" t="s">
        <v>15370</v>
      </c>
      <c r="I2308" s="111" t="s">
        <v>12287</v>
      </c>
      <c r="J2308" s="111" t="str">
        <f>IF(I2308&lt;&gt;"Dedicated renewable","N/A",)</f>
        <v>N/A</v>
      </c>
      <c r="K2308" s="111" t="s">
        <v>30</v>
      </c>
      <c r="L2308" s="111"/>
      <c r="M2308" s="111"/>
      <c r="N2308" s="111"/>
      <c r="O2308" s="111"/>
      <c r="P2308" s="111"/>
      <c r="Q2308" s="111"/>
      <c r="R2308" s="111"/>
      <c r="S2308" s="111"/>
      <c r="T2308" s="111"/>
      <c r="U2308" s="111"/>
      <c r="V2308" s="111"/>
      <c r="W2308" s="111"/>
      <c r="X2308" s="111"/>
      <c r="Y2308" s="111"/>
      <c r="Z2308" s="111" t="s">
        <v>15373</v>
      </c>
      <c r="AA2308" s="124">
        <v>15.0</v>
      </c>
      <c r="AB2308" s="125">
        <f>IF(Projects!$AI2308="Electrolysis",
AA2308/VLOOKUP(G2308,ElectrolysisConvF,3,FALSE),
AC2308*10^6/(H2dens*HoursInYear))</f>
        <v>3333.333333</v>
      </c>
      <c r="AC2308" s="126">
        <f t="shared" si="430"/>
        <v>2.5988</v>
      </c>
      <c r="AD2308" s="125"/>
      <c r="AE2308" s="125">
        <f t="shared" si="425"/>
        <v>3333.333333</v>
      </c>
      <c r="AF2308" s="127" t="s">
        <v>15374</v>
      </c>
      <c r="AG2308" s="127">
        <v>33.6086838493573</v>
      </c>
      <c r="AH2308" s="127">
        <v>-7.14751254214095</v>
      </c>
      <c r="AI2308" s="115" t="s">
        <v>12383</v>
      </c>
      <c r="AJ2308" s="116">
        <v>0.57</v>
      </c>
      <c r="AK2308" s="117"/>
      <c r="AL2308" s="117"/>
      <c r="AM2308" s="117"/>
      <c r="AN2308" s="117"/>
      <c r="AO2308" s="117"/>
    </row>
    <row r="2309" ht="34.5" customHeight="1">
      <c r="A2309" s="111">
        <v>3028.0</v>
      </c>
      <c r="B2309" s="111" t="s">
        <v>10313</v>
      </c>
      <c r="C2309" s="111" t="s">
        <v>8562</v>
      </c>
      <c r="D2309" s="111"/>
      <c r="E2309" s="111"/>
      <c r="F2309" s="111" t="s">
        <v>12397</v>
      </c>
      <c r="G2309" s="111" t="s">
        <v>12381</v>
      </c>
      <c r="H2309" s="111" t="s">
        <v>12230</v>
      </c>
      <c r="I2309" s="111" t="s">
        <v>12394</v>
      </c>
      <c r="J2309" s="111" t="s">
        <v>12295</v>
      </c>
      <c r="K2309" s="111" t="s">
        <v>30</v>
      </c>
      <c r="L2309" s="111"/>
      <c r="M2309" s="111">
        <v>1.0</v>
      </c>
      <c r="N2309" s="111"/>
      <c r="O2309" s="111"/>
      <c r="P2309" s="111"/>
      <c r="Q2309" s="111"/>
      <c r="R2309" s="111"/>
      <c r="S2309" s="111"/>
      <c r="T2309" s="111"/>
      <c r="U2309" s="111"/>
      <c r="V2309" s="111"/>
      <c r="W2309" s="111"/>
      <c r="X2309" s="111"/>
      <c r="Y2309" s="111"/>
      <c r="Z2309" s="111" t="s">
        <v>15375</v>
      </c>
      <c r="AA2309" s="126">
        <f>IF(Projects!$AI2309="Electrolysis",
AB2309*VLOOKUP(G2309,ElectrolysisConvF,3,FALSE),
"")</f>
        <v>1847.006311</v>
      </c>
      <c r="AB2309" s="125">
        <f>AC2309/(H2dens*HoursInYear/10^6)</f>
        <v>410445.8468</v>
      </c>
      <c r="AC2309" s="125">
        <f>320</f>
        <v>320</v>
      </c>
      <c r="AD2309" s="125"/>
      <c r="AE2309" s="125">
        <f t="shared" si="425"/>
        <v>410445.8468</v>
      </c>
      <c r="AF2309" s="127" t="s">
        <v>15376</v>
      </c>
      <c r="AG2309" s="127">
        <v>33.6086838493573</v>
      </c>
      <c r="AH2309" s="127">
        <v>-7.14751254214095</v>
      </c>
      <c r="AI2309" s="115" t="s">
        <v>12383</v>
      </c>
      <c r="AJ2309" s="116">
        <v>0.5</v>
      </c>
      <c r="AK2309" s="117"/>
      <c r="AL2309" s="117"/>
      <c r="AM2309" s="117"/>
      <c r="AN2309" s="117"/>
      <c r="AO2309" s="117"/>
    </row>
    <row r="2310" ht="34.5" customHeight="1">
      <c r="A2310" s="111">
        <v>3029.0</v>
      </c>
      <c r="B2310" s="111" t="s">
        <v>10314</v>
      </c>
      <c r="C2310" s="111" t="s">
        <v>8562</v>
      </c>
      <c r="D2310" s="111"/>
      <c r="E2310" s="111"/>
      <c r="F2310" s="111" t="s">
        <v>12397</v>
      </c>
      <c r="G2310" s="111" t="s">
        <v>12381</v>
      </c>
      <c r="H2310" s="111" t="s">
        <v>12230</v>
      </c>
      <c r="I2310" s="111" t="s">
        <v>12287</v>
      </c>
      <c r="J2310" s="111"/>
      <c r="K2310" s="111" t="s">
        <v>30</v>
      </c>
      <c r="L2310" s="111"/>
      <c r="M2310" s="111">
        <v>1.0</v>
      </c>
      <c r="N2310" s="111"/>
      <c r="O2310" s="111"/>
      <c r="P2310" s="111">
        <v>1.0</v>
      </c>
      <c r="Q2310" s="111">
        <v>1.0</v>
      </c>
      <c r="R2310" s="111"/>
      <c r="S2310" s="111"/>
      <c r="T2310" s="111"/>
      <c r="U2310" s="111"/>
      <c r="V2310" s="111"/>
      <c r="W2310" s="111"/>
      <c r="X2310" s="111"/>
      <c r="Y2310" s="111"/>
      <c r="Z2310" s="111"/>
      <c r="AA2310" s="124"/>
      <c r="AB2310" s="125"/>
      <c r="AC2310" s="125"/>
      <c r="AD2310" s="125"/>
      <c r="AE2310" s="125">
        <f>IF(AND(G2310&lt;&gt;"NG w CCUS",G2310&lt;&gt;"Oil w CCUS",G2310&lt;&gt;"Coal w CCUS"),AB2312,AD2310*10^3/(HoursInYear*IF(G2310="NG w CCUS",0.9105,1.9075)))</f>
        <v>640632.7467</v>
      </c>
      <c r="AF2310" s="127" t="s">
        <v>15377</v>
      </c>
      <c r="AG2310" s="127">
        <v>23.7217462665987</v>
      </c>
      <c r="AH2310" s="127">
        <v>-15.9445519029139</v>
      </c>
      <c r="AI2310" s="115" t="s">
        <v>12383</v>
      </c>
      <c r="AJ2310" s="116">
        <v>0.57</v>
      </c>
      <c r="AK2310" s="117"/>
      <c r="AL2310" s="117"/>
      <c r="AM2310" s="117"/>
      <c r="AN2310" s="117"/>
      <c r="AO2310" s="117"/>
    </row>
    <row r="2311" ht="34.5" customHeight="1">
      <c r="A2311" s="111">
        <v>3030.0</v>
      </c>
      <c r="B2311" s="111" t="s">
        <v>10315</v>
      </c>
      <c r="C2311" s="111" t="s">
        <v>8562</v>
      </c>
      <c r="D2311" s="111">
        <v>2025.0</v>
      </c>
      <c r="E2311" s="111"/>
      <c r="F2311" s="111" t="s">
        <v>12397</v>
      </c>
      <c r="G2311" s="111" t="s">
        <v>12381</v>
      </c>
      <c r="H2311" s="111" t="s">
        <v>12230</v>
      </c>
      <c r="I2311" s="111" t="s">
        <v>12394</v>
      </c>
      <c r="J2311" s="111" t="s">
        <v>12291</v>
      </c>
      <c r="K2311" s="111" t="s">
        <v>30</v>
      </c>
      <c r="L2311" s="111"/>
      <c r="M2311" s="111"/>
      <c r="N2311" s="111"/>
      <c r="O2311" s="111"/>
      <c r="P2311" s="111"/>
      <c r="Q2311" s="111"/>
      <c r="R2311" s="111"/>
      <c r="S2311" s="111"/>
      <c r="T2311" s="111"/>
      <c r="U2311" s="111"/>
      <c r="V2311" s="111"/>
      <c r="W2311" s="111"/>
      <c r="X2311" s="111"/>
      <c r="Y2311" s="111"/>
      <c r="Z2311" s="111" t="s">
        <v>15378</v>
      </c>
      <c r="AA2311" s="124">
        <v>3.1</v>
      </c>
      <c r="AB2311" s="125">
        <f>IF(Projects!$AI2311="Electrolysis",
AA2311/VLOOKUP(G2311,ElectrolysisConvF,3,FALSE),
AC2311*10^6/(H2dens*HoursInYear))</f>
        <v>688.8888889</v>
      </c>
      <c r="AC2311" s="126">
        <f>AB2311*H2dens*HoursInYear/10^6</f>
        <v>0.5370853333</v>
      </c>
      <c r="AD2311" s="125"/>
      <c r="AE2311" s="125">
        <f t="shared" ref="AE2311:AE2313" si="431">IF(AND(G2311&lt;&gt;"NG w CCUS",G2311&lt;&gt;"Oil w CCUS",G2311&lt;&gt;"Coal w CCUS"),AB2311,AD2311*10^3/(HoursInYear*IF(G2311="NG w CCUS",0.9105,1.9075)))</f>
        <v>688.8888889</v>
      </c>
      <c r="AF2311" s="127" t="s">
        <v>15379</v>
      </c>
      <c r="AG2311" s="127">
        <v>23.4586629986631</v>
      </c>
      <c r="AH2311" s="127">
        <v>-13.9251000132505</v>
      </c>
      <c r="AI2311" s="115" t="s">
        <v>12383</v>
      </c>
      <c r="AJ2311" s="116">
        <v>0.3</v>
      </c>
      <c r="AK2311" s="117"/>
      <c r="AL2311" s="117"/>
      <c r="AM2311" s="117"/>
      <c r="AN2311" s="117"/>
      <c r="AO2311" s="117"/>
    </row>
    <row r="2312" ht="34.5" customHeight="1">
      <c r="A2312" s="111">
        <v>3031.0</v>
      </c>
      <c r="B2312" s="111" t="s">
        <v>10316</v>
      </c>
      <c r="C2312" s="111" t="s">
        <v>8562</v>
      </c>
      <c r="D2312" s="111">
        <v>2030.0</v>
      </c>
      <c r="E2312" s="111"/>
      <c r="F2312" s="111" t="s">
        <v>12397</v>
      </c>
      <c r="G2312" s="111" t="s">
        <v>12381</v>
      </c>
      <c r="H2312" s="111" t="s">
        <v>12230</v>
      </c>
      <c r="I2312" s="111" t="s">
        <v>12394</v>
      </c>
      <c r="J2312" s="111" t="s">
        <v>12291</v>
      </c>
      <c r="K2312" s="111" t="s">
        <v>30</v>
      </c>
      <c r="L2312" s="111"/>
      <c r="M2312" s="111"/>
      <c r="N2312" s="111"/>
      <c r="O2312" s="111"/>
      <c r="P2312" s="111"/>
      <c r="Q2312" s="111"/>
      <c r="R2312" s="111"/>
      <c r="S2312" s="111"/>
      <c r="T2312" s="111"/>
      <c r="U2312" s="111"/>
      <c r="V2312" s="111"/>
      <c r="W2312" s="111"/>
      <c r="X2312" s="111"/>
      <c r="Y2312" s="111"/>
      <c r="Z2312" s="111" t="s">
        <v>15380</v>
      </c>
      <c r="AA2312" s="126">
        <f>IF(Projects!$AI2312="Electrolysis",
AB2312*VLOOKUP(G2310,ElectrolysisConvF,3,FALSE),
"")</f>
        <v>2882.84736</v>
      </c>
      <c r="AB2312" s="125">
        <f t="shared" ref="AB2312:AB2313" si="432">AC2312/(H2dens*HoursInYear/10^6)</f>
        <v>640632.7467</v>
      </c>
      <c r="AC2312" s="125">
        <f>500-AC2311</f>
        <v>499.4629147</v>
      </c>
      <c r="AD2312" s="125"/>
      <c r="AE2312" s="125">
        <f t="shared" si="431"/>
        <v>640632.7467</v>
      </c>
      <c r="AF2312" s="127" t="s">
        <v>15379</v>
      </c>
      <c r="AG2312" s="127">
        <v>23.4586629986631</v>
      </c>
      <c r="AH2312" s="127">
        <v>-13.9251000132505</v>
      </c>
      <c r="AI2312" s="115" t="s">
        <v>12383</v>
      </c>
      <c r="AJ2312" s="116">
        <v>0.3</v>
      </c>
      <c r="AK2312" s="117"/>
      <c r="AL2312" s="117"/>
      <c r="AM2312" s="117"/>
      <c r="AN2312" s="117"/>
      <c r="AO2312" s="117"/>
    </row>
    <row r="2313" ht="34.5" customHeight="1">
      <c r="A2313" s="111">
        <v>3032.0</v>
      </c>
      <c r="B2313" s="111" t="s">
        <v>10317</v>
      </c>
      <c r="C2313" s="111" t="s">
        <v>8388</v>
      </c>
      <c r="D2313" s="111">
        <v>2025.0</v>
      </c>
      <c r="E2313" s="111"/>
      <c r="F2313" s="111" t="s">
        <v>12399</v>
      </c>
      <c r="G2313" s="111" t="s">
        <v>12235</v>
      </c>
      <c r="H2313" s="111"/>
      <c r="I2313" s="111"/>
      <c r="J2313" s="111"/>
      <c r="K2313" s="111" t="s">
        <v>30</v>
      </c>
      <c r="L2313" s="111"/>
      <c r="M2313" s="111">
        <v>1.0</v>
      </c>
      <c r="N2313" s="111"/>
      <c r="O2313" s="111"/>
      <c r="P2313" s="111">
        <v>1.0</v>
      </c>
      <c r="Q2313" s="111"/>
      <c r="R2313" s="111"/>
      <c r="S2313" s="111"/>
      <c r="T2313" s="111"/>
      <c r="U2313" s="111"/>
      <c r="V2313" s="111"/>
      <c r="W2313" s="111"/>
      <c r="X2313" s="111"/>
      <c r="Y2313" s="111"/>
      <c r="Z2313" s="111" t="s">
        <v>15381</v>
      </c>
      <c r="AA2313" s="126" t="str">
        <f>IF(Projects!$AI2313="Electrolysis",
AB2313*VLOOKUP(G2313,ElectrolysisConvF,3,FALSE),
"")</f>
        <v/>
      </c>
      <c r="AB2313" s="125">
        <f t="shared" si="432"/>
        <v>252910.1528</v>
      </c>
      <c r="AC2313" s="125">
        <f>(3*365)*3/17/0.98</f>
        <v>197.1788715</v>
      </c>
      <c r="AD2313" s="125"/>
      <c r="AE2313" s="125">
        <f t="shared" si="431"/>
        <v>0</v>
      </c>
      <c r="AF2313" s="127" t="s">
        <v>15382</v>
      </c>
      <c r="AG2313" s="127">
        <v>19.5281786915067</v>
      </c>
      <c r="AH2313" s="127">
        <v>57.6169424510484</v>
      </c>
      <c r="AI2313" s="115" t="s">
        <v>12378</v>
      </c>
      <c r="AJ2313" s="116">
        <v>0.9</v>
      </c>
      <c r="AK2313" s="117"/>
      <c r="AL2313" s="117"/>
      <c r="AM2313" s="117"/>
      <c r="AN2313" s="117"/>
      <c r="AO2313" s="117"/>
    </row>
    <row r="2314" ht="34.5" customHeight="1">
      <c r="A2314" s="111">
        <v>3033.0</v>
      </c>
      <c r="B2314" s="111" t="s">
        <v>10318</v>
      </c>
      <c r="C2314" s="111" t="s">
        <v>8371</v>
      </c>
      <c r="D2314" s="111">
        <v>2026.0</v>
      </c>
      <c r="E2314" s="111"/>
      <c r="F2314" s="111" t="s">
        <v>12397</v>
      </c>
      <c r="G2314" s="111" t="s">
        <v>12381</v>
      </c>
      <c r="H2314" s="111" t="s">
        <v>12230</v>
      </c>
      <c r="I2314" s="111" t="s">
        <v>12394</v>
      </c>
      <c r="J2314" s="111" t="s">
        <v>12291</v>
      </c>
      <c r="K2314" s="111" t="s">
        <v>30</v>
      </c>
      <c r="L2314" s="111"/>
      <c r="M2314" s="111"/>
      <c r="N2314" s="111"/>
      <c r="O2314" s="111"/>
      <c r="P2314" s="111"/>
      <c r="Q2314" s="111"/>
      <c r="R2314" s="111"/>
      <c r="S2314" s="111"/>
      <c r="T2314" s="111"/>
      <c r="U2314" s="111"/>
      <c r="V2314" s="111"/>
      <c r="W2314" s="111"/>
      <c r="X2314" s="111"/>
      <c r="Y2314" s="111"/>
      <c r="Z2314" s="111"/>
      <c r="AA2314" s="124"/>
      <c r="AB2314" s="125"/>
      <c r="AC2314" s="125"/>
      <c r="AD2314" s="125"/>
      <c r="AE2314" s="125">
        <f t="shared" ref="AE2314:AE2315" si="433">IF(AND(G2314&lt;&gt;"NG w CCUS",G2314&lt;&gt;"Oil w CCUS",G2314&lt;&gt;"Coal w CCUS"),AB2315,AD2314*10^3/(HoursInYear*IF(G2314="NG w CCUS",0.9105,1.9075)))</f>
        <v>44444.44444</v>
      </c>
      <c r="AF2314" s="127" t="s">
        <v>15383</v>
      </c>
      <c r="AG2314" s="127">
        <v>25.8947859132822</v>
      </c>
      <c r="AH2314" s="127">
        <v>38.8333377357231</v>
      </c>
      <c r="AI2314" s="115" t="s">
        <v>12383</v>
      </c>
      <c r="AJ2314" s="116">
        <v>0.3</v>
      </c>
      <c r="AK2314" s="117"/>
      <c r="AL2314" s="117"/>
      <c r="AM2314" s="117"/>
      <c r="AN2314" s="117"/>
      <c r="AO2314" s="117"/>
    </row>
    <row r="2315" ht="34.5" customHeight="1">
      <c r="A2315" s="111">
        <v>3034.0</v>
      </c>
      <c r="B2315" s="111" t="s">
        <v>10319</v>
      </c>
      <c r="C2315" s="111" t="s">
        <v>8371</v>
      </c>
      <c r="D2315" s="111"/>
      <c r="E2315" s="111"/>
      <c r="F2315" s="111" t="s">
        <v>12397</v>
      </c>
      <c r="G2315" s="111" t="s">
        <v>12381</v>
      </c>
      <c r="H2315" s="111" t="s">
        <v>12230</v>
      </c>
      <c r="I2315" s="111" t="s">
        <v>12394</v>
      </c>
      <c r="J2315" s="111" t="s">
        <v>12291</v>
      </c>
      <c r="K2315" s="111" t="s">
        <v>174</v>
      </c>
      <c r="L2315" s="111"/>
      <c r="M2315" s="111">
        <v>1.0</v>
      </c>
      <c r="N2315" s="111"/>
      <c r="O2315" s="111"/>
      <c r="P2315" s="111"/>
      <c r="Q2315" s="111"/>
      <c r="R2315" s="111"/>
      <c r="S2315" s="111"/>
      <c r="T2315" s="111"/>
      <c r="U2315" s="111"/>
      <c r="V2315" s="111"/>
      <c r="W2315" s="111"/>
      <c r="X2315" s="111"/>
      <c r="Y2315" s="111"/>
      <c r="Z2315" s="111" t="s">
        <v>13142</v>
      </c>
      <c r="AA2315" s="124">
        <v>200.0</v>
      </c>
      <c r="AB2315" s="125">
        <f>IF(Projects!$AI2315="Electrolysis",
AA2315/VLOOKUP(G2314,ElectrolysisConvF,3,FALSE),
AC2315*10^6/(H2dens*HoursInYear))</f>
        <v>44444.44444</v>
      </c>
      <c r="AC2315" s="126">
        <f t="shared" ref="AC2315:AC2324" si="434">AB2315*H2dens*HoursInYear/10^6</f>
        <v>34.65066667</v>
      </c>
      <c r="AD2315" s="125"/>
      <c r="AE2315" s="125">
        <f t="shared" si="433"/>
        <v>115555.5556</v>
      </c>
      <c r="AF2315" s="127" t="s">
        <v>15384</v>
      </c>
      <c r="AG2315" s="127">
        <v>23.9727171876283</v>
      </c>
      <c r="AH2315" s="127">
        <v>52.2303397716809</v>
      </c>
      <c r="AI2315" s="115" t="s">
        <v>12383</v>
      </c>
      <c r="AJ2315" s="116">
        <v>0.3</v>
      </c>
      <c r="AK2315" s="117"/>
      <c r="AL2315" s="117"/>
      <c r="AM2315" s="117"/>
      <c r="AN2315" s="117"/>
      <c r="AO2315" s="117"/>
    </row>
    <row r="2316" ht="34.5" customHeight="1">
      <c r="A2316" s="111">
        <v>3035.0</v>
      </c>
      <c r="B2316" s="111" t="s">
        <v>10320</v>
      </c>
      <c r="C2316" s="111" t="s">
        <v>8590</v>
      </c>
      <c r="D2316" s="111">
        <v>2030.0</v>
      </c>
      <c r="E2316" s="111"/>
      <c r="F2316" s="111" t="s">
        <v>12397</v>
      </c>
      <c r="G2316" s="111" t="s">
        <v>12381</v>
      </c>
      <c r="H2316" s="111" t="s">
        <v>12230</v>
      </c>
      <c r="I2316" s="111" t="s">
        <v>12287</v>
      </c>
      <c r="J2316" s="111"/>
      <c r="K2316" s="111" t="s">
        <v>174</v>
      </c>
      <c r="L2316" s="111"/>
      <c r="M2316" s="111"/>
      <c r="N2316" s="111"/>
      <c r="O2316" s="111"/>
      <c r="P2316" s="111"/>
      <c r="Q2316" s="111"/>
      <c r="R2316" s="111"/>
      <c r="S2316" s="111"/>
      <c r="T2316" s="111"/>
      <c r="U2316" s="111"/>
      <c r="V2316" s="111"/>
      <c r="W2316" s="111"/>
      <c r="X2316" s="111"/>
      <c r="Y2316" s="111"/>
      <c r="Z2316" s="111" t="s">
        <v>15385</v>
      </c>
      <c r="AA2316" s="124">
        <v>520.0</v>
      </c>
      <c r="AB2316" s="125">
        <f>IF(Projects!$AI2316="Electrolysis",
AA2316/VLOOKUP(G2316,ElectrolysisConvF,3,FALSE),
AC2316*10^6/(H2dens*HoursInYear))</f>
        <v>115555.5556</v>
      </c>
      <c r="AC2316" s="126">
        <f t="shared" si="434"/>
        <v>90.09173333</v>
      </c>
      <c r="AD2316" s="125"/>
      <c r="AE2316" s="125">
        <f t="shared" ref="AE2316:AE2439" si="435">IF(AND(G2316&lt;&gt;"NG w CCUS",G2316&lt;&gt;"Oil w CCUS",G2316&lt;&gt;"Coal w CCUS"),AB2316,AD2316*10^3/(HoursInYear*IF(G2316="NG w CCUS",0.9105,1.9075)))</f>
        <v>115555.5556</v>
      </c>
      <c r="AF2316" s="127" t="s">
        <v>15384</v>
      </c>
      <c r="AG2316" s="127">
        <v>-21.8667292150067</v>
      </c>
      <c r="AH2316" s="127">
        <v>-41.0159843088845</v>
      </c>
      <c r="AI2316" s="115" t="s">
        <v>12383</v>
      </c>
      <c r="AJ2316" s="116">
        <v>0.57</v>
      </c>
      <c r="AK2316" s="117"/>
      <c r="AL2316" s="117"/>
      <c r="AM2316" s="117"/>
      <c r="AN2316" s="117"/>
      <c r="AO2316" s="117"/>
    </row>
    <row r="2317" ht="34.5" customHeight="1">
      <c r="A2317" s="111">
        <v>3036.0</v>
      </c>
      <c r="B2317" s="111" t="s">
        <v>10321</v>
      </c>
      <c r="C2317" s="111" t="s">
        <v>8047</v>
      </c>
      <c r="D2317" s="111">
        <v>2026.0</v>
      </c>
      <c r="E2317" s="111"/>
      <c r="F2317" s="111" t="s">
        <v>12397</v>
      </c>
      <c r="G2317" s="111" t="s">
        <v>12381</v>
      </c>
      <c r="H2317" s="111" t="s">
        <v>12230</v>
      </c>
      <c r="I2317" s="111" t="s">
        <v>12394</v>
      </c>
      <c r="J2317" s="111" t="s">
        <v>12296</v>
      </c>
      <c r="K2317" s="111" t="s">
        <v>30</v>
      </c>
      <c r="L2317" s="111"/>
      <c r="M2317" s="111"/>
      <c r="N2317" s="111"/>
      <c r="O2317" s="111"/>
      <c r="P2317" s="111"/>
      <c r="Q2317" s="111">
        <v>1.0</v>
      </c>
      <c r="R2317" s="111"/>
      <c r="S2317" s="111"/>
      <c r="T2317" s="111"/>
      <c r="U2317" s="111"/>
      <c r="V2317" s="111"/>
      <c r="W2317" s="111"/>
      <c r="X2317" s="111"/>
      <c r="Y2317" s="111"/>
      <c r="Z2317" s="111" t="s">
        <v>15386</v>
      </c>
      <c r="AA2317" s="124">
        <v>8.0</v>
      </c>
      <c r="AB2317" s="125">
        <f>IF(Projects!$AI2317="Electrolysis",
AA2317/VLOOKUP(G2317,ElectrolysisConvF,3,FALSE),
AC2317*10^6/(H2dens*HoursInYear))</f>
        <v>1777.777778</v>
      </c>
      <c r="AC2317" s="126">
        <f t="shared" si="434"/>
        <v>1.386026667</v>
      </c>
      <c r="AD2317" s="125"/>
      <c r="AE2317" s="125">
        <f t="shared" si="435"/>
        <v>1777.777778</v>
      </c>
      <c r="AF2317" s="127" t="s">
        <v>15387</v>
      </c>
      <c r="AG2317" s="127">
        <v>45.4395654452467</v>
      </c>
      <c r="AH2317" s="127">
        <v>12.3175267827575</v>
      </c>
      <c r="AI2317" s="115" t="s">
        <v>12383</v>
      </c>
      <c r="AJ2317" s="116">
        <v>0.5</v>
      </c>
      <c r="AK2317" s="117"/>
      <c r="AL2317" s="117"/>
      <c r="AM2317" s="117"/>
      <c r="AN2317" s="117"/>
      <c r="AO2317" s="117"/>
    </row>
    <row r="2318" ht="34.5" customHeight="1">
      <c r="A2318" s="111">
        <v>3037.0</v>
      </c>
      <c r="B2318" s="111" t="s">
        <v>10322</v>
      </c>
      <c r="C2318" s="111" t="s">
        <v>8011</v>
      </c>
      <c r="D2318" s="111">
        <v>2028.0</v>
      </c>
      <c r="E2318" s="111"/>
      <c r="F2318" s="111" t="s">
        <v>12399</v>
      </c>
      <c r="G2318" s="111" t="s">
        <v>12381</v>
      </c>
      <c r="H2318" s="111" t="s">
        <v>12230</v>
      </c>
      <c r="I2318" s="111" t="s">
        <v>12287</v>
      </c>
      <c r="J2318" s="111"/>
      <c r="K2318" s="111" t="s">
        <v>30</v>
      </c>
      <c r="L2318" s="111"/>
      <c r="M2318" s="111">
        <v>1.0</v>
      </c>
      <c r="N2318" s="111"/>
      <c r="O2318" s="111"/>
      <c r="P2318" s="111"/>
      <c r="Q2318" s="111"/>
      <c r="R2318" s="111"/>
      <c r="S2318" s="111"/>
      <c r="T2318" s="111"/>
      <c r="U2318" s="111"/>
      <c r="V2318" s="111"/>
      <c r="W2318" s="111"/>
      <c r="X2318" s="111"/>
      <c r="Y2318" s="111"/>
      <c r="Z2318" s="111" t="s">
        <v>12709</v>
      </c>
      <c r="AA2318" s="124">
        <v>100.0</v>
      </c>
      <c r="AB2318" s="125">
        <f>IF(Projects!$AI2318="Electrolysis",
AA2318/VLOOKUP(G2318,ElectrolysisConvF,3,FALSE),
AC2318*10^6/(H2dens*HoursInYear))</f>
        <v>22222.22222</v>
      </c>
      <c r="AC2318" s="126">
        <f t="shared" si="434"/>
        <v>17.32533333</v>
      </c>
      <c r="AD2318" s="125"/>
      <c r="AE2318" s="125">
        <f t="shared" si="435"/>
        <v>22222.22222</v>
      </c>
      <c r="AF2318" s="127" t="s">
        <v>15388</v>
      </c>
      <c r="AG2318" s="127">
        <v>49.4872442438127</v>
      </c>
      <c r="AH2318" s="127">
        <v>0.234639468239992</v>
      </c>
      <c r="AI2318" s="115" t="s">
        <v>12383</v>
      </c>
      <c r="AJ2318" s="116">
        <v>0.57</v>
      </c>
      <c r="AK2318" s="117"/>
      <c r="AL2318" s="117"/>
      <c r="AM2318" s="117"/>
      <c r="AN2318" s="117"/>
      <c r="AO2318" s="117"/>
    </row>
    <row r="2319" ht="34.5" customHeight="1">
      <c r="A2319" s="111">
        <v>3038.0</v>
      </c>
      <c r="B2319" s="111" t="s">
        <v>10323</v>
      </c>
      <c r="C2319" s="111" t="s">
        <v>8047</v>
      </c>
      <c r="D2319" s="111">
        <v>2025.0</v>
      </c>
      <c r="E2319" s="111"/>
      <c r="F2319" s="111" t="s">
        <v>12399</v>
      </c>
      <c r="G2319" s="111" t="s">
        <v>12224</v>
      </c>
      <c r="H2319" s="111"/>
      <c r="I2319" s="111" t="s">
        <v>12287</v>
      </c>
      <c r="J2319" s="111"/>
      <c r="K2319" s="111" t="s">
        <v>30</v>
      </c>
      <c r="L2319" s="111"/>
      <c r="M2319" s="111"/>
      <c r="N2319" s="111"/>
      <c r="O2319" s="111"/>
      <c r="P2319" s="111"/>
      <c r="Q2319" s="111">
        <v>1.0</v>
      </c>
      <c r="R2319" s="111"/>
      <c r="S2319" s="111"/>
      <c r="T2319" s="111"/>
      <c r="U2319" s="111"/>
      <c r="V2319" s="111"/>
      <c r="W2319" s="111"/>
      <c r="X2319" s="111"/>
      <c r="Y2319" s="111"/>
      <c r="Z2319" s="111" t="s">
        <v>12420</v>
      </c>
      <c r="AA2319" s="124">
        <v>1.0</v>
      </c>
      <c r="AB2319" s="125">
        <f>IF(Projects!$AI2319="Electrolysis",
AA2319/VLOOKUP(G2319,ElectrolysisConvF,3,FALSE),
AC2319*10^6/(H2dens*HoursInYear))</f>
        <v>217.3913043</v>
      </c>
      <c r="AC2319" s="126">
        <f t="shared" si="434"/>
        <v>0.1694869565</v>
      </c>
      <c r="AD2319" s="125"/>
      <c r="AE2319" s="125">
        <f t="shared" si="435"/>
        <v>217.3913043</v>
      </c>
      <c r="AF2319" s="127"/>
      <c r="AG2319" s="127">
        <v>45.6231408218618</v>
      </c>
      <c r="AH2319" s="127">
        <v>8.74547235064051</v>
      </c>
      <c r="AI2319" s="115" t="s">
        <v>12383</v>
      </c>
      <c r="AJ2319" s="116">
        <v>0.57</v>
      </c>
      <c r="AK2319" s="117"/>
      <c r="AL2319" s="117"/>
      <c r="AM2319" s="117"/>
      <c r="AN2319" s="117"/>
      <c r="AO2319" s="117"/>
    </row>
    <row r="2320" ht="34.5" customHeight="1">
      <c r="A2320" s="111">
        <v>3039.0</v>
      </c>
      <c r="B2320" s="111" t="s">
        <v>10324</v>
      </c>
      <c r="C2320" s="111" t="s">
        <v>8371</v>
      </c>
      <c r="D2320" s="111"/>
      <c r="E2320" s="111"/>
      <c r="F2320" s="111" t="s">
        <v>12397</v>
      </c>
      <c r="G2320" s="111" t="s">
        <v>12381</v>
      </c>
      <c r="H2320" s="111" t="s">
        <v>12230</v>
      </c>
      <c r="I2320" s="111" t="s">
        <v>12394</v>
      </c>
      <c r="J2320" s="111" t="s">
        <v>12296</v>
      </c>
      <c r="K2320" s="111" t="s">
        <v>12449</v>
      </c>
      <c r="L2320" s="111"/>
      <c r="M2320" s="111"/>
      <c r="N2320" s="111"/>
      <c r="O2320" s="111"/>
      <c r="P2320" s="111"/>
      <c r="Q2320" s="111"/>
      <c r="R2320" s="111"/>
      <c r="S2320" s="111"/>
      <c r="T2320" s="111"/>
      <c r="U2320" s="111"/>
      <c r="V2320" s="111"/>
      <c r="W2320" s="111"/>
      <c r="X2320" s="111"/>
      <c r="Y2320" s="111"/>
      <c r="Z2320" s="111" t="s">
        <v>13620</v>
      </c>
      <c r="AA2320" s="124">
        <v>500.0</v>
      </c>
      <c r="AB2320" s="125">
        <f>IF(Projects!$AI2320="Electrolysis",
AA2320/VLOOKUP(G2320,ElectrolysisConvF,3,FALSE),
AC2320*10^6/(H2dens*HoursInYear))</f>
        <v>111111.1111</v>
      </c>
      <c r="AC2320" s="126">
        <f t="shared" si="434"/>
        <v>86.62666667</v>
      </c>
      <c r="AD2320" s="125"/>
      <c r="AE2320" s="125">
        <f t="shared" si="435"/>
        <v>111111.1111</v>
      </c>
      <c r="AF2320" s="127"/>
      <c r="AG2320" s="127">
        <v>24.0165843950026</v>
      </c>
      <c r="AH2320" s="127">
        <v>53.5411116584952</v>
      </c>
      <c r="AI2320" s="115" t="s">
        <v>12383</v>
      </c>
      <c r="AJ2320" s="116">
        <v>0.5</v>
      </c>
      <c r="AK2320" s="117"/>
      <c r="AL2320" s="117"/>
      <c r="AM2320" s="117"/>
      <c r="AN2320" s="117"/>
      <c r="AO2320" s="117"/>
    </row>
    <row r="2321" ht="34.5" customHeight="1">
      <c r="A2321" s="111">
        <v>3040.0</v>
      </c>
      <c r="B2321" s="111" t="s">
        <v>10325</v>
      </c>
      <c r="C2321" s="111" t="s">
        <v>8388</v>
      </c>
      <c r="D2321" s="111"/>
      <c r="E2321" s="111"/>
      <c r="F2321" s="111" t="s">
        <v>12397</v>
      </c>
      <c r="G2321" s="111" t="s">
        <v>12381</v>
      </c>
      <c r="H2321" s="111" t="s">
        <v>12230</v>
      </c>
      <c r="I2321" s="111" t="s">
        <v>12394</v>
      </c>
      <c r="J2321" s="111" t="s">
        <v>12296</v>
      </c>
      <c r="K2321" s="111" t="s">
        <v>12449</v>
      </c>
      <c r="L2321" s="111"/>
      <c r="M2321" s="111"/>
      <c r="N2321" s="111"/>
      <c r="O2321" s="111"/>
      <c r="P2321" s="111"/>
      <c r="Q2321" s="111"/>
      <c r="R2321" s="111"/>
      <c r="S2321" s="111"/>
      <c r="T2321" s="111"/>
      <c r="U2321" s="111"/>
      <c r="V2321" s="111"/>
      <c r="W2321" s="111"/>
      <c r="X2321" s="111"/>
      <c r="Y2321" s="111"/>
      <c r="Z2321" s="111" t="s">
        <v>13620</v>
      </c>
      <c r="AA2321" s="124">
        <v>500.0</v>
      </c>
      <c r="AB2321" s="125">
        <f>IF(Projects!$AI2321="Electrolysis",
AA2321/VLOOKUP(G2321,ElectrolysisConvF,3,FALSE),
AC2321*10^6/(H2dens*HoursInYear))</f>
        <v>111111.1111</v>
      </c>
      <c r="AC2321" s="126">
        <f t="shared" si="434"/>
        <v>86.62666667</v>
      </c>
      <c r="AD2321" s="125"/>
      <c r="AE2321" s="125">
        <f t="shared" si="435"/>
        <v>111111.1111</v>
      </c>
      <c r="AF2321" s="127"/>
      <c r="AG2321" s="127">
        <v>23.2273521618295</v>
      </c>
      <c r="AH2321" s="127">
        <v>56.7805358858639</v>
      </c>
      <c r="AI2321" s="115" t="s">
        <v>12383</v>
      </c>
      <c r="AJ2321" s="116">
        <v>0.5</v>
      </c>
      <c r="AK2321" s="117"/>
      <c r="AL2321" s="117"/>
      <c r="AM2321" s="117"/>
      <c r="AN2321" s="117"/>
      <c r="AO2321" s="117"/>
    </row>
    <row r="2322" ht="34.5" customHeight="1">
      <c r="A2322" s="111">
        <v>3041.0</v>
      </c>
      <c r="B2322" s="111" t="s">
        <v>10326</v>
      </c>
      <c r="C2322" s="111" t="s">
        <v>8177</v>
      </c>
      <c r="D2322" s="111">
        <v>2033.0</v>
      </c>
      <c r="E2322" s="111"/>
      <c r="F2322" s="111" t="s">
        <v>12397</v>
      </c>
      <c r="G2322" s="111" t="s">
        <v>12381</v>
      </c>
      <c r="H2322" s="111" t="s">
        <v>12230</v>
      </c>
      <c r="I2322" s="111" t="s">
        <v>12394</v>
      </c>
      <c r="J2322" s="111" t="s">
        <v>12295</v>
      </c>
      <c r="K2322" s="111" t="s">
        <v>30</v>
      </c>
      <c r="L2322" s="111"/>
      <c r="M2322" s="111">
        <v>1.0</v>
      </c>
      <c r="N2322" s="111"/>
      <c r="O2322" s="111">
        <v>1.0</v>
      </c>
      <c r="P2322" s="111"/>
      <c r="Q2322" s="111"/>
      <c r="R2322" s="111"/>
      <c r="S2322" s="111"/>
      <c r="T2322" s="111"/>
      <c r="U2322" s="111"/>
      <c r="V2322" s="111"/>
      <c r="W2322" s="111"/>
      <c r="X2322" s="111"/>
      <c r="Y2322" s="111"/>
      <c r="Z2322" s="111" t="s">
        <v>15389</v>
      </c>
      <c r="AA2322" s="124">
        <v>8500.0</v>
      </c>
      <c r="AB2322" s="125">
        <f>IF(Projects!$AI2322="Electrolysis",
AA2322/VLOOKUP(G2322,ElectrolysisConvF,3,FALSE),
AC2322*10^6/(H2dens*HoursInYear))</f>
        <v>1888888.889</v>
      </c>
      <c r="AC2322" s="126">
        <f t="shared" si="434"/>
        <v>1472.653333</v>
      </c>
      <c r="AD2322" s="125"/>
      <c r="AE2322" s="125">
        <f t="shared" si="435"/>
        <v>1888888.889</v>
      </c>
      <c r="AF2322" s="127" t="s">
        <v>15390</v>
      </c>
      <c r="AG2322" s="127">
        <v>19.171723</v>
      </c>
      <c r="AH2322" s="127">
        <v>-15.994444</v>
      </c>
      <c r="AI2322" s="115" t="s">
        <v>12383</v>
      </c>
      <c r="AJ2322" s="116">
        <v>0.5</v>
      </c>
      <c r="AK2322" s="117"/>
      <c r="AL2322" s="117"/>
      <c r="AM2322" s="117"/>
      <c r="AN2322" s="117"/>
      <c r="AO2322" s="117"/>
    </row>
    <row r="2323" ht="34.5" customHeight="1">
      <c r="A2323" s="111">
        <v>3042.0</v>
      </c>
      <c r="B2323" s="111" t="s">
        <v>10327</v>
      </c>
      <c r="C2323" s="111" t="s">
        <v>8071</v>
      </c>
      <c r="D2323" s="111">
        <v>2033.0</v>
      </c>
      <c r="E2323" s="111"/>
      <c r="F2323" s="111" t="s">
        <v>12397</v>
      </c>
      <c r="G2323" s="111" t="s">
        <v>12381</v>
      </c>
      <c r="H2323" s="111" t="s">
        <v>12230</v>
      </c>
      <c r="I2323" s="111" t="s">
        <v>12394</v>
      </c>
      <c r="J2323" s="111" t="s">
        <v>12292</v>
      </c>
      <c r="K2323" s="111" t="s">
        <v>174</v>
      </c>
      <c r="L2323" s="111"/>
      <c r="M2323" s="111"/>
      <c r="N2323" s="111"/>
      <c r="O2323" s="111"/>
      <c r="P2323" s="111"/>
      <c r="Q2323" s="111"/>
      <c r="R2323" s="111"/>
      <c r="S2323" s="111"/>
      <c r="T2323" s="111"/>
      <c r="U2323" s="111"/>
      <c r="V2323" s="111"/>
      <c r="W2323" s="111"/>
      <c r="X2323" s="111"/>
      <c r="Y2323" s="111"/>
      <c r="Z2323" s="111" t="s">
        <v>15391</v>
      </c>
      <c r="AA2323" s="124">
        <v>3700.0</v>
      </c>
      <c r="AB2323" s="125">
        <f>IF(Projects!$AI2323="Electrolysis",
AA2323/VLOOKUP(G2323,ElectrolysisConvF,3,FALSE),
AC2323*10^6/(H2dens*HoursInYear))</f>
        <v>822222.2222</v>
      </c>
      <c r="AC2323" s="126">
        <f t="shared" si="434"/>
        <v>641.0373333</v>
      </c>
      <c r="AD2323" s="125"/>
      <c r="AE2323" s="125">
        <f t="shared" si="435"/>
        <v>822222.2222</v>
      </c>
      <c r="AF2323" s="127" t="s">
        <v>13653</v>
      </c>
      <c r="AG2323" s="127">
        <v>-52.276454565312</v>
      </c>
      <c r="AH2323" s="127">
        <v>-69.5229073126523</v>
      </c>
      <c r="AI2323" s="115" t="s">
        <v>12383</v>
      </c>
      <c r="AJ2323" s="116">
        <v>0.4</v>
      </c>
      <c r="AK2323" s="117"/>
      <c r="AL2323" s="117"/>
      <c r="AM2323" s="117"/>
      <c r="AN2323" s="117"/>
      <c r="AO2323" s="117"/>
    </row>
    <row r="2324" ht="34.5" customHeight="1">
      <c r="A2324" s="111">
        <v>3043.0</v>
      </c>
      <c r="B2324" s="111" t="s">
        <v>9437</v>
      </c>
      <c r="C2324" s="111" t="s">
        <v>8562</v>
      </c>
      <c r="D2324" s="111">
        <v>2032.0</v>
      </c>
      <c r="E2324" s="111"/>
      <c r="F2324" s="111" t="s">
        <v>12397</v>
      </c>
      <c r="G2324" s="111" t="s">
        <v>12381</v>
      </c>
      <c r="H2324" s="111" t="s">
        <v>12230</v>
      </c>
      <c r="I2324" s="111" t="s">
        <v>12394</v>
      </c>
      <c r="J2324" s="111" t="s">
        <v>12296</v>
      </c>
      <c r="K2324" s="111" t="s">
        <v>174</v>
      </c>
      <c r="L2324" s="111"/>
      <c r="M2324" s="111"/>
      <c r="N2324" s="111"/>
      <c r="O2324" s="111"/>
      <c r="P2324" s="111"/>
      <c r="Q2324" s="111"/>
      <c r="R2324" s="111"/>
      <c r="S2324" s="111"/>
      <c r="T2324" s="111"/>
      <c r="U2324" s="111"/>
      <c r="V2324" s="111"/>
      <c r="W2324" s="111"/>
      <c r="X2324" s="111"/>
      <c r="Y2324" s="111"/>
      <c r="Z2324" s="111" t="s">
        <v>15392</v>
      </c>
      <c r="AA2324" s="124">
        <v>800.0</v>
      </c>
      <c r="AB2324" s="125">
        <f>IF(Projects!$AI2324="Electrolysis",
AA2324/VLOOKUP(G2324,ElectrolysisConvF,3,FALSE),
AC2324*10^6/(H2dens*HoursInYear))</f>
        <v>177777.7778</v>
      </c>
      <c r="AC2324" s="126">
        <f t="shared" si="434"/>
        <v>138.6026667</v>
      </c>
      <c r="AD2324" s="125"/>
      <c r="AE2324" s="125">
        <f t="shared" si="435"/>
        <v>177777.7778</v>
      </c>
      <c r="AF2324" s="127"/>
      <c r="AG2324" s="127">
        <v>28.266656</v>
      </c>
      <c r="AH2324" s="127">
        <v>-10.716838</v>
      </c>
      <c r="AI2324" s="115" t="s">
        <v>12383</v>
      </c>
      <c r="AJ2324" s="116">
        <v>0.5</v>
      </c>
      <c r="AK2324" s="117"/>
      <c r="AL2324" s="117"/>
      <c r="AM2324" s="117"/>
      <c r="AN2324" s="117"/>
      <c r="AO2324" s="117"/>
    </row>
    <row r="2325" ht="34.5" customHeight="1">
      <c r="A2325" s="111">
        <v>3044.0</v>
      </c>
      <c r="B2325" s="111" t="s">
        <v>10328</v>
      </c>
      <c r="C2325" s="111" t="s">
        <v>8026</v>
      </c>
      <c r="D2325" s="111">
        <v>2029.0</v>
      </c>
      <c r="E2325" s="111"/>
      <c r="F2325" s="111" t="s">
        <v>12397</v>
      </c>
      <c r="G2325" s="111" t="s">
        <v>12381</v>
      </c>
      <c r="H2325" s="111" t="s">
        <v>12230</v>
      </c>
      <c r="I2325" s="111" t="s">
        <v>12406</v>
      </c>
      <c r="J2325" s="111"/>
      <c r="K2325" s="111" t="s">
        <v>12415</v>
      </c>
      <c r="L2325" s="111"/>
      <c r="M2325" s="111"/>
      <c r="N2325" s="111">
        <v>1.0</v>
      </c>
      <c r="O2325" s="111"/>
      <c r="P2325" s="111"/>
      <c r="Q2325" s="111"/>
      <c r="R2325" s="111"/>
      <c r="S2325" s="111"/>
      <c r="T2325" s="111"/>
      <c r="U2325" s="111"/>
      <c r="V2325" s="111"/>
      <c r="W2325" s="111"/>
      <c r="X2325" s="111"/>
      <c r="Y2325" s="111"/>
      <c r="Z2325" s="111" t="s">
        <v>15393</v>
      </c>
      <c r="AA2325" s="126">
        <f>IF(Projects!$AI2325="Electrolysis",
AB2325*VLOOKUP(G2325,ElectrolysisConvF,3,FALSE),
"")</f>
        <v>132.5183161</v>
      </c>
      <c r="AB2325" s="125">
        <f>AC2325/(H2dens*HoursInYear/10^6)</f>
        <v>29448.5147</v>
      </c>
      <c r="AC2325" s="125">
        <f>(120*0.191327)</f>
        <v>22.95924</v>
      </c>
      <c r="AD2325" s="125"/>
      <c r="AE2325" s="125">
        <f t="shared" si="435"/>
        <v>29448.5147</v>
      </c>
      <c r="AF2325" s="127" t="s">
        <v>14768</v>
      </c>
      <c r="AG2325" s="127">
        <v>63.8587738059714</v>
      </c>
      <c r="AH2325" s="127">
        <v>23.0306352536322</v>
      </c>
      <c r="AI2325" s="115" t="s">
        <v>12383</v>
      </c>
      <c r="AJ2325" s="116">
        <v>0.57</v>
      </c>
      <c r="AK2325" s="117"/>
      <c r="AL2325" s="117"/>
      <c r="AM2325" s="117"/>
      <c r="AN2325" s="117"/>
      <c r="AO2325" s="117"/>
    </row>
    <row r="2326" ht="37.5" customHeight="1">
      <c r="A2326" s="111">
        <v>3045.0</v>
      </c>
      <c r="B2326" s="111" t="s">
        <v>10329</v>
      </c>
      <c r="C2326" s="111" t="s">
        <v>8590</v>
      </c>
      <c r="D2326" s="111">
        <v>2032.0</v>
      </c>
      <c r="E2326" s="111"/>
      <c r="F2326" s="111" t="s">
        <v>12397</v>
      </c>
      <c r="G2326" s="111" t="s">
        <v>12381</v>
      </c>
      <c r="H2326" s="111" t="s">
        <v>12230</v>
      </c>
      <c r="I2326" s="111" t="s">
        <v>12759</v>
      </c>
      <c r="J2326" s="111"/>
      <c r="K2326" s="111" t="s">
        <v>174</v>
      </c>
      <c r="L2326" s="111"/>
      <c r="M2326" s="111">
        <v>1.0</v>
      </c>
      <c r="N2326" s="111"/>
      <c r="O2326" s="111"/>
      <c r="P2326" s="111"/>
      <c r="Q2326" s="111"/>
      <c r="R2326" s="111"/>
      <c r="S2326" s="111"/>
      <c r="T2326" s="111"/>
      <c r="U2326" s="111"/>
      <c r="V2326" s="111"/>
      <c r="W2326" s="111"/>
      <c r="X2326" s="111"/>
      <c r="Y2326" s="111"/>
      <c r="Z2326" s="111" t="s">
        <v>13632</v>
      </c>
      <c r="AA2326" s="124">
        <f>2000-AA2186</f>
        <v>1000</v>
      </c>
      <c r="AB2326" s="125">
        <f>IF(Projects!$AI2326="Electrolysis",
AA2326/VLOOKUP(G2326,ElectrolysisConvF,3,FALSE),
AC2326*10^6/(H2dens*HoursInYear))</f>
        <v>222222.2222</v>
      </c>
      <c r="AC2326" s="126">
        <f t="shared" ref="AC2326:AC2345" si="436">AB2326*H2dens*HoursInYear/10^6</f>
        <v>173.2533333</v>
      </c>
      <c r="AD2326" s="125"/>
      <c r="AE2326" s="125">
        <f t="shared" si="435"/>
        <v>222222.2222</v>
      </c>
      <c r="AF2326" s="127"/>
      <c r="AG2326" s="127">
        <v>-3.53092803394662</v>
      </c>
      <c r="AH2326" s="127">
        <v>-38.7923774582973</v>
      </c>
      <c r="AI2326" s="115" t="s">
        <v>12383</v>
      </c>
      <c r="AJ2326" s="116">
        <v>0.7</v>
      </c>
      <c r="AK2326" s="117"/>
      <c r="AL2326" s="117"/>
      <c r="AM2326" s="117"/>
      <c r="AN2326" s="117"/>
      <c r="AO2326" s="117"/>
    </row>
    <row r="2327" ht="37.5" customHeight="1">
      <c r="A2327" s="111">
        <v>3046.0</v>
      </c>
      <c r="B2327" s="111" t="s">
        <v>10330</v>
      </c>
      <c r="C2327" s="111" t="s">
        <v>7971</v>
      </c>
      <c r="D2327" s="111">
        <v>2029.0</v>
      </c>
      <c r="E2327" s="111"/>
      <c r="F2327" s="111" t="s">
        <v>12397</v>
      </c>
      <c r="G2327" s="111" t="s">
        <v>12381</v>
      </c>
      <c r="H2327" s="111" t="s">
        <v>12230</v>
      </c>
      <c r="I2327" s="111" t="s">
        <v>12759</v>
      </c>
      <c r="J2327" s="111" t="s">
        <v>12296</v>
      </c>
      <c r="K2327" s="111" t="s">
        <v>174</v>
      </c>
      <c r="L2327" s="111"/>
      <c r="M2327" s="111"/>
      <c r="N2327" s="111"/>
      <c r="O2327" s="111"/>
      <c r="P2327" s="111"/>
      <c r="Q2327" s="111"/>
      <c r="R2327" s="111"/>
      <c r="S2327" s="111"/>
      <c r="T2327" s="111"/>
      <c r="U2327" s="111"/>
      <c r="V2327" s="111"/>
      <c r="W2327" s="111"/>
      <c r="X2327" s="111"/>
      <c r="Y2327" s="111"/>
      <c r="Z2327" s="111" t="s">
        <v>15356</v>
      </c>
      <c r="AA2327" s="124">
        <f>600-250</f>
        <v>350</v>
      </c>
      <c r="AB2327" s="125">
        <f>IF(Projects!$AI2327="Electrolysis",
AA2327/VLOOKUP(G2327,ElectrolysisConvF,3,FALSE),
AC2327*10^6/(H2dens*HoursInYear))</f>
        <v>77777.77778</v>
      </c>
      <c r="AC2327" s="126">
        <f t="shared" si="436"/>
        <v>60.63866667</v>
      </c>
      <c r="AD2327" s="125"/>
      <c r="AE2327" s="125">
        <f t="shared" si="435"/>
        <v>77777.77778</v>
      </c>
      <c r="AF2327" s="127"/>
      <c r="AG2327" s="127">
        <v>68.4390284584935</v>
      </c>
      <c r="AH2327" s="127">
        <v>17.4231920549209</v>
      </c>
      <c r="AI2327" s="115" t="s">
        <v>12383</v>
      </c>
      <c r="AJ2327" s="116">
        <v>0.7</v>
      </c>
      <c r="AK2327" s="117"/>
      <c r="AL2327" s="117"/>
      <c r="AM2327" s="117"/>
      <c r="AN2327" s="117"/>
      <c r="AO2327" s="117"/>
    </row>
    <row r="2328" ht="37.5" customHeight="1">
      <c r="A2328" s="111">
        <v>3047.0</v>
      </c>
      <c r="B2328" s="111" t="s">
        <v>10331</v>
      </c>
      <c r="C2328" s="111" t="s">
        <v>7999</v>
      </c>
      <c r="D2328" s="111">
        <v>2025.0</v>
      </c>
      <c r="E2328" s="111"/>
      <c r="F2328" s="111" t="s">
        <v>12393</v>
      </c>
      <c r="G2328" s="111" t="s">
        <v>12226</v>
      </c>
      <c r="H2328" s="111"/>
      <c r="I2328" s="111" t="s">
        <v>12287</v>
      </c>
      <c r="J2328" s="111"/>
      <c r="K2328" s="111" t="s">
        <v>30</v>
      </c>
      <c r="L2328" s="111"/>
      <c r="M2328" s="111"/>
      <c r="N2328" s="111"/>
      <c r="O2328" s="111"/>
      <c r="P2328" s="111"/>
      <c r="Q2328" s="111"/>
      <c r="R2328" s="111">
        <v>1.0</v>
      </c>
      <c r="S2328" s="111"/>
      <c r="T2328" s="111"/>
      <c r="U2328" s="111"/>
      <c r="V2328" s="111"/>
      <c r="W2328" s="111"/>
      <c r="X2328" s="111"/>
      <c r="Y2328" s="111"/>
      <c r="Z2328" s="111" t="s">
        <v>12424</v>
      </c>
      <c r="AA2328" s="124">
        <v>2.0</v>
      </c>
      <c r="AB2328" s="125">
        <f>IF(Projects!$AI2328="Electrolysis",
AA2328/VLOOKUP(G2328,ElectrolysisConvF,3,FALSE),
AC2328*10^6/(H2dens*HoursInYear))</f>
        <v>384.6153846</v>
      </c>
      <c r="AC2328" s="126">
        <f t="shared" si="436"/>
        <v>0.2998615385</v>
      </c>
      <c r="AD2328" s="125"/>
      <c r="AE2328" s="125">
        <f t="shared" si="435"/>
        <v>384.6153846</v>
      </c>
      <c r="AF2328" s="127"/>
      <c r="AG2328" s="127">
        <v>47.3962448840061</v>
      </c>
      <c r="AH2328" s="127">
        <v>11.7797860313073</v>
      </c>
      <c r="AI2328" s="115" t="s">
        <v>12383</v>
      </c>
      <c r="AJ2328" s="116">
        <v>0.57</v>
      </c>
      <c r="AK2328" s="117"/>
      <c r="AL2328" s="117"/>
      <c r="AM2328" s="117"/>
      <c r="AN2328" s="117"/>
      <c r="AO2328" s="117"/>
    </row>
    <row r="2329" ht="37.5" customHeight="1">
      <c r="A2329" s="111">
        <v>3048.0</v>
      </c>
      <c r="B2329" s="111" t="s">
        <v>10332</v>
      </c>
      <c r="C2329" s="111" t="s">
        <v>7991</v>
      </c>
      <c r="D2329" s="111">
        <v>2028.0</v>
      </c>
      <c r="E2329" s="111"/>
      <c r="F2329" s="111" t="s">
        <v>12397</v>
      </c>
      <c r="G2329" s="111" t="s">
        <v>12381</v>
      </c>
      <c r="H2329" s="111" t="s">
        <v>12230</v>
      </c>
      <c r="I2329" s="111" t="s">
        <v>12287</v>
      </c>
      <c r="J2329" s="111"/>
      <c r="K2329" s="111" t="s">
        <v>30</v>
      </c>
      <c r="L2329" s="111"/>
      <c r="M2329" s="111"/>
      <c r="N2329" s="111"/>
      <c r="O2329" s="111"/>
      <c r="P2329" s="111"/>
      <c r="Q2329" s="111"/>
      <c r="R2329" s="111"/>
      <c r="S2329" s="111"/>
      <c r="T2329" s="111"/>
      <c r="U2329" s="111"/>
      <c r="V2329" s="111"/>
      <c r="W2329" s="111"/>
      <c r="X2329" s="111"/>
      <c r="Y2329" s="111"/>
      <c r="Z2329" s="111" t="s">
        <v>12411</v>
      </c>
      <c r="AA2329" s="124">
        <v>20.0</v>
      </c>
      <c r="AB2329" s="125">
        <f>IF(Projects!$AI2329="Electrolysis",
AA2329/VLOOKUP(G2329,ElectrolysisConvF,3,FALSE),
AC2329*10^6/(H2dens*HoursInYear))</f>
        <v>4444.444444</v>
      </c>
      <c r="AC2329" s="126">
        <f t="shared" si="436"/>
        <v>3.465066667</v>
      </c>
      <c r="AD2329" s="125"/>
      <c r="AE2329" s="125">
        <f t="shared" si="435"/>
        <v>4444.444444</v>
      </c>
      <c r="AF2329" s="127"/>
      <c r="AG2329" s="127">
        <v>55.4242923997855</v>
      </c>
      <c r="AH2329" s="127">
        <v>-5.61231978751924</v>
      </c>
      <c r="AI2329" s="115" t="s">
        <v>12383</v>
      </c>
      <c r="AJ2329" s="116">
        <v>0.57</v>
      </c>
      <c r="AK2329" s="117"/>
      <c r="AL2329" s="117"/>
      <c r="AM2329" s="117"/>
      <c r="AN2329" s="117"/>
      <c r="AO2329" s="117"/>
    </row>
    <row r="2330" ht="37.5" customHeight="1">
      <c r="A2330" s="111">
        <v>3049.0</v>
      </c>
      <c r="B2330" s="111" t="s">
        <v>10333</v>
      </c>
      <c r="C2330" s="111" t="s">
        <v>7991</v>
      </c>
      <c r="D2330" s="111">
        <v>2030.0</v>
      </c>
      <c r="E2330" s="111"/>
      <c r="F2330" s="111" t="s">
        <v>12397</v>
      </c>
      <c r="G2330" s="111" t="s">
        <v>12381</v>
      </c>
      <c r="H2330" s="111" t="s">
        <v>12230</v>
      </c>
      <c r="I2330" s="111" t="s">
        <v>12394</v>
      </c>
      <c r="J2330" s="111" t="s">
        <v>12296</v>
      </c>
      <c r="K2330" s="111" t="s">
        <v>30</v>
      </c>
      <c r="L2330" s="111"/>
      <c r="M2330" s="111"/>
      <c r="N2330" s="111"/>
      <c r="O2330" s="111"/>
      <c r="P2330" s="111">
        <v>1.0</v>
      </c>
      <c r="Q2330" s="111">
        <v>1.0</v>
      </c>
      <c r="R2330" s="111"/>
      <c r="S2330" s="111"/>
      <c r="T2330" s="111"/>
      <c r="U2330" s="111"/>
      <c r="V2330" s="111"/>
      <c r="W2330" s="111"/>
      <c r="X2330" s="111"/>
      <c r="Y2330" s="111"/>
      <c r="Z2330" s="111" t="s">
        <v>15394</v>
      </c>
      <c r="AA2330" s="126">
        <f>280.6-AA1625</f>
        <v>256.1</v>
      </c>
      <c r="AB2330" s="125">
        <f>IF(Projects!$AI2330="Electrolysis",
AA2330/VLOOKUP(G2330,ElectrolysisConvF,3,FALSE),
AC2330*10^6/(H2dens*HoursInYear))</f>
        <v>56911.11111</v>
      </c>
      <c r="AC2330" s="126">
        <f t="shared" si="436"/>
        <v>44.37017867</v>
      </c>
      <c r="AD2330" s="125"/>
      <c r="AE2330" s="125">
        <f t="shared" si="435"/>
        <v>56911.11111</v>
      </c>
      <c r="AF2330" s="127"/>
      <c r="AG2330" s="127">
        <v>57.6821564490991</v>
      </c>
      <c r="AH2330" s="127">
        <v>-4.03368441645542</v>
      </c>
      <c r="AI2330" s="115" t="s">
        <v>12383</v>
      </c>
      <c r="AJ2330" s="116">
        <v>0.5</v>
      </c>
      <c r="AK2330" s="117"/>
      <c r="AL2330" s="117"/>
      <c r="AM2330" s="117"/>
      <c r="AN2330" s="117"/>
      <c r="AO2330" s="117"/>
    </row>
    <row r="2331" ht="37.5" customHeight="1">
      <c r="A2331" s="111">
        <v>3050.0</v>
      </c>
      <c r="B2331" s="111" t="s">
        <v>10334</v>
      </c>
      <c r="C2331" s="111" t="s">
        <v>7991</v>
      </c>
      <c r="D2331" s="111">
        <v>2028.0</v>
      </c>
      <c r="E2331" s="111"/>
      <c r="F2331" s="111" t="s">
        <v>12393</v>
      </c>
      <c r="G2331" s="111" t="s">
        <v>12224</v>
      </c>
      <c r="H2331" s="111"/>
      <c r="I2331" s="111" t="s">
        <v>12289</v>
      </c>
      <c r="J2331" s="111"/>
      <c r="K2331" s="111" t="s">
        <v>30</v>
      </c>
      <c r="L2331" s="111"/>
      <c r="M2331" s="111"/>
      <c r="N2331" s="111"/>
      <c r="O2331" s="111"/>
      <c r="P2331" s="111"/>
      <c r="Q2331" s="111"/>
      <c r="R2331" s="111">
        <v>1.0</v>
      </c>
      <c r="S2331" s="111"/>
      <c r="T2331" s="111"/>
      <c r="U2331" s="111"/>
      <c r="V2331" s="111"/>
      <c r="W2331" s="111"/>
      <c r="X2331" s="111"/>
      <c r="Y2331" s="111"/>
      <c r="Z2331" s="111" t="s">
        <v>12703</v>
      </c>
      <c r="AA2331" s="124">
        <v>10.0</v>
      </c>
      <c r="AB2331" s="125">
        <f>IF(Projects!$AI2331="Electrolysis",
AA2331/VLOOKUP(G2331,ElectrolysisConvF,3,FALSE),
AC2331*10^6/(H2dens*HoursInYear))</f>
        <v>2173.913043</v>
      </c>
      <c r="AC2331" s="126">
        <f t="shared" si="436"/>
        <v>1.694869565</v>
      </c>
      <c r="AD2331" s="125"/>
      <c r="AE2331" s="125">
        <f t="shared" si="435"/>
        <v>2173.913043</v>
      </c>
      <c r="AF2331" s="127"/>
      <c r="AG2331" s="127">
        <v>51.6164249307748</v>
      </c>
      <c r="AH2331" s="127">
        <v>-1.2499113724325</v>
      </c>
      <c r="AI2331" s="115" t="s">
        <v>12383</v>
      </c>
      <c r="AJ2331" s="116">
        <v>0.57</v>
      </c>
      <c r="AK2331" s="117"/>
      <c r="AL2331" s="117"/>
      <c r="AM2331" s="117"/>
      <c r="AN2331" s="117"/>
      <c r="AO2331" s="117"/>
    </row>
    <row r="2332" ht="37.5" customHeight="1">
      <c r="A2332" s="111">
        <v>3051.0</v>
      </c>
      <c r="B2332" s="111" t="s">
        <v>10335</v>
      </c>
      <c r="C2332" s="111" t="s">
        <v>7991</v>
      </c>
      <c r="D2332" s="111">
        <v>2028.0</v>
      </c>
      <c r="E2332" s="111"/>
      <c r="F2332" s="111" t="s">
        <v>12399</v>
      </c>
      <c r="G2332" s="111" t="s">
        <v>12381</v>
      </c>
      <c r="H2332" s="111" t="s">
        <v>12230</v>
      </c>
      <c r="I2332" s="111" t="s">
        <v>12287</v>
      </c>
      <c r="J2332" s="111"/>
      <c r="K2332" s="111" t="s">
        <v>30</v>
      </c>
      <c r="L2332" s="111"/>
      <c r="M2332" s="111"/>
      <c r="N2332" s="111"/>
      <c r="O2332" s="111"/>
      <c r="P2332" s="111"/>
      <c r="Q2332" s="111"/>
      <c r="R2332" s="111"/>
      <c r="S2332" s="111"/>
      <c r="T2332" s="111"/>
      <c r="U2332" s="111">
        <v>1.0</v>
      </c>
      <c r="V2332" s="111"/>
      <c r="W2332" s="111"/>
      <c r="X2332" s="111"/>
      <c r="Y2332" s="111"/>
      <c r="Z2332" s="111" t="s">
        <v>12698</v>
      </c>
      <c r="AA2332" s="124">
        <v>100.0</v>
      </c>
      <c r="AB2332" s="125">
        <f>IF(Projects!$AI2332="Electrolysis",
AA2332/VLOOKUP(G2332,ElectrolysisConvF,3,FALSE),
AC2332*10^6/(H2dens*HoursInYear))</f>
        <v>22222.22222</v>
      </c>
      <c r="AC2332" s="126">
        <f t="shared" si="436"/>
        <v>17.32533333</v>
      </c>
      <c r="AD2332" s="125"/>
      <c r="AE2332" s="125">
        <f t="shared" si="435"/>
        <v>22222.22222</v>
      </c>
      <c r="AF2332" s="127"/>
      <c r="AG2332" s="127">
        <v>56.2069081318462</v>
      </c>
      <c r="AH2332" s="127">
        <v>-3.17016120440091</v>
      </c>
      <c r="AI2332" s="115" t="s">
        <v>12383</v>
      </c>
      <c r="AJ2332" s="116">
        <v>0.57</v>
      </c>
      <c r="AK2332" s="117"/>
      <c r="AL2332" s="117"/>
      <c r="AM2332" s="117"/>
      <c r="AN2332" s="117"/>
      <c r="AO2332" s="117"/>
    </row>
    <row r="2333" ht="37.5" customHeight="1">
      <c r="A2333" s="111">
        <v>3052.0</v>
      </c>
      <c r="B2333" s="111" t="s">
        <v>10336</v>
      </c>
      <c r="C2333" s="111" t="s">
        <v>7991</v>
      </c>
      <c r="D2333" s="111">
        <v>2028.0</v>
      </c>
      <c r="E2333" s="111"/>
      <c r="F2333" s="111" t="s">
        <v>12397</v>
      </c>
      <c r="G2333" s="111" t="s">
        <v>12381</v>
      </c>
      <c r="H2333" s="111" t="s">
        <v>12230</v>
      </c>
      <c r="I2333" s="111" t="s">
        <v>12287</v>
      </c>
      <c r="J2333" s="111" t="str">
        <f>IF(I2333&lt;&gt;"Dedicated renewable","N/A",)</f>
        <v>N/A</v>
      </c>
      <c r="K2333" s="111" t="s">
        <v>30</v>
      </c>
      <c r="L2333" s="111"/>
      <c r="M2333" s="111"/>
      <c r="N2333" s="111"/>
      <c r="O2333" s="111"/>
      <c r="P2333" s="111"/>
      <c r="Q2333" s="111"/>
      <c r="R2333" s="111"/>
      <c r="S2333" s="111"/>
      <c r="T2333" s="111"/>
      <c r="U2333" s="111"/>
      <c r="V2333" s="111"/>
      <c r="W2333" s="111"/>
      <c r="X2333" s="111"/>
      <c r="Y2333" s="111"/>
      <c r="Z2333" s="111" t="s">
        <v>12411</v>
      </c>
      <c r="AA2333" s="124">
        <v>20.0</v>
      </c>
      <c r="AB2333" s="125">
        <f>IF(Projects!$AI2333="Electrolysis",
AA2333/VLOOKUP(G2333,ElectrolysisConvF,3,FALSE),
AC2333*10^6/(H2dens*HoursInYear))</f>
        <v>4444.444444</v>
      </c>
      <c r="AC2333" s="126">
        <f t="shared" si="436"/>
        <v>3.465066667</v>
      </c>
      <c r="AD2333" s="125"/>
      <c r="AE2333" s="125">
        <f t="shared" si="435"/>
        <v>4444.444444</v>
      </c>
      <c r="AF2333" s="127"/>
      <c r="AG2333" s="127">
        <v>0.0</v>
      </c>
      <c r="AH2333" s="127">
        <v>0.0</v>
      </c>
      <c r="AI2333" s="115" t="s">
        <v>12383</v>
      </c>
      <c r="AJ2333" s="116">
        <v>0.57</v>
      </c>
      <c r="AK2333" s="117"/>
      <c r="AL2333" s="117"/>
      <c r="AM2333" s="117"/>
      <c r="AN2333" s="117"/>
      <c r="AO2333" s="117"/>
    </row>
    <row r="2334" ht="36.0" customHeight="1">
      <c r="A2334" s="111">
        <v>3053.0</v>
      </c>
      <c r="B2334" s="111" t="s">
        <v>10337</v>
      </c>
      <c r="C2334" s="111" t="s">
        <v>7991</v>
      </c>
      <c r="D2334" s="111">
        <v>2030.0</v>
      </c>
      <c r="E2334" s="111"/>
      <c r="F2334" s="111" t="s">
        <v>12399</v>
      </c>
      <c r="G2334" s="111" t="s">
        <v>12381</v>
      </c>
      <c r="H2334" s="111" t="s">
        <v>12230</v>
      </c>
      <c r="I2334" s="111" t="s">
        <v>12406</v>
      </c>
      <c r="J2334" s="111"/>
      <c r="K2334" s="111" t="s">
        <v>30</v>
      </c>
      <c r="L2334" s="111"/>
      <c r="M2334" s="111"/>
      <c r="N2334" s="111"/>
      <c r="O2334" s="111"/>
      <c r="P2334" s="111"/>
      <c r="Q2334" s="111"/>
      <c r="R2334" s="111"/>
      <c r="S2334" s="111"/>
      <c r="T2334" s="111"/>
      <c r="U2334" s="111"/>
      <c r="V2334" s="111"/>
      <c r="W2334" s="111"/>
      <c r="X2334" s="111"/>
      <c r="Y2334" s="111"/>
      <c r="Z2334" s="111" t="s">
        <v>15348</v>
      </c>
      <c r="AA2334" s="124">
        <f>310-AA1000</f>
        <v>310</v>
      </c>
      <c r="AB2334" s="125">
        <f>IF(Projects!$AI2334="Electrolysis",
AA2334/VLOOKUP(G2334,ElectrolysisConvF,3,FALSE),
AC2334*10^6/(H2dens*HoursInYear))</f>
        <v>68888.88889</v>
      </c>
      <c r="AC2334" s="125">
        <f t="shared" si="436"/>
        <v>53.70853333</v>
      </c>
      <c r="AD2334" s="125"/>
      <c r="AE2334" s="125">
        <f t="shared" si="435"/>
        <v>68888.88889</v>
      </c>
      <c r="AF2334" s="127"/>
      <c r="AG2334" s="127">
        <v>51.6845551518729</v>
      </c>
      <c r="AH2334" s="127">
        <v>-4.98247284482957</v>
      </c>
      <c r="AI2334" s="115" t="s">
        <v>12383</v>
      </c>
      <c r="AJ2334" s="116">
        <v>0.57</v>
      </c>
      <c r="AK2334" s="117"/>
      <c r="AL2334" s="117"/>
      <c r="AM2334" s="117"/>
      <c r="AN2334" s="117"/>
      <c r="AO2334" s="117"/>
    </row>
    <row r="2335" ht="37.5" customHeight="1">
      <c r="A2335" s="111">
        <v>3054.0</v>
      </c>
      <c r="B2335" s="111" t="s">
        <v>10338</v>
      </c>
      <c r="C2335" s="111" t="s">
        <v>7991</v>
      </c>
      <c r="D2335" s="111">
        <v>2030.0</v>
      </c>
      <c r="E2335" s="111"/>
      <c r="F2335" s="111" t="s">
        <v>12399</v>
      </c>
      <c r="G2335" s="111" t="s">
        <v>12381</v>
      </c>
      <c r="H2335" s="111" t="s">
        <v>12230</v>
      </c>
      <c r="I2335" s="111" t="s">
        <v>12287</v>
      </c>
      <c r="J2335" s="111"/>
      <c r="K2335" s="111" t="s">
        <v>30</v>
      </c>
      <c r="L2335" s="111"/>
      <c r="M2335" s="111"/>
      <c r="N2335" s="111"/>
      <c r="O2335" s="111"/>
      <c r="P2335" s="111"/>
      <c r="Q2335" s="111"/>
      <c r="R2335" s="111"/>
      <c r="S2335" s="111"/>
      <c r="T2335" s="111"/>
      <c r="U2335" s="111"/>
      <c r="V2335" s="111"/>
      <c r="W2335" s="111"/>
      <c r="X2335" s="111"/>
      <c r="Y2335" s="111"/>
      <c r="Z2335" s="111" t="s">
        <v>12703</v>
      </c>
      <c r="AA2335" s="124">
        <v>10.0</v>
      </c>
      <c r="AB2335" s="125">
        <f>IF(Projects!$AI2335="Electrolysis",
AA2335/VLOOKUP(G2335,ElectrolysisConvF,3,FALSE),
AC2335*10^6/(H2dens*HoursInYear))</f>
        <v>2222.222222</v>
      </c>
      <c r="AC2335" s="126">
        <f t="shared" si="436"/>
        <v>1.732533333</v>
      </c>
      <c r="AD2335" s="125"/>
      <c r="AE2335" s="125">
        <f t="shared" si="435"/>
        <v>2222.222222</v>
      </c>
      <c r="AF2335" s="127"/>
      <c r="AG2335" s="127">
        <v>51.459277329711</v>
      </c>
      <c r="AH2335" s="127">
        <v>0.346296995049041</v>
      </c>
      <c r="AI2335" s="115" t="s">
        <v>12383</v>
      </c>
      <c r="AJ2335" s="116">
        <v>0.57</v>
      </c>
      <c r="AK2335" s="117"/>
      <c r="AL2335" s="117"/>
      <c r="AM2335" s="117"/>
      <c r="AN2335" s="117"/>
      <c r="AO2335" s="117"/>
    </row>
    <row r="2336" ht="36.0" customHeight="1">
      <c r="A2336" s="111">
        <v>3055.0</v>
      </c>
      <c r="B2336" s="111" t="s">
        <v>10339</v>
      </c>
      <c r="C2336" s="111" t="s">
        <v>7991</v>
      </c>
      <c r="D2336" s="111"/>
      <c r="E2336" s="111"/>
      <c r="F2336" s="111" t="s">
        <v>12397</v>
      </c>
      <c r="G2336" s="111" t="s">
        <v>12381</v>
      </c>
      <c r="H2336" s="111" t="s">
        <v>12230</v>
      </c>
      <c r="I2336" s="111" t="s">
        <v>12287</v>
      </c>
      <c r="J2336" s="111"/>
      <c r="K2336" s="111" t="s">
        <v>30</v>
      </c>
      <c r="L2336" s="111"/>
      <c r="M2336" s="111"/>
      <c r="N2336" s="111"/>
      <c r="O2336" s="111"/>
      <c r="P2336" s="111"/>
      <c r="Q2336" s="111"/>
      <c r="R2336" s="111"/>
      <c r="S2336" s="111"/>
      <c r="T2336" s="111"/>
      <c r="U2336" s="111"/>
      <c r="V2336" s="111"/>
      <c r="W2336" s="111"/>
      <c r="X2336" s="111"/>
      <c r="Y2336" s="111"/>
      <c r="Z2336" s="111" t="s">
        <v>12698</v>
      </c>
      <c r="AA2336" s="124">
        <f>100-AA2335</f>
        <v>90</v>
      </c>
      <c r="AB2336" s="125">
        <f>IF(Projects!$AI2336="Electrolysis",
AA2336/VLOOKUP(G2336,ElectrolysisConvF,3,FALSE),
AC2336*10^6/(H2dens*HoursInYear))</f>
        <v>20000</v>
      </c>
      <c r="AC2336" s="126">
        <f t="shared" si="436"/>
        <v>15.5928</v>
      </c>
      <c r="AD2336" s="125"/>
      <c r="AE2336" s="125">
        <f t="shared" si="435"/>
        <v>20000</v>
      </c>
      <c r="AF2336" s="127"/>
      <c r="AG2336" s="127">
        <v>51.459277329711</v>
      </c>
      <c r="AH2336" s="127">
        <v>0.346296995049041</v>
      </c>
      <c r="AI2336" s="115" t="s">
        <v>12383</v>
      </c>
      <c r="AJ2336" s="116">
        <v>0.57</v>
      </c>
      <c r="AK2336" s="117"/>
      <c r="AL2336" s="117"/>
      <c r="AM2336" s="117"/>
      <c r="AN2336" s="117"/>
      <c r="AO2336" s="117"/>
    </row>
    <row r="2337" ht="36.0" customHeight="1">
      <c r="A2337" s="111">
        <v>3056.0</v>
      </c>
      <c r="B2337" s="111" t="s">
        <v>10340</v>
      </c>
      <c r="C2337" s="111" t="s">
        <v>7991</v>
      </c>
      <c r="D2337" s="111">
        <v>2029.0</v>
      </c>
      <c r="E2337" s="111"/>
      <c r="F2337" s="111" t="s">
        <v>12399</v>
      </c>
      <c r="G2337" s="111" t="s">
        <v>12381</v>
      </c>
      <c r="H2337" s="111" t="s">
        <v>12230</v>
      </c>
      <c r="I2337" s="111" t="s">
        <v>12287</v>
      </c>
      <c r="J2337" s="111"/>
      <c r="K2337" s="111" t="s">
        <v>30</v>
      </c>
      <c r="L2337" s="111">
        <v>1.0</v>
      </c>
      <c r="M2337" s="111"/>
      <c r="N2337" s="111"/>
      <c r="O2337" s="111"/>
      <c r="P2337" s="111">
        <v>1.0</v>
      </c>
      <c r="Q2337" s="111"/>
      <c r="R2337" s="111"/>
      <c r="S2337" s="111"/>
      <c r="T2337" s="111"/>
      <c r="U2337" s="111"/>
      <c r="V2337" s="111"/>
      <c r="W2337" s="111"/>
      <c r="X2337" s="111"/>
      <c r="Y2337" s="111"/>
      <c r="Z2337" s="111" t="s">
        <v>13006</v>
      </c>
      <c r="AA2337" s="124">
        <v>200.0</v>
      </c>
      <c r="AB2337" s="125">
        <f>IF(Projects!$AI2337="Electrolysis",
AA2337/VLOOKUP(G2337,ElectrolysisConvF,3,FALSE),
AC2337*10^6/(H2dens*HoursInYear))</f>
        <v>44444.44444</v>
      </c>
      <c r="AC2337" s="126">
        <f t="shared" si="436"/>
        <v>34.65066667</v>
      </c>
      <c r="AD2337" s="125"/>
      <c r="AE2337" s="125">
        <f t="shared" si="435"/>
        <v>44444.44444</v>
      </c>
      <c r="AF2337" s="127" t="s">
        <v>15395</v>
      </c>
      <c r="AG2337" s="127">
        <v>56.0224733999731</v>
      </c>
      <c r="AH2337" s="127">
        <v>-3.7072495845919</v>
      </c>
      <c r="AI2337" s="115" t="s">
        <v>12383</v>
      </c>
      <c r="AJ2337" s="116">
        <v>0.57</v>
      </c>
      <c r="AK2337" s="117"/>
      <c r="AL2337" s="117"/>
      <c r="AM2337" s="117"/>
      <c r="AN2337" s="117"/>
      <c r="AO2337" s="117"/>
    </row>
    <row r="2338" ht="36.0" customHeight="1">
      <c r="A2338" s="111">
        <v>3057.0</v>
      </c>
      <c r="B2338" s="111" t="s">
        <v>10341</v>
      </c>
      <c r="C2338" s="111" t="s">
        <v>7991</v>
      </c>
      <c r="D2338" s="111">
        <v>2028.0</v>
      </c>
      <c r="E2338" s="111"/>
      <c r="F2338" s="111" t="s">
        <v>12397</v>
      </c>
      <c r="G2338" s="111" t="s">
        <v>12381</v>
      </c>
      <c r="H2338" s="111" t="s">
        <v>12230</v>
      </c>
      <c r="I2338" s="111" t="s">
        <v>12287</v>
      </c>
      <c r="J2338" s="111"/>
      <c r="K2338" s="111" t="s">
        <v>30</v>
      </c>
      <c r="L2338" s="111"/>
      <c r="M2338" s="111"/>
      <c r="N2338" s="111"/>
      <c r="O2338" s="111"/>
      <c r="P2338" s="111"/>
      <c r="Q2338" s="111"/>
      <c r="R2338" s="111"/>
      <c r="S2338" s="111"/>
      <c r="T2338" s="111"/>
      <c r="U2338" s="111"/>
      <c r="V2338" s="111"/>
      <c r="W2338" s="111"/>
      <c r="X2338" s="111"/>
      <c r="Y2338" s="111"/>
      <c r="Z2338" s="111" t="s">
        <v>12411</v>
      </c>
      <c r="AA2338" s="124">
        <v>20.0</v>
      </c>
      <c r="AB2338" s="125">
        <f>IF(Projects!$AI2338="Electrolysis",
AA2338/VLOOKUP(G2338,ElectrolysisConvF,3,FALSE),
AC2338*10^6/(H2dens*HoursInYear))</f>
        <v>4444.444444</v>
      </c>
      <c r="AC2338" s="126">
        <f t="shared" si="436"/>
        <v>3.465066667</v>
      </c>
      <c r="AD2338" s="125"/>
      <c r="AE2338" s="125">
        <f t="shared" si="435"/>
        <v>4444.444444</v>
      </c>
      <c r="AF2338" s="127"/>
      <c r="AG2338" s="127">
        <v>58.209443745164</v>
      </c>
      <c r="AH2338" s="127">
        <v>-6.37497959721141</v>
      </c>
      <c r="AI2338" s="115" t="s">
        <v>12383</v>
      </c>
      <c r="AJ2338" s="116">
        <v>0.57</v>
      </c>
      <c r="AK2338" s="117"/>
      <c r="AL2338" s="117"/>
      <c r="AM2338" s="117"/>
      <c r="AN2338" s="117"/>
      <c r="AO2338" s="117"/>
    </row>
    <row r="2339" ht="36.0" customHeight="1">
      <c r="A2339" s="111">
        <v>3058.0</v>
      </c>
      <c r="B2339" s="111" t="s">
        <v>10342</v>
      </c>
      <c r="C2339" s="111" t="s">
        <v>7991</v>
      </c>
      <c r="D2339" s="111">
        <v>2028.0</v>
      </c>
      <c r="E2339" s="111"/>
      <c r="F2339" s="111" t="s">
        <v>12397</v>
      </c>
      <c r="G2339" s="111" t="s">
        <v>12381</v>
      </c>
      <c r="H2339" s="111" t="s">
        <v>12230</v>
      </c>
      <c r="I2339" s="111" t="s">
        <v>12287</v>
      </c>
      <c r="J2339" s="111"/>
      <c r="K2339" s="111" t="s">
        <v>30</v>
      </c>
      <c r="L2339" s="111"/>
      <c r="M2339" s="111"/>
      <c r="N2339" s="111"/>
      <c r="O2339" s="111"/>
      <c r="P2339" s="111"/>
      <c r="Q2339" s="111"/>
      <c r="R2339" s="111"/>
      <c r="S2339" s="111"/>
      <c r="T2339" s="111"/>
      <c r="U2339" s="111"/>
      <c r="V2339" s="111"/>
      <c r="W2339" s="111"/>
      <c r="X2339" s="111"/>
      <c r="Y2339" s="111"/>
      <c r="Z2339" s="111" t="s">
        <v>12411</v>
      </c>
      <c r="AA2339" s="124">
        <v>20.0</v>
      </c>
      <c r="AB2339" s="125">
        <f>IF(Projects!$AI2339="Electrolysis",
AA2339/VLOOKUP(G2339,ElectrolysisConvF,3,FALSE),
AC2339*10^6/(H2dens*HoursInYear))</f>
        <v>4444.444444</v>
      </c>
      <c r="AC2339" s="126">
        <f t="shared" si="436"/>
        <v>3.465066667</v>
      </c>
      <c r="AD2339" s="125"/>
      <c r="AE2339" s="125">
        <f t="shared" si="435"/>
        <v>4444.444444</v>
      </c>
      <c r="AF2339" s="127"/>
      <c r="AG2339" s="127">
        <v>58.209443745164</v>
      </c>
      <c r="AH2339" s="127">
        <v>-6.37497959721141</v>
      </c>
      <c r="AI2339" s="115" t="s">
        <v>12383</v>
      </c>
      <c r="AJ2339" s="116">
        <v>0.57</v>
      </c>
      <c r="AK2339" s="117"/>
      <c r="AL2339" s="117"/>
      <c r="AM2339" s="117"/>
      <c r="AN2339" s="117"/>
      <c r="AO2339" s="117"/>
    </row>
    <row r="2340" ht="36.0" customHeight="1">
      <c r="A2340" s="111">
        <v>3059.0</v>
      </c>
      <c r="B2340" s="111" t="s">
        <v>10343</v>
      </c>
      <c r="C2340" s="111" t="s">
        <v>7991</v>
      </c>
      <c r="D2340" s="111">
        <v>2028.0</v>
      </c>
      <c r="E2340" s="111"/>
      <c r="F2340" s="111" t="s">
        <v>12397</v>
      </c>
      <c r="G2340" s="111" t="s">
        <v>12381</v>
      </c>
      <c r="H2340" s="111" t="s">
        <v>12230</v>
      </c>
      <c r="I2340" s="111" t="s">
        <v>12287</v>
      </c>
      <c r="J2340" s="111"/>
      <c r="K2340" s="111" t="s">
        <v>30</v>
      </c>
      <c r="L2340" s="111"/>
      <c r="M2340" s="111"/>
      <c r="N2340" s="111"/>
      <c r="O2340" s="111"/>
      <c r="P2340" s="111"/>
      <c r="Q2340" s="111"/>
      <c r="R2340" s="111"/>
      <c r="S2340" s="111"/>
      <c r="T2340" s="111"/>
      <c r="U2340" s="111"/>
      <c r="V2340" s="111"/>
      <c r="W2340" s="111"/>
      <c r="X2340" s="111"/>
      <c r="Y2340" s="111"/>
      <c r="Z2340" s="111" t="s">
        <v>12411</v>
      </c>
      <c r="AA2340" s="124">
        <v>20.0</v>
      </c>
      <c r="AB2340" s="125">
        <f>IF(Projects!$AI2340="Electrolysis",
AA2340/VLOOKUP(G2340,ElectrolysisConvF,3,FALSE),
AC2340*10^6/(H2dens*HoursInYear))</f>
        <v>4444.444444</v>
      </c>
      <c r="AC2340" s="126">
        <f t="shared" si="436"/>
        <v>3.465066667</v>
      </c>
      <c r="AD2340" s="125"/>
      <c r="AE2340" s="125">
        <f t="shared" si="435"/>
        <v>4444.444444</v>
      </c>
      <c r="AF2340" s="127"/>
      <c r="AG2340" s="127">
        <v>58.4343059099618</v>
      </c>
      <c r="AH2340" s="127">
        <v>-3.09907292026725</v>
      </c>
      <c r="AI2340" s="115" t="s">
        <v>12383</v>
      </c>
      <c r="AJ2340" s="116">
        <v>0.57</v>
      </c>
      <c r="AK2340" s="117"/>
      <c r="AL2340" s="117"/>
      <c r="AM2340" s="117"/>
      <c r="AN2340" s="117"/>
      <c r="AO2340" s="117"/>
    </row>
    <row r="2341" ht="36.0" customHeight="1">
      <c r="A2341" s="111">
        <v>3060.0</v>
      </c>
      <c r="B2341" s="111" t="s">
        <v>10344</v>
      </c>
      <c r="C2341" s="111" t="s">
        <v>7991</v>
      </c>
      <c r="D2341" s="111">
        <v>2034.0</v>
      </c>
      <c r="E2341" s="111"/>
      <c r="F2341" s="111" t="s">
        <v>12397</v>
      </c>
      <c r="G2341" s="111" t="s">
        <v>12381</v>
      </c>
      <c r="H2341" s="111" t="s">
        <v>12230</v>
      </c>
      <c r="I2341" s="111" t="s">
        <v>12394</v>
      </c>
      <c r="J2341" s="111" t="s">
        <v>12293</v>
      </c>
      <c r="K2341" s="111" t="s">
        <v>30</v>
      </c>
      <c r="L2341" s="111"/>
      <c r="M2341" s="111"/>
      <c r="N2341" s="111"/>
      <c r="O2341" s="111"/>
      <c r="P2341" s="111"/>
      <c r="Q2341" s="111"/>
      <c r="R2341" s="111"/>
      <c r="S2341" s="111"/>
      <c r="T2341" s="111"/>
      <c r="U2341" s="111"/>
      <c r="V2341" s="111"/>
      <c r="W2341" s="111"/>
      <c r="X2341" s="111"/>
      <c r="Y2341" s="111"/>
      <c r="Z2341" s="111" t="s">
        <v>15396</v>
      </c>
      <c r="AA2341" s="129">
        <f>4000-AA642-AA641</f>
        <v>3979.65</v>
      </c>
      <c r="AB2341" s="125">
        <f>IF(Projects!$AI2341="Electrolysis",
AA2341/VLOOKUP(G2341,ElectrolysisConvF,3,FALSE),
AC2341*10^6/(H2dens*HoursInYear))</f>
        <v>884366.6667</v>
      </c>
      <c r="AC2341" s="126">
        <f t="shared" si="436"/>
        <v>689.487628</v>
      </c>
      <c r="AD2341" s="125"/>
      <c r="AE2341" s="125">
        <f t="shared" si="435"/>
        <v>884366.6667</v>
      </c>
      <c r="AF2341" s="127"/>
      <c r="AG2341" s="127">
        <v>57.0652083105234</v>
      </c>
      <c r="AH2341" s="127">
        <v>-1.89828762993735</v>
      </c>
      <c r="AI2341" s="115" t="s">
        <v>12383</v>
      </c>
      <c r="AJ2341" s="116">
        <v>0.55</v>
      </c>
      <c r="AK2341" s="117"/>
      <c r="AL2341" s="117"/>
      <c r="AM2341" s="117"/>
      <c r="AN2341" s="117"/>
      <c r="AO2341" s="117"/>
    </row>
    <row r="2342" ht="36.0" customHeight="1">
      <c r="A2342" s="111">
        <v>3061.0</v>
      </c>
      <c r="B2342" s="111" t="s">
        <v>385</v>
      </c>
      <c r="C2342" s="111" t="s">
        <v>7991</v>
      </c>
      <c r="D2342" s="111">
        <v>2025.0</v>
      </c>
      <c r="E2342" s="111"/>
      <c r="F2342" s="111" t="s">
        <v>12393</v>
      </c>
      <c r="G2342" s="111" t="s">
        <v>12381</v>
      </c>
      <c r="H2342" s="111" t="s">
        <v>12230</v>
      </c>
      <c r="I2342" s="111" t="s">
        <v>12394</v>
      </c>
      <c r="J2342" s="111" t="s">
        <v>12296</v>
      </c>
      <c r="K2342" s="111" t="s">
        <v>30</v>
      </c>
      <c r="L2342" s="111"/>
      <c r="M2342" s="111"/>
      <c r="N2342" s="111"/>
      <c r="O2342" s="111"/>
      <c r="P2342" s="111"/>
      <c r="Q2342" s="111">
        <v>1.0</v>
      </c>
      <c r="R2342" s="111"/>
      <c r="S2342" s="111"/>
      <c r="T2342" s="111"/>
      <c r="U2342" s="111"/>
      <c r="V2342" s="111"/>
      <c r="W2342" s="111"/>
      <c r="X2342" s="111"/>
      <c r="Y2342" s="111"/>
      <c r="Z2342" s="111" t="s">
        <v>13169</v>
      </c>
      <c r="AA2342" s="124">
        <v>15.0</v>
      </c>
      <c r="AB2342" s="125">
        <f>IF(Projects!$AI2342="Electrolysis",
AA2342/VLOOKUP(G2342,ElectrolysisConvF,3,FALSE),
AC2342*10^6/(H2dens*HoursInYear))</f>
        <v>3333.333333</v>
      </c>
      <c r="AC2342" s="126">
        <f t="shared" si="436"/>
        <v>2.5988</v>
      </c>
      <c r="AD2342" s="125"/>
      <c r="AE2342" s="125">
        <f t="shared" si="435"/>
        <v>3333.333333</v>
      </c>
      <c r="AF2342" s="127"/>
      <c r="AG2342" s="127">
        <v>55.6703523182466</v>
      </c>
      <c r="AH2342" s="127">
        <v>-3.78202922197223</v>
      </c>
      <c r="AI2342" s="115" t="s">
        <v>12383</v>
      </c>
      <c r="AJ2342" s="116">
        <v>0.5</v>
      </c>
      <c r="AK2342" s="117"/>
      <c r="AL2342" s="117"/>
      <c r="AM2342" s="117"/>
      <c r="AN2342" s="117"/>
      <c r="AO2342" s="117"/>
    </row>
    <row r="2343" ht="36.0" customHeight="1">
      <c r="A2343" s="111">
        <v>3062.0</v>
      </c>
      <c r="B2343" s="111" t="s">
        <v>10345</v>
      </c>
      <c r="C2343" s="111" t="s">
        <v>7991</v>
      </c>
      <c r="D2343" s="111">
        <v>2026.0</v>
      </c>
      <c r="E2343" s="111"/>
      <c r="F2343" s="111" t="s">
        <v>12399</v>
      </c>
      <c r="G2343" s="111" t="s">
        <v>12381</v>
      </c>
      <c r="H2343" s="111" t="s">
        <v>12230</v>
      </c>
      <c r="I2343" s="111" t="s">
        <v>12394</v>
      </c>
      <c r="J2343" s="111" t="s">
        <v>12296</v>
      </c>
      <c r="K2343" s="111" t="s">
        <v>30</v>
      </c>
      <c r="L2343" s="111"/>
      <c r="M2343" s="111"/>
      <c r="N2343" s="111"/>
      <c r="O2343" s="111"/>
      <c r="P2343" s="111">
        <v>1.0</v>
      </c>
      <c r="Q2343" s="111"/>
      <c r="R2343" s="111"/>
      <c r="S2343" s="111"/>
      <c r="T2343" s="111"/>
      <c r="U2343" s="111"/>
      <c r="V2343" s="111"/>
      <c r="W2343" s="111"/>
      <c r="X2343" s="111"/>
      <c r="Y2343" s="111"/>
      <c r="Z2343" s="111" t="s">
        <v>15397</v>
      </c>
      <c r="AA2343" s="124">
        <v>11.0</v>
      </c>
      <c r="AB2343" s="125">
        <f>IF(Projects!$AI2343="Electrolysis",
AA2343/VLOOKUP(G2343,ElectrolysisConvF,3,FALSE),
AC2343*10^6/(H2dens*HoursInYear))</f>
        <v>2444.444444</v>
      </c>
      <c r="AC2343" s="126">
        <f t="shared" si="436"/>
        <v>1.905786667</v>
      </c>
      <c r="AD2343" s="125"/>
      <c r="AE2343" s="125">
        <f t="shared" si="435"/>
        <v>2444.444444</v>
      </c>
      <c r="AF2343" s="127"/>
      <c r="AG2343" s="127">
        <v>53.2433360564151</v>
      </c>
      <c r="AH2343" s="127">
        <v>-3.14913438746735</v>
      </c>
      <c r="AI2343" s="115" t="s">
        <v>12383</v>
      </c>
      <c r="AJ2343" s="116">
        <v>0.5</v>
      </c>
      <c r="AK2343" s="117"/>
      <c r="AL2343" s="117"/>
      <c r="AM2343" s="117"/>
      <c r="AN2343" s="117"/>
      <c r="AO2343" s="117"/>
    </row>
    <row r="2344" ht="36.0" customHeight="1">
      <c r="A2344" s="111">
        <v>3063.0</v>
      </c>
      <c r="B2344" s="111" t="s">
        <v>10346</v>
      </c>
      <c r="C2344" s="111" t="s">
        <v>7991</v>
      </c>
      <c r="D2344" s="111">
        <v>2028.0</v>
      </c>
      <c r="E2344" s="111"/>
      <c r="F2344" s="111" t="s">
        <v>12399</v>
      </c>
      <c r="G2344" s="111" t="s">
        <v>12226</v>
      </c>
      <c r="H2344" s="111"/>
      <c r="I2344" s="111" t="s">
        <v>12759</v>
      </c>
      <c r="J2344" s="111" t="s">
        <v>12292</v>
      </c>
      <c r="K2344" s="111" t="s">
        <v>30</v>
      </c>
      <c r="L2344" s="111"/>
      <c r="M2344" s="111"/>
      <c r="N2344" s="111"/>
      <c r="O2344" s="111"/>
      <c r="P2344" s="111"/>
      <c r="Q2344" s="111">
        <v>1.0</v>
      </c>
      <c r="R2344" s="111"/>
      <c r="S2344" s="111"/>
      <c r="T2344" s="111"/>
      <c r="U2344" s="111"/>
      <c r="V2344" s="111"/>
      <c r="W2344" s="111"/>
      <c r="X2344" s="111"/>
      <c r="Y2344" s="111"/>
      <c r="Z2344" s="111" t="s">
        <v>15398</v>
      </c>
      <c r="AA2344" s="124">
        <f>20.1-AA244</f>
        <v>-219.9</v>
      </c>
      <c r="AB2344" s="125">
        <f>IF(Projects!$AI2344="Electrolysis",
AA2344/VLOOKUP(G2344,ElectrolysisConvF,3,FALSE),
AC2344*10^6/(H2dens*HoursInYear))</f>
        <v>-42288.46154</v>
      </c>
      <c r="AC2344" s="126">
        <f t="shared" si="436"/>
        <v>-32.96977615</v>
      </c>
      <c r="AD2344" s="125"/>
      <c r="AE2344" s="125">
        <f t="shared" si="435"/>
        <v>-42288.46154</v>
      </c>
      <c r="AF2344" s="127"/>
      <c r="AG2344" s="127">
        <v>55.7124915558958</v>
      </c>
      <c r="AH2344" s="127">
        <v>-4.34173242427328</v>
      </c>
      <c r="AI2344" s="115" t="s">
        <v>12383</v>
      </c>
      <c r="AJ2344" s="116">
        <v>0.7</v>
      </c>
      <c r="AK2344" s="117"/>
      <c r="AL2344" s="117"/>
      <c r="AM2344" s="117"/>
      <c r="AN2344" s="117"/>
      <c r="AO2344" s="117"/>
    </row>
    <row r="2345" ht="36.0" customHeight="1">
      <c r="A2345" s="111">
        <v>3064.0</v>
      </c>
      <c r="B2345" s="111" t="s">
        <v>10347</v>
      </c>
      <c r="C2345" s="111" t="s">
        <v>7991</v>
      </c>
      <c r="D2345" s="111">
        <v>2026.0</v>
      </c>
      <c r="E2345" s="111"/>
      <c r="F2345" s="111" t="s">
        <v>12393</v>
      </c>
      <c r="G2345" s="111" t="s">
        <v>12226</v>
      </c>
      <c r="H2345" s="111"/>
      <c r="I2345" s="111" t="s">
        <v>12287</v>
      </c>
      <c r="J2345" s="111"/>
      <c r="K2345" s="111" t="s">
        <v>30</v>
      </c>
      <c r="L2345" s="111"/>
      <c r="M2345" s="111"/>
      <c r="N2345" s="111"/>
      <c r="O2345" s="111"/>
      <c r="P2345" s="111">
        <v>1.0</v>
      </c>
      <c r="Q2345" s="111"/>
      <c r="R2345" s="111"/>
      <c r="S2345" s="111"/>
      <c r="T2345" s="111"/>
      <c r="U2345" s="111"/>
      <c r="V2345" s="111"/>
      <c r="W2345" s="111"/>
      <c r="X2345" s="111"/>
      <c r="Y2345" s="111"/>
      <c r="Z2345" s="111" t="s">
        <v>13394</v>
      </c>
      <c r="AA2345" s="124">
        <v>7.5</v>
      </c>
      <c r="AB2345" s="125">
        <f>IF(Projects!$AI2345="Electrolysis",
AA2345/VLOOKUP(G2345,ElectrolysisConvF,3,FALSE),
AC2345*10^6/(H2dens*HoursInYear))</f>
        <v>1442.307692</v>
      </c>
      <c r="AC2345" s="126">
        <f t="shared" si="436"/>
        <v>1.124480769</v>
      </c>
      <c r="AD2345" s="125"/>
      <c r="AE2345" s="125">
        <f t="shared" si="435"/>
        <v>1442.307692</v>
      </c>
      <c r="AF2345" s="127" t="s">
        <v>15399</v>
      </c>
      <c r="AG2345" s="127">
        <v>53.1880953342262</v>
      </c>
      <c r="AH2345" s="127">
        <v>-2.4431168749667</v>
      </c>
      <c r="AI2345" s="115" t="s">
        <v>12383</v>
      </c>
      <c r="AJ2345" s="116">
        <v>0.57</v>
      </c>
      <c r="AK2345" s="117"/>
      <c r="AL2345" s="117"/>
      <c r="AM2345" s="117"/>
      <c r="AN2345" s="117"/>
      <c r="AO2345" s="117"/>
    </row>
    <row r="2346" ht="36.0" customHeight="1">
      <c r="A2346" s="111">
        <v>3065.0</v>
      </c>
      <c r="B2346" s="111" t="s">
        <v>10348</v>
      </c>
      <c r="C2346" s="111" t="s">
        <v>7991</v>
      </c>
      <c r="D2346" s="111">
        <v>2028.0</v>
      </c>
      <c r="E2346" s="111"/>
      <c r="F2346" s="111" t="s">
        <v>12393</v>
      </c>
      <c r="G2346" s="111" t="s">
        <v>12226</v>
      </c>
      <c r="H2346" s="111"/>
      <c r="I2346" s="111" t="s">
        <v>12287</v>
      </c>
      <c r="J2346" s="111"/>
      <c r="K2346" s="111" t="s">
        <v>30</v>
      </c>
      <c r="L2346" s="111"/>
      <c r="M2346" s="111"/>
      <c r="N2346" s="111"/>
      <c r="O2346" s="111"/>
      <c r="P2346" s="111"/>
      <c r="Q2346" s="111"/>
      <c r="R2346" s="111"/>
      <c r="S2346" s="111"/>
      <c r="T2346" s="111"/>
      <c r="U2346" s="111"/>
      <c r="V2346" s="111"/>
      <c r="W2346" s="111"/>
      <c r="X2346" s="111"/>
      <c r="Y2346" s="111"/>
      <c r="Z2346" s="111"/>
      <c r="AA2346" s="126">
        <f>IF(OR(G2346="ALK",G2346="PEM",G2346="SOEC",G2346="Other Electrolysis"),
AB2346*VLOOKUP(G2346,ElectrolysisConvF,3,FALSE),
"")</f>
        <v>0</v>
      </c>
      <c r="AB2346" s="125"/>
      <c r="AC2346" s="125"/>
      <c r="AD2346" s="125"/>
      <c r="AE2346" s="125" t="str">
        <f t="shared" si="435"/>
        <v/>
      </c>
      <c r="AF2346" s="127" t="s">
        <v>15399</v>
      </c>
      <c r="AG2346" s="127">
        <v>53.351875067109</v>
      </c>
      <c r="AH2346" s="127">
        <v>-2.853197973472</v>
      </c>
      <c r="AI2346" s="115" t="s">
        <v>12383</v>
      </c>
      <c r="AJ2346" s="116">
        <v>0.57</v>
      </c>
      <c r="AK2346" s="117"/>
      <c r="AL2346" s="117"/>
      <c r="AM2346" s="117"/>
      <c r="AN2346" s="117"/>
      <c r="AO2346" s="117"/>
    </row>
    <row r="2347" ht="36.0" customHeight="1">
      <c r="A2347" s="111">
        <v>3066.0</v>
      </c>
      <c r="B2347" s="111" t="s">
        <v>10349</v>
      </c>
      <c r="C2347" s="111" t="s">
        <v>7991</v>
      </c>
      <c r="D2347" s="111">
        <v>2026.0</v>
      </c>
      <c r="E2347" s="111"/>
      <c r="F2347" s="111" t="s">
        <v>12393</v>
      </c>
      <c r="G2347" s="111" t="s">
        <v>12226</v>
      </c>
      <c r="H2347" s="111"/>
      <c r="I2347" s="111" t="s">
        <v>12287</v>
      </c>
      <c r="J2347" s="111"/>
      <c r="K2347" s="111" t="s">
        <v>30</v>
      </c>
      <c r="L2347" s="111"/>
      <c r="M2347" s="111"/>
      <c r="N2347" s="111"/>
      <c r="O2347" s="111"/>
      <c r="P2347" s="111">
        <v>1.0</v>
      </c>
      <c r="Q2347" s="111"/>
      <c r="R2347" s="111"/>
      <c r="S2347" s="111"/>
      <c r="T2347" s="111"/>
      <c r="U2347" s="111"/>
      <c r="V2347" s="111"/>
      <c r="W2347" s="111"/>
      <c r="X2347" s="111"/>
      <c r="Y2347" s="111"/>
      <c r="Z2347" s="111" t="s">
        <v>13394</v>
      </c>
      <c r="AA2347" s="124">
        <v>7.5</v>
      </c>
      <c r="AB2347" s="125">
        <f>IF(Projects!$AI2347="Electrolysis",
AA2347/VLOOKUP(G2347,ElectrolysisConvF,3,FALSE),
AC2347*10^6/(H2dens*HoursInYear))</f>
        <v>1442.307692</v>
      </c>
      <c r="AC2347" s="126">
        <f t="shared" ref="AC2347:AC2349" si="437">AB2347*H2dens*HoursInYear/10^6</f>
        <v>1.124480769</v>
      </c>
      <c r="AD2347" s="125"/>
      <c r="AE2347" s="125">
        <f t="shared" si="435"/>
        <v>1442.307692</v>
      </c>
      <c r="AF2347" s="127" t="s">
        <v>15399</v>
      </c>
      <c r="AG2347" s="127">
        <v>53.4567697111173</v>
      </c>
      <c r="AH2347" s="127">
        <v>-2.70563871293231</v>
      </c>
      <c r="AI2347" s="115" t="s">
        <v>12383</v>
      </c>
      <c r="AJ2347" s="116">
        <v>0.57</v>
      </c>
      <c r="AK2347" s="117"/>
      <c r="AL2347" s="117"/>
      <c r="AM2347" s="117"/>
      <c r="AN2347" s="117"/>
      <c r="AO2347" s="117"/>
    </row>
    <row r="2348" ht="36.0" customHeight="1">
      <c r="A2348" s="111">
        <v>3067.0</v>
      </c>
      <c r="B2348" s="111" t="s">
        <v>10350</v>
      </c>
      <c r="C2348" s="111" t="s">
        <v>7991</v>
      </c>
      <c r="D2348" s="111">
        <v>2026.0</v>
      </c>
      <c r="E2348" s="111"/>
      <c r="F2348" s="111" t="s">
        <v>12393</v>
      </c>
      <c r="G2348" s="111" t="s">
        <v>12226</v>
      </c>
      <c r="H2348" s="111"/>
      <c r="I2348" s="111" t="s">
        <v>12287</v>
      </c>
      <c r="J2348" s="111"/>
      <c r="K2348" s="111" t="s">
        <v>30</v>
      </c>
      <c r="L2348" s="111"/>
      <c r="M2348" s="111"/>
      <c r="N2348" s="111"/>
      <c r="O2348" s="111"/>
      <c r="P2348" s="111"/>
      <c r="Q2348" s="111"/>
      <c r="R2348" s="111"/>
      <c r="S2348" s="111"/>
      <c r="T2348" s="111"/>
      <c r="U2348" s="111"/>
      <c r="V2348" s="111"/>
      <c r="W2348" s="111"/>
      <c r="X2348" s="111"/>
      <c r="Y2348" s="111"/>
      <c r="Z2348" s="111" t="s">
        <v>13394</v>
      </c>
      <c r="AA2348" s="124">
        <v>7.5</v>
      </c>
      <c r="AB2348" s="125">
        <f>IF(Projects!$AI2348="Electrolysis",
AA2348/VLOOKUP(G2348,ElectrolysisConvF,3,FALSE),
AC2348*10^6/(H2dens*HoursInYear))</f>
        <v>1442.307692</v>
      </c>
      <c r="AC2348" s="126">
        <f t="shared" si="437"/>
        <v>1.124480769</v>
      </c>
      <c r="AD2348" s="125"/>
      <c r="AE2348" s="125">
        <f t="shared" si="435"/>
        <v>1442.307692</v>
      </c>
      <c r="AF2348" s="127" t="s">
        <v>15399</v>
      </c>
      <c r="AG2348" s="127">
        <v>53.4496545797728</v>
      </c>
      <c r="AH2348" s="127">
        <v>-2.31191090858402</v>
      </c>
      <c r="AI2348" s="115" t="s">
        <v>12383</v>
      </c>
      <c r="AJ2348" s="116">
        <v>0.57</v>
      </c>
      <c r="AK2348" s="117"/>
      <c r="AL2348" s="117"/>
      <c r="AM2348" s="117"/>
      <c r="AN2348" s="117"/>
      <c r="AO2348" s="117"/>
    </row>
    <row r="2349" ht="36.0" customHeight="1">
      <c r="A2349" s="111">
        <v>3068.0</v>
      </c>
      <c r="B2349" s="111" t="s">
        <v>10351</v>
      </c>
      <c r="C2349" s="111" t="s">
        <v>7991</v>
      </c>
      <c r="D2349" s="111">
        <v>2026.0</v>
      </c>
      <c r="E2349" s="111"/>
      <c r="F2349" s="111" t="s">
        <v>12393</v>
      </c>
      <c r="G2349" s="111" t="s">
        <v>12226</v>
      </c>
      <c r="H2349" s="111"/>
      <c r="I2349" s="111" t="s">
        <v>12287</v>
      </c>
      <c r="J2349" s="111"/>
      <c r="K2349" s="111" t="s">
        <v>30</v>
      </c>
      <c r="L2349" s="111"/>
      <c r="M2349" s="111"/>
      <c r="N2349" s="111"/>
      <c r="O2349" s="111"/>
      <c r="P2349" s="111">
        <v>1.0</v>
      </c>
      <c r="Q2349" s="111"/>
      <c r="R2349" s="111"/>
      <c r="S2349" s="111"/>
      <c r="T2349" s="111"/>
      <c r="U2349" s="111"/>
      <c r="V2349" s="111"/>
      <c r="W2349" s="111"/>
      <c r="X2349" s="111"/>
      <c r="Y2349" s="111"/>
      <c r="Z2349" s="111" t="s">
        <v>13394</v>
      </c>
      <c r="AA2349" s="124">
        <v>7.5</v>
      </c>
      <c r="AB2349" s="125">
        <f>IF(Projects!$AI2349="Electrolysis",
AA2349/VLOOKUP(G2349,ElectrolysisConvF,3,FALSE),
AC2349*10^6/(H2dens*HoursInYear))</f>
        <v>1442.307692</v>
      </c>
      <c r="AC2349" s="126">
        <f t="shared" si="437"/>
        <v>1.124480769</v>
      </c>
      <c r="AD2349" s="125"/>
      <c r="AE2349" s="125">
        <f t="shared" si="435"/>
        <v>1442.307692</v>
      </c>
      <c r="AF2349" s="127" t="s">
        <v>15399</v>
      </c>
      <c r="AG2349" s="127">
        <v>53.2653003446884</v>
      </c>
      <c r="AH2349" s="127">
        <v>-2.53129802765744</v>
      </c>
      <c r="AI2349" s="115" t="s">
        <v>12383</v>
      </c>
      <c r="AJ2349" s="116">
        <v>0.57</v>
      </c>
      <c r="AK2349" s="117"/>
      <c r="AL2349" s="117"/>
      <c r="AM2349" s="117"/>
      <c r="AN2349" s="117"/>
      <c r="AO2349" s="117"/>
    </row>
    <row r="2350" ht="36.0" customHeight="1">
      <c r="A2350" s="111">
        <v>3069.0</v>
      </c>
      <c r="B2350" s="111" t="s">
        <v>10352</v>
      </c>
      <c r="C2350" s="111" t="s">
        <v>7991</v>
      </c>
      <c r="D2350" s="111">
        <v>2030.0</v>
      </c>
      <c r="E2350" s="111"/>
      <c r="F2350" s="111" t="s">
        <v>12393</v>
      </c>
      <c r="G2350" s="111" t="s">
        <v>12226</v>
      </c>
      <c r="H2350" s="111"/>
      <c r="I2350" s="111" t="s">
        <v>12287</v>
      </c>
      <c r="J2350" s="111"/>
      <c r="K2350" s="111" t="s">
        <v>30</v>
      </c>
      <c r="L2350" s="111"/>
      <c r="M2350" s="111"/>
      <c r="N2350" s="111"/>
      <c r="O2350" s="111"/>
      <c r="P2350" s="111"/>
      <c r="Q2350" s="111"/>
      <c r="R2350" s="111"/>
      <c r="S2350" s="111"/>
      <c r="T2350" s="111"/>
      <c r="U2350" s="111"/>
      <c r="V2350" s="111"/>
      <c r="W2350" s="111"/>
      <c r="X2350" s="111"/>
      <c r="Y2350" s="111"/>
      <c r="Z2350" s="111"/>
      <c r="AA2350" s="126">
        <f>IF(OR(G2350="ALK",G2350="PEM",G2350="SOEC",G2350="Other Electrolysis"),
AB2350*VLOOKUP(G2350,ElectrolysisConvF,3,FALSE),
"")</f>
        <v>0</v>
      </c>
      <c r="AB2350" s="125"/>
      <c r="AC2350" s="125"/>
      <c r="AD2350" s="125"/>
      <c r="AE2350" s="125" t="str">
        <f t="shared" si="435"/>
        <v/>
      </c>
      <c r="AF2350" s="127" t="s">
        <v>15399</v>
      </c>
      <c r="AG2350" s="127">
        <v>53.0403275893182</v>
      </c>
      <c r="AH2350" s="127">
        <v>-3.01100281705849</v>
      </c>
      <c r="AI2350" s="115" t="s">
        <v>12383</v>
      </c>
      <c r="AJ2350" s="116">
        <v>0.57</v>
      </c>
      <c r="AK2350" s="117"/>
      <c r="AL2350" s="117"/>
      <c r="AM2350" s="117"/>
      <c r="AN2350" s="117"/>
      <c r="AO2350" s="117"/>
    </row>
    <row r="2351" ht="36.0" customHeight="1">
      <c r="A2351" s="111">
        <v>3070.0</v>
      </c>
      <c r="B2351" s="111" t="s">
        <v>10353</v>
      </c>
      <c r="C2351" s="111" t="s">
        <v>7991</v>
      </c>
      <c r="D2351" s="111">
        <v>2028.0</v>
      </c>
      <c r="E2351" s="111"/>
      <c r="F2351" s="111" t="s">
        <v>12399</v>
      </c>
      <c r="G2351" s="111" t="s">
        <v>12381</v>
      </c>
      <c r="H2351" s="111" t="s">
        <v>12230</v>
      </c>
      <c r="I2351" s="111" t="s">
        <v>12759</v>
      </c>
      <c r="J2351" s="111"/>
      <c r="K2351" s="111" t="s">
        <v>30</v>
      </c>
      <c r="L2351" s="111"/>
      <c r="M2351" s="111"/>
      <c r="N2351" s="111"/>
      <c r="O2351" s="111"/>
      <c r="P2351" s="111"/>
      <c r="Q2351" s="111"/>
      <c r="R2351" s="111"/>
      <c r="S2351" s="111"/>
      <c r="T2351" s="111"/>
      <c r="U2351" s="111"/>
      <c r="V2351" s="111"/>
      <c r="W2351" s="111">
        <v>1.0</v>
      </c>
      <c r="X2351" s="111"/>
      <c r="Y2351" s="111"/>
      <c r="Z2351" s="111" t="s">
        <v>12777</v>
      </c>
      <c r="AA2351" s="124">
        <v>1000.0</v>
      </c>
      <c r="AB2351" s="125">
        <f>IF(Projects!$AI2351="Electrolysis",
AA2351/VLOOKUP(G2351,ElectrolysisConvF,3,FALSE),
AC2351*10^6/(H2dens*HoursInYear))</f>
        <v>222222.2222</v>
      </c>
      <c r="AC2351" s="126">
        <f t="shared" ref="AC2351:AC2401" si="438">AB2351*H2dens*HoursInYear/10^6</f>
        <v>173.2533333</v>
      </c>
      <c r="AD2351" s="125"/>
      <c r="AE2351" s="125">
        <f t="shared" si="435"/>
        <v>222222.2222</v>
      </c>
      <c r="AF2351" s="127" t="s">
        <v>15130</v>
      </c>
      <c r="AG2351" s="127">
        <v>54.7817312325722</v>
      </c>
      <c r="AH2351" s="127">
        <v>-1.35412937691351</v>
      </c>
      <c r="AI2351" s="115" t="s">
        <v>12383</v>
      </c>
      <c r="AJ2351" s="116">
        <v>0.7</v>
      </c>
      <c r="AK2351" s="117"/>
      <c r="AL2351" s="117"/>
      <c r="AM2351" s="117"/>
      <c r="AN2351" s="117"/>
      <c r="AO2351" s="117"/>
    </row>
    <row r="2352" ht="36.0" customHeight="1">
      <c r="A2352" s="111">
        <v>3071.0</v>
      </c>
      <c r="B2352" s="111" t="s">
        <v>10354</v>
      </c>
      <c r="C2352" s="111" t="s">
        <v>7991</v>
      </c>
      <c r="D2352" s="111">
        <v>2029.0</v>
      </c>
      <c r="E2352" s="111"/>
      <c r="F2352" s="111" t="s">
        <v>12397</v>
      </c>
      <c r="G2352" s="111" t="s">
        <v>12381</v>
      </c>
      <c r="H2352" s="111" t="s">
        <v>12230</v>
      </c>
      <c r="I2352" s="111" t="s">
        <v>12759</v>
      </c>
      <c r="J2352" s="111"/>
      <c r="K2352" s="111" t="s">
        <v>30</v>
      </c>
      <c r="L2352" s="111">
        <v>1.0</v>
      </c>
      <c r="M2352" s="111"/>
      <c r="N2352" s="111"/>
      <c r="O2352" s="111"/>
      <c r="P2352" s="111"/>
      <c r="Q2352" s="111"/>
      <c r="R2352" s="111"/>
      <c r="S2352" s="111"/>
      <c r="T2352" s="111"/>
      <c r="U2352" s="111"/>
      <c r="V2352" s="111"/>
      <c r="W2352" s="111"/>
      <c r="X2352" s="111"/>
      <c r="Y2352" s="111"/>
      <c r="Z2352" s="111" t="s">
        <v>12548</v>
      </c>
      <c r="AA2352" s="124">
        <v>120.0</v>
      </c>
      <c r="AB2352" s="125">
        <f>IF(Projects!$AI2352="Electrolysis",
AA2352/VLOOKUP(G2352,ElectrolysisConvF,3,FALSE),
AC2352*10^6/(H2dens*HoursInYear))</f>
        <v>26666.66667</v>
      </c>
      <c r="AC2352" s="126">
        <f t="shared" si="438"/>
        <v>20.7904</v>
      </c>
      <c r="AD2352" s="125"/>
      <c r="AE2352" s="125">
        <f t="shared" si="435"/>
        <v>26666.66667</v>
      </c>
      <c r="AF2352" s="127" t="s">
        <v>15400</v>
      </c>
      <c r="AG2352" s="127">
        <v>53.6532672740377</v>
      </c>
      <c r="AH2352" s="127">
        <v>-0.228541170604675</v>
      </c>
      <c r="AI2352" s="115" t="s">
        <v>12383</v>
      </c>
      <c r="AJ2352" s="116">
        <v>0.7</v>
      </c>
      <c r="AK2352" s="117"/>
      <c r="AL2352" s="117"/>
      <c r="AM2352" s="117"/>
      <c r="AN2352" s="117"/>
      <c r="AO2352" s="117"/>
    </row>
    <row r="2353" ht="36.0" customHeight="1">
      <c r="A2353" s="111">
        <v>3072.0</v>
      </c>
      <c r="B2353" s="111" t="s">
        <v>10355</v>
      </c>
      <c r="C2353" s="111" t="s">
        <v>7991</v>
      </c>
      <c r="D2353" s="111">
        <v>2026.0</v>
      </c>
      <c r="E2353" s="111"/>
      <c r="F2353" s="111" t="s">
        <v>12393</v>
      </c>
      <c r="G2353" s="111" t="s">
        <v>12381</v>
      </c>
      <c r="H2353" s="111" t="s">
        <v>12230</v>
      </c>
      <c r="I2353" s="111" t="s">
        <v>12287</v>
      </c>
      <c r="J2353" s="111"/>
      <c r="K2353" s="111" t="s">
        <v>30</v>
      </c>
      <c r="L2353" s="111"/>
      <c r="M2353" s="111"/>
      <c r="N2353" s="111"/>
      <c r="O2353" s="111"/>
      <c r="P2353" s="111"/>
      <c r="Q2353" s="111">
        <v>1.0</v>
      </c>
      <c r="R2353" s="111"/>
      <c r="S2353" s="111"/>
      <c r="T2353" s="111"/>
      <c r="U2353" s="111"/>
      <c r="V2353" s="111"/>
      <c r="W2353" s="111"/>
      <c r="X2353" s="111"/>
      <c r="Y2353" s="111"/>
      <c r="Z2353" s="111" t="s">
        <v>15401</v>
      </c>
      <c r="AA2353" s="124">
        <v>9.3</v>
      </c>
      <c r="AB2353" s="125">
        <f>IF(Projects!$AI2353="Electrolysis",
AA2353/VLOOKUP(G2353,ElectrolysisConvF,3,FALSE),
AC2353*10^6/(H2dens*HoursInYear))</f>
        <v>2066.666667</v>
      </c>
      <c r="AC2353" s="126">
        <f t="shared" si="438"/>
        <v>1.611256</v>
      </c>
      <c r="AD2353" s="125"/>
      <c r="AE2353" s="125">
        <f t="shared" si="435"/>
        <v>2066.666667</v>
      </c>
      <c r="AF2353" s="127"/>
      <c r="AG2353" s="127">
        <v>53.0787214741014</v>
      </c>
      <c r="AH2353" s="127">
        <v>-0.791358689326101</v>
      </c>
      <c r="AI2353" s="115" t="s">
        <v>12383</v>
      </c>
      <c r="AJ2353" s="116">
        <v>0.57</v>
      </c>
      <c r="AK2353" s="117"/>
      <c r="AL2353" s="117"/>
      <c r="AM2353" s="117"/>
      <c r="AN2353" s="117"/>
      <c r="AO2353" s="117"/>
    </row>
    <row r="2354" ht="36.0" customHeight="1">
      <c r="A2354" s="111">
        <v>3073.0</v>
      </c>
      <c r="B2354" s="111" t="s">
        <v>10356</v>
      </c>
      <c r="C2354" s="111" t="s">
        <v>7991</v>
      </c>
      <c r="D2354" s="111">
        <v>2030.0</v>
      </c>
      <c r="E2354" s="111"/>
      <c r="F2354" s="111" t="s">
        <v>12397</v>
      </c>
      <c r="G2354" s="111" t="s">
        <v>12224</v>
      </c>
      <c r="H2354" s="111"/>
      <c r="I2354" s="111" t="s">
        <v>12287</v>
      </c>
      <c r="J2354" s="111"/>
      <c r="K2354" s="111" t="s">
        <v>30</v>
      </c>
      <c r="L2354" s="111"/>
      <c r="M2354" s="111"/>
      <c r="N2354" s="111"/>
      <c r="O2354" s="111"/>
      <c r="P2354" s="111"/>
      <c r="Q2354" s="111">
        <v>1.0</v>
      </c>
      <c r="R2354" s="111"/>
      <c r="S2354" s="111"/>
      <c r="T2354" s="111"/>
      <c r="U2354" s="111"/>
      <c r="V2354" s="111"/>
      <c r="W2354" s="111"/>
      <c r="X2354" s="111"/>
      <c r="Y2354" s="111"/>
      <c r="Z2354" s="111" t="s">
        <v>13899</v>
      </c>
      <c r="AA2354" s="126">
        <f>24-AA1317</f>
        <v>-402.7858829</v>
      </c>
      <c r="AB2354" s="125">
        <f>IF(Projects!$AI2354="Electrolysis",
AA2354/VLOOKUP(G2354,ElectrolysisConvF,3,FALSE),
AC2354*10^6/(H2dens*HoursInYear))</f>
        <v>-87562.14845</v>
      </c>
      <c r="AC2354" s="126">
        <f t="shared" si="438"/>
        <v>-68.26695342</v>
      </c>
      <c r="AD2354" s="125"/>
      <c r="AE2354" s="125">
        <f t="shared" si="435"/>
        <v>-87562.14845</v>
      </c>
      <c r="AF2354" s="127"/>
      <c r="AG2354" s="127">
        <v>57.477772</v>
      </c>
      <c r="AH2354" s="127">
        <v>-4.224721</v>
      </c>
      <c r="AI2354" s="115" t="s">
        <v>12383</v>
      </c>
      <c r="AJ2354" s="116">
        <v>0.57</v>
      </c>
      <c r="AK2354" s="117"/>
      <c r="AL2354" s="117"/>
      <c r="AM2354" s="117"/>
      <c r="AN2354" s="117"/>
      <c r="AO2354" s="117"/>
    </row>
    <row r="2355" ht="36.0" customHeight="1">
      <c r="A2355" s="111">
        <v>3074.0</v>
      </c>
      <c r="B2355" s="111" t="s">
        <v>425</v>
      </c>
      <c r="C2355" s="111" t="s">
        <v>7991</v>
      </c>
      <c r="D2355" s="111">
        <v>2025.0</v>
      </c>
      <c r="E2355" s="111"/>
      <c r="F2355" s="111" t="s">
        <v>12393</v>
      </c>
      <c r="G2355" s="111" t="s">
        <v>12381</v>
      </c>
      <c r="H2355" s="111" t="s">
        <v>12230</v>
      </c>
      <c r="I2355" s="111" t="s">
        <v>12394</v>
      </c>
      <c r="J2355" s="111" t="s">
        <v>12293</v>
      </c>
      <c r="K2355" s="111" t="s">
        <v>30</v>
      </c>
      <c r="L2355" s="111"/>
      <c r="M2355" s="111"/>
      <c r="N2355" s="111"/>
      <c r="O2355" s="111"/>
      <c r="P2355" s="111"/>
      <c r="Q2355" s="111"/>
      <c r="R2355" s="111"/>
      <c r="S2355" s="111"/>
      <c r="T2355" s="111"/>
      <c r="U2355" s="111"/>
      <c r="V2355" s="111"/>
      <c r="W2355" s="111"/>
      <c r="X2355" s="111"/>
      <c r="Y2355" s="111"/>
      <c r="Z2355" s="111" t="s">
        <v>15402</v>
      </c>
      <c r="AA2355" s="124">
        <v>2.0</v>
      </c>
      <c r="AB2355" s="125">
        <f>IF(Projects!$AI2355="Electrolysis",
AA2355/VLOOKUP(G2355,ElectrolysisConvF,3,FALSE),
AC2355*10^6/(H2dens*HoursInYear))</f>
        <v>444.4444444</v>
      </c>
      <c r="AC2355" s="126">
        <f t="shared" si="438"/>
        <v>0.3465066667</v>
      </c>
      <c r="AD2355" s="125"/>
      <c r="AE2355" s="125">
        <f t="shared" si="435"/>
        <v>444.4444444</v>
      </c>
      <c r="AF2355" s="127"/>
      <c r="AG2355" s="127">
        <v>52.4743419462088</v>
      </c>
      <c r="AH2355" s="127">
        <v>1.75848016837078</v>
      </c>
      <c r="AI2355" s="115" t="s">
        <v>12383</v>
      </c>
      <c r="AJ2355" s="116">
        <v>0.55</v>
      </c>
      <c r="AK2355" s="117"/>
      <c r="AL2355" s="117"/>
      <c r="AM2355" s="117"/>
      <c r="AN2355" s="117"/>
      <c r="AO2355" s="117"/>
    </row>
    <row r="2356" ht="36.75" customHeight="1">
      <c r="A2356" s="111">
        <v>3075.0</v>
      </c>
      <c r="B2356" s="111" t="s">
        <v>10357</v>
      </c>
      <c r="C2356" s="111" t="s">
        <v>7991</v>
      </c>
      <c r="D2356" s="111">
        <v>2026.0</v>
      </c>
      <c r="E2356" s="111"/>
      <c r="F2356" s="111" t="s">
        <v>12399</v>
      </c>
      <c r="G2356" s="111" t="s">
        <v>12381</v>
      </c>
      <c r="H2356" s="111" t="s">
        <v>12230</v>
      </c>
      <c r="I2356" s="111" t="s">
        <v>12759</v>
      </c>
      <c r="J2356" s="111"/>
      <c r="K2356" s="111" t="s">
        <v>30</v>
      </c>
      <c r="L2356" s="111"/>
      <c r="M2356" s="111"/>
      <c r="N2356" s="111"/>
      <c r="O2356" s="111"/>
      <c r="P2356" s="111">
        <v>1.0</v>
      </c>
      <c r="Q2356" s="111">
        <v>1.0</v>
      </c>
      <c r="R2356" s="111"/>
      <c r="S2356" s="111"/>
      <c r="T2356" s="111"/>
      <c r="U2356" s="111"/>
      <c r="V2356" s="111"/>
      <c r="W2356" s="111"/>
      <c r="X2356" s="111"/>
      <c r="Y2356" s="111"/>
      <c r="Z2356" s="111" t="s">
        <v>15403</v>
      </c>
      <c r="AA2356" s="124">
        <v>5.0</v>
      </c>
      <c r="AB2356" s="125">
        <f>IF(Projects!$AI2356="Electrolysis",
AA2356/VLOOKUP(G2356,ElectrolysisConvF,3,FALSE),
AC2356*10^6/(H2dens*HoursInYear))</f>
        <v>1111.111111</v>
      </c>
      <c r="AC2356" s="126">
        <f t="shared" si="438"/>
        <v>0.8662666667</v>
      </c>
      <c r="AD2356" s="125"/>
      <c r="AE2356" s="125">
        <f t="shared" si="435"/>
        <v>1111.111111</v>
      </c>
      <c r="AF2356" s="127" t="s">
        <v>15404</v>
      </c>
      <c r="AG2356" s="127">
        <v>54.1418915058015</v>
      </c>
      <c r="AH2356" s="127">
        <v>-7.58792519655979</v>
      </c>
      <c r="AI2356" s="115" t="s">
        <v>12383</v>
      </c>
      <c r="AJ2356" s="116">
        <v>0.7</v>
      </c>
      <c r="AK2356" s="117"/>
      <c r="AL2356" s="117"/>
      <c r="AM2356" s="117"/>
      <c r="AN2356" s="117"/>
      <c r="AO2356" s="117"/>
    </row>
    <row r="2357" ht="36.75" customHeight="1">
      <c r="A2357" s="111">
        <v>3076.0</v>
      </c>
      <c r="B2357" s="111" t="s">
        <v>10358</v>
      </c>
      <c r="C2357" s="111" t="s">
        <v>7991</v>
      </c>
      <c r="D2357" s="111">
        <v>2028.0</v>
      </c>
      <c r="E2357" s="111"/>
      <c r="F2357" s="111" t="s">
        <v>12399</v>
      </c>
      <c r="G2357" s="111" t="s">
        <v>12381</v>
      </c>
      <c r="H2357" s="111" t="s">
        <v>12230</v>
      </c>
      <c r="I2357" s="111" t="s">
        <v>12287</v>
      </c>
      <c r="J2357" s="111"/>
      <c r="K2357" s="111" t="s">
        <v>30</v>
      </c>
      <c r="L2357" s="111"/>
      <c r="M2357" s="111"/>
      <c r="N2357" s="111"/>
      <c r="O2357" s="111"/>
      <c r="P2357" s="111">
        <v>1.0</v>
      </c>
      <c r="Q2357" s="111">
        <v>1.0</v>
      </c>
      <c r="R2357" s="111"/>
      <c r="S2357" s="111"/>
      <c r="T2357" s="111"/>
      <c r="U2357" s="111"/>
      <c r="V2357" s="111"/>
      <c r="W2357" s="111"/>
      <c r="X2357" s="111"/>
      <c r="Y2357" s="111"/>
      <c r="Z2357" s="111" t="s">
        <v>15405</v>
      </c>
      <c r="AA2357" s="124">
        <v>100.0</v>
      </c>
      <c r="AB2357" s="125">
        <f>IF(Projects!$AI2357="Electrolysis",
AA2357/VLOOKUP(G2357,ElectrolysisConvF,3,FALSE),
AC2357*10^6/(H2dens*HoursInYear))</f>
        <v>22222.22222</v>
      </c>
      <c r="AC2357" s="126">
        <f t="shared" si="438"/>
        <v>17.32533333</v>
      </c>
      <c r="AD2357" s="125"/>
      <c r="AE2357" s="125">
        <f t="shared" si="435"/>
        <v>22222.22222</v>
      </c>
      <c r="AF2357" s="127" t="s">
        <v>15406</v>
      </c>
      <c r="AG2357" s="127">
        <v>53.7688072228231</v>
      </c>
      <c r="AH2357" s="127">
        <v>-0.326574707802377</v>
      </c>
      <c r="AI2357" s="115" t="s">
        <v>12383</v>
      </c>
      <c r="AJ2357" s="116">
        <v>0.57</v>
      </c>
      <c r="AK2357" s="117"/>
      <c r="AL2357" s="117"/>
      <c r="AM2357" s="117"/>
      <c r="AN2357" s="117"/>
      <c r="AO2357" s="117"/>
    </row>
    <row r="2358" ht="36.75" customHeight="1">
      <c r="A2358" s="111">
        <v>3077.0</v>
      </c>
      <c r="B2358" s="111" t="s">
        <v>10359</v>
      </c>
      <c r="C2358" s="111" t="s">
        <v>7991</v>
      </c>
      <c r="D2358" s="111">
        <v>2025.0</v>
      </c>
      <c r="E2358" s="111"/>
      <c r="F2358" s="111" t="s">
        <v>12393</v>
      </c>
      <c r="G2358" s="111" t="s">
        <v>12381</v>
      </c>
      <c r="H2358" s="111" t="s">
        <v>12230</v>
      </c>
      <c r="I2358" s="111" t="s">
        <v>12287</v>
      </c>
      <c r="J2358" s="111"/>
      <c r="K2358" s="111" t="s">
        <v>30</v>
      </c>
      <c r="L2358" s="111"/>
      <c r="M2358" s="111"/>
      <c r="N2358" s="111"/>
      <c r="O2358" s="111"/>
      <c r="P2358" s="111"/>
      <c r="Q2358" s="111"/>
      <c r="R2358" s="111"/>
      <c r="S2358" s="111"/>
      <c r="T2358" s="111"/>
      <c r="U2358" s="111"/>
      <c r="V2358" s="111"/>
      <c r="W2358" s="111"/>
      <c r="X2358" s="111"/>
      <c r="Y2358" s="111"/>
      <c r="Z2358" s="111" t="s">
        <v>15407</v>
      </c>
      <c r="AA2358" s="124">
        <v>50.0</v>
      </c>
      <c r="AB2358" s="125">
        <f>IF(Projects!$AI2358="Electrolysis",
AA2358/VLOOKUP(G2358,ElectrolysisConvF,3,FALSE),
AC2358*10^6/(H2dens*HoursInYear))</f>
        <v>11111.11111</v>
      </c>
      <c r="AC2358" s="126">
        <f t="shared" si="438"/>
        <v>8.662666667</v>
      </c>
      <c r="AD2358" s="125"/>
      <c r="AE2358" s="125">
        <f t="shared" si="435"/>
        <v>11111.11111</v>
      </c>
      <c r="AF2358" s="127"/>
      <c r="AG2358" s="127">
        <v>58.2118548658977</v>
      </c>
      <c r="AH2358" s="127">
        <v>-6.38074074627379</v>
      </c>
      <c r="AI2358" s="115" t="s">
        <v>12383</v>
      </c>
      <c r="AJ2358" s="116">
        <v>0.57</v>
      </c>
      <c r="AK2358" s="117"/>
      <c r="AL2358" s="117"/>
      <c r="AM2358" s="117"/>
      <c r="AN2358" s="117"/>
      <c r="AO2358" s="117"/>
    </row>
    <row r="2359" ht="36.75" customHeight="1">
      <c r="A2359" s="111">
        <v>3078.0</v>
      </c>
      <c r="B2359" s="111" t="s">
        <v>10360</v>
      </c>
      <c r="C2359" s="111" t="s">
        <v>7991</v>
      </c>
      <c r="D2359" s="111">
        <v>2025.0</v>
      </c>
      <c r="E2359" s="111"/>
      <c r="F2359" s="111" t="s">
        <v>12393</v>
      </c>
      <c r="G2359" s="111" t="s">
        <v>12381</v>
      </c>
      <c r="H2359" s="111" t="s">
        <v>12230</v>
      </c>
      <c r="I2359" s="111" t="s">
        <v>12394</v>
      </c>
      <c r="J2359" s="111" t="s">
        <v>12296</v>
      </c>
      <c r="K2359" s="111" t="s">
        <v>30</v>
      </c>
      <c r="L2359" s="111"/>
      <c r="M2359" s="111"/>
      <c r="N2359" s="111"/>
      <c r="O2359" s="111"/>
      <c r="P2359" s="111">
        <v>1.0</v>
      </c>
      <c r="Q2359" s="111"/>
      <c r="R2359" s="111"/>
      <c r="S2359" s="111"/>
      <c r="T2359" s="111"/>
      <c r="U2359" s="111"/>
      <c r="V2359" s="111"/>
      <c r="W2359" s="111"/>
      <c r="X2359" s="111"/>
      <c r="Y2359" s="111"/>
      <c r="Z2359" s="111" t="s">
        <v>15408</v>
      </c>
      <c r="AA2359" s="124">
        <v>17.2</v>
      </c>
      <c r="AB2359" s="125">
        <f>IF(Projects!$AI2359="Electrolysis",
AA2359/VLOOKUP(G2359,ElectrolysisConvF,3,FALSE),
AC2359*10^6/(H2dens*HoursInYear))</f>
        <v>3822.222222</v>
      </c>
      <c r="AC2359" s="126">
        <f t="shared" si="438"/>
        <v>2.979957333</v>
      </c>
      <c r="AD2359" s="125"/>
      <c r="AE2359" s="125">
        <f t="shared" si="435"/>
        <v>3822.222222</v>
      </c>
      <c r="AF2359" s="127"/>
      <c r="AG2359" s="127">
        <v>54.5867498663309</v>
      </c>
      <c r="AH2359" s="127">
        <v>-1.22874664648219</v>
      </c>
      <c r="AI2359" s="115" t="s">
        <v>12383</v>
      </c>
      <c r="AJ2359" s="116">
        <v>0.5</v>
      </c>
      <c r="AK2359" s="117"/>
      <c r="AL2359" s="117"/>
      <c r="AM2359" s="117"/>
      <c r="AN2359" s="117"/>
      <c r="AO2359" s="117"/>
    </row>
    <row r="2360" ht="36.75" customHeight="1">
      <c r="A2360" s="111">
        <v>3079.0</v>
      </c>
      <c r="B2360" s="111" t="s">
        <v>312</v>
      </c>
      <c r="C2360" s="111" t="s">
        <v>7991</v>
      </c>
      <c r="D2360" s="111">
        <v>2024.0</v>
      </c>
      <c r="E2360" s="111"/>
      <c r="F2360" s="111" t="s">
        <v>12393</v>
      </c>
      <c r="G2360" s="111" t="s">
        <v>12226</v>
      </c>
      <c r="H2360" s="111"/>
      <c r="I2360" s="111" t="s">
        <v>12394</v>
      </c>
      <c r="J2360" s="111" t="s">
        <v>12296</v>
      </c>
      <c r="K2360" s="111" t="s">
        <v>30</v>
      </c>
      <c r="L2360" s="111"/>
      <c r="M2360" s="111"/>
      <c r="N2360" s="111"/>
      <c r="O2360" s="111"/>
      <c r="P2360" s="111"/>
      <c r="Q2360" s="111">
        <v>1.0</v>
      </c>
      <c r="R2360" s="111"/>
      <c r="S2360" s="111"/>
      <c r="T2360" s="111"/>
      <c r="U2360" s="111"/>
      <c r="V2360" s="111"/>
      <c r="W2360" s="111"/>
      <c r="X2360" s="111"/>
      <c r="Y2360" s="111"/>
      <c r="Z2360" s="111" t="s">
        <v>12413</v>
      </c>
      <c r="AA2360" s="124">
        <v>2.5</v>
      </c>
      <c r="AB2360" s="125">
        <f>IF(Projects!$AI2360="Electrolysis",
AA2360/VLOOKUP(G2360,ElectrolysisConvF,3,FALSE),
AC2360*10^6/(H2dens*HoursInYear))</f>
        <v>480.7692308</v>
      </c>
      <c r="AC2360" s="126">
        <f t="shared" si="438"/>
        <v>0.3748269231</v>
      </c>
      <c r="AD2360" s="125"/>
      <c r="AE2360" s="125">
        <f t="shared" si="435"/>
        <v>480.7692308</v>
      </c>
      <c r="AF2360" s="127" t="s">
        <v>15409</v>
      </c>
      <c r="AG2360" s="127">
        <v>51.5930417525773</v>
      </c>
      <c r="AH2360" s="127">
        <v>-3.3365018152077</v>
      </c>
      <c r="AI2360" s="115" t="s">
        <v>12383</v>
      </c>
      <c r="AJ2360" s="116">
        <v>0.5</v>
      </c>
      <c r="AK2360" s="117"/>
      <c r="AL2360" s="117"/>
      <c r="AM2360" s="117"/>
      <c r="AN2360" s="117"/>
      <c r="AO2360" s="117"/>
    </row>
    <row r="2361" ht="36.75" customHeight="1">
      <c r="A2361" s="111">
        <v>3080.0</v>
      </c>
      <c r="B2361" s="111" t="s">
        <v>10361</v>
      </c>
      <c r="C2361" s="111" t="s">
        <v>7991</v>
      </c>
      <c r="D2361" s="111">
        <v>2030.0</v>
      </c>
      <c r="E2361" s="111"/>
      <c r="F2361" s="111" t="s">
        <v>12399</v>
      </c>
      <c r="G2361" s="111" t="s">
        <v>12381</v>
      </c>
      <c r="H2361" s="111" t="s">
        <v>12230</v>
      </c>
      <c r="I2361" s="111" t="s">
        <v>12406</v>
      </c>
      <c r="J2361" s="111"/>
      <c r="K2361" s="111" t="s">
        <v>12415</v>
      </c>
      <c r="L2361" s="111"/>
      <c r="M2361" s="111"/>
      <c r="N2361" s="111"/>
      <c r="O2361" s="111"/>
      <c r="P2361" s="111"/>
      <c r="Q2361" s="111">
        <v>1.0</v>
      </c>
      <c r="R2361" s="111"/>
      <c r="S2361" s="111"/>
      <c r="T2361" s="111"/>
      <c r="U2361" s="111"/>
      <c r="V2361" s="111"/>
      <c r="W2361" s="111"/>
      <c r="X2361" s="111"/>
      <c r="Y2361" s="111"/>
      <c r="Z2361" s="111" t="s">
        <v>15410</v>
      </c>
      <c r="AA2361" s="124">
        <v>200.0</v>
      </c>
      <c r="AB2361" s="125">
        <f>IF(Projects!$AI2361="Electrolysis",
AA2361/VLOOKUP(G2361,ElectrolysisConvF,3,FALSE),
AC2361*10^6/(H2dens*HoursInYear))</f>
        <v>44444.44444</v>
      </c>
      <c r="AC2361" s="126">
        <f t="shared" si="438"/>
        <v>34.65066667</v>
      </c>
      <c r="AD2361" s="125"/>
      <c r="AE2361" s="125">
        <f t="shared" si="435"/>
        <v>44444.44444</v>
      </c>
      <c r="AF2361" s="127" t="s">
        <v>15411</v>
      </c>
      <c r="AG2361" s="127">
        <v>54.6121328485309</v>
      </c>
      <c r="AH2361" s="127">
        <v>-1.14706566336267</v>
      </c>
      <c r="AI2361" s="115" t="s">
        <v>12383</v>
      </c>
      <c r="AJ2361" s="116">
        <v>0.57</v>
      </c>
      <c r="AK2361" s="117"/>
      <c r="AL2361" s="117"/>
      <c r="AM2361" s="117"/>
      <c r="AN2361" s="117"/>
      <c r="AO2361" s="117"/>
    </row>
    <row r="2362" ht="36.75" customHeight="1">
      <c r="A2362" s="111">
        <v>3081.0</v>
      </c>
      <c r="B2362" s="111" t="s">
        <v>10362</v>
      </c>
      <c r="C2362" s="111" t="s">
        <v>7991</v>
      </c>
      <c r="D2362" s="111">
        <v>2030.0</v>
      </c>
      <c r="E2362" s="111"/>
      <c r="F2362" s="111" t="s">
        <v>12399</v>
      </c>
      <c r="G2362" s="111" t="s">
        <v>12381</v>
      </c>
      <c r="H2362" s="111" t="s">
        <v>12230</v>
      </c>
      <c r="I2362" s="111" t="s">
        <v>12287</v>
      </c>
      <c r="J2362" s="111"/>
      <c r="K2362" s="111" t="s">
        <v>30</v>
      </c>
      <c r="L2362" s="111"/>
      <c r="M2362" s="111"/>
      <c r="N2362" s="111"/>
      <c r="O2362" s="111"/>
      <c r="P2362" s="111"/>
      <c r="Q2362" s="111">
        <v>1.0</v>
      </c>
      <c r="R2362" s="111"/>
      <c r="S2362" s="111"/>
      <c r="T2362" s="111"/>
      <c r="U2362" s="111"/>
      <c r="V2362" s="111"/>
      <c r="W2362" s="111"/>
      <c r="X2362" s="111"/>
      <c r="Y2362" s="111"/>
      <c r="Z2362" s="111" t="s">
        <v>15412</v>
      </c>
      <c r="AA2362" s="124">
        <v>10.0</v>
      </c>
      <c r="AB2362" s="125">
        <f>IF(Projects!$AI2362="Electrolysis",
AA2362/VLOOKUP(G2362,ElectrolysisConvF,3,FALSE),
AC2362*10^6/(H2dens*HoursInYear))</f>
        <v>2222.222222</v>
      </c>
      <c r="AC2362" s="126">
        <f t="shared" si="438"/>
        <v>1.732533333</v>
      </c>
      <c r="AD2362" s="125"/>
      <c r="AE2362" s="125">
        <f t="shared" si="435"/>
        <v>2222.222222</v>
      </c>
      <c r="AF2362" s="127"/>
      <c r="AG2362" s="127">
        <v>52.2127249861766</v>
      </c>
      <c r="AH2362" s="127">
        <v>1.6195398750286</v>
      </c>
      <c r="AI2362" s="115" t="s">
        <v>12383</v>
      </c>
      <c r="AJ2362" s="116">
        <v>0.57</v>
      </c>
      <c r="AK2362" s="117"/>
      <c r="AL2362" s="117"/>
      <c r="AM2362" s="117"/>
      <c r="AN2362" s="117"/>
      <c r="AO2362" s="117"/>
    </row>
    <row r="2363" ht="36.75" customHeight="1">
      <c r="A2363" s="111">
        <v>3082.0</v>
      </c>
      <c r="B2363" s="111" t="s">
        <v>10363</v>
      </c>
      <c r="C2363" s="111" t="s">
        <v>7991</v>
      </c>
      <c r="D2363" s="111">
        <v>2028.0</v>
      </c>
      <c r="E2363" s="111"/>
      <c r="F2363" s="111" t="s">
        <v>12393</v>
      </c>
      <c r="G2363" s="111" t="s">
        <v>12381</v>
      </c>
      <c r="H2363" s="111" t="s">
        <v>12230</v>
      </c>
      <c r="I2363" s="111" t="s">
        <v>12394</v>
      </c>
      <c r="J2363" s="111" t="s">
        <v>12295</v>
      </c>
      <c r="K2363" s="111" t="s">
        <v>30</v>
      </c>
      <c r="L2363" s="111"/>
      <c r="M2363" s="111"/>
      <c r="N2363" s="111"/>
      <c r="O2363" s="111"/>
      <c r="P2363" s="111"/>
      <c r="Q2363" s="111"/>
      <c r="R2363" s="111"/>
      <c r="S2363" s="111"/>
      <c r="T2363" s="111"/>
      <c r="U2363" s="111"/>
      <c r="V2363" s="111"/>
      <c r="W2363" s="111"/>
      <c r="X2363" s="111"/>
      <c r="Y2363" s="111"/>
      <c r="Z2363" s="111" t="s">
        <v>13912</v>
      </c>
      <c r="AA2363" s="124">
        <v>50.0</v>
      </c>
      <c r="AB2363" s="125">
        <f>IF(Projects!$AI2363="Electrolysis",
AA2363/VLOOKUP(G2363,ElectrolysisConvF,3,FALSE),
AC2363*10^6/(H2dens*HoursInYear))</f>
        <v>11111.11111</v>
      </c>
      <c r="AC2363" s="126">
        <f t="shared" si="438"/>
        <v>8.662666667</v>
      </c>
      <c r="AD2363" s="125"/>
      <c r="AE2363" s="125">
        <f t="shared" si="435"/>
        <v>11111.11111</v>
      </c>
      <c r="AF2363" s="127"/>
      <c r="AG2363" s="127">
        <v>60.4411724381022</v>
      </c>
      <c r="AH2363" s="127">
        <v>-1.35320540601787</v>
      </c>
      <c r="AI2363" s="115" t="s">
        <v>12383</v>
      </c>
      <c r="AJ2363" s="116">
        <v>0.5</v>
      </c>
      <c r="AK2363" s="117"/>
      <c r="AL2363" s="117"/>
      <c r="AM2363" s="117"/>
      <c r="AN2363" s="117"/>
      <c r="AO2363" s="117"/>
    </row>
    <row r="2364" ht="36.75" customHeight="1">
      <c r="A2364" s="111">
        <v>3083.0</v>
      </c>
      <c r="B2364" s="111" t="s">
        <v>10364</v>
      </c>
      <c r="C2364" s="111" t="s">
        <v>7991</v>
      </c>
      <c r="D2364" s="111">
        <v>2032.0</v>
      </c>
      <c r="E2364" s="111"/>
      <c r="F2364" s="111" t="s">
        <v>12397</v>
      </c>
      <c r="G2364" s="111" t="s">
        <v>12381</v>
      </c>
      <c r="H2364" s="111" t="s">
        <v>12230</v>
      </c>
      <c r="I2364" s="111" t="s">
        <v>12394</v>
      </c>
      <c r="J2364" s="111" t="s">
        <v>12295</v>
      </c>
      <c r="K2364" s="111" t="s">
        <v>30</v>
      </c>
      <c r="L2364" s="111"/>
      <c r="M2364" s="111"/>
      <c r="N2364" s="111"/>
      <c r="O2364" s="111"/>
      <c r="P2364" s="111"/>
      <c r="Q2364" s="111"/>
      <c r="R2364" s="111"/>
      <c r="S2364" s="111"/>
      <c r="T2364" s="111"/>
      <c r="U2364" s="111"/>
      <c r="V2364" s="111"/>
      <c r="W2364" s="111"/>
      <c r="X2364" s="111"/>
      <c r="Y2364" s="111"/>
      <c r="Z2364" s="111" t="s">
        <v>13104</v>
      </c>
      <c r="AA2364" s="124">
        <f>300-AA2363</f>
        <v>250</v>
      </c>
      <c r="AB2364" s="125">
        <f>IF(Projects!$AI2364="Electrolysis",
AA2364/VLOOKUP(G2364,ElectrolysisConvF,3,FALSE),
AC2364*10^6/(H2dens*HoursInYear))</f>
        <v>55555.55556</v>
      </c>
      <c r="AC2364" s="126">
        <f t="shared" si="438"/>
        <v>43.31333333</v>
      </c>
      <c r="AD2364" s="125"/>
      <c r="AE2364" s="125">
        <f t="shared" si="435"/>
        <v>55555.55556</v>
      </c>
      <c r="AF2364" s="127"/>
      <c r="AG2364" s="127">
        <v>60.4411724381022</v>
      </c>
      <c r="AH2364" s="127">
        <v>-1.35320540601787</v>
      </c>
      <c r="AI2364" s="115" t="s">
        <v>12383</v>
      </c>
      <c r="AJ2364" s="116">
        <v>0.5</v>
      </c>
      <c r="AK2364" s="117"/>
      <c r="AL2364" s="117"/>
      <c r="AM2364" s="117"/>
      <c r="AN2364" s="117"/>
      <c r="AO2364" s="117"/>
    </row>
    <row r="2365" ht="36.75" customHeight="1">
      <c r="A2365" s="111">
        <v>3084.0</v>
      </c>
      <c r="B2365" s="111" t="s">
        <v>10365</v>
      </c>
      <c r="C2365" s="111" t="s">
        <v>7991</v>
      </c>
      <c r="D2365" s="111">
        <v>2026.0</v>
      </c>
      <c r="E2365" s="111"/>
      <c r="F2365" s="111" t="s">
        <v>12393</v>
      </c>
      <c r="G2365" s="111" t="s">
        <v>12381</v>
      </c>
      <c r="H2365" s="111" t="s">
        <v>12230</v>
      </c>
      <c r="I2365" s="111" t="s">
        <v>12287</v>
      </c>
      <c r="J2365" s="111"/>
      <c r="K2365" s="111" t="s">
        <v>30</v>
      </c>
      <c r="L2365" s="111"/>
      <c r="M2365" s="111"/>
      <c r="N2365" s="111"/>
      <c r="O2365" s="111"/>
      <c r="P2365" s="111"/>
      <c r="Q2365" s="111">
        <v>1.0</v>
      </c>
      <c r="R2365" s="111"/>
      <c r="S2365" s="111"/>
      <c r="T2365" s="111"/>
      <c r="U2365" s="111"/>
      <c r="V2365" s="111"/>
      <c r="W2365" s="111"/>
      <c r="X2365" s="111"/>
      <c r="Y2365" s="111"/>
      <c r="Z2365" s="111" t="s">
        <v>15403</v>
      </c>
      <c r="AA2365" s="124">
        <v>5.0</v>
      </c>
      <c r="AB2365" s="125">
        <f>IF(Projects!$AI2365="Electrolysis",
AA2365/VLOOKUP(G2365,ElectrolysisConvF,3,FALSE),
AC2365*10^6/(H2dens*HoursInYear))</f>
        <v>1111.111111</v>
      </c>
      <c r="AC2365" s="126">
        <f t="shared" si="438"/>
        <v>0.8662666667</v>
      </c>
      <c r="AD2365" s="125"/>
      <c r="AE2365" s="125">
        <f t="shared" si="435"/>
        <v>1111.111111</v>
      </c>
      <c r="AF2365" s="127"/>
      <c r="AG2365" s="127">
        <v>56.0048461186043</v>
      </c>
      <c r="AH2365" s="127">
        <v>-3.74097459521358</v>
      </c>
      <c r="AI2365" s="115" t="s">
        <v>12383</v>
      </c>
      <c r="AJ2365" s="116">
        <v>0.57</v>
      </c>
      <c r="AK2365" s="117"/>
      <c r="AL2365" s="117"/>
      <c r="AM2365" s="117"/>
      <c r="AN2365" s="117"/>
      <c r="AO2365" s="117"/>
    </row>
    <row r="2366" ht="36.75" customHeight="1">
      <c r="A2366" s="111">
        <v>3085.0</v>
      </c>
      <c r="B2366" s="111" t="s">
        <v>10366</v>
      </c>
      <c r="C2366" s="111" t="s">
        <v>7991</v>
      </c>
      <c r="D2366" s="111">
        <v>2026.0</v>
      </c>
      <c r="E2366" s="111"/>
      <c r="F2366" s="111" t="s">
        <v>12399</v>
      </c>
      <c r="G2366" s="111" t="s">
        <v>12381</v>
      </c>
      <c r="H2366" s="111" t="s">
        <v>12230</v>
      </c>
      <c r="I2366" s="111" t="s">
        <v>12287</v>
      </c>
      <c r="J2366" s="111"/>
      <c r="K2366" s="111" t="s">
        <v>30</v>
      </c>
      <c r="L2366" s="111"/>
      <c r="M2366" s="111"/>
      <c r="N2366" s="111"/>
      <c r="O2366" s="111"/>
      <c r="P2366" s="111"/>
      <c r="Q2366" s="111">
        <v>1.0</v>
      </c>
      <c r="R2366" s="111"/>
      <c r="S2366" s="111"/>
      <c r="T2366" s="111"/>
      <c r="U2366" s="111"/>
      <c r="V2366" s="111"/>
      <c r="W2366" s="111"/>
      <c r="X2366" s="111"/>
      <c r="Y2366" s="111"/>
      <c r="Z2366" s="111" t="s">
        <v>15413</v>
      </c>
      <c r="AA2366" s="124">
        <v>26.0</v>
      </c>
      <c r="AB2366" s="125">
        <f>IF(Projects!$AI2366="Electrolysis",
AA2366/VLOOKUP(G2366,ElectrolysisConvF,3,FALSE),
AC2366*10^6/(H2dens*HoursInYear))</f>
        <v>5777.777778</v>
      </c>
      <c r="AC2366" s="126">
        <f t="shared" si="438"/>
        <v>4.504586667</v>
      </c>
      <c r="AD2366" s="125"/>
      <c r="AE2366" s="125">
        <f t="shared" si="435"/>
        <v>5777.777778</v>
      </c>
      <c r="AF2366" s="127"/>
      <c r="AG2366" s="127">
        <v>54.6121328485309</v>
      </c>
      <c r="AH2366" s="127">
        <v>-1.14706566336267</v>
      </c>
      <c r="AI2366" s="115" t="s">
        <v>12383</v>
      </c>
      <c r="AJ2366" s="116">
        <v>0.57</v>
      </c>
      <c r="AK2366" s="117"/>
      <c r="AL2366" s="117"/>
      <c r="AM2366" s="117"/>
      <c r="AN2366" s="117"/>
      <c r="AO2366" s="117"/>
    </row>
    <row r="2367" ht="36.75" customHeight="1">
      <c r="A2367" s="111">
        <v>3086.0</v>
      </c>
      <c r="B2367" s="111" t="s">
        <v>10367</v>
      </c>
      <c r="C2367" s="111" t="s">
        <v>7971</v>
      </c>
      <c r="D2367" s="111">
        <v>2029.0</v>
      </c>
      <c r="E2367" s="111"/>
      <c r="F2367" s="111" t="s">
        <v>12397</v>
      </c>
      <c r="G2367" s="111" t="s">
        <v>12381</v>
      </c>
      <c r="H2367" s="111" t="s">
        <v>12230</v>
      </c>
      <c r="I2367" s="111" t="s">
        <v>12287</v>
      </c>
      <c r="J2367" s="111"/>
      <c r="K2367" s="111" t="s">
        <v>174</v>
      </c>
      <c r="L2367" s="111"/>
      <c r="M2367" s="111"/>
      <c r="N2367" s="111"/>
      <c r="O2367" s="111"/>
      <c r="P2367" s="111">
        <v>1.0</v>
      </c>
      <c r="Q2367" s="111"/>
      <c r="R2367" s="111"/>
      <c r="S2367" s="111"/>
      <c r="T2367" s="111"/>
      <c r="U2367" s="111"/>
      <c r="V2367" s="111"/>
      <c r="W2367" s="111"/>
      <c r="X2367" s="111"/>
      <c r="Y2367" s="111"/>
      <c r="Z2367" s="111" t="s">
        <v>15356</v>
      </c>
      <c r="AA2367" s="124">
        <v>600.0</v>
      </c>
      <c r="AB2367" s="125">
        <f>IF(Projects!$AI2367="Electrolysis",
AA2367/VLOOKUP(G2367,ElectrolysisConvF,3,FALSE),
AC2367*10^6/(H2dens*HoursInYear))</f>
        <v>133333.3333</v>
      </c>
      <c r="AC2367" s="126">
        <f t="shared" si="438"/>
        <v>103.952</v>
      </c>
      <c r="AD2367" s="125"/>
      <c r="AE2367" s="125">
        <f t="shared" si="435"/>
        <v>133333.3333</v>
      </c>
      <c r="AF2367" s="127"/>
      <c r="AG2367" s="127">
        <v>58.274539724668</v>
      </c>
      <c r="AH2367" s="127">
        <v>6.87557550327524</v>
      </c>
      <c r="AI2367" s="115" t="s">
        <v>12383</v>
      </c>
      <c r="AJ2367" s="116">
        <v>0.57</v>
      </c>
      <c r="AK2367" s="117"/>
      <c r="AL2367" s="117"/>
      <c r="AM2367" s="117"/>
      <c r="AN2367" s="117"/>
      <c r="AO2367" s="117"/>
    </row>
    <row r="2368" ht="36.75" customHeight="1">
      <c r="A2368" s="111">
        <v>3087.0</v>
      </c>
      <c r="B2368" s="111" t="s">
        <v>10368</v>
      </c>
      <c r="C2368" s="111" t="s">
        <v>8161</v>
      </c>
      <c r="D2368" s="111">
        <v>2027.0</v>
      </c>
      <c r="E2368" s="111"/>
      <c r="F2368" s="111" t="s">
        <v>12397</v>
      </c>
      <c r="G2368" s="111" t="s">
        <v>12381</v>
      </c>
      <c r="H2368" s="111" t="s">
        <v>12230</v>
      </c>
      <c r="I2368" s="111" t="s">
        <v>12394</v>
      </c>
      <c r="J2368" s="111" t="s">
        <v>12291</v>
      </c>
      <c r="K2368" s="111" t="s">
        <v>30</v>
      </c>
      <c r="L2368" s="111"/>
      <c r="M2368" s="111"/>
      <c r="N2368" s="111"/>
      <c r="O2368" s="111"/>
      <c r="P2368" s="111"/>
      <c r="Q2368" s="111"/>
      <c r="R2368" s="111"/>
      <c r="S2368" s="111"/>
      <c r="T2368" s="111"/>
      <c r="U2368" s="111"/>
      <c r="V2368" s="111"/>
      <c r="W2368" s="111"/>
      <c r="X2368" s="111"/>
      <c r="Y2368" s="111"/>
      <c r="Z2368" s="111" t="s">
        <v>13859</v>
      </c>
      <c r="AA2368" s="124">
        <f>150-AA1150</f>
        <v>120</v>
      </c>
      <c r="AB2368" s="125">
        <f>IF(Projects!$AI2368="Electrolysis",
AA2368/VLOOKUP(G2368,ElectrolysisConvF,3,FALSE),
AC2368*10^6/(H2dens*HoursInYear))</f>
        <v>26666.66667</v>
      </c>
      <c r="AC2368" s="126">
        <f t="shared" si="438"/>
        <v>20.7904</v>
      </c>
      <c r="AD2368" s="125"/>
      <c r="AE2368" s="125">
        <f t="shared" si="435"/>
        <v>26666.66667</v>
      </c>
      <c r="AF2368" s="127"/>
      <c r="AG2368" s="127">
        <v>38.708759</v>
      </c>
      <c r="AH2368" s="127">
        <v>-7.400782</v>
      </c>
      <c r="AI2368" s="115" t="s">
        <v>12383</v>
      </c>
      <c r="AJ2368" s="116">
        <v>0.3</v>
      </c>
      <c r="AK2368" s="117"/>
      <c r="AL2368" s="117"/>
      <c r="AM2368" s="117"/>
      <c r="AN2368" s="117"/>
      <c r="AO2368" s="117"/>
    </row>
    <row r="2369" ht="36.75" customHeight="1">
      <c r="A2369" s="111">
        <v>3088.0</v>
      </c>
      <c r="B2369" s="111" t="s">
        <v>10369</v>
      </c>
      <c r="C2369" s="111" t="s">
        <v>8161</v>
      </c>
      <c r="D2369" s="111">
        <v>2030.0</v>
      </c>
      <c r="E2369" s="111"/>
      <c r="F2369" s="111" t="s">
        <v>12397</v>
      </c>
      <c r="G2369" s="111" t="s">
        <v>12381</v>
      </c>
      <c r="H2369" s="111" t="s">
        <v>12230</v>
      </c>
      <c r="I2369" s="111" t="s">
        <v>12394</v>
      </c>
      <c r="J2369" s="111" t="s">
        <v>12291</v>
      </c>
      <c r="K2369" s="111" t="s">
        <v>30</v>
      </c>
      <c r="L2369" s="111"/>
      <c r="M2369" s="111"/>
      <c r="N2369" s="111"/>
      <c r="O2369" s="111"/>
      <c r="P2369" s="111"/>
      <c r="Q2369" s="111"/>
      <c r="R2369" s="111"/>
      <c r="S2369" s="111"/>
      <c r="T2369" s="111"/>
      <c r="U2369" s="111"/>
      <c r="V2369" s="111"/>
      <c r="W2369" s="111"/>
      <c r="X2369" s="111"/>
      <c r="Y2369" s="111"/>
      <c r="Z2369" s="111" t="s">
        <v>12756</v>
      </c>
      <c r="AA2369" s="126">
        <f>250-AA2368-AA1150</f>
        <v>100</v>
      </c>
      <c r="AB2369" s="125">
        <f>IF(Projects!$AI2369="Electrolysis",
AA2369/VLOOKUP(G2369,ElectrolysisConvF,3,FALSE),
AC2369*10^6/(H2dens*HoursInYear))</f>
        <v>22222.22222</v>
      </c>
      <c r="AC2369" s="126">
        <f t="shared" si="438"/>
        <v>17.32533333</v>
      </c>
      <c r="AD2369" s="125"/>
      <c r="AE2369" s="125">
        <f t="shared" si="435"/>
        <v>22222.22222</v>
      </c>
      <c r="AF2369" s="127"/>
      <c r="AG2369" s="127">
        <v>38.708759</v>
      </c>
      <c r="AH2369" s="127">
        <v>-7.400782</v>
      </c>
      <c r="AI2369" s="115" t="s">
        <v>12383</v>
      </c>
      <c r="AJ2369" s="116">
        <v>0.3</v>
      </c>
      <c r="AK2369" s="117"/>
      <c r="AL2369" s="117"/>
      <c r="AM2369" s="117"/>
      <c r="AN2369" s="117"/>
      <c r="AO2369" s="117"/>
    </row>
    <row r="2370" ht="36.75" customHeight="1">
      <c r="A2370" s="111">
        <v>3089.0</v>
      </c>
      <c r="B2370" s="111" t="s">
        <v>10370</v>
      </c>
      <c r="C2370" s="111" t="s">
        <v>8161</v>
      </c>
      <c r="D2370" s="111">
        <v>2025.0</v>
      </c>
      <c r="E2370" s="111"/>
      <c r="F2370" s="111" t="s">
        <v>12393</v>
      </c>
      <c r="G2370" s="111" t="s">
        <v>12226</v>
      </c>
      <c r="H2370" s="111"/>
      <c r="I2370" s="111" t="s">
        <v>12287</v>
      </c>
      <c r="J2370" s="111"/>
      <c r="K2370" s="111" t="s">
        <v>30</v>
      </c>
      <c r="L2370" s="111"/>
      <c r="M2370" s="111"/>
      <c r="N2370" s="111"/>
      <c r="O2370" s="111"/>
      <c r="P2370" s="111"/>
      <c r="Q2370" s="111"/>
      <c r="R2370" s="111">
        <v>1.0</v>
      </c>
      <c r="S2370" s="111"/>
      <c r="T2370" s="111"/>
      <c r="U2370" s="111"/>
      <c r="V2370" s="111"/>
      <c r="W2370" s="111"/>
      <c r="X2370" s="111"/>
      <c r="Y2370" s="111"/>
      <c r="Z2370" s="111" t="s">
        <v>12603</v>
      </c>
      <c r="AA2370" s="124">
        <v>5.0</v>
      </c>
      <c r="AB2370" s="125">
        <f>IF(Projects!$AI2370="Electrolysis",
AA2370/VLOOKUP(G2370,ElectrolysisConvF,3,FALSE),
AC2370*10^6/(H2dens*HoursInYear))</f>
        <v>961.5384615</v>
      </c>
      <c r="AC2370" s="126">
        <f t="shared" si="438"/>
        <v>0.7496538462</v>
      </c>
      <c r="AD2370" s="125"/>
      <c r="AE2370" s="125">
        <f t="shared" si="435"/>
        <v>961.5384615</v>
      </c>
      <c r="AF2370" s="127"/>
      <c r="AG2370" s="127">
        <v>39.0276427976079</v>
      </c>
      <c r="AH2370" s="127">
        <v>-8.95072745128153</v>
      </c>
      <c r="AI2370" s="115" t="s">
        <v>12383</v>
      </c>
      <c r="AJ2370" s="116">
        <v>0.57</v>
      </c>
      <c r="AK2370" s="117"/>
      <c r="AL2370" s="117"/>
      <c r="AM2370" s="117"/>
      <c r="AN2370" s="117"/>
      <c r="AO2370" s="117"/>
    </row>
    <row r="2371" ht="36.75" customHeight="1">
      <c r="A2371" s="111">
        <v>3090.0</v>
      </c>
      <c r="B2371" s="111" t="s">
        <v>10371</v>
      </c>
      <c r="C2371" s="111" t="s">
        <v>7971</v>
      </c>
      <c r="D2371" s="111">
        <v>2025.0</v>
      </c>
      <c r="E2371" s="111"/>
      <c r="F2371" s="111" t="s">
        <v>12399</v>
      </c>
      <c r="G2371" s="111" t="s">
        <v>12381</v>
      </c>
      <c r="H2371" s="111" t="s">
        <v>12230</v>
      </c>
      <c r="I2371" s="111" t="s">
        <v>12287</v>
      </c>
      <c r="J2371" s="111"/>
      <c r="K2371" s="111" t="s">
        <v>30</v>
      </c>
      <c r="L2371" s="111"/>
      <c r="M2371" s="111"/>
      <c r="N2371" s="111"/>
      <c r="O2371" s="111"/>
      <c r="P2371" s="111"/>
      <c r="Q2371" s="111">
        <v>1.0</v>
      </c>
      <c r="R2371" s="111"/>
      <c r="S2371" s="111"/>
      <c r="T2371" s="111"/>
      <c r="U2371" s="111"/>
      <c r="V2371" s="111"/>
      <c r="W2371" s="111"/>
      <c r="X2371" s="111"/>
      <c r="Y2371" s="111"/>
      <c r="Z2371" s="111" t="s">
        <v>12603</v>
      </c>
      <c r="AA2371" s="124">
        <v>5.0</v>
      </c>
      <c r="AB2371" s="125">
        <f>IF(Projects!$AI2371="Electrolysis",
AA2371/VLOOKUP(G2371,ElectrolysisConvF,3,FALSE),
AC2371*10^6/(H2dens*HoursInYear))</f>
        <v>1111.111111</v>
      </c>
      <c r="AC2371" s="126">
        <f t="shared" si="438"/>
        <v>0.8662666667</v>
      </c>
      <c r="AD2371" s="125"/>
      <c r="AE2371" s="125">
        <f t="shared" si="435"/>
        <v>1111.111111</v>
      </c>
      <c r="AF2371" s="127"/>
      <c r="AG2371" s="127">
        <v>58.2581890073359</v>
      </c>
      <c r="AH2371" s="127">
        <v>8.36885577857304</v>
      </c>
      <c r="AI2371" s="115" t="s">
        <v>12383</v>
      </c>
      <c r="AJ2371" s="116">
        <v>0.57</v>
      </c>
      <c r="AK2371" s="117"/>
      <c r="AL2371" s="117"/>
      <c r="AM2371" s="117"/>
      <c r="AN2371" s="117"/>
      <c r="AO2371" s="117"/>
    </row>
    <row r="2372" ht="36.75" customHeight="1">
      <c r="A2372" s="111">
        <v>3091.0</v>
      </c>
      <c r="B2372" s="111" t="s">
        <v>10372</v>
      </c>
      <c r="C2372" s="111" t="s">
        <v>8026</v>
      </c>
      <c r="D2372" s="111">
        <v>2030.0</v>
      </c>
      <c r="E2372" s="111"/>
      <c r="F2372" s="111" t="s">
        <v>12397</v>
      </c>
      <c r="G2372" s="111" t="s">
        <v>12381</v>
      </c>
      <c r="H2372" s="111" t="s">
        <v>12230</v>
      </c>
      <c r="I2372" s="111" t="s">
        <v>12394</v>
      </c>
      <c r="J2372" s="111" t="s">
        <v>12292</v>
      </c>
      <c r="K2372" s="111" t="s">
        <v>12415</v>
      </c>
      <c r="L2372" s="111"/>
      <c r="M2372" s="111"/>
      <c r="N2372" s="111"/>
      <c r="O2372" s="111"/>
      <c r="P2372" s="111"/>
      <c r="Q2372" s="111">
        <v>1.0</v>
      </c>
      <c r="R2372" s="111"/>
      <c r="S2372" s="111"/>
      <c r="T2372" s="111"/>
      <c r="U2372" s="111"/>
      <c r="V2372" s="111"/>
      <c r="W2372" s="111"/>
      <c r="X2372" s="111"/>
      <c r="Y2372" s="111"/>
      <c r="Z2372" s="111" t="s">
        <v>13599</v>
      </c>
      <c r="AA2372" s="124">
        <v>350.0</v>
      </c>
      <c r="AB2372" s="125">
        <f>IF(Projects!$AI2372="Electrolysis",
AA2372/VLOOKUP(G2372,ElectrolysisConvF,3,FALSE),
AC2372*10^6/(H2dens*HoursInYear))</f>
        <v>77777.77778</v>
      </c>
      <c r="AC2372" s="126">
        <f t="shared" si="438"/>
        <v>60.63866667</v>
      </c>
      <c r="AD2372" s="125"/>
      <c r="AE2372" s="125">
        <f t="shared" si="435"/>
        <v>77777.77778</v>
      </c>
      <c r="AF2372" s="127" t="s">
        <v>15414</v>
      </c>
      <c r="AG2372" s="127">
        <v>65.9281666235933</v>
      </c>
      <c r="AH2372" s="127">
        <v>26.5159553779312</v>
      </c>
      <c r="AI2372" s="115" t="s">
        <v>12383</v>
      </c>
      <c r="AJ2372" s="116">
        <v>0.4</v>
      </c>
      <c r="AK2372" s="117"/>
      <c r="AL2372" s="117"/>
      <c r="AM2372" s="117"/>
      <c r="AN2372" s="117"/>
      <c r="AO2372" s="117"/>
    </row>
    <row r="2373" ht="36.75" customHeight="1">
      <c r="A2373" s="111">
        <v>3092.0</v>
      </c>
      <c r="B2373" s="111" t="s">
        <v>10373</v>
      </c>
      <c r="C2373" s="111" t="s">
        <v>8161</v>
      </c>
      <c r="D2373" s="111">
        <v>2025.0</v>
      </c>
      <c r="E2373" s="111"/>
      <c r="F2373" s="111" t="s">
        <v>12393</v>
      </c>
      <c r="G2373" s="111" t="s">
        <v>12381</v>
      </c>
      <c r="H2373" s="111" t="s">
        <v>12230</v>
      </c>
      <c r="I2373" s="111" t="s">
        <v>12287</v>
      </c>
      <c r="J2373" s="111"/>
      <c r="K2373" s="111" t="s">
        <v>30</v>
      </c>
      <c r="L2373" s="111"/>
      <c r="M2373" s="111"/>
      <c r="N2373" s="111"/>
      <c r="O2373" s="111"/>
      <c r="P2373" s="111"/>
      <c r="Q2373" s="111"/>
      <c r="R2373" s="111"/>
      <c r="S2373" s="111">
        <v>1.0</v>
      </c>
      <c r="T2373" s="111"/>
      <c r="U2373" s="111"/>
      <c r="V2373" s="111"/>
      <c r="W2373" s="111"/>
      <c r="X2373" s="111"/>
      <c r="Y2373" s="111"/>
      <c r="Z2373" s="111" t="s">
        <v>12446</v>
      </c>
      <c r="AA2373" s="124">
        <v>4.0</v>
      </c>
      <c r="AB2373" s="125">
        <f>IF(Projects!$AI2373="Electrolysis",
AA2373/VLOOKUP(G2373,ElectrolysisConvF,3,FALSE),
AC2373*10^6/(H2dens*HoursInYear))</f>
        <v>888.8888889</v>
      </c>
      <c r="AC2373" s="126">
        <f t="shared" si="438"/>
        <v>0.6930133333</v>
      </c>
      <c r="AD2373" s="125"/>
      <c r="AE2373" s="125">
        <f t="shared" si="435"/>
        <v>888.8888889</v>
      </c>
      <c r="AF2373" s="127"/>
      <c r="AG2373" s="127">
        <v>39.8393616282428</v>
      </c>
      <c r="AH2373" s="127">
        <v>-7.47857615857886</v>
      </c>
      <c r="AI2373" s="115" t="s">
        <v>12383</v>
      </c>
      <c r="AJ2373" s="116">
        <v>0.57</v>
      </c>
      <c r="AK2373" s="117"/>
      <c r="AL2373" s="117"/>
      <c r="AM2373" s="117"/>
      <c r="AN2373" s="117"/>
      <c r="AO2373" s="117"/>
    </row>
    <row r="2374" ht="34.5" customHeight="1">
      <c r="A2374" s="111">
        <v>3093.0</v>
      </c>
      <c r="B2374" s="111" t="s">
        <v>10374</v>
      </c>
      <c r="C2374" s="111" t="s">
        <v>8702</v>
      </c>
      <c r="D2374" s="111">
        <v>2026.0</v>
      </c>
      <c r="E2374" s="111"/>
      <c r="F2374" s="111" t="s">
        <v>12393</v>
      </c>
      <c r="G2374" s="111" t="s">
        <v>12381</v>
      </c>
      <c r="H2374" s="111" t="s">
        <v>12230</v>
      </c>
      <c r="I2374" s="111" t="s">
        <v>12287</v>
      </c>
      <c r="J2374" s="111"/>
      <c r="K2374" s="111" t="s">
        <v>30</v>
      </c>
      <c r="L2374" s="111"/>
      <c r="M2374" s="111"/>
      <c r="N2374" s="111"/>
      <c r="O2374" s="111"/>
      <c r="P2374" s="111">
        <v>1.0</v>
      </c>
      <c r="Q2374" s="111">
        <v>1.0</v>
      </c>
      <c r="R2374" s="111"/>
      <c r="S2374" s="111"/>
      <c r="T2374" s="111"/>
      <c r="U2374" s="111"/>
      <c r="V2374" s="111"/>
      <c r="W2374" s="111"/>
      <c r="X2374" s="111"/>
      <c r="Y2374" s="111"/>
      <c r="Z2374" s="111" t="s">
        <v>12671</v>
      </c>
      <c r="AA2374" s="124">
        <v>1.2</v>
      </c>
      <c r="AB2374" s="125">
        <f>IF(Projects!$AI2374="Electrolysis",
AA2374/VLOOKUP(G2374,ElectrolysisConvF,3,FALSE),
AC2374*10^6/(H2dens*HoursInYear))</f>
        <v>266.6666667</v>
      </c>
      <c r="AC2374" s="126">
        <f t="shared" si="438"/>
        <v>0.207904</v>
      </c>
      <c r="AD2374" s="125"/>
      <c r="AE2374" s="125">
        <f t="shared" si="435"/>
        <v>266.6666667</v>
      </c>
      <c r="AF2374" s="127"/>
      <c r="AG2374" s="127">
        <v>53.2935503275726</v>
      </c>
      <c r="AH2374" s="127">
        <v>-9.0508070403353</v>
      </c>
      <c r="AI2374" s="115" t="s">
        <v>12383</v>
      </c>
      <c r="AJ2374" s="116">
        <v>0.57</v>
      </c>
      <c r="AK2374" s="117"/>
      <c r="AL2374" s="117"/>
      <c r="AM2374" s="117"/>
      <c r="AN2374" s="117"/>
      <c r="AO2374" s="117"/>
    </row>
    <row r="2375" ht="34.5" customHeight="1">
      <c r="A2375" s="111">
        <v>3094.0</v>
      </c>
      <c r="B2375" s="111" t="s">
        <v>10375</v>
      </c>
      <c r="C2375" s="111" t="s">
        <v>7971</v>
      </c>
      <c r="D2375" s="111">
        <v>2027.0</v>
      </c>
      <c r="E2375" s="111"/>
      <c r="F2375" s="111" t="s">
        <v>12399</v>
      </c>
      <c r="G2375" s="111" t="s">
        <v>12381</v>
      </c>
      <c r="H2375" s="111" t="s">
        <v>12230</v>
      </c>
      <c r="I2375" s="111" t="s">
        <v>12394</v>
      </c>
      <c r="J2375" s="111" t="s">
        <v>12294</v>
      </c>
      <c r="K2375" s="111" t="s">
        <v>174</v>
      </c>
      <c r="L2375" s="111"/>
      <c r="M2375" s="111">
        <v>1.0</v>
      </c>
      <c r="N2375" s="111"/>
      <c r="O2375" s="111"/>
      <c r="P2375" s="111"/>
      <c r="Q2375" s="111"/>
      <c r="R2375" s="111"/>
      <c r="S2375" s="111"/>
      <c r="T2375" s="111"/>
      <c r="U2375" s="111"/>
      <c r="V2375" s="111"/>
      <c r="W2375" s="111"/>
      <c r="X2375" s="111"/>
      <c r="Y2375" s="111"/>
      <c r="Z2375" s="111" t="s">
        <v>13378</v>
      </c>
      <c r="AA2375" s="126">
        <v>260.0</v>
      </c>
      <c r="AB2375" s="125">
        <f>IF(Projects!$AI2375="Electrolysis",
AA2375/VLOOKUP(G2375,ElectrolysisConvF,3,FALSE),
AC2375*10^6/(H2dens*HoursInYear))</f>
        <v>57777.77778</v>
      </c>
      <c r="AC2375" s="126">
        <f t="shared" si="438"/>
        <v>45.04586667</v>
      </c>
      <c r="AD2375" s="125"/>
      <c r="AE2375" s="125">
        <f t="shared" si="435"/>
        <v>57777.77778</v>
      </c>
      <c r="AF2375" s="127" t="s">
        <v>15415</v>
      </c>
      <c r="AG2375" s="127">
        <v>66.0767906975041</v>
      </c>
      <c r="AH2375" s="127">
        <v>13.8180892549231</v>
      </c>
      <c r="AI2375" s="115" t="s">
        <v>12383</v>
      </c>
      <c r="AJ2375" s="116">
        <v>0.8</v>
      </c>
      <c r="AK2375" s="117"/>
      <c r="AL2375" s="117"/>
      <c r="AM2375" s="117"/>
      <c r="AN2375" s="117"/>
      <c r="AO2375" s="117"/>
    </row>
    <row r="2376" ht="34.5" customHeight="1">
      <c r="A2376" s="111">
        <v>3095.0</v>
      </c>
      <c r="B2376" s="111" t="s">
        <v>10376</v>
      </c>
      <c r="C2376" s="111" t="s">
        <v>8026</v>
      </c>
      <c r="D2376" s="111">
        <v>2027.0</v>
      </c>
      <c r="E2376" s="111"/>
      <c r="F2376" s="111" t="s">
        <v>12399</v>
      </c>
      <c r="G2376" s="111" t="s">
        <v>12381</v>
      </c>
      <c r="H2376" s="111" t="s">
        <v>12230</v>
      </c>
      <c r="I2376" s="111" t="s">
        <v>12287</v>
      </c>
      <c r="J2376" s="111"/>
      <c r="K2376" s="111" t="s">
        <v>174</v>
      </c>
      <c r="L2376" s="111"/>
      <c r="M2376" s="111">
        <v>1.0</v>
      </c>
      <c r="N2376" s="111"/>
      <c r="O2376" s="111"/>
      <c r="P2376" s="111">
        <v>1.0</v>
      </c>
      <c r="Q2376" s="111"/>
      <c r="R2376" s="111"/>
      <c r="S2376" s="111"/>
      <c r="T2376" s="111"/>
      <c r="U2376" s="111"/>
      <c r="V2376" s="111"/>
      <c r="W2376" s="111"/>
      <c r="X2376" s="111"/>
      <c r="Y2376" s="111"/>
      <c r="Z2376" s="111" t="s">
        <v>12808</v>
      </c>
      <c r="AA2376" s="126">
        <v>280.0</v>
      </c>
      <c r="AB2376" s="125">
        <f>IF(Projects!$AI2376="Electrolysis",
AA2376/VLOOKUP(G2376,ElectrolysisConvF,3,FALSE),
AC2376*10^6/(H2dens*HoursInYear))</f>
        <v>62222.22222</v>
      </c>
      <c r="AC2376" s="126">
        <f t="shared" si="438"/>
        <v>48.51093333</v>
      </c>
      <c r="AD2376" s="125"/>
      <c r="AE2376" s="125">
        <f t="shared" si="435"/>
        <v>62222.22222</v>
      </c>
      <c r="AF2376" s="127" t="s">
        <v>15416</v>
      </c>
      <c r="AG2376" s="127">
        <v>60.4195283240131</v>
      </c>
      <c r="AH2376" s="127">
        <v>21.8936821639348</v>
      </c>
      <c r="AI2376" s="115" t="s">
        <v>12383</v>
      </c>
      <c r="AJ2376" s="116">
        <v>0.57</v>
      </c>
      <c r="AK2376" s="117"/>
      <c r="AL2376" s="117"/>
      <c r="AM2376" s="117"/>
      <c r="AN2376" s="117"/>
      <c r="AO2376" s="117"/>
    </row>
    <row r="2377" ht="34.5" customHeight="1">
      <c r="A2377" s="111">
        <v>3096.0</v>
      </c>
      <c r="B2377" s="111" t="s">
        <v>10377</v>
      </c>
      <c r="C2377" s="111" t="s">
        <v>8026</v>
      </c>
      <c r="D2377" s="111">
        <v>2030.0</v>
      </c>
      <c r="E2377" s="111"/>
      <c r="F2377" s="111" t="s">
        <v>12399</v>
      </c>
      <c r="G2377" s="111" t="s">
        <v>12381</v>
      </c>
      <c r="H2377" s="111" t="s">
        <v>12230</v>
      </c>
      <c r="I2377" s="111" t="s">
        <v>12394</v>
      </c>
      <c r="J2377" s="111" t="s">
        <v>12293</v>
      </c>
      <c r="K2377" s="111" t="s">
        <v>174</v>
      </c>
      <c r="L2377" s="111"/>
      <c r="M2377" s="111">
        <v>1.0</v>
      </c>
      <c r="N2377" s="111"/>
      <c r="O2377" s="111"/>
      <c r="P2377" s="111">
        <v>1.0</v>
      </c>
      <c r="Q2377" s="111"/>
      <c r="R2377" s="111"/>
      <c r="S2377" s="111"/>
      <c r="T2377" s="111"/>
      <c r="U2377" s="111"/>
      <c r="V2377" s="111"/>
      <c r="W2377" s="111"/>
      <c r="X2377" s="111"/>
      <c r="Y2377" s="111"/>
      <c r="Z2377" s="111" t="s">
        <v>12808</v>
      </c>
      <c r="AA2377" s="126">
        <v>280.0</v>
      </c>
      <c r="AB2377" s="125">
        <f>IF(Projects!$AI2377="Electrolysis",
AA2377/VLOOKUP(G2377,ElectrolysisConvF,3,FALSE),
AC2377*10^6/(H2dens*HoursInYear))</f>
        <v>62222.22222</v>
      </c>
      <c r="AC2377" s="126">
        <f t="shared" si="438"/>
        <v>48.51093333</v>
      </c>
      <c r="AD2377" s="125"/>
      <c r="AE2377" s="125">
        <f t="shared" si="435"/>
        <v>62222.22222</v>
      </c>
      <c r="AF2377" s="127" t="s">
        <v>15417</v>
      </c>
      <c r="AG2377" s="127">
        <v>61.4815410714378</v>
      </c>
      <c r="AH2377" s="127">
        <v>21.8214197222701</v>
      </c>
      <c r="AI2377" s="115" t="s">
        <v>12383</v>
      </c>
      <c r="AJ2377" s="116">
        <v>0.55</v>
      </c>
      <c r="AK2377" s="117"/>
      <c r="AL2377" s="117"/>
      <c r="AM2377" s="117"/>
      <c r="AN2377" s="117"/>
      <c r="AO2377" s="117"/>
    </row>
    <row r="2378" ht="34.5" customHeight="1">
      <c r="A2378" s="111">
        <v>3097.0</v>
      </c>
      <c r="B2378" s="111" t="s">
        <v>10378</v>
      </c>
      <c r="C2378" s="111" t="s">
        <v>7971</v>
      </c>
      <c r="D2378" s="111">
        <v>2026.0</v>
      </c>
      <c r="E2378" s="111"/>
      <c r="F2378" s="111" t="s">
        <v>12399</v>
      </c>
      <c r="G2378" s="111" t="s">
        <v>12381</v>
      </c>
      <c r="H2378" s="111" t="s">
        <v>12230</v>
      </c>
      <c r="I2378" s="111" t="s">
        <v>12287</v>
      </c>
      <c r="J2378" s="111"/>
      <c r="K2378" s="111" t="s">
        <v>30</v>
      </c>
      <c r="L2378" s="111"/>
      <c r="M2378" s="111"/>
      <c r="N2378" s="111"/>
      <c r="O2378" s="111"/>
      <c r="P2378" s="111"/>
      <c r="Q2378" s="111">
        <v>1.0</v>
      </c>
      <c r="R2378" s="111"/>
      <c r="S2378" s="111"/>
      <c r="T2378" s="111"/>
      <c r="U2378" s="111">
        <v>1.0</v>
      </c>
      <c r="V2378" s="111"/>
      <c r="W2378" s="111"/>
      <c r="X2378" s="111"/>
      <c r="Y2378" s="111"/>
      <c r="Z2378" s="111" t="s">
        <v>12824</v>
      </c>
      <c r="AA2378" s="126">
        <v>15.0</v>
      </c>
      <c r="AB2378" s="125">
        <f>IF(Projects!$AI2378="Electrolysis",
AA2378/VLOOKUP(G2378,ElectrolysisConvF,3,FALSE),
AC2378*10^6/(H2dens*HoursInYear))</f>
        <v>3333.333333</v>
      </c>
      <c r="AC2378" s="126">
        <f t="shared" si="438"/>
        <v>2.5988</v>
      </c>
      <c r="AD2378" s="125"/>
      <c r="AE2378" s="125">
        <f t="shared" si="435"/>
        <v>3333.333333</v>
      </c>
      <c r="AF2378" s="127" t="s">
        <v>15418</v>
      </c>
      <c r="AG2378" s="127">
        <v>67.2682486530116</v>
      </c>
      <c r="AH2378" s="127">
        <v>14.3343841011791</v>
      </c>
      <c r="AI2378" s="115" t="s">
        <v>12383</v>
      </c>
      <c r="AJ2378" s="116">
        <v>0.57</v>
      </c>
      <c r="AK2378" s="117"/>
      <c r="AL2378" s="117"/>
      <c r="AM2378" s="117"/>
      <c r="AN2378" s="117"/>
      <c r="AO2378" s="117"/>
    </row>
    <row r="2379" ht="34.5" customHeight="1">
      <c r="A2379" s="111">
        <v>3098.0</v>
      </c>
      <c r="B2379" s="111" t="s">
        <v>10379</v>
      </c>
      <c r="C2379" s="111" t="s">
        <v>7971</v>
      </c>
      <c r="D2379" s="111">
        <v>2026.0</v>
      </c>
      <c r="E2379" s="111"/>
      <c r="F2379" s="111" t="s">
        <v>12399</v>
      </c>
      <c r="G2379" s="111" t="s">
        <v>12224</v>
      </c>
      <c r="H2379" s="111"/>
      <c r="I2379" s="111" t="s">
        <v>12287</v>
      </c>
      <c r="J2379" s="111"/>
      <c r="K2379" s="111" t="s">
        <v>30</v>
      </c>
      <c r="L2379" s="111"/>
      <c r="M2379" s="111"/>
      <c r="N2379" s="111"/>
      <c r="O2379" s="111"/>
      <c r="P2379" s="111"/>
      <c r="Q2379" s="111">
        <v>1.0</v>
      </c>
      <c r="R2379" s="111"/>
      <c r="S2379" s="111"/>
      <c r="T2379" s="111"/>
      <c r="U2379" s="111"/>
      <c r="V2379" s="111"/>
      <c r="W2379" s="111"/>
      <c r="X2379" s="111"/>
      <c r="Y2379" s="111"/>
      <c r="Z2379" s="111" t="s">
        <v>12739</v>
      </c>
      <c r="AA2379" s="126">
        <v>24.0</v>
      </c>
      <c r="AB2379" s="125">
        <f>IF(Projects!$AI2379="Electrolysis",
AA2379/VLOOKUP(G2379,ElectrolysisConvF,3,FALSE),
AC2379*10^6/(H2dens*HoursInYear))</f>
        <v>5217.391304</v>
      </c>
      <c r="AC2379" s="126">
        <f t="shared" si="438"/>
        <v>4.067686957</v>
      </c>
      <c r="AD2379" s="125"/>
      <c r="AE2379" s="125">
        <f t="shared" si="435"/>
        <v>5217.391304</v>
      </c>
      <c r="AF2379" s="127" t="s">
        <v>15419</v>
      </c>
      <c r="AG2379" s="127">
        <v>63.1105539939779</v>
      </c>
      <c r="AH2379" s="127">
        <v>7.73459350252472</v>
      </c>
      <c r="AI2379" s="115" t="s">
        <v>12383</v>
      </c>
      <c r="AJ2379" s="116">
        <v>0.57</v>
      </c>
      <c r="AK2379" s="117"/>
      <c r="AL2379" s="117"/>
      <c r="AM2379" s="117"/>
      <c r="AN2379" s="117"/>
      <c r="AO2379" s="117"/>
    </row>
    <row r="2380" ht="34.5" customHeight="1">
      <c r="A2380" s="111">
        <v>3099.0</v>
      </c>
      <c r="B2380" s="111" t="s">
        <v>10380</v>
      </c>
      <c r="C2380" s="111" t="s">
        <v>7971</v>
      </c>
      <c r="D2380" s="111">
        <v>2027.0</v>
      </c>
      <c r="E2380" s="111"/>
      <c r="F2380" s="111" t="s">
        <v>12399</v>
      </c>
      <c r="G2380" s="111" t="s">
        <v>12381</v>
      </c>
      <c r="H2380" s="111" t="s">
        <v>12230</v>
      </c>
      <c r="I2380" s="111" t="s">
        <v>12287</v>
      </c>
      <c r="J2380" s="111"/>
      <c r="K2380" s="111" t="s">
        <v>30</v>
      </c>
      <c r="L2380" s="111"/>
      <c r="M2380" s="111"/>
      <c r="N2380" s="111"/>
      <c r="O2380" s="111"/>
      <c r="P2380" s="111">
        <v>1.0</v>
      </c>
      <c r="Q2380" s="111">
        <v>1.0</v>
      </c>
      <c r="R2380" s="111"/>
      <c r="S2380" s="111"/>
      <c r="T2380" s="111"/>
      <c r="U2380" s="111">
        <v>1.0</v>
      </c>
      <c r="V2380" s="111"/>
      <c r="W2380" s="111"/>
      <c r="X2380" s="111"/>
      <c r="Y2380" s="111"/>
      <c r="Z2380" s="111" t="s">
        <v>12589</v>
      </c>
      <c r="AA2380" s="126">
        <v>20.0</v>
      </c>
      <c r="AB2380" s="125">
        <f>IF(Projects!$AI2380="Electrolysis",
AA2380/VLOOKUP(G2380,ElectrolysisConvF,3,FALSE),
AC2380*10^6/(H2dens*HoursInYear))</f>
        <v>4444.444444</v>
      </c>
      <c r="AC2380" s="126">
        <f t="shared" si="438"/>
        <v>3.465066667</v>
      </c>
      <c r="AD2380" s="125"/>
      <c r="AE2380" s="125">
        <f t="shared" si="435"/>
        <v>4444.444444</v>
      </c>
      <c r="AF2380" s="127" t="s">
        <v>15420</v>
      </c>
      <c r="AG2380" s="127">
        <v>66.021653702027</v>
      </c>
      <c r="AH2380" s="127">
        <v>12.6305986242566</v>
      </c>
      <c r="AI2380" s="115" t="s">
        <v>12383</v>
      </c>
      <c r="AJ2380" s="116">
        <v>0.57</v>
      </c>
      <c r="AK2380" s="117"/>
      <c r="AL2380" s="117"/>
      <c r="AM2380" s="117"/>
      <c r="AN2380" s="117"/>
      <c r="AO2380" s="117"/>
    </row>
    <row r="2381" ht="34.5" customHeight="1">
      <c r="A2381" s="111">
        <v>3100.0</v>
      </c>
      <c r="B2381" s="111" t="s">
        <v>10381</v>
      </c>
      <c r="C2381" s="111" t="s">
        <v>8161</v>
      </c>
      <c r="D2381" s="111">
        <v>2025.0</v>
      </c>
      <c r="E2381" s="111"/>
      <c r="F2381" s="111" t="s">
        <v>12393</v>
      </c>
      <c r="G2381" s="111" t="s">
        <v>12381</v>
      </c>
      <c r="H2381" s="111" t="s">
        <v>12230</v>
      </c>
      <c r="I2381" s="111" t="s">
        <v>12287</v>
      </c>
      <c r="J2381" s="111"/>
      <c r="K2381" s="111" t="s">
        <v>30</v>
      </c>
      <c r="L2381" s="111"/>
      <c r="M2381" s="111"/>
      <c r="N2381" s="111"/>
      <c r="O2381" s="111"/>
      <c r="P2381" s="111"/>
      <c r="Q2381" s="111">
        <v>1.0</v>
      </c>
      <c r="R2381" s="111"/>
      <c r="S2381" s="111">
        <v>1.0</v>
      </c>
      <c r="T2381" s="111"/>
      <c r="U2381" s="111">
        <v>1.0</v>
      </c>
      <c r="V2381" s="111"/>
      <c r="W2381" s="111"/>
      <c r="X2381" s="111"/>
      <c r="Y2381" s="111"/>
      <c r="Z2381" s="111" t="s">
        <v>12802</v>
      </c>
      <c r="AA2381" s="126">
        <v>30.0</v>
      </c>
      <c r="AB2381" s="125">
        <f>IF(Projects!$AI2381="Electrolysis",
AA2381/VLOOKUP(G2381,ElectrolysisConvF,3,FALSE),
AC2381*10^6/(H2dens*HoursInYear))</f>
        <v>6666.666667</v>
      </c>
      <c r="AC2381" s="126">
        <f t="shared" si="438"/>
        <v>5.1976</v>
      </c>
      <c r="AD2381" s="125"/>
      <c r="AE2381" s="125">
        <f t="shared" si="435"/>
        <v>6666.666667</v>
      </c>
      <c r="AF2381" s="127" t="s">
        <v>15421</v>
      </c>
      <c r="AG2381" s="127">
        <v>39.6543646316343</v>
      </c>
      <c r="AH2381" s="127">
        <v>-7.66881403606777</v>
      </c>
      <c r="AI2381" s="115" t="s">
        <v>12383</v>
      </c>
      <c r="AJ2381" s="116">
        <v>0.57</v>
      </c>
      <c r="AK2381" s="117"/>
      <c r="AL2381" s="117"/>
      <c r="AM2381" s="117"/>
      <c r="AN2381" s="117"/>
      <c r="AO2381" s="117"/>
    </row>
    <row r="2382" ht="34.5" customHeight="1">
      <c r="A2382" s="111">
        <v>3101.0</v>
      </c>
      <c r="B2382" s="111" t="s">
        <v>10382</v>
      </c>
      <c r="C2382" s="111" t="s">
        <v>8161</v>
      </c>
      <c r="D2382" s="111">
        <v>2030.0</v>
      </c>
      <c r="E2382" s="111"/>
      <c r="F2382" s="111" t="s">
        <v>12397</v>
      </c>
      <c r="G2382" s="111" t="s">
        <v>12381</v>
      </c>
      <c r="H2382" s="111" t="s">
        <v>12230</v>
      </c>
      <c r="I2382" s="111" t="s">
        <v>12394</v>
      </c>
      <c r="J2382" s="111" t="s">
        <v>12296</v>
      </c>
      <c r="K2382" s="111" t="s">
        <v>174</v>
      </c>
      <c r="L2382" s="111"/>
      <c r="M2382" s="111">
        <v>1.0</v>
      </c>
      <c r="N2382" s="111"/>
      <c r="O2382" s="111"/>
      <c r="P2382" s="111">
        <v>1.0</v>
      </c>
      <c r="Q2382" s="111"/>
      <c r="R2382" s="111"/>
      <c r="S2382" s="111"/>
      <c r="T2382" s="111"/>
      <c r="U2382" s="111"/>
      <c r="V2382" s="111"/>
      <c r="W2382" s="111"/>
      <c r="X2382" s="111"/>
      <c r="Y2382" s="111"/>
      <c r="Z2382" s="111" t="s">
        <v>15349</v>
      </c>
      <c r="AA2382" s="126">
        <v>470.0</v>
      </c>
      <c r="AB2382" s="125">
        <f>IF(Projects!$AI2382="Electrolysis",
AA2382/VLOOKUP(G2382,ElectrolysisConvF,3,FALSE),
AC2382*10^6/(H2dens*HoursInYear))</f>
        <v>104444.4444</v>
      </c>
      <c r="AC2382" s="126">
        <f t="shared" si="438"/>
        <v>81.42906667</v>
      </c>
      <c r="AD2382" s="125"/>
      <c r="AE2382" s="125">
        <f t="shared" si="435"/>
        <v>104444.4444</v>
      </c>
      <c r="AF2382" s="127" t="s">
        <v>15422</v>
      </c>
      <c r="AG2382" s="127">
        <v>40.7597336293465</v>
      </c>
      <c r="AH2382" s="127">
        <v>-8.57326698465109</v>
      </c>
      <c r="AI2382" s="115" t="s">
        <v>12383</v>
      </c>
      <c r="AJ2382" s="116">
        <v>0.5</v>
      </c>
      <c r="AK2382" s="117"/>
      <c r="AL2382" s="117"/>
      <c r="AM2382" s="117"/>
      <c r="AN2382" s="117"/>
      <c r="AO2382" s="117"/>
    </row>
    <row r="2383" ht="34.5" customHeight="1">
      <c r="A2383" s="111">
        <v>3102.0</v>
      </c>
      <c r="B2383" s="111" t="s">
        <v>10383</v>
      </c>
      <c r="C2383" s="111" t="s">
        <v>8161</v>
      </c>
      <c r="D2383" s="111">
        <v>2035.0</v>
      </c>
      <c r="E2383" s="111"/>
      <c r="F2383" s="111" t="s">
        <v>12397</v>
      </c>
      <c r="G2383" s="111" t="s">
        <v>12381</v>
      </c>
      <c r="H2383" s="111" t="s">
        <v>12230</v>
      </c>
      <c r="I2383" s="111" t="s">
        <v>12394</v>
      </c>
      <c r="J2383" s="111" t="s">
        <v>12296</v>
      </c>
      <c r="K2383" s="111" t="s">
        <v>174</v>
      </c>
      <c r="L2383" s="111"/>
      <c r="M2383" s="111">
        <v>1.0</v>
      </c>
      <c r="N2383" s="111"/>
      <c r="O2383" s="111"/>
      <c r="P2383" s="111"/>
      <c r="Q2383" s="111"/>
      <c r="R2383" s="111"/>
      <c r="S2383" s="111"/>
      <c r="T2383" s="111"/>
      <c r="U2383" s="111"/>
      <c r="V2383" s="111"/>
      <c r="W2383" s="111"/>
      <c r="X2383" s="111"/>
      <c r="Y2383" s="111"/>
      <c r="Z2383" s="111" t="s">
        <v>15423</v>
      </c>
      <c r="AA2383" s="126">
        <v>400.0</v>
      </c>
      <c r="AB2383" s="125">
        <f>IF(Projects!$AI2383="Electrolysis",
AA2383/VLOOKUP(G2383,ElectrolysisConvF,3,FALSE),
AC2383*10^6/(H2dens*HoursInYear))</f>
        <v>88888.88889</v>
      </c>
      <c r="AC2383" s="126">
        <f t="shared" si="438"/>
        <v>69.30133333</v>
      </c>
      <c r="AD2383" s="125"/>
      <c r="AE2383" s="125">
        <f t="shared" si="435"/>
        <v>88888.88889</v>
      </c>
      <c r="AF2383" s="127" t="s">
        <v>15422</v>
      </c>
      <c r="AG2383" s="127">
        <v>40.7597336293465</v>
      </c>
      <c r="AH2383" s="127">
        <v>-8.57326698465109</v>
      </c>
      <c r="AI2383" s="115" t="s">
        <v>12383</v>
      </c>
      <c r="AJ2383" s="116">
        <v>0.5</v>
      </c>
      <c r="AK2383" s="117"/>
      <c r="AL2383" s="117"/>
      <c r="AM2383" s="117"/>
      <c r="AN2383" s="117"/>
      <c r="AO2383" s="117"/>
    </row>
    <row r="2384" ht="34.5" customHeight="1">
      <c r="A2384" s="111">
        <v>3103.0</v>
      </c>
      <c r="B2384" s="111" t="s">
        <v>10384</v>
      </c>
      <c r="C2384" s="111" t="s">
        <v>8161</v>
      </c>
      <c r="D2384" s="111">
        <v>2040.0</v>
      </c>
      <c r="E2384" s="111"/>
      <c r="F2384" s="111" t="s">
        <v>12397</v>
      </c>
      <c r="G2384" s="111" t="s">
        <v>12381</v>
      </c>
      <c r="H2384" s="111" t="s">
        <v>12230</v>
      </c>
      <c r="I2384" s="111" t="s">
        <v>12394</v>
      </c>
      <c r="J2384" s="111" t="s">
        <v>12296</v>
      </c>
      <c r="K2384" s="111" t="s">
        <v>174</v>
      </c>
      <c r="L2384" s="111"/>
      <c r="M2384" s="111">
        <v>1.0</v>
      </c>
      <c r="N2384" s="111"/>
      <c r="O2384" s="111"/>
      <c r="P2384" s="111"/>
      <c r="Q2384" s="111"/>
      <c r="R2384" s="111"/>
      <c r="S2384" s="111"/>
      <c r="T2384" s="111"/>
      <c r="U2384" s="111"/>
      <c r="V2384" s="111"/>
      <c r="W2384" s="111"/>
      <c r="X2384" s="111"/>
      <c r="Y2384" s="111"/>
      <c r="Z2384" s="111" t="s">
        <v>15424</v>
      </c>
      <c r="AA2384" s="126">
        <v>600.0</v>
      </c>
      <c r="AB2384" s="125">
        <f>IF(Projects!$AI2384="Electrolysis",
AA2384/VLOOKUP(G2384,ElectrolysisConvF,3,FALSE),
AC2384*10^6/(H2dens*HoursInYear))</f>
        <v>133333.3333</v>
      </c>
      <c r="AC2384" s="126">
        <f t="shared" si="438"/>
        <v>103.952</v>
      </c>
      <c r="AD2384" s="125"/>
      <c r="AE2384" s="125">
        <f t="shared" si="435"/>
        <v>133333.3333</v>
      </c>
      <c r="AF2384" s="127" t="s">
        <v>15422</v>
      </c>
      <c r="AG2384" s="127">
        <v>40.7597336293465</v>
      </c>
      <c r="AH2384" s="127">
        <v>-8.57326698465109</v>
      </c>
      <c r="AI2384" s="115" t="s">
        <v>12383</v>
      </c>
      <c r="AJ2384" s="116">
        <v>0.5</v>
      </c>
      <c r="AK2384" s="117"/>
      <c r="AL2384" s="117"/>
      <c r="AM2384" s="117"/>
      <c r="AN2384" s="117"/>
      <c r="AO2384" s="117"/>
    </row>
    <row r="2385" ht="34.5" customHeight="1">
      <c r="A2385" s="111">
        <v>3104.0</v>
      </c>
      <c r="B2385" s="111" t="s">
        <v>10385</v>
      </c>
      <c r="C2385" s="111" t="s">
        <v>8161</v>
      </c>
      <c r="D2385" s="111">
        <v>2025.0</v>
      </c>
      <c r="E2385" s="111"/>
      <c r="F2385" s="111" t="s">
        <v>12399</v>
      </c>
      <c r="G2385" s="111" t="s">
        <v>12224</v>
      </c>
      <c r="H2385" s="111"/>
      <c r="I2385" s="111" t="s">
        <v>12394</v>
      </c>
      <c r="J2385" s="111" t="s">
        <v>12291</v>
      </c>
      <c r="K2385" s="111" t="s">
        <v>30</v>
      </c>
      <c r="L2385" s="111"/>
      <c r="M2385" s="111"/>
      <c r="N2385" s="111"/>
      <c r="O2385" s="111"/>
      <c r="P2385" s="111">
        <v>1.0</v>
      </c>
      <c r="Q2385" s="111"/>
      <c r="R2385" s="111"/>
      <c r="S2385" s="111">
        <v>1.0</v>
      </c>
      <c r="T2385" s="111"/>
      <c r="U2385" s="111"/>
      <c r="V2385" s="111"/>
      <c r="W2385" s="111"/>
      <c r="X2385" s="111"/>
      <c r="Y2385" s="111"/>
      <c r="Z2385" s="111" t="s">
        <v>12422</v>
      </c>
      <c r="AA2385" s="126">
        <v>10.0</v>
      </c>
      <c r="AB2385" s="125">
        <f>IF(Projects!$AI2385="Electrolysis",
AA2385/VLOOKUP(G2385,ElectrolysisConvF,3,FALSE),
AC2385*10^6/(H2dens*HoursInYear))</f>
        <v>2173.913043</v>
      </c>
      <c r="AC2385" s="126">
        <f t="shared" si="438"/>
        <v>1.694869565</v>
      </c>
      <c r="AD2385" s="125"/>
      <c r="AE2385" s="125">
        <f t="shared" si="435"/>
        <v>2173.913043</v>
      </c>
      <c r="AF2385" s="127" t="s">
        <v>15425</v>
      </c>
      <c r="AG2385" s="127">
        <v>38.9505055058775</v>
      </c>
      <c r="AH2385" s="127">
        <v>-8.99068505926226</v>
      </c>
      <c r="AI2385" s="115" t="s">
        <v>12383</v>
      </c>
      <c r="AJ2385" s="116">
        <v>0.3</v>
      </c>
      <c r="AK2385" s="117"/>
      <c r="AL2385" s="117"/>
      <c r="AM2385" s="117"/>
      <c r="AN2385" s="117"/>
      <c r="AO2385" s="117"/>
    </row>
    <row r="2386" ht="34.5" customHeight="1">
      <c r="A2386" s="111">
        <v>3105.0</v>
      </c>
      <c r="B2386" s="111" t="s">
        <v>10386</v>
      </c>
      <c r="C2386" s="111" t="s">
        <v>7971</v>
      </c>
      <c r="D2386" s="111">
        <v>2030.0</v>
      </c>
      <c r="E2386" s="111"/>
      <c r="F2386" s="111" t="s">
        <v>12399</v>
      </c>
      <c r="G2386" s="111" t="s">
        <v>12381</v>
      </c>
      <c r="H2386" s="111" t="s">
        <v>12230</v>
      </c>
      <c r="I2386" s="111" t="s">
        <v>12287</v>
      </c>
      <c r="J2386" s="111"/>
      <c r="K2386" s="111" t="s">
        <v>30</v>
      </c>
      <c r="L2386" s="111"/>
      <c r="M2386" s="111"/>
      <c r="N2386" s="111"/>
      <c r="O2386" s="111"/>
      <c r="P2386" s="111">
        <v>1.0</v>
      </c>
      <c r="Q2386" s="111"/>
      <c r="R2386" s="111"/>
      <c r="S2386" s="111"/>
      <c r="T2386" s="111"/>
      <c r="U2386" s="111"/>
      <c r="V2386" s="111"/>
      <c r="W2386" s="111"/>
      <c r="X2386" s="111"/>
      <c r="Y2386" s="111"/>
      <c r="Z2386" s="111" t="s">
        <v>13758</v>
      </c>
      <c r="AA2386" s="126">
        <v>75.0</v>
      </c>
      <c r="AB2386" s="125">
        <f>IF(Projects!$AI2386="Electrolysis",
AA2386/VLOOKUP(G2386,ElectrolysisConvF,3,FALSE),
AC2386*10^6/(H2dens*HoursInYear))</f>
        <v>16666.66667</v>
      </c>
      <c r="AC2386" s="126">
        <f t="shared" si="438"/>
        <v>12.994</v>
      </c>
      <c r="AD2386" s="125"/>
      <c r="AE2386" s="125">
        <f t="shared" si="435"/>
        <v>16666.66667</v>
      </c>
      <c r="AF2386" s="127" t="s">
        <v>15426</v>
      </c>
      <c r="AG2386" s="127">
        <v>60.1168393383125</v>
      </c>
      <c r="AH2386" s="127">
        <v>6.56076908107976</v>
      </c>
      <c r="AI2386" s="115" t="s">
        <v>12383</v>
      </c>
      <c r="AJ2386" s="116">
        <v>0.57</v>
      </c>
      <c r="AK2386" s="117"/>
      <c r="AL2386" s="117"/>
      <c r="AM2386" s="117"/>
      <c r="AN2386" s="117"/>
      <c r="AO2386" s="117"/>
    </row>
    <row r="2387" ht="34.5" customHeight="1">
      <c r="A2387" s="111">
        <v>3106.0</v>
      </c>
      <c r="B2387" s="111" t="s">
        <v>10387</v>
      </c>
      <c r="C2387" s="111" t="s">
        <v>7971</v>
      </c>
      <c r="D2387" s="111">
        <v>2028.0</v>
      </c>
      <c r="E2387" s="111"/>
      <c r="F2387" s="111" t="s">
        <v>12399</v>
      </c>
      <c r="G2387" s="111" t="s">
        <v>12381</v>
      </c>
      <c r="H2387" s="111" t="s">
        <v>12230</v>
      </c>
      <c r="I2387" s="111" t="s">
        <v>12287</v>
      </c>
      <c r="J2387" s="111"/>
      <c r="K2387" s="111" t="s">
        <v>174</v>
      </c>
      <c r="L2387" s="111"/>
      <c r="M2387" s="111">
        <v>1.0</v>
      </c>
      <c r="N2387" s="111"/>
      <c r="O2387" s="111"/>
      <c r="P2387" s="111"/>
      <c r="Q2387" s="111">
        <v>1.0</v>
      </c>
      <c r="R2387" s="111"/>
      <c r="S2387" s="111"/>
      <c r="T2387" s="111"/>
      <c r="U2387" s="111"/>
      <c r="V2387" s="111"/>
      <c r="W2387" s="111"/>
      <c r="X2387" s="111"/>
      <c r="Y2387" s="111"/>
      <c r="Z2387" s="111" t="s">
        <v>13104</v>
      </c>
      <c r="AA2387" s="126">
        <v>300.0</v>
      </c>
      <c r="AB2387" s="125">
        <f>IF(Projects!$AI2387="Electrolysis",
AA2387/VLOOKUP(G2387,ElectrolysisConvF,3,FALSE),
AC2387*10^6/(H2dens*HoursInYear))</f>
        <v>66666.66667</v>
      </c>
      <c r="AC2387" s="126">
        <f t="shared" si="438"/>
        <v>51.976</v>
      </c>
      <c r="AD2387" s="125"/>
      <c r="AE2387" s="125">
        <f t="shared" si="435"/>
        <v>66666.66667</v>
      </c>
      <c r="AF2387" s="127" t="s">
        <v>15427</v>
      </c>
      <c r="AG2387" s="127">
        <v>59.7207793712225</v>
      </c>
      <c r="AH2387" s="127">
        <v>11.4553460696702</v>
      </c>
      <c r="AI2387" s="115" t="s">
        <v>12383</v>
      </c>
      <c r="AJ2387" s="116">
        <v>0.57</v>
      </c>
      <c r="AK2387" s="117"/>
      <c r="AL2387" s="117"/>
      <c r="AM2387" s="117"/>
      <c r="AN2387" s="117"/>
      <c r="AO2387" s="117"/>
    </row>
    <row r="2388" ht="34.5" customHeight="1">
      <c r="A2388" s="111">
        <v>3107.0</v>
      </c>
      <c r="B2388" s="111" t="s">
        <v>10388</v>
      </c>
      <c r="C2388" s="111" t="s">
        <v>8161</v>
      </c>
      <c r="D2388" s="111">
        <v>2025.0</v>
      </c>
      <c r="E2388" s="111"/>
      <c r="F2388" s="111" t="s">
        <v>12399</v>
      </c>
      <c r="G2388" s="111" t="s">
        <v>12226</v>
      </c>
      <c r="H2388" s="111"/>
      <c r="I2388" s="111" t="s">
        <v>12394</v>
      </c>
      <c r="J2388" s="111" t="s">
        <v>12291</v>
      </c>
      <c r="K2388" s="111" t="s">
        <v>12481</v>
      </c>
      <c r="L2388" s="111"/>
      <c r="M2388" s="111"/>
      <c r="N2388" s="111"/>
      <c r="O2388" s="111"/>
      <c r="P2388" s="111">
        <v>1.0</v>
      </c>
      <c r="Q2388" s="111"/>
      <c r="R2388" s="111"/>
      <c r="S2388" s="111">
        <v>1.0</v>
      </c>
      <c r="T2388" s="111"/>
      <c r="U2388" s="111"/>
      <c r="V2388" s="111"/>
      <c r="W2388" s="111"/>
      <c r="X2388" s="111"/>
      <c r="Y2388" s="111"/>
      <c r="Z2388" s="111" t="s">
        <v>12703</v>
      </c>
      <c r="AA2388" s="126">
        <v>10.0</v>
      </c>
      <c r="AB2388" s="125">
        <f>IF(Projects!$AI2388="Electrolysis",
AA2388/VLOOKUP(G2388,ElectrolysisConvF,3,FALSE),
AC2388*10^6/(H2dens*HoursInYear))</f>
        <v>1923.076923</v>
      </c>
      <c r="AC2388" s="126">
        <f t="shared" si="438"/>
        <v>1.499307692</v>
      </c>
      <c r="AD2388" s="125"/>
      <c r="AE2388" s="125">
        <f t="shared" si="435"/>
        <v>1923.076923</v>
      </c>
      <c r="AF2388" s="127" t="s">
        <v>15428</v>
      </c>
      <c r="AG2388" s="127">
        <v>37.95961407835</v>
      </c>
      <c r="AH2388" s="127">
        <v>-8.85858639904864</v>
      </c>
      <c r="AI2388" s="115" t="s">
        <v>12383</v>
      </c>
      <c r="AJ2388" s="116">
        <v>0.3</v>
      </c>
      <c r="AK2388" s="117"/>
      <c r="AL2388" s="117"/>
      <c r="AM2388" s="117"/>
      <c r="AN2388" s="117"/>
      <c r="AO2388" s="117"/>
    </row>
    <row r="2389" ht="34.5" customHeight="1">
      <c r="A2389" s="111">
        <v>3108.0</v>
      </c>
      <c r="B2389" s="111" t="s">
        <v>10389</v>
      </c>
      <c r="C2389" s="111" t="s">
        <v>8161</v>
      </c>
      <c r="D2389" s="111">
        <v>2028.0</v>
      </c>
      <c r="E2389" s="111"/>
      <c r="F2389" s="111" t="s">
        <v>12397</v>
      </c>
      <c r="G2389" s="111" t="s">
        <v>12226</v>
      </c>
      <c r="H2389" s="111"/>
      <c r="I2389" s="111" t="s">
        <v>12394</v>
      </c>
      <c r="J2389" s="111" t="s">
        <v>12291</v>
      </c>
      <c r="K2389" s="111" t="s">
        <v>12481</v>
      </c>
      <c r="L2389" s="111"/>
      <c r="M2389" s="111"/>
      <c r="N2389" s="111"/>
      <c r="O2389" s="111"/>
      <c r="P2389" s="111"/>
      <c r="Q2389" s="111"/>
      <c r="R2389" s="111"/>
      <c r="S2389" s="111"/>
      <c r="T2389" s="111"/>
      <c r="U2389" s="111"/>
      <c r="V2389" s="111"/>
      <c r="W2389" s="111"/>
      <c r="X2389" s="111"/>
      <c r="Y2389" s="111"/>
      <c r="Z2389" s="111" t="s">
        <v>15429</v>
      </c>
      <c r="AA2389" s="126">
        <v>530.0</v>
      </c>
      <c r="AB2389" s="125">
        <f>IF(Projects!$AI2389="Electrolysis",
AA2389/VLOOKUP(G2389,ElectrolysisConvF,3,FALSE),
AC2389*10^6/(H2dens*HoursInYear))</f>
        <v>101923.0769</v>
      </c>
      <c r="AC2389" s="126">
        <f t="shared" si="438"/>
        <v>79.46330769</v>
      </c>
      <c r="AD2389" s="125"/>
      <c r="AE2389" s="125">
        <f t="shared" si="435"/>
        <v>101923.0769</v>
      </c>
      <c r="AF2389" s="127" t="s">
        <v>15428</v>
      </c>
      <c r="AG2389" s="127">
        <v>37.95961407835</v>
      </c>
      <c r="AH2389" s="127">
        <v>-8.85858639904864</v>
      </c>
      <c r="AI2389" s="115" t="s">
        <v>12383</v>
      </c>
      <c r="AJ2389" s="116">
        <v>0.3</v>
      </c>
      <c r="AK2389" s="117"/>
      <c r="AL2389" s="117"/>
      <c r="AM2389" s="117"/>
      <c r="AN2389" s="117"/>
      <c r="AO2389" s="117"/>
    </row>
    <row r="2390" ht="34.5" customHeight="1">
      <c r="A2390" s="111">
        <v>3109.0</v>
      </c>
      <c r="B2390" s="111" t="s">
        <v>10390</v>
      </c>
      <c r="C2390" s="111" t="s">
        <v>7971</v>
      </c>
      <c r="D2390" s="111">
        <v>2028.0</v>
      </c>
      <c r="E2390" s="111"/>
      <c r="F2390" s="111" t="s">
        <v>12397</v>
      </c>
      <c r="G2390" s="111" t="s">
        <v>12381</v>
      </c>
      <c r="H2390" s="111" t="s">
        <v>12230</v>
      </c>
      <c r="I2390" s="111" t="s">
        <v>12287</v>
      </c>
      <c r="J2390" s="111"/>
      <c r="K2390" s="111" t="s">
        <v>12251</v>
      </c>
      <c r="L2390" s="111"/>
      <c r="M2390" s="111"/>
      <c r="N2390" s="111"/>
      <c r="O2390" s="111"/>
      <c r="P2390" s="111"/>
      <c r="Q2390" s="111"/>
      <c r="R2390" s="111"/>
      <c r="S2390" s="111"/>
      <c r="T2390" s="111"/>
      <c r="U2390" s="111"/>
      <c r="V2390" s="111"/>
      <c r="W2390" s="111">
        <v>1.0</v>
      </c>
      <c r="X2390" s="111"/>
      <c r="Y2390" s="111"/>
      <c r="Z2390" s="111" t="s">
        <v>12411</v>
      </c>
      <c r="AA2390" s="126">
        <v>20.0</v>
      </c>
      <c r="AB2390" s="125">
        <f>IF(Projects!$AI2390="Electrolysis",
AA2390/VLOOKUP(G2390,ElectrolysisConvF,3,FALSE),
AC2390*10^6/(H2dens*HoursInYear))</f>
        <v>4444.444444</v>
      </c>
      <c r="AC2390" s="126">
        <f t="shared" si="438"/>
        <v>3.465066667</v>
      </c>
      <c r="AD2390" s="125"/>
      <c r="AE2390" s="125">
        <f t="shared" si="435"/>
        <v>4444.444444</v>
      </c>
      <c r="AF2390" s="127" t="s">
        <v>15430</v>
      </c>
      <c r="AG2390" s="127">
        <v>61.2564293948886</v>
      </c>
      <c r="AH2390" s="127">
        <v>4.96404920301617</v>
      </c>
      <c r="AI2390" s="115" t="s">
        <v>12383</v>
      </c>
      <c r="AJ2390" s="116">
        <v>0.57</v>
      </c>
      <c r="AK2390" s="117"/>
      <c r="AL2390" s="117"/>
      <c r="AM2390" s="117"/>
      <c r="AN2390" s="117"/>
      <c r="AO2390" s="117"/>
    </row>
    <row r="2391" ht="34.5" customHeight="1">
      <c r="A2391" s="111">
        <v>3110.0</v>
      </c>
      <c r="B2391" s="111" t="s">
        <v>10391</v>
      </c>
      <c r="C2391" s="111" t="s">
        <v>7971</v>
      </c>
      <c r="D2391" s="111">
        <v>2027.0</v>
      </c>
      <c r="E2391" s="111"/>
      <c r="F2391" s="111" t="s">
        <v>12399</v>
      </c>
      <c r="G2391" s="111" t="s">
        <v>12381</v>
      </c>
      <c r="H2391" s="111" t="s">
        <v>12230</v>
      </c>
      <c r="I2391" s="111" t="s">
        <v>12287</v>
      </c>
      <c r="J2391" s="111"/>
      <c r="K2391" s="111" t="s">
        <v>30</v>
      </c>
      <c r="L2391" s="111"/>
      <c r="M2391" s="111"/>
      <c r="N2391" s="111"/>
      <c r="O2391" s="111"/>
      <c r="P2391" s="111"/>
      <c r="Q2391" s="111">
        <v>1.0</v>
      </c>
      <c r="R2391" s="111"/>
      <c r="S2391" s="111"/>
      <c r="T2391" s="111"/>
      <c r="U2391" s="111"/>
      <c r="V2391" s="111"/>
      <c r="W2391" s="111"/>
      <c r="X2391" s="111"/>
      <c r="Y2391" s="111"/>
      <c r="Z2391" s="111" t="s">
        <v>12411</v>
      </c>
      <c r="AA2391" s="126">
        <v>20.0</v>
      </c>
      <c r="AB2391" s="125">
        <f>IF(Projects!$AI2391="Electrolysis",
AA2391/VLOOKUP(G2391,ElectrolysisConvF,3,FALSE),
AC2391*10^6/(H2dens*HoursInYear))</f>
        <v>4444.444444</v>
      </c>
      <c r="AC2391" s="126">
        <f t="shared" si="438"/>
        <v>3.465066667</v>
      </c>
      <c r="AD2391" s="125"/>
      <c r="AE2391" s="125">
        <f t="shared" si="435"/>
        <v>4444.444444</v>
      </c>
      <c r="AF2391" s="127" t="s">
        <v>15431</v>
      </c>
      <c r="AG2391" s="127">
        <v>61.5996884028299</v>
      </c>
      <c r="AH2391" s="127">
        <v>5.03478031166522</v>
      </c>
      <c r="AI2391" s="115" t="s">
        <v>12383</v>
      </c>
      <c r="AJ2391" s="116">
        <v>0.57</v>
      </c>
      <c r="AK2391" s="117"/>
      <c r="AL2391" s="117"/>
      <c r="AM2391" s="117"/>
      <c r="AN2391" s="117"/>
      <c r="AO2391" s="117"/>
    </row>
    <row r="2392" ht="34.5" customHeight="1">
      <c r="A2392" s="111">
        <v>3111.0</v>
      </c>
      <c r="B2392" s="111" t="s">
        <v>10392</v>
      </c>
      <c r="C2392" s="111" t="s">
        <v>7971</v>
      </c>
      <c r="D2392" s="111">
        <v>2024.0</v>
      </c>
      <c r="E2392" s="111"/>
      <c r="F2392" s="111" t="s">
        <v>12393</v>
      </c>
      <c r="G2392" s="111" t="s">
        <v>12224</v>
      </c>
      <c r="H2392" s="111"/>
      <c r="I2392" s="111" t="s">
        <v>12287</v>
      </c>
      <c r="J2392" s="111"/>
      <c r="K2392" s="111" t="s">
        <v>30</v>
      </c>
      <c r="L2392" s="111"/>
      <c r="M2392" s="111"/>
      <c r="N2392" s="111"/>
      <c r="O2392" s="111">
        <v>1.0</v>
      </c>
      <c r="P2392" s="111"/>
      <c r="Q2392" s="111"/>
      <c r="R2392" s="111"/>
      <c r="S2392" s="111"/>
      <c r="T2392" s="111"/>
      <c r="U2392" s="111"/>
      <c r="V2392" s="111"/>
      <c r="W2392" s="111"/>
      <c r="X2392" s="111"/>
      <c r="Y2392" s="111"/>
      <c r="Z2392" s="111" t="s">
        <v>12800</v>
      </c>
      <c r="AA2392" s="126">
        <v>40.0</v>
      </c>
      <c r="AB2392" s="125">
        <f>IF(Projects!$AI2392="Electrolysis",
AA2392/VLOOKUP(G2392,ElectrolysisConvF,3,FALSE),
AC2392*10^6/(H2dens*HoursInYear))</f>
        <v>8695.652174</v>
      </c>
      <c r="AC2392" s="126">
        <f t="shared" si="438"/>
        <v>6.779478261</v>
      </c>
      <c r="AD2392" s="125"/>
      <c r="AE2392" s="125">
        <f t="shared" si="435"/>
        <v>8695.652174</v>
      </c>
      <c r="AF2392" s="127" t="s">
        <v>15432</v>
      </c>
      <c r="AG2392" s="127">
        <v>66.3137936198188</v>
      </c>
      <c r="AH2392" s="127">
        <v>14.1436084624909</v>
      </c>
      <c r="AI2392" s="115" t="s">
        <v>12383</v>
      </c>
      <c r="AJ2392" s="116">
        <v>0.57</v>
      </c>
      <c r="AK2392" s="117"/>
      <c r="AL2392" s="117"/>
      <c r="AM2392" s="117"/>
      <c r="AN2392" s="117"/>
      <c r="AO2392" s="117"/>
    </row>
    <row r="2393" ht="34.5" customHeight="1">
      <c r="A2393" s="111">
        <v>3112.0</v>
      </c>
      <c r="B2393" s="111" t="s">
        <v>10393</v>
      </c>
      <c r="C2393" s="111" t="s">
        <v>7971</v>
      </c>
      <c r="D2393" s="111">
        <v>2028.0</v>
      </c>
      <c r="E2393" s="111"/>
      <c r="F2393" s="111" t="s">
        <v>12399</v>
      </c>
      <c r="G2393" s="111" t="s">
        <v>12224</v>
      </c>
      <c r="H2393" s="111"/>
      <c r="I2393" s="111" t="s">
        <v>12394</v>
      </c>
      <c r="J2393" s="111" t="s">
        <v>12295</v>
      </c>
      <c r="K2393" s="111" t="s">
        <v>174</v>
      </c>
      <c r="L2393" s="111"/>
      <c r="M2393" s="111">
        <v>1.0</v>
      </c>
      <c r="N2393" s="111"/>
      <c r="O2393" s="111"/>
      <c r="P2393" s="111"/>
      <c r="Q2393" s="111"/>
      <c r="R2393" s="111"/>
      <c r="S2393" s="111"/>
      <c r="T2393" s="111"/>
      <c r="U2393" s="111"/>
      <c r="V2393" s="111"/>
      <c r="W2393" s="111"/>
      <c r="X2393" s="111"/>
      <c r="Y2393" s="111"/>
      <c r="Z2393" s="111" t="s">
        <v>13620</v>
      </c>
      <c r="AA2393" s="126">
        <v>500.0</v>
      </c>
      <c r="AB2393" s="125">
        <f>IF(Projects!$AI2393="Electrolysis",
AA2393/VLOOKUP(G2393,ElectrolysisConvF,3,FALSE),
AC2393*10^6/(H2dens*HoursInYear))</f>
        <v>108695.6522</v>
      </c>
      <c r="AC2393" s="126">
        <f t="shared" si="438"/>
        <v>84.74347826</v>
      </c>
      <c r="AD2393" s="125"/>
      <c r="AE2393" s="125">
        <f t="shared" si="435"/>
        <v>108695.6522</v>
      </c>
      <c r="AF2393" s="127" t="s">
        <v>15433</v>
      </c>
      <c r="AG2393" s="127">
        <v>58.3215303694938</v>
      </c>
      <c r="AH2393" s="127">
        <v>6.96894573603009</v>
      </c>
      <c r="AI2393" s="115" t="s">
        <v>12383</v>
      </c>
      <c r="AJ2393" s="116">
        <v>0.5</v>
      </c>
      <c r="AK2393" s="117"/>
      <c r="AL2393" s="117"/>
      <c r="AM2393" s="117"/>
      <c r="AN2393" s="117"/>
      <c r="AO2393" s="117"/>
    </row>
    <row r="2394" ht="34.5" customHeight="1">
      <c r="A2394" s="111">
        <v>3113.0</v>
      </c>
      <c r="B2394" s="111" t="s">
        <v>10394</v>
      </c>
      <c r="C2394" s="111" t="s">
        <v>8122</v>
      </c>
      <c r="D2394" s="111">
        <v>2025.0</v>
      </c>
      <c r="E2394" s="111"/>
      <c r="F2394" s="111" t="s">
        <v>12397</v>
      </c>
      <c r="G2394" s="111" t="s">
        <v>12381</v>
      </c>
      <c r="H2394" s="111" t="s">
        <v>12230</v>
      </c>
      <c r="I2394" s="111" t="s">
        <v>12287</v>
      </c>
      <c r="J2394" s="111"/>
      <c r="K2394" s="111" t="s">
        <v>30</v>
      </c>
      <c r="L2394" s="111"/>
      <c r="M2394" s="111"/>
      <c r="N2394" s="111"/>
      <c r="O2394" s="111"/>
      <c r="P2394" s="111"/>
      <c r="Q2394" s="111">
        <v>1.0</v>
      </c>
      <c r="R2394" s="111"/>
      <c r="S2394" s="111"/>
      <c r="T2394" s="111"/>
      <c r="U2394" s="111"/>
      <c r="V2394" s="111"/>
      <c r="W2394" s="111"/>
      <c r="X2394" s="111"/>
      <c r="Y2394" s="111"/>
      <c r="Z2394" s="111" t="s">
        <v>12422</v>
      </c>
      <c r="AA2394" s="126">
        <v>10.0</v>
      </c>
      <c r="AB2394" s="125">
        <f>IF(Projects!$AI2394="Electrolysis",
AA2394/VLOOKUP(G2394,ElectrolysisConvF,3,FALSE),
AC2394*10^6/(H2dens*HoursInYear))</f>
        <v>2222.222222</v>
      </c>
      <c r="AC2394" s="126">
        <f t="shared" si="438"/>
        <v>1.732533333</v>
      </c>
      <c r="AD2394" s="125"/>
      <c r="AE2394" s="125">
        <f t="shared" si="435"/>
        <v>2222.222222</v>
      </c>
      <c r="AF2394" s="127" t="s">
        <v>15434</v>
      </c>
      <c r="AG2394" s="127">
        <v>64.0941504407508</v>
      </c>
      <c r="AH2394" s="127">
        <v>-21.0098678566473</v>
      </c>
      <c r="AI2394" s="115" t="s">
        <v>12383</v>
      </c>
      <c r="AJ2394" s="116">
        <v>0.57</v>
      </c>
      <c r="AK2394" s="117"/>
      <c r="AL2394" s="117"/>
      <c r="AM2394" s="117"/>
      <c r="AN2394" s="117"/>
      <c r="AO2394" s="117"/>
    </row>
    <row r="2395" ht="34.5" customHeight="1">
      <c r="A2395" s="111">
        <v>3114.0</v>
      </c>
      <c r="B2395" s="111" t="s">
        <v>10395</v>
      </c>
      <c r="C2395" s="111" t="s">
        <v>7971</v>
      </c>
      <c r="D2395" s="111">
        <v>2028.0</v>
      </c>
      <c r="E2395" s="111"/>
      <c r="F2395" s="111" t="s">
        <v>12393</v>
      </c>
      <c r="G2395" s="111" t="s">
        <v>12381</v>
      </c>
      <c r="H2395" s="111" t="s">
        <v>12230</v>
      </c>
      <c r="I2395" s="111" t="s">
        <v>12394</v>
      </c>
      <c r="J2395" s="111" t="s">
        <v>12295</v>
      </c>
      <c r="K2395" s="111" t="s">
        <v>174</v>
      </c>
      <c r="L2395" s="111"/>
      <c r="M2395" s="111">
        <v>1.0</v>
      </c>
      <c r="N2395" s="111"/>
      <c r="O2395" s="111"/>
      <c r="P2395" s="111"/>
      <c r="Q2395" s="111"/>
      <c r="R2395" s="111"/>
      <c r="S2395" s="111"/>
      <c r="T2395" s="111"/>
      <c r="U2395" s="111"/>
      <c r="V2395" s="111"/>
      <c r="W2395" s="111"/>
      <c r="X2395" s="111"/>
      <c r="Y2395" s="111"/>
      <c r="Z2395" s="111" t="s">
        <v>13995</v>
      </c>
      <c r="AA2395" s="126">
        <v>70.0</v>
      </c>
      <c r="AB2395" s="125">
        <f>IF(Projects!$AI2395="Electrolysis",
AA2395/VLOOKUP(G2395,ElectrolysisConvF,3,FALSE),
AC2395*10^6/(H2dens*HoursInYear))</f>
        <v>15555.55556</v>
      </c>
      <c r="AC2395" s="126">
        <f t="shared" si="438"/>
        <v>12.12773333</v>
      </c>
      <c r="AD2395" s="125"/>
      <c r="AE2395" s="125">
        <f t="shared" si="435"/>
        <v>15555.55556</v>
      </c>
      <c r="AF2395" s="127" t="s">
        <v>15435</v>
      </c>
      <c r="AG2395" s="127">
        <v>69.6837748018127</v>
      </c>
      <c r="AH2395" s="127">
        <v>18.942733318055</v>
      </c>
      <c r="AI2395" s="115" t="s">
        <v>12383</v>
      </c>
      <c r="AJ2395" s="116">
        <v>0.5</v>
      </c>
      <c r="AK2395" s="117"/>
      <c r="AL2395" s="117"/>
      <c r="AM2395" s="117"/>
      <c r="AN2395" s="117"/>
      <c r="AO2395" s="117"/>
    </row>
    <row r="2396" ht="34.5" customHeight="1">
      <c r="A2396" s="111">
        <v>3115.0</v>
      </c>
      <c r="B2396" s="111" t="s">
        <v>10396</v>
      </c>
      <c r="C2396" s="111" t="s">
        <v>7971</v>
      </c>
      <c r="D2396" s="111">
        <v>2027.0</v>
      </c>
      <c r="E2396" s="111"/>
      <c r="F2396" s="111" t="s">
        <v>12399</v>
      </c>
      <c r="G2396" s="111" t="s">
        <v>12224</v>
      </c>
      <c r="H2396" s="111"/>
      <c r="I2396" s="111" t="s">
        <v>12394</v>
      </c>
      <c r="J2396" s="111" t="s">
        <v>12296</v>
      </c>
      <c r="K2396" s="111" t="s">
        <v>12251</v>
      </c>
      <c r="L2396" s="111"/>
      <c r="M2396" s="111"/>
      <c r="N2396" s="111"/>
      <c r="O2396" s="111"/>
      <c r="P2396" s="111"/>
      <c r="Q2396" s="111"/>
      <c r="R2396" s="111"/>
      <c r="S2396" s="111"/>
      <c r="T2396" s="111"/>
      <c r="U2396" s="111"/>
      <c r="V2396" s="111"/>
      <c r="W2396" s="111">
        <v>1.0</v>
      </c>
      <c r="X2396" s="111"/>
      <c r="Y2396" s="111"/>
      <c r="Z2396" s="111" t="s">
        <v>12698</v>
      </c>
      <c r="AA2396" s="124">
        <v>100.0</v>
      </c>
      <c r="AB2396" s="125">
        <f>IF(Projects!$AI2396="Electrolysis",
AA2396/VLOOKUP(G2396,ElectrolysisConvF,3,FALSE),
AC2396*10^6/(H2dens*HoursInYear))</f>
        <v>21739.13043</v>
      </c>
      <c r="AC2396" s="126">
        <f t="shared" si="438"/>
        <v>16.94869565</v>
      </c>
      <c r="AD2396" s="125"/>
      <c r="AE2396" s="125">
        <f t="shared" si="435"/>
        <v>21739.13043</v>
      </c>
      <c r="AF2396" s="127" t="s">
        <v>15436</v>
      </c>
      <c r="AG2396" s="127">
        <v>65.8366296821912</v>
      </c>
      <c r="AH2396" s="127">
        <v>13.1928629066478</v>
      </c>
      <c r="AI2396" s="115" t="s">
        <v>12383</v>
      </c>
      <c r="AJ2396" s="116">
        <v>0.5</v>
      </c>
      <c r="AK2396" s="117"/>
      <c r="AL2396" s="117"/>
      <c r="AM2396" s="117"/>
      <c r="AN2396" s="117"/>
      <c r="AO2396" s="117"/>
    </row>
    <row r="2397" ht="34.5" customHeight="1">
      <c r="A2397" s="111">
        <v>3116.0</v>
      </c>
      <c r="B2397" s="111" t="s">
        <v>10397</v>
      </c>
      <c r="C2397" s="111" t="s">
        <v>7971</v>
      </c>
      <c r="D2397" s="111">
        <v>2026.0</v>
      </c>
      <c r="E2397" s="111"/>
      <c r="F2397" s="111" t="s">
        <v>12393</v>
      </c>
      <c r="G2397" s="111" t="s">
        <v>12381</v>
      </c>
      <c r="H2397" s="111" t="s">
        <v>12230</v>
      </c>
      <c r="I2397" s="111" t="s">
        <v>12287</v>
      </c>
      <c r="J2397" s="111"/>
      <c r="K2397" s="111" t="s">
        <v>30</v>
      </c>
      <c r="L2397" s="111"/>
      <c r="M2397" s="111"/>
      <c r="N2397" s="111"/>
      <c r="O2397" s="111"/>
      <c r="P2397" s="111"/>
      <c r="Q2397" s="111">
        <v>1.0</v>
      </c>
      <c r="R2397" s="111"/>
      <c r="S2397" s="111"/>
      <c r="T2397" s="111"/>
      <c r="U2397" s="111"/>
      <c r="V2397" s="111"/>
      <c r="W2397" s="111"/>
      <c r="X2397" s="111"/>
      <c r="Y2397" s="111"/>
      <c r="Z2397" s="111" t="s">
        <v>12422</v>
      </c>
      <c r="AA2397" s="126">
        <v>10.0</v>
      </c>
      <c r="AB2397" s="125">
        <f>IF(Projects!$AI2397="Electrolysis",
AA2397/VLOOKUP(G2397,ElectrolysisConvF,3,FALSE),
AC2397*10^6/(H2dens*HoursInYear))</f>
        <v>2222.222222</v>
      </c>
      <c r="AC2397" s="126">
        <f t="shared" si="438"/>
        <v>1.732533333</v>
      </c>
      <c r="AD2397" s="125"/>
      <c r="AE2397" s="125">
        <f t="shared" si="435"/>
        <v>2222.222222</v>
      </c>
      <c r="AF2397" s="127" t="s">
        <v>15437</v>
      </c>
      <c r="AG2397" s="127">
        <v>59.0646984333412</v>
      </c>
      <c r="AH2397" s="127">
        <v>5.92297661390578</v>
      </c>
      <c r="AI2397" s="115" t="s">
        <v>12383</v>
      </c>
      <c r="AJ2397" s="116">
        <v>0.57</v>
      </c>
      <c r="AK2397" s="117"/>
      <c r="AL2397" s="117"/>
      <c r="AM2397" s="117"/>
      <c r="AN2397" s="117"/>
      <c r="AO2397" s="117"/>
    </row>
    <row r="2398" ht="34.5" customHeight="1">
      <c r="A2398" s="111">
        <v>3117.0</v>
      </c>
      <c r="B2398" s="111" t="s">
        <v>10398</v>
      </c>
      <c r="C2398" s="111" t="s">
        <v>7971</v>
      </c>
      <c r="D2398" s="111">
        <v>2027.0</v>
      </c>
      <c r="E2398" s="111"/>
      <c r="F2398" s="111" t="s">
        <v>12393</v>
      </c>
      <c r="G2398" s="111" t="s">
        <v>12381</v>
      </c>
      <c r="H2398" s="111" t="s">
        <v>12230</v>
      </c>
      <c r="I2398" s="111" t="s">
        <v>12287</v>
      </c>
      <c r="J2398" s="111"/>
      <c r="K2398" s="111" t="s">
        <v>30</v>
      </c>
      <c r="L2398" s="111"/>
      <c r="M2398" s="111"/>
      <c r="N2398" s="111"/>
      <c r="O2398" s="111"/>
      <c r="P2398" s="111"/>
      <c r="Q2398" s="111">
        <v>1.0</v>
      </c>
      <c r="R2398" s="111"/>
      <c r="S2398" s="111"/>
      <c r="T2398" s="111"/>
      <c r="U2398" s="111"/>
      <c r="V2398" s="111"/>
      <c r="W2398" s="111"/>
      <c r="X2398" s="111"/>
      <c r="Y2398" s="111"/>
      <c r="Z2398" s="111" t="s">
        <v>12411</v>
      </c>
      <c r="AA2398" s="126">
        <v>20.0</v>
      </c>
      <c r="AB2398" s="125">
        <f>IF(Projects!$AI2398="Electrolysis",
AA2398/VLOOKUP(G2398,ElectrolysisConvF,3,FALSE),
AC2398*10^6/(H2dens*HoursInYear))</f>
        <v>4444.444444</v>
      </c>
      <c r="AC2398" s="126">
        <f t="shared" si="438"/>
        <v>3.465066667</v>
      </c>
      <c r="AD2398" s="125"/>
      <c r="AE2398" s="125">
        <f t="shared" si="435"/>
        <v>4444.444444</v>
      </c>
      <c r="AF2398" s="127"/>
      <c r="AG2398" s="127">
        <v>64.8883753164936</v>
      </c>
      <c r="AH2398" s="127">
        <v>11.3001687488317</v>
      </c>
      <c r="AI2398" s="115" t="s">
        <v>12383</v>
      </c>
      <c r="AJ2398" s="116">
        <v>0.57</v>
      </c>
      <c r="AK2398" s="117"/>
      <c r="AL2398" s="117"/>
      <c r="AM2398" s="117"/>
      <c r="AN2398" s="117"/>
      <c r="AO2398" s="117"/>
    </row>
    <row r="2399" ht="34.5" customHeight="1">
      <c r="A2399" s="111">
        <v>3118.0</v>
      </c>
      <c r="B2399" s="111" t="s">
        <v>10399</v>
      </c>
      <c r="C2399" s="111" t="s">
        <v>8161</v>
      </c>
      <c r="D2399" s="111">
        <v>2030.0</v>
      </c>
      <c r="E2399" s="111"/>
      <c r="F2399" s="111" t="s">
        <v>12397</v>
      </c>
      <c r="G2399" s="111" t="s">
        <v>12381</v>
      </c>
      <c r="H2399" s="111" t="s">
        <v>12230</v>
      </c>
      <c r="I2399" s="111" t="s">
        <v>12287</v>
      </c>
      <c r="J2399" s="111"/>
      <c r="K2399" s="111" t="s">
        <v>30</v>
      </c>
      <c r="L2399" s="111"/>
      <c r="M2399" s="111"/>
      <c r="N2399" s="111"/>
      <c r="O2399" s="111"/>
      <c r="P2399" s="111"/>
      <c r="Q2399" s="111"/>
      <c r="R2399" s="111"/>
      <c r="S2399" s="111"/>
      <c r="T2399" s="111"/>
      <c r="U2399" s="111"/>
      <c r="V2399" s="111"/>
      <c r="W2399" s="111"/>
      <c r="X2399" s="111"/>
      <c r="Y2399" s="111"/>
      <c r="Z2399" s="111" t="s">
        <v>15438</v>
      </c>
      <c r="AA2399" s="126">
        <v>160.0</v>
      </c>
      <c r="AB2399" s="125">
        <f>IF(Projects!$AI2399="Electrolysis",
AA2399/VLOOKUP(G2399,ElectrolysisConvF,3,FALSE),
AC2399*10^6/(H2dens*HoursInYear))</f>
        <v>35555.55556</v>
      </c>
      <c r="AC2399" s="126">
        <f t="shared" si="438"/>
        <v>27.72053333</v>
      </c>
      <c r="AD2399" s="125"/>
      <c r="AE2399" s="125">
        <f t="shared" si="435"/>
        <v>35555.55556</v>
      </c>
      <c r="AF2399" s="127" t="s">
        <v>15439</v>
      </c>
      <c r="AG2399" s="127">
        <v>37.95961407835</v>
      </c>
      <c r="AH2399" s="127">
        <v>-8.85858639904864</v>
      </c>
      <c r="AI2399" s="115" t="s">
        <v>12383</v>
      </c>
      <c r="AJ2399" s="116">
        <v>0.57</v>
      </c>
      <c r="AK2399" s="117"/>
      <c r="AL2399" s="117"/>
      <c r="AM2399" s="117"/>
      <c r="AN2399" s="117"/>
      <c r="AO2399" s="117"/>
    </row>
    <row r="2400" ht="34.5" customHeight="1">
      <c r="A2400" s="111">
        <v>3119.0</v>
      </c>
      <c r="B2400" s="111" t="s">
        <v>10400</v>
      </c>
      <c r="C2400" s="111" t="s">
        <v>8737</v>
      </c>
      <c r="D2400" s="111">
        <v>2032.0</v>
      </c>
      <c r="E2400" s="111"/>
      <c r="F2400" s="111" t="s">
        <v>12399</v>
      </c>
      <c r="G2400" s="111" t="s">
        <v>12226</v>
      </c>
      <c r="H2400" s="111"/>
      <c r="I2400" s="111" t="s">
        <v>12394</v>
      </c>
      <c r="J2400" s="111" t="s">
        <v>12295</v>
      </c>
      <c r="K2400" s="111" t="s">
        <v>174</v>
      </c>
      <c r="L2400" s="111"/>
      <c r="M2400" s="111"/>
      <c r="N2400" s="111"/>
      <c r="O2400" s="111"/>
      <c r="P2400" s="111"/>
      <c r="Q2400" s="111"/>
      <c r="R2400" s="111"/>
      <c r="S2400" s="111"/>
      <c r="T2400" s="111"/>
      <c r="U2400" s="111"/>
      <c r="V2400" s="111"/>
      <c r="W2400" s="111"/>
      <c r="X2400" s="111"/>
      <c r="Y2400" s="111"/>
      <c r="Z2400" s="111" t="s">
        <v>15440</v>
      </c>
      <c r="AA2400" s="126">
        <v>1400.0</v>
      </c>
      <c r="AB2400" s="125">
        <f>IF(Projects!$AI2400="Electrolysis",
AA2400/VLOOKUP(G2400,ElectrolysisConvF,3,FALSE),
AC2400*10^6/(H2dens*HoursInYear))</f>
        <v>269230.7692</v>
      </c>
      <c r="AC2400" s="126">
        <f t="shared" si="438"/>
        <v>209.9030769</v>
      </c>
      <c r="AD2400" s="125"/>
      <c r="AE2400" s="125">
        <f t="shared" si="435"/>
        <v>269230.7692</v>
      </c>
      <c r="AF2400" s="127"/>
      <c r="AG2400" s="127">
        <v>11.7136293946544</v>
      </c>
      <c r="AH2400" s="127">
        <v>-72.262314116682</v>
      </c>
      <c r="AI2400" s="115" t="s">
        <v>12383</v>
      </c>
      <c r="AJ2400" s="116">
        <v>0.5</v>
      </c>
      <c r="AK2400" s="117"/>
      <c r="AL2400" s="117"/>
      <c r="AM2400" s="117"/>
      <c r="AN2400" s="117"/>
      <c r="AO2400" s="117"/>
    </row>
    <row r="2401" ht="34.5" customHeight="1">
      <c r="A2401" s="111">
        <v>3120.0</v>
      </c>
      <c r="B2401" s="111" t="s">
        <v>10401</v>
      </c>
      <c r="C2401" s="111" t="s">
        <v>8737</v>
      </c>
      <c r="D2401" s="111">
        <v>2027.0</v>
      </c>
      <c r="E2401" s="111"/>
      <c r="F2401" s="111" t="s">
        <v>12399</v>
      </c>
      <c r="G2401" s="111" t="s">
        <v>12381</v>
      </c>
      <c r="H2401" s="111" t="s">
        <v>12230</v>
      </c>
      <c r="I2401" s="111" t="s">
        <v>12759</v>
      </c>
      <c r="J2401" s="111"/>
      <c r="K2401" s="111" t="s">
        <v>30</v>
      </c>
      <c r="L2401" s="111"/>
      <c r="M2401" s="111"/>
      <c r="N2401" s="111"/>
      <c r="O2401" s="111"/>
      <c r="P2401" s="111">
        <v>1.0</v>
      </c>
      <c r="Q2401" s="111"/>
      <c r="R2401" s="111"/>
      <c r="S2401" s="111"/>
      <c r="T2401" s="111"/>
      <c r="U2401" s="111"/>
      <c r="V2401" s="111"/>
      <c r="W2401" s="111"/>
      <c r="X2401" s="111"/>
      <c r="Y2401" s="111"/>
      <c r="Z2401" s="111" t="s">
        <v>13898</v>
      </c>
      <c r="AA2401" s="126">
        <v>30.0</v>
      </c>
      <c r="AB2401" s="125">
        <f>IF(Projects!$AI2401="Electrolysis",
AA2401/VLOOKUP(G2401,ElectrolysisConvF,3,FALSE),
AC2401*10^6/(H2dens*HoursInYear))</f>
        <v>6666.666667</v>
      </c>
      <c r="AC2401" s="126">
        <f t="shared" si="438"/>
        <v>5.1976</v>
      </c>
      <c r="AD2401" s="125"/>
      <c r="AE2401" s="125">
        <f t="shared" si="435"/>
        <v>6666.666667</v>
      </c>
      <c r="AF2401" s="127"/>
      <c r="AG2401" s="127">
        <v>11.015375177501</v>
      </c>
      <c r="AH2401" s="127">
        <v>-74.8310444304737</v>
      </c>
      <c r="AI2401" s="115" t="s">
        <v>12383</v>
      </c>
      <c r="AJ2401" s="116">
        <v>0.7</v>
      </c>
      <c r="AK2401" s="117"/>
      <c r="AL2401" s="117"/>
      <c r="AM2401" s="117"/>
      <c r="AN2401" s="117"/>
      <c r="AO2401" s="117"/>
    </row>
    <row r="2402" ht="34.5" customHeight="1">
      <c r="A2402" s="111">
        <v>3121.0</v>
      </c>
      <c r="B2402" s="111" t="s">
        <v>10402</v>
      </c>
      <c r="C2402" s="111" t="s">
        <v>8737</v>
      </c>
      <c r="D2402" s="111">
        <v>2030.0</v>
      </c>
      <c r="E2402" s="111"/>
      <c r="F2402" s="111" t="s">
        <v>12399</v>
      </c>
      <c r="G2402" s="111" t="s">
        <v>12226</v>
      </c>
      <c r="H2402" s="111"/>
      <c r="I2402" s="111" t="s">
        <v>12759</v>
      </c>
      <c r="J2402" s="111"/>
      <c r="K2402" s="111" t="s">
        <v>174</v>
      </c>
      <c r="L2402" s="111"/>
      <c r="M2402" s="111"/>
      <c r="N2402" s="111"/>
      <c r="O2402" s="111"/>
      <c r="P2402" s="111">
        <v>1.0</v>
      </c>
      <c r="Q2402" s="111"/>
      <c r="R2402" s="111"/>
      <c r="S2402" s="111"/>
      <c r="T2402" s="111"/>
      <c r="U2402" s="111"/>
      <c r="V2402" s="111"/>
      <c r="W2402" s="111"/>
      <c r="X2402" s="111"/>
      <c r="Y2402" s="111"/>
      <c r="Z2402" s="111" t="s">
        <v>15441</v>
      </c>
      <c r="AA2402" s="126">
        <f>IF(Projects!$AI2402="Electrolysis",
AB2402*VLOOKUP(G2402,ElectrolysisConvF,3,FALSE),
"")</f>
        <v>396.3413902</v>
      </c>
      <c r="AB2402" s="125">
        <f>AC2402/(H2dens*HoursInYear/10^6)</f>
        <v>76219.49811</v>
      </c>
      <c r="AC2402" s="125">
        <f>330*3/17/0.98</f>
        <v>59.42376951</v>
      </c>
      <c r="AD2402" s="125"/>
      <c r="AE2402" s="125">
        <f t="shared" si="435"/>
        <v>76219.49811</v>
      </c>
      <c r="AF2402" s="127"/>
      <c r="AG2402" s="127">
        <v>10.4150537869232</v>
      </c>
      <c r="AH2402" s="127">
        <v>-75.4695592501558</v>
      </c>
      <c r="AI2402" s="115" t="s">
        <v>12383</v>
      </c>
      <c r="AJ2402" s="116">
        <v>0.7</v>
      </c>
      <c r="AK2402" s="117"/>
      <c r="AL2402" s="117"/>
      <c r="AM2402" s="117"/>
      <c r="AN2402" s="117"/>
      <c r="AO2402" s="117"/>
    </row>
    <row r="2403" ht="34.5" customHeight="1">
      <c r="A2403" s="111">
        <v>3122.0</v>
      </c>
      <c r="B2403" s="111" t="s">
        <v>10403</v>
      </c>
      <c r="C2403" s="111" t="s">
        <v>8737</v>
      </c>
      <c r="D2403" s="111">
        <v>2032.0</v>
      </c>
      <c r="E2403" s="111"/>
      <c r="F2403" s="111" t="s">
        <v>12399</v>
      </c>
      <c r="G2403" s="111" t="s">
        <v>12381</v>
      </c>
      <c r="H2403" s="111" t="s">
        <v>12230</v>
      </c>
      <c r="I2403" s="111" t="s">
        <v>12759</v>
      </c>
      <c r="J2403" s="111"/>
      <c r="K2403" s="111" t="s">
        <v>12251</v>
      </c>
      <c r="L2403" s="111"/>
      <c r="M2403" s="111"/>
      <c r="N2403" s="111"/>
      <c r="O2403" s="111"/>
      <c r="P2403" s="111"/>
      <c r="Q2403" s="111">
        <v>1.0</v>
      </c>
      <c r="R2403" s="111"/>
      <c r="S2403" s="111"/>
      <c r="T2403" s="111"/>
      <c r="U2403" s="111"/>
      <c r="V2403" s="111"/>
      <c r="W2403" s="111">
        <v>1.0</v>
      </c>
      <c r="X2403" s="111"/>
      <c r="Y2403" s="111"/>
      <c r="Z2403" s="111" t="s">
        <v>15442</v>
      </c>
      <c r="AA2403" s="126">
        <v>100.0</v>
      </c>
      <c r="AB2403" s="125">
        <f>IF(Projects!$AI2403="Electrolysis",
AA2403/VLOOKUP(G2403,ElectrolysisConvF,3,FALSE),
AC2403*10^6/(H2dens*HoursInYear))</f>
        <v>22222.22222</v>
      </c>
      <c r="AC2403" s="126">
        <f t="shared" ref="AC2403:AC2406" si="439">AB2403*H2dens*HoursInYear/10^6</f>
        <v>17.32533333</v>
      </c>
      <c r="AD2403" s="125"/>
      <c r="AE2403" s="125">
        <f t="shared" si="435"/>
        <v>22222.22222</v>
      </c>
      <c r="AF2403" s="127"/>
      <c r="AG2403" s="127">
        <v>4.72492559644739</v>
      </c>
      <c r="AH2403" s="127">
        <v>-74.0638768164008</v>
      </c>
      <c r="AI2403" s="115" t="s">
        <v>12383</v>
      </c>
      <c r="AJ2403" s="116">
        <v>0.7</v>
      </c>
      <c r="AK2403" s="117"/>
      <c r="AL2403" s="117"/>
      <c r="AM2403" s="117"/>
      <c r="AN2403" s="117"/>
      <c r="AO2403" s="117"/>
    </row>
    <row r="2404" ht="34.5" customHeight="1">
      <c r="A2404" s="111">
        <v>3123.0</v>
      </c>
      <c r="B2404" s="111" t="s">
        <v>10404</v>
      </c>
      <c r="C2404" s="111" t="s">
        <v>8737</v>
      </c>
      <c r="D2404" s="111">
        <v>2032.0</v>
      </c>
      <c r="E2404" s="111"/>
      <c r="F2404" s="111" t="s">
        <v>12399</v>
      </c>
      <c r="G2404" s="111" t="s">
        <v>12381</v>
      </c>
      <c r="H2404" s="111" t="s">
        <v>12230</v>
      </c>
      <c r="I2404" s="111" t="s">
        <v>12759</v>
      </c>
      <c r="J2404" s="111"/>
      <c r="K2404" s="111" t="s">
        <v>12251</v>
      </c>
      <c r="L2404" s="111"/>
      <c r="M2404" s="111"/>
      <c r="N2404" s="111"/>
      <c r="O2404" s="111"/>
      <c r="P2404" s="111"/>
      <c r="Q2404" s="111">
        <v>1.0</v>
      </c>
      <c r="R2404" s="111"/>
      <c r="S2404" s="111"/>
      <c r="T2404" s="111"/>
      <c r="U2404" s="111"/>
      <c r="V2404" s="111"/>
      <c r="W2404" s="111">
        <v>1.0</v>
      </c>
      <c r="X2404" s="111"/>
      <c r="Y2404" s="111"/>
      <c r="Z2404" s="111" t="s">
        <v>15443</v>
      </c>
      <c r="AA2404" s="126">
        <v>45.0</v>
      </c>
      <c r="AB2404" s="125">
        <f>IF(Projects!$AI2404="Electrolysis",
AA2404/VLOOKUP(G2404,ElectrolysisConvF,3,FALSE),
AC2404*10^6/(H2dens*HoursInYear))</f>
        <v>10000</v>
      </c>
      <c r="AC2404" s="126">
        <f t="shared" si="439"/>
        <v>7.7964</v>
      </c>
      <c r="AD2404" s="125"/>
      <c r="AE2404" s="125">
        <f t="shared" si="435"/>
        <v>10000</v>
      </c>
      <c r="AF2404" s="127"/>
      <c r="AG2404" s="127">
        <v>10.4150537869232</v>
      </c>
      <c r="AH2404" s="127">
        <v>-75.4695592501558</v>
      </c>
      <c r="AI2404" s="115" t="s">
        <v>12383</v>
      </c>
      <c r="AJ2404" s="116">
        <v>0.7</v>
      </c>
      <c r="AK2404" s="117"/>
      <c r="AL2404" s="117"/>
      <c r="AM2404" s="117"/>
      <c r="AN2404" s="117"/>
      <c r="AO2404" s="117"/>
    </row>
    <row r="2405" ht="34.5" customHeight="1">
      <c r="A2405" s="111">
        <v>3124.0</v>
      </c>
      <c r="B2405" s="111" t="s">
        <v>10405</v>
      </c>
      <c r="C2405" s="111" t="s">
        <v>8737</v>
      </c>
      <c r="D2405" s="111">
        <v>2030.0</v>
      </c>
      <c r="E2405" s="111"/>
      <c r="F2405" s="111" t="s">
        <v>12399</v>
      </c>
      <c r="G2405" s="111" t="s">
        <v>12381</v>
      </c>
      <c r="H2405" s="111" t="s">
        <v>12230</v>
      </c>
      <c r="I2405" s="111" t="s">
        <v>12759</v>
      </c>
      <c r="J2405" s="111"/>
      <c r="K2405" s="111" t="s">
        <v>12415</v>
      </c>
      <c r="L2405" s="111"/>
      <c r="M2405" s="111"/>
      <c r="N2405" s="111">
        <v>1.0</v>
      </c>
      <c r="O2405" s="111"/>
      <c r="P2405" s="111">
        <v>1.0</v>
      </c>
      <c r="Q2405" s="111"/>
      <c r="R2405" s="111"/>
      <c r="S2405" s="111"/>
      <c r="T2405" s="111"/>
      <c r="U2405" s="111"/>
      <c r="V2405" s="111">
        <v>1.0</v>
      </c>
      <c r="W2405" s="111"/>
      <c r="X2405" s="111"/>
      <c r="Y2405" s="111"/>
      <c r="Z2405" s="111" t="s">
        <v>15444</v>
      </c>
      <c r="AA2405" s="126">
        <v>28.0</v>
      </c>
      <c r="AB2405" s="125">
        <f>IF(Projects!$AI2405="Electrolysis",
AA2405/VLOOKUP(G2405,ElectrolysisConvF,3,FALSE),
AC2405*10^6/(H2dens*HoursInYear))</f>
        <v>6222.222222</v>
      </c>
      <c r="AC2405" s="126">
        <f t="shared" si="439"/>
        <v>4.851093333</v>
      </c>
      <c r="AD2405" s="125"/>
      <c r="AE2405" s="125">
        <f t="shared" si="435"/>
        <v>6222.222222</v>
      </c>
      <c r="AF2405" s="127"/>
      <c r="AG2405" s="127">
        <v>3.5996581061734</v>
      </c>
      <c r="AH2405" s="127">
        <v>-76.3986090099248</v>
      </c>
      <c r="AI2405" s="115" t="s">
        <v>12383</v>
      </c>
      <c r="AJ2405" s="116">
        <v>0.7</v>
      </c>
      <c r="AK2405" s="117"/>
      <c r="AL2405" s="117"/>
      <c r="AM2405" s="117"/>
      <c r="AN2405" s="117"/>
      <c r="AO2405" s="117"/>
    </row>
    <row r="2406" ht="34.5" customHeight="1">
      <c r="A2406" s="111">
        <v>3125.0</v>
      </c>
      <c r="B2406" s="111" t="s">
        <v>10406</v>
      </c>
      <c r="C2406" s="111" t="s">
        <v>7987</v>
      </c>
      <c r="D2406" s="111">
        <v>2029.0</v>
      </c>
      <c r="E2406" s="111"/>
      <c r="F2406" s="111" t="s">
        <v>12397</v>
      </c>
      <c r="G2406" s="111" t="s">
        <v>12381</v>
      </c>
      <c r="H2406" s="111" t="s">
        <v>12230</v>
      </c>
      <c r="I2406" s="111" t="s">
        <v>12759</v>
      </c>
      <c r="J2406" s="111"/>
      <c r="K2406" s="111" t="s">
        <v>30</v>
      </c>
      <c r="L2406" s="111"/>
      <c r="M2406" s="111"/>
      <c r="N2406" s="111"/>
      <c r="O2406" s="111"/>
      <c r="P2406" s="111"/>
      <c r="Q2406" s="111"/>
      <c r="R2406" s="111"/>
      <c r="S2406" s="111">
        <v>1.0</v>
      </c>
      <c r="T2406" s="111"/>
      <c r="U2406" s="111"/>
      <c r="V2406" s="111"/>
      <c r="W2406" s="111"/>
      <c r="X2406" s="111"/>
      <c r="Y2406" s="111"/>
      <c r="Z2406" s="111" t="s">
        <v>14414</v>
      </c>
      <c r="AA2406" s="126">
        <v>800.0</v>
      </c>
      <c r="AB2406" s="125">
        <f>IF(Projects!$AI2406="Electrolysis",
AA2406/VLOOKUP(G2406,ElectrolysisConvF,3,FALSE),
AC2406*10^6/(H2dens*HoursInYear))</f>
        <v>177777.7778</v>
      </c>
      <c r="AC2406" s="126">
        <f t="shared" si="439"/>
        <v>138.6026667</v>
      </c>
      <c r="AD2406" s="125"/>
      <c r="AE2406" s="125">
        <f t="shared" si="435"/>
        <v>177777.7778</v>
      </c>
      <c r="AF2406" s="127" t="s">
        <v>15445</v>
      </c>
      <c r="AG2406" s="127">
        <v>45.3091476811621</v>
      </c>
      <c r="AH2406" s="127">
        <v>5.90651219395378</v>
      </c>
      <c r="AI2406" s="115" t="s">
        <v>12383</v>
      </c>
      <c r="AJ2406" s="116">
        <v>0.7</v>
      </c>
      <c r="AK2406" s="117"/>
      <c r="AL2406" s="117"/>
      <c r="AM2406" s="117"/>
      <c r="AN2406" s="117"/>
      <c r="AO2406" s="117"/>
    </row>
    <row r="2407" ht="34.5" customHeight="1">
      <c r="A2407" s="111">
        <v>3126.0</v>
      </c>
      <c r="B2407" s="111" t="s">
        <v>10407</v>
      </c>
      <c r="C2407" s="111" t="s">
        <v>8026</v>
      </c>
      <c r="D2407" s="111"/>
      <c r="E2407" s="111"/>
      <c r="F2407" s="111" t="s">
        <v>12397</v>
      </c>
      <c r="G2407" s="111" t="s">
        <v>12381</v>
      </c>
      <c r="H2407" s="111" t="s">
        <v>12230</v>
      </c>
      <c r="I2407" s="111" t="s">
        <v>12394</v>
      </c>
      <c r="J2407" s="111" t="s">
        <v>12292</v>
      </c>
      <c r="K2407" s="111" t="s">
        <v>12251</v>
      </c>
      <c r="L2407" s="111"/>
      <c r="M2407" s="111"/>
      <c r="N2407" s="111"/>
      <c r="O2407" s="111"/>
      <c r="P2407" s="111"/>
      <c r="Q2407" s="111"/>
      <c r="R2407" s="111"/>
      <c r="S2407" s="111"/>
      <c r="T2407" s="111"/>
      <c r="U2407" s="111"/>
      <c r="V2407" s="111"/>
      <c r="W2407" s="111"/>
      <c r="X2407" s="111"/>
      <c r="Y2407" s="111"/>
      <c r="Z2407" s="111" t="s">
        <v>15017</v>
      </c>
      <c r="AA2407" s="126">
        <f>IF(Projects!$AI2407="Electrolysis",
AB2407*VLOOKUP(G2407,ElectrolysisConvF,3,FALSE),
"")</f>
        <v>192.7259367</v>
      </c>
      <c r="AB2407" s="125">
        <f>AC2407/(H2dens*HoursInYear/10^6)</f>
        <v>42827.98594</v>
      </c>
      <c r="AC2407" s="126">
        <f>(65*0.045/0.73/0.12)</f>
        <v>33.39041096</v>
      </c>
      <c r="AD2407" s="125"/>
      <c r="AE2407" s="125">
        <f t="shared" si="435"/>
        <v>42827.98594</v>
      </c>
      <c r="AF2407" s="127" t="s">
        <v>15446</v>
      </c>
      <c r="AG2407" s="127">
        <v>64.1481340465755</v>
      </c>
      <c r="AH2407" s="127">
        <v>25.3526030622652</v>
      </c>
      <c r="AI2407" s="115" t="s">
        <v>12383</v>
      </c>
      <c r="AJ2407" s="116">
        <v>0.4</v>
      </c>
      <c r="AK2407" s="117"/>
      <c r="AL2407" s="117"/>
      <c r="AM2407" s="117"/>
      <c r="AN2407" s="117"/>
      <c r="AO2407" s="117"/>
    </row>
    <row r="2408" ht="34.5" customHeight="1">
      <c r="A2408" s="111">
        <v>3127.0</v>
      </c>
      <c r="B2408" s="111" t="s">
        <v>10408</v>
      </c>
      <c r="C2408" s="111" t="s">
        <v>7977</v>
      </c>
      <c r="D2408" s="111"/>
      <c r="E2408" s="111"/>
      <c r="F2408" s="111" t="s">
        <v>12397</v>
      </c>
      <c r="G2408" s="111" t="s">
        <v>12381</v>
      </c>
      <c r="H2408" s="111" t="s">
        <v>12230</v>
      </c>
      <c r="I2408" s="111" t="s">
        <v>12394</v>
      </c>
      <c r="J2408" s="111" t="s">
        <v>12291</v>
      </c>
      <c r="K2408" s="111" t="s">
        <v>30</v>
      </c>
      <c r="L2408" s="111"/>
      <c r="M2408" s="111"/>
      <c r="N2408" s="111"/>
      <c r="O2408" s="111"/>
      <c r="P2408" s="111">
        <v>1.0</v>
      </c>
      <c r="Q2408" s="111">
        <v>1.0</v>
      </c>
      <c r="R2408" s="111"/>
      <c r="S2408" s="111"/>
      <c r="T2408" s="111"/>
      <c r="U2408" s="111"/>
      <c r="V2408" s="111">
        <v>1.0</v>
      </c>
      <c r="W2408" s="111"/>
      <c r="X2408" s="111"/>
      <c r="Y2408" s="111"/>
      <c r="Z2408" s="111" t="s">
        <v>15447</v>
      </c>
      <c r="AA2408" s="126">
        <v>9.1</v>
      </c>
      <c r="AB2408" s="125">
        <f>IF(Projects!$AI2408="Electrolysis",
AA2408/VLOOKUP(G2408,ElectrolysisConvF,3,FALSE),
AC2408*10^6/(H2dens*HoursInYear))</f>
        <v>2022.222222</v>
      </c>
      <c r="AC2408" s="126">
        <f t="shared" ref="AC2408:AC2410" si="440">AB2408*H2dens*HoursInYear/10^6</f>
        <v>1.576605333</v>
      </c>
      <c r="AD2408" s="125"/>
      <c r="AE2408" s="125">
        <f t="shared" si="435"/>
        <v>2022.222222</v>
      </c>
      <c r="AF2408" s="127" t="s">
        <v>15145</v>
      </c>
      <c r="AG2408" s="127">
        <v>37.3891815324199</v>
      </c>
      <c r="AH2408" s="127">
        <v>-5.98323936669221</v>
      </c>
      <c r="AI2408" s="115" t="s">
        <v>12383</v>
      </c>
      <c r="AJ2408" s="116">
        <v>0.3</v>
      </c>
      <c r="AK2408" s="117"/>
      <c r="AL2408" s="117"/>
      <c r="AM2408" s="117"/>
      <c r="AN2408" s="117"/>
      <c r="AO2408" s="117"/>
    </row>
    <row r="2409" ht="34.5" customHeight="1">
      <c r="A2409" s="111">
        <v>3128.0</v>
      </c>
      <c r="B2409" s="111" t="s">
        <v>10409</v>
      </c>
      <c r="C2409" s="111" t="s">
        <v>8161</v>
      </c>
      <c r="D2409" s="111">
        <v>2025.0</v>
      </c>
      <c r="E2409" s="111"/>
      <c r="F2409" s="111" t="s">
        <v>12399</v>
      </c>
      <c r="G2409" s="111" t="s">
        <v>12381</v>
      </c>
      <c r="H2409" s="111" t="s">
        <v>12230</v>
      </c>
      <c r="I2409" s="111" t="s">
        <v>12394</v>
      </c>
      <c r="J2409" s="111" t="s">
        <v>12291</v>
      </c>
      <c r="K2409" s="111" t="s">
        <v>30</v>
      </c>
      <c r="L2409" s="111"/>
      <c r="M2409" s="111"/>
      <c r="N2409" s="111"/>
      <c r="O2409" s="111"/>
      <c r="P2409" s="111">
        <v>1.0</v>
      </c>
      <c r="Q2409" s="111">
        <v>1.0</v>
      </c>
      <c r="R2409" s="111"/>
      <c r="S2409" s="111"/>
      <c r="T2409" s="111"/>
      <c r="U2409" s="111"/>
      <c r="V2409" s="111"/>
      <c r="W2409" s="111"/>
      <c r="X2409" s="111"/>
      <c r="Y2409" s="111"/>
      <c r="Z2409" s="111" t="s">
        <v>12703</v>
      </c>
      <c r="AA2409" s="124">
        <v>10.0</v>
      </c>
      <c r="AB2409" s="125">
        <f>IF(Projects!$AI2409="Electrolysis",
AA2409/VLOOKUP(G2409,ElectrolysisConvF,3,FALSE),
AC2409*10^6/(H2dens*HoursInYear))</f>
        <v>2222.222222</v>
      </c>
      <c r="AC2409" s="126">
        <f t="shared" si="440"/>
        <v>1.732533333</v>
      </c>
      <c r="AD2409" s="125"/>
      <c r="AE2409" s="125">
        <f t="shared" si="435"/>
        <v>2222.222222</v>
      </c>
      <c r="AF2409" s="127" t="s">
        <v>15448</v>
      </c>
      <c r="AG2409" s="127">
        <v>38.569406540783</v>
      </c>
      <c r="AH2409" s="127">
        <v>-8.90006629780215</v>
      </c>
      <c r="AI2409" s="115" t="s">
        <v>12383</v>
      </c>
      <c r="AJ2409" s="116">
        <v>0.3</v>
      </c>
      <c r="AK2409" s="117"/>
      <c r="AL2409" s="117"/>
      <c r="AM2409" s="117"/>
      <c r="AN2409" s="117"/>
      <c r="AO2409" s="117"/>
    </row>
    <row r="2410" ht="34.5" customHeight="1">
      <c r="A2410" s="111">
        <v>3129.0</v>
      </c>
      <c r="B2410" s="111" t="s">
        <v>10410</v>
      </c>
      <c r="C2410" s="111" t="s">
        <v>8177</v>
      </c>
      <c r="D2410" s="111"/>
      <c r="E2410" s="111"/>
      <c r="F2410" s="111" t="s">
        <v>12397</v>
      </c>
      <c r="G2410" s="111" t="s">
        <v>12381</v>
      </c>
      <c r="H2410" s="111" t="s">
        <v>12230</v>
      </c>
      <c r="I2410" s="111" t="s">
        <v>12287</v>
      </c>
      <c r="J2410" s="111"/>
      <c r="K2410" s="111" t="s">
        <v>30</v>
      </c>
      <c r="L2410" s="111"/>
      <c r="M2410" s="111"/>
      <c r="N2410" s="111"/>
      <c r="O2410" s="111"/>
      <c r="P2410" s="111"/>
      <c r="Q2410" s="111"/>
      <c r="R2410" s="111"/>
      <c r="S2410" s="111"/>
      <c r="T2410" s="111"/>
      <c r="U2410" s="111"/>
      <c r="V2410" s="111"/>
      <c r="W2410" s="111"/>
      <c r="X2410" s="111"/>
      <c r="Y2410" s="111"/>
      <c r="Z2410" s="111" t="s">
        <v>13342</v>
      </c>
      <c r="AA2410" s="124">
        <v>3000.0</v>
      </c>
      <c r="AB2410" s="125">
        <f>IF(Projects!$AI2410="Electrolysis",
AA2410/VLOOKUP(G2410,ElectrolysisConvF,3,FALSE),
AC2410*10^6/(H2dens*HoursInYear))</f>
        <v>666666.6667</v>
      </c>
      <c r="AC2410" s="126">
        <f t="shared" si="440"/>
        <v>519.76</v>
      </c>
      <c r="AD2410" s="125"/>
      <c r="AE2410" s="125">
        <f t="shared" si="435"/>
        <v>666666.6667</v>
      </c>
      <c r="AF2410" s="127" t="s">
        <v>15449</v>
      </c>
      <c r="AG2410" s="127">
        <v>0.0</v>
      </c>
      <c r="AH2410" s="127">
        <v>0.0</v>
      </c>
      <c r="AI2410" s="115" t="s">
        <v>12383</v>
      </c>
      <c r="AJ2410" s="116">
        <v>0.57</v>
      </c>
      <c r="AK2410" s="117"/>
      <c r="AL2410" s="117"/>
      <c r="AM2410" s="117"/>
      <c r="AN2410" s="117"/>
      <c r="AO2410" s="117"/>
    </row>
    <row r="2411" ht="34.5" customHeight="1">
      <c r="A2411" s="111">
        <v>3130.0</v>
      </c>
      <c r="B2411" s="111" t="s">
        <v>10411</v>
      </c>
      <c r="C2411" s="111" t="s">
        <v>8021</v>
      </c>
      <c r="D2411" s="111"/>
      <c r="E2411" s="111"/>
      <c r="F2411" s="111" t="s">
        <v>12397</v>
      </c>
      <c r="G2411" s="111" t="s">
        <v>12381</v>
      </c>
      <c r="H2411" s="111" t="s">
        <v>12230</v>
      </c>
      <c r="I2411" s="111" t="s">
        <v>12394</v>
      </c>
      <c r="J2411" s="111" t="s">
        <v>12291</v>
      </c>
      <c r="K2411" s="111" t="s">
        <v>30</v>
      </c>
      <c r="L2411" s="111"/>
      <c r="M2411" s="111">
        <v>1.0</v>
      </c>
      <c r="N2411" s="111">
        <v>1.0</v>
      </c>
      <c r="O2411" s="111"/>
      <c r="P2411" s="111"/>
      <c r="Q2411" s="111">
        <v>1.0</v>
      </c>
      <c r="R2411" s="111"/>
      <c r="S2411" s="111"/>
      <c r="T2411" s="111"/>
      <c r="U2411" s="111"/>
      <c r="V2411" s="111"/>
      <c r="W2411" s="111"/>
      <c r="X2411" s="111"/>
      <c r="Y2411" s="111"/>
      <c r="Z2411" s="111" t="s">
        <v>15380</v>
      </c>
      <c r="AA2411" s="126">
        <f>IF(Projects!$AI2411="Electrolysis",
AB2411*VLOOKUP(G2411,ElectrolysisConvF,3,FALSE),
"")</f>
        <v>2885.94736</v>
      </c>
      <c r="AB2411" s="125">
        <f>AC2411/(H2dens*HoursInYear/10^6)</f>
        <v>641321.6356</v>
      </c>
      <c r="AC2411" s="125">
        <f>500</f>
        <v>500</v>
      </c>
      <c r="AD2411" s="125"/>
      <c r="AE2411" s="125">
        <f t="shared" si="435"/>
        <v>641321.6356</v>
      </c>
      <c r="AF2411" s="127" t="s">
        <v>15450</v>
      </c>
      <c r="AG2411" s="127">
        <v>-19.6723795204984</v>
      </c>
      <c r="AH2411" s="127">
        <v>134.187485346123</v>
      </c>
      <c r="AI2411" s="115" t="s">
        <v>12383</v>
      </c>
      <c r="AJ2411" s="116">
        <v>0.3</v>
      </c>
      <c r="AK2411" s="117"/>
      <c r="AL2411" s="117"/>
      <c r="AM2411" s="117"/>
      <c r="AN2411" s="117"/>
      <c r="AO2411" s="117"/>
    </row>
    <row r="2412" ht="34.5" customHeight="1">
      <c r="A2412" s="111">
        <v>3131.0</v>
      </c>
      <c r="B2412" s="111" t="s">
        <v>10412</v>
      </c>
      <c r="C2412" s="111" t="s">
        <v>7971</v>
      </c>
      <c r="D2412" s="111">
        <v>2025.0</v>
      </c>
      <c r="E2412" s="111"/>
      <c r="F2412" s="111" t="s">
        <v>12393</v>
      </c>
      <c r="G2412" s="111" t="s">
        <v>12226</v>
      </c>
      <c r="H2412" s="111"/>
      <c r="I2412" s="111" t="s">
        <v>12394</v>
      </c>
      <c r="J2412" s="111" t="s">
        <v>12294</v>
      </c>
      <c r="K2412" s="111" t="s">
        <v>30</v>
      </c>
      <c r="L2412" s="111"/>
      <c r="M2412" s="111"/>
      <c r="N2412" s="111"/>
      <c r="O2412" s="111"/>
      <c r="P2412" s="111">
        <v>1.0</v>
      </c>
      <c r="Q2412" s="111"/>
      <c r="R2412" s="111"/>
      <c r="S2412" s="111"/>
      <c r="T2412" s="111"/>
      <c r="U2412" s="111"/>
      <c r="V2412" s="111"/>
      <c r="W2412" s="111"/>
      <c r="X2412" s="111"/>
      <c r="Y2412" s="111"/>
      <c r="Z2412" s="111" t="s">
        <v>12603</v>
      </c>
      <c r="AA2412" s="126">
        <v>5.0</v>
      </c>
      <c r="AB2412" s="125">
        <f>IF(Projects!$AI2412="Electrolysis",
AA2412/VLOOKUP(G2412,ElectrolysisConvF,3,FALSE),
AC2412*10^6/(H2dens*HoursInYear))</f>
        <v>961.5384615</v>
      </c>
      <c r="AC2412" s="126">
        <f t="shared" ref="AC2412:AC2414" si="441">AB2412*H2dens*HoursInYear/10^6</f>
        <v>0.7496538462</v>
      </c>
      <c r="AD2412" s="125"/>
      <c r="AE2412" s="125">
        <f t="shared" si="435"/>
        <v>961.5384615</v>
      </c>
      <c r="AF2412" s="127" t="s">
        <v>15450</v>
      </c>
      <c r="AG2412" s="127">
        <v>61.2202529063637</v>
      </c>
      <c r="AH2412" s="127">
        <v>6.0753551182573</v>
      </c>
      <c r="AI2412" s="115" t="s">
        <v>12383</v>
      </c>
      <c r="AJ2412" s="116">
        <v>0.8</v>
      </c>
      <c r="AK2412" s="117"/>
      <c r="AL2412" s="117"/>
      <c r="AM2412" s="117"/>
      <c r="AN2412" s="117"/>
      <c r="AO2412" s="117"/>
    </row>
    <row r="2413" ht="34.5" customHeight="1">
      <c r="A2413" s="111">
        <v>3132.0</v>
      </c>
      <c r="B2413" s="111" t="s">
        <v>10413</v>
      </c>
      <c r="C2413" s="111" t="s">
        <v>7967</v>
      </c>
      <c r="D2413" s="111">
        <v>2027.0</v>
      </c>
      <c r="E2413" s="111"/>
      <c r="F2413" s="111" t="s">
        <v>12397</v>
      </c>
      <c r="G2413" s="111" t="s">
        <v>12381</v>
      </c>
      <c r="H2413" s="111" t="s">
        <v>12230</v>
      </c>
      <c r="I2413" s="111" t="s">
        <v>12394</v>
      </c>
      <c r="J2413" s="111" t="s">
        <v>12293</v>
      </c>
      <c r="K2413" s="111" t="s">
        <v>30</v>
      </c>
      <c r="L2413" s="111"/>
      <c r="M2413" s="111"/>
      <c r="N2413" s="111"/>
      <c r="O2413" s="111"/>
      <c r="P2413" s="111"/>
      <c r="Q2413" s="111"/>
      <c r="R2413" s="111"/>
      <c r="S2413" s="111">
        <v>1.0</v>
      </c>
      <c r="T2413" s="111"/>
      <c r="U2413" s="111"/>
      <c r="V2413" s="111"/>
      <c r="W2413" s="111"/>
      <c r="X2413" s="111"/>
      <c r="Y2413" s="111"/>
      <c r="Z2413" s="111" t="s">
        <v>15451</v>
      </c>
      <c r="AA2413" s="126">
        <v>100.0</v>
      </c>
      <c r="AB2413" s="125">
        <f>IF(Projects!$AI2413="Electrolysis",
AA2413/VLOOKUP(G2413,ElectrolysisConvF,3,FALSE),
AC2413*10^6/(H2dens*HoursInYear))</f>
        <v>22222.22222</v>
      </c>
      <c r="AC2413" s="126">
        <f t="shared" si="441"/>
        <v>17.32533333</v>
      </c>
      <c r="AD2413" s="125"/>
      <c r="AE2413" s="125">
        <f t="shared" si="435"/>
        <v>22222.22222</v>
      </c>
      <c r="AF2413" s="127" t="s">
        <v>15452</v>
      </c>
      <c r="AG2413" s="127">
        <v>53.7736178010991</v>
      </c>
      <c r="AH2413" s="127">
        <v>5.44323000358954</v>
      </c>
      <c r="AI2413" s="115" t="s">
        <v>12383</v>
      </c>
      <c r="AJ2413" s="116">
        <v>0.55</v>
      </c>
      <c r="AK2413" s="117"/>
      <c r="AL2413" s="117"/>
      <c r="AM2413" s="117"/>
      <c r="AN2413" s="117"/>
      <c r="AO2413" s="117"/>
    </row>
    <row r="2414" ht="34.5" customHeight="1">
      <c r="A2414" s="111">
        <v>3133.0</v>
      </c>
      <c r="B2414" s="111" t="s">
        <v>10414</v>
      </c>
      <c r="C2414" s="111" t="s">
        <v>7967</v>
      </c>
      <c r="D2414" s="111">
        <v>2031.0</v>
      </c>
      <c r="E2414" s="111"/>
      <c r="F2414" s="111" t="s">
        <v>12397</v>
      </c>
      <c r="G2414" s="111" t="s">
        <v>12381</v>
      </c>
      <c r="H2414" s="111" t="s">
        <v>12230</v>
      </c>
      <c r="I2414" s="111" t="s">
        <v>12394</v>
      </c>
      <c r="J2414" s="111" t="s">
        <v>12293</v>
      </c>
      <c r="K2414" s="111" t="s">
        <v>30</v>
      </c>
      <c r="L2414" s="111"/>
      <c r="M2414" s="111"/>
      <c r="N2414" s="111"/>
      <c r="O2414" s="111"/>
      <c r="P2414" s="111"/>
      <c r="Q2414" s="111"/>
      <c r="R2414" s="111"/>
      <c r="S2414" s="111"/>
      <c r="T2414" s="111"/>
      <c r="U2414" s="111"/>
      <c r="V2414" s="111"/>
      <c r="W2414" s="111"/>
      <c r="X2414" s="111"/>
      <c r="Y2414" s="111"/>
      <c r="Z2414" s="111" t="s">
        <v>13620</v>
      </c>
      <c r="AA2414" s="126">
        <v>500.0</v>
      </c>
      <c r="AB2414" s="125">
        <f>IF(Projects!$AI2414="Electrolysis",
AA2414/VLOOKUP(G2414,ElectrolysisConvF,3,FALSE),
AC2414*10^6/(H2dens*HoursInYear))</f>
        <v>111111.1111</v>
      </c>
      <c r="AC2414" s="126">
        <f t="shared" si="441"/>
        <v>86.62666667</v>
      </c>
      <c r="AD2414" s="125"/>
      <c r="AE2414" s="125">
        <f t="shared" si="435"/>
        <v>111111.1111</v>
      </c>
      <c r="AF2414" s="127" t="s">
        <v>15452</v>
      </c>
      <c r="AG2414" s="127">
        <v>53.7736178010991</v>
      </c>
      <c r="AH2414" s="127">
        <v>5.44323000358954</v>
      </c>
      <c r="AI2414" s="115" t="s">
        <v>12383</v>
      </c>
      <c r="AJ2414" s="116">
        <v>0.55</v>
      </c>
      <c r="AK2414" s="117"/>
      <c r="AL2414" s="117"/>
      <c r="AM2414" s="117"/>
      <c r="AN2414" s="117"/>
      <c r="AO2414" s="117"/>
    </row>
    <row r="2415" ht="34.5" customHeight="1">
      <c r="A2415" s="111">
        <v>3134.0</v>
      </c>
      <c r="B2415" s="111" t="s">
        <v>10415</v>
      </c>
      <c r="C2415" s="111" t="s">
        <v>8371</v>
      </c>
      <c r="D2415" s="111"/>
      <c r="E2415" s="111"/>
      <c r="F2415" s="111" t="s">
        <v>12397</v>
      </c>
      <c r="G2415" s="111" t="s">
        <v>12226</v>
      </c>
      <c r="H2415" s="111"/>
      <c r="I2415" s="111" t="s">
        <v>12287</v>
      </c>
      <c r="J2415" s="111"/>
      <c r="K2415" s="111" t="s">
        <v>30</v>
      </c>
      <c r="L2415" s="111"/>
      <c r="M2415" s="111"/>
      <c r="N2415" s="111"/>
      <c r="O2415" s="111">
        <v>1.0</v>
      </c>
      <c r="P2415" s="111"/>
      <c r="Q2415" s="111"/>
      <c r="R2415" s="111"/>
      <c r="S2415" s="111"/>
      <c r="T2415" s="111"/>
      <c r="U2415" s="111"/>
      <c r="V2415" s="111"/>
      <c r="W2415" s="111"/>
      <c r="X2415" s="111"/>
      <c r="Y2415" s="111"/>
      <c r="Z2415" s="111"/>
      <c r="AA2415" s="126"/>
      <c r="AB2415" s="125"/>
      <c r="AC2415" s="125"/>
      <c r="AD2415" s="125"/>
      <c r="AE2415" s="125" t="str">
        <f t="shared" si="435"/>
        <v/>
      </c>
      <c r="AF2415" s="127" t="s">
        <v>15453</v>
      </c>
      <c r="AG2415" s="127">
        <v>0.0</v>
      </c>
      <c r="AH2415" s="127">
        <v>0.0</v>
      </c>
      <c r="AI2415" s="115" t="s">
        <v>12383</v>
      </c>
      <c r="AJ2415" s="116">
        <v>0.57</v>
      </c>
      <c r="AK2415" s="117"/>
      <c r="AL2415" s="117"/>
      <c r="AM2415" s="117"/>
      <c r="AN2415" s="117"/>
      <c r="AO2415" s="117"/>
    </row>
    <row r="2416" ht="34.5" customHeight="1">
      <c r="A2416" s="111">
        <v>3135.0</v>
      </c>
      <c r="B2416" s="111" t="s">
        <v>10416</v>
      </c>
      <c r="C2416" s="111" t="s">
        <v>8371</v>
      </c>
      <c r="D2416" s="111"/>
      <c r="E2416" s="111"/>
      <c r="F2416" s="111" t="s">
        <v>12397</v>
      </c>
      <c r="G2416" s="111" t="s">
        <v>12381</v>
      </c>
      <c r="H2416" s="111" t="s">
        <v>12230</v>
      </c>
      <c r="I2416" s="111" t="s">
        <v>12287</v>
      </c>
      <c r="J2416" s="111"/>
      <c r="K2416" s="111" t="s">
        <v>30</v>
      </c>
      <c r="L2416" s="111"/>
      <c r="M2416" s="111"/>
      <c r="N2416" s="111"/>
      <c r="O2416" s="111">
        <v>1.0</v>
      </c>
      <c r="P2416" s="111"/>
      <c r="Q2416" s="111"/>
      <c r="R2416" s="111"/>
      <c r="S2416" s="111"/>
      <c r="T2416" s="111"/>
      <c r="U2416" s="111"/>
      <c r="V2416" s="111"/>
      <c r="W2416" s="111"/>
      <c r="X2416" s="111"/>
      <c r="Y2416" s="111"/>
      <c r="Z2416" s="111"/>
      <c r="AA2416" s="126"/>
      <c r="AB2416" s="125"/>
      <c r="AC2416" s="125"/>
      <c r="AD2416" s="125"/>
      <c r="AE2416" s="125" t="str">
        <f t="shared" si="435"/>
        <v/>
      </c>
      <c r="AF2416" s="127" t="s">
        <v>15453</v>
      </c>
      <c r="AG2416" s="127">
        <v>24.7288526284114</v>
      </c>
      <c r="AH2416" s="127">
        <v>54.7466709548475</v>
      </c>
      <c r="AI2416" s="115" t="s">
        <v>12383</v>
      </c>
      <c r="AJ2416" s="116">
        <v>0.57</v>
      </c>
      <c r="AK2416" s="117"/>
      <c r="AL2416" s="117"/>
      <c r="AM2416" s="117"/>
      <c r="AN2416" s="117"/>
      <c r="AO2416" s="117"/>
    </row>
    <row r="2417" ht="34.5" customHeight="1">
      <c r="A2417" s="111">
        <v>3136.0</v>
      </c>
      <c r="B2417" s="111" t="s">
        <v>10417</v>
      </c>
      <c r="C2417" s="111" t="s">
        <v>7971</v>
      </c>
      <c r="D2417" s="111">
        <v>2027.0</v>
      </c>
      <c r="E2417" s="111"/>
      <c r="F2417" s="111" t="s">
        <v>12399</v>
      </c>
      <c r="G2417" s="111" t="s">
        <v>12224</v>
      </c>
      <c r="H2417" s="111"/>
      <c r="I2417" s="111" t="s">
        <v>12287</v>
      </c>
      <c r="J2417" s="111"/>
      <c r="K2417" s="111" t="s">
        <v>30</v>
      </c>
      <c r="L2417" s="111"/>
      <c r="M2417" s="111"/>
      <c r="N2417" s="111"/>
      <c r="O2417" s="111"/>
      <c r="P2417" s="111"/>
      <c r="Q2417" s="111"/>
      <c r="R2417" s="111"/>
      <c r="S2417" s="111"/>
      <c r="T2417" s="111"/>
      <c r="U2417" s="111"/>
      <c r="V2417" s="111"/>
      <c r="W2417" s="111"/>
      <c r="X2417" s="111"/>
      <c r="Y2417" s="111"/>
      <c r="Z2417" s="111" t="s">
        <v>12444</v>
      </c>
      <c r="AA2417" s="126">
        <v>6.0</v>
      </c>
      <c r="AB2417" s="125">
        <f>IF(Projects!$AI2417="Electrolysis",
AA2417/VLOOKUP(G2417,ElectrolysisConvF,3,FALSE),
AC2417*10^6/(H2dens*HoursInYear))</f>
        <v>1304.347826</v>
      </c>
      <c r="AC2417" s="126">
        <f>AB2417*H2dens*HoursInYear/10^6</f>
        <v>1.016921739</v>
      </c>
      <c r="AD2417" s="125"/>
      <c r="AE2417" s="125">
        <f t="shared" si="435"/>
        <v>1304.347826</v>
      </c>
      <c r="AF2417" s="127" t="s">
        <v>15437</v>
      </c>
      <c r="AG2417" s="127">
        <v>63.4140145735037</v>
      </c>
      <c r="AH2417" s="127">
        <v>11.7444076660571</v>
      </c>
      <c r="AI2417" s="115" t="s">
        <v>12383</v>
      </c>
      <c r="AJ2417" s="116">
        <v>0.57</v>
      </c>
      <c r="AK2417" s="117"/>
      <c r="AL2417" s="117"/>
      <c r="AM2417" s="117"/>
      <c r="AN2417" s="117"/>
      <c r="AO2417" s="117"/>
    </row>
    <row r="2418" ht="34.5" customHeight="1">
      <c r="A2418" s="111">
        <v>3137.0</v>
      </c>
      <c r="B2418" s="111" t="s">
        <v>10418</v>
      </c>
      <c r="C2418" s="111" t="s">
        <v>7977</v>
      </c>
      <c r="D2418" s="111">
        <v>2030.0</v>
      </c>
      <c r="E2418" s="111"/>
      <c r="F2418" s="111" t="s">
        <v>12397</v>
      </c>
      <c r="G2418" s="111" t="s">
        <v>12381</v>
      </c>
      <c r="H2418" s="111" t="s">
        <v>12230</v>
      </c>
      <c r="I2418" s="111" t="s">
        <v>12287</v>
      </c>
      <c r="J2418" s="111"/>
      <c r="K2418" s="111" t="s">
        <v>30</v>
      </c>
      <c r="L2418" s="111"/>
      <c r="M2418" s="111"/>
      <c r="N2418" s="111"/>
      <c r="O2418" s="111"/>
      <c r="P2418" s="111"/>
      <c r="Q2418" s="111"/>
      <c r="R2418" s="111"/>
      <c r="S2418" s="111"/>
      <c r="T2418" s="111"/>
      <c r="U2418" s="111"/>
      <c r="V2418" s="111"/>
      <c r="W2418" s="111"/>
      <c r="X2418" s="111"/>
      <c r="Y2418" s="111"/>
      <c r="Z2418" s="111"/>
      <c r="AA2418" s="126"/>
      <c r="AB2418" s="125"/>
      <c r="AC2418" s="125"/>
      <c r="AD2418" s="125"/>
      <c r="AE2418" s="125" t="str">
        <f t="shared" si="435"/>
        <v/>
      </c>
      <c r="AF2418" s="127" t="s">
        <v>15453</v>
      </c>
      <c r="AG2418" s="127">
        <v>39.4197131078793</v>
      </c>
      <c r="AH2418" s="127">
        <v>-2.73625002048484</v>
      </c>
      <c r="AI2418" s="115" t="s">
        <v>12383</v>
      </c>
      <c r="AJ2418" s="116">
        <v>0.57</v>
      </c>
      <c r="AK2418" s="117"/>
      <c r="AL2418" s="117"/>
      <c r="AM2418" s="117"/>
      <c r="AN2418" s="117"/>
      <c r="AO2418" s="117"/>
    </row>
    <row r="2419" ht="34.5" customHeight="1">
      <c r="A2419" s="111">
        <v>3138.0</v>
      </c>
      <c r="B2419" s="111" t="s">
        <v>10419</v>
      </c>
      <c r="C2419" s="111" t="s">
        <v>7971</v>
      </c>
      <c r="D2419" s="111">
        <v>2030.0</v>
      </c>
      <c r="E2419" s="111"/>
      <c r="F2419" s="111" t="s">
        <v>12397</v>
      </c>
      <c r="G2419" s="111" t="s">
        <v>12381</v>
      </c>
      <c r="H2419" s="111" t="s">
        <v>12230</v>
      </c>
      <c r="I2419" s="111" t="s">
        <v>12287</v>
      </c>
      <c r="J2419" s="111"/>
      <c r="K2419" s="111" t="s">
        <v>30</v>
      </c>
      <c r="L2419" s="111"/>
      <c r="M2419" s="111"/>
      <c r="N2419" s="111"/>
      <c r="O2419" s="111"/>
      <c r="P2419" s="111"/>
      <c r="Q2419" s="111">
        <v>1.0</v>
      </c>
      <c r="R2419" s="111"/>
      <c r="S2419" s="111"/>
      <c r="T2419" s="111"/>
      <c r="U2419" s="111"/>
      <c r="V2419" s="111"/>
      <c r="W2419" s="111"/>
      <c r="X2419" s="111"/>
      <c r="Y2419" s="111"/>
      <c r="Z2419" s="111" t="s">
        <v>12603</v>
      </c>
      <c r="AA2419" s="126">
        <v>5.0</v>
      </c>
      <c r="AB2419" s="125">
        <f>IF(Projects!$AI2419="Electrolysis",
AA2419/VLOOKUP(G2419,ElectrolysisConvF,3,FALSE),
AC2419*10^6/(H2dens*HoursInYear))</f>
        <v>1111.111111</v>
      </c>
      <c r="AC2419" s="126">
        <f t="shared" ref="AC2419:AC2422" si="442">AB2419*H2dens*HoursInYear/10^6</f>
        <v>0.8662666667</v>
      </c>
      <c r="AD2419" s="125"/>
      <c r="AE2419" s="125">
        <f t="shared" si="435"/>
        <v>1111.111111</v>
      </c>
      <c r="AF2419" s="127" t="s">
        <v>15454</v>
      </c>
      <c r="AG2419" s="127">
        <v>59.2208946499704</v>
      </c>
      <c r="AH2419" s="127">
        <v>10.9283040927471</v>
      </c>
      <c r="AI2419" s="115" t="s">
        <v>12383</v>
      </c>
      <c r="AJ2419" s="116">
        <v>0.57</v>
      </c>
      <c r="AK2419" s="117"/>
      <c r="AL2419" s="117"/>
      <c r="AM2419" s="117"/>
      <c r="AN2419" s="117"/>
      <c r="AO2419" s="117"/>
    </row>
    <row r="2420" ht="34.5" customHeight="1">
      <c r="A2420" s="111">
        <v>3139.0</v>
      </c>
      <c r="B2420" s="111" t="s">
        <v>10420</v>
      </c>
      <c r="C2420" s="111" t="s">
        <v>8026</v>
      </c>
      <c r="D2420" s="111">
        <v>2025.0</v>
      </c>
      <c r="E2420" s="111"/>
      <c r="F2420" s="111" t="s">
        <v>12399</v>
      </c>
      <c r="G2420" s="111" t="s">
        <v>12381</v>
      </c>
      <c r="H2420" s="111" t="s">
        <v>12230</v>
      </c>
      <c r="I2420" s="111" t="s">
        <v>12394</v>
      </c>
      <c r="J2420" s="111" t="s">
        <v>12295</v>
      </c>
      <c r="K2420" s="111" t="s">
        <v>30</v>
      </c>
      <c r="L2420" s="111"/>
      <c r="M2420" s="111"/>
      <c r="N2420" s="111"/>
      <c r="O2420" s="111"/>
      <c r="P2420" s="111">
        <v>1.0</v>
      </c>
      <c r="Q2420" s="111"/>
      <c r="R2420" s="111"/>
      <c r="S2420" s="111"/>
      <c r="T2420" s="111"/>
      <c r="U2420" s="111">
        <v>1.0</v>
      </c>
      <c r="V2420" s="111"/>
      <c r="W2420" s="111"/>
      <c r="X2420" s="111"/>
      <c r="Y2420" s="111"/>
      <c r="Z2420" s="111" t="s">
        <v>15455</v>
      </c>
      <c r="AA2420" s="126">
        <v>5.7</v>
      </c>
      <c r="AB2420" s="125">
        <f>IF(Projects!$AI2420="Electrolysis",
AA2420/VLOOKUP(G2420,ElectrolysisConvF,3,FALSE),
AC2420*10^6/(H2dens*HoursInYear))</f>
        <v>1266.666667</v>
      </c>
      <c r="AC2420" s="126">
        <f t="shared" si="442"/>
        <v>0.987544</v>
      </c>
      <c r="AD2420" s="125"/>
      <c r="AE2420" s="125">
        <f t="shared" si="435"/>
        <v>1266.666667</v>
      </c>
      <c r="AF2420" s="127" t="s">
        <v>15456</v>
      </c>
      <c r="AG2420" s="127">
        <v>63.8413308048189</v>
      </c>
      <c r="AH2420" s="127">
        <v>23.1276471272785</v>
      </c>
      <c r="AI2420" s="115" t="s">
        <v>12383</v>
      </c>
      <c r="AJ2420" s="116">
        <v>0.5</v>
      </c>
      <c r="AK2420" s="117"/>
      <c r="AL2420" s="117"/>
      <c r="AM2420" s="117"/>
      <c r="AN2420" s="117"/>
      <c r="AO2420" s="117"/>
    </row>
    <row r="2421" ht="34.5" customHeight="1">
      <c r="A2421" s="111">
        <v>3140.0</v>
      </c>
      <c r="B2421" s="111" t="s">
        <v>10421</v>
      </c>
      <c r="C2421" s="111" t="s">
        <v>10056</v>
      </c>
      <c r="D2421" s="111">
        <v>2025.0</v>
      </c>
      <c r="E2421" s="111"/>
      <c r="F2421" s="111" t="s">
        <v>12397</v>
      </c>
      <c r="G2421" s="111" t="s">
        <v>12381</v>
      </c>
      <c r="H2421" s="111" t="s">
        <v>12230</v>
      </c>
      <c r="I2421" s="111" t="s">
        <v>12287</v>
      </c>
      <c r="J2421" s="111"/>
      <c r="K2421" s="111" t="s">
        <v>30</v>
      </c>
      <c r="L2421" s="111"/>
      <c r="M2421" s="111"/>
      <c r="N2421" s="111"/>
      <c r="O2421" s="111"/>
      <c r="P2421" s="111"/>
      <c r="Q2421" s="111"/>
      <c r="R2421" s="111"/>
      <c r="S2421" s="111"/>
      <c r="T2421" s="111"/>
      <c r="U2421" s="111"/>
      <c r="V2421" s="111"/>
      <c r="W2421" s="111"/>
      <c r="X2421" s="111"/>
      <c r="Y2421" s="111"/>
      <c r="Z2421" s="111" t="s">
        <v>12424</v>
      </c>
      <c r="AA2421" s="126">
        <v>2.0</v>
      </c>
      <c r="AB2421" s="125">
        <f>IF(Projects!$AI2421="Electrolysis",
AA2421/VLOOKUP(G2421,ElectrolysisConvF,3,FALSE),
AC2421*10^6/(H2dens*HoursInYear))</f>
        <v>444.4444444</v>
      </c>
      <c r="AC2421" s="126">
        <f t="shared" si="442"/>
        <v>0.3465066667</v>
      </c>
      <c r="AD2421" s="125"/>
      <c r="AE2421" s="125">
        <f t="shared" si="435"/>
        <v>444.4444444</v>
      </c>
      <c r="AF2421" s="127" t="s">
        <v>15457</v>
      </c>
      <c r="AG2421" s="127">
        <v>34.9804426860334</v>
      </c>
      <c r="AH2421" s="127">
        <v>33.3233157366327</v>
      </c>
      <c r="AI2421" s="115" t="s">
        <v>12383</v>
      </c>
      <c r="AJ2421" s="116">
        <v>0.57</v>
      </c>
      <c r="AK2421" s="117"/>
      <c r="AL2421" s="117"/>
      <c r="AM2421" s="117"/>
      <c r="AN2421" s="117"/>
      <c r="AO2421" s="117"/>
    </row>
    <row r="2422" ht="34.5" customHeight="1">
      <c r="A2422" s="111">
        <v>3141.0</v>
      </c>
      <c r="B2422" s="111" t="s">
        <v>10422</v>
      </c>
      <c r="C2422" s="111" t="s">
        <v>8026</v>
      </c>
      <c r="D2422" s="111">
        <v>2028.0</v>
      </c>
      <c r="E2422" s="111"/>
      <c r="F2422" s="111" t="s">
        <v>12397</v>
      </c>
      <c r="G2422" s="111" t="s">
        <v>12381</v>
      </c>
      <c r="H2422" s="111" t="s">
        <v>12230</v>
      </c>
      <c r="I2422" s="111" t="s">
        <v>12394</v>
      </c>
      <c r="J2422" s="111" t="s">
        <v>12292</v>
      </c>
      <c r="K2422" s="111" t="s">
        <v>30</v>
      </c>
      <c r="L2422" s="111"/>
      <c r="M2422" s="111"/>
      <c r="N2422" s="111"/>
      <c r="O2422" s="111"/>
      <c r="P2422" s="111">
        <v>1.0</v>
      </c>
      <c r="Q2422" s="111"/>
      <c r="R2422" s="111"/>
      <c r="S2422" s="111"/>
      <c r="T2422" s="111"/>
      <c r="U2422" s="111"/>
      <c r="V2422" s="111"/>
      <c r="W2422" s="111"/>
      <c r="X2422" s="111"/>
      <c r="Y2422" s="111"/>
      <c r="Z2422" s="111" t="s">
        <v>15455</v>
      </c>
      <c r="AA2422" s="126">
        <v>5.7</v>
      </c>
      <c r="AB2422" s="125">
        <f>IF(Projects!$AI2422="Electrolysis",
AA2422/VLOOKUP(G2422,ElectrolysisConvF,3,FALSE),
AC2422*10^6/(H2dens*HoursInYear))</f>
        <v>1266.666667</v>
      </c>
      <c r="AC2422" s="126">
        <f t="shared" si="442"/>
        <v>0.987544</v>
      </c>
      <c r="AD2422" s="125"/>
      <c r="AE2422" s="125">
        <f t="shared" si="435"/>
        <v>1266.666667</v>
      </c>
      <c r="AF2422" s="127" t="s">
        <v>15458</v>
      </c>
      <c r="AG2422" s="127">
        <v>60.8601377359819</v>
      </c>
      <c r="AH2422" s="127">
        <v>26.746171136986</v>
      </c>
      <c r="AI2422" s="115" t="s">
        <v>12383</v>
      </c>
      <c r="AJ2422" s="116">
        <v>0.4</v>
      </c>
      <c r="AK2422" s="117"/>
      <c r="AL2422" s="117"/>
      <c r="AM2422" s="117"/>
      <c r="AN2422" s="117"/>
      <c r="AO2422" s="117"/>
    </row>
    <row r="2423" ht="29.25" customHeight="1">
      <c r="A2423" s="111">
        <v>3142.0</v>
      </c>
      <c r="B2423" s="111" t="s">
        <v>10423</v>
      </c>
      <c r="C2423" s="111" t="s">
        <v>8371</v>
      </c>
      <c r="D2423" s="111"/>
      <c r="E2423" s="111"/>
      <c r="F2423" s="111" t="s">
        <v>12397</v>
      </c>
      <c r="G2423" s="111" t="s">
        <v>12381</v>
      </c>
      <c r="H2423" s="111" t="s">
        <v>12230</v>
      </c>
      <c r="I2423" s="111" t="s">
        <v>12394</v>
      </c>
      <c r="J2423" s="111" t="s">
        <v>12291</v>
      </c>
      <c r="K2423" s="111" t="s">
        <v>30</v>
      </c>
      <c r="L2423" s="111"/>
      <c r="M2423" s="111">
        <v>1.0</v>
      </c>
      <c r="N2423" s="111"/>
      <c r="O2423" s="111"/>
      <c r="P2423" s="111"/>
      <c r="Q2423" s="111"/>
      <c r="R2423" s="111"/>
      <c r="S2423" s="111"/>
      <c r="T2423" s="111"/>
      <c r="U2423" s="111"/>
      <c r="V2423" s="111"/>
      <c r="W2423" s="111"/>
      <c r="X2423" s="111"/>
      <c r="Y2423" s="111"/>
      <c r="Z2423" s="111" t="s">
        <v>15459</v>
      </c>
      <c r="AA2423" s="126">
        <f>IF(Projects!$AI2423="Electrolysis",
AB2423*VLOOKUP(G2423,ElectrolysisConvF,3,FALSE),
"")</f>
        <v>259.8391981</v>
      </c>
      <c r="AB2423" s="125">
        <f>AC2423/(H2dens*HoursInYear/10^6)</f>
        <v>57742.04402</v>
      </c>
      <c r="AC2423" s="125">
        <f>250*3/17/0.98</f>
        <v>45.0180072</v>
      </c>
      <c r="AD2423" s="125"/>
      <c r="AE2423" s="125">
        <f t="shared" si="435"/>
        <v>57742.04402</v>
      </c>
      <c r="AF2423" s="127" t="s">
        <v>15460</v>
      </c>
      <c r="AG2423" s="127">
        <v>24.5497236767468</v>
      </c>
      <c r="AH2423" s="127">
        <v>54.4690299098174</v>
      </c>
      <c r="AI2423" s="115" t="s">
        <v>12383</v>
      </c>
      <c r="AJ2423" s="116">
        <v>0.3</v>
      </c>
      <c r="AK2423" s="117"/>
      <c r="AL2423" s="117"/>
      <c r="AM2423" s="117"/>
      <c r="AN2423" s="117"/>
      <c r="AO2423" s="117"/>
    </row>
    <row r="2424" ht="29.25" customHeight="1">
      <c r="A2424" s="111">
        <v>3143.0</v>
      </c>
      <c r="B2424" s="111" t="s">
        <v>10424</v>
      </c>
      <c r="C2424" s="111" t="s">
        <v>8026</v>
      </c>
      <c r="D2424" s="111">
        <v>2026.0</v>
      </c>
      <c r="E2424" s="111"/>
      <c r="F2424" s="111" t="s">
        <v>12399</v>
      </c>
      <c r="G2424" s="111" t="s">
        <v>12226</v>
      </c>
      <c r="H2424" s="111"/>
      <c r="I2424" s="111" t="s">
        <v>12394</v>
      </c>
      <c r="J2424" s="111" t="s">
        <v>12291</v>
      </c>
      <c r="K2424" s="111" t="s">
        <v>30</v>
      </c>
      <c r="L2424" s="111"/>
      <c r="M2424" s="111"/>
      <c r="N2424" s="111"/>
      <c r="O2424" s="111"/>
      <c r="P2424" s="111">
        <v>1.0</v>
      </c>
      <c r="Q2424" s="111"/>
      <c r="R2424" s="111"/>
      <c r="S2424" s="111"/>
      <c r="T2424" s="111"/>
      <c r="U2424" s="111"/>
      <c r="V2424" s="111"/>
      <c r="W2424" s="111"/>
      <c r="X2424" s="111"/>
      <c r="Y2424" s="111"/>
      <c r="Z2424" s="111" t="s">
        <v>12446</v>
      </c>
      <c r="AA2424" s="126">
        <v>4.0</v>
      </c>
      <c r="AB2424" s="125">
        <f>IF(Projects!$AI2424="Electrolysis",
AA2424/VLOOKUP(G2424,ElectrolysisConvF,3,FALSE),
AC2424*10^6/(H2dens*HoursInYear))</f>
        <v>769.2307692</v>
      </c>
      <c r="AC2424" s="126">
        <f t="shared" ref="AC2424:AC2425" si="443">AB2424*H2dens*HoursInYear/10^6</f>
        <v>0.5997230769</v>
      </c>
      <c r="AD2424" s="125"/>
      <c r="AE2424" s="125">
        <f t="shared" si="435"/>
        <v>769.2307692</v>
      </c>
      <c r="AF2424" s="127" t="s">
        <v>15461</v>
      </c>
      <c r="AG2424" s="127">
        <v>50.3492574117934</v>
      </c>
      <c r="AH2424" s="127">
        <v>13.5739494442726</v>
      </c>
      <c r="AI2424" s="115" t="s">
        <v>12383</v>
      </c>
      <c r="AJ2424" s="116">
        <v>0.3</v>
      </c>
      <c r="AK2424" s="117"/>
      <c r="AL2424" s="117"/>
      <c r="AM2424" s="117"/>
      <c r="AN2424" s="117"/>
      <c r="AO2424" s="117"/>
    </row>
    <row r="2425" ht="29.25" customHeight="1">
      <c r="A2425" s="111">
        <v>3144.0</v>
      </c>
      <c r="B2425" s="111" t="s">
        <v>10425</v>
      </c>
      <c r="C2425" s="111" t="s">
        <v>7967</v>
      </c>
      <c r="D2425" s="111">
        <v>2028.0</v>
      </c>
      <c r="E2425" s="111"/>
      <c r="F2425" s="111" t="s">
        <v>12397</v>
      </c>
      <c r="G2425" s="111" t="s">
        <v>12381</v>
      </c>
      <c r="H2425" s="111" t="s">
        <v>12230</v>
      </c>
      <c r="I2425" s="111" t="s">
        <v>12287</v>
      </c>
      <c r="J2425" s="111"/>
      <c r="K2425" s="111" t="s">
        <v>30</v>
      </c>
      <c r="L2425" s="111"/>
      <c r="M2425" s="111"/>
      <c r="N2425" s="111"/>
      <c r="O2425" s="111"/>
      <c r="P2425" s="111"/>
      <c r="Q2425" s="111"/>
      <c r="R2425" s="111"/>
      <c r="S2425" s="111"/>
      <c r="T2425" s="111"/>
      <c r="U2425" s="111"/>
      <c r="V2425" s="111"/>
      <c r="W2425" s="111"/>
      <c r="X2425" s="111"/>
      <c r="Y2425" s="111"/>
      <c r="Z2425" s="111" t="s">
        <v>12424</v>
      </c>
      <c r="AA2425" s="126">
        <v>2.0</v>
      </c>
      <c r="AB2425" s="125">
        <f>IF(Projects!$AI2425="Electrolysis",
AA2425/VLOOKUP(G2425,ElectrolysisConvF,3,FALSE),
AC2425*10^6/(H2dens*HoursInYear))</f>
        <v>444.4444444</v>
      </c>
      <c r="AC2425" s="126">
        <f t="shared" si="443"/>
        <v>0.3465066667</v>
      </c>
      <c r="AD2425" s="125"/>
      <c r="AE2425" s="125">
        <f t="shared" si="435"/>
        <v>444.4444444</v>
      </c>
      <c r="AF2425" s="127" t="s">
        <v>15462</v>
      </c>
      <c r="AG2425" s="127">
        <v>52.9590313398001</v>
      </c>
      <c r="AH2425" s="127">
        <v>4.77520884229238</v>
      </c>
      <c r="AI2425" s="115" t="s">
        <v>12383</v>
      </c>
      <c r="AJ2425" s="116">
        <v>0.57</v>
      </c>
      <c r="AK2425" s="117"/>
      <c r="AL2425" s="117"/>
      <c r="AM2425" s="117"/>
      <c r="AN2425" s="117"/>
      <c r="AO2425" s="117"/>
    </row>
    <row r="2426" ht="29.25" customHeight="1">
      <c r="A2426" s="111">
        <v>3145.0</v>
      </c>
      <c r="B2426" s="111" t="s">
        <v>10426</v>
      </c>
      <c r="C2426" s="111" t="s">
        <v>8108</v>
      </c>
      <c r="D2426" s="111">
        <v>2027.0</v>
      </c>
      <c r="E2426" s="111"/>
      <c r="F2426" s="111" t="s">
        <v>12397</v>
      </c>
      <c r="G2426" s="111" t="s">
        <v>12381</v>
      </c>
      <c r="H2426" s="111" t="s">
        <v>12230</v>
      </c>
      <c r="I2426" s="111" t="s">
        <v>12287</v>
      </c>
      <c r="J2426" s="111"/>
      <c r="K2426" s="111" t="s">
        <v>174</v>
      </c>
      <c r="L2426" s="111"/>
      <c r="M2426" s="111">
        <v>1.0</v>
      </c>
      <c r="N2426" s="111"/>
      <c r="O2426" s="111"/>
      <c r="P2426" s="111"/>
      <c r="Q2426" s="111"/>
      <c r="R2426" s="111"/>
      <c r="S2426" s="111"/>
      <c r="T2426" s="111"/>
      <c r="U2426" s="111"/>
      <c r="V2426" s="111"/>
      <c r="W2426" s="111"/>
      <c r="X2426" s="111"/>
      <c r="Y2426" s="111"/>
      <c r="Z2426" s="111" t="s">
        <v>14038</v>
      </c>
      <c r="AA2426" s="126">
        <f>IF(Projects!$AI2426="Electrolysis",
AB2426*VLOOKUP(G2426,ElectrolysisConvF,3,FALSE),
"")</f>
        <v>182.3432969</v>
      </c>
      <c r="AB2426" s="125">
        <f t="shared" ref="AB2426:AB2427" si="444">AC2426/(H2dens*HoursInYear/10^6)</f>
        <v>40520.73265</v>
      </c>
      <c r="AC2426" s="125">
        <f>(100*3/17/0.98/Projects!$AJ2426)</f>
        <v>31.591584</v>
      </c>
      <c r="AD2426" s="125"/>
      <c r="AE2426" s="125">
        <f t="shared" si="435"/>
        <v>40520.73265</v>
      </c>
      <c r="AF2426" s="127" t="s">
        <v>15463</v>
      </c>
      <c r="AG2426" s="127">
        <v>24.3090185259189</v>
      </c>
      <c r="AH2426" s="127">
        <v>72.3520409903352</v>
      </c>
      <c r="AI2426" s="115" t="s">
        <v>12383</v>
      </c>
      <c r="AJ2426" s="116">
        <v>0.57</v>
      </c>
      <c r="AK2426" s="117"/>
      <c r="AL2426" s="117"/>
      <c r="AM2426" s="117"/>
      <c r="AN2426" s="117"/>
      <c r="AO2426" s="117"/>
    </row>
    <row r="2427" ht="29.25" customHeight="1">
      <c r="A2427" s="111">
        <v>3146.0</v>
      </c>
      <c r="B2427" s="111" t="s">
        <v>10427</v>
      </c>
      <c r="C2427" s="111" t="s">
        <v>7967</v>
      </c>
      <c r="D2427" s="111">
        <v>2028.0</v>
      </c>
      <c r="E2427" s="111"/>
      <c r="F2427" s="111" t="s">
        <v>12399</v>
      </c>
      <c r="G2427" s="111" t="s">
        <v>12235</v>
      </c>
      <c r="H2427" s="111"/>
      <c r="I2427" s="111"/>
      <c r="J2427" s="111"/>
      <c r="K2427" s="111" t="s">
        <v>30</v>
      </c>
      <c r="L2427" s="111"/>
      <c r="M2427" s="111"/>
      <c r="N2427" s="111"/>
      <c r="O2427" s="111"/>
      <c r="P2427" s="111"/>
      <c r="Q2427" s="111"/>
      <c r="R2427" s="111"/>
      <c r="S2427" s="111">
        <v>1.0</v>
      </c>
      <c r="T2427" s="111"/>
      <c r="U2427" s="111"/>
      <c r="V2427" s="111"/>
      <c r="W2427" s="111"/>
      <c r="X2427" s="111"/>
      <c r="Y2427" s="111"/>
      <c r="Z2427" s="111" t="s">
        <v>15464</v>
      </c>
      <c r="AA2427" s="126" t="str">
        <f>IF(Projects!$AI2427="Electrolysis",
AB2427*VLOOKUP(G2427,ElectrolysisConvF,3,FALSE),
"")</f>
        <v/>
      </c>
      <c r="AB2427" s="125">
        <f t="shared" si="444"/>
        <v>269355.087</v>
      </c>
      <c r="AC2427" s="125">
        <v>210.0</v>
      </c>
      <c r="AD2427" s="125"/>
      <c r="AE2427" s="125">
        <f t="shared" si="435"/>
        <v>0</v>
      </c>
      <c r="AF2427" s="127" t="s">
        <v>15465</v>
      </c>
      <c r="AG2427" s="127">
        <v>52.1180292718138</v>
      </c>
      <c r="AH2427" s="127">
        <v>4.24063074491582</v>
      </c>
      <c r="AI2427" s="115" t="s">
        <v>12378</v>
      </c>
      <c r="AJ2427" s="116">
        <v>0.9</v>
      </c>
      <c r="AK2427" s="117"/>
      <c r="AL2427" s="117"/>
      <c r="AM2427" s="117"/>
      <c r="AN2427" s="117"/>
      <c r="AO2427" s="117"/>
    </row>
    <row r="2428" ht="29.25" customHeight="1">
      <c r="A2428" s="111">
        <v>3147.0</v>
      </c>
      <c r="B2428" s="111" t="s">
        <v>10428</v>
      </c>
      <c r="C2428" s="111" t="s">
        <v>8649</v>
      </c>
      <c r="D2428" s="111">
        <v>2030.0</v>
      </c>
      <c r="E2428" s="111"/>
      <c r="F2428" s="111" t="s">
        <v>12397</v>
      </c>
      <c r="G2428" s="111" t="s">
        <v>12381</v>
      </c>
      <c r="H2428" s="111" t="s">
        <v>12230</v>
      </c>
      <c r="I2428" s="111" t="s">
        <v>12394</v>
      </c>
      <c r="J2428" s="111" t="s">
        <v>12292</v>
      </c>
      <c r="K2428" s="111" t="s">
        <v>30</v>
      </c>
      <c r="L2428" s="111"/>
      <c r="M2428" s="111"/>
      <c r="N2428" s="111"/>
      <c r="O2428" s="111"/>
      <c r="P2428" s="111"/>
      <c r="Q2428" s="111"/>
      <c r="R2428" s="111"/>
      <c r="S2428" s="111"/>
      <c r="T2428" s="111"/>
      <c r="U2428" s="111"/>
      <c r="V2428" s="111"/>
      <c r="W2428" s="111"/>
      <c r="X2428" s="111"/>
      <c r="Y2428" s="111"/>
      <c r="Z2428" s="111" t="s">
        <v>12723</v>
      </c>
      <c r="AA2428" s="126">
        <v>1000.0</v>
      </c>
      <c r="AB2428" s="125">
        <f>IF(Projects!$AI2428="Electrolysis",
AA2428/VLOOKUP(G2428,ElectrolysisConvF,3,FALSE),
AC2428*10^6/(H2dens*HoursInYear))</f>
        <v>222222.2222</v>
      </c>
      <c r="AC2428" s="126">
        <f t="shared" ref="AC2428:AC2431" si="445">AB2428*H2dens*HoursInYear/10^6</f>
        <v>173.2533333</v>
      </c>
      <c r="AD2428" s="125"/>
      <c r="AE2428" s="125">
        <f t="shared" si="435"/>
        <v>222222.2222</v>
      </c>
      <c r="AF2428" s="127" t="s">
        <v>15466</v>
      </c>
      <c r="AG2428" s="127">
        <v>56.5201983678858</v>
      </c>
      <c r="AH2428" s="127">
        <v>21.0149233125027</v>
      </c>
      <c r="AI2428" s="115" t="s">
        <v>12383</v>
      </c>
      <c r="AJ2428" s="116">
        <v>0.4</v>
      </c>
      <c r="AK2428" s="117"/>
      <c r="AL2428" s="117"/>
      <c r="AM2428" s="117"/>
      <c r="AN2428" s="117"/>
      <c r="AO2428" s="117"/>
    </row>
    <row r="2429" ht="29.25" customHeight="1">
      <c r="A2429" s="111">
        <v>3148.0</v>
      </c>
      <c r="B2429" s="111" t="s">
        <v>10429</v>
      </c>
      <c r="C2429" s="111" t="s">
        <v>8011</v>
      </c>
      <c r="D2429" s="111">
        <v>2030.0</v>
      </c>
      <c r="E2429" s="111"/>
      <c r="F2429" s="111" t="s">
        <v>12397</v>
      </c>
      <c r="G2429" s="111" t="s">
        <v>12381</v>
      </c>
      <c r="H2429" s="111" t="s">
        <v>12230</v>
      </c>
      <c r="I2429" s="111" t="s">
        <v>12287</v>
      </c>
      <c r="J2429" s="111"/>
      <c r="K2429" s="111" t="s">
        <v>12251</v>
      </c>
      <c r="L2429" s="111"/>
      <c r="M2429" s="111"/>
      <c r="N2429" s="111"/>
      <c r="O2429" s="111"/>
      <c r="P2429" s="111"/>
      <c r="Q2429" s="111"/>
      <c r="R2429" s="111"/>
      <c r="S2429" s="111"/>
      <c r="T2429" s="111"/>
      <c r="U2429" s="111"/>
      <c r="V2429" s="111"/>
      <c r="W2429" s="111">
        <v>1.0</v>
      </c>
      <c r="X2429" s="111"/>
      <c r="Y2429" s="111"/>
      <c r="Z2429" s="111" t="s">
        <v>12991</v>
      </c>
      <c r="AA2429" s="126">
        <v>300.0</v>
      </c>
      <c r="AB2429" s="125">
        <f>IF(Projects!$AI2429="Electrolysis",
AA2429/VLOOKUP(G2429,ElectrolysisConvF,3,FALSE),
AC2429*10^6/(H2dens*HoursInYear))</f>
        <v>66666.66667</v>
      </c>
      <c r="AC2429" s="126">
        <f t="shared" si="445"/>
        <v>51.976</v>
      </c>
      <c r="AD2429" s="125"/>
      <c r="AE2429" s="125">
        <f t="shared" si="435"/>
        <v>66666.66667</v>
      </c>
      <c r="AF2429" s="127" t="s">
        <v>15467</v>
      </c>
      <c r="AG2429" s="127">
        <v>49.4959427495994</v>
      </c>
      <c r="AH2429" s="127">
        <v>0.102074897612526</v>
      </c>
      <c r="AI2429" s="115" t="s">
        <v>12383</v>
      </c>
      <c r="AJ2429" s="116">
        <v>0.57</v>
      </c>
      <c r="AK2429" s="117"/>
      <c r="AL2429" s="117"/>
      <c r="AM2429" s="117"/>
      <c r="AN2429" s="117"/>
      <c r="AO2429" s="117"/>
    </row>
    <row r="2430" ht="29.25" customHeight="1">
      <c r="A2430" s="111">
        <v>3149.0</v>
      </c>
      <c r="B2430" s="111" t="s">
        <v>10430</v>
      </c>
      <c r="C2430" s="111" t="s">
        <v>7987</v>
      </c>
      <c r="D2430" s="111">
        <v>2028.0</v>
      </c>
      <c r="E2430" s="111"/>
      <c r="F2430" s="111" t="s">
        <v>12397</v>
      </c>
      <c r="G2430" s="111" t="s">
        <v>12381</v>
      </c>
      <c r="H2430" s="111" t="s">
        <v>12230</v>
      </c>
      <c r="I2430" s="111" t="s">
        <v>12287</v>
      </c>
      <c r="J2430" s="111"/>
      <c r="K2430" s="111" t="s">
        <v>30</v>
      </c>
      <c r="L2430" s="111"/>
      <c r="M2430" s="111"/>
      <c r="N2430" s="111"/>
      <c r="O2430" s="111"/>
      <c r="P2430" s="111"/>
      <c r="Q2430" s="111"/>
      <c r="R2430" s="111"/>
      <c r="S2430" s="111"/>
      <c r="T2430" s="111"/>
      <c r="U2430" s="111"/>
      <c r="V2430" s="111"/>
      <c r="W2430" s="111"/>
      <c r="X2430" s="111"/>
      <c r="Y2430" s="111"/>
      <c r="Z2430" s="111" t="s">
        <v>12768</v>
      </c>
      <c r="AA2430" s="126">
        <v>50.0</v>
      </c>
      <c r="AB2430" s="125">
        <f>IF(Projects!$AI2430="Electrolysis",
AA2430/VLOOKUP(G2430,ElectrolysisConvF,3,FALSE),
AC2430*10^6/(H2dens*HoursInYear))</f>
        <v>11111.11111</v>
      </c>
      <c r="AC2430" s="126">
        <f t="shared" si="445"/>
        <v>8.662666667</v>
      </c>
      <c r="AD2430" s="125"/>
      <c r="AE2430" s="125">
        <f t="shared" si="435"/>
        <v>11111.11111</v>
      </c>
      <c r="AF2430" s="127" t="s">
        <v>15468</v>
      </c>
      <c r="AG2430" s="127">
        <v>51.9385698082444</v>
      </c>
      <c r="AH2430" s="127">
        <v>7.17208771040186</v>
      </c>
      <c r="AI2430" s="115" t="s">
        <v>12383</v>
      </c>
      <c r="AJ2430" s="116">
        <v>0.57</v>
      </c>
      <c r="AK2430" s="117"/>
      <c r="AL2430" s="117"/>
      <c r="AM2430" s="117"/>
      <c r="AN2430" s="117"/>
      <c r="AO2430" s="117"/>
    </row>
    <row r="2431" ht="29.25" customHeight="1">
      <c r="A2431" s="111">
        <v>3150.0</v>
      </c>
      <c r="B2431" s="111" t="s">
        <v>10431</v>
      </c>
      <c r="C2431" s="111" t="s">
        <v>7981</v>
      </c>
      <c r="D2431" s="111">
        <v>2025.0</v>
      </c>
      <c r="E2431" s="111"/>
      <c r="F2431" s="111" t="s">
        <v>12397</v>
      </c>
      <c r="G2431" s="111" t="s">
        <v>12381</v>
      </c>
      <c r="H2431" s="111" t="s">
        <v>12230</v>
      </c>
      <c r="I2431" s="111" t="s">
        <v>12287</v>
      </c>
      <c r="J2431" s="111"/>
      <c r="K2431" s="111" t="s">
        <v>30</v>
      </c>
      <c r="L2431" s="111"/>
      <c r="M2431" s="111"/>
      <c r="N2431" s="111"/>
      <c r="O2431" s="111"/>
      <c r="P2431" s="111"/>
      <c r="Q2431" s="111"/>
      <c r="R2431" s="111"/>
      <c r="S2431" s="111"/>
      <c r="T2431" s="111"/>
      <c r="U2431" s="111"/>
      <c r="V2431" s="111"/>
      <c r="W2431" s="111"/>
      <c r="X2431" s="111"/>
      <c r="Y2431" s="111"/>
      <c r="Z2431" s="111" t="s">
        <v>12589</v>
      </c>
      <c r="AA2431" s="126">
        <v>20.0</v>
      </c>
      <c r="AB2431" s="125">
        <f>IF(Projects!$AI2431="Electrolysis",
AA2431/VLOOKUP(G2431,ElectrolysisConvF,3,FALSE),
AC2431*10^6/(H2dens*HoursInYear))</f>
        <v>4444.444444</v>
      </c>
      <c r="AC2431" s="126">
        <f t="shared" si="445"/>
        <v>3.465066667</v>
      </c>
      <c r="AD2431" s="125"/>
      <c r="AE2431" s="125">
        <f t="shared" si="435"/>
        <v>4444.444444</v>
      </c>
      <c r="AF2431" s="127" t="s">
        <v>15469</v>
      </c>
      <c r="AG2431" s="127">
        <v>29.7292924683654</v>
      </c>
      <c r="AH2431" s="127">
        <v>-95.3876086581628</v>
      </c>
      <c r="AI2431" s="115" t="s">
        <v>12383</v>
      </c>
      <c r="AJ2431" s="116">
        <v>0.57</v>
      </c>
      <c r="AK2431" s="117"/>
      <c r="AL2431" s="117"/>
      <c r="AM2431" s="117"/>
      <c r="AN2431" s="117"/>
      <c r="AO2431" s="117"/>
    </row>
    <row r="2432" ht="29.25" customHeight="1">
      <c r="A2432" s="111">
        <v>3151.0</v>
      </c>
      <c r="B2432" s="111" t="s">
        <v>10432</v>
      </c>
      <c r="C2432" s="111" t="s">
        <v>8388</v>
      </c>
      <c r="D2432" s="111"/>
      <c r="E2432" s="111"/>
      <c r="F2432" s="111" t="s">
        <v>12418</v>
      </c>
      <c r="G2432" s="111" t="s">
        <v>12381</v>
      </c>
      <c r="H2432" s="111" t="s">
        <v>12230</v>
      </c>
      <c r="I2432" s="111" t="s">
        <v>12287</v>
      </c>
      <c r="J2432" s="111"/>
      <c r="K2432" s="111" t="s">
        <v>12449</v>
      </c>
      <c r="L2432" s="111"/>
      <c r="M2432" s="111"/>
      <c r="N2432" s="111"/>
      <c r="O2432" s="111"/>
      <c r="P2432" s="111"/>
      <c r="Q2432" s="111"/>
      <c r="R2432" s="111"/>
      <c r="S2432" s="111"/>
      <c r="T2432" s="111"/>
      <c r="U2432" s="111"/>
      <c r="V2432" s="111"/>
      <c r="W2432" s="111"/>
      <c r="X2432" s="111">
        <v>1.0</v>
      </c>
      <c r="Y2432" s="111"/>
      <c r="Z2432" s="111" t="s">
        <v>15470</v>
      </c>
      <c r="AA2432" s="126">
        <f>IF(Projects!$AI2432="Electrolysis",
AB2432*VLOOKUP(G2432,ElectrolysisConvF,3,FALSE),
"")</f>
        <v>41.03626183</v>
      </c>
      <c r="AB2432" s="125">
        <f t="shared" ref="AB2432:AB2433" si="446">AC2432/(H2dens*HoursInYear/10^6)</f>
        <v>9119.169296</v>
      </c>
      <c r="AC2432" s="125">
        <f>(7.1*50/120/0.73)/Projects!$AJ2432</f>
        <v>7.10966915</v>
      </c>
      <c r="AD2432" s="125"/>
      <c r="AE2432" s="125">
        <f t="shared" si="435"/>
        <v>9119.169296</v>
      </c>
      <c r="AF2432" s="127" t="s">
        <v>15471</v>
      </c>
      <c r="AG2432" s="127">
        <v>23.2273521618295</v>
      </c>
      <c r="AH2432" s="127">
        <v>56.7805358858639</v>
      </c>
      <c r="AI2432" s="115" t="s">
        <v>12383</v>
      </c>
      <c r="AJ2432" s="116">
        <v>0.57</v>
      </c>
      <c r="AK2432" s="117"/>
      <c r="AL2432" s="117"/>
      <c r="AM2432" s="117"/>
      <c r="AN2432" s="117"/>
      <c r="AO2432" s="117"/>
    </row>
    <row r="2433" ht="29.25" customHeight="1">
      <c r="A2433" s="111">
        <v>3152.0</v>
      </c>
      <c r="B2433" s="111" t="s">
        <v>10433</v>
      </c>
      <c r="C2433" s="111" t="s">
        <v>7981</v>
      </c>
      <c r="D2433" s="111">
        <v>2030.0</v>
      </c>
      <c r="E2433" s="111"/>
      <c r="F2433" s="111" t="s">
        <v>12397</v>
      </c>
      <c r="G2433" s="111" t="s">
        <v>12235</v>
      </c>
      <c r="H2433" s="111" t="s">
        <v>13373</v>
      </c>
      <c r="I2433" s="111"/>
      <c r="J2433" s="111"/>
      <c r="K2433" s="111" t="s">
        <v>30</v>
      </c>
      <c r="L2433" s="111"/>
      <c r="M2433" s="111"/>
      <c r="N2433" s="111"/>
      <c r="O2433" s="111"/>
      <c r="P2433" s="111"/>
      <c r="Q2433" s="111"/>
      <c r="R2433" s="111"/>
      <c r="S2433" s="111"/>
      <c r="T2433" s="111"/>
      <c r="U2433" s="111"/>
      <c r="V2433" s="111"/>
      <c r="W2433" s="111"/>
      <c r="X2433" s="111"/>
      <c r="Y2433" s="111"/>
      <c r="Z2433" s="111" t="s">
        <v>15472</v>
      </c>
      <c r="AA2433" s="126"/>
      <c r="AB2433" s="126">
        <f t="shared" si="446"/>
        <v>313535.0219</v>
      </c>
      <c r="AC2433" s="125">
        <f>220/Projects!$AJ2433</f>
        <v>244.4444444</v>
      </c>
      <c r="AD2433" s="125"/>
      <c r="AE2433" s="125">
        <f t="shared" si="435"/>
        <v>0</v>
      </c>
      <c r="AF2433" s="127" t="s">
        <v>15473</v>
      </c>
      <c r="AG2433" s="127">
        <v>29.6633969275901</v>
      </c>
      <c r="AH2433" s="127">
        <v>-92.4646527100684</v>
      </c>
      <c r="AI2433" s="115" t="s">
        <v>12378</v>
      </c>
      <c r="AJ2433" s="116">
        <v>0.9</v>
      </c>
      <c r="AK2433" s="117"/>
      <c r="AL2433" s="117"/>
      <c r="AM2433" s="117"/>
      <c r="AN2433" s="117"/>
      <c r="AO2433" s="117"/>
    </row>
    <row r="2434" ht="29.25" customHeight="1">
      <c r="A2434" s="111">
        <v>3153.0</v>
      </c>
      <c r="B2434" s="111" t="s">
        <v>10434</v>
      </c>
      <c r="C2434" s="111" t="s">
        <v>8723</v>
      </c>
      <c r="D2434" s="111"/>
      <c r="E2434" s="111"/>
      <c r="F2434" s="111" t="s">
        <v>12397</v>
      </c>
      <c r="G2434" s="111" t="s">
        <v>12235</v>
      </c>
      <c r="H2434" s="111" t="s">
        <v>12885</v>
      </c>
      <c r="I2434" s="111"/>
      <c r="J2434" s="111"/>
      <c r="K2434" s="111" t="s">
        <v>30</v>
      </c>
      <c r="L2434" s="111"/>
      <c r="M2434" s="111"/>
      <c r="N2434" s="111"/>
      <c r="O2434" s="111"/>
      <c r="P2434" s="111">
        <v>1.0</v>
      </c>
      <c r="Q2434" s="111">
        <v>1.0</v>
      </c>
      <c r="R2434" s="111"/>
      <c r="S2434" s="111"/>
      <c r="T2434" s="111"/>
      <c r="U2434" s="111"/>
      <c r="V2434" s="111"/>
      <c r="W2434" s="111"/>
      <c r="X2434" s="111"/>
      <c r="Y2434" s="111"/>
      <c r="Z2434" s="111"/>
      <c r="AA2434" s="126"/>
      <c r="AB2434" s="125"/>
      <c r="AC2434" s="125"/>
      <c r="AD2434" s="125"/>
      <c r="AE2434" s="125">
        <f t="shared" si="435"/>
        <v>0</v>
      </c>
      <c r="AF2434" s="127" t="s">
        <v>15474</v>
      </c>
      <c r="AG2434" s="127">
        <v>51.0309375340166</v>
      </c>
      <c r="AH2434" s="127">
        <v>143.006479944282</v>
      </c>
      <c r="AI2434" s="115" t="s">
        <v>12378</v>
      </c>
      <c r="AJ2434" s="116">
        <v>0.9</v>
      </c>
      <c r="AK2434" s="117"/>
      <c r="AL2434" s="117"/>
      <c r="AM2434" s="117"/>
      <c r="AN2434" s="117"/>
      <c r="AO2434" s="117"/>
    </row>
    <row r="2435" ht="29.25" customHeight="1">
      <c r="A2435" s="111">
        <v>3154.0</v>
      </c>
      <c r="B2435" s="111" t="s">
        <v>10435</v>
      </c>
      <c r="C2435" s="111" t="s">
        <v>8108</v>
      </c>
      <c r="D2435" s="111">
        <v>2029.0</v>
      </c>
      <c r="E2435" s="111"/>
      <c r="F2435" s="111" t="s">
        <v>12397</v>
      </c>
      <c r="G2435" s="111" t="s">
        <v>12381</v>
      </c>
      <c r="H2435" s="111" t="s">
        <v>12230</v>
      </c>
      <c r="I2435" s="111" t="s">
        <v>12287</v>
      </c>
      <c r="J2435" s="111"/>
      <c r="K2435" s="111" t="s">
        <v>30</v>
      </c>
      <c r="L2435" s="111"/>
      <c r="M2435" s="111"/>
      <c r="N2435" s="111"/>
      <c r="O2435" s="111"/>
      <c r="P2435" s="111"/>
      <c r="Q2435" s="111"/>
      <c r="R2435" s="111"/>
      <c r="S2435" s="111"/>
      <c r="T2435" s="111"/>
      <c r="U2435" s="111"/>
      <c r="V2435" s="111"/>
      <c r="W2435" s="111"/>
      <c r="X2435" s="111"/>
      <c r="Y2435" s="111"/>
      <c r="Z2435" s="111" t="s">
        <v>15475</v>
      </c>
      <c r="AA2435" s="126">
        <f>IF(Projects!$AI2435="Electrolysis",
AB2435*VLOOKUP(G2435,ElectrolysisConvF,3,FALSE),
"")</f>
        <v>1721.442285</v>
      </c>
      <c r="AB2435" s="126">
        <f>AC2435/(H2dens*HoursInYear/10^6)</f>
        <v>382542.73</v>
      </c>
      <c r="AC2435" s="125">
        <f>170/Projects!$AJ2435</f>
        <v>298.245614</v>
      </c>
      <c r="AD2435" s="125"/>
      <c r="AE2435" s="125">
        <f t="shared" si="435"/>
        <v>382542.73</v>
      </c>
      <c r="AF2435" s="127" t="s">
        <v>15476</v>
      </c>
      <c r="AG2435" s="127">
        <v>23.6065433233785</v>
      </c>
      <c r="AH2435" s="127">
        <v>69.8050889521937</v>
      </c>
      <c r="AI2435" s="115" t="s">
        <v>12383</v>
      </c>
      <c r="AJ2435" s="116">
        <v>0.57</v>
      </c>
      <c r="AK2435" s="117"/>
      <c r="AL2435" s="117"/>
      <c r="AM2435" s="117"/>
      <c r="AN2435" s="117"/>
      <c r="AO2435" s="117"/>
    </row>
    <row r="2436" ht="29.25" customHeight="1">
      <c r="A2436" s="111">
        <v>3155.0</v>
      </c>
      <c r="B2436" s="111" t="s">
        <v>10436</v>
      </c>
      <c r="C2436" s="111" t="s">
        <v>7981</v>
      </c>
      <c r="D2436" s="111">
        <v>2028.0</v>
      </c>
      <c r="E2436" s="111"/>
      <c r="F2436" s="111" t="s">
        <v>12397</v>
      </c>
      <c r="G2436" s="111" t="s">
        <v>12235</v>
      </c>
      <c r="H2436" s="111" t="s">
        <v>13160</v>
      </c>
      <c r="I2436" s="111"/>
      <c r="J2436" s="111"/>
      <c r="K2436" s="111" t="s">
        <v>174</v>
      </c>
      <c r="L2436" s="111"/>
      <c r="M2436" s="111">
        <v>1.0</v>
      </c>
      <c r="N2436" s="111"/>
      <c r="O2436" s="111"/>
      <c r="P2436" s="111"/>
      <c r="Q2436" s="111"/>
      <c r="R2436" s="111"/>
      <c r="S2436" s="111"/>
      <c r="T2436" s="111"/>
      <c r="U2436" s="111"/>
      <c r="V2436" s="111"/>
      <c r="W2436" s="111"/>
      <c r="X2436" s="111"/>
      <c r="Y2436" s="111"/>
      <c r="Z2436" s="111" t="s">
        <v>14238</v>
      </c>
      <c r="AA2436" s="126"/>
      <c r="AB2436" s="125">
        <f>IF(Projects!$AI2436="Electrolysis",
AA2436/VLOOKUP(G2436,ElectrolysisConvF,3,FALSE),
AC2436*10^6/(H2dens*HoursInYear))</f>
        <v>115484.088</v>
      </c>
      <c r="AC2436" s="125">
        <f>500*3/17/0.98</f>
        <v>90.03601441</v>
      </c>
      <c r="AD2436" s="125"/>
      <c r="AE2436" s="125">
        <f t="shared" si="435"/>
        <v>0</v>
      </c>
      <c r="AF2436" s="127" t="s">
        <v>15477</v>
      </c>
      <c r="AG2436" s="127">
        <v>30.7690315462377</v>
      </c>
      <c r="AH2436" s="127">
        <v>-91.724449587438</v>
      </c>
      <c r="AI2436" s="115" t="s">
        <v>12378</v>
      </c>
      <c r="AJ2436" s="116">
        <v>0.9</v>
      </c>
      <c r="AK2436" s="117"/>
      <c r="AL2436" s="117"/>
      <c r="AM2436" s="117"/>
      <c r="AN2436" s="117"/>
      <c r="AO2436" s="117"/>
    </row>
    <row r="2437" ht="29.25" customHeight="1">
      <c r="A2437" s="111">
        <v>3156.0</v>
      </c>
      <c r="B2437" s="111" t="s">
        <v>10437</v>
      </c>
      <c r="C2437" s="111" t="s">
        <v>7981</v>
      </c>
      <c r="D2437" s="111">
        <v>2028.0</v>
      </c>
      <c r="E2437" s="111"/>
      <c r="F2437" s="111" t="s">
        <v>12397</v>
      </c>
      <c r="G2437" s="111" t="s">
        <v>12235</v>
      </c>
      <c r="H2437" s="111" t="s">
        <v>13160</v>
      </c>
      <c r="I2437" s="111"/>
      <c r="J2437" s="111"/>
      <c r="K2437" s="111" t="s">
        <v>174</v>
      </c>
      <c r="L2437" s="111"/>
      <c r="M2437" s="111">
        <v>1.0</v>
      </c>
      <c r="N2437" s="111"/>
      <c r="O2437" s="111"/>
      <c r="P2437" s="111"/>
      <c r="Q2437" s="111"/>
      <c r="R2437" s="111"/>
      <c r="S2437" s="111"/>
      <c r="T2437" s="111"/>
      <c r="U2437" s="111"/>
      <c r="V2437" s="111"/>
      <c r="W2437" s="111"/>
      <c r="X2437" s="111"/>
      <c r="Y2437" s="111"/>
      <c r="Z2437" s="111" t="s">
        <v>15478</v>
      </c>
      <c r="AA2437" s="126"/>
      <c r="AB2437" s="125">
        <f>IF(Projects!$AI2437="Electrolysis",
AA2437/VLOOKUP(G2437,ElectrolysisConvF,3,FALSE),
AC2437*10^6/(H2dens*HoursInYear))</f>
        <v>230968.1761</v>
      </c>
      <c r="AC2437" s="125">
        <f>1000*3/17/0.98</f>
        <v>180.0720288</v>
      </c>
      <c r="AD2437" s="125"/>
      <c r="AE2437" s="125">
        <f t="shared" si="435"/>
        <v>0</v>
      </c>
      <c r="AF2437" s="127" t="s">
        <v>15479</v>
      </c>
      <c r="AG2437" s="127">
        <v>29.755984245011</v>
      </c>
      <c r="AH2437" s="127">
        <v>-95.3656615823773</v>
      </c>
      <c r="AI2437" s="115" t="s">
        <v>12378</v>
      </c>
      <c r="AJ2437" s="116">
        <v>0.9</v>
      </c>
      <c r="AK2437" s="117"/>
      <c r="AL2437" s="117"/>
      <c r="AM2437" s="117"/>
      <c r="AN2437" s="117"/>
      <c r="AO2437" s="117"/>
    </row>
    <row r="2438" ht="29.25" customHeight="1">
      <c r="A2438" s="111">
        <v>3157.0</v>
      </c>
      <c r="B2438" s="111" t="s">
        <v>10438</v>
      </c>
      <c r="C2438" s="111" t="s">
        <v>8031</v>
      </c>
      <c r="D2438" s="111">
        <v>2025.0</v>
      </c>
      <c r="E2438" s="111"/>
      <c r="F2438" s="111" t="s">
        <v>12418</v>
      </c>
      <c r="G2438" s="111" t="s">
        <v>12381</v>
      </c>
      <c r="H2438" s="111" t="s">
        <v>12230</v>
      </c>
      <c r="I2438" s="111" t="s">
        <v>12419</v>
      </c>
      <c r="J2438" s="111"/>
      <c r="K2438" s="111" t="s">
        <v>12251</v>
      </c>
      <c r="L2438" s="111"/>
      <c r="M2438" s="111"/>
      <c r="N2438" s="111"/>
      <c r="O2438" s="111"/>
      <c r="P2438" s="111"/>
      <c r="Q2438" s="111"/>
      <c r="R2438" s="111"/>
      <c r="S2438" s="111"/>
      <c r="T2438" s="111"/>
      <c r="U2438" s="111"/>
      <c r="V2438" s="111"/>
      <c r="W2438" s="111">
        <v>1.0</v>
      </c>
      <c r="X2438" s="111"/>
      <c r="Y2438" s="111"/>
      <c r="Z2438" s="111" t="s">
        <v>15480</v>
      </c>
      <c r="AA2438" s="146">
        <f>IF(Projects!$AI2438="Electrolysis",
AB2438*VLOOKUP(G2438,ElectrolysisConvF,3,FALSE),
"")</f>
        <v>0.02106741573</v>
      </c>
      <c r="AB2438" s="125">
        <f>AC2438/(H2dens*HoursInYear/10^6)</f>
        <v>4.68164794</v>
      </c>
      <c r="AC2438" s="125">
        <f>10*365/10^6</f>
        <v>0.00365</v>
      </c>
      <c r="AD2438" s="125"/>
      <c r="AE2438" s="125">
        <f t="shared" si="435"/>
        <v>4.68164794</v>
      </c>
      <c r="AF2438" s="127" t="s">
        <v>15481</v>
      </c>
      <c r="AG2438" s="127">
        <v>1.27830362081958</v>
      </c>
      <c r="AH2438" s="127">
        <v>103.785885180445</v>
      </c>
      <c r="AI2438" s="115" t="s">
        <v>12383</v>
      </c>
      <c r="AJ2438" s="116">
        <v>0.57</v>
      </c>
      <c r="AK2438" s="117"/>
      <c r="AL2438" s="117"/>
      <c r="AM2438" s="117"/>
      <c r="AN2438" s="117"/>
      <c r="AO2438" s="117"/>
    </row>
    <row r="2439" ht="29.25" customHeight="1">
      <c r="A2439" s="111">
        <v>3158.0</v>
      </c>
      <c r="B2439" s="111" t="s">
        <v>10439</v>
      </c>
      <c r="C2439" s="111" t="s">
        <v>8016</v>
      </c>
      <c r="D2439" s="111"/>
      <c r="E2439" s="111"/>
      <c r="F2439" s="111" t="s">
        <v>12397</v>
      </c>
      <c r="G2439" s="111" t="s">
        <v>12381</v>
      </c>
      <c r="H2439" s="111" t="s">
        <v>12230</v>
      </c>
      <c r="I2439" s="111" t="s">
        <v>12287</v>
      </c>
      <c r="J2439" s="111" t="str">
        <f>IF(I2439&lt;&gt;"Dedicated renewable","N/A",)</f>
        <v>N/A</v>
      </c>
      <c r="K2439" s="111" t="s">
        <v>174</v>
      </c>
      <c r="L2439" s="111"/>
      <c r="M2439" s="111">
        <v>1.0</v>
      </c>
      <c r="N2439" s="111"/>
      <c r="O2439" s="111"/>
      <c r="P2439" s="111"/>
      <c r="Q2439" s="111"/>
      <c r="R2439" s="111"/>
      <c r="S2439" s="111"/>
      <c r="T2439" s="111"/>
      <c r="U2439" s="111"/>
      <c r="V2439" s="111"/>
      <c r="W2439" s="111"/>
      <c r="X2439" s="111"/>
      <c r="Y2439" s="111"/>
      <c r="Z2439" s="111"/>
      <c r="AA2439" s="126"/>
      <c r="AB2439" s="125"/>
      <c r="AC2439" s="125"/>
      <c r="AD2439" s="125"/>
      <c r="AE2439" s="125" t="str">
        <f t="shared" si="435"/>
        <v/>
      </c>
      <c r="AF2439" s="127" t="s">
        <v>15482</v>
      </c>
      <c r="AG2439" s="127">
        <v>3.16772922820277</v>
      </c>
      <c r="AH2439" s="127">
        <v>113.003279715861</v>
      </c>
      <c r="AI2439" s="115" t="s">
        <v>12383</v>
      </c>
      <c r="AJ2439" s="116">
        <v>0.57</v>
      </c>
      <c r="AK2439" s="117"/>
      <c r="AL2439" s="117"/>
      <c r="AM2439" s="117"/>
      <c r="AN2439" s="117"/>
      <c r="AO2439" s="117"/>
    </row>
    <row r="2440" ht="29.25" customHeight="1">
      <c r="A2440" s="111">
        <v>3159.0</v>
      </c>
      <c r="B2440" s="111" t="s">
        <v>10440</v>
      </c>
      <c r="C2440" s="111" t="s">
        <v>8003</v>
      </c>
      <c r="D2440" s="111">
        <v>2030.0</v>
      </c>
      <c r="E2440" s="111"/>
      <c r="F2440" s="111" t="s">
        <v>12397</v>
      </c>
      <c r="G2440" s="111" t="s">
        <v>12381</v>
      </c>
      <c r="H2440" s="111" t="s">
        <v>12230</v>
      </c>
      <c r="I2440" s="111" t="s">
        <v>12394</v>
      </c>
      <c r="J2440" s="111" t="s">
        <v>12292</v>
      </c>
      <c r="K2440" s="111" t="s">
        <v>30</v>
      </c>
      <c r="L2440" s="111"/>
      <c r="M2440" s="111">
        <v>1.0</v>
      </c>
      <c r="N2440" s="111"/>
      <c r="O2440" s="111"/>
      <c r="P2440" s="111"/>
      <c r="Q2440" s="111"/>
      <c r="R2440" s="111">
        <v>1.0</v>
      </c>
      <c r="S2440" s="111">
        <v>1.0</v>
      </c>
      <c r="T2440" s="111"/>
      <c r="U2440" s="111"/>
      <c r="V2440" s="111"/>
      <c r="W2440" s="111"/>
      <c r="X2440" s="111"/>
      <c r="Y2440" s="111"/>
      <c r="Z2440" s="111" t="s">
        <v>15483</v>
      </c>
      <c r="AA2440" s="124">
        <v>650.0</v>
      </c>
      <c r="AB2440" s="125">
        <f>IF(Projects!$AI2440="Electrolysis",
AA2440/VLOOKUP(G2440,ElectrolysisConvF,3,FALSE),
AC2440*10^6/(H2dens*HoursInYear))</f>
        <v>144444.4444</v>
      </c>
      <c r="AC2440" s="126">
        <f t="shared" ref="AC2440:AC2441" si="447">AB2440*H2dens*HoursInYear/10^6</f>
        <v>112.6146667</v>
      </c>
      <c r="AD2440" s="125"/>
      <c r="AE2440" s="125">
        <f>IF(AND(G2440&lt;&gt;"NG w CCUS",G2440&lt;&gt;"Oil w CCUS",G2440&lt;&gt;"Coal w CCUS"),AB1037,AD2440*10^3/(HoursInYear*IF(G2440="NG w CCUS",0.9105,1.9075)))</f>
        <v>218049.3561</v>
      </c>
      <c r="AF2440" s="127" t="s">
        <v>15484</v>
      </c>
      <c r="AG2440" s="127">
        <v>48.5223958842751</v>
      </c>
      <c r="AH2440" s="127">
        <v>-58.4347252755619</v>
      </c>
      <c r="AI2440" s="115" t="s">
        <v>12383</v>
      </c>
      <c r="AJ2440" s="116">
        <v>0.4</v>
      </c>
      <c r="AK2440" s="117"/>
      <c r="AL2440" s="117"/>
      <c r="AM2440" s="117"/>
      <c r="AN2440" s="117"/>
      <c r="AO2440" s="117"/>
    </row>
    <row r="2441" ht="29.25" customHeight="1">
      <c r="A2441" s="111">
        <v>3160.0</v>
      </c>
      <c r="B2441" s="111" t="s">
        <v>10441</v>
      </c>
      <c r="C2441" s="111" t="s">
        <v>7987</v>
      </c>
      <c r="D2441" s="111">
        <v>2026.0</v>
      </c>
      <c r="E2441" s="111"/>
      <c r="F2441" s="111" t="s">
        <v>12393</v>
      </c>
      <c r="G2441" s="111" t="s">
        <v>12381</v>
      </c>
      <c r="H2441" s="111" t="s">
        <v>12230</v>
      </c>
      <c r="I2441" s="111" t="s">
        <v>12287</v>
      </c>
      <c r="J2441" s="111" t="str">
        <f>IF(I2441&lt;&gt;"Dedicated renewable","N/A",)</f>
        <v>N/A</v>
      </c>
      <c r="K2441" s="111" t="s">
        <v>30</v>
      </c>
      <c r="L2441" s="111"/>
      <c r="M2441" s="111"/>
      <c r="N2441" s="111"/>
      <c r="O2441" s="111"/>
      <c r="P2441" s="111"/>
      <c r="Q2441" s="111"/>
      <c r="R2441" s="111"/>
      <c r="S2441" s="111"/>
      <c r="T2441" s="111"/>
      <c r="U2441" s="111"/>
      <c r="V2441" s="111"/>
      <c r="W2441" s="111"/>
      <c r="X2441" s="111"/>
      <c r="Y2441" s="111"/>
      <c r="Z2441" s="111" t="s">
        <v>12703</v>
      </c>
      <c r="AA2441" s="126">
        <v>10.0</v>
      </c>
      <c r="AB2441" s="125">
        <f>IF(Projects!$AI2441="Electrolysis",
AA2441/VLOOKUP(G2441,ElectrolysisConvF,3,FALSE),
AC2441*10^6/(H2dens*HoursInYear))</f>
        <v>2222.222222</v>
      </c>
      <c r="AC2441" s="126">
        <f t="shared" si="447"/>
        <v>1.732533333</v>
      </c>
      <c r="AD2441" s="125"/>
      <c r="AE2441" s="125">
        <f>IF(AND(G2441&lt;&gt;"NG w CCUS",G2441&lt;&gt;"Oil w CCUS",G2441&lt;&gt;"Coal w CCUS"),AB2441,AD2441*10^3/(HoursInYear*IF(G2441="NG w CCUS",0.9105,1.9075)))</f>
        <v>2222.222222</v>
      </c>
      <c r="AF2441" s="127" t="s">
        <v>15485</v>
      </c>
      <c r="AG2441" s="127">
        <v>48.798544221273</v>
      </c>
      <c r="AH2441" s="127">
        <v>9.14629896843646</v>
      </c>
      <c r="AI2441" s="115" t="s">
        <v>12383</v>
      </c>
      <c r="AJ2441" s="116">
        <v>0.57</v>
      </c>
      <c r="AK2441" s="117"/>
      <c r="AL2441" s="117"/>
      <c r="AM2441" s="117"/>
      <c r="AN2441" s="117"/>
      <c r="AO2441" s="117"/>
    </row>
    <row r="2442" ht="12.75" customHeight="1">
      <c r="A2442" s="117"/>
      <c r="B2442" s="117"/>
      <c r="C2442" s="117"/>
      <c r="D2442" s="117"/>
      <c r="E2442" s="117"/>
      <c r="F2442" s="117"/>
      <c r="G2442" s="117"/>
      <c r="H2442" s="117"/>
      <c r="I2442" s="117"/>
      <c r="J2442" s="117"/>
      <c r="K2442" s="117"/>
      <c r="L2442" s="117"/>
      <c r="M2442" s="117"/>
      <c r="N2442" s="117"/>
      <c r="O2442" s="117"/>
      <c r="P2442" s="117"/>
      <c r="Q2442" s="117"/>
      <c r="R2442" s="117"/>
      <c r="S2442" s="117"/>
      <c r="T2442" s="117"/>
      <c r="U2442" s="117"/>
      <c r="V2442" s="117"/>
      <c r="W2442" s="117"/>
      <c r="X2442" s="117"/>
      <c r="Y2442" s="117"/>
      <c r="Z2442" s="117"/>
      <c r="AA2442" s="117"/>
      <c r="AB2442" s="117"/>
      <c r="AC2442" s="117"/>
      <c r="AD2442" s="117"/>
      <c r="AE2442" s="117"/>
      <c r="AF2442" s="117"/>
      <c r="AG2442" s="117"/>
      <c r="AH2442" s="117"/>
      <c r="AI2442" s="117"/>
      <c r="AJ2442" s="117"/>
      <c r="AK2442" s="117"/>
      <c r="AL2442" s="117"/>
      <c r="AM2442" s="117"/>
      <c r="AN2442" s="117"/>
      <c r="AO2442" s="117"/>
    </row>
    <row r="2443" ht="12.75" customHeight="1">
      <c r="A2443" s="117"/>
      <c r="B2443" s="117"/>
      <c r="C2443" s="117"/>
      <c r="D2443" s="117"/>
      <c r="E2443" s="117"/>
      <c r="F2443" s="117"/>
      <c r="G2443" s="117"/>
      <c r="H2443" s="117"/>
      <c r="I2443" s="117"/>
      <c r="J2443" s="117"/>
      <c r="K2443" s="117"/>
      <c r="L2443" s="117"/>
      <c r="M2443" s="117"/>
      <c r="N2443" s="117"/>
      <c r="O2443" s="117"/>
      <c r="P2443" s="117"/>
      <c r="Q2443" s="117"/>
      <c r="R2443" s="117"/>
      <c r="S2443" s="117"/>
      <c r="T2443" s="117"/>
      <c r="U2443" s="117"/>
      <c r="V2443" s="117"/>
      <c r="W2443" s="117"/>
      <c r="X2443" s="117"/>
      <c r="Y2443" s="117"/>
      <c r="Z2443" s="117"/>
      <c r="AA2443" s="117"/>
      <c r="AB2443" s="117"/>
      <c r="AC2443" s="117"/>
      <c r="AD2443" s="117"/>
      <c r="AE2443" s="117"/>
      <c r="AF2443" s="117"/>
      <c r="AG2443" s="117"/>
      <c r="AH2443" s="117"/>
      <c r="AI2443" s="117"/>
      <c r="AJ2443" s="117"/>
      <c r="AK2443" s="117"/>
      <c r="AL2443" s="117"/>
      <c r="AM2443" s="117"/>
      <c r="AN2443" s="117"/>
      <c r="AO2443" s="117"/>
    </row>
    <row r="2444" ht="12.75" customHeight="1">
      <c r="A2444" s="117"/>
      <c r="B2444" s="117"/>
      <c r="C2444" s="117"/>
      <c r="D2444" s="117"/>
      <c r="E2444" s="117"/>
      <c r="F2444" s="117"/>
      <c r="G2444" s="117"/>
      <c r="H2444" s="117"/>
      <c r="I2444" s="117"/>
      <c r="J2444" s="117"/>
      <c r="K2444" s="117"/>
      <c r="L2444" s="117"/>
      <c r="M2444" s="117"/>
      <c r="N2444" s="117"/>
      <c r="O2444" s="117"/>
      <c r="P2444" s="117"/>
      <c r="Q2444" s="117"/>
      <c r="R2444" s="117"/>
      <c r="S2444" s="117"/>
      <c r="T2444" s="117"/>
      <c r="U2444" s="117"/>
      <c r="V2444" s="117"/>
      <c r="W2444" s="117"/>
      <c r="X2444" s="117"/>
      <c r="Y2444" s="117"/>
      <c r="Z2444" s="117"/>
      <c r="AA2444" s="117"/>
      <c r="AB2444" s="117"/>
      <c r="AC2444" s="117"/>
      <c r="AD2444" s="117"/>
      <c r="AE2444" s="117"/>
      <c r="AF2444" s="117"/>
      <c r="AG2444" s="117"/>
      <c r="AH2444" s="117"/>
      <c r="AI2444" s="117"/>
      <c r="AJ2444" s="117"/>
      <c r="AK2444" s="117"/>
      <c r="AL2444" s="117"/>
      <c r="AM2444" s="117"/>
      <c r="AN2444" s="117"/>
      <c r="AO2444" s="117"/>
    </row>
    <row r="2445" ht="12.75" customHeight="1">
      <c r="A2445" s="117"/>
      <c r="B2445" s="117"/>
      <c r="C2445" s="117"/>
      <c r="D2445" s="117"/>
      <c r="E2445" s="117"/>
      <c r="F2445" s="117"/>
      <c r="G2445" s="117"/>
      <c r="H2445" s="117"/>
      <c r="I2445" s="117"/>
      <c r="J2445" s="117"/>
      <c r="K2445" s="117"/>
      <c r="L2445" s="117"/>
      <c r="M2445" s="117"/>
      <c r="N2445" s="117"/>
      <c r="O2445" s="117"/>
      <c r="P2445" s="117"/>
      <c r="Q2445" s="117"/>
      <c r="R2445" s="117"/>
      <c r="S2445" s="117"/>
      <c r="T2445" s="117"/>
      <c r="U2445" s="117"/>
      <c r="V2445" s="117"/>
      <c r="W2445" s="117"/>
      <c r="X2445" s="117"/>
      <c r="Y2445" s="117"/>
      <c r="Z2445" s="117"/>
      <c r="AA2445" s="117"/>
      <c r="AB2445" s="117"/>
      <c r="AC2445" s="117"/>
      <c r="AD2445" s="117"/>
      <c r="AE2445" s="117"/>
      <c r="AF2445" s="117"/>
      <c r="AG2445" s="117"/>
      <c r="AH2445" s="117"/>
      <c r="AI2445" s="117"/>
      <c r="AJ2445" s="117"/>
      <c r="AK2445" s="117"/>
      <c r="AL2445" s="117"/>
      <c r="AM2445" s="117"/>
      <c r="AN2445" s="117"/>
      <c r="AO2445" s="117"/>
    </row>
    <row r="2446" ht="12.75" customHeight="1">
      <c r="A2446" s="117"/>
      <c r="B2446" s="117"/>
      <c r="C2446" s="117"/>
      <c r="D2446" s="117"/>
      <c r="E2446" s="117"/>
      <c r="F2446" s="117"/>
      <c r="G2446" s="117"/>
      <c r="H2446" s="117"/>
      <c r="I2446" s="117"/>
      <c r="J2446" s="117"/>
      <c r="K2446" s="117"/>
      <c r="L2446" s="117"/>
      <c r="M2446" s="117"/>
      <c r="N2446" s="117"/>
      <c r="O2446" s="117"/>
      <c r="P2446" s="117"/>
      <c r="Q2446" s="117"/>
      <c r="R2446" s="117"/>
      <c r="S2446" s="117"/>
      <c r="T2446" s="117"/>
      <c r="U2446" s="117"/>
      <c r="V2446" s="117"/>
      <c r="W2446" s="117"/>
      <c r="X2446" s="117"/>
      <c r="Y2446" s="117"/>
      <c r="Z2446" s="117"/>
      <c r="AA2446" s="117"/>
      <c r="AB2446" s="117"/>
      <c r="AC2446" s="117"/>
      <c r="AD2446" s="117"/>
      <c r="AE2446" s="117"/>
      <c r="AF2446" s="117"/>
      <c r="AG2446" s="117"/>
      <c r="AH2446" s="117"/>
      <c r="AI2446" s="117"/>
      <c r="AJ2446" s="117"/>
      <c r="AK2446" s="117"/>
      <c r="AL2446" s="117"/>
      <c r="AM2446" s="117"/>
      <c r="AN2446" s="117"/>
      <c r="AO2446" s="117"/>
    </row>
    <row r="2447" ht="12.75" customHeight="1">
      <c r="A2447" s="117"/>
      <c r="B2447" s="117"/>
      <c r="C2447" s="117"/>
      <c r="D2447" s="117"/>
      <c r="E2447" s="117"/>
      <c r="F2447" s="117"/>
      <c r="G2447" s="117"/>
      <c r="H2447" s="117"/>
      <c r="I2447" s="117"/>
      <c r="J2447" s="117"/>
      <c r="K2447" s="117"/>
      <c r="L2447" s="117"/>
      <c r="M2447" s="117"/>
      <c r="N2447" s="117"/>
      <c r="O2447" s="117"/>
      <c r="P2447" s="117"/>
      <c r="Q2447" s="117"/>
      <c r="R2447" s="117"/>
      <c r="S2447" s="117"/>
      <c r="T2447" s="117"/>
      <c r="U2447" s="117"/>
      <c r="V2447" s="117"/>
      <c r="W2447" s="117"/>
      <c r="X2447" s="117"/>
      <c r="Y2447" s="117"/>
      <c r="Z2447" s="117"/>
      <c r="AA2447" s="117"/>
      <c r="AB2447" s="117"/>
      <c r="AC2447" s="117"/>
      <c r="AD2447" s="117"/>
      <c r="AE2447" s="117"/>
      <c r="AF2447" s="117"/>
      <c r="AG2447" s="117"/>
      <c r="AH2447" s="117"/>
      <c r="AI2447" s="117"/>
      <c r="AJ2447" s="117"/>
      <c r="AK2447" s="117"/>
      <c r="AL2447" s="117"/>
      <c r="AM2447" s="117"/>
      <c r="AN2447" s="117"/>
      <c r="AO2447" s="117"/>
    </row>
    <row r="2448" ht="12.75" customHeight="1">
      <c r="A2448" s="117"/>
      <c r="B2448" s="117"/>
      <c r="C2448" s="117"/>
      <c r="D2448" s="117"/>
      <c r="E2448" s="117"/>
      <c r="F2448" s="117"/>
      <c r="G2448" s="117"/>
      <c r="H2448" s="117"/>
      <c r="I2448" s="117"/>
      <c r="J2448" s="117"/>
      <c r="K2448" s="117"/>
      <c r="L2448" s="117"/>
      <c r="M2448" s="117"/>
      <c r="N2448" s="117"/>
      <c r="O2448" s="117"/>
      <c r="P2448" s="117"/>
      <c r="Q2448" s="117"/>
      <c r="R2448" s="117"/>
      <c r="S2448" s="117"/>
      <c r="T2448" s="117"/>
      <c r="U2448" s="117"/>
      <c r="V2448" s="117"/>
      <c r="W2448" s="117"/>
      <c r="X2448" s="117"/>
      <c r="Y2448" s="117"/>
      <c r="Z2448" s="117"/>
      <c r="AA2448" s="117"/>
      <c r="AB2448" s="117"/>
      <c r="AC2448" s="117"/>
      <c r="AD2448" s="117"/>
      <c r="AE2448" s="117"/>
      <c r="AF2448" s="117"/>
      <c r="AG2448" s="117"/>
      <c r="AH2448" s="117"/>
      <c r="AI2448" s="117"/>
      <c r="AJ2448" s="117"/>
      <c r="AK2448" s="117"/>
      <c r="AL2448" s="117"/>
      <c r="AM2448" s="117"/>
      <c r="AN2448" s="117"/>
      <c r="AO2448" s="117"/>
    </row>
    <row r="2449" ht="12.75" customHeight="1">
      <c r="A2449" s="117"/>
      <c r="B2449" s="117"/>
      <c r="C2449" s="117"/>
      <c r="D2449" s="117"/>
      <c r="E2449" s="117"/>
      <c r="F2449" s="117"/>
      <c r="G2449" s="117"/>
      <c r="H2449" s="117"/>
      <c r="I2449" s="117"/>
      <c r="J2449" s="117"/>
      <c r="K2449" s="117"/>
      <c r="L2449" s="117"/>
      <c r="M2449" s="117"/>
      <c r="N2449" s="117"/>
      <c r="O2449" s="117"/>
      <c r="P2449" s="117"/>
      <c r="Q2449" s="117"/>
      <c r="R2449" s="117"/>
      <c r="S2449" s="117"/>
      <c r="T2449" s="117"/>
      <c r="U2449" s="117"/>
      <c r="V2449" s="117"/>
      <c r="W2449" s="117"/>
      <c r="X2449" s="117"/>
      <c r="Y2449" s="117"/>
      <c r="Z2449" s="117"/>
      <c r="AA2449" s="117"/>
      <c r="AB2449" s="117"/>
      <c r="AC2449" s="117"/>
      <c r="AD2449" s="117"/>
      <c r="AE2449" s="117"/>
      <c r="AF2449" s="117"/>
      <c r="AG2449" s="117"/>
      <c r="AH2449" s="117"/>
      <c r="AI2449" s="117"/>
      <c r="AJ2449" s="117"/>
      <c r="AK2449" s="117"/>
      <c r="AL2449" s="117"/>
      <c r="AM2449" s="117"/>
      <c r="AN2449" s="117"/>
      <c r="AO2449" s="117"/>
    </row>
    <row r="2450" ht="12.75" customHeight="1">
      <c r="A2450" s="117"/>
      <c r="B2450" s="117"/>
      <c r="C2450" s="117"/>
      <c r="D2450" s="117"/>
      <c r="E2450" s="117"/>
      <c r="F2450" s="117"/>
      <c r="G2450" s="117"/>
      <c r="H2450" s="117"/>
      <c r="I2450" s="117"/>
      <c r="J2450" s="117"/>
      <c r="K2450" s="117"/>
      <c r="L2450" s="117"/>
      <c r="M2450" s="117"/>
      <c r="N2450" s="117"/>
      <c r="O2450" s="117"/>
      <c r="P2450" s="117"/>
      <c r="Q2450" s="117"/>
      <c r="R2450" s="117"/>
      <c r="S2450" s="117"/>
      <c r="T2450" s="117"/>
      <c r="U2450" s="117"/>
      <c r="V2450" s="117"/>
      <c r="W2450" s="117"/>
      <c r="X2450" s="117"/>
      <c r="Y2450" s="117"/>
      <c r="Z2450" s="117"/>
      <c r="AA2450" s="117"/>
      <c r="AB2450" s="117"/>
      <c r="AC2450" s="117"/>
      <c r="AD2450" s="117"/>
      <c r="AE2450" s="117"/>
      <c r="AF2450" s="117"/>
      <c r="AG2450" s="117"/>
      <c r="AH2450" s="117"/>
      <c r="AI2450" s="117"/>
      <c r="AJ2450" s="117"/>
      <c r="AK2450" s="117"/>
      <c r="AL2450" s="117"/>
      <c r="AM2450" s="117"/>
      <c r="AN2450" s="117"/>
      <c r="AO2450" s="117"/>
    </row>
    <row r="2451" ht="12.75" customHeight="1">
      <c r="A2451" s="117"/>
      <c r="B2451" s="117"/>
      <c r="C2451" s="117"/>
      <c r="D2451" s="117"/>
      <c r="E2451" s="117"/>
      <c r="F2451" s="117"/>
      <c r="G2451" s="117"/>
      <c r="H2451" s="117"/>
      <c r="I2451" s="117"/>
      <c r="J2451" s="117"/>
      <c r="K2451" s="117"/>
      <c r="L2451" s="117"/>
      <c r="M2451" s="117"/>
      <c r="N2451" s="117"/>
      <c r="O2451" s="117"/>
      <c r="P2451" s="117"/>
      <c r="Q2451" s="117"/>
      <c r="R2451" s="117"/>
      <c r="S2451" s="117"/>
      <c r="T2451" s="117"/>
      <c r="U2451" s="117"/>
      <c r="V2451" s="117"/>
      <c r="W2451" s="117"/>
      <c r="X2451" s="117"/>
      <c r="Y2451" s="117"/>
      <c r="Z2451" s="117"/>
      <c r="AA2451" s="117"/>
      <c r="AB2451" s="117"/>
      <c r="AC2451" s="117"/>
      <c r="AD2451" s="117"/>
      <c r="AE2451" s="117"/>
      <c r="AF2451" s="117"/>
      <c r="AG2451" s="117"/>
      <c r="AH2451" s="117"/>
      <c r="AI2451" s="117"/>
      <c r="AJ2451" s="117"/>
      <c r="AK2451" s="117"/>
      <c r="AL2451" s="117"/>
      <c r="AM2451" s="117"/>
      <c r="AN2451" s="117"/>
      <c r="AO2451" s="117"/>
    </row>
    <row r="2452" ht="12.75" customHeight="1">
      <c r="A2452" s="117"/>
      <c r="B2452" s="117"/>
      <c r="C2452" s="117"/>
      <c r="D2452" s="117"/>
      <c r="E2452" s="117"/>
      <c r="F2452" s="117"/>
      <c r="G2452" s="117"/>
      <c r="H2452" s="117"/>
      <c r="I2452" s="117"/>
      <c r="J2452" s="117"/>
      <c r="K2452" s="117"/>
      <c r="L2452" s="117"/>
      <c r="M2452" s="117"/>
      <c r="N2452" s="117"/>
      <c r="O2452" s="117"/>
      <c r="P2452" s="117"/>
      <c r="Q2452" s="117"/>
      <c r="R2452" s="117"/>
      <c r="S2452" s="117"/>
      <c r="T2452" s="117"/>
      <c r="U2452" s="117"/>
      <c r="V2452" s="117"/>
      <c r="W2452" s="117"/>
      <c r="X2452" s="117"/>
      <c r="Y2452" s="117"/>
      <c r="Z2452" s="117"/>
      <c r="AA2452" s="117"/>
      <c r="AB2452" s="117"/>
      <c r="AC2452" s="117"/>
      <c r="AD2452" s="117"/>
      <c r="AE2452" s="117"/>
      <c r="AF2452" s="117"/>
      <c r="AG2452" s="117"/>
      <c r="AH2452" s="117"/>
      <c r="AI2452" s="117"/>
      <c r="AJ2452" s="117"/>
      <c r="AK2452" s="117"/>
      <c r="AL2452" s="117"/>
      <c r="AM2452" s="117"/>
      <c r="AN2452" s="117"/>
      <c r="AO2452" s="117"/>
    </row>
    <row r="2453" ht="12.75" customHeight="1">
      <c r="A2453" s="117"/>
      <c r="B2453" s="117"/>
      <c r="C2453" s="117"/>
      <c r="D2453" s="117"/>
      <c r="E2453" s="117"/>
      <c r="F2453" s="117"/>
      <c r="G2453" s="117"/>
      <c r="H2453" s="117"/>
      <c r="I2453" s="117"/>
      <c r="J2453" s="117"/>
      <c r="K2453" s="117"/>
      <c r="L2453" s="117"/>
      <c r="M2453" s="117"/>
      <c r="N2453" s="117"/>
      <c r="O2453" s="117"/>
      <c r="P2453" s="117"/>
      <c r="Q2453" s="117"/>
      <c r="R2453" s="117"/>
      <c r="S2453" s="117"/>
      <c r="T2453" s="117"/>
      <c r="U2453" s="117"/>
      <c r="V2453" s="117"/>
      <c r="W2453" s="117"/>
      <c r="X2453" s="117"/>
      <c r="Y2453" s="117"/>
      <c r="Z2453" s="117"/>
      <c r="AA2453" s="117"/>
      <c r="AB2453" s="117"/>
      <c r="AC2453" s="117"/>
      <c r="AD2453" s="117"/>
      <c r="AE2453" s="117"/>
      <c r="AF2453" s="117"/>
      <c r="AG2453" s="117"/>
      <c r="AH2453" s="117"/>
      <c r="AI2453" s="117"/>
      <c r="AJ2453" s="117"/>
      <c r="AK2453" s="117"/>
      <c r="AL2453" s="117"/>
      <c r="AM2453" s="117"/>
      <c r="AN2453" s="117"/>
      <c r="AO2453" s="117"/>
    </row>
    <row r="2454" ht="12.75" customHeight="1">
      <c r="A2454" s="117"/>
      <c r="B2454" s="117"/>
      <c r="C2454" s="117"/>
      <c r="D2454" s="117"/>
      <c r="E2454" s="117"/>
      <c r="F2454" s="117"/>
      <c r="G2454" s="117"/>
      <c r="H2454" s="117"/>
      <c r="I2454" s="117"/>
      <c r="J2454" s="117"/>
      <c r="K2454" s="117"/>
      <c r="L2454" s="117"/>
      <c r="M2454" s="117"/>
      <c r="N2454" s="117"/>
      <c r="O2454" s="117"/>
      <c r="P2454" s="117"/>
      <c r="Q2454" s="117"/>
      <c r="R2454" s="117"/>
      <c r="S2454" s="117"/>
      <c r="T2454" s="117"/>
      <c r="U2454" s="117"/>
      <c r="V2454" s="117"/>
      <c r="W2454" s="117"/>
      <c r="X2454" s="117"/>
      <c r="Y2454" s="117"/>
      <c r="Z2454" s="117"/>
      <c r="AA2454" s="117"/>
      <c r="AB2454" s="117"/>
      <c r="AC2454" s="117"/>
      <c r="AD2454" s="117"/>
      <c r="AE2454" s="117"/>
      <c r="AF2454" s="117"/>
      <c r="AG2454" s="117"/>
      <c r="AH2454" s="117"/>
      <c r="AI2454" s="117"/>
      <c r="AJ2454" s="117"/>
      <c r="AK2454" s="117"/>
      <c r="AL2454" s="117"/>
      <c r="AM2454" s="117"/>
      <c r="AN2454" s="117"/>
      <c r="AO2454" s="117"/>
    </row>
    <row r="2455" ht="12.75" customHeight="1">
      <c r="A2455" s="117"/>
      <c r="B2455" s="117"/>
      <c r="C2455" s="117"/>
      <c r="D2455" s="117"/>
      <c r="E2455" s="117"/>
      <c r="F2455" s="117"/>
      <c r="G2455" s="117"/>
      <c r="H2455" s="117"/>
      <c r="I2455" s="117"/>
      <c r="J2455" s="117"/>
      <c r="K2455" s="117"/>
      <c r="L2455" s="117"/>
      <c r="M2455" s="117"/>
      <c r="N2455" s="117"/>
      <c r="O2455" s="117"/>
      <c r="P2455" s="117"/>
      <c r="Q2455" s="117"/>
      <c r="R2455" s="117"/>
      <c r="S2455" s="117"/>
      <c r="T2455" s="117"/>
      <c r="U2455" s="117"/>
      <c r="V2455" s="117"/>
      <c r="W2455" s="117"/>
      <c r="X2455" s="117"/>
      <c r="Y2455" s="117"/>
      <c r="Z2455" s="117"/>
      <c r="AA2455" s="117"/>
      <c r="AB2455" s="117"/>
      <c r="AC2455" s="117"/>
      <c r="AD2455" s="117"/>
      <c r="AE2455" s="117"/>
      <c r="AF2455" s="117"/>
      <c r="AG2455" s="117"/>
      <c r="AH2455" s="117"/>
      <c r="AI2455" s="117"/>
      <c r="AJ2455" s="117"/>
      <c r="AK2455" s="117"/>
      <c r="AL2455" s="117"/>
      <c r="AM2455" s="117"/>
      <c r="AN2455" s="117"/>
      <c r="AO2455" s="117"/>
    </row>
    <row r="2456" ht="12.75" customHeight="1">
      <c r="A2456" s="117"/>
      <c r="B2456" s="117"/>
      <c r="C2456" s="117"/>
      <c r="D2456" s="117"/>
      <c r="E2456" s="117"/>
      <c r="F2456" s="117"/>
      <c r="G2456" s="117"/>
      <c r="H2456" s="117"/>
      <c r="I2456" s="117"/>
      <c r="J2456" s="117"/>
      <c r="K2456" s="117"/>
      <c r="L2456" s="117"/>
      <c r="M2456" s="117"/>
      <c r="N2456" s="117"/>
      <c r="O2456" s="117"/>
      <c r="P2456" s="117"/>
      <c r="Q2456" s="117"/>
      <c r="R2456" s="117"/>
      <c r="S2456" s="117"/>
      <c r="T2456" s="117"/>
      <c r="U2456" s="117"/>
      <c r="V2456" s="117"/>
      <c r="W2456" s="117"/>
      <c r="X2456" s="117"/>
      <c r="Y2456" s="117"/>
      <c r="Z2456" s="117"/>
      <c r="AA2456" s="117"/>
      <c r="AB2456" s="117"/>
      <c r="AC2456" s="117"/>
      <c r="AD2456" s="117"/>
      <c r="AE2456" s="117"/>
      <c r="AF2456" s="117"/>
      <c r="AG2456" s="117"/>
      <c r="AH2456" s="117"/>
      <c r="AI2456" s="117"/>
      <c r="AJ2456" s="117"/>
      <c r="AK2456" s="117"/>
      <c r="AL2456" s="117"/>
      <c r="AM2456" s="117"/>
      <c r="AN2456" s="117"/>
      <c r="AO2456" s="117"/>
    </row>
    <row r="2457" ht="12.75" customHeight="1">
      <c r="A2457" s="117"/>
      <c r="B2457" s="117"/>
      <c r="C2457" s="117"/>
      <c r="D2457" s="117"/>
      <c r="E2457" s="117"/>
      <c r="F2457" s="117"/>
      <c r="G2457" s="117"/>
      <c r="H2457" s="117"/>
      <c r="I2457" s="117"/>
      <c r="J2457" s="117"/>
      <c r="K2457" s="117"/>
      <c r="L2457" s="117"/>
      <c r="M2457" s="117"/>
      <c r="N2457" s="117"/>
      <c r="O2457" s="117"/>
      <c r="P2457" s="117"/>
      <c r="Q2457" s="117"/>
      <c r="R2457" s="117"/>
      <c r="S2457" s="117"/>
      <c r="T2457" s="117"/>
      <c r="U2457" s="117"/>
      <c r="V2457" s="117"/>
      <c r="W2457" s="117"/>
      <c r="X2457" s="117"/>
      <c r="Y2457" s="117"/>
      <c r="Z2457" s="117"/>
      <c r="AA2457" s="117"/>
      <c r="AB2457" s="117"/>
      <c r="AC2457" s="117"/>
      <c r="AD2457" s="117"/>
      <c r="AE2457" s="117"/>
      <c r="AF2457" s="117"/>
      <c r="AG2457" s="117"/>
      <c r="AH2457" s="117"/>
      <c r="AI2457" s="117"/>
      <c r="AJ2457" s="117"/>
      <c r="AK2457" s="117"/>
      <c r="AL2457" s="117"/>
      <c r="AM2457" s="117"/>
      <c r="AN2457" s="117"/>
      <c r="AO2457" s="117"/>
    </row>
    <row r="2458" ht="12.75" customHeight="1">
      <c r="A2458" s="117"/>
      <c r="B2458" s="117"/>
      <c r="C2458" s="117"/>
      <c r="D2458" s="117"/>
      <c r="E2458" s="117"/>
      <c r="F2458" s="117"/>
      <c r="G2458" s="117"/>
      <c r="H2458" s="117"/>
      <c r="I2458" s="117"/>
      <c r="J2458" s="117"/>
      <c r="K2458" s="117"/>
      <c r="L2458" s="117"/>
      <c r="M2458" s="117"/>
      <c r="N2458" s="117"/>
      <c r="O2458" s="117"/>
      <c r="P2458" s="117"/>
      <c r="Q2458" s="117"/>
      <c r="R2458" s="117"/>
      <c r="S2458" s="117"/>
      <c r="T2458" s="117"/>
      <c r="U2458" s="117"/>
      <c r="V2458" s="117"/>
      <c r="W2458" s="117"/>
      <c r="X2458" s="117"/>
      <c r="Y2458" s="117"/>
      <c r="Z2458" s="117"/>
      <c r="AA2458" s="117"/>
      <c r="AB2458" s="117"/>
      <c r="AC2458" s="117"/>
      <c r="AD2458" s="117"/>
      <c r="AE2458" s="117"/>
      <c r="AF2458" s="117"/>
      <c r="AG2458" s="117"/>
      <c r="AH2458" s="117"/>
      <c r="AI2458" s="117"/>
      <c r="AJ2458" s="117"/>
      <c r="AK2458" s="117"/>
      <c r="AL2458" s="117"/>
      <c r="AM2458" s="117"/>
      <c r="AN2458" s="117"/>
      <c r="AO2458" s="117"/>
    </row>
    <row r="2459" ht="12.75" customHeight="1">
      <c r="A2459" s="117"/>
      <c r="B2459" s="117"/>
      <c r="C2459" s="117"/>
      <c r="D2459" s="117"/>
      <c r="E2459" s="117"/>
      <c r="F2459" s="117"/>
      <c r="G2459" s="117"/>
      <c r="H2459" s="117"/>
      <c r="I2459" s="117"/>
      <c r="J2459" s="117"/>
      <c r="K2459" s="117"/>
      <c r="L2459" s="117"/>
      <c r="M2459" s="117"/>
      <c r="N2459" s="117"/>
      <c r="O2459" s="117"/>
      <c r="P2459" s="117"/>
      <c r="Q2459" s="117"/>
      <c r="R2459" s="117"/>
      <c r="S2459" s="117"/>
      <c r="T2459" s="117"/>
      <c r="U2459" s="117"/>
      <c r="V2459" s="117"/>
      <c r="W2459" s="117"/>
      <c r="X2459" s="117"/>
      <c r="Y2459" s="117"/>
      <c r="Z2459" s="117"/>
      <c r="AA2459" s="117"/>
      <c r="AB2459" s="117"/>
      <c r="AC2459" s="117"/>
      <c r="AD2459" s="117"/>
      <c r="AE2459" s="117"/>
      <c r="AF2459" s="117"/>
      <c r="AG2459" s="117"/>
      <c r="AH2459" s="117"/>
      <c r="AI2459" s="117"/>
      <c r="AJ2459" s="117"/>
      <c r="AK2459" s="117"/>
      <c r="AL2459" s="117"/>
      <c r="AM2459" s="117"/>
      <c r="AN2459" s="117"/>
      <c r="AO2459" s="117"/>
    </row>
    <row r="2460" ht="12.75" customHeight="1">
      <c r="A2460" s="117"/>
      <c r="B2460" s="117"/>
      <c r="C2460" s="117"/>
      <c r="D2460" s="117"/>
      <c r="E2460" s="117"/>
      <c r="F2460" s="117"/>
      <c r="G2460" s="117"/>
      <c r="H2460" s="117"/>
      <c r="I2460" s="117"/>
      <c r="J2460" s="117"/>
      <c r="K2460" s="117"/>
      <c r="L2460" s="117"/>
      <c r="M2460" s="117"/>
      <c r="N2460" s="117"/>
      <c r="O2460" s="117"/>
      <c r="P2460" s="117"/>
      <c r="Q2460" s="117"/>
      <c r="R2460" s="117"/>
      <c r="S2460" s="117"/>
      <c r="T2460" s="117"/>
      <c r="U2460" s="117"/>
      <c r="V2460" s="117"/>
      <c r="W2460" s="117"/>
      <c r="X2460" s="117"/>
      <c r="Y2460" s="117"/>
      <c r="Z2460" s="117"/>
      <c r="AA2460" s="117"/>
      <c r="AB2460" s="117"/>
      <c r="AC2460" s="117"/>
      <c r="AD2460" s="117"/>
      <c r="AE2460" s="117"/>
      <c r="AF2460" s="117"/>
      <c r="AG2460" s="117"/>
      <c r="AH2460" s="117"/>
      <c r="AI2460" s="117"/>
      <c r="AJ2460" s="117"/>
      <c r="AK2460" s="117"/>
      <c r="AL2460" s="117"/>
      <c r="AM2460" s="117"/>
      <c r="AN2460" s="117"/>
      <c r="AO2460" s="117"/>
    </row>
    <row r="2461" ht="12.75" customHeight="1">
      <c r="A2461" s="117"/>
      <c r="B2461" s="117"/>
      <c r="C2461" s="117"/>
      <c r="D2461" s="117"/>
      <c r="E2461" s="117"/>
      <c r="F2461" s="117"/>
      <c r="G2461" s="117"/>
      <c r="H2461" s="117"/>
      <c r="I2461" s="117"/>
      <c r="J2461" s="117"/>
      <c r="K2461" s="117"/>
      <c r="L2461" s="117"/>
      <c r="M2461" s="117"/>
      <c r="N2461" s="117"/>
      <c r="O2461" s="117"/>
      <c r="P2461" s="117"/>
      <c r="Q2461" s="117"/>
      <c r="R2461" s="117"/>
      <c r="S2461" s="117"/>
      <c r="T2461" s="117"/>
      <c r="U2461" s="117"/>
      <c r="V2461" s="117"/>
      <c r="W2461" s="117"/>
      <c r="X2461" s="117"/>
      <c r="Y2461" s="117"/>
      <c r="Z2461" s="117"/>
      <c r="AA2461" s="117"/>
      <c r="AB2461" s="117"/>
      <c r="AC2461" s="117"/>
      <c r="AD2461" s="117"/>
      <c r="AE2461" s="117"/>
      <c r="AF2461" s="117"/>
      <c r="AG2461" s="117"/>
      <c r="AH2461" s="117"/>
      <c r="AI2461" s="117"/>
      <c r="AJ2461" s="117"/>
      <c r="AK2461" s="117"/>
      <c r="AL2461" s="117"/>
      <c r="AM2461" s="117"/>
      <c r="AN2461" s="117"/>
      <c r="AO2461" s="117"/>
    </row>
    <row r="2462" ht="12.75" customHeight="1">
      <c r="A2462" s="117"/>
      <c r="B2462" s="117"/>
      <c r="C2462" s="117"/>
      <c r="D2462" s="117"/>
      <c r="E2462" s="117"/>
      <c r="F2462" s="117"/>
      <c r="G2462" s="117"/>
      <c r="H2462" s="117"/>
      <c r="I2462" s="117"/>
      <c r="J2462" s="117"/>
      <c r="K2462" s="117"/>
      <c r="L2462" s="117"/>
      <c r="M2462" s="117"/>
      <c r="N2462" s="117"/>
      <c r="O2462" s="117"/>
      <c r="P2462" s="117"/>
      <c r="Q2462" s="117"/>
      <c r="R2462" s="117"/>
      <c r="S2462" s="117"/>
      <c r="T2462" s="117"/>
      <c r="U2462" s="117"/>
      <c r="V2462" s="117"/>
      <c r="W2462" s="117"/>
      <c r="X2462" s="117"/>
      <c r="Y2462" s="117"/>
      <c r="Z2462" s="117"/>
      <c r="AA2462" s="117"/>
      <c r="AB2462" s="117"/>
      <c r="AC2462" s="117"/>
      <c r="AD2462" s="117"/>
      <c r="AE2462" s="117"/>
      <c r="AF2462" s="117"/>
      <c r="AG2462" s="117"/>
      <c r="AH2462" s="117"/>
      <c r="AI2462" s="117"/>
      <c r="AJ2462" s="117"/>
      <c r="AK2462" s="117"/>
      <c r="AL2462" s="117"/>
      <c r="AM2462" s="117"/>
      <c r="AN2462" s="117"/>
      <c r="AO2462" s="117"/>
    </row>
    <row r="2463" ht="12.75" customHeight="1">
      <c r="A2463" s="117"/>
      <c r="B2463" s="117"/>
      <c r="C2463" s="117"/>
      <c r="D2463" s="117"/>
      <c r="E2463" s="117"/>
      <c r="F2463" s="117"/>
      <c r="G2463" s="117"/>
      <c r="H2463" s="117"/>
      <c r="I2463" s="117"/>
      <c r="J2463" s="117"/>
      <c r="K2463" s="117"/>
      <c r="L2463" s="117"/>
      <c r="M2463" s="117"/>
      <c r="N2463" s="117"/>
      <c r="O2463" s="117"/>
      <c r="P2463" s="117"/>
      <c r="Q2463" s="117"/>
      <c r="R2463" s="117"/>
      <c r="S2463" s="117"/>
      <c r="T2463" s="117"/>
      <c r="U2463" s="117"/>
      <c r="V2463" s="117"/>
      <c r="W2463" s="117"/>
      <c r="X2463" s="117"/>
      <c r="Y2463" s="117"/>
      <c r="Z2463" s="117"/>
      <c r="AA2463" s="117"/>
      <c r="AB2463" s="117"/>
      <c r="AC2463" s="117"/>
      <c r="AD2463" s="117"/>
      <c r="AE2463" s="117"/>
      <c r="AF2463" s="117"/>
      <c r="AG2463" s="117"/>
      <c r="AH2463" s="117"/>
      <c r="AI2463" s="117"/>
      <c r="AJ2463" s="117"/>
      <c r="AK2463" s="117"/>
      <c r="AL2463" s="117"/>
      <c r="AM2463" s="117"/>
      <c r="AN2463" s="117"/>
      <c r="AO2463" s="117"/>
    </row>
    <row r="2464" ht="12.75" customHeight="1">
      <c r="A2464" s="117"/>
      <c r="B2464" s="117"/>
      <c r="C2464" s="117"/>
      <c r="D2464" s="117"/>
      <c r="E2464" s="117"/>
      <c r="F2464" s="117"/>
      <c r="G2464" s="117"/>
      <c r="H2464" s="117"/>
      <c r="I2464" s="117"/>
      <c r="J2464" s="117"/>
      <c r="K2464" s="117"/>
      <c r="L2464" s="117"/>
      <c r="M2464" s="117"/>
      <c r="N2464" s="117"/>
      <c r="O2464" s="117"/>
      <c r="P2464" s="117"/>
      <c r="Q2464" s="117"/>
      <c r="R2464" s="117"/>
      <c r="S2464" s="117"/>
      <c r="T2464" s="117"/>
      <c r="U2464" s="117"/>
      <c r="V2464" s="117"/>
      <c r="W2464" s="117"/>
      <c r="X2464" s="117"/>
      <c r="Y2464" s="117"/>
      <c r="Z2464" s="117"/>
      <c r="AA2464" s="117"/>
      <c r="AB2464" s="117"/>
      <c r="AC2464" s="117"/>
      <c r="AD2464" s="117"/>
      <c r="AE2464" s="117"/>
      <c r="AF2464" s="117"/>
      <c r="AG2464" s="117"/>
      <c r="AH2464" s="117"/>
      <c r="AI2464" s="117"/>
      <c r="AJ2464" s="117"/>
      <c r="AK2464" s="117"/>
      <c r="AL2464" s="117"/>
      <c r="AM2464" s="117"/>
      <c r="AN2464" s="117"/>
      <c r="AO2464" s="117"/>
    </row>
    <row r="2465" ht="12.75" customHeight="1">
      <c r="A2465" s="117"/>
      <c r="B2465" s="117"/>
      <c r="C2465" s="117"/>
      <c r="D2465" s="117"/>
      <c r="E2465" s="117"/>
      <c r="F2465" s="117"/>
      <c r="G2465" s="117"/>
      <c r="H2465" s="117"/>
      <c r="I2465" s="117"/>
      <c r="J2465" s="117"/>
      <c r="K2465" s="117"/>
      <c r="L2465" s="117"/>
      <c r="M2465" s="117"/>
      <c r="N2465" s="117"/>
      <c r="O2465" s="117"/>
      <c r="P2465" s="117"/>
      <c r="Q2465" s="117"/>
      <c r="R2465" s="117"/>
      <c r="S2465" s="117"/>
      <c r="T2465" s="117"/>
      <c r="U2465" s="117"/>
      <c r="V2465" s="117"/>
      <c r="W2465" s="117"/>
      <c r="X2465" s="117"/>
      <c r="Y2465" s="117"/>
      <c r="Z2465" s="117"/>
      <c r="AA2465" s="117"/>
      <c r="AB2465" s="117"/>
      <c r="AC2465" s="117"/>
      <c r="AD2465" s="117"/>
      <c r="AE2465" s="117"/>
      <c r="AF2465" s="117"/>
      <c r="AG2465" s="117"/>
      <c r="AH2465" s="117"/>
      <c r="AI2465" s="117"/>
      <c r="AJ2465" s="117"/>
      <c r="AK2465" s="117"/>
      <c r="AL2465" s="117"/>
      <c r="AM2465" s="117"/>
      <c r="AN2465" s="117"/>
      <c r="AO2465" s="117"/>
    </row>
    <row r="2466" ht="12.75" customHeight="1">
      <c r="A2466" s="117"/>
      <c r="B2466" s="117"/>
      <c r="C2466" s="117"/>
      <c r="D2466" s="117"/>
      <c r="E2466" s="117"/>
      <c r="F2466" s="117"/>
      <c r="G2466" s="117"/>
      <c r="H2466" s="117"/>
      <c r="I2466" s="117"/>
      <c r="J2466" s="117"/>
      <c r="K2466" s="117"/>
      <c r="L2466" s="117"/>
      <c r="M2466" s="117"/>
      <c r="N2466" s="117"/>
      <c r="O2466" s="117"/>
      <c r="P2466" s="117"/>
      <c r="Q2466" s="117"/>
      <c r="R2466" s="117"/>
      <c r="S2466" s="117"/>
      <c r="T2466" s="117"/>
      <c r="U2466" s="117"/>
      <c r="V2466" s="117"/>
      <c r="W2466" s="117"/>
      <c r="X2466" s="117"/>
      <c r="Y2466" s="117"/>
      <c r="Z2466" s="117"/>
      <c r="AA2466" s="117"/>
      <c r="AB2466" s="117"/>
      <c r="AC2466" s="117"/>
      <c r="AD2466" s="117"/>
      <c r="AE2466" s="117"/>
      <c r="AF2466" s="117"/>
      <c r="AG2466" s="117"/>
      <c r="AH2466" s="117"/>
      <c r="AI2466" s="117"/>
      <c r="AJ2466" s="117"/>
      <c r="AK2466" s="117"/>
      <c r="AL2466" s="117"/>
      <c r="AM2466" s="117"/>
      <c r="AN2466" s="117"/>
      <c r="AO2466" s="117"/>
    </row>
    <row r="2467" ht="12.75" customHeight="1">
      <c r="A2467" s="117"/>
      <c r="B2467" s="117"/>
      <c r="C2467" s="117"/>
      <c r="D2467" s="117"/>
      <c r="E2467" s="117"/>
      <c r="F2467" s="117"/>
      <c r="G2467" s="117"/>
      <c r="H2467" s="117"/>
      <c r="I2467" s="117"/>
      <c r="J2467" s="117"/>
      <c r="K2467" s="117"/>
      <c r="L2467" s="117"/>
      <c r="M2467" s="117"/>
      <c r="N2467" s="117"/>
      <c r="O2467" s="117"/>
      <c r="P2467" s="117"/>
      <c r="Q2467" s="117"/>
      <c r="R2467" s="117"/>
      <c r="S2467" s="117"/>
      <c r="T2467" s="117"/>
      <c r="U2467" s="117"/>
      <c r="V2467" s="117"/>
      <c r="W2467" s="117"/>
      <c r="X2467" s="117"/>
      <c r="Y2467" s="117"/>
      <c r="Z2467" s="117"/>
      <c r="AA2467" s="117"/>
      <c r="AB2467" s="117"/>
      <c r="AC2467" s="117"/>
      <c r="AD2467" s="117"/>
      <c r="AE2467" s="117"/>
      <c r="AF2467" s="117"/>
      <c r="AG2467" s="117"/>
      <c r="AH2467" s="117"/>
      <c r="AI2467" s="117"/>
      <c r="AJ2467" s="117"/>
      <c r="AK2467" s="117"/>
      <c r="AL2467" s="117"/>
      <c r="AM2467" s="117"/>
      <c r="AN2467" s="117"/>
      <c r="AO2467" s="117"/>
    </row>
    <row r="2468" ht="12.75" customHeight="1">
      <c r="A2468" s="117"/>
      <c r="B2468" s="117"/>
      <c r="C2468" s="117"/>
      <c r="D2468" s="117"/>
      <c r="E2468" s="117"/>
      <c r="F2468" s="117"/>
      <c r="G2468" s="117"/>
      <c r="H2468" s="117"/>
      <c r="I2468" s="117"/>
      <c r="J2468" s="117"/>
      <c r="K2468" s="117"/>
      <c r="L2468" s="117"/>
      <c r="M2468" s="117"/>
      <c r="N2468" s="117"/>
      <c r="O2468" s="117"/>
      <c r="P2468" s="117"/>
      <c r="Q2468" s="117"/>
      <c r="R2468" s="117"/>
      <c r="S2468" s="117"/>
      <c r="T2468" s="117"/>
      <c r="U2468" s="117"/>
      <c r="V2468" s="117"/>
      <c r="W2468" s="117"/>
      <c r="X2468" s="117"/>
      <c r="Y2468" s="117"/>
      <c r="Z2468" s="117"/>
      <c r="AA2468" s="117"/>
      <c r="AB2468" s="117"/>
      <c r="AC2468" s="117"/>
      <c r="AD2468" s="117"/>
      <c r="AE2468" s="117"/>
      <c r="AF2468" s="117"/>
      <c r="AG2468" s="117"/>
      <c r="AH2468" s="117"/>
      <c r="AI2468" s="117"/>
      <c r="AJ2468" s="117"/>
      <c r="AK2468" s="117"/>
      <c r="AL2468" s="117"/>
      <c r="AM2468" s="117"/>
      <c r="AN2468" s="117"/>
      <c r="AO2468" s="117"/>
    </row>
    <row r="2469" ht="12.75" customHeight="1">
      <c r="A2469" s="117"/>
      <c r="B2469" s="117"/>
      <c r="C2469" s="117"/>
      <c r="D2469" s="117"/>
      <c r="E2469" s="117"/>
      <c r="F2469" s="117"/>
      <c r="G2469" s="117"/>
      <c r="H2469" s="117"/>
      <c r="I2469" s="117"/>
      <c r="J2469" s="117"/>
      <c r="K2469" s="117"/>
      <c r="L2469" s="117"/>
      <c r="M2469" s="117"/>
      <c r="N2469" s="117"/>
      <c r="O2469" s="117"/>
      <c r="P2469" s="117"/>
      <c r="Q2469" s="117"/>
      <c r="R2469" s="117"/>
      <c r="S2469" s="117"/>
      <c r="T2469" s="117"/>
      <c r="U2469" s="117"/>
      <c r="V2469" s="117"/>
      <c r="W2469" s="117"/>
      <c r="X2469" s="117"/>
      <c r="Y2469" s="117"/>
      <c r="Z2469" s="117"/>
      <c r="AA2469" s="117"/>
      <c r="AB2469" s="117"/>
      <c r="AC2469" s="117"/>
      <c r="AD2469" s="117"/>
      <c r="AE2469" s="117"/>
      <c r="AF2469" s="117"/>
      <c r="AG2469" s="117"/>
      <c r="AH2469" s="117"/>
      <c r="AI2469" s="117"/>
      <c r="AJ2469" s="117"/>
      <c r="AK2469" s="117"/>
      <c r="AL2469" s="117"/>
      <c r="AM2469" s="117"/>
      <c r="AN2469" s="117"/>
      <c r="AO2469" s="117"/>
    </row>
    <row r="2470" ht="12.75" customHeight="1">
      <c r="A2470" s="117"/>
      <c r="B2470" s="117"/>
      <c r="C2470" s="117"/>
      <c r="D2470" s="117"/>
      <c r="E2470" s="117"/>
      <c r="F2470" s="117"/>
      <c r="G2470" s="117"/>
      <c r="H2470" s="117"/>
      <c r="I2470" s="117"/>
      <c r="J2470" s="117"/>
      <c r="K2470" s="117"/>
      <c r="L2470" s="117"/>
      <c r="M2470" s="117"/>
      <c r="N2470" s="117"/>
      <c r="O2470" s="117"/>
      <c r="P2470" s="117"/>
      <c r="Q2470" s="117"/>
      <c r="R2470" s="117"/>
      <c r="S2470" s="117"/>
      <c r="T2470" s="117"/>
      <c r="U2470" s="117"/>
      <c r="V2470" s="117"/>
      <c r="W2470" s="117"/>
      <c r="X2470" s="117"/>
      <c r="Y2470" s="117"/>
      <c r="Z2470" s="117"/>
      <c r="AA2470" s="117"/>
      <c r="AB2470" s="117"/>
      <c r="AC2470" s="117"/>
      <c r="AD2470" s="117"/>
      <c r="AE2470" s="117"/>
      <c r="AF2470" s="117"/>
      <c r="AG2470" s="117"/>
      <c r="AH2470" s="117"/>
      <c r="AI2470" s="117"/>
      <c r="AJ2470" s="117"/>
      <c r="AK2470" s="117"/>
      <c r="AL2470" s="117"/>
      <c r="AM2470" s="117"/>
      <c r="AN2470" s="117"/>
      <c r="AO2470" s="117"/>
    </row>
    <row r="2471" ht="12.75" customHeight="1">
      <c r="A2471" s="117"/>
      <c r="B2471" s="117"/>
      <c r="C2471" s="117"/>
      <c r="D2471" s="117"/>
      <c r="E2471" s="117"/>
      <c r="F2471" s="117"/>
      <c r="G2471" s="117"/>
      <c r="H2471" s="117"/>
      <c r="I2471" s="117"/>
      <c r="J2471" s="117"/>
      <c r="K2471" s="117"/>
      <c r="L2471" s="117"/>
      <c r="M2471" s="117"/>
      <c r="N2471" s="117"/>
      <c r="O2471" s="117"/>
      <c r="P2471" s="117"/>
      <c r="Q2471" s="117"/>
      <c r="R2471" s="117"/>
      <c r="S2471" s="117"/>
      <c r="T2471" s="117"/>
      <c r="U2471" s="117"/>
      <c r="V2471" s="117"/>
      <c r="W2471" s="117"/>
      <c r="X2471" s="117"/>
      <c r="Y2471" s="117"/>
      <c r="Z2471" s="117"/>
      <c r="AA2471" s="117"/>
      <c r="AB2471" s="117"/>
      <c r="AC2471" s="117"/>
      <c r="AD2471" s="117"/>
      <c r="AE2471" s="117"/>
      <c r="AF2471" s="117"/>
      <c r="AG2471" s="117"/>
      <c r="AH2471" s="117"/>
      <c r="AI2471" s="117"/>
      <c r="AJ2471" s="117"/>
      <c r="AK2471" s="117"/>
      <c r="AL2471" s="117"/>
      <c r="AM2471" s="117"/>
      <c r="AN2471" s="117"/>
      <c r="AO2471" s="117"/>
    </row>
    <row r="2472" ht="12.75" customHeight="1">
      <c r="A2472" s="117"/>
      <c r="B2472" s="117"/>
      <c r="C2472" s="117"/>
      <c r="D2472" s="117"/>
      <c r="E2472" s="117"/>
      <c r="F2472" s="117"/>
      <c r="G2472" s="117"/>
      <c r="H2472" s="117"/>
      <c r="I2472" s="117"/>
      <c r="J2472" s="117"/>
      <c r="K2472" s="117"/>
      <c r="L2472" s="117"/>
      <c r="M2472" s="117"/>
      <c r="N2472" s="117"/>
      <c r="O2472" s="117"/>
      <c r="P2472" s="117"/>
      <c r="Q2472" s="117"/>
      <c r="R2472" s="117"/>
      <c r="S2472" s="117"/>
      <c r="T2472" s="117"/>
      <c r="U2472" s="117"/>
      <c r="V2472" s="117"/>
      <c r="W2472" s="117"/>
      <c r="X2472" s="117"/>
      <c r="Y2472" s="117"/>
      <c r="Z2472" s="117"/>
      <c r="AA2472" s="117"/>
      <c r="AB2472" s="117"/>
      <c r="AC2472" s="117"/>
      <c r="AD2472" s="117"/>
      <c r="AE2472" s="117"/>
      <c r="AF2472" s="117"/>
      <c r="AG2472" s="117"/>
      <c r="AH2472" s="117"/>
      <c r="AI2472" s="117"/>
      <c r="AJ2472" s="117"/>
      <c r="AK2472" s="117"/>
      <c r="AL2472" s="117"/>
      <c r="AM2472" s="117"/>
      <c r="AN2472" s="117"/>
      <c r="AO2472" s="117"/>
    </row>
    <row r="2473" ht="12.75" customHeight="1">
      <c r="A2473" s="117"/>
      <c r="B2473" s="117"/>
      <c r="C2473" s="117"/>
      <c r="D2473" s="117"/>
      <c r="E2473" s="117"/>
      <c r="F2473" s="117"/>
      <c r="G2473" s="117"/>
      <c r="H2473" s="117"/>
      <c r="I2473" s="117"/>
      <c r="J2473" s="117"/>
      <c r="K2473" s="117"/>
      <c r="L2473" s="117"/>
      <c r="M2473" s="117"/>
      <c r="N2473" s="117"/>
      <c r="O2473" s="117"/>
      <c r="P2473" s="117"/>
      <c r="Q2473" s="117"/>
      <c r="R2473" s="117"/>
      <c r="S2473" s="117"/>
      <c r="T2473" s="117"/>
      <c r="U2473" s="117"/>
      <c r="V2473" s="117"/>
      <c r="W2473" s="117"/>
      <c r="X2473" s="117"/>
      <c r="Y2473" s="117"/>
      <c r="Z2473" s="117"/>
      <c r="AA2473" s="117"/>
      <c r="AB2473" s="117"/>
      <c r="AC2473" s="117"/>
      <c r="AD2473" s="117"/>
      <c r="AE2473" s="117"/>
      <c r="AF2473" s="117"/>
      <c r="AG2473" s="117"/>
      <c r="AH2473" s="117"/>
      <c r="AI2473" s="117"/>
      <c r="AJ2473" s="117"/>
      <c r="AK2473" s="117"/>
      <c r="AL2473" s="117"/>
      <c r="AM2473" s="117"/>
      <c r="AN2473" s="117"/>
      <c r="AO2473" s="117"/>
    </row>
    <row r="2474" ht="12.75" customHeight="1">
      <c r="A2474" s="117"/>
      <c r="B2474" s="117"/>
      <c r="C2474" s="117"/>
      <c r="D2474" s="117"/>
      <c r="E2474" s="117"/>
      <c r="F2474" s="117"/>
      <c r="G2474" s="117"/>
      <c r="H2474" s="117"/>
      <c r="I2474" s="117"/>
      <c r="J2474" s="117"/>
      <c r="K2474" s="117"/>
      <c r="L2474" s="117"/>
      <c r="M2474" s="117"/>
      <c r="N2474" s="117"/>
      <c r="O2474" s="117"/>
      <c r="P2474" s="117"/>
      <c r="Q2474" s="117"/>
      <c r="R2474" s="117"/>
      <c r="S2474" s="117"/>
      <c r="T2474" s="117"/>
      <c r="U2474" s="117"/>
      <c r="V2474" s="117"/>
      <c r="W2474" s="117"/>
      <c r="X2474" s="117"/>
      <c r="Y2474" s="117"/>
      <c r="Z2474" s="117"/>
      <c r="AA2474" s="117"/>
      <c r="AB2474" s="117"/>
      <c r="AC2474" s="117"/>
      <c r="AD2474" s="117"/>
      <c r="AE2474" s="117"/>
      <c r="AF2474" s="117"/>
      <c r="AG2474" s="117"/>
      <c r="AH2474" s="117"/>
      <c r="AI2474" s="117"/>
      <c r="AJ2474" s="117"/>
      <c r="AK2474" s="117"/>
      <c r="AL2474" s="117"/>
      <c r="AM2474" s="117"/>
      <c r="AN2474" s="117"/>
      <c r="AO2474" s="117"/>
    </row>
    <row r="2475" ht="12.75" customHeight="1">
      <c r="A2475" s="117"/>
      <c r="B2475" s="117"/>
      <c r="C2475" s="117"/>
      <c r="D2475" s="117"/>
      <c r="E2475" s="117"/>
      <c r="F2475" s="117"/>
      <c r="G2475" s="117"/>
      <c r="H2475" s="117"/>
      <c r="I2475" s="117"/>
      <c r="J2475" s="117"/>
      <c r="K2475" s="117"/>
      <c r="L2475" s="117"/>
      <c r="M2475" s="117"/>
      <c r="N2475" s="117"/>
      <c r="O2475" s="117"/>
      <c r="P2475" s="117"/>
      <c r="Q2475" s="117"/>
      <c r="R2475" s="117"/>
      <c r="S2475" s="117"/>
      <c r="T2475" s="117"/>
      <c r="U2475" s="117"/>
      <c r="V2475" s="117"/>
      <c r="W2475" s="117"/>
      <c r="X2475" s="117"/>
      <c r="Y2475" s="117"/>
      <c r="Z2475" s="117"/>
      <c r="AA2475" s="117"/>
      <c r="AB2475" s="117"/>
      <c r="AC2475" s="117"/>
      <c r="AD2475" s="117"/>
      <c r="AE2475" s="117"/>
      <c r="AF2475" s="117"/>
      <c r="AG2475" s="117"/>
      <c r="AH2475" s="117"/>
      <c r="AI2475" s="117"/>
      <c r="AJ2475" s="117"/>
      <c r="AK2475" s="117"/>
      <c r="AL2475" s="117"/>
      <c r="AM2475" s="117"/>
      <c r="AN2475" s="117"/>
      <c r="AO2475" s="117"/>
    </row>
    <row r="2476" ht="12.75" customHeight="1">
      <c r="A2476" s="117"/>
      <c r="B2476" s="117"/>
      <c r="C2476" s="117"/>
      <c r="D2476" s="117"/>
      <c r="E2476" s="117"/>
      <c r="F2476" s="117"/>
      <c r="G2476" s="117"/>
      <c r="H2476" s="117"/>
      <c r="I2476" s="117"/>
      <c r="J2476" s="117"/>
      <c r="K2476" s="117"/>
      <c r="L2476" s="117"/>
      <c r="M2476" s="117"/>
      <c r="N2476" s="117"/>
      <c r="O2476" s="117"/>
      <c r="P2476" s="117"/>
      <c r="Q2476" s="117"/>
      <c r="R2476" s="117"/>
      <c r="S2476" s="117"/>
      <c r="T2476" s="117"/>
      <c r="U2476" s="117"/>
      <c r="V2476" s="117"/>
      <c r="W2476" s="117"/>
      <c r="X2476" s="117"/>
      <c r="Y2476" s="117"/>
      <c r="Z2476" s="117"/>
      <c r="AA2476" s="117"/>
      <c r="AB2476" s="117"/>
      <c r="AC2476" s="117"/>
      <c r="AD2476" s="117"/>
      <c r="AE2476" s="117"/>
      <c r="AF2476" s="117"/>
      <c r="AG2476" s="117"/>
      <c r="AH2476" s="117"/>
      <c r="AI2476" s="117"/>
      <c r="AJ2476" s="117"/>
      <c r="AK2476" s="117"/>
      <c r="AL2476" s="117"/>
      <c r="AM2476" s="117"/>
      <c r="AN2476" s="117"/>
      <c r="AO2476" s="117"/>
    </row>
    <row r="2477" ht="12.75" customHeight="1">
      <c r="A2477" s="117"/>
      <c r="B2477" s="117"/>
      <c r="C2477" s="117"/>
      <c r="D2477" s="117"/>
      <c r="E2477" s="117"/>
      <c r="F2477" s="117"/>
      <c r="G2477" s="117"/>
      <c r="H2477" s="117"/>
      <c r="I2477" s="117"/>
      <c r="J2477" s="117"/>
      <c r="K2477" s="117"/>
      <c r="L2477" s="117"/>
      <c r="M2477" s="117"/>
      <c r="N2477" s="117"/>
      <c r="O2477" s="117"/>
      <c r="P2477" s="117"/>
      <c r="Q2477" s="117"/>
      <c r="R2477" s="117"/>
      <c r="S2477" s="117"/>
      <c r="T2477" s="117"/>
      <c r="U2477" s="117"/>
      <c r="V2477" s="117"/>
      <c r="W2477" s="117"/>
      <c r="X2477" s="117"/>
      <c r="Y2477" s="117"/>
      <c r="Z2477" s="117"/>
      <c r="AA2477" s="117"/>
      <c r="AB2477" s="117"/>
      <c r="AC2477" s="117"/>
      <c r="AD2477" s="117"/>
      <c r="AE2477" s="117"/>
      <c r="AF2477" s="117"/>
      <c r="AG2477" s="117"/>
      <c r="AH2477" s="117"/>
      <c r="AI2477" s="117"/>
      <c r="AJ2477" s="117"/>
      <c r="AK2477" s="117"/>
      <c r="AL2477" s="117"/>
      <c r="AM2477" s="117"/>
      <c r="AN2477" s="117"/>
      <c r="AO2477" s="117"/>
    </row>
    <row r="2478" ht="12.75" customHeight="1">
      <c r="A2478" s="117"/>
      <c r="B2478" s="117"/>
      <c r="C2478" s="117"/>
      <c r="D2478" s="117"/>
      <c r="E2478" s="117"/>
      <c r="F2478" s="117"/>
      <c r="G2478" s="117"/>
      <c r="H2478" s="117"/>
      <c r="I2478" s="117"/>
      <c r="J2478" s="117"/>
      <c r="K2478" s="117"/>
      <c r="L2478" s="117"/>
      <c r="M2478" s="117"/>
      <c r="N2478" s="117"/>
      <c r="O2478" s="117"/>
      <c r="P2478" s="117"/>
      <c r="Q2478" s="117"/>
      <c r="R2478" s="117"/>
      <c r="S2478" s="117"/>
      <c r="T2478" s="117"/>
      <c r="U2478" s="117"/>
      <c r="V2478" s="117"/>
      <c r="W2478" s="117"/>
      <c r="X2478" s="117"/>
      <c r="Y2478" s="117"/>
      <c r="Z2478" s="117"/>
      <c r="AA2478" s="117"/>
      <c r="AB2478" s="117"/>
      <c r="AC2478" s="117"/>
      <c r="AD2478" s="117"/>
      <c r="AE2478" s="117"/>
      <c r="AF2478" s="117"/>
      <c r="AG2478" s="117"/>
      <c r="AH2478" s="117"/>
      <c r="AI2478" s="117"/>
      <c r="AJ2478" s="117"/>
      <c r="AK2478" s="117"/>
      <c r="AL2478" s="117"/>
      <c r="AM2478" s="117"/>
      <c r="AN2478" s="117"/>
      <c r="AO2478" s="117"/>
    </row>
    <row r="2479" ht="12.75" customHeight="1">
      <c r="A2479" s="117"/>
      <c r="B2479" s="117"/>
      <c r="C2479" s="117"/>
      <c r="D2479" s="117"/>
      <c r="E2479" s="117"/>
      <c r="F2479" s="117"/>
      <c r="G2479" s="117"/>
      <c r="H2479" s="117"/>
      <c r="I2479" s="117"/>
      <c r="J2479" s="117"/>
      <c r="K2479" s="117"/>
      <c r="L2479" s="117"/>
      <c r="M2479" s="117"/>
      <c r="N2479" s="117"/>
      <c r="O2479" s="117"/>
      <c r="P2479" s="117"/>
      <c r="Q2479" s="117"/>
      <c r="R2479" s="117"/>
      <c r="S2479" s="117"/>
      <c r="T2479" s="117"/>
      <c r="U2479" s="117"/>
      <c r="V2479" s="117"/>
      <c r="W2479" s="117"/>
      <c r="X2479" s="117"/>
      <c r="Y2479" s="117"/>
      <c r="Z2479" s="117"/>
      <c r="AA2479" s="117"/>
      <c r="AB2479" s="117"/>
      <c r="AC2479" s="117"/>
      <c r="AD2479" s="117"/>
      <c r="AE2479" s="117"/>
      <c r="AF2479" s="117"/>
      <c r="AG2479" s="117"/>
      <c r="AH2479" s="117"/>
      <c r="AI2479" s="117"/>
      <c r="AJ2479" s="117"/>
      <c r="AK2479" s="117"/>
      <c r="AL2479" s="117"/>
      <c r="AM2479" s="117"/>
      <c r="AN2479" s="117"/>
      <c r="AO2479" s="117"/>
    </row>
    <row r="2480" ht="12.75" customHeight="1">
      <c r="A2480" s="117"/>
      <c r="B2480" s="117"/>
      <c r="C2480" s="117"/>
      <c r="D2480" s="117"/>
      <c r="E2480" s="117"/>
      <c r="F2480" s="117"/>
      <c r="G2480" s="117"/>
      <c r="H2480" s="117"/>
      <c r="I2480" s="117"/>
      <c r="J2480" s="117"/>
      <c r="K2480" s="117"/>
      <c r="L2480" s="117"/>
      <c r="M2480" s="117"/>
      <c r="N2480" s="117"/>
      <c r="O2480" s="117"/>
      <c r="P2480" s="117"/>
      <c r="Q2480" s="117"/>
      <c r="R2480" s="117"/>
      <c r="S2480" s="117"/>
      <c r="T2480" s="117"/>
      <c r="U2480" s="117"/>
      <c r="V2480" s="117"/>
      <c r="W2480" s="117"/>
      <c r="X2480" s="117"/>
      <c r="Y2480" s="117"/>
      <c r="Z2480" s="117"/>
      <c r="AA2480" s="117"/>
      <c r="AB2480" s="117"/>
      <c r="AC2480" s="117"/>
      <c r="AD2480" s="117"/>
      <c r="AE2480" s="117"/>
      <c r="AF2480" s="117"/>
      <c r="AG2480" s="117"/>
      <c r="AH2480" s="117"/>
      <c r="AI2480" s="117"/>
      <c r="AJ2480" s="117"/>
      <c r="AK2480" s="117"/>
      <c r="AL2480" s="117"/>
      <c r="AM2480" s="117"/>
      <c r="AN2480" s="117"/>
      <c r="AO2480" s="117"/>
    </row>
    <row r="2481" ht="12.75" customHeight="1">
      <c r="A2481" s="117"/>
      <c r="B2481" s="117"/>
      <c r="C2481" s="117"/>
      <c r="D2481" s="117"/>
      <c r="E2481" s="117"/>
      <c r="F2481" s="117"/>
      <c r="G2481" s="117"/>
      <c r="H2481" s="117"/>
      <c r="I2481" s="117"/>
      <c r="J2481" s="117"/>
      <c r="K2481" s="117"/>
      <c r="L2481" s="117"/>
      <c r="M2481" s="117"/>
      <c r="N2481" s="117"/>
      <c r="O2481" s="117"/>
      <c r="P2481" s="117"/>
      <c r="Q2481" s="117"/>
      <c r="R2481" s="117"/>
      <c r="S2481" s="117"/>
      <c r="T2481" s="117"/>
      <c r="U2481" s="117"/>
      <c r="V2481" s="117"/>
      <c r="W2481" s="117"/>
      <c r="X2481" s="117"/>
      <c r="Y2481" s="117"/>
      <c r="Z2481" s="117"/>
      <c r="AA2481" s="117"/>
      <c r="AB2481" s="117"/>
      <c r="AC2481" s="117"/>
      <c r="AD2481" s="117"/>
      <c r="AE2481" s="117"/>
      <c r="AF2481" s="117"/>
      <c r="AG2481" s="117"/>
      <c r="AH2481" s="117"/>
      <c r="AI2481" s="117"/>
      <c r="AJ2481" s="117"/>
      <c r="AK2481" s="117"/>
      <c r="AL2481" s="117"/>
      <c r="AM2481" s="117"/>
      <c r="AN2481" s="117"/>
      <c r="AO2481" s="117"/>
    </row>
    <row r="2482" ht="12.75" customHeight="1">
      <c r="A2482" s="117"/>
      <c r="B2482" s="117"/>
      <c r="C2482" s="117"/>
      <c r="D2482" s="117"/>
      <c r="E2482" s="117"/>
      <c r="F2482" s="117"/>
      <c r="G2482" s="117"/>
      <c r="H2482" s="117"/>
      <c r="I2482" s="117"/>
      <c r="J2482" s="117"/>
      <c r="K2482" s="117"/>
      <c r="L2482" s="117"/>
      <c r="M2482" s="117"/>
      <c r="N2482" s="117"/>
      <c r="O2482" s="117"/>
      <c r="P2482" s="117"/>
      <c r="Q2482" s="117"/>
      <c r="R2482" s="117"/>
      <c r="S2482" s="117"/>
      <c r="T2482" s="117"/>
      <c r="U2482" s="117"/>
      <c r="V2482" s="117"/>
      <c r="W2482" s="117"/>
      <c r="X2482" s="117"/>
      <c r="Y2482" s="117"/>
      <c r="Z2482" s="117"/>
      <c r="AA2482" s="117"/>
      <c r="AB2482" s="117"/>
      <c r="AC2482" s="117"/>
      <c r="AD2482" s="117"/>
      <c r="AE2482" s="117"/>
      <c r="AF2482" s="117"/>
      <c r="AG2482" s="117"/>
      <c r="AH2482" s="117"/>
      <c r="AI2482" s="117"/>
      <c r="AJ2482" s="117"/>
      <c r="AK2482" s="117"/>
      <c r="AL2482" s="117"/>
      <c r="AM2482" s="117"/>
      <c r="AN2482" s="117"/>
      <c r="AO2482" s="117"/>
    </row>
    <row r="2483" ht="12.75" customHeight="1">
      <c r="A2483" s="117"/>
      <c r="B2483" s="117"/>
      <c r="C2483" s="117"/>
      <c r="D2483" s="117"/>
      <c r="E2483" s="117"/>
      <c r="F2483" s="117"/>
      <c r="G2483" s="117"/>
      <c r="H2483" s="117"/>
      <c r="I2483" s="117"/>
      <c r="J2483" s="117"/>
      <c r="K2483" s="117"/>
      <c r="L2483" s="117"/>
      <c r="M2483" s="117"/>
      <c r="N2483" s="117"/>
      <c r="O2483" s="117"/>
      <c r="P2483" s="117"/>
      <c r="Q2483" s="117"/>
      <c r="R2483" s="117"/>
      <c r="S2483" s="117"/>
      <c r="T2483" s="117"/>
      <c r="U2483" s="117"/>
      <c r="V2483" s="117"/>
      <c r="W2483" s="117"/>
      <c r="X2483" s="117"/>
      <c r="Y2483" s="117"/>
      <c r="Z2483" s="117"/>
      <c r="AA2483" s="117"/>
      <c r="AB2483" s="117"/>
      <c r="AC2483" s="117"/>
      <c r="AD2483" s="117"/>
      <c r="AE2483" s="117"/>
      <c r="AF2483" s="117"/>
      <c r="AG2483" s="117"/>
      <c r="AH2483" s="117"/>
      <c r="AI2483" s="117"/>
      <c r="AJ2483" s="117"/>
      <c r="AK2483" s="117"/>
      <c r="AL2483" s="117"/>
      <c r="AM2483" s="117"/>
      <c r="AN2483" s="117"/>
      <c r="AO2483" s="117"/>
    </row>
    <row r="2484" ht="12.75" customHeight="1">
      <c r="A2484" s="117"/>
      <c r="B2484" s="117"/>
      <c r="C2484" s="117"/>
      <c r="D2484" s="117"/>
      <c r="E2484" s="117"/>
      <c r="F2484" s="117"/>
      <c r="G2484" s="117"/>
      <c r="H2484" s="117"/>
      <c r="I2484" s="117"/>
      <c r="J2484" s="117"/>
      <c r="K2484" s="117"/>
      <c r="L2484" s="117"/>
      <c r="M2484" s="117"/>
      <c r="N2484" s="117"/>
      <c r="O2484" s="117"/>
      <c r="P2484" s="117"/>
      <c r="Q2484" s="117"/>
      <c r="R2484" s="117"/>
      <c r="S2484" s="117"/>
      <c r="T2484" s="117"/>
      <c r="U2484" s="117"/>
      <c r="V2484" s="117"/>
      <c r="W2484" s="117"/>
      <c r="X2484" s="117"/>
      <c r="Y2484" s="117"/>
      <c r="Z2484" s="117"/>
      <c r="AA2484" s="117"/>
      <c r="AB2484" s="117"/>
      <c r="AC2484" s="117"/>
      <c r="AD2484" s="117"/>
      <c r="AE2484" s="117"/>
      <c r="AF2484" s="117"/>
      <c r="AG2484" s="117"/>
      <c r="AH2484" s="117"/>
      <c r="AI2484" s="117"/>
      <c r="AJ2484" s="117"/>
      <c r="AK2484" s="117"/>
      <c r="AL2484" s="117"/>
      <c r="AM2484" s="117"/>
      <c r="AN2484" s="117"/>
      <c r="AO2484" s="117"/>
    </row>
    <row r="2485" ht="12.75" customHeight="1">
      <c r="A2485" s="117"/>
      <c r="B2485" s="117"/>
      <c r="C2485" s="117"/>
      <c r="D2485" s="117"/>
      <c r="E2485" s="117"/>
      <c r="F2485" s="117"/>
      <c r="G2485" s="117"/>
      <c r="H2485" s="117"/>
      <c r="I2485" s="117"/>
      <c r="J2485" s="117"/>
      <c r="K2485" s="117"/>
      <c r="L2485" s="117"/>
      <c r="M2485" s="117"/>
      <c r="N2485" s="117"/>
      <c r="O2485" s="117"/>
      <c r="P2485" s="117"/>
      <c r="Q2485" s="117"/>
      <c r="R2485" s="117"/>
      <c r="S2485" s="117"/>
      <c r="T2485" s="117"/>
      <c r="U2485" s="117"/>
      <c r="V2485" s="117"/>
      <c r="W2485" s="117"/>
      <c r="X2485" s="117"/>
      <c r="Y2485" s="117"/>
      <c r="Z2485" s="117"/>
      <c r="AA2485" s="117"/>
      <c r="AB2485" s="117"/>
      <c r="AC2485" s="117"/>
      <c r="AD2485" s="117"/>
      <c r="AE2485" s="117"/>
      <c r="AF2485" s="117"/>
      <c r="AG2485" s="117"/>
      <c r="AH2485" s="117"/>
      <c r="AI2485" s="117"/>
      <c r="AJ2485" s="117"/>
      <c r="AK2485" s="117"/>
      <c r="AL2485" s="117"/>
      <c r="AM2485" s="117"/>
      <c r="AN2485" s="117"/>
      <c r="AO2485" s="117"/>
    </row>
    <row r="2486" ht="12.75" customHeight="1">
      <c r="A2486" s="117"/>
      <c r="B2486" s="117"/>
      <c r="C2486" s="117"/>
      <c r="D2486" s="117"/>
      <c r="E2486" s="117"/>
      <c r="F2486" s="117"/>
      <c r="G2486" s="117"/>
      <c r="H2486" s="117"/>
      <c r="I2486" s="117"/>
      <c r="J2486" s="117"/>
      <c r="K2486" s="117"/>
      <c r="L2486" s="117"/>
      <c r="M2486" s="117"/>
      <c r="N2486" s="117"/>
      <c r="O2486" s="117"/>
      <c r="P2486" s="117"/>
      <c r="Q2486" s="117"/>
      <c r="R2486" s="117"/>
      <c r="S2486" s="117"/>
      <c r="T2486" s="117"/>
      <c r="U2486" s="117"/>
      <c r="V2486" s="117"/>
      <c r="W2486" s="117"/>
      <c r="X2486" s="117"/>
      <c r="Y2486" s="117"/>
      <c r="Z2486" s="117"/>
      <c r="AA2486" s="117"/>
      <c r="AB2486" s="117"/>
      <c r="AC2486" s="117"/>
      <c r="AD2486" s="117"/>
      <c r="AE2486" s="117"/>
      <c r="AF2486" s="117"/>
      <c r="AG2486" s="117"/>
      <c r="AH2486" s="117"/>
      <c r="AI2486" s="117"/>
      <c r="AJ2486" s="117"/>
      <c r="AK2486" s="117"/>
      <c r="AL2486" s="117"/>
      <c r="AM2486" s="117"/>
      <c r="AN2486" s="117"/>
      <c r="AO2486" s="117"/>
    </row>
    <row r="2487" ht="12.75" customHeight="1">
      <c r="A2487" s="117"/>
      <c r="B2487" s="117"/>
      <c r="C2487" s="117"/>
      <c r="D2487" s="117"/>
      <c r="E2487" s="117"/>
      <c r="F2487" s="117"/>
      <c r="G2487" s="117"/>
      <c r="H2487" s="117"/>
      <c r="I2487" s="117"/>
      <c r="J2487" s="117"/>
      <c r="K2487" s="117"/>
      <c r="L2487" s="117"/>
      <c r="M2487" s="117"/>
      <c r="N2487" s="117"/>
      <c r="O2487" s="117"/>
      <c r="P2487" s="117"/>
      <c r="Q2487" s="117"/>
      <c r="R2487" s="117"/>
      <c r="S2487" s="117"/>
      <c r="T2487" s="117"/>
      <c r="U2487" s="117"/>
      <c r="V2487" s="117"/>
      <c r="W2487" s="117"/>
      <c r="X2487" s="117"/>
      <c r="Y2487" s="117"/>
      <c r="Z2487" s="117"/>
      <c r="AA2487" s="117"/>
      <c r="AB2487" s="117"/>
      <c r="AC2487" s="117"/>
      <c r="AD2487" s="117"/>
      <c r="AE2487" s="117"/>
      <c r="AF2487" s="117"/>
      <c r="AG2487" s="117"/>
      <c r="AH2487" s="117"/>
      <c r="AI2487" s="117"/>
      <c r="AJ2487" s="117"/>
      <c r="AK2487" s="117"/>
      <c r="AL2487" s="117"/>
      <c r="AM2487" s="117"/>
      <c r="AN2487" s="117"/>
      <c r="AO2487" s="117"/>
    </row>
    <row r="2488" ht="12.75" customHeight="1">
      <c r="A2488" s="117"/>
      <c r="B2488" s="117"/>
      <c r="C2488" s="117"/>
      <c r="D2488" s="117"/>
      <c r="E2488" s="117"/>
      <c r="F2488" s="117"/>
      <c r="G2488" s="117"/>
      <c r="H2488" s="117"/>
      <c r="I2488" s="117"/>
      <c r="J2488" s="117"/>
      <c r="K2488" s="117"/>
      <c r="L2488" s="117"/>
      <c r="M2488" s="117"/>
      <c r="N2488" s="117"/>
      <c r="O2488" s="117"/>
      <c r="P2488" s="117"/>
      <c r="Q2488" s="117"/>
      <c r="R2488" s="117"/>
      <c r="S2488" s="117"/>
      <c r="T2488" s="117"/>
      <c r="U2488" s="117"/>
      <c r="V2488" s="117"/>
      <c r="W2488" s="117"/>
      <c r="X2488" s="117"/>
      <c r="Y2488" s="117"/>
      <c r="Z2488" s="117"/>
      <c r="AA2488" s="117"/>
      <c r="AB2488" s="117"/>
      <c r="AC2488" s="117"/>
      <c r="AD2488" s="117"/>
      <c r="AE2488" s="117"/>
      <c r="AF2488" s="117"/>
      <c r="AG2488" s="117"/>
      <c r="AH2488" s="117"/>
      <c r="AI2488" s="117"/>
      <c r="AJ2488" s="117"/>
      <c r="AK2488" s="117"/>
      <c r="AL2488" s="117"/>
      <c r="AM2488" s="117"/>
      <c r="AN2488" s="117"/>
      <c r="AO2488" s="117"/>
    </row>
    <row r="2489" ht="12.75" customHeight="1">
      <c r="A2489" s="117"/>
      <c r="B2489" s="117"/>
      <c r="C2489" s="117"/>
      <c r="D2489" s="117"/>
      <c r="E2489" s="117"/>
      <c r="F2489" s="117"/>
      <c r="G2489" s="117"/>
      <c r="H2489" s="117"/>
      <c r="I2489" s="117"/>
      <c r="J2489" s="117"/>
      <c r="K2489" s="117"/>
      <c r="L2489" s="117"/>
      <c r="M2489" s="117"/>
      <c r="N2489" s="117"/>
      <c r="O2489" s="117"/>
      <c r="P2489" s="117"/>
      <c r="Q2489" s="117"/>
      <c r="R2489" s="117"/>
      <c r="S2489" s="117"/>
      <c r="T2489" s="117"/>
      <c r="U2489" s="117"/>
      <c r="V2489" s="117"/>
      <c r="W2489" s="117"/>
      <c r="X2489" s="117"/>
      <c r="Y2489" s="117"/>
      <c r="Z2489" s="117"/>
      <c r="AA2489" s="117"/>
      <c r="AB2489" s="117"/>
      <c r="AC2489" s="117"/>
      <c r="AD2489" s="117"/>
      <c r="AE2489" s="117"/>
      <c r="AF2489" s="117"/>
      <c r="AG2489" s="117"/>
      <c r="AH2489" s="117"/>
      <c r="AI2489" s="117"/>
      <c r="AJ2489" s="117"/>
      <c r="AK2489" s="117"/>
      <c r="AL2489" s="117"/>
      <c r="AM2489" s="117"/>
      <c r="AN2489" s="117"/>
      <c r="AO2489" s="117"/>
    </row>
    <row r="2490" ht="12.75" customHeight="1">
      <c r="A2490" s="117"/>
      <c r="B2490" s="117"/>
      <c r="C2490" s="117"/>
      <c r="D2490" s="117"/>
      <c r="E2490" s="117"/>
      <c r="F2490" s="117"/>
      <c r="G2490" s="117"/>
      <c r="H2490" s="117"/>
      <c r="I2490" s="117"/>
      <c r="J2490" s="117"/>
      <c r="K2490" s="117"/>
      <c r="L2490" s="117"/>
      <c r="M2490" s="117"/>
      <c r="N2490" s="117"/>
      <c r="O2490" s="117"/>
      <c r="P2490" s="117"/>
      <c r="Q2490" s="117"/>
      <c r="R2490" s="117"/>
      <c r="S2490" s="117"/>
      <c r="T2490" s="117"/>
      <c r="U2490" s="117"/>
      <c r="V2490" s="117"/>
      <c r="W2490" s="117"/>
      <c r="X2490" s="117"/>
      <c r="Y2490" s="117"/>
      <c r="Z2490" s="117"/>
      <c r="AA2490" s="117"/>
      <c r="AB2490" s="117"/>
      <c r="AC2490" s="117"/>
      <c r="AD2490" s="117"/>
      <c r="AE2490" s="117"/>
      <c r="AF2490" s="117"/>
      <c r="AG2490" s="117"/>
      <c r="AH2490" s="117"/>
      <c r="AI2490" s="117"/>
      <c r="AJ2490" s="117"/>
      <c r="AK2490" s="117"/>
      <c r="AL2490" s="117"/>
      <c r="AM2490" s="117"/>
      <c r="AN2490" s="117"/>
      <c r="AO2490" s="117"/>
    </row>
    <row r="2491" ht="12.75" customHeight="1">
      <c r="A2491" s="117"/>
      <c r="B2491" s="117"/>
      <c r="C2491" s="117"/>
      <c r="D2491" s="117"/>
      <c r="E2491" s="117"/>
      <c r="F2491" s="117"/>
      <c r="G2491" s="117"/>
      <c r="H2491" s="117"/>
      <c r="I2491" s="117"/>
      <c r="J2491" s="117"/>
      <c r="K2491" s="117"/>
      <c r="L2491" s="117"/>
      <c r="M2491" s="117"/>
      <c r="N2491" s="117"/>
      <c r="O2491" s="117"/>
      <c r="P2491" s="117"/>
      <c r="Q2491" s="117"/>
      <c r="R2491" s="117"/>
      <c r="S2491" s="117"/>
      <c r="T2491" s="117"/>
      <c r="U2491" s="117"/>
      <c r="V2491" s="117"/>
      <c r="W2491" s="117"/>
      <c r="X2491" s="117"/>
      <c r="Y2491" s="117"/>
      <c r="Z2491" s="117"/>
      <c r="AA2491" s="117"/>
      <c r="AB2491" s="117"/>
      <c r="AC2491" s="117"/>
      <c r="AD2491" s="117"/>
      <c r="AE2491" s="117"/>
      <c r="AF2491" s="117"/>
      <c r="AG2491" s="117"/>
      <c r="AH2491" s="117"/>
      <c r="AI2491" s="117"/>
      <c r="AJ2491" s="117"/>
      <c r="AK2491" s="117"/>
      <c r="AL2491" s="117"/>
      <c r="AM2491" s="117"/>
      <c r="AN2491" s="117"/>
      <c r="AO2491" s="117"/>
    </row>
    <row r="2492" ht="12.75" customHeight="1">
      <c r="A2492" s="117"/>
      <c r="B2492" s="117"/>
      <c r="C2492" s="117"/>
      <c r="D2492" s="117"/>
      <c r="E2492" s="117"/>
      <c r="F2492" s="117"/>
      <c r="G2492" s="117"/>
      <c r="H2492" s="117"/>
      <c r="I2492" s="117"/>
      <c r="J2492" s="117"/>
      <c r="K2492" s="117"/>
      <c r="L2492" s="117"/>
      <c r="M2492" s="117"/>
      <c r="N2492" s="117"/>
      <c r="O2492" s="117"/>
      <c r="P2492" s="117"/>
      <c r="Q2492" s="117"/>
      <c r="R2492" s="117"/>
      <c r="S2492" s="117"/>
      <c r="T2492" s="117"/>
      <c r="U2492" s="117"/>
      <c r="V2492" s="117"/>
      <c r="W2492" s="117"/>
      <c r="X2492" s="117"/>
      <c r="Y2492" s="117"/>
      <c r="Z2492" s="117"/>
      <c r="AA2492" s="117"/>
      <c r="AB2492" s="117"/>
      <c r="AC2492" s="117"/>
      <c r="AD2492" s="117"/>
      <c r="AE2492" s="117"/>
      <c r="AF2492" s="117"/>
      <c r="AG2492" s="117"/>
      <c r="AH2492" s="117"/>
      <c r="AI2492" s="117"/>
      <c r="AJ2492" s="117"/>
      <c r="AK2492" s="117"/>
      <c r="AL2492" s="117"/>
      <c r="AM2492" s="117"/>
      <c r="AN2492" s="117"/>
      <c r="AO2492" s="117"/>
    </row>
    <row r="2493" ht="12.75" customHeight="1">
      <c r="A2493" s="117"/>
      <c r="B2493" s="117"/>
      <c r="C2493" s="117"/>
      <c r="D2493" s="117"/>
      <c r="E2493" s="117"/>
      <c r="F2493" s="117"/>
      <c r="G2493" s="117"/>
      <c r="H2493" s="117"/>
      <c r="I2493" s="117"/>
      <c r="J2493" s="117"/>
      <c r="K2493" s="117"/>
      <c r="L2493" s="117"/>
      <c r="M2493" s="117"/>
      <c r="N2493" s="117"/>
      <c r="O2493" s="117"/>
      <c r="P2493" s="117"/>
      <c r="Q2493" s="117"/>
      <c r="R2493" s="117"/>
      <c r="S2493" s="117"/>
      <c r="T2493" s="117"/>
      <c r="U2493" s="117"/>
      <c r="V2493" s="117"/>
      <c r="W2493" s="117"/>
      <c r="X2493" s="117"/>
      <c r="Y2493" s="117"/>
      <c r="Z2493" s="117"/>
      <c r="AA2493" s="117"/>
      <c r="AB2493" s="117"/>
      <c r="AC2493" s="117"/>
      <c r="AD2493" s="117"/>
      <c r="AE2493" s="117"/>
      <c r="AF2493" s="117"/>
      <c r="AG2493" s="117"/>
      <c r="AH2493" s="117"/>
      <c r="AI2493" s="117"/>
      <c r="AJ2493" s="117"/>
      <c r="AK2493" s="117"/>
      <c r="AL2493" s="117"/>
      <c r="AM2493" s="117"/>
      <c r="AN2493" s="117"/>
      <c r="AO2493" s="117"/>
    </row>
    <row r="2494" ht="12.75" customHeight="1">
      <c r="A2494" s="117"/>
      <c r="B2494" s="117"/>
      <c r="C2494" s="117"/>
      <c r="D2494" s="117"/>
      <c r="E2494" s="117"/>
      <c r="F2494" s="117"/>
      <c r="G2494" s="117"/>
      <c r="H2494" s="117"/>
      <c r="I2494" s="117"/>
      <c r="J2494" s="117"/>
      <c r="K2494" s="117"/>
      <c r="L2494" s="117"/>
      <c r="M2494" s="117"/>
      <c r="N2494" s="117"/>
      <c r="O2494" s="117"/>
      <c r="P2494" s="117"/>
      <c r="Q2494" s="117"/>
      <c r="R2494" s="117"/>
      <c r="S2494" s="117"/>
      <c r="T2494" s="117"/>
      <c r="U2494" s="117"/>
      <c r="V2494" s="117"/>
      <c r="W2494" s="117"/>
      <c r="X2494" s="117"/>
      <c r="Y2494" s="117"/>
      <c r="Z2494" s="117"/>
      <c r="AA2494" s="117"/>
      <c r="AB2494" s="117"/>
      <c r="AC2494" s="117"/>
      <c r="AD2494" s="117"/>
      <c r="AE2494" s="117"/>
      <c r="AF2494" s="117"/>
      <c r="AG2494" s="117"/>
      <c r="AH2494" s="117"/>
      <c r="AI2494" s="117"/>
      <c r="AJ2494" s="117"/>
      <c r="AK2494" s="117"/>
      <c r="AL2494" s="117"/>
      <c r="AM2494" s="117"/>
      <c r="AN2494" s="117"/>
      <c r="AO2494" s="117"/>
    </row>
    <row r="2495" ht="12.75" customHeight="1">
      <c r="A2495" s="117"/>
      <c r="B2495" s="117"/>
      <c r="C2495" s="117"/>
      <c r="D2495" s="117"/>
      <c r="E2495" s="117"/>
      <c r="F2495" s="117"/>
      <c r="G2495" s="117"/>
      <c r="H2495" s="117"/>
      <c r="I2495" s="117"/>
      <c r="J2495" s="117"/>
      <c r="K2495" s="117"/>
      <c r="L2495" s="117"/>
      <c r="M2495" s="117"/>
      <c r="N2495" s="117"/>
      <c r="O2495" s="117"/>
      <c r="P2495" s="117"/>
      <c r="Q2495" s="117"/>
      <c r="R2495" s="117"/>
      <c r="S2495" s="117"/>
      <c r="T2495" s="117"/>
      <c r="U2495" s="117"/>
      <c r="V2495" s="117"/>
      <c r="W2495" s="117"/>
      <c r="X2495" s="117"/>
      <c r="Y2495" s="117"/>
      <c r="Z2495" s="117"/>
      <c r="AA2495" s="117"/>
      <c r="AB2495" s="117"/>
      <c r="AC2495" s="117"/>
      <c r="AD2495" s="117"/>
      <c r="AE2495" s="117"/>
      <c r="AF2495" s="117"/>
      <c r="AG2495" s="117"/>
      <c r="AH2495" s="117"/>
      <c r="AI2495" s="117"/>
      <c r="AJ2495" s="117"/>
      <c r="AK2495" s="117"/>
      <c r="AL2495" s="117"/>
      <c r="AM2495" s="117"/>
      <c r="AN2495" s="117"/>
      <c r="AO2495" s="117"/>
    </row>
    <row r="2496" ht="12.75" customHeight="1">
      <c r="A2496" s="117"/>
      <c r="B2496" s="117"/>
      <c r="C2496" s="117"/>
      <c r="D2496" s="117"/>
      <c r="E2496" s="117"/>
      <c r="F2496" s="117"/>
      <c r="G2496" s="117"/>
      <c r="H2496" s="117"/>
      <c r="I2496" s="117"/>
      <c r="J2496" s="117"/>
      <c r="K2496" s="117"/>
      <c r="L2496" s="117"/>
      <c r="M2496" s="117"/>
      <c r="N2496" s="117"/>
      <c r="O2496" s="117"/>
      <c r="P2496" s="117"/>
      <c r="Q2496" s="117"/>
      <c r="R2496" s="117"/>
      <c r="S2496" s="117"/>
      <c r="T2496" s="117"/>
      <c r="U2496" s="117"/>
      <c r="V2496" s="117"/>
      <c r="W2496" s="117"/>
      <c r="X2496" s="117"/>
      <c r="Y2496" s="117"/>
      <c r="Z2496" s="117"/>
      <c r="AA2496" s="117"/>
      <c r="AB2496" s="117"/>
      <c r="AC2496" s="117"/>
      <c r="AD2496" s="117"/>
      <c r="AE2496" s="117"/>
      <c r="AF2496" s="117"/>
      <c r="AG2496" s="117"/>
      <c r="AH2496" s="117"/>
      <c r="AI2496" s="117"/>
      <c r="AJ2496" s="117"/>
      <c r="AK2496" s="117"/>
      <c r="AL2496" s="117"/>
      <c r="AM2496" s="117"/>
      <c r="AN2496" s="117"/>
      <c r="AO2496" s="117"/>
    </row>
    <row r="2497" ht="12.75" customHeight="1">
      <c r="A2497" s="117"/>
      <c r="B2497" s="117"/>
      <c r="C2497" s="117"/>
      <c r="D2497" s="117"/>
      <c r="E2497" s="117"/>
      <c r="F2497" s="117"/>
      <c r="G2497" s="117"/>
      <c r="H2497" s="117"/>
      <c r="I2497" s="117"/>
      <c r="J2497" s="117"/>
      <c r="K2497" s="117"/>
      <c r="L2497" s="117"/>
      <c r="M2497" s="117"/>
      <c r="N2497" s="117"/>
      <c r="O2497" s="117"/>
      <c r="P2497" s="117"/>
      <c r="Q2497" s="117"/>
      <c r="R2497" s="117"/>
      <c r="S2497" s="117"/>
      <c r="T2497" s="117"/>
      <c r="U2497" s="117"/>
      <c r="V2497" s="117"/>
      <c r="W2497" s="117"/>
      <c r="X2497" s="117"/>
      <c r="Y2497" s="117"/>
      <c r="Z2497" s="117"/>
      <c r="AA2497" s="117"/>
      <c r="AB2497" s="117"/>
      <c r="AC2497" s="117"/>
      <c r="AD2497" s="117"/>
      <c r="AE2497" s="117"/>
      <c r="AF2497" s="117"/>
      <c r="AG2497" s="117"/>
      <c r="AH2497" s="117"/>
      <c r="AI2497" s="117"/>
      <c r="AJ2497" s="117"/>
      <c r="AK2497" s="117"/>
      <c r="AL2497" s="117"/>
      <c r="AM2497" s="117"/>
      <c r="AN2497" s="117"/>
      <c r="AO2497" s="117"/>
    </row>
    <row r="2498" ht="12.75" customHeight="1">
      <c r="A2498" s="117"/>
      <c r="B2498" s="117"/>
      <c r="C2498" s="117"/>
      <c r="D2498" s="117"/>
      <c r="E2498" s="117"/>
      <c r="F2498" s="117"/>
      <c r="G2498" s="117"/>
      <c r="H2498" s="117"/>
      <c r="I2498" s="117"/>
      <c r="J2498" s="117"/>
      <c r="K2498" s="117"/>
      <c r="L2498" s="117"/>
      <c r="M2498" s="117"/>
      <c r="N2498" s="117"/>
      <c r="O2498" s="117"/>
      <c r="P2498" s="117"/>
      <c r="Q2498" s="117"/>
      <c r="R2498" s="117"/>
      <c r="S2498" s="117"/>
      <c r="T2498" s="117"/>
      <c r="U2498" s="117"/>
      <c r="V2498" s="117"/>
      <c r="W2498" s="117"/>
      <c r="X2498" s="117"/>
      <c r="Y2498" s="117"/>
      <c r="Z2498" s="117"/>
      <c r="AA2498" s="117"/>
      <c r="AB2498" s="117"/>
      <c r="AC2498" s="117"/>
      <c r="AD2498" s="117"/>
      <c r="AE2498" s="117"/>
      <c r="AF2498" s="117"/>
      <c r="AG2498" s="117"/>
      <c r="AH2498" s="117"/>
      <c r="AI2498" s="117"/>
      <c r="AJ2498" s="117"/>
      <c r="AK2498" s="117"/>
      <c r="AL2498" s="117"/>
      <c r="AM2498" s="117"/>
      <c r="AN2498" s="117"/>
      <c r="AO2498" s="117"/>
    </row>
    <row r="2499" ht="12.75" customHeight="1">
      <c r="A2499" s="117"/>
      <c r="B2499" s="117"/>
      <c r="C2499" s="117"/>
      <c r="D2499" s="117"/>
      <c r="E2499" s="117"/>
      <c r="F2499" s="117"/>
      <c r="G2499" s="117"/>
      <c r="H2499" s="117"/>
      <c r="I2499" s="117"/>
      <c r="J2499" s="117"/>
      <c r="K2499" s="117"/>
      <c r="L2499" s="117"/>
      <c r="M2499" s="117"/>
      <c r="N2499" s="117"/>
      <c r="O2499" s="117"/>
      <c r="P2499" s="117"/>
      <c r="Q2499" s="117"/>
      <c r="R2499" s="117"/>
      <c r="S2499" s="117"/>
      <c r="T2499" s="117"/>
      <c r="U2499" s="117"/>
      <c r="V2499" s="117"/>
      <c r="W2499" s="117"/>
      <c r="X2499" s="117"/>
      <c r="Y2499" s="117"/>
      <c r="Z2499" s="117"/>
      <c r="AA2499" s="117"/>
      <c r="AB2499" s="117"/>
      <c r="AC2499" s="117"/>
      <c r="AD2499" s="117"/>
      <c r="AE2499" s="117"/>
      <c r="AF2499" s="117"/>
      <c r="AG2499" s="117"/>
      <c r="AH2499" s="117"/>
      <c r="AI2499" s="117"/>
      <c r="AJ2499" s="117"/>
      <c r="AK2499" s="117"/>
      <c r="AL2499" s="117"/>
      <c r="AM2499" s="117"/>
      <c r="AN2499" s="117"/>
      <c r="AO2499" s="117"/>
    </row>
    <row r="2500" ht="12.75" customHeight="1">
      <c r="A2500" s="117"/>
      <c r="B2500" s="117"/>
      <c r="C2500" s="117"/>
      <c r="D2500" s="117"/>
      <c r="E2500" s="117"/>
      <c r="F2500" s="117"/>
      <c r="G2500" s="117"/>
      <c r="H2500" s="117"/>
      <c r="I2500" s="117"/>
      <c r="J2500" s="117"/>
      <c r="K2500" s="117"/>
      <c r="L2500" s="117"/>
      <c r="M2500" s="117"/>
      <c r="N2500" s="117"/>
      <c r="O2500" s="117"/>
      <c r="P2500" s="117"/>
      <c r="Q2500" s="117"/>
      <c r="R2500" s="117"/>
      <c r="S2500" s="117"/>
      <c r="T2500" s="117"/>
      <c r="U2500" s="117"/>
      <c r="V2500" s="117"/>
      <c r="W2500" s="117"/>
      <c r="X2500" s="117"/>
      <c r="Y2500" s="117"/>
      <c r="Z2500" s="117"/>
      <c r="AA2500" s="117"/>
      <c r="AB2500" s="117"/>
      <c r="AC2500" s="117"/>
      <c r="AD2500" s="117"/>
      <c r="AE2500" s="117"/>
      <c r="AF2500" s="117"/>
      <c r="AG2500" s="117"/>
      <c r="AH2500" s="117"/>
      <c r="AI2500" s="117"/>
      <c r="AJ2500" s="117"/>
      <c r="AK2500" s="117"/>
      <c r="AL2500" s="117"/>
      <c r="AM2500" s="117"/>
      <c r="AN2500" s="117"/>
      <c r="AO2500" s="117"/>
    </row>
    <row r="2501" ht="12.75" customHeight="1">
      <c r="A2501" s="117"/>
      <c r="B2501" s="117"/>
      <c r="C2501" s="117"/>
      <c r="D2501" s="117"/>
      <c r="E2501" s="117"/>
      <c r="F2501" s="117"/>
      <c r="G2501" s="117"/>
      <c r="H2501" s="117"/>
      <c r="I2501" s="117"/>
      <c r="J2501" s="117"/>
      <c r="K2501" s="117"/>
      <c r="L2501" s="117"/>
      <c r="M2501" s="117"/>
      <c r="N2501" s="117"/>
      <c r="O2501" s="117"/>
      <c r="P2501" s="117"/>
      <c r="Q2501" s="117"/>
      <c r="R2501" s="117"/>
      <c r="S2501" s="117"/>
      <c r="T2501" s="117"/>
      <c r="U2501" s="117"/>
      <c r="V2501" s="117"/>
      <c r="W2501" s="117"/>
      <c r="X2501" s="117"/>
      <c r="Y2501" s="117"/>
      <c r="Z2501" s="117"/>
      <c r="AA2501" s="117"/>
      <c r="AB2501" s="117"/>
      <c r="AC2501" s="117"/>
      <c r="AD2501" s="117"/>
      <c r="AE2501" s="117"/>
      <c r="AF2501" s="117"/>
      <c r="AG2501" s="117"/>
      <c r="AH2501" s="117"/>
      <c r="AI2501" s="117"/>
      <c r="AJ2501" s="117"/>
      <c r="AK2501" s="117"/>
      <c r="AL2501" s="117"/>
      <c r="AM2501" s="117"/>
      <c r="AN2501" s="117"/>
      <c r="AO2501" s="117"/>
    </row>
    <row r="2502" ht="12.75" customHeight="1">
      <c r="A2502" s="117"/>
      <c r="B2502" s="117"/>
      <c r="C2502" s="117"/>
      <c r="D2502" s="117"/>
      <c r="E2502" s="117"/>
      <c r="F2502" s="117"/>
      <c r="G2502" s="117"/>
      <c r="H2502" s="117"/>
      <c r="I2502" s="117"/>
      <c r="J2502" s="117"/>
      <c r="K2502" s="117"/>
      <c r="L2502" s="117"/>
      <c r="M2502" s="117"/>
      <c r="N2502" s="117"/>
      <c r="O2502" s="117"/>
      <c r="P2502" s="117"/>
      <c r="Q2502" s="117"/>
      <c r="R2502" s="117"/>
      <c r="S2502" s="117"/>
      <c r="T2502" s="117"/>
      <c r="U2502" s="117"/>
      <c r="V2502" s="117"/>
      <c r="W2502" s="117"/>
      <c r="X2502" s="117"/>
      <c r="Y2502" s="117"/>
      <c r="Z2502" s="117"/>
      <c r="AA2502" s="117"/>
      <c r="AB2502" s="117"/>
      <c r="AC2502" s="117"/>
      <c r="AD2502" s="117"/>
      <c r="AE2502" s="117"/>
      <c r="AF2502" s="117"/>
      <c r="AG2502" s="117"/>
      <c r="AH2502" s="117"/>
      <c r="AI2502" s="117"/>
      <c r="AJ2502" s="117"/>
      <c r="AK2502" s="117"/>
      <c r="AL2502" s="117"/>
      <c r="AM2502" s="117"/>
      <c r="AN2502" s="117"/>
      <c r="AO2502" s="117"/>
    </row>
    <row r="2503" ht="12.75" customHeight="1">
      <c r="A2503" s="117"/>
      <c r="B2503" s="117"/>
      <c r="C2503" s="117"/>
      <c r="D2503" s="117"/>
      <c r="E2503" s="117"/>
      <c r="F2503" s="117"/>
      <c r="G2503" s="117"/>
      <c r="H2503" s="117"/>
      <c r="I2503" s="117"/>
      <c r="J2503" s="117"/>
      <c r="K2503" s="117"/>
      <c r="L2503" s="117"/>
      <c r="M2503" s="117"/>
      <c r="N2503" s="117"/>
      <c r="O2503" s="117"/>
      <c r="P2503" s="117"/>
      <c r="Q2503" s="117"/>
      <c r="R2503" s="117"/>
      <c r="S2503" s="117"/>
      <c r="T2503" s="117"/>
      <c r="U2503" s="117"/>
      <c r="V2503" s="117"/>
      <c r="W2503" s="117"/>
      <c r="X2503" s="117"/>
      <c r="Y2503" s="117"/>
      <c r="Z2503" s="117"/>
      <c r="AA2503" s="117"/>
      <c r="AB2503" s="117"/>
      <c r="AC2503" s="117"/>
      <c r="AD2503" s="117"/>
      <c r="AE2503" s="117"/>
      <c r="AF2503" s="117"/>
      <c r="AG2503" s="117"/>
      <c r="AH2503" s="117"/>
      <c r="AI2503" s="117"/>
      <c r="AJ2503" s="117"/>
      <c r="AK2503" s="117"/>
      <c r="AL2503" s="117"/>
      <c r="AM2503" s="117"/>
      <c r="AN2503" s="117"/>
      <c r="AO2503" s="117"/>
    </row>
    <row r="2504" ht="12.75" customHeight="1">
      <c r="A2504" s="117"/>
      <c r="B2504" s="117"/>
      <c r="C2504" s="117"/>
      <c r="D2504" s="117"/>
      <c r="E2504" s="117"/>
      <c r="F2504" s="117"/>
      <c r="G2504" s="117"/>
      <c r="H2504" s="117"/>
      <c r="I2504" s="117"/>
      <c r="J2504" s="117"/>
      <c r="K2504" s="117"/>
      <c r="L2504" s="117"/>
      <c r="M2504" s="117"/>
      <c r="N2504" s="117"/>
      <c r="O2504" s="117"/>
      <c r="P2504" s="117"/>
      <c r="Q2504" s="117"/>
      <c r="R2504" s="117"/>
      <c r="S2504" s="117"/>
      <c r="T2504" s="117"/>
      <c r="U2504" s="117"/>
      <c r="V2504" s="117"/>
      <c r="W2504" s="117"/>
      <c r="X2504" s="117"/>
      <c r="Y2504" s="117"/>
      <c r="Z2504" s="117"/>
      <c r="AA2504" s="117"/>
      <c r="AB2504" s="117"/>
      <c r="AC2504" s="117"/>
      <c r="AD2504" s="117"/>
      <c r="AE2504" s="117"/>
      <c r="AF2504" s="117"/>
      <c r="AG2504" s="117"/>
      <c r="AH2504" s="117"/>
      <c r="AI2504" s="117"/>
      <c r="AJ2504" s="117"/>
      <c r="AK2504" s="117"/>
      <c r="AL2504" s="117"/>
      <c r="AM2504" s="117"/>
      <c r="AN2504" s="117"/>
      <c r="AO2504" s="117"/>
    </row>
    <row r="2505" ht="12.75" customHeight="1">
      <c r="A2505" s="117"/>
      <c r="B2505" s="117"/>
      <c r="C2505" s="117"/>
      <c r="D2505" s="117"/>
      <c r="E2505" s="117"/>
      <c r="F2505" s="117"/>
      <c r="G2505" s="117"/>
      <c r="H2505" s="117"/>
      <c r="I2505" s="117"/>
      <c r="J2505" s="117"/>
      <c r="K2505" s="117"/>
      <c r="L2505" s="117"/>
      <c r="M2505" s="117"/>
      <c r="N2505" s="117"/>
      <c r="O2505" s="117"/>
      <c r="P2505" s="117"/>
      <c r="Q2505" s="117"/>
      <c r="R2505" s="117"/>
      <c r="S2505" s="117"/>
      <c r="T2505" s="117"/>
      <c r="U2505" s="117"/>
      <c r="V2505" s="117"/>
      <c r="W2505" s="117"/>
      <c r="X2505" s="117"/>
      <c r="Y2505" s="117"/>
      <c r="Z2505" s="117"/>
      <c r="AA2505" s="117"/>
      <c r="AB2505" s="117"/>
      <c r="AC2505" s="117"/>
      <c r="AD2505" s="117"/>
      <c r="AE2505" s="117"/>
      <c r="AF2505" s="117"/>
      <c r="AG2505" s="117"/>
      <c r="AH2505" s="117"/>
      <c r="AI2505" s="117"/>
      <c r="AJ2505" s="117"/>
      <c r="AK2505" s="117"/>
      <c r="AL2505" s="117"/>
      <c r="AM2505" s="117"/>
      <c r="AN2505" s="117"/>
      <c r="AO2505" s="117"/>
    </row>
    <row r="2506" ht="12.75" customHeight="1">
      <c r="A2506" s="117"/>
      <c r="B2506" s="117"/>
      <c r="C2506" s="117"/>
      <c r="D2506" s="117"/>
      <c r="E2506" s="117"/>
      <c r="F2506" s="117"/>
      <c r="G2506" s="117"/>
      <c r="H2506" s="117"/>
      <c r="I2506" s="117"/>
      <c r="J2506" s="117"/>
      <c r="K2506" s="117"/>
      <c r="L2506" s="117"/>
      <c r="M2506" s="117"/>
      <c r="N2506" s="117"/>
      <c r="O2506" s="117"/>
      <c r="P2506" s="117"/>
      <c r="Q2506" s="117"/>
      <c r="R2506" s="117"/>
      <c r="S2506" s="117"/>
      <c r="T2506" s="117"/>
      <c r="U2506" s="117"/>
      <c r="V2506" s="117"/>
      <c r="W2506" s="117"/>
      <c r="X2506" s="117"/>
      <c r="Y2506" s="117"/>
      <c r="Z2506" s="117"/>
      <c r="AA2506" s="117"/>
      <c r="AB2506" s="117"/>
      <c r="AC2506" s="117"/>
      <c r="AD2506" s="117"/>
      <c r="AE2506" s="117"/>
      <c r="AF2506" s="117"/>
      <c r="AG2506" s="117"/>
      <c r="AH2506" s="117"/>
      <c r="AI2506" s="117"/>
      <c r="AJ2506" s="117"/>
      <c r="AK2506" s="117"/>
      <c r="AL2506" s="117"/>
      <c r="AM2506" s="117"/>
      <c r="AN2506" s="117"/>
      <c r="AO2506" s="117"/>
    </row>
    <row r="2507" ht="12.75" customHeight="1">
      <c r="A2507" s="117"/>
      <c r="B2507" s="117"/>
      <c r="C2507" s="117"/>
      <c r="D2507" s="117"/>
      <c r="E2507" s="117"/>
      <c r="F2507" s="117"/>
      <c r="G2507" s="117"/>
      <c r="H2507" s="117"/>
      <c r="I2507" s="117"/>
      <c r="J2507" s="117"/>
      <c r="K2507" s="117"/>
      <c r="L2507" s="117"/>
      <c r="M2507" s="117"/>
      <c r="N2507" s="117"/>
      <c r="O2507" s="117"/>
      <c r="P2507" s="117"/>
      <c r="Q2507" s="117"/>
      <c r="R2507" s="117"/>
      <c r="S2507" s="117"/>
      <c r="T2507" s="117"/>
      <c r="U2507" s="117"/>
      <c r="V2507" s="117"/>
      <c r="W2507" s="117"/>
      <c r="X2507" s="117"/>
      <c r="Y2507" s="117"/>
      <c r="Z2507" s="117"/>
      <c r="AA2507" s="117"/>
      <c r="AB2507" s="117"/>
      <c r="AC2507" s="117"/>
      <c r="AD2507" s="117"/>
      <c r="AE2507" s="117"/>
      <c r="AF2507" s="117"/>
      <c r="AG2507" s="117"/>
      <c r="AH2507" s="117"/>
      <c r="AI2507" s="117"/>
      <c r="AJ2507" s="117"/>
      <c r="AK2507" s="117"/>
      <c r="AL2507" s="117"/>
      <c r="AM2507" s="117"/>
      <c r="AN2507" s="117"/>
      <c r="AO2507" s="117"/>
    </row>
    <row r="2508" ht="12.75" customHeight="1">
      <c r="A2508" s="117"/>
      <c r="B2508" s="117"/>
      <c r="C2508" s="117"/>
      <c r="D2508" s="117"/>
      <c r="E2508" s="117"/>
      <c r="F2508" s="117"/>
      <c r="G2508" s="117"/>
      <c r="H2508" s="117"/>
      <c r="I2508" s="117"/>
      <c r="J2508" s="117"/>
      <c r="K2508" s="117"/>
      <c r="L2508" s="117"/>
      <c r="M2508" s="117"/>
      <c r="N2508" s="117"/>
      <c r="O2508" s="117"/>
      <c r="P2508" s="117"/>
      <c r="Q2508" s="117"/>
      <c r="R2508" s="117"/>
      <c r="S2508" s="117"/>
      <c r="T2508" s="117"/>
      <c r="U2508" s="117"/>
      <c r="V2508" s="117"/>
      <c r="W2508" s="117"/>
      <c r="X2508" s="117"/>
      <c r="Y2508" s="117"/>
      <c r="Z2508" s="117"/>
      <c r="AA2508" s="117"/>
      <c r="AB2508" s="117"/>
      <c r="AC2508" s="117"/>
      <c r="AD2508" s="117"/>
      <c r="AE2508" s="117"/>
      <c r="AF2508" s="117"/>
      <c r="AG2508" s="117"/>
      <c r="AH2508" s="117"/>
      <c r="AI2508" s="117"/>
      <c r="AJ2508" s="117"/>
      <c r="AK2508" s="117"/>
      <c r="AL2508" s="117"/>
      <c r="AM2508" s="117"/>
      <c r="AN2508" s="117"/>
      <c r="AO2508" s="117"/>
    </row>
    <row r="2509" ht="12.75" customHeight="1">
      <c r="A2509" s="117"/>
      <c r="B2509" s="117"/>
      <c r="C2509" s="117"/>
      <c r="D2509" s="117"/>
      <c r="E2509" s="117"/>
      <c r="F2509" s="117"/>
      <c r="G2509" s="117"/>
      <c r="H2509" s="117"/>
      <c r="I2509" s="117"/>
      <c r="J2509" s="117"/>
      <c r="K2509" s="117"/>
      <c r="L2509" s="117"/>
      <c r="M2509" s="117"/>
      <c r="N2509" s="117"/>
      <c r="O2509" s="117"/>
      <c r="P2509" s="117"/>
      <c r="Q2509" s="117"/>
      <c r="R2509" s="117"/>
      <c r="S2509" s="117"/>
      <c r="T2509" s="117"/>
      <c r="U2509" s="117"/>
      <c r="V2509" s="117"/>
      <c r="W2509" s="117"/>
      <c r="X2509" s="117"/>
      <c r="Y2509" s="117"/>
      <c r="Z2509" s="117"/>
      <c r="AA2509" s="117"/>
      <c r="AB2509" s="117"/>
      <c r="AC2509" s="117"/>
      <c r="AD2509" s="117"/>
      <c r="AE2509" s="117"/>
      <c r="AF2509" s="117"/>
      <c r="AG2509" s="117"/>
      <c r="AH2509" s="117"/>
      <c r="AI2509" s="117"/>
      <c r="AJ2509" s="117"/>
      <c r="AK2509" s="117"/>
      <c r="AL2509" s="117"/>
      <c r="AM2509" s="117"/>
      <c r="AN2509" s="117"/>
      <c r="AO2509" s="117"/>
    </row>
    <row r="2510" ht="12.75" customHeight="1">
      <c r="A2510" s="117"/>
      <c r="B2510" s="117"/>
      <c r="C2510" s="117"/>
      <c r="D2510" s="117"/>
      <c r="E2510" s="117"/>
      <c r="F2510" s="117"/>
      <c r="G2510" s="117"/>
      <c r="H2510" s="117"/>
      <c r="I2510" s="117"/>
      <c r="J2510" s="117"/>
      <c r="K2510" s="117"/>
      <c r="L2510" s="117"/>
      <c r="M2510" s="117"/>
      <c r="N2510" s="117"/>
      <c r="O2510" s="117"/>
      <c r="P2510" s="117"/>
      <c r="Q2510" s="117"/>
      <c r="R2510" s="117"/>
      <c r="S2510" s="117"/>
      <c r="T2510" s="117"/>
      <c r="U2510" s="117"/>
      <c r="V2510" s="117"/>
      <c r="W2510" s="117"/>
      <c r="X2510" s="117"/>
      <c r="Y2510" s="117"/>
      <c r="Z2510" s="117"/>
      <c r="AA2510" s="117"/>
      <c r="AB2510" s="117"/>
      <c r="AC2510" s="117"/>
      <c r="AD2510" s="117"/>
      <c r="AE2510" s="117"/>
      <c r="AF2510" s="117"/>
      <c r="AG2510" s="117"/>
      <c r="AH2510" s="117"/>
      <c r="AI2510" s="117"/>
      <c r="AJ2510" s="117"/>
      <c r="AK2510" s="117"/>
      <c r="AL2510" s="117"/>
      <c r="AM2510" s="117"/>
      <c r="AN2510" s="117"/>
      <c r="AO2510" s="117"/>
    </row>
    <row r="2511" ht="12.75" customHeight="1">
      <c r="A2511" s="117"/>
      <c r="B2511" s="117"/>
      <c r="C2511" s="117"/>
      <c r="D2511" s="117"/>
      <c r="E2511" s="117"/>
      <c r="F2511" s="117"/>
      <c r="G2511" s="117"/>
      <c r="H2511" s="117"/>
      <c r="I2511" s="117"/>
      <c r="J2511" s="117"/>
      <c r="K2511" s="117"/>
      <c r="L2511" s="117"/>
      <c r="M2511" s="117"/>
      <c r="N2511" s="117"/>
      <c r="O2511" s="117"/>
      <c r="P2511" s="117"/>
      <c r="Q2511" s="117"/>
      <c r="R2511" s="117"/>
      <c r="S2511" s="117"/>
      <c r="T2511" s="117"/>
      <c r="U2511" s="117"/>
      <c r="V2511" s="117"/>
      <c r="W2511" s="117"/>
      <c r="X2511" s="117"/>
      <c r="Y2511" s="117"/>
      <c r="Z2511" s="117"/>
      <c r="AA2511" s="117"/>
      <c r="AB2511" s="117"/>
      <c r="AC2511" s="117"/>
      <c r="AD2511" s="117"/>
      <c r="AE2511" s="117"/>
      <c r="AF2511" s="117"/>
      <c r="AG2511" s="117"/>
      <c r="AH2511" s="117"/>
      <c r="AI2511" s="117"/>
      <c r="AJ2511" s="117"/>
      <c r="AK2511" s="117"/>
      <c r="AL2511" s="117"/>
      <c r="AM2511" s="117"/>
      <c r="AN2511" s="117"/>
      <c r="AO2511" s="117"/>
    </row>
    <row r="2512" ht="12.75" customHeight="1">
      <c r="A2512" s="117"/>
      <c r="B2512" s="117"/>
      <c r="C2512" s="117"/>
      <c r="D2512" s="117"/>
      <c r="E2512" s="117"/>
      <c r="F2512" s="117"/>
      <c r="G2512" s="117"/>
      <c r="H2512" s="117"/>
      <c r="I2512" s="117"/>
      <c r="J2512" s="117"/>
      <c r="K2512" s="117"/>
      <c r="L2512" s="117"/>
      <c r="M2512" s="117"/>
      <c r="N2512" s="117"/>
      <c r="O2512" s="117"/>
      <c r="P2512" s="117"/>
      <c r="Q2512" s="117"/>
      <c r="R2512" s="117"/>
      <c r="S2512" s="117"/>
      <c r="T2512" s="117"/>
      <c r="U2512" s="117"/>
      <c r="V2512" s="117"/>
      <c r="W2512" s="117"/>
      <c r="X2512" s="117"/>
      <c r="Y2512" s="117"/>
      <c r="Z2512" s="117"/>
      <c r="AA2512" s="117"/>
      <c r="AB2512" s="117"/>
      <c r="AC2512" s="117"/>
      <c r="AD2512" s="117"/>
      <c r="AE2512" s="117"/>
      <c r="AF2512" s="117"/>
      <c r="AG2512" s="117"/>
      <c r="AH2512" s="117"/>
      <c r="AI2512" s="117"/>
      <c r="AJ2512" s="117"/>
      <c r="AK2512" s="117"/>
      <c r="AL2512" s="117"/>
      <c r="AM2512" s="117"/>
      <c r="AN2512" s="117"/>
      <c r="AO2512" s="117"/>
    </row>
    <row r="2513" ht="12.75" customHeight="1">
      <c r="A2513" s="117"/>
      <c r="B2513" s="117"/>
      <c r="C2513" s="117"/>
      <c r="D2513" s="117"/>
      <c r="E2513" s="117"/>
      <c r="F2513" s="117"/>
      <c r="G2513" s="117"/>
      <c r="H2513" s="117"/>
      <c r="I2513" s="117"/>
      <c r="J2513" s="117"/>
      <c r="K2513" s="117"/>
      <c r="L2513" s="117"/>
      <c r="M2513" s="117"/>
      <c r="N2513" s="117"/>
      <c r="O2513" s="117"/>
      <c r="P2513" s="117"/>
      <c r="Q2513" s="117"/>
      <c r="R2513" s="117"/>
      <c r="S2513" s="117"/>
      <c r="T2513" s="117"/>
      <c r="U2513" s="117"/>
      <c r="V2513" s="117"/>
      <c r="W2513" s="117"/>
      <c r="X2513" s="117"/>
      <c r="Y2513" s="117"/>
      <c r="Z2513" s="117"/>
      <c r="AA2513" s="117"/>
      <c r="AB2513" s="117"/>
      <c r="AC2513" s="117"/>
      <c r="AD2513" s="117"/>
      <c r="AE2513" s="117"/>
      <c r="AF2513" s="117"/>
      <c r="AG2513" s="117"/>
      <c r="AH2513" s="117"/>
      <c r="AI2513" s="117"/>
      <c r="AJ2513" s="117"/>
      <c r="AK2513" s="117"/>
      <c r="AL2513" s="117"/>
      <c r="AM2513" s="117"/>
      <c r="AN2513" s="117"/>
      <c r="AO2513" s="117"/>
    </row>
    <row r="2514" ht="12.75" customHeight="1">
      <c r="A2514" s="117"/>
      <c r="B2514" s="117"/>
      <c r="C2514" s="117"/>
      <c r="D2514" s="117"/>
      <c r="E2514" s="117"/>
      <c r="F2514" s="117"/>
      <c r="G2514" s="117"/>
      <c r="H2514" s="117"/>
      <c r="I2514" s="117"/>
      <c r="J2514" s="117"/>
      <c r="K2514" s="117"/>
      <c r="L2514" s="117"/>
      <c r="M2514" s="117"/>
      <c r="N2514" s="117"/>
      <c r="O2514" s="117"/>
      <c r="P2514" s="117"/>
      <c r="Q2514" s="117"/>
      <c r="R2514" s="117"/>
      <c r="S2514" s="117"/>
      <c r="T2514" s="117"/>
      <c r="U2514" s="117"/>
      <c r="V2514" s="117"/>
      <c r="W2514" s="117"/>
      <c r="X2514" s="117"/>
      <c r="Y2514" s="117"/>
      <c r="Z2514" s="117"/>
      <c r="AA2514" s="117"/>
      <c r="AB2514" s="117"/>
      <c r="AC2514" s="117"/>
      <c r="AD2514" s="117"/>
      <c r="AE2514" s="117"/>
      <c r="AF2514" s="117"/>
      <c r="AG2514" s="117"/>
      <c r="AH2514" s="117"/>
      <c r="AI2514" s="117"/>
      <c r="AJ2514" s="117"/>
      <c r="AK2514" s="117"/>
      <c r="AL2514" s="117"/>
      <c r="AM2514" s="117"/>
      <c r="AN2514" s="117"/>
      <c r="AO2514" s="117"/>
    </row>
    <row r="2515" ht="12.75" customHeight="1">
      <c r="A2515" s="117"/>
      <c r="B2515" s="117"/>
      <c r="C2515" s="117"/>
      <c r="D2515" s="117"/>
      <c r="E2515" s="117"/>
      <c r="F2515" s="117"/>
      <c r="G2515" s="117"/>
      <c r="H2515" s="117"/>
      <c r="I2515" s="117"/>
      <c r="J2515" s="117"/>
      <c r="K2515" s="117"/>
      <c r="L2515" s="117"/>
      <c r="M2515" s="117"/>
      <c r="N2515" s="117"/>
      <c r="O2515" s="117"/>
      <c r="P2515" s="117"/>
      <c r="Q2515" s="117"/>
      <c r="R2515" s="117"/>
      <c r="S2515" s="117"/>
      <c r="T2515" s="117"/>
      <c r="U2515" s="117"/>
      <c r="V2515" s="117"/>
      <c r="W2515" s="117"/>
      <c r="X2515" s="117"/>
      <c r="Y2515" s="117"/>
      <c r="Z2515" s="117"/>
      <c r="AA2515" s="117"/>
      <c r="AB2515" s="117"/>
      <c r="AC2515" s="117"/>
      <c r="AD2515" s="117"/>
      <c r="AE2515" s="117"/>
      <c r="AF2515" s="117"/>
      <c r="AG2515" s="117"/>
      <c r="AH2515" s="117"/>
      <c r="AI2515" s="117"/>
      <c r="AJ2515" s="117"/>
      <c r="AK2515" s="117"/>
      <c r="AL2515" s="117"/>
      <c r="AM2515" s="117"/>
      <c r="AN2515" s="117"/>
      <c r="AO2515" s="117"/>
    </row>
    <row r="2516" ht="12.75" customHeight="1">
      <c r="A2516" s="117"/>
      <c r="B2516" s="117"/>
      <c r="C2516" s="117"/>
      <c r="D2516" s="117"/>
      <c r="E2516" s="117"/>
      <c r="F2516" s="117"/>
      <c r="G2516" s="117"/>
      <c r="H2516" s="117"/>
      <c r="I2516" s="117"/>
      <c r="J2516" s="117"/>
      <c r="K2516" s="117"/>
      <c r="L2516" s="117"/>
      <c r="M2516" s="117"/>
      <c r="N2516" s="117"/>
      <c r="O2516" s="117"/>
      <c r="P2516" s="117"/>
      <c r="Q2516" s="117"/>
      <c r="R2516" s="117"/>
      <c r="S2516" s="117"/>
      <c r="T2516" s="117"/>
      <c r="U2516" s="117"/>
      <c r="V2516" s="117"/>
      <c r="W2516" s="117"/>
      <c r="X2516" s="117"/>
      <c r="Y2516" s="117"/>
      <c r="Z2516" s="117"/>
      <c r="AA2516" s="117"/>
      <c r="AB2516" s="117"/>
      <c r="AC2516" s="117"/>
      <c r="AD2516" s="117"/>
      <c r="AE2516" s="117"/>
      <c r="AF2516" s="117"/>
      <c r="AG2516" s="117"/>
      <c r="AH2516" s="117"/>
      <c r="AI2516" s="117"/>
      <c r="AJ2516" s="117"/>
      <c r="AK2516" s="117"/>
      <c r="AL2516" s="117"/>
      <c r="AM2516" s="117"/>
      <c r="AN2516" s="117"/>
      <c r="AO2516" s="117"/>
    </row>
    <row r="2517" ht="12.75" customHeight="1">
      <c r="A2517" s="117"/>
      <c r="B2517" s="117"/>
      <c r="C2517" s="117"/>
      <c r="D2517" s="117"/>
      <c r="E2517" s="117"/>
      <c r="F2517" s="117"/>
      <c r="G2517" s="117"/>
      <c r="H2517" s="117"/>
      <c r="I2517" s="117"/>
      <c r="J2517" s="117"/>
      <c r="K2517" s="117"/>
      <c r="L2517" s="117"/>
      <c r="M2517" s="117"/>
      <c r="N2517" s="117"/>
      <c r="O2517" s="117"/>
      <c r="P2517" s="117"/>
      <c r="Q2517" s="117"/>
      <c r="R2517" s="117"/>
      <c r="S2517" s="117"/>
      <c r="T2517" s="117"/>
      <c r="U2517" s="117"/>
      <c r="V2517" s="117"/>
      <c r="W2517" s="117"/>
      <c r="X2517" s="117"/>
      <c r="Y2517" s="117"/>
      <c r="Z2517" s="117"/>
      <c r="AA2517" s="117"/>
      <c r="AB2517" s="117"/>
      <c r="AC2517" s="117"/>
      <c r="AD2517" s="117"/>
      <c r="AE2517" s="117"/>
      <c r="AF2517" s="117"/>
      <c r="AG2517" s="117"/>
      <c r="AH2517" s="117"/>
      <c r="AI2517" s="117"/>
      <c r="AJ2517" s="117"/>
      <c r="AK2517" s="117"/>
      <c r="AL2517" s="117"/>
      <c r="AM2517" s="117"/>
      <c r="AN2517" s="117"/>
      <c r="AO2517" s="117"/>
    </row>
    <row r="2518" ht="12.75" customHeight="1">
      <c r="A2518" s="117"/>
      <c r="B2518" s="117"/>
      <c r="C2518" s="117"/>
      <c r="D2518" s="117"/>
      <c r="E2518" s="117"/>
      <c r="F2518" s="117"/>
      <c r="G2518" s="117"/>
      <c r="H2518" s="117"/>
      <c r="I2518" s="117"/>
      <c r="J2518" s="117"/>
      <c r="K2518" s="117"/>
      <c r="L2518" s="117"/>
      <c r="M2518" s="117"/>
      <c r="N2518" s="117"/>
      <c r="O2518" s="117"/>
      <c r="P2518" s="117"/>
      <c r="Q2518" s="117"/>
      <c r="R2518" s="117"/>
      <c r="S2518" s="117"/>
      <c r="T2518" s="117"/>
      <c r="U2518" s="117"/>
      <c r="V2518" s="117"/>
      <c r="W2518" s="117"/>
      <c r="X2518" s="117"/>
      <c r="Y2518" s="117"/>
      <c r="Z2518" s="117"/>
      <c r="AA2518" s="117"/>
      <c r="AB2518" s="117"/>
      <c r="AC2518" s="117"/>
      <c r="AD2518" s="117"/>
      <c r="AE2518" s="117"/>
      <c r="AF2518" s="117"/>
      <c r="AG2518" s="117"/>
      <c r="AH2518" s="117"/>
      <c r="AI2518" s="117"/>
      <c r="AJ2518" s="117"/>
      <c r="AK2518" s="117"/>
      <c r="AL2518" s="117"/>
      <c r="AM2518" s="117"/>
      <c r="AN2518" s="117"/>
      <c r="AO2518" s="117"/>
    </row>
    <row r="2519" ht="12.75" customHeight="1">
      <c r="A2519" s="117"/>
      <c r="B2519" s="117"/>
      <c r="C2519" s="117"/>
      <c r="D2519" s="117"/>
      <c r="E2519" s="117"/>
      <c r="F2519" s="117"/>
      <c r="G2519" s="117"/>
      <c r="H2519" s="117"/>
      <c r="I2519" s="117"/>
      <c r="J2519" s="117"/>
      <c r="K2519" s="117"/>
      <c r="L2519" s="117"/>
      <c r="M2519" s="117"/>
      <c r="N2519" s="117"/>
      <c r="O2519" s="117"/>
      <c r="P2519" s="117"/>
      <c r="Q2519" s="117"/>
      <c r="R2519" s="117"/>
      <c r="S2519" s="117"/>
      <c r="T2519" s="117"/>
      <c r="U2519" s="117"/>
      <c r="V2519" s="117"/>
      <c r="W2519" s="117"/>
      <c r="X2519" s="117"/>
      <c r="Y2519" s="117"/>
      <c r="Z2519" s="117"/>
      <c r="AA2519" s="117"/>
      <c r="AB2519" s="117"/>
      <c r="AC2519" s="117"/>
      <c r="AD2519" s="117"/>
      <c r="AE2519" s="117"/>
      <c r="AF2519" s="117"/>
      <c r="AG2519" s="117"/>
      <c r="AH2519" s="117"/>
      <c r="AI2519" s="117"/>
      <c r="AJ2519" s="117"/>
      <c r="AK2519" s="117"/>
      <c r="AL2519" s="117"/>
      <c r="AM2519" s="117"/>
      <c r="AN2519" s="117"/>
      <c r="AO2519" s="117"/>
    </row>
    <row r="2520" ht="12.75" customHeight="1">
      <c r="A2520" s="117"/>
      <c r="B2520" s="117"/>
      <c r="C2520" s="117"/>
      <c r="D2520" s="117"/>
      <c r="E2520" s="117"/>
      <c r="F2520" s="117"/>
      <c r="G2520" s="117"/>
      <c r="H2520" s="117"/>
      <c r="I2520" s="117"/>
      <c r="J2520" s="117"/>
      <c r="K2520" s="117"/>
      <c r="L2520" s="117"/>
      <c r="M2520" s="117"/>
      <c r="N2520" s="117"/>
      <c r="O2520" s="117"/>
      <c r="P2520" s="117"/>
      <c r="Q2520" s="117"/>
      <c r="R2520" s="117"/>
      <c r="S2520" s="117"/>
      <c r="T2520" s="117"/>
      <c r="U2520" s="117"/>
      <c r="V2520" s="117"/>
      <c r="W2520" s="117"/>
      <c r="X2520" s="117"/>
      <c r="Y2520" s="117"/>
      <c r="Z2520" s="117"/>
      <c r="AA2520" s="117"/>
      <c r="AB2520" s="117"/>
      <c r="AC2520" s="117"/>
      <c r="AD2520" s="117"/>
      <c r="AE2520" s="117"/>
      <c r="AF2520" s="117"/>
      <c r="AG2520" s="117"/>
      <c r="AH2520" s="117"/>
      <c r="AI2520" s="117"/>
      <c r="AJ2520" s="117"/>
      <c r="AK2520" s="117"/>
      <c r="AL2520" s="117"/>
      <c r="AM2520" s="117"/>
      <c r="AN2520" s="117"/>
      <c r="AO2520" s="117"/>
    </row>
    <row r="2521" ht="12.75" customHeight="1">
      <c r="A2521" s="117"/>
      <c r="B2521" s="117"/>
      <c r="C2521" s="117"/>
      <c r="D2521" s="117"/>
      <c r="E2521" s="117"/>
      <c r="F2521" s="117"/>
      <c r="G2521" s="117"/>
      <c r="H2521" s="117"/>
      <c r="I2521" s="117"/>
      <c r="J2521" s="117"/>
      <c r="K2521" s="117"/>
      <c r="L2521" s="117"/>
      <c r="M2521" s="117"/>
      <c r="N2521" s="117"/>
      <c r="O2521" s="117"/>
      <c r="P2521" s="117"/>
      <c r="Q2521" s="117"/>
      <c r="R2521" s="117"/>
      <c r="S2521" s="117"/>
      <c r="T2521" s="117"/>
      <c r="U2521" s="117"/>
      <c r="V2521" s="117"/>
      <c r="W2521" s="117"/>
      <c r="X2521" s="117"/>
      <c r="Y2521" s="117"/>
      <c r="Z2521" s="117"/>
      <c r="AA2521" s="117"/>
      <c r="AB2521" s="117"/>
      <c r="AC2521" s="117"/>
      <c r="AD2521" s="117"/>
      <c r="AE2521" s="117"/>
      <c r="AF2521" s="117"/>
      <c r="AG2521" s="117"/>
      <c r="AH2521" s="117"/>
      <c r="AI2521" s="117"/>
      <c r="AJ2521" s="117"/>
      <c r="AK2521" s="117"/>
      <c r="AL2521" s="117"/>
      <c r="AM2521" s="117"/>
      <c r="AN2521" s="117"/>
      <c r="AO2521" s="117"/>
    </row>
    <row r="2522" ht="12.75" customHeight="1">
      <c r="A2522" s="117"/>
      <c r="B2522" s="117"/>
      <c r="C2522" s="117"/>
      <c r="D2522" s="117"/>
      <c r="E2522" s="117"/>
      <c r="F2522" s="117"/>
      <c r="G2522" s="117"/>
      <c r="H2522" s="117"/>
      <c r="I2522" s="117"/>
      <c r="J2522" s="117"/>
      <c r="K2522" s="117"/>
      <c r="L2522" s="117"/>
      <c r="M2522" s="117"/>
      <c r="N2522" s="117"/>
      <c r="O2522" s="117"/>
      <c r="P2522" s="117"/>
      <c r="Q2522" s="117"/>
      <c r="R2522" s="117"/>
      <c r="S2522" s="117"/>
      <c r="T2522" s="117"/>
      <c r="U2522" s="117"/>
      <c r="V2522" s="117"/>
      <c r="W2522" s="117"/>
      <c r="X2522" s="117"/>
      <c r="Y2522" s="117"/>
      <c r="Z2522" s="117"/>
      <c r="AA2522" s="117"/>
      <c r="AB2522" s="117"/>
      <c r="AC2522" s="117"/>
      <c r="AD2522" s="117"/>
      <c r="AE2522" s="117"/>
      <c r="AF2522" s="117"/>
      <c r="AG2522" s="117"/>
      <c r="AH2522" s="117"/>
      <c r="AI2522" s="117"/>
      <c r="AJ2522" s="117"/>
      <c r="AK2522" s="117"/>
      <c r="AL2522" s="117"/>
      <c r="AM2522" s="117"/>
      <c r="AN2522" s="117"/>
      <c r="AO2522" s="117"/>
    </row>
    <row r="2523" ht="12.75" customHeight="1">
      <c r="A2523" s="117"/>
      <c r="B2523" s="117"/>
      <c r="C2523" s="117"/>
      <c r="D2523" s="117"/>
      <c r="E2523" s="117"/>
      <c r="F2523" s="117"/>
      <c r="G2523" s="117"/>
      <c r="H2523" s="117"/>
      <c r="I2523" s="117"/>
      <c r="J2523" s="117"/>
      <c r="K2523" s="117"/>
      <c r="L2523" s="117"/>
      <c r="M2523" s="117"/>
      <c r="N2523" s="117"/>
      <c r="O2523" s="117"/>
      <c r="P2523" s="117"/>
      <c r="Q2523" s="117"/>
      <c r="R2523" s="117"/>
      <c r="S2523" s="117"/>
      <c r="T2523" s="117"/>
      <c r="U2523" s="117"/>
      <c r="V2523" s="117"/>
      <c r="W2523" s="117"/>
      <c r="X2523" s="117"/>
      <c r="Y2523" s="117"/>
      <c r="Z2523" s="117"/>
      <c r="AA2523" s="117"/>
      <c r="AB2523" s="117"/>
      <c r="AC2523" s="117"/>
      <c r="AD2523" s="117"/>
      <c r="AE2523" s="117"/>
      <c r="AF2523" s="117"/>
      <c r="AG2523" s="117"/>
      <c r="AH2523" s="117"/>
      <c r="AI2523" s="117"/>
      <c r="AJ2523" s="117"/>
      <c r="AK2523" s="117"/>
      <c r="AL2523" s="117"/>
      <c r="AM2523" s="117"/>
      <c r="AN2523" s="117"/>
      <c r="AO2523" s="117"/>
    </row>
    <row r="2524" ht="12.75" customHeight="1">
      <c r="A2524" s="117"/>
      <c r="B2524" s="117"/>
      <c r="C2524" s="117"/>
      <c r="D2524" s="117"/>
      <c r="E2524" s="117"/>
      <c r="F2524" s="117"/>
      <c r="G2524" s="117"/>
      <c r="H2524" s="117"/>
      <c r="I2524" s="117"/>
      <c r="J2524" s="117"/>
      <c r="K2524" s="117"/>
      <c r="L2524" s="117"/>
      <c r="M2524" s="117"/>
      <c r="N2524" s="117"/>
      <c r="O2524" s="117"/>
      <c r="P2524" s="117"/>
      <c r="Q2524" s="117"/>
      <c r="R2524" s="117"/>
      <c r="S2524" s="117"/>
      <c r="T2524" s="117"/>
      <c r="U2524" s="117"/>
      <c r="V2524" s="117"/>
      <c r="W2524" s="117"/>
      <c r="X2524" s="117"/>
      <c r="Y2524" s="117"/>
      <c r="Z2524" s="117"/>
      <c r="AA2524" s="117"/>
      <c r="AB2524" s="117"/>
      <c r="AC2524" s="117"/>
      <c r="AD2524" s="117"/>
      <c r="AE2524" s="117"/>
      <c r="AF2524" s="117"/>
      <c r="AG2524" s="117"/>
      <c r="AH2524" s="117"/>
      <c r="AI2524" s="117"/>
      <c r="AJ2524" s="117"/>
      <c r="AK2524" s="117"/>
      <c r="AL2524" s="117"/>
      <c r="AM2524" s="117"/>
      <c r="AN2524" s="117"/>
      <c r="AO2524" s="117"/>
    </row>
    <row r="2525" ht="12.75" customHeight="1">
      <c r="A2525" s="117"/>
      <c r="B2525" s="117"/>
      <c r="C2525" s="117"/>
      <c r="D2525" s="117"/>
      <c r="E2525" s="117"/>
      <c r="F2525" s="117"/>
      <c r="G2525" s="117"/>
      <c r="H2525" s="117"/>
      <c r="I2525" s="117"/>
      <c r="J2525" s="117"/>
      <c r="K2525" s="117"/>
      <c r="L2525" s="117"/>
      <c r="M2525" s="117"/>
      <c r="N2525" s="117"/>
      <c r="O2525" s="117"/>
      <c r="P2525" s="117"/>
      <c r="Q2525" s="117"/>
      <c r="R2525" s="117"/>
      <c r="S2525" s="117"/>
      <c r="T2525" s="117"/>
      <c r="U2525" s="117"/>
      <c r="V2525" s="117"/>
      <c r="W2525" s="117"/>
      <c r="X2525" s="117"/>
      <c r="Y2525" s="117"/>
      <c r="Z2525" s="117"/>
      <c r="AA2525" s="117"/>
      <c r="AB2525" s="117"/>
      <c r="AC2525" s="117"/>
      <c r="AD2525" s="117"/>
      <c r="AE2525" s="117"/>
      <c r="AF2525" s="117"/>
      <c r="AG2525" s="117"/>
      <c r="AH2525" s="117"/>
      <c r="AI2525" s="117"/>
      <c r="AJ2525" s="117"/>
      <c r="AK2525" s="117"/>
      <c r="AL2525" s="117"/>
      <c r="AM2525" s="117"/>
      <c r="AN2525" s="117"/>
      <c r="AO2525" s="117"/>
    </row>
    <row r="2526" ht="12.75" customHeight="1">
      <c r="A2526" s="117"/>
      <c r="B2526" s="117"/>
      <c r="C2526" s="117"/>
      <c r="D2526" s="117"/>
      <c r="E2526" s="117"/>
      <c r="F2526" s="117"/>
      <c r="G2526" s="117"/>
      <c r="H2526" s="117"/>
      <c r="I2526" s="117"/>
      <c r="J2526" s="117"/>
      <c r="K2526" s="117"/>
      <c r="L2526" s="117"/>
      <c r="M2526" s="117"/>
      <c r="N2526" s="117"/>
      <c r="O2526" s="117"/>
      <c r="P2526" s="117"/>
      <c r="Q2526" s="117"/>
      <c r="R2526" s="117"/>
      <c r="S2526" s="117"/>
      <c r="T2526" s="117"/>
      <c r="U2526" s="117"/>
      <c r="V2526" s="117"/>
      <c r="W2526" s="117"/>
      <c r="X2526" s="117"/>
      <c r="Y2526" s="117"/>
      <c r="Z2526" s="117"/>
      <c r="AA2526" s="117"/>
      <c r="AB2526" s="117"/>
      <c r="AC2526" s="117"/>
      <c r="AD2526" s="117"/>
      <c r="AE2526" s="117"/>
      <c r="AF2526" s="117"/>
      <c r="AG2526" s="117"/>
      <c r="AH2526" s="117"/>
      <c r="AI2526" s="117"/>
      <c r="AJ2526" s="117"/>
      <c r="AK2526" s="117"/>
      <c r="AL2526" s="117"/>
      <c r="AM2526" s="117"/>
      <c r="AN2526" s="117"/>
      <c r="AO2526" s="117"/>
    </row>
    <row r="2527" ht="12.75" customHeight="1">
      <c r="A2527" s="117"/>
      <c r="B2527" s="117"/>
      <c r="C2527" s="117"/>
      <c r="D2527" s="117"/>
      <c r="E2527" s="117"/>
      <c r="F2527" s="117"/>
      <c r="G2527" s="117"/>
      <c r="H2527" s="117"/>
      <c r="I2527" s="117"/>
      <c r="J2527" s="117"/>
      <c r="K2527" s="117"/>
      <c r="L2527" s="117"/>
      <c r="M2527" s="117"/>
      <c r="N2527" s="117"/>
      <c r="O2527" s="117"/>
      <c r="P2527" s="117"/>
      <c r="Q2527" s="117"/>
      <c r="R2527" s="117"/>
      <c r="S2527" s="117"/>
      <c r="T2527" s="117"/>
      <c r="U2527" s="117"/>
      <c r="V2527" s="117"/>
      <c r="W2527" s="117"/>
      <c r="X2527" s="117"/>
      <c r="Y2527" s="117"/>
      <c r="Z2527" s="117"/>
      <c r="AA2527" s="117"/>
      <c r="AB2527" s="117"/>
      <c r="AC2527" s="117"/>
      <c r="AD2527" s="117"/>
      <c r="AE2527" s="117"/>
      <c r="AF2527" s="117"/>
      <c r="AG2527" s="117"/>
      <c r="AH2527" s="117"/>
      <c r="AI2527" s="117"/>
      <c r="AJ2527" s="117"/>
      <c r="AK2527" s="117"/>
      <c r="AL2527" s="117"/>
      <c r="AM2527" s="117"/>
      <c r="AN2527" s="117"/>
      <c r="AO2527" s="117"/>
    </row>
    <row r="2528" ht="12.75" customHeight="1">
      <c r="A2528" s="117"/>
      <c r="B2528" s="117"/>
      <c r="C2528" s="117"/>
      <c r="D2528" s="117"/>
      <c r="E2528" s="117"/>
      <c r="F2528" s="117"/>
      <c r="G2528" s="117"/>
      <c r="H2528" s="117"/>
      <c r="I2528" s="117"/>
      <c r="J2528" s="117"/>
      <c r="K2528" s="117"/>
      <c r="L2528" s="117"/>
      <c r="M2528" s="117"/>
      <c r="N2528" s="117"/>
      <c r="O2528" s="117"/>
      <c r="P2528" s="117"/>
      <c r="Q2528" s="117"/>
      <c r="R2528" s="117"/>
      <c r="S2528" s="117"/>
      <c r="T2528" s="117"/>
      <c r="U2528" s="117"/>
      <c r="V2528" s="117"/>
      <c r="W2528" s="117"/>
      <c r="X2528" s="117"/>
      <c r="Y2528" s="117"/>
      <c r="Z2528" s="117"/>
      <c r="AA2528" s="117"/>
      <c r="AB2528" s="117"/>
      <c r="AC2528" s="117"/>
      <c r="AD2528" s="117"/>
      <c r="AE2528" s="117"/>
      <c r="AF2528" s="117"/>
      <c r="AG2528" s="117"/>
      <c r="AH2528" s="117"/>
      <c r="AI2528" s="117"/>
      <c r="AJ2528" s="117"/>
      <c r="AK2528" s="117"/>
      <c r="AL2528" s="117"/>
      <c r="AM2528" s="117"/>
      <c r="AN2528" s="117"/>
      <c r="AO2528" s="117"/>
    </row>
    <row r="2529" ht="12.75" customHeight="1">
      <c r="A2529" s="117"/>
      <c r="B2529" s="117"/>
      <c r="C2529" s="117"/>
      <c r="D2529" s="117"/>
      <c r="E2529" s="117"/>
      <c r="F2529" s="117"/>
      <c r="G2529" s="117"/>
      <c r="H2529" s="117"/>
      <c r="I2529" s="117"/>
      <c r="J2529" s="117"/>
      <c r="K2529" s="117"/>
      <c r="L2529" s="117"/>
      <c r="M2529" s="117"/>
      <c r="N2529" s="117"/>
      <c r="O2529" s="117"/>
      <c r="P2529" s="117"/>
      <c r="Q2529" s="117"/>
      <c r="R2529" s="117"/>
      <c r="S2529" s="117"/>
      <c r="T2529" s="117"/>
      <c r="U2529" s="117"/>
      <c r="V2529" s="117"/>
      <c r="W2529" s="117"/>
      <c r="X2529" s="117"/>
      <c r="Y2529" s="117"/>
      <c r="Z2529" s="117"/>
      <c r="AA2529" s="117"/>
      <c r="AB2529" s="117"/>
      <c r="AC2529" s="117"/>
      <c r="AD2529" s="117"/>
      <c r="AE2529" s="117"/>
      <c r="AF2529" s="117"/>
      <c r="AG2529" s="117"/>
      <c r="AH2529" s="117"/>
      <c r="AI2529" s="117"/>
      <c r="AJ2529" s="117"/>
      <c r="AK2529" s="117"/>
      <c r="AL2529" s="117"/>
      <c r="AM2529" s="117"/>
      <c r="AN2529" s="117"/>
      <c r="AO2529" s="117"/>
    </row>
    <row r="2530" ht="12.75" customHeight="1">
      <c r="A2530" s="117"/>
      <c r="B2530" s="117"/>
      <c r="C2530" s="117"/>
      <c r="D2530" s="117"/>
      <c r="E2530" s="117"/>
      <c r="F2530" s="117"/>
      <c r="G2530" s="117"/>
      <c r="H2530" s="117"/>
      <c r="I2530" s="117"/>
      <c r="J2530" s="117"/>
      <c r="K2530" s="117"/>
      <c r="L2530" s="117"/>
      <c r="M2530" s="117"/>
      <c r="N2530" s="117"/>
      <c r="O2530" s="117"/>
      <c r="P2530" s="117"/>
      <c r="Q2530" s="117"/>
      <c r="R2530" s="117"/>
      <c r="S2530" s="117"/>
      <c r="T2530" s="117"/>
      <c r="U2530" s="117"/>
      <c r="V2530" s="117"/>
      <c r="W2530" s="117"/>
      <c r="X2530" s="117"/>
      <c r="Y2530" s="117"/>
      <c r="Z2530" s="117"/>
      <c r="AA2530" s="117"/>
      <c r="AB2530" s="117"/>
      <c r="AC2530" s="117"/>
      <c r="AD2530" s="117"/>
      <c r="AE2530" s="117"/>
      <c r="AF2530" s="117"/>
      <c r="AG2530" s="117"/>
      <c r="AH2530" s="117"/>
      <c r="AI2530" s="117"/>
      <c r="AJ2530" s="117"/>
      <c r="AK2530" s="117"/>
      <c r="AL2530" s="117"/>
      <c r="AM2530" s="117"/>
      <c r="AN2530" s="117"/>
      <c r="AO2530" s="117"/>
    </row>
    <row r="2531" ht="12.75" customHeight="1">
      <c r="A2531" s="117"/>
      <c r="B2531" s="117"/>
      <c r="C2531" s="117"/>
      <c r="D2531" s="117"/>
      <c r="E2531" s="117"/>
      <c r="F2531" s="117"/>
      <c r="G2531" s="117"/>
      <c r="H2531" s="117"/>
      <c r="I2531" s="117"/>
      <c r="J2531" s="117"/>
      <c r="K2531" s="117"/>
      <c r="L2531" s="117"/>
      <c r="M2531" s="117"/>
      <c r="N2531" s="117"/>
      <c r="O2531" s="117"/>
      <c r="P2531" s="117"/>
      <c r="Q2531" s="117"/>
      <c r="R2531" s="117"/>
      <c r="S2531" s="117"/>
      <c r="T2531" s="117"/>
      <c r="U2531" s="117"/>
      <c r="V2531" s="117"/>
      <c r="W2531" s="117"/>
      <c r="X2531" s="117"/>
      <c r="Y2531" s="117"/>
      <c r="Z2531" s="117"/>
      <c r="AA2531" s="117"/>
      <c r="AB2531" s="117"/>
      <c r="AC2531" s="117"/>
      <c r="AD2531" s="117"/>
      <c r="AE2531" s="117"/>
      <c r="AF2531" s="117"/>
      <c r="AG2531" s="117"/>
      <c r="AH2531" s="117"/>
      <c r="AI2531" s="117"/>
      <c r="AJ2531" s="117"/>
      <c r="AK2531" s="117"/>
      <c r="AL2531" s="117"/>
      <c r="AM2531" s="117"/>
      <c r="AN2531" s="117"/>
      <c r="AO2531" s="117"/>
    </row>
    <row r="2532" ht="12.75" customHeight="1">
      <c r="A2532" s="117"/>
      <c r="B2532" s="117"/>
      <c r="C2532" s="117"/>
      <c r="D2532" s="117"/>
      <c r="E2532" s="117"/>
      <c r="F2532" s="117"/>
      <c r="G2532" s="117"/>
      <c r="H2532" s="117"/>
      <c r="I2532" s="117"/>
      <c r="J2532" s="117"/>
      <c r="K2532" s="117"/>
      <c r="L2532" s="117"/>
      <c r="M2532" s="117"/>
      <c r="N2532" s="117"/>
      <c r="O2532" s="117"/>
      <c r="P2532" s="117"/>
      <c r="Q2532" s="117"/>
      <c r="R2532" s="117"/>
      <c r="S2532" s="117"/>
      <c r="T2532" s="117"/>
      <c r="U2532" s="117"/>
      <c r="V2532" s="117"/>
      <c r="W2532" s="117"/>
      <c r="X2532" s="117"/>
      <c r="Y2532" s="117"/>
      <c r="Z2532" s="117"/>
      <c r="AA2532" s="117"/>
      <c r="AB2532" s="117"/>
      <c r="AC2532" s="117"/>
      <c r="AD2532" s="117"/>
      <c r="AE2532" s="117"/>
      <c r="AF2532" s="117"/>
      <c r="AG2532" s="117"/>
      <c r="AH2532" s="117"/>
      <c r="AI2532" s="117"/>
      <c r="AJ2532" s="117"/>
      <c r="AK2532" s="117"/>
      <c r="AL2532" s="117"/>
      <c r="AM2532" s="117"/>
      <c r="AN2532" s="117"/>
      <c r="AO2532" s="117"/>
    </row>
    <row r="2533" ht="12.75" customHeight="1">
      <c r="A2533" s="117"/>
      <c r="B2533" s="117"/>
      <c r="C2533" s="117"/>
      <c r="D2533" s="117"/>
      <c r="E2533" s="117"/>
      <c r="F2533" s="117"/>
      <c r="G2533" s="117"/>
      <c r="H2533" s="117"/>
      <c r="I2533" s="117"/>
      <c r="J2533" s="117"/>
      <c r="K2533" s="117"/>
      <c r="L2533" s="117"/>
      <c r="M2533" s="117"/>
      <c r="N2533" s="117"/>
      <c r="O2533" s="117"/>
      <c r="P2533" s="117"/>
      <c r="Q2533" s="117"/>
      <c r="R2533" s="117"/>
      <c r="S2533" s="117"/>
      <c r="T2533" s="117"/>
      <c r="U2533" s="117"/>
      <c r="V2533" s="117"/>
      <c r="W2533" s="117"/>
      <c r="X2533" s="117"/>
      <c r="Y2533" s="117"/>
      <c r="Z2533" s="117"/>
      <c r="AA2533" s="117"/>
      <c r="AB2533" s="117"/>
      <c r="AC2533" s="117"/>
      <c r="AD2533" s="117"/>
      <c r="AE2533" s="117"/>
      <c r="AF2533" s="117"/>
      <c r="AG2533" s="117"/>
      <c r="AH2533" s="117"/>
      <c r="AI2533" s="117"/>
      <c r="AJ2533" s="117"/>
      <c r="AK2533" s="117"/>
      <c r="AL2533" s="117"/>
      <c r="AM2533" s="117"/>
      <c r="AN2533" s="117"/>
      <c r="AO2533" s="117"/>
    </row>
    <row r="2534" ht="12.75" customHeight="1">
      <c r="A2534" s="117"/>
      <c r="B2534" s="117"/>
      <c r="C2534" s="117"/>
      <c r="D2534" s="117"/>
      <c r="E2534" s="117"/>
      <c r="F2534" s="117"/>
      <c r="G2534" s="117"/>
      <c r="H2534" s="117"/>
      <c r="I2534" s="117"/>
      <c r="J2534" s="117"/>
      <c r="K2534" s="117"/>
      <c r="L2534" s="117"/>
      <c r="M2534" s="117"/>
      <c r="N2534" s="117"/>
      <c r="O2534" s="117"/>
      <c r="P2534" s="117"/>
      <c r="Q2534" s="117"/>
      <c r="R2534" s="117"/>
      <c r="S2534" s="117"/>
      <c r="T2534" s="117"/>
      <c r="U2534" s="117"/>
      <c r="V2534" s="117"/>
      <c r="W2534" s="117"/>
      <c r="X2534" s="117"/>
      <c r="Y2534" s="117"/>
      <c r="Z2534" s="117"/>
      <c r="AA2534" s="117"/>
      <c r="AB2534" s="117"/>
      <c r="AC2534" s="117"/>
      <c r="AD2534" s="117"/>
      <c r="AE2534" s="117"/>
      <c r="AF2534" s="117"/>
      <c r="AG2534" s="117"/>
      <c r="AH2534" s="117"/>
      <c r="AI2534" s="117"/>
      <c r="AJ2534" s="117"/>
      <c r="AK2534" s="117"/>
      <c r="AL2534" s="117"/>
      <c r="AM2534" s="117"/>
      <c r="AN2534" s="117"/>
      <c r="AO2534" s="117"/>
    </row>
    <row r="2535" ht="12.75" customHeight="1">
      <c r="A2535" s="117"/>
      <c r="B2535" s="117"/>
      <c r="C2535" s="117"/>
      <c r="D2535" s="117"/>
      <c r="E2535" s="117"/>
      <c r="F2535" s="117"/>
      <c r="G2535" s="117"/>
      <c r="H2535" s="117"/>
      <c r="I2535" s="117"/>
      <c r="J2535" s="117"/>
      <c r="K2535" s="117"/>
      <c r="L2535" s="117"/>
      <c r="M2535" s="117"/>
      <c r="N2535" s="117"/>
      <c r="O2535" s="117"/>
      <c r="P2535" s="117"/>
      <c r="Q2535" s="117"/>
      <c r="R2535" s="117"/>
      <c r="S2535" s="117"/>
      <c r="T2535" s="117"/>
      <c r="U2535" s="117"/>
      <c r="V2535" s="117"/>
      <c r="W2535" s="117"/>
      <c r="X2535" s="117"/>
      <c r="Y2535" s="117"/>
      <c r="Z2535" s="117"/>
      <c r="AA2535" s="117"/>
      <c r="AB2535" s="117"/>
      <c r="AC2535" s="117"/>
      <c r="AD2535" s="117"/>
      <c r="AE2535" s="117"/>
      <c r="AF2535" s="117"/>
      <c r="AG2535" s="117"/>
      <c r="AH2535" s="117"/>
      <c r="AI2535" s="117"/>
      <c r="AJ2535" s="117"/>
      <c r="AK2535" s="117"/>
      <c r="AL2535" s="117"/>
      <c r="AM2535" s="117"/>
      <c r="AN2535" s="117"/>
      <c r="AO2535" s="117"/>
    </row>
    <row r="2536" ht="12.75" customHeight="1">
      <c r="A2536" s="117"/>
      <c r="B2536" s="117"/>
      <c r="C2536" s="117"/>
      <c r="D2536" s="117"/>
      <c r="E2536" s="117"/>
      <c r="F2536" s="117"/>
      <c r="G2536" s="117"/>
      <c r="H2536" s="117"/>
      <c r="I2536" s="117"/>
      <c r="J2536" s="117"/>
      <c r="K2536" s="117"/>
      <c r="L2536" s="117"/>
      <c r="M2536" s="117"/>
      <c r="N2536" s="117"/>
      <c r="O2536" s="117"/>
      <c r="P2536" s="117"/>
      <c r="Q2536" s="117"/>
      <c r="R2536" s="117"/>
      <c r="S2536" s="117"/>
      <c r="T2536" s="117"/>
      <c r="U2536" s="117"/>
      <c r="V2536" s="117"/>
      <c r="W2536" s="117"/>
      <c r="X2536" s="117"/>
      <c r="Y2536" s="117"/>
      <c r="Z2536" s="117"/>
      <c r="AA2536" s="117"/>
      <c r="AB2536" s="117"/>
      <c r="AC2536" s="117"/>
      <c r="AD2536" s="117"/>
      <c r="AE2536" s="117"/>
      <c r="AF2536" s="117"/>
      <c r="AG2536" s="117"/>
      <c r="AH2536" s="117"/>
      <c r="AI2536" s="117"/>
      <c r="AJ2536" s="117"/>
      <c r="AK2536" s="117"/>
      <c r="AL2536" s="117"/>
      <c r="AM2536" s="117"/>
      <c r="AN2536" s="117"/>
      <c r="AO2536" s="117"/>
    </row>
    <row r="2537" ht="12.75" customHeight="1">
      <c r="A2537" s="117"/>
      <c r="B2537" s="117"/>
      <c r="C2537" s="117"/>
      <c r="D2537" s="117"/>
      <c r="E2537" s="117"/>
      <c r="F2537" s="117"/>
      <c r="G2537" s="117"/>
      <c r="H2537" s="117"/>
      <c r="I2537" s="117"/>
      <c r="J2537" s="117"/>
      <c r="K2537" s="117"/>
      <c r="L2537" s="117"/>
      <c r="M2537" s="117"/>
      <c r="N2537" s="117"/>
      <c r="O2537" s="117"/>
      <c r="P2537" s="117"/>
      <c r="Q2537" s="117"/>
      <c r="R2537" s="117"/>
      <c r="S2537" s="117"/>
      <c r="T2537" s="117"/>
      <c r="U2537" s="117"/>
      <c r="V2537" s="117"/>
      <c r="W2537" s="117"/>
      <c r="X2537" s="117"/>
      <c r="Y2537" s="117"/>
      <c r="Z2537" s="117"/>
      <c r="AA2537" s="117"/>
      <c r="AB2537" s="117"/>
      <c r="AC2537" s="117"/>
      <c r="AD2537" s="117"/>
      <c r="AE2537" s="117"/>
      <c r="AF2537" s="117"/>
      <c r="AG2537" s="117"/>
      <c r="AH2537" s="117"/>
      <c r="AI2537" s="117"/>
      <c r="AJ2537" s="117"/>
      <c r="AK2537" s="117"/>
      <c r="AL2537" s="117"/>
      <c r="AM2537" s="117"/>
      <c r="AN2537" s="117"/>
      <c r="AO2537" s="117"/>
    </row>
    <row r="2538" ht="12.75" customHeight="1">
      <c r="A2538" s="117"/>
      <c r="B2538" s="117"/>
      <c r="C2538" s="117"/>
      <c r="D2538" s="117"/>
      <c r="E2538" s="117"/>
      <c r="F2538" s="117"/>
      <c r="G2538" s="117"/>
      <c r="H2538" s="117"/>
      <c r="I2538" s="117"/>
      <c r="J2538" s="117"/>
      <c r="K2538" s="117"/>
      <c r="L2538" s="117"/>
      <c r="M2538" s="117"/>
      <c r="N2538" s="117"/>
      <c r="O2538" s="117"/>
      <c r="P2538" s="117"/>
      <c r="Q2538" s="117"/>
      <c r="R2538" s="117"/>
      <c r="S2538" s="117"/>
      <c r="T2538" s="117"/>
      <c r="U2538" s="117"/>
      <c r="V2538" s="117"/>
      <c r="W2538" s="117"/>
      <c r="X2538" s="117"/>
      <c r="Y2538" s="117"/>
      <c r="Z2538" s="117"/>
      <c r="AA2538" s="117"/>
      <c r="AB2538" s="117"/>
      <c r="AC2538" s="117"/>
      <c r="AD2538" s="117"/>
      <c r="AE2538" s="117"/>
      <c r="AF2538" s="117"/>
      <c r="AG2538" s="117"/>
      <c r="AH2538" s="117"/>
      <c r="AI2538" s="117"/>
      <c r="AJ2538" s="117"/>
      <c r="AK2538" s="117"/>
      <c r="AL2538" s="117"/>
      <c r="AM2538" s="117"/>
      <c r="AN2538" s="117"/>
      <c r="AO2538" s="117"/>
    </row>
    <row r="2539" ht="12.75" customHeight="1">
      <c r="A2539" s="117"/>
      <c r="B2539" s="117"/>
      <c r="C2539" s="117"/>
      <c r="D2539" s="117"/>
      <c r="E2539" s="117"/>
      <c r="F2539" s="117"/>
      <c r="G2539" s="117"/>
      <c r="H2539" s="117"/>
      <c r="I2539" s="117"/>
      <c r="J2539" s="117"/>
      <c r="K2539" s="117"/>
      <c r="L2539" s="117"/>
      <c r="M2539" s="117"/>
      <c r="N2539" s="117"/>
      <c r="O2539" s="117"/>
      <c r="P2539" s="117"/>
      <c r="Q2539" s="117"/>
      <c r="R2539" s="117"/>
      <c r="S2539" s="117"/>
      <c r="T2539" s="117"/>
      <c r="U2539" s="117"/>
      <c r="V2539" s="117"/>
      <c r="W2539" s="117"/>
      <c r="X2539" s="117"/>
      <c r="Y2539" s="117"/>
      <c r="Z2539" s="117"/>
      <c r="AA2539" s="117"/>
      <c r="AB2539" s="117"/>
      <c r="AC2539" s="117"/>
      <c r="AD2539" s="117"/>
      <c r="AE2539" s="117"/>
      <c r="AF2539" s="117"/>
      <c r="AG2539" s="117"/>
      <c r="AH2539" s="117"/>
      <c r="AI2539" s="117"/>
      <c r="AJ2539" s="117"/>
      <c r="AK2539" s="117"/>
      <c r="AL2539" s="117"/>
      <c r="AM2539" s="117"/>
      <c r="AN2539" s="117"/>
      <c r="AO2539" s="117"/>
    </row>
    <row r="2540" ht="12.75" customHeight="1">
      <c r="A2540" s="117"/>
      <c r="B2540" s="117"/>
      <c r="C2540" s="117"/>
      <c r="D2540" s="117"/>
      <c r="E2540" s="117"/>
      <c r="F2540" s="117"/>
      <c r="G2540" s="117"/>
      <c r="H2540" s="117"/>
      <c r="I2540" s="117"/>
      <c r="J2540" s="117"/>
      <c r="K2540" s="117"/>
      <c r="L2540" s="117"/>
      <c r="M2540" s="117"/>
      <c r="N2540" s="117"/>
      <c r="O2540" s="117"/>
      <c r="P2540" s="117"/>
      <c r="Q2540" s="117"/>
      <c r="R2540" s="117"/>
      <c r="S2540" s="117"/>
      <c r="T2540" s="117"/>
      <c r="U2540" s="117"/>
      <c r="V2540" s="117"/>
      <c r="W2540" s="117"/>
      <c r="X2540" s="117"/>
      <c r="Y2540" s="117"/>
      <c r="Z2540" s="117"/>
      <c r="AA2540" s="117"/>
      <c r="AB2540" s="117"/>
      <c r="AC2540" s="117"/>
      <c r="AD2540" s="117"/>
      <c r="AE2540" s="117"/>
      <c r="AF2540" s="117"/>
      <c r="AG2540" s="117"/>
      <c r="AH2540" s="117"/>
      <c r="AI2540" s="117"/>
      <c r="AJ2540" s="117"/>
      <c r="AK2540" s="117"/>
      <c r="AL2540" s="117"/>
      <c r="AM2540" s="117"/>
      <c r="AN2540" s="117"/>
      <c r="AO2540" s="117"/>
    </row>
    <row r="2541" ht="12.75" customHeight="1">
      <c r="A2541" s="117"/>
      <c r="B2541" s="117"/>
      <c r="C2541" s="117"/>
      <c r="D2541" s="117"/>
      <c r="E2541" s="117"/>
      <c r="F2541" s="117"/>
      <c r="G2541" s="117"/>
      <c r="H2541" s="117"/>
      <c r="I2541" s="117"/>
      <c r="J2541" s="117"/>
      <c r="K2541" s="117"/>
      <c r="L2541" s="117"/>
      <c r="M2541" s="117"/>
      <c r="N2541" s="117"/>
      <c r="O2541" s="117"/>
      <c r="P2541" s="117"/>
      <c r="Q2541" s="117"/>
      <c r="R2541" s="117"/>
      <c r="S2541" s="117"/>
      <c r="T2541" s="117"/>
      <c r="U2541" s="117"/>
      <c r="V2541" s="117"/>
      <c r="W2541" s="117"/>
      <c r="X2541" s="117"/>
      <c r="Y2541" s="117"/>
      <c r="Z2541" s="117"/>
      <c r="AA2541" s="117"/>
      <c r="AB2541" s="117"/>
      <c r="AC2541" s="117"/>
      <c r="AD2541" s="117"/>
      <c r="AE2541" s="117"/>
      <c r="AF2541" s="117"/>
      <c r="AG2541" s="117"/>
      <c r="AH2541" s="117"/>
      <c r="AI2541" s="117"/>
      <c r="AJ2541" s="117"/>
      <c r="AK2541" s="117"/>
      <c r="AL2541" s="117"/>
      <c r="AM2541" s="117"/>
      <c r="AN2541" s="117"/>
      <c r="AO2541" s="117"/>
    </row>
    <row r="2542" ht="12.75" customHeight="1">
      <c r="A2542" s="117"/>
      <c r="B2542" s="117"/>
      <c r="C2542" s="117"/>
      <c r="D2542" s="117"/>
      <c r="E2542" s="117"/>
      <c r="F2542" s="117"/>
      <c r="G2542" s="117"/>
      <c r="H2542" s="117"/>
      <c r="I2542" s="117"/>
      <c r="J2542" s="117"/>
      <c r="K2542" s="117"/>
      <c r="L2542" s="117"/>
      <c r="M2542" s="117"/>
      <c r="N2542" s="117"/>
      <c r="O2542" s="117"/>
      <c r="P2542" s="117"/>
      <c r="Q2542" s="117"/>
      <c r="R2542" s="117"/>
      <c r="S2542" s="117"/>
      <c r="T2542" s="117"/>
      <c r="U2542" s="117"/>
      <c r="V2542" s="117"/>
      <c r="W2542" s="117"/>
      <c r="X2542" s="117"/>
      <c r="Y2542" s="117"/>
      <c r="Z2542" s="117"/>
      <c r="AA2542" s="117"/>
      <c r="AB2542" s="117"/>
      <c r="AC2542" s="117"/>
      <c r="AD2542" s="117"/>
      <c r="AE2542" s="117"/>
      <c r="AF2542" s="117"/>
      <c r="AG2542" s="117"/>
      <c r="AH2542" s="117"/>
      <c r="AI2542" s="117"/>
      <c r="AJ2542" s="117"/>
      <c r="AK2542" s="117"/>
      <c r="AL2542" s="117"/>
      <c r="AM2542" s="117"/>
      <c r="AN2542" s="117"/>
      <c r="AO2542" s="117"/>
    </row>
    <row r="2543" ht="12.75" customHeight="1">
      <c r="A2543" s="117"/>
      <c r="B2543" s="117"/>
      <c r="C2543" s="117"/>
      <c r="D2543" s="117"/>
      <c r="E2543" s="117"/>
      <c r="F2543" s="117"/>
      <c r="G2543" s="117"/>
      <c r="H2543" s="117"/>
      <c r="I2543" s="117"/>
      <c r="J2543" s="117"/>
      <c r="K2543" s="117"/>
      <c r="L2543" s="117"/>
      <c r="M2543" s="117"/>
      <c r="N2543" s="117"/>
      <c r="O2543" s="117"/>
      <c r="P2543" s="117"/>
      <c r="Q2543" s="117"/>
      <c r="R2543" s="117"/>
      <c r="S2543" s="117"/>
      <c r="T2543" s="117"/>
      <c r="U2543" s="117"/>
      <c r="V2543" s="117"/>
      <c r="W2543" s="117"/>
      <c r="X2543" s="117"/>
      <c r="Y2543" s="117"/>
      <c r="Z2543" s="117"/>
      <c r="AA2543" s="117"/>
      <c r="AB2543" s="117"/>
      <c r="AC2543" s="117"/>
      <c r="AD2543" s="117"/>
      <c r="AE2543" s="117"/>
      <c r="AF2543" s="117"/>
      <c r="AG2543" s="117"/>
      <c r="AH2543" s="117"/>
      <c r="AI2543" s="117"/>
      <c r="AJ2543" s="117"/>
      <c r="AK2543" s="117"/>
      <c r="AL2543" s="117"/>
      <c r="AM2543" s="117"/>
      <c r="AN2543" s="117"/>
      <c r="AO2543" s="117"/>
    </row>
    <row r="2544" ht="12.75" customHeight="1">
      <c r="A2544" s="117"/>
      <c r="B2544" s="117"/>
      <c r="C2544" s="117"/>
      <c r="D2544" s="117"/>
      <c r="E2544" s="117"/>
      <c r="F2544" s="117"/>
      <c r="G2544" s="117"/>
      <c r="H2544" s="117"/>
      <c r="I2544" s="117"/>
      <c r="J2544" s="117"/>
      <c r="K2544" s="117"/>
      <c r="L2544" s="117"/>
      <c r="M2544" s="117"/>
      <c r="N2544" s="117"/>
      <c r="O2544" s="117"/>
      <c r="P2544" s="117"/>
      <c r="Q2544" s="117"/>
      <c r="R2544" s="117"/>
      <c r="S2544" s="117"/>
      <c r="T2544" s="117"/>
      <c r="U2544" s="117"/>
      <c r="V2544" s="117"/>
      <c r="W2544" s="117"/>
      <c r="X2544" s="117"/>
      <c r="Y2544" s="117"/>
      <c r="Z2544" s="117"/>
      <c r="AA2544" s="117"/>
      <c r="AB2544" s="117"/>
      <c r="AC2544" s="117"/>
      <c r="AD2544" s="117"/>
      <c r="AE2544" s="117"/>
      <c r="AF2544" s="117"/>
      <c r="AG2544" s="117"/>
      <c r="AH2544" s="117"/>
      <c r="AI2544" s="117"/>
      <c r="AJ2544" s="117"/>
      <c r="AK2544" s="117"/>
      <c r="AL2544" s="117"/>
      <c r="AM2544" s="117"/>
      <c r="AN2544" s="117"/>
      <c r="AO2544" s="117"/>
    </row>
    <row r="2545" ht="12.75" customHeight="1">
      <c r="A2545" s="117"/>
      <c r="B2545" s="117"/>
      <c r="C2545" s="117"/>
      <c r="D2545" s="117"/>
      <c r="E2545" s="117"/>
      <c r="F2545" s="117"/>
      <c r="G2545" s="117"/>
      <c r="H2545" s="117"/>
      <c r="I2545" s="117"/>
      <c r="J2545" s="117"/>
      <c r="K2545" s="117"/>
      <c r="L2545" s="117"/>
      <c r="M2545" s="117"/>
      <c r="N2545" s="117"/>
      <c r="O2545" s="117"/>
      <c r="P2545" s="117"/>
      <c r="Q2545" s="117"/>
      <c r="R2545" s="117"/>
      <c r="S2545" s="117"/>
      <c r="T2545" s="117"/>
      <c r="U2545" s="117"/>
      <c r="V2545" s="117"/>
      <c r="W2545" s="117"/>
      <c r="X2545" s="117"/>
      <c r="Y2545" s="117"/>
      <c r="Z2545" s="117"/>
      <c r="AA2545" s="117"/>
      <c r="AB2545" s="117"/>
      <c r="AC2545" s="117"/>
      <c r="AD2545" s="117"/>
      <c r="AE2545" s="117"/>
      <c r="AF2545" s="117"/>
      <c r="AG2545" s="117"/>
      <c r="AH2545" s="117"/>
      <c r="AI2545" s="117"/>
      <c r="AJ2545" s="117"/>
      <c r="AK2545" s="117"/>
      <c r="AL2545" s="117"/>
      <c r="AM2545" s="117"/>
      <c r="AN2545" s="117"/>
      <c r="AO2545" s="117"/>
    </row>
    <row r="2546" ht="12.75" customHeight="1">
      <c r="A2546" s="117"/>
      <c r="B2546" s="117"/>
      <c r="C2546" s="117"/>
      <c r="D2546" s="117"/>
      <c r="E2546" s="117"/>
      <c r="F2546" s="117"/>
      <c r="G2546" s="117"/>
      <c r="H2546" s="117"/>
      <c r="I2546" s="117"/>
      <c r="J2546" s="117"/>
      <c r="K2546" s="117"/>
      <c r="L2546" s="117"/>
      <c r="M2546" s="117"/>
      <c r="N2546" s="117"/>
      <c r="O2546" s="117"/>
      <c r="P2546" s="117"/>
      <c r="Q2546" s="117"/>
      <c r="R2546" s="117"/>
      <c r="S2546" s="117"/>
      <c r="T2546" s="117"/>
      <c r="U2546" s="117"/>
      <c r="V2546" s="117"/>
      <c r="W2546" s="117"/>
      <c r="X2546" s="117"/>
      <c r="Y2546" s="117"/>
      <c r="Z2546" s="117"/>
      <c r="AA2546" s="117"/>
      <c r="AB2546" s="117"/>
      <c r="AC2546" s="117"/>
      <c r="AD2546" s="117"/>
      <c r="AE2546" s="117"/>
      <c r="AF2546" s="117"/>
      <c r="AG2546" s="117"/>
      <c r="AH2546" s="117"/>
      <c r="AI2546" s="117"/>
      <c r="AJ2546" s="117"/>
      <c r="AK2546" s="117"/>
      <c r="AL2546" s="117"/>
      <c r="AM2546" s="117"/>
      <c r="AN2546" s="117"/>
      <c r="AO2546" s="117"/>
    </row>
    <row r="2547" ht="12.75" customHeight="1">
      <c r="A2547" s="117"/>
      <c r="B2547" s="117"/>
      <c r="C2547" s="117"/>
      <c r="D2547" s="117"/>
      <c r="E2547" s="117"/>
      <c r="F2547" s="117"/>
      <c r="G2547" s="117"/>
      <c r="H2547" s="117"/>
      <c r="I2547" s="117"/>
      <c r="J2547" s="117"/>
      <c r="K2547" s="117"/>
      <c r="L2547" s="117"/>
      <c r="M2547" s="117"/>
      <c r="N2547" s="117"/>
      <c r="O2547" s="117"/>
      <c r="P2547" s="117"/>
      <c r="Q2547" s="117"/>
      <c r="R2547" s="117"/>
      <c r="S2547" s="117"/>
      <c r="T2547" s="117"/>
      <c r="U2547" s="117"/>
      <c r="V2547" s="117"/>
      <c r="W2547" s="117"/>
      <c r="X2547" s="117"/>
      <c r="Y2547" s="117"/>
      <c r="Z2547" s="117"/>
      <c r="AA2547" s="117"/>
      <c r="AB2547" s="117"/>
      <c r="AC2547" s="117"/>
      <c r="AD2547" s="117"/>
      <c r="AE2547" s="117"/>
      <c r="AF2547" s="117"/>
      <c r="AG2547" s="117"/>
      <c r="AH2547" s="117"/>
      <c r="AI2547" s="117"/>
      <c r="AJ2547" s="117"/>
      <c r="AK2547" s="117"/>
      <c r="AL2547" s="117"/>
      <c r="AM2547" s="117"/>
      <c r="AN2547" s="117"/>
      <c r="AO2547" s="117"/>
    </row>
    <row r="2548" ht="12.75" customHeight="1">
      <c r="A2548" s="117"/>
      <c r="B2548" s="117"/>
      <c r="C2548" s="117"/>
      <c r="D2548" s="117"/>
      <c r="E2548" s="117"/>
      <c r="F2548" s="117"/>
      <c r="G2548" s="117"/>
      <c r="H2548" s="117"/>
      <c r="I2548" s="117"/>
      <c r="J2548" s="117"/>
      <c r="K2548" s="117"/>
      <c r="L2548" s="117"/>
      <c r="M2548" s="117"/>
      <c r="N2548" s="117"/>
      <c r="O2548" s="117"/>
      <c r="P2548" s="117"/>
      <c r="Q2548" s="117"/>
      <c r="R2548" s="117"/>
      <c r="S2548" s="117"/>
      <c r="T2548" s="117"/>
      <c r="U2548" s="117"/>
      <c r="V2548" s="117"/>
      <c r="W2548" s="117"/>
      <c r="X2548" s="117"/>
      <c r="Y2548" s="117"/>
      <c r="Z2548" s="117"/>
      <c r="AA2548" s="117"/>
      <c r="AB2548" s="117"/>
      <c r="AC2548" s="117"/>
      <c r="AD2548" s="117"/>
      <c r="AE2548" s="117"/>
      <c r="AF2548" s="117"/>
      <c r="AG2548" s="117"/>
      <c r="AH2548" s="117"/>
      <c r="AI2548" s="117"/>
      <c r="AJ2548" s="117"/>
      <c r="AK2548" s="117"/>
      <c r="AL2548" s="117"/>
      <c r="AM2548" s="117"/>
      <c r="AN2548" s="117"/>
      <c r="AO2548" s="117"/>
    </row>
    <row r="2549" ht="12.75" customHeight="1">
      <c r="A2549" s="117"/>
      <c r="B2549" s="117"/>
      <c r="C2549" s="117"/>
      <c r="D2549" s="117"/>
      <c r="E2549" s="117"/>
      <c r="F2549" s="117"/>
      <c r="G2549" s="117"/>
      <c r="H2549" s="117"/>
      <c r="I2549" s="117"/>
      <c r="J2549" s="117"/>
      <c r="K2549" s="117"/>
      <c r="L2549" s="117"/>
      <c r="M2549" s="117"/>
      <c r="N2549" s="117"/>
      <c r="O2549" s="117"/>
      <c r="P2549" s="117"/>
      <c r="Q2549" s="117"/>
      <c r="R2549" s="117"/>
      <c r="S2549" s="117"/>
      <c r="T2549" s="117"/>
      <c r="U2549" s="117"/>
      <c r="V2549" s="117"/>
      <c r="W2549" s="117"/>
      <c r="X2549" s="117"/>
      <c r="Y2549" s="117"/>
      <c r="Z2549" s="117"/>
      <c r="AA2549" s="117"/>
      <c r="AB2549" s="117"/>
      <c r="AC2549" s="117"/>
      <c r="AD2549" s="117"/>
      <c r="AE2549" s="117"/>
      <c r="AF2549" s="117"/>
      <c r="AG2549" s="117"/>
      <c r="AH2549" s="117"/>
      <c r="AI2549" s="117"/>
      <c r="AJ2549" s="117"/>
      <c r="AK2549" s="117"/>
      <c r="AL2549" s="117"/>
      <c r="AM2549" s="117"/>
      <c r="AN2549" s="117"/>
      <c r="AO2549" s="117"/>
    </row>
    <row r="2550" ht="12.75" customHeight="1">
      <c r="A2550" s="117"/>
      <c r="B2550" s="117"/>
      <c r="C2550" s="117"/>
      <c r="D2550" s="117"/>
      <c r="E2550" s="117"/>
      <c r="F2550" s="117"/>
      <c r="G2550" s="117"/>
      <c r="H2550" s="117"/>
      <c r="I2550" s="117"/>
      <c r="J2550" s="117"/>
      <c r="K2550" s="117"/>
      <c r="L2550" s="117"/>
      <c r="M2550" s="117"/>
      <c r="N2550" s="117"/>
      <c r="O2550" s="117"/>
      <c r="P2550" s="117"/>
      <c r="Q2550" s="117"/>
      <c r="R2550" s="117"/>
      <c r="S2550" s="117"/>
      <c r="T2550" s="117"/>
      <c r="U2550" s="117"/>
      <c r="V2550" s="117"/>
      <c r="W2550" s="117"/>
      <c r="X2550" s="117"/>
      <c r="Y2550" s="117"/>
      <c r="Z2550" s="117"/>
      <c r="AA2550" s="117"/>
      <c r="AB2550" s="117"/>
      <c r="AC2550" s="117"/>
      <c r="AD2550" s="117"/>
      <c r="AE2550" s="117"/>
      <c r="AF2550" s="117"/>
      <c r="AG2550" s="117"/>
      <c r="AH2550" s="117"/>
      <c r="AI2550" s="117"/>
      <c r="AJ2550" s="117"/>
      <c r="AK2550" s="117"/>
      <c r="AL2550" s="117"/>
      <c r="AM2550" s="117"/>
      <c r="AN2550" s="117"/>
      <c r="AO2550" s="117"/>
    </row>
    <row r="2551" ht="12.75" customHeight="1">
      <c r="A2551" s="117"/>
      <c r="B2551" s="117"/>
      <c r="C2551" s="117"/>
      <c r="D2551" s="117"/>
      <c r="E2551" s="117"/>
      <c r="F2551" s="117"/>
      <c r="G2551" s="117"/>
      <c r="H2551" s="117"/>
      <c r="I2551" s="117"/>
      <c r="J2551" s="117"/>
      <c r="K2551" s="117"/>
      <c r="L2551" s="117"/>
      <c r="M2551" s="117"/>
      <c r="N2551" s="117"/>
      <c r="O2551" s="117"/>
      <c r="P2551" s="117"/>
      <c r="Q2551" s="117"/>
      <c r="R2551" s="117"/>
      <c r="S2551" s="117"/>
      <c r="T2551" s="117"/>
      <c r="U2551" s="117"/>
      <c r="V2551" s="117"/>
      <c r="W2551" s="117"/>
      <c r="X2551" s="117"/>
      <c r="Y2551" s="117"/>
      <c r="Z2551" s="117"/>
      <c r="AA2551" s="117"/>
      <c r="AB2551" s="117"/>
      <c r="AC2551" s="117"/>
      <c r="AD2551" s="117"/>
      <c r="AE2551" s="117"/>
      <c r="AF2551" s="117"/>
      <c r="AG2551" s="117"/>
      <c r="AH2551" s="117"/>
      <c r="AI2551" s="117"/>
      <c r="AJ2551" s="117"/>
      <c r="AK2551" s="117"/>
      <c r="AL2551" s="117"/>
      <c r="AM2551" s="117"/>
      <c r="AN2551" s="117"/>
      <c r="AO2551" s="117"/>
    </row>
    <row r="2552" ht="12.75" customHeight="1">
      <c r="A2552" s="117"/>
      <c r="B2552" s="117"/>
      <c r="C2552" s="117"/>
      <c r="D2552" s="117"/>
      <c r="E2552" s="117"/>
      <c r="F2552" s="117"/>
      <c r="G2552" s="117"/>
      <c r="H2552" s="117"/>
      <c r="I2552" s="117"/>
      <c r="J2552" s="117"/>
      <c r="K2552" s="117"/>
      <c r="L2552" s="117"/>
      <c r="M2552" s="117"/>
      <c r="N2552" s="117"/>
      <c r="O2552" s="117"/>
      <c r="P2552" s="117"/>
      <c r="Q2552" s="117"/>
      <c r="R2552" s="117"/>
      <c r="S2552" s="117"/>
      <c r="T2552" s="117"/>
      <c r="U2552" s="117"/>
      <c r="V2552" s="117"/>
      <c r="W2552" s="117"/>
      <c r="X2552" s="117"/>
      <c r="Y2552" s="117"/>
      <c r="Z2552" s="117"/>
      <c r="AA2552" s="117"/>
      <c r="AB2552" s="117"/>
      <c r="AC2552" s="117"/>
      <c r="AD2552" s="117"/>
      <c r="AE2552" s="117"/>
      <c r="AF2552" s="117"/>
      <c r="AG2552" s="117"/>
      <c r="AH2552" s="117"/>
      <c r="AI2552" s="117"/>
      <c r="AJ2552" s="117"/>
      <c r="AK2552" s="117"/>
      <c r="AL2552" s="117"/>
      <c r="AM2552" s="117"/>
      <c r="AN2552" s="117"/>
      <c r="AO2552" s="117"/>
    </row>
    <row r="2553" ht="12.75" customHeight="1">
      <c r="A2553" s="117"/>
      <c r="B2553" s="117"/>
      <c r="C2553" s="117"/>
      <c r="D2553" s="117"/>
      <c r="E2553" s="117"/>
      <c r="F2553" s="117"/>
      <c r="G2553" s="117"/>
      <c r="H2553" s="117"/>
      <c r="I2553" s="117"/>
      <c r="J2553" s="117"/>
      <c r="K2553" s="117"/>
      <c r="L2553" s="117"/>
      <c r="M2553" s="117"/>
      <c r="N2553" s="117"/>
      <c r="O2553" s="117"/>
      <c r="P2553" s="117"/>
      <c r="Q2553" s="117"/>
      <c r="R2553" s="117"/>
      <c r="S2553" s="117"/>
      <c r="T2553" s="117"/>
      <c r="U2553" s="117"/>
      <c r="V2553" s="117"/>
      <c r="W2553" s="117"/>
      <c r="X2553" s="117"/>
      <c r="Y2553" s="117"/>
      <c r="Z2553" s="117"/>
      <c r="AA2553" s="117"/>
      <c r="AB2553" s="117"/>
      <c r="AC2553" s="117"/>
      <c r="AD2553" s="117"/>
      <c r="AE2553" s="117"/>
      <c r="AF2553" s="117"/>
      <c r="AG2553" s="117"/>
      <c r="AH2553" s="117"/>
      <c r="AI2553" s="117"/>
      <c r="AJ2553" s="117"/>
      <c r="AK2553" s="117"/>
      <c r="AL2553" s="117"/>
      <c r="AM2553" s="117"/>
      <c r="AN2553" s="117"/>
      <c r="AO2553" s="117"/>
    </row>
    <row r="2554" ht="12.75" customHeight="1">
      <c r="A2554" s="117"/>
      <c r="B2554" s="117"/>
      <c r="C2554" s="117"/>
      <c r="D2554" s="117"/>
      <c r="E2554" s="117"/>
      <c r="F2554" s="117"/>
      <c r="G2554" s="117"/>
      <c r="H2554" s="117"/>
      <c r="I2554" s="117"/>
      <c r="J2554" s="117"/>
      <c r="K2554" s="117"/>
      <c r="L2554" s="117"/>
      <c r="M2554" s="117"/>
      <c r="N2554" s="117"/>
      <c r="O2554" s="117"/>
      <c r="P2554" s="117"/>
      <c r="Q2554" s="117"/>
      <c r="R2554" s="117"/>
      <c r="S2554" s="117"/>
      <c r="T2554" s="117"/>
      <c r="U2554" s="117"/>
      <c r="V2554" s="117"/>
      <c r="W2554" s="117"/>
      <c r="X2554" s="117"/>
      <c r="Y2554" s="117"/>
      <c r="Z2554" s="117"/>
      <c r="AA2554" s="117"/>
      <c r="AB2554" s="117"/>
      <c r="AC2554" s="117"/>
      <c r="AD2554" s="117"/>
      <c r="AE2554" s="117"/>
      <c r="AF2554" s="117"/>
      <c r="AG2554" s="117"/>
      <c r="AH2554" s="117"/>
      <c r="AI2554" s="117"/>
      <c r="AJ2554" s="117"/>
      <c r="AK2554" s="117"/>
      <c r="AL2554" s="117"/>
      <c r="AM2554" s="117"/>
      <c r="AN2554" s="117"/>
      <c r="AO2554" s="117"/>
    </row>
    <row r="2555" ht="12.75" customHeight="1">
      <c r="A2555" s="117"/>
      <c r="B2555" s="117"/>
      <c r="C2555" s="117"/>
      <c r="D2555" s="117"/>
      <c r="E2555" s="117"/>
      <c r="F2555" s="117"/>
      <c r="G2555" s="117"/>
      <c r="H2555" s="117"/>
      <c r="I2555" s="117"/>
      <c r="J2555" s="117"/>
      <c r="K2555" s="117"/>
      <c r="L2555" s="117"/>
      <c r="M2555" s="117"/>
      <c r="N2555" s="117"/>
      <c r="O2555" s="117"/>
      <c r="P2555" s="117"/>
      <c r="Q2555" s="117"/>
      <c r="R2555" s="117"/>
      <c r="S2555" s="117"/>
      <c r="T2555" s="117"/>
      <c r="U2555" s="117"/>
      <c r="V2555" s="117"/>
      <c r="W2555" s="117"/>
      <c r="X2555" s="117"/>
      <c r="Y2555" s="117"/>
      <c r="Z2555" s="117"/>
      <c r="AA2555" s="117"/>
      <c r="AB2555" s="117"/>
      <c r="AC2555" s="117"/>
      <c r="AD2555" s="117"/>
      <c r="AE2555" s="117"/>
      <c r="AF2555" s="117"/>
      <c r="AG2555" s="117"/>
      <c r="AH2555" s="117"/>
      <c r="AI2555" s="117"/>
      <c r="AJ2555" s="117"/>
      <c r="AK2555" s="117"/>
      <c r="AL2555" s="117"/>
      <c r="AM2555" s="117"/>
      <c r="AN2555" s="117"/>
      <c r="AO2555" s="117"/>
    </row>
    <row r="2556" ht="12.75" customHeight="1">
      <c r="A2556" s="117"/>
      <c r="B2556" s="117"/>
      <c r="C2556" s="117"/>
      <c r="D2556" s="117"/>
      <c r="E2556" s="117"/>
      <c r="F2556" s="117"/>
      <c r="G2556" s="117"/>
      <c r="H2556" s="117"/>
      <c r="I2556" s="117"/>
      <c r="J2556" s="117"/>
      <c r="K2556" s="117"/>
      <c r="L2556" s="117"/>
      <c r="M2556" s="117"/>
      <c r="N2556" s="117"/>
      <c r="O2556" s="117"/>
      <c r="P2556" s="117"/>
      <c r="Q2556" s="117"/>
      <c r="R2556" s="117"/>
      <c r="S2556" s="117"/>
      <c r="T2556" s="117"/>
      <c r="U2556" s="117"/>
      <c r="V2556" s="117"/>
      <c r="W2556" s="117"/>
      <c r="X2556" s="117"/>
      <c r="Y2556" s="117"/>
      <c r="Z2556" s="117"/>
      <c r="AA2556" s="117"/>
      <c r="AB2556" s="117"/>
      <c r="AC2556" s="117"/>
      <c r="AD2556" s="117"/>
      <c r="AE2556" s="117"/>
      <c r="AF2556" s="117"/>
      <c r="AG2556" s="117"/>
      <c r="AH2556" s="117"/>
      <c r="AI2556" s="117"/>
      <c r="AJ2556" s="117"/>
      <c r="AK2556" s="117"/>
      <c r="AL2556" s="117"/>
      <c r="AM2556" s="117"/>
      <c r="AN2556" s="117"/>
      <c r="AO2556" s="117"/>
    </row>
    <row r="2557" ht="12.75" customHeight="1">
      <c r="A2557" s="117"/>
      <c r="B2557" s="117"/>
      <c r="C2557" s="117"/>
      <c r="D2557" s="117"/>
      <c r="E2557" s="117"/>
      <c r="F2557" s="117"/>
      <c r="G2557" s="117"/>
      <c r="H2557" s="117"/>
      <c r="I2557" s="117"/>
      <c r="J2557" s="117"/>
      <c r="K2557" s="117"/>
      <c r="L2557" s="117"/>
      <c r="M2557" s="117"/>
      <c r="N2557" s="117"/>
      <c r="O2557" s="117"/>
      <c r="P2557" s="117"/>
      <c r="Q2557" s="117"/>
      <c r="R2557" s="117"/>
      <c r="S2557" s="117"/>
      <c r="T2557" s="117"/>
      <c r="U2557" s="117"/>
      <c r="V2557" s="117"/>
      <c r="W2557" s="117"/>
      <c r="X2557" s="117"/>
      <c r="Y2557" s="117"/>
      <c r="Z2557" s="117"/>
      <c r="AA2557" s="117"/>
      <c r="AB2557" s="117"/>
      <c r="AC2557" s="117"/>
      <c r="AD2557" s="117"/>
      <c r="AE2557" s="117"/>
      <c r="AF2557" s="117"/>
      <c r="AG2557" s="117"/>
      <c r="AH2557" s="117"/>
      <c r="AI2557" s="117"/>
      <c r="AJ2557" s="117"/>
      <c r="AK2557" s="117"/>
      <c r="AL2557" s="117"/>
      <c r="AM2557" s="117"/>
      <c r="AN2557" s="117"/>
      <c r="AO2557" s="117"/>
    </row>
    <row r="2558" ht="12.75" customHeight="1">
      <c r="A2558" s="117"/>
      <c r="B2558" s="117"/>
      <c r="C2558" s="117"/>
      <c r="D2558" s="117"/>
      <c r="E2558" s="117"/>
      <c r="F2558" s="117"/>
      <c r="G2558" s="117"/>
      <c r="H2558" s="117"/>
      <c r="I2558" s="117"/>
      <c r="J2558" s="117"/>
      <c r="K2558" s="117"/>
      <c r="L2558" s="117"/>
      <c r="M2558" s="117"/>
      <c r="N2558" s="117"/>
      <c r="O2558" s="117"/>
      <c r="P2558" s="117"/>
      <c r="Q2558" s="117"/>
      <c r="R2558" s="117"/>
      <c r="S2558" s="117"/>
      <c r="T2558" s="117"/>
      <c r="U2558" s="117"/>
      <c r="V2558" s="117"/>
      <c r="W2558" s="117"/>
      <c r="X2558" s="117"/>
      <c r="Y2558" s="117"/>
      <c r="Z2558" s="117"/>
      <c r="AA2558" s="117"/>
      <c r="AB2558" s="117"/>
      <c r="AC2558" s="117"/>
      <c r="AD2558" s="117"/>
      <c r="AE2558" s="117"/>
      <c r="AF2558" s="117"/>
      <c r="AG2558" s="117"/>
      <c r="AH2558" s="117"/>
      <c r="AI2558" s="117"/>
      <c r="AJ2558" s="117"/>
      <c r="AK2558" s="117"/>
      <c r="AL2558" s="117"/>
      <c r="AM2558" s="117"/>
      <c r="AN2558" s="117"/>
      <c r="AO2558" s="117"/>
    </row>
    <row r="2559" ht="12.75" customHeight="1">
      <c r="A2559" s="117"/>
      <c r="B2559" s="117"/>
      <c r="C2559" s="117"/>
      <c r="D2559" s="117"/>
      <c r="E2559" s="117"/>
      <c r="F2559" s="117"/>
      <c r="G2559" s="117"/>
      <c r="H2559" s="117"/>
      <c r="I2559" s="117"/>
      <c r="J2559" s="117"/>
      <c r="K2559" s="117"/>
      <c r="L2559" s="117"/>
      <c r="M2559" s="117"/>
      <c r="N2559" s="117"/>
      <c r="O2559" s="117"/>
      <c r="P2559" s="117"/>
      <c r="Q2559" s="117"/>
      <c r="R2559" s="117"/>
      <c r="S2559" s="117"/>
      <c r="T2559" s="117"/>
      <c r="U2559" s="117"/>
      <c r="V2559" s="117"/>
      <c r="W2559" s="117"/>
      <c r="X2559" s="117"/>
      <c r="Y2559" s="117"/>
      <c r="Z2559" s="117"/>
      <c r="AA2559" s="117"/>
      <c r="AB2559" s="117"/>
      <c r="AC2559" s="117"/>
      <c r="AD2559" s="117"/>
      <c r="AE2559" s="117"/>
      <c r="AF2559" s="117"/>
      <c r="AG2559" s="117"/>
      <c r="AH2559" s="117"/>
      <c r="AI2559" s="117"/>
      <c r="AJ2559" s="117"/>
      <c r="AK2559" s="117"/>
      <c r="AL2559" s="117"/>
      <c r="AM2559" s="117"/>
      <c r="AN2559" s="117"/>
      <c r="AO2559" s="117"/>
    </row>
    <row r="2560" ht="12.75" customHeight="1">
      <c r="A2560" s="117"/>
      <c r="B2560" s="117"/>
      <c r="C2560" s="117"/>
      <c r="D2560" s="117"/>
      <c r="E2560" s="117"/>
      <c r="F2560" s="117"/>
      <c r="G2560" s="117"/>
      <c r="H2560" s="117"/>
      <c r="I2560" s="117"/>
      <c r="J2560" s="117"/>
      <c r="K2560" s="117"/>
      <c r="L2560" s="117"/>
      <c r="M2560" s="117"/>
      <c r="N2560" s="117"/>
      <c r="O2560" s="117"/>
      <c r="P2560" s="117"/>
      <c r="Q2560" s="117"/>
      <c r="R2560" s="117"/>
      <c r="S2560" s="117"/>
      <c r="T2560" s="117"/>
      <c r="U2560" s="117"/>
      <c r="V2560" s="117"/>
      <c r="W2560" s="117"/>
      <c r="X2560" s="117"/>
      <c r="Y2560" s="117"/>
      <c r="Z2560" s="117"/>
      <c r="AA2560" s="117"/>
      <c r="AB2560" s="117"/>
      <c r="AC2560" s="117"/>
      <c r="AD2560" s="117"/>
      <c r="AE2560" s="117"/>
      <c r="AF2560" s="117"/>
      <c r="AG2560" s="117"/>
      <c r="AH2560" s="117"/>
      <c r="AI2560" s="117"/>
      <c r="AJ2560" s="117"/>
      <c r="AK2560" s="117"/>
      <c r="AL2560" s="117"/>
      <c r="AM2560" s="117"/>
      <c r="AN2560" s="117"/>
      <c r="AO2560" s="117"/>
    </row>
    <row r="2561" ht="12.75" customHeight="1">
      <c r="A2561" s="117"/>
      <c r="B2561" s="117"/>
      <c r="C2561" s="117"/>
      <c r="D2561" s="117"/>
      <c r="E2561" s="117"/>
      <c r="F2561" s="117"/>
      <c r="G2561" s="117"/>
      <c r="H2561" s="117"/>
      <c r="I2561" s="117"/>
      <c r="J2561" s="117"/>
      <c r="K2561" s="117"/>
      <c r="L2561" s="117"/>
      <c r="M2561" s="117"/>
      <c r="N2561" s="117"/>
      <c r="O2561" s="117"/>
      <c r="P2561" s="117"/>
      <c r="Q2561" s="117"/>
      <c r="R2561" s="117"/>
      <c r="S2561" s="117"/>
      <c r="T2561" s="117"/>
      <c r="U2561" s="117"/>
      <c r="V2561" s="117"/>
      <c r="W2561" s="117"/>
      <c r="X2561" s="117"/>
      <c r="Y2561" s="117"/>
      <c r="Z2561" s="117"/>
      <c r="AA2561" s="117"/>
      <c r="AB2561" s="117"/>
      <c r="AC2561" s="117"/>
      <c r="AD2561" s="117"/>
      <c r="AE2561" s="117"/>
      <c r="AF2561" s="117"/>
      <c r="AG2561" s="117"/>
      <c r="AH2561" s="117"/>
      <c r="AI2561" s="117"/>
      <c r="AJ2561" s="117"/>
      <c r="AK2561" s="117"/>
      <c r="AL2561" s="117"/>
      <c r="AM2561" s="117"/>
      <c r="AN2561" s="117"/>
      <c r="AO2561" s="117"/>
    </row>
    <row r="2562" ht="12.75" customHeight="1">
      <c r="A2562" s="117"/>
      <c r="B2562" s="117"/>
      <c r="C2562" s="117"/>
      <c r="D2562" s="117"/>
      <c r="E2562" s="117"/>
      <c r="F2562" s="117"/>
      <c r="G2562" s="117"/>
      <c r="H2562" s="117"/>
      <c r="I2562" s="117"/>
      <c r="J2562" s="117"/>
      <c r="K2562" s="117"/>
      <c r="L2562" s="117"/>
      <c r="M2562" s="117"/>
      <c r="N2562" s="117"/>
      <c r="O2562" s="117"/>
      <c r="P2562" s="117"/>
      <c r="Q2562" s="117"/>
      <c r="R2562" s="117"/>
      <c r="S2562" s="117"/>
      <c r="T2562" s="117"/>
      <c r="U2562" s="117"/>
      <c r="V2562" s="117"/>
      <c r="W2562" s="117"/>
      <c r="X2562" s="117"/>
      <c r="Y2562" s="117"/>
      <c r="Z2562" s="117"/>
      <c r="AA2562" s="117"/>
      <c r="AB2562" s="117"/>
      <c r="AC2562" s="117"/>
      <c r="AD2562" s="117"/>
      <c r="AE2562" s="117"/>
      <c r="AF2562" s="117"/>
      <c r="AG2562" s="117"/>
      <c r="AH2562" s="117"/>
      <c r="AI2562" s="117"/>
      <c r="AJ2562" s="117"/>
      <c r="AK2562" s="117"/>
      <c r="AL2562" s="117"/>
      <c r="AM2562" s="117"/>
      <c r="AN2562" s="117"/>
      <c r="AO2562" s="117"/>
    </row>
    <row r="2563" ht="12.75" customHeight="1">
      <c r="A2563" s="117"/>
      <c r="B2563" s="117"/>
      <c r="C2563" s="117"/>
      <c r="D2563" s="117"/>
      <c r="E2563" s="117"/>
      <c r="F2563" s="117"/>
      <c r="G2563" s="117"/>
      <c r="H2563" s="117"/>
      <c r="I2563" s="117"/>
      <c r="J2563" s="117"/>
      <c r="K2563" s="117"/>
      <c r="L2563" s="117"/>
      <c r="M2563" s="117"/>
      <c r="N2563" s="117"/>
      <c r="O2563" s="117"/>
      <c r="P2563" s="117"/>
      <c r="Q2563" s="117"/>
      <c r="R2563" s="117"/>
      <c r="S2563" s="117"/>
      <c r="T2563" s="117"/>
      <c r="U2563" s="117"/>
      <c r="V2563" s="117"/>
      <c r="W2563" s="117"/>
      <c r="X2563" s="117"/>
      <c r="Y2563" s="117"/>
      <c r="Z2563" s="117"/>
      <c r="AA2563" s="117"/>
      <c r="AB2563" s="117"/>
      <c r="AC2563" s="117"/>
      <c r="AD2563" s="117"/>
      <c r="AE2563" s="117"/>
      <c r="AF2563" s="117"/>
      <c r="AG2563" s="117"/>
      <c r="AH2563" s="117"/>
      <c r="AI2563" s="117"/>
      <c r="AJ2563" s="117"/>
      <c r="AK2563" s="117"/>
      <c r="AL2563" s="117"/>
      <c r="AM2563" s="117"/>
      <c r="AN2563" s="117"/>
      <c r="AO2563" s="117"/>
    </row>
    <row r="2564" ht="12.75" customHeight="1">
      <c r="A2564" s="117"/>
      <c r="B2564" s="117"/>
      <c r="C2564" s="117"/>
      <c r="D2564" s="117"/>
      <c r="E2564" s="117"/>
      <c r="F2564" s="117"/>
      <c r="G2564" s="117"/>
      <c r="H2564" s="117"/>
      <c r="I2564" s="117"/>
      <c r="J2564" s="117"/>
      <c r="K2564" s="117"/>
      <c r="L2564" s="117"/>
      <c r="M2564" s="117"/>
      <c r="N2564" s="117"/>
      <c r="O2564" s="117"/>
      <c r="P2564" s="117"/>
      <c r="Q2564" s="117"/>
      <c r="R2564" s="117"/>
      <c r="S2564" s="117"/>
      <c r="T2564" s="117"/>
      <c r="U2564" s="117"/>
      <c r="V2564" s="117"/>
      <c r="W2564" s="117"/>
      <c r="X2564" s="117"/>
      <c r="Y2564" s="117"/>
      <c r="Z2564" s="117"/>
      <c r="AA2564" s="117"/>
      <c r="AB2564" s="117"/>
      <c r="AC2564" s="117"/>
      <c r="AD2564" s="117"/>
      <c r="AE2564" s="117"/>
      <c r="AF2564" s="117"/>
      <c r="AG2564" s="117"/>
      <c r="AH2564" s="117"/>
      <c r="AI2564" s="117"/>
      <c r="AJ2564" s="117"/>
      <c r="AK2564" s="117"/>
      <c r="AL2564" s="117"/>
      <c r="AM2564" s="117"/>
      <c r="AN2564" s="117"/>
      <c r="AO2564" s="117"/>
    </row>
    <row r="2565" ht="12.75" customHeight="1">
      <c r="A2565" s="117"/>
      <c r="B2565" s="117"/>
      <c r="C2565" s="117"/>
      <c r="D2565" s="117"/>
      <c r="E2565" s="117"/>
      <c r="F2565" s="117"/>
      <c r="G2565" s="117"/>
      <c r="H2565" s="117"/>
      <c r="I2565" s="117"/>
      <c r="J2565" s="117"/>
      <c r="K2565" s="117"/>
      <c r="L2565" s="117"/>
      <c r="M2565" s="117"/>
      <c r="N2565" s="117"/>
      <c r="O2565" s="117"/>
      <c r="P2565" s="117"/>
      <c r="Q2565" s="117"/>
      <c r="R2565" s="117"/>
      <c r="S2565" s="117"/>
      <c r="T2565" s="117"/>
      <c r="U2565" s="117"/>
      <c r="V2565" s="117"/>
      <c r="W2565" s="117"/>
      <c r="X2565" s="117"/>
      <c r="Y2565" s="117"/>
      <c r="Z2565" s="117"/>
      <c r="AA2565" s="117"/>
      <c r="AB2565" s="117"/>
      <c r="AC2565" s="117"/>
      <c r="AD2565" s="117"/>
      <c r="AE2565" s="117"/>
      <c r="AF2565" s="117"/>
      <c r="AG2565" s="117"/>
      <c r="AH2565" s="117"/>
      <c r="AI2565" s="117"/>
      <c r="AJ2565" s="117"/>
      <c r="AK2565" s="117"/>
      <c r="AL2565" s="117"/>
      <c r="AM2565" s="117"/>
      <c r="AN2565" s="117"/>
      <c r="AO2565" s="117"/>
    </row>
    <row r="2566" ht="12.75" customHeight="1">
      <c r="A2566" s="117"/>
      <c r="B2566" s="117"/>
      <c r="C2566" s="117"/>
      <c r="D2566" s="117"/>
      <c r="E2566" s="117"/>
      <c r="F2566" s="117"/>
      <c r="G2566" s="117"/>
      <c r="H2566" s="117"/>
      <c r="I2566" s="117"/>
      <c r="J2566" s="117"/>
      <c r="K2566" s="117"/>
      <c r="L2566" s="117"/>
      <c r="M2566" s="117"/>
      <c r="N2566" s="117"/>
      <c r="O2566" s="117"/>
      <c r="P2566" s="117"/>
      <c r="Q2566" s="117"/>
      <c r="R2566" s="117"/>
      <c r="S2566" s="117"/>
      <c r="T2566" s="117"/>
      <c r="U2566" s="117"/>
      <c r="V2566" s="117"/>
      <c r="W2566" s="117"/>
      <c r="X2566" s="117"/>
      <c r="Y2566" s="117"/>
      <c r="Z2566" s="117"/>
      <c r="AA2566" s="117"/>
      <c r="AB2566" s="117"/>
      <c r="AC2566" s="117"/>
      <c r="AD2566" s="117"/>
      <c r="AE2566" s="117"/>
      <c r="AF2566" s="117"/>
      <c r="AG2566" s="117"/>
      <c r="AH2566" s="117"/>
      <c r="AI2566" s="117"/>
      <c r="AJ2566" s="117"/>
      <c r="AK2566" s="117"/>
      <c r="AL2566" s="117"/>
      <c r="AM2566" s="117"/>
      <c r="AN2566" s="117"/>
      <c r="AO2566" s="117"/>
    </row>
    <row r="2567" ht="12.75" customHeight="1">
      <c r="A2567" s="117"/>
      <c r="B2567" s="117"/>
      <c r="C2567" s="117"/>
      <c r="D2567" s="117"/>
      <c r="E2567" s="117"/>
      <c r="F2567" s="117"/>
      <c r="G2567" s="117"/>
      <c r="H2567" s="117"/>
      <c r="I2567" s="117"/>
      <c r="J2567" s="117"/>
      <c r="K2567" s="117"/>
      <c r="L2567" s="117"/>
      <c r="M2567" s="117"/>
      <c r="N2567" s="117"/>
      <c r="O2567" s="117"/>
      <c r="P2567" s="117"/>
      <c r="Q2567" s="117"/>
      <c r="R2567" s="117"/>
      <c r="S2567" s="117"/>
      <c r="T2567" s="117"/>
      <c r="U2567" s="117"/>
      <c r="V2567" s="117"/>
      <c r="W2567" s="117"/>
      <c r="X2567" s="117"/>
      <c r="Y2567" s="117"/>
      <c r="Z2567" s="117"/>
      <c r="AA2567" s="117"/>
      <c r="AB2567" s="117"/>
      <c r="AC2567" s="117"/>
      <c r="AD2567" s="117"/>
      <c r="AE2567" s="117"/>
      <c r="AF2567" s="117"/>
      <c r="AG2567" s="117"/>
      <c r="AH2567" s="117"/>
      <c r="AI2567" s="117"/>
      <c r="AJ2567" s="117"/>
      <c r="AK2567" s="117"/>
      <c r="AL2567" s="117"/>
      <c r="AM2567" s="117"/>
      <c r="AN2567" s="117"/>
      <c r="AO2567" s="117"/>
    </row>
    <row r="2568" ht="12.75" customHeight="1">
      <c r="A2568" s="117"/>
      <c r="B2568" s="117"/>
      <c r="C2568" s="117"/>
      <c r="D2568" s="117"/>
      <c r="E2568" s="117"/>
      <c r="F2568" s="117"/>
      <c r="G2568" s="117"/>
      <c r="H2568" s="117"/>
      <c r="I2568" s="117"/>
      <c r="J2568" s="117"/>
      <c r="K2568" s="117"/>
      <c r="L2568" s="117"/>
      <c r="M2568" s="117"/>
      <c r="N2568" s="117"/>
      <c r="O2568" s="117"/>
      <c r="P2568" s="117"/>
      <c r="Q2568" s="117"/>
      <c r="R2568" s="117"/>
      <c r="S2568" s="117"/>
      <c r="T2568" s="117"/>
      <c r="U2568" s="117"/>
      <c r="V2568" s="117"/>
      <c r="W2568" s="117"/>
      <c r="X2568" s="117"/>
      <c r="Y2568" s="117"/>
      <c r="Z2568" s="117"/>
      <c r="AA2568" s="117"/>
      <c r="AB2568" s="117"/>
      <c r="AC2568" s="117"/>
      <c r="AD2568" s="117"/>
      <c r="AE2568" s="117"/>
      <c r="AF2568" s="117"/>
      <c r="AG2568" s="117"/>
      <c r="AH2568" s="117"/>
      <c r="AI2568" s="117"/>
      <c r="AJ2568" s="117"/>
      <c r="AK2568" s="117"/>
      <c r="AL2568" s="117"/>
      <c r="AM2568" s="117"/>
      <c r="AN2568" s="117"/>
      <c r="AO2568" s="117"/>
    </row>
    <row r="2569" ht="12.75" customHeight="1">
      <c r="A2569" s="117"/>
      <c r="B2569" s="117"/>
      <c r="C2569" s="117"/>
      <c r="D2569" s="117"/>
      <c r="E2569" s="117"/>
      <c r="F2569" s="117"/>
      <c r="G2569" s="117"/>
      <c r="H2569" s="117"/>
      <c r="I2569" s="117"/>
      <c r="J2569" s="117"/>
      <c r="K2569" s="117"/>
      <c r="L2569" s="117"/>
      <c r="M2569" s="117"/>
      <c r="N2569" s="117"/>
      <c r="O2569" s="117"/>
      <c r="P2569" s="117"/>
      <c r="Q2569" s="117"/>
      <c r="R2569" s="117"/>
      <c r="S2569" s="117"/>
      <c r="T2569" s="117"/>
      <c r="U2569" s="117"/>
      <c r="V2569" s="117"/>
      <c r="W2569" s="117"/>
      <c r="X2569" s="117"/>
      <c r="Y2569" s="117"/>
      <c r="Z2569" s="117"/>
      <c r="AA2569" s="117"/>
      <c r="AB2569" s="117"/>
      <c r="AC2569" s="117"/>
      <c r="AD2569" s="117"/>
      <c r="AE2569" s="117"/>
      <c r="AF2569" s="117"/>
      <c r="AG2569" s="117"/>
      <c r="AH2569" s="117"/>
      <c r="AI2569" s="117"/>
      <c r="AJ2569" s="117"/>
      <c r="AK2569" s="117"/>
      <c r="AL2569" s="117"/>
      <c r="AM2569" s="117"/>
      <c r="AN2569" s="117"/>
      <c r="AO2569" s="117"/>
    </row>
    <row r="2570" ht="12.75" customHeight="1">
      <c r="A2570" s="117"/>
      <c r="B2570" s="117"/>
      <c r="C2570" s="117"/>
      <c r="D2570" s="117"/>
      <c r="E2570" s="117"/>
      <c r="F2570" s="117"/>
      <c r="G2570" s="117"/>
      <c r="H2570" s="117"/>
      <c r="I2570" s="117"/>
      <c r="J2570" s="117"/>
      <c r="K2570" s="117"/>
      <c r="L2570" s="117"/>
      <c r="M2570" s="117"/>
      <c r="N2570" s="117"/>
      <c r="O2570" s="117"/>
      <c r="P2570" s="117"/>
      <c r="Q2570" s="117"/>
      <c r="R2570" s="117"/>
      <c r="S2570" s="117"/>
      <c r="T2570" s="117"/>
      <c r="U2570" s="117"/>
      <c r="V2570" s="117"/>
      <c r="W2570" s="117"/>
      <c r="X2570" s="117"/>
      <c r="Y2570" s="117"/>
      <c r="Z2570" s="117"/>
      <c r="AA2570" s="117"/>
      <c r="AB2570" s="117"/>
      <c r="AC2570" s="117"/>
      <c r="AD2570" s="117"/>
      <c r="AE2570" s="117"/>
      <c r="AF2570" s="117"/>
      <c r="AG2570" s="117"/>
      <c r="AH2570" s="117"/>
      <c r="AI2570" s="117"/>
      <c r="AJ2570" s="117"/>
      <c r="AK2570" s="117"/>
      <c r="AL2570" s="117"/>
      <c r="AM2570" s="117"/>
      <c r="AN2570" s="117"/>
      <c r="AO2570" s="117"/>
    </row>
    <row r="2571" ht="12.75" customHeight="1">
      <c r="A2571" s="117"/>
      <c r="B2571" s="117"/>
      <c r="C2571" s="117"/>
      <c r="D2571" s="117"/>
      <c r="E2571" s="117"/>
      <c r="F2571" s="117"/>
      <c r="G2571" s="117"/>
      <c r="H2571" s="117"/>
      <c r="I2571" s="117"/>
      <c r="J2571" s="117"/>
      <c r="K2571" s="117"/>
      <c r="L2571" s="117"/>
      <c r="M2571" s="117"/>
      <c r="N2571" s="117"/>
      <c r="O2571" s="117"/>
      <c r="P2571" s="117"/>
      <c r="Q2571" s="117"/>
      <c r="R2571" s="117"/>
      <c r="S2571" s="117"/>
      <c r="T2571" s="117"/>
      <c r="U2571" s="117"/>
      <c r="V2571" s="117"/>
      <c r="W2571" s="117"/>
      <c r="X2571" s="117"/>
      <c r="Y2571" s="117"/>
      <c r="Z2571" s="117"/>
      <c r="AA2571" s="117"/>
      <c r="AB2571" s="117"/>
      <c r="AC2571" s="117"/>
      <c r="AD2571" s="117"/>
      <c r="AE2571" s="117"/>
      <c r="AF2571" s="117"/>
      <c r="AG2571" s="117"/>
      <c r="AH2571" s="117"/>
      <c r="AI2571" s="117"/>
      <c r="AJ2571" s="117"/>
      <c r="AK2571" s="117"/>
      <c r="AL2571" s="117"/>
      <c r="AM2571" s="117"/>
      <c r="AN2571" s="117"/>
      <c r="AO2571" s="117"/>
    </row>
    <row r="2572" ht="12.75" customHeight="1">
      <c r="A2572" s="117"/>
      <c r="B2572" s="117"/>
      <c r="C2572" s="117"/>
      <c r="D2572" s="117"/>
      <c r="E2572" s="117"/>
      <c r="F2572" s="117"/>
      <c r="G2572" s="117"/>
      <c r="H2572" s="117"/>
      <c r="I2572" s="117"/>
      <c r="J2572" s="117"/>
      <c r="K2572" s="117"/>
      <c r="L2572" s="117"/>
      <c r="M2572" s="117"/>
      <c r="N2572" s="117"/>
      <c r="O2572" s="117"/>
      <c r="P2572" s="117"/>
      <c r="Q2572" s="117"/>
      <c r="R2572" s="117"/>
      <c r="S2572" s="117"/>
      <c r="T2572" s="117"/>
      <c r="U2572" s="117"/>
      <c r="V2572" s="117"/>
      <c r="W2572" s="117"/>
      <c r="X2572" s="117"/>
      <c r="Y2572" s="117"/>
      <c r="Z2572" s="117"/>
      <c r="AA2572" s="117"/>
      <c r="AB2572" s="117"/>
      <c r="AC2572" s="117"/>
      <c r="AD2572" s="117"/>
      <c r="AE2572" s="117"/>
      <c r="AF2572" s="117"/>
      <c r="AG2572" s="117"/>
      <c r="AH2572" s="117"/>
      <c r="AI2572" s="117"/>
      <c r="AJ2572" s="117"/>
      <c r="AK2572" s="117"/>
      <c r="AL2572" s="117"/>
      <c r="AM2572" s="117"/>
      <c r="AN2572" s="117"/>
      <c r="AO2572" s="117"/>
    </row>
    <row r="2573" ht="12.75" customHeight="1">
      <c r="A2573" s="117"/>
      <c r="B2573" s="117"/>
      <c r="C2573" s="117"/>
      <c r="D2573" s="117"/>
      <c r="E2573" s="117"/>
      <c r="F2573" s="117"/>
      <c r="G2573" s="117"/>
      <c r="H2573" s="117"/>
      <c r="I2573" s="117"/>
      <c r="J2573" s="117"/>
      <c r="K2573" s="117"/>
      <c r="L2573" s="117"/>
      <c r="M2573" s="117"/>
      <c r="N2573" s="117"/>
      <c r="O2573" s="117"/>
      <c r="P2573" s="117"/>
      <c r="Q2573" s="117"/>
      <c r="R2573" s="117"/>
      <c r="S2573" s="117"/>
      <c r="T2573" s="117"/>
      <c r="U2573" s="117"/>
      <c r="V2573" s="117"/>
      <c r="W2573" s="117"/>
      <c r="X2573" s="117"/>
      <c r="Y2573" s="117"/>
      <c r="Z2573" s="117"/>
      <c r="AA2573" s="117"/>
      <c r="AB2573" s="117"/>
      <c r="AC2573" s="117"/>
      <c r="AD2573" s="117"/>
      <c r="AE2573" s="117"/>
      <c r="AF2573" s="117"/>
      <c r="AG2573" s="117"/>
      <c r="AH2573" s="117"/>
      <c r="AI2573" s="117"/>
      <c r="AJ2573" s="117"/>
      <c r="AK2573" s="117"/>
      <c r="AL2573" s="117"/>
      <c r="AM2573" s="117"/>
      <c r="AN2573" s="117"/>
      <c r="AO2573" s="117"/>
    </row>
    <row r="2574" ht="12.75" customHeight="1">
      <c r="A2574" s="117"/>
      <c r="B2574" s="117"/>
      <c r="C2574" s="117"/>
      <c r="D2574" s="117"/>
      <c r="E2574" s="117"/>
      <c r="F2574" s="117"/>
      <c r="G2574" s="117"/>
      <c r="H2574" s="117"/>
      <c r="I2574" s="117"/>
      <c r="J2574" s="117"/>
      <c r="K2574" s="117"/>
      <c r="L2574" s="117"/>
      <c r="M2574" s="117"/>
      <c r="N2574" s="117"/>
      <c r="O2574" s="117"/>
      <c r="P2574" s="117"/>
      <c r="Q2574" s="117"/>
      <c r="R2574" s="117"/>
      <c r="S2574" s="117"/>
      <c r="T2574" s="117"/>
      <c r="U2574" s="117"/>
      <c r="V2574" s="117"/>
      <c r="W2574" s="117"/>
      <c r="X2574" s="117"/>
      <c r="Y2574" s="117"/>
      <c r="Z2574" s="117"/>
      <c r="AA2574" s="117"/>
      <c r="AB2574" s="117"/>
      <c r="AC2574" s="117"/>
      <c r="AD2574" s="117"/>
      <c r="AE2574" s="117"/>
      <c r="AF2574" s="117"/>
      <c r="AG2574" s="117"/>
      <c r="AH2574" s="117"/>
      <c r="AI2574" s="117"/>
      <c r="AJ2574" s="117"/>
      <c r="AK2574" s="117"/>
      <c r="AL2574" s="117"/>
      <c r="AM2574" s="117"/>
      <c r="AN2574" s="117"/>
      <c r="AO2574" s="117"/>
    </row>
    <row r="2575" ht="12.75" customHeight="1">
      <c r="A2575" s="117"/>
      <c r="B2575" s="117"/>
      <c r="C2575" s="117"/>
      <c r="D2575" s="117"/>
      <c r="E2575" s="117"/>
      <c r="F2575" s="117"/>
      <c r="G2575" s="117"/>
      <c r="H2575" s="117"/>
      <c r="I2575" s="117"/>
      <c r="J2575" s="117"/>
      <c r="K2575" s="117"/>
      <c r="L2575" s="117"/>
      <c r="M2575" s="117"/>
      <c r="N2575" s="117"/>
      <c r="O2575" s="117"/>
      <c r="P2575" s="117"/>
      <c r="Q2575" s="117"/>
      <c r="R2575" s="117"/>
      <c r="S2575" s="117"/>
      <c r="T2575" s="117"/>
      <c r="U2575" s="117"/>
      <c r="V2575" s="117"/>
      <c r="W2575" s="117"/>
      <c r="X2575" s="117"/>
      <c r="Y2575" s="117"/>
      <c r="Z2575" s="117"/>
      <c r="AA2575" s="117"/>
      <c r="AB2575" s="117"/>
      <c r="AC2575" s="117"/>
      <c r="AD2575" s="117"/>
      <c r="AE2575" s="117"/>
      <c r="AF2575" s="117"/>
      <c r="AG2575" s="117"/>
      <c r="AH2575" s="117"/>
      <c r="AI2575" s="117"/>
      <c r="AJ2575" s="117"/>
      <c r="AK2575" s="117"/>
      <c r="AL2575" s="117"/>
      <c r="AM2575" s="117"/>
      <c r="AN2575" s="117"/>
      <c r="AO2575" s="117"/>
    </row>
    <row r="2576" ht="12.75" customHeight="1">
      <c r="A2576" s="117"/>
      <c r="B2576" s="117"/>
      <c r="C2576" s="117"/>
      <c r="D2576" s="117"/>
      <c r="E2576" s="117"/>
      <c r="F2576" s="117"/>
      <c r="G2576" s="117"/>
      <c r="H2576" s="117"/>
      <c r="I2576" s="117"/>
      <c r="J2576" s="117"/>
      <c r="K2576" s="117"/>
      <c r="L2576" s="117"/>
      <c r="M2576" s="117"/>
      <c r="N2576" s="117"/>
      <c r="O2576" s="117"/>
      <c r="P2576" s="117"/>
      <c r="Q2576" s="117"/>
      <c r="R2576" s="117"/>
      <c r="S2576" s="117"/>
      <c r="T2576" s="117"/>
      <c r="U2576" s="117"/>
      <c r="V2576" s="117"/>
      <c r="W2576" s="117"/>
      <c r="X2576" s="117"/>
      <c r="Y2576" s="117"/>
      <c r="Z2576" s="117"/>
      <c r="AA2576" s="117"/>
      <c r="AB2576" s="117"/>
      <c r="AC2576" s="117"/>
      <c r="AD2576" s="117"/>
      <c r="AE2576" s="117"/>
      <c r="AF2576" s="117"/>
      <c r="AG2576" s="117"/>
      <c r="AH2576" s="117"/>
      <c r="AI2576" s="117"/>
      <c r="AJ2576" s="117"/>
      <c r="AK2576" s="117"/>
      <c r="AL2576" s="117"/>
      <c r="AM2576" s="117"/>
      <c r="AN2576" s="117"/>
      <c r="AO2576" s="117"/>
    </row>
    <row r="2577" ht="12.75" customHeight="1">
      <c r="A2577" s="117"/>
      <c r="B2577" s="117"/>
      <c r="C2577" s="117"/>
      <c r="D2577" s="117"/>
      <c r="E2577" s="117"/>
      <c r="F2577" s="117"/>
      <c r="G2577" s="117"/>
      <c r="H2577" s="117"/>
      <c r="I2577" s="117"/>
      <c r="J2577" s="117"/>
      <c r="K2577" s="117"/>
      <c r="L2577" s="117"/>
      <c r="M2577" s="117"/>
      <c r="N2577" s="117"/>
      <c r="O2577" s="117"/>
      <c r="P2577" s="117"/>
      <c r="Q2577" s="117"/>
      <c r="R2577" s="117"/>
      <c r="S2577" s="117"/>
      <c r="T2577" s="117"/>
      <c r="U2577" s="117"/>
      <c r="V2577" s="117"/>
      <c r="W2577" s="117"/>
      <c r="X2577" s="117"/>
      <c r="Y2577" s="117"/>
      <c r="Z2577" s="117"/>
      <c r="AA2577" s="117"/>
      <c r="AB2577" s="117"/>
      <c r="AC2577" s="117"/>
      <c r="AD2577" s="117"/>
      <c r="AE2577" s="117"/>
      <c r="AF2577" s="117"/>
      <c r="AG2577" s="117"/>
      <c r="AH2577" s="117"/>
      <c r="AI2577" s="117"/>
      <c r="AJ2577" s="117"/>
      <c r="AK2577" s="117"/>
      <c r="AL2577" s="117"/>
      <c r="AM2577" s="117"/>
      <c r="AN2577" s="117"/>
      <c r="AO2577" s="117"/>
    </row>
    <row r="2578" ht="12.75" customHeight="1">
      <c r="A2578" s="117"/>
      <c r="B2578" s="117"/>
      <c r="C2578" s="117"/>
      <c r="D2578" s="117"/>
      <c r="E2578" s="117"/>
      <c r="F2578" s="117"/>
      <c r="G2578" s="117"/>
      <c r="H2578" s="117"/>
      <c r="I2578" s="117"/>
      <c r="J2578" s="117"/>
      <c r="K2578" s="117"/>
      <c r="L2578" s="117"/>
      <c r="M2578" s="117"/>
      <c r="N2578" s="117"/>
      <c r="O2578" s="117"/>
      <c r="P2578" s="117"/>
      <c r="Q2578" s="117"/>
      <c r="R2578" s="117"/>
      <c r="S2578" s="117"/>
      <c r="T2578" s="117"/>
      <c r="U2578" s="117"/>
      <c r="V2578" s="117"/>
      <c r="W2578" s="117"/>
      <c r="X2578" s="117"/>
      <c r="Y2578" s="117"/>
      <c r="Z2578" s="117"/>
      <c r="AA2578" s="117"/>
      <c r="AB2578" s="117"/>
      <c r="AC2578" s="117"/>
      <c r="AD2578" s="117"/>
      <c r="AE2578" s="117"/>
      <c r="AF2578" s="117"/>
      <c r="AG2578" s="117"/>
      <c r="AH2578" s="117"/>
      <c r="AI2578" s="117"/>
      <c r="AJ2578" s="117"/>
      <c r="AK2578" s="117"/>
      <c r="AL2578" s="117"/>
      <c r="AM2578" s="117"/>
      <c r="AN2578" s="117"/>
      <c r="AO2578" s="117"/>
    </row>
    <row r="2579" ht="12.75" customHeight="1">
      <c r="A2579" s="117"/>
      <c r="B2579" s="117"/>
      <c r="C2579" s="117"/>
      <c r="D2579" s="117"/>
      <c r="E2579" s="117"/>
      <c r="F2579" s="117"/>
      <c r="G2579" s="117"/>
      <c r="H2579" s="117"/>
      <c r="I2579" s="117"/>
      <c r="J2579" s="117"/>
      <c r="K2579" s="117"/>
      <c r="L2579" s="117"/>
      <c r="M2579" s="117"/>
      <c r="N2579" s="117"/>
      <c r="O2579" s="117"/>
      <c r="P2579" s="117"/>
      <c r="Q2579" s="117"/>
      <c r="R2579" s="117"/>
      <c r="S2579" s="117"/>
      <c r="T2579" s="117"/>
      <c r="U2579" s="117"/>
      <c r="V2579" s="117"/>
      <c r="W2579" s="117"/>
      <c r="X2579" s="117"/>
      <c r="Y2579" s="117"/>
      <c r="Z2579" s="117"/>
      <c r="AA2579" s="117"/>
      <c r="AB2579" s="117"/>
      <c r="AC2579" s="117"/>
      <c r="AD2579" s="117"/>
      <c r="AE2579" s="117"/>
      <c r="AF2579" s="117"/>
      <c r="AG2579" s="117"/>
      <c r="AH2579" s="117"/>
      <c r="AI2579" s="117"/>
      <c r="AJ2579" s="117"/>
      <c r="AK2579" s="117"/>
      <c r="AL2579" s="117"/>
      <c r="AM2579" s="117"/>
      <c r="AN2579" s="117"/>
      <c r="AO2579" s="117"/>
    </row>
    <row r="2580" ht="12.75" customHeight="1">
      <c r="A2580" s="117"/>
      <c r="B2580" s="117"/>
      <c r="C2580" s="117"/>
      <c r="D2580" s="117"/>
      <c r="E2580" s="117"/>
      <c r="F2580" s="117"/>
      <c r="G2580" s="117"/>
      <c r="H2580" s="117"/>
      <c r="I2580" s="117"/>
      <c r="J2580" s="117"/>
      <c r="K2580" s="117"/>
      <c r="L2580" s="117"/>
      <c r="M2580" s="117"/>
      <c r="N2580" s="117"/>
      <c r="O2580" s="117"/>
      <c r="P2580" s="117"/>
      <c r="Q2580" s="117"/>
      <c r="R2580" s="117"/>
      <c r="S2580" s="117"/>
      <c r="T2580" s="117"/>
      <c r="U2580" s="117"/>
      <c r="V2580" s="117"/>
      <c r="W2580" s="117"/>
      <c r="X2580" s="117"/>
      <c r="Y2580" s="117"/>
      <c r="Z2580" s="117"/>
      <c r="AA2580" s="117"/>
      <c r="AB2580" s="117"/>
      <c r="AC2580" s="117"/>
      <c r="AD2580" s="117"/>
      <c r="AE2580" s="117"/>
      <c r="AF2580" s="117"/>
      <c r="AG2580" s="117"/>
      <c r="AH2580" s="117"/>
      <c r="AI2580" s="117"/>
      <c r="AJ2580" s="117"/>
      <c r="AK2580" s="117"/>
      <c r="AL2580" s="117"/>
      <c r="AM2580" s="117"/>
      <c r="AN2580" s="117"/>
      <c r="AO2580" s="117"/>
    </row>
    <row r="2581" ht="12.75" customHeight="1">
      <c r="A2581" s="117"/>
      <c r="B2581" s="117"/>
      <c r="C2581" s="117"/>
      <c r="D2581" s="117"/>
      <c r="E2581" s="117"/>
      <c r="F2581" s="117"/>
      <c r="G2581" s="117"/>
      <c r="H2581" s="117"/>
      <c r="I2581" s="117"/>
      <c r="J2581" s="117"/>
      <c r="K2581" s="117"/>
      <c r="L2581" s="117"/>
      <c r="M2581" s="117"/>
      <c r="N2581" s="117"/>
      <c r="O2581" s="117"/>
      <c r="P2581" s="117"/>
      <c r="Q2581" s="117"/>
      <c r="R2581" s="117"/>
      <c r="S2581" s="117"/>
      <c r="T2581" s="117"/>
      <c r="U2581" s="117"/>
      <c r="V2581" s="117"/>
      <c r="W2581" s="117"/>
      <c r="X2581" s="117"/>
      <c r="Y2581" s="117"/>
      <c r="Z2581" s="117"/>
      <c r="AA2581" s="117"/>
      <c r="AB2581" s="117"/>
      <c r="AC2581" s="117"/>
      <c r="AD2581" s="117"/>
      <c r="AE2581" s="117"/>
      <c r="AF2581" s="117"/>
      <c r="AG2581" s="117"/>
      <c r="AH2581" s="117"/>
      <c r="AI2581" s="117"/>
      <c r="AJ2581" s="117"/>
      <c r="AK2581" s="117"/>
      <c r="AL2581" s="117"/>
      <c r="AM2581" s="117"/>
      <c r="AN2581" s="117"/>
      <c r="AO2581" s="117"/>
    </row>
    <row r="2582" ht="12.75" customHeight="1">
      <c r="A2582" s="117"/>
      <c r="B2582" s="117"/>
      <c r="C2582" s="117"/>
      <c r="D2582" s="117"/>
      <c r="E2582" s="117"/>
      <c r="F2582" s="117"/>
      <c r="G2582" s="117"/>
      <c r="H2582" s="117"/>
      <c r="I2582" s="117"/>
      <c r="J2582" s="117"/>
      <c r="K2582" s="117"/>
      <c r="L2582" s="117"/>
      <c r="M2582" s="117"/>
      <c r="N2582" s="117"/>
      <c r="O2582" s="117"/>
      <c r="P2582" s="117"/>
      <c r="Q2582" s="117"/>
      <c r="R2582" s="117"/>
      <c r="S2582" s="117"/>
      <c r="T2582" s="117"/>
      <c r="U2582" s="117"/>
      <c r="V2582" s="117"/>
      <c r="W2582" s="117"/>
      <c r="X2582" s="117"/>
      <c r="Y2582" s="117"/>
      <c r="Z2582" s="117"/>
      <c r="AA2582" s="117"/>
      <c r="AB2582" s="117"/>
      <c r="AC2582" s="117"/>
      <c r="AD2582" s="117"/>
      <c r="AE2582" s="117"/>
      <c r="AF2582" s="117"/>
      <c r="AG2582" s="117"/>
      <c r="AH2582" s="117"/>
      <c r="AI2582" s="117"/>
      <c r="AJ2582" s="117"/>
      <c r="AK2582" s="117"/>
      <c r="AL2582" s="117"/>
      <c r="AM2582" s="117"/>
      <c r="AN2582" s="117"/>
      <c r="AO2582" s="117"/>
    </row>
    <row r="2583" ht="12.75" customHeight="1">
      <c r="A2583" s="117"/>
      <c r="B2583" s="117"/>
      <c r="C2583" s="117"/>
      <c r="D2583" s="117"/>
      <c r="E2583" s="117"/>
      <c r="F2583" s="117"/>
      <c r="G2583" s="117"/>
      <c r="H2583" s="117"/>
      <c r="I2583" s="117"/>
      <c r="J2583" s="117"/>
      <c r="K2583" s="117"/>
      <c r="L2583" s="117"/>
      <c r="M2583" s="117"/>
      <c r="N2583" s="117"/>
      <c r="O2583" s="117"/>
      <c r="P2583" s="117"/>
      <c r="Q2583" s="117"/>
      <c r="R2583" s="117"/>
      <c r="S2583" s="117"/>
      <c r="T2583" s="117"/>
      <c r="U2583" s="117"/>
      <c r="V2583" s="117"/>
      <c r="W2583" s="117"/>
      <c r="X2583" s="117"/>
      <c r="Y2583" s="117"/>
      <c r="Z2583" s="117"/>
      <c r="AA2583" s="117"/>
      <c r="AB2583" s="117"/>
      <c r="AC2583" s="117"/>
      <c r="AD2583" s="117"/>
      <c r="AE2583" s="117"/>
      <c r="AF2583" s="117"/>
      <c r="AG2583" s="117"/>
      <c r="AH2583" s="117"/>
      <c r="AI2583" s="117"/>
      <c r="AJ2583" s="117"/>
      <c r="AK2583" s="117"/>
      <c r="AL2583" s="117"/>
      <c r="AM2583" s="117"/>
      <c r="AN2583" s="117"/>
      <c r="AO2583" s="117"/>
    </row>
    <row r="2584" ht="12.75" customHeight="1">
      <c r="A2584" s="117"/>
      <c r="B2584" s="117"/>
      <c r="C2584" s="117"/>
      <c r="D2584" s="117"/>
      <c r="E2584" s="117"/>
      <c r="F2584" s="117"/>
      <c r="G2584" s="117"/>
      <c r="H2584" s="117"/>
      <c r="I2584" s="117"/>
      <c r="J2584" s="117"/>
      <c r="K2584" s="117"/>
      <c r="L2584" s="117"/>
      <c r="M2584" s="117"/>
      <c r="N2584" s="117"/>
      <c r="O2584" s="117"/>
      <c r="P2584" s="117"/>
      <c r="Q2584" s="117"/>
      <c r="R2584" s="117"/>
      <c r="S2584" s="117"/>
      <c r="T2584" s="117"/>
      <c r="U2584" s="117"/>
      <c r="V2584" s="117"/>
      <c r="W2584" s="117"/>
      <c r="X2584" s="117"/>
      <c r="Y2584" s="117"/>
      <c r="Z2584" s="117"/>
      <c r="AA2584" s="117"/>
      <c r="AB2584" s="117"/>
      <c r="AC2584" s="117"/>
      <c r="AD2584" s="117"/>
      <c r="AE2584" s="117"/>
      <c r="AF2584" s="117"/>
      <c r="AG2584" s="117"/>
      <c r="AH2584" s="117"/>
      <c r="AI2584" s="117"/>
      <c r="AJ2584" s="117"/>
      <c r="AK2584" s="117"/>
      <c r="AL2584" s="117"/>
      <c r="AM2584" s="117"/>
      <c r="AN2584" s="117"/>
      <c r="AO2584" s="117"/>
    </row>
    <row r="2585" ht="12.75" customHeight="1">
      <c r="A2585" s="117"/>
      <c r="B2585" s="117"/>
      <c r="C2585" s="117"/>
      <c r="D2585" s="117"/>
      <c r="E2585" s="117"/>
      <c r="F2585" s="117"/>
      <c r="G2585" s="117"/>
      <c r="H2585" s="117"/>
      <c r="I2585" s="117"/>
      <c r="J2585" s="117"/>
      <c r="K2585" s="117"/>
      <c r="L2585" s="117"/>
      <c r="M2585" s="117"/>
      <c r="N2585" s="117"/>
      <c r="O2585" s="117"/>
      <c r="P2585" s="117"/>
      <c r="Q2585" s="117"/>
      <c r="R2585" s="117"/>
      <c r="S2585" s="117"/>
      <c r="T2585" s="117"/>
      <c r="U2585" s="117"/>
      <c r="V2585" s="117"/>
      <c r="W2585" s="117"/>
      <c r="X2585" s="117"/>
      <c r="Y2585" s="117"/>
      <c r="Z2585" s="117"/>
      <c r="AA2585" s="117"/>
      <c r="AB2585" s="117"/>
      <c r="AC2585" s="117"/>
      <c r="AD2585" s="117"/>
      <c r="AE2585" s="117"/>
      <c r="AF2585" s="117"/>
      <c r="AG2585" s="117"/>
      <c r="AH2585" s="117"/>
      <c r="AI2585" s="117"/>
      <c r="AJ2585" s="117"/>
      <c r="AK2585" s="117"/>
      <c r="AL2585" s="117"/>
      <c r="AM2585" s="117"/>
      <c r="AN2585" s="117"/>
      <c r="AO2585" s="117"/>
    </row>
    <row r="2586" ht="12.75" customHeight="1">
      <c r="A2586" s="117"/>
      <c r="B2586" s="117"/>
      <c r="C2586" s="117"/>
      <c r="D2586" s="117"/>
      <c r="E2586" s="117"/>
      <c r="F2586" s="117"/>
      <c r="G2586" s="117"/>
      <c r="H2586" s="117"/>
      <c r="I2586" s="117"/>
      <c r="J2586" s="117"/>
      <c r="K2586" s="117"/>
      <c r="L2586" s="117"/>
      <c r="M2586" s="117"/>
      <c r="N2586" s="117"/>
      <c r="O2586" s="117"/>
      <c r="P2586" s="117"/>
      <c r="Q2586" s="117"/>
      <c r="R2586" s="117"/>
      <c r="S2586" s="117"/>
      <c r="T2586" s="117"/>
      <c r="U2586" s="117"/>
      <c r="V2586" s="117"/>
      <c r="W2586" s="117"/>
      <c r="X2586" s="117"/>
      <c r="Y2586" s="117"/>
      <c r="Z2586" s="117"/>
      <c r="AA2586" s="117"/>
      <c r="AB2586" s="117"/>
      <c r="AC2586" s="117"/>
      <c r="AD2586" s="117"/>
      <c r="AE2586" s="117"/>
      <c r="AF2586" s="117"/>
      <c r="AG2586" s="117"/>
      <c r="AH2586" s="117"/>
      <c r="AI2586" s="117"/>
      <c r="AJ2586" s="117"/>
      <c r="AK2586" s="117"/>
      <c r="AL2586" s="117"/>
      <c r="AM2586" s="117"/>
      <c r="AN2586" s="117"/>
      <c r="AO2586" s="117"/>
    </row>
    <row r="2587" ht="12.75" customHeight="1">
      <c r="A2587" s="117"/>
      <c r="B2587" s="117"/>
      <c r="C2587" s="117"/>
      <c r="D2587" s="117"/>
      <c r="E2587" s="117"/>
      <c r="F2587" s="117"/>
      <c r="G2587" s="117"/>
      <c r="H2587" s="117"/>
      <c r="I2587" s="117"/>
      <c r="J2587" s="117"/>
      <c r="K2587" s="117"/>
      <c r="L2587" s="117"/>
      <c r="M2587" s="117"/>
      <c r="N2587" s="117"/>
      <c r="O2587" s="117"/>
      <c r="P2587" s="117"/>
      <c r="Q2587" s="117"/>
      <c r="R2587" s="117"/>
      <c r="S2587" s="117"/>
      <c r="T2587" s="117"/>
      <c r="U2587" s="117"/>
      <c r="V2587" s="117"/>
      <c r="W2587" s="117"/>
      <c r="X2587" s="117"/>
      <c r="Y2587" s="117"/>
      <c r="Z2587" s="117"/>
      <c r="AA2587" s="117"/>
      <c r="AB2587" s="117"/>
      <c r="AC2587" s="117"/>
      <c r="AD2587" s="117"/>
      <c r="AE2587" s="117"/>
      <c r="AF2587" s="117"/>
      <c r="AG2587" s="117"/>
      <c r="AH2587" s="117"/>
      <c r="AI2587" s="117"/>
      <c r="AJ2587" s="117"/>
      <c r="AK2587" s="117"/>
      <c r="AL2587" s="117"/>
      <c r="AM2587" s="117"/>
      <c r="AN2587" s="117"/>
      <c r="AO2587" s="117"/>
    </row>
    <row r="2588" ht="12.75" customHeight="1">
      <c r="A2588" s="117"/>
      <c r="B2588" s="117"/>
      <c r="C2588" s="117"/>
      <c r="D2588" s="117"/>
      <c r="E2588" s="117"/>
      <c r="F2588" s="117"/>
      <c r="G2588" s="117"/>
      <c r="H2588" s="117"/>
      <c r="I2588" s="117"/>
      <c r="J2588" s="117"/>
      <c r="K2588" s="117"/>
      <c r="L2588" s="117"/>
      <c r="M2588" s="117"/>
      <c r="N2588" s="117"/>
      <c r="O2588" s="117"/>
      <c r="P2588" s="117"/>
      <c r="Q2588" s="117"/>
      <c r="R2588" s="117"/>
      <c r="S2588" s="117"/>
      <c r="T2588" s="117"/>
      <c r="U2588" s="117"/>
      <c r="V2588" s="117"/>
      <c r="W2588" s="117"/>
      <c r="X2588" s="117"/>
      <c r="Y2588" s="117"/>
      <c r="Z2588" s="117"/>
      <c r="AA2588" s="117"/>
      <c r="AB2588" s="117"/>
      <c r="AC2588" s="117"/>
      <c r="AD2588" s="117"/>
      <c r="AE2588" s="117"/>
      <c r="AF2588" s="117"/>
      <c r="AG2588" s="117"/>
      <c r="AH2588" s="117"/>
      <c r="AI2588" s="117"/>
      <c r="AJ2588" s="117"/>
      <c r="AK2588" s="117"/>
      <c r="AL2588" s="117"/>
      <c r="AM2588" s="117"/>
      <c r="AN2588" s="117"/>
      <c r="AO2588" s="117"/>
    </row>
    <row r="2589" ht="12.75" customHeight="1">
      <c r="A2589" s="117"/>
      <c r="B2589" s="117"/>
      <c r="C2589" s="117"/>
      <c r="D2589" s="117"/>
      <c r="E2589" s="117"/>
      <c r="F2589" s="117"/>
      <c r="G2589" s="117"/>
      <c r="H2589" s="117"/>
      <c r="I2589" s="117"/>
      <c r="J2589" s="117"/>
      <c r="K2589" s="117"/>
      <c r="L2589" s="117"/>
      <c r="M2589" s="117"/>
      <c r="N2589" s="117"/>
      <c r="O2589" s="117"/>
      <c r="P2589" s="117"/>
      <c r="Q2589" s="117"/>
      <c r="R2589" s="117"/>
      <c r="S2589" s="117"/>
      <c r="T2589" s="117"/>
      <c r="U2589" s="117"/>
      <c r="V2589" s="117"/>
      <c r="W2589" s="117"/>
      <c r="X2589" s="117"/>
      <c r="Y2589" s="117"/>
      <c r="Z2589" s="117"/>
      <c r="AA2589" s="117"/>
      <c r="AB2589" s="117"/>
      <c r="AC2589" s="117"/>
      <c r="AD2589" s="117"/>
      <c r="AE2589" s="117"/>
      <c r="AF2589" s="117"/>
      <c r="AG2589" s="117"/>
      <c r="AH2589" s="117"/>
      <c r="AI2589" s="117"/>
      <c r="AJ2589" s="117"/>
      <c r="AK2589" s="117"/>
      <c r="AL2589" s="117"/>
      <c r="AM2589" s="117"/>
      <c r="AN2589" s="117"/>
      <c r="AO2589" s="117"/>
    </row>
    <row r="2590" ht="12.75" customHeight="1">
      <c r="A2590" s="117"/>
      <c r="B2590" s="117"/>
      <c r="C2590" s="117"/>
      <c r="D2590" s="117"/>
      <c r="E2590" s="117"/>
      <c r="F2590" s="117"/>
      <c r="G2590" s="117"/>
      <c r="H2590" s="117"/>
      <c r="I2590" s="117"/>
      <c r="J2590" s="117"/>
      <c r="K2590" s="117"/>
      <c r="L2590" s="117"/>
      <c r="M2590" s="117"/>
      <c r="N2590" s="117"/>
      <c r="O2590" s="117"/>
      <c r="P2590" s="117"/>
      <c r="Q2590" s="117"/>
      <c r="R2590" s="117"/>
      <c r="S2590" s="117"/>
      <c r="T2590" s="117"/>
      <c r="U2590" s="117"/>
      <c r="V2590" s="117"/>
      <c r="W2590" s="117"/>
      <c r="X2590" s="117"/>
      <c r="Y2590" s="117"/>
      <c r="Z2590" s="117"/>
      <c r="AA2590" s="117"/>
      <c r="AB2590" s="117"/>
      <c r="AC2590" s="117"/>
      <c r="AD2590" s="117"/>
      <c r="AE2590" s="117"/>
      <c r="AF2590" s="117"/>
      <c r="AG2590" s="117"/>
      <c r="AH2590" s="117"/>
      <c r="AI2590" s="117"/>
      <c r="AJ2590" s="117"/>
      <c r="AK2590" s="117"/>
      <c r="AL2590" s="117"/>
      <c r="AM2590" s="117"/>
      <c r="AN2590" s="117"/>
      <c r="AO2590" s="117"/>
    </row>
    <row r="2591" ht="12.75" customHeight="1">
      <c r="A2591" s="117"/>
      <c r="B2591" s="117"/>
      <c r="C2591" s="117"/>
      <c r="D2591" s="117"/>
      <c r="E2591" s="117"/>
      <c r="F2591" s="117"/>
      <c r="G2591" s="117"/>
      <c r="H2591" s="117"/>
      <c r="I2591" s="117"/>
      <c r="J2591" s="117"/>
      <c r="K2591" s="117"/>
      <c r="L2591" s="117"/>
      <c r="M2591" s="117"/>
      <c r="N2591" s="117"/>
      <c r="O2591" s="117"/>
      <c r="P2591" s="117"/>
      <c r="Q2591" s="117"/>
      <c r="R2591" s="117"/>
      <c r="S2591" s="117"/>
      <c r="T2591" s="117"/>
      <c r="U2591" s="117"/>
      <c r="V2591" s="117"/>
      <c r="W2591" s="117"/>
      <c r="X2591" s="117"/>
      <c r="Y2591" s="117"/>
      <c r="Z2591" s="117"/>
      <c r="AA2591" s="117"/>
      <c r="AB2591" s="117"/>
      <c r="AC2591" s="117"/>
      <c r="AD2591" s="117"/>
      <c r="AE2591" s="117"/>
      <c r="AF2591" s="117"/>
      <c r="AG2591" s="117"/>
      <c r="AH2591" s="117"/>
      <c r="AI2591" s="117"/>
      <c r="AJ2591" s="117"/>
      <c r="AK2591" s="117"/>
      <c r="AL2591" s="117"/>
      <c r="AM2591" s="117"/>
      <c r="AN2591" s="117"/>
      <c r="AO2591" s="117"/>
    </row>
    <row r="2592" ht="12.75" customHeight="1">
      <c r="A2592" s="117"/>
      <c r="B2592" s="117"/>
      <c r="C2592" s="117"/>
      <c r="D2592" s="117"/>
      <c r="E2592" s="117"/>
      <c r="F2592" s="117"/>
      <c r="G2592" s="117"/>
      <c r="H2592" s="117"/>
      <c r="I2592" s="117"/>
      <c r="J2592" s="117"/>
      <c r="K2592" s="117"/>
      <c r="L2592" s="117"/>
      <c r="M2592" s="117"/>
      <c r="N2592" s="117"/>
      <c r="O2592" s="117"/>
      <c r="P2592" s="117"/>
      <c r="Q2592" s="117"/>
      <c r="R2592" s="117"/>
      <c r="S2592" s="117"/>
      <c r="T2592" s="117"/>
      <c r="U2592" s="117"/>
      <c r="V2592" s="117"/>
      <c r="W2592" s="117"/>
      <c r="X2592" s="117"/>
      <c r="Y2592" s="117"/>
      <c r="Z2592" s="117"/>
      <c r="AA2592" s="117"/>
      <c r="AB2592" s="117"/>
      <c r="AC2592" s="117"/>
      <c r="AD2592" s="117"/>
      <c r="AE2592" s="117"/>
      <c r="AF2592" s="117"/>
      <c r="AG2592" s="117"/>
      <c r="AH2592" s="117"/>
      <c r="AI2592" s="117"/>
      <c r="AJ2592" s="117"/>
      <c r="AK2592" s="117"/>
      <c r="AL2592" s="117"/>
      <c r="AM2592" s="117"/>
      <c r="AN2592" s="117"/>
      <c r="AO2592" s="117"/>
    </row>
    <row r="2593" ht="12.75" customHeight="1">
      <c r="A2593" s="117"/>
      <c r="B2593" s="117"/>
      <c r="C2593" s="117"/>
      <c r="D2593" s="117"/>
      <c r="E2593" s="117"/>
      <c r="F2593" s="117"/>
      <c r="G2593" s="117"/>
      <c r="H2593" s="117"/>
      <c r="I2593" s="117"/>
      <c r="J2593" s="117"/>
      <c r="K2593" s="117"/>
      <c r="L2593" s="117"/>
      <c r="M2593" s="117"/>
      <c r="N2593" s="117"/>
      <c r="O2593" s="117"/>
      <c r="P2593" s="117"/>
      <c r="Q2593" s="117"/>
      <c r="R2593" s="117"/>
      <c r="S2593" s="117"/>
      <c r="T2593" s="117"/>
      <c r="U2593" s="117"/>
      <c r="V2593" s="117"/>
      <c r="W2593" s="117"/>
      <c r="X2593" s="117"/>
      <c r="Y2593" s="117"/>
      <c r="Z2593" s="117"/>
      <c r="AA2593" s="117"/>
      <c r="AB2593" s="117"/>
      <c r="AC2593" s="117"/>
      <c r="AD2593" s="117"/>
      <c r="AE2593" s="117"/>
      <c r="AF2593" s="117"/>
      <c r="AG2593" s="117"/>
      <c r="AH2593" s="117"/>
      <c r="AI2593" s="117"/>
      <c r="AJ2593" s="117"/>
      <c r="AK2593" s="117"/>
      <c r="AL2593" s="117"/>
      <c r="AM2593" s="117"/>
      <c r="AN2593" s="117"/>
      <c r="AO2593" s="117"/>
    </row>
    <row r="2594" ht="12.75" customHeight="1">
      <c r="A2594" s="117"/>
      <c r="B2594" s="117"/>
      <c r="C2594" s="117"/>
      <c r="D2594" s="117"/>
      <c r="E2594" s="117"/>
      <c r="F2594" s="117"/>
      <c r="G2594" s="117"/>
      <c r="H2594" s="117"/>
      <c r="I2594" s="117"/>
      <c r="J2594" s="117"/>
      <c r="K2594" s="117"/>
      <c r="L2594" s="117"/>
      <c r="M2594" s="117"/>
      <c r="N2594" s="117"/>
      <c r="O2594" s="117"/>
      <c r="P2594" s="117"/>
      <c r="Q2594" s="117"/>
      <c r="R2594" s="117"/>
      <c r="S2594" s="117"/>
      <c r="T2594" s="117"/>
      <c r="U2594" s="117"/>
      <c r="V2594" s="117"/>
      <c r="W2594" s="117"/>
      <c r="X2594" s="117"/>
      <c r="Y2594" s="117"/>
      <c r="Z2594" s="117"/>
      <c r="AA2594" s="117"/>
      <c r="AB2594" s="117"/>
      <c r="AC2594" s="117"/>
      <c r="AD2594" s="117"/>
      <c r="AE2594" s="117"/>
      <c r="AF2594" s="117"/>
      <c r="AG2594" s="117"/>
      <c r="AH2594" s="117"/>
      <c r="AI2594" s="117"/>
      <c r="AJ2594" s="117"/>
      <c r="AK2594" s="117"/>
      <c r="AL2594" s="117"/>
      <c r="AM2594" s="117"/>
      <c r="AN2594" s="117"/>
      <c r="AO2594" s="117"/>
    </row>
    <row r="2595" ht="12.75" customHeight="1">
      <c r="A2595" s="117"/>
      <c r="B2595" s="117"/>
      <c r="C2595" s="117"/>
      <c r="D2595" s="117"/>
      <c r="E2595" s="117"/>
      <c r="F2595" s="117"/>
      <c r="G2595" s="117"/>
      <c r="H2595" s="117"/>
      <c r="I2595" s="117"/>
      <c r="J2595" s="117"/>
      <c r="K2595" s="117"/>
      <c r="L2595" s="117"/>
      <c r="M2595" s="117"/>
      <c r="N2595" s="117"/>
      <c r="O2595" s="117"/>
      <c r="P2595" s="117"/>
      <c r="Q2595" s="117"/>
      <c r="R2595" s="117"/>
      <c r="S2595" s="117"/>
      <c r="T2595" s="117"/>
      <c r="U2595" s="117"/>
      <c r="V2595" s="117"/>
      <c r="W2595" s="117"/>
      <c r="X2595" s="117"/>
      <c r="Y2595" s="117"/>
      <c r="Z2595" s="117"/>
      <c r="AA2595" s="117"/>
      <c r="AB2595" s="117"/>
      <c r="AC2595" s="117"/>
      <c r="AD2595" s="117"/>
      <c r="AE2595" s="117"/>
      <c r="AF2595" s="117"/>
      <c r="AG2595" s="117"/>
      <c r="AH2595" s="117"/>
      <c r="AI2595" s="117"/>
      <c r="AJ2595" s="117"/>
      <c r="AK2595" s="117"/>
      <c r="AL2595" s="117"/>
      <c r="AM2595" s="117"/>
      <c r="AN2595" s="117"/>
      <c r="AO2595" s="117"/>
    </row>
    <row r="2596" ht="12.75" customHeight="1">
      <c r="A2596" s="117"/>
      <c r="B2596" s="117"/>
      <c r="C2596" s="117"/>
      <c r="D2596" s="117"/>
      <c r="E2596" s="117"/>
      <c r="F2596" s="117"/>
      <c r="G2596" s="117"/>
      <c r="H2596" s="117"/>
      <c r="I2596" s="117"/>
      <c r="J2596" s="117"/>
      <c r="K2596" s="117"/>
      <c r="L2596" s="117"/>
      <c r="M2596" s="117"/>
      <c r="N2596" s="117"/>
      <c r="O2596" s="117"/>
      <c r="P2596" s="117"/>
      <c r="Q2596" s="117"/>
      <c r="R2596" s="117"/>
      <c r="S2596" s="117"/>
      <c r="T2596" s="117"/>
      <c r="U2596" s="117"/>
      <c r="V2596" s="117"/>
      <c r="W2596" s="117"/>
      <c r="X2596" s="117"/>
      <c r="Y2596" s="117"/>
      <c r="Z2596" s="117"/>
      <c r="AA2596" s="117"/>
      <c r="AB2596" s="117"/>
      <c r="AC2596" s="117"/>
      <c r="AD2596" s="117"/>
      <c r="AE2596" s="117"/>
      <c r="AF2596" s="117"/>
      <c r="AG2596" s="117"/>
      <c r="AH2596" s="117"/>
      <c r="AI2596" s="117"/>
      <c r="AJ2596" s="117"/>
      <c r="AK2596" s="117"/>
      <c r="AL2596" s="117"/>
      <c r="AM2596" s="117"/>
      <c r="AN2596" s="117"/>
      <c r="AO2596" s="117"/>
    </row>
    <row r="2597" ht="12.75" customHeight="1">
      <c r="A2597" s="117"/>
      <c r="B2597" s="117"/>
      <c r="C2597" s="117"/>
      <c r="D2597" s="117"/>
      <c r="E2597" s="117"/>
      <c r="F2597" s="117"/>
      <c r="G2597" s="117"/>
      <c r="H2597" s="117"/>
      <c r="I2597" s="117"/>
      <c r="J2597" s="117"/>
      <c r="K2597" s="117"/>
      <c r="L2597" s="117"/>
      <c r="M2597" s="117"/>
      <c r="N2597" s="117"/>
      <c r="O2597" s="117"/>
      <c r="P2597" s="117"/>
      <c r="Q2597" s="117"/>
      <c r="R2597" s="117"/>
      <c r="S2597" s="117"/>
      <c r="T2597" s="117"/>
      <c r="U2597" s="117"/>
      <c r="V2597" s="117"/>
      <c r="W2597" s="117"/>
      <c r="X2597" s="117"/>
      <c r="Y2597" s="117"/>
      <c r="Z2597" s="117"/>
      <c r="AA2597" s="117"/>
      <c r="AB2597" s="117"/>
      <c r="AC2597" s="117"/>
      <c r="AD2597" s="117"/>
      <c r="AE2597" s="117"/>
      <c r="AF2597" s="117"/>
      <c r="AG2597" s="117"/>
      <c r="AH2597" s="117"/>
      <c r="AI2597" s="117"/>
      <c r="AJ2597" s="117"/>
      <c r="AK2597" s="117"/>
      <c r="AL2597" s="117"/>
      <c r="AM2597" s="117"/>
      <c r="AN2597" s="117"/>
      <c r="AO2597" s="117"/>
    </row>
    <row r="2598" ht="12.75" customHeight="1">
      <c r="A2598" s="117"/>
      <c r="B2598" s="117"/>
      <c r="C2598" s="117"/>
      <c r="D2598" s="117"/>
      <c r="E2598" s="117"/>
      <c r="F2598" s="117"/>
      <c r="G2598" s="117"/>
      <c r="H2598" s="117"/>
      <c r="I2598" s="117"/>
      <c r="J2598" s="117"/>
      <c r="K2598" s="117"/>
      <c r="L2598" s="117"/>
      <c r="M2598" s="117"/>
      <c r="N2598" s="117"/>
      <c r="O2598" s="117"/>
      <c r="P2598" s="117"/>
      <c r="Q2598" s="117"/>
      <c r="R2598" s="117"/>
      <c r="S2598" s="117"/>
      <c r="T2598" s="117"/>
      <c r="U2598" s="117"/>
      <c r="V2598" s="117"/>
      <c r="W2598" s="117"/>
      <c r="X2598" s="117"/>
      <c r="Y2598" s="117"/>
      <c r="Z2598" s="117"/>
      <c r="AA2598" s="117"/>
      <c r="AB2598" s="117"/>
      <c r="AC2598" s="117"/>
      <c r="AD2598" s="117"/>
      <c r="AE2598" s="117"/>
      <c r="AF2598" s="117"/>
      <c r="AG2598" s="117"/>
      <c r="AH2598" s="117"/>
      <c r="AI2598" s="117"/>
      <c r="AJ2598" s="117"/>
      <c r="AK2598" s="117"/>
      <c r="AL2598" s="117"/>
      <c r="AM2598" s="117"/>
      <c r="AN2598" s="117"/>
      <c r="AO2598" s="117"/>
    </row>
    <row r="2599" ht="12.75" customHeight="1">
      <c r="A2599" s="117"/>
      <c r="B2599" s="117"/>
      <c r="C2599" s="117"/>
      <c r="D2599" s="117"/>
      <c r="E2599" s="117"/>
      <c r="F2599" s="117"/>
      <c r="G2599" s="117"/>
      <c r="H2599" s="117"/>
      <c r="I2599" s="117"/>
      <c r="J2599" s="117"/>
      <c r="K2599" s="117"/>
      <c r="L2599" s="117"/>
      <c r="M2599" s="117"/>
      <c r="N2599" s="117"/>
      <c r="O2599" s="117"/>
      <c r="P2599" s="117"/>
      <c r="Q2599" s="117"/>
      <c r="R2599" s="117"/>
      <c r="S2599" s="117"/>
      <c r="T2599" s="117"/>
      <c r="U2599" s="117"/>
      <c r="V2599" s="117"/>
      <c r="W2599" s="117"/>
      <c r="X2599" s="117"/>
      <c r="Y2599" s="117"/>
      <c r="Z2599" s="117"/>
      <c r="AA2599" s="117"/>
      <c r="AB2599" s="117"/>
      <c r="AC2599" s="117"/>
      <c r="AD2599" s="117"/>
      <c r="AE2599" s="117"/>
      <c r="AF2599" s="117"/>
      <c r="AG2599" s="117"/>
      <c r="AH2599" s="117"/>
      <c r="AI2599" s="117"/>
      <c r="AJ2599" s="117"/>
      <c r="AK2599" s="117"/>
      <c r="AL2599" s="117"/>
      <c r="AM2599" s="117"/>
      <c r="AN2599" s="117"/>
      <c r="AO2599" s="117"/>
    </row>
    <row r="2600" ht="12.75" customHeight="1">
      <c r="A2600" s="117"/>
      <c r="B2600" s="117"/>
      <c r="C2600" s="117"/>
      <c r="D2600" s="117"/>
      <c r="E2600" s="117"/>
      <c r="F2600" s="117"/>
      <c r="G2600" s="117"/>
      <c r="H2600" s="117"/>
      <c r="I2600" s="117"/>
      <c r="J2600" s="117"/>
      <c r="K2600" s="117"/>
      <c r="L2600" s="117"/>
      <c r="M2600" s="117"/>
      <c r="N2600" s="117"/>
      <c r="O2600" s="117"/>
      <c r="P2600" s="117"/>
      <c r="Q2600" s="117"/>
      <c r="R2600" s="117"/>
      <c r="S2600" s="117"/>
      <c r="T2600" s="117"/>
      <c r="U2600" s="117"/>
      <c r="V2600" s="117"/>
      <c r="W2600" s="117"/>
      <c r="X2600" s="117"/>
      <c r="Y2600" s="117"/>
      <c r="Z2600" s="117"/>
      <c r="AA2600" s="117"/>
      <c r="AB2600" s="117"/>
      <c r="AC2600" s="117"/>
      <c r="AD2600" s="117"/>
      <c r="AE2600" s="117"/>
      <c r="AF2600" s="117"/>
      <c r="AG2600" s="117"/>
      <c r="AH2600" s="117"/>
      <c r="AI2600" s="117"/>
      <c r="AJ2600" s="117"/>
      <c r="AK2600" s="117"/>
      <c r="AL2600" s="117"/>
      <c r="AM2600" s="117"/>
      <c r="AN2600" s="117"/>
      <c r="AO2600" s="117"/>
    </row>
    <row r="2601" ht="12.75" customHeight="1">
      <c r="A2601" s="117"/>
      <c r="B2601" s="117"/>
      <c r="C2601" s="117"/>
      <c r="D2601" s="117"/>
      <c r="E2601" s="117"/>
      <c r="F2601" s="117"/>
      <c r="G2601" s="117"/>
      <c r="H2601" s="117"/>
      <c r="I2601" s="117"/>
      <c r="J2601" s="117"/>
      <c r="K2601" s="117"/>
      <c r="L2601" s="117"/>
      <c r="M2601" s="117"/>
      <c r="N2601" s="117"/>
      <c r="O2601" s="117"/>
      <c r="P2601" s="117"/>
      <c r="Q2601" s="117"/>
      <c r="R2601" s="117"/>
      <c r="S2601" s="117"/>
      <c r="T2601" s="117"/>
      <c r="U2601" s="117"/>
      <c r="V2601" s="117"/>
      <c r="W2601" s="117"/>
      <c r="X2601" s="117"/>
      <c r="Y2601" s="117"/>
      <c r="Z2601" s="117"/>
      <c r="AA2601" s="117"/>
      <c r="AB2601" s="117"/>
      <c r="AC2601" s="117"/>
      <c r="AD2601" s="117"/>
      <c r="AE2601" s="117"/>
      <c r="AF2601" s="117"/>
      <c r="AG2601" s="117"/>
      <c r="AH2601" s="117"/>
      <c r="AI2601" s="117"/>
      <c r="AJ2601" s="117"/>
      <c r="AK2601" s="117"/>
      <c r="AL2601" s="117"/>
      <c r="AM2601" s="117"/>
      <c r="AN2601" s="117"/>
      <c r="AO2601" s="117"/>
    </row>
    <row r="2602" ht="12.75" customHeight="1">
      <c r="A2602" s="117"/>
      <c r="B2602" s="117"/>
      <c r="C2602" s="117"/>
      <c r="D2602" s="117"/>
      <c r="E2602" s="117"/>
      <c r="F2602" s="117"/>
      <c r="G2602" s="117"/>
      <c r="H2602" s="117"/>
      <c r="I2602" s="117"/>
      <c r="J2602" s="117"/>
      <c r="K2602" s="117"/>
      <c r="L2602" s="117"/>
      <c r="M2602" s="117"/>
      <c r="N2602" s="117"/>
      <c r="O2602" s="117"/>
      <c r="P2602" s="117"/>
      <c r="Q2602" s="117"/>
      <c r="R2602" s="117"/>
      <c r="S2602" s="117"/>
      <c r="T2602" s="117"/>
      <c r="U2602" s="117"/>
      <c r="V2602" s="117"/>
      <c r="W2602" s="117"/>
      <c r="X2602" s="117"/>
      <c r="Y2602" s="117"/>
      <c r="Z2602" s="117"/>
      <c r="AA2602" s="117"/>
      <c r="AB2602" s="117"/>
      <c r="AC2602" s="117"/>
      <c r="AD2602" s="117"/>
      <c r="AE2602" s="117"/>
      <c r="AF2602" s="117"/>
      <c r="AG2602" s="117"/>
      <c r="AH2602" s="117"/>
      <c r="AI2602" s="117"/>
      <c r="AJ2602" s="117"/>
      <c r="AK2602" s="117"/>
      <c r="AL2602" s="117"/>
      <c r="AM2602" s="117"/>
      <c r="AN2602" s="117"/>
      <c r="AO2602" s="117"/>
    </row>
    <row r="2603" ht="12.75" customHeight="1">
      <c r="A2603" s="117"/>
      <c r="B2603" s="117"/>
      <c r="C2603" s="117"/>
      <c r="D2603" s="117"/>
      <c r="E2603" s="117"/>
      <c r="F2603" s="117"/>
      <c r="G2603" s="117"/>
      <c r="H2603" s="117"/>
      <c r="I2603" s="117"/>
      <c r="J2603" s="117"/>
      <c r="K2603" s="117"/>
      <c r="L2603" s="117"/>
      <c r="M2603" s="117"/>
      <c r="N2603" s="117"/>
      <c r="O2603" s="117"/>
      <c r="P2603" s="117"/>
      <c r="Q2603" s="117"/>
      <c r="R2603" s="117"/>
      <c r="S2603" s="117"/>
      <c r="T2603" s="117"/>
      <c r="U2603" s="117"/>
      <c r="V2603" s="117"/>
      <c r="W2603" s="117"/>
      <c r="X2603" s="117"/>
      <c r="Y2603" s="117"/>
      <c r="Z2603" s="117"/>
      <c r="AA2603" s="117"/>
      <c r="AB2603" s="117"/>
      <c r="AC2603" s="117"/>
      <c r="AD2603" s="117"/>
      <c r="AE2603" s="117"/>
      <c r="AF2603" s="117"/>
      <c r="AG2603" s="117"/>
      <c r="AH2603" s="117"/>
      <c r="AI2603" s="117"/>
      <c r="AJ2603" s="117"/>
      <c r="AK2603" s="117"/>
      <c r="AL2603" s="117"/>
      <c r="AM2603" s="117"/>
      <c r="AN2603" s="117"/>
      <c r="AO2603" s="117"/>
    </row>
    <row r="2604" ht="12.75" customHeight="1">
      <c r="A2604" s="117"/>
      <c r="B2604" s="117"/>
      <c r="C2604" s="117"/>
      <c r="D2604" s="117"/>
      <c r="E2604" s="117"/>
      <c r="F2604" s="117"/>
      <c r="G2604" s="117"/>
      <c r="H2604" s="117"/>
      <c r="I2604" s="117"/>
      <c r="J2604" s="117"/>
      <c r="K2604" s="117"/>
      <c r="L2604" s="117"/>
      <c r="M2604" s="117"/>
      <c r="N2604" s="117"/>
      <c r="O2604" s="117"/>
      <c r="P2604" s="117"/>
      <c r="Q2604" s="117"/>
      <c r="R2604" s="117"/>
      <c r="S2604" s="117"/>
      <c r="T2604" s="117"/>
      <c r="U2604" s="117"/>
      <c r="V2604" s="117"/>
      <c r="W2604" s="117"/>
      <c r="X2604" s="117"/>
      <c r="Y2604" s="117"/>
      <c r="Z2604" s="117"/>
      <c r="AA2604" s="117"/>
      <c r="AB2604" s="117"/>
      <c r="AC2604" s="117"/>
      <c r="AD2604" s="117"/>
      <c r="AE2604" s="117"/>
      <c r="AF2604" s="117"/>
      <c r="AG2604" s="117"/>
      <c r="AH2604" s="117"/>
      <c r="AI2604" s="117"/>
      <c r="AJ2604" s="117"/>
      <c r="AK2604" s="117"/>
      <c r="AL2604" s="117"/>
      <c r="AM2604" s="117"/>
      <c r="AN2604" s="117"/>
      <c r="AO2604" s="117"/>
    </row>
    <row r="2605" ht="12.75" customHeight="1">
      <c r="A2605" s="117"/>
      <c r="B2605" s="117"/>
      <c r="C2605" s="117"/>
      <c r="D2605" s="117"/>
      <c r="E2605" s="117"/>
      <c r="F2605" s="117"/>
      <c r="G2605" s="117"/>
      <c r="H2605" s="117"/>
      <c r="I2605" s="117"/>
      <c r="J2605" s="117"/>
      <c r="K2605" s="117"/>
      <c r="L2605" s="117"/>
      <c r="M2605" s="117"/>
      <c r="N2605" s="117"/>
      <c r="O2605" s="117"/>
      <c r="P2605" s="117"/>
      <c r="Q2605" s="117"/>
      <c r="R2605" s="117"/>
      <c r="S2605" s="117"/>
      <c r="T2605" s="117"/>
      <c r="U2605" s="117"/>
      <c r="V2605" s="117"/>
      <c r="W2605" s="117"/>
      <c r="X2605" s="117"/>
      <c r="Y2605" s="117"/>
      <c r="Z2605" s="117"/>
      <c r="AA2605" s="117"/>
      <c r="AB2605" s="117"/>
      <c r="AC2605" s="117"/>
      <c r="AD2605" s="117"/>
      <c r="AE2605" s="117"/>
      <c r="AF2605" s="117"/>
      <c r="AG2605" s="117"/>
      <c r="AH2605" s="117"/>
      <c r="AI2605" s="117"/>
      <c r="AJ2605" s="117"/>
      <c r="AK2605" s="117"/>
      <c r="AL2605" s="117"/>
      <c r="AM2605" s="117"/>
      <c r="AN2605" s="117"/>
      <c r="AO2605" s="117"/>
    </row>
    <row r="2606" ht="12.75" customHeight="1">
      <c r="A2606" s="117"/>
      <c r="B2606" s="117"/>
      <c r="C2606" s="117"/>
      <c r="D2606" s="117"/>
      <c r="E2606" s="117"/>
      <c r="F2606" s="117"/>
      <c r="G2606" s="117"/>
      <c r="H2606" s="117"/>
      <c r="I2606" s="117"/>
      <c r="J2606" s="117"/>
      <c r="K2606" s="117"/>
      <c r="L2606" s="117"/>
      <c r="M2606" s="117"/>
      <c r="N2606" s="117"/>
      <c r="O2606" s="117"/>
      <c r="P2606" s="117"/>
      <c r="Q2606" s="117"/>
      <c r="R2606" s="117"/>
      <c r="S2606" s="117"/>
      <c r="T2606" s="117"/>
      <c r="U2606" s="117"/>
      <c r="V2606" s="117"/>
      <c r="W2606" s="117"/>
      <c r="X2606" s="117"/>
      <c r="Y2606" s="117"/>
      <c r="Z2606" s="117"/>
      <c r="AA2606" s="117"/>
      <c r="AB2606" s="117"/>
      <c r="AC2606" s="117"/>
      <c r="AD2606" s="117"/>
      <c r="AE2606" s="117"/>
      <c r="AF2606" s="117"/>
      <c r="AG2606" s="117"/>
      <c r="AH2606" s="117"/>
      <c r="AI2606" s="117"/>
      <c r="AJ2606" s="117"/>
      <c r="AK2606" s="117"/>
      <c r="AL2606" s="117"/>
      <c r="AM2606" s="117"/>
      <c r="AN2606" s="117"/>
      <c r="AO2606" s="117"/>
    </row>
    <row r="2607" ht="12.75" customHeight="1">
      <c r="A2607" s="117"/>
      <c r="B2607" s="117"/>
      <c r="C2607" s="117"/>
      <c r="D2607" s="117"/>
      <c r="E2607" s="117"/>
      <c r="F2607" s="117"/>
      <c r="G2607" s="117"/>
      <c r="H2607" s="117"/>
      <c r="I2607" s="117"/>
      <c r="J2607" s="117"/>
      <c r="K2607" s="117"/>
      <c r="L2607" s="117"/>
      <c r="M2607" s="117"/>
      <c r="N2607" s="117"/>
      <c r="O2607" s="117"/>
      <c r="P2607" s="117"/>
      <c r="Q2607" s="117"/>
      <c r="R2607" s="117"/>
      <c r="S2607" s="117"/>
      <c r="T2607" s="117"/>
      <c r="U2607" s="117"/>
      <c r="V2607" s="117"/>
      <c r="W2607" s="117"/>
      <c r="X2607" s="117"/>
      <c r="Y2607" s="117"/>
      <c r="Z2607" s="117"/>
      <c r="AA2607" s="117"/>
      <c r="AB2607" s="117"/>
      <c r="AC2607" s="117"/>
      <c r="AD2607" s="117"/>
      <c r="AE2607" s="117"/>
      <c r="AF2607" s="117"/>
      <c r="AG2607" s="117"/>
      <c r="AH2607" s="117"/>
      <c r="AI2607" s="117"/>
      <c r="AJ2607" s="117"/>
      <c r="AK2607" s="117"/>
      <c r="AL2607" s="117"/>
      <c r="AM2607" s="117"/>
      <c r="AN2607" s="117"/>
      <c r="AO2607" s="117"/>
    </row>
    <row r="2608" ht="12.75" customHeight="1">
      <c r="A2608" s="117"/>
      <c r="B2608" s="117"/>
      <c r="C2608" s="117"/>
      <c r="D2608" s="117"/>
      <c r="E2608" s="117"/>
      <c r="F2608" s="117"/>
      <c r="G2608" s="117"/>
      <c r="H2608" s="117"/>
      <c r="I2608" s="117"/>
      <c r="J2608" s="117"/>
      <c r="K2608" s="117"/>
      <c r="L2608" s="117"/>
      <c r="M2608" s="117"/>
      <c r="N2608" s="117"/>
      <c r="O2608" s="117"/>
      <c r="P2608" s="117"/>
      <c r="Q2608" s="117"/>
      <c r="R2608" s="117"/>
      <c r="S2608" s="117"/>
      <c r="T2608" s="117"/>
      <c r="U2608" s="117"/>
      <c r="V2608" s="117"/>
      <c r="W2608" s="117"/>
      <c r="X2608" s="117"/>
      <c r="Y2608" s="117"/>
      <c r="Z2608" s="117"/>
      <c r="AA2608" s="117"/>
      <c r="AB2608" s="117"/>
      <c r="AC2608" s="117"/>
      <c r="AD2608" s="117"/>
      <c r="AE2608" s="117"/>
      <c r="AF2608" s="117"/>
      <c r="AG2608" s="117"/>
      <c r="AH2608" s="117"/>
      <c r="AI2608" s="117"/>
      <c r="AJ2608" s="117"/>
      <c r="AK2608" s="117"/>
      <c r="AL2608" s="117"/>
      <c r="AM2608" s="117"/>
      <c r="AN2608" s="117"/>
      <c r="AO2608" s="117"/>
    </row>
    <row r="2609" ht="12.75" customHeight="1">
      <c r="A2609" s="117"/>
      <c r="B2609" s="117"/>
      <c r="C2609" s="117"/>
      <c r="D2609" s="117"/>
      <c r="E2609" s="117"/>
      <c r="F2609" s="117"/>
      <c r="G2609" s="117"/>
      <c r="H2609" s="117"/>
      <c r="I2609" s="117"/>
      <c r="J2609" s="117"/>
      <c r="K2609" s="117"/>
      <c r="L2609" s="117"/>
      <c r="M2609" s="117"/>
      <c r="N2609" s="117"/>
      <c r="O2609" s="117"/>
      <c r="P2609" s="117"/>
      <c r="Q2609" s="117"/>
      <c r="R2609" s="117"/>
      <c r="S2609" s="117"/>
      <c r="T2609" s="117"/>
      <c r="U2609" s="117"/>
      <c r="V2609" s="117"/>
      <c r="W2609" s="117"/>
      <c r="X2609" s="117"/>
      <c r="Y2609" s="117"/>
      <c r="Z2609" s="117"/>
      <c r="AA2609" s="117"/>
      <c r="AB2609" s="117"/>
      <c r="AC2609" s="117"/>
      <c r="AD2609" s="117"/>
      <c r="AE2609" s="117"/>
      <c r="AF2609" s="117"/>
      <c r="AG2609" s="117"/>
      <c r="AH2609" s="117"/>
      <c r="AI2609" s="117"/>
      <c r="AJ2609" s="117"/>
      <c r="AK2609" s="117"/>
      <c r="AL2609" s="117"/>
      <c r="AM2609" s="117"/>
      <c r="AN2609" s="117"/>
      <c r="AO2609" s="117"/>
    </row>
    <row r="2610" ht="12.75" customHeight="1">
      <c r="A2610" s="117"/>
      <c r="B2610" s="117"/>
      <c r="C2610" s="117"/>
      <c r="D2610" s="117"/>
      <c r="E2610" s="117"/>
      <c r="F2610" s="117"/>
      <c r="G2610" s="117"/>
      <c r="H2610" s="117"/>
      <c r="I2610" s="117"/>
      <c r="J2610" s="117"/>
      <c r="K2610" s="117"/>
      <c r="L2610" s="117"/>
      <c r="M2610" s="117"/>
      <c r="N2610" s="117"/>
      <c r="O2610" s="117"/>
      <c r="P2610" s="117"/>
      <c r="Q2610" s="117"/>
      <c r="R2610" s="117"/>
      <c r="S2610" s="117"/>
      <c r="T2610" s="117"/>
      <c r="U2610" s="117"/>
      <c r="V2610" s="117"/>
      <c r="W2610" s="117"/>
      <c r="X2610" s="117"/>
      <c r="Y2610" s="117"/>
      <c r="Z2610" s="117"/>
      <c r="AA2610" s="117"/>
      <c r="AB2610" s="117"/>
      <c r="AC2610" s="117"/>
      <c r="AD2610" s="117"/>
      <c r="AE2610" s="117"/>
      <c r="AF2610" s="117"/>
      <c r="AG2610" s="117"/>
      <c r="AH2610" s="117"/>
      <c r="AI2610" s="117"/>
      <c r="AJ2610" s="117"/>
      <c r="AK2610" s="117"/>
      <c r="AL2610" s="117"/>
      <c r="AM2610" s="117"/>
      <c r="AN2610" s="117"/>
      <c r="AO2610" s="117"/>
    </row>
    <row r="2611" ht="12.75" customHeight="1">
      <c r="A2611" s="117"/>
      <c r="B2611" s="117"/>
      <c r="C2611" s="117"/>
      <c r="D2611" s="117"/>
      <c r="E2611" s="117"/>
      <c r="F2611" s="117"/>
      <c r="G2611" s="117"/>
      <c r="H2611" s="117"/>
      <c r="I2611" s="117"/>
      <c r="J2611" s="117"/>
      <c r="K2611" s="117"/>
      <c r="L2611" s="117"/>
      <c r="M2611" s="117"/>
      <c r="N2611" s="117"/>
      <c r="O2611" s="117"/>
      <c r="P2611" s="117"/>
      <c r="Q2611" s="117"/>
      <c r="R2611" s="117"/>
      <c r="S2611" s="117"/>
      <c r="T2611" s="117"/>
      <c r="U2611" s="117"/>
      <c r="V2611" s="117"/>
      <c r="W2611" s="117"/>
      <c r="X2611" s="117"/>
      <c r="Y2611" s="117"/>
      <c r="Z2611" s="117"/>
      <c r="AA2611" s="117"/>
      <c r="AB2611" s="117"/>
      <c r="AC2611" s="117"/>
      <c r="AD2611" s="117"/>
      <c r="AE2611" s="117"/>
      <c r="AF2611" s="117"/>
      <c r="AG2611" s="117"/>
      <c r="AH2611" s="117"/>
      <c r="AI2611" s="117"/>
      <c r="AJ2611" s="117"/>
      <c r="AK2611" s="117"/>
      <c r="AL2611" s="117"/>
      <c r="AM2611" s="117"/>
      <c r="AN2611" s="117"/>
      <c r="AO2611" s="117"/>
    </row>
    <row r="2612" ht="12.75" customHeight="1">
      <c r="A2612" s="117"/>
      <c r="B2612" s="117"/>
      <c r="C2612" s="117"/>
      <c r="D2612" s="117"/>
      <c r="E2612" s="117"/>
      <c r="F2612" s="117"/>
      <c r="G2612" s="117"/>
      <c r="H2612" s="117"/>
      <c r="I2612" s="117"/>
      <c r="J2612" s="117"/>
      <c r="K2612" s="117"/>
      <c r="L2612" s="117"/>
      <c r="M2612" s="117"/>
      <c r="N2612" s="117"/>
      <c r="O2612" s="117"/>
      <c r="P2612" s="117"/>
      <c r="Q2612" s="117"/>
      <c r="R2612" s="117"/>
      <c r="S2612" s="117"/>
      <c r="T2612" s="117"/>
      <c r="U2612" s="117"/>
      <c r="V2612" s="117"/>
      <c r="W2612" s="117"/>
      <c r="X2612" s="117"/>
      <c r="Y2612" s="117"/>
      <c r="Z2612" s="117"/>
      <c r="AA2612" s="117"/>
      <c r="AB2612" s="117"/>
      <c r="AC2612" s="117"/>
      <c r="AD2612" s="117"/>
      <c r="AE2612" s="117"/>
      <c r="AF2612" s="117"/>
      <c r="AG2612" s="117"/>
      <c r="AH2612" s="117"/>
      <c r="AI2612" s="117"/>
      <c r="AJ2612" s="117"/>
      <c r="AK2612" s="117"/>
      <c r="AL2612" s="117"/>
      <c r="AM2612" s="117"/>
      <c r="AN2612" s="117"/>
      <c r="AO2612" s="117"/>
    </row>
    <row r="2613" ht="12.75" customHeight="1">
      <c r="A2613" s="117"/>
      <c r="B2613" s="117"/>
      <c r="C2613" s="117"/>
      <c r="D2613" s="117"/>
      <c r="E2613" s="117"/>
      <c r="F2613" s="117"/>
      <c r="G2613" s="117"/>
      <c r="H2613" s="117"/>
      <c r="I2613" s="117"/>
      <c r="J2613" s="117"/>
      <c r="K2613" s="117"/>
      <c r="L2613" s="117"/>
      <c r="M2613" s="117"/>
      <c r="N2613" s="117"/>
      <c r="O2613" s="117"/>
      <c r="P2613" s="117"/>
      <c r="Q2613" s="117"/>
      <c r="R2613" s="117"/>
      <c r="S2613" s="117"/>
      <c r="T2613" s="117"/>
      <c r="U2613" s="117"/>
      <c r="V2613" s="117"/>
      <c r="W2613" s="117"/>
      <c r="X2613" s="117"/>
      <c r="Y2613" s="117"/>
      <c r="Z2613" s="117"/>
      <c r="AA2613" s="117"/>
      <c r="AB2613" s="117"/>
      <c r="AC2613" s="117"/>
      <c r="AD2613" s="117"/>
      <c r="AE2613" s="117"/>
      <c r="AF2613" s="117"/>
      <c r="AG2613" s="117"/>
      <c r="AH2613" s="117"/>
      <c r="AI2613" s="117"/>
      <c r="AJ2613" s="117"/>
      <c r="AK2613" s="117"/>
      <c r="AL2613" s="117"/>
      <c r="AM2613" s="117"/>
      <c r="AN2613" s="117"/>
      <c r="AO2613" s="117"/>
    </row>
    <row r="2614" ht="12.75" customHeight="1">
      <c r="A2614" s="117"/>
      <c r="B2614" s="117"/>
      <c r="C2614" s="117"/>
      <c r="D2614" s="117"/>
      <c r="E2614" s="117"/>
      <c r="F2614" s="117"/>
      <c r="G2614" s="117"/>
      <c r="H2614" s="117"/>
      <c r="I2614" s="117"/>
      <c r="J2614" s="117"/>
      <c r="K2614" s="117"/>
      <c r="L2614" s="117"/>
      <c r="M2614" s="117"/>
      <c r="N2614" s="117"/>
      <c r="O2614" s="117"/>
      <c r="P2614" s="117"/>
      <c r="Q2614" s="117"/>
      <c r="R2614" s="117"/>
      <c r="S2614" s="117"/>
      <c r="T2614" s="117"/>
      <c r="U2614" s="117"/>
      <c r="V2614" s="117"/>
      <c r="W2614" s="117"/>
      <c r="X2614" s="117"/>
      <c r="Y2614" s="117"/>
      <c r="Z2614" s="117"/>
      <c r="AA2614" s="117"/>
      <c r="AB2614" s="117"/>
      <c r="AC2614" s="117"/>
      <c r="AD2614" s="117"/>
      <c r="AE2614" s="117"/>
      <c r="AF2614" s="117"/>
      <c r="AG2614" s="117"/>
      <c r="AH2614" s="117"/>
      <c r="AI2614" s="117"/>
      <c r="AJ2614" s="117"/>
      <c r="AK2614" s="117"/>
      <c r="AL2614" s="117"/>
      <c r="AM2614" s="117"/>
      <c r="AN2614" s="117"/>
      <c r="AO2614" s="117"/>
    </row>
    <row r="2615" ht="12.75" customHeight="1">
      <c r="A2615" s="117"/>
      <c r="B2615" s="117"/>
      <c r="C2615" s="117"/>
      <c r="D2615" s="117"/>
      <c r="E2615" s="117"/>
      <c r="F2615" s="117"/>
      <c r="G2615" s="117"/>
      <c r="H2615" s="117"/>
      <c r="I2615" s="117"/>
      <c r="J2615" s="117"/>
      <c r="K2615" s="117"/>
      <c r="L2615" s="117"/>
      <c r="M2615" s="117"/>
      <c r="N2615" s="117"/>
      <c r="O2615" s="117"/>
      <c r="P2615" s="117"/>
      <c r="Q2615" s="117"/>
      <c r="R2615" s="117"/>
      <c r="S2615" s="117"/>
      <c r="T2615" s="117"/>
      <c r="U2615" s="117"/>
      <c r="V2615" s="117"/>
      <c r="W2615" s="117"/>
      <c r="X2615" s="117"/>
      <c r="Y2615" s="117"/>
      <c r="Z2615" s="117"/>
      <c r="AA2615" s="117"/>
      <c r="AB2615" s="117"/>
      <c r="AC2615" s="117"/>
      <c r="AD2615" s="117"/>
      <c r="AE2615" s="117"/>
      <c r="AF2615" s="117"/>
      <c r="AG2615" s="117"/>
      <c r="AH2615" s="117"/>
      <c r="AI2615" s="117"/>
      <c r="AJ2615" s="117"/>
      <c r="AK2615" s="117"/>
      <c r="AL2615" s="117"/>
      <c r="AM2615" s="117"/>
      <c r="AN2615" s="117"/>
      <c r="AO2615" s="117"/>
    </row>
    <row r="2616" ht="12.75" customHeight="1">
      <c r="A2616" s="117"/>
      <c r="B2616" s="117"/>
      <c r="C2616" s="117"/>
      <c r="D2616" s="117"/>
      <c r="E2616" s="117"/>
      <c r="F2616" s="117"/>
      <c r="G2616" s="117"/>
      <c r="H2616" s="117"/>
      <c r="I2616" s="117"/>
      <c r="J2616" s="117"/>
      <c r="K2616" s="117"/>
      <c r="L2616" s="117"/>
      <c r="M2616" s="117"/>
      <c r="N2616" s="117"/>
      <c r="O2616" s="117"/>
      <c r="P2616" s="117"/>
      <c r="Q2616" s="117"/>
      <c r="R2616" s="117"/>
      <c r="S2616" s="117"/>
      <c r="T2616" s="117"/>
      <c r="U2616" s="117"/>
      <c r="V2616" s="117"/>
      <c r="W2616" s="117"/>
      <c r="X2616" s="117"/>
      <c r="Y2616" s="117"/>
      <c r="Z2616" s="117"/>
      <c r="AA2616" s="117"/>
      <c r="AB2616" s="117"/>
      <c r="AC2616" s="117"/>
      <c r="AD2616" s="117"/>
      <c r="AE2616" s="117"/>
      <c r="AF2616" s="117"/>
      <c r="AG2616" s="117"/>
      <c r="AH2616" s="117"/>
      <c r="AI2616" s="117"/>
      <c r="AJ2616" s="117"/>
      <c r="AK2616" s="117"/>
      <c r="AL2616" s="117"/>
      <c r="AM2616" s="117"/>
      <c r="AN2616" s="117"/>
      <c r="AO2616" s="117"/>
    </row>
    <row r="2617" ht="12.75" customHeight="1">
      <c r="A2617" s="117"/>
      <c r="B2617" s="117"/>
      <c r="C2617" s="117"/>
      <c r="D2617" s="117"/>
      <c r="E2617" s="117"/>
      <c r="F2617" s="117"/>
      <c r="G2617" s="117"/>
      <c r="H2617" s="117"/>
      <c r="I2617" s="117"/>
      <c r="J2617" s="117"/>
      <c r="K2617" s="117"/>
      <c r="L2617" s="117"/>
      <c r="M2617" s="117"/>
      <c r="N2617" s="117"/>
      <c r="O2617" s="117"/>
      <c r="P2617" s="117"/>
      <c r="Q2617" s="117"/>
      <c r="R2617" s="117"/>
      <c r="S2617" s="117"/>
      <c r="T2617" s="117"/>
      <c r="U2617" s="117"/>
      <c r="V2617" s="117"/>
      <c r="W2617" s="117"/>
      <c r="X2617" s="117"/>
      <c r="Y2617" s="117"/>
      <c r="Z2617" s="117"/>
      <c r="AA2617" s="117"/>
      <c r="AB2617" s="117"/>
      <c r="AC2617" s="117"/>
      <c r="AD2617" s="117"/>
      <c r="AE2617" s="117"/>
      <c r="AF2617" s="117"/>
      <c r="AG2617" s="117"/>
      <c r="AH2617" s="117"/>
      <c r="AI2617" s="117"/>
      <c r="AJ2617" s="117"/>
      <c r="AK2617" s="117"/>
      <c r="AL2617" s="117"/>
      <c r="AM2617" s="117"/>
      <c r="AN2617" s="117"/>
      <c r="AO2617" s="117"/>
    </row>
    <row r="2618" ht="12.75" customHeight="1">
      <c r="A2618" s="117"/>
      <c r="B2618" s="117"/>
      <c r="C2618" s="117"/>
      <c r="D2618" s="117"/>
      <c r="E2618" s="117"/>
      <c r="F2618" s="117"/>
      <c r="G2618" s="117"/>
      <c r="H2618" s="117"/>
      <c r="I2618" s="117"/>
      <c r="J2618" s="117"/>
      <c r="K2618" s="117"/>
      <c r="L2618" s="117"/>
      <c r="M2618" s="117"/>
      <c r="N2618" s="117"/>
      <c r="O2618" s="117"/>
      <c r="P2618" s="117"/>
      <c r="Q2618" s="117"/>
      <c r="R2618" s="117"/>
      <c r="S2618" s="117"/>
      <c r="T2618" s="117"/>
      <c r="U2618" s="117"/>
      <c r="V2618" s="117"/>
      <c r="W2618" s="117"/>
      <c r="X2618" s="117"/>
      <c r="Y2618" s="117"/>
      <c r="Z2618" s="117"/>
      <c r="AA2618" s="117"/>
      <c r="AB2618" s="117"/>
      <c r="AC2618" s="117"/>
      <c r="AD2618" s="117"/>
      <c r="AE2618" s="117"/>
      <c r="AF2618" s="117"/>
      <c r="AG2618" s="117"/>
      <c r="AH2618" s="117"/>
      <c r="AI2618" s="117"/>
      <c r="AJ2618" s="117"/>
      <c r="AK2618" s="117"/>
      <c r="AL2618" s="117"/>
      <c r="AM2618" s="117"/>
      <c r="AN2618" s="117"/>
      <c r="AO2618" s="117"/>
    </row>
    <row r="2619" ht="12.75" customHeight="1">
      <c r="A2619" s="117"/>
      <c r="B2619" s="117"/>
      <c r="C2619" s="117"/>
      <c r="D2619" s="117"/>
      <c r="E2619" s="117"/>
      <c r="F2619" s="117"/>
      <c r="G2619" s="117"/>
      <c r="H2619" s="117"/>
      <c r="I2619" s="117"/>
      <c r="J2619" s="117"/>
      <c r="K2619" s="117"/>
      <c r="L2619" s="117"/>
      <c r="M2619" s="117"/>
      <c r="N2619" s="117"/>
      <c r="O2619" s="117"/>
      <c r="P2619" s="117"/>
      <c r="Q2619" s="117"/>
      <c r="R2619" s="117"/>
      <c r="S2619" s="117"/>
      <c r="T2619" s="117"/>
      <c r="U2619" s="117"/>
      <c r="V2619" s="117"/>
      <c r="W2619" s="117"/>
      <c r="X2619" s="117"/>
      <c r="Y2619" s="117"/>
      <c r="Z2619" s="117"/>
      <c r="AA2619" s="117"/>
      <c r="AB2619" s="117"/>
      <c r="AC2619" s="117"/>
      <c r="AD2619" s="117"/>
      <c r="AE2619" s="117"/>
      <c r="AF2619" s="117"/>
      <c r="AG2619" s="117"/>
      <c r="AH2619" s="117"/>
      <c r="AI2619" s="117"/>
      <c r="AJ2619" s="117"/>
      <c r="AK2619" s="117"/>
      <c r="AL2619" s="117"/>
      <c r="AM2619" s="117"/>
      <c r="AN2619" s="117"/>
      <c r="AO2619" s="117"/>
    </row>
    <row r="2620" ht="12.75" customHeight="1">
      <c r="A2620" s="117"/>
      <c r="B2620" s="117"/>
      <c r="C2620" s="117"/>
      <c r="D2620" s="117"/>
      <c r="E2620" s="117"/>
      <c r="F2620" s="117"/>
      <c r="G2620" s="117"/>
      <c r="H2620" s="117"/>
      <c r="I2620" s="117"/>
      <c r="J2620" s="117"/>
      <c r="K2620" s="117"/>
      <c r="L2620" s="117"/>
      <c r="M2620" s="117"/>
      <c r="N2620" s="117"/>
      <c r="O2620" s="117"/>
      <c r="P2620" s="117"/>
      <c r="Q2620" s="117"/>
      <c r="R2620" s="117"/>
      <c r="S2620" s="117"/>
      <c r="T2620" s="117"/>
      <c r="U2620" s="117"/>
      <c r="V2620" s="117"/>
      <c r="W2620" s="117"/>
      <c r="X2620" s="117"/>
      <c r="Y2620" s="117"/>
      <c r="Z2620" s="117"/>
      <c r="AA2620" s="117"/>
      <c r="AB2620" s="117"/>
      <c r="AC2620" s="117"/>
      <c r="AD2620" s="117"/>
      <c r="AE2620" s="117"/>
      <c r="AF2620" s="117"/>
      <c r="AG2620" s="117"/>
      <c r="AH2620" s="117"/>
      <c r="AI2620" s="117"/>
      <c r="AJ2620" s="117"/>
      <c r="AK2620" s="117"/>
      <c r="AL2620" s="117"/>
      <c r="AM2620" s="117"/>
      <c r="AN2620" s="117"/>
      <c r="AO2620" s="117"/>
    </row>
    <row r="2621" ht="12.75" customHeight="1">
      <c r="A2621" s="117"/>
      <c r="B2621" s="117"/>
      <c r="C2621" s="117"/>
      <c r="D2621" s="117"/>
      <c r="E2621" s="117"/>
      <c r="F2621" s="117"/>
      <c r="G2621" s="117"/>
      <c r="H2621" s="117"/>
      <c r="I2621" s="117"/>
      <c r="J2621" s="117"/>
      <c r="K2621" s="117"/>
      <c r="L2621" s="117"/>
      <c r="M2621" s="117"/>
      <c r="N2621" s="117"/>
      <c r="O2621" s="117"/>
      <c r="P2621" s="117"/>
      <c r="Q2621" s="117"/>
      <c r="R2621" s="117"/>
      <c r="S2621" s="117"/>
      <c r="T2621" s="117"/>
      <c r="U2621" s="117"/>
      <c r="V2621" s="117"/>
      <c r="W2621" s="117"/>
      <c r="X2621" s="117"/>
      <c r="Y2621" s="117"/>
      <c r="Z2621" s="117"/>
      <c r="AA2621" s="117"/>
      <c r="AB2621" s="117"/>
      <c r="AC2621" s="117"/>
      <c r="AD2621" s="117"/>
      <c r="AE2621" s="117"/>
      <c r="AF2621" s="117"/>
      <c r="AG2621" s="117"/>
      <c r="AH2621" s="117"/>
      <c r="AI2621" s="117"/>
      <c r="AJ2621" s="117"/>
      <c r="AK2621" s="117"/>
      <c r="AL2621" s="117"/>
      <c r="AM2621" s="117"/>
      <c r="AN2621" s="117"/>
      <c r="AO2621" s="117"/>
    </row>
    <row r="2622" ht="12.75" customHeight="1">
      <c r="A2622" s="117"/>
      <c r="B2622" s="117"/>
      <c r="C2622" s="117"/>
      <c r="D2622" s="117"/>
      <c r="E2622" s="117"/>
      <c r="F2622" s="117"/>
      <c r="G2622" s="117"/>
      <c r="H2622" s="117"/>
      <c r="I2622" s="117"/>
      <c r="J2622" s="117"/>
      <c r="K2622" s="117"/>
      <c r="L2622" s="117"/>
      <c r="M2622" s="117"/>
      <c r="N2622" s="117"/>
      <c r="O2622" s="117"/>
      <c r="P2622" s="117"/>
      <c r="Q2622" s="117"/>
      <c r="R2622" s="117"/>
      <c r="S2622" s="117"/>
      <c r="T2622" s="117"/>
      <c r="U2622" s="117"/>
      <c r="V2622" s="117"/>
      <c r="W2622" s="117"/>
      <c r="X2622" s="117"/>
      <c r="Y2622" s="117"/>
      <c r="Z2622" s="117"/>
      <c r="AA2622" s="117"/>
      <c r="AB2622" s="117"/>
      <c r="AC2622" s="117"/>
      <c r="AD2622" s="117"/>
      <c r="AE2622" s="117"/>
      <c r="AF2622" s="117"/>
      <c r="AG2622" s="117"/>
      <c r="AH2622" s="117"/>
      <c r="AI2622" s="117"/>
      <c r="AJ2622" s="117"/>
      <c r="AK2622" s="117"/>
      <c r="AL2622" s="117"/>
      <c r="AM2622" s="117"/>
      <c r="AN2622" s="117"/>
      <c r="AO2622" s="117"/>
    </row>
    <row r="2623" ht="12.75" customHeight="1">
      <c r="A2623" s="117"/>
      <c r="B2623" s="117"/>
      <c r="C2623" s="117"/>
      <c r="D2623" s="117"/>
      <c r="E2623" s="117"/>
      <c r="F2623" s="117"/>
      <c r="G2623" s="117"/>
      <c r="H2623" s="117"/>
      <c r="I2623" s="117"/>
      <c r="J2623" s="117"/>
      <c r="K2623" s="117"/>
      <c r="L2623" s="117"/>
      <c r="M2623" s="117"/>
      <c r="N2623" s="117"/>
      <c r="O2623" s="117"/>
      <c r="P2623" s="117"/>
      <c r="Q2623" s="117"/>
      <c r="R2623" s="117"/>
      <c r="S2623" s="117"/>
      <c r="T2623" s="117"/>
      <c r="U2623" s="117"/>
      <c r="V2623" s="117"/>
      <c r="W2623" s="117"/>
      <c r="X2623" s="117"/>
      <c r="Y2623" s="117"/>
      <c r="Z2623" s="117"/>
      <c r="AA2623" s="117"/>
      <c r="AB2623" s="117"/>
      <c r="AC2623" s="117"/>
      <c r="AD2623" s="117"/>
      <c r="AE2623" s="117"/>
      <c r="AF2623" s="117"/>
      <c r="AG2623" s="117"/>
      <c r="AH2623" s="117"/>
      <c r="AI2623" s="117"/>
      <c r="AJ2623" s="117"/>
      <c r="AK2623" s="117"/>
      <c r="AL2623" s="117"/>
      <c r="AM2623" s="117"/>
      <c r="AN2623" s="117"/>
      <c r="AO2623" s="117"/>
    </row>
    <row r="2624" ht="12.75" customHeight="1">
      <c r="A2624" s="117"/>
      <c r="B2624" s="117"/>
      <c r="C2624" s="117"/>
      <c r="D2624" s="117"/>
      <c r="E2624" s="117"/>
      <c r="F2624" s="117"/>
      <c r="G2624" s="117"/>
      <c r="H2624" s="117"/>
      <c r="I2624" s="117"/>
      <c r="J2624" s="117"/>
      <c r="K2624" s="117"/>
      <c r="L2624" s="117"/>
      <c r="M2624" s="117"/>
      <c r="N2624" s="117"/>
      <c r="O2624" s="117"/>
      <c r="P2624" s="117"/>
      <c r="Q2624" s="117"/>
      <c r="R2624" s="117"/>
      <c r="S2624" s="117"/>
      <c r="T2624" s="117"/>
      <c r="U2624" s="117"/>
      <c r="V2624" s="117"/>
      <c r="W2624" s="117"/>
      <c r="X2624" s="117"/>
      <c r="Y2624" s="117"/>
      <c r="Z2624" s="117"/>
      <c r="AA2624" s="117"/>
      <c r="AB2624" s="117"/>
      <c r="AC2624" s="117"/>
      <c r="AD2624" s="117"/>
      <c r="AE2624" s="117"/>
      <c r="AF2624" s="117"/>
      <c r="AG2624" s="117"/>
      <c r="AH2624" s="117"/>
      <c r="AI2624" s="117"/>
      <c r="AJ2624" s="117"/>
      <c r="AK2624" s="117"/>
      <c r="AL2624" s="117"/>
      <c r="AM2624" s="117"/>
      <c r="AN2624" s="117"/>
      <c r="AO2624" s="117"/>
    </row>
    <row r="2625" ht="12.75" customHeight="1">
      <c r="A2625" s="117"/>
      <c r="B2625" s="117"/>
      <c r="C2625" s="117"/>
      <c r="D2625" s="117"/>
      <c r="E2625" s="117"/>
      <c r="F2625" s="117"/>
      <c r="G2625" s="117"/>
      <c r="H2625" s="117"/>
      <c r="I2625" s="117"/>
      <c r="J2625" s="117"/>
      <c r="K2625" s="117"/>
      <c r="L2625" s="117"/>
      <c r="M2625" s="117"/>
      <c r="N2625" s="117"/>
      <c r="O2625" s="117"/>
      <c r="P2625" s="117"/>
      <c r="Q2625" s="117"/>
      <c r="R2625" s="117"/>
      <c r="S2625" s="117"/>
      <c r="T2625" s="117"/>
      <c r="U2625" s="117"/>
      <c r="V2625" s="117"/>
      <c r="W2625" s="117"/>
      <c r="X2625" s="117"/>
      <c r="Y2625" s="117"/>
      <c r="Z2625" s="117"/>
      <c r="AA2625" s="117"/>
      <c r="AB2625" s="117"/>
      <c r="AC2625" s="117"/>
      <c r="AD2625" s="117"/>
      <c r="AE2625" s="117"/>
      <c r="AF2625" s="117"/>
      <c r="AG2625" s="117"/>
      <c r="AH2625" s="117"/>
      <c r="AI2625" s="117"/>
      <c r="AJ2625" s="117"/>
      <c r="AK2625" s="117"/>
      <c r="AL2625" s="117"/>
      <c r="AM2625" s="117"/>
      <c r="AN2625" s="117"/>
      <c r="AO2625" s="117"/>
    </row>
    <row r="2626" ht="12.75" customHeight="1">
      <c r="A2626" s="117"/>
      <c r="B2626" s="117"/>
      <c r="C2626" s="117"/>
      <c r="D2626" s="117"/>
      <c r="E2626" s="117"/>
      <c r="F2626" s="117"/>
      <c r="G2626" s="117"/>
      <c r="H2626" s="117"/>
      <c r="I2626" s="117"/>
      <c r="J2626" s="117"/>
      <c r="K2626" s="117"/>
      <c r="L2626" s="117"/>
      <c r="M2626" s="117"/>
      <c r="N2626" s="117"/>
      <c r="O2626" s="117"/>
      <c r="P2626" s="117"/>
      <c r="Q2626" s="117"/>
      <c r="R2626" s="117"/>
      <c r="S2626" s="117"/>
      <c r="T2626" s="117"/>
      <c r="U2626" s="117"/>
      <c r="V2626" s="117"/>
      <c r="W2626" s="117"/>
      <c r="X2626" s="117"/>
      <c r="Y2626" s="117"/>
      <c r="Z2626" s="117"/>
      <c r="AA2626" s="117"/>
      <c r="AB2626" s="117"/>
      <c r="AC2626" s="117"/>
      <c r="AD2626" s="117"/>
      <c r="AE2626" s="117"/>
      <c r="AF2626" s="117"/>
      <c r="AG2626" s="117"/>
      <c r="AH2626" s="117"/>
      <c r="AI2626" s="117"/>
      <c r="AJ2626" s="117"/>
      <c r="AK2626" s="117"/>
      <c r="AL2626" s="117"/>
      <c r="AM2626" s="117"/>
      <c r="AN2626" s="117"/>
      <c r="AO2626" s="117"/>
    </row>
    <row r="2627" ht="12.75" customHeight="1">
      <c r="A2627" s="117"/>
      <c r="B2627" s="117"/>
      <c r="C2627" s="117"/>
      <c r="D2627" s="117"/>
      <c r="E2627" s="117"/>
      <c r="F2627" s="117"/>
      <c r="G2627" s="117"/>
      <c r="H2627" s="117"/>
      <c r="I2627" s="117"/>
      <c r="J2627" s="117"/>
      <c r="K2627" s="117"/>
      <c r="L2627" s="117"/>
      <c r="M2627" s="117"/>
      <c r="N2627" s="117"/>
      <c r="O2627" s="117"/>
      <c r="P2627" s="117"/>
      <c r="Q2627" s="117"/>
      <c r="R2627" s="117"/>
      <c r="S2627" s="117"/>
      <c r="T2627" s="117"/>
      <c r="U2627" s="117"/>
      <c r="V2627" s="117"/>
      <c r="W2627" s="117"/>
      <c r="X2627" s="117"/>
      <c r="Y2627" s="117"/>
      <c r="Z2627" s="117"/>
      <c r="AA2627" s="117"/>
      <c r="AB2627" s="117"/>
      <c r="AC2627" s="117"/>
      <c r="AD2627" s="117"/>
      <c r="AE2627" s="117"/>
      <c r="AF2627" s="117"/>
      <c r="AG2627" s="117"/>
      <c r="AH2627" s="117"/>
      <c r="AI2627" s="117"/>
      <c r="AJ2627" s="117"/>
      <c r="AK2627" s="117"/>
      <c r="AL2627" s="117"/>
      <c r="AM2627" s="117"/>
      <c r="AN2627" s="117"/>
      <c r="AO2627" s="117"/>
    </row>
    <row r="2628" ht="12.75" customHeight="1">
      <c r="A2628" s="117"/>
      <c r="B2628" s="117"/>
      <c r="C2628" s="117"/>
      <c r="D2628" s="117"/>
      <c r="E2628" s="117"/>
      <c r="F2628" s="117"/>
      <c r="G2628" s="117"/>
      <c r="H2628" s="117"/>
      <c r="I2628" s="117"/>
      <c r="J2628" s="117"/>
      <c r="K2628" s="117"/>
      <c r="L2628" s="117"/>
      <c r="M2628" s="117"/>
      <c r="N2628" s="117"/>
      <c r="O2628" s="117"/>
      <c r="P2628" s="117"/>
      <c r="Q2628" s="117"/>
      <c r="R2628" s="117"/>
      <c r="S2628" s="117"/>
      <c r="T2628" s="117"/>
      <c r="U2628" s="117"/>
      <c r="V2628" s="117"/>
      <c r="W2628" s="117"/>
      <c r="X2628" s="117"/>
      <c r="Y2628" s="117"/>
      <c r="Z2628" s="117"/>
      <c r="AA2628" s="117"/>
      <c r="AB2628" s="117"/>
      <c r="AC2628" s="117"/>
      <c r="AD2628" s="117"/>
      <c r="AE2628" s="117"/>
      <c r="AF2628" s="117"/>
      <c r="AG2628" s="117"/>
      <c r="AH2628" s="117"/>
      <c r="AI2628" s="117"/>
      <c r="AJ2628" s="117"/>
      <c r="AK2628" s="117"/>
      <c r="AL2628" s="117"/>
      <c r="AM2628" s="117"/>
      <c r="AN2628" s="117"/>
      <c r="AO2628" s="117"/>
    </row>
    <row r="2629" ht="12.75" customHeight="1">
      <c r="A2629" s="117"/>
      <c r="B2629" s="117"/>
      <c r="C2629" s="117"/>
      <c r="D2629" s="117"/>
      <c r="E2629" s="117"/>
      <c r="F2629" s="117"/>
      <c r="G2629" s="117"/>
      <c r="H2629" s="117"/>
      <c r="I2629" s="117"/>
      <c r="J2629" s="117"/>
      <c r="K2629" s="117"/>
      <c r="L2629" s="117"/>
      <c r="M2629" s="117"/>
      <c r="N2629" s="117"/>
      <c r="O2629" s="117"/>
      <c r="P2629" s="117"/>
      <c r="Q2629" s="117"/>
      <c r="R2629" s="117"/>
      <c r="S2629" s="117"/>
      <c r="T2629" s="117"/>
      <c r="U2629" s="117"/>
      <c r="V2629" s="117"/>
      <c r="W2629" s="117"/>
      <c r="X2629" s="117"/>
      <c r="Y2629" s="117"/>
      <c r="Z2629" s="117"/>
      <c r="AA2629" s="117"/>
      <c r="AB2629" s="117"/>
      <c r="AC2629" s="117"/>
      <c r="AD2629" s="117"/>
      <c r="AE2629" s="117"/>
      <c r="AF2629" s="117"/>
      <c r="AG2629" s="117"/>
      <c r="AH2629" s="117"/>
      <c r="AI2629" s="117"/>
      <c r="AJ2629" s="117"/>
      <c r="AK2629" s="117"/>
      <c r="AL2629" s="117"/>
      <c r="AM2629" s="117"/>
      <c r="AN2629" s="117"/>
      <c r="AO2629" s="117"/>
    </row>
    <row r="2630" ht="12.75" customHeight="1">
      <c r="A2630" s="117"/>
      <c r="B2630" s="117"/>
      <c r="C2630" s="117"/>
      <c r="D2630" s="117"/>
      <c r="E2630" s="117"/>
      <c r="F2630" s="117"/>
      <c r="G2630" s="117"/>
      <c r="H2630" s="117"/>
      <c r="I2630" s="117"/>
      <c r="J2630" s="117"/>
      <c r="K2630" s="117"/>
      <c r="L2630" s="117"/>
      <c r="M2630" s="117"/>
      <c r="N2630" s="117"/>
      <c r="O2630" s="117"/>
      <c r="P2630" s="117"/>
      <c r="Q2630" s="117"/>
      <c r="R2630" s="117"/>
      <c r="S2630" s="117"/>
      <c r="T2630" s="117"/>
      <c r="U2630" s="117"/>
      <c r="V2630" s="117"/>
      <c r="W2630" s="117"/>
      <c r="X2630" s="117"/>
      <c r="Y2630" s="117"/>
      <c r="Z2630" s="117"/>
      <c r="AA2630" s="117"/>
      <c r="AB2630" s="117"/>
      <c r="AC2630" s="117"/>
      <c r="AD2630" s="117"/>
      <c r="AE2630" s="117"/>
      <c r="AF2630" s="117"/>
      <c r="AG2630" s="117"/>
      <c r="AH2630" s="117"/>
      <c r="AI2630" s="117"/>
      <c r="AJ2630" s="117"/>
      <c r="AK2630" s="117"/>
      <c r="AL2630" s="117"/>
      <c r="AM2630" s="117"/>
      <c r="AN2630" s="117"/>
      <c r="AO2630" s="117"/>
    </row>
    <row r="2631" ht="12.75" customHeight="1">
      <c r="A2631" s="117"/>
      <c r="B2631" s="117"/>
      <c r="C2631" s="117"/>
      <c r="D2631" s="117"/>
      <c r="E2631" s="117"/>
      <c r="F2631" s="117"/>
      <c r="G2631" s="117"/>
      <c r="H2631" s="117"/>
      <c r="I2631" s="117"/>
      <c r="J2631" s="117"/>
      <c r="K2631" s="117"/>
      <c r="L2631" s="117"/>
      <c r="M2631" s="117"/>
      <c r="N2631" s="117"/>
      <c r="O2631" s="117"/>
      <c r="P2631" s="117"/>
      <c r="Q2631" s="117"/>
      <c r="R2631" s="117"/>
      <c r="S2631" s="117"/>
      <c r="T2631" s="117"/>
      <c r="U2631" s="117"/>
      <c r="V2631" s="117"/>
      <c r="W2631" s="117"/>
      <c r="X2631" s="117"/>
      <c r="Y2631" s="117"/>
      <c r="Z2631" s="117"/>
      <c r="AA2631" s="117"/>
      <c r="AB2631" s="117"/>
      <c r="AC2631" s="117"/>
      <c r="AD2631" s="117"/>
      <c r="AE2631" s="117"/>
      <c r="AF2631" s="117"/>
      <c r="AG2631" s="117"/>
      <c r="AH2631" s="117"/>
      <c r="AI2631" s="117"/>
      <c r="AJ2631" s="117"/>
      <c r="AK2631" s="117"/>
      <c r="AL2631" s="117"/>
      <c r="AM2631" s="117"/>
      <c r="AN2631" s="117"/>
      <c r="AO2631" s="117"/>
    </row>
    <row r="2632" ht="12.75" customHeight="1">
      <c r="A2632" s="117"/>
      <c r="B2632" s="117"/>
      <c r="C2632" s="117"/>
      <c r="D2632" s="117"/>
      <c r="E2632" s="117"/>
      <c r="F2632" s="117"/>
      <c r="G2632" s="117"/>
      <c r="H2632" s="117"/>
      <c r="I2632" s="117"/>
      <c r="J2632" s="117"/>
      <c r="K2632" s="117"/>
      <c r="L2632" s="117"/>
      <c r="M2632" s="117"/>
      <c r="N2632" s="117"/>
      <c r="O2632" s="117"/>
      <c r="P2632" s="117"/>
      <c r="Q2632" s="117"/>
      <c r="R2632" s="117"/>
      <c r="S2632" s="117"/>
      <c r="T2632" s="117"/>
      <c r="U2632" s="117"/>
      <c r="V2632" s="117"/>
      <c r="W2632" s="117"/>
      <c r="X2632" s="117"/>
      <c r="Y2632" s="117"/>
      <c r="Z2632" s="117"/>
      <c r="AA2632" s="117"/>
      <c r="AB2632" s="117"/>
      <c r="AC2632" s="117"/>
      <c r="AD2632" s="117"/>
      <c r="AE2632" s="117"/>
      <c r="AF2632" s="117"/>
      <c r="AG2632" s="117"/>
      <c r="AH2632" s="117"/>
      <c r="AI2632" s="117"/>
      <c r="AJ2632" s="117"/>
      <c r="AK2632" s="117"/>
      <c r="AL2632" s="117"/>
      <c r="AM2632" s="117"/>
      <c r="AN2632" s="117"/>
      <c r="AO2632" s="117"/>
    </row>
    <row r="2633" ht="12.75" customHeight="1">
      <c r="A2633" s="117"/>
      <c r="B2633" s="117"/>
      <c r="C2633" s="117"/>
      <c r="D2633" s="117"/>
      <c r="E2633" s="117"/>
      <c r="F2633" s="117"/>
      <c r="G2633" s="117"/>
      <c r="H2633" s="117"/>
      <c r="I2633" s="117"/>
      <c r="J2633" s="117"/>
      <c r="K2633" s="117"/>
      <c r="L2633" s="117"/>
      <c r="M2633" s="117"/>
      <c r="N2633" s="117"/>
      <c r="O2633" s="117"/>
      <c r="P2633" s="117"/>
      <c r="Q2633" s="117"/>
      <c r="R2633" s="117"/>
      <c r="S2633" s="117"/>
      <c r="T2633" s="117"/>
      <c r="U2633" s="117"/>
      <c r="V2633" s="117"/>
      <c r="W2633" s="117"/>
      <c r="X2633" s="117"/>
      <c r="Y2633" s="117"/>
      <c r="Z2633" s="117"/>
      <c r="AA2633" s="117"/>
      <c r="AB2633" s="117"/>
      <c r="AC2633" s="117"/>
      <c r="AD2633" s="117"/>
      <c r="AE2633" s="117"/>
      <c r="AF2633" s="117"/>
      <c r="AG2633" s="117"/>
      <c r="AH2633" s="117"/>
      <c r="AI2633" s="117"/>
      <c r="AJ2633" s="117"/>
      <c r="AK2633" s="117"/>
      <c r="AL2633" s="117"/>
      <c r="AM2633" s="117"/>
      <c r="AN2633" s="117"/>
      <c r="AO2633" s="117"/>
    </row>
    <row r="2634" ht="12.75" customHeight="1">
      <c r="A2634" s="117"/>
      <c r="B2634" s="117"/>
      <c r="C2634" s="117"/>
      <c r="D2634" s="117"/>
      <c r="E2634" s="117"/>
      <c r="F2634" s="117"/>
      <c r="G2634" s="117"/>
      <c r="H2634" s="117"/>
      <c r="I2634" s="117"/>
      <c r="J2634" s="117"/>
      <c r="K2634" s="117"/>
      <c r="L2634" s="117"/>
      <c r="M2634" s="117"/>
      <c r="N2634" s="117"/>
      <c r="O2634" s="117"/>
      <c r="P2634" s="117"/>
      <c r="Q2634" s="117"/>
      <c r="R2634" s="117"/>
      <c r="S2634" s="117"/>
      <c r="T2634" s="117"/>
      <c r="U2634" s="117"/>
      <c r="V2634" s="117"/>
      <c r="W2634" s="117"/>
      <c r="X2634" s="117"/>
      <c r="Y2634" s="117"/>
      <c r="Z2634" s="117"/>
      <c r="AA2634" s="117"/>
      <c r="AB2634" s="117"/>
      <c r="AC2634" s="117"/>
      <c r="AD2634" s="117"/>
      <c r="AE2634" s="117"/>
      <c r="AF2634" s="117"/>
      <c r="AG2634" s="117"/>
      <c r="AH2634" s="117"/>
      <c r="AI2634" s="117"/>
      <c r="AJ2634" s="117"/>
      <c r="AK2634" s="117"/>
      <c r="AL2634" s="117"/>
      <c r="AM2634" s="117"/>
      <c r="AN2634" s="117"/>
      <c r="AO2634" s="117"/>
    </row>
    <row r="2635" ht="12.75" customHeight="1">
      <c r="A2635" s="117"/>
      <c r="B2635" s="117"/>
      <c r="C2635" s="117"/>
      <c r="D2635" s="117"/>
      <c r="E2635" s="117"/>
      <c r="F2635" s="117"/>
      <c r="G2635" s="117"/>
      <c r="H2635" s="117"/>
      <c r="I2635" s="117"/>
      <c r="J2635" s="117"/>
      <c r="K2635" s="117"/>
      <c r="L2635" s="117"/>
      <c r="M2635" s="117"/>
      <c r="N2635" s="117"/>
      <c r="O2635" s="117"/>
      <c r="P2635" s="117"/>
      <c r="Q2635" s="117"/>
      <c r="R2635" s="117"/>
      <c r="S2635" s="117"/>
      <c r="T2635" s="117"/>
      <c r="U2635" s="117"/>
      <c r="V2635" s="117"/>
      <c r="W2635" s="117"/>
      <c r="X2635" s="117"/>
      <c r="Y2635" s="117"/>
      <c r="Z2635" s="117"/>
      <c r="AA2635" s="117"/>
      <c r="AB2635" s="117"/>
      <c r="AC2635" s="117"/>
      <c r="AD2635" s="117"/>
      <c r="AE2635" s="117"/>
      <c r="AF2635" s="117"/>
      <c r="AG2635" s="117"/>
      <c r="AH2635" s="117"/>
      <c r="AI2635" s="117"/>
      <c r="AJ2635" s="117"/>
      <c r="AK2635" s="117"/>
      <c r="AL2635" s="117"/>
      <c r="AM2635" s="117"/>
      <c r="AN2635" s="117"/>
      <c r="AO2635" s="117"/>
    </row>
    <row r="2636" ht="12.75" customHeight="1">
      <c r="A2636" s="117"/>
      <c r="B2636" s="117"/>
      <c r="C2636" s="117"/>
      <c r="D2636" s="117"/>
      <c r="E2636" s="117"/>
      <c r="F2636" s="117"/>
      <c r="G2636" s="117"/>
      <c r="H2636" s="117"/>
      <c r="I2636" s="117"/>
      <c r="J2636" s="117"/>
      <c r="K2636" s="117"/>
      <c r="L2636" s="117"/>
      <c r="M2636" s="117"/>
      <c r="N2636" s="117"/>
      <c r="O2636" s="117"/>
      <c r="P2636" s="117"/>
      <c r="Q2636" s="117"/>
      <c r="R2636" s="117"/>
      <c r="S2636" s="117"/>
      <c r="T2636" s="117"/>
      <c r="U2636" s="117"/>
      <c r="V2636" s="117"/>
      <c r="W2636" s="117"/>
      <c r="X2636" s="117"/>
      <c r="Y2636" s="117"/>
      <c r="Z2636" s="117"/>
      <c r="AA2636" s="117"/>
      <c r="AB2636" s="117"/>
      <c r="AC2636" s="117"/>
      <c r="AD2636" s="117"/>
      <c r="AE2636" s="117"/>
      <c r="AF2636" s="117"/>
      <c r="AG2636" s="117"/>
      <c r="AH2636" s="117"/>
      <c r="AI2636" s="117"/>
      <c r="AJ2636" s="117"/>
      <c r="AK2636" s="117"/>
      <c r="AL2636" s="117"/>
      <c r="AM2636" s="117"/>
      <c r="AN2636" s="117"/>
      <c r="AO2636" s="117"/>
    </row>
    <row r="2637" ht="12.75" customHeight="1">
      <c r="A2637" s="117"/>
      <c r="B2637" s="117"/>
      <c r="C2637" s="117"/>
      <c r="D2637" s="117"/>
      <c r="E2637" s="117"/>
      <c r="F2637" s="117"/>
      <c r="G2637" s="117"/>
      <c r="H2637" s="117"/>
      <c r="I2637" s="117"/>
      <c r="J2637" s="117"/>
      <c r="K2637" s="117"/>
      <c r="L2637" s="117"/>
      <c r="M2637" s="117"/>
      <c r="N2637" s="117"/>
      <c r="O2637" s="117"/>
      <c r="P2637" s="117"/>
      <c r="Q2637" s="117"/>
      <c r="R2637" s="117"/>
      <c r="S2637" s="117"/>
      <c r="T2637" s="117"/>
      <c r="U2637" s="117"/>
      <c r="V2637" s="117"/>
      <c r="W2637" s="117"/>
      <c r="X2637" s="117"/>
      <c r="Y2637" s="117"/>
      <c r="Z2637" s="117"/>
      <c r="AA2637" s="117"/>
      <c r="AB2637" s="117"/>
      <c r="AC2637" s="117"/>
      <c r="AD2637" s="117"/>
      <c r="AE2637" s="117"/>
      <c r="AF2637" s="117"/>
      <c r="AG2637" s="117"/>
      <c r="AH2637" s="117"/>
      <c r="AI2637" s="117"/>
      <c r="AJ2637" s="117"/>
      <c r="AK2637" s="117"/>
      <c r="AL2637" s="117"/>
      <c r="AM2637" s="117"/>
      <c r="AN2637" s="117"/>
      <c r="AO2637" s="117"/>
    </row>
    <row r="2638" ht="12.75" customHeight="1">
      <c r="A2638" s="117"/>
      <c r="B2638" s="117"/>
      <c r="C2638" s="117"/>
      <c r="D2638" s="117"/>
      <c r="E2638" s="117"/>
      <c r="F2638" s="117"/>
      <c r="G2638" s="117"/>
      <c r="H2638" s="117"/>
      <c r="I2638" s="117"/>
      <c r="J2638" s="117"/>
      <c r="K2638" s="117"/>
      <c r="L2638" s="117"/>
      <c r="M2638" s="117"/>
      <c r="N2638" s="117"/>
      <c r="O2638" s="117"/>
      <c r="P2638" s="117"/>
      <c r="Q2638" s="117"/>
      <c r="R2638" s="117"/>
      <c r="S2638" s="117"/>
      <c r="T2638" s="117"/>
      <c r="U2638" s="117"/>
      <c r="V2638" s="117"/>
      <c r="W2638" s="117"/>
      <c r="X2638" s="117"/>
      <c r="Y2638" s="117"/>
      <c r="Z2638" s="117"/>
      <c r="AA2638" s="117"/>
      <c r="AB2638" s="117"/>
      <c r="AC2638" s="117"/>
      <c r="AD2638" s="117"/>
      <c r="AE2638" s="117"/>
      <c r="AF2638" s="117"/>
      <c r="AG2638" s="117"/>
      <c r="AH2638" s="117"/>
      <c r="AI2638" s="117"/>
      <c r="AJ2638" s="117"/>
      <c r="AK2638" s="117"/>
      <c r="AL2638" s="117"/>
      <c r="AM2638" s="117"/>
      <c r="AN2638" s="117"/>
      <c r="AO2638" s="117"/>
    </row>
    <row r="2639" ht="12.75" customHeight="1">
      <c r="A2639" s="117"/>
      <c r="B2639" s="117"/>
      <c r="C2639" s="117"/>
      <c r="D2639" s="117"/>
      <c r="E2639" s="117"/>
      <c r="F2639" s="117"/>
      <c r="G2639" s="117"/>
      <c r="H2639" s="117"/>
      <c r="I2639" s="117"/>
      <c r="J2639" s="117"/>
      <c r="K2639" s="117"/>
      <c r="L2639" s="117"/>
      <c r="M2639" s="117"/>
      <c r="N2639" s="117"/>
      <c r="O2639" s="117"/>
      <c r="P2639" s="117"/>
      <c r="Q2639" s="117"/>
      <c r="R2639" s="117"/>
      <c r="S2639" s="117"/>
      <c r="T2639" s="117"/>
      <c r="U2639" s="117"/>
      <c r="V2639" s="117"/>
      <c r="W2639" s="117"/>
      <c r="X2639" s="117"/>
      <c r="Y2639" s="117"/>
      <c r="Z2639" s="117"/>
      <c r="AA2639" s="117"/>
      <c r="AB2639" s="117"/>
      <c r="AC2639" s="117"/>
      <c r="AD2639" s="117"/>
      <c r="AE2639" s="117"/>
      <c r="AF2639" s="117"/>
      <c r="AG2639" s="117"/>
      <c r="AH2639" s="117"/>
      <c r="AI2639" s="117"/>
      <c r="AJ2639" s="117"/>
      <c r="AK2639" s="117"/>
      <c r="AL2639" s="117"/>
      <c r="AM2639" s="117"/>
      <c r="AN2639" s="117"/>
      <c r="AO2639" s="117"/>
    </row>
    <row r="2640" ht="12.75" customHeight="1">
      <c r="A2640" s="117"/>
      <c r="B2640" s="117"/>
      <c r="C2640" s="117"/>
      <c r="D2640" s="117"/>
      <c r="E2640" s="117"/>
      <c r="F2640" s="117"/>
      <c r="G2640" s="117"/>
      <c r="H2640" s="117"/>
      <c r="I2640" s="117"/>
      <c r="J2640" s="117"/>
      <c r="K2640" s="117"/>
      <c r="L2640" s="117"/>
      <c r="M2640" s="117"/>
      <c r="N2640" s="117"/>
      <c r="O2640" s="117"/>
      <c r="P2640" s="117"/>
      <c r="Q2640" s="117"/>
      <c r="R2640" s="117"/>
      <c r="S2640" s="117"/>
      <c r="T2640" s="117"/>
      <c r="U2640" s="117"/>
      <c r="V2640" s="117"/>
      <c r="W2640" s="117"/>
      <c r="X2640" s="117"/>
      <c r="Y2640" s="117"/>
      <c r="Z2640" s="117"/>
      <c r="AA2640" s="117"/>
      <c r="AB2640" s="117"/>
      <c r="AC2640" s="117"/>
      <c r="AD2640" s="117"/>
      <c r="AE2640" s="117"/>
      <c r="AF2640" s="117"/>
      <c r="AG2640" s="117"/>
      <c r="AH2640" s="117"/>
      <c r="AI2640" s="117"/>
      <c r="AJ2640" s="117"/>
      <c r="AK2640" s="117"/>
      <c r="AL2640" s="117"/>
      <c r="AM2640" s="117"/>
      <c r="AN2640" s="117"/>
      <c r="AO2640" s="117"/>
    </row>
    <row r="2641" ht="12.75" customHeight="1">
      <c r="A2641" s="117"/>
      <c r="B2641" s="117"/>
      <c r="C2641" s="117"/>
      <c r="D2641" s="117"/>
      <c r="E2641" s="117"/>
      <c r="F2641" s="117"/>
      <c r="G2641" s="117"/>
      <c r="H2641" s="117"/>
      <c r="I2641" s="117"/>
      <c r="J2641" s="117"/>
      <c r="K2641" s="117"/>
      <c r="L2641" s="117"/>
      <c r="M2641" s="117"/>
      <c r="N2641" s="117"/>
      <c r="O2641" s="117"/>
      <c r="P2641" s="117"/>
      <c r="Q2641" s="117"/>
      <c r="R2641" s="117"/>
      <c r="S2641" s="117"/>
      <c r="T2641" s="117"/>
      <c r="U2641" s="117"/>
      <c r="V2641" s="117"/>
      <c r="W2641" s="117"/>
      <c r="X2641" s="117"/>
      <c r="Y2641" s="117"/>
      <c r="Z2641" s="117"/>
      <c r="AA2641" s="117"/>
      <c r="AB2641" s="117"/>
      <c r="AC2641" s="117"/>
      <c r="AD2641" s="117"/>
      <c r="AE2641" s="117"/>
      <c r="AF2641" s="117"/>
      <c r="AG2641" s="117"/>
      <c r="AH2641" s="117"/>
      <c r="AI2641" s="117"/>
      <c r="AJ2641" s="117"/>
      <c r="AK2641" s="117"/>
      <c r="AL2641" s="117"/>
      <c r="AM2641" s="117"/>
      <c r="AN2641" s="117"/>
      <c r="AO2641" s="117"/>
    </row>
  </sheetData>
  <mergeCells count="10">
    <mergeCell ref="AA2:AD2"/>
    <mergeCell ref="AG2:AH2"/>
    <mergeCell ref="A1:AF1"/>
    <mergeCell ref="A2:A3"/>
    <mergeCell ref="B2:B3"/>
    <mergeCell ref="C2:C3"/>
    <mergeCell ref="D2:D3"/>
    <mergeCell ref="E2:E3"/>
    <mergeCell ref="AE2:AE3"/>
    <mergeCell ref="AG3:AH3"/>
  </mergeCells>
  <conditionalFormatting sqref="B642:B643">
    <cfRule type="expression" dxfId="4" priority="1" stopIfTrue="1">
      <formula>#REF!="Confidential"</formula>
    </cfRule>
  </conditionalFormatting>
  <conditionalFormatting sqref="B706">
    <cfRule type="expression" dxfId="4" priority="2" stopIfTrue="1">
      <formula>#REF!="Confidential"</formula>
    </cfRule>
  </conditionalFormatting>
  <conditionalFormatting sqref="B2189:D2189 I2189:Z2189 AB2189:AF2189">
    <cfRule type="expression" dxfId="4" priority="3" stopIfTrue="1">
      <formula>#REF!="Confidential"</formula>
    </cfRule>
  </conditionalFormatting>
  <conditionalFormatting sqref="D129 AB15:AB27">
    <cfRule type="expression" dxfId="4" priority="4" stopIfTrue="1">
      <formula>#REF!="Confidential"</formula>
    </cfRule>
  </conditionalFormatting>
  <conditionalFormatting sqref="D409">
    <cfRule type="expression" dxfId="4" priority="5" stopIfTrue="1">
      <formula>#REF!="Confidential"</formula>
    </cfRule>
  </conditionalFormatting>
  <conditionalFormatting sqref="D432">
    <cfRule type="expression" dxfId="4" priority="6" stopIfTrue="1">
      <formula>#REF!="Confidential"</formula>
    </cfRule>
  </conditionalFormatting>
  <conditionalFormatting sqref="D477:D478">
    <cfRule type="expression" dxfId="4" priority="7" stopIfTrue="1">
      <formula>#REF!="Confidential"</formula>
    </cfRule>
  </conditionalFormatting>
  <conditionalFormatting sqref="D554:D558">
    <cfRule type="expression" dxfId="4" priority="8" stopIfTrue="1">
      <formula>#REF!="Confidential"</formula>
    </cfRule>
  </conditionalFormatting>
  <conditionalFormatting sqref="D564">
    <cfRule type="expression" dxfId="4" priority="9" stopIfTrue="1">
      <formula>#REF!="Confidential"</formula>
    </cfRule>
  </conditionalFormatting>
  <conditionalFormatting sqref="D572">
    <cfRule type="expression" dxfId="4" priority="10" stopIfTrue="1">
      <formula>#REF!="Confidential"</formula>
    </cfRule>
  </conditionalFormatting>
  <conditionalFormatting sqref="D609">
    <cfRule type="expression" dxfId="4" priority="11" stopIfTrue="1">
      <formula>#REF!="Confidential"</formula>
    </cfRule>
  </conditionalFormatting>
  <conditionalFormatting sqref="D641">
    <cfRule type="expression" dxfId="4" priority="12" stopIfTrue="1">
      <formula>#REF!="Confidential"</formula>
    </cfRule>
  </conditionalFormatting>
  <conditionalFormatting sqref="D659">
    <cfRule type="expression" dxfId="4" priority="13" stopIfTrue="1">
      <formula>#REF!="Confidential"</formula>
    </cfRule>
  </conditionalFormatting>
  <conditionalFormatting sqref="D678">
    <cfRule type="expression" dxfId="4" priority="14" stopIfTrue="1">
      <formula>#REF!="Confidential"</formula>
    </cfRule>
  </conditionalFormatting>
  <conditionalFormatting sqref="D691">
    <cfRule type="expression" dxfId="4" priority="15" stopIfTrue="1">
      <formula>#REF!="Confidential"</formula>
    </cfRule>
  </conditionalFormatting>
  <conditionalFormatting sqref="D696">
    <cfRule type="expression" dxfId="4" priority="16" stopIfTrue="1">
      <formula>#REF!="Confidential"</formula>
    </cfRule>
  </conditionalFormatting>
  <conditionalFormatting sqref="D708">
    <cfRule type="expression" dxfId="4" priority="17" stopIfTrue="1">
      <formula>#REF!="Confidential"</formula>
    </cfRule>
  </conditionalFormatting>
  <conditionalFormatting sqref="D710">
    <cfRule type="expression" dxfId="4" priority="18" stopIfTrue="1">
      <formula>#REF!="Confidential"</formula>
    </cfRule>
  </conditionalFormatting>
  <conditionalFormatting sqref="D729">
    <cfRule type="expression" dxfId="4" priority="19" stopIfTrue="1">
      <formula>#REF!="Confidential"</formula>
    </cfRule>
  </conditionalFormatting>
  <conditionalFormatting sqref="D741">
    <cfRule type="expression" dxfId="4" priority="20" stopIfTrue="1">
      <formula>#REF!="Confidential"</formula>
    </cfRule>
  </conditionalFormatting>
  <conditionalFormatting sqref="D783:D786">
    <cfRule type="expression" dxfId="4" priority="21" stopIfTrue="1">
      <formula>#REF!="Confidential"</formula>
    </cfRule>
  </conditionalFormatting>
  <conditionalFormatting sqref="D788:D792">
    <cfRule type="expression" dxfId="4" priority="22" stopIfTrue="1">
      <formula>#REF!="Confidential"</formula>
    </cfRule>
  </conditionalFormatting>
  <conditionalFormatting sqref="D814">
    <cfRule type="expression" dxfId="4" priority="23" stopIfTrue="1">
      <formula>#REF!="Confidential"</formula>
    </cfRule>
  </conditionalFormatting>
  <conditionalFormatting sqref="D819:D823">
    <cfRule type="expression" dxfId="4" priority="24" stopIfTrue="1">
      <formula>#REF!="Confidential"</formula>
    </cfRule>
  </conditionalFormatting>
  <conditionalFormatting sqref="D843:D844">
    <cfRule type="expression" dxfId="4" priority="25" stopIfTrue="1">
      <formula>#REF!="Confidential"</formula>
    </cfRule>
  </conditionalFormatting>
  <conditionalFormatting sqref="D862:D863">
    <cfRule type="expression" dxfId="4" priority="26" stopIfTrue="1">
      <formula>#REF!="Confidential"</formula>
    </cfRule>
  </conditionalFormatting>
  <conditionalFormatting sqref="D865:D869">
    <cfRule type="expression" dxfId="4" priority="27" stopIfTrue="1">
      <formula>#REF!="Confidential"</formula>
    </cfRule>
  </conditionalFormatting>
  <conditionalFormatting sqref="D874:D876">
    <cfRule type="expression" dxfId="4" priority="28" stopIfTrue="1">
      <formula>#REF!="Confidential"</formula>
    </cfRule>
  </conditionalFormatting>
  <conditionalFormatting sqref="D884">
    <cfRule type="expression" dxfId="4" priority="29" stopIfTrue="1">
      <formula>#REF!="Confidential"</formula>
    </cfRule>
  </conditionalFormatting>
  <conditionalFormatting sqref="D886:D887">
    <cfRule type="expression" dxfId="4" priority="30" stopIfTrue="1">
      <formula>#REF!="Confidential"</formula>
    </cfRule>
  </conditionalFormatting>
  <conditionalFormatting sqref="D889:D892">
    <cfRule type="expression" dxfId="4" priority="31" stopIfTrue="1">
      <formula>#REF!="Confidential"</formula>
    </cfRule>
  </conditionalFormatting>
  <conditionalFormatting sqref="D898">
    <cfRule type="expression" dxfId="4" priority="32" stopIfTrue="1">
      <formula>#REF!="Confidential"</formula>
    </cfRule>
  </conditionalFormatting>
  <conditionalFormatting sqref="D913">
    <cfRule type="expression" dxfId="4" priority="33" stopIfTrue="1">
      <formula>#REF!="Confidential"</formula>
    </cfRule>
  </conditionalFormatting>
  <conditionalFormatting sqref="D916:D917">
    <cfRule type="expression" dxfId="4" priority="34" stopIfTrue="1">
      <formula>#REF!="Confidential"</formula>
    </cfRule>
  </conditionalFormatting>
  <conditionalFormatting sqref="D920">
    <cfRule type="expression" dxfId="4" priority="35" stopIfTrue="1">
      <formula>#REF!="Confidential"</formula>
    </cfRule>
  </conditionalFormatting>
  <conditionalFormatting sqref="D926">
    <cfRule type="expression" dxfId="4" priority="36" stopIfTrue="1">
      <formula>#REF!="Confidential"</formula>
    </cfRule>
  </conditionalFormatting>
  <conditionalFormatting sqref="D934">
    <cfRule type="expression" dxfId="4" priority="37" stopIfTrue="1">
      <formula>#REF!="Confidential"</formula>
    </cfRule>
  </conditionalFormatting>
  <conditionalFormatting sqref="D953:D954">
    <cfRule type="expression" dxfId="4" priority="38" stopIfTrue="1">
      <formula>#REF!="Confidential"</formula>
    </cfRule>
  </conditionalFormatting>
  <conditionalFormatting sqref="D974:D978">
    <cfRule type="expression" dxfId="4" priority="39" stopIfTrue="1">
      <formula>#REF!="Confidential"</formula>
    </cfRule>
  </conditionalFormatting>
  <conditionalFormatting sqref="D984">
    <cfRule type="expression" dxfId="4" priority="40" stopIfTrue="1">
      <formula>#REF!="Confidential"</formula>
    </cfRule>
  </conditionalFormatting>
  <conditionalFormatting sqref="D986:D988">
    <cfRule type="expression" dxfId="4" priority="41" stopIfTrue="1">
      <formula>#REF!="Confidential"</formula>
    </cfRule>
  </conditionalFormatting>
  <conditionalFormatting sqref="D992">
    <cfRule type="expression" dxfId="4" priority="42" stopIfTrue="1">
      <formula>#REF!="Confidential"</formula>
    </cfRule>
  </conditionalFormatting>
  <conditionalFormatting sqref="D994">
    <cfRule type="expression" dxfId="4" priority="43" stopIfTrue="1">
      <formula>#REF!="Confidential"</formula>
    </cfRule>
  </conditionalFormatting>
  <conditionalFormatting sqref="D1000:D1001">
    <cfRule type="expression" dxfId="4" priority="44" stopIfTrue="1">
      <formula>#REF!="Confidential"</formula>
    </cfRule>
  </conditionalFormatting>
  <conditionalFormatting sqref="D1004">
    <cfRule type="expression" dxfId="4" priority="45" stopIfTrue="1">
      <formula>#REF!="Confidential"</formula>
    </cfRule>
  </conditionalFormatting>
  <conditionalFormatting sqref="D1006">
    <cfRule type="expression" dxfId="4" priority="46" stopIfTrue="1">
      <formula>#REF!="Confidential"</formula>
    </cfRule>
  </conditionalFormatting>
  <conditionalFormatting sqref="D1010:D1012">
    <cfRule type="expression" dxfId="4" priority="47" stopIfTrue="1">
      <formula>#REF!="Confidential"</formula>
    </cfRule>
  </conditionalFormatting>
  <conditionalFormatting sqref="D1015:D1019">
    <cfRule type="expression" dxfId="4" priority="48" stopIfTrue="1">
      <formula>#REF!="Confidential"</formula>
    </cfRule>
  </conditionalFormatting>
  <conditionalFormatting sqref="D1023:D1025">
    <cfRule type="expression" dxfId="4" priority="49" stopIfTrue="1">
      <formula>#REF!="Confidential"</formula>
    </cfRule>
  </conditionalFormatting>
  <conditionalFormatting sqref="D1029:D1030">
    <cfRule type="expression" dxfId="4" priority="50" stopIfTrue="1">
      <formula>#REF!="Confidential"</formula>
    </cfRule>
  </conditionalFormatting>
  <conditionalFormatting sqref="D1042">
    <cfRule type="expression" dxfId="4" priority="51" stopIfTrue="1">
      <formula>#REF!="Confidential"</formula>
    </cfRule>
  </conditionalFormatting>
  <conditionalFormatting sqref="D1044">
    <cfRule type="expression" dxfId="4" priority="52" stopIfTrue="1">
      <formula>#REF!="Confidential"</formula>
    </cfRule>
  </conditionalFormatting>
  <conditionalFormatting sqref="D1053">
    <cfRule type="expression" dxfId="4" priority="53" stopIfTrue="1">
      <formula>#REF!="Confidential"</formula>
    </cfRule>
  </conditionalFormatting>
  <conditionalFormatting sqref="D1065:D1067">
    <cfRule type="expression" dxfId="4" priority="54" stopIfTrue="1">
      <formula>#REF!="Confidential"</formula>
    </cfRule>
  </conditionalFormatting>
  <conditionalFormatting sqref="D1070">
    <cfRule type="expression" dxfId="4" priority="55" stopIfTrue="1">
      <formula>#REF!="Confidential"</formula>
    </cfRule>
  </conditionalFormatting>
  <conditionalFormatting sqref="D1072:D1073">
    <cfRule type="expression" dxfId="4" priority="56" stopIfTrue="1">
      <formula>#REF!="Confidential"</formula>
    </cfRule>
  </conditionalFormatting>
  <conditionalFormatting sqref="D1075:D1083">
    <cfRule type="expression" dxfId="4" priority="57" stopIfTrue="1">
      <formula>#REF!="Confidential"</formula>
    </cfRule>
  </conditionalFormatting>
  <conditionalFormatting sqref="D1097">
    <cfRule type="expression" dxfId="4" priority="58" stopIfTrue="1">
      <formula>#REF!="Confidential"</formula>
    </cfRule>
  </conditionalFormatting>
  <conditionalFormatting sqref="D1099:D1101">
    <cfRule type="expression" dxfId="4" priority="59" stopIfTrue="1">
      <formula>#REF!="Confidential"</formula>
    </cfRule>
  </conditionalFormatting>
  <conditionalFormatting sqref="D1108:D1111">
    <cfRule type="expression" dxfId="4" priority="60" stopIfTrue="1">
      <formula>#REF!="Confidential"</formula>
    </cfRule>
  </conditionalFormatting>
  <conditionalFormatting sqref="D1113:D1126">
    <cfRule type="expression" dxfId="4" priority="61" stopIfTrue="1">
      <formula>#REF!="Confidential"</formula>
    </cfRule>
  </conditionalFormatting>
  <conditionalFormatting sqref="D1136:D1138">
    <cfRule type="expression" dxfId="4" priority="62" stopIfTrue="1">
      <formula>#REF!="Confidential"</formula>
    </cfRule>
  </conditionalFormatting>
  <conditionalFormatting sqref="D1164">
    <cfRule type="expression" dxfId="4" priority="63" stopIfTrue="1">
      <formula>#REF!="Confidential"</formula>
    </cfRule>
  </conditionalFormatting>
  <conditionalFormatting sqref="D1196">
    <cfRule type="expression" dxfId="4" priority="64" stopIfTrue="1">
      <formula>#REF!="Confidential"</formula>
    </cfRule>
  </conditionalFormatting>
  <conditionalFormatting sqref="D1212:D1213">
    <cfRule type="expression" dxfId="4" priority="65" stopIfTrue="1">
      <formula>#REF!="Confidential"</formula>
    </cfRule>
  </conditionalFormatting>
  <conditionalFormatting sqref="D1221:D1229">
    <cfRule type="expression" dxfId="4" priority="66" stopIfTrue="1">
      <formula>#REF!="Confidential"</formula>
    </cfRule>
  </conditionalFormatting>
  <conditionalFormatting sqref="D1261">
    <cfRule type="expression" dxfId="4" priority="67" stopIfTrue="1">
      <formula>#REF!="Confidential"</formula>
    </cfRule>
  </conditionalFormatting>
  <conditionalFormatting sqref="D1284">
    <cfRule type="expression" dxfId="4" priority="68" stopIfTrue="1">
      <formula>#REF!="Confidential"</formula>
    </cfRule>
  </conditionalFormatting>
  <conditionalFormatting sqref="D1318">
    <cfRule type="expression" dxfId="4" priority="69" stopIfTrue="1">
      <formula>#REF!="Confidential"</formula>
    </cfRule>
  </conditionalFormatting>
  <conditionalFormatting sqref="D1321:D1323">
    <cfRule type="expression" dxfId="4" priority="70" stopIfTrue="1">
      <formula>#REF!="Confidential"</formula>
    </cfRule>
  </conditionalFormatting>
  <conditionalFormatting sqref="D1328:D1329">
    <cfRule type="expression" dxfId="4" priority="71" stopIfTrue="1">
      <formula>#REF!="Confidential"</formula>
    </cfRule>
  </conditionalFormatting>
  <conditionalFormatting sqref="D1335:D1336">
    <cfRule type="expression" dxfId="4" priority="72" stopIfTrue="1">
      <formula>#REF!="Confidential"</formula>
    </cfRule>
  </conditionalFormatting>
  <conditionalFormatting sqref="D1338:D1340">
    <cfRule type="expression" dxfId="4" priority="73" stopIfTrue="1">
      <formula>#REF!="Confidential"</formula>
    </cfRule>
  </conditionalFormatting>
  <conditionalFormatting sqref="D1343">
    <cfRule type="expression" dxfId="4" priority="74" stopIfTrue="1">
      <formula>#REF!="Confidential"</formula>
    </cfRule>
  </conditionalFormatting>
  <conditionalFormatting sqref="D1357:D1361">
    <cfRule type="expression" dxfId="4" priority="75" stopIfTrue="1">
      <formula>#REF!="Confidential"</formula>
    </cfRule>
  </conditionalFormatting>
  <conditionalFormatting sqref="D1376:D1377">
    <cfRule type="expression" dxfId="4" priority="76" stopIfTrue="1">
      <formula>#REF!="Confidential"</formula>
    </cfRule>
  </conditionalFormatting>
  <conditionalFormatting sqref="D1393:D1395">
    <cfRule type="expression" dxfId="4" priority="77" stopIfTrue="1">
      <formula>#REF!="Confidential"</formula>
    </cfRule>
  </conditionalFormatting>
  <conditionalFormatting sqref="D1408:D1411">
    <cfRule type="expression" dxfId="4" priority="78" stopIfTrue="1">
      <formula>#REF!="Confidential"</formula>
    </cfRule>
  </conditionalFormatting>
  <conditionalFormatting sqref="D1413:D1414">
    <cfRule type="expression" dxfId="4" priority="79" stopIfTrue="1">
      <formula>#REF!="Confidential"</formula>
    </cfRule>
  </conditionalFormatting>
  <conditionalFormatting sqref="D1418">
    <cfRule type="expression" dxfId="4" priority="80" stopIfTrue="1">
      <formula>#REF!="Confidential"</formula>
    </cfRule>
  </conditionalFormatting>
  <conditionalFormatting sqref="D1430">
    <cfRule type="expression" dxfId="4" priority="81" stopIfTrue="1">
      <formula>#REF!="Confidential"</formula>
    </cfRule>
  </conditionalFormatting>
  <conditionalFormatting sqref="D1432:D1433">
    <cfRule type="expression" dxfId="4" priority="82" stopIfTrue="1">
      <formula>#REF!="Confidential"</formula>
    </cfRule>
  </conditionalFormatting>
  <conditionalFormatting sqref="D1435:D1437">
    <cfRule type="expression" dxfId="4" priority="83" stopIfTrue="1">
      <formula>#REF!="Confidential"</formula>
    </cfRule>
  </conditionalFormatting>
  <conditionalFormatting sqref="D1439">
    <cfRule type="expression" dxfId="4" priority="84" stopIfTrue="1">
      <formula>#REF!="Confidential"</formula>
    </cfRule>
  </conditionalFormatting>
  <conditionalFormatting sqref="D1468:D1469">
    <cfRule type="expression" dxfId="4" priority="85" stopIfTrue="1">
      <formula>#REF!="Confidential"</formula>
    </cfRule>
  </conditionalFormatting>
  <conditionalFormatting sqref="D1475:D1476">
    <cfRule type="expression" dxfId="4" priority="86" stopIfTrue="1">
      <formula>#REF!="Confidential"</formula>
    </cfRule>
  </conditionalFormatting>
  <conditionalFormatting sqref="D1546">
    <cfRule type="expression" dxfId="4" priority="87" stopIfTrue="1">
      <formula>#REF!="Confidential"</formula>
    </cfRule>
  </conditionalFormatting>
  <conditionalFormatting sqref="D1570:D1572">
    <cfRule type="expression" dxfId="4" priority="88" stopIfTrue="1">
      <formula>#REF!="Confidential"</formula>
    </cfRule>
  </conditionalFormatting>
  <conditionalFormatting sqref="D1574">
    <cfRule type="expression" dxfId="4" priority="89" stopIfTrue="1">
      <formula>#REF!="Confidential"</formula>
    </cfRule>
  </conditionalFormatting>
  <conditionalFormatting sqref="D1580:D1581">
    <cfRule type="expression" dxfId="4" priority="90" stopIfTrue="1">
      <formula>#REF!="Confidential"</formula>
    </cfRule>
  </conditionalFormatting>
  <conditionalFormatting sqref="D1583">
    <cfRule type="expression" dxfId="4" priority="91" stopIfTrue="1">
      <formula>#REF!="Confidential"</formula>
    </cfRule>
  </conditionalFormatting>
  <conditionalFormatting sqref="D1585">
    <cfRule type="expression" dxfId="4" priority="92" stopIfTrue="1">
      <formula>#REF!="Confidential"</formula>
    </cfRule>
  </conditionalFormatting>
  <conditionalFormatting sqref="D1587:D1589">
    <cfRule type="expression" dxfId="4" priority="93" stopIfTrue="1">
      <formula>#REF!="Confidential"</formula>
    </cfRule>
  </conditionalFormatting>
  <conditionalFormatting sqref="D1592:D1595">
    <cfRule type="expression" dxfId="4" priority="94" stopIfTrue="1">
      <formula>#REF!="Confidential"</formula>
    </cfRule>
  </conditionalFormatting>
  <conditionalFormatting sqref="D1610">
    <cfRule type="expression" dxfId="4" priority="95" stopIfTrue="1">
      <formula>#REF!="Confidential"</formula>
    </cfRule>
  </conditionalFormatting>
  <conditionalFormatting sqref="D1624">
    <cfRule type="expression" dxfId="4" priority="96" stopIfTrue="1">
      <formula>#REF!="Confidential"</formula>
    </cfRule>
  </conditionalFormatting>
  <conditionalFormatting sqref="D1633">
    <cfRule type="expression" dxfId="4" priority="97" stopIfTrue="1">
      <formula>#REF!="Confidential"</formula>
    </cfRule>
  </conditionalFormatting>
  <conditionalFormatting sqref="D1651">
    <cfRule type="expression" dxfId="4" priority="98" stopIfTrue="1">
      <formula>#REF!="Confidential"</formula>
    </cfRule>
  </conditionalFormatting>
  <conditionalFormatting sqref="D1680">
    <cfRule type="expression" dxfId="4" priority="99" stopIfTrue="1">
      <formula>#REF!="Confidential"</formula>
    </cfRule>
  </conditionalFormatting>
  <conditionalFormatting sqref="D1682:D1686">
    <cfRule type="expression" dxfId="4" priority="100" stopIfTrue="1">
      <formula>#REF!="Confidential"</formula>
    </cfRule>
  </conditionalFormatting>
  <conditionalFormatting sqref="D1724">
    <cfRule type="expression" dxfId="4" priority="101" stopIfTrue="1">
      <formula>#REF!="Confidential"</formula>
    </cfRule>
  </conditionalFormatting>
  <conditionalFormatting sqref="D1735">
    <cfRule type="expression" dxfId="4" priority="102" stopIfTrue="1">
      <formula>#REF!="Confidential"</formula>
    </cfRule>
  </conditionalFormatting>
  <conditionalFormatting sqref="D1740">
    <cfRule type="expression" dxfId="4" priority="103" stopIfTrue="1">
      <formula>#REF!="Confidential"</formula>
    </cfRule>
  </conditionalFormatting>
  <conditionalFormatting sqref="D1861">
    <cfRule type="expression" dxfId="4" priority="104" stopIfTrue="1">
      <formula>#REF!="Confidential"</formula>
    </cfRule>
  </conditionalFormatting>
  <conditionalFormatting sqref="D1863">
    <cfRule type="expression" dxfId="4" priority="105" stopIfTrue="1">
      <formula>#REF!="Confidential"</formula>
    </cfRule>
  </conditionalFormatting>
  <conditionalFormatting sqref="D1871:D1872">
    <cfRule type="expression" dxfId="4" priority="106" stopIfTrue="1">
      <formula>#REF!="Confidential"</formula>
    </cfRule>
  </conditionalFormatting>
  <conditionalFormatting sqref="D1881">
    <cfRule type="expression" dxfId="4" priority="107" stopIfTrue="1">
      <formula>#REF!="Confidential"</formula>
    </cfRule>
  </conditionalFormatting>
  <conditionalFormatting sqref="D1895">
    <cfRule type="expression" dxfId="4" priority="108" stopIfTrue="1">
      <formula>#REF!="Confidential"</formula>
    </cfRule>
  </conditionalFormatting>
  <conditionalFormatting sqref="D1903">
    <cfRule type="expression" dxfId="4" priority="109" stopIfTrue="1">
      <formula>#REF!="Confidential"</formula>
    </cfRule>
  </conditionalFormatting>
  <conditionalFormatting sqref="D1918">
    <cfRule type="expression" dxfId="4" priority="110" stopIfTrue="1">
      <formula>#REF!="Confidential"</formula>
    </cfRule>
  </conditionalFormatting>
  <conditionalFormatting sqref="D1944">
    <cfRule type="expression" dxfId="4" priority="111" stopIfTrue="1">
      <formula>#REF!="Confidential"</formula>
    </cfRule>
  </conditionalFormatting>
  <conditionalFormatting sqref="D2063">
    <cfRule type="expression" dxfId="4" priority="112" stopIfTrue="1">
      <formula>#REF!="Confidential"</formula>
    </cfRule>
  </conditionalFormatting>
  <conditionalFormatting sqref="D2326">
    <cfRule type="expression" dxfId="4" priority="113" stopIfTrue="1">
      <formula>#REF!="Confidential"</formula>
    </cfRule>
  </conditionalFormatting>
  <conditionalFormatting sqref="D2440">
    <cfRule type="expression" dxfId="4" priority="114" stopIfTrue="1">
      <formula>#REF!="Confidential"</formula>
    </cfRule>
  </conditionalFormatting>
  <conditionalFormatting sqref="E222">
    <cfRule type="expression" dxfId="4" priority="115" stopIfTrue="1">
      <formula>#REF!="Confidential"</formula>
    </cfRule>
  </conditionalFormatting>
  <conditionalFormatting sqref="E508">
    <cfRule type="expression" dxfId="4" priority="116" stopIfTrue="1">
      <formula>#REF!="Confidential"</formula>
    </cfRule>
  </conditionalFormatting>
  <conditionalFormatting sqref="E510:E511">
    <cfRule type="expression" dxfId="4" priority="117" stopIfTrue="1">
      <formula>#REF!="Confidential"</formula>
    </cfRule>
  </conditionalFormatting>
  <conditionalFormatting sqref="E564">
    <cfRule type="expression" dxfId="4" priority="118" stopIfTrue="1">
      <formula>#REF!="Confidential"</formula>
    </cfRule>
  </conditionalFormatting>
  <conditionalFormatting sqref="E641">
    <cfRule type="expression" dxfId="4" priority="119" stopIfTrue="1">
      <formula>#REF!="Confidential"</formula>
    </cfRule>
  </conditionalFormatting>
  <conditionalFormatting sqref="E772:E774">
    <cfRule type="expression" dxfId="4" priority="120" stopIfTrue="1">
      <formula>#REF!="Confidential"</formula>
    </cfRule>
  </conditionalFormatting>
  <conditionalFormatting sqref="E797">
    <cfRule type="expression" dxfId="4" priority="121" stopIfTrue="1">
      <formula>#REF!="Confidential"</formula>
    </cfRule>
  </conditionalFormatting>
  <conditionalFormatting sqref="E837:E840">
    <cfRule type="expression" dxfId="4" priority="122" stopIfTrue="1">
      <formula>#REF!="Confidential"</formula>
    </cfRule>
  </conditionalFormatting>
  <conditionalFormatting sqref="E905:E909">
    <cfRule type="expression" dxfId="4" priority="123" stopIfTrue="1">
      <formula>#REF!="Confidential"</formula>
    </cfRule>
  </conditionalFormatting>
  <conditionalFormatting sqref="E929">
    <cfRule type="expression" dxfId="4" priority="124" stopIfTrue="1">
      <formula>#REF!="Confidential"</formula>
    </cfRule>
  </conditionalFormatting>
  <conditionalFormatting sqref="E934:E936">
    <cfRule type="expression" dxfId="4" priority="125" stopIfTrue="1">
      <formula>#REF!="Confidential"</formula>
    </cfRule>
  </conditionalFormatting>
  <conditionalFormatting sqref="E944:E945">
    <cfRule type="expression" dxfId="4" priority="126" stopIfTrue="1">
      <formula>#REF!="Confidential"</formula>
    </cfRule>
  </conditionalFormatting>
  <conditionalFormatting sqref="E1043:E1044">
    <cfRule type="expression" dxfId="4" priority="127" stopIfTrue="1">
      <formula>#REF!="Confidential"</formula>
    </cfRule>
  </conditionalFormatting>
  <conditionalFormatting sqref="E1386:E1387">
    <cfRule type="expression" dxfId="4" priority="128" stopIfTrue="1">
      <formula>#REF!="Confidential"</formula>
    </cfRule>
  </conditionalFormatting>
  <conditionalFormatting sqref="E1418">
    <cfRule type="expression" dxfId="4" priority="129" stopIfTrue="1">
      <formula>#REF!="Confidential"</formula>
    </cfRule>
  </conditionalFormatting>
  <conditionalFormatting sqref="E1610">
    <cfRule type="expression" dxfId="4" priority="130" stopIfTrue="1">
      <formula>#REF!="Confidential"</formula>
    </cfRule>
  </conditionalFormatting>
  <conditionalFormatting sqref="E1651">
    <cfRule type="expression" dxfId="4" priority="131" stopIfTrue="1">
      <formula>#REF!="Confidential"</formula>
    </cfRule>
  </conditionalFormatting>
  <conditionalFormatting sqref="E869:G869">
    <cfRule type="expression" dxfId="4" priority="132" stopIfTrue="1">
      <formula>#REF!="Confidential"</formula>
    </cfRule>
  </conditionalFormatting>
  <conditionalFormatting sqref="E2187:G2189">
    <cfRule type="expression" dxfId="4" priority="133" stopIfTrue="1">
      <formula>#REF!="Confidential"</formula>
    </cfRule>
  </conditionalFormatting>
  <conditionalFormatting sqref="E682:H683">
    <cfRule type="expression" dxfId="4" priority="134" stopIfTrue="1">
      <formula>#REF!="Confidential"</formula>
    </cfRule>
  </conditionalFormatting>
  <conditionalFormatting sqref="E793:Y795">
    <cfRule type="expression" dxfId="4" priority="135" stopIfTrue="1">
      <formula>#REF!="Confidential"</formula>
    </cfRule>
  </conditionalFormatting>
  <conditionalFormatting sqref="E814:Y814">
    <cfRule type="expression" dxfId="4" priority="136" stopIfTrue="1">
      <formula>#REF!="Confidential"</formula>
    </cfRule>
  </conditionalFormatting>
  <conditionalFormatting sqref="F545:F553">
    <cfRule type="expression" dxfId="4" priority="137" stopIfTrue="1">
      <formula>#REF!="Confidential"</formula>
    </cfRule>
  </conditionalFormatting>
  <conditionalFormatting sqref="F555:F556">
    <cfRule type="expression" dxfId="4" priority="138" stopIfTrue="1">
      <formula>#REF!="Confidential"</formula>
    </cfRule>
  </conditionalFormatting>
  <conditionalFormatting sqref="F591:F597">
    <cfRule type="expression" dxfId="4" priority="139" stopIfTrue="1">
      <formula>#REF!="Confidential"</formula>
    </cfRule>
  </conditionalFormatting>
  <conditionalFormatting sqref="F638:F646">
    <cfRule type="expression" dxfId="4" priority="140" stopIfTrue="1">
      <formula>#REF!="Confidential"</formula>
    </cfRule>
  </conditionalFormatting>
  <conditionalFormatting sqref="F725:F728">
    <cfRule type="expression" dxfId="4" priority="141" stopIfTrue="1">
      <formula>#REF!="Confidential"</formula>
    </cfRule>
  </conditionalFormatting>
  <conditionalFormatting sqref="F730:F733">
    <cfRule type="expression" dxfId="4" priority="142" stopIfTrue="1">
      <formula>#REF!="Confidential"</formula>
    </cfRule>
  </conditionalFormatting>
  <conditionalFormatting sqref="F740:F747">
    <cfRule type="expression" dxfId="4" priority="143" stopIfTrue="1">
      <formula>#REF!="Confidential"</formula>
    </cfRule>
  </conditionalFormatting>
  <conditionalFormatting sqref="F778:F786">
    <cfRule type="expression" dxfId="4" priority="144" stopIfTrue="1">
      <formula>#REF!="Confidential"</formula>
    </cfRule>
  </conditionalFormatting>
  <conditionalFormatting sqref="F797:F801">
    <cfRule type="expression" dxfId="4" priority="145" stopIfTrue="1">
      <formula>#REF!="Confidential"</formula>
    </cfRule>
  </conditionalFormatting>
  <conditionalFormatting sqref="F805:F806">
    <cfRule type="expression" dxfId="4" priority="146" stopIfTrue="1">
      <formula>#REF!="Confidential"</formula>
    </cfRule>
  </conditionalFormatting>
  <conditionalFormatting sqref="F808:F809">
    <cfRule type="expression" dxfId="4" priority="147" stopIfTrue="1">
      <formula>#REF!="Confidential"</formula>
    </cfRule>
  </conditionalFormatting>
  <conditionalFormatting sqref="F811:F813">
    <cfRule type="expression" dxfId="4" priority="148" stopIfTrue="1">
      <formula>#REF!="Confidential"</formula>
    </cfRule>
  </conditionalFormatting>
  <conditionalFormatting sqref="F843:F860">
    <cfRule type="expression" dxfId="4" priority="149" stopIfTrue="1">
      <formula>#REF!="Confidential"</formula>
    </cfRule>
  </conditionalFormatting>
  <conditionalFormatting sqref="F877:F887">
    <cfRule type="expression" dxfId="4" priority="150" stopIfTrue="1">
      <formula>#REF!="Confidential"</formula>
    </cfRule>
  </conditionalFormatting>
  <conditionalFormatting sqref="F889:F894">
    <cfRule type="expression" dxfId="4" priority="151" stopIfTrue="1">
      <formula>#REF!="Confidential"</formula>
    </cfRule>
  </conditionalFormatting>
  <conditionalFormatting sqref="F905:F909">
    <cfRule type="expression" dxfId="4" priority="152" stopIfTrue="1">
      <formula>#REF!="Confidential"</formula>
    </cfRule>
  </conditionalFormatting>
  <conditionalFormatting sqref="F922:F923">
    <cfRule type="expression" dxfId="4" priority="153" stopIfTrue="1">
      <formula>#REF!="Confidential"</formula>
    </cfRule>
  </conditionalFormatting>
  <conditionalFormatting sqref="F927:F928">
    <cfRule type="expression" dxfId="4" priority="154" stopIfTrue="1">
      <formula>#REF!="Confidential"</formula>
    </cfRule>
  </conditionalFormatting>
  <conditionalFormatting sqref="F935:F936">
    <cfRule type="expression" dxfId="4" priority="155" stopIfTrue="1">
      <formula>#REF!="Confidential"</formula>
    </cfRule>
  </conditionalFormatting>
  <conditionalFormatting sqref="F941:F942">
    <cfRule type="expression" dxfId="4" priority="156" stopIfTrue="1">
      <formula>#REF!="Confidential"</formula>
    </cfRule>
  </conditionalFormatting>
  <conditionalFormatting sqref="F969:F973">
    <cfRule type="expression" dxfId="4" priority="157" stopIfTrue="1">
      <formula>#REF!="Confidential"</formula>
    </cfRule>
  </conditionalFormatting>
  <conditionalFormatting sqref="F986:F987">
    <cfRule type="expression" dxfId="4" priority="158" stopIfTrue="1">
      <formula>#REF!="Confidential"</formula>
    </cfRule>
  </conditionalFormatting>
  <conditionalFormatting sqref="F999:F1000">
    <cfRule type="expression" dxfId="4" priority="159" stopIfTrue="1">
      <formula>#REF!="Confidential"</formula>
    </cfRule>
  </conditionalFormatting>
  <conditionalFormatting sqref="F1011:F1019">
    <cfRule type="expression" dxfId="4" priority="160" stopIfTrue="1">
      <formula>#REF!="Confidential"</formula>
    </cfRule>
  </conditionalFormatting>
  <conditionalFormatting sqref="F1022:F1025">
    <cfRule type="expression" dxfId="4" priority="161" stopIfTrue="1">
      <formula>#REF!="Confidential"</formula>
    </cfRule>
  </conditionalFormatting>
  <conditionalFormatting sqref="F1046:F1047">
    <cfRule type="expression" dxfId="4" priority="162" stopIfTrue="1">
      <formula>#REF!="Confidential"</formula>
    </cfRule>
  </conditionalFormatting>
  <conditionalFormatting sqref="F1050:F1055">
    <cfRule type="expression" dxfId="4" priority="163" stopIfTrue="1">
      <formula>#REF!="Confidential"</formula>
    </cfRule>
  </conditionalFormatting>
  <conditionalFormatting sqref="F1068:F1069">
    <cfRule type="expression" dxfId="4" priority="164" stopIfTrue="1">
      <formula>#REF!="Confidential"</formula>
    </cfRule>
  </conditionalFormatting>
  <conditionalFormatting sqref="F1273:F1274">
    <cfRule type="expression" dxfId="4" priority="165" stopIfTrue="1">
      <formula>#REF!="Confidential"</formula>
    </cfRule>
  </conditionalFormatting>
  <conditionalFormatting sqref="F1290:F1291">
    <cfRule type="expression" dxfId="4" priority="166" stopIfTrue="1">
      <formula>#REF!="Confidential"</formula>
    </cfRule>
  </conditionalFormatting>
  <conditionalFormatting sqref="F1424:F1425">
    <cfRule type="expression" dxfId="4" priority="167" stopIfTrue="1">
      <formula>#REF!="Confidential"</formula>
    </cfRule>
  </conditionalFormatting>
  <conditionalFormatting sqref="F1489:F1490">
    <cfRule type="expression" dxfId="4" priority="168" stopIfTrue="1">
      <formula>#REF!="Confidential"</formula>
    </cfRule>
  </conditionalFormatting>
  <conditionalFormatting sqref="F1530:F1532">
    <cfRule type="expression" dxfId="4" priority="169" stopIfTrue="1">
      <formula>#REF!="Confidential"</formula>
    </cfRule>
  </conditionalFormatting>
  <conditionalFormatting sqref="F1541:F1542">
    <cfRule type="expression" dxfId="4" priority="170" stopIfTrue="1">
      <formula>#REF!="Confidential"</formula>
    </cfRule>
  </conditionalFormatting>
  <conditionalFormatting sqref="F1544:F1545">
    <cfRule type="expression" dxfId="4" priority="171" stopIfTrue="1">
      <formula>#REF!="Confidential"</formula>
    </cfRule>
  </conditionalFormatting>
  <conditionalFormatting sqref="F1576:F1577">
    <cfRule type="expression" dxfId="4" priority="172" stopIfTrue="1">
      <formula>#REF!="Confidential"</formula>
    </cfRule>
  </conditionalFormatting>
  <conditionalFormatting sqref="F1634:F1635">
    <cfRule type="expression" dxfId="4" priority="173" stopIfTrue="1">
      <formula>#REF!="Confidential"</formula>
    </cfRule>
  </conditionalFormatting>
  <conditionalFormatting sqref="F1736:F1739">
    <cfRule type="expression" dxfId="4" priority="174" stopIfTrue="1">
      <formula>#REF!="Confidential"</formula>
    </cfRule>
  </conditionalFormatting>
  <conditionalFormatting sqref="F1796:F1797">
    <cfRule type="expression" dxfId="4" priority="175" stopIfTrue="1">
      <formula>#REF!="Confidential"</formula>
    </cfRule>
  </conditionalFormatting>
  <conditionalFormatting sqref="F1857:F1858">
    <cfRule type="expression" dxfId="4" priority="176" stopIfTrue="1">
      <formula>#REF!="Confidential"</formula>
    </cfRule>
  </conditionalFormatting>
  <conditionalFormatting sqref="F2008:F2013">
    <cfRule type="expression" dxfId="4" priority="177" stopIfTrue="1">
      <formula>#REF!="Confidential"</formula>
    </cfRule>
  </conditionalFormatting>
  <conditionalFormatting sqref="F2021:F2022">
    <cfRule type="expression" dxfId="4" priority="178" stopIfTrue="1">
      <formula>#REF!="Confidential"</formula>
    </cfRule>
  </conditionalFormatting>
  <conditionalFormatting sqref="F2359:F2360">
    <cfRule type="expression" dxfId="4" priority="179" stopIfTrue="1">
      <formula>#REF!="Confidential"</formula>
    </cfRule>
  </conditionalFormatting>
  <conditionalFormatting sqref="F2388:F2389">
    <cfRule type="expression" dxfId="4" priority="180" stopIfTrue="1">
      <formula>#REF!="Confidential"</formula>
    </cfRule>
  </conditionalFormatting>
  <conditionalFormatting sqref="F222:G222">
    <cfRule type="expression" dxfId="4" priority="181" stopIfTrue="1">
      <formula>#REF!="Confidential"</formula>
    </cfRule>
  </conditionalFormatting>
  <conditionalFormatting sqref="F517:G517">
    <cfRule type="expression" dxfId="4" priority="182" stopIfTrue="1">
      <formula>#REF!="Confidential"</formula>
    </cfRule>
  </conditionalFormatting>
  <conditionalFormatting sqref="F622:G622">
    <cfRule type="expression" dxfId="4" priority="183" stopIfTrue="1">
      <formula>#REF!="Confidential"</formula>
    </cfRule>
  </conditionalFormatting>
  <conditionalFormatting sqref="F627:G627">
    <cfRule type="expression" dxfId="4" priority="184" stopIfTrue="1">
      <formula>#REF!="Confidential"</formula>
    </cfRule>
  </conditionalFormatting>
  <conditionalFormatting sqref="F663:G663">
    <cfRule type="expression" dxfId="4" priority="185" stopIfTrue="1">
      <formula>#REF!="Confidential"</formula>
    </cfRule>
  </conditionalFormatting>
  <conditionalFormatting sqref="F689:G689">
    <cfRule type="expression" dxfId="4" priority="186" stopIfTrue="1">
      <formula>#REF!="Confidential"</formula>
    </cfRule>
  </conditionalFormatting>
  <conditionalFormatting sqref="F708:G708">
    <cfRule type="expression" dxfId="4" priority="187" stopIfTrue="1">
      <formula>#REF!="Confidential"</formula>
    </cfRule>
  </conditionalFormatting>
  <conditionalFormatting sqref="F758:G758">
    <cfRule type="expression" dxfId="4" priority="188" stopIfTrue="1">
      <formula>#REF!="Confidential"</formula>
    </cfRule>
  </conditionalFormatting>
  <conditionalFormatting sqref="F773:G773">
    <cfRule type="expression" dxfId="4" priority="189" stopIfTrue="1">
      <formula>#REF!="Confidential"</formula>
    </cfRule>
  </conditionalFormatting>
  <conditionalFormatting sqref="F838:G838">
    <cfRule type="expression" dxfId="4" priority="190" stopIfTrue="1">
      <formula>#REF!="Confidential"</formula>
    </cfRule>
  </conditionalFormatting>
  <conditionalFormatting sqref="F888:G888">
    <cfRule type="expression" dxfId="4" priority="191" stopIfTrue="1">
      <formula>#REF!="Confidential"</formula>
    </cfRule>
  </conditionalFormatting>
  <conditionalFormatting sqref="F915:G915">
    <cfRule type="expression" dxfId="4" priority="192" stopIfTrue="1">
      <formula>#REF!="Confidential"</formula>
    </cfRule>
  </conditionalFormatting>
  <conditionalFormatting sqref="F930:G930">
    <cfRule type="expression" dxfId="4" priority="193" stopIfTrue="1">
      <formula>#REF!="Confidential"</formula>
    </cfRule>
  </conditionalFormatting>
  <conditionalFormatting sqref="F937:G938">
    <cfRule type="expression" dxfId="4" priority="194" stopIfTrue="1">
      <formula>#REF!="Confidential"</formula>
    </cfRule>
  </conditionalFormatting>
  <conditionalFormatting sqref="F954:G954">
    <cfRule type="expression" dxfId="4" priority="195" stopIfTrue="1">
      <formula>#REF!="Confidential"</formula>
    </cfRule>
  </conditionalFormatting>
  <conditionalFormatting sqref="F957:G957">
    <cfRule type="expression" dxfId="4" priority="196" stopIfTrue="1">
      <formula>#REF!="Confidential"</formula>
    </cfRule>
  </conditionalFormatting>
  <conditionalFormatting sqref="F984:G984">
    <cfRule type="expression" dxfId="4" priority="197" stopIfTrue="1">
      <formula>#REF!="Confidential"</formula>
    </cfRule>
  </conditionalFormatting>
  <conditionalFormatting sqref="F1429:G1429">
    <cfRule type="expression" dxfId="4" priority="198" stopIfTrue="1">
      <formula>#REF!="Confidential"</formula>
    </cfRule>
  </conditionalFormatting>
  <conditionalFormatting sqref="F1547:G1547">
    <cfRule type="expression" dxfId="4" priority="199" stopIfTrue="1">
      <formula>#REF!="Confidential"</formula>
    </cfRule>
  </conditionalFormatting>
  <conditionalFormatting sqref="F1651:G1651">
    <cfRule type="expression" dxfId="4" priority="200" stopIfTrue="1">
      <formula>#REF!="Confidential"</formula>
    </cfRule>
  </conditionalFormatting>
  <conditionalFormatting sqref="F1937:G1937">
    <cfRule type="expression" dxfId="4" priority="201" stopIfTrue="1">
      <formula>#REF!="Confidential"</formula>
    </cfRule>
  </conditionalFormatting>
  <conditionalFormatting sqref="F516:H516">
    <cfRule type="expression" dxfId="4" priority="202" stopIfTrue="1">
      <formula>#REF!="Confidential"</formula>
    </cfRule>
  </conditionalFormatting>
  <conditionalFormatting sqref="F686:H686">
    <cfRule type="expression" dxfId="4" priority="203" stopIfTrue="1">
      <formula>#REF!="Confidential"</formula>
    </cfRule>
  </conditionalFormatting>
  <conditionalFormatting sqref="F688:H688">
    <cfRule type="expression" dxfId="4" priority="204" stopIfTrue="1">
      <formula>#REF!="Confidential"</formula>
    </cfRule>
  </conditionalFormatting>
  <conditionalFormatting sqref="F748:H750">
    <cfRule type="expression" dxfId="4" priority="205" stopIfTrue="1">
      <formula>#REF!="Confidential"</formula>
    </cfRule>
  </conditionalFormatting>
  <conditionalFormatting sqref="F752:H752">
    <cfRule type="expression" dxfId="4" priority="206" stopIfTrue="1">
      <formula>#REF!="Confidential"</formula>
    </cfRule>
  </conditionalFormatting>
  <conditionalFormatting sqref="F803:H803">
    <cfRule type="expression" dxfId="4" priority="207" stopIfTrue="1">
      <formula>#REF!="Confidential"</formula>
    </cfRule>
  </conditionalFormatting>
  <conditionalFormatting sqref="F925:H925">
    <cfRule type="expression" dxfId="4" priority="208" stopIfTrue="1">
      <formula>#REF!="Confidential"</formula>
    </cfRule>
  </conditionalFormatting>
  <conditionalFormatting sqref="F929:H929">
    <cfRule type="expression" dxfId="4" priority="209" stopIfTrue="1">
      <formula>#REF!="Confidential"</formula>
    </cfRule>
  </conditionalFormatting>
  <conditionalFormatting sqref="F934:H934">
    <cfRule type="expression" dxfId="4" priority="210" stopIfTrue="1">
      <formula>#REF!="Confidential"</formula>
    </cfRule>
  </conditionalFormatting>
  <conditionalFormatting sqref="F960:H960">
    <cfRule type="expression" dxfId="4" priority="211" stopIfTrue="1">
      <formula>#REF!="Confidential"</formula>
    </cfRule>
  </conditionalFormatting>
  <conditionalFormatting sqref="F1167:H1167">
    <cfRule type="expression" dxfId="4" priority="212" stopIfTrue="1">
      <formula>#REF!="Confidential"</formula>
    </cfRule>
  </conditionalFormatting>
  <conditionalFormatting sqref="F1385:H1385">
    <cfRule type="expression" dxfId="4" priority="213" stopIfTrue="1">
      <formula>#REF!="Confidential"</formula>
    </cfRule>
  </conditionalFormatting>
  <conditionalFormatting sqref="F1479:H1479">
    <cfRule type="expression" dxfId="4" priority="214" stopIfTrue="1">
      <formula>#REF!="Confidential"</formula>
    </cfRule>
  </conditionalFormatting>
  <conditionalFormatting sqref="F1481:H1481">
    <cfRule type="expression" dxfId="4" priority="215" stopIfTrue="1">
      <formula>#REF!="Confidential"</formula>
    </cfRule>
  </conditionalFormatting>
  <conditionalFormatting sqref="F1485:H1485">
    <cfRule type="expression" dxfId="4" priority="216" stopIfTrue="1">
      <formula>#REF!="Confidential"</formula>
    </cfRule>
  </conditionalFormatting>
  <conditionalFormatting sqref="F1554:H1554">
    <cfRule type="expression" dxfId="4" priority="217" stopIfTrue="1">
      <formula>#REF!="Confidential"</formula>
    </cfRule>
  </conditionalFormatting>
  <conditionalFormatting sqref="F1556:H1556">
    <cfRule type="expression" dxfId="4" priority="218" stopIfTrue="1">
      <formula>#REF!="Confidential"</formula>
    </cfRule>
  </conditionalFormatting>
  <conditionalFormatting sqref="F1564:H1564">
    <cfRule type="expression" dxfId="4" priority="219" stopIfTrue="1">
      <formula>#REF!="Confidential"</formula>
    </cfRule>
  </conditionalFormatting>
  <conditionalFormatting sqref="F1579:H1579">
    <cfRule type="expression" dxfId="4" priority="220" stopIfTrue="1">
      <formula>#REF!="Confidential"</formula>
    </cfRule>
  </conditionalFormatting>
  <conditionalFormatting sqref="F1582:H1582">
    <cfRule type="expression" dxfId="4" priority="221" stopIfTrue="1">
      <formula>#REF!="Confidential"</formula>
    </cfRule>
  </conditionalFormatting>
  <conditionalFormatting sqref="F1728:H1728">
    <cfRule type="expression" dxfId="4" priority="222" stopIfTrue="1">
      <formula>#REF!="Confidential"</formula>
    </cfRule>
  </conditionalFormatting>
  <conditionalFormatting sqref="F1860:H1860">
    <cfRule type="expression" dxfId="4" priority="223" stopIfTrue="1">
      <formula>#REF!="Confidential"</formula>
    </cfRule>
  </conditionalFormatting>
  <conditionalFormatting sqref="F1885:H1885">
    <cfRule type="expression" dxfId="4" priority="224" stopIfTrue="1">
      <formula>#REF!="Confidential"</formula>
    </cfRule>
  </conditionalFormatting>
  <conditionalFormatting sqref="F1910:H1910">
    <cfRule type="expression" dxfId="4" priority="225" stopIfTrue="1">
      <formula>#REF!="Confidential"</formula>
    </cfRule>
  </conditionalFormatting>
  <conditionalFormatting sqref="F1919:H1919">
    <cfRule type="expression" dxfId="4" priority="226" stopIfTrue="1">
      <formula>#REF!="Confidential"</formula>
    </cfRule>
  </conditionalFormatting>
  <conditionalFormatting sqref="F1928:H1928">
    <cfRule type="expression" dxfId="4" priority="227" stopIfTrue="1">
      <formula>#REF!="Confidential"</formula>
    </cfRule>
  </conditionalFormatting>
  <conditionalFormatting sqref="F2334:H2334">
    <cfRule type="expression" dxfId="4" priority="228" stopIfTrue="1">
      <formula>#REF!="Confidential"</formula>
    </cfRule>
  </conditionalFormatting>
  <conditionalFormatting sqref="F2341:H2341">
    <cfRule type="expression" dxfId="4" priority="229" stopIfTrue="1">
      <formula>#REF!="Confidential"</formula>
    </cfRule>
  </conditionalFormatting>
  <conditionalFormatting sqref="F617:I617">
    <cfRule type="expression" dxfId="4" priority="230" stopIfTrue="1">
      <formula>#REF!="Confidential"</formula>
    </cfRule>
  </conditionalFormatting>
  <conditionalFormatting sqref="F802:I802">
    <cfRule type="expression" dxfId="4" priority="231" stopIfTrue="1">
      <formula>#REF!="Confidential"</formula>
    </cfRule>
  </conditionalFormatting>
  <conditionalFormatting sqref="F900:I902">
    <cfRule type="expression" dxfId="4" priority="232" stopIfTrue="1">
      <formula>#REF!="Confidential"</formula>
    </cfRule>
  </conditionalFormatting>
  <conditionalFormatting sqref="F950:I950">
    <cfRule type="expression" dxfId="4" priority="233" stopIfTrue="1">
      <formula>#REF!="Confidential"</formula>
    </cfRule>
  </conditionalFormatting>
  <conditionalFormatting sqref="F965:I965">
    <cfRule type="expression" dxfId="4" priority="234" stopIfTrue="1">
      <formula>#REF!="Confidential"</formula>
    </cfRule>
  </conditionalFormatting>
  <conditionalFormatting sqref="F1045:I1045">
    <cfRule type="expression" dxfId="4" priority="235" stopIfTrue="1">
      <formula>#REF!="Confidential"</formula>
    </cfRule>
  </conditionalFormatting>
  <conditionalFormatting sqref="F1569:I1569">
    <cfRule type="expression" dxfId="4" priority="236" stopIfTrue="1">
      <formula>#REF!="Confidential"</formula>
    </cfRule>
  </conditionalFormatting>
  <conditionalFormatting sqref="F1572:I1572">
    <cfRule type="expression" dxfId="4" priority="237" stopIfTrue="1">
      <formula>#REF!="Confidential"</formula>
    </cfRule>
  </conditionalFormatting>
  <conditionalFormatting sqref="F2440:I2440">
    <cfRule type="expression" dxfId="4" priority="238" stopIfTrue="1">
      <formula>#REF!="Confidential"</formula>
    </cfRule>
  </conditionalFormatting>
  <conditionalFormatting sqref="F787:J787">
    <cfRule type="expression" dxfId="4" priority="239" stopIfTrue="1">
      <formula>#REF!="Confidential"</formula>
    </cfRule>
  </conditionalFormatting>
  <conditionalFormatting sqref="F926:J926">
    <cfRule type="expression" dxfId="4" priority="240" stopIfTrue="1">
      <formula>#REF!="Confidential"</formula>
    </cfRule>
  </conditionalFormatting>
  <conditionalFormatting sqref="F940:J940">
    <cfRule type="expression" dxfId="4" priority="241" stopIfTrue="1">
      <formula>#REF!="Confidential"</formula>
    </cfRule>
  </conditionalFormatting>
  <conditionalFormatting sqref="F1631:J1631">
    <cfRule type="expression" dxfId="4" priority="242" stopIfTrue="1">
      <formula>#REF!="Confidential"</formula>
    </cfRule>
  </conditionalFormatting>
  <conditionalFormatting sqref="F1353:K1353">
    <cfRule type="expression" dxfId="4" priority="243" stopIfTrue="1">
      <formula>#REF!="Confidential"</formula>
    </cfRule>
  </conditionalFormatting>
  <conditionalFormatting sqref="F1724:K1724">
    <cfRule type="expression" dxfId="4" priority="244" stopIfTrue="1">
      <formula>#REF!="Confidential"</formula>
    </cfRule>
  </conditionalFormatting>
  <conditionalFormatting sqref="F1727:K1727">
    <cfRule type="expression" dxfId="4" priority="245" stopIfTrue="1">
      <formula>#REF!="Confidential"</formula>
    </cfRule>
  </conditionalFormatting>
  <conditionalFormatting sqref="F1480:M1480">
    <cfRule type="expression" dxfId="4" priority="246" stopIfTrue="1">
      <formula>#REF!="Confidential"</formula>
    </cfRule>
  </conditionalFormatting>
  <conditionalFormatting sqref="F1420:N1420">
    <cfRule type="expression" dxfId="4" priority="247" stopIfTrue="1">
      <formula>#REF!="Confidential"</formula>
    </cfRule>
  </conditionalFormatting>
  <conditionalFormatting sqref="F684:O684">
    <cfRule type="expression" dxfId="4" priority="248" stopIfTrue="1">
      <formula>#REF!="Confidential"</formula>
    </cfRule>
  </conditionalFormatting>
  <conditionalFormatting sqref="F600:V600">
    <cfRule type="expression" dxfId="4" priority="249" stopIfTrue="1">
      <formula>#REF!="Confidential"</formula>
    </cfRule>
  </conditionalFormatting>
  <conditionalFormatting sqref="F842:Y842">
    <cfRule type="expression" dxfId="4" priority="250" stopIfTrue="1">
      <formula>#REF!="Confidential"</formula>
    </cfRule>
  </conditionalFormatting>
  <conditionalFormatting sqref="F2283:Y2283">
    <cfRule type="expression" dxfId="4" priority="251" stopIfTrue="1">
      <formula>#REF!="Confidential"</formula>
    </cfRule>
  </conditionalFormatting>
  <conditionalFormatting sqref="G555:G556">
    <cfRule type="expression" dxfId="4" priority="252" stopIfTrue="1">
      <formula>#REF!="Confidential"</formula>
    </cfRule>
  </conditionalFormatting>
  <conditionalFormatting sqref="G740:G747">
    <cfRule type="expression" dxfId="4" priority="253" stopIfTrue="1">
      <formula>#REF!="Confidential"</formula>
    </cfRule>
  </conditionalFormatting>
  <conditionalFormatting sqref="G843:G847">
    <cfRule type="expression" dxfId="4" priority="254" stopIfTrue="1">
      <formula>#REF!="Confidential"</formula>
    </cfRule>
  </conditionalFormatting>
  <conditionalFormatting sqref="G883:G885">
    <cfRule type="expression" dxfId="4" priority="255" stopIfTrue="1">
      <formula>#REF!="Confidential"</formula>
    </cfRule>
  </conditionalFormatting>
  <conditionalFormatting sqref="G893:G894">
    <cfRule type="expression" dxfId="4" priority="256" stopIfTrue="1">
      <formula>#REF!="Confidential"</formula>
    </cfRule>
  </conditionalFormatting>
  <conditionalFormatting sqref="G986:G987">
    <cfRule type="expression" dxfId="4" priority="257" stopIfTrue="1">
      <formula>#REF!="Confidential"</formula>
    </cfRule>
  </conditionalFormatting>
  <conditionalFormatting sqref="G1736:G1739">
    <cfRule type="expression" dxfId="4" priority="258" stopIfTrue="1">
      <formula>#REF!="Confidential"</formula>
    </cfRule>
  </conditionalFormatting>
  <conditionalFormatting sqref="G1796:G1797">
    <cfRule type="expression" dxfId="4" priority="259" stopIfTrue="1">
      <formula>#REF!="Confidential"</formula>
    </cfRule>
  </conditionalFormatting>
  <conditionalFormatting sqref="G2388:G2389">
    <cfRule type="expression" dxfId="4" priority="260" stopIfTrue="1">
      <formula>#REF!="Confidential"</formula>
    </cfRule>
  </conditionalFormatting>
  <conditionalFormatting sqref="G638:H639">
    <cfRule type="expression" dxfId="4" priority="261" stopIfTrue="1">
      <formula>#REF!="Confidential"</formula>
    </cfRule>
  </conditionalFormatting>
  <conditionalFormatting sqref="G725:H728">
    <cfRule type="expression" dxfId="4" priority="262" stopIfTrue="1">
      <formula>#REF!="Confidential"</formula>
    </cfRule>
  </conditionalFormatting>
  <conditionalFormatting sqref="G730:H733">
    <cfRule type="expression" dxfId="4" priority="263" stopIfTrue="1">
      <formula>#REF!="Confidential"</formula>
    </cfRule>
  </conditionalFormatting>
  <conditionalFormatting sqref="G785:H786">
    <cfRule type="expression" dxfId="4" priority="264" stopIfTrue="1">
      <formula>#REF!="Confidential"</formula>
    </cfRule>
  </conditionalFormatting>
  <conditionalFormatting sqref="G805:H806">
    <cfRule type="expression" dxfId="4" priority="265" stopIfTrue="1">
      <formula>#REF!="Confidential"</formula>
    </cfRule>
  </conditionalFormatting>
  <conditionalFormatting sqref="G808:H809">
    <cfRule type="expression" dxfId="4" priority="266" stopIfTrue="1">
      <formula>#REF!="Confidential"</formula>
    </cfRule>
  </conditionalFormatting>
  <conditionalFormatting sqref="G811:H813">
    <cfRule type="expression" dxfId="4" priority="267" stopIfTrue="1">
      <formula>#REF!="Confidential"</formula>
    </cfRule>
  </conditionalFormatting>
  <conditionalFormatting sqref="G969:H973">
    <cfRule type="expression" dxfId="4" priority="268" stopIfTrue="1">
      <formula>#REF!="Confidential"</formula>
    </cfRule>
  </conditionalFormatting>
  <conditionalFormatting sqref="G999:H1000">
    <cfRule type="expression" dxfId="4" priority="269" stopIfTrue="1">
      <formula>#REF!="Confidential"</formula>
    </cfRule>
  </conditionalFormatting>
  <conditionalFormatting sqref="G1046:H1047">
    <cfRule type="expression" dxfId="4" priority="270" stopIfTrue="1">
      <formula>#REF!="Confidential"</formula>
    </cfRule>
  </conditionalFormatting>
  <conditionalFormatting sqref="G1050:H1055">
    <cfRule type="expression" dxfId="4" priority="271" stopIfTrue="1">
      <formula>#REF!="Confidential"</formula>
    </cfRule>
  </conditionalFormatting>
  <conditionalFormatting sqref="G1273:H1274">
    <cfRule type="expression" dxfId="4" priority="272" stopIfTrue="1">
      <formula>#REF!="Confidential"</formula>
    </cfRule>
  </conditionalFormatting>
  <conditionalFormatting sqref="G1290:H1291">
    <cfRule type="expression" dxfId="4" priority="273" stopIfTrue="1">
      <formula>#REF!="Confidential"</formula>
    </cfRule>
  </conditionalFormatting>
  <conditionalFormatting sqref="G1424:H1425">
    <cfRule type="expression" dxfId="4" priority="274" stopIfTrue="1">
      <formula>#REF!="Confidential"</formula>
    </cfRule>
  </conditionalFormatting>
  <conditionalFormatting sqref="G1489:H1490">
    <cfRule type="expression" dxfId="4" priority="275" stopIfTrue="1">
      <formula>#REF!="Confidential"</formula>
    </cfRule>
  </conditionalFormatting>
  <conditionalFormatting sqref="G1576:H1577">
    <cfRule type="expression" dxfId="4" priority="276" stopIfTrue="1">
      <formula>#REF!="Confidential"</formula>
    </cfRule>
  </conditionalFormatting>
  <conditionalFormatting sqref="G1634:H1635">
    <cfRule type="expression" dxfId="4" priority="277" stopIfTrue="1">
      <formula>#REF!="Confidential"</formula>
    </cfRule>
  </conditionalFormatting>
  <conditionalFormatting sqref="G1857:H1858">
    <cfRule type="expression" dxfId="4" priority="278" stopIfTrue="1">
      <formula>#REF!="Confidential"</formula>
    </cfRule>
  </conditionalFormatting>
  <conditionalFormatting sqref="G2008:H2013">
    <cfRule type="expression" dxfId="4" priority="279" stopIfTrue="1">
      <formula>#REF!="Confidential"</formula>
    </cfRule>
  </conditionalFormatting>
  <conditionalFormatting sqref="G2359:H2360">
    <cfRule type="expression" dxfId="4" priority="280" stopIfTrue="1">
      <formula>#REF!="Confidential"</formula>
    </cfRule>
  </conditionalFormatting>
  <conditionalFormatting sqref="G548:I549">
    <cfRule type="expression" dxfId="4" priority="281" stopIfTrue="1">
      <formula>#REF!="Confidential"</formula>
    </cfRule>
  </conditionalFormatting>
  <conditionalFormatting sqref="G905:I909">
    <cfRule type="expression" dxfId="4" priority="282" stopIfTrue="1">
      <formula>#REF!="Confidential"</formula>
    </cfRule>
  </conditionalFormatting>
  <conditionalFormatting sqref="G927:I928">
    <cfRule type="expression" dxfId="4" priority="283" stopIfTrue="1">
      <formula>#REF!="Confidential"</formula>
    </cfRule>
  </conditionalFormatting>
  <conditionalFormatting sqref="G941:I942">
    <cfRule type="expression" dxfId="4" priority="284" stopIfTrue="1">
      <formula>#REF!="Confidential"</formula>
    </cfRule>
  </conditionalFormatting>
  <conditionalFormatting sqref="G1013:I1019">
    <cfRule type="expression" dxfId="4" priority="285" stopIfTrue="1">
      <formula>#REF!="Confidential"</formula>
    </cfRule>
  </conditionalFormatting>
  <conditionalFormatting sqref="G1022:I1025">
    <cfRule type="expression" dxfId="4" priority="286" stopIfTrue="1">
      <formula>#REF!="Confidential"</formula>
    </cfRule>
  </conditionalFormatting>
  <conditionalFormatting sqref="G1068:I1069">
    <cfRule type="expression" dxfId="4" priority="287" stopIfTrue="1">
      <formula>#REF!="Confidential"</formula>
    </cfRule>
  </conditionalFormatting>
  <conditionalFormatting sqref="G1530:I1532">
    <cfRule type="expression" dxfId="4" priority="288" stopIfTrue="1">
      <formula>#REF!="Confidential"</formula>
    </cfRule>
  </conditionalFormatting>
  <conditionalFormatting sqref="G1541:I1542">
    <cfRule type="expression" dxfId="4" priority="289" stopIfTrue="1">
      <formula>#REF!="Confidential"</formula>
    </cfRule>
  </conditionalFormatting>
  <conditionalFormatting sqref="G1544:I1545">
    <cfRule type="expression" dxfId="4" priority="290" stopIfTrue="1">
      <formula>#REF!="Confidential"</formula>
    </cfRule>
  </conditionalFormatting>
  <conditionalFormatting sqref="G2021:I2022">
    <cfRule type="expression" dxfId="4" priority="291" stopIfTrue="1">
      <formula>#REF!="Confidential"</formula>
    </cfRule>
  </conditionalFormatting>
  <conditionalFormatting sqref="G545:J547">
    <cfRule type="expression" dxfId="4" priority="292" stopIfTrue="1">
      <formula>#REF!="Confidential"</formula>
    </cfRule>
  </conditionalFormatting>
  <conditionalFormatting sqref="G799:J801">
    <cfRule type="expression" dxfId="4" priority="293" stopIfTrue="1">
      <formula>#REF!="Confidential"</formula>
    </cfRule>
  </conditionalFormatting>
  <conditionalFormatting sqref="G935:J936">
    <cfRule type="expression" dxfId="4" priority="294" stopIfTrue="1">
      <formula>#REF!="Confidential"</formula>
    </cfRule>
  </conditionalFormatting>
  <conditionalFormatting sqref="G1011:J1012">
    <cfRule type="expression" dxfId="4" priority="295" stopIfTrue="1">
      <formula>#REF!="Confidential"</formula>
    </cfRule>
  </conditionalFormatting>
  <conditionalFormatting sqref="G922:K923">
    <cfRule type="expression" dxfId="4" priority="296" stopIfTrue="1">
      <formula>#REF!="Confidential"</formula>
    </cfRule>
  </conditionalFormatting>
  <conditionalFormatting sqref="H222">
    <cfRule type="expression" dxfId="4" priority="297" stopIfTrue="1">
      <formula>#REF!="Confidential"</formula>
    </cfRule>
  </conditionalFormatting>
  <conditionalFormatting sqref="H552:H553">
    <cfRule type="expression" dxfId="4" priority="298" stopIfTrue="1">
      <formula>#REF!="Confidential"</formula>
    </cfRule>
  </conditionalFormatting>
  <conditionalFormatting sqref="H555:H556">
    <cfRule type="expression" dxfId="4" priority="299" stopIfTrue="1">
      <formula>#REF!="Confidential"</formula>
    </cfRule>
  </conditionalFormatting>
  <conditionalFormatting sqref="H570:H572">
    <cfRule type="expression" dxfId="4" priority="300" stopIfTrue="1">
      <formula>#REF!="Confidential"</formula>
    </cfRule>
  </conditionalFormatting>
  <conditionalFormatting sqref="H627">
    <cfRule type="expression" dxfId="4" priority="301" stopIfTrue="1">
      <formula>#REF!="Confidential"</formula>
    </cfRule>
  </conditionalFormatting>
  <conditionalFormatting sqref="H743">
    <cfRule type="expression" dxfId="4" priority="302" stopIfTrue="1">
      <formula>#REF!="Confidential"</formula>
    </cfRule>
  </conditionalFormatting>
  <conditionalFormatting sqref="H888">
    <cfRule type="expression" dxfId="4" priority="303" stopIfTrue="1">
      <formula>#REF!="Confidential"</formula>
    </cfRule>
  </conditionalFormatting>
  <conditionalFormatting sqref="H893:H894">
    <cfRule type="expression" dxfId="4" priority="304" stopIfTrue="1">
      <formula>#REF!="Confidential"</formula>
    </cfRule>
  </conditionalFormatting>
  <conditionalFormatting sqref="H1049">
    <cfRule type="expression" dxfId="4" priority="305" stopIfTrue="1">
      <formula>#REF!="Confidential"</formula>
    </cfRule>
  </conditionalFormatting>
  <conditionalFormatting sqref="H1205:H1206">
    <cfRule type="expression" dxfId="4" priority="306" stopIfTrue="1">
      <formula>#REF!="Confidential"</formula>
    </cfRule>
  </conditionalFormatting>
  <conditionalFormatting sqref="H1221">
    <cfRule type="expression" dxfId="4" priority="307" stopIfTrue="1">
      <formula>#REF!="Confidential"</formula>
    </cfRule>
  </conditionalFormatting>
  <conditionalFormatting sqref="H1358">
    <cfRule type="expression" dxfId="4" priority="308" stopIfTrue="1">
      <formula>#REF!="Confidential"</formula>
    </cfRule>
  </conditionalFormatting>
  <conditionalFormatting sqref="H1365:H1367">
    <cfRule type="expression" dxfId="4" priority="309" stopIfTrue="1">
      <formula>#REF!="Confidential"</formula>
    </cfRule>
  </conditionalFormatting>
  <conditionalFormatting sqref="H1390">
    <cfRule type="expression" dxfId="4" priority="310" stopIfTrue="1">
      <formula>#REF!="Confidential"</formula>
    </cfRule>
  </conditionalFormatting>
  <conditionalFormatting sqref="H1408:H1414">
    <cfRule type="expression" dxfId="4" priority="311" stopIfTrue="1">
      <formula>#REF!="Confidential"</formula>
    </cfRule>
  </conditionalFormatting>
  <conditionalFormatting sqref="H1421">
    <cfRule type="expression" dxfId="4" priority="312" stopIfTrue="1">
      <formula>#REF!="Confidential"</formula>
    </cfRule>
  </conditionalFormatting>
  <conditionalFormatting sqref="H1423">
    <cfRule type="expression" dxfId="4" priority="313" stopIfTrue="1">
      <formula>#REF!="Confidential"</formula>
    </cfRule>
  </conditionalFormatting>
  <conditionalFormatting sqref="H1427:H1428">
    <cfRule type="expression" dxfId="4" priority="314" stopIfTrue="1">
      <formula>#REF!="Confidential"</formula>
    </cfRule>
  </conditionalFormatting>
  <conditionalFormatting sqref="H1501">
    <cfRule type="expression" dxfId="4" priority="315" stopIfTrue="1">
      <formula>#REF!="Confidential"</formula>
    </cfRule>
  </conditionalFormatting>
  <conditionalFormatting sqref="H1504:H1506">
    <cfRule type="expression" dxfId="4" priority="316" stopIfTrue="1">
      <formula>#REF!="Confidential"</formula>
    </cfRule>
  </conditionalFormatting>
  <conditionalFormatting sqref="H1522">
    <cfRule type="expression" dxfId="4" priority="317" stopIfTrue="1">
      <formula>#REF!="Confidential"</formula>
    </cfRule>
  </conditionalFormatting>
  <conditionalFormatting sqref="H1536">
    <cfRule type="expression" dxfId="4" priority="318" stopIfTrue="1">
      <formula>#REF!="Confidential"</formula>
    </cfRule>
  </conditionalFormatting>
  <conditionalFormatting sqref="H1548">
    <cfRule type="expression" dxfId="4" priority="319" stopIfTrue="1">
      <formula>#REF!="Confidential"</formula>
    </cfRule>
  </conditionalFormatting>
  <conditionalFormatting sqref="H1605:H1606">
    <cfRule type="expression" dxfId="4" priority="320" stopIfTrue="1">
      <formula>#REF!="Confidential"</formula>
    </cfRule>
  </conditionalFormatting>
  <conditionalFormatting sqref="H1651:H1652">
    <cfRule type="expression" dxfId="4" priority="321" stopIfTrue="1">
      <formula>#REF!="Confidential"</formula>
    </cfRule>
  </conditionalFormatting>
  <conditionalFormatting sqref="H1680">
    <cfRule type="expression" dxfId="4" priority="322" stopIfTrue="1">
      <formula>#REF!="Confidential"</formula>
    </cfRule>
  </conditionalFormatting>
  <conditionalFormatting sqref="H1723">
    <cfRule type="expression" dxfId="4" priority="323" stopIfTrue="1">
      <formula>#REF!="Confidential"</formula>
    </cfRule>
  </conditionalFormatting>
  <conditionalFormatting sqref="H1742:H1748">
    <cfRule type="expression" dxfId="4" priority="324" stopIfTrue="1">
      <formula>#REF!="Confidential"</formula>
    </cfRule>
  </conditionalFormatting>
  <conditionalFormatting sqref="H1802">
    <cfRule type="expression" dxfId="4" priority="325" stopIfTrue="1">
      <formula>#REF!="Confidential"</formula>
    </cfRule>
  </conditionalFormatting>
  <conditionalFormatting sqref="H1842">
    <cfRule type="expression" dxfId="4" priority="326" stopIfTrue="1">
      <formula>#REF!="Confidential"</formula>
    </cfRule>
  </conditionalFormatting>
  <conditionalFormatting sqref="H1891">
    <cfRule type="expression" dxfId="4" priority="327" stopIfTrue="1">
      <formula>#REF!="Confidential"</formula>
    </cfRule>
  </conditionalFormatting>
  <conditionalFormatting sqref="H1896">
    <cfRule type="expression" dxfId="4" priority="328" stopIfTrue="1">
      <formula>#REF!="Confidential"</formula>
    </cfRule>
  </conditionalFormatting>
  <conditionalFormatting sqref="H1907">
    <cfRule type="expression" dxfId="4" priority="329" stopIfTrue="1">
      <formula>#REF!="Confidential"</formula>
    </cfRule>
  </conditionalFormatting>
  <conditionalFormatting sqref="H1909">
    <cfRule type="expression" dxfId="4" priority="330" stopIfTrue="1">
      <formula>#REF!="Confidential"</formula>
    </cfRule>
  </conditionalFormatting>
  <conditionalFormatting sqref="H1922">
    <cfRule type="expression" dxfId="4" priority="331" stopIfTrue="1">
      <formula>#REF!="Confidential"</formula>
    </cfRule>
  </conditionalFormatting>
  <conditionalFormatting sqref="H1937">
    <cfRule type="expression" dxfId="4" priority="332" stopIfTrue="1">
      <formula>#REF!="Confidential"</formula>
    </cfRule>
  </conditionalFormatting>
  <conditionalFormatting sqref="H2091:H2129">
    <cfRule type="expression" dxfId="4" priority="333" stopIfTrue="1">
      <formula>#REF!="Confidential"</formula>
    </cfRule>
  </conditionalFormatting>
  <conditionalFormatting sqref="H2441">
    <cfRule type="expression" dxfId="4" priority="334" stopIfTrue="1">
      <formula>#REF!="Confidential"</formula>
    </cfRule>
  </conditionalFormatting>
  <conditionalFormatting sqref="H681:I681">
    <cfRule type="expression" dxfId="4" priority="335" stopIfTrue="1">
      <formula>#REF!="Confidential"</formula>
    </cfRule>
  </conditionalFormatting>
  <conditionalFormatting sqref="H741:I741">
    <cfRule type="expression" dxfId="4" priority="336" stopIfTrue="1">
      <formula>#REF!="Confidential"</formula>
    </cfRule>
  </conditionalFormatting>
  <conditionalFormatting sqref="H746:I747">
    <cfRule type="expression" dxfId="4" priority="337" stopIfTrue="1">
      <formula>#REF!="Confidential"</formula>
    </cfRule>
  </conditionalFormatting>
  <conditionalFormatting sqref="H845:I847">
    <cfRule type="expression" dxfId="4" priority="338" stopIfTrue="1">
      <formula>#REF!="Confidential"</formula>
    </cfRule>
  </conditionalFormatting>
  <conditionalFormatting sqref="H883:I884">
    <cfRule type="expression" dxfId="4" priority="339" stopIfTrue="1">
      <formula>#REF!="Confidential"</formula>
    </cfRule>
  </conditionalFormatting>
  <conditionalFormatting sqref="H944:I944">
    <cfRule type="expression" dxfId="4" priority="340" stopIfTrue="1">
      <formula>#REF!="Confidential"</formula>
    </cfRule>
  </conditionalFormatting>
  <conditionalFormatting sqref="H984:I984">
    <cfRule type="expression" dxfId="4" priority="341" stopIfTrue="1">
      <formula>#REF!="Confidential"</formula>
    </cfRule>
  </conditionalFormatting>
  <conditionalFormatting sqref="H986:I987">
    <cfRule type="expression" dxfId="4" priority="342" stopIfTrue="1">
      <formula>#REF!="Confidential"</formula>
    </cfRule>
  </conditionalFormatting>
  <conditionalFormatting sqref="H1043:I1043">
    <cfRule type="expression" dxfId="4" priority="343" stopIfTrue="1">
      <formula>#REF!="Confidential"</formula>
    </cfRule>
  </conditionalFormatting>
  <conditionalFormatting sqref="H1357:I1357">
    <cfRule type="expression" dxfId="4" priority="344" stopIfTrue="1">
      <formula>#REF!="Confidential"</formula>
    </cfRule>
  </conditionalFormatting>
  <conditionalFormatting sqref="H1547:I1547">
    <cfRule type="expression" dxfId="4" priority="345" stopIfTrue="1">
      <formula>#REF!="Confidential"</formula>
    </cfRule>
  </conditionalFormatting>
  <conditionalFormatting sqref="H1736:I1739">
    <cfRule type="expression" dxfId="4" priority="346" stopIfTrue="1">
      <formula>#REF!="Confidential"</formula>
    </cfRule>
  </conditionalFormatting>
  <conditionalFormatting sqref="H543:K543">
    <cfRule type="expression" dxfId="4" priority="347" stopIfTrue="1">
      <formula>#REF!="Confidential"</formula>
    </cfRule>
  </conditionalFormatting>
  <conditionalFormatting sqref="H1912:K1912">
    <cfRule type="expression" dxfId="4" priority="348" stopIfTrue="1">
      <formula>#REF!="Confidential"</formula>
    </cfRule>
  </conditionalFormatting>
  <conditionalFormatting sqref="H2436:K2437">
    <cfRule type="expression" dxfId="4" priority="349" stopIfTrue="1">
      <formula>#REF!="Confidential"</formula>
    </cfRule>
  </conditionalFormatting>
  <conditionalFormatting sqref="I517">
    <cfRule type="expression" dxfId="4" priority="350" stopIfTrue="1">
      <formula>#REF!="Confidential"</formula>
    </cfRule>
  </conditionalFormatting>
  <conditionalFormatting sqref="I557">
    <cfRule type="expression" dxfId="4" priority="351" stopIfTrue="1">
      <formula>#REF!="Confidential"</formula>
    </cfRule>
  </conditionalFormatting>
  <conditionalFormatting sqref="I575">
    <cfRule type="expression" dxfId="4" priority="352" stopIfTrue="1">
      <formula>#REF!="Confidential"</formula>
    </cfRule>
  </conditionalFormatting>
  <conditionalFormatting sqref="I638:I639">
    <cfRule type="expression" dxfId="4" priority="353" stopIfTrue="1">
      <formula>#REF!="Confidential"</formula>
    </cfRule>
  </conditionalFormatting>
  <conditionalFormatting sqref="I654:I655">
    <cfRule type="expression" dxfId="4" priority="354" stopIfTrue="1">
      <formula>#REF!="Confidential"</formula>
    </cfRule>
  </conditionalFormatting>
  <conditionalFormatting sqref="I669:I672">
    <cfRule type="expression" dxfId="4" priority="355" stopIfTrue="1">
      <formula>#REF!="Confidential"</formula>
    </cfRule>
  </conditionalFormatting>
  <conditionalFormatting sqref="I676:I679">
    <cfRule type="expression" dxfId="4" priority="356" stopIfTrue="1">
      <formula>#REF!="Confidential"</formula>
    </cfRule>
  </conditionalFormatting>
  <conditionalFormatting sqref="I688">
    <cfRule type="expression" dxfId="4" priority="357" stopIfTrue="1">
      <formula>#REF!="Confidential"</formula>
    </cfRule>
  </conditionalFormatting>
  <conditionalFormatting sqref="I719:I720">
    <cfRule type="expression" dxfId="4" priority="358" stopIfTrue="1">
      <formula>#REF!="Confidential"</formula>
    </cfRule>
  </conditionalFormatting>
  <conditionalFormatting sqref="I732:I733">
    <cfRule type="expression" dxfId="4" priority="359" stopIfTrue="1">
      <formula>#REF!="Confidential"</formula>
    </cfRule>
  </conditionalFormatting>
  <conditionalFormatting sqref="I743">
    <cfRule type="expression" dxfId="4" priority="360" stopIfTrue="1">
      <formula>#REF!="Confidential"</formula>
    </cfRule>
  </conditionalFormatting>
  <conditionalFormatting sqref="I748:I750">
    <cfRule type="expression" dxfId="4" priority="361" stopIfTrue="1">
      <formula>#REF!="Confidential"</formula>
    </cfRule>
  </conditionalFormatting>
  <conditionalFormatting sqref="I752">
    <cfRule type="expression" dxfId="4" priority="362" stopIfTrue="1">
      <formula>#REF!="Confidential"</formula>
    </cfRule>
  </conditionalFormatting>
  <conditionalFormatting sqref="I803">
    <cfRule type="expression" dxfId="4" priority="363" stopIfTrue="1">
      <formula>#REF!="Confidential"</formula>
    </cfRule>
  </conditionalFormatting>
  <conditionalFormatting sqref="I805:I806">
    <cfRule type="expression" dxfId="4" priority="364" stopIfTrue="1">
      <formula>#REF!="Confidential"</formula>
    </cfRule>
  </conditionalFormatting>
  <conditionalFormatting sqref="I808:I813">
    <cfRule type="expression" dxfId="4" priority="365" stopIfTrue="1">
      <formula>#REF!="Confidential"</formula>
    </cfRule>
  </conditionalFormatting>
  <conditionalFormatting sqref="I819">
    <cfRule type="expression" dxfId="4" priority="366" stopIfTrue="1">
      <formula>#REF!="Confidential"</formula>
    </cfRule>
  </conditionalFormatting>
  <conditionalFormatting sqref="I885">
    <cfRule type="expression" dxfId="4" priority="367" stopIfTrue="1">
      <formula>#REF!="Confidential"</formula>
    </cfRule>
  </conditionalFormatting>
  <conditionalFormatting sqref="I888">
    <cfRule type="expression" dxfId="4" priority="368" stopIfTrue="1">
      <formula>#REF!="Confidential"</formula>
    </cfRule>
  </conditionalFormatting>
  <conditionalFormatting sqref="I893:I894">
    <cfRule type="expression" dxfId="4" priority="369" stopIfTrue="1">
      <formula>#REF!="Confidential"</formula>
    </cfRule>
  </conditionalFormatting>
  <conditionalFormatting sqref="I910">
    <cfRule type="expression" dxfId="4" priority="370" stopIfTrue="1">
      <formula>#REF!="Confidential"</formula>
    </cfRule>
  </conditionalFormatting>
  <conditionalFormatting sqref="I929">
    <cfRule type="expression" dxfId="4" priority="371" stopIfTrue="1">
      <formula>#REF!="Confidential"</formula>
    </cfRule>
  </conditionalFormatting>
  <conditionalFormatting sqref="I931">
    <cfRule type="expression" dxfId="4" priority="372" stopIfTrue="1">
      <formula>#REF!="Confidential"</formula>
    </cfRule>
  </conditionalFormatting>
  <conditionalFormatting sqref="I934">
    <cfRule type="expression" dxfId="4" priority="373" stopIfTrue="1">
      <formula>#REF!="Confidential"</formula>
    </cfRule>
  </conditionalFormatting>
  <conditionalFormatting sqref="I943">
    <cfRule type="expression" dxfId="4" priority="374" stopIfTrue="1">
      <formula>#REF!="Confidential"</formula>
    </cfRule>
  </conditionalFormatting>
  <conditionalFormatting sqref="I945">
    <cfRule type="expression" dxfId="4" priority="375" stopIfTrue="1">
      <formula>#REF!="Confidential"</formula>
    </cfRule>
  </conditionalFormatting>
  <conditionalFormatting sqref="I948">
    <cfRule type="expression" dxfId="4" priority="376" stopIfTrue="1">
      <formula>#REF!="Confidential"</formula>
    </cfRule>
  </conditionalFormatting>
  <conditionalFormatting sqref="I960">
    <cfRule type="expression" dxfId="4" priority="377" stopIfTrue="1">
      <formula>#REF!="Confidential"</formula>
    </cfRule>
  </conditionalFormatting>
  <conditionalFormatting sqref="I969:I973">
    <cfRule type="expression" dxfId="4" priority="378" stopIfTrue="1">
      <formula>#REF!="Confidential"</formula>
    </cfRule>
  </conditionalFormatting>
  <conditionalFormatting sqref="I988">
    <cfRule type="expression" dxfId="4" priority="379" stopIfTrue="1">
      <formula>#REF!="Confidential"</formula>
    </cfRule>
  </conditionalFormatting>
  <conditionalFormatting sqref="I1048">
    <cfRule type="expression" dxfId="4" priority="380" stopIfTrue="1">
      <formula>#REF!="Confidential"</formula>
    </cfRule>
  </conditionalFormatting>
  <conditionalFormatting sqref="I1071">
    <cfRule type="expression" dxfId="4" priority="381" stopIfTrue="1">
      <formula>#REF!="Confidential"</formula>
    </cfRule>
  </conditionalFormatting>
  <conditionalFormatting sqref="I1167">
    <cfRule type="expression" dxfId="4" priority="382" stopIfTrue="1">
      <formula>#REF!="Confidential"</formula>
    </cfRule>
  </conditionalFormatting>
  <conditionalFormatting sqref="I1273:I1274">
    <cfRule type="expression" dxfId="4" priority="383" stopIfTrue="1">
      <formula>#REF!="Confidential"</formula>
    </cfRule>
  </conditionalFormatting>
  <conditionalFormatting sqref="I1413:I1414">
    <cfRule type="expression" dxfId="4" priority="384" stopIfTrue="1">
      <formula>#REF!="Confidential"</formula>
    </cfRule>
  </conditionalFormatting>
  <conditionalFormatting sqref="I1421">
    <cfRule type="expression" dxfId="4" priority="385" stopIfTrue="1">
      <formula>#REF!="Confidential"</formula>
    </cfRule>
  </conditionalFormatting>
  <conditionalFormatting sqref="I1479">
    <cfRule type="expression" dxfId="4" priority="386" stopIfTrue="1">
      <formula>#REF!="Confidential"</formula>
    </cfRule>
  </conditionalFormatting>
  <conditionalFormatting sqref="I1481">
    <cfRule type="expression" dxfId="4" priority="387" stopIfTrue="1">
      <formula>#REF!="Confidential"</formula>
    </cfRule>
  </conditionalFormatting>
  <conditionalFormatting sqref="I1485">
    <cfRule type="expression" dxfId="4" priority="388" stopIfTrue="1">
      <formula>#REF!="Confidential"</formula>
    </cfRule>
  </conditionalFormatting>
  <conditionalFormatting sqref="I1489:I1490">
    <cfRule type="expression" dxfId="4" priority="389" stopIfTrue="1">
      <formula>#REF!="Confidential"</formula>
    </cfRule>
  </conditionalFormatting>
  <conditionalFormatting sqref="I1543">
    <cfRule type="expression" dxfId="4" priority="390" stopIfTrue="1">
      <formula>#REF!="Confidential"</formula>
    </cfRule>
  </conditionalFormatting>
  <conditionalFormatting sqref="I1570:I1571">
    <cfRule type="expression" dxfId="4" priority="391" stopIfTrue="1">
      <formula>#REF!="Confidential"</formula>
    </cfRule>
  </conditionalFormatting>
  <conditionalFormatting sqref="I1575:I1577">
    <cfRule type="expression" dxfId="4" priority="392" stopIfTrue="1">
      <formula>#REF!="Confidential"</formula>
    </cfRule>
  </conditionalFormatting>
  <conditionalFormatting sqref="I1579">
    <cfRule type="expression" dxfId="4" priority="393" stopIfTrue="1">
      <formula>#REF!="Confidential"</formula>
    </cfRule>
  </conditionalFormatting>
  <conditionalFormatting sqref="I1634">
    <cfRule type="expression" dxfId="4" priority="394" stopIfTrue="1">
      <formula>#REF!="Confidential"</formula>
    </cfRule>
  </conditionalFormatting>
  <conditionalFormatting sqref="I1723">
    <cfRule type="expression" dxfId="4" priority="395" stopIfTrue="1">
      <formula>#REF!="Confidential"</formula>
    </cfRule>
  </conditionalFormatting>
  <conditionalFormatting sqref="I1857:I1858">
    <cfRule type="expression" dxfId="4" priority="396" stopIfTrue="1">
      <formula>#REF!="Confidential"</formula>
    </cfRule>
  </conditionalFormatting>
  <conditionalFormatting sqref="I1885">
    <cfRule type="expression" dxfId="4" priority="397" stopIfTrue="1">
      <formula>#REF!="Confidential"</formula>
    </cfRule>
  </conditionalFormatting>
  <conditionalFormatting sqref="I1910">
    <cfRule type="expression" dxfId="4" priority="398" stopIfTrue="1">
      <formula>#REF!="Confidential"</formula>
    </cfRule>
  </conditionalFormatting>
  <conditionalFormatting sqref="I1919">
    <cfRule type="expression" dxfId="4" priority="399" stopIfTrue="1">
      <formula>#REF!="Confidential"</formula>
    </cfRule>
  </conditionalFormatting>
  <conditionalFormatting sqref="I1928">
    <cfRule type="expression" dxfId="4" priority="400" stopIfTrue="1">
      <formula>#REF!="Confidential"</formula>
    </cfRule>
  </conditionalFormatting>
  <conditionalFormatting sqref="I1937">
    <cfRule type="expression" dxfId="4" priority="401" stopIfTrue="1">
      <formula>#REF!="Confidential"</formula>
    </cfRule>
  </conditionalFormatting>
  <conditionalFormatting sqref="I409:J409">
    <cfRule type="expression" dxfId="4" priority="402" stopIfTrue="1">
      <formula>#REF!="Confidential"</formula>
    </cfRule>
  </conditionalFormatting>
  <conditionalFormatting sqref="I516:J516">
    <cfRule type="expression" dxfId="4" priority="403" stopIfTrue="1">
      <formula>#REF!="Confidential"</formula>
    </cfRule>
  </conditionalFormatting>
  <conditionalFormatting sqref="I540:J541">
    <cfRule type="expression" dxfId="4" priority="404" stopIfTrue="1">
      <formula>#REF!="Confidential"</formula>
    </cfRule>
  </conditionalFormatting>
  <conditionalFormatting sqref="I544:J544">
    <cfRule type="expression" dxfId="4" priority="405" stopIfTrue="1">
      <formula>#REF!="Confidential"</formula>
    </cfRule>
  </conditionalFormatting>
  <conditionalFormatting sqref="I726:J727">
    <cfRule type="expression" dxfId="4" priority="406" stopIfTrue="1">
      <formula>#REF!="Confidential"</formula>
    </cfRule>
  </conditionalFormatting>
  <conditionalFormatting sqref="I730:J731">
    <cfRule type="expression" dxfId="4" priority="407" stopIfTrue="1">
      <formula>#REF!="Confidential"</formula>
    </cfRule>
  </conditionalFormatting>
  <conditionalFormatting sqref="I843:J844">
    <cfRule type="expression" dxfId="4" priority="408" stopIfTrue="1">
      <formula>#REF!="Confidential"</formula>
    </cfRule>
  </conditionalFormatting>
  <conditionalFormatting sqref="I1029:J1029">
    <cfRule type="expression" dxfId="4" priority="409" stopIfTrue="1">
      <formula>#REF!="Confidential"</formula>
    </cfRule>
  </conditionalFormatting>
  <conditionalFormatting sqref="I1467:J1467">
    <cfRule type="expression" dxfId="4" priority="410" stopIfTrue="1">
      <formula>#REF!="Confidential"</formula>
    </cfRule>
  </conditionalFormatting>
  <conditionalFormatting sqref="I2341:J2341">
    <cfRule type="expression" dxfId="4" priority="411" stopIfTrue="1">
      <formula>#REF!="Confidential"</formula>
    </cfRule>
  </conditionalFormatting>
  <conditionalFormatting sqref="I2388:J2389">
    <cfRule type="expression" dxfId="4" priority="412" stopIfTrue="1">
      <formula>#REF!="Confidential"</formula>
    </cfRule>
  </conditionalFormatting>
  <conditionalFormatting sqref="I581:K582">
    <cfRule type="expression" dxfId="4" priority="413" stopIfTrue="1">
      <formula>#REF!="Confidential"</formula>
    </cfRule>
  </conditionalFormatting>
  <conditionalFormatting sqref="I634:K634">
    <cfRule type="expression" dxfId="4" priority="414" stopIfTrue="1">
      <formula>#REF!="Confidential"</formula>
    </cfRule>
  </conditionalFormatting>
  <conditionalFormatting sqref="I729:K729">
    <cfRule type="expression" dxfId="4" priority="415" stopIfTrue="1">
      <formula>#REF!="Confidential"</formula>
    </cfRule>
  </conditionalFormatting>
  <conditionalFormatting sqref="I1386:K1388">
    <cfRule type="expression" dxfId="4" priority="416" stopIfTrue="1">
      <formula>#REF!="Confidential"</formula>
    </cfRule>
  </conditionalFormatting>
  <conditionalFormatting sqref="I577:S578">
    <cfRule type="expression" dxfId="4" priority="417" stopIfTrue="1">
      <formula>#REF!="Confidential"</formula>
    </cfRule>
  </conditionalFormatting>
  <conditionalFormatting sqref="J277">
    <cfRule type="expression" dxfId="4" priority="418" stopIfTrue="1">
      <formula>#REF!="Confidential"</formula>
    </cfRule>
  </conditionalFormatting>
  <conditionalFormatting sqref="J551:J552">
    <cfRule type="expression" dxfId="4" priority="419" stopIfTrue="1">
      <formula>#REF!="Confidential"</formula>
    </cfRule>
  </conditionalFormatting>
  <conditionalFormatting sqref="J589">
    <cfRule type="expression" dxfId="4" priority="420" stopIfTrue="1">
      <formula>#REF!="Confidential"</formula>
    </cfRule>
  </conditionalFormatting>
  <conditionalFormatting sqref="J639">
    <cfRule type="expression" dxfId="4" priority="421" stopIfTrue="1">
      <formula>#REF!="Confidential"</formula>
    </cfRule>
  </conditionalFormatting>
  <conditionalFormatting sqref="J672">
    <cfRule type="expression" dxfId="4" priority="422" stopIfTrue="1">
      <formula>#REF!="Confidential"</formula>
    </cfRule>
  </conditionalFormatting>
  <conditionalFormatting sqref="J677">
    <cfRule type="expression" dxfId="4" priority="423" stopIfTrue="1">
      <formula>#REF!="Confidential"</formula>
    </cfRule>
  </conditionalFormatting>
  <conditionalFormatting sqref="J679">
    <cfRule type="expression" dxfId="4" priority="424" stopIfTrue="1">
      <formula>#REF!="Confidential"</formula>
    </cfRule>
  </conditionalFormatting>
  <conditionalFormatting sqref="J720">
    <cfRule type="expression" dxfId="4" priority="425" stopIfTrue="1">
      <formula>#REF!="Confidential"</formula>
    </cfRule>
  </conditionalFormatting>
  <conditionalFormatting sqref="J758">
    <cfRule type="expression" dxfId="4" priority="426" stopIfTrue="1">
      <formula>#REF!="Confidential"</formula>
    </cfRule>
  </conditionalFormatting>
  <conditionalFormatting sqref="J775:J776">
    <cfRule type="expression" dxfId="4" priority="427" stopIfTrue="1">
      <formula>#REF!="Confidential"</formula>
    </cfRule>
  </conditionalFormatting>
  <conditionalFormatting sqref="J808:J809">
    <cfRule type="expression" dxfId="4" priority="428" stopIfTrue="1">
      <formula>#REF!="Confidential"</formula>
    </cfRule>
  </conditionalFormatting>
  <conditionalFormatting sqref="J811:J812">
    <cfRule type="expression" dxfId="4" priority="429" stopIfTrue="1">
      <formula>#REF!="Confidential"</formula>
    </cfRule>
  </conditionalFormatting>
  <conditionalFormatting sqref="J865:J866">
    <cfRule type="expression" dxfId="4" priority="430" stopIfTrue="1">
      <formula>#REF!="Confidential"</formula>
    </cfRule>
  </conditionalFormatting>
  <conditionalFormatting sqref="J883:J884">
    <cfRule type="expression" dxfId="4" priority="431" stopIfTrue="1">
      <formula>#REF!="Confidential"</formula>
    </cfRule>
  </conditionalFormatting>
  <conditionalFormatting sqref="J897:J898">
    <cfRule type="expression" dxfId="4" priority="432" stopIfTrue="1">
      <formula>#REF!="Confidential"</formula>
    </cfRule>
  </conditionalFormatting>
  <conditionalFormatting sqref="J902">
    <cfRule type="expression" dxfId="4" priority="433" stopIfTrue="1">
      <formula>#REF!="Confidential"</formula>
    </cfRule>
  </conditionalFormatting>
  <conditionalFormatting sqref="J910">
    <cfRule type="expression" dxfId="4" priority="434" stopIfTrue="1">
      <formula>#REF!="Confidential"</formula>
    </cfRule>
  </conditionalFormatting>
  <conditionalFormatting sqref="J913">
    <cfRule type="expression" dxfId="4" priority="435" stopIfTrue="1">
      <formula>#REF!="Confidential"</formula>
    </cfRule>
  </conditionalFormatting>
  <conditionalFormatting sqref="J915:J917">
    <cfRule type="expression" dxfId="4" priority="436" stopIfTrue="1">
      <formula>#REF!="Confidential"</formula>
    </cfRule>
  </conditionalFormatting>
  <conditionalFormatting sqref="J927:J928">
    <cfRule type="expression" dxfId="4" priority="437" stopIfTrue="1">
      <formula>#REF!="Confidential"</formula>
    </cfRule>
  </conditionalFormatting>
  <conditionalFormatting sqref="J931">
    <cfRule type="expression" dxfId="4" priority="438" stopIfTrue="1">
      <formula>#REF!="Confidential"</formula>
    </cfRule>
  </conditionalFormatting>
  <conditionalFormatting sqref="J934">
    <cfRule type="expression" dxfId="4" priority="439" stopIfTrue="1">
      <formula>#REF!="Confidential"</formula>
    </cfRule>
  </conditionalFormatting>
  <conditionalFormatting sqref="J937">
    <cfRule type="expression" dxfId="4" priority="440" stopIfTrue="1">
      <formula>#REF!="Confidential"</formula>
    </cfRule>
  </conditionalFormatting>
  <conditionalFormatting sqref="J950:J951">
    <cfRule type="expression" dxfId="4" priority="441" stopIfTrue="1">
      <formula>#REF!="Confidential"</formula>
    </cfRule>
  </conditionalFormatting>
  <conditionalFormatting sqref="J961">
    <cfRule type="expression" dxfId="4" priority="442" stopIfTrue="1">
      <formula>#REF!="Confidential"</formula>
    </cfRule>
  </conditionalFormatting>
  <conditionalFormatting sqref="J974:J977">
    <cfRule type="expression" dxfId="4" priority="443" stopIfTrue="1">
      <formula>#REF!="Confidential"</formula>
    </cfRule>
  </conditionalFormatting>
  <conditionalFormatting sqref="J1004">
    <cfRule type="expression" dxfId="4" priority="444" stopIfTrue="1">
      <formula>#REF!="Confidential"</formula>
    </cfRule>
  </conditionalFormatting>
  <conditionalFormatting sqref="J1036">
    <cfRule type="expression" dxfId="4" priority="445" stopIfTrue="1">
      <formula>#REF!="Confidential"</formula>
    </cfRule>
  </conditionalFormatting>
  <conditionalFormatting sqref="J1041:J1042">
    <cfRule type="expression" dxfId="4" priority="446" stopIfTrue="1">
      <formula>#REF!="Confidential"</formula>
    </cfRule>
  </conditionalFormatting>
  <conditionalFormatting sqref="J1066">
    <cfRule type="expression" dxfId="4" priority="447" stopIfTrue="1">
      <formula>#REF!="Confidential"</formula>
    </cfRule>
  </conditionalFormatting>
  <conditionalFormatting sqref="J1218">
    <cfRule type="expression" dxfId="4" priority="448" stopIfTrue="1">
      <formula>#REF!="Confidential"</formula>
    </cfRule>
  </conditionalFormatting>
  <conditionalFormatting sqref="J1277">
    <cfRule type="expression" dxfId="4" priority="449" stopIfTrue="1">
      <formula>#REF!="Confidential"</formula>
    </cfRule>
  </conditionalFormatting>
  <conditionalFormatting sqref="J1282:J1284">
    <cfRule type="expression" dxfId="4" priority="450" stopIfTrue="1">
      <formula>#REF!="Confidential"</formula>
    </cfRule>
  </conditionalFormatting>
  <conditionalFormatting sqref="J1287">
    <cfRule type="expression" dxfId="4" priority="451" stopIfTrue="1">
      <formula>#REF!="Confidential"</formula>
    </cfRule>
  </conditionalFormatting>
  <conditionalFormatting sqref="J1318:J1319">
    <cfRule type="expression" dxfId="4" priority="452" stopIfTrue="1">
      <formula>#REF!="Confidential"</formula>
    </cfRule>
  </conditionalFormatting>
  <conditionalFormatting sqref="J1354:J1355">
    <cfRule type="expression" dxfId="4" priority="453" stopIfTrue="1">
      <formula>#REF!="Confidential"</formula>
    </cfRule>
  </conditionalFormatting>
  <conditionalFormatting sqref="J1376:J1378">
    <cfRule type="expression" dxfId="4" priority="454" stopIfTrue="1">
      <formula>#REF!="Confidential"</formula>
    </cfRule>
  </conditionalFormatting>
  <conditionalFormatting sqref="J1430:J1433">
    <cfRule type="expression" dxfId="4" priority="455" stopIfTrue="1">
      <formula>#REF!="Confidential"</formula>
    </cfRule>
  </conditionalFormatting>
  <conditionalFormatting sqref="J1436">
    <cfRule type="expression" dxfId="4" priority="456" stopIfTrue="1">
      <formula>#REF!="Confidential"</formula>
    </cfRule>
  </conditionalFormatting>
  <conditionalFormatting sqref="J1522:J1523">
    <cfRule type="expression" dxfId="4" priority="457" stopIfTrue="1">
      <formula>#REF!="Confidential"</formula>
    </cfRule>
  </conditionalFormatting>
  <conditionalFormatting sqref="J1539">
    <cfRule type="expression" dxfId="4" priority="458" stopIfTrue="1">
      <formula>#REF!="Confidential"</formula>
    </cfRule>
  </conditionalFormatting>
  <conditionalFormatting sqref="J1548">
    <cfRule type="expression" dxfId="4" priority="459" stopIfTrue="1">
      <formula>#REF!="Confidential"</formula>
    </cfRule>
  </conditionalFormatting>
  <conditionalFormatting sqref="J1580:J1581">
    <cfRule type="expression" dxfId="4" priority="460" stopIfTrue="1">
      <formula>#REF!="Confidential"</formula>
    </cfRule>
  </conditionalFormatting>
  <conditionalFormatting sqref="J1583">
    <cfRule type="expression" dxfId="4" priority="461" stopIfTrue="1">
      <formula>#REF!="Confidential"</formula>
    </cfRule>
  </conditionalFormatting>
  <conditionalFormatting sqref="J1593:J1594">
    <cfRule type="expression" dxfId="4" priority="462" stopIfTrue="1">
      <formula>#REF!="Confidential"</formula>
    </cfRule>
  </conditionalFormatting>
  <conditionalFormatting sqref="J1597:J1598">
    <cfRule type="expression" dxfId="4" priority="463" stopIfTrue="1">
      <formula>#REF!="Confidential"</formula>
    </cfRule>
  </conditionalFormatting>
  <conditionalFormatting sqref="J1639:J1643">
    <cfRule type="expression" dxfId="4" priority="464" stopIfTrue="1">
      <formula>#REF!="Confidential"</formula>
    </cfRule>
  </conditionalFormatting>
  <conditionalFormatting sqref="J1652">
    <cfRule type="expression" dxfId="4" priority="465" stopIfTrue="1">
      <formula>#REF!="Confidential"</formula>
    </cfRule>
  </conditionalFormatting>
  <conditionalFormatting sqref="J1793">
    <cfRule type="expression" dxfId="4" priority="466" stopIfTrue="1">
      <formula>#REF!="Confidential"</formula>
    </cfRule>
  </conditionalFormatting>
  <conditionalFormatting sqref="J1892">
    <cfRule type="expression" dxfId="4" priority="467" stopIfTrue="1">
      <formula>#REF!="Confidential"</formula>
    </cfRule>
  </conditionalFormatting>
  <conditionalFormatting sqref="J1907">
    <cfRule type="expression" dxfId="4" priority="468" stopIfTrue="1">
      <formula>#REF!="Confidential"</formula>
    </cfRule>
  </conditionalFormatting>
  <conditionalFormatting sqref="J1910">
    <cfRule type="expression" dxfId="4" priority="469" stopIfTrue="1">
      <formula>#REF!="Confidential"</formula>
    </cfRule>
  </conditionalFormatting>
  <conditionalFormatting sqref="J1944">
    <cfRule type="expression" dxfId="4" priority="470" stopIfTrue="1">
      <formula>#REF!="Confidential"</formula>
    </cfRule>
  </conditionalFormatting>
  <conditionalFormatting sqref="J2036">
    <cfRule type="expression" dxfId="4" priority="471" stopIfTrue="1">
      <formula>#REF!="Confidential"</formula>
    </cfRule>
  </conditionalFormatting>
  <conditionalFormatting sqref="J2322">
    <cfRule type="expression" dxfId="4" priority="472" stopIfTrue="1">
      <formula>#REF!="Confidential"</formula>
    </cfRule>
  </conditionalFormatting>
  <conditionalFormatting sqref="J2324">
    <cfRule type="expression" dxfId="4" priority="473" stopIfTrue="1">
      <formula>#REF!="Confidential"</formula>
    </cfRule>
  </conditionalFormatting>
  <conditionalFormatting sqref="J579:K579">
    <cfRule type="expression" dxfId="4" priority="474" stopIfTrue="1">
      <formula>#REF!="Confidential"</formula>
    </cfRule>
  </conditionalFormatting>
  <conditionalFormatting sqref="J739:K739">
    <cfRule type="expression" dxfId="4" priority="475" stopIfTrue="1">
      <formula>#REF!="Confidential"</formula>
    </cfRule>
  </conditionalFormatting>
  <conditionalFormatting sqref="J806:K806">
    <cfRule type="expression" dxfId="4" priority="476" stopIfTrue="1">
      <formula>#REF!="Confidential"</formula>
    </cfRule>
  </conditionalFormatting>
  <conditionalFormatting sqref="J847:K847">
    <cfRule type="expression" dxfId="4" priority="477" stopIfTrue="1">
      <formula>#REF!="Confidential"</formula>
    </cfRule>
  </conditionalFormatting>
  <conditionalFormatting sqref="J873:K873">
    <cfRule type="expression" dxfId="4" priority="478" stopIfTrue="1">
      <formula>#REF!="Confidential"</formula>
    </cfRule>
  </conditionalFormatting>
  <conditionalFormatting sqref="J1071:K1071">
    <cfRule type="expression" dxfId="4" priority="479" stopIfTrue="1">
      <formula>#REF!="Confidential"</formula>
    </cfRule>
  </conditionalFormatting>
  <conditionalFormatting sqref="J1276:K1276">
    <cfRule type="expression" dxfId="4" priority="480" stopIfTrue="1">
      <formula>#REF!="Confidential"</formula>
    </cfRule>
  </conditionalFormatting>
  <conditionalFormatting sqref="J1357:K1357">
    <cfRule type="expression" dxfId="4" priority="481" stopIfTrue="1">
      <formula>#REF!="Confidential"</formula>
    </cfRule>
  </conditionalFormatting>
  <conditionalFormatting sqref="J1426:K1426">
    <cfRule type="expression" dxfId="4" priority="482" stopIfTrue="1">
      <formula>#REF!="Confidential"</formula>
    </cfRule>
  </conditionalFormatting>
  <conditionalFormatting sqref="J1547:K1547">
    <cfRule type="expression" dxfId="4" priority="483" stopIfTrue="1">
      <formula>#REF!="Confidential"</formula>
    </cfRule>
  </conditionalFormatting>
  <conditionalFormatting sqref="J651:Y651">
    <cfRule type="expression" dxfId="4" priority="484" stopIfTrue="1">
      <formula>#REF!="Confidential"</formula>
    </cfRule>
  </conditionalFormatting>
  <conditionalFormatting sqref="J1273:Y1273">
    <cfRule type="expression" dxfId="4" priority="485" stopIfTrue="1">
      <formula>#REF!="Confidential"</formula>
    </cfRule>
  </conditionalFormatting>
  <conditionalFormatting sqref="K547">
    <cfRule type="expression" dxfId="4" priority="486" stopIfTrue="1">
      <formula>#REF!="Confidential"</formula>
    </cfRule>
  </conditionalFormatting>
  <conditionalFormatting sqref="K636">
    <cfRule type="expression" dxfId="4" priority="487" stopIfTrue="1">
      <formula>#REF!="Confidential"</formula>
    </cfRule>
  </conditionalFormatting>
  <conditionalFormatting sqref="K758">
    <cfRule type="expression" dxfId="4" priority="488" stopIfTrue="1">
      <formula>#REF!="Confidential"</formula>
    </cfRule>
  </conditionalFormatting>
  <conditionalFormatting sqref="K776">
    <cfRule type="expression" dxfId="4" priority="489" stopIfTrue="1">
      <formula>#REF!="Confidential"</formula>
    </cfRule>
  </conditionalFormatting>
  <conditionalFormatting sqref="K787">
    <cfRule type="expression" dxfId="4" priority="490" stopIfTrue="1">
      <formula>#REF!="Confidential"</formula>
    </cfRule>
  </conditionalFormatting>
  <conditionalFormatting sqref="K799:K800">
    <cfRule type="expression" dxfId="4" priority="491" stopIfTrue="1">
      <formula>#REF!="Confidential"</formula>
    </cfRule>
  </conditionalFormatting>
  <conditionalFormatting sqref="K811">
    <cfRule type="expression" dxfId="4" priority="492" stopIfTrue="1">
      <formula>#REF!="Confidential"</formula>
    </cfRule>
  </conditionalFormatting>
  <conditionalFormatting sqref="K917">
    <cfRule type="expression" dxfId="4" priority="493" stopIfTrue="1">
      <formula>#REF!="Confidential"</formula>
    </cfRule>
  </conditionalFormatting>
  <conditionalFormatting sqref="K954">
    <cfRule type="expression" dxfId="4" priority="494" stopIfTrue="1">
      <formula>#REF!="Confidential"</formula>
    </cfRule>
  </conditionalFormatting>
  <conditionalFormatting sqref="K957">
    <cfRule type="expression" dxfId="4" priority="495" stopIfTrue="1">
      <formula>#REF!="Confidential"</formula>
    </cfRule>
  </conditionalFormatting>
  <conditionalFormatting sqref="K965">
    <cfRule type="expression" dxfId="4" priority="496" stopIfTrue="1">
      <formula>#REF!="Confidential"</formula>
    </cfRule>
  </conditionalFormatting>
  <conditionalFormatting sqref="K968">
    <cfRule type="expression" dxfId="4" priority="497" stopIfTrue="1">
      <formula>#REF!="Confidential"</formula>
    </cfRule>
  </conditionalFormatting>
  <conditionalFormatting sqref="K1008">
    <cfRule type="expression" dxfId="4" priority="498" stopIfTrue="1">
      <formula>#REF!="Confidential"</formula>
    </cfRule>
  </conditionalFormatting>
  <conditionalFormatting sqref="K1011:K1012">
    <cfRule type="expression" dxfId="4" priority="499" stopIfTrue="1">
      <formula>#REF!="Confidential"</formula>
    </cfRule>
  </conditionalFormatting>
  <conditionalFormatting sqref="K1052">
    <cfRule type="expression" dxfId="4" priority="500" stopIfTrue="1">
      <formula>#REF!="Confidential"</formula>
    </cfRule>
  </conditionalFormatting>
  <conditionalFormatting sqref="K1068:K1069">
    <cfRule type="expression" dxfId="4" priority="501" stopIfTrue="1">
      <formula>#REF!="Confidential"</formula>
    </cfRule>
  </conditionalFormatting>
  <conditionalFormatting sqref="K1119">
    <cfRule type="expression" dxfId="4" priority="502" stopIfTrue="1">
      <formula>#REF!="Confidential"</formula>
    </cfRule>
  </conditionalFormatting>
  <conditionalFormatting sqref="K1205:K1206">
    <cfRule type="expression" dxfId="4" priority="503" stopIfTrue="1">
      <formula>#REF!="Confidential"</formula>
    </cfRule>
  </conditionalFormatting>
  <conditionalFormatting sqref="K1495">
    <cfRule type="expression" dxfId="4" priority="504" stopIfTrue="1">
      <formula>#REF!="Confidential"</formula>
    </cfRule>
  </conditionalFormatting>
  <conditionalFormatting sqref="K1497">
    <cfRule type="expression" dxfId="4" priority="505" stopIfTrue="1">
      <formula>#REF!="Confidential"</formula>
    </cfRule>
  </conditionalFormatting>
  <conditionalFormatting sqref="K1499">
    <cfRule type="expression" dxfId="4" priority="506" stopIfTrue="1">
      <formula>#REF!="Confidential"</formula>
    </cfRule>
  </conditionalFormatting>
  <conditionalFormatting sqref="K1546">
    <cfRule type="expression" dxfId="4" priority="507" stopIfTrue="1">
      <formula>#REF!="Confidential"</formula>
    </cfRule>
  </conditionalFormatting>
  <conditionalFormatting sqref="K1633">
    <cfRule type="expression" dxfId="4" priority="508" stopIfTrue="1">
      <formula>#REF!="Confidential"</formula>
    </cfRule>
  </conditionalFormatting>
  <conditionalFormatting sqref="K1728">
    <cfRule type="expression" dxfId="4" priority="509" stopIfTrue="1">
      <formula>#REF!="Confidential"</formula>
    </cfRule>
  </conditionalFormatting>
  <conditionalFormatting sqref="K1942:K1943">
    <cfRule type="expression" dxfId="4" priority="510" stopIfTrue="1">
      <formula>#REF!="Confidential"</formula>
    </cfRule>
  </conditionalFormatting>
  <conditionalFormatting sqref="K2322">
    <cfRule type="expression" dxfId="4" priority="511" stopIfTrue="1">
      <formula>#REF!="Confidential"</formula>
    </cfRule>
  </conditionalFormatting>
  <conditionalFormatting sqref="K2359:K2360">
    <cfRule type="expression" dxfId="4" priority="512" stopIfTrue="1">
      <formula>#REF!="Confidential"</formula>
    </cfRule>
  </conditionalFormatting>
  <conditionalFormatting sqref="K2388:K2389">
    <cfRule type="expression" dxfId="4" priority="513" stopIfTrue="1">
      <formula>#REF!="Confidential"</formula>
    </cfRule>
  </conditionalFormatting>
  <conditionalFormatting sqref="K953:M953">
    <cfRule type="expression" dxfId="4" priority="514" stopIfTrue="1">
      <formula>#REF!="Confidential"</formula>
    </cfRule>
  </conditionalFormatting>
  <conditionalFormatting sqref="K1029:M1029">
    <cfRule type="expression" dxfId="4" priority="515" stopIfTrue="1">
      <formula>#REF!="Confidential"</formula>
    </cfRule>
  </conditionalFormatting>
  <conditionalFormatting sqref="K555:O555">
    <cfRule type="expression" dxfId="4" priority="516" stopIfTrue="1">
      <formula>#REF!="Confidential"</formula>
    </cfRule>
  </conditionalFormatting>
  <conditionalFormatting sqref="K737:Q737">
    <cfRule type="expression" dxfId="4" priority="517" stopIfTrue="1">
      <formula>#REF!="Confidential"</formula>
    </cfRule>
  </conditionalFormatting>
  <conditionalFormatting sqref="K622:Y622">
    <cfRule type="expression" dxfId="4" priority="518" stopIfTrue="1">
      <formula>#REF!="Confidential"</formula>
    </cfRule>
  </conditionalFormatting>
  <conditionalFormatting sqref="K892:Y892">
    <cfRule type="expression" dxfId="4" priority="519" stopIfTrue="1">
      <formula>#REF!="Confidential"</formula>
    </cfRule>
  </conditionalFormatting>
  <conditionalFormatting sqref="K926:Y928">
    <cfRule type="expression" dxfId="4" priority="520" stopIfTrue="1">
      <formula>#REF!="Confidential"</formula>
    </cfRule>
  </conditionalFormatting>
  <conditionalFormatting sqref="K1344:Y1344">
    <cfRule type="expression" dxfId="4" priority="521" stopIfTrue="1">
      <formula>#REF!="Confidential"</formula>
    </cfRule>
  </conditionalFormatting>
  <conditionalFormatting sqref="L1495:Y1495">
    <cfRule type="expression" dxfId="4" priority="522" stopIfTrue="1">
      <formula>#REF!="Confidential"</formula>
    </cfRule>
  </conditionalFormatting>
  <conditionalFormatting sqref="L1547:Y1547">
    <cfRule type="expression" dxfId="4" priority="523" stopIfTrue="1">
      <formula>#REF!="Confidential"</formula>
    </cfRule>
  </conditionalFormatting>
  <conditionalFormatting sqref="N1008">
    <cfRule type="expression" dxfId="4" priority="524" stopIfTrue="1">
      <formula>#REF!="Confidential"</formula>
    </cfRule>
  </conditionalFormatting>
  <conditionalFormatting sqref="P684:R684">
    <cfRule type="expression" dxfId="4" priority="525" stopIfTrue="1">
      <formula>#REF!="Confidential"</formula>
    </cfRule>
  </conditionalFormatting>
  <conditionalFormatting sqref="P580:S580">
    <cfRule type="expression" dxfId="4" priority="526" stopIfTrue="1">
      <formula>#REF!="Confidential"</formula>
    </cfRule>
  </conditionalFormatting>
  <conditionalFormatting sqref="Q1061:R1061">
    <cfRule type="expression" dxfId="4" priority="527" stopIfTrue="1">
      <formula>#REF!="Confidential"</formula>
    </cfRule>
  </conditionalFormatting>
  <conditionalFormatting sqref="W600:Y600">
    <cfRule type="expression" dxfId="4" priority="528" stopIfTrue="1">
      <formula>#REF!="Confidential"</formula>
    </cfRule>
  </conditionalFormatting>
  <conditionalFormatting sqref="Z19">
    <cfRule type="expression" dxfId="4" priority="529" stopIfTrue="1">
      <formula>#REF!="Confidential"</formula>
    </cfRule>
  </conditionalFormatting>
  <conditionalFormatting sqref="Z275">
    <cfRule type="expression" dxfId="4" priority="530" stopIfTrue="1">
      <formula>#REF!="Confidential"</formula>
    </cfRule>
  </conditionalFormatting>
  <conditionalFormatting sqref="Z454">
    <cfRule type="expression" dxfId="4" priority="531" stopIfTrue="1">
      <formula>#REF!="Confidential"</formula>
    </cfRule>
  </conditionalFormatting>
  <conditionalFormatting sqref="Z578">
    <cfRule type="expression" dxfId="4" priority="532" stopIfTrue="1">
      <formula>#REF!="Confidential"</formula>
    </cfRule>
  </conditionalFormatting>
  <conditionalFormatting sqref="Z651">
    <cfRule type="expression" dxfId="4" priority="533" stopIfTrue="1">
      <formula>#REF!="Confidential"</formula>
    </cfRule>
  </conditionalFormatting>
  <conditionalFormatting sqref="Z665:Z666">
    <cfRule type="expression" dxfId="4" priority="534" stopIfTrue="1">
      <formula>#REF!="Confidential"</formula>
    </cfRule>
  </conditionalFormatting>
  <conditionalFormatting sqref="Z838">
    <cfRule type="expression" dxfId="4" priority="535" stopIfTrue="1">
      <formula>#REF!="Confidential"</formula>
    </cfRule>
  </conditionalFormatting>
  <conditionalFormatting sqref="Z842">
    <cfRule type="expression" dxfId="4" priority="536" stopIfTrue="1">
      <formula>#REF!="Confidential"</formula>
    </cfRule>
  </conditionalFormatting>
  <conditionalFormatting sqref="Z849">
    <cfRule type="expression" dxfId="4" priority="537" stopIfTrue="1">
      <formula>#REF!="Confidential"</formula>
    </cfRule>
  </conditionalFormatting>
  <conditionalFormatting sqref="Z925:Z928">
    <cfRule type="expression" dxfId="4" priority="538" stopIfTrue="1">
      <formula>#REF!="Confidential"</formula>
    </cfRule>
  </conditionalFormatting>
  <conditionalFormatting sqref="Z944">
    <cfRule type="expression" dxfId="4" priority="539" stopIfTrue="1">
      <formula>#REF!="Confidential"</formula>
    </cfRule>
  </conditionalFormatting>
  <conditionalFormatting sqref="Z953:Z954">
    <cfRule type="expression" dxfId="4" priority="540" stopIfTrue="1">
      <formula>#REF!="Confidential"</formula>
    </cfRule>
  </conditionalFormatting>
  <conditionalFormatting sqref="Z1029">
    <cfRule type="expression" dxfId="4" priority="541" stopIfTrue="1">
      <formula>#REF!="Confidential"</formula>
    </cfRule>
  </conditionalFormatting>
  <conditionalFormatting sqref="Z1111">
    <cfRule type="expression" dxfId="4" priority="542" stopIfTrue="1">
      <formula>#REF!="Confidential"</formula>
    </cfRule>
  </conditionalFormatting>
  <conditionalFormatting sqref="Z1205:Z1206">
    <cfRule type="expression" dxfId="4" priority="543" stopIfTrue="1">
      <formula>#REF!="Confidential"</formula>
    </cfRule>
  </conditionalFormatting>
  <conditionalFormatting sqref="Z1221">
    <cfRule type="expression" dxfId="4" priority="544" stopIfTrue="1">
      <formula>#REF!="Confidential"</formula>
    </cfRule>
  </conditionalFormatting>
  <conditionalFormatting sqref="Z1353">
    <cfRule type="expression" dxfId="4" priority="545" stopIfTrue="1">
      <formula>#REF!="Confidential"</formula>
    </cfRule>
  </conditionalFormatting>
  <conditionalFormatting sqref="Z1386:Z1387">
    <cfRule type="expression" dxfId="4" priority="546" stopIfTrue="1">
      <formula>#REF!="Confidential"</formula>
    </cfRule>
  </conditionalFormatting>
  <conditionalFormatting sqref="Z1389">
    <cfRule type="expression" dxfId="4" priority="547" stopIfTrue="1">
      <formula>#REF!="Confidential"</formula>
    </cfRule>
  </conditionalFormatting>
  <conditionalFormatting sqref="Z1418">
    <cfRule type="expression" dxfId="4" priority="548" stopIfTrue="1">
      <formula>#REF!="Confidential"</formula>
    </cfRule>
  </conditionalFormatting>
  <conditionalFormatting sqref="Z1497:Z1499">
    <cfRule type="expression" dxfId="4" priority="549" stopIfTrue="1">
      <formula>#REF!="Confidential"</formula>
    </cfRule>
  </conditionalFormatting>
  <conditionalFormatting sqref="Z1610">
    <cfRule type="expression" dxfId="4" priority="550" stopIfTrue="1">
      <formula>#REF!="Confidential"</formula>
    </cfRule>
  </conditionalFormatting>
  <conditionalFormatting sqref="Z2283">
    <cfRule type="expression" dxfId="4" priority="551" stopIfTrue="1">
      <formula>#REF!="Confidential"</formula>
    </cfRule>
  </conditionalFormatting>
  <conditionalFormatting sqref="Z622:AA622">
    <cfRule type="expression" dxfId="4" priority="552" stopIfTrue="1">
      <formula>#REF!="Confidential"</formula>
    </cfRule>
  </conditionalFormatting>
  <conditionalFormatting sqref="Z1530:AA1530">
    <cfRule type="expression" dxfId="4" priority="553" stopIfTrue="1">
      <formula>#REF!="Confidential"</formula>
    </cfRule>
  </conditionalFormatting>
  <conditionalFormatting sqref="Z1543:AA1543">
    <cfRule type="expression" dxfId="4" priority="554" stopIfTrue="1">
      <formula>#REF!="Confidential"</formula>
    </cfRule>
  </conditionalFormatting>
  <conditionalFormatting sqref="Z1693:AA1693">
    <cfRule type="expression" dxfId="4" priority="555" stopIfTrue="1">
      <formula>#REF!="Confidential"</formula>
    </cfRule>
  </conditionalFormatting>
  <conditionalFormatting sqref="Z1727:AA1728">
    <cfRule type="expression" dxfId="4" priority="556" stopIfTrue="1">
      <formula>#REF!="Confidential"</formula>
    </cfRule>
  </conditionalFormatting>
  <conditionalFormatting sqref="Z2131:AA2131">
    <cfRule type="expression" dxfId="4" priority="557" stopIfTrue="1">
      <formula>#REF!="Confidential"</formula>
    </cfRule>
  </conditionalFormatting>
  <conditionalFormatting sqref="Z2344:AA2344">
    <cfRule type="expression" dxfId="4" priority="558" stopIfTrue="1">
      <formula>#REF!="Confidential"</formula>
    </cfRule>
  </conditionalFormatting>
  <conditionalFormatting sqref="AA197">
    <cfRule type="expression" dxfId="4" priority="559" stopIfTrue="1">
      <formula>#REF!="Confidential"</formula>
    </cfRule>
  </conditionalFormatting>
  <conditionalFormatting sqref="AA388">
    <cfRule type="expression" dxfId="4" priority="560" stopIfTrue="1">
      <formula>#REF!="Confidential"</formula>
    </cfRule>
  </conditionalFormatting>
  <conditionalFormatting sqref="AA456">
    <cfRule type="expression" dxfId="4" priority="561" stopIfTrue="1">
      <formula>#REF!="Confidential"</formula>
    </cfRule>
  </conditionalFormatting>
  <conditionalFormatting sqref="AA462">
    <cfRule type="expression" dxfId="4" priority="562" stopIfTrue="1">
      <formula>#REF!="Confidential"</formula>
    </cfRule>
  </conditionalFormatting>
  <conditionalFormatting sqref="AA483">
    <cfRule type="expression" dxfId="4" priority="563" stopIfTrue="1">
      <formula>#REF!="Confidential"</formula>
    </cfRule>
  </conditionalFormatting>
  <conditionalFormatting sqref="AA493">
    <cfRule type="expression" dxfId="4" priority="564" stopIfTrue="1">
      <formula>#REF!="Confidential"</formula>
    </cfRule>
  </conditionalFormatting>
  <conditionalFormatting sqref="AA501">
    <cfRule type="expression" dxfId="4" priority="565" stopIfTrue="1">
      <formula>#REF!="Confidential"</formula>
    </cfRule>
  </conditionalFormatting>
  <conditionalFormatting sqref="AA505">
    <cfRule type="expression" dxfId="4" priority="566" stopIfTrue="1">
      <formula>#REF!="Confidential"</formula>
    </cfRule>
  </conditionalFormatting>
  <conditionalFormatting sqref="AA512">
    <cfRule type="expression" dxfId="4" priority="567" stopIfTrue="1">
      <formula>#REF!="Confidential"</formula>
    </cfRule>
  </conditionalFormatting>
  <conditionalFormatting sqref="AA514">
    <cfRule type="expression" dxfId="4" priority="568" stopIfTrue="1">
      <formula>#REF!="Confidential"</formula>
    </cfRule>
  </conditionalFormatting>
  <conditionalFormatting sqref="AA564">
    <cfRule type="expression" dxfId="4" priority="569" stopIfTrue="1">
      <formula>#REF!="Confidential"</formula>
    </cfRule>
  </conditionalFormatting>
  <conditionalFormatting sqref="AA617">
    <cfRule type="expression" dxfId="4" priority="570" stopIfTrue="1">
      <formula>#REF!="Confidential"</formula>
    </cfRule>
  </conditionalFormatting>
  <conditionalFormatting sqref="AA650:AA651">
    <cfRule type="expression" dxfId="4" priority="571" stopIfTrue="1">
      <formula>#REF!="Confidential"</formula>
    </cfRule>
  </conditionalFormatting>
  <conditionalFormatting sqref="AA667:AA668">
    <cfRule type="expression" dxfId="4" priority="572" stopIfTrue="1">
      <formula>#REF!="Confidential"</formula>
    </cfRule>
  </conditionalFormatting>
  <conditionalFormatting sqref="AA683">
    <cfRule type="expression" dxfId="4" priority="573" stopIfTrue="1">
      <formula>#REF!="Confidential"</formula>
    </cfRule>
  </conditionalFormatting>
  <conditionalFormatting sqref="AA735:AA736">
    <cfRule type="expression" dxfId="4" priority="574" stopIfTrue="1">
      <formula>#REF!="Confidential"</formula>
    </cfRule>
  </conditionalFormatting>
  <conditionalFormatting sqref="AA741">
    <cfRule type="expression" dxfId="4" priority="575" stopIfTrue="1">
      <formula>#REF!="Confidential"</formula>
    </cfRule>
  </conditionalFormatting>
  <conditionalFormatting sqref="AA754:AA755">
    <cfRule type="expression" dxfId="4" priority="576" stopIfTrue="1">
      <formula>#REF!="Confidential"</formula>
    </cfRule>
  </conditionalFormatting>
  <conditionalFormatting sqref="AA783">
    <cfRule type="expression" dxfId="4" priority="577" stopIfTrue="1">
      <formula>#REF!="Confidential"</formula>
    </cfRule>
  </conditionalFormatting>
  <conditionalFormatting sqref="AA792:AA793">
    <cfRule type="expression" dxfId="4" priority="578" stopIfTrue="1">
      <formula>#REF!="Confidential"</formula>
    </cfRule>
  </conditionalFormatting>
  <conditionalFormatting sqref="AA796">
    <cfRule type="expression" dxfId="4" priority="579" stopIfTrue="1">
      <formula>#REF!="Confidential"</formula>
    </cfRule>
  </conditionalFormatting>
  <conditionalFormatting sqref="AA802">
    <cfRule type="expression" dxfId="4" priority="580" stopIfTrue="1">
      <formula>#REF!="Confidential"</formula>
    </cfRule>
  </conditionalFormatting>
  <conditionalFormatting sqref="AA806:AA807">
    <cfRule type="expression" dxfId="4" priority="581" stopIfTrue="1">
      <formula>#REF!="Confidential"</formula>
    </cfRule>
  </conditionalFormatting>
  <conditionalFormatting sqref="AA826">
    <cfRule type="expression" dxfId="4" priority="582" stopIfTrue="1">
      <formula>#REF!="Confidential"</formula>
    </cfRule>
  </conditionalFormatting>
  <conditionalFormatting sqref="AA842">
    <cfRule type="expression" dxfId="4" priority="583" stopIfTrue="1">
      <formula>#REF!="Confidential"</formula>
    </cfRule>
  </conditionalFormatting>
  <conditionalFormatting sqref="AA844">
    <cfRule type="expression" dxfId="4" priority="584" stopIfTrue="1">
      <formula>#REF!="Confidential"</formula>
    </cfRule>
  </conditionalFormatting>
  <conditionalFormatting sqref="AA849">
    <cfRule type="expression" dxfId="4" priority="585" stopIfTrue="1">
      <formula>#REF!="Confidential"</formula>
    </cfRule>
  </conditionalFormatting>
  <conditionalFormatting sqref="AA851">
    <cfRule type="expression" dxfId="4" priority="586" stopIfTrue="1">
      <formula>#REF!="Confidential"</formula>
    </cfRule>
  </conditionalFormatting>
  <conditionalFormatting sqref="AA865">
    <cfRule type="expression" dxfId="4" priority="587" stopIfTrue="1">
      <formula>#REF!="Confidential"</formula>
    </cfRule>
  </conditionalFormatting>
  <conditionalFormatting sqref="AA868">
    <cfRule type="expression" dxfId="4" priority="588" stopIfTrue="1">
      <formula>#REF!="Confidential"</formula>
    </cfRule>
  </conditionalFormatting>
  <conditionalFormatting sqref="AA876">
    <cfRule type="expression" dxfId="4" priority="589" stopIfTrue="1">
      <formula>#REF!="Confidential"</formula>
    </cfRule>
  </conditionalFormatting>
  <conditionalFormatting sqref="AA883">
    <cfRule type="expression" dxfId="4" priority="590" stopIfTrue="1">
      <formula>#REF!="Confidential"</formula>
    </cfRule>
  </conditionalFormatting>
  <conditionalFormatting sqref="AA911">
    <cfRule type="expression" dxfId="4" priority="591" stopIfTrue="1">
      <formula>#REF!="Confidential"</formula>
    </cfRule>
  </conditionalFormatting>
  <conditionalFormatting sqref="AA914">
    <cfRule type="expression" dxfId="4" priority="592" stopIfTrue="1">
      <formula>#REF!="Confidential"</formula>
    </cfRule>
  </conditionalFormatting>
  <conditionalFormatting sqref="AA923">
    <cfRule type="expression" dxfId="4" priority="593" stopIfTrue="1">
      <formula>#REF!="Confidential"</formula>
    </cfRule>
  </conditionalFormatting>
  <conditionalFormatting sqref="AA925">
    <cfRule type="expression" dxfId="4" priority="594" stopIfTrue="1">
      <formula>#REF!="Confidential"</formula>
    </cfRule>
  </conditionalFormatting>
  <conditionalFormatting sqref="AA927:AA928">
    <cfRule type="expression" dxfId="4" priority="595" stopIfTrue="1">
      <formula>#REF!="Confidential"</formula>
    </cfRule>
  </conditionalFormatting>
  <conditionalFormatting sqref="AA939:AA940">
    <cfRule type="expression" dxfId="4" priority="596" stopIfTrue="1">
      <formula>#REF!="Confidential"</formula>
    </cfRule>
  </conditionalFormatting>
  <conditionalFormatting sqref="AA965">
    <cfRule type="expression" dxfId="4" priority="597" stopIfTrue="1">
      <formula>#REF!="Confidential"</formula>
    </cfRule>
  </conditionalFormatting>
  <conditionalFormatting sqref="AA1035">
    <cfRule type="expression" dxfId="4" priority="598" stopIfTrue="1">
      <formula>#REF!="Confidential"</formula>
    </cfRule>
  </conditionalFormatting>
  <conditionalFormatting sqref="AA1127">
    <cfRule type="expression" dxfId="4" priority="599" stopIfTrue="1">
      <formula>#REF!="Confidential"</formula>
    </cfRule>
  </conditionalFormatting>
  <conditionalFormatting sqref="AA1167">
    <cfRule type="expression" dxfId="4" priority="600" stopIfTrue="1">
      <formula>#REF!="Confidential"</formula>
    </cfRule>
  </conditionalFormatting>
  <conditionalFormatting sqref="AA1306">
    <cfRule type="expression" dxfId="4" priority="601" stopIfTrue="1">
      <formula>#REF!="Confidential"</formula>
    </cfRule>
  </conditionalFormatting>
  <conditionalFormatting sqref="AA1368">
    <cfRule type="expression" dxfId="4" priority="602" stopIfTrue="1">
      <formula>#REF!="Confidential"</formula>
    </cfRule>
  </conditionalFormatting>
  <conditionalFormatting sqref="AA1386:AA1387">
    <cfRule type="expression" dxfId="4" priority="603" stopIfTrue="1">
      <formula>#REF!="Confidential"</formula>
    </cfRule>
  </conditionalFormatting>
  <conditionalFormatting sqref="AA1423">
    <cfRule type="expression" dxfId="4" priority="604" stopIfTrue="1">
      <formula>#REF!="Confidential"</formula>
    </cfRule>
  </conditionalFormatting>
  <conditionalFormatting sqref="AA1427">
    <cfRule type="expression" dxfId="4" priority="605" stopIfTrue="1">
      <formula>#REF!="Confidential"</formula>
    </cfRule>
  </conditionalFormatting>
  <conditionalFormatting sqref="AA1499">
    <cfRule type="expression" dxfId="4" priority="606" stopIfTrue="1">
      <formula>#REF!="Confidential"</formula>
    </cfRule>
  </conditionalFormatting>
  <conditionalFormatting sqref="AA1538">
    <cfRule type="expression" dxfId="4" priority="607" stopIfTrue="1">
      <formula>#REF!="Confidential"</formula>
    </cfRule>
  </conditionalFormatting>
  <conditionalFormatting sqref="AA1600:AA1601">
    <cfRule type="expression" dxfId="4" priority="608" stopIfTrue="1">
      <formula>#REF!="Confidential"</formula>
    </cfRule>
  </conditionalFormatting>
  <conditionalFormatting sqref="AA1651">
    <cfRule type="expression" dxfId="4" priority="609" stopIfTrue="1">
      <formula>#REF!="Confidential"</formula>
    </cfRule>
  </conditionalFormatting>
  <conditionalFormatting sqref="AA1692">
    <cfRule type="expression" dxfId="4" priority="610" stopIfTrue="1">
      <formula>#REF!="Confidential"</formula>
    </cfRule>
  </conditionalFormatting>
  <conditionalFormatting sqref="AA1713">
    <cfRule type="expression" dxfId="4" priority="611" stopIfTrue="1">
      <formula>#REF!="Confidential"</formula>
    </cfRule>
  </conditionalFormatting>
  <conditionalFormatting sqref="AA1716">
    <cfRule type="expression" dxfId="4" priority="612" stopIfTrue="1">
      <formula>#REF!="Confidential"</formula>
    </cfRule>
  </conditionalFormatting>
  <conditionalFormatting sqref="AA1722">
    <cfRule type="expression" dxfId="4" priority="613" stopIfTrue="1">
      <formula>#REF!="Confidential"</formula>
    </cfRule>
  </conditionalFormatting>
  <conditionalFormatting sqref="AA1725">
    <cfRule type="expression" dxfId="4" priority="614" stopIfTrue="1">
      <formula>#REF!="Confidential"</formula>
    </cfRule>
  </conditionalFormatting>
  <conditionalFormatting sqref="AA1758">
    <cfRule type="expression" dxfId="4" priority="615" stopIfTrue="1">
      <formula>#REF!="Confidential"</formula>
    </cfRule>
  </conditionalFormatting>
  <conditionalFormatting sqref="AA1760">
    <cfRule type="expression" dxfId="4" priority="616" stopIfTrue="1">
      <formula>#REF!="Confidential"</formula>
    </cfRule>
  </conditionalFormatting>
  <conditionalFormatting sqref="AA1768">
    <cfRule type="expression" dxfId="4" priority="617" stopIfTrue="1">
      <formula>#REF!="Confidential"</formula>
    </cfRule>
  </conditionalFormatting>
  <conditionalFormatting sqref="AA1775">
    <cfRule type="expression" dxfId="4" priority="618" stopIfTrue="1">
      <formula>#REF!="Confidential"</formula>
    </cfRule>
  </conditionalFormatting>
  <conditionalFormatting sqref="AA1790">
    <cfRule type="expression" dxfId="4" priority="619" stopIfTrue="1">
      <formula>#REF!="Confidential"</formula>
    </cfRule>
  </conditionalFormatting>
  <conditionalFormatting sqref="AA1801">
    <cfRule type="expression" dxfId="4" priority="620" stopIfTrue="1">
      <formula>#REF!="Confidential"</formula>
    </cfRule>
  </conditionalFormatting>
  <conditionalFormatting sqref="AA1811">
    <cfRule type="expression" dxfId="4" priority="621" stopIfTrue="1">
      <formula>#REF!="Confidential"</formula>
    </cfRule>
  </conditionalFormatting>
  <conditionalFormatting sqref="AA1824">
    <cfRule type="expression" dxfId="4" priority="622" stopIfTrue="1">
      <formula>#REF!="Confidential"</formula>
    </cfRule>
  </conditionalFormatting>
  <conditionalFormatting sqref="AA1830">
    <cfRule type="expression" dxfId="4" priority="623" stopIfTrue="1">
      <formula>#REF!="Confidential"</formula>
    </cfRule>
  </conditionalFormatting>
  <conditionalFormatting sqref="AA1835">
    <cfRule type="expression" dxfId="4" priority="624" stopIfTrue="1">
      <formula>#REF!="Confidential"</formula>
    </cfRule>
  </conditionalFormatting>
  <conditionalFormatting sqref="AA1839">
    <cfRule type="expression" dxfId="4" priority="625" stopIfTrue="1">
      <formula>#REF!="Confidential"</formula>
    </cfRule>
  </conditionalFormatting>
  <conditionalFormatting sqref="AA1842">
    <cfRule type="expression" dxfId="4" priority="626" stopIfTrue="1">
      <formula>#REF!="Confidential"</formula>
    </cfRule>
  </conditionalFormatting>
  <conditionalFormatting sqref="AA1849">
    <cfRule type="expression" dxfId="4" priority="627" stopIfTrue="1">
      <formula>#REF!="Confidential"</formula>
    </cfRule>
  </conditionalFormatting>
  <conditionalFormatting sqref="AA1856">
    <cfRule type="expression" dxfId="4" priority="628" stopIfTrue="1">
      <formula>#REF!="Confidential"</formula>
    </cfRule>
  </conditionalFormatting>
  <conditionalFormatting sqref="AA1880">
    <cfRule type="expression" dxfId="4" priority="629" stopIfTrue="1">
      <formula>#REF!="Confidential"</formula>
    </cfRule>
  </conditionalFormatting>
  <conditionalFormatting sqref="AA1893:AA1896">
    <cfRule type="expression" dxfId="4" priority="630" stopIfTrue="1">
      <formula>#REF!="Confidential"</formula>
    </cfRule>
  </conditionalFormatting>
  <conditionalFormatting sqref="AA1928">
    <cfRule type="expression" dxfId="4" priority="631" stopIfTrue="1">
      <formula>#REF!="Confidential"</formula>
    </cfRule>
  </conditionalFormatting>
  <conditionalFormatting sqref="AA1936">
    <cfRule type="expression" dxfId="4" priority="632" stopIfTrue="1">
      <formula>#REF!="Confidential"</formula>
    </cfRule>
  </conditionalFormatting>
  <conditionalFormatting sqref="AA1958">
    <cfRule type="expression" dxfId="4" priority="633" stopIfTrue="1">
      <formula>#REF!="Confidential"</formula>
    </cfRule>
  </conditionalFormatting>
  <conditionalFormatting sqref="AA1987">
    <cfRule type="expression" dxfId="4" priority="634" stopIfTrue="1">
      <formula>#REF!="Confidential"</formula>
    </cfRule>
  </conditionalFormatting>
  <conditionalFormatting sqref="AA2021">
    <cfRule type="expression" dxfId="4" priority="635" stopIfTrue="1">
      <formula>#REF!="Confidential"</formula>
    </cfRule>
  </conditionalFormatting>
  <conditionalFormatting sqref="AA2038">
    <cfRule type="expression" dxfId="4" priority="636" stopIfTrue="1">
      <formula>#REF!="Confidential"</formula>
    </cfRule>
  </conditionalFormatting>
  <conditionalFormatting sqref="AA2132">
    <cfRule type="expression" dxfId="4" priority="637" stopIfTrue="1">
      <formula>#REF!="Confidential"</formula>
    </cfRule>
  </conditionalFormatting>
  <conditionalFormatting sqref="AA2184:AA2185">
    <cfRule type="expression" dxfId="4" priority="638" stopIfTrue="1">
      <formula>#REF!="Confidential"</formula>
    </cfRule>
  </conditionalFormatting>
  <conditionalFormatting sqref="AA2290:AA2291">
    <cfRule type="expression" dxfId="4" priority="639" stopIfTrue="1">
      <formula>#REF!="Confidential"</formula>
    </cfRule>
  </conditionalFormatting>
  <conditionalFormatting sqref="AA2327:AA2329">
    <cfRule type="expression" dxfId="4" priority="640" stopIfTrue="1">
      <formula>#REF!="Confidential"</formula>
    </cfRule>
  </conditionalFormatting>
  <conditionalFormatting sqref="AA2333">
    <cfRule type="expression" dxfId="4" priority="641" stopIfTrue="1">
      <formula>#REF!="Confidential"</formula>
    </cfRule>
  </conditionalFormatting>
  <conditionalFormatting sqref="AA2338:AA2340">
    <cfRule type="expression" dxfId="4" priority="642" stopIfTrue="1">
      <formula>#REF!="Confidential"</formula>
    </cfRule>
  </conditionalFormatting>
  <conditionalFormatting sqref="AA2359:AA2360">
    <cfRule type="expression" dxfId="4" priority="643" stopIfTrue="1">
      <formula>#REF!="Confidential"</formula>
    </cfRule>
  </conditionalFormatting>
  <conditionalFormatting sqref="AA2440">
    <cfRule type="expression" dxfId="4" priority="644" stopIfTrue="1">
      <formula>#REF!="Confidential"</formula>
    </cfRule>
  </conditionalFormatting>
  <conditionalFormatting sqref="AB10:AB14">
    <cfRule type="expression" dxfId="4" priority="645" stopIfTrue="1">
      <formula>#REF!="Confidential"</formula>
    </cfRule>
  </conditionalFormatting>
  <conditionalFormatting sqref="B222:C222 B500 B503 B506:C506 B508:C508 B510:C516 B519:C519 B521:C521 B524 B525:C526 B527:E528 B530:E530 B532:C539 B544:C544 B545 B546:C553 B555:C558 B559:E563 B564:C564 B565:E566 B567:C567 B568:E571 B572:C572 B573:E574 B576:C576 B577:E588 B589:C590 B591:E595 B597:E597 B599:E604 B605:C612 B613:B636 B638:B640 B641:C641 B644:B660 B661:E661 B662:B668 B670:C671 B672:E673 B674:C674 B675:E675 B676:C676 B677:E677 B678:C678 B679:E679 B680:C691 B692:E695 B696:C696 B697:E705 B707:E707 B709:C709 B711:C713 B714:E714 B715:C715 B716:E716 B717:C724 B725:E725 B726:C738 B739:E740 B741:C742 B743:E754 B756:E757 B758:C758 B759:E759 B761:E761 B762:C762 B763:E771 B772 B774:C795 B797:D797 B798:E798 B799:D800 B801:C801 B802:D806 B807:E813 B814:B815 B816:C823 B824:D825 B826:E826 B827:C835 B837:C840 B841:E842 B843:C844 B845:E850 B851:C860 B863:C863 B864:Z864 B865:C876 B877:E881 B882:C892 B893:E895 B897:C898 B900:C903 B904:E904 B905:C910 B912:C913 B914:E915 B916:C917 B918:D918 B920:C921 B922:E923 B925:C938 B941:E941 B942:C948 B977 B999 B1043:C1044 B1057:B1058 B1167:B1168 B1273:C1274 B1344:C1344 B1353:C1353 B1386:C1388 B1418:C1418 B1420 B1495:C1495 B1530:D1530 B1547:E1547 B1580:B1582 B1610:C1610 B1633 B1635 B1892:E1892 B1937:E1937 B1992:C1992 B2179:G2185 B2187:D2188 B2290:B2291 B2322 B2359 C504:E504 C517 C520 C522:E524 C529:E529 C531 C596:E596 C613:C614 C615:E616 C618:C620 C622:E631 C633:E640 C642:E646 C649:C660 C662 C663:E666 C706:E706 C755:E755 C760:E760 C772:D773 C814 C815:AA815 C954:C956 C1050 C1167 C1168:AA1168 C1205:G1206 C1357 C1468 C1480:E1480 C1651 D500:E500 D513:E517 D525:E525 D531:E539 D544:E545 D549:E553 D598 D605:E608 D610:E614 D621:E621 D658:AA658 D684:E684 D688:E688 D717:E721 D722 D730:E730 D775:E782 D787:E787 D832:E832 D858:E859 D870:E873 D882:E883 D900:E902 D912:E912 D921:Z921 D929 D930:E930 D933:E933 D938:E938 D942:E943 D946:E948 D1008 D1057:D1058 D1091:D1092 D1128:D1132 D1728 D2021:D2022 D2186:E2186 E503 E506:J506 E512:H512 E519:E521 E526 E546:E548 E555:E558 E567 E572 E576 E589:G590 E609 E618:E620 E649:E657 E659:E660 E662 E667:E671 E674 E676 E678 E680:E681 E685:E687 E689:E691 E696 E709 E711:E713 E715 E722:E724 E726:E729 E741:E742 E758 E762 E783:E786 E788:F792 E799:E806 E816 E819:E825 E827:E831 E833:E835 E843:E844 E851:E857 E860 E863 E865:E868 E874:E876 E884:E892 E897:E898 E903 E910:H910 E913:H913 E916:E918 E920 E925:E926 E931:E932 E1167 E1992 F503:F504 F514:G515 F519:F539 F558:F574 F583:F588 F599:AA599 F601:F616 F620:F621 F623:F626 F628:F631 F637:Z637 F664:F666 F673:F675 F685:AA685 F690:F707 F711:Z711 F713:Z713 F715:F718 F721:AA724 F729:H729 F734:AA734 F751:AA751 F756:H756 F759:F772 F804:AF804 F807:I807 F810:H810 F820:F835 F837:AA837 F839:Z841 F868:H868 F872:AF872 F874:F875 F903:Y904 F931:F933 F1044:Z1044 G503:AA503 G504:Z504 G519:AB520 G521:AF521 G522:Y529 G530 G531:AA539 G550 G551:H551 G552:G553 G558:AA560 G561:Z561 G562:AF563 G564:Z564 G565:AF569 G570:G574 G583:AA583 G584:AF588 G591:G593 G594:AA594 G595:AF595 G596:Z596 G597:AA597 G601:AA601 G602:AF602 G603:Z603 G604:AF604 G605:Z605 G606:AA606 G607:AF607 G608:Z608 G609:AF614 G615:AA615 G616:Z616 G620:Z620 G621:AA621 G623:Z623 G624:AF624 G625:AA625 G626:Y626 G628:AA628 G629:AF629 G630:Z630 G631:AA631 G640:Z640 G641:AA644 G645:Z645 G646:AA646 G664:Z664 G665:Y666 G673 G674:AA675 G690:Z691 G692 G693:AA700 G701 G702:Z702 G703:AF704 G705 G706:Y707 G715:AF715 G716:AB716 G717:AF717 G718:AA718 G759:AA763 G764:AF769 G770:Y771 G772:AA772 G778 G779:AF779 G780:AD781 G782:Y784 G788:AF789 G790:Z790 G791:AA791 G792:Z792 G797:I797 G798:AC798 G820:AA823 G824:H824 G825:Z826 G827:Y831 G832 G833:AA835 G848:Z848 G849:Y849 G850:AA850 G851:Z851 G852:Y852 G853:AA853 G854:AF854 G855:AB856 G857:Y857 G858:AA858 G859 G860:AA860 G874 G875:AA875 G877:AB881 G882:Z882 G886:AF886 G887:AD887 G889:Z891 G892:J892 G931 G932:AA933 H500:I500 H680:AA680 H740:Z740 H742:AA742 H744:Z745 H838:Y838 H843:H844 H869 H951:I951 I222:K222 I514:Y515 I530:Y530 I553:AA553 I555:J556 I570:AF572 I573:Z573 I574:AF574 I576:Z576 I580:O580 I589 I591:Z593 I618:AF619 I622 I627:AA627 I633:AA633 I635:J636 I652:AA653 I656:AA656 I657:Z657 I659:AA659 I660:AF660 I661:AA661 I662:Z663 I667:Z668 I673:Z673 I686:AA686 I687:AE687 I689:Z689 I692:AE692 I701:AA701 I705:Y705 I725:AA725 I728:AA728 I758 I773:Z773 I778:AF778 I785:Y786 I832:Y832 I859:AA859 I874:AA874 I930:Y930 I938:AA938 I962:J962 I1651:Z1651 I1992:AF1992 I2179:Z2185 I2187:Z2188 J508:AA508 J510:Y513 J517:L517 J548:AA549 J557:AF557 J590:AA590 J638:AA638 J649:AF649 J650:Z650 J654:AF654 J655:AA655 J669:Z669 J670:AA671 J676:AA676 J678:AA678 J681:AA681 J682:Z683 J688:AA688 J709:AA709 J712:AF712 J719:AA719 J732:AA733 J735:Z736 J737 J738:Z738 J741:Z741 J743:AA743 J746:AF747 J748:AA750 J752:Y755 J756:AA757 J774:AF774 J777:AE777 J802:Z802 J803:AF803 J805:AF805 J810:AA810 J813:AA813 J819:AA819 J824:AE824 J845:Y846 J863:AA863 J867:Z868 J869:AA871 J876:Z876 J885:AF885 J888:AA888 J893:AA895 J905:Y909 J912:P912 J918:AA918 J920 J925:Y925 J929:Y929 J1043:AA1043 J1167:Z1167 J1344 J1418:Y1418 J1495 J1610:Y1610 J1937:AA1937 J2359:J2360 K500:AF500 K516:Y516 K544:AA544 K545:Z545 K546:AA546 K551:AA552 K556:AA556 K589:AA589 K635:AA635 K639:AA639 K672:Z672 K677:AA677 K679:AF679 K714:AF714 K720:AA720 K730:AA731 K775:AF775 K797:AA797 K807:Y807 K808:AA809 K812:Y812 K843:Z844 K865:Z866 K883:Z883 K884:AA884 K900:Y902 K910:Y910 K914:Z915 K916:AA916 K931:AA931 K934:Z934 K935:Y936 K937:AA937 K941:AE942 L506:AA506 L547:AA547 L550:AA550 L579:AA579 L581:AE581 L582:AA582 L634:AA634 L636:AF636 L726:Z726 L727:AA727 L729:AA729 L739:AA739 L758:AA758 L776:AA776 L787:AF787 L799:AF800 L801:Z801 L806:Z806 L811:Y811 L816:AA816 L836:AA836 L847:Y847 L873:AF873 L897:Y898 L913:AA913 L917:AA917 L920:AA920 L922:Y922 L923:Z923 L1892:AA1892 P555:AA555 R543:AE543 R737:AA737 S684:Z684 S912:AA912 T517:Y517 T577:AA577 T578:Y578 T580:AA580 Z512:Z514 Z515:AA516 Z522:AF522 Z523 Z524:AF527 Z528:Z530 Z600:AA600 Z705:AF707 Z752:AA753 Z754:Z755 Z770:AF770 Z771:AC771 Z783 Z784:AF786 Z811:Z812 Z814:AA814 Z827:Z829 Z830:AA830 Z831:AF832 Z845:AF847 Z892 Z897 Z898:AA898 Z900 Z901:AA909 Z929:AA930 Z943:AA943 Z945:AA945 Z946:Z947 Z948:AD948 Z1273:AA1273 Z1344 Z1495 Z1547:AA1547 Z2341:AA2341 AA510 AA517 AA578 AA626 AA648:AC648 AA794:AC795 AA829 AA857:AB857 AA944 AA2040:AA2041 AB42:AB46 AB49:AB51 AB54:AB57 AB59:AB61 AB64:AB75 AB78 AB81 AB90 AB99:AB104 AB108:AB110 AB112:AB114 AB116 AB120:AB121 AB124 AB126:AB129 AB131:AB133 AB136:AB140 AB142:AB143 AB146:AB149 AB152:AB153 AB155:AB157 AB161:AB167 AB170 AB173:AB174 AB176:AB177 AB179:AB182 AB184 AB188:AB189 AB202:AB204 AB206:AB209 AB212:AB213 AB217 AB219 AB221:AB222 AB226 AB235 AB237:AB253 AB257:AB258 AB262:AB268 AB270:AB279 AB281:AB283 AB285:AB286 AB288:AB290 AB293:AB299 AB301 AB303 AB306:AB309 AB311 AB315 AB317:AB318 AB321 AB326:AB329 AB331:AB332 AB336 AB339 AB342:AB343 AB346:AB347 AB349:AB352 AB355:AB356 AB360:AB364 AB367:AB370 AB379 AB381:AB382 AB385:AB396 AB408:AB409 AB411:AB414 AB418:AB420 AB422:AB430 AB432 AB435:AB436 AB438:AB439 AB441:AB445 AB449:AB452 AB455:AB461 AB463:AB465 AB472:AB474 AB480:AB481 AB483:AB497 AB499 AB501:AB503 AB504:AF504 AB505:AB510 AB511:AE511 AB512 AB513:AF513 AB514:AB518 AB523:AF523 AB529:AE529 AB542 AB544:AF553 AB554:AB556 AB561:AF561 AB573:AF573 AB576:AF578 AB579:AB580 AB582:AB583 AB589:AB594 AB596:AC596 AB603:AF603 AB605:AB606 AB608:AF608 AB615:AF616 AB620:AF620 AB621:AB622 AB623:AF623 AB625:AF628 AB630:AF630 AB631:AB635 AB637:AF646 AB650:AF650 AB651:AB653 AB655:AF657 AB658:AB659 AB661:AF662 AB673:AF678 AB680:AF681 AB688:AE690 AB691 AB693:AB701 AB702:AF702 AB718:AB745 AB762:AF763 AB772:AF773 AB782:AD782 AB783 AB790:AF790 AB796:AB797 AB801:AF802 AB806:AB810 AB811:AF811 AB813:AB822 AB823:AE823 AB825:AF829 AB834:AB835 AB837:AB844 AB848:AF848 AB849:AB853 AB865:AF865 AB867:AF867 AB868:AB871 AB874:AB876 AB882:AE882 AB883:AB884 AB888:AB898 AB900:AF900 AB916:AB920 AB923 AB927:AB933 AB947:AD947 AB949:AB952 AB954:AB956 AB958:AB959 AB991:AB1005 AB1007:AB1018 AB1019:AC1019 AB1020:AB1021 AB1024 AB1031:AB1040 AB1042:AB1043 AB1045:AB1047 AB1049:AB1054 AB1085:AB1092 AB1103 AB1106:AB1112 AB1117:AB1132 AB1136 AB1138:AB1140 AB1142:AB1144 AB1208:AB1219 AB1222:AB1234 AB1238 AB1251:AB1254 AB1258:AB1260 AB1262:AB1274 AB1277:AB1289 AB1291:AB1293 AB1295:AB1324 AB1326 AB1332:AB1335 AB1338:AB1344 AB1353:AB1364 AB1443:AB1444 AB1467:AB1481 AB1483:AB1486 AB1488:AB1502 AB1571:AC1571 AB1572:AB1577 AB1579:AB1581 AB1583:AB1584 AB1590:AB1598 AB1600:AB1601 AB1603 AB1606:AB1610 AB1613 AB1615:AB1616 AB1617:AC1617 AB1618:AB1620 AB1622:AB1625 AB1636:AB1643 AB1696:AB1701 AB1730:AB1754 AB1755:AC1755 AB1756 AB1758:AB1794 AB1795:AC1795 AB1796:AB1798 AB1799:AC1799 AB1842:AB1846 AB1848:AB1854 AB1856:AB1862 AB1864:AB1866 AB1868:AB1881 AB1927:AC1927 AB1928 AB1930:AB1943 AB1945 AB1950 AB1952 AB1977:AB1990 AB1993:AB2011 AB2013:AB2059 AB2179:AF2183 AB2187:AF2188 AB2307:AB2308 AB2311:AB2312 AC503:AF503 AC508:AF508 AC510:AF510 AC514:AF514 AC516:AF517 AC519:AF519 AC520:AE520 AC531:AF539 AC555:AF556 AC558:AF560 AC579:AF579 AC582:AE582 AC583:AF583 AC589:AF590 AC592:AF594 AC597:AF597 AC599:AF599 AC600:AE600 AC601:AF601 AC606:AF606 AC621:AF621 AC631:AF631 AC633:AF635 AC651:AE651 AC652:AF653 AC663:AF664 AC670:AF672 AC683:AE686 AC693:AE695 AC697:AE698 AC699:AF701 AC709:AF709 AC711:AF711 AC718:AF719 AC720:AE720 AC731:AE731 AC734:AE734 AC743:AF743 AC745:AF745 AC748:AF752 AC753:AE753 AC755:AF757 AC758:AE758 AC761:AF761 AC791:AF791 AC792:AC793 AC808:AF810 AC813:AF813 AC834:AE834 AC837:AF837 AC839:AF841 AC853:AE853 AC855:AF855 AC860:AF860 AC868:AF868 AC877:AF877 AC888:AF888 AC893:AF895 AC901:AF901 AC903:AF904 AC916:AF916 AC918:AF918 AC926:AF928 AC931:AF933 AC937:AF937 AC943:AE943 AC944 AC945:AE945 AC946:AD946 AC1020 AC1043:AF1043 AC1064 AC1437:AC1439 AC1651:AF1651 AC1693 AC1937:AF1937 AC2184:AF2185 AC2344 AD506:AF506 AD512 AD515:AF515 AD528:AF528 AD530 AD554:AF554 AD580:AE580 AD591:AF591 AD605:AF605 AD622:AF622 AD658:AF659 AD666:AF669 AD696:AE696 AD713:AF713 AD716:AF716 AD721:AE722 AD740:AF742 AD744:AF744 AD754:AF754 AD776:AF776 AD783:AF783 AD792:AF795 AD806:AF807 AD812:AF812 AD833:AE833 AD838:AF838 AD842:AF842 AD849:AF850 AD851:AE852 AD856:AF859 AD863:AF864 AD866:AF866 AD869:AF871 AD874:AF876 AD883:AF884 AD889:AF892 AD897:AE897 AD898:AF898 AD902:AF902 AD905:AF907 AD910:AF910 AD912:AF915 AD917:AF917 AD920:AF920 AD921:AE921 AD922:AF923 AD925:AF925 AD929:AE929 AD930:AF930 AD934:AE934 AD935:AF936 AD938:AF938 AD1547:AF1547 AD1892:AF1892 AE596:AF596 AE771:AF771 AE944 AF511:AF512 AF529:AF530 AF564 AF665 AF682:AF698 AF780:AF782 AF797:AF798 AF830 AF833:AF836 AF887">
    <cfRule type="expression" dxfId="4" priority="646" stopIfTrue="1">
      <formula>#REF!="Confidential"</formula>
    </cfRule>
  </conditionalFormatting>
  <conditionalFormatting sqref="AB34:AB40">
    <cfRule type="expression" dxfId="4" priority="647" stopIfTrue="1">
      <formula>#REF!="Confidential"</formula>
    </cfRule>
  </conditionalFormatting>
  <conditionalFormatting sqref="AB87">
    <cfRule type="expression" dxfId="4" priority="648" stopIfTrue="1">
      <formula>#REF!="Confidential"</formula>
    </cfRule>
  </conditionalFormatting>
  <conditionalFormatting sqref="AB97">
    <cfRule type="expression" dxfId="4" priority="649" stopIfTrue="1">
      <formula>#REF!="Confidential"</formula>
    </cfRule>
  </conditionalFormatting>
  <conditionalFormatting sqref="AB191:AB197">
    <cfRule type="expression" dxfId="4" priority="650" stopIfTrue="1">
      <formula>#REF!="Confidential"</formula>
    </cfRule>
  </conditionalFormatting>
  <conditionalFormatting sqref="AB228:AB233">
    <cfRule type="expression" dxfId="4" priority="651" stopIfTrue="1">
      <formula>#REF!="Confidential"</formula>
    </cfRule>
  </conditionalFormatting>
  <conditionalFormatting sqref="AB467">
    <cfRule type="expression" dxfId="4" priority="652" stopIfTrue="1">
      <formula>#REF!="Confidential"</formula>
    </cfRule>
  </conditionalFormatting>
  <conditionalFormatting sqref="AB476:AB478">
    <cfRule type="expression" dxfId="4" priority="653" stopIfTrue="1">
      <formula>#REF!="Confidential"</formula>
    </cfRule>
  </conditionalFormatting>
  <conditionalFormatting sqref="AB528">
    <cfRule type="expression" dxfId="4" priority="654" stopIfTrue="1">
      <formula>#REF!="Confidential"</formula>
    </cfRule>
  </conditionalFormatting>
  <conditionalFormatting sqref="AB530:AB540">
    <cfRule type="expression" dxfId="4" priority="655" stopIfTrue="1">
      <formula>#REF!="Confidential"</formula>
    </cfRule>
  </conditionalFormatting>
  <conditionalFormatting sqref="AB558:AB560">
    <cfRule type="expression" dxfId="4" priority="656" stopIfTrue="1">
      <formula>#REF!="Confidential"</formula>
    </cfRule>
  </conditionalFormatting>
  <conditionalFormatting sqref="AB617">
    <cfRule type="expression" dxfId="4" priority="657" stopIfTrue="1">
      <formula>#REF!="Confidential"</formula>
    </cfRule>
  </conditionalFormatting>
  <conditionalFormatting sqref="AB647">
    <cfRule type="expression" dxfId="4" priority="658" stopIfTrue="1">
      <formula>#REF!="Confidential"</formula>
    </cfRule>
  </conditionalFormatting>
  <conditionalFormatting sqref="AB683:AB686">
    <cfRule type="expression" dxfId="4" priority="659" stopIfTrue="1">
      <formula>#REF!="Confidential"</formula>
    </cfRule>
  </conditionalFormatting>
  <conditionalFormatting sqref="AB689">
    <cfRule type="expression" dxfId="4" priority="660" stopIfTrue="1">
      <formula>#REF!="Confidential"</formula>
    </cfRule>
  </conditionalFormatting>
  <conditionalFormatting sqref="AB709">
    <cfRule type="expression" dxfId="4" priority="661" stopIfTrue="1">
      <formula>#REF!="Confidential"</formula>
    </cfRule>
  </conditionalFormatting>
  <conditionalFormatting sqref="AB791:AB793">
    <cfRule type="expression" dxfId="4" priority="662" stopIfTrue="1">
      <formula>#REF!="Confidential"</formula>
    </cfRule>
  </conditionalFormatting>
  <conditionalFormatting sqref="AB858:AB864">
    <cfRule type="expression" dxfId="4" priority="663" stopIfTrue="1">
      <formula>#REF!="Confidential"</formula>
    </cfRule>
  </conditionalFormatting>
  <conditionalFormatting sqref="AB866">
    <cfRule type="expression" dxfId="4" priority="664" stopIfTrue="1">
      <formula>#REF!="Confidential"</formula>
    </cfRule>
  </conditionalFormatting>
  <conditionalFormatting sqref="AB901:AB902">
    <cfRule type="expression" dxfId="4" priority="665" stopIfTrue="1">
      <formula>#REF!="Confidential"</formula>
    </cfRule>
  </conditionalFormatting>
  <conditionalFormatting sqref="AB904:AB914">
    <cfRule type="expression" dxfId="4" priority="666" stopIfTrue="1">
      <formula>#REF!="Confidential"</formula>
    </cfRule>
  </conditionalFormatting>
  <conditionalFormatting sqref="AB925">
    <cfRule type="expression" dxfId="4" priority="667" stopIfTrue="1">
      <formula>#REF!="Confidential"</formula>
    </cfRule>
  </conditionalFormatting>
  <conditionalFormatting sqref="AB943">
    <cfRule type="expression" dxfId="4" priority="668" stopIfTrue="1">
      <formula>#REF!="Confidential"</formula>
    </cfRule>
  </conditionalFormatting>
  <conditionalFormatting sqref="AB961:AB965">
    <cfRule type="expression" dxfId="4" priority="669" stopIfTrue="1">
      <formula>#REF!="Confidential"</formula>
    </cfRule>
  </conditionalFormatting>
  <conditionalFormatting sqref="AB968:AB989">
    <cfRule type="expression" dxfId="4" priority="670" stopIfTrue="1">
      <formula>#REF!="Confidential"</formula>
    </cfRule>
  </conditionalFormatting>
  <conditionalFormatting sqref="AB1029">
    <cfRule type="expression" dxfId="4" priority="671" stopIfTrue="1">
      <formula>#REF!="Confidential"</formula>
    </cfRule>
  </conditionalFormatting>
  <conditionalFormatting sqref="AB1095:AB1101">
    <cfRule type="expression" dxfId="4" priority="672" stopIfTrue="1">
      <formula>#REF!="Confidential"</formula>
    </cfRule>
  </conditionalFormatting>
  <conditionalFormatting sqref="AB1114:AB1115">
    <cfRule type="expression" dxfId="4" priority="673" stopIfTrue="1">
      <formula>#REF!="Confidential"</formula>
    </cfRule>
  </conditionalFormatting>
  <conditionalFormatting sqref="AB1134">
    <cfRule type="expression" dxfId="4" priority="674" stopIfTrue="1">
      <formula>#REF!="Confidential"</formula>
    </cfRule>
  </conditionalFormatting>
  <conditionalFormatting sqref="AB1205:AB1206">
    <cfRule type="expression" dxfId="4" priority="675" stopIfTrue="1">
      <formula>#REF!="Confidential"</formula>
    </cfRule>
  </conditionalFormatting>
  <conditionalFormatting sqref="AB1240:AB1244">
    <cfRule type="expression" dxfId="4" priority="676" stopIfTrue="1">
      <formula>#REF!="Confidential"</formula>
    </cfRule>
  </conditionalFormatting>
  <conditionalFormatting sqref="AB1249">
    <cfRule type="expression" dxfId="4" priority="677" stopIfTrue="1">
      <formula>#REF!="Confidential"</formula>
    </cfRule>
  </conditionalFormatting>
  <conditionalFormatting sqref="AB1328:AB1330">
    <cfRule type="expression" dxfId="4" priority="678" stopIfTrue="1">
      <formula>#REF!="Confidential"</formula>
    </cfRule>
  </conditionalFormatting>
  <conditionalFormatting sqref="AB1346">
    <cfRule type="expression" dxfId="4" priority="679" stopIfTrue="1">
      <formula>#REF!="Confidential"</formula>
    </cfRule>
  </conditionalFormatting>
  <conditionalFormatting sqref="AB1368:AB1371">
    <cfRule type="expression" dxfId="4" priority="680" stopIfTrue="1">
      <formula>#REF!="Confidential"</formula>
    </cfRule>
  </conditionalFormatting>
  <conditionalFormatting sqref="AB1373:AB1417">
    <cfRule type="expression" dxfId="4" priority="681" stopIfTrue="1">
      <formula>#REF!="Confidential"</formula>
    </cfRule>
  </conditionalFormatting>
  <conditionalFormatting sqref="AB1441">
    <cfRule type="expression" dxfId="4" priority="682" stopIfTrue="1">
      <formula>#REF!="Confidential"</formula>
    </cfRule>
  </conditionalFormatting>
  <conditionalFormatting sqref="AB1450:AB1458">
    <cfRule type="expression" dxfId="4" priority="683" stopIfTrue="1">
      <formula>#REF!="Confidential"</formula>
    </cfRule>
  </conditionalFormatting>
  <conditionalFormatting sqref="AB1504:AB1507">
    <cfRule type="expression" dxfId="4" priority="684" stopIfTrue="1">
      <formula>#REF!="Confidential"</formula>
    </cfRule>
  </conditionalFormatting>
  <conditionalFormatting sqref="AB1509">
    <cfRule type="expression" dxfId="4" priority="685" stopIfTrue="1">
      <formula>#REF!="Confidential"</formula>
    </cfRule>
  </conditionalFormatting>
  <conditionalFormatting sqref="AB1543:AB1570">
    <cfRule type="expression" dxfId="4" priority="686" stopIfTrue="1">
      <formula>#REF!="Confidential"</formula>
    </cfRule>
  </conditionalFormatting>
  <conditionalFormatting sqref="AB1586:AB1588">
    <cfRule type="expression" dxfId="4" priority="687" stopIfTrue="1">
      <formula>#REF!="Confidential"</formula>
    </cfRule>
  </conditionalFormatting>
  <conditionalFormatting sqref="AB1627:AB1630">
    <cfRule type="expression" dxfId="4" priority="688" stopIfTrue="1">
      <formula>#REF!="Confidential"</formula>
    </cfRule>
  </conditionalFormatting>
  <conditionalFormatting sqref="AB1633">
    <cfRule type="expression" dxfId="4" priority="689" stopIfTrue="1">
      <formula>#REF!="Confidential"</formula>
    </cfRule>
  </conditionalFormatting>
  <conditionalFormatting sqref="AB1662:AB1693">
    <cfRule type="expression" dxfId="4" priority="690" stopIfTrue="1">
      <formula>#REF!="Confidential"</formula>
    </cfRule>
  </conditionalFormatting>
  <conditionalFormatting sqref="AB1703:AB1717">
    <cfRule type="expression" dxfId="4" priority="691" stopIfTrue="1">
      <formula>#REF!="Confidential"</formula>
    </cfRule>
  </conditionalFormatting>
  <conditionalFormatting sqref="AB1800:AB1839">
    <cfRule type="expression" dxfId="4" priority="692" stopIfTrue="1">
      <formula>#REF!="Confidential"</formula>
    </cfRule>
  </conditionalFormatting>
  <conditionalFormatting sqref="AB1901:AB1926 AB2190:AB2212 AB2216:AB2217 AB2241 AB2243:AB2246 AB2284:AB2285">
    <cfRule type="expression" dxfId="4" priority="693" stopIfTrue="1">
      <formula>#REF!="Confidential"</formula>
    </cfRule>
  </conditionalFormatting>
  <conditionalFormatting sqref="AB1954:AB1971">
    <cfRule type="expression" dxfId="4" priority="694" stopIfTrue="1">
      <formula>#REF!="Confidential"</formula>
    </cfRule>
  </conditionalFormatting>
  <conditionalFormatting sqref="AB1974:AB1975">
    <cfRule type="expression" dxfId="4" priority="695" stopIfTrue="1">
      <formula>#REF!="Confidential"</formula>
    </cfRule>
  </conditionalFormatting>
  <conditionalFormatting sqref="AB2184:AB2186">
    <cfRule type="expression" dxfId="4" priority="696" stopIfTrue="1">
      <formula>#REF!="Confidential"</formula>
    </cfRule>
  </conditionalFormatting>
  <conditionalFormatting sqref="AB2220:AB2235">
    <cfRule type="expression" dxfId="4" priority="697" stopIfTrue="1">
      <formula>#REF!="Confidential"</formula>
    </cfRule>
  </conditionalFormatting>
  <conditionalFormatting sqref="AB2249:AB2282">
    <cfRule type="expression" dxfId="4" priority="698" stopIfTrue="1">
      <formula>#REF!="Confidential"</formula>
    </cfRule>
  </conditionalFormatting>
  <conditionalFormatting sqref="AB2287:AB2288">
    <cfRule type="expression" dxfId="4" priority="699" stopIfTrue="1">
      <formula>#REF!="Confidential"</formula>
    </cfRule>
  </conditionalFormatting>
  <conditionalFormatting sqref="AB2290:AB2292">
    <cfRule type="expression" dxfId="4" priority="700" stopIfTrue="1">
      <formula>#REF!="Confidential"</formula>
    </cfRule>
  </conditionalFormatting>
  <conditionalFormatting sqref="AB2296:AB2298">
    <cfRule type="expression" dxfId="4" priority="701" stopIfTrue="1">
      <formula>#REF!="Confidential"</formula>
    </cfRule>
  </conditionalFormatting>
  <conditionalFormatting sqref="AB2300:AB2302">
    <cfRule type="expression" dxfId="4" priority="702" stopIfTrue="1">
      <formula>#REF!="Confidential"</formula>
    </cfRule>
  </conditionalFormatting>
  <conditionalFormatting sqref="AB2304:AB2305">
    <cfRule type="expression" dxfId="4" priority="703" stopIfTrue="1">
      <formula>#REF!="Confidential"</formula>
    </cfRule>
  </conditionalFormatting>
  <conditionalFormatting sqref="AB2315:AB2324">
    <cfRule type="expression" dxfId="4" priority="704" stopIfTrue="1">
      <formula>#REF!="Confidential"</formula>
    </cfRule>
  </conditionalFormatting>
  <conditionalFormatting sqref="AB2326:AB2401">
    <cfRule type="expression" dxfId="4" priority="705" stopIfTrue="1">
      <formula>#REF!="Confidential"</formula>
    </cfRule>
  </conditionalFormatting>
  <conditionalFormatting sqref="AB2403:AB2410">
    <cfRule type="expression" dxfId="4" priority="706" stopIfTrue="1">
      <formula>#REF!="Confidential"</formula>
    </cfRule>
  </conditionalFormatting>
  <conditionalFormatting sqref="AB2412:AB2422">
    <cfRule type="expression" dxfId="4" priority="707" stopIfTrue="1">
      <formula>#REF!="Confidential"</formula>
    </cfRule>
  </conditionalFormatting>
  <conditionalFormatting sqref="AB2424:AB2425">
    <cfRule type="expression" dxfId="4" priority="708" stopIfTrue="1">
      <formula>#REF!="Confidential"</formula>
    </cfRule>
  </conditionalFormatting>
  <conditionalFormatting sqref="AB2428:AB2441">
    <cfRule type="expression" dxfId="4" priority="709" stopIfTrue="1">
      <formula>#REF!="Confidential"</formula>
    </cfRule>
  </conditionalFormatting>
  <conditionalFormatting sqref="AB259:AC259">
    <cfRule type="expression" dxfId="4" priority="710" stopIfTrue="1">
      <formula>#REF!="Confidential"</formula>
    </cfRule>
  </conditionalFormatting>
  <conditionalFormatting sqref="AB773:AC773">
    <cfRule type="expression" dxfId="4" priority="711" stopIfTrue="1">
      <formula>#REF!="Confidential"</formula>
    </cfRule>
  </conditionalFormatting>
  <conditionalFormatting sqref="AB776:AC776">
    <cfRule type="expression" dxfId="4" priority="712" stopIfTrue="1">
      <formula>#REF!="Confidential"</formula>
    </cfRule>
  </conditionalFormatting>
  <conditionalFormatting sqref="AB812:AC812">
    <cfRule type="expression" dxfId="4" priority="713" stopIfTrue="1">
      <formula>#REF!="Confidential"</formula>
    </cfRule>
  </conditionalFormatting>
  <conditionalFormatting sqref="AB833:AC833">
    <cfRule type="expression" dxfId="4" priority="714" stopIfTrue="1">
      <formula>#REF!="Confidential"</formula>
    </cfRule>
  </conditionalFormatting>
  <conditionalFormatting sqref="AB940:AC940">
    <cfRule type="expression" dxfId="4" priority="715" stopIfTrue="1">
      <formula>#REF!="Confidential"</formula>
    </cfRule>
  </conditionalFormatting>
  <conditionalFormatting sqref="AB953:AC953">
    <cfRule type="expression" dxfId="4" priority="716" stopIfTrue="1">
      <formula>#REF!="Confidential"</formula>
    </cfRule>
  </conditionalFormatting>
  <conditionalFormatting sqref="AB1022:AC1022">
    <cfRule type="expression" dxfId="4" priority="717" stopIfTrue="1">
      <formula>#REF!="Confidential"</formula>
    </cfRule>
  </conditionalFormatting>
  <conditionalFormatting sqref="AB1025:AC1025">
    <cfRule type="expression" dxfId="4" priority="718" stopIfTrue="1">
      <formula>#REF!="Confidential"</formula>
    </cfRule>
  </conditionalFormatting>
  <conditionalFormatting sqref="AB1041:AC1041">
    <cfRule type="expression" dxfId="4" priority="719" stopIfTrue="1">
      <formula>#REF!="Confidential"</formula>
    </cfRule>
  </conditionalFormatting>
  <conditionalFormatting sqref="AB1527:AC1527">
    <cfRule type="expression" dxfId="4" priority="720" stopIfTrue="1">
      <formula>#REF!="Confidential"</formula>
    </cfRule>
  </conditionalFormatting>
  <conditionalFormatting sqref="AB1599:AC1599">
    <cfRule type="expression" dxfId="4" priority="721" stopIfTrue="1">
      <formula>#REF!="Confidential"</formula>
    </cfRule>
  </conditionalFormatting>
  <conditionalFormatting sqref="AB1602:AC1602">
    <cfRule type="expression" dxfId="4" priority="722" stopIfTrue="1">
      <formula>#REF!="Confidential"</formula>
    </cfRule>
  </conditionalFormatting>
  <conditionalFormatting sqref="AB1612:AC1612">
    <cfRule type="expression" dxfId="4" priority="723" stopIfTrue="1">
      <formula>#REF!="Confidential"</formula>
    </cfRule>
  </conditionalFormatting>
  <conditionalFormatting sqref="AB1614:AC1614">
    <cfRule type="expression" dxfId="4" priority="724" stopIfTrue="1">
      <formula>#REF!="Confidential"</formula>
    </cfRule>
  </conditionalFormatting>
  <conditionalFormatting sqref="AB1621:AC1621">
    <cfRule type="expression" dxfId="4" priority="725" stopIfTrue="1">
      <formula>#REF!="Confidential"</formula>
    </cfRule>
  </conditionalFormatting>
  <conditionalFormatting sqref="AB1631:AC1631">
    <cfRule type="expression" dxfId="4" priority="726" stopIfTrue="1">
      <formula>#REF!="Confidential"</formula>
    </cfRule>
  </conditionalFormatting>
  <conditionalFormatting sqref="AB1644:AC1644">
    <cfRule type="expression" dxfId="4" priority="727" stopIfTrue="1">
      <formula>#REF!="Confidential"</formula>
    </cfRule>
  </conditionalFormatting>
  <conditionalFormatting sqref="AB1661:AC1661">
    <cfRule type="expression" dxfId="4" priority="728" stopIfTrue="1">
      <formula>#REF!="Confidential"</formula>
    </cfRule>
  </conditionalFormatting>
  <conditionalFormatting sqref="AB1847:AC1847">
    <cfRule type="expression" dxfId="4" priority="729" stopIfTrue="1">
      <formula>#REF!="Confidential"</formula>
    </cfRule>
  </conditionalFormatting>
  <conditionalFormatting sqref="AB1863:AC1863">
    <cfRule type="expression" dxfId="4" priority="730" stopIfTrue="1">
      <formula>#REF!="Confidential"</formula>
    </cfRule>
  </conditionalFormatting>
  <conditionalFormatting sqref="AB1867:AC1867">
    <cfRule type="expression" dxfId="4" priority="731" stopIfTrue="1">
      <formula>#REF!="Confidential"</formula>
    </cfRule>
  </conditionalFormatting>
  <conditionalFormatting sqref="AB1929:AC1929">
    <cfRule type="expression" dxfId="4" priority="732" stopIfTrue="1">
      <formula>#REF!="Confidential"</formula>
    </cfRule>
  </conditionalFormatting>
  <conditionalFormatting sqref="AB1944:AC1944">
    <cfRule type="expression" dxfId="4" priority="733" stopIfTrue="1">
      <formula>#REF!="Confidential"</formula>
    </cfRule>
  </conditionalFormatting>
  <conditionalFormatting sqref="AB1946:AC1946">
    <cfRule type="expression" dxfId="4" priority="734" stopIfTrue="1">
      <formula>#REF!="Confidential"</formula>
    </cfRule>
  </conditionalFormatting>
  <conditionalFormatting sqref="AB1951:AC1951">
    <cfRule type="expression" dxfId="4" priority="735" stopIfTrue="1">
      <formula>#REF!="Confidential"</formula>
    </cfRule>
  </conditionalFormatting>
  <conditionalFormatting sqref="AB1976:AC1976">
    <cfRule type="expression" dxfId="4" priority="736" stopIfTrue="1">
      <formula>#REF!="Confidential"</formula>
    </cfRule>
  </conditionalFormatting>
  <conditionalFormatting sqref="AB2283:AC2283">
    <cfRule type="expression" dxfId="4" priority="737" stopIfTrue="1">
      <formula>#REF!="Confidential"</formula>
    </cfRule>
  </conditionalFormatting>
  <conditionalFormatting sqref="AB2325:AC2325">
    <cfRule type="expression" dxfId="4" priority="738" stopIfTrue="1">
      <formula>#REF!="Confidential"</formula>
    </cfRule>
  </conditionalFormatting>
  <conditionalFormatting sqref="AB446:AE446">
    <cfRule type="expression" dxfId="4" priority="739" stopIfTrue="1">
      <formula>#REF!="Confidential"</formula>
    </cfRule>
  </conditionalFormatting>
  <conditionalFormatting sqref="AB564:AE564">
    <cfRule type="expression" dxfId="4" priority="740" stopIfTrue="1">
      <formula>#REF!="Confidential"</formula>
    </cfRule>
  </conditionalFormatting>
  <conditionalFormatting sqref="AB682:AE682">
    <cfRule type="expression" dxfId="4" priority="741" stopIfTrue="1">
      <formula>#REF!="Confidential"</formula>
    </cfRule>
  </conditionalFormatting>
  <conditionalFormatting sqref="AB830:AE830">
    <cfRule type="expression" dxfId="4" priority="742" stopIfTrue="1">
      <formula>#REF!="Confidential"</formula>
    </cfRule>
  </conditionalFormatting>
  <conditionalFormatting sqref="AC17:AC18">
    <cfRule type="expression" dxfId="4" priority="743" stopIfTrue="1">
      <formula>#REF!="Confidential"</formula>
    </cfRule>
  </conditionalFormatting>
  <conditionalFormatting sqref="AC45">
    <cfRule type="expression" dxfId="4" priority="744" stopIfTrue="1">
      <formula>#REF!="Confidential"</formula>
    </cfRule>
  </conditionalFormatting>
  <conditionalFormatting sqref="AC163">
    <cfRule type="expression" dxfId="4" priority="745" stopIfTrue="1">
      <formula>#REF!="Confidential"</formula>
    </cfRule>
  </conditionalFormatting>
  <conditionalFormatting sqref="AC282:AC283">
    <cfRule type="expression" dxfId="4" priority="746" stopIfTrue="1">
      <formula>#REF!="Confidential"</formula>
    </cfRule>
  </conditionalFormatting>
  <conditionalFormatting sqref="AC308">
    <cfRule type="expression" dxfId="4" priority="747" stopIfTrue="1">
      <formula>#REF!="Confidential"</formula>
    </cfRule>
  </conditionalFormatting>
  <conditionalFormatting sqref="AC311">
    <cfRule type="expression" dxfId="4" priority="748" stopIfTrue="1">
      <formula>#REF!="Confidential"</formula>
    </cfRule>
  </conditionalFormatting>
  <conditionalFormatting sqref="AC379">
    <cfRule type="expression" dxfId="4" priority="749" stopIfTrue="1">
      <formula>#REF!="Confidential"</formula>
    </cfRule>
  </conditionalFormatting>
  <conditionalFormatting sqref="AC423">
    <cfRule type="expression" dxfId="4" priority="750" stopIfTrue="1">
      <formula>#REF!="Confidential"</formula>
    </cfRule>
  </conditionalFormatting>
  <conditionalFormatting sqref="AC425">
    <cfRule type="expression" dxfId="4" priority="751" stopIfTrue="1">
      <formula>#REF!="Confidential"</formula>
    </cfRule>
  </conditionalFormatting>
  <conditionalFormatting sqref="AC437">
    <cfRule type="expression" dxfId="4" priority="752" stopIfTrue="1">
      <formula>#REF!="Confidential"</formula>
    </cfRule>
  </conditionalFormatting>
  <conditionalFormatting sqref="AC449">
    <cfRule type="expression" dxfId="4" priority="753" stopIfTrue="1">
      <formula>#REF!="Confidential"</formula>
    </cfRule>
  </conditionalFormatting>
  <conditionalFormatting sqref="AC458">
    <cfRule type="expression" dxfId="4" priority="754" stopIfTrue="1">
      <formula>#REF!="Confidential"</formula>
    </cfRule>
  </conditionalFormatting>
  <conditionalFormatting sqref="AC477">
    <cfRule type="expression" dxfId="4" priority="755" stopIfTrue="1">
      <formula>#REF!="Confidential"</formula>
    </cfRule>
  </conditionalFormatting>
  <conditionalFormatting sqref="AC483">
    <cfRule type="expression" dxfId="4" priority="756" stopIfTrue="1">
      <formula>#REF!="Confidential"</formula>
    </cfRule>
  </conditionalFormatting>
  <conditionalFormatting sqref="AC494">
    <cfRule type="expression" dxfId="4" priority="757" stopIfTrue="1">
      <formula>#REF!="Confidential"</formula>
    </cfRule>
  </conditionalFormatting>
  <conditionalFormatting sqref="AC512">
    <cfRule type="expression" dxfId="4" priority="758" stopIfTrue="1">
      <formula>#REF!="Confidential"</formula>
    </cfRule>
  </conditionalFormatting>
  <conditionalFormatting sqref="AC542">
    <cfRule type="expression" dxfId="4" priority="759" stopIfTrue="1">
      <formula>#REF!="Confidential"</formula>
    </cfRule>
  </conditionalFormatting>
  <conditionalFormatting sqref="AC554">
    <cfRule type="expression" dxfId="4" priority="760" stopIfTrue="1">
      <formula>#REF!="Confidential"</formula>
    </cfRule>
  </conditionalFormatting>
  <conditionalFormatting sqref="AC591">
    <cfRule type="expression" dxfId="4" priority="761" stopIfTrue="1">
      <formula>#REF!="Confidential"</formula>
    </cfRule>
  </conditionalFormatting>
  <conditionalFormatting sqref="AC622">
    <cfRule type="expression" dxfId="4" priority="762" stopIfTrue="1">
      <formula>#REF!="Confidential"</formula>
    </cfRule>
  </conditionalFormatting>
  <conditionalFormatting sqref="AC647">
    <cfRule type="expression" dxfId="4" priority="763" stopIfTrue="1">
      <formula>#REF!="Confidential"</formula>
    </cfRule>
  </conditionalFormatting>
  <conditionalFormatting sqref="AC658:AC659">
    <cfRule type="expression" dxfId="4" priority="764" stopIfTrue="1">
      <formula>#REF!="Confidential"</formula>
    </cfRule>
  </conditionalFormatting>
  <conditionalFormatting sqref="AC667:AC669">
    <cfRule type="expression" dxfId="4" priority="765" stopIfTrue="1">
      <formula>#REF!="Confidential"</formula>
    </cfRule>
  </conditionalFormatting>
  <conditionalFormatting sqref="AC721:AC722">
    <cfRule type="expression" dxfId="4" priority="766" stopIfTrue="1">
      <formula>#REF!="Confidential"</formula>
    </cfRule>
  </conditionalFormatting>
  <conditionalFormatting sqref="AC732:AC733">
    <cfRule type="expression" dxfId="4" priority="767" stopIfTrue="1">
      <formula>#REF!="Confidential"</formula>
    </cfRule>
  </conditionalFormatting>
  <conditionalFormatting sqref="AC744">
    <cfRule type="expression" dxfId="4" priority="768" stopIfTrue="1">
      <formula>#REF!="Confidential"</formula>
    </cfRule>
  </conditionalFormatting>
  <conditionalFormatting sqref="AC754">
    <cfRule type="expression" dxfId="4" priority="769" stopIfTrue="1">
      <formula>#REF!="Confidential"</formula>
    </cfRule>
  </conditionalFormatting>
  <conditionalFormatting sqref="AC783">
    <cfRule type="expression" dxfId="4" priority="770" stopIfTrue="1">
      <formula>#REF!="Confidential"</formula>
    </cfRule>
  </conditionalFormatting>
  <conditionalFormatting sqref="AC796:AC797">
    <cfRule type="expression" dxfId="4" priority="771" stopIfTrue="1">
      <formula>#REF!="Confidential"</formula>
    </cfRule>
  </conditionalFormatting>
  <conditionalFormatting sqref="AC806:AC807">
    <cfRule type="expression" dxfId="4" priority="772" stopIfTrue="1">
      <formula>#REF!="Confidential"</formula>
    </cfRule>
  </conditionalFormatting>
  <conditionalFormatting sqref="AC835">
    <cfRule type="expression" dxfId="4" priority="773" stopIfTrue="1">
      <formula>#REF!="Confidential"</formula>
    </cfRule>
  </conditionalFormatting>
  <conditionalFormatting sqref="AC838">
    <cfRule type="expression" dxfId="4" priority="774" stopIfTrue="1">
      <formula>#REF!="Confidential"</formula>
    </cfRule>
  </conditionalFormatting>
  <conditionalFormatting sqref="AC842:AC844">
    <cfRule type="expression" dxfId="4" priority="775" stopIfTrue="1">
      <formula>#REF!="Confidential"</formula>
    </cfRule>
  </conditionalFormatting>
  <conditionalFormatting sqref="AC849">
    <cfRule type="expression" dxfId="4" priority="776" stopIfTrue="1">
      <formula>#REF!="Confidential"</formula>
    </cfRule>
  </conditionalFormatting>
  <conditionalFormatting sqref="AC851">
    <cfRule type="expression" dxfId="4" priority="777" stopIfTrue="1">
      <formula>#REF!="Confidential"</formula>
    </cfRule>
  </conditionalFormatting>
  <conditionalFormatting sqref="AC856">
    <cfRule type="expression" dxfId="4" priority="778" stopIfTrue="1">
      <formula>#REF!="Confidential"</formula>
    </cfRule>
  </conditionalFormatting>
  <conditionalFormatting sqref="AC858:AC859">
    <cfRule type="expression" dxfId="4" priority="779" stopIfTrue="1">
      <formula>#REF!="Confidential"</formula>
    </cfRule>
  </conditionalFormatting>
  <conditionalFormatting sqref="AC874">
    <cfRule type="expression" dxfId="4" priority="780" stopIfTrue="1">
      <formula>#REF!="Confidential"</formula>
    </cfRule>
  </conditionalFormatting>
  <conditionalFormatting sqref="AC883:AC884">
    <cfRule type="expression" dxfId="4" priority="781" stopIfTrue="1">
      <formula>#REF!="Confidential"</formula>
    </cfRule>
  </conditionalFormatting>
  <conditionalFormatting sqref="AC892">
    <cfRule type="expression" dxfId="4" priority="782" stopIfTrue="1">
      <formula>#REF!="Confidential"</formula>
    </cfRule>
  </conditionalFormatting>
  <conditionalFormatting sqref="AC923">
    <cfRule type="expression" dxfId="4" priority="783" stopIfTrue="1">
      <formula>#REF!="Confidential"</formula>
    </cfRule>
  </conditionalFormatting>
  <conditionalFormatting sqref="AC925">
    <cfRule type="expression" dxfId="4" priority="784" stopIfTrue="1">
      <formula>#REF!="Confidential"</formula>
    </cfRule>
  </conditionalFormatting>
  <conditionalFormatting sqref="AC930">
    <cfRule type="expression" dxfId="4" priority="785" stopIfTrue="1">
      <formula>#REF!="Confidential"</formula>
    </cfRule>
  </conditionalFormatting>
  <conditionalFormatting sqref="AC934">
    <cfRule type="expression" dxfId="4" priority="786" stopIfTrue="1">
      <formula>#REF!="Confidential"</formula>
    </cfRule>
  </conditionalFormatting>
  <conditionalFormatting sqref="AC950:AC952">
    <cfRule type="expression" dxfId="4" priority="787" stopIfTrue="1">
      <formula>#REF!="Confidential"</formula>
    </cfRule>
  </conditionalFormatting>
  <conditionalFormatting sqref="AC955:AC956">
    <cfRule type="expression" dxfId="4" priority="788" stopIfTrue="1">
      <formula>#REF!="Confidential"</formula>
    </cfRule>
  </conditionalFormatting>
  <conditionalFormatting sqref="AC958:AC959">
    <cfRule type="expression" dxfId="4" priority="789" stopIfTrue="1">
      <formula>#REF!="Confidential"</formula>
    </cfRule>
  </conditionalFormatting>
  <conditionalFormatting sqref="AC961:AC962">
    <cfRule type="expression" dxfId="4" priority="790" stopIfTrue="1">
      <formula>#REF!="Confidential"</formula>
    </cfRule>
  </conditionalFormatting>
  <conditionalFormatting sqref="AC964:AC965">
    <cfRule type="expression" dxfId="4" priority="791" stopIfTrue="1">
      <formula>#REF!="Confidential"</formula>
    </cfRule>
  </conditionalFormatting>
  <conditionalFormatting sqref="AC967">
    <cfRule type="expression" dxfId="4" priority="792" stopIfTrue="1">
      <formula>#REF!="Confidential"</formula>
    </cfRule>
  </conditionalFormatting>
  <conditionalFormatting sqref="AC970">
    <cfRule type="expression" dxfId="4" priority="793" stopIfTrue="1">
      <formula>#REF!="Confidential"</formula>
    </cfRule>
  </conditionalFormatting>
  <conditionalFormatting sqref="AC973">
    <cfRule type="expression" dxfId="4" priority="794" stopIfTrue="1">
      <formula>#REF!="Confidential"</formula>
    </cfRule>
  </conditionalFormatting>
  <conditionalFormatting sqref="AC984">
    <cfRule type="expression" dxfId="4" priority="795" stopIfTrue="1">
      <formula>#REF!="Confidential"</formula>
    </cfRule>
  </conditionalFormatting>
  <conditionalFormatting sqref="AC987:AC988">
    <cfRule type="expression" dxfId="4" priority="796" stopIfTrue="1">
      <formula>#REF!="Confidential"</formula>
    </cfRule>
  </conditionalFormatting>
  <conditionalFormatting sqref="AC1000:AC1001">
    <cfRule type="expression" dxfId="4" priority="797" stopIfTrue="1">
      <formula>#REF!="Confidential"</formula>
    </cfRule>
  </conditionalFormatting>
  <conditionalFormatting sqref="AC1011:AC1016">
    <cfRule type="expression" dxfId="4" priority="798" stopIfTrue="1">
      <formula>#REF!="Confidential"</formula>
    </cfRule>
  </conditionalFormatting>
  <conditionalFormatting sqref="AC1018">
    <cfRule type="expression" dxfId="4" priority="799" stopIfTrue="1">
      <formula>#REF!="Confidential"</formula>
    </cfRule>
  </conditionalFormatting>
  <conditionalFormatting sqref="AC1046:AC1047">
    <cfRule type="expression" dxfId="4" priority="800" stopIfTrue="1">
      <formula>#REF!="Confidential"</formula>
    </cfRule>
  </conditionalFormatting>
  <conditionalFormatting sqref="AC1052:AC1054">
    <cfRule type="expression" dxfId="4" priority="801" stopIfTrue="1">
      <formula>#REF!="Confidential"</formula>
    </cfRule>
  </conditionalFormatting>
  <conditionalFormatting sqref="AC1071">
    <cfRule type="expression" dxfId="4" priority="802" stopIfTrue="1">
      <formula>#REF!="Confidential"</formula>
    </cfRule>
  </conditionalFormatting>
  <conditionalFormatting sqref="AC1092">
    <cfRule type="expression" dxfId="4" priority="803" stopIfTrue="1">
      <formula>#REF!="Confidential"</formula>
    </cfRule>
  </conditionalFormatting>
  <conditionalFormatting sqref="AC1106:AC1112">
    <cfRule type="expression" dxfId="4" priority="804" stopIfTrue="1">
      <formula>#REF!="Confidential"</formula>
    </cfRule>
  </conditionalFormatting>
  <conditionalFormatting sqref="AC1117:AC1120">
    <cfRule type="expression" dxfId="4" priority="805" stopIfTrue="1">
      <formula>#REF!="Confidential"</formula>
    </cfRule>
  </conditionalFormatting>
  <conditionalFormatting sqref="AC1123:AC1125">
    <cfRule type="expression" dxfId="4" priority="806" stopIfTrue="1">
      <formula>#REF!="Confidential"</formula>
    </cfRule>
  </conditionalFormatting>
  <conditionalFormatting sqref="AC1127:AC1128">
    <cfRule type="expression" dxfId="4" priority="807" stopIfTrue="1">
      <formula>#REF!="Confidential"</formula>
    </cfRule>
  </conditionalFormatting>
  <conditionalFormatting sqref="AC1131:AC1132">
    <cfRule type="expression" dxfId="4" priority="808" stopIfTrue="1">
      <formula>#REF!="Confidential"</formula>
    </cfRule>
  </conditionalFormatting>
  <conditionalFormatting sqref="AC1136">
    <cfRule type="expression" dxfId="4" priority="809" stopIfTrue="1">
      <formula>#REF!="Confidential"</formula>
    </cfRule>
  </conditionalFormatting>
  <conditionalFormatting sqref="AC1140">
    <cfRule type="expression" dxfId="4" priority="810" stopIfTrue="1">
      <formula>#REF!="Confidential"</formula>
    </cfRule>
  </conditionalFormatting>
  <conditionalFormatting sqref="AC1142:AC1144">
    <cfRule type="expression" dxfId="4" priority="811" stopIfTrue="1">
      <formula>#REF!="Confidential"</formula>
    </cfRule>
  </conditionalFormatting>
  <conditionalFormatting sqref="AC1149:AC1153">
    <cfRule type="expression" dxfId="4" priority="812" stopIfTrue="1">
      <formula>#REF!="Confidential"</formula>
    </cfRule>
  </conditionalFormatting>
  <conditionalFormatting sqref="AC1155:AC1160">
    <cfRule type="expression" dxfId="4" priority="813" stopIfTrue="1">
      <formula>#REF!="Confidential"</formula>
    </cfRule>
  </conditionalFormatting>
  <conditionalFormatting sqref="AC1167:AC1168">
    <cfRule type="expression" dxfId="4" priority="814" stopIfTrue="1">
      <formula>#REF!="Confidential"</formula>
    </cfRule>
  </conditionalFormatting>
  <conditionalFormatting sqref="AC1205:AC1206">
    <cfRule type="expression" dxfId="4" priority="815" stopIfTrue="1">
      <formula>#REF!="Confidential"</formula>
    </cfRule>
  </conditionalFormatting>
  <conditionalFormatting sqref="AC1209:AC1211">
    <cfRule type="expression" dxfId="4" priority="816" stopIfTrue="1">
      <formula>#REF!="Confidential"</formula>
    </cfRule>
  </conditionalFormatting>
  <conditionalFormatting sqref="AC1225:AC1232">
    <cfRule type="expression" dxfId="4" priority="817" stopIfTrue="1">
      <formula>#REF!="Confidential"</formula>
    </cfRule>
  </conditionalFormatting>
  <conditionalFormatting sqref="AC1234:AC1238">
    <cfRule type="expression" dxfId="4" priority="818" stopIfTrue="1">
      <formula>#REF!="Confidential"</formula>
    </cfRule>
  </conditionalFormatting>
  <conditionalFormatting sqref="AC1240">
    <cfRule type="expression" dxfId="4" priority="819" stopIfTrue="1">
      <formula>#REF!="Confidential"</formula>
    </cfRule>
  </conditionalFormatting>
  <conditionalFormatting sqref="AC1243:AC1244">
    <cfRule type="expression" dxfId="4" priority="820" stopIfTrue="1">
      <formula>#REF!="Confidential"</formula>
    </cfRule>
  </conditionalFormatting>
  <conditionalFormatting sqref="AC1273">
    <cfRule type="expression" dxfId="4" priority="821" stopIfTrue="1">
      <formula>#REF!="Confidential"</formula>
    </cfRule>
  </conditionalFormatting>
  <conditionalFormatting sqref="AC1277:AC1286">
    <cfRule type="expression" dxfId="4" priority="822" stopIfTrue="1">
      <formula>#REF!="Confidential"</formula>
    </cfRule>
  </conditionalFormatting>
  <conditionalFormatting sqref="AC1288:AC1289">
    <cfRule type="expression" dxfId="4" priority="823" stopIfTrue="1">
      <formula>#REF!="Confidential"</formula>
    </cfRule>
  </conditionalFormatting>
  <conditionalFormatting sqref="AC1291">
    <cfRule type="expression" dxfId="4" priority="824" stopIfTrue="1">
      <formula>#REF!="Confidential"</formula>
    </cfRule>
  </conditionalFormatting>
  <conditionalFormatting sqref="AC1296">
    <cfRule type="expression" dxfId="4" priority="825" stopIfTrue="1">
      <formula>#REF!="Confidential"</formula>
    </cfRule>
  </conditionalFormatting>
  <conditionalFormatting sqref="AC1303:AC1304">
    <cfRule type="expression" dxfId="4" priority="826" stopIfTrue="1">
      <formula>#REF!="Confidential"</formula>
    </cfRule>
  </conditionalFormatting>
  <conditionalFormatting sqref="AC1307:AC1311">
    <cfRule type="expression" dxfId="4" priority="827" stopIfTrue="1">
      <formula>#REF!="Confidential"</formula>
    </cfRule>
  </conditionalFormatting>
  <conditionalFormatting sqref="AC1321">
    <cfRule type="expression" dxfId="4" priority="828" stopIfTrue="1">
      <formula>#REF!="Confidential"</formula>
    </cfRule>
  </conditionalFormatting>
  <conditionalFormatting sqref="AC1323:AC1324">
    <cfRule type="expression" dxfId="4" priority="829" stopIfTrue="1">
      <formula>#REF!="Confidential"</formula>
    </cfRule>
  </conditionalFormatting>
  <conditionalFormatting sqref="AC1326">
    <cfRule type="expression" dxfId="4" priority="830" stopIfTrue="1">
      <formula>#REF!="Confidential"</formula>
    </cfRule>
  </conditionalFormatting>
  <conditionalFormatting sqref="AC1328:AC1329">
    <cfRule type="expression" dxfId="4" priority="831" stopIfTrue="1">
      <formula>#REF!="Confidential"</formula>
    </cfRule>
  </conditionalFormatting>
  <conditionalFormatting sqref="AC1332:AC1334">
    <cfRule type="expression" dxfId="4" priority="832" stopIfTrue="1">
      <formula>#REF!="Confidential"</formula>
    </cfRule>
  </conditionalFormatting>
  <conditionalFormatting sqref="AC1338">
    <cfRule type="expression" dxfId="4" priority="833" stopIfTrue="1">
      <formula>#REF!="Confidential"</formula>
    </cfRule>
  </conditionalFormatting>
  <conditionalFormatting sqref="AC1353:AC1355">
    <cfRule type="expression" dxfId="4" priority="834" stopIfTrue="1">
      <formula>#REF!="Confidential"</formula>
    </cfRule>
  </conditionalFormatting>
  <conditionalFormatting sqref="AC1358:AC1359">
    <cfRule type="expression" dxfId="4" priority="835" stopIfTrue="1">
      <formula>#REF!="Confidential"</formula>
    </cfRule>
  </conditionalFormatting>
  <conditionalFormatting sqref="AC1363:AC1364">
    <cfRule type="expression" dxfId="4" priority="836" stopIfTrue="1">
      <formula>#REF!="Confidential"</formula>
    </cfRule>
  </conditionalFormatting>
  <conditionalFormatting sqref="AC1368:AC1371">
    <cfRule type="expression" dxfId="4" priority="837" stopIfTrue="1">
      <formula>#REF!="Confidential"</formula>
    </cfRule>
  </conditionalFormatting>
  <conditionalFormatting sqref="AC1375:AC1381">
    <cfRule type="expression" dxfId="4" priority="838" stopIfTrue="1">
      <formula>#REF!="Confidential"</formula>
    </cfRule>
  </conditionalFormatting>
  <conditionalFormatting sqref="AC1383">
    <cfRule type="expression" dxfId="4" priority="839" stopIfTrue="1">
      <formula>#REF!="Confidential"</formula>
    </cfRule>
  </conditionalFormatting>
  <conditionalFormatting sqref="AC1385:AC1389">
    <cfRule type="expression" dxfId="4" priority="840" stopIfTrue="1">
      <formula>#REF!="Confidential"</formula>
    </cfRule>
  </conditionalFormatting>
  <conditionalFormatting sqref="AC1410">
    <cfRule type="expression" dxfId="4" priority="841" stopIfTrue="1">
      <formula>#REF!="Confidential"</formula>
    </cfRule>
  </conditionalFormatting>
  <conditionalFormatting sqref="AC1412:AC1416">
    <cfRule type="expression" dxfId="4" priority="842" stopIfTrue="1">
      <formula>#REF!="Confidential"</formula>
    </cfRule>
  </conditionalFormatting>
  <conditionalFormatting sqref="AC1421:AC1422">
    <cfRule type="expression" dxfId="4" priority="843" stopIfTrue="1">
      <formula>#REF!="Confidential"</formula>
    </cfRule>
  </conditionalFormatting>
  <conditionalFormatting sqref="AC1424:AC1426">
    <cfRule type="expression" dxfId="4" priority="844" stopIfTrue="1">
      <formula>#REF!="Confidential"</formula>
    </cfRule>
  </conditionalFormatting>
  <conditionalFormatting sqref="AC1429:AC1432">
    <cfRule type="expression" dxfId="4" priority="845" stopIfTrue="1">
      <formula>#REF!="Confidential"</formula>
    </cfRule>
  </conditionalFormatting>
  <conditionalFormatting sqref="AC1434:AC1435">
    <cfRule type="expression" dxfId="4" priority="846" stopIfTrue="1">
      <formula>#REF!="Confidential"</formula>
    </cfRule>
  </conditionalFormatting>
  <conditionalFormatting sqref="AC1449">
    <cfRule type="expression" dxfId="4" priority="847" stopIfTrue="1">
      <formula>#REF!="Confidential"</formula>
    </cfRule>
  </conditionalFormatting>
  <conditionalFormatting sqref="AC1471">
    <cfRule type="expression" dxfId="4" priority="848" stopIfTrue="1">
      <formula>#REF!="Confidential"</formula>
    </cfRule>
  </conditionalFormatting>
  <conditionalFormatting sqref="AC1473">
    <cfRule type="expression" dxfId="4" priority="849" stopIfTrue="1">
      <formula>#REF!="Confidential"</formula>
    </cfRule>
  </conditionalFormatting>
  <conditionalFormatting sqref="AC1475:AC1478">
    <cfRule type="expression" dxfId="4" priority="850" stopIfTrue="1">
      <formula>#REF!="Confidential"</formula>
    </cfRule>
  </conditionalFormatting>
  <conditionalFormatting sqref="AC1480:AC1481">
    <cfRule type="expression" dxfId="4" priority="851" stopIfTrue="1">
      <formula>#REF!="Confidential"</formula>
    </cfRule>
  </conditionalFormatting>
  <conditionalFormatting sqref="AC1486">
    <cfRule type="expression" dxfId="4" priority="852" stopIfTrue="1">
      <formula>#REF!="Confidential"</formula>
    </cfRule>
  </conditionalFormatting>
  <conditionalFormatting sqref="AC1489:AC1490">
    <cfRule type="expression" dxfId="4" priority="853" stopIfTrue="1">
      <formula>#REF!="Confidential"</formula>
    </cfRule>
  </conditionalFormatting>
  <conditionalFormatting sqref="AC1512">
    <cfRule type="expression" dxfId="4" priority="854" stopIfTrue="1">
      <formula>#REF!="Confidential"</formula>
    </cfRule>
  </conditionalFormatting>
  <conditionalFormatting sqref="AC1537:AC1541">
    <cfRule type="expression" dxfId="4" priority="855" stopIfTrue="1">
      <formula>#REF!="Confidential"</formula>
    </cfRule>
  </conditionalFormatting>
  <conditionalFormatting sqref="AC1543:AC1545">
    <cfRule type="expression" dxfId="4" priority="856" stopIfTrue="1">
      <formula>#REF!="Confidential"</formula>
    </cfRule>
  </conditionalFormatting>
  <conditionalFormatting sqref="AC1556:AC1557">
    <cfRule type="expression" dxfId="4" priority="857" stopIfTrue="1">
      <formula>#REF!="Confidential"</formula>
    </cfRule>
  </conditionalFormatting>
  <conditionalFormatting sqref="AC1559:AC1563">
    <cfRule type="expression" dxfId="4" priority="858" stopIfTrue="1">
      <formula>#REF!="Confidential"</formula>
    </cfRule>
  </conditionalFormatting>
  <conditionalFormatting sqref="AC1566:AC1567">
    <cfRule type="expression" dxfId="4" priority="859" stopIfTrue="1">
      <formula>#REF!="Confidential"</formula>
    </cfRule>
  </conditionalFormatting>
  <conditionalFormatting sqref="AC1570">
    <cfRule type="expression" dxfId="4" priority="860" stopIfTrue="1">
      <formula>#REF!="Confidential"</formula>
    </cfRule>
  </conditionalFormatting>
  <conditionalFormatting sqref="AC1574:AC1576">
    <cfRule type="expression" dxfId="4" priority="861" stopIfTrue="1">
      <formula>#REF!="Confidential"</formula>
    </cfRule>
  </conditionalFormatting>
  <conditionalFormatting sqref="AC1608:AC1609">
    <cfRule type="expression" dxfId="4" priority="862" stopIfTrue="1">
      <formula>#REF!="Confidential"</formula>
    </cfRule>
  </conditionalFormatting>
  <conditionalFormatting sqref="AC1616">
    <cfRule type="expression" dxfId="4" priority="863" stopIfTrue="1">
      <formula>#REF!="Confidential"</formula>
    </cfRule>
  </conditionalFormatting>
  <conditionalFormatting sqref="AC1623">
    <cfRule type="expression" dxfId="4" priority="864" stopIfTrue="1">
      <formula>#REF!="Confidential"</formula>
    </cfRule>
  </conditionalFormatting>
  <conditionalFormatting sqref="AC1638:AC1641">
    <cfRule type="expression" dxfId="4" priority="865" stopIfTrue="1">
      <formula>#REF!="Confidential"</formula>
    </cfRule>
  </conditionalFormatting>
  <conditionalFormatting sqref="AC1643">
    <cfRule type="expression" dxfId="4" priority="866" stopIfTrue="1">
      <formula>#REF!="Confidential"</formula>
    </cfRule>
  </conditionalFormatting>
  <conditionalFormatting sqref="AC1647:AC1649">
    <cfRule type="expression" dxfId="4" priority="867" stopIfTrue="1">
      <formula>#REF!="Confidential"</formula>
    </cfRule>
  </conditionalFormatting>
  <conditionalFormatting sqref="AC1678">
    <cfRule type="expression" dxfId="4" priority="868" stopIfTrue="1">
      <formula>#REF!="Confidential"</formula>
    </cfRule>
  </conditionalFormatting>
  <conditionalFormatting sqref="AC1687:AC1690">
    <cfRule type="expression" dxfId="4" priority="869" stopIfTrue="1">
      <formula>#REF!="Confidential"</formula>
    </cfRule>
  </conditionalFormatting>
  <conditionalFormatting sqref="AC1697:AC1702">
    <cfRule type="expression" dxfId="4" priority="870" stopIfTrue="1">
      <formula>#REF!="Confidential"</formula>
    </cfRule>
  </conditionalFormatting>
  <conditionalFormatting sqref="AC1704:AC1711">
    <cfRule type="expression" dxfId="4" priority="871" stopIfTrue="1">
      <formula>#REF!="Confidential"</formula>
    </cfRule>
  </conditionalFormatting>
  <conditionalFormatting sqref="AC1714">
    <cfRule type="expression" dxfId="4" priority="872" stopIfTrue="1">
      <formula>#REF!="Confidential"</formula>
    </cfRule>
  </conditionalFormatting>
  <conditionalFormatting sqref="AC1717">
    <cfRule type="expression" dxfId="4" priority="873" stopIfTrue="1">
      <formula>#REF!="Confidential"</formula>
    </cfRule>
  </conditionalFormatting>
  <conditionalFormatting sqref="AC1720">
    <cfRule type="expression" dxfId="4" priority="874" stopIfTrue="1">
      <formula>#REF!="Confidential"</formula>
    </cfRule>
  </conditionalFormatting>
  <conditionalFormatting sqref="AC1741">
    <cfRule type="expression" dxfId="4" priority="875" stopIfTrue="1">
      <formula>#REF!="Confidential"</formula>
    </cfRule>
  </conditionalFormatting>
  <conditionalFormatting sqref="AC1743:AC1754">
    <cfRule type="expression" dxfId="4" priority="876" stopIfTrue="1">
      <formula>#REF!="Confidential"</formula>
    </cfRule>
  </conditionalFormatting>
  <conditionalFormatting sqref="AC1761">
    <cfRule type="expression" dxfId="4" priority="877" stopIfTrue="1">
      <formula>#REF!="Confidential"</formula>
    </cfRule>
  </conditionalFormatting>
  <conditionalFormatting sqref="AC1793:AC1794">
    <cfRule type="expression" dxfId="4" priority="878" stopIfTrue="1">
      <formula>#REF!="Confidential"</formula>
    </cfRule>
  </conditionalFormatting>
  <conditionalFormatting sqref="AC1796">
    <cfRule type="expression" dxfId="4" priority="879" stopIfTrue="1">
      <formula>#REF!="Confidential"</formula>
    </cfRule>
  </conditionalFormatting>
  <conditionalFormatting sqref="AC1843:AC1846">
    <cfRule type="expression" dxfId="4" priority="880" stopIfTrue="1">
      <formula>#REF!="Confidential"</formula>
    </cfRule>
  </conditionalFormatting>
  <conditionalFormatting sqref="AC1850">
    <cfRule type="expression" dxfId="4" priority="881" stopIfTrue="1">
      <formula>#REF!="Confidential"</formula>
    </cfRule>
  </conditionalFormatting>
  <conditionalFormatting sqref="AC1859:AC1861">
    <cfRule type="expression" dxfId="4" priority="882" stopIfTrue="1">
      <formula>#REF!="Confidential"</formula>
    </cfRule>
  </conditionalFormatting>
  <conditionalFormatting sqref="AC1869:AC1872">
    <cfRule type="expression" dxfId="4" priority="883" stopIfTrue="1">
      <formula>#REF!="Confidential"</formula>
    </cfRule>
  </conditionalFormatting>
  <conditionalFormatting sqref="AC1874">
    <cfRule type="expression" dxfId="4" priority="884" stopIfTrue="1">
      <formula>#REF!="Confidential"</formula>
    </cfRule>
  </conditionalFormatting>
  <conditionalFormatting sqref="AC1879">
    <cfRule type="expression" dxfId="4" priority="885" stopIfTrue="1">
      <formula>#REF!="Confidential"</formula>
    </cfRule>
  </conditionalFormatting>
  <conditionalFormatting sqref="AC1883">
    <cfRule type="expression" dxfId="4" priority="886" stopIfTrue="1">
      <formula>#REF!="Confidential"</formula>
    </cfRule>
  </conditionalFormatting>
  <conditionalFormatting sqref="AC1892:AC1894">
    <cfRule type="expression" dxfId="4" priority="887" stopIfTrue="1">
      <formula>#REF!="Confidential"</formula>
    </cfRule>
  </conditionalFormatting>
  <conditionalFormatting sqref="AC1904">
    <cfRule type="expression" dxfId="4" priority="888" stopIfTrue="1">
      <formula>#REF!="Confidential"</formula>
    </cfRule>
  </conditionalFormatting>
  <conditionalFormatting sqref="AC1908">
    <cfRule type="expression" dxfId="4" priority="889" stopIfTrue="1">
      <formula>#REF!="Confidential"</formula>
    </cfRule>
  </conditionalFormatting>
  <conditionalFormatting sqref="AC1910">
    <cfRule type="expression" dxfId="4" priority="890" stopIfTrue="1">
      <formula>#REF!="Confidential"</formula>
    </cfRule>
  </conditionalFormatting>
  <conditionalFormatting sqref="AC1917">
    <cfRule type="expression" dxfId="4" priority="891" stopIfTrue="1">
      <formula>#REF!="Confidential"</formula>
    </cfRule>
  </conditionalFormatting>
  <conditionalFormatting sqref="AC1923">
    <cfRule type="expression" dxfId="4" priority="892" stopIfTrue="1">
      <formula>#REF!="Confidential"</formula>
    </cfRule>
  </conditionalFormatting>
  <conditionalFormatting sqref="AC1926">
    <cfRule type="expression" dxfId="4" priority="893" stopIfTrue="1">
      <formula>#REF!="Confidential"</formula>
    </cfRule>
  </conditionalFormatting>
  <conditionalFormatting sqref="AC1934:AC1935">
    <cfRule type="expression" dxfId="4" priority="894" stopIfTrue="1">
      <formula>#REF!="Confidential"</formula>
    </cfRule>
  </conditionalFormatting>
  <conditionalFormatting sqref="AC1938">
    <cfRule type="expression" dxfId="4" priority="895" stopIfTrue="1">
      <formula>#REF!="Confidential"</formula>
    </cfRule>
  </conditionalFormatting>
  <conditionalFormatting sqref="AC1945">
    <cfRule type="expression" dxfId="4" priority="896" stopIfTrue="1">
      <formula>#REF!="Confidential"</formula>
    </cfRule>
  </conditionalFormatting>
  <conditionalFormatting sqref="AC1954:AC1955">
    <cfRule type="expression" dxfId="4" priority="897" stopIfTrue="1">
      <formula>#REF!="Confidential"</formula>
    </cfRule>
  </conditionalFormatting>
  <conditionalFormatting sqref="AC1959:AC1963">
    <cfRule type="expression" dxfId="4" priority="898" stopIfTrue="1">
      <formula>#REF!="Confidential"</formula>
    </cfRule>
  </conditionalFormatting>
  <conditionalFormatting sqref="AC1967">
    <cfRule type="expression" dxfId="4" priority="899" stopIfTrue="1">
      <formula>#REF!="Confidential"</formula>
    </cfRule>
  </conditionalFormatting>
  <conditionalFormatting sqref="AC1972">
    <cfRule type="expression" dxfId="4" priority="900" stopIfTrue="1">
      <formula>#REF!="Confidential"</formula>
    </cfRule>
  </conditionalFormatting>
  <conditionalFormatting sqref="AC1974">
    <cfRule type="expression" dxfId="4" priority="901" stopIfTrue="1">
      <formula>#REF!="Confidential"</formula>
    </cfRule>
  </conditionalFormatting>
  <conditionalFormatting sqref="AC1995:AC1996">
    <cfRule type="expression" dxfId="4" priority="902" stopIfTrue="1">
      <formula>#REF!="Confidential"</formula>
    </cfRule>
  </conditionalFormatting>
  <conditionalFormatting sqref="AC2008:AC2011">
    <cfRule type="expression" dxfId="4" priority="903" stopIfTrue="1">
      <formula>#REF!="Confidential"</formula>
    </cfRule>
  </conditionalFormatting>
  <conditionalFormatting sqref="AC2013:AC2019">
    <cfRule type="expression" dxfId="4" priority="904" stopIfTrue="1">
      <formula>#REF!="Confidential"</formula>
    </cfRule>
  </conditionalFormatting>
  <conditionalFormatting sqref="AC2034">
    <cfRule type="expression" dxfId="4" priority="905" stopIfTrue="1">
      <formula>#REF!="Confidential"</formula>
    </cfRule>
  </conditionalFormatting>
  <conditionalFormatting sqref="AC2037">
    <cfRule type="expression" dxfId="4" priority="906" stopIfTrue="1">
      <formula>#REF!="Confidential"</formula>
    </cfRule>
  </conditionalFormatting>
  <conditionalFormatting sqref="AC2047">
    <cfRule type="expression" dxfId="4" priority="907" stopIfTrue="1">
      <formula>#REF!="Confidential"</formula>
    </cfRule>
  </conditionalFormatting>
  <conditionalFormatting sqref="AC2141:AC2142">
    <cfRule type="expression" dxfId="4" priority="908" stopIfTrue="1">
      <formula>#REF!="Confidential"</formula>
    </cfRule>
  </conditionalFormatting>
  <conditionalFormatting sqref="AC2231">
    <cfRule type="expression" dxfId="4" priority="909" stopIfTrue="1">
      <formula>#REF!="Confidential"</formula>
    </cfRule>
  </conditionalFormatting>
  <conditionalFormatting sqref="AC2290:AC2291">
    <cfRule type="expression" dxfId="4" priority="910" stopIfTrue="1">
      <formula>#REF!="Confidential"</formula>
    </cfRule>
  </conditionalFormatting>
  <conditionalFormatting sqref="AC2296:AC2298">
    <cfRule type="expression" dxfId="4" priority="911" stopIfTrue="1">
      <formula>#REF!="Confidential"</formula>
    </cfRule>
  </conditionalFormatting>
  <conditionalFormatting sqref="AC2300">
    <cfRule type="expression" dxfId="4" priority="912" stopIfTrue="1">
      <formula>#REF!="Confidential"</formula>
    </cfRule>
  </conditionalFormatting>
  <conditionalFormatting sqref="AC2302">
    <cfRule type="expression" dxfId="4" priority="913" stopIfTrue="1">
      <formula>#REF!="Confidential"</formula>
    </cfRule>
  </conditionalFormatting>
  <conditionalFormatting sqref="AC2304:AC2305">
    <cfRule type="expression" dxfId="4" priority="914" stopIfTrue="1">
      <formula>#REF!="Confidential"</formula>
    </cfRule>
  </conditionalFormatting>
  <conditionalFormatting sqref="AC2307:AC2308">
    <cfRule type="expression" dxfId="4" priority="915" stopIfTrue="1">
      <formula>#REF!="Confidential"</formula>
    </cfRule>
  </conditionalFormatting>
  <conditionalFormatting sqref="AC2311">
    <cfRule type="expression" dxfId="4" priority="916" stopIfTrue="1">
      <formula>#REF!="Confidential"</formula>
    </cfRule>
  </conditionalFormatting>
  <conditionalFormatting sqref="AC2315">
    <cfRule type="expression" dxfId="4" priority="917" stopIfTrue="1">
      <formula>#REF!="Confidential"</formula>
    </cfRule>
  </conditionalFormatting>
  <conditionalFormatting sqref="AC2324">
    <cfRule type="expression" dxfId="4" priority="918" stopIfTrue="1">
      <formula>#REF!="Confidential"</formula>
    </cfRule>
  </conditionalFormatting>
  <conditionalFormatting sqref="AC2327:AC2329">
    <cfRule type="expression" dxfId="4" priority="919" stopIfTrue="1">
      <formula>#REF!="Confidential"</formula>
    </cfRule>
  </conditionalFormatting>
  <conditionalFormatting sqref="AC2333:AC2334">
    <cfRule type="expression" dxfId="4" priority="920" stopIfTrue="1">
      <formula>#REF!="Confidential"</formula>
    </cfRule>
  </conditionalFormatting>
  <conditionalFormatting sqref="AC2338:AC2341">
    <cfRule type="expression" dxfId="4" priority="921" stopIfTrue="1">
      <formula>#REF!="Confidential"</formula>
    </cfRule>
  </conditionalFormatting>
  <conditionalFormatting sqref="AC2354:AC2369">
    <cfRule type="expression" dxfId="4" priority="922" stopIfTrue="1">
      <formula>#REF!="Confidential"</formula>
    </cfRule>
  </conditionalFormatting>
  <conditionalFormatting sqref="AC2388:AC2395">
    <cfRule type="expression" dxfId="4" priority="923" stopIfTrue="1">
      <formula>#REF!="Confidential"</formula>
    </cfRule>
  </conditionalFormatting>
  <conditionalFormatting sqref="AC2397:AC2399">
    <cfRule type="expression" dxfId="4" priority="924" stopIfTrue="1">
      <formula>#REF!="Confidential"</formula>
    </cfRule>
  </conditionalFormatting>
  <conditionalFormatting sqref="AC2407">
    <cfRule type="expression" dxfId="4" priority="925" stopIfTrue="1">
      <formula>#REF!="Confidential"</formula>
    </cfRule>
  </conditionalFormatting>
  <conditionalFormatting sqref="AC665:AE665">
    <cfRule type="expression" dxfId="4" priority="926" stopIfTrue="1">
      <formula>#REF!="Confidential"</formula>
    </cfRule>
  </conditionalFormatting>
  <conditionalFormatting sqref="AC760:AE760">
    <cfRule type="expression" dxfId="4" priority="927" stopIfTrue="1">
      <formula>#REF!="Confidential"</formula>
    </cfRule>
  </conditionalFormatting>
  <conditionalFormatting sqref="AC814:AE816">
    <cfRule type="expression" dxfId="4" priority="928" stopIfTrue="1">
      <formula>#REF!="Confidential"</formula>
    </cfRule>
  </conditionalFormatting>
  <conditionalFormatting sqref="AC819:AE822">
    <cfRule type="expression" dxfId="4" priority="929" stopIfTrue="1">
      <formula>#REF!="Confidential"</formula>
    </cfRule>
  </conditionalFormatting>
  <conditionalFormatting sqref="AC878:AE881">
    <cfRule type="expression" dxfId="4" priority="930" stopIfTrue="1">
      <formula>#REF!="Confidential"</formula>
    </cfRule>
  </conditionalFormatting>
  <conditionalFormatting sqref="AC1357:AE1357">
    <cfRule type="expression" dxfId="4" priority="931" stopIfTrue="1">
      <formula>#REF!="Confidential"</formula>
    </cfRule>
  </conditionalFormatting>
  <conditionalFormatting sqref="AD469">
    <cfRule type="expression" dxfId="4" priority="932" stopIfTrue="1">
      <formula>#REF!="Confidential"</formula>
    </cfRule>
  </conditionalFormatting>
  <conditionalFormatting sqref="AD596">
    <cfRule type="expression" dxfId="4" priority="933" stopIfTrue="1">
      <formula>#REF!="Confidential"</formula>
    </cfRule>
  </conditionalFormatting>
  <conditionalFormatting sqref="AD771">
    <cfRule type="expression" dxfId="4" priority="934" stopIfTrue="1">
      <formula>#REF!="Confidential"</formula>
    </cfRule>
  </conditionalFormatting>
  <conditionalFormatting sqref="AD944">
    <cfRule type="expression" dxfId="4" priority="935" stopIfTrue="1">
      <formula>#REF!="Confidential"</formula>
    </cfRule>
  </conditionalFormatting>
  <conditionalFormatting sqref="AD1205:AD1206">
    <cfRule type="expression" dxfId="4" priority="936" stopIfTrue="1">
      <formula>#REF!="Confidential"</formula>
    </cfRule>
  </conditionalFormatting>
  <conditionalFormatting sqref="AD729:AE730">
    <cfRule type="expression" dxfId="4" priority="937" stopIfTrue="1">
      <formula>#REF!="Confidential"</formula>
    </cfRule>
  </conditionalFormatting>
  <conditionalFormatting sqref="AD732:AE733">
    <cfRule type="expression" dxfId="4" priority="938" stopIfTrue="1">
      <formula>#REF!="Confidential"</formula>
    </cfRule>
  </conditionalFormatting>
  <conditionalFormatting sqref="AD797:AE798">
    <cfRule type="expression" dxfId="4" priority="939" stopIfTrue="1">
      <formula>#REF!="Confidential"</formula>
    </cfRule>
  </conditionalFormatting>
  <conditionalFormatting sqref="AD835:AE835">
    <cfRule type="expression" dxfId="4" priority="940" stopIfTrue="1">
      <formula>#REF!="Confidential"</formula>
    </cfRule>
  </conditionalFormatting>
  <conditionalFormatting sqref="AD843:AE844">
    <cfRule type="expression" dxfId="4" priority="941" stopIfTrue="1">
      <formula>#REF!="Confidential"</formula>
    </cfRule>
  </conditionalFormatting>
  <conditionalFormatting sqref="AD908:AE909">
    <cfRule type="expression" dxfId="4" priority="942" stopIfTrue="1">
      <formula>#REF!="Confidential"</formula>
    </cfRule>
  </conditionalFormatting>
  <conditionalFormatting sqref="AD1044:AE1044">
    <cfRule type="expression" dxfId="4" priority="943" stopIfTrue="1">
      <formula>#REF!="Confidential"</formula>
    </cfRule>
  </conditionalFormatting>
  <conditionalFormatting sqref="AD1167:AE1168">
    <cfRule type="expression" dxfId="4" priority="944" stopIfTrue="1">
      <formula>#REF!="Confidential"</formula>
    </cfRule>
  </conditionalFormatting>
  <conditionalFormatting sqref="AD1273:AE1273">
    <cfRule type="expression" dxfId="4" priority="945" stopIfTrue="1">
      <formula>#REF!="Confidential"</formula>
    </cfRule>
  </conditionalFormatting>
  <conditionalFormatting sqref="AE231">
    <cfRule type="expression" dxfId="4" priority="946" stopIfTrue="1">
      <formula>#REF!="Confidential"</formula>
    </cfRule>
  </conditionalFormatting>
  <conditionalFormatting sqref="AE242">
    <cfRule type="expression" dxfId="4" priority="947" stopIfTrue="1">
      <formula>#REF!="Confidential"</formula>
    </cfRule>
  </conditionalFormatting>
  <conditionalFormatting sqref="AE246">
    <cfRule type="expression" dxfId="4" priority="948" stopIfTrue="1">
      <formula>#REF!="Confidential"</formula>
    </cfRule>
  </conditionalFormatting>
  <conditionalFormatting sqref="AE342">
    <cfRule type="expression" dxfId="4" priority="949" stopIfTrue="1">
      <formula>#REF!="Confidential"</formula>
    </cfRule>
  </conditionalFormatting>
  <conditionalFormatting sqref="AE372:AE374">
    <cfRule type="expression" dxfId="4" priority="950" stopIfTrue="1">
      <formula>#REF!="Confidential"</formula>
    </cfRule>
  </conditionalFormatting>
  <conditionalFormatting sqref="AE376:AE377">
    <cfRule type="expression" dxfId="4" priority="951" stopIfTrue="1">
      <formula>#REF!="Confidential"</formula>
    </cfRule>
  </conditionalFormatting>
  <conditionalFormatting sqref="AE384">
    <cfRule type="expression" dxfId="4" priority="952" stopIfTrue="1">
      <formula>#REF!="Confidential"</formula>
    </cfRule>
  </conditionalFormatting>
  <conditionalFormatting sqref="AE402:AE403">
    <cfRule type="expression" dxfId="4" priority="953" stopIfTrue="1">
      <formula>#REF!="Confidential"</formula>
    </cfRule>
  </conditionalFormatting>
  <conditionalFormatting sqref="AE440">
    <cfRule type="expression" dxfId="4" priority="954" stopIfTrue="1">
      <formula>#REF!="Confidential"</formula>
    </cfRule>
  </conditionalFormatting>
  <conditionalFormatting sqref="AE447:AE449">
    <cfRule type="expression" dxfId="4" priority="955" stopIfTrue="1">
      <formula>#REF!="Confidential"</formula>
    </cfRule>
  </conditionalFormatting>
  <conditionalFormatting sqref="AE454">
    <cfRule type="expression" dxfId="4" priority="956" stopIfTrue="1">
      <formula>#REF!="Confidential"</formula>
    </cfRule>
  </conditionalFormatting>
  <conditionalFormatting sqref="B2341 D617:D620 D816 D827:D831 D833:D840 D851:D857 D997 D1032:D1040 D1061:D1063 D1085:D1088 D1103:D1104 D1140:D1158 D1161:D1162 D1215:D1219 D1374 D1384:D1385 D1471:D1472 D1742 E731:E738 F575:G582 F618:G619 F735:I739 F816:K816 F943:G948 F1001:H1001 F1057:H1060 F1063:F1064 F1276:I1280 F1282:H1288 F1742:G1745 G1063:H1063 G1064 H550 H689 H946:I947 H1396:H1406 I550:I552 I579 I649:I651 I1064:O1064 I1282:I1291 I1742:I1744 J550:K550 J900 J941:J948 J1374 K943:Y948 Z793:Z795 Z1064 AA738 AB597:AB601 AB663:AB672 AB748:AB761 AB935:AB939 AB1056:AB1058 AB1061:AB1083 AB1146:AB1192 AB1194:AB1200 AB1420:AB1439 AB1511:AB1526 AB1529:AB1541 AB1645:AB1660 AB1719:AB1728 AB1883:AB1897 AB1947:AB1948 AB2061:AB2178 AC724:AC730 AC735:AC742 AC938 AC992:AC998 AC1095:AC1103 AC1170:AC1192 AC1195:AC1198 AC1200:AC1202 AC1217:AC1219 AC1317:AC1319 AC1393:AC1406 AC1514:AC1522 AC1530:AC1535 AC1547:AC1553 AC1723:AC1729 AC1756 AC1798 AC1898:AC1899 AD724:AF728 AD735:AE739 AE467:AE468 AE780:AE782 AF729:AF739">
    <cfRule type="expression" dxfId="4" priority="957" stopIfTrue="1">
      <formula>#REF!="Confidential"</formula>
    </cfRule>
  </conditionalFormatting>
  <conditionalFormatting sqref="AE470">
    <cfRule type="expression" dxfId="4" priority="958" stopIfTrue="1">
      <formula>#REF!="Confidential"</formula>
    </cfRule>
  </conditionalFormatting>
  <conditionalFormatting sqref="AE474">
    <cfRule type="expression" dxfId="4" priority="959" stopIfTrue="1">
      <formula>#REF!="Confidential"</formula>
    </cfRule>
  </conditionalFormatting>
  <conditionalFormatting sqref="AE493">
    <cfRule type="expression" dxfId="4" priority="960" stopIfTrue="1">
      <formula>#REF!="Confidential"</formula>
    </cfRule>
  </conditionalFormatting>
  <conditionalFormatting sqref="AE499">
    <cfRule type="expression" dxfId="4" priority="961" stopIfTrue="1">
      <formula>#REF!="Confidential"</formula>
    </cfRule>
  </conditionalFormatting>
  <conditionalFormatting sqref="AE512">
    <cfRule type="expression" dxfId="4" priority="962" stopIfTrue="1">
      <formula>#REF!="Confidential"</formula>
    </cfRule>
  </conditionalFormatting>
  <conditionalFormatting sqref="AE530">
    <cfRule type="expression" dxfId="4" priority="963" stopIfTrue="1">
      <formula>#REF!="Confidential"</formula>
    </cfRule>
  </conditionalFormatting>
  <conditionalFormatting sqref="AE542">
    <cfRule type="expression" dxfId="4" priority="964" stopIfTrue="1">
      <formula>#REF!="Confidential"</formula>
    </cfRule>
  </conditionalFormatting>
  <conditionalFormatting sqref="AE887">
    <cfRule type="expression" dxfId="4" priority="965" stopIfTrue="1">
      <formula>#REF!="Confidential"</formula>
    </cfRule>
  </conditionalFormatting>
  <conditionalFormatting sqref="AE911">
    <cfRule type="expression" dxfId="4" priority="966" stopIfTrue="1">
      <formula>#REF!="Confidential"</formula>
    </cfRule>
  </conditionalFormatting>
  <conditionalFormatting sqref="AE946:AE948">
    <cfRule type="expression" dxfId="4" priority="967" stopIfTrue="1">
      <formula>#REF!="Confidential"</formula>
    </cfRule>
  </conditionalFormatting>
  <conditionalFormatting sqref="AF520">
    <cfRule type="expression" dxfId="4" priority="968" stopIfTrue="1">
      <formula>#REF!="Confidential"</formula>
    </cfRule>
  </conditionalFormatting>
  <conditionalFormatting sqref="AF580:AF582">
    <cfRule type="expression" dxfId="4" priority="969" stopIfTrue="1">
      <formula>#REF!="Confidential"</formula>
    </cfRule>
  </conditionalFormatting>
  <conditionalFormatting sqref="AF651">
    <cfRule type="expression" dxfId="4" priority="970" stopIfTrue="1">
      <formula>#REF!="Confidential"</formula>
    </cfRule>
  </conditionalFormatting>
  <conditionalFormatting sqref="AF720:AF723">
    <cfRule type="expression" dxfId="4" priority="971" stopIfTrue="1">
      <formula>#REF!="Confidential"</formula>
    </cfRule>
  </conditionalFormatting>
  <conditionalFormatting sqref="AF753">
    <cfRule type="expression" dxfId="4" priority="972" stopIfTrue="1">
      <formula>#REF!="Confidential"</formula>
    </cfRule>
  </conditionalFormatting>
  <conditionalFormatting sqref="AF758:AF760">
    <cfRule type="expression" dxfId="4" priority="973" stopIfTrue="1">
      <formula>#REF!="Confidential"</formula>
    </cfRule>
  </conditionalFormatting>
  <conditionalFormatting sqref="AF777">
    <cfRule type="expression" dxfId="4" priority="974" stopIfTrue="1">
      <formula>#REF!="Confidential"</formula>
    </cfRule>
  </conditionalFormatting>
  <conditionalFormatting sqref="AF814:AF816">
    <cfRule type="expression" dxfId="4" priority="975" stopIfTrue="1">
      <formula>#REF!="Confidential"</formula>
    </cfRule>
  </conditionalFormatting>
  <conditionalFormatting sqref="AF843:AF844">
    <cfRule type="expression" dxfId="4" priority="976" stopIfTrue="1">
      <formula>#REF!="Confidential"</formula>
    </cfRule>
  </conditionalFormatting>
  <conditionalFormatting sqref="AF878:AF882">
    <cfRule type="expression" dxfId="4" priority="977" stopIfTrue="1">
      <formula>#REF!="Confidential"</formula>
    </cfRule>
  </conditionalFormatting>
  <conditionalFormatting sqref="AF908:AF909">
    <cfRule type="expression" dxfId="4" priority="978" stopIfTrue="1">
      <formula>#REF!="Confidential"</formula>
    </cfRule>
  </conditionalFormatting>
  <conditionalFormatting sqref="AF921">
    <cfRule type="expression" dxfId="4" priority="979" stopIfTrue="1">
      <formula>#REF!="Confidential"</formula>
    </cfRule>
  </conditionalFormatting>
  <conditionalFormatting sqref="AF934">
    <cfRule type="expression" dxfId="4" priority="980" stopIfTrue="1">
      <formula>#REF!="Confidential"</formula>
    </cfRule>
  </conditionalFormatting>
  <conditionalFormatting sqref="AF941:AF943">
    <cfRule type="expression" dxfId="4" priority="981" stopIfTrue="1">
      <formula>#REF!="Confidential"</formula>
    </cfRule>
  </conditionalFormatting>
  <conditionalFormatting sqref="AF946:AF948">
    <cfRule type="expression" dxfId="4" priority="982" stopIfTrue="1">
      <formula>#REF!="Confidential"</formula>
    </cfRule>
  </conditionalFormatting>
  <conditionalFormatting sqref="AF983">
    <cfRule type="expression" dxfId="4" priority="983" stopIfTrue="1">
      <formula>#REF!="Confidential"</formula>
    </cfRule>
  </conditionalFormatting>
  <conditionalFormatting sqref="AF998">
    <cfRule type="expression" dxfId="4" priority="984" stopIfTrue="1">
      <formula>#REF!="Confidential"</formula>
    </cfRule>
  </conditionalFormatting>
  <conditionalFormatting sqref="AF1044">
    <cfRule type="expression" dxfId="4" priority="985" stopIfTrue="1">
      <formula>#REF!="Confidential"</formula>
    </cfRule>
  </conditionalFormatting>
  <conditionalFormatting sqref="AF1167">
    <cfRule type="expression" dxfId="4" priority="986" stopIfTrue="1">
      <formula>#REF!="Confidential"</formula>
    </cfRule>
  </conditionalFormatting>
  <conditionalFormatting sqref="AF1205:AF1206">
    <cfRule type="expression" dxfId="4" priority="987" stopIfTrue="1">
      <formula>#REF!="Confidential"</formula>
    </cfRule>
  </conditionalFormatting>
  <conditionalFormatting sqref="AF1273">
    <cfRule type="expression" dxfId="4" priority="988" stopIfTrue="1">
      <formula>#REF!="Confidential"</formula>
    </cfRule>
  </conditionalFormatting>
  <conditionalFormatting sqref="AF1420">
    <cfRule type="expression" dxfId="4" priority="989" stopIfTrue="1">
      <formula>#REF!="Confidential"</formula>
    </cfRule>
  </conditionalFormatting>
  <conditionalFormatting sqref="AF1546">
    <cfRule type="expression" dxfId="4" priority="990" stopIfTrue="1">
      <formula>#REF!="Confidential"</formula>
    </cfRule>
  </conditionalFormatting>
  <dataValidations>
    <dataValidation type="list" allowBlank="1" showErrorMessage="1" sqref="C12:C2026 C2028:C2110 C2112:C2120 C2124:C2441">
      <formula1>Countries!$A$2:$A$215</formula1>
    </dataValidation>
    <dataValidation type="decimal" allowBlank="1" showErrorMessage="1" sqref="L12:Y911 L912:P912 S912:Y912 L913:Y2098 Q2099:Y2099 L2100:Y2274 L2275:N2275 P2275:Y2275 L2276:Y2441 L2475:Y2641">
      <formula1>0.0</formula1>
      <formula2>1.0</formula2>
    </dataValidation>
    <dataValidation type="list" allowBlank="1" showErrorMessage="1" sqref="K5:K2441">
      <formula1>Lists!$L$3:$L$9</formula1>
    </dataValidation>
    <dataValidation type="list" allowBlank="1" showErrorMessage="1" sqref="J5:J2441">
      <formula1>Lists!$N$3:$N$9</formula1>
    </dataValidation>
    <dataValidation type="list" allowBlank="1" showErrorMessage="1" sqref="I12:I2120 I2122:I2441">
      <formula1>Lists!$I$3:$I$8</formula1>
    </dataValidation>
    <dataValidation type="list" allowBlank="1" showErrorMessage="1" sqref="G12:G2120 G2122:G2441">
      <formula1>Lists!$D$3:$D$14</formula1>
    </dataValidation>
    <dataValidation type="list" allowBlank="1" showErrorMessage="1" sqref="F5:F2441">
      <formula1>Lists!$A$3:$A$11</formula1>
    </dataValidation>
  </dataValidations>
  <hyperlinks>
    <hyperlink r:id="rId1" ref="B1112"/>
  </hyperlinks>
  <printOptions/>
  <pageMargins bottom="0.75" footer="0.0" header="0.0" left="0.7" right="0.7" top="0.75"/>
  <pageSetup paperSize="9" orientation="portrait"/>
  <drawing r:id="rId2"/>
  <tableParts count="1">
    <tablePart r:id="rId4"/>
  </tableParts>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4BFF"/>
    <pageSetUpPr/>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1" max="1" width="16.43"/>
    <col customWidth="1" min="2" max="2" width="230.0"/>
    <col customWidth="1" hidden="1" min="3" max="3" width="10.43"/>
    <col customWidth="1" hidden="1" min="4" max="24" width="8.71"/>
  </cols>
  <sheetData>
    <row r="1" ht="33.0" customHeight="1">
      <c r="A1" s="161" t="s">
        <v>12373</v>
      </c>
      <c r="B1" s="162"/>
      <c r="C1" s="162"/>
      <c r="D1" s="162"/>
      <c r="E1" s="162"/>
      <c r="F1" s="162"/>
      <c r="G1" s="162"/>
      <c r="H1" s="162"/>
      <c r="I1" s="162"/>
      <c r="J1" s="162"/>
      <c r="K1" s="162"/>
      <c r="L1" s="162"/>
      <c r="M1" s="162"/>
      <c r="N1" s="162"/>
      <c r="O1" s="162"/>
      <c r="P1" s="162"/>
      <c r="Q1" s="162"/>
      <c r="R1" s="162"/>
      <c r="S1" s="162"/>
      <c r="T1" s="162"/>
      <c r="U1" s="162"/>
      <c r="V1" s="162"/>
      <c r="W1" s="162"/>
      <c r="X1" s="162"/>
    </row>
    <row r="2" ht="33.0" customHeight="1">
      <c r="A2" s="163" t="s">
        <v>15486</v>
      </c>
      <c r="B2" s="163" t="s">
        <v>663</v>
      </c>
      <c r="C2" s="164"/>
      <c r="D2" s="164"/>
      <c r="E2" s="164"/>
      <c r="F2" s="164"/>
      <c r="G2" s="164"/>
      <c r="H2" s="164"/>
      <c r="I2" s="164"/>
      <c r="J2" s="164"/>
      <c r="K2" s="164"/>
      <c r="L2" s="164"/>
      <c r="M2" s="164"/>
      <c r="N2" s="164"/>
      <c r="O2" s="164"/>
      <c r="P2" s="164"/>
      <c r="Q2" s="164"/>
      <c r="R2" s="164"/>
      <c r="S2" s="164"/>
      <c r="T2" s="164"/>
      <c r="U2" s="164"/>
      <c r="V2" s="164"/>
      <c r="W2" s="164"/>
      <c r="X2" s="164"/>
    </row>
    <row r="3" ht="18.0" customHeight="1">
      <c r="A3" s="165">
        <v>1.0</v>
      </c>
      <c r="B3" s="165" t="s">
        <v>15487</v>
      </c>
      <c r="C3" s="165"/>
      <c r="D3" s="165"/>
      <c r="E3" s="165"/>
      <c r="F3" s="165"/>
      <c r="G3" s="165"/>
      <c r="H3" s="165"/>
      <c r="I3" s="165"/>
      <c r="J3" s="165"/>
      <c r="K3" s="165"/>
      <c r="L3" s="165"/>
      <c r="M3" s="165"/>
      <c r="N3" s="165"/>
      <c r="O3" s="165"/>
      <c r="P3" s="165"/>
      <c r="Q3" s="165"/>
      <c r="R3" s="165"/>
      <c r="S3" s="165"/>
      <c r="T3" s="165"/>
      <c r="U3" s="165"/>
      <c r="V3" s="165"/>
      <c r="W3" s="165"/>
      <c r="X3" s="165"/>
    </row>
    <row r="4" ht="18.0" customHeight="1">
      <c r="A4" s="165">
        <v>2.0</v>
      </c>
      <c r="B4" s="165" t="s">
        <v>15488</v>
      </c>
      <c r="C4" s="165"/>
      <c r="D4" s="165"/>
      <c r="E4" s="165"/>
      <c r="F4" s="165"/>
      <c r="G4" s="165"/>
      <c r="H4" s="165"/>
      <c r="I4" s="165"/>
      <c r="J4" s="165"/>
      <c r="K4" s="165"/>
      <c r="L4" s="165"/>
      <c r="M4" s="165"/>
      <c r="N4" s="165"/>
      <c r="O4" s="165"/>
      <c r="P4" s="165"/>
      <c r="Q4" s="165"/>
      <c r="R4" s="165"/>
      <c r="S4" s="165"/>
      <c r="T4" s="165"/>
      <c r="U4" s="165"/>
      <c r="V4" s="165"/>
      <c r="W4" s="165"/>
      <c r="X4" s="165"/>
    </row>
    <row r="5" ht="18.0" customHeight="1">
      <c r="A5" s="165">
        <v>3.0</v>
      </c>
      <c r="B5" s="165" t="s">
        <v>15489</v>
      </c>
      <c r="C5" s="165"/>
      <c r="D5" s="165"/>
      <c r="E5" s="165"/>
      <c r="F5" s="165"/>
      <c r="G5" s="165"/>
      <c r="H5" s="165"/>
      <c r="I5" s="165"/>
      <c r="J5" s="165"/>
      <c r="K5" s="165"/>
      <c r="L5" s="165"/>
      <c r="M5" s="165"/>
      <c r="N5" s="165"/>
      <c r="O5" s="165"/>
      <c r="P5" s="165"/>
      <c r="Q5" s="165"/>
      <c r="R5" s="165"/>
      <c r="S5" s="165"/>
      <c r="T5" s="165"/>
      <c r="U5" s="165"/>
      <c r="V5" s="165"/>
      <c r="W5" s="165"/>
      <c r="X5" s="165"/>
    </row>
    <row r="6" ht="18.0" customHeight="1">
      <c r="A6" s="165">
        <v>4.0</v>
      </c>
      <c r="B6" s="165" t="s">
        <v>15490</v>
      </c>
      <c r="C6" s="165"/>
      <c r="D6" s="165"/>
      <c r="E6" s="165"/>
      <c r="F6" s="165"/>
      <c r="G6" s="165"/>
      <c r="H6" s="165"/>
      <c r="I6" s="165"/>
      <c r="J6" s="165"/>
      <c r="K6" s="165"/>
      <c r="L6" s="165"/>
      <c r="M6" s="165"/>
      <c r="N6" s="165"/>
      <c r="O6" s="165"/>
      <c r="P6" s="165"/>
      <c r="Q6" s="165"/>
      <c r="R6" s="165"/>
      <c r="S6" s="165"/>
      <c r="T6" s="165"/>
      <c r="U6" s="165"/>
      <c r="V6" s="165"/>
      <c r="W6" s="165"/>
      <c r="X6" s="165"/>
    </row>
    <row r="7" ht="18.0" customHeight="1">
      <c r="A7" s="165">
        <v>5.0</v>
      </c>
      <c r="B7" s="165" t="s">
        <v>15491</v>
      </c>
      <c r="C7" s="165"/>
      <c r="D7" s="165"/>
      <c r="E7" s="165"/>
      <c r="F7" s="165"/>
      <c r="G7" s="165"/>
      <c r="H7" s="165"/>
      <c r="I7" s="165"/>
      <c r="J7" s="165"/>
      <c r="K7" s="165"/>
      <c r="L7" s="165"/>
      <c r="M7" s="165"/>
      <c r="N7" s="165"/>
      <c r="O7" s="165"/>
      <c r="P7" s="165"/>
      <c r="Q7" s="165"/>
      <c r="R7" s="165"/>
      <c r="S7" s="165"/>
      <c r="T7" s="165"/>
      <c r="U7" s="165"/>
      <c r="V7" s="165"/>
      <c r="W7" s="165"/>
      <c r="X7" s="165"/>
    </row>
    <row r="8" ht="18.0" customHeight="1">
      <c r="A8" s="165">
        <v>6.0</v>
      </c>
      <c r="B8" s="165" t="s">
        <v>15492</v>
      </c>
      <c r="C8" s="165"/>
      <c r="D8" s="165"/>
      <c r="E8" s="165"/>
      <c r="F8" s="165"/>
      <c r="G8" s="165"/>
      <c r="H8" s="165"/>
      <c r="I8" s="165"/>
      <c r="J8" s="165"/>
      <c r="K8" s="165"/>
      <c r="L8" s="165"/>
      <c r="M8" s="165"/>
      <c r="N8" s="165"/>
      <c r="O8" s="165"/>
      <c r="P8" s="165"/>
      <c r="Q8" s="165"/>
      <c r="R8" s="165"/>
      <c r="S8" s="165"/>
      <c r="T8" s="165"/>
      <c r="U8" s="165"/>
      <c r="V8" s="165"/>
      <c r="W8" s="165"/>
      <c r="X8" s="165"/>
    </row>
    <row r="9" ht="18.0" customHeight="1">
      <c r="A9" s="165">
        <v>7.0</v>
      </c>
      <c r="B9" s="165" t="s">
        <v>15493</v>
      </c>
      <c r="C9" s="165"/>
      <c r="D9" s="165"/>
      <c r="E9" s="165"/>
      <c r="F9" s="165"/>
      <c r="G9" s="165"/>
      <c r="H9" s="165"/>
      <c r="I9" s="165"/>
      <c r="J9" s="165"/>
      <c r="K9" s="165"/>
      <c r="L9" s="165"/>
      <c r="M9" s="165"/>
      <c r="N9" s="165"/>
      <c r="O9" s="165"/>
      <c r="P9" s="165"/>
      <c r="Q9" s="165"/>
      <c r="R9" s="165"/>
      <c r="S9" s="165"/>
      <c r="T9" s="165"/>
      <c r="U9" s="165"/>
      <c r="V9" s="165"/>
      <c r="W9" s="165"/>
      <c r="X9" s="165"/>
    </row>
    <row r="10" ht="18.0" customHeight="1">
      <c r="A10" s="165">
        <v>8.0</v>
      </c>
      <c r="B10" s="165" t="s">
        <v>15494</v>
      </c>
      <c r="C10" s="165"/>
      <c r="D10" s="165"/>
      <c r="E10" s="165"/>
      <c r="F10" s="165"/>
      <c r="G10" s="165"/>
      <c r="H10" s="165"/>
      <c r="I10" s="165"/>
      <c r="J10" s="165"/>
      <c r="K10" s="165"/>
      <c r="L10" s="165"/>
      <c r="M10" s="165"/>
      <c r="N10" s="165"/>
      <c r="O10" s="165"/>
      <c r="P10" s="165"/>
      <c r="Q10" s="165"/>
      <c r="R10" s="165"/>
      <c r="S10" s="165"/>
      <c r="T10" s="165"/>
      <c r="U10" s="165"/>
      <c r="V10" s="165"/>
      <c r="W10" s="165"/>
      <c r="X10" s="165"/>
    </row>
    <row r="11" ht="18.0" customHeight="1">
      <c r="A11" s="165">
        <v>9.0</v>
      </c>
      <c r="B11" s="165" t="s">
        <v>15495</v>
      </c>
      <c r="C11" s="165"/>
      <c r="D11" s="165"/>
      <c r="E11" s="165"/>
      <c r="F11" s="165"/>
      <c r="G11" s="165"/>
      <c r="H11" s="165"/>
      <c r="I11" s="165"/>
      <c r="J11" s="165"/>
      <c r="K11" s="165"/>
      <c r="L11" s="165"/>
      <c r="M11" s="165"/>
      <c r="N11" s="165"/>
      <c r="O11" s="165"/>
      <c r="P11" s="165"/>
      <c r="Q11" s="165"/>
      <c r="R11" s="165"/>
      <c r="S11" s="165"/>
      <c r="T11" s="165"/>
      <c r="U11" s="165"/>
      <c r="V11" s="165"/>
      <c r="W11" s="165"/>
      <c r="X11" s="165"/>
    </row>
    <row r="12" ht="18.75" customHeight="1">
      <c r="A12" s="165">
        <v>10.0</v>
      </c>
      <c r="B12" s="165" t="s">
        <v>15496</v>
      </c>
      <c r="C12" s="165"/>
      <c r="D12" s="165"/>
      <c r="E12" s="165"/>
      <c r="F12" s="165"/>
      <c r="G12" s="165"/>
      <c r="H12" s="165"/>
      <c r="I12" s="165"/>
      <c r="J12" s="165"/>
      <c r="K12" s="165"/>
      <c r="L12" s="165"/>
      <c r="M12" s="165"/>
      <c r="N12" s="165"/>
      <c r="O12" s="165"/>
      <c r="P12" s="165"/>
      <c r="Q12" s="165"/>
      <c r="R12" s="165"/>
      <c r="S12" s="165"/>
      <c r="T12" s="165"/>
      <c r="U12" s="165"/>
      <c r="V12" s="165"/>
      <c r="W12" s="165"/>
      <c r="X12" s="165"/>
    </row>
    <row r="13" ht="18.0" customHeight="1">
      <c r="A13" s="165">
        <v>11.0</v>
      </c>
      <c r="B13" s="165" t="s">
        <v>15497</v>
      </c>
      <c r="C13" s="165"/>
      <c r="D13" s="165"/>
      <c r="E13" s="165"/>
      <c r="F13" s="165"/>
      <c r="G13" s="165"/>
      <c r="H13" s="165"/>
      <c r="I13" s="165"/>
      <c r="J13" s="165"/>
      <c r="K13" s="165"/>
      <c r="L13" s="165"/>
      <c r="M13" s="165"/>
      <c r="N13" s="165"/>
      <c r="O13" s="165"/>
      <c r="P13" s="165"/>
      <c r="Q13" s="165"/>
      <c r="R13" s="165"/>
      <c r="S13" s="165"/>
      <c r="T13" s="165"/>
      <c r="U13" s="165"/>
      <c r="V13" s="165"/>
      <c r="W13" s="165"/>
      <c r="X13" s="165"/>
    </row>
    <row r="14" ht="18.0" customHeight="1">
      <c r="A14" s="165">
        <v>12.0</v>
      </c>
      <c r="B14" s="165" t="s">
        <v>15498</v>
      </c>
      <c r="C14" s="165"/>
      <c r="D14" s="165"/>
      <c r="E14" s="165"/>
      <c r="F14" s="165"/>
      <c r="G14" s="165"/>
      <c r="H14" s="165"/>
      <c r="I14" s="165"/>
      <c r="J14" s="165"/>
      <c r="K14" s="165"/>
      <c r="L14" s="165"/>
      <c r="M14" s="165"/>
      <c r="N14" s="165"/>
      <c r="O14" s="165"/>
      <c r="P14" s="165"/>
      <c r="Q14" s="165"/>
      <c r="R14" s="165"/>
      <c r="S14" s="165"/>
      <c r="T14" s="165"/>
      <c r="U14" s="165"/>
      <c r="V14" s="165"/>
      <c r="W14" s="165"/>
      <c r="X14" s="165"/>
    </row>
    <row r="15" ht="18.75" customHeight="1">
      <c r="A15" s="165">
        <v>13.0</v>
      </c>
      <c r="B15" s="165" t="s">
        <v>15499</v>
      </c>
      <c r="C15" s="165"/>
      <c r="D15" s="165"/>
      <c r="E15" s="165"/>
      <c r="F15" s="165"/>
      <c r="G15" s="165"/>
      <c r="H15" s="165"/>
      <c r="I15" s="165"/>
      <c r="J15" s="165"/>
      <c r="K15" s="165"/>
      <c r="L15" s="165"/>
      <c r="M15" s="165"/>
      <c r="N15" s="165"/>
      <c r="O15" s="165"/>
      <c r="P15" s="165"/>
      <c r="Q15" s="165"/>
      <c r="R15" s="165"/>
      <c r="S15" s="165"/>
      <c r="T15" s="165"/>
      <c r="U15" s="165"/>
      <c r="V15" s="165"/>
      <c r="W15" s="165"/>
      <c r="X15" s="165"/>
    </row>
    <row r="16" ht="18.75" customHeight="1">
      <c r="A16" s="165">
        <v>14.0</v>
      </c>
      <c r="B16" s="166" t="s">
        <v>15500</v>
      </c>
      <c r="C16" s="165"/>
      <c r="D16" s="165"/>
      <c r="E16" s="165"/>
      <c r="F16" s="165"/>
      <c r="G16" s="165"/>
      <c r="H16" s="165"/>
      <c r="I16" s="165"/>
      <c r="J16" s="165"/>
      <c r="K16" s="165"/>
      <c r="L16" s="165"/>
      <c r="M16" s="165"/>
      <c r="N16" s="165"/>
      <c r="O16" s="165"/>
      <c r="P16" s="165"/>
      <c r="Q16" s="165"/>
      <c r="R16" s="165"/>
      <c r="S16" s="165"/>
      <c r="T16" s="165"/>
      <c r="U16" s="165"/>
      <c r="V16" s="165"/>
      <c r="W16" s="165"/>
      <c r="X16" s="165"/>
    </row>
    <row r="17" ht="18.75" customHeight="1">
      <c r="A17" s="165">
        <v>15.0</v>
      </c>
      <c r="B17" s="166" t="s">
        <v>15501</v>
      </c>
      <c r="C17" s="165"/>
      <c r="D17" s="165"/>
      <c r="E17" s="165"/>
      <c r="F17" s="165"/>
      <c r="G17" s="165"/>
      <c r="H17" s="165"/>
      <c r="I17" s="165"/>
      <c r="J17" s="165"/>
      <c r="K17" s="165"/>
      <c r="L17" s="165"/>
      <c r="M17" s="165"/>
      <c r="N17" s="165"/>
      <c r="O17" s="165"/>
      <c r="P17" s="165"/>
      <c r="Q17" s="165"/>
      <c r="R17" s="165"/>
      <c r="S17" s="165"/>
      <c r="T17" s="165"/>
      <c r="U17" s="165"/>
      <c r="V17" s="165"/>
      <c r="W17" s="165"/>
      <c r="X17" s="165"/>
    </row>
    <row r="18" ht="18.75" customHeight="1">
      <c r="A18" s="165">
        <v>16.0</v>
      </c>
      <c r="B18" s="165" t="s">
        <v>15502</v>
      </c>
      <c r="C18" s="165"/>
      <c r="D18" s="165"/>
      <c r="E18" s="165"/>
      <c r="F18" s="165"/>
      <c r="G18" s="165"/>
      <c r="H18" s="165"/>
      <c r="I18" s="165"/>
      <c r="J18" s="165"/>
      <c r="K18" s="165"/>
      <c r="L18" s="165"/>
      <c r="M18" s="165"/>
      <c r="N18" s="165"/>
      <c r="O18" s="165"/>
      <c r="P18" s="165"/>
      <c r="Q18" s="165"/>
      <c r="R18" s="165"/>
      <c r="S18" s="165"/>
      <c r="T18" s="165"/>
      <c r="U18" s="165"/>
      <c r="V18" s="165"/>
      <c r="W18" s="165"/>
      <c r="X18" s="165"/>
    </row>
    <row r="19" ht="18.75" customHeight="1">
      <c r="A19" s="165">
        <v>17.0</v>
      </c>
      <c r="B19" s="165" t="s">
        <v>15503</v>
      </c>
      <c r="C19" s="165"/>
      <c r="D19" s="165"/>
      <c r="E19" s="165"/>
      <c r="F19" s="165"/>
      <c r="G19" s="165"/>
      <c r="H19" s="165"/>
      <c r="I19" s="165"/>
      <c r="J19" s="165"/>
      <c r="K19" s="165"/>
      <c r="L19" s="165"/>
      <c r="M19" s="165"/>
      <c r="N19" s="165"/>
      <c r="O19" s="165"/>
      <c r="P19" s="165"/>
      <c r="Q19" s="165"/>
      <c r="R19" s="165"/>
      <c r="S19" s="165"/>
      <c r="T19" s="165"/>
      <c r="U19" s="165"/>
      <c r="V19" s="165"/>
      <c r="W19" s="165"/>
      <c r="X19" s="165"/>
    </row>
    <row r="20" ht="18.75" customHeight="1">
      <c r="A20" s="165">
        <v>18.0</v>
      </c>
      <c r="B20" s="165" t="s">
        <v>15504</v>
      </c>
      <c r="C20" s="165"/>
      <c r="D20" s="165"/>
      <c r="E20" s="165"/>
      <c r="F20" s="165"/>
      <c r="G20" s="165"/>
      <c r="H20" s="165"/>
      <c r="I20" s="165"/>
      <c r="J20" s="165"/>
      <c r="K20" s="165"/>
      <c r="L20" s="165"/>
      <c r="M20" s="165"/>
      <c r="N20" s="165"/>
      <c r="O20" s="165"/>
      <c r="P20" s="165"/>
      <c r="Q20" s="165"/>
      <c r="R20" s="165"/>
      <c r="S20" s="165"/>
      <c r="T20" s="165"/>
      <c r="U20" s="165"/>
      <c r="V20" s="165"/>
      <c r="W20" s="165"/>
      <c r="X20" s="165"/>
    </row>
    <row r="21" ht="18.75" customHeight="1">
      <c r="A21" s="165">
        <v>19.0</v>
      </c>
      <c r="B21" s="165" t="s">
        <v>15505</v>
      </c>
      <c r="C21" s="165"/>
      <c r="D21" s="165"/>
      <c r="E21" s="165"/>
      <c r="F21" s="165"/>
      <c r="G21" s="165"/>
      <c r="H21" s="165"/>
      <c r="I21" s="165"/>
      <c r="J21" s="165"/>
      <c r="K21" s="165"/>
      <c r="L21" s="165"/>
      <c r="M21" s="165"/>
      <c r="N21" s="165"/>
      <c r="O21" s="165"/>
      <c r="P21" s="165"/>
      <c r="Q21" s="165"/>
      <c r="R21" s="165"/>
      <c r="S21" s="165"/>
      <c r="T21" s="165"/>
      <c r="U21" s="165"/>
      <c r="V21" s="165"/>
      <c r="W21" s="165"/>
      <c r="X21" s="165"/>
    </row>
    <row r="22" ht="18.75" customHeight="1">
      <c r="A22" s="165">
        <v>20.0</v>
      </c>
      <c r="B22" s="165" t="s">
        <v>15506</v>
      </c>
      <c r="C22" s="165"/>
      <c r="D22" s="165"/>
      <c r="E22" s="165"/>
      <c r="F22" s="165"/>
      <c r="G22" s="165"/>
      <c r="H22" s="165"/>
      <c r="I22" s="165"/>
      <c r="J22" s="165"/>
      <c r="K22" s="165"/>
      <c r="L22" s="165"/>
      <c r="M22" s="165"/>
      <c r="N22" s="165"/>
      <c r="O22" s="165"/>
      <c r="P22" s="165"/>
      <c r="Q22" s="165"/>
      <c r="R22" s="165"/>
      <c r="S22" s="165"/>
      <c r="T22" s="165"/>
      <c r="U22" s="165"/>
      <c r="V22" s="165"/>
      <c r="W22" s="165"/>
      <c r="X22" s="165"/>
    </row>
    <row r="23" ht="18.75" customHeight="1">
      <c r="A23" s="165">
        <v>21.0</v>
      </c>
      <c r="B23" s="165" t="s">
        <v>15507</v>
      </c>
      <c r="C23" s="165"/>
      <c r="D23" s="165"/>
      <c r="E23" s="165"/>
      <c r="F23" s="165"/>
      <c r="G23" s="165"/>
      <c r="H23" s="165"/>
      <c r="I23" s="165"/>
      <c r="J23" s="165"/>
      <c r="K23" s="165"/>
      <c r="L23" s="165"/>
      <c r="M23" s="165"/>
      <c r="N23" s="165"/>
      <c r="O23" s="165"/>
      <c r="P23" s="165"/>
      <c r="Q23" s="165"/>
      <c r="R23" s="165"/>
      <c r="S23" s="165"/>
      <c r="T23" s="165"/>
      <c r="U23" s="165"/>
      <c r="V23" s="165"/>
      <c r="W23" s="165"/>
      <c r="X23" s="165"/>
    </row>
    <row r="24" ht="18.75" customHeight="1">
      <c r="A24" s="165">
        <v>22.0</v>
      </c>
      <c r="B24" s="165" t="s">
        <v>15508</v>
      </c>
      <c r="C24" s="165"/>
      <c r="D24" s="165"/>
      <c r="E24" s="165"/>
      <c r="F24" s="165"/>
      <c r="G24" s="165"/>
      <c r="H24" s="165"/>
      <c r="I24" s="165"/>
      <c r="J24" s="165"/>
      <c r="K24" s="165"/>
      <c r="L24" s="165"/>
      <c r="M24" s="165"/>
      <c r="N24" s="165"/>
      <c r="O24" s="165"/>
      <c r="P24" s="165"/>
      <c r="Q24" s="165"/>
      <c r="R24" s="165"/>
      <c r="S24" s="165"/>
      <c r="T24" s="165"/>
      <c r="U24" s="165"/>
      <c r="V24" s="165"/>
      <c r="W24" s="165"/>
      <c r="X24" s="165"/>
    </row>
    <row r="25" ht="18.75" customHeight="1">
      <c r="A25" s="165">
        <v>23.0</v>
      </c>
      <c r="B25" s="165" t="s">
        <v>15509</v>
      </c>
      <c r="C25" s="165"/>
      <c r="D25" s="165"/>
      <c r="E25" s="165"/>
      <c r="F25" s="165"/>
      <c r="G25" s="165"/>
      <c r="H25" s="165"/>
      <c r="I25" s="165"/>
      <c r="J25" s="165"/>
      <c r="K25" s="165"/>
      <c r="L25" s="165"/>
      <c r="M25" s="165"/>
      <c r="N25" s="165"/>
      <c r="O25" s="165"/>
      <c r="P25" s="165"/>
      <c r="Q25" s="165"/>
      <c r="R25" s="165"/>
      <c r="S25" s="165"/>
      <c r="T25" s="165"/>
      <c r="U25" s="165"/>
      <c r="V25" s="165"/>
      <c r="W25" s="165"/>
      <c r="X25" s="165"/>
    </row>
    <row r="26" ht="18.75" customHeight="1">
      <c r="A26" s="165">
        <v>24.0</v>
      </c>
      <c r="B26" s="165" t="s">
        <v>15510</v>
      </c>
      <c r="C26" s="165"/>
      <c r="D26" s="165"/>
      <c r="E26" s="165"/>
      <c r="F26" s="165"/>
      <c r="G26" s="165"/>
      <c r="H26" s="165"/>
      <c r="I26" s="165"/>
      <c r="J26" s="165"/>
      <c r="K26" s="165"/>
      <c r="L26" s="165"/>
      <c r="M26" s="165"/>
      <c r="N26" s="165"/>
      <c r="O26" s="165"/>
      <c r="P26" s="165"/>
      <c r="Q26" s="165"/>
      <c r="R26" s="165"/>
      <c r="S26" s="165"/>
      <c r="T26" s="165"/>
      <c r="U26" s="165"/>
      <c r="V26" s="165"/>
      <c r="W26" s="165"/>
      <c r="X26" s="165"/>
    </row>
    <row r="27" ht="18.75" customHeight="1">
      <c r="A27" s="165">
        <v>25.0</v>
      </c>
      <c r="B27" s="165" t="s">
        <v>15511</v>
      </c>
      <c r="C27" s="165"/>
      <c r="D27" s="165"/>
      <c r="E27" s="165"/>
      <c r="F27" s="165"/>
      <c r="G27" s="165"/>
      <c r="H27" s="165"/>
      <c r="I27" s="165"/>
      <c r="J27" s="165"/>
      <c r="K27" s="165"/>
      <c r="L27" s="165"/>
      <c r="M27" s="165"/>
      <c r="N27" s="165"/>
      <c r="O27" s="165"/>
      <c r="P27" s="165"/>
      <c r="Q27" s="165"/>
      <c r="R27" s="165"/>
      <c r="S27" s="165"/>
      <c r="T27" s="165"/>
      <c r="U27" s="165"/>
      <c r="V27" s="165"/>
      <c r="W27" s="165"/>
      <c r="X27" s="165"/>
    </row>
    <row r="28" ht="18.75" customHeight="1">
      <c r="A28" s="165">
        <v>26.0</v>
      </c>
      <c r="B28" s="165" t="s">
        <v>15512</v>
      </c>
      <c r="C28" s="165"/>
      <c r="D28" s="165"/>
      <c r="E28" s="165"/>
      <c r="F28" s="165"/>
      <c r="G28" s="165"/>
      <c r="H28" s="165"/>
      <c r="I28" s="165"/>
      <c r="J28" s="165"/>
      <c r="K28" s="165"/>
      <c r="L28" s="165"/>
      <c r="M28" s="165"/>
      <c r="N28" s="165"/>
      <c r="O28" s="165"/>
      <c r="P28" s="165"/>
      <c r="Q28" s="165"/>
      <c r="R28" s="165"/>
      <c r="S28" s="165"/>
      <c r="T28" s="165"/>
      <c r="U28" s="165"/>
      <c r="V28" s="165"/>
      <c r="W28" s="165"/>
      <c r="X28" s="165"/>
    </row>
    <row r="29" ht="18.75" customHeight="1">
      <c r="A29" s="165">
        <v>27.0</v>
      </c>
      <c r="B29" s="165" t="s">
        <v>15513</v>
      </c>
      <c r="C29" s="165"/>
      <c r="D29" s="165"/>
      <c r="E29" s="165"/>
      <c r="F29" s="165"/>
      <c r="G29" s="165"/>
      <c r="H29" s="165"/>
      <c r="I29" s="165"/>
      <c r="J29" s="165"/>
      <c r="K29" s="165"/>
      <c r="L29" s="165"/>
      <c r="M29" s="165"/>
      <c r="N29" s="165"/>
      <c r="O29" s="165"/>
      <c r="P29" s="165"/>
      <c r="Q29" s="165"/>
      <c r="R29" s="165"/>
      <c r="S29" s="165"/>
      <c r="T29" s="165"/>
      <c r="U29" s="165"/>
      <c r="V29" s="165"/>
      <c r="W29" s="165"/>
      <c r="X29" s="165"/>
    </row>
    <row r="30" ht="18.75" customHeight="1">
      <c r="A30" s="165">
        <v>28.0</v>
      </c>
      <c r="B30" s="165" t="s">
        <v>15514</v>
      </c>
      <c r="C30" s="165"/>
      <c r="D30" s="165"/>
      <c r="E30" s="165"/>
      <c r="F30" s="165"/>
      <c r="G30" s="165"/>
      <c r="H30" s="165"/>
      <c r="I30" s="165"/>
      <c r="J30" s="165"/>
      <c r="K30" s="165"/>
      <c r="L30" s="165"/>
      <c r="M30" s="165"/>
      <c r="N30" s="165"/>
      <c r="O30" s="165"/>
      <c r="P30" s="165"/>
      <c r="Q30" s="165"/>
      <c r="R30" s="165"/>
      <c r="S30" s="165"/>
      <c r="T30" s="165"/>
      <c r="U30" s="165"/>
      <c r="V30" s="165"/>
      <c r="W30" s="165"/>
      <c r="X30" s="165"/>
    </row>
    <row r="31" ht="18.75" customHeight="1">
      <c r="A31" s="165">
        <v>29.0</v>
      </c>
      <c r="B31" s="165" t="s">
        <v>15515</v>
      </c>
      <c r="C31" s="165"/>
      <c r="D31" s="165"/>
      <c r="E31" s="165"/>
      <c r="F31" s="165"/>
      <c r="G31" s="165"/>
      <c r="H31" s="165"/>
      <c r="I31" s="165"/>
      <c r="J31" s="165"/>
      <c r="K31" s="165"/>
      <c r="L31" s="165"/>
      <c r="M31" s="165"/>
      <c r="N31" s="165"/>
      <c r="O31" s="165"/>
      <c r="P31" s="165"/>
      <c r="Q31" s="165"/>
      <c r="R31" s="165"/>
      <c r="S31" s="165"/>
      <c r="T31" s="165"/>
      <c r="U31" s="165"/>
      <c r="V31" s="165"/>
      <c r="W31" s="165"/>
      <c r="X31" s="165"/>
    </row>
    <row r="32" ht="18.75" customHeight="1">
      <c r="A32" s="165">
        <v>30.0</v>
      </c>
      <c r="B32" s="165" t="s">
        <v>15516</v>
      </c>
      <c r="C32" s="165"/>
      <c r="D32" s="165"/>
      <c r="E32" s="165"/>
      <c r="F32" s="165"/>
      <c r="G32" s="165"/>
      <c r="H32" s="165"/>
      <c r="I32" s="165"/>
      <c r="J32" s="165"/>
      <c r="K32" s="165"/>
      <c r="L32" s="165"/>
      <c r="M32" s="165"/>
      <c r="N32" s="165"/>
      <c r="O32" s="165"/>
      <c r="P32" s="165"/>
      <c r="Q32" s="165"/>
      <c r="R32" s="165"/>
      <c r="S32" s="165"/>
      <c r="T32" s="165"/>
      <c r="U32" s="165"/>
      <c r="V32" s="165"/>
      <c r="W32" s="165"/>
      <c r="X32" s="165"/>
    </row>
    <row r="33" ht="18.75" customHeight="1">
      <c r="A33" s="165">
        <v>31.0</v>
      </c>
      <c r="B33" s="165" t="s">
        <v>15517</v>
      </c>
      <c r="C33" s="165"/>
      <c r="D33" s="165"/>
      <c r="E33" s="165"/>
      <c r="F33" s="165"/>
      <c r="G33" s="165"/>
      <c r="H33" s="165"/>
      <c r="I33" s="165"/>
      <c r="J33" s="165"/>
      <c r="K33" s="165"/>
      <c r="L33" s="165"/>
      <c r="M33" s="165"/>
      <c r="N33" s="165"/>
      <c r="O33" s="165"/>
      <c r="P33" s="165"/>
      <c r="Q33" s="165"/>
      <c r="R33" s="165"/>
      <c r="S33" s="165"/>
      <c r="T33" s="165"/>
      <c r="U33" s="165"/>
      <c r="V33" s="165"/>
      <c r="W33" s="165"/>
      <c r="X33" s="165"/>
    </row>
    <row r="34" ht="18.75" customHeight="1">
      <c r="A34" s="165">
        <v>32.0</v>
      </c>
      <c r="B34" s="165" t="s">
        <v>15518</v>
      </c>
      <c r="C34" s="165"/>
      <c r="D34" s="165"/>
      <c r="E34" s="165"/>
      <c r="F34" s="165"/>
      <c r="G34" s="165"/>
      <c r="H34" s="165"/>
      <c r="I34" s="165"/>
      <c r="J34" s="165"/>
      <c r="K34" s="165"/>
      <c r="L34" s="165"/>
      <c r="M34" s="165"/>
      <c r="N34" s="165"/>
      <c r="O34" s="165"/>
      <c r="P34" s="165"/>
      <c r="Q34" s="165"/>
      <c r="R34" s="165"/>
      <c r="S34" s="165"/>
      <c r="T34" s="165"/>
      <c r="U34" s="165"/>
      <c r="V34" s="165"/>
      <c r="W34" s="165"/>
      <c r="X34" s="165"/>
    </row>
    <row r="35" ht="18.75" customHeight="1">
      <c r="A35" s="165">
        <v>33.0</v>
      </c>
      <c r="B35" s="165" t="s">
        <v>15519</v>
      </c>
      <c r="C35" s="165"/>
      <c r="D35" s="165"/>
      <c r="E35" s="165"/>
      <c r="F35" s="165"/>
      <c r="G35" s="165"/>
      <c r="H35" s="165"/>
      <c r="I35" s="165"/>
      <c r="J35" s="165"/>
      <c r="K35" s="165"/>
      <c r="L35" s="165"/>
      <c r="M35" s="165"/>
      <c r="N35" s="165"/>
      <c r="O35" s="165"/>
      <c r="P35" s="165"/>
      <c r="Q35" s="165"/>
      <c r="R35" s="165"/>
      <c r="S35" s="165"/>
      <c r="T35" s="165"/>
      <c r="U35" s="165"/>
      <c r="V35" s="165"/>
      <c r="W35" s="165"/>
      <c r="X35" s="165"/>
    </row>
    <row r="36" ht="18.75" customHeight="1">
      <c r="A36" s="165">
        <v>34.0</v>
      </c>
      <c r="B36" s="165" t="s">
        <v>15520</v>
      </c>
      <c r="C36" s="165"/>
      <c r="D36" s="165"/>
      <c r="E36" s="165"/>
      <c r="F36" s="165"/>
      <c r="G36" s="165"/>
      <c r="H36" s="165"/>
      <c r="I36" s="165"/>
      <c r="J36" s="165"/>
      <c r="K36" s="165"/>
      <c r="L36" s="165"/>
      <c r="M36" s="165"/>
      <c r="N36" s="165"/>
      <c r="O36" s="165"/>
      <c r="P36" s="165"/>
      <c r="Q36" s="165"/>
      <c r="R36" s="165"/>
      <c r="S36" s="165"/>
      <c r="T36" s="165"/>
      <c r="U36" s="165"/>
      <c r="V36" s="165"/>
      <c r="W36" s="165"/>
      <c r="X36" s="165"/>
    </row>
    <row r="37" ht="18.75" customHeight="1">
      <c r="A37" s="165">
        <v>35.0</v>
      </c>
      <c r="B37" s="165" t="s">
        <v>15521</v>
      </c>
      <c r="C37" s="165"/>
      <c r="D37" s="165"/>
      <c r="E37" s="165"/>
      <c r="F37" s="165"/>
      <c r="G37" s="165"/>
      <c r="H37" s="165"/>
      <c r="I37" s="165"/>
      <c r="J37" s="165"/>
      <c r="K37" s="165"/>
      <c r="L37" s="165"/>
      <c r="M37" s="165"/>
      <c r="N37" s="165"/>
      <c r="O37" s="165"/>
      <c r="P37" s="165"/>
      <c r="Q37" s="165"/>
      <c r="R37" s="165"/>
      <c r="S37" s="165"/>
      <c r="T37" s="165"/>
      <c r="U37" s="165"/>
      <c r="V37" s="165"/>
      <c r="W37" s="165"/>
      <c r="X37" s="165"/>
    </row>
    <row r="38" ht="18.75" customHeight="1">
      <c r="A38" s="165">
        <v>36.0</v>
      </c>
      <c r="B38" s="165" t="s">
        <v>15522</v>
      </c>
      <c r="C38" s="165"/>
      <c r="D38" s="165"/>
      <c r="E38" s="165"/>
      <c r="F38" s="165"/>
      <c r="G38" s="165"/>
      <c r="H38" s="165"/>
      <c r="I38" s="165"/>
      <c r="J38" s="165"/>
      <c r="K38" s="165"/>
      <c r="L38" s="165"/>
      <c r="M38" s="165"/>
      <c r="N38" s="165"/>
      <c r="O38" s="165"/>
      <c r="P38" s="165"/>
      <c r="Q38" s="165"/>
      <c r="R38" s="165"/>
      <c r="S38" s="165"/>
      <c r="T38" s="165"/>
      <c r="U38" s="165"/>
      <c r="V38" s="165"/>
      <c r="W38" s="165"/>
      <c r="X38" s="165"/>
    </row>
    <row r="39" ht="18.75" customHeight="1">
      <c r="A39" s="165">
        <v>37.0</v>
      </c>
      <c r="B39" s="165" t="s">
        <v>15523</v>
      </c>
      <c r="C39" s="165"/>
      <c r="D39" s="165"/>
      <c r="E39" s="165"/>
      <c r="F39" s="165"/>
      <c r="G39" s="165"/>
      <c r="H39" s="165"/>
      <c r="I39" s="165"/>
      <c r="J39" s="165"/>
      <c r="K39" s="165"/>
      <c r="L39" s="165"/>
      <c r="M39" s="165"/>
      <c r="N39" s="165"/>
      <c r="O39" s="165"/>
      <c r="P39" s="165"/>
      <c r="Q39" s="165"/>
      <c r="R39" s="165"/>
      <c r="S39" s="165"/>
      <c r="T39" s="165"/>
      <c r="U39" s="165"/>
      <c r="V39" s="165"/>
      <c r="W39" s="165"/>
      <c r="X39" s="165"/>
    </row>
    <row r="40" ht="18.75" customHeight="1">
      <c r="A40" s="165">
        <v>38.0</v>
      </c>
      <c r="B40" s="165" t="s">
        <v>15524</v>
      </c>
      <c r="C40" s="165"/>
      <c r="D40" s="165"/>
      <c r="E40" s="165"/>
      <c r="F40" s="165"/>
      <c r="G40" s="165"/>
      <c r="H40" s="165"/>
      <c r="I40" s="165"/>
      <c r="J40" s="165"/>
      <c r="K40" s="165"/>
      <c r="L40" s="165"/>
      <c r="M40" s="165"/>
      <c r="N40" s="165"/>
      <c r="O40" s="165"/>
      <c r="P40" s="165"/>
      <c r="Q40" s="165"/>
      <c r="R40" s="165"/>
      <c r="S40" s="165"/>
      <c r="T40" s="165"/>
      <c r="U40" s="165"/>
      <c r="V40" s="165"/>
      <c r="W40" s="165"/>
      <c r="X40" s="165"/>
    </row>
    <row r="41" ht="18.75" customHeight="1">
      <c r="A41" s="165">
        <v>39.0</v>
      </c>
      <c r="B41" s="165" t="s">
        <v>15525</v>
      </c>
      <c r="C41" s="165"/>
      <c r="D41" s="165"/>
      <c r="E41" s="165"/>
      <c r="F41" s="165"/>
      <c r="G41" s="165"/>
      <c r="H41" s="165"/>
      <c r="I41" s="165"/>
      <c r="J41" s="165"/>
      <c r="K41" s="165"/>
      <c r="L41" s="165"/>
      <c r="M41" s="165"/>
      <c r="N41" s="165"/>
      <c r="O41" s="165"/>
      <c r="P41" s="165"/>
      <c r="Q41" s="165"/>
      <c r="R41" s="165"/>
      <c r="S41" s="165"/>
      <c r="T41" s="165"/>
      <c r="U41" s="165"/>
      <c r="V41" s="165"/>
      <c r="W41" s="165"/>
      <c r="X41" s="165"/>
    </row>
    <row r="42" ht="18.75" customHeight="1">
      <c r="A42" s="165">
        <v>40.0</v>
      </c>
      <c r="B42" s="165" t="s">
        <v>15526</v>
      </c>
      <c r="C42" s="165"/>
      <c r="D42" s="165"/>
      <c r="E42" s="165"/>
      <c r="F42" s="165"/>
      <c r="G42" s="165"/>
      <c r="H42" s="165"/>
      <c r="I42" s="165"/>
      <c r="J42" s="165"/>
      <c r="K42" s="165"/>
      <c r="L42" s="165"/>
      <c r="M42" s="165"/>
      <c r="N42" s="165"/>
      <c r="O42" s="165"/>
      <c r="P42" s="165"/>
      <c r="Q42" s="165"/>
      <c r="R42" s="165"/>
      <c r="S42" s="165"/>
      <c r="T42" s="165"/>
      <c r="U42" s="165"/>
      <c r="V42" s="165"/>
      <c r="W42" s="165"/>
      <c r="X42" s="165"/>
    </row>
    <row r="43" ht="18.75" customHeight="1">
      <c r="A43" s="165">
        <v>41.0</v>
      </c>
      <c r="B43" s="165" t="s">
        <v>15527</v>
      </c>
      <c r="C43" s="165"/>
      <c r="D43" s="165"/>
      <c r="E43" s="165"/>
      <c r="F43" s="165"/>
      <c r="G43" s="165"/>
      <c r="H43" s="165"/>
      <c r="I43" s="165"/>
      <c r="J43" s="165"/>
      <c r="K43" s="165"/>
      <c r="L43" s="165"/>
      <c r="M43" s="165"/>
      <c r="N43" s="165"/>
      <c r="O43" s="165"/>
      <c r="P43" s="165"/>
      <c r="Q43" s="165"/>
      <c r="R43" s="165"/>
      <c r="S43" s="165"/>
      <c r="T43" s="165"/>
      <c r="U43" s="165"/>
      <c r="V43" s="165"/>
      <c r="W43" s="165"/>
      <c r="X43" s="165"/>
    </row>
    <row r="44" ht="18.75" customHeight="1">
      <c r="A44" s="165">
        <v>42.0</v>
      </c>
      <c r="B44" s="166" t="s">
        <v>15528</v>
      </c>
      <c r="C44" s="165"/>
      <c r="D44" s="165"/>
      <c r="E44" s="165"/>
      <c r="F44" s="165"/>
      <c r="G44" s="165"/>
      <c r="H44" s="165"/>
      <c r="I44" s="165"/>
      <c r="J44" s="165"/>
      <c r="K44" s="165"/>
      <c r="L44" s="165"/>
      <c r="M44" s="165"/>
      <c r="N44" s="165"/>
      <c r="O44" s="165"/>
      <c r="P44" s="165"/>
      <c r="Q44" s="165"/>
      <c r="R44" s="165"/>
      <c r="S44" s="165"/>
      <c r="T44" s="165"/>
      <c r="U44" s="165"/>
      <c r="V44" s="165"/>
      <c r="W44" s="165"/>
      <c r="X44" s="165"/>
    </row>
    <row r="45" ht="18.75" customHeight="1">
      <c r="A45" s="165">
        <v>43.0</v>
      </c>
      <c r="B45" s="165" t="s">
        <v>15529</v>
      </c>
      <c r="C45" s="165"/>
      <c r="D45" s="165"/>
      <c r="E45" s="165"/>
      <c r="F45" s="165"/>
      <c r="G45" s="165"/>
      <c r="H45" s="165"/>
      <c r="I45" s="165"/>
      <c r="J45" s="165"/>
      <c r="K45" s="165"/>
      <c r="L45" s="165"/>
      <c r="M45" s="165"/>
      <c r="N45" s="165"/>
      <c r="O45" s="165"/>
      <c r="P45" s="165"/>
      <c r="Q45" s="165"/>
      <c r="R45" s="165"/>
      <c r="S45" s="165"/>
      <c r="T45" s="165"/>
      <c r="U45" s="165"/>
      <c r="V45" s="165"/>
      <c r="W45" s="165"/>
      <c r="X45" s="165"/>
    </row>
    <row r="46" ht="18.75" customHeight="1">
      <c r="A46" s="165">
        <v>44.0</v>
      </c>
      <c r="B46" s="165" t="s">
        <v>15530</v>
      </c>
      <c r="C46" s="165"/>
      <c r="D46" s="165"/>
      <c r="E46" s="165"/>
      <c r="F46" s="165"/>
      <c r="G46" s="165"/>
      <c r="H46" s="165"/>
      <c r="I46" s="165"/>
      <c r="J46" s="165"/>
      <c r="K46" s="165"/>
      <c r="L46" s="165"/>
      <c r="M46" s="165"/>
      <c r="N46" s="165"/>
      <c r="O46" s="165"/>
      <c r="P46" s="165"/>
      <c r="Q46" s="165"/>
      <c r="R46" s="165"/>
      <c r="S46" s="165"/>
      <c r="T46" s="165"/>
      <c r="U46" s="165"/>
      <c r="V46" s="165"/>
      <c r="W46" s="165"/>
      <c r="X46" s="165"/>
    </row>
    <row r="47" ht="18.75" customHeight="1">
      <c r="A47" s="165">
        <v>45.0</v>
      </c>
      <c r="B47" s="167" t="s">
        <v>15531</v>
      </c>
      <c r="C47" s="165"/>
      <c r="D47" s="165"/>
      <c r="E47" s="165"/>
      <c r="F47" s="165"/>
      <c r="G47" s="165"/>
      <c r="H47" s="165"/>
      <c r="I47" s="165"/>
      <c r="J47" s="165"/>
      <c r="K47" s="165"/>
      <c r="L47" s="165"/>
      <c r="M47" s="165"/>
      <c r="N47" s="165"/>
      <c r="O47" s="165"/>
      <c r="P47" s="165"/>
      <c r="Q47" s="165"/>
      <c r="R47" s="165"/>
      <c r="S47" s="165"/>
      <c r="T47" s="165"/>
      <c r="U47" s="165"/>
      <c r="V47" s="165"/>
      <c r="W47" s="165"/>
      <c r="X47" s="165"/>
    </row>
    <row r="48" ht="18.75" customHeight="1">
      <c r="A48" s="165">
        <v>46.0</v>
      </c>
      <c r="B48" s="165" t="s">
        <v>15532</v>
      </c>
      <c r="C48" s="165"/>
      <c r="D48" s="165"/>
      <c r="E48" s="165"/>
      <c r="F48" s="165"/>
      <c r="G48" s="165"/>
      <c r="H48" s="165"/>
      <c r="I48" s="165"/>
      <c r="J48" s="165"/>
      <c r="K48" s="165"/>
      <c r="L48" s="165"/>
      <c r="M48" s="165"/>
      <c r="N48" s="165"/>
      <c r="O48" s="165"/>
      <c r="P48" s="165"/>
      <c r="Q48" s="165"/>
      <c r="R48" s="165"/>
      <c r="S48" s="165"/>
      <c r="T48" s="165"/>
      <c r="U48" s="165"/>
      <c r="V48" s="165"/>
      <c r="W48" s="165"/>
      <c r="X48" s="165"/>
    </row>
    <row r="49" ht="18.75" customHeight="1">
      <c r="A49" s="165">
        <v>47.0</v>
      </c>
      <c r="B49" s="165" t="s">
        <v>15533</v>
      </c>
      <c r="C49" s="165"/>
      <c r="D49" s="165"/>
      <c r="E49" s="165"/>
      <c r="F49" s="165"/>
      <c r="G49" s="165"/>
      <c r="H49" s="165"/>
      <c r="I49" s="165"/>
      <c r="J49" s="165"/>
      <c r="K49" s="165"/>
      <c r="L49" s="165"/>
      <c r="M49" s="165"/>
      <c r="N49" s="165"/>
      <c r="O49" s="165"/>
      <c r="P49" s="165"/>
      <c r="Q49" s="165"/>
      <c r="R49" s="165"/>
      <c r="S49" s="165"/>
      <c r="T49" s="165"/>
      <c r="U49" s="165"/>
      <c r="V49" s="165"/>
      <c r="W49" s="165"/>
      <c r="X49" s="165"/>
    </row>
    <row r="50" ht="18.75" customHeight="1">
      <c r="A50" s="165">
        <v>48.0</v>
      </c>
      <c r="B50" s="165" t="s">
        <v>15534</v>
      </c>
      <c r="C50" s="165"/>
      <c r="D50" s="165"/>
      <c r="E50" s="165"/>
      <c r="F50" s="165"/>
      <c r="G50" s="165"/>
      <c r="H50" s="165"/>
      <c r="I50" s="165"/>
      <c r="J50" s="165"/>
      <c r="K50" s="165"/>
      <c r="L50" s="165"/>
      <c r="M50" s="165"/>
      <c r="N50" s="165"/>
      <c r="O50" s="165"/>
      <c r="P50" s="165"/>
      <c r="Q50" s="165"/>
      <c r="R50" s="165"/>
      <c r="S50" s="165"/>
      <c r="T50" s="165"/>
      <c r="U50" s="165"/>
      <c r="V50" s="165"/>
      <c r="W50" s="165"/>
      <c r="X50" s="165"/>
    </row>
    <row r="51" ht="18.75" customHeight="1">
      <c r="A51" s="165">
        <v>49.0</v>
      </c>
      <c r="B51" s="165" t="s">
        <v>15535</v>
      </c>
      <c r="C51" s="165"/>
      <c r="D51" s="165"/>
      <c r="E51" s="165"/>
      <c r="F51" s="165"/>
      <c r="G51" s="165"/>
      <c r="H51" s="165"/>
      <c r="I51" s="165"/>
      <c r="J51" s="165"/>
      <c r="K51" s="165"/>
      <c r="L51" s="165"/>
      <c r="M51" s="165"/>
      <c r="N51" s="165"/>
      <c r="O51" s="165"/>
      <c r="P51" s="165"/>
      <c r="Q51" s="165"/>
      <c r="R51" s="165"/>
      <c r="S51" s="165"/>
      <c r="T51" s="165"/>
      <c r="U51" s="165"/>
      <c r="V51" s="165"/>
      <c r="W51" s="165"/>
      <c r="X51" s="165"/>
    </row>
    <row r="52" ht="18.75" customHeight="1">
      <c r="A52" s="165">
        <v>50.0</v>
      </c>
      <c r="B52" s="165" t="s">
        <v>15536</v>
      </c>
      <c r="C52" s="165"/>
      <c r="D52" s="165"/>
      <c r="E52" s="165"/>
      <c r="F52" s="165"/>
      <c r="G52" s="165"/>
      <c r="H52" s="165"/>
      <c r="I52" s="165"/>
      <c r="J52" s="165"/>
      <c r="K52" s="165"/>
      <c r="L52" s="165"/>
      <c r="M52" s="165"/>
      <c r="N52" s="165"/>
      <c r="O52" s="165"/>
      <c r="P52" s="165"/>
      <c r="Q52" s="165"/>
      <c r="R52" s="165"/>
      <c r="S52" s="165"/>
      <c r="T52" s="165"/>
      <c r="U52" s="165"/>
      <c r="V52" s="165"/>
      <c r="W52" s="165"/>
      <c r="X52" s="165"/>
    </row>
    <row r="53" ht="18.75" customHeight="1">
      <c r="A53" s="165">
        <v>51.0</v>
      </c>
      <c r="B53" s="166" t="s">
        <v>15537</v>
      </c>
      <c r="C53" s="165"/>
      <c r="D53" s="165"/>
      <c r="E53" s="165"/>
      <c r="F53" s="165"/>
      <c r="G53" s="165"/>
      <c r="H53" s="165"/>
      <c r="I53" s="165"/>
      <c r="J53" s="165"/>
      <c r="K53" s="165"/>
      <c r="L53" s="165"/>
      <c r="M53" s="165"/>
      <c r="N53" s="165"/>
      <c r="O53" s="165"/>
      <c r="P53" s="165"/>
      <c r="Q53" s="165"/>
      <c r="R53" s="165"/>
      <c r="S53" s="165"/>
      <c r="T53" s="165"/>
      <c r="U53" s="165"/>
      <c r="V53" s="165"/>
      <c r="W53" s="165"/>
      <c r="X53" s="165"/>
    </row>
    <row r="54" ht="18.75" customHeight="1">
      <c r="A54" s="165">
        <v>52.0</v>
      </c>
      <c r="B54" s="166" t="s">
        <v>15538</v>
      </c>
      <c r="C54" s="165"/>
      <c r="D54" s="165"/>
      <c r="E54" s="165"/>
      <c r="F54" s="165"/>
      <c r="G54" s="165"/>
      <c r="H54" s="165"/>
      <c r="I54" s="165"/>
      <c r="J54" s="165"/>
      <c r="K54" s="165"/>
      <c r="L54" s="165"/>
      <c r="M54" s="165"/>
      <c r="N54" s="165"/>
      <c r="O54" s="165"/>
      <c r="P54" s="165"/>
      <c r="Q54" s="165"/>
      <c r="R54" s="165"/>
      <c r="S54" s="165"/>
      <c r="T54" s="165"/>
      <c r="U54" s="165"/>
      <c r="V54" s="165"/>
      <c r="W54" s="165"/>
      <c r="X54" s="165"/>
    </row>
    <row r="55" ht="18.75" customHeight="1">
      <c r="A55" s="165">
        <v>53.0</v>
      </c>
      <c r="B55" s="166" t="s">
        <v>15539</v>
      </c>
      <c r="C55" s="165"/>
      <c r="D55" s="165"/>
      <c r="E55" s="165"/>
      <c r="F55" s="165"/>
      <c r="G55" s="165"/>
      <c r="H55" s="165"/>
      <c r="I55" s="165"/>
      <c r="J55" s="165"/>
      <c r="K55" s="165"/>
      <c r="L55" s="165"/>
      <c r="M55" s="165"/>
      <c r="N55" s="165"/>
      <c r="O55" s="165"/>
      <c r="P55" s="165"/>
      <c r="Q55" s="165"/>
      <c r="R55" s="165"/>
      <c r="S55" s="165"/>
      <c r="T55" s="165"/>
      <c r="U55" s="165"/>
      <c r="V55" s="165"/>
      <c r="W55" s="165"/>
      <c r="X55" s="165"/>
    </row>
    <row r="56" ht="18.75" customHeight="1">
      <c r="A56" s="165">
        <v>54.0</v>
      </c>
      <c r="B56" s="166" t="s">
        <v>15540</v>
      </c>
      <c r="C56" s="165"/>
      <c r="D56" s="165"/>
      <c r="E56" s="165"/>
      <c r="F56" s="165"/>
      <c r="G56" s="165"/>
      <c r="H56" s="165"/>
      <c r="I56" s="165"/>
      <c r="J56" s="165"/>
      <c r="K56" s="165"/>
      <c r="L56" s="165"/>
      <c r="M56" s="165"/>
      <c r="N56" s="165"/>
      <c r="O56" s="165"/>
      <c r="P56" s="165"/>
      <c r="Q56" s="165"/>
      <c r="R56" s="165"/>
      <c r="S56" s="165"/>
      <c r="T56" s="165"/>
      <c r="U56" s="165"/>
      <c r="V56" s="165"/>
      <c r="W56" s="165"/>
      <c r="X56" s="165"/>
    </row>
    <row r="57" ht="18.75" customHeight="1">
      <c r="A57" s="165">
        <v>55.0</v>
      </c>
      <c r="B57" s="166" t="s">
        <v>15541</v>
      </c>
      <c r="C57" s="165"/>
      <c r="D57" s="165"/>
      <c r="E57" s="165"/>
      <c r="F57" s="165"/>
      <c r="G57" s="165"/>
      <c r="H57" s="165"/>
      <c r="I57" s="165"/>
      <c r="J57" s="165"/>
      <c r="K57" s="165"/>
      <c r="L57" s="165"/>
      <c r="M57" s="165"/>
      <c r="N57" s="165"/>
      <c r="O57" s="165"/>
      <c r="P57" s="165"/>
      <c r="Q57" s="165"/>
      <c r="R57" s="165"/>
      <c r="S57" s="165"/>
      <c r="T57" s="165"/>
      <c r="U57" s="165"/>
      <c r="V57" s="165"/>
      <c r="W57" s="165"/>
      <c r="X57" s="165"/>
    </row>
    <row r="58" ht="18.75" customHeight="1">
      <c r="A58" s="165">
        <v>56.0</v>
      </c>
      <c r="B58" s="166" t="s">
        <v>15542</v>
      </c>
      <c r="C58" s="165"/>
      <c r="D58" s="165"/>
      <c r="E58" s="165"/>
      <c r="F58" s="165"/>
      <c r="G58" s="165"/>
      <c r="H58" s="165"/>
      <c r="I58" s="165"/>
      <c r="J58" s="165"/>
      <c r="K58" s="165"/>
      <c r="L58" s="165"/>
      <c r="M58" s="165"/>
      <c r="N58" s="165"/>
      <c r="O58" s="165"/>
      <c r="P58" s="165"/>
      <c r="Q58" s="165"/>
      <c r="R58" s="165"/>
      <c r="S58" s="165"/>
      <c r="T58" s="165"/>
      <c r="U58" s="165"/>
      <c r="V58" s="165"/>
      <c r="W58" s="165"/>
      <c r="X58" s="165"/>
    </row>
    <row r="59" ht="18.75" customHeight="1">
      <c r="A59" s="165">
        <v>57.0</v>
      </c>
      <c r="B59" s="166" t="s">
        <v>15543</v>
      </c>
      <c r="C59" s="165"/>
      <c r="D59" s="165"/>
      <c r="E59" s="165"/>
      <c r="F59" s="165"/>
      <c r="G59" s="165"/>
      <c r="H59" s="165"/>
      <c r="I59" s="165"/>
      <c r="J59" s="165"/>
      <c r="K59" s="165"/>
      <c r="L59" s="165"/>
      <c r="M59" s="165"/>
      <c r="N59" s="165"/>
      <c r="O59" s="165"/>
      <c r="P59" s="165"/>
      <c r="Q59" s="165"/>
      <c r="R59" s="165"/>
      <c r="S59" s="165"/>
      <c r="T59" s="165"/>
      <c r="U59" s="165"/>
      <c r="V59" s="165"/>
      <c r="W59" s="165"/>
      <c r="X59" s="165"/>
    </row>
    <row r="60" ht="18.75" customHeight="1">
      <c r="A60" s="165">
        <v>58.0</v>
      </c>
      <c r="B60" s="166" t="s">
        <v>15544</v>
      </c>
      <c r="C60" s="165"/>
      <c r="D60" s="165"/>
      <c r="E60" s="165"/>
      <c r="F60" s="165"/>
      <c r="G60" s="165"/>
      <c r="H60" s="165"/>
      <c r="I60" s="165"/>
      <c r="J60" s="165"/>
      <c r="K60" s="165"/>
      <c r="L60" s="165"/>
      <c r="M60" s="165"/>
      <c r="N60" s="165"/>
      <c r="O60" s="165"/>
      <c r="P60" s="165"/>
      <c r="Q60" s="165"/>
      <c r="R60" s="165"/>
      <c r="S60" s="165"/>
      <c r="T60" s="165"/>
      <c r="U60" s="165"/>
      <c r="V60" s="165"/>
      <c r="W60" s="165"/>
      <c r="X60" s="165"/>
    </row>
    <row r="61" ht="18.75" customHeight="1">
      <c r="A61" s="165">
        <v>59.0</v>
      </c>
      <c r="B61" s="165" t="s">
        <v>15545</v>
      </c>
      <c r="C61" s="165"/>
      <c r="D61" s="165"/>
      <c r="E61" s="165"/>
      <c r="F61" s="165"/>
      <c r="G61" s="165"/>
      <c r="H61" s="165"/>
      <c r="I61" s="165"/>
      <c r="J61" s="165"/>
      <c r="K61" s="165"/>
      <c r="L61" s="165"/>
      <c r="M61" s="165"/>
      <c r="N61" s="165"/>
      <c r="O61" s="165"/>
      <c r="P61" s="165"/>
      <c r="Q61" s="165"/>
      <c r="R61" s="165"/>
      <c r="S61" s="165"/>
      <c r="T61" s="165"/>
      <c r="U61" s="165"/>
      <c r="V61" s="165"/>
      <c r="W61" s="165"/>
      <c r="X61" s="165"/>
    </row>
    <row r="62" ht="18.75" customHeight="1">
      <c r="A62" s="165">
        <v>60.0</v>
      </c>
      <c r="B62" s="165" t="s">
        <v>15546</v>
      </c>
      <c r="C62" s="165"/>
      <c r="D62" s="165"/>
      <c r="E62" s="165"/>
      <c r="F62" s="165"/>
      <c r="G62" s="165"/>
      <c r="H62" s="165"/>
      <c r="I62" s="165"/>
      <c r="J62" s="165"/>
      <c r="K62" s="165"/>
      <c r="L62" s="165"/>
      <c r="M62" s="165"/>
      <c r="N62" s="165"/>
      <c r="O62" s="165"/>
      <c r="P62" s="165"/>
      <c r="Q62" s="165"/>
      <c r="R62" s="165"/>
      <c r="S62" s="165"/>
      <c r="T62" s="165"/>
      <c r="U62" s="165"/>
      <c r="V62" s="165"/>
      <c r="W62" s="165"/>
      <c r="X62" s="165"/>
    </row>
    <row r="63" ht="18.75" customHeight="1">
      <c r="A63" s="165">
        <v>61.0</v>
      </c>
      <c r="B63" s="165" t="s">
        <v>15547</v>
      </c>
      <c r="C63" s="165"/>
      <c r="D63" s="165"/>
      <c r="E63" s="165"/>
      <c r="F63" s="165"/>
      <c r="G63" s="165"/>
      <c r="H63" s="165"/>
      <c r="I63" s="165"/>
      <c r="J63" s="165"/>
      <c r="K63" s="165"/>
      <c r="L63" s="165"/>
      <c r="M63" s="165"/>
      <c r="N63" s="165"/>
      <c r="O63" s="165"/>
      <c r="P63" s="165"/>
      <c r="Q63" s="165"/>
      <c r="R63" s="165"/>
      <c r="S63" s="165"/>
      <c r="T63" s="165"/>
      <c r="U63" s="165"/>
      <c r="V63" s="165"/>
      <c r="W63" s="165"/>
      <c r="X63" s="165"/>
    </row>
    <row r="64" ht="18.75" customHeight="1">
      <c r="A64" s="165">
        <v>62.0</v>
      </c>
      <c r="B64" s="165" t="s">
        <v>15548</v>
      </c>
      <c r="C64" s="165"/>
      <c r="D64" s="165"/>
      <c r="E64" s="165"/>
      <c r="F64" s="165"/>
      <c r="G64" s="165"/>
      <c r="H64" s="165"/>
      <c r="I64" s="165"/>
      <c r="J64" s="165"/>
      <c r="K64" s="165"/>
      <c r="L64" s="165"/>
      <c r="M64" s="165"/>
      <c r="N64" s="165"/>
      <c r="O64" s="165"/>
      <c r="P64" s="165"/>
      <c r="Q64" s="165"/>
      <c r="R64" s="165"/>
      <c r="S64" s="165"/>
      <c r="T64" s="165"/>
      <c r="U64" s="165"/>
      <c r="V64" s="165"/>
      <c r="W64" s="165"/>
      <c r="X64" s="165"/>
    </row>
    <row r="65" ht="18.75" customHeight="1">
      <c r="A65" s="165">
        <v>63.0</v>
      </c>
      <c r="B65" s="165" t="s">
        <v>15549</v>
      </c>
      <c r="C65" s="165"/>
      <c r="D65" s="165"/>
      <c r="E65" s="165"/>
      <c r="F65" s="165"/>
      <c r="G65" s="165"/>
      <c r="H65" s="165"/>
      <c r="I65" s="165"/>
      <c r="J65" s="165"/>
      <c r="K65" s="165"/>
      <c r="L65" s="165"/>
      <c r="M65" s="165"/>
      <c r="N65" s="165"/>
      <c r="O65" s="165"/>
      <c r="P65" s="165"/>
      <c r="Q65" s="165"/>
      <c r="R65" s="165"/>
      <c r="S65" s="165"/>
      <c r="T65" s="165"/>
      <c r="U65" s="165"/>
      <c r="V65" s="165"/>
      <c r="W65" s="165"/>
      <c r="X65" s="165"/>
    </row>
    <row r="66" ht="18.75" customHeight="1">
      <c r="A66" s="165">
        <v>64.0</v>
      </c>
      <c r="B66" s="165" t="s">
        <v>15550</v>
      </c>
      <c r="C66" s="165"/>
      <c r="D66" s="165"/>
      <c r="E66" s="165"/>
      <c r="F66" s="165"/>
      <c r="G66" s="165"/>
      <c r="H66" s="165"/>
      <c r="I66" s="165"/>
      <c r="J66" s="165"/>
      <c r="K66" s="165"/>
      <c r="L66" s="165"/>
      <c r="M66" s="165"/>
      <c r="N66" s="165"/>
      <c r="O66" s="165"/>
      <c r="P66" s="165"/>
      <c r="Q66" s="165"/>
      <c r="R66" s="165"/>
      <c r="S66" s="165"/>
      <c r="T66" s="165"/>
      <c r="U66" s="165"/>
      <c r="V66" s="165"/>
      <c r="W66" s="165"/>
      <c r="X66" s="165"/>
    </row>
    <row r="67" ht="18.75" customHeight="1">
      <c r="A67" s="165">
        <v>65.0</v>
      </c>
      <c r="B67" s="165" t="s">
        <v>15551</v>
      </c>
      <c r="C67" s="165"/>
      <c r="D67" s="165"/>
      <c r="E67" s="165"/>
      <c r="F67" s="165"/>
      <c r="G67" s="165"/>
      <c r="H67" s="165"/>
      <c r="I67" s="165"/>
      <c r="J67" s="165"/>
      <c r="K67" s="165"/>
      <c r="L67" s="165"/>
      <c r="M67" s="165"/>
      <c r="N67" s="165"/>
      <c r="O67" s="165"/>
      <c r="P67" s="165"/>
      <c r="Q67" s="165"/>
      <c r="R67" s="165"/>
      <c r="S67" s="165"/>
      <c r="T67" s="165"/>
      <c r="U67" s="165"/>
      <c r="V67" s="165"/>
      <c r="W67" s="165"/>
      <c r="X67" s="165"/>
    </row>
    <row r="68" ht="18.75" customHeight="1">
      <c r="A68" s="165">
        <v>66.0</v>
      </c>
      <c r="B68" s="166" t="s">
        <v>15552</v>
      </c>
      <c r="C68" s="165"/>
      <c r="D68" s="165"/>
      <c r="E68" s="165"/>
      <c r="F68" s="165"/>
      <c r="G68" s="165"/>
      <c r="H68" s="165"/>
      <c r="I68" s="165"/>
      <c r="J68" s="165"/>
      <c r="K68" s="165"/>
      <c r="L68" s="165"/>
      <c r="M68" s="165"/>
      <c r="N68" s="165"/>
      <c r="O68" s="165"/>
      <c r="P68" s="165"/>
      <c r="Q68" s="165"/>
      <c r="R68" s="165"/>
      <c r="S68" s="165"/>
      <c r="T68" s="165"/>
      <c r="U68" s="165"/>
      <c r="V68" s="165"/>
      <c r="W68" s="165"/>
      <c r="X68" s="165"/>
    </row>
    <row r="69" ht="18.75" customHeight="1">
      <c r="A69" s="165">
        <v>67.0</v>
      </c>
      <c r="B69" s="165" t="s">
        <v>15553</v>
      </c>
      <c r="C69" s="165"/>
      <c r="D69" s="165"/>
      <c r="E69" s="165"/>
      <c r="F69" s="165"/>
      <c r="G69" s="165"/>
      <c r="H69" s="165"/>
      <c r="I69" s="165"/>
      <c r="J69" s="165"/>
      <c r="K69" s="165"/>
      <c r="L69" s="165"/>
      <c r="M69" s="165"/>
      <c r="N69" s="165"/>
      <c r="O69" s="165"/>
      <c r="P69" s="165"/>
      <c r="Q69" s="165"/>
      <c r="R69" s="165"/>
      <c r="S69" s="165"/>
      <c r="T69" s="165"/>
      <c r="U69" s="165"/>
      <c r="V69" s="165"/>
      <c r="W69" s="165"/>
      <c r="X69" s="165"/>
    </row>
    <row r="70" ht="18.75" customHeight="1">
      <c r="A70" s="165">
        <v>68.0</v>
      </c>
      <c r="B70" s="165" t="s">
        <v>15554</v>
      </c>
      <c r="C70" s="165"/>
      <c r="D70" s="165"/>
      <c r="E70" s="165"/>
      <c r="F70" s="165"/>
      <c r="G70" s="165"/>
      <c r="H70" s="165"/>
      <c r="I70" s="165"/>
      <c r="J70" s="165"/>
      <c r="K70" s="165"/>
      <c r="L70" s="165"/>
      <c r="M70" s="165"/>
      <c r="N70" s="165"/>
      <c r="O70" s="165"/>
      <c r="P70" s="165"/>
      <c r="Q70" s="165"/>
      <c r="R70" s="165"/>
      <c r="S70" s="165"/>
      <c r="T70" s="165"/>
      <c r="U70" s="165"/>
      <c r="V70" s="165"/>
      <c r="W70" s="165"/>
      <c r="X70" s="165"/>
    </row>
    <row r="71" ht="18.75" customHeight="1">
      <c r="A71" s="165">
        <v>69.0</v>
      </c>
      <c r="B71" s="165" t="s">
        <v>15555</v>
      </c>
      <c r="C71" s="165"/>
      <c r="D71" s="165"/>
      <c r="E71" s="165"/>
      <c r="F71" s="165"/>
      <c r="G71" s="165"/>
      <c r="H71" s="165"/>
      <c r="I71" s="165"/>
      <c r="J71" s="165"/>
      <c r="K71" s="165"/>
      <c r="L71" s="165"/>
      <c r="M71" s="165"/>
      <c r="N71" s="165"/>
      <c r="O71" s="165"/>
      <c r="P71" s="165"/>
      <c r="Q71" s="165"/>
      <c r="R71" s="165"/>
      <c r="S71" s="165"/>
      <c r="T71" s="165"/>
      <c r="U71" s="165"/>
      <c r="V71" s="165"/>
      <c r="W71" s="165"/>
      <c r="X71" s="165"/>
    </row>
    <row r="72" ht="18.75" customHeight="1">
      <c r="A72" s="165">
        <v>70.0</v>
      </c>
      <c r="B72" s="165" t="s">
        <v>15556</v>
      </c>
      <c r="C72" s="165"/>
      <c r="D72" s="165"/>
      <c r="E72" s="165"/>
      <c r="F72" s="165"/>
      <c r="G72" s="165"/>
      <c r="H72" s="165"/>
      <c r="I72" s="165"/>
      <c r="J72" s="165"/>
      <c r="K72" s="165"/>
      <c r="L72" s="165"/>
      <c r="M72" s="165"/>
      <c r="N72" s="165"/>
      <c r="O72" s="165"/>
      <c r="P72" s="165"/>
      <c r="Q72" s="165"/>
      <c r="R72" s="165"/>
      <c r="S72" s="165"/>
      <c r="T72" s="165"/>
      <c r="U72" s="165"/>
      <c r="V72" s="165"/>
      <c r="W72" s="165"/>
      <c r="X72" s="165"/>
    </row>
    <row r="73" ht="18.75" customHeight="1">
      <c r="A73" s="165">
        <v>71.0</v>
      </c>
      <c r="B73" s="166" t="s">
        <v>15557</v>
      </c>
      <c r="C73" s="165"/>
      <c r="D73" s="165"/>
      <c r="E73" s="165"/>
      <c r="F73" s="165"/>
      <c r="G73" s="165"/>
      <c r="H73" s="165"/>
      <c r="I73" s="165"/>
      <c r="J73" s="165"/>
      <c r="K73" s="165"/>
      <c r="L73" s="165"/>
      <c r="M73" s="165"/>
      <c r="N73" s="165"/>
      <c r="O73" s="165"/>
      <c r="P73" s="165"/>
      <c r="Q73" s="165"/>
      <c r="R73" s="165"/>
      <c r="S73" s="165"/>
      <c r="T73" s="165"/>
      <c r="U73" s="165"/>
      <c r="V73" s="165"/>
      <c r="W73" s="165"/>
      <c r="X73" s="165"/>
    </row>
    <row r="74" ht="18.75" customHeight="1">
      <c r="A74" s="165">
        <v>72.0</v>
      </c>
      <c r="B74" s="165" t="s">
        <v>15558</v>
      </c>
      <c r="C74" s="165"/>
      <c r="D74" s="165"/>
      <c r="E74" s="165"/>
      <c r="F74" s="165"/>
      <c r="G74" s="165"/>
      <c r="H74" s="165"/>
      <c r="I74" s="165"/>
      <c r="J74" s="165"/>
      <c r="K74" s="165"/>
      <c r="L74" s="165"/>
      <c r="M74" s="165"/>
      <c r="N74" s="165"/>
      <c r="O74" s="165"/>
      <c r="P74" s="165"/>
      <c r="Q74" s="165"/>
      <c r="R74" s="165"/>
      <c r="S74" s="165"/>
      <c r="T74" s="165"/>
      <c r="U74" s="165"/>
      <c r="V74" s="165"/>
      <c r="W74" s="165"/>
      <c r="X74" s="165"/>
    </row>
    <row r="75" ht="18.75" customHeight="1">
      <c r="A75" s="165">
        <v>73.0</v>
      </c>
      <c r="B75" s="165" t="s">
        <v>15558</v>
      </c>
      <c r="C75" s="165"/>
      <c r="D75" s="165"/>
      <c r="E75" s="165"/>
      <c r="F75" s="165"/>
      <c r="G75" s="165"/>
      <c r="H75" s="165"/>
      <c r="I75" s="165"/>
      <c r="J75" s="165"/>
      <c r="K75" s="165"/>
      <c r="L75" s="165"/>
      <c r="M75" s="165"/>
      <c r="N75" s="165"/>
      <c r="O75" s="165"/>
      <c r="P75" s="165"/>
      <c r="Q75" s="165"/>
      <c r="R75" s="165"/>
      <c r="S75" s="165"/>
      <c r="T75" s="165"/>
      <c r="U75" s="165"/>
      <c r="V75" s="165"/>
      <c r="W75" s="165"/>
      <c r="X75" s="165"/>
    </row>
    <row r="76" ht="18.75" customHeight="1">
      <c r="A76" s="165">
        <v>74.0</v>
      </c>
      <c r="B76" s="165" t="s">
        <v>15559</v>
      </c>
      <c r="C76" s="165"/>
      <c r="D76" s="165"/>
      <c r="E76" s="165"/>
      <c r="F76" s="165"/>
      <c r="G76" s="165"/>
      <c r="H76" s="165"/>
      <c r="I76" s="165"/>
      <c r="J76" s="165"/>
      <c r="K76" s="165"/>
      <c r="L76" s="165"/>
      <c r="M76" s="165"/>
      <c r="N76" s="165"/>
      <c r="O76" s="165"/>
      <c r="P76" s="165"/>
      <c r="Q76" s="165"/>
      <c r="R76" s="165"/>
      <c r="S76" s="165"/>
      <c r="T76" s="165"/>
      <c r="U76" s="165"/>
      <c r="V76" s="165"/>
      <c r="W76" s="165"/>
      <c r="X76" s="165"/>
    </row>
    <row r="77" ht="18.75" customHeight="1">
      <c r="A77" s="165">
        <v>75.0</v>
      </c>
      <c r="B77" s="165" t="s">
        <v>15560</v>
      </c>
      <c r="C77" s="165"/>
      <c r="D77" s="165"/>
      <c r="E77" s="165"/>
      <c r="F77" s="165"/>
      <c r="G77" s="165"/>
      <c r="H77" s="165"/>
      <c r="I77" s="165"/>
      <c r="J77" s="165"/>
      <c r="K77" s="165"/>
      <c r="L77" s="165"/>
      <c r="M77" s="165"/>
      <c r="N77" s="165"/>
      <c r="O77" s="165"/>
      <c r="P77" s="165"/>
      <c r="Q77" s="165"/>
      <c r="R77" s="165"/>
      <c r="S77" s="165"/>
      <c r="T77" s="165"/>
      <c r="U77" s="165"/>
      <c r="V77" s="165"/>
      <c r="W77" s="165"/>
      <c r="X77" s="165"/>
    </row>
    <row r="78" ht="18.75" customHeight="1">
      <c r="A78" s="165">
        <v>76.0</v>
      </c>
      <c r="B78" s="165" t="s">
        <v>15561</v>
      </c>
      <c r="C78" s="165"/>
      <c r="D78" s="165"/>
      <c r="E78" s="165"/>
      <c r="F78" s="165"/>
      <c r="G78" s="165"/>
      <c r="H78" s="165"/>
      <c r="I78" s="165"/>
      <c r="J78" s="165"/>
      <c r="K78" s="165"/>
      <c r="L78" s="165"/>
      <c r="M78" s="165"/>
      <c r="N78" s="165"/>
      <c r="O78" s="165"/>
      <c r="P78" s="165"/>
      <c r="Q78" s="165"/>
      <c r="R78" s="165"/>
      <c r="S78" s="165"/>
      <c r="T78" s="165"/>
      <c r="U78" s="165"/>
      <c r="V78" s="165"/>
      <c r="W78" s="165"/>
      <c r="X78" s="165"/>
    </row>
    <row r="79" ht="18.75" customHeight="1">
      <c r="A79" s="165">
        <v>77.0</v>
      </c>
      <c r="B79" s="165" t="s">
        <v>15562</v>
      </c>
      <c r="C79" s="165"/>
      <c r="D79" s="165"/>
      <c r="E79" s="165"/>
      <c r="F79" s="165"/>
      <c r="G79" s="165"/>
      <c r="H79" s="165"/>
      <c r="I79" s="165"/>
      <c r="J79" s="165"/>
      <c r="K79" s="165"/>
      <c r="L79" s="165"/>
      <c r="M79" s="165"/>
      <c r="N79" s="165"/>
      <c r="O79" s="165"/>
      <c r="P79" s="165"/>
      <c r="Q79" s="165"/>
      <c r="R79" s="165"/>
      <c r="S79" s="165"/>
      <c r="T79" s="165"/>
      <c r="U79" s="165"/>
      <c r="V79" s="165"/>
      <c r="W79" s="165"/>
      <c r="X79" s="165"/>
    </row>
    <row r="80" ht="18.75" customHeight="1">
      <c r="A80" s="165">
        <v>78.0</v>
      </c>
      <c r="B80" s="165" t="s">
        <v>15563</v>
      </c>
      <c r="C80" s="165"/>
      <c r="D80" s="165"/>
      <c r="E80" s="165"/>
      <c r="F80" s="165"/>
      <c r="G80" s="165"/>
      <c r="H80" s="165"/>
      <c r="I80" s="165"/>
      <c r="J80" s="165"/>
      <c r="K80" s="165"/>
      <c r="L80" s="165"/>
      <c r="M80" s="165"/>
      <c r="N80" s="165"/>
      <c r="O80" s="165"/>
      <c r="P80" s="165"/>
      <c r="Q80" s="165"/>
      <c r="R80" s="165"/>
      <c r="S80" s="165"/>
      <c r="T80" s="165"/>
      <c r="U80" s="165"/>
      <c r="V80" s="165"/>
      <c r="W80" s="165"/>
      <c r="X80" s="165"/>
    </row>
    <row r="81" ht="18.75" customHeight="1">
      <c r="A81" s="165">
        <v>79.0</v>
      </c>
      <c r="B81" s="165" t="s">
        <v>15564</v>
      </c>
      <c r="C81" s="165"/>
      <c r="D81" s="165"/>
      <c r="E81" s="165"/>
      <c r="F81" s="165"/>
      <c r="G81" s="165"/>
      <c r="H81" s="165"/>
      <c r="I81" s="165"/>
      <c r="J81" s="165"/>
      <c r="K81" s="165"/>
      <c r="L81" s="165"/>
      <c r="M81" s="165"/>
      <c r="N81" s="165"/>
      <c r="O81" s="165"/>
      <c r="P81" s="165"/>
      <c r="Q81" s="165"/>
      <c r="R81" s="165"/>
      <c r="S81" s="165"/>
      <c r="T81" s="165"/>
      <c r="U81" s="165"/>
      <c r="V81" s="165"/>
      <c r="W81" s="165"/>
      <c r="X81" s="165"/>
    </row>
    <row r="82" ht="18.75" customHeight="1">
      <c r="A82" s="165">
        <v>80.0</v>
      </c>
      <c r="B82" s="165" t="s">
        <v>15565</v>
      </c>
      <c r="C82" s="165"/>
      <c r="D82" s="165"/>
      <c r="E82" s="165"/>
      <c r="F82" s="165"/>
      <c r="G82" s="165"/>
      <c r="H82" s="165"/>
      <c r="I82" s="165"/>
      <c r="J82" s="165"/>
      <c r="K82" s="165"/>
      <c r="L82" s="165"/>
      <c r="M82" s="165"/>
      <c r="N82" s="165"/>
      <c r="O82" s="165"/>
      <c r="P82" s="165"/>
      <c r="Q82" s="165"/>
      <c r="R82" s="165"/>
      <c r="S82" s="165"/>
      <c r="T82" s="165"/>
      <c r="U82" s="165"/>
      <c r="V82" s="165"/>
      <c r="W82" s="165"/>
      <c r="X82" s="165"/>
    </row>
    <row r="83" ht="18.75" customHeight="1">
      <c r="A83" s="165">
        <v>81.0</v>
      </c>
      <c r="B83" s="165" t="s">
        <v>15566</v>
      </c>
      <c r="C83" s="165"/>
      <c r="D83" s="165"/>
      <c r="E83" s="165"/>
      <c r="F83" s="165"/>
      <c r="G83" s="165"/>
      <c r="H83" s="165"/>
      <c r="I83" s="165"/>
      <c r="J83" s="165"/>
      <c r="K83" s="165"/>
      <c r="L83" s="165"/>
      <c r="M83" s="165"/>
      <c r="N83" s="165"/>
      <c r="O83" s="165"/>
      <c r="P83" s="165"/>
      <c r="Q83" s="165"/>
      <c r="R83" s="165"/>
      <c r="S83" s="165"/>
      <c r="T83" s="165"/>
      <c r="U83" s="165"/>
      <c r="V83" s="165"/>
      <c r="W83" s="165"/>
      <c r="X83" s="165"/>
    </row>
    <row r="84" ht="18.75" customHeight="1">
      <c r="A84" s="165">
        <v>82.0</v>
      </c>
      <c r="B84" s="165" t="s">
        <v>15567</v>
      </c>
      <c r="C84" s="165"/>
      <c r="D84" s="165"/>
      <c r="E84" s="165"/>
      <c r="F84" s="165"/>
      <c r="G84" s="165"/>
      <c r="H84" s="165"/>
      <c r="I84" s="165"/>
      <c r="J84" s="165"/>
      <c r="K84" s="165"/>
      <c r="L84" s="165"/>
      <c r="M84" s="165"/>
      <c r="N84" s="165"/>
      <c r="O84" s="165"/>
      <c r="P84" s="165"/>
      <c r="Q84" s="165"/>
      <c r="R84" s="165"/>
      <c r="S84" s="165"/>
      <c r="T84" s="165"/>
      <c r="U84" s="165"/>
      <c r="V84" s="165"/>
      <c r="W84" s="165"/>
      <c r="X84" s="165"/>
    </row>
    <row r="85" ht="18.75" customHeight="1">
      <c r="A85" s="165">
        <v>83.0</v>
      </c>
      <c r="B85" s="165" t="s">
        <v>15568</v>
      </c>
      <c r="C85" s="165"/>
      <c r="D85" s="165"/>
      <c r="E85" s="165"/>
      <c r="F85" s="165"/>
      <c r="G85" s="165"/>
      <c r="H85" s="165"/>
      <c r="I85" s="165"/>
      <c r="J85" s="165"/>
      <c r="K85" s="165"/>
      <c r="L85" s="165"/>
      <c r="M85" s="165"/>
      <c r="N85" s="165"/>
      <c r="O85" s="165"/>
      <c r="P85" s="165"/>
      <c r="Q85" s="165"/>
      <c r="R85" s="165"/>
      <c r="S85" s="165"/>
      <c r="T85" s="165"/>
      <c r="U85" s="165"/>
      <c r="V85" s="165"/>
      <c r="W85" s="165"/>
      <c r="X85" s="165"/>
    </row>
    <row r="86" ht="18.75" customHeight="1">
      <c r="A86" s="165">
        <v>84.0</v>
      </c>
      <c r="B86" s="165" t="s">
        <v>15569</v>
      </c>
      <c r="C86" s="165"/>
      <c r="D86" s="165"/>
      <c r="E86" s="165"/>
      <c r="F86" s="165"/>
      <c r="G86" s="165"/>
      <c r="H86" s="165"/>
      <c r="I86" s="165"/>
      <c r="J86" s="165"/>
      <c r="K86" s="165"/>
      <c r="L86" s="165"/>
      <c r="M86" s="165"/>
      <c r="N86" s="165"/>
      <c r="O86" s="165"/>
      <c r="P86" s="165"/>
      <c r="Q86" s="165"/>
      <c r="R86" s="165"/>
      <c r="S86" s="165"/>
      <c r="T86" s="165"/>
      <c r="U86" s="165"/>
      <c r="V86" s="165"/>
      <c r="W86" s="165"/>
      <c r="X86" s="165"/>
    </row>
    <row r="87" ht="18.75" customHeight="1">
      <c r="A87" s="165">
        <v>85.0</v>
      </c>
      <c r="B87" s="165" t="s">
        <v>15570</v>
      </c>
      <c r="C87" s="165"/>
      <c r="D87" s="165"/>
      <c r="E87" s="165"/>
      <c r="F87" s="165"/>
      <c r="G87" s="165"/>
      <c r="H87" s="165"/>
      <c r="I87" s="165"/>
      <c r="J87" s="165"/>
      <c r="K87" s="165"/>
      <c r="L87" s="165"/>
      <c r="M87" s="165"/>
      <c r="N87" s="165"/>
      <c r="O87" s="165"/>
      <c r="P87" s="165"/>
      <c r="Q87" s="165"/>
      <c r="R87" s="165"/>
      <c r="S87" s="165"/>
      <c r="T87" s="165"/>
      <c r="U87" s="165"/>
      <c r="V87" s="165"/>
      <c r="W87" s="165"/>
      <c r="X87" s="165"/>
    </row>
    <row r="88" ht="18.75" customHeight="1">
      <c r="A88" s="165">
        <v>86.0</v>
      </c>
      <c r="B88" s="165" t="s">
        <v>15571</v>
      </c>
      <c r="C88" s="165"/>
      <c r="D88" s="165"/>
      <c r="E88" s="165"/>
      <c r="F88" s="165"/>
      <c r="G88" s="165"/>
      <c r="H88" s="165"/>
      <c r="I88" s="165"/>
      <c r="J88" s="165"/>
      <c r="K88" s="165"/>
      <c r="L88" s="165"/>
      <c r="M88" s="165"/>
      <c r="N88" s="165"/>
      <c r="O88" s="165"/>
      <c r="P88" s="165"/>
      <c r="Q88" s="165"/>
      <c r="R88" s="165"/>
      <c r="S88" s="165"/>
      <c r="T88" s="165"/>
      <c r="U88" s="165"/>
      <c r="V88" s="165"/>
      <c r="W88" s="165"/>
      <c r="X88" s="165"/>
    </row>
    <row r="89" ht="18.75" customHeight="1">
      <c r="A89" s="165">
        <v>87.0</v>
      </c>
      <c r="B89" s="165" t="s">
        <v>15572</v>
      </c>
      <c r="C89" s="165"/>
      <c r="D89" s="165"/>
      <c r="E89" s="165"/>
      <c r="F89" s="165"/>
      <c r="G89" s="165"/>
      <c r="H89" s="165"/>
      <c r="I89" s="165"/>
      <c r="J89" s="165"/>
      <c r="K89" s="165"/>
      <c r="L89" s="165"/>
      <c r="M89" s="165"/>
      <c r="N89" s="165"/>
      <c r="O89" s="165"/>
      <c r="P89" s="165"/>
      <c r="Q89" s="165"/>
      <c r="R89" s="165"/>
      <c r="S89" s="165"/>
      <c r="T89" s="165"/>
      <c r="U89" s="165"/>
      <c r="V89" s="165"/>
      <c r="W89" s="165"/>
      <c r="X89" s="165"/>
    </row>
    <row r="90" ht="18.75" customHeight="1">
      <c r="A90" s="165">
        <v>88.0</v>
      </c>
      <c r="B90" s="165" t="s">
        <v>15573</v>
      </c>
      <c r="C90" s="165"/>
      <c r="D90" s="165"/>
      <c r="E90" s="165"/>
      <c r="F90" s="165"/>
      <c r="G90" s="165"/>
      <c r="H90" s="165"/>
      <c r="I90" s="165"/>
      <c r="J90" s="165"/>
      <c r="K90" s="165"/>
      <c r="L90" s="165"/>
      <c r="M90" s="165"/>
      <c r="N90" s="165"/>
      <c r="O90" s="165"/>
      <c r="P90" s="165"/>
      <c r="Q90" s="165"/>
      <c r="R90" s="165"/>
      <c r="S90" s="165"/>
      <c r="T90" s="165"/>
      <c r="U90" s="165"/>
      <c r="V90" s="165"/>
      <c r="W90" s="165"/>
      <c r="X90" s="165"/>
    </row>
    <row r="91" ht="18.75" customHeight="1">
      <c r="A91" s="165">
        <v>89.0</v>
      </c>
      <c r="B91" s="165" t="s">
        <v>15574</v>
      </c>
      <c r="C91" s="165"/>
      <c r="D91" s="165"/>
      <c r="E91" s="165"/>
      <c r="F91" s="165"/>
      <c r="G91" s="165"/>
      <c r="H91" s="165"/>
      <c r="I91" s="165"/>
      <c r="J91" s="165"/>
      <c r="K91" s="165"/>
      <c r="L91" s="165"/>
      <c r="M91" s="165"/>
      <c r="N91" s="165"/>
      <c r="O91" s="165"/>
      <c r="P91" s="165"/>
      <c r="Q91" s="165"/>
      <c r="R91" s="165"/>
      <c r="S91" s="165"/>
      <c r="T91" s="165"/>
      <c r="U91" s="165"/>
      <c r="V91" s="165"/>
      <c r="W91" s="165"/>
      <c r="X91" s="165"/>
    </row>
    <row r="92" ht="18.75" customHeight="1">
      <c r="A92" s="165">
        <v>90.0</v>
      </c>
      <c r="B92" s="165" t="s">
        <v>15575</v>
      </c>
      <c r="C92" s="165"/>
      <c r="D92" s="165"/>
      <c r="E92" s="165"/>
      <c r="F92" s="165"/>
      <c r="G92" s="165"/>
      <c r="H92" s="165"/>
      <c r="I92" s="165"/>
      <c r="J92" s="165"/>
      <c r="K92" s="165"/>
      <c r="L92" s="165"/>
      <c r="M92" s="165"/>
      <c r="N92" s="165"/>
      <c r="O92" s="165"/>
      <c r="P92" s="165"/>
      <c r="Q92" s="165"/>
      <c r="R92" s="165"/>
      <c r="S92" s="165"/>
      <c r="T92" s="165"/>
      <c r="U92" s="165"/>
      <c r="V92" s="165"/>
      <c r="W92" s="165"/>
      <c r="X92" s="165"/>
    </row>
    <row r="93" ht="18.75" customHeight="1">
      <c r="A93" s="165">
        <v>91.0</v>
      </c>
      <c r="B93" s="165" t="s">
        <v>15576</v>
      </c>
      <c r="C93" s="165"/>
      <c r="D93" s="165"/>
      <c r="E93" s="165"/>
      <c r="F93" s="165"/>
      <c r="G93" s="165"/>
      <c r="H93" s="165"/>
      <c r="I93" s="165"/>
      <c r="J93" s="165"/>
      <c r="K93" s="165"/>
      <c r="L93" s="165"/>
      <c r="M93" s="165"/>
      <c r="N93" s="165"/>
      <c r="O93" s="165"/>
      <c r="P93" s="165"/>
      <c r="Q93" s="165"/>
      <c r="R93" s="165"/>
      <c r="S93" s="165"/>
      <c r="T93" s="165"/>
      <c r="U93" s="165"/>
      <c r="V93" s="165"/>
      <c r="W93" s="165"/>
      <c r="X93" s="165"/>
    </row>
    <row r="94" ht="18.75" customHeight="1">
      <c r="A94" s="165">
        <v>92.0</v>
      </c>
      <c r="B94" s="165" t="s">
        <v>15577</v>
      </c>
      <c r="C94" s="165"/>
      <c r="D94" s="165"/>
      <c r="E94" s="165"/>
      <c r="F94" s="165"/>
      <c r="G94" s="165"/>
      <c r="H94" s="165"/>
      <c r="I94" s="165"/>
      <c r="J94" s="165"/>
      <c r="K94" s="165"/>
      <c r="L94" s="165"/>
      <c r="M94" s="165"/>
      <c r="N94" s="165"/>
      <c r="O94" s="165"/>
      <c r="P94" s="165"/>
      <c r="Q94" s="165"/>
      <c r="R94" s="165"/>
      <c r="S94" s="165"/>
      <c r="T94" s="165"/>
      <c r="U94" s="165"/>
      <c r="V94" s="165"/>
      <c r="W94" s="165"/>
      <c r="X94" s="165"/>
    </row>
    <row r="95" ht="18.75" customHeight="1">
      <c r="A95" s="165">
        <v>93.0</v>
      </c>
      <c r="B95" s="165" t="s">
        <v>15578</v>
      </c>
      <c r="C95" s="165"/>
      <c r="D95" s="165"/>
      <c r="E95" s="165"/>
      <c r="F95" s="165"/>
      <c r="G95" s="165"/>
      <c r="H95" s="165"/>
      <c r="I95" s="165"/>
      <c r="J95" s="165"/>
      <c r="K95" s="165"/>
      <c r="L95" s="165"/>
      <c r="M95" s="165"/>
      <c r="N95" s="165"/>
      <c r="O95" s="165"/>
      <c r="P95" s="165"/>
      <c r="Q95" s="165"/>
      <c r="R95" s="165"/>
      <c r="S95" s="165"/>
      <c r="T95" s="165"/>
      <c r="U95" s="165"/>
      <c r="V95" s="165"/>
      <c r="W95" s="165"/>
      <c r="X95" s="165"/>
    </row>
    <row r="96" ht="18.75" customHeight="1">
      <c r="A96" s="165">
        <v>94.0</v>
      </c>
      <c r="B96" s="165" t="s">
        <v>15579</v>
      </c>
      <c r="C96" s="165"/>
      <c r="D96" s="165"/>
      <c r="E96" s="165"/>
      <c r="F96" s="165"/>
      <c r="G96" s="165"/>
      <c r="H96" s="165"/>
      <c r="I96" s="165"/>
      <c r="J96" s="165"/>
      <c r="K96" s="165"/>
      <c r="L96" s="165"/>
      <c r="M96" s="165"/>
      <c r="N96" s="165"/>
      <c r="O96" s="165"/>
      <c r="P96" s="165"/>
      <c r="Q96" s="165"/>
      <c r="R96" s="165"/>
      <c r="S96" s="165"/>
      <c r="T96" s="165"/>
      <c r="U96" s="165"/>
      <c r="V96" s="165"/>
      <c r="W96" s="165"/>
      <c r="X96" s="165"/>
    </row>
    <row r="97" ht="18.75" customHeight="1">
      <c r="A97" s="165">
        <v>95.0</v>
      </c>
      <c r="B97" s="167" t="s">
        <v>15580</v>
      </c>
      <c r="C97" s="165"/>
      <c r="D97" s="165"/>
      <c r="E97" s="165"/>
      <c r="F97" s="165"/>
      <c r="G97" s="165"/>
      <c r="H97" s="165"/>
      <c r="I97" s="165"/>
      <c r="J97" s="165"/>
      <c r="K97" s="165"/>
      <c r="L97" s="165"/>
      <c r="M97" s="165"/>
      <c r="N97" s="165"/>
      <c r="O97" s="165"/>
      <c r="P97" s="165"/>
      <c r="Q97" s="165"/>
      <c r="R97" s="165"/>
      <c r="S97" s="165"/>
      <c r="T97" s="165"/>
      <c r="U97" s="165"/>
      <c r="V97" s="165"/>
      <c r="W97" s="165"/>
      <c r="X97" s="165"/>
    </row>
    <row r="98" ht="18.75" customHeight="1">
      <c r="A98" s="165">
        <v>96.0</v>
      </c>
      <c r="B98" s="165" t="s">
        <v>15581</v>
      </c>
      <c r="C98" s="165"/>
      <c r="D98" s="165"/>
      <c r="E98" s="165"/>
      <c r="F98" s="165"/>
      <c r="G98" s="165"/>
      <c r="H98" s="165"/>
      <c r="I98" s="165"/>
      <c r="J98" s="165"/>
      <c r="K98" s="165"/>
      <c r="L98" s="165"/>
      <c r="M98" s="165"/>
      <c r="N98" s="165"/>
      <c r="O98" s="165"/>
      <c r="P98" s="165"/>
      <c r="Q98" s="165"/>
      <c r="R98" s="165"/>
      <c r="S98" s="165"/>
      <c r="T98" s="165"/>
      <c r="U98" s="165"/>
      <c r="V98" s="165"/>
      <c r="W98" s="165"/>
      <c r="X98" s="165"/>
    </row>
    <row r="99" ht="18.75" customHeight="1">
      <c r="A99" s="165">
        <v>97.0</v>
      </c>
      <c r="B99" s="165" t="s">
        <v>15582</v>
      </c>
      <c r="C99" s="165"/>
      <c r="D99" s="165"/>
      <c r="E99" s="165"/>
      <c r="F99" s="165"/>
      <c r="G99" s="165"/>
      <c r="H99" s="165"/>
      <c r="I99" s="165"/>
      <c r="J99" s="165"/>
      <c r="K99" s="165"/>
      <c r="L99" s="165"/>
      <c r="M99" s="165"/>
      <c r="N99" s="165"/>
      <c r="O99" s="165"/>
      <c r="P99" s="165"/>
      <c r="Q99" s="165"/>
      <c r="R99" s="165"/>
      <c r="S99" s="165"/>
      <c r="T99" s="165"/>
      <c r="U99" s="165"/>
      <c r="V99" s="165"/>
      <c r="W99" s="165"/>
      <c r="X99" s="165"/>
    </row>
    <row r="100" ht="18.75" customHeight="1">
      <c r="A100" s="165">
        <v>98.0</v>
      </c>
      <c r="B100" s="165" t="s">
        <v>15583</v>
      </c>
      <c r="C100" s="165"/>
      <c r="D100" s="165"/>
      <c r="E100" s="165"/>
      <c r="F100" s="165"/>
      <c r="G100" s="165"/>
      <c r="H100" s="165"/>
      <c r="I100" s="165"/>
      <c r="J100" s="165"/>
      <c r="K100" s="165"/>
      <c r="L100" s="165"/>
      <c r="M100" s="165"/>
      <c r="N100" s="165"/>
      <c r="O100" s="165"/>
      <c r="P100" s="165"/>
      <c r="Q100" s="165"/>
      <c r="R100" s="165"/>
      <c r="S100" s="165"/>
      <c r="T100" s="165"/>
      <c r="U100" s="165"/>
      <c r="V100" s="165"/>
      <c r="W100" s="165"/>
      <c r="X100" s="165"/>
    </row>
    <row r="101" ht="18.75" customHeight="1">
      <c r="A101" s="165">
        <v>99.0</v>
      </c>
      <c r="B101" s="167" t="s">
        <v>15584</v>
      </c>
      <c r="C101" s="165"/>
      <c r="D101" s="165"/>
      <c r="E101" s="165"/>
      <c r="F101" s="165"/>
      <c r="G101" s="165"/>
      <c r="H101" s="165"/>
      <c r="I101" s="165"/>
      <c r="J101" s="165"/>
      <c r="K101" s="165"/>
      <c r="L101" s="165"/>
      <c r="M101" s="165"/>
      <c r="N101" s="165"/>
      <c r="O101" s="165"/>
      <c r="P101" s="165"/>
      <c r="Q101" s="165"/>
      <c r="R101" s="165"/>
      <c r="S101" s="165"/>
      <c r="T101" s="165"/>
      <c r="U101" s="165"/>
      <c r="V101" s="165"/>
      <c r="W101" s="165"/>
      <c r="X101" s="165"/>
    </row>
    <row r="102" ht="18.75" customHeight="1">
      <c r="A102" s="165">
        <v>100.0</v>
      </c>
      <c r="B102" s="165" t="s">
        <v>15585</v>
      </c>
      <c r="C102" s="165"/>
      <c r="D102" s="165"/>
      <c r="E102" s="165"/>
      <c r="F102" s="165"/>
      <c r="G102" s="165"/>
      <c r="H102" s="165"/>
      <c r="I102" s="165"/>
      <c r="J102" s="165"/>
      <c r="K102" s="165"/>
      <c r="L102" s="165"/>
      <c r="M102" s="165"/>
      <c r="N102" s="165"/>
      <c r="O102" s="165"/>
      <c r="P102" s="165"/>
      <c r="Q102" s="165"/>
      <c r="R102" s="165"/>
      <c r="S102" s="165"/>
      <c r="T102" s="165"/>
      <c r="U102" s="165"/>
      <c r="V102" s="165"/>
      <c r="W102" s="165"/>
      <c r="X102" s="165"/>
    </row>
    <row r="103" ht="18.75" customHeight="1">
      <c r="A103" s="165">
        <v>101.0</v>
      </c>
      <c r="B103" s="165" t="s">
        <v>15586</v>
      </c>
      <c r="C103" s="165"/>
      <c r="D103" s="165"/>
      <c r="E103" s="165"/>
      <c r="F103" s="165"/>
      <c r="G103" s="165"/>
      <c r="H103" s="165"/>
      <c r="I103" s="165"/>
      <c r="J103" s="165"/>
      <c r="K103" s="165"/>
      <c r="L103" s="165"/>
      <c r="M103" s="165"/>
      <c r="N103" s="165"/>
      <c r="O103" s="165"/>
      <c r="P103" s="165"/>
      <c r="Q103" s="165"/>
      <c r="R103" s="165"/>
      <c r="S103" s="165"/>
      <c r="T103" s="165"/>
      <c r="U103" s="165"/>
      <c r="V103" s="165"/>
      <c r="W103" s="165"/>
      <c r="X103" s="165"/>
    </row>
    <row r="104" ht="18.75" customHeight="1">
      <c r="A104" s="165">
        <v>102.0</v>
      </c>
      <c r="B104" s="165" t="s">
        <v>15587</v>
      </c>
      <c r="C104" s="165"/>
      <c r="D104" s="165"/>
      <c r="E104" s="165"/>
      <c r="F104" s="165"/>
      <c r="G104" s="165"/>
      <c r="H104" s="165"/>
      <c r="I104" s="165"/>
      <c r="J104" s="165"/>
      <c r="K104" s="165"/>
      <c r="L104" s="165"/>
      <c r="M104" s="165"/>
      <c r="N104" s="165"/>
      <c r="O104" s="165"/>
      <c r="P104" s="165"/>
      <c r="Q104" s="165"/>
      <c r="R104" s="165"/>
      <c r="S104" s="165"/>
      <c r="T104" s="165"/>
      <c r="U104" s="165"/>
      <c r="V104" s="165"/>
      <c r="W104" s="165"/>
      <c r="X104" s="165"/>
    </row>
    <row r="105" ht="18.75" customHeight="1">
      <c r="A105" s="165">
        <v>103.0</v>
      </c>
      <c r="B105" s="165" t="s">
        <v>15588</v>
      </c>
      <c r="C105" s="165"/>
      <c r="D105" s="165"/>
      <c r="E105" s="165"/>
      <c r="F105" s="165"/>
      <c r="G105" s="165"/>
      <c r="H105" s="165"/>
      <c r="I105" s="165"/>
      <c r="J105" s="165"/>
      <c r="K105" s="165"/>
      <c r="L105" s="165"/>
      <c r="M105" s="165"/>
      <c r="N105" s="165"/>
      <c r="O105" s="165"/>
      <c r="P105" s="165"/>
      <c r="Q105" s="165"/>
      <c r="R105" s="165"/>
      <c r="S105" s="165"/>
      <c r="T105" s="165"/>
      <c r="U105" s="165"/>
      <c r="V105" s="165"/>
      <c r="W105" s="165"/>
      <c r="X105" s="165"/>
    </row>
    <row r="106" ht="18.75" customHeight="1">
      <c r="A106" s="165">
        <v>104.0</v>
      </c>
      <c r="B106" s="168" t="s">
        <v>15589</v>
      </c>
      <c r="C106" s="165"/>
      <c r="D106" s="165"/>
      <c r="E106" s="165"/>
      <c r="F106" s="165"/>
      <c r="G106" s="165"/>
      <c r="H106" s="165"/>
      <c r="I106" s="165"/>
      <c r="J106" s="165"/>
      <c r="K106" s="165"/>
      <c r="L106" s="165"/>
      <c r="M106" s="165"/>
      <c r="N106" s="165"/>
      <c r="O106" s="165"/>
      <c r="P106" s="165"/>
      <c r="Q106" s="165"/>
      <c r="R106" s="165"/>
      <c r="S106" s="165"/>
      <c r="T106" s="165"/>
      <c r="U106" s="165"/>
      <c r="V106" s="165"/>
      <c r="W106" s="165"/>
      <c r="X106" s="165"/>
    </row>
    <row r="107" ht="18.75" customHeight="1">
      <c r="A107" s="165">
        <v>105.0</v>
      </c>
      <c r="B107" s="165" t="s">
        <v>15590</v>
      </c>
      <c r="C107" s="165"/>
      <c r="D107" s="165"/>
      <c r="E107" s="165"/>
      <c r="F107" s="165"/>
      <c r="G107" s="165"/>
      <c r="H107" s="165"/>
      <c r="I107" s="165"/>
      <c r="J107" s="165"/>
      <c r="K107" s="165"/>
      <c r="L107" s="165"/>
      <c r="M107" s="165"/>
      <c r="N107" s="165"/>
      <c r="O107" s="165"/>
      <c r="P107" s="165"/>
      <c r="Q107" s="165"/>
      <c r="R107" s="165"/>
      <c r="S107" s="165"/>
      <c r="T107" s="165"/>
      <c r="U107" s="165"/>
      <c r="V107" s="165"/>
      <c r="W107" s="165"/>
      <c r="X107" s="165"/>
    </row>
    <row r="108" ht="18.75" customHeight="1">
      <c r="A108" s="165">
        <v>106.0</v>
      </c>
      <c r="B108" s="165" t="s">
        <v>15591</v>
      </c>
      <c r="C108" s="165"/>
      <c r="D108" s="165"/>
      <c r="E108" s="165"/>
      <c r="F108" s="165"/>
      <c r="G108" s="165"/>
      <c r="H108" s="165"/>
      <c r="I108" s="165"/>
      <c r="J108" s="165"/>
      <c r="K108" s="165"/>
      <c r="L108" s="165"/>
      <c r="M108" s="165"/>
      <c r="N108" s="165"/>
      <c r="O108" s="165"/>
      <c r="P108" s="165"/>
      <c r="Q108" s="165"/>
      <c r="R108" s="165"/>
      <c r="S108" s="165"/>
      <c r="T108" s="165"/>
      <c r="U108" s="165"/>
      <c r="V108" s="165"/>
      <c r="W108" s="165"/>
      <c r="X108" s="165"/>
    </row>
    <row r="109" ht="18.75" customHeight="1">
      <c r="A109" s="165">
        <v>107.0</v>
      </c>
      <c r="B109" s="165" t="s">
        <v>15592</v>
      </c>
      <c r="C109" s="165"/>
      <c r="D109" s="165"/>
      <c r="E109" s="165"/>
      <c r="F109" s="165"/>
      <c r="G109" s="165"/>
      <c r="H109" s="165"/>
      <c r="I109" s="165"/>
      <c r="J109" s="165"/>
      <c r="K109" s="165"/>
      <c r="L109" s="165"/>
      <c r="M109" s="165"/>
      <c r="N109" s="165"/>
      <c r="O109" s="165"/>
      <c r="P109" s="165"/>
      <c r="Q109" s="165"/>
      <c r="R109" s="165"/>
      <c r="S109" s="165"/>
      <c r="T109" s="165"/>
      <c r="U109" s="165"/>
      <c r="V109" s="165"/>
      <c r="W109" s="165"/>
      <c r="X109" s="165"/>
    </row>
    <row r="110" ht="18.75" customHeight="1">
      <c r="A110" s="165">
        <v>108.0</v>
      </c>
      <c r="B110" s="167" t="s">
        <v>15593</v>
      </c>
      <c r="C110" s="165"/>
      <c r="D110" s="165"/>
      <c r="E110" s="165"/>
      <c r="F110" s="165"/>
      <c r="G110" s="165"/>
      <c r="H110" s="165"/>
      <c r="I110" s="165"/>
      <c r="J110" s="165"/>
      <c r="K110" s="165"/>
      <c r="L110" s="165"/>
      <c r="M110" s="165"/>
      <c r="N110" s="165"/>
      <c r="O110" s="165"/>
      <c r="P110" s="165"/>
      <c r="Q110" s="165"/>
      <c r="R110" s="165"/>
      <c r="S110" s="165"/>
      <c r="T110" s="165"/>
      <c r="U110" s="165"/>
      <c r="V110" s="165"/>
      <c r="W110" s="165"/>
      <c r="X110" s="165"/>
    </row>
    <row r="111" ht="18.75" customHeight="1">
      <c r="A111" s="165">
        <v>109.0</v>
      </c>
      <c r="B111" s="167" t="s">
        <v>15594</v>
      </c>
      <c r="C111" s="165"/>
      <c r="D111" s="165"/>
      <c r="E111" s="165"/>
      <c r="F111" s="165"/>
      <c r="G111" s="165"/>
      <c r="H111" s="165"/>
      <c r="I111" s="165"/>
      <c r="J111" s="165"/>
      <c r="K111" s="165"/>
      <c r="L111" s="165"/>
      <c r="M111" s="165"/>
      <c r="N111" s="165"/>
      <c r="O111" s="165"/>
      <c r="P111" s="165"/>
      <c r="Q111" s="165"/>
      <c r="R111" s="165"/>
      <c r="S111" s="165"/>
      <c r="T111" s="165"/>
      <c r="U111" s="165"/>
      <c r="V111" s="165"/>
      <c r="W111" s="165"/>
      <c r="X111" s="165"/>
    </row>
    <row r="112" ht="18.75" customHeight="1">
      <c r="A112" s="165">
        <v>110.0</v>
      </c>
      <c r="B112" s="165" t="s">
        <v>15595</v>
      </c>
      <c r="C112" s="165"/>
      <c r="D112" s="165"/>
      <c r="E112" s="165"/>
      <c r="F112" s="165"/>
      <c r="G112" s="165"/>
      <c r="H112" s="165"/>
      <c r="I112" s="165"/>
      <c r="J112" s="165"/>
      <c r="K112" s="165"/>
      <c r="L112" s="165"/>
      <c r="M112" s="165"/>
      <c r="N112" s="165"/>
      <c r="O112" s="165"/>
      <c r="P112" s="165"/>
      <c r="Q112" s="165"/>
      <c r="R112" s="165"/>
      <c r="S112" s="165"/>
      <c r="T112" s="165"/>
      <c r="U112" s="165"/>
      <c r="V112" s="165"/>
      <c r="W112" s="165"/>
      <c r="X112" s="165"/>
    </row>
    <row r="113" ht="18.75" customHeight="1">
      <c r="A113" s="165">
        <v>111.0</v>
      </c>
      <c r="B113" s="165" t="s">
        <v>15596</v>
      </c>
      <c r="C113" s="165"/>
      <c r="D113" s="165"/>
      <c r="E113" s="165"/>
      <c r="F113" s="165"/>
      <c r="G113" s="165"/>
      <c r="H113" s="165"/>
      <c r="I113" s="165"/>
      <c r="J113" s="165"/>
      <c r="K113" s="165"/>
      <c r="L113" s="165"/>
      <c r="M113" s="165"/>
      <c r="N113" s="165"/>
      <c r="O113" s="165"/>
      <c r="P113" s="165"/>
      <c r="Q113" s="165"/>
      <c r="R113" s="165"/>
      <c r="S113" s="165"/>
      <c r="T113" s="165"/>
      <c r="U113" s="165"/>
      <c r="V113" s="165"/>
      <c r="W113" s="165"/>
      <c r="X113" s="165"/>
    </row>
    <row r="114" ht="18.75" customHeight="1">
      <c r="A114" s="165">
        <v>112.0</v>
      </c>
      <c r="B114" s="165" t="s">
        <v>15597</v>
      </c>
      <c r="C114" s="165"/>
      <c r="D114" s="165"/>
      <c r="E114" s="165"/>
      <c r="F114" s="165"/>
      <c r="G114" s="165"/>
      <c r="H114" s="165"/>
      <c r="I114" s="165"/>
      <c r="J114" s="165"/>
      <c r="K114" s="165"/>
      <c r="L114" s="165"/>
      <c r="M114" s="165"/>
      <c r="N114" s="165"/>
      <c r="O114" s="165"/>
      <c r="P114" s="165"/>
      <c r="Q114" s="165"/>
      <c r="R114" s="165"/>
      <c r="S114" s="165"/>
      <c r="T114" s="165"/>
      <c r="U114" s="165"/>
      <c r="V114" s="165"/>
      <c r="W114" s="165"/>
      <c r="X114" s="165"/>
    </row>
    <row r="115" ht="18.75" customHeight="1">
      <c r="A115" s="165">
        <v>113.0</v>
      </c>
      <c r="B115" s="165" t="s">
        <v>15598</v>
      </c>
      <c r="C115" s="165"/>
      <c r="D115" s="165"/>
      <c r="E115" s="165"/>
      <c r="F115" s="165"/>
      <c r="G115" s="165"/>
      <c r="H115" s="165"/>
      <c r="I115" s="165"/>
      <c r="J115" s="165"/>
      <c r="K115" s="165"/>
      <c r="L115" s="165"/>
      <c r="M115" s="165"/>
      <c r="N115" s="165"/>
      <c r="O115" s="165"/>
      <c r="P115" s="165"/>
      <c r="Q115" s="165"/>
      <c r="R115" s="165"/>
      <c r="S115" s="165"/>
      <c r="T115" s="165"/>
      <c r="U115" s="165"/>
      <c r="V115" s="165"/>
      <c r="W115" s="165"/>
      <c r="X115" s="165"/>
    </row>
    <row r="116" ht="18.75" customHeight="1">
      <c r="A116" s="165">
        <v>114.0</v>
      </c>
      <c r="B116" s="165" t="s">
        <v>15599</v>
      </c>
      <c r="C116" s="165"/>
      <c r="D116" s="165"/>
      <c r="E116" s="165"/>
      <c r="F116" s="165"/>
      <c r="G116" s="165"/>
      <c r="H116" s="165"/>
      <c r="I116" s="165"/>
      <c r="J116" s="165"/>
      <c r="K116" s="165"/>
      <c r="L116" s="165"/>
      <c r="M116" s="165"/>
      <c r="N116" s="165"/>
      <c r="O116" s="165"/>
      <c r="P116" s="165"/>
      <c r="Q116" s="165"/>
      <c r="R116" s="165"/>
      <c r="S116" s="165"/>
      <c r="T116" s="165"/>
      <c r="U116" s="165"/>
      <c r="V116" s="165"/>
      <c r="W116" s="165"/>
      <c r="X116" s="165"/>
    </row>
    <row r="117" ht="18.75" customHeight="1">
      <c r="A117" s="165">
        <v>115.0</v>
      </c>
      <c r="B117" s="165" t="s">
        <v>15600</v>
      </c>
      <c r="C117" s="165"/>
      <c r="D117" s="165"/>
      <c r="E117" s="165"/>
      <c r="F117" s="165"/>
      <c r="G117" s="165"/>
      <c r="H117" s="165"/>
      <c r="I117" s="165"/>
      <c r="J117" s="165"/>
      <c r="K117" s="165"/>
      <c r="L117" s="165"/>
      <c r="M117" s="165"/>
      <c r="N117" s="165"/>
      <c r="O117" s="165"/>
      <c r="P117" s="165"/>
      <c r="Q117" s="165"/>
      <c r="R117" s="165"/>
      <c r="S117" s="165"/>
      <c r="T117" s="165"/>
      <c r="U117" s="165"/>
      <c r="V117" s="165"/>
      <c r="W117" s="165"/>
      <c r="X117" s="165"/>
    </row>
    <row r="118" ht="18.75" customHeight="1">
      <c r="A118" s="165">
        <v>116.0</v>
      </c>
      <c r="B118" s="165" t="s">
        <v>15601</v>
      </c>
      <c r="C118" s="165"/>
      <c r="D118" s="165"/>
      <c r="E118" s="165"/>
      <c r="F118" s="165"/>
      <c r="G118" s="165"/>
      <c r="H118" s="165"/>
      <c r="I118" s="165"/>
      <c r="J118" s="165"/>
      <c r="K118" s="165"/>
      <c r="L118" s="165"/>
      <c r="M118" s="165"/>
      <c r="N118" s="165"/>
      <c r="O118" s="165"/>
      <c r="P118" s="165"/>
      <c r="Q118" s="165"/>
      <c r="R118" s="165"/>
      <c r="S118" s="165"/>
      <c r="T118" s="165"/>
      <c r="U118" s="165"/>
      <c r="V118" s="165"/>
      <c r="W118" s="165"/>
      <c r="X118" s="165"/>
    </row>
    <row r="119" ht="18.75" customHeight="1">
      <c r="A119" s="165">
        <v>117.0</v>
      </c>
      <c r="B119" s="165" t="s">
        <v>15602</v>
      </c>
      <c r="C119" s="165"/>
      <c r="D119" s="165"/>
      <c r="E119" s="165"/>
      <c r="F119" s="165"/>
      <c r="G119" s="165"/>
      <c r="H119" s="165"/>
      <c r="I119" s="165"/>
      <c r="J119" s="165"/>
      <c r="K119" s="165"/>
      <c r="L119" s="165"/>
      <c r="M119" s="165"/>
      <c r="N119" s="165"/>
      <c r="O119" s="165"/>
      <c r="P119" s="165"/>
      <c r="Q119" s="165"/>
      <c r="R119" s="165"/>
      <c r="S119" s="165"/>
      <c r="T119" s="165"/>
      <c r="U119" s="165"/>
      <c r="V119" s="165"/>
      <c r="W119" s="165"/>
      <c r="X119" s="165"/>
    </row>
    <row r="120" ht="18.75" customHeight="1">
      <c r="A120" s="165">
        <v>118.0</v>
      </c>
      <c r="B120" s="165" t="s">
        <v>15603</v>
      </c>
      <c r="C120" s="165"/>
      <c r="D120" s="165"/>
      <c r="E120" s="165"/>
      <c r="F120" s="165"/>
      <c r="G120" s="165"/>
      <c r="H120" s="165"/>
      <c r="I120" s="165"/>
      <c r="J120" s="165"/>
      <c r="K120" s="165"/>
      <c r="L120" s="165"/>
      <c r="M120" s="165"/>
      <c r="N120" s="165"/>
      <c r="O120" s="165"/>
      <c r="P120" s="165"/>
      <c r="Q120" s="165"/>
      <c r="R120" s="165"/>
      <c r="S120" s="165"/>
      <c r="T120" s="165"/>
      <c r="U120" s="165"/>
      <c r="V120" s="165"/>
      <c r="W120" s="165"/>
      <c r="X120" s="165"/>
    </row>
    <row r="121" ht="18.75" customHeight="1">
      <c r="A121" s="165">
        <v>119.0</v>
      </c>
      <c r="B121" s="165" t="s">
        <v>15604</v>
      </c>
      <c r="C121" s="165"/>
      <c r="D121" s="165"/>
      <c r="E121" s="165"/>
      <c r="F121" s="165"/>
      <c r="G121" s="165"/>
      <c r="H121" s="165"/>
      <c r="I121" s="165"/>
      <c r="J121" s="165"/>
      <c r="K121" s="165"/>
      <c r="L121" s="165"/>
      <c r="M121" s="165"/>
      <c r="N121" s="165"/>
      <c r="O121" s="165"/>
      <c r="P121" s="165"/>
      <c r="Q121" s="165"/>
      <c r="R121" s="165"/>
      <c r="S121" s="165"/>
      <c r="T121" s="165"/>
      <c r="U121" s="165"/>
      <c r="V121" s="165"/>
      <c r="W121" s="165"/>
      <c r="X121" s="165"/>
    </row>
    <row r="122" ht="18.75" customHeight="1">
      <c r="A122" s="165">
        <v>120.0</v>
      </c>
      <c r="B122" s="165" t="s">
        <v>15605</v>
      </c>
      <c r="C122" s="165"/>
      <c r="D122" s="165"/>
      <c r="E122" s="165"/>
      <c r="F122" s="165"/>
      <c r="G122" s="165"/>
      <c r="H122" s="165"/>
      <c r="I122" s="165"/>
      <c r="J122" s="165"/>
      <c r="K122" s="165"/>
      <c r="L122" s="165"/>
      <c r="M122" s="165"/>
      <c r="N122" s="165"/>
      <c r="O122" s="165"/>
      <c r="P122" s="165"/>
      <c r="Q122" s="165"/>
      <c r="R122" s="165"/>
      <c r="S122" s="165"/>
      <c r="T122" s="165"/>
      <c r="U122" s="165"/>
      <c r="V122" s="165"/>
      <c r="W122" s="165"/>
      <c r="X122" s="165"/>
    </row>
    <row r="123" ht="18.75" customHeight="1">
      <c r="A123" s="165">
        <v>121.0</v>
      </c>
      <c r="B123" s="165" t="s">
        <v>15606</v>
      </c>
      <c r="C123" s="165"/>
      <c r="D123" s="165"/>
      <c r="E123" s="165"/>
      <c r="F123" s="165"/>
      <c r="G123" s="165"/>
      <c r="H123" s="165"/>
      <c r="I123" s="165"/>
      <c r="J123" s="165"/>
      <c r="K123" s="165"/>
      <c r="L123" s="165"/>
      <c r="M123" s="165"/>
      <c r="N123" s="165"/>
      <c r="O123" s="165"/>
      <c r="P123" s="165"/>
      <c r="Q123" s="165"/>
      <c r="R123" s="165"/>
      <c r="S123" s="165"/>
      <c r="T123" s="165"/>
      <c r="U123" s="165"/>
      <c r="V123" s="165"/>
      <c r="W123" s="165"/>
      <c r="X123" s="165"/>
    </row>
    <row r="124" ht="18.75" customHeight="1">
      <c r="A124" s="165">
        <v>122.0</v>
      </c>
      <c r="B124" s="167" t="s">
        <v>15607</v>
      </c>
      <c r="C124" s="165"/>
      <c r="D124" s="165"/>
      <c r="E124" s="165"/>
      <c r="F124" s="165"/>
      <c r="G124" s="165"/>
      <c r="H124" s="165"/>
      <c r="I124" s="165"/>
      <c r="J124" s="165"/>
      <c r="K124" s="165"/>
      <c r="L124" s="165"/>
      <c r="M124" s="165"/>
      <c r="N124" s="165"/>
      <c r="O124" s="165"/>
      <c r="P124" s="165"/>
      <c r="Q124" s="165"/>
      <c r="R124" s="165"/>
      <c r="S124" s="165"/>
      <c r="T124" s="165"/>
      <c r="U124" s="165"/>
      <c r="V124" s="165"/>
      <c r="W124" s="165"/>
      <c r="X124" s="165"/>
    </row>
    <row r="125" ht="18.75" customHeight="1">
      <c r="A125" s="165">
        <v>123.0</v>
      </c>
      <c r="B125" s="167" t="s">
        <v>15608</v>
      </c>
      <c r="C125" s="165"/>
      <c r="D125" s="165"/>
      <c r="E125" s="165"/>
      <c r="F125" s="165"/>
      <c r="G125" s="165"/>
      <c r="H125" s="165"/>
      <c r="I125" s="165"/>
      <c r="J125" s="165"/>
      <c r="K125" s="165"/>
      <c r="L125" s="165"/>
      <c r="M125" s="165"/>
      <c r="N125" s="165"/>
      <c r="O125" s="165"/>
      <c r="P125" s="165"/>
      <c r="Q125" s="165"/>
      <c r="R125" s="165"/>
      <c r="S125" s="165"/>
      <c r="T125" s="165"/>
      <c r="U125" s="165"/>
      <c r="V125" s="165"/>
      <c r="W125" s="165"/>
      <c r="X125" s="165"/>
    </row>
    <row r="126" ht="18.75" customHeight="1">
      <c r="A126" s="165">
        <v>124.0</v>
      </c>
      <c r="B126" s="165" t="s">
        <v>15609</v>
      </c>
      <c r="C126" s="165"/>
      <c r="D126" s="165"/>
      <c r="E126" s="165"/>
      <c r="F126" s="165"/>
      <c r="G126" s="165"/>
      <c r="H126" s="165"/>
      <c r="I126" s="165"/>
      <c r="J126" s="165"/>
      <c r="K126" s="165"/>
      <c r="L126" s="165"/>
      <c r="M126" s="165"/>
      <c r="N126" s="165"/>
      <c r="O126" s="165"/>
      <c r="P126" s="165"/>
      <c r="Q126" s="165"/>
      <c r="R126" s="165"/>
      <c r="S126" s="165"/>
      <c r="T126" s="165"/>
      <c r="U126" s="165"/>
      <c r="V126" s="165"/>
      <c r="W126" s="165"/>
      <c r="X126" s="165"/>
    </row>
    <row r="127" ht="18.75" customHeight="1">
      <c r="A127" s="165">
        <v>125.0</v>
      </c>
      <c r="B127" s="165" t="s">
        <v>15610</v>
      </c>
      <c r="C127" s="165"/>
      <c r="D127" s="165"/>
      <c r="E127" s="165"/>
      <c r="F127" s="165"/>
      <c r="G127" s="165"/>
      <c r="H127" s="165"/>
      <c r="I127" s="165"/>
      <c r="J127" s="165"/>
      <c r="K127" s="165"/>
      <c r="L127" s="165"/>
      <c r="M127" s="165"/>
      <c r="N127" s="165"/>
      <c r="O127" s="165"/>
      <c r="P127" s="165"/>
      <c r="Q127" s="165"/>
      <c r="R127" s="165"/>
      <c r="S127" s="165"/>
      <c r="T127" s="165"/>
      <c r="U127" s="165"/>
      <c r="V127" s="165"/>
      <c r="W127" s="165"/>
      <c r="X127" s="165"/>
    </row>
    <row r="128" ht="18.75" customHeight="1">
      <c r="A128" s="165">
        <v>126.0</v>
      </c>
      <c r="B128" s="165" t="s">
        <v>15611</v>
      </c>
      <c r="C128" s="165"/>
      <c r="D128" s="165"/>
      <c r="E128" s="165"/>
      <c r="F128" s="165"/>
      <c r="G128" s="165"/>
      <c r="H128" s="165"/>
      <c r="I128" s="165"/>
      <c r="J128" s="165"/>
      <c r="K128" s="165"/>
      <c r="L128" s="165"/>
      <c r="M128" s="165"/>
      <c r="N128" s="165"/>
      <c r="O128" s="165"/>
      <c r="P128" s="165"/>
      <c r="Q128" s="165"/>
      <c r="R128" s="165"/>
      <c r="S128" s="165"/>
      <c r="T128" s="165"/>
      <c r="U128" s="165"/>
      <c r="V128" s="165"/>
      <c r="W128" s="165"/>
      <c r="X128" s="165"/>
    </row>
    <row r="129" ht="18.75" customHeight="1">
      <c r="A129" s="165">
        <v>127.0</v>
      </c>
      <c r="B129" s="167" t="s">
        <v>15612</v>
      </c>
      <c r="C129" s="165"/>
      <c r="D129" s="165"/>
      <c r="E129" s="165"/>
      <c r="F129" s="165"/>
      <c r="G129" s="165"/>
      <c r="H129" s="165"/>
      <c r="I129" s="165"/>
      <c r="J129" s="165"/>
      <c r="K129" s="165"/>
      <c r="L129" s="165"/>
      <c r="M129" s="165"/>
      <c r="N129" s="165"/>
      <c r="O129" s="165"/>
      <c r="P129" s="165"/>
      <c r="Q129" s="165"/>
      <c r="R129" s="165"/>
      <c r="S129" s="165"/>
      <c r="T129" s="165"/>
      <c r="U129" s="165"/>
      <c r="V129" s="165"/>
      <c r="W129" s="165"/>
      <c r="X129" s="165"/>
    </row>
    <row r="130" ht="18.75" customHeight="1">
      <c r="A130" s="165">
        <v>128.0</v>
      </c>
      <c r="B130" s="165" t="s">
        <v>15613</v>
      </c>
      <c r="C130" s="165"/>
      <c r="D130" s="165"/>
      <c r="E130" s="165"/>
      <c r="F130" s="165"/>
      <c r="G130" s="165"/>
      <c r="H130" s="165"/>
      <c r="I130" s="165"/>
      <c r="J130" s="165"/>
      <c r="K130" s="165"/>
      <c r="L130" s="165"/>
      <c r="M130" s="165"/>
      <c r="N130" s="165"/>
      <c r="O130" s="165"/>
      <c r="P130" s="165"/>
      <c r="Q130" s="165"/>
      <c r="R130" s="165"/>
      <c r="S130" s="165"/>
      <c r="T130" s="165"/>
      <c r="U130" s="165"/>
      <c r="V130" s="165"/>
      <c r="W130" s="165"/>
      <c r="X130" s="165"/>
    </row>
    <row r="131" ht="18.75" customHeight="1">
      <c r="A131" s="165">
        <v>129.0</v>
      </c>
      <c r="B131" s="165" t="s">
        <v>15614</v>
      </c>
      <c r="C131" s="165"/>
      <c r="D131" s="165"/>
      <c r="E131" s="165"/>
      <c r="F131" s="165"/>
      <c r="G131" s="165"/>
      <c r="H131" s="165"/>
      <c r="I131" s="165"/>
      <c r="J131" s="165"/>
      <c r="K131" s="165"/>
      <c r="L131" s="165"/>
      <c r="M131" s="165"/>
      <c r="N131" s="165"/>
      <c r="O131" s="165"/>
      <c r="P131" s="165"/>
      <c r="Q131" s="165"/>
      <c r="R131" s="165"/>
      <c r="S131" s="165"/>
      <c r="T131" s="165"/>
      <c r="U131" s="165"/>
      <c r="V131" s="165"/>
      <c r="W131" s="165"/>
      <c r="X131" s="165"/>
    </row>
    <row r="132" ht="18.75" customHeight="1">
      <c r="A132" s="165">
        <v>130.0</v>
      </c>
      <c r="B132" s="167" t="s">
        <v>15615</v>
      </c>
      <c r="C132" s="165"/>
      <c r="D132" s="165"/>
      <c r="E132" s="165"/>
      <c r="F132" s="165"/>
      <c r="G132" s="165"/>
      <c r="H132" s="165"/>
      <c r="I132" s="165"/>
      <c r="J132" s="165"/>
      <c r="K132" s="165"/>
      <c r="L132" s="165"/>
      <c r="M132" s="165"/>
      <c r="N132" s="165"/>
      <c r="O132" s="165"/>
      <c r="P132" s="165"/>
      <c r="Q132" s="165"/>
      <c r="R132" s="165"/>
      <c r="S132" s="165"/>
      <c r="T132" s="165"/>
      <c r="U132" s="165"/>
      <c r="V132" s="165"/>
      <c r="W132" s="165"/>
      <c r="X132" s="165"/>
    </row>
    <row r="133" ht="18.75" customHeight="1">
      <c r="A133" s="165">
        <v>131.0</v>
      </c>
      <c r="B133" s="167" t="s">
        <v>15616</v>
      </c>
      <c r="C133" s="165"/>
      <c r="D133" s="165"/>
      <c r="E133" s="165"/>
      <c r="F133" s="165"/>
      <c r="G133" s="165"/>
      <c r="H133" s="165"/>
      <c r="I133" s="165"/>
      <c r="J133" s="165"/>
      <c r="K133" s="165"/>
      <c r="L133" s="165"/>
      <c r="M133" s="165"/>
      <c r="N133" s="165"/>
      <c r="O133" s="165"/>
      <c r="P133" s="165"/>
      <c r="Q133" s="165"/>
      <c r="R133" s="165"/>
      <c r="S133" s="165"/>
      <c r="T133" s="165"/>
      <c r="U133" s="165"/>
      <c r="V133" s="165"/>
      <c r="W133" s="165"/>
      <c r="X133" s="165"/>
    </row>
    <row r="134" ht="18.75" customHeight="1">
      <c r="A134" s="165">
        <v>132.0</v>
      </c>
      <c r="B134" s="165" t="s">
        <v>15617</v>
      </c>
      <c r="C134" s="165"/>
      <c r="D134" s="165"/>
      <c r="E134" s="165"/>
      <c r="F134" s="165"/>
      <c r="G134" s="165"/>
      <c r="H134" s="165"/>
      <c r="I134" s="165"/>
      <c r="J134" s="165"/>
      <c r="K134" s="165"/>
      <c r="L134" s="165"/>
      <c r="M134" s="165"/>
      <c r="N134" s="165"/>
      <c r="O134" s="165"/>
      <c r="P134" s="165"/>
      <c r="Q134" s="165"/>
      <c r="R134" s="165"/>
      <c r="S134" s="165"/>
      <c r="T134" s="165"/>
      <c r="U134" s="165"/>
      <c r="V134" s="165"/>
      <c r="W134" s="165"/>
      <c r="X134" s="165"/>
    </row>
    <row r="135" ht="18.75" customHeight="1">
      <c r="A135" s="165">
        <v>133.0</v>
      </c>
      <c r="B135" s="165" t="s">
        <v>15618</v>
      </c>
      <c r="C135" s="165"/>
      <c r="D135" s="165"/>
      <c r="E135" s="165"/>
      <c r="F135" s="165"/>
      <c r="G135" s="165"/>
      <c r="H135" s="165"/>
      <c r="I135" s="165"/>
      <c r="J135" s="165"/>
      <c r="K135" s="165"/>
      <c r="L135" s="165"/>
      <c r="M135" s="165"/>
      <c r="N135" s="165"/>
      <c r="O135" s="165"/>
      <c r="P135" s="165"/>
      <c r="Q135" s="165"/>
      <c r="R135" s="165"/>
      <c r="S135" s="165"/>
      <c r="T135" s="165"/>
      <c r="U135" s="165"/>
      <c r="V135" s="165"/>
      <c r="W135" s="165"/>
      <c r="X135" s="165"/>
    </row>
    <row r="136" ht="18.75" customHeight="1">
      <c r="A136" s="165">
        <v>134.0</v>
      </c>
      <c r="B136" s="165" t="s">
        <v>15619</v>
      </c>
      <c r="C136" s="165"/>
      <c r="D136" s="165"/>
      <c r="E136" s="165"/>
      <c r="F136" s="165"/>
      <c r="G136" s="165"/>
      <c r="H136" s="165"/>
      <c r="I136" s="165"/>
      <c r="J136" s="165"/>
      <c r="K136" s="165"/>
      <c r="L136" s="165"/>
      <c r="M136" s="165"/>
      <c r="N136" s="165"/>
      <c r="O136" s="165"/>
      <c r="P136" s="165"/>
      <c r="Q136" s="165"/>
      <c r="R136" s="165"/>
      <c r="S136" s="165"/>
      <c r="T136" s="165"/>
      <c r="U136" s="165"/>
      <c r="V136" s="165"/>
      <c r="W136" s="165"/>
      <c r="X136" s="165"/>
    </row>
    <row r="137" ht="18.75" customHeight="1">
      <c r="A137" s="165">
        <v>135.0</v>
      </c>
      <c r="B137" s="165" t="s">
        <v>15620</v>
      </c>
      <c r="C137" s="165"/>
      <c r="D137" s="165"/>
      <c r="E137" s="165"/>
      <c r="F137" s="165"/>
      <c r="G137" s="165"/>
      <c r="H137" s="165"/>
      <c r="I137" s="165"/>
      <c r="J137" s="165"/>
      <c r="K137" s="165"/>
      <c r="L137" s="165"/>
      <c r="M137" s="165"/>
      <c r="N137" s="165"/>
      <c r="O137" s="165"/>
      <c r="P137" s="165"/>
      <c r="Q137" s="165"/>
      <c r="R137" s="165"/>
      <c r="S137" s="165"/>
      <c r="T137" s="165"/>
      <c r="U137" s="165"/>
      <c r="V137" s="165"/>
      <c r="W137" s="165"/>
      <c r="X137" s="165"/>
    </row>
    <row r="138" ht="18.75" customHeight="1">
      <c r="A138" s="165">
        <v>136.0</v>
      </c>
      <c r="B138" s="165" t="s">
        <v>15621</v>
      </c>
      <c r="C138" s="165"/>
      <c r="D138" s="165"/>
      <c r="E138" s="165"/>
      <c r="F138" s="165"/>
      <c r="G138" s="165"/>
      <c r="H138" s="165"/>
      <c r="I138" s="165"/>
      <c r="J138" s="165"/>
      <c r="K138" s="165"/>
      <c r="L138" s="165"/>
      <c r="M138" s="165"/>
      <c r="N138" s="165"/>
      <c r="O138" s="165"/>
      <c r="P138" s="165"/>
      <c r="Q138" s="165"/>
      <c r="R138" s="165"/>
      <c r="S138" s="165"/>
      <c r="T138" s="165"/>
      <c r="U138" s="165"/>
      <c r="V138" s="165"/>
      <c r="W138" s="165"/>
      <c r="X138" s="165"/>
    </row>
    <row r="139" ht="18.75" customHeight="1">
      <c r="A139" s="165">
        <v>137.0</v>
      </c>
      <c r="B139" s="165" t="s">
        <v>15622</v>
      </c>
      <c r="C139" s="165"/>
      <c r="D139" s="165"/>
      <c r="E139" s="165"/>
      <c r="F139" s="165"/>
      <c r="G139" s="165"/>
      <c r="H139" s="165"/>
      <c r="I139" s="165"/>
      <c r="J139" s="165"/>
      <c r="K139" s="165"/>
      <c r="L139" s="165"/>
      <c r="M139" s="165"/>
      <c r="N139" s="165"/>
      <c r="O139" s="165"/>
      <c r="P139" s="165"/>
      <c r="Q139" s="165"/>
      <c r="R139" s="165"/>
      <c r="S139" s="165"/>
      <c r="T139" s="165"/>
      <c r="U139" s="165"/>
      <c r="V139" s="165"/>
      <c r="W139" s="165"/>
      <c r="X139" s="165"/>
    </row>
    <row r="140" ht="18.75" customHeight="1">
      <c r="A140" s="165">
        <v>138.0</v>
      </c>
      <c r="B140" s="165" t="s">
        <v>15623</v>
      </c>
      <c r="C140" s="165"/>
      <c r="D140" s="165"/>
      <c r="E140" s="165"/>
      <c r="F140" s="165"/>
      <c r="G140" s="165"/>
      <c r="H140" s="165"/>
      <c r="I140" s="165"/>
      <c r="J140" s="165"/>
      <c r="K140" s="165"/>
      <c r="L140" s="165"/>
      <c r="M140" s="165"/>
      <c r="N140" s="165"/>
      <c r="O140" s="165"/>
      <c r="P140" s="165"/>
      <c r="Q140" s="165"/>
      <c r="R140" s="165"/>
      <c r="S140" s="165"/>
      <c r="T140" s="165"/>
      <c r="U140" s="165"/>
      <c r="V140" s="165"/>
      <c r="W140" s="165"/>
      <c r="X140" s="165"/>
    </row>
    <row r="141" ht="18.75" customHeight="1">
      <c r="A141" s="165">
        <v>139.0</v>
      </c>
      <c r="B141" s="167" t="s">
        <v>15624</v>
      </c>
      <c r="C141" s="165"/>
      <c r="D141" s="165"/>
      <c r="E141" s="165"/>
      <c r="F141" s="165"/>
      <c r="G141" s="165"/>
      <c r="H141" s="165"/>
      <c r="I141" s="165"/>
      <c r="J141" s="165"/>
      <c r="K141" s="165"/>
      <c r="L141" s="165"/>
      <c r="M141" s="165"/>
      <c r="N141" s="165"/>
      <c r="O141" s="165"/>
      <c r="P141" s="165"/>
      <c r="Q141" s="165"/>
      <c r="R141" s="165"/>
      <c r="S141" s="165"/>
      <c r="T141" s="165"/>
      <c r="U141" s="165"/>
      <c r="V141" s="165"/>
      <c r="W141" s="165"/>
      <c r="X141" s="165"/>
    </row>
    <row r="142" ht="18.75" customHeight="1">
      <c r="A142" s="165">
        <v>140.0</v>
      </c>
      <c r="B142" s="167" t="s">
        <v>15625</v>
      </c>
      <c r="C142" s="165"/>
      <c r="D142" s="165"/>
      <c r="E142" s="165"/>
      <c r="F142" s="165"/>
      <c r="G142" s="165"/>
      <c r="H142" s="165"/>
      <c r="I142" s="165"/>
      <c r="J142" s="165"/>
      <c r="K142" s="165"/>
      <c r="L142" s="165"/>
      <c r="M142" s="165"/>
      <c r="N142" s="165"/>
      <c r="O142" s="165"/>
      <c r="P142" s="165"/>
      <c r="Q142" s="165"/>
      <c r="R142" s="165"/>
      <c r="S142" s="165"/>
      <c r="T142" s="165"/>
      <c r="U142" s="165"/>
      <c r="V142" s="165"/>
      <c r="W142" s="165"/>
      <c r="X142" s="165"/>
    </row>
    <row r="143" ht="18.75" customHeight="1">
      <c r="A143" s="165">
        <v>141.0</v>
      </c>
      <c r="B143" s="165" t="s">
        <v>15626</v>
      </c>
      <c r="C143" s="165"/>
      <c r="D143" s="165"/>
      <c r="E143" s="165"/>
      <c r="F143" s="165"/>
      <c r="G143" s="165"/>
      <c r="H143" s="165"/>
      <c r="I143" s="165"/>
      <c r="J143" s="165"/>
      <c r="K143" s="165"/>
      <c r="L143" s="165"/>
      <c r="M143" s="165"/>
      <c r="N143" s="165"/>
      <c r="O143" s="165"/>
      <c r="P143" s="165"/>
      <c r="Q143" s="165"/>
      <c r="R143" s="165"/>
      <c r="S143" s="165"/>
      <c r="T143" s="165"/>
      <c r="U143" s="165"/>
      <c r="V143" s="165"/>
      <c r="W143" s="165"/>
      <c r="X143" s="165"/>
    </row>
    <row r="144" ht="18.75" customHeight="1">
      <c r="A144" s="165">
        <v>142.0</v>
      </c>
      <c r="B144" s="165" t="s">
        <v>15627</v>
      </c>
      <c r="C144" s="165"/>
      <c r="D144" s="165"/>
      <c r="E144" s="165"/>
      <c r="F144" s="165"/>
      <c r="G144" s="165"/>
      <c r="H144" s="165"/>
      <c r="I144" s="165"/>
      <c r="J144" s="165"/>
      <c r="K144" s="165"/>
      <c r="L144" s="165"/>
      <c r="M144" s="165"/>
      <c r="N144" s="165"/>
      <c r="O144" s="165"/>
      <c r="P144" s="165"/>
      <c r="Q144" s="165"/>
      <c r="R144" s="165"/>
      <c r="S144" s="165"/>
      <c r="T144" s="165"/>
      <c r="U144" s="165"/>
      <c r="V144" s="165"/>
      <c r="W144" s="165"/>
      <c r="X144" s="165"/>
    </row>
    <row r="145" ht="18.75" customHeight="1">
      <c r="A145" s="165">
        <v>143.0</v>
      </c>
      <c r="B145" s="165" t="s">
        <v>15628</v>
      </c>
      <c r="C145" s="165"/>
      <c r="D145" s="165"/>
      <c r="E145" s="165"/>
      <c r="F145" s="165"/>
      <c r="G145" s="165"/>
      <c r="H145" s="165"/>
      <c r="I145" s="165"/>
      <c r="J145" s="165"/>
      <c r="K145" s="165"/>
      <c r="L145" s="165"/>
      <c r="M145" s="165"/>
      <c r="N145" s="165"/>
      <c r="O145" s="165"/>
      <c r="P145" s="165"/>
      <c r="Q145" s="165"/>
      <c r="R145" s="165"/>
      <c r="S145" s="165"/>
      <c r="T145" s="165"/>
      <c r="U145" s="165"/>
      <c r="V145" s="165"/>
      <c r="W145" s="165"/>
      <c r="X145" s="165"/>
    </row>
    <row r="146" ht="18.75" customHeight="1">
      <c r="A146" s="165">
        <v>144.0</v>
      </c>
      <c r="B146" s="165" t="s">
        <v>15629</v>
      </c>
      <c r="C146" s="165"/>
      <c r="D146" s="165"/>
      <c r="E146" s="165"/>
      <c r="F146" s="165"/>
      <c r="G146" s="165"/>
      <c r="H146" s="165"/>
      <c r="I146" s="165"/>
      <c r="J146" s="165"/>
      <c r="K146" s="165"/>
      <c r="L146" s="165"/>
      <c r="M146" s="165"/>
      <c r="N146" s="165"/>
      <c r="O146" s="165"/>
      <c r="P146" s="165"/>
      <c r="Q146" s="165"/>
      <c r="R146" s="165"/>
      <c r="S146" s="165"/>
      <c r="T146" s="165"/>
      <c r="U146" s="165"/>
      <c r="V146" s="165"/>
      <c r="W146" s="165"/>
      <c r="X146" s="165"/>
    </row>
    <row r="147" ht="18.75" customHeight="1">
      <c r="A147" s="165">
        <v>145.0</v>
      </c>
      <c r="B147" s="165" t="s">
        <v>15630</v>
      </c>
      <c r="C147" s="165"/>
      <c r="D147" s="165"/>
      <c r="E147" s="165"/>
      <c r="F147" s="165"/>
      <c r="G147" s="165"/>
      <c r="H147" s="165"/>
      <c r="I147" s="165"/>
      <c r="J147" s="165"/>
      <c r="K147" s="165"/>
      <c r="L147" s="165"/>
      <c r="M147" s="165"/>
      <c r="N147" s="165"/>
      <c r="O147" s="165"/>
      <c r="P147" s="165"/>
      <c r="Q147" s="165"/>
      <c r="R147" s="165"/>
      <c r="S147" s="165"/>
      <c r="T147" s="165"/>
      <c r="U147" s="165"/>
      <c r="V147" s="165"/>
      <c r="W147" s="165"/>
      <c r="X147" s="165"/>
    </row>
    <row r="148" ht="18.75" customHeight="1">
      <c r="A148" s="165">
        <v>146.0</v>
      </c>
      <c r="B148" s="165" t="s">
        <v>15631</v>
      </c>
      <c r="C148" s="165"/>
      <c r="D148" s="165"/>
      <c r="E148" s="165"/>
      <c r="F148" s="165"/>
      <c r="G148" s="165"/>
      <c r="H148" s="165"/>
      <c r="I148" s="165"/>
      <c r="J148" s="165"/>
      <c r="K148" s="165"/>
      <c r="L148" s="165"/>
      <c r="M148" s="165"/>
      <c r="N148" s="165"/>
      <c r="O148" s="165"/>
      <c r="P148" s="165"/>
      <c r="Q148" s="165"/>
      <c r="R148" s="165"/>
      <c r="S148" s="165"/>
      <c r="T148" s="165"/>
      <c r="U148" s="165"/>
      <c r="V148" s="165"/>
      <c r="W148" s="165"/>
      <c r="X148" s="165"/>
    </row>
    <row r="149" ht="18.75" customHeight="1">
      <c r="A149" s="165">
        <v>147.0</v>
      </c>
      <c r="B149" s="165" t="s">
        <v>15632</v>
      </c>
      <c r="C149" s="165"/>
      <c r="D149" s="165"/>
      <c r="E149" s="165"/>
      <c r="F149" s="165"/>
      <c r="G149" s="165"/>
      <c r="H149" s="165"/>
      <c r="I149" s="165"/>
      <c r="J149" s="165"/>
      <c r="K149" s="165"/>
      <c r="L149" s="165"/>
      <c r="M149" s="165"/>
      <c r="N149" s="165"/>
      <c r="O149" s="165"/>
      <c r="P149" s="165"/>
      <c r="Q149" s="165"/>
      <c r="R149" s="165"/>
      <c r="S149" s="165"/>
      <c r="T149" s="165"/>
      <c r="U149" s="165"/>
      <c r="V149" s="165"/>
      <c r="W149" s="165"/>
      <c r="X149" s="165"/>
    </row>
    <row r="150" ht="18.75" customHeight="1">
      <c r="A150" s="165">
        <v>148.0</v>
      </c>
      <c r="B150" s="165" t="s">
        <v>15633</v>
      </c>
      <c r="C150" s="165"/>
      <c r="D150" s="165"/>
      <c r="E150" s="165"/>
      <c r="F150" s="165"/>
      <c r="G150" s="165"/>
      <c r="H150" s="165"/>
      <c r="I150" s="165"/>
      <c r="J150" s="165"/>
      <c r="K150" s="165"/>
      <c r="L150" s="165"/>
      <c r="M150" s="165"/>
      <c r="N150" s="165"/>
      <c r="O150" s="165"/>
      <c r="P150" s="165"/>
      <c r="Q150" s="165"/>
      <c r="R150" s="165"/>
      <c r="S150" s="165"/>
      <c r="T150" s="165"/>
      <c r="U150" s="165"/>
      <c r="V150" s="165"/>
      <c r="W150" s="165"/>
      <c r="X150" s="165"/>
    </row>
    <row r="151" ht="18.75" customHeight="1">
      <c r="A151" s="165">
        <v>149.0</v>
      </c>
      <c r="B151" s="165" t="s">
        <v>15634</v>
      </c>
      <c r="C151" s="165"/>
      <c r="D151" s="165"/>
      <c r="E151" s="165"/>
      <c r="F151" s="165"/>
      <c r="G151" s="165"/>
      <c r="H151" s="165"/>
      <c r="I151" s="165"/>
      <c r="J151" s="165"/>
      <c r="K151" s="165"/>
      <c r="L151" s="165"/>
      <c r="M151" s="165"/>
      <c r="N151" s="165"/>
      <c r="O151" s="165"/>
      <c r="P151" s="165"/>
      <c r="Q151" s="165"/>
      <c r="R151" s="165"/>
      <c r="S151" s="165"/>
      <c r="T151" s="165"/>
      <c r="U151" s="165"/>
      <c r="V151" s="165"/>
      <c r="W151" s="165"/>
      <c r="X151" s="165"/>
    </row>
    <row r="152" ht="18.75" customHeight="1">
      <c r="A152" s="165">
        <v>150.0</v>
      </c>
      <c r="B152" s="165" t="s">
        <v>15635</v>
      </c>
      <c r="C152" s="165"/>
      <c r="D152" s="165"/>
      <c r="E152" s="165"/>
      <c r="F152" s="165"/>
      <c r="G152" s="165"/>
      <c r="H152" s="165"/>
      <c r="I152" s="165"/>
      <c r="J152" s="165"/>
      <c r="K152" s="165"/>
      <c r="L152" s="165"/>
      <c r="M152" s="165"/>
      <c r="N152" s="165"/>
      <c r="O152" s="165"/>
      <c r="P152" s="165"/>
      <c r="Q152" s="165"/>
      <c r="R152" s="165"/>
      <c r="S152" s="165"/>
      <c r="T152" s="165"/>
      <c r="U152" s="165"/>
      <c r="V152" s="165"/>
      <c r="W152" s="165"/>
      <c r="X152" s="165"/>
    </row>
    <row r="153" ht="18.75" customHeight="1">
      <c r="A153" s="165">
        <v>151.0</v>
      </c>
      <c r="B153" s="165" t="s">
        <v>15636</v>
      </c>
      <c r="C153" s="165"/>
      <c r="D153" s="165"/>
      <c r="E153" s="165"/>
      <c r="F153" s="165"/>
      <c r="G153" s="165"/>
      <c r="H153" s="165"/>
      <c r="I153" s="165"/>
      <c r="J153" s="165"/>
      <c r="K153" s="165"/>
      <c r="L153" s="165"/>
      <c r="M153" s="165"/>
      <c r="N153" s="165"/>
      <c r="O153" s="165"/>
      <c r="P153" s="165"/>
      <c r="Q153" s="165"/>
      <c r="R153" s="165"/>
      <c r="S153" s="165"/>
      <c r="T153" s="165"/>
      <c r="U153" s="165"/>
      <c r="V153" s="165"/>
      <c r="W153" s="165"/>
      <c r="X153" s="165"/>
    </row>
    <row r="154" ht="18.75" customHeight="1">
      <c r="A154" s="165">
        <v>152.0</v>
      </c>
      <c r="B154" s="165" t="s">
        <v>15637</v>
      </c>
      <c r="C154" s="165"/>
      <c r="D154" s="165"/>
      <c r="E154" s="165"/>
      <c r="F154" s="165"/>
      <c r="G154" s="165"/>
      <c r="H154" s="165"/>
      <c r="I154" s="165"/>
      <c r="J154" s="165"/>
      <c r="K154" s="165"/>
      <c r="L154" s="165"/>
      <c r="M154" s="165"/>
      <c r="N154" s="165"/>
      <c r="O154" s="165"/>
      <c r="P154" s="165"/>
      <c r="Q154" s="165"/>
      <c r="R154" s="165"/>
      <c r="S154" s="165"/>
      <c r="T154" s="165"/>
      <c r="U154" s="165"/>
      <c r="V154" s="165"/>
      <c r="W154" s="165"/>
      <c r="X154" s="165"/>
    </row>
    <row r="155" ht="18.75" customHeight="1">
      <c r="A155" s="165">
        <v>153.0</v>
      </c>
      <c r="B155" s="165" t="s">
        <v>15638</v>
      </c>
      <c r="C155" s="165"/>
      <c r="D155" s="165"/>
      <c r="E155" s="165"/>
      <c r="F155" s="165"/>
      <c r="G155" s="165"/>
      <c r="H155" s="165"/>
      <c r="I155" s="165"/>
      <c r="J155" s="165"/>
      <c r="K155" s="165"/>
      <c r="L155" s="165"/>
      <c r="M155" s="165"/>
      <c r="N155" s="165"/>
      <c r="O155" s="165"/>
      <c r="P155" s="165"/>
      <c r="Q155" s="165"/>
      <c r="R155" s="165"/>
      <c r="S155" s="165"/>
      <c r="T155" s="165"/>
      <c r="U155" s="165"/>
      <c r="V155" s="165"/>
      <c r="W155" s="165"/>
      <c r="X155" s="165"/>
    </row>
    <row r="156" ht="18.75" customHeight="1">
      <c r="A156" s="165">
        <v>154.0</v>
      </c>
      <c r="B156" s="167" t="s">
        <v>15639</v>
      </c>
      <c r="C156" s="165"/>
      <c r="D156" s="165"/>
      <c r="E156" s="165"/>
      <c r="F156" s="165"/>
      <c r="G156" s="165"/>
      <c r="H156" s="165"/>
      <c r="I156" s="165"/>
      <c r="J156" s="165"/>
      <c r="K156" s="165"/>
      <c r="L156" s="165"/>
      <c r="M156" s="165"/>
      <c r="N156" s="165"/>
      <c r="O156" s="165"/>
      <c r="P156" s="165"/>
      <c r="Q156" s="165"/>
      <c r="R156" s="165"/>
      <c r="S156" s="165"/>
      <c r="T156" s="165"/>
      <c r="U156" s="165"/>
      <c r="V156" s="165"/>
      <c r="W156" s="165"/>
      <c r="X156" s="165"/>
    </row>
    <row r="157" ht="18.75" customHeight="1">
      <c r="A157" s="165">
        <v>155.0</v>
      </c>
      <c r="B157" s="165" t="s">
        <v>15640</v>
      </c>
      <c r="C157" s="165"/>
      <c r="D157" s="165"/>
      <c r="E157" s="165"/>
      <c r="F157" s="165"/>
      <c r="G157" s="165"/>
      <c r="H157" s="165"/>
      <c r="I157" s="165"/>
      <c r="J157" s="165"/>
      <c r="K157" s="165"/>
      <c r="L157" s="165"/>
      <c r="M157" s="165"/>
      <c r="N157" s="165"/>
      <c r="O157" s="165"/>
      <c r="P157" s="165"/>
      <c r="Q157" s="165"/>
      <c r="R157" s="165"/>
      <c r="S157" s="165"/>
      <c r="T157" s="165"/>
      <c r="U157" s="165"/>
      <c r="V157" s="165"/>
      <c r="W157" s="165"/>
      <c r="X157" s="165"/>
    </row>
    <row r="158" ht="18.75" customHeight="1">
      <c r="A158" s="165">
        <v>156.0</v>
      </c>
      <c r="B158" s="165" t="s">
        <v>15641</v>
      </c>
      <c r="C158" s="165"/>
      <c r="D158" s="165"/>
      <c r="E158" s="165"/>
      <c r="F158" s="165"/>
      <c r="G158" s="165"/>
      <c r="H158" s="165"/>
      <c r="I158" s="165"/>
      <c r="J158" s="165"/>
      <c r="K158" s="165"/>
      <c r="L158" s="165"/>
      <c r="M158" s="165"/>
      <c r="N158" s="165"/>
      <c r="O158" s="165"/>
      <c r="P158" s="165"/>
      <c r="Q158" s="165"/>
      <c r="R158" s="165"/>
      <c r="S158" s="165"/>
      <c r="T158" s="165"/>
      <c r="U158" s="165"/>
      <c r="V158" s="165"/>
      <c r="W158" s="165"/>
      <c r="X158" s="165"/>
    </row>
    <row r="159" ht="18.75" customHeight="1">
      <c r="A159" s="165">
        <v>157.0</v>
      </c>
      <c r="B159" s="165" t="s">
        <v>15642</v>
      </c>
      <c r="C159" s="165"/>
      <c r="D159" s="165"/>
      <c r="E159" s="165"/>
      <c r="F159" s="165"/>
      <c r="G159" s="165"/>
      <c r="H159" s="165"/>
      <c r="I159" s="165"/>
      <c r="J159" s="165"/>
      <c r="K159" s="165"/>
      <c r="L159" s="165"/>
      <c r="M159" s="165"/>
      <c r="N159" s="165"/>
      <c r="O159" s="165"/>
      <c r="P159" s="165"/>
      <c r="Q159" s="165"/>
      <c r="R159" s="165"/>
      <c r="S159" s="165"/>
      <c r="T159" s="165"/>
      <c r="U159" s="165"/>
      <c r="V159" s="165"/>
      <c r="W159" s="165"/>
      <c r="X159" s="165"/>
    </row>
    <row r="160" ht="18.75" customHeight="1">
      <c r="A160" s="165">
        <v>158.0</v>
      </c>
      <c r="B160" s="165" t="s">
        <v>15643</v>
      </c>
      <c r="C160" s="165"/>
      <c r="D160" s="165"/>
      <c r="E160" s="165"/>
      <c r="F160" s="165"/>
      <c r="G160" s="165"/>
      <c r="H160" s="165"/>
      <c r="I160" s="165"/>
      <c r="J160" s="165"/>
      <c r="K160" s="165"/>
      <c r="L160" s="165"/>
      <c r="M160" s="165"/>
      <c r="N160" s="165"/>
      <c r="O160" s="165"/>
      <c r="P160" s="165"/>
      <c r="Q160" s="165"/>
      <c r="R160" s="165"/>
      <c r="S160" s="165"/>
      <c r="T160" s="165"/>
      <c r="U160" s="165"/>
      <c r="V160" s="165"/>
      <c r="W160" s="165"/>
      <c r="X160" s="165"/>
    </row>
    <row r="161" ht="18.75" customHeight="1">
      <c r="A161" s="165">
        <v>159.0</v>
      </c>
      <c r="B161" s="165" t="s">
        <v>15644</v>
      </c>
      <c r="C161" s="165"/>
      <c r="D161" s="165"/>
      <c r="E161" s="165"/>
      <c r="F161" s="165"/>
      <c r="G161" s="165"/>
      <c r="H161" s="165"/>
      <c r="I161" s="165"/>
      <c r="J161" s="165"/>
      <c r="K161" s="165"/>
      <c r="L161" s="165"/>
      <c r="M161" s="165"/>
      <c r="N161" s="165"/>
      <c r="O161" s="165"/>
      <c r="P161" s="165"/>
      <c r="Q161" s="165"/>
      <c r="R161" s="165"/>
      <c r="S161" s="165"/>
      <c r="T161" s="165"/>
      <c r="U161" s="165"/>
      <c r="V161" s="165"/>
      <c r="W161" s="165"/>
      <c r="X161" s="165"/>
    </row>
    <row r="162" ht="18.75" customHeight="1">
      <c r="A162" s="165">
        <v>160.0</v>
      </c>
      <c r="B162" s="165" t="s">
        <v>15645</v>
      </c>
      <c r="C162" s="165"/>
      <c r="D162" s="165"/>
      <c r="E162" s="165"/>
      <c r="F162" s="165"/>
      <c r="G162" s="165"/>
      <c r="H162" s="165"/>
      <c r="I162" s="165"/>
      <c r="J162" s="165"/>
      <c r="K162" s="165"/>
      <c r="L162" s="165"/>
      <c r="M162" s="165"/>
      <c r="N162" s="165"/>
      <c r="O162" s="165"/>
      <c r="P162" s="165"/>
      <c r="Q162" s="165"/>
      <c r="R162" s="165"/>
      <c r="S162" s="165"/>
      <c r="T162" s="165"/>
      <c r="U162" s="165"/>
      <c r="V162" s="165"/>
      <c r="W162" s="165"/>
      <c r="X162" s="165"/>
    </row>
    <row r="163" ht="18.75" customHeight="1">
      <c r="A163" s="165">
        <v>161.0</v>
      </c>
      <c r="B163" s="165" t="s">
        <v>15646</v>
      </c>
      <c r="C163" s="165"/>
      <c r="D163" s="165"/>
      <c r="E163" s="165"/>
      <c r="F163" s="165"/>
      <c r="G163" s="165"/>
      <c r="H163" s="165"/>
      <c r="I163" s="165"/>
      <c r="J163" s="165"/>
      <c r="K163" s="165"/>
      <c r="L163" s="165"/>
      <c r="M163" s="165"/>
      <c r="N163" s="165"/>
      <c r="O163" s="165"/>
      <c r="P163" s="165"/>
      <c r="Q163" s="165"/>
      <c r="R163" s="165"/>
      <c r="S163" s="165"/>
      <c r="T163" s="165"/>
      <c r="U163" s="165"/>
      <c r="V163" s="165"/>
      <c r="W163" s="165"/>
      <c r="X163" s="165"/>
    </row>
    <row r="164" ht="18.75" customHeight="1">
      <c r="A164" s="165">
        <v>162.0</v>
      </c>
      <c r="B164" s="165" t="s">
        <v>15647</v>
      </c>
      <c r="C164" s="165"/>
      <c r="D164" s="165"/>
      <c r="E164" s="165"/>
      <c r="F164" s="165"/>
      <c r="G164" s="165"/>
      <c r="H164" s="165"/>
      <c r="I164" s="165"/>
      <c r="J164" s="165"/>
      <c r="K164" s="165"/>
      <c r="L164" s="165"/>
      <c r="M164" s="165"/>
      <c r="N164" s="165"/>
      <c r="O164" s="165"/>
      <c r="P164" s="165"/>
      <c r="Q164" s="165"/>
      <c r="R164" s="165"/>
      <c r="S164" s="165"/>
      <c r="T164" s="165"/>
      <c r="U164" s="165"/>
      <c r="V164" s="165"/>
      <c r="W164" s="165"/>
      <c r="X164" s="165"/>
    </row>
    <row r="165" ht="18.75" customHeight="1">
      <c r="A165" s="165">
        <v>163.0</v>
      </c>
      <c r="B165" s="165" t="s">
        <v>15648</v>
      </c>
      <c r="C165" s="165"/>
      <c r="D165" s="165"/>
      <c r="E165" s="165"/>
      <c r="F165" s="165"/>
      <c r="G165" s="165"/>
      <c r="H165" s="165"/>
      <c r="I165" s="165"/>
      <c r="J165" s="165"/>
      <c r="K165" s="165"/>
      <c r="L165" s="165"/>
      <c r="M165" s="165"/>
      <c r="N165" s="165"/>
      <c r="O165" s="165"/>
      <c r="P165" s="165"/>
      <c r="Q165" s="165"/>
      <c r="R165" s="165"/>
      <c r="S165" s="165"/>
      <c r="T165" s="165"/>
      <c r="U165" s="165"/>
      <c r="V165" s="165"/>
      <c r="W165" s="165"/>
      <c r="X165" s="165"/>
    </row>
    <row r="166" ht="18.75" customHeight="1">
      <c r="A166" s="165">
        <v>164.0</v>
      </c>
      <c r="B166" s="165" t="s">
        <v>15649</v>
      </c>
      <c r="C166" s="165"/>
      <c r="D166" s="165"/>
      <c r="E166" s="165"/>
      <c r="F166" s="165"/>
      <c r="G166" s="165"/>
      <c r="H166" s="165"/>
      <c r="I166" s="165"/>
      <c r="J166" s="165"/>
      <c r="K166" s="165"/>
      <c r="L166" s="165"/>
      <c r="M166" s="165"/>
      <c r="N166" s="165"/>
      <c r="O166" s="165"/>
      <c r="P166" s="165"/>
      <c r="Q166" s="165"/>
      <c r="R166" s="165"/>
      <c r="S166" s="165"/>
      <c r="T166" s="165"/>
      <c r="U166" s="165"/>
      <c r="V166" s="165"/>
      <c r="W166" s="165"/>
      <c r="X166" s="165"/>
    </row>
    <row r="167" ht="18.75" customHeight="1">
      <c r="A167" s="165">
        <v>165.0</v>
      </c>
      <c r="B167" s="167" t="s">
        <v>15650</v>
      </c>
      <c r="C167" s="165"/>
      <c r="D167" s="165"/>
      <c r="E167" s="165"/>
      <c r="F167" s="165"/>
      <c r="G167" s="165"/>
      <c r="H167" s="165"/>
      <c r="I167" s="165"/>
      <c r="J167" s="165"/>
      <c r="K167" s="165"/>
      <c r="L167" s="165"/>
      <c r="M167" s="165"/>
      <c r="N167" s="165"/>
      <c r="O167" s="165"/>
      <c r="P167" s="165"/>
      <c r="Q167" s="165"/>
      <c r="R167" s="165"/>
      <c r="S167" s="165"/>
      <c r="T167" s="165"/>
      <c r="U167" s="165"/>
      <c r="V167" s="165"/>
      <c r="W167" s="165"/>
      <c r="X167" s="165"/>
    </row>
    <row r="168" ht="18.75" customHeight="1">
      <c r="A168" s="165">
        <v>166.0</v>
      </c>
      <c r="B168" s="165" t="s">
        <v>15651</v>
      </c>
      <c r="C168" s="165"/>
      <c r="D168" s="165"/>
      <c r="E168" s="165"/>
      <c r="F168" s="165"/>
      <c r="G168" s="165"/>
      <c r="H168" s="165"/>
      <c r="I168" s="165"/>
      <c r="J168" s="165"/>
      <c r="K168" s="165"/>
      <c r="L168" s="165"/>
      <c r="M168" s="165"/>
      <c r="N168" s="165"/>
      <c r="O168" s="165"/>
      <c r="P168" s="165"/>
      <c r="Q168" s="165"/>
      <c r="R168" s="165"/>
      <c r="S168" s="165"/>
      <c r="T168" s="165"/>
      <c r="U168" s="165"/>
      <c r="V168" s="165"/>
      <c r="W168" s="165"/>
      <c r="X168" s="165"/>
    </row>
    <row r="169" ht="18.75" customHeight="1">
      <c r="A169" s="165">
        <v>167.0</v>
      </c>
      <c r="B169" s="165" t="s">
        <v>15652</v>
      </c>
      <c r="C169" s="165"/>
      <c r="D169" s="165"/>
      <c r="E169" s="165"/>
      <c r="F169" s="165"/>
      <c r="G169" s="165"/>
      <c r="H169" s="165"/>
      <c r="I169" s="165"/>
      <c r="J169" s="165"/>
      <c r="K169" s="165"/>
      <c r="L169" s="165"/>
      <c r="M169" s="165"/>
      <c r="N169" s="165"/>
      <c r="O169" s="165"/>
      <c r="P169" s="165"/>
      <c r="Q169" s="165"/>
      <c r="R169" s="165"/>
      <c r="S169" s="165"/>
      <c r="T169" s="165"/>
      <c r="U169" s="165"/>
      <c r="V169" s="165"/>
      <c r="W169" s="165"/>
      <c r="X169" s="165"/>
    </row>
    <row r="170" ht="18.75" customHeight="1">
      <c r="A170" s="165">
        <v>168.0</v>
      </c>
      <c r="B170" s="165" t="s">
        <v>15653</v>
      </c>
      <c r="C170" s="165"/>
      <c r="D170" s="165"/>
      <c r="E170" s="165"/>
      <c r="F170" s="165"/>
      <c r="G170" s="165"/>
      <c r="H170" s="165"/>
      <c r="I170" s="165"/>
      <c r="J170" s="165"/>
      <c r="K170" s="165"/>
      <c r="L170" s="165"/>
      <c r="M170" s="165"/>
      <c r="N170" s="165"/>
      <c r="O170" s="165"/>
      <c r="P170" s="165"/>
      <c r="Q170" s="165"/>
      <c r="R170" s="165"/>
      <c r="S170" s="165"/>
      <c r="T170" s="165"/>
      <c r="U170" s="165"/>
      <c r="V170" s="165"/>
      <c r="W170" s="165"/>
      <c r="X170" s="165"/>
    </row>
    <row r="171" ht="18.75" customHeight="1">
      <c r="A171" s="165">
        <v>169.0</v>
      </c>
      <c r="B171" s="165" t="s">
        <v>15654</v>
      </c>
      <c r="C171" s="165"/>
      <c r="D171" s="165"/>
      <c r="E171" s="165"/>
      <c r="F171" s="165"/>
      <c r="G171" s="165"/>
      <c r="H171" s="165"/>
      <c r="I171" s="165"/>
      <c r="J171" s="165"/>
      <c r="K171" s="165"/>
      <c r="L171" s="165"/>
      <c r="M171" s="165"/>
      <c r="N171" s="165"/>
      <c r="O171" s="165"/>
      <c r="P171" s="165"/>
      <c r="Q171" s="165"/>
      <c r="R171" s="165"/>
      <c r="S171" s="165"/>
      <c r="T171" s="165"/>
      <c r="U171" s="165"/>
      <c r="V171" s="165"/>
      <c r="W171" s="165"/>
      <c r="X171" s="165"/>
    </row>
    <row r="172" ht="18.75" customHeight="1">
      <c r="A172" s="165">
        <v>170.0</v>
      </c>
      <c r="B172" s="165" t="s">
        <v>15655</v>
      </c>
      <c r="C172" s="165"/>
      <c r="D172" s="165"/>
      <c r="E172" s="165"/>
      <c r="F172" s="165"/>
      <c r="G172" s="165"/>
      <c r="H172" s="165"/>
      <c r="I172" s="165"/>
      <c r="J172" s="165"/>
      <c r="K172" s="165"/>
      <c r="L172" s="165"/>
      <c r="M172" s="165"/>
      <c r="N172" s="165"/>
      <c r="O172" s="165"/>
      <c r="P172" s="165"/>
      <c r="Q172" s="165"/>
      <c r="R172" s="165"/>
      <c r="S172" s="165"/>
      <c r="T172" s="165"/>
      <c r="U172" s="165"/>
      <c r="V172" s="165"/>
      <c r="W172" s="165"/>
      <c r="X172" s="165"/>
    </row>
    <row r="173" ht="18.75" customHeight="1">
      <c r="A173" s="165">
        <v>171.0</v>
      </c>
      <c r="B173" s="165" t="s">
        <v>15656</v>
      </c>
      <c r="C173" s="165"/>
      <c r="D173" s="165"/>
      <c r="E173" s="165"/>
      <c r="F173" s="165"/>
      <c r="G173" s="165"/>
      <c r="H173" s="165"/>
      <c r="I173" s="165"/>
      <c r="J173" s="165"/>
      <c r="K173" s="165"/>
      <c r="L173" s="165"/>
      <c r="M173" s="165"/>
      <c r="N173" s="165"/>
      <c r="O173" s="165"/>
      <c r="P173" s="165"/>
      <c r="Q173" s="165"/>
      <c r="R173" s="165"/>
      <c r="S173" s="165"/>
      <c r="T173" s="165"/>
      <c r="U173" s="165"/>
      <c r="V173" s="165"/>
      <c r="W173" s="165"/>
      <c r="X173" s="165"/>
    </row>
    <row r="174" ht="18.75" customHeight="1">
      <c r="A174" s="165">
        <v>172.0</v>
      </c>
      <c r="B174" s="165" t="s">
        <v>15657</v>
      </c>
      <c r="C174" s="165"/>
      <c r="D174" s="165"/>
      <c r="E174" s="165"/>
      <c r="F174" s="165"/>
      <c r="G174" s="165"/>
      <c r="H174" s="165"/>
      <c r="I174" s="165"/>
      <c r="J174" s="165"/>
      <c r="K174" s="165"/>
      <c r="L174" s="165"/>
      <c r="M174" s="165"/>
      <c r="N174" s="165"/>
      <c r="O174" s="165"/>
      <c r="P174" s="165"/>
      <c r="Q174" s="165"/>
      <c r="R174" s="165"/>
      <c r="S174" s="165"/>
      <c r="T174" s="165"/>
      <c r="U174" s="165"/>
      <c r="V174" s="165"/>
      <c r="W174" s="165"/>
      <c r="X174" s="165"/>
    </row>
    <row r="175" ht="18.75" customHeight="1">
      <c r="A175" s="165">
        <v>173.0</v>
      </c>
      <c r="B175" s="165" t="s">
        <v>15658</v>
      </c>
      <c r="C175" s="165"/>
      <c r="D175" s="165"/>
      <c r="E175" s="165"/>
      <c r="F175" s="165"/>
      <c r="G175" s="165"/>
      <c r="H175" s="165"/>
      <c r="I175" s="165"/>
      <c r="J175" s="165"/>
      <c r="K175" s="165"/>
      <c r="L175" s="165"/>
      <c r="M175" s="165"/>
      <c r="N175" s="165"/>
      <c r="O175" s="165"/>
      <c r="P175" s="165"/>
      <c r="Q175" s="165"/>
      <c r="R175" s="165"/>
      <c r="S175" s="165"/>
      <c r="T175" s="165"/>
      <c r="U175" s="165"/>
      <c r="V175" s="165"/>
      <c r="W175" s="165"/>
      <c r="X175" s="165"/>
    </row>
    <row r="176" ht="18.75" customHeight="1">
      <c r="A176" s="165">
        <v>174.0</v>
      </c>
      <c r="B176" s="165" t="s">
        <v>15659</v>
      </c>
      <c r="C176" s="165"/>
      <c r="D176" s="165"/>
      <c r="E176" s="165"/>
      <c r="F176" s="165"/>
      <c r="G176" s="165"/>
      <c r="H176" s="165"/>
      <c r="I176" s="165"/>
      <c r="J176" s="165"/>
      <c r="K176" s="165"/>
      <c r="L176" s="165"/>
      <c r="M176" s="165"/>
      <c r="N176" s="165"/>
      <c r="O176" s="165"/>
      <c r="P176" s="165"/>
      <c r="Q176" s="165"/>
      <c r="R176" s="165"/>
      <c r="S176" s="165"/>
      <c r="T176" s="165"/>
      <c r="U176" s="165"/>
      <c r="V176" s="165"/>
      <c r="W176" s="165"/>
      <c r="X176" s="165"/>
    </row>
    <row r="177" ht="18.75" customHeight="1">
      <c r="A177" s="165">
        <v>175.0</v>
      </c>
      <c r="B177" s="165" t="s">
        <v>15660</v>
      </c>
      <c r="C177" s="165"/>
      <c r="D177" s="165"/>
      <c r="E177" s="165"/>
      <c r="F177" s="165"/>
      <c r="G177" s="165"/>
      <c r="H177" s="165"/>
      <c r="I177" s="165"/>
      <c r="J177" s="165"/>
      <c r="K177" s="165"/>
      <c r="L177" s="165"/>
      <c r="M177" s="165"/>
      <c r="N177" s="165"/>
      <c r="O177" s="165"/>
      <c r="P177" s="165"/>
      <c r="Q177" s="165"/>
      <c r="R177" s="165"/>
      <c r="S177" s="165"/>
      <c r="T177" s="165"/>
      <c r="U177" s="165"/>
      <c r="V177" s="165"/>
      <c r="W177" s="165"/>
      <c r="X177" s="165"/>
    </row>
    <row r="178" ht="18.75" customHeight="1">
      <c r="A178" s="165">
        <v>176.0</v>
      </c>
      <c r="B178" s="165" t="s">
        <v>15661</v>
      </c>
      <c r="C178" s="165"/>
      <c r="D178" s="165"/>
      <c r="E178" s="165"/>
      <c r="F178" s="165"/>
      <c r="G178" s="165"/>
      <c r="H178" s="165"/>
      <c r="I178" s="165"/>
      <c r="J178" s="165"/>
      <c r="K178" s="165"/>
      <c r="L178" s="165"/>
      <c r="M178" s="165"/>
      <c r="N178" s="165"/>
      <c r="O178" s="165"/>
      <c r="P178" s="165"/>
      <c r="Q178" s="165"/>
      <c r="R178" s="165"/>
      <c r="S178" s="165"/>
      <c r="T178" s="165"/>
      <c r="U178" s="165"/>
      <c r="V178" s="165"/>
      <c r="W178" s="165"/>
      <c r="X178" s="165"/>
    </row>
    <row r="179" ht="18.75" customHeight="1">
      <c r="A179" s="165">
        <v>177.0</v>
      </c>
      <c r="B179" s="165" t="s">
        <v>15662</v>
      </c>
      <c r="C179" s="165"/>
      <c r="D179" s="165"/>
      <c r="E179" s="165"/>
      <c r="F179" s="165"/>
      <c r="G179" s="165"/>
      <c r="H179" s="165"/>
      <c r="I179" s="165"/>
      <c r="J179" s="165"/>
      <c r="K179" s="165"/>
      <c r="L179" s="165"/>
      <c r="M179" s="165"/>
      <c r="N179" s="165"/>
      <c r="O179" s="165"/>
      <c r="P179" s="165"/>
      <c r="Q179" s="165"/>
      <c r="R179" s="165"/>
      <c r="S179" s="165"/>
      <c r="T179" s="165"/>
      <c r="U179" s="165"/>
      <c r="V179" s="165"/>
      <c r="W179" s="165"/>
      <c r="X179" s="165"/>
    </row>
    <row r="180" ht="18.75" customHeight="1">
      <c r="A180" s="165">
        <v>178.0</v>
      </c>
      <c r="B180" s="165" t="s">
        <v>15663</v>
      </c>
      <c r="C180" s="165"/>
      <c r="D180" s="165"/>
      <c r="E180" s="165"/>
      <c r="F180" s="165"/>
      <c r="G180" s="165"/>
      <c r="H180" s="165"/>
      <c r="I180" s="165"/>
      <c r="J180" s="165"/>
      <c r="K180" s="165"/>
      <c r="L180" s="165"/>
      <c r="M180" s="165"/>
      <c r="N180" s="165"/>
      <c r="O180" s="165"/>
      <c r="P180" s="165"/>
      <c r="Q180" s="165"/>
      <c r="R180" s="165"/>
      <c r="S180" s="165"/>
      <c r="T180" s="165"/>
      <c r="U180" s="165"/>
      <c r="V180" s="165"/>
      <c r="W180" s="165"/>
      <c r="X180" s="165"/>
    </row>
    <row r="181" ht="18.75" customHeight="1">
      <c r="A181" s="165">
        <v>179.0</v>
      </c>
      <c r="B181" s="165" t="s">
        <v>15664</v>
      </c>
      <c r="C181" s="165"/>
      <c r="D181" s="165"/>
      <c r="E181" s="165"/>
      <c r="F181" s="165"/>
      <c r="G181" s="165"/>
      <c r="H181" s="165"/>
      <c r="I181" s="165"/>
      <c r="J181" s="165"/>
      <c r="K181" s="165"/>
      <c r="L181" s="165"/>
      <c r="M181" s="165"/>
      <c r="N181" s="165"/>
      <c r="O181" s="165"/>
      <c r="P181" s="165"/>
      <c r="Q181" s="165"/>
      <c r="R181" s="165"/>
      <c r="S181" s="165"/>
      <c r="T181" s="165"/>
      <c r="U181" s="165"/>
      <c r="V181" s="165"/>
      <c r="W181" s="165"/>
      <c r="X181" s="165"/>
    </row>
    <row r="182" ht="18.75" customHeight="1">
      <c r="A182" s="165">
        <v>180.0</v>
      </c>
      <c r="B182" s="165" t="s">
        <v>15665</v>
      </c>
      <c r="C182" s="165"/>
      <c r="D182" s="165"/>
      <c r="E182" s="165"/>
      <c r="F182" s="165"/>
      <c r="G182" s="165"/>
      <c r="H182" s="165"/>
      <c r="I182" s="165"/>
      <c r="J182" s="165"/>
      <c r="K182" s="165"/>
      <c r="L182" s="165"/>
      <c r="M182" s="165"/>
      <c r="N182" s="165"/>
      <c r="O182" s="165"/>
      <c r="P182" s="165"/>
      <c r="Q182" s="165"/>
      <c r="R182" s="165"/>
      <c r="S182" s="165"/>
      <c r="T182" s="165"/>
      <c r="U182" s="165"/>
      <c r="V182" s="165"/>
      <c r="W182" s="165"/>
      <c r="X182" s="165"/>
    </row>
    <row r="183" ht="18.75" customHeight="1">
      <c r="A183" s="165">
        <v>181.0</v>
      </c>
      <c r="B183" s="165" t="s">
        <v>15666</v>
      </c>
      <c r="C183" s="165"/>
      <c r="D183" s="165"/>
      <c r="E183" s="165"/>
      <c r="F183" s="165"/>
      <c r="G183" s="165"/>
      <c r="H183" s="165"/>
      <c r="I183" s="165"/>
      <c r="J183" s="165"/>
      <c r="K183" s="165"/>
      <c r="L183" s="165"/>
      <c r="M183" s="165"/>
      <c r="N183" s="165"/>
      <c r="O183" s="165"/>
      <c r="P183" s="165"/>
      <c r="Q183" s="165"/>
      <c r="R183" s="165"/>
      <c r="S183" s="165"/>
      <c r="T183" s="165"/>
      <c r="U183" s="165"/>
      <c r="V183" s="165"/>
      <c r="W183" s="165"/>
      <c r="X183" s="165"/>
    </row>
    <row r="184" ht="18.75" customHeight="1">
      <c r="A184" s="165">
        <v>182.0</v>
      </c>
      <c r="B184" s="165" t="s">
        <v>15667</v>
      </c>
      <c r="C184" s="165"/>
      <c r="D184" s="165"/>
      <c r="E184" s="165"/>
      <c r="F184" s="165"/>
      <c r="G184" s="165"/>
      <c r="H184" s="165"/>
      <c r="I184" s="165"/>
      <c r="J184" s="165"/>
      <c r="K184" s="165"/>
      <c r="L184" s="165"/>
      <c r="M184" s="165"/>
      <c r="N184" s="165"/>
      <c r="O184" s="165"/>
      <c r="P184" s="165"/>
      <c r="Q184" s="165"/>
      <c r="R184" s="165"/>
      <c r="S184" s="165"/>
      <c r="T184" s="165"/>
      <c r="U184" s="165"/>
      <c r="V184" s="165"/>
      <c r="W184" s="165"/>
      <c r="X184" s="165"/>
    </row>
    <row r="185" ht="18.75" customHeight="1">
      <c r="A185" s="165">
        <v>183.0</v>
      </c>
      <c r="B185" s="165" t="s">
        <v>8315</v>
      </c>
      <c r="C185" s="165"/>
      <c r="D185" s="165"/>
      <c r="E185" s="165"/>
      <c r="F185" s="165"/>
      <c r="G185" s="165"/>
      <c r="H185" s="165"/>
      <c r="I185" s="165"/>
      <c r="J185" s="165"/>
      <c r="K185" s="165"/>
      <c r="L185" s="165"/>
      <c r="M185" s="165"/>
      <c r="N185" s="165"/>
      <c r="O185" s="165"/>
      <c r="P185" s="165"/>
      <c r="Q185" s="165"/>
      <c r="R185" s="165"/>
      <c r="S185" s="165"/>
      <c r="T185" s="165"/>
      <c r="U185" s="165"/>
      <c r="V185" s="165"/>
      <c r="W185" s="165"/>
      <c r="X185" s="165"/>
    </row>
    <row r="186" ht="18.75" customHeight="1">
      <c r="A186" s="165">
        <v>184.0</v>
      </c>
      <c r="B186" s="165" t="s">
        <v>15668</v>
      </c>
      <c r="C186" s="165"/>
      <c r="D186" s="165"/>
      <c r="E186" s="165"/>
      <c r="F186" s="165"/>
      <c r="G186" s="165"/>
      <c r="H186" s="165"/>
      <c r="I186" s="165"/>
      <c r="J186" s="165"/>
      <c r="K186" s="165"/>
      <c r="L186" s="165"/>
      <c r="M186" s="165"/>
      <c r="N186" s="165"/>
      <c r="O186" s="165"/>
      <c r="P186" s="165"/>
      <c r="Q186" s="165"/>
      <c r="R186" s="165"/>
      <c r="S186" s="165"/>
      <c r="T186" s="165"/>
      <c r="U186" s="165"/>
      <c r="V186" s="165"/>
      <c r="W186" s="165"/>
      <c r="X186" s="165"/>
    </row>
    <row r="187" ht="18.75" customHeight="1">
      <c r="A187" s="165">
        <v>185.0</v>
      </c>
      <c r="B187" s="165" t="s">
        <v>15669</v>
      </c>
      <c r="C187" s="165"/>
      <c r="D187" s="165"/>
      <c r="E187" s="165"/>
      <c r="F187" s="165"/>
      <c r="G187" s="165"/>
      <c r="H187" s="165"/>
      <c r="I187" s="165"/>
      <c r="J187" s="165"/>
      <c r="K187" s="165"/>
      <c r="L187" s="165"/>
      <c r="M187" s="165"/>
      <c r="N187" s="165"/>
      <c r="O187" s="165"/>
      <c r="P187" s="165"/>
      <c r="Q187" s="165"/>
      <c r="R187" s="165"/>
      <c r="S187" s="165"/>
      <c r="T187" s="165"/>
      <c r="U187" s="165"/>
      <c r="V187" s="165"/>
      <c r="W187" s="165"/>
      <c r="X187" s="165"/>
    </row>
    <row r="188" ht="18.75" customHeight="1">
      <c r="A188" s="165">
        <v>186.0</v>
      </c>
      <c r="B188" s="165" t="s">
        <v>15670</v>
      </c>
      <c r="C188" s="165"/>
      <c r="D188" s="165"/>
      <c r="E188" s="165"/>
      <c r="F188" s="165"/>
      <c r="G188" s="165"/>
      <c r="H188" s="165"/>
      <c r="I188" s="165"/>
      <c r="J188" s="165"/>
      <c r="K188" s="165"/>
      <c r="L188" s="165"/>
      <c r="M188" s="165"/>
      <c r="N188" s="165"/>
      <c r="O188" s="165"/>
      <c r="P188" s="165"/>
      <c r="Q188" s="165"/>
      <c r="R188" s="165"/>
      <c r="S188" s="165"/>
      <c r="T188" s="165"/>
      <c r="U188" s="165"/>
      <c r="V188" s="165"/>
      <c r="W188" s="165"/>
      <c r="X188" s="165"/>
    </row>
    <row r="189" ht="18.75" customHeight="1">
      <c r="A189" s="165">
        <v>187.0</v>
      </c>
      <c r="B189" s="165" t="s">
        <v>15671</v>
      </c>
      <c r="C189" s="165"/>
      <c r="D189" s="165"/>
      <c r="E189" s="165"/>
      <c r="F189" s="165"/>
      <c r="G189" s="165"/>
      <c r="H189" s="165"/>
      <c r="I189" s="165"/>
      <c r="J189" s="165"/>
      <c r="K189" s="165"/>
      <c r="L189" s="165"/>
      <c r="M189" s="165"/>
      <c r="N189" s="165"/>
      <c r="O189" s="165"/>
      <c r="P189" s="165"/>
      <c r="Q189" s="165"/>
      <c r="R189" s="165"/>
      <c r="S189" s="165"/>
      <c r="T189" s="165"/>
      <c r="U189" s="165"/>
      <c r="V189" s="165"/>
      <c r="W189" s="165"/>
      <c r="X189" s="165"/>
    </row>
    <row r="190" ht="18.75" customHeight="1">
      <c r="A190" s="165">
        <v>188.0</v>
      </c>
      <c r="B190" s="165" t="s">
        <v>15672</v>
      </c>
      <c r="C190" s="165"/>
      <c r="D190" s="165"/>
      <c r="E190" s="165"/>
      <c r="F190" s="165"/>
      <c r="G190" s="165"/>
      <c r="H190" s="165"/>
      <c r="I190" s="165"/>
      <c r="J190" s="165"/>
      <c r="K190" s="165"/>
      <c r="L190" s="165"/>
      <c r="M190" s="165"/>
      <c r="N190" s="165"/>
      <c r="O190" s="165"/>
      <c r="P190" s="165"/>
      <c r="Q190" s="165"/>
      <c r="R190" s="165"/>
      <c r="S190" s="165"/>
      <c r="T190" s="165"/>
      <c r="U190" s="165"/>
      <c r="V190" s="165"/>
      <c r="W190" s="165"/>
      <c r="X190" s="165"/>
    </row>
    <row r="191" ht="18.75" customHeight="1">
      <c r="A191" s="165">
        <v>189.0</v>
      </c>
      <c r="B191" s="167" t="s">
        <v>15673</v>
      </c>
      <c r="C191" s="165"/>
      <c r="D191" s="165"/>
      <c r="E191" s="165"/>
      <c r="F191" s="165"/>
      <c r="G191" s="165"/>
      <c r="H191" s="165"/>
      <c r="I191" s="165"/>
      <c r="J191" s="165"/>
      <c r="K191" s="165"/>
      <c r="L191" s="165"/>
      <c r="M191" s="165"/>
      <c r="N191" s="165"/>
      <c r="O191" s="165"/>
      <c r="P191" s="165"/>
      <c r="Q191" s="165"/>
      <c r="R191" s="165"/>
      <c r="S191" s="165"/>
      <c r="T191" s="165"/>
      <c r="U191" s="165"/>
      <c r="V191" s="165"/>
      <c r="W191" s="165"/>
      <c r="X191" s="165"/>
    </row>
    <row r="192" ht="18.75" customHeight="1">
      <c r="A192" s="165">
        <v>190.0</v>
      </c>
      <c r="B192" s="165" t="s">
        <v>15674</v>
      </c>
      <c r="C192" s="165"/>
      <c r="D192" s="165"/>
      <c r="E192" s="165"/>
      <c r="F192" s="165"/>
      <c r="G192" s="165"/>
      <c r="H192" s="165"/>
      <c r="I192" s="165"/>
      <c r="J192" s="165"/>
      <c r="K192" s="165"/>
      <c r="L192" s="165"/>
      <c r="M192" s="165"/>
      <c r="N192" s="165"/>
      <c r="O192" s="165"/>
      <c r="P192" s="165"/>
      <c r="Q192" s="165"/>
      <c r="R192" s="165"/>
      <c r="S192" s="165"/>
      <c r="T192" s="165"/>
      <c r="U192" s="165"/>
      <c r="V192" s="165"/>
      <c r="W192" s="165"/>
      <c r="X192" s="165"/>
    </row>
    <row r="193" ht="18.75" customHeight="1">
      <c r="A193" s="165">
        <v>191.0</v>
      </c>
      <c r="B193" s="165" t="s">
        <v>15675</v>
      </c>
      <c r="C193" s="165"/>
      <c r="D193" s="165"/>
      <c r="E193" s="165"/>
      <c r="F193" s="165"/>
      <c r="G193" s="165"/>
      <c r="H193" s="165"/>
      <c r="I193" s="165"/>
      <c r="J193" s="165"/>
      <c r="K193" s="165"/>
      <c r="L193" s="165"/>
      <c r="M193" s="165"/>
      <c r="N193" s="165"/>
      <c r="O193" s="165"/>
      <c r="P193" s="165"/>
      <c r="Q193" s="165"/>
      <c r="R193" s="165"/>
      <c r="S193" s="165"/>
      <c r="T193" s="165"/>
      <c r="U193" s="165"/>
      <c r="V193" s="165"/>
      <c r="W193" s="165"/>
      <c r="X193" s="165"/>
    </row>
    <row r="194" ht="18.75" customHeight="1">
      <c r="A194" s="165">
        <v>192.0</v>
      </c>
      <c r="B194" s="165" t="s">
        <v>15676</v>
      </c>
      <c r="C194" s="165"/>
      <c r="D194" s="165"/>
      <c r="E194" s="165"/>
      <c r="F194" s="165"/>
      <c r="G194" s="165"/>
      <c r="H194" s="165"/>
      <c r="I194" s="165"/>
      <c r="J194" s="165"/>
      <c r="K194" s="165"/>
      <c r="L194" s="165"/>
      <c r="M194" s="165"/>
      <c r="N194" s="165"/>
      <c r="O194" s="165"/>
      <c r="P194" s="165"/>
      <c r="Q194" s="165"/>
      <c r="R194" s="165"/>
      <c r="S194" s="165"/>
      <c r="T194" s="165"/>
      <c r="U194" s="165"/>
      <c r="V194" s="165"/>
      <c r="W194" s="165"/>
      <c r="X194" s="165"/>
    </row>
    <row r="195" ht="18.75" customHeight="1">
      <c r="A195" s="165">
        <v>193.0</v>
      </c>
      <c r="B195" s="165" t="s">
        <v>15677</v>
      </c>
      <c r="C195" s="165"/>
      <c r="D195" s="165"/>
      <c r="E195" s="165"/>
      <c r="F195" s="165"/>
      <c r="G195" s="165"/>
      <c r="H195" s="165"/>
      <c r="I195" s="165"/>
      <c r="J195" s="165"/>
      <c r="K195" s="165"/>
      <c r="L195" s="165"/>
      <c r="M195" s="165"/>
      <c r="N195" s="165"/>
      <c r="O195" s="165"/>
      <c r="P195" s="165"/>
      <c r="Q195" s="165"/>
      <c r="R195" s="165"/>
      <c r="S195" s="165"/>
      <c r="T195" s="165"/>
      <c r="U195" s="165"/>
      <c r="V195" s="165"/>
      <c r="W195" s="165"/>
      <c r="X195" s="165"/>
    </row>
    <row r="196" ht="18.75" customHeight="1">
      <c r="A196" s="165">
        <v>194.0</v>
      </c>
      <c r="B196" s="165" t="s">
        <v>15678</v>
      </c>
      <c r="C196" s="165"/>
      <c r="D196" s="165"/>
      <c r="E196" s="165"/>
      <c r="F196" s="165"/>
      <c r="G196" s="165"/>
      <c r="H196" s="165"/>
      <c r="I196" s="165"/>
      <c r="J196" s="165"/>
      <c r="K196" s="165"/>
      <c r="L196" s="165"/>
      <c r="M196" s="165"/>
      <c r="N196" s="165"/>
      <c r="O196" s="165"/>
      <c r="P196" s="165"/>
      <c r="Q196" s="165"/>
      <c r="R196" s="165"/>
      <c r="S196" s="165"/>
      <c r="T196" s="165"/>
      <c r="U196" s="165"/>
      <c r="V196" s="165"/>
      <c r="W196" s="165"/>
      <c r="X196" s="165"/>
    </row>
    <row r="197" ht="18.75" customHeight="1">
      <c r="A197" s="165">
        <v>195.0</v>
      </c>
      <c r="B197" s="165" t="s">
        <v>15679</v>
      </c>
      <c r="C197" s="165"/>
      <c r="D197" s="165"/>
      <c r="E197" s="165"/>
      <c r="F197" s="165"/>
      <c r="G197" s="165"/>
      <c r="H197" s="165"/>
      <c r="I197" s="165"/>
      <c r="J197" s="165"/>
      <c r="K197" s="165"/>
      <c r="L197" s="165"/>
      <c r="M197" s="165"/>
      <c r="N197" s="165"/>
      <c r="O197" s="165"/>
      <c r="P197" s="165"/>
      <c r="Q197" s="165"/>
      <c r="R197" s="165"/>
      <c r="S197" s="165"/>
      <c r="T197" s="165"/>
      <c r="U197" s="165"/>
      <c r="V197" s="165"/>
      <c r="W197" s="165"/>
      <c r="X197" s="165"/>
    </row>
    <row r="198" ht="18.75" customHeight="1">
      <c r="A198" s="165">
        <v>196.0</v>
      </c>
      <c r="B198" s="165" t="s">
        <v>15680</v>
      </c>
      <c r="C198" s="165"/>
      <c r="D198" s="165"/>
      <c r="E198" s="165"/>
      <c r="F198" s="165"/>
      <c r="G198" s="165"/>
      <c r="H198" s="165"/>
      <c r="I198" s="165"/>
      <c r="J198" s="165"/>
      <c r="K198" s="165"/>
      <c r="L198" s="165"/>
      <c r="M198" s="165"/>
      <c r="N198" s="165"/>
      <c r="O198" s="165"/>
      <c r="P198" s="165"/>
      <c r="Q198" s="165"/>
      <c r="R198" s="165"/>
      <c r="S198" s="165"/>
      <c r="T198" s="165"/>
      <c r="U198" s="165"/>
      <c r="V198" s="165"/>
      <c r="W198" s="165"/>
      <c r="X198" s="165"/>
    </row>
    <row r="199" ht="18.75" customHeight="1">
      <c r="A199" s="165">
        <v>197.0</v>
      </c>
      <c r="B199" s="167" t="s">
        <v>15681</v>
      </c>
      <c r="C199" s="165"/>
      <c r="D199" s="165"/>
      <c r="E199" s="165"/>
      <c r="F199" s="165"/>
      <c r="G199" s="165"/>
      <c r="H199" s="165"/>
      <c r="I199" s="165"/>
      <c r="J199" s="165"/>
      <c r="K199" s="165"/>
      <c r="L199" s="165"/>
      <c r="M199" s="165"/>
      <c r="N199" s="165"/>
      <c r="O199" s="165"/>
      <c r="P199" s="165"/>
      <c r="Q199" s="165"/>
      <c r="R199" s="165"/>
      <c r="S199" s="165"/>
      <c r="T199" s="165"/>
      <c r="U199" s="165"/>
      <c r="V199" s="165"/>
      <c r="W199" s="165"/>
      <c r="X199" s="165"/>
    </row>
    <row r="200" ht="18.75" customHeight="1">
      <c r="A200" s="165">
        <v>198.0</v>
      </c>
      <c r="B200" s="165" t="s">
        <v>15682</v>
      </c>
      <c r="C200" s="165"/>
      <c r="D200" s="165"/>
      <c r="E200" s="165"/>
      <c r="F200" s="165"/>
      <c r="G200" s="165"/>
      <c r="H200" s="165"/>
      <c r="I200" s="165"/>
      <c r="J200" s="165"/>
      <c r="K200" s="165"/>
      <c r="L200" s="165"/>
      <c r="M200" s="165"/>
      <c r="N200" s="165"/>
      <c r="O200" s="165"/>
      <c r="P200" s="165"/>
      <c r="Q200" s="165"/>
      <c r="R200" s="165"/>
      <c r="S200" s="165"/>
      <c r="T200" s="165"/>
      <c r="U200" s="165"/>
      <c r="V200" s="165"/>
      <c r="W200" s="165"/>
      <c r="X200" s="165"/>
    </row>
    <row r="201" ht="18.75" customHeight="1">
      <c r="A201" s="165">
        <v>199.0</v>
      </c>
      <c r="B201" s="167" t="s">
        <v>15683</v>
      </c>
      <c r="C201" s="165"/>
      <c r="D201" s="165"/>
      <c r="E201" s="165"/>
      <c r="F201" s="165"/>
      <c r="G201" s="165"/>
      <c r="H201" s="165"/>
      <c r="I201" s="165"/>
      <c r="J201" s="165"/>
      <c r="K201" s="165"/>
      <c r="L201" s="165"/>
      <c r="M201" s="165"/>
      <c r="N201" s="165"/>
      <c r="O201" s="165"/>
      <c r="P201" s="165"/>
      <c r="Q201" s="165"/>
      <c r="R201" s="165"/>
      <c r="S201" s="165"/>
      <c r="T201" s="165"/>
      <c r="U201" s="165"/>
      <c r="V201" s="165"/>
      <c r="W201" s="165"/>
      <c r="X201" s="165"/>
    </row>
    <row r="202" ht="18.75" customHeight="1">
      <c r="A202" s="165">
        <v>200.0</v>
      </c>
      <c r="B202" s="165" t="s">
        <v>15684</v>
      </c>
      <c r="C202" s="165"/>
      <c r="D202" s="165"/>
      <c r="E202" s="165"/>
      <c r="F202" s="165"/>
      <c r="G202" s="165"/>
      <c r="H202" s="165"/>
      <c r="I202" s="165"/>
      <c r="J202" s="165"/>
      <c r="K202" s="165"/>
      <c r="L202" s="165"/>
      <c r="M202" s="165"/>
      <c r="N202" s="165"/>
      <c r="O202" s="165"/>
      <c r="P202" s="165"/>
      <c r="Q202" s="165"/>
      <c r="R202" s="165"/>
      <c r="S202" s="165"/>
      <c r="T202" s="165"/>
      <c r="U202" s="165"/>
      <c r="V202" s="165"/>
      <c r="W202" s="165"/>
      <c r="X202" s="165"/>
    </row>
    <row r="203" ht="18.75" customHeight="1">
      <c r="A203" s="165">
        <v>201.0</v>
      </c>
      <c r="B203" s="167" t="s">
        <v>15685</v>
      </c>
      <c r="C203" s="165"/>
      <c r="D203" s="165"/>
      <c r="E203" s="165"/>
      <c r="F203" s="165"/>
      <c r="G203" s="165"/>
      <c r="H203" s="165"/>
      <c r="I203" s="165"/>
      <c r="J203" s="165"/>
      <c r="K203" s="165"/>
      <c r="L203" s="165"/>
      <c r="M203" s="165"/>
      <c r="N203" s="165"/>
      <c r="O203" s="165"/>
      <c r="P203" s="165"/>
      <c r="Q203" s="165"/>
      <c r="R203" s="165"/>
      <c r="S203" s="165"/>
      <c r="T203" s="165"/>
      <c r="U203" s="165"/>
      <c r="V203" s="165"/>
      <c r="W203" s="165"/>
      <c r="X203" s="165"/>
    </row>
    <row r="204" ht="18.75" customHeight="1">
      <c r="A204" s="165">
        <v>202.0</v>
      </c>
      <c r="B204" s="167" t="s">
        <v>15686</v>
      </c>
      <c r="C204" s="165"/>
      <c r="D204" s="165"/>
      <c r="E204" s="165"/>
      <c r="F204" s="165"/>
      <c r="G204" s="165"/>
      <c r="H204" s="165"/>
      <c r="I204" s="165"/>
      <c r="J204" s="165"/>
      <c r="K204" s="165"/>
      <c r="L204" s="165"/>
      <c r="M204" s="165"/>
      <c r="N204" s="165"/>
      <c r="O204" s="165"/>
      <c r="P204" s="165"/>
      <c r="Q204" s="165"/>
      <c r="R204" s="165"/>
      <c r="S204" s="165"/>
      <c r="T204" s="165"/>
      <c r="U204" s="165"/>
      <c r="V204" s="165"/>
      <c r="W204" s="165"/>
      <c r="X204" s="165"/>
    </row>
    <row r="205" ht="18.75" customHeight="1">
      <c r="A205" s="165">
        <v>203.0</v>
      </c>
      <c r="B205" s="165" t="s">
        <v>15687</v>
      </c>
      <c r="C205" s="165"/>
      <c r="D205" s="165"/>
      <c r="E205" s="165"/>
      <c r="F205" s="165"/>
      <c r="G205" s="165"/>
      <c r="H205" s="165"/>
      <c r="I205" s="165"/>
      <c r="J205" s="165"/>
      <c r="K205" s="165"/>
      <c r="L205" s="165"/>
      <c r="M205" s="165"/>
      <c r="N205" s="165"/>
      <c r="O205" s="165"/>
      <c r="P205" s="165"/>
      <c r="Q205" s="165"/>
      <c r="R205" s="165"/>
      <c r="S205" s="165"/>
      <c r="T205" s="165"/>
      <c r="U205" s="165"/>
      <c r="V205" s="165"/>
      <c r="W205" s="165"/>
      <c r="X205" s="165"/>
    </row>
    <row r="206" ht="18.75" customHeight="1">
      <c r="A206" s="165">
        <v>204.0</v>
      </c>
      <c r="B206" s="165" t="s">
        <v>15688</v>
      </c>
      <c r="C206" s="165"/>
      <c r="D206" s="165"/>
      <c r="E206" s="165"/>
      <c r="F206" s="165"/>
      <c r="G206" s="165"/>
      <c r="H206" s="165"/>
      <c r="I206" s="165"/>
      <c r="J206" s="165"/>
      <c r="K206" s="165"/>
      <c r="L206" s="165"/>
      <c r="M206" s="165"/>
      <c r="N206" s="165"/>
      <c r="O206" s="165"/>
      <c r="P206" s="165"/>
      <c r="Q206" s="165"/>
      <c r="R206" s="165"/>
      <c r="S206" s="165"/>
      <c r="T206" s="165"/>
      <c r="U206" s="165"/>
      <c r="V206" s="165"/>
      <c r="W206" s="165"/>
      <c r="X206" s="165"/>
    </row>
    <row r="207" ht="18.75" customHeight="1">
      <c r="A207" s="165">
        <v>205.0</v>
      </c>
      <c r="B207" s="165" t="s">
        <v>15689</v>
      </c>
      <c r="C207" s="165"/>
      <c r="D207" s="165"/>
      <c r="E207" s="165"/>
      <c r="F207" s="165"/>
      <c r="G207" s="165"/>
      <c r="H207" s="165"/>
      <c r="I207" s="165"/>
      <c r="J207" s="165"/>
      <c r="K207" s="165"/>
      <c r="L207" s="165"/>
      <c r="M207" s="165"/>
      <c r="N207" s="165"/>
      <c r="O207" s="165"/>
      <c r="P207" s="165"/>
      <c r="Q207" s="165"/>
      <c r="R207" s="165"/>
      <c r="S207" s="165"/>
      <c r="T207" s="165"/>
      <c r="U207" s="165"/>
      <c r="V207" s="165"/>
      <c r="W207" s="165"/>
      <c r="X207" s="165"/>
    </row>
    <row r="208" ht="18.75" customHeight="1">
      <c r="A208" s="165">
        <v>206.0</v>
      </c>
      <c r="B208" s="165" t="s">
        <v>15690</v>
      </c>
      <c r="C208" s="165"/>
      <c r="D208" s="165"/>
      <c r="E208" s="165"/>
      <c r="F208" s="165"/>
      <c r="G208" s="165"/>
      <c r="H208" s="165"/>
      <c r="I208" s="165"/>
      <c r="J208" s="165"/>
      <c r="K208" s="165"/>
      <c r="L208" s="165"/>
      <c r="M208" s="165"/>
      <c r="N208" s="165"/>
      <c r="O208" s="165"/>
      <c r="P208" s="165"/>
      <c r="Q208" s="165"/>
      <c r="R208" s="165"/>
      <c r="S208" s="165"/>
      <c r="T208" s="165"/>
      <c r="U208" s="165"/>
      <c r="V208" s="165"/>
      <c r="W208" s="165"/>
      <c r="X208" s="165"/>
    </row>
    <row r="209" ht="18.75" customHeight="1">
      <c r="A209" s="165">
        <v>207.0</v>
      </c>
      <c r="B209" s="165" t="s">
        <v>15691</v>
      </c>
      <c r="C209" s="165"/>
      <c r="D209" s="165"/>
      <c r="E209" s="165"/>
      <c r="F209" s="165"/>
      <c r="G209" s="165"/>
      <c r="H209" s="165"/>
      <c r="I209" s="165"/>
      <c r="J209" s="165"/>
      <c r="K209" s="165"/>
      <c r="L209" s="165"/>
      <c r="M209" s="165"/>
      <c r="N209" s="165"/>
      <c r="O209" s="165"/>
      <c r="P209" s="165"/>
      <c r="Q209" s="165"/>
      <c r="R209" s="165"/>
      <c r="S209" s="165"/>
      <c r="T209" s="165"/>
      <c r="U209" s="165"/>
      <c r="V209" s="165"/>
      <c r="W209" s="165"/>
      <c r="X209" s="165"/>
    </row>
    <row r="210" ht="18.75" customHeight="1">
      <c r="A210" s="165">
        <v>208.0</v>
      </c>
      <c r="B210" s="165" t="s">
        <v>15692</v>
      </c>
      <c r="C210" s="165"/>
      <c r="D210" s="165"/>
      <c r="E210" s="165"/>
      <c r="F210" s="165"/>
      <c r="G210" s="165"/>
      <c r="H210" s="165"/>
      <c r="I210" s="165"/>
      <c r="J210" s="165"/>
      <c r="K210" s="165"/>
      <c r="L210" s="165"/>
      <c r="M210" s="165"/>
      <c r="N210" s="165"/>
      <c r="O210" s="165"/>
      <c r="P210" s="165"/>
      <c r="Q210" s="165"/>
      <c r="R210" s="165"/>
      <c r="S210" s="165"/>
      <c r="T210" s="165"/>
      <c r="U210" s="165"/>
      <c r="V210" s="165"/>
      <c r="W210" s="165"/>
      <c r="X210" s="165"/>
    </row>
    <row r="211" ht="18.75" customHeight="1">
      <c r="A211" s="165">
        <v>209.0</v>
      </c>
      <c r="B211" s="165" t="s">
        <v>15693</v>
      </c>
      <c r="C211" s="165"/>
      <c r="D211" s="165"/>
      <c r="E211" s="165"/>
      <c r="F211" s="165"/>
      <c r="G211" s="165"/>
      <c r="H211" s="165"/>
      <c r="I211" s="165"/>
      <c r="J211" s="165"/>
      <c r="K211" s="165"/>
      <c r="L211" s="165"/>
      <c r="M211" s="165"/>
      <c r="N211" s="165"/>
      <c r="O211" s="165"/>
      <c r="P211" s="165"/>
      <c r="Q211" s="165"/>
      <c r="R211" s="165"/>
      <c r="S211" s="165"/>
      <c r="T211" s="165"/>
      <c r="U211" s="165"/>
      <c r="V211" s="165"/>
      <c r="W211" s="165"/>
      <c r="X211" s="165"/>
    </row>
    <row r="212" ht="18.75" customHeight="1">
      <c r="A212" s="165">
        <v>210.0</v>
      </c>
      <c r="B212" s="165" t="s">
        <v>15694</v>
      </c>
      <c r="C212" s="165"/>
      <c r="D212" s="165"/>
      <c r="E212" s="165"/>
      <c r="F212" s="165"/>
      <c r="G212" s="165"/>
      <c r="H212" s="165"/>
      <c r="I212" s="165"/>
      <c r="J212" s="165"/>
      <c r="K212" s="165"/>
      <c r="L212" s="165"/>
      <c r="M212" s="165"/>
      <c r="N212" s="165"/>
      <c r="O212" s="165"/>
      <c r="P212" s="165"/>
      <c r="Q212" s="165"/>
      <c r="R212" s="165"/>
      <c r="S212" s="165"/>
      <c r="T212" s="165"/>
      <c r="U212" s="165"/>
      <c r="V212" s="165"/>
      <c r="W212" s="165"/>
      <c r="X212" s="165"/>
    </row>
    <row r="213" ht="18.75" customHeight="1">
      <c r="A213" s="165">
        <v>211.0</v>
      </c>
      <c r="B213" s="167" t="s">
        <v>15695</v>
      </c>
      <c r="C213" s="165"/>
      <c r="D213" s="165"/>
      <c r="E213" s="165"/>
      <c r="F213" s="165"/>
      <c r="G213" s="165"/>
      <c r="H213" s="165"/>
      <c r="I213" s="165"/>
      <c r="J213" s="165"/>
      <c r="K213" s="165"/>
      <c r="L213" s="165"/>
      <c r="M213" s="165"/>
      <c r="N213" s="165"/>
      <c r="O213" s="165"/>
      <c r="P213" s="165"/>
      <c r="Q213" s="165"/>
      <c r="R213" s="165"/>
      <c r="S213" s="165"/>
      <c r="T213" s="165"/>
      <c r="U213" s="165"/>
      <c r="V213" s="165"/>
      <c r="W213" s="165"/>
      <c r="X213" s="165"/>
    </row>
    <row r="214" ht="18.75" customHeight="1">
      <c r="A214" s="165">
        <v>212.0</v>
      </c>
      <c r="B214" s="165" t="s">
        <v>15696</v>
      </c>
      <c r="C214" s="165"/>
      <c r="D214" s="165"/>
      <c r="E214" s="165"/>
      <c r="F214" s="165"/>
      <c r="G214" s="165"/>
      <c r="H214" s="165"/>
      <c r="I214" s="165"/>
      <c r="J214" s="165"/>
      <c r="K214" s="165"/>
      <c r="L214" s="165"/>
      <c r="M214" s="165"/>
      <c r="N214" s="165"/>
      <c r="O214" s="165"/>
      <c r="P214" s="165"/>
      <c r="Q214" s="165"/>
      <c r="R214" s="165"/>
      <c r="S214" s="165"/>
      <c r="T214" s="165"/>
      <c r="U214" s="165"/>
      <c r="V214" s="165"/>
      <c r="W214" s="165"/>
      <c r="X214" s="165"/>
    </row>
    <row r="215" ht="18.75" customHeight="1">
      <c r="A215" s="165">
        <v>213.0</v>
      </c>
      <c r="B215" s="165" t="s">
        <v>15697</v>
      </c>
      <c r="C215" s="165"/>
      <c r="D215" s="165"/>
      <c r="E215" s="165"/>
      <c r="F215" s="165"/>
      <c r="G215" s="165"/>
      <c r="H215" s="165"/>
      <c r="I215" s="165"/>
      <c r="J215" s="165"/>
      <c r="K215" s="165"/>
      <c r="L215" s="165"/>
      <c r="M215" s="165"/>
      <c r="N215" s="165"/>
      <c r="O215" s="165"/>
      <c r="P215" s="165"/>
      <c r="Q215" s="165"/>
      <c r="R215" s="165"/>
      <c r="S215" s="165"/>
      <c r="T215" s="165"/>
      <c r="U215" s="165"/>
      <c r="V215" s="165"/>
      <c r="W215" s="165"/>
      <c r="X215" s="165"/>
    </row>
    <row r="216" ht="18.75" customHeight="1">
      <c r="A216" s="165">
        <v>214.0</v>
      </c>
      <c r="B216" s="165" t="s">
        <v>15698</v>
      </c>
      <c r="C216" s="165"/>
      <c r="D216" s="165"/>
      <c r="E216" s="165"/>
      <c r="F216" s="165"/>
      <c r="G216" s="165"/>
      <c r="H216" s="165"/>
      <c r="I216" s="165"/>
      <c r="J216" s="165"/>
      <c r="K216" s="165"/>
      <c r="L216" s="165"/>
      <c r="M216" s="165"/>
      <c r="N216" s="165"/>
      <c r="O216" s="165"/>
      <c r="P216" s="165"/>
      <c r="Q216" s="165"/>
      <c r="R216" s="165"/>
      <c r="S216" s="165"/>
      <c r="T216" s="165"/>
      <c r="U216" s="165"/>
      <c r="V216" s="165"/>
      <c r="W216" s="165"/>
      <c r="X216" s="165"/>
    </row>
    <row r="217" ht="18.75" customHeight="1">
      <c r="A217" s="165">
        <v>215.0</v>
      </c>
      <c r="B217" s="167" t="s">
        <v>15699</v>
      </c>
      <c r="C217" s="165"/>
      <c r="D217" s="165"/>
      <c r="E217" s="165"/>
      <c r="F217" s="165"/>
      <c r="G217" s="165"/>
      <c r="H217" s="165"/>
      <c r="I217" s="165"/>
      <c r="J217" s="165"/>
      <c r="K217" s="165"/>
      <c r="L217" s="165"/>
      <c r="M217" s="165"/>
      <c r="N217" s="165"/>
      <c r="O217" s="165"/>
      <c r="P217" s="165"/>
      <c r="Q217" s="165"/>
      <c r="R217" s="165"/>
      <c r="S217" s="165"/>
      <c r="T217" s="165"/>
      <c r="U217" s="165"/>
      <c r="V217" s="165"/>
      <c r="W217" s="165"/>
      <c r="X217" s="165"/>
    </row>
    <row r="218" ht="18.75" customHeight="1">
      <c r="A218" s="165">
        <v>216.0</v>
      </c>
      <c r="B218" s="167" t="s">
        <v>15700</v>
      </c>
      <c r="C218" s="165"/>
      <c r="D218" s="165"/>
      <c r="E218" s="165"/>
      <c r="F218" s="165"/>
      <c r="G218" s="165"/>
      <c r="H218" s="165"/>
      <c r="I218" s="165"/>
      <c r="J218" s="165"/>
      <c r="K218" s="165"/>
      <c r="L218" s="165"/>
      <c r="M218" s="165"/>
      <c r="N218" s="165"/>
      <c r="O218" s="165"/>
      <c r="P218" s="165"/>
      <c r="Q218" s="165"/>
      <c r="R218" s="165"/>
      <c r="S218" s="165"/>
      <c r="T218" s="165"/>
      <c r="U218" s="165"/>
      <c r="V218" s="165"/>
      <c r="W218" s="165"/>
      <c r="X218" s="165"/>
    </row>
    <row r="219" ht="18.75" customHeight="1">
      <c r="A219" s="165">
        <v>217.0</v>
      </c>
      <c r="B219" s="165" t="s">
        <v>15701</v>
      </c>
      <c r="C219" s="165"/>
      <c r="D219" s="165"/>
      <c r="E219" s="165"/>
      <c r="F219" s="165"/>
      <c r="G219" s="165"/>
      <c r="H219" s="165"/>
      <c r="I219" s="165"/>
      <c r="J219" s="165"/>
      <c r="K219" s="165"/>
      <c r="L219" s="165"/>
      <c r="M219" s="165"/>
      <c r="N219" s="165"/>
      <c r="O219" s="165"/>
      <c r="P219" s="165"/>
      <c r="Q219" s="165"/>
      <c r="R219" s="165"/>
      <c r="S219" s="165"/>
      <c r="T219" s="165"/>
      <c r="U219" s="165"/>
      <c r="V219" s="165"/>
      <c r="W219" s="165"/>
      <c r="X219" s="165"/>
    </row>
    <row r="220" ht="18.75" customHeight="1">
      <c r="A220" s="165">
        <v>218.0</v>
      </c>
      <c r="B220" s="165" t="s">
        <v>15702</v>
      </c>
      <c r="C220" s="165"/>
      <c r="D220" s="165"/>
      <c r="E220" s="165"/>
      <c r="F220" s="165"/>
      <c r="G220" s="165"/>
      <c r="H220" s="165"/>
      <c r="I220" s="165"/>
      <c r="J220" s="165"/>
      <c r="K220" s="165"/>
      <c r="L220" s="165"/>
      <c r="M220" s="165"/>
      <c r="N220" s="165"/>
      <c r="O220" s="165"/>
      <c r="P220" s="165"/>
      <c r="Q220" s="165"/>
      <c r="R220" s="165"/>
      <c r="S220" s="165"/>
      <c r="T220" s="165"/>
      <c r="U220" s="165"/>
      <c r="V220" s="165"/>
      <c r="W220" s="165"/>
      <c r="X220" s="165"/>
    </row>
    <row r="221" ht="18.75" customHeight="1">
      <c r="A221" s="165">
        <v>219.0</v>
      </c>
      <c r="B221" s="165" t="s">
        <v>15703</v>
      </c>
      <c r="C221" s="165"/>
      <c r="D221" s="165"/>
      <c r="E221" s="165"/>
      <c r="F221" s="165"/>
      <c r="G221" s="165"/>
      <c r="H221" s="165"/>
      <c r="I221" s="165"/>
      <c r="J221" s="165"/>
      <c r="K221" s="165"/>
      <c r="L221" s="165"/>
      <c r="M221" s="165"/>
      <c r="N221" s="165"/>
      <c r="O221" s="165"/>
      <c r="P221" s="165"/>
      <c r="Q221" s="165"/>
      <c r="R221" s="165"/>
      <c r="S221" s="165"/>
      <c r="T221" s="165"/>
      <c r="U221" s="165"/>
      <c r="V221" s="165"/>
      <c r="W221" s="165"/>
      <c r="X221" s="165"/>
    </row>
    <row r="222" ht="18.75" customHeight="1">
      <c r="A222" s="165">
        <v>220.0</v>
      </c>
      <c r="B222" s="165" t="s">
        <v>15704</v>
      </c>
      <c r="C222" s="165"/>
      <c r="D222" s="165"/>
      <c r="E222" s="165"/>
      <c r="F222" s="165"/>
      <c r="G222" s="165"/>
      <c r="H222" s="165"/>
      <c r="I222" s="165"/>
      <c r="J222" s="165"/>
      <c r="K222" s="165"/>
      <c r="L222" s="165"/>
      <c r="M222" s="165"/>
      <c r="N222" s="165"/>
      <c r="O222" s="165"/>
      <c r="P222" s="165"/>
      <c r="Q222" s="165"/>
      <c r="R222" s="165"/>
      <c r="S222" s="165"/>
      <c r="T222" s="165"/>
      <c r="U222" s="165"/>
      <c r="V222" s="165"/>
      <c r="W222" s="165"/>
      <c r="X222" s="165"/>
    </row>
    <row r="223" ht="18.75" customHeight="1">
      <c r="A223" s="165">
        <v>221.0</v>
      </c>
      <c r="B223" s="167" t="s">
        <v>15705</v>
      </c>
      <c r="C223" s="165"/>
      <c r="D223" s="165"/>
      <c r="E223" s="165"/>
      <c r="F223" s="165"/>
      <c r="G223" s="165"/>
      <c r="H223" s="165"/>
      <c r="I223" s="165"/>
      <c r="J223" s="165"/>
      <c r="K223" s="165"/>
      <c r="L223" s="165"/>
      <c r="M223" s="165"/>
      <c r="N223" s="165"/>
      <c r="O223" s="165"/>
      <c r="P223" s="165"/>
      <c r="Q223" s="165"/>
      <c r="R223" s="165"/>
      <c r="S223" s="165"/>
      <c r="T223" s="165"/>
      <c r="U223" s="165"/>
      <c r="V223" s="165"/>
      <c r="W223" s="165"/>
      <c r="X223" s="165"/>
    </row>
    <row r="224" ht="18.75" customHeight="1">
      <c r="A224" s="165">
        <v>222.0</v>
      </c>
      <c r="B224" s="167" t="s">
        <v>15706</v>
      </c>
      <c r="C224" s="165"/>
      <c r="D224" s="165"/>
      <c r="E224" s="165"/>
      <c r="F224" s="165"/>
      <c r="G224" s="165"/>
      <c r="H224" s="165"/>
      <c r="I224" s="165"/>
      <c r="J224" s="165"/>
      <c r="K224" s="165"/>
      <c r="L224" s="165"/>
      <c r="M224" s="165"/>
      <c r="N224" s="165"/>
      <c r="O224" s="165"/>
      <c r="P224" s="165"/>
      <c r="Q224" s="165"/>
      <c r="R224" s="165"/>
      <c r="S224" s="165"/>
      <c r="T224" s="165"/>
      <c r="U224" s="165"/>
      <c r="V224" s="165"/>
      <c r="W224" s="165"/>
      <c r="X224" s="165"/>
    </row>
    <row r="225" ht="18.75" customHeight="1">
      <c r="A225" s="165">
        <v>223.0</v>
      </c>
      <c r="B225" s="167" t="s">
        <v>15707</v>
      </c>
      <c r="C225" s="165"/>
      <c r="D225" s="165"/>
      <c r="E225" s="165"/>
      <c r="F225" s="165"/>
      <c r="G225" s="165"/>
      <c r="H225" s="165"/>
      <c r="I225" s="165"/>
      <c r="J225" s="165"/>
      <c r="K225" s="165"/>
      <c r="L225" s="165"/>
      <c r="M225" s="165"/>
      <c r="N225" s="165"/>
      <c r="O225" s="165"/>
      <c r="P225" s="165"/>
      <c r="Q225" s="165"/>
      <c r="R225" s="165"/>
      <c r="S225" s="165"/>
      <c r="T225" s="165"/>
      <c r="U225" s="165"/>
      <c r="V225" s="165"/>
      <c r="W225" s="165"/>
      <c r="X225" s="165"/>
    </row>
    <row r="226" ht="18.75" customHeight="1">
      <c r="A226" s="165">
        <v>224.0</v>
      </c>
      <c r="B226" s="167" t="s">
        <v>15708</v>
      </c>
      <c r="C226" s="165"/>
      <c r="D226" s="165"/>
      <c r="E226" s="165"/>
      <c r="F226" s="165"/>
      <c r="G226" s="165"/>
      <c r="H226" s="165"/>
      <c r="I226" s="165"/>
      <c r="J226" s="165"/>
      <c r="K226" s="165"/>
      <c r="L226" s="165"/>
      <c r="M226" s="165"/>
      <c r="N226" s="165"/>
      <c r="O226" s="165"/>
      <c r="P226" s="165"/>
      <c r="Q226" s="165"/>
      <c r="R226" s="165"/>
      <c r="S226" s="165"/>
      <c r="T226" s="165"/>
      <c r="U226" s="165"/>
      <c r="V226" s="165"/>
      <c r="W226" s="165"/>
      <c r="X226" s="165"/>
    </row>
    <row r="227" ht="18.75" customHeight="1">
      <c r="A227" s="165">
        <v>225.0</v>
      </c>
      <c r="B227" s="165" t="s">
        <v>15709</v>
      </c>
      <c r="C227" s="165"/>
      <c r="D227" s="165"/>
      <c r="E227" s="165"/>
      <c r="F227" s="165"/>
      <c r="G227" s="165"/>
      <c r="H227" s="165"/>
      <c r="I227" s="165"/>
      <c r="J227" s="165"/>
      <c r="K227" s="165"/>
      <c r="L227" s="165"/>
      <c r="M227" s="165"/>
      <c r="N227" s="165"/>
      <c r="O227" s="165"/>
      <c r="P227" s="165"/>
      <c r="Q227" s="165"/>
      <c r="R227" s="165"/>
      <c r="S227" s="165"/>
      <c r="T227" s="165"/>
      <c r="U227" s="165"/>
      <c r="V227" s="165"/>
      <c r="W227" s="165"/>
      <c r="X227" s="165"/>
    </row>
    <row r="228" ht="18.75" customHeight="1">
      <c r="A228" s="165">
        <v>226.0</v>
      </c>
      <c r="B228" s="167" t="s">
        <v>15710</v>
      </c>
      <c r="C228" s="165"/>
      <c r="D228" s="165"/>
      <c r="E228" s="165"/>
      <c r="F228" s="165"/>
      <c r="G228" s="165"/>
      <c r="H228" s="165"/>
      <c r="I228" s="165"/>
      <c r="J228" s="165"/>
      <c r="K228" s="165"/>
      <c r="L228" s="165"/>
      <c r="M228" s="165"/>
      <c r="N228" s="165"/>
      <c r="O228" s="165"/>
      <c r="P228" s="165"/>
      <c r="Q228" s="165"/>
      <c r="R228" s="165"/>
      <c r="S228" s="165"/>
      <c r="T228" s="165"/>
      <c r="U228" s="165"/>
      <c r="V228" s="165"/>
      <c r="W228" s="165"/>
      <c r="X228" s="165"/>
    </row>
    <row r="229" ht="18.75" customHeight="1">
      <c r="A229" s="165">
        <v>227.0</v>
      </c>
      <c r="B229" s="165" t="s">
        <v>15711</v>
      </c>
      <c r="C229" s="165"/>
      <c r="D229" s="165"/>
      <c r="E229" s="165"/>
      <c r="F229" s="165"/>
      <c r="G229" s="165"/>
      <c r="H229" s="165"/>
      <c r="I229" s="165"/>
      <c r="J229" s="165"/>
      <c r="K229" s="165"/>
      <c r="L229" s="165"/>
      <c r="M229" s="165"/>
      <c r="N229" s="165"/>
      <c r="O229" s="165"/>
      <c r="P229" s="165"/>
      <c r="Q229" s="165"/>
      <c r="R229" s="165"/>
      <c r="S229" s="165"/>
      <c r="T229" s="165"/>
      <c r="U229" s="165"/>
      <c r="V229" s="165"/>
      <c r="W229" s="165"/>
      <c r="X229" s="165"/>
    </row>
    <row r="230" ht="18.75" customHeight="1">
      <c r="A230" s="165">
        <v>228.0</v>
      </c>
      <c r="B230" s="168" t="s">
        <v>15712</v>
      </c>
      <c r="C230" s="165"/>
      <c r="D230" s="165"/>
      <c r="E230" s="165"/>
      <c r="F230" s="165"/>
      <c r="G230" s="165"/>
      <c r="H230" s="165"/>
      <c r="I230" s="165"/>
      <c r="J230" s="165"/>
      <c r="K230" s="165"/>
      <c r="L230" s="165"/>
      <c r="M230" s="165"/>
      <c r="N230" s="165"/>
      <c r="O230" s="165"/>
      <c r="P230" s="165"/>
      <c r="Q230" s="165"/>
      <c r="R230" s="165"/>
      <c r="S230" s="165"/>
      <c r="T230" s="165"/>
      <c r="U230" s="165"/>
      <c r="V230" s="165"/>
      <c r="W230" s="165"/>
      <c r="X230" s="165"/>
    </row>
    <row r="231" ht="18.75" customHeight="1">
      <c r="A231" s="165">
        <v>229.0</v>
      </c>
      <c r="B231" s="167" t="s">
        <v>15713</v>
      </c>
      <c r="C231" s="165"/>
      <c r="D231" s="165"/>
      <c r="E231" s="165"/>
      <c r="F231" s="165"/>
      <c r="G231" s="165"/>
      <c r="H231" s="165"/>
      <c r="I231" s="165"/>
      <c r="J231" s="165"/>
      <c r="K231" s="165"/>
      <c r="L231" s="165"/>
      <c r="M231" s="165"/>
      <c r="N231" s="165"/>
      <c r="O231" s="165"/>
      <c r="P231" s="165"/>
      <c r="Q231" s="165"/>
      <c r="R231" s="165"/>
      <c r="S231" s="165"/>
      <c r="T231" s="165"/>
      <c r="U231" s="165"/>
      <c r="V231" s="165"/>
      <c r="W231" s="165"/>
      <c r="X231" s="165"/>
    </row>
    <row r="232" ht="18.75" customHeight="1">
      <c r="A232" s="165">
        <v>230.0</v>
      </c>
      <c r="B232" s="165" t="s">
        <v>15714</v>
      </c>
      <c r="C232" s="165"/>
      <c r="D232" s="165"/>
      <c r="E232" s="165"/>
      <c r="F232" s="165"/>
      <c r="G232" s="165"/>
      <c r="H232" s="165"/>
      <c r="I232" s="165"/>
      <c r="J232" s="165"/>
      <c r="K232" s="165"/>
      <c r="L232" s="165"/>
      <c r="M232" s="165"/>
      <c r="N232" s="165"/>
      <c r="O232" s="165"/>
      <c r="P232" s="165"/>
      <c r="Q232" s="165"/>
      <c r="R232" s="165"/>
      <c r="S232" s="165"/>
      <c r="T232" s="165"/>
      <c r="U232" s="165"/>
      <c r="V232" s="165"/>
      <c r="W232" s="165"/>
      <c r="X232" s="165"/>
    </row>
    <row r="233" ht="18.75" customHeight="1">
      <c r="A233" s="165">
        <v>231.0</v>
      </c>
      <c r="B233" s="167" t="s">
        <v>15715</v>
      </c>
      <c r="C233" s="165"/>
      <c r="D233" s="165"/>
      <c r="E233" s="165"/>
      <c r="F233" s="165"/>
      <c r="G233" s="165"/>
      <c r="H233" s="165"/>
      <c r="I233" s="165"/>
      <c r="J233" s="165"/>
      <c r="K233" s="165"/>
      <c r="L233" s="165"/>
      <c r="M233" s="165"/>
      <c r="N233" s="165"/>
      <c r="O233" s="165"/>
      <c r="P233" s="165"/>
      <c r="Q233" s="165"/>
      <c r="R233" s="165"/>
      <c r="S233" s="165"/>
      <c r="T233" s="165"/>
      <c r="U233" s="165"/>
      <c r="V233" s="165"/>
      <c r="W233" s="165"/>
      <c r="X233" s="165"/>
    </row>
    <row r="234" ht="18.75" customHeight="1">
      <c r="A234" s="165">
        <v>232.0</v>
      </c>
      <c r="B234" s="167" t="s">
        <v>15716</v>
      </c>
      <c r="C234" s="165"/>
      <c r="D234" s="165"/>
      <c r="E234" s="165"/>
      <c r="F234" s="165"/>
      <c r="G234" s="165"/>
      <c r="H234" s="165"/>
      <c r="I234" s="165"/>
      <c r="J234" s="165"/>
      <c r="K234" s="165"/>
      <c r="L234" s="165"/>
      <c r="M234" s="165"/>
      <c r="N234" s="165"/>
      <c r="O234" s="165"/>
      <c r="P234" s="165"/>
      <c r="Q234" s="165"/>
      <c r="R234" s="165"/>
      <c r="S234" s="165"/>
      <c r="T234" s="165"/>
      <c r="U234" s="165"/>
      <c r="V234" s="165"/>
      <c r="W234" s="165"/>
      <c r="X234" s="165"/>
    </row>
    <row r="235" ht="18.75" customHeight="1">
      <c r="A235" s="165">
        <v>233.0</v>
      </c>
      <c r="B235" s="167" t="s">
        <v>15717</v>
      </c>
      <c r="C235" s="165"/>
      <c r="D235" s="165"/>
      <c r="E235" s="165"/>
      <c r="F235" s="165"/>
      <c r="G235" s="165"/>
      <c r="H235" s="165"/>
      <c r="I235" s="165"/>
      <c r="J235" s="165"/>
      <c r="K235" s="165"/>
      <c r="L235" s="165"/>
      <c r="M235" s="165"/>
      <c r="N235" s="165"/>
      <c r="O235" s="165"/>
      <c r="P235" s="165"/>
      <c r="Q235" s="165"/>
      <c r="R235" s="165"/>
      <c r="S235" s="165"/>
      <c r="T235" s="165"/>
      <c r="U235" s="165"/>
      <c r="V235" s="165"/>
      <c r="W235" s="165"/>
      <c r="X235" s="165"/>
    </row>
    <row r="236" ht="18.75" customHeight="1">
      <c r="A236" s="165">
        <v>234.0</v>
      </c>
      <c r="B236" s="167" t="s">
        <v>15718</v>
      </c>
      <c r="C236" s="165"/>
      <c r="D236" s="165"/>
      <c r="E236" s="165"/>
      <c r="F236" s="165"/>
      <c r="G236" s="165"/>
      <c r="H236" s="165"/>
      <c r="I236" s="165"/>
      <c r="J236" s="165"/>
      <c r="K236" s="165"/>
      <c r="L236" s="165"/>
      <c r="M236" s="165"/>
      <c r="N236" s="165"/>
      <c r="O236" s="165"/>
      <c r="P236" s="165"/>
      <c r="Q236" s="165"/>
      <c r="R236" s="165"/>
      <c r="S236" s="165"/>
      <c r="T236" s="165"/>
      <c r="U236" s="165"/>
      <c r="V236" s="165"/>
      <c r="W236" s="165"/>
      <c r="X236" s="165"/>
    </row>
    <row r="237" ht="18.75" customHeight="1">
      <c r="A237" s="165">
        <v>235.0</v>
      </c>
      <c r="B237" s="167" t="s">
        <v>15719</v>
      </c>
      <c r="C237" s="165"/>
      <c r="D237" s="165"/>
      <c r="E237" s="165"/>
      <c r="F237" s="165"/>
      <c r="G237" s="165"/>
      <c r="H237" s="165"/>
      <c r="I237" s="165"/>
      <c r="J237" s="165"/>
      <c r="K237" s="165"/>
      <c r="L237" s="165"/>
      <c r="M237" s="165"/>
      <c r="N237" s="165"/>
      <c r="O237" s="165"/>
      <c r="P237" s="165"/>
      <c r="Q237" s="165"/>
      <c r="R237" s="165"/>
      <c r="S237" s="165"/>
      <c r="T237" s="165"/>
      <c r="U237" s="165"/>
      <c r="V237" s="165"/>
      <c r="W237" s="165"/>
      <c r="X237" s="165"/>
    </row>
    <row r="238" ht="18.75" customHeight="1">
      <c r="A238" s="165">
        <v>236.0</v>
      </c>
      <c r="B238" s="167" t="s">
        <v>15720</v>
      </c>
      <c r="C238" s="165"/>
      <c r="D238" s="165"/>
      <c r="E238" s="165"/>
      <c r="F238" s="165"/>
      <c r="G238" s="165"/>
      <c r="H238" s="165"/>
      <c r="I238" s="165"/>
      <c r="J238" s="165"/>
      <c r="K238" s="165"/>
      <c r="L238" s="165"/>
      <c r="M238" s="165"/>
      <c r="N238" s="165"/>
      <c r="O238" s="165"/>
      <c r="P238" s="165"/>
      <c r="Q238" s="165"/>
      <c r="R238" s="165"/>
      <c r="S238" s="165"/>
      <c r="T238" s="165"/>
      <c r="U238" s="165"/>
      <c r="V238" s="165"/>
      <c r="W238" s="165"/>
      <c r="X238" s="165"/>
    </row>
    <row r="239" ht="18.75" customHeight="1">
      <c r="A239" s="165">
        <v>237.0</v>
      </c>
      <c r="B239" s="167" t="s">
        <v>15721</v>
      </c>
      <c r="C239" s="165"/>
      <c r="D239" s="165"/>
      <c r="E239" s="165"/>
      <c r="F239" s="165"/>
      <c r="G239" s="165"/>
      <c r="H239" s="165"/>
      <c r="I239" s="165"/>
      <c r="J239" s="165"/>
      <c r="K239" s="165"/>
      <c r="L239" s="165"/>
      <c r="M239" s="165"/>
      <c r="N239" s="165"/>
      <c r="O239" s="165"/>
      <c r="P239" s="165"/>
      <c r="Q239" s="165"/>
      <c r="R239" s="165"/>
      <c r="S239" s="165"/>
      <c r="T239" s="165"/>
      <c r="U239" s="165"/>
      <c r="V239" s="165"/>
      <c r="W239" s="165"/>
      <c r="X239" s="165"/>
    </row>
    <row r="240" ht="18.75" customHeight="1">
      <c r="A240" s="165">
        <v>238.0</v>
      </c>
      <c r="B240" s="167" t="s">
        <v>15722</v>
      </c>
      <c r="C240" s="165"/>
      <c r="D240" s="165"/>
      <c r="E240" s="165"/>
      <c r="F240" s="165"/>
      <c r="G240" s="165"/>
      <c r="H240" s="165"/>
      <c r="I240" s="165"/>
      <c r="J240" s="165"/>
      <c r="K240" s="165"/>
      <c r="L240" s="165"/>
      <c r="M240" s="165"/>
      <c r="N240" s="165"/>
      <c r="O240" s="165"/>
      <c r="P240" s="165"/>
      <c r="Q240" s="165"/>
      <c r="R240" s="165"/>
      <c r="S240" s="165"/>
      <c r="T240" s="165"/>
      <c r="U240" s="165"/>
      <c r="V240" s="165"/>
      <c r="W240" s="165"/>
      <c r="X240" s="165"/>
    </row>
    <row r="241" ht="18.75" customHeight="1">
      <c r="A241" s="165">
        <v>239.0</v>
      </c>
      <c r="B241" s="167" t="s">
        <v>15723</v>
      </c>
      <c r="C241" s="165"/>
      <c r="D241" s="165"/>
      <c r="E241" s="165"/>
      <c r="F241" s="165"/>
      <c r="G241" s="165"/>
      <c r="H241" s="165"/>
      <c r="I241" s="165"/>
      <c r="J241" s="165"/>
      <c r="K241" s="165"/>
      <c r="L241" s="165"/>
      <c r="M241" s="165"/>
      <c r="N241" s="165"/>
      <c r="O241" s="165"/>
      <c r="P241" s="165"/>
      <c r="Q241" s="165"/>
      <c r="R241" s="165"/>
      <c r="S241" s="165"/>
      <c r="T241" s="165"/>
      <c r="U241" s="165"/>
      <c r="V241" s="165"/>
      <c r="W241" s="165"/>
      <c r="X241" s="165"/>
    </row>
    <row r="242" ht="18.75" customHeight="1">
      <c r="A242" s="165">
        <v>240.0</v>
      </c>
      <c r="B242" s="167" t="s">
        <v>15724</v>
      </c>
      <c r="C242" s="165"/>
      <c r="D242" s="165"/>
      <c r="E242" s="165"/>
      <c r="F242" s="165"/>
      <c r="G242" s="165"/>
      <c r="H242" s="165"/>
      <c r="I242" s="165"/>
      <c r="J242" s="165"/>
      <c r="K242" s="165"/>
      <c r="L242" s="165"/>
      <c r="M242" s="165"/>
      <c r="N242" s="165"/>
      <c r="O242" s="165"/>
      <c r="P242" s="165"/>
      <c r="Q242" s="165"/>
      <c r="R242" s="165"/>
      <c r="S242" s="165"/>
      <c r="T242" s="165"/>
      <c r="U242" s="165"/>
      <c r="V242" s="165"/>
      <c r="W242" s="165"/>
      <c r="X242" s="165"/>
    </row>
    <row r="243" ht="18.75" customHeight="1">
      <c r="A243" s="165">
        <v>241.0</v>
      </c>
      <c r="B243" s="167" t="s">
        <v>15725</v>
      </c>
      <c r="C243" s="165"/>
      <c r="D243" s="165"/>
      <c r="E243" s="165"/>
      <c r="F243" s="165"/>
      <c r="G243" s="165"/>
      <c r="H243" s="165"/>
      <c r="I243" s="165"/>
      <c r="J243" s="165"/>
      <c r="K243" s="165"/>
      <c r="L243" s="165"/>
      <c r="M243" s="165"/>
      <c r="N243" s="165"/>
      <c r="O243" s="165"/>
      <c r="P243" s="165"/>
      <c r="Q243" s="165"/>
      <c r="R243" s="165"/>
      <c r="S243" s="165"/>
      <c r="T243" s="165"/>
      <c r="U243" s="165"/>
      <c r="V243" s="165"/>
      <c r="W243" s="165"/>
      <c r="X243" s="165"/>
    </row>
    <row r="244" ht="18.75" customHeight="1">
      <c r="A244" s="165">
        <v>242.0</v>
      </c>
      <c r="B244" s="167" t="s">
        <v>15726</v>
      </c>
      <c r="C244" s="165"/>
      <c r="D244" s="165"/>
      <c r="E244" s="165"/>
      <c r="F244" s="165"/>
      <c r="G244" s="165"/>
      <c r="H244" s="165"/>
      <c r="I244" s="165"/>
      <c r="J244" s="165"/>
      <c r="K244" s="165"/>
      <c r="L244" s="165"/>
      <c r="M244" s="165"/>
      <c r="N244" s="165"/>
      <c r="O244" s="165"/>
      <c r="P244" s="165"/>
      <c r="Q244" s="165"/>
      <c r="R244" s="165"/>
      <c r="S244" s="165"/>
      <c r="T244" s="165"/>
      <c r="U244" s="165"/>
      <c r="V244" s="165"/>
      <c r="W244" s="165"/>
      <c r="X244" s="165"/>
    </row>
    <row r="245" ht="18.75" customHeight="1">
      <c r="A245" s="165">
        <v>243.0</v>
      </c>
      <c r="B245" s="165" t="s">
        <v>15727</v>
      </c>
      <c r="C245" s="165"/>
      <c r="D245" s="165"/>
      <c r="E245" s="165"/>
      <c r="F245" s="165"/>
      <c r="G245" s="165"/>
      <c r="H245" s="165"/>
      <c r="I245" s="165"/>
      <c r="J245" s="165"/>
      <c r="K245" s="165"/>
      <c r="L245" s="165"/>
      <c r="M245" s="165"/>
      <c r="N245" s="165"/>
      <c r="O245" s="165"/>
      <c r="P245" s="165"/>
      <c r="Q245" s="165"/>
      <c r="R245" s="165"/>
      <c r="S245" s="165"/>
      <c r="T245" s="165"/>
      <c r="U245" s="165"/>
      <c r="V245" s="165"/>
      <c r="W245" s="165"/>
      <c r="X245" s="165"/>
    </row>
    <row r="246" ht="18.75" customHeight="1">
      <c r="A246" s="165">
        <v>244.0</v>
      </c>
      <c r="B246" s="167" t="s">
        <v>15728</v>
      </c>
      <c r="C246" s="165"/>
      <c r="D246" s="165"/>
      <c r="E246" s="165"/>
      <c r="F246" s="165"/>
      <c r="G246" s="165"/>
      <c r="H246" s="165"/>
      <c r="I246" s="165"/>
      <c r="J246" s="165"/>
      <c r="K246" s="165"/>
      <c r="L246" s="165"/>
      <c r="M246" s="165"/>
      <c r="N246" s="165"/>
      <c r="O246" s="165"/>
      <c r="P246" s="165"/>
      <c r="Q246" s="165"/>
      <c r="R246" s="165"/>
      <c r="S246" s="165"/>
      <c r="T246" s="165"/>
      <c r="U246" s="165"/>
      <c r="V246" s="165"/>
      <c r="W246" s="165"/>
      <c r="X246" s="165"/>
    </row>
    <row r="247" ht="18.75" customHeight="1">
      <c r="A247" s="165">
        <v>245.0</v>
      </c>
      <c r="B247" s="167" t="s">
        <v>15729</v>
      </c>
      <c r="C247" s="165"/>
      <c r="D247" s="165"/>
      <c r="E247" s="165"/>
      <c r="F247" s="165"/>
      <c r="G247" s="165"/>
      <c r="H247" s="165"/>
      <c r="I247" s="165"/>
      <c r="J247" s="165"/>
      <c r="K247" s="165"/>
      <c r="L247" s="165"/>
      <c r="M247" s="165"/>
      <c r="N247" s="165"/>
      <c r="O247" s="165"/>
      <c r="P247" s="165"/>
      <c r="Q247" s="165"/>
      <c r="R247" s="165"/>
      <c r="S247" s="165"/>
      <c r="T247" s="165"/>
      <c r="U247" s="165"/>
      <c r="V247" s="165"/>
      <c r="W247" s="165"/>
      <c r="X247" s="165"/>
    </row>
    <row r="248" ht="18.75" customHeight="1">
      <c r="A248" s="165">
        <v>246.0</v>
      </c>
      <c r="B248" s="167" t="s">
        <v>15730</v>
      </c>
      <c r="C248" s="165"/>
      <c r="D248" s="165"/>
      <c r="E248" s="165"/>
      <c r="F248" s="165"/>
      <c r="G248" s="165"/>
      <c r="H248" s="165"/>
      <c r="I248" s="165"/>
      <c r="J248" s="165"/>
      <c r="K248" s="165"/>
      <c r="L248" s="165"/>
      <c r="M248" s="165"/>
      <c r="N248" s="165"/>
      <c r="O248" s="165"/>
      <c r="P248" s="165"/>
      <c r="Q248" s="165"/>
      <c r="R248" s="165"/>
      <c r="S248" s="165"/>
      <c r="T248" s="165"/>
      <c r="U248" s="165"/>
      <c r="V248" s="165"/>
      <c r="W248" s="165"/>
      <c r="X248" s="165"/>
    </row>
    <row r="249" ht="18.75" customHeight="1">
      <c r="A249" s="165">
        <v>247.0</v>
      </c>
      <c r="B249" s="165" t="s">
        <v>15731</v>
      </c>
      <c r="C249" s="165"/>
      <c r="D249" s="165"/>
      <c r="E249" s="165"/>
      <c r="F249" s="165"/>
      <c r="G249" s="165"/>
      <c r="H249" s="165"/>
      <c r="I249" s="165"/>
      <c r="J249" s="165"/>
      <c r="K249" s="165"/>
      <c r="L249" s="165"/>
      <c r="M249" s="165"/>
      <c r="N249" s="165"/>
      <c r="O249" s="165"/>
      <c r="P249" s="165"/>
      <c r="Q249" s="165"/>
      <c r="R249" s="165"/>
      <c r="S249" s="165"/>
      <c r="T249" s="165"/>
      <c r="U249" s="165"/>
      <c r="V249" s="165"/>
      <c r="W249" s="165"/>
      <c r="X249" s="165"/>
    </row>
    <row r="250" ht="18.75" customHeight="1">
      <c r="A250" s="165">
        <v>248.0</v>
      </c>
      <c r="B250" s="167" t="s">
        <v>15732</v>
      </c>
      <c r="C250" s="165"/>
      <c r="D250" s="165"/>
      <c r="E250" s="165"/>
      <c r="F250" s="165"/>
      <c r="G250" s="165"/>
      <c r="H250" s="165"/>
      <c r="I250" s="165"/>
      <c r="J250" s="165"/>
      <c r="K250" s="165"/>
      <c r="L250" s="165"/>
      <c r="M250" s="165"/>
      <c r="N250" s="165"/>
      <c r="O250" s="165"/>
      <c r="P250" s="165"/>
      <c r="Q250" s="165"/>
      <c r="R250" s="165"/>
      <c r="S250" s="165"/>
      <c r="T250" s="165"/>
      <c r="U250" s="165"/>
      <c r="V250" s="165"/>
      <c r="W250" s="165"/>
      <c r="X250" s="165"/>
    </row>
    <row r="251" ht="18.75" customHeight="1">
      <c r="A251" s="165">
        <v>249.0</v>
      </c>
      <c r="B251" s="167" t="s">
        <v>15733</v>
      </c>
      <c r="C251" s="165"/>
      <c r="D251" s="165"/>
      <c r="E251" s="165"/>
      <c r="F251" s="165"/>
      <c r="G251" s="165"/>
      <c r="H251" s="165"/>
      <c r="I251" s="165"/>
      <c r="J251" s="165"/>
      <c r="K251" s="165"/>
      <c r="L251" s="165"/>
      <c r="M251" s="165"/>
      <c r="N251" s="165"/>
      <c r="O251" s="165"/>
      <c r="P251" s="165"/>
      <c r="Q251" s="165"/>
      <c r="R251" s="165"/>
      <c r="S251" s="165"/>
      <c r="T251" s="165"/>
      <c r="U251" s="165"/>
      <c r="V251" s="165"/>
      <c r="W251" s="165"/>
      <c r="X251" s="165"/>
    </row>
    <row r="252" ht="18.75" customHeight="1">
      <c r="A252" s="165">
        <v>250.0</v>
      </c>
      <c r="B252" s="167" t="s">
        <v>15732</v>
      </c>
      <c r="C252" s="165"/>
      <c r="D252" s="165"/>
      <c r="E252" s="165"/>
      <c r="F252" s="165"/>
      <c r="G252" s="165"/>
      <c r="H252" s="165"/>
      <c r="I252" s="165"/>
      <c r="J252" s="165"/>
      <c r="K252" s="165"/>
      <c r="L252" s="165"/>
      <c r="M252" s="165"/>
      <c r="N252" s="165"/>
      <c r="O252" s="165"/>
      <c r="P252" s="165"/>
      <c r="Q252" s="165"/>
      <c r="R252" s="165"/>
      <c r="S252" s="165"/>
      <c r="T252" s="165"/>
      <c r="U252" s="165"/>
      <c r="V252" s="165"/>
      <c r="W252" s="165"/>
      <c r="X252" s="165"/>
    </row>
    <row r="253" ht="18.75" customHeight="1">
      <c r="A253" s="165">
        <v>251.0</v>
      </c>
      <c r="B253" s="167" t="s">
        <v>15734</v>
      </c>
      <c r="C253" s="165"/>
      <c r="D253" s="165"/>
      <c r="E253" s="165"/>
      <c r="F253" s="165"/>
      <c r="G253" s="165"/>
      <c r="H253" s="165"/>
      <c r="I253" s="165"/>
      <c r="J253" s="165"/>
      <c r="K253" s="165"/>
      <c r="L253" s="165"/>
      <c r="M253" s="165"/>
      <c r="N253" s="165"/>
      <c r="O253" s="165"/>
      <c r="P253" s="165"/>
      <c r="Q253" s="165"/>
      <c r="R253" s="165"/>
      <c r="S253" s="165"/>
      <c r="T253" s="165"/>
      <c r="U253" s="165"/>
      <c r="V253" s="165"/>
      <c r="W253" s="165"/>
      <c r="X253" s="165"/>
    </row>
    <row r="254" ht="18.75" customHeight="1">
      <c r="A254" s="165">
        <v>252.0</v>
      </c>
      <c r="B254" s="167" t="s">
        <v>15735</v>
      </c>
      <c r="C254" s="165"/>
      <c r="D254" s="165"/>
      <c r="E254" s="165"/>
      <c r="F254" s="165"/>
      <c r="G254" s="165"/>
      <c r="H254" s="165"/>
      <c r="I254" s="165"/>
      <c r="J254" s="165"/>
      <c r="K254" s="165"/>
      <c r="L254" s="165"/>
      <c r="M254" s="165"/>
      <c r="N254" s="165"/>
      <c r="O254" s="165"/>
      <c r="P254" s="165"/>
      <c r="Q254" s="165"/>
      <c r="R254" s="165"/>
      <c r="S254" s="165"/>
      <c r="T254" s="165"/>
      <c r="U254" s="165"/>
      <c r="V254" s="165"/>
      <c r="W254" s="165"/>
      <c r="X254" s="165"/>
    </row>
    <row r="255" ht="18.75" customHeight="1">
      <c r="A255" s="165">
        <v>253.0</v>
      </c>
      <c r="B255" s="167" t="s">
        <v>15735</v>
      </c>
      <c r="C255" s="165"/>
      <c r="D255" s="165"/>
      <c r="E255" s="165"/>
      <c r="F255" s="165"/>
      <c r="G255" s="165"/>
      <c r="H255" s="165"/>
      <c r="I255" s="165"/>
      <c r="J255" s="165"/>
      <c r="K255" s="165"/>
      <c r="L255" s="165"/>
      <c r="M255" s="165"/>
      <c r="N255" s="165"/>
      <c r="O255" s="165"/>
      <c r="P255" s="165"/>
      <c r="Q255" s="165"/>
      <c r="R255" s="165"/>
      <c r="S255" s="165"/>
      <c r="T255" s="165"/>
      <c r="U255" s="165"/>
      <c r="V255" s="165"/>
      <c r="W255" s="165"/>
      <c r="X255" s="165"/>
    </row>
    <row r="256" ht="18.75" customHeight="1">
      <c r="A256" s="165">
        <v>254.0</v>
      </c>
      <c r="B256" s="165" t="s">
        <v>15736</v>
      </c>
      <c r="C256" s="165"/>
      <c r="D256" s="165"/>
      <c r="E256" s="165"/>
      <c r="F256" s="165"/>
      <c r="G256" s="165"/>
      <c r="H256" s="165"/>
      <c r="I256" s="165"/>
      <c r="J256" s="165"/>
      <c r="K256" s="165"/>
      <c r="L256" s="165"/>
      <c r="M256" s="165"/>
      <c r="N256" s="165"/>
      <c r="O256" s="165"/>
      <c r="P256" s="165"/>
      <c r="Q256" s="165"/>
      <c r="R256" s="165"/>
      <c r="S256" s="165"/>
      <c r="T256" s="165"/>
      <c r="U256" s="165"/>
      <c r="V256" s="165"/>
      <c r="W256" s="165"/>
      <c r="X256" s="165"/>
    </row>
    <row r="257" ht="18.75" customHeight="1">
      <c r="A257" s="165">
        <v>255.0</v>
      </c>
      <c r="B257" s="167" t="s">
        <v>15737</v>
      </c>
      <c r="C257" s="165"/>
      <c r="D257" s="165"/>
      <c r="E257" s="165"/>
      <c r="F257" s="165"/>
      <c r="G257" s="165"/>
      <c r="H257" s="165"/>
      <c r="I257" s="165"/>
      <c r="J257" s="165"/>
      <c r="K257" s="165"/>
      <c r="L257" s="165"/>
      <c r="M257" s="165"/>
      <c r="N257" s="165"/>
      <c r="O257" s="165"/>
      <c r="P257" s="165"/>
      <c r="Q257" s="165"/>
      <c r="R257" s="165"/>
      <c r="S257" s="165"/>
      <c r="T257" s="165"/>
      <c r="U257" s="165"/>
      <c r="V257" s="165"/>
      <c r="W257" s="165"/>
      <c r="X257" s="165"/>
    </row>
    <row r="258" ht="18.75" customHeight="1">
      <c r="A258" s="165">
        <v>256.0</v>
      </c>
      <c r="B258" s="167" t="s">
        <v>15738</v>
      </c>
      <c r="C258" s="165"/>
      <c r="D258" s="165"/>
      <c r="E258" s="165"/>
      <c r="F258" s="165"/>
      <c r="G258" s="165"/>
      <c r="H258" s="165"/>
      <c r="I258" s="165"/>
      <c r="J258" s="165"/>
      <c r="K258" s="165"/>
      <c r="L258" s="165"/>
      <c r="M258" s="165"/>
      <c r="N258" s="165"/>
      <c r="O258" s="165"/>
      <c r="P258" s="165"/>
      <c r="Q258" s="165"/>
      <c r="R258" s="165"/>
      <c r="S258" s="165"/>
      <c r="T258" s="165"/>
      <c r="U258" s="165"/>
      <c r="V258" s="165"/>
      <c r="W258" s="165"/>
      <c r="X258" s="165"/>
    </row>
    <row r="259" ht="18.75" customHeight="1">
      <c r="A259" s="165">
        <v>257.0</v>
      </c>
      <c r="B259" s="165" t="s">
        <v>15533</v>
      </c>
      <c r="C259" s="165"/>
      <c r="D259" s="165"/>
      <c r="E259" s="165"/>
      <c r="F259" s="165"/>
      <c r="G259" s="165"/>
      <c r="H259" s="165"/>
      <c r="I259" s="165"/>
      <c r="J259" s="165"/>
      <c r="K259" s="165"/>
      <c r="L259" s="165"/>
      <c r="M259" s="165"/>
      <c r="N259" s="165"/>
      <c r="O259" s="165"/>
      <c r="P259" s="165"/>
      <c r="Q259" s="165"/>
      <c r="R259" s="165"/>
      <c r="S259" s="165"/>
      <c r="T259" s="165"/>
      <c r="U259" s="165"/>
      <c r="V259" s="165"/>
      <c r="W259" s="165"/>
      <c r="X259" s="165"/>
    </row>
    <row r="260" ht="18.75" customHeight="1">
      <c r="A260" s="165">
        <v>258.0</v>
      </c>
      <c r="B260" s="167" t="s">
        <v>15739</v>
      </c>
      <c r="C260" s="165"/>
      <c r="D260" s="165"/>
      <c r="E260" s="165"/>
      <c r="F260" s="165"/>
      <c r="G260" s="165"/>
      <c r="H260" s="165"/>
      <c r="I260" s="165"/>
      <c r="J260" s="165"/>
      <c r="K260" s="165"/>
      <c r="L260" s="165"/>
      <c r="M260" s="165"/>
      <c r="N260" s="165"/>
      <c r="O260" s="165"/>
      <c r="P260" s="165"/>
      <c r="Q260" s="165"/>
      <c r="R260" s="165"/>
      <c r="S260" s="165"/>
      <c r="T260" s="165"/>
      <c r="U260" s="165"/>
      <c r="V260" s="165"/>
      <c r="W260" s="165"/>
      <c r="X260" s="165"/>
    </row>
    <row r="261" ht="18.75" customHeight="1">
      <c r="A261" s="165">
        <v>259.0</v>
      </c>
      <c r="B261" s="165" t="s">
        <v>15740</v>
      </c>
      <c r="C261" s="165"/>
      <c r="D261" s="165"/>
      <c r="E261" s="165"/>
      <c r="F261" s="165"/>
      <c r="G261" s="165"/>
      <c r="H261" s="165"/>
      <c r="I261" s="165"/>
      <c r="J261" s="165"/>
      <c r="K261" s="165"/>
      <c r="L261" s="165"/>
      <c r="M261" s="165"/>
      <c r="N261" s="165"/>
      <c r="O261" s="165"/>
      <c r="P261" s="165"/>
      <c r="Q261" s="165"/>
      <c r="R261" s="165"/>
      <c r="S261" s="165"/>
      <c r="T261" s="165"/>
      <c r="U261" s="165"/>
      <c r="V261" s="165"/>
      <c r="W261" s="165"/>
      <c r="X261" s="165"/>
    </row>
    <row r="262" ht="18.75" customHeight="1">
      <c r="A262" s="165">
        <v>260.0</v>
      </c>
      <c r="B262" s="165" t="s">
        <v>15741</v>
      </c>
      <c r="C262" s="165"/>
      <c r="D262" s="165"/>
      <c r="E262" s="165"/>
      <c r="F262" s="165"/>
      <c r="G262" s="165"/>
      <c r="H262" s="165"/>
      <c r="I262" s="165"/>
      <c r="J262" s="165"/>
      <c r="K262" s="165"/>
      <c r="L262" s="165"/>
      <c r="M262" s="165"/>
      <c r="N262" s="165"/>
      <c r="O262" s="165"/>
      <c r="P262" s="165"/>
      <c r="Q262" s="165"/>
      <c r="R262" s="165"/>
      <c r="S262" s="165"/>
      <c r="T262" s="165"/>
      <c r="U262" s="165"/>
      <c r="V262" s="165"/>
      <c r="W262" s="165"/>
      <c r="X262" s="165"/>
    </row>
    <row r="263" ht="18.75" customHeight="1">
      <c r="A263" s="165">
        <v>261.0</v>
      </c>
      <c r="B263" s="167" t="s">
        <v>15742</v>
      </c>
      <c r="C263" s="165"/>
      <c r="D263" s="165"/>
      <c r="E263" s="165"/>
      <c r="F263" s="165"/>
      <c r="G263" s="165"/>
      <c r="H263" s="165"/>
      <c r="I263" s="165"/>
      <c r="J263" s="165"/>
      <c r="K263" s="165"/>
      <c r="L263" s="165"/>
      <c r="M263" s="165"/>
      <c r="N263" s="165"/>
      <c r="O263" s="165"/>
      <c r="P263" s="165"/>
      <c r="Q263" s="165"/>
      <c r="R263" s="165"/>
      <c r="S263" s="165"/>
      <c r="T263" s="165"/>
      <c r="U263" s="165"/>
      <c r="V263" s="165"/>
      <c r="W263" s="165"/>
      <c r="X263" s="165"/>
    </row>
    <row r="264" ht="18.75" customHeight="1">
      <c r="A264" s="165">
        <v>262.0</v>
      </c>
      <c r="B264" s="167" t="s">
        <v>15743</v>
      </c>
      <c r="C264" s="165"/>
      <c r="D264" s="165"/>
      <c r="E264" s="165"/>
      <c r="F264" s="165"/>
      <c r="G264" s="165"/>
      <c r="H264" s="165"/>
      <c r="I264" s="165"/>
      <c r="J264" s="165"/>
      <c r="K264" s="165"/>
      <c r="L264" s="165"/>
      <c r="M264" s="165"/>
      <c r="N264" s="165"/>
      <c r="O264" s="165"/>
      <c r="P264" s="165"/>
      <c r="Q264" s="165"/>
      <c r="R264" s="165"/>
      <c r="S264" s="165"/>
      <c r="T264" s="165"/>
      <c r="U264" s="165"/>
      <c r="V264" s="165"/>
      <c r="W264" s="165"/>
      <c r="X264" s="165"/>
    </row>
    <row r="265" ht="18.75" customHeight="1">
      <c r="A265" s="165">
        <v>263.0</v>
      </c>
      <c r="B265" s="167" t="s">
        <v>15744</v>
      </c>
      <c r="C265" s="165"/>
      <c r="D265" s="165"/>
      <c r="E265" s="165"/>
      <c r="F265" s="165"/>
      <c r="G265" s="165"/>
      <c r="H265" s="165"/>
      <c r="I265" s="165"/>
      <c r="J265" s="165"/>
      <c r="K265" s="165"/>
      <c r="L265" s="165"/>
      <c r="M265" s="165"/>
      <c r="N265" s="165"/>
      <c r="O265" s="165"/>
      <c r="P265" s="165"/>
      <c r="Q265" s="165"/>
      <c r="R265" s="165"/>
      <c r="S265" s="165"/>
      <c r="T265" s="165"/>
      <c r="U265" s="165"/>
      <c r="V265" s="165"/>
      <c r="W265" s="165"/>
      <c r="X265" s="165"/>
    </row>
    <row r="266" ht="18.75" customHeight="1">
      <c r="A266" s="165">
        <v>264.0</v>
      </c>
      <c r="B266" s="167" t="s">
        <v>15745</v>
      </c>
      <c r="C266" s="165"/>
      <c r="D266" s="165"/>
      <c r="E266" s="165"/>
      <c r="F266" s="165"/>
      <c r="G266" s="165"/>
      <c r="H266" s="165"/>
      <c r="I266" s="165"/>
      <c r="J266" s="165"/>
      <c r="K266" s="165"/>
      <c r="L266" s="165"/>
      <c r="M266" s="165"/>
      <c r="N266" s="165"/>
      <c r="O266" s="165"/>
      <c r="P266" s="165"/>
      <c r="Q266" s="165"/>
      <c r="R266" s="165"/>
      <c r="S266" s="165"/>
      <c r="T266" s="165"/>
      <c r="U266" s="165"/>
      <c r="V266" s="165"/>
      <c r="W266" s="165"/>
      <c r="X266" s="165"/>
    </row>
    <row r="267" ht="18.75" customHeight="1">
      <c r="A267" s="165">
        <v>265.0</v>
      </c>
      <c r="B267" s="167" t="s">
        <v>15746</v>
      </c>
      <c r="C267" s="165"/>
      <c r="D267" s="165"/>
      <c r="E267" s="165"/>
      <c r="F267" s="165"/>
      <c r="G267" s="165"/>
      <c r="H267" s="165"/>
      <c r="I267" s="165"/>
      <c r="J267" s="165"/>
      <c r="K267" s="165"/>
      <c r="L267" s="165"/>
      <c r="M267" s="165"/>
      <c r="N267" s="165"/>
      <c r="O267" s="165"/>
      <c r="P267" s="165"/>
      <c r="Q267" s="165"/>
      <c r="R267" s="165"/>
      <c r="S267" s="165"/>
      <c r="T267" s="165"/>
      <c r="U267" s="165"/>
      <c r="V267" s="165"/>
      <c r="W267" s="165"/>
      <c r="X267" s="165"/>
    </row>
    <row r="268" ht="18.75" customHeight="1">
      <c r="A268" s="165">
        <v>266.0</v>
      </c>
      <c r="B268" s="167" t="s">
        <v>15747</v>
      </c>
      <c r="C268" s="165"/>
      <c r="D268" s="165"/>
      <c r="E268" s="165"/>
      <c r="F268" s="165"/>
      <c r="G268" s="165"/>
      <c r="H268" s="165"/>
      <c r="I268" s="165"/>
      <c r="J268" s="165"/>
      <c r="K268" s="165"/>
      <c r="L268" s="165"/>
      <c r="M268" s="165"/>
      <c r="N268" s="165"/>
      <c r="O268" s="165"/>
      <c r="P268" s="165"/>
      <c r="Q268" s="165"/>
      <c r="R268" s="165"/>
      <c r="S268" s="165"/>
      <c r="T268" s="165"/>
      <c r="U268" s="165"/>
      <c r="V268" s="165"/>
      <c r="W268" s="165"/>
      <c r="X268" s="165"/>
    </row>
    <row r="269" ht="18.75" customHeight="1">
      <c r="A269" s="165">
        <v>267.0</v>
      </c>
      <c r="B269" s="167" t="s">
        <v>15748</v>
      </c>
      <c r="C269" s="165"/>
      <c r="D269" s="165"/>
      <c r="E269" s="165"/>
      <c r="F269" s="165"/>
      <c r="G269" s="165"/>
      <c r="H269" s="165"/>
      <c r="I269" s="165"/>
      <c r="J269" s="165"/>
      <c r="K269" s="165"/>
      <c r="L269" s="165"/>
      <c r="M269" s="165"/>
      <c r="N269" s="165"/>
      <c r="O269" s="165"/>
      <c r="P269" s="165"/>
      <c r="Q269" s="165"/>
      <c r="R269" s="165"/>
      <c r="S269" s="165"/>
      <c r="T269" s="165"/>
      <c r="U269" s="165"/>
      <c r="V269" s="165"/>
      <c r="W269" s="165"/>
      <c r="X269" s="165"/>
    </row>
    <row r="270" ht="18.75" customHeight="1">
      <c r="A270" s="165">
        <v>268.0</v>
      </c>
      <c r="B270" s="167" t="s">
        <v>15749</v>
      </c>
      <c r="C270" s="165"/>
      <c r="D270" s="165"/>
      <c r="E270" s="165"/>
      <c r="F270" s="165"/>
      <c r="G270" s="165"/>
      <c r="H270" s="165"/>
      <c r="I270" s="165"/>
      <c r="J270" s="165"/>
      <c r="K270" s="165"/>
      <c r="L270" s="165"/>
      <c r="M270" s="165"/>
      <c r="N270" s="165"/>
      <c r="O270" s="165"/>
      <c r="P270" s="165"/>
      <c r="Q270" s="165"/>
      <c r="R270" s="165"/>
      <c r="S270" s="165"/>
      <c r="T270" s="165"/>
      <c r="U270" s="165"/>
      <c r="V270" s="165"/>
      <c r="W270" s="165"/>
      <c r="X270" s="165"/>
    </row>
    <row r="271" ht="18.75" customHeight="1">
      <c r="A271" s="165">
        <v>269.0</v>
      </c>
      <c r="B271" s="167" t="s">
        <v>15750</v>
      </c>
      <c r="C271" s="165"/>
      <c r="D271" s="165"/>
      <c r="E271" s="165"/>
      <c r="F271" s="165"/>
      <c r="G271" s="165"/>
      <c r="H271" s="165"/>
      <c r="I271" s="165"/>
      <c r="J271" s="165"/>
      <c r="K271" s="165"/>
      <c r="L271" s="165"/>
      <c r="M271" s="165"/>
      <c r="N271" s="165"/>
      <c r="O271" s="165"/>
      <c r="P271" s="165"/>
      <c r="Q271" s="165"/>
      <c r="R271" s="165"/>
      <c r="S271" s="165"/>
      <c r="T271" s="165"/>
      <c r="U271" s="165"/>
      <c r="V271" s="165"/>
      <c r="W271" s="165"/>
      <c r="X271" s="165"/>
    </row>
    <row r="272" ht="18.75" customHeight="1">
      <c r="A272" s="165">
        <v>270.0</v>
      </c>
      <c r="B272" s="168" t="s">
        <v>15751</v>
      </c>
      <c r="C272" s="165"/>
      <c r="D272" s="165"/>
      <c r="E272" s="165"/>
      <c r="F272" s="165"/>
      <c r="G272" s="165"/>
      <c r="H272" s="165"/>
      <c r="I272" s="165"/>
      <c r="J272" s="165"/>
      <c r="K272" s="165"/>
      <c r="L272" s="165"/>
      <c r="M272" s="165"/>
      <c r="N272" s="165"/>
      <c r="O272" s="165"/>
      <c r="P272" s="165"/>
      <c r="Q272" s="165"/>
      <c r="R272" s="165"/>
      <c r="S272" s="165"/>
      <c r="T272" s="165"/>
      <c r="U272" s="165"/>
      <c r="V272" s="165"/>
      <c r="W272" s="165"/>
      <c r="X272" s="165"/>
    </row>
    <row r="273" ht="18.75" customHeight="1">
      <c r="A273" s="165">
        <v>271.0</v>
      </c>
      <c r="B273" s="165" t="s">
        <v>15752</v>
      </c>
      <c r="C273" s="165"/>
      <c r="D273" s="165"/>
      <c r="E273" s="165"/>
      <c r="F273" s="165"/>
      <c r="G273" s="165"/>
      <c r="H273" s="165"/>
      <c r="I273" s="165"/>
      <c r="J273" s="165"/>
      <c r="K273" s="165"/>
      <c r="L273" s="165"/>
      <c r="M273" s="165"/>
      <c r="N273" s="165"/>
      <c r="O273" s="165"/>
      <c r="P273" s="165"/>
      <c r="Q273" s="165"/>
      <c r="R273" s="165"/>
      <c r="S273" s="165"/>
      <c r="T273" s="165"/>
      <c r="U273" s="165"/>
      <c r="V273" s="165"/>
      <c r="W273" s="165"/>
      <c r="X273" s="165"/>
    </row>
    <row r="274" ht="18.75" customHeight="1">
      <c r="A274" s="165">
        <v>272.0</v>
      </c>
      <c r="B274" s="167" t="s">
        <v>15753</v>
      </c>
      <c r="C274" s="165"/>
      <c r="D274" s="165"/>
      <c r="E274" s="165"/>
      <c r="F274" s="165"/>
      <c r="G274" s="165"/>
      <c r="H274" s="165"/>
      <c r="I274" s="165"/>
      <c r="J274" s="165"/>
      <c r="K274" s="165"/>
      <c r="L274" s="165"/>
      <c r="M274" s="165"/>
      <c r="N274" s="165"/>
      <c r="O274" s="165"/>
      <c r="P274" s="165"/>
      <c r="Q274" s="165"/>
      <c r="R274" s="165"/>
      <c r="S274" s="165"/>
      <c r="T274" s="165"/>
      <c r="U274" s="165"/>
      <c r="V274" s="165"/>
      <c r="W274" s="165"/>
      <c r="X274" s="165"/>
    </row>
    <row r="275" ht="18.75" customHeight="1">
      <c r="A275" s="165">
        <v>273.0</v>
      </c>
      <c r="B275" s="167" t="s">
        <v>15754</v>
      </c>
      <c r="C275" s="165"/>
      <c r="D275" s="165"/>
      <c r="E275" s="165"/>
      <c r="F275" s="165"/>
      <c r="G275" s="165"/>
      <c r="H275" s="165"/>
      <c r="I275" s="165"/>
      <c r="J275" s="165"/>
      <c r="K275" s="165"/>
      <c r="L275" s="165"/>
      <c r="M275" s="165"/>
      <c r="N275" s="165"/>
      <c r="O275" s="165"/>
      <c r="P275" s="165"/>
      <c r="Q275" s="165"/>
      <c r="R275" s="165"/>
      <c r="S275" s="165"/>
      <c r="T275" s="165"/>
      <c r="U275" s="165"/>
      <c r="V275" s="165"/>
      <c r="W275" s="165"/>
      <c r="X275" s="165"/>
    </row>
    <row r="276" ht="18.75" customHeight="1">
      <c r="A276" s="165">
        <v>274.0</v>
      </c>
      <c r="B276" s="167" t="s">
        <v>15755</v>
      </c>
      <c r="C276" s="165"/>
      <c r="D276" s="165"/>
      <c r="E276" s="165"/>
      <c r="F276" s="165"/>
      <c r="G276" s="165"/>
      <c r="H276" s="165"/>
      <c r="I276" s="165"/>
      <c r="J276" s="165"/>
      <c r="K276" s="165"/>
      <c r="L276" s="165"/>
      <c r="M276" s="165"/>
      <c r="N276" s="165"/>
      <c r="O276" s="165"/>
      <c r="P276" s="165"/>
      <c r="Q276" s="165"/>
      <c r="R276" s="165"/>
      <c r="S276" s="165"/>
      <c r="T276" s="165"/>
      <c r="U276" s="165"/>
      <c r="V276" s="165"/>
      <c r="W276" s="165"/>
      <c r="X276" s="165"/>
    </row>
    <row r="277" ht="18.75" customHeight="1">
      <c r="A277" s="165">
        <v>275.0</v>
      </c>
      <c r="B277" s="167" t="s">
        <v>15756</v>
      </c>
      <c r="C277" s="165"/>
      <c r="D277" s="165"/>
      <c r="E277" s="165"/>
      <c r="F277" s="165"/>
      <c r="G277" s="165"/>
      <c r="H277" s="165"/>
      <c r="I277" s="165"/>
      <c r="J277" s="165"/>
      <c r="K277" s="165"/>
      <c r="L277" s="165"/>
      <c r="M277" s="165"/>
      <c r="N277" s="165"/>
      <c r="O277" s="165"/>
      <c r="P277" s="165"/>
      <c r="Q277" s="165"/>
      <c r="R277" s="165"/>
      <c r="S277" s="165"/>
      <c r="T277" s="165"/>
      <c r="U277" s="165"/>
      <c r="V277" s="165"/>
      <c r="W277" s="165"/>
      <c r="X277" s="165"/>
    </row>
    <row r="278" ht="18.75" customHeight="1">
      <c r="A278" s="165">
        <v>276.0</v>
      </c>
      <c r="B278" s="167" t="s">
        <v>15757</v>
      </c>
      <c r="C278" s="165"/>
      <c r="D278" s="165"/>
      <c r="E278" s="165"/>
      <c r="F278" s="165"/>
      <c r="G278" s="165"/>
      <c r="H278" s="165"/>
      <c r="I278" s="165"/>
      <c r="J278" s="165"/>
      <c r="K278" s="165"/>
      <c r="L278" s="165"/>
      <c r="M278" s="165"/>
      <c r="N278" s="165"/>
      <c r="O278" s="165"/>
      <c r="P278" s="165"/>
      <c r="Q278" s="165"/>
      <c r="R278" s="165"/>
      <c r="S278" s="165"/>
      <c r="T278" s="165"/>
      <c r="U278" s="165"/>
      <c r="V278" s="165"/>
      <c r="W278" s="165"/>
      <c r="X278" s="165"/>
    </row>
    <row r="279" ht="18.75" customHeight="1">
      <c r="A279" s="165">
        <v>277.0</v>
      </c>
      <c r="B279" s="167" t="s">
        <v>15758</v>
      </c>
      <c r="C279" s="165"/>
      <c r="D279" s="165"/>
      <c r="E279" s="165"/>
      <c r="F279" s="165"/>
      <c r="G279" s="165"/>
      <c r="H279" s="165"/>
      <c r="I279" s="165"/>
      <c r="J279" s="165"/>
      <c r="K279" s="165"/>
      <c r="L279" s="165"/>
      <c r="M279" s="165"/>
      <c r="N279" s="165"/>
      <c r="O279" s="165"/>
      <c r="P279" s="165"/>
      <c r="Q279" s="165"/>
      <c r="R279" s="165"/>
      <c r="S279" s="165"/>
      <c r="T279" s="165"/>
      <c r="U279" s="165"/>
      <c r="V279" s="165"/>
      <c r="W279" s="165"/>
      <c r="X279" s="165"/>
    </row>
    <row r="280" ht="18.75" customHeight="1">
      <c r="A280" s="165">
        <v>278.0</v>
      </c>
      <c r="B280" s="167" t="s">
        <v>15759</v>
      </c>
      <c r="C280" s="165"/>
      <c r="D280" s="165"/>
      <c r="E280" s="165"/>
      <c r="F280" s="165"/>
      <c r="G280" s="165"/>
      <c r="H280" s="165"/>
      <c r="I280" s="165"/>
      <c r="J280" s="165"/>
      <c r="K280" s="165"/>
      <c r="L280" s="165"/>
      <c r="M280" s="165"/>
      <c r="N280" s="165"/>
      <c r="O280" s="165"/>
      <c r="P280" s="165"/>
      <c r="Q280" s="165"/>
      <c r="R280" s="165"/>
      <c r="S280" s="165"/>
      <c r="T280" s="165"/>
      <c r="U280" s="165"/>
      <c r="V280" s="165"/>
      <c r="W280" s="165"/>
      <c r="X280" s="165"/>
    </row>
    <row r="281" ht="18.75" customHeight="1">
      <c r="A281" s="165">
        <v>279.0</v>
      </c>
      <c r="B281" s="167" t="s">
        <v>15760</v>
      </c>
      <c r="C281" s="165"/>
      <c r="D281" s="165"/>
      <c r="E281" s="165"/>
      <c r="F281" s="165"/>
      <c r="G281" s="165"/>
      <c r="H281" s="165"/>
      <c r="I281" s="165"/>
      <c r="J281" s="165"/>
      <c r="K281" s="165"/>
      <c r="L281" s="165"/>
      <c r="M281" s="165"/>
      <c r="N281" s="165"/>
      <c r="O281" s="165"/>
      <c r="P281" s="165"/>
      <c r="Q281" s="165"/>
      <c r="R281" s="165"/>
      <c r="S281" s="165"/>
      <c r="T281" s="165"/>
      <c r="U281" s="165"/>
      <c r="V281" s="165"/>
      <c r="W281" s="165"/>
      <c r="X281" s="165"/>
    </row>
    <row r="282" ht="18.75" customHeight="1">
      <c r="A282" s="165">
        <v>280.0</v>
      </c>
      <c r="B282" s="168" t="s">
        <v>15761</v>
      </c>
      <c r="C282" s="165"/>
      <c r="D282" s="165"/>
      <c r="E282" s="165"/>
      <c r="F282" s="165"/>
      <c r="G282" s="165"/>
      <c r="H282" s="165"/>
      <c r="I282" s="165"/>
      <c r="J282" s="165"/>
      <c r="K282" s="165"/>
      <c r="L282" s="165"/>
      <c r="M282" s="165"/>
      <c r="N282" s="165"/>
      <c r="O282" s="165"/>
      <c r="P282" s="165"/>
      <c r="Q282" s="165"/>
      <c r="R282" s="165"/>
      <c r="S282" s="165"/>
      <c r="T282" s="165"/>
      <c r="U282" s="165"/>
      <c r="V282" s="165"/>
      <c r="W282" s="165"/>
      <c r="X282" s="165"/>
    </row>
    <row r="283" ht="18.75" customHeight="1">
      <c r="A283" s="165">
        <v>281.0</v>
      </c>
      <c r="B283" s="167" t="s">
        <v>15762</v>
      </c>
      <c r="C283" s="165"/>
      <c r="D283" s="165"/>
      <c r="E283" s="165"/>
      <c r="F283" s="165"/>
      <c r="G283" s="165"/>
      <c r="H283" s="165"/>
      <c r="I283" s="165"/>
      <c r="J283" s="165"/>
      <c r="K283" s="165"/>
      <c r="L283" s="165"/>
      <c r="M283" s="165"/>
      <c r="N283" s="165"/>
      <c r="O283" s="165"/>
      <c r="P283" s="165"/>
      <c r="Q283" s="165"/>
      <c r="R283" s="165"/>
      <c r="S283" s="165"/>
      <c r="T283" s="165"/>
      <c r="U283" s="165"/>
      <c r="V283" s="165"/>
      <c r="W283" s="165"/>
      <c r="X283" s="165"/>
    </row>
    <row r="284" ht="18.75" customHeight="1">
      <c r="A284" s="165">
        <v>282.0</v>
      </c>
      <c r="B284" s="168" t="s">
        <v>15763</v>
      </c>
      <c r="C284" s="165"/>
      <c r="D284" s="165"/>
      <c r="E284" s="165"/>
      <c r="F284" s="165"/>
      <c r="G284" s="165"/>
      <c r="H284" s="165"/>
      <c r="I284" s="165"/>
      <c r="J284" s="165"/>
      <c r="K284" s="165"/>
      <c r="L284" s="165"/>
      <c r="M284" s="165"/>
      <c r="N284" s="165"/>
      <c r="O284" s="165"/>
      <c r="P284" s="165"/>
      <c r="Q284" s="165"/>
      <c r="R284" s="165"/>
      <c r="S284" s="165"/>
      <c r="T284" s="165"/>
      <c r="U284" s="165"/>
      <c r="V284" s="165"/>
      <c r="W284" s="165"/>
      <c r="X284" s="165"/>
    </row>
    <row r="285" ht="18.75" customHeight="1">
      <c r="A285" s="165">
        <v>283.0</v>
      </c>
      <c r="B285" s="168" t="s">
        <v>15764</v>
      </c>
      <c r="C285" s="165"/>
      <c r="D285" s="165"/>
      <c r="E285" s="165"/>
      <c r="F285" s="165"/>
      <c r="G285" s="165"/>
      <c r="H285" s="165"/>
      <c r="I285" s="165"/>
      <c r="J285" s="165"/>
      <c r="K285" s="165"/>
      <c r="L285" s="165"/>
      <c r="M285" s="165"/>
      <c r="N285" s="165"/>
      <c r="O285" s="165"/>
      <c r="P285" s="165"/>
      <c r="Q285" s="165"/>
      <c r="R285" s="165"/>
      <c r="S285" s="165"/>
      <c r="T285" s="165"/>
      <c r="U285" s="165"/>
      <c r="V285" s="165"/>
      <c r="W285" s="165"/>
      <c r="X285" s="165"/>
    </row>
    <row r="286" ht="18.75" customHeight="1">
      <c r="A286" s="165">
        <v>284.0</v>
      </c>
      <c r="B286" s="168" t="s">
        <v>15765</v>
      </c>
      <c r="C286" s="165"/>
      <c r="D286" s="165"/>
      <c r="E286" s="165"/>
      <c r="F286" s="165"/>
      <c r="G286" s="165"/>
      <c r="H286" s="165"/>
      <c r="I286" s="165"/>
      <c r="J286" s="165"/>
      <c r="K286" s="165"/>
      <c r="L286" s="165"/>
      <c r="M286" s="165"/>
      <c r="N286" s="165"/>
      <c r="O286" s="165"/>
      <c r="P286" s="165"/>
      <c r="Q286" s="165"/>
      <c r="R286" s="165"/>
      <c r="S286" s="165"/>
      <c r="T286" s="165"/>
      <c r="U286" s="165"/>
      <c r="V286" s="165"/>
      <c r="W286" s="165"/>
      <c r="X286" s="165"/>
    </row>
    <row r="287" ht="18.75" customHeight="1">
      <c r="A287" s="165">
        <v>285.0</v>
      </c>
      <c r="B287" s="168" t="s">
        <v>15766</v>
      </c>
      <c r="C287" s="165"/>
      <c r="D287" s="165"/>
      <c r="E287" s="165"/>
      <c r="F287" s="165"/>
      <c r="G287" s="165"/>
      <c r="H287" s="165"/>
      <c r="I287" s="165"/>
      <c r="J287" s="165"/>
      <c r="K287" s="165"/>
      <c r="L287" s="165"/>
      <c r="M287" s="165"/>
      <c r="N287" s="165"/>
      <c r="O287" s="165"/>
      <c r="P287" s="165"/>
      <c r="Q287" s="165"/>
      <c r="R287" s="165"/>
      <c r="S287" s="165"/>
      <c r="T287" s="165"/>
      <c r="U287" s="165"/>
      <c r="V287" s="165"/>
      <c r="W287" s="165"/>
      <c r="X287" s="165"/>
    </row>
    <row r="288" ht="18.75" customHeight="1">
      <c r="A288" s="165">
        <v>286.0</v>
      </c>
      <c r="B288" s="165" t="s">
        <v>15767</v>
      </c>
      <c r="C288" s="165"/>
      <c r="D288" s="165"/>
      <c r="E288" s="165"/>
      <c r="F288" s="165"/>
      <c r="G288" s="165"/>
      <c r="H288" s="165"/>
      <c r="I288" s="165"/>
      <c r="J288" s="165"/>
      <c r="K288" s="165"/>
      <c r="L288" s="165"/>
      <c r="M288" s="165"/>
      <c r="N288" s="165"/>
      <c r="O288" s="165"/>
      <c r="P288" s="165"/>
      <c r="Q288" s="165"/>
      <c r="R288" s="165"/>
      <c r="S288" s="165"/>
      <c r="T288" s="165"/>
      <c r="U288" s="165"/>
      <c r="V288" s="165"/>
      <c r="W288" s="165"/>
      <c r="X288" s="165"/>
    </row>
    <row r="289" ht="18.75" customHeight="1">
      <c r="A289" s="165">
        <v>287.0</v>
      </c>
      <c r="B289" s="167" t="s">
        <v>15768</v>
      </c>
      <c r="C289" s="165"/>
      <c r="D289" s="165"/>
      <c r="E289" s="165"/>
      <c r="F289" s="165"/>
      <c r="G289" s="165"/>
      <c r="H289" s="165"/>
      <c r="I289" s="165"/>
      <c r="J289" s="165"/>
      <c r="K289" s="165"/>
      <c r="L289" s="165"/>
      <c r="M289" s="165"/>
      <c r="N289" s="165"/>
      <c r="O289" s="165"/>
      <c r="P289" s="165"/>
      <c r="Q289" s="165"/>
      <c r="R289" s="165"/>
      <c r="S289" s="165"/>
      <c r="T289" s="165"/>
      <c r="U289" s="165"/>
      <c r="V289" s="165"/>
      <c r="W289" s="165"/>
      <c r="X289" s="165"/>
    </row>
    <row r="290" ht="18.75" customHeight="1">
      <c r="A290" s="165">
        <v>288.0</v>
      </c>
      <c r="B290" s="167" t="s">
        <v>15769</v>
      </c>
      <c r="C290" s="165"/>
      <c r="D290" s="165"/>
      <c r="E290" s="165"/>
      <c r="F290" s="165"/>
      <c r="G290" s="165"/>
      <c r="H290" s="165"/>
      <c r="I290" s="165"/>
      <c r="J290" s="165"/>
      <c r="K290" s="165"/>
      <c r="L290" s="165"/>
      <c r="M290" s="165"/>
      <c r="N290" s="165"/>
      <c r="O290" s="165"/>
      <c r="P290" s="165"/>
      <c r="Q290" s="165"/>
      <c r="R290" s="165"/>
      <c r="S290" s="165"/>
      <c r="T290" s="165"/>
      <c r="U290" s="165"/>
      <c r="V290" s="165"/>
      <c r="W290" s="165"/>
      <c r="X290" s="165"/>
    </row>
    <row r="291" ht="18.75" customHeight="1">
      <c r="A291" s="165">
        <v>289.0</v>
      </c>
      <c r="B291" s="169" t="s">
        <v>15770</v>
      </c>
      <c r="C291" s="165"/>
      <c r="D291" s="165"/>
      <c r="E291" s="165"/>
      <c r="F291" s="165"/>
      <c r="G291" s="165"/>
      <c r="H291" s="165"/>
      <c r="I291" s="165"/>
      <c r="J291" s="165"/>
      <c r="K291" s="165"/>
      <c r="L291" s="165"/>
      <c r="M291" s="165"/>
      <c r="N291" s="165"/>
      <c r="O291" s="165"/>
      <c r="P291" s="165"/>
      <c r="Q291" s="165"/>
      <c r="R291" s="165"/>
      <c r="S291" s="165"/>
      <c r="T291" s="165"/>
      <c r="U291" s="165"/>
      <c r="V291" s="165"/>
      <c r="W291" s="165"/>
      <c r="X291" s="165"/>
    </row>
    <row r="292" ht="18.75" customHeight="1">
      <c r="A292" s="165">
        <v>290.0</v>
      </c>
      <c r="B292" s="169" t="s">
        <v>15771</v>
      </c>
      <c r="C292" s="165"/>
      <c r="D292" s="165"/>
      <c r="E292" s="165"/>
      <c r="F292" s="165"/>
      <c r="G292" s="165"/>
      <c r="H292" s="165"/>
      <c r="I292" s="165"/>
      <c r="J292" s="165"/>
      <c r="K292" s="165"/>
      <c r="L292" s="165"/>
      <c r="M292" s="165"/>
      <c r="N292" s="165"/>
      <c r="O292" s="165"/>
      <c r="P292" s="165"/>
      <c r="Q292" s="165"/>
      <c r="R292" s="165"/>
      <c r="S292" s="165"/>
      <c r="T292" s="165"/>
      <c r="U292" s="165"/>
      <c r="V292" s="165"/>
      <c r="W292" s="165"/>
      <c r="X292" s="165"/>
    </row>
    <row r="293" ht="18.75" customHeight="1">
      <c r="A293" s="165">
        <v>291.0</v>
      </c>
      <c r="B293" s="169" t="s">
        <v>15772</v>
      </c>
      <c r="C293" s="165"/>
      <c r="D293" s="165"/>
      <c r="E293" s="165"/>
      <c r="F293" s="165"/>
      <c r="G293" s="165"/>
      <c r="H293" s="165"/>
      <c r="I293" s="165"/>
      <c r="J293" s="165"/>
      <c r="K293" s="165"/>
      <c r="L293" s="165"/>
      <c r="M293" s="165"/>
      <c r="N293" s="165"/>
      <c r="O293" s="165"/>
      <c r="P293" s="165"/>
      <c r="Q293" s="165"/>
      <c r="R293" s="165"/>
      <c r="S293" s="165"/>
      <c r="T293" s="165"/>
      <c r="U293" s="165"/>
      <c r="V293" s="165"/>
      <c r="W293" s="165"/>
      <c r="X293" s="165"/>
    </row>
    <row r="294" ht="18.75" customHeight="1">
      <c r="A294" s="165">
        <v>292.0</v>
      </c>
      <c r="B294" s="168" t="s">
        <v>15773</v>
      </c>
      <c r="C294" s="165"/>
      <c r="D294" s="165"/>
      <c r="E294" s="165"/>
      <c r="F294" s="165"/>
      <c r="G294" s="165"/>
      <c r="H294" s="165"/>
      <c r="I294" s="165"/>
      <c r="J294" s="165"/>
      <c r="K294" s="165"/>
      <c r="L294" s="165"/>
      <c r="M294" s="165"/>
      <c r="N294" s="165"/>
      <c r="O294" s="165"/>
      <c r="P294" s="165"/>
      <c r="Q294" s="165"/>
      <c r="R294" s="165"/>
      <c r="S294" s="165"/>
      <c r="T294" s="165"/>
      <c r="U294" s="165"/>
      <c r="V294" s="165"/>
      <c r="W294" s="165"/>
      <c r="X294" s="165"/>
    </row>
    <row r="295" ht="18.75" customHeight="1">
      <c r="A295" s="165">
        <v>293.0</v>
      </c>
      <c r="B295" s="168" t="s">
        <v>15774</v>
      </c>
      <c r="C295" s="165"/>
      <c r="D295" s="165"/>
      <c r="E295" s="165"/>
      <c r="F295" s="165"/>
      <c r="G295" s="165"/>
      <c r="H295" s="165"/>
      <c r="I295" s="165"/>
      <c r="J295" s="165"/>
      <c r="K295" s="165"/>
      <c r="L295" s="165"/>
      <c r="M295" s="165"/>
      <c r="N295" s="165"/>
      <c r="O295" s="165"/>
      <c r="P295" s="165"/>
      <c r="Q295" s="165"/>
      <c r="R295" s="165"/>
      <c r="S295" s="165"/>
      <c r="T295" s="165"/>
      <c r="U295" s="165"/>
      <c r="V295" s="165"/>
      <c r="W295" s="165"/>
      <c r="X295" s="165"/>
    </row>
    <row r="296" ht="18.75" customHeight="1">
      <c r="A296" s="165">
        <v>294.0</v>
      </c>
      <c r="B296" s="168" t="s">
        <v>15775</v>
      </c>
      <c r="C296" s="165"/>
      <c r="D296" s="165"/>
      <c r="E296" s="165"/>
      <c r="F296" s="165"/>
      <c r="G296" s="165"/>
      <c r="H296" s="165"/>
      <c r="I296" s="165"/>
      <c r="J296" s="165"/>
      <c r="K296" s="165"/>
      <c r="L296" s="165"/>
      <c r="M296" s="165"/>
      <c r="N296" s="165"/>
      <c r="O296" s="165"/>
      <c r="P296" s="165"/>
      <c r="Q296" s="165"/>
      <c r="R296" s="165"/>
      <c r="S296" s="165"/>
      <c r="T296" s="165"/>
      <c r="U296" s="165"/>
      <c r="V296" s="165"/>
      <c r="W296" s="165"/>
      <c r="X296" s="165"/>
    </row>
    <row r="297" ht="18.75" customHeight="1">
      <c r="A297" s="165">
        <v>295.0</v>
      </c>
      <c r="B297" s="168" t="s">
        <v>15776</v>
      </c>
      <c r="C297" s="165"/>
      <c r="D297" s="165"/>
      <c r="E297" s="165"/>
      <c r="F297" s="165"/>
      <c r="G297" s="165"/>
      <c r="H297" s="165"/>
      <c r="I297" s="165"/>
      <c r="J297" s="165"/>
      <c r="K297" s="165"/>
      <c r="L297" s="165"/>
      <c r="M297" s="165"/>
      <c r="N297" s="165"/>
      <c r="O297" s="165"/>
      <c r="P297" s="165"/>
      <c r="Q297" s="165"/>
      <c r="R297" s="165"/>
      <c r="S297" s="165"/>
      <c r="T297" s="165"/>
      <c r="U297" s="165"/>
      <c r="V297" s="165"/>
      <c r="W297" s="165"/>
      <c r="X297" s="165"/>
    </row>
    <row r="298" ht="18.75" customHeight="1">
      <c r="A298" s="165">
        <v>296.0</v>
      </c>
      <c r="B298" s="168" t="s">
        <v>15777</v>
      </c>
      <c r="C298" s="165"/>
      <c r="D298" s="165"/>
      <c r="E298" s="165"/>
      <c r="F298" s="165"/>
      <c r="G298" s="165"/>
      <c r="H298" s="165"/>
      <c r="I298" s="165"/>
      <c r="J298" s="165"/>
      <c r="K298" s="165"/>
      <c r="L298" s="165"/>
      <c r="M298" s="165"/>
      <c r="N298" s="165"/>
      <c r="O298" s="165"/>
      <c r="P298" s="165"/>
      <c r="Q298" s="165"/>
      <c r="R298" s="165"/>
      <c r="S298" s="165"/>
      <c r="T298" s="165"/>
      <c r="U298" s="165"/>
      <c r="V298" s="165"/>
      <c r="W298" s="165"/>
      <c r="X298" s="165"/>
    </row>
    <row r="299" ht="18.75" customHeight="1">
      <c r="A299" s="165">
        <v>297.0</v>
      </c>
      <c r="B299" s="167" t="s">
        <v>15778</v>
      </c>
      <c r="C299" s="165"/>
      <c r="D299" s="165"/>
      <c r="E299" s="165"/>
      <c r="F299" s="165"/>
      <c r="G299" s="165"/>
      <c r="H299" s="165"/>
      <c r="I299" s="165"/>
      <c r="J299" s="165"/>
      <c r="K299" s="165"/>
      <c r="L299" s="165"/>
      <c r="M299" s="165"/>
      <c r="N299" s="165"/>
      <c r="O299" s="165"/>
      <c r="P299" s="165"/>
      <c r="Q299" s="165"/>
      <c r="R299" s="165"/>
      <c r="S299" s="165"/>
      <c r="T299" s="165"/>
      <c r="U299" s="165"/>
      <c r="V299" s="165"/>
      <c r="W299" s="165"/>
      <c r="X299" s="165"/>
    </row>
    <row r="300" ht="18.75" customHeight="1">
      <c r="A300" s="165">
        <v>298.0</v>
      </c>
      <c r="B300" s="167" t="s">
        <v>15779</v>
      </c>
      <c r="C300" s="165"/>
      <c r="D300" s="165"/>
      <c r="E300" s="165"/>
      <c r="F300" s="165"/>
      <c r="G300" s="165"/>
      <c r="H300" s="165"/>
      <c r="I300" s="165"/>
      <c r="J300" s="165"/>
      <c r="K300" s="165"/>
      <c r="L300" s="165"/>
      <c r="M300" s="165"/>
      <c r="N300" s="165"/>
      <c r="O300" s="165"/>
      <c r="P300" s="165"/>
      <c r="Q300" s="165"/>
      <c r="R300" s="165"/>
      <c r="S300" s="165"/>
      <c r="T300" s="165"/>
      <c r="U300" s="165"/>
      <c r="V300" s="165"/>
      <c r="W300" s="165"/>
      <c r="X300" s="165"/>
    </row>
    <row r="301" ht="18.75" customHeight="1">
      <c r="A301" s="165">
        <v>299.0</v>
      </c>
      <c r="B301" s="167" t="s">
        <v>15780</v>
      </c>
      <c r="C301" s="165"/>
      <c r="D301" s="165"/>
      <c r="E301" s="165"/>
      <c r="F301" s="165"/>
      <c r="G301" s="165"/>
      <c r="H301" s="165"/>
      <c r="I301" s="165"/>
      <c r="J301" s="165"/>
      <c r="K301" s="165"/>
      <c r="L301" s="165"/>
      <c r="M301" s="165"/>
      <c r="N301" s="165"/>
      <c r="O301" s="165"/>
      <c r="P301" s="165"/>
      <c r="Q301" s="165"/>
      <c r="R301" s="165"/>
      <c r="S301" s="165"/>
      <c r="T301" s="165"/>
      <c r="U301" s="165"/>
      <c r="V301" s="165"/>
      <c r="W301" s="165"/>
      <c r="X301" s="165"/>
    </row>
    <row r="302" ht="18.75" customHeight="1">
      <c r="A302" s="165">
        <v>300.0</v>
      </c>
      <c r="B302" s="168" t="s">
        <v>15781</v>
      </c>
      <c r="C302" s="165"/>
      <c r="D302" s="165"/>
      <c r="E302" s="165"/>
      <c r="F302" s="165"/>
      <c r="G302" s="165"/>
      <c r="H302" s="165"/>
      <c r="I302" s="165"/>
      <c r="J302" s="165"/>
      <c r="K302" s="165"/>
      <c r="L302" s="165"/>
      <c r="M302" s="165"/>
      <c r="N302" s="165"/>
      <c r="O302" s="165"/>
      <c r="P302" s="165"/>
      <c r="Q302" s="165"/>
      <c r="R302" s="165"/>
      <c r="S302" s="165"/>
      <c r="T302" s="165"/>
      <c r="U302" s="165"/>
      <c r="V302" s="165"/>
      <c r="W302" s="165"/>
      <c r="X302" s="165"/>
    </row>
    <row r="303" ht="18.75" customHeight="1">
      <c r="A303" s="165">
        <v>301.0</v>
      </c>
      <c r="B303" s="168" t="s">
        <v>15782</v>
      </c>
      <c r="C303" s="165"/>
      <c r="D303" s="165"/>
      <c r="E303" s="165"/>
      <c r="F303" s="165"/>
      <c r="G303" s="165"/>
      <c r="H303" s="165"/>
      <c r="I303" s="165"/>
      <c r="J303" s="165"/>
      <c r="K303" s="165"/>
      <c r="L303" s="165"/>
      <c r="M303" s="165"/>
      <c r="N303" s="165"/>
      <c r="O303" s="165"/>
      <c r="P303" s="165"/>
      <c r="Q303" s="165"/>
      <c r="R303" s="165"/>
      <c r="S303" s="165"/>
      <c r="T303" s="165"/>
      <c r="U303" s="165"/>
      <c r="V303" s="165"/>
      <c r="W303" s="165"/>
      <c r="X303" s="165"/>
    </row>
    <row r="304" ht="18.75" customHeight="1">
      <c r="A304" s="165">
        <v>302.0</v>
      </c>
      <c r="B304" s="168" t="s">
        <v>15783</v>
      </c>
      <c r="C304" s="165"/>
      <c r="D304" s="165"/>
      <c r="E304" s="165"/>
      <c r="F304" s="165"/>
      <c r="G304" s="165"/>
      <c r="H304" s="165"/>
      <c r="I304" s="165"/>
      <c r="J304" s="165"/>
      <c r="K304" s="165"/>
      <c r="L304" s="165"/>
      <c r="M304" s="165"/>
      <c r="N304" s="165"/>
      <c r="O304" s="165"/>
      <c r="P304" s="165"/>
      <c r="Q304" s="165"/>
      <c r="R304" s="165"/>
      <c r="S304" s="165"/>
      <c r="T304" s="165"/>
      <c r="U304" s="165"/>
      <c r="V304" s="165"/>
      <c r="W304" s="165"/>
      <c r="X304" s="165"/>
    </row>
    <row r="305" ht="18.75" customHeight="1">
      <c r="A305" s="165">
        <v>303.0</v>
      </c>
      <c r="B305" s="165" t="s">
        <v>15784</v>
      </c>
      <c r="C305" s="165"/>
      <c r="D305" s="165"/>
      <c r="E305" s="165"/>
      <c r="F305" s="165"/>
      <c r="G305" s="165"/>
      <c r="H305" s="165"/>
      <c r="I305" s="165"/>
      <c r="J305" s="165"/>
      <c r="K305" s="165"/>
      <c r="L305" s="165"/>
      <c r="M305" s="165"/>
      <c r="N305" s="165"/>
      <c r="O305" s="165"/>
      <c r="P305" s="165"/>
      <c r="Q305" s="165"/>
      <c r="R305" s="165"/>
      <c r="S305" s="165"/>
      <c r="T305" s="165"/>
      <c r="U305" s="165"/>
      <c r="V305" s="165"/>
      <c r="W305" s="165"/>
      <c r="X305" s="165"/>
    </row>
    <row r="306" ht="18.75" customHeight="1">
      <c r="A306" s="165">
        <v>304.0</v>
      </c>
      <c r="B306" s="168" t="s">
        <v>15785</v>
      </c>
      <c r="C306" s="165"/>
      <c r="D306" s="165"/>
      <c r="E306" s="165"/>
      <c r="F306" s="165"/>
      <c r="G306" s="165"/>
      <c r="H306" s="165"/>
      <c r="I306" s="165"/>
      <c r="J306" s="165"/>
      <c r="K306" s="165"/>
      <c r="L306" s="165"/>
      <c r="M306" s="165"/>
      <c r="N306" s="165"/>
      <c r="O306" s="165"/>
      <c r="P306" s="165"/>
      <c r="Q306" s="165"/>
      <c r="R306" s="165"/>
      <c r="S306" s="165"/>
      <c r="T306" s="165"/>
      <c r="U306" s="165"/>
      <c r="V306" s="165"/>
      <c r="W306" s="165"/>
      <c r="X306" s="165"/>
    </row>
    <row r="307" ht="18.75" customHeight="1">
      <c r="A307" s="165">
        <v>305.0</v>
      </c>
      <c r="B307" s="168" t="s">
        <v>15786</v>
      </c>
      <c r="C307" s="165"/>
      <c r="D307" s="165"/>
      <c r="E307" s="165"/>
      <c r="F307" s="165"/>
      <c r="G307" s="165"/>
      <c r="H307" s="165"/>
      <c r="I307" s="165"/>
      <c r="J307" s="165"/>
      <c r="K307" s="165"/>
      <c r="L307" s="165"/>
      <c r="M307" s="165"/>
      <c r="N307" s="165"/>
      <c r="O307" s="165"/>
      <c r="P307" s="165"/>
      <c r="Q307" s="165"/>
      <c r="R307" s="165"/>
      <c r="S307" s="165"/>
      <c r="T307" s="165"/>
      <c r="U307" s="165"/>
      <c r="V307" s="165"/>
      <c r="W307" s="165"/>
      <c r="X307" s="165"/>
    </row>
    <row r="308" ht="18.75" customHeight="1">
      <c r="A308" s="165">
        <v>306.0</v>
      </c>
      <c r="B308" s="168" t="s">
        <v>15787</v>
      </c>
      <c r="C308" s="165"/>
      <c r="D308" s="165"/>
      <c r="E308" s="165"/>
      <c r="F308" s="165"/>
      <c r="G308" s="165"/>
      <c r="H308" s="165"/>
      <c r="I308" s="165"/>
      <c r="J308" s="165"/>
      <c r="K308" s="165"/>
      <c r="L308" s="165"/>
      <c r="M308" s="165"/>
      <c r="N308" s="165"/>
      <c r="O308" s="165"/>
      <c r="P308" s="165"/>
      <c r="Q308" s="165"/>
      <c r="R308" s="165"/>
      <c r="S308" s="165"/>
      <c r="T308" s="165"/>
      <c r="U308" s="165"/>
      <c r="V308" s="165"/>
      <c r="W308" s="165"/>
      <c r="X308" s="165"/>
    </row>
    <row r="309" ht="18.75" customHeight="1">
      <c r="A309" s="165">
        <v>307.0</v>
      </c>
      <c r="B309" s="168" t="s">
        <v>15788</v>
      </c>
      <c r="C309" s="165"/>
      <c r="D309" s="165"/>
      <c r="E309" s="165"/>
      <c r="F309" s="165"/>
      <c r="G309" s="165"/>
      <c r="H309" s="165"/>
      <c r="I309" s="165"/>
      <c r="J309" s="165"/>
      <c r="K309" s="165"/>
      <c r="L309" s="165"/>
      <c r="M309" s="165"/>
      <c r="N309" s="165"/>
      <c r="O309" s="165"/>
      <c r="P309" s="165"/>
      <c r="Q309" s="165"/>
      <c r="R309" s="165"/>
      <c r="S309" s="165"/>
      <c r="T309" s="165"/>
      <c r="U309" s="165"/>
      <c r="V309" s="165"/>
      <c r="W309" s="165"/>
      <c r="X309" s="165"/>
    </row>
    <row r="310" ht="18.75" customHeight="1">
      <c r="A310" s="165">
        <v>308.0</v>
      </c>
      <c r="B310" s="168" t="s">
        <v>15789</v>
      </c>
      <c r="C310" s="165"/>
      <c r="D310" s="165"/>
      <c r="E310" s="165"/>
      <c r="F310" s="165"/>
      <c r="G310" s="165"/>
      <c r="H310" s="165"/>
      <c r="I310" s="165"/>
      <c r="J310" s="165"/>
      <c r="K310" s="165"/>
      <c r="L310" s="165"/>
      <c r="M310" s="165"/>
      <c r="N310" s="165"/>
      <c r="O310" s="165"/>
      <c r="P310" s="165"/>
      <c r="Q310" s="165"/>
      <c r="R310" s="165"/>
      <c r="S310" s="165"/>
      <c r="T310" s="165"/>
      <c r="U310" s="165"/>
      <c r="V310" s="165"/>
      <c r="W310" s="165"/>
      <c r="X310" s="165"/>
    </row>
    <row r="311" ht="18.75" customHeight="1">
      <c r="A311" s="165">
        <v>309.0</v>
      </c>
      <c r="B311" s="168" t="s">
        <v>15790</v>
      </c>
      <c r="C311" s="165"/>
      <c r="D311" s="165"/>
      <c r="E311" s="165"/>
      <c r="F311" s="165"/>
      <c r="G311" s="165"/>
      <c r="H311" s="165"/>
      <c r="I311" s="165"/>
      <c r="J311" s="165"/>
      <c r="K311" s="165"/>
      <c r="L311" s="165"/>
      <c r="M311" s="165"/>
      <c r="N311" s="165"/>
      <c r="O311" s="165"/>
      <c r="P311" s="165"/>
      <c r="Q311" s="165"/>
      <c r="R311" s="165"/>
      <c r="S311" s="165"/>
      <c r="T311" s="165"/>
      <c r="U311" s="165"/>
      <c r="V311" s="165"/>
      <c r="W311" s="165"/>
      <c r="X311" s="165"/>
    </row>
    <row r="312" ht="18.75" customHeight="1">
      <c r="A312" s="165">
        <v>310.0</v>
      </c>
      <c r="B312" s="165" t="s">
        <v>15791</v>
      </c>
      <c r="C312" s="165"/>
      <c r="D312" s="165"/>
      <c r="E312" s="165"/>
      <c r="F312" s="165"/>
      <c r="G312" s="165"/>
      <c r="H312" s="165"/>
      <c r="I312" s="165"/>
      <c r="J312" s="165"/>
      <c r="K312" s="165"/>
      <c r="L312" s="165"/>
      <c r="M312" s="165"/>
      <c r="N312" s="165"/>
      <c r="O312" s="165"/>
      <c r="P312" s="165"/>
      <c r="Q312" s="165"/>
      <c r="R312" s="165"/>
      <c r="S312" s="165"/>
      <c r="T312" s="165"/>
      <c r="U312" s="165"/>
      <c r="V312" s="165"/>
      <c r="W312" s="165"/>
      <c r="X312" s="165"/>
    </row>
    <row r="313" ht="18.75" customHeight="1">
      <c r="A313" s="165">
        <v>311.0</v>
      </c>
      <c r="B313" s="168" t="s">
        <v>15792</v>
      </c>
      <c r="C313" s="165"/>
      <c r="D313" s="165"/>
      <c r="E313" s="165"/>
      <c r="F313" s="165"/>
      <c r="G313" s="165"/>
      <c r="H313" s="165"/>
      <c r="I313" s="165"/>
      <c r="J313" s="165"/>
      <c r="K313" s="165"/>
      <c r="L313" s="165"/>
      <c r="M313" s="165"/>
      <c r="N313" s="165"/>
      <c r="O313" s="165"/>
      <c r="P313" s="165"/>
      <c r="Q313" s="165"/>
      <c r="R313" s="165"/>
      <c r="S313" s="165"/>
      <c r="T313" s="165"/>
      <c r="U313" s="165"/>
      <c r="V313" s="165"/>
      <c r="W313" s="165"/>
      <c r="X313" s="165"/>
    </row>
    <row r="314" ht="18.75" customHeight="1">
      <c r="A314" s="165">
        <v>312.0</v>
      </c>
      <c r="B314" s="168" t="s">
        <v>15793</v>
      </c>
      <c r="C314" s="165"/>
      <c r="D314" s="165"/>
      <c r="E314" s="165"/>
      <c r="F314" s="165"/>
      <c r="G314" s="165"/>
      <c r="H314" s="165"/>
      <c r="I314" s="165"/>
      <c r="J314" s="165"/>
      <c r="K314" s="165"/>
      <c r="L314" s="165"/>
      <c r="M314" s="165"/>
      <c r="N314" s="165"/>
      <c r="O314" s="165"/>
      <c r="P314" s="165"/>
      <c r="Q314" s="165"/>
      <c r="R314" s="165"/>
      <c r="S314" s="165"/>
      <c r="T314" s="165"/>
      <c r="U314" s="165"/>
      <c r="V314" s="165"/>
      <c r="W314" s="165"/>
      <c r="X314" s="165"/>
    </row>
    <row r="315" ht="18.75" customHeight="1">
      <c r="A315" s="165">
        <v>313.0</v>
      </c>
      <c r="B315" s="168" t="s">
        <v>15794</v>
      </c>
      <c r="C315" s="165"/>
      <c r="D315" s="165"/>
      <c r="E315" s="165"/>
      <c r="F315" s="165"/>
      <c r="G315" s="165"/>
      <c r="H315" s="165"/>
      <c r="I315" s="165"/>
      <c r="J315" s="165"/>
      <c r="K315" s="165"/>
      <c r="L315" s="165"/>
      <c r="M315" s="165"/>
      <c r="N315" s="165"/>
      <c r="O315" s="165"/>
      <c r="P315" s="165"/>
      <c r="Q315" s="165"/>
      <c r="R315" s="165"/>
      <c r="S315" s="165"/>
      <c r="T315" s="165"/>
      <c r="U315" s="165"/>
      <c r="V315" s="165"/>
      <c r="W315" s="165"/>
      <c r="X315" s="165"/>
    </row>
    <row r="316" ht="18.75" customHeight="1">
      <c r="A316" s="165">
        <v>314.0</v>
      </c>
      <c r="B316" s="168" t="s">
        <v>15795</v>
      </c>
      <c r="C316" s="165"/>
      <c r="D316" s="165"/>
      <c r="E316" s="165"/>
      <c r="F316" s="165"/>
      <c r="G316" s="165"/>
      <c r="H316" s="165"/>
      <c r="I316" s="165"/>
      <c r="J316" s="165"/>
      <c r="K316" s="165"/>
      <c r="L316" s="165"/>
      <c r="M316" s="165"/>
      <c r="N316" s="165"/>
      <c r="O316" s="165"/>
      <c r="P316" s="165"/>
      <c r="Q316" s="165"/>
      <c r="R316" s="165"/>
      <c r="S316" s="165"/>
      <c r="T316" s="165"/>
      <c r="U316" s="165"/>
      <c r="V316" s="165"/>
      <c r="W316" s="165"/>
      <c r="X316" s="165"/>
    </row>
    <row r="317" ht="18.75" customHeight="1">
      <c r="A317" s="165">
        <v>315.0</v>
      </c>
      <c r="B317" s="168" t="s">
        <v>15796</v>
      </c>
      <c r="C317" s="165"/>
      <c r="D317" s="165"/>
      <c r="E317" s="165"/>
      <c r="F317" s="165"/>
      <c r="G317" s="165"/>
      <c r="H317" s="165"/>
      <c r="I317" s="165"/>
      <c r="J317" s="165"/>
      <c r="K317" s="165"/>
      <c r="L317" s="165"/>
      <c r="M317" s="165"/>
      <c r="N317" s="165"/>
      <c r="O317" s="165"/>
      <c r="P317" s="165"/>
      <c r="Q317" s="165"/>
      <c r="R317" s="165"/>
      <c r="S317" s="165"/>
      <c r="T317" s="165"/>
      <c r="U317" s="165"/>
      <c r="V317" s="165"/>
      <c r="W317" s="165"/>
      <c r="X317" s="165"/>
    </row>
    <row r="318" ht="18.75" customHeight="1">
      <c r="A318" s="165">
        <v>316.0</v>
      </c>
      <c r="B318" s="168" t="s">
        <v>15797</v>
      </c>
      <c r="C318" s="165"/>
      <c r="D318" s="165"/>
      <c r="E318" s="165"/>
      <c r="F318" s="165"/>
      <c r="G318" s="165"/>
      <c r="H318" s="165"/>
      <c r="I318" s="165"/>
      <c r="J318" s="165"/>
      <c r="K318" s="165"/>
      <c r="L318" s="165"/>
      <c r="M318" s="165"/>
      <c r="N318" s="165"/>
      <c r="O318" s="165"/>
      <c r="P318" s="165"/>
      <c r="Q318" s="165"/>
      <c r="R318" s="165"/>
      <c r="S318" s="165"/>
      <c r="T318" s="165"/>
      <c r="U318" s="165"/>
      <c r="V318" s="165"/>
      <c r="W318" s="165"/>
      <c r="X318" s="165"/>
    </row>
    <row r="319" ht="18.75" customHeight="1">
      <c r="A319" s="165">
        <v>317.0</v>
      </c>
      <c r="B319" s="168" t="s">
        <v>15798</v>
      </c>
      <c r="C319" s="165"/>
      <c r="D319" s="165"/>
      <c r="E319" s="165"/>
      <c r="F319" s="165"/>
      <c r="G319" s="165"/>
      <c r="H319" s="165"/>
      <c r="I319" s="165"/>
      <c r="J319" s="165"/>
      <c r="K319" s="165"/>
      <c r="L319" s="165"/>
      <c r="M319" s="165"/>
      <c r="N319" s="165"/>
      <c r="O319" s="165"/>
      <c r="P319" s="165"/>
      <c r="Q319" s="165"/>
      <c r="R319" s="165"/>
      <c r="S319" s="165"/>
      <c r="T319" s="165"/>
      <c r="U319" s="165"/>
      <c r="V319" s="165"/>
      <c r="W319" s="165"/>
      <c r="X319" s="165"/>
    </row>
    <row r="320" ht="18.75" customHeight="1">
      <c r="A320" s="165">
        <v>318.0</v>
      </c>
      <c r="B320" s="168" t="s">
        <v>15799</v>
      </c>
      <c r="C320" s="165"/>
      <c r="D320" s="165"/>
      <c r="E320" s="165"/>
      <c r="F320" s="165"/>
      <c r="G320" s="165"/>
      <c r="H320" s="165"/>
      <c r="I320" s="165"/>
      <c r="J320" s="165"/>
      <c r="K320" s="165"/>
      <c r="L320" s="165"/>
      <c r="M320" s="165"/>
      <c r="N320" s="165"/>
      <c r="O320" s="165"/>
      <c r="P320" s="165"/>
      <c r="Q320" s="165"/>
      <c r="R320" s="165"/>
      <c r="S320" s="165"/>
      <c r="T320" s="165"/>
      <c r="U320" s="165"/>
      <c r="V320" s="165"/>
      <c r="W320" s="165"/>
      <c r="X320" s="165"/>
    </row>
    <row r="321" ht="18.75" customHeight="1">
      <c r="A321" s="165">
        <v>319.0</v>
      </c>
      <c r="B321" s="168" t="s">
        <v>15800</v>
      </c>
      <c r="C321" s="165"/>
      <c r="D321" s="165"/>
      <c r="E321" s="165"/>
      <c r="F321" s="165"/>
      <c r="G321" s="165"/>
      <c r="H321" s="165"/>
      <c r="I321" s="165"/>
      <c r="J321" s="165"/>
      <c r="K321" s="165"/>
      <c r="L321" s="165"/>
      <c r="M321" s="165"/>
      <c r="N321" s="165"/>
      <c r="O321" s="165"/>
      <c r="P321" s="165"/>
      <c r="Q321" s="165"/>
      <c r="R321" s="165"/>
      <c r="S321" s="165"/>
      <c r="T321" s="165"/>
      <c r="U321" s="165"/>
      <c r="V321" s="165"/>
      <c r="W321" s="165"/>
      <c r="X321" s="165"/>
    </row>
    <row r="322" ht="18.75" customHeight="1">
      <c r="A322" s="165">
        <v>320.0</v>
      </c>
      <c r="B322" s="168" t="s">
        <v>15801</v>
      </c>
      <c r="C322" s="165"/>
      <c r="D322" s="165"/>
      <c r="E322" s="165"/>
      <c r="F322" s="165"/>
      <c r="G322" s="165"/>
      <c r="H322" s="165"/>
      <c r="I322" s="165"/>
      <c r="J322" s="165"/>
      <c r="K322" s="165"/>
      <c r="L322" s="165"/>
      <c r="M322" s="165"/>
      <c r="N322" s="165"/>
      <c r="O322" s="165"/>
      <c r="P322" s="165"/>
      <c r="Q322" s="165"/>
      <c r="R322" s="165"/>
      <c r="S322" s="165"/>
      <c r="T322" s="165"/>
      <c r="U322" s="165"/>
      <c r="V322" s="165"/>
      <c r="W322" s="165"/>
      <c r="X322" s="165"/>
    </row>
    <row r="323" ht="18.75" customHeight="1">
      <c r="A323" s="165">
        <v>321.0</v>
      </c>
      <c r="B323" s="168" t="s">
        <v>15744</v>
      </c>
      <c r="C323" s="165"/>
      <c r="D323" s="165"/>
      <c r="E323" s="165"/>
      <c r="F323" s="165"/>
      <c r="G323" s="165"/>
      <c r="H323" s="165"/>
      <c r="I323" s="165"/>
      <c r="J323" s="165"/>
      <c r="K323" s="165"/>
      <c r="L323" s="165"/>
      <c r="M323" s="165"/>
      <c r="N323" s="165"/>
      <c r="O323" s="165"/>
      <c r="P323" s="165"/>
      <c r="Q323" s="165"/>
      <c r="R323" s="165"/>
      <c r="S323" s="165"/>
      <c r="T323" s="165"/>
      <c r="U323" s="165"/>
      <c r="V323" s="165"/>
      <c r="W323" s="165"/>
      <c r="X323" s="165"/>
    </row>
    <row r="324" ht="18.75" customHeight="1">
      <c r="A324" s="165">
        <v>322.0</v>
      </c>
      <c r="B324" s="168" t="s">
        <v>15802</v>
      </c>
      <c r="C324" s="165"/>
      <c r="D324" s="165"/>
      <c r="E324" s="165"/>
      <c r="F324" s="165"/>
      <c r="G324" s="165"/>
      <c r="H324" s="165"/>
      <c r="I324" s="165"/>
      <c r="J324" s="165"/>
      <c r="K324" s="165"/>
      <c r="L324" s="165"/>
      <c r="M324" s="165"/>
      <c r="N324" s="165"/>
      <c r="O324" s="165"/>
      <c r="P324" s="165"/>
      <c r="Q324" s="165"/>
      <c r="R324" s="165"/>
      <c r="S324" s="165"/>
      <c r="T324" s="165"/>
      <c r="U324" s="165"/>
      <c r="V324" s="165"/>
      <c r="W324" s="165"/>
      <c r="X324" s="165"/>
    </row>
    <row r="325" ht="18.75" customHeight="1">
      <c r="A325" s="165">
        <v>323.0</v>
      </c>
      <c r="B325" s="168" t="s">
        <v>15745</v>
      </c>
      <c r="C325" s="165"/>
      <c r="D325" s="165"/>
      <c r="E325" s="165"/>
      <c r="F325" s="165"/>
      <c r="G325" s="165"/>
      <c r="H325" s="165"/>
      <c r="I325" s="165"/>
      <c r="J325" s="165"/>
      <c r="K325" s="165"/>
      <c r="L325" s="165"/>
      <c r="M325" s="165"/>
      <c r="N325" s="165"/>
      <c r="O325" s="165"/>
      <c r="P325" s="165"/>
      <c r="Q325" s="165"/>
      <c r="R325" s="165"/>
      <c r="S325" s="165"/>
      <c r="T325" s="165"/>
      <c r="U325" s="165"/>
      <c r="V325" s="165"/>
      <c r="W325" s="165"/>
      <c r="X325" s="165"/>
    </row>
    <row r="326" ht="18.75" customHeight="1">
      <c r="A326" s="165">
        <v>324.0</v>
      </c>
      <c r="B326" s="168" t="s">
        <v>15803</v>
      </c>
      <c r="C326" s="165"/>
      <c r="D326" s="165"/>
      <c r="E326" s="165"/>
      <c r="F326" s="165"/>
      <c r="G326" s="165"/>
      <c r="H326" s="165"/>
      <c r="I326" s="165"/>
      <c r="J326" s="165"/>
      <c r="K326" s="165"/>
      <c r="L326" s="165"/>
      <c r="M326" s="165"/>
      <c r="N326" s="165"/>
      <c r="O326" s="165"/>
      <c r="P326" s="165"/>
      <c r="Q326" s="165"/>
      <c r="R326" s="165"/>
      <c r="S326" s="165"/>
      <c r="T326" s="165"/>
      <c r="U326" s="165"/>
      <c r="V326" s="165"/>
      <c r="W326" s="165"/>
      <c r="X326" s="165"/>
    </row>
    <row r="327" ht="18.75" customHeight="1">
      <c r="A327" s="165">
        <v>325.0</v>
      </c>
      <c r="B327" s="168" t="s">
        <v>15804</v>
      </c>
      <c r="C327" s="165"/>
      <c r="D327" s="165"/>
      <c r="E327" s="165"/>
      <c r="F327" s="165"/>
      <c r="G327" s="165"/>
      <c r="H327" s="165"/>
      <c r="I327" s="165"/>
      <c r="J327" s="165"/>
      <c r="K327" s="165"/>
      <c r="L327" s="165"/>
      <c r="M327" s="165"/>
      <c r="N327" s="165"/>
      <c r="O327" s="165"/>
      <c r="P327" s="165"/>
      <c r="Q327" s="165"/>
      <c r="R327" s="165"/>
      <c r="S327" s="165"/>
      <c r="T327" s="165"/>
      <c r="U327" s="165"/>
      <c r="V327" s="165"/>
      <c r="W327" s="165"/>
      <c r="X327" s="165"/>
    </row>
    <row r="328" ht="18.75" customHeight="1">
      <c r="A328" s="165">
        <v>326.0</v>
      </c>
      <c r="B328" s="168" t="s">
        <v>15805</v>
      </c>
      <c r="C328" s="165"/>
      <c r="D328" s="165"/>
      <c r="E328" s="165"/>
      <c r="F328" s="165"/>
      <c r="G328" s="165"/>
      <c r="H328" s="165"/>
      <c r="I328" s="165"/>
      <c r="J328" s="165"/>
      <c r="K328" s="165"/>
      <c r="L328" s="165"/>
      <c r="M328" s="165"/>
      <c r="N328" s="165"/>
      <c r="O328" s="165"/>
      <c r="P328" s="165"/>
      <c r="Q328" s="165"/>
      <c r="R328" s="165"/>
      <c r="S328" s="165"/>
      <c r="T328" s="165"/>
      <c r="U328" s="165"/>
      <c r="V328" s="165"/>
      <c r="W328" s="165"/>
      <c r="X328" s="165"/>
    </row>
    <row r="329" ht="18.75" customHeight="1">
      <c r="A329" s="165">
        <v>327.0</v>
      </c>
      <c r="B329" s="168" t="s">
        <v>15806</v>
      </c>
      <c r="C329" s="165"/>
      <c r="D329" s="165"/>
      <c r="E329" s="165"/>
      <c r="F329" s="165"/>
      <c r="G329" s="165"/>
      <c r="H329" s="165"/>
      <c r="I329" s="165"/>
      <c r="J329" s="165"/>
      <c r="K329" s="165"/>
      <c r="L329" s="165"/>
      <c r="M329" s="165"/>
      <c r="N329" s="165"/>
      <c r="O329" s="165"/>
      <c r="P329" s="165"/>
      <c r="Q329" s="165"/>
      <c r="R329" s="165"/>
      <c r="S329" s="165"/>
      <c r="T329" s="165"/>
      <c r="U329" s="165"/>
      <c r="V329" s="165"/>
      <c r="W329" s="165"/>
      <c r="X329" s="165"/>
    </row>
    <row r="330" ht="18.75" customHeight="1">
      <c r="A330" s="165">
        <v>328.0</v>
      </c>
      <c r="B330" s="168" t="s">
        <v>15807</v>
      </c>
      <c r="C330" s="165"/>
      <c r="D330" s="165"/>
      <c r="E330" s="165"/>
      <c r="F330" s="165"/>
      <c r="G330" s="165"/>
      <c r="H330" s="165"/>
      <c r="I330" s="165"/>
      <c r="J330" s="165"/>
      <c r="K330" s="165"/>
      <c r="L330" s="165"/>
      <c r="M330" s="165"/>
      <c r="N330" s="165"/>
      <c r="O330" s="165"/>
      <c r="P330" s="165"/>
      <c r="Q330" s="165"/>
      <c r="R330" s="165"/>
      <c r="S330" s="165"/>
      <c r="T330" s="165"/>
      <c r="U330" s="165"/>
      <c r="V330" s="165"/>
      <c r="W330" s="165"/>
      <c r="X330" s="165"/>
    </row>
    <row r="331" ht="18.75" customHeight="1">
      <c r="A331" s="165">
        <v>329.0</v>
      </c>
      <c r="B331" s="168" t="s">
        <v>15808</v>
      </c>
      <c r="C331" s="165"/>
      <c r="D331" s="165"/>
      <c r="E331" s="165"/>
      <c r="F331" s="165"/>
      <c r="G331" s="165"/>
      <c r="H331" s="165"/>
      <c r="I331" s="165"/>
      <c r="J331" s="165"/>
      <c r="K331" s="165"/>
      <c r="L331" s="165"/>
      <c r="M331" s="165"/>
      <c r="N331" s="165"/>
      <c r="O331" s="165"/>
      <c r="P331" s="165"/>
      <c r="Q331" s="165"/>
      <c r="R331" s="165"/>
      <c r="S331" s="165"/>
      <c r="T331" s="165"/>
      <c r="U331" s="165"/>
      <c r="V331" s="165"/>
      <c r="W331" s="165"/>
      <c r="X331" s="165"/>
    </row>
    <row r="332" ht="18.75" customHeight="1">
      <c r="A332" s="165">
        <v>330.0</v>
      </c>
      <c r="B332" s="168" t="s">
        <v>15809</v>
      </c>
      <c r="C332" s="165"/>
      <c r="D332" s="165"/>
      <c r="E332" s="165"/>
      <c r="F332" s="165"/>
      <c r="G332" s="165"/>
      <c r="H332" s="165"/>
      <c r="I332" s="165"/>
      <c r="J332" s="165"/>
      <c r="K332" s="165"/>
      <c r="L332" s="165"/>
      <c r="M332" s="165"/>
      <c r="N332" s="165"/>
      <c r="O332" s="165"/>
      <c r="P332" s="165"/>
      <c r="Q332" s="165"/>
      <c r="R332" s="165"/>
      <c r="S332" s="165"/>
      <c r="T332" s="165"/>
      <c r="U332" s="165"/>
      <c r="V332" s="165"/>
      <c r="W332" s="165"/>
      <c r="X332" s="165"/>
    </row>
    <row r="333" ht="18.75" customHeight="1">
      <c r="A333" s="165">
        <v>331.0</v>
      </c>
      <c r="B333" s="168" t="s">
        <v>15810</v>
      </c>
      <c r="C333" s="165"/>
      <c r="D333" s="165"/>
      <c r="E333" s="165"/>
      <c r="F333" s="165"/>
      <c r="G333" s="165"/>
      <c r="H333" s="165"/>
      <c r="I333" s="165"/>
      <c r="J333" s="165"/>
      <c r="K333" s="165"/>
      <c r="L333" s="165"/>
      <c r="M333" s="165"/>
      <c r="N333" s="165"/>
      <c r="O333" s="165"/>
      <c r="P333" s="165"/>
      <c r="Q333" s="165"/>
      <c r="R333" s="165"/>
      <c r="S333" s="165"/>
      <c r="T333" s="165"/>
      <c r="U333" s="165"/>
      <c r="V333" s="165"/>
      <c r="W333" s="165"/>
      <c r="X333" s="165"/>
    </row>
    <row r="334" ht="18.75" customHeight="1">
      <c r="A334" s="165">
        <v>332.0</v>
      </c>
      <c r="B334" s="168" t="s">
        <v>15811</v>
      </c>
      <c r="C334" s="165"/>
      <c r="D334" s="165"/>
      <c r="E334" s="165"/>
      <c r="F334" s="165"/>
      <c r="G334" s="165"/>
      <c r="H334" s="165"/>
      <c r="I334" s="165"/>
      <c r="J334" s="165"/>
      <c r="K334" s="165"/>
      <c r="L334" s="165"/>
      <c r="M334" s="165"/>
      <c r="N334" s="165"/>
      <c r="O334" s="165"/>
      <c r="P334" s="165"/>
      <c r="Q334" s="165"/>
      <c r="R334" s="165"/>
      <c r="S334" s="165"/>
      <c r="T334" s="165"/>
      <c r="U334" s="165"/>
      <c r="V334" s="165"/>
      <c r="W334" s="165"/>
      <c r="X334" s="165"/>
    </row>
    <row r="335" ht="18.75" customHeight="1">
      <c r="A335" s="165">
        <v>333.0</v>
      </c>
      <c r="B335" s="168" t="s">
        <v>15779</v>
      </c>
      <c r="C335" s="165"/>
      <c r="D335" s="165"/>
      <c r="E335" s="165"/>
      <c r="F335" s="165"/>
      <c r="G335" s="165"/>
      <c r="H335" s="165"/>
      <c r="I335" s="165"/>
      <c r="J335" s="165"/>
      <c r="K335" s="165"/>
      <c r="L335" s="165"/>
      <c r="M335" s="165"/>
      <c r="N335" s="165"/>
      <c r="O335" s="165"/>
      <c r="P335" s="165"/>
      <c r="Q335" s="165"/>
      <c r="R335" s="165"/>
      <c r="S335" s="165"/>
      <c r="T335" s="165"/>
      <c r="U335" s="165"/>
      <c r="V335" s="165"/>
      <c r="W335" s="165"/>
      <c r="X335" s="165"/>
    </row>
    <row r="336" ht="18.75" customHeight="1">
      <c r="A336" s="165">
        <v>334.0</v>
      </c>
      <c r="B336" s="168" t="s">
        <v>15812</v>
      </c>
      <c r="C336" s="165"/>
      <c r="D336" s="165"/>
      <c r="E336" s="165"/>
      <c r="F336" s="165"/>
      <c r="G336" s="165"/>
      <c r="H336" s="165"/>
      <c r="I336" s="165"/>
      <c r="J336" s="165"/>
      <c r="K336" s="165"/>
      <c r="L336" s="165"/>
      <c r="M336" s="165"/>
      <c r="N336" s="165"/>
      <c r="O336" s="165"/>
      <c r="P336" s="165"/>
      <c r="Q336" s="165"/>
      <c r="R336" s="165"/>
      <c r="S336" s="165"/>
      <c r="T336" s="165"/>
      <c r="U336" s="165"/>
      <c r="V336" s="165"/>
      <c r="W336" s="165"/>
      <c r="X336" s="165"/>
    </row>
    <row r="337" ht="18.75" customHeight="1">
      <c r="A337" s="165">
        <v>335.0</v>
      </c>
      <c r="B337" s="168" t="s">
        <v>15813</v>
      </c>
      <c r="C337" s="165"/>
      <c r="D337" s="165"/>
      <c r="E337" s="165"/>
      <c r="F337" s="165"/>
      <c r="G337" s="165"/>
      <c r="H337" s="165"/>
      <c r="I337" s="165"/>
      <c r="J337" s="165"/>
      <c r="K337" s="165"/>
      <c r="L337" s="165"/>
      <c r="M337" s="165"/>
      <c r="N337" s="165"/>
      <c r="O337" s="165"/>
      <c r="P337" s="165"/>
      <c r="Q337" s="165"/>
      <c r="R337" s="165"/>
      <c r="S337" s="165"/>
      <c r="T337" s="165"/>
      <c r="U337" s="165"/>
      <c r="V337" s="165"/>
      <c r="W337" s="165"/>
      <c r="X337" s="165"/>
    </row>
    <row r="338" ht="18.75" customHeight="1">
      <c r="A338" s="165">
        <v>336.0</v>
      </c>
      <c r="B338" s="168" t="s">
        <v>15814</v>
      </c>
      <c r="C338" s="165"/>
      <c r="D338" s="165"/>
      <c r="E338" s="165"/>
      <c r="F338" s="165"/>
      <c r="G338" s="165"/>
      <c r="H338" s="165"/>
      <c r="I338" s="165"/>
      <c r="J338" s="165"/>
      <c r="K338" s="165"/>
      <c r="L338" s="165"/>
      <c r="M338" s="165"/>
      <c r="N338" s="165"/>
      <c r="O338" s="165"/>
      <c r="P338" s="165"/>
      <c r="Q338" s="165"/>
      <c r="R338" s="165"/>
      <c r="S338" s="165"/>
      <c r="T338" s="165"/>
      <c r="U338" s="165"/>
      <c r="V338" s="165"/>
      <c r="W338" s="165"/>
      <c r="X338" s="165"/>
    </row>
    <row r="339" ht="18.75" customHeight="1">
      <c r="A339" s="165">
        <v>337.0</v>
      </c>
      <c r="B339" s="168" t="s">
        <v>15815</v>
      </c>
      <c r="C339" s="165"/>
      <c r="D339" s="165"/>
      <c r="E339" s="165"/>
      <c r="F339" s="165"/>
      <c r="G339" s="165"/>
      <c r="H339" s="165"/>
      <c r="I339" s="165"/>
      <c r="J339" s="165"/>
      <c r="K339" s="165"/>
      <c r="L339" s="165"/>
      <c r="M339" s="165"/>
      <c r="N339" s="165"/>
      <c r="O339" s="165"/>
      <c r="P339" s="165"/>
      <c r="Q339" s="165"/>
      <c r="R339" s="165"/>
      <c r="S339" s="165"/>
      <c r="T339" s="165"/>
      <c r="U339" s="165"/>
      <c r="V339" s="165"/>
      <c r="W339" s="165"/>
      <c r="X339" s="165"/>
    </row>
    <row r="340" ht="18.75" customHeight="1">
      <c r="A340" s="165">
        <v>338.0</v>
      </c>
      <c r="B340" s="168" t="s">
        <v>15816</v>
      </c>
      <c r="C340" s="165"/>
      <c r="D340" s="165"/>
      <c r="E340" s="165"/>
      <c r="F340" s="165"/>
      <c r="G340" s="165"/>
      <c r="H340" s="165"/>
      <c r="I340" s="165"/>
      <c r="J340" s="165"/>
      <c r="K340" s="165"/>
      <c r="L340" s="165"/>
      <c r="M340" s="165"/>
      <c r="N340" s="165"/>
      <c r="O340" s="165"/>
      <c r="P340" s="165"/>
      <c r="Q340" s="165"/>
      <c r="R340" s="165"/>
      <c r="S340" s="165"/>
      <c r="T340" s="165"/>
      <c r="U340" s="165"/>
      <c r="V340" s="165"/>
      <c r="W340" s="165"/>
      <c r="X340" s="165"/>
    </row>
    <row r="341" ht="18.75" customHeight="1">
      <c r="A341" s="165">
        <v>339.0</v>
      </c>
      <c r="B341" s="168" t="s">
        <v>15817</v>
      </c>
      <c r="C341" s="165"/>
      <c r="D341" s="165"/>
      <c r="E341" s="165"/>
      <c r="F341" s="165"/>
      <c r="G341" s="165"/>
      <c r="H341" s="165"/>
      <c r="I341" s="165"/>
      <c r="J341" s="165"/>
      <c r="K341" s="165"/>
      <c r="L341" s="165"/>
      <c r="M341" s="165"/>
      <c r="N341" s="165"/>
      <c r="O341" s="165"/>
      <c r="P341" s="165"/>
      <c r="Q341" s="165"/>
      <c r="R341" s="165"/>
      <c r="S341" s="165"/>
      <c r="T341" s="165"/>
      <c r="U341" s="165"/>
      <c r="V341" s="165"/>
      <c r="W341" s="165"/>
      <c r="X341" s="165"/>
    </row>
    <row r="342" ht="18.75" customHeight="1">
      <c r="A342" s="165">
        <v>340.0</v>
      </c>
      <c r="B342" s="168" t="s">
        <v>15818</v>
      </c>
      <c r="C342" s="165"/>
      <c r="D342" s="165"/>
      <c r="E342" s="165"/>
      <c r="F342" s="165"/>
      <c r="G342" s="165"/>
      <c r="H342" s="165"/>
      <c r="I342" s="165"/>
      <c r="J342" s="165"/>
      <c r="K342" s="165"/>
      <c r="L342" s="165"/>
      <c r="M342" s="165"/>
      <c r="N342" s="165"/>
      <c r="O342" s="165"/>
      <c r="P342" s="165"/>
      <c r="Q342" s="165"/>
      <c r="R342" s="165"/>
      <c r="S342" s="165"/>
      <c r="T342" s="165"/>
      <c r="U342" s="165"/>
      <c r="V342" s="165"/>
      <c r="W342" s="165"/>
      <c r="X342" s="165"/>
    </row>
    <row r="343" ht="18.75" customHeight="1">
      <c r="A343" s="165">
        <v>341.0</v>
      </c>
      <c r="B343" s="168" t="s">
        <v>15819</v>
      </c>
      <c r="C343" s="165"/>
      <c r="D343" s="165"/>
      <c r="E343" s="165"/>
      <c r="F343" s="165"/>
      <c r="G343" s="165"/>
      <c r="H343" s="165"/>
      <c r="I343" s="165"/>
      <c r="J343" s="165"/>
      <c r="K343" s="165"/>
      <c r="L343" s="165"/>
      <c r="M343" s="165"/>
      <c r="N343" s="165"/>
      <c r="O343" s="165"/>
      <c r="P343" s="165"/>
      <c r="Q343" s="165"/>
      <c r="R343" s="165"/>
      <c r="S343" s="165"/>
      <c r="T343" s="165"/>
      <c r="U343" s="165"/>
      <c r="V343" s="165"/>
      <c r="W343" s="165"/>
      <c r="X343" s="165"/>
    </row>
    <row r="344" ht="18.75" customHeight="1">
      <c r="A344" s="165">
        <v>342.0</v>
      </c>
      <c r="B344" s="168" t="s">
        <v>15820</v>
      </c>
      <c r="C344" s="165"/>
      <c r="D344" s="165"/>
      <c r="E344" s="165"/>
      <c r="F344" s="165"/>
      <c r="G344" s="165"/>
      <c r="H344" s="165"/>
      <c r="I344" s="165"/>
      <c r="J344" s="165"/>
      <c r="K344" s="165"/>
      <c r="L344" s="165"/>
      <c r="M344" s="165"/>
      <c r="N344" s="165"/>
      <c r="O344" s="165"/>
      <c r="P344" s="165"/>
      <c r="Q344" s="165"/>
      <c r="R344" s="165"/>
      <c r="S344" s="165"/>
      <c r="T344" s="165"/>
      <c r="U344" s="165"/>
      <c r="V344" s="165"/>
      <c r="W344" s="165"/>
      <c r="X344" s="165"/>
    </row>
    <row r="345" ht="18.75" customHeight="1">
      <c r="A345" s="165">
        <v>343.0</v>
      </c>
      <c r="B345" s="168" t="s">
        <v>15821</v>
      </c>
      <c r="C345" s="165"/>
      <c r="D345" s="165"/>
      <c r="E345" s="165"/>
      <c r="F345" s="165"/>
      <c r="G345" s="165"/>
      <c r="H345" s="165"/>
      <c r="I345" s="165"/>
      <c r="J345" s="165"/>
      <c r="K345" s="165"/>
      <c r="L345" s="165"/>
      <c r="M345" s="165"/>
      <c r="N345" s="165"/>
      <c r="O345" s="165"/>
      <c r="P345" s="165"/>
      <c r="Q345" s="165"/>
      <c r="R345" s="165"/>
      <c r="S345" s="165"/>
      <c r="T345" s="165"/>
      <c r="U345" s="165"/>
      <c r="V345" s="165"/>
      <c r="W345" s="165"/>
      <c r="X345" s="165"/>
    </row>
    <row r="346" ht="18.75" customHeight="1">
      <c r="A346" s="165">
        <v>344.0</v>
      </c>
      <c r="B346" s="168" t="s">
        <v>15822</v>
      </c>
      <c r="C346" s="165"/>
      <c r="D346" s="165"/>
      <c r="E346" s="165"/>
      <c r="F346" s="165"/>
      <c r="G346" s="165"/>
      <c r="H346" s="165"/>
      <c r="I346" s="165"/>
      <c r="J346" s="165"/>
      <c r="K346" s="165"/>
      <c r="L346" s="165"/>
      <c r="M346" s="165"/>
      <c r="N346" s="165"/>
      <c r="O346" s="165"/>
      <c r="P346" s="165"/>
      <c r="Q346" s="165"/>
      <c r="R346" s="165"/>
      <c r="S346" s="165"/>
      <c r="T346" s="165"/>
      <c r="U346" s="165"/>
      <c r="V346" s="165"/>
      <c r="W346" s="165"/>
      <c r="X346" s="165"/>
    </row>
    <row r="347" ht="18.75" customHeight="1">
      <c r="A347" s="165">
        <v>345.0</v>
      </c>
      <c r="B347" s="170" t="s">
        <v>15823</v>
      </c>
      <c r="C347" s="165"/>
      <c r="D347" s="165"/>
      <c r="E347" s="165"/>
      <c r="F347" s="165"/>
      <c r="G347" s="165"/>
      <c r="H347" s="165"/>
      <c r="I347" s="165"/>
      <c r="J347" s="165"/>
      <c r="K347" s="165"/>
      <c r="L347" s="165"/>
      <c r="M347" s="165"/>
      <c r="N347" s="165"/>
      <c r="O347" s="165"/>
      <c r="P347" s="165"/>
      <c r="Q347" s="165"/>
      <c r="R347" s="165"/>
      <c r="S347" s="165"/>
      <c r="T347" s="165"/>
      <c r="U347" s="165"/>
      <c r="V347" s="165"/>
      <c r="W347" s="165"/>
      <c r="X347" s="165"/>
    </row>
    <row r="348" ht="18.75" customHeight="1">
      <c r="A348" s="165">
        <v>346.0</v>
      </c>
      <c r="B348" s="168" t="s">
        <v>15824</v>
      </c>
      <c r="C348" s="165"/>
      <c r="D348" s="165"/>
      <c r="E348" s="165"/>
      <c r="F348" s="165"/>
      <c r="G348" s="165"/>
      <c r="H348" s="165"/>
      <c r="I348" s="165"/>
      <c r="J348" s="165"/>
      <c r="K348" s="165"/>
      <c r="L348" s="165"/>
      <c r="M348" s="165"/>
      <c r="N348" s="165"/>
      <c r="O348" s="165"/>
      <c r="P348" s="165"/>
      <c r="Q348" s="165"/>
      <c r="R348" s="165"/>
      <c r="S348" s="165"/>
      <c r="T348" s="165"/>
      <c r="U348" s="165"/>
      <c r="V348" s="165"/>
      <c r="W348" s="165"/>
      <c r="X348" s="165"/>
    </row>
    <row r="349" ht="18.75" customHeight="1">
      <c r="A349" s="165">
        <v>347.0</v>
      </c>
      <c r="B349" s="168" t="s">
        <v>15825</v>
      </c>
      <c r="C349" s="165"/>
      <c r="D349" s="165"/>
      <c r="E349" s="165"/>
      <c r="F349" s="165"/>
      <c r="G349" s="165"/>
      <c r="H349" s="165"/>
      <c r="I349" s="165"/>
      <c r="J349" s="165"/>
      <c r="K349" s="165"/>
      <c r="L349" s="165"/>
      <c r="M349" s="165"/>
      <c r="N349" s="165"/>
      <c r="O349" s="165"/>
      <c r="P349" s="165"/>
      <c r="Q349" s="165"/>
      <c r="R349" s="165"/>
      <c r="S349" s="165"/>
      <c r="T349" s="165"/>
      <c r="U349" s="165"/>
      <c r="V349" s="165"/>
      <c r="W349" s="165"/>
      <c r="X349" s="165"/>
    </row>
    <row r="350" ht="18.75" customHeight="1">
      <c r="A350" s="165">
        <v>348.0</v>
      </c>
      <c r="B350" s="168" t="s">
        <v>15826</v>
      </c>
      <c r="C350" s="165"/>
      <c r="D350" s="165"/>
      <c r="E350" s="165"/>
      <c r="F350" s="165"/>
      <c r="G350" s="165"/>
      <c r="H350" s="165"/>
      <c r="I350" s="165"/>
      <c r="J350" s="165"/>
      <c r="K350" s="165"/>
      <c r="L350" s="165"/>
      <c r="M350" s="165"/>
      <c r="N350" s="165"/>
      <c r="O350" s="165"/>
      <c r="P350" s="165"/>
      <c r="Q350" s="165"/>
      <c r="R350" s="165"/>
      <c r="S350" s="165"/>
      <c r="T350" s="165"/>
      <c r="U350" s="165"/>
      <c r="V350" s="165"/>
      <c r="W350" s="165"/>
      <c r="X350" s="165"/>
    </row>
    <row r="351" ht="18.75" customHeight="1">
      <c r="A351" s="165">
        <v>349.0</v>
      </c>
      <c r="B351" s="168" t="s">
        <v>15827</v>
      </c>
      <c r="C351" s="165"/>
      <c r="D351" s="165"/>
      <c r="E351" s="165"/>
      <c r="F351" s="165"/>
      <c r="G351" s="165"/>
      <c r="H351" s="165"/>
      <c r="I351" s="165"/>
      <c r="J351" s="165"/>
      <c r="K351" s="165"/>
      <c r="L351" s="165"/>
      <c r="M351" s="165"/>
      <c r="N351" s="165"/>
      <c r="O351" s="165"/>
      <c r="P351" s="165"/>
      <c r="Q351" s="165"/>
      <c r="R351" s="165"/>
      <c r="S351" s="165"/>
      <c r="T351" s="165"/>
      <c r="U351" s="165"/>
      <c r="V351" s="165"/>
      <c r="W351" s="165"/>
      <c r="X351" s="165"/>
    </row>
    <row r="352" ht="18.75" customHeight="1">
      <c r="A352" s="165">
        <v>350.0</v>
      </c>
      <c r="B352" s="168" t="s">
        <v>15828</v>
      </c>
      <c r="C352" s="165"/>
      <c r="D352" s="165"/>
      <c r="E352" s="165"/>
      <c r="F352" s="165"/>
      <c r="G352" s="165"/>
      <c r="H352" s="165"/>
      <c r="I352" s="165"/>
      <c r="J352" s="165"/>
      <c r="K352" s="165"/>
      <c r="L352" s="165"/>
      <c r="M352" s="165"/>
      <c r="N352" s="165"/>
      <c r="O352" s="165"/>
      <c r="P352" s="165"/>
      <c r="Q352" s="165"/>
      <c r="R352" s="165"/>
      <c r="S352" s="165"/>
      <c r="T352" s="165"/>
      <c r="U352" s="165"/>
      <c r="V352" s="165"/>
      <c r="W352" s="165"/>
      <c r="X352" s="165"/>
    </row>
    <row r="353" ht="18.75" customHeight="1">
      <c r="A353" s="165">
        <v>351.0</v>
      </c>
      <c r="B353" s="168" t="s">
        <v>15829</v>
      </c>
      <c r="C353" s="165"/>
      <c r="D353" s="165"/>
      <c r="E353" s="165"/>
      <c r="F353" s="165"/>
      <c r="G353" s="165"/>
      <c r="H353" s="165"/>
      <c r="I353" s="165"/>
      <c r="J353" s="165"/>
      <c r="K353" s="165"/>
      <c r="L353" s="165"/>
      <c r="M353" s="165"/>
      <c r="N353" s="165"/>
      <c r="O353" s="165"/>
      <c r="P353" s="165"/>
      <c r="Q353" s="165"/>
      <c r="R353" s="165"/>
      <c r="S353" s="165"/>
      <c r="T353" s="165"/>
      <c r="U353" s="165"/>
      <c r="V353" s="165"/>
      <c r="W353" s="165"/>
      <c r="X353" s="165"/>
    </row>
    <row r="354" ht="18.75" customHeight="1">
      <c r="A354" s="165">
        <v>352.0</v>
      </c>
      <c r="B354" s="167" t="s">
        <v>15830</v>
      </c>
      <c r="C354" s="165"/>
      <c r="D354" s="165"/>
      <c r="E354" s="165"/>
      <c r="F354" s="165"/>
      <c r="G354" s="165"/>
      <c r="H354" s="165"/>
      <c r="I354" s="165"/>
      <c r="J354" s="165"/>
      <c r="K354" s="165"/>
      <c r="L354" s="165"/>
      <c r="M354" s="165"/>
      <c r="N354" s="165"/>
      <c r="O354" s="165"/>
      <c r="P354" s="165"/>
      <c r="Q354" s="165"/>
      <c r="R354" s="165"/>
      <c r="S354" s="165"/>
      <c r="T354" s="165"/>
      <c r="U354" s="165"/>
      <c r="V354" s="165"/>
      <c r="W354" s="165"/>
      <c r="X354" s="165"/>
    </row>
    <row r="355" ht="18.75" customHeight="1">
      <c r="A355" s="165">
        <v>353.0</v>
      </c>
      <c r="B355" s="168" t="s">
        <v>15831</v>
      </c>
      <c r="C355" s="165"/>
      <c r="D355" s="165"/>
      <c r="E355" s="165"/>
      <c r="F355" s="165"/>
      <c r="G355" s="165"/>
      <c r="H355" s="165"/>
      <c r="I355" s="165"/>
      <c r="J355" s="165"/>
      <c r="K355" s="165"/>
      <c r="L355" s="165"/>
      <c r="M355" s="165"/>
      <c r="N355" s="165"/>
      <c r="O355" s="165"/>
      <c r="P355" s="165"/>
      <c r="Q355" s="165"/>
      <c r="R355" s="165"/>
      <c r="S355" s="165"/>
      <c r="T355" s="165"/>
      <c r="U355" s="165"/>
      <c r="V355" s="165"/>
      <c r="W355" s="165"/>
      <c r="X355" s="165"/>
    </row>
    <row r="356" ht="18.75" customHeight="1">
      <c r="A356" s="165">
        <v>354.0</v>
      </c>
      <c r="B356" s="168" t="s">
        <v>15832</v>
      </c>
      <c r="C356" s="165"/>
      <c r="D356" s="165"/>
      <c r="E356" s="165"/>
      <c r="F356" s="165"/>
      <c r="G356" s="165"/>
      <c r="H356" s="165"/>
      <c r="I356" s="165"/>
      <c r="J356" s="165"/>
      <c r="K356" s="165"/>
      <c r="L356" s="165"/>
      <c r="M356" s="165"/>
      <c r="N356" s="165"/>
      <c r="O356" s="165"/>
      <c r="P356" s="165"/>
      <c r="Q356" s="165"/>
      <c r="R356" s="165"/>
      <c r="S356" s="165"/>
      <c r="T356" s="165"/>
      <c r="U356" s="165"/>
      <c r="V356" s="165"/>
      <c r="W356" s="165"/>
      <c r="X356" s="165"/>
    </row>
    <row r="357" ht="18.75" customHeight="1">
      <c r="A357" s="165">
        <v>355.0</v>
      </c>
      <c r="B357" s="168" t="s">
        <v>15833</v>
      </c>
      <c r="C357" s="165"/>
      <c r="D357" s="165"/>
      <c r="E357" s="165"/>
      <c r="F357" s="165"/>
      <c r="G357" s="165"/>
      <c r="H357" s="165"/>
      <c r="I357" s="165"/>
      <c r="J357" s="165"/>
      <c r="K357" s="165"/>
      <c r="L357" s="165"/>
      <c r="M357" s="165"/>
      <c r="N357" s="165"/>
      <c r="O357" s="165"/>
      <c r="P357" s="165"/>
      <c r="Q357" s="165"/>
      <c r="R357" s="165"/>
      <c r="S357" s="165"/>
      <c r="T357" s="165"/>
      <c r="U357" s="165"/>
      <c r="V357" s="165"/>
      <c r="W357" s="165"/>
      <c r="X357" s="165"/>
    </row>
    <row r="358" ht="18.75" customHeight="1">
      <c r="A358" s="165">
        <v>356.0</v>
      </c>
      <c r="B358" s="168" t="s">
        <v>15834</v>
      </c>
      <c r="C358" s="165"/>
      <c r="D358" s="165"/>
      <c r="E358" s="165"/>
      <c r="F358" s="165"/>
      <c r="G358" s="165"/>
      <c r="H358" s="165"/>
      <c r="I358" s="165"/>
      <c r="J358" s="165"/>
      <c r="K358" s="165"/>
      <c r="L358" s="165"/>
      <c r="M358" s="165"/>
      <c r="N358" s="165"/>
      <c r="O358" s="165"/>
      <c r="P358" s="165"/>
      <c r="Q358" s="165"/>
      <c r="R358" s="165"/>
      <c r="S358" s="165"/>
      <c r="T358" s="165"/>
      <c r="U358" s="165"/>
      <c r="V358" s="165"/>
      <c r="W358" s="165"/>
      <c r="X358" s="165"/>
    </row>
    <row r="359" ht="18.75" customHeight="1">
      <c r="A359" s="165">
        <v>357.0</v>
      </c>
      <c r="B359" s="168" t="s">
        <v>15835</v>
      </c>
      <c r="C359" s="165"/>
      <c r="D359" s="165"/>
      <c r="E359" s="165"/>
      <c r="F359" s="165"/>
      <c r="G359" s="165"/>
      <c r="H359" s="165"/>
      <c r="I359" s="165"/>
      <c r="J359" s="165"/>
      <c r="K359" s="165"/>
      <c r="L359" s="165"/>
      <c r="M359" s="165"/>
      <c r="N359" s="165"/>
      <c r="O359" s="165"/>
      <c r="P359" s="165"/>
      <c r="Q359" s="165"/>
      <c r="R359" s="165"/>
      <c r="S359" s="165"/>
      <c r="T359" s="165"/>
      <c r="U359" s="165"/>
      <c r="V359" s="165"/>
      <c r="W359" s="165"/>
      <c r="X359" s="165"/>
    </row>
    <row r="360" ht="18.75" customHeight="1">
      <c r="A360" s="165">
        <v>358.0</v>
      </c>
      <c r="B360" s="168" t="s">
        <v>15836</v>
      </c>
      <c r="C360" s="165"/>
      <c r="D360" s="165"/>
      <c r="E360" s="165"/>
      <c r="F360" s="165"/>
      <c r="G360" s="165"/>
      <c r="H360" s="165"/>
      <c r="I360" s="165"/>
      <c r="J360" s="165"/>
      <c r="K360" s="165"/>
      <c r="L360" s="165"/>
      <c r="M360" s="165"/>
      <c r="N360" s="165"/>
      <c r="O360" s="165"/>
      <c r="P360" s="165"/>
      <c r="Q360" s="165"/>
      <c r="R360" s="165"/>
      <c r="S360" s="165"/>
      <c r="T360" s="165"/>
      <c r="U360" s="165"/>
      <c r="V360" s="165"/>
      <c r="W360" s="165"/>
      <c r="X360" s="165"/>
    </row>
    <row r="361" ht="18.75" customHeight="1">
      <c r="A361" s="165">
        <v>359.0</v>
      </c>
      <c r="B361" s="168" t="s">
        <v>15837</v>
      </c>
      <c r="C361" s="165"/>
      <c r="D361" s="165"/>
      <c r="E361" s="165"/>
      <c r="F361" s="165"/>
      <c r="G361" s="165"/>
      <c r="H361" s="165"/>
      <c r="I361" s="165"/>
      <c r="J361" s="165"/>
      <c r="K361" s="165"/>
      <c r="L361" s="165"/>
      <c r="M361" s="165"/>
      <c r="N361" s="165"/>
      <c r="O361" s="165"/>
      <c r="P361" s="165"/>
      <c r="Q361" s="165"/>
      <c r="R361" s="165"/>
      <c r="S361" s="165"/>
      <c r="T361" s="165"/>
      <c r="U361" s="165"/>
      <c r="V361" s="165"/>
      <c r="W361" s="165"/>
      <c r="X361" s="165"/>
    </row>
    <row r="362" ht="18.75" customHeight="1">
      <c r="A362" s="165">
        <v>360.0</v>
      </c>
      <c r="B362" s="168" t="s">
        <v>15838</v>
      </c>
      <c r="C362" s="165"/>
      <c r="D362" s="165"/>
      <c r="E362" s="165"/>
      <c r="F362" s="165"/>
      <c r="G362" s="165"/>
      <c r="H362" s="165"/>
      <c r="I362" s="165"/>
      <c r="J362" s="165"/>
      <c r="K362" s="165"/>
      <c r="L362" s="165"/>
      <c r="M362" s="165"/>
      <c r="N362" s="165"/>
      <c r="O362" s="165"/>
      <c r="P362" s="165"/>
      <c r="Q362" s="165"/>
      <c r="R362" s="165"/>
      <c r="S362" s="165"/>
      <c r="T362" s="165"/>
      <c r="U362" s="165"/>
      <c r="V362" s="165"/>
      <c r="W362" s="165"/>
      <c r="X362" s="165"/>
    </row>
    <row r="363" ht="18.75" customHeight="1">
      <c r="A363" s="165">
        <v>361.0</v>
      </c>
      <c r="B363" s="168" t="s">
        <v>15839</v>
      </c>
      <c r="C363" s="165"/>
      <c r="D363" s="165"/>
      <c r="E363" s="165"/>
      <c r="F363" s="165"/>
      <c r="G363" s="165"/>
      <c r="H363" s="165"/>
      <c r="I363" s="165"/>
      <c r="J363" s="165"/>
      <c r="K363" s="165"/>
      <c r="L363" s="165"/>
      <c r="M363" s="165"/>
      <c r="N363" s="165"/>
      <c r="O363" s="165"/>
      <c r="P363" s="165"/>
      <c r="Q363" s="165"/>
      <c r="R363" s="165"/>
      <c r="S363" s="165"/>
      <c r="T363" s="165"/>
      <c r="U363" s="165"/>
      <c r="V363" s="165"/>
      <c r="W363" s="165"/>
      <c r="X363" s="165"/>
    </row>
    <row r="364" ht="18.75" customHeight="1">
      <c r="A364" s="165">
        <v>362.0</v>
      </c>
      <c r="B364" s="167" t="s">
        <v>15840</v>
      </c>
      <c r="C364" s="165"/>
      <c r="D364" s="165"/>
      <c r="E364" s="165"/>
      <c r="F364" s="165"/>
      <c r="G364" s="165"/>
      <c r="H364" s="165"/>
      <c r="I364" s="165"/>
      <c r="J364" s="165"/>
      <c r="K364" s="165"/>
      <c r="L364" s="165"/>
      <c r="M364" s="165"/>
      <c r="N364" s="165"/>
      <c r="O364" s="165"/>
      <c r="P364" s="165"/>
      <c r="Q364" s="165"/>
      <c r="R364" s="165"/>
      <c r="S364" s="165"/>
      <c r="T364" s="165"/>
      <c r="U364" s="165"/>
      <c r="V364" s="165"/>
      <c r="W364" s="165"/>
      <c r="X364" s="165"/>
    </row>
    <row r="365" ht="18.75" customHeight="1">
      <c r="A365" s="165">
        <v>363.0</v>
      </c>
      <c r="B365" s="168" t="s">
        <v>15841</v>
      </c>
      <c r="C365" s="165"/>
      <c r="D365" s="165"/>
      <c r="E365" s="165"/>
      <c r="F365" s="165"/>
      <c r="G365" s="165"/>
      <c r="H365" s="165"/>
      <c r="I365" s="165"/>
      <c r="J365" s="165"/>
      <c r="K365" s="165"/>
      <c r="L365" s="165"/>
      <c r="M365" s="165"/>
      <c r="N365" s="165"/>
      <c r="O365" s="165"/>
      <c r="P365" s="165"/>
      <c r="Q365" s="165"/>
      <c r="R365" s="165"/>
      <c r="S365" s="165"/>
      <c r="T365" s="165"/>
      <c r="U365" s="165"/>
      <c r="V365" s="165"/>
      <c r="W365" s="165"/>
      <c r="X365" s="165"/>
    </row>
    <row r="366" ht="18.75" customHeight="1">
      <c r="A366" s="165">
        <v>364.0</v>
      </c>
      <c r="B366" s="168" t="s">
        <v>15842</v>
      </c>
      <c r="C366" s="165"/>
      <c r="D366" s="165"/>
      <c r="E366" s="165"/>
      <c r="F366" s="165"/>
      <c r="G366" s="165"/>
      <c r="H366" s="165"/>
      <c r="I366" s="165"/>
      <c r="J366" s="165"/>
      <c r="K366" s="165"/>
      <c r="L366" s="165"/>
      <c r="M366" s="165"/>
      <c r="N366" s="165"/>
      <c r="O366" s="165"/>
      <c r="P366" s="165"/>
      <c r="Q366" s="165"/>
      <c r="R366" s="165"/>
      <c r="S366" s="165"/>
      <c r="T366" s="165"/>
      <c r="U366" s="165"/>
      <c r="V366" s="165"/>
      <c r="W366" s="165"/>
      <c r="X366" s="165"/>
    </row>
    <row r="367" ht="18.75" customHeight="1">
      <c r="A367" s="165">
        <v>365.0</v>
      </c>
      <c r="B367" s="167" t="s">
        <v>15843</v>
      </c>
      <c r="C367" s="165"/>
      <c r="D367" s="165"/>
      <c r="E367" s="165"/>
      <c r="F367" s="165"/>
      <c r="G367" s="165"/>
      <c r="H367" s="165"/>
      <c r="I367" s="165"/>
      <c r="J367" s="165"/>
      <c r="K367" s="165"/>
      <c r="L367" s="165"/>
      <c r="M367" s="165"/>
      <c r="N367" s="165"/>
      <c r="O367" s="165"/>
      <c r="P367" s="165"/>
      <c r="Q367" s="165"/>
      <c r="R367" s="165"/>
      <c r="S367" s="165"/>
      <c r="T367" s="165"/>
      <c r="U367" s="165"/>
      <c r="V367" s="165"/>
      <c r="W367" s="165"/>
      <c r="X367" s="165"/>
    </row>
    <row r="368" ht="18.75" customHeight="1">
      <c r="A368" s="165">
        <v>366.0</v>
      </c>
      <c r="B368" s="167" t="s">
        <v>15711</v>
      </c>
      <c r="C368" s="165"/>
      <c r="D368" s="165"/>
      <c r="E368" s="165"/>
      <c r="F368" s="165"/>
      <c r="G368" s="165"/>
      <c r="H368" s="165"/>
      <c r="I368" s="165"/>
      <c r="J368" s="165"/>
      <c r="K368" s="165"/>
      <c r="L368" s="165"/>
      <c r="M368" s="165"/>
      <c r="N368" s="165"/>
      <c r="O368" s="165"/>
      <c r="P368" s="165"/>
      <c r="Q368" s="165"/>
      <c r="R368" s="165"/>
      <c r="S368" s="165"/>
      <c r="T368" s="165"/>
      <c r="U368" s="165"/>
      <c r="V368" s="165"/>
      <c r="W368" s="165"/>
      <c r="X368" s="165"/>
    </row>
    <row r="369" ht="18.75" customHeight="1">
      <c r="A369" s="165">
        <v>367.0</v>
      </c>
      <c r="B369" s="167" t="s">
        <v>15844</v>
      </c>
      <c r="C369" s="165"/>
      <c r="D369" s="165"/>
      <c r="E369" s="165"/>
      <c r="F369" s="165"/>
      <c r="G369" s="165"/>
      <c r="H369" s="165"/>
      <c r="I369" s="165"/>
      <c r="J369" s="165"/>
      <c r="K369" s="165"/>
      <c r="L369" s="165"/>
      <c r="M369" s="165"/>
      <c r="N369" s="165"/>
      <c r="O369" s="165"/>
      <c r="P369" s="165"/>
      <c r="Q369" s="165"/>
      <c r="R369" s="165"/>
      <c r="S369" s="165"/>
      <c r="T369" s="165"/>
      <c r="U369" s="165"/>
      <c r="V369" s="165"/>
      <c r="W369" s="165"/>
      <c r="X369" s="165"/>
    </row>
    <row r="370" ht="18.75" customHeight="1">
      <c r="A370" s="165">
        <v>368.0</v>
      </c>
      <c r="B370" s="167" t="s">
        <v>15845</v>
      </c>
      <c r="C370" s="165"/>
      <c r="D370" s="165"/>
      <c r="E370" s="165"/>
      <c r="F370" s="165"/>
      <c r="G370" s="165"/>
      <c r="H370" s="165"/>
      <c r="I370" s="165"/>
      <c r="J370" s="165"/>
      <c r="K370" s="165"/>
      <c r="L370" s="165"/>
      <c r="M370" s="165"/>
      <c r="N370" s="165"/>
      <c r="O370" s="165"/>
      <c r="P370" s="165"/>
      <c r="Q370" s="165"/>
      <c r="R370" s="165"/>
      <c r="S370" s="165"/>
      <c r="T370" s="165"/>
      <c r="U370" s="165"/>
      <c r="V370" s="165"/>
      <c r="W370" s="165"/>
      <c r="X370" s="165"/>
    </row>
    <row r="371" ht="18.75" customHeight="1">
      <c r="A371" s="165">
        <v>369.0</v>
      </c>
      <c r="B371" s="167" t="s">
        <v>15846</v>
      </c>
      <c r="C371" s="165"/>
      <c r="D371" s="165"/>
      <c r="E371" s="165"/>
      <c r="F371" s="165"/>
      <c r="G371" s="165"/>
      <c r="H371" s="165"/>
      <c r="I371" s="165"/>
      <c r="J371" s="165"/>
      <c r="K371" s="165"/>
      <c r="L371" s="165"/>
      <c r="M371" s="165"/>
      <c r="N371" s="165"/>
      <c r="O371" s="165"/>
      <c r="P371" s="165"/>
      <c r="Q371" s="165"/>
      <c r="R371" s="165"/>
      <c r="S371" s="165"/>
      <c r="T371" s="165"/>
      <c r="U371" s="165"/>
      <c r="V371" s="165"/>
      <c r="W371" s="165"/>
      <c r="X371" s="165"/>
    </row>
    <row r="372" ht="18.75" customHeight="1">
      <c r="A372" s="165">
        <v>370.0</v>
      </c>
      <c r="B372" s="167" t="s">
        <v>15847</v>
      </c>
      <c r="C372" s="165"/>
      <c r="D372" s="165"/>
      <c r="E372" s="165"/>
      <c r="F372" s="165"/>
      <c r="G372" s="165"/>
      <c r="H372" s="165"/>
      <c r="I372" s="165"/>
      <c r="J372" s="165"/>
      <c r="K372" s="165"/>
      <c r="L372" s="165"/>
      <c r="M372" s="165"/>
      <c r="N372" s="165"/>
      <c r="O372" s="165"/>
      <c r="P372" s="165"/>
      <c r="Q372" s="165"/>
      <c r="R372" s="165"/>
      <c r="S372" s="165"/>
      <c r="T372" s="165"/>
      <c r="U372" s="165"/>
      <c r="V372" s="165"/>
      <c r="W372" s="165"/>
      <c r="X372" s="165"/>
    </row>
    <row r="373" ht="18.75" customHeight="1">
      <c r="A373" s="165">
        <v>371.0</v>
      </c>
      <c r="B373" s="167" t="s">
        <v>15848</v>
      </c>
      <c r="C373" s="165"/>
      <c r="D373" s="165"/>
      <c r="E373" s="165"/>
      <c r="F373" s="165"/>
      <c r="G373" s="165"/>
      <c r="H373" s="165"/>
      <c r="I373" s="165"/>
      <c r="J373" s="165"/>
      <c r="K373" s="165"/>
      <c r="L373" s="165"/>
      <c r="M373" s="165"/>
      <c r="N373" s="165"/>
      <c r="O373" s="165"/>
      <c r="P373" s="165"/>
      <c r="Q373" s="165"/>
      <c r="R373" s="165"/>
      <c r="S373" s="165"/>
      <c r="T373" s="165"/>
      <c r="U373" s="165"/>
      <c r="V373" s="165"/>
      <c r="W373" s="165"/>
      <c r="X373" s="165"/>
    </row>
    <row r="374" ht="18.75" customHeight="1">
      <c r="A374" s="165">
        <v>372.0</v>
      </c>
      <c r="B374" s="168" t="s">
        <v>15849</v>
      </c>
      <c r="C374" s="165"/>
      <c r="D374" s="165"/>
      <c r="E374" s="165"/>
      <c r="F374" s="165"/>
      <c r="G374" s="165"/>
      <c r="H374" s="165"/>
      <c r="I374" s="165"/>
      <c r="J374" s="165"/>
      <c r="K374" s="165"/>
      <c r="L374" s="165"/>
      <c r="M374" s="165"/>
      <c r="N374" s="165"/>
      <c r="O374" s="165"/>
      <c r="P374" s="165"/>
      <c r="Q374" s="165"/>
      <c r="R374" s="165"/>
      <c r="S374" s="165"/>
      <c r="T374" s="165"/>
      <c r="U374" s="165"/>
      <c r="V374" s="165"/>
      <c r="W374" s="165"/>
      <c r="X374" s="165"/>
    </row>
    <row r="375" ht="18.75" customHeight="1">
      <c r="A375" s="165">
        <v>373.0</v>
      </c>
      <c r="B375" s="168" t="s">
        <v>15850</v>
      </c>
      <c r="C375" s="165"/>
      <c r="D375" s="165"/>
      <c r="E375" s="165"/>
      <c r="F375" s="165"/>
      <c r="G375" s="165"/>
      <c r="H375" s="165"/>
      <c r="I375" s="165"/>
      <c r="J375" s="165"/>
      <c r="K375" s="165"/>
      <c r="L375" s="165"/>
      <c r="M375" s="165"/>
      <c r="N375" s="165"/>
      <c r="O375" s="165"/>
      <c r="P375" s="165"/>
      <c r="Q375" s="165"/>
      <c r="R375" s="165"/>
      <c r="S375" s="165"/>
      <c r="T375" s="165"/>
      <c r="U375" s="165"/>
      <c r="V375" s="165"/>
      <c r="W375" s="165"/>
      <c r="X375" s="165"/>
    </row>
    <row r="376" ht="18.75" customHeight="1">
      <c r="A376" s="165">
        <v>374.0</v>
      </c>
      <c r="B376" s="168" t="s">
        <v>15851</v>
      </c>
      <c r="C376" s="165"/>
      <c r="D376" s="165"/>
      <c r="E376" s="165"/>
      <c r="F376" s="165"/>
      <c r="G376" s="165"/>
      <c r="H376" s="165"/>
      <c r="I376" s="165"/>
      <c r="J376" s="165"/>
      <c r="K376" s="165"/>
      <c r="L376" s="165"/>
      <c r="M376" s="165"/>
      <c r="N376" s="165"/>
      <c r="O376" s="165"/>
      <c r="P376" s="165"/>
      <c r="Q376" s="165"/>
      <c r="R376" s="165"/>
      <c r="S376" s="165"/>
      <c r="T376" s="165"/>
      <c r="U376" s="165"/>
      <c r="V376" s="165"/>
      <c r="W376" s="165"/>
      <c r="X376" s="165"/>
    </row>
    <row r="377" ht="18.75" customHeight="1">
      <c r="A377" s="165">
        <v>375.0</v>
      </c>
      <c r="B377" s="168" t="s">
        <v>15852</v>
      </c>
      <c r="C377" s="165"/>
      <c r="D377" s="165"/>
      <c r="E377" s="165"/>
      <c r="F377" s="165"/>
      <c r="G377" s="165"/>
      <c r="H377" s="165"/>
      <c r="I377" s="165"/>
      <c r="J377" s="165"/>
      <c r="K377" s="165"/>
      <c r="L377" s="165"/>
      <c r="M377" s="165"/>
      <c r="N377" s="165"/>
      <c r="O377" s="165"/>
      <c r="P377" s="165"/>
      <c r="Q377" s="165"/>
      <c r="R377" s="165"/>
      <c r="S377" s="165"/>
      <c r="T377" s="165"/>
      <c r="U377" s="165"/>
      <c r="V377" s="165"/>
      <c r="W377" s="165"/>
      <c r="X377" s="165"/>
    </row>
    <row r="378" ht="18.75" customHeight="1">
      <c r="A378" s="165">
        <v>376.0</v>
      </c>
      <c r="B378" s="168" t="s">
        <v>15853</v>
      </c>
      <c r="C378" s="165"/>
      <c r="D378" s="165"/>
      <c r="E378" s="165"/>
      <c r="F378" s="165"/>
      <c r="G378" s="165"/>
      <c r="H378" s="165"/>
      <c r="I378" s="165"/>
      <c r="J378" s="165"/>
      <c r="K378" s="165"/>
      <c r="L378" s="165"/>
      <c r="M378" s="165"/>
      <c r="N378" s="165"/>
      <c r="O378" s="165"/>
      <c r="P378" s="165"/>
      <c r="Q378" s="165"/>
      <c r="R378" s="165"/>
      <c r="S378" s="165"/>
      <c r="T378" s="165"/>
      <c r="U378" s="165"/>
      <c r="V378" s="165"/>
      <c r="W378" s="165"/>
      <c r="X378" s="165"/>
    </row>
    <row r="379" ht="18.75" customHeight="1">
      <c r="A379" s="165">
        <v>377.0</v>
      </c>
      <c r="B379" s="168" t="s">
        <v>15854</v>
      </c>
      <c r="C379" s="165"/>
      <c r="D379" s="165"/>
      <c r="E379" s="165"/>
      <c r="F379" s="165"/>
      <c r="G379" s="165"/>
      <c r="H379" s="165"/>
      <c r="I379" s="165"/>
      <c r="J379" s="165"/>
      <c r="K379" s="165"/>
      <c r="L379" s="165"/>
      <c r="M379" s="165"/>
      <c r="N379" s="165"/>
      <c r="O379" s="165"/>
      <c r="P379" s="165"/>
      <c r="Q379" s="165"/>
      <c r="R379" s="165"/>
      <c r="S379" s="165"/>
      <c r="T379" s="165"/>
      <c r="U379" s="165"/>
      <c r="V379" s="165"/>
      <c r="W379" s="165"/>
      <c r="X379" s="165"/>
    </row>
    <row r="380" ht="18.75" customHeight="1">
      <c r="A380" s="165">
        <v>378.0</v>
      </c>
      <c r="B380" s="168" t="s">
        <v>15855</v>
      </c>
      <c r="C380" s="165"/>
      <c r="D380" s="165"/>
      <c r="E380" s="165"/>
      <c r="F380" s="165"/>
      <c r="G380" s="165"/>
      <c r="H380" s="165"/>
      <c r="I380" s="165"/>
      <c r="J380" s="165"/>
      <c r="K380" s="165"/>
      <c r="L380" s="165"/>
      <c r="M380" s="165"/>
      <c r="N380" s="165"/>
      <c r="O380" s="165"/>
      <c r="P380" s="165"/>
      <c r="Q380" s="165"/>
      <c r="R380" s="165"/>
      <c r="S380" s="165"/>
      <c r="T380" s="165"/>
      <c r="U380" s="165"/>
      <c r="V380" s="165"/>
      <c r="W380" s="165"/>
      <c r="X380" s="165"/>
    </row>
    <row r="381" ht="18.75" customHeight="1">
      <c r="A381" s="165">
        <v>379.0</v>
      </c>
      <c r="B381" s="168" t="s">
        <v>15856</v>
      </c>
      <c r="C381" s="165"/>
      <c r="D381" s="165"/>
      <c r="E381" s="165"/>
      <c r="F381" s="165"/>
      <c r="G381" s="165"/>
      <c r="H381" s="165"/>
      <c r="I381" s="165"/>
      <c r="J381" s="165"/>
      <c r="K381" s="165"/>
      <c r="L381" s="165"/>
      <c r="M381" s="165"/>
      <c r="N381" s="165"/>
      <c r="O381" s="165"/>
      <c r="P381" s="165"/>
      <c r="Q381" s="165"/>
      <c r="R381" s="165"/>
      <c r="S381" s="165"/>
      <c r="T381" s="165"/>
      <c r="U381" s="165"/>
      <c r="V381" s="165"/>
      <c r="W381" s="165"/>
      <c r="X381" s="165"/>
    </row>
    <row r="382" ht="18.75" customHeight="1">
      <c r="A382" s="165">
        <v>380.0</v>
      </c>
      <c r="B382" s="168" t="s">
        <v>15857</v>
      </c>
      <c r="C382" s="165"/>
      <c r="D382" s="165"/>
      <c r="E382" s="165"/>
      <c r="F382" s="165"/>
      <c r="G382" s="165"/>
      <c r="H382" s="165"/>
      <c r="I382" s="165"/>
      <c r="J382" s="165"/>
      <c r="K382" s="165"/>
      <c r="L382" s="165"/>
      <c r="M382" s="165"/>
      <c r="N382" s="165"/>
      <c r="O382" s="165"/>
      <c r="P382" s="165"/>
      <c r="Q382" s="165"/>
      <c r="R382" s="165"/>
      <c r="S382" s="165"/>
      <c r="T382" s="165"/>
      <c r="U382" s="165"/>
      <c r="V382" s="165"/>
      <c r="W382" s="165"/>
      <c r="X382" s="165"/>
    </row>
    <row r="383" ht="18.75" customHeight="1">
      <c r="A383" s="165">
        <v>381.0</v>
      </c>
      <c r="B383" s="168" t="s">
        <v>15858</v>
      </c>
      <c r="C383" s="165"/>
      <c r="D383" s="165"/>
      <c r="E383" s="165"/>
      <c r="F383" s="165"/>
      <c r="G383" s="165"/>
      <c r="H383" s="165"/>
      <c r="I383" s="165"/>
      <c r="J383" s="165"/>
      <c r="K383" s="165"/>
      <c r="L383" s="165"/>
      <c r="M383" s="165"/>
      <c r="N383" s="165"/>
      <c r="O383" s="165"/>
      <c r="P383" s="165"/>
      <c r="Q383" s="165"/>
      <c r="R383" s="165"/>
      <c r="S383" s="165"/>
      <c r="T383" s="165"/>
      <c r="U383" s="165"/>
      <c r="V383" s="165"/>
      <c r="W383" s="165"/>
      <c r="X383" s="165"/>
    </row>
    <row r="384" ht="18.75" customHeight="1">
      <c r="A384" s="165">
        <v>382.0</v>
      </c>
      <c r="B384" s="168" t="s">
        <v>15710</v>
      </c>
      <c r="C384" s="165"/>
      <c r="D384" s="165"/>
      <c r="E384" s="165"/>
      <c r="F384" s="165"/>
      <c r="G384" s="165"/>
      <c r="H384" s="165"/>
      <c r="I384" s="165"/>
      <c r="J384" s="165"/>
      <c r="K384" s="165"/>
      <c r="L384" s="165"/>
      <c r="M384" s="165"/>
      <c r="N384" s="165"/>
      <c r="O384" s="165"/>
      <c r="P384" s="165"/>
      <c r="Q384" s="165"/>
      <c r="R384" s="165"/>
      <c r="S384" s="165"/>
      <c r="T384" s="165"/>
      <c r="U384" s="165"/>
      <c r="V384" s="165"/>
      <c r="W384" s="165"/>
      <c r="X384" s="165"/>
    </row>
    <row r="385" ht="18.75" customHeight="1">
      <c r="A385" s="165">
        <v>383.0</v>
      </c>
      <c r="B385" s="168" t="s">
        <v>15859</v>
      </c>
      <c r="C385" s="165"/>
      <c r="D385" s="165"/>
      <c r="E385" s="165"/>
      <c r="F385" s="165"/>
      <c r="G385" s="165"/>
      <c r="H385" s="165"/>
      <c r="I385" s="165"/>
      <c r="J385" s="165"/>
      <c r="K385" s="165"/>
      <c r="L385" s="165"/>
      <c r="M385" s="165"/>
      <c r="N385" s="165"/>
      <c r="O385" s="165"/>
      <c r="P385" s="165"/>
      <c r="Q385" s="165"/>
      <c r="R385" s="165"/>
      <c r="S385" s="165"/>
      <c r="T385" s="165"/>
      <c r="U385" s="165"/>
      <c r="V385" s="165"/>
      <c r="W385" s="165"/>
      <c r="X385" s="165"/>
    </row>
    <row r="386" ht="18.75" customHeight="1">
      <c r="A386" s="165">
        <v>384.0</v>
      </c>
      <c r="B386" s="168" t="s">
        <v>15860</v>
      </c>
      <c r="C386" s="165"/>
      <c r="D386" s="165"/>
      <c r="E386" s="165"/>
      <c r="F386" s="165"/>
      <c r="G386" s="165"/>
      <c r="H386" s="165"/>
      <c r="I386" s="165"/>
      <c r="J386" s="165"/>
      <c r="K386" s="165"/>
      <c r="L386" s="165"/>
      <c r="M386" s="165"/>
      <c r="N386" s="165"/>
      <c r="O386" s="165"/>
      <c r="P386" s="165"/>
      <c r="Q386" s="165"/>
      <c r="R386" s="165"/>
      <c r="S386" s="165"/>
      <c r="T386" s="165"/>
      <c r="U386" s="165"/>
      <c r="V386" s="165"/>
      <c r="W386" s="165"/>
      <c r="X386" s="165"/>
    </row>
    <row r="387" ht="18.75" customHeight="1">
      <c r="A387" s="165">
        <v>385.0</v>
      </c>
      <c r="B387" s="168" t="s">
        <v>15861</v>
      </c>
      <c r="C387" s="165"/>
      <c r="D387" s="165"/>
      <c r="E387" s="165"/>
      <c r="F387" s="165"/>
      <c r="G387" s="165"/>
      <c r="H387" s="165"/>
      <c r="I387" s="165"/>
      <c r="J387" s="165"/>
      <c r="K387" s="165"/>
      <c r="L387" s="165"/>
      <c r="M387" s="165"/>
      <c r="N387" s="165"/>
      <c r="O387" s="165"/>
      <c r="P387" s="165"/>
      <c r="Q387" s="165"/>
      <c r="R387" s="165"/>
      <c r="S387" s="165"/>
      <c r="T387" s="165"/>
      <c r="U387" s="165"/>
      <c r="V387" s="165"/>
      <c r="W387" s="165"/>
      <c r="X387" s="165"/>
    </row>
    <row r="388" ht="18.75" customHeight="1">
      <c r="A388" s="165">
        <v>386.0</v>
      </c>
      <c r="B388" s="168" t="s">
        <v>15862</v>
      </c>
      <c r="C388" s="165"/>
      <c r="D388" s="165"/>
      <c r="E388" s="165"/>
      <c r="F388" s="165"/>
      <c r="G388" s="165"/>
      <c r="H388" s="165"/>
      <c r="I388" s="165"/>
      <c r="J388" s="165"/>
      <c r="K388" s="165"/>
      <c r="L388" s="165"/>
      <c r="M388" s="165"/>
      <c r="N388" s="165"/>
      <c r="O388" s="165"/>
      <c r="P388" s="165"/>
      <c r="Q388" s="165"/>
      <c r="R388" s="165"/>
      <c r="S388" s="165"/>
      <c r="T388" s="165"/>
      <c r="U388" s="165"/>
      <c r="V388" s="165"/>
      <c r="W388" s="165"/>
      <c r="X388" s="165"/>
    </row>
    <row r="389" ht="18.75" customHeight="1">
      <c r="A389" s="165">
        <v>387.0</v>
      </c>
      <c r="B389" s="168" t="s">
        <v>15863</v>
      </c>
      <c r="C389" s="165"/>
      <c r="D389" s="165"/>
      <c r="E389" s="165"/>
      <c r="F389" s="165"/>
      <c r="G389" s="165"/>
      <c r="H389" s="165"/>
      <c r="I389" s="165"/>
      <c r="J389" s="165"/>
      <c r="K389" s="165"/>
      <c r="L389" s="165"/>
      <c r="M389" s="165"/>
      <c r="N389" s="165"/>
      <c r="O389" s="165"/>
      <c r="P389" s="165"/>
      <c r="Q389" s="165"/>
      <c r="R389" s="165"/>
      <c r="S389" s="165"/>
      <c r="T389" s="165"/>
      <c r="U389" s="165"/>
      <c r="V389" s="165"/>
      <c r="W389" s="165"/>
      <c r="X389" s="165"/>
    </row>
    <row r="390" ht="18.75" customHeight="1">
      <c r="A390" s="165">
        <v>388.0</v>
      </c>
      <c r="B390" s="167" t="s">
        <v>15864</v>
      </c>
      <c r="C390" s="165"/>
      <c r="D390" s="165"/>
      <c r="E390" s="165"/>
      <c r="F390" s="165"/>
      <c r="G390" s="165"/>
      <c r="H390" s="165"/>
      <c r="I390" s="165"/>
      <c r="J390" s="165"/>
      <c r="K390" s="165"/>
      <c r="L390" s="165"/>
      <c r="M390" s="165"/>
      <c r="N390" s="165"/>
      <c r="O390" s="165"/>
      <c r="P390" s="165"/>
      <c r="Q390" s="165"/>
      <c r="R390" s="165"/>
      <c r="S390" s="165"/>
      <c r="T390" s="165"/>
      <c r="U390" s="165"/>
      <c r="V390" s="165"/>
      <c r="W390" s="165"/>
      <c r="X390" s="165"/>
    </row>
    <row r="391" ht="18.75" customHeight="1">
      <c r="A391" s="165">
        <v>389.0</v>
      </c>
      <c r="B391" s="168" t="s">
        <v>15865</v>
      </c>
      <c r="C391" s="165"/>
      <c r="D391" s="165"/>
      <c r="E391" s="165"/>
      <c r="F391" s="165"/>
      <c r="G391" s="165"/>
      <c r="H391" s="165"/>
      <c r="I391" s="165"/>
      <c r="J391" s="165"/>
      <c r="K391" s="165"/>
      <c r="L391" s="165"/>
      <c r="M391" s="165"/>
      <c r="N391" s="165"/>
      <c r="O391" s="165"/>
      <c r="P391" s="165"/>
      <c r="Q391" s="165"/>
      <c r="R391" s="165"/>
      <c r="S391" s="165"/>
      <c r="T391" s="165"/>
      <c r="U391" s="165"/>
      <c r="V391" s="165"/>
      <c r="W391" s="165"/>
      <c r="X391" s="165"/>
    </row>
    <row r="392" ht="18.75" customHeight="1">
      <c r="A392" s="165">
        <v>390.0</v>
      </c>
      <c r="B392" s="168" t="s">
        <v>15866</v>
      </c>
      <c r="C392" s="165"/>
      <c r="D392" s="165"/>
      <c r="E392" s="165"/>
      <c r="F392" s="165"/>
      <c r="G392" s="165"/>
      <c r="H392" s="165"/>
      <c r="I392" s="165"/>
      <c r="J392" s="165"/>
      <c r="K392" s="165"/>
      <c r="L392" s="165"/>
      <c r="M392" s="165"/>
      <c r="N392" s="165"/>
      <c r="O392" s="165"/>
      <c r="P392" s="165"/>
      <c r="Q392" s="165"/>
      <c r="R392" s="165"/>
      <c r="S392" s="165"/>
      <c r="T392" s="165"/>
      <c r="U392" s="165"/>
      <c r="V392" s="165"/>
      <c r="W392" s="165"/>
      <c r="X392" s="165"/>
    </row>
    <row r="393" ht="18.75" customHeight="1">
      <c r="A393" s="165">
        <v>391.0</v>
      </c>
      <c r="B393" s="168" t="s">
        <v>15867</v>
      </c>
      <c r="C393" s="165"/>
      <c r="D393" s="165"/>
      <c r="E393" s="165"/>
      <c r="F393" s="165"/>
      <c r="G393" s="165"/>
      <c r="H393" s="165"/>
      <c r="I393" s="165"/>
      <c r="J393" s="165"/>
      <c r="K393" s="165"/>
      <c r="L393" s="165"/>
      <c r="M393" s="165"/>
      <c r="N393" s="165"/>
      <c r="O393" s="165"/>
      <c r="P393" s="165"/>
      <c r="Q393" s="165"/>
      <c r="R393" s="165"/>
      <c r="S393" s="165"/>
      <c r="T393" s="165"/>
      <c r="U393" s="165"/>
      <c r="V393" s="165"/>
      <c r="W393" s="165"/>
      <c r="X393" s="165"/>
    </row>
    <row r="394" ht="18.75" customHeight="1">
      <c r="A394" s="165">
        <v>392.0</v>
      </c>
      <c r="B394" s="168" t="s">
        <v>15868</v>
      </c>
      <c r="C394" s="165"/>
      <c r="D394" s="165"/>
      <c r="E394" s="165"/>
      <c r="F394" s="165"/>
      <c r="G394" s="165"/>
      <c r="H394" s="165"/>
      <c r="I394" s="165"/>
      <c r="J394" s="165"/>
      <c r="K394" s="165"/>
      <c r="L394" s="165"/>
      <c r="M394" s="165"/>
      <c r="N394" s="165"/>
      <c r="O394" s="165"/>
      <c r="P394" s="165"/>
      <c r="Q394" s="165"/>
      <c r="R394" s="165"/>
      <c r="S394" s="165"/>
      <c r="T394" s="165"/>
      <c r="U394" s="165"/>
      <c r="V394" s="165"/>
      <c r="W394" s="165"/>
      <c r="X394" s="165"/>
    </row>
    <row r="395" ht="18.75" customHeight="1">
      <c r="A395" s="165">
        <v>393.0</v>
      </c>
      <c r="B395" s="168" t="s">
        <v>15869</v>
      </c>
      <c r="C395" s="165"/>
      <c r="D395" s="165"/>
      <c r="E395" s="165"/>
      <c r="F395" s="165"/>
      <c r="G395" s="165"/>
      <c r="H395" s="165"/>
      <c r="I395" s="165"/>
      <c r="J395" s="165"/>
      <c r="K395" s="165"/>
      <c r="L395" s="165"/>
      <c r="M395" s="165"/>
      <c r="N395" s="165"/>
      <c r="O395" s="165"/>
      <c r="P395" s="165"/>
      <c r="Q395" s="165"/>
      <c r="R395" s="165"/>
      <c r="S395" s="165"/>
      <c r="T395" s="165"/>
      <c r="U395" s="165"/>
      <c r="V395" s="165"/>
      <c r="W395" s="165"/>
      <c r="X395" s="165"/>
    </row>
    <row r="396" ht="18.75" customHeight="1">
      <c r="A396" s="165">
        <v>394.0</v>
      </c>
      <c r="B396" s="168" t="s">
        <v>15870</v>
      </c>
      <c r="C396" s="165"/>
      <c r="D396" s="165"/>
      <c r="E396" s="165"/>
      <c r="F396" s="165"/>
      <c r="G396" s="165"/>
      <c r="H396" s="165"/>
      <c r="I396" s="165"/>
      <c r="J396" s="165"/>
      <c r="K396" s="165"/>
      <c r="L396" s="165"/>
      <c r="M396" s="165"/>
      <c r="N396" s="165"/>
      <c r="O396" s="165"/>
      <c r="P396" s="165"/>
      <c r="Q396" s="165"/>
      <c r="R396" s="165"/>
      <c r="S396" s="165"/>
      <c r="T396" s="165"/>
      <c r="U396" s="165"/>
      <c r="V396" s="165"/>
      <c r="W396" s="165"/>
      <c r="X396" s="165"/>
    </row>
    <row r="397" ht="18.75" customHeight="1">
      <c r="A397" s="165">
        <v>395.0</v>
      </c>
      <c r="B397" s="168" t="s">
        <v>15871</v>
      </c>
      <c r="C397" s="165"/>
      <c r="D397" s="165"/>
      <c r="E397" s="165"/>
      <c r="F397" s="165"/>
      <c r="G397" s="165"/>
      <c r="H397" s="165"/>
      <c r="I397" s="165"/>
      <c r="J397" s="165"/>
      <c r="K397" s="165"/>
      <c r="L397" s="165"/>
      <c r="M397" s="165"/>
      <c r="N397" s="165"/>
      <c r="O397" s="165"/>
      <c r="P397" s="165"/>
      <c r="Q397" s="165"/>
      <c r="R397" s="165"/>
      <c r="S397" s="165"/>
      <c r="T397" s="165"/>
      <c r="U397" s="165"/>
      <c r="V397" s="165"/>
      <c r="W397" s="165"/>
      <c r="X397" s="165"/>
    </row>
    <row r="398" ht="18.75" customHeight="1">
      <c r="A398" s="165">
        <v>396.0</v>
      </c>
      <c r="B398" s="168" t="s">
        <v>15872</v>
      </c>
      <c r="C398" s="165"/>
      <c r="D398" s="165"/>
      <c r="E398" s="165"/>
      <c r="F398" s="165"/>
      <c r="G398" s="165"/>
      <c r="H398" s="165"/>
      <c r="I398" s="165"/>
      <c r="J398" s="165"/>
      <c r="K398" s="165"/>
      <c r="L398" s="165"/>
      <c r="M398" s="165"/>
      <c r="N398" s="165"/>
      <c r="O398" s="165"/>
      <c r="P398" s="165"/>
      <c r="Q398" s="165"/>
      <c r="R398" s="165"/>
      <c r="S398" s="165"/>
      <c r="T398" s="165"/>
      <c r="U398" s="165"/>
      <c r="V398" s="165"/>
      <c r="W398" s="165"/>
      <c r="X398" s="165"/>
    </row>
    <row r="399" ht="18.75" customHeight="1">
      <c r="A399" s="165">
        <v>397.0</v>
      </c>
      <c r="B399" s="168" t="s">
        <v>15873</v>
      </c>
      <c r="C399" s="165"/>
      <c r="D399" s="165"/>
      <c r="E399" s="165"/>
      <c r="F399" s="165"/>
      <c r="G399" s="165"/>
      <c r="H399" s="165"/>
      <c r="I399" s="165"/>
      <c r="J399" s="165"/>
      <c r="K399" s="165"/>
      <c r="L399" s="165"/>
      <c r="M399" s="165"/>
      <c r="N399" s="165"/>
      <c r="O399" s="165"/>
      <c r="P399" s="165"/>
      <c r="Q399" s="165"/>
      <c r="R399" s="165"/>
      <c r="S399" s="165"/>
      <c r="T399" s="165"/>
      <c r="U399" s="165"/>
      <c r="V399" s="165"/>
      <c r="W399" s="165"/>
      <c r="X399" s="165"/>
    </row>
    <row r="400" ht="18.75" customHeight="1">
      <c r="A400" s="165">
        <v>398.0</v>
      </c>
      <c r="B400" s="168" t="s">
        <v>15874</v>
      </c>
      <c r="C400" s="165"/>
      <c r="D400" s="165"/>
      <c r="E400" s="165"/>
      <c r="F400" s="165"/>
      <c r="G400" s="165"/>
      <c r="H400" s="165"/>
      <c r="I400" s="165"/>
      <c r="J400" s="165"/>
      <c r="K400" s="165"/>
      <c r="L400" s="165"/>
      <c r="M400" s="165"/>
      <c r="N400" s="165"/>
      <c r="O400" s="165"/>
      <c r="P400" s="165"/>
      <c r="Q400" s="165"/>
      <c r="R400" s="165"/>
      <c r="S400" s="165"/>
      <c r="T400" s="165"/>
      <c r="U400" s="165"/>
      <c r="V400" s="165"/>
      <c r="W400" s="165"/>
      <c r="X400" s="165"/>
    </row>
    <row r="401" ht="18.75" customHeight="1">
      <c r="A401" s="165">
        <v>399.0</v>
      </c>
      <c r="B401" s="168" t="s">
        <v>15875</v>
      </c>
      <c r="C401" s="165"/>
      <c r="D401" s="165"/>
      <c r="E401" s="165"/>
      <c r="F401" s="165"/>
      <c r="G401" s="165"/>
      <c r="H401" s="165"/>
      <c r="I401" s="165"/>
      <c r="J401" s="165"/>
      <c r="K401" s="165"/>
      <c r="L401" s="165"/>
      <c r="M401" s="165"/>
      <c r="N401" s="165"/>
      <c r="O401" s="165"/>
      <c r="P401" s="165"/>
      <c r="Q401" s="165"/>
      <c r="R401" s="165"/>
      <c r="S401" s="165"/>
      <c r="T401" s="165"/>
      <c r="U401" s="165"/>
      <c r="V401" s="165"/>
      <c r="W401" s="165"/>
      <c r="X401" s="165"/>
    </row>
    <row r="402" ht="18.75" customHeight="1">
      <c r="A402" s="165">
        <v>400.0</v>
      </c>
      <c r="B402" s="168" t="s">
        <v>15876</v>
      </c>
      <c r="C402" s="165"/>
      <c r="D402" s="165"/>
      <c r="E402" s="165"/>
      <c r="F402" s="165"/>
      <c r="G402" s="165"/>
      <c r="H402" s="165"/>
      <c r="I402" s="165"/>
      <c r="J402" s="165"/>
      <c r="K402" s="165"/>
      <c r="L402" s="165"/>
      <c r="M402" s="165"/>
      <c r="N402" s="165"/>
      <c r="O402" s="165"/>
      <c r="P402" s="165"/>
      <c r="Q402" s="165"/>
      <c r="R402" s="165"/>
      <c r="S402" s="165"/>
      <c r="T402" s="165"/>
      <c r="U402" s="165"/>
      <c r="V402" s="165"/>
      <c r="W402" s="165"/>
      <c r="X402" s="165"/>
    </row>
    <row r="403" ht="18.75" customHeight="1">
      <c r="A403" s="165">
        <v>401.0</v>
      </c>
      <c r="B403" s="168" t="s">
        <v>15877</v>
      </c>
      <c r="C403" s="165"/>
      <c r="D403" s="165"/>
      <c r="E403" s="165"/>
      <c r="F403" s="165"/>
      <c r="G403" s="165"/>
      <c r="H403" s="165"/>
      <c r="I403" s="165"/>
      <c r="J403" s="165"/>
      <c r="K403" s="165"/>
      <c r="L403" s="165"/>
      <c r="M403" s="165"/>
      <c r="N403" s="165"/>
      <c r="O403" s="165"/>
      <c r="P403" s="165"/>
      <c r="Q403" s="165"/>
      <c r="R403" s="165"/>
      <c r="S403" s="165"/>
      <c r="T403" s="165"/>
      <c r="U403" s="165"/>
      <c r="V403" s="165"/>
      <c r="W403" s="165"/>
      <c r="X403" s="165"/>
    </row>
    <row r="404" ht="18.75" customHeight="1">
      <c r="A404" s="165">
        <v>402.0</v>
      </c>
      <c r="B404" s="168" t="s">
        <v>15878</v>
      </c>
      <c r="C404" s="165"/>
      <c r="D404" s="165"/>
      <c r="E404" s="165"/>
      <c r="F404" s="165"/>
      <c r="G404" s="165"/>
      <c r="H404" s="165"/>
      <c r="I404" s="165"/>
      <c r="J404" s="165"/>
      <c r="K404" s="165"/>
      <c r="L404" s="165"/>
      <c r="M404" s="165"/>
      <c r="N404" s="165"/>
      <c r="O404" s="165"/>
      <c r="P404" s="165"/>
      <c r="Q404" s="165"/>
      <c r="R404" s="165"/>
      <c r="S404" s="165"/>
      <c r="T404" s="165"/>
      <c r="U404" s="165"/>
      <c r="V404" s="165"/>
      <c r="W404" s="165"/>
      <c r="X404" s="165"/>
    </row>
    <row r="405" ht="18.75" customHeight="1">
      <c r="A405" s="165">
        <v>403.0</v>
      </c>
      <c r="B405" s="168" t="s">
        <v>15879</v>
      </c>
      <c r="C405" s="165"/>
      <c r="D405" s="165"/>
      <c r="E405" s="165"/>
      <c r="F405" s="165"/>
      <c r="G405" s="165"/>
      <c r="H405" s="165"/>
      <c r="I405" s="165"/>
      <c r="J405" s="165"/>
      <c r="K405" s="165"/>
      <c r="L405" s="165"/>
      <c r="M405" s="165"/>
      <c r="N405" s="165"/>
      <c r="O405" s="165"/>
      <c r="P405" s="165"/>
      <c r="Q405" s="165"/>
      <c r="R405" s="165"/>
      <c r="S405" s="165"/>
      <c r="T405" s="165"/>
      <c r="U405" s="165"/>
      <c r="V405" s="165"/>
      <c r="W405" s="165"/>
      <c r="X405" s="165"/>
    </row>
    <row r="406" ht="18.75" customHeight="1">
      <c r="A406" s="165">
        <v>404.0</v>
      </c>
      <c r="B406" s="168" t="s">
        <v>15880</v>
      </c>
      <c r="C406" s="165"/>
      <c r="D406" s="165"/>
      <c r="E406" s="165"/>
      <c r="F406" s="165"/>
      <c r="G406" s="165"/>
      <c r="H406" s="165"/>
      <c r="I406" s="165"/>
      <c r="J406" s="165"/>
      <c r="K406" s="165"/>
      <c r="L406" s="165"/>
      <c r="M406" s="165"/>
      <c r="N406" s="165"/>
      <c r="O406" s="165"/>
      <c r="P406" s="165"/>
      <c r="Q406" s="165"/>
      <c r="R406" s="165"/>
      <c r="S406" s="165"/>
      <c r="T406" s="165"/>
      <c r="U406" s="165"/>
      <c r="V406" s="165"/>
      <c r="W406" s="165"/>
      <c r="X406" s="165"/>
    </row>
    <row r="407" ht="18.75" customHeight="1">
      <c r="A407" s="165">
        <v>405.0</v>
      </c>
      <c r="B407" s="168" t="s">
        <v>15881</v>
      </c>
      <c r="C407" s="165"/>
      <c r="D407" s="165"/>
      <c r="E407" s="165"/>
      <c r="F407" s="165"/>
      <c r="G407" s="165"/>
      <c r="H407" s="165"/>
      <c r="I407" s="165"/>
      <c r="J407" s="165"/>
      <c r="K407" s="165"/>
      <c r="L407" s="165"/>
      <c r="M407" s="165"/>
      <c r="N407" s="165"/>
      <c r="O407" s="165"/>
      <c r="P407" s="165"/>
      <c r="Q407" s="165"/>
      <c r="R407" s="165"/>
      <c r="S407" s="165"/>
      <c r="T407" s="165"/>
      <c r="U407" s="165"/>
      <c r="V407" s="165"/>
      <c r="W407" s="165"/>
      <c r="X407" s="165"/>
    </row>
    <row r="408" ht="18.75" customHeight="1">
      <c r="A408" s="165">
        <v>406.0</v>
      </c>
      <c r="B408" s="168" t="s">
        <v>15882</v>
      </c>
      <c r="C408" s="165"/>
      <c r="D408" s="165"/>
      <c r="E408" s="165"/>
      <c r="F408" s="165"/>
      <c r="G408" s="165"/>
      <c r="H408" s="165"/>
      <c r="I408" s="165"/>
      <c r="J408" s="165"/>
      <c r="K408" s="165"/>
      <c r="L408" s="165"/>
      <c r="M408" s="165"/>
      <c r="N408" s="165"/>
      <c r="O408" s="165"/>
      <c r="P408" s="165"/>
      <c r="Q408" s="165"/>
      <c r="R408" s="165"/>
      <c r="S408" s="165"/>
      <c r="T408" s="165"/>
      <c r="U408" s="165"/>
      <c r="V408" s="165"/>
      <c r="W408" s="165"/>
      <c r="X408" s="165"/>
    </row>
    <row r="409" ht="18.75" customHeight="1">
      <c r="A409" s="165">
        <v>407.0</v>
      </c>
      <c r="B409" s="168" t="s">
        <v>15883</v>
      </c>
      <c r="C409" s="165"/>
      <c r="D409" s="165"/>
      <c r="E409" s="165"/>
      <c r="F409" s="165"/>
      <c r="G409" s="165"/>
      <c r="H409" s="165"/>
      <c r="I409" s="165"/>
      <c r="J409" s="165"/>
      <c r="K409" s="165"/>
      <c r="L409" s="165"/>
      <c r="M409" s="165"/>
      <c r="N409" s="165"/>
      <c r="O409" s="165"/>
      <c r="P409" s="165"/>
      <c r="Q409" s="165"/>
      <c r="R409" s="165"/>
      <c r="S409" s="165"/>
      <c r="T409" s="165"/>
      <c r="U409" s="165"/>
      <c r="V409" s="165"/>
      <c r="W409" s="165"/>
      <c r="X409" s="165"/>
    </row>
    <row r="410" ht="18.75" customHeight="1">
      <c r="A410" s="165">
        <v>408.0</v>
      </c>
      <c r="B410" s="168" t="s">
        <v>15884</v>
      </c>
      <c r="C410" s="165"/>
      <c r="D410" s="165"/>
      <c r="E410" s="165"/>
      <c r="F410" s="165"/>
      <c r="G410" s="165"/>
      <c r="H410" s="165"/>
      <c r="I410" s="165"/>
      <c r="J410" s="165"/>
      <c r="K410" s="165"/>
      <c r="L410" s="165"/>
      <c r="M410" s="165"/>
      <c r="N410" s="165"/>
      <c r="O410" s="165"/>
      <c r="P410" s="165"/>
      <c r="Q410" s="165"/>
      <c r="R410" s="165"/>
      <c r="S410" s="165"/>
      <c r="T410" s="165"/>
      <c r="U410" s="165"/>
      <c r="V410" s="165"/>
      <c r="W410" s="165"/>
      <c r="X410" s="165"/>
    </row>
    <row r="411" ht="18.75" customHeight="1">
      <c r="A411" s="165">
        <v>409.0</v>
      </c>
      <c r="B411" s="168" t="s">
        <v>15885</v>
      </c>
      <c r="C411" s="165"/>
      <c r="D411" s="165"/>
      <c r="E411" s="165"/>
      <c r="F411" s="165"/>
      <c r="G411" s="165"/>
      <c r="H411" s="165"/>
      <c r="I411" s="165"/>
      <c r="J411" s="165"/>
      <c r="K411" s="165"/>
      <c r="L411" s="165"/>
      <c r="M411" s="165"/>
      <c r="N411" s="165"/>
      <c r="O411" s="165"/>
      <c r="P411" s="165"/>
      <c r="Q411" s="165"/>
      <c r="R411" s="165"/>
      <c r="S411" s="165"/>
      <c r="T411" s="165"/>
      <c r="U411" s="165"/>
      <c r="V411" s="165"/>
      <c r="W411" s="165"/>
      <c r="X411" s="165"/>
    </row>
    <row r="412" ht="18.75" customHeight="1">
      <c r="A412" s="165">
        <v>410.0</v>
      </c>
      <c r="B412" s="168" t="s">
        <v>15886</v>
      </c>
      <c r="C412" s="165"/>
      <c r="D412" s="165"/>
      <c r="E412" s="165"/>
      <c r="F412" s="165"/>
      <c r="G412" s="165"/>
      <c r="H412" s="165"/>
      <c r="I412" s="165"/>
      <c r="J412" s="165"/>
      <c r="K412" s="165"/>
      <c r="L412" s="165"/>
      <c r="M412" s="165"/>
      <c r="N412" s="165"/>
      <c r="O412" s="165"/>
      <c r="P412" s="165"/>
      <c r="Q412" s="165"/>
      <c r="R412" s="165"/>
      <c r="S412" s="165"/>
      <c r="T412" s="165"/>
      <c r="U412" s="165"/>
      <c r="V412" s="165"/>
      <c r="W412" s="165"/>
      <c r="X412" s="165"/>
    </row>
    <row r="413" ht="18.75" customHeight="1">
      <c r="A413" s="165">
        <v>411.0</v>
      </c>
      <c r="B413" s="168" t="s">
        <v>15887</v>
      </c>
      <c r="C413" s="165"/>
      <c r="D413" s="165"/>
      <c r="E413" s="165"/>
      <c r="F413" s="165"/>
      <c r="G413" s="165"/>
      <c r="H413" s="165"/>
      <c r="I413" s="165"/>
      <c r="J413" s="165"/>
      <c r="K413" s="165"/>
      <c r="L413" s="165"/>
      <c r="M413" s="165"/>
      <c r="N413" s="165"/>
      <c r="O413" s="165"/>
      <c r="P413" s="165"/>
      <c r="Q413" s="165"/>
      <c r="R413" s="165"/>
      <c r="S413" s="165"/>
      <c r="T413" s="165"/>
      <c r="U413" s="165"/>
      <c r="V413" s="165"/>
      <c r="W413" s="165"/>
      <c r="X413" s="165"/>
    </row>
    <row r="414" ht="18.75" customHeight="1">
      <c r="A414" s="165">
        <v>412.0</v>
      </c>
      <c r="B414" s="168" t="s">
        <v>15888</v>
      </c>
      <c r="C414" s="165"/>
      <c r="D414" s="165"/>
      <c r="E414" s="165"/>
      <c r="F414" s="165"/>
      <c r="G414" s="165"/>
      <c r="H414" s="165"/>
      <c r="I414" s="165"/>
      <c r="J414" s="165"/>
      <c r="K414" s="165"/>
      <c r="L414" s="165"/>
      <c r="M414" s="165"/>
      <c r="N414" s="165"/>
      <c r="O414" s="165"/>
      <c r="P414" s="165"/>
      <c r="Q414" s="165"/>
      <c r="R414" s="165"/>
      <c r="S414" s="165"/>
      <c r="T414" s="165"/>
      <c r="U414" s="165"/>
      <c r="V414" s="165"/>
      <c r="W414" s="165"/>
      <c r="X414" s="165"/>
    </row>
    <row r="415" ht="18.75" customHeight="1">
      <c r="A415" s="165">
        <v>413.0</v>
      </c>
      <c r="B415" s="171" t="s">
        <v>15889</v>
      </c>
      <c r="C415" s="165"/>
      <c r="D415" s="165"/>
      <c r="E415" s="165"/>
      <c r="F415" s="165"/>
      <c r="G415" s="165"/>
      <c r="H415" s="165"/>
      <c r="I415" s="165"/>
      <c r="J415" s="165"/>
      <c r="K415" s="165"/>
      <c r="L415" s="165"/>
      <c r="M415" s="165"/>
      <c r="N415" s="165"/>
      <c r="O415" s="165"/>
      <c r="P415" s="165"/>
      <c r="Q415" s="165"/>
      <c r="R415" s="165"/>
      <c r="S415" s="165"/>
      <c r="T415" s="165"/>
      <c r="U415" s="165"/>
      <c r="V415" s="165"/>
      <c r="W415" s="165"/>
      <c r="X415" s="165"/>
    </row>
    <row r="416" ht="18.75" customHeight="1">
      <c r="A416" s="165">
        <v>414.0</v>
      </c>
      <c r="B416" s="171" t="s">
        <v>15890</v>
      </c>
      <c r="C416" s="165"/>
      <c r="D416" s="165"/>
      <c r="E416" s="165"/>
      <c r="F416" s="165"/>
      <c r="G416" s="165"/>
      <c r="H416" s="165"/>
      <c r="I416" s="165"/>
      <c r="J416" s="165"/>
      <c r="K416" s="165"/>
      <c r="L416" s="165"/>
      <c r="M416" s="165"/>
      <c r="N416" s="165"/>
      <c r="O416" s="165"/>
      <c r="P416" s="165"/>
      <c r="Q416" s="165"/>
      <c r="R416" s="165"/>
      <c r="S416" s="165"/>
      <c r="T416" s="165"/>
      <c r="U416" s="165"/>
      <c r="V416" s="165"/>
      <c r="W416" s="165"/>
      <c r="X416" s="165"/>
    </row>
    <row r="417" ht="18.75" customHeight="1">
      <c r="A417" s="165">
        <v>415.0</v>
      </c>
      <c r="B417" s="171" t="s">
        <v>15891</v>
      </c>
      <c r="C417" s="165"/>
      <c r="D417" s="165"/>
      <c r="E417" s="165"/>
      <c r="F417" s="165"/>
      <c r="G417" s="165"/>
      <c r="H417" s="165"/>
      <c r="I417" s="165"/>
      <c r="J417" s="165"/>
      <c r="K417" s="165"/>
      <c r="L417" s="165"/>
      <c r="M417" s="165"/>
      <c r="N417" s="165"/>
      <c r="O417" s="165"/>
      <c r="P417" s="165"/>
      <c r="Q417" s="165"/>
      <c r="R417" s="165"/>
      <c r="S417" s="165"/>
      <c r="T417" s="165"/>
      <c r="U417" s="165"/>
      <c r="V417" s="165"/>
      <c r="W417" s="165"/>
      <c r="X417" s="165"/>
    </row>
    <row r="418" ht="18.75" customHeight="1">
      <c r="A418" s="165">
        <v>416.0</v>
      </c>
      <c r="B418" s="172" t="s">
        <v>15892</v>
      </c>
      <c r="C418" s="165"/>
      <c r="D418" s="165"/>
      <c r="E418" s="165"/>
      <c r="F418" s="165"/>
      <c r="G418" s="165"/>
      <c r="H418" s="165"/>
      <c r="I418" s="165"/>
      <c r="J418" s="165"/>
      <c r="K418" s="165"/>
      <c r="L418" s="165"/>
      <c r="M418" s="165"/>
      <c r="N418" s="165"/>
      <c r="O418" s="165"/>
      <c r="P418" s="165"/>
      <c r="Q418" s="165"/>
      <c r="R418" s="165"/>
      <c r="S418" s="165"/>
      <c r="T418" s="165"/>
      <c r="U418" s="165"/>
      <c r="V418" s="165"/>
      <c r="W418" s="165"/>
      <c r="X418" s="165"/>
    </row>
    <row r="419" ht="18.75" customHeight="1">
      <c r="A419" s="165">
        <v>417.0</v>
      </c>
      <c r="B419" s="171" t="s">
        <v>15893</v>
      </c>
      <c r="C419" s="165"/>
      <c r="D419" s="165"/>
      <c r="E419" s="165"/>
      <c r="F419" s="165"/>
      <c r="G419" s="165"/>
      <c r="H419" s="165"/>
      <c r="I419" s="165"/>
      <c r="J419" s="165"/>
      <c r="K419" s="165"/>
      <c r="L419" s="165"/>
      <c r="M419" s="165"/>
      <c r="N419" s="165"/>
      <c r="O419" s="165"/>
      <c r="P419" s="165"/>
      <c r="Q419" s="165"/>
      <c r="R419" s="165"/>
      <c r="S419" s="165"/>
      <c r="T419" s="165"/>
      <c r="U419" s="165"/>
      <c r="V419" s="165"/>
      <c r="W419" s="165"/>
      <c r="X419" s="165"/>
    </row>
    <row r="420" ht="18.75" customHeight="1">
      <c r="A420" s="165">
        <v>418.0</v>
      </c>
      <c r="B420" s="171" t="s">
        <v>15894</v>
      </c>
      <c r="C420" s="165"/>
      <c r="D420" s="165"/>
      <c r="E420" s="165"/>
      <c r="F420" s="165"/>
      <c r="G420" s="165"/>
      <c r="H420" s="165"/>
      <c r="I420" s="165"/>
      <c r="J420" s="165"/>
      <c r="K420" s="165"/>
      <c r="L420" s="165"/>
      <c r="M420" s="165"/>
      <c r="N420" s="165"/>
      <c r="O420" s="165"/>
      <c r="P420" s="165"/>
      <c r="Q420" s="165"/>
      <c r="R420" s="165"/>
      <c r="S420" s="165"/>
      <c r="T420" s="165"/>
      <c r="U420" s="165"/>
      <c r="V420" s="165"/>
      <c r="W420" s="165"/>
      <c r="X420" s="165"/>
    </row>
    <row r="421" ht="18.75" customHeight="1">
      <c r="A421" s="165">
        <v>419.0</v>
      </c>
      <c r="B421" s="171" t="s">
        <v>15895</v>
      </c>
      <c r="C421" s="165"/>
      <c r="D421" s="165"/>
      <c r="E421" s="165"/>
      <c r="F421" s="165"/>
      <c r="G421" s="165"/>
      <c r="H421" s="165"/>
      <c r="I421" s="165"/>
      <c r="J421" s="165"/>
      <c r="K421" s="165"/>
      <c r="L421" s="165"/>
      <c r="M421" s="165"/>
      <c r="N421" s="165"/>
      <c r="O421" s="165"/>
      <c r="P421" s="165"/>
      <c r="Q421" s="165"/>
      <c r="R421" s="165"/>
      <c r="S421" s="165"/>
      <c r="T421" s="165"/>
      <c r="U421" s="165"/>
      <c r="V421" s="165"/>
      <c r="W421" s="165"/>
      <c r="X421" s="165"/>
    </row>
    <row r="422" ht="18.75" customHeight="1">
      <c r="A422" s="165">
        <v>420.0</v>
      </c>
      <c r="B422" s="171" t="s">
        <v>15895</v>
      </c>
      <c r="C422" s="165"/>
      <c r="D422" s="165"/>
      <c r="E422" s="165"/>
      <c r="F422" s="165"/>
      <c r="G422" s="165"/>
      <c r="H422" s="165"/>
      <c r="I422" s="165"/>
      <c r="J422" s="165"/>
      <c r="K422" s="165"/>
      <c r="L422" s="165"/>
      <c r="M422" s="165"/>
      <c r="N422" s="165"/>
      <c r="O422" s="165"/>
      <c r="P422" s="165"/>
      <c r="Q422" s="165"/>
      <c r="R422" s="165"/>
      <c r="S422" s="165"/>
      <c r="T422" s="165"/>
      <c r="U422" s="165"/>
      <c r="V422" s="165"/>
      <c r="W422" s="165"/>
      <c r="X422" s="165"/>
    </row>
    <row r="423" ht="18.75" customHeight="1">
      <c r="A423" s="165">
        <v>421.0</v>
      </c>
      <c r="B423" s="171" t="s">
        <v>15896</v>
      </c>
      <c r="C423" s="165"/>
      <c r="D423" s="165"/>
      <c r="E423" s="165"/>
      <c r="F423" s="165"/>
      <c r="G423" s="165"/>
      <c r="H423" s="165"/>
      <c r="I423" s="165"/>
      <c r="J423" s="165"/>
      <c r="K423" s="165"/>
      <c r="L423" s="165"/>
      <c r="M423" s="165"/>
      <c r="N423" s="165"/>
      <c r="O423" s="165"/>
      <c r="P423" s="165"/>
      <c r="Q423" s="165"/>
      <c r="R423" s="165"/>
      <c r="S423" s="165"/>
      <c r="T423" s="165"/>
      <c r="U423" s="165"/>
      <c r="V423" s="165"/>
      <c r="W423" s="165"/>
      <c r="X423" s="165"/>
    </row>
    <row r="424" ht="18.75" customHeight="1">
      <c r="A424" s="165">
        <v>422.0</v>
      </c>
      <c r="B424" s="173" t="s">
        <v>15897</v>
      </c>
      <c r="C424" s="165"/>
      <c r="D424" s="165"/>
      <c r="E424" s="165"/>
      <c r="F424" s="165"/>
      <c r="G424" s="165"/>
      <c r="H424" s="165"/>
      <c r="I424" s="165"/>
      <c r="J424" s="165"/>
      <c r="K424" s="165"/>
      <c r="L424" s="165"/>
      <c r="M424" s="165"/>
      <c r="N424" s="165"/>
      <c r="O424" s="165"/>
      <c r="P424" s="165"/>
      <c r="Q424" s="165"/>
      <c r="R424" s="165"/>
      <c r="S424" s="165"/>
      <c r="T424" s="165"/>
      <c r="U424" s="165"/>
      <c r="V424" s="165"/>
      <c r="W424" s="165"/>
      <c r="X424" s="165"/>
    </row>
    <row r="425" ht="18.75" customHeight="1">
      <c r="A425" s="165">
        <v>423.0</v>
      </c>
      <c r="B425" s="173" t="s">
        <v>15898</v>
      </c>
      <c r="C425" s="165"/>
      <c r="D425" s="165"/>
      <c r="E425" s="165"/>
      <c r="F425" s="165"/>
      <c r="G425" s="165"/>
      <c r="H425" s="165"/>
      <c r="I425" s="165"/>
      <c r="J425" s="165"/>
      <c r="K425" s="165"/>
      <c r="L425" s="165"/>
      <c r="M425" s="165"/>
      <c r="N425" s="165"/>
      <c r="O425" s="165"/>
      <c r="P425" s="165"/>
      <c r="Q425" s="165"/>
      <c r="R425" s="165"/>
      <c r="S425" s="165"/>
      <c r="T425" s="165"/>
      <c r="U425" s="165"/>
      <c r="V425" s="165"/>
      <c r="W425" s="165"/>
      <c r="X425" s="165"/>
    </row>
    <row r="426" ht="18.75" customHeight="1">
      <c r="A426" s="165">
        <v>424.0</v>
      </c>
      <c r="B426" s="167" t="s">
        <v>15899</v>
      </c>
      <c r="C426" s="165"/>
      <c r="D426" s="165"/>
      <c r="E426" s="165"/>
      <c r="F426" s="165"/>
      <c r="G426" s="165"/>
      <c r="H426" s="165"/>
      <c r="I426" s="165"/>
      <c r="J426" s="165"/>
      <c r="K426" s="165"/>
      <c r="L426" s="165"/>
      <c r="M426" s="165"/>
      <c r="N426" s="165"/>
      <c r="O426" s="165"/>
      <c r="P426" s="165"/>
      <c r="Q426" s="165"/>
      <c r="R426" s="165"/>
      <c r="S426" s="165"/>
      <c r="T426" s="165"/>
      <c r="U426" s="165"/>
      <c r="V426" s="165"/>
      <c r="W426" s="165"/>
      <c r="X426" s="165"/>
    </row>
    <row r="427" ht="18.75" customHeight="1">
      <c r="A427" s="165">
        <v>425.0</v>
      </c>
      <c r="B427" s="173" t="s">
        <v>15900</v>
      </c>
      <c r="C427" s="165"/>
      <c r="D427" s="165"/>
      <c r="E427" s="165"/>
      <c r="F427" s="165"/>
      <c r="G427" s="165"/>
      <c r="H427" s="165"/>
      <c r="I427" s="165"/>
      <c r="J427" s="165"/>
      <c r="K427" s="165"/>
      <c r="L427" s="165"/>
      <c r="M427" s="165"/>
      <c r="N427" s="165"/>
      <c r="O427" s="165"/>
      <c r="P427" s="165"/>
      <c r="Q427" s="165"/>
      <c r="R427" s="165"/>
      <c r="S427" s="165"/>
      <c r="T427" s="165"/>
      <c r="U427" s="165"/>
      <c r="V427" s="165"/>
      <c r="W427" s="165"/>
      <c r="X427" s="165"/>
    </row>
    <row r="428" ht="18.75" customHeight="1">
      <c r="A428" s="165">
        <v>426.0</v>
      </c>
      <c r="B428" s="173" t="s">
        <v>15901</v>
      </c>
      <c r="C428" s="165"/>
      <c r="D428" s="165"/>
      <c r="E428" s="165"/>
      <c r="F428" s="165"/>
      <c r="G428" s="165"/>
      <c r="H428" s="165"/>
      <c r="I428" s="165"/>
      <c r="J428" s="165"/>
      <c r="K428" s="165"/>
      <c r="L428" s="165"/>
      <c r="M428" s="165"/>
      <c r="N428" s="165"/>
      <c r="O428" s="165"/>
      <c r="P428" s="165"/>
      <c r="Q428" s="165"/>
      <c r="R428" s="165"/>
      <c r="S428" s="165"/>
      <c r="T428" s="165"/>
      <c r="U428" s="165"/>
      <c r="V428" s="165"/>
      <c r="W428" s="165"/>
      <c r="X428" s="165"/>
    </row>
    <row r="429" ht="18.75" customHeight="1">
      <c r="A429" s="165">
        <v>427.0</v>
      </c>
      <c r="B429" s="173" t="s">
        <v>15902</v>
      </c>
      <c r="C429" s="165"/>
      <c r="D429" s="165"/>
      <c r="E429" s="165"/>
      <c r="F429" s="165"/>
      <c r="G429" s="165"/>
      <c r="H429" s="165"/>
      <c r="I429" s="165"/>
      <c r="J429" s="165"/>
      <c r="K429" s="165"/>
      <c r="L429" s="165"/>
      <c r="M429" s="165"/>
      <c r="N429" s="165"/>
      <c r="O429" s="165"/>
      <c r="P429" s="165"/>
      <c r="Q429" s="165"/>
      <c r="R429" s="165"/>
      <c r="S429" s="165"/>
      <c r="T429" s="165"/>
      <c r="U429" s="165"/>
      <c r="V429" s="165"/>
      <c r="W429" s="165"/>
      <c r="X429" s="165"/>
    </row>
    <row r="430" ht="18.75" customHeight="1">
      <c r="A430" s="165">
        <v>428.0</v>
      </c>
      <c r="B430" s="174" t="s">
        <v>15903</v>
      </c>
      <c r="C430" s="165"/>
      <c r="D430" s="165"/>
      <c r="E430" s="165"/>
      <c r="F430" s="165"/>
      <c r="G430" s="165"/>
      <c r="H430" s="165"/>
      <c r="I430" s="165"/>
      <c r="J430" s="165"/>
      <c r="K430" s="165"/>
      <c r="L430" s="165"/>
      <c r="M430" s="165"/>
      <c r="N430" s="165"/>
      <c r="O430" s="165"/>
      <c r="P430" s="165"/>
      <c r="Q430" s="165"/>
      <c r="R430" s="165"/>
      <c r="S430" s="165"/>
      <c r="T430" s="165"/>
      <c r="U430" s="165"/>
      <c r="V430" s="165"/>
      <c r="W430" s="165"/>
      <c r="X430" s="165"/>
    </row>
    <row r="431" ht="18.75" customHeight="1">
      <c r="A431" s="165">
        <v>429.0</v>
      </c>
      <c r="B431" s="167" t="s">
        <v>15903</v>
      </c>
      <c r="C431" s="165"/>
      <c r="D431" s="165"/>
      <c r="E431" s="165"/>
      <c r="F431" s="165"/>
      <c r="G431" s="165"/>
      <c r="H431" s="165"/>
      <c r="I431" s="165"/>
      <c r="J431" s="165"/>
      <c r="K431" s="165"/>
      <c r="L431" s="165"/>
      <c r="M431" s="165"/>
      <c r="N431" s="165"/>
      <c r="O431" s="165"/>
      <c r="P431" s="165"/>
      <c r="Q431" s="165"/>
      <c r="R431" s="165"/>
      <c r="S431" s="165"/>
      <c r="T431" s="165"/>
      <c r="U431" s="165"/>
      <c r="V431" s="165"/>
      <c r="W431" s="165"/>
      <c r="X431" s="165"/>
    </row>
    <row r="432" ht="18.75" customHeight="1">
      <c r="A432" s="165">
        <v>430.0</v>
      </c>
      <c r="B432" s="168" t="s">
        <v>15904</v>
      </c>
      <c r="C432" s="165"/>
      <c r="D432" s="165"/>
      <c r="E432" s="165"/>
      <c r="F432" s="165"/>
      <c r="G432" s="165"/>
      <c r="H432" s="165"/>
      <c r="I432" s="165"/>
      <c r="J432" s="165"/>
      <c r="K432" s="165"/>
      <c r="L432" s="165"/>
      <c r="M432" s="165"/>
      <c r="N432" s="165"/>
      <c r="O432" s="165"/>
      <c r="P432" s="165"/>
      <c r="Q432" s="165"/>
      <c r="R432" s="165"/>
      <c r="S432" s="165"/>
      <c r="T432" s="165"/>
      <c r="U432" s="165"/>
      <c r="V432" s="165"/>
      <c r="W432" s="165"/>
      <c r="X432" s="165"/>
    </row>
    <row r="433" ht="18.75" customHeight="1">
      <c r="A433" s="165">
        <v>431.0</v>
      </c>
      <c r="B433" s="168" t="s">
        <v>15905</v>
      </c>
      <c r="C433" s="165"/>
      <c r="D433" s="165"/>
      <c r="E433" s="165"/>
      <c r="F433" s="165"/>
      <c r="G433" s="165"/>
      <c r="H433" s="165"/>
      <c r="I433" s="165"/>
      <c r="J433" s="165"/>
      <c r="K433" s="165"/>
      <c r="L433" s="165"/>
      <c r="M433" s="165"/>
      <c r="N433" s="165"/>
      <c r="O433" s="165"/>
      <c r="P433" s="165"/>
      <c r="Q433" s="165"/>
      <c r="R433" s="165"/>
      <c r="S433" s="165"/>
      <c r="T433" s="165"/>
      <c r="U433" s="165"/>
      <c r="V433" s="165"/>
      <c r="W433" s="165"/>
      <c r="X433" s="165"/>
    </row>
    <row r="434" ht="18.75" customHeight="1">
      <c r="A434" s="165">
        <v>432.0</v>
      </c>
      <c r="B434" s="168" t="s">
        <v>15906</v>
      </c>
      <c r="C434" s="165"/>
      <c r="D434" s="165"/>
      <c r="E434" s="165"/>
      <c r="F434" s="165"/>
      <c r="G434" s="165"/>
      <c r="H434" s="165"/>
      <c r="I434" s="165"/>
      <c r="J434" s="165"/>
      <c r="K434" s="165"/>
      <c r="L434" s="165"/>
      <c r="M434" s="165"/>
      <c r="N434" s="165"/>
      <c r="O434" s="165"/>
      <c r="P434" s="165"/>
      <c r="Q434" s="165"/>
      <c r="R434" s="165"/>
      <c r="S434" s="165"/>
      <c r="T434" s="165"/>
      <c r="U434" s="165"/>
      <c r="V434" s="165"/>
      <c r="W434" s="165"/>
      <c r="X434" s="165"/>
    </row>
    <row r="435" ht="18.75" customHeight="1">
      <c r="A435" s="165">
        <v>433.0</v>
      </c>
      <c r="B435" s="165" t="s">
        <v>15907</v>
      </c>
      <c r="C435" s="165"/>
      <c r="D435" s="165"/>
      <c r="E435" s="165"/>
      <c r="F435" s="165"/>
      <c r="G435" s="165"/>
      <c r="H435" s="165"/>
      <c r="I435" s="165"/>
      <c r="J435" s="165"/>
      <c r="K435" s="165"/>
      <c r="L435" s="165"/>
      <c r="M435" s="165"/>
      <c r="N435" s="165"/>
      <c r="O435" s="165"/>
      <c r="P435" s="165"/>
      <c r="Q435" s="165"/>
      <c r="R435" s="165"/>
      <c r="S435" s="165"/>
      <c r="T435" s="165"/>
      <c r="U435" s="165"/>
      <c r="V435" s="165"/>
      <c r="W435" s="165"/>
      <c r="X435" s="165"/>
    </row>
    <row r="436" ht="18.75" customHeight="1">
      <c r="A436" s="165">
        <v>434.0</v>
      </c>
      <c r="B436" s="167" t="s">
        <v>15908</v>
      </c>
      <c r="C436" s="165"/>
      <c r="D436" s="165"/>
      <c r="E436" s="165"/>
      <c r="F436" s="165"/>
      <c r="G436" s="165"/>
      <c r="H436" s="165"/>
      <c r="I436" s="165"/>
      <c r="J436" s="165"/>
      <c r="K436" s="165"/>
      <c r="L436" s="165"/>
      <c r="M436" s="165"/>
      <c r="N436" s="165"/>
      <c r="O436" s="165"/>
      <c r="P436" s="165"/>
      <c r="Q436" s="165"/>
      <c r="R436" s="165"/>
      <c r="S436" s="165"/>
      <c r="T436" s="165"/>
      <c r="U436" s="165"/>
      <c r="V436" s="165"/>
      <c r="W436" s="165"/>
      <c r="X436" s="165"/>
    </row>
    <row r="437" ht="18.75" customHeight="1">
      <c r="A437" s="165">
        <v>435.0</v>
      </c>
      <c r="B437" s="173" t="s">
        <v>15909</v>
      </c>
      <c r="C437" s="165"/>
      <c r="D437" s="165"/>
      <c r="E437" s="165"/>
      <c r="F437" s="165"/>
      <c r="G437" s="165"/>
      <c r="H437" s="165"/>
      <c r="I437" s="165"/>
      <c r="J437" s="165"/>
      <c r="K437" s="165"/>
      <c r="L437" s="165"/>
      <c r="M437" s="165"/>
      <c r="N437" s="165"/>
      <c r="O437" s="165"/>
      <c r="P437" s="165"/>
      <c r="Q437" s="165"/>
      <c r="R437" s="165"/>
      <c r="S437" s="165"/>
      <c r="T437" s="165"/>
      <c r="U437" s="165"/>
      <c r="V437" s="165"/>
      <c r="W437" s="165"/>
      <c r="X437" s="165"/>
    </row>
    <row r="438" ht="18.75" customHeight="1">
      <c r="A438" s="165">
        <v>436.0</v>
      </c>
      <c r="B438" s="173" t="s">
        <v>15910</v>
      </c>
      <c r="C438" s="165"/>
      <c r="D438" s="165"/>
      <c r="E438" s="165"/>
      <c r="F438" s="165"/>
      <c r="G438" s="165"/>
      <c r="H438" s="165"/>
      <c r="I438" s="165"/>
      <c r="J438" s="165"/>
      <c r="K438" s="165"/>
      <c r="L438" s="165"/>
      <c r="M438" s="165"/>
      <c r="N438" s="165"/>
      <c r="O438" s="165"/>
      <c r="P438" s="165"/>
      <c r="Q438" s="165"/>
      <c r="R438" s="165"/>
      <c r="S438" s="165"/>
      <c r="T438" s="165"/>
      <c r="U438" s="165"/>
      <c r="V438" s="165"/>
      <c r="W438" s="165"/>
      <c r="X438" s="165"/>
    </row>
    <row r="439" ht="18.75" customHeight="1">
      <c r="A439" s="165">
        <v>437.0</v>
      </c>
      <c r="B439" s="173" t="s">
        <v>15911</v>
      </c>
      <c r="C439" s="165"/>
      <c r="D439" s="165"/>
      <c r="E439" s="165"/>
      <c r="F439" s="165"/>
      <c r="G439" s="165"/>
      <c r="H439" s="165"/>
      <c r="I439" s="165"/>
      <c r="J439" s="165"/>
      <c r="K439" s="165"/>
      <c r="L439" s="165"/>
      <c r="M439" s="165"/>
      <c r="N439" s="165"/>
      <c r="O439" s="165"/>
      <c r="P439" s="165"/>
      <c r="Q439" s="165"/>
      <c r="R439" s="165"/>
      <c r="S439" s="165"/>
      <c r="T439" s="165"/>
      <c r="U439" s="165"/>
      <c r="V439" s="165"/>
      <c r="W439" s="165"/>
      <c r="X439" s="165"/>
    </row>
    <row r="440" ht="18.75" customHeight="1">
      <c r="A440" s="165">
        <v>438.0</v>
      </c>
      <c r="B440" s="173" t="s">
        <v>15912</v>
      </c>
      <c r="C440" s="165"/>
      <c r="D440" s="165"/>
      <c r="E440" s="165"/>
      <c r="F440" s="165"/>
      <c r="G440" s="165"/>
      <c r="H440" s="165"/>
      <c r="I440" s="165"/>
      <c r="J440" s="165"/>
      <c r="K440" s="165"/>
      <c r="L440" s="165"/>
      <c r="M440" s="165"/>
      <c r="N440" s="165"/>
      <c r="O440" s="165"/>
      <c r="P440" s="165"/>
      <c r="Q440" s="165"/>
      <c r="R440" s="165"/>
      <c r="S440" s="165"/>
      <c r="T440" s="165"/>
      <c r="U440" s="165"/>
      <c r="V440" s="165"/>
      <c r="W440" s="165"/>
      <c r="X440" s="165"/>
    </row>
    <row r="441" ht="18.75" customHeight="1">
      <c r="A441" s="165">
        <v>439.0</v>
      </c>
      <c r="B441" s="175" t="s">
        <v>15913</v>
      </c>
      <c r="C441" s="165"/>
      <c r="D441" s="165"/>
      <c r="E441" s="165"/>
      <c r="F441" s="165"/>
      <c r="G441" s="165"/>
      <c r="H441" s="165"/>
      <c r="I441" s="165"/>
      <c r="J441" s="165"/>
      <c r="K441" s="165"/>
      <c r="L441" s="165"/>
      <c r="M441" s="165"/>
      <c r="N441" s="165"/>
      <c r="O441" s="165"/>
      <c r="P441" s="165"/>
      <c r="Q441" s="165"/>
      <c r="R441" s="165"/>
      <c r="S441" s="165"/>
      <c r="T441" s="165"/>
      <c r="U441" s="165"/>
      <c r="V441" s="165"/>
      <c r="W441" s="165"/>
      <c r="X441" s="165"/>
    </row>
    <row r="442" ht="18.75" customHeight="1">
      <c r="A442" s="165">
        <v>440.0</v>
      </c>
      <c r="B442" s="173" t="s">
        <v>15914</v>
      </c>
      <c r="C442" s="165"/>
      <c r="D442" s="165"/>
      <c r="E442" s="165"/>
      <c r="F442" s="165"/>
      <c r="G442" s="165"/>
      <c r="H442" s="165"/>
      <c r="I442" s="165"/>
      <c r="J442" s="165"/>
      <c r="K442" s="165"/>
      <c r="L442" s="165"/>
      <c r="M442" s="165"/>
      <c r="N442" s="165"/>
      <c r="O442" s="165"/>
      <c r="P442" s="165"/>
      <c r="Q442" s="165"/>
      <c r="R442" s="165"/>
      <c r="S442" s="165"/>
      <c r="T442" s="165"/>
      <c r="U442" s="165"/>
      <c r="V442" s="165"/>
      <c r="W442" s="165"/>
      <c r="X442" s="165"/>
    </row>
    <row r="443" ht="18.75" customHeight="1">
      <c r="A443" s="165">
        <v>441.0</v>
      </c>
      <c r="B443" s="176" t="s">
        <v>15915</v>
      </c>
      <c r="C443" s="165"/>
      <c r="D443" s="165"/>
      <c r="E443" s="165"/>
      <c r="F443" s="165"/>
      <c r="G443" s="165"/>
      <c r="H443" s="165"/>
      <c r="I443" s="165"/>
      <c r="J443" s="165"/>
      <c r="K443" s="165"/>
      <c r="L443" s="165"/>
      <c r="M443" s="165"/>
      <c r="N443" s="165"/>
      <c r="O443" s="165"/>
      <c r="P443" s="165"/>
      <c r="Q443" s="165"/>
      <c r="R443" s="165"/>
      <c r="S443" s="165"/>
      <c r="T443" s="165"/>
      <c r="U443" s="165"/>
      <c r="V443" s="165"/>
      <c r="W443" s="165"/>
      <c r="X443" s="165"/>
    </row>
    <row r="444" ht="18.75" customHeight="1">
      <c r="A444" s="165">
        <v>442.0</v>
      </c>
      <c r="B444" s="167" t="s">
        <v>15916</v>
      </c>
      <c r="C444" s="165"/>
      <c r="D444" s="165"/>
      <c r="E444" s="165"/>
      <c r="F444" s="165"/>
      <c r="G444" s="165"/>
      <c r="H444" s="165"/>
      <c r="I444" s="165"/>
      <c r="J444" s="165"/>
      <c r="K444" s="165"/>
      <c r="L444" s="165"/>
      <c r="M444" s="165"/>
      <c r="N444" s="165"/>
      <c r="O444" s="165"/>
      <c r="P444" s="165"/>
      <c r="Q444" s="165"/>
      <c r="R444" s="165"/>
      <c r="S444" s="165"/>
      <c r="T444" s="165"/>
      <c r="U444" s="165"/>
      <c r="V444" s="165"/>
      <c r="W444" s="165"/>
      <c r="X444" s="165"/>
    </row>
    <row r="445" ht="18.75" customHeight="1">
      <c r="A445" s="165">
        <v>443.0</v>
      </c>
      <c r="B445" s="167" t="s">
        <v>15917</v>
      </c>
      <c r="C445" s="165"/>
      <c r="D445" s="165"/>
      <c r="E445" s="165"/>
      <c r="F445" s="165"/>
      <c r="G445" s="165"/>
      <c r="H445" s="165"/>
      <c r="I445" s="165"/>
      <c r="J445" s="165"/>
      <c r="K445" s="165"/>
      <c r="L445" s="165"/>
      <c r="M445" s="165"/>
      <c r="N445" s="165"/>
      <c r="O445" s="165"/>
      <c r="P445" s="165"/>
      <c r="Q445" s="165"/>
      <c r="R445" s="165"/>
      <c r="S445" s="165"/>
      <c r="T445" s="165"/>
      <c r="U445" s="165"/>
      <c r="V445" s="165"/>
      <c r="W445" s="165"/>
      <c r="X445" s="165"/>
    </row>
    <row r="446" ht="18.75" customHeight="1">
      <c r="A446" s="165">
        <v>444.0</v>
      </c>
      <c r="B446" s="167" t="s">
        <v>15918</v>
      </c>
      <c r="C446" s="165"/>
      <c r="D446" s="165"/>
      <c r="E446" s="165"/>
      <c r="F446" s="165"/>
      <c r="G446" s="165"/>
      <c r="H446" s="165"/>
      <c r="I446" s="165"/>
      <c r="J446" s="165"/>
      <c r="K446" s="165"/>
      <c r="L446" s="165"/>
      <c r="M446" s="165"/>
      <c r="N446" s="165"/>
      <c r="O446" s="165"/>
      <c r="P446" s="165"/>
      <c r="Q446" s="165"/>
      <c r="R446" s="165"/>
      <c r="S446" s="165"/>
      <c r="T446" s="165"/>
      <c r="U446" s="165"/>
      <c r="V446" s="165"/>
      <c r="W446" s="165"/>
      <c r="X446" s="165"/>
    </row>
    <row r="447" ht="18.75" customHeight="1">
      <c r="A447" s="165">
        <v>445.0</v>
      </c>
      <c r="B447" s="165" t="s">
        <v>15919</v>
      </c>
      <c r="C447" s="165"/>
      <c r="D447" s="165"/>
      <c r="E447" s="165"/>
      <c r="F447" s="165"/>
      <c r="G447" s="165"/>
      <c r="H447" s="165"/>
      <c r="I447" s="165"/>
      <c r="J447" s="165"/>
      <c r="K447" s="165"/>
      <c r="L447" s="165"/>
      <c r="M447" s="165"/>
      <c r="N447" s="165"/>
      <c r="O447" s="165"/>
      <c r="P447" s="165"/>
      <c r="Q447" s="165"/>
      <c r="R447" s="165"/>
      <c r="S447" s="165"/>
      <c r="T447" s="165"/>
      <c r="U447" s="165"/>
      <c r="V447" s="165"/>
      <c r="W447" s="165"/>
      <c r="X447" s="165"/>
    </row>
    <row r="448" ht="18.75" customHeight="1">
      <c r="A448" s="165">
        <v>446.0</v>
      </c>
      <c r="B448" s="165" t="s">
        <v>15920</v>
      </c>
      <c r="C448" s="165"/>
      <c r="D448" s="165"/>
      <c r="E448" s="165"/>
      <c r="F448" s="165"/>
      <c r="G448" s="165"/>
      <c r="H448" s="165"/>
      <c r="I448" s="165"/>
      <c r="J448" s="165"/>
      <c r="K448" s="165"/>
      <c r="L448" s="165"/>
      <c r="M448" s="165"/>
      <c r="N448" s="165"/>
      <c r="O448" s="165"/>
      <c r="P448" s="165"/>
      <c r="Q448" s="165"/>
      <c r="R448" s="165"/>
      <c r="S448" s="165"/>
      <c r="T448" s="165"/>
      <c r="U448" s="165"/>
      <c r="V448" s="165"/>
      <c r="W448" s="165"/>
      <c r="X448" s="165"/>
    </row>
    <row r="449" ht="18.75" customHeight="1">
      <c r="A449" s="165">
        <v>447.0</v>
      </c>
      <c r="B449" s="165" t="s">
        <v>15921</v>
      </c>
      <c r="C449" s="165"/>
      <c r="D449" s="165"/>
      <c r="E449" s="165"/>
      <c r="F449" s="165"/>
      <c r="G449" s="165"/>
      <c r="H449" s="165"/>
      <c r="I449" s="165"/>
      <c r="J449" s="165"/>
      <c r="K449" s="165"/>
      <c r="L449" s="165"/>
      <c r="M449" s="165"/>
      <c r="N449" s="165"/>
      <c r="O449" s="165"/>
      <c r="P449" s="165"/>
      <c r="Q449" s="165"/>
      <c r="R449" s="165"/>
      <c r="S449" s="165"/>
      <c r="T449" s="165"/>
      <c r="U449" s="165"/>
      <c r="V449" s="165"/>
      <c r="W449" s="165"/>
      <c r="X449" s="165"/>
    </row>
    <row r="450" ht="18.75" customHeight="1">
      <c r="A450" s="165">
        <v>448.0</v>
      </c>
      <c r="B450" s="167" t="s">
        <v>15922</v>
      </c>
      <c r="C450" s="165"/>
      <c r="D450" s="165"/>
      <c r="E450" s="165"/>
      <c r="F450" s="165"/>
      <c r="G450" s="165"/>
      <c r="H450" s="165"/>
      <c r="I450" s="165"/>
      <c r="J450" s="165"/>
      <c r="K450" s="165"/>
      <c r="L450" s="165"/>
      <c r="M450" s="165"/>
      <c r="N450" s="165"/>
      <c r="O450" s="165"/>
      <c r="P450" s="165"/>
      <c r="Q450" s="165"/>
      <c r="R450" s="165"/>
      <c r="S450" s="165"/>
      <c r="T450" s="165"/>
      <c r="U450" s="165"/>
      <c r="V450" s="165"/>
      <c r="W450" s="165"/>
      <c r="X450" s="165"/>
    </row>
    <row r="451" ht="18.75" customHeight="1">
      <c r="A451" s="165">
        <v>449.0</v>
      </c>
      <c r="B451" s="168" t="s">
        <v>15923</v>
      </c>
      <c r="C451" s="165"/>
      <c r="D451" s="165"/>
      <c r="E451" s="165"/>
      <c r="F451" s="165"/>
      <c r="G451" s="165"/>
      <c r="H451" s="165"/>
      <c r="I451" s="165"/>
      <c r="J451" s="165"/>
      <c r="K451" s="165"/>
      <c r="L451" s="165"/>
      <c r="M451" s="165"/>
      <c r="N451" s="165"/>
      <c r="O451" s="165"/>
      <c r="P451" s="165"/>
      <c r="Q451" s="165"/>
      <c r="R451" s="165"/>
      <c r="S451" s="165"/>
      <c r="T451" s="165"/>
      <c r="U451" s="165"/>
      <c r="V451" s="165"/>
      <c r="W451" s="165"/>
      <c r="X451" s="165"/>
    </row>
    <row r="452" ht="18.75" customHeight="1">
      <c r="A452" s="165">
        <v>450.0</v>
      </c>
      <c r="B452" s="168" t="s">
        <v>15924</v>
      </c>
      <c r="C452" s="165"/>
      <c r="D452" s="165"/>
      <c r="E452" s="165"/>
      <c r="F452" s="165"/>
      <c r="G452" s="165"/>
      <c r="H452" s="165"/>
      <c r="I452" s="165"/>
      <c r="J452" s="165"/>
      <c r="K452" s="165"/>
      <c r="L452" s="165"/>
      <c r="M452" s="165"/>
      <c r="N452" s="165"/>
      <c r="O452" s="165"/>
      <c r="P452" s="165"/>
      <c r="Q452" s="165"/>
      <c r="R452" s="165"/>
      <c r="S452" s="165"/>
      <c r="T452" s="165"/>
      <c r="U452" s="165"/>
      <c r="V452" s="165"/>
      <c r="W452" s="165"/>
      <c r="X452" s="165"/>
    </row>
    <row r="453" ht="18.75" customHeight="1">
      <c r="A453" s="165">
        <v>451.0</v>
      </c>
      <c r="B453" s="168" t="s">
        <v>15925</v>
      </c>
      <c r="C453" s="165"/>
      <c r="D453" s="165"/>
      <c r="E453" s="165"/>
      <c r="F453" s="165"/>
      <c r="G453" s="165"/>
      <c r="H453" s="165"/>
      <c r="I453" s="165"/>
      <c r="J453" s="165"/>
      <c r="K453" s="165"/>
      <c r="L453" s="165"/>
      <c r="M453" s="165"/>
      <c r="N453" s="165"/>
      <c r="O453" s="165"/>
      <c r="P453" s="165"/>
      <c r="Q453" s="165"/>
      <c r="R453" s="165"/>
      <c r="S453" s="165"/>
      <c r="T453" s="165"/>
      <c r="U453" s="165"/>
      <c r="V453" s="165"/>
      <c r="W453" s="165"/>
      <c r="X453" s="165"/>
    </row>
    <row r="454" ht="18.75" customHeight="1">
      <c r="A454" s="165">
        <v>452.0</v>
      </c>
      <c r="B454" s="168" t="s">
        <v>15926</v>
      </c>
      <c r="C454" s="165"/>
      <c r="D454" s="165"/>
      <c r="E454" s="165"/>
      <c r="F454" s="165"/>
      <c r="G454" s="165"/>
      <c r="H454" s="165"/>
      <c r="I454" s="165"/>
      <c r="J454" s="165"/>
      <c r="K454" s="165"/>
      <c r="L454" s="165"/>
      <c r="M454" s="165"/>
      <c r="N454" s="165"/>
      <c r="O454" s="165"/>
      <c r="P454" s="165"/>
      <c r="Q454" s="165"/>
      <c r="R454" s="165"/>
      <c r="S454" s="165"/>
      <c r="T454" s="165"/>
      <c r="U454" s="165"/>
      <c r="V454" s="165"/>
      <c r="W454" s="165"/>
      <c r="X454" s="165"/>
    </row>
    <row r="455" ht="18.75" customHeight="1">
      <c r="A455" s="165">
        <v>453.0</v>
      </c>
      <c r="B455" s="177" t="s">
        <v>15913</v>
      </c>
      <c r="C455" s="165"/>
      <c r="D455" s="165"/>
      <c r="E455" s="165"/>
      <c r="F455" s="165"/>
      <c r="G455" s="165"/>
      <c r="H455" s="165"/>
      <c r="I455" s="165"/>
      <c r="J455" s="165"/>
      <c r="K455" s="165"/>
      <c r="L455" s="165"/>
      <c r="M455" s="165"/>
      <c r="N455" s="165"/>
      <c r="O455" s="165"/>
      <c r="P455" s="165"/>
      <c r="Q455" s="165"/>
      <c r="R455" s="165"/>
      <c r="S455" s="165"/>
      <c r="T455" s="165"/>
      <c r="U455" s="165"/>
      <c r="V455" s="165"/>
      <c r="W455" s="165"/>
      <c r="X455" s="165"/>
    </row>
    <row r="456" ht="18.75" customHeight="1">
      <c r="A456" s="165">
        <v>454.0</v>
      </c>
      <c r="B456" s="168" t="s">
        <v>15927</v>
      </c>
      <c r="C456" s="165"/>
      <c r="D456" s="165"/>
      <c r="E456" s="165"/>
      <c r="F456" s="165"/>
      <c r="G456" s="165"/>
      <c r="H456" s="165"/>
      <c r="I456" s="165"/>
      <c r="J456" s="165"/>
      <c r="K456" s="165"/>
      <c r="L456" s="165"/>
      <c r="M456" s="165"/>
      <c r="N456" s="165"/>
      <c r="O456" s="165"/>
      <c r="P456" s="165"/>
      <c r="Q456" s="165"/>
      <c r="R456" s="165"/>
      <c r="S456" s="165"/>
      <c r="T456" s="165"/>
      <c r="U456" s="165"/>
      <c r="V456" s="165"/>
      <c r="W456" s="165"/>
      <c r="X456" s="165"/>
    </row>
    <row r="457" ht="18.75" customHeight="1">
      <c r="A457" s="165">
        <v>455.0</v>
      </c>
      <c r="B457" s="168" t="s">
        <v>15928</v>
      </c>
      <c r="C457" s="165"/>
      <c r="D457" s="165"/>
      <c r="E457" s="165"/>
      <c r="F457" s="165"/>
      <c r="G457" s="165"/>
      <c r="H457" s="165"/>
      <c r="I457" s="165"/>
      <c r="J457" s="165"/>
      <c r="K457" s="165"/>
      <c r="L457" s="165"/>
      <c r="M457" s="165"/>
      <c r="N457" s="165"/>
      <c r="O457" s="165"/>
      <c r="P457" s="165"/>
      <c r="Q457" s="165"/>
      <c r="R457" s="165"/>
      <c r="S457" s="165"/>
      <c r="T457" s="165"/>
      <c r="U457" s="165"/>
      <c r="V457" s="165"/>
      <c r="W457" s="165"/>
      <c r="X457" s="165"/>
    </row>
    <row r="458" ht="18.75" customHeight="1">
      <c r="A458" s="165">
        <v>456.0</v>
      </c>
      <c r="B458" s="168" t="s">
        <v>15929</v>
      </c>
      <c r="C458" s="165"/>
      <c r="D458" s="165"/>
      <c r="E458" s="165"/>
      <c r="F458" s="165"/>
      <c r="G458" s="165"/>
      <c r="H458" s="165"/>
      <c r="I458" s="165"/>
      <c r="J458" s="165"/>
      <c r="K458" s="165"/>
      <c r="L458" s="165"/>
      <c r="M458" s="165"/>
      <c r="N458" s="165"/>
      <c r="O458" s="165"/>
      <c r="P458" s="165"/>
      <c r="Q458" s="165"/>
      <c r="R458" s="165"/>
      <c r="S458" s="165"/>
      <c r="T458" s="165"/>
      <c r="U458" s="165"/>
      <c r="V458" s="165"/>
      <c r="W458" s="165"/>
      <c r="X458" s="165"/>
    </row>
    <row r="459" ht="18.75" customHeight="1">
      <c r="A459" s="165">
        <v>457.0</v>
      </c>
      <c r="B459" s="168" t="s">
        <v>15930</v>
      </c>
      <c r="C459" s="165"/>
      <c r="D459" s="165"/>
      <c r="E459" s="165"/>
      <c r="F459" s="165"/>
      <c r="G459" s="165"/>
      <c r="H459" s="165"/>
      <c r="I459" s="165"/>
      <c r="J459" s="165"/>
      <c r="K459" s="165"/>
      <c r="L459" s="165"/>
      <c r="M459" s="165"/>
      <c r="N459" s="165"/>
      <c r="O459" s="165"/>
      <c r="P459" s="165"/>
      <c r="Q459" s="165"/>
      <c r="R459" s="165"/>
      <c r="S459" s="165"/>
      <c r="T459" s="165"/>
      <c r="U459" s="165"/>
      <c r="V459" s="165"/>
      <c r="W459" s="165"/>
      <c r="X459" s="165"/>
    </row>
    <row r="460" ht="18.75" customHeight="1">
      <c r="A460" s="165">
        <v>458.0</v>
      </c>
      <c r="B460" s="168" t="s">
        <v>15931</v>
      </c>
      <c r="C460" s="165"/>
      <c r="D460" s="165"/>
      <c r="E460" s="165"/>
      <c r="F460" s="165"/>
      <c r="G460" s="165"/>
      <c r="H460" s="165"/>
      <c r="I460" s="165"/>
      <c r="J460" s="165"/>
      <c r="K460" s="165"/>
      <c r="L460" s="165"/>
      <c r="M460" s="165"/>
      <c r="N460" s="165"/>
      <c r="O460" s="165"/>
      <c r="P460" s="165"/>
      <c r="Q460" s="165"/>
      <c r="R460" s="165"/>
      <c r="S460" s="165"/>
      <c r="T460" s="165"/>
      <c r="U460" s="165"/>
      <c r="V460" s="165"/>
      <c r="W460" s="165"/>
      <c r="X460" s="165"/>
    </row>
    <row r="461" ht="18.75" customHeight="1">
      <c r="A461" s="165">
        <v>459.0</v>
      </c>
      <c r="B461" s="167" t="s">
        <v>15932</v>
      </c>
      <c r="C461" s="165"/>
      <c r="D461" s="165"/>
      <c r="E461" s="165"/>
      <c r="F461" s="165"/>
      <c r="G461" s="165"/>
      <c r="H461" s="165"/>
      <c r="I461" s="165"/>
      <c r="J461" s="165"/>
      <c r="K461" s="165"/>
      <c r="L461" s="165"/>
      <c r="M461" s="165"/>
      <c r="N461" s="165"/>
      <c r="O461" s="165"/>
      <c r="P461" s="165"/>
      <c r="Q461" s="165"/>
      <c r="R461" s="165"/>
      <c r="S461" s="165"/>
      <c r="T461" s="165"/>
      <c r="U461" s="165"/>
      <c r="V461" s="165"/>
      <c r="W461" s="165"/>
      <c r="X461" s="165"/>
    </row>
    <row r="462" ht="18.75" customHeight="1">
      <c r="A462" s="165">
        <v>460.0</v>
      </c>
      <c r="B462" s="165" t="s">
        <v>15933</v>
      </c>
      <c r="C462" s="165"/>
      <c r="D462" s="165"/>
      <c r="E462" s="165"/>
      <c r="F462" s="165"/>
      <c r="G462" s="165"/>
      <c r="H462" s="165"/>
      <c r="I462" s="165"/>
      <c r="J462" s="165"/>
      <c r="K462" s="165"/>
      <c r="L462" s="165"/>
      <c r="M462" s="165"/>
      <c r="N462" s="165"/>
      <c r="O462" s="165"/>
      <c r="P462" s="165"/>
      <c r="Q462" s="165"/>
      <c r="R462" s="165"/>
      <c r="S462" s="165"/>
      <c r="T462" s="165"/>
      <c r="U462" s="165"/>
      <c r="V462" s="165"/>
      <c r="W462" s="165"/>
      <c r="X462" s="165"/>
    </row>
    <row r="463" ht="18.75" customHeight="1">
      <c r="A463" s="165">
        <v>461.0</v>
      </c>
      <c r="B463" s="168" t="s">
        <v>15934</v>
      </c>
      <c r="C463" s="165"/>
      <c r="D463" s="165"/>
      <c r="E463" s="165"/>
      <c r="F463" s="165"/>
      <c r="G463" s="165"/>
      <c r="H463" s="165"/>
      <c r="I463" s="165"/>
      <c r="J463" s="165"/>
      <c r="K463" s="165"/>
      <c r="L463" s="165"/>
      <c r="M463" s="165"/>
      <c r="N463" s="165"/>
      <c r="O463" s="165"/>
      <c r="P463" s="165"/>
      <c r="Q463" s="165"/>
      <c r="R463" s="165"/>
      <c r="S463" s="165"/>
      <c r="T463" s="165"/>
      <c r="U463" s="165"/>
      <c r="V463" s="165"/>
      <c r="W463" s="165"/>
      <c r="X463" s="165"/>
    </row>
    <row r="464" ht="18.75" customHeight="1">
      <c r="A464" s="165">
        <v>462.0</v>
      </c>
      <c r="B464" s="168" t="s">
        <v>15935</v>
      </c>
      <c r="C464" s="165"/>
      <c r="D464" s="165"/>
      <c r="E464" s="165"/>
      <c r="F464" s="165"/>
      <c r="G464" s="165"/>
      <c r="H464" s="165"/>
      <c r="I464" s="165"/>
      <c r="J464" s="165"/>
      <c r="K464" s="165"/>
      <c r="L464" s="165"/>
      <c r="M464" s="165"/>
      <c r="N464" s="165"/>
      <c r="O464" s="165"/>
      <c r="P464" s="165"/>
      <c r="Q464" s="165"/>
      <c r="R464" s="165"/>
      <c r="S464" s="165"/>
      <c r="T464" s="165"/>
      <c r="U464" s="165"/>
      <c r="V464" s="165"/>
      <c r="W464" s="165"/>
      <c r="X464" s="165"/>
    </row>
    <row r="465" ht="18.75" customHeight="1">
      <c r="A465" s="165">
        <v>463.0</v>
      </c>
      <c r="B465" s="168" t="s">
        <v>15936</v>
      </c>
      <c r="C465" s="165"/>
      <c r="D465" s="165"/>
      <c r="E465" s="165"/>
      <c r="F465" s="165"/>
      <c r="G465" s="165"/>
      <c r="H465" s="165"/>
      <c r="I465" s="165"/>
      <c r="J465" s="165"/>
      <c r="K465" s="165"/>
      <c r="L465" s="165"/>
      <c r="M465" s="165"/>
      <c r="N465" s="165"/>
      <c r="O465" s="165"/>
      <c r="P465" s="165"/>
      <c r="Q465" s="165"/>
      <c r="R465" s="165"/>
      <c r="S465" s="165"/>
      <c r="T465" s="165"/>
      <c r="U465" s="165"/>
      <c r="V465" s="165"/>
      <c r="W465" s="165"/>
      <c r="X465" s="165"/>
    </row>
    <row r="466" ht="18.0" customHeight="1">
      <c r="A466" s="165">
        <v>464.0</v>
      </c>
      <c r="B466" s="168" t="s">
        <v>15937</v>
      </c>
      <c r="C466" s="165"/>
      <c r="D466" s="165"/>
      <c r="E466" s="165"/>
      <c r="F466" s="165"/>
      <c r="G466" s="165"/>
      <c r="H466" s="165"/>
      <c r="I466" s="165"/>
      <c r="J466" s="165"/>
      <c r="K466" s="165"/>
      <c r="L466" s="165"/>
      <c r="M466" s="165"/>
      <c r="N466" s="165"/>
      <c r="O466" s="165"/>
      <c r="P466" s="165"/>
      <c r="Q466" s="165"/>
      <c r="R466" s="165"/>
      <c r="S466" s="165"/>
      <c r="T466" s="165"/>
      <c r="U466" s="165"/>
      <c r="V466" s="165"/>
      <c r="W466" s="165"/>
      <c r="X466" s="165"/>
    </row>
    <row r="467" ht="18.75" customHeight="1">
      <c r="A467" s="165">
        <v>465.0</v>
      </c>
      <c r="B467" s="168" t="s">
        <v>15938</v>
      </c>
      <c r="C467" s="165"/>
      <c r="D467" s="165"/>
      <c r="E467" s="165"/>
      <c r="F467" s="165"/>
      <c r="G467" s="165"/>
      <c r="H467" s="165"/>
      <c r="I467" s="165"/>
      <c r="J467" s="165"/>
      <c r="K467" s="165"/>
      <c r="L467" s="165"/>
      <c r="M467" s="165"/>
      <c r="N467" s="165"/>
      <c r="O467" s="165"/>
      <c r="P467" s="165"/>
      <c r="Q467" s="165"/>
      <c r="R467" s="165"/>
      <c r="S467" s="165"/>
      <c r="T467" s="165"/>
      <c r="U467" s="165"/>
      <c r="V467" s="165"/>
      <c r="W467" s="165"/>
      <c r="X467" s="165"/>
    </row>
    <row r="468" ht="18.75" customHeight="1">
      <c r="A468" s="165">
        <v>466.0</v>
      </c>
      <c r="B468" s="168" t="s">
        <v>15939</v>
      </c>
      <c r="C468" s="165"/>
      <c r="D468" s="165"/>
      <c r="E468" s="165"/>
      <c r="F468" s="165"/>
      <c r="G468" s="165"/>
      <c r="H468" s="165"/>
      <c r="I468" s="165"/>
      <c r="J468" s="165"/>
      <c r="K468" s="165"/>
      <c r="L468" s="165"/>
      <c r="M468" s="165"/>
      <c r="N468" s="165"/>
      <c r="O468" s="165"/>
      <c r="P468" s="165"/>
      <c r="Q468" s="165"/>
      <c r="R468" s="165"/>
      <c r="S468" s="165"/>
      <c r="T468" s="165"/>
      <c r="U468" s="165"/>
      <c r="V468" s="165"/>
      <c r="W468" s="165"/>
      <c r="X468" s="165"/>
    </row>
    <row r="469" ht="18.75" customHeight="1">
      <c r="A469" s="165">
        <v>467.0</v>
      </c>
      <c r="B469" s="168" t="s">
        <v>15940</v>
      </c>
      <c r="C469" s="165"/>
      <c r="D469" s="165"/>
      <c r="E469" s="165"/>
      <c r="F469" s="165"/>
      <c r="G469" s="165"/>
      <c r="H469" s="165"/>
      <c r="I469" s="165"/>
      <c r="J469" s="165"/>
      <c r="K469" s="165"/>
      <c r="L469" s="165"/>
      <c r="M469" s="165"/>
      <c r="N469" s="165"/>
      <c r="O469" s="165"/>
      <c r="P469" s="165"/>
      <c r="Q469" s="165"/>
      <c r="R469" s="165"/>
      <c r="S469" s="165"/>
      <c r="T469" s="165"/>
      <c r="U469" s="165"/>
      <c r="V469" s="165"/>
      <c r="W469" s="165"/>
      <c r="X469" s="165"/>
    </row>
    <row r="470" ht="18.75" customHeight="1">
      <c r="A470" s="165">
        <v>468.0</v>
      </c>
      <c r="B470" s="168" t="s">
        <v>15941</v>
      </c>
      <c r="C470" s="165"/>
      <c r="D470" s="165"/>
      <c r="E470" s="165"/>
      <c r="F470" s="165"/>
      <c r="G470" s="165"/>
      <c r="H470" s="165"/>
      <c r="I470" s="165"/>
      <c r="J470" s="165"/>
      <c r="K470" s="165"/>
      <c r="L470" s="165"/>
      <c r="M470" s="165"/>
      <c r="N470" s="165"/>
      <c r="O470" s="165"/>
      <c r="P470" s="165"/>
      <c r="Q470" s="165"/>
      <c r="R470" s="165"/>
      <c r="S470" s="165"/>
      <c r="T470" s="165"/>
      <c r="U470" s="165"/>
      <c r="V470" s="165"/>
      <c r="W470" s="165"/>
      <c r="X470" s="165"/>
    </row>
    <row r="471" ht="18.75" customHeight="1">
      <c r="A471" s="165">
        <v>469.0</v>
      </c>
      <c r="B471" s="168" t="s">
        <v>15942</v>
      </c>
      <c r="C471" s="165"/>
      <c r="D471" s="165"/>
      <c r="E471" s="165"/>
      <c r="F471" s="165"/>
      <c r="G471" s="165"/>
      <c r="H471" s="165"/>
      <c r="I471" s="165"/>
      <c r="J471" s="165"/>
      <c r="K471" s="165"/>
      <c r="L471" s="165"/>
      <c r="M471" s="165"/>
      <c r="N471" s="165"/>
      <c r="O471" s="165"/>
      <c r="P471" s="165"/>
      <c r="Q471" s="165"/>
      <c r="R471" s="165"/>
      <c r="S471" s="165"/>
      <c r="T471" s="165"/>
      <c r="U471" s="165"/>
      <c r="V471" s="165"/>
      <c r="W471" s="165"/>
      <c r="X471" s="165"/>
    </row>
    <row r="472" ht="18.75" customHeight="1">
      <c r="A472" s="165">
        <v>470.0</v>
      </c>
      <c r="B472" s="168" t="s">
        <v>15943</v>
      </c>
      <c r="C472" s="165"/>
      <c r="D472" s="165"/>
      <c r="E472" s="165"/>
      <c r="F472" s="165"/>
      <c r="G472" s="165"/>
      <c r="H472" s="165"/>
      <c r="I472" s="165"/>
      <c r="J472" s="165"/>
      <c r="K472" s="165"/>
      <c r="L472" s="165"/>
      <c r="M472" s="165"/>
      <c r="N472" s="165"/>
      <c r="O472" s="165"/>
      <c r="P472" s="165"/>
      <c r="Q472" s="165"/>
      <c r="R472" s="165"/>
      <c r="S472" s="165"/>
      <c r="T472" s="165"/>
      <c r="U472" s="165"/>
      <c r="V472" s="165"/>
      <c r="W472" s="165"/>
      <c r="X472" s="165"/>
    </row>
    <row r="473" ht="18.75" customHeight="1">
      <c r="A473" s="165">
        <v>471.0</v>
      </c>
      <c r="B473" s="168" t="s">
        <v>15944</v>
      </c>
      <c r="C473" s="165"/>
      <c r="D473" s="165"/>
      <c r="E473" s="165"/>
      <c r="F473" s="165"/>
      <c r="G473" s="165"/>
      <c r="H473" s="165"/>
      <c r="I473" s="165"/>
      <c r="J473" s="165"/>
      <c r="K473" s="165"/>
      <c r="L473" s="165"/>
      <c r="M473" s="165"/>
      <c r="N473" s="165"/>
      <c r="O473" s="165"/>
      <c r="P473" s="165"/>
      <c r="Q473" s="165"/>
      <c r="R473" s="165"/>
      <c r="S473" s="165"/>
      <c r="T473" s="165"/>
      <c r="U473" s="165"/>
      <c r="V473" s="165"/>
      <c r="W473" s="165"/>
      <c r="X473" s="165"/>
    </row>
    <row r="474" ht="18.75" customHeight="1">
      <c r="A474" s="165">
        <v>472.0</v>
      </c>
      <c r="B474" s="168" t="s">
        <v>15945</v>
      </c>
      <c r="C474" s="165"/>
      <c r="D474" s="165"/>
      <c r="E474" s="165"/>
      <c r="F474" s="165"/>
      <c r="G474" s="165"/>
      <c r="H474" s="165"/>
      <c r="I474" s="165"/>
      <c r="J474" s="165"/>
      <c r="K474" s="165"/>
      <c r="L474" s="165"/>
      <c r="M474" s="165"/>
      <c r="N474" s="165"/>
      <c r="O474" s="165"/>
      <c r="P474" s="165"/>
      <c r="Q474" s="165"/>
      <c r="R474" s="165"/>
      <c r="S474" s="165"/>
      <c r="T474" s="165"/>
      <c r="U474" s="165"/>
      <c r="V474" s="165"/>
      <c r="W474" s="165"/>
      <c r="X474" s="165"/>
    </row>
    <row r="475" ht="18.75" customHeight="1">
      <c r="A475" s="165">
        <v>473.0</v>
      </c>
      <c r="B475" s="165" t="s">
        <v>15946</v>
      </c>
      <c r="C475" s="165"/>
      <c r="D475" s="165"/>
      <c r="E475" s="165"/>
      <c r="F475" s="165"/>
      <c r="G475" s="165"/>
      <c r="H475" s="165"/>
      <c r="I475" s="165"/>
      <c r="J475" s="165"/>
      <c r="K475" s="165"/>
      <c r="L475" s="165"/>
      <c r="M475" s="165"/>
      <c r="N475" s="165"/>
      <c r="O475" s="165"/>
      <c r="P475" s="165"/>
      <c r="Q475" s="165"/>
      <c r="R475" s="165"/>
      <c r="S475" s="165"/>
      <c r="T475" s="165"/>
      <c r="U475" s="165"/>
      <c r="V475" s="165"/>
      <c r="W475" s="165"/>
      <c r="X475" s="165"/>
    </row>
    <row r="476" ht="18.75" customHeight="1">
      <c r="A476" s="165">
        <v>474.0</v>
      </c>
      <c r="B476" s="167" t="s">
        <v>15947</v>
      </c>
      <c r="C476" s="165"/>
      <c r="D476" s="165"/>
      <c r="E476" s="165"/>
      <c r="F476" s="165"/>
      <c r="G476" s="165"/>
      <c r="H476" s="165"/>
      <c r="I476" s="165"/>
      <c r="J476" s="165"/>
      <c r="K476" s="165"/>
      <c r="L476" s="165"/>
      <c r="M476" s="165"/>
      <c r="N476" s="165"/>
      <c r="O476" s="165"/>
      <c r="P476" s="165"/>
      <c r="Q476" s="165"/>
      <c r="R476" s="165"/>
      <c r="S476" s="165"/>
      <c r="T476" s="165"/>
      <c r="U476" s="165"/>
      <c r="V476" s="165"/>
      <c r="W476" s="165"/>
      <c r="X476" s="165"/>
    </row>
    <row r="477" ht="18.75" customHeight="1">
      <c r="A477" s="165">
        <v>475.0</v>
      </c>
      <c r="B477" s="168" t="s">
        <v>15948</v>
      </c>
      <c r="C477" s="165"/>
      <c r="D477" s="165"/>
      <c r="E477" s="165"/>
      <c r="F477" s="165"/>
      <c r="G477" s="165"/>
      <c r="H477" s="165"/>
      <c r="I477" s="165"/>
      <c r="J477" s="165"/>
      <c r="K477" s="165"/>
      <c r="L477" s="165"/>
      <c r="M477" s="165"/>
      <c r="N477" s="165"/>
      <c r="O477" s="165"/>
      <c r="P477" s="165"/>
      <c r="Q477" s="165"/>
      <c r="R477" s="165"/>
      <c r="S477" s="165"/>
      <c r="T477" s="165"/>
      <c r="U477" s="165"/>
      <c r="V477" s="165"/>
      <c r="W477" s="165"/>
      <c r="X477" s="165"/>
    </row>
    <row r="478" ht="18.75" customHeight="1">
      <c r="A478" s="165">
        <v>476.0</v>
      </c>
      <c r="B478" s="168" t="s">
        <v>15949</v>
      </c>
      <c r="C478" s="165"/>
      <c r="D478" s="165"/>
      <c r="E478" s="165"/>
      <c r="F478" s="165"/>
      <c r="G478" s="165"/>
      <c r="H478" s="165"/>
      <c r="I478" s="165"/>
      <c r="J478" s="165"/>
      <c r="K478" s="165"/>
      <c r="L478" s="165"/>
      <c r="M478" s="165"/>
      <c r="N478" s="165"/>
      <c r="O478" s="165"/>
      <c r="P478" s="165"/>
      <c r="Q478" s="165"/>
      <c r="R478" s="165"/>
      <c r="S478" s="165"/>
      <c r="T478" s="165"/>
      <c r="U478" s="165"/>
      <c r="V478" s="165"/>
      <c r="W478" s="165"/>
      <c r="X478" s="165"/>
    </row>
    <row r="479" ht="18.75" customHeight="1">
      <c r="A479" s="165">
        <v>477.0</v>
      </c>
      <c r="B479" s="168" t="s">
        <v>15950</v>
      </c>
      <c r="C479" s="165"/>
      <c r="D479" s="165"/>
      <c r="E479" s="165"/>
      <c r="F479" s="165"/>
      <c r="G479" s="165"/>
      <c r="H479" s="165"/>
      <c r="I479" s="165"/>
      <c r="J479" s="165"/>
      <c r="K479" s="165"/>
      <c r="L479" s="165"/>
      <c r="M479" s="165"/>
      <c r="N479" s="165"/>
      <c r="O479" s="165"/>
      <c r="P479" s="165"/>
      <c r="Q479" s="165"/>
      <c r="R479" s="165"/>
      <c r="S479" s="165"/>
      <c r="T479" s="165"/>
      <c r="U479" s="165"/>
      <c r="V479" s="165"/>
      <c r="W479" s="165"/>
      <c r="X479" s="165"/>
    </row>
    <row r="480" ht="18.75" customHeight="1">
      <c r="A480" s="165">
        <v>478.0</v>
      </c>
      <c r="B480" s="168" t="s">
        <v>15912</v>
      </c>
      <c r="C480" s="165"/>
      <c r="D480" s="165"/>
      <c r="E480" s="165"/>
      <c r="F480" s="165"/>
      <c r="G480" s="165"/>
      <c r="H480" s="165"/>
      <c r="I480" s="165"/>
      <c r="J480" s="165"/>
      <c r="K480" s="165"/>
      <c r="L480" s="165"/>
      <c r="M480" s="165"/>
      <c r="N480" s="165"/>
      <c r="O480" s="165"/>
      <c r="P480" s="165"/>
      <c r="Q480" s="165"/>
      <c r="R480" s="165"/>
      <c r="S480" s="165"/>
      <c r="T480" s="165"/>
      <c r="U480" s="165"/>
      <c r="V480" s="165"/>
      <c r="W480" s="165"/>
      <c r="X480" s="165"/>
    </row>
    <row r="481" ht="18.75" customHeight="1">
      <c r="A481" s="165">
        <v>479.0</v>
      </c>
      <c r="B481" s="168" t="s">
        <v>15951</v>
      </c>
      <c r="C481" s="165"/>
      <c r="D481" s="165"/>
      <c r="E481" s="165"/>
      <c r="F481" s="165"/>
      <c r="G481" s="165"/>
      <c r="H481" s="165"/>
      <c r="I481" s="165"/>
      <c r="J481" s="165"/>
      <c r="K481" s="165"/>
      <c r="L481" s="165"/>
      <c r="M481" s="165"/>
      <c r="N481" s="165"/>
      <c r="O481" s="165"/>
      <c r="P481" s="165"/>
      <c r="Q481" s="165"/>
      <c r="R481" s="165"/>
      <c r="S481" s="165"/>
      <c r="T481" s="165"/>
      <c r="U481" s="165"/>
      <c r="V481" s="165"/>
      <c r="W481" s="165"/>
      <c r="X481" s="165"/>
    </row>
    <row r="482" ht="18.75" customHeight="1">
      <c r="A482" s="165">
        <v>480.0</v>
      </c>
      <c r="B482" s="168" t="s">
        <v>15952</v>
      </c>
      <c r="C482" s="165"/>
      <c r="D482" s="165"/>
      <c r="E482" s="165"/>
      <c r="F482" s="165"/>
      <c r="G482" s="165"/>
      <c r="H482" s="165"/>
      <c r="I482" s="165"/>
      <c r="J482" s="165"/>
      <c r="K482" s="165"/>
      <c r="L482" s="165"/>
      <c r="M482" s="165"/>
      <c r="N482" s="165"/>
      <c r="O482" s="165"/>
      <c r="P482" s="165"/>
      <c r="Q482" s="165"/>
      <c r="R482" s="165"/>
      <c r="S482" s="165"/>
      <c r="T482" s="165"/>
      <c r="U482" s="165"/>
      <c r="V482" s="165"/>
      <c r="W482" s="165"/>
      <c r="X482" s="165"/>
    </row>
    <row r="483" ht="18.75" customHeight="1">
      <c r="A483" s="165">
        <v>481.0</v>
      </c>
      <c r="B483" s="168" t="s">
        <v>15953</v>
      </c>
      <c r="C483" s="165"/>
      <c r="D483" s="165"/>
      <c r="E483" s="165"/>
      <c r="F483" s="165"/>
      <c r="G483" s="165"/>
      <c r="H483" s="165"/>
      <c r="I483" s="165"/>
      <c r="J483" s="165"/>
      <c r="K483" s="165"/>
      <c r="L483" s="165"/>
      <c r="M483" s="165"/>
      <c r="N483" s="165"/>
      <c r="O483" s="165"/>
      <c r="P483" s="165"/>
      <c r="Q483" s="165"/>
      <c r="R483" s="165"/>
      <c r="S483" s="165"/>
      <c r="T483" s="165"/>
      <c r="U483" s="165"/>
      <c r="V483" s="165"/>
      <c r="W483" s="165"/>
      <c r="X483" s="165"/>
    </row>
    <row r="484" ht="18.75" customHeight="1">
      <c r="A484" s="165">
        <v>482.0</v>
      </c>
      <c r="B484" s="168" t="s">
        <v>15954</v>
      </c>
      <c r="C484" s="165"/>
      <c r="D484" s="165"/>
      <c r="E484" s="165"/>
      <c r="F484" s="165"/>
      <c r="G484" s="165"/>
      <c r="H484" s="165"/>
      <c r="I484" s="165"/>
      <c r="J484" s="165"/>
      <c r="K484" s="165"/>
      <c r="L484" s="165"/>
      <c r="M484" s="165"/>
      <c r="N484" s="165"/>
      <c r="O484" s="165"/>
      <c r="P484" s="165"/>
      <c r="Q484" s="165"/>
      <c r="R484" s="165"/>
      <c r="S484" s="165"/>
      <c r="T484" s="165"/>
      <c r="U484" s="165"/>
      <c r="V484" s="165"/>
      <c r="W484" s="165"/>
      <c r="X484" s="165"/>
    </row>
    <row r="485" ht="18.75" customHeight="1">
      <c r="A485" s="165">
        <v>483.0</v>
      </c>
      <c r="B485" s="168" t="s">
        <v>15955</v>
      </c>
      <c r="C485" s="165"/>
      <c r="D485" s="165"/>
      <c r="E485" s="165"/>
      <c r="F485" s="165"/>
      <c r="G485" s="165"/>
      <c r="H485" s="165"/>
      <c r="I485" s="165"/>
      <c r="J485" s="165"/>
      <c r="K485" s="165"/>
      <c r="L485" s="165"/>
      <c r="M485" s="165"/>
      <c r="N485" s="165"/>
      <c r="O485" s="165"/>
      <c r="P485" s="165"/>
      <c r="Q485" s="165"/>
      <c r="R485" s="165"/>
      <c r="S485" s="165"/>
      <c r="T485" s="165"/>
      <c r="U485" s="165"/>
      <c r="V485" s="165"/>
      <c r="W485" s="165"/>
      <c r="X485" s="165"/>
    </row>
    <row r="486" ht="18.75" customHeight="1">
      <c r="A486" s="165">
        <v>484.0</v>
      </c>
      <c r="B486" s="168" t="s">
        <v>15956</v>
      </c>
      <c r="C486" s="165"/>
      <c r="D486" s="165"/>
      <c r="E486" s="165"/>
      <c r="F486" s="165"/>
      <c r="G486" s="165"/>
      <c r="H486" s="165"/>
      <c r="I486" s="165"/>
      <c r="J486" s="165"/>
      <c r="K486" s="165"/>
      <c r="L486" s="165"/>
      <c r="M486" s="165"/>
      <c r="N486" s="165"/>
      <c r="O486" s="165"/>
      <c r="P486" s="165"/>
      <c r="Q486" s="165"/>
      <c r="R486" s="165"/>
      <c r="S486" s="165"/>
      <c r="T486" s="165"/>
      <c r="U486" s="165"/>
      <c r="V486" s="165"/>
      <c r="W486" s="165"/>
      <c r="X486" s="165"/>
    </row>
    <row r="487" ht="18.75" customHeight="1">
      <c r="A487" s="165">
        <v>485.0</v>
      </c>
      <c r="B487" s="168" t="s">
        <v>15957</v>
      </c>
      <c r="C487" s="165"/>
      <c r="D487" s="165"/>
      <c r="E487" s="165"/>
      <c r="F487" s="165"/>
      <c r="G487" s="165"/>
      <c r="H487" s="165"/>
      <c r="I487" s="165"/>
      <c r="J487" s="165"/>
      <c r="K487" s="165"/>
      <c r="L487" s="165"/>
      <c r="M487" s="165"/>
      <c r="N487" s="165"/>
      <c r="O487" s="165"/>
      <c r="P487" s="165"/>
      <c r="Q487" s="165"/>
      <c r="R487" s="165"/>
      <c r="S487" s="165"/>
      <c r="T487" s="165"/>
      <c r="U487" s="165"/>
      <c r="V487" s="165"/>
      <c r="W487" s="165"/>
      <c r="X487" s="165"/>
    </row>
    <row r="488" ht="18.75" customHeight="1">
      <c r="A488" s="165">
        <v>486.0</v>
      </c>
      <c r="B488" s="168" t="s">
        <v>15958</v>
      </c>
      <c r="C488" s="165"/>
      <c r="D488" s="165"/>
      <c r="E488" s="165"/>
      <c r="F488" s="165"/>
      <c r="G488" s="165"/>
      <c r="H488" s="165"/>
      <c r="I488" s="165"/>
      <c r="J488" s="165"/>
      <c r="K488" s="165"/>
      <c r="L488" s="165"/>
      <c r="M488" s="165"/>
      <c r="N488" s="165"/>
      <c r="O488" s="165"/>
      <c r="P488" s="165"/>
      <c r="Q488" s="165"/>
      <c r="R488" s="165"/>
      <c r="S488" s="165"/>
      <c r="T488" s="165"/>
      <c r="U488" s="165"/>
      <c r="V488" s="165"/>
      <c r="W488" s="165"/>
      <c r="X488" s="165"/>
    </row>
    <row r="489" ht="18.75" customHeight="1">
      <c r="A489" s="165">
        <v>487.0</v>
      </c>
      <c r="B489" s="168" t="s">
        <v>15959</v>
      </c>
      <c r="C489" s="165"/>
      <c r="D489" s="165"/>
      <c r="E489" s="165"/>
      <c r="F489" s="165"/>
      <c r="G489" s="165"/>
      <c r="H489" s="165"/>
      <c r="I489" s="165"/>
      <c r="J489" s="165"/>
      <c r="K489" s="165"/>
      <c r="L489" s="165"/>
      <c r="M489" s="165"/>
      <c r="N489" s="165"/>
      <c r="O489" s="165"/>
      <c r="P489" s="165"/>
      <c r="Q489" s="165"/>
      <c r="R489" s="165"/>
      <c r="S489" s="165"/>
      <c r="T489" s="165"/>
      <c r="U489" s="165"/>
      <c r="V489" s="165"/>
      <c r="W489" s="165"/>
      <c r="X489" s="165"/>
    </row>
    <row r="490" ht="18.75" customHeight="1">
      <c r="A490" s="165">
        <v>488.0</v>
      </c>
      <c r="B490" s="168" t="s">
        <v>15960</v>
      </c>
      <c r="C490" s="165"/>
      <c r="D490" s="165"/>
      <c r="E490" s="165"/>
      <c r="F490" s="165"/>
      <c r="G490" s="165"/>
      <c r="H490" s="165"/>
      <c r="I490" s="165"/>
      <c r="J490" s="165"/>
      <c r="K490" s="165"/>
      <c r="L490" s="165"/>
      <c r="M490" s="165"/>
      <c r="N490" s="165"/>
      <c r="O490" s="165"/>
      <c r="P490" s="165"/>
      <c r="Q490" s="165"/>
      <c r="R490" s="165"/>
      <c r="S490" s="165"/>
      <c r="T490" s="165"/>
      <c r="U490" s="165"/>
      <c r="V490" s="165"/>
      <c r="W490" s="165"/>
      <c r="X490" s="165"/>
    </row>
    <row r="491" ht="18.75" customHeight="1">
      <c r="A491" s="165">
        <v>489.0</v>
      </c>
      <c r="B491" s="168" t="s">
        <v>15961</v>
      </c>
      <c r="C491" s="165"/>
      <c r="D491" s="165"/>
      <c r="E491" s="165"/>
      <c r="F491" s="165"/>
      <c r="G491" s="165"/>
      <c r="H491" s="165"/>
      <c r="I491" s="165"/>
      <c r="J491" s="165"/>
      <c r="K491" s="165"/>
      <c r="L491" s="165"/>
      <c r="M491" s="165"/>
      <c r="N491" s="165"/>
      <c r="O491" s="165"/>
      <c r="P491" s="165"/>
      <c r="Q491" s="165"/>
      <c r="R491" s="165"/>
      <c r="S491" s="165"/>
      <c r="T491" s="165"/>
      <c r="U491" s="165"/>
      <c r="V491" s="165"/>
      <c r="W491" s="165"/>
      <c r="X491" s="165"/>
    </row>
    <row r="492" ht="18.75" customHeight="1">
      <c r="A492" s="165">
        <v>490.0</v>
      </c>
      <c r="B492" s="168" t="s">
        <v>15962</v>
      </c>
      <c r="C492" s="165"/>
      <c r="D492" s="165"/>
      <c r="E492" s="165"/>
      <c r="F492" s="165"/>
      <c r="G492" s="165"/>
      <c r="H492" s="165"/>
      <c r="I492" s="165"/>
      <c r="J492" s="165"/>
      <c r="K492" s="165"/>
      <c r="L492" s="165"/>
      <c r="M492" s="165"/>
      <c r="N492" s="165"/>
      <c r="O492" s="165"/>
      <c r="P492" s="165"/>
      <c r="Q492" s="165"/>
      <c r="R492" s="165"/>
      <c r="S492" s="165"/>
      <c r="T492" s="165"/>
      <c r="U492" s="165"/>
      <c r="V492" s="165"/>
      <c r="W492" s="165"/>
      <c r="X492" s="165"/>
    </row>
    <row r="493" ht="18.75" customHeight="1">
      <c r="A493" s="165">
        <v>491.0</v>
      </c>
      <c r="B493" s="168" t="s">
        <v>15963</v>
      </c>
      <c r="C493" s="165"/>
      <c r="D493" s="165"/>
      <c r="E493" s="165"/>
      <c r="F493" s="165"/>
      <c r="G493" s="165"/>
      <c r="H493" s="165"/>
      <c r="I493" s="165"/>
      <c r="J493" s="165"/>
      <c r="K493" s="165"/>
      <c r="L493" s="165"/>
      <c r="M493" s="165"/>
      <c r="N493" s="165"/>
      <c r="O493" s="165"/>
      <c r="P493" s="165"/>
      <c r="Q493" s="165"/>
      <c r="R493" s="165"/>
      <c r="S493" s="165"/>
      <c r="T493" s="165"/>
      <c r="U493" s="165"/>
      <c r="V493" s="165"/>
      <c r="W493" s="165"/>
      <c r="X493" s="165"/>
    </row>
    <row r="494" ht="18.75" customHeight="1">
      <c r="A494" s="165">
        <v>492.0</v>
      </c>
      <c r="B494" s="168" t="s">
        <v>15964</v>
      </c>
      <c r="C494" s="165"/>
      <c r="D494" s="165"/>
      <c r="E494" s="165"/>
      <c r="F494" s="165"/>
      <c r="G494" s="165"/>
      <c r="H494" s="165"/>
      <c r="I494" s="165"/>
      <c r="J494" s="165"/>
      <c r="K494" s="165"/>
      <c r="L494" s="165"/>
      <c r="M494" s="165"/>
      <c r="N494" s="165"/>
      <c r="O494" s="165"/>
      <c r="P494" s="165"/>
      <c r="Q494" s="165"/>
      <c r="R494" s="165"/>
      <c r="S494" s="165"/>
      <c r="T494" s="165"/>
      <c r="U494" s="165"/>
      <c r="V494" s="165"/>
      <c r="W494" s="165"/>
      <c r="X494" s="165"/>
    </row>
    <row r="495" ht="18.75" customHeight="1">
      <c r="A495" s="165">
        <v>493.0</v>
      </c>
      <c r="B495" s="168" t="s">
        <v>15965</v>
      </c>
      <c r="C495" s="165"/>
      <c r="D495" s="165"/>
      <c r="E495" s="165"/>
      <c r="F495" s="165"/>
      <c r="G495" s="165"/>
      <c r="H495" s="165"/>
      <c r="I495" s="165"/>
      <c r="J495" s="165"/>
      <c r="K495" s="165"/>
      <c r="L495" s="165"/>
      <c r="M495" s="165"/>
      <c r="N495" s="165"/>
      <c r="O495" s="165"/>
      <c r="P495" s="165"/>
      <c r="Q495" s="165"/>
      <c r="R495" s="165"/>
      <c r="S495" s="165"/>
      <c r="T495" s="165"/>
      <c r="U495" s="165"/>
      <c r="V495" s="165"/>
      <c r="W495" s="165"/>
      <c r="X495" s="165"/>
    </row>
    <row r="496" ht="18.75" customHeight="1">
      <c r="A496" s="165">
        <v>494.0</v>
      </c>
      <c r="B496" s="168" t="s">
        <v>15966</v>
      </c>
      <c r="C496" s="165"/>
      <c r="D496" s="165"/>
      <c r="E496" s="165"/>
      <c r="F496" s="165"/>
      <c r="G496" s="165"/>
      <c r="H496" s="165"/>
      <c r="I496" s="165"/>
      <c r="J496" s="165"/>
      <c r="K496" s="165"/>
      <c r="L496" s="165"/>
      <c r="M496" s="165"/>
      <c r="N496" s="165"/>
      <c r="O496" s="165"/>
      <c r="P496" s="165"/>
      <c r="Q496" s="165"/>
      <c r="R496" s="165"/>
      <c r="S496" s="165"/>
      <c r="T496" s="165"/>
      <c r="U496" s="165"/>
      <c r="V496" s="165"/>
      <c r="W496" s="165"/>
      <c r="X496" s="165"/>
    </row>
    <row r="497" ht="18.75" customHeight="1">
      <c r="A497" s="165">
        <v>495.0</v>
      </c>
      <c r="B497" s="168" t="s">
        <v>15967</v>
      </c>
      <c r="C497" s="165"/>
      <c r="D497" s="165"/>
      <c r="E497" s="165"/>
      <c r="F497" s="165"/>
      <c r="G497" s="165"/>
      <c r="H497" s="165"/>
      <c r="I497" s="165"/>
      <c r="J497" s="165"/>
      <c r="K497" s="165"/>
      <c r="L497" s="165"/>
      <c r="M497" s="165"/>
      <c r="N497" s="165"/>
      <c r="O497" s="165"/>
      <c r="P497" s="165"/>
      <c r="Q497" s="165"/>
      <c r="R497" s="165"/>
      <c r="S497" s="165"/>
      <c r="T497" s="165"/>
      <c r="U497" s="165"/>
      <c r="V497" s="165"/>
      <c r="W497" s="165"/>
      <c r="X497" s="165"/>
    </row>
    <row r="498" ht="18.75" customHeight="1">
      <c r="A498" s="165">
        <v>496.0</v>
      </c>
      <c r="B498" s="168" t="s">
        <v>15968</v>
      </c>
      <c r="C498" s="165"/>
      <c r="D498" s="165"/>
      <c r="E498" s="165"/>
      <c r="F498" s="165"/>
      <c r="G498" s="165"/>
      <c r="H498" s="165"/>
      <c r="I498" s="165"/>
      <c r="J498" s="165"/>
      <c r="K498" s="165"/>
      <c r="L498" s="165"/>
      <c r="M498" s="165"/>
      <c r="N498" s="165"/>
      <c r="O498" s="165"/>
      <c r="P498" s="165"/>
      <c r="Q498" s="165"/>
      <c r="R498" s="165"/>
      <c r="S498" s="165"/>
      <c r="T498" s="165"/>
      <c r="U498" s="165"/>
      <c r="V498" s="165"/>
      <c r="W498" s="165"/>
      <c r="X498" s="165"/>
    </row>
    <row r="499" ht="18.75" customHeight="1">
      <c r="A499" s="165">
        <v>497.0</v>
      </c>
      <c r="B499" s="168" t="s">
        <v>15969</v>
      </c>
      <c r="C499" s="165"/>
      <c r="D499" s="165"/>
      <c r="E499" s="165"/>
      <c r="F499" s="165"/>
      <c r="G499" s="165"/>
      <c r="H499" s="165"/>
      <c r="I499" s="165"/>
      <c r="J499" s="165"/>
      <c r="K499" s="165"/>
      <c r="L499" s="165"/>
      <c r="M499" s="165"/>
      <c r="N499" s="165"/>
      <c r="O499" s="165"/>
      <c r="P499" s="165"/>
      <c r="Q499" s="165"/>
      <c r="R499" s="165"/>
      <c r="S499" s="165"/>
      <c r="T499" s="165"/>
      <c r="U499" s="165"/>
      <c r="V499" s="165"/>
      <c r="W499" s="165"/>
      <c r="X499" s="165"/>
    </row>
    <row r="500" ht="18.75" customHeight="1">
      <c r="A500" s="165">
        <v>498.0</v>
      </c>
      <c r="B500" s="168" t="s">
        <v>15970</v>
      </c>
      <c r="C500" s="165"/>
      <c r="D500" s="165"/>
      <c r="E500" s="165"/>
      <c r="F500" s="165"/>
      <c r="G500" s="165"/>
      <c r="H500" s="165"/>
      <c r="I500" s="165"/>
      <c r="J500" s="165"/>
      <c r="K500" s="165"/>
      <c r="L500" s="165"/>
      <c r="M500" s="165"/>
      <c r="N500" s="165"/>
      <c r="O500" s="165"/>
      <c r="P500" s="165"/>
      <c r="Q500" s="165"/>
      <c r="R500" s="165"/>
      <c r="S500" s="165"/>
      <c r="T500" s="165"/>
      <c r="U500" s="165"/>
      <c r="V500" s="165"/>
      <c r="W500" s="165"/>
      <c r="X500" s="165"/>
    </row>
    <row r="501" ht="18.75" customHeight="1">
      <c r="A501" s="165">
        <v>499.0</v>
      </c>
      <c r="B501" s="168" t="s">
        <v>15971</v>
      </c>
      <c r="C501" s="165"/>
      <c r="D501" s="165"/>
      <c r="E501" s="165"/>
      <c r="F501" s="165"/>
      <c r="G501" s="165"/>
      <c r="H501" s="165"/>
      <c r="I501" s="165"/>
      <c r="J501" s="165"/>
      <c r="K501" s="165"/>
      <c r="L501" s="165"/>
      <c r="M501" s="165"/>
      <c r="N501" s="165"/>
      <c r="O501" s="165"/>
      <c r="P501" s="165"/>
      <c r="Q501" s="165"/>
      <c r="R501" s="165"/>
      <c r="S501" s="165"/>
      <c r="T501" s="165"/>
      <c r="U501" s="165"/>
      <c r="V501" s="165"/>
      <c r="W501" s="165"/>
      <c r="X501" s="165"/>
    </row>
    <row r="502" ht="18.75" customHeight="1">
      <c r="A502" s="165">
        <v>500.0</v>
      </c>
      <c r="B502" s="168" t="s">
        <v>15972</v>
      </c>
      <c r="C502" s="165"/>
      <c r="D502" s="165"/>
      <c r="E502" s="165"/>
      <c r="F502" s="165"/>
      <c r="G502" s="165"/>
      <c r="H502" s="165"/>
      <c r="I502" s="165"/>
      <c r="J502" s="165"/>
      <c r="K502" s="165"/>
      <c r="L502" s="165"/>
      <c r="M502" s="165"/>
      <c r="N502" s="165"/>
      <c r="O502" s="165"/>
      <c r="P502" s="165"/>
      <c r="Q502" s="165"/>
      <c r="R502" s="165"/>
      <c r="S502" s="165"/>
      <c r="T502" s="165"/>
      <c r="U502" s="165"/>
      <c r="V502" s="165"/>
      <c r="W502" s="165"/>
      <c r="X502" s="165"/>
    </row>
    <row r="503" ht="18.75" customHeight="1">
      <c r="A503" s="165">
        <v>501.0</v>
      </c>
      <c r="B503" s="168" t="s">
        <v>15973</v>
      </c>
      <c r="C503" s="165"/>
      <c r="D503" s="165"/>
      <c r="E503" s="165"/>
      <c r="F503" s="165"/>
      <c r="G503" s="165"/>
      <c r="H503" s="165"/>
      <c r="I503" s="165"/>
      <c r="J503" s="165"/>
      <c r="K503" s="165"/>
      <c r="L503" s="165"/>
      <c r="M503" s="165"/>
      <c r="N503" s="165"/>
      <c r="O503" s="165"/>
      <c r="P503" s="165"/>
      <c r="Q503" s="165"/>
      <c r="R503" s="165"/>
      <c r="S503" s="165"/>
      <c r="T503" s="165"/>
      <c r="U503" s="165"/>
      <c r="V503" s="165"/>
      <c r="W503" s="165"/>
      <c r="X503" s="165"/>
    </row>
    <row r="504" ht="18.75" customHeight="1">
      <c r="A504" s="165">
        <v>502.0</v>
      </c>
      <c r="B504" s="168" t="s">
        <v>15974</v>
      </c>
      <c r="C504" s="165"/>
      <c r="D504" s="165"/>
      <c r="E504" s="165"/>
      <c r="F504" s="165"/>
      <c r="G504" s="165"/>
      <c r="H504" s="165"/>
      <c r="I504" s="165"/>
      <c r="J504" s="165"/>
      <c r="K504" s="165"/>
      <c r="L504" s="165"/>
      <c r="M504" s="165"/>
      <c r="N504" s="165"/>
      <c r="O504" s="165"/>
      <c r="P504" s="165"/>
      <c r="Q504" s="165"/>
      <c r="R504" s="165"/>
      <c r="S504" s="165"/>
      <c r="T504" s="165"/>
      <c r="U504" s="165"/>
      <c r="V504" s="165"/>
      <c r="W504" s="165"/>
      <c r="X504" s="165"/>
    </row>
    <row r="505" ht="18.75" customHeight="1">
      <c r="A505" s="165">
        <v>503.0</v>
      </c>
      <c r="B505" s="165" t="s">
        <v>15975</v>
      </c>
      <c r="C505" s="165"/>
      <c r="D505" s="165"/>
      <c r="E505" s="165"/>
      <c r="F505" s="165"/>
      <c r="G505" s="165"/>
      <c r="H505" s="165"/>
      <c r="I505" s="165"/>
      <c r="J505" s="165"/>
      <c r="K505" s="165"/>
      <c r="L505" s="165"/>
      <c r="M505" s="165"/>
      <c r="N505" s="165"/>
      <c r="O505" s="165"/>
      <c r="P505" s="165"/>
      <c r="Q505" s="165"/>
      <c r="R505" s="165"/>
      <c r="S505" s="165"/>
      <c r="T505" s="165"/>
      <c r="U505" s="165"/>
      <c r="V505" s="165"/>
      <c r="W505" s="165"/>
      <c r="X505" s="165"/>
    </row>
    <row r="506" ht="18.75" customHeight="1">
      <c r="A506" s="165">
        <v>504.0</v>
      </c>
      <c r="B506" s="168" t="s">
        <v>15976</v>
      </c>
      <c r="C506" s="165"/>
      <c r="D506" s="165"/>
      <c r="E506" s="165"/>
      <c r="F506" s="165"/>
      <c r="G506" s="165"/>
      <c r="H506" s="165"/>
      <c r="I506" s="165"/>
      <c r="J506" s="165"/>
      <c r="K506" s="165"/>
      <c r="L506" s="165"/>
      <c r="M506" s="165"/>
      <c r="N506" s="165"/>
      <c r="O506" s="165"/>
      <c r="P506" s="165"/>
      <c r="Q506" s="165"/>
      <c r="R506" s="165"/>
      <c r="S506" s="165"/>
      <c r="T506" s="165"/>
      <c r="U506" s="165"/>
      <c r="V506" s="165"/>
      <c r="W506" s="165"/>
      <c r="X506" s="165"/>
    </row>
    <row r="507" ht="18.75" customHeight="1">
      <c r="A507" s="165">
        <v>505.0</v>
      </c>
      <c r="B507" s="168" t="s">
        <v>15977</v>
      </c>
      <c r="C507" s="165"/>
      <c r="D507" s="165"/>
      <c r="E507" s="165"/>
      <c r="F507" s="165"/>
      <c r="G507" s="165"/>
      <c r="H507" s="165"/>
      <c r="I507" s="165"/>
      <c r="J507" s="165"/>
      <c r="K507" s="165"/>
      <c r="L507" s="165"/>
      <c r="M507" s="165"/>
      <c r="N507" s="165"/>
      <c r="O507" s="165"/>
      <c r="P507" s="165"/>
      <c r="Q507" s="165"/>
      <c r="R507" s="165"/>
      <c r="S507" s="165"/>
      <c r="T507" s="165"/>
      <c r="U507" s="165"/>
      <c r="V507" s="165"/>
      <c r="W507" s="165"/>
      <c r="X507" s="165"/>
    </row>
    <row r="508" ht="18.75" customHeight="1">
      <c r="A508" s="165">
        <v>506.0</v>
      </c>
      <c r="B508" s="168" t="s">
        <v>15978</v>
      </c>
      <c r="C508" s="165"/>
      <c r="D508" s="165"/>
      <c r="E508" s="165"/>
      <c r="F508" s="165"/>
      <c r="G508" s="165"/>
      <c r="H508" s="165"/>
      <c r="I508" s="165"/>
      <c r="J508" s="165"/>
      <c r="K508" s="165"/>
      <c r="L508" s="165"/>
      <c r="M508" s="165"/>
      <c r="N508" s="165"/>
      <c r="O508" s="165"/>
      <c r="P508" s="165"/>
      <c r="Q508" s="165"/>
      <c r="R508" s="165"/>
      <c r="S508" s="165"/>
      <c r="T508" s="165"/>
      <c r="U508" s="165"/>
      <c r="V508" s="165"/>
      <c r="W508" s="165"/>
      <c r="X508" s="165"/>
    </row>
    <row r="509" ht="18.75" customHeight="1">
      <c r="A509" s="165">
        <v>507.0</v>
      </c>
      <c r="B509" s="168" t="s">
        <v>15979</v>
      </c>
      <c r="C509" s="165"/>
      <c r="D509" s="165"/>
      <c r="E509" s="165"/>
      <c r="F509" s="165"/>
      <c r="G509" s="165"/>
      <c r="H509" s="165"/>
      <c r="I509" s="165"/>
      <c r="J509" s="165"/>
      <c r="K509" s="165"/>
      <c r="L509" s="165"/>
      <c r="M509" s="165"/>
      <c r="N509" s="165"/>
      <c r="O509" s="165"/>
      <c r="P509" s="165"/>
      <c r="Q509" s="165"/>
      <c r="R509" s="165"/>
      <c r="S509" s="165"/>
      <c r="T509" s="165"/>
      <c r="U509" s="165"/>
      <c r="V509" s="165"/>
      <c r="W509" s="165"/>
      <c r="X509" s="165"/>
    </row>
    <row r="510" ht="18.75" customHeight="1">
      <c r="A510" s="165">
        <v>508.0</v>
      </c>
      <c r="B510" s="168" t="s">
        <v>15980</v>
      </c>
      <c r="C510" s="165"/>
      <c r="D510" s="165"/>
      <c r="E510" s="165"/>
      <c r="F510" s="165"/>
      <c r="G510" s="165"/>
      <c r="H510" s="165"/>
      <c r="I510" s="165"/>
      <c r="J510" s="165"/>
      <c r="K510" s="165"/>
      <c r="L510" s="165"/>
      <c r="M510" s="165"/>
      <c r="N510" s="165"/>
      <c r="O510" s="165"/>
      <c r="P510" s="165"/>
      <c r="Q510" s="165"/>
      <c r="R510" s="165"/>
      <c r="S510" s="165"/>
      <c r="T510" s="165"/>
      <c r="U510" s="165"/>
      <c r="V510" s="165"/>
      <c r="W510" s="165"/>
      <c r="X510" s="165"/>
    </row>
    <row r="511" ht="18.75" customHeight="1">
      <c r="A511" s="165">
        <v>509.0</v>
      </c>
      <c r="B511" s="168" t="s">
        <v>15981</v>
      </c>
      <c r="C511" s="165"/>
      <c r="D511" s="165"/>
      <c r="E511" s="165"/>
      <c r="F511" s="165"/>
      <c r="G511" s="165"/>
      <c r="H511" s="165"/>
      <c r="I511" s="165"/>
      <c r="J511" s="165"/>
      <c r="K511" s="165"/>
      <c r="L511" s="165"/>
      <c r="M511" s="165"/>
      <c r="N511" s="165"/>
      <c r="O511" s="165"/>
      <c r="P511" s="165"/>
      <c r="Q511" s="165"/>
      <c r="R511" s="165"/>
      <c r="S511" s="165"/>
      <c r="T511" s="165"/>
      <c r="U511" s="165"/>
      <c r="V511" s="165"/>
      <c r="W511" s="165"/>
      <c r="X511" s="165"/>
    </row>
    <row r="512" ht="18.75" customHeight="1">
      <c r="A512" s="165">
        <v>510.0</v>
      </c>
      <c r="B512" s="168" t="s">
        <v>15982</v>
      </c>
      <c r="C512" s="165"/>
      <c r="D512" s="165"/>
      <c r="E512" s="165"/>
      <c r="F512" s="165"/>
      <c r="G512" s="165"/>
      <c r="H512" s="165"/>
      <c r="I512" s="165"/>
      <c r="J512" s="165"/>
      <c r="K512" s="165"/>
      <c r="L512" s="165"/>
      <c r="M512" s="165"/>
      <c r="N512" s="165"/>
      <c r="O512" s="165"/>
      <c r="P512" s="165"/>
      <c r="Q512" s="165"/>
      <c r="R512" s="165"/>
      <c r="S512" s="165"/>
      <c r="T512" s="165"/>
      <c r="U512" s="165"/>
      <c r="V512" s="165"/>
      <c r="W512" s="165"/>
      <c r="X512" s="165"/>
    </row>
    <row r="513" ht="18.75" customHeight="1">
      <c r="A513" s="165">
        <v>511.0</v>
      </c>
      <c r="B513" s="168" t="s">
        <v>15983</v>
      </c>
      <c r="C513" s="165"/>
      <c r="D513" s="165"/>
      <c r="E513" s="165"/>
      <c r="F513" s="165"/>
      <c r="G513" s="165"/>
      <c r="H513" s="165"/>
      <c r="I513" s="165"/>
      <c r="J513" s="165"/>
      <c r="K513" s="165"/>
      <c r="L513" s="165"/>
      <c r="M513" s="165"/>
      <c r="N513" s="165"/>
      <c r="O513" s="165"/>
      <c r="P513" s="165"/>
      <c r="Q513" s="165"/>
      <c r="R513" s="165"/>
      <c r="S513" s="165"/>
      <c r="T513" s="165"/>
      <c r="U513" s="165"/>
      <c r="V513" s="165"/>
      <c r="W513" s="165"/>
      <c r="X513" s="165"/>
    </row>
    <row r="514" ht="18.75" customHeight="1">
      <c r="A514" s="165">
        <v>512.0</v>
      </c>
      <c r="B514" s="168" t="s">
        <v>15984</v>
      </c>
      <c r="C514" s="165"/>
      <c r="D514" s="165"/>
      <c r="E514" s="165"/>
      <c r="F514" s="165"/>
      <c r="G514" s="165"/>
      <c r="H514" s="165"/>
      <c r="I514" s="165"/>
      <c r="J514" s="165"/>
      <c r="K514" s="165"/>
      <c r="L514" s="165"/>
      <c r="M514" s="165"/>
      <c r="N514" s="165"/>
      <c r="O514" s="165"/>
      <c r="P514" s="165"/>
      <c r="Q514" s="165"/>
      <c r="R514" s="165"/>
      <c r="S514" s="165"/>
      <c r="T514" s="165"/>
      <c r="U514" s="165"/>
      <c r="V514" s="165"/>
      <c r="W514" s="165"/>
      <c r="X514" s="165"/>
    </row>
    <row r="515" ht="18.75" customHeight="1">
      <c r="A515" s="165">
        <v>513.0</v>
      </c>
      <c r="B515" s="168" t="s">
        <v>15985</v>
      </c>
      <c r="C515" s="165"/>
      <c r="D515" s="165"/>
      <c r="E515" s="165"/>
      <c r="F515" s="165"/>
      <c r="G515" s="165"/>
      <c r="H515" s="165"/>
      <c r="I515" s="165"/>
      <c r="J515" s="165"/>
      <c r="K515" s="165"/>
      <c r="L515" s="165"/>
      <c r="M515" s="165"/>
      <c r="N515" s="165"/>
      <c r="O515" s="165"/>
      <c r="P515" s="165"/>
      <c r="Q515" s="165"/>
      <c r="R515" s="165"/>
      <c r="S515" s="165"/>
      <c r="T515" s="165"/>
      <c r="U515" s="165"/>
      <c r="V515" s="165"/>
      <c r="W515" s="165"/>
      <c r="X515" s="165"/>
    </row>
    <row r="516" ht="18.75" customHeight="1">
      <c r="A516" s="165">
        <v>514.0</v>
      </c>
      <c r="B516" s="168" t="s">
        <v>15986</v>
      </c>
      <c r="C516" s="165"/>
      <c r="D516" s="165"/>
      <c r="E516" s="165"/>
      <c r="F516" s="165"/>
      <c r="G516" s="165"/>
      <c r="H516" s="165"/>
      <c r="I516" s="165"/>
      <c r="J516" s="165"/>
      <c r="K516" s="165"/>
      <c r="L516" s="165"/>
      <c r="M516" s="165"/>
      <c r="N516" s="165"/>
      <c r="O516" s="165"/>
      <c r="P516" s="165"/>
      <c r="Q516" s="165"/>
      <c r="R516" s="165"/>
      <c r="S516" s="165"/>
      <c r="T516" s="165"/>
      <c r="U516" s="165"/>
      <c r="V516" s="165"/>
      <c r="W516" s="165"/>
      <c r="X516" s="165"/>
    </row>
    <row r="517" ht="18.75" customHeight="1">
      <c r="A517" s="165">
        <v>515.0</v>
      </c>
      <c r="B517" s="168" t="s">
        <v>15987</v>
      </c>
      <c r="C517" s="165"/>
      <c r="D517" s="165"/>
      <c r="E517" s="165"/>
      <c r="F517" s="165"/>
      <c r="G517" s="165"/>
      <c r="H517" s="165"/>
      <c r="I517" s="165"/>
      <c r="J517" s="165"/>
      <c r="K517" s="165"/>
      <c r="L517" s="165"/>
      <c r="M517" s="165"/>
      <c r="N517" s="165"/>
      <c r="O517" s="165"/>
      <c r="P517" s="165"/>
      <c r="Q517" s="165"/>
      <c r="R517" s="165"/>
      <c r="S517" s="165"/>
      <c r="T517" s="165"/>
      <c r="U517" s="165"/>
      <c r="V517" s="165"/>
      <c r="W517" s="165"/>
      <c r="X517" s="165"/>
    </row>
    <row r="518" ht="18.75" customHeight="1">
      <c r="A518" s="165">
        <v>516.0</v>
      </c>
      <c r="B518" s="168" t="s">
        <v>15988</v>
      </c>
      <c r="C518" s="165"/>
      <c r="D518" s="165"/>
      <c r="E518" s="165"/>
      <c r="F518" s="165"/>
      <c r="G518" s="165"/>
      <c r="H518" s="165"/>
      <c r="I518" s="165"/>
      <c r="J518" s="165"/>
      <c r="K518" s="165"/>
      <c r="L518" s="165"/>
      <c r="M518" s="165"/>
      <c r="N518" s="165"/>
      <c r="O518" s="165"/>
      <c r="P518" s="165"/>
      <c r="Q518" s="165"/>
      <c r="R518" s="165"/>
      <c r="S518" s="165"/>
      <c r="T518" s="165"/>
      <c r="U518" s="165"/>
      <c r="V518" s="165"/>
      <c r="W518" s="165"/>
      <c r="X518" s="165"/>
    </row>
    <row r="519" ht="18.75" customHeight="1">
      <c r="A519" s="165">
        <v>517.0</v>
      </c>
      <c r="B519" s="168" t="s">
        <v>15989</v>
      </c>
      <c r="C519" s="165"/>
      <c r="D519" s="165"/>
      <c r="E519" s="165"/>
      <c r="F519" s="165"/>
      <c r="G519" s="165"/>
      <c r="H519" s="165"/>
      <c r="I519" s="165"/>
      <c r="J519" s="165"/>
      <c r="K519" s="165"/>
      <c r="L519" s="165"/>
      <c r="M519" s="165"/>
      <c r="N519" s="165"/>
      <c r="O519" s="165"/>
      <c r="P519" s="165"/>
      <c r="Q519" s="165"/>
      <c r="R519" s="165"/>
      <c r="S519" s="165"/>
      <c r="T519" s="165"/>
      <c r="U519" s="165"/>
      <c r="V519" s="165"/>
      <c r="W519" s="165"/>
      <c r="X519" s="165"/>
    </row>
    <row r="520" ht="18.75" customHeight="1">
      <c r="A520" s="165">
        <v>518.0</v>
      </c>
      <c r="B520" s="168" t="s">
        <v>15990</v>
      </c>
      <c r="C520" s="165"/>
      <c r="D520" s="165"/>
      <c r="E520" s="165"/>
      <c r="F520" s="165"/>
      <c r="G520" s="165"/>
      <c r="H520" s="165"/>
      <c r="I520" s="165"/>
      <c r="J520" s="165"/>
      <c r="K520" s="165"/>
      <c r="L520" s="165"/>
      <c r="M520" s="165"/>
      <c r="N520" s="165"/>
      <c r="O520" s="165"/>
      <c r="P520" s="165"/>
      <c r="Q520" s="165"/>
      <c r="R520" s="165"/>
      <c r="S520" s="165"/>
      <c r="T520" s="165"/>
      <c r="U520" s="165"/>
      <c r="V520" s="165"/>
      <c r="W520" s="165"/>
      <c r="X520" s="165"/>
    </row>
    <row r="521" ht="18.75" customHeight="1">
      <c r="A521" s="165">
        <v>519.0</v>
      </c>
      <c r="B521" s="168" t="s">
        <v>15991</v>
      </c>
      <c r="C521" s="165"/>
      <c r="D521" s="165"/>
      <c r="E521" s="165"/>
      <c r="F521" s="165"/>
      <c r="G521" s="165"/>
      <c r="H521" s="165"/>
      <c r="I521" s="165"/>
      <c r="J521" s="165"/>
      <c r="K521" s="165"/>
      <c r="L521" s="165"/>
      <c r="M521" s="165"/>
      <c r="N521" s="165"/>
      <c r="O521" s="165"/>
      <c r="P521" s="165"/>
      <c r="Q521" s="165"/>
      <c r="R521" s="165"/>
      <c r="S521" s="165"/>
      <c r="T521" s="165"/>
      <c r="U521" s="165"/>
      <c r="V521" s="165"/>
      <c r="W521" s="165"/>
      <c r="X521" s="165"/>
    </row>
    <row r="522" ht="18.75" customHeight="1">
      <c r="A522" s="165">
        <v>520.0</v>
      </c>
      <c r="B522" s="168" t="s">
        <v>15992</v>
      </c>
      <c r="C522" s="165"/>
      <c r="D522" s="165"/>
      <c r="E522" s="165"/>
      <c r="F522" s="165"/>
      <c r="G522" s="165"/>
      <c r="H522" s="165"/>
      <c r="I522" s="165"/>
      <c r="J522" s="165"/>
      <c r="K522" s="165"/>
      <c r="L522" s="165"/>
      <c r="M522" s="165"/>
      <c r="N522" s="165"/>
      <c r="O522" s="165"/>
      <c r="P522" s="165"/>
      <c r="Q522" s="165"/>
      <c r="R522" s="165"/>
      <c r="S522" s="165"/>
      <c r="T522" s="165"/>
      <c r="U522" s="165"/>
      <c r="V522" s="165"/>
      <c r="W522" s="165"/>
      <c r="X522" s="165"/>
    </row>
    <row r="523" ht="18.75" customHeight="1">
      <c r="A523" s="165">
        <v>521.0</v>
      </c>
      <c r="B523" s="168" t="s">
        <v>15993</v>
      </c>
      <c r="C523" s="165"/>
      <c r="D523" s="165"/>
      <c r="E523" s="165"/>
      <c r="F523" s="165"/>
      <c r="G523" s="165"/>
      <c r="H523" s="165"/>
      <c r="I523" s="165"/>
      <c r="J523" s="165"/>
      <c r="K523" s="165"/>
      <c r="L523" s="165"/>
      <c r="M523" s="165"/>
      <c r="N523" s="165"/>
      <c r="O523" s="165"/>
      <c r="P523" s="165"/>
      <c r="Q523" s="165"/>
      <c r="R523" s="165"/>
      <c r="S523" s="165"/>
      <c r="T523" s="165"/>
      <c r="U523" s="165"/>
      <c r="V523" s="165"/>
      <c r="W523" s="165"/>
      <c r="X523" s="165"/>
    </row>
    <row r="524" ht="18.75" customHeight="1">
      <c r="A524" s="165">
        <v>522.0</v>
      </c>
      <c r="B524" s="168" t="s">
        <v>15994</v>
      </c>
      <c r="C524" s="165"/>
      <c r="D524" s="165"/>
      <c r="E524" s="165"/>
      <c r="F524" s="165"/>
      <c r="G524" s="165"/>
      <c r="H524" s="165"/>
      <c r="I524" s="165"/>
      <c r="J524" s="165"/>
      <c r="K524" s="165"/>
      <c r="L524" s="165"/>
      <c r="M524" s="165"/>
      <c r="N524" s="165"/>
      <c r="O524" s="165"/>
      <c r="P524" s="165"/>
      <c r="Q524" s="165"/>
      <c r="R524" s="165"/>
      <c r="S524" s="165"/>
      <c r="T524" s="165"/>
      <c r="U524" s="165"/>
      <c r="V524" s="165"/>
      <c r="W524" s="165"/>
      <c r="X524" s="165"/>
    </row>
    <row r="525" ht="18.75" customHeight="1">
      <c r="A525" s="165">
        <v>523.0</v>
      </c>
      <c r="B525" s="168" t="s">
        <v>15995</v>
      </c>
      <c r="C525" s="165"/>
      <c r="D525" s="165"/>
      <c r="E525" s="165"/>
      <c r="F525" s="165"/>
      <c r="G525" s="165"/>
      <c r="H525" s="165"/>
      <c r="I525" s="165"/>
      <c r="J525" s="165"/>
      <c r="K525" s="165"/>
      <c r="L525" s="165"/>
      <c r="M525" s="165"/>
      <c r="N525" s="165"/>
      <c r="O525" s="165"/>
      <c r="P525" s="165"/>
      <c r="Q525" s="165"/>
      <c r="R525" s="165"/>
      <c r="S525" s="165"/>
      <c r="T525" s="165"/>
      <c r="U525" s="165"/>
      <c r="V525" s="165"/>
      <c r="W525" s="165"/>
      <c r="X525" s="165"/>
    </row>
    <row r="526" ht="18.75" customHeight="1">
      <c r="A526" s="165">
        <v>524.0</v>
      </c>
      <c r="B526" s="168" t="s">
        <v>15996</v>
      </c>
      <c r="C526" s="165"/>
      <c r="D526" s="165"/>
      <c r="E526" s="165"/>
      <c r="F526" s="165"/>
      <c r="G526" s="165"/>
      <c r="H526" s="165"/>
      <c r="I526" s="165"/>
      <c r="J526" s="165"/>
      <c r="K526" s="165"/>
      <c r="L526" s="165"/>
      <c r="M526" s="165"/>
      <c r="N526" s="165"/>
      <c r="O526" s="165"/>
      <c r="P526" s="165"/>
      <c r="Q526" s="165"/>
      <c r="R526" s="165"/>
      <c r="S526" s="165"/>
      <c r="T526" s="165"/>
      <c r="U526" s="165"/>
      <c r="V526" s="165"/>
      <c r="W526" s="165"/>
      <c r="X526" s="165"/>
    </row>
    <row r="527" ht="18.75" customHeight="1">
      <c r="A527" s="165">
        <v>525.0</v>
      </c>
      <c r="B527" s="168" t="s">
        <v>15997</v>
      </c>
      <c r="C527" s="165"/>
      <c r="D527" s="165"/>
      <c r="E527" s="165"/>
      <c r="F527" s="165"/>
      <c r="G527" s="165"/>
      <c r="H527" s="165"/>
      <c r="I527" s="165"/>
      <c r="J527" s="165"/>
      <c r="K527" s="165"/>
      <c r="L527" s="165"/>
      <c r="M527" s="165"/>
      <c r="N527" s="165"/>
      <c r="O527" s="165"/>
      <c r="P527" s="165"/>
      <c r="Q527" s="165"/>
      <c r="R527" s="165"/>
      <c r="S527" s="165"/>
      <c r="T527" s="165"/>
      <c r="U527" s="165"/>
      <c r="V527" s="165"/>
      <c r="W527" s="165"/>
      <c r="X527" s="165"/>
    </row>
    <row r="528" ht="18.75" customHeight="1">
      <c r="A528" s="165">
        <v>526.0</v>
      </c>
      <c r="B528" s="168" t="s">
        <v>15998</v>
      </c>
      <c r="C528" s="165"/>
      <c r="D528" s="165"/>
      <c r="E528" s="165"/>
      <c r="F528" s="165"/>
      <c r="G528" s="165"/>
      <c r="H528" s="165"/>
      <c r="I528" s="165"/>
      <c r="J528" s="165"/>
      <c r="K528" s="165"/>
      <c r="L528" s="165"/>
      <c r="M528" s="165"/>
      <c r="N528" s="165"/>
      <c r="O528" s="165"/>
      <c r="P528" s="165"/>
      <c r="Q528" s="165"/>
      <c r="R528" s="165"/>
      <c r="S528" s="165"/>
      <c r="T528" s="165"/>
      <c r="U528" s="165"/>
      <c r="V528" s="165"/>
      <c r="W528" s="165"/>
      <c r="X528" s="165"/>
    </row>
    <row r="529" ht="18.75" customHeight="1">
      <c r="A529" s="165">
        <v>527.0</v>
      </c>
      <c r="B529" s="168" t="s">
        <v>15999</v>
      </c>
      <c r="C529" s="165"/>
      <c r="D529" s="165"/>
      <c r="E529" s="165"/>
      <c r="F529" s="165"/>
      <c r="G529" s="165"/>
      <c r="H529" s="165"/>
      <c r="I529" s="165"/>
      <c r="J529" s="165"/>
      <c r="K529" s="165"/>
      <c r="L529" s="165"/>
      <c r="M529" s="165"/>
      <c r="N529" s="165"/>
      <c r="O529" s="165"/>
      <c r="P529" s="165"/>
      <c r="Q529" s="165"/>
      <c r="R529" s="165"/>
      <c r="S529" s="165"/>
      <c r="T529" s="165"/>
      <c r="U529" s="165"/>
      <c r="V529" s="165"/>
      <c r="W529" s="165"/>
      <c r="X529" s="165"/>
    </row>
    <row r="530" ht="18.75" customHeight="1">
      <c r="A530" s="165">
        <v>528.0</v>
      </c>
      <c r="B530" s="168" t="s">
        <v>16000</v>
      </c>
      <c r="C530" s="165"/>
      <c r="D530" s="165"/>
      <c r="E530" s="165"/>
      <c r="F530" s="165"/>
      <c r="G530" s="165"/>
      <c r="H530" s="165"/>
      <c r="I530" s="165"/>
      <c r="J530" s="165"/>
      <c r="K530" s="165"/>
      <c r="L530" s="165"/>
      <c r="M530" s="165"/>
      <c r="N530" s="165"/>
      <c r="O530" s="165"/>
      <c r="P530" s="165"/>
      <c r="Q530" s="165"/>
      <c r="R530" s="165"/>
      <c r="S530" s="165"/>
      <c r="T530" s="165"/>
      <c r="U530" s="165"/>
      <c r="V530" s="165"/>
      <c r="W530" s="165"/>
      <c r="X530" s="165"/>
    </row>
    <row r="531" ht="18.75" customHeight="1">
      <c r="A531" s="165">
        <v>529.0</v>
      </c>
      <c r="B531" s="167" t="s">
        <v>16001</v>
      </c>
      <c r="C531" s="165"/>
      <c r="D531" s="165"/>
      <c r="E531" s="165"/>
      <c r="F531" s="165"/>
      <c r="G531" s="165"/>
      <c r="H531" s="165"/>
      <c r="I531" s="165"/>
      <c r="J531" s="165"/>
      <c r="K531" s="165"/>
      <c r="L531" s="165"/>
      <c r="M531" s="165"/>
      <c r="N531" s="165"/>
      <c r="O531" s="165"/>
      <c r="P531" s="165"/>
      <c r="Q531" s="165"/>
      <c r="R531" s="165"/>
      <c r="S531" s="165"/>
      <c r="T531" s="165"/>
      <c r="U531" s="165"/>
      <c r="V531" s="165"/>
      <c r="W531" s="165"/>
      <c r="X531" s="165"/>
    </row>
    <row r="532" ht="18.75" customHeight="1">
      <c r="A532" s="165">
        <v>530.0</v>
      </c>
      <c r="B532" s="168" t="s">
        <v>16002</v>
      </c>
      <c r="C532" s="165"/>
      <c r="D532" s="165"/>
      <c r="E532" s="165"/>
      <c r="F532" s="165"/>
      <c r="G532" s="165"/>
      <c r="H532" s="165"/>
      <c r="I532" s="165"/>
      <c r="J532" s="165"/>
      <c r="K532" s="165"/>
      <c r="L532" s="165"/>
      <c r="M532" s="165"/>
      <c r="N532" s="165"/>
      <c r="O532" s="165"/>
      <c r="P532" s="165"/>
      <c r="Q532" s="165"/>
      <c r="R532" s="165"/>
      <c r="S532" s="165"/>
      <c r="T532" s="165"/>
      <c r="U532" s="165"/>
      <c r="V532" s="165"/>
      <c r="W532" s="165"/>
      <c r="X532" s="165"/>
    </row>
    <row r="533" ht="18.75" customHeight="1">
      <c r="A533" s="165">
        <v>531.0</v>
      </c>
      <c r="B533" s="168" t="s">
        <v>16003</v>
      </c>
      <c r="C533" s="165"/>
      <c r="D533" s="165"/>
      <c r="E533" s="165"/>
      <c r="F533" s="165"/>
      <c r="G533" s="165"/>
      <c r="H533" s="165"/>
      <c r="I533" s="165"/>
      <c r="J533" s="165"/>
      <c r="K533" s="165"/>
      <c r="L533" s="165"/>
      <c r="M533" s="165"/>
      <c r="N533" s="165"/>
      <c r="O533" s="165"/>
      <c r="P533" s="165"/>
      <c r="Q533" s="165"/>
      <c r="R533" s="165"/>
      <c r="S533" s="165"/>
      <c r="T533" s="165"/>
      <c r="U533" s="165"/>
      <c r="V533" s="165"/>
      <c r="W533" s="165"/>
      <c r="X533" s="165"/>
    </row>
    <row r="534" ht="18.75" customHeight="1">
      <c r="A534" s="165">
        <v>532.0</v>
      </c>
      <c r="B534" s="168" t="s">
        <v>16004</v>
      </c>
      <c r="C534" s="165"/>
      <c r="D534" s="165"/>
      <c r="E534" s="165"/>
      <c r="F534" s="165"/>
      <c r="G534" s="165"/>
      <c r="H534" s="165"/>
      <c r="I534" s="165"/>
      <c r="J534" s="165"/>
      <c r="K534" s="165"/>
      <c r="L534" s="165"/>
      <c r="M534" s="165"/>
      <c r="N534" s="165"/>
      <c r="O534" s="165"/>
      <c r="P534" s="165"/>
      <c r="Q534" s="165"/>
      <c r="R534" s="165"/>
      <c r="S534" s="165"/>
      <c r="T534" s="165"/>
      <c r="U534" s="165"/>
      <c r="V534" s="165"/>
      <c r="W534" s="165"/>
      <c r="X534" s="165"/>
    </row>
    <row r="535" ht="18.75" customHeight="1">
      <c r="A535" s="165">
        <v>533.0</v>
      </c>
      <c r="B535" s="168" t="s">
        <v>16005</v>
      </c>
      <c r="C535" s="165"/>
      <c r="D535" s="165"/>
      <c r="E535" s="165"/>
      <c r="F535" s="165"/>
      <c r="G535" s="165"/>
      <c r="H535" s="165"/>
      <c r="I535" s="165"/>
      <c r="J535" s="165"/>
      <c r="K535" s="165"/>
      <c r="L535" s="165"/>
      <c r="M535" s="165"/>
      <c r="N535" s="165"/>
      <c r="O535" s="165"/>
      <c r="P535" s="165"/>
      <c r="Q535" s="165"/>
      <c r="R535" s="165"/>
      <c r="S535" s="165"/>
      <c r="T535" s="165"/>
      <c r="U535" s="165"/>
      <c r="V535" s="165"/>
      <c r="W535" s="165"/>
      <c r="X535" s="165"/>
    </row>
    <row r="536" ht="18.75" customHeight="1">
      <c r="A536" s="165">
        <v>534.0</v>
      </c>
      <c r="B536" s="167" t="s">
        <v>16006</v>
      </c>
      <c r="C536" s="165"/>
      <c r="D536" s="165"/>
      <c r="E536" s="165"/>
      <c r="F536" s="165"/>
      <c r="G536" s="165"/>
      <c r="H536" s="165"/>
      <c r="I536" s="165"/>
      <c r="J536" s="165"/>
      <c r="K536" s="165"/>
      <c r="L536" s="165"/>
      <c r="M536" s="165"/>
      <c r="N536" s="165"/>
      <c r="O536" s="165"/>
      <c r="P536" s="165"/>
      <c r="Q536" s="165"/>
      <c r="R536" s="165"/>
      <c r="S536" s="165"/>
      <c r="T536" s="165"/>
      <c r="U536" s="165"/>
      <c r="V536" s="165"/>
      <c r="W536" s="165"/>
      <c r="X536" s="165"/>
    </row>
    <row r="537" ht="18.75" customHeight="1">
      <c r="A537" s="165">
        <v>535.0</v>
      </c>
      <c r="B537" s="165" t="s">
        <v>16007</v>
      </c>
      <c r="C537" s="165"/>
      <c r="D537" s="165"/>
      <c r="E537" s="165"/>
      <c r="F537" s="165"/>
      <c r="G537" s="165"/>
      <c r="H537" s="165"/>
      <c r="I537" s="165"/>
      <c r="J537" s="165"/>
      <c r="K537" s="165"/>
      <c r="L537" s="165"/>
      <c r="M537" s="165"/>
      <c r="N537" s="165"/>
      <c r="O537" s="165"/>
      <c r="P537" s="165"/>
      <c r="Q537" s="165"/>
      <c r="R537" s="165"/>
      <c r="S537" s="165"/>
      <c r="T537" s="165"/>
      <c r="U537" s="165"/>
      <c r="V537" s="165"/>
      <c r="W537" s="165"/>
      <c r="X537" s="165"/>
    </row>
    <row r="538" ht="18.75" customHeight="1">
      <c r="A538" s="165">
        <v>536.0</v>
      </c>
      <c r="B538" s="168" t="s">
        <v>16008</v>
      </c>
      <c r="C538" s="165"/>
      <c r="D538" s="165"/>
      <c r="E538" s="165"/>
      <c r="F538" s="165"/>
      <c r="G538" s="165"/>
      <c r="H538" s="165"/>
      <c r="I538" s="165"/>
      <c r="J538" s="165"/>
      <c r="K538" s="165"/>
      <c r="L538" s="165"/>
      <c r="M538" s="165"/>
      <c r="N538" s="165"/>
      <c r="O538" s="165"/>
      <c r="P538" s="165"/>
      <c r="Q538" s="165"/>
      <c r="R538" s="165"/>
      <c r="S538" s="165"/>
      <c r="T538" s="165"/>
      <c r="U538" s="165"/>
      <c r="V538" s="165"/>
      <c r="W538" s="165"/>
      <c r="X538" s="165"/>
    </row>
    <row r="539" ht="18.75" customHeight="1">
      <c r="A539" s="165">
        <v>537.0</v>
      </c>
      <c r="B539" s="168" t="s">
        <v>16009</v>
      </c>
      <c r="C539" s="165"/>
      <c r="D539" s="165"/>
      <c r="E539" s="165"/>
      <c r="F539" s="165"/>
      <c r="G539" s="165"/>
      <c r="H539" s="165"/>
      <c r="I539" s="165"/>
      <c r="J539" s="165"/>
      <c r="K539" s="165"/>
      <c r="L539" s="165"/>
      <c r="M539" s="165"/>
      <c r="N539" s="165"/>
      <c r="O539" s="165"/>
      <c r="P539" s="165"/>
      <c r="Q539" s="165"/>
      <c r="R539" s="165"/>
      <c r="S539" s="165"/>
      <c r="T539" s="165"/>
      <c r="U539" s="165"/>
      <c r="V539" s="165"/>
      <c r="W539" s="165"/>
      <c r="X539" s="165"/>
    </row>
    <row r="540" ht="18.75" customHeight="1">
      <c r="A540" s="165">
        <v>538.0</v>
      </c>
      <c r="B540" s="168" t="s">
        <v>16010</v>
      </c>
      <c r="C540" s="165"/>
      <c r="D540" s="165"/>
      <c r="E540" s="165"/>
      <c r="F540" s="165"/>
      <c r="G540" s="165"/>
      <c r="H540" s="165"/>
      <c r="I540" s="165"/>
      <c r="J540" s="165"/>
      <c r="K540" s="165"/>
      <c r="L540" s="165"/>
      <c r="M540" s="165"/>
      <c r="N540" s="165"/>
      <c r="O540" s="165"/>
      <c r="P540" s="165"/>
      <c r="Q540" s="165"/>
      <c r="R540" s="165"/>
      <c r="S540" s="165"/>
      <c r="T540" s="165"/>
      <c r="U540" s="165"/>
      <c r="V540" s="165"/>
      <c r="W540" s="165"/>
      <c r="X540" s="165"/>
    </row>
    <row r="541" ht="18.75" customHeight="1">
      <c r="A541" s="165">
        <v>539.0</v>
      </c>
      <c r="B541" s="168" t="s">
        <v>16011</v>
      </c>
      <c r="C541" s="165"/>
      <c r="D541" s="165"/>
      <c r="E541" s="165"/>
      <c r="F541" s="165"/>
      <c r="G541" s="165"/>
      <c r="H541" s="165"/>
      <c r="I541" s="165"/>
      <c r="J541" s="165"/>
      <c r="K541" s="165"/>
      <c r="L541" s="165"/>
      <c r="M541" s="165"/>
      <c r="N541" s="165"/>
      <c r="O541" s="165"/>
      <c r="P541" s="165"/>
      <c r="Q541" s="165"/>
      <c r="R541" s="165"/>
      <c r="S541" s="165"/>
      <c r="T541" s="165"/>
      <c r="U541" s="165"/>
      <c r="V541" s="165"/>
      <c r="W541" s="165"/>
      <c r="X541" s="165"/>
    </row>
    <row r="542" ht="18.75" customHeight="1">
      <c r="A542" s="165">
        <v>540.0</v>
      </c>
      <c r="B542" s="168" t="s">
        <v>16012</v>
      </c>
      <c r="C542" s="165"/>
      <c r="D542" s="165"/>
      <c r="E542" s="165"/>
      <c r="F542" s="165"/>
      <c r="G542" s="165"/>
      <c r="H542" s="165"/>
      <c r="I542" s="165"/>
      <c r="J542" s="165"/>
      <c r="K542" s="165"/>
      <c r="L542" s="165"/>
      <c r="M542" s="165"/>
      <c r="N542" s="165"/>
      <c r="O542" s="165"/>
      <c r="P542" s="165"/>
      <c r="Q542" s="165"/>
      <c r="R542" s="165"/>
      <c r="S542" s="165"/>
      <c r="T542" s="165"/>
      <c r="U542" s="165"/>
      <c r="V542" s="165"/>
      <c r="W542" s="165"/>
      <c r="X542" s="165"/>
    </row>
    <row r="543" ht="18.75" customHeight="1">
      <c r="A543" s="165">
        <v>541.0</v>
      </c>
      <c r="B543" s="165" t="s">
        <v>16013</v>
      </c>
      <c r="C543" s="165"/>
      <c r="D543" s="165"/>
      <c r="E543" s="165"/>
      <c r="F543" s="165"/>
      <c r="G543" s="165"/>
      <c r="H543" s="165"/>
      <c r="I543" s="165"/>
      <c r="J543" s="165"/>
      <c r="K543" s="165"/>
      <c r="L543" s="165"/>
      <c r="M543" s="165"/>
      <c r="N543" s="165"/>
      <c r="O543" s="165"/>
      <c r="P543" s="165"/>
      <c r="Q543" s="165"/>
      <c r="R543" s="165"/>
      <c r="S543" s="165"/>
      <c r="T543" s="165"/>
      <c r="U543" s="165"/>
      <c r="V543" s="165"/>
      <c r="W543" s="165"/>
      <c r="X543" s="165"/>
    </row>
    <row r="544" ht="18.75" customHeight="1">
      <c r="A544" s="165">
        <v>542.0</v>
      </c>
      <c r="B544" s="168" t="s">
        <v>16014</v>
      </c>
      <c r="C544" s="165"/>
      <c r="D544" s="165"/>
      <c r="E544" s="165"/>
      <c r="F544" s="165"/>
      <c r="G544" s="165"/>
      <c r="H544" s="165"/>
      <c r="I544" s="165"/>
      <c r="J544" s="165"/>
      <c r="K544" s="165"/>
      <c r="L544" s="165"/>
      <c r="M544" s="165"/>
      <c r="N544" s="165"/>
      <c r="O544" s="165"/>
      <c r="P544" s="165"/>
      <c r="Q544" s="165"/>
      <c r="R544" s="165"/>
      <c r="S544" s="165"/>
      <c r="T544" s="165"/>
      <c r="U544" s="165"/>
      <c r="V544" s="165"/>
      <c r="W544" s="165"/>
      <c r="X544" s="165"/>
    </row>
    <row r="545" ht="18.75" customHeight="1">
      <c r="A545" s="165">
        <v>543.0</v>
      </c>
      <c r="B545" s="168" t="s">
        <v>16015</v>
      </c>
      <c r="C545" s="165"/>
      <c r="D545" s="165"/>
      <c r="E545" s="165"/>
      <c r="F545" s="165"/>
      <c r="G545" s="165"/>
      <c r="H545" s="165"/>
      <c r="I545" s="165"/>
      <c r="J545" s="165"/>
      <c r="K545" s="165"/>
      <c r="L545" s="165"/>
      <c r="M545" s="165"/>
      <c r="N545" s="165"/>
      <c r="O545" s="165"/>
      <c r="P545" s="165"/>
      <c r="Q545" s="165"/>
      <c r="R545" s="165"/>
      <c r="S545" s="165"/>
      <c r="T545" s="165"/>
      <c r="U545" s="165"/>
      <c r="V545" s="165"/>
      <c r="W545" s="165"/>
      <c r="X545" s="165"/>
    </row>
    <row r="546" ht="18.75" customHeight="1">
      <c r="A546" s="165">
        <v>544.0</v>
      </c>
      <c r="B546" s="168" t="s">
        <v>16016</v>
      </c>
      <c r="C546" s="165"/>
      <c r="D546" s="165"/>
      <c r="E546" s="165"/>
      <c r="F546" s="165"/>
      <c r="G546" s="165"/>
      <c r="H546" s="165"/>
      <c r="I546" s="165"/>
      <c r="J546" s="165"/>
      <c r="K546" s="165"/>
      <c r="L546" s="165"/>
      <c r="M546" s="165"/>
      <c r="N546" s="165"/>
      <c r="O546" s="165"/>
      <c r="P546" s="165"/>
      <c r="Q546" s="165"/>
      <c r="R546" s="165"/>
      <c r="S546" s="165"/>
      <c r="T546" s="165"/>
      <c r="U546" s="165"/>
      <c r="V546" s="165"/>
      <c r="W546" s="165"/>
      <c r="X546" s="165"/>
    </row>
    <row r="547" ht="18.75" customHeight="1">
      <c r="A547" s="165">
        <v>545.0</v>
      </c>
      <c r="B547" s="168" t="s">
        <v>16017</v>
      </c>
      <c r="C547" s="165"/>
      <c r="D547" s="165"/>
      <c r="E547" s="165"/>
      <c r="F547" s="165"/>
      <c r="G547" s="165"/>
      <c r="H547" s="165"/>
      <c r="I547" s="165"/>
      <c r="J547" s="165"/>
      <c r="K547" s="165"/>
      <c r="L547" s="165"/>
      <c r="M547" s="165"/>
      <c r="N547" s="165"/>
      <c r="O547" s="165"/>
      <c r="P547" s="165"/>
      <c r="Q547" s="165"/>
      <c r="R547" s="165"/>
      <c r="S547" s="165"/>
      <c r="T547" s="165"/>
      <c r="U547" s="165"/>
      <c r="V547" s="165"/>
      <c r="W547" s="165"/>
      <c r="X547" s="165"/>
    </row>
    <row r="548" ht="18.75" customHeight="1">
      <c r="A548" s="165">
        <v>546.0</v>
      </c>
      <c r="B548" s="168" t="s">
        <v>16018</v>
      </c>
      <c r="C548" s="165"/>
      <c r="D548" s="165"/>
      <c r="E548" s="165"/>
      <c r="F548" s="165"/>
      <c r="G548" s="165"/>
      <c r="H548" s="165"/>
      <c r="I548" s="165"/>
      <c r="J548" s="165"/>
      <c r="K548" s="165"/>
      <c r="L548" s="165"/>
      <c r="M548" s="165"/>
      <c r="N548" s="165"/>
      <c r="O548" s="165"/>
      <c r="P548" s="165"/>
      <c r="Q548" s="165"/>
      <c r="R548" s="165"/>
      <c r="S548" s="165"/>
      <c r="T548" s="165"/>
      <c r="U548" s="165"/>
      <c r="V548" s="165"/>
      <c r="W548" s="165"/>
      <c r="X548" s="165"/>
    </row>
    <row r="549" ht="18.75" customHeight="1">
      <c r="A549" s="165">
        <v>547.0</v>
      </c>
      <c r="B549" s="168" t="s">
        <v>16019</v>
      </c>
      <c r="C549" s="165"/>
      <c r="D549" s="165"/>
      <c r="E549" s="165"/>
      <c r="F549" s="165"/>
      <c r="G549" s="165"/>
      <c r="H549" s="165"/>
      <c r="I549" s="165"/>
      <c r="J549" s="165"/>
      <c r="K549" s="165"/>
      <c r="L549" s="165"/>
      <c r="M549" s="165"/>
      <c r="N549" s="165"/>
      <c r="O549" s="165"/>
      <c r="P549" s="165"/>
      <c r="Q549" s="165"/>
      <c r="R549" s="165"/>
      <c r="S549" s="165"/>
      <c r="T549" s="165"/>
      <c r="U549" s="165"/>
      <c r="V549" s="165"/>
      <c r="W549" s="165"/>
      <c r="X549" s="165"/>
    </row>
    <row r="550" ht="18.75" customHeight="1">
      <c r="A550" s="165">
        <v>548.0</v>
      </c>
      <c r="B550" s="168" t="s">
        <v>16020</v>
      </c>
      <c r="C550" s="165"/>
      <c r="D550" s="165"/>
      <c r="E550" s="165"/>
      <c r="F550" s="165"/>
      <c r="G550" s="165"/>
      <c r="H550" s="165"/>
      <c r="I550" s="165"/>
      <c r="J550" s="165"/>
      <c r="K550" s="165"/>
      <c r="L550" s="165"/>
      <c r="M550" s="165"/>
      <c r="N550" s="165"/>
      <c r="O550" s="165"/>
      <c r="P550" s="165"/>
      <c r="Q550" s="165"/>
      <c r="R550" s="165"/>
      <c r="S550" s="165"/>
      <c r="T550" s="165"/>
      <c r="U550" s="165"/>
      <c r="V550" s="165"/>
      <c r="W550" s="165"/>
      <c r="X550" s="165"/>
    </row>
    <row r="551" ht="18.75" customHeight="1">
      <c r="A551" s="165">
        <v>549.0</v>
      </c>
      <c r="B551" s="168" t="s">
        <v>16021</v>
      </c>
      <c r="C551" s="165"/>
      <c r="D551" s="165"/>
      <c r="E551" s="165"/>
      <c r="F551" s="165"/>
      <c r="G551" s="165"/>
      <c r="H551" s="165"/>
      <c r="I551" s="165"/>
      <c r="J551" s="165"/>
      <c r="K551" s="165"/>
      <c r="L551" s="165"/>
      <c r="M551" s="165"/>
      <c r="N551" s="165"/>
      <c r="O551" s="165"/>
      <c r="P551" s="165"/>
      <c r="Q551" s="165"/>
      <c r="R551" s="165"/>
      <c r="S551" s="165"/>
      <c r="T551" s="165"/>
      <c r="U551" s="165"/>
      <c r="V551" s="165"/>
      <c r="W551" s="165"/>
      <c r="X551" s="165"/>
    </row>
    <row r="552" ht="18.75" customHeight="1">
      <c r="A552" s="165">
        <v>550.0</v>
      </c>
      <c r="B552" s="168" t="s">
        <v>16022</v>
      </c>
      <c r="C552" s="165"/>
      <c r="D552" s="165"/>
      <c r="E552" s="165"/>
      <c r="F552" s="165"/>
      <c r="G552" s="165"/>
      <c r="H552" s="165"/>
      <c r="I552" s="165"/>
      <c r="J552" s="165"/>
      <c r="K552" s="165"/>
      <c r="L552" s="165"/>
      <c r="M552" s="165"/>
      <c r="N552" s="165"/>
      <c r="O552" s="165"/>
      <c r="P552" s="165"/>
      <c r="Q552" s="165"/>
      <c r="R552" s="165"/>
      <c r="S552" s="165"/>
      <c r="T552" s="165"/>
      <c r="U552" s="165"/>
      <c r="V552" s="165"/>
      <c r="W552" s="165"/>
      <c r="X552" s="165"/>
    </row>
    <row r="553" ht="18.75" customHeight="1">
      <c r="A553" s="165">
        <v>551.0</v>
      </c>
      <c r="B553" s="168" t="s">
        <v>16023</v>
      </c>
      <c r="C553" s="165"/>
      <c r="D553" s="165"/>
      <c r="E553" s="165"/>
      <c r="F553" s="165"/>
      <c r="G553" s="165"/>
      <c r="H553" s="165"/>
      <c r="I553" s="165"/>
      <c r="J553" s="165"/>
      <c r="K553" s="165"/>
      <c r="L553" s="165"/>
      <c r="M553" s="165"/>
      <c r="N553" s="165"/>
      <c r="O553" s="165"/>
      <c r="P553" s="165"/>
      <c r="Q553" s="165"/>
      <c r="R553" s="165"/>
      <c r="S553" s="165"/>
      <c r="T553" s="165"/>
      <c r="U553" s="165"/>
      <c r="V553" s="165"/>
      <c r="W553" s="165"/>
      <c r="X553" s="165"/>
    </row>
    <row r="554" ht="18.75" customHeight="1">
      <c r="A554" s="165">
        <v>552.0</v>
      </c>
      <c r="B554" s="168" t="s">
        <v>16024</v>
      </c>
      <c r="C554" s="165"/>
      <c r="D554" s="165"/>
      <c r="E554" s="165"/>
      <c r="F554" s="165"/>
      <c r="G554" s="165"/>
      <c r="H554" s="165"/>
      <c r="I554" s="165"/>
      <c r="J554" s="165"/>
      <c r="K554" s="165"/>
      <c r="L554" s="165"/>
      <c r="M554" s="165"/>
      <c r="N554" s="165"/>
      <c r="O554" s="165"/>
      <c r="P554" s="165"/>
      <c r="Q554" s="165"/>
      <c r="R554" s="165"/>
      <c r="S554" s="165"/>
      <c r="T554" s="165"/>
      <c r="U554" s="165"/>
      <c r="V554" s="165"/>
      <c r="W554" s="165"/>
      <c r="X554" s="165"/>
    </row>
    <row r="555" ht="18.75" customHeight="1">
      <c r="A555" s="165">
        <v>553.0</v>
      </c>
      <c r="B555" s="168" t="s">
        <v>16025</v>
      </c>
      <c r="C555" s="165"/>
      <c r="D555" s="165"/>
      <c r="E555" s="165"/>
      <c r="F555" s="165"/>
      <c r="G555" s="165"/>
      <c r="H555" s="165"/>
      <c r="I555" s="165"/>
      <c r="J555" s="165"/>
      <c r="K555" s="165"/>
      <c r="L555" s="165"/>
      <c r="M555" s="165"/>
      <c r="N555" s="165"/>
      <c r="O555" s="165"/>
      <c r="P555" s="165"/>
      <c r="Q555" s="165"/>
      <c r="R555" s="165"/>
      <c r="S555" s="165"/>
      <c r="T555" s="165"/>
      <c r="U555" s="165"/>
      <c r="V555" s="165"/>
      <c r="W555" s="165"/>
      <c r="X555" s="165"/>
    </row>
    <row r="556" ht="18.75" customHeight="1">
      <c r="A556" s="165">
        <v>554.0</v>
      </c>
      <c r="B556" s="168" t="s">
        <v>16026</v>
      </c>
      <c r="C556" s="165"/>
      <c r="D556" s="165"/>
      <c r="E556" s="165"/>
      <c r="F556" s="165"/>
      <c r="G556" s="165"/>
      <c r="H556" s="165"/>
      <c r="I556" s="165"/>
      <c r="J556" s="165"/>
      <c r="K556" s="165"/>
      <c r="L556" s="165"/>
      <c r="M556" s="165"/>
      <c r="N556" s="165"/>
      <c r="O556" s="165"/>
      <c r="P556" s="165"/>
      <c r="Q556" s="165"/>
      <c r="R556" s="165"/>
      <c r="S556" s="165"/>
      <c r="T556" s="165"/>
      <c r="U556" s="165"/>
      <c r="V556" s="165"/>
      <c r="W556" s="165"/>
      <c r="X556" s="165"/>
    </row>
    <row r="557" ht="18.75" customHeight="1">
      <c r="A557" s="165">
        <v>555.0</v>
      </c>
      <c r="B557" s="168" t="s">
        <v>16027</v>
      </c>
      <c r="C557" s="165"/>
      <c r="D557" s="165"/>
      <c r="E557" s="165"/>
      <c r="F557" s="165"/>
      <c r="G557" s="165"/>
      <c r="H557" s="165"/>
      <c r="I557" s="165"/>
      <c r="J557" s="165"/>
      <c r="K557" s="165"/>
      <c r="L557" s="165"/>
      <c r="M557" s="165"/>
      <c r="N557" s="165"/>
      <c r="O557" s="165"/>
      <c r="P557" s="165"/>
      <c r="Q557" s="165"/>
      <c r="R557" s="165"/>
      <c r="S557" s="165"/>
      <c r="T557" s="165"/>
      <c r="U557" s="165"/>
      <c r="V557" s="165"/>
      <c r="W557" s="165"/>
      <c r="X557" s="165"/>
    </row>
    <row r="558" ht="18.75" customHeight="1">
      <c r="A558" s="165">
        <v>556.0</v>
      </c>
      <c r="B558" s="168" t="s">
        <v>16028</v>
      </c>
      <c r="C558" s="165"/>
      <c r="D558" s="165"/>
      <c r="E558" s="165"/>
      <c r="F558" s="165"/>
      <c r="G558" s="165"/>
      <c r="H558" s="165"/>
      <c r="I558" s="165"/>
      <c r="J558" s="165"/>
      <c r="K558" s="165"/>
      <c r="L558" s="165"/>
      <c r="M558" s="165"/>
      <c r="N558" s="165"/>
      <c r="O558" s="165"/>
      <c r="P558" s="165"/>
      <c r="Q558" s="165"/>
      <c r="R558" s="165"/>
      <c r="S558" s="165"/>
      <c r="T558" s="165"/>
      <c r="U558" s="165"/>
      <c r="V558" s="165"/>
      <c r="W558" s="165"/>
      <c r="X558" s="165"/>
    </row>
    <row r="559" ht="18.75" customHeight="1">
      <c r="A559" s="165">
        <v>557.0</v>
      </c>
      <c r="B559" s="168" t="s">
        <v>16029</v>
      </c>
      <c r="C559" s="165"/>
      <c r="D559" s="165"/>
      <c r="E559" s="165"/>
      <c r="F559" s="165"/>
      <c r="G559" s="165"/>
      <c r="H559" s="165"/>
      <c r="I559" s="165"/>
      <c r="J559" s="165"/>
      <c r="K559" s="165"/>
      <c r="L559" s="165"/>
      <c r="M559" s="165"/>
      <c r="N559" s="165"/>
      <c r="O559" s="165"/>
      <c r="P559" s="165"/>
      <c r="Q559" s="165"/>
      <c r="R559" s="165"/>
      <c r="S559" s="165"/>
      <c r="T559" s="165"/>
      <c r="U559" s="165"/>
      <c r="V559" s="165"/>
      <c r="W559" s="165"/>
      <c r="X559" s="165"/>
    </row>
    <row r="560" ht="18.75" customHeight="1">
      <c r="A560" s="165">
        <v>558.0</v>
      </c>
      <c r="B560" s="168" t="s">
        <v>16030</v>
      </c>
      <c r="C560" s="165"/>
      <c r="D560" s="165"/>
      <c r="E560" s="165"/>
      <c r="F560" s="165"/>
      <c r="G560" s="165"/>
      <c r="H560" s="165"/>
      <c r="I560" s="165"/>
      <c r="J560" s="165"/>
      <c r="K560" s="165"/>
      <c r="L560" s="165"/>
      <c r="M560" s="165"/>
      <c r="N560" s="165"/>
      <c r="O560" s="165"/>
      <c r="P560" s="165"/>
      <c r="Q560" s="165"/>
      <c r="R560" s="165"/>
      <c r="S560" s="165"/>
      <c r="T560" s="165"/>
      <c r="U560" s="165"/>
      <c r="V560" s="165"/>
      <c r="W560" s="165"/>
      <c r="X560" s="165"/>
    </row>
    <row r="561" ht="18.75" customHeight="1">
      <c r="A561" s="165">
        <v>559.0</v>
      </c>
      <c r="B561" s="168" t="s">
        <v>16031</v>
      </c>
      <c r="C561" s="165"/>
      <c r="D561" s="165"/>
      <c r="E561" s="165"/>
      <c r="F561" s="165"/>
      <c r="G561" s="165"/>
      <c r="H561" s="165"/>
      <c r="I561" s="165"/>
      <c r="J561" s="165"/>
      <c r="K561" s="165"/>
      <c r="L561" s="165"/>
      <c r="M561" s="165"/>
      <c r="N561" s="165"/>
      <c r="O561" s="165"/>
      <c r="P561" s="165"/>
      <c r="Q561" s="165"/>
      <c r="R561" s="165"/>
      <c r="S561" s="165"/>
      <c r="T561" s="165"/>
      <c r="U561" s="165"/>
      <c r="V561" s="165"/>
      <c r="W561" s="165"/>
      <c r="X561" s="165"/>
    </row>
    <row r="562" ht="18.75" customHeight="1">
      <c r="A562" s="165">
        <v>560.0</v>
      </c>
      <c r="B562" s="168" t="s">
        <v>16032</v>
      </c>
      <c r="C562" s="165"/>
      <c r="D562" s="165"/>
      <c r="E562" s="165"/>
      <c r="F562" s="165"/>
      <c r="G562" s="165"/>
      <c r="H562" s="165"/>
      <c r="I562" s="165"/>
      <c r="J562" s="165"/>
      <c r="K562" s="165"/>
      <c r="L562" s="165"/>
      <c r="M562" s="165"/>
      <c r="N562" s="165"/>
      <c r="O562" s="165"/>
      <c r="P562" s="165"/>
      <c r="Q562" s="165"/>
      <c r="R562" s="165"/>
      <c r="S562" s="165"/>
      <c r="T562" s="165"/>
      <c r="U562" s="165"/>
      <c r="V562" s="165"/>
      <c r="W562" s="165"/>
      <c r="X562" s="165"/>
    </row>
    <row r="563" ht="18.75" customHeight="1">
      <c r="A563" s="165">
        <v>561.0</v>
      </c>
      <c r="B563" s="168" t="s">
        <v>16033</v>
      </c>
      <c r="C563" s="165"/>
      <c r="D563" s="165"/>
      <c r="E563" s="165"/>
      <c r="F563" s="165"/>
      <c r="G563" s="165"/>
      <c r="H563" s="165"/>
      <c r="I563" s="165"/>
      <c r="J563" s="165"/>
      <c r="K563" s="165"/>
      <c r="L563" s="165"/>
      <c r="M563" s="165"/>
      <c r="N563" s="165"/>
      <c r="O563" s="165"/>
      <c r="P563" s="165"/>
      <c r="Q563" s="165"/>
      <c r="R563" s="165"/>
      <c r="S563" s="165"/>
      <c r="T563" s="165"/>
      <c r="U563" s="165"/>
      <c r="V563" s="165"/>
      <c r="W563" s="165"/>
      <c r="X563" s="165"/>
    </row>
    <row r="564" ht="18.75" customHeight="1">
      <c r="A564" s="165">
        <v>562.0</v>
      </c>
      <c r="B564" s="168" t="s">
        <v>16034</v>
      </c>
      <c r="C564" s="165"/>
      <c r="D564" s="165"/>
      <c r="E564" s="165"/>
      <c r="F564" s="165"/>
      <c r="G564" s="165"/>
      <c r="H564" s="165"/>
      <c r="I564" s="165"/>
      <c r="J564" s="165"/>
      <c r="K564" s="165"/>
      <c r="L564" s="165"/>
      <c r="M564" s="165"/>
      <c r="N564" s="165"/>
      <c r="O564" s="165"/>
      <c r="P564" s="165"/>
      <c r="Q564" s="165"/>
      <c r="R564" s="165"/>
      <c r="S564" s="165"/>
      <c r="T564" s="165"/>
      <c r="U564" s="165"/>
      <c r="V564" s="165"/>
      <c r="W564" s="165"/>
      <c r="X564" s="165"/>
    </row>
    <row r="565" ht="18.75" customHeight="1">
      <c r="A565" s="165">
        <v>563.0</v>
      </c>
      <c r="B565" s="168" t="s">
        <v>16035</v>
      </c>
      <c r="C565" s="165"/>
      <c r="D565" s="165"/>
      <c r="E565" s="165"/>
      <c r="F565" s="165"/>
      <c r="G565" s="165"/>
      <c r="H565" s="165"/>
      <c r="I565" s="165"/>
      <c r="J565" s="165"/>
      <c r="K565" s="165"/>
      <c r="L565" s="165"/>
      <c r="M565" s="165"/>
      <c r="N565" s="165"/>
      <c r="O565" s="165"/>
      <c r="P565" s="165"/>
      <c r="Q565" s="165"/>
      <c r="R565" s="165"/>
      <c r="S565" s="165"/>
      <c r="T565" s="165"/>
      <c r="U565" s="165"/>
      <c r="V565" s="165"/>
      <c r="W565" s="165"/>
      <c r="X565" s="165"/>
    </row>
    <row r="566" ht="18.75" customHeight="1">
      <c r="A566" s="165">
        <v>564.0</v>
      </c>
      <c r="B566" s="168" t="s">
        <v>16036</v>
      </c>
      <c r="C566" s="165"/>
      <c r="D566" s="165"/>
      <c r="E566" s="165"/>
      <c r="F566" s="165"/>
      <c r="G566" s="165"/>
      <c r="H566" s="165"/>
      <c r="I566" s="165"/>
      <c r="J566" s="165"/>
      <c r="K566" s="165"/>
      <c r="L566" s="165"/>
      <c r="M566" s="165"/>
      <c r="N566" s="165"/>
      <c r="O566" s="165"/>
      <c r="P566" s="165"/>
      <c r="Q566" s="165"/>
      <c r="R566" s="165"/>
      <c r="S566" s="165"/>
      <c r="T566" s="165"/>
      <c r="U566" s="165"/>
      <c r="V566" s="165"/>
      <c r="W566" s="165"/>
      <c r="X566" s="165"/>
    </row>
    <row r="567" ht="18.75" customHeight="1">
      <c r="A567" s="165">
        <v>565.0</v>
      </c>
      <c r="B567" s="168" t="s">
        <v>16037</v>
      </c>
      <c r="C567" s="165"/>
      <c r="D567" s="165"/>
      <c r="E567" s="165"/>
      <c r="F567" s="165"/>
      <c r="G567" s="165"/>
      <c r="H567" s="165"/>
      <c r="I567" s="165"/>
      <c r="J567" s="165"/>
      <c r="K567" s="165"/>
      <c r="L567" s="165"/>
      <c r="M567" s="165"/>
      <c r="N567" s="165"/>
      <c r="O567" s="165"/>
      <c r="P567" s="165"/>
      <c r="Q567" s="165"/>
      <c r="R567" s="165"/>
      <c r="S567" s="165"/>
      <c r="T567" s="165"/>
      <c r="U567" s="165"/>
      <c r="V567" s="165"/>
      <c r="W567" s="165"/>
      <c r="X567" s="165"/>
    </row>
    <row r="568" ht="18.75" customHeight="1">
      <c r="A568" s="165">
        <v>566.0</v>
      </c>
      <c r="B568" s="168" t="s">
        <v>16038</v>
      </c>
      <c r="C568" s="165"/>
      <c r="D568" s="165"/>
      <c r="E568" s="165"/>
      <c r="F568" s="165"/>
      <c r="G568" s="165"/>
      <c r="H568" s="165"/>
      <c r="I568" s="165"/>
      <c r="J568" s="165"/>
      <c r="K568" s="165"/>
      <c r="L568" s="165"/>
      <c r="M568" s="165"/>
      <c r="N568" s="165"/>
      <c r="O568" s="165"/>
      <c r="P568" s="165"/>
      <c r="Q568" s="165"/>
      <c r="R568" s="165"/>
      <c r="S568" s="165"/>
      <c r="T568" s="165"/>
      <c r="U568" s="165"/>
      <c r="V568" s="165"/>
      <c r="W568" s="165"/>
      <c r="X568" s="165"/>
    </row>
    <row r="569" ht="18.75" customHeight="1">
      <c r="A569" s="165">
        <v>567.0</v>
      </c>
      <c r="B569" s="167" t="s">
        <v>16039</v>
      </c>
      <c r="C569" s="165"/>
      <c r="D569" s="165"/>
      <c r="E569" s="165"/>
      <c r="F569" s="165"/>
      <c r="G569" s="165"/>
      <c r="H569" s="165"/>
      <c r="I569" s="165"/>
      <c r="J569" s="165"/>
      <c r="K569" s="165"/>
      <c r="L569" s="165"/>
      <c r="M569" s="165"/>
      <c r="N569" s="165"/>
      <c r="O569" s="165"/>
      <c r="P569" s="165"/>
      <c r="Q569" s="165"/>
      <c r="R569" s="165"/>
      <c r="S569" s="165"/>
      <c r="T569" s="165"/>
      <c r="U569" s="165"/>
      <c r="V569" s="165"/>
      <c r="W569" s="165"/>
      <c r="X569" s="165"/>
    </row>
    <row r="570" ht="18.75" customHeight="1">
      <c r="A570" s="165">
        <v>568.0</v>
      </c>
      <c r="B570" s="168" t="s">
        <v>16040</v>
      </c>
      <c r="C570" s="165"/>
      <c r="D570" s="165"/>
      <c r="E570" s="165"/>
      <c r="F570" s="165"/>
      <c r="G570" s="165"/>
      <c r="H570" s="165"/>
      <c r="I570" s="165"/>
      <c r="J570" s="165"/>
      <c r="K570" s="165"/>
      <c r="L570" s="165"/>
      <c r="M570" s="165"/>
      <c r="N570" s="165"/>
      <c r="O570" s="165"/>
      <c r="P570" s="165"/>
      <c r="Q570" s="165"/>
      <c r="R570" s="165"/>
      <c r="S570" s="165"/>
      <c r="T570" s="165"/>
      <c r="U570" s="165"/>
      <c r="V570" s="165"/>
      <c r="W570" s="165"/>
      <c r="X570" s="165"/>
    </row>
    <row r="571" ht="18.75" customHeight="1">
      <c r="A571" s="165">
        <v>569.0</v>
      </c>
      <c r="B571" s="178" t="s">
        <v>16041</v>
      </c>
      <c r="C571" s="165"/>
      <c r="D571" s="165"/>
      <c r="E571" s="165"/>
      <c r="F571" s="165"/>
      <c r="G571" s="165"/>
      <c r="H571" s="165"/>
      <c r="I571" s="165"/>
      <c r="J571" s="165"/>
      <c r="K571" s="165"/>
      <c r="L571" s="165"/>
      <c r="M571" s="165"/>
      <c r="N571" s="165"/>
      <c r="O571" s="165"/>
      <c r="P571" s="165"/>
      <c r="Q571" s="165"/>
      <c r="R571" s="165"/>
      <c r="S571" s="165"/>
      <c r="T571" s="165"/>
      <c r="U571" s="165"/>
      <c r="V571" s="165"/>
      <c r="W571" s="165"/>
      <c r="X571" s="165"/>
    </row>
    <row r="572" ht="18.75" customHeight="1">
      <c r="A572" s="165">
        <v>570.0</v>
      </c>
      <c r="B572" s="168" t="s">
        <v>16042</v>
      </c>
      <c r="C572" s="165"/>
      <c r="D572" s="165"/>
      <c r="E572" s="165"/>
      <c r="F572" s="165"/>
      <c r="G572" s="165"/>
      <c r="H572" s="165"/>
      <c r="I572" s="165"/>
      <c r="J572" s="165"/>
      <c r="K572" s="165"/>
      <c r="L572" s="165"/>
      <c r="M572" s="165"/>
      <c r="N572" s="165"/>
      <c r="O572" s="165"/>
      <c r="P572" s="165"/>
      <c r="Q572" s="165"/>
      <c r="R572" s="165"/>
      <c r="S572" s="165"/>
      <c r="T572" s="165"/>
      <c r="U572" s="165"/>
      <c r="V572" s="165"/>
      <c r="W572" s="165"/>
      <c r="X572" s="165"/>
    </row>
    <row r="573" ht="18.75" customHeight="1">
      <c r="A573" s="165">
        <v>571.0</v>
      </c>
      <c r="B573" s="168" t="s">
        <v>16043</v>
      </c>
      <c r="C573" s="165"/>
      <c r="D573" s="165"/>
      <c r="E573" s="165"/>
      <c r="F573" s="165"/>
      <c r="G573" s="165"/>
      <c r="H573" s="165"/>
      <c r="I573" s="165"/>
      <c r="J573" s="165"/>
      <c r="K573" s="165"/>
      <c r="L573" s="165"/>
      <c r="M573" s="165"/>
      <c r="N573" s="165"/>
      <c r="O573" s="165"/>
      <c r="P573" s="165"/>
      <c r="Q573" s="165"/>
      <c r="R573" s="165"/>
      <c r="S573" s="165"/>
      <c r="T573" s="165"/>
      <c r="U573" s="165"/>
      <c r="V573" s="165"/>
      <c r="W573" s="165"/>
      <c r="X573" s="165"/>
    </row>
    <row r="574" ht="18.75" customHeight="1">
      <c r="A574" s="165">
        <v>572.0</v>
      </c>
      <c r="B574" s="168" t="s">
        <v>16044</v>
      </c>
      <c r="C574" s="165"/>
      <c r="D574" s="165"/>
      <c r="E574" s="165"/>
      <c r="F574" s="165"/>
      <c r="G574" s="165"/>
      <c r="H574" s="165"/>
      <c r="I574" s="165"/>
      <c r="J574" s="165"/>
      <c r="K574" s="165"/>
      <c r="L574" s="165"/>
      <c r="M574" s="165"/>
      <c r="N574" s="165"/>
      <c r="O574" s="165"/>
      <c r="P574" s="165"/>
      <c r="Q574" s="165"/>
      <c r="R574" s="165"/>
      <c r="S574" s="165"/>
      <c r="T574" s="165"/>
      <c r="U574" s="165"/>
      <c r="V574" s="165"/>
      <c r="W574" s="165"/>
      <c r="X574" s="165"/>
    </row>
    <row r="575" ht="18.75" customHeight="1">
      <c r="A575" s="165">
        <v>573.0</v>
      </c>
      <c r="B575" s="168" t="s">
        <v>16045</v>
      </c>
      <c r="C575" s="165"/>
      <c r="D575" s="165"/>
      <c r="E575" s="165"/>
      <c r="F575" s="165"/>
      <c r="G575" s="165"/>
      <c r="H575" s="165"/>
      <c r="I575" s="165"/>
      <c r="J575" s="165"/>
      <c r="K575" s="165"/>
      <c r="L575" s="165"/>
      <c r="M575" s="165"/>
      <c r="N575" s="165"/>
      <c r="O575" s="165"/>
      <c r="P575" s="165"/>
      <c r="Q575" s="165"/>
      <c r="R575" s="165"/>
      <c r="S575" s="165"/>
      <c r="T575" s="165"/>
      <c r="U575" s="165"/>
      <c r="V575" s="165"/>
      <c r="W575" s="165"/>
      <c r="X575" s="165"/>
    </row>
    <row r="576" ht="18.75" customHeight="1">
      <c r="A576" s="165">
        <v>574.0</v>
      </c>
      <c r="B576" s="168" t="s">
        <v>16046</v>
      </c>
      <c r="C576" s="165"/>
      <c r="D576" s="165"/>
      <c r="E576" s="165"/>
      <c r="F576" s="165"/>
      <c r="G576" s="165"/>
      <c r="H576" s="165"/>
      <c r="I576" s="165"/>
      <c r="J576" s="165"/>
      <c r="K576" s="165"/>
      <c r="L576" s="165"/>
      <c r="M576" s="165"/>
      <c r="N576" s="165"/>
      <c r="O576" s="165"/>
      <c r="P576" s="165"/>
      <c r="Q576" s="165"/>
      <c r="R576" s="165"/>
      <c r="S576" s="165"/>
      <c r="T576" s="165"/>
      <c r="U576" s="165"/>
      <c r="V576" s="165"/>
      <c r="W576" s="165"/>
      <c r="X576" s="165"/>
    </row>
    <row r="577" ht="18.75" customHeight="1">
      <c r="A577" s="165">
        <v>575.0</v>
      </c>
      <c r="B577" s="167" t="s">
        <v>16047</v>
      </c>
      <c r="C577" s="165"/>
      <c r="D577" s="165"/>
      <c r="E577" s="165"/>
      <c r="F577" s="165"/>
      <c r="G577" s="165"/>
      <c r="H577" s="165"/>
      <c r="I577" s="165"/>
      <c r="J577" s="165"/>
      <c r="K577" s="165"/>
      <c r="L577" s="165"/>
      <c r="M577" s="165"/>
      <c r="N577" s="165"/>
      <c r="O577" s="165"/>
      <c r="P577" s="165"/>
      <c r="Q577" s="165"/>
      <c r="R577" s="165"/>
      <c r="S577" s="165"/>
      <c r="T577" s="165"/>
      <c r="U577" s="165"/>
      <c r="V577" s="165"/>
      <c r="W577" s="165"/>
      <c r="X577" s="165"/>
    </row>
    <row r="578" ht="18.75" customHeight="1">
      <c r="A578" s="165">
        <v>576.0</v>
      </c>
      <c r="B578" s="167" t="s">
        <v>16048</v>
      </c>
      <c r="C578" s="165"/>
      <c r="D578" s="165"/>
      <c r="E578" s="165"/>
      <c r="F578" s="165"/>
      <c r="G578" s="165"/>
      <c r="H578" s="165"/>
      <c r="I578" s="165"/>
      <c r="J578" s="165"/>
      <c r="K578" s="165"/>
      <c r="L578" s="165"/>
      <c r="M578" s="165"/>
      <c r="N578" s="165"/>
      <c r="O578" s="165"/>
      <c r="P578" s="165"/>
      <c r="Q578" s="165"/>
      <c r="R578" s="165"/>
      <c r="S578" s="165"/>
      <c r="T578" s="165"/>
      <c r="U578" s="165"/>
      <c r="V578" s="165"/>
      <c r="W578" s="165"/>
      <c r="X578" s="165"/>
    </row>
    <row r="579" ht="18.75" customHeight="1">
      <c r="A579" s="165">
        <v>577.0</v>
      </c>
      <c r="B579" s="168" t="s">
        <v>16049</v>
      </c>
      <c r="C579" s="165"/>
      <c r="D579" s="165"/>
      <c r="E579" s="165"/>
      <c r="F579" s="165"/>
      <c r="G579" s="165"/>
      <c r="H579" s="165"/>
      <c r="I579" s="165"/>
      <c r="J579" s="165"/>
      <c r="K579" s="165"/>
      <c r="L579" s="165"/>
      <c r="M579" s="165"/>
      <c r="N579" s="165"/>
      <c r="O579" s="165"/>
      <c r="P579" s="165"/>
      <c r="Q579" s="165"/>
      <c r="R579" s="165"/>
      <c r="S579" s="165"/>
      <c r="T579" s="165"/>
      <c r="U579" s="165"/>
      <c r="V579" s="165"/>
      <c r="W579" s="165"/>
      <c r="X579" s="165"/>
    </row>
    <row r="580" ht="18.75" customHeight="1">
      <c r="A580" s="165">
        <v>578.0</v>
      </c>
      <c r="B580" s="168" t="s">
        <v>16050</v>
      </c>
      <c r="C580" s="165"/>
      <c r="D580" s="165"/>
      <c r="E580" s="165"/>
      <c r="F580" s="165"/>
      <c r="G580" s="165"/>
      <c r="H580" s="165"/>
      <c r="I580" s="165"/>
      <c r="J580" s="165"/>
      <c r="K580" s="165"/>
      <c r="L580" s="165"/>
      <c r="M580" s="165"/>
      <c r="N580" s="165"/>
      <c r="O580" s="165"/>
      <c r="P580" s="165"/>
      <c r="Q580" s="165"/>
      <c r="R580" s="165"/>
      <c r="S580" s="165"/>
      <c r="T580" s="165"/>
      <c r="U580" s="165"/>
      <c r="V580" s="165"/>
      <c r="W580" s="165"/>
      <c r="X580" s="165"/>
    </row>
    <row r="581" ht="18.75" customHeight="1">
      <c r="A581" s="165">
        <v>579.0</v>
      </c>
      <c r="B581" s="168" t="s">
        <v>16051</v>
      </c>
      <c r="C581" s="165"/>
      <c r="D581" s="165"/>
      <c r="E581" s="165"/>
      <c r="F581" s="165"/>
      <c r="G581" s="165"/>
      <c r="H581" s="165"/>
      <c r="I581" s="165"/>
      <c r="J581" s="165"/>
      <c r="K581" s="165"/>
      <c r="L581" s="165"/>
      <c r="M581" s="165"/>
      <c r="N581" s="165"/>
      <c r="O581" s="165"/>
      <c r="P581" s="165"/>
      <c r="Q581" s="165"/>
      <c r="R581" s="165"/>
      <c r="S581" s="165"/>
      <c r="T581" s="165"/>
      <c r="U581" s="165"/>
      <c r="V581" s="165"/>
      <c r="W581" s="165"/>
      <c r="X581" s="165"/>
    </row>
    <row r="582" ht="18.75" customHeight="1">
      <c r="A582" s="165">
        <v>580.0</v>
      </c>
      <c r="B582" s="179" t="s">
        <v>16052</v>
      </c>
      <c r="C582" s="165"/>
      <c r="D582" s="165"/>
      <c r="E582" s="165"/>
      <c r="F582" s="165"/>
      <c r="G582" s="165"/>
      <c r="H582" s="165"/>
      <c r="I582" s="165"/>
      <c r="J582" s="165"/>
      <c r="K582" s="165"/>
      <c r="L582" s="165"/>
      <c r="M582" s="165"/>
      <c r="N582" s="165"/>
      <c r="O582" s="165"/>
      <c r="P582" s="165"/>
      <c r="Q582" s="165"/>
      <c r="R582" s="165"/>
      <c r="S582" s="165"/>
      <c r="T582" s="165"/>
      <c r="U582" s="165"/>
      <c r="V582" s="165"/>
      <c r="W582" s="165"/>
      <c r="X582" s="165"/>
    </row>
    <row r="583" ht="18.75" customHeight="1">
      <c r="A583" s="165">
        <v>581.0</v>
      </c>
      <c r="B583" s="167" t="s">
        <v>16053</v>
      </c>
      <c r="C583" s="165"/>
      <c r="D583" s="165"/>
      <c r="E583" s="165"/>
      <c r="F583" s="165"/>
      <c r="G583" s="165"/>
      <c r="H583" s="165"/>
      <c r="I583" s="165"/>
      <c r="J583" s="165"/>
      <c r="K583" s="165"/>
      <c r="L583" s="165"/>
      <c r="M583" s="165"/>
      <c r="N583" s="165"/>
      <c r="O583" s="165"/>
      <c r="P583" s="165"/>
      <c r="Q583" s="165"/>
      <c r="R583" s="165"/>
      <c r="S583" s="165"/>
      <c r="T583" s="165"/>
      <c r="U583" s="165"/>
      <c r="V583" s="165"/>
      <c r="W583" s="165"/>
      <c r="X583" s="165"/>
    </row>
    <row r="584" ht="18.75" customHeight="1">
      <c r="A584" s="165">
        <v>582.0</v>
      </c>
      <c r="B584" s="167" t="s">
        <v>16054</v>
      </c>
      <c r="C584" s="165"/>
      <c r="D584" s="165"/>
      <c r="E584" s="165"/>
      <c r="F584" s="165"/>
      <c r="G584" s="165"/>
      <c r="H584" s="165"/>
      <c r="I584" s="165"/>
      <c r="J584" s="165"/>
      <c r="K584" s="165"/>
      <c r="L584" s="165"/>
      <c r="M584" s="165"/>
      <c r="N584" s="165"/>
      <c r="O584" s="165"/>
      <c r="P584" s="165"/>
      <c r="Q584" s="165"/>
      <c r="R584" s="165"/>
      <c r="S584" s="165"/>
      <c r="T584" s="165"/>
      <c r="U584" s="165"/>
      <c r="V584" s="165"/>
      <c r="W584" s="165"/>
      <c r="X584" s="165"/>
    </row>
    <row r="585" ht="18.75" customHeight="1">
      <c r="A585" s="165">
        <v>583.0</v>
      </c>
      <c r="B585" s="167" t="s">
        <v>16055</v>
      </c>
      <c r="C585" s="165"/>
      <c r="D585" s="165"/>
      <c r="E585" s="165"/>
      <c r="F585" s="165"/>
      <c r="G585" s="165"/>
      <c r="H585" s="165"/>
      <c r="I585" s="165"/>
      <c r="J585" s="165"/>
      <c r="K585" s="165"/>
      <c r="L585" s="165"/>
      <c r="M585" s="165"/>
      <c r="N585" s="165"/>
      <c r="O585" s="165"/>
      <c r="P585" s="165"/>
      <c r="Q585" s="165"/>
      <c r="R585" s="165"/>
      <c r="S585" s="165"/>
      <c r="T585" s="165"/>
      <c r="U585" s="165"/>
      <c r="V585" s="165"/>
      <c r="W585" s="165"/>
      <c r="X585" s="165"/>
    </row>
    <row r="586" ht="18.75" customHeight="1">
      <c r="A586" s="165">
        <v>584.0</v>
      </c>
      <c r="B586" s="167" t="s">
        <v>16056</v>
      </c>
      <c r="C586" s="165"/>
      <c r="D586" s="165"/>
      <c r="E586" s="165"/>
      <c r="F586" s="165"/>
      <c r="G586" s="165"/>
      <c r="H586" s="165"/>
      <c r="I586" s="165"/>
      <c r="J586" s="165"/>
      <c r="K586" s="165"/>
      <c r="L586" s="165"/>
      <c r="M586" s="165"/>
      <c r="N586" s="165"/>
      <c r="O586" s="165"/>
      <c r="P586" s="165"/>
      <c r="Q586" s="165"/>
      <c r="R586" s="165"/>
      <c r="S586" s="165"/>
      <c r="T586" s="165"/>
      <c r="U586" s="165"/>
      <c r="V586" s="165"/>
      <c r="W586" s="165"/>
      <c r="X586" s="165"/>
    </row>
    <row r="587" ht="18.75" customHeight="1">
      <c r="A587" s="165">
        <v>585.0</v>
      </c>
      <c r="B587" s="167" t="s">
        <v>16057</v>
      </c>
      <c r="C587" s="165"/>
      <c r="D587" s="165"/>
      <c r="E587" s="165"/>
      <c r="F587" s="165"/>
      <c r="G587" s="165"/>
      <c r="H587" s="165"/>
      <c r="I587" s="165"/>
      <c r="J587" s="165"/>
      <c r="K587" s="165"/>
      <c r="L587" s="165"/>
      <c r="M587" s="165"/>
      <c r="N587" s="165"/>
      <c r="O587" s="165"/>
      <c r="P587" s="165"/>
      <c r="Q587" s="165"/>
      <c r="R587" s="165"/>
      <c r="S587" s="165"/>
      <c r="T587" s="165"/>
      <c r="U587" s="165"/>
      <c r="V587" s="165"/>
      <c r="W587" s="165"/>
      <c r="X587" s="165"/>
    </row>
    <row r="588" ht="18.75" customHeight="1">
      <c r="A588" s="165">
        <v>586.0</v>
      </c>
      <c r="B588" s="167" t="s">
        <v>16058</v>
      </c>
      <c r="C588" s="165"/>
      <c r="D588" s="165"/>
      <c r="E588" s="165"/>
      <c r="F588" s="165"/>
      <c r="G588" s="165"/>
      <c r="H588" s="165"/>
      <c r="I588" s="165"/>
      <c r="J588" s="165"/>
      <c r="K588" s="165"/>
      <c r="L588" s="165"/>
      <c r="M588" s="165"/>
      <c r="N588" s="165"/>
      <c r="O588" s="165"/>
      <c r="P588" s="165"/>
      <c r="Q588" s="165"/>
      <c r="R588" s="165"/>
      <c r="S588" s="165"/>
      <c r="T588" s="165"/>
      <c r="U588" s="165"/>
      <c r="V588" s="165"/>
      <c r="W588" s="165"/>
      <c r="X588" s="165"/>
    </row>
    <row r="589" ht="18.75" customHeight="1">
      <c r="A589" s="165">
        <v>587.0</v>
      </c>
      <c r="B589" s="167" t="s">
        <v>16059</v>
      </c>
      <c r="C589" s="165"/>
      <c r="D589" s="165"/>
      <c r="E589" s="165"/>
      <c r="F589" s="165"/>
      <c r="G589" s="165"/>
      <c r="H589" s="165"/>
      <c r="I589" s="165"/>
      <c r="J589" s="165"/>
      <c r="K589" s="165"/>
      <c r="L589" s="165"/>
      <c r="M589" s="165"/>
      <c r="N589" s="165"/>
      <c r="O589" s="165"/>
      <c r="P589" s="165"/>
      <c r="Q589" s="165"/>
      <c r="R589" s="165"/>
      <c r="S589" s="165"/>
      <c r="T589" s="165"/>
      <c r="U589" s="165"/>
      <c r="V589" s="165"/>
      <c r="W589" s="165"/>
      <c r="X589" s="165"/>
    </row>
    <row r="590" ht="18.75" customHeight="1">
      <c r="A590" s="165">
        <v>588.0</v>
      </c>
      <c r="B590" s="165" t="s">
        <v>16060</v>
      </c>
      <c r="C590" s="165"/>
      <c r="D590" s="165"/>
      <c r="E590" s="165"/>
      <c r="F590" s="165"/>
      <c r="G590" s="165"/>
      <c r="H590" s="165"/>
      <c r="I590" s="165"/>
      <c r="J590" s="165"/>
      <c r="K590" s="165"/>
      <c r="L590" s="165"/>
      <c r="M590" s="165"/>
      <c r="N590" s="165"/>
      <c r="O590" s="165"/>
      <c r="P590" s="165"/>
      <c r="Q590" s="165"/>
      <c r="R590" s="165"/>
      <c r="S590" s="165"/>
      <c r="T590" s="165"/>
      <c r="U590" s="165"/>
      <c r="V590" s="165"/>
      <c r="W590" s="165"/>
      <c r="X590" s="165"/>
    </row>
    <row r="591" ht="18.75" customHeight="1">
      <c r="A591" s="165">
        <v>589.0</v>
      </c>
      <c r="B591" s="165" t="s">
        <v>16061</v>
      </c>
      <c r="C591" s="165"/>
      <c r="D591" s="165"/>
      <c r="E591" s="165"/>
      <c r="F591" s="165"/>
      <c r="G591" s="165"/>
      <c r="H591" s="165"/>
      <c r="I591" s="165"/>
      <c r="J591" s="165"/>
      <c r="K591" s="165"/>
      <c r="L591" s="165"/>
      <c r="M591" s="165"/>
      <c r="N591" s="165"/>
      <c r="O591" s="165"/>
      <c r="P591" s="165"/>
      <c r="Q591" s="165"/>
      <c r="R591" s="165"/>
      <c r="S591" s="165"/>
      <c r="T591" s="165"/>
      <c r="U591" s="165"/>
      <c r="V591" s="165"/>
      <c r="W591" s="165"/>
      <c r="X591" s="165"/>
    </row>
    <row r="592" ht="18.75" customHeight="1">
      <c r="A592" s="165">
        <v>590.0</v>
      </c>
      <c r="B592" s="165" t="s">
        <v>16062</v>
      </c>
      <c r="C592" s="165"/>
      <c r="D592" s="165"/>
      <c r="E592" s="165"/>
      <c r="F592" s="165"/>
      <c r="G592" s="165"/>
      <c r="H592" s="165"/>
      <c r="I592" s="165"/>
      <c r="J592" s="165"/>
      <c r="K592" s="165"/>
      <c r="L592" s="165"/>
      <c r="M592" s="165"/>
      <c r="N592" s="165"/>
      <c r="O592" s="165"/>
      <c r="P592" s="165"/>
      <c r="Q592" s="165"/>
      <c r="R592" s="165"/>
      <c r="S592" s="165"/>
      <c r="T592" s="165"/>
      <c r="U592" s="165"/>
      <c r="V592" s="165"/>
      <c r="W592" s="165"/>
      <c r="X592" s="165"/>
    </row>
    <row r="593" ht="18.75" customHeight="1">
      <c r="A593" s="165">
        <v>591.0</v>
      </c>
      <c r="B593" s="165" t="s">
        <v>16063</v>
      </c>
      <c r="C593" s="165"/>
      <c r="D593" s="165"/>
      <c r="E593" s="165"/>
      <c r="F593" s="165"/>
      <c r="G593" s="165"/>
      <c r="H593" s="165"/>
      <c r="I593" s="165"/>
      <c r="J593" s="165"/>
      <c r="K593" s="165"/>
      <c r="L593" s="165"/>
      <c r="M593" s="165"/>
      <c r="N593" s="165"/>
      <c r="O593" s="165"/>
      <c r="P593" s="165"/>
      <c r="Q593" s="165"/>
      <c r="R593" s="165"/>
      <c r="S593" s="165"/>
      <c r="T593" s="165"/>
      <c r="U593" s="165"/>
      <c r="V593" s="165"/>
      <c r="W593" s="165"/>
      <c r="X593" s="165"/>
    </row>
    <row r="594" ht="18.75" customHeight="1">
      <c r="A594" s="165">
        <v>592.0</v>
      </c>
      <c r="B594" s="165" t="s">
        <v>16064</v>
      </c>
      <c r="C594" s="165"/>
      <c r="D594" s="165"/>
      <c r="E594" s="165"/>
      <c r="F594" s="165"/>
      <c r="G594" s="165"/>
      <c r="H594" s="165"/>
      <c r="I594" s="165"/>
      <c r="J594" s="165"/>
      <c r="K594" s="165"/>
      <c r="L594" s="165"/>
      <c r="M594" s="165"/>
      <c r="N594" s="165"/>
      <c r="O594" s="165"/>
      <c r="P594" s="165"/>
      <c r="Q594" s="165"/>
      <c r="R594" s="165"/>
      <c r="S594" s="165"/>
      <c r="T594" s="165"/>
      <c r="U594" s="165"/>
      <c r="V594" s="165"/>
      <c r="W594" s="165"/>
      <c r="X594" s="165"/>
    </row>
    <row r="595" ht="18.75" customHeight="1">
      <c r="A595" s="165">
        <v>593.0</v>
      </c>
      <c r="B595" s="167" t="s">
        <v>16065</v>
      </c>
      <c r="C595" s="165"/>
      <c r="D595" s="165"/>
      <c r="E595" s="165"/>
      <c r="F595" s="165"/>
      <c r="G595" s="165"/>
      <c r="H595" s="165"/>
      <c r="I595" s="165"/>
      <c r="J595" s="165"/>
      <c r="K595" s="165"/>
      <c r="L595" s="165"/>
      <c r="M595" s="165"/>
      <c r="N595" s="165"/>
      <c r="O595" s="165"/>
      <c r="P595" s="165"/>
      <c r="Q595" s="165"/>
      <c r="R595" s="165"/>
      <c r="S595" s="165"/>
      <c r="T595" s="165"/>
      <c r="U595" s="165"/>
      <c r="V595" s="165"/>
      <c r="W595" s="165"/>
      <c r="X595" s="165"/>
    </row>
    <row r="596" ht="18.75" customHeight="1">
      <c r="A596" s="165">
        <v>594.0</v>
      </c>
      <c r="B596" s="165" t="s">
        <v>16066</v>
      </c>
      <c r="C596" s="165"/>
      <c r="D596" s="165"/>
      <c r="E596" s="165"/>
      <c r="F596" s="165"/>
      <c r="G596" s="165"/>
      <c r="H596" s="165"/>
      <c r="I596" s="165"/>
      <c r="J596" s="165"/>
      <c r="K596" s="165"/>
      <c r="L596" s="165"/>
      <c r="M596" s="165"/>
      <c r="N596" s="165"/>
      <c r="O596" s="165"/>
      <c r="P596" s="165"/>
      <c r="Q596" s="165"/>
      <c r="R596" s="165"/>
      <c r="S596" s="165"/>
      <c r="T596" s="165"/>
      <c r="U596" s="165"/>
      <c r="V596" s="165"/>
      <c r="W596" s="165"/>
      <c r="X596" s="165"/>
    </row>
    <row r="597" ht="18.75" customHeight="1">
      <c r="A597" s="165">
        <v>595.0</v>
      </c>
      <c r="B597" s="180" t="s">
        <v>16067</v>
      </c>
      <c r="C597" s="165"/>
      <c r="D597" s="165"/>
      <c r="E597" s="165"/>
      <c r="F597" s="165"/>
      <c r="G597" s="165"/>
      <c r="H597" s="165"/>
      <c r="I597" s="165"/>
      <c r="J597" s="165"/>
      <c r="K597" s="165"/>
      <c r="L597" s="165"/>
      <c r="M597" s="165"/>
      <c r="N597" s="165"/>
      <c r="O597" s="165"/>
      <c r="P597" s="165"/>
      <c r="Q597" s="165"/>
      <c r="R597" s="165"/>
      <c r="S597" s="165"/>
      <c r="T597" s="165"/>
      <c r="U597" s="165"/>
      <c r="V597" s="165"/>
      <c r="W597" s="165"/>
      <c r="X597" s="165"/>
    </row>
    <row r="598" ht="18.75" customHeight="1">
      <c r="A598" s="165">
        <v>596.0</v>
      </c>
      <c r="B598" s="167" t="s">
        <v>16068</v>
      </c>
      <c r="C598" s="165"/>
      <c r="D598" s="165"/>
      <c r="E598" s="165"/>
      <c r="F598" s="165"/>
      <c r="G598" s="165"/>
      <c r="H598" s="165"/>
      <c r="I598" s="165"/>
      <c r="J598" s="165"/>
      <c r="K598" s="165"/>
      <c r="L598" s="165"/>
      <c r="M598" s="165"/>
      <c r="N598" s="165"/>
      <c r="O598" s="165"/>
      <c r="P598" s="165"/>
      <c r="Q598" s="165"/>
      <c r="R598" s="165"/>
      <c r="S598" s="165"/>
      <c r="T598" s="165"/>
      <c r="U598" s="165"/>
      <c r="V598" s="165"/>
      <c r="W598" s="165"/>
      <c r="X598" s="165"/>
    </row>
    <row r="599" ht="18.75" customHeight="1">
      <c r="A599" s="165">
        <v>597.0</v>
      </c>
      <c r="B599" s="167" t="s">
        <v>16069</v>
      </c>
      <c r="C599" s="165"/>
      <c r="D599" s="165"/>
      <c r="E599" s="165"/>
      <c r="F599" s="165"/>
      <c r="G599" s="165"/>
      <c r="H599" s="165"/>
      <c r="I599" s="165"/>
      <c r="J599" s="165"/>
      <c r="K599" s="165"/>
      <c r="L599" s="165"/>
      <c r="M599" s="165"/>
      <c r="N599" s="165"/>
      <c r="O599" s="165"/>
      <c r="P599" s="165"/>
      <c r="Q599" s="165"/>
      <c r="R599" s="165"/>
      <c r="S599" s="165"/>
      <c r="T599" s="165"/>
      <c r="U599" s="165"/>
      <c r="V599" s="165"/>
      <c r="W599" s="165"/>
      <c r="X599" s="165"/>
    </row>
    <row r="600" ht="18.75" customHeight="1">
      <c r="A600" s="165">
        <v>598.0</v>
      </c>
      <c r="B600" s="167" t="s">
        <v>16070</v>
      </c>
      <c r="C600" s="165"/>
      <c r="D600" s="165"/>
      <c r="E600" s="165"/>
      <c r="F600" s="165"/>
      <c r="G600" s="165"/>
      <c r="H600" s="165"/>
      <c r="I600" s="165"/>
      <c r="J600" s="165"/>
      <c r="K600" s="165"/>
      <c r="L600" s="165"/>
      <c r="M600" s="165"/>
      <c r="N600" s="165"/>
      <c r="O600" s="165"/>
      <c r="P600" s="165"/>
      <c r="Q600" s="165"/>
      <c r="R600" s="165"/>
      <c r="S600" s="165"/>
      <c r="T600" s="165"/>
      <c r="U600" s="165"/>
      <c r="V600" s="165"/>
      <c r="W600" s="165"/>
      <c r="X600" s="165"/>
    </row>
    <row r="601" ht="18.75" customHeight="1">
      <c r="A601" s="165">
        <v>599.0</v>
      </c>
      <c r="B601" s="167" t="s">
        <v>16071</v>
      </c>
      <c r="C601" s="165"/>
      <c r="D601" s="165"/>
      <c r="E601" s="165"/>
      <c r="F601" s="165"/>
      <c r="G601" s="165"/>
      <c r="H601" s="165"/>
      <c r="I601" s="165"/>
      <c r="J601" s="165"/>
      <c r="K601" s="165"/>
      <c r="L601" s="165"/>
      <c r="M601" s="165"/>
      <c r="N601" s="165"/>
      <c r="O601" s="165"/>
      <c r="P601" s="165"/>
      <c r="Q601" s="165"/>
      <c r="R601" s="165"/>
      <c r="S601" s="165"/>
      <c r="T601" s="165"/>
      <c r="U601" s="165"/>
      <c r="V601" s="165"/>
      <c r="W601" s="165"/>
      <c r="X601" s="165"/>
    </row>
    <row r="602" ht="18.75" customHeight="1">
      <c r="A602" s="165">
        <v>600.0</v>
      </c>
      <c r="B602" s="165" t="s">
        <v>16072</v>
      </c>
      <c r="C602" s="165"/>
      <c r="D602" s="165"/>
      <c r="E602" s="165"/>
      <c r="F602" s="165"/>
      <c r="G602" s="165"/>
      <c r="H602" s="165"/>
      <c r="I602" s="165"/>
      <c r="J602" s="165"/>
      <c r="K602" s="165"/>
      <c r="L602" s="165"/>
      <c r="M602" s="165"/>
      <c r="N602" s="165"/>
      <c r="O602" s="165"/>
      <c r="P602" s="165"/>
      <c r="Q602" s="165"/>
      <c r="R602" s="165"/>
      <c r="S602" s="165"/>
      <c r="T602" s="165"/>
      <c r="U602" s="165"/>
      <c r="V602" s="165"/>
      <c r="W602" s="165"/>
      <c r="X602" s="165"/>
    </row>
    <row r="603" ht="18.75" customHeight="1">
      <c r="A603" s="165">
        <v>601.0</v>
      </c>
      <c r="B603" s="167" t="s">
        <v>16073</v>
      </c>
      <c r="C603" s="165"/>
      <c r="D603" s="165"/>
      <c r="E603" s="165"/>
      <c r="F603" s="165"/>
      <c r="G603" s="165"/>
      <c r="H603" s="165"/>
      <c r="I603" s="165"/>
      <c r="J603" s="165"/>
      <c r="K603" s="165"/>
      <c r="L603" s="165"/>
      <c r="M603" s="165"/>
      <c r="N603" s="165"/>
      <c r="O603" s="165"/>
      <c r="P603" s="165"/>
      <c r="Q603" s="165"/>
      <c r="R603" s="165"/>
      <c r="S603" s="165"/>
      <c r="T603" s="165"/>
      <c r="U603" s="165"/>
      <c r="V603" s="165"/>
      <c r="W603" s="165"/>
      <c r="X603" s="165"/>
    </row>
    <row r="604" ht="18.75" customHeight="1">
      <c r="A604" s="165">
        <v>602.0</v>
      </c>
      <c r="B604" s="167" t="s">
        <v>16074</v>
      </c>
      <c r="C604" s="165"/>
      <c r="D604" s="165"/>
      <c r="E604" s="165"/>
      <c r="F604" s="165"/>
      <c r="G604" s="165"/>
      <c r="H604" s="165"/>
      <c r="I604" s="165"/>
      <c r="J604" s="165"/>
      <c r="K604" s="165"/>
      <c r="L604" s="165"/>
      <c r="M604" s="165"/>
      <c r="N604" s="165"/>
      <c r="O604" s="165"/>
      <c r="P604" s="165"/>
      <c r="Q604" s="165"/>
      <c r="R604" s="165"/>
      <c r="S604" s="165"/>
      <c r="T604" s="165"/>
      <c r="U604" s="165"/>
      <c r="V604" s="165"/>
      <c r="W604" s="165"/>
      <c r="X604" s="165"/>
    </row>
    <row r="605" ht="18.75" customHeight="1">
      <c r="A605" s="165">
        <v>603.0</v>
      </c>
      <c r="B605" s="165" t="s">
        <v>16075</v>
      </c>
      <c r="C605" s="165"/>
      <c r="D605" s="165"/>
      <c r="E605" s="165"/>
      <c r="F605" s="165"/>
      <c r="G605" s="165"/>
      <c r="H605" s="165"/>
      <c r="I605" s="165"/>
      <c r="J605" s="165"/>
      <c r="K605" s="165"/>
      <c r="L605" s="165"/>
      <c r="M605" s="165"/>
      <c r="N605" s="165"/>
      <c r="O605" s="165"/>
      <c r="P605" s="165"/>
      <c r="Q605" s="165"/>
      <c r="R605" s="165"/>
      <c r="S605" s="165"/>
      <c r="T605" s="165"/>
      <c r="U605" s="165"/>
      <c r="V605" s="165"/>
      <c r="W605" s="165"/>
      <c r="X605" s="165"/>
    </row>
    <row r="606" ht="18.75" customHeight="1">
      <c r="A606" s="165">
        <v>604.0</v>
      </c>
      <c r="B606" s="167" t="s">
        <v>16076</v>
      </c>
      <c r="C606" s="165"/>
      <c r="D606" s="165"/>
      <c r="E606" s="165"/>
      <c r="F606" s="165"/>
      <c r="G606" s="165"/>
      <c r="H606" s="165"/>
      <c r="I606" s="165"/>
      <c r="J606" s="165"/>
      <c r="K606" s="165"/>
      <c r="L606" s="165"/>
      <c r="M606" s="165"/>
      <c r="N606" s="165"/>
      <c r="O606" s="165"/>
      <c r="P606" s="165"/>
      <c r="Q606" s="165"/>
      <c r="R606" s="165"/>
      <c r="S606" s="165"/>
      <c r="T606" s="165"/>
      <c r="U606" s="165"/>
      <c r="V606" s="165"/>
      <c r="W606" s="165"/>
      <c r="X606" s="165"/>
    </row>
    <row r="607" ht="18.75" customHeight="1">
      <c r="A607" s="165">
        <v>605.0</v>
      </c>
      <c r="B607" s="167" t="s">
        <v>16077</v>
      </c>
      <c r="C607" s="165"/>
      <c r="D607" s="165"/>
      <c r="E607" s="165"/>
      <c r="F607" s="165"/>
      <c r="G607" s="165"/>
      <c r="H607" s="165"/>
      <c r="I607" s="165"/>
      <c r="J607" s="165"/>
      <c r="K607" s="165"/>
      <c r="L607" s="165"/>
      <c r="M607" s="165"/>
      <c r="N607" s="165"/>
      <c r="O607" s="165"/>
      <c r="P607" s="165"/>
      <c r="Q607" s="165"/>
      <c r="R607" s="165"/>
      <c r="S607" s="165"/>
      <c r="T607" s="165"/>
      <c r="U607" s="165"/>
      <c r="V607" s="165"/>
      <c r="W607" s="165"/>
      <c r="X607" s="165"/>
    </row>
    <row r="608" ht="18.75" customHeight="1">
      <c r="A608" s="165">
        <v>606.0</v>
      </c>
      <c r="B608" s="167" t="s">
        <v>16078</v>
      </c>
      <c r="C608" s="165"/>
      <c r="D608" s="165"/>
      <c r="E608" s="165"/>
      <c r="F608" s="165"/>
      <c r="G608" s="165"/>
      <c r="H608" s="165"/>
      <c r="I608" s="165"/>
      <c r="J608" s="165"/>
      <c r="K608" s="165"/>
      <c r="L608" s="165"/>
      <c r="M608" s="165"/>
      <c r="N608" s="165"/>
      <c r="O608" s="165"/>
      <c r="P608" s="165"/>
      <c r="Q608" s="165"/>
      <c r="R608" s="165"/>
      <c r="S608" s="165"/>
      <c r="T608" s="165"/>
      <c r="U608" s="165"/>
      <c r="V608" s="165"/>
      <c r="W608" s="165"/>
      <c r="X608" s="165"/>
    </row>
    <row r="609" ht="18.75" customHeight="1">
      <c r="A609" s="165">
        <v>607.0</v>
      </c>
      <c r="B609" s="167" t="s">
        <v>16079</v>
      </c>
      <c r="C609" s="165"/>
      <c r="D609" s="165"/>
      <c r="E609" s="165"/>
      <c r="F609" s="165"/>
      <c r="G609" s="165"/>
      <c r="H609" s="165"/>
      <c r="I609" s="165"/>
      <c r="J609" s="165"/>
      <c r="K609" s="165"/>
      <c r="L609" s="165"/>
      <c r="M609" s="165"/>
      <c r="N609" s="165"/>
      <c r="O609" s="165"/>
      <c r="P609" s="165"/>
      <c r="Q609" s="165"/>
      <c r="R609" s="165"/>
      <c r="S609" s="165"/>
      <c r="T609" s="165"/>
      <c r="U609" s="165"/>
      <c r="V609" s="165"/>
      <c r="W609" s="165"/>
      <c r="X609" s="165"/>
    </row>
    <row r="610" ht="18.75" customHeight="1">
      <c r="A610" s="165">
        <v>608.0</v>
      </c>
      <c r="B610" s="165" t="s">
        <v>16080</v>
      </c>
      <c r="C610" s="165"/>
      <c r="D610" s="165"/>
      <c r="E610" s="165"/>
      <c r="F610" s="165"/>
      <c r="G610" s="165"/>
      <c r="H610" s="165"/>
      <c r="I610" s="165"/>
      <c r="J610" s="165"/>
      <c r="K610" s="165"/>
      <c r="L610" s="165"/>
      <c r="M610" s="165"/>
      <c r="N610" s="165"/>
      <c r="O610" s="165"/>
      <c r="P610" s="165"/>
      <c r="Q610" s="165"/>
      <c r="R610" s="165"/>
      <c r="S610" s="165"/>
      <c r="T610" s="165"/>
      <c r="U610" s="165"/>
      <c r="V610" s="165"/>
      <c r="W610" s="165"/>
      <c r="X610" s="165"/>
    </row>
    <row r="611" ht="18.75" customHeight="1">
      <c r="A611" s="165">
        <v>609.0</v>
      </c>
      <c r="B611" s="167" t="s">
        <v>16081</v>
      </c>
      <c r="C611" s="165"/>
      <c r="D611" s="165"/>
      <c r="E611" s="165"/>
      <c r="F611" s="165"/>
      <c r="G611" s="165"/>
      <c r="H611" s="165"/>
      <c r="I611" s="165"/>
      <c r="J611" s="165"/>
      <c r="K611" s="165"/>
      <c r="L611" s="165"/>
      <c r="M611" s="165"/>
      <c r="N611" s="165"/>
      <c r="O611" s="165"/>
      <c r="P611" s="165"/>
      <c r="Q611" s="165"/>
      <c r="R611" s="165"/>
      <c r="S611" s="165"/>
      <c r="T611" s="165"/>
      <c r="U611" s="165"/>
      <c r="V611" s="165"/>
      <c r="W611" s="165"/>
      <c r="X611" s="165"/>
    </row>
    <row r="612" ht="18.75" customHeight="1">
      <c r="A612" s="165">
        <v>610.0</v>
      </c>
      <c r="B612" s="167" t="s">
        <v>16082</v>
      </c>
      <c r="C612" s="165"/>
      <c r="D612" s="165"/>
      <c r="E612" s="165"/>
      <c r="F612" s="165"/>
      <c r="G612" s="165"/>
      <c r="H612" s="165"/>
      <c r="I612" s="165"/>
      <c r="J612" s="165"/>
      <c r="K612" s="165"/>
      <c r="L612" s="165"/>
      <c r="M612" s="165"/>
      <c r="N612" s="165"/>
      <c r="O612" s="165"/>
      <c r="P612" s="165"/>
      <c r="Q612" s="165"/>
      <c r="R612" s="165"/>
      <c r="S612" s="165"/>
      <c r="T612" s="165"/>
      <c r="U612" s="165"/>
      <c r="V612" s="165"/>
      <c r="W612" s="165"/>
      <c r="X612" s="165"/>
    </row>
    <row r="613" ht="18.75" customHeight="1">
      <c r="A613" s="165">
        <v>611.0</v>
      </c>
      <c r="B613" s="167" t="s">
        <v>16083</v>
      </c>
      <c r="C613" s="165"/>
      <c r="D613" s="165"/>
      <c r="E613" s="165"/>
      <c r="F613" s="165"/>
      <c r="G613" s="165"/>
      <c r="H613" s="165"/>
      <c r="I613" s="165"/>
      <c r="J613" s="165"/>
      <c r="K613" s="165"/>
      <c r="L613" s="165"/>
      <c r="M613" s="165"/>
      <c r="N613" s="165"/>
      <c r="O613" s="165"/>
      <c r="P613" s="165"/>
      <c r="Q613" s="165"/>
      <c r="R613" s="165"/>
      <c r="S613" s="165"/>
      <c r="T613" s="165"/>
      <c r="U613" s="165"/>
      <c r="V613" s="165"/>
      <c r="W613" s="165"/>
      <c r="X613" s="165"/>
    </row>
    <row r="614" ht="18.75" customHeight="1">
      <c r="A614" s="165">
        <v>612.0</v>
      </c>
      <c r="B614" s="165" t="s">
        <v>16084</v>
      </c>
      <c r="C614" s="165"/>
      <c r="D614" s="165"/>
      <c r="E614" s="165"/>
      <c r="F614" s="165"/>
      <c r="G614" s="165"/>
      <c r="H614" s="165"/>
      <c r="I614" s="165"/>
      <c r="J614" s="165"/>
      <c r="K614" s="165"/>
      <c r="L614" s="165"/>
      <c r="M614" s="165"/>
      <c r="N614" s="165"/>
      <c r="O614" s="165"/>
      <c r="P614" s="165"/>
      <c r="Q614" s="165"/>
      <c r="R614" s="165"/>
      <c r="S614" s="165"/>
      <c r="T614" s="165"/>
      <c r="U614" s="165"/>
      <c r="V614" s="165"/>
      <c r="W614" s="165"/>
      <c r="X614" s="165"/>
    </row>
    <row r="615" ht="18.75" customHeight="1">
      <c r="A615" s="165">
        <v>613.0</v>
      </c>
      <c r="B615" s="167" t="s">
        <v>16085</v>
      </c>
      <c r="C615" s="165"/>
      <c r="D615" s="165"/>
      <c r="E615" s="165"/>
      <c r="F615" s="165"/>
      <c r="G615" s="165"/>
      <c r="H615" s="165"/>
      <c r="I615" s="165"/>
      <c r="J615" s="165"/>
      <c r="K615" s="165"/>
      <c r="L615" s="165"/>
      <c r="M615" s="165"/>
      <c r="N615" s="165"/>
      <c r="O615" s="165"/>
      <c r="P615" s="165"/>
      <c r="Q615" s="165"/>
      <c r="R615" s="165"/>
      <c r="S615" s="165"/>
      <c r="T615" s="165"/>
      <c r="U615" s="165"/>
      <c r="V615" s="165"/>
      <c r="W615" s="165"/>
      <c r="X615" s="165"/>
    </row>
    <row r="616" ht="18.75" customHeight="1">
      <c r="A616" s="165">
        <v>614.0</v>
      </c>
      <c r="B616" s="165" t="s">
        <v>16086</v>
      </c>
      <c r="C616" s="165"/>
      <c r="D616" s="165"/>
      <c r="E616" s="165"/>
      <c r="F616" s="165"/>
      <c r="G616" s="165"/>
      <c r="H616" s="165"/>
      <c r="I616" s="165"/>
      <c r="J616" s="165"/>
      <c r="K616" s="165"/>
      <c r="L616" s="165"/>
      <c r="M616" s="165"/>
      <c r="N616" s="165"/>
      <c r="O616" s="165"/>
      <c r="P616" s="165"/>
      <c r="Q616" s="165"/>
      <c r="R616" s="165"/>
      <c r="S616" s="165"/>
      <c r="T616" s="165"/>
      <c r="U616" s="165"/>
      <c r="V616" s="165"/>
      <c r="W616" s="165"/>
      <c r="X616" s="165"/>
    </row>
    <row r="617" ht="18.75" customHeight="1">
      <c r="A617" s="165">
        <v>615.0</v>
      </c>
      <c r="B617" s="165" t="s">
        <v>16087</v>
      </c>
      <c r="C617" s="165"/>
      <c r="D617" s="165"/>
      <c r="E617" s="165"/>
      <c r="F617" s="165"/>
      <c r="G617" s="165"/>
      <c r="H617" s="165"/>
      <c r="I617" s="165"/>
      <c r="J617" s="165"/>
      <c r="K617" s="165"/>
      <c r="L617" s="165"/>
      <c r="M617" s="165"/>
      <c r="N617" s="165"/>
      <c r="O617" s="165"/>
      <c r="P617" s="165"/>
      <c r="Q617" s="165"/>
      <c r="R617" s="165"/>
      <c r="S617" s="165"/>
      <c r="T617" s="165"/>
      <c r="U617" s="165"/>
      <c r="V617" s="165"/>
      <c r="W617" s="165"/>
      <c r="X617" s="165"/>
    </row>
    <row r="618" ht="18.75" customHeight="1">
      <c r="A618" s="165">
        <v>616.0</v>
      </c>
      <c r="B618" s="167" t="s">
        <v>16088</v>
      </c>
      <c r="C618" s="165"/>
      <c r="D618" s="165"/>
      <c r="E618" s="165"/>
      <c r="F618" s="165"/>
      <c r="G618" s="165"/>
      <c r="H618" s="165"/>
      <c r="I618" s="165"/>
      <c r="J618" s="165"/>
      <c r="K618" s="165"/>
      <c r="L618" s="165"/>
      <c r="M618" s="165"/>
      <c r="N618" s="165"/>
      <c r="O618" s="165"/>
      <c r="P618" s="165"/>
      <c r="Q618" s="165"/>
      <c r="R618" s="165"/>
      <c r="S618" s="165"/>
      <c r="T618" s="165"/>
      <c r="U618" s="165"/>
      <c r="V618" s="165"/>
      <c r="W618" s="165"/>
      <c r="X618" s="165"/>
    </row>
    <row r="619" ht="18.75" customHeight="1">
      <c r="A619" s="165">
        <v>617.0</v>
      </c>
      <c r="B619" s="167" t="s">
        <v>16089</v>
      </c>
      <c r="C619" s="165"/>
      <c r="D619" s="165"/>
      <c r="E619" s="165"/>
      <c r="F619" s="165"/>
      <c r="G619" s="165"/>
      <c r="H619" s="165"/>
      <c r="I619" s="165"/>
      <c r="J619" s="165"/>
      <c r="K619" s="165"/>
      <c r="L619" s="165"/>
      <c r="M619" s="165"/>
      <c r="N619" s="165"/>
      <c r="O619" s="165"/>
      <c r="P619" s="165"/>
      <c r="Q619" s="165"/>
      <c r="R619" s="165"/>
      <c r="S619" s="165"/>
      <c r="T619" s="165"/>
      <c r="U619" s="165"/>
      <c r="V619" s="165"/>
      <c r="W619" s="165"/>
      <c r="X619" s="165"/>
    </row>
    <row r="620" ht="18.75" customHeight="1">
      <c r="A620" s="165">
        <v>618.0</v>
      </c>
      <c r="B620" s="165" t="s">
        <v>16090</v>
      </c>
      <c r="C620" s="165"/>
      <c r="D620" s="165"/>
      <c r="E620" s="165"/>
      <c r="F620" s="165"/>
      <c r="G620" s="165"/>
      <c r="H620" s="165"/>
      <c r="I620" s="165"/>
      <c r="J620" s="165"/>
      <c r="K620" s="165"/>
      <c r="L620" s="165"/>
      <c r="M620" s="165"/>
      <c r="N620" s="165"/>
      <c r="O620" s="165"/>
      <c r="P620" s="165"/>
      <c r="Q620" s="165"/>
      <c r="R620" s="165"/>
      <c r="S620" s="165"/>
      <c r="T620" s="165"/>
      <c r="U620" s="165"/>
      <c r="V620" s="165"/>
      <c r="W620" s="165"/>
      <c r="X620" s="165"/>
    </row>
    <row r="621" ht="18.75" customHeight="1">
      <c r="A621" s="165">
        <v>619.0</v>
      </c>
      <c r="B621" s="167" t="s">
        <v>16091</v>
      </c>
      <c r="C621" s="165"/>
      <c r="D621" s="165"/>
      <c r="E621" s="165"/>
      <c r="F621" s="165"/>
      <c r="G621" s="165"/>
      <c r="H621" s="165"/>
      <c r="I621" s="165"/>
      <c r="J621" s="165"/>
      <c r="K621" s="165"/>
      <c r="L621" s="165"/>
      <c r="M621" s="165"/>
      <c r="N621" s="165"/>
      <c r="O621" s="165"/>
      <c r="P621" s="165"/>
      <c r="Q621" s="165"/>
      <c r="R621" s="165"/>
      <c r="S621" s="165"/>
      <c r="T621" s="165"/>
      <c r="U621" s="165"/>
      <c r="V621" s="165"/>
      <c r="W621" s="165"/>
      <c r="X621" s="165"/>
    </row>
    <row r="622" ht="18.75" customHeight="1">
      <c r="A622" s="165">
        <v>620.0</v>
      </c>
      <c r="B622" s="165" t="s">
        <v>16092</v>
      </c>
      <c r="C622" s="165"/>
      <c r="D622" s="165"/>
      <c r="E622" s="165"/>
      <c r="F622" s="165"/>
      <c r="G622" s="165"/>
      <c r="H622" s="165"/>
      <c r="I622" s="165"/>
      <c r="J622" s="165"/>
      <c r="K622" s="165"/>
      <c r="L622" s="165"/>
      <c r="M622" s="165"/>
      <c r="N622" s="165"/>
      <c r="O622" s="165"/>
      <c r="P622" s="165"/>
      <c r="Q622" s="165"/>
      <c r="R622" s="165"/>
      <c r="S622" s="165"/>
      <c r="T622" s="165"/>
      <c r="U622" s="165"/>
      <c r="V622" s="165"/>
      <c r="W622" s="165"/>
      <c r="X622" s="165"/>
    </row>
    <row r="623" ht="18.75" customHeight="1">
      <c r="A623" s="165">
        <v>621.0</v>
      </c>
      <c r="B623" s="167" t="s">
        <v>16093</v>
      </c>
      <c r="C623" s="165"/>
      <c r="D623" s="165"/>
      <c r="E623" s="165"/>
      <c r="F623" s="165"/>
      <c r="G623" s="165"/>
      <c r="H623" s="165"/>
      <c r="I623" s="165"/>
      <c r="J623" s="165"/>
      <c r="K623" s="165"/>
      <c r="L623" s="165"/>
      <c r="M623" s="165"/>
      <c r="N623" s="165"/>
      <c r="O623" s="165"/>
      <c r="P623" s="165"/>
      <c r="Q623" s="165"/>
      <c r="R623" s="165"/>
      <c r="S623" s="165"/>
      <c r="T623" s="165"/>
      <c r="U623" s="165"/>
      <c r="V623" s="165"/>
      <c r="W623" s="165"/>
      <c r="X623" s="165"/>
    </row>
    <row r="624" ht="18.75" customHeight="1">
      <c r="A624" s="165">
        <v>622.0</v>
      </c>
      <c r="B624" s="167" t="s">
        <v>16094</v>
      </c>
      <c r="C624" s="165"/>
      <c r="D624" s="165"/>
      <c r="E624" s="165"/>
      <c r="F624" s="165"/>
      <c r="G624" s="165"/>
      <c r="H624" s="165"/>
      <c r="I624" s="165"/>
      <c r="J624" s="165"/>
      <c r="K624" s="165"/>
      <c r="L624" s="165"/>
      <c r="M624" s="165"/>
      <c r="N624" s="165"/>
      <c r="O624" s="165"/>
      <c r="P624" s="165"/>
      <c r="Q624" s="165"/>
      <c r="R624" s="165"/>
      <c r="S624" s="165"/>
      <c r="T624" s="165"/>
      <c r="U624" s="165"/>
      <c r="V624" s="165"/>
      <c r="W624" s="165"/>
      <c r="X624" s="165"/>
    </row>
    <row r="625" ht="18.75" customHeight="1">
      <c r="A625" s="165">
        <v>623.0</v>
      </c>
      <c r="B625" s="167" t="s">
        <v>16095</v>
      </c>
      <c r="C625" s="165"/>
      <c r="D625" s="165"/>
      <c r="E625" s="165"/>
      <c r="F625" s="165"/>
      <c r="G625" s="165"/>
      <c r="H625" s="165"/>
      <c r="I625" s="165"/>
      <c r="J625" s="165"/>
      <c r="K625" s="165"/>
      <c r="L625" s="165"/>
      <c r="M625" s="165"/>
      <c r="N625" s="165"/>
      <c r="O625" s="165"/>
      <c r="P625" s="165"/>
      <c r="Q625" s="165"/>
      <c r="R625" s="165"/>
      <c r="S625" s="165"/>
      <c r="T625" s="165"/>
      <c r="U625" s="165"/>
      <c r="V625" s="165"/>
      <c r="W625" s="165"/>
      <c r="X625" s="165"/>
    </row>
    <row r="626" ht="18.75" customHeight="1">
      <c r="A626" s="165">
        <v>624.0</v>
      </c>
      <c r="B626" s="167" t="s">
        <v>16096</v>
      </c>
      <c r="C626" s="165"/>
      <c r="D626" s="165"/>
      <c r="E626" s="165"/>
      <c r="F626" s="165"/>
      <c r="G626" s="165"/>
      <c r="H626" s="165"/>
      <c r="I626" s="165"/>
      <c r="J626" s="165"/>
      <c r="K626" s="165"/>
      <c r="L626" s="165"/>
      <c r="M626" s="165"/>
      <c r="N626" s="165"/>
      <c r="O626" s="165"/>
      <c r="P626" s="165"/>
      <c r="Q626" s="165"/>
      <c r="R626" s="165"/>
      <c r="S626" s="165"/>
      <c r="T626" s="165"/>
      <c r="U626" s="165"/>
      <c r="V626" s="165"/>
      <c r="W626" s="165"/>
      <c r="X626" s="165"/>
    </row>
    <row r="627" ht="18.75" customHeight="1">
      <c r="A627" s="165">
        <v>625.0</v>
      </c>
      <c r="B627" s="165" t="s">
        <v>16097</v>
      </c>
      <c r="C627" s="165"/>
      <c r="D627" s="165"/>
      <c r="E627" s="165"/>
      <c r="F627" s="165"/>
      <c r="G627" s="165"/>
      <c r="H627" s="165"/>
      <c r="I627" s="165"/>
      <c r="J627" s="165"/>
      <c r="K627" s="165"/>
      <c r="L627" s="165"/>
      <c r="M627" s="165"/>
      <c r="N627" s="165"/>
      <c r="O627" s="165"/>
      <c r="P627" s="165"/>
      <c r="Q627" s="165"/>
      <c r="R627" s="165"/>
      <c r="S627" s="165"/>
      <c r="T627" s="165"/>
      <c r="U627" s="165"/>
      <c r="V627" s="165"/>
      <c r="W627" s="165"/>
      <c r="X627" s="165"/>
    </row>
    <row r="628" ht="18.75" customHeight="1">
      <c r="A628" s="165">
        <v>626.0</v>
      </c>
      <c r="B628" s="167" t="s">
        <v>16098</v>
      </c>
      <c r="C628" s="165"/>
      <c r="D628" s="165"/>
      <c r="E628" s="165"/>
      <c r="F628" s="165"/>
      <c r="G628" s="165"/>
      <c r="H628" s="165"/>
      <c r="I628" s="165"/>
      <c r="J628" s="165"/>
      <c r="K628" s="165"/>
      <c r="L628" s="165"/>
      <c r="M628" s="165"/>
      <c r="N628" s="165"/>
      <c r="O628" s="165"/>
      <c r="P628" s="165"/>
      <c r="Q628" s="165"/>
      <c r="R628" s="165"/>
      <c r="S628" s="165"/>
      <c r="T628" s="165"/>
      <c r="U628" s="165"/>
      <c r="V628" s="165"/>
      <c r="W628" s="165"/>
      <c r="X628" s="165"/>
    </row>
    <row r="629" ht="18.75" customHeight="1">
      <c r="A629" s="165">
        <v>627.0</v>
      </c>
      <c r="B629" s="167" t="s">
        <v>16099</v>
      </c>
      <c r="C629" s="165"/>
      <c r="D629" s="165"/>
      <c r="E629" s="165"/>
      <c r="F629" s="165"/>
      <c r="G629" s="165"/>
      <c r="H629" s="165"/>
      <c r="I629" s="165"/>
      <c r="J629" s="165"/>
      <c r="K629" s="165"/>
      <c r="L629" s="165"/>
      <c r="M629" s="165"/>
      <c r="N629" s="165"/>
      <c r="O629" s="165"/>
      <c r="P629" s="165"/>
      <c r="Q629" s="165"/>
      <c r="R629" s="165"/>
      <c r="S629" s="165"/>
      <c r="T629" s="165"/>
      <c r="U629" s="165"/>
      <c r="V629" s="165"/>
      <c r="W629" s="165"/>
      <c r="X629" s="165"/>
    </row>
    <row r="630" ht="18.75" customHeight="1">
      <c r="A630" s="165">
        <v>628.0</v>
      </c>
      <c r="B630" s="165" t="s">
        <v>16100</v>
      </c>
      <c r="C630" s="165"/>
      <c r="D630" s="165"/>
      <c r="E630" s="165"/>
      <c r="F630" s="165"/>
      <c r="G630" s="165"/>
      <c r="H630" s="165"/>
      <c r="I630" s="165"/>
      <c r="J630" s="165"/>
      <c r="K630" s="165"/>
      <c r="L630" s="165"/>
      <c r="M630" s="165"/>
      <c r="N630" s="165"/>
      <c r="O630" s="165"/>
      <c r="P630" s="165"/>
      <c r="Q630" s="165"/>
      <c r="R630" s="165"/>
      <c r="S630" s="165"/>
      <c r="T630" s="165"/>
      <c r="U630" s="165"/>
      <c r="V630" s="165"/>
      <c r="W630" s="165"/>
      <c r="X630" s="165"/>
    </row>
    <row r="631" ht="18.75" customHeight="1">
      <c r="A631" s="165">
        <v>629.0</v>
      </c>
      <c r="B631" s="165" t="s">
        <v>16099</v>
      </c>
      <c r="C631" s="165"/>
      <c r="D631" s="165"/>
      <c r="E631" s="165"/>
      <c r="F631" s="165"/>
      <c r="G631" s="165"/>
      <c r="H631" s="165"/>
      <c r="I631" s="165"/>
      <c r="J631" s="165"/>
      <c r="K631" s="165"/>
      <c r="L631" s="165"/>
      <c r="M631" s="165"/>
      <c r="N631" s="165"/>
      <c r="O631" s="165"/>
      <c r="P631" s="165"/>
      <c r="Q631" s="165"/>
      <c r="R631" s="165"/>
      <c r="S631" s="165"/>
      <c r="T631" s="165"/>
      <c r="U631" s="165"/>
      <c r="V631" s="165"/>
      <c r="W631" s="165"/>
      <c r="X631" s="165"/>
    </row>
    <row r="632" ht="18.75" customHeight="1">
      <c r="A632" s="165">
        <v>630.0</v>
      </c>
      <c r="B632" s="167" t="s">
        <v>16101</v>
      </c>
      <c r="C632" s="165"/>
      <c r="D632" s="165"/>
      <c r="E632" s="165"/>
      <c r="F632" s="165"/>
      <c r="G632" s="165"/>
      <c r="H632" s="165"/>
      <c r="I632" s="165"/>
      <c r="J632" s="165"/>
      <c r="K632" s="165"/>
      <c r="L632" s="165"/>
      <c r="M632" s="165"/>
      <c r="N632" s="165"/>
      <c r="O632" s="165"/>
      <c r="P632" s="165"/>
      <c r="Q632" s="165"/>
      <c r="R632" s="165"/>
      <c r="S632" s="165"/>
      <c r="T632" s="165"/>
      <c r="U632" s="165"/>
      <c r="V632" s="165"/>
      <c r="W632" s="165"/>
      <c r="X632" s="165"/>
    </row>
    <row r="633" ht="18.75" customHeight="1">
      <c r="A633" s="165">
        <v>631.0</v>
      </c>
      <c r="B633" s="165" t="s">
        <v>16102</v>
      </c>
      <c r="C633" s="165"/>
      <c r="D633" s="165"/>
      <c r="E633" s="165"/>
      <c r="F633" s="165"/>
      <c r="G633" s="165"/>
      <c r="H633" s="165"/>
      <c r="I633" s="165"/>
      <c r="J633" s="165"/>
      <c r="K633" s="165"/>
      <c r="L633" s="165"/>
      <c r="M633" s="165"/>
      <c r="N633" s="165"/>
      <c r="O633" s="165"/>
      <c r="P633" s="165"/>
      <c r="Q633" s="165"/>
      <c r="R633" s="165"/>
      <c r="S633" s="165"/>
      <c r="T633" s="165"/>
      <c r="U633" s="165"/>
      <c r="V633" s="165"/>
      <c r="W633" s="165"/>
      <c r="X633" s="165"/>
    </row>
    <row r="634" ht="18.75" customHeight="1">
      <c r="A634" s="165">
        <v>632.0</v>
      </c>
      <c r="B634" s="165" t="s">
        <v>16103</v>
      </c>
      <c r="C634" s="165"/>
      <c r="D634" s="165"/>
      <c r="E634" s="165"/>
      <c r="F634" s="165"/>
      <c r="G634" s="165"/>
      <c r="H634" s="165"/>
      <c r="I634" s="165"/>
      <c r="J634" s="165"/>
      <c r="K634" s="165"/>
      <c r="L634" s="165"/>
      <c r="M634" s="165"/>
      <c r="N634" s="165"/>
      <c r="O634" s="165"/>
      <c r="P634" s="165"/>
      <c r="Q634" s="165"/>
      <c r="R634" s="165"/>
      <c r="S634" s="165"/>
      <c r="T634" s="165"/>
      <c r="U634" s="165"/>
      <c r="V634" s="165"/>
      <c r="W634" s="165"/>
      <c r="X634" s="165"/>
    </row>
    <row r="635" ht="18.75" customHeight="1">
      <c r="A635" s="165">
        <v>633.0</v>
      </c>
      <c r="B635" s="165" t="s">
        <v>16104</v>
      </c>
      <c r="C635" s="165"/>
      <c r="D635" s="165"/>
      <c r="E635" s="165"/>
      <c r="F635" s="165"/>
      <c r="G635" s="165"/>
      <c r="H635" s="165"/>
      <c r="I635" s="165"/>
      <c r="J635" s="165"/>
      <c r="K635" s="165"/>
      <c r="L635" s="165"/>
      <c r="M635" s="165"/>
      <c r="N635" s="165"/>
      <c r="O635" s="165"/>
      <c r="P635" s="165"/>
      <c r="Q635" s="165"/>
      <c r="R635" s="165"/>
      <c r="S635" s="165"/>
      <c r="T635" s="165"/>
      <c r="U635" s="165"/>
      <c r="V635" s="165"/>
      <c r="W635" s="165"/>
      <c r="X635" s="165"/>
    </row>
    <row r="636" ht="18.75" customHeight="1">
      <c r="A636" s="165">
        <v>634.0</v>
      </c>
      <c r="B636" s="165" t="s">
        <v>16105</v>
      </c>
      <c r="C636" s="165"/>
      <c r="D636" s="165"/>
      <c r="E636" s="165"/>
      <c r="F636" s="165"/>
      <c r="G636" s="165"/>
      <c r="H636" s="165"/>
      <c r="I636" s="165"/>
      <c r="J636" s="165"/>
      <c r="K636" s="165"/>
      <c r="L636" s="165"/>
      <c r="M636" s="165"/>
      <c r="N636" s="165"/>
      <c r="O636" s="165"/>
      <c r="P636" s="165"/>
      <c r="Q636" s="165"/>
      <c r="R636" s="165"/>
      <c r="S636" s="165"/>
      <c r="T636" s="165"/>
      <c r="U636" s="165"/>
      <c r="V636" s="165"/>
      <c r="W636" s="165"/>
      <c r="X636" s="165"/>
    </row>
    <row r="637" ht="18.75" customHeight="1">
      <c r="A637" s="165">
        <v>635.0</v>
      </c>
      <c r="B637" s="165" t="s">
        <v>16106</v>
      </c>
      <c r="C637" s="165"/>
      <c r="D637" s="165"/>
      <c r="E637" s="165"/>
      <c r="F637" s="165"/>
      <c r="G637" s="165"/>
      <c r="H637" s="165"/>
      <c r="I637" s="165"/>
      <c r="J637" s="165"/>
      <c r="K637" s="165"/>
      <c r="L637" s="165"/>
      <c r="M637" s="165"/>
      <c r="N637" s="165"/>
      <c r="O637" s="165"/>
      <c r="P637" s="165"/>
      <c r="Q637" s="165"/>
      <c r="R637" s="165"/>
      <c r="S637" s="165"/>
      <c r="T637" s="165"/>
      <c r="U637" s="165"/>
      <c r="V637" s="165"/>
      <c r="W637" s="165"/>
      <c r="X637" s="165"/>
    </row>
    <row r="638" ht="18.75" customHeight="1">
      <c r="A638" s="165">
        <v>636.0</v>
      </c>
      <c r="B638" s="165" t="s">
        <v>16107</v>
      </c>
      <c r="C638" s="165"/>
      <c r="D638" s="165"/>
      <c r="E638" s="165"/>
      <c r="F638" s="165"/>
      <c r="G638" s="165"/>
      <c r="H638" s="165"/>
      <c r="I638" s="165"/>
      <c r="J638" s="165"/>
      <c r="K638" s="165"/>
      <c r="L638" s="165"/>
      <c r="M638" s="165"/>
      <c r="N638" s="165"/>
      <c r="O638" s="165"/>
      <c r="P638" s="165"/>
      <c r="Q638" s="165"/>
      <c r="R638" s="165"/>
      <c r="S638" s="165"/>
      <c r="T638" s="165"/>
      <c r="U638" s="165"/>
      <c r="V638" s="165"/>
      <c r="W638" s="165"/>
      <c r="X638" s="165"/>
    </row>
    <row r="639" ht="18.75" customHeight="1">
      <c r="A639" s="165">
        <v>637.0</v>
      </c>
      <c r="B639" s="165" t="s">
        <v>16108</v>
      </c>
      <c r="C639" s="165"/>
      <c r="D639" s="165"/>
      <c r="E639" s="165"/>
      <c r="F639" s="165"/>
      <c r="G639" s="165"/>
      <c r="H639" s="165"/>
      <c r="I639" s="165"/>
      <c r="J639" s="165"/>
      <c r="K639" s="165"/>
      <c r="L639" s="165"/>
      <c r="M639" s="165"/>
      <c r="N639" s="165"/>
      <c r="O639" s="165"/>
      <c r="P639" s="165"/>
      <c r="Q639" s="165"/>
      <c r="R639" s="165"/>
      <c r="S639" s="165"/>
      <c r="T639" s="165"/>
      <c r="U639" s="165"/>
      <c r="V639" s="165"/>
      <c r="W639" s="165"/>
      <c r="X639" s="165"/>
    </row>
    <row r="640" ht="18.75" customHeight="1">
      <c r="A640" s="165">
        <v>638.0</v>
      </c>
      <c r="B640" s="165" t="s">
        <v>16109</v>
      </c>
      <c r="C640" s="165"/>
      <c r="D640" s="165"/>
      <c r="E640" s="165"/>
      <c r="F640" s="165"/>
      <c r="G640" s="165"/>
      <c r="H640" s="165"/>
      <c r="I640" s="165"/>
      <c r="J640" s="165"/>
      <c r="K640" s="165"/>
      <c r="L640" s="165"/>
      <c r="M640" s="165"/>
      <c r="N640" s="165"/>
      <c r="O640" s="165"/>
      <c r="P640" s="165"/>
      <c r="Q640" s="165"/>
      <c r="R640" s="165"/>
      <c r="S640" s="165"/>
      <c r="T640" s="165"/>
      <c r="U640" s="165"/>
      <c r="V640" s="165"/>
      <c r="W640" s="165"/>
      <c r="X640" s="165"/>
    </row>
    <row r="641" ht="18.75" customHeight="1">
      <c r="A641" s="165">
        <v>639.0</v>
      </c>
      <c r="B641" s="165" t="s">
        <v>16110</v>
      </c>
      <c r="C641" s="165"/>
      <c r="D641" s="165"/>
      <c r="E641" s="165"/>
      <c r="F641" s="165"/>
      <c r="G641" s="165"/>
      <c r="H641" s="165"/>
      <c r="I641" s="165"/>
      <c r="J641" s="165"/>
      <c r="K641" s="165"/>
      <c r="L641" s="165"/>
      <c r="M641" s="165"/>
      <c r="N641" s="165"/>
      <c r="O641" s="165"/>
      <c r="P641" s="165"/>
      <c r="Q641" s="165"/>
      <c r="R641" s="165"/>
      <c r="S641" s="165"/>
      <c r="T641" s="165"/>
      <c r="U641" s="165"/>
      <c r="V641" s="165"/>
      <c r="W641" s="165"/>
      <c r="X641" s="165"/>
    </row>
    <row r="642" ht="18.75" customHeight="1">
      <c r="A642" s="165">
        <v>640.0</v>
      </c>
      <c r="B642" s="167" t="s">
        <v>16111</v>
      </c>
      <c r="C642" s="165"/>
      <c r="D642" s="165"/>
      <c r="E642" s="165"/>
      <c r="F642" s="165"/>
      <c r="G642" s="165"/>
      <c r="H642" s="165"/>
      <c r="I642" s="165"/>
      <c r="J642" s="165"/>
      <c r="K642" s="165"/>
      <c r="L642" s="165"/>
      <c r="M642" s="165"/>
      <c r="N642" s="165"/>
      <c r="O642" s="165"/>
      <c r="P642" s="165"/>
      <c r="Q642" s="165"/>
      <c r="R642" s="165"/>
      <c r="S642" s="165"/>
      <c r="T642" s="165"/>
      <c r="U642" s="165"/>
      <c r="V642" s="165"/>
      <c r="W642" s="165"/>
      <c r="X642" s="165"/>
    </row>
    <row r="643" ht="18.75" customHeight="1">
      <c r="A643" s="165">
        <v>641.0</v>
      </c>
      <c r="B643" s="167" t="s">
        <v>16112</v>
      </c>
      <c r="C643" s="165"/>
      <c r="D643" s="165"/>
      <c r="E643" s="165"/>
      <c r="F643" s="165"/>
      <c r="G643" s="165"/>
      <c r="H643" s="165"/>
      <c r="I643" s="165"/>
      <c r="J643" s="165"/>
      <c r="K643" s="165"/>
      <c r="L643" s="165"/>
      <c r="M643" s="165"/>
      <c r="N643" s="165"/>
      <c r="O643" s="165"/>
      <c r="P643" s="165"/>
      <c r="Q643" s="165"/>
      <c r="R643" s="165"/>
      <c r="S643" s="165"/>
      <c r="T643" s="165"/>
      <c r="U643" s="165"/>
      <c r="V643" s="165"/>
      <c r="W643" s="165"/>
      <c r="X643" s="165"/>
    </row>
    <row r="644" ht="18.75" customHeight="1">
      <c r="A644" s="165">
        <v>642.0</v>
      </c>
      <c r="B644" s="165" t="s">
        <v>16113</v>
      </c>
      <c r="C644" s="165"/>
      <c r="D644" s="165"/>
      <c r="E644" s="165"/>
      <c r="F644" s="165"/>
      <c r="G644" s="165"/>
      <c r="H644" s="165"/>
      <c r="I644" s="165"/>
      <c r="J644" s="165"/>
      <c r="K644" s="165"/>
      <c r="L644" s="165"/>
      <c r="M644" s="165"/>
      <c r="N644" s="165"/>
      <c r="O644" s="165"/>
      <c r="P644" s="165"/>
      <c r="Q644" s="165"/>
      <c r="R644" s="165"/>
      <c r="S644" s="165"/>
      <c r="T644" s="165"/>
      <c r="U644" s="165"/>
      <c r="V644" s="165"/>
      <c r="W644" s="165"/>
      <c r="X644" s="165"/>
    </row>
    <row r="645" ht="18.75" customHeight="1">
      <c r="A645" s="165">
        <v>643.0</v>
      </c>
      <c r="B645" s="167" t="s">
        <v>16114</v>
      </c>
      <c r="C645" s="165"/>
      <c r="D645" s="165"/>
      <c r="E645" s="165"/>
      <c r="F645" s="165"/>
      <c r="G645" s="165"/>
      <c r="H645" s="165"/>
      <c r="I645" s="165"/>
      <c r="J645" s="165"/>
      <c r="K645" s="165"/>
      <c r="L645" s="165"/>
      <c r="M645" s="165"/>
      <c r="N645" s="165"/>
      <c r="O645" s="165"/>
      <c r="P645" s="165"/>
      <c r="Q645" s="165"/>
      <c r="R645" s="165"/>
      <c r="S645" s="165"/>
      <c r="T645" s="165"/>
      <c r="U645" s="165"/>
      <c r="V645" s="165"/>
      <c r="W645" s="165"/>
      <c r="X645" s="165"/>
    </row>
    <row r="646" ht="18.75" customHeight="1">
      <c r="A646" s="165">
        <v>644.0</v>
      </c>
      <c r="B646" s="165" t="s">
        <v>16115</v>
      </c>
      <c r="C646" s="165"/>
      <c r="D646" s="165"/>
      <c r="E646" s="165"/>
      <c r="F646" s="165"/>
      <c r="G646" s="165"/>
      <c r="H646" s="165"/>
      <c r="I646" s="165"/>
      <c r="J646" s="165"/>
      <c r="K646" s="165"/>
      <c r="L646" s="165"/>
      <c r="M646" s="165"/>
      <c r="N646" s="165"/>
      <c r="O646" s="165"/>
      <c r="P646" s="165"/>
      <c r="Q646" s="165"/>
      <c r="R646" s="165"/>
      <c r="S646" s="165"/>
      <c r="T646" s="165"/>
      <c r="U646" s="165"/>
      <c r="V646" s="165"/>
      <c r="W646" s="165"/>
      <c r="X646" s="165"/>
    </row>
    <row r="647" ht="18.75" customHeight="1">
      <c r="A647" s="165">
        <v>645.0</v>
      </c>
      <c r="B647" s="165" t="s">
        <v>16116</v>
      </c>
      <c r="C647" s="165"/>
      <c r="D647" s="165"/>
      <c r="E647" s="165"/>
      <c r="F647" s="165"/>
      <c r="G647" s="165"/>
      <c r="H647" s="165"/>
      <c r="I647" s="165"/>
      <c r="J647" s="165"/>
      <c r="K647" s="165"/>
      <c r="L647" s="165"/>
      <c r="M647" s="165"/>
      <c r="N647" s="165"/>
      <c r="O647" s="165"/>
      <c r="P647" s="165"/>
      <c r="Q647" s="165"/>
      <c r="R647" s="165"/>
      <c r="S647" s="165"/>
      <c r="T647" s="165"/>
      <c r="U647" s="165"/>
      <c r="V647" s="165"/>
      <c r="W647" s="165"/>
      <c r="X647" s="165"/>
    </row>
    <row r="648" ht="18.75" customHeight="1">
      <c r="A648" s="165">
        <v>646.0</v>
      </c>
      <c r="B648" s="165" t="s">
        <v>16117</v>
      </c>
      <c r="C648" s="165"/>
      <c r="D648" s="165"/>
      <c r="E648" s="165"/>
      <c r="F648" s="165"/>
      <c r="G648" s="165"/>
      <c r="H648" s="165"/>
      <c r="I648" s="165"/>
      <c r="J648" s="165"/>
      <c r="K648" s="165"/>
      <c r="L648" s="165"/>
      <c r="M648" s="165"/>
      <c r="N648" s="165"/>
      <c r="O648" s="165"/>
      <c r="P648" s="165"/>
      <c r="Q648" s="165"/>
      <c r="R648" s="165"/>
      <c r="S648" s="165"/>
      <c r="T648" s="165"/>
      <c r="U648" s="165"/>
      <c r="V648" s="165"/>
      <c r="W648" s="165"/>
      <c r="X648" s="165"/>
    </row>
    <row r="649" ht="18.75" customHeight="1">
      <c r="A649" s="165">
        <v>647.0</v>
      </c>
      <c r="B649" s="165" t="s">
        <v>16118</v>
      </c>
      <c r="C649" s="165"/>
      <c r="D649" s="165"/>
      <c r="E649" s="165"/>
      <c r="F649" s="165"/>
      <c r="G649" s="165"/>
      <c r="H649" s="165"/>
      <c r="I649" s="165"/>
      <c r="J649" s="165"/>
      <c r="K649" s="165"/>
      <c r="L649" s="165"/>
      <c r="M649" s="165"/>
      <c r="N649" s="165"/>
      <c r="O649" s="165"/>
      <c r="P649" s="165"/>
      <c r="Q649" s="165"/>
      <c r="R649" s="165"/>
      <c r="S649" s="165"/>
      <c r="T649" s="165"/>
      <c r="U649" s="165"/>
      <c r="V649" s="165"/>
      <c r="W649" s="165"/>
      <c r="X649" s="165"/>
    </row>
    <row r="650" ht="18.75" customHeight="1">
      <c r="A650" s="165">
        <v>648.0</v>
      </c>
      <c r="B650" s="167" t="s">
        <v>16119</v>
      </c>
      <c r="C650" s="165"/>
      <c r="D650" s="165"/>
      <c r="E650" s="165"/>
      <c r="F650" s="165"/>
      <c r="G650" s="165"/>
      <c r="H650" s="165"/>
      <c r="I650" s="165"/>
      <c r="J650" s="165"/>
      <c r="K650" s="165"/>
      <c r="L650" s="165"/>
      <c r="M650" s="165"/>
      <c r="N650" s="165"/>
      <c r="O650" s="165"/>
      <c r="P650" s="165"/>
      <c r="Q650" s="165"/>
      <c r="R650" s="165"/>
      <c r="S650" s="165"/>
      <c r="T650" s="165"/>
      <c r="U650" s="165"/>
      <c r="V650" s="165"/>
      <c r="W650" s="165"/>
      <c r="X650" s="165"/>
    </row>
    <row r="651" ht="18.75" customHeight="1">
      <c r="A651" s="165">
        <v>649.0</v>
      </c>
      <c r="B651" s="165" t="s">
        <v>16120</v>
      </c>
      <c r="C651" s="165"/>
      <c r="D651" s="165"/>
      <c r="E651" s="165"/>
      <c r="F651" s="165"/>
      <c r="G651" s="165"/>
      <c r="H651" s="165"/>
      <c r="I651" s="165"/>
      <c r="J651" s="165"/>
      <c r="K651" s="165"/>
      <c r="L651" s="165"/>
      <c r="M651" s="165"/>
      <c r="N651" s="165"/>
      <c r="O651" s="165"/>
      <c r="P651" s="165"/>
      <c r="Q651" s="165"/>
      <c r="R651" s="165"/>
      <c r="S651" s="165"/>
      <c r="T651" s="165"/>
      <c r="U651" s="165"/>
      <c r="V651" s="165"/>
      <c r="W651" s="165"/>
      <c r="X651" s="165"/>
    </row>
    <row r="652" ht="18.75" customHeight="1">
      <c r="A652" s="165">
        <v>650.0</v>
      </c>
      <c r="B652" s="167" t="s">
        <v>16121</v>
      </c>
      <c r="C652" s="165"/>
      <c r="D652" s="165"/>
      <c r="E652" s="165"/>
      <c r="F652" s="165"/>
      <c r="G652" s="165"/>
      <c r="H652" s="165"/>
      <c r="I652" s="165"/>
      <c r="J652" s="165"/>
      <c r="K652" s="165"/>
      <c r="L652" s="165"/>
      <c r="M652" s="165"/>
      <c r="N652" s="165"/>
      <c r="O652" s="165"/>
      <c r="P652" s="165"/>
      <c r="Q652" s="165"/>
      <c r="R652" s="165"/>
      <c r="S652" s="165"/>
      <c r="T652" s="165"/>
      <c r="U652" s="165"/>
      <c r="V652" s="165"/>
      <c r="W652" s="165"/>
      <c r="X652" s="165"/>
    </row>
    <row r="653" ht="18.75" customHeight="1">
      <c r="A653" s="165">
        <v>651.0</v>
      </c>
      <c r="B653" s="165" t="s">
        <v>16122</v>
      </c>
      <c r="C653" s="165"/>
      <c r="D653" s="165"/>
      <c r="E653" s="165"/>
      <c r="F653" s="165"/>
      <c r="G653" s="165"/>
      <c r="H653" s="165"/>
      <c r="I653" s="165"/>
      <c r="J653" s="165"/>
      <c r="K653" s="165"/>
      <c r="L653" s="165"/>
      <c r="M653" s="165"/>
      <c r="N653" s="165"/>
      <c r="O653" s="165"/>
      <c r="P653" s="165"/>
      <c r="Q653" s="165"/>
      <c r="R653" s="165"/>
      <c r="S653" s="165"/>
      <c r="T653" s="165"/>
      <c r="U653" s="165"/>
      <c r="V653" s="165"/>
      <c r="W653" s="165"/>
      <c r="X653" s="165"/>
    </row>
    <row r="654" ht="18.75" customHeight="1">
      <c r="A654" s="165">
        <v>652.0</v>
      </c>
      <c r="B654" s="165" t="s">
        <v>16123</v>
      </c>
      <c r="C654" s="165"/>
      <c r="D654" s="165"/>
      <c r="E654" s="165"/>
      <c r="F654" s="165"/>
      <c r="G654" s="165"/>
      <c r="H654" s="165"/>
      <c r="I654" s="165"/>
      <c r="J654" s="165"/>
      <c r="K654" s="165"/>
      <c r="L654" s="165"/>
      <c r="M654" s="165"/>
      <c r="N654" s="165"/>
      <c r="O654" s="165"/>
      <c r="P654" s="165"/>
      <c r="Q654" s="165"/>
      <c r="R654" s="165"/>
      <c r="S654" s="165"/>
      <c r="T654" s="165"/>
      <c r="U654" s="165"/>
      <c r="V654" s="165"/>
      <c r="W654" s="165"/>
      <c r="X654" s="165"/>
    </row>
    <row r="655" ht="18.75" customHeight="1">
      <c r="A655" s="165">
        <v>653.0</v>
      </c>
      <c r="B655" s="165" t="s">
        <v>16124</v>
      </c>
      <c r="C655" s="165"/>
      <c r="D655" s="165"/>
      <c r="E655" s="165"/>
      <c r="F655" s="165"/>
      <c r="G655" s="165"/>
      <c r="H655" s="165"/>
      <c r="I655" s="165"/>
      <c r="J655" s="165"/>
      <c r="K655" s="165"/>
      <c r="L655" s="165"/>
      <c r="M655" s="165"/>
      <c r="N655" s="165"/>
      <c r="O655" s="165"/>
      <c r="P655" s="165"/>
      <c r="Q655" s="165"/>
      <c r="R655" s="165"/>
      <c r="S655" s="165"/>
      <c r="T655" s="165"/>
      <c r="U655" s="165"/>
      <c r="V655" s="165"/>
      <c r="W655" s="165"/>
      <c r="X655" s="165"/>
    </row>
    <row r="656" ht="18.75" customHeight="1">
      <c r="A656" s="165">
        <v>654.0</v>
      </c>
      <c r="B656" s="165" t="s">
        <v>16125</v>
      </c>
      <c r="C656" s="165"/>
      <c r="D656" s="165"/>
      <c r="E656" s="165"/>
      <c r="F656" s="165"/>
      <c r="G656" s="165"/>
      <c r="H656" s="165"/>
      <c r="I656" s="165"/>
      <c r="J656" s="165"/>
      <c r="K656" s="165"/>
      <c r="L656" s="165"/>
      <c r="M656" s="165"/>
      <c r="N656" s="165"/>
      <c r="O656" s="165"/>
      <c r="P656" s="165"/>
      <c r="Q656" s="165"/>
      <c r="R656" s="165"/>
      <c r="S656" s="165"/>
      <c r="T656" s="165"/>
      <c r="U656" s="165"/>
      <c r="V656" s="165"/>
      <c r="W656" s="165"/>
      <c r="X656" s="165"/>
    </row>
    <row r="657" ht="18.75" customHeight="1">
      <c r="A657" s="165">
        <v>655.0</v>
      </c>
      <c r="B657" s="165" t="s">
        <v>16126</v>
      </c>
      <c r="C657" s="165"/>
      <c r="D657" s="165"/>
      <c r="E657" s="165"/>
      <c r="F657" s="165"/>
      <c r="G657" s="165"/>
      <c r="H657" s="165"/>
      <c r="I657" s="165"/>
      <c r="J657" s="165"/>
      <c r="K657" s="165"/>
      <c r="L657" s="165"/>
      <c r="M657" s="165"/>
      <c r="N657" s="165"/>
      <c r="O657" s="165"/>
      <c r="P657" s="165"/>
      <c r="Q657" s="165"/>
      <c r="R657" s="165"/>
      <c r="S657" s="165"/>
      <c r="T657" s="165"/>
      <c r="U657" s="165"/>
      <c r="V657" s="165"/>
      <c r="W657" s="165"/>
      <c r="X657" s="165"/>
    </row>
    <row r="658" ht="18.75" customHeight="1">
      <c r="A658" s="165">
        <v>656.0</v>
      </c>
      <c r="B658" s="165" t="s">
        <v>16127</v>
      </c>
      <c r="C658" s="165"/>
      <c r="D658" s="165"/>
      <c r="E658" s="165"/>
      <c r="F658" s="165"/>
      <c r="G658" s="165"/>
      <c r="H658" s="165"/>
      <c r="I658" s="165"/>
      <c r="J658" s="165"/>
      <c r="K658" s="165"/>
      <c r="L658" s="165"/>
      <c r="M658" s="165"/>
      <c r="N658" s="165"/>
      <c r="O658" s="165"/>
      <c r="P658" s="165"/>
      <c r="Q658" s="165"/>
      <c r="R658" s="165"/>
      <c r="S658" s="165"/>
      <c r="T658" s="165"/>
      <c r="U658" s="165"/>
      <c r="V658" s="165"/>
      <c r="W658" s="165"/>
      <c r="X658" s="165"/>
    </row>
    <row r="659" ht="18.75" customHeight="1">
      <c r="A659" s="165">
        <v>657.0</v>
      </c>
      <c r="B659" s="167" t="s">
        <v>16128</v>
      </c>
      <c r="C659" s="165"/>
      <c r="D659" s="165"/>
      <c r="E659" s="165"/>
      <c r="F659" s="165"/>
      <c r="G659" s="165"/>
      <c r="H659" s="165"/>
      <c r="I659" s="165"/>
      <c r="J659" s="165"/>
      <c r="K659" s="165"/>
      <c r="L659" s="165"/>
      <c r="M659" s="165"/>
      <c r="N659" s="165"/>
      <c r="O659" s="165"/>
      <c r="P659" s="165"/>
      <c r="Q659" s="165"/>
      <c r="R659" s="165"/>
      <c r="S659" s="165"/>
      <c r="T659" s="165"/>
      <c r="U659" s="165"/>
      <c r="V659" s="165"/>
      <c r="W659" s="165"/>
      <c r="X659" s="165"/>
    </row>
    <row r="660" ht="18.75" customHeight="1">
      <c r="A660" s="165">
        <v>658.0</v>
      </c>
      <c r="B660" s="165" t="s">
        <v>16129</v>
      </c>
      <c r="C660" s="165"/>
      <c r="D660" s="165"/>
      <c r="E660" s="165"/>
      <c r="F660" s="165"/>
      <c r="G660" s="165"/>
      <c r="H660" s="165"/>
      <c r="I660" s="165"/>
      <c r="J660" s="165"/>
      <c r="K660" s="165"/>
      <c r="L660" s="165"/>
      <c r="M660" s="165"/>
      <c r="N660" s="165"/>
      <c r="O660" s="165"/>
      <c r="P660" s="165"/>
      <c r="Q660" s="165"/>
      <c r="R660" s="165"/>
      <c r="S660" s="165"/>
      <c r="T660" s="165"/>
      <c r="U660" s="165"/>
      <c r="V660" s="165"/>
      <c r="W660" s="165"/>
      <c r="X660" s="165"/>
    </row>
    <row r="661" ht="18.75" customHeight="1">
      <c r="A661" s="165">
        <v>659.0</v>
      </c>
      <c r="B661" s="165" t="s">
        <v>16130</v>
      </c>
      <c r="C661" s="165"/>
      <c r="D661" s="165"/>
      <c r="E661" s="165"/>
      <c r="F661" s="165"/>
      <c r="G661" s="165"/>
      <c r="H661" s="165"/>
      <c r="I661" s="165"/>
      <c r="J661" s="165"/>
      <c r="K661" s="165"/>
      <c r="L661" s="165"/>
      <c r="M661" s="165"/>
      <c r="N661" s="165"/>
      <c r="O661" s="165"/>
      <c r="P661" s="165"/>
      <c r="Q661" s="165"/>
      <c r="R661" s="165"/>
      <c r="S661" s="165"/>
      <c r="T661" s="165"/>
      <c r="U661" s="165"/>
      <c r="V661" s="165"/>
      <c r="W661" s="165"/>
      <c r="X661" s="165"/>
    </row>
    <row r="662" ht="18.75" customHeight="1">
      <c r="A662" s="165">
        <v>660.0</v>
      </c>
      <c r="B662" s="167" t="s">
        <v>16131</v>
      </c>
      <c r="C662" s="165"/>
      <c r="D662" s="165"/>
      <c r="E662" s="165"/>
      <c r="F662" s="165"/>
      <c r="G662" s="165"/>
      <c r="H662" s="165"/>
      <c r="I662" s="165"/>
      <c r="J662" s="165"/>
      <c r="K662" s="165"/>
      <c r="L662" s="165"/>
      <c r="M662" s="165"/>
      <c r="N662" s="165"/>
      <c r="O662" s="165"/>
      <c r="P662" s="165"/>
      <c r="Q662" s="165"/>
      <c r="R662" s="165"/>
      <c r="S662" s="165"/>
      <c r="T662" s="165"/>
      <c r="U662" s="165"/>
      <c r="V662" s="165"/>
      <c r="W662" s="165"/>
      <c r="X662" s="165"/>
    </row>
    <row r="663" ht="18.75" customHeight="1">
      <c r="A663" s="165">
        <v>661.0</v>
      </c>
      <c r="B663" s="165" t="s">
        <v>16132</v>
      </c>
      <c r="C663" s="165"/>
      <c r="D663" s="165"/>
      <c r="E663" s="165"/>
      <c r="F663" s="165"/>
      <c r="G663" s="165"/>
      <c r="H663" s="165"/>
      <c r="I663" s="165"/>
      <c r="J663" s="165"/>
      <c r="K663" s="165"/>
      <c r="L663" s="165"/>
      <c r="M663" s="165"/>
      <c r="N663" s="165"/>
      <c r="O663" s="165"/>
      <c r="P663" s="165"/>
      <c r="Q663" s="165"/>
      <c r="R663" s="165"/>
      <c r="S663" s="165"/>
      <c r="T663" s="165"/>
      <c r="U663" s="165"/>
      <c r="V663" s="165"/>
      <c r="W663" s="165"/>
      <c r="X663" s="165"/>
    </row>
    <row r="664" ht="18.75" customHeight="1">
      <c r="A664" s="165">
        <v>662.0</v>
      </c>
      <c r="B664" s="165" t="s">
        <v>16133</v>
      </c>
      <c r="C664" s="165"/>
      <c r="D664" s="165"/>
      <c r="E664" s="165"/>
      <c r="F664" s="165"/>
      <c r="G664" s="165"/>
      <c r="H664" s="165"/>
      <c r="I664" s="165"/>
      <c r="J664" s="165"/>
      <c r="K664" s="165"/>
      <c r="L664" s="165"/>
      <c r="M664" s="165"/>
      <c r="N664" s="165"/>
      <c r="O664" s="165"/>
      <c r="P664" s="165"/>
      <c r="Q664" s="165"/>
      <c r="R664" s="165"/>
      <c r="S664" s="165"/>
      <c r="T664" s="165"/>
      <c r="U664" s="165"/>
      <c r="V664" s="165"/>
      <c r="W664" s="165"/>
      <c r="X664" s="165"/>
    </row>
    <row r="665" ht="18.75" customHeight="1">
      <c r="A665" s="165">
        <v>663.0</v>
      </c>
      <c r="B665" s="167" t="s">
        <v>16134</v>
      </c>
      <c r="C665" s="165"/>
      <c r="D665" s="165"/>
      <c r="E665" s="165"/>
      <c r="F665" s="165"/>
      <c r="G665" s="165"/>
      <c r="H665" s="165"/>
      <c r="I665" s="165"/>
      <c r="J665" s="165"/>
      <c r="K665" s="165"/>
      <c r="L665" s="165"/>
      <c r="M665" s="165"/>
      <c r="N665" s="165"/>
      <c r="O665" s="165"/>
      <c r="P665" s="165"/>
      <c r="Q665" s="165"/>
      <c r="R665" s="165"/>
      <c r="S665" s="165"/>
      <c r="T665" s="165"/>
      <c r="U665" s="165"/>
      <c r="V665" s="165"/>
      <c r="W665" s="165"/>
      <c r="X665" s="165"/>
    </row>
    <row r="666" ht="18.75" customHeight="1">
      <c r="A666" s="165">
        <v>664.0</v>
      </c>
      <c r="B666" s="165" t="s">
        <v>16135</v>
      </c>
      <c r="C666" s="165"/>
      <c r="D666" s="165"/>
      <c r="E666" s="165"/>
      <c r="F666" s="165"/>
      <c r="G666" s="165"/>
      <c r="H666" s="165"/>
      <c r="I666" s="165"/>
      <c r="J666" s="165"/>
      <c r="K666" s="165"/>
      <c r="L666" s="165"/>
      <c r="M666" s="165"/>
      <c r="N666" s="165"/>
      <c r="O666" s="165"/>
      <c r="P666" s="165"/>
      <c r="Q666" s="165"/>
      <c r="R666" s="165"/>
      <c r="S666" s="165"/>
      <c r="T666" s="165"/>
      <c r="U666" s="165"/>
      <c r="V666" s="165"/>
      <c r="W666" s="165"/>
      <c r="X666" s="165"/>
    </row>
    <row r="667" ht="18.75" customHeight="1">
      <c r="A667" s="165">
        <v>665.0</v>
      </c>
      <c r="B667" s="167" t="s">
        <v>16136</v>
      </c>
      <c r="C667" s="165"/>
      <c r="D667" s="165"/>
      <c r="E667" s="165"/>
      <c r="F667" s="165"/>
      <c r="G667" s="165"/>
      <c r="H667" s="165"/>
      <c r="I667" s="165"/>
      <c r="J667" s="165"/>
      <c r="K667" s="165"/>
      <c r="L667" s="165"/>
      <c r="M667" s="165"/>
      <c r="N667" s="165"/>
      <c r="O667" s="165"/>
      <c r="P667" s="165"/>
      <c r="Q667" s="165"/>
      <c r="R667" s="165"/>
      <c r="S667" s="165"/>
      <c r="T667" s="165"/>
      <c r="U667" s="165"/>
      <c r="V667" s="165"/>
      <c r="W667" s="165"/>
      <c r="X667" s="165"/>
    </row>
    <row r="668" ht="18.75" customHeight="1">
      <c r="A668" s="165">
        <v>666.0</v>
      </c>
      <c r="B668" s="165" t="s">
        <v>16137</v>
      </c>
      <c r="C668" s="165"/>
      <c r="D668" s="165"/>
      <c r="E668" s="165"/>
      <c r="F668" s="165"/>
      <c r="G668" s="165"/>
      <c r="H668" s="165"/>
      <c r="I668" s="165"/>
      <c r="J668" s="165"/>
      <c r="K668" s="165"/>
      <c r="L668" s="165"/>
      <c r="M668" s="165"/>
      <c r="N668" s="165"/>
      <c r="O668" s="165"/>
      <c r="P668" s="165"/>
      <c r="Q668" s="165"/>
      <c r="R668" s="165"/>
      <c r="S668" s="165"/>
      <c r="T668" s="165"/>
      <c r="U668" s="165"/>
      <c r="V668" s="165"/>
      <c r="W668" s="165"/>
      <c r="X668" s="165"/>
    </row>
    <row r="669" ht="18.75" customHeight="1">
      <c r="A669" s="165">
        <v>667.0</v>
      </c>
      <c r="B669" s="167" t="s">
        <v>16138</v>
      </c>
      <c r="C669" s="165"/>
      <c r="D669" s="165"/>
      <c r="E669" s="165"/>
      <c r="F669" s="165"/>
      <c r="G669" s="165"/>
      <c r="H669" s="165"/>
      <c r="I669" s="165"/>
      <c r="J669" s="165"/>
      <c r="K669" s="165"/>
      <c r="L669" s="165"/>
      <c r="M669" s="165"/>
      <c r="N669" s="165"/>
      <c r="O669" s="165"/>
      <c r="P669" s="165"/>
      <c r="Q669" s="165"/>
      <c r="R669" s="165"/>
      <c r="S669" s="165"/>
      <c r="T669" s="165"/>
      <c r="U669" s="165"/>
      <c r="V669" s="165"/>
      <c r="W669" s="165"/>
      <c r="X669" s="165"/>
    </row>
    <row r="670" ht="18.75" customHeight="1">
      <c r="A670" s="165">
        <v>668.0</v>
      </c>
      <c r="B670" s="165" t="s">
        <v>16139</v>
      </c>
      <c r="C670" s="165"/>
      <c r="D670" s="165"/>
      <c r="E670" s="165"/>
      <c r="F670" s="165"/>
      <c r="G670" s="165"/>
      <c r="H670" s="165"/>
      <c r="I670" s="165"/>
      <c r="J670" s="165"/>
      <c r="K670" s="165"/>
      <c r="L670" s="165"/>
      <c r="M670" s="165"/>
      <c r="N670" s="165"/>
      <c r="O670" s="165"/>
      <c r="P670" s="165"/>
      <c r="Q670" s="165"/>
      <c r="R670" s="165"/>
      <c r="S670" s="165"/>
      <c r="T670" s="165"/>
      <c r="U670" s="165"/>
      <c r="V670" s="165"/>
      <c r="W670" s="165"/>
      <c r="X670" s="165"/>
    </row>
    <row r="671" ht="18.75" customHeight="1">
      <c r="A671" s="165">
        <v>669.0</v>
      </c>
      <c r="B671" s="165" t="s">
        <v>16140</v>
      </c>
      <c r="C671" s="165"/>
      <c r="D671" s="165"/>
      <c r="E671" s="165"/>
      <c r="F671" s="165"/>
      <c r="G671" s="165"/>
      <c r="H671" s="165"/>
      <c r="I671" s="165"/>
      <c r="J671" s="165"/>
      <c r="K671" s="165"/>
      <c r="L671" s="165"/>
      <c r="M671" s="165"/>
      <c r="N671" s="165"/>
      <c r="O671" s="165"/>
      <c r="P671" s="165"/>
      <c r="Q671" s="165"/>
      <c r="R671" s="165"/>
      <c r="S671" s="165"/>
      <c r="T671" s="165"/>
      <c r="U671" s="165"/>
      <c r="V671" s="165"/>
      <c r="W671" s="165"/>
      <c r="X671" s="165"/>
    </row>
    <row r="672" ht="18.75" customHeight="1">
      <c r="A672" s="165">
        <v>670.0</v>
      </c>
      <c r="B672" s="167" t="s">
        <v>16141</v>
      </c>
      <c r="C672" s="165"/>
      <c r="D672" s="165"/>
      <c r="E672" s="165"/>
      <c r="F672" s="165"/>
      <c r="G672" s="165"/>
      <c r="H672" s="165"/>
      <c r="I672" s="165"/>
      <c r="J672" s="165"/>
      <c r="K672" s="165"/>
      <c r="L672" s="165"/>
      <c r="M672" s="165"/>
      <c r="N672" s="165"/>
      <c r="O672" s="165"/>
      <c r="P672" s="165"/>
      <c r="Q672" s="165"/>
      <c r="R672" s="165"/>
      <c r="S672" s="165"/>
      <c r="T672" s="165"/>
      <c r="U672" s="165"/>
      <c r="V672" s="165"/>
      <c r="W672" s="165"/>
      <c r="X672" s="165"/>
    </row>
    <row r="673" ht="18.75" customHeight="1">
      <c r="A673" s="165">
        <v>671.0</v>
      </c>
      <c r="B673" s="167" t="s">
        <v>16142</v>
      </c>
      <c r="C673" s="165"/>
      <c r="D673" s="165"/>
      <c r="E673" s="165"/>
      <c r="F673" s="165"/>
      <c r="G673" s="165"/>
      <c r="H673" s="165"/>
      <c r="I673" s="165"/>
      <c r="J673" s="165"/>
      <c r="K673" s="165"/>
      <c r="L673" s="165"/>
      <c r="M673" s="165"/>
      <c r="N673" s="165"/>
      <c r="O673" s="165"/>
      <c r="P673" s="165"/>
      <c r="Q673" s="165"/>
      <c r="R673" s="165"/>
      <c r="S673" s="165"/>
      <c r="T673" s="165"/>
      <c r="U673" s="165"/>
      <c r="V673" s="165"/>
      <c r="W673" s="165"/>
      <c r="X673" s="165"/>
    </row>
    <row r="674" ht="18.75" customHeight="1">
      <c r="A674" s="165">
        <v>672.0</v>
      </c>
      <c r="B674" s="165" t="s">
        <v>16143</v>
      </c>
      <c r="C674" s="165"/>
      <c r="D674" s="165"/>
      <c r="E674" s="165"/>
      <c r="F674" s="165"/>
      <c r="G674" s="165"/>
      <c r="H674" s="165"/>
      <c r="I674" s="165"/>
      <c r="J674" s="165"/>
      <c r="K674" s="165"/>
      <c r="L674" s="165"/>
      <c r="M674" s="165"/>
      <c r="N674" s="165"/>
      <c r="O674" s="165"/>
      <c r="P674" s="165"/>
      <c r="Q674" s="165"/>
      <c r="R674" s="165"/>
      <c r="S674" s="165"/>
      <c r="T674" s="165"/>
      <c r="U674" s="165"/>
      <c r="V674" s="165"/>
      <c r="W674" s="165"/>
      <c r="X674" s="165"/>
    </row>
    <row r="675" ht="18.75" customHeight="1">
      <c r="A675" s="165">
        <v>673.0</v>
      </c>
      <c r="B675" s="165" t="s">
        <v>16144</v>
      </c>
      <c r="C675" s="165"/>
      <c r="D675" s="165"/>
      <c r="E675" s="165"/>
      <c r="F675" s="165"/>
      <c r="G675" s="165"/>
      <c r="H675" s="165"/>
      <c r="I675" s="165"/>
      <c r="J675" s="165"/>
      <c r="K675" s="165"/>
      <c r="L675" s="165"/>
      <c r="M675" s="165"/>
      <c r="N675" s="165"/>
      <c r="O675" s="165"/>
      <c r="P675" s="165"/>
      <c r="Q675" s="165"/>
      <c r="R675" s="165"/>
      <c r="S675" s="165"/>
      <c r="T675" s="165"/>
      <c r="U675" s="165"/>
      <c r="V675" s="165"/>
      <c r="W675" s="165"/>
      <c r="X675" s="165"/>
    </row>
    <row r="676" ht="18.75" customHeight="1">
      <c r="A676" s="165">
        <v>674.0</v>
      </c>
      <c r="B676" s="165" t="s">
        <v>16145</v>
      </c>
      <c r="C676" s="165"/>
      <c r="D676" s="165"/>
      <c r="E676" s="165"/>
      <c r="F676" s="165"/>
      <c r="G676" s="165"/>
      <c r="H676" s="165"/>
      <c r="I676" s="165"/>
      <c r="J676" s="165"/>
      <c r="K676" s="165"/>
      <c r="L676" s="165"/>
      <c r="M676" s="165"/>
      <c r="N676" s="165"/>
      <c r="O676" s="165"/>
      <c r="P676" s="165"/>
      <c r="Q676" s="165"/>
      <c r="R676" s="165"/>
      <c r="S676" s="165"/>
      <c r="T676" s="165"/>
      <c r="U676" s="165"/>
      <c r="V676" s="165"/>
      <c r="W676" s="165"/>
      <c r="X676" s="165"/>
    </row>
    <row r="677" ht="18.75" customHeight="1">
      <c r="A677" s="165">
        <v>675.0</v>
      </c>
      <c r="B677" s="165" t="s">
        <v>16146</v>
      </c>
      <c r="C677" s="165"/>
      <c r="D677" s="165"/>
      <c r="E677" s="165"/>
      <c r="F677" s="165"/>
      <c r="G677" s="165"/>
      <c r="H677" s="165"/>
      <c r="I677" s="165"/>
      <c r="J677" s="165"/>
      <c r="K677" s="165"/>
      <c r="L677" s="165"/>
      <c r="M677" s="165"/>
      <c r="N677" s="165"/>
      <c r="O677" s="165"/>
      <c r="P677" s="165"/>
      <c r="Q677" s="165"/>
      <c r="R677" s="165"/>
      <c r="S677" s="165"/>
      <c r="T677" s="165"/>
      <c r="U677" s="165"/>
      <c r="V677" s="165"/>
      <c r="W677" s="165"/>
      <c r="X677" s="165"/>
    </row>
    <row r="678" ht="18.75" customHeight="1">
      <c r="A678" s="165">
        <v>676.0</v>
      </c>
      <c r="B678" s="165" t="s">
        <v>16147</v>
      </c>
      <c r="C678" s="165"/>
      <c r="D678" s="165"/>
      <c r="E678" s="165"/>
      <c r="F678" s="165"/>
      <c r="G678" s="165"/>
      <c r="H678" s="165"/>
      <c r="I678" s="165"/>
      <c r="J678" s="165"/>
      <c r="K678" s="165"/>
      <c r="L678" s="165"/>
      <c r="M678" s="165"/>
      <c r="N678" s="165"/>
      <c r="O678" s="165"/>
      <c r="P678" s="165"/>
      <c r="Q678" s="165"/>
      <c r="R678" s="165"/>
      <c r="S678" s="165"/>
      <c r="T678" s="165"/>
      <c r="U678" s="165"/>
      <c r="V678" s="165"/>
      <c r="W678" s="165"/>
      <c r="X678" s="165"/>
    </row>
    <row r="679" ht="18.75" customHeight="1">
      <c r="A679" s="165">
        <v>677.0</v>
      </c>
      <c r="B679" s="167" t="s">
        <v>16148</v>
      </c>
      <c r="C679" s="165"/>
      <c r="D679" s="165"/>
      <c r="E679" s="165"/>
      <c r="F679" s="165"/>
      <c r="G679" s="165"/>
      <c r="H679" s="165"/>
      <c r="I679" s="165"/>
      <c r="J679" s="165"/>
      <c r="K679" s="165"/>
      <c r="L679" s="165"/>
      <c r="M679" s="165"/>
      <c r="N679" s="165"/>
      <c r="O679" s="165"/>
      <c r="P679" s="165"/>
      <c r="Q679" s="165"/>
      <c r="R679" s="165"/>
      <c r="S679" s="165"/>
      <c r="T679" s="165"/>
      <c r="U679" s="165"/>
      <c r="V679" s="165"/>
      <c r="W679" s="165"/>
      <c r="X679" s="165"/>
    </row>
    <row r="680" ht="18.75" customHeight="1">
      <c r="A680" s="165">
        <v>678.0</v>
      </c>
      <c r="B680" s="165" t="s">
        <v>16149</v>
      </c>
      <c r="C680" s="165"/>
      <c r="D680" s="165"/>
      <c r="E680" s="165"/>
      <c r="F680" s="165"/>
      <c r="G680" s="165"/>
      <c r="H680" s="165"/>
      <c r="I680" s="165"/>
      <c r="J680" s="165"/>
      <c r="K680" s="165"/>
      <c r="L680" s="165"/>
      <c r="M680" s="165"/>
      <c r="N680" s="165"/>
      <c r="O680" s="165"/>
      <c r="P680" s="165"/>
      <c r="Q680" s="165"/>
      <c r="R680" s="165"/>
      <c r="S680" s="165"/>
      <c r="T680" s="165"/>
      <c r="U680" s="165"/>
      <c r="V680" s="165"/>
      <c r="W680" s="165"/>
      <c r="X680" s="165"/>
    </row>
    <row r="681" ht="18.75" customHeight="1">
      <c r="A681" s="165">
        <v>679.0</v>
      </c>
      <c r="B681" s="165" t="s">
        <v>16150</v>
      </c>
      <c r="C681" s="165"/>
      <c r="D681" s="165"/>
      <c r="E681" s="165"/>
      <c r="F681" s="165"/>
      <c r="G681" s="165"/>
      <c r="H681" s="165"/>
      <c r="I681" s="165"/>
      <c r="J681" s="165"/>
      <c r="K681" s="165"/>
      <c r="L681" s="165"/>
      <c r="M681" s="165"/>
      <c r="N681" s="165"/>
      <c r="O681" s="165"/>
      <c r="P681" s="165"/>
      <c r="Q681" s="165"/>
      <c r="R681" s="165"/>
      <c r="S681" s="165"/>
      <c r="T681" s="165"/>
      <c r="U681" s="165"/>
      <c r="V681" s="165"/>
      <c r="W681" s="165"/>
      <c r="X681" s="165"/>
    </row>
    <row r="682" ht="18.75" customHeight="1">
      <c r="A682" s="165">
        <v>680.0</v>
      </c>
      <c r="B682" s="165" t="s">
        <v>16151</v>
      </c>
      <c r="C682" s="165"/>
      <c r="D682" s="165"/>
      <c r="E682" s="165"/>
      <c r="F682" s="165"/>
      <c r="G682" s="165"/>
      <c r="H682" s="165"/>
      <c r="I682" s="165"/>
      <c r="J682" s="165"/>
      <c r="K682" s="165"/>
      <c r="L682" s="165"/>
      <c r="M682" s="165"/>
      <c r="N682" s="165"/>
      <c r="O682" s="165"/>
      <c r="P682" s="165"/>
      <c r="Q682" s="165"/>
      <c r="R682" s="165"/>
      <c r="S682" s="165"/>
      <c r="T682" s="165"/>
      <c r="U682" s="165"/>
      <c r="V682" s="165"/>
      <c r="W682" s="165"/>
      <c r="X682" s="165"/>
    </row>
    <row r="683" ht="18.75" customHeight="1">
      <c r="A683" s="165">
        <v>681.0</v>
      </c>
      <c r="B683" s="165" t="s">
        <v>16152</v>
      </c>
      <c r="C683" s="165"/>
      <c r="D683" s="165"/>
      <c r="E683" s="165"/>
      <c r="F683" s="165"/>
      <c r="G683" s="165"/>
      <c r="H683" s="165"/>
      <c r="I683" s="165"/>
      <c r="J683" s="165"/>
      <c r="K683" s="165"/>
      <c r="L683" s="165"/>
      <c r="M683" s="165"/>
      <c r="N683" s="165"/>
      <c r="O683" s="165"/>
      <c r="P683" s="165"/>
      <c r="Q683" s="165"/>
      <c r="R683" s="165"/>
      <c r="S683" s="165"/>
      <c r="T683" s="165"/>
      <c r="U683" s="165"/>
      <c r="V683" s="165"/>
      <c r="W683" s="165"/>
      <c r="X683" s="165"/>
    </row>
    <row r="684" ht="18.75" customHeight="1">
      <c r="A684" s="165">
        <v>682.0</v>
      </c>
      <c r="B684" s="165" t="s">
        <v>16153</v>
      </c>
      <c r="C684" s="165"/>
      <c r="D684" s="165"/>
      <c r="E684" s="165"/>
      <c r="F684" s="165"/>
      <c r="G684" s="165"/>
      <c r="H684" s="165"/>
      <c r="I684" s="165"/>
      <c r="J684" s="165"/>
      <c r="K684" s="165"/>
      <c r="L684" s="165"/>
      <c r="M684" s="165"/>
      <c r="N684" s="165"/>
      <c r="O684" s="165"/>
      <c r="P684" s="165"/>
      <c r="Q684" s="165"/>
      <c r="R684" s="165"/>
      <c r="S684" s="165"/>
      <c r="T684" s="165"/>
      <c r="U684" s="165"/>
      <c r="V684" s="165"/>
      <c r="W684" s="165"/>
      <c r="X684" s="165"/>
    </row>
    <row r="685" ht="18.75" customHeight="1">
      <c r="A685" s="165">
        <v>683.0</v>
      </c>
      <c r="B685" s="167" t="s">
        <v>16154</v>
      </c>
      <c r="C685" s="165"/>
      <c r="D685" s="165"/>
      <c r="E685" s="165"/>
      <c r="F685" s="165"/>
      <c r="G685" s="165"/>
      <c r="H685" s="165"/>
      <c r="I685" s="165"/>
      <c r="J685" s="165"/>
      <c r="K685" s="165"/>
      <c r="L685" s="165"/>
      <c r="M685" s="165"/>
      <c r="N685" s="165"/>
      <c r="O685" s="165"/>
      <c r="P685" s="165"/>
      <c r="Q685" s="165"/>
      <c r="R685" s="165"/>
      <c r="S685" s="165"/>
      <c r="T685" s="165"/>
      <c r="U685" s="165"/>
      <c r="V685" s="165"/>
      <c r="W685" s="165"/>
      <c r="X685" s="165"/>
    </row>
    <row r="686" ht="18.75" customHeight="1">
      <c r="A686" s="165">
        <v>684.0</v>
      </c>
      <c r="B686" s="165" t="s">
        <v>16155</v>
      </c>
      <c r="C686" s="165"/>
      <c r="D686" s="165"/>
      <c r="E686" s="165"/>
      <c r="F686" s="165"/>
      <c r="G686" s="165"/>
      <c r="H686" s="165"/>
      <c r="I686" s="165"/>
      <c r="J686" s="165"/>
      <c r="K686" s="165"/>
      <c r="L686" s="165"/>
      <c r="M686" s="165"/>
      <c r="N686" s="165"/>
      <c r="O686" s="165"/>
      <c r="P686" s="165"/>
      <c r="Q686" s="165"/>
      <c r="R686" s="165"/>
      <c r="S686" s="165"/>
      <c r="T686" s="165"/>
      <c r="U686" s="165"/>
      <c r="V686" s="165"/>
      <c r="W686" s="165"/>
      <c r="X686" s="165"/>
    </row>
    <row r="687" ht="18.75" customHeight="1">
      <c r="A687" s="165">
        <v>685.0</v>
      </c>
      <c r="B687" s="167" t="s">
        <v>16156</v>
      </c>
      <c r="C687" s="165"/>
      <c r="D687" s="165"/>
      <c r="E687" s="165"/>
      <c r="F687" s="165"/>
      <c r="G687" s="165"/>
      <c r="H687" s="165"/>
      <c r="I687" s="165"/>
      <c r="J687" s="165"/>
      <c r="K687" s="165"/>
      <c r="L687" s="165"/>
      <c r="M687" s="165"/>
      <c r="N687" s="165"/>
      <c r="O687" s="165"/>
      <c r="P687" s="165"/>
      <c r="Q687" s="165"/>
      <c r="R687" s="165"/>
      <c r="S687" s="165"/>
      <c r="T687" s="165"/>
      <c r="U687" s="165"/>
      <c r="V687" s="165"/>
      <c r="W687" s="165"/>
      <c r="X687" s="165"/>
    </row>
    <row r="688" ht="18.75" customHeight="1">
      <c r="A688" s="165">
        <v>686.0</v>
      </c>
      <c r="B688" s="167" t="s">
        <v>16157</v>
      </c>
      <c r="C688" s="165"/>
      <c r="D688" s="165"/>
      <c r="E688" s="165"/>
      <c r="F688" s="165"/>
      <c r="G688" s="165"/>
      <c r="H688" s="165"/>
      <c r="I688" s="165"/>
      <c r="J688" s="165"/>
      <c r="K688" s="165"/>
      <c r="L688" s="165"/>
      <c r="M688" s="165"/>
      <c r="N688" s="165"/>
      <c r="O688" s="165"/>
      <c r="P688" s="165"/>
      <c r="Q688" s="165"/>
      <c r="R688" s="165"/>
      <c r="S688" s="165"/>
      <c r="T688" s="165"/>
      <c r="U688" s="165"/>
      <c r="V688" s="165"/>
      <c r="W688" s="165"/>
      <c r="X688" s="165"/>
    </row>
    <row r="689" ht="18.75" customHeight="1">
      <c r="A689" s="165">
        <v>687.0</v>
      </c>
      <c r="B689" s="167" t="s">
        <v>16158</v>
      </c>
      <c r="C689" s="165"/>
      <c r="D689" s="165"/>
      <c r="E689" s="165"/>
      <c r="F689" s="165"/>
      <c r="G689" s="165"/>
      <c r="H689" s="165"/>
      <c r="I689" s="165"/>
      <c r="J689" s="165"/>
      <c r="K689" s="165"/>
      <c r="L689" s="165"/>
      <c r="M689" s="165"/>
      <c r="N689" s="165"/>
      <c r="O689" s="165"/>
      <c r="P689" s="165"/>
      <c r="Q689" s="165"/>
      <c r="R689" s="165"/>
      <c r="S689" s="165"/>
      <c r="T689" s="165"/>
      <c r="U689" s="165"/>
      <c r="V689" s="165"/>
      <c r="W689" s="165"/>
      <c r="X689" s="165"/>
    </row>
    <row r="690" ht="18.75" customHeight="1">
      <c r="A690" s="165">
        <v>688.0</v>
      </c>
      <c r="B690" s="167" t="s">
        <v>16159</v>
      </c>
      <c r="C690" s="165"/>
      <c r="D690" s="165"/>
      <c r="E690" s="165"/>
      <c r="F690" s="165"/>
      <c r="G690" s="165"/>
      <c r="H690" s="165"/>
      <c r="I690" s="165"/>
      <c r="J690" s="165"/>
      <c r="K690" s="165"/>
      <c r="L690" s="165"/>
      <c r="M690" s="165"/>
      <c r="N690" s="165"/>
      <c r="O690" s="165"/>
      <c r="P690" s="165"/>
      <c r="Q690" s="165"/>
      <c r="R690" s="165"/>
      <c r="S690" s="165"/>
      <c r="T690" s="165"/>
      <c r="U690" s="165"/>
      <c r="V690" s="165"/>
      <c r="W690" s="165"/>
      <c r="X690" s="165"/>
    </row>
    <row r="691" ht="18.75" customHeight="1">
      <c r="A691" s="165">
        <v>689.0</v>
      </c>
      <c r="B691" s="165" t="s">
        <v>16160</v>
      </c>
      <c r="C691" s="165"/>
      <c r="D691" s="165"/>
      <c r="E691" s="165"/>
      <c r="F691" s="165"/>
      <c r="G691" s="165"/>
      <c r="H691" s="165"/>
      <c r="I691" s="165"/>
      <c r="J691" s="165"/>
      <c r="K691" s="165"/>
      <c r="L691" s="165"/>
      <c r="M691" s="165"/>
      <c r="N691" s="165"/>
      <c r="O691" s="165"/>
      <c r="P691" s="165"/>
      <c r="Q691" s="165"/>
      <c r="R691" s="165"/>
      <c r="S691" s="165"/>
      <c r="T691" s="165"/>
      <c r="U691" s="165"/>
      <c r="V691" s="165"/>
      <c r="W691" s="165"/>
      <c r="X691" s="165"/>
    </row>
    <row r="692" ht="18.75" customHeight="1">
      <c r="A692" s="165">
        <v>690.0</v>
      </c>
      <c r="B692" s="165" t="s">
        <v>16161</v>
      </c>
      <c r="C692" s="165"/>
      <c r="D692" s="165"/>
      <c r="E692" s="165"/>
      <c r="F692" s="165"/>
      <c r="G692" s="165"/>
      <c r="H692" s="165"/>
      <c r="I692" s="165"/>
      <c r="J692" s="165"/>
      <c r="K692" s="165"/>
      <c r="L692" s="165"/>
      <c r="M692" s="165"/>
      <c r="N692" s="165"/>
      <c r="O692" s="165"/>
      <c r="P692" s="165"/>
      <c r="Q692" s="165"/>
      <c r="R692" s="165"/>
      <c r="S692" s="165"/>
      <c r="T692" s="165"/>
      <c r="U692" s="165"/>
      <c r="V692" s="165"/>
      <c r="W692" s="165"/>
      <c r="X692" s="165"/>
    </row>
    <row r="693" ht="18.75" customHeight="1">
      <c r="A693" s="165">
        <v>691.0</v>
      </c>
      <c r="B693" s="165" t="s">
        <v>16162</v>
      </c>
      <c r="C693" s="165"/>
      <c r="D693" s="165"/>
      <c r="E693" s="165"/>
      <c r="F693" s="165"/>
      <c r="G693" s="165"/>
      <c r="H693" s="165"/>
      <c r="I693" s="165"/>
      <c r="J693" s="165"/>
      <c r="K693" s="165"/>
      <c r="L693" s="165"/>
      <c r="M693" s="165"/>
      <c r="N693" s="165"/>
      <c r="O693" s="165"/>
      <c r="P693" s="165"/>
      <c r="Q693" s="165"/>
      <c r="R693" s="165"/>
      <c r="S693" s="165"/>
      <c r="T693" s="165"/>
      <c r="U693" s="165"/>
      <c r="V693" s="165"/>
      <c r="W693" s="165"/>
      <c r="X693" s="165"/>
    </row>
    <row r="694" ht="18.75" customHeight="1">
      <c r="A694" s="165">
        <v>692.0</v>
      </c>
      <c r="B694" s="165" t="s">
        <v>16163</v>
      </c>
      <c r="C694" s="165"/>
      <c r="D694" s="165"/>
      <c r="E694" s="165"/>
      <c r="F694" s="165"/>
      <c r="G694" s="165"/>
      <c r="H694" s="165"/>
      <c r="I694" s="165"/>
      <c r="J694" s="165"/>
      <c r="K694" s="165"/>
      <c r="L694" s="165"/>
      <c r="M694" s="165"/>
      <c r="N694" s="165"/>
      <c r="O694" s="165"/>
      <c r="P694" s="165"/>
      <c r="Q694" s="165"/>
      <c r="R694" s="165"/>
      <c r="S694" s="165"/>
      <c r="T694" s="165"/>
      <c r="U694" s="165"/>
      <c r="V694" s="165"/>
      <c r="W694" s="165"/>
      <c r="X694" s="165"/>
    </row>
    <row r="695" ht="18.75" customHeight="1">
      <c r="A695" s="165">
        <v>693.0</v>
      </c>
      <c r="B695" s="167" t="s">
        <v>16164</v>
      </c>
      <c r="C695" s="165"/>
      <c r="D695" s="165"/>
      <c r="E695" s="165"/>
      <c r="F695" s="165"/>
      <c r="G695" s="165"/>
      <c r="H695" s="165"/>
      <c r="I695" s="165"/>
      <c r="J695" s="165"/>
      <c r="K695" s="165"/>
      <c r="L695" s="165"/>
      <c r="M695" s="165"/>
      <c r="N695" s="165"/>
      <c r="O695" s="165"/>
      <c r="P695" s="165"/>
      <c r="Q695" s="165"/>
      <c r="R695" s="165"/>
      <c r="S695" s="165"/>
      <c r="T695" s="165"/>
      <c r="U695" s="165"/>
      <c r="V695" s="165"/>
      <c r="W695" s="165"/>
      <c r="X695" s="165"/>
    </row>
    <row r="696" ht="18.75" customHeight="1">
      <c r="A696" s="165">
        <v>694.0</v>
      </c>
      <c r="B696" s="181" t="s">
        <v>16165</v>
      </c>
      <c r="C696" s="165"/>
      <c r="D696" s="165"/>
      <c r="E696" s="165"/>
      <c r="F696" s="165"/>
      <c r="G696" s="165"/>
      <c r="H696" s="165"/>
      <c r="I696" s="165"/>
      <c r="J696" s="165"/>
      <c r="K696" s="165"/>
      <c r="L696" s="165"/>
      <c r="M696" s="165"/>
      <c r="N696" s="165"/>
      <c r="O696" s="165"/>
      <c r="P696" s="165"/>
      <c r="Q696" s="165"/>
      <c r="R696" s="165"/>
      <c r="S696" s="165"/>
      <c r="T696" s="165"/>
      <c r="U696" s="165"/>
      <c r="V696" s="165"/>
      <c r="W696" s="165"/>
      <c r="X696" s="165"/>
    </row>
    <row r="697" ht="18.75" customHeight="1">
      <c r="A697" s="165">
        <v>695.0</v>
      </c>
      <c r="B697" s="165" t="s">
        <v>16166</v>
      </c>
      <c r="C697" s="165"/>
      <c r="D697" s="165"/>
      <c r="E697" s="165"/>
      <c r="F697" s="165"/>
      <c r="G697" s="165"/>
      <c r="H697" s="165"/>
      <c r="I697" s="165"/>
      <c r="J697" s="165"/>
      <c r="K697" s="165"/>
      <c r="L697" s="165"/>
      <c r="M697" s="165"/>
      <c r="N697" s="165"/>
      <c r="O697" s="165"/>
      <c r="P697" s="165"/>
      <c r="Q697" s="165"/>
      <c r="R697" s="165"/>
      <c r="S697" s="165"/>
      <c r="T697" s="165"/>
      <c r="U697" s="165"/>
      <c r="V697" s="165"/>
      <c r="W697" s="165"/>
      <c r="X697" s="165"/>
    </row>
    <row r="698" ht="18.75" customHeight="1">
      <c r="A698" s="165">
        <v>696.0</v>
      </c>
      <c r="B698" s="182" t="s">
        <v>16167</v>
      </c>
      <c r="C698" s="165"/>
      <c r="D698" s="165"/>
      <c r="E698" s="165"/>
      <c r="F698" s="165"/>
      <c r="G698" s="165"/>
      <c r="H698" s="165"/>
      <c r="I698" s="165"/>
      <c r="J698" s="165"/>
      <c r="K698" s="165"/>
      <c r="L698" s="165"/>
      <c r="M698" s="165"/>
      <c r="N698" s="165"/>
      <c r="O698" s="165"/>
      <c r="P698" s="165"/>
      <c r="Q698" s="165"/>
      <c r="R698" s="165"/>
      <c r="S698" s="165"/>
      <c r="T698" s="165"/>
      <c r="U698" s="165"/>
      <c r="V698" s="165"/>
      <c r="W698" s="165"/>
      <c r="X698" s="165"/>
    </row>
    <row r="699" ht="18.75" customHeight="1">
      <c r="A699" s="165">
        <v>697.0</v>
      </c>
      <c r="B699" s="165" t="s">
        <v>16168</v>
      </c>
      <c r="C699" s="165"/>
      <c r="D699" s="165"/>
      <c r="E699" s="165"/>
      <c r="F699" s="165"/>
      <c r="G699" s="165"/>
      <c r="H699" s="165"/>
      <c r="I699" s="165"/>
      <c r="J699" s="165"/>
      <c r="K699" s="165"/>
      <c r="L699" s="165"/>
      <c r="M699" s="165"/>
      <c r="N699" s="165"/>
      <c r="O699" s="165"/>
      <c r="P699" s="165"/>
      <c r="Q699" s="165"/>
      <c r="R699" s="165"/>
      <c r="S699" s="165"/>
      <c r="T699" s="165"/>
      <c r="U699" s="165"/>
      <c r="V699" s="165"/>
      <c r="W699" s="165"/>
      <c r="X699" s="165"/>
    </row>
    <row r="700" ht="18.75" customHeight="1">
      <c r="A700" s="165">
        <v>698.0</v>
      </c>
      <c r="B700" s="165" t="s">
        <v>16169</v>
      </c>
      <c r="C700" s="165"/>
      <c r="D700" s="165"/>
      <c r="E700" s="165"/>
      <c r="F700" s="165"/>
      <c r="G700" s="165"/>
      <c r="H700" s="165"/>
      <c r="I700" s="165"/>
      <c r="J700" s="165"/>
      <c r="K700" s="165"/>
      <c r="L700" s="165"/>
      <c r="M700" s="165"/>
      <c r="N700" s="165"/>
      <c r="O700" s="165"/>
      <c r="P700" s="165"/>
      <c r="Q700" s="165"/>
      <c r="R700" s="165"/>
      <c r="S700" s="165"/>
      <c r="T700" s="165"/>
      <c r="U700" s="165"/>
      <c r="V700" s="165"/>
      <c r="W700" s="165"/>
      <c r="X700" s="165"/>
    </row>
    <row r="701" ht="18.75" customHeight="1">
      <c r="A701" s="165">
        <v>699.0</v>
      </c>
      <c r="B701" s="167" t="s">
        <v>16170</v>
      </c>
      <c r="C701" s="165"/>
      <c r="D701" s="165"/>
      <c r="E701" s="165"/>
      <c r="F701" s="165"/>
      <c r="G701" s="165"/>
      <c r="H701" s="165"/>
      <c r="I701" s="165"/>
      <c r="J701" s="165"/>
      <c r="K701" s="165"/>
      <c r="L701" s="165"/>
      <c r="M701" s="165"/>
      <c r="N701" s="165"/>
      <c r="O701" s="165"/>
      <c r="P701" s="165"/>
      <c r="Q701" s="165"/>
      <c r="R701" s="165"/>
      <c r="S701" s="165"/>
      <c r="T701" s="165"/>
      <c r="U701" s="165"/>
      <c r="V701" s="165"/>
      <c r="W701" s="165"/>
      <c r="X701" s="165"/>
    </row>
    <row r="702" ht="18.75" customHeight="1">
      <c r="A702" s="165">
        <v>700.0</v>
      </c>
      <c r="B702" s="167" t="s">
        <v>16171</v>
      </c>
      <c r="C702" s="165"/>
      <c r="D702" s="165"/>
      <c r="E702" s="165"/>
      <c r="F702" s="165"/>
      <c r="G702" s="165"/>
      <c r="H702" s="165"/>
      <c r="I702" s="165"/>
      <c r="J702" s="165"/>
      <c r="K702" s="165"/>
      <c r="L702" s="165"/>
      <c r="M702" s="165"/>
      <c r="N702" s="165"/>
      <c r="O702" s="165"/>
      <c r="P702" s="165"/>
      <c r="Q702" s="165"/>
      <c r="R702" s="165"/>
      <c r="S702" s="165"/>
      <c r="T702" s="165"/>
      <c r="U702" s="165"/>
      <c r="V702" s="165"/>
      <c r="W702" s="165"/>
      <c r="X702" s="165"/>
    </row>
    <row r="703" ht="18.75" customHeight="1">
      <c r="A703" s="165">
        <v>701.0</v>
      </c>
      <c r="B703" s="167" t="s">
        <v>16172</v>
      </c>
      <c r="C703" s="165"/>
      <c r="D703" s="165"/>
      <c r="E703" s="165"/>
      <c r="F703" s="165"/>
      <c r="G703" s="165"/>
      <c r="H703" s="165"/>
      <c r="I703" s="165"/>
      <c r="J703" s="165"/>
      <c r="K703" s="165"/>
      <c r="L703" s="165"/>
      <c r="M703" s="165"/>
      <c r="N703" s="165"/>
      <c r="O703" s="165"/>
      <c r="P703" s="165"/>
      <c r="Q703" s="165"/>
      <c r="R703" s="165"/>
      <c r="S703" s="165"/>
      <c r="T703" s="165"/>
      <c r="U703" s="165"/>
      <c r="V703" s="165"/>
      <c r="W703" s="165"/>
      <c r="X703" s="165"/>
    </row>
    <row r="704" ht="18.75" customHeight="1">
      <c r="A704" s="165">
        <v>702.0</v>
      </c>
      <c r="B704" s="165" t="s">
        <v>16173</v>
      </c>
      <c r="C704" s="165"/>
      <c r="D704" s="165"/>
      <c r="E704" s="165"/>
      <c r="F704" s="165"/>
      <c r="G704" s="165"/>
      <c r="H704" s="165"/>
      <c r="I704" s="165"/>
      <c r="J704" s="165"/>
      <c r="K704" s="165"/>
      <c r="L704" s="165"/>
      <c r="M704" s="165"/>
      <c r="N704" s="165"/>
      <c r="O704" s="165"/>
      <c r="P704" s="165"/>
      <c r="Q704" s="165"/>
      <c r="R704" s="165"/>
      <c r="S704" s="165"/>
      <c r="T704" s="165"/>
      <c r="U704" s="165"/>
      <c r="V704" s="165"/>
      <c r="W704" s="165"/>
      <c r="X704" s="165"/>
    </row>
    <row r="705" ht="18.75" customHeight="1">
      <c r="A705" s="165">
        <v>703.0</v>
      </c>
      <c r="B705" s="167" t="s">
        <v>16174</v>
      </c>
      <c r="C705" s="165"/>
      <c r="D705" s="165"/>
      <c r="E705" s="165"/>
      <c r="F705" s="165"/>
      <c r="G705" s="165"/>
      <c r="H705" s="165"/>
      <c r="I705" s="165"/>
      <c r="J705" s="165"/>
      <c r="K705" s="165"/>
      <c r="L705" s="165"/>
      <c r="M705" s="165"/>
      <c r="N705" s="165"/>
      <c r="O705" s="165"/>
      <c r="P705" s="165"/>
      <c r="Q705" s="165"/>
      <c r="R705" s="165"/>
      <c r="S705" s="165"/>
      <c r="T705" s="165"/>
      <c r="U705" s="165"/>
      <c r="V705" s="165"/>
      <c r="W705" s="165"/>
      <c r="X705" s="165"/>
    </row>
    <row r="706" ht="18.75" customHeight="1">
      <c r="A706" s="165">
        <v>704.0</v>
      </c>
      <c r="B706" s="165" t="s">
        <v>16175</v>
      </c>
      <c r="C706" s="165"/>
      <c r="D706" s="165"/>
      <c r="E706" s="165"/>
      <c r="F706" s="165"/>
      <c r="G706" s="165"/>
      <c r="H706" s="165"/>
      <c r="I706" s="165"/>
      <c r="J706" s="165"/>
      <c r="K706" s="165"/>
      <c r="L706" s="165"/>
      <c r="M706" s="165"/>
      <c r="N706" s="165"/>
      <c r="O706" s="165"/>
      <c r="P706" s="165"/>
      <c r="Q706" s="165"/>
      <c r="R706" s="165"/>
      <c r="S706" s="165"/>
      <c r="T706" s="165"/>
      <c r="U706" s="165"/>
      <c r="V706" s="165"/>
      <c r="W706" s="165"/>
      <c r="X706" s="165"/>
    </row>
    <row r="707" ht="18.75" customHeight="1">
      <c r="A707" s="165">
        <v>705.0</v>
      </c>
      <c r="B707" s="182" t="s">
        <v>16176</v>
      </c>
      <c r="C707" s="165"/>
      <c r="D707" s="165"/>
      <c r="E707" s="165"/>
      <c r="F707" s="165"/>
      <c r="G707" s="165"/>
      <c r="H707" s="165"/>
      <c r="I707" s="165"/>
      <c r="J707" s="165"/>
      <c r="K707" s="165"/>
      <c r="L707" s="165"/>
      <c r="M707" s="165"/>
      <c r="N707" s="165"/>
      <c r="O707" s="165"/>
      <c r="P707" s="165"/>
      <c r="Q707" s="165"/>
      <c r="R707" s="165"/>
      <c r="S707" s="165"/>
      <c r="T707" s="165"/>
      <c r="U707" s="165"/>
      <c r="V707" s="165"/>
      <c r="W707" s="165"/>
      <c r="X707" s="165"/>
    </row>
    <row r="708" ht="18.75" customHeight="1">
      <c r="A708" s="165">
        <v>706.0</v>
      </c>
      <c r="B708" s="165" t="s">
        <v>16177</v>
      </c>
      <c r="C708" s="165"/>
      <c r="D708" s="165"/>
      <c r="E708" s="165"/>
      <c r="F708" s="165"/>
      <c r="G708" s="165"/>
      <c r="H708" s="165"/>
      <c r="I708" s="165"/>
      <c r="J708" s="165"/>
      <c r="K708" s="165"/>
      <c r="L708" s="165"/>
      <c r="M708" s="165"/>
      <c r="N708" s="165"/>
      <c r="O708" s="165"/>
      <c r="P708" s="165"/>
      <c r="Q708" s="165"/>
      <c r="R708" s="165"/>
      <c r="S708" s="165"/>
      <c r="T708" s="165"/>
      <c r="U708" s="165"/>
      <c r="V708" s="165"/>
      <c r="W708" s="165"/>
      <c r="X708" s="165"/>
    </row>
    <row r="709" ht="18.75" customHeight="1">
      <c r="A709" s="165">
        <v>707.0</v>
      </c>
      <c r="B709" s="182" t="s">
        <v>16178</v>
      </c>
      <c r="C709" s="165"/>
      <c r="D709" s="165"/>
      <c r="E709" s="165"/>
      <c r="F709" s="165"/>
      <c r="G709" s="165"/>
      <c r="H709" s="165"/>
      <c r="I709" s="165"/>
      <c r="J709" s="165"/>
      <c r="K709" s="165"/>
      <c r="L709" s="165"/>
      <c r="M709" s="165"/>
      <c r="N709" s="165"/>
      <c r="O709" s="165"/>
      <c r="P709" s="165"/>
      <c r="Q709" s="165"/>
      <c r="R709" s="165"/>
      <c r="S709" s="165"/>
      <c r="T709" s="165"/>
      <c r="U709" s="165"/>
      <c r="V709" s="165"/>
      <c r="W709" s="165"/>
      <c r="X709" s="165"/>
    </row>
    <row r="710" ht="18.75" customHeight="1">
      <c r="A710" s="165">
        <v>708.0</v>
      </c>
      <c r="B710" s="182" t="s">
        <v>16179</v>
      </c>
      <c r="C710" s="165"/>
      <c r="D710" s="165"/>
      <c r="E710" s="165"/>
      <c r="F710" s="165"/>
      <c r="G710" s="165"/>
      <c r="H710" s="165"/>
      <c r="I710" s="165"/>
      <c r="J710" s="165"/>
      <c r="K710" s="165"/>
      <c r="L710" s="165"/>
      <c r="M710" s="165"/>
      <c r="N710" s="165"/>
      <c r="O710" s="165"/>
      <c r="P710" s="165"/>
      <c r="Q710" s="165"/>
      <c r="R710" s="165"/>
      <c r="S710" s="165"/>
      <c r="T710" s="165"/>
      <c r="U710" s="165"/>
      <c r="V710" s="165"/>
      <c r="W710" s="165"/>
      <c r="X710" s="165"/>
    </row>
    <row r="711" ht="18.75" customHeight="1">
      <c r="A711" s="165">
        <v>709.0</v>
      </c>
      <c r="B711" s="168" t="s">
        <v>16180</v>
      </c>
      <c r="C711" s="165"/>
      <c r="D711" s="165"/>
      <c r="E711" s="165"/>
      <c r="F711" s="165"/>
      <c r="G711" s="165"/>
      <c r="H711" s="165"/>
      <c r="I711" s="165"/>
      <c r="J711" s="165"/>
      <c r="K711" s="165"/>
      <c r="L711" s="165"/>
      <c r="M711" s="165"/>
      <c r="N711" s="165"/>
      <c r="O711" s="165"/>
      <c r="P711" s="165"/>
      <c r="Q711" s="165"/>
      <c r="R711" s="165"/>
      <c r="S711" s="165"/>
      <c r="T711" s="165"/>
      <c r="U711" s="165"/>
      <c r="V711" s="165"/>
      <c r="W711" s="165"/>
      <c r="X711" s="165"/>
    </row>
    <row r="712" ht="18.75" customHeight="1">
      <c r="A712" s="165">
        <v>710.0</v>
      </c>
      <c r="B712" s="168" t="s">
        <v>15955</v>
      </c>
      <c r="C712" s="165"/>
      <c r="D712" s="165"/>
      <c r="E712" s="165"/>
      <c r="F712" s="165"/>
      <c r="G712" s="165"/>
      <c r="H712" s="165"/>
      <c r="I712" s="165"/>
      <c r="J712" s="165"/>
      <c r="K712" s="165"/>
      <c r="L712" s="165"/>
      <c r="M712" s="165"/>
      <c r="N712" s="165"/>
      <c r="O712" s="165"/>
      <c r="P712" s="165"/>
      <c r="Q712" s="165"/>
      <c r="R712" s="165"/>
      <c r="S712" s="165"/>
      <c r="T712" s="165"/>
      <c r="U712" s="165"/>
      <c r="V712" s="165"/>
      <c r="W712" s="165"/>
      <c r="X712" s="165"/>
    </row>
    <row r="713" ht="18.75" customHeight="1">
      <c r="A713" s="165">
        <v>711.0</v>
      </c>
      <c r="B713" s="165" t="s">
        <v>16181</v>
      </c>
      <c r="C713" s="165"/>
      <c r="D713" s="165"/>
      <c r="E713" s="165"/>
      <c r="F713" s="165"/>
      <c r="G713" s="165"/>
      <c r="H713" s="165"/>
      <c r="I713" s="165"/>
      <c r="J713" s="165"/>
      <c r="K713" s="165"/>
      <c r="L713" s="165"/>
      <c r="M713" s="165"/>
      <c r="N713" s="165"/>
      <c r="O713" s="165"/>
      <c r="P713" s="165"/>
      <c r="Q713" s="165"/>
      <c r="R713" s="165"/>
      <c r="S713" s="165"/>
      <c r="T713" s="165"/>
      <c r="U713" s="165"/>
      <c r="V713" s="165"/>
      <c r="W713" s="165"/>
      <c r="X713" s="165"/>
    </row>
    <row r="714" ht="18.75" customHeight="1">
      <c r="A714" s="165">
        <v>712.0</v>
      </c>
      <c r="B714" s="165" t="s">
        <v>16182</v>
      </c>
      <c r="C714" s="165"/>
      <c r="D714" s="165"/>
      <c r="E714" s="165"/>
      <c r="F714" s="165"/>
      <c r="G714" s="165"/>
      <c r="H714" s="165"/>
      <c r="I714" s="165"/>
      <c r="J714" s="165"/>
      <c r="K714" s="165"/>
      <c r="L714" s="165"/>
      <c r="M714" s="165"/>
      <c r="N714" s="165"/>
      <c r="O714" s="165"/>
      <c r="P714" s="165"/>
      <c r="Q714" s="165"/>
      <c r="R714" s="165"/>
      <c r="S714" s="165"/>
      <c r="T714" s="165"/>
      <c r="U714" s="165"/>
      <c r="V714" s="165"/>
      <c r="W714" s="165"/>
      <c r="X714" s="165"/>
    </row>
    <row r="715" ht="18.75" customHeight="1">
      <c r="A715" s="165">
        <v>713.0</v>
      </c>
      <c r="B715" s="167" t="s">
        <v>16183</v>
      </c>
      <c r="C715" s="165"/>
      <c r="D715" s="165"/>
      <c r="E715" s="165"/>
      <c r="F715" s="165"/>
      <c r="G715" s="165"/>
      <c r="H715" s="165"/>
      <c r="I715" s="165"/>
      <c r="J715" s="165"/>
      <c r="K715" s="165"/>
      <c r="L715" s="165"/>
      <c r="M715" s="165"/>
      <c r="N715" s="165"/>
      <c r="O715" s="165"/>
      <c r="P715" s="165"/>
      <c r="Q715" s="165"/>
      <c r="R715" s="165"/>
      <c r="S715" s="165"/>
      <c r="T715" s="165"/>
      <c r="U715" s="165"/>
      <c r="V715" s="165"/>
      <c r="W715" s="165"/>
      <c r="X715" s="165"/>
    </row>
    <row r="716" ht="18.75" customHeight="1">
      <c r="A716" s="165">
        <v>714.0</v>
      </c>
      <c r="B716" s="167" t="s">
        <v>16184</v>
      </c>
      <c r="C716" s="165"/>
      <c r="D716" s="165"/>
      <c r="E716" s="165"/>
      <c r="F716" s="165"/>
      <c r="G716" s="165"/>
      <c r="H716" s="165"/>
      <c r="I716" s="165"/>
      <c r="J716" s="165"/>
      <c r="K716" s="165"/>
      <c r="L716" s="165"/>
      <c r="M716" s="165"/>
      <c r="N716" s="165"/>
      <c r="O716" s="165"/>
      <c r="P716" s="165"/>
      <c r="Q716" s="165"/>
      <c r="R716" s="165"/>
      <c r="S716" s="165"/>
      <c r="T716" s="165"/>
      <c r="U716" s="165"/>
      <c r="V716" s="165"/>
      <c r="W716" s="165"/>
      <c r="X716" s="165"/>
    </row>
    <row r="717" ht="18.75" customHeight="1">
      <c r="A717" s="165">
        <v>715.0</v>
      </c>
      <c r="B717" s="167" t="s">
        <v>16185</v>
      </c>
      <c r="C717" s="165"/>
      <c r="D717" s="165"/>
      <c r="E717" s="165"/>
      <c r="F717" s="165"/>
      <c r="G717" s="165"/>
      <c r="H717" s="165"/>
      <c r="I717" s="165"/>
      <c r="J717" s="165"/>
      <c r="K717" s="165"/>
      <c r="L717" s="165"/>
      <c r="M717" s="165"/>
      <c r="N717" s="165"/>
      <c r="O717" s="165"/>
      <c r="P717" s="165"/>
      <c r="Q717" s="165"/>
      <c r="R717" s="165"/>
      <c r="S717" s="165"/>
      <c r="T717" s="165"/>
      <c r="U717" s="165"/>
      <c r="V717" s="165"/>
      <c r="W717" s="165"/>
      <c r="X717" s="165"/>
    </row>
    <row r="718" ht="18.75" customHeight="1">
      <c r="A718" s="165">
        <v>716.0</v>
      </c>
      <c r="B718" s="165" t="s">
        <v>16186</v>
      </c>
      <c r="C718" s="165"/>
      <c r="D718" s="165"/>
      <c r="E718" s="165"/>
      <c r="F718" s="165"/>
      <c r="G718" s="165"/>
      <c r="H718" s="165"/>
      <c r="I718" s="165"/>
      <c r="J718" s="165"/>
      <c r="K718" s="165"/>
      <c r="L718" s="165"/>
      <c r="M718" s="165"/>
      <c r="N718" s="165"/>
      <c r="O718" s="165"/>
      <c r="P718" s="165"/>
      <c r="Q718" s="165"/>
      <c r="R718" s="165"/>
      <c r="S718" s="165"/>
      <c r="T718" s="165"/>
      <c r="U718" s="165"/>
      <c r="V718" s="165"/>
      <c r="W718" s="165"/>
      <c r="X718" s="165"/>
    </row>
    <row r="719" ht="18.75" customHeight="1">
      <c r="A719" s="165">
        <v>717.0</v>
      </c>
      <c r="B719" s="165" t="s">
        <v>16187</v>
      </c>
      <c r="C719" s="165"/>
      <c r="D719" s="165"/>
      <c r="E719" s="165"/>
      <c r="F719" s="165"/>
      <c r="G719" s="165"/>
      <c r="H719" s="165"/>
      <c r="I719" s="165"/>
      <c r="J719" s="165"/>
      <c r="K719" s="165"/>
      <c r="L719" s="165"/>
      <c r="M719" s="165"/>
      <c r="N719" s="165"/>
      <c r="O719" s="165"/>
      <c r="P719" s="165"/>
      <c r="Q719" s="165"/>
      <c r="R719" s="165"/>
      <c r="S719" s="165"/>
      <c r="T719" s="165"/>
      <c r="U719" s="165"/>
      <c r="V719" s="165"/>
      <c r="W719" s="165"/>
      <c r="X719" s="165"/>
    </row>
    <row r="720" ht="18.75" customHeight="1">
      <c r="A720" s="165">
        <v>718.0</v>
      </c>
      <c r="B720" s="165" t="s">
        <v>16188</v>
      </c>
      <c r="C720" s="165"/>
      <c r="D720" s="165"/>
      <c r="E720" s="165"/>
      <c r="F720" s="165"/>
      <c r="G720" s="165"/>
      <c r="H720" s="165"/>
      <c r="I720" s="165"/>
      <c r="J720" s="165"/>
      <c r="K720" s="165"/>
      <c r="L720" s="165"/>
      <c r="M720" s="165"/>
      <c r="N720" s="165"/>
      <c r="O720" s="165"/>
      <c r="P720" s="165"/>
      <c r="Q720" s="165"/>
      <c r="R720" s="165"/>
      <c r="S720" s="165"/>
      <c r="T720" s="165"/>
      <c r="U720" s="165"/>
      <c r="V720" s="165"/>
      <c r="W720" s="165"/>
      <c r="X720" s="165"/>
    </row>
    <row r="721" ht="18.75" customHeight="1">
      <c r="A721" s="165">
        <v>719.0</v>
      </c>
      <c r="B721" s="165" t="s">
        <v>16189</v>
      </c>
      <c r="C721" s="165"/>
      <c r="D721" s="165"/>
      <c r="E721" s="165"/>
      <c r="F721" s="165"/>
      <c r="G721" s="165"/>
      <c r="H721" s="165"/>
      <c r="I721" s="165"/>
      <c r="J721" s="165"/>
      <c r="K721" s="165"/>
      <c r="L721" s="165"/>
      <c r="M721" s="165"/>
      <c r="N721" s="165"/>
      <c r="O721" s="165"/>
      <c r="P721" s="165"/>
      <c r="Q721" s="165"/>
      <c r="R721" s="165"/>
      <c r="S721" s="165"/>
      <c r="T721" s="165"/>
      <c r="U721" s="165"/>
      <c r="V721" s="165"/>
      <c r="W721" s="165"/>
      <c r="X721" s="165"/>
    </row>
    <row r="722" ht="18.75" customHeight="1">
      <c r="A722" s="165">
        <v>720.0</v>
      </c>
      <c r="B722" s="167" t="s">
        <v>16190</v>
      </c>
      <c r="C722" s="165"/>
      <c r="D722" s="165"/>
      <c r="E722" s="165"/>
      <c r="F722" s="165"/>
      <c r="G722" s="165"/>
      <c r="H722" s="165"/>
      <c r="I722" s="165"/>
      <c r="J722" s="165"/>
      <c r="K722" s="165"/>
      <c r="L722" s="165"/>
      <c r="M722" s="165"/>
      <c r="N722" s="165"/>
      <c r="O722" s="165"/>
      <c r="P722" s="165"/>
      <c r="Q722" s="165"/>
      <c r="R722" s="165"/>
      <c r="S722" s="165"/>
      <c r="T722" s="165"/>
      <c r="U722" s="165"/>
      <c r="V722" s="165"/>
      <c r="W722" s="165"/>
      <c r="X722" s="165"/>
    </row>
    <row r="723" ht="18.75" customHeight="1">
      <c r="A723" s="165">
        <v>721.0</v>
      </c>
      <c r="B723" s="165" t="s">
        <v>16191</v>
      </c>
      <c r="C723" s="165"/>
      <c r="D723" s="165"/>
      <c r="E723" s="165"/>
      <c r="F723" s="165"/>
      <c r="G723" s="165"/>
      <c r="H723" s="165"/>
      <c r="I723" s="165"/>
      <c r="J723" s="165"/>
      <c r="K723" s="165"/>
      <c r="L723" s="165"/>
      <c r="M723" s="165"/>
      <c r="N723" s="165"/>
      <c r="O723" s="165"/>
      <c r="P723" s="165"/>
      <c r="Q723" s="165"/>
      <c r="R723" s="165"/>
      <c r="S723" s="165"/>
      <c r="T723" s="165"/>
      <c r="U723" s="165"/>
      <c r="V723" s="165"/>
      <c r="W723" s="165"/>
      <c r="X723" s="165"/>
    </row>
    <row r="724" ht="18.75" customHeight="1">
      <c r="A724" s="165">
        <v>722.0</v>
      </c>
      <c r="B724" s="165" t="s">
        <v>16192</v>
      </c>
      <c r="C724" s="165"/>
      <c r="D724" s="165"/>
      <c r="E724" s="165"/>
      <c r="F724" s="165"/>
      <c r="G724" s="165"/>
      <c r="H724" s="165"/>
      <c r="I724" s="165"/>
      <c r="J724" s="165"/>
      <c r="K724" s="165"/>
      <c r="L724" s="165"/>
      <c r="M724" s="165"/>
      <c r="N724" s="165"/>
      <c r="O724" s="165"/>
      <c r="P724" s="165"/>
      <c r="Q724" s="165"/>
      <c r="R724" s="165"/>
      <c r="S724" s="165"/>
      <c r="T724" s="165"/>
      <c r="U724" s="165"/>
      <c r="V724" s="165"/>
      <c r="W724" s="165"/>
      <c r="X724" s="165"/>
    </row>
    <row r="725" ht="18.75" customHeight="1">
      <c r="A725" s="165">
        <v>723.0</v>
      </c>
      <c r="B725" s="165" t="s">
        <v>16193</v>
      </c>
      <c r="C725" s="165"/>
      <c r="D725" s="165"/>
      <c r="E725" s="165"/>
      <c r="F725" s="165"/>
      <c r="G725" s="165"/>
      <c r="H725" s="165"/>
      <c r="I725" s="165"/>
      <c r="J725" s="165"/>
      <c r="K725" s="165"/>
      <c r="L725" s="165"/>
      <c r="M725" s="165"/>
      <c r="N725" s="165"/>
      <c r="O725" s="165"/>
      <c r="P725" s="165"/>
      <c r="Q725" s="165"/>
      <c r="R725" s="165"/>
      <c r="S725" s="165"/>
      <c r="T725" s="165"/>
      <c r="U725" s="165"/>
      <c r="V725" s="165"/>
      <c r="W725" s="165"/>
      <c r="X725" s="165"/>
    </row>
    <row r="726" ht="18.75" customHeight="1">
      <c r="A726" s="165">
        <v>724.0</v>
      </c>
      <c r="B726" s="165" t="s">
        <v>16194</v>
      </c>
      <c r="C726" s="165"/>
      <c r="D726" s="165"/>
      <c r="E726" s="165"/>
      <c r="F726" s="165"/>
      <c r="G726" s="165"/>
      <c r="H726" s="165"/>
      <c r="I726" s="165"/>
      <c r="J726" s="165"/>
      <c r="K726" s="165"/>
      <c r="L726" s="165"/>
      <c r="M726" s="165"/>
      <c r="N726" s="165"/>
      <c r="O726" s="165"/>
      <c r="P726" s="165"/>
      <c r="Q726" s="165"/>
      <c r="R726" s="165"/>
      <c r="S726" s="165"/>
      <c r="T726" s="165"/>
      <c r="U726" s="165"/>
      <c r="V726" s="165"/>
      <c r="W726" s="165"/>
      <c r="X726" s="165"/>
    </row>
    <row r="727" ht="18.75" customHeight="1">
      <c r="A727" s="165">
        <v>725.0</v>
      </c>
      <c r="B727" s="165" t="s">
        <v>16195</v>
      </c>
      <c r="C727" s="165"/>
      <c r="D727" s="165"/>
      <c r="E727" s="165"/>
      <c r="F727" s="165"/>
      <c r="G727" s="165"/>
      <c r="H727" s="165"/>
      <c r="I727" s="165"/>
      <c r="J727" s="165"/>
      <c r="K727" s="165"/>
      <c r="L727" s="165"/>
      <c r="M727" s="165"/>
      <c r="N727" s="165"/>
      <c r="O727" s="165"/>
      <c r="P727" s="165"/>
      <c r="Q727" s="165"/>
      <c r="R727" s="165"/>
      <c r="S727" s="165"/>
      <c r="T727" s="165"/>
      <c r="U727" s="165"/>
      <c r="V727" s="165"/>
      <c r="W727" s="165"/>
      <c r="X727" s="165"/>
    </row>
    <row r="728" ht="18.75" customHeight="1">
      <c r="A728" s="165">
        <v>726.0</v>
      </c>
      <c r="B728" s="167" t="s">
        <v>16196</v>
      </c>
      <c r="C728" s="165"/>
      <c r="D728" s="165"/>
      <c r="E728" s="165"/>
      <c r="F728" s="165"/>
      <c r="G728" s="165"/>
      <c r="H728" s="165"/>
      <c r="I728" s="165"/>
      <c r="J728" s="165"/>
      <c r="K728" s="165"/>
      <c r="L728" s="165"/>
      <c r="M728" s="165"/>
      <c r="N728" s="165"/>
      <c r="O728" s="165"/>
      <c r="P728" s="165"/>
      <c r="Q728" s="165"/>
      <c r="R728" s="165"/>
      <c r="S728" s="165"/>
      <c r="T728" s="165"/>
      <c r="U728" s="165"/>
      <c r="V728" s="165"/>
      <c r="W728" s="165"/>
      <c r="X728" s="165"/>
    </row>
    <row r="729" ht="18.75" customHeight="1">
      <c r="A729" s="165">
        <v>727.0</v>
      </c>
      <c r="B729" s="165" t="s">
        <v>16197</v>
      </c>
      <c r="C729" s="165"/>
      <c r="D729" s="165"/>
      <c r="E729" s="165"/>
      <c r="F729" s="165"/>
      <c r="G729" s="165"/>
      <c r="H729" s="165"/>
      <c r="I729" s="165"/>
      <c r="J729" s="165"/>
      <c r="K729" s="165"/>
      <c r="L729" s="165"/>
      <c r="M729" s="165"/>
      <c r="N729" s="165"/>
      <c r="O729" s="165"/>
      <c r="P729" s="165"/>
      <c r="Q729" s="165"/>
      <c r="R729" s="165"/>
      <c r="S729" s="165"/>
      <c r="T729" s="165"/>
      <c r="U729" s="165"/>
      <c r="V729" s="165"/>
      <c r="W729" s="165"/>
      <c r="X729" s="165"/>
    </row>
    <row r="730" ht="18.75" customHeight="1">
      <c r="A730" s="165">
        <v>728.0</v>
      </c>
      <c r="B730" s="165" t="s">
        <v>16198</v>
      </c>
      <c r="C730" s="165"/>
      <c r="D730" s="165"/>
      <c r="E730" s="165"/>
      <c r="F730" s="165"/>
      <c r="G730" s="165"/>
      <c r="H730" s="165"/>
      <c r="I730" s="165"/>
      <c r="J730" s="165"/>
      <c r="K730" s="165"/>
      <c r="L730" s="165"/>
      <c r="M730" s="165"/>
      <c r="N730" s="165"/>
      <c r="O730" s="165"/>
      <c r="P730" s="165"/>
      <c r="Q730" s="165"/>
      <c r="R730" s="165"/>
      <c r="S730" s="165"/>
      <c r="T730" s="165"/>
      <c r="U730" s="165"/>
      <c r="V730" s="165"/>
      <c r="W730" s="165"/>
      <c r="X730" s="165"/>
    </row>
    <row r="731" ht="18.75" customHeight="1">
      <c r="A731" s="165">
        <v>729.0</v>
      </c>
      <c r="B731" s="165" t="s">
        <v>16199</v>
      </c>
      <c r="C731" s="165"/>
      <c r="D731" s="165"/>
      <c r="E731" s="165"/>
      <c r="F731" s="165"/>
      <c r="G731" s="165"/>
      <c r="H731" s="165"/>
      <c r="I731" s="165"/>
      <c r="J731" s="165"/>
      <c r="K731" s="165"/>
      <c r="L731" s="165"/>
      <c r="M731" s="165"/>
      <c r="N731" s="165"/>
      <c r="O731" s="165"/>
      <c r="P731" s="165"/>
      <c r="Q731" s="165"/>
      <c r="R731" s="165"/>
      <c r="S731" s="165"/>
      <c r="T731" s="165"/>
      <c r="U731" s="165"/>
      <c r="V731" s="165"/>
      <c r="W731" s="165"/>
      <c r="X731" s="165"/>
    </row>
    <row r="732" ht="18.75" customHeight="1">
      <c r="A732" s="165">
        <v>730.0</v>
      </c>
      <c r="B732" s="165" t="s">
        <v>16200</v>
      </c>
      <c r="C732" s="165"/>
      <c r="D732" s="165"/>
      <c r="E732" s="165"/>
      <c r="F732" s="165"/>
      <c r="G732" s="165"/>
      <c r="H732" s="165"/>
      <c r="I732" s="165"/>
      <c r="J732" s="165"/>
      <c r="K732" s="165"/>
      <c r="L732" s="165"/>
      <c r="M732" s="165"/>
      <c r="N732" s="165"/>
      <c r="O732" s="165"/>
      <c r="P732" s="165"/>
      <c r="Q732" s="165"/>
      <c r="R732" s="165"/>
      <c r="S732" s="165"/>
      <c r="T732" s="165"/>
      <c r="U732" s="165"/>
      <c r="V732" s="165"/>
      <c r="W732" s="165"/>
      <c r="X732" s="165"/>
    </row>
    <row r="733" ht="18.75" customHeight="1">
      <c r="A733" s="165">
        <v>731.0</v>
      </c>
      <c r="B733" s="165" t="s">
        <v>16201</v>
      </c>
      <c r="C733" s="165"/>
      <c r="D733" s="165"/>
      <c r="E733" s="165"/>
      <c r="F733" s="165"/>
      <c r="G733" s="165"/>
      <c r="H733" s="165"/>
      <c r="I733" s="165"/>
      <c r="J733" s="165"/>
      <c r="K733" s="165"/>
      <c r="L733" s="165"/>
      <c r="M733" s="165"/>
      <c r="N733" s="165"/>
      <c r="O733" s="165"/>
      <c r="P733" s="165"/>
      <c r="Q733" s="165"/>
      <c r="R733" s="165"/>
      <c r="S733" s="165"/>
      <c r="T733" s="165"/>
      <c r="U733" s="165"/>
      <c r="V733" s="165"/>
      <c r="W733" s="165"/>
      <c r="X733" s="165"/>
    </row>
    <row r="734" ht="18.75" customHeight="1">
      <c r="A734" s="165">
        <v>732.0</v>
      </c>
      <c r="B734" s="165" t="s">
        <v>16202</v>
      </c>
      <c r="C734" s="165"/>
      <c r="D734" s="165"/>
      <c r="E734" s="165"/>
      <c r="F734" s="165"/>
      <c r="G734" s="165"/>
      <c r="H734" s="165"/>
      <c r="I734" s="165"/>
      <c r="J734" s="165"/>
      <c r="K734" s="165"/>
      <c r="L734" s="165"/>
      <c r="M734" s="165"/>
      <c r="N734" s="165"/>
      <c r="O734" s="165"/>
      <c r="P734" s="165"/>
      <c r="Q734" s="165"/>
      <c r="R734" s="165"/>
      <c r="S734" s="165"/>
      <c r="T734" s="165"/>
      <c r="U734" s="165"/>
      <c r="V734" s="165"/>
      <c r="W734" s="165"/>
      <c r="X734" s="165"/>
    </row>
    <row r="735" ht="18.75" customHeight="1">
      <c r="A735" s="165">
        <v>733.0</v>
      </c>
      <c r="B735" s="167" t="s">
        <v>16203</v>
      </c>
      <c r="C735" s="165"/>
      <c r="D735" s="165"/>
      <c r="E735" s="165"/>
      <c r="F735" s="165"/>
      <c r="G735" s="165"/>
      <c r="H735" s="165"/>
      <c r="I735" s="165"/>
      <c r="J735" s="165"/>
      <c r="K735" s="165"/>
      <c r="L735" s="165"/>
      <c r="M735" s="165"/>
      <c r="N735" s="165"/>
      <c r="O735" s="165"/>
      <c r="P735" s="165"/>
      <c r="Q735" s="165"/>
      <c r="R735" s="165"/>
      <c r="S735" s="165"/>
      <c r="T735" s="165"/>
      <c r="U735" s="165"/>
      <c r="V735" s="165"/>
      <c r="W735" s="165"/>
      <c r="X735" s="165"/>
    </row>
    <row r="736" ht="18.75" customHeight="1">
      <c r="A736" s="165">
        <v>734.0</v>
      </c>
      <c r="B736" s="167" t="s">
        <v>16204</v>
      </c>
      <c r="C736" s="165"/>
      <c r="D736" s="165"/>
      <c r="E736" s="165"/>
      <c r="F736" s="165"/>
      <c r="G736" s="165"/>
      <c r="H736" s="165"/>
      <c r="I736" s="165"/>
      <c r="J736" s="165"/>
      <c r="K736" s="165"/>
      <c r="L736" s="165"/>
      <c r="M736" s="165"/>
      <c r="N736" s="165"/>
      <c r="O736" s="165"/>
      <c r="P736" s="165"/>
      <c r="Q736" s="165"/>
      <c r="R736" s="165"/>
      <c r="S736" s="165"/>
      <c r="T736" s="165"/>
      <c r="U736" s="165"/>
      <c r="V736" s="165"/>
      <c r="W736" s="165"/>
      <c r="X736" s="165"/>
    </row>
    <row r="737" ht="18.75" customHeight="1">
      <c r="A737" s="165">
        <v>735.0</v>
      </c>
      <c r="B737" s="165" t="s">
        <v>16205</v>
      </c>
      <c r="C737" s="165"/>
      <c r="D737" s="165"/>
      <c r="E737" s="165"/>
      <c r="F737" s="165"/>
      <c r="G737" s="165"/>
      <c r="H737" s="165"/>
      <c r="I737" s="165"/>
      <c r="J737" s="165"/>
      <c r="K737" s="165"/>
      <c r="L737" s="165"/>
      <c r="M737" s="165"/>
      <c r="N737" s="165"/>
      <c r="O737" s="165"/>
      <c r="P737" s="165"/>
      <c r="Q737" s="165"/>
      <c r="R737" s="165"/>
      <c r="S737" s="165"/>
      <c r="T737" s="165"/>
      <c r="U737" s="165"/>
      <c r="V737" s="165"/>
      <c r="W737" s="165"/>
      <c r="X737" s="165"/>
    </row>
    <row r="738" ht="18.75" customHeight="1">
      <c r="A738" s="165">
        <v>736.0</v>
      </c>
      <c r="B738" s="165" t="s">
        <v>16206</v>
      </c>
      <c r="C738" s="165"/>
      <c r="D738" s="165"/>
      <c r="E738" s="165"/>
      <c r="F738" s="165"/>
      <c r="G738" s="165"/>
      <c r="H738" s="165"/>
      <c r="I738" s="165"/>
      <c r="J738" s="165"/>
      <c r="K738" s="165"/>
      <c r="L738" s="165"/>
      <c r="M738" s="165"/>
      <c r="N738" s="165"/>
      <c r="O738" s="165"/>
      <c r="P738" s="165"/>
      <c r="Q738" s="165"/>
      <c r="R738" s="165"/>
      <c r="S738" s="165"/>
      <c r="T738" s="165"/>
      <c r="U738" s="165"/>
      <c r="V738" s="165"/>
      <c r="W738" s="165"/>
      <c r="X738" s="165"/>
    </row>
    <row r="739" ht="18.75" customHeight="1">
      <c r="A739" s="165">
        <v>737.0</v>
      </c>
      <c r="B739" s="165" t="s">
        <v>16207</v>
      </c>
      <c r="C739" s="165"/>
      <c r="D739" s="165"/>
      <c r="E739" s="165"/>
      <c r="F739" s="165"/>
      <c r="G739" s="165"/>
      <c r="H739" s="165"/>
      <c r="I739" s="165"/>
      <c r="J739" s="165"/>
      <c r="K739" s="165"/>
      <c r="L739" s="165"/>
      <c r="M739" s="165"/>
      <c r="N739" s="165"/>
      <c r="O739" s="165"/>
      <c r="P739" s="165"/>
      <c r="Q739" s="165"/>
      <c r="R739" s="165"/>
      <c r="S739" s="165"/>
      <c r="T739" s="165"/>
      <c r="U739" s="165"/>
      <c r="V739" s="165"/>
      <c r="W739" s="165"/>
      <c r="X739" s="165"/>
    </row>
    <row r="740" ht="18.75" customHeight="1">
      <c r="A740" s="165">
        <v>738.0</v>
      </c>
      <c r="B740" s="167" t="s">
        <v>16208</v>
      </c>
      <c r="C740" s="165"/>
      <c r="D740" s="165"/>
      <c r="E740" s="165"/>
      <c r="F740" s="165"/>
      <c r="G740" s="165"/>
      <c r="H740" s="165"/>
      <c r="I740" s="165"/>
      <c r="J740" s="165"/>
      <c r="K740" s="165"/>
      <c r="L740" s="165"/>
      <c r="M740" s="165"/>
      <c r="N740" s="165"/>
      <c r="O740" s="165"/>
      <c r="P740" s="165"/>
      <c r="Q740" s="165"/>
      <c r="R740" s="165"/>
      <c r="S740" s="165"/>
      <c r="T740" s="165"/>
      <c r="U740" s="165"/>
      <c r="V740" s="165"/>
      <c r="W740" s="165"/>
      <c r="X740" s="165"/>
    </row>
    <row r="741" ht="18.75" customHeight="1">
      <c r="A741" s="165">
        <v>739.0</v>
      </c>
      <c r="B741" s="167" t="s">
        <v>16209</v>
      </c>
      <c r="C741" s="165"/>
      <c r="D741" s="165"/>
      <c r="E741" s="165"/>
      <c r="F741" s="165"/>
      <c r="G741" s="165"/>
      <c r="H741" s="165"/>
      <c r="I741" s="165"/>
      <c r="J741" s="165"/>
      <c r="K741" s="165"/>
      <c r="L741" s="165"/>
      <c r="M741" s="165"/>
      <c r="N741" s="165"/>
      <c r="O741" s="165"/>
      <c r="P741" s="165"/>
      <c r="Q741" s="165"/>
      <c r="R741" s="165"/>
      <c r="S741" s="165"/>
      <c r="T741" s="165"/>
      <c r="U741" s="165"/>
      <c r="V741" s="165"/>
      <c r="W741" s="165"/>
      <c r="X741" s="165"/>
    </row>
    <row r="742" ht="18.75" customHeight="1">
      <c r="A742" s="165">
        <v>740.0</v>
      </c>
      <c r="B742" s="165" t="s">
        <v>16210</v>
      </c>
      <c r="C742" s="165"/>
      <c r="D742" s="165"/>
      <c r="E742" s="165"/>
      <c r="F742" s="165"/>
      <c r="G742" s="165"/>
      <c r="H742" s="165"/>
      <c r="I742" s="165"/>
      <c r="J742" s="165"/>
      <c r="K742" s="165"/>
      <c r="L742" s="165"/>
      <c r="M742" s="165"/>
      <c r="N742" s="165"/>
      <c r="O742" s="165"/>
      <c r="P742" s="165"/>
      <c r="Q742" s="165"/>
      <c r="R742" s="165"/>
      <c r="S742" s="165"/>
      <c r="T742" s="165"/>
      <c r="U742" s="165"/>
      <c r="V742" s="165"/>
      <c r="W742" s="165"/>
      <c r="X742" s="165"/>
    </row>
    <row r="743" ht="18.75" customHeight="1">
      <c r="A743" s="165">
        <v>741.0</v>
      </c>
      <c r="B743" s="165" t="s">
        <v>16211</v>
      </c>
      <c r="C743" s="165"/>
      <c r="D743" s="165"/>
      <c r="E743" s="165"/>
      <c r="F743" s="165"/>
      <c r="G743" s="165"/>
      <c r="H743" s="165"/>
      <c r="I743" s="165"/>
      <c r="J743" s="165"/>
      <c r="K743" s="165"/>
      <c r="L743" s="165"/>
      <c r="M743" s="165"/>
      <c r="N743" s="165"/>
      <c r="O743" s="165"/>
      <c r="P743" s="165"/>
      <c r="Q743" s="165"/>
      <c r="R743" s="165"/>
      <c r="S743" s="165"/>
      <c r="T743" s="165"/>
      <c r="U743" s="165"/>
      <c r="V743" s="165"/>
      <c r="W743" s="165"/>
      <c r="X743" s="165"/>
    </row>
    <row r="744" ht="18.75" customHeight="1">
      <c r="A744" s="165">
        <v>742.0</v>
      </c>
      <c r="B744" s="165" t="s">
        <v>16212</v>
      </c>
      <c r="C744" s="165"/>
      <c r="D744" s="165"/>
      <c r="E744" s="165"/>
      <c r="F744" s="165"/>
      <c r="G744" s="165"/>
      <c r="H744" s="165"/>
      <c r="I744" s="165"/>
      <c r="J744" s="165"/>
      <c r="K744" s="165"/>
      <c r="L744" s="165"/>
      <c r="M744" s="165"/>
      <c r="N744" s="165"/>
      <c r="O744" s="165"/>
      <c r="P744" s="165"/>
      <c r="Q744" s="165"/>
      <c r="R744" s="165"/>
      <c r="S744" s="165"/>
      <c r="T744" s="165"/>
      <c r="U744" s="165"/>
      <c r="V744" s="165"/>
      <c r="W744" s="165"/>
      <c r="X744" s="165"/>
    </row>
    <row r="745" ht="18.75" customHeight="1">
      <c r="A745" s="165">
        <v>743.0</v>
      </c>
      <c r="B745" s="167" t="s">
        <v>16213</v>
      </c>
      <c r="C745" s="165"/>
      <c r="D745" s="165"/>
      <c r="E745" s="165"/>
      <c r="F745" s="165"/>
      <c r="G745" s="165"/>
      <c r="H745" s="165"/>
      <c r="I745" s="165"/>
      <c r="J745" s="165"/>
      <c r="K745" s="165"/>
      <c r="L745" s="165"/>
      <c r="M745" s="165"/>
      <c r="N745" s="165"/>
      <c r="O745" s="165"/>
      <c r="P745" s="165"/>
      <c r="Q745" s="165"/>
      <c r="R745" s="165"/>
      <c r="S745" s="165"/>
      <c r="T745" s="165"/>
      <c r="U745" s="165"/>
      <c r="V745" s="165"/>
      <c r="W745" s="165"/>
      <c r="X745" s="165"/>
    </row>
    <row r="746" ht="18.75" customHeight="1">
      <c r="A746" s="165">
        <v>744.0</v>
      </c>
      <c r="B746" s="165" t="s">
        <v>16214</v>
      </c>
      <c r="C746" s="165"/>
      <c r="D746" s="165"/>
      <c r="E746" s="165"/>
      <c r="F746" s="165"/>
      <c r="G746" s="165"/>
      <c r="H746" s="165"/>
      <c r="I746" s="165"/>
      <c r="J746" s="165"/>
      <c r="K746" s="165"/>
      <c r="L746" s="165"/>
      <c r="M746" s="165"/>
      <c r="N746" s="165"/>
      <c r="O746" s="165"/>
      <c r="P746" s="165"/>
      <c r="Q746" s="165"/>
      <c r="R746" s="165"/>
      <c r="S746" s="165"/>
      <c r="T746" s="165"/>
      <c r="U746" s="165"/>
      <c r="V746" s="165"/>
      <c r="W746" s="165"/>
      <c r="X746" s="165"/>
    </row>
    <row r="747" ht="18.75" customHeight="1">
      <c r="A747" s="165">
        <v>745.0</v>
      </c>
      <c r="B747" s="167" t="s">
        <v>16215</v>
      </c>
      <c r="C747" s="165"/>
      <c r="D747" s="165"/>
      <c r="E747" s="165"/>
      <c r="F747" s="165"/>
      <c r="G747" s="165"/>
      <c r="H747" s="165"/>
      <c r="I747" s="165"/>
      <c r="J747" s="165"/>
      <c r="K747" s="165"/>
      <c r="L747" s="165"/>
      <c r="M747" s="165"/>
      <c r="N747" s="165"/>
      <c r="O747" s="165"/>
      <c r="P747" s="165"/>
      <c r="Q747" s="165"/>
      <c r="R747" s="165"/>
      <c r="S747" s="165"/>
      <c r="T747" s="165"/>
      <c r="U747" s="165"/>
      <c r="V747" s="165"/>
      <c r="W747" s="165"/>
      <c r="X747" s="165"/>
    </row>
    <row r="748" ht="18.75" customHeight="1">
      <c r="A748" s="165">
        <v>746.0</v>
      </c>
      <c r="B748" s="165" t="s">
        <v>16216</v>
      </c>
      <c r="C748" s="165"/>
      <c r="D748" s="165"/>
      <c r="E748" s="165"/>
      <c r="F748" s="165"/>
      <c r="G748" s="165"/>
      <c r="H748" s="165"/>
      <c r="I748" s="165"/>
      <c r="J748" s="165"/>
      <c r="K748" s="165"/>
      <c r="L748" s="165"/>
      <c r="M748" s="165"/>
      <c r="N748" s="165"/>
      <c r="O748" s="165"/>
      <c r="P748" s="165"/>
      <c r="Q748" s="165"/>
      <c r="R748" s="165"/>
      <c r="S748" s="165"/>
      <c r="T748" s="165"/>
      <c r="U748" s="165"/>
      <c r="V748" s="165"/>
      <c r="W748" s="165"/>
      <c r="X748" s="165"/>
    </row>
    <row r="749" ht="18.75" customHeight="1">
      <c r="A749" s="165">
        <v>747.0</v>
      </c>
      <c r="B749" s="167" t="s">
        <v>16217</v>
      </c>
      <c r="C749" s="165"/>
      <c r="D749" s="165"/>
      <c r="E749" s="165"/>
      <c r="F749" s="165"/>
      <c r="G749" s="165"/>
      <c r="H749" s="165"/>
      <c r="I749" s="165"/>
      <c r="J749" s="165"/>
      <c r="K749" s="165"/>
      <c r="L749" s="165"/>
      <c r="M749" s="165"/>
      <c r="N749" s="165"/>
      <c r="O749" s="165"/>
      <c r="P749" s="165"/>
      <c r="Q749" s="165"/>
      <c r="R749" s="165"/>
      <c r="S749" s="165"/>
      <c r="T749" s="165"/>
      <c r="U749" s="165"/>
      <c r="V749" s="165"/>
      <c r="W749" s="165"/>
      <c r="X749" s="165"/>
    </row>
    <row r="750" ht="18.75" customHeight="1">
      <c r="A750" s="165">
        <v>748.0</v>
      </c>
      <c r="B750" s="165" t="s">
        <v>16218</v>
      </c>
      <c r="C750" s="165"/>
      <c r="D750" s="165"/>
      <c r="E750" s="165"/>
      <c r="F750" s="165"/>
      <c r="G750" s="165"/>
      <c r="H750" s="165"/>
      <c r="I750" s="165"/>
      <c r="J750" s="165"/>
      <c r="K750" s="165"/>
      <c r="L750" s="165"/>
      <c r="M750" s="165"/>
      <c r="N750" s="165"/>
      <c r="O750" s="165"/>
      <c r="P750" s="165"/>
      <c r="Q750" s="165"/>
      <c r="R750" s="165"/>
      <c r="S750" s="165"/>
      <c r="T750" s="165"/>
      <c r="U750" s="165"/>
      <c r="V750" s="165"/>
      <c r="W750" s="165"/>
      <c r="X750" s="165"/>
    </row>
    <row r="751" ht="18.75" customHeight="1">
      <c r="A751" s="165">
        <v>749.0</v>
      </c>
      <c r="B751" s="165" t="s">
        <v>16219</v>
      </c>
      <c r="C751" s="165"/>
      <c r="D751" s="165"/>
      <c r="E751" s="165"/>
      <c r="F751" s="165"/>
      <c r="G751" s="165"/>
      <c r="H751" s="165"/>
      <c r="I751" s="165"/>
      <c r="J751" s="165"/>
      <c r="K751" s="165"/>
      <c r="L751" s="165"/>
      <c r="M751" s="165"/>
      <c r="N751" s="165"/>
      <c r="O751" s="165"/>
      <c r="P751" s="165"/>
      <c r="Q751" s="165"/>
      <c r="R751" s="165"/>
      <c r="S751" s="165"/>
      <c r="T751" s="165"/>
      <c r="U751" s="165"/>
      <c r="V751" s="165"/>
      <c r="W751" s="165"/>
      <c r="X751" s="165"/>
    </row>
    <row r="752" ht="18.75" customHeight="1">
      <c r="A752" s="165">
        <v>750.0</v>
      </c>
      <c r="B752" s="165" t="s">
        <v>16220</v>
      </c>
      <c r="C752" s="165"/>
      <c r="D752" s="165"/>
      <c r="E752" s="165"/>
      <c r="F752" s="165"/>
      <c r="G752" s="165"/>
      <c r="H752" s="165"/>
      <c r="I752" s="165"/>
      <c r="J752" s="165"/>
      <c r="K752" s="165"/>
      <c r="L752" s="165"/>
      <c r="M752" s="165"/>
      <c r="N752" s="165"/>
      <c r="O752" s="165"/>
      <c r="P752" s="165"/>
      <c r="Q752" s="165"/>
      <c r="R752" s="165"/>
      <c r="S752" s="165"/>
      <c r="T752" s="165"/>
      <c r="U752" s="165"/>
      <c r="V752" s="165"/>
      <c r="W752" s="165"/>
      <c r="X752" s="165"/>
    </row>
    <row r="753" ht="18.75" customHeight="1">
      <c r="A753" s="165">
        <v>751.0</v>
      </c>
      <c r="B753" s="165" t="s">
        <v>16221</v>
      </c>
      <c r="C753" s="165"/>
      <c r="D753" s="165"/>
      <c r="E753" s="165"/>
      <c r="F753" s="165"/>
      <c r="G753" s="165"/>
      <c r="H753" s="165"/>
      <c r="I753" s="165"/>
      <c r="J753" s="165"/>
      <c r="K753" s="165"/>
      <c r="L753" s="165"/>
      <c r="M753" s="165"/>
      <c r="N753" s="165"/>
      <c r="O753" s="165"/>
      <c r="P753" s="165"/>
      <c r="Q753" s="165"/>
      <c r="R753" s="165"/>
      <c r="S753" s="165"/>
      <c r="T753" s="165"/>
      <c r="U753" s="165"/>
      <c r="V753" s="165"/>
      <c r="W753" s="165"/>
      <c r="X753" s="165"/>
    </row>
    <row r="754" ht="18.75" customHeight="1">
      <c r="A754" s="165">
        <v>752.0</v>
      </c>
      <c r="B754" s="165" t="s">
        <v>16222</v>
      </c>
      <c r="C754" s="165"/>
      <c r="D754" s="165"/>
      <c r="E754" s="165"/>
      <c r="F754" s="165"/>
      <c r="G754" s="165"/>
      <c r="H754" s="165"/>
      <c r="I754" s="165"/>
      <c r="J754" s="165"/>
      <c r="K754" s="165"/>
      <c r="L754" s="165"/>
      <c r="M754" s="165"/>
      <c r="N754" s="165"/>
      <c r="O754" s="165"/>
      <c r="P754" s="165"/>
      <c r="Q754" s="165"/>
      <c r="R754" s="165"/>
      <c r="S754" s="165"/>
      <c r="T754" s="165"/>
      <c r="U754" s="165"/>
      <c r="V754" s="165"/>
      <c r="W754" s="165"/>
      <c r="X754" s="165"/>
    </row>
    <row r="755" ht="18.75" customHeight="1">
      <c r="A755" s="165">
        <v>753.0</v>
      </c>
      <c r="B755" s="167" t="s">
        <v>16223</v>
      </c>
      <c r="C755" s="165"/>
      <c r="D755" s="165"/>
      <c r="E755" s="165"/>
      <c r="F755" s="165"/>
      <c r="G755" s="165"/>
      <c r="H755" s="165"/>
      <c r="I755" s="165"/>
      <c r="J755" s="165"/>
      <c r="K755" s="165"/>
      <c r="L755" s="165"/>
      <c r="M755" s="165"/>
      <c r="N755" s="165"/>
      <c r="O755" s="165"/>
      <c r="P755" s="165"/>
      <c r="Q755" s="165"/>
      <c r="R755" s="165"/>
      <c r="S755" s="165"/>
      <c r="T755" s="165"/>
      <c r="U755" s="165"/>
      <c r="V755" s="165"/>
      <c r="W755" s="165"/>
      <c r="X755" s="165"/>
    </row>
    <row r="756" ht="18.75" customHeight="1">
      <c r="A756" s="165">
        <v>754.0</v>
      </c>
      <c r="B756" s="165" t="s">
        <v>16224</v>
      </c>
      <c r="C756" s="165"/>
      <c r="D756" s="165"/>
      <c r="E756" s="165"/>
      <c r="F756" s="165"/>
      <c r="G756" s="165"/>
      <c r="H756" s="165"/>
      <c r="I756" s="165"/>
      <c r="J756" s="165"/>
      <c r="K756" s="165"/>
      <c r="L756" s="165"/>
      <c r="M756" s="165"/>
      <c r="N756" s="165"/>
      <c r="O756" s="165"/>
      <c r="P756" s="165"/>
      <c r="Q756" s="165"/>
      <c r="R756" s="165"/>
      <c r="S756" s="165"/>
      <c r="T756" s="165"/>
      <c r="U756" s="165"/>
      <c r="V756" s="165"/>
      <c r="W756" s="165"/>
      <c r="X756" s="165"/>
    </row>
    <row r="757" ht="18.75" customHeight="1">
      <c r="A757" s="165">
        <v>755.0</v>
      </c>
      <c r="B757" s="165" t="s">
        <v>16225</v>
      </c>
      <c r="C757" s="165"/>
      <c r="D757" s="165"/>
      <c r="E757" s="165"/>
      <c r="F757" s="165"/>
      <c r="G757" s="165"/>
      <c r="H757" s="165"/>
      <c r="I757" s="165"/>
      <c r="J757" s="165"/>
      <c r="K757" s="165"/>
      <c r="L757" s="165"/>
      <c r="M757" s="165"/>
      <c r="N757" s="165"/>
      <c r="O757" s="165"/>
      <c r="P757" s="165"/>
      <c r="Q757" s="165"/>
      <c r="R757" s="165"/>
      <c r="S757" s="165"/>
      <c r="T757" s="165"/>
      <c r="U757" s="165"/>
      <c r="V757" s="165"/>
      <c r="W757" s="165"/>
      <c r="X757" s="165"/>
    </row>
    <row r="758" ht="18.75" customHeight="1">
      <c r="A758" s="165">
        <v>756.0</v>
      </c>
      <c r="B758" s="167" t="s">
        <v>16225</v>
      </c>
      <c r="C758" s="165"/>
      <c r="D758" s="165"/>
      <c r="E758" s="165"/>
      <c r="F758" s="165"/>
      <c r="G758" s="165"/>
      <c r="H758" s="165"/>
      <c r="I758" s="165"/>
      <c r="J758" s="165"/>
      <c r="K758" s="165"/>
      <c r="L758" s="165"/>
      <c r="M758" s="165"/>
      <c r="N758" s="165"/>
      <c r="O758" s="165"/>
      <c r="P758" s="165"/>
      <c r="Q758" s="165"/>
      <c r="R758" s="165"/>
      <c r="S758" s="165"/>
      <c r="T758" s="165"/>
      <c r="U758" s="165"/>
      <c r="V758" s="165"/>
      <c r="W758" s="165"/>
      <c r="X758" s="165"/>
    </row>
    <row r="759" ht="18.75" customHeight="1">
      <c r="A759" s="165">
        <v>757.0</v>
      </c>
      <c r="B759" s="165" t="s">
        <v>16226</v>
      </c>
      <c r="C759" s="165"/>
      <c r="D759" s="165"/>
      <c r="E759" s="165"/>
      <c r="F759" s="165"/>
      <c r="G759" s="165"/>
      <c r="H759" s="165"/>
      <c r="I759" s="165"/>
      <c r="J759" s="165"/>
      <c r="K759" s="165"/>
      <c r="L759" s="165"/>
      <c r="M759" s="165"/>
      <c r="N759" s="165"/>
      <c r="O759" s="165"/>
      <c r="P759" s="165"/>
      <c r="Q759" s="165"/>
      <c r="R759" s="165"/>
      <c r="S759" s="165"/>
      <c r="T759" s="165"/>
      <c r="U759" s="165"/>
      <c r="V759" s="165"/>
      <c r="W759" s="165"/>
      <c r="X759" s="165"/>
    </row>
    <row r="760" ht="18.75" customHeight="1">
      <c r="A760" s="165">
        <v>758.0</v>
      </c>
      <c r="B760" s="165" t="s">
        <v>16227</v>
      </c>
      <c r="C760" s="165"/>
      <c r="D760" s="165"/>
      <c r="E760" s="165"/>
      <c r="F760" s="165"/>
      <c r="G760" s="165"/>
      <c r="H760" s="165"/>
      <c r="I760" s="165"/>
      <c r="J760" s="165"/>
      <c r="K760" s="165"/>
      <c r="L760" s="165"/>
      <c r="M760" s="165"/>
      <c r="N760" s="165"/>
      <c r="O760" s="165"/>
      <c r="P760" s="165"/>
      <c r="Q760" s="165"/>
      <c r="R760" s="165"/>
      <c r="S760" s="165"/>
      <c r="T760" s="165"/>
      <c r="U760" s="165"/>
      <c r="V760" s="165"/>
      <c r="W760" s="165"/>
      <c r="X760" s="165"/>
    </row>
    <row r="761" ht="18.75" customHeight="1">
      <c r="A761" s="165">
        <v>759.0</v>
      </c>
      <c r="B761" s="165" t="s">
        <v>16228</v>
      </c>
      <c r="C761" s="165"/>
      <c r="D761" s="165"/>
      <c r="E761" s="165"/>
      <c r="F761" s="165"/>
      <c r="G761" s="165"/>
      <c r="H761" s="165"/>
      <c r="I761" s="165"/>
      <c r="J761" s="165"/>
      <c r="K761" s="165"/>
      <c r="L761" s="165"/>
      <c r="M761" s="165"/>
      <c r="N761" s="165"/>
      <c r="O761" s="165"/>
      <c r="P761" s="165"/>
      <c r="Q761" s="165"/>
      <c r="R761" s="165"/>
      <c r="S761" s="165"/>
      <c r="T761" s="165"/>
      <c r="U761" s="165"/>
      <c r="V761" s="165"/>
      <c r="W761" s="165"/>
      <c r="X761" s="165"/>
    </row>
    <row r="762" ht="18.75" customHeight="1">
      <c r="A762" s="165">
        <v>760.0</v>
      </c>
      <c r="B762" s="165" t="s">
        <v>16229</v>
      </c>
      <c r="C762" s="165"/>
      <c r="D762" s="165"/>
      <c r="E762" s="165"/>
      <c r="F762" s="165"/>
      <c r="G762" s="165"/>
      <c r="H762" s="165"/>
      <c r="I762" s="165"/>
      <c r="J762" s="165"/>
      <c r="K762" s="165"/>
      <c r="L762" s="165"/>
      <c r="M762" s="165"/>
      <c r="N762" s="165"/>
      <c r="O762" s="165"/>
      <c r="P762" s="165"/>
      <c r="Q762" s="165"/>
      <c r="R762" s="165"/>
      <c r="S762" s="165"/>
      <c r="T762" s="165"/>
      <c r="U762" s="165"/>
      <c r="V762" s="165"/>
      <c r="W762" s="165"/>
      <c r="X762" s="165"/>
    </row>
    <row r="763" ht="18.75" customHeight="1">
      <c r="A763" s="165">
        <v>761.0</v>
      </c>
      <c r="B763" s="167" t="s">
        <v>16230</v>
      </c>
      <c r="C763" s="165"/>
      <c r="D763" s="165"/>
      <c r="E763" s="165"/>
      <c r="F763" s="165"/>
      <c r="G763" s="165"/>
      <c r="H763" s="165"/>
      <c r="I763" s="165"/>
      <c r="J763" s="165"/>
      <c r="K763" s="165"/>
      <c r="L763" s="165"/>
      <c r="M763" s="165"/>
      <c r="N763" s="165"/>
      <c r="O763" s="165"/>
      <c r="P763" s="165"/>
      <c r="Q763" s="165"/>
      <c r="R763" s="165"/>
      <c r="S763" s="165"/>
      <c r="T763" s="165"/>
      <c r="U763" s="165"/>
      <c r="V763" s="165"/>
      <c r="W763" s="165"/>
      <c r="X763" s="165"/>
    </row>
    <row r="764" ht="18.75" customHeight="1">
      <c r="A764" s="165">
        <v>762.0</v>
      </c>
      <c r="B764" s="165" t="s">
        <v>16231</v>
      </c>
      <c r="C764" s="165"/>
      <c r="D764" s="165"/>
      <c r="E764" s="165"/>
      <c r="F764" s="165"/>
      <c r="G764" s="165"/>
      <c r="H764" s="165"/>
      <c r="I764" s="165"/>
      <c r="J764" s="165"/>
      <c r="K764" s="165"/>
      <c r="L764" s="165"/>
      <c r="M764" s="165"/>
      <c r="N764" s="165"/>
      <c r="O764" s="165"/>
      <c r="P764" s="165"/>
      <c r="Q764" s="165"/>
      <c r="R764" s="165"/>
      <c r="S764" s="165"/>
      <c r="T764" s="165"/>
      <c r="U764" s="165"/>
      <c r="V764" s="165"/>
      <c r="W764" s="165"/>
      <c r="X764" s="165"/>
    </row>
    <row r="765" ht="18.75" customHeight="1">
      <c r="A765" s="165">
        <v>763.0</v>
      </c>
      <c r="B765" s="165" t="s">
        <v>16232</v>
      </c>
      <c r="C765" s="165"/>
      <c r="D765" s="165"/>
      <c r="E765" s="165"/>
      <c r="F765" s="165"/>
      <c r="G765" s="165"/>
      <c r="H765" s="165"/>
      <c r="I765" s="165"/>
      <c r="J765" s="165"/>
      <c r="K765" s="165"/>
      <c r="L765" s="165"/>
      <c r="M765" s="165"/>
      <c r="N765" s="165"/>
      <c r="O765" s="165"/>
      <c r="P765" s="165"/>
      <c r="Q765" s="165"/>
      <c r="R765" s="165"/>
      <c r="S765" s="165"/>
      <c r="T765" s="165"/>
      <c r="U765" s="165"/>
      <c r="V765" s="165"/>
      <c r="W765" s="165"/>
      <c r="X765" s="165"/>
    </row>
    <row r="766" ht="18.75" customHeight="1">
      <c r="A766" s="165">
        <v>764.0</v>
      </c>
      <c r="B766" s="165" t="s">
        <v>16233</v>
      </c>
      <c r="C766" s="165"/>
      <c r="D766" s="165"/>
      <c r="E766" s="165"/>
      <c r="F766" s="165"/>
      <c r="G766" s="165"/>
      <c r="H766" s="165"/>
      <c r="I766" s="165"/>
      <c r="J766" s="165"/>
      <c r="K766" s="165"/>
      <c r="L766" s="165"/>
      <c r="M766" s="165"/>
      <c r="N766" s="165"/>
      <c r="O766" s="165"/>
      <c r="P766" s="165"/>
      <c r="Q766" s="165"/>
      <c r="R766" s="165"/>
      <c r="S766" s="165"/>
      <c r="T766" s="165"/>
      <c r="U766" s="165"/>
      <c r="V766" s="165"/>
      <c r="W766" s="165"/>
      <c r="X766" s="165"/>
    </row>
    <row r="767" ht="18.75" customHeight="1">
      <c r="A767" s="165">
        <v>765.0</v>
      </c>
      <c r="B767" s="165" t="s">
        <v>16234</v>
      </c>
      <c r="C767" s="165"/>
      <c r="D767" s="165"/>
      <c r="E767" s="165"/>
      <c r="F767" s="165"/>
      <c r="G767" s="165"/>
      <c r="H767" s="165"/>
      <c r="I767" s="165"/>
      <c r="J767" s="165"/>
      <c r="K767" s="165"/>
      <c r="L767" s="165"/>
      <c r="M767" s="165"/>
      <c r="N767" s="165"/>
      <c r="O767" s="165"/>
      <c r="P767" s="165"/>
      <c r="Q767" s="165"/>
      <c r="R767" s="165"/>
      <c r="S767" s="165"/>
      <c r="T767" s="165"/>
      <c r="U767" s="165"/>
      <c r="V767" s="165"/>
      <c r="W767" s="165"/>
      <c r="X767" s="165"/>
    </row>
    <row r="768" ht="18.75" customHeight="1">
      <c r="A768" s="165">
        <v>766.0</v>
      </c>
      <c r="B768" s="165" t="s">
        <v>16235</v>
      </c>
      <c r="C768" s="165"/>
      <c r="D768" s="165"/>
      <c r="E768" s="165"/>
      <c r="F768" s="165"/>
      <c r="G768" s="165"/>
      <c r="H768" s="165"/>
      <c r="I768" s="165"/>
      <c r="J768" s="165"/>
      <c r="K768" s="165"/>
      <c r="L768" s="165"/>
      <c r="M768" s="165"/>
      <c r="N768" s="165"/>
      <c r="O768" s="165"/>
      <c r="P768" s="165"/>
      <c r="Q768" s="165"/>
      <c r="R768" s="165"/>
      <c r="S768" s="165"/>
      <c r="T768" s="165"/>
      <c r="U768" s="165"/>
      <c r="V768" s="165"/>
      <c r="W768" s="165"/>
      <c r="X768" s="165"/>
    </row>
    <row r="769" ht="18.75" customHeight="1">
      <c r="A769" s="165">
        <v>767.0</v>
      </c>
      <c r="B769" s="165" t="s">
        <v>16236</v>
      </c>
      <c r="C769" s="165"/>
      <c r="D769" s="165"/>
      <c r="E769" s="165"/>
      <c r="F769" s="165"/>
      <c r="G769" s="165"/>
      <c r="H769" s="165"/>
      <c r="I769" s="165"/>
      <c r="J769" s="165"/>
      <c r="K769" s="165"/>
      <c r="L769" s="165"/>
      <c r="M769" s="165"/>
      <c r="N769" s="165"/>
      <c r="O769" s="165"/>
      <c r="P769" s="165"/>
      <c r="Q769" s="165"/>
      <c r="R769" s="165"/>
      <c r="S769" s="165"/>
      <c r="T769" s="165"/>
      <c r="U769" s="165"/>
      <c r="V769" s="165"/>
      <c r="W769" s="165"/>
      <c r="X769" s="165"/>
    </row>
    <row r="770" ht="18.75" customHeight="1">
      <c r="A770" s="165">
        <v>768.0</v>
      </c>
      <c r="B770" s="165" t="s">
        <v>16237</v>
      </c>
      <c r="C770" s="165"/>
      <c r="D770" s="165"/>
      <c r="E770" s="165"/>
      <c r="F770" s="165"/>
      <c r="G770" s="165"/>
      <c r="H770" s="165"/>
      <c r="I770" s="165"/>
      <c r="J770" s="165"/>
      <c r="K770" s="165"/>
      <c r="L770" s="165"/>
      <c r="M770" s="165"/>
      <c r="N770" s="165"/>
      <c r="O770" s="165"/>
      <c r="P770" s="165"/>
      <c r="Q770" s="165"/>
      <c r="R770" s="165"/>
      <c r="S770" s="165"/>
      <c r="T770" s="165"/>
      <c r="U770" s="165"/>
      <c r="V770" s="165"/>
      <c r="W770" s="165"/>
      <c r="X770" s="165"/>
    </row>
    <row r="771" ht="18.75" customHeight="1">
      <c r="A771" s="165">
        <v>769.0</v>
      </c>
      <c r="B771" s="167" t="s">
        <v>16238</v>
      </c>
      <c r="C771" s="165"/>
      <c r="D771" s="165"/>
      <c r="E771" s="165"/>
      <c r="F771" s="165"/>
      <c r="G771" s="165"/>
      <c r="H771" s="165"/>
      <c r="I771" s="165"/>
      <c r="J771" s="165"/>
      <c r="K771" s="165"/>
      <c r="L771" s="165"/>
      <c r="M771" s="165"/>
      <c r="N771" s="165"/>
      <c r="O771" s="165"/>
      <c r="P771" s="165"/>
      <c r="Q771" s="165"/>
      <c r="R771" s="165"/>
      <c r="S771" s="165"/>
      <c r="T771" s="165"/>
      <c r="U771" s="165"/>
      <c r="V771" s="165"/>
      <c r="W771" s="165"/>
      <c r="X771" s="165"/>
    </row>
    <row r="772" ht="18.75" customHeight="1">
      <c r="A772" s="165">
        <v>770.0</v>
      </c>
      <c r="B772" s="167" t="s">
        <v>16239</v>
      </c>
      <c r="C772" s="165"/>
      <c r="D772" s="165"/>
      <c r="E772" s="165"/>
      <c r="F772" s="165"/>
      <c r="G772" s="165"/>
      <c r="H772" s="165"/>
      <c r="I772" s="165"/>
      <c r="J772" s="165"/>
      <c r="K772" s="165"/>
      <c r="L772" s="165"/>
      <c r="M772" s="165"/>
      <c r="N772" s="165"/>
      <c r="O772" s="165"/>
      <c r="P772" s="165"/>
      <c r="Q772" s="165"/>
      <c r="R772" s="165"/>
      <c r="S772" s="165"/>
      <c r="T772" s="165"/>
      <c r="U772" s="165"/>
      <c r="V772" s="165"/>
      <c r="W772" s="165"/>
      <c r="X772" s="165"/>
    </row>
    <row r="773" ht="18.75" customHeight="1">
      <c r="A773" s="165">
        <v>771.0</v>
      </c>
      <c r="B773" s="167" t="s">
        <v>16240</v>
      </c>
      <c r="C773" s="165"/>
      <c r="D773" s="165"/>
      <c r="E773" s="165"/>
      <c r="F773" s="165"/>
      <c r="G773" s="165"/>
      <c r="H773" s="165"/>
      <c r="I773" s="165"/>
      <c r="J773" s="165"/>
      <c r="K773" s="165"/>
      <c r="L773" s="165"/>
      <c r="M773" s="165"/>
      <c r="N773" s="165"/>
      <c r="O773" s="165"/>
      <c r="P773" s="165"/>
      <c r="Q773" s="165"/>
      <c r="R773" s="165"/>
      <c r="S773" s="165"/>
      <c r="T773" s="165"/>
      <c r="U773" s="165"/>
      <c r="V773" s="165"/>
      <c r="W773" s="165"/>
      <c r="X773" s="165"/>
    </row>
    <row r="774" ht="18.75" customHeight="1">
      <c r="A774" s="165">
        <v>772.0</v>
      </c>
      <c r="B774" s="165" t="s">
        <v>16241</v>
      </c>
      <c r="C774" s="165"/>
      <c r="D774" s="165"/>
      <c r="E774" s="165"/>
      <c r="F774" s="165"/>
      <c r="G774" s="165"/>
      <c r="H774" s="165"/>
      <c r="I774" s="165"/>
      <c r="J774" s="165"/>
      <c r="K774" s="165"/>
      <c r="L774" s="165"/>
      <c r="M774" s="165"/>
      <c r="N774" s="165"/>
      <c r="O774" s="165"/>
      <c r="P774" s="165"/>
      <c r="Q774" s="165"/>
      <c r="R774" s="165"/>
      <c r="S774" s="165"/>
      <c r="T774" s="165"/>
      <c r="U774" s="165"/>
      <c r="V774" s="165"/>
      <c r="W774" s="165"/>
      <c r="X774" s="165"/>
    </row>
    <row r="775" ht="18.75" customHeight="1">
      <c r="A775" s="165">
        <v>773.0</v>
      </c>
      <c r="B775" s="165" t="s">
        <v>16242</v>
      </c>
      <c r="C775" s="165"/>
      <c r="D775" s="165"/>
      <c r="E775" s="165"/>
      <c r="F775" s="165"/>
      <c r="G775" s="165"/>
      <c r="H775" s="165"/>
      <c r="I775" s="165"/>
      <c r="J775" s="165"/>
      <c r="K775" s="165"/>
      <c r="L775" s="165"/>
      <c r="M775" s="165"/>
      <c r="N775" s="165"/>
      <c r="O775" s="165"/>
      <c r="P775" s="165"/>
      <c r="Q775" s="165"/>
      <c r="R775" s="165"/>
      <c r="S775" s="165"/>
      <c r="T775" s="165"/>
      <c r="U775" s="165"/>
      <c r="V775" s="165"/>
      <c r="W775" s="165"/>
      <c r="X775" s="165"/>
    </row>
    <row r="776" ht="18.75" customHeight="1">
      <c r="A776" s="165">
        <v>774.0</v>
      </c>
      <c r="B776" s="165" t="s">
        <v>16243</v>
      </c>
      <c r="C776" s="165"/>
      <c r="D776" s="165"/>
      <c r="E776" s="165"/>
      <c r="F776" s="165"/>
      <c r="G776" s="165"/>
      <c r="H776" s="165"/>
      <c r="I776" s="165"/>
      <c r="J776" s="165"/>
      <c r="K776" s="165"/>
      <c r="L776" s="165"/>
      <c r="M776" s="165"/>
      <c r="N776" s="165"/>
      <c r="O776" s="165"/>
      <c r="P776" s="165"/>
      <c r="Q776" s="165"/>
      <c r="R776" s="165"/>
      <c r="S776" s="165"/>
      <c r="T776" s="165"/>
      <c r="U776" s="165"/>
      <c r="V776" s="165"/>
      <c r="W776" s="165"/>
      <c r="X776" s="165"/>
    </row>
    <row r="777" ht="18.75" customHeight="1">
      <c r="A777" s="165">
        <v>775.0</v>
      </c>
      <c r="B777" s="167" t="s">
        <v>16244</v>
      </c>
      <c r="C777" s="165"/>
      <c r="D777" s="165"/>
      <c r="E777" s="165"/>
      <c r="F777" s="165"/>
      <c r="G777" s="165"/>
      <c r="H777" s="165"/>
      <c r="I777" s="165"/>
      <c r="J777" s="165"/>
      <c r="K777" s="165"/>
      <c r="L777" s="165"/>
      <c r="M777" s="165"/>
      <c r="N777" s="165"/>
      <c r="O777" s="165"/>
      <c r="P777" s="165"/>
      <c r="Q777" s="165"/>
      <c r="R777" s="165"/>
      <c r="S777" s="165"/>
      <c r="T777" s="165"/>
      <c r="U777" s="165"/>
      <c r="V777" s="165"/>
      <c r="W777" s="165"/>
      <c r="X777" s="165"/>
    </row>
    <row r="778" ht="18.75" customHeight="1">
      <c r="A778" s="165">
        <v>776.0</v>
      </c>
      <c r="B778" s="167" t="s">
        <v>16245</v>
      </c>
      <c r="C778" s="165"/>
      <c r="D778" s="165"/>
      <c r="E778" s="165"/>
      <c r="F778" s="165"/>
      <c r="G778" s="165"/>
      <c r="H778" s="165"/>
      <c r="I778" s="165"/>
      <c r="J778" s="165"/>
      <c r="K778" s="165"/>
      <c r="L778" s="165"/>
      <c r="M778" s="165"/>
      <c r="N778" s="165"/>
      <c r="O778" s="165"/>
      <c r="P778" s="165"/>
      <c r="Q778" s="165"/>
      <c r="R778" s="165"/>
      <c r="S778" s="165"/>
      <c r="T778" s="165"/>
      <c r="U778" s="165"/>
      <c r="V778" s="165"/>
      <c r="W778" s="165"/>
      <c r="X778" s="165"/>
    </row>
    <row r="779" ht="18.75" customHeight="1">
      <c r="A779" s="165">
        <v>777.0</v>
      </c>
      <c r="B779" s="165" t="s">
        <v>16246</v>
      </c>
      <c r="C779" s="165"/>
      <c r="D779" s="165"/>
      <c r="E779" s="165"/>
      <c r="F779" s="165"/>
      <c r="G779" s="165"/>
      <c r="H779" s="165"/>
      <c r="I779" s="165"/>
      <c r="J779" s="165"/>
      <c r="K779" s="165"/>
      <c r="L779" s="165"/>
      <c r="M779" s="165"/>
      <c r="N779" s="165"/>
      <c r="O779" s="165"/>
      <c r="P779" s="165"/>
      <c r="Q779" s="165"/>
      <c r="R779" s="165"/>
      <c r="S779" s="165"/>
      <c r="T779" s="165"/>
      <c r="U779" s="165"/>
      <c r="V779" s="165"/>
      <c r="W779" s="165"/>
      <c r="X779" s="165"/>
    </row>
    <row r="780" ht="18.75" customHeight="1">
      <c r="A780" s="165">
        <v>778.0</v>
      </c>
      <c r="B780" s="167" t="s">
        <v>16247</v>
      </c>
      <c r="C780" s="165"/>
      <c r="D780" s="165"/>
      <c r="E780" s="165"/>
      <c r="F780" s="165"/>
      <c r="G780" s="165"/>
      <c r="H780" s="165"/>
      <c r="I780" s="165"/>
      <c r="J780" s="165"/>
      <c r="K780" s="165"/>
      <c r="L780" s="165"/>
      <c r="M780" s="165"/>
      <c r="N780" s="165"/>
      <c r="O780" s="165"/>
      <c r="P780" s="165"/>
      <c r="Q780" s="165"/>
      <c r="R780" s="165"/>
      <c r="S780" s="165"/>
      <c r="T780" s="165"/>
      <c r="U780" s="165"/>
      <c r="V780" s="165"/>
      <c r="W780" s="165"/>
      <c r="X780" s="165"/>
    </row>
    <row r="781" ht="18.75" customHeight="1">
      <c r="A781" s="165">
        <v>779.0</v>
      </c>
      <c r="B781" s="165" t="s">
        <v>16248</v>
      </c>
      <c r="C781" s="165"/>
      <c r="D781" s="165"/>
      <c r="E781" s="165"/>
      <c r="F781" s="165"/>
      <c r="G781" s="165"/>
      <c r="H781" s="165"/>
      <c r="I781" s="165"/>
      <c r="J781" s="165"/>
      <c r="K781" s="165"/>
      <c r="L781" s="165"/>
      <c r="M781" s="165"/>
      <c r="N781" s="165"/>
      <c r="O781" s="165"/>
      <c r="P781" s="165"/>
      <c r="Q781" s="165"/>
      <c r="R781" s="165"/>
      <c r="S781" s="165"/>
      <c r="T781" s="165"/>
      <c r="U781" s="165"/>
      <c r="V781" s="165"/>
      <c r="W781" s="165"/>
      <c r="X781" s="165"/>
    </row>
    <row r="782" ht="18.75" customHeight="1">
      <c r="A782" s="165">
        <v>780.0</v>
      </c>
      <c r="B782" s="165" t="s">
        <v>16249</v>
      </c>
      <c r="C782" s="165"/>
      <c r="D782" s="165"/>
      <c r="E782" s="165"/>
      <c r="F782" s="165"/>
      <c r="G782" s="165"/>
      <c r="H782" s="165"/>
      <c r="I782" s="165"/>
      <c r="J782" s="165"/>
      <c r="K782" s="165"/>
      <c r="L782" s="165"/>
      <c r="M782" s="165"/>
      <c r="N782" s="165"/>
      <c r="O782" s="165"/>
      <c r="P782" s="165"/>
      <c r="Q782" s="165"/>
      <c r="R782" s="165"/>
      <c r="S782" s="165"/>
      <c r="T782" s="165"/>
      <c r="U782" s="165"/>
      <c r="V782" s="165"/>
      <c r="W782" s="165"/>
      <c r="X782" s="165"/>
    </row>
    <row r="783" ht="18.75" customHeight="1">
      <c r="A783" s="165">
        <v>781.0</v>
      </c>
      <c r="B783" s="167" t="s">
        <v>16250</v>
      </c>
      <c r="C783" s="165"/>
      <c r="D783" s="165"/>
      <c r="E783" s="165"/>
      <c r="F783" s="165"/>
      <c r="G783" s="165"/>
      <c r="H783" s="165"/>
      <c r="I783" s="165"/>
      <c r="J783" s="165"/>
      <c r="K783" s="165"/>
      <c r="L783" s="165"/>
      <c r="M783" s="165"/>
      <c r="N783" s="165"/>
      <c r="O783" s="165"/>
      <c r="P783" s="165"/>
      <c r="Q783" s="165"/>
      <c r="R783" s="165"/>
      <c r="S783" s="165"/>
      <c r="T783" s="165"/>
      <c r="U783" s="165"/>
      <c r="V783" s="165"/>
      <c r="W783" s="165"/>
      <c r="X783" s="165"/>
    </row>
    <row r="784" ht="18.75" customHeight="1">
      <c r="A784" s="165">
        <v>782.0</v>
      </c>
      <c r="B784" s="165" t="s">
        <v>16251</v>
      </c>
      <c r="C784" s="165"/>
      <c r="D784" s="165"/>
      <c r="E784" s="165"/>
      <c r="F784" s="165"/>
      <c r="G784" s="165"/>
      <c r="H784" s="165"/>
      <c r="I784" s="165"/>
      <c r="J784" s="165"/>
      <c r="K784" s="165"/>
      <c r="L784" s="165"/>
      <c r="M784" s="165"/>
      <c r="N784" s="165"/>
      <c r="O784" s="165"/>
      <c r="P784" s="165"/>
      <c r="Q784" s="165"/>
      <c r="R784" s="165"/>
      <c r="S784" s="165"/>
      <c r="T784" s="165"/>
      <c r="U784" s="165"/>
      <c r="V784" s="165"/>
      <c r="W784" s="165"/>
      <c r="X784" s="165"/>
    </row>
    <row r="785" ht="18.75" customHeight="1">
      <c r="A785" s="165">
        <v>783.0</v>
      </c>
      <c r="B785" s="165" t="s">
        <v>16252</v>
      </c>
      <c r="C785" s="165"/>
      <c r="D785" s="165"/>
      <c r="E785" s="165"/>
      <c r="F785" s="165"/>
      <c r="G785" s="165"/>
      <c r="H785" s="165"/>
      <c r="I785" s="165"/>
      <c r="J785" s="165"/>
      <c r="K785" s="165"/>
      <c r="L785" s="165"/>
      <c r="M785" s="165"/>
      <c r="N785" s="165"/>
      <c r="O785" s="165"/>
      <c r="P785" s="165"/>
      <c r="Q785" s="165"/>
      <c r="R785" s="165"/>
      <c r="S785" s="165"/>
      <c r="T785" s="165"/>
      <c r="U785" s="165"/>
      <c r="V785" s="165"/>
      <c r="W785" s="165"/>
      <c r="X785" s="165"/>
    </row>
    <row r="786" ht="18.75" customHeight="1">
      <c r="A786" s="165">
        <v>784.0</v>
      </c>
      <c r="B786" s="165" t="s">
        <v>16253</v>
      </c>
      <c r="C786" s="165"/>
      <c r="D786" s="165"/>
      <c r="E786" s="165"/>
      <c r="F786" s="165"/>
      <c r="G786" s="165"/>
      <c r="H786" s="165"/>
      <c r="I786" s="165"/>
      <c r="J786" s="165"/>
      <c r="K786" s="165"/>
      <c r="L786" s="165"/>
      <c r="M786" s="165"/>
      <c r="N786" s="165"/>
      <c r="O786" s="165"/>
      <c r="P786" s="165"/>
      <c r="Q786" s="165"/>
      <c r="R786" s="165"/>
      <c r="S786" s="165"/>
      <c r="T786" s="165"/>
      <c r="U786" s="165"/>
      <c r="V786" s="165"/>
      <c r="W786" s="165"/>
      <c r="X786" s="165"/>
    </row>
    <row r="787" ht="18.75" customHeight="1">
      <c r="A787" s="165">
        <v>785.0</v>
      </c>
      <c r="B787" s="165" t="s">
        <v>16254</v>
      </c>
      <c r="C787" s="165"/>
      <c r="D787" s="165"/>
      <c r="E787" s="165"/>
      <c r="F787" s="165"/>
      <c r="G787" s="165"/>
      <c r="H787" s="165"/>
      <c r="I787" s="165"/>
      <c r="J787" s="165"/>
      <c r="K787" s="165"/>
      <c r="L787" s="165"/>
      <c r="M787" s="165"/>
      <c r="N787" s="165"/>
      <c r="O787" s="165"/>
      <c r="P787" s="165"/>
      <c r="Q787" s="165"/>
      <c r="R787" s="165"/>
      <c r="S787" s="165"/>
      <c r="T787" s="165"/>
      <c r="U787" s="165"/>
      <c r="V787" s="165"/>
      <c r="W787" s="165"/>
      <c r="X787" s="165"/>
    </row>
    <row r="788" ht="18.75" customHeight="1">
      <c r="A788" s="165">
        <v>786.0</v>
      </c>
      <c r="B788" s="165" t="s">
        <v>16255</v>
      </c>
      <c r="C788" s="165"/>
      <c r="D788" s="165"/>
      <c r="E788" s="165"/>
      <c r="F788" s="165"/>
      <c r="G788" s="165"/>
      <c r="H788" s="165"/>
      <c r="I788" s="165"/>
      <c r="J788" s="165"/>
      <c r="K788" s="165"/>
      <c r="L788" s="165"/>
      <c r="M788" s="165"/>
      <c r="N788" s="165"/>
      <c r="O788" s="165"/>
      <c r="P788" s="165"/>
      <c r="Q788" s="165"/>
      <c r="R788" s="165"/>
      <c r="S788" s="165"/>
      <c r="T788" s="165"/>
      <c r="U788" s="165"/>
      <c r="V788" s="165"/>
      <c r="W788" s="165"/>
      <c r="X788" s="165"/>
    </row>
    <row r="789" ht="18.75" customHeight="1">
      <c r="A789" s="165">
        <v>787.0</v>
      </c>
      <c r="B789" s="165" t="s">
        <v>16256</v>
      </c>
      <c r="C789" s="165"/>
      <c r="D789" s="165"/>
      <c r="E789" s="165"/>
      <c r="F789" s="165"/>
      <c r="G789" s="165"/>
      <c r="H789" s="165"/>
      <c r="I789" s="165"/>
      <c r="J789" s="165"/>
      <c r="K789" s="165"/>
      <c r="L789" s="165"/>
      <c r="M789" s="165"/>
      <c r="N789" s="165"/>
      <c r="O789" s="165"/>
      <c r="P789" s="165"/>
      <c r="Q789" s="165"/>
      <c r="R789" s="165"/>
      <c r="S789" s="165"/>
      <c r="T789" s="165"/>
      <c r="U789" s="165"/>
      <c r="V789" s="165"/>
      <c r="W789" s="165"/>
      <c r="X789" s="165"/>
    </row>
    <row r="790" ht="18.75" customHeight="1">
      <c r="A790" s="165">
        <v>788.0</v>
      </c>
      <c r="B790" s="165" t="s">
        <v>16257</v>
      </c>
      <c r="C790" s="165"/>
      <c r="D790" s="165"/>
      <c r="E790" s="165"/>
      <c r="F790" s="165"/>
      <c r="G790" s="165"/>
      <c r="H790" s="165"/>
      <c r="I790" s="165"/>
      <c r="J790" s="165"/>
      <c r="K790" s="165"/>
      <c r="L790" s="165"/>
      <c r="M790" s="165"/>
      <c r="N790" s="165"/>
      <c r="O790" s="165"/>
      <c r="P790" s="165"/>
      <c r="Q790" s="165"/>
      <c r="R790" s="165"/>
      <c r="S790" s="165"/>
      <c r="T790" s="165"/>
      <c r="U790" s="165"/>
      <c r="V790" s="165"/>
      <c r="W790" s="165"/>
      <c r="X790" s="165"/>
    </row>
    <row r="791" ht="18.75" customHeight="1">
      <c r="A791" s="165">
        <v>789.0</v>
      </c>
      <c r="B791" s="165" t="s">
        <v>16258</v>
      </c>
      <c r="C791" s="165"/>
      <c r="D791" s="165"/>
      <c r="E791" s="165"/>
      <c r="F791" s="165"/>
      <c r="G791" s="165"/>
      <c r="H791" s="165"/>
      <c r="I791" s="165"/>
      <c r="J791" s="165"/>
      <c r="K791" s="165"/>
      <c r="L791" s="165"/>
      <c r="M791" s="165"/>
      <c r="N791" s="165"/>
      <c r="O791" s="165"/>
      <c r="P791" s="165"/>
      <c r="Q791" s="165"/>
      <c r="R791" s="165"/>
      <c r="S791" s="165"/>
      <c r="T791" s="165"/>
      <c r="U791" s="165"/>
      <c r="V791" s="165"/>
      <c r="W791" s="165"/>
      <c r="X791" s="165"/>
    </row>
    <row r="792" ht="18.75" customHeight="1">
      <c r="A792" s="165">
        <v>790.0</v>
      </c>
      <c r="B792" s="165" t="s">
        <v>16259</v>
      </c>
      <c r="C792" s="165"/>
      <c r="D792" s="165"/>
      <c r="E792" s="165"/>
      <c r="F792" s="165"/>
      <c r="G792" s="165"/>
      <c r="H792" s="165"/>
      <c r="I792" s="165"/>
      <c r="J792" s="165"/>
      <c r="K792" s="165"/>
      <c r="L792" s="165"/>
      <c r="M792" s="165"/>
      <c r="N792" s="165"/>
      <c r="O792" s="165"/>
      <c r="P792" s="165"/>
      <c r="Q792" s="165"/>
      <c r="R792" s="165"/>
      <c r="S792" s="165"/>
      <c r="T792" s="165"/>
      <c r="U792" s="165"/>
      <c r="V792" s="165"/>
      <c r="W792" s="165"/>
      <c r="X792" s="165"/>
    </row>
    <row r="793" ht="18.75" customHeight="1">
      <c r="A793" s="165">
        <v>791.0</v>
      </c>
      <c r="B793" s="165" t="s">
        <v>16260</v>
      </c>
      <c r="C793" s="165"/>
      <c r="D793" s="165"/>
      <c r="E793" s="165"/>
      <c r="F793" s="165"/>
      <c r="G793" s="165"/>
      <c r="H793" s="165"/>
      <c r="I793" s="165"/>
      <c r="J793" s="165"/>
      <c r="K793" s="165"/>
      <c r="L793" s="165"/>
      <c r="M793" s="165"/>
      <c r="N793" s="165"/>
      <c r="O793" s="165"/>
      <c r="P793" s="165"/>
      <c r="Q793" s="165"/>
      <c r="R793" s="165"/>
      <c r="S793" s="165"/>
      <c r="T793" s="165"/>
      <c r="U793" s="165"/>
      <c r="V793" s="165"/>
      <c r="W793" s="165"/>
      <c r="X793" s="165"/>
    </row>
    <row r="794" ht="18.75" customHeight="1">
      <c r="A794" s="165">
        <v>792.0</v>
      </c>
      <c r="B794" s="165" t="s">
        <v>16261</v>
      </c>
      <c r="C794" s="165"/>
      <c r="D794" s="165"/>
      <c r="E794" s="165"/>
      <c r="F794" s="165"/>
      <c r="G794" s="165"/>
      <c r="H794" s="165"/>
      <c r="I794" s="165"/>
      <c r="J794" s="165"/>
      <c r="K794" s="165"/>
      <c r="L794" s="165"/>
      <c r="M794" s="165"/>
      <c r="N794" s="165"/>
      <c r="O794" s="165"/>
      <c r="P794" s="165"/>
      <c r="Q794" s="165"/>
      <c r="R794" s="165"/>
      <c r="S794" s="165"/>
      <c r="T794" s="165"/>
      <c r="U794" s="165"/>
      <c r="V794" s="165"/>
      <c r="W794" s="165"/>
      <c r="X794" s="165"/>
    </row>
    <row r="795" ht="18.75" customHeight="1">
      <c r="A795" s="165">
        <v>793.0</v>
      </c>
      <c r="B795" s="167" t="s">
        <v>16262</v>
      </c>
      <c r="C795" s="165"/>
      <c r="D795" s="165"/>
      <c r="E795" s="165"/>
      <c r="F795" s="165"/>
      <c r="G795" s="165"/>
      <c r="H795" s="165"/>
      <c r="I795" s="165"/>
      <c r="J795" s="165"/>
      <c r="K795" s="165"/>
      <c r="L795" s="165"/>
      <c r="M795" s="165"/>
      <c r="N795" s="165"/>
      <c r="O795" s="165"/>
      <c r="P795" s="165"/>
      <c r="Q795" s="165"/>
      <c r="R795" s="165"/>
      <c r="S795" s="165"/>
      <c r="T795" s="165"/>
      <c r="U795" s="165"/>
      <c r="V795" s="165"/>
      <c r="W795" s="165"/>
      <c r="X795" s="165"/>
    </row>
    <row r="796" ht="18.75" customHeight="1">
      <c r="A796" s="165">
        <v>794.0</v>
      </c>
      <c r="B796" s="167" t="s">
        <v>16263</v>
      </c>
      <c r="C796" s="165"/>
      <c r="D796" s="165"/>
      <c r="E796" s="165"/>
      <c r="F796" s="165"/>
      <c r="G796" s="165"/>
      <c r="H796" s="165"/>
      <c r="I796" s="165"/>
      <c r="J796" s="165"/>
      <c r="K796" s="165"/>
      <c r="L796" s="165"/>
      <c r="M796" s="165"/>
      <c r="N796" s="165"/>
      <c r="O796" s="165"/>
      <c r="P796" s="165"/>
      <c r="Q796" s="165"/>
      <c r="R796" s="165"/>
      <c r="S796" s="165"/>
      <c r="T796" s="165"/>
      <c r="U796" s="165"/>
      <c r="V796" s="165"/>
      <c r="W796" s="165"/>
      <c r="X796" s="165"/>
    </row>
    <row r="797" ht="18.75" customHeight="1">
      <c r="A797" s="165">
        <v>795.0</v>
      </c>
      <c r="B797" s="165" t="s">
        <v>16264</v>
      </c>
      <c r="C797" s="165"/>
      <c r="D797" s="165"/>
      <c r="E797" s="165"/>
      <c r="F797" s="165"/>
      <c r="G797" s="165"/>
      <c r="H797" s="165"/>
      <c r="I797" s="165"/>
      <c r="J797" s="165"/>
      <c r="K797" s="165"/>
      <c r="L797" s="165"/>
      <c r="M797" s="165"/>
      <c r="N797" s="165"/>
      <c r="O797" s="165"/>
      <c r="P797" s="165"/>
      <c r="Q797" s="165"/>
      <c r="R797" s="165"/>
      <c r="S797" s="165"/>
      <c r="T797" s="165"/>
      <c r="U797" s="165"/>
      <c r="V797" s="165"/>
      <c r="W797" s="165"/>
      <c r="X797" s="165"/>
    </row>
    <row r="798" ht="18.75" customHeight="1">
      <c r="A798" s="165">
        <v>796.0</v>
      </c>
      <c r="B798" s="165" t="s">
        <v>16265</v>
      </c>
      <c r="C798" s="165"/>
      <c r="D798" s="165"/>
      <c r="E798" s="165"/>
      <c r="F798" s="165"/>
      <c r="G798" s="165"/>
      <c r="H798" s="165"/>
      <c r="I798" s="165"/>
      <c r="J798" s="165"/>
      <c r="K798" s="165"/>
      <c r="L798" s="165"/>
      <c r="M798" s="165"/>
      <c r="N798" s="165"/>
      <c r="O798" s="165"/>
      <c r="P798" s="165"/>
      <c r="Q798" s="165"/>
      <c r="R798" s="165"/>
      <c r="S798" s="165"/>
      <c r="T798" s="165"/>
      <c r="U798" s="165"/>
      <c r="V798" s="165"/>
      <c r="W798" s="165"/>
      <c r="X798" s="165"/>
    </row>
    <row r="799" ht="18.75" customHeight="1">
      <c r="A799" s="165">
        <v>797.0</v>
      </c>
      <c r="B799" s="165" t="s">
        <v>16266</v>
      </c>
      <c r="C799" s="165"/>
      <c r="D799" s="165"/>
      <c r="E799" s="165"/>
      <c r="F799" s="165"/>
      <c r="G799" s="165"/>
      <c r="H799" s="165"/>
      <c r="I799" s="165"/>
      <c r="J799" s="165"/>
      <c r="K799" s="165"/>
      <c r="L799" s="165"/>
      <c r="M799" s="165"/>
      <c r="N799" s="165"/>
      <c r="O799" s="165"/>
      <c r="P799" s="165"/>
      <c r="Q799" s="165"/>
      <c r="R799" s="165"/>
      <c r="S799" s="165"/>
      <c r="T799" s="165"/>
      <c r="U799" s="165"/>
      <c r="V799" s="165"/>
      <c r="W799" s="165"/>
      <c r="X799" s="165"/>
    </row>
    <row r="800" ht="18.75" customHeight="1">
      <c r="A800" s="165">
        <v>798.0</v>
      </c>
      <c r="B800" s="165" t="s">
        <v>16267</v>
      </c>
      <c r="C800" s="165"/>
      <c r="D800" s="165"/>
      <c r="E800" s="165"/>
      <c r="F800" s="165"/>
      <c r="G800" s="165"/>
      <c r="H800" s="165"/>
      <c r="I800" s="165"/>
      <c r="J800" s="165"/>
      <c r="K800" s="165"/>
      <c r="L800" s="165"/>
      <c r="M800" s="165"/>
      <c r="N800" s="165"/>
      <c r="O800" s="165"/>
      <c r="P800" s="165"/>
      <c r="Q800" s="165"/>
      <c r="R800" s="165"/>
      <c r="S800" s="165"/>
      <c r="T800" s="165"/>
      <c r="U800" s="165"/>
      <c r="V800" s="165"/>
      <c r="W800" s="165"/>
      <c r="X800" s="165"/>
    </row>
    <row r="801" ht="18.75" customHeight="1">
      <c r="A801" s="165">
        <v>799.0</v>
      </c>
      <c r="B801" s="165" t="s">
        <v>16268</v>
      </c>
      <c r="C801" s="165"/>
      <c r="D801" s="165"/>
      <c r="E801" s="165"/>
      <c r="F801" s="165"/>
      <c r="G801" s="165"/>
      <c r="H801" s="165"/>
      <c r="I801" s="165"/>
      <c r="J801" s="165"/>
      <c r="K801" s="165"/>
      <c r="L801" s="165"/>
      <c r="M801" s="165"/>
      <c r="N801" s="165"/>
      <c r="O801" s="165"/>
      <c r="P801" s="165"/>
      <c r="Q801" s="165"/>
      <c r="R801" s="165"/>
      <c r="S801" s="165"/>
      <c r="T801" s="165"/>
      <c r="U801" s="165"/>
      <c r="V801" s="165"/>
      <c r="W801" s="165"/>
      <c r="X801" s="165"/>
    </row>
    <row r="802" ht="18.75" customHeight="1">
      <c r="A802" s="165">
        <v>800.0</v>
      </c>
      <c r="B802" s="165" t="s">
        <v>16269</v>
      </c>
      <c r="C802" s="165"/>
      <c r="D802" s="165"/>
      <c r="E802" s="165"/>
      <c r="F802" s="165"/>
      <c r="G802" s="165"/>
      <c r="H802" s="165"/>
      <c r="I802" s="165"/>
      <c r="J802" s="165"/>
      <c r="K802" s="165"/>
      <c r="L802" s="165"/>
      <c r="M802" s="165"/>
      <c r="N802" s="165"/>
      <c r="O802" s="165"/>
      <c r="P802" s="165"/>
      <c r="Q802" s="165"/>
      <c r="R802" s="165"/>
      <c r="S802" s="165"/>
      <c r="T802" s="165"/>
      <c r="U802" s="165"/>
      <c r="V802" s="165"/>
      <c r="W802" s="165"/>
      <c r="X802" s="165"/>
    </row>
    <row r="803" ht="18.75" customHeight="1">
      <c r="A803" s="165">
        <v>801.0</v>
      </c>
      <c r="B803" s="165" t="s">
        <v>16270</v>
      </c>
      <c r="C803" s="165"/>
      <c r="D803" s="165"/>
      <c r="E803" s="165"/>
      <c r="F803" s="165"/>
      <c r="G803" s="165"/>
      <c r="H803" s="165"/>
      <c r="I803" s="165"/>
      <c r="J803" s="165"/>
      <c r="K803" s="165"/>
      <c r="L803" s="165"/>
      <c r="M803" s="165"/>
      <c r="N803" s="165"/>
      <c r="O803" s="165"/>
      <c r="P803" s="165"/>
      <c r="Q803" s="165"/>
      <c r="R803" s="165"/>
      <c r="S803" s="165"/>
      <c r="T803" s="165"/>
      <c r="U803" s="165"/>
      <c r="V803" s="165"/>
      <c r="W803" s="165"/>
      <c r="X803" s="165"/>
    </row>
    <row r="804" ht="18.75" customHeight="1">
      <c r="A804" s="165">
        <v>802.0</v>
      </c>
      <c r="B804" s="167" t="s">
        <v>16271</v>
      </c>
      <c r="C804" s="165"/>
      <c r="D804" s="165"/>
      <c r="E804" s="165"/>
      <c r="F804" s="165"/>
      <c r="G804" s="165"/>
      <c r="H804" s="165"/>
      <c r="I804" s="165"/>
      <c r="J804" s="165"/>
      <c r="K804" s="165"/>
      <c r="L804" s="165"/>
      <c r="M804" s="165"/>
      <c r="N804" s="165"/>
      <c r="O804" s="165"/>
      <c r="P804" s="165"/>
      <c r="Q804" s="165"/>
      <c r="R804" s="165"/>
      <c r="S804" s="165"/>
      <c r="T804" s="165"/>
      <c r="U804" s="165"/>
      <c r="V804" s="165"/>
      <c r="W804" s="165"/>
      <c r="X804" s="165"/>
    </row>
    <row r="805" ht="18.75" customHeight="1">
      <c r="A805" s="165">
        <v>803.0</v>
      </c>
      <c r="B805" s="165" t="s">
        <v>16272</v>
      </c>
      <c r="C805" s="165"/>
      <c r="D805" s="165"/>
      <c r="E805" s="165"/>
      <c r="F805" s="165"/>
      <c r="G805" s="165"/>
      <c r="H805" s="165"/>
      <c r="I805" s="165"/>
      <c r="J805" s="165"/>
      <c r="K805" s="165"/>
      <c r="L805" s="165"/>
      <c r="M805" s="165"/>
      <c r="N805" s="165"/>
      <c r="O805" s="165"/>
      <c r="P805" s="165"/>
      <c r="Q805" s="165"/>
      <c r="R805" s="165"/>
      <c r="S805" s="165"/>
      <c r="T805" s="165"/>
      <c r="U805" s="165"/>
      <c r="V805" s="165"/>
      <c r="W805" s="165"/>
      <c r="X805" s="165"/>
    </row>
    <row r="806" ht="18.75" customHeight="1">
      <c r="A806" s="165">
        <v>804.0</v>
      </c>
      <c r="B806" s="165" t="s">
        <v>16273</v>
      </c>
      <c r="C806" s="165"/>
      <c r="D806" s="165"/>
      <c r="E806" s="165"/>
      <c r="F806" s="165"/>
      <c r="G806" s="165"/>
      <c r="H806" s="165"/>
      <c r="I806" s="165"/>
      <c r="J806" s="165"/>
      <c r="K806" s="165"/>
      <c r="L806" s="165"/>
      <c r="M806" s="165"/>
      <c r="N806" s="165"/>
      <c r="O806" s="165"/>
      <c r="P806" s="165"/>
      <c r="Q806" s="165"/>
      <c r="R806" s="165"/>
      <c r="S806" s="165"/>
      <c r="T806" s="165"/>
      <c r="U806" s="165"/>
      <c r="V806" s="165"/>
      <c r="W806" s="165"/>
      <c r="X806" s="165"/>
    </row>
    <row r="807" ht="18.75" customHeight="1">
      <c r="A807" s="165">
        <v>805.0</v>
      </c>
      <c r="B807" s="167" t="s">
        <v>16274</v>
      </c>
      <c r="C807" s="165"/>
      <c r="D807" s="165"/>
      <c r="E807" s="165"/>
      <c r="F807" s="165"/>
      <c r="G807" s="165"/>
      <c r="H807" s="165"/>
      <c r="I807" s="165"/>
      <c r="J807" s="165"/>
      <c r="K807" s="165"/>
      <c r="L807" s="165"/>
      <c r="M807" s="165"/>
      <c r="N807" s="165"/>
      <c r="O807" s="165"/>
      <c r="P807" s="165"/>
      <c r="Q807" s="165"/>
      <c r="R807" s="165"/>
      <c r="S807" s="165"/>
      <c r="T807" s="165"/>
      <c r="U807" s="165"/>
      <c r="V807" s="165"/>
      <c r="W807" s="165"/>
      <c r="X807" s="165"/>
    </row>
    <row r="808" ht="18.75" customHeight="1">
      <c r="A808" s="165">
        <v>806.0</v>
      </c>
      <c r="B808" s="165" t="s">
        <v>16275</v>
      </c>
      <c r="C808" s="165"/>
      <c r="D808" s="165"/>
      <c r="E808" s="165"/>
      <c r="F808" s="165"/>
      <c r="G808" s="165"/>
      <c r="H808" s="165"/>
      <c r="I808" s="165"/>
      <c r="J808" s="165"/>
      <c r="K808" s="165"/>
      <c r="L808" s="165"/>
      <c r="M808" s="165"/>
      <c r="N808" s="165"/>
      <c r="O808" s="165"/>
      <c r="P808" s="165"/>
      <c r="Q808" s="165"/>
      <c r="R808" s="165"/>
      <c r="S808" s="165"/>
      <c r="T808" s="165"/>
      <c r="U808" s="165"/>
      <c r="V808" s="165"/>
      <c r="W808" s="165"/>
      <c r="X808" s="165"/>
    </row>
    <row r="809" ht="18.75" customHeight="1">
      <c r="A809" s="165">
        <v>807.0</v>
      </c>
      <c r="B809" s="165" t="s">
        <v>16276</v>
      </c>
      <c r="C809" s="165"/>
      <c r="D809" s="165"/>
      <c r="E809" s="165"/>
      <c r="F809" s="165"/>
      <c r="G809" s="165"/>
      <c r="H809" s="165"/>
      <c r="I809" s="165"/>
      <c r="J809" s="165"/>
      <c r="K809" s="165"/>
      <c r="L809" s="165"/>
      <c r="M809" s="165"/>
      <c r="N809" s="165"/>
      <c r="O809" s="165"/>
      <c r="P809" s="165"/>
      <c r="Q809" s="165"/>
      <c r="R809" s="165"/>
      <c r="S809" s="165"/>
      <c r="T809" s="165"/>
      <c r="U809" s="165"/>
      <c r="V809" s="165"/>
      <c r="W809" s="165"/>
      <c r="X809" s="165"/>
    </row>
    <row r="810" ht="18.75" customHeight="1">
      <c r="A810" s="165">
        <v>808.0</v>
      </c>
      <c r="B810" s="167" t="s">
        <v>16277</v>
      </c>
      <c r="C810" s="165"/>
      <c r="D810" s="165"/>
      <c r="E810" s="165"/>
      <c r="F810" s="165"/>
      <c r="G810" s="165"/>
      <c r="H810" s="165"/>
      <c r="I810" s="165"/>
      <c r="J810" s="165"/>
      <c r="K810" s="165"/>
      <c r="L810" s="165"/>
      <c r="M810" s="165"/>
      <c r="N810" s="165"/>
      <c r="O810" s="165"/>
      <c r="P810" s="165"/>
      <c r="Q810" s="165"/>
      <c r="R810" s="165"/>
      <c r="S810" s="165"/>
      <c r="T810" s="165"/>
      <c r="U810" s="165"/>
      <c r="V810" s="165"/>
      <c r="W810" s="165"/>
      <c r="X810" s="165"/>
    </row>
    <row r="811" ht="18.75" customHeight="1">
      <c r="A811" s="165">
        <v>809.0</v>
      </c>
      <c r="B811" s="165" t="s">
        <v>16278</v>
      </c>
      <c r="C811" s="165"/>
      <c r="D811" s="165"/>
      <c r="E811" s="165"/>
      <c r="F811" s="165"/>
      <c r="G811" s="165"/>
      <c r="H811" s="165"/>
      <c r="I811" s="165"/>
      <c r="J811" s="165"/>
      <c r="K811" s="165"/>
      <c r="L811" s="165"/>
      <c r="M811" s="165"/>
      <c r="N811" s="165"/>
      <c r="O811" s="165"/>
      <c r="P811" s="165"/>
      <c r="Q811" s="165"/>
      <c r="R811" s="165"/>
      <c r="S811" s="165"/>
      <c r="T811" s="165"/>
      <c r="U811" s="165"/>
      <c r="V811" s="165"/>
      <c r="W811" s="165"/>
      <c r="X811" s="165"/>
    </row>
    <row r="812" ht="18.75" customHeight="1">
      <c r="A812" s="165">
        <v>810.0</v>
      </c>
      <c r="B812" s="165" t="s">
        <v>16279</v>
      </c>
      <c r="C812" s="165"/>
      <c r="D812" s="165"/>
      <c r="E812" s="165"/>
      <c r="F812" s="165"/>
      <c r="G812" s="165"/>
      <c r="H812" s="165"/>
      <c r="I812" s="165"/>
      <c r="J812" s="165"/>
      <c r="K812" s="165"/>
      <c r="L812" s="165"/>
      <c r="M812" s="165"/>
      <c r="N812" s="165"/>
      <c r="O812" s="165"/>
      <c r="P812" s="165"/>
      <c r="Q812" s="165"/>
      <c r="R812" s="165"/>
      <c r="S812" s="165"/>
      <c r="T812" s="165"/>
      <c r="U812" s="165"/>
      <c r="V812" s="165"/>
      <c r="W812" s="165"/>
      <c r="X812" s="165"/>
    </row>
    <row r="813" ht="18.75" customHeight="1">
      <c r="A813" s="165">
        <v>811.0</v>
      </c>
      <c r="B813" s="165" t="s">
        <v>16280</v>
      </c>
      <c r="C813" s="165"/>
      <c r="D813" s="165"/>
      <c r="E813" s="165"/>
      <c r="F813" s="165"/>
      <c r="G813" s="165"/>
      <c r="H813" s="165"/>
      <c r="I813" s="165"/>
      <c r="J813" s="165"/>
      <c r="K813" s="165"/>
      <c r="L813" s="165"/>
      <c r="M813" s="165"/>
      <c r="N813" s="165"/>
      <c r="O813" s="165"/>
      <c r="P813" s="165"/>
      <c r="Q813" s="165"/>
      <c r="R813" s="165"/>
      <c r="S813" s="165"/>
      <c r="T813" s="165"/>
      <c r="U813" s="165"/>
      <c r="V813" s="165"/>
      <c r="W813" s="165"/>
      <c r="X813" s="165"/>
    </row>
    <row r="814" ht="18.75" customHeight="1">
      <c r="A814" s="165">
        <v>812.0</v>
      </c>
      <c r="B814" s="165" t="s">
        <v>16281</v>
      </c>
      <c r="C814" s="165"/>
      <c r="D814" s="165"/>
      <c r="E814" s="165"/>
      <c r="F814" s="165"/>
      <c r="G814" s="165"/>
      <c r="H814" s="165"/>
      <c r="I814" s="165"/>
      <c r="J814" s="165"/>
      <c r="K814" s="165"/>
      <c r="L814" s="165"/>
      <c r="M814" s="165"/>
      <c r="N814" s="165"/>
      <c r="O814" s="165"/>
      <c r="P814" s="165"/>
      <c r="Q814" s="165"/>
      <c r="R814" s="165"/>
      <c r="S814" s="165"/>
      <c r="T814" s="165"/>
      <c r="U814" s="165"/>
      <c r="V814" s="165"/>
      <c r="W814" s="165"/>
      <c r="X814" s="165"/>
    </row>
    <row r="815" ht="18.75" customHeight="1">
      <c r="A815" s="165">
        <v>813.0</v>
      </c>
      <c r="B815" s="165" t="s">
        <v>16282</v>
      </c>
      <c r="C815" s="165"/>
      <c r="D815" s="165"/>
      <c r="E815" s="165"/>
      <c r="F815" s="165"/>
      <c r="G815" s="165"/>
      <c r="H815" s="165"/>
      <c r="I815" s="165"/>
      <c r="J815" s="165"/>
      <c r="K815" s="165"/>
      <c r="L815" s="165"/>
      <c r="M815" s="165"/>
      <c r="N815" s="165"/>
      <c r="O815" s="165"/>
      <c r="P815" s="165"/>
      <c r="Q815" s="165"/>
      <c r="R815" s="165"/>
      <c r="S815" s="165"/>
      <c r="T815" s="165"/>
      <c r="U815" s="165"/>
      <c r="V815" s="165"/>
      <c r="W815" s="165"/>
      <c r="X815" s="165"/>
    </row>
    <row r="816" ht="18.75" customHeight="1">
      <c r="A816" s="165">
        <v>814.0</v>
      </c>
      <c r="B816" s="165" t="s">
        <v>16283</v>
      </c>
      <c r="C816" s="165"/>
      <c r="D816" s="165"/>
      <c r="E816" s="165"/>
      <c r="F816" s="165"/>
      <c r="G816" s="165"/>
      <c r="H816" s="165"/>
      <c r="I816" s="165"/>
      <c r="J816" s="165"/>
      <c r="K816" s="165"/>
      <c r="L816" s="165"/>
      <c r="M816" s="165"/>
      <c r="N816" s="165"/>
      <c r="O816" s="165"/>
      <c r="P816" s="165"/>
      <c r="Q816" s="165"/>
      <c r="R816" s="165"/>
      <c r="S816" s="165"/>
      <c r="T816" s="165"/>
      <c r="U816" s="165"/>
      <c r="V816" s="165"/>
      <c r="W816" s="165"/>
      <c r="X816" s="165"/>
    </row>
    <row r="817" ht="18.75" customHeight="1">
      <c r="A817" s="165">
        <v>815.0</v>
      </c>
      <c r="B817" s="165" t="s">
        <v>16284</v>
      </c>
      <c r="C817" s="165"/>
      <c r="D817" s="165"/>
      <c r="E817" s="165"/>
      <c r="F817" s="165"/>
      <c r="G817" s="165"/>
      <c r="H817" s="165"/>
      <c r="I817" s="165"/>
      <c r="J817" s="165"/>
      <c r="K817" s="165"/>
      <c r="L817" s="165"/>
      <c r="M817" s="165"/>
      <c r="N817" s="165"/>
      <c r="O817" s="165"/>
      <c r="P817" s="165"/>
      <c r="Q817" s="165"/>
      <c r="R817" s="165"/>
      <c r="S817" s="165"/>
      <c r="T817" s="165"/>
      <c r="U817" s="165"/>
      <c r="V817" s="165"/>
      <c r="W817" s="165"/>
      <c r="X817" s="165"/>
    </row>
    <row r="818" ht="18.75" customHeight="1">
      <c r="A818" s="165">
        <v>816.0</v>
      </c>
      <c r="B818" s="165" t="s">
        <v>16285</v>
      </c>
      <c r="C818" s="165"/>
      <c r="D818" s="165"/>
      <c r="E818" s="165"/>
      <c r="F818" s="165"/>
      <c r="G818" s="165"/>
      <c r="H818" s="165"/>
      <c r="I818" s="165"/>
      <c r="J818" s="165"/>
      <c r="K818" s="165"/>
      <c r="L818" s="165"/>
      <c r="M818" s="165"/>
      <c r="N818" s="165"/>
      <c r="O818" s="165"/>
      <c r="P818" s="165"/>
      <c r="Q818" s="165"/>
      <c r="R818" s="165"/>
      <c r="S818" s="165"/>
      <c r="T818" s="165"/>
      <c r="U818" s="165"/>
      <c r="V818" s="165"/>
      <c r="W818" s="165"/>
      <c r="X818" s="165"/>
    </row>
    <row r="819" ht="18.75" customHeight="1">
      <c r="A819" s="165">
        <v>817.0</v>
      </c>
      <c r="B819" s="165" t="s">
        <v>16286</v>
      </c>
      <c r="C819" s="165"/>
      <c r="D819" s="165"/>
      <c r="E819" s="165"/>
      <c r="F819" s="165"/>
      <c r="G819" s="165"/>
      <c r="H819" s="165"/>
      <c r="I819" s="165"/>
      <c r="J819" s="165"/>
      <c r="K819" s="165"/>
      <c r="L819" s="165"/>
      <c r="M819" s="165"/>
      <c r="N819" s="165"/>
      <c r="O819" s="165"/>
      <c r="P819" s="165"/>
      <c r="Q819" s="165"/>
      <c r="R819" s="165"/>
      <c r="S819" s="165"/>
      <c r="T819" s="165"/>
      <c r="U819" s="165"/>
      <c r="V819" s="165"/>
      <c r="W819" s="165"/>
      <c r="X819" s="165"/>
    </row>
    <row r="820" ht="18.75" customHeight="1">
      <c r="A820" s="165">
        <v>818.0</v>
      </c>
      <c r="B820" s="165" t="s">
        <v>16287</v>
      </c>
      <c r="C820" s="165"/>
      <c r="D820" s="165"/>
      <c r="E820" s="165"/>
      <c r="F820" s="165"/>
      <c r="G820" s="165"/>
      <c r="H820" s="165"/>
      <c r="I820" s="165"/>
      <c r="J820" s="165"/>
      <c r="K820" s="165"/>
      <c r="L820" s="165"/>
      <c r="M820" s="165"/>
      <c r="N820" s="165"/>
      <c r="O820" s="165"/>
      <c r="P820" s="165"/>
      <c r="Q820" s="165"/>
      <c r="R820" s="165"/>
      <c r="S820" s="165"/>
      <c r="T820" s="165"/>
      <c r="U820" s="165"/>
      <c r="V820" s="165"/>
      <c r="W820" s="165"/>
      <c r="X820" s="165"/>
    </row>
    <row r="821" ht="18.75" customHeight="1">
      <c r="A821" s="165">
        <v>819.0</v>
      </c>
      <c r="B821" s="165" t="s">
        <v>16288</v>
      </c>
      <c r="C821" s="165"/>
      <c r="D821" s="165"/>
      <c r="E821" s="165"/>
      <c r="F821" s="165"/>
      <c r="G821" s="165"/>
      <c r="H821" s="165"/>
      <c r="I821" s="165"/>
      <c r="J821" s="165"/>
      <c r="K821" s="165"/>
      <c r="L821" s="165"/>
      <c r="M821" s="165"/>
      <c r="N821" s="165"/>
      <c r="O821" s="165"/>
      <c r="P821" s="165"/>
      <c r="Q821" s="165"/>
      <c r="R821" s="165"/>
      <c r="S821" s="165"/>
      <c r="T821" s="165"/>
      <c r="U821" s="165"/>
      <c r="V821" s="165"/>
      <c r="W821" s="165"/>
      <c r="X821" s="165"/>
    </row>
    <row r="822" ht="18.75" customHeight="1">
      <c r="A822" s="165">
        <v>820.0</v>
      </c>
      <c r="B822" s="165" t="s">
        <v>16289</v>
      </c>
      <c r="C822" s="165"/>
      <c r="D822" s="165"/>
      <c r="E822" s="165"/>
      <c r="F822" s="165"/>
      <c r="G822" s="165"/>
      <c r="H822" s="165"/>
      <c r="I822" s="165"/>
      <c r="J822" s="165"/>
      <c r="K822" s="165"/>
      <c r="L822" s="165"/>
      <c r="M822" s="165"/>
      <c r="N822" s="165"/>
      <c r="O822" s="165"/>
      <c r="P822" s="165"/>
      <c r="Q822" s="165"/>
      <c r="R822" s="165"/>
      <c r="S822" s="165"/>
      <c r="T822" s="165"/>
      <c r="U822" s="165"/>
      <c r="V822" s="165"/>
      <c r="W822" s="165"/>
      <c r="X822" s="165"/>
    </row>
    <row r="823" ht="18.75" customHeight="1">
      <c r="A823" s="165">
        <v>821.0</v>
      </c>
      <c r="B823" s="165" t="s">
        <v>16290</v>
      </c>
      <c r="C823" s="165"/>
      <c r="D823" s="165"/>
      <c r="E823" s="165"/>
      <c r="F823" s="165"/>
      <c r="G823" s="165"/>
      <c r="H823" s="165"/>
      <c r="I823" s="165"/>
      <c r="J823" s="165"/>
      <c r="K823" s="165"/>
      <c r="L823" s="165"/>
      <c r="M823" s="165"/>
      <c r="N823" s="165"/>
      <c r="O823" s="165"/>
      <c r="P823" s="165"/>
      <c r="Q823" s="165"/>
      <c r="R823" s="165"/>
      <c r="S823" s="165"/>
      <c r="T823" s="165"/>
      <c r="U823" s="165"/>
      <c r="V823" s="165"/>
      <c r="W823" s="165"/>
      <c r="X823" s="165"/>
    </row>
    <row r="824" ht="18.75" customHeight="1">
      <c r="A824" s="165">
        <v>822.0</v>
      </c>
      <c r="B824" s="165" t="s">
        <v>16291</v>
      </c>
      <c r="C824" s="165"/>
      <c r="D824" s="165"/>
      <c r="E824" s="165"/>
      <c r="F824" s="165"/>
      <c r="G824" s="165"/>
      <c r="H824" s="165"/>
      <c r="I824" s="165"/>
      <c r="J824" s="165"/>
      <c r="K824" s="165"/>
      <c r="L824" s="165"/>
      <c r="M824" s="165"/>
      <c r="N824" s="165"/>
      <c r="O824" s="165"/>
      <c r="P824" s="165"/>
      <c r="Q824" s="165"/>
      <c r="R824" s="165"/>
      <c r="S824" s="165"/>
      <c r="T824" s="165"/>
      <c r="U824" s="165"/>
      <c r="V824" s="165"/>
      <c r="W824" s="165"/>
      <c r="X824" s="165"/>
    </row>
    <row r="825" ht="18.75" customHeight="1">
      <c r="A825" s="165">
        <v>823.0</v>
      </c>
      <c r="B825" s="165" t="s">
        <v>16292</v>
      </c>
      <c r="C825" s="165"/>
      <c r="D825" s="165"/>
      <c r="E825" s="165"/>
      <c r="F825" s="165"/>
      <c r="G825" s="165"/>
      <c r="H825" s="165"/>
      <c r="I825" s="165"/>
      <c r="J825" s="165"/>
      <c r="K825" s="165"/>
      <c r="L825" s="165"/>
      <c r="M825" s="165"/>
      <c r="N825" s="165"/>
      <c r="O825" s="165"/>
      <c r="P825" s="165"/>
      <c r="Q825" s="165"/>
      <c r="R825" s="165"/>
      <c r="S825" s="165"/>
      <c r="T825" s="165"/>
      <c r="U825" s="165"/>
      <c r="V825" s="165"/>
      <c r="W825" s="165"/>
      <c r="X825" s="165"/>
    </row>
    <row r="826" ht="18.75" customHeight="1">
      <c r="A826" s="165">
        <v>824.0</v>
      </c>
      <c r="B826" s="165" t="s">
        <v>16293</v>
      </c>
      <c r="C826" s="165"/>
      <c r="D826" s="165"/>
      <c r="E826" s="165"/>
      <c r="F826" s="165"/>
      <c r="G826" s="165"/>
      <c r="H826" s="165"/>
      <c r="I826" s="165"/>
      <c r="J826" s="165"/>
      <c r="K826" s="165"/>
      <c r="L826" s="165"/>
      <c r="M826" s="165"/>
      <c r="N826" s="165"/>
      <c r="O826" s="165"/>
      <c r="P826" s="165"/>
      <c r="Q826" s="165"/>
      <c r="R826" s="165"/>
      <c r="S826" s="165"/>
      <c r="T826" s="165"/>
      <c r="U826" s="165"/>
      <c r="V826" s="165"/>
      <c r="W826" s="165"/>
      <c r="X826" s="165"/>
    </row>
    <row r="827" ht="18.75" customHeight="1">
      <c r="A827" s="165">
        <v>825.0</v>
      </c>
      <c r="B827" s="165" t="s">
        <v>16294</v>
      </c>
      <c r="C827" s="165"/>
      <c r="D827" s="165"/>
      <c r="E827" s="165"/>
      <c r="F827" s="165"/>
      <c r="G827" s="165"/>
      <c r="H827" s="165"/>
      <c r="I827" s="165"/>
      <c r="J827" s="165"/>
      <c r="K827" s="165"/>
      <c r="L827" s="165"/>
      <c r="M827" s="165"/>
      <c r="N827" s="165"/>
      <c r="O827" s="165"/>
      <c r="P827" s="165"/>
      <c r="Q827" s="165"/>
      <c r="R827" s="165"/>
      <c r="S827" s="165"/>
      <c r="T827" s="165"/>
      <c r="U827" s="165"/>
      <c r="V827" s="165"/>
      <c r="W827" s="165"/>
      <c r="X827" s="165"/>
    </row>
    <row r="828" ht="18.75" customHeight="1">
      <c r="A828" s="165">
        <v>826.0</v>
      </c>
      <c r="B828" s="165" t="s">
        <v>16295</v>
      </c>
      <c r="C828" s="165"/>
      <c r="D828" s="165"/>
      <c r="E828" s="165"/>
      <c r="F828" s="165"/>
      <c r="G828" s="165"/>
      <c r="H828" s="165"/>
      <c r="I828" s="165"/>
      <c r="J828" s="165"/>
      <c r="K828" s="165"/>
      <c r="L828" s="165"/>
      <c r="M828" s="165"/>
      <c r="N828" s="165"/>
      <c r="O828" s="165"/>
      <c r="P828" s="165"/>
      <c r="Q828" s="165"/>
      <c r="R828" s="165"/>
      <c r="S828" s="165"/>
      <c r="T828" s="165"/>
      <c r="U828" s="165"/>
      <c r="V828" s="165"/>
      <c r="W828" s="165"/>
      <c r="X828" s="165"/>
    </row>
    <row r="829" ht="18.75" customHeight="1">
      <c r="A829" s="165">
        <v>827.0</v>
      </c>
      <c r="B829" s="167" t="s">
        <v>16296</v>
      </c>
      <c r="C829" s="165"/>
      <c r="D829" s="165"/>
      <c r="E829" s="165"/>
      <c r="F829" s="165"/>
      <c r="G829" s="165"/>
      <c r="H829" s="165"/>
      <c r="I829" s="165"/>
      <c r="J829" s="165"/>
      <c r="K829" s="165"/>
      <c r="L829" s="165"/>
      <c r="M829" s="165"/>
      <c r="N829" s="165"/>
      <c r="O829" s="165"/>
      <c r="P829" s="165"/>
      <c r="Q829" s="165"/>
      <c r="R829" s="165"/>
      <c r="S829" s="165"/>
      <c r="T829" s="165"/>
      <c r="U829" s="165"/>
      <c r="V829" s="165"/>
      <c r="W829" s="165"/>
      <c r="X829" s="165"/>
    </row>
    <row r="830" ht="18.75" customHeight="1">
      <c r="A830" s="165">
        <v>828.0</v>
      </c>
      <c r="B830" s="165" t="s">
        <v>16297</v>
      </c>
      <c r="C830" s="165"/>
      <c r="D830" s="165"/>
      <c r="E830" s="165"/>
      <c r="F830" s="165"/>
      <c r="G830" s="165"/>
      <c r="H830" s="165"/>
      <c r="I830" s="165"/>
      <c r="J830" s="165"/>
      <c r="K830" s="165"/>
      <c r="L830" s="165"/>
      <c r="M830" s="165"/>
      <c r="N830" s="165"/>
      <c r="O830" s="165"/>
      <c r="P830" s="165"/>
      <c r="Q830" s="165"/>
      <c r="R830" s="165"/>
      <c r="S830" s="165"/>
      <c r="T830" s="165"/>
      <c r="U830" s="165"/>
      <c r="V830" s="165"/>
      <c r="W830" s="165"/>
      <c r="X830" s="165"/>
    </row>
    <row r="831" ht="18.75" customHeight="1">
      <c r="A831" s="165">
        <v>829.0</v>
      </c>
      <c r="B831" s="165" t="s">
        <v>16298</v>
      </c>
      <c r="C831" s="165"/>
      <c r="D831" s="165"/>
      <c r="E831" s="165"/>
      <c r="F831" s="165"/>
      <c r="G831" s="165"/>
      <c r="H831" s="165"/>
      <c r="I831" s="165"/>
      <c r="J831" s="165"/>
      <c r="K831" s="165"/>
      <c r="L831" s="165"/>
      <c r="M831" s="165"/>
      <c r="N831" s="165"/>
      <c r="O831" s="165"/>
      <c r="P831" s="165"/>
      <c r="Q831" s="165"/>
      <c r="R831" s="165"/>
      <c r="S831" s="165"/>
      <c r="T831" s="165"/>
      <c r="U831" s="165"/>
      <c r="V831" s="165"/>
      <c r="W831" s="165"/>
      <c r="X831" s="165"/>
    </row>
    <row r="832" ht="18.75" customHeight="1">
      <c r="A832" s="165">
        <v>830.0</v>
      </c>
      <c r="B832" s="167" t="s">
        <v>16299</v>
      </c>
      <c r="C832" s="165"/>
      <c r="D832" s="165"/>
      <c r="E832" s="165"/>
      <c r="F832" s="165"/>
      <c r="G832" s="165"/>
      <c r="H832" s="165"/>
      <c r="I832" s="165"/>
      <c r="J832" s="165"/>
      <c r="K832" s="165"/>
      <c r="L832" s="165"/>
      <c r="M832" s="165"/>
      <c r="N832" s="165"/>
      <c r="O832" s="165"/>
      <c r="P832" s="165"/>
      <c r="Q832" s="165"/>
      <c r="R832" s="165"/>
      <c r="S832" s="165"/>
      <c r="T832" s="165"/>
      <c r="U832" s="165"/>
      <c r="V832" s="165"/>
      <c r="W832" s="165"/>
      <c r="X832" s="165"/>
    </row>
    <row r="833" ht="18.75" customHeight="1">
      <c r="A833" s="165">
        <v>831.0</v>
      </c>
      <c r="B833" s="167" t="s">
        <v>16300</v>
      </c>
      <c r="C833" s="165"/>
      <c r="D833" s="165"/>
      <c r="E833" s="165"/>
      <c r="F833" s="165"/>
      <c r="G833" s="165"/>
      <c r="H833" s="165"/>
      <c r="I833" s="165"/>
      <c r="J833" s="165"/>
      <c r="K833" s="165"/>
      <c r="L833" s="165"/>
      <c r="M833" s="165"/>
      <c r="N833" s="165"/>
      <c r="O833" s="165"/>
      <c r="P833" s="165"/>
      <c r="Q833" s="165"/>
      <c r="R833" s="165"/>
      <c r="S833" s="165"/>
      <c r="T833" s="165"/>
      <c r="U833" s="165"/>
      <c r="V833" s="165"/>
      <c r="W833" s="165"/>
      <c r="X833" s="165"/>
    </row>
    <row r="834" ht="18.75" customHeight="1">
      <c r="A834" s="165">
        <v>832.0</v>
      </c>
      <c r="B834" s="165" t="s">
        <v>16301</v>
      </c>
      <c r="C834" s="165"/>
      <c r="D834" s="165"/>
      <c r="E834" s="165"/>
      <c r="F834" s="165"/>
      <c r="G834" s="165"/>
      <c r="H834" s="165"/>
      <c r="I834" s="165"/>
      <c r="J834" s="165"/>
      <c r="K834" s="165"/>
      <c r="L834" s="165"/>
      <c r="M834" s="165"/>
      <c r="N834" s="165"/>
      <c r="O834" s="165"/>
      <c r="P834" s="165"/>
      <c r="Q834" s="165"/>
      <c r="R834" s="165"/>
      <c r="S834" s="165"/>
      <c r="T834" s="165"/>
      <c r="U834" s="165"/>
      <c r="V834" s="165"/>
      <c r="W834" s="165"/>
      <c r="X834" s="165"/>
    </row>
    <row r="835" ht="18.75" customHeight="1">
      <c r="A835" s="165">
        <v>833.0</v>
      </c>
      <c r="B835" s="167" t="s">
        <v>16302</v>
      </c>
      <c r="C835" s="165"/>
      <c r="D835" s="165"/>
      <c r="E835" s="165"/>
      <c r="F835" s="165"/>
      <c r="G835" s="165"/>
      <c r="H835" s="165"/>
      <c r="I835" s="165"/>
      <c r="J835" s="165"/>
      <c r="K835" s="165"/>
      <c r="L835" s="165"/>
      <c r="M835" s="165"/>
      <c r="N835" s="165"/>
      <c r="O835" s="165"/>
      <c r="P835" s="165"/>
      <c r="Q835" s="165"/>
      <c r="R835" s="165"/>
      <c r="S835" s="165"/>
      <c r="T835" s="165"/>
      <c r="U835" s="165"/>
      <c r="V835" s="165"/>
      <c r="W835" s="165"/>
      <c r="X835" s="165"/>
    </row>
    <row r="836" ht="18.75" customHeight="1">
      <c r="A836" s="165">
        <v>834.0</v>
      </c>
      <c r="B836" s="167" t="s">
        <v>16303</v>
      </c>
      <c r="C836" s="165"/>
      <c r="D836" s="165"/>
      <c r="E836" s="165"/>
      <c r="F836" s="165"/>
      <c r="G836" s="165"/>
      <c r="H836" s="165"/>
      <c r="I836" s="165"/>
      <c r="J836" s="165"/>
      <c r="K836" s="165"/>
      <c r="L836" s="165"/>
      <c r="M836" s="165"/>
      <c r="N836" s="165"/>
      <c r="O836" s="165"/>
      <c r="P836" s="165"/>
      <c r="Q836" s="165"/>
      <c r="R836" s="165"/>
      <c r="S836" s="165"/>
      <c r="T836" s="165"/>
      <c r="U836" s="165"/>
      <c r="V836" s="165"/>
      <c r="W836" s="165"/>
      <c r="X836" s="165"/>
    </row>
    <row r="837" ht="18.75" customHeight="1">
      <c r="A837" s="165">
        <v>835.0</v>
      </c>
      <c r="B837" s="165" t="s">
        <v>16304</v>
      </c>
      <c r="C837" s="165"/>
      <c r="D837" s="165"/>
      <c r="E837" s="165"/>
      <c r="F837" s="165"/>
      <c r="G837" s="165"/>
      <c r="H837" s="165"/>
      <c r="I837" s="165"/>
      <c r="J837" s="165"/>
      <c r="K837" s="165"/>
      <c r="L837" s="165"/>
      <c r="M837" s="165"/>
      <c r="N837" s="165"/>
      <c r="O837" s="165"/>
      <c r="P837" s="165"/>
      <c r="Q837" s="165"/>
      <c r="R837" s="165"/>
      <c r="S837" s="165"/>
      <c r="T837" s="165"/>
      <c r="U837" s="165"/>
      <c r="V837" s="165"/>
      <c r="W837" s="165"/>
      <c r="X837" s="165"/>
    </row>
    <row r="838" ht="18.75" customHeight="1">
      <c r="A838" s="165">
        <v>836.0</v>
      </c>
      <c r="B838" s="167" t="s">
        <v>16305</v>
      </c>
      <c r="C838" s="165"/>
      <c r="D838" s="165"/>
      <c r="E838" s="165"/>
      <c r="F838" s="165"/>
      <c r="G838" s="165"/>
      <c r="H838" s="165"/>
      <c r="I838" s="165"/>
      <c r="J838" s="165"/>
      <c r="K838" s="165"/>
      <c r="L838" s="165"/>
      <c r="M838" s="165"/>
      <c r="N838" s="165"/>
      <c r="O838" s="165"/>
      <c r="P838" s="165"/>
      <c r="Q838" s="165"/>
      <c r="R838" s="165"/>
      <c r="S838" s="165"/>
      <c r="T838" s="165"/>
      <c r="U838" s="165"/>
      <c r="V838" s="165"/>
      <c r="W838" s="165"/>
      <c r="X838" s="165"/>
    </row>
    <row r="839" ht="18.75" customHeight="1">
      <c r="A839" s="165">
        <v>837.0</v>
      </c>
      <c r="B839" s="167" t="s">
        <v>16306</v>
      </c>
      <c r="C839" s="165"/>
      <c r="D839" s="165"/>
      <c r="E839" s="165"/>
      <c r="F839" s="165"/>
      <c r="G839" s="165"/>
      <c r="H839" s="165"/>
      <c r="I839" s="165"/>
      <c r="J839" s="165"/>
      <c r="K839" s="165"/>
      <c r="L839" s="165"/>
      <c r="M839" s="165"/>
      <c r="N839" s="165"/>
      <c r="O839" s="165"/>
      <c r="P839" s="165"/>
      <c r="Q839" s="165"/>
      <c r="R839" s="165"/>
      <c r="S839" s="165"/>
      <c r="T839" s="165"/>
      <c r="U839" s="165"/>
      <c r="V839" s="165"/>
      <c r="W839" s="165"/>
      <c r="X839" s="165"/>
    </row>
    <row r="840" ht="18.75" customHeight="1">
      <c r="A840" s="165">
        <v>838.0</v>
      </c>
      <c r="B840" s="167" t="s">
        <v>16307</v>
      </c>
      <c r="C840" s="165"/>
      <c r="D840" s="165"/>
      <c r="E840" s="165"/>
      <c r="F840" s="165"/>
      <c r="G840" s="165"/>
      <c r="H840" s="165"/>
      <c r="I840" s="165"/>
      <c r="J840" s="165"/>
      <c r="K840" s="165"/>
      <c r="L840" s="165"/>
      <c r="M840" s="165"/>
      <c r="N840" s="165"/>
      <c r="O840" s="165"/>
      <c r="P840" s="165"/>
      <c r="Q840" s="165"/>
      <c r="R840" s="165"/>
      <c r="S840" s="165"/>
      <c r="T840" s="165"/>
      <c r="U840" s="165"/>
      <c r="V840" s="165"/>
      <c r="W840" s="165"/>
      <c r="X840" s="165"/>
    </row>
    <row r="841" ht="18.75" customHeight="1">
      <c r="A841" s="165">
        <v>839.0</v>
      </c>
      <c r="B841" s="167" t="s">
        <v>16308</v>
      </c>
      <c r="C841" s="165"/>
      <c r="D841" s="165"/>
      <c r="E841" s="165"/>
      <c r="F841" s="165"/>
      <c r="G841" s="165"/>
      <c r="H841" s="165"/>
      <c r="I841" s="165"/>
      <c r="J841" s="165"/>
      <c r="K841" s="165"/>
      <c r="L841" s="165"/>
      <c r="M841" s="165"/>
      <c r="N841" s="165"/>
      <c r="O841" s="165"/>
      <c r="P841" s="165"/>
      <c r="Q841" s="165"/>
      <c r="R841" s="165"/>
      <c r="S841" s="165"/>
      <c r="T841" s="165"/>
      <c r="U841" s="165"/>
      <c r="V841" s="165"/>
      <c r="W841" s="165"/>
      <c r="X841" s="165"/>
    </row>
    <row r="842" ht="18.75" customHeight="1">
      <c r="A842" s="165">
        <v>840.0</v>
      </c>
      <c r="B842" s="165" t="s">
        <v>16309</v>
      </c>
      <c r="C842" s="165"/>
      <c r="D842" s="165"/>
      <c r="E842" s="165"/>
      <c r="F842" s="165"/>
      <c r="G842" s="165"/>
      <c r="H842" s="165"/>
      <c r="I842" s="165"/>
      <c r="J842" s="165"/>
      <c r="K842" s="165"/>
      <c r="L842" s="165"/>
      <c r="M842" s="165"/>
      <c r="N842" s="165"/>
      <c r="O842" s="165"/>
      <c r="P842" s="165"/>
      <c r="Q842" s="165"/>
      <c r="R842" s="165"/>
      <c r="S842" s="165"/>
      <c r="T842" s="165"/>
      <c r="U842" s="165"/>
      <c r="V842" s="165"/>
      <c r="W842" s="165"/>
      <c r="X842" s="165"/>
    </row>
    <row r="843" ht="18.75" customHeight="1">
      <c r="A843" s="165">
        <v>841.0</v>
      </c>
      <c r="B843" s="165" t="s">
        <v>16310</v>
      </c>
      <c r="C843" s="165"/>
      <c r="D843" s="165"/>
      <c r="E843" s="165"/>
      <c r="F843" s="165"/>
      <c r="G843" s="165"/>
      <c r="H843" s="165"/>
      <c r="I843" s="165"/>
      <c r="J843" s="165"/>
      <c r="K843" s="165"/>
      <c r="L843" s="165"/>
      <c r="M843" s="165"/>
      <c r="N843" s="165"/>
      <c r="O843" s="165"/>
      <c r="P843" s="165"/>
      <c r="Q843" s="165"/>
      <c r="R843" s="165"/>
      <c r="S843" s="165"/>
      <c r="T843" s="165"/>
      <c r="U843" s="165"/>
      <c r="V843" s="165"/>
      <c r="W843" s="165"/>
      <c r="X843" s="165"/>
    </row>
    <row r="844" ht="18.75" customHeight="1">
      <c r="A844" s="165">
        <v>842.0</v>
      </c>
      <c r="B844" s="167" t="s">
        <v>16311</v>
      </c>
      <c r="C844" s="165"/>
      <c r="D844" s="165"/>
      <c r="E844" s="165"/>
      <c r="F844" s="165"/>
      <c r="G844" s="165"/>
      <c r="H844" s="165"/>
      <c r="I844" s="165"/>
      <c r="J844" s="165"/>
      <c r="K844" s="165"/>
      <c r="L844" s="165"/>
      <c r="M844" s="165"/>
      <c r="N844" s="165"/>
      <c r="O844" s="165"/>
      <c r="P844" s="165"/>
      <c r="Q844" s="165"/>
      <c r="R844" s="165"/>
      <c r="S844" s="165"/>
      <c r="T844" s="165"/>
      <c r="U844" s="165"/>
      <c r="V844" s="165"/>
      <c r="W844" s="165"/>
      <c r="X844" s="165"/>
    </row>
    <row r="845" ht="18.75" customHeight="1">
      <c r="A845" s="165">
        <v>843.0</v>
      </c>
      <c r="B845" s="165" t="s">
        <v>16312</v>
      </c>
      <c r="C845" s="165"/>
      <c r="D845" s="165"/>
      <c r="E845" s="165"/>
      <c r="F845" s="165"/>
      <c r="G845" s="165"/>
      <c r="H845" s="165"/>
      <c r="I845" s="165"/>
      <c r="J845" s="165"/>
      <c r="K845" s="165"/>
      <c r="L845" s="165"/>
      <c r="M845" s="165"/>
      <c r="N845" s="165"/>
      <c r="O845" s="165"/>
      <c r="P845" s="165"/>
      <c r="Q845" s="165"/>
      <c r="R845" s="165"/>
      <c r="S845" s="165"/>
      <c r="T845" s="165"/>
      <c r="U845" s="165"/>
      <c r="V845" s="165"/>
      <c r="W845" s="165"/>
      <c r="X845" s="165"/>
    </row>
    <row r="846" ht="18.75" customHeight="1">
      <c r="A846" s="165">
        <v>844.0</v>
      </c>
      <c r="B846" s="165" t="s">
        <v>16313</v>
      </c>
      <c r="C846" s="165"/>
      <c r="D846" s="165"/>
      <c r="E846" s="165"/>
      <c r="F846" s="165"/>
      <c r="G846" s="165"/>
      <c r="H846" s="165"/>
      <c r="I846" s="165"/>
      <c r="J846" s="165"/>
      <c r="K846" s="165"/>
      <c r="L846" s="165"/>
      <c r="M846" s="165"/>
      <c r="N846" s="165"/>
      <c r="O846" s="165"/>
      <c r="P846" s="165"/>
      <c r="Q846" s="165"/>
      <c r="R846" s="165"/>
      <c r="S846" s="165"/>
      <c r="T846" s="165"/>
      <c r="U846" s="165"/>
      <c r="V846" s="165"/>
      <c r="W846" s="165"/>
      <c r="X846" s="165"/>
    </row>
    <row r="847" ht="18.75" customHeight="1">
      <c r="A847" s="165">
        <v>845.0</v>
      </c>
      <c r="B847" s="165" t="s">
        <v>16314</v>
      </c>
      <c r="C847" s="165"/>
      <c r="D847" s="165"/>
      <c r="E847" s="165"/>
      <c r="F847" s="165"/>
      <c r="G847" s="165"/>
      <c r="H847" s="165"/>
      <c r="I847" s="165"/>
      <c r="J847" s="165"/>
      <c r="K847" s="165"/>
      <c r="L847" s="165"/>
      <c r="M847" s="165"/>
      <c r="N847" s="165"/>
      <c r="O847" s="165"/>
      <c r="P847" s="165"/>
      <c r="Q847" s="165"/>
      <c r="R847" s="165"/>
      <c r="S847" s="165"/>
      <c r="T847" s="165"/>
      <c r="U847" s="165"/>
      <c r="V847" s="165"/>
      <c r="W847" s="165"/>
      <c r="X847" s="165"/>
    </row>
    <row r="848" ht="18.75" customHeight="1">
      <c r="A848" s="165">
        <v>846.0</v>
      </c>
      <c r="B848" s="167" t="s">
        <v>16315</v>
      </c>
      <c r="C848" s="165"/>
      <c r="D848" s="165"/>
      <c r="E848" s="165"/>
      <c r="F848" s="165"/>
      <c r="G848" s="165"/>
      <c r="H848" s="165"/>
      <c r="I848" s="165"/>
      <c r="J848" s="165"/>
      <c r="K848" s="165"/>
      <c r="L848" s="165"/>
      <c r="M848" s="165"/>
      <c r="N848" s="165"/>
      <c r="O848" s="165"/>
      <c r="P848" s="165"/>
      <c r="Q848" s="165"/>
      <c r="R848" s="165"/>
      <c r="S848" s="165"/>
      <c r="T848" s="165"/>
      <c r="U848" s="165"/>
      <c r="V848" s="165"/>
      <c r="W848" s="165"/>
      <c r="X848" s="165"/>
    </row>
    <row r="849" ht="18.75" customHeight="1">
      <c r="A849" s="165">
        <v>847.0</v>
      </c>
      <c r="B849" s="165" t="s">
        <v>16316</v>
      </c>
      <c r="C849" s="165"/>
      <c r="D849" s="165"/>
      <c r="E849" s="165"/>
      <c r="F849" s="165"/>
      <c r="G849" s="165"/>
      <c r="H849" s="165"/>
      <c r="I849" s="165"/>
      <c r="J849" s="165"/>
      <c r="K849" s="165"/>
      <c r="L849" s="165"/>
      <c r="M849" s="165"/>
      <c r="N849" s="165"/>
      <c r="O849" s="165"/>
      <c r="P849" s="165"/>
      <c r="Q849" s="165"/>
      <c r="R849" s="165"/>
      <c r="S849" s="165"/>
      <c r="T849" s="165"/>
      <c r="U849" s="165"/>
      <c r="V849" s="165"/>
      <c r="W849" s="165"/>
      <c r="X849" s="165"/>
    </row>
    <row r="850" ht="18.75" customHeight="1">
      <c r="A850" s="165">
        <v>848.0</v>
      </c>
      <c r="B850" s="165" t="s">
        <v>16317</v>
      </c>
      <c r="C850" s="165"/>
      <c r="D850" s="165"/>
      <c r="E850" s="165"/>
      <c r="F850" s="165"/>
      <c r="G850" s="165"/>
      <c r="H850" s="165"/>
      <c r="I850" s="165"/>
      <c r="J850" s="165"/>
      <c r="K850" s="165"/>
      <c r="L850" s="165"/>
      <c r="M850" s="165"/>
      <c r="N850" s="165"/>
      <c r="O850" s="165"/>
      <c r="P850" s="165"/>
      <c r="Q850" s="165"/>
      <c r="R850" s="165"/>
      <c r="S850" s="165"/>
      <c r="T850" s="165"/>
      <c r="U850" s="165"/>
      <c r="V850" s="165"/>
      <c r="W850" s="165"/>
      <c r="X850" s="165"/>
    </row>
    <row r="851" ht="18.75" customHeight="1">
      <c r="A851" s="165">
        <v>849.0</v>
      </c>
      <c r="B851" s="165" t="s">
        <v>16318</v>
      </c>
      <c r="C851" s="165"/>
      <c r="D851" s="165"/>
      <c r="E851" s="165"/>
      <c r="F851" s="165"/>
      <c r="G851" s="165"/>
      <c r="H851" s="165"/>
      <c r="I851" s="165"/>
      <c r="J851" s="165"/>
      <c r="K851" s="165"/>
      <c r="L851" s="165"/>
      <c r="M851" s="165"/>
      <c r="N851" s="165"/>
      <c r="O851" s="165"/>
      <c r="P851" s="165"/>
      <c r="Q851" s="165"/>
      <c r="R851" s="165"/>
      <c r="S851" s="165"/>
      <c r="T851" s="165"/>
      <c r="U851" s="165"/>
      <c r="V851" s="165"/>
      <c r="W851" s="165"/>
      <c r="X851" s="165"/>
    </row>
    <row r="852" ht="18.75" customHeight="1">
      <c r="A852" s="165">
        <v>850.0</v>
      </c>
      <c r="B852" s="165" t="s">
        <v>16319</v>
      </c>
      <c r="C852" s="165"/>
      <c r="D852" s="165"/>
      <c r="E852" s="165"/>
      <c r="F852" s="165"/>
      <c r="G852" s="165"/>
      <c r="H852" s="165"/>
      <c r="I852" s="165"/>
      <c r="J852" s="165"/>
      <c r="K852" s="165"/>
      <c r="L852" s="165"/>
      <c r="M852" s="165"/>
      <c r="N852" s="165"/>
      <c r="O852" s="165"/>
      <c r="P852" s="165"/>
      <c r="Q852" s="165"/>
      <c r="R852" s="165"/>
      <c r="S852" s="165"/>
      <c r="T852" s="165"/>
      <c r="U852" s="165"/>
      <c r="V852" s="165"/>
      <c r="W852" s="165"/>
      <c r="X852" s="165"/>
    </row>
    <row r="853" ht="18.75" customHeight="1">
      <c r="A853" s="165">
        <v>851.0</v>
      </c>
      <c r="B853" s="165" t="s">
        <v>16320</v>
      </c>
      <c r="C853" s="165"/>
      <c r="D853" s="165"/>
      <c r="E853" s="165"/>
      <c r="F853" s="165"/>
      <c r="G853" s="165"/>
      <c r="H853" s="165"/>
      <c r="I853" s="165"/>
      <c r="J853" s="165"/>
      <c r="K853" s="165"/>
      <c r="L853" s="165"/>
      <c r="M853" s="165"/>
      <c r="N853" s="165"/>
      <c r="O853" s="165"/>
      <c r="P853" s="165"/>
      <c r="Q853" s="165"/>
      <c r="R853" s="165"/>
      <c r="S853" s="165"/>
      <c r="T853" s="165"/>
      <c r="U853" s="165"/>
      <c r="V853" s="165"/>
      <c r="W853" s="165"/>
      <c r="X853" s="165"/>
    </row>
    <row r="854" ht="18.75" customHeight="1">
      <c r="A854" s="165">
        <v>852.0</v>
      </c>
      <c r="B854" s="165" t="s">
        <v>16321</v>
      </c>
      <c r="C854" s="165"/>
      <c r="D854" s="165"/>
      <c r="E854" s="165"/>
      <c r="F854" s="165"/>
      <c r="G854" s="165"/>
      <c r="H854" s="165"/>
      <c r="I854" s="165"/>
      <c r="J854" s="165"/>
      <c r="K854" s="165"/>
      <c r="L854" s="165"/>
      <c r="M854" s="165"/>
      <c r="N854" s="165"/>
      <c r="O854" s="165"/>
      <c r="P854" s="165"/>
      <c r="Q854" s="165"/>
      <c r="R854" s="165"/>
      <c r="S854" s="165"/>
      <c r="T854" s="165"/>
      <c r="U854" s="165"/>
      <c r="V854" s="165"/>
      <c r="W854" s="165"/>
      <c r="X854" s="165"/>
    </row>
    <row r="855" ht="18.75" customHeight="1">
      <c r="A855" s="165">
        <v>853.0</v>
      </c>
      <c r="B855" s="167" t="s">
        <v>16309</v>
      </c>
      <c r="C855" s="165"/>
      <c r="D855" s="165"/>
      <c r="E855" s="165"/>
      <c r="F855" s="165"/>
      <c r="G855" s="165"/>
      <c r="H855" s="165"/>
      <c r="I855" s="165"/>
      <c r="J855" s="165"/>
      <c r="K855" s="165"/>
      <c r="L855" s="165"/>
      <c r="M855" s="165"/>
      <c r="N855" s="165"/>
      <c r="O855" s="165"/>
      <c r="P855" s="165"/>
      <c r="Q855" s="165"/>
      <c r="R855" s="165"/>
      <c r="S855" s="165"/>
      <c r="T855" s="165"/>
      <c r="U855" s="165"/>
      <c r="V855" s="165"/>
      <c r="W855" s="165"/>
      <c r="X855" s="165"/>
    </row>
    <row r="856" ht="18.75" customHeight="1">
      <c r="A856" s="165">
        <v>854.0</v>
      </c>
      <c r="B856" s="165" t="s">
        <v>16322</v>
      </c>
      <c r="C856" s="165"/>
      <c r="D856" s="165"/>
      <c r="E856" s="165"/>
      <c r="F856" s="165"/>
      <c r="G856" s="165"/>
      <c r="H856" s="165"/>
      <c r="I856" s="165"/>
      <c r="J856" s="165"/>
      <c r="K856" s="165"/>
      <c r="L856" s="165"/>
      <c r="M856" s="165"/>
      <c r="N856" s="165"/>
      <c r="O856" s="165"/>
      <c r="P856" s="165"/>
      <c r="Q856" s="165"/>
      <c r="R856" s="165"/>
      <c r="S856" s="165"/>
      <c r="T856" s="165"/>
      <c r="U856" s="165"/>
      <c r="V856" s="165"/>
      <c r="W856" s="165"/>
      <c r="X856" s="165"/>
    </row>
    <row r="857" ht="18.75" customHeight="1">
      <c r="A857" s="165">
        <v>855.0</v>
      </c>
      <c r="B857" s="165" t="s">
        <v>16323</v>
      </c>
      <c r="C857" s="165"/>
      <c r="D857" s="165"/>
      <c r="E857" s="165"/>
      <c r="F857" s="165"/>
      <c r="G857" s="165"/>
      <c r="H857" s="165"/>
      <c r="I857" s="165"/>
      <c r="J857" s="165"/>
      <c r="K857" s="165"/>
      <c r="L857" s="165"/>
      <c r="M857" s="165"/>
      <c r="N857" s="165"/>
      <c r="O857" s="165"/>
      <c r="P857" s="165"/>
      <c r="Q857" s="165"/>
      <c r="R857" s="165"/>
      <c r="S857" s="165"/>
      <c r="T857" s="165"/>
      <c r="U857" s="165"/>
      <c r="V857" s="165"/>
      <c r="W857" s="165"/>
      <c r="X857" s="165"/>
    </row>
    <row r="858" ht="18.75" customHeight="1">
      <c r="A858" s="165">
        <v>856.0</v>
      </c>
      <c r="B858" s="165" t="s">
        <v>16324</v>
      </c>
      <c r="C858" s="165"/>
      <c r="D858" s="165"/>
      <c r="E858" s="165"/>
      <c r="F858" s="165"/>
      <c r="G858" s="165"/>
      <c r="H858" s="165"/>
      <c r="I858" s="165"/>
      <c r="J858" s="165"/>
      <c r="K858" s="165"/>
      <c r="L858" s="165"/>
      <c r="M858" s="165"/>
      <c r="N858" s="165"/>
      <c r="O858" s="165"/>
      <c r="P858" s="165"/>
      <c r="Q858" s="165"/>
      <c r="R858" s="165"/>
      <c r="S858" s="165"/>
      <c r="T858" s="165"/>
      <c r="U858" s="165"/>
      <c r="V858" s="165"/>
      <c r="W858" s="165"/>
      <c r="X858" s="165"/>
    </row>
    <row r="859" ht="18.75" customHeight="1">
      <c r="A859" s="165">
        <v>857.0</v>
      </c>
      <c r="B859" s="167" t="s">
        <v>16325</v>
      </c>
      <c r="C859" s="165"/>
      <c r="D859" s="165"/>
      <c r="E859" s="165"/>
      <c r="F859" s="165"/>
      <c r="G859" s="165"/>
      <c r="H859" s="165"/>
      <c r="I859" s="165"/>
      <c r="J859" s="165"/>
      <c r="K859" s="165"/>
      <c r="L859" s="165"/>
      <c r="M859" s="165"/>
      <c r="N859" s="165"/>
      <c r="O859" s="165"/>
      <c r="P859" s="165"/>
      <c r="Q859" s="165"/>
      <c r="R859" s="165"/>
      <c r="S859" s="165"/>
      <c r="T859" s="165"/>
      <c r="U859" s="165"/>
      <c r="V859" s="165"/>
      <c r="W859" s="165"/>
      <c r="X859" s="165"/>
    </row>
    <row r="860" ht="18.75" customHeight="1">
      <c r="A860" s="165">
        <v>858.0</v>
      </c>
      <c r="B860" s="167" t="s">
        <v>16326</v>
      </c>
      <c r="C860" s="165"/>
      <c r="D860" s="165"/>
      <c r="E860" s="165"/>
      <c r="F860" s="165"/>
      <c r="G860" s="165"/>
      <c r="H860" s="165"/>
      <c r="I860" s="165"/>
      <c r="J860" s="165"/>
      <c r="K860" s="165"/>
      <c r="L860" s="165"/>
      <c r="M860" s="165"/>
      <c r="N860" s="165"/>
      <c r="O860" s="165"/>
      <c r="P860" s="165"/>
      <c r="Q860" s="165"/>
      <c r="R860" s="165"/>
      <c r="S860" s="165"/>
      <c r="T860" s="165"/>
      <c r="U860" s="165"/>
      <c r="V860" s="165"/>
      <c r="W860" s="165"/>
      <c r="X860" s="165"/>
    </row>
    <row r="861" ht="18.75" customHeight="1">
      <c r="A861" s="165">
        <v>859.0</v>
      </c>
      <c r="B861" s="167" t="s">
        <v>16327</v>
      </c>
      <c r="C861" s="165"/>
      <c r="D861" s="165"/>
      <c r="E861" s="165"/>
      <c r="F861" s="165"/>
      <c r="G861" s="165"/>
      <c r="H861" s="165"/>
      <c r="I861" s="165"/>
      <c r="J861" s="165"/>
      <c r="K861" s="165"/>
      <c r="L861" s="165"/>
      <c r="M861" s="165"/>
      <c r="N861" s="165"/>
      <c r="O861" s="165"/>
      <c r="P861" s="165"/>
      <c r="Q861" s="165"/>
      <c r="R861" s="165"/>
      <c r="S861" s="165"/>
      <c r="T861" s="165"/>
      <c r="U861" s="165"/>
      <c r="V861" s="165"/>
      <c r="W861" s="165"/>
      <c r="X861" s="165"/>
    </row>
    <row r="862" ht="18.75" customHeight="1">
      <c r="A862" s="165">
        <v>860.0</v>
      </c>
      <c r="B862" s="167" t="s">
        <v>16328</v>
      </c>
      <c r="C862" s="165"/>
      <c r="D862" s="165"/>
      <c r="E862" s="165"/>
      <c r="F862" s="165"/>
      <c r="G862" s="165"/>
      <c r="H862" s="165"/>
      <c r="I862" s="165"/>
      <c r="J862" s="165"/>
      <c r="K862" s="165"/>
      <c r="L862" s="165"/>
      <c r="M862" s="165"/>
      <c r="N862" s="165"/>
      <c r="O862" s="165"/>
      <c r="P862" s="165"/>
      <c r="Q862" s="165"/>
      <c r="R862" s="165"/>
      <c r="S862" s="165"/>
      <c r="T862" s="165"/>
      <c r="U862" s="165"/>
      <c r="V862" s="165"/>
      <c r="W862" s="165"/>
      <c r="X862" s="165"/>
    </row>
    <row r="863" ht="18.75" customHeight="1">
      <c r="A863" s="165">
        <v>861.0</v>
      </c>
      <c r="B863" s="167" t="s">
        <v>16329</v>
      </c>
      <c r="C863" s="165"/>
      <c r="D863" s="165"/>
      <c r="E863" s="165"/>
      <c r="F863" s="165"/>
      <c r="G863" s="165"/>
      <c r="H863" s="165"/>
      <c r="I863" s="165"/>
      <c r="J863" s="165"/>
      <c r="K863" s="165"/>
      <c r="L863" s="165"/>
      <c r="M863" s="165"/>
      <c r="N863" s="165"/>
      <c r="O863" s="165"/>
      <c r="P863" s="165"/>
      <c r="Q863" s="165"/>
      <c r="R863" s="165"/>
      <c r="S863" s="165"/>
      <c r="T863" s="165"/>
      <c r="U863" s="165"/>
      <c r="V863" s="165"/>
      <c r="W863" s="165"/>
      <c r="X863" s="165"/>
    </row>
    <row r="864" ht="18.75" customHeight="1">
      <c r="A864" s="165">
        <v>862.0</v>
      </c>
      <c r="B864" s="165" t="s">
        <v>16330</v>
      </c>
      <c r="C864" s="165"/>
      <c r="D864" s="165"/>
      <c r="E864" s="165"/>
      <c r="F864" s="165"/>
      <c r="G864" s="165"/>
      <c r="H864" s="165"/>
      <c r="I864" s="165"/>
      <c r="J864" s="165"/>
      <c r="K864" s="165"/>
      <c r="L864" s="165"/>
      <c r="M864" s="165"/>
      <c r="N864" s="165"/>
      <c r="O864" s="165"/>
      <c r="P864" s="165"/>
      <c r="Q864" s="165"/>
      <c r="R864" s="165"/>
      <c r="S864" s="165"/>
      <c r="T864" s="165"/>
      <c r="U864" s="165"/>
      <c r="V864" s="165"/>
      <c r="W864" s="165"/>
      <c r="X864" s="165"/>
    </row>
    <row r="865" ht="18.75" customHeight="1">
      <c r="A865" s="165">
        <v>863.0</v>
      </c>
      <c r="B865" s="167" t="s">
        <v>16331</v>
      </c>
      <c r="C865" s="165"/>
      <c r="D865" s="165"/>
      <c r="E865" s="165"/>
      <c r="F865" s="165"/>
      <c r="G865" s="165"/>
      <c r="H865" s="165"/>
      <c r="I865" s="165"/>
      <c r="J865" s="165"/>
      <c r="K865" s="165"/>
      <c r="L865" s="165"/>
      <c r="M865" s="165"/>
      <c r="N865" s="165"/>
      <c r="O865" s="165"/>
      <c r="P865" s="165"/>
      <c r="Q865" s="165"/>
      <c r="R865" s="165"/>
      <c r="S865" s="165"/>
      <c r="T865" s="165"/>
      <c r="U865" s="165"/>
      <c r="V865" s="165"/>
      <c r="W865" s="165"/>
      <c r="X865" s="165"/>
    </row>
    <row r="866" ht="18.75" customHeight="1">
      <c r="A866" s="165">
        <v>864.0</v>
      </c>
      <c r="B866" s="165" t="s">
        <v>16332</v>
      </c>
      <c r="C866" s="165"/>
      <c r="D866" s="165"/>
      <c r="E866" s="165"/>
      <c r="F866" s="165"/>
      <c r="G866" s="165"/>
      <c r="H866" s="165"/>
      <c r="I866" s="165"/>
      <c r="J866" s="165"/>
      <c r="K866" s="165"/>
      <c r="L866" s="165"/>
      <c r="M866" s="165"/>
      <c r="N866" s="165"/>
      <c r="O866" s="165"/>
      <c r="P866" s="165"/>
      <c r="Q866" s="165"/>
      <c r="R866" s="165"/>
      <c r="S866" s="165"/>
      <c r="T866" s="165"/>
      <c r="U866" s="165"/>
      <c r="V866" s="165"/>
      <c r="W866" s="165"/>
      <c r="X866" s="165"/>
    </row>
    <row r="867" ht="18.75" customHeight="1">
      <c r="A867" s="165">
        <v>865.0</v>
      </c>
      <c r="B867" s="165" t="s">
        <v>16333</v>
      </c>
      <c r="C867" s="165"/>
      <c r="D867" s="165"/>
      <c r="E867" s="165"/>
      <c r="F867" s="165"/>
      <c r="G867" s="165"/>
      <c r="H867" s="165"/>
      <c r="I867" s="165"/>
      <c r="J867" s="165"/>
      <c r="K867" s="165"/>
      <c r="L867" s="165"/>
      <c r="M867" s="165"/>
      <c r="N867" s="165"/>
      <c r="O867" s="165"/>
      <c r="P867" s="165"/>
      <c r="Q867" s="165"/>
      <c r="R867" s="165"/>
      <c r="S867" s="165"/>
      <c r="T867" s="165"/>
      <c r="U867" s="165"/>
      <c r="V867" s="165"/>
      <c r="W867" s="165"/>
      <c r="X867" s="165"/>
    </row>
    <row r="868" ht="18.75" customHeight="1">
      <c r="A868" s="165">
        <v>866.0</v>
      </c>
      <c r="B868" s="165" t="s">
        <v>16334</v>
      </c>
      <c r="C868" s="165"/>
      <c r="D868" s="165"/>
      <c r="E868" s="165"/>
      <c r="F868" s="165"/>
      <c r="G868" s="165"/>
      <c r="H868" s="165"/>
      <c r="I868" s="165"/>
      <c r="J868" s="165"/>
      <c r="K868" s="165"/>
      <c r="L868" s="165"/>
      <c r="M868" s="165"/>
      <c r="N868" s="165"/>
      <c r="O868" s="165"/>
      <c r="P868" s="165"/>
      <c r="Q868" s="165"/>
      <c r="R868" s="165"/>
      <c r="S868" s="165"/>
      <c r="T868" s="165"/>
      <c r="U868" s="165"/>
      <c r="V868" s="165"/>
      <c r="W868" s="165"/>
      <c r="X868" s="165"/>
    </row>
    <row r="869" ht="18.75" customHeight="1">
      <c r="A869" s="165">
        <v>867.0</v>
      </c>
      <c r="B869" s="165" t="s">
        <v>16335</v>
      </c>
      <c r="C869" s="165"/>
      <c r="D869" s="165"/>
      <c r="E869" s="165"/>
      <c r="F869" s="165"/>
      <c r="G869" s="165"/>
      <c r="H869" s="165"/>
      <c r="I869" s="165"/>
      <c r="J869" s="165"/>
      <c r="K869" s="165"/>
      <c r="L869" s="165"/>
      <c r="M869" s="165"/>
      <c r="N869" s="165"/>
      <c r="O869" s="165"/>
      <c r="P869" s="165"/>
      <c r="Q869" s="165"/>
      <c r="R869" s="165"/>
      <c r="S869" s="165"/>
      <c r="T869" s="165"/>
      <c r="U869" s="165"/>
      <c r="V869" s="165"/>
      <c r="W869" s="165"/>
      <c r="X869" s="165"/>
    </row>
    <row r="870" ht="18.75" customHeight="1">
      <c r="A870" s="165">
        <v>868.0</v>
      </c>
      <c r="B870" s="165" t="s">
        <v>16336</v>
      </c>
      <c r="C870" s="165"/>
      <c r="D870" s="165"/>
      <c r="E870" s="165"/>
      <c r="F870" s="165"/>
      <c r="G870" s="165"/>
      <c r="H870" s="165"/>
      <c r="I870" s="165"/>
      <c r="J870" s="165"/>
      <c r="K870" s="165"/>
      <c r="L870" s="165"/>
      <c r="M870" s="165"/>
      <c r="N870" s="165"/>
      <c r="O870" s="165"/>
      <c r="P870" s="165"/>
      <c r="Q870" s="165"/>
      <c r="R870" s="165"/>
      <c r="S870" s="165"/>
      <c r="T870" s="165"/>
      <c r="U870" s="165"/>
      <c r="V870" s="165"/>
      <c r="W870" s="165"/>
      <c r="X870" s="165"/>
    </row>
    <row r="871" ht="18.75" customHeight="1">
      <c r="A871" s="165">
        <v>869.0</v>
      </c>
      <c r="B871" s="165" t="s">
        <v>16337</v>
      </c>
      <c r="C871" s="165"/>
      <c r="D871" s="165"/>
      <c r="E871" s="165"/>
      <c r="F871" s="165"/>
      <c r="G871" s="165"/>
      <c r="H871" s="165"/>
      <c r="I871" s="165"/>
      <c r="J871" s="165"/>
      <c r="K871" s="165"/>
      <c r="L871" s="165"/>
      <c r="M871" s="165"/>
      <c r="N871" s="165"/>
      <c r="O871" s="165"/>
      <c r="P871" s="165"/>
      <c r="Q871" s="165"/>
      <c r="R871" s="165"/>
      <c r="S871" s="165"/>
      <c r="T871" s="165"/>
      <c r="U871" s="165"/>
      <c r="V871" s="165"/>
      <c r="W871" s="165"/>
      <c r="X871" s="165"/>
    </row>
    <row r="872" ht="18.75" customHeight="1">
      <c r="A872" s="165">
        <v>870.0</v>
      </c>
      <c r="B872" s="165" t="s">
        <v>16338</v>
      </c>
      <c r="C872" s="165"/>
      <c r="D872" s="165"/>
      <c r="E872" s="165"/>
      <c r="F872" s="165"/>
      <c r="G872" s="165"/>
      <c r="H872" s="165"/>
      <c r="I872" s="165"/>
      <c r="J872" s="165"/>
      <c r="K872" s="165"/>
      <c r="L872" s="165"/>
      <c r="M872" s="165"/>
      <c r="N872" s="165"/>
      <c r="O872" s="165"/>
      <c r="P872" s="165"/>
      <c r="Q872" s="165"/>
      <c r="R872" s="165"/>
      <c r="S872" s="165"/>
      <c r="T872" s="165"/>
      <c r="U872" s="165"/>
      <c r="V872" s="165"/>
      <c r="W872" s="165"/>
      <c r="X872" s="165"/>
    </row>
    <row r="873" ht="18.75" customHeight="1">
      <c r="A873" s="165">
        <v>871.0</v>
      </c>
      <c r="B873" s="165" t="s">
        <v>16339</v>
      </c>
      <c r="C873" s="165"/>
      <c r="D873" s="165"/>
      <c r="E873" s="165"/>
      <c r="F873" s="165"/>
      <c r="G873" s="165"/>
      <c r="H873" s="165"/>
      <c r="I873" s="165"/>
      <c r="J873" s="165"/>
      <c r="K873" s="165"/>
      <c r="L873" s="165"/>
      <c r="M873" s="165"/>
      <c r="N873" s="165"/>
      <c r="O873" s="165"/>
      <c r="P873" s="165"/>
      <c r="Q873" s="165"/>
      <c r="R873" s="165"/>
      <c r="S873" s="165"/>
      <c r="T873" s="165"/>
      <c r="U873" s="165"/>
      <c r="V873" s="165"/>
      <c r="W873" s="165"/>
      <c r="X873" s="165"/>
    </row>
    <row r="874" ht="18.75" customHeight="1">
      <c r="A874" s="165">
        <v>872.0</v>
      </c>
      <c r="B874" s="165" t="s">
        <v>16340</v>
      </c>
      <c r="C874" s="165"/>
      <c r="D874" s="165"/>
      <c r="E874" s="165"/>
      <c r="F874" s="165"/>
      <c r="G874" s="165"/>
      <c r="H874" s="165"/>
      <c r="I874" s="165"/>
      <c r="J874" s="165"/>
      <c r="K874" s="165"/>
      <c r="L874" s="165"/>
      <c r="M874" s="165"/>
      <c r="N874" s="165"/>
      <c r="O874" s="165"/>
      <c r="P874" s="165"/>
      <c r="Q874" s="165"/>
      <c r="R874" s="165"/>
      <c r="S874" s="165"/>
      <c r="T874" s="165"/>
      <c r="U874" s="165"/>
      <c r="V874" s="165"/>
      <c r="W874" s="165"/>
      <c r="X874" s="165"/>
    </row>
    <row r="875" ht="18.75" customHeight="1">
      <c r="A875" s="165">
        <v>873.0</v>
      </c>
      <c r="B875" s="167" t="s">
        <v>16341</v>
      </c>
      <c r="C875" s="165"/>
      <c r="D875" s="165"/>
      <c r="E875" s="165"/>
      <c r="F875" s="165"/>
      <c r="G875" s="165"/>
      <c r="H875" s="165"/>
      <c r="I875" s="165"/>
      <c r="J875" s="165"/>
      <c r="K875" s="165"/>
      <c r="L875" s="165"/>
      <c r="M875" s="165"/>
      <c r="N875" s="165"/>
      <c r="O875" s="165"/>
      <c r="P875" s="165"/>
      <c r="Q875" s="165"/>
      <c r="R875" s="165"/>
      <c r="S875" s="165"/>
      <c r="T875" s="165"/>
      <c r="U875" s="165"/>
      <c r="V875" s="165"/>
      <c r="W875" s="165"/>
      <c r="X875" s="165"/>
    </row>
    <row r="876" ht="18.75" customHeight="1">
      <c r="A876" s="165">
        <v>874.0</v>
      </c>
      <c r="B876" s="165" t="s">
        <v>16342</v>
      </c>
      <c r="C876" s="165"/>
      <c r="D876" s="165"/>
      <c r="E876" s="165"/>
      <c r="F876" s="165"/>
      <c r="G876" s="165"/>
      <c r="H876" s="165"/>
      <c r="I876" s="165"/>
      <c r="J876" s="165"/>
      <c r="K876" s="165"/>
      <c r="L876" s="165"/>
      <c r="M876" s="165"/>
      <c r="N876" s="165"/>
      <c r="O876" s="165"/>
      <c r="P876" s="165"/>
      <c r="Q876" s="165"/>
      <c r="R876" s="165"/>
      <c r="S876" s="165"/>
      <c r="T876" s="165"/>
      <c r="U876" s="165"/>
      <c r="V876" s="165"/>
      <c r="W876" s="165"/>
      <c r="X876" s="165"/>
    </row>
    <row r="877" ht="18.75" customHeight="1">
      <c r="A877" s="165">
        <v>875.0</v>
      </c>
      <c r="B877" s="165" t="s">
        <v>16343</v>
      </c>
      <c r="C877" s="165"/>
      <c r="D877" s="165"/>
      <c r="E877" s="165"/>
      <c r="F877" s="165"/>
      <c r="G877" s="165"/>
      <c r="H877" s="165"/>
      <c r="I877" s="165"/>
      <c r="J877" s="165"/>
      <c r="K877" s="165"/>
      <c r="L877" s="165"/>
      <c r="M877" s="165"/>
      <c r="N877" s="165"/>
      <c r="O877" s="165"/>
      <c r="P877" s="165"/>
      <c r="Q877" s="165"/>
      <c r="R877" s="165"/>
      <c r="S877" s="165"/>
      <c r="T877" s="165"/>
      <c r="U877" s="165"/>
      <c r="V877" s="165"/>
      <c r="W877" s="165"/>
      <c r="X877" s="165"/>
    </row>
    <row r="878" ht="18.75" customHeight="1">
      <c r="A878" s="165">
        <v>876.0</v>
      </c>
      <c r="B878" s="165" t="s">
        <v>16344</v>
      </c>
      <c r="C878" s="165"/>
      <c r="D878" s="165"/>
      <c r="E878" s="165"/>
      <c r="F878" s="165"/>
      <c r="G878" s="165"/>
      <c r="H878" s="165"/>
      <c r="I878" s="165"/>
      <c r="J878" s="165"/>
      <c r="K878" s="165"/>
      <c r="L878" s="165"/>
      <c r="M878" s="165"/>
      <c r="N878" s="165"/>
      <c r="O878" s="165"/>
      <c r="P878" s="165"/>
      <c r="Q878" s="165"/>
      <c r="R878" s="165"/>
      <c r="S878" s="165"/>
      <c r="T878" s="165"/>
      <c r="U878" s="165"/>
      <c r="V878" s="165"/>
      <c r="W878" s="165"/>
      <c r="X878" s="165"/>
    </row>
    <row r="879" ht="18.75" customHeight="1">
      <c r="A879" s="165">
        <v>877.0</v>
      </c>
      <c r="B879" s="165" t="s">
        <v>16345</v>
      </c>
      <c r="C879" s="165"/>
      <c r="D879" s="165"/>
      <c r="E879" s="165"/>
      <c r="F879" s="165"/>
      <c r="G879" s="165"/>
      <c r="H879" s="165"/>
      <c r="I879" s="165"/>
      <c r="J879" s="165"/>
      <c r="K879" s="165"/>
      <c r="L879" s="165"/>
      <c r="M879" s="165"/>
      <c r="N879" s="165"/>
      <c r="O879" s="165"/>
      <c r="P879" s="165"/>
      <c r="Q879" s="165"/>
      <c r="R879" s="165"/>
      <c r="S879" s="165"/>
      <c r="T879" s="165"/>
      <c r="U879" s="165"/>
      <c r="V879" s="165"/>
      <c r="W879" s="165"/>
      <c r="X879" s="165"/>
    </row>
    <row r="880" ht="18.75" customHeight="1">
      <c r="A880" s="165">
        <v>878.0</v>
      </c>
      <c r="B880" s="167" t="s">
        <v>16346</v>
      </c>
      <c r="C880" s="165"/>
      <c r="D880" s="165"/>
      <c r="E880" s="165"/>
      <c r="F880" s="165"/>
      <c r="G880" s="165"/>
      <c r="H880" s="165"/>
      <c r="I880" s="165"/>
      <c r="J880" s="165"/>
      <c r="K880" s="165"/>
      <c r="L880" s="165"/>
      <c r="M880" s="165"/>
      <c r="N880" s="165"/>
      <c r="O880" s="165"/>
      <c r="P880" s="165"/>
      <c r="Q880" s="165"/>
      <c r="R880" s="165"/>
      <c r="S880" s="165"/>
      <c r="T880" s="165"/>
      <c r="U880" s="165"/>
      <c r="V880" s="165"/>
      <c r="W880" s="165"/>
      <c r="X880" s="165"/>
    </row>
    <row r="881" ht="18.75" customHeight="1">
      <c r="A881" s="165">
        <v>879.0</v>
      </c>
      <c r="B881" s="165" t="s">
        <v>16347</v>
      </c>
      <c r="C881" s="165"/>
      <c r="D881" s="165"/>
      <c r="E881" s="165"/>
      <c r="F881" s="165"/>
      <c r="G881" s="165"/>
      <c r="H881" s="165"/>
      <c r="I881" s="165"/>
      <c r="J881" s="165"/>
      <c r="K881" s="165"/>
      <c r="L881" s="165"/>
      <c r="M881" s="165"/>
      <c r="N881" s="165"/>
      <c r="O881" s="165"/>
      <c r="P881" s="165"/>
      <c r="Q881" s="165"/>
      <c r="R881" s="165"/>
      <c r="S881" s="165"/>
      <c r="T881" s="165"/>
      <c r="U881" s="165"/>
      <c r="V881" s="165"/>
      <c r="W881" s="165"/>
      <c r="X881" s="165"/>
    </row>
    <row r="882" ht="18.75" customHeight="1">
      <c r="A882" s="165">
        <v>880.0</v>
      </c>
      <c r="B882" s="165" t="s">
        <v>16348</v>
      </c>
      <c r="C882" s="165"/>
      <c r="D882" s="165"/>
      <c r="E882" s="165"/>
      <c r="F882" s="165"/>
      <c r="G882" s="165"/>
      <c r="H882" s="165"/>
      <c r="I882" s="165"/>
      <c r="J882" s="165"/>
      <c r="K882" s="165"/>
      <c r="L882" s="165"/>
      <c r="M882" s="165"/>
      <c r="N882" s="165"/>
      <c r="O882" s="165"/>
      <c r="P882" s="165"/>
      <c r="Q882" s="165"/>
      <c r="R882" s="165"/>
      <c r="S882" s="165"/>
      <c r="T882" s="165"/>
      <c r="U882" s="165"/>
      <c r="V882" s="165"/>
      <c r="W882" s="165"/>
      <c r="X882" s="165"/>
    </row>
    <row r="883" ht="18.75" customHeight="1">
      <c r="A883" s="165">
        <v>881.0</v>
      </c>
      <c r="B883" s="167" t="s">
        <v>16349</v>
      </c>
      <c r="C883" s="165"/>
      <c r="D883" s="165"/>
      <c r="E883" s="165"/>
      <c r="F883" s="165"/>
      <c r="G883" s="165"/>
      <c r="H883" s="165"/>
      <c r="I883" s="165"/>
      <c r="J883" s="165"/>
      <c r="K883" s="165"/>
      <c r="L883" s="165"/>
      <c r="M883" s="165"/>
      <c r="N883" s="165"/>
      <c r="O883" s="165"/>
      <c r="P883" s="165"/>
      <c r="Q883" s="165"/>
      <c r="R883" s="165"/>
      <c r="S883" s="165"/>
      <c r="T883" s="165"/>
      <c r="U883" s="165"/>
      <c r="V883" s="165"/>
      <c r="W883" s="165"/>
      <c r="X883" s="165"/>
    </row>
    <row r="884" ht="18.75" customHeight="1">
      <c r="A884" s="165">
        <v>882.0</v>
      </c>
      <c r="B884" s="165" t="s">
        <v>16350</v>
      </c>
      <c r="C884" s="165"/>
      <c r="D884" s="165"/>
      <c r="E884" s="165"/>
      <c r="F884" s="165"/>
      <c r="G884" s="165"/>
      <c r="H884" s="165"/>
      <c r="I884" s="165"/>
      <c r="J884" s="165"/>
      <c r="K884" s="165"/>
      <c r="L884" s="165"/>
      <c r="M884" s="165"/>
      <c r="N884" s="165"/>
      <c r="O884" s="165"/>
      <c r="P884" s="165"/>
      <c r="Q884" s="165"/>
      <c r="R884" s="165"/>
      <c r="S884" s="165"/>
      <c r="T884" s="165"/>
      <c r="U884" s="165"/>
      <c r="V884" s="165"/>
      <c r="W884" s="165"/>
      <c r="X884" s="165"/>
    </row>
    <row r="885" ht="18.75" customHeight="1">
      <c r="A885" s="165">
        <v>883.0</v>
      </c>
      <c r="B885" s="165" t="s">
        <v>16351</v>
      </c>
      <c r="C885" s="165"/>
      <c r="D885" s="165"/>
      <c r="E885" s="165"/>
      <c r="F885" s="165"/>
      <c r="G885" s="165"/>
      <c r="H885" s="165"/>
      <c r="I885" s="165"/>
      <c r="J885" s="165"/>
      <c r="K885" s="165"/>
      <c r="L885" s="165"/>
      <c r="M885" s="165"/>
      <c r="N885" s="165"/>
      <c r="O885" s="165"/>
      <c r="P885" s="165"/>
      <c r="Q885" s="165"/>
      <c r="R885" s="165"/>
      <c r="S885" s="165"/>
      <c r="T885" s="165"/>
      <c r="U885" s="165"/>
      <c r="V885" s="165"/>
      <c r="W885" s="165"/>
      <c r="X885" s="165"/>
    </row>
    <row r="886" ht="18.75" customHeight="1">
      <c r="A886" s="165">
        <v>884.0</v>
      </c>
      <c r="B886" s="165" t="s">
        <v>16352</v>
      </c>
      <c r="C886" s="165"/>
      <c r="D886" s="165"/>
      <c r="E886" s="165"/>
      <c r="F886" s="165"/>
      <c r="G886" s="165"/>
      <c r="H886" s="165"/>
      <c r="I886" s="165"/>
      <c r="J886" s="165"/>
      <c r="K886" s="165"/>
      <c r="L886" s="165"/>
      <c r="M886" s="165"/>
      <c r="N886" s="165"/>
      <c r="O886" s="165"/>
      <c r="P886" s="165"/>
      <c r="Q886" s="165"/>
      <c r="R886" s="165"/>
      <c r="S886" s="165"/>
      <c r="T886" s="165"/>
      <c r="U886" s="165"/>
      <c r="V886" s="165"/>
      <c r="W886" s="165"/>
      <c r="X886" s="165"/>
    </row>
    <row r="887" ht="18.75" customHeight="1">
      <c r="A887" s="165">
        <v>885.0</v>
      </c>
      <c r="B887" s="167" t="s">
        <v>16353</v>
      </c>
      <c r="C887" s="165"/>
      <c r="D887" s="165"/>
      <c r="E887" s="165"/>
      <c r="F887" s="165"/>
      <c r="G887" s="165"/>
      <c r="H887" s="165"/>
      <c r="I887" s="165"/>
      <c r="J887" s="165"/>
      <c r="K887" s="165"/>
      <c r="L887" s="165"/>
      <c r="M887" s="165"/>
      <c r="N887" s="165"/>
      <c r="O887" s="165"/>
      <c r="P887" s="165"/>
      <c r="Q887" s="165"/>
      <c r="R887" s="165"/>
      <c r="S887" s="165"/>
      <c r="T887" s="165"/>
      <c r="U887" s="165"/>
      <c r="V887" s="165"/>
      <c r="W887" s="165"/>
      <c r="X887" s="165"/>
    </row>
    <row r="888" ht="18.75" customHeight="1">
      <c r="A888" s="165">
        <v>886.0</v>
      </c>
      <c r="B888" s="167" t="s">
        <v>16354</v>
      </c>
      <c r="C888" s="165"/>
      <c r="D888" s="165"/>
      <c r="E888" s="165"/>
      <c r="F888" s="165"/>
      <c r="G888" s="165"/>
      <c r="H888" s="165"/>
      <c r="I888" s="165"/>
      <c r="J888" s="165"/>
      <c r="K888" s="165"/>
      <c r="L888" s="165"/>
      <c r="M888" s="165"/>
      <c r="N888" s="165"/>
      <c r="O888" s="165"/>
      <c r="P888" s="165"/>
      <c r="Q888" s="165"/>
      <c r="R888" s="165"/>
      <c r="S888" s="165"/>
      <c r="T888" s="165"/>
      <c r="U888" s="165"/>
      <c r="V888" s="165"/>
      <c r="W888" s="165"/>
      <c r="X888" s="165"/>
    </row>
    <row r="889" ht="18.75" customHeight="1">
      <c r="A889" s="165">
        <v>887.0</v>
      </c>
      <c r="B889" s="165" t="s">
        <v>16355</v>
      </c>
      <c r="C889" s="165"/>
      <c r="D889" s="165"/>
      <c r="E889" s="165"/>
      <c r="F889" s="165"/>
      <c r="G889" s="165"/>
      <c r="H889" s="165"/>
      <c r="I889" s="165"/>
      <c r="J889" s="165"/>
      <c r="K889" s="165"/>
      <c r="L889" s="165"/>
      <c r="M889" s="165"/>
      <c r="N889" s="165"/>
      <c r="O889" s="165"/>
      <c r="P889" s="165"/>
      <c r="Q889" s="165"/>
      <c r="R889" s="165"/>
      <c r="S889" s="165"/>
      <c r="T889" s="165"/>
      <c r="U889" s="165"/>
      <c r="V889" s="165"/>
      <c r="W889" s="165"/>
      <c r="X889" s="165"/>
    </row>
    <row r="890" ht="18.75" customHeight="1">
      <c r="A890" s="165">
        <v>888.0</v>
      </c>
      <c r="B890" s="165" t="s">
        <v>16356</v>
      </c>
      <c r="C890" s="165"/>
      <c r="D890" s="165"/>
      <c r="E890" s="165"/>
      <c r="F890" s="165"/>
      <c r="G890" s="165"/>
      <c r="H890" s="165"/>
      <c r="I890" s="165"/>
      <c r="J890" s="165"/>
      <c r="K890" s="165"/>
      <c r="L890" s="165"/>
      <c r="M890" s="165"/>
      <c r="N890" s="165"/>
      <c r="O890" s="165"/>
      <c r="P890" s="165"/>
      <c r="Q890" s="165"/>
      <c r="R890" s="165"/>
      <c r="S890" s="165"/>
      <c r="T890" s="165"/>
      <c r="U890" s="165"/>
      <c r="V890" s="165"/>
      <c r="W890" s="165"/>
      <c r="X890" s="165"/>
    </row>
    <row r="891" ht="18.75" customHeight="1">
      <c r="A891" s="165">
        <v>889.0</v>
      </c>
      <c r="B891" s="167" t="s">
        <v>16357</v>
      </c>
      <c r="C891" s="165"/>
      <c r="D891" s="165"/>
      <c r="E891" s="165"/>
      <c r="F891" s="165"/>
      <c r="G891" s="165"/>
      <c r="H891" s="165"/>
      <c r="I891" s="165"/>
      <c r="J891" s="165"/>
      <c r="K891" s="165"/>
      <c r="L891" s="165"/>
      <c r="M891" s="165"/>
      <c r="N891" s="165"/>
      <c r="O891" s="165"/>
      <c r="P891" s="165"/>
      <c r="Q891" s="165"/>
      <c r="R891" s="165"/>
      <c r="S891" s="165"/>
      <c r="T891" s="165"/>
      <c r="U891" s="165"/>
      <c r="V891" s="165"/>
      <c r="W891" s="165"/>
      <c r="X891" s="165"/>
    </row>
    <row r="892" ht="18.75" customHeight="1">
      <c r="A892" s="165">
        <v>890.0</v>
      </c>
      <c r="B892" s="165" t="s">
        <v>16358</v>
      </c>
      <c r="C892" s="165"/>
      <c r="D892" s="165"/>
      <c r="E892" s="165"/>
      <c r="F892" s="165"/>
      <c r="G892" s="165"/>
      <c r="H892" s="165"/>
      <c r="I892" s="165"/>
      <c r="J892" s="165"/>
      <c r="K892" s="165"/>
      <c r="L892" s="165"/>
      <c r="M892" s="165"/>
      <c r="N892" s="165"/>
      <c r="O892" s="165"/>
      <c r="P892" s="165"/>
      <c r="Q892" s="165"/>
      <c r="R892" s="165"/>
      <c r="S892" s="165"/>
      <c r="T892" s="165"/>
      <c r="U892" s="165"/>
      <c r="V892" s="165"/>
      <c r="W892" s="165"/>
      <c r="X892" s="165"/>
    </row>
    <row r="893" ht="18.75" customHeight="1">
      <c r="A893" s="165">
        <v>891.0</v>
      </c>
      <c r="B893" s="165" t="s">
        <v>16359</v>
      </c>
      <c r="C893" s="165"/>
      <c r="D893" s="165"/>
      <c r="E893" s="165"/>
      <c r="F893" s="165"/>
      <c r="G893" s="165"/>
      <c r="H893" s="165"/>
      <c r="I893" s="165"/>
      <c r="J893" s="165"/>
      <c r="K893" s="165"/>
      <c r="L893" s="165"/>
      <c r="M893" s="165"/>
      <c r="N893" s="165"/>
      <c r="O893" s="165"/>
      <c r="P893" s="165"/>
      <c r="Q893" s="165"/>
      <c r="R893" s="165"/>
      <c r="S893" s="165"/>
      <c r="T893" s="165"/>
      <c r="U893" s="165"/>
      <c r="V893" s="165"/>
      <c r="W893" s="165"/>
      <c r="X893" s="165"/>
    </row>
    <row r="894" ht="18.75" customHeight="1">
      <c r="A894" s="165">
        <v>892.0</v>
      </c>
      <c r="B894" s="165" t="s">
        <v>16360</v>
      </c>
      <c r="C894" s="165"/>
      <c r="D894" s="165"/>
      <c r="E894" s="165"/>
      <c r="F894" s="165"/>
      <c r="G894" s="165"/>
      <c r="H894" s="165"/>
      <c r="I894" s="165"/>
      <c r="J894" s="165"/>
      <c r="K894" s="165"/>
      <c r="L894" s="165"/>
      <c r="M894" s="165"/>
      <c r="N894" s="165"/>
      <c r="O894" s="165"/>
      <c r="P894" s="165"/>
      <c r="Q894" s="165"/>
      <c r="R894" s="165"/>
      <c r="S894" s="165"/>
      <c r="T894" s="165"/>
      <c r="U894" s="165"/>
      <c r="V894" s="165"/>
      <c r="W894" s="165"/>
      <c r="X894" s="165"/>
    </row>
    <row r="895" ht="18.75" customHeight="1">
      <c r="A895" s="165">
        <v>893.0</v>
      </c>
      <c r="B895" s="165" t="s">
        <v>16361</v>
      </c>
      <c r="C895" s="165"/>
      <c r="D895" s="165"/>
      <c r="E895" s="165"/>
      <c r="F895" s="165"/>
      <c r="G895" s="165"/>
      <c r="H895" s="165"/>
      <c r="I895" s="165"/>
      <c r="J895" s="165"/>
      <c r="K895" s="165"/>
      <c r="L895" s="165"/>
      <c r="M895" s="165"/>
      <c r="N895" s="165"/>
      <c r="O895" s="165"/>
      <c r="P895" s="165"/>
      <c r="Q895" s="165"/>
      <c r="R895" s="165"/>
      <c r="S895" s="165"/>
      <c r="T895" s="165"/>
      <c r="U895" s="165"/>
      <c r="V895" s="165"/>
      <c r="W895" s="165"/>
      <c r="X895" s="165"/>
    </row>
    <row r="896" ht="18.75" customHeight="1">
      <c r="A896" s="165">
        <v>894.0</v>
      </c>
      <c r="B896" s="165" t="s">
        <v>16362</v>
      </c>
      <c r="C896" s="165"/>
      <c r="D896" s="165"/>
      <c r="E896" s="165"/>
      <c r="F896" s="165"/>
      <c r="G896" s="165"/>
      <c r="H896" s="165"/>
      <c r="I896" s="165"/>
      <c r="J896" s="165"/>
      <c r="K896" s="165"/>
      <c r="L896" s="165"/>
      <c r="M896" s="165"/>
      <c r="N896" s="165"/>
      <c r="O896" s="165"/>
      <c r="P896" s="165"/>
      <c r="Q896" s="165"/>
      <c r="R896" s="165"/>
      <c r="S896" s="165"/>
      <c r="T896" s="165"/>
      <c r="U896" s="165"/>
      <c r="V896" s="165"/>
      <c r="W896" s="165"/>
      <c r="X896" s="165"/>
    </row>
    <row r="897" ht="18.75" customHeight="1">
      <c r="A897" s="165">
        <v>895.0</v>
      </c>
      <c r="B897" s="167" t="s">
        <v>16363</v>
      </c>
      <c r="C897" s="165"/>
      <c r="D897" s="165"/>
      <c r="E897" s="165"/>
      <c r="F897" s="165"/>
      <c r="G897" s="165"/>
      <c r="H897" s="165"/>
      <c r="I897" s="165"/>
      <c r="J897" s="165"/>
      <c r="K897" s="165"/>
      <c r="L897" s="165"/>
      <c r="M897" s="165"/>
      <c r="N897" s="165"/>
      <c r="O897" s="165"/>
      <c r="P897" s="165"/>
      <c r="Q897" s="165"/>
      <c r="R897" s="165"/>
      <c r="S897" s="165"/>
      <c r="T897" s="165"/>
      <c r="U897" s="165"/>
      <c r="V897" s="165"/>
      <c r="W897" s="165"/>
      <c r="X897" s="165"/>
    </row>
    <row r="898" ht="18.75" customHeight="1">
      <c r="A898" s="165">
        <v>896.0</v>
      </c>
      <c r="B898" s="165" t="s">
        <v>16364</v>
      </c>
      <c r="C898" s="165"/>
      <c r="D898" s="165"/>
      <c r="E898" s="165"/>
      <c r="F898" s="165"/>
      <c r="G898" s="165"/>
      <c r="H898" s="165"/>
      <c r="I898" s="165"/>
      <c r="J898" s="165"/>
      <c r="K898" s="165"/>
      <c r="L898" s="165"/>
      <c r="M898" s="165"/>
      <c r="N898" s="165"/>
      <c r="O898" s="165"/>
      <c r="P898" s="165"/>
      <c r="Q898" s="165"/>
      <c r="R898" s="165"/>
      <c r="S898" s="165"/>
      <c r="T898" s="165"/>
      <c r="U898" s="165"/>
      <c r="V898" s="165"/>
      <c r="W898" s="165"/>
      <c r="X898" s="165"/>
    </row>
    <row r="899" ht="18.75" customHeight="1">
      <c r="A899" s="165">
        <v>897.0</v>
      </c>
      <c r="B899" s="165" t="s">
        <v>16365</v>
      </c>
      <c r="C899" s="165"/>
      <c r="D899" s="165"/>
      <c r="E899" s="165"/>
      <c r="F899" s="165"/>
      <c r="G899" s="165"/>
      <c r="H899" s="165"/>
      <c r="I899" s="165"/>
      <c r="J899" s="165"/>
      <c r="K899" s="165"/>
      <c r="L899" s="165"/>
      <c r="M899" s="165"/>
      <c r="N899" s="165"/>
      <c r="O899" s="165"/>
      <c r="P899" s="165"/>
      <c r="Q899" s="165"/>
      <c r="R899" s="165"/>
      <c r="S899" s="165"/>
      <c r="T899" s="165"/>
      <c r="U899" s="165"/>
      <c r="V899" s="165"/>
      <c r="W899" s="165"/>
      <c r="X899" s="165"/>
    </row>
    <row r="900" ht="18.75" customHeight="1">
      <c r="A900" s="165">
        <v>898.0</v>
      </c>
      <c r="B900" s="167" t="s">
        <v>16366</v>
      </c>
      <c r="C900" s="165"/>
      <c r="D900" s="165"/>
      <c r="E900" s="165"/>
      <c r="F900" s="165"/>
      <c r="G900" s="165"/>
      <c r="H900" s="165"/>
      <c r="I900" s="165"/>
      <c r="J900" s="165"/>
      <c r="K900" s="165"/>
      <c r="L900" s="165"/>
      <c r="M900" s="165"/>
      <c r="N900" s="165"/>
      <c r="O900" s="165"/>
      <c r="P900" s="165"/>
      <c r="Q900" s="165"/>
      <c r="R900" s="165"/>
      <c r="S900" s="165"/>
      <c r="T900" s="165"/>
      <c r="U900" s="165"/>
      <c r="V900" s="165"/>
      <c r="W900" s="165"/>
      <c r="X900" s="165"/>
    </row>
    <row r="901" ht="18.75" customHeight="1">
      <c r="A901" s="165">
        <v>899.0</v>
      </c>
      <c r="B901" s="165" t="s">
        <v>16367</v>
      </c>
      <c r="C901" s="165"/>
      <c r="D901" s="165"/>
      <c r="E901" s="165"/>
      <c r="F901" s="165"/>
      <c r="G901" s="165"/>
      <c r="H901" s="165"/>
      <c r="I901" s="165"/>
      <c r="J901" s="165"/>
      <c r="K901" s="165"/>
      <c r="L901" s="165"/>
      <c r="M901" s="165"/>
      <c r="N901" s="165"/>
      <c r="O901" s="165"/>
      <c r="P901" s="165"/>
      <c r="Q901" s="165"/>
      <c r="R901" s="165"/>
      <c r="S901" s="165"/>
      <c r="T901" s="165"/>
      <c r="U901" s="165"/>
      <c r="V901" s="165"/>
      <c r="W901" s="165"/>
      <c r="X901" s="165"/>
    </row>
    <row r="902" ht="18.75" customHeight="1">
      <c r="A902" s="165">
        <v>900.0</v>
      </c>
      <c r="B902" s="165" t="s">
        <v>16368</v>
      </c>
      <c r="C902" s="165"/>
      <c r="D902" s="165"/>
      <c r="E902" s="165"/>
      <c r="F902" s="165"/>
      <c r="G902" s="165"/>
      <c r="H902" s="165"/>
      <c r="I902" s="165"/>
      <c r="J902" s="165"/>
      <c r="K902" s="165"/>
      <c r="L902" s="165"/>
      <c r="M902" s="165"/>
      <c r="N902" s="165"/>
      <c r="O902" s="165"/>
      <c r="P902" s="165"/>
      <c r="Q902" s="165"/>
      <c r="R902" s="165"/>
      <c r="S902" s="165"/>
      <c r="T902" s="165"/>
      <c r="U902" s="165"/>
      <c r="V902" s="165"/>
      <c r="W902" s="165"/>
      <c r="X902" s="165"/>
    </row>
    <row r="903" ht="18.75" customHeight="1">
      <c r="A903" s="165">
        <v>901.0</v>
      </c>
      <c r="B903" s="167" t="s">
        <v>16369</v>
      </c>
      <c r="C903" s="165"/>
      <c r="D903" s="165"/>
      <c r="E903" s="165"/>
      <c r="F903" s="165"/>
      <c r="G903" s="165"/>
      <c r="H903" s="165"/>
      <c r="I903" s="165"/>
      <c r="J903" s="165"/>
      <c r="K903" s="165"/>
      <c r="L903" s="165"/>
      <c r="M903" s="165"/>
      <c r="N903" s="165"/>
      <c r="O903" s="165"/>
      <c r="P903" s="165"/>
      <c r="Q903" s="165"/>
      <c r="R903" s="165"/>
      <c r="S903" s="165"/>
      <c r="T903" s="165"/>
      <c r="U903" s="165"/>
      <c r="V903" s="165"/>
      <c r="W903" s="165"/>
      <c r="X903" s="165"/>
    </row>
    <row r="904" ht="18.75" customHeight="1">
      <c r="A904" s="165">
        <v>902.0</v>
      </c>
      <c r="B904" s="167" t="s">
        <v>16370</v>
      </c>
      <c r="C904" s="165"/>
      <c r="D904" s="165"/>
      <c r="E904" s="165"/>
      <c r="F904" s="165"/>
      <c r="G904" s="165"/>
      <c r="H904" s="165"/>
      <c r="I904" s="165"/>
      <c r="J904" s="165"/>
      <c r="K904" s="165"/>
      <c r="L904" s="165"/>
      <c r="M904" s="165"/>
      <c r="N904" s="165"/>
      <c r="O904" s="165"/>
      <c r="P904" s="165"/>
      <c r="Q904" s="165"/>
      <c r="R904" s="165"/>
      <c r="S904" s="165"/>
      <c r="T904" s="165"/>
      <c r="U904" s="165"/>
      <c r="V904" s="165"/>
      <c r="W904" s="165"/>
      <c r="X904" s="165"/>
    </row>
    <row r="905" ht="18.75" customHeight="1">
      <c r="A905" s="165">
        <v>903.0</v>
      </c>
      <c r="B905" s="167" t="s">
        <v>16371</v>
      </c>
      <c r="C905" s="165"/>
      <c r="D905" s="165"/>
      <c r="E905" s="165"/>
      <c r="F905" s="165"/>
      <c r="G905" s="165"/>
      <c r="H905" s="165"/>
      <c r="I905" s="165"/>
      <c r="J905" s="165"/>
      <c r="K905" s="165"/>
      <c r="L905" s="165"/>
      <c r="M905" s="165"/>
      <c r="N905" s="165"/>
      <c r="O905" s="165"/>
      <c r="P905" s="165"/>
      <c r="Q905" s="165"/>
      <c r="R905" s="165"/>
      <c r="S905" s="165"/>
      <c r="T905" s="165"/>
      <c r="U905" s="165"/>
      <c r="V905" s="165"/>
      <c r="W905" s="165"/>
      <c r="X905" s="165"/>
    </row>
    <row r="906" ht="18.75" customHeight="1">
      <c r="A906" s="165">
        <v>904.0</v>
      </c>
      <c r="B906" s="165" t="s">
        <v>16372</v>
      </c>
      <c r="C906" s="165"/>
      <c r="D906" s="165"/>
      <c r="E906" s="165"/>
      <c r="F906" s="165"/>
      <c r="G906" s="165"/>
      <c r="H906" s="165"/>
      <c r="I906" s="165"/>
      <c r="J906" s="165"/>
      <c r="K906" s="165"/>
      <c r="L906" s="165"/>
      <c r="M906" s="165"/>
      <c r="N906" s="165"/>
      <c r="O906" s="165"/>
      <c r="P906" s="165"/>
      <c r="Q906" s="165"/>
      <c r="R906" s="165"/>
      <c r="S906" s="165"/>
      <c r="T906" s="165"/>
      <c r="U906" s="165"/>
      <c r="V906" s="165"/>
      <c r="W906" s="165"/>
      <c r="X906" s="165"/>
    </row>
    <row r="907" ht="18.75" customHeight="1">
      <c r="A907" s="165">
        <v>905.0</v>
      </c>
      <c r="B907" s="167" t="s">
        <v>16373</v>
      </c>
      <c r="C907" s="165"/>
      <c r="D907" s="165"/>
      <c r="E907" s="165"/>
      <c r="F907" s="165"/>
      <c r="G907" s="165"/>
      <c r="H907" s="165"/>
      <c r="I907" s="165"/>
      <c r="J907" s="165"/>
      <c r="K907" s="165"/>
      <c r="L907" s="165"/>
      <c r="M907" s="165"/>
      <c r="N907" s="165"/>
      <c r="O907" s="165"/>
      <c r="P907" s="165"/>
      <c r="Q907" s="165"/>
      <c r="R907" s="165"/>
      <c r="S907" s="165"/>
      <c r="T907" s="165"/>
      <c r="U907" s="165"/>
      <c r="V907" s="165"/>
      <c r="W907" s="165"/>
      <c r="X907" s="165"/>
    </row>
    <row r="908" ht="18.75" customHeight="1">
      <c r="A908" s="165">
        <v>906.0</v>
      </c>
      <c r="B908" s="167" t="s">
        <v>16374</v>
      </c>
      <c r="C908" s="165"/>
      <c r="D908" s="165"/>
      <c r="E908" s="165"/>
      <c r="F908" s="165"/>
      <c r="G908" s="165"/>
      <c r="H908" s="165"/>
      <c r="I908" s="165"/>
      <c r="J908" s="165"/>
      <c r="K908" s="165"/>
      <c r="L908" s="165"/>
      <c r="M908" s="165"/>
      <c r="N908" s="165"/>
      <c r="O908" s="165"/>
      <c r="P908" s="165"/>
      <c r="Q908" s="165"/>
      <c r="R908" s="165"/>
      <c r="S908" s="165"/>
      <c r="T908" s="165"/>
      <c r="U908" s="165"/>
      <c r="V908" s="165"/>
      <c r="W908" s="165"/>
      <c r="X908" s="165"/>
    </row>
    <row r="909" ht="18.75" customHeight="1">
      <c r="A909" s="165">
        <v>907.0</v>
      </c>
      <c r="B909" s="165" t="s">
        <v>16375</v>
      </c>
      <c r="C909" s="165"/>
      <c r="D909" s="165"/>
      <c r="E909" s="165"/>
      <c r="F909" s="165"/>
      <c r="G909" s="165"/>
      <c r="H909" s="165"/>
      <c r="I909" s="165"/>
      <c r="J909" s="165"/>
      <c r="K909" s="165"/>
      <c r="L909" s="165"/>
      <c r="M909" s="165"/>
      <c r="N909" s="165"/>
      <c r="O909" s="165"/>
      <c r="P909" s="165"/>
      <c r="Q909" s="165"/>
      <c r="R909" s="165"/>
      <c r="S909" s="165"/>
      <c r="T909" s="165"/>
      <c r="U909" s="165"/>
      <c r="V909" s="165"/>
      <c r="W909" s="165"/>
      <c r="X909" s="165"/>
    </row>
    <row r="910" ht="18.75" customHeight="1">
      <c r="A910" s="165">
        <v>908.0</v>
      </c>
      <c r="B910" s="165" t="s">
        <v>16376</v>
      </c>
      <c r="C910" s="165"/>
      <c r="D910" s="165"/>
      <c r="E910" s="165"/>
      <c r="F910" s="165"/>
      <c r="G910" s="165"/>
      <c r="H910" s="165"/>
      <c r="I910" s="165"/>
      <c r="J910" s="165"/>
      <c r="K910" s="165"/>
      <c r="L910" s="165"/>
      <c r="M910" s="165"/>
      <c r="N910" s="165"/>
      <c r="O910" s="165"/>
      <c r="P910" s="165"/>
      <c r="Q910" s="165"/>
      <c r="R910" s="165"/>
      <c r="S910" s="165"/>
      <c r="T910" s="165"/>
      <c r="U910" s="165"/>
      <c r="V910" s="165"/>
      <c r="W910" s="165"/>
      <c r="X910" s="165"/>
    </row>
    <row r="911" ht="18.75" customHeight="1">
      <c r="A911" s="165">
        <v>909.0</v>
      </c>
      <c r="B911" s="165" t="s">
        <v>16377</v>
      </c>
      <c r="C911" s="165"/>
      <c r="D911" s="165"/>
      <c r="E911" s="165"/>
      <c r="F911" s="165"/>
      <c r="G911" s="165"/>
      <c r="H911" s="165"/>
      <c r="I911" s="165"/>
      <c r="J911" s="165"/>
      <c r="K911" s="165"/>
      <c r="L911" s="165"/>
      <c r="M911" s="165"/>
      <c r="N911" s="165"/>
      <c r="O911" s="165"/>
      <c r="P911" s="165"/>
      <c r="Q911" s="165"/>
      <c r="R911" s="165"/>
      <c r="S911" s="165"/>
      <c r="T911" s="165"/>
      <c r="U911" s="165"/>
      <c r="V911" s="165"/>
      <c r="W911" s="165"/>
      <c r="X911" s="165"/>
    </row>
    <row r="912" ht="18.75" customHeight="1">
      <c r="A912" s="165">
        <v>910.0</v>
      </c>
      <c r="B912" s="165" t="s">
        <v>16378</v>
      </c>
      <c r="C912" s="165"/>
      <c r="D912" s="165"/>
      <c r="E912" s="165"/>
      <c r="F912" s="165"/>
      <c r="G912" s="165"/>
      <c r="H912" s="165"/>
      <c r="I912" s="165"/>
      <c r="J912" s="165"/>
      <c r="K912" s="165"/>
      <c r="L912" s="165"/>
      <c r="M912" s="165"/>
      <c r="N912" s="165"/>
      <c r="O912" s="165"/>
      <c r="P912" s="165"/>
      <c r="Q912" s="165"/>
      <c r="R912" s="165"/>
      <c r="S912" s="165"/>
      <c r="T912" s="165"/>
      <c r="U912" s="165"/>
      <c r="V912" s="165"/>
      <c r="W912" s="165"/>
      <c r="X912" s="165"/>
    </row>
    <row r="913" ht="18.75" customHeight="1">
      <c r="A913" s="165">
        <v>911.0</v>
      </c>
      <c r="B913" s="165" t="s">
        <v>16379</v>
      </c>
      <c r="C913" s="165"/>
      <c r="D913" s="165"/>
      <c r="E913" s="165"/>
      <c r="F913" s="165"/>
      <c r="G913" s="165"/>
      <c r="H913" s="165"/>
      <c r="I913" s="165"/>
      <c r="J913" s="165"/>
      <c r="K913" s="165"/>
      <c r="L913" s="165"/>
      <c r="M913" s="165"/>
      <c r="N913" s="165"/>
      <c r="O913" s="165"/>
      <c r="P913" s="165"/>
      <c r="Q913" s="165"/>
      <c r="R913" s="165"/>
      <c r="S913" s="165"/>
      <c r="T913" s="165"/>
      <c r="U913" s="165"/>
      <c r="V913" s="165"/>
      <c r="W913" s="165"/>
      <c r="X913" s="165"/>
    </row>
    <row r="914" ht="18.75" customHeight="1">
      <c r="A914" s="165">
        <v>912.0</v>
      </c>
      <c r="B914" s="165" t="s">
        <v>16380</v>
      </c>
      <c r="C914" s="165"/>
      <c r="D914" s="165"/>
      <c r="E914" s="165"/>
      <c r="F914" s="165"/>
      <c r="G914" s="165"/>
      <c r="H914" s="165"/>
      <c r="I914" s="165"/>
      <c r="J914" s="165"/>
      <c r="K914" s="165"/>
      <c r="L914" s="165"/>
      <c r="M914" s="165"/>
      <c r="N914" s="165"/>
      <c r="O914" s="165"/>
      <c r="P914" s="165"/>
      <c r="Q914" s="165"/>
      <c r="R914" s="165"/>
      <c r="S914" s="165"/>
      <c r="T914" s="165"/>
      <c r="U914" s="165"/>
      <c r="V914" s="165"/>
      <c r="W914" s="165"/>
      <c r="X914" s="165"/>
    </row>
    <row r="915" ht="18.75" customHeight="1">
      <c r="A915" s="165">
        <v>913.0</v>
      </c>
      <c r="B915" s="167" t="s">
        <v>16381</v>
      </c>
      <c r="C915" s="165"/>
      <c r="D915" s="165"/>
      <c r="E915" s="165"/>
      <c r="F915" s="165"/>
      <c r="G915" s="165"/>
      <c r="H915" s="165"/>
      <c r="I915" s="165"/>
      <c r="J915" s="165"/>
      <c r="K915" s="165"/>
      <c r="L915" s="165"/>
      <c r="M915" s="165"/>
      <c r="N915" s="165"/>
      <c r="O915" s="165"/>
      <c r="P915" s="165"/>
      <c r="Q915" s="165"/>
      <c r="R915" s="165"/>
      <c r="S915" s="165"/>
      <c r="T915" s="165"/>
      <c r="U915" s="165"/>
      <c r="V915" s="165"/>
      <c r="W915" s="165"/>
      <c r="X915" s="165"/>
    </row>
    <row r="916" ht="18.75" customHeight="1">
      <c r="A916" s="165">
        <v>914.0</v>
      </c>
      <c r="B916" s="165" t="s">
        <v>16382</v>
      </c>
      <c r="C916" s="165"/>
      <c r="D916" s="165"/>
      <c r="E916" s="165"/>
      <c r="F916" s="165"/>
      <c r="G916" s="165"/>
      <c r="H916" s="165"/>
      <c r="I916" s="165"/>
      <c r="J916" s="165"/>
      <c r="K916" s="165"/>
      <c r="L916" s="165"/>
      <c r="M916" s="165"/>
      <c r="N916" s="165"/>
      <c r="O916" s="165"/>
      <c r="P916" s="165"/>
      <c r="Q916" s="165"/>
      <c r="R916" s="165"/>
      <c r="S916" s="165"/>
      <c r="T916" s="165"/>
      <c r="U916" s="165"/>
      <c r="V916" s="165"/>
      <c r="W916" s="165"/>
      <c r="X916" s="165"/>
    </row>
    <row r="917" ht="18.75" customHeight="1">
      <c r="A917" s="165">
        <v>915.0</v>
      </c>
      <c r="B917" s="165" t="s">
        <v>16383</v>
      </c>
      <c r="C917" s="165"/>
      <c r="D917" s="165"/>
      <c r="E917" s="165"/>
      <c r="F917" s="165"/>
      <c r="G917" s="165"/>
      <c r="H917" s="165"/>
      <c r="I917" s="165"/>
      <c r="J917" s="165"/>
      <c r="K917" s="165"/>
      <c r="L917" s="165"/>
      <c r="M917" s="165"/>
      <c r="N917" s="165"/>
      <c r="O917" s="165"/>
      <c r="P917" s="165"/>
      <c r="Q917" s="165"/>
      <c r="R917" s="165"/>
      <c r="S917" s="165"/>
      <c r="T917" s="165"/>
      <c r="U917" s="165"/>
      <c r="V917" s="165"/>
      <c r="W917" s="165"/>
      <c r="X917" s="165"/>
    </row>
    <row r="918" ht="18.75" customHeight="1">
      <c r="A918" s="165">
        <v>916.0</v>
      </c>
      <c r="B918" s="165" t="s">
        <v>16384</v>
      </c>
      <c r="C918" s="165"/>
      <c r="D918" s="165"/>
      <c r="E918" s="165"/>
      <c r="F918" s="165"/>
      <c r="G918" s="165"/>
      <c r="H918" s="165"/>
      <c r="I918" s="165"/>
      <c r="J918" s="165"/>
      <c r="K918" s="165"/>
      <c r="L918" s="165"/>
      <c r="M918" s="165"/>
      <c r="N918" s="165"/>
      <c r="O918" s="165"/>
      <c r="P918" s="165"/>
      <c r="Q918" s="165"/>
      <c r="R918" s="165"/>
      <c r="S918" s="165"/>
      <c r="T918" s="165"/>
      <c r="U918" s="165"/>
      <c r="V918" s="165"/>
      <c r="W918" s="165"/>
      <c r="X918" s="165"/>
    </row>
    <row r="919" ht="18.75" customHeight="1">
      <c r="A919" s="165">
        <v>917.0</v>
      </c>
      <c r="B919" s="165" t="s">
        <v>16385</v>
      </c>
      <c r="C919" s="165"/>
      <c r="D919" s="165"/>
      <c r="E919" s="165"/>
      <c r="F919" s="165"/>
      <c r="G919" s="165"/>
      <c r="H919" s="165"/>
      <c r="I919" s="165"/>
      <c r="J919" s="165"/>
      <c r="K919" s="165"/>
      <c r="L919" s="165"/>
      <c r="M919" s="165"/>
      <c r="N919" s="165"/>
      <c r="O919" s="165"/>
      <c r="P919" s="165"/>
      <c r="Q919" s="165"/>
      <c r="R919" s="165"/>
      <c r="S919" s="165"/>
      <c r="T919" s="165"/>
      <c r="U919" s="165"/>
      <c r="V919" s="165"/>
      <c r="W919" s="165"/>
      <c r="X919" s="165"/>
    </row>
    <row r="920" ht="18.75" customHeight="1">
      <c r="A920" s="165">
        <v>918.0</v>
      </c>
      <c r="B920" s="165" t="s">
        <v>16386</v>
      </c>
      <c r="C920" s="165"/>
      <c r="D920" s="165"/>
      <c r="E920" s="165"/>
      <c r="F920" s="165"/>
      <c r="G920" s="165"/>
      <c r="H920" s="165"/>
      <c r="I920" s="165"/>
      <c r="J920" s="165"/>
      <c r="K920" s="165"/>
      <c r="L920" s="165"/>
      <c r="M920" s="165"/>
      <c r="N920" s="165"/>
      <c r="O920" s="165"/>
      <c r="P920" s="165"/>
      <c r="Q920" s="165"/>
      <c r="R920" s="165"/>
      <c r="S920" s="165"/>
      <c r="T920" s="165"/>
      <c r="U920" s="165"/>
      <c r="V920" s="165"/>
      <c r="W920" s="165"/>
      <c r="X920" s="165"/>
    </row>
    <row r="921" ht="18.75" customHeight="1">
      <c r="A921" s="165">
        <v>919.0</v>
      </c>
      <c r="B921" s="165" t="s">
        <v>16387</v>
      </c>
      <c r="C921" s="165"/>
      <c r="D921" s="165"/>
      <c r="E921" s="165"/>
      <c r="F921" s="165"/>
      <c r="G921" s="165"/>
      <c r="H921" s="165"/>
      <c r="I921" s="165"/>
      <c r="J921" s="165"/>
      <c r="K921" s="165"/>
      <c r="L921" s="165"/>
      <c r="M921" s="165"/>
      <c r="N921" s="165"/>
      <c r="O921" s="165"/>
      <c r="P921" s="165"/>
      <c r="Q921" s="165"/>
      <c r="R921" s="165"/>
      <c r="S921" s="165"/>
      <c r="T921" s="165"/>
      <c r="U921" s="165"/>
      <c r="V921" s="165"/>
      <c r="W921" s="165"/>
      <c r="X921" s="165"/>
    </row>
    <row r="922" ht="18.75" customHeight="1">
      <c r="A922" s="165">
        <v>920.0</v>
      </c>
      <c r="B922" s="167" t="s">
        <v>16388</v>
      </c>
      <c r="C922" s="165"/>
      <c r="D922" s="165"/>
      <c r="E922" s="165"/>
      <c r="F922" s="165"/>
      <c r="G922" s="165"/>
      <c r="H922" s="165"/>
      <c r="I922" s="165"/>
      <c r="J922" s="165"/>
      <c r="K922" s="165"/>
      <c r="L922" s="165"/>
      <c r="M922" s="165"/>
      <c r="N922" s="165"/>
      <c r="O922" s="165"/>
      <c r="P922" s="165"/>
      <c r="Q922" s="165"/>
      <c r="R922" s="165"/>
      <c r="S922" s="165"/>
      <c r="T922" s="165"/>
      <c r="U922" s="165"/>
      <c r="V922" s="165"/>
      <c r="W922" s="165"/>
      <c r="X922" s="165"/>
    </row>
    <row r="923" ht="18.75" customHeight="1">
      <c r="A923" s="165">
        <v>921.0</v>
      </c>
      <c r="B923" s="165" t="s">
        <v>16389</v>
      </c>
      <c r="C923" s="165"/>
      <c r="D923" s="165"/>
      <c r="E923" s="165"/>
      <c r="F923" s="165"/>
      <c r="G923" s="165"/>
      <c r="H923" s="165"/>
      <c r="I923" s="165"/>
      <c r="J923" s="165"/>
      <c r="K923" s="165"/>
      <c r="L923" s="165"/>
      <c r="M923" s="165"/>
      <c r="N923" s="165"/>
      <c r="O923" s="165"/>
      <c r="P923" s="165"/>
      <c r="Q923" s="165"/>
      <c r="R923" s="165"/>
      <c r="S923" s="165"/>
      <c r="T923" s="165"/>
      <c r="U923" s="165"/>
      <c r="V923" s="165"/>
      <c r="W923" s="165"/>
      <c r="X923" s="165"/>
    </row>
    <row r="924" ht="18.75" customHeight="1">
      <c r="A924" s="165">
        <v>922.0</v>
      </c>
      <c r="B924" s="167" t="s">
        <v>16390</v>
      </c>
      <c r="C924" s="165"/>
      <c r="D924" s="165"/>
      <c r="E924" s="165"/>
      <c r="F924" s="165"/>
      <c r="G924" s="165"/>
      <c r="H924" s="165"/>
      <c r="I924" s="165"/>
      <c r="J924" s="165"/>
      <c r="K924" s="165"/>
      <c r="L924" s="165"/>
      <c r="M924" s="165"/>
      <c r="N924" s="165"/>
      <c r="O924" s="165"/>
      <c r="P924" s="165"/>
      <c r="Q924" s="165"/>
      <c r="R924" s="165"/>
      <c r="S924" s="165"/>
      <c r="T924" s="165"/>
      <c r="U924" s="165"/>
      <c r="V924" s="165"/>
      <c r="W924" s="165"/>
      <c r="X924" s="165"/>
    </row>
    <row r="925" ht="18.75" customHeight="1">
      <c r="A925" s="165">
        <v>923.0</v>
      </c>
      <c r="B925" s="165" t="s">
        <v>16391</v>
      </c>
      <c r="C925" s="165"/>
      <c r="D925" s="165"/>
      <c r="E925" s="165"/>
      <c r="F925" s="165"/>
      <c r="G925" s="165"/>
      <c r="H925" s="165"/>
      <c r="I925" s="165"/>
      <c r="J925" s="165"/>
      <c r="K925" s="165"/>
      <c r="L925" s="165"/>
      <c r="M925" s="165"/>
      <c r="N925" s="165"/>
      <c r="O925" s="165"/>
      <c r="P925" s="165"/>
      <c r="Q925" s="165"/>
      <c r="R925" s="165"/>
      <c r="S925" s="165"/>
      <c r="T925" s="165"/>
      <c r="U925" s="165"/>
      <c r="V925" s="165"/>
      <c r="W925" s="165"/>
      <c r="X925" s="165"/>
    </row>
    <row r="926" ht="18.75" customHeight="1">
      <c r="A926" s="165">
        <v>924.0</v>
      </c>
      <c r="B926" s="167" t="s">
        <v>16392</v>
      </c>
      <c r="C926" s="165"/>
      <c r="D926" s="165"/>
      <c r="E926" s="165"/>
      <c r="F926" s="165"/>
      <c r="G926" s="165"/>
      <c r="H926" s="165"/>
      <c r="I926" s="165"/>
      <c r="J926" s="165"/>
      <c r="K926" s="165"/>
      <c r="L926" s="165"/>
      <c r="M926" s="165"/>
      <c r="N926" s="165"/>
      <c r="O926" s="165"/>
      <c r="P926" s="165"/>
      <c r="Q926" s="165"/>
      <c r="R926" s="165"/>
      <c r="S926" s="165"/>
      <c r="T926" s="165"/>
      <c r="U926" s="165"/>
      <c r="V926" s="165"/>
      <c r="W926" s="165"/>
      <c r="X926" s="165"/>
    </row>
    <row r="927" ht="18.75" customHeight="1">
      <c r="A927" s="165">
        <v>925.0</v>
      </c>
      <c r="B927" s="165" t="s">
        <v>16393</v>
      </c>
      <c r="C927" s="165"/>
      <c r="D927" s="165"/>
      <c r="E927" s="165"/>
      <c r="F927" s="165"/>
      <c r="G927" s="165"/>
      <c r="H927" s="165"/>
      <c r="I927" s="165"/>
      <c r="J927" s="165"/>
      <c r="K927" s="165"/>
      <c r="L927" s="165"/>
      <c r="M927" s="165"/>
      <c r="N927" s="165"/>
      <c r="O927" s="165"/>
      <c r="P927" s="165"/>
      <c r="Q927" s="165"/>
      <c r="R927" s="165"/>
      <c r="S927" s="165"/>
      <c r="T927" s="165"/>
      <c r="U927" s="165"/>
      <c r="V927" s="165"/>
      <c r="W927" s="165"/>
      <c r="X927" s="165"/>
    </row>
    <row r="928" ht="18.75" customHeight="1">
      <c r="A928" s="165">
        <v>926.0</v>
      </c>
      <c r="B928" s="167" t="s">
        <v>16394</v>
      </c>
      <c r="C928" s="165"/>
      <c r="D928" s="165"/>
      <c r="E928" s="165"/>
      <c r="F928" s="165"/>
      <c r="G928" s="165"/>
      <c r="H928" s="165"/>
      <c r="I928" s="165"/>
      <c r="J928" s="165"/>
      <c r="K928" s="165"/>
      <c r="L928" s="165"/>
      <c r="M928" s="165"/>
      <c r="N928" s="165"/>
      <c r="O928" s="165"/>
      <c r="P928" s="165"/>
      <c r="Q928" s="165"/>
      <c r="R928" s="165"/>
      <c r="S928" s="165"/>
      <c r="T928" s="165"/>
      <c r="U928" s="165"/>
      <c r="V928" s="165"/>
      <c r="W928" s="165"/>
      <c r="X928" s="165"/>
    </row>
    <row r="929" ht="18.75" customHeight="1">
      <c r="A929" s="165">
        <v>927.0</v>
      </c>
      <c r="B929" s="167" t="s">
        <v>16395</v>
      </c>
      <c r="C929" s="165"/>
      <c r="D929" s="165"/>
      <c r="E929" s="165"/>
      <c r="F929" s="165"/>
      <c r="G929" s="165"/>
      <c r="H929" s="165"/>
      <c r="I929" s="165"/>
      <c r="J929" s="165"/>
      <c r="K929" s="165"/>
      <c r="L929" s="165"/>
      <c r="M929" s="165"/>
      <c r="N929" s="165"/>
      <c r="O929" s="165"/>
      <c r="P929" s="165"/>
      <c r="Q929" s="165"/>
      <c r="R929" s="165"/>
      <c r="S929" s="165"/>
      <c r="T929" s="165"/>
      <c r="U929" s="165"/>
      <c r="V929" s="165"/>
      <c r="W929" s="165"/>
      <c r="X929" s="165"/>
    </row>
    <row r="930" ht="18.75" customHeight="1">
      <c r="A930" s="165">
        <v>928.0</v>
      </c>
      <c r="B930" s="167" t="s">
        <v>16396</v>
      </c>
      <c r="C930" s="165"/>
      <c r="D930" s="165"/>
      <c r="E930" s="165"/>
      <c r="F930" s="165"/>
      <c r="G930" s="165"/>
      <c r="H930" s="165"/>
      <c r="I930" s="165"/>
      <c r="J930" s="165"/>
      <c r="K930" s="165"/>
      <c r="L930" s="165"/>
      <c r="M930" s="165"/>
      <c r="N930" s="165"/>
      <c r="O930" s="165"/>
      <c r="P930" s="165"/>
      <c r="Q930" s="165"/>
      <c r="R930" s="165"/>
      <c r="S930" s="165"/>
      <c r="T930" s="165"/>
      <c r="U930" s="165"/>
      <c r="V930" s="165"/>
      <c r="W930" s="165"/>
      <c r="X930" s="165"/>
    </row>
    <row r="931" ht="18.75" customHeight="1">
      <c r="A931" s="165">
        <v>929.0</v>
      </c>
      <c r="B931" s="167" t="s">
        <v>16397</v>
      </c>
      <c r="C931" s="165"/>
      <c r="D931" s="165"/>
      <c r="E931" s="165"/>
      <c r="F931" s="165"/>
      <c r="G931" s="165"/>
      <c r="H931" s="165"/>
      <c r="I931" s="165"/>
      <c r="J931" s="165"/>
      <c r="K931" s="165"/>
      <c r="L931" s="165"/>
      <c r="M931" s="165"/>
      <c r="N931" s="165"/>
      <c r="O931" s="165"/>
      <c r="P931" s="165"/>
      <c r="Q931" s="165"/>
      <c r="R931" s="165"/>
      <c r="S931" s="165"/>
      <c r="T931" s="165"/>
      <c r="U931" s="165"/>
      <c r="V931" s="165"/>
      <c r="W931" s="165"/>
      <c r="X931" s="165"/>
    </row>
    <row r="932" ht="18.75" customHeight="1">
      <c r="A932" s="165">
        <v>930.0</v>
      </c>
      <c r="B932" s="165" t="s">
        <v>16398</v>
      </c>
      <c r="C932" s="165"/>
      <c r="D932" s="165"/>
      <c r="E932" s="165"/>
      <c r="F932" s="165"/>
      <c r="G932" s="165"/>
      <c r="H932" s="165"/>
      <c r="I932" s="165"/>
      <c r="J932" s="165"/>
      <c r="K932" s="165"/>
      <c r="L932" s="165"/>
      <c r="M932" s="165"/>
      <c r="N932" s="165"/>
      <c r="O932" s="165"/>
      <c r="P932" s="165"/>
      <c r="Q932" s="165"/>
      <c r="R932" s="165"/>
      <c r="S932" s="165"/>
      <c r="T932" s="165"/>
      <c r="U932" s="165"/>
      <c r="V932" s="165"/>
      <c r="W932" s="165"/>
      <c r="X932" s="165"/>
    </row>
    <row r="933" ht="18.75" customHeight="1">
      <c r="A933" s="165">
        <v>931.0</v>
      </c>
      <c r="B933" s="165" t="s">
        <v>16135</v>
      </c>
      <c r="C933" s="165"/>
      <c r="D933" s="165"/>
      <c r="E933" s="165"/>
      <c r="F933" s="165"/>
      <c r="G933" s="165"/>
      <c r="H933" s="165"/>
      <c r="I933" s="165"/>
      <c r="J933" s="165"/>
      <c r="K933" s="165"/>
      <c r="L933" s="165"/>
      <c r="M933" s="165"/>
      <c r="N933" s="165"/>
      <c r="O933" s="165"/>
      <c r="P933" s="165"/>
      <c r="Q933" s="165"/>
      <c r="R933" s="165"/>
      <c r="S933" s="165"/>
      <c r="T933" s="165"/>
      <c r="U933" s="165"/>
      <c r="V933" s="165"/>
      <c r="W933" s="165"/>
      <c r="X933" s="165"/>
    </row>
    <row r="934" ht="18.75" customHeight="1">
      <c r="A934" s="165">
        <v>932.0</v>
      </c>
      <c r="B934" s="167" t="s">
        <v>16399</v>
      </c>
      <c r="C934" s="165"/>
      <c r="D934" s="165"/>
      <c r="E934" s="165"/>
      <c r="F934" s="165"/>
      <c r="G934" s="165"/>
      <c r="H934" s="165"/>
      <c r="I934" s="165"/>
      <c r="J934" s="165"/>
      <c r="K934" s="165"/>
      <c r="L934" s="165"/>
      <c r="M934" s="165"/>
      <c r="N934" s="165"/>
      <c r="O934" s="165"/>
      <c r="P934" s="165"/>
      <c r="Q934" s="165"/>
      <c r="R934" s="165"/>
      <c r="S934" s="165"/>
      <c r="T934" s="165"/>
      <c r="U934" s="165"/>
      <c r="V934" s="165"/>
      <c r="W934" s="165"/>
      <c r="X934" s="165"/>
    </row>
    <row r="935" ht="18.75" customHeight="1">
      <c r="A935" s="165">
        <v>933.0</v>
      </c>
      <c r="B935" s="165" t="s">
        <v>16400</v>
      </c>
      <c r="C935" s="165"/>
      <c r="D935" s="165"/>
      <c r="E935" s="165"/>
      <c r="F935" s="165"/>
      <c r="G935" s="165"/>
      <c r="H935" s="165"/>
      <c r="I935" s="165"/>
      <c r="J935" s="165"/>
      <c r="K935" s="165"/>
      <c r="L935" s="165"/>
      <c r="M935" s="165"/>
      <c r="N935" s="165"/>
      <c r="O935" s="165"/>
      <c r="P935" s="165"/>
      <c r="Q935" s="165"/>
      <c r="R935" s="165"/>
      <c r="S935" s="165"/>
      <c r="T935" s="165"/>
      <c r="U935" s="165"/>
      <c r="V935" s="165"/>
      <c r="W935" s="165"/>
      <c r="X935" s="165"/>
    </row>
    <row r="936" ht="18.75" customHeight="1">
      <c r="A936" s="165">
        <v>934.0</v>
      </c>
      <c r="B936" s="165" t="s">
        <v>16401</v>
      </c>
      <c r="C936" s="165"/>
      <c r="D936" s="165"/>
      <c r="E936" s="165"/>
      <c r="F936" s="165"/>
      <c r="G936" s="165"/>
      <c r="H936" s="165"/>
      <c r="I936" s="165"/>
      <c r="J936" s="165"/>
      <c r="K936" s="165"/>
      <c r="L936" s="165"/>
      <c r="M936" s="165"/>
      <c r="N936" s="165"/>
      <c r="O936" s="165"/>
      <c r="P936" s="165"/>
      <c r="Q936" s="165"/>
      <c r="R936" s="165"/>
      <c r="S936" s="165"/>
      <c r="T936" s="165"/>
      <c r="U936" s="165"/>
      <c r="V936" s="165"/>
      <c r="W936" s="165"/>
      <c r="X936" s="165"/>
    </row>
    <row r="937" ht="18.75" customHeight="1">
      <c r="A937" s="165">
        <v>935.0</v>
      </c>
      <c r="B937" s="165" t="s">
        <v>16402</v>
      </c>
      <c r="C937" s="165"/>
      <c r="D937" s="165"/>
      <c r="E937" s="165"/>
      <c r="F937" s="165"/>
      <c r="G937" s="165"/>
      <c r="H937" s="165"/>
      <c r="I937" s="165"/>
      <c r="J937" s="165"/>
      <c r="K937" s="165"/>
      <c r="L937" s="165"/>
      <c r="M937" s="165"/>
      <c r="N937" s="165"/>
      <c r="O937" s="165"/>
      <c r="P937" s="165"/>
      <c r="Q937" s="165"/>
      <c r="R937" s="165"/>
      <c r="S937" s="165"/>
      <c r="T937" s="165"/>
      <c r="U937" s="165"/>
      <c r="V937" s="165"/>
      <c r="W937" s="165"/>
      <c r="X937" s="165"/>
    </row>
    <row r="938" ht="18.75" customHeight="1">
      <c r="A938" s="165">
        <v>936.0</v>
      </c>
      <c r="B938" s="165" t="s">
        <v>16403</v>
      </c>
      <c r="C938" s="165"/>
      <c r="D938" s="165"/>
      <c r="E938" s="165"/>
      <c r="F938" s="165"/>
      <c r="G938" s="165"/>
      <c r="H938" s="165"/>
      <c r="I938" s="165"/>
      <c r="J938" s="165"/>
      <c r="K938" s="165"/>
      <c r="L938" s="165"/>
      <c r="M938" s="165"/>
      <c r="N938" s="165"/>
      <c r="O938" s="165"/>
      <c r="P938" s="165"/>
      <c r="Q938" s="165"/>
      <c r="R938" s="165"/>
      <c r="S938" s="165"/>
      <c r="T938" s="165"/>
      <c r="U938" s="165"/>
      <c r="V938" s="165"/>
      <c r="W938" s="165"/>
      <c r="X938" s="165"/>
    </row>
    <row r="939" ht="18.75" customHeight="1">
      <c r="A939" s="165">
        <v>937.0</v>
      </c>
      <c r="B939" s="165" t="s">
        <v>16404</v>
      </c>
      <c r="C939" s="165"/>
      <c r="D939" s="165"/>
      <c r="E939" s="165"/>
      <c r="F939" s="165"/>
      <c r="G939" s="165"/>
      <c r="H939" s="165"/>
      <c r="I939" s="165"/>
      <c r="J939" s="165"/>
      <c r="K939" s="165"/>
      <c r="L939" s="165"/>
      <c r="M939" s="165"/>
      <c r="N939" s="165"/>
      <c r="O939" s="165"/>
      <c r="P939" s="165"/>
      <c r="Q939" s="165"/>
      <c r="R939" s="165"/>
      <c r="S939" s="165"/>
      <c r="T939" s="165"/>
      <c r="U939" s="165"/>
      <c r="V939" s="165"/>
      <c r="W939" s="165"/>
      <c r="X939" s="165"/>
    </row>
    <row r="940" ht="18.75" customHeight="1">
      <c r="A940" s="165">
        <v>938.0</v>
      </c>
      <c r="B940" s="165" t="s">
        <v>16405</v>
      </c>
      <c r="C940" s="165"/>
      <c r="D940" s="165"/>
      <c r="E940" s="165"/>
      <c r="F940" s="165"/>
      <c r="G940" s="165"/>
      <c r="H940" s="165"/>
      <c r="I940" s="165"/>
      <c r="J940" s="165"/>
      <c r="K940" s="165"/>
      <c r="L940" s="165"/>
      <c r="M940" s="165"/>
      <c r="N940" s="165"/>
      <c r="O940" s="165"/>
      <c r="P940" s="165"/>
      <c r="Q940" s="165"/>
      <c r="R940" s="165"/>
      <c r="S940" s="165"/>
      <c r="T940" s="165"/>
      <c r="U940" s="165"/>
      <c r="V940" s="165"/>
      <c r="W940" s="165"/>
      <c r="X940" s="165"/>
    </row>
    <row r="941" ht="18.75" customHeight="1">
      <c r="A941" s="165">
        <v>939.0</v>
      </c>
      <c r="B941" s="165" t="s">
        <v>16406</v>
      </c>
      <c r="C941" s="165"/>
      <c r="D941" s="165"/>
      <c r="E941" s="165"/>
      <c r="F941" s="165"/>
      <c r="G941" s="165"/>
      <c r="H941" s="165"/>
      <c r="I941" s="165"/>
      <c r="J941" s="165"/>
      <c r="K941" s="165"/>
      <c r="L941" s="165"/>
      <c r="M941" s="165"/>
      <c r="N941" s="165"/>
      <c r="O941" s="165"/>
      <c r="P941" s="165"/>
      <c r="Q941" s="165"/>
      <c r="R941" s="165"/>
      <c r="S941" s="165"/>
      <c r="T941" s="165"/>
      <c r="U941" s="165"/>
      <c r="V941" s="165"/>
      <c r="W941" s="165"/>
      <c r="X941" s="165"/>
    </row>
    <row r="942" ht="18.75" customHeight="1">
      <c r="A942" s="165">
        <v>940.0</v>
      </c>
      <c r="B942" s="165" t="s">
        <v>16407</v>
      </c>
      <c r="C942" s="165"/>
      <c r="D942" s="165"/>
      <c r="E942" s="165"/>
      <c r="F942" s="165"/>
      <c r="G942" s="165"/>
      <c r="H942" s="165"/>
      <c r="I942" s="165"/>
      <c r="J942" s="165"/>
      <c r="K942" s="165"/>
      <c r="L942" s="165"/>
      <c r="M942" s="165"/>
      <c r="N942" s="165"/>
      <c r="O942" s="165"/>
      <c r="P942" s="165"/>
      <c r="Q942" s="165"/>
      <c r="R942" s="165"/>
      <c r="S942" s="165"/>
      <c r="T942" s="165"/>
      <c r="U942" s="165"/>
      <c r="V942" s="165"/>
      <c r="W942" s="165"/>
      <c r="X942" s="165"/>
    </row>
    <row r="943" ht="18.75" customHeight="1">
      <c r="A943" s="165">
        <v>941.0</v>
      </c>
      <c r="B943" s="165" t="s">
        <v>16408</v>
      </c>
      <c r="C943" s="165"/>
      <c r="D943" s="165"/>
      <c r="E943" s="165"/>
      <c r="F943" s="165"/>
      <c r="G943" s="165"/>
      <c r="H943" s="165"/>
      <c r="I943" s="165"/>
      <c r="J943" s="165"/>
      <c r="K943" s="165"/>
      <c r="L943" s="165"/>
      <c r="M943" s="165"/>
      <c r="N943" s="165"/>
      <c r="O943" s="165"/>
      <c r="P943" s="165"/>
      <c r="Q943" s="165"/>
      <c r="R943" s="165"/>
      <c r="S943" s="165"/>
      <c r="T943" s="165"/>
      <c r="U943" s="165"/>
      <c r="V943" s="165"/>
      <c r="W943" s="165"/>
      <c r="X943" s="165"/>
    </row>
    <row r="944" ht="18.75" customHeight="1">
      <c r="A944" s="165">
        <v>942.0</v>
      </c>
      <c r="B944" s="167" t="s">
        <v>16409</v>
      </c>
      <c r="C944" s="165"/>
      <c r="D944" s="165"/>
      <c r="E944" s="165"/>
      <c r="F944" s="165"/>
      <c r="G944" s="165"/>
      <c r="H944" s="165"/>
      <c r="I944" s="165"/>
      <c r="J944" s="165"/>
      <c r="K944" s="165"/>
      <c r="L944" s="165"/>
      <c r="M944" s="165"/>
      <c r="N944" s="165"/>
      <c r="O944" s="165"/>
      <c r="P944" s="165"/>
      <c r="Q944" s="165"/>
      <c r="R944" s="165"/>
      <c r="S944" s="165"/>
      <c r="T944" s="165"/>
      <c r="U944" s="165"/>
      <c r="V944" s="165"/>
      <c r="W944" s="165"/>
      <c r="X944" s="165"/>
    </row>
    <row r="945" ht="18.75" customHeight="1">
      <c r="A945" s="165">
        <v>943.0</v>
      </c>
      <c r="B945" s="165" t="s">
        <v>16410</v>
      </c>
      <c r="C945" s="165"/>
      <c r="D945" s="165"/>
      <c r="E945" s="165"/>
      <c r="F945" s="165"/>
      <c r="G945" s="165"/>
      <c r="H945" s="165"/>
      <c r="I945" s="165"/>
      <c r="J945" s="165"/>
      <c r="K945" s="165"/>
      <c r="L945" s="165"/>
      <c r="M945" s="165"/>
      <c r="N945" s="165"/>
      <c r="O945" s="165"/>
      <c r="P945" s="165"/>
      <c r="Q945" s="165"/>
      <c r="R945" s="165"/>
      <c r="S945" s="165"/>
      <c r="T945" s="165"/>
      <c r="U945" s="165"/>
      <c r="V945" s="165"/>
      <c r="W945" s="165"/>
      <c r="X945" s="165"/>
    </row>
    <row r="946" ht="18.75" customHeight="1">
      <c r="A946" s="165">
        <v>944.0</v>
      </c>
      <c r="B946" s="167" t="s">
        <v>16411</v>
      </c>
      <c r="C946" s="165"/>
      <c r="D946" s="165"/>
      <c r="E946" s="165"/>
      <c r="F946" s="165"/>
      <c r="G946" s="165"/>
      <c r="H946" s="165"/>
      <c r="I946" s="165"/>
      <c r="J946" s="165"/>
      <c r="K946" s="165"/>
      <c r="L946" s="165"/>
      <c r="M946" s="165"/>
      <c r="N946" s="165"/>
      <c r="O946" s="165"/>
      <c r="P946" s="165"/>
      <c r="Q946" s="165"/>
      <c r="R946" s="165"/>
      <c r="S946" s="165"/>
      <c r="T946" s="165"/>
      <c r="U946" s="165"/>
      <c r="V946" s="165"/>
      <c r="W946" s="165"/>
      <c r="X946" s="165"/>
    </row>
    <row r="947" ht="18.75" customHeight="1">
      <c r="A947" s="165">
        <v>945.0</v>
      </c>
      <c r="B947" s="167" t="s">
        <v>16412</v>
      </c>
      <c r="C947" s="165"/>
      <c r="D947" s="165"/>
      <c r="E947" s="165"/>
      <c r="F947" s="165"/>
      <c r="G947" s="165"/>
      <c r="H947" s="165"/>
      <c r="I947" s="165"/>
      <c r="J947" s="165"/>
      <c r="K947" s="165"/>
      <c r="L947" s="165"/>
      <c r="M947" s="165"/>
      <c r="N947" s="165"/>
      <c r="O947" s="165"/>
      <c r="P947" s="165"/>
      <c r="Q947" s="165"/>
      <c r="R947" s="165"/>
      <c r="S947" s="165"/>
      <c r="T947" s="165"/>
      <c r="U947" s="165"/>
      <c r="V947" s="165"/>
      <c r="W947" s="165"/>
      <c r="X947" s="165"/>
    </row>
    <row r="948" ht="18.75" customHeight="1">
      <c r="A948" s="165">
        <v>946.0</v>
      </c>
      <c r="B948" s="165" t="s">
        <v>16413</v>
      </c>
      <c r="C948" s="165"/>
      <c r="D948" s="165"/>
      <c r="E948" s="165"/>
      <c r="F948" s="165"/>
      <c r="G948" s="165"/>
      <c r="H948" s="165"/>
      <c r="I948" s="165"/>
      <c r="J948" s="165"/>
      <c r="K948" s="165"/>
      <c r="L948" s="165"/>
      <c r="M948" s="165"/>
      <c r="N948" s="165"/>
      <c r="O948" s="165"/>
      <c r="P948" s="165"/>
      <c r="Q948" s="165"/>
      <c r="R948" s="165"/>
      <c r="S948" s="165"/>
      <c r="T948" s="165"/>
      <c r="U948" s="165"/>
      <c r="V948" s="165"/>
      <c r="W948" s="165"/>
      <c r="X948" s="165"/>
    </row>
    <row r="949" ht="18.75" customHeight="1">
      <c r="A949" s="165">
        <v>947.0</v>
      </c>
      <c r="B949" s="167" t="s">
        <v>16414</v>
      </c>
      <c r="C949" s="165"/>
      <c r="D949" s="165"/>
      <c r="E949" s="165"/>
      <c r="F949" s="165"/>
      <c r="G949" s="165"/>
      <c r="H949" s="165"/>
      <c r="I949" s="165"/>
      <c r="J949" s="165"/>
      <c r="K949" s="165"/>
      <c r="L949" s="165"/>
      <c r="M949" s="165"/>
      <c r="N949" s="165"/>
      <c r="O949" s="165"/>
      <c r="P949" s="165"/>
      <c r="Q949" s="165"/>
      <c r="R949" s="165"/>
      <c r="S949" s="165"/>
      <c r="T949" s="165"/>
      <c r="U949" s="165"/>
      <c r="V949" s="165"/>
      <c r="W949" s="165"/>
      <c r="X949" s="165"/>
    </row>
    <row r="950" ht="18.75" customHeight="1">
      <c r="A950" s="165">
        <v>948.0</v>
      </c>
      <c r="B950" s="167" t="s">
        <v>16415</v>
      </c>
      <c r="C950" s="165"/>
      <c r="D950" s="165"/>
      <c r="E950" s="165"/>
      <c r="F950" s="165"/>
      <c r="G950" s="165"/>
      <c r="H950" s="165"/>
      <c r="I950" s="165"/>
      <c r="J950" s="165"/>
      <c r="K950" s="165"/>
      <c r="L950" s="165"/>
      <c r="M950" s="165"/>
      <c r="N950" s="165"/>
      <c r="O950" s="165"/>
      <c r="P950" s="165"/>
      <c r="Q950" s="165"/>
      <c r="R950" s="165"/>
      <c r="S950" s="165"/>
      <c r="T950" s="165"/>
      <c r="U950" s="165"/>
      <c r="V950" s="165"/>
      <c r="W950" s="165"/>
      <c r="X950" s="165"/>
    </row>
    <row r="951" ht="18.75" customHeight="1">
      <c r="A951" s="165">
        <v>949.0</v>
      </c>
      <c r="B951" s="167" t="s">
        <v>16416</v>
      </c>
      <c r="C951" s="165"/>
      <c r="D951" s="165"/>
      <c r="E951" s="165"/>
      <c r="F951" s="165"/>
      <c r="G951" s="165"/>
      <c r="H951" s="165"/>
      <c r="I951" s="165"/>
      <c r="J951" s="165"/>
      <c r="K951" s="165"/>
      <c r="L951" s="165"/>
      <c r="M951" s="165"/>
      <c r="N951" s="165"/>
      <c r="O951" s="165"/>
      <c r="P951" s="165"/>
      <c r="Q951" s="165"/>
      <c r="R951" s="165"/>
      <c r="S951" s="165"/>
      <c r="T951" s="165"/>
      <c r="U951" s="165"/>
      <c r="V951" s="165"/>
      <c r="W951" s="165"/>
      <c r="X951" s="165"/>
    </row>
    <row r="952" ht="18.75" customHeight="1">
      <c r="A952" s="165">
        <v>950.0</v>
      </c>
      <c r="B952" s="167" t="s">
        <v>16417</v>
      </c>
      <c r="C952" s="165"/>
      <c r="D952" s="165"/>
      <c r="E952" s="165"/>
      <c r="F952" s="165"/>
      <c r="G952" s="165"/>
      <c r="H952" s="165"/>
      <c r="I952" s="165"/>
      <c r="J952" s="165"/>
      <c r="K952" s="165"/>
      <c r="L952" s="165"/>
      <c r="M952" s="165"/>
      <c r="N952" s="165"/>
      <c r="O952" s="165"/>
      <c r="P952" s="165"/>
      <c r="Q952" s="165"/>
      <c r="R952" s="165"/>
      <c r="S952" s="165"/>
      <c r="T952" s="165"/>
      <c r="U952" s="165"/>
      <c r="V952" s="165"/>
      <c r="W952" s="165"/>
      <c r="X952" s="165"/>
    </row>
    <row r="953" ht="18.75" customHeight="1">
      <c r="A953" s="165">
        <v>951.0</v>
      </c>
      <c r="B953" s="165" t="s">
        <v>16418</v>
      </c>
      <c r="C953" s="165"/>
      <c r="D953" s="165"/>
      <c r="E953" s="165"/>
      <c r="F953" s="165"/>
      <c r="G953" s="165"/>
      <c r="H953" s="165"/>
      <c r="I953" s="165"/>
      <c r="J953" s="165"/>
      <c r="K953" s="165"/>
      <c r="L953" s="165"/>
      <c r="M953" s="165"/>
      <c r="N953" s="165"/>
      <c r="O953" s="165"/>
      <c r="P953" s="165"/>
      <c r="Q953" s="165"/>
      <c r="R953" s="165"/>
      <c r="S953" s="165"/>
      <c r="T953" s="165"/>
      <c r="U953" s="165"/>
      <c r="V953" s="165"/>
      <c r="W953" s="165"/>
      <c r="X953" s="165"/>
    </row>
    <row r="954" ht="18.75" customHeight="1">
      <c r="A954" s="165">
        <v>952.0</v>
      </c>
      <c r="B954" s="167" t="s">
        <v>16419</v>
      </c>
      <c r="C954" s="165"/>
      <c r="D954" s="165"/>
      <c r="E954" s="165"/>
      <c r="F954" s="165"/>
      <c r="G954" s="165"/>
      <c r="H954" s="165"/>
      <c r="I954" s="165"/>
      <c r="J954" s="165"/>
      <c r="K954" s="165"/>
      <c r="L954" s="165"/>
      <c r="M954" s="165"/>
      <c r="N954" s="165"/>
      <c r="O954" s="165"/>
      <c r="P954" s="165"/>
      <c r="Q954" s="165"/>
      <c r="R954" s="165"/>
      <c r="S954" s="165"/>
      <c r="T954" s="165"/>
      <c r="U954" s="165"/>
      <c r="V954" s="165"/>
      <c r="W954" s="165"/>
      <c r="X954" s="165"/>
    </row>
    <row r="955" ht="18.75" customHeight="1">
      <c r="A955" s="165">
        <v>953.0</v>
      </c>
      <c r="B955" s="165" t="s">
        <v>16420</v>
      </c>
      <c r="C955" s="165"/>
      <c r="D955" s="165"/>
      <c r="E955" s="165"/>
      <c r="F955" s="165"/>
      <c r="G955" s="165"/>
      <c r="H955" s="165"/>
      <c r="I955" s="165"/>
      <c r="J955" s="165"/>
      <c r="K955" s="165"/>
      <c r="L955" s="165"/>
      <c r="M955" s="165"/>
      <c r="N955" s="165"/>
      <c r="O955" s="165"/>
      <c r="P955" s="165"/>
      <c r="Q955" s="165"/>
      <c r="R955" s="165"/>
      <c r="S955" s="165"/>
      <c r="T955" s="165"/>
      <c r="U955" s="165"/>
      <c r="V955" s="165"/>
      <c r="W955" s="165"/>
      <c r="X955" s="165"/>
    </row>
    <row r="956" ht="18.75" customHeight="1">
      <c r="A956" s="165">
        <v>954.0</v>
      </c>
      <c r="B956" s="165" t="s">
        <v>16421</v>
      </c>
      <c r="C956" s="165"/>
      <c r="D956" s="165"/>
      <c r="E956" s="165"/>
      <c r="F956" s="165"/>
      <c r="G956" s="165"/>
      <c r="H956" s="165"/>
      <c r="I956" s="165"/>
      <c r="J956" s="165"/>
      <c r="K956" s="165"/>
      <c r="L956" s="165"/>
      <c r="M956" s="165"/>
      <c r="N956" s="165"/>
      <c r="O956" s="165"/>
      <c r="P956" s="165"/>
      <c r="Q956" s="165"/>
      <c r="R956" s="165"/>
      <c r="S956" s="165"/>
      <c r="T956" s="165"/>
      <c r="U956" s="165"/>
      <c r="V956" s="165"/>
      <c r="W956" s="165"/>
      <c r="X956" s="165"/>
    </row>
    <row r="957" ht="18.75" customHeight="1">
      <c r="A957" s="165">
        <v>955.0</v>
      </c>
      <c r="B957" s="167" t="s">
        <v>16422</v>
      </c>
      <c r="C957" s="165"/>
      <c r="D957" s="165"/>
      <c r="E957" s="165"/>
      <c r="F957" s="165"/>
      <c r="G957" s="165"/>
      <c r="H957" s="165"/>
      <c r="I957" s="165"/>
      <c r="J957" s="165"/>
      <c r="K957" s="165"/>
      <c r="L957" s="165"/>
      <c r="M957" s="165"/>
      <c r="N957" s="165"/>
      <c r="O957" s="165"/>
      <c r="P957" s="165"/>
      <c r="Q957" s="165"/>
      <c r="R957" s="165"/>
      <c r="S957" s="165"/>
      <c r="T957" s="165"/>
      <c r="U957" s="165"/>
      <c r="V957" s="165"/>
      <c r="W957" s="165"/>
      <c r="X957" s="165"/>
    </row>
    <row r="958" ht="18.75" customHeight="1">
      <c r="A958" s="165">
        <v>956.0</v>
      </c>
      <c r="B958" s="167" t="s">
        <v>16423</v>
      </c>
      <c r="C958" s="165"/>
      <c r="D958" s="165"/>
      <c r="E958" s="165"/>
      <c r="F958" s="165"/>
      <c r="G958" s="165"/>
      <c r="H958" s="165"/>
      <c r="I958" s="165"/>
      <c r="J958" s="165"/>
      <c r="K958" s="165"/>
      <c r="L958" s="165"/>
      <c r="M958" s="165"/>
      <c r="N958" s="165"/>
      <c r="O958" s="165"/>
      <c r="P958" s="165"/>
      <c r="Q958" s="165"/>
      <c r="R958" s="165"/>
      <c r="S958" s="165"/>
      <c r="T958" s="165"/>
      <c r="U958" s="165"/>
      <c r="V958" s="165"/>
      <c r="W958" s="165"/>
      <c r="X958" s="165"/>
    </row>
    <row r="959" ht="18.75" customHeight="1">
      <c r="A959" s="165">
        <v>957.0</v>
      </c>
      <c r="B959" s="165" t="s">
        <v>16424</v>
      </c>
      <c r="C959" s="165"/>
      <c r="D959" s="165"/>
      <c r="E959" s="165"/>
      <c r="F959" s="165"/>
      <c r="G959" s="165"/>
      <c r="H959" s="165"/>
      <c r="I959" s="165"/>
      <c r="J959" s="165"/>
      <c r="K959" s="165"/>
      <c r="L959" s="165"/>
      <c r="M959" s="165"/>
      <c r="N959" s="165"/>
      <c r="O959" s="165"/>
      <c r="P959" s="165"/>
      <c r="Q959" s="165"/>
      <c r="R959" s="165"/>
      <c r="S959" s="165"/>
      <c r="T959" s="165"/>
      <c r="U959" s="165"/>
      <c r="V959" s="165"/>
      <c r="W959" s="165"/>
      <c r="X959" s="165"/>
    </row>
    <row r="960" ht="18.75" customHeight="1">
      <c r="A960" s="165">
        <v>958.0</v>
      </c>
      <c r="B960" s="167" t="s">
        <v>16424</v>
      </c>
      <c r="C960" s="165"/>
      <c r="D960" s="165"/>
      <c r="E960" s="165"/>
      <c r="F960" s="165"/>
      <c r="G960" s="165"/>
      <c r="H960" s="165"/>
      <c r="I960" s="165"/>
      <c r="J960" s="165"/>
      <c r="K960" s="165"/>
      <c r="L960" s="165"/>
      <c r="M960" s="165"/>
      <c r="N960" s="165"/>
      <c r="O960" s="165"/>
      <c r="P960" s="165"/>
      <c r="Q960" s="165"/>
      <c r="R960" s="165"/>
      <c r="S960" s="165"/>
      <c r="T960" s="165"/>
      <c r="U960" s="165"/>
      <c r="V960" s="165"/>
      <c r="W960" s="165"/>
      <c r="X960" s="165"/>
    </row>
    <row r="961" ht="18.75" customHeight="1">
      <c r="A961" s="165">
        <v>959.0</v>
      </c>
      <c r="B961" s="165" t="s">
        <v>16425</v>
      </c>
      <c r="C961" s="165"/>
      <c r="D961" s="165"/>
      <c r="E961" s="165"/>
      <c r="F961" s="165"/>
      <c r="G961" s="165"/>
      <c r="H961" s="165"/>
      <c r="I961" s="165"/>
      <c r="J961" s="165"/>
      <c r="K961" s="165"/>
      <c r="L961" s="165"/>
      <c r="M961" s="165"/>
      <c r="N961" s="165"/>
      <c r="O961" s="165"/>
      <c r="P961" s="165"/>
      <c r="Q961" s="165"/>
      <c r="R961" s="165"/>
      <c r="S961" s="165"/>
      <c r="T961" s="165"/>
      <c r="U961" s="165"/>
      <c r="V961" s="165"/>
      <c r="W961" s="165"/>
      <c r="X961" s="165"/>
    </row>
    <row r="962" ht="18.75" customHeight="1">
      <c r="A962" s="165">
        <v>960.0</v>
      </c>
      <c r="B962" s="165" t="s">
        <v>16426</v>
      </c>
      <c r="C962" s="165"/>
      <c r="D962" s="165"/>
      <c r="E962" s="165"/>
      <c r="F962" s="165"/>
      <c r="G962" s="165"/>
      <c r="H962" s="165"/>
      <c r="I962" s="165"/>
      <c r="J962" s="165"/>
      <c r="K962" s="165"/>
      <c r="L962" s="165"/>
      <c r="M962" s="165"/>
      <c r="N962" s="165"/>
      <c r="O962" s="165"/>
      <c r="P962" s="165"/>
      <c r="Q962" s="165"/>
      <c r="R962" s="165"/>
      <c r="S962" s="165"/>
      <c r="T962" s="165"/>
      <c r="U962" s="165"/>
      <c r="V962" s="165"/>
      <c r="W962" s="165"/>
      <c r="X962" s="165"/>
    </row>
    <row r="963" ht="18.75" customHeight="1">
      <c r="A963" s="165">
        <v>961.0</v>
      </c>
      <c r="B963" s="167" t="s">
        <v>16427</v>
      </c>
      <c r="C963" s="165"/>
      <c r="D963" s="165"/>
      <c r="E963" s="165"/>
      <c r="F963" s="165"/>
      <c r="G963" s="165"/>
      <c r="H963" s="165"/>
      <c r="I963" s="165"/>
      <c r="J963" s="165"/>
      <c r="K963" s="165"/>
      <c r="L963" s="165"/>
      <c r="M963" s="165"/>
      <c r="N963" s="165"/>
      <c r="O963" s="165"/>
      <c r="P963" s="165"/>
      <c r="Q963" s="165"/>
      <c r="R963" s="165"/>
      <c r="S963" s="165"/>
      <c r="T963" s="165"/>
      <c r="U963" s="165"/>
      <c r="V963" s="165"/>
      <c r="W963" s="165"/>
      <c r="X963" s="165"/>
    </row>
    <row r="964" ht="18.75" customHeight="1">
      <c r="A964" s="165">
        <v>962.0</v>
      </c>
      <c r="B964" s="167" t="s">
        <v>16428</v>
      </c>
      <c r="C964" s="165"/>
      <c r="D964" s="165"/>
      <c r="E964" s="165"/>
      <c r="F964" s="165"/>
      <c r="G964" s="165"/>
      <c r="H964" s="165"/>
      <c r="I964" s="165"/>
      <c r="J964" s="165"/>
      <c r="K964" s="165"/>
      <c r="L964" s="165"/>
      <c r="M964" s="165"/>
      <c r="N964" s="165"/>
      <c r="O964" s="165"/>
      <c r="P964" s="165"/>
      <c r="Q964" s="165"/>
      <c r="R964" s="165"/>
      <c r="S964" s="165"/>
      <c r="T964" s="165"/>
      <c r="U964" s="165"/>
      <c r="V964" s="165"/>
      <c r="W964" s="165"/>
      <c r="X964" s="165"/>
    </row>
    <row r="965" ht="18.75" customHeight="1">
      <c r="A965" s="165">
        <v>963.0</v>
      </c>
      <c r="B965" s="167" t="s">
        <v>16429</v>
      </c>
      <c r="C965" s="165"/>
      <c r="D965" s="165"/>
      <c r="E965" s="165"/>
      <c r="F965" s="165"/>
      <c r="G965" s="165"/>
      <c r="H965" s="165"/>
      <c r="I965" s="165"/>
      <c r="J965" s="165"/>
      <c r="K965" s="165"/>
      <c r="L965" s="165"/>
      <c r="M965" s="165"/>
      <c r="N965" s="165"/>
      <c r="O965" s="165"/>
      <c r="P965" s="165"/>
      <c r="Q965" s="165"/>
      <c r="R965" s="165"/>
      <c r="S965" s="165"/>
      <c r="T965" s="165"/>
      <c r="U965" s="165"/>
      <c r="V965" s="165"/>
      <c r="W965" s="165"/>
      <c r="X965" s="165"/>
    </row>
    <row r="966" ht="18.75" customHeight="1">
      <c r="A966" s="165">
        <v>964.0</v>
      </c>
      <c r="B966" s="167" t="s">
        <v>16430</v>
      </c>
      <c r="C966" s="165"/>
      <c r="D966" s="165"/>
      <c r="E966" s="165"/>
      <c r="F966" s="165"/>
      <c r="G966" s="165"/>
      <c r="H966" s="165"/>
      <c r="I966" s="165"/>
      <c r="J966" s="165"/>
      <c r="K966" s="165"/>
      <c r="L966" s="165"/>
      <c r="M966" s="165"/>
      <c r="N966" s="165"/>
      <c r="O966" s="165"/>
      <c r="P966" s="165"/>
      <c r="Q966" s="165"/>
      <c r="R966" s="165"/>
      <c r="S966" s="165"/>
      <c r="T966" s="165"/>
      <c r="U966" s="165"/>
      <c r="V966" s="165"/>
      <c r="W966" s="165"/>
      <c r="X966" s="165"/>
    </row>
    <row r="967" ht="18.75" customHeight="1">
      <c r="A967" s="165">
        <v>965.0</v>
      </c>
      <c r="B967" s="167" t="s">
        <v>16431</v>
      </c>
      <c r="C967" s="165"/>
      <c r="D967" s="165"/>
      <c r="E967" s="165"/>
      <c r="F967" s="165"/>
      <c r="G967" s="165"/>
      <c r="H967" s="165"/>
      <c r="I967" s="165"/>
      <c r="J967" s="165"/>
      <c r="K967" s="165"/>
      <c r="L967" s="165"/>
      <c r="M967" s="165"/>
      <c r="N967" s="165"/>
      <c r="O967" s="165"/>
      <c r="P967" s="165"/>
      <c r="Q967" s="165"/>
      <c r="R967" s="165"/>
      <c r="S967" s="165"/>
      <c r="T967" s="165"/>
      <c r="U967" s="165"/>
      <c r="V967" s="165"/>
      <c r="W967" s="165"/>
      <c r="X967" s="165"/>
    </row>
    <row r="968" ht="18.75" customHeight="1">
      <c r="A968" s="165">
        <v>966.0</v>
      </c>
      <c r="B968" s="165" t="s">
        <v>16432</v>
      </c>
      <c r="C968" s="165"/>
      <c r="D968" s="165"/>
      <c r="E968" s="165"/>
      <c r="F968" s="165"/>
      <c r="G968" s="165"/>
      <c r="H968" s="165"/>
      <c r="I968" s="165"/>
      <c r="J968" s="165"/>
      <c r="K968" s="165"/>
      <c r="L968" s="165"/>
      <c r="M968" s="165"/>
      <c r="N968" s="165"/>
      <c r="O968" s="165"/>
      <c r="P968" s="165"/>
      <c r="Q968" s="165"/>
      <c r="R968" s="165"/>
      <c r="S968" s="165"/>
      <c r="T968" s="165"/>
      <c r="U968" s="165"/>
      <c r="V968" s="165"/>
      <c r="W968" s="165"/>
      <c r="X968" s="165"/>
    </row>
    <row r="969" ht="18.75" customHeight="1">
      <c r="A969" s="165">
        <v>967.0</v>
      </c>
      <c r="B969" s="167" t="s">
        <v>16433</v>
      </c>
      <c r="C969" s="165"/>
      <c r="D969" s="165"/>
      <c r="E969" s="165"/>
      <c r="F969" s="165"/>
      <c r="G969" s="165"/>
      <c r="H969" s="165"/>
      <c r="I969" s="165"/>
      <c r="J969" s="165"/>
      <c r="K969" s="165"/>
      <c r="L969" s="165"/>
      <c r="M969" s="165"/>
      <c r="N969" s="165"/>
      <c r="O969" s="165"/>
      <c r="P969" s="165"/>
      <c r="Q969" s="165"/>
      <c r="R969" s="165"/>
      <c r="S969" s="165"/>
      <c r="T969" s="165"/>
      <c r="U969" s="165"/>
      <c r="V969" s="165"/>
      <c r="W969" s="165"/>
      <c r="X969" s="165"/>
    </row>
    <row r="970" ht="18.75" customHeight="1">
      <c r="A970" s="165">
        <v>968.0</v>
      </c>
      <c r="B970" s="167" t="s">
        <v>16434</v>
      </c>
      <c r="C970" s="165"/>
      <c r="D970" s="165"/>
      <c r="E970" s="165"/>
      <c r="F970" s="165"/>
      <c r="G970" s="165"/>
      <c r="H970" s="165"/>
      <c r="I970" s="165"/>
      <c r="J970" s="165"/>
      <c r="K970" s="165"/>
      <c r="L970" s="165"/>
      <c r="M970" s="165"/>
      <c r="N970" s="165"/>
      <c r="O970" s="165"/>
      <c r="P970" s="165"/>
      <c r="Q970" s="165"/>
      <c r="R970" s="165"/>
      <c r="S970" s="165"/>
      <c r="T970" s="165"/>
      <c r="U970" s="165"/>
      <c r="V970" s="165"/>
      <c r="W970" s="165"/>
      <c r="X970" s="165"/>
    </row>
    <row r="971" ht="18.75" customHeight="1">
      <c r="A971" s="165">
        <v>969.0</v>
      </c>
      <c r="B971" s="165" t="s">
        <v>16435</v>
      </c>
      <c r="C971" s="165"/>
      <c r="D971" s="165"/>
      <c r="E971" s="165"/>
      <c r="F971" s="165"/>
      <c r="G971" s="165"/>
      <c r="H971" s="165"/>
      <c r="I971" s="165"/>
      <c r="J971" s="165"/>
      <c r="K971" s="165"/>
      <c r="L971" s="165"/>
      <c r="M971" s="165"/>
      <c r="N971" s="165"/>
      <c r="O971" s="165"/>
      <c r="P971" s="165"/>
      <c r="Q971" s="165"/>
      <c r="R971" s="165"/>
      <c r="S971" s="165"/>
      <c r="T971" s="165"/>
      <c r="U971" s="165"/>
      <c r="V971" s="165"/>
      <c r="W971" s="165"/>
      <c r="X971" s="165"/>
    </row>
    <row r="972" ht="18.75" customHeight="1">
      <c r="A972" s="165">
        <v>970.0</v>
      </c>
      <c r="B972" s="165" t="s">
        <v>16436</v>
      </c>
      <c r="C972" s="165"/>
      <c r="D972" s="165"/>
      <c r="E972" s="165"/>
      <c r="F972" s="165"/>
      <c r="G972" s="165"/>
      <c r="H972" s="165"/>
      <c r="I972" s="165"/>
      <c r="J972" s="165"/>
      <c r="K972" s="165"/>
      <c r="L972" s="165"/>
      <c r="M972" s="165"/>
      <c r="N972" s="165"/>
      <c r="O972" s="165"/>
      <c r="P972" s="165"/>
      <c r="Q972" s="165"/>
      <c r="R972" s="165"/>
      <c r="S972" s="165"/>
      <c r="T972" s="165"/>
      <c r="U972" s="165"/>
      <c r="V972" s="165"/>
      <c r="W972" s="165"/>
      <c r="X972" s="165"/>
    </row>
    <row r="973" ht="18.75" customHeight="1">
      <c r="A973" s="165">
        <v>971.0</v>
      </c>
      <c r="B973" s="167" t="s">
        <v>16437</v>
      </c>
      <c r="C973" s="165"/>
      <c r="D973" s="165"/>
      <c r="E973" s="165"/>
      <c r="F973" s="165"/>
      <c r="G973" s="165"/>
      <c r="H973" s="165"/>
      <c r="I973" s="165"/>
      <c r="J973" s="165"/>
      <c r="K973" s="165"/>
      <c r="L973" s="165"/>
      <c r="M973" s="165"/>
      <c r="N973" s="165"/>
      <c r="O973" s="165"/>
      <c r="P973" s="165"/>
      <c r="Q973" s="165"/>
      <c r="R973" s="165"/>
      <c r="S973" s="165"/>
      <c r="T973" s="165"/>
      <c r="U973" s="165"/>
      <c r="V973" s="165"/>
      <c r="W973" s="165"/>
      <c r="X973" s="165"/>
    </row>
    <row r="974" ht="18.75" customHeight="1">
      <c r="A974" s="165">
        <v>972.0</v>
      </c>
      <c r="B974" s="167" t="s">
        <v>16438</v>
      </c>
      <c r="C974" s="165"/>
      <c r="D974" s="165"/>
      <c r="E974" s="165"/>
      <c r="F974" s="165"/>
      <c r="G974" s="165"/>
      <c r="H974" s="165"/>
      <c r="I974" s="165"/>
      <c r="J974" s="165"/>
      <c r="K974" s="165"/>
      <c r="L974" s="165"/>
      <c r="M974" s="165"/>
      <c r="N974" s="165"/>
      <c r="O974" s="165"/>
      <c r="P974" s="165"/>
      <c r="Q974" s="165"/>
      <c r="R974" s="165"/>
      <c r="S974" s="165"/>
      <c r="T974" s="165"/>
      <c r="U974" s="165"/>
      <c r="V974" s="165"/>
      <c r="W974" s="165"/>
      <c r="X974" s="165"/>
    </row>
    <row r="975" ht="18.75" customHeight="1">
      <c r="A975" s="165">
        <v>973.0</v>
      </c>
      <c r="B975" s="165" t="s">
        <v>16439</v>
      </c>
      <c r="C975" s="165"/>
      <c r="D975" s="165"/>
      <c r="E975" s="165"/>
      <c r="F975" s="165"/>
      <c r="G975" s="165"/>
      <c r="H975" s="165"/>
      <c r="I975" s="165"/>
      <c r="J975" s="165"/>
      <c r="K975" s="165"/>
      <c r="L975" s="165"/>
      <c r="M975" s="165"/>
      <c r="N975" s="165"/>
      <c r="O975" s="165"/>
      <c r="P975" s="165"/>
      <c r="Q975" s="165"/>
      <c r="R975" s="165"/>
      <c r="S975" s="165"/>
      <c r="T975" s="165"/>
      <c r="U975" s="165"/>
      <c r="V975" s="165"/>
      <c r="W975" s="165"/>
      <c r="X975" s="165"/>
    </row>
    <row r="976" ht="18.75" customHeight="1">
      <c r="A976" s="165">
        <v>974.0</v>
      </c>
      <c r="B976" s="165" t="s">
        <v>16440</v>
      </c>
      <c r="C976" s="165"/>
      <c r="D976" s="165"/>
      <c r="E976" s="165"/>
      <c r="F976" s="165"/>
      <c r="G976" s="165"/>
      <c r="H976" s="165"/>
      <c r="I976" s="165"/>
      <c r="J976" s="165"/>
      <c r="K976" s="165"/>
      <c r="L976" s="165"/>
      <c r="M976" s="165"/>
      <c r="N976" s="165"/>
      <c r="O976" s="165"/>
      <c r="P976" s="165"/>
      <c r="Q976" s="165"/>
      <c r="R976" s="165"/>
      <c r="S976" s="165"/>
      <c r="T976" s="165"/>
      <c r="U976" s="165"/>
      <c r="V976" s="165"/>
      <c r="W976" s="165"/>
      <c r="X976" s="165"/>
    </row>
    <row r="977" ht="18.75" customHeight="1">
      <c r="A977" s="165">
        <v>975.0</v>
      </c>
      <c r="B977" s="165" t="s">
        <v>16441</v>
      </c>
      <c r="C977" s="165"/>
      <c r="D977" s="165"/>
      <c r="E977" s="165"/>
      <c r="F977" s="165"/>
      <c r="G977" s="165"/>
      <c r="H977" s="165"/>
      <c r="I977" s="165"/>
      <c r="J977" s="165"/>
      <c r="K977" s="165"/>
      <c r="L977" s="165"/>
      <c r="M977" s="165"/>
      <c r="N977" s="165"/>
      <c r="O977" s="165"/>
      <c r="P977" s="165"/>
      <c r="Q977" s="165"/>
      <c r="R977" s="165"/>
      <c r="S977" s="165"/>
      <c r="T977" s="165"/>
      <c r="U977" s="165"/>
      <c r="V977" s="165"/>
      <c r="W977" s="165"/>
      <c r="X977" s="165"/>
    </row>
    <row r="978" ht="18.75" customHeight="1">
      <c r="A978" s="165">
        <v>976.0</v>
      </c>
      <c r="B978" s="167" t="s">
        <v>16442</v>
      </c>
      <c r="C978" s="165"/>
      <c r="D978" s="165"/>
      <c r="E978" s="165"/>
      <c r="F978" s="165"/>
      <c r="G978" s="165"/>
      <c r="H978" s="165"/>
      <c r="I978" s="165"/>
      <c r="J978" s="165"/>
      <c r="K978" s="165"/>
      <c r="L978" s="165"/>
      <c r="M978" s="165"/>
      <c r="N978" s="165"/>
      <c r="O978" s="165"/>
      <c r="P978" s="165"/>
      <c r="Q978" s="165"/>
      <c r="R978" s="165"/>
      <c r="S978" s="165"/>
      <c r="T978" s="165"/>
      <c r="U978" s="165"/>
      <c r="V978" s="165"/>
      <c r="W978" s="165"/>
      <c r="X978" s="165"/>
    </row>
    <row r="979" ht="18.75" customHeight="1">
      <c r="A979" s="165">
        <v>977.0</v>
      </c>
      <c r="B979" s="165" t="s">
        <v>16443</v>
      </c>
      <c r="C979" s="165"/>
      <c r="D979" s="165"/>
      <c r="E979" s="165"/>
      <c r="F979" s="165"/>
      <c r="G979" s="165"/>
      <c r="H979" s="165"/>
      <c r="I979" s="165"/>
      <c r="J979" s="165"/>
      <c r="K979" s="165"/>
      <c r="L979" s="165"/>
      <c r="M979" s="165"/>
      <c r="N979" s="165"/>
      <c r="O979" s="165"/>
      <c r="P979" s="165"/>
      <c r="Q979" s="165"/>
      <c r="R979" s="165"/>
      <c r="S979" s="165"/>
      <c r="T979" s="165"/>
      <c r="U979" s="165"/>
      <c r="V979" s="165"/>
      <c r="W979" s="165"/>
      <c r="X979" s="165"/>
    </row>
    <row r="980" ht="18.75" customHeight="1">
      <c r="A980" s="165">
        <v>978.0</v>
      </c>
      <c r="B980" s="165" t="s">
        <v>16444</v>
      </c>
      <c r="C980" s="165"/>
      <c r="D980" s="165"/>
      <c r="E980" s="165"/>
      <c r="F980" s="165"/>
      <c r="G980" s="165"/>
      <c r="H980" s="165"/>
      <c r="I980" s="165"/>
      <c r="J980" s="165"/>
      <c r="K980" s="165"/>
      <c r="L980" s="165"/>
      <c r="M980" s="165"/>
      <c r="N980" s="165"/>
      <c r="O980" s="165"/>
      <c r="P980" s="165"/>
      <c r="Q980" s="165"/>
      <c r="R980" s="165"/>
      <c r="S980" s="165"/>
      <c r="T980" s="165"/>
      <c r="U980" s="165"/>
      <c r="V980" s="165"/>
      <c r="W980" s="165"/>
      <c r="X980" s="165"/>
    </row>
    <row r="981" ht="18.75" customHeight="1">
      <c r="A981" s="165">
        <v>979.0</v>
      </c>
      <c r="B981" s="165" t="s">
        <v>16445</v>
      </c>
      <c r="C981" s="165"/>
      <c r="D981" s="165"/>
      <c r="E981" s="165"/>
      <c r="F981" s="165"/>
      <c r="G981" s="165"/>
      <c r="H981" s="165"/>
      <c r="I981" s="165"/>
      <c r="J981" s="165"/>
      <c r="K981" s="165"/>
      <c r="L981" s="165"/>
      <c r="M981" s="165"/>
      <c r="N981" s="165"/>
      <c r="O981" s="165"/>
      <c r="P981" s="165"/>
      <c r="Q981" s="165"/>
      <c r="R981" s="165"/>
      <c r="S981" s="165"/>
      <c r="T981" s="165"/>
      <c r="U981" s="165"/>
      <c r="V981" s="165"/>
      <c r="W981" s="165"/>
      <c r="X981" s="165"/>
    </row>
    <row r="982" ht="18.75" customHeight="1">
      <c r="A982" s="165">
        <v>980.0</v>
      </c>
      <c r="B982" s="167" t="s">
        <v>16446</v>
      </c>
      <c r="C982" s="165"/>
      <c r="D982" s="165"/>
      <c r="E982" s="165"/>
      <c r="F982" s="165"/>
      <c r="G982" s="165"/>
      <c r="H982" s="165"/>
      <c r="I982" s="165"/>
      <c r="J982" s="165"/>
      <c r="K982" s="165"/>
      <c r="L982" s="165"/>
      <c r="M982" s="165"/>
      <c r="N982" s="165"/>
      <c r="O982" s="165"/>
      <c r="P982" s="165"/>
      <c r="Q982" s="165"/>
      <c r="R982" s="165"/>
      <c r="S982" s="165"/>
      <c r="T982" s="165"/>
      <c r="U982" s="165"/>
      <c r="V982" s="165"/>
      <c r="W982" s="165"/>
      <c r="X982" s="165"/>
    </row>
    <row r="983" ht="18.75" customHeight="1">
      <c r="A983" s="165">
        <v>981.0</v>
      </c>
      <c r="B983" s="167" t="s">
        <v>16447</v>
      </c>
      <c r="C983" s="165"/>
      <c r="D983" s="165"/>
      <c r="E983" s="165"/>
      <c r="F983" s="165"/>
      <c r="G983" s="165"/>
      <c r="H983" s="165"/>
      <c r="I983" s="165"/>
      <c r="J983" s="165"/>
      <c r="K983" s="165"/>
      <c r="L983" s="165"/>
      <c r="M983" s="165"/>
      <c r="N983" s="165"/>
      <c r="O983" s="165"/>
      <c r="P983" s="165"/>
      <c r="Q983" s="165"/>
      <c r="R983" s="165"/>
      <c r="S983" s="165"/>
      <c r="T983" s="165"/>
      <c r="U983" s="165"/>
      <c r="V983" s="165"/>
      <c r="W983" s="165"/>
      <c r="X983" s="165"/>
    </row>
    <row r="984" ht="18.75" customHeight="1">
      <c r="A984" s="165">
        <v>982.0</v>
      </c>
      <c r="B984" s="167" t="s">
        <v>16448</v>
      </c>
      <c r="C984" s="165"/>
      <c r="D984" s="165"/>
      <c r="E984" s="165"/>
      <c r="F984" s="165"/>
      <c r="G984" s="165"/>
      <c r="H984" s="165"/>
      <c r="I984" s="165"/>
      <c r="J984" s="165"/>
      <c r="K984" s="165"/>
      <c r="L984" s="165"/>
      <c r="M984" s="165"/>
      <c r="N984" s="165"/>
      <c r="O984" s="165"/>
      <c r="P984" s="165"/>
      <c r="Q984" s="165"/>
      <c r="R984" s="165"/>
      <c r="S984" s="165"/>
      <c r="T984" s="165"/>
      <c r="U984" s="165"/>
      <c r="V984" s="165"/>
      <c r="W984" s="165"/>
      <c r="X984" s="165"/>
    </row>
    <row r="985" ht="18.75" customHeight="1">
      <c r="A985" s="165">
        <v>983.0</v>
      </c>
      <c r="B985" s="165" t="s">
        <v>16449</v>
      </c>
      <c r="C985" s="165"/>
      <c r="D985" s="165"/>
      <c r="E985" s="165"/>
      <c r="F985" s="165"/>
      <c r="G985" s="165"/>
      <c r="H985" s="165"/>
      <c r="I985" s="165"/>
      <c r="J985" s="165"/>
      <c r="K985" s="165"/>
      <c r="L985" s="165"/>
      <c r="M985" s="165"/>
      <c r="N985" s="165"/>
      <c r="O985" s="165"/>
      <c r="P985" s="165"/>
      <c r="Q985" s="165"/>
      <c r="R985" s="165"/>
      <c r="S985" s="165"/>
      <c r="T985" s="165"/>
      <c r="U985" s="165"/>
      <c r="V985" s="165"/>
      <c r="W985" s="165"/>
      <c r="X985" s="165"/>
    </row>
    <row r="986" ht="18.75" customHeight="1">
      <c r="A986" s="165">
        <v>984.0</v>
      </c>
      <c r="B986" s="165" t="s">
        <v>16450</v>
      </c>
      <c r="C986" s="165"/>
      <c r="D986" s="165"/>
      <c r="E986" s="165"/>
      <c r="F986" s="165"/>
      <c r="G986" s="165"/>
      <c r="H986" s="165"/>
      <c r="I986" s="165"/>
      <c r="J986" s="165"/>
      <c r="K986" s="165"/>
      <c r="L986" s="165"/>
      <c r="M986" s="165"/>
      <c r="N986" s="165"/>
      <c r="O986" s="165"/>
      <c r="P986" s="165"/>
      <c r="Q986" s="165"/>
      <c r="R986" s="165"/>
      <c r="S986" s="165"/>
      <c r="T986" s="165"/>
      <c r="U986" s="165"/>
      <c r="V986" s="165"/>
      <c r="W986" s="165"/>
      <c r="X986" s="165"/>
    </row>
    <row r="987" ht="18.75" customHeight="1">
      <c r="A987" s="165">
        <v>985.0</v>
      </c>
      <c r="B987" s="165" t="s">
        <v>16451</v>
      </c>
      <c r="C987" s="165"/>
      <c r="D987" s="165"/>
      <c r="E987" s="165"/>
      <c r="F987" s="165"/>
      <c r="G987" s="165"/>
      <c r="H987" s="165"/>
      <c r="I987" s="165"/>
      <c r="J987" s="165"/>
      <c r="K987" s="165"/>
      <c r="L987" s="165"/>
      <c r="M987" s="165"/>
      <c r="N987" s="165"/>
      <c r="O987" s="165"/>
      <c r="P987" s="165"/>
      <c r="Q987" s="165"/>
      <c r="R987" s="165"/>
      <c r="S987" s="165"/>
      <c r="T987" s="165"/>
      <c r="U987" s="165"/>
      <c r="V987" s="165"/>
      <c r="W987" s="165"/>
      <c r="X987" s="165"/>
    </row>
    <row r="988" ht="18.75" customHeight="1">
      <c r="A988" s="165">
        <v>986.0</v>
      </c>
      <c r="B988" s="165" t="s">
        <v>16452</v>
      </c>
      <c r="C988" s="165"/>
      <c r="D988" s="165"/>
      <c r="E988" s="165"/>
      <c r="F988" s="165"/>
      <c r="G988" s="165"/>
      <c r="H988" s="165"/>
      <c r="I988" s="165"/>
      <c r="J988" s="165"/>
      <c r="K988" s="165"/>
      <c r="L988" s="165"/>
      <c r="M988" s="165"/>
      <c r="N988" s="165"/>
      <c r="O988" s="165"/>
      <c r="P988" s="165"/>
      <c r="Q988" s="165"/>
      <c r="R988" s="165"/>
      <c r="S988" s="165"/>
      <c r="T988" s="165"/>
      <c r="U988" s="165"/>
      <c r="V988" s="165"/>
      <c r="W988" s="165"/>
      <c r="X988" s="165"/>
    </row>
    <row r="989" ht="18.75" customHeight="1">
      <c r="A989" s="165">
        <v>987.0</v>
      </c>
      <c r="B989" s="165" t="s">
        <v>16453</v>
      </c>
      <c r="C989" s="165"/>
      <c r="D989" s="165"/>
      <c r="E989" s="165"/>
      <c r="F989" s="165"/>
      <c r="G989" s="165"/>
      <c r="H989" s="165"/>
      <c r="I989" s="165"/>
      <c r="J989" s="165"/>
      <c r="K989" s="165"/>
      <c r="L989" s="165"/>
      <c r="M989" s="165"/>
      <c r="N989" s="165"/>
      <c r="O989" s="165"/>
      <c r="P989" s="165"/>
      <c r="Q989" s="165"/>
      <c r="R989" s="165"/>
      <c r="S989" s="165"/>
      <c r="T989" s="165"/>
      <c r="U989" s="165"/>
      <c r="V989" s="165"/>
      <c r="W989" s="165"/>
      <c r="X989" s="165"/>
    </row>
    <row r="990" ht="18.75" customHeight="1">
      <c r="A990" s="165">
        <v>988.0</v>
      </c>
      <c r="B990" s="165" t="s">
        <v>16454</v>
      </c>
      <c r="C990" s="165"/>
      <c r="D990" s="165"/>
      <c r="E990" s="165"/>
      <c r="F990" s="165"/>
      <c r="G990" s="165"/>
      <c r="H990" s="165"/>
      <c r="I990" s="165"/>
      <c r="J990" s="165"/>
      <c r="K990" s="165"/>
      <c r="L990" s="165"/>
      <c r="M990" s="165"/>
      <c r="N990" s="165"/>
      <c r="O990" s="165"/>
      <c r="P990" s="165"/>
      <c r="Q990" s="165"/>
      <c r="R990" s="165"/>
      <c r="S990" s="165"/>
      <c r="T990" s="165"/>
      <c r="U990" s="165"/>
      <c r="V990" s="165"/>
      <c r="W990" s="165"/>
      <c r="X990" s="165"/>
    </row>
    <row r="991" ht="18.75" customHeight="1">
      <c r="A991" s="165">
        <v>989.0</v>
      </c>
      <c r="B991" s="165" t="s">
        <v>16455</v>
      </c>
      <c r="C991" s="165"/>
      <c r="D991" s="165"/>
      <c r="E991" s="165"/>
      <c r="F991" s="165"/>
      <c r="G991" s="165"/>
      <c r="H991" s="165"/>
      <c r="I991" s="165"/>
      <c r="J991" s="165"/>
      <c r="K991" s="165"/>
      <c r="L991" s="165"/>
      <c r="M991" s="165"/>
      <c r="N991" s="165"/>
      <c r="O991" s="165"/>
      <c r="P991" s="165"/>
      <c r="Q991" s="165"/>
      <c r="R991" s="165"/>
      <c r="S991" s="165"/>
      <c r="T991" s="165"/>
      <c r="U991" s="165"/>
      <c r="V991" s="165"/>
      <c r="W991" s="165"/>
      <c r="X991" s="165"/>
    </row>
    <row r="992" ht="18.75" customHeight="1">
      <c r="A992" s="165">
        <v>990.0</v>
      </c>
      <c r="B992" s="165" t="s">
        <v>16456</v>
      </c>
      <c r="C992" s="165"/>
      <c r="D992" s="165"/>
      <c r="E992" s="165"/>
      <c r="F992" s="165"/>
      <c r="G992" s="165"/>
      <c r="H992" s="165"/>
      <c r="I992" s="165"/>
      <c r="J992" s="165"/>
      <c r="K992" s="165"/>
      <c r="L992" s="165"/>
      <c r="M992" s="165"/>
      <c r="N992" s="165"/>
      <c r="O992" s="165"/>
      <c r="P992" s="165"/>
      <c r="Q992" s="165"/>
      <c r="R992" s="165"/>
      <c r="S992" s="165"/>
      <c r="T992" s="165"/>
      <c r="U992" s="165"/>
      <c r="V992" s="165"/>
      <c r="W992" s="165"/>
      <c r="X992" s="165"/>
    </row>
    <row r="993" ht="18.75" customHeight="1">
      <c r="A993" s="165">
        <v>991.0</v>
      </c>
      <c r="B993" s="165" t="s">
        <v>16457</v>
      </c>
      <c r="C993" s="165"/>
      <c r="D993" s="165"/>
      <c r="E993" s="165"/>
      <c r="F993" s="165"/>
      <c r="G993" s="165"/>
      <c r="H993" s="165"/>
      <c r="I993" s="165"/>
      <c r="J993" s="165"/>
      <c r="K993" s="165"/>
      <c r="L993" s="165"/>
      <c r="M993" s="165"/>
      <c r="N993" s="165"/>
      <c r="O993" s="165"/>
      <c r="P993" s="165"/>
      <c r="Q993" s="165"/>
      <c r="R993" s="165"/>
      <c r="S993" s="165"/>
      <c r="T993" s="165"/>
      <c r="U993" s="165"/>
      <c r="V993" s="165"/>
      <c r="W993" s="165"/>
      <c r="X993" s="165"/>
    </row>
    <row r="994" ht="18.75" customHeight="1">
      <c r="A994" s="165">
        <v>992.0</v>
      </c>
      <c r="B994" s="167" t="s">
        <v>16458</v>
      </c>
      <c r="C994" s="165"/>
      <c r="D994" s="165"/>
      <c r="E994" s="165"/>
      <c r="F994" s="165"/>
      <c r="G994" s="165"/>
      <c r="H994" s="165"/>
      <c r="I994" s="165"/>
      <c r="J994" s="165"/>
      <c r="K994" s="165"/>
      <c r="L994" s="165"/>
      <c r="M994" s="165"/>
      <c r="N994" s="165"/>
      <c r="O994" s="165"/>
      <c r="P994" s="165"/>
      <c r="Q994" s="165"/>
      <c r="R994" s="165"/>
      <c r="S994" s="165"/>
      <c r="T994" s="165"/>
      <c r="U994" s="165"/>
      <c r="V994" s="165"/>
      <c r="W994" s="165"/>
      <c r="X994" s="165"/>
    </row>
    <row r="995" ht="18.75" customHeight="1">
      <c r="A995" s="165">
        <v>993.0</v>
      </c>
      <c r="B995" s="165" t="s">
        <v>16459</v>
      </c>
      <c r="C995" s="165"/>
      <c r="D995" s="165"/>
      <c r="E995" s="165"/>
      <c r="F995" s="165"/>
      <c r="G995" s="165"/>
      <c r="H995" s="165"/>
      <c r="I995" s="165"/>
      <c r="J995" s="165"/>
      <c r="K995" s="165"/>
      <c r="L995" s="165"/>
      <c r="M995" s="165"/>
      <c r="N995" s="165"/>
      <c r="O995" s="165"/>
      <c r="P995" s="165"/>
      <c r="Q995" s="165"/>
      <c r="R995" s="165"/>
      <c r="S995" s="165"/>
      <c r="T995" s="165"/>
      <c r="U995" s="165"/>
      <c r="V995" s="165"/>
      <c r="W995" s="165"/>
      <c r="X995" s="165"/>
    </row>
    <row r="996" ht="18.75" customHeight="1">
      <c r="A996" s="165">
        <v>994.0</v>
      </c>
      <c r="B996" s="167" t="s">
        <v>16460</v>
      </c>
      <c r="C996" s="165"/>
      <c r="D996" s="165"/>
      <c r="E996" s="165"/>
      <c r="F996" s="165"/>
      <c r="G996" s="165"/>
      <c r="H996" s="165"/>
      <c r="I996" s="165"/>
      <c r="J996" s="165"/>
      <c r="K996" s="165"/>
      <c r="L996" s="165"/>
      <c r="M996" s="165"/>
      <c r="N996" s="165"/>
      <c r="O996" s="165"/>
      <c r="P996" s="165"/>
      <c r="Q996" s="165"/>
      <c r="R996" s="165"/>
      <c r="S996" s="165"/>
      <c r="T996" s="165"/>
      <c r="U996" s="165"/>
      <c r="V996" s="165"/>
      <c r="W996" s="165"/>
      <c r="X996" s="165"/>
    </row>
    <row r="997" ht="18.75" customHeight="1">
      <c r="A997" s="165">
        <v>995.0</v>
      </c>
      <c r="B997" s="165" t="s">
        <v>16461</v>
      </c>
      <c r="C997" s="165"/>
      <c r="D997" s="165"/>
      <c r="E997" s="165"/>
      <c r="F997" s="165"/>
      <c r="G997" s="165"/>
      <c r="H997" s="165"/>
      <c r="I997" s="165"/>
      <c r="J997" s="165"/>
      <c r="K997" s="165"/>
      <c r="L997" s="165"/>
      <c r="M997" s="165"/>
      <c r="N997" s="165"/>
      <c r="O997" s="165"/>
      <c r="P997" s="165"/>
      <c r="Q997" s="165"/>
      <c r="R997" s="165"/>
      <c r="S997" s="165"/>
      <c r="T997" s="165"/>
      <c r="U997" s="165"/>
      <c r="V997" s="165"/>
      <c r="W997" s="165"/>
      <c r="X997" s="165"/>
    </row>
    <row r="998" ht="18.75" customHeight="1">
      <c r="A998" s="165">
        <v>996.0</v>
      </c>
      <c r="B998" s="165" t="s">
        <v>16462</v>
      </c>
      <c r="C998" s="165"/>
      <c r="D998" s="165"/>
      <c r="E998" s="165"/>
      <c r="F998" s="165"/>
      <c r="G998" s="165"/>
      <c r="H998" s="165"/>
      <c r="I998" s="165"/>
      <c r="J998" s="165"/>
      <c r="K998" s="165"/>
      <c r="L998" s="165"/>
      <c r="M998" s="165"/>
      <c r="N998" s="165"/>
      <c r="O998" s="165"/>
      <c r="P998" s="165"/>
      <c r="Q998" s="165"/>
      <c r="R998" s="165"/>
      <c r="S998" s="165"/>
      <c r="T998" s="165"/>
      <c r="U998" s="165"/>
      <c r="V998" s="165"/>
      <c r="W998" s="165"/>
      <c r="X998" s="165"/>
    </row>
    <row r="999" ht="18.75" customHeight="1">
      <c r="A999" s="165">
        <v>997.0</v>
      </c>
      <c r="B999" s="165" t="s">
        <v>16463</v>
      </c>
      <c r="C999" s="165"/>
      <c r="D999" s="165"/>
      <c r="E999" s="165"/>
      <c r="F999" s="165"/>
      <c r="G999" s="165"/>
      <c r="H999" s="165"/>
      <c r="I999" s="165"/>
      <c r="J999" s="165"/>
      <c r="K999" s="165"/>
      <c r="L999" s="165"/>
      <c r="M999" s="165"/>
      <c r="N999" s="165"/>
      <c r="O999" s="165"/>
      <c r="P999" s="165"/>
      <c r="Q999" s="165"/>
      <c r="R999" s="165"/>
      <c r="S999" s="165"/>
      <c r="T999" s="165"/>
      <c r="U999" s="165"/>
      <c r="V999" s="165"/>
      <c r="W999" s="165"/>
      <c r="X999" s="165"/>
    </row>
    <row r="1000" ht="18.75" customHeight="1">
      <c r="A1000" s="165">
        <v>998.0</v>
      </c>
      <c r="B1000" s="165" t="s">
        <v>16464</v>
      </c>
      <c r="C1000" s="165"/>
      <c r="D1000" s="165"/>
      <c r="E1000" s="165"/>
      <c r="F1000" s="165"/>
      <c r="G1000" s="165"/>
      <c r="H1000" s="165"/>
      <c r="I1000" s="165"/>
      <c r="J1000" s="165"/>
      <c r="K1000" s="165"/>
      <c r="L1000" s="165"/>
      <c r="M1000" s="165"/>
      <c r="N1000" s="165"/>
      <c r="O1000" s="165"/>
      <c r="P1000" s="165"/>
      <c r="Q1000" s="165"/>
      <c r="R1000" s="165"/>
      <c r="S1000" s="165"/>
      <c r="T1000" s="165"/>
      <c r="U1000" s="165"/>
      <c r="V1000" s="165"/>
      <c r="W1000" s="165"/>
      <c r="X1000" s="165"/>
    </row>
    <row r="1001" ht="18.75" customHeight="1">
      <c r="A1001" s="165">
        <v>999.0</v>
      </c>
      <c r="B1001" s="165" t="s">
        <v>16465</v>
      </c>
      <c r="C1001" s="165"/>
      <c r="D1001" s="165"/>
      <c r="E1001" s="165"/>
      <c r="F1001" s="165"/>
      <c r="G1001" s="165"/>
      <c r="H1001" s="165"/>
      <c r="I1001" s="165"/>
      <c r="J1001" s="165"/>
      <c r="K1001" s="165"/>
      <c r="L1001" s="165"/>
      <c r="M1001" s="165"/>
      <c r="N1001" s="165"/>
      <c r="O1001" s="165"/>
      <c r="P1001" s="165"/>
      <c r="Q1001" s="165"/>
      <c r="R1001" s="165"/>
      <c r="S1001" s="165"/>
      <c r="T1001" s="165"/>
      <c r="U1001" s="165"/>
      <c r="V1001" s="165"/>
      <c r="W1001" s="165"/>
      <c r="X1001" s="165"/>
    </row>
    <row r="1002" ht="18.75" customHeight="1">
      <c r="A1002" s="165">
        <v>1000.0</v>
      </c>
      <c r="B1002" s="167" t="s">
        <v>16466</v>
      </c>
      <c r="C1002" s="165"/>
      <c r="D1002" s="165"/>
      <c r="E1002" s="165"/>
      <c r="F1002" s="165"/>
      <c r="G1002" s="165"/>
      <c r="H1002" s="165"/>
      <c r="I1002" s="165"/>
      <c r="J1002" s="165"/>
      <c r="K1002" s="165"/>
      <c r="L1002" s="165"/>
      <c r="M1002" s="165"/>
      <c r="N1002" s="165"/>
      <c r="O1002" s="165"/>
      <c r="P1002" s="165"/>
      <c r="Q1002" s="165"/>
      <c r="R1002" s="165"/>
      <c r="S1002" s="165"/>
      <c r="T1002" s="165"/>
      <c r="U1002" s="165"/>
      <c r="V1002" s="165"/>
      <c r="W1002" s="165"/>
      <c r="X1002" s="165"/>
    </row>
    <row r="1003" ht="18.75" customHeight="1">
      <c r="A1003" s="165">
        <v>1001.0</v>
      </c>
      <c r="B1003" s="167" t="s">
        <v>16467</v>
      </c>
      <c r="C1003" s="165"/>
      <c r="D1003" s="165"/>
      <c r="E1003" s="165"/>
      <c r="F1003" s="165"/>
      <c r="G1003" s="165"/>
      <c r="H1003" s="165"/>
      <c r="I1003" s="165"/>
      <c r="J1003" s="165"/>
      <c r="K1003" s="165"/>
      <c r="L1003" s="165"/>
      <c r="M1003" s="165"/>
      <c r="N1003" s="165"/>
      <c r="O1003" s="165"/>
      <c r="P1003" s="165"/>
      <c r="Q1003" s="165"/>
      <c r="R1003" s="165"/>
      <c r="S1003" s="165"/>
      <c r="T1003" s="165"/>
      <c r="U1003" s="165"/>
      <c r="V1003" s="165"/>
      <c r="W1003" s="165"/>
      <c r="X1003" s="165"/>
    </row>
    <row r="1004" ht="18.75" customHeight="1">
      <c r="A1004" s="165">
        <v>1002.0</v>
      </c>
      <c r="B1004" s="165" t="s">
        <v>16468</v>
      </c>
      <c r="C1004" s="165"/>
      <c r="D1004" s="165"/>
      <c r="E1004" s="165"/>
      <c r="F1004" s="165"/>
      <c r="G1004" s="165"/>
      <c r="H1004" s="165"/>
      <c r="I1004" s="165"/>
      <c r="J1004" s="165"/>
      <c r="K1004" s="165"/>
      <c r="L1004" s="165"/>
      <c r="M1004" s="165"/>
      <c r="N1004" s="165"/>
      <c r="O1004" s="165"/>
      <c r="P1004" s="165"/>
      <c r="Q1004" s="165"/>
      <c r="R1004" s="165"/>
      <c r="S1004" s="165"/>
      <c r="T1004" s="165"/>
      <c r="U1004" s="165"/>
      <c r="V1004" s="165"/>
      <c r="W1004" s="165"/>
      <c r="X1004" s="165"/>
    </row>
    <row r="1005" ht="18.75" customHeight="1">
      <c r="A1005" s="165">
        <v>1003.0</v>
      </c>
      <c r="B1005" s="165" t="s">
        <v>16469</v>
      </c>
      <c r="C1005" s="165"/>
      <c r="D1005" s="165"/>
      <c r="E1005" s="165"/>
      <c r="F1005" s="165"/>
      <c r="G1005" s="165"/>
      <c r="H1005" s="165"/>
      <c r="I1005" s="165"/>
      <c r="J1005" s="165"/>
      <c r="K1005" s="165"/>
      <c r="L1005" s="165"/>
      <c r="M1005" s="165"/>
      <c r="N1005" s="165"/>
      <c r="O1005" s="165"/>
      <c r="P1005" s="165"/>
      <c r="Q1005" s="165"/>
      <c r="R1005" s="165"/>
      <c r="S1005" s="165"/>
      <c r="T1005" s="165"/>
      <c r="U1005" s="165"/>
      <c r="V1005" s="165"/>
      <c r="W1005" s="165"/>
      <c r="X1005" s="165"/>
    </row>
    <row r="1006" ht="18.75" customHeight="1">
      <c r="A1006" s="165">
        <v>1004.0</v>
      </c>
      <c r="B1006" s="167" t="s">
        <v>16470</v>
      </c>
      <c r="C1006" s="165"/>
      <c r="D1006" s="165"/>
      <c r="E1006" s="165"/>
      <c r="F1006" s="165"/>
      <c r="G1006" s="165"/>
      <c r="H1006" s="165"/>
      <c r="I1006" s="165"/>
      <c r="J1006" s="165"/>
      <c r="K1006" s="165"/>
      <c r="L1006" s="165"/>
      <c r="M1006" s="165"/>
      <c r="N1006" s="165"/>
      <c r="O1006" s="165"/>
      <c r="P1006" s="165"/>
      <c r="Q1006" s="165"/>
      <c r="R1006" s="165"/>
      <c r="S1006" s="165"/>
      <c r="T1006" s="165"/>
      <c r="U1006" s="165"/>
      <c r="V1006" s="165"/>
      <c r="W1006" s="165"/>
      <c r="X1006" s="165"/>
    </row>
    <row r="1007" ht="18.75" customHeight="1">
      <c r="A1007" s="165">
        <v>1005.0</v>
      </c>
      <c r="B1007" s="165" t="s">
        <v>16471</v>
      </c>
      <c r="C1007" s="165"/>
      <c r="D1007" s="165"/>
      <c r="E1007" s="165"/>
      <c r="F1007" s="165"/>
      <c r="G1007" s="165"/>
      <c r="H1007" s="165"/>
      <c r="I1007" s="165"/>
      <c r="J1007" s="165"/>
      <c r="K1007" s="165"/>
      <c r="L1007" s="165"/>
      <c r="M1007" s="165"/>
      <c r="N1007" s="165"/>
      <c r="O1007" s="165"/>
      <c r="P1007" s="165"/>
      <c r="Q1007" s="165"/>
      <c r="R1007" s="165"/>
      <c r="S1007" s="165"/>
      <c r="T1007" s="165"/>
      <c r="U1007" s="165"/>
      <c r="V1007" s="165"/>
      <c r="W1007" s="165"/>
      <c r="X1007" s="165"/>
    </row>
    <row r="1008" ht="18.75" customHeight="1">
      <c r="A1008" s="165">
        <v>1006.0</v>
      </c>
      <c r="B1008" s="167" t="s">
        <v>16472</v>
      </c>
      <c r="C1008" s="165"/>
      <c r="D1008" s="165"/>
      <c r="E1008" s="165"/>
      <c r="F1008" s="165"/>
      <c r="G1008" s="165"/>
      <c r="H1008" s="165"/>
      <c r="I1008" s="165"/>
      <c r="J1008" s="165"/>
      <c r="K1008" s="165"/>
      <c r="L1008" s="165"/>
      <c r="M1008" s="165"/>
      <c r="N1008" s="165"/>
      <c r="O1008" s="165"/>
      <c r="P1008" s="165"/>
      <c r="Q1008" s="165"/>
      <c r="R1008" s="165"/>
      <c r="S1008" s="165"/>
      <c r="T1008" s="165"/>
      <c r="U1008" s="165"/>
      <c r="V1008" s="165"/>
      <c r="W1008" s="165"/>
      <c r="X1008" s="165"/>
    </row>
    <row r="1009" ht="18.75" customHeight="1">
      <c r="A1009" s="165">
        <v>1007.0</v>
      </c>
      <c r="B1009" s="165" t="s">
        <v>16473</v>
      </c>
      <c r="C1009" s="165"/>
      <c r="D1009" s="165"/>
      <c r="E1009" s="165"/>
      <c r="F1009" s="165"/>
      <c r="G1009" s="165"/>
      <c r="H1009" s="165"/>
      <c r="I1009" s="165"/>
      <c r="J1009" s="165"/>
      <c r="K1009" s="165"/>
      <c r="L1009" s="165"/>
      <c r="M1009" s="165"/>
      <c r="N1009" s="165"/>
      <c r="O1009" s="165"/>
      <c r="P1009" s="165"/>
      <c r="Q1009" s="165"/>
      <c r="R1009" s="165"/>
      <c r="S1009" s="165"/>
      <c r="T1009" s="165"/>
      <c r="U1009" s="165"/>
      <c r="V1009" s="165"/>
      <c r="W1009" s="165"/>
      <c r="X1009" s="165"/>
    </row>
    <row r="1010" ht="18.75" customHeight="1">
      <c r="A1010" s="165">
        <v>1008.0</v>
      </c>
      <c r="B1010" s="165" t="s">
        <v>16474</v>
      </c>
      <c r="C1010" s="165"/>
      <c r="D1010" s="165"/>
      <c r="E1010" s="165"/>
      <c r="F1010" s="165"/>
      <c r="G1010" s="165"/>
      <c r="H1010" s="165"/>
      <c r="I1010" s="165"/>
      <c r="J1010" s="165"/>
      <c r="K1010" s="165"/>
      <c r="L1010" s="165"/>
      <c r="M1010" s="165"/>
      <c r="N1010" s="165"/>
      <c r="O1010" s="165"/>
      <c r="P1010" s="165"/>
      <c r="Q1010" s="165"/>
      <c r="R1010" s="165"/>
      <c r="S1010" s="165"/>
      <c r="T1010" s="165"/>
      <c r="U1010" s="165"/>
      <c r="V1010" s="165"/>
      <c r="W1010" s="165"/>
      <c r="X1010" s="165"/>
    </row>
    <row r="1011" ht="18.75" customHeight="1">
      <c r="A1011" s="165">
        <v>1009.0</v>
      </c>
      <c r="B1011" s="165" t="s">
        <v>16475</v>
      </c>
      <c r="C1011" s="165"/>
      <c r="D1011" s="165"/>
      <c r="E1011" s="165"/>
      <c r="F1011" s="165"/>
      <c r="G1011" s="165"/>
      <c r="H1011" s="165"/>
      <c r="I1011" s="165"/>
      <c r="J1011" s="165"/>
      <c r="K1011" s="165"/>
      <c r="L1011" s="165"/>
      <c r="M1011" s="165"/>
      <c r="N1011" s="165"/>
      <c r="O1011" s="165"/>
      <c r="P1011" s="165"/>
      <c r="Q1011" s="165"/>
      <c r="R1011" s="165"/>
      <c r="S1011" s="165"/>
      <c r="T1011" s="165"/>
      <c r="U1011" s="165"/>
      <c r="V1011" s="165"/>
      <c r="W1011" s="165"/>
      <c r="X1011" s="165"/>
    </row>
    <row r="1012" ht="18.75" customHeight="1">
      <c r="A1012" s="165">
        <v>1010.0</v>
      </c>
      <c r="B1012" s="165" t="s">
        <v>16476</v>
      </c>
      <c r="C1012" s="165"/>
      <c r="D1012" s="165"/>
      <c r="E1012" s="165"/>
      <c r="F1012" s="165"/>
      <c r="G1012" s="165"/>
      <c r="H1012" s="165"/>
      <c r="I1012" s="165"/>
      <c r="J1012" s="165"/>
      <c r="K1012" s="165"/>
      <c r="L1012" s="165"/>
      <c r="M1012" s="165"/>
      <c r="N1012" s="165"/>
      <c r="O1012" s="165"/>
      <c r="P1012" s="165"/>
      <c r="Q1012" s="165"/>
      <c r="R1012" s="165"/>
      <c r="S1012" s="165"/>
      <c r="T1012" s="165"/>
      <c r="U1012" s="165"/>
      <c r="V1012" s="165"/>
      <c r="W1012" s="165"/>
      <c r="X1012" s="165"/>
    </row>
    <row r="1013" ht="18.75" customHeight="1">
      <c r="A1013" s="165">
        <v>1011.0</v>
      </c>
      <c r="B1013" s="167" t="s">
        <v>16477</v>
      </c>
      <c r="C1013" s="165"/>
      <c r="D1013" s="165"/>
      <c r="E1013" s="165"/>
      <c r="F1013" s="165"/>
      <c r="G1013" s="165"/>
      <c r="H1013" s="165"/>
      <c r="I1013" s="165"/>
      <c r="J1013" s="165"/>
      <c r="K1013" s="165"/>
      <c r="L1013" s="165"/>
      <c r="M1013" s="165"/>
      <c r="N1013" s="165"/>
      <c r="O1013" s="165"/>
      <c r="P1013" s="165"/>
      <c r="Q1013" s="165"/>
      <c r="R1013" s="165"/>
      <c r="S1013" s="165"/>
      <c r="T1013" s="165"/>
      <c r="U1013" s="165"/>
      <c r="V1013" s="165"/>
      <c r="W1013" s="165"/>
      <c r="X1013" s="165"/>
    </row>
    <row r="1014" ht="18.75" customHeight="1">
      <c r="A1014" s="165">
        <v>1012.0</v>
      </c>
      <c r="B1014" s="165" t="s">
        <v>16478</v>
      </c>
      <c r="C1014" s="165"/>
      <c r="D1014" s="165"/>
      <c r="E1014" s="165"/>
      <c r="F1014" s="165"/>
      <c r="G1014" s="165"/>
      <c r="H1014" s="165"/>
      <c r="I1014" s="165"/>
      <c r="J1014" s="165"/>
      <c r="K1014" s="165"/>
      <c r="L1014" s="165"/>
      <c r="M1014" s="165"/>
      <c r="N1014" s="165"/>
      <c r="O1014" s="165"/>
      <c r="P1014" s="165"/>
      <c r="Q1014" s="165"/>
      <c r="R1014" s="165"/>
      <c r="S1014" s="165"/>
      <c r="T1014" s="165"/>
      <c r="U1014" s="165"/>
      <c r="V1014" s="165"/>
      <c r="W1014" s="165"/>
      <c r="X1014" s="165"/>
    </row>
    <row r="1015" ht="18.75" customHeight="1">
      <c r="A1015" s="165">
        <v>1013.0</v>
      </c>
      <c r="B1015" s="165" t="s">
        <v>16479</v>
      </c>
      <c r="C1015" s="165"/>
      <c r="D1015" s="165"/>
      <c r="E1015" s="165"/>
      <c r="F1015" s="165"/>
      <c r="G1015" s="165"/>
      <c r="H1015" s="165"/>
      <c r="I1015" s="165"/>
      <c r="J1015" s="165"/>
      <c r="K1015" s="165"/>
      <c r="L1015" s="165"/>
      <c r="M1015" s="165"/>
      <c r="N1015" s="165"/>
      <c r="O1015" s="165"/>
      <c r="P1015" s="165"/>
      <c r="Q1015" s="165"/>
      <c r="R1015" s="165"/>
      <c r="S1015" s="165"/>
      <c r="T1015" s="165"/>
      <c r="U1015" s="165"/>
      <c r="V1015" s="165"/>
      <c r="W1015" s="165"/>
      <c r="X1015" s="165"/>
    </row>
    <row r="1016" ht="18.75" customHeight="1">
      <c r="A1016" s="165">
        <v>1014.0</v>
      </c>
      <c r="B1016" s="165" t="s">
        <v>16480</v>
      </c>
      <c r="C1016" s="165"/>
      <c r="D1016" s="165"/>
      <c r="E1016" s="165"/>
      <c r="F1016" s="165"/>
      <c r="G1016" s="165"/>
      <c r="H1016" s="165"/>
      <c r="I1016" s="165"/>
      <c r="J1016" s="165"/>
      <c r="K1016" s="165"/>
      <c r="L1016" s="165"/>
      <c r="M1016" s="165"/>
      <c r="N1016" s="165"/>
      <c r="O1016" s="165"/>
      <c r="P1016" s="165"/>
      <c r="Q1016" s="165"/>
      <c r="R1016" s="165"/>
      <c r="S1016" s="165"/>
      <c r="T1016" s="165"/>
      <c r="U1016" s="165"/>
      <c r="V1016" s="165"/>
      <c r="W1016" s="165"/>
      <c r="X1016" s="165"/>
    </row>
    <row r="1017" ht="18.75" customHeight="1">
      <c r="A1017" s="165">
        <v>1015.0</v>
      </c>
      <c r="B1017" s="165" t="s">
        <v>16481</v>
      </c>
      <c r="C1017" s="165"/>
      <c r="D1017" s="165"/>
      <c r="E1017" s="165"/>
      <c r="F1017" s="165"/>
      <c r="G1017" s="165"/>
      <c r="H1017" s="165"/>
      <c r="I1017" s="165"/>
      <c r="J1017" s="165"/>
      <c r="K1017" s="165"/>
      <c r="L1017" s="165"/>
      <c r="M1017" s="165"/>
      <c r="N1017" s="165"/>
      <c r="O1017" s="165"/>
      <c r="P1017" s="165"/>
      <c r="Q1017" s="165"/>
      <c r="R1017" s="165"/>
      <c r="S1017" s="165"/>
      <c r="T1017" s="165"/>
      <c r="U1017" s="165"/>
      <c r="V1017" s="165"/>
      <c r="W1017" s="165"/>
      <c r="X1017" s="165"/>
    </row>
    <row r="1018" ht="18.75" customHeight="1">
      <c r="A1018" s="165">
        <v>1016.0</v>
      </c>
      <c r="B1018" s="167" t="s">
        <v>16482</v>
      </c>
      <c r="C1018" s="165"/>
      <c r="D1018" s="165"/>
      <c r="E1018" s="165"/>
      <c r="F1018" s="165"/>
      <c r="G1018" s="165"/>
      <c r="H1018" s="165"/>
      <c r="I1018" s="165"/>
      <c r="J1018" s="165"/>
      <c r="K1018" s="165"/>
      <c r="L1018" s="165"/>
      <c r="M1018" s="165"/>
      <c r="N1018" s="165"/>
      <c r="O1018" s="165"/>
      <c r="P1018" s="165"/>
      <c r="Q1018" s="165"/>
      <c r="R1018" s="165"/>
      <c r="S1018" s="165"/>
      <c r="T1018" s="165"/>
      <c r="U1018" s="165"/>
      <c r="V1018" s="165"/>
      <c r="W1018" s="165"/>
      <c r="X1018" s="165"/>
    </row>
    <row r="1019" ht="18.75" customHeight="1">
      <c r="A1019" s="165">
        <v>1017.0</v>
      </c>
      <c r="B1019" s="165" t="s">
        <v>16483</v>
      </c>
      <c r="C1019" s="165"/>
      <c r="D1019" s="165"/>
      <c r="E1019" s="165"/>
      <c r="F1019" s="165"/>
      <c r="G1019" s="165"/>
      <c r="H1019" s="165"/>
      <c r="I1019" s="165"/>
      <c r="J1019" s="165"/>
      <c r="K1019" s="165"/>
      <c r="L1019" s="165"/>
      <c r="M1019" s="165"/>
      <c r="N1019" s="165"/>
      <c r="O1019" s="165"/>
      <c r="P1019" s="165"/>
      <c r="Q1019" s="165"/>
      <c r="R1019" s="165"/>
      <c r="S1019" s="165"/>
      <c r="T1019" s="165"/>
      <c r="U1019" s="165"/>
      <c r="V1019" s="165"/>
      <c r="W1019" s="165"/>
      <c r="X1019" s="165"/>
    </row>
    <row r="1020" ht="18.75" customHeight="1">
      <c r="A1020" s="165">
        <v>1018.0</v>
      </c>
      <c r="B1020" s="165" t="s">
        <v>16484</v>
      </c>
      <c r="C1020" s="165"/>
      <c r="D1020" s="165"/>
      <c r="E1020" s="165"/>
      <c r="F1020" s="165"/>
      <c r="G1020" s="165"/>
      <c r="H1020" s="165"/>
      <c r="I1020" s="165"/>
      <c r="J1020" s="165"/>
      <c r="K1020" s="165"/>
      <c r="L1020" s="165"/>
      <c r="M1020" s="165"/>
      <c r="N1020" s="165"/>
      <c r="O1020" s="165"/>
      <c r="P1020" s="165"/>
      <c r="Q1020" s="165"/>
      <c r="R1020" s="165"/>
      <c r="S1020" s="165"/>
      <c r="T1020" s="165"/>
      <c r="U1020" s="165"/>
      <c r="V1020" s="165"/>
      <c r="W1020" s="165"/>
      <c r="X1020" s="165"/>
    </row>
    <row r="1021" ht="18.75" customHeight="1">
      <c r="A1021" s="165">
        <v>1019.0</v>
      </c>
      <c r="B1021" s="165" t="s">
        <v>16485</v>
      </c>
      <c r="C1021" s="165"/>
      <c r="D1021" s="165"/>
      <c r="E1021" s="165"/>
      <c r="F1021" s="165"/>
      <c r="G1021" s="165"/>
      <c r="H1021" s="165"/>
      <c r="I1021" s="165"/>
      <c r="J1021" s="165"/>
      <c r="K1021" s="165"/>
      <c r="L1021" s="165"/>
      <c r="M1021" s="165"/>
      <c r="N1021" s="165"/>
      <c r="O1021" s="165"/>
      <c r="P1021" s="165"/>
      <c r="Q1021" s="165"/>
      <c r="R1021" s="165"/>
      <c r="S1021" s="165"/>
      <c r="T1021" s="165"/>
      <c r="U1021" s="165"/>
      <c r="V1021" s="165"/>
      <c r="W1021" s="165"/>
      <c r="X1021" s="165"/>
    </row>
    <row r="1022" ht="18.75" customHeight="1">
      <c r="A1022" s="165">
        <v>1020.0</v>
      </c>
      <c r="B1022" s="167" t="s">
        <v>16486</v>
      </c>
      <c r="C1022" s="165"/>
      <c r="D1022" s="165"/>
      <c r="E1022" s="165"/>
      <c r="F1022" s="165"/>
      <c r="G1022" s="165"/>
      <c r="H1022" s="165"/>
      <c r="I1022" s="165"/>
      <c r="J1022" s="165"/>
      <c r="K1022" s="165"/>
      <c r="L1022" s="165"/>
      <c r="M1022" s="165"/>
      <c r="N1022" s="165"/>
      <c r="O1022" s="165"/>
      <c r="P1022" s="165"/>
      <c r="Q1022" s="165"/>
      <c r="R1022" s="165"/>
      <c r="S1022" s="165"/>
      <c r="T1022" s="165"/>
      <c r="U1022" s="165"/>
      <c r="V1022" s="165"/>
      <c r="W1022" s="165"/>
      <c r="X1022" s="165"/>
    </row>
    <row r="1023" ht="18.75" customHeight="1">
      <c r="A1023" s="165">
        <v>1021.0</v>
      </c>
      <c r="B1023" s="167" t="s">
        <v>16487</v>
      </c>
      <c r="C1023" s="165"/>
      <c r="D1023" s="165"/>
      <c r="E1023" s="165"/>
      <c r="F1023" s="165"/>
      <c r="G1023" s="165"/>
      <c r="H1023" s="165"/>
      <c r="I1023" s="165"/>
      <c r="J1023" s="165"/>
      <c r="K1023" s="165"/>
      <c r="L1023" s="165"/>
      <c r="M1023" s="165"/>
      <c r="N1023" s="165"/>
      <c r="O1023" s="165"/>
      <c r="P1023" s="165"/>
      <c r="Q1023" s="165"/>
      <c r="R1023" s="165"/>
      <c r="S1023" s="165"/>
      <c r="T1023" s="165"/>
      <c r="U1023" s="165"/>
      <c r="V1023" s="165"/>
      <c r="W1023" s="165"/>
      <c r="X1023" s="165"/>
    </row>
    <row r="1024" ht="18.75" customHeight="1">
      <c r="A1024" s="165">
        <v>1022.0</v>
      </c>
      <c r="B1024" s="165" t="s">
        <v>16488</v>
      </c>
      <c r="C1024" s="165"/>
      <c r="D1024" s="165"/>
      <c r="E1024" s="165"/>
      <c r="F1024" s="165"/>
      <c r="G1024" s="165"/>
      <c r="H1024" s="165"/>
      <c r="I1024" s="165"/>
      <c r="J1024" s="165"/>
      <c r="K1024" s="165"/>
      <c r="L1024" s="165"/>
      <c r="M1024" s="165"/>
      <c r="N1024" s="165"/>
      <c r="O1024" s="165"/>
      <c r="P1024" s="165"/>
      <c r="Q1024" s="165"/>
      <c r="R1024" s="165"/>
      <c r="S1024" s="165"/>
      <c r="T1024" s="165"/>
      <c r="U1024" s="165"/>
      <c r="V1024" s="165"/>
      <c r="W1024" s="165"/>
      <c r="X1024" s="165"/>
    </row>
    <row r="1025" ht="18.75" customHeight="1">
      <c r="A1025" s="165">
        <v>1023.0</v>
      </c>
      <c r="B1025" s="165" t="s">
        <v>16489</v>
      </c>
      <c r="C1025" s="165"/>
      <c r="D1025" s="165"/>
      <c r="E1025" s="165"/>
      <c r="F1025" s="165"/>
      <c r="G1025" s="165"/>
      <c r="H1025" s="165"/>
      <c r="I1025" s="165"/>
      <c r="J1025" s="165"/>
      <c r="K1025" s="165"/>
      <c r="L1025" s="165"/>
      <c r="M1025" s="165"/>
      <c r="N1025" s="165"/>
      <c r="O1025" s="165"/>
      <c r="P1025" s="165"/>
      <c r="Q1025" s="165"/>
      <c r="R1025" s="165"/>
      <c r="S1025" s="165"/>
      <c r="T1025" s="165"/>
      <c r="U1025" s="165"/>
      <c r="V1025" s="165"/>
      <c r="W1025" s="165"/>
      <c r="X1025" s="165"/>
    </row>
    <row r="1026" ht="18.75" customHeight="1">
      <c r="A1026" s="165">
        <v>1024.0</v>
      </c>
      <c r="B1026" s="165" t="s">
        <v>16490</v>
      </c>
      <c r="C1026" s="165"/>
      <c r="D1026" s="165"/>
      <c r="E1026" s="165"/>
      <c r="F1026" s="165"/>
      <c r="G1026" s="165"/>
      <c r="H1026" s="165"/>
      <c r="I1026" s="165"/>
      <c r="J1026" s="165"/>
      <c r="K1026" s="165"/>
      <c r="L1026" s="165"/>
      <c r="M1026" s="165"/>
      <c r="N1026" s="165"/>
      <c r="O1026" s="165"/>
      <c r="P1026" s="165"/>
      <c r="Q1026" s="165"/>
      <c r="R1026" s="165"/>
      <c r="S1026" s="165"/>
      <c r="T1026" s="165"/>
      <c r="U1026" s="165"/>
      <c r="V1026" s="165"/>
      <c r="W1026" s="165"/>
      <c r="X1026" s="165"/>
    </row>
    <row r="1027" ht="18.75" customHeight="1">
      <c r="A1027" s="165">
        <v>1025.0</v>
      </c>
      <c r="B1027" s="165" t="s">
        <v>16491</v>
      </c>
      <c r="C1027" s="165"/>
      <c r="D1027" s="165"/>
      <c r="E1027" s="165"/>
      <c r="F1027" s="165"/>
      <c r="G1027" s="165"/>
      <c r="H1027" s="165"/>
      <c r="I1027" s="165"/>
      <c r="J1027" s="165"/>
      <c r="K1027" s="165"/>
      <c r="L1027" s="165"/>
      <c r="M1027" s="165"/>
      <c r="N1027" s="165"/>
      <c r="O1027" s="165"/>
      <c r="P1027" s="165"/>
      <c r="Q1027" s="165"/>
      <c r="R1027" s="165"/>
      <c r="S1027" s="165"/>
      <c r="T1027" s="165"/>
      <c r="U1027" s="165"/>
      <c r="V1027" s="165"/>
      <c r="W1027" s="165"/>
      <c r="X1027" s="165"/>
    </row>
    <row r="1028" ht="18.75" customHeight="1">
      <c r="A1028" s="165">
        <v>1026.0</v>
      </c>
      <c r="B1028" s="167" t="s">
        <v>16492</v>
      </c>
      <c r="C1028" s="165"/>
      <c r="D1028" s="165"/>
      <c r="E1028" s="165"/>
      <c r="F1028" s="165"/>
      <c r="G1028" s="165"/>
      <c r="H1028" s="165"/>
      <c r="I1028" s="165"/>
      <c r="J1028" s="165"/>
      <c r="K1028" s="165"/>
      <c r="L1028" s="165"/>
      <c r="M1028" s="165"/>
      <c r="N1028" s="165"/>
      <c r="O1028" s="165"/>
      <c r="P1028" s="165"/>
      <c r="Q1028" s="165"/>
      <c r="R1028" s="165"/>
      <c r="S1028" s="165"/>
      <c r="T1028" s="165"/>
      <c r="U1028" s="165"/>
      <c r="V1028" s="165"/>
      <c r="W1028" s="165"/>
      <c r="X1028" s="165"/>
    </row>
    <row r="1029" ht="18.75" customHeight="1">
      <c r="A1029" s="165">
        <v>1027.0</v>
      </c>
      <c r="B1029" s="167" t="s">
        <v>16493</v>
      </c>
      <c r="C1029" s="165"/>
      <c r="D1029" s="165"/>
      <c r="E1029" s="165"/>
      <c r="F1029" s="165"/>
      <c r="G1029" s="165"/>
      <c r="H1029" s="165"/>
      <c r="I1029" s="165"/>
      <c r="J1029" s="165"/>
      <c r="K1029" s="165"/>
      <c r="L1029" s="165"/>
      <c r="M1029" s="165"/>
      <c r="N1029" s="165"/>
      <c r="O1029" s="165"/>
      <c r="P1029" s="165"/>
      <c r="Q1029" s="165"/>
      <c r="R1029" s="165"/>
      <c r="S1029" s="165"/>
      <c r="T1029" s="165"/>
      <c r="U1029" s="165"/>
      <c r="V1029" s="165"/>
      <c r="W1029" s="165"/>
      <c r="X1029" s="165"/>
    </row>
    <row r="1030" ht="18.75" customHeight="1">
      <c r="A1030" s="165">
        <v>1028.0</v>
      </c>
      <c r="B1030" s="165" t="s">
        <v>16494</v>
      </c>
      <c r="C1030" s="165"/>
      <c r="D1030" s="165"/>
      <c r="E1030" s="165"/>
      <c r="F1030" s="165"/>
      <c r="G1030" s="165"/>
      <c r="H1030" s="165"/>
      <c r="I1030" s="165"/>
      <c r="J1030" s="165"/>
      <c r="K1030" s="165"/>
      <c r="L1030" s="165"/>
      <c r="M1030" s="165"/>
      <c r="N1030" s="165"/>
      <c r="O1030" s="165"/>
      <c r="P1030" s="165"/>
      <c r="Q1030" s="165"/>
      <c r="R1030" s="165"/>
      <c r="S1030" s="165"/>
      <c r="T1030" s="165"/>
      <c r="U1030" s="165"/>
      <c r="V1030" s="165"/>
      <c r="W1030" s="165"/>
      <c r="X1030" s="165"/>
    </row>
    <row r="1031" ht="18.75" customHeight="1">
      <c r="A1031" s="165">
        <v>1029.0</v>
      </c>
      <c r="B1031" s="165" t="s">
        <v>16495</v>
      </c>
      <c r="C1031" s="165"/>
      <c r="D1031" s="165"/>
      <c r="E1031" s="165"/>
      <c r="F1031" s="165"/>
      <c r="G1031" s="165"/>
      <c r="H1031" s="165"/>
      <c r="I1031" s="165"/>
      <c r="J1031" s="165"/>
      <c r="K1031" s="165"/>
      <c r="L1031" s="165"/>
      <c r="M1031" s="165"/>
      <c r="N1031" s="165"/>
      <c r="O1031" s="165"/>
      <c r="P1031" s="165"/>
      <c r="Q1031" s="165"/>
      <c r="R1031" s="165"/>
      <c r="S1031" s="165"/>
      <c r="T1031" s="165"/>
      <c r="U1031" s="165"/>
      <c r="V1031" s="165"/>
      <c r="W1031" s="165"/>
      <c r="X1031" s="165"/>
    </row>
    <row r="1032" ht="18.75" customHeight="1">
      <c r="A1032" s="165">
        <v>1030.0</v>
      </c>
      <c r="B1032" s="165" t="s">
        <v>16496</v>
      </c>
      <c r="C1032" s="165"/>
      <c r="D1032" s="165"/>
      <c r="E1032" s="165"/>
      <c r="F1032" s="165"/>
      <c r="G1032" s="165"/>
      <c r="H1032" s="165"/>
      <c r="I1032" s="165"/>
      <c r="J1032" s="165"/>
      <c r="K1032" s="165"/>
      <c r="L1032" s="165"/>
      <c r="M1032" s="165"/>
      <c r="N1032" s="165"/>
      <c r="O1032" s="165"/>
      <c r="P1032" s="165"/>
      <c r="Q1032" s="165"/>
      <c r="R1032" s="165"/>
      <c r="S1032" s="165"/>
      <c r="T1032" s="165"/>
      <c r="U1032" s="165"/>
      <c r="V1032" s="165"/>
      <c r="W1032" s="165"/>
      <c r="X1032" s="165"/>
    </row>
    <row r="1033" ht="18.75" customHeight="1">
      <c r="A1033" s="165">
        <v>1031.0</v>
      </c>
      <c r="B1033" s="165" t="s">
        <v>16497</v>
      </c>
      <c r="C1033" s="165"/>
      <c r="D1033" s="165"/>
      <c r="E1033" s="165"/>
      <c r="F1033" s="165"/>
      <c r="G1033" s="165"/>
      <c r="H1033" s="165"/>
      <c r="I1033" s="165"/>
      <c r="J1033" s="165"/>
      <c r="K1033" s="165"/>
      <c r="L1033" s="165"/>
      <c r="M1033" s="165"/>
      <c r="N1033" s="165"/>
      <c r="O1033" s="165"/>
      <c r="P1033" s="165"/>
      <c r="Q1033" s="165"/>
      <c r="R1033" s="165"/>
      <c r="S1033" s="165"/>
      <c r="T1033" s="165"/>
      <c r="U1033" s="165"/>
      <c r="V1033" s="165"/>
      <c r="W1033" s="165"/>
      <c r="X1033" s="165"/>
    </row>
    <row r="1034" ht="18.75" customHeight="1">
      <c r="A1034" s="165">
        <v>1032.0</v>
      </c>
      <c r="B1034" s="165" t="s">
        <v>16498</v>
      </c>
      <c r="C1034" s="165"/>
      <c r="D1034" s="165"/>
      <c r="E1034" s="165"/>
      <c r="F1034" s="165"/>
      <c r="G1034" s="165"/>
      <c r="H1034" s="165"/>
      <c r="I1034" s="165"/>
      <c r="J1034" s="165"/>
      <c r="K1034" s="165"/>
      <c r="L1034" s="165"/>
      <c r="M1034" s="165"/>
      <c r="N1034" s="165"/>
      <c r="O1034" s="165"/>
      <c r="P1034" s="165"/>
      <c r="Q1034" s="165"/>
      <c r="R1034" s="165"/>
      <c r="S1034" s="165"/>
      <c r="T1034" s="165"/>
      <c r="U1034" s="165"/>
      <c r="V1034" s="165"/>
      <c r="W1034" s="165"/>
      <c r="X1034" s="165"/>
    </row>
    <row r="1035" ht="18.75" customHeight="1">
      <c r="A1035" s="165">
        <v>1033.0</v>
      </c>
      <c r="B1035" s="167" t="s">
        <v>16499</v>
      </c>
      <c r="C1035" s="165"/>
      <c r="D1035" s="165"/>
      <c r="E1035" s="165"/>
      <c r="F1035" s="165"/>
      <c r="G1035" s="165"/>
      <c r="H1035" s="165"/>
      <c r="I1035" s="165"/>
      <c r="J1035" s="165"/>
      <c r="K1035" s="165"/>
      <c r="L1035" s="165"/>
      <c r="M1035" s="165"/>
      <c r="N1035" s="165"/>
      <c r="O1035" s="165"/>
      <c r="P1035" s="165"/>
      <c r="Q1035" s="165"/>
      <c r="R1035" s="165"/>
      <c r="S1035" s="165"/>
      <c r="T1035" s="165"/>
      <c r="U1035" s="165"/>
      <c r="V1035" s="165"/>
      <c r="W1035" s="165"/>
      <c r="X1035" s="165"/>
    </row>
    <row r="1036" ht="18.75" customHeight="1">
      <c r="A1036" s="165">
        <v>1034.0</v>
      </c>
      <c r="B1036" s="165" t="s">
        <v>16500</v>
      </c>
      <c r="C1036" s="165"/>
      <c r="D1036" s="165"/>
      <c r="E1036" s="165"/>
      <c r="F1036" s="165"/>
      <c r="G1036" s="165"/>
      <c r="H1036" s="165"/>
      <c r="I1036" s="165"/>
      <c r="J1036" s="165"/>
      <c r="K1036" s="165"/>
      <c r="L1036" s="165"/>
      <c r="M1036" s="165"/>
      <c r="N1036" s="165"/>
      <c r="O1036" s="165"/>
      <c r="P1036" s="165"/>
      <c r="Q1036" s="165"/>
      <c r="R1036" s="165"/>
      <c r="S1036" s="165"/>
      <c r="T1036" s="165"/>
      <c r="U1036" s="165"/>
      <c r="V1036" s="165"/>
      <c r="W1036" s="165"/>
      <c r="X1036" s="165"/>
    </row>
    <row r="1037" ht="18.75" customHeight="1">
      <c r="A1037" s="165">
        <v>1035.0</v>
      </c>
      <c r="B1037" s="165" t="s">
        <v>16501</v>
      </c>
      <c r="C1037" s="165"/>
      <c r="D1037" s="165"/>
      <c r="E1037" s="165"/>
      <c r="F1037" s="165"/>
      <c r="G1037" s="165"/>
      <c r="H1037" s="165"/>
      <c r="I1037" s="165"/>
      <c r="J1037" s="165"/>
      <c r="K1037" s="165"/>
      <c r="L1037" s="165"/>
      <c r="M1037" s="165"/>
      <c r="N1037" s="165"/>
      <c r="O1037" s="165"/>
      <c r="P1037" s="165"/>
      <c r="Q1037" s="165"/>
      <c r="R1037" s="165"/>
      <c r="S1037" s="165"/>
      <c r="T1037" s="165"/>
      <c r="U1037" s="165"/>
      <c r="V1037" s="165"/>
      <c r="W1037" s="165"/>
      <c r="X1037" s="165"/>
    </row>
    <row r="1038" ht="18.75" customHeight="1">
      <c r="A1038" s="165">
        <v>1036.0</v>
      </c>
      <c r="B1038" s="165" t="s">
        <v>16502</v>
      </c>
      <c r="C1038" s="165"/>
      <c r="D1038" s="165"/>
      <c r="E1038" s="165"/>
      <c r="F1038" s="165"/>
      <c r="G1038" s="165"/>
      <c r="H1038" s="165"/>
      <c r="I1038" s="165"/>
      <c r="J1038" s="165"/>
      <c r="K1038" s="165"/>
      <c r="L1038" s="165"/>
      <c r="M1038" s="165"/>
      <c r="N1038" s="165"/>
      <c r="O1038" s="165"/>
      <c r="P1038" s="165"/>
      <c r="Q1038" s="165"/>
      <c r="R1038" s="165"/>
      <c r="S1038" s="165"/>
      <c r="T1038" s="165"/>
      <c r="U1038" s="165"/>
      <c r="V1038" s="165"/>
      <c r="W1038" s="165"/>
      <c r="X1038" s="165"/>
    </row>
    <row r="1039" ht="18.75" customHeight="1">
      <c r="A1039" s="165">
        <v>1037.0</v>
      </c>
      <c r="B1039" s="165" t="s">
        <v>16503</v>
      </c>
      <c r="C1039" s="165"/>
      <c r="D1039" s="165"/>
      <c r="E1039" s="165"/>
      <c r="F1039" s="165"/>
      <c r="G1039" s="165"/>
      <c r="H1039" s="165"/>
      <c r="I1039" s="165"/>
      <c r="J1039" s="165"/>
      <c r="K1039" s="165"/>
      <c r="L1039" s="165"/>
      <c r="M1039" s="165"/>
      <c r="N1039" s="165"/>
      <c r="O1039" s="165"/>
      <c r="P1039" s="165"/>
      <c r="Q1039" s="165"/>
      <c r="R1039" s="165"/>
      <c r="S1039" s="165"/>
      <c r="T1039" s="165"/>
      <c r="U1039" s="165"/>
      <c r="V1039" s="165"/>
      <c r="W1039" s="165"/>
      <c r="X1039" s="165"/>
    </row>
    <row r="1040" ht="18.75" customHeight="1">
      <c r="A1040" s="165">
        <v>1038.0</v>
      </c>
      <c r="B1040" s="167" t="s">
        <v>16504</v>
      </c>
      <c r="C1040" s="165"/>
      <c r="D1040" s="165"/>
      <c r="E1040" s="165"/>
      <c r="F1040" s="165"/>
      <c r="G1040" s="165"/>
      <c r="H1040" s="165"/>
      <c r="I1040" s="165"/>
      <c r="J1040" s="165"/>
      <c r="K1040" s="165"/>
      <c r="L1040" s="165"/>
      <c r="M1040" s="165"/>
      <c r="N1040" s="165"/>
      <c r="O1040" s="165"/>
      <c r="P1040" s="165"/>
      <c r="Q1040" s="165"/>
      <c r="R1040" s="165"/>
      <c r="S1040" s="165"/>
      <c r="T1040" s="165"/>
      <c r="U1040" s="165"/>
      <c r="V1040" s="165"/>
      <c r="W1040" s="165"/>
      <c r="X1040" s="165"/>
    </row>
    <row r="1041" ht="18.75" customHeight="1">
      <c r="A1041" s="165">
        <v>1039.0</v>
      </c>
      <c r="B1041" s="167" t="s">
        <v>16505</v>
      </c>
      <c r="C1041" s="165"/>
      <c r="D1041" s="165"/>
      <c r="E1041" s="165"/>
      <c r="F1041" s="165"/>
      <c r="G1041" s="165"/>
      <c r="H1041" s="165"/>
      <c r="I1041" s="165"/>
      <c r="J1041" s="165"/>
      <c r="K1041" s="165"/>
      <c r="L1041" s="165"/>
      <c r="M1041" s="165"/>
      <c r="N1041" s="165"/>
      <c r="O1041" s="165"/>
      <c r="P1041" s="165"/>
      <c r="Q1041" s="165"/>
      <c r="R1041" s="165"/>
      <c r="S1041" s="165"/>
      <c r="T1041" s="165"/>
      <c r="U1041" s="165"/>
      <c r="V1041" s="165"/>
      <c r="W1041" s="165"/>
      <c r="X1041" s="165"/>
    </row>
    <row r="1042" ht="18.75" customHeight="1">
      <c r="A1042" s="165">
        <v>1040.0</v>
      </c>
      <c r="B1042" s="165" t="s">
        <v>16506</v>
      </c>
      <c r="C1042" s="165"/>
      <c r="D1042" s="165"/>
      <c r="E1042" s="165"/>
      <c r="F1042" s="165"/>
      <c r="G1042" s="165"/>
      <c r="H1042" s="165"/>
      <c r="I1042" s="165"/>
      <c r="J1042" s="165"/>
      <c r="K1042" s="165"/>
      <c r="L1042" s="165"/>
      <c r="M1042" s="165"/>
      <c r="N1042" s="165"/>
      <c r="O1042" s="165"/>
      <c r="P1042" s="165"/>
      <c r="Q1042" s="165"/>
      <c r="R1042" s="165"/>
      <c r="S1042" s="165"/>
      <c r="T1042" s="165"/>
      <c r="U1042" s="165"/>
      <c r="V1042" s="165"/>
      <c r="W1042" s="165"/>
      <c r="X1042" s="165"/>
    </row>
    <row r="1043" ht="18.75" customHeight="1">
      <c r="A1043" s="165">
        <v>1041.0</v>
      </c>
      <c r="B1043" s="165" t="s">
        <v>16507</v>
      </c>
      <c r="C1043" s="165"/>
      <c r="D1043" s="165"/>
      <c r="E1043" s="165"/>
      <c r="F1043" s="165"/>
      <c r="G1043" s="165"/>
      <c r="H1043" s="165"/>
      <c r="I1043" s="165"/>
      <c r="J1043" s="165"/>
      <c r="K1043" s="165"/>
      <c r="L1043" s="165"/>
      <c r="M1043" s="165"/>
      <c r="N1043" s="165"/>
      <c r="O1043" s="165"/>
      <c r="P1043" s="165"/>
      <c r="Q1043" s="165"/>
      <c r="R1043" s="165"/>
      <c r="S1043" s="165"/>
      <c r="T1043" s="165"/>
      <c r="U1043" s="165"/>
      <c r="V1043" s="165"/>
      <c r="W1043" s="165"/>
      <c r="X1043" s="165"/>
    </row>
    <row r="1044" ht="18.75" customHeight="1">
      <c r="A1044" s="165">
        <v>1042.0</v>
      </c>
      <c r="B1044" s="167" t="s">
        <v>16508</v>
      </c>
      <c r="C1044" s="165"/>
      <c r="D1044" s="165"/>
      <c r="E1044" s="165"/>
      <c r="F1044" s="165"/>
      <c r="G1044" s="165"/>
      <c r="H1044" s="165"/>
      <c r="I1044" s="165"/>
      <c r="J1044" s="165"/>
      <c r="K1044" s="165"/>
      <c r="L1044" s="165"/>
      <c r="M1044" s="165"/>
      <c r="N1044" s="165"/>
      <c r="O1044" s="165"/>
      <c r="P1044" s="165"/>
      <c r="Q1044" s="165"/>
      <c r="R1044" s="165"/>
      <c r="S1044" s="165"/>
      <c r="T1044" s="165"/>
      <c r="U1044" s="165"/>
      <c r="V1044" s="165"/>
      <c r="W1044" s="165"/>
      <c r="X1044" s="165"/>
    </row>
    <row r="1045" ht="18.75" customHeight="1">
      <c r="A1045" s="165">
        <v>1043.0</v>
      </c>
      <c r="B1045" s="165" t="s">
        <v>16509</v>
      </c>
      <c r="C1045" s="165"/>
      <c r="D1045" s="165"/>
      <c r="E1045" s="165"/>
      <c r="F1045" s="165"/>
      <c r="G1045" s="165"/>
      <c r="H1045" s="165"/>
      <c r="I1045" s="165"/>
      <c r="J1045" s="165"/>
      <c r="K1045" s="165"/>
      <c r="L1045" s="165"/>
      <c r="M1045" s="165"/>
      <c r="N1045" s="165"/>
      <c r="O1045" s="165"/>
      <c r="P1045" s="165"/>
      <c r="Q1045" s="165"/>
      <c r="R1045" s="165"/>
      <c r="S1045" s="165"/>
      <c r="T1045" s="165"/>
      <c r="U1045" s="165"/>
      <c r="V1045" s="165"/>
      <c r="W1045" s="165"/>
      <c r="X1045" s="165"/>
    </row>
    <row r="1046" ht="18.75" customHeight="1">
      <c r="A1046" s="165">
        <v>1044.0</v>
      </c>
      <c r="B1046" s="165" t="s">
        <v>16051</v>
      </c>
      <c r="C1046" s="165"/>
      <c r="D1046" s="165"/>
      <c r="E1046" s="165"/>
      <c r="F1046" s="165"/>
      <c r="G1046" s="165"/>
      <c r="H1046" s="165"/>
      <c r="I1046" s="165"/>
      <c r="J1046" s="165"/>
      <c r="K1046" s="165"/>
      <c r="L1046" s="165"/>
      <c r="M1046" s="165"/>
      <c r="N1046" s="165"/>
      <c r="O1046" s="165"/>
      <c r="P1046" s="165"/>
      <c r="Q1046" s="165"/>
      <c r="R1046" s="165"/>
      <c r="S1046" s="165"/>
      <c r="T1046" s="165"/>
      <c r="U1046" s="165"/>
      <c r="V1046" s="165"/>
      <c r="W1046" s="165"/>
      <c r="X1046" s="165"/>
    </row>
    <row r="1047" ht="18.75" customHeight="1">
      <c r="A1047" s="165">
        <v>1045.0</v>
      </c>
      <c r="B1047" s="165" t="s">
        <v>16510</v>
      </c>
      <c r="C1047" s="165"/>
      <c r="D1047" s="165"/>
      <c r="E1047" s="165"/>
      <c r="F1047" s="165"/>
      <c r="G1047" s="165"/>
      <c r="H1047" s="165"/>
      <c r="I1047" s="165"/>
      <c r="J1047" s="165"/>
      <c r="K1047" s="165"/>
      <c r="L1047" s="165"/>
      <c r="M1047" s="165"/>
      <c r="N1047" s="165"/>
      <c r="O1047" s="165"/>
      <c r="P1047" s="165"/>
      <c r="Q1047" s="165"/>
      <c r="R1047" s="165"/>
      <c r="S1047" s="165"/>
      <c r="T1047" s="165"/>
      <c r="U1047" s="165"/>
      <c r="V1047" s="165"/>
      <c r="W1047" s="165"/>
      <c r="X1047" s="165"/>
    </row>
    <row r="1048" ht="18.75" customHeight="1">
      <c r="A1048" s="165">
        <v>1046.0</v>
      </c>
      <c r="B1048" s="165" t="s">
        <v>16511</v>
      </c>
      <c r="C1048" s="165"/>
      <c r="D1048" s="165"/>
      <c r="E1048" s="165"/>
      <c r="F1048" s="165"/>
      <c r="G1048" s="165"/>
      <c r="H1048" s="165"/>
      <c r="I1048" s="165"/>
      <c r="J1048" s="165"/>
      <c r="K1048" s="165"/>
      <c r="L1048" s="165"/>
      <c r="M1048" s="165"/>
      <c r="N1048" s="165"/>
      <c r="O1048" s="165"/>
      <c r="P1048" s="165"/>
      <c r="Q1048" s="165"/>
      <c r="R1048" s="165"/>
      <c r="S1048" s="165"/>
      <c r="T1048" s="165"/>
      <c r="U1048" s="165"/>
      <c r="V1048" s="165"/>
      <c r="W1048" s="165"/>
      <c r="X1048" s="165"/>
    </row>
    <row r="1049" ht="18.75" customHeight="1">
      <c r="A1049" s="165">
        <v>1047.0</v>
      </c>
      <c r="B1049" s="165" t="s">
        <v>16512</v>
      </c>
      <c r="C1049" s="165"/>
      <c r="D1049" s="165"/>
      <c r="E1049" s="165"/>
      <c r="F1049" s="165"/>
      <c r="G1049" s="165"/>
      <c r="H1049" s="165"/>
      <c r="I1049" s="165"/>
      <c r="J1049" s="165"/>
      <c r="K1049" s="165"/>
      <c r="L1049" s="165"/>
      <c r="M1049" s="165"/>
      <c r="N1049" s="165"/>
      <c r="O1049" s="165"/>
      <c r="P1049" s="165"/>
      <c r="Q1049" s="165"/>
      <c r="R1049" s="165"/>
      <c r="S1049" s="165"/>
      <c r="T1049" s="165"/>
      <c r="U1049" s="165"/>
      <c r="V1049" s="165"/>
      <c r="W1049" s="165"/>
      <c r="X1049" s="165"/>
    </row>
    <row r="1050" ht="18.75" customHeight="1">
      <c r="A1050" s="165">
        <v>1048.0</v>
      </c>
      <c r="B1050" s="165" t="s">
        <v>16513</v>
      </c>
      <c r="C1050" s="165"/>
      <c r="D1050" s="165"/>
      <c r="E1050" s="165"/>
      <c r="F1050" s="165"/>
      <c r="G1050" s="165"/>
      <c r="H1050" s="165"/>
      <c r="I1050" s="165"/>
      <c r="J1050" s="165"/>
      <c r="K1050" s="165"/>
      <c r="L1050" s="165"/>
      <c r="M1050" s="165"/>
      <c r="N1050" s="165"/>
      <c r="O1050" s="165"/>
      <c r="P1050" s="165"/>
      <c r="Q1050" s="165"/>
      <c r="R1050" s="165"/>
      <c r="S1050" s="165"/>
      <c r="T1050" s="165"/>
      <c r="U1050" s="165"/>
      <c r="V1050" s="165"/>
      <c r="W1050" s="165"/>
      <c r="X1050" s="165"/>
    </row>
    <row r="1051" ht="18.75" customHeight="1">
      <c r="A1051" s="165">
        <v>1049.0</v>
      </c>
      <c r="B1051" s="165" t="s">
        <v>16514</v>
      </c>
      <c r="C1051" s="165"/>
      <c r="D1051" s="165"/>
      <c r="E1051" s="165"/>
      <c r="F1051" s="165"/>
      <c r="G1051" s="165"/>
      <c r="H1051" s="165"/>
      <c r="I1051" s="165"/>
      <c r="J1051" s="165"/>
      <c r="K1051" s="165"/>
      <c r="L1051" s="165"/>
      <c r="M1051" s="165"/>
      <c r="N1051" s="165"/>
      <c r="O1051" s="165"/>
      <c r="P1051" s="165"/>
      <c r="Q1051" s="165"/>
      <c r="R1051" s="165"/>
      <c r="S1051" s="165"/>
      <c r="T1051" s="165"/>
      <c r="U1051" s="165"/>
      <c r="V1051" s="165"/>
      <c r="W1051" s="165"/>
      <c r="X1051" s="165"/>
    </row>
    <row r="1052" ht="18.75" customHeight="1">
      <c r="A1052" s="165">
        <v>1050.0</v>
      </c>
      <c r="B1052" s="167" t="s">
        <v>16515</v>
      </c>
      <c r="C1052" s="165"/>
      <c r="D1052" s="165"/>
      <c r="E1052" s="165"/>
      <c r="F1052" s="165"/>
      <c r="G1052" s="165"/>
      <c r="H1052" s="165"/>
      <c r="I1052" s="165"/>
      <c r="J1052" s="165"/>
      <c r="K1052" s="165"/>
      <c r="L1052" s="165"/>
      <c r="M1052" s="165"/>
      <c r="N1052" s="165"/>
      <c r="O1052" s="165"/>
      <c r="P1052" s="165"/>
      <c r="Q1052" s="165"/>
      <c r="R1052" s="165"/>
      <c r="S1052" s="165"/>
      <c r="T1052" s="165"/>
      <c r="U1052" s="165"/>
      <c r="V1052" s="165"/>
      <c r="W1052" s="165"/>
      <c r="X1052" s="165"/>
    </row>
    <row r="1053" ht="18.75" customHeight="1">
      <c r="A1053" s="165">
        <v>1051.0</v>
      </c>
      <c r="B1053" s="167" t="s">
        <v>16516</v>
      </c>
      <c r="C1053" s="165"/>
      <c r="D1053" s="165"/>
      <c r="E1053" s="165"/>
      <c r="F1053" s="165"/>
      <c r="G1053" s="165"/>
      <c r="H1053" s="165"/>
      <c r="I1053" s="165"/>
      <c r="J1053" s="165"/>
      <c r="K1053" s="165"/>
      <c r="L1053" s="165"/>
      <c r="M1053" s="165"/>
      <c r="N1053" s="165"/>
      <c r="O1053" s="165"/>
      <c r="P1053" s="165"/>
      <c r="Q1053" s="165"/>
      <c r="R1053" s="165"/>
      <c r="S1053" s="165"/>
      <c r="T1053" s="165"/>
      <c r="U1053" s="165"/>
      <c r="V1053" s="165"/>
      <c r="W1053" s="165"/>
      <c r="X1053" s="165"/>
    </row>
    <row r="1054" ht="18.75" customHeight="1">
      <c r="A1054" s="165">
        <v>1052.0</v>
      </c>
      <c r="B1054" s="167" t="s">
        <v>16517</v>
      </c>
      <c r="C1054" s="165"/>
      <c r="D1054" s="165"/>
      <c r="E1054" s="165"/>
      <c r="F1054" s="165"/>
      <c r="G1054" s="165"/>
      <c r="H1054" s="165"/>
      <c r="I1054" s="165"/>
      <c r="J1054" s="165"/>
      <c r="K1054" s="165"/>
      <c r="L1054" s="165"/>
      <c r="M1054" s="165"/>
      <c r="N1054" s="165"/>
      <c r="O1054" s="165"/>
      <c r="P1054" s="165"/>
      <c r="Q1054" s="165"/>
      <c r="R1054" s="165"/>
      <c r="S1054" s="165"/>
      <c r="T1054" s="165"/>
      <c r="U1054" s="165"/>
      <c r="V1054" s="165"/>
      <c r="W1054" s="165"/>
      <c r="X1054" s="165"/>
    </row>
    <row r="1055" ht="18.75" customHeight="1">
      <c r="A1055" s="165">
        <v>1053.0</v>
      </c>
      <c r="B1055" s="165" t="s">
        <v>16518</v>
      </c>
      <c r="C1055" s="165"/>
      <c r="D1055" s="165"/>
      <c r="E1055" s="165"/>
      <c r="F1055" s="165"/>
      <c r="G1055" s="165"/>
      <c r="H1055" s="165"/>
      <c r="I1055" s="165"/>
      <c r="J1055" s="165"/>
      <c r="K1055" s="165"/>
      <c r="L1055" s="165"/>
      <c r="M1055" s="165"/>
      <c r="N1055" s="165"/>
      <c r="O1055" s="165"/>
      <c r="P1055" s="165"/>
      <c r="Q1055" s="165"/>
      <c r="R1055" s="165"/>
      <c r="S1055" s="165"/>
      <c r="T1055" s="165"/>
      <c r="U1055" s="165"/>
      <c r="V1055" s="165"/>
      <c r="W1055" s="165"/>
      <c r="X1055" s="165"/>
    </row>
    <row r="1056" ht="18.75" customHeight="1">
      <c r="A1056" s="165">
        <v>1054.0</v>
      </c>
      <c r="B1056" s="165" t="s">
        <v>16519</v>
      </c>
      <c r="C1056" s="165"/>
      <c r="D1056" s="165"/>
      <c r="E1056" s="165"/>
      <c r="F1056" s="165"/>
      <c r="G1056" s="165"/>
      <c r="H1056" s="165"/>
      <c r="I1056" s="165"/>
      <c r="J1056" s="165"/>
      <c r="K1056" s="165"/>
      <c r="L1056" s="165"/>
      <c r="M1056" s="165"/>
      <c r="N1056" s="165"/>
      <c r="O1056" s="165"/>
      <c r="P1056" s="165"/>
      <c r="Q1056" s="165"/>
      <c r="R1056" s="165"/>
      <c r="S1056" s="165"/>
      <c r="T1056" s="165"/>
      <c r="U1056" s="165"/>
      <c r="V1056" s="165"/>
      <c r="W1056" s="165"/>
      <c r="X1056" s="165"/>
    </row>
    <row r="1057" ht="18.75" customHeight="1">
      <c r="A1057" s="165">
        <v>1055.0</v>
      </c>
      <c r="B1057" s="165" t="s">
        <v>16520</v>
      </c>
      <c r="C1057" s="165"/>
      <c r="D1057" s="165"/>
      <c r="E1057" s="165"/>
      <c r="F1057" s="165"/>
      <c r="G1057" s="165"/>
      <c r="H1057" s="165"/>
      <c r="I1057" s="165"/>
      <c r="J1057" s="165"/>
      <c r="K1057" s="165"/>
      <c r="L1057" s="165"/>
      <c r="M1057" s="165"/>
      <c r="N1057" s="165"/>
      <c r="O1057" s="165"/>
      <c r="P1057" s="165"/>
      <c r="Q1057" s="165"/>
      <c r="R1057" s="165"/>
      <c r="S1057" s="165"/>
      <c r="T1057" s="165"/>
      <c r="U1057" s="165"/>
      <c r="V1057" s="165"/>
      <c r="W1057" s="165"/>
      <c r="X1057" s="165"/>
    </row>
    <row r="1058" ht="18.75" customHeight="1">
      <c r="A1058" s="165">
        <v>1056.0</v>
      </c>
      <c r="B1058" s="165" t="s">
        <v>16521</v>
      </c>
      <c r="C1058" s="165"/>
      <c r="D1058" s="165"/>
      <c r="E1058" s="165"/>
      <c r="F1058" s="165"/>
      <c r="G1058" s="165"/>
      <c r="H1058" s="165"/>
      <c r="I1058" s="165"/>
      <c r="J1058" s="165"/>
      <c r="K1058" s="165"/>
      <c r="L1058" s="165"/>
      <c r="M1058" s="165"/>
      <c r="N1058" s="165"/>
      <c r="O1058" s="165"/>
      <c r="P1058" s="165"/>
      <c r="Q1058" s="165"/>
      <c r="R1058" s="165"/>
      <c r="S1058" s="165"/>
      <c r="T1058" s="165"/>
      <c r="U1058" s="165"/>
      <c r="V1058" s="165"/>
      <c r="W1058" s="165"/>
      <c r="X1058" s="165"/>
    </row>
    <row r="1059" ht="18.75" customHeight="1">
      <c r="A1059" s="165">
        <v>1057.0</v>
      </c>
      <c r="B1059" s="165" t="s">
        <v>16522</v>
      </c>
      <c r="C1059" s="165"/>
      <c r="D1059" s="165"/>
      <c r="E1059" s="165"/>
      <c r="F1059" s="165"/>
      <c r="G1059" s="165"/>
      <c r="H1059" s="165"/>
      <c r="I1059" s="165"/>
      <c r="J1059" s="165"/>
      <c r="K1059" s="165"/>
      <c r="L1059" s="165"/>
      <c r="M1059" s="165"/>
      <c r="N1059" s="165"/>
      <c r="O1059" s="165"/>
      <c r="P1059" s="165"/>
      <c r="Q1059" s="165"/>
      <c r="R1059" s="165"/>
      <c r="S1059" s="165"/>
      <c r="T1059" s="165"/>
      <c r="U1059" s="165"/>
      <c r="V1059" s="165"/>
      <c r="W1059" s="165"/>
      <c r="X1059" s="165"/>
    </row>
    <row r="1060" ht="18.75" customHeight="1">
      <c r="A1060" s="165">
        <v>1058.0</v>
      </c>
      <c r="B1060" s="165" t="s">
        <v>16523</v>
      </c>
      <c r="C1060" s="165"/>
      <c r="D1060" s="165"/>
      <c r="E1060" s="165"/>
      <c r="F1060" s="165"/>
      <c r="G1060" s="165"/>
      <c r="H1060" s="165"/>
      <c r="I1060" s="165"/>
      <c r="J1060" s="165"/>
      <c r="K1060" s="165"/>
      <c r="L1060" s="165"/>
      <c r="M1060" s="165"/>
      <c r="N1060" s="165"/>
      <c r="O1060" s="165"/>
      <c r="P1060" s="165"/>
      <c r="Q1060" s="165"/>
      <c r="R1060" s="165"/>
      <c r="S1060" s="165"/>
      <c r="T1060" s="165"/>
      <c r="U1060" s="165"/>
      <c r="V1060" s="165"/>
      <c r="W1060" s="165"/>
      <c r="X1060" s="165"/>
    </row>
    <row r="1061" ht="18.75" customHeight="1">
      <c r="A1061" s="165">
        <v>1059.0</v>
      </c>
      <c r="B1061" s="167" t="s">
        <v>16524</v>
      </c>
      <c r="C1061" s="165"/>
      <c r="D1061" s="165"/>
      <c r="E1061" s="165"/>
      <c r="F1061" s="165"/>
      <c r="G1061" s="165"/>
      <c r="H1061" s="165"/>
      <c r="I1061" s="165"/>
      <c r="J1061" s="165"/>
      <c r="K1061" s="165"/>
      <c r="L1061" s="165"/>
      <c r="M1061" s="165"/>
      <c r="N1061" s="165"/>
      <c r="O1061" s="165"/>
      <c r="P1061" s="165"/>
      <c r="Q1061" s="165"/>
      <c r="R1061" s="165"/>
      <c r="S1061" s="165"/>
      <c r="T1061" s="165"/>
      <c r="U1061" s="165"/>
      <c r="V1061" s="165"/>
      <c r="W1061" s="165"/>
      <c r="X1061" s="165"/>
    </row>
    <row r="1062" ht="18.75" customHeight="1">
      <c r="A1062" s="165">
        <v>1060.0</v>
      </c>
      <c r="B1062" s="167" t="s">
        <v>16525</v>
      </c>
      <c r="C1062" s="165"/>
      <c r="D1062" s="165"/>
      <c r="E1062" s="165"/>
      <c r="F1062" s="165"/>
      <c r="G1062" s="165"/>
      <c r="H1062" s="165"/>
      <c r="I1062" s="165"/>
      <c r="J1062" s="165"/>
      <c r="K1062" s="165"/>
      <c r="L1062" s="165"/>
      <c r="M1062" s="165"/>
      <c r="N1062" s="165"/>
      <c r="O1062" s="165"/>
      <c r="P1062" s="165"/>
      <c r="Q1062" s="165"/>
      <c r="R1062" s="165"/>
      <c r="S1062" s="165"/>
      <c r="T1062" s="165"/>
      <c r="U1062" s="165"/>
      <c r="V1062" s="165"/>
      <c r="W1062" s="165"/>
      <c r="X1062" s="165"/>
    </row>
    <row r="1063" ht="18.75" customHeight="1">
      <c r="A1063" s="165">
        <v>1061.0</v>
      </c>
      <c r="B1063" s="167" t="s">
        <v>16526</v>
      </c>
      <c r="C1063" s="165"/>
      <c r="D1063" s="165"/>
      <c r="E1063" s="165"/>
      <c r="F1063" s="165"/>
      <c r="G1063" s="165"/>
      <c r="H1063" s="165"/>
      <c r="I1063" s="165"/>
      <c r="J1063" s="165"/>
      <c r="K1063" s="165"/>
      <c r="L1063" s="165"/>
      <c r="M1063" s="165"/>
      <c r="N1063" s="165"/>
      <c r="O1063" s="165"/>
      <c r="P1063" s="165"/>
      <c r="Q1063" s="165"/>
      <c r="R1063" s="165"/>
      <c r="S1063" s="165"/>
      <c r="T1063" s="165"/>
      <c r="U1063" s="165"/>
      <c r="V1063" s="165"/>
      <c r="W1063" s="165"/>
      <c r="X1063" s="165"/>
    </row>
    <row r="1064" ht="18.75" customHeight="1">
      <c r="A1064" s="165">
        <v>1062.0</v>
      </c>
      <c r="B1064" s="167" t="s">
        <v>16527</v>
      </c>
      <c r="C1064" s="165"/>
      <c r="D1064" s="165"/>
      <c r="E1064" s="165"/>
      <c r="F1064" s="165"/>
      <c r="G1064" s="165"/>
      <c r="H1064" s="165"/>
      <c r="I1064" s="165"/>
      <c r="J1064" s="165"/>
      <c r="K1064" s="165"/>
      <c r="L1064" s="165"/>
      <c r="M1064" s="165"/>
      <c r="N1064" s="165"/>
      <c r="O1064" s="165"/>
      <c r="P1064" s="165"/>
      <c r="Q1064" s="165"/>
      <c r="R1064" s="165"/>
      <c r="S1064" s="165"/>
      <c r="T1064" s="165"/>
      <c r="U1064" s="165"/>
      <c r="V1064" s="165"/>
      <c r="W1064" s="165"/>
      <c r="X1064" s="165"/>
    </row>
    <row r="1065" ht="18.75" customHeight="1">
      <c r="A1065" s="165">
        <v>1063.0</v>
      </c>
      <c r="B1065" s="167" t="s">
        <v>16528</v>
      </c>
      <c r="C1065" s="165"/>
      <c r="D1065" s="165"/>
      <c r="E1065" s="165"/>
      <c r="F1065" s="165"/>
      <c r="G1065" s="165"/>
      <c r="H1065" s="165"/>
      <c r="I1065" s="165"/>
      <c r="J1065" s="165"/>
      <c r="K1065" s="165"/>
      <c r="L1065" s="165"/>
      <c r="M1065" s="165"/>
      <c r="N1065" s="165"/>
      <c r="O1065" s="165"/>
      <c r="P1065" s="165"/>
      <c r="Q1065" s="165"/>
      <c r="R1065" s="165"/>
      <c r="S1065" s="165"/>
      <c r="T1065" s="165"/>
      <c r="U1065" s="165"/>
      <c r="V1065" s="165"/>
      <c r="W1065" s="165"/>
      <c r="X1065" s="165"/>
    </row>
    <row r="1066" ht="18.75" customHeight="1">
      <c r="A1066" s="165">
        <v>1064.0</v>
      </c>
      <c r="B1066" s="167" t="s">
        <v>16529</v>
      </c>
      <c r="C1066" s="165"/>
      <c r="D1066" s="165"/>
      <c r="E1066" s="165"/>
      <c r="F1066" s="165"/>
      <c r="G1066" s="165"/>
      <c r="H1066" s="165"/>
      <c r="I1066" s="165"/>
      <c r="J1066" s="165"/>
      <c r="K1066" s="165"/>
      <c r="L1066" s="165"/>
      <c r="M1066" s="165"/>
      <c r="N1066" s="165"/>
      <c r="O1066" s="165"/>
      <c r="P1066" s="165"/>
      <c r="Q1066" s="165"/>
      <c r="R1066" s="165"/>
      <c r="S1066" s="165"/>
      <c r="T1066" s="165"/>
      <c r="U1066" s="165"/>
      <c r="V1066" s="165"/>
      <c r="W1066" s="165"/>
      <c r="X1066" s="165"/>
    </row>
    <row r="1067" ht="18.75" customHeight="1">
      <c r="A1067" s="165">
        <v>1065.0</v>
      </c>
      <c r="B1067" s="165" t="s">
        <v>16530</v>
      </c>
      <c r="C1067" s="165"/>
      <c r="D1067" s="165"/>
      <c r="E1067" s="165"/>
      <c r="F1067" s="165"/>
      <c r="G1067" s="165"/>
      <c r="H1067" s="165"/>
      <c r="I1067" s="165"/>
      <c r="J1067" s="165"/>
      <c r="K1067" s="165"/>
      <c r="L1067" s="165"/>
      <c r="M1067" s="165"/>
      <c r="N1067" s="165"/>
      <c r="O1067" s="165"/>
      <c r="P1067" s="165"/>
      <c r="Q1067" s="165"/>
      <c r="R1067" s="165"/>
      <c r="S1067" s="165"/>
      <c r="T1067" s="165"/>
      <c r="U1067" s="165"/>
      <c r="V1067" s="165"/>
      <c r="W1067" s="165"/>
      <c r="X1067" s="165"/>
    </row>
    <row r="1068" ht="18.75" customHeight="1">
      <c r="A1068" s="165">
        <v>1066.0</v>
      </c>
      <c r="B1068" s="165" t="s">
        <v>16531</v>
      </c>
      <c r="C1068" s="165"/>
      <c r="D1068" s="165"/>
      <c r="E1068" s="165"/>
      <c r="F1068" s="165"/>
      <c r="G1068" s="165"/>
      <c r="H1068" s="165"/>
      <c r="I1068" s="165"/>
      <c r="J1068" s="165"/>
      <c r="K1068" s="165"/>
      <c r="L1068" s="165"/>
      <c r="M1068" s="165"/>
      <c r="N1068" s="165"/>
      <c r="O1068" s="165"/>
      <c r="P1068" s="165"/>
      <c r="Q1068" s="165"/>
      <c r="R1068" s="165"/>
      <c r="S1068" s="165"/>
      <c r="T1068" s="165"/>
      <c r="U1068" s="165"/>
      <c r="V1068" s="165"/>
      <c r="W1068" s="165"/>
      <c r="X1068" s="165"/>
    </row>
    <row r="1069" ht="18.75" customHeight="1">
      <c r="A1069" s="165">
        <v>1067.0</v>
      </c>
      <c r="B1069" s="165" t="s">
        <v>16532</v>
      </c>
      <c r="C1069" s="165"/>
      <c r="D1069" s="165"/>
      <c r="E1069" s="165"/>
      <c r="F1069" s="165"/>
      <c r="G1069" s="165"/>
      <c r="H1069" s="165"/>
      <c r="I1069" s="165"/>
      <c r="J1069" s="165"/>
      <c r="K1069" s="165"/>
      <c r="L1069" s="165"/>
      <c r="M1069" s="165"/>
      <c r="N1069" s="165"/>
      <c r="O1069" s="165"/>
      <c r="P1069" s="165"/>
      <c r="Q1069" s="165"/>
      <c r="R1069" s="165"/>
      <c r="S1069" s="165"/>
      <c r="T1069" s="165"/>
      <c r="U1069" s="165"/>
      <c r="V1069" s="165"/>
      <c r="W1069" s="165"/>
      <c r="X1069" s="165"/>
    </row>
    <row r="1070" ht="18.75" customHeight="1">
      <c r="A1070" s="165">
        <v>1068.0</v>
      </c>
      <c r="B1070" s="167" t="s">
        <v>16533</v>
      </c>
      <c r="C1070" s="165"/>
      <c r="D1070" s="165"/>
      <c r="E1070" s="165"/>
      <c r="F1070" s="165"/>
      <c r="G1070" s="165"/>
      <c r="H1070" s="165"/>
      <c r="I1070" s="165"/>
      <c r="J1070" s="165"/>
      <c r="K1070" s="165"/>
      <c r="L1070" s="165"/>
      <c r="M1070" s="165"/>
      <c r="N1070" s="165"/>
      <c r="O1070" s="165"/>
      <c r="P1070" s="165"/>
      <c r="Q1070" s="165"/>
      <c r="R1070" s="165"/>
      <c r="S1070" s="165"/>
      <c r="T1070" s="165"/>
      <c r="U1070" s="165"/>
      <c r="V1070" s="165"/>
      <c r="W1070" s="165"/>
      <c r="X1070" s="165"/>
    </row>
    <row r="1071" ht="18.75" customHeight="1">
      <c r="A1071" s="165">
        <v>1069.0</v>
      </c>
      <c r="B1071" s="165" t="s">
        <v>16534</v>
      </c>
      <c r="C1071" s="165"/>
      <c r="D1071" s="165"/>
      <c r="E1071" s="165"/>
      <c r="F1071" s="165"/>
      <c r="G1071" s="165"/>
      <c r="H1071" s="165"/>
      <c r="I1071" s="165"/>
      <c r="J1071" s="165"/>
      <c r="K1071" s="165"/>
      <c r="L1071" s="165"/>
      <c r="M1071" s="165"/>
      <c r="N1071" s="165"/>
      <c r="O1071" s="165"/>
      <c r="P1071" s="165"/>
      <c r="Q1071" s="165"/>
      <c r="R1071" s="165"/>
      <c r="S1071" s="165"/>
      <c r="T1071" s="165"/>
      <c r="U1071" s="165"/>
      <c r="V1071" s="165"/>
      <c r="W1071" s="165"/>
      <c r="X1071" s="165"/>
    </row>
    <row r="1072" ht="18.75" customHeight="1">
      <c r="A1072" s="165">
        <v>1070.0</v>
      </c>
      <c r="B1072" s="165" t="s">
        <v>16535</v>
      </c>
      <c r="C1072" s="165"/>
      <c r="D1072" s="165"/>
      <c r="E1072" s="165"/>
      <c r="F1072" s="165"/>
      <c r="G1072" s="165"/>
      <c r="H1072" s="165"/>
      <c r="I1072" s="165"/>
      <c r="J1072" s="165"/>
      <c r="K1072" s="165"/>
      <c r="L1072" s="165"/>
      <c r="M1072" s="165"/>
      <c r="N1072" s="165"/>
      <c r="O1072" s="165"/>
      <c r="P1072" s="165"/>
      <c r="Q1072" s="165"/>
      <c r="R1072" s="165"/>
      <c r="S1072" s="165"/>
      <c r="T1072" s="165"/>
      <c r="U1072" s="165"/>
      <c r="V1072" s="165"/>
      <c r="W1072" s="165"/>
      <c r="X1072" s="165"/>
    </row>
    <row r="1073" ht="18.75" customHeight="1">
      <c r="A1073" s="165">
        <v>1071.0</v>
      </c>
      <c r="B1073" s="167" t="s">
        <v>16536</v>
      </c>
      <c r="C1073" s="165"/>
      <c r="D1073" s="165"/>
      <c r="E1073" s="165"/>
      <c r="F1073" s="165"/>
      <c r="G1073" s="165"/>
      <c r="H1073" s="165"/>
      <c r="I1073" s="165"/>
      <c r="J1073" s="165"/>
      <c r="K1073" s="165"/>
      <c r="L1073" s="165"/>
      <c r="M1073" s="165"/>
      <c r="N1073" s="165"/>
      <c r="O1073" s="165"/>
      <c r="P1073" s="165"/>
      <c r="Q1073" s="165"/>
      <c r="R1073" s="165"/>
      <c r="S1073" s="165"/>
      <c r="T1073" s="165"/>
      <c r="U1073" s="165"/>
      <c r="V1073" s="165"/>
      <c r="W1073" s="165"/>
      <c r="X1073" s="165"/>
    </row>
    <row r="1074" ht="18.75" customHeight="1">
      <c r="A1074" s="165">
        <v>1072.0</v>
      </c>
      <c r="B1074" s="165" t="s">
        <v>16537</v>
      </c>
      <c r="C1074" s="165"/>
      <c r="D1074" s="165"/>
      <c r="E1074" s="165"/>
      <c r="F1074" s="165"/>
      <c r="G1074" s="165"/>
      <c r="H1074" s="165"/>
      <c r="I1074" s="165"/>
      <c r="J1074" s="165"/>
      <c r="K1074" s="165"/>
      <c r="L1074" s="165"/>
      <c r="M1074" s="165"/>
      <c r="N1074" s="165"/>
      <c r="O1074" s="165"/>
      <c r="P1074" s="165"/>
      <c r="Q1074" s="165"/>
      <c r="R1074" s="165"/>
      <c r="S1074" s="165"/>
      <c r="T1074" s="165"/>
      <c r="U1074" s="165"/>
      <c r="V1074" s="165"/>
      <c r="W1074" s="165"/>
      <c r="X1074" s="165"/>
    </row>
    <row r="1075" ht="18.75" customHeight="1">
      <c r="A1075" s="165">
        <v>1073.0</v>
      </c>
      <c r="B1075" s="167" t="s">
        <v>16538</v>
      </c>
      <c r="C1075" s="165"/>
      <c r="D1075" s="165"/>
      <c r="E1075" s="165"/>
      <c r="F1075" s="165"/>
      <c r="G1075" s="165"/>
      <c r="H1075" s="165"/>
      <c r="I1075" s="165"/>
      <c r="J1075" s="165"/>
      <c r="K1075" s="165"/>
      <c r="L1075" s="165"/>
      <c r="M1075" s="165"/>
      <c r="N1075" s="165"/>
      <c r="O1075" s="165"/>
      <c r="P1075" s="165"/>
      <c r="Q1075" s="165"/>
      <c r="R1075" s="165"/>
      <c r="S1075" s="165"/>
      <c r="T1075" s="165"/>
      <c r="U1075" s="165"/>
      <c r="V1075" s="165"/>
      <c r="W1075" s="165"/>
      <c r="X1075" s="165"/>
    </row>
    <row r="1076" ht="18.75" customHeight="1">
      <c r="A1076" s="165">
        <v>1074.0</v>
      </c>
      <c r="B1076" s="167" t="s">
        <v>16539</v>
      </c>
      <c r="C1076" s="165"/>
      <c r="D1076" s="165"/>
      <c r="E1076" s="165"/>
      <c r="F1076" s="165"/>
      <c r="G1076" s="165"/>
      <c r="H1076" s="165"/>
      <c r="I1076" s="165"/>
      <c r="J1076" s="165"/>
      <c r="K1076" s="165"/>
      <c r="L1076" s="165"/>
      <c r="M1076" s="165"/>
      <c r="N1076" s="165"/>
      <c r="O1076" s="165"/>
      <c r="P1076" s="165"/>
      <c r="Q1076" s="165"/>
      <c r="R1076" s="165"/>
      <c r="S1076" s="165"/>
      <c r="T1076" s="165"/>
      <c r="U1076" s="165"/>
      <c r="V1076" s="165"/>
      <c r="W1076" s="165"/>
      <c r="X1076" s="165"/>
    </row>
    <row r="1077" ht="18.75" customHeight="1">
      <c r="A1077" s="165">
        <v>1075.0</v>
      </c>
      <c r="B1077" s="165" t="s">
        <v>16540</v>
      </c>
      <c r="C1077" s="165"/>
      <c r="D1077" s="165"/>
      <c r="E1077" s="165"/>
      <c r="F1077" s="165"/>
      <c r="G1077" s="165"/>
      <c r="H1077" s="165"/>
      <c r="I1077" s="165"/>
      <c r="J1077" s="165"/>
      <c r="K1077" s="165"/>
      <c r="L1077" s="165"/>
      <c r="M1077" s="165"/>
      <c r="N1077" s="165"/>
      <c r="O1077" s="165"/>
      <c r="P1077" s="165"/>
      <c r="Q1077" s="165"/>
      <c r="R1077" s="165"/>
      <c r="S1077" s="165"/>
      <c r="T1077" s="165"/>
      <c r="U1077" s="165"/>
      <c r="V1077" s="165"/>
      <c r="W1077" s="165"/>
      <c r="X1077" s="165"/>
    </row>
    <row r="1078" ht="18.75" customHeight="1">
      <c r="A1078" s="165">
        <v>1076.0</v>
      </c>
      <c r="B1078" s="165" t="s">
        <v>16541</v>
      </c>
      <c r="C1078" s="165"/>
      <c r="D1078" s="165"/>
      <c r="E1078" s="165"/>
      <c r="F1078" s="165"/>
      <c r="G1078" s="165"/>
      <c r="H1078" s="165"/>
      <c r="I1078" s="165"/>
      <c r="J1078" s="165"/>
      <c r="K1078" s="165"/>
      <c r="L1078" s="165"/>
      <c r="M1078" s="165"/>
      <c r="N1078" s="165"/>
      <c r="O1078" s="165"/>
      <c r="P1078" s="165"/>
      <c r="Q1078" s="165"/>
      <c r="R1078" s="165"/>
      <c r="S1078" s="165"/>
      <c r="T1078" s="165"/>
      <c r="U1078" s="165"/>
      <c r="V1078" s="165"/>
      <c r="W1078" s="165"/>
      <c r="X1078" s="165"/>
    </row>
    <row r="1079" ht="18.75" customHeight="1">
      <c r="A1079" s="165">
        <v>1077.0</v>
      </c>
      <c r="B1079" s="165" t="s">
        <v>16542</v>
      </c>
      <c r="C1079" s="165"/>
      <c r="D1079" s="165"/>
      <c r="E1079" s="165"/>
      <c r="F1079" s="165"/>
      <c r="G1079" s="165"/>
      <c r="H1079" s="165"/>
      <c r="I1079" s="165"/>
      <c r="J1079" s="165"/>
      <c r="K1079" s="165"/>
      <c r="L1079" s="165"/>
      <c r="M1079" s="165"/>
      <c r="N1079" s="165"/>
      <c r="O1079" s="165"/>
      <c r="P1079" s="165"/>
      <c r="Q1079" s="165"/>
      <c r="R1079" s="165"/>
      <c r="S1079" s="165"/>
      <c r="T1079" s="165"/>
      <c r="U1079" s="165"/>
      <c r="V1079" s="165"/>
      <c r="W1079" s="165"/>
      <c r="X1079" s="165"/>
    </row>
    <row r="1080" ht="18.75" customHeight="1">
      <c r="A1080" s="165">
        <v>1078.0</v>
      </c>
      <c r="B1080" s="167" t="s">
        <v>16543</v>
      </c>
      <c r="C1080" s="165"/>
      <c r="D1080" s="165"/>
      <c r="E1080" s="165"/>
      <c r="F1080" s="165"/>
      <c r="G1080" s="165"/>
      <c r="H1080" s="165"/>
      <c r="I1080" s="165"/>
      <c r="J1080" s="165"/>
      <c r="K1080" s="165"/>
      <c r="L1080" s="165"/>
      <c r="M1080" s="165"/>
      <c r="N1080" s="165"/>
      <c r="O1080" s="165"/>
      <c r="P1080" s="165"/>
      <c r="Q1080" s="165"/>
      <c r="R1080" s="165"/>
      <c r="S1080" s="165"/>
      <c r="T1080" s="165"/>
      <c r="U1080" s="165"/>
      <c r="V1080" s="165"/>
      <c r="W1080" s="165"/>
      <c r="X1080" s="165"/>
    </row>
    <row r="1081" ht="18.75" customHeight="1">
      <c r="A1081" s="165">
        <v>1079.0</v>
      </c>
      <c r="B1081" s="165" t="s">
        <v>16544</v>
      </c>
      <c r="C1081" s="165"/>
      <c r="D1081" s="165"/>
      <c r="E1081" s="165"/>
      <c r="F1081" s="165"/>
      <c r="G1081" s="165"/>
      <c r="H1081" s="165"/>
      <c r="I1081" s="165"/>
      <c r="J1081" s="165"/>
      <c r="K1081" s="165"/>
      <c r="L1081" s="165"/>
      <c r="M1081" s="165"/>
      <c r="N1081" s="165"/>
      <c r="O1081" s="165"/>
      <c r="P1081" s="165"/>
      <c r="Q1081" s="165"/>
      <c r="R1081" s="165"/>
      <c r="S1081" s="165"/>
      <c r="T1081" s="165"/>
      <c r="U1081" s="165"/>
      <c r="V1081" s="165"/>
      <c r="W1081" s="165"/>
      <c r="X1081" s="165"/>
    </row>
    <row r="1082" ht="18.75" customHeight="1">
      <c r="A1082" s="165">
        <v>1080.0</v>
      </c>
      <c r="B1082" s="165" t="s">
        <v>16545</v>
      </c>
      <c r="C1082" s="165"/>
      <c r="D1082" s="165"/>
      <c r="E1082" s="165"/>
      <c r="F1082" s="165"/>
      <c r="G1082" s="165"/>
      <c r="H1082" s="165"/>
      <c r="I1082" s="165"/>
      <c r="J1082" s="165"/>
      <c r="K1082" s="165"/>
      <c r="L1082" s="165"/>
      <c r="M1082" s="165"/>
      <c r="N1082" s="165"/>
      <c r="O1082" s="165"/>
      <c r="P1082" s="165"/>
      <c r="Q1082" s="165"/>
      <c r="R1082" s="165"/>
      <c r="S1082" s="165"/>
      <c r="T1082" s="165"/>
      <c r="U1082" s="165"/>
      <c r="V1082" s="165"/>
      <c r="W1082" s="165"/>
      <c r="X1082" s="165"/>
    </row>
    <row r="1083" ht="18.75" customHeight="1">
      <c r="A1083" s="165">
        <v>1081.0</v>
      </c>
      <c r="B1083" s="165" t="s">
        <v>16546</v>
      </c>
      <c r="C1083" s="165"/>
      <c r="D1083" s="165"/>
      <c r="E1083" s="165"/>
      <c r="F1083" s="165"/>
      <c r="G1083" s="165"/>
      <c r="H1083" s="165"/>
      <c r="I1083" s="165"/>
      <c r="J1083" s="165"/>
      <c r="K1083" s="165"/>
      <c r="L1083" s="165"/>
      <c r="M1083" s="165"/>
      <c r="N1083" s="165"/>
      <c r="O1083" s="165"/>
      <c r="P1083" s="165"/>
      <c r="Q1083" s="165"/>
      <c r="R1083" s="165"/>
      <c r="S1083" s="165"/>
      <c r="T1083" s="165"/>
      <c r="U1083" s="165"/>
      <c r="V1083" s="165"/>
      <c r="W1083" s="165"/>
      <c r="X1083" s="165"/>
    </row>
    <row r="1084" ht="18.75" customHeight="1">
      <c r="A1084" s="165">
        <v>1082.0</v>
      </c>
      <c r="B1084" s="165" t="s">
        <v>16547</v>
      </c>
      <c r="C1084" s="165"/>
      <c r="D1084" s="165"/>
      <c r="E1084" s="165"/>
      <c r="F1084" s="165"/>
      <c r="G1084" s="165"/>
      <c r="H1084" s="165"/>
      <c r="I1084" s="165"/>
      <c r="J1084" s="165"/>
      <c r="K1084" s="165"/>
      <c r="L1084" s="165"/>
      <c r="M1084" s="165"/>
      <c r="N1084" s="165"/>
      <c r="O1084" s="165"/>
      <c r="P1084" s="165"/>
      <c r="Q1084" s="165"/>
      <c r="R1084" s="165"/>
      <c r="S1084" s="165"/>
      <c r="T1084" s="165"/>
      <c r="U1084" s="165"/>
      <c r="V1084" s="165"/>
      <c r="W1084" s="165"/>
      <c r="X1084" s="165"/>
    </row>
    <row r="1085" ht="18.75" customHeight="1">
      <c r="A1085" s="165">
        <v>1083.0</v>
      </c>
      <c r="B1085" s="167" t="s">
        <v>16548</v>
      </c>
      <c r="C1085" s="165"/>
      <c r="D1085" s="165"/>
      <c r="E1085" s="165"/>
      <c r="F1085" s="165"/>
      <c r="G1085" s="165"/>
      <c r="H1085" s="165"/>
      <c r="I1085" s="165"/>
      <c r="J1085" s="165"/>
      <c r="K1085" s="165"/>
      <c r="L1085" s="165"/>
      <c r="M1085" s="165"/>
      <c r="N1085" s="165"/>
      <c r="O1085" s="165"/>
      <c r="P1085" s="165"/>
      <c r="Q1085" s="165"/>
      <c r="R1085" s="165"/>
      <c r="S1085" s="165"/>
      <c r="T1085" s="165"/>
      <c r="U1085" s="165"/>
      <c r="V1085" s="165"/>
      <c r="W1085" s="165"/>
      <c r="X1085" s="165"/>
    </row>
    <row r="1086" ht="18.75" customHeight="1">
      <c r="A1086" s="165">
        <v>1084.0</v>
      </c>
      <c r="B1086" s="167" t="s">
        <v>16549</v>
      </c>
      <c r="C1086" s="165"/>
      <c r="D1086" s="165"/>
      <c r="E1086" s="165"/>
      <c r="F1086" s="165"/>
      <c r="G1086" s="165"/>
      <c r="H1086" s="165"/>
      <c r="I1086" s="165"/>
      <c r="J1086" s="165"/>
      <c r="K1086" s="165"/>
      <c r="L1086" s="165"/>
      <c r="M1086" s="165"/>
      <c r="N1086" s="165"/>
      <c r="O1086" s="165"/>
      <c r="P1086" s="165"/>
      <c r="Q1086" s="165"/>
      <c r="R1086" s="165"/>
      <c r="S1086" s="165"/>
      <c r="T1086" s="165"/>
      <c r="U1086" s="165"/>
      <c r="V1086" s="165"/>
      <c r="W1086" s="165"/>
      <c r="X1086" s="165"/>
    </row>
    <row r="1087" ht="18.75" customHeight="1">
      <c r="A1087" s="165">
        <v>1085.0</v>
      </c>
      <c r="B1087" s="165" t="s">
        <v>16550</v>
      </c>
      <c r="C1087" s="165"/>
      <c r="D1087" s="165"/>
      <c r="E1087" s="165"/>
      <c r="F1087" s="165"/>
      <c r="G1087" s="165"/>
      <c r="H1087" s="165"/>
      <c r="I1087" s="165"/>
      <c r="J1087" s="165"/>
      <c r="K1087" s="165"/>
      <c r="L1087" s="165"/>
      <c r="M1087" s="165"/>
      <c r="N1087" s="165"/>
      <c r="O1087" s="165"/>
      <c r="P1087" s="165"/>
      <c r="Q1087" s="165"/>
      <c r="R1087" s="165"/>
      <c r="S1087" s="165"/>
      <c r="T1087" s="165"/>
      <c r="U1087" s="165"/>
      <c r="V1087" s="165"/>
      <c r="W1087" s="165"/>
      <c r="X1087" s="165"/>
    </row>
    <row r="1088" ht="18.75" customHeight="1">
      <c r="A1088" s="165">
        <v>1086.0</v>
      </c>
      <c r="B1088" s="165" t="s">
        <v>16551</v>
      </c>
      <c r="C1088" s="165"/>
      <c r="D1088" s="165"/>
      <c r="E1088" s="165"/>
      <c r="F1088" s="165"/>
      <c r="G1088" s="165"/>
      <c r="H1088" s="165"/>
      <c r="I1088" s="165"/>
      <c r="J1088" s="165"/>
      <c r="K1088" s="165"/>
      <c r="L1088" s="165"/>
      <c r="M1088" s="165"/>
      <c r="N1088" s="165"/>
      <c r="O1088" s="165"/>
      <c r="P1088" s="165"/>
      <c r="Q1088" s="165"/>
      <c r="R1088" s="165"/>
      <c r="S1088" s="165"/>
      <c r="T1088" s="165"/>
      <c r="U1088" s="165"/>
      <c r="V1088" s="165"/>
      <c r="W1088" s="165"/>
      <c r="X1088" s="165"/>
    </row>
    <row r="1089" ht="18.75" customHeight="1">
      <c r="A1089" s="165">
        <v>1087.0</v>
      </c>
      <c r="B1089" s="165" t="s">
        <v>16552</v>
      </c>
      <c r="C1089" s="165"/>
      <c r="D1089" s="165"/>
      <c r="E1089" s="165"/>
      <c r="F1089" s="165"/>
      <c r="G1089" s="165"/>
      <c r="H1089" s="165"/>
      <c r="I1089" s="165"/>
      <c r="J1089" s="165"/>
      <c r="K1089" s="165"/>
      <c r="L1089" s="165"/>
      <c r="M1089" s="165"/>
      <c r="N1089" s="165"/>
      <c r="O1089" s="165"/>
      <c r="P1089" s="165"/>
      <c r="Q1089" s="165"/>
      <c r="R1089" s="165"/>
      <c r="S1089" s="165"/>
      <c r="T1089" s="165"/>
      <c r="U1089" s="165"/>
      <c r="V1089" s="165"/>
      <c r="W1089" s="165"/>
      <c r="X1089" s="165"/>
    </row>
    <row r="1090" ht="18.75" customHeight="1">
      <c r="A1090" s="165">
        <v>1088.0</v>
      </c>
      <c r="B1090" s="167" t="s">
        <v>16553</v>
      </c>
      <c r="C1090" s="165"/>
      <c r="D1090" s="165"/>
      <c r="E1090" s="165"/>
      <c r="F1090" s="165"/>
      <c r="G1090" s="165"/>
      <c r="H1090" s="165"/>
      <c r="I1090" s="165"/>
      <c r="J1090" s="165"/>
      <c r="K1090" s="165"/>
      <c r="L1090" s="165"/>
      <c r="M1090" s="165"/>
      <c r="N1090" s="165"/>
      <c r="O1090" s="165"/>
      <c r="P1090" s="165"/>
      <c r="Q1090" s="165"/>
      <c r="R1090" s="165"/>
      <c r="S1090" s="165"/>
      <c r="T1090" s="165"/>
      <c r="U1090" s="165"/>
      <c r="V1090" s="165"/>
      <c r="W1090" s="165"/>
      <c r="X1090" s="165"/>
    </row>
    <row r="1091" ht="18.75" customHeight="1">
      <c r="A1091" s="165">
        <v>1089.0</v>
      </c>
      <c r="B1091" s="165" t="s">
        <v>16554</v>
      </c>
      <c r="C1091" s="165"/>
      <c r="D1091" s="165"/>
      <c r="E1091" s="165"/>
      <c r="F1091" s="165"/>
      <c r="G1091" s="165"/>
      <c r="H1091" s="165"/>
      <c r="I1091" s="165"/>
      <c r="J1091" s="165"/>
      <c r="K1091" s="165"/>
      <c r="L1091" s="165"/>
      <c r="M1091" s="165"/>
      <c r="N1091" s="165"/>
      <c r="O1091" s="165"/>
      <c r="P1091" s="165"/>
      <c r="Q1091" s="165"/>
      <c r="R1091" s="165"/>
      <c r="S1091" s="165"/>
      <c r="T1091" s="165"/>
      <c r="U1091" s="165"/>
      <c r="V1091" s="165"/>
      <c r="W1091" s="165"/>
      <c r="X1091" s="165"/>
    </row>
    <row r="1092" ht="18.75" customHeight="1">
      <c r="A1092" s="165">
        <v>1090.0</v>
      </c>
      <c r="B1092" s="165" t="s">
        <v>16555</v>
      </c>
      <c r="C1092" s="165"/>
      <c r="D1092" s="165"/>
      <c r="E1092" s="165"/>
      <c r="F1092" s="165"/>
      <c r="G1092" s="165"/>
      <c r="H1092" s="165"/>
      <c r="I1092" s="165"/>
      <c r="J1092" s="165"/>
      <c r="K1092" s="165"/>
      <c r="L1092" s="165"/>
      <c r="M1092" s="165"/>
      <c r="N1092" s="165"/>
      <c r="O1092" s="165"/>
      <c r="P1092" s="165"/>
      <c r="Q1092" s="165"/>
      <c r="R1092" s="165"/>
      <c r="S1092" s="165"/>
      <c r="T1092" s="165"/>
      <c r="U1092" s="165"/>
      <c r="V1092" s="165"/>
      <c r="W1092" s="165"/>
      <c r="X1092" s="165"/>
    </row>
    <row r="1093" ht="18.75" customHeight="1">
      <c r="A1093" s="165">
        <v>1091.0</v>
      </c>
      <c r="B1093" s="167" t="s">
        <v>16556</v>
      </c>
      <c r="C1093" s="165"/>
      <c r="D1093" s="165"/>
      <c r="E1093" s="165"/>
      <c r="F1093" s="165"/>
      <c r="G1093" s="165"/>
      <c r="H1093" s="165"/>
      <c r="I1093" s="165"/>
      <c r="J1093" s="165"/>
      <c r="K1093" s="165"/>
      <c r="L1093" s="165"/>
      <c r="M1093" s="165"/>
      <c r="N1093" s="165"/>
      <c r="O1093" s="165"/>
      <c r="P1093" s="165"/>
      <c r="Q1093" s="165"/>
      <c r="R1093" s="165"/>
      <c r="S1093" s="165"/>
      <c r="T1093" s="165"/>
      <c r="U1093" s="165"/>
      <c r="V1093" s="165"/>
      <c r="W1093" s="165"/>
      <c r="X1093" s="165"/>
    </row>
    <row r="1094" ht="18.75" customHeight="1">
      <c r="A1094" s="165">
        <v>1092.0</v>
      </c>
      <c r="B1094" s="167" t="s">
        <v>16557</v>
      </c>
      <c r="C1094" s="165"/>
      <c r="D1094" s="165"/>
      <c r="E1094" s="165"/>
      <c r="F1094" s="165"/>
      <c r="G1094" s="165"/>
      <c r="H1094" s="165"/>
      <c r="I1094" s="165"/>
      <c r="J1094" s="165"/>
      <c r="K1094" s="165"/>
      <c r="L1094" s="165"/>
      <c r="M1094" s="165"/>
      <c r="N1094" s="165"/>
      <c r="O1094" s="165"/>
      <c r="P1094" s="165"/>
      <c r="Q1094" s="165"/>
      <c r="R1094" s="165"/>
      <c r="S1094" s="165"/>
      <c r="T1094" s="165"/>
      <c r="U1094" s="165"/>
      <c r="V1094" s="165"/>
      <c r="W1094" s="165"/>
      <c r="X1094" s="165"/>
    </row>
    <row r="1095" ht="18.75" customHeight="1">
      <c r="A1095" s="165">
        <v>1093.0</v>
      </c>
      <c r="B1095" s="167" t="s">
        <v>16558</v>
      </c>
      <c r="C1095" s="165"/>
      <c r="D1095" s="165"/>
      <c r="E1095" s="165"/>
      <c r="F1095" s="165"/>
      <c r="G1095" s="165"/>
      <c r="H1095" s="165"/>
      <c r="I1095" s="165"/>
      <c r="J1095" s="165"/>
      <c r="K1095" s="165"/>
      <c r="L1095" s="165"/>
      <c r="M1095" s="165"/>
      <c r="N1095" s="165"/>
      <c r="O1095" s="165"/>
      <c r="P1095" s="165"/>
      <c r="Q1095" s="165"/>
      <c r="R1095" s="165"/>
      <c r="S1095" s="165"/>
      <c r="T1095" s="165"/>
      <c r="U1095" s="165"/>
      <c r="V1095" s="165"/>
      <c r="W1095" s="165"/>
      <c r="X1095" s="165"/>
    </row>
    <row r="1096" ht="18.75" customHeight="1">
      <c r="A1096" s="165">
        <v>1094.0</v>
      </c>
      <c r="B1096" s="167" t="s">
        <v>16559</v>
      </c>
      <c r="C1096" s="165"/>
      <c r="D1096" s="165"/>
      <c r="E1096" s="165"/>
      <c r="F1096" s="165"/>
      <c r="G1096" s="165"/>
      <c r="H1096" s="165"/>
      <c r="I1096" s="165"/>
      <c r="J1096" s="165"/>
      <c r="K1096" s="165"/>
      <c r="L1096" s="165"/>
      <c r="M1096" s="165"/>
      <c r="N1096" s="165"/>
      <c r="O1096" s="165"/>
      <c r="P1096" s="165"/>
      <c r="Q1096" s="165"/>
      <c r="R1096" s="165"/>
      <c r="S1096" s="165"/>
      <c r="T1096" s="165"/>
      <c r="U1096" s="165"/>
      <c r="V1096" s="165"/>
      <c r="W1096" s="165"/>
      <c r="X1096" s="165"/>
    </row>
    <row r="1097" ht="18.75" customHeight="1">
      <c r="A1097" s="165">
        <v>1095.0</v>
      </c>
      <c r="B1097" s="167" t="s">
        <v>16560</v>
      </c>
      <c r="C1097" s="165"/>
      <c r="D1097" s="165"/>
      <c r="E1097" s="165"/>
      <c r="F1097" s="165"/>
      <c r="G1097" s="165"/>
      <c r="H1097" s="165"/>
      <c r="I1097" s="165"/>
      <c r="J1097" s="165"/>
      <c r="K1097" s="165"/>
      <c r="L1097" s="165"/>
      <c r="M1097" s="165"/>
      <c r="N1097" s="165"/>
      <c r="O1097" s="165"/>
      <c r="P1097" s="165"/>
      <c r="Q1097" s="165"/>
      <c r="R1097" s="165"/>
      <c r="S1097" s="165"/>
      <c r="T1097" s="165"/>
      <c r="U1097" s="165"/>
      <c r="V1097" s="165"/>
      <c r="W1097" s="165"/>
      <c r="X1097" s="165"/>
    </row>
    <row r="1098" ht="18.75" customHeight="1">
      <c r="A1098" s="165">
        <v>1096.0</v>
      </c>
      <c r="B1098" s="165" t="s">
        <v>16561</v>
      </c>
      <c r="C1098" s="165"/>
      <c r="D1098" s="165"/>
      <c r="E1098" s="165"/>
      <c r="F1098" s="165"/>
      <c r="G1098" s="165"/>
      <c r="H1098" s="165"/>
      <c r="I1098" s="165"/>
      <c r="J1098" s="165"/>
      <c r="K1098" s="165"/>
      <c r="L1098" s="165"/>
      <c r="M1098" s="165"/>
      <c r="N1098" s="165"/>
      <c r="O1098" s="165"/>
      <c r="P1098" s="165"/>
      <c r="Q1098" s="165"/>
      <c r="R1098" s="165"/>
      <c r="S1098" s="165"/>
      <c r="T1098" s="165"/>
      <c r="U1098" s="165"/>
      <c r="V1098" s="165"/>
      <c r="W1098" s="165"/>
      <c r="X1098" s="165"/>
    </row>
    <row r="1099" ht="18.75" customHeight="1">
      <c r="A1099" s="165">
        <v>1097.0</v>
      </c>
      <c r="B1099" s="165" t="s">
        <v>16562</v>
      </c>
      <c r="C1099" s="165"/>
      <c r="D1099" s="165"/>
      <c r="E1099" s="165"/>
      <c r="F1099" s="165"/>
      <c r="G1099" s="165"/>
      <c r="H1099" s="165"/>
      <c r="I1099" s="165"/>
      <c r="J1099" s="165"/>
      <c r="K1099" s="165"/>
      <c r="L1099" s="165"/>
      <c r="M1099" s="165"/>
      <c r="N1099" s="165"/>
      <c r="O1099" s="165"/>
      <c r="P1099" s="165"/>
      <c r="Q1099" s="165"/>
      <c r="R1099" s="165"/>
      <c r="S1099" s="165"/>
      <c r="T1099" s="165"/>
      <c r="U1099" s="165"/>
      <c r="V1099" s="165"/>
      <c r="W1099" s="165"/>
      <c r="X1099" s="165"/>
    </row>
    <row r="1100" ht="18.75" customHeight="1">
      <c r="A1100" s="165">
        <v>1098.0</v>
      </c>
      <c r="B1100" s="165" t="s">
        <v>16563</v>
      </c>
      <c r="C1100" s="165"/>
      <c r="D1100" s="165"/>
      <c r="E1100" s="165"/>
      <c r="F1100" s="165"/>
      <c r="G1100" s="165"/>
      <c r="H1100" s="165"/>
      <c r="I1100" s="165"/>
      <c r="J1100" s="165"/>
      <c r="K1100" s="165"/>
      <c r="L1100" s="165"/>
      <c r="M1100" s="165"/>
      <c r="N1100" s="165"/>
      <c r="O1100" s="165"/>
      <c r="P1100" s="165"/>
      <c r="Q1100" s="165"/>
      <c r="R1100" s="165"/>
      <c r="S1100" s="165"/>
      <c r="T1100" s="165"/>
      <c r="U1100" s="165"/>
      <c r="V1100" s="165"/>
      <c r="W1100" s="165"/>
      <c r="X1100" s="165"/>
    </row>
    <row r="1101" ht="18.75" customHeight="1">
      <c r="A1101" s="165">
        <v>1099.0</v>
      </c>
      <c r="B1101" s="167" t="s">
        <v>16564</v>
      </c>
      <c r="C1101" s="165"/>
      <c r="D1101" s="165"/>
      <c r="E1101" s="165"/>
      <c r="F1101" s="165"/>
      <c r="G1101" s="165"/>
      <c r="H1101" s="165"/>
      <c r="I1101" s="165"/>
      <c r="J1101" s="165"/>
      <c r="K1101" s="165"/>
      <c r="L1101" s="165"/>
      <c r="M1101" s="165"/>
      <c r="N1101" s="165"/>
      <c r="O1101" s="165"/>
      <c r="P1101" s="165"/>
      <c r="Q1101" s="165"/>
      <c r="R1101" s="165"/>
      <c r="S1101" s="165"/>
      <c r="T1101" s="165"/>
      <c r="U1101" s="165"/>
      <c r="V1101" s="165"/>
      <c r="W1101" s="165"/>
      <c r="X1101" s="165"/>
    </row>
    <row r="1102" ht="18.75" customHeight="1">
      <c r="A1102" s="165">
        <v>1100.0</v>
      </c>
      <c r="B1102" s="167" t="s">
        <v>16565</v>
      </c>
      <c r="C1102" s="165"/>
      <c r="D1102" s="165"/>
      <c r="E1102" s="165"/>
      <c r="F1102" s="165"/>
      <c r="G1102" s="165"/>
      <c r="H1102" s="165"/>
      <c r="I1102" s="165"/>
      <c r="J1102" s="165"/>
      <c r="K1102" s="165"/>
      <c r="L1102" s="165"/>
      <c r="M1102" s="165"/>
      <c r="N1102" s="165"/>
      <c r="O1102" s="165"/>
      <c r="P1102" s="165"/>
      <c r="Q1102" s="165"/>
      <c r="R1102" s="165"/>
      <c r="S1102" s="165"/>
      <c r="T1102" s="165"/>
      <c r="U1102" s="165"/>
      <c r="V1102" s="165"/>
      <c r="W1102" s="165"/>
      <c r="X1102" s="165"/>
    </row>
    <row r="1103" ht="18.75" customHeight="1">
      <c r="A1103" s="165">
        <v>1101.0</v>
      </c>
      <c r="B1103" s="165" t="s">
        <v>16566</v>
      </c>
      <c r="C1103" s="165"/>
      <c r="D1103" s="165"/>
      <c r="E1103" s="165"/>
      <c r="F1103" s="165"/>
      <c r="G1103" s="165"/>
      <c r="H1103" s="165"/>
      <c r="I1103" s="165"/>
      <c r="J1103" s="165"/>
      <c r="K1103" s="165"/>
      <c r="L1103" s="165"/>
      <c r="M1103" s="165"/>
      <c r="N1103" s="165"/>
      <c r="O1103" s="165"/>
      <c r="P1103" s="165"/>
      <c r="Q1103" s="165"/>
      <c r="R1103" s="165"/>
      <c r="S1103" s="165"/>
      <c r="T1103" s="165"/>
      <c r="U1103" s="165"/>
      <c r="V1103" s="165"/>
      <c r="W1103" s="165"/>
      <c r="X1103" s="165"/>
    </row>
    <row r="1104" ht="18.75" customHeight="1">
      <c r="A1104" s="165">
        <v>1102.0</v>
      </c>
      <c r="B1104" s="165" t="s">
        <v>16567</v>
      </c>
      <c r="C1104" s="165"/>
      <c r="D1104" s="165"/>
      <c r="E1104" s="165"/>
      <c r="F1104" s="165"/>
      <c r="G1104" s="165"/>
      <c r="H1104" s="165"/>
      <c r="I1104" s="165"/>
      <c r="J1104" s="165"/>
      <c r="K1104" s="165"/>
      <c r="L1104" s="165"/>
      <c r="M1104" s="165"/>
      <c r="N1104" s="165"/>
      <c r="O1104" s="165"/>
      <c r="P1104" s="165"/>
      <c r="Q1104" s="165"/>
      <c r="R1104" s="165"/>
      <c r="S1104" s="165"/>
      <c r="T1104" s="165"/>
      <c r="U1104" s="165"/>
      <c r="V1104" s="165"/>
      <c r="W1104" s="165"/>
      <c r="X1104" s="165"/>
    </row>
    <row r="1105" ht="18.75" customHeight="1">
      <c r="A1105" s="165">
        <v>1103.0</v>
      </c>
      <c r="B1105" s="165" t="s">
        <v>16568</v>
      </c>
      <c r="C1105" s="165"/>
      <c r="D1105" s="165"/>
      <c r="E1105" s="165"/>
      <c r="F1105" s="165"/>
      <c r="G1105" s="165"/>
      <c r="H1105" s="165"/>
      <c r="I1105" s="165"/>
      <c r="J1105" s="165"/>
      <c r="K1105" s="165"/>
      <c r="L1105" s="165"/>
      <c r="M1105" s="165"/>
      <c r="N1105" s="165"/>
      <c r="O1105" s="165"/>
      <c r="P1105" s="165"/>
      <c r="Q1105" s="165"/>
      <c r="R1105" s="165"/>
      <c r="S1105" s="165"/>
      <c r="T1105" s="165"/>
      <c r="U1105" s="165"/>
      <c r="V1105" s="165"/>
      <c r="W1105" s="165"/>
      <c r="X1105" s="165"/>
    </row>
    <row r="1106" ht="18.75" customHeight="1">
      <c r="A1106" s="165">
        <v>1104.0</v>
      </c>
      <c r="B1106" s="167" t="s">
        <v>16569</v>
      </c>
      <c r="C1106" s="165"/>
      <c r="D1106" s="165"/>
      <c r="E1106" s="165"/>
      <c r="F1106" s="165"/>
      <c r="G1106" s="165"/>
      <c r="H1106" s="165"/>
      <c r="I1106" s="165"/>
      <c r="J1106" s="165"/>
      <c r="K1106" s="165"/>
      <c r="L1106" s="165"/>
      <c r="M1106" s="165"/>
      <c r="N1106" s="165"/>
      <c r="O1106" s="165"/>
      <c r="P1106" s="165"/>
      <c r="Q1106" s="165"/>
      <c r="R1106" s="165"/>
      <c r="S1106" s="165"/>
      <c r="T1106" s="165"/>
      <c r="U1106" s="165"/>
      <c r="V1106" s="165"/>
      <c r="W1106" s="165"/>
      <c r="X1106" s="165"/>
    </row>
    <row r="1107" ht="18.75" customHeight="1">
      <c r="A1107" s="165">
        <v>1105.0</v>
      </c>
      <c r="B1107" s="167" t="s">
        <v>16570</v>
      </c>
      <c r="C1107" s="165"/>
      <c r="D1107" s="165"/>
      <c r="E1107" s="165"/>
      <c r="F1107" s="165"/>
      <c r="G1107" s="165"/>
      <c r="H1107" s="165"/>
      <c r="I1107" s="165"/>
      <c r="J1107" s="165"/>
      <c r="K1107" s="165"/>
      <c r="L1107" s="165"/>
      <c r="M1107" s="165"/>
      <c r="N1107" s="165"/>
      <c r="O1107" s="165"/>
      <c r="P1107" s="165"/>
      <c r="Q1107" s="165"/>
      <c r="R1107" s="165"/>
      <c r="S1107" s="165"/>
      <c r="T1107" s="165"/>
      <c r="U1107" s="165"/>
      <c r="V1107" s="165"/>
      <c r="W1107" s="165"/>
      <c r="X1107" s="165"/>
    </row>
    <row r="1108" ht="18.75" customHeight="1">
      <c r="A1108" s="165">
        <v>1106.0</v>
      </c>
      <c r="B1108" s="165" t="s">
        <v>16571</v>
      </c>
      <c r="C1108" s="165"/>
      <c r="D1108" s="165"/>
      <c r="E1108" s="165"/>
      <c r="F1108" s="165"/>
      <c r="G1108" s="165"/>
      <c r="H1108" s="165"/>
      <c r="I1108" s="165"/>
      <c r="J1108" s="165"/>
      <c r="K1108" s="165"/>
      <c r="L1108" s="165"/>
      <c r="M1108" s="165"/>
      <c r="N1108" s="165"/>
      <c r="O1108" s="165"/>
      <c r="P1108" s="165"/>
      <c r="Q1108" s="165"/>
      <c r="R1108" s="165"/>
      <c r="S1108" s="165"/>
      <c r="T1108" s="165"/>
      <c r="U1108" s="165"/>
      <c r="V1108" s="165"/>
      <c r="W1108" s="165"/>
      <c r="X1108" s="165"/>
    </row>
    <row r="1109" ht="18.75" customHeight="1">
      <c r="A1109" s="165">
        <v>1107.0</v>
      </c>
      <c r="B1109" s="165" t="s">
        <v>16572</v>
      </c>
      <c r="C1109" s="165"/>
      <c r="D1109" s="165"/>
      <c r="E1109" s="165"/>
      <c r="F1109" s="165"/>
      <c r="G1109" s="165"/>
      <c r="H1109" s="165"/>
      <c r="I1109" s="165"/>
      <c r="J1109" s="165"/>
      <c r="K1109" s="165"/>
      <c r="L1109" s="165"/>
      <c r="M1109" s="165"/>
      <c r="N1109" s="165"/>
      <c r="O1109" s="165"/>
      <c r="P1109" s="165"/>
      <c r="Q1109" s="165"/>
      <c r="R1109" s="165"/>
      <c r="S1109" s="165"/>
      <c r="T1109" s="165"/>
      <c r="U1109" s="165"/>
      <c r="V1109" s="165"/>
      <c r="W1109" s="165"/>
      <c r="X1109" s="165"/>
    </row>
    <row r="1110" ht="18.75" customHeight="1">
      <c r="A1110" s="165">
        <v>1108.0</v>
      </c>
      <c r="B1110" s="167" t="s">
        <v>16573</v>
      </c>
      <c r="C1110" s="165"/>
      <c r="D1110" s="165"/>
      <c r="E1110" s="165"/>
      <c r="F1110" s="165"/>
      <c r="G1110" s="165"/>
      <c r="H1110" s="165"/>
      <c r="I1110" s="165"/>
      <c r="J1110" s="165"/>
      <c r="K1110" s="165"/>
      <c r="L1110" s="165"/>
      <c r="M1110" s="165"/>
      <c r="N1110" s="165"/>
      <c r="O1110" s="165"/>
      <c r="P1110" s="165"/>
      <c r="Q1110" s="165"/>
      <c r="R1110" s="165"/>
      <c r="S1110" s="165"/>
      <c r="T1110" s="165"/>
      <c r="U1110" s="165"/>
      <c r="V1110" s="165"/>
      <c r="W1110" s="165"/>
      <c r="X1110" s="165"/>
    </row>
    <row r="1111" ht="18.75" customHeight="1">
      <c r="A1111" s="165">
        <v>1109.0</v>
      </c>
      <c r="B1111" s="165" t="s">
        <v>16574</v>
      </c>
      <c r="C1111" s="165"/>
      <c r="D1111" s="165"/>
      <c r="E1111" s="165"/>
      <c r="F1111" s="165"/>
      <c r="G1111" s="165"/>
      <c r="H1111" s="165"/>
      <c r="I1111" s="165"/>
      <c r="J1111" s="165"/>
      <c r="K1111" s="165"/>
      <c r="L1111" s="165"/>
      <c r="M1111" s="165"/>
      <c r="N1111" s="165"/>
      <c r="O1111" s="165"/>
      <c r="P1111" s="165"/>
      <c r="Q1111" s="165"/>
      <c r="R1111" s="165"/>
      <c r="S1111" s="165"/>
      <c r="T1111" s="165"/>
      <c r="U1111" s="165"/>
      <c r="V1111" s="165"/>
      <c r="W1111" s="165"/>
      <c r="X1111" s="165"/>
    </row>
    <row r="1112" ht="18.75" customHeight="1">
      <c r="A1112" s="165">
        <v>1110.0</v>
      </c>
      <c r="B1112" s="167" t="s">
        <v>16575</v>
      </c>
      <c r="C1112" s="165"/>
      <c r="D1112" s="165"/>
      <c r="E1112" s="165"/>
      <c r="F1112" s="165"/>
      <c r="G1112" s="165"/>
      <c r="H1112" s="165"/>
      <c r="I1112" s="165"/>
      <c r="J1112" s="165"/>
      <c r="K1112" s="165"/>
      <c r="L1112" s="165"/>
      <c r="M1112" s="165"/>
      <c r="N1112" s="165"/>
      <c r="O1112" s="165"/>
      <c r="P1112" s="165"/>
      <c r="Q1112" s="165"/>
      <c r="R1112" s="165"/>
      <c r="S1112" s="165"/>
      <c r="T1112" s="165"/>
      <c r="U1112" s="165"/>
      <c r="V1112" s="165"/>
      <c r="W1112" s="165"/>
      <c r="X1112" s="165"/>
    </row>
    <row r="1113" ht="18.75" customHeight="1">
      <c r="A1113" s="165">
        <v>1111.0</v>
      </c>
      <c r="B1113" s="165" t="s">
        <v>16576</v>
      </c>
      <c r="C1113" s="165"/>
      <c r="D1113" s="165"/>
      <c r="E1113" s="165"/>
      <c r="F1113" s="165"/>
      <c r="G1113" s="165"/>
      <c r="H1113" s="165"/>
      <c r="I1113" s="165"/>
      <c r="J1113" s="165"/>
      <c r="K1113" s="165"/>
      <c r="L1113" s="165"/>
      <c r="M1113" s="165"/>
      <c r="N1113" s="165"/>
      <c r="O1113" s="165"/>
      <c r="P1113" s="165"/>
      <c r="Q1113" s="165"/>
      <c r="R1113" s="165"/>
      <c r="S1113" s="165"/>
      <c r="T1113" s="165"/>
      <c r="U1113" s="165"/>
      <c r="V1113" s="165"/>
      <c r="W1113" s="165"/>
      <c r="X1113" s="165"/>
    </row>
    <row r="1114" ht="18.75" customHeight="1">
      <c r="A1114" s="165">
        <v>1112.0</v>
      </c>
      <c r="B1114" s="165" t="s">
        <v>16577</v>
      </c>
      <c r="C1114" s="165"/>
      <c r="D1114" s="165"/>
      <c r="E1114" s="165"/>
      <c r="F1114" s="165"/>
      <c r="G1114" s="165"/>
      <c r="H1114" s="165"/>
      <c r="I1114" s="165"/>
      <c r="J1114" s="165"/>
      <c r="K1114" s="165"/>
      <c r="L1114" s="165"/>
      <c r="M1114" s="165"/>
      <c r="N1114" s="165"/>
      <c r="O1114" s="165"/>
      <c r="P1114" s="165"/>
      <c r="Q1114" s="165"/>
      <c r="R1114" s="165"/>
      <c r="S1114" s="165"/>
      <c r="T1114" s="165"/>
      <c r="U1114" s="165"/>
      <c r="V1114" s="165"/>
      <c r="W1114" s="165"/>
      <c r="X1114" s="165"/>
    </row>
    <row r="1115" ht="18.75" customHeight="1">
      <c r="A1115" s="165">
        <v>1113.0</v>
      </c>
      <c r="B1115" s="165" t="s">
        <v>16578</v>
      </c>
      <c r="C1115" s="165"/>
      <c r="D1115" s="165"/>
      <c r="E1115" s="165"/>
      <c r="F1115" s="165"/>
      <c r="G1115" s="165"/>
      <c r="H1115" s="165"/>
      <c r="I1115" s="165"/>
      <c r="J1115" s="165"/>
      <c r="K1115" s="165"/>
      <c r="L1115" s="165"/>
      <c r="M1115" s="165"/>
      <c r="N1115" s="165"/>
      <c r="O1115" s="165"/>
      <c r="P1115" s="165"/>
      <c r="Q1115" s="165"/>
      <c r="R1115" s="165"/>
      <c r="S1115" s="165"/>
      <c r="T1115" s="165"/>
      <c r="U1115" s="165"/>
      <c r="V1115" s="165"/>
      <c r="W1115" s="165"/>
      <c r="X1115" s="165"/>
    </row>
    <row r="1116" ht="18.75" customHeight="1">
      <c r="A1116" s="165">
        <v>1114.0</v>
      </c>
      <c r="B1116" s="165" t="s">
        <v>16579</v>
      </c>
      <c r="C1116" s="165"/>
      <c r="D1116" s="165"/>
      <c r="E1116" s="165"/>
      <c r="F1116" s="165"/>
      <c r="G1116" s="165"/>
      <c r="H1116" s="165"/>
      <c r="I1116" s="165"/>
      <c r="J1116" s="165"/>
      <c r="K1116" s="165"/>
      <c r="L1116" s="165"/>
      <c r="M1116" s="165"/>
      <c r="N1116" s="165"/>
      <c r="O1116" s="165"/>
      <c r="P1116" s="165"/>
      <c r="Q1116" s="165"/>
      <c r="R1116" s="165"/>
      <c r="S1116" s="165"/>
      <c r="T1116" s="165"/>
      <c r="U1116" s="165"/>
      <c r="V1116" s="165"/>
      <c r="W1116" s="165"/>
      <c r="X1116" s="165"/>
    </row>
    <row r="1117" ht="18.75" customHeight="1">
      <c r="A1117" s="165">
        <v>1115.0</v>
      </c>
      <c r="B1117" s="165" t="s">
        <v>16580</v>
      </c>
      <c r="C1117" s="165"/>
      <c r="D1117" s="165"/>
      <c r="E1117" s="165"/>
      <c r="F1117" s="165"/>
      <c r="G1117" s="165"/>
      <c r="H1117" s="165"/>
      <c r="I1117" s="165"/>
      <c r="J1117" s="165"/>
      <c r="K1117" s="165"/>
      <c r="L1117" s="165"/>
      <c r="M1117" s="165"/>
      <c r="N1117" s="165"/>
      <c r="O1117" s="165"/>
      <c r="P1117" s="165"/>
      <c r="Q1117" s="165"/>
      <c r="R1117" s="165"/>
      <c r="S1117" s="165"/>
      <c r="T1117" s="165"/>
      <c r="U1117" s="165"/>
      <c r="V1117" s="165"/>
      <c r="W1117" s="165"/>
      <c r="X1117" s="165"/>
    </row>
    <row r="1118" ht="18.75" customHeight="1">
      <c r="A1118" s="165">
        <v>1116.0</v>
      </c>
      <c r="B1118" s="167" t="s">
        <v>16581</v>
      </c>
      <c r="C1118" s="165"/>
      <c r="D1118" s="165"/>
      <c r="E1118" s="165"/>
      <c r="F1118" s="165"/>
      <c r="G1118" s="165"/>
      <c r="H1118" s="165"/>
      <c r="I1118" s="165"/>
      <c r="J1118" s="165"/>
      <c r="K1118" s="165"/>
      <c r="L1118" s="165"/>
      <c r="M1118" s="165"/>
      <c r="N1118" s="165"/>
      <c r="O1118" s="165"/>
      <c r="P1118" s="165"/>
      <c r="Q1118" s="165"/>
      <c r="R1118" s="165"/>
      <c r="S1118" s="165"/>
      <c r="T1118" s="165"/>
      <c r="U1118" s="165"/>
      <c r="V1118" s="165"/>
      <c r="W1118" s="165"/>
      <c r="X1118" s="165"/>
    </row>
    <row r="1119" ht="18.75" customHeight="1">
      <c r="A1119" s="165">
        <v>1117.0</v>
      </c>
      <c r="B1119" s="167" t="s">
        <v>16582</v>
      </c>
      <c r="C1119" s="165"/>
      <c r="D1119" s="165"/>
      <c r="E1119" s="165"/>
      <c r="F1119" s="165"/>
      <c r="G1119" s="165"/>
      <c r="H1119" s="165"/>
      <c r="I1119" s="165"/>
      <c r="J1119" s="165"/>
      <c r="K1119" s="165"/>
      <c r="L1119" s="165"/>
      <c r="M1119" s="165"/>
      <c r="N1119" s="165"/>
      <c r="O1119" s="165"/>
      <c r="P1119" s="165"/>
      <c r="Q1119" s="165"/>
      <c r="R1119" s="165"/>
      <c r="S1119" s="165"/>
      <c r="T1119" s="165"/>
      <c r="U1119" s="165"/>
      <c r="V1119" s="165"/>
      <c r="W1119" s="165"/>
      <c r="X1119" s="165"/>
    </row>
    <row r="1120" ht="18.75" customHeight="1">
      <c r="A1120" s="165">
        <v>1118.0</v>
      </c>
      <c r="B1120" s="165" t="s">
        <v>16583</v>
      </c>
      <c r="C1120" s="165"/>
      <c r="D1120" s="165"/>
      <c r="E1120" s="165"/>
      <c r="F1120" s="165"/>
      <c r="G1120" s="165"/>
      <c r="H1120" s="165"/>
      <c r="I1120" s="165"/>
      <c r="J1120" s="165"/>
      <c r="K1120" s="165"/>
      <c r="L1120" s="165"/>
      <c r="M1120" s="165"/>
      <c r="N1120" s="165"/>
      <c r="O1120" s="165"/>
      <c r="P1120" s="165"/>
      <c r="Q1120" s="165"/>
      <c r="R1120" s="165"/>
      <c r="S1120" s="165"/>
      <c r="T1120" s="165"/>
      <c r="U1120" s="165"/>
      <c r="V1120" s="165"/>
      <c r="W1120" s="165"/>
      <c r="X1120" s="165"/>
    </row>
    <row r="1121" ht="18.75" customHeight="1">
      <c r="A1121" s="165">
        <v>1119.0</v>
      </c>
      <c r="B1121" s="167" t="s">
        <v>16584</v>
      </c>
      <c r="C1121" s="165"/>
      <c r="D1121" s="165"/>
      <c r="E1121" s="165"/>
      <c r="F1121" s="165"/>
      <c r="G1121" s="165"/>
      <c r="H1121" s="165"/>
      <c r="I1121" s="165"/>
      <c r="J1121" s="165"/>
      <c r="K1121" s="165"/>
      <c r="L1121" s="165"/>
      <c r="M1121" s="165"/>
      <c r="N1121" s="165"/>
      <c r="O1121" s="165"/>
      <c r="P1121" s="165"/>
      <c r="Q1121" s="165"/>
      <c r="R1121" s="165"/>
      <c r="S1121" s="165"/>
      <c r="T1121" s="165"/>
      <c r="U1121" s="165"/>
      <c r="V1121" s="165"/>
      <c r="W1121" s="165"/>
      <c r="X1121" s="165"/>
    </row>
    <row r="1122" ht="18.75" customHeight="1">
      <c r="A1122" s="165">
        <v>1120.0</v>
      </c>
      <c r="B1122" s="167" t="s">
        <v>16585</v>
      </c>
      <c r="C1122" s="165"/>
      <c r="D1122" s="165"/>
      <c r="E1122" s="165"/>
      <c r="F1122" s="165"/>
      <c r="G1122" s="165"/>
      <c r="H1122" s="165"/>
      <c r="I1122" s="165"/>
      <c r="J1122" s="165"/>
      <c r="K1122" s="165"/>
      <c r="L1122" s="165"/>
      <c r="M1122" s="165"/>
      <c r="N1122" s="165"/>
      <c r="O1122" s="165"/>
      <c r="P1122" s="165"/>
      <c r="Q1122" s="165"/>
      <c r="R1122" s="165"/>
      <c r="S1122" s="165"/>
      <c r="T1122" s="165"/>
      <c r="U1122" s="165"/>
      <c r="V1122" s="165"/>
      <c r="W1122" s="165"/>
      <c r="X1122" s="165"/>
    </row>
    <row r="1123" ht="18.75" customHeight="1">
      <c r="A1123" s="165">
        <v>1121.0</v>
      </c>
      <c r="B1123" s="167" t="s">
        <v>16586</v>
      </c>
      <c r="C1123" s="165"/>
      <c r="D1123" s="165"/>
      <c r="E1123" s="165"/>
      <c r="F1123" s="165"/>
      <c r="G1123" s="165"/>
      <c r="H1123" s="165"/>
      <c r="I1123" s="165"/>
      <c r="J1123" s="165"/>
      <c r="K1123" s="165"/>
      <c r="L1123" s="165"/>
      <c r="M1123" s="165"/>
      <c r="N1123" s="165"/>
      <c r="O1123" s="165"/>
      <c r="P1123" s="165"/>
      <c r="Q1123" s="165"/>
      <c r="R1123" s="165"/>
      <c r="S1123" s="165"/>
      <c r="T1123" s="165"/>
      <c r="U1123" s="165"/>
      <c r="V1123" s="165"/>
      <c r="W1123" s="165"/>
      <c r="X1123" s="165"/>
    </row>
    <row r="1124" ht="18.75" customHeight="1">
      <c r="A1124" s="165">
        <v>1122.0</v>
      </c>
      <c r="B1124" s="165" t="s">
        <v>16587</v>
      </c>
      <c r="C1124" s="165"/>
      <c r="D1124" s="165"/>
      <c r="E1124" s="165"/>
      <c r="F1124" s="165"/>
      <c r="G1124" s="165"/>
      <c r="H1124" s="165"/>
      <c r="I1124" s="165"/>
      <c r="J1124" s="165"/>
      <c r="K1124" s="165"/>
      <c r="L1124" s="165"/>
      <c r="M1124" s="165"/>
      <c r="N1124" s="165"/>
      <c r="O1124" s="165"/>
      <c r="P1124" s="165"/>
      <c r="Q1124" s="165"/>
      <c r="R1124" s="165"/>
      <c r="S1124" s="165"/>
      <c r="T1124" s="165"/>
      <c r="U1124" s="165"/>
      <c r="V1124" s="165"/>
      <c r="W1124" s="165"/>
      <c r="X1124" s="165"/>
    </row>
    <row r="1125" ht="18.75" customHeight="1">
      <c r="A1125" s="165">
        <v>1123.0</v>
      </c>
      <c r="B1125" s="167" t="s">
        <v>16588</v>
      </c>
      <c r="C1125" s="165"/>
      <c r="D1125" s="165"/>
      <c r="E1125" s="165"/>
      <c r="F1125" s="165"/>
      <c r="G1125" s="165"/>
      <c r="H1125" s="165"/>
      <c r="I1125" s="165"/>
      <c r="J1125" s="165"/>
      <c r="K1125" s="165"/>
      <c r="L1125" s="165"/>
      <c r="M1125" s="165"/>
      <c r="N1125" s="165"/>
      <c r="O1125" s="165"/>
      <c r="P1125" s="165"/>
      <c r="Q1125" s="165"/>
      <c r="R1125" s="165"/>
      <c r="S1125" s="165"/>
      <c r="T1125" s="165"/>
      <c r="U1125" s="165"/>
      <c r="V1125" s="165"/>
      <c r="W1125" s="165"/>
      <c r="X1125" s="165"/>
    </row>
    <row r="1126" ht="18.75" customHeight="1">
      <c r="A1126" s="165">
        <v>1124.0</v>
      </c>
      <c r="B1126" s="165" t="s">
        <v>16589</v>
      </c>
      <c r="C1126" s="165"/>
      <c r="D1126" s="165"/>
      <c r="E1126" s="165"/>
      <c r="F1126" s="165"/>
      <c r="G1126" s="165"/>
      <c r="H1126" s="165"/>
      <c r="I1126" s="165"/>
      <c r="J1126" s="165"/>
      <c r="K1126" s="165"/>
      <c r="L1126" s="165"/>
      <c r="M1126" s="165"/>
      <c r="N1126" s="165"/>
      <c r="O1126" s="165"/>
      <c r="P1126" s="165"/>
      <c r="Q1126" s="165"/>
      <c r="R1126" s="165"/>
      <c r="S1126" s="165"/>
      <c r="T1126" s="165"/>
      <c r="U1126" s="165"/>
      <c r="V1126" s="165"/>
      <c r="W1126" s="165"/>
      <c r="X1126" s="165"/>
    </row>
    <row r="1127" ht="18.75" customHeight="1">
      <c r="A1127" s="165">
        <v>1125.0</v>
      </c>
      <c r="B1127" s="165" t="s">
        <v>16590</v>
      </c>
      <c r="C1127" s="165"/>
      <c r="D1127" s="165"/>
      <c r="E1127" s="165"/>
      <c r="F1127" s="165"/>
      <c r="G1127" s="165"/>
      <c r="H1127" s="165"/>
      <c r="I1127" s="165"/>
      <c r="J1127" s="165"/>
      <c r="K1127" s="165"/>
      <c r="L1127" s="165"/>
      <c r="M1127" s="165"/>
      <c r="N1127" s="165"/>
      <c r="O1127" s="165"/>
      <c r="P1127" s="165"/>
      <c r="Q1127" s="165"/>
      <c r="R1127" s="165"/>
      <c r="S1127" s="165"/>
      <c r="T1127" s="165"/>
      <c r="U1127" s="165"/>
      <c r="V1127" s="165"/>
      <c r="W1127" s="165"/>
      <c r="X1127" s="165"/>
    </row>
    <row r="1128" ht="18.75" customHeight="1">
      <c r="A1128" s="165">
        <v>1126.0</v>
      </c>
      <c r="B1128" s="167" t="s">
        <v>16591</v>
      </c>
      <c r="C1128" s="165"/>
      <c r="D1128" s="165"/>
      <c r="E1128" s="165"/>
      <c r="F1128" s="165"/>
      <c r="G1128" s="165"/>
      <c r="H1128" s="165"/>
      <c r="I1128" s="165"/>
      <c r="J1128" s="165"/>
      <c r="K1128" s="165"/>
      <c r="L1128" s="165"/>
      <c r="M1128" s="165"/>
      <c r="N1128" s="165"/>
      <c r="O1128" s="165"/>
      <c r="P1128" s="165"/>
      <c r="Q1128" s="165"/>
      <c r="R1128" s="165"/>
      <c r="S1128" s="165"/>
      <c r="T1128" s="165"/>
      <c r="U1128" s="165"/>
      <c r="V1128" s="165"/>
      <c r="W1128" s="165"/>
      <c r="X1128" s="165"/>
    </row>
    <row r="1129" ht="18.75" customHeight="1">
      <c r="A1129" s="165">
        <v>1127.0</v>
      </c>
      <c r="B1129" s="167" t="s">
        <v>16592</v>
      </c>
      <c r="C1129" s="165"/>
      <c r="D1129" s="165"/>
      <c r="E1129" s="165"/>
      <c r="F1129" s="165"/>
      <c r="G1129" s="165"/>
      <c r="H1129" s="165"/>
      <c r="I1129" s="165"/>
      <c r="J1129" s="165"/>
      <c r="K1129" s="165"/>
      <c r="L1129" s="165"/>
      <c r="M1129" s="165"/>
      <c r="N1129" s="165"/>
      <c r="O1129" s="165"/>
      <c r="P1129" s="165"/>
      <c r="Q1129" s="165"/>
      <c r="R1129" s="165"/>
      <c r="S1129" s="165"/>
      <c r="T1129" s="165"/>
      <c r="U1129" s="165"/>
      <c r="V1129" s="165"/>
      <c r="W1129" s="165"/>
      <c r="X1129" s="165"/>
    </row>
    <row r="1130" ht="18.75" customHeight="1">
      <c r="A1130" s="165">
        <v>1128.0</v>
      </c>
      <c r="B1130" s="165" t="s">
        <v>16593</v>
      </c>
      <c r="C1130" s="165"/>
      <c r="D1130" s="165"/>
      <c r="E1130" s="165"/>
      <c r="F1130" s="165"/>
      <c r="G1130" s="165"/>
      <c r="H1130" s="165"/>
      <c r="I1130" s="165"/>
      <c r="J1130" s="165"/>
      <c r="K1130" s="165"/>
      <c r="L1130" s="165"/>
      <c r="M1130" s="165"/>
      <c r="N1130" s="165"/>
      <c r="O1130" s="165"/>
      <c r="P1130" s="165"/>
      <c r="Q1130" s="165"/>
      <c r="R1130" s="165"/>
      <c r="S1130" s="165"/>
      <c r="T1130" s="165"/>
      <c r="U1130" s="165"/>
      <c r="V1130" s="165"/>
      <c r="W1130" s="165"/>
      <c r="X1130" s="165"/>
    </row>
    <row r="1131" ht="18.75" customHeight="1">
      <c r="A1131" s="165">
        <v>1129.0</v>
      </c>
      <c r="B1131" s="165" t="s">
        <v>16594</v>
      </c>
      <c r="C1131" s="165"/>
      <c r="D1131" s="165"/>
      <c r="E1131" s="165"/>
      <c r="F1131" s="165"/>
      <c r="G1131" s="165"/>
      <c r="H1131" s="165"/>
      <c r="I1131" s="165"/>
      <c r="J1131" s="165"/>
      <c r="K1131" s="165"/>
      <c r="L1131" s="165"/>
      <c r="M1131" s="165"/>
      <c r="N1131" s="165"/>
      <c r="O1131" s="165"/>
      <c r="P1131" s="165"/>
      <c r="Q1131" s="165"/>
      <c r="R1131" s="165"/>
      <c r="S1131" s="165"/>
      <c r="T1131" s="165"/>
      <c r="U1131" s="165"/>
      <c r="V1131" s="165"/>
      <c r="W1131" s="165"/>
      <c r="X1131" s="165"/>
    </row>
    <row r="1132" ht="18.75" customHeight="1">
      <c r="A1132" s="165">
        <v>1130.0</v>
      </c>
      <c r="B1132" s="165" t="s">
        <v>16595</v>
      </c>
      <c r="C1132" s="165"/>
      <c r="D1132" s="165"/>
      <c r="E1132" s="165"/>
      <c r="F1132" s="165"/>
      <c r="G1132" s="165"/>
      <c r="H1132" s="165"/>
      <c r="I1132" s="165"/>
      <c r="J1132" s="165"/>
      <c r="K1132" s="165"/>
      <c r="L1132" s="165"/>
      <c r="M1132" s="165"/>
      <c r="N1132" s="165"/>
      <c r="O1132" s="165"/>
      <c r="P1132" s="165"/>
      <c r="Q1132" s="165"/>
      <c r="R1132" s="165"/>
      <c r="S1132" s="165"/>
      <c r="T1132" s="165"/>
      <c r="U1132" s="165"/>
      <c r="V1132" s="165"/>
      <c r="W1132" s="165"/>
      <c r="X1132" s="165"/>
    </row>
    <row r="1133" ht="18.75" customHeight="1">
      <c r="A1133" s="165">
        <v>1131.0</v>
      </c>
      <c r="B1133" s="165" t="s">
        <v>16596</v>
      </c>
      <c r="C1133" s="165"/>
      <c r="D1133" s="165"/>
      <c r="E1133" s="165"/>
      <c r="F1133" s="165"/>
      <c r="G1133" s="165"/>
      <c r="H1133" s="165"/>
      <c r="I1133" s="165"/>
      <c r="J1133" s="165"/>
      <c r="K1133" s="165"/>
      <c r="L1133" s="165"/>
      <c r="M1133" s="165"/>
      <c r="N1133" s="165"/>
      <c r="O1133" s="165"/>
      <c r="P1133" s="165"/>
      <c r="Q1133" s="165"/>
      <c r="R1133" s="165"/>
      <c r="S1133" s="165"/>
      <c r="T1133" s="165"/>
      <c r="U1133" s="165"/>
      <c r="V1133" s="165"/>
      <c r="W1133" s="165"/>
      <c r="X1133" s="165"/>
    </row>
    <row r="1134" ht="18.75" customHeight="1">
      <c r="A1134" s="165">
        <v>1132.0</v>
      </c>
      <c r="B1134" s="167" t="s">
        <v>16597</v>
      </c>
      <c r="C1134" s="165"/>
      <c r="D1134" s="165"/>
      <c r="E1134" s="165"/>
      <c r="F1134" s="165"/>
      <c r="G1134" s="165"/>
      <c r="H1134" s="165"/>
      <c r="I1134" s="165"/>
      <c r="J1134" s="165"/>
      <c r="K1134" s="165"/>
      <c r="L1134" s="165"/>
      <c r="M1134" s="165"/>
      <c r="N1134" s="165"/>
      <c r="O1134" s="165"/>
      <c r="P1134" s="165"/>
      <c r="Q1134" s="165"/>
      <c r="R1134" s="165"/>
      <c r="S1134" s="165"/>
      <c r="T1134" s="165"/>
      <c r="U1134" s="165"/>
      <c r="V1134" s="165"/>
      <c r="W1134" s="165"/>
      <c r="X1134" s="165"/>
    </row>
    <row r="1135" ht="18.75" customHeight="1">
      <c r="A1135" s="165">
        <v>1133.0</v>
      </c>
      <c r="B1135" s="167" t="s">
        <v>16598</v>
      </c>
      <c r="C1135" s="165"/>
      <c r="D1135" s="165"/>
      <c r="E1135" s="165"/>
      <c r="F1135" s="165"/>
      <c r="G1135" s="165"/>
      <c r="H1135" s="165"/>
      <c r="I1135" s="165"/>
      <c r="J1135" s="165"/>
      <c r="K1135" s="165"/>
      <c r="L1135" s="165"/>
      <c r="M1135" s="165"/>
      <c r="N1135" s="165"/>
      <c r="O1135" s="165"/>
      <c r="P1135" s="165"/>
      <c r="Q1135" s="165"/>
      <c r="R1135" s="165"/>
      <c r="S1135" s="165"/>
      <c r="T1135" s="165"/>
      <c r="U1135" s="165"/>
      <c r="V1135" s="165"/>
      <c r="W1135" s="165"/>
      <c r="X1135" s="165"/>
    </row>
    <row r="1136" ht="18.75" customHeight="1">
      <c r="A1136" s="165">
        <v>1134.0</v>
      </c>
      <c r="B1136" s="165" t="s">
        <v>16599</v>
      </c>
      <c r="C1136" s="165"/>
      <c r="D1136" s="165"/>
      <c r="E1136" s="165"/>
      <c r="F1136" s="165"/>
      <c r="G1136" s="165"/>
      <c r="H1136" s="165"/>
      <c r="I1136" s="165"/>
      <c r="J1136" s="165"/>
      <c r="K1136" s="165"/>
      <c r="L1136" s="165"/>
      <c r="M1136" s="165"/>
      <c r="N1136" s="165"/>
      <c r="O1136" s="165"/>
      <c r="P1136" s="165"/>
      <c r="Q1136" s="165"/>
      <c r="R1136" s="165"/>
      <c r="S1136" s="165"/>
      <c r="T1136" s="165"/>
      <c r="U1136" s="165"/>
      <c r="V1136" s="165"/>
      <c r="W1136" s="165"/>
      <c r="X1136" s="165"/>
    </row>
    <row r="1137" ht="18.75" customHeight="1">
      <c r="A1137" s="165">
        <v>1135.0</v>
      </c>
      <c r="B1137" s="165" t="s">
        <v>16600</v>
      </c>
      <c r="C1137" s="165"/>
      <c r="D1137" s="165"/>
      <c r="E1137" s="165"/>
      <c r="F1137" s="165"/>
      <c r="G1137" s="165"/>
      <c r="H1137" s="165"/>
      <c r="I1137" s="165"/>
      <c r="J1137" s="165"/>
      <c r="K1137" s="165"/>
      <c r="L1137" s="165"/>
      <c r="M1137" s="165"/>
      <c r="N1137" s="165"/>
      <c r="O1137" s="165"/>
      <c r="P1137" s="165"/>
      <c r="Q1137" s="165"/>
      <c r="R1137" s="165"/>
      <c r="S1137" s="165"/>
      <c r="T1137" s="165"/>
      <c r="U1137" s="165"/>
      <c r="V1137" s="165"/>
      <c r="W1137" s="165"/>
      <c r="X1137" s="165"/>
    </row>
    <row r="1138" ht="18.75" customHeight="1">
      <c r="A1138" s="165">
        <v>1136.0</v>
      </c>
      <c r="B1138" s="165" t="s">
        <v>16601</v>
      </c>
      <c r="C1138" s="165"/>
      <c r="D1138" s="165"/>
      <c r="E1138" s="165"/>
      <c r="F1138" s="165"/>
      <c r="G1138" s="165"/>
      <c r="H1138" s="165"/>
      <c r="I1138" s="165"/>
      <c r="J1138" s="165"/>
      <c r="K1138" s="165"/>
      <c r="L1138" s="165"/>
      <c r="M1138" s="165"/>
      <c r="N1138" s="165"/>
      <c r="O1138" s="165"/>
      <c r="P1138" s="165"/>
      <c r="Q1138" s="165"/>
      <c r="R1138" s="165"/>
      <c r="S1138" s="165"/>
      <c r="T1138" s="165"/>
      <c r="U1138" s="165"/>
      <c r="V1138" s="165"/>
      <c r="W1138" s="165"/>
      <c r="X1138" s="165"/>
    </row>
    <row r="1139" ht="18.75" customHeight="1">
      <c r="A1139" s="165">
        <v>1137.0</v>
      </c>
      <c r="B1139" s="165" t="s">
        <v>16602</v>
      </c>
      <c r="C1139" s="165"/>
      <c r="D1139" s="165"/>
      <c r="E1139" s="165"/>
      <c r="F1139" s="165"/>
      <c r="G1139" s="165"/>
      <c r="H1139" s="165"/>
      <c r="I1139" s="165"/>
      <c r="J1139" s="165"/>
      <c r="K1139" s="165"/>
      <c r="L1139" s="165"/>
      <c r="M1139" s="165"/>
      <c r="N1139" s="165"/>
      <c r="O1139" s="165"/>
      <c r="P1139" s="165"/>
      <c r="Q1139" s="165"/>
      <c r="R1139" s="165"/>
      <c r="S1139" s="165"/>
      <c r="T1139" s="165"/>
      <c r="U1139" s="165"/>
      <c r="V1139" s="165"/>
      <c r="W1139" s="165"/>
      <c r="X1139" s="165"/>
    </row>
    <row r="1140" ht="18.75" customHeight="1">
      <c r="A1140" s="165">
        <v>1138.0</v>
      </c>
      <c r="B1140" s="167" t="s">
        <v>16603</v>
      </c>
      <c r="C1140" s="165"/>
      <c r="D1140" s="165"/>
      <c r="E1140" s="165"/>
      <c r="F1140" s="165"/>
      <c r="G1140" s="165"/>
      <c r="H1140" s="165"/>
      <c r="I1140" s="165"/>
      <c r="J1140" s="165"/>
      <c r="K1140" s="165"/>
      <c r="L1140" s="165"/>
      <c r="M1140" s="165"/>
      <c r="N1140" s="165"/>
      <c r="O1140" s="165"/>
      <c r="P1140" s="165"/>
      <c r="Q1140" s="165"/>
      <c r="R1140" s="165"/>
      <c r="S1140" s="165"/>
      <c r="T1140" s="165"/>
      <c r="U1140" s="165"/>
      <c r="V1140" s="165"/>
      <c r="W1140" s="165"/>
      <c r="X1140" s="165"/>
    </row>
    <row r="1141" ht="18.75" customHeight="1">
      <c r="A1141" s="165">
        <v>1139.0</v>
      </c>
      <c r="B1141" s="167" t="s">
        <v>16604</v>
      </c>
      <c r="C1141" s="165"/>
      <c r="D1141" s="165"/>
      <c r="E1141" s="165"/>
      <c r="F1141" s="165"/>
      <c r="G1141" s="165"/>
      <c r="H1141" s="165"/>
      <c r="I1141" s="165"/>
      <c r="J1141" s="165"/>
      <c r="K1141" s="165"/>
      <c r="L1141" s="165"/>
      <c r="M1141" s="165"/>
      <c r="N1141" s="165"/>
      <c r="O1141" s="165"/>
      <c r="P1141" s="165"/>
      <c r="Q1141" s="165"/>
      <c r="R1141" s="165"/>
      <c r="S1141" s="165"/>
      <c r="T1141" s="165"/>
      <c r="U1141" s="165"/>
      <c r="V1141" s="165"/>
      <c r="W1141" s="165"/>
      <c r="X1141" s="165"/>
    </row>
    <row r="1142" ht="18.75" customHeight="1">
      <c r="A1142" s="165">
        <v>1140.0</v>
      </c>
      <c r="B1142" s="167" t="s">
        <v>16605</v>
      </c>
      <c r="C1142" s="165"/>
      <c r="D1142" s="165"/>
      <c r="E1142" s="165"/>
      <c r="F1142" s="165"/>
      <c r="G1142" s="165"/>
      <c r="H1142" s="165"/>
      <c r="I1142" s="165"/>
      <c r="J1142" s="165"/>
      <c r="K1142" s="165"/>
      <c r="L1142" s="165"/>
      <c r="M1142" s="165"/>
      <c r="N1142" s="165"/>
      <c r="O1142" s="165"/>
      <c r="P1142" s="165"/>
      <c r="Q1142" s="165"/>
      <c r="R1142" s="165"/>
      <c r="S1142" s="165"/>
      <c r="T1142" s="165"/>
      <c r="U1142" s="165"/>
      <c r="V1142" s="165"/>
      <c r="W1142" s="165"/>
      <c r="X1142" s="165"/>
    </row>
    <row r="1143" ht="18.75" customHeight="1">
      <c r="A1143" s="165">
        <v>1141.0</v>
      </c>
      <c r="B1143" s="167" t="s">
        <v>16606</v>
      </c>
      <c r="C1143" s="165"/>
      <c r="D1143" s="165"/>
      <c r="E1143" s="165"/>
      <c r="F1143" s="165"/>
      <c r="G1143" s="165"/>
      <c r="H1143" s="165"/>
      <c r="I1143" s="165"/>
      <c r="J1143" s="165"/>
      <c r="K1143" s="165"/>
      <c r="L1143" s="165"/>
      <c r="M1143" s="165"/>
      <c r="N1143" s="165"/>
      <c r="O1143" s="165"/>
      <c r="P1143" s="165"/>
      <c r="Q1143" s="165"/>
      <c r="R1143" s="165"/>
      <c r="S1143" s="165"/>
      <c r="T1143" s="165"/>
      <c r="U1143" s="165"/>
      <c r="V1143" s="165"/>
      <c r="W1143" s="165"/>
      <c r="X1143" s="165"/>
    </row>
    <row r="1144" ht="18.75" customHeight="1">
      <c r="A1144" s="165">
        <v>1142.0</v>
      </c>
      <c r="B1144" s="165" t="s">
        <v>16607</v>
      </c>
      <c r="C1144" s="165"/>
      <c r="D1144" s="165"/>
      <c r="E1144" s="165"/>
      <c r="F1144" s="165"/>
      <c r="G1144" s="165"/>
      <c r="H1144" s="165"/>
      <c r="I1144" s="165"/>
      <c r="J1144" s="165"/>
      <c r="K1144" s="165"/>
      <c r="L1144" s="165"/>
      <c r="M1144" s="165"/>
      <c r="N1144" s="165"/>
      <c r="O1144" s="165"/>
      <c r="P1144" s="165"/>
      <c r="Q1144" s="165"/>
      <c r="R1144" s="165"/>
      <c r="S1144" s="165"/>
      <c r="T1144" s="165"/>
      <c r="U1144" s="165"/>
      <c r="V1144" s="165"/>
      <c r="W1144" s="165"/>
      <c r="X1144" s="165"/>
    </row>
    <row r="1145" ht="18.75" customHeight="1">
      <c r="A1145" s="165">
        <v>1143.0</v>
      </c>
      <c r="B1145" s="165" t="s">
        <v>16608</v>
      </c>
      <c r="C1145" s="165"/>
      <c r="D1145" s="165"/>
      <c r="E1145" s="165"/>
      <c r="F1145" s="165"/>
      <c r="G1145" s="165"/>
      <c r="H1145" s="165"/>
      <c r="I1145" s="165"/>
      <c r="J1145" s="165"/>
      <c r="K1145" s="165"/>
      <c r="L1145" s="165"/>
      <c r="M1145" s="165"/>
      <c r="N1145" s="165"/>
      <c r="O1145" s="165"/>
      <c r="P1145" s="165"/>
      <c r="Q1145" s="165"/>
      <c r="R1145" s="165"/>
      <c r="S1145" s="165"/>
      <c r="T1145" s="165"/>
      <c r="U1145" s="165"/>
      <c r="V1145" s="165"/>
      <c r="W1145" s="165"/>
      <c r="X1145" s="165"/>
    </row>
    <row r="1146" ht="18.75" customHeight="1">
      <c r="A1146" s="165">
        <v>1144.0</v>
      </c>
      <c r="B1146" s="165" t="s">
        <v>16609</v>
      </c>
      <c r="C1146" s="165"/>
      <c r="D1146" s="165"/>
      <c r="E1146" s="165"/>
      <c r="F1146" s="165"/>
      <c r="G1146" s="165"/>
      <c r="H1146" s="165"/>
      <c r="I1146" s="165"/>
      <c r="J1146" s="165"/>
      <c r="K1146" s="165"/>
      <c r="L1146" s="165"/>
      <c r="M1146" s="165"/>
      <c r="N1146" s="165"/>
      <c r="O1146" s="165"/>
      <c r="P1146" s="165"/>
      <c r="Q1146" s="165"/>
      <c r="R1146" s="165"/>
      <c r="S1146" s="165"/>
      <c r="T1146" s="165"/>
      <c r="U1146" s="165"/>
      <c r="V1146" s="165"/>
      <c r="W1146" s="165"/>
      <c r="X1146" s="165"/>
    </row>
    <row r="1147" ht="18.75" customHeight="1">
      <c r="A1147" s="165">
        <v>1145.0</v>
      </c>
      <c r="B1147" s="167" t="s">
        <v>16610</v>
      </c>
      <c r="C1147" s="165"/>
      <c r="D1147" s="165"/>
      <c r="E1147" s="165"/>
      <c r="F1147" s="165"/>
      <c r="G1147" s="165"/>
      <c r="H1147" s="165"/>
      <c r="I1147" s="165"/>
      <c r="J1147" s="165"/>
      <c r="K1147" s="165"/>
      <c r="L1147" s="165"/>
      <c r="M1147" s="165"/>
      <c r="N1147" s="165"/>
      <c r="O1147" s="165"/>
      <c r="P1147" s="165"/>
      <c r="Q1147" s="165"/>
      <c r="R1147" s="165"/>
      <c r="S1147" s="165"/>
      <c r="T1147" s="165"/>
      <c r="U1147" s="165"/>
      <c r="V1147" s="165"/>
      <c r="W1147" s="165"/>
      <c r="X1147" s="165"/>
    </row>
    <row r="1148" ht="18.75" customHeight="1">
      <c r="A1148" s="165">
        <v>1146.0</v>
      </c>
      <c r="B1148" s="165" t="s">
        <v>16611</v>
      </c>
      <c r="C1148" s="165"/>
      <c r="D1148" s="165"/>
      <c r="E1148" s="165"/>
      <c r="F1148" s="165"/>
      <c r="G1148" s="165"/>
      <c r="H1148" s="165"/>
      <c r="I1148" s="165"/>
      <c r="J1148" s="165"/>
      <c r="K1148" s="165"/>
      <c r="L1148" s="165"/>
      <c r="M1148" s="165"/>
      <c r="N1148" s="165"/>
      <c r="O1148" s="165"/>
      <c r="P1148" s="165"/>
      <c r="Q1148" s="165"/>
      <c r="R1148" s="165"/>
      <c r="S1148" s="165"/>
      <c r="T1148" s="165"/>
      <c r="U1148" s="165"/>
      <c r="V1148" s="165"/>
      <c r="W1148" s="165"/>
      <c r="X1148" s="165"/>
    </row>
    <row r="1149" ht="18.75" customHeight="1">
      <c r="A1149" s="165">
        <v>1147.0</v>
      </c>
      <c r="B1149" s="165" t="s">
        <v>16612</v>
      </c>
      <c r="C1149" s="165"/>
      <c r="D1149" s="165"/>
      <c r="E1149" s="165"/>
      <c r="F1149" s="165"/>
      <c r="G1149" s="165"/>
      <c r="H1149" s="165"/>
      <c r="I1149" s="165"/>
      <c r="J1149" s="165"/>
      <c r="K1149" s="165"/>
      <c r="L1149" s="165"/>
      <c r="M1149" s="165"/>
      <c r="N1149" s="165"/>
      <c r="O1149" s="165"/>
      <c r="P1149" s="165"/>
      <c r="Q1149" s="165"/>
      <c r="R1149" s="165"/>
      <c r="S1149" s="165"/>
      <c r="T1149" s="165"/>
      <c r="U1149" s="165"/>
      <c r="V1149" s="165"/>
      <c r="W1149" s="165"/>
      <c r="X1149" s="165"/>
    </row>
    <row r="1150" ht="18.75" customHeight="1">
      <c r="A1150" s="165">
        <v>1148.0</v>
      </c>
      <c r="B1150" s="165" t="s">
        <v>16613</v>
      </c>
      <c r="C1150" s="165"/>
      <c r="D1150" s="165"/>
      <c r="E1150" s="165"/>
      <c r="F1150" s="165"/>
      <c r="G1150" s="165"/>
      <c r="H1150" s="165"/>
      <c r="I1150" s="165"/>
      <c r="J1150" s="165"/>
      <c r="K1150" s="165"/>
      <c r="L1150" s="165"/>
      <c r="M1150" s="165"/>
      <c r="N1150" s="165"/>
      <c r="O1150" s="165"/>
      <c r="P1150" s="165"/>
      <c r="Q1150" s="165"/>
      <c r="R1150" s="165"/>
      <c r="S1150" s="165"/>
      <c r="T1150" s="165"/>
      <c r="U1150" s="165"/>
      <c r="V1150" s="165"/>
      <c r="W1150" s="165"/>
      <c r="X1150" s="165"/>
    </row>
    <row r="1151" ht="18.75" customHeight="1">
      <c r="A1151" s="165">
        <v>1149.0</v>
      </c>
      <c r="B1151" s="165" t="s">
        <v>16614</v>
      </c>
      <c r="C1151" s="165"/>
      <c r="D1151" s="165"/>
      <c r="E1151" s="165"/>
      <c r="F1151" s="165"/>
      <c r="G1151" s="165"/>
      <c r="H1151" s="165"/>
      <c r="I1151" s="165"/>
      <c r="J1151" s="165"/>
      <c r="K1151" s="165"/>
      <c r="L1151" s="165"/>
      <c r="M1151" s="165"/>
      <c r="N1151" s="165"/>
      <c r="O1151" s="165"/>
      <c r="P1151" s="165"/>
      <c r="Q1151" s="165"/>
      <c r="R1151" s="165"/>
      <c r="S1151" s="165"/>
      <c r="T1151" s="165"/>
      <c r="U1151" s="165"/>
      <c r="V1151" s="165"/>
      <c r="W1151" s="165"/>
      <c r="X1151" s="165"/>
    </row>
    <row r="1152" ht="18.75" customHeight="1">
      <c r="A1152" s="165">
        <v>1150.0</v>
      </c>
      <c r="B1152" s="167" t="s">
        <v>16615</v>
      </c>
      <c r="C1152" s="165"/>
      <c r="D1152" s="165"/>
      <c r="E1152" s="165"/>
      <c r="F1152" s="165"/>
      <c r="G1152" s="165"/>
      <c r="H1152" s="165"/>
      <c r="I1152" s="165"/>
      <c r="J1152" s="165"/>
      <c r="K1152" s="165"/>
      <c r="L1152" s="165"/>
      <c r="M1152" s="165"/>
      <c r="N1152" s="165"/>
      <c r="O1152" s="165"/>
      <c r="P1152" s="165"/>
      <c r="Q1152" s="165"/>
      <c r="R1152" s="165"/>
      <c r="S1152" s="165"/>
      <c r="T1152" s="165"/>
      <c r="U1152" s="165"/>
      <c r="V1152" s="165"/>
      <c r="W1152" s="165"/>
      <c r="X1152" s="165"/>
    </row>
    <row r="1153" ht="18.75" customHeight="1">
      <c r="A1153" s="165">
        <v>1151.0</v>
      </c>
      <c r="B1153" s="165" t="s">
        <v>16616</v>
      </c>
      <c r="C1153" s="165"/>
      <c r="D1153" s="165"/>
      <c r="E1153" s="165"/>
      <c r="F1153" s="165"/>
      <c r="G1153" s="165"/>
      <c r="H1153" s="165"/>
      <c r="I1153" s="165"/>
      <c r="J1153" s="165"/>
      <c r="K1153" s="165"/>
      <c r="L1153" s="165"/>
      <c r="M1153" s="165"/>
      <c r="N1153" s="165"/>
      <c r="O1153" s="165"/>
      <c r="P1153" s="165"/>
      <c r="Q1153" s="165"/>
      <c r="R1153" s="165"/>
      <c r="S1153" s="165"/>
      <c r="T1153" s="165"/>
      <c r="U1153" s="165"/>
      <c r="V1153" s="165"/>
      <c r="W1153" s="165"/>
      <c r="X1153" s="165"/>
    </row>
    <row r="1154" ht="18.75" customHeight="1">
      <c r="A1154" s="165">
        <v>1152.0</v>
      </c>
      <c r="B1154" s="167" t="s">
        <v>16617</v>
      </c>
      <c r="C1154" s="165"/>
      <c r="D1154" s="165"/>
      <c r="E1154" s="165"/>
      <c r="F1154" s="165"/>
      <c r="G1154" s="165"/>
      <c r="H1154" s="165"/>
      <c r="I1154" s="165"/>
      <c r="J1154" s="165"/>
      <c r="K1154" s="165"/>
      <c r="L1154" s="165"/>
      <c r="M1154" s="165"/>
      <c r="N1154" s="165"/>
      <c r="O1154" s="165"/>
      <c r="P1154" s="165"/>
      <c r="Q1154" s="165"/>
      <c r="R1154" s="165"/>
      <c r="S1154" s="165"/>
      <c r="T1154" s="165"/>
      <c r="U1154" s="165"/>
      <c r="V1154" s="165"/>
      <c r="W1154" s="165"/>
      <c r="X1154" s="165"/>
    </row>
    <row r="1155" ht="18.75" customHeight="1">
      <c r="A1155" s="165">
        <v>1153.0</v>
      </c>
      <c r="B1155" s="165" t="s">
        <v>16618</v>
      </c>
      <c r="C1155" s="165"/>
      <c r="D1155" s="165"/>
      <c r="E1155" s="165"/>
      <c r="F1155" s="165"/>
      <c r="G1155" s="165"/>
      <c r="H1155" s="165"/>
      <c r="I1155" s="165"/>
      <c r="J1155" s="165"/>
      <c r="K1155" s="165"/>
      <c r="L1155" s="165"/>
      <c r="M1155" s="165"/>
      <c r="N1155" s="165"/>
      <c r="O1155" s="165"/>
      <c r="P1155" s="165"/>
      <c r="Q1155" s="165"/>
      <c r="R1155" s="165"/>
      <c r="S1155" s="165"/>
      <c r="T1155" s="165"/>
      <c r="U1155" s="165"/>
      <c r="V1155" s="165"/>
      <c r="W1155" s="165"/>
      <c r="X1155" s="165"/>
    </row>
    <row r="1156" ht="18.75" customHeight="1">
      <c r="A1156" s="165">
        <v>1154.0</v>
      </c>
      <c r="B1156" s="165" t="s">
        <v>16619</v>
      </c>
      <c r="C1156" s="165"/>
      <c r="D1156" s="165"/>
      <c r="E1156" s="165"/>
      <c r="F1156" s="165"/>
      <c r="G1156" s="165"/>
      <c r="H1156" s="165"/>
      <c r="I1156" s="165"/>
      <c r="J1156" s="165"/>
      <c r="K1156" s="165"/>
      <c r="L1156" s="165"/>
      <c r="M1156" s="165"/>
      <c r="N1156" s="165"/>
      <c r="O1156" s="165"/>
      <c r="P1156" s="165"/>
      <c r="Q1156" s="165"/>
      <c r="R1156" s="165"/>
      <c r="S1156" s="165"/>
      <c r="T1156" s="165"/>
      <c r="U1156" s="165"/>
      <c r="V1156" s="165"/>
      <c r="W1156" s="165"/>
      <c r="X1156" s="165"/>
    </row>
    <row r="1157" ht="18.75" customHeight="1">
      <c r="A1157" s="165">
        <v>1155.0</v>
      </c>
      <c r="B1157" s="165" t="s">
        <v>16620</v>
      </c>
      <c r="C1157" s="165"/>
      <c r="D1157" s="165"/>
      <c r="E1157" s="165"/>
      <c r="F1157" s="165"/>
      <c r="G1157" s="165"/>
      <c r="H1157" s="165"/>
      <c r="I1157" s="165"/>
      <c r="J1157" s="165"/>
      <c r="K1157" s="165"/>
      <c r="L1157" s="165"/>
      <c r="M1157" s="165"/>
      <c r="N1157" s="165"/>
      <c r="O1157" s="165"/>
      <c r="P1157" s="165"/>
      <c r="Q1157" s="165"/>
      <c r="R1157" s="165"/>
      <c r="S1157" s="165"/>
      <c r="T1157" s="165"/>
      <c r="U1157" s="165"/>
      <c r="V1157" s="165"/>
      <c r="W1157" s="165"/>
      <c r="X1157" s="165"/>
    </row>
    <row r="1158" ht="18.75" customHeight="1">
      <c r="A1158" s="165">
        <v>1156.0</v>
      </c>
      <c r="B1158" s="165" t="s">
        <v>16621</v>
      </c>
      <c r="C1158" s="165"/>
      <c r="D1158" s="165"/>
      <c r="E1158" s="165"/>
      <c r="F1158" s="165"/>
      <c r="G1158" s="165"/>
      <c r="H1158" s="165"/>
      <c r="I1158" s="165"/>
      <c r="J1158" s="165"/>
      <c r="K1158" s="165"/>
      <c r="L1158" s="165"/>
      <c r="M1158" s="165"/>
      <c r="N1158" s="165"/>
      <c r="O1158" s="165"/>
      <c r="P1158" s="165"/>
      <c r="Q1158" s="165"/>
      <c r="R1158" s="165"/>
      <c r="S1158" s="165"/>
      <c r="T1158" s="165"/>
      <c r="U1158" s="165"/>
      <c r="V1158" s="165"/>
      <c r="W1158" s="165"/>
      <c r="X1158" s="165"/>
    </row>
    <row r="1159" ht="18.75" customHeight="1">
      <c r="A1159" s="165">
        <v>1157.0</v>
      </c>
      <c r="B1159" s="165" t="s">
        <v>16622</v>
      </c>
      <c r="C1159" s="165"/>
      <c r="D1159" s="165"/>
      <c r="E1159" s="165"/>
      <c r="F1159" s="165"/>
      <c r="G1159" s="165"/>
      <c r="H1159" s="165"/>
      <c r="I1159" s="165"/>
      <c r="J1159" s="165"/>
      <c r="K1159" s="165"/>
      <c r="L1159" s="165"/>
      <c r="M1159" s="165"/>
      <c r="N1159" s="165"/>
      <c r="O1159" s="165"/>
      <c r="P1159" s="165"/>
      <c r="Q1159" s="165"/>
      <c r="R1159" s="165"/>
      <c r="S1159" s="165"/>
      <c r="T1159" s="165"/>
      <c r="U1159" s="165"/>
      <c r="V1159" s="165"/>
      <c r="W1159" s="165"/>
      <c r="X1159" s="165"/>
    </row>
    <row r="1160" ht="18.75" customHeight="1">
      <c r="A1160" s="165">
        <v>1158.0</v>
      </c>
      <c r="B1160" s="167" t="s">
        <v>16623</v>
      </c>
      <c r="C1160" s="165"/>
      <c r="D1160" s="165"/>
      <c r="E1160" s="165"/>
      <c r="F1160" s="165"/>
      <c r="G1160" s="165"/>
      <c r="H1160" s="165"/>
      <c r="I1160" s="165"/>
      <c r="J1160" s="165"/>
      <c r="K1160" s="165"/>
      <c r="L1160" s="165"/>
      <c r="M1160" s="165"/>
      <c r="N1160" s="165"/>
      <c r="O1160" s="165"/>
      <c r="P1160" s="165"/>
      <c r="Q1160" s="165"/>
      <c r="R1160" s="165"/>
      <c r="S1160" s="165"/>
      <c r="T1160" s="165"/>
      <c r="U1160" s="165"/>
      <c r="V1160" s="165"/>
      <c r="W1160" s="165"/>
      <c r="X1160" s="165"/>
    </row>
    <row r="1161" ht="18.75" customHeight="1">
      <c r="A1161" s="165">
        <v>1159.0</v>
      </c>
      <c r="B1161" s="167" t="s">
        <v>16624</v>
      </c>
      <c r="C1161" s="165"/>
      <c r="D1161" s="165"/>
      <c r="E1161" s="165"/>
      <c r="F1161" s="165"/>
      <c r="G1161" s="165"/>
      <c r="H1161" s="165"/>
      <c r="I1161" s="165"/>
      <c r="J1161" s="165"/>
      <c r="K1161" s="165"/>
      <c r="L1161" s="165"/>
      <c r="M1161" s="165"/>
      <c r="N1161" s="165"/>
      <c r="O1161" s="165"/>
      <c r="P1161" s="165"/>
      <c r="Q1161" s="165"/>
      <c r="R1161" s="165"/>
      <c r="S1161" s="165"/>
      <c r="T1161" s="165"/>
      <c r="U1161" s="165"/>
      <c r="V1161" s="165"/>
      <c r="W1161" s="165"/>
      <c r="X1161" s="165"/>
    </row>
    <row r="1162" ht="18.75" customHeight="1">
      <c r="A1162" s="165">
        <v>1160.0</v>
      </c>
      <c r="B1162" s="167" t="s">
        <v>16625</v>
      </c>
      <c r="C1162" s="165"/>
      <c r="D1162" s="165"/>
      <c r="E1162" s="165"/>
      <c r="F1162" s="165"/>
      <c r="G1162" s="165"/>
      <c r="H1162" s="165"/>
      <c r="I1162" s="165"/>
      <c r="J1162" s="165"/>
      <c r="K1162" s="165"/>
      <c r="L1162" s="165"/>
      <c r="M1162" s="165"/>
      <c r="N1162" s="165"/>
      <c r="O1162" s="165"/>
      <c r="P1162" s="165"/>
      <c r="Q1162" s="165"/>
      <c r="R1162" s="165"/>
      <c r="S1162" s="165"/>
      <c r="T1162" s="165"/>
      <c r="U1162" s="165"/>
      <c r="V1162" s="165"/>
      <c r="W1162" s="165"/>
      <c r="X1162" s="165"/>
    </row>
    <row r="1163" ht="18.75" customHeight="1">
      <c r="A1163" s="165">
        <v>1161.0</v>
      </c>
      <c r="B1163" s="165" t="s">
        <v>16626</v>
      </c>
      <c r="C1163" s="165"/>
      <c r="D1163" s="165"/>
      <c r="E1163" s="165"/>
      <c r="F1163" s="165"/>
      <c r="G1163" s="165"/>
      <c r="H1163" s="165"/>
      <c r="I1163" s="165"/>
      <c r="J1163" s="165"/>
      <c r="K1163" s="165"/>
      <c r="L1163" s="165"/>
      <c r="M1163" s="165"/>
      <c r="N1163" s="165"/>
      <c r="O1163" s="165"/>
      <c r="P1163" s="165"/>
      <c r="Q1163" s="165"/>
      <c r="R1163" s="165"/>
      <c r="S1163" s="165"/>
      <c r="T1163" s="165"/>
      <c r="U1163" s="165"/>
      <c r="V1163" s="165"/>
      <c r="W1163" s="165"/>
      <c r="X1163" s="165"/>
    </row>
    <row r="1164" ht="18.75" customHeight="1">
      <c r="A1164" s="165">
        <v>1162.0</v>
      </c>
      <c r="B1164" s="165" t="s">
        <v>16627</v>
      </c>
      <c r="C1164" s="165"/>
      <c r="D1164" s="165"/>
      <c r="E1164" s="165"/>
      <c r="F1164" s="165"/>
      <c r="G1164" s="165"/>
      <c r="H1164" s="165"/>
      <c r="I1164" s="165"/>
      <c r="J1164" s="165"/>
      <c r="K1164" s="165"/>
      <c r="L1164" s="165"/>
      <c r="M1164" s="165"/>
      <c r="N1164" s="165"/>
      <c r="O1164" s="165"/>
      <c r="P1164" s="165"/>
      <c r="Q1164" s="165"/>
      <c r="R1164" s="165"/>
      <c r="S1164" s="165"/>
      <c r="T1164" s="165"/>
      <c r="U1164" s="165"/>
      <c r="V1164" s="165"/>
      <c r="W1164" s="165"/>
      <c r="X1164" s="165"/>
    </row>
    <row r="1165" ht="18.75" customHeight="1">
      <c r="A1165" s="165">
        <v>1163.0</v>
      </c>
      <c r="B1165" s="181" t="s">
        <v>16628</v>
      </c>
      <c r="C1165" s="165"/>
      <c r="D1165" s="165"/>
      <c r="E1165" s="165"/>
      <c r="F1165" s="165"/>
      <c r="G1165" s="165"/>
      <c r="H1165" s="165"/>
      <c r="I1165" s="165"/>
      <c r="J1165" s="165"/>
      <c r="K1165" s="165"/>
      <c r="L1165" s="165"/>
      <c r="M1165" s="165"/>
      <c r="N1165" s="165"/>
      <c r="O1165" s="165"/>
      <c r="P1165" s="165"/>
      <c r="Q1165" s="165"/>
      <c r="R1165" s="165"/>
      <c r="S1165" s="165"/>
      <c r="T1165" s="165"/>
      <c r="U1165" s="165"/>
      <c r="V1165" s="165"/>
      <c r="W1165" s="165"/>
      <c r="X1165" s="165"/>
    </row>
    <row r="1166" ht="18.75" customHeight="1">
      <c r="A1166" s="165">
        <v>1164.0</v>
      </c>
      <c r="B1166" s="167" t="s">
        <v>16629</v>
      </c>
      <c r="C1166" s="165"/>
      <c r="D1166" s="165"/>
      <c r="E1166" s="165"/>
      <c r="F1166" s="165"/>
      <c r="G1166" s="165"/>
      <c r="H1166" s="165"/>
      <c r="I1166" s="165"/>
      <c r="J1166" s="165"/>
      <c r="K1166" s="165"/>
      <c r="L1166" s="165"/>
      <c r="M1166" s="165"/>
      <c r="N1166" s="165"/>
      <c r="O1166" s="165"/>
      <c r="P1166" s="165"/>
      <c r="Q1166" s="165"/>
      <c r="R1166" s="165"/>
      <c r="S1166" s="165"/>
      <c r="T1166" s="165"/>
      <c r="U1166" s="165"/>
      <c r="V1166" s="165"/>
      <c r="W1166" s="165"/>
      <c r="X1166" s="165"/>
    </row>
    <row r="1167" ht="18.75" customHeight="1">
      <c r="A1167" s="165">
        <v>1165.0</v>
      </c>
      <c r="B1167" s="167" t="s">
        <v>16630</v>
      </c>
      <c r="C1167" s="165"/>
      <c r="D1167" s="165"/>
      <c r="E1167" s="165"/>
      <c r="F1167" s="165"/>
      <c r="G1167" s="165"/>
      <c r="H1167" s="165"/>
      <c r="I1167" s="165"/>
      <c r="J1167" s="165"/>
      <c r="K1167" s="165"/>
      <c r="L1167" s="165"/>
      <c r="M1167" s="165"/>
      <c r="N1167" s="165"/>
      <c r="O1167" s="165"/>
      <c r="P1167" s="165"/>
      <c r="Q1167" s="165"/>
      <c r="R1167" s="165"/>
      <c r="S1167" s="165"/>
      <c r="T1167" s="165"/>
      <c r="U1167" s="165"/>
      <c r="V1167" s="165"/>
      <c r="W1167" s="165"/>
      <c r="X1167" s="165"/>
    </row>
    <row r="1168" ht="18.75" customHeight="1">
      <c r="A1168" s="165">
        <v>1166.0</v>
      </c>
      <c r="B1168" s="167" t="s">
        <v>16631</v>
      </c>
      <c r="C1168" s="165"/>
      <c r="D1168" s="165"/>
      <c r="E1168" s="165"/>
      <c r="F1168" s="165"/>
      <c r="G1168" s="165"/>
      <c r="H1168" s="165"/>
      <c r="I1168" s="165"/>
      <c r="J1168" s="165"/>
      <c r="K1168" s="165"/>
      <c r="L1168" s="165"/>
      <c r="M1168" s="165"/>
      <c r="N1168" s="165"/>
      <c r="O1168" s="165"/>
      <c r="P1168" s="165"/>
      <c r="Q1168" s="165"/>
      <c r="R1168" s="165"/>
      <c r="S1168" s="165"/>
      <c r="T1168" s="165"/>
      <c r="U1168" s="165"/>
      <c r="V1168" s="165"/>
      <c r="W1168" s="165"/>
      <c r="X1168" s="165"/>
    </row>
    <row r="1169" ht="18.75" customHeight="1">
      <c r="A1169" s="165">
        <v>1167.0</v>
      </c>
      <c r="B1169" s="165" t="s">
        <v>16632</v>
      </c>
      <c r="C1169" s="165"/>
      <c r="D1169" s="165"/>
      <c r="E1169" s="165"/>
      <c r="F1169" s="165"/>
      <c r="G1169" s="165"/>
      <c r="H1169" s="165"/>
      <c r="I1169" s="165"/>
      <c r="J1169" s="165"/>
      <c r="K1169" s="165"/>
      <c r="L1169" s="165"/>
      <c r="M1169" s="165"/>
      <c r="N1169" s="165"/>
      <c r="O1169" s="165"/>
      <c r="P1169" s="165"/>
      <c r="Q1169" s="165"/>
      <c r="R1169" s="165"/>
      <c r="S1169" s="165"/>
      <c r="T1169" s="165"/>
      <c r="U1169" s="165"/>
      <c r="V1169" s="165"/>
      <c r="W1169" s="165"/>
      <c r="X1169" s="165"/>
    </row>
    <row r="1170" ht="18.75" customHeight="1">
      <c r="A1170" s="165">
        <v>1168.0</v>
      </c>
      <c r="B1170" s="167" t="s">
        <v>16633</v>
      </c>
      <c r="C1170" s="165"/>
      <c r="D1170" s="165"/>
      <c r="E1170" s="165"/>
      <c r="F1170" s="165"/>
      <c r="G1170" s="165"/>
      <c r="H1170" s="165"/>
      <c r="I1170" s="165"/>
      <c r="J1170" s="165"/>
      <c r="K1170" s="165"/>
      <c r="L1170" s="165"/>
      <c r="M1170" s="165"/>
      <c r="N1170" s="165"/>
      <c r="O1170" s="165"/>
      <c r="P1170" s="165"/>
      <c r="Q1170" s="165"/>
      <c r="R1170" s="165"/>
      <c r="S1170" s="165"/>
      <c r="T1170" s="165"/>
      <c r="U1170" s="165"/>
      <c r="V1170" s="165"/>
      <c r="W1170" s="165"/>
      <c r="X1170" s="165"/>
    </row>
    <row r="1171" ht="18.75" customHeight="1">
      <c r="A1171" s="165">
        <v>1169.0</v>
      </c>
      <c r="B1171" s="167" t="s">
        <v>16634</v>
      </c>
      <c r="C1171" s="165"/>
      <c r="D1171" s="165"/>
      <c r="E1171" s="165"/>
      <c r="F1171" s="165"/>
      <c r="G1171" s="165"/>
      <c r="H1171" s="165"/>
      <c r="I1171" s="165"/>
      <c r="J1171" s="165"/>
      <c r="K1171" s="165"/>
      <c r="L1171" s="165"/>
      <c r="M1171" s="165"/>
      <c r="N1171" s="165"/>
      <c r="O1171" s="165"/>
      <c r="P1171" s="165"/>
      <c r="Q1171" s="165"/>
      <c r="R1171" s="165"/>
      <c r="S1171" s="165"/>
      <c r="T1171" s="165"/>
      <c r="U1171" s="165"/>
      <c r="V1171" s="165"/>
      <c r="W1171" s="165"/>
      <c r="X1171" s="165"/>
    </row>
    <row r="1172" ht="18.75" customHeight="1">
      <c r="A1172" s="165">
        <v>1170.0</v>
      </c>
      <c r="B1172" s="167" t="s">
        <v>16635</v>
      </c>
      <c r="C1172" s="165"/>
      <c r="D1172" s="165"/>
      <c r="E1172" s="165"/>
      <c r="F1172" s="165"/>
      <c r="G1172" s="165"/>
      <c r="H1172" s="165"/>
      <c r="I1172" s="165"/>
      <c r="J1172" s="165"/>
      <c r="K1172" s="165"/>
      <c r="L1172" s="165"/>
      <c r="M1172" s="165"/>
      <c r="N1172" s="165"/>
      <c r="O1172" s="165"/>
      <c r="P1172" s="165"/>
      <c r="Q1172" s="165"/>
      <c r="R1172" s="165"/>
      <c r="S1172" s="165"/>
      <c r="T1172" s="165"/>
      <c r="U1172" s="165"/>
      <c r="V1172" s="165"/>
      <c r="W1172" s="165"/>
      <c r="X1172" s="165"/>
    </row>
    <row r="1173" ht="18.75" customHeight="1">
      <c r="A1173" s="165">
        <v>1171.0</v>
      </c>
      <c r="B1173" s="165" t="s">
        <v>16636</v>
      </c>
      <c r="C1173" s="165"/>
      <c r="D1173" s="165"/>
      <c r="E1173" s="165"/>
      <c r="F1173" s="165"/>
      <c r="G1173" s="165"/>
      <c r="H1173" s="165"/>
      <c r="I1173" s="165"/>
      <c r="J1173" s="165"/>
      <c r="K1173" s="165"/>
      <c r="L1173" s="165"/>
      <c r="M1173" s="165"/>
      <c r="N1173" s="165"/>
      <c r="O1173" s="165"/>
      <c r="P1173" s="165"/>
      <c r="Q1173" s="165"/>
      <c r="R1173" s="165"/>
      <c r="S1173" s="165"/>
      <c r="T1173" s="165"/>
      <c r="U1173" s="165"/>
      <c r="V1173" s="165"/>
      <c r="W1173" s="165"/>
      <c r="X1173" s="165"/>
    </row>
    <row r="1174" ht="18.75" customHeight="1">
      <c r="A1174" s="165">
        <v>1172.0</v>
      </c>
      <c r="B1174" s="165" t="s">
        <v>16635</v>
      </c>
      <c r="C1174" s="165"/>
      <c r="D1174" s="165"/>
      <c r="E1174" s="165"/>
      <c r="F1174" s="165"/>
      <c r="G1174" s="165"/>
      <c r="H1174" s="165"/>
      <c r="I1174" s="165"/>
      <c r="J1174" s="165"/>
      <c r="K1174" s="165"/>
      <c r="L1174" s="165"/>
      <c r="M1174" s="165"/>
      <c r="N1174" s="165"/>
      <c r="O1174" s="165"/>
      <c r="P1174" s="165"/>
      <c r="Q1174" s="165"/>
      <c r="R1174" s="165"/>
      <c r="S1174" s="165"/>
      <c r="T1174" s="165"/>
      <c r="U1174" s="165"/>
      <c r="V1174" s="165"/>
      <c r="W1174" s="165"/>
      <c r="X1174" s="165"/>
    </row>
    <row r="1175" ht="18.75" customHeight="1">
      <c r="A1175" s="165">
        <v>1173.0</v>
      </c>
      <c r="B1175" s="165" t="s">
        <v>16637</v>
      </c>
      <c r="C1175" s="165"/>
      <c r="D1175" s="165"/>
      <c r="E1175" s="165"/>
      <c r="F1175" s="165"/>
      <c r="G1175" s="165"/>
      <c r="H1175" s="165"/>
      <c r="I1175" s="165"/>
      <c r="J1175" s="165"/>
      <c r="K1175" s="165"/>
      <c r="L1175" s="165"/>
      <c r="M1175" s="165"/>
      <c r="N1175" s="165"/>
      <c r="O1175" s="165"/>
      <c r="P1175" s="165"/>
      <c r="Q1175" s="165"/>
      <c r="R1175" s="165"/>
      <c r="S1175" s="165"/>
      <c r="T1175" s="165"/>
      <c r="U1175" s="165"/>
      <c r="V1175" s="165"/>
      <c r="W1175" s="165"/>
      <c r="X1175" s="165"/>
    </row>
    <row r="1176" ht="18.75" customHeight="1">
      <c r="A1176" s="165">
        <v>1174.0</v>
      </c>
      <c r="B1176" s="167" t="s">
        <v>16638</v>
      </c>
      <c r="C1176" s="165"/>
      <c r="D1176" s="165"/>
      <c r="E1176" s="165"/>
      <c r="F1176" s="165"/>
      <c r="G1176" s="165"/>
      <c r="H1176" s="165"/>
      <c r="I1176" s="165"/>
      <c r="J1176" s="165"/>
      <c r="K1176" s="165"/>
      <c r="L1176" s="165"/>
      <c r="M1176" s="165"/>
      <c r="N1176" s="165"/>
      <c r="O1176" s="165"/>
      <c r="P1176" s="165"/>
      <c r="Q1176" s="165"/>
      <c r="R1176" s="165"/>
      <c r="S1176" s="165"/>
      <c r="T1176" s="165"/>
      <c r="U1176" s="165"/>
      <c r="V1176" s="165"/>
      <c r="W1176" s="165"/>
      <c r="X1176" s="165"/>
    </row>
    <row r="1177" ht="18.75" customHeight="1">
      <c r="A1177" s="165">
        <v>1175.0</v>
      </c>
      <c r="B1177" s="165" t="s">
        <v>16639</v>
      </c>
      <c r="C1177" s="165"/>
      <c r="D1177" s="165"/>
      <c r="E1177" s="165"/>
      <c r="F1177" s="165"/>
      <c r="G1177" s="165"/>
      <c r="H1177" s="165"/>
      <c r="I1177" s="165"/>
      <c r="J1177" s="165"/>
      <c r="K1177" s="165"/>
      <c r="L1177" s="165"/>
      <c r="M1177" s="165"/>
      <c r="N1177" s="165"/>
      <c r="O1177" s="165"/>
      <c r="P1177" s="165"/>
      <c r="Q1177" s="165"/>
      <c r="R1177" s="165"/>
      <c r="S1177" s="165"/>
      <c r="T1177" s="165"/>
      <c r="U1177" s="165"/>
      <c r="V1177" s="165"/>
      <c r="W1177" s="165"/>
      <c r="X1177" s="165"/>
    </row>
    <row r="1178" ht="18.75" customHeight="1">
      <c r="A1178" s="165">
        <v>1176.0</v>
      </c>
      <c r="B1178" s="165" t="s">
        <v>16640</v>
      </c>
      <c r="C1178" s="165"/>
      <c r="D1178" s="165"/>
      <c r="E1178" s="165"/>
      <c r="F1178" s="165"/>
      <c r="G1178" s="165"/>
      <c r="H1178" s="165"/>
      <c r="I1178" s="165"/>
      <c r="J1178" s="165"/>
      <c r="K1178" s="165"/>
      <c r="L1178" s="165"/>
      <c r="M1178" s="165"/>
      <c r="N1178" s="165"/>
      <c r="O1178" s="165"/>
      <c r="P1178" s="165"/>
      <c r="Q1178" s="165"/>
      <c r="R1178" s="165"/>
      <c r="S1178" s="165"/>
      <c r="T1178" s="165"/>
      <c r="U1178" s="165"/>
      <c r="V1178" s="165"/>
      <c r="W1178" s="165"/>
      <c r="X1178" s="165"/>
    </row>
    <row r="1179" ht="18.75" customHeight="1">
      <c r="A1179" s="165">
        <v>1177.0</v>
      </c>
      <c r="B1179" s="165" t="s">
        <v>16641</v>
      </c>
      <c r="C1179" s="165"/>
      <c r="D1179" s="165"/>
      <c r="E1179" s="165"/>
      <c r="F1179" s="165"/>
      <c r="G1179" s="165"/>
      <c r="H1179" s="165"/>
      <c r="I1179" s="165"/>
      <c r="J1179" s="165"/>
      <c r="K1179" s="165"/>
      <c r="L1179" s="165"/>
      <c r="M1179" s="165"/>
      <c r="N1179" s="165"/>
      <c r="O1179" s="165"/>
      <c r="P1179" s="165"/>
      <c r="Q1179" s="165"/>
      <c r="R1179" s="165"/>
      <c r="S1179" s="165"/>
      <c r="T1179" s="165"/>
      <c r="U1179" s="165"/>
      <c r="V1179" s="165"/>
      <c r="W1179" s="165"/>
      <c r="X1179" s="165"/>
    </row>
    <row r="1180" ht="18.75" customHeight="1">
      <c r="A1180" s="165">
        <v>1178.0</v>
      </c>
      <c r="B1180" s="167" t="s">
        <v>16642</v>
      </c>
      <c r="C1180" s="165"/>
      <c r="D1180" s="165"/>
      <c r="E1180" s="165"/>
      <c r="F1180" s="165"/>
      <c r="G1180" s="165"/>
      <c r="H1180" s="165"/>
      <c r="I1180" s="165"/>
      <c r="J1180" s="165"/>
      <c r="K1180" s="165"/>
      <c r="L1180" s="165"/>
      <c r="M1180" s="165"/>
      <c r="N1180" s="165"/>
      <c r="O1180" s="165"/>
      <c r="P1180" s="165"/>
      <c r="Q1180" s="165"/>
      <c r="R1180" s="165"/>
      <c r="S1180" s="165"/>
      <c r="T1180" s="165"/>
      <c r="U1180" s="165"/>
      <c r="V1180" s="165"/>
      <c r="W1180" s="165"/>
      <c r="X1180" s="165"/>
    </row>
    <row r="1181" ht="18.75" customHeight="1">
      <c r="A1181" s="165">
        <v>1179.0</v>
      </c>
      <c r="B1181" s="165" t="s">
        <v>16643</v>
      </c>
      <c r="C1181" s="165"/>
      <c r="D1181" s="165"/>
      <c r="E1181" s="165"/>
      <c r="F1181" s="165"/>
      <c r="G1181" s="165"/>
      <c r="H1181" s="165"/>
      <c r="I1181" s="165"/>
      <c r="J1181" s="165"/>
      <c r="K1181" s="165"/>
      <c r="L1181" s="165"/>
      <c r="M1181" s="165"/>
      <c r="N1181" s="165"/>
      <c r="O1181" s="165"/>
      <c r="P1181" s="165"/>
      <c r="Q1181" s="165"/>
      <c r="R1181" s="165"/>
      <c r="S1181" s="165"/>
      <c r="T1181" s="165"/>
      <c r="U1181" s="165"/>
      <c r="V1181" s="165"/>
      <c r="W1181" s="165"/>
      <c r="X1181" s="165"/>
    </row>
    <row r="1182" ht="18.75" customHeight="1">
      <c r="A1182" s="165">
        <v>1180.0</v>
      </c>
      <c r="B1182" s="165" t="s">
        <v>16644</v>
      </c>
      <c r="C1182" s="165"/>
      <c r="D1182" s="165"/>
      <c r="E1182" s="165"/>
      <c r="F1182" s="165"/>
      <c r="G1182" s="165"/>
      <c r="H1182" s="165"/>
      <c r="I1182" s="165"/>
      <c r="J1182" s="165"/>
      <c r="K1182" s="165"/>
      <c r="L1182" s="165"/>
      <c r="M1182" s="165"/>
      <c r="N1182" s="165"/>
      <c r="O1182" s="165"/>
      <c r="P1182" s="165"/>
      <c r="Q1182" s="165"/>
      <c r="R1182" s="165"/>
      <c r="S1182" s="165"/>
      <c r="T1182" s="165"/>
      <c r="U1182" s="165"/>
      <c r="V1182" s="165"/>
      <c r="W1182" s="165"/>
      <c r="X1182" s="165"/>
    </row>
    <row r="1183" ht="18.75" customHeight="1">
      <c r="A1183" s="165">
        <v>1181.0</v>
      </c>
      <c r="B1183" s="165" t="s">
        <v>16645</v>
      </c>
      <c r="C1183" s="165"/>
      <c r="D1183" s="165"/>
      <c r="E1183" s="165"/>
      <c r="F1183" s="165"/>
      <c r="G1183" s="165"/>
      <c r="H1183" s="165"/>
      <c r="I1183" s="165"/>
      <c r="J1183" s="165"/>
      <c r="K1183" s="165"/>
      <c r="L1183" s="165"/>
      <c r="M1183" s="165"/>
      <c r="N1183" s="165"/>
      <c r="O1183" s="165"/>
      <c r="P1183" s="165"/>
      <c r="Q1183" s="165"/>
      <c r="R1183" s="165"/>
      <c r="S1183" s="165"/>
      <c r="T1183" s="165"/>
      <c r="U1183" s="165"/>
      <c r="V1183" s="165"/>
      <c r="W1183" s="165"/>
      <c r="X1183" s="165"/>
    </row>
    <row r="1184" ht="18.75" customHeight="1">
      <c r="A1184" s="165">
        <v>1182.0</v>
      </c>
      <c r="B1184" s="165" t="s">
        <v>16646</v>
      </c>
      <c r="C1184" s="165"/>
      <c r="D1184" s="165"/>
      <c r="E1184" s="165"/>
      <c r="F1184" s="165"/>
      <c r="G1184" s="165"/>
      <c r="H1184" s="165"/>
      <c r="I1184" s="165"/>
      <c r="J1184" s="165"/>
      <c r="K1184" s="165"/>
      <c r="L1184" s="165"/>
      <c r="M1184" s="165"/>
      <c r="N1184" s="165"/>
      <c r="O1184" s="165"/>
      <c r="P1184" s="165"/>
      <c r="Q1184" s="165"/>
      <c r="R1184" s="165"/>
      <c r="S1184" s="165"/>
      <c r="T1184" s="165"/>
      <c r="U1184" s="165"/>
      <c r="V1184" s="165"/>
      <c r="W1184" s="165"/>
      <c r="X1184" s="165"/>
    </row>
    <row r="1185" ht="18.75" customHeight="1">
      <c r="A1185" s="165">
        <v>1183.0</v>
      </c>
      <c r="B1185" s="165" t="s">
        <v>16647</v>
      </c>
      <c r="C1185" s="165"/>
      <c r="D1185" s="165"/>
      <c r="E1185" s="165"/>
      <c r="F1185" s="165"/>
      <c r="G1185" s="165"/>
      <c r="H1185" s="165"/>
      <c r="I1185" s="165"/>
      <c r="J1185" s="165"/>
      <c r="K1185" s="165"/>
      <c r="L1185" s="165"/>
      <c r="M1185" s="165"/>
      <c r="N1185" s="165"/>
      <c r="O1185" s="165"/>
      <c r="P1185" s="165"/>
      <c r="Q1185" s="165"/>
      <c r="R1185" s="165"/>
      <c r="S1185" s="165"/>
      <c r="T1185" s="165"/>
      <c r="U1185" s="165"/>
      <c r="V1185" s="165"/>
      <c r="W1185" s="165"/>
      <c r="X1185" s="165"/>
    </row>
    <row r="1186" ht="18.75" customHeight="1">
      <c r="A1186" s="165">
        <v>1184.0</v>
      </c>
      <c r="B1186" s="167" t="s">
        <v>16648</v>
      </c>
      <c r="C1186" s="165"/>
      <c r="D1186" s="165"/>
      <c r="E1186" s="165"/>
      <c r="F1186" s="165"/>
      <c r="G1186" s="165"/>
      <c r="H1186" s="165"/>
      <c r="I1186" s="165"/>
      <c r="J1186" s="165"/>
      <c r="K1186" s="165"/>
      <c r="L1186" s="165"/>
      <c r="M1186" s="165"/>
      <c r="N1186" s="165"/>
      <c r="O1186" s="165"/>
      <c r="P1186" s="165"/>
      <c r="Q1186" s="165"/>
      <c r="R1186" s="165"/>
      <c r="S1186" s="165"/>
      <c r="T1186" s="165"/>
      <c r="U1186" s="165"/>
      <c r="V1186" s="165"/>
      <c r="W1186" s="165"/>
      <c r="X1186" s="165"/>
    </row>
    <row r="1187" ht="18.75" customHeight="1">
      <c r="A1187" s="165">
        <v>1185.0</v>
      </c>
      <c r="B1187" s="165" t="s">
        <v>16649</v>
      </c>
      <c r="C1187" s="165"/>
      <c r="D1187" s="165"/>
      <c r="E1187" s="165"/>
      <c r="F1187" s="165"/>
      <c r="G1187" s="165"/>
      <c r="H1187" s="165"/>
      <c r="I1187" s="165"/>
      <c r="J1187" s="165"/>
      <c r="K1187" s="165"/>
      <c r="L1187" s="165"/>
      <c r="M1187" s="165"/>
      <c r="N1187" s="165"/>
      <c r="O1187" s="165"/>
      <c r="P1187" s="165"/>
      <c r="Q1187" s="165"/>
      <c r="R1187" s="165"/>
      <c r="S1187" s="165"/>
      <c r="T1187" s="165"/>
      <c r="U1187" s="165"/>
      <c r="V1187" s="165"/>
      <c r="W1187" s="165"/>
      <c r="X1187" s="165"/>
    </row>
    <row r="1188" ht="18.75" customHeight="1">
      <c r="A1188" s="165">
        <v>1186.0</v>
      </c>
      <c r="B1188" s="165" t="s">
        <v>16650</v>
      </c>
      <c r="C1188" s="165"/>
      <c r="D1188" s="165"/>
      <c r="E1188" s="165"/>
      <c r="F1188" s="165"/>
      <c r="G1188" s="165"/>
      <c r="H1188" s="165"/>
      <c r="I1188" s="165"/>
      <c r="J1188" s="165"/>
      <c r="K1188" s="165"/>
      <c r="L1188" s="165"/>
      <c r="M1188" s="165"/>
      <c r="N1188" s="165"/>
      <c r="O1188" s="165"/>
      <c r="P1188" s="165"/>
      <c r="Q1188" s="165"/>
      <c r="R1188" s="165"/>
      <c r="S1188" s="165"/>
      <c r="T1188" s="165"/>
      <c r="U1188" s="165"/>
      <c r="V1188" s="165"/>
      <c r="W1188" s="165"/>
      <c r="X1188" s="165"/>
    </row>
    <row r="1189" ht="18.75" customHeight="1">
      <c r="A1189" s="165">
        <v>1187.0</v>
      </c>
      <c r="B1189" s="165" t="s">
        <v>16651</v>
      </c>
      <c r="C1189" s="165"/>
      <c r="D1189" s="165"/>
      <c r="E1189" s="165"/>
      <c r="F1189" s="165"/>
      <c r="G1189" s="165"/>
      <c r="H1189" s="165"/>
      <c r="I1189" s="165"/>
      <c r="J1189" s="165"/>
      <c r="K1189" s="165"/>
      <c r="L1189" s="165"/>
      <c r="M1189" s="165"/>
      <c r="N1189" s="165"/>
      <c r="O1189" s="165"/>
      <c r="P1189" s="165"/>
      <c r="Q1189" s="165"/>
      <c r="R1189" s="165"/>
      <c r="S1189" s="165"/>
      <c r="T1189" s="165"/>
      <c r="U1189" s="165"/>
      <c r="V1189" s="165"/>
      <c r="W1189" s="165"/>
      <c r="X1189" s="165"/>
    </row>
    <row r="1190" ht="18.75" customHeight="1">
      <c r="A1190" s="165">
        <v>1188.0</v>
      </c>
      <c r="B1190" s="165" t="s">
        <v>16652</v>
      </c>
      <c r="C1190" s="165"/>
      <c r="D1190" s="165"/>
      <c r="E1190" s="165"/>
      <c r="F1190" s="165"/>
      <c r="G1190" s="165"/>
      <c r="H1190" s="165"/>
      <c r="I1190" s="165"/>
      <c r="J1190" s="165"/>
      <c r="K1190" s="165"/>
      <c r="L1190" s="165"/>
      <c r="M1190" s="165"/>
      <c r="N1190" s="165"/>
      <c r="O1190" s="165"/>
      <c r="P1190" s="165"/>
      <c r="Q1190" s="165"/>
      <c r="R1190" s="165"/>
      <c r="S1190" s="165"/>
      <c r="T1190" s="165"/>
      <c r="U1190" s="165"/>
      <c r="V1190" s="165"/>
      <c r="W1190" s="165"/>
      <c r="X1190" s="165"/>
    </row>
    <row r="1191" ht="18.75" customHeight="1">
      <c r="A1191" s="165">
        <v>1189.0</v>
      </c>
      <c r="B1191" s="165" t="s">
        <v>16653</v>
      </c>
      <c r="C1191" s="165"/>
      <c r="D1191" s="165"/>
      <c r="E1191" s="165"/>
      <c r="F1191" s="165"/>
      <c r="G1191" s="165"/>
      <c r="H1191" s="165"/>
      <c r="I1191" s="165"/>
      <c r="J1191" s="165"/>
      <c r="K1191" s="165"/>
      <c r="L1191" s="165"/>
      <c r="M1191" s="165"/>
      <c r="N1191" s="165"/>
      <c r="O1191" s="165"/>
      <c r="P1191" s="165"/>
      <c r="Q1191" s="165"/>
      <c r="R1191" s="165"/>
      <c r="S1191" s="165"/>
      <c r="T1191" s="165"/>
      <c r="U1191" s="165"/>
      <c r="V1191" s="165"/>
      <c r="W1191" s="165"/>
      <c r="X1191" s="165"/>
    </row>
    <row r="1192" ht="18.75" customHeight="1">
      <c r="A1192" s="165">
        <v>1190.0</v>
      </c>
      <c r="B1192" s="165" t="s">
        <v>16654</v>
      </c>
      <c r="C1192" s="165"/>
      <c r="D1192" s="165"/>
      <c r="E1192" s="165"/>
      <c r="F1192" s="165"/>
      <c r="G1192" s="165"/>
      <c r="H1192" s="165"/>
      <c r="I1192" s="165"/>
      <c r="J1192" s="165"/>
      <c r="K1192" s="165"/>
      <c r="L1192" s="165"/>
      <c r="M1192" s="165"/>
      <c r="N1192" s="165"/>
      <c r="O1192" s="165"/>
      <c r="P1192" s="165"/>
      <c r="Q1192" s="165"/>
      <c r="R1192" s="165"/>
      <c r="S1192" s="165"/>
      <c r="T1192" s="165"/>
      <c r="U1192" s="165"/>
      <c r="V1192" s="165"/>
      <c r="W1192" s="165"/>
      <c r="X1192" s="165"/>
    </row>
    <row r="1193" ht="18.75" customHeight="1">
      <c r="A1193" s="165">
        <v>1191.0</v>
      </c>
      <c r="B1193" s="167" t="s">
        <v>16655</v>
      </c>
      <c r="C1193" s="165"/>
      <c r="D1193" s="165"/>
      <c r="E1193" s="165"/>
      <c r="F1193" s="165"/>
      <c r="G1193" s="165"/>
      <c r="H1193" s="165"/>
      <c r="I1193" s="165"/>
      <c r="J1193" s="165"/>
      <c r="K1193" s="165"/>
      <c r="L1193" s="165"/>
      <c r="M1193" s="165"/>
      <c r="N1193" s="165"/>
      <c r="O1193" s="165"/>
      <c r="P1193" s="165"/>
      <c r="Q1193" s="165"/>
      <c r="R1193" s="165"/>
      <c r="S1193" s="165"/>
      <c r="T1193" s="165"/>
      <c r="U1193" s="165"/>
      <c r="V1193" s="165"/>
      <c r="W1193" s="165"/>
      <c r="X1193" s="165"/>
    </row>
    <row r="1194" ht="18.75" customHeight="1">
      <c r="A1194" s="165">
        <v>1192.0</v>
      </c>
      <c r="B1194" s="165" t="s">
        <v>16656</v>
      </c>
      <c r="C1194" s="165"/>
      <c r="D1194" s="165"/>
      <c r="E1194" s="165"/>
      <c r="F1194" s="165"/>
      <c r="G1194" s="165"/>
      <c r="H1194" s="165"/>
      <c r="I1194" s="165"/>
      <c r="J1194" s="165"/>
      <c r="K1194" s="165"/>
      <c r="L1194" s="165"/>
      <c r="M1194" s="165"/>
      <c r="N1194" s="165"/>
      <c r="O1194" s="165"/>
      <c r="P1194" s="165"/>
      <c r="Q1194" s="165"/>
      <c r="R1194" s="165"/>
      <c r="S1194" s="165"/>
      <c r="T1194" s="165"/>
      <c r="U1194" s="165"/>
      <c r="V1194" s="165"/>
      <c r="W1194" s="165"/>
      <c r="X1194" s="165"/>
    </row>
    <row r="1195" ht="18.75" customHeight="1">
      <c r="A1195" s="165">
        <v>1193.0</v>
      </c>
      <c r="B1195" s="165" t="s">
        <v>16657</v>
      </c>
      <c r="C1195" s="165"/>
      <c r="D1195" s="165"/>
      <c r="E1195" s="165"/>
      <c r="F1195" s="165"/>
      <c r="G1195" s="165"/>
      <c r="H1195" s="165"/>
      <c r="I1195" s="165"/>
      <c r="J1195" s="165"/>
      <c r="K1195" s="165"/>
      <c r="L1195" s="165"/>
      <c r="M1195" s="165"/>
      <c r="N1195" s="165"/>
      <c r="O1195" s="165"/>
      <c r="P1195" s="165"/>
      <c r="Q1195" s="165"/>
      <c r="R1195" s="165"/>
      <c r="S1195" s="165"/>
      <c r="T1195" s="165"/>
      <c r="U1195" s="165"/>
      <c r="V1195" s="165"/>
      <c r="W1195" s="165"/>
      <c r="X1195" s="165"/>
    </row>
    <row r="1196" ht="18.75" customHeight="1">
      <c r="A1196" s="165">
        <v>1194.0</v>
      </c>
      <c r="B1196" s="165" t="s">
        <v>16658</v>
      </c>
      <c r="C1196" s="165"/>
      <c r="D1196" s="165"/>
      <c r="E1196" s="165"/>
      <c r="F1196" s="165"/>
      <c r="G1196" s="165"/>
      <c r="H1196" s="165"/>
      <c r="I1196" s="165"/>
      <c r="J1196" s="165"/>
      <c r="K1196" s="165"/>
      <c r="L1196" s="165"/>
      <c r="M1196" s="165"/>
      <c r="N1196" s="165"/>
      <c r="O1196" s="165"/>
      <c r="P1196" s="165"/>
      <c r="Q1196" s="165"/>
      <c r="R1196" s="165"/>
      <c r="S1196" s="165"/>
      <c r="T1196" s="165"/>
      <c r="U1196" s="165"/>
      <c r="V1196" s="165"/>
      <c r="W1196" s="165"/>
      <c r="X1196" s="165"/>
    </row>
    <row r="1197" ht="18.75" customHeight="1">
      <c r="A1197" s="165">
        <v>1195.0</v>
      </c>
      <c r="B1197" s="165" t="s">
        <v>16659</v>
      </c>
      <c r="C1197" s="165"/>
      <c r="D1197" s="165"/>
      <c r="E1197" s="165"/>
      <c r="F1197" s="165"/>
      <c r="G1197" s="165"/>
      <c r="H1197" s="165"/>
      <c r="I1197" s="165"/>
      <c r="J1197" s="165"/>
      <c r="K1197" s="165"/>
      <c r="L1197" s="165"/>
      <c r="M1197" s="165"/>
      <c r="N1197" s="165"/>
      <c r="O1197" s="165"/>
      <c r="P1197" s="165"/>
      <c r="Q1197" s="165"/>
      <c r="R1197" s="165"/>
      <c r="S1197" s="165"/>
      <c r="T1197" s="165"/>
      <c r="U1197" s="165"/>
      <c r="V1197" s="165"/>
      <c r="W1197" s="165"/>
      <c r="X1197" s="165"/>
    </row>
    <row r="1198" ht="18.75" customHeight="1">
      <c r="A1198" s="165">
        <v>1196.0</v>
      </c>
      <c r="B1198" s="165" t="s">
        <v>16660</v>
      </c>
      <c r="C1198" s="165"/>
      <c r="D1198" s="165"/>
      <c r="E1198" s="165"/>
      <c r="F1198" s="165"/>
      <c r="G1198" s="165"/>
      <c r="H1198" s="165"/>
      <c r="I1198" s="165"/>
      <c r="J1198" s="165"/>
      <c r="K1198" s="165"/>
      <c r="L1198" s="165"/>
      <c r="M1198" s="165"/>
      <c r="N1198" s="165"/>
      <c r="O1198" s="165"/>
      <c r="P1198" s="165"/>
      <c r="Q1198" s="165"/>
      <c r="R1198" s="165"/>
      <c r="S1198" s="165"/>
      <c r="T1198" s="165"/>
      <c r="U1198" s="165"/>
      <c r="V1198" s="165"/>
      <c r="W1198" s="165"/>
      <c r="X1198" s="165"/>
    </row>
    <row r="1199" ht="18.75" customHeight="1">
      <c r="A1199" s="165">
        <v>1197.0</v>
      </c>
      <c r="B1199" s="165" t="s">
        <v>16661</v>
      </c>
      <c r="C1199" s="165"/>
      <c r="D1199" s="165"/>
      <c r="E1199" s="165"/>
      <c r="F1199" s="165"/>
      <c r="G1199" s="165"/>
      <c r="H1199" s="165"/>
      <c r="I1199" s="165"/>
      <c r="J1199" s="165"/>
      <c r="K1199" s="165"/>
      <c r="L1199" s="165"/>
      <c r="M1199" s="165"/>
      <c r="N1199" s="165"/>
      <c r="O1199" s="165"/>
      <c r="P1199" s="165"/>
      <c r="Q1199" s="165"/>
      <c r="R1199" s="165"/>
      <c r="S1199" s="165"/>
      <c r="T1199" s="165"/>
      <c r="U1199" s="165"/>
      <c r="V1199" s="165"/>
      <c r="W1199" s="165"/>
      <c r="X1199" s="165"/>
    </row>
    <row r="1200" ht="18.75" customHeight="1">
      <c r="A1200" s="165">
        <v>1198.0</v>
      </c>
      <c r="B1200" s="165" t="s">
        <v>16662</v>
      </c>
      <c r="C1200" s="165"/>
      <c r="D1200" s="165"/>
      <c r="E1200" s="165"/>
      <c r="F1200" s="165"/>
      <c r="G1200" s="165"/>
      <c r="H1200" s="165"/>
      <c r="I1200" s="165"/>
      <c r="J1200" s="165"/>
      <c r="K1200" s="165"/>
      <c r="L1200" s="165"/>
      <c r="M1200" s="165"/>
      <c r="N1200" s="165"/>
      <c r="O1200" s="165"/>
      <c r="P1200" s="165"/>
      <c r="Q1200" s="165"/>
      <c r="R1200" s="165"/>
      <c r="S1200" s="165"/>
      <c r="T1200" s="165"/>
      <c r="U1200" s="165"/>
      <c r="V1200" s="165"/>
      <c r="W1200" s="165"/>
      <c r="X1200" s="165"/>
    </row>
    <row r="1201" ht="18.75" customHeight="1">
      <c r="A1201" s="165">
        <v>1199.0</v>
      </c>
      <c r="B1201" s="165" t="s">
        <v>16663</v>
      </c>
      <c r="C1201" s="165"/>
      <c r="D1201" s="165"/>
      <c r="E1201" s="165"/>
      <c r="F1201" s="165"/>
      <c r="G1201" s="165"/>
      <c r="H1201" s="165"/>
      <c r="I1201" s="165"/>
      <c r="J1201" s="165"/>
      <c r="K1201" s="165"/>
      <c r="L1201" s="165"/>
      <c r="M1201" s="165"/>
      <c r="N1201" s="165"/>
      <c r="O1201" s="165"/>
      <c r="P1201" s="165"/>
      <c r="Q1201" s="165"/>
      <c r="R1201" s="165"/>
      <c r="S1201" s="165"/>
      <c r="T1201" s="165"/>
      <c r="U1201" s="165"/>
      <c r="V1201" s="165"/>
      <c r="W1201" s="165"/>
      <c r="X1201" s="165"/>
    </row>
    <row r="1202" ht="18.75" customHeight="1">
      <c r="A1202" s="165">
        <v>1200.0</v>
      </c>
      <c r="B1202" s="165" t="s">
        <v>16664</v>
      </c>
      <c r="C1202" s="165"/>
      <c r="D1202" s="165"/>
      <c r="E1202" s="165"/>
      <c r="F1202" s="165"/>
      <c r="G1202" s="165"/>
      <c r="H1202" s="165"/>
      <c r="I1202" s="165"/>
      <c r="J1202" s="165"/>
      <c r="K1202" s="165"/>
      <c r="L1202" s="165"/>
      <c r="M1202" s="165"/>
      <c r="N1202" s="165"/>
      <c r="O1202" s="165"/>
      <c r="P1202" s="165"/>
      <c r="Q1202" s="165"/>
      <c r="R1202" s="165"/>
      <c r="S1202" s="165"/>
      <c r="T1202" s="165"/>
      <c r="U1202" s="165"/>
      <c r="V1202" s="165"/>
      <c r="W1202" s="165"/>
      <c r="X1202" s="165"/>
    </row>
    <row r="1203" ht="18.75" customHeight="1">
      <c r="A1203" s="165">
        <v>1201.0</v>
      </c>
      <c r="B1203" s="165" t="s">
        <v>16665</v>
      </c>
      <c r="C1203" s="165"/>
      <c r="D1203" s="165"/>
      <c r="E1203" s="165"/>
      <c r="F1203" s="165"/>
      <c r="G1203" s="165"/>
      <c r="H1203" s="165"/>
      <c r="I1203" s="165"/>
      <c r="J1203" s="165"/>
      <c r="K1203" s="165"/>
      <c r="L1203" s="165"/>
      <c r="M1203" s="165"/>
      <c r="N1203" s="165"/>
      <c r="O1203" s="165"/>
      <c r="P1203" s="165"/>
      <c r="Q1203" s="165"/>
      <c r="R1203" s="165"/>
      <c r="S1203" s="165"/>
      <c r="T1203" s="165"/>
      <c r="U1203" s="165"/>
      <c r="V1203" s="165"/>
      <c r="W1203" s="165"/>
      <c r="X1203" s="165"/>
    </row>
    <row r="1204" ht="18.75" customHeight="1">
      <c r="A1204" s="165">
        <v>1202.0</v>
      </c>
      <c r="B1204" s="165" t="s">
        <v>16666</v>
      </c>
      <c r="C1204" s="165"/>
      <c r="D1204" s="165"/>
      <c r="E1204" s="165"/>
      <c r="F1204" s="165"/>
      <c r="G1204" s="165"/>
      <c r="H1204" s="165"/>
      <c r="I1204" s="165"/>
      <c r="J1204" s="165"/>
      <c r="K1204" s="165"/>
      <c r="L1204" s="165"/>
      <c r="M1204" s="165"/>
      <c r="N1204" s="165"/>
      <c r="O1204" s="165"/>
      <c r="P1204" s="165"/>
      <c r="Q1204" s="165"/>
      <c r="R1204" s="165"/>
      <c r="S1204" s="165"/>
      <c r="T1204" s="165"/>
      <c r="U1204" s="165"/>
      <c r="V1204" s="165"/>
      <c r="W1204" s="165"/>
      <c r="X1204" s="165"/>
    </row>
    <row r="1205" ht="18.75" customHeight="1">
      <c r="A1205" s="165">
        <v>1203.0</v>
      </c>
      <c r="B1205" s="167" t="s">
        <v>16667</v>
      </c>
      <c r="C1205" s="165"/>
      <c r="D1205" s="165"/>
      <c r="E1205" s="165"/>
      <c r="F1205" s="165"/>
      <c r="G1205" s="165"/>
      <c r="H1205" s="165"/>
      <c r="I1205" s="165"/>
      <c r="J1205" s="165"/>
      <c r="K1205" s="165"/>
      <c r="L1205" s="165"/>
      <c r="M1205" s="165"/>
      <c r="N1205" s="165"/>
      <c r="O1205" s="165"/>
      <c r="P1205" s="165"/>
      <c r="Q1205" s="165"/>
      <c r="R1205" s="165"/>
      <c r="S1205" s="165"/>
      <c r="T1205" s="165"/>
      <c r="U1205" s="165"/>
      <c r="V1205" s="165"/>
      <c r="W1205" s="165"/>
      <c r="X1205" s="165"/>
    </row>
    <row r="1206" ht="18.75" customHeight="1">
      <c r="A1206" s="165">
        <v>1204.0</v>
      </c>
      <c r="B1206" s="167" t="s">
        <v>16668</v>
      </c>
      <c r="C1206" s="165"/>
      <c r="D1206" s="165"/>
      <c r="E1206" s="165"/>
      <c r="F1206" s="165"/>
      <c r="G1206" s="165"/>
      <c r="H1206" s="165"/>
      <c r="I1206" s="165"/>
      <c r="J1206" s="165"/>
      <c r="K1206" s="165"/>
      <c r="L1206" s="165"/>
      <c r="M1206" s="165"/>
      <c r="N1206" s="165"/>
      <c r="O1206" s="165"/>
      <c r="P1206" s="165"/>
      <c r="Q1206" s="165"/>
      <c r="R1206" s="165"/>
      <c r="S1206" s="165"/>
      <c r="T1206" s="165"/>
      <c r="U1206" s="165"/>
      <c r="V1206" s="165"/>
      <c r="W1206" s="165"/>
      <c r="X1206" s="165"/>
    </row>
    <row r="1207" ht="18.75" customHeight="1">
      <c r="A1207" s="165">
        <v>1205.0</v>
      </c>
      <c r="B1207" s="167" t="s">
        <v>16585</v>
      </c>
      <c r="C1207" s="165"/>
      <c r="D1207" s="165"/>
      <c r="E1207" s="165"/>
      <c r="F1207" s="165"/>
      <c r="G1207" s="165"/>
      <c r="H1207" s="165"/>
      <c r="I1207" s="165"/>
      <c r="J1207" s="165"/>
      <c r="K1207" s="165"/>
      <c r="L1207" s="165"/>
      <c r="M1207" s="165"/>
      <c r="N1207" s="165"/>
      <c r="O1207" s="165"/>
      <c r="P1207" s="165"/>
      <c r="Q1207" s="165"/>
      <c r="R1207" s="165"/>
      <c r="S1207" s="165"/>
      <c r="T1207" s="165"/>
      <c r="U1207" s="165"/>
      <c r="V1207" s="165"/>
      <c r="W1207" s="165"/>
      <c r="X1207" s="165"/>
    </row>
    <row r="1208" ht="18.75" customHeight="1">
      <c r="A1208" s="165">
        <v>1206.0</v>
      </c>
      <c r="B1208" s="165" t="s">
        <v>16669</v>
      </c>
      <c r="C1208" s="165"/>
      <c r="D1208" s="165"/>
      <c r="E1208" s="165"/>
      <c r="F1208" s="165"/>
      <c r="G1208" s="165"/>
      <c r="H1208" s="165"/>
      <c r="I1208" s="165"/>
      <c r="J1208" s="165"/>
      <c r="K1208" s="165"/>
      <c r="L1208" s="165"/>
      <c r="M1208" s="165"/>
      <c r="N1208" s="165"/>
      <c r="O1208" s="165"/>
      <c r="P1208" s="165"/>
      <c r="Q1208" s="165"/>
      <c r="R1208" s="165"/>
      <c r="S1208" s="165"/>
      <c r="T1208" s="165"/>
      <c r="U1208" s="165"/>
      <c r="V1208" s="165"/>
      <c r="W1208" s="165"/>
      <c r="X1208" s="165"/>
    </row>
    <row r="1209" ht="18.75" customHeight="1">
      <c r="A1209" s="165">
        <v>1207.0</v>
      </c>
      <c r="B1209" s="165" t="s">
        <v>16670</v>
      </c>
      <c r="C1209" s="165"/>
      <c r="D1209" s="165"/>
      <c r="E1209" s="165"/>
      <c r="F1209" s="165"/>
      <c r="G1209" s="165"/>
      <c r="H1209" s="165"/>
      <c r="I1209" s="165"/>
      <c r="J1209" s="165"/>
      <c r="K1209" s="165"/>
      <c r="L1209" s="165"/>
      <c r="M1209" s="165"/>
      <c r="N1209" s="165"/>
      <c r="O1209" s="165"/>
      <c r="P1209" s="165"/>
      <c r="Q1209" s="165"/>
      <c r="R1209" s="165"/>
      <c r="S1209" s="165"/>
      <c r="T1209" s="165"/>
      <c r="U1209" s="165"/>
      <c r="V1209" s="165"/>
      <c r="W1209" s="165"/>
      <c r="X1209" s="165"/>
    </row>
    <row r="1210" ht="18.75" customHeight="1">
      <c r="A1210" s="165">
        <v>1208.0</v>
      </c>
      <c r="B1210" s="167" t="s">
        <v>16671</v>
      </c>
      <c r="C1210" s="165"/>
      <c r="D1210" s="165"/>
      <c r="E1210" s="165"/>
      <c r="F1210" s="165"/>
      <c r="G1210" s="165"/>
      <c r="H1210" s="165"/>
      <c r="I1210" s="165"/>
      <c r="J1210" s="165"/>
      <c r="K1210" s="165"/>
      <c r="L1210" s="165"/>
      <c r="M1210" s="165"/>
      <c r="N1210" s="165"/>
      <c r="O1210" s="165"/>
      <c r="P1210" s="165"/>
      <c r="Q1210" s="165"/>
      <c r="R1210" s="165"/>
      <c r="S1210" s="165"/>
      <c r="T1210" s="165"/>
      <c r="U1210" s="165"/>
      <c r="V1210" s="165"/>
      <c r="W1210" s="165"/>
      <c r="X1210" s="165"/>
    </row>
    <row r="1211" ht="18.75" customHeight="1">
      <c r="A1211" s="165">
        <v>1209.0</v>
      </c>
      <c r="B1211" s="165" t="s">
        <v>16672</v>
      </c>
      <c r="C1211" s="165"/>
      <c r="D1211" s="165"/>
      <c r="E1211" s="165"/>
      <c r="F1211" s="165"/>
      <c r="G1211" s="165"/>
      <c r="H1211" s="165"/>
      <c r="I1211" s="165"/>
      <c r="J1211" s="165"/>
      <c r="K1211" s="165"/>
      <c r="L1211" s="165"/>
      <c r="M1211" s="165"/>
      <c r="N1211" s="165"/>
      <c r="O1211" s="165"/>
      <c r="P1211" s="165"/>
      <c r="Q1211" s="165"/>
      <c r="R1211" s="165"/>
      <c r="S1211" s="165"/>
      <c r="T1211" s="165"/>
      <c r="U1211" s="165"/>
      <c r="V1211" s="165"/>
      <c r="W1211" s="165"/>
      <c r="X1211" s="165"/>
    </row>
    <row r="1212" ht="18.75" customHeight="1">
      <c r="A1212" s="165">
        <v>1210.0</v>
      </c>
      <c r="B1212" s="167" t="s">
        <v>16673</v>
      </c>
      <c r="C1212" s="165"/>
      <c r="D1212" s="165"/>
      <c r="E1212" s="165"/>
      <c r="F1212" s="165"/>
      <c r="G1212" s="165"/>
      <c r="H1212" s="165"/>
      <c r="I1212" s="165"/>
      <c r="J1212" s="165"/>
      <c r="K1212" s="165"/>
      <c r="L1212" s="165"/>
      <c r="M1212" s="165"/>
      <c r="N1212" s="165"/>
      <c r="O1212" s="165"/>
      <c r="P1212" s="165"/>
      <c r="Q1212" s="165"/>
      <c r="R1212" s="165"/>
      <c r="S1212" s="165"/>
      <c r="T1212" s="165"/>
      <c r="U1212" s="165"/>
      <c r="V1212" s="165"/>
      <c r="W1212" s="165"/>
      <c r="X1212" s="165"/>
    </row>
    <row r="1213" ht="18.75" customHeight="1">
      <c r="A1213" s="165">
        <v>1211.0</v>
      </c>
      <c r="B1213" s="167" t="s">
        <v>16674</v>
      </c>
      <c r="C1213" s="165"/>
      <c r="D1213" s="165"/>
      <c r="E1213" s="165"/>
      <c r="F1213" s="165"/>
      <c r="G1213" s="165"/>
      <c r="H1213" s="165"/>
      <c r="I1213" s="165"/>
      <c r="J1213" s="165"/>
      <c r="K1213" s="165"/>
      <c r="L1213" s="165"/>
      <c r="M1213" s="165"/>
      <c r="N1213" s="165"/>
      <c r="O1213" s="165"/>
      <c r="P1213" s="165"/>
      <c r="Q1213" s="165"/>
      <c r="R1213" s="165"/>
      <c r="S1213" s="165"/>
      <c r="T1213" s="165"/>
      <c r="U1213" s="165"/>
      <c r="V1213" s="165"/>
      <c r="W1213" s="165"/>
      <c r="X1213" s="165"/>
    </row>
    <row r="1214" ht="18.75" customHeight="1">
      <c r="A1214" s="165">
        <v>1212.0</v>
      </c>
      <c r="B1214" s="167" t="s">
        <v>16675</v>
      </c>
      <c r="C1214" s="165"/>
      <c r="D1214" s="165"/>
      <c r="E1214" s="165"/>
      <c r="F1214" s="165"/>
      <c r="G1214" s="165"/>
      <c r="H1214" s="165"/>
      <c r="I1214" s="165"/>
      <c r="J1214" s="165"/>
      <c r="K1214" s="165"/>
      <c r="L1214" s="165"/>
      <c r="M1214" s="165"/>
      <c r="N1214" s="165"/>
      <c r="O1214" s="165"/>
      <c r="P1214" s="165"/>
      <c r="Q1214" s="165"/>
      <c r="R1214" s="165"/>
      <c r="S1214" s="165"/>
      <c r="T1214" s="165"/>
      <c r="U1214" s="165"/>
      <c r="V1214" s="165"/>
      <c r="W1214" s="165"/>
      <c r="X1214" s="165"/>
    </row>
    <row r="1215" ht="18.75" customHeight="1">
      <c r="A1215" s="165">
        <v>1213.0</v>
      </c>
      <c r="B1215" s="165" t="s">
        <v>16676</v>
      </c>
      <c r="C1215" s="165"/>
      <c r="D1215" s="165"/>
      <c r="E1215" s="165"/>
      <c r="F1215" s="165"/>
      <c r="G1215" s="165"/>
      <c r="H1215" s="165"/>
      <c r="I1215" s="165"/>
      <c r="J1215" s="165"/>
      <c r="K1215" s="165"/>
      <c r="L1215" s="165"/>
      <c r="M1215" s="165"/>
      <c r="N1215" s="165"/>
      <c r="O1215" s="165"/>
      <c r="P1215" s="165"/>
      <c r="Q1215" s="165"/>
      <c r="R1215" s="165"/>
      <c r="S1215" s="165"/>
      <c r="T1215" s="165"/>
      <c r="U1215" s="165"/>
      <c r="V1215" s="165"/>
      <c r="W1215" s="165"/>
      <c r="X1215" s="165"/>
    </row>
    <row r="1216" ht="18.75" customHeight="1">
      <c r="A1216" s="165">
        <v>1214.0</v>
      </c>
      <c r="B1216" s="165" t="s">
        <v>16677</v>
      </c>
      <c r="C1216" s="165"/>
      <c r="D1216" s="165"/>
      <c r="E1216" s="165"/>
      <c r="F1216" s="165"/>
      <c r="G1216" s="165"/>
      <c r="H1216" s="165"/>
      <c r="I1216" s="165"/>
      <c r="J1216" s="165"/>
      <c r="K1216" s="165"/>
      <c r="L1216" s="165"/>
      <c r="M1216" s="165"/>
      <c r="N1216" s="165"/>
      <c r="O1216" s="165"/>
      <c r="P1216" s="165"/>
      <c r="Q1216" s="165"/>
      <c r="R1216" s="165"/>
      <c r="S1216" s="165"/>
      <c r="T1216" s="165"/>
      <c r="U1216" s="165"/>
      <c r="V1216" s="165"/>
      <c r="W1216" s="165"/>
      <c r="X1216" s="165"/>
    </row>
    <row r="1217" ht="18.75" customHeight="1">
      <c r="A1217" s="165">
        <v>1215.0</v>
      </c>
      <c r="B1217" s="167" t="s">
        <v>16678</v>
      </c>
      <c r="C1217" s="165"/>
      <c r="D1217" s="165"/>
      <c r="E1217" s="165"/>
      <c r="F1217" s="165"/>
      <c r="G1217" s="165"/>
      <c r="H1217" s="165"/>
      <c r="I1217" s="165"/>
      <c r="J1217" s="165"/>
      <c r="K1217" s="165"/>
      <c r="L1217" s="165"/>
      <c r="M1217" s="165"/>
      <c r="N1217" s="165"/>
      <c r="O1217" s="165"/>
      <c r="P1217" s="165"/>
      <c r="Q1217" s="165"/>
      <c r="R1217" s="165"/>
      <c r="S1217" s="165"/>
      <c r="T1217" s="165"/>
      <c r="U1217" s="165"/>
      <c r="V1217" s="165"/>
      <c r="W1217" s="165"/>
      <c r="X1217" s="165"/>
    </row>
    <row r="1218" ht="18.75" customHeight="1">
      <c r="A1218" s="165">
        <v>1216.0</v>
      </c>
      <c r="B1218" s="165" t="s">
        <v>16679</v>
      </c>
      <c r="C1218" s="165"/>
      <c r="D1218" s="165"/>
      <c r="E1218" s="165"/>
      <c r="F1218" s="165"/>
      <c r="G1218" s="165"/>
      <c r="H1218" s="165"/>
      <c r="I1218" s="165"/>
      <c r="J1218" s="165"/>
      <c r="K1218" s="165"/>
      <c r="L1218" s="165"/>
      <c r="M1218" s="165"/>
      <c r="N1218" s="165"/>
      <c r="O1218" s="165"/>
      <c r="P1218" s="165"/>
      <c r="Q1218" s="165"/>
      <c r="R1218" s="165"/>
      <c r="S1218" s="165"/>
      <c r="T1218" s="165"/>
      <c r="U1218" s="165"/>
      <c r="V1218" s="165"/>
      <c r="W1218" s="165"/>
      <c r="X1218" s="165"/>
    </row>
    <row r="1219" ht="18.75" customHeight="1">
      <c r="A1219" s="165">
        <v>1217.0</v>
      </c>
      <c r="B1219" s="167" t="s">
        <v>16680</v>
      </c>
      <c r="C1219" s="165"/>
      <c r="D1219" s="165"/>
      <c r="E1219" s="165"/>
      <c r="F1219" s="165"/>
      <c r="G1219" s="165"/>
      <c r="H1219" s="165"/>
      <c r="I1219" s="165"/>
      <c r="J1219" s="165"/>
      <c r="K1219" s="165"/>
      <c r="L1219" s="165"/>
      <c r="M1219" s="165"/>
      <c r="N1219" s="165"/>
      <c r="O1219" s="165"/>
      <c r="P1219" s="165"/>
      <c r="Q1219" s="165"/>
      <c r="R1219" s="165"/>
      <c r="S1219" s="165"/>
      <c r="T1219" s="165"/>
      <c r="U1219" s="165"/>
      <c r="V1219" s="165"/>
      <c r="W1219" s="165"/>
      <c r="X1219" s="165"/>
    </row>
    <row r="1220" ht="18.75" customHeight="1">
      <c r="A1220" s="165">
        <v>1218.0</v>
      </c>
      <c r="B1220" s="167" t="s">
        <v>16681</v>
      </c>
      <c r="C1220" s="165"/>
      <c r="D1220" s="165"/>
      <c r="E1220" s="165"/>
      <c r="F1220" s="165"/>
      <c r="G1220" s="165"/>
      <c r="H1220" s="165"/>
      <c r="I1220" s="165"/>
      <c r="J1220" s="165"/>
      <c r="K1220" s="165"/>
      <c r="L1220" s="165"/>
      <c r="M1220" s="165"/>
      <c r="N1220" s="165"/>
      <c r="O1220" s="165"/>
      <c r="P1220" s="165"/>
      <c r="Q1220" s="165"/>
      <c r="R1220" s="165"/>
      <c r="S1220" s="165"/>
      <c r="T1220" s="165"/>
      <c r="U1220" s="165"/>
      <c r="V1220" s="165"/>
      <c r="W1220" s="165"/>
      <c r="X1220" s="165"/>
    </row>
    <row r="1221" ht="18.75" customHeight="1">
      <c r="A1221" s="165">
        <v>1219.0</v>
      </c>
      <c r="B1221" s="165" t="s">
        <v>16682</v>
      </c>
      <c r="C1221" s="165"/>
      <c r="D1221" s="165"/>
      <c r="E1221" s="165"/>
      <c r="F1221" s="165"/>
      <c r="G1221" s="165"/>
      <c r="H1221" s="165"/>
      <c r="I1221" s="165"/>
      <c r="J1221" s="165"/>
      <c r="K1221" s="165"/>
      <c r="L1221" s="165"/>
      <c r="M1221" s="165"/>
      <c r="N1221" s="165"/>
      <c r="O1221" s="165"/>
      <c r="P1221" s="165"/>
      <c r="Q1221" s="165"/>
      <c r="R1221" s="165"/>
      <c r="S1221" s="165"/>
      <c r="T1221" s="165"/>
      <c r="U1221" s="165"/>
      <c r="V1221" s="165"/>
      <c r="W1221" s="165"/>
      <c r="X1221" s="165"/>
    </row>
    <row r="1222" ht="18.75" customHeight="1">
      <c r="A1222" s="165">
        <v>1220.0</v>
      </c>
      <c r="B1222" s="165" t="s">
        <v>16683</v>
      </c>
      <c r="C1222" s="165"/>
      <c r="D1222" s="165"/>
      <c r="E1222" s="165"/>
      <c r="F1222" s="165"/>
      <c r="G1222" s="165"/>
      <c r="H1222" s="165"/>
      <c r="I1222" s="165"/>
      <c r="J1222" s="165"/>
      <c r="K1222" s="165"/>
      <c r="L1222" s="165"/>
      <c r="M1222" s="165"/>
      <c r="N1222" s="165"/>
      <c r="O1222" s="165"/>
      <c r="P1222" s="165"/>
      <c r="Q1222" s="165"/>
      <c r="R1222" s="165"/>
      <c r="S1222" s="165"/>
      <c r="T1222" s="165"/>
      <c r="U1222" s="165"/>
      <c r="V1222" s="165"/>
      <c r="W1222" s="165"/>
      <c r="X1222" s="165"/>
    </row>
    <row r="1223" ht="18.75" customHeight="1">
      <c r="A1223" s="165">
        <v>1221.0</v>
      </c>
      <c r="B1223" s="165" t="s">
        <v>16684</v>
      </c>
      <c r="C1223" s="165"/>
      <c r="D1223" s="165"/>
      <c r="E1223" s="165"/>
      <c r="F1223" s="165"/>
      <c r="G1223" s="165"/>
      <c r="H1223" s="165"/>
      <c r="I1223" s="165"/>
      <c r="J1223" s="165"/>
      <c r="K1223" s="165"/>
      <c r="L1223" s="165"/>
      <c r="M1223" s="165"/>
      <c r="N1223" s="165"/>
      <c r="O1223" s="165"/>
      <c r="P1223" s="165"/>
      <c r="Q1223" s="165"/>
      <c r="R1223" s="165"/>
      <c r="S1223" s="165"/>
      <c r="T1223" s="165"/>
      <c r="U1223" s="165"/>
      <c r="V1223" s="165"/>
      <c r="W1223" s="165"/>
      <c r="X1223" s="165"/>
    </row>
    <row r="1224" ht="18.75" customHeight="1">
      <c r="A1224" s="165">
        <v>1222.0</v>
      </c>
      <c r="B1224" s="165" t="s">
        <v>16685</v>
      </c>
      <c r="C1224" s="165"/>
      <c r="D1224" s="165"/>
      <c r="E1224" s="165"/>
      <c r="F1224" s="165"/>
      <c r="G1224" s="165"/>
      <c r="H1224" s="165"/>
      <c r="I1224" s="165"/>
      <c r="J1224" s="165"/>
      <c r="K1224" s="165"/>
      <c r="L1224" s="165"/>
      <c r="M1224" s="165"/>
      <c r="N1224" s="165"/>
      <c r="O1224" s="165"/>
      <c r="P1224" s="165"/>
      <c r="Q1224" s="165"/>
      <c r="R1224" s="165"/>
      <c r="S1224" s="165"/>
      <c r="T1224" s="165"/>
      <c r="U1224" s="165"/>
      <c r="V1224" s="165"/>
      <c r="W1224" s="165"/>
      <c r="X1224" s="165"/>
    </row>
    <row r="1225" ht="18.75" customHeight="1">
      <c r="A1225" s="165">
        <v>1223.0</v>
      </c>
      <c r="B1225" s="165" t="s">
        <v>16686</v>
      </c>
      <c r="C1225" s="165"/>
      <c r="D1225" s="165"/>
      <c r="E1225" s="165"/>
      <c r="F1225" s="165"/>
      <c r="G1225" s="165"/>
      <c r="H1225" s="165"/>
      <c r="I1225" s="165"/>
      <c r="J1225" s="165"/>
      <c r="K1225" s="165"/>
      <c r="L1225" s="165"/>
      <c r="M1225" s="165"/>
      <c r="N1225" s="165"/>
      <c r="O1225" s="165"/>
      <c r="P1225" s="165"/>
      <c r="Q1225" s="165"/>
      <c r="R1225" s="165"/>
      <c r="S1225" s="165"/>
      <c r="T1225" s="165"/>
      <c r="U1225" s="165"/>
      <c r="V1225" s="165"/>
      <c r="W1225" s="165"/>
      <c r="X1225" s="165"/>
    </row>
    <row r="1226" ht="18.75" customHeight="1">
      <c r="A1226" s="165">
        <v>1224.0</v>
      </c>
      <c r="B1226" s="165" t="s">
        <v>16687</v>
      </c>
      <c r="C1226" s="165"/>
      <c r="D1226" s="165"/>
      <c r="E1226" s="165"/>
      <c r="F1226" s="165"/>
      <c r="G1226" s="165"/>
      <c r="H1226" s="165"/>
      <c r="I1226" s="165"/>
      <c r="J1226" s="165"/>
      <c r="K1226" s="165"/>
      <c r="L1226" s="165"/>
      <c r="M1226" s="165"/>
      <c r="N1226" s="165"/>
      <c r="O1226" s="165"/>
      <c r="P1226" s="165"/>
      <c r="Q1226" s="165"/>
      <c r="R1226" s="165"/>
      <c r="S1226" s="165"/>
      <c r="T1226" s="165"/>
      <c r="U1226" s="165"/>
      <c r="V1226" s="165"/>
      <c r="W1226" s="165"/>
      <c r="X1226" s="165"/>
    </row>
    <row r="1227" ht="18.75" customHeight="1">
      <c r="A1227" s="165">
        <v>1225.0</v>
      </c>
      <c r="B1227" s="165" t="s">
        <v>16688</v>
      </c>
      <c r="C1227" s="165"/>
      <c r="D1227" s="165"/>
      <c r="E1227" s="165"/>
      <c r="F1227" s="165"/>
      <c r="G1227" s="165"/>
      <c r="H1227" s="165"/>
      <c r="I1227" s="165"/>
      <c r="J1227" s="165"/>
      <c r="K1227" s="165"/>
      <c r="L1227" s="165"/>
      <c r="M1227" s="165"/>
      <c r="N1227" s="165"/>
      <c r="O1227" s="165"/>
      <c r="P1227" s="165"/>
      <c r="Q1227" s="165"/>
      <c r="R1227" s="165"/>
      <c r="S1227" s="165"/>
      <c r="T1227" s="165"/>
      <c r="U1227" s="165"/>
      <c r="V1227" s="165"/>
      <c r="W1227" s="165"/>
      <c r="X1227" s="165"/>
    </row>
    <row r="1228" ht="18.75" customHeight="1">
      <c r="A1228" s="165">
        <v>1226.0</v>
      </c>
      <c r="B1228" s="165" t="s">
        <v>16689</v>
      </c>
      <c r="C1228" s="165"/>
      <c r="D1228" s="165"/>
      <c r="E1228" s="165"/>
      <c r="F1228" s="165"/>
      <c r="G1228" s="165"/>
      <c r="H1228" s="165"/>
      <c r="I1228" s="165"/>
      <c r="J1228" s="165"/>
      <c r="K1228" s="165"/>
      <c r="L1228" s="165"/>
      <c r="M1228" s="165"/>
      <c r="N1228" s="165"/>
      <c r="O1228" s="165"/>
      <c r="P1228" s="165"/>
      <c r="Q1228" s="165"/>
      <c r="R1228" s="165"/>
      <c r="S1228" s="165"/>
      <c r="T1228" s="165"/>
      <c r="U1228" s="165"/>
      <c r="V1228" s="165"/>
      <c r="W1228" s="165"/>
      <c r="X1228" s="165"/>
    </row>
    <row r="1229" ht="18.75" customHeight="1">
      <c r="A1229" s="165">
        <v>1227.0</v>
      </c>
      <c r="B1229" s="165" t="s">
        <v>16690</v>
      </c>
      <c r="C1229" s="165"/>
      <c r="D1229" s="165"/>
      <c r="E1229" s="165"/>
      <c r="F1229" s="165"/>
      <c r="G1229" s="165"/>
      <c r="H1229" s="165"/>
      <c r="I1229" s="165"/>
      <c r="J1229" s="165"/>
      <c r="K1229" s="165"/>
      <c r="L1229" s="165"/>
      <c r="M1229" s="165"/>
      <c r="N1229" s="165"/>
      <c r="O1229" s="165"/>
      <c r="P1229" s="165"/>
      <c r="Q1229" s="165"/>
      <c r="R1229" s="165"/>
      <c r="S1229" s="165"/>
      <c r="T1229" s="165"/>
      <c r="U1229" s="165"/>
      <c r="V1229" s="165"/>
      <c r="W1229" s="165"/>
      <c r="X1229" s="165"/>
    </row>
    <row r="1230" ht="18.75" customHeight="1">
      <c r="A1230" s="165">
        <v>1228.0</v>
      </c>
      <c r="B1230" s="165" t="s">
        <v>16691</v>
      </c>
      <c r="C1230" s="165"/>
      <c r="D1230" s="165"/>
      <c r="E1230" s="165"/>
      <c r="F1230" s="165"/>
      <c r="G1230" s="165"/>
      <c r="H1230" s="165"/>
      <c r="I1230" s="165"/>
      <c r="J1230" s="165"/>
      <c r="K1230" s="165"/>
      <c r="L1230" s="165"/>
      <c r="M1230" s="165"/>
      <c r="N1230" s="165"/>
      <c r="O1230" s="165"/>
      <c r="P1230" s="165"/>
      <c r="Q1230" s="165"/>
      <c r="R1230" s="165"/>
      <c r="S1230" s="165"/>
      <c r="T1230" s="165"/>
      <c r="U1230" s="165"/>
      <c r="V1230" s="165"/>
      <c r="W1230" s="165"/>
      <c r="X1230" s="165"/>
    </row>
    <row r="1231" ht="18.75" customHeight="1">
      <c r="A1231" s="165">
        <v>1229.0</v>
      </c>
      <c r="B1231" s="165" t="s">
        <v>16692</v>
      </c>
      <c r="C1231" s="165"/>
      <c r="D1231" s="165"/>
      <c r="E1231" s="165"/>
      <c r="F1231" s="165"/>
      <c r="G1231" s="165"/>
      <c r="H1231" s="165"/>
      <c r="I1231" s="165"/>
      <c r="J1231" s="165"/>
      <c r="K1231" s="165"/>
      <c r="L1231" s="165"/>
      <c r="M1231" s="165"/>
      <c r="N1231" s="165"/>
      <c r="O1231" s="165"/>
      <c r="P1231" s="165"/>
      <c r="Q1231" s="165"/>
      <c r="R1231" s="165"/>
      <c r="S1231" s="165"/>
      <c r="T1231" s="165"/>
      <c r="U1231" s="165"/>
      <c r="V1231" s="165"/>
      <c r="W1231" s="165"/>
      <c r="X1231" s="165"/>
    </row>
    <row r="1232" ht="18.75" customHeight="1">
      <c r="A1232" s="165">
        <v>1230.0</v>
      </c>
      <c r="B1232" s="167" t="s">
        <v>16693</v>
      </c>
      <c r="C1232" s="165"/>
      <c r="D1232" s="165"/>
      <c r="E1232" s="165"/>
      <c r="F1232" s="165"/>
      <c r="G1232" s="165"/>
      <c r="H1232" s="165"/>
      <c r="I1232" s="165"/>
      <c r="J1232" s="165"/>
      <c r="K1232" s="165"/>
      <c r="L1232" s="165"/>
      <c r="M1232" s="165"/>
      <c r="N1232" s="165"/>
      <c r="O1232" s="165"/>
      <c r="P1232" s="165"/>
      <c r="Q1232" s="165"/>
      <c r="R1232" s="165"/>
      <c r="S1232" s="165"/>
      <c r="T1232" s="165"/>
      <c r="U1232" s="165"/>
      <c r="V1232" s="165"/>
      <c r="W1232" s="165"/>
      <c r="X1232" s="165"/>
    </row>
    <row r="1233" ht="18.75" customHeight="1">
      <c r="A1233" s="165">
        <v>1231.0</v>
      </c>
      <c r="B1233" s="167" t="s">
        <v>16694</v>
      </c>
      <c r="C1233" s="165"/>
      <c r="D1233" s="165"/>
      <c r="E1233" s="165"/>
      <c r="F1233" s="165"/>
      <c r="G1233" s="165"/>
      <c r="H1233" s="165"/>
      <c r="I1233" s="165"/>
      <c r="J1233" s="165"/>
      <c r="K1233" s="165"/>
      <c r="L1233" s="165"/>
      <c r="M1233" s="165"/>
      <c r="N1233" s="165"/>
      <c r="O1233" s="165"/>
      <c r="P1233" s="165"/>
      <c r="Q1233" s="165"/>
      <c r="R1233" s="165"/>
      <c r="S1233" s="165"/>
      <c r="T1233" s="165"/>
      <c r="U1233" s="165"/>
      <c r="V1233" s="165"/>
      <c r="W1233" s="165"/>
      <c r="X1233" s="165"/>
    </row>
    <row r="1234" ht="18.75" customHeight="1">
      <c r="A1234" s="165">
        <v>1232.0</v>
      </c>
      <c r="B1234" s="167" t="s">
        <v>16695</v>
      </c>
      <c r="C1234" s="165"/>
      <c r="D1234" s="165"/>
      <c r="E1234" s="165"/>
      <c r="F1234" s="165"/>
      <c r="G1234" s="165"/>
      <c r="H1234" s="165"/>
      <c r="I1234" s="165"/>
      <c r="J1234" s="165"/>
      <c r="K1234" s="165"/>
      <c r="L1234" s="165"/>
      <c r="M1234" s="165"/>
      <c r="N1234" s="165"/>
      <c r="O1234" s="165"/>
      <c r="P1234" s="165"/>
      <c r="Q1234" s="165"/>
      <c r="R1234" s="165"/>
      <c r="S1234" s="165"/>
      <c r="T1234" s="165"/>
      <c r="U1234" s="165"/>
      <c r="V1234" s="165"/>
      <c r="W1234" s="165"/>
      <c r="X1234" s="165"/>
    </row>
    <row r="1235" ht="18.75" customHeight="1">
      <c r="A1235" s="165">
        <v>1233.0</v>
      </c>
      <c r="B1235" s="165" t="s">
        <v>16696</v>
      </c>
      <c r="C1235" s="165"/>
      <c r="D1235" s="165"/>
      <c r="E1235" s="165"/>
      <c r="F1235" s="165"/>
      <c r="G1235" s="165"/>
      <c r="H1235" s="165"/>
      <c r="I1235" s="165"/>
      <c r="J1235" s="165"/>
      <c r="K1235" s="165"/>
      <c r="L1235" s="165"/>
      <c r="M1235" s="165"/>
      <c r="N1235" s="165"/>
      <c r="O1235" s="165"/>
      <c r="P1235" s="165"/>
      <c r="Q1235" s="165"/>
      <c r="R1235" s="165"/>
      <c r="S1235" s="165"/>
      <c r="T1235" s="165"/>
      <c r="U1235" s="165"/>
      <c r="V1235" s="165"/>
      <c r="W1235" s="165"/>
      <c r="X1235" s="165"/>
    </row>
    <row r="1236" ht="18.75" customHeight="1">
      <c r="A1236" s="165">
        <v>1234.0</v>
      </c>
      <c r="B1236" s="167" t="s">
        <v>16697</v>
      </c>
      <c r="C1236" s="165"/>
      <c r="D1236" s="165"/>
      <c r="E1236" s="165"/>
      <c r="F1236" s="165"/>
      <c r="G1236" s="165"/>
      <c r="H1236" s="165"/>
      <c r="I1236" s="165"/>
      <c r="J1236" s="165"/>
      <c r="K1236" s="165"/>
      <c r="L1236" s="165"/>
      <c r="M1236" s="165"/>
      <c r="N1236" s="165"/>
      <c r="O1236" s="165"/>
      <c r="P1236" s="165"/>
      <c r="Q1236" s="165"/>
      <c r="R1236" s="165"/>
      <c r="S1236" s="165"/>
      <c r="T1236" s="165"/>
      <c r="U1236" s="165"/>
      <c r="V1236" s="165"/>
      <c r="W1236" s="165"/>
      <c r="X1236" s="165"/>
    </row>
    <row r="1237" ht="18.75" customHeight="1">
      <c r="A1237" s="165">
        <v>1235.0</v>
      </c>
      <c r="B1237" s="165" t="s">
        <v>16698</v>
      </c>
      <c r="C1237" s="165"/>
      <c r="D1237" s="165"/>
      <c r="E1237" s="165"/>
      <c r="F1237" s="165"/>
      <c r="G1237" s="165"/>
      <c r="H1237" s="165"/>
      <c r="I1237" s="165"/>
      <c r="J1237" s="165"/>
      <c r="K1237" s="165"/>
      <c r="L1237" s="165"/>
      <c r="M1237" s="165"/>
      <c r="N1237" s="165"/>
      <c r="O1237" s="165"/>
      <c r="P1237" s="165"/>
      <c r="Q1237" s="165"/>
      <c r="R1237" s="165"/>
      <c r="S1237" s="165"/>
      <c r="T1237" s="165"/>
      <c r="U1237" s="165"/>
      <c r="V1237" s="165"/>
      <c r="W1237" s="165"/>
      <c r="X1237" s="165"/>
    </row>
    <row r="1238" ht="18.75" customHeight="1">
      <c r="A1238" s="165">
        <v>1236.0</v>
      </c>
      <c r="B1238" s="165" t="s">
        <v>16699</v>
      </c>
      <c r="C1238" s="165"/>
      <c r="D1238" s="165"/>
      <c r="E1238" s="165"/>
      <c r="F1238" s="165"/>
      <c r="G1238" s="165"/>
      <c r="H1238" s="165"/>
      <c r="I1238" s="165"/>
      <c r="J1238" s="165"/>
      <c r="K1238" s="165"/>
      <c r="L1238" s="165"/>
      <c r="M1238" s="165"/>
      <c r="N1238" s="165"/>
      <c r="O1238" s="165"/>
      <c r="P1238" s="165"/>
      <c r="Q1238" s="165"/>
      <c r="R1238" s="165"/>
      <c r="S1238" s="165"/>
      <c r="T1238" s="165"/>
      <c r="U1238" s="165"/>
      <c r="V1238" s="165"/>
      <c r="W1238" s="165"/>
      <c r="X1238" s="165"/>
    </row>
    <row r="1239" ht="18.75" customHeight="1">
      <c r="A1239" s="165">
        <v>1237.0</v>
      </c>
      <c r="B1239" s="165" t="s">
        <v>16700</v>
      </c>
      <c r="C1239" s="165"/>
      <c r="D1239" s="165"/>
      <c r="E1239" s="165"/>
      <c r="F1239" s="165"/>
      <c r="G1239" s="165"/>
      <c r="H1239" s="165"/>
      <c r="I1239" s="165"/>
      <c r="J1239" s="165"/>
      <c r="K1239" s="165"/>
      <c r="L1239" s="165"/>
      <c r="M1239" s="165"/>
      <c r="N1239" s="165"/>
      <c r="O1239" s="165"/>
      <c r="P1239" s="165"/>
      <c r="Q1239" s="165"/>
      <c r="R1239" s="165"/>
      <c r="S1239" s="165"/>
      <c r="T1239" s="165"/>
      <c r="U1239" s="165"/>
      <c r="V1239" s="165"/>
      <c r="W1239" s="165"/>
      <c r="X1239" s="165"/>
    </row>
    <row r="1240" ht="18.75" customHeight="1">
      <c r="A1240" s="165">
        <v>1238.0</v>
      </c>
      <c r="B1240" s="165" t="s">
        <v>16701</v>
      </c>
      <c r="C1240" s="165"/>
      <c r="D1240" s="165"/>
      <c r="E1240" s="165"/>
      <c r="F1240" s="165"/>
      <c r="G1240" s="165"/>
      <c r="H1240" s="165"/>
      <c r="I1240" s="165"/>
      <c r="J1240" s="165"/>
      <c r="K1240" s="165"/>
      <c r="L1240" s="165"/>
      <c r="M1240" s="165"/>
      <c r="N1240" s="165"/>
      <c r="O1240" s="165"/>
      <c r="P1240" s="165"/>
      <c r="Q1240" s="165"/>
      <c r="R1240" s="165"/>
      <c r="S1240" s="165"/>
      <c r="T1240" s="165"/>
      <c r="U1240" s="165"/>
      <c r="V1240" s="165"/>
      <c r="W1240" s="165"/>
      <c r="X1240" s="165"/>
    </row>
    <row r="1241" ht="18.75" customHeight="1">
      <c r="A1241" s="165">
        <v>1239.0</v>
      </c>
      <c r="B1241" s="165" t="s">
        <v>16702</v>
      </c>
      <c r="C1241" s="165"/>
      <c r="D1241" s="165"/>
      <c r="E1241" s="165"/>
      <c r="F1241" s="165"/>
      <c r="G1241" s="165"/>
      <c r="H1241" s="165"/>
      <c r="I1241" s="165"/>
      <c r="J1241" s="165"/>
      <c r="K1241" s="165"/>
      <c r="L1241" s="165"/>
      <c r="M1241" s="165"/>
      <c r="N1241" s="165"/>
      <c r="O1241" s="165"/>
      <c r="P1241" s="165"/>
      <c r="Q1241" s="165"/>
      <c r="R1241" s="165"/>
      <c r="S1241" s="165"/>
      <c r="T1241" s="165"/>
      <c r="U1241" s="165"/>
      <c r="V1241" s="165"/>
      <c r="W1241" s="165"/>
      <c r="X1241" s="165"/>
    </row>
    <row r="1242" ht="18.75" customHeight="1">
      <c r="A1242" s="165">
        <v>1240.0</v>
      </c>
      <c r="B1242" s="167" t="s">
        <v>16703</v>
      </c>
      <c r="C1242" s="165"/>
      <c r="D1242" s="165"/>
      <c r="E1242" s="165"/>
      <c r="F1242" s="165"/>
      <c r="G1242" s="165"/>
      <c r="H1242" s="165"/>
      <c r="I1242" s="165"/>
      <c r="J1242" s="165"/>
      <c r="K1242" s="165"/>
      <c r="L1242" s="165"/>
      <c r="M1242" s="165"/>
      <c r="N1242" s="165"/>
      <c r="O1242" s="165"/>
      <c r="P1242" s="165"/>
      <c r="Q1242" s="165"/>
      <c r="R1242" s="165"/>
      <c r="S1242" s="165"/>
      <c r="T1242" s="165"/>
      <c r="U1242" s="165"/>
      <c r="V1242" s="165"/>
      <c r="W1242" s="165"/>
      <c r="X1242" s="165"/>
    </row>
    <row r="1243" ht="18.75" customHeight="1">
      <c r="A1243" s="165">
        <v>1241.0</v>
      </c>
      <c r="B1243" s="165" t="s">
        <v>16704</v>
      </c>
      <c r="C1243" s="165"/>
      <c r="D1243" s="165"/>
      <c r="E1243" s="165"/>
      <c r="F1243" s="165"/>
      <c r="G1243" s="165"/>
      <c r="H1243" s="165"/>
      <c r="I1243" s="165"/>
      <c r="J1243" s="165"/>
      <c r="K1243" s="165"/>
      <c r="L1243" s="165"/>
      <c r="M1243" s="165"/>
      <c r="N1243" s="165"/>
      <c r="O1243" s="165"/>
      <c r="P1243" s="165"/>
      <c r="Q1243" s="165"/>
      <c r="R1243" s="165"/>
      <c r="S1243" s="165"/>
      <c r="T1243" s="165"/>
      <c r="U1243" s="165"/>
      <c r="V1243" s="165"/>
      <c r="W1243" s="165"/>
      <c r="X1243" s="165"/>
    </row>
    <row r="1244" ht="18.75" customHeight="1">
      <c r="A1244" s="165">
        <v>1242.0</v>
      </c>
      <c r="B1244" s="165" t="s">
        <v>16705</v>
      </c>
      <c r="C1244" s="165"/>
      <c r="D1244" s="165"/>
      <c r="E1244" s="165"/>
      <c r="F1244" s="165"/>
      <c r="G1244" s="165"/>
      <c r="H1244" s="165"/>
      <c r="I1244" s="165"/>
      <c r="J1244" s="165"/>
      <c r="K1244" s="165"/>
      <c r="L1244" s="165"/>
      <c r="M1244" s="165"/>
      <c r="N1244" s="165"/>
      <c r="O1244" s="165"/>
      <c r="P1244" s="165"/>
      <c r="Q1244" s="165"/>
      <c r="R1244" s="165"/>
      <c r="S1244" s="165"/>
      <c r="T1244" s="165"/>
      <c r="U1244" s="165"/>
      <c r="V1244" s="165"/>
      <c r="W1244" s="165"/>
      <c r="X1244" s="165"/>
    </row>
    <row r="1245" ht="18.75" customHeight="1">
      <c r="A1245" s="165">
        <v>1243.0</v>
      </c>
      <c r="B1245" s="165" t="s">
        <v>16706</v>
      </c>
      <c r="C1245" s="165"/>
      <c r="D1245" s="165"/>
      <c r="E1245" s="165"/>
      <c r="F1245" s="165"/>
      <c r="G1245" s="165"/>
      <c r="H1245" s="165"/>
      <c r="I1245" s="165"/>
      <c r="J1245" s="165"/>
      <c r="K1245" s="165"/>
      <c r="L1245" s="165"/>
      <c r="M1245" s="165"/>
      <c r="N1245" s="165"/>
      <c r="O1245" s="165"/>
      <c r="P1245" s="165"/>
      <c r="Q1245" s="165"/>
      <c r="R1245" s="165"/>
      <c r="S1245" s="165"/>
      <c r="T1245" s="165"/>
      <c r="U1245" s="165"/>
      <c r="V1245" s="165"/>
      <c r="W1245" s="165"/>
      <c r="X1245" s="165"/>
    </row>
    <row r="1246" ht="18.75" customHeight="1">
      <c r="A1246" s="165">
        <v>1244.0</v>
      </c>
      <c r="B1246" s="167" t="s">
        <v>16707</v>
      </c>
      <c r="C1246" s="165"/>
      <c r="D1246" s="165"/>
      <c r="E1246" s="165"/>
      <c r="F1246" s="165"/>
      <c r="G1246" s="165"/>
      <c r="H1246" s="165"/>
      <c r="I1246" s="165"/>
      <c r="J1246" s="165"/>
      <c r="K1246" s="165"/>
      <c r="L1246" s="165"/>
      <c r="M1246" s="165"/>
      <c r="N1246" s="165"/>
      <c r="O1246" s="165"/>
      <c r="P1246" s="165"/>
      <c r="Q1246" s="165"/>
      <c r="R1246" s="165"/>
      <c r="S1246" s="165"/>
      <c r="T1246" s="165"/>
      <c r="U1246" s="165"/>
      <c r="V1246" s="165"/>
      <c r="W1246" s="165"/>
      <c r="X1246" s="165"/>
    </row>
    <row r="1247" ht="18.75" customHeight="1">
      <c r="A1247" s="165">
        <v>1245.0</v>
      </c>
      <c r="B1247" s="165" t="s">
        <v>16708</v>
      </c>
      <c r="C1247" s="165"/>
      <c r="D1247" s="165"/>
      <c r="E1247" s="165"/>
      <c r="F1247" s="165"/>
      <c r="G1247" s="165"/>
      <c r="H1247" s="165"/>
      <c r="I1247" s="165"/>
      <c r="J1247" s="165"/>
      <c r="K1247" s="165"/>
      <c r="L1247" s="165"/>
      <c r="M1247" s="165"/>
      <c r="N1247" s="165"/>
      <c r="O1247" s="165"/>
      <c r="P1247" s="165"/>
      <c r="Q1247" s="165"/>
      <c r="R1247" s="165"/>
      <c r="S1247" s="165"/>
      <c r="T1247" s="165"/>
      <c r="U1247" s="165"/>
      <c r="V1247" s="165"/>
      <c r="W1247" s="165"/>
      <c r="X1247" s="165"/>
    </row>
    <row r="1248" ht="18.75" customHeight="1">
      <c r="A1248" s="165">
        <v>1246.0</v>
      </c>
      <c r="B1248" s="167" t="s">
        <v>16709</v>
      </c>
      <c r="C1248" s="165"/>
      <c r="D1248" s="165"/>
      <c r="E1248" s="165"/>
      <c r="F1248" s="165"/>
      <c r="G1248" s="165"/>
      <c r="H1248" s="165"/>
      <c r="I1248" s="165"/>
      <c r="J1248" s="165"/>
      <c r="K1248" s="165"/>
      <c r="L1248" s="165"/>
      <c r="M1248" s="165"/>
      <c r="N1248" s="165"/>
      <c r="O1248" s="165"/>
      <c r="P1248" s="165"/>
      <c r="Q1248" s="165"/>
      <c r="R1248" s="165"/>
      <c r="S1248" s="165"/>
      <c r="T1248" s="165"/>
      <c r="U1248" s="165"/>
      <c r="V1248" s="165"/>
      <c r="W1248" s="165"/>
      <c r="X1248" s="165"/>
    </row>
    <row r="1249" ht="18.75" customHeight="1">
      <c r="A1249" s="165">
        <v>1247.0</v>
      </c>
      <c r="B1249" s="165" t="s">
        <v>16710</v>
      </c>
      <c r="C1249" s="165"/>
      <c r="D1249" s="165"/>
      <c r="E1249" s="165"/>
      <c r="F1249" s="165"/>
      <c r="G1249" s="165"/>
      <c r="H1249" s="165"/>
      <c r="I1249" s="165"/>
      <c r="J1249" s="165"/>
      <c r="K1249" s="165"/>
      <c r="L1249" s="165"/>
      <c r="M1249" s="165"/>
      <c r="N1249" s="165"/>
      <c r="O1249" s="165"/>
      <c r="P1249" s="165"/>
      <c r="Q1249" s="165"/>
      <c r="R1249" s="165"/>
      <c r="S1249" s="165"/>
      <c r="T1249" s="165"/>
      <c r="U1249" s="165"/>
      <c r="V1249" s="165"/>
      <c r="W1249" s="165"/>
      <c r="X1249" s="165"/>
    </row>
    <row r="1250" ht="18.75" customHeight="1">
      <c r="A1250" s="165">
        <v>1248.0</v>
      </c>
      <c r="B1250" s="165" t="s">
        <v>16711</v>
      </c>
      <c r="C1250" s="165"/>
      <c r="D1250" s="165"/>
      <c r="E1250" s="165"/>
      <c r="F1250" s="165"/>
      <c r="G1250" s="165"/>
      <c r="H1250" s="165"/>
      <c r="I1250" s="165"/>
      <c r="J1250" s="165"/>
      <c r="K1250" s="165"/>
      <c r="L1250" s="165"/>
      <c r="M1250" s="165"/>
      <c r="N1250" s="165"/>
      <c r="O1250" s="165"/>
      <c r="P1250" s="165"/>
      <c r="Q1250" s="165"/>
      <c r="R1250" s="165"/>
      <c r="S1250" s="165"/>
      <c r="T1250" s="165"/>
      <c r="U1250" s="165"/>
      <c r="V1250" s="165"/>
      <c r="W1250" s="165"/>
      <c r="X1250" s="165"/>
    </row>
    <row r="1251" ht="18.75" customHeight="1">
      <c r="A1251" s="165">
        <v>1249.0</v>
      </c>
      <c r="B1251" s="167" t="s">
        <v>16712</v>
      </c>
      <c r="C1251" s="165"/>
      <c r="D1251" s="165"/>
      <c r="E1251" s="165"/>
      <c r="F1251" s="165"/>
      <c r="G1251" s="165"/>
      <c r="H1251" s="165"/>
      <c r="I1251" s="165"/>
      <c r="J1251" s="165"/>
      <c r="K1251" s="165"/>
      <c r="L1251" s="165"/>
      <c r="M1251" s="165"/>
      <c r="N1251" s="165"/>
      <c r="O1251" s="165"/>
      <c r="P1251" s="165"/>
      <c r="Q1251" s="165"/>
      <c r="R1251" s="165"/>
      <c r="S1251" s="165"/>
      <c r="T1251" s="165"/>
      <c r="U1251" s="165"/>
      <c r="V1251" s="165"/>
      <c r="W1251" s="165"/>
      <c r="X1251" s="165"/>
    </row>
    <row r="1252" ht="18.75" customHeight="1">
      <c r="A1252" s="165">
        <v>1250.0</v>
      </c>
      <c r="B1252" s="167" t="s">
        <v>16713</v>
      </c>
      <c r="C1252" s="165"/>
      <c r="D1252" s="165"/>
      <c r="E1252" s="165"/>
      <c r="F1252" s="165"/>
      <c r="G1252" s="165"/>
      <c r="H1252" s="165"/>
      <c r="I1252" s="165"/>
      <c r="J1252" s="165"/>
      <c r="K1252" s="165"/>
      <c r="L1252" s="165"/>
      <c r="M1252" s="165"/>
      <c r="N1252" s="165"/>
      <c r="O1252" s="165"/>
      <c r="P1252" s="165"/>
      <c r="Q1252" s="165"/>
      <c r="R1252" s="165"/>
      <c r="S1252" s="165"/>
      <c r="T1252" s="165"/>
      <c r="U1252" s="165"/>
      <c r="V1252" s="165"/>
      <c r="W1252" s="165"/>
      <c r="X1252" s="165"/>
    </row>
    <row r="1253" ht="18.75" customHeight="1">
      <c r="A1253" s="165">
        <v>1251.0</v>
      </c>
      <c r="B1253" s="165" t="s">
        <v>16714</v>
      </c>
      <c r="C1253" s="165"/>
      <c r="D1253" s="165"/>
      <c r="E1253" s="165"/>
      <c r="F1253" s="165"/>
      <c r="G1253" s="165"/>
      <c r="H1253" s="165"/>
      <c r="I1253" s="165"/>
      <c r="J1253" s="165"/>
      <c r="K1253" s="165"/>
      <c r="L1253" s="165"/>
      <c r="M1253" s="165"/>
      <c r="N1253" s="165"/>
      <c r="O1253" s="165"/>
      <c r="P1253" s="165"/>
      <c r="Q1253" s="165"/>
      <c r="R1253" s="165"/>
      <c r="S1253" s="165"/>
      <c r="T1253" s="165"/>
      <c r="U1253" s="165"/>
      <c r="V1253" s="165"/>
      <c r="W1253" s="165"/>
      <c r="X1253" s="165"/>
    </row>
    <row r="1254" ht="18.75" customHeight="1">
      <c r="A1254" s="165">
        <v>1252.0</v>
      </c>
      <c r="B1254" s="165" t="s">
        <v>16715</v>
      </c>
      <c r="C1254" s="165"/>
      <c r="D1254" s="165"/>
      <c r="E1254" s="165"/>
      <c r="F1254" s="165"/>
      <c r="G1254" s="165"/>
      <c r="H1254" s="165"/>
      <c r="I1254" s="165"/>
      <c r="J1254" s="165"/>
      <c r="K1254" s="165"/>
      <c r="L1254" s="165"/>
      <c r="M1254" s="165"/>
      <c r="N1254" s="165"/>
      <c r="O1254" s="165"/>
      <c r="P1254" s="165"/>
      <c r="Q1254" s="165"/>
      <c r="R1254" s="165"/>
      <c r="S1254" s="165"/>
      <c r="T1254" s="165"/>
      <c r="U1254" s="165"/>
      <c r="V1254" s="165"/>
      <c r="W1254" s="165"/>
      <c r="X1254" s="165"/>
    </row>
    <row r="1255" ht="18.75" customHeight="1">
      <c r="A1255" s="165">
        <v>1253.0</v>
      </c>
      <c r="B1255" s="165" t="s">
        <v>16716</v>
      </c>
      <c r="C1255" s="165"/>
      <c r="D1255" s="165"/>
      <c r="E1255" s="165"/>
      <c r="F1255" s="165"/>
      <c r="G1255" s="165"/>
      <c r="H1255" s="165"/>
      <c r="I1255" s="165"/>
      <c r="J1255" s="165"/>
      <c r="K1255" s="165"/>
      <c r="L1255" s="165"/>
      <c r="M1255" s="165"/>
      <c r="N1255" s="165"/>
      <c r="O1255" s="165"/>
      <c r="P1255" s="165"/>
      <c r="Q1255" s="165"/>
      <c r="R1255" s="165"/>
      <c r="S1255" s="165"/>
      <c r="T1255" s="165"/>
      <c r="U1255" s="165"/>
      <c r="V1255" s="165"/>
      <c r="W1255" s="165"/>
      <c r="X1255" s="165"/>
    </row>
    <row r="1256" ht="18.75" customHeight="1">
      <c r="A1256" s="165">
        <v>1254.0</v>
      </c>
      <c r="B1256" s="165" t="s">
        <v>16717</v>
      </c>
      <c r="C1256" s="165"/>
      <c r="D1256" s="165"/>
      <c r="E1256" s="165"/>
      <c r="F1256" s="165"/>
      <c r="G1256" s="165"/>
      <c r="H1256" s="165"/>
      <c r="I1256" s="165"/>
      <c r="J1256" s="165"/>
      <c r="K1256" s="165"/>
      <c r="L1256" s="165"/>
      <c r="M1256" s="165"/>
      <c r="N1256" s="165"/>
      <c r="O1256" s="165"/>
      <c r="P1256" s="165"/>
      <c r="Q1256" s="165"/>
      <c r="R1256" s="165"/>
      <c r="S1256" s="165"/>
      <c r="T1256" s="165"/>
      <c r="U1256" s="165"/>
      <c r="V1256" s="165"/>
      <c r="W1256" s="165"/>
      <c r="X1256" s="165"/>
    </row>
    <row r="1257" ht="18.75" customHeight="1">
      <c r="A1257" s="165">
        <v>1255.0</v>
      </c>
      <c r="B1257" s="165" t="s">
        <v>16718</v>
      </c>
      <c r="C1257" s="165"/>
      <c r="D1257" s="165"/>
      <c r="E1257" s="165"/>
      <c r="F1257" s="165"/>
      <c r="G1257" s="165"/>
      <c r="H1257" s="165"/>
      <c r="I1257" s="165"/>
      <c r="J1257" s="165"/>
      <c r="K1257" s="165"/>
      <c r="L1257" s="165"/>
      <c r="M1257" s="165"/>
      <c r="N1257" s="165"/>
      <c r="O1257" s="165"/>
      <c r="P1257" s="165"/>
      <c r="Q1257" s="165"/>
      <c r="R1257" s="165"/>
      <c r="S1257" s="165"/>
      <c r="T1257" s="165"/>
      <c r="U1257" s="165"/>
      <c r="V1257" s="165"/>
      <c r="W1257" s="165"/>
      <c r="X1257" s="165"/>
    </row>
    <row r="1258" ht="18.75" customHeight="1">
      <c r="A1258" s="165">
        <v>1256.0</v>
      </c>
      <c r="B1258" s="167" t="s">
        <v>16719</v>
      </c>
      <c r="C1258" s="165"/>
      <c r="D1258" s="165"/>
      <c r="E1258" s="165"/>
      <c r="F1258" s="165"/>
      <c r="G1258" s="165"/>
      <c r="H1258" s="165"/>
      <c r="I1258" s="165"/>
      <c r="J1258" s="165"/>
      <c r="K1258" s="165"/>
      <c r="L1258" s="165"/>
      <c r="M1258" s="165"/>
      <c r="N1258" s="165"/>
      <c r="O1258" s="165"/>
      <c r="P1258" s="165"/>
      <c r="Q1258" s="165"/>
      <c r="R1258" s="165"/>
      <c r="S1258" s="165"/>
      <c r="T1258" s="165"/>
      <c r="U1258" s="165"/>
      <c r="V1258" s="165"/>
      <c r="W1258" s="165"/>
      <c r="X1258" s="165"/>
    </row>
    <row r="1259" ht="18.75" customHeight="1">
      <c r="A1259" s="165">
        <v>1257.0</v>
      </c>
      <c r="B1259" s="167" t="s">
        <v>16720</v>
      </c>
      <c r="C1259" s="165"/>
      <c r="D1259" s="165"/>
      <c r="E1259" s="165"/>
      <c r="F1259" s="165"/>
      <c r="G1259" s="165"/>
      <c r="H1259" s="165"/>
      <c r="I1259" s="165"/>
      <c r="J1259" s="165"/>
      <c r="K1259" s="165"/>
      <c r="L1259" s="165"/>
      <c r="M1259" s="165"/>
      <c r="N1259" s="165"/>
      <c r="O1259" s="165"/>
      <c r="P1259" s="165"/>
      <c r="Q1259" s="165"/>
      <c r="R1259" s="165"/>
      <c r="S1259" s="165"/>
      <c r="T1259" s="165"/>
      <c r="U1259" s="165"/>
      <c r="V1259" s="165"/>
      <c r="W1259" s="165"/>
      <c r="X1259" s="165"/>
    </row>
    <row r="1260" ht="18.75" customHeight="1">
      <c r="A1260" s="165">
        <v>1258.0</v>
      </c>
      <c r="B1260" s="167" t="s">
        <v>16721</v>
      </c>
      <c r="C1260" s="165"/>
      <c r="D1260" s="165"/>
      <c r="E1260" s="165"/>
      <c r="F1260" s="165"/>
      <c r="G1260" s="165"/>
      <c r="H1260" s="165"/>
      <c r="I1260" s="165"/>
      <c r="J1260" s="165"/>
      <c r="K1260" s="165"/>
      <c r="L1260" s="165"/>
      <c r="M1260" s="165"/>
      <c r="N1260" s="165"/>
      <c r="O1260" s="165"/>
      <c r="P1260" s="165"/>
      <c r="Q1260" s="165"/>
      <c r="R1260" s="165"/>
      <c r="S1260" s="165"/>
      <c r="T1260" s="165"/>
      <c r="U1260" s="165"/>
      <c r="V1260" s="165"/>
      <c r="W1260" s="165"/>
      <c r="X1260" s="165"/>
    </row>
    <row r="1261" ht="18.75" customHeight="1">
      <c r="A1261" s="165">
        <v>1259.0</v>
      </c>
      <c r="B1261" s="167" t="s">
        <v>16722</v>
      </c>
      <c r="C1261" s="165"/>
      <c r="D1261" s="165"/>
      <c r="E1261" s="165"/>
      <c r="F1261" s="165"/>
      <c r="G1261" s="165"/>
      <c r="H1261" s="165"/>
      <c r="I1261" s="165"/>
      <c r="J1261" s="165"/>
      <c r="K1261" s="165"/>
      <c r="L1261" s="165"/>
      <c r="M1261" s="165"/>
      <c r="N1261" s="165"/>
      <c r="O1261" s="165"/>
      <c r="P1261" s="165"/>
      <c r="Q1261" s="165"/>
      <c r="R1261" s="165"/>
      <c r="S1261" s="165"/>
      <c r="T1261" s="165"/>
      <c r="U1261" s="165"/>
      <c r="V1261" s="165"/>
      <c r="W1261" s="165"/>
      <c r="X1261" s="165"/>
    </row>
    <row r="1262" ht="18.75" customHeight="1">
      <c r="A1262" s="165">
        <v>1260.0</v>
      </c>
      <c r="B1262" s="167" t="s">
        <v>16723</v>
      </c>
      <c r="C1262" s="165"/>
      <c r="D1262" s="165"/>
      <c r="E1262" s="165"/>
      <c r="F1262" s="165"/>
      <c r="G1262" s="165"/>
      <c r="H1262" s="165"/>
      <c r="I1262" s="165"/>
      <c r="J1262" s="165"/>
      <c r="K1262" s="165"/>
      <c r="L1262" s="165"/>
      <c r="M1262" s="165"/>
      <c r="N1262" s="165"/>
      <c r="O1262" s="165"/>
      <c r="P1262" s="165"/>
      <c r="Q1262" s="165"/>
      <c r="R1262" s="165"/>
      <c r="S1262" s="165"/>
      <c r="T1262" s="165"/>
      <c r="U1262" s="165"/>
      <c r="V1262" s="165"/>
      <c r="W1262" s="165"/>
      <c r="X1262" s="165"/>
    </row>
    <row r="1263" ht="18.75" customHeight="1">
      <c r="A1263" s="165">
        <v>1261.0</v>
      </c>
      <c r="B1263" s="167" t="s">
        <v>16724</v>
      </c>
      <c r="C1263" s="165"/>
      <c r="D1263" s="165"/>
      <c r="E1263" s="165"/>
      <c r="F1263" s="165"/>
      <c r="G1263" s="165"/>
      <c r="H1263" s="165"/>
      <c r="I1263" s="165"/>
      <c r="J1263" s="165"/>
      <c r="K1263" s="165"/>
      <c r="L1263" s="165"/>
      <c r="M1263" s="165"/>
      <c r="N1263" s="165"/>
      <c r="O1263" s="165"/>
      <c r="P1263" s="165"/>
      <c r="Q1263" s="165"/>
      <c r="R1263" s="165"/>
      <c r="S1263" s="165"/>
      <c r="T1263" s="165"/>
      <c r="U1263" s="165"/>
      <c r="V1263" s="165"/>
      <c r="W1263" s="165"/>
      <c r="X1263" s="165"/>
    </row>
    <row r="1264" ht="18.75" customHeight="1">
      <c r="A1264" s="165">
        <v>1262.0</v>
      </c>
      <c r="B1264" s="167" t="s">
        <v>16725</v>
      </c>
      <c r="C1264" s="165"/>
      <c r="D1264" s="165"/>
      <c r="E1264" s="165"/>
      <c r="F1264" s="165"/>
      <c r="G1264" s="165"/>
      <c r="H1264" s="165"/>
      <c r="I1264" s="165"/>
      <c r="J1264" s="165"/>
      <c r="K1264" s="165"/>
      <c r="L1264" s="165"/>
      <c r="M1264" s="165"/>
      <c r="N1264" s="165"/>
      <c r="O1264" s="165"/>
      <c r="P1264" s="165"/>
      <c r="Q1264" s="165"/>
      <c r="R1264" s="165"/>
      <c r="S1264" s="165"/>
      <c r="T1264" s="165"/>
      <c r="U1264" s="165"/>
      <c r="V1264" s="165"/>
      <c r="W1264" s="165"/>
      <c r="X1264" s="165"/>
    </row>
    <row r="1265" ht="18.75" customHeight="1">
      <c r="A1265" s="165">
        <v>1263.0</v>
      </c>
      <c r="B1265" s="165" t="s">
        <v>16726</v>
      </c>
      <c r="C1265" s="165"/>
      <c r="D1265" s="165"/>
      <c r="E1265" s="165"/>
      <c r="F1265" s="165"/>
      <c r="G1265" s="165"/>
      <c r="H1265" s="165"/>
      <c r="I1265" s="165"/>
      <c r="J1265" s="165"/>
      <c r="K1265" s="165"/>
      <c r="L1265" s="165"/>
      <c r="M1265" s="165"/>
      <c r="N1265" s="165"/>
      <c r="O1265" s="165"/>
      <c r="P1265" s="165"/>
      <c r="Q1265" s="165"/>
      <c r="R1265" s="165"/>
      <c r="S1265" s="165"/>
      <c r="T1265" s="165"/>
      <c r="U1265" s="165"/>
      <c r="V1265" s="165"/>
      <c r="W1265" s="165"/>
      <c r="X1265" s="165"/>
    </row>
    <row r="1266" ht="18.75" customHeight="1">
      <c r="A1266" s="165">
        <v>1264.0</v>
      </c>
      <c r="B1266" s="165" t="s">
        <v>16727</v>
      </c>
      <c r="C1266" s="165"/>
      <c r="D1266" s="165"/>
      <c r="E1266" s="165"/>
      <c r="F1266" s="165"/>
      <c r="G1266" s="165"/>
      <c r="H1266" s="165"/>
      <c r="I1266" s="165"/>
      <c r="J1266" s="165"/>
      <c r="K1266" s="165"/>
      <c r="L1266" s="165"/>
      <c r="M1266" s="165"/>
      <c r="N1266" s="165"/>
      <c r="O1266" s="165"/>
      <c r="P1266" s="165"/>
      <c r="Q1266" s="165"/>
      <c r="R1266" s="165"/>
      <c r="S1266" s="165"/>
      <c r="T1266" s="165"/>
      <c r="U1266" s="165"/>
      <c r="V1266" s="165"/>
      <c r="W1266" s="165"/>
      <c r="X1266" s="165"/>
    </row>
    <row r="1267" ht="18.75" customHeight="1">
      <c r="A1267" s="165">
        <v>1265.0</v>
      </c>
      <c r="B1267" s="165" t="s">
        <v>16728</v>
      </c>
      <c r="C1267" s="165"/>
      <c r="D1267" s="165"/>
      <c r="E1267" s="165"/>
      <c r="F1267" s="165"/>
      <c r="G1267" s="165"/>
      <c r="H1267" s="165"/>
      <c r="I1267" s="165"/>
      <c r="J1267" s="165"/>
      <c r="K1267" s="165"/>
      <c r="L1267" s="165"/>
      <c r="M1267" s="165"/>
      <c r="N1267" s="165"/>
      <c r="O1267" s="165"/>
      <c r="P1267" s="165"/>
      <c r="Q1267" s="165"/>
      <c r="R1267" s="165"/>
      <c r="S1267" s="165"/>
      <c r="T1267" s="165"/>
      <c r="U1267" s="165"/>
      <c r="V1267" s="165"/>
      <c r="W1267" s="165"/>
      <c r="X1267" s="165"/>
    </row>
    <row r="1268" ht="18.75" customHeight="1">
      <c r="A1268" s="165">
        <v>1266.0</v>
      </c>
      <c r="B1268" s="167" t="s">
        <v>16729</v>
      </c>
      <c r="C1268" s="165"/>
      <c r="D1268" s="165"/>
      <c r="E1268" s="165"/>
      <c r="F1268" s="165"/>
      <c r="G1268" s="165"/>
      <c r="H1268" s="165"/>
      <c r="I1268" s="165"/>
      <c r="J1268" s="165"/>
      <c r="K1268" s="165"/>
      <c r="L1268" s="165"/>
      <c r="M1268" s="165"/>
      <c r="N1268" s="165"/>
      <c r="O1268" s="165"/>
      <c r="P1268" s="165"/>
      <c r="Q1268" s="165"/>
      <c r="R1268" s="165"/>
      <c r="S1268" s="165"/>
      <c r="T1268" s="165"/>
      <c r="U1268" s="165"/>
      <c r="V1268" s="165"/>
      <c r="W1268" s="165"/>
      <c r="X1268" s="165"/>
    </row>
    <row r="1269" ht="18.75" customHeight="1">
      <c r="A1269" s="165">
        <v>1267.0</v>
      </c>
      <c r="B1269" s="165" t="s">
        <v>16730</v>
      </c>
      <c r="C1269" s="165"/>
      <c r="D1269" s="165"/>
      <c r="E1269" s="165"/>
      <c r="F1269" s="165"/>
      <c r="G1269" s="165"/>
      <c r="H1269" s="165"/>
      <c r="I1269" s="165"/>
      <c r="J1269" s="165"/>
      <c r="K1269" s="165"/>
      <c r="L1269" s="165"/>
      <c r="M1269" s="165"/>
      <c r="N1269" s="165"/>
      <c r="O1269" s="165"/>
      <c r="P1269" s="165"/>
      <c r="Q1269" s="165"/>
      <c r="R1269" s="165"/>
      <c r="S1269" s="165"/>
      <c r="T1269" s="165"/>
      <c r="U1269" s="165"/>
      <c r="V1269" s="165"/>
      <c r="W1269" s="165"/>
      <c r="X1269" s="165"/>
    </row>
    <row r="1270" ht="18.75" customHeight="1">
      <c r="A1270" s="165">
        <v>1268.0</v>
      </c>
      <c r="B1270" s="165" t="s">
        <v>16731</v>
      </c>
      <c r="C1270" s="165"/>
      <c r="D1270" s="165"/>
      <c r="E1270" s="165"/>
      <c r="F1270" s="165"/>
      <c r="G1270" s="165"/>
      <c r="H1270" s="165"/>
      <c r="I1270" s="165"/>
      <c r="J1270" s="165"/>
      <c r="K1270" s="165"/>
      <c r="L1270" s="165"/>
      <c r="M1270" s="165"/>
      <c r="N1270" s="165"/>
      <c r="O1270" s="165"/>
      <c r="P1270" s="165"/>
      <c r="Q1270" s="165"/>
      <c r="R1270" s="165"/>
      <c r="S1270" s="165"/>
      <c r="T1270" s="165"/>
      <c r="U1270" s="165"/>
      <c r="V1270" s="165"/>
      <c r="W1270" s="165"/>
      <c r="X1270" s="165"/>
    </row>
    <row r="1271" ht="18.75" customHeight="1">
      <c r="A1271" s="165">
        <v>1269.0</v>
      </c>
      <c r="B1271" s="167" t="s">
        <v>16732</v>
      </c>
      <c r="C1271" s="165"/>
      <c r="D1271" s="165"/>
      <c r="E1271" s="165"/>
      <c r="F1271" s="165"/>
      <c r="G1271" s="165"/>
      <c r="H1271" s="165"/>
      <c r="I1271" s="165"/>
      <c r="J1271" s="165"/>
      <c r="K1271" s="165"/>
      <c r="L1271" s="165"/>
      <c r="M1271" s="165"/>
      <c r="N1271" s="165"/>
      <c r="O1271" s="165"/>
      <c r="P1271" s="165"/>
      <c r="Q1271" s="165"/>
      <c r="R1271" s="165"/>
      <c r="S1271" s="165"/>
      <c r="T1271" s="165"/>
      <c r="U1271" s="165"/>
      <c r="V1271" s="165"/>
      <c r="W1271" s="165"/>
      <c r="X1271" s="165"/>
    </row>
    <row r="1272" ht="18.75" customHeight="1">
      <c r="A1272" s="165">
        <v>1270.0</v>
      </c>
      <c r="B1272" s="165" t="s">
        <v>16733</v>
      </c>
      <c r="C1272" s="165"/>
      <c r="D1272" s="165"/>
      <c r="E1272" s="165"/>
      <c r="F1272" s="165"/>
      <c r="G1272" s="165"/>
      <c r="H1272" s="165"/>
      <c r="I1272" s="165"/>
      <c r="J1272" s="165"/>
      <c r="K1272" s="165"/>
      <c r="L1272" s="165"/>
      <c r="M1272" s="165"/>
      <c r="N1272" s="165"/>
      <c r="O1272" s="165"/>
      <c r="P1272" s="165"/>
      <c r="Q1272" s="165"/>
      <c r="R1272" s="165"/>
      <c r="S1272" s="165"/>
      <c r="T1272" s="165"/>
      <c r="U1272" s="165"/>
      <c r="V1272" s="165"/>
      <c r="W1272" s="165"/>
      <c r="X1272" s="165"/>
    </row>
    <row r="1273" ht="18.75" customHeight="1">
      <c r="A1273" s="165">
        <v>1271.0</v>
      </c>
      <c r="B1273" s="167" t="s">
        <v>16734</v>
      </c>
      <c r="C1273" s="165"/>
      <c r="D1273" s="165"/>
      <c r="E1273" s="165"/>
      <c r="F1273" s="165"/>
      <c r="G1273" s="165"/>
      <c r="H1273" s="165"/>
      <c r="I1273" s="165"/>
      <c r="J1273" s="165"/>
      <c r="K1273" s="165"/>
      <c r="L1273" s="165"/>
      <c r="M1273" s="165"/>
      <c r="N1273" s="165"/>
      <c r="O1273" s="165"/>
      <c r="P1273" s="165"/>
      <c r="Q1273" s="165"/>
      <c r="R1273" s="165"/>
      <c r="S1273" s="165"/>
      <c r="T1273" s="165"/>
      <c r="U1273" s="165"/>
      <c r="V1273" s="165"/>
      <c r="W1273" s="165"/>
      <c r="X1273" s="165"/>
    </row>
    <row r="1274" ht="18.75" customHeight="1">
      <c r="A1274" s="165">
        <v>1272.0</v>
      </c>
      <c r="B1274" s="178" t="s">
        <v>16735</v>
      </c>
      <c r="C1274" s="165"/>
      <c r="D1274" s="165"/>
      <c r="E1274" s="165"/>
      <c r="F1274" s="165"/>
      <c r="G1274" s="165"/>
      <c r="H1274" s="165"/>
      <c r="I1274" s="165"/>
      <c r="J1274" s="165"/>
      <c r="K1274" s="165"/>
      <c r="L1274" s="165"/>
      <c r="M1274" s="165"/>
      <c r="N1274" s="165"/>
      <c r="O1274" s="165"/>
      <c r="P1274" s="165"/>
      <c r="Q1274" s="165"/>
      <c r="R1274" s="165"/>
      <c r="S1274" s="165"/>
      <c r="T1274" s="165"/>
      <c r="U1274" s="165"/>
      <c r="V1274" s="165"/>
      <c r="W1274" s="165"/>
      <c r="X1274" s="165"/>
    </row>
    <row r="1275" ht="18.75" customHeight="1">
      <c r="A1275" s="165">
        <v>1273.0</v>
      </c>
      <c r="B1275" s="165" t="s">
        <v>16736</v>
      </c>
      <c r="C1275" s="165"/>
      <c r="D1275" s="165"/>
      <c r="E1275" s="165"/>
      <c r="F1275" s="165"/>
      <c r="G1275" s="165"/>
      <c r="H1275" s="165"/>
      <c r="I1275" s="165"/>
      <c r="J1275" s="165"/>
      <c r="K1275" s="165"/>
      <c r="L1275" s="165"/>
      <c r="M1275" s="165"/>
      <c r="N1275" s="165"/>
      <c r="O1275" s="165"/>
      <c r="P1275" s="165"/>
      <c r="Q1275" s="165"/>
      <c r="R1275" s="165"/>
      <c r="S1275" s="165"/>
      <c r="T1275" s="165"/>
      <c r="U1275" s="165"/>
      <c r="V1275" s="165"/>
      <c r="W1275" s="165"/>
      <c r="X1275" s="165"/>
    </row>
    <row r="1276" ht="18.75" customHeight="1">
      <c r="A1276" s="165">
        <v>1274.0</v>
      </c>
      <c r="B1276" s="167" t="s">
        <v>16737</v>
      </c>
      <c r="C1276" s="165"/>
      <c r="D1276" s="165"/>
      <c r="E1276" s="165"/>
      <c r="F1276" s="165"/>
      <c r="G1276" s="165"/>
      <c r="H1276" s="165"/>
      <c r="I1276" s="165"/>
      <c r="J1276" s="165"/>
      <c r="K1276" s="165"/>
      <c r="L1276" s="165"/>
      <c r="M1276" s="165"/>
      <c r="N1276" s="165"/>
      <c r="O1276" s="165"/>
      <c r="P1276" s="165"/>
      <c r="Q1276" s="165"/>
      <c r="R1276" s="165"/>
      <c r="S1276" s="165"/>
      <c r="T1276" s="165"/>
      <c r="U1276" s="165"/>
      <c r="V1276" s="165"/>
      <c r="W1276" s="165"/>
      <c r="X1276" s="165"/>
    </row>
    <row r="1277" ht="18.75" customHeight="1">
      <c r="A1277" s="165">
        <v>1275.0</v>
      </c>
      <c r="B1277" s="167" t="s">
        <v>16738</v>
      </c>
      <c r="C1277" s="165"/>
      <c r="D1277" s="165"/>
      <c r="E1277" s="165"/>
      <c r="F1277" s="165"/>
      <c r="G1277" s="165"/>
      <c r="H1277" s="165"/>
      <c r="I1277" s="165"/>
      <c r="J1277" s="165"/>
      <c r="K1277" s="165"/>
      <c r="L1277" s="165"/>
      <c r="M1277" s="165"/>
      <c r="N1277" s="165"/>
      <c r="O1277" s="165"/>
      <c r="P1277" s="165"/>
      <c r="Q1277" s="165"/>
      <c r="R1277" s="165"/>
      <c r="S1277" s="165"/>
      <c r="T1277" s="165"/>
      <c r="U1277" s="165"/>
      <c r="V1277" s="165"/>
      <c r="W1277" s="165"/>
      <c r="X1277" s="165"/>
    </row>
    <row r="1278" ht="18.75" customHeight="1">
      <c r="A1278" s="165">
        <v>1276.0</v>
      </c>
      <c r="B1278" s="165" t="s">
        <v>16739</v>
      </c>
      <c r="C1278" s="165"/>
      <c r="D1278" s="165"/>
      <c r="E1278" s="165"/>
      <c r="F1278" s="165"/>
      <c r="G1278" s="165"/>
      <c r="H1278" s="165"/>
      <c r="I1278" s="165"/>
      <c r="J1278" s="165"/>
      <c r="K1278" s="165"/>
      <c r="L1278" s="165"/>
      <c r="M1278" s="165"/>
      <c r="N1278" s="165"/>
      <c r="O1278" s="165"/>
      <c r="P1278" s="165"/>
      <c r="Q1278" s="165"/>
      <c r="R1278" s="165"/>
      <c r="S1278" s="165"/>
      <c r="T1278" s="165"/>
      <c r="U1278" s="165"/>
      <c r="V1278" s="165"/>
      <c r="W1278" s="165"/>
      <c r="X1278" s="165"/>
    </row>
    <row r="1279" ht="18.75" customHeight="1">
      <c r="A1279" s="165">
        <v>1277.0</v>
      </c>
      <c r="B1279" s="167" t="s">
        <v>16740</v>
      </c>
      <c r="C1279" s="165"/>
      <c r="D1279" s="165"/>
      <c r="E1279" s="165"/>
      <c r="F1279" s="165"/>
      <c r="G1279" s="165"/>
      <c r="H1279" s="165"/>
      <c r="I1279" s="165"/>
      <c r="J1279" s="165"/>
      <c r="K1279" s="165"/>
      <c r="L1279" s="165"/>
      <c r="M1279" s="165"/>
      <c r="N1279" s="165"/>
      <c r="O1279" s="165"/>
      <c r="P1279" s="165"/>
      <c r="Q1279" s="165"/>
      <c r="R1279" s="165"/>
      <c r="S1279" s="165"/>
      <c r="T1279" s="165"/>
      <c r="U1279" s="165"/>
      <c r="V1279" s="165"/>
      <c r="W1279" s="165"/>
      <c r="X1279" s="165"/>
    </row>
    <row r="1280" ht="18.75" customHeight="1">
      <c r="A1280" s="165">
        <v>1278.0</v>
      </c>
      <c r="B1280" s="167" t="s">
        <v>16741</v>
      </c>
      <c r="C1280" s="165"/>
      <c r="D1280" s="165"/>
      <c r="E1280" s="165"/>
      <c r="F1280" s="165"/>
      <c r="G1280" s="165"/>
      <c r="H1280" s="165"/>
      <c r="I1280" s="165"/>
      <c r="J1280" s="165"/>
      <c r="K1280" s="165"/>
      <c r="L1280" s="165"/>
      <c r="M1280" s="165"/>
      <c r="N1280" s="165"/>
      <c r="O1280" s="165"/>
      <c r="P1280" s="165"/>
      <c r="Q1280" s="165"/>
      <c r="R1280" s="165"/>
      <c r="S1280" s="165"/>
      <c r="T1280" s="165"/>
      <c r="U1280" s="165"/>
      <c r="V1280" s="165"/>
      <c r="W1280" s="165"/>
      <c r="X1280" s="165"/>
    </row>
    <row r="1281" ht="18.75" customHeight="1">
      <c r="A1281" s="165">
        <v>1279.0</v>
      </c>
      <c r="B1281" s="165" t="s">
        <v>16742</v>
      </c>
      <c r="C1281" s="165"/>
      <c r="D1281" s="165"/>
      <c r="E1281" s="165"/>
      <c r="F1281" s="165"/>
      <c r="G1281" s="165"/>
      <c r="H1281" s="165"/>
      <c r="I1281" s="165"/>
      <c r="J1281" s="165"/>
      <c r="K1281" s="165"/>
      <c r="L1281" s="165"/>
      <c r="M1281" s="165"/>
      <c r="N1281" s="165"/>
      <c r="O1281" s="165"/>
      <c r="P1281" s="165"/>
      <c r="Q1281" s="165"/>
      <c r="R1281" s="165"/>
      <c r="S1281" s="165"/>
      <c r="T1281" s="165"/>
      <c r="U1281" s="165"/>
      <c r="V1281" s="165"/>
      <c r="W1281" s="165"/>
      <c r="X1281" s="165"/>
    </row>
    <row r="1282" ht="18.75" customHeight="1">
      <c r="A1282" s="165">
        <v>1280.0</v>
      </c>
      <c r="B1282" s="165" t="s">
        <v>16743</v>
      </c>
      <c r="C1282" s="165"/>
      <c r="D1282" s="165"/>
      <c r="E1282" s="165"/>
      <c r="F1282" s="165"/>
      <c r="G1282" s="165"/>
      <c r="H1282" s="165"/>
      <c r="I1282" s="165"/>
      <c r="J1282" s="165"/>
      <c r="K1282" s="165"/>
      <c r="L1282" s="165"/>
      <c r="M1282" s="165"/>
      <c r="N1282" s="165"/>
      <c r="O1282" s="165"/>
      <c r="P1282" s="165"/>
      <c r="Q1282" s="165"/>
      <c r="R1282" s="165"/>
      <c r="S1282" s="165"/>
      <c r="T1282" s="165"/>
      <c r="U1282" s="165"/>
      <c r="V1282" s="165"/>
      <c r="W1282" s="165"/>
      <c r="X1282" s="165"/>
    </row>
    <row r="1283" ht="18.75" customHeight="1">
      <c r="A1283" s="165">
        <v>1281.0</v>
      </c>
      <c r="B1283" s="167" t="s">
        <v>16744</v>
      </c>
      <c r="C1283" s="165"/>
      <c r="D1283" s="165"/>
      <c r="E1283" s="165"/>
      <c r="F1283" s="165"/>
      <c r="G1283" s="165"/>
      <c r="H1283" s="165"/>
      <c r="I1283" s="165"/>
      <c r="J1283" s="165"/>
      <c r="K1283" s="165"/>
      <c r="L1283" s="165"/>
      <c r="M1283" s="165"/>
      <c r="N1283" s="165"/>
      <c r="O1283" s="165"/>
      <c r="P1283" s="165"/>
      <c r="Q1283" s="165"/>
      <c r="R1283" s="165"/>
      <c r="S1283" s="165"/>
      <c r="T1283" s="165"/>
      <c r="U1283" s="165"/>
      <c r="V1283" s="165"/>
      <c r="W1283" s="165"/>
      <c r="X1283" s="165"/>
    </row>
    <row r="1284" ht="18.75" customHeight="1">
      <c r="A1284" s="165">
        <v>1282.0</v>
      </c>
      <c r="B1284" s="165" t="s">
        <v>16745</v>
      </c>
      <c r="C1284" s="165"/>
      <c r="D1284" s="165"/>
      <c r="E1284" s="165"/>
      <c r="F1284" s="165"/>
      <c r="G1284" s="165"/>
      <c r="H1284" s="165"/>
      <c r="I1284" s="165"/>
      <c r="J1284" s="165"/>
      <c r="K1284" s="165"/>
      <c r="L1284" s="165"/>
      <c r="M1284" s="165"/>
      <c r="N1284" s="165"/>
      <c r="O1284" s="165"/>
      <c r="P1284" s="165"/>
      <c r="Q1284" s="165"/>
      <c r="R1284" s="165"/>
      <c r="S1284" s="165"/>
      <c r="T1284" s="165"/>
      <c r="U1284" s="165"/>
      <c r="V1284" s="165"/>
      <c r="W1284" s="165"/>
      <c r="X1284" s="165"/>
    </row>
    <row r="1285" ht="18.75" customHeight="1">
      <c r="A1285" s="165">
        <v>1283.0</v>
      </c>
      <c r="B1285" s="165" t="s">
        <v>16746</v>
      </c>
      <c r="C1285" s="165"/>
      <c r="D1285" s="165"/>
      <c r="E1285" s="165"/>
      <c r="F1285" s="165"/>
      <c r="G1285" s="165"/>
      <c r="H1285" s="165"/>
      <c r="I1285" s="165"/>
      <c r="J1285" s="165"/>
      <c r="K1285" s="165"/>
      <c r="L1285" s="165"/>
      <c r="M1285" s="165"/>
      <c r="N1285" s="165"/>
      <c r="O1285" s="165"/>
      <c r="P1285" s="165"/>
      <c r="Q1285" s="165"/>
      <c r="R1285" s="165"/>
      <c r="S1285" s="165"/>
      <c r="T1285" s="165"/>
      <c r="U1285" s="165"/>
      <c r="V1285" s="165"/>
      <c r="W1285" s="165"/>
      <c r="X1285" s="165"/>
    </row>
    <row r="1286" ht="18.75" customHeight="1">
      <c r="A1286" s="165">
        <v>1284.0</v>
      </c>
      <c r="B1286" s="165" t="s">
        <v>16747</v>
      </c>
      <c r="C1286" s="165"/>
      <c r="D1286" s="165"/>
      <c r="E1286" s="165"/>
      <c r="F1286" s="165"/>
      <c r="G1286" s="165"/>
      <c r="H1286" s="165"/>
      <c r="I1286" s="165"/>
      <c r="J1286" s="165"/>
      <c r="K1286" s="165"/>
      <c r="L1286" s="165"/>
      <c r="M1286" s="165"/>
      <c r="N1286" s="165"/>
      <c r="O1286" s="165"/>
      <c r="P1286" s="165"/>
      <c r="Q1286" s="165"/>
      <c r="R1286" s="165"/>
      <c r="S1286" s="165"/>
      <c r="T1286" s="165"/>
      <c r="U1286" s="165"/>
      <c r="V1286" s="165"/>
      <c r="W1286" s="165"/>
      <c r="X1286" s="165"/>
    </row>
    <row r="1287" ht="18.75" customHeight="1">
      <c r="A1287" s="165">
        <v>1285.0</v>
      </c>
      <c r="B1287" s="165" t="s">
        <v>16748</v>
      </c>
      <c r="C1287" s="165"/>
      <c r="D1287" s="165"/>
      <c r="E1287" s="165"/>
      <c r="F1287" s="165"/>
      <c r="G1287" s="165"/>
      <c r="H1287" s="165"/>
      <c r="I1287" s="165"/>
      <c r="J1287" s="165"/>
      <c r="K1287" s="165"/>
      <c r="L1287" s="165"/>
      <c r="M1287" s="165"/>
      <c r="N1287" s="165"/>
      <c r="O1287" s="165"/>
      <c r="P1287" s="165"/>
      <c r="Q1287" s="165"/>
      <c r="R1287" s="165"/>
      <c r="S1287" s="165"/>
      <c r="T1287" s="165"/>
      <c r="U1287" s="165"/>
      <c r="V1287" s="165"/>
      <c r="W1287" s="165"/>
      <c r="X1287" s="165"/>
    </row>
    <row r="1288" ht="18.75" customHeight="1">
      <c r="A1288" s="165">
        <v>1286.0</v>
      </c>
      <c r="B1288" s="167" t="s">
        <v>16749</v>
      </c>
      <c r="C1288" s="165"/>
      <c r="D1288" s="165"/>
      <c r="E1288" s="165"/>
      <c r="F1288" s="165"/>
      <c r="G1288" s="165"/>
      <c r="H1288" s="165"/>
      <c r="I1288" s="165"/>
      <c r="J1288" s="165"/>
      <c r="K1288" s="165"/>
      <c r="L1288" s="165"/>
      <c r="M1288" s="165"/>
      <c r="N1288" s="165"/>
      <c r="O1288" s="165"/>
      <c r="P1288" s="165"/>
      <c r="Q1288" s="165"/>
      <c r="R1288" s="165"/>
      <c r="S1288" s="165"/>
      <c r="T1288" s="165"/>
      <c r="U1288" s="165"/>
      <c r="V1288" s="165"/>
      <c r="W1288" s="165"/>
      <c r="X1288" s="165"/>
    </row>
    <row r="1289" ht="18.75" customHeight="1">
      <c r="A1289" s="165">
        <v>1287.0</v>
      </c>
      <c r="B1289" s="167" t="s">
        <v>16750</v>
      </c>
      <c r="C1289" s="165"/>
      <c r="D1289" s="165"/>
      <c r="E1289" s="165"/>
      <c r="F1289" s="165"/>
      <c r="G1289" s="165"/>
      <c r="H1289" s="165"/>
      <c r="I1289" s="165"/>
      <c r="J1289" s="165"/>
      <c r="K1289" s="165"/>
      <c r="L1289" s="165"/>
      <c r="M1289" s="165"/>
      <c r="N1289" s="165"/>
      <c r="O1289" s="165"/>
      <c r="P1289" s="165"/>
      <c r="Q1289" s="165"/>
      <c r="R1289" s="165"/>
      <c r="S1289" s="165"/>
      <c r="T1289" s="165"/>
      <c r="U1289" s="165"/>
      <c r="V1289" s="165"/>
      <c r="W1289" s="165"/>
      <c r="X1289" s="165"/>
    </row>
    <row r="1290" ht="18.75" customHeight="1">
      <c r="A1290" s="165">
        <v>1288.0</v>
      </c>
      <c r="B1290" s="167" t="s">
        <v>16751</v>
      </c>
      <c r="C1290" s="165"/>
      <c r="D1290" s="165"/>
      <c r="E1290" s="165"/>
      <c r="F1290" s="165"/>
      <c r="G1290" s="165"/>
      <c r="H1290" s="165"/>
      <c r="I1290" s="165"/>
      <c r="J1290" s="165"/>
      <c r="K1290" s="165"/>
      <c r="L1290" s="165"/>
      <c r="M1290" s="165"/>
      <c r="N1290" s="165"/>
      <c r="O1290" s="165"/>
      <c r="P1290" s="165"/>
      <c r="Q1290" s="165"/>
      <c r="R1290" s="165"/>
      <c r="S1290" s="165"/>
      <c r="T1290" s="165"/>
      <c r="U1290" s="165"/>
      <c r="V1290" s="165"/>
      <c r="W1290" s="165"/>
      <c r="X1290" s="165"/>
    </row>
    <row r="1291" ht="18.75" customHeight="1">
      <c r="A1291" s="165">
        <v>1289.0</v>
      </c>
      <c r="B1291" s="165" t="s">
        <v>16752</v>
      </c>
      <c r="C1291" s="165"/>
      <c r="D1291" s="165"/>
      <c r="E1291" s="165"/>
      <c r="F1291" s="165"/>
      <c r="G1291" s="165"/>
      <c r="H1291" s="165"/>
      <c r="I1291" s="165"/>
      <c r="J1291" s="165"/>
      <c r="K1291" s="165"/>
      <c r="L1291" s="165"/>
      <c r="M1291" s="165"/>
      <c r="N1291" s="165"/>
      <c r="O1291" s="165"/>
      <c r="P1291" s="165"/>
      <c r="Q1291" s="165"/>
      <c r="R1291" s="165"/>
      <c r="S1291" s="165"/>
      <c r="T1291" s="165"/>
      <c r="U1291" s="165"/>
      <c r="V1291" s="165"/>
      <c r="W1291" s="165"/>
      <c r="X1291" s="165"/>
    </row>
    <row r="1292" ht="18.75" customHeight="1">
      <c r="A1292" s="165">
        <v>1290.0</v>
      </c>
      <c r="B1292" s="165" t="s">
        <v>16752</v>
      </c>
      <c r="C1292" s="165"/>
      <c r="D1292" s="165"/>
      <c r="E1292" s="165"/>
      <c r="F1292" s="165"/>
      <c r="G1292" s="165"/>
      <c r="H1292" s="165"/>
      <c r="I1292" s="165"/>
      <c r="J1292" s="165"/>
      <c r="K1292" s="165"/>
      <c r="L1292" s="165"/>
      <c r="M1292" s="165"/>
      <c r="N1292" s="165"/>
      <c r="O1292" s="165"/>
      <c r="P1292" s="165"/>
      <c r="Q1292" s="165"/>
      <c r="R1292" s="165"/>
      <c r="S1292" s="165"/>
      <c r="T1292" s="165"/>
      <c r="U1292" s="165"/>
      <c r="V1292" s="165"/>
      <c r="W1292" s="165"/>
      <c r="X1292" s="165"/>
    </row>
    <row r="1293" ht="18.75" customHeight="1">
      <c r="A1293" s="165">
        <v>1291.0</v>
      </c>
      <c r="B1293" s="167" t="s">
        <v>16753</v>
      </c>
      <c r="C1293" s="165"/>
      <c r="D1293" s="165"/>
      <c r="E1293" s="165"/>
      <c r="F1293" s="165"/>
      <c r="G1293" s="165"/>
      <c r="H1293" s="165"/>
      <c r="I1293" s="165"/>
      <c r="J1293" s="165"/>
      <c r="K1293" s="165"/>
      <c r="L1293" s="165"/>
      <c r="M1293" s="165"/>
      <c r="N1293" s="165"/>
      <c r="O1293" s="165"/>
      <c r="P1293" s="165"/>
      <c r="Q1293" s="165"/>
      <c r="R1293" s="165"/>
      <c r="S1293" s="165"/>
      <c r="T1293" s="165"/>
      <c r="U1293" s="165"/>
      <c r="V1293" s="165"/>
      <c r="W1293" s="165"/>
      <c r="X1293" s="165"/>
    </row>
    <row r="1294" ht="18.75" customHeight="1">
      <c r="A1294" s="165">
        <v>1292.0</v>
      </c>
      <c r="B1294" s="165" t="s">
        <v>16754</v>
      </c>
      <c r="C1294" s="165"/>
      <c r="D1294" s="165"/>
      <c r="E1294" s="165"/>
      <c r="F1294" s="165"/>
      <c r="G1294" s="165"/>
      <c r="H1294" s="165"/>
      <c r="I1294" s="165"/>
      <c r="J1294" s="165"/>
      <c r="K1294" s="165"/>
      <c r="L1294" s="165"/>
      <c r="M1294" s="165"/>
      <c r="N1294" s="165"/>
      <c r="O1294" s="165"/>
      <c r="P1294" s="165"/>
      <c r="Q1294" s="165"/>
      <c r="R1294" s="165"/>
      <c r="S1294" s="165"/>
      <c r="T1294" s="165"/>
      <c r="U1294" s="165"/>
      <c r="V1294" s="165"/>
      <c r="W1294" s="165"/>
      <c r="X1294" s="165"/>
    </row>
    <row r="1295" ht="18.75" customHeight="1">
      <c r="A1295" s="165">
        <v>1293.0</v>
      </c>
      <c r="B1295" s="165" t="s">
        <v>16755</v>
      </c>
      <c r="C1295" s="165"/>
      <c r="D1295" s="165"/>
      <c r="E1295" s="165"/>
      <c r="F1295" s="165"/>
      <c r="G1295" s="165"/>
      <c r="H1295" s="165"/>
      <c r="I1295" s="165"/>
      <c r="J1295" s="165"/>
      <c r="K1295" s="165"/>
      <c r="L1295" s="165"/>
      <c r="M1295" s="165"/>
      <c r="N1295" s="165"/>
      <c r="O1295" s="165"/>
      <c r="P1295" s="165"/>
      <c r="Q1295" s="165"/>
      <c r="R1295" s="165"/>
      <c r="S1295" s="165"/>
      <c r="T1295" s="165"/>
      <c r="U1295" s="165"/>
      <c r="V1295" s="165"/>
      <c r="W1295" s="165"/>
      <c r="X1295" s="165"/>
    </row>
    <row r="1296" ht="18.75" customHeight="1">
      <c r="A1296" s="165">
        <v>1294.0</v>
      </c>
      <c r="B1296" s="167" t="s">
        <v>16756</v>
      </c>
      <c r="C1296" s="165"/>
      <c r="D1296" s="165"/>
      <c r="E1296" s="165"/>
      <c r="F1296" s="165"/>
      <c r="G1296" s="165"/>
      <c r="H1296" s="165"/>
      <c r="I1296" s="165"/>
      <c r="J1296" s="165"/>
      <c r="K1296" s="165"/>
      <c r="L1296" s="165"/>
      <c r="M1296" s="165"/>
      <c r="N1296" s="165"/>
      <c r="O1296" s="165"/>
      <c r="P1296" s="165"/>
      <c r="Q1296" s="165"/>
      <c r="R1296" s="165"/>
      <c r="S1296" s="165"/>
      <c r="T1296" s="165"/>
      <c r="U1296" s="165"/>
      <c r="V1296" s="165"/>
      <c r="W1296" s="165"/>
      <c r="X1296" s="165"/>
    </row>
    <row r="1297" ht="18.75" customHeight="1">
      <c r="A1297" s="165">
        <v>1295.0</v>
      </c>
      <c r="B1297" s="167" t="s">
        <v>16757</v>
      </c>
      <c r="C1297" s="165"/>
      <c r="D1297" s="165"/>
      <c r="E1297" s="165"/>
      <c r="F1297" s="165"/>
      <c r="G1297" s="165"/>
      <c r="H1297" s="165"/>
      <c r="I1297" s="165"/>
      <c r="J1297" s="165"/>
      <c r="K1297" s="165"/>
      <c r="L1297" s="165"/>
      <c r="M1297" s="165"/>
      <c r="N1297" s="165"/>
      <c r="O1297" s="165"/>
      <c r="P1297" s="165"/>
      <c r="Q1297" s="165"/>
      <c r="R1297" s="165"/>
      <c r="S1297" s="165"/>
      <c r="T1297" s="165"/>
      <c r="U1297" s="165"/>
      <c r="V1297" s="165"/>
      <c r="W1297" s="165"/>
      <c r="X1297" s="165"/>
    </row>
    <row r="1298" ht="18.75" customHeight="1">
      <c r="A1298" s="165">
        <v>1296.0</v>
      </c>
      <c r="B1298" s="167" t="s">
        <v>16758</v>
      </c>
      <c r="C1298" s="165"/>
      <c r="D1298" s="165"/>
      <c r="E1298" s="165"/>
      <c r="F1298" s="165"/>
      <c r="G1298" s="165"/>
      <c r="H1298" s="165"/>
      <c r="I1298" s="165"/>
      <c r="J1298" s="165"/>
      <c r="K1298" s="165"/>
      <c r="L1298" s="165"/>
      <c r="M1298" s="165"/>
      <c r="N1298" s="165"/>
      <c r="O1298" s="165"/>
      <c r="P1298" s="165"/>
      <c r="Q1298" s="165"/>
      <c r="R1298" s="165"/>
      <c r="S1298" s="165"/>
      <c r="T1298" s="165"/>
      <c r="U1298" s="165"/>
      <c r="V1298" s="165"/>
      <c r="W1298" s="165"/>
      <c r="X1298" s="165"/>
    </row>
    <row r="1299" ht="18.75" customHeight="1">
      <c r="A1299" s="165">
        <v>1297.0</v>
      </c>
      <c r="B1299" s="165" t="s">
        <v>16759</v>
      </c>
      <c r="C1299" s="165"/>
      <c r="D1299" s="165"/>
      <c r="E1299" s="165"/>
      <c r="F1299" s="165"/>
      <c r="G1299" s="165"/>
      <c r="H1299" s="165"/>
      <c r="I1299" s="165"/>
      <c r="J1299" s="165"/>
      <c r="K1299" s="165"/>
      <c r="L1299" s="165"/>
      <c r="M1299" s="165"/>
      <c r="N1299" s="165"/>
      <c r="O1299" s="165"/>
      <c r="P1299" s="165"/>
      <c r="Q1299" s="165"/>
      <c r="R1299" s="165"/>
      <c r="S1299" s="165"/>
      <c r="T1299" s="165"/>
      <c r="U1299" s="165"/>
      <c r="V1299" s="165"/>
      <c r="W1299" s="165"/>
      <c r="X1299" s="165"/>
    </row>
    <row r="1300" ht="18.75" customHeight="1">
      <c r="A1300" s="165">
        <v>1298.0</v>
      </c>
      <c r="B1300" s="167" t="s">
        <v>16760</v>
      </c>
      <c r="C1300" s="165"/>
      <c r="D1300" s="165"/>
      <c r="E1300" s="165"/>
      <c r="F1300" s="165"/>
      <c r="G1300" s="165"/>
      <c r="H1300" s="165"/>
      <c r="I1300" s="165"/>
      <c r="J1300" s="165"/>
      <c r="K1300" s="165"/>
      <c r="L1300" s="165"/>
      <c r="M1300" s="165"/>
      <c r="N1300" s="165"/>
      <c r="O1300" s="165"/>
      <c r="P1300" s="165"/>
      <c r="Q1300" s="165"/>
      <c r="R1300" s="165"/>
      <c r="S1300" s="165"/>
      <c r="T1300" s="165"/>
      <c r="U1300" s="165"/>
      <c r="V1300" s="165"/>
      <c r="W1300" s="165"/>
      <c r="X1300" s="165"/>
    </row>
    <row r="1301" ht="18.75" customHeight="1">
      <c r="A1301" s="165">
        <v>1299.0</v>
      </c>
      <c r="B1301" s="165" t="s">
        <v>16761</v>
      </c>
      <c r="C1301" s="165"/>
      <c r="D1301" s="165"/>
      <c r="E1301" s="165"/>
      <c r="F1301" s="165"/>
      <c r="G1301" s="165"/>
      <c r="H1301" s="165"/>
      <c r="I1301" s="165"/>
      <c r="J1301" s="165"/>
      <c r="K1301" s="165"/>
      <c r="L1301" s="165"/>
      <c r="M1301" s="165"/>
      <c r="N1301" s="165"/>
      <c r="O1301" s="165"/>
      <c r="P1301" s="165"/>
      <c r="Q1301" s="165"/>
      <c r="R1301" s="165"/>
      <c r="S1301" s="165"/>
      <c r="T1301" s="165"/>
      <c r="U1301" s="165"/>
      <c r="V1301" s="165"/>
      <c r="W1301" s="165"/>
      <c r="X1301" s="165"/>
    </row>
    <row r="1302" ht="18.75" customHeight="1">
      <c r="A1302" s="165">
        <v>1300.0</v>
      </c>
      <c r="B1302" s="167" t="s">
        <v>16762</v>
      </c>
      <c r="C1302" s="165"/>
      <c r="D1302" s="165"/>
      <c r="E1302" s="165"/>
      <c r="F1302" s="165"/>
      <c r="G1302" s="165"/>
      <c r="H1302" s="165"/>
      <c r="I1302" s="165"/>
      <c r="J1302" s="165"/>
      <c r="K1302" s="165"/>
      <c r="L1302" s="165"/>
      <c r="M1302" s="165"/>
      <c r="N1302" s="165"/>
      <c r="O1302" s="165"/>
      <c r="P1302" s="165"/>
      <c r="Q1302" s="165"/>
      <c r="R1302" s="165"/>
      <c r="S1302" s="165"/>
      <c r="T1302" s="165"/>
      <c r="U1302" s="165"/>
      <c r="V1302" s="165"/>
      <c r="W1302" s="165"/>
      <c r="X1302" s="165"/>
    </row>
    <row r="1303" ht="18.75" customHeight="1">
      <c r="A1303" s="165">
        <v>1301.0</v>
      </c>
      <c r="B1303" s="167" t="s">
        <v>16763</v>
      </c>
      <c r="C1303" s="165"/>
      <c r="D1303" s="165"/>
      <c r="E1303" s="165"/>
      <c r="F1303" s="165"/>
      <c r="G1303" s="165"/>
      <c r="H1303" s="165"/>
      <c r="I1303" s="165"/>
      <c r="J1303" s="165"/>
      <c r="K1303" s="165"/>
      <c r="L1303" s="165"/>
      <c r="M1303" s="165"/>
      <c r="N1303" s="165"/>
      <c r="O1303" s="165"/>
      <c r="P1303" s="165"/>
      <c r="Q1303" s="165"/>
      <c r="R1303" s="165"/>
      <c r="S1303" s="165"/>
      <c r="T1303" s="165"/>
      <c r="U1303" s="165"/>
      <c r="V1303" s="165"/>
      <c r="W1303" s="165"/>
      <c r="X1303" s="165"/>
    </row>
    <row r="1304" ht="18.75" customHeight="1">
      <c r="A1304" s="165">
        <v>1302.0</v>
      </c>
      <c r="B1304" s="167" t="s">
        <v>16764</v>
      </c>
      <c r="C1304" s="165"/>
      <c r="D1304" s="165"/>
      <c r="E1304" s="165"/>
      <c r="F1304" s="165"/>
      <c r="G1304" s="165"/>
      <c r="H1304" s="165"/>
      <c r="I1304" s="165"/>
      <c r="J1304" s="165"/>
      <c r="K1304" s="165"/>
      <c r="L1304" s="165"/>
      <c r="M1304" s="165"/>
      <c r="N1304" s="165"/>
      <c r="O1304" s="165"/>
      <c r="P1304" s="165"/>
      <c r="Q1304" s="165"/>
      <c r="R1304" s="165"/>
      <c r="S1304" s="165"/>
      <c r="T1304" s="165"/>
      <c r="U1304" s="165"/>
      <c r="V1304" s="165"/>
      <c r="W1304" s="165"/>
      <c r="X1304" s="165"/>
    </row>
    <row r="1305" ht="18.75" customHeight="1">
      <c r="A1305" s="165">
        <v>1303.0</v>
      </c>
      <c r="B1305" s="167" t="s">
        <v>16765</v>
      </c>
      <c r="C1305" s="165"/>
      <c r="D1305" s="165"/>
      <c r="E1305" s="165"/>
      <c r="F1305" s="165"/>
      <c r="G1305" s="165"/>
      <c r="H1305" s="165"/>
      <c r="I1305" s="165"/>
      <c r="J1305" s="165"/>
      <c r="K1305" s="165"/>
      <c r="L1305" s="165"/>
      <c r="M1305" s="165"/>
      <c r="N1305" s="165"/>
      <c r="O1305" s="165"/>
      <c r="P1305" s="165"/>
      <c r="Q1305" s="165"/>
      <c r="R1305" s="165"/>
      <c r="S1305" s="165"/>
      <c r="T1305" s="165"/>
      <c r="U1305" s="165"/>
      <c r="V1305" s="165"/>
      <c r="W1305" s="165"/>
      <c r="X1305" s="165"/>
    </row>
    <row r="1306" ht="18.75" customHeight="1">
      <c r="A1306" s="165">
        <v>1304.0</v>
      </c>
      <c r="B1306" s="167" t="s">
        <v>16766</v>
      </c>
      <c r="C1306" s="165"/>
      <c r="D1306" s="165"/>
      <c r="E1306" s="165"/>
      <c r="F1306" s="165"/>
      <c r="G1306" s="165"/>
      <c r="H1306" s="165"/>
      <c r="I1306" s="165"/>
      <c r="J1306" s="165"/>
      <c r="K1306" s="165"/>
      <c r="L1306" s="165"/>
      <c r="M1306" s="165"/>
      <c r="N1306" s="165"/>
      <c r="O1306" s="165"/>
      <c r="P1306" s="165"/>
      <c r="Q1306" s="165"/>
      <c r="R1306" s="165"/>
      <c r="S1306" s="165"/>
      <c r="T1306" s="165"/>
      <c r="U1306" s="165"/>
      <c r="V1306" s="165"/>
      <c r="W1306" s="165"/>
      <c r="X1306" s="165"/>
    </row>
    <row r="1307" ht="18.75" customHeight="1">
      <c r="A1307" s="165">
        <v>1305.0</v>
      </c>
      <c r="B1307" s="167" t="s">
        <v>16767</v>
      </c>
      <c r="C1307" s="165"/>
      <c r="D1307" s="165"/>
      <c r="E1307" s="165"/>
      <c r="F1307" s="165"/>
      <c r="G1307" s="165"/>
      <c r="H1307" s="165"/>
      <c r="I1307" s="165"/>
      <c r="J1307" s="165"/>
      <c r="K1307" s="165"/>
      <c r="L1307" s="165"/>
      <c r="M1307" s="165"/>
      <c r="N1307" s="165"/>
      <c r="O1307" s="165"/>
      <c r="P1307" s="165"/>
      <c r="Q1307" s="165"/>
      <c r="R1307" s="165"/>
      <c r="S1307" s="165"/>
      <c r="T1307" s="165"/>
      <c r="U1307" s="165"/>
      <c r="V1307" s="165"/>
      <c r="W1307" s="165"/>
      <c r="X1307" s="165"/>
    </row>
    <row r="1308" ht="18.75" customHeight="1">
      <c r="A1308" s="165">
        <v>1306.0</v>
      </c>
      <c r="B1308" s="167" t="s">
        <v>16768</v>
      </c>
      <c r="C1308" s="165"/>
      <c r="D1308" s="165"/>
      <c r="E1308" s="165"/>
      <c r="F1308" s="165"/>
      <c r="G1308" s="165"/>
      <c r="H1308" s="165"/>
      <c r="I1308" s="165"/>
      <c r="J1308" s="165"/>
      <c r="K1308" s="165"/>
      <c r="L1308" s="165"/>
      <c r="M1308" s="165"/>
      <c r="N1308" s="165"/>
      <c r="O1308" s="165"/>
      <c r="P1308" s="165"/>
      <c r="Q1308" s="165"/>
      <c r="R1308" s="165"/>
      <c r="S1308" s="165"/>
      <c r="T1308" s="165"/>
      <c r="U1308" s="165"/>
      <c r="V1308" s="165"/>
      <c r="W1308" s="165"/>
      <c r="X1308" s="165"/>
    </row>
    <row r="1309" ht="18.75" customHeight="1">
      <c r="A1309" s="165">
        <v>1307.0</v>
      </c>
      <c r="B1309" s="167" t="s">
        <v>16769</v>
      </c>
      <c r="C1309" s="165"/>
      <c r="D1309" s="165"/>
      <c r="E1309" s="165"/>
      <c r="F1309" s="165"/>
      <c r="G1309" s="165"/>
      <c r="H1309" s="165"/>
      <c r="I1309" s="165"/>
      <c r="J1309" s="165"/>
      <c r="K1309" s="165"/>
      <c r="L1309" s="165"/>
      <c r="M1309" s="165"/>
      <c r="N1309" s="165"/>
      <c r="O1309" s="165"/>
      <c r="P1309" s="165"/>
      <c r="Q1309" s="165"/>
      <c r="R1309" s="165"/>
      <c r="S1309" s="165"/>
      <c r="T1309" s="165"/>
      <c r="U1309" s="165"/>
      <c r="V1309" s="165"/>
      <c r="W1309" s="165"/>
      <c r="X1309" s="165"/>
    </row>
    <row r="1310" ht="18.75" customHeight="1">
      <c r="A1310" s="165">
        <v>1308.0</v>
      </c>
      <c r="B1310" s="167" t="s">
        <v>16770</v>
      </c>
      <c r="C1310" s="165"/>
      <c r="D1310" s="165"/>
      <c r="E1310" s="165"/>
      <c r="F1310" s="165"/>
      <c r="G1310" s="165"/>
      <c r="H1310" s="165"/>
      <c r="I1310" s="165"/>
      <c r="J1310" s="165"/>
      <c r="K1310" s="165"/>
      <c r="L1310" s="165"/>
      <c r="M1310" s="165"/>
      <c r="N1310" s="165"/>
      <c r="O1310" s="165"/>
      <c r="P1310" s="165"/>
      <c r="Q1310" s="165"/>
      <c r="R1310" s="165"/>
      <c r="S1310" s="165"/>
      <c r="T1310" s="165"/>
      <c r="U1310" s="165"/>
      <c r="V1310" s="165"/>
      <c r="W1310" s="165"/>
      <c r="X1310" s="165"/>
    </row>
    <row r="1311" ht="18.75" customHeight="1">
      <c r="A1311" s="165">
        <v>1309.0</v>
      </c>
      <c r="B1311" s="168" t="s">
        <v>16771</v>
      </c>
      <c r="C1311" s="165"/>
      <c r="D1311" s="165"/>
      <c r="E1311" s="165"/>
      <c r="F1311" s="165"/>
      <c r="G1311" s="165"/>
      <c r="H1311" s="165"/>
      <c r="I1311" s="165"/>
      <c r="J1311" s="165"/>
      <c r="K1311" s="165"/>
      <c r="L1311" s="165"/>
      <c r="M1311" s="165"/>
      <c r="N1311" s="165"/>
      <c r="O1311" s="165"/>
      <c r="P1311" s="165"/>
      <c r="Q1311" s="165"/>
      <c r="R1311" s="165"/>
      <c r="S1311" s="165"/>
      <c r="T1311" s="165"/>
      <c r="U1311" s="165"/>
      <c r="V1311" s="165"/>
      <c r="W1311" s="165"/>
      <c r="X1311" s="165"/>
    </row>
    <row r="1312" ht="18.75" customHeight="1">
      <c r="A1312" s="165">
        <v>1310.0</v>
      </c>
      <c r="B1312" s="167" t="s">
        <v>16772</v>
      </c>
      <c r="C1312" s="165"/>
      <c r="D1312" s="165"/>
      <c r="E1312" s="165"/>
      <c r="F1312" s="165"/>
      <c r="G1312" s="165"/>
      <c r="H1312" s="165"/>
      <c r="I1312" s="165"/>
      <c r="J1312" s="165"/>
      <c r="K1312" s="165"/>
      <c r="L1312" s="165"/>
      <c r="M1312" s="165"/>
      <c r="N1312" s="165"/>
      <c r="O1312" s="165"/>
      <c r="P1312" s="165"/>
      <c r="Q1312" s="165"/>
      <c r="R1312" s="165"/>
      <c r="S1312" s="165"/>
      <c r="T1312" s="165"/>
      <c r="U1312" s="165"/>
      <c r="V1312" s="165"/>
      <c r="W1312" s="165"/>
      <c r="X1312" s="165"/>
    </row>
    <row r="1313" ht="18.75" customHeight="1">
      <c r="A1313" s="165">
        <v>1311.0</v>
      </c>
      <c r="B1313" s="167" t="s">
        <v>16773</v>
      </c>
      <c r="C1313" s="165"/>
      <c r="D1313" s="165"/>
      <c r="E1313" s="165"/>
      <c r="F1313" s="165"/>
      <c r="G1313" s="165"/>
      <c r="H1313" s="165"/>
      <c r="I1313" s="165"/>
      <c r="J1313" s="165"/>
      <c r="K1313" s="165"/>
      <c r="L1313" s="165"/>
      <c r="M1313" s="165"/>
      <c r="N1313" s="165"/>
      <c r="O1313" s="165"/>
      <c r="P1313" s="165"/>
      <c r="Q1313" s="165"/>
      <c r="R1313" s="165"/>
      <c r="S1313" s="165"/>
      <c r="T1313" s="165"/>
      <c r="U1313" s="165"/>
      <c r="V1313" s="165"/>
      <c r="W1313" s="165"/>
      <c r="X1313" s="165"/>
    </row>
    <row r="1314" ht="18.75" customHeight="1">
      <c r="A1314" s="165">
        <v>1312.0</v>
      </c>
      <c r="B1314" s="167" t="s">
        <v>16774</v>
      </c>
      <c r="C1314" s="165"/>
      <c r="D1314" s="165"/>
      <c r="E1314" s="165"/>
      <c r="F1314" s="165"/>
      <c r="G1314" s="165"/>
      <c r="H1314" s="165"/>
      <c r="I1314" s="165"/>
      <c r="J1314" s="165"/>
      <c r="K1314" s="165"/>
      <c r="L1314" s="165"/>
      <c r="M1314" s="165"/>
      <c r="N1314" s="165"/>
      <c r="O1314" s="165"/>
      <c r="P1314" s="165"/>
      <c r="Q1314" s="165"/>
      <c r="R1314" s="165"/>
      <c r="S1314" s="165"/>
      <c r="T1314" s="165"/>
      <c r="U1314" s="165"/>
      <c r="V1314" s="165"/>
      <c r="W1314" s="165"/>
      <c r="X1314" s="165"/>
    </row>
    <row r="1315" ht="18.75" customHeight="1">
      <c r="A1315" s="165">
        <v>1313.0</v>
      </c>
      <c r="B1315" s="167" t="s">
        <v>16775</v>
      </c>
      <c r="C1315" s="165"/>
      <c r="D1315" s="165"/>
      <c r="E1315" s="165"/>
      <c r="F1315" s="165"/>
      <c r="G1315" s="165"/>
      <c r="H1315" s="165"/>
      <c r="I1315" s="165"/>
      <c r="J1315" s="165"/>
      <c r="K1315" s="165"/>
      <c r="L1315" s="165"/>
      <c r="M1315" s="165"/>
      <c r="N1315" s="165"/>
      <c r="O1315" s="165"/>
      <c r="P1315" s="165"/>
      <c r="Q1315" s="165"/>
      <c r="R1315" s="165"/>
      <c r="S1315" s="165"/>
      <c r="T1315" s="165"/>
      <c r="U1315" s="165"/>
      <c r="V1315" s="165"/>
      <c r="W1315" s="165"/>
      <c r="X1315" s="165"/>
    </row>
    <row r="1316" ht="18.75" customHeight="1">
      <c r="A1316" s="165">
        <v>1314.0</v>
      </c>
      <c r="B1316" s="167" t="s">
        <v>16776</v>
      </c>
      <c r="C1316" s="165"/>
      <c r="D1316" s="165"/>
      <c r="E1316" s="165"/>
      <c r="F1316" s="165"/>
      <c r="G1316" s="165"/>
      <c r="H1316" s="165"/>
      <c r="I1316" s="165"/>
      <c r="J1316" s="165"/>
      <c r="K1316" s="165"/>
      <c r="L1316" s="165"/>
      <c r="M1316" s="165"/>
      <c r="N1316" s="165"/>
      <c r="O1316" s="165"/>
      <c r="P1316" s="165"/>
      <c r="Q1316" s="165"/>
      <c r="R1316" s="165"/>
      <c r="S1316" s="165"/>
      <c r="T1316" s="165"/>
      <c r="U1316" s="165"/>
      <c r="V1316" s="165"/>
      <c r="W1316" s="165"/>
      <c r="X1316" s="165"/>
    </row>
    <row r="1317" ht="18.75" customHeight="1">
      <c r="A1317" s="165">
        <v>1315.0</v>
      </c>
      <c r="B1317" s="167" t="s">
        <v>16777</v>
      </c>
      <c r="C1317" s="165"/>
      <c r="D1317" s="165"/>
      <c r="E1317" s="165"/>
      <c r="F1317" s="165"/>
      <c r="G1317" s="165"/>
      <c r="H1317" s="165"/>
      <c r="I1317" s="165"/>
      <c r="J1317" s="165"/>
      <c r="K1317" s="165"/>
      <c r="L1317" s="165"/>
      <c r="M1317" s="165"/>
      <c r="N1317" s="165"/>
      <c r="O1317" s="165"/>
      <c r="P1317" s="165"/>
      <c r="Q1317" s="165"/>
      <c r="R1317" s="165"/>
      <c r="S1317" s="165"/>
      <c r="T1317" s="165"/>
      <c r="U1317" s="165"/>
      <c r="V1317" s="165"/>
      <c r="W1317" s="165"/>
      <c r="X1317" s="165"/>
    </row>
    <row r="1318" ht="18.75" customHeight="1">
      <c r="A1318" s="165">
        <v>1316.0</v>
      </c>
      <c r="B1318" s="167" t="s">
        <v>16778</v>
      </c>
      <c r="C1318" s="165"/>
      <c r="D1318" s="165"/>
      <c r="E1318" s="165"/>
      <c r="F1318" s="165"/>
      <c r="G1318" s="165"/>
      <c r="H1318" s="165"/>
      <c r="I1318" s="165"/>
      <c r="J1318" s="165"/>
      <c r="K1318" s="165"/>
      <c r="L1318" s="165"/>
      <c r="M1318" s="165"/>
      <c r="N1318" s="165"/>
      <c r="O1318" s="165"/>
      <c r="P1318" s="165"/>
      <c r="Q1318" s="165"/>
      <c r="R1318" s="165"/>
      <c r="S1318" s="165"/>
      <c r="T1318" s="165"/>
      <c r="U1318" s="165"/>
      <c r="V1318" s="165"/>
      <c r="W1318" s="165"/>
      <c r="X1318" s="165"/>
    </row>
    <row r="1319" ht="18.75" customHeight="1">
      <c r="A1319" s="165">
        <v>1317.0</v>
      </c>
      <c r="B1319" s="167" t="s">
        <v>16779</v>
      </c>
      <c r="C1319" s="165"/>
      <c r="D1319" s="165"/>
      <c r="E1319" s="165"/>
      <c r="F1319" s="165"/>
      <c r="G1319" s="165"/>
      <c r="H1319" s="165"/>
      <c r="I1319" s="165"/>
      <c r="J1319" s="165"/>
      <c r="K1319" s="165"/>
      <c r="L1319" s="165"/>
      <c r="M1319" s="165"/>
      <c r="N1319" s="165"/>
      <c r="O1319" s="165"/>
      <c r="P1319" s="165"/>
      <c r="Q1319" s="165"/>
      <c r="R1319" s="165"/>
      <c r="S1319" s="165"/>
      <c r="T1319" s="165"/>
      <c r="U1319" s="165"/>
      <c r="V1319" s="165"/>
      <c r="W1319" s="165"/>
      <c r="X1319" s="165"/>
    </row>
    <row r="1320" ht="18.75" customHeight="1">
      <c r="A1320" s="165">
        <v>1318.0</v>
      </c>
      <c r="B1320" s="167" t="s">
        <v>16780</v>
      </c>
      <c r="C1320" s="165"/>
      <c r="D1320" s="165"/>
      <c r="E1320" s="165"/>
      <c r="F1320" s="165"/>
      <c r="G1320" s="165"/>
      <c r="H1320" s="165"/>
      <c r="I1320" s="165"/>
      <c r="J1320" s="165"/>
      <c r="K1320" s="165"/>
      <c r="L1320" s="165"/>
      <c r="M1320" s="165"/>
      <c r="N1320" s="165"/>
      <c r="O1320" s="165"/>
      <c r="P1320" s="165"/>
      <c r="Q1320" s="165"/>
      <c r="R1320" s="165"/>
      <c r="S1320" s="165"/>
      <c r="T1320" s="165"/>
      <c r="U1320" s="165"/>
      <c r="V1320" s="165"/>
      <c r="W1320" s="165"/>
      <c r="X1320" s="165"/>
    </row>
    <row r="1321" ht="18.75" customHeight="1">
      <c r="A1321" s="165">
        <v>1319.0</v>
      </c>
      <c r="B1321" s="168" t="s">
        <v>16781</v>
      </c>
      <c r="C1321" s="165"/>
      <c r="D1321" s="165"/>
      <c r="E1321" s="165"/>
      <c r="F1321" s="165"/>
      <c r="G1321" s="165"/>
      <c r="H1321" s="165"/>
      <c r="I1321" s="165"/>
      <c r="J1321" s="165"/>
      <c r="K1321" s="165"/>
      <c r="L1321" s="165"/>
      <c r="M1321" s="165"/>
      <c r="N1321" s="165"/>
      <c r="O1321" s="165"/>
      <c r="P1321" s="165"/>
      <c r="Q1321" s="165"/>
      <c r="R1321" s="165"/>
      <c r="S1321" s="165"/>
      <c r="T1321" s="165"/>
      <c r="U1321" s="165"/>
      <c r="V1321" s="165"/>
      <c r="W1321" s="165"/>
      <c r="X1321" s="165"/>
    </row>
    <row r="1322" ht="18.75" customHeight="1">
      <c r="A1322" s="165">
        <v>1320.0</v>
      </c>
      <c r="B1322" s="167" t="s">
        <v>16782</v>
      </c>
      <c r="C1322" s="165"/>
      <c r="D1322" s="165"/>
      <c r="E1322" s="165"/>
      <c r="F1322" s="165"/>
      <c r="G1322" s="165"/>
      <c r="H1322" s="165"/>
      <c r="I1322" s="165"/>
      <c r="J1322" s="165"/>
      <c r="K1322" s="165"/>
      <c r="L1322" s="165"/>
      <c r="M1322" s="165"/>
      <c r="N1322" s="165"/>
      <c r="O1322" s="165"/>
      <c r="P1322" s="165"/>
      <c r="Q1322" s="165"/>
      <c r="R1322" s="165"/>
      <c r="S1322" s="165"/>
      <c r="T1322" s="165"/>
      <c r="U1322" s="165"/>
      <c r="V1322" s="165"/>
      <c r="W1322" s="165"/>
      <c r="X1322" s="165"/>
    </row>
    <row r="1323" ht="18.75" customHeight="1">
      <c r="A1323" s="165">
        <v>1321.0</v>
      </c>
      <c r="B1323" s="167" t="s">
        <v>16783</v>
      </c>
      <c r="C1323" s="165"/>
      <c r="D1323" s="165"/>
      <c r="E1323" s="165"/>
      <c r="F1323" s="165"/>
      <c r="G1323" s="165"/>
      <c r="H1323" s="165"/>
      <c r="I1323" s="165"/>
      <c r="J1323" s="165"/>
      <c r="K1323" s="165"/>
      <c r="L1323" s="165"/>
      <c r="M1323" s="165"/>
      <c r="N1323" s="165"/>
      <c r="O1323" s="165"/>
      <c r="P1323" s="165"/>
      <c r="Q1323" s="165"/>
      <c r="R1323" s="165"/>
      <c r="S1323" s="165"/>
      <c r="T1323" s="165"/>
      <c r="U1323" s="165"/>
      <c r="V1323" s="165"/>
      <c r="W1323" s="165"/>
      <c r="X1323" s="165"/>
    </row>
    <row r="1324" ht="18.75" customHeight="1">
      <c r="A1324" s="165">
        <v>1322.0</v>
      </c>
      <c r="B1324" s="167" t="s">
        <v>16784</v>
      </c>
      <c r="C1324" s="165"/>
      <c r="D1324" s="165"/>
      <c r="E1324" s="165"/>
      <c r="F1324" s="165"/>
      <c r="G1324" s="165"/>
      <c r="H1324" s="165"/>
      <c r="I1324" s="165"/>
      <c r="J1324" s="165"/>
      <c r="K1324" s="165"/>
      <c r="L1324" s="165"/>
      <c r="M1324" s="165"/>
      <c r="N1324" s="165"/>
      <c r="O1324" s="165"/>
      <c r="P1324" s="165"/>
      <c r="Q1324" s="165"/>
      <c r="R1324" s="165"/>
      <c r="S1324" s="165"/>
      <c r="T1324" s="165"/>
      <c r="U1324" s="165"/>
      <c r="V1324" s="165"/>
      <c r="W1324" s="165"/>
      <c r="X1324" s="165"/>
    </row>
    <row r="1325" ht="18.75" customHeight="1">
      <c r="A1325" s="165">
        <v>1323.0</v>
      </c>
      <c r="B1325" s="167" t="s">
        <v>16785</v>
      </c>
      <c r="C1325" s="165"/>
      <c r="D1325" s="165"/>
      <c r="E1325" s="165"/>
      <c r="F1325" s="165"/>
      <c r="G1325" s="165"/>
      <c r="H1325" s="165"/>
      <c r="I1325" s="165"/>
      <c r="J1325" s="165"/>
      <c r="K1325" s="165"/>
      <c r="L1325" s="165"/>
      <c r="M1325" s="165"/>
      <c r="N1325" s="165"/>
      <c r="O1325" s="165"/>
      <c r="P1325" s="165"/>
      <c r="Q1325" s="165"/>
      <c r="R1325" s="165"/>
      <c r="S1325" s="165"/>
      <c r="T1325" s="165"/>
      <c r="U1325" s="165"/>
      <c r="V1325" s="165"/>
      <c r="W1325" s="165"/>
      <c r="X1325" s="165"/>
    </row>
    <row r="1326" ht="18.75" customHeight="1">
      <c r="A1326" s="165">
        <v>1324.0</v>
      </c>
      <c r="B1326" s="167" t="s">
        <v>16786</v>
      </c>
      <c r="C1326" s="165"/>
      <c r="D1326" s="165"/>
      <c r="E1326" s="165"/>
      <c r="F1326" s="165"/>
      <c r="G1326" s="165"/>
      <c r="H1326" s="165"/>
      <c r="I1326" s="165"/>
      <c r="J1326" s="165"/>
      <c r="K1326" s="165"/>
      <c r="L1326" s="165"/>
      <c r="M1326" s="165"/>
      <c r="N1326" s="165"/>
      <c r="O1326" s="165"/>
      <c r="P1326" s="165"/>
      <c r="Q1326" s="165"/>
      <c r="R1326" s="165"/>
      <c r="S1326" s="165"/>
      <c r="T1326" s="165"/>
      <c r="U1326" s="165"/>
      <c r="V1326" s="165"/>
      <c r="W1326" s="165"/>
      <c r="X1326" s="165"/>
    </row>
    <row r="1327" ht="18.75" customHeight="1">
      <c r="A1327" s="165">
        <v>1325.0</v>
      </c>
      <c r="B1327" s="167" t="s">
        <v>16787</v>
      </c>
      <c r="C1327" s="165"/>
      <c r="D1327" s="165"/>
      <c r="E1327" s="165"/>
      <c r="F1327" s="165"/>
      <c r="G1327" s="165"/>
      <c r="H1327" s="165"/>
      <c r="I1327" s="165"/>
      <c r="J1327" s="165"/>
      <c r="K1327" s="165"/>
      <c r="L1327" s="165"/>
      <c r="M1327" s="165"/>
      <c r="N1327" s="165"/>
      <c r="O1327" s="165"/>
      <c r="P1327" s="165"/>
      <c r="Q1327" s="165"/>
      <c r="R1327" s="165"/>
      <c r="S1327" s="165"/>
      <c r="T1327" s="165"/>
      <c r="U1327" s="165"/>
      <c r="V1327" s="165"/>
      <c r="W1327" s="165"/>
      <c r="X1327" s="165"/>
    </row>
    <row r="1328" ht="18.75" customHeight="1">
      <c r="A1328" s="165">
        <v>1326.0</v>
      </c>
      <c r="B1328" s="167" t="s">
        <v>16788</v>
      </c>
      <c r="C1328" s="165"/>
      <c r="D1328" s="165"/>
      <c r="E1328" s="165"/>
      <c r="F1328" s="165"/>
      <c r="G1328" s="165"/>
      <c r="H1328" s="165"/>
      <c r="I1328" s="165"/>
      <c r="J1328" s="165"/>
      <c r="K1328" s="165"/>
      <c r="L1328" s="165"/>
      <c r="M1328" s="165"/>
      <c r="N1328" s="165"/>
      <c r="O1328" s="165"/>
      <c r="P1328" s="165"/>
      <c r="Q1328" s="165"/>
      <c r="R1328" s="165"/>
      <c r="S1328" s="165"/>
      <c r="T1328" s="165"/>
      <c r="U1328" s="165"/>
      <c r="V1328" s="165"/>
      <c r="W1328" s="165"/>
      <c r="X1328" s="165"/>
    </row>
    <row r="1329" ht="18.75" customHeight="1">
      <c r="A1329" s="165">
        <v>1327.0</v>
      </c>
      <c r="B1329" s="167" t="s">
        <v>16789</v>
      </c>
      <c r="C1329" s="165"/>
      <c r="D1329" s="165"/>
      <c r="E1329" s="165"/>
      <c r="F1329" s="165"/>
      <c r="G1329" s="165"/>
      <c r="H1329" s="165"/>
      <c r="I1329" s="165"/>
      <c r="J1329" s="165"/>
      <c r="K1329" s="165"/>
      <c r="L1329" s="165"/>
      <c r="M1329" s="165"/>
      <c r="N1329" s="165"/>
      <c r="O1329" s="165"/>
      <c r="P1329" s="165"/>
      <c r="Q1329" s="165"/>
      <c r="R1329" s="165"/>
      <c r="S1329" s="165"/>
      <c r="T1329" s="165"/>
      <c r="U1329" s="165"/>
      <c r="V1329" s="165"/>
      <c r="W1329" s="165"/>
      <c r="X1329" s="165"/>
    </row>
    <row r="1330" ht="18.75" customHeight="1">
      <c r="A1330" s="165">
        <v>1328.0</v>
      </c>
      <c r="B1330" s="167" t="s">
        <v>16790</v>
      </c>
      <c r="C1330" s="165"/>
      <c r="D1330" s="165"/>
      <c r="E1330" s="165"/>
      <c r="F1330" s="165"/>
      <c r="G1330" s="165"/>
      <c r="H1330" s="165"/>
      <c r="I1330" s="165"/>
      <c r="J1330" s="165"/>
      <c r="K1330" s="165"/>
      <c r="L1330" s="165"/>
      <c r="M1330" s="165"/>
      <c r="N1330" s="165"/>
      <c r="O1330" s="165"/>
      <c r="P1330" s="165"/>
      <c r="Q1330" s="165"/>
      <c r="R1330" s="165"/>
      <c r="S1330" s="165"/>
      <c r="T1330" s="165"/>
      <c r="U1330" s="165"/>
      <c r="V1330" s="165"/>
      <c r="W1330" s="165"/>
      <c r="X1330" s="165"/>
    </row>
    <row r="1331" ht="18.75" customHeight="1">
      <c r="A1331" s="165">
        <v>1329.0</v>
      </c>
      <c r="B1331" s="167" t="s">
        <v>16791</v>
      </c>
      <c r="C1331" s="165"/>
      <c r="D1331" s="165"/>
      <c r="E1331" s="165"/>
      <c r="F1331" s="165"/>
      <c r="G1331" s="165"/>
      <c r="H1331" s="165"/>
      <c r="I1331" s="165"/>
      <c r="J1331" s="165"/>
      <c r="K1331" s="165"/>
      <c r="L1331" s="165"/>
      <c r="M1331" s="165"/>
      <c r="N1331" s="165"/>
      <c r="O1331" s="165"/>
      <c r="P1331" s="165"/>
      <c r="Q1331" s="165"/>
      <c r="R1331" s="165"/>
      <c r="S1331" s="165"/>
      <c r="T1331" s="165"/>
      <c r="U1331" s="165"/>
      <c r="V1331" s="165"/>
      <c r="W1331" s="165"/>
      <c r="X1331" s="165"/>
    </row>
    <row r="1332" ht="18.75" customHeight="1">
      <c r="A1332" s="165">
        <v>1330.0</v>
      </c>
      <c r="B1332" s="167" t="s">
        <v>16792</v>
      </c>
      <c r="C1332" s="165"/>
      <c r="D1332" s="165"/>
      <c r="E1332" s="165"/>
      <c r="F1332" s="165"/>
      <c r="G1332" s="165"/>
      <c r="H1332" s="165"/>
      <c r="I1332" s="165"/>
      <c r="J1332" s="165"/>
      <c r="K1332" s="165"/>
      <c r="L1332" s="165"/>
      <c r="M1332" s="165"/>
      <c r="N1332" s="165"/>
      <c r="O1332" s="165"/>
      <c r="P1332" s="165"/>
      <c r="Q1332" s="165"/>
      <c r="R1332" s="165"/>
      <c r="S1332" s="165"/>
      <c r="T1332" s="165"/>
      <c r="U1332" s="165"/>
      <c r="V1332" s="165"/>
      <c r="W1332" s="165"/>
      <c r="X1332" s="165"/>
    </row>
    <row r="1333" ht="18.75" customHeight="1">
      <c r="A1333" s="165">
        <v>1331.0</v>
      </c>
      <c r="B1333" s="167" t="s">
        <v>16793</v>
      </c>
      <c r="C1333" s="165"/>
      <c r="D1333" s="165"/>
      <c r="E1333" s="165"/>
      <c r="F1333" s="165"/>
      <c r="G1333" s="165"/>
      <c r="H1333" s="165"/>
      <c r="I1333" s="165"/>
      <c r="J1333" s="165"/>
      <c r="K1333" s="165"/>
      <c r="L1333" s="165"/>
      <c r="M1333" s="165"/>
      <c r="N1333" s="165"/>
      <c r="O1333" s="165"/>
      <c r="P1333" s="165"/>
      <c r="Q1333" s="165"/>
      <c r="R1333" s="165"/>
      <c r="S1333" s="165"/>
      <c r="T1333" s="165"/>
      <c r="U1333" s="165"/>
      <c r="V1333" s="165"/>
      <c r="W1333" s="165"/>
      <c r="X1333" s="165"/>
    </row>
    <row r="1334" ht="18.75" customHeight="1">
      <c r="A1334" s="165">
        <v>1332.0</v>
      </c>
      <c r="B1334" s="167" t="s">
        <v>16794</v>
      </c>
      <c r="C1334" s="165"/>
      <c r="D1334" s="165"/>
      <c r="E1334" s="165"/>
      <c r="F1334" s="165"/>
      <c r="G1334" s="165"/>
      <c r="H1334" s="165"/>
      <c r="I1334" s="165"/>
      <c r="J1334" s="165"/>
      <c r="K1334" s="165"/>
      <c r="L1334" s="165"/>
      <c r="M1334" s="165"/>
      <c r="N1334" s="165"/>
      <c r="O1334" s="165"/>
      <c r="P1334" s="165"/>
      <c r="Q1334" s="165"/>
      <c r="R1334" s="165"/>
      <c r="S1334" s="165"/>
      <c r="T1334" s="165"/>
      <c r="U1334" s="165"/>
      <c r="V1334" s="165"/>
      <c r="W1334" s="165"/>
      <c r="X1334" s="165"/>
    </row>
    <row r="1335" ht="18.75" customHeight="1">
      <c r="A1335" s="165">
        <v>1333.0</v>
      </c>
      <c r="B1335" s="167" t="s">
        <v>16795</v>
      </c>
      <c r="C1335" s="165"/>
      <c r="D1335" s="165"/>
      <c r="E1335" s="165"/>
      <c r="F1335" s="165"/>
      <c r="G1335" s="165"/>
      <c r="H1335" s="165"/>
      <c r="I1335" s="165"/>
      <c r="J1335" s="165"/>
      <c r="K1335" s="165"/>
      <c r="L1335" s="165"/>
      <c r="M1335" s="165"/>
      <c r="N1335" s="165"/>
      <c r="O1335" s="165"/>
      <c r="P1335" s="165"/>
      <c r="Q1335" s="165"/>
      <c r="R1335" s="165"/>
      <c r="S1335" s="165"/>
      <c r="T1335" s="165"/>
      <c r="U1335" s="165"/>
      <c r="V1335" s="165"/>
      <c r="W1335" s="165"/>
      <c r="X1335" s="165"/>
    </row>
    <row r="1336" ht="18.75" customHeight="1">
      <c r="A1336" s="165">
        <v>1334.0</v>
      </c>
      <c r="B1336" s="167" t="s">
        <v>16796</v>
      </c>
      <c r="C1336" s="165"/>
      <c r="D1336" s="165"/>
      <c r="E1336" s="165"/>
      <c r="F1336" s="165"/>
      <c r="G1336" s="165"/>
      <c r="H1336" s="165"/>
      <c r="I1336" s="165"/>
      <c r="J1336" s="165"/>
      <c r="K1336" s="165"/>
      <c r="L1336" s="165"/>
      <c r="M1336" s="165"/>
      <c r="N1336" s="165"/>
      <c r="O1336" s="165"/>
      <c r="P1336" s="165"/>
      <c r="Q1336" s="165"/>
      <c r="R1336" s="165"/>
      <c r="S1336" s="165"/>
      <c r="T1336" s="165"/>
      <c r="U1336" s="165"/>
      <c r="V1336" s="165"/>
      <c r="W1336" s="165"/>
      <c r="X1336" s="165"/>
    </row>
    <row r="1337" ht="18.75" customHeight="1">
      <c r="A1337" s="165">
        <v>1335.0</v>
      </c>
      <c r="B1337" s="167" t="s">
        <v>16797</v>
      </c>
      <c r="C1337" s="165"/>
      <c r="D1337" s="165"/>
      <c r="E1337" s="165"/>
      <c r="F1337" s="165"/>
      <c r="G1337" s="165"/>
      <c r="H1337" s="165"/>
      <c r="I1337" s="165"/>
      <c r="J1337" s="165"/>
      <c r="K1337" s="165"/>
      <c r="L1337" s="165"/>
      <c r="M1337" s="165"/>
      <c r="N1337" s="165"/>
      <c r="O1337" s="165"/>
      <c r="P1337" s="165"/>
      <c r="Q1337" s="165"/>
      <c r="R1337" s="165"/>
      <c r="S1337" s="165"/>
      <c r="T1337" s="165"/>
      <c r="U1337" s="165"/>
      <c r="V1337" s="165"/>
      <c r="W1337" s="165"/>
      <c r="X1337" s="165"/>
    </row>
    <row r="1338" ht="18.75" customHeight="1">
      <c r="A1338" s="165">
        <v>1336.0</v>
      </c>
      <c r="B1338" s="167" t="s">
        <v>16798</v>
      </c>
      <c r="C1338" s="165"/>
      <c r="D1338" s="165"/>
      <c r="E1338" s="165"/>
      <c r="F1338" s="165"/>
      <c r="G1338" s="165"/>
      <c r="H1338" s="165"/>
      <c r="I1338" s="165"/>
      <c r="J1338" s="165"/>
      <c r="K1338" s="165"/>
      <c r="L1338" s="165"/>
      <c r="M1338" s="165"/>
      <c r="N1338" s="165"/>
      <c r="O1338" s="165"/>
      <c r="P1338" s="165"/>
      <c r="Q1338" s="165"/>
      <c r="R1338" s="165"/>
      <c r="S1338" s="165"/>
      <c r="T1338" s="165"/>
      <c r="U1338" s="165"/>
      <c r="V1338" s="165"/>
      <c r="W1338" s="165"/>
      <c r="X1338" s="165"/>
    </row>
    <row r="1339" ht="18.75" customHeight="1">
      <c r="A1339" s="165">
        <v>1337.0</v>
      </c>
      <c r="B1339" s="168" t="s">
        <v>16799</v>
      </c>
      <c r="C1339" s="165"/>
      <c r="D1339" s="165"/>
      <c r="E1339" s="165"/>
      <c r="F1339" s="165"/>
      <c r="G1339" s="165"/>
      <c r="H1339" s="165"/>
      <c r="I1339" s="165"/>
      <c r="J1339" s="165"/>
      <c r="K1339" s="165"/>
      <c r="L1339" s="165"/>
      <c r="M1339" s="165"/>
      <c r="N1339" s="165"/>
      <c r="O1339" s="165"/>
      <c r="P1339" s="165"/>
      <c r="Q1339" s="165"/>
      <c r="R1339" s="165"/>
      <c r="S1339" s="165"/>
      <c r="T1339" s="165"/>
      <c r="U1339" s="165"/>
      <c r="V1339" s="165"/>
      <c r="W1339" s="165"/>
      <c r="X1339" s="165"/>
    </row>
    <row r="1340" ht="18.75" customHeight="1">
      <c r="A1340" s="165">
        <v>1338.0</v>
      </c>
      <c r="B1340" s="167" t="s">
        <v>16800</v>
      </c>
      <c r="C1340" s="165"/>
      <c r="D1340" s="165"/>
      <c r="E1340" s="165"/>
      <c r="F1340" s="165"/>
      <c r="G1340" s="165"/>
      <c r="H1340" s="165"/>
      <c r="I1340" s="165"/>
      <c r="J1340" s="165"/>
      <c r="K1340" s="165"/>
      <c r="L1340" s="165"/>
      <c r="M1340" s="165"/>
      <c r="N1340" s="165"/>
      <c r="O1340" s="165"/>
      <c r="P1340" s="165"/>
      <c r="Q1340" s="165"/>
      <c r="R1340" s="165"/>
      <c r="S1340" s="165"/>
      <c r="T1340" s="165"/>
      <c r="U1340" s="165"/>
      <c r="V1340" s="165"/>
      <c r="W1340" s="165"/>
      <c r="X1340" s="165"/>
    </row>
    <row r="1341" ht="18.75" customHeight="1">
      <c r="A1341" s="165">
        <v>1339.0</v>
      </c>
      <c r="B1341" s="167" t="s">
        <v>16801</v>
      </c>
      <c r="C1341" s="165"/>
      <c r="D1341" s="165"/>
      <c r="E1341" s="165"/>
      <c r="F1341" s="165"/>
      <c r="G1341" s="165"/>
      <c r="H1341" s="165"/>
      <c r="I1341" s="165"/>
      <c r="J1341" s="165"/>
      <c r="K1341" s="165"/>
      <c r="L1341" s="165"/>
      <c r="M1341" s="165"/>
      <c r="N1341" s="165"/>
      <c r="O1341" s="165"/>
      <c r="P1341" s="165"/>
      <c r="Q1341" s="165"/>
      <c r="R1341" s="165"/>
      <c r="S1341" s="165"/>
      <c r="T1341" s="165"/>
      <c r="U1341" s="165"/>
      <c r="V1341" s="165"/>
      <c r="W1341" s="165"/>
      <c r="X1341" s="165"/>
    </row>
    <row r="1342" ht="18.75" customHeight="1">
      <c r="A1342" s="165">
        <v>1340.0</v>
      </c>
      <c r="B1342" s="178" t="s">
        <v>16802</v>
      </c>
      <c r="C1342" s="165"/>
      <c r="D1342" s="165"/>
      <c r="E1342" s="165"/>
      <c r="F1342" s="165"/>
      <c r="G1342" s="165"/>
      <c r="H1342" s="165"/>
      <c r="I1342" s="165"/>
      <c r="J1342" s="165"/>
      <c r="K1342" s="165"/>
      <c r="L1342" s="165"/>
      <c r="M1342" s="165"/>
      <c r="N1342" s="165"/>
      <c r="O1342" s="165"/>
      <c r="P1342" s="165"/>
      <c r="Q1342" s="165"/>
      <c r="R1342" s="165"/>
      <c r="S1342" s="165"/>
      <c r="T1342" s="165"/>
      <c r="U1342" s="165"/>
      <c r="V1342" s="165"/>
      <c r="W1342" s="165"/>
      <c r="X1342" s="165"/>
    </row>
    <row r="1343" ht="18.75" customHeight="1">
      <c r="A1343" s="165">
        <v>1341.0</v>
      </c>
      <c r="B1343" s="167" t="s">
        <v>16803</v>
      </c>
      <c r="C1343" s="165"/>
      <c r="D1343" s="165"/>
      <c r="E1343" s="165"/>
      <c r="F1343" s="165"/>
      <c r="G1343" s="165"/>
      <c r="H1343" s="165"/>
      <c r="I1343" s="165"/>
      <c r="J1343" s="165"/>
      <c r="K1343" s="165"/>
      <c r="L1343" s="165"/>
      <c r="M1343" s="165"/>
      <c r="N1343" s="165"/>
      <c r="O1343" s="165"/>
      <c r="P1343" s="165"/>
      <c r="Q1343" s="165"/>
      <c r="R1343" s="165"/>
      <c r="S1343" s="165"/>
      <c r="T1343" s="165"/>
      <c r="U1343" s="165"/>
      <c r="V1343" s="165"/>
      <c r="W1343" s="165"/>
      <c r="X1343" s="165"/>
    </row>
    <row r="1344" ht="18.75" customHeight="1">
      <c r="A1344" s="165">
        <v>1342.0</v>
      </c>
      <c r="B1344" s="167" t="s">
        <v>16804</v>
      </c>
      <c r="C1344" s="165"/>
      <c r="D1344" s="165"/>
      <c r="E1344" s="165"/>
      <c r="F1344" s="165"/>
      <c r="G1344" s="165"/>
      <c r="H1344" s="165"/>
      <c r="I1344" s="165"/>
      <c r="J1344" s="165"/>
      <c r="K1344" s="165"/>
      <c r="L1344" s="165"/>
      <c r="M1344" s="165"/>
      <c r="N1344" s="165"/>
      <c r="O1344" s="165"/>
      <c r="P1344" s="165"/>
      <c r="Q1344" s="165"/>
      <c r="R1344" s="165"/>
      <c r="S1344" s="165"/>
      <c r="T1344" s="165"/>
      <c r="U1344" s="165"/>
      <c r="V1344" s="165"/>
      <c r="W1344" s="165"/>
      <c r="X1344" s="165"/>
    </row>
    <row r="1345" ht="18.75" customHeight="1">
      <c r="A1345" s="165">
        <v>1343.0</v>
      </c>
      <c r="B1345" s="167" t="s">
        <v>16805</v>
      </c>
      <c r="C1345" s="165"/>
      <c r="D1345" s="165"/>
      <c r="E1345" s="165"/>
      <c r="F1345" s="165"/>
      <c r="G1345" s="165"/>
      <c r="H1345" s="165"/>
      <c r="I1345" s="165"/>
      <c r="J1345" s="165"/>
      <c r="K1345" s="165"/>
      <c r="L1345" s="165"/>
      <c r="M1345" s="165"/>
      <c r="N1345" s="165"/>
      <c r="O1345" s="165"/>
      <c r="P1345" s="165"/>
      <c r="Q1345" s="165"/>
      <c r="R1345" s="165"/>
      <c r="S1345" s="165"/>
      <c r="T1345" s="165"/>
      <c r="U1345" s="165"/>
      <c r="V1345" s="165"/>
      <c r="W1345" s="165"/>
      <c r="X1345" s="165"/>
    </row>
    <row r="1346" ht="18.75" customHeight="1">
      <c r="A1346" s="165">
        <v>1344.0</v>
      </c>
      <c r="B1346" s="165" t="s">
        <v>16806</v>
      </c>
      <c r="C1346" s="165"/>
      <c r="D1346" s="165"/>
      <c r="E1346" s="165"/>
      <c r="F1346" s="165"/>
      <c r="G1346" s="165"/>
      <c r="H1346" s="165"/>
      <c r="I1346" s="165"/>
      <c r="J1346" s="165"/>
      <c r="K1346" s="165"/>
      <c r="L1346" s="165"/>
      <c r="M1346" s="165"/>
      <c r="N1346" s="165"/>
      <c r="O1346" s="165"/>
      <c r="P1346" s="165"/>
      <c r="Q1346" s="165"/>
      <c r="R1346" s="165"/>
      <c r="S1346" s="165"/>
      <c r="T1346" s="165"/>
      <c r="U1346" s="165"/>
      <c r="V1346" s="165"/>
      <c r="W1346" s="165"/>
      <c r="X1346" s="165"/>
    </row>
    <row r="1347" ht="18.75" customHeight="1">
      <c r="A1347" s="165">
        <v>1345.0</v>
      </c>
      <c r="B1347" s="165" t="s">
        <v>16807</v>
      </c>
      <c r="C1347" s="165"/>
      <c r="D1347" s="165"/>
      <c r="E1347" s="165"/>
      <c r="F1347" s="165"/>
      <c r="G1347" s="165"/>
      <c r="H1347" s="165"/>
      <c r="I1347" s="165"/>
      <c r="J1347" s="165"/>
      <c r="K1347" s="165"/>
      <c r="L1347" s="165"/>
      <c r="M1347" s="165"/>
      <c r="N1347" s="165"/>
      <c r="O1347" s="165"/>
      <c r="P1347" s="165"/>
      <c r="Q1347" s="165"/>
      <c r="R1347" s="165"/>
      <c r="S1347" s="165"/>
      <c r="T1347" s="165"/>
      <c r="U1347" s="165"/>
      <c r="V1347" s="165"/>
      <c r="W1347" s="165"/>
      <c r="X1347" s="165"/>
    </row>
    <row r="1348" ht="18.75" customHeight="1">
      <c r="A1348" s="165">
        <v>1346.0</v>
      </c>
      <c r="B1348" s="167" t="s">
        <v>16808</v>
      </c>
      <c r="C1348" s="165"/>
      <c r="D1348" s="165"/>
      <c r="E1348" s="165"/>
      <c r="F1348" s="165"/>
      <c r="G1348" s="165"/>
      <c r="H1348" s="165"/>
      <c r="I1348" s="165"/>
      <c r="J1348" s="165"/>
      <c r="K1348" s="165"/>
      <c r="L1348" s="165"/>
      <c r="M1348" s="165"/>
      <c r="N1348" s="165"/>
      <c r="O1348" s="165"/>
      <c r="P1348" s="165"/>
      <c r="Q1348" s="165"/>
      <c r="R1348" s="165"/>
      <c r="S1348" s="165"/>
      <c r="T1348" s="165"/>
      <c r="U1348" s="165"/>
      <c r="V1348" s="165"/>
      <c r="W1348" s="165"/>
      <c r="X1348" s="165"/>
    </row>
    <row r="1349" ht="18.75" customHeight="1">
      <c r="A1349" s="165">
        <v>1347.0</v>
      </c>
      <c r="B1349" s="165" t="s">
        <v>16809</v>
      </c>
      <c r="C1349" s="165"/>
      <c r="D1349" s="165"/>
      <c r="E1349" s="165"/>
      <c r="F1349" s="165"/>
      <c r="G1349" s="165"/>
      <c r="H1349" s="165"/>
      <c r="I1349" s="165"/>
      <c r="J1349" s="165"/>
      <c r="K1349" s="165"/>
      <c r="L1349" s="165"/>
      <c r="M1349" s="165"/>
      <c r="N1349" s="165"/>
      <c r="O1349" s="165"/>
      <c r="P1349" s="165"/>
      <c r="Q1349" s="165"/>
      <c r="R1349" s="165"/>
      <c r="S1349" s="165"/>
      <c r="T1349" s="165"/>
      <c r="U1349" s="165"/>
      <c r="V1349" s="165"/>
      <c r="W1349" s="165"/>
      <c r="X1349" s="165"/>
    </row>
    <row r="1350" ht="18.75" customHeight="1">
      <c r="A1350" s="165">
        <v>1348.0</v>
      </c>
      <c r="B1350" s="165" t="s">
        <v>16810</v>
      </c>
      <c r="C1350" s="165"/>
      <c r="D1350" s="165"/>
      <c r="E1350" s="165"/>
      <c r="F1350" s="165"/>
      <c r="G1350" s="165"/>
      <c r="H1350" s="165"/>
      <c r="I1350" s="165"/>
      <c r="J1350" s="165"/>
      <c r="K1350" s="165"/>
      <c r="L1350" s="165"/>
      <c r="M1350" s="165"/>
      <c r="N1350" s="165"/>
      <c r="O1350" s="165"/>
      <c r="P1350" s="165"/>
      <c r="Q1350" s="165"/>
      <c r="R1350" s="165"/>
      <c r="S1350" s="165"/>
      <c r="T1350" s="165"/>
      <c r="U1350" s="165"/>
      <c r="V1350" s="165"/>
      <c r="W1350" s="165"/>
      <c r="X1350" s="165"/>
    </row>
    <row r="1351" ht="18.75" customHeight="1">
      <c r="A1351" s="165">
        <v>1349.0</v>
      </c>
      <c r="B1351" s="165" t="s">
        <v>16811</v>
      </c>
      <c r="C1351" s="165"/>
      <c r="D1351" s="165"/>
      <c r="E1351" s="165"/>
      <c r="F1351" s="165"/>
      <c r="G1351" s="165"/>
      <c r="H1351" s="165"/>
      <c r="I1351" s="165"/>
      <c r="J1351" s="165"/>
      <c r="K1351" s="165"/>
      <c r="L1351" s="165"/>
      <c r="M1351" s="165"/>
      <c r="N1351" s="165"/>
      <c r="O1351" s="165"/>
      <c r="P1351" s="165"/>
      <c r="Q1351" s="165"/>
      <c r="R1351" s="165"/>
      <c r="S1351" s="165"/>
      <c r="T1351" s="165"/>
      <c r="U1351" s="165"/>
      <c r="V1351" s="165"/>
      <c r="W1351" s="165"/>
      <c r="X1351" s="165"/>
    </row>
    <row r="1352" ht="18.75" customHeight="1">
      <c r="A1352" s="165">
        <v>1350.0</v>
      </c>
      <c r="B1352" s="165" t="s">
        <v>16812</v>
      </c>
      <c r="C1352" s="165"/>
      <c r="D1352" s="165"/>
      <c r="E1352" s="165"/>
      <c r="F1352" s="165"/>
      <c r="G1352" s="165"/>
      <c r="H1352" s="165"/>
      <c r="I1352" s="165"/>
      <c r="J1352" s="165"/>
      <c r="K1352" s="165"/>
      <c r="L1352" s="165"/>
      <c r="M1352" s="165"/>
      <c r="N1352" s="165"/>
      <c r="O1352" s="165"/>
      <c r="P1352" s="165"/>
      <c r="Q1352" s="165"/>
      <c r="R1352" s="165"/>
      <c r="S1352" s="165"/>
      <c r="T1352" s="165"/>
      <c r="U1352" s="165"/>
      <c r="V1352" s="165"/>
      <c r="W1352" s="165"/>
      <c r="X1352" s="165"/>
    </row>
    <row r="1353" ht="18.75" customHeight="1">
      <c r="A1353" s="165">
        <v>1351.0</v>
      </c>
      <c r="B1353" s="165" t="s">
        <v>16813</v>
      </c>
      <c r="C1353" s="165"/>
      <c r="D1353" s="165"/>
      <c r="E1353" s="165"/>
      <c r="F1353" s="165"/>
      <c r="G1353" s="165"/>
      <c r="H1353" s="165"/>
      <c r="I1353" s="165"/>
      <c r="J1353" s="165"/>
      <c r="K1353" s="165"/>
      <c r="L1353" s="165"/>
      <c r="M1353" s="165"/>
      <c r="N1353" s="165"/>
      <c r="O1353" s="165"/>
      <c r="P1353" s="165"/>
      <c r="Q1353" s="165"/>
      <c r="R1353" s="165"/>
      <c r="S1353" s="165"/>
      <c r="T1353" s="165"/>
      <c r="U1353" s="165"/>
      <c r="V1353" s="165"/>
      <c r="W1353" s="165"/>
      <c r="X1353" s="165"/>
    </row>
    <row r="1354" ht="18.75" customHeight="1">
      <c r="A1354" s="165">
        <v>1352.0</v>
      </c>
      <c r="B1354" s="165" t="s">
        <v>16814</v>
      </c>
      <c r="C1354" s="165"/>
      <c r="D1354" s="165"/>
      <c r="E1354" s="165"/>
      <c r="F1354" s="165"/>
      <c r="G1354" s="165"/>
      <c r="H1354" s="165"/>
      <c r="I1354" s="165"/>
      <c r="J1354" s="165"/>
      <c r="K1354" s="165"/>
      <c r="L1354" s="165"/>
      <c r="M1354" s="165"/>
      <c r="N1354" s="165"/>
      <c r="O1354" s="165"/>
      <c r="P1354" s="165"/>
      <c r="Q1354" s="165"/>
      <c r="R1354" s="165"/>
      <c r="S1354" s="165"/>
      <c r="T1354" s="165"/>
      <c r="U1354" s="165"/>
      <c r="V1354" s="165"/>
      <c r="W1354" s="165"/>
      <c r="X1354" s="165"/>
    </row>
    <row r="1355" ht="18.75" customHeight="1">
      <c r="A1355" s="165">
        <v>1353.0</v>
      </c>
      <c r="B1355" s="165" t="s">
        <v>16815</v>
      </c>
      <c r="C1355" s="165"/>
      <c r="D1355" s="165"/>
      <c r="E1355" s="165"/>
      <c r="F1355" s="165"/>
      <c r="G1355" s="165"/>
      <c r="H1355" s="165"/>
      <c r="I1355" s="165"/>
      <c r="J1355" s="165"/>
      <c r="K1355" s="165"/>
      <c r="L1355" s="165"/>
      <c r="M1355" s="165"/>
      <c r="N1355" s="165"/>
      <c r="O1355" s="165"/>
      <c r="P1355" s="165"/>
      <c r="Q1355" s="165"/>
      <c r="R1355" s="165"/>
      <c r="S1355" s="165"/>
      <c r="T1355" s="165"/>
      <c r="U1355" s="165"/>
      <c r="V1355" s="165"/>
      <c r="W1355" s="165"/>
      <c r="X1355" s="165"/>
    </row>
    <row r="1356" ht="18.75" customHeight="1">
      <c r="A1356" s="165">
        <v>1354.0</v>
      </c>
      <c r="B1356" s="167" t="s">
        <v>16816</v>
      </c>
      <c r="C1356" s="165"/>
      <c r="D1356" s="165"/>
      <c r="E1356" s="165"/>
      <c r="F1356" s="165"/>
      <c r="G1356" s="165"/>
      <c r="H1356" s="165"/>
      <c r="I1356" s="165"/>
      <c r="J1356" s="165"/>
      <c r="K1356" s="165"/>
      <c r="L1356" s="165"/>
      <c r="M1356" s="165"/>
      <c r="N1356" s="165"/>
      <c r="O1356" s="165"/>
      <c r="P1356" s="165"/>
      <c r="Q1356" s="165"/>
      <c r="R1356" s="165"/>
      <c r="S1356" s="165"/>
      <c r="T1356" s="165"/>
      <c r="U1356" s="165"/>
      <c r="V1356" s="165"/>
      <c r="W1356" s="165"/>
      <c r="X1356" s="165"/>
    </row>
    <row r="1357" ht="18.75" customHeight="1">
      <c r="A1357" s="165">
        <v>1355.0</v>
      </c>
      <c r="B1357" s="167" t="s">
        <v>16817</v>
      </c>
      <c r="C1357" s="165"/>
      <c r="D1357" s="165"/>
      <c r="E1357" s="165"/>
      <c r="F1357" s="165"/>
      <c r="G1357" s="165"/>
      <c r="H1357" s="165"/>
      <c r="I1357" s="165"/>
      <c r="J1357" s="165"/>
      <c r="K1357" s="165"/>
      <c r="L1357" s="165"/>
      <c r="M1357" s="165"/>
      <c r="N1357" s="165"/>
      <c r="O1357" s="165"/>
      <c r="P1357" s="165"/>
      <c r="Q1357" s="165"/>
      <c r="R1357" s="165"/>
      <c r="S1357" s="165"/>
      <c r="T1357" s="165"/>
      <c r="U1357" s="165"/>
      <c r="V1357" s="165"/>
      <c r="W1357" s="165"/>
      <c r="X1357" s="165"/>
    </row>
    <row r="1358" ht="18.75" customHeight="1">
      <c r="A1358" s="165">
        <v>1356.0</v>
      </c>
      <c r="B1358" s="165" t="s">
        <v>16818</v>
      </c>
      <c r="C1358" s="165"/>
      <c r="D1358" s="165"/>
      <c r="E1358" s="165"/>
      <c r="F1358" s="165"/>
      <c r="G1358" s="165"/>
      <c r="H1358" s="165"/>
      <c r="I1358" s="165"/>
      <c r="J1358" s="165"/>
      <c r="K1358" s="165"/>
      <c r="L1358" s="165"/>
      <c r="M1358" s="165"/>
      <c r="N1358" s="165"/>
      <c r="O1358" s="165"/>
      <c r="P1358" s="165"/>
      <c r="Q1358" s="165"/>
      <c r="R1358" s="165"/>
      <c r="S1358" s="165"/>
      <c r="T1358" s="165"/>
      <c r="U1358" s="165"/>
      <c r="V1358" s="165"/>
      <c r="W1358" s="165"/>
      <c r="X1358" s="165"/>
    </row>
    <row r="1359" ht="18.75" customHeight="1">
      <c r="A1359" s="165">
        <v>1357.0</v>
      </c>
      <c r="B1359" s="165" t="s">
        <v>16819</v>
      </c>
      <c r="C1359" s="165"/>
      <c r="D1359" s="165"/>
      <c r="E1359" s="165"/>
      <c r="F1359" s="165"/>
      <c r="G1359" s="165"/>
      <c r="H1359" s="165"/>
      <c r="I1359" s="165"/>
      <c r="J1359" s="165"/>
      <c r="K1359" s="165"/>
      <c r="L1359" s="165"/>
      <c r="M1359" s="165"/>
      <c r="N1359" s="165"/>
      <c r="O1359" s="165"/>
      <c r="P1359" s="165"/>
      <c r="Q1359" s="165"/>
      <c r="R1359" s="165"/>
      <c r="S1359" s="165"/>
      <c r="T1359" s="165"/>
      <c r="U1359" s="165"/>
      <c r="V1359" s="165"/>
      <c r="W1359" s="165"/>
      <c r="X1359" s="165"/>
    </row>
    <row r="1360" ht="18.75" customHeight="1">
      <c r="A1360" s="165">
        <v>1358.0</v>
      </c>
      <c r="B1360" s="167" t="s">
        <v>16820</v>
      </c>
      <c r="C1360" s="165"/>
      <c r="D1360" s="165"/>
      <c r="E1360" s="165"/>
      <c r="F1360" s="165"/>
      <c r="G1360" s="165"/>
      <c r="H1360" s="165"/>
      <c r="I1360" s="165"/>
      <c r="J1360" s="165"/>
      <c r="K1360" s="165"/>
      <c r="L1360" s="165"/>
      <c r="M1360" s="165"/>
      <c r="N1360" s="165"/>
      <c r="O1360" s="165"/>
      <c r="P1360" s="165"/>
      <c r="Q1360" s="165"/>
      <c r="R1360" s="165"/>
      <c r="S1360" s="165"/>
      <c r="T1360" s="165"/>
      <c r="U1360" s="165"/>
      <c r="V1360" s="165"/>
      <c r="W1360" s="165"/>
      <c r="X1360" s="165"/>
    </row>
    <row r="1361" ht="18.75" customHeight="1">
      <c r="A1361" s="165">
        <v>1359.0</v>
      </c>
      <c r="B1361" s="165" t="s">
        <v>16821</v>
      </c>
      <c r="C1361" s="165"/>
      <c r="D1361" s="165"/>
      <c r="E1361" s="165"/>
      <c r="F1361" s="165"/>
      <c r="G1361" s="165"/>
      <c r="H1361" s="165"/>
      <c r="I1361" s="165"/>
      <c r="J1361" s="165"/>
      <c r="K1361" s="165"/>
      <c r="L1361" s="165"/>
      <c r="M1361" s="165"/>
      <c r="N1361" s="165"/>
      <c r="O1361" s="165"/>
      <c r="P1361" s="165"/>
      <c r="Q1361" s="165"/>
      <c r="R1361" s="165"/>
      <c r="S1361" s="165"/>
      <c r="T1361" s="165"/>
      <c r="U1361" s="165"/>
      <c r="V1361" s="165"/>
      <c r="W1361" s="165"/>
      <c r="X1361" s="165"/>
    </row>
    <row r="1362" ht="18.75" customHeight="1">
      <c r="A1362" s="165">
        <v>1360.0</v>
      </c>
      <c r="B1362" s="167" t="s">
        <v>16822</v>
      </c>
      <c r="C1362" s="165"/>
      <c r="D1362" s="165"/>
      <c r="E1362" s="165"/>
      <c r="F1362" s="165"/>
      <c r="G1362" s="165"/>
      <c r="H1362" s="165"/>
      <c r="I1362" s="165"/>
      <c r="J1362" s="165"/>
      <c r="K1362" s="165"/>
      <c r="L1362" s="165"/>
      <c r="M1362" s="165"/>
      <c r="N1362" s="165"/>
      <c r="O1362" s="165"/>
      <c r="P1362" s="165"/>
      <c r="Q1362" s="165"/>
      <c r="R1362" s="165"/>
      <c r="S1362" s="165"/>
      <c r="T1362" s="165"/>
      <c r="U1362" s="165"/>
      <c r="V1362" s="165"/>
      <c r="W1362" s="165"/>
      <c r="X1362" s="165"/>
    </row>
    <row r="1363" ht="18.75" customHeight="1">
      <c r="A1363" s="165">
        <v>1361.0</v>
      </c>
      <c r="B1363" s="165" t="s">
        <v>16823</v>
      </c>
      <c r="C1363" s="165"/>
      <c r="D1363" s="165"/>
      <c r="E1363" s="165"/>
      <c r="F1363" s="165"/>
      <c r="G1363" s="165"/>
      <c r="H1363" s="165"/>
      <c r="I1363" s="165"/>
      <c r="J1363" s="165"/>
      <c r="K1363" s="165"/>
      <c r="L1363" s="165"/>
      <c r="M1363" s="165"/>
      <c r="N1363" s="165"/>
      <c r="O1363" s="165"/>
      <c r="P1363" s="165"/>
      <c r="Q1363" s="165"/>
      <c r="R1363" s="165"/>
      <c r="S1363" s="165"/>
      <c r="T1363" s="165"/>
      <c r="U1363" s="165"/>
      <c r="V1363" s="165"/>
      <c r="W1363" s="165"/>
      <c r="X1363" s="165"/>
    </row>
    <row r="1364" ht="18.75" customHeight="1">
      <c r="A1364" s="165">
        <v>1362.0</v>
      </c>
      <c r="B1364" s="167" t="s">
        <v>16824</v>
      </c>
      <c r="C1364" s="165"/>
      <c r="D1364" s="165"/>
      <c r="E1364" s="165"/>
      <c r="F1364" s="165"/>
      <c r="G1364" s="165"/>
      <c r="H1364" s="165"/>
      <c r="I1364" s="165"/>
      <c r="J1364" s="165"/>
      <c r="K1364" s="165"/>
      <c r="L1364" s="165"/>
      <c r="M1364" s="165"/>
      <c r="N1364" s="165"/>
      <c r="O1364" s="165"/>
      <c r="P1364" s="165"/>
      <c r="Q1364" s="165"/>
      <c r="R1364" s="165"/>
      <c r="S1364" s="165"/>
      <c r="T1364" s="165"/>
      <c r="U1364" s="165"/>
      <c r="V1364" s="165"/>
      <c r="W1364" s="165"/>
      <c r="X1364" s="165"/>
    </row>
    <row r="1365" ht="18.75" customHeight="1">
      <c r="A1365" s="165">
        <v>1363.0</v>
      </c>
      <c r="B1365" s="167" t="s">
        <v>16825</v>
      </c>
      <c r="C1365" s="165"/>
      <c r="D1365" s="165"/>
      <c r="E1365" s="165"/>
      <c r="F1365" s="165"/>
      <c r="G1365" s="165"/>
      <c r="H1365" s="165"/>
      <c r="I1365" s="165"/>
      <c r="J1365" s="165"/>
      <c r="K1365" s="165"/>
      <c r="L1365" s="165"/>
      <c r="M1365" s="165"/>
      <c r="N1365" s="165"/>
      <c r="O1365" s="165"/>
      <c r="P1365" s="165"/>
      <c r="Q1365" s="165"/>
      <c r="R1365" s="165"/>
      <c r="S1365" s="165"/>
      <c r="T1365" s="165"/>
      <c r="U1365" s="165"/>
      <c r="V1365" s="165"/>
      <c r="W1365" s="165"/>
      <c r="X1365" s="165"/>
    </row>
    <row r="1366" ht="18.75" customHeight="1">
      <c r="A1366" s="165">
        <v>1364.0</v>
      </c>
      <c r="B1366" s="165" t="s">
        <v>16826</v>
      </c>
      <c r="C1366" s="165"/>
      <c r="D1366" s="165"/>
      <c r="E1366" s="165"/>
      <c r="F1366" s="165"/>
      <c r="G1366" s="165"/>
      <c r="H1366" s="165"/>
      <c r="I1366" s="165"/>
      <c r="J1366" s="165"/>
      <c r="K1366" s="165"/>
      <c r="L1366" s="165"/>
      <c r="M1366" s="165"/>
      <c r="N1366" s="165"/>
      <c r="O1366" s="165"/>
      <c r="P1366" s="165"/>
      <c r="Q1366" s="165"/>
      <c r="R1366" s="165"/>
      <c r="S1366" s="165"/>
      <c r="T1366" s="165"/>
      <c r="U1366" s="165"/>
      <c r="V1366" s="165"/>
      <c r="W1366" s="165"/>
      <c r="X1366" s="165"/>
    </row>
    <row r="1367" ht="18.75" customHeight="1">
      <c r="A1367" s="165">
        <v>1365.0</v>
      </c>
      <c r="B1367" s="167" t="s">
        <v>16827</v>
      </c>
      <c r="C1367" s="165"/>
      <c r="D1367" s="165"/>
      <c r="E1367" s="165"/>
      <c r="F1367" s="165"/>
      <c r="G1367" s="165"/>
      <c r="H1367" s="165"/>
      <c r="I1367" s="165"/>
      <c r="J1367" s="165"/>
      <c r="K1367" s="165"/>
      <c r="L1367" s="165"/>
      <c r="M1367" s="165"/>
      <c r="N1367" s="165"/>
      <c r="O1367" s="165"/>
      <c r="P1367" s="165"/>
      <c r="Q1367" s="165"/>
      <c r="R1367" s="165"/>
      <c r="S1367" s="165"/>
      <c r="T1367" s="165"/>
      <c r="U1367" s="165"/>
      <c r="V1367" s="165"/>
      <c r="W1367" s="165"/>
      <c r="X1367" s="165"/>
    </row>
    <row r="1368" ht="18.75" customHeight="1">
      <c r="A1368" s="165">
        <v>1366.0</v>
      </c>
      <c r="B1368" s="167" t="s">
        <v>16828</v>
      </c>
      <c r="C1368" s="165"/>
      <c r="D1368" s="165"/>
      <c r="E1368" s="165"/>
      <c r="F1368" s="165"/>
      <c r="G1368" s="165"/>
      <c r="H1368" s="165"/>
      <c r="I1368" s="165"/>
      <c r="J1368" s="165"/>
      <c r="K1368" s="165"/>
      <c r="L1368" s="165"/>
      <c r="M1368" s="165"/>
      <c r="N1368" s="165"/>
      <c r="O1368" s="165"/>
      <c r="P1368" s="165"/>
      <c r="Q1368" s="165"/>
      <c r="R1368" s="165"/>
      <c r="S1368" s="165"/>
      <c r="T1368" s="165"/>
      <c r="U1368" s="165"/>
      <c r="V1368" s="165"/>
      <c r="W1368" s="165"/>
      <c r="X1368" s="165"/>
    </row>
    <row r="1369" ht="18.75" customHeight="1">
      <c r="A1369" s="165">
        <v>1367.0</v>
      </c>
      <c r="B1369" s="165" t="s">
        <v>16829</v>
      </c>
      <c r="C1369" s="165"/>
      <c r="D1369" s="165"/>
      <c r="E1369" s="165"/>
      <c r="F1369" s="165"/>
      <c r="G1369" s="165"/>
      <c r="H1369" s="165"/>
      <c r="I1369" s="165"/>
      <c r="J1369" s="165"/>
      <c r="K1369" s="165"/>
      <c r="L1369" s="165"/>
      <c r="M1369" s="165"/>
      <c r="N1369" s="165"/>
      <c r="O1369" s="165"/>
      <c r="P1369" s="165"/>
      <c r="Q1369" s="165"/>
      <c r="R1369" s="165"/>
      <c r="S1369" s="165"/>
      <c r="T1369" s="165"/>
      <c r="U1369" s="165"/>
      <c r="V1369" s="165"/>
      <c r="W1369" s="165"/>
      <c r="X1369" s="165"/>
    </row>
    <row r="1370" ht="18.75" customHeight="1">
      <c r="A1370" s="165">
        <v>1368.0</v>
      </c>
      <c r="B1370" s="167" t="s">
        <v>16830</v>
      </c>
      <c r="C1370" s="165"/>
      <c r="D1370" s="165"/>
      <c r="E1370" s="165"/>
      <c r="F1370" s="165"/>
      <c r="G1370" s="165"/>
      <c r="H1370" s="165"/>
      <c r="I1370" s="165"/>
      <c r="J1370" s="165"/>
      <c r="K1370" s="165"/>
      <c r="L1370" s="165"/>
      <c r="M1370" s="165"/>
      <c r="N1370" s="165"/>
      <c r="O1370" s="165"/>
      <c r="P1370" s="165"/>
      <c r="Q1370" s="165"/>
      <c r="R1370" s="165"/>
      <c r="S1370" s="165"/>
      <c r="T1370" s="165"/>
      <c r="U1370" s="165"/>
      <c r="V1370" s="165"/>
      <c r="W1370" s="165"/>
      <c r="X1370" s="165"/>
    </row>
    <row r="1371" ht="18.75" customHeight="1">
      <c r="A1371" s="165">
        <v>1369.0</v>
      </c>
      <c r="B1371" s="167" t="s">
        <v>16831</v>
      </c>
      <c r="C1371" s="165"/>
      <c r="D1371" s="165"/>
      <c r="E1371" s="165"/>
      <c r="F1371" s="165"/>
      <c r="G1371" s="165"/>
      <c r="H1371" s="165"/>
      <c r="I1371" s="165"/>
      <c r="J1371" s="165"/>
      <c r="K1371" s="165"/>
      <c r="L1371" s="165"/>
      <c r="M1371" s="165"/>
      <c r="N1371" s="165"/>
      <c r="O1371" s="165"/>
      <c r="P1371" s="165"/>
      <c r="Q1371" s="165"/>
      <c r="R1371" s="165"/>
      <c r="S1371" s="165"/>
      <c r="T1371" s="165"/>
      <c r="U1371" s="165"/>
      <c r="V1371" s="165"/>
      <c r="W1371" s="165"/>
      <c r="X1371" s="165"/>
    </row>
    <row r="1372" ht="18.75" customHeight="1">
      <c r="A1372" s="165">
        <v>1370.0</v>
      </c>
      <c r="B1372" s="167" t="s">
        <v>16832</v>
      </c>
      <c r="C1372" s="165"/>
      <c r="D1372" s="165"/>
      <c r="E1372" s="165"/>
      <c r="F1372" s="165"/>
      <c r="G1372" s="165"/>
      <c r="H1372" s="165"/>
      <c r="I1372" s="165"/>
      <c r="J1372" s="165"/>
      <c r="K1372" s="165"/>
      <c r="L1372" s="165"/>
      <c r="M1372" s="165"/>
      <c r="N1372" s="165"/>
      <c r="O1372" s="165"/>
      <c r="P1372" s="165"/>
      <c r="Q1372" s="165"/>
      <c r="R1372" s="165"/>
      <c r="S1372" s="165"/>
      <c r="T1372" s="165"/>
      <c r="U1372" s="165"/>
      <c r="V1372" s="165"/>
      <c r="W1372" s="165"/>
      <c r="X1372" s="165"/>
    </row>
    <row r="1373" ht="18.75" customHeight="1">
      <c r="A1373" s="165">
        <v>1371.0</v>
      </c>
      <c r="B1373" s="167" t="s">
        <v>16833</v>
      </c>
      <c r="C1373" s="165"/>
      <c r="D1373" s="165"/>
      <c r="E1373" s="165"/>
      <c r="F1373" s="165"/>
      <c r="G1373" s="165"/>
      <c r="H1373" s="165"/>
      <c r="I1373" s="165"/>
      <c r="J1373" s="165"/>
      <c r="K1373" s="165"/>
      <c r="L1373" s="165"/>
      <c r="M1373" s="165"/>
      <c r="N1373" s="165"/>
      <c r="O1373" s="165"/>
      <c r="P1373" s="165"/>
      <c r="Q1373" s="165"/>
      <c r="R1373" s="165"/>
      <c r="S1373" s="165"/>
      <c r="T1373" s="165"/>
      <c r="U1373" s="165"/>
      <c r="V1373" s="165"/>
      <c r="W1373" s="165"/>
      <c r="X1373" s="165"/>
    </row>
    <row r="1374" ht="18.75" customHeight="1">
      <c r="A1374" s="165">
        <v>1372.0</v>
      </c>
      <c r="B1374" s="167" t="s">
        <v>16834</v>
      </c>
      <c r="C1374" s="165"/>
      <c r="D1374" s="165"/>
      <c r="E1374" s="165"/>
      <c r="F1374" s="165"/>
      <c r="G1374" s="165"/>
      <c r="H1374" s="165"/>
      <c r="I1374" s="165"/>
      <c r="J1374" s="165"/>
      <c r="K1374" s="165"/>
      <c r="L1374" s="165"/>
      <c r="M1374" s="165"/>
      <c r="N1374" s="165"/>
      <c r="O1374" s="165"/>
      <c r="P1374" s="165"/>
      <c r="Q1374" s="165"/>
      <c r="R1374" s="165"/>
      <c r="S1374" s="165"/>
      <c r="T1374" s="165"/>
      <c r="U1374" s="165"/>
      <c r="V1374" s="165"/>
      <c r="W1374" s="165"/>
      <c r="X1374" s="165"/>
    </row>
    <row r="1375" ht="18.75" customHeight="1">
      <c r="A1375" s="165">
        <v>1373.0</v>
      </c>
      <c r="B1375" s="167" t="s">
        <v>16835</v>
      </c>
      <c r="C1375" s="165"/>
      <c r="D1375" s="165"/>
      <c r="E1375" s="165"/>
      <c r="F1375" s="165"/>
      <c r="G1375" s="165"/>
      <c r="H1375" s="165"/>
      <c r="I1375" s="165"/>
      <c r="J1375" s="165"/>
      <c r="K1375" s="165"/>
      <c r="L1375" s="165"/>
      <c r="M1375" s="165"/>
      <c r="N1375" s="165"/>
      <c r="O1375" s="165"/>
      <c r="P1375" s="165"/>
      <c r="Q1375" s="165"/>
      <c r="R1375" s="165"/>
      <c r="S1375" s="165"/>
      <c r="T1375" s="165"/>
      <c r="U1375" s="165"/>
      <c r="V1375" s="165"/>
      <c r="W1375" s="165"/>
      <c r="X1375" s="165"/>
    </row>
    <row r="1376" ht="18.75" customHeight="1">
      <c r="A1376" s="165">
        <v>1374.0</v>
      </c>
      <c r="B1376" s="167" t="s">
        <v>16836</v>
      </c>
      <c r="C1376" s="165"/>
      <c r="D1376" s="165"/>
      <c r="E1376" s="165"/>
      <c r="F1376" s="165"/>
      <c r="G1376" s="165"/>
      <c r="H1376" s="165"/>
      <c r="I1376" s="165"/>
      <c r="J1376" s="165"/>
      <c r="K1376" s="165"/>
      <c r="L1376" s="165"/>
      <c r="M1376" s="165"/>
      <c r="N1376" s="165"/>
      <c r="O1376" s="165"/>
      <c r="P1376" s="165"/>
      <c r="Q1376" s="165"/>
      <c r="R1376" s="165"/>
      <c r="S1376" s="165"/>
      <c r="T1376" s="165"/>
      <c r="U1376" s="165"/>
      <c r="V1376" s="165"/>
      <c r="W1376" s="165"/>
      <c r="X1376" s="165"/>
    </row>
    <row r="1377" ht="18.75" customHeight="1">
      <c r="A1377" s="165">
        <v>1375.0</v>
      </c>
      <c r="B1377" s="165" t="s">
        <v>16837</v>
      </c>
      <c r="C1377" s="165"/>
      <c r="D1377" s="165"/>
      <c r="E1377" s="165"/>
      <c r="F1377" s="165"/>
      <c r="G1377" s="165"/>
      <c r="H1377" s="165"/>
      <c r="I1377" s="165"/>
      <c r="J1377" s="165"/>
      <c r="K1377" s="165"/>
      <c r="L1377" s="165"/>
      <c r="M1377" s="165"/>
      <c r="N1377" s="165"/>
      <c r="O1377" s="165"/>
      <c r="P1377" s="165"/>
      <c r="Q1377" s="165"/>
      <c r="R1377" s="165"/>
      <c r="S1377" s="165"/>
      <c r="T1377" s="165"/>
      <c r="U1377" s="165"/>
      <c r="V1377" s="165"/>
      <c r="W1377" s="165"/>
      <c r="X1377" s="165"/>
    </row>
    <row r="1378" ht="18.75" customHeight="1">
      <c r="A1378" s="165">
        <v>1376.0</v>
      </c>
      <c r="B1378" s="167" t="s">
        <v>16838</v>
      </c>
      <c r="C1378" s="165"/>
      <c r="D1378" s="165"/>
      <c r="E1378" s="165"/>
      <c r="F1378" s="165"/>
      <c r="G1378" s="165"/>
      <c r="H1378" s="165"/>
      <c r="I1378" s="165"/>
      <c r="J1378" s="165"/>
      <c r="K1378" s="165"/>
      <c r="L1378" s="165"/>
      <c r="M1378" s="165"/>
      <c r="N1378" s="165"/>
      <c r="O1378" s="165"/>
      <c r="P1378" s="165"/>
      <c r="Q1378" s="165"/>
      <c r="R1378" s="165"/>
      <c r="S1378" s="165"/>
      <c r="T1378" s="165"/>
      <c r="U1378" s="165"/>
      <c r="V1378" s="165"/>
      <c r="W1378" s="165"/>
      <c r="X1378" s="165"/>
    </row>
    <row r="1379" ht="18.75" customHeight="1">
      <c r="A1379" s="165">
        <v>1377.0</v>
      </c>
      <c r="B1379" s="167" t="s">
        <v>16839</v>
      </c>
      <c r="C1379" s="165"/>
      <c r="D1379" s="165"/>
      <c r="E1379" s="165"/>
      <c r="F1379" s="165"/>
      <c r="G1379" s="165"/>
      <c r="H1379" s="165"/>
      <c r="I1379" s="165"/>
      <c r="J1379" s="165"/>
      <c r="K1379" s="165"/>
      <c r="L1379" s="165"/>
      <c r="M1379" s="165"/>
      <c r="N1379" s="165"/>
      <c r="O1379" s="165"/>
      <c r="P1379" s="165"/>
      <c r="Q1379" s="165"/>
      <c r="R1379" s="165"/>
      <c r="S1379" s="165"/>
      <c r="T1379" s="165"/>
      <c r="U1379" s="165"/>
      <c r="V1379" s="165"/>
      <c r="W1379" s="165"/>
      <c r="X1379" s="165"/>
    </row>
    <row r="1380" ht="18.75" customHeight="1">
      <c r="A1380" s="165">
        <v>1378.0</v>
      </c>
      <c r="B1380" s="165" t="s">
        <v>16840</v>
      </c>
      <c r="C1380" s="165"/>
      <c r="D1380" s="165"/>
      <c r="E1380" s="165"/>
      <c r="F1380" s="165"/>
      <c r="G1380" s="165"/>
      <c r="H1380" s="165"/>
      <c r="I1380" s="165"/>
      <c r="J1380" s="165"/>
      <c r="K1380" s="165"/>
      <c r="L1380" s="165"/>
      <c r="M1380" s="165"/>
      <c r="N1380" s="165"/>
      <c r="O1380" s="165"/>
      <c r="P1380" s="165"/>
      <c r="Q1380" s="165"/>
      <c r="R1380" s="165"/>
      <c r="S1380" s="165"/>
      <c r="T1380" s="165"/>
      <c r="U1380" s="165"/>
      <c r="V1380" s="165"/>
      <c r="W1380" s="165"/>
      <c r="X1380" s="165"/>
    </row>
    <row r="1381" ht="18.75" customHeight="1">
      <c r="A1381" s="165">
        <v>1379.0</v>
      </c>
      <c r="B1381" s="165" t="s">
        <v>16841</v>
      </c>
      <c r="C1381" s="165"/>
      <c r="D1381" s="165"/>
      <c r="E1381" s="165"/>
      <c r="F1381" s="165"/>
      <c r="G1381" s="165"/>
      <c r="H1381" s="165"/>
      <c r="I1381" s="165"/>
      <c r="J1381" s="165"/>
      <c r="K1381" s="165"/>
      <c r="L1381" s="165"/>
      <c r="M1381" s="165"/>
      <c r="N1381" s="165"/>
      <c r="O1381" s="165"/>
      <c r="P1381" s="165"/>
      <c r="Q1381" s="165"/>
      <c r="R1381" s="165"/>
      <c r="S1381" s="165"/>
      <c r="T1381" s="165"/>
      <c r="U1381" s="165"/>
      <c r="V1381" s="165"/>
      <c r="W1381" s="165"/>
      <c r="X1381" s="165"/>
    </row>
    <row r="1382" ht="18.75" customHeight="1">
      <c r="A1382" s="165">
        <v>1380.0</v>
      </c>
      <c r="B1382" s="165" t="s">
        <v>16842</v>
      </c>
      <c r="C1382" s="165"/>
      <c r="D1382" s="165"/>
      <c r="E1382" s="165"/>
      <c r="F1382" s="165"/>
      <c r="G1382" s="165"/>
      <c r="H1382" s="165"/>
      <c r="I1382" s="165"/>
      <c r="J1382" s="165"/>
      <c r="K1382" s="165"/>
      <c r="L1382" s="165"/>
      <c r="M1382" s="165"/>
      <c r="N1382" s="165"/>
      <c r="O1382" s="165"/>
      <c r="P1382" s="165"/>
      <c r="Q1382" s="165"/>
      <c r="R1382" s="165"/>
      <c r="S1382" s="165"/>
      <c r="T1382" s="165"/>
      <c r="U1382" s="165"/>
      <c r="V1382" s="165"/>
      <c r="W1382" s="165"/>
      <c r="X1382" s="165"/>
    </row>
    <row r="1383" ht="18.75" customHeight="1">
      <c r="A1383" s="165">
        <v>1381.0</v>
      </c>
      <c r="B1383" s="165" t="s">
        <v>16843</v>
      </c>
      <c r="C1383" s="165"/>
      <c r="D1383" s="165"/>
      <c r="E1383" s="165"/>
      <c r="F1383" s="165"/>
      <c r="G1383" s="165"/>
      <c r="H1383" s="165"/>
      <c r="I1383" s="165"/>
      <c r="J1383" s="165"/>
      <c r="K1383" s="165"/>
      <c r="L1383" s="165"/>
      <c r="M1383" s="165"/>
      <c r="N1383" s="165"/>
      <c r="O1383" s="165"/>
      <c r="P1383" s="165"/>
      <c r="Q1383" s="165"/>
      <c r="R1383" s="165"/>
      <c r="S1383" s="165"/>
      <c r="T1383" s="165"/>
      <c r="U1383" s="165"/>
      <c r="V1383" s="165"/>
      <c r="W1383" s="165"/>
      <c r="X1383" s="165"/>
    </row>
    <row r="1384" ht="18.75" customHeight="1">
      <c r="A1384" s="165">
        <v>1382.0</v>
      </c>
      <c r="B1384" s="178" t="s">
        <v>16844</v>
      </c>
      <c r="C1384" s="165"/>
      <c r="D1384" s="165"/>
      <c r="E1384" s="165"/>
      <c r="F1384" s="165"/>
      <c r="G1384" s="165"/>
      <c r="H1384" s="165"/>
      <c r="I1384" s="165"/>
      <c r="J1384" s="165"/>
      <c r="K1384" s="165"/>
      <c r="L1384" s="165"/>
      <c r="M1384" s="165"/>
      <c r="N1384" s="165"/>
      <c r="O1384" s="165"/>
      <c r="P1384" s="165"/>
      <c r="Q1384" s="165"/>
      <c r="R1384" s="165"/>
      <c r="S1384" s="165"/>
      <c r="T1384" s="165"/>
      <c r="U1384" s="165"/>
      <c r="V1384" s="165"/>
      <c r="W1384" s="165"/>
      <c r="X1384" s="165"/>
    </row>
    <row r="1385" ht="18.75" customHeight="1">
      <c r="A1385" s="165">
        <v>1383.0</v>
      </c>
      <c r="B1385" s="165" t="s">
        <v>16845</v>
      </c>
      <c r="C1385" s="165"/>
      <c r="D1385" s="165"/>
      <c r="E1385" s="165"/>
      <c r="F1385" s="165"/>
      <c r="G1385" s="165"/>
      <c r="H1385" s="165"/>
      <c r="I1385" s="165"/>
      <c r="J1385" s="165"/>
      <c r="K1385" s="165"/>
      <c r="L1385" s="165"/>
      <c r="M1385" s="165"/>
      <c r="N1385" s="165"/>
      <c r="O1385" s="165"/>
      <c r="P1385" s="165"/>
      <c r="Q1385" s="165"/>
      <c r="R1385" s="165"/>
      <c r="S1385" s="165"/>
      <c r="T1385" s="165"/>
      <c r="U1385" s="165"/>
      <c r="V1385" s="165"/>
      <c r="W1385" s="165"/>
      <c r="X1385" s="165"/>
    </row>
    <row r="1386" ht="18.75" customHeight="1">
      <c r="A1386" s="165">
        <v>1384.0</v>
      </c>
      <c r="B1386" s="167" t="s">
        <v>16846</v>
      </c>
      <c r="C1386" s="165"/>
      <c r="D1386" s="165"/>
      <c r="E1386" s="165"/>
      <c r="F1386" s="165"/>
      <c r="G1386" s="165"/>
      <c r="H1386" s="165"/>
      <c r="I1386" s="165"/>
      <c r="J1386" s="165"/>
      <c r="K1386" s="165"/>
      <c r="L1386" s="165"/>
      <c r="M1386" s="165"/>
      <c r="N1386" s="165"/>
      <c r="O1386" s="165"/>
      <c r="P1386" s="165"/>
      <c r="Q1386" s="165"/>
      <c r="R1386" s="165"/>
      <c r="S1386" s="165"/>
      <c r="T1386" s="165"/>
      <c r="U1386" s="165"/>
      <c r="V1386" s="165"/>
      <c r="W1386" s="165"/>
      <c r="X1386" s="165"/>
    </row>
    <row r="1387" ht="18.75" customHeight="1">
      <c r="A1387" s="165">
        <v>1385.0</v>
      </c>
      <c r="B1387" s="167" t="s">
        <v>16847</v>
      </c>
      <c r="C1387" s="165"/>
      <c r="D1387" s="165"/>
      <c r="E1387" s="165"/>
      <c r="F1387" s="165"/>
      <c r="G1387" s="165"/>
      <c r="H1387" s="165"/>
      <c r="I1387" s="165"/>
      <c r="J1387" s="165"/>
      <c r="K1387" s="165"/>
      <c r="L1387" s="165"/>
      <c r="M1387" s="165"/>
      <c r="N1387" s="165"/>
      <c r="O1387" s="165"/>
      <c r="P1387" s="165"/>
      <c r="Q1387" s="165"/>
      <c r="R1387" s="165"/>
      <c r="S1387" s="165"/>
      <c r="T1387" s="165"/>
      <c r="U1387" s="165"/>
      <c r="V1387" s="165"/>
      <c r="W1387" s="165"/>
      <c r="X1387" s="165"/>
    </row>
    <row r="1388" ht="18.75" customHeight="1">
      <c r="A1388" s="165">
        <v>1386.0</v>
      </c>
      <c r="B1388" s="167" t="s">
        <v>16848</v>
      </c>
      <c r="C1388" s="165"/>
      <c r="D1388" s="165"/>
      <c r="E1388" s="165"/>
      <c r="F1388" s="165"/>
      <c r="G1388" s="165"/>
      <c r="H1388" s="165"/>
      <c r="I1388" s="165"/>
      <c r="J1388" s="165"/>
      <c r="K1388" s="165"/>
      <c r="L1388" s="165"/>
      <c r="M1388" s="165"/>
      <c r="N1388" s="165"/>
      <c r="O1388" s="165"/>
      <c r="P1388" s="165"/>
      <c r="Q1388" s="165"/>
      <c r="R1388" s="165"/>
      <c r="S1388" s="165"/>
      <c r="T1388" s="165"/>
      <c r="U1388" s="165"/>
      <c r="V1388" s="165"/>
      <c r="W1388" s="165"/>
      <c r="X1388" s="165"/>
    </row>
    <row r="1389" ht="18.75" customHeight="1">
      <c r="A1389" s="165">
        <v>1387.0</v>
      </c>
      <c r="B1389" s="167" t="s">
        <v>16849</v>
      </c>
      <c r="C1389" s="165"/>
      <c r="D1389" s="165"/>
      <c r="E1389" s="165"/>
      <c r="F1389" s="165"/>
      <c r="G1389" s="165"/>
      <c r="H1389" s="165"/>
      <c r="I1389" s="165"/>
      <c r="J1389" s="165"/>
      <c r="K1389" s="165"/>
      <c r="L1389" s="165"/>
      <c r="M1389" s="165"/>
      <c r="N1389" s="165"/>
      <c r="O1389" s="165"/>
      <c r="P1389" s="165"/>
      <c r="Q1389" s="165"/>
      <c r="R1389" s="165"/>
      <c r="S1389" s="165"/>
      <c r="T1389" s="165"/>
      <c r="U1389" s="165"/>
      <c r="V1389" s="165"/>
      <c r="W1389" s="165"/>
      <c r="X1389" s="165"/>
    </row>
    <row r="1390" ht="18.75" customHeight="1">
      <c r="A1390" s="165">
        <v>1388.0</v>
      </c>
      <c r="B1390" s="167" t="s">
        <v>16850</v>
      </c>
      <c r="C1390" s="165"/>
      <c r="D1390" s="165"/>
      <c r="E1390" s="165"/>
      <c r="F1390" s="165"/>
      <c r="G1390" s="165"/>
      <c r="H1390" s="165"/>
      <c r="I1390" s="165"/>
      <c r="J1390" s="165"/>
      <c r="K1390" s="165"/>
      <c r="L1390" s="165"/>
      <c r="M1390" s="165"/>
      <c r="N1390" s="165"/>
      <c r="O1390" s="165"/>
      <c r="P1390" s="165"/>
      <c r="Q1390" s="165"/>
      <c r="R1390" s="165"/>
      <c r="S1390" s="165"/>
      <c r="T1390" s="165"/>
      <c r="U1390" s="165"/>
      <c r="V1390" s="165"/>
      <c r="W1390" s="165"/>
      <c r="X1390" s="165"/>
    </row>
    <row r="1391" ht="18.75" customHeight="1">
      <c r="A1391" s="165">
        <v>1389.0</v>
      </c>
      <c r="B1391" s="167" t="s">
        <v>16851</v>
      </c>
      <c r="C1391" s="165"/>
      <c r="D1391" s="165"/>
      <c r="E1391" s="165"/>
      <c r="F1391" s="165"/>
      <c r="G1391" s="165"/>
      <c r="H1391" s="165"/>
      <c r="I1391" s="165"/>
      <c r="J1391" s="165"/>
      <c r="K1391" s="165"/>
      <c r="L1391" s="165"/>
      <c r="M1391" s="165"/>
      <c r="N1391" s="165"/>
      <c r="O1391" s="165"/>
      <c r="P1391" s="165"/>
      <c r="Q1391" s="165"/>
      <c r="R1391" s="165"/>
      <c r="S1391" s="165"/>
      <c r="T1391" s="165"/>
      <c r="U1391" s="165"/>
      <c r="V1391" s="165"/>
      <c r="W1391" s="165"/>
      <c r="X1391" s="165"/>
    </row>
    <row r="1392" ht="18.75" customHeight="1">
      <c r="A1392" s="165">
        <v>1390.0</v>
      </c>
      <c r="B1392" s="167" t="s">
        <v>16852</v>
      </c>
      <c r="C1392" s="165"/>
      <c r="D1392" s="165"/>
      <c r="E1392" s="165"/>
      <c r="F1392" s="165"/>
      <c r="G1392" s="165"/>
      <c r="H1392" s="165"/>
      <c r="I1392" s="165"/>
      <c r="J1392" s="165"/>
      <c r="K1392" s="165"/>
      <c r="L1392" s="165"/>
      <c r="M1392" s="165"/>
      <c r="N1392" s="165"/>
      <c r="O1392" s="165"/>
      <c r="P1392" s="165"/>
      <c r="Q1392" s="165"/>
      <c r="R1392" s="165"/>
      <c r="S1392" s="165"/>
      <c r="T1392" s="165"/>
      <c r="U1392" s="165"/>
      <c r="V1392" s="165"/>
      <c r="W1392" s="165"/>
      <c r="X1392" s="165"/>
    </row>
    <row r="1393" ht="18.75" customHeight="1">
      <c r="A1393" s="165">
        <v>1391.0</v>
      </c>
      <c r="B1393" s="165" t="s">
        <v>16853</v>
      </c>
      <c r="C1393" s="165"/>
      <c r="D1393" s="165"/>
      <c r="E1393" s="165"/>
      <c r="F1393" s="165"/>
      <c r="G1393" s="165"/>
      <c r="H1393" s="165"/>
      <c r="I1393" s="165"/>
      <c r="J1393" s="165"/>
      <c r="K1393" s="165"/>
      <c r="L1393" s="165"/>
      <c r="M1393" s="165"/>
      <c r="N1393" s="165"/>
      <c r="O1393" s="165"/>
      <c r="P1393" s="165"/>
      <c r="Q1393" s="165"/>
      <c r="R1393" s="165"/>
      <c r="S1393" s="165"/>
      <c r="T1393" s="165"/>
      <c r="U1393" s="165"/>
      <c r="V1393" s="165"/>
      <c r="W1393" s="165"/>
      <c r="X1393" s="165"/>
    </row>
    <row r="1394" ht="18.75" customHeight="1">
      <c r="A1394" s="165">
        <v>1392.0</v>
      </c>
      <c r="B1394" s="167" t="s">
        <v>16854</v>
      </c>
      <c r="C1394" s="165"/>
      <c r="D1394" s="165"/>
      <c r="E1394" s="165"/>
      <c r="F1394" s="165"/>
      <c r="G1394" s="165"/>
      <c r="H1394" s="165"/>
      <c r="I1394" s="165"/>
      <c r="J1394" s="165"/>
      <c r="K1394" s="165"/>
      <c r="L1394" s="165"/>
      <c r="M1394" s="165"/>
      <c r="N1394" s="165"/>
      <c r="O1394" s="165"/>
      <c r="P1394" s="165"/>
      <c r="Q1394" s="165"/>
      <c r="R1394" s="165"/>
      <c r="S1394" s="165"/>
      <c r="T1394" s="165"/>
      <c r="U1394" s="165"/>
      <c r="V1394" s="165"/>
      <c r="W1394" s="165"/>
      <c r="X1394" s="165"/>
    </row>
    <row r="1395" ht="18.75" customHeight="1">
      <c r="A1395" s="165">
        <v>1393.0</v>
      </c>
      <c r="B1395" s="167" t="s">
        <v>16855</v>
      </c>
      <c r="C1395" s="165"/>
      <c r="D1395" s="165"/>
      <c r="E1395" s="165"/>
      <c r="F1395" s="165"/>
      <c r="G1395" s="165"/>
      <c r="H1395" s="165"/>
      <c r="I1395" s="165"/>
      <c r="J1395" s="165"/>
      <c r="K1395" s="165"/>
      <c r="L1395" s="165"/>
      <c r="M1395" s="165"/>
      <c r="N1395" s="165"/>
      <c r="O1395" s="165"/>
      <c r="P1395" s="165"/>
      <c r="Q1395" s="165"/>
      <c r="R1395" s="165"/>
      <c r="S1395" s="165"/>
      <c r="T1395" s="165"/>
      <c r="U1395" s="165"/>
      <c r="V1395" s="165"/>
      <c r="W1395" s="165"/>
      <c r="X1395" s="165"/>
    </row>
    <row r="1396" ht="18.75" customHeight="1">
      <c r="A1396" s="165">
        <v>1394.0</v>
      </c>
      <c r="B1396" s="167" t="s">
        <v>16856</v>
      </c>
      <c r="C1396" s="165"/>
      <c r="D1396" s="165"/>
      <c r="E1396" s="165"/>
      <c r="F1396" s="165"/>
      <c r="G1396" s="165"/>
      <c r="H1396" s="165"/>
      <c r="I1396" s="165"/>
      <c r="J1396" s="165"/>
      <c r="K1396" s="165"/>
      <c r="L1396" s="165"/>
      <c r="M1396" s="165"/>
      <c r="N1396" s="165"/>
      <c r="O1396" s="165"/>
      <c r="P1396" s="165"/>
      <c r="Q1396" s="165"/>
      <c r="R1396" s="165"/>
      <c r="S1396" s="165"/>
      <c r="T1396" s="165"/>
      <c r="U1396" s="165"/>
      <c r="V1396" s="165"/>
      <c r="W1396" s="165"/>
      <c r="X1396" s="165"/>
    </row>
    <row r="1397" ht="18.75" customHeight="1">
      <c r="A1397" s="165">
        <v>1395.0</v>
      </c>
      <c r="B1397" s="167" t="s">
        <v>16857</v>
      </c>
      <c r="C1397" s="165"/>
      <c r="D1397" s="165"/>
      <c r="E1397" s="165"/>
      <c r="F1397" s="165"/>
      <c r="G1397" s="165"/>
      <c r="H1397" s="165"/>
      <c r="I1397" s="165"/>
      <c r="J1397" s="165"/>
      <c r="K1397" s="165"/>
      <c r="L1397" s="165"/>
      <c r="M1397" s="165"/>
      <c r="N1397" s="165"/>
      <c r="O1397" s="165"/>
      <c r="P1397" s="165"/>
      <c r="Q1397" s="165"/>
      <c r="R1397" s="165"/>
      <c r="S1397" s="165"/>
      <c r="T1397" s="165"/>
      <c r="U1397" s="165"/>
      <c r="V1397" s="165"/>
      <c r="W1397" s="165"/>
      <c r="X1397" s="165"/>
    </row>
    <row r="1398" ht="18.75" customHeight="1">
      <c r="A1398" s="165">
        <v>1396.0</v>
      </c>
      <c r="B1398" s="167" t="s">
        <v>16858</v>
      </c>
      <c r="C1398" s="165"/>
      <c r="D1398" s="165"/>
      <c r="E1398" s="165"/>
      <c r="F1398" s="165"/>
      <c r="G1398" s="165"/>
      <c r="H1398" s="165"/>
      <c r="I1398" s="165"/>
      <c r="J1398" s="165"/>
      <c r="K1398" s="165"/>
      <c r="L1398" s="165"/>
      <c r="M1398" s="165"/>
      <c r="N1398" s="165"/>
      <c r="O1398" s="165"/>
      <c r="P1398" s="165"/>
      <c r="Q1398" s="165"/>
      <c r="R1398" s="165"/>
      <c r="S1398" s="165"/>
      <c r="T1398" s="165"/>
      <c r="U1398" s="165"/>
      <c r="V1398" s="165"/>
      <c r="W1398" s="165"/>
      <c r="X1398" s="165"/>
    </row>
    <row r="1399" ht="18.75" customHeight="1">
      <c r="A1399" s="165">
        <v>1397.0</v>
      </c>
      <c r="B1399" s="165" t="s">
        <v>16859</v>
      </c>
      <c r="C1399" s="165"/>
      <c r="D1399" s="165"/>
      <c r="E1399" s="165"/>
      <c r="F1399" s="165"/>
      <c r="G1399" s="165"/>
      <c r="H1399" s="165"/>
      <c r="I1399" s="165"/>
      <c r="J1399" s="165"/>
      <c r="K1399" s="165"/>
      <c r="L1399" s="165"/>
      <c r="M1399" s="165"/>
      <c r="N1399" s="165"/>
      <c r="O1399" s="165"/>
      <c r="P1399" s="165"/>
      <c r="Q1399" s="165"/>
      <c r="R1399" s="165"/>
      <c r="S1399" s="165"/>
      <c r="T1399" s="165"/>
      <c r="U1399" s="165"/>
      <c r="V1399" s="165"/>
      <c r="W1399" s="165"/>
      <c r="X1399" s="165"/>
    </row>
    <row r="1400" ht="18.75" customHeight="1">
      <c r="A1400" s="165">
        <v>1398.0</v>
      </c>
      <c r="B1400" s="165" t="s">
        <v>16860</v>
      </c>
      <c r="C1400" s="165"/>
      <c r="D1400" s="165"/>
      <c r="E1400" s="165"/>
      <c r="F1400" s="165"/>
      <c r="G1400" s="165"/>
      <c r="H1400" s="165"/>
      <c r="I1400" s="165"/>
      <c r="J1400" s="165"/>
      <c r="K1400" s="165"/>
      <c r="L1400" s="165"/>
      <c r="M1400" s="165"/>
      <c r="N1400" s="165"/>
      <c r="O1400" s="165"/>
      <c r="P1400" s="165"/>
      <c r="Q1400" s="165"/>
      <c r="R1400" s="165"/>
      <c r="S1400" s="165"/>
      <c r="T1400" s="165"/>
      <c r="U1400" s="165"/>
      <c r="V1400" s="165"/>
      <c r="W1400" s="165"/>
      <c r="X1400" s="165"/>
    </row>
    <row r="1401" ht="18.75" customHeight="1">
      <c r="A1401" s="165">
        <v>1399.0</v>
      </c>
      <c r="B1401" s="167" t="s">
        <v>16861</v>
      </c>
      <c r="C1401" s="165"/>
      <c r="D1401" s="165"/>
      <c r="E1401" s="165"/>
      <c r="F1401" s="165"/>
      <c r="G1401" s="165"/>
      <c r="H1401" s="165"/>
      <c r="I1401" s="165"/>
      <c r="J1401" s="165"/>
      <c r="K1401" s="165"/>
      <c r="L1401" s="165"/>
      <c r="M1401" s="165"/>
      <c r="N1401" s="165"/>
      <c r="O1401" s="165"/>
      <c r="P1401" s="165"/>
      <c r="Q1401" s="165"/>
      <c r="R1401" s="165"/>
      <c r="S1401" s="165"/>
      <c r="T1401" s="165"/>
      <c r="U1401" s="165"/>
      <c r="V1401" s="165"/>
      <c r="W1401" s="165"/>
      <c r="X1401" s="165"/>
    </row>
    <row r="1402" ht="18.75" customHeight="1">
      <c r="A1402" s="165">
        <v>1400.0</v>
      </c>
      <c r="B1402" s="167" t="s">
        <v>16862</v>
      </c>
      <c r="C1402" s="165"/>
      <c r="D1402" s="165"/>
      <c r="E1402" s="165"/>
      <c r="F1402" s="165"/>
      <c r="G1402" s="165"/>
      <c r="H1402" s="165"/>
      <c r="I1402" s="165"/>
      <c r="J1402" s="165"/>
      <c r="K1402" s="165"/>
      <c r="L1402" s="165"/>
      <c r="M1402" s="165"/>
      <c r="N1402" s="165"/>
      <c r="O1402" s="165"/>
      <c r="P1402" s="165"/>
      <c r="Q1402" s="165"/>
      <c r="R1402" s="165"/>
      <c r="S1402" s="165"/>
      <c r="T1402" s="165"/>
      <c r="U1402" s="165"/>
      <c r="V1402" s="165"/>
      <c r="W1402" s="165"/>
      <c r="X1402" s="165"/>
    </row>
    <row r="1403" ht="18.75" customHeight="1">
      <c r="A1403" s="165">
        <v>1401.0</v>
      </c>
      <c r="B1403" s="167" t="s">
        <v>16863</v>
      </c>
      <c r="C1403" s="165"/>
      <c r="D1403" s="165"/>
      <c r="E1403" s="165"/>
      <c r="F1403" s="165"/>
      <c r="G1403" s="165"/>
      <c r="H1403" s="165"/>
      <c r="I1403" s="165"/>
      <c r="J1403" s="165"/>
      <c r="K1403" s="165"/>
      <c r="L1403" s="165"/>
      <c r="M1403" s="165"/>
      <c r="N1403" s="165"/>
      <c r="O1403" s="165"/>
      <c r="P1403" s="165"/>
      <c r="Q1403" s="165"/>
      <c r="R1403" s="165"/>
      <c r="S1403" s="165"/>
      <c r="T1403" s="165"/>
      <c r="U1403" s="165"/>
      <c r="V1403" s="165"/>
      <c r="W1403" s="165"/>
      <c r="X1403" s="165"/>
    </row>
    <row r="1404" ht="18.75" customHeight="1">
      <c r="A1404" s="165">
        <v>1402.0</v>
      </c>
      <c r="B1404" s="167" t="s">
        <v>16864</v>
      </c>
      <c r="C1404" s="165"/>
      <c r="D1404" s="165"/>
      <c r="E1404" s="165"/>
      <c r="F1404" s="165"/>
      <c r="G1404" s="165"/>
      <c r="H1404" s="165"/>
      <c r="I1404" s="165"/>
      <c r="J1404" s="165"/>
      <c r="K1404" s="165"/>
      <c r="L1404" s="165"/>
      <c r="M1404" s="165"/>
      <c r="N1404" s="165"/>
      <c r="O1404" s="165"/>
      <c r="P1404" s="165"/>
      <c r="Q1404" s="165"/>
      <c r="R1404" s="165"/>
      <c r="S1404" s="165"/>
      <c r="T1404" s="165"/>
      <c r="U1404" s="165"/>
      <c r="V1404" s="165"/>
      <c r="W1404" s="165"/>
      <c r="X1404" s="165"/>
    </row>
    <row r="1405" ht="18.75" customHeight="1">
      <c r="A1405" s="165">
        <v>1403.0</v>
      </c>
      <c r="B1405" s="167" t="s">
        <v>16865</v>
      </c>
      <c r="C1405" s="165"/>
      <c r="D1405" s="165"/>
      <c r="E1405" s="165"/>
      <c r="F1405" s="165"/>
      <c r="G1405" s="165"/>
      <c r="H1405" s="165"/>
      <c r="I1405" s="165"/>
      <c r="J1405" s="165"/>
      <c r="K1405" s="165"/>
      <c r="L1405" s="165"/>
      <c r="M1405" s="165"/>
      <c r="N1405" s="165"/>
      <c r="O1405" s="165"/>
      <c r="P1405" s="165"/>
      <c r="Q1405" s="165"/>
      <c r="R1405" s="165"/>
      <c r="S1405" s="165"/>
      <c r="T1405" s="165"/>
      <c r="U1405" s="165"/>
      <c r="V1405" s="165"/>
      <c r="W1405" s="165"/>
      <c r="X1405" s="165"/>
    </row>
    <row r="1406" ht="18.75" customHeight="1">
      <c r="A1406" s="165">
        <v>1404.0</v>
      </c>
      <c r="B1406" s="167" t="s">
        <v>16866</v>
      </c>
      <c r="C1406" s="165"/>
      <c r="D1406" s="165"/>
      <c r="E1406" s="165"/>
      <c r="F1406" s="165"/>
      <c r="G1406" s="165"/>
      <c r="H1406" s="165"/>
      <c r="I1406" s="165"/>
      <c r="J1406" s="165"/>
      <c r="K1406" s="165"/>
      <c r="L1406" s="165"/>
      <c r="M1406" s="165"/>
      <c r="N1406" s="165"/>
      <c r="O1406" s="165"/>
      <c r="P1406" s="165"/>
      <c r="Q1406" s="165"/>
      <c r="R1406" s="165"/>
      <c r="S1406" s="165"/>
      <c r="T1406" s="165"/>
      <c r="U1406" s="165"/>
      <c r="V1406" s="165"/>
      <c r="W1406" s="165"/>
      <c r="X1406" s="165"/>
    </row>
    <row r="1407" ht="18.75" customHeight="1">
      <c r="A1407" s="165">
        <v>1405.0</v>
      </c>
      <c r="B1407" s="167" t="s">
        <v>16867</v>
      </c>
      <c r="C1407" s="165"/>
      <c r="D1407" s="165"/>
      <c r="E1407" s="165"/>
      <c r="F1407" s="165"/>
      <c r="G1407" s="165"/>
      <c r="H1407" s="165"/>
      <c r="I1407" s="165"/>
      <c r="J1407" s="165"/>
      <c r="K1407" s="165"/>
      <c r="L1407" s="165"/>
      <c r="M1407" s="165"/>
      <c r="N1407" s="165"/>
      <c r="O1407" s="165"/>
      <c r="P1407" s="165"/>
      <c r="Q1407" s="165"/>
      <c r="R1407" s="165"/>
      <c r="S1407" s="165"/>
      <c r="T1407" s="165"/>
      <c r="U1407" s="165"/>
      <c r="V1407" s="165"/>
      <c r="W1407" s="165"/>
      <c r="X1407" s="165"/>
    </row>
    <row r="1408" ht="18.75" customHeight="1">
      <c r="A1408" s="165">
        <v>1406.0</v>
      </c>
      <c r="B1408" s="167" t="s">
        <v>16868</v>
      </c>
      <c r="C1408" s="165"/>
      <c r="D1408" s="165"/>
      <c r="E1408" s="165"/>
      <c r="F1408" s="165"/>
      <c r="G1408" s="165"/>
      <c r="H1408" s="165"/>
      <c r="I1408" s="165"/>
      <c r="J1408" s="165"/>
      <c r="K1408" s="165"/>
      <c r="L1408" s="165"/>
      <c r="M1408" s="165"/>
      <c r="N1408" s="165"/>
      <c r="O1408" s="165"/>
      <c r="P1408" s="165"/>
      <c r="Q1408" s="165"/>
      <c r="R1408" s="165"/>
      <c r="S1408" s="165"/>
      <c r="T1408" s="165"/>
      <c r="U1408" s="165"/>
      <c r="V1408" s="165"/>
      <c r="W1408" s="165"/>
      <c r="X1408" s="165"/>
    </row>
    <row r="1409" ht="18.75" customHeight="1">
      <c r="A1409" s="165">
        <v>1407.0</v>
      </c>
      <c r="B1409" s="167" t="s">
        <v>16869</v>
      </c>
      <c r="C1409" s="165"/>
      <c r="D1409" s="165"/>
      <c r="E1409" s="165"/>
      <c r="F1409" s="165"/>
      <c r="G1409" s="165"/>
      <c r="H1409" s="165"/>
      <c r="I1409" s="165"/>
      <c r="J1409" s="165"/>
      <c r="K1409" s="165"/>
      <c r="L1409" s="165"/>
      <c r="M1409" s="165"/>
      <c r="N1409" s="165"/>
      <c r="O1409" s="165"/>
      <c r="P1409" s="165"/>
      <c r="Q1409" s="165"/>
      <c r="R1409" s="165"/>
      <c r="S1409" s="165"/>
      <c r="T1409" s="165"/>
      <c r="U1409" s="165"/>
      <c r="V1409" s="165"/>
      <c r="W1409" s="165"/>
      <c r="X1409" s="165"/>
    </row>
    <row r="1410" ht="18.75" customHeight="1">
      <c r="A1410" s="165">
        <v>1408.0</v>
      </c>
      <c r="B1410" s="167" t="s">
        <v>16870</v>
      </c>
      <c r="C1410" s="165"/>
      <c r="D1410" s="165"/>
      <c r="E1410" s="165"/>
      <c r="F1410" s="165"/>
      <c r="G1410" s="165"/>
      <c r="H1410" s="165"/>
      <c r="I1410" s="165"/>
      <c r="J1410" s="165"/>
      <c r="K1410" s="165"/>
      <c r="L1410" s="165"/>
      <c r="M1410" s="165"/>
      <c r="N1410" s="165"/>
      <c r="O1410" s="165"/>
      <c r="P1410" s="165"/>
      <c r="Q1410" s="165"/>
      <c r="R1410" s="165"/>
      <c r="S1410" s="165"/>
      <c r="T1410" s="165"/>
      <c r="U1410" s="165"/>
      <c r="V1410" s="165"/>
      <c r="W1410" s="165"/>
      <c r="X1410" s="165"/>
    </row>
    <row r="1411" ht="18.75" customHeight="1">
      <c r="A1411" s="165">
        <v>1409.0</v>
      </c>
      <c r="B1411" s="167" t="s">
        <v>16871</v>
      </c>
      <c r="C1411" s="165"/>
      <c r="D1411" s="165"/>
      <c r="E1411" s="165"/>
      <c r="F1411" s="165"/>
      <c r="G1411" s="165"/>
      <c r="H1411" s="165"/>
      <c r="I1411" s="165"/>
      <c r="J1411" s="165"/>
      <c r="K1411" s="165"/>
      <c r="L1411" s="165"/>
      <c r="M1411" s="165"/>
      <c r="N1411" s="165"/>
      <c r="O1411" s="165"/>
      <c r="P1411" s="165"/>
      <c r="Q1411" s="165"/>
      <c r="R1411" s="165"/>
      <c r="S1411" s="165"/>
      <c r="T1411" s="165"/>
      <c r="U1411" s="165"/>
      <c r="V1411" s="165"/>
      <c r="W1411" s="165"/>
      <c r="X1411" s="165"/>
    </row>
    <row r="1412" ht="18.75" customHeight="1">
      <c r="A1412" s="165">
        <v>1410.0</v>
      </c>
      <c r="B1412" s="167" t="s">
        <v>16872</v>
      </c>
      <c r="C1412" s="165"/>
      <c r="D1412" s="165"/>
      <c r="E1412" s="165"/>
      <c r="F1412" s="165"/>
      <c r="G1412" s="165"/>
      <c r="H1412" s="165"/>
      <c r="I1412" s="165"/>
      <c r="J1412" s="165"/>
      <c r="K1412" s="165"/>
      <c r="L1412" s="165"/>
      <c r="M1412" s="165"/>
      <c r="N1412" s="165"/>
      <c r="O1412" s="165"/>
      <c r="P1412" s="165"/>
      <c r="Q1412" s="165"/>
      <c r="R1412" s="165"/>
      <c r="S1412" s="165"/>
      <c r="T1412" s="165"/>
      <c r="U1412" s="165"/>
      <c r="V1412" s="165"/>
      <c r="W1412" s="165"/>
      <c r="X1412" s="165"/>
    </row>
    <row r="1413" ht="18.75" customHeight="1">
      <c r="A1413" s="165">
        <v>1411.0</v>
      </c>
      <c r="B1413" s="167" t="s">
        <v>16873</v>
      </c>
      <c r="C1413" s="165"/>
      <c r="D1413" s="165"/>
      <c r="E1413" s="165"/>
      <c r="F1413" s="165"/>
      <c r="G1413" s="165"/>
      <c r="H1413" s="165"/>
      <c r="I1413" s="165"/>
      <c r="J1413" s="165"/>
      <c r="K1413" s="165"/>
      <c r="L1413" s="165"/>
      <c r="M1413" s="165"/>
      <c r="N1413" s="165"/>
      <c r="O1413" s="165"/>
      <c r="P1413" s="165"/>
      <c r="Q1413" s="165"/>
      <c r="R1413" s="165"/>
      <c r="S1413" s="165"/>
      <c r="T1413" s="165"/>
      <c r="U1413" s="165"/>
      <c r="V1413" s="165"/>
      <c r="W1413" s="165"/>
      <c r="X1413" s="165"/>
    </row>
    <row r="1414" ht="18.75" customHeight="1">
      <c r="A1414" s="165">
        <v>1412.0</v>
      </c>
      <c r="B1414" s="167" t="s">
        <v>16874</v>
      </c>
      <c r="C1414" s="165"/>
      <c r="D1414" s="165"/>
      <c r="E1414" s="165"/>
      <c r="F1414" s="165"/>
      <c r="G1414" s="165"/>
      <c r="H1414" s="165"/>
      <c r="I1414" s="165"/>
      <c r="J1414" s="165"/>
      <c r="K1414" s="165"/>
      <c r="L1414" s="165"/>
      <c r="M1414" s="165"/>
      <c r="N1414" s="165"/>
      <c r="O1414" s="165"/>
      <c r="P1414" s="165"/>
      <c r="Q1414" s="165"/>
      <c r="R1414" s="165"/>
      <c r="S1414" s="165"/>
      <c r="T1414" s="165"/>
      <c r="U1414" s="165"/>
      <c r="V1414" s="165"/>
      <c r="W1414" s="165"/>
      <c r="X1414" s="165"/>
    </row>
    <row r="1415" ht="18.75" customHeight="1">
      <c r="A1415" s="165">
        <v>1413.0</v>
      </c>
      <c r="B1415" s="167" t="s">
        <v>16875</v>
      </c>
      <c r="C1415" s="165"/>
      <c r="D1415" s="165"/>
      <c r="E1415" s="165"/>
      <c r="F1415" s="165"/>
      <c r="G1415" s="165"/>
      <c r="H1415" s="165"/>
      <c r="I1415" s="165"/>
      <c r="J1415" s="165"/>
      <c r="K1415" s="165"/>
      <c r="L1415" s="165"/>
      <c r="M1415" s="165"/>
      <c r="N1415" s="165"/>
      <c r="O1415" s="165"/>
      <c r="P1415" s="165"/>
      <c r="Q1415" s="165"/>
      <c r="R1415" s="165"/>
      <c r="S1415" s="165"/>
      <c r="T1415" s="165"/>
      <c r="U1415" s="165"/>
      <c r="V1415" s="165"/>
      <c r="W1415" s="165"/>
      <c r="X1415" s="165"/>
    </row>
    <row r="1416" ht="18.75" customHeight="1">
      <c r="A1416" s="165">
        <v>1414.0</v>
      </c>
      <c r="B1416" s="167" t="s">
        <v>16876</v>
      </c>
      <c r="C1416" s="165"/>
      <c r="D1416" s="165"/>
      <c r="E1416" s="165"/>
      <c r="F1416" s="165"/>
      <c r="G1416" s="165"/>
      <c r="H1416" s="165"/>
      <c r="I1416" s="165"/>
      <c r="J1416" s="165"/>
      <c r="K1416" s="165"/>
      <c r="L1416" s="165"/>
      <c r="M1416" s="165"/>
      <c r="N1416" s="165"/>
      <c r="O1416" s="165"/>
      <c r="P1416" s="165"/>
      <c r="Q1416" s="165"/>
      <c r="R1416" s="165"/>
      <c r="S1416" s="165"/>
      <c r="T1416" s="165"/>
      <c r="U1416" s="165"/>
      <c r="V1416" s="165"/>
      <c r="W1416" s="165"/>
      <c r="X1416" s="165"/>
    </row>
    <row r="1417" ht="18.75" customHeight="1">
      <c r="A1417" s="165">
        <v>1415.0</v>
      </c>
      <c r="B1417" s="167" t="s">
        <v>16877</v>
      </c>
      <c r="C1417" s="165"/>
      <c r="D1417" s="165"/>
      <c r="E1417" s="165"/>
      <c r="F1417" s="165"/>
      <c r="G1417" s="165"/>
      <c r="H1417" s="165"/>
      <c r="I1417" s="165"/>
      <c r="J1417" s="165"/>
      <c r="K1417" s="165"/>
      <c r="L1417" s="165"/>
      <c r="M1417" s="165"/>
      <c r="N1417" s="165"/>
      <c r="O1417" s="165"/>
      <c r="P1417" s="165"/>
      <c r="Q1417" s="165"/>
      <c r="R1417" s="165"/>
      <c r="S1417" s="165"/>
      <c r="T1417" s="165"/>
      <c r="U1417" s="165"/>
      <c r="V1417" s="165"/>
      <c r="W1417" s="165"/>
      <c r="X1417" s="165"/>
    </row>
    <row r="1418" ht="18.75" customHeight="1">
      <c r="A1418" s="165">
        <v>1416.0</v>
      </c>
      <c r="B1418" s="167" t="s">
        <v>16878</v>
      </c>
      <c r="C1418" s="165"/>
      <c r="D1418" s="165"/>
      <c r="E1418" s="165"/>
      <c r="F1418" s="165"/>
      <c r="G1418" s="165"/>
      <c r="H1418" s="165"/>
      <c r="I1418" s="165"/>
      <c r="J1418" s="165"/>
      <c r="K1418" s="165"/>
      <c r="L1418" s="165"/>
      <c r="M1418" s="165"/>
      <c r="N1418" s="165"/>
      <c r="O1418" s="165"/>
      <c r="P1418" s="165"/>
      <c r="Q1418" s="165"/>
      <c r="R1418" s="165"/>
      <c r="S1418" s="165"/>
      <c r="T1418" s="165"/>
      <c r="U1418" s="165"/>
      <c r="V1418" s="165"/>
      <c r="W1418" s="165"/>
      <c r="X1418" s="165"/>
    </row>
    <row r="1419" ht="18.75" customHeight="1">
      <c r="A1419" s="165">
        <v>1417.0</v>
      </c>
      <c r="B1419" s="167" t="s">
        <v>16879</v>
      </c>
      <c r="C1419" s="165"/>
      <c r="D1419" s="165"/>
      <c r="E1419" s="165"/>
      <c r="F1419" s="165"/>
      <c r="G1419" s="165"/>
      <c r="H1419" s="165"/>
      <c r="I1419" s="165"/>
      <c r="J1419" s="165"/>
      <c r="K1419" s="165"/>
      <c r="L1419" s="165"/>
      <c r="M1419" s="165"/>
      <c r="N1419" s="165"/>
      <c r="O1419" s="165"/>
      <c r="P1419" s="165"/>
      <c r="Q1419" s="165"/>
      <c r="R1419" s="165"/>
      <c r="S1419" s="165"/>
      <c r="T1419" s="165"/>
      <c r="U1419" s="165"/>
      <c r="V1419" s="165"/>
      <c r="W1419" s="165"/>
      <c r="X1419" s="165"/>
    </row>
    <row r="1420" ht="18.75" customHeight="1">
      <c r="A1420" s="165">
        <v>1418.0</v>
      </c>
      <c r="B1420" s="167" t="s">
        <v>16880</v>
      </c>
      <c r="C1420" s="165"/>
      <c r="D1420" s="165"/>
      <c r="E1420" s="165"/>
      <c r="F1420" s="165"/>
      <c r="G1420" s="165"/>
      <c r="H1420" s="165"/>
      <c r="I1420" s="165"/>
      <c r="J1420" s="165"/>
      <c r="K1420" s="165"/>
      <c r="L1420" s="165"/>
      <c r="M1420" s="165"/>
      <c r="N1420" s="165"/>
      <c r="O1420" s="165"/>
      <c r="P1420" s="165"/>
      <c r="Q1420" s="165"/>
      <c r="R1420" s="165"/>
      <c r="S1420" s="165"/>
      <c r="T1420" s="165"/>
      <c r="U1420" s="165"/>
      <c r="V1420" s="165"/>
      <c r="W1420" s="165"/>
      <c r="X1420" s="165"/>
    </row>
    <row r="1421" ht="18.75" customHeight="1">
      <c r="A1421" s="165">
        <v>1419.0</v>
      </c>
      <c r="B1421" s="167" t="s">
        <v>16881</v>
      </c>
      <c r="C1421" s="165"/>
      <c r="D1421" s="165"/>
      <c r="E1421" s="165"/>
      <c r="F1421" s="165"/>
      <c r="G1421" s="165"/>
      <c r="H1421" s="165"/>
      <c r="I1421" s="165"/>
      <c r="J1421" s="165"/>
      <c r="K1421" s="165"/>
      <c r="L1421" s="165"/>
      <c r="M1421" s="165"/>
      <c r="N1421" s="165"/>
      <c r="O1421" s="165"/>
      <c r="P1421" s="165"/>
      <c r="Q1421" s="165"/>
      <c r="R1421" s="165"/>
      <c r="S1421" s="165"/>
      <c r="T1421" s="165"/>
      <c r="U1421" s="165"/>
      <c r="V1421" s="165"/>
      <c r="W1421" s="165"/>
      <c r="X1421" s="165"/>
    </row>
    <row r="1422" ht="18.75" customHeight="1">
      <c r="A1422" s="165">
        <v>1420.0</v>
      </c>
      <c r="B1422" s="167" t="s">
        <v>16882</v>
      </c>
      <c r="C1422" s="165"/>
      <c r="D1422" s="165"/>
      <c r="E1422" s="165"/>
      <c r="F1422" s="165"/>
      <c r="G1422" s="165"/>
      <c r="H1422" s="165"/>
      <c r="I1422" s="165"/>
      <c r="J1422" s="165"/>
      <c r="K1422" s="165"/>
      <c r="L1422" s="165"/>
      <c r="M1422" s="165"/>
      <c r="N1422" s="165"/>
      <c r="O1422" s="165"/>
      <c r="P1422" s="165"/>
      <c r="Q1422" s="165"/>
      <c r="R1422" s="165"/>
      <c r="S1422" s="165"/>
      <c r="T1422" s="165"/>
      <c r="U1422" s="165"/>
      <c r="V1422" s="165"/>
      <c r="W1422" s="165"/>
      <c r="X1422" s="165"/>
    </row>
    <row r="1423" ht="18.75" customHeight="1">
      <c r="A1423" s="165">
        <v>1421.0</v>
      </c>
      <c r="B1423" s="167" t="s">
        <v>16883</v>
      </c>
      <c r="C1423" s="165"/>
      <c r="D1423" s="165"/>
      <c r="E1423" s="165"/>
      <c r="F1423" s="165"/>
      <c r="G1423" s="165"/>
      <c r="H1423" s="165"/>
      <c r="I1423" s="165"/>
      <c r="J1423" s="165"/>
      <c r="K1423" s="165"/>
      <c r="L1423" s="165"/>
      <c r="M1423" s="165"/>
      <c r="N1423" s="165"/>
      <c r="O1423" s="165"/>
      <c r="P1423" s="165"/>
      <c r="Q1423" s="165"/>
      <c r="R1423" s="165"/>
      <c r="S1423" s="165"/>
      <c r="T1423" s="165"/>
      <c r="U1423" s="165"/>
      <c r="V1423" s="165"/>
      <c r="W1423" s="165"/>
      <c r="X1423" s="165"/>
    </row>
    <row r="1424" ht="18.75" customHeight="1">
      <c r="A1424" s="165">
        <v>1422.0</v>
      </c>
      <c r="B1424" s="167" t="s">
        <v>16884</v>
      </c>
      <c r="C1424" s="165"/>
      <c r="D1424" s="165"/>
      <c r="E1424" s="165"/>
      <c r="F1424" s="165"/>
      <c r="G1424" s="165"/>
      <c r="H1424" s="165"/>
      <c r="I1424" s="165"/>
      <c r="J1424" s="165"/>
      <c r="K1424" s="165"/>
      <c r="L1424" s="165"/>
      <c r="M1424" s="165"/>
      <c r="N1424" s="165"/>
      <c r="O1424" s="165"/>
      <c r="P1424" s="165"/>
      <c r="Q1424" s="165"/>
      <c r="R1424" s="165"/>
      <c r="S1424" s="165"/>
      <c r="T1424" s="165"/>
      <c r="U1424" s="165"/>
      <c r="V1424" s="165"/>
      <c r="W1424" s="165"/>
      <c r="X1424" s="165"/>
    </row>
    <row r="1425" ht="18.75" customHeight="1">
      <c r="A1425" s="165">
        <v>1423.0</v>
      </c>
      <c r="B1425" s="167" t="s">
        <v>16885</v>
      </c>
      <c r="C1425" s="165"/>
      <c r="D1425" s="165"/>
      <c r="E1425" s="165"/>
      <c r="F1425" s="165"/>
      <c r="G1425" s="165"/>
      <c r="H1425" s="165"/>
      <c r="I1425" s="165"/>
      <c r="J1425" s="165"/>
      <c r="K1425" s="165"/>
      <c r="L1425" s="165"/>
      <c r="M1425" s="165"/>
      <c r="N1425" s="165"/>
      <c r="O1425" s="165"/>
      <c r="P1425" s="165"/>
      <c r="Q1425" s="165"/>
      <c r="R1425" s="165"/>
      <c r="S1425" s="165"/>
      <c r="T1425" s="165"/>
      <c r="U1425" s="165"/>
      <c r="V1425" s="165"/>
      <c r="W1425" s="165"/>
      <c r="X1425" s="165"/>
    </row>
    <row r="1426" ht="18.75" customHeight="1">
      <c r="A1426" s="165">
        <v>1424.0</v>
      </c>
      <c r="B1426" s="168" t="s">
        <v>16886</v>
      </c>
      <c r="C1426" s="165"/>
      <c r="D1426" s="165"/>
      <c r="E1426" s="165"/>
      <c r="F1426" s="165"/>
      <c r="G1426" s="165"/>
      <c r="H1426" s="165"/>
      <c r="I1426" s="165"/>
      <c r="J1426" s="165"/>
      <c r="K1426" s="165"/>
      <c r="L1426" s="165"/>
      <c r="M1426" s="165"/>
      <c r="N1426" s="165"/>
      <c r="O1426" s="165"/>
      <c r="P1426" s="165"/>
      <c r="Q1426" s="165"/>
      <c r="R1426" s="165"/>
      <c r="S1426" s="165"/>
      <c r="T1426" s="165"/>
      <c r="U1426" s="165"/>
      <c r="V1426" s="165"/>
      <c r="W1426" s="165"/>
      <c r="X1426" s="165"/>
    </row>
    <row r="1427" ht="18.75" customHeight="1">
      <c r="A1427" s="165">
        <v>1425.0</v>
      </c>
      <c r="B1427" s="165" t="s">
        <v>16887</v>
      </c>
      <c r="C1427" s="165"/>
      <c r="D1427" s="165"/>
      <c r="E1427" s="165"/>
      <c r="F1427" s="165"/>
      <c r="G1427" s="165"/>
      <c r="H1427" s="165"/>
      <c r="I1427" s="165"/>
      <c r="J1427" s="165"/>
      <c r="K1427" s="165"/>
      <c r="L1427" s="165"/>
      <c r="M1427" s="165"/>
      <c r="N1427" s="165"/>
      <c r="O1427" s="165"/>
      <c r="P1427" s="165"/>
      <c r="Q1427" s="165"/>
      <c r="R1427" s="165"/>
      <c r="S1427" s="165"/>
      <c r="T1427" s="165"/>
      <c r="U1427" s="165"/>
      <c r="V1427" s="165"/>
      <c r="W1427" s="165"/>
      <c r="X1427" s="165"/>
    </row>
    <row r="1428" ht="18.75" customHeight="1">
      <c r="A1428" s="165">
        <v>1426.0</v>
      </c>
      <c r="B1428" s="167" t="s">
        <v>16888</v>
      </c>
      <c r="C1428" s="165"/>
      <c r="D1428" s="165"/>
      <c r="E1428" s="165"/>
      <c r="F1428" s="165"/>
      <c r="G1428" s="165"/>
      <c r="H1428" s="165"/>
      <c r="I1428" s="165"/>
      <c r="J1428" s="165"/>
      <c r="K1428" s="165"/>
      <c r="L1428" s="165"/>
      <c r="M1428" s="165"/>
      <c r="N1428" s="165"/>
      <c r="O1428" s="165"/>
      <c r="P1428" s="165"/>
      <c r="Q1428" s="165"/>
      <c r="R1428" s="165"/>
      <c r="S1428" s="165"/>
      <c r="T1428" s="165"/>
      <c r="U1428" s="165"/>
      <c r="V1428" s="165"/>
      <c r="W1428" s="165"/>
      <c r="X1428" s="165"/>
    </row>
    <row r="1429" ht="18.75" customHeight="1">
      <c r="A1429" s="165">
        <v>1427.0</v>
      </c>
      <c r="B1429" s="167" t="s">
        <v>16889</v>
      </c>
      <c r="C1429" s="165"/>
      <c r="D1429" s="165"/>
      <c r="E1429" s="165"/>
      <c r="F1429" s="165"/>
      <c r="G1429" s="165"/>
      <c r="H1429" s="165"/>
      <c r="I1429" s="165"/>
      <c r="J1429" s="165"/>
      <c r="K1429" s="165"/>
      <c r="L1429" s="165"/>
      <c r="M1429" s="165"/>
      <c r="N1429" s="165"/>
      <c r="O1429" s="165"/>
      <c r="P1429" s="165"/>
      <c r="Q1429" s="165"/>
      <c r="R1429" s="165"/>
      <c r="S1429" s="165"/>
      <c r="T1429" s="165"/>
      <c r="U1429" s="165"/>
      <c r="V1429" s="165"/>
      <c r="W1429" s="165"/>
      <c r="X1429" s="165"/>
    </row>
    <row r="1430" ht="18.75" customHeight="1">
      <c r="A1430" s="165">
        <v>1428.0</v>
      </c>
      <c r="B1430" s="167" t="s">
        <v>16890</v>
      </c>
      <c r="C1430" s="165"/>
      <c r="D1430" s="165"/>
      <c r="E1430" s="165"/>
      <c r="F1430" s="165"/>
      <c r="G1430" s="165"/>
      <c r="H1430" s="165"/>
      <c r="I1430" s="165"/>
      <c r="J1430" s="165"/>
      <c r="K1430" s="165"/>
      <c r="L1430" s="165"/>
      <c r="M1430" s="165"/>
      <c r="N1430" s="165"/>
      <c r="O1430" s="165"/>
      <c r="P1430" s="165"/>
      <c r="Q1430" s="165"/>
      <c r="R1430" s="165"/>
      <c r="S1430" s="165"/>
      <c r="T1430" s="165"/>
      <c r="U1430" s="165"/>
      <c r="V1430" s="165"/>
      <c r="W1430" s="165"/>
      <c r="X1430" s="165"/>
    </row>
    <row r="1431" ht="18.75" customHeight="1">
      <c r="A1431" s="165">
        <v>1429.0</v>
      </c>
      <c r="B1431" s="165" t="s">
        <v>16891</v>
      </c>
      <c r="C1431" s="165"/>
      <c r="D1431" s="165"/>
      <c r="E1431" s="165"/>
      <c r="F1431" s="165"/>
      <c r="G1431" s="165"/>
      <c r="H1431" s="165"/>
      <c r="I1431" s="165"/>
      <c r="J1431" s="165"/>
      <c r="K1431" s="165"/>
      <c r="L1431" s="165"/>
      <c r="M1431" s="165"/>
      <c r="N1431" s="165"/>
      <c r="O1431" s="165"/>
      <c r="P1431" s="165"/>
      <c r="Q1431" s="165"/>
      <c r="R1431" s="165"/>
      <c r="S1431" s="165"/>
      <c r="T1431" s="165"/>
      <c r="U1431" s="165"/>
      <c r="V1431" s="165"/>
      <c r="W1431" s="165"/>
      <c r="X1431" s="165"/>
    </row>
    <row r="1432" ht="18.75" customHeight="1">
      <c r="A1432" s="165">
        <v>1430.0</v>
      </c>
      <c r="B1432" s="167" t="s">
        <v>16892</v>
      </c>
      <c r="C1432" s="165"/>
      <c r="D1432" s="165"/>
      <c r="E1432" s="165"/>
      <c r="F1432" s="165"/>
      <c r="G1432" s="165"/>
      <c r="H1432" s="165"/>
      <c r="I1432" s="165"/>
      <c r="J1432" s="165"/>
      <c r="K1432" s="165"/>
      <c r="L1432" s="165"/>
      <c r="M1432" s="165"/>
      <c r="N1432" s="165"/>
      <c r="O1432" s="165"/>
      <c r="P1432" s="165"/>
      <c r="Q1432" s="165"/>
      <c r="R1432" s="165"/>
      <c r="S1432" s="165"/>
      <c r="T1432" s="165"/>
      <c r="U1432" s="165"/>
      <c r="V1432" s="165"/>
      <c r="W1432" s="165"/>
      <c r="X1432" s="165"/>
    </row>
    <row r="1433" ht="18.75" customHeight="1">
      <c r="A1433" s="165">
        <v>1431.0</v>
      </c>
      <c r="B1433" s="167" t="s">
        <v>16893</v>
      </c>
      <c r="C1433" s="165"/>
      <c r="D1433" s="165"/>
      <c r="E1433" s="165"/>
      <c r="F1433" s="165"/>
      <c r="G1433" s="165"/>
      <c r="H1433" s="165"/>
      <c r="I1433" s="165"/>
      <c r="J1433" s="165"/>
      <c r="K1433" s="165"/>
      <c r="L1433" s="165"/>
      <c r="M1433" s="165"/>
      <c r="N1433" s="165"/>
      <c r="O1433" s="165"/>
      <c r="P1433" s="165"/>
      <c r="Q1433" s="165"/>
      <c r="R1433" s="165"/>
      <c r="S1433" s="165"/>
      <c r="T1433" s="165"/>
      <c r="U1433" s="165"/>
      <c r="V1433" s="165"/>
      <c r="W1433" s="165"/>
      <c r="X1433" s="165"/>
    </row>
    <row r="1434" ht="18.75" customHeight="1">
      <c r="A1434" s="165">
        <v>1432.0</v>
      </c>
      <c r="B1434" s="167" t="s">
        <v>16647</v>
      </c>
      <c r="C1434" s="165"/>
      <c r="D1434" s="165"/>
      <c r="E1434" s="165"/>
      <c r="F1434" s="165"/>
      <c r="G1434" s="165"/>
      <c r="H1434" s="165"/>
      <c r="I1434" s="165"/>
      <c r="J1434" s="165"/>
      <c r="K1434" s="165"/>
      <c r="L1434" s="165"/>
      <c r="M1434" s="165"/>
      <c r="N1434" s="165"/>
      <c r="O1434" s="165"/>
      <c r="P1434" s="165"/>
      <c r="Q1434" s="165"/>
      <c r="R1434" s="165"/>
      <c r="S1434" s="165"/>
      <c r="T1434" s="165"/>
      <c r="U1434" s="165"/>
      <c r="V1434" s="165"/>
      <c r="W1434" s="165"/>
      <c r="X1434" s="165"/>
    </row>
    <row r="1435" ht="18.75" customHeight="1">
      <c r="A1435" s="165">
        <v>1433.0</v>
      </c>
      <c r="B1435" s="165" t="s">
        <v>16894</v>
      </c>
      <c r="C1435" s="165"/>
      <c r="D1435" s="165"/>
      <c r="E1435" s="165"/>
      <c r="F1435" s="165"/>
      <c r="G1435" s="165"/>
      <c r="H1435" s="165"/>
      <c r="I1435" s="165"/>
      <c r="J1435" s="165"/>
      <c r="K1435" s="165"/>
      <c r="L1435" s="165"/>
      <c r="M1435" s="165"/>
      <c r="N1435" s="165"/>
      <c r="O1435" s="165"/>
      <c r="P1435" s="165"/>
      <c r="Q1435" s="165"/>
      <c r="R1435" s="165"/>
      <c r="S1435" s="165"/>
      <c r="T1435" s="165"/>
      <c r="U1435" s="165"/>
      <c r="V1435" s="165"/>
      <c r="W1435" s="165"/>
      <c r="X1435" s="165"/>
    </row>
    <row r="1436" ht="18.75" customHeight="1">
      <c r="A1436" s="165">
        <v>1434.0</v>
      </c>
      <c r="B1436" s="168" t="s">
        <v>16895</v>
      </c>
      <c r="C1436" s="165"/>
      <c r="D1436" s="165"/>
      <c r="E1436" s="165"/>
      <c r="F1436" s="165"/>
      <c r="G1436" s="165"/>
      <c r="H1436" s="165"/>
      <c r="I1436" s="165"/>
      <c r="J1436" s="165"/>
      <c r="K1436" s="165"/>
      <c r="L1436" s="165"/>
      <c r="M1436" s="165"/>
      <c r="N1436" s="165"/>
      <c r="O1436" s="165"/>
      <c r="P1436" s="165"/>
      <c r="Q1436" s="165"/>
      <c r="R1436" s="165"/>
      <c r="S1436" s="165"/>
      <c r="T1436" s="165"/>
      <c r="U1436" s="165"/>
      <c r="V1436" s="165"/>
      <c r="W1436" s="165"/>
      <c r="X1436" s="165"/>
    </row>
    <row r="1437" ht="18.75" customHeight="1">
      <c r="A1437" s="165">
        <v>1435.0</v>
      </c>
      <c r="B1437" s="165" t="s">
        <v>16896</v>
      </c>
      <c r="C1437" s="165"/>
      <c r="D1437" s="165"/>
      <c r="E1437" s="165"/>
      <c r="F1437" s="165"/>
      <c r="G1437" s="165"/>
      <c r="H1437" s="165"/>
      <c r="I1437" s="165"/>
      <c r="J1437" s="165"/>
      <c r="K1437" s="165"/>
      <c r="L1437" s="165"/>
      <c r="M1437" s="165"/>
      <c r="N1437" s="165"/>
      <c r="O1437" s="165"/>
      <c r="P1437" s="165"/>
      <c r="Q1437" s="165"/>
      <c r="R1437" s="165"/>
      <c r="S1437" s="165"/>
      <c r="T1437" s="165"/>
      <c r="U1437" s="165"/>
      <c r="V1437" s="165"/>
      <c r="W1437" s="165"/>
      <c r="X1437" s="165"/>
    </row>
    <row r="1438" ht="18.75" customHeight="1">
      <c r="A1438" s="165">
        <v>1436.0</v>
      </c>
      <c r="B1438" s="167" t="s">
        <v>16897</v>
      </c>
      <c r="C1438" s="165"/>
      <c r="D1438" s="165"/>
      <c r="E1438" s="165"/>
      <c r="F1438" s="165"/>
      <c r="G1438" s="165"/>
      <c r="H1438" s="165"/>
      <c r="I1438" s="165"/>
      <c r="J1438" s="165"/>
      <c r="K1438" s="165"/>
      <c r="L1438" s="165"/>
      <c r="M1438" s="165"/>
      <c r="N1438" s="165"/>
      <c r="O1438" s="165"/>
      <c r="P1438" s="165"/>
      <c r="Q1438" s="165"/>
      <c r="R1438" s="165"/>
      <c r="S1438" s="165"/>
      <c r="T1438" s="165"/>
      <c r="U1438" s="165"/>
      <c r="V1438" s="165"/>
      <c r="W1438" s="165"/>
      <c r="X1438" s="165"/>
    </row>
    <row r="1439" ht="18.75" customHeight="1">
      <c r="A1439" s="165">
        <v>1437.0</v>
      </c>
      <c r="B1439" s="167" t="s">
        <v>16898</v>
      </c>
      <c r="C1439" s="165"/>
      <c r="D1439" s="165"/>
      <c r="E1439" s="165"/>
      <c r="F1439" s="165"/>
      <c r="G1439" s="165"/>
      <c r="H1439" s="165"/>
      <c r="I1439" s="165"/>
      <c r="J1439" s="165"/>
      <c r="K1439" s="165"/>
      <c r="L1439" s="165"/>
      <c r="M1439" s="165"/>
      <c r="N1439" s="165"/>
      <c r="O1439" s="165"/>
      <c r="P1439" s="165"/>
      <c r="Q1439" s="165"/>
      <c r="R1439" s="165"/>
      <c r="S1439" s="165"/>
      <c r="T1439" s="165"/>
      <c r="U1439" s="165"/>
      <c r="V1439" s="165"/>
      <c r="W1439" s="165"/>
      <c r="X1439" s="165"/>
    </row>
    <row r="1440" ht="18.75" customHeight="1">
      <c r="A1440" s="165">
        <v>1438.0</v>
      </c>
      <c r="B1440" s="165" t="s">
        <v>16899</v>
      </c>
      <c r="C1440" s="165"/>
      <c r="D1440" s="165"/>
      <c r="E1440" s="165"/>
      <c r="F1440" s="165"/>
      <c r="G1440" s="165"/>
      <c r="H1440" s="165"/>
      <c r="I1440" s="165"/>
      <c r="J1440" s="165"/>
      <c r="K1440" s="165"/>
      <c r="L1440" s="165"/>
      <c r="M1440" s="165"/>
      <c r="N1440" s="165"/>
      <c r="O1440" s="165"/>
      <c r="P1440" s="165"/>
      <c r="Q1440" s="165"/>
      <c r="R1440" s="165"/>
      <c r="S1440" s="165"/>
      <c r="T1440" s="165"/>
      <c r="U1440" s="165"/>
      <c r="V1440" s="165"/>
      <c r="W1440" s="165"/>
      <c r="X1440" s="165"/>
    </row>
    <row r="1441" ht="18.75" customHeight="1">
      <c r="A1441" s="165">
        <v>1439.0</v>
      </c>
      <c r="B1441" s="167" t="s">
        <v>16900</v>
      </c>
      <c r="C1441" s="165"/>
      <c r="D1441" s="165"/>
      <c r="E1441" s="165"/>
      <c r="F1441" s="165"/>
      <c r="G1441" s="165"/>
      <c r="H1441" s="165"/>
      <c r="I1441" s="165"/>
      <c r="J1441" s="165"/>
      <c r="K1441" s="165"/>
      <c r="L1441" s="165"/>
      <c r="M1441" s="165"/>
      <c r="N1441" s="165"/>
      <c r="O1441" s="165"/>
      <c r="P1441" s="165"/>
      <c r="Q1441" s="165"/>
      <c r="R1441" s="165"/>
      <c r="S1441" s="165"/>
      <c r="T1441" s="165"/>
      <c r="U1441" s="165"/>
      <c r="V1441" s="165"/>
      <c r="W1441" s="165"/>
      <c r="X1441" s="165"/>
    </row>
    <row r="1442" ht="18.75" customHeight="1">
      <c r="A1442" s="165">
        <v>1440.0</v>
      </c>
      <c r="B1442" s="165" t="s">
        <v>16901</v>
      </c>
      <c r="C1442" s="165"/>
      <c r="D1442" s="165"/>
      <c r="E1442" s="165"/>
      <c r="F1442" s="165"/>
      <c r="G1442" s="165"/>
      <c r="H1442" s="165"/>
      <c r="I1442" s="165"/>
      <c r="J1442" s="165"/>
      <c r="K1442" s="165"/>
      <c r="L1442" s="165"/>
      <c r="M1442" s="165"/>
      <c r="N1442" s="165"/>
      <c r="O1442" s="165"/>
      <c r="P1442" s="165"/>
      <c r="Q1442" s="165"/>
      <c r="R1442" s="165"/>
      <c r="S1442" s="165"/>
      <c r="T1442" s="165"/>
      <c r="U1442" s="165"/>
      <c r="V1442" s="165"/>
      <c r="W1442" s="165"/>
      <c r="X1442" s="165"/>
    </row>
    <row r="1443" ht="18.75" customHeight="1">
      <c r="A1443" s="165">
        <v>1441.0</v>
      </c>
      <c r="B1443" s="167" t="s">
        <v>16902</v>
      </c>
      <c r="C1443" s="165"/>
      <c r="D1443" s="165"/>
      <c r="E1443" s="165"/>
      <c r="F1443" s="165"/>
      <c r="G1443" s="165"/>
      <c r="H1443" s="165"/>
      <c r="I1443" s="165"/>
      <c r="J1443" s="165"/>
      <c r="K1443" s="165"/>
      <c r="L1443" s="165"/>
      <c r="M1443" s="165"/>
      <c r="N1443" s="165"/>
      <c r="O1443" s="165"/>
      <c r="P1443" s="165"/>
      <c r="Q1443" s="165"/>
      <c r="R1443" s="165"/>
      <c r="S1443" s="165"/>
      <c r="T1443" s="165"/>
      <c r="U1443" s="165"/>
      <c r="V1443" s="165"/>
      <c r="W1443" s="165"/>
      <c r="X1443" s="165"/>
    </row>
    <row r="1444" ht="18.75" customHeight="1">
      <c r="A1444" s="165">
        <v>1442.0</v>
      </c>
      <c r="B1444" s="167" t="s">
        <v>16903</v>
      </c>
      <c r="C1444" s="165"/>
      <c r="D1444" s="165"/>
      <c r="E1444" s="165"/>
      <c r="F1444" s="165"/>
      <c r="G1444" s="165"/>
      <c r="H1444" s="165"/>
      <c r="I1444" s="165"/>
      <c r="J1444" s="165"/>
      <c r="K1444" s="165"/>
      <c r="L1444" s="165"/>
      <c r="M1444" s="165"/>
      <c r="N1444" s="165"/>
      <c r="O1444" s="165"/>
      <c r="P1444" s="165"/>
      <c r="Q1444" s="165"/>
      <c r="R1444" s="165"/>
      <c r="S1444" s="165"/>
      <c r="T1444" s="165"/>
      <c r="U1444" s="165"/>
      <c r="V1444" s="165"/>
      <c r="W1444" s="165"/>
      <c r="X1444" s="165"/>
    </row>
    <row r="1445" ht="18.75" customHeight="1">
      <c r="A1445" s="165">
        <v>1443.0</v>
      </c>
      <c r="B1445" s="167" t="s">
        <v>16904</v>
      </c>
      <c r="C1445" s="165"/>
      <c r="D1445" s="165"/>
      <c r="E1445" s="165"/>
      <c r="F1445" s="165"/>
      <c r="G1445" s="165"/>
      <c r="H1445" s="165"/>
      <c r="I1445" s="165"/>
      <c r="J1445" s="165"/>
      <c r="K1445" s="165"/>
      <c r="L1445" s="165"/>
      <c r="M1445" s="165"/>
      <c r="N1445" s="165"/>
      <c r="O1445" s="165"/>
      <c r="P1445" s="165"/>
      <c r="Q1445" s="165"/>
      <c r="R1445" s="165"/>
      <c r="S1445" s="165"/>
      <c r="T1445" s="165"/>
      <c r="U1445" s="165"/>
      <c r="V1445" s="165"/>
      <c r="W1445" s="165"/>
      <c r="X1445" s="165"/>
    </row>
    <row r="1446" ht="18.75" customHeight="1">
      <c r="A1446" s="165">
        <v>1444.0</v>
      </c>
      <c r="B1446" s="165" t="s">
        <v>16905</v>
      </c>
      <c r="C1446" s="165"/>
      <c r="D1446" s="165"/>
      <c r="E1446" s="165"/>
      <c r="F1446" s="165"/>
      <c r="G1446" s="165"/>
      <c r="H1446" s="165"/>
      <c r="I1446" s="165"/>
      <c r="J1446" s="165"/>
      <c r="K1446" s="165"/>
      <c r="L1446" s="165"/>
      <c r="M1446" s="165"/>
      <c r="N1446" s="165"/>
      <c r="O1446" s="165"/>
      <c r="P1446" s="165"/>
      <c r="Q1446" s="165"/>
      <c r="R1446" s="165"/>
      <c r="S1446" s="165"/>
      <c r="T1446" s="165"/>
      <c r="U1446" s="165"/>
      <c r="V1446" s="165"/>
      <c r="W1446" s="165"/>
      <c r="X1446" s="165"/>
    </row>
    <row r="1447" ht="18.75" customHeight="1">
      <c r="A1447" s="165">
        <v>1445.0</v>
      </c>
      <c r="B1447" s="167" t="s">
        <v>16906</v>
      </c>
      <c r="C1447" s="165"/>
      <c r="D1447" s="165"/>
      <c r="E1447" s="165"/>
      <c r="F1447" s="165"/>
      <c r="G1447" s="165"/>
      <c r="H1447" s="165"/>
      <c r="I1447" s="165"/>
      <c r="J1447" s="165"/>
      <c r="K1447" s="165"/>
      <c r="L1447" s="165"/>
      <c r="M1447" s="165"/>
      <c r="N1447" s="165"/>
      <c r="O1447" s="165"/>
      <c r="P1447" s="165"/>
      <c r="Q1447" s="165"/>
      <c r="R1447" s="165"/>
      <c r="S1447" s="165"/>
      <c r="T1447" s="165"/>
      <c r="U1447" s="165"/>
      <c r="V1447" s="165"/>
      <c r="W1447" s="165"/>
      <c r="X1447" s="165"/>
    </row>
    <row r="1448" ht="18.75" customHeight="1">
      <c r="A1448" s="165">
        <v>1446.0</v>
      </c>
      <c r="B1448" s="183" t="s">
        <v>16907</v>
      </c>
      <c r="C1448" s="165"/>
      <c r="D1448" s="165"/>
      <c r="E1448" s="165"/>
      <c r="F1448" s="165"/>
      <c r="G1448" s="165"/>
      <c r="H1448" s="165"/>
      <c r="I1448" s="165"/>
      <c r="J1448" s="165"/>
      <c r="K1448" s="165"/>
      <c r="L1448" s="165"/>
      <c r="M1448" s="165"/>
      <c r="N1448" s="165"/>
      <c r="O1448" s="165"/>
      <c r="P1448" s="165"/>
      <c r="Q1448" s="165"/>
      <c r="R1448" s="165"/>
      <c r="S1448" s="165"/>
      <c r="T1448" s="165"/>
      <c r="U1448" s="165"/>
      <c r="V1448" s="165"/>
      <c r="W1448" s="165"/>
      <c r="X1448" s="165"/>
    </row>
    <row r="1449" ht="18.75" customHeight="1">
      <c r="A1449" s="165">
        <v>1447.0</v>
      </c>
      <c r="B1449" s="167" t="s">
        <v>16908</v>
      </c>
      <c r="C1449" s="165"/>
      <c r="D1449" s="165"/>
      <c r="E1449" s="165"/>
      <c r="F1449" s="165"/>
      <c r="G1449" s="165"/>
      <c r="H1449" s="165"/>
      <c r="I1449" s="165"/>
      <c r="J1449" s="165"/>
      <c r="K1449" s="165"/>
      <c r="L1449" s="165"/>
      <c r="M1449" s="165"/>
      <c r="N1449" s="165"/>
      <c r="O1449" s="165"/>
      <c r="P1449" s="165"/>
      <c r="Q1449" s="165"/>
      <c r="R1449" s="165"/>
      <c r="S1449" s="165"/>
      <c r="T1449" s="165"/>
      <c r="U1449" s="165"/>
      <c r="V1449" s="165"/>
      <c r="W1449" s="165"/>
      <c r="X1449" s="165"/>
    </row>
    <row r="1450" ht="18.75" customHeight="1">
      <c r="A1450" s="165">
        <v>1448.0</v>
      </c>
      <c r="B1450" s="165" t="s">
        <v>16909</v>
      </c>
      <c r="C1450" s="165"/>
      <c r="D1450" s="165"/>
      <c r="E1450" s="165"/>
      <c r="F1450" s="165"/>
      <c r="G1450" s="165"/>
      <c r="H1450" s="165"/>
      <c r="I1450" s="165"/>
      <c r="J1450" s="165"/>
      <c r="K1450" s="165"/>
      <c r="L1450" s="165"/>
      <c r="M1450" s="165"/>
      <c r="N1450" s="165"/>
      <c r="O1450" s="165"/>
      <c r="P1450" s="165"/>
      <c r="Q1450" s="165"/>
      <c r="R1450" s="165"/>
      <c r="S1450" s="165"/>
      <c r="T1450" s="165"/>
      <c r="U1450" s="165"/>
      <c r="V1450" s="165"/>
      <c r="W1450" s="165"/>
      <c r="X1450" s="165"/>
    </row>
    <row r="1451" ht="18.75" customHeight="1">
      <c r="A1451" s="165">
        <v>1449.0</v>
      </c>
      <c r="B1451" s="167" t="s">
        <v>16910</v>
      </c>
      <c r="C1451" s="165"/>
      <c r="D1451" s="165"/>
      <c r="E1451" s="165"/>
      <c r="F1451" s="165"/>
      <c r="G1451" s="165"/>
      <c r="H1451" s="165"/>
      <c r="I1451" s="165"/>
      <c r="J1451" s="165"/>
      <c r="K1451" s="165"/>
      <c r="L1451" s="165"/>
      <c r="M1451" s="165"/>
      <c r="N1451" s="165"/>
      <c r="O1451" s="165"/>
      <c r="P1451" s="165"/>
      <c r="Q1451" s="165"/>
      <c r="R1451" s="165"/>
      <c r="S1451" s="165"/>
      <c r="T1451" s="165"/>
      <c r="U1451" s="165"/>
      <c r="V1451" s="165"/>
      <c r="W1451" s="165"/>
      <c r="X1451" s="165"/>
    </row>
    <row r="1452" ht="18.75" customHeight="1">
      <c r="A1452" s="165">
        <v>1450.0</v>
      </c>
      <c r="B1452" s="165" t="s">
        <v>16911</v>
      </c>
      <c r="C1452" s="165"/>
      <c r="D1452" s="165"/>
      <c r="E1452" s="165"/>
      <c r="F1452" s="165"/>
      <c r="G1452" s="165"/>
      <c r="H1452" s="165"/>
      <c r="I1452" s="165"/>
      <c r="J1452" s="165"/>
      <c r="K1452" s="165"/>
      <c r="L1452" s="165"/>
      <c r="M1452" s="165"/>
      <c r="N1452" s="165"/>
      <c r="O1452" s="165"/>
      <c r="P1452" s="165"/>
      <c r="Q1452" s="165"/>
      <c r="R1452" s="165"/>
      <c r="S1452" s="165"/>
      <c r="T1452" s="165"/>
      <c r="U1452" s="165"/>
      <c r="V1452" s="165"/>
      <c r="W1452" s="165"/>
      <c r="X1452" s="165"/>
    </row>
    <row r="1453" ht="18.75" customHeight="1">
      <c r="A1453" s="165">
        <v>1451.0</v>
      </c>
      <c r="B1453" s="167" t="s">
        <v>16912</v>
      </c>
      <c r="C1453" s="165"/>
      <c r="D1453" s="165"/>
      <c r="E1453" s="165"/>
      <c r="F1453" s="165"/>
      <c r="G1453" s="165"/>
      <c r="H1453" s="165"/>
      <c r="I1453" s="165"/>
      <c r="J1453" s="165"/>
      <c r="K1453" s="165"/>
      <c r="L1453" s="165"/>
      <c r="M1453" s="165"/>
      <c r="N1453" s="165"/>
      <c r="O1453" s="165"/>
      <c r="P1453" s="165"/>
      <c r="Q1453" s="165"/>
      <c r="R1453" s="165"/>
      <c r="S1453" s="165"/>
      <c r="T1453" s="165"/>
      <c r="U1453" s="165"/>
      <c r="V1453" s="165"/>
      <c r="W1453" s="165"/>
      <c r="X1453" s="165"/>
    </row>
    <row r="1454" ht="18.75" customHeight="1">
      <c r="A1454" s="165">
        <v>1452.0</v>
      </c>
      <c r="B1454" s="165" t="s">
        <v>16913</v>
      </c>
      <c r="C1454" s="165"/>
      <c r="D1454" s="165"/>
      <c r="E1454" s="165"/>
      <c r="F1454" s="165"/>
      <c r="G1454" s="165"/>
      <c r="H1454" s="165"/>
      <c r="I1454" s="165"/>
      <c r="J1454" s="165"/>
      <c r="K1454" s="165"/>
      <c r="L1454" s="165"/>
      <c r="M1454" s="165"/>
      <c r="N1454" s="165"/>
      <c r="O1454" s="165"/>
      <c r="P1454" s="165"/>
      <c r="Q1454" s="165"/>
      <c r="R1454" s="165"/>
      <c r="S1454" s="165"/>
      <c r="T1454" s="165"/>
      <c r="U1454" s="165"/>
      <c r="V1454" s="165"/>
      <c r="W1454" s="165"/>
      <c r="X1454" s="165"/>
    </row>
    <row r="1455" ht="18.75" customHeight="1">
      <c r="A1455" s="165">
        <v>1453.0</v>
      </c>
      <c r="B1455" s="165" t="s">
        <v>16914</v>
      </c>
      <c r="C1455" s="165"/>
      <c r="D1455" s="165"/>
      <c r="E1455" s="165"/>
      <c r="F1455" s="165"/>
      <c r="G1455" s="165"/>
      <c r="H1455" s="165"/>
      <c r="I1455" s="165"/>
      <c r="J1455" s="165"/>
      <c r="K1455" s="165"/>
      <c r="L1455" s="165"/>
      <c r="M1455" s="165"/>
      <c r="N1455" s="165"/>
      <c r="O1455" s="165"/>
      <c r="P1455" s="165"/>
      <c r="Q1455" s="165"/>
      <c r="R1455" s="165"/>
      <c r="S1455" s="165"/>
      <c r="T1455" s="165"/>
      <c r="U1455" s="165"/>
      <c r="V1455" s="165"/>
      <c r="W1455" s="165"/>
      <c r="X1455" s="165"/>
    </row>
    <row r="1456" ht="18.75" customHeight="1">
      <c r="A1456" s="165">
        <v>1454.0</v>
      </c>
      <c r="B1456" s="167" t="s">
        <v>16915</v>
      </c>
      <c r="C1456" s="165"/>
      <c r="D1456" s="165"/>
      <c r="E1456" s="165"/>
      <c r="F1456" s="165"/>
      <c r="G1456" s="165"/>
      <c r="H1456" s="165"/>
      <c r="I1456" s="165"/>
      <c r="J1456" s="165"/>
      <c r="K1456" s="165"/>
      <c r="L1456" s="165"/>
      <c r="M1456" s="165"/>
      <c r="N1456" s="165"/>
      <c r="O1456" s="165"/>
      <c r="P1456" s="165"/>
      <c r="Q1456" s="165"/>
      <c r="R1456" s="165"/>
      <c r="S1456" s="165"/>
      <c r="T1456" s="165"/>
      <c r="U1456" s="165"/>
      <c r="V1456" s="165"/>
      <c r="W1456" s="165"/>
      <c r="X1456" s="165"/>
    </row>
    <row r="1457" ht="18.75" customHeight="1">
      <c r="A1457" s="165">
        <v>1455.0</v>
      </c>
      <c r="B1457" s="165" t="s">
        <v>16916</v>
      </c>
      <c r="C1457" s="165"/>
      <c r="D1457" s="165"/>
      <c r="E1457" s="165"/>
      <c r="F1457" s="165"/>
      <c r="G1457" s="165"/>
      <c r="H1457" s="165"/>
      <c r="I1457" s="165"/>
      <c r="J1457" s="165"/>
      <c r="K1457" s="165"/>
      <c r="L1457" s="165"/>
      <c r="M1457" s="165"/>
      <c r="N1457" s="165"/>
      <c r="O1457" s="165"/>
      <c r="P1457" s="165"/>
      <c r="Q1457" s="165"/>
      <c r="R1457" s="165"/>
      <c r="S1457" s="165"/>
      <c r="T1457" s="165"/>
      <c r="U1457" s="165"/>
      <c r="V1457" s="165"/>
      <c r="W1457" s="165"/>
      <c r="X1457" s="165"/>
    </row>
    <row r="1458" ht="18.75" customHeight="1">
      <c r="A1458" s="165">
        <v>1456.0</v>
      </c>
      <c r="B1458" s="167" t="s">
        <v>16917</v>
      </c>
      <c r="C1458" s="165"/>
      <c r="D1458" s="165"/>
      <c r="E1458" s="165"/>
      <c r="F1458" s="165"/>
      <c r="G1458" s="165"/>
      <c r="H1458" s="165"/>
      <c r="I1458" s="165"/>
      <c r="J1458" s="165"/>
      <c r="K1458" s="165"/>
      <c r="L1458" s="165"/>
      <c r="M1458" s="165"/>
      <c r="N1458" s="165"/>
      <c r="O1458" s="165"/>
      <c r="P1458" s="165"/>
      <c r="Q1458" s="165"/>
      <c r="R1458" s="165"/>
      <c r="S1458" s="165"/>
      <c r="T1458" s="165"/>
      <c r="U1458" s="165"/>
      <c r="V1458" s="165"/>
      <c r="W1458" s="165"/>
      <c r="X1458" s="165"/>
    </row>
    <row r="1459" ht="18.75" customHeight="1">
      <c r="A1459" s="165">
        <v>1457.0</v>
      </c>
      <c r="B1459" s="165" t="s">
        <v>16918</v>
      </c>
      <c r="C1459" s="165"/>
      <c r="D1459" s="165"/>
      <c r="E1459" s="165"/>
      <c r="F1459" s="165"/>
      <c r="G1459" s="165"/>
      <c r="H1459" s="165"/>
      <c r="I1459" s="165"/>
      <c r="J1459" s="165"/>
      <c r="K1459" s="165"/>
      <c r="L1459" s="165"/>
      <c r="M1459" s="165"/>
      <c r="N1459" s="165"/>
      <c r="O1459" s="165"/>
      <c r="P1459" s="165"/>
      <c r="Q1459" s="165"/>
      <c r="R1459" s="165"/>
      <c r="S1459" s="165"/>
      <c r="T1459" s="165"/>
      <c r="U1459" s="165"/>
      <c r="V1459" s="165"/>
      <c r="W1459" s="165"/>
      <c r="X1459" s="165"/>
    </row>
    <row r="1460" ht="18.75" customHeight="1">
      <c r="A1460" s="165">
        <v>1458.0</v>
      </c>
      <c r="B1460" s="165" t="s">
        <v>16919</v>
      </c>
      <c r="C1460" s="165"/>
      <c r="D1460" s="165"/>
      <c r="E1460" s="165"/>
      <c r="F1460" s="165"/>
      <c r="G1460" s="165"/>
      <c r="H1460" s="165"/>
      <c r="I1460" s="165"/>
      <c r="J1460" s="165"/>
      <c r="K1460" s="165"/>
      <c r="L1460" s="165"/>
      <c r="M1460" s="165"/>
      <c r="N1460" s="165"/>
      <c r="O1460" s="165"/>
      <c r="P1460" s="165"/>
      <c r="Q1460" s="165"/>
      <c r="R1460" s="165"/>
      <c r="S1460" s="165"/>
      <c r="T1460" s="165"/>
      <c r="U1460" s="165"/>
      <c r="V1460" s="165"/>
      <c r="W1460" s="165"/>
      <c r="X1460" s="165"/>
    </row>
    <row r="1461" ht="18.75" customHeight="1">
      <c r="A1461" s="165">
        <v>1459.0</v>
      </c>
      <c r="B1461" s="165" t="s">
        <v>16920</v>
      </c>
      <c r="C1461" s="165"/>
      <c r="D1461" s="165"/>
      <c r="E1461" s="165"/>
      <c r="F1461" s="165"/>
      <c r="G1461" s="165"/>
      <c r="H1461" s="165"/>
      <c r="I1461" s="165"/>
      <c r="J1461" s="165"/>
      <c r="K1461" s="165"/>
      <c r="L1461" s="165"/>
      <c r="M1461" s="165"/>
      <c r="N1461" s="165"/>
      <c r="O1461" s="165"/>
      <c r="P1461" s="165"/>
      <c r="Q1461" s="165"/>
      <c r="R1461" s="165"/>
      <c r="S1461" s="165"/>
      <c r="T1461" s="165"/>
      <c r="U1461" s="165"/>
      <c r="V1461" s="165"/>
      <c r="W1461" s="165"/>
      <c r="X1461" s="165"/>
    </row>
    <row r="1462" ht="18.75" customHeight="1">
      <c r="A1462" s="165">
        <v>1460.0</v>
      </c>
      <c r="B1462" s="167" t="s">
        <v>16921</v>
      </c>
      <c r="C1462" s="165"/>
      <c r="D1462" s="165"/>
      <c r="E1462" s="165"/>
      <c r="F1462" s="165"/>
      <c r="G1462" s="165"/>
      <c r="H1462" s="165"/>
      <c r="I1462" s="165"/>
      <c r="J1462" s="165"/>
      <c r="K1462" s="165"/>
      <c r="L1462" s="165"/>
      <c r="M1462" s="165"/>
      <c r="N1462" s="165"/>
      <c r="O1462" s="165"/>
      <c r="P1462" s="165"/>
      <c r="Q1462" s="165"/>
      <c r="R1462" s="165"/>
      <c r="S1462" s="165"/>
      <c r="T1462" s="165"/>
      <c r="U1462" s="165"/>
      <c r="V1462" s="165"/>
      <c r="W1462" s="165"/>
      <c r="X1462" s="165"/>
    </row>
    <row r="1463" ht="18.75" customHeight="1">
      <c r="A1463" s="165">
        <v>1461.0</v>
      </c>
      <c r="B1463" s="165" t="s">
        <v>16922</v>
      </c>
      <c r="C1463" s="165"/>
      <c r="D1463" s="165"/>
      <c r="E1463" s="165"/>
      <c r="F1463" s="165"/>
      <c r="G1463" s="165"/>
      <c r="H1463" s="165"/>
      <c r="I1463" s="165"/>
      <c r="J1463" s="165"/>
      <c r="K1463" s="165"/>
      <c r="L1463" s="165"/>
      <c r="M1463" s="165"/>
      <c r="N1463" s="165"/>
      <c r="O1463" s="165"/>
      <c r="P1463" s="165"/>
      <c r="Q1463" s="165"/>
      <c r="R1463" s="165"/>
      <c r="S1463" s="165"/>
      <c r="T1463" s="165"/>
      <c r="U1463" s="165"/>
      <c r="V1463" s="165"/>
      <c r="W1463" s="165"/>
      <c r="X1463" s="165"/>
    </row>
    <row r="1464" ht="18.75" customHeight="1">
      <c r="A1464" s="165">
        <v>1462.0</v>
      </c>
      <c r="B1464" s="165" t="s">
        <v>16923</v>
      </c>
      <c r="C1464" s="165"/>
      <c r="D1464" s="165"/>
      <c r="E1464" s="165"/>
      <c r="F1464" s="165"/>
      <c r="G1464" s="165"/>
      <c r="H1464" s="165"/>
      <c r="I1464" s="165"/>
      <c r="J1464" s="165"/>
      <c r="K1464" s="165"/>
      <c r="L1464" s="165"/>
      <c r="M1464" s="165"/>
      <c r="N1464" s="165"/>
      <c r="O1464" s="165"/>
      <c r="P1464" s="165"/>
      <c r="Q1464" s="165"/>
      <c r="R1464" s="165"/>
      <c r="S1464" s="165"/>
      <c r="T1464" s="165"/>
      <c r="U1464" s="165"/>
      <c r="V1464" s="165"/>
      <c r="W1464" s="165"/>
      <c r="X1464" s="165"/>
    </row>
    <row r="1465" ht="18.75" customHeight="1">
      <c r="A1465" s="165">
        <v>1463.0</v>
      </c>
      <c r="B1465" s="165" t="s">
        <v>16924</v>
      </c>
      <c r="C1465" s="165"/>
      <c r="D1465" s="165"/>
      <c r="E1465" s="165"/>
      <c r="F1465" s="165"/>
      <c r="G1465" s="165"/>
      <c r="H1465" s="165"/>
      <c r="I1465" s="165"/>
      <c r="J1465" s="165"/>
      <c r="K1465" s="165"/>
      <c r="L1465" s="165"/>
      <c r="M1465" s="165"/>
      <c r="N1465" s="165"/>
      <c r="O1465" s="165"/>
      <c r="P1465" s="165"/>
      <c r="Q1465" s="165"/>
      <c r="R1465" s="165"/>
      <c r="S1465" s="165"/>
      <c r="T1465" s="165"/>
      <c r="U1465" s="165"/>
      <c r="V1465" s="165"/>
      <c r="W1465" s="165"/>
      <c r="X1465" s="165"/>
    </row>
    <row r="1466" ht="18.75" customHeight="1">
      <c r="A1466" s="165">
        <v>1464.0</v>
      </c>
      <c r="B1466" s="165" t="s">
        <v>16925</v>
      </c>
      <c r="C1466" s="165"/>
      <c r="D1466" s="165"/>
      <c r="E1466" s="165"/>
      <c r="F1466" s="165"/>
      <c r="G1466" s="165"/>
      <c r="H1466" s="165"/>
      <c r="I1466" s="165"/>
      <c r="J1466" s="165"/>
      <c r="K1466" s="165"/>
      <c r="L1466" s="165"/>
      <c r="M1466" s="165"/>
      <c r="N1466" s="165"/>
      <c r="O1466" s="165"/>
      <c r="P1466" s="165"/>
      <c r="Q1466" s="165"/>
      <c r="R1466" s="165"/>
      <c r="S1466" s="165"/>
      <c r="T1466" s="165"/>
      <c r="U1466" s="165"/>
      <c r="V1466" s="165"/>
      <c r="W1466" s="165"/>
      <c r="X1466" s="165"/>
    </row>
    <row r="1467" ht="18.75" customHeight="1">
      <c r="A1467" s="165">
        <v>1465.0</v>
      </c>
      <c r="B1467" s="167" t="s">
        <v>16926</v>
      </c>
      <c r="C1467" s="165"/>
      <c r="D1467" s="165"/>
      <c r="E1467" s="165"/>
      <c r="F1467" s="165"/>
      <c r="G1467" s="165"/>
      <c r="H1467" s="165"/>
      <c r="I1467" s="165"/>
      <c r="J1467" s="165"/>
      <c r="K1467" s="165"/>
      <c r="L1467" s="165"/>
      <c r="M1467" s="165"/>
      <c r="N1467" s="165"/>
      <c r="O1467" s="165"/>
      <c r="P1467" s="165"/>
      <c r="Q1467" s="165"/>
      <c r="R1467" s="165"/>
      <c r="S1467" s="165"/>
      <c r="T1467" s="165"/>
      <c r="U1467" s="165"/>
      <c r="V1467" s="165"/>
      <c r="W1467" s="165"/>
      <c r="X1467" s="165"/>
    </row>
    <row r="1468" ht="18.75" customHeight="1">
      <c r="A1468" s="165">
        <v>1466.0</v>
      </c>
      <c r="B1468" s="167" t="s">
        <v>16927</v>
      </c>
      <c r="C1468" s="165"/>
      <c r="D1468" s="165"/>
      <c r="E1468" s="165"/>
      <c r="F1468" s="165"/>
      <c r="G1468" s="165"/>
      <c r="H1468" s="165"/>
      <c r="I1468" s="165"/>
      <c r="J1468" s="165"/>
      <c r="K1468" s="165"/>
      <c r="L1468" s="165"/>
      <c r="M1468" s="165"/>
      <c r="N1468" s="165"/>
      <c r="O1468" s="165"/>
      <c r="P1468" s="165"/>
      <c r="Q1468" s="165"/>
      <c r="R1468" s="165"/>
      <c r="S1468" s="165"/>
      <c r="T1468" s="165"/>
      <c r="U1468" s="165"/>
      <c r="V1468" s="165"/>
      <c r="W1468" s="165"/>
      <c r="X1468" s="165"/>
    </row>
    <row r="1469" ht="18.75" customHeight="1">
      <c r="A1469" s="165">
        <v>1467.0</v>
      </c>
      <c r="B1469" s="165" t="s">
        <v>16928</v>
      </c>
      <c r="C1469" s="165"/>
      <c r="D1469" s="165"/>
      <c r="E1469" s="165"/>
      <c r="F1469" s="165"/>
      <c r="G1469" s="165"/>
      <c r="H1469" s="165"/>
      <c r="I1469" s="165"/>
      <c r="J1469" s="165"/>
      <c r="K1469" s="165"/>
      <c r="L1469" s="165"/>
      <c r="M1469" s="165"/>
      <c r="N1469" s="165"/>
      <c r="O1469" s="165"/>
      <c r="P1469" s="165"/>
      <c r="Q1469" s="165"/>
      <c r="R1469" s="165"/>
      <c r="S1469" s="165"/>
      <c r="T1469" s="165"/>
      <c r="U1469" s="165"/>
      <c r="V1469" s="165"/>
      <c r="W1469" s="165"/>
      <c r="X1469" s="165"/>
    </row>
    <row r="1470" ht="18.75" customHeight="1">
      <c r="A1470" s="165">
        <v>1468.0</v>
      </c>
      <c r="B1470" s="167" t="s">
        <v>16929</v>
      </c>
      <c r="C1470" s="165"/>
      <c r="D1470" s="165"/>
      <c r="E1470" s="165"/>
      <c r="F1470" s="165"/>
      <c r="G1470" s="165"/>
      <c r="H1470" s="165"/>
      <c r="I1470" s="165"/>
      <c r="J1470" s="165"/>
      <c r="K1470" s="165"/>
      <c r="L1470" s="165"/>
      <c r="M1470" s="165"/>
      <c r="N1470" s="165"/>
      <c r="O1470" s="165"/>
      <c r="P1470" s="165"/>
      <c r="Q1470" s="165"/>
      <c r="R1470" s="165"/>
      <c r="S1470" s="165"/>
      <c r="T1470" s="165"/>
      <c r="U1470" s="165"/>
      <c r="V1470" s="165"/>
      <c r="W1470" s="165"/>
      <c r="X1470" s="165"/>
    </row>
    <row r="1471" ht="18.75" customHeight="1">
      <c r="A1471" s="165">
        <v>1469.0</v>
      </c>
      <c r="B1471" s="165" t="s">
        <v>16930</v>
      </c>
      <c r="C1471" s="165"/>
      <c r="D1471" s="165"/>
      <c r="E1471" s="165"/>
      <c r="F1471" s="165"/>
      <c r="G1471" s="165"/>
      <c r="H1471" s="165"/>
      <c r="I1471" s="165"/>
      <c r="J1471" s="165"/>
      <c r="K1471" s="165"/>
      <c r="L1471" s="165"/>
      <c r="M1471" s="165"/>
      <c r="N1471" s="165"/>
      <c r="O1471" s="165"/>
      <c r="P1471" s="165"/>
      <c r="Q1471" s="165"/>
      <c r="R1471" s="165"/>
      <c r="S1471" s="165"/>
      <c r="T1471" s="165"/>
      <c r="U1471" s="165"/>
      <c r="V1471" s="165"/>
      <c r="W1471" s="165"/>
      <c r="X1471" s="165"/>
    </row>
    <row r="1472" ht="18.75" customHeight="1">
      <c r="A1472" s="165">
        <v>1470.0</v>
      </c>
      <c r="B1472" s="165" t="s">
        <v>16931</v>
      </c>
      <c r="C1472" s="165"/>
      <c r="D1472" s="165"/>
      <c r="E1472" s="165"/>
      <c r="F1472" s="165"/>
      <c r="G1472" s="165"/>
      <c r="H1472" s="165"/>
      <c r="I1472" s="165"/>
      <c r="J1472" s="165"/>
      <c r="K1472" s="165"/>
      <c r="L1472" s="165"/>
      <c r="M1472" s="165"/>
      <c r="N1472" s="165"/>
      <c r="O1472" s="165"/>
      <c r="P1472" s="165"/>
      <c r="Q1472" s="165"/>
      <c r="R1472" s="165"/>
      <c r="S1472" s="165"/>
      <c r="T1472" s="165"/>
      <c r="U1472" s="165"/>
      <c r="V1472" s="165"/>
      <c r="W1472" s="165"/>
      <c r="X1472" s="165"/>
    </row>
    <row r="1473" ht="18.75" customHeight="1">
      <c r="A1473" s="165">
        <v>1471.0</v>
      </c>
      <c r="B1473" s="165" t="s">
        <v>16932</v>
      </c>
      <c r="C1473" s="165"/>
      <c r="D1473" s="165"/>
      <c r="E1473" s="165"/>
      <c r="F1473" s="165"/>
      <c r="G1473" s="165"/>
      <c r="H1473" s="165"/>
      <c r="I1473" s="165"/>
      <c r="J1473" s="165"/>
      <c r="K1473" s="165"/>
      <c r="L1473" s="165"/>
      <c r="M1473" s="165"/>
      <c r="N1473" s="165"/>
      <c r="O1473" s="165"/>
      <c r="P1473" s="165"/>
      <c r="Q1473" s="165"/>
      <c r="R1473" s="165"/>
      <c r="S1473" s="165"/>
      <c r="T1473" s="165"/>
      <c r="U1473" s="165"/>
      <c r="V1473" s="165"/>
      <c r="W1473" s="165"/>
      <c r="X1473" s="165"/>
    </row>
    <row r="1474" ht="18.75" customHeight="1">
      <c r="A1474" s="165">
        <v>1472.0</v>
      </c>
      <c r="B1474" s="167" t="s">
        <v>16933</v>
      </c>
      <c r="C1474" s="165"/>
      <c r="D1474" s="165"/>
      <c r="E1474" s="165"/>
      <c r="F1474" s="165"/>
      <c r="G1474" s="165"/>
      <c r="H1474" s="165"/>
      <c r="I1474" s="165"/>
      <c r="J1474" s="165"/>
      <c r="K1474" s="165"/>
      <c r="L1474" s="165"/>
      <c r="M1474" s="165"/>
      <c r="N1474" s="165"/>
      <c r="O1474" s="165"/>
      <c r="P1474" s="165"/>
      <c r="Q1474" s="165"/>
      <c r="R1474" s="165"/>
      <c r="S1474" s="165"/>
      <c r="T1474" s="165"/>
      <c r="U1474" s="165"/>
      <c r="V1474" s="165"/>
      <c r="W1474" s="165"/>
      <c r="X1474" s="165"/>
    </row>
    <row r="1475" ht="18.75" customHeight="1">
      <c r="A1475" s="165">
        <v>1473.0</v>
      </c>
      <c r="B1475" s="167" t="s">
        <v>16934</v>
      </c>
      <c r="C1475" s="165"/>
      <c r="D1475" s="165"/>
      <c r="E1475" s="165"/>
      <c r="F1475" s="165"/>
      <c r="G1475" s="165"/>
      <c r="H1475" s="165"/>
      <c r="I1475" s="165"/>
      <c r="J1475" s="165"/>
      <c r="K1475" s="165"/>
      <c r="L1475" s="165"/>
      <c r="M1475" s="165"/>
      <c r="N1475" s="165"/>
      <c r="O1475" s="165"/>
      <c r="P1475" s="165"/>
      <c r="Q1475" s="165"/>
      <c r="R1475" s="165"/>
      <c r="S1475" s="165"/>
      <c r="T1475" s="165"/>
      <c r="U1475" s="165"/>
      <c r="V1475" s="165"/>
      <c r="W1475" s="165"/>
      <c r="X1475" s="165"/>
    </row>
    <row r="1476" ht="18.75" customHeight="1">
      <c r="A1476" s="165">
        <v>1474.0</v>
      </c>
      <c r="B1476" s="165" t="s">
        <v>16935</v>
      </c>
      <c r="C1476" s="165"/>
      <c r="D1476" s="165"/>
      <c r="E1476" s="165"/>
      <c r="F1476" s="165"/>
      <c r="G1476" s="165"/>
      <c r="H1476" s="165"/>
      <c r="I1476" s="165"/>
      <c r="J1476" s="165"/>
      <c r="K1476" s="165"/>
      <c r="L1476" s="165"/>
      <c r="M1476" s="165"/>
      <c r="N1476" s="165"/>
      <c r="O1476" s="165"/>
      <c r="P1476" s="165"/>
      <c r="Q1476" s="165"/>
      <c r="R1476" s="165"/>
      <c r="S1476" s="165"/>
      <c r="T1476" s="165"/>
      <c r="U1476" s="165"/>
      <c r="V1476" s="165"/>
      <c r="W1476" s="165"/>
      <c r="X1476" s="165"/>
    </row>
    <row r="1477" ht="18.75" customHeight="1">
      <c r="A1477" s="165">
        <v>1475.0</v>
      </c>
      <c r="B1477" s="165" t="s">
        <v>16936</v>
      </c>
      <c r="C1477" s="165"/>
      <c r="D1477" s="165"/>
      <c r="E1477" s="165"/>
      <c r="F1477" s="165"/>
      <c r="G1477" s="165"/>
      <c r="H1477" s="165"/>
      <c r="I1477" s="165"/>
      <c r="J1477" s="165"/>
      <c r="K1477" s="165"/>
      <c r="L1477" s="165"/>
      <c r="M1477" s="165"/>
      <c r="N1477" s="165"/>
      <c r="O1477" s="165"/>
      <c r="P1477" s="165"/>
      <c r="Q1477" s="165"/>
      <c r="R1477" s="165"/>
      <c r="S1477" s="165"/>
      <c r="T1477" s="165"/>
      <c r="U1477" s="165"/>
      <c r="V1477" s="165"/>
      <c r="W1477" s="165"/>
      <c r="X1477" s="165"/>
    </row>
    <row r="1478" ht="18.75" customHeight="1">
      <c r="A1478" s="165">
        <v>1476.0</v>
      </c>
      <c r="B1478" s="165" t="s">
        <v>16937</v>
      </c>
      <c r="C1478" s="165"/>
      <c r="D1478" s="165"/>
      <c r="E1478" s="165"/>
      <c r="F1478" s="165"/>
      <c r="G1478" s="165"/>
      <c r="H1478" s="165"/>
      <c r="I1478" s="165"/>
      <c r="J1478" s="165"/>
      <c r="K1478" s="165"/>
      <c r="L1478" s="165"/>
      <c r="M1478" s="165"/>
      <c r="N1478" s="165"/>
      <c r="O1478" s="165"/>
      <c r="P1478" s="165"/>
      <c r="Q1478" s="165"/>
      <c r="R1478" s="165"/>
      <c r="S1478" s="165"/>
      <c r="T1478" s="165"/>
      <c r="U1478" s="165"/>
      <c r="V1478" s="165"/>
      <c r="W1478" s="165"/>
      <c r="X1478" s="165"/>
    </row>
    <row r="1479" ht="18.75" customHeight="1">
      <c r="A1479" s="165">
        <v>1477.0</v>
      </c>
      <c r="B1479" s="165" t="s">
        <v>16938</v>
      </c>
      <c r="C1479" s="165"/>
      <c r="D1479" s="165"/>
      <c r="E1479" s="165"/>
      <c r="F1479" s="165"/>
      <c r="G1479" s="165"/>
      <c r="H1479" s="165"/>
      <c r="I1479" s="165"/>
      <c r="J1479" s="165"/>
      <c r="K1479" s="165"/>
      <c r="L1479" s="165"/>
      <c r="M1479" s="165"/>
      <c r="N1479" s="165"/>
      <c r="O1479" s="165"/>
      <c r="P1479" s="165"/>
      <c r="Q1479" s="165"/>
      <c r="R1479" s="165"/>
      <c r="S1479" s="165"/>
      <c r="T1479" s="165"/>
      <c r="U1479" s="165"/>
      <c r="V1479" s="165"/>
      <c r="W1479" s="165"/>
      <c r="X1479" s="165"/>
    </row>
    <row r="1480" ht="18.75" customHeight="1">
      <c r="A1480" s="165">
        <v>1478.0</v>
      </c>
      <c r="B1480" s="165" t="s">
        <v>16939</v>
      </c>
      <c r="C1480" s="165"/>
      <c r="D1480" s="165"/>
      <c r="E1480" s="165"/>
      <c r="F1480" s="165"/>
      <c r="G1480" s="165"/>
      <c r="H1480" s="165"/>
      <c r="I1480" s="165"/>
      <c r="J1480" s="165"/>
      <c r="K1480" s="165"/>
      <c r="L1480" s="165"/>
      <c r="M1480" s="165"/>
      <c r="N1480" s="165"/>
      <c r="O1480" s="165"/>
      <c r="P1480" s="165"/>
      <c r="Q1480" s="165"/>
      <c r="R1480" s="165"/>
      <c r="S1480" s="165"/>
      <c r="T1480" s="165"/>
      <c r="U1480" s="165"/>
      <c r="V1480" s="165"/>
      <c r="W1480" s="165"/>
      <c r="X1480" s="165"/>
    </row>
    <row r="1481" ht="18.75" customHeight="1">
      <c r="A1481" s="165">
        <v>1479.0</v>
      </c>
      <c r="B1481" s="165" t="s">
        <v>16940</v>
      </c>
      <c r="C1481" s="165"/>
      <c r="D1481" s="165"/>
      <c r="E1481" s="165"/>
      <c r="F1481" s="165"/>
      <c r="G1481" s="165"/>
      <c r="H1481" s="165"/>
      <c r="I1481" s="165"/>
      <c r="J1481" s="165"/>
      <c r="K1481" s="165"/>
      <c r="L1481" s="165"/>
      <c r="M1481" s="165"/>
      <c r="N1481" s="165"/>
      <c r="O1481" s="165"/>
      <c r="P1481" s="165"/>
      <c r="Q1481" s="165"/>
      <c r="R1481" s="165"/>
      <c r="S1481" s="165"/>
      <c r="T1481" s="165"/>
      <c r="U1481" s="165"/>
      <c r="V1481" s="165"/>
      <c r="W1481" s="165"/>
      <c r="X1481" s="165"/>
    </row>
    <row r="1482" ht="18.75" customHeight="1">
      <c r="A1482" s="165">
        <v>1480.0</v>
      </c>
      <c r="B1482" s="165" t="s">
        <v>16941</v>
      </c>
      <c r="C1482" s="165"/>
      <c r="D1482" s="165"/>
      <c r="E1482" s="165"/>
      <c r="F1482" s="165"/>
      <c r="G1482" s="165"/>
      <c r="H1482" s="165"/>
      <c r="I1482" s="165"/>
      <c r="J1482" s="165"/>
      <c r="K1482" s="165"/>
      <c r="L1482" s="165"/>
      <c r="M1482" s="165"/>
      <c r="N1482" s="165"/>
      <c r="O1482" s="165"/>
      <c r="P1482" s="165"/>
      <c r="Q1482" s="165"/>
      <c r="R1482" s="165"/>
      <c r="S1482" s="165"/>
      <c r="T1482" s="165"/>
      <c r="U1482" s="165"/>
      <c r="V1482" s="165"/>
      <c r="W1482" s="165"/>
      <c r="X1482" s="165"/>
    </row>
    <row r="1483" ht="18.75" customHeight="1">
      <c r="A1483" s="165">
        <v>1481.0</v>
      </c>
      <c r="B1483" s="165" t="s">
        <v>16942</v>
      </c>
      <c r="C1483" s="165"/>
      <c r="D1483" s="165"/>
      <c r="E1483" s="165"/>
      <c r="F1483" s="165"/>
      <c r="G1483" s="165"/>
      <c r="H1483" s="165"/>
      <c r="I1483" s="165"/>
      <c r="J1483" s="165"/>
      <c r="K1483" s="165"/>
      <c r="L1483" s="165"/>
      <c r="M1483" s="165"/>
      <c r="N1483" s="165"/>
      <c r="O1483" s="165"/>
      <c r="P1483" s="165"/>
      <c r="Q1483" s="165"/>
      <c r="R1483" s="165"/>
      <c r="S1483" s="165"/>
      <c r="T1483" s="165"/>
      <c r="U1483" s="165"/>
      <c r="V1483" s="165"/>
      <c r="W1483" s="165"/>
      <c r="X1483" s="165"/>
    </row>
    <row r="1484" ht="18.75" customHeight="1">
      <c r="A1484" s="165">
        <v>1482.0</v>
      </c>
      <c r="B1484" s="165" t="s">
        <v>16943</v>
      </c>
      <c r="C1484" s="165"/>
      <c r="D1484" s="165"/>
      <c r="E1484" s="165"/>
      <c r="F1484" s="165"/>
      <c r="G1484" s="165"/>
      <c r="H1484" s="165"/>
      <c r="I1484" s="165"/>
      <c r="J1484" s="165"/>
      <c r="K1484" s="165"/>
      <c r="L1484" s="165"/>
      <c r="M1484" s="165"/>
      <c r="N1484" s="165"/>
      <c r="O1484" s="165"/>
      <c r="P1484" s="165"/>
      <c r="Q1484" s="165"/>
      <c r="R1484" s="165"/>
      <c r="S1484" s="165"/>
      <c r="T1484" s="165"/>
      <c r="U1484" s="165"/>
      <c r="V1484" s="165"/>
      <c r="W1484" s="165"/>
      <c r="X1484" s="165"/>
    </row>
    <row r="1485" ht="18.75" customHeight="1">
      <c r="A1485" s="165">
        <v>1483.0</v>
      </c>
      <c r="B1485" s="165" t="s">
        <v>16944</v>
      </c>
      <c r="C1485" s="165"/>
      <c r="D1485" s="165"/>
      <c r="E1485" s="165"/>
      <c r="F1485" s="165"/>
      <c r="G1485" s="165"/>
      <c r="H1485" s="165"/>
      <c r="I1485" s="165"/>
      <c r="J1485" s="165"/>
      <c r="K1485" s="165"/>
      <c r="L1485" s="165"/>
      <c r="M1485" s="165"/>
      <c r="N1485" s="165"/>
      <c r="O1485" s="165"/>
      <c r="P1485" s="165"/>
      <c r="Q1485" s="165"/>
      <c r="R1485" s="165"/>
      <c r="S1485" s="165"/>
      <c r="T1485" s="165"/>
      <c r="U1485" s="165"/>
      <c r="V1485" s="165"/>
      <c r="W1485" s="165"/>
      <c r="X1485" s="165"/>
    </row>
    <row r="1486" ht="18.75" customHeight="1">
      <c r="A1486" s="165">
        <v>1484.0</v>
      </c>
      <c r="B1486" s="165" t="s">
        <v>16945</v>
      </c>
      <c r="C1486" s="165"/>
      <c r="D1486" s="165"/>
      <c r="E1486" s="165"/>
      <c r="F1486" s="165"/>
      <c r="G1486" s="165"/>
      <c r="H1486" s="165"/>
      <c r="I1486" s="165"/>
      <c r="J1486" s="165"/>
      <c r="K1486" s="165"/>
      <c r="L1486" s="165"/>
      <c r="M1486" s="165"/>
      <c r="N1486" s="165"/>
      <c r="O1486" s="165"/>
      <c r="P1486" s="165"/>
      <c r="Q1486" s="165"/>
      <c r="R1486" s="165"/>
      <c r="S1486" s="165"/>
      <c r="T1486" s="165"/>
      <c r="U1486" s="165"/>
      <c r="V1486" s="165"/>
      <c r="W1486" s="165"/>
      <c r="X1486" s="165"/>
    </row>
    <row r="1487" ht="18.75" customHeight="1">
      <c r="A1487" s="165">
        <v>1485.0</v>
      </c>
      <c r="B1487" s="167" t="s">
        <v>16946</v>
      </c>
      <c r="C1487" s="165"/>
      <c r="D1487" s="165"/>
      <c r="E1487" s="165"/>
      <c r="F1487" s="165"/>
      <c r="G1487" s="165"/>
      <c r="H1487" s="165"/>
      <c r="I1487" s="165"/>
      <c r="J1487" s="165"/>
      <c r="K1487" s="165"/>
      <c r="L1487" s="165"/>
      <c r="M1487" s="165"/>
      <c r="N1487" s="165"/>
      <c r="O1487" s="165"/>
      <c r="P1487" s="165"/>
      <c r="Q1487" s="165"/>
      <c r="R1487" s="165"/>
      <c r="S1487" s="165"/>
      <c r="T1487" s="165"/>
      <c r="U1487" s="165"/>
      <c r="V1487" s="165"/>
      <c r="W1487" s="165"/>
      <c r="X1487" s="165"/>
    </row>
    <row r="1488" ht="18.75" customHeight="1">
      <c r="A1488" s="165">
        <v>1486.0</v>
      </c>
      <c r="B1488" s="165" t="s">
        <v>16947</v>
      </c>
      <c r="C1488" s="165"/>
      <c r="D1488" s="165"/>
      <c r="E1488" s="165"/>
      <c r="F1488" s="165"/>
      <c r="G1488" s="165"/>
      <c r="H1488" s="165"/>
      <c r="I1488" s="165"/>
      <c r="J1488" s="165"/>
      <c r="K1488" s="165"/>
      <c r="L1488" s="165"/>
      <c r="M1488" s="165"/>
      <c r="N1488" s="165"/>
      <c r="O1488" s="165"/>
      <c r="P1488" s="165"/>
      <c r="Q1488" s="165"/>
      <c r="R1488" s="165"/>
      <c r="S1488" s="165"/>
      <c r="T1488" s="165"/>
      <c r="U1488" s="165"/>
      <c r="V1488" s="165"/>
      <c r="W1488" s="165"/>
      <c r="X1488" s="165"/>
    </row>
    <row r="1489" ht="18.75" customHeight="1">
      <c r="A1489" s="165">
        <v>1487.0</v>
      </c>
      <c r="B1489" s="165" t="s">
        <v>16948</v>
      </c>
      <c r="C1489" s="165"/>
      <c r="D1489" s="165"/>
      <c r="E1489" s="165"/>
      <c r="F1489" s="165"/>
      <c r="G1489" s="165"/>
      <c r="H1489" s="165"/>
      <c r="I1489" s="165"/>
      <c r="J1489" s="165"/>
      <c r="K1489" s="165"/>
      <c r="L1489" s="165"/>
      <c r="M1489" s="165"/>
      <c r="N1489" s="165"/>
      <c r="O1489" s="165"/>
      <c r="P1489" s="165"/>
      <c r="Q1489" s="165"/>
      <c r="R1489" s="165"/>
      <c r="S1489" s="165"/>
      <c r="T1489" s="165"/>
      <c r="U1489" s="165"/>
      <c r="V1489" s="165"/>
      <c r="W1489" s="165"/>
      <c r="X1489" s="165"/>
    </row>
    <row r="1490" ht="18.75" customHeight="1">
      <c r="A1490" s="165">
        <v>1488.0</v>
      </c>
      <c r="B1490" s="167" t="s">
        <v>16949</v>
      </c>
      <c r="C1490" s="165"/>
      <c r="D1490" s="165"/>
      <c r="E1490" s="165"/>
      <c r="F1490" s="165"/>
      <c r="G1490" s="165"/>
      <c r="H1490" s="165"/>
      <c r="I1490" s="165"/>
      <c r="J1490" s="165"/>
      <c r="K1490" s="165"/>
      <c r="L1490" s="165"/>
      <c r="M1490" s="165"/>
      <c r="N1490" s="165"/>
      <c r="O1490" s="165"/>
      <c r="P1490" s="165"/>
      <c r="Q1490" s="165"/>
      <c r="R1490" s="165"/>
      <c r="S1490" s="165"/>
      <c r="T1490" s="165"/>
      <c r="U1490" s="165"/>
      <c r="V1490" s="165"/>
      <c r="W1490" s="165"/>
      <c r="X1490" s="165"/>
    </row>
    <row r="1491" ht="18.75" customHeight="1">
      <c r="A1491" s="165">
        <v>1489.0</v>
      </c>
      <c r="B1491" s="165" t="s">
        <v>16950</v>
      </c>
      <c r="C1491" s="165"/>
      <c r="D1491" s="165"/>
      <c r="E1491" s="165"/>
      <c r="F1491" s="165"/>
      <c r="G1491" s="165"/>
      <c r="H1491" s="165"/>
      <c r="I1491" s="165"/>
      <c r="J1491" s="165"/>
      <c r="K1491" s="165"/>
      <c r="L1491" s="165"/>
      <c r="M1491" s="165"/>
      <c r="N1491" s="165"/>
      <c r="O1491" s="165"/>
      <c r="P1491" s="165"/>
      <c r="Q1491" s="165"/>
      <c r="R1491" s="165"/>
      <c r="S1491" s="165"/>
      <c r="T1491" s="165"/>
      <c r="U1491" s="165"/>
      <c r="V1491" s="165"/>
      <c r="W1491" s="165"/>
      <c r="X1491" s="165"/>
    </row>
    <row r="1492" ht="18.75" customHeight="1">
      <c r="A1492" s="165">
        <v>1490.0</v>
      </c>
      <c r="B1492" s="165" t="s">
        <v>16951</v>
      </c>
      <c r="C1492" s="165"/>
      <c r="D1492" s="165"/>
      <c r="E1492" s="165"/>
      <c r="F1492" s="165"/>
      <c r="G1492" s="165"/>
      <c r="H1492" s="165"/>
      <c r="I1492" s="165"/>
      <c r="J1492" s="165"/>
      <c r="K1492" s="165"/>
      <c r="L1492" s="165"/>
      <c r="M1492" s="165"/>
      <c r="N1492" s="165"/>
      <c r="O1492" s="165"/>
      <c r="P1492" s="165"/>
      <c r="Q1492" s="165"/>
      <c r="R1492" s="165"/>
      <c r="S1492" s="165"/>
      <c r="T1492" s="165"/>
      <c r="U1492" s="165"/>
      <c r="V1492" s="165"/>
      <c r="W1492" s="165"/>
      <c r="X1492" s="165"/>
    </row>
    <row r="1493" ht="18.75" customHeight="1">
      <c r="A1493" s="165">
        <v>1491.0</v>
      </c>
      <c r="B1493" s="165" t="s">
        <v>16952</v>
      </c>
      <c r="C1493" s="165"/>
      <c r="D1493" s="165"/>
      <c r="E1493" s="165"/>
      <c r="F1493" s="165"/>
      <c r="G1493" s="165"/>
      <c r="H1493" s="165"/>
      <c r="I1493" s="165"/>
      <c r="J1493" s="165"/>
      <c r="K1493" s="165"/>
      <c r="L1493" s="165"/>
      <c r="M1493" s="165"/>
      <c r="N1493" s="165"/>
      <c r="O1493" s="165"/>
      <c r="P1493" s="165"/>
      <c r="Q1493" s="165"/>
      <c r="R1493" s="165"/>
      <c r="S1493" s="165"/>
      <c r="T1493" s="165"/>
      <c r="U1493" s="165"/>
      <c r="V1493" s="165"/>
      <c r="W1493" s="165"/>
      <c r="X1493" s="165"/>
    </row>
    <row r="1494" ht="18.75" customHeight="1">
      <c r="A1494" s="165">
        <v>1492.0</v>
      </c>
      <c r="B1494" s="165" t="s">
        <v>16953</v>
      </c>
      <c r="C1494" s="165"/>
      <c r="D1494" s="165"/>
      <c r="E1494" s="165"/>
      <c r="F1494" s="165"/>
      <c r="G1494" s="165"/>
      <c r="H1494" s="165"/>
      <c r="I1494" s="165"/>
      <c r="J1494" s="165"/>
      <c r="K1494" s="165"/>
      <c r="L1494" s="165"/>
      <c r="M1494" s="165"/>
      <c r="N1494" s="165"/>
      <c r="O1494" s="165"/>
      <c r="P1494" s="165"/>
      <c r="Q1494" s="165"/>
      <c r="R1494" s="165"/>
      <c r="S1494" s="165"/>
      <c r="T1494" s="165"/>
      <c r="U1494" s="165"/>
      <c r="V1494" s="165"/>
      <c r="W1494" s="165"/>
      <c r="X1494" s="165"/>
    </row>
    <row r="1495" ht="18.75" customHeight="1">
      <c r="A1495" s="165">
        <v>1493.0</v>
      </c>
      <c r="B1495" s="165" t="s">
        <v>16954</v>
      </c>
      <c r="C1495" s="165"/>
      <c r="D1495" s="165"/>
      <c r="E1495" s="165"/>
      <c r="F1495" s="165"/>
      <c r="G1495" s="165"/>
      <c r="H1495" s="165"/>
      <c r="I1495" s="165"/>
      <c r="J1495" s="165"/>
      <c r="K1495" s="165"/>
      <c r="L1495" s="165"/>
      <c r="M1495" s="165"/>
      <c r="N1495" s="165"/>
      <c r="O1495" s="165"/>
      <c r="P1495" s="165"/>
      <c r="Q1495" s="165"/>
      <c r="R1495" s="165"/>
      <c r="S1495" s="165"/>
      <c r="T1495" s="165"/>
      <c r="U1495" s="165"/>
      <c r="V1495" s="165"/>
      <c r="W1495" s="165"/>
      <c r="X1495" s="165"/>
    </row>
    <row r="1496" ht="18.75" customHeight="1">
      <c r="A1496" s="165">
        <v>1494.0</v>
      </c>
      <c r="B1496" s="167" t="s">
        <v>16955</v>
      </c>
      <c r="C1496" s="165"/>
      <c r="D1496" s="165"/>
      <c r="E1496" s="165"/>
      <c r="F1496" s="165"/>
      <c r="G1496" s="165"/>
      <c r="H1496" s="165"/>
      <c r="I1496" s="165"/>
      <c r="J1496" s="165"/>
      <c r="K1496" s="165"/>
      <c r="L1496" s="165"/>
      <c r="M1496" s="165"/>
      <c r="N1496" s="165"/>
      <c r="O1496" s="165"/>
      <c r="P1496" s="165"/>
      <c r="Q1496" s="165"/>
      <c r="R1496" s="165"/>
      <c r="S1496" s="165"/>
      <c r="T1496" s="165"/>
      <c r="U1496" s="165"/>
      <c r="V1496" s="165"/>
      <c r="W1496" s="165"/>
      <c r="X1496" s="165"/>
    </row>
    <row r="1497" ht="18.75" customHeight="1">
      <c r="A1497" s="165">
        <v>1495.0</v>
      </c>
      <c r="B1497" s="165" t="s">
        <v>16956</v>
      </c>
      <c r="C1497" s="165"/>
      <c r="D1497" s="165"/>
      <c r="E1497" s="165"/>
      <c r="F1497" s="165"/>
      <c r="G1497" s="165"/>
      <c r="H1497" s="165"/>
      <c r="I1497" s="165"/>
      <c r="J1497" s="165"/>
      <c r="K1497" s="165"/>
      <c r="L1497" s="165"/>
      <c r="M1497" s="165"/>
      <c r="N1497" s="165"/>
      <c r="O1497" s="165"/>
      <c r="P1497" s="165"/>
      <c r="Q1497" s="165"/>
      <c r="R1497" s="165"/>
      <c r="S1497" s="165"/>
      <c r="T1497" s="165"/>
      <c r="U1497" s="165"/>
      <c r="V1497" s="165"/>
      <c r="W1497" s="165"/>
      <c r="X1497" s="165"/>
    </row>
    <row r="1498" ht="18.75" customHeight="1">
      <c r="A1498" s="165" t="s">
        <v>16957</v>
      </c>
      <c r="B1498" s="184" t="s">
        <v>16958</v>
      </c>
      <c r="C1498" s="165"/>
      <c r="D1498" s="165"/>
      <c r="E1498" s="165"/>
      <c r="F1498" s="165"/>
      <c r="G1498" s="165"/>
      <c r="H1498" s="165"/>
      <c r="I1498" s="165"/>
      <c r="J1498" s="165"/>
      <c r="K1498" s="165"/>
      <c r="L1498" s="165"/>
      <c r="M1498" s="165"/>
      <c r="N1498" s="165"/>
      <c r="O1498" s="165"/>
      <c r="P1498" s="165"/>
      <c r="Q1498" s="165"/>
      <c r="R1498" s="165"/>
      <c r="S1498" s="165"/>
      <c r="T1498" s="165"/>
      <c r="U1498" s="165"/>
      <c r="V1498" s="165"/>
      <c r="W1498" s="165"/>
      <c r="X1498" s="165"/>
    </row>
    <row r="1499" ht="18.75" customHeight="1">
      <c r="A1499" s="165">
        <v>1496.0</v>
      </c>
      <c r="B1499" s="165" t="s">
        <v>16959</v>
      </c>
      <c r="C1499" s="165"/>
      <c r="D1499" s="165"/>
      <c r="E1499" s="165"/>
      <c r="F1499" s="165"/>
      <c r="G1499" s="165"/>
      <c r="H1499" s="165"/>
      <c r="I1499" s="165"/>
      <c r="J1499" s="165"/>
      <c r="K1499" s="165"/>
      <c r="L1499" s="165"/>
      <c r="M1499" s="165"/>
      <c r="N1499" s="165"/>
      <c r="O1499" s="165"/>
      <c r="P1499" s="165"/>
      <c r="Q1499" s="165"/>
      <c r="R1499" s="165"/>
      <c r="S1499" s="165"/>
      <c r="T1499" s="165"/>
      <c r="U1499" s="165"/>
      <c r="V1499" s="165"/>
      <c r="W1499" s="165"/>
      <c r="X1499" s="165"/>
    </row>
    <row r="1500" ht="18.75" customHeight="1">
      <c r="A1500" s="165">
        <v>1497.0</v>
      </c>
      <c r="B1500" s="165" t="s">
        <v>16960</v>
      </c>
      <c r="C1500" s="165"/>
      <c r="D1500" s="165"/>
      <c r="E1500" s="165"/>
      <c r="F1500" s="165"/>
      <c r="G1500" s="165"/>
      <c r="H1500" s="165"/>
      <c r="I1500" s="165"/>
      <c r="J1500" s="165"/>
      <c r="K1500" s="165"/>
      <c r="L1500" s="165"/>
      <c r="M1500" s="165"/>
      <c r="N1500" s="165"/>
      <c r="O1500" s="165"/>
      <c r="P1500" s="165"/>
      <c r="Q1500" s="165"/>
      <c r="R1500" s="165"/>
      <c r="S1500" s="165"/>
      <c r="T1500" s="165"/>
      <c r="U1500" s="165"/>
      <c r="V1500" s="165"/>
      <c r="W1500" s="165"/>
      <c r="X1500" s="165"/>
    </row>
    <row r="1501" ht="18.75" customHeight="1">
      <c r="A1501" s="165">
        <v>1498.0</v>
      </c>
      <c r="B1501" s="165" t="s">
        <v>16961</v>
      </c>
      <c r="C1501" s="165"/>
      <c r="D1501" s="165"/>
      <c r="E1501" s="165"/>
      <c r="F1501" s="165"/>
      <c r="G1501" s="165"/>
      <c r="H1501" s="165"/>
      <c r="I1501" s="165"/>
      <c r="J1501" s="165"/>
      <c r="K1501" s="165"/>
      <c r="L1501" s="165"/>
      <c r="M1501" s="165"/>
      <c r="N1501" s="165"/>
      <c r="O1501" s="165"/>
      <c r="P1501" s="165"/>
      <c r="Q1501" s="165"/>
      <c r="R1501" s="165"/>
      <c r="S1501" s="165"/>
      <c r="T1501" s="165"/>
      <c r="U1501" s="165"/>
      <c r="V1501" s="165"/>
      <c r="W1501" s="165"/>
      <c r="X1501" s="165"/>
    </row>
    <row r="1502" ht="18.75" customHeight="1">
      <c r="A1502" s="165">
        <v>1499.0</v>
      </c>
      <c r="B1502" s="165" t="s">
        <v>16962</v>
      </c>
      <c r="C1502" s="165"/>
      <c r="D1502" s="165"/>
      <c r="E1502" s="165"/>
      <c r="F1502" s="165"/>
      <c r="G1502" s="165"/>
      <c r="H1502" s="165"/>
      <c r="I1502" s="165"/>
      <c r="J1502" s="165"/>
      <c r="K1502" s="165"/>
      <c r="L1502" s="165"/>
      <c r="M1502" s="165"/>
      <c r="N1502" s="165"/>
      <c r="O1502" s="165"/>
      <c r="P1502" s="165"/>
      <c r="Q1502" s="165"/>
      <c r="R1502" s="165"/>
      <c r="S1502" s="165"/>
      <c r="T1502" s="165"/>
      <c r="U1502" s="165"/>
      <c r="V1502" s="165"/>
      <c r="W1502" s="165"/>
      <c r="X1502" s="165"/>
    </row>
    <row r="1503" ht="18.75" customHeight="1">
      <c r="A1503" s="165">
        <v>1500.0</v>
      </c>
      <c r="B1503" s="165" t="s">
        <v>16963</v>
      </c>
      <c r="C1503" s="165"/>
      <c r="D1503" s="165"/>
      <c r="E1503" s="165"/>
      <c r="F1503" s="165"/>
      <c r="G1503" s="165"/>
      <c r="H1503" s="165"/>
      <c r="I1503" s="165"/>
      <c r="J1503" s="165"/>
      <c r="K1503" s="165"/>
      <c r="L1503" s="165"/>
      <c r="M1503" s="165"/>
      <c r="N1503" s="165"/>
      <c r="O1503" s="165"/>
      <c r="P1503" s="165"/>
      <c r="Q1503" s="165"/>
      <c r="R1503" s="165"/>
      <c r="S1503" s="165"/>
      <c r="T1503" s="165"/>
      <c r="U1503" s="165"/>
      <c r="V1503" s="165"/>
      <c r="W1503" s="165"/>
      <c r="X1503" s="165"/>
    </row>
    <row r="1504" ht="18.75" customHeight="1">
      <c r="A1504" s="165">
        <v>1501.0</v>
      </c>
      <c r="B1504" s="167" t="s">
        <v>16964</v>
      </c>
      <c r="C1504" s="165"/>
      <c r="D1504" s="165"/>
      <c r="E1504" s="165"/>
      <c r="F1504" s="165"/>
      <c r="G1504" s="165"/>
      <c r="H1504" s="165"/>
      <c r="I1504" s="165"/>
      <c r="J1504" s="165"/>
      <c r="K1504" s="165"/>
      <c r="L1504" s="165"/>
      <c r="M1504" s="165"/>
      <c r="N1504" s="165"/>
      <c r="O1504" s="165"/>
      <c r="P1504" s="165"/>
      <c r="Q1504" s="165"/>
      <c r="R1504" s="165"/>
      <c r="S1504" s="165"/>
      <c r="T1504" s="165"/>
      <c r="U1504" s="165"/>
      <c r="V1504" s="165"/>
      <c r="W1504" s="165"/>
      <c r="X1504" s="165"/>
    </row>
    <row r="1505" ht="18.75" customHeight="1">
      <c r="A1505" s="165">
        <v>1502.0</v>
      </c>
      <c r="B1505" s="165" t="s">
        <v>16965</v>
      </c>
      <c r="C1505" s="165"/>
      <c r="D1505" s="165"/>
      <c r="E1505" s="165"/>
      <c r="F1505" s="165"/>
      <c r="G1505" s="165"/>
      <c r="H1505" s="165"/>
      <c r="I1505" s="165"/>
      <c r="J1505" s="165"/>
      <c r="K1505" s="165"/>
      <c r="L1505" s="165"/>
      <c r="M1505" s="165"/>
      <c r="N1505" s="165"/>
      <c r="O1505" s="165"/>
      <c r="P1505" s="165"/>
      <c r="Q1505" s="165"/>
      <c r="R1505" s="165"/>
      <c r="S1505" s="165"/>
      <c r="T1505" s="165"/>
      <c r="U1505" s="165"/>
      <c r="V1505" s="165"/>
      <c r="W1505" s="165"/>
      <c r="X1505" s="165"/>
    </row>
    <row r="1506" ht="18.75" customHeight="1">
      <c r="A1506" s="165">
        <v>1503.0</v>
      </c>
      <c r="B1506" s="167" t="s">
        <v>16966</v>
      </c>
      <c r="C1506" s="165"/>
      <c r="D1506" s="165"/>
      <c r="E1506" s="165"/>
      <c r="F1506" s="165"/>
      <c r="G1506" s="165"/>
      <c r="H1506" s="165"/>
      <c r="I1506" s="165"/>
      <c r="J1506" s="165"/>
      <c r="K1506" s="165"/>
      <c r="L1506" s="165"/>
      <c r="M1506" s="165"/>
      <c r="N1506" s="165"/>
      <c r="O1506" s="165"/>
      <c r="P1506" s="165"/>
      <c r="Q1506" s="165"/>
      <c r="R1506" s="165"/>
      <c r="S1506" s="165"/>
      <c r="T1506" s="165"/>
      <c r="U1506" s="165"/>
      <c r="V1506" s="165"/>
      <c r="W1506" s="165"/>
      <c r="X1506" s="165"/>
    </row>
    <row r="1507" ht="18.75" customHeight="1">
      <c r="A1507" s="165">
        <v>1504.0</v>
      </c>
      <c r="B1507" s="165" t="s">
        <v>16967</v>
      </c>
      <c r="C1507" s="165"/>
      <c r="D1507" s="165"/>
      <c r="E1507" s="165"/>
      <c r="F1507" s="165"/>
      <c r="G1507" s="165"/>
      <c r="H1507" s="165"/>
      <c r="I1507" s="165"/>
      <c r="J1507" s="165"/>
      <c r="K1507" s="165"/>
      <c r="L1507" s="165"/>
      <c r="M1507" s="165"/>
      <c r="N1507" s="165"/>
      <c r="O1507" s="165"/>
      <c r="P1507" s="165"/>
      <c r="Q1507" s="165"/>
      <c r="R1507" s="165"/>
      <c r="S1507" s="165"/>
      <c r="T1507" s="165"/>
      <c r="U1507" s="165"/>
      <c r="V1507" s="165"/>
      <c r="W1507" s="165"/>
      <c r="X1507" s="165"/>
    </row>
    <row r="1508" ht="18.75" customHeight="1">
      <c r="A1508" s="165">
        <v>1505.0</v>
      </c>
      <c r="B1508" s="165" t="s">
        <v>16968</v>
      </c>
      <c r="C1508" s="165"/>
      <c r="D1508" s="165"/>
      <c r="E1508" s="165"/>
      <c r="F1508" s="165"/>
      <c r="G1508" s="165"/>
      <c r="H1508" s="165"/>
      <c r="I1508" s="165"/>
      <c r="J1508" s="165"/>
      <c r="K1508" s="165"/>
      <c r="L1508" s="165"/>
      <c r="M1508" s="165"/>
      <c r="N1508" s="165"/>
      <c r="O1508" s="165"/>
      <c r="P1508" s="165"/>
      <c r="Q1508" s="165"/>
      <c r="R1508" s="165"/>
      <c r="S1508" s="165"/>
      <c r="T1508" s="165"/>
      <c r="U1508" s="165"/>
      <c r="V1508" s="165"/>
      <c r="W1508" s="165"/>
      <c r="X1508" s="165"/>
    </row>
    <row r="1509" ht="18.75" customHeight="1">
      <c r="A1509" s="165">
        <v>1506.0</v>
      </c>
      <c r="B1509" s="167" t="s">
        <v>16969</v>
      </c>
      <c r="C1509" s="165"/>
      <c r="D1509" s="165"/>
      <c r="E1509" s="165"/>
      <c r="F1509" s="165"/>
      <c r="G1509" s="165"/>
      <c r="H1509" s="165"/>
      <c r="I1509" s="165"/>
      <c r="J1509" s="165"/>
      <c r="K1509" s="165"/>
      <c r="L1509" s="165"/>
      <c r="M1509" s="165"/>
      <c r="N1509" s="165"/>
      <c r="O1509" s="165"/>
      <c r="P1509" s="165"/>
      <c r="Q1509" s="165"/>
      <c r="R1509" s="165"/>
      <c r="S1509" s="165"/>
      <c r="T1509" s="165"/>
      <c r="U1509" s="165"/>
      <c r="V1509" s="165"/>
      <c r="W1509" s="165"/>
      <c r="X1509" s="165"/>
    </row>
    <row r="1510" ht="18.75" customHeight="1">
      <c r="A1510" s="165">
        <v>1507.0</v>
      </c>
      <c r="B1510" s="167" t="s">
        <v>16970</v>
      </c>
      <c r="C1510" s="165"/>
      <c r="D1510" s="165"/>
      <c r="E1510" s="165"/>
      <c r="F1510" s="165"/>
      <c r="G1510" s="165"/>
      <c r="H1510" s="165"/>
      <c r="I1510" s="165"/>
      <c r="J1510" s="165"/>
      <c r="K1510" s="165"/>
      <c r="L1510" s="165"/>
      <c r="M1510" s="165"/>
      <c r="N1510" s="165"/>
      <c r="O1510" s="165"/>
      <c r="P1510" s="165"/>
      <c r="Q1510" s="165"/>
      <c r="R1510" s="165"/>
      <c r="S1510" s="165"/>
      <c r="T1510" s="165"/>
      <c r="U1510" s="165"/>
      <c r="V1510" s="165"/>
      <c r="W1510" s="165"/>
      <c r="X1510" s="165"/>
    </row>
    <row r="1511" ht="18.75" customHeight="1">
      <c r="A1511" s="165">
        <v>1508.0</v>
      </c>
      <c r="B1511" s="167" t="s">
        <v>16971</v>
      </c>
      <c r="C1511" s="165"/>
      <c r="D1511" s="165"/>
      <c r="E1511" s="165"/>
      <c r="F1511" s="165"/>
      <c r="G1511" s="165"/>
      <c r="H1511" s="165"/>
      <c r="I1511" s="165"/>
      <c r="J1511" s="165"/>
      <c r="K1511" s="165"/>
      <c r="L1511" s="165"/>
      <c r="M1511" s="165"/>
      <c r="N1511" s="165"/>
      <c r="O1511" s="165"/>
      <c r="P1511" s="165"/>
      <c r="Q1511" s="165"/>
      <c r="R1511" s="165"/>
      <c r="S1511" s="165"/>
      <c r="T1511" s="165"/>
      <c r="U1511" s="165"/>
      <c r="V1511" s="165"/>
      <c r="W1511" s="165"/>
      <c r="X1511" s="165"/>
    </row>
    <row r="1512" ht="18.75" customHeight="1">
      <c r="A1512" s="165">
        <v>1509.0</v>
      </c>
      <c r="B1512" s="165" t="s">
        <v>16972</v>
      </c>
      <c r="C1512" s="165"/>
      <c r="D1512" s="165"/>
      <c r="E1512" s="165"/>
      <c r="F1512" s="165"/>
      <c r="G1512" s="165"/>
      <c r="H1512" s="165"/>
      <c r="I1512" s="165"/>
      <c r="J1512" s="165"/>
      <c r="K1512" s="165"/>
      <c r="L1512" s="165"/>
      <c r="M1512" s="165"/>
      <c r="N1512" s="165"/>
      <c r="O1512" s="165"/>
      <c r="P1512" s="165"/>
      <c r="Q1512" s="165"/>
      <c r="R1512" s="165"/>
      <c r="S1512" s="165"/>
      <c r="T1512" s="165"/>
      <c r="U1512" s="165"/>
      <c r="V1512" s="165"/>
      <c r="W1512" s="165"/>
      <c r="X1512" s="165"/>
    </row>
    <row r="1513" ht="18.75" customHeight="1">
      <c r="A1513" s="165">
        <v>1510.0</v>
      </c>
      <c r="B1513" s="165" t="s">
        <v>16973</v>
      </c>
      <c r="C1513" s="165"/>
      <c r="D1513" s="165"/>
      <c r="E1513" s="165"/>
      <c r="F1513" s="165"/>
      <c r="G1513" s="165"/>
      <c r="H1513" s="165"/>
      <c r="I1513" s="165"/>
      <c r="J1513" s="165"/>
      <c r="K1513" s="165"/>
      <c r="L1513" s="165"/>
      <c r="M1513" s="165"/>
      <c r="N1513" s="165"/>
      <c r="O1513" s="165"/>
      <c r="P1513" s="165"/>
      <c r="Q1513" s="165"/>
      <c r="R1513" s="165"/>
      <c r="S1513" s="165"/>
      <c r="T1513" s="165"/>
      <c r="U1513" s="165"/>
      <c r="V1513" s="165"/>
      <c r="W1513" s="165"/>
      <c r="X1513" s="165"/>
    </row>
    <row r="1514" ht="18.75" customHeight="1">
      <c r="A1514" s="165">
        <v>1511.0</v>
      </c>
      <c r="B1514" s="165" t="s">
        <v>16974</v>
      </c>
      <c r="C1514" s="165"/>
      <c r="D1514" s="165"/>
      <c r="E1514" s="165"/>
      <c r="F1514" s="165"/>
      <c r="G1514" s="165"/>
      <c r="H1514" s="165"/>
      <c r="I1514" s="165"/>
      <c r="J1514" s="165"/>
      <c r="K1514" s="165"/>
      <c r="L1514" s="165"/>
      <c r="M1514" s="165"/>
      <c r="N1514" s="165"/>
      <c r="O1514" s="165"/>
      <c r="P1514" s="165"/>
      <c r="Q1514" s="165"/>
      <c r="R1514" s="165"/>
      <c r="S1514" s="165"/>
      <c r="T1514" s="165"/>
      <c r="U1514" s="165"/>
      <c r="V1514" s="165"/>
      <c r="W1514" s="165"/>
      <c r="X1514" s="165"/>
    </row>
    <row r="1515" ht="18.75" customHeight="1">
      <c r="A1515" s="165">
        <v>1512.0</v>
      </c>
      <c r="B1515" s="167" t="s">
        <v>16975</v>
      </c>
      <c r="C1515" s="165"/>
      <c r="D1515" s="165"/>
      <c r="E1515" s="165"/>
      <c r="F1515" s="165"/>
      <c r="G1515" s="165"/>
      <c r="H1515" s="165"/>
      <c r="I1515" s="165"/>
      <c r="J1515" s="165"/>
      <c r="K1515" s="165"/>
      <c r="L1515" s="165"/>
      <c r="M1515" s="165"/>
      <c r="N1515" s="165"/>
      <c r="O1515" s="165"/>
      <c r="P1515" s="165"/>
      <c r="Q1515" s="165"/>
      <c r="R1515" s="165"/>
      <c r="S1515" s="165"/>
      <c r="T1515" s="165"/>
      <c r="U1515" s="165"/>
      <c r="V1515" s="165"/>
      <c r="W1515" s="165"/>
      <c r="X1515" s="165"/>
    </row>
    <row r="1516" ht="18.75" customHeight="1">
      <c r="A1516" s="165">
        <v>1513.0</v>
      </c>
      <c r="B1516" s="167" t="s">
        <v>16976</v>
      </c>
      <c r="C1516" s="165"/>
      <c r="D1516" s="165"/>
      <c r="E1516" s="165"/>
      <c r="F1516" s="165"/>
      <c r="G1516" s="165"/>
      <c r="H1516" s="165"/>
      <c r="I1516" s="165"/>
      <c r="J1516" s="165"/>
      <c r="K1516" s="165"/>
      <c r="L1516" s="165"/>
      <c r="M1516" s="165"/>
      <c r="N1516" s="165"/>
      <c r="O1516" s="165"/>
      <c r="P1516" s="165"/>
      <c r="Q1516" s="165"/>
      <c r="R1516" s="165"/>
      <c r="S1516" s="165"/>
      <c r="T1516" s="165"/>
      <c r="U1516" s="165"/>
      <c r="V1516" s="165"/>
      <c r="W1516" s="165"/>
      <c r="X1516" s="165"/>
    </row>
    <row r="1517" ht="18.75" customHeight="1">
      <c r="A1517" s="165">
        <v>1514.0</v>
      </c>
      <c r="B1517" s="167" t="s">
        <v>16977</v>
      </c>
      <c r="C1517" s="165"/>
      <c r="D1517" s="165"/>
      <c r="E1517" s="165"/>
      <c r="F1517" s="165"/>
      <c r="G1517" s="165"/>
      <c r="H1517" s="165"/>
      <c r="I1517" s="165"/>
      <c r="J1517" s="165"/>
      <c r="K1517" s="165"/>
      <c r="L1517" s="165"/>
      <c r="M1517" s="165"/>
      <c r="N1517" s="165"/>
      <c r="O1517" s="165"/>
      <c r="P1517" s="165"/>
      <c r="Q1517" s="165"/>
      <c r="R1517" s="165"/>
      <c r="S1517" s="165"/>
      <c r="T1517" s="165"/>
      <c r="U1517" s="165"/>
      <c r="V1517" s="165"/>
      <c r="W1517" s="165"/>
      <c r="X1517" s="165"/>
    </row>
    <row r="1518" ht="18.75" customHeight="1">
      <c r="A1518" s="165">
        <v>1515.0</v>
      </c>
      <c r="B1518" s="165" t="s">
        <v>16978</v>
      </c>
      <c r="C1518" s="165"/>
      <c r="D1518" s="165"/>
      <c r="E1518" s="165"/>
      <c r="F1518" s="165"/>
      <c r="G1518" s="165"/>
      <c r="H1518" s="165"/>
      <c r="I1518" s="165"/>
      <c r="J1518" s="165"/>
      <c r="K1518" s="165"/>
      <c r="L1518" s="165"/>
      <c r="M1518" s="165"/>
      <c r="N1518" s="165"/>
      <c r="O1518" s="165"/>
      <c r="P1518" s="165"/>
      <c r="Q1518" s="165"/>
      <c r="R1518" s="165"/>
      <c r="S1518" s="165"/>
      <c r="T1518" s="165"/>
      <c r="U1518" s="165"/>
      <c r="V1518" s="165"/>
      <c r="W1518" s="165"/>
      <c r="X1518" s="165"/>
    </row>
    <row r="1519" ht="18.75" customHeight="1">
      <c r="A1519" s="165">
        <v>1516.0</v>
      </c>
      <c r="B1519" s="167" t="s">
        <v>16979</v>
      </c>
      <c r="C1519" s="165"/>
      <c r="D1519" s="165"/>
      <c r="E1519" s="165"/>
      <c r="F1519" s="165"/>
      <c r="G1519" s="165"/>
      <c r="H1519" s="165"/>
      <c r="I1519" s="165"/>
      <c r="J1519" s="165"/>
      <c r="K1519" s="165"/>
      <c r="L1519" s="165"/>
      <c r="M1519" s="165"/>
      <c r="N1519" s="165"/>
      <c r="O1519" s="165"/>
      <c r="P1519" s="165"/>
      <c r="Q1519" s="165"/>
      <c r="R1519" s="165"/>
      <c r="S1519" s="165"/>
      <c r="T1519" s="165"/>
      <c r="U1519" s="165"/>
      <c r="V1519" s="165"/>
      <c r="W1519" s="165"/>
      <c r="X1519" s="165"/>
    </row>
    <row r="1520" ht="18.75" customHeight="1">
      <c r="A1520" s="165">
        <v>1517.0</v>
      </c>
      <c r="B1520" s="167" t="s">
        <v>16980</v>
      </c>
      <c r="C1520" s="165"/>
      <c r="D1520" s="165"/>
      <c r="E1520" s="165"/>
      <c r="F1520" s="165"/>
      <c r="G1520" s="165"/>
      <c r="H1520" s="165"/>
      <c r="I1520" s="165"/>
      <c r="J1520" s="165"/>
      <c r="K1520" s="165"/>
      <c r="L1520" s="165"/>
      <c r="M1520" s="165"/>
      <c r="N1520" s="165"/>
      <c r="O1520" s="165"/>
      <c r="P1520" s="165"/>
      <c r="Q1520" s="165"/>
      <c r="R1520" s="165"/>
      <c r="S1520" s="165"/>
      <c r="T1520" s="165"/>
      <c r="U1520" s="165"/>
      <c r="V1520" s="165"/>
      <c r="W1520" s="165"/>
      <c r="X1520" s="165"/>
    </row>
    <row r="1521" ht="18.75" customHeight="1">
      <c r="A1521" s="165">
        <v>1518.0</v>
      </c>
      <c r="B1521" s="167" t="s">
        <v>16981</v>
      </c>
      <c r="C1521" s="165"/>
      <c r="D1521" s="165"/>
      <c r="E1521" s="165"/>
      <c r="F1521" s="165"/>
      <c r="G1521" s="165"/>
      <c r="H1521" s="165"/>
      <c r="I1521" s="165"/>
      <c r="J1521" s="165"/>
      <c r="K1521" s="165"/>
      <c r="L1521" s="165"/>
      <c r="M1521" s="165"/>
      <c r="N1521" s="165"/>
      <c r="O1521" s="165"/>
      <c r="P1521" s="165"/>
      <c r="Q1521" s="165"/>
      <c r="R1521" s="165"/>
      <c r="S1521" s="165"/>
      <c r="T1521" s="165"/>
      <c r="U1521" s="165"/>
      <c r="V1521" s="165"/>
      <c r="W1521" s="165"/>
      <c r="X1521" s="165"/>
    </row>
    <row r="1522" ht="18.75" customHeight="1">
      <c r="A1522" s="165">
        <v>1519.0</v>
      </c>
      <c r="B1522" s="167" t="s">
        <v>16982</v>
      </c>
      <c r="C1522" s="165"/>
      <c r="D1522" s="165"/>
      <c r="E1522" s="165"/>
      <c r="F1522" s="165"/>
      <c r="G1522" s="165"/>
      <c r="H1522" s="165"/>
      <c r="I1522" s="165"/>
      <c r="J1522" s="165"/>
      <c r="K1522" s="165"/>
      <c r="L1522" s="165"/>
      <c r="M1522" s="165"/>
      <c r="N1522" s="165"/>
      <c r="O1522" s="165"/>
      <c r="P1522" s="165"/>
      <c r="Q1522" s="165"/>
      <c r="R1522" s="165"/>
      <c r="S1522" s="165"/>
      <c r="T1522" s="165"/>
      <c r="U1522" s="165"/>
      <c r="V1522" s="165"/>
      <c r="W1522" s="165"/>
      <c r="X1522" s="165"/>
    </row>
    <row r="1523" ht="18.75" customHeight="1">
      <c r="A1523" s="165">
        <v>1520.0</v>
      </c>
      <c r="B1523" s="165" t="s">
        <v>16983</v>
      </c>
      <c r="C1523" s="165"/>
      <c r="D1523" s="165"/>
      <c r="E1523" s="165"/>
      <c r="F1523" s="165"/>
      <c r="G1523" s="165"/>
      <c r="H1523" s="165"/>
      <c r="I1523" s="165"/>
      <c r="J1523" s="165"/>
      <c r="K1523" s="165"/>
      <c r="L1523" s="165"/>
      <c r="M1523" s="165"/>
      <c r="N1523" s="165"/>
      <c r="O1523" s="165"/>
      <c r="P1523" s="165"/>
      <c r="Q1523" s="165"/>
      <c r="R1523" s="165"/>
      <c r="S1523" s="165"/>
      <c r="T1523" s="165"/>
      <c r="U1523" s="165"/>
      <c r="V1523" s="165"/>
      <c r="W1523" s="165"/>
      <c r="X1523" s="165"/>
    </row>
    <row r="1524" ht="18.75" customHeight="1">
      <c r="A1524" s="165">
        <v>1521.0</v>
      </c>
      <c r="B1524" s="167" t="s">
        <v>16984</v>
      </c>
      <c r="C1524" s="165"/>
      <c r="D1524" s="165"/>
      <c r="E1524" s="165"/>
      <c r="F1524" s="165"/>
      <c r="G1524" s="165"/>
      <c r="H1524" s="165"/>
      <c r="I1524" s="165"/>
      <c r="J1524" s="165"/>
      <c r="K1524" s="165"/>
      <c r="L1524" s="165"/>
      <c r="M1524" s="165"/>
      <c r="N1524" s="165"/>
      <c r="O1524" s="165"/>
      <c r="P1524" s="165"/>
      <c r="Q1524" s="165"/>
      <c r="R1524" s="165"/>
      <c r="S1524" s="165"/>
      <c r="T1524" s="165"/>
      <c r="U1524" s="165"/>
      <c r="V1524" s="165"/>
      <c r="W1524" s="165"/>
      <c r="X1524" s="165"/>
    </row>
    <row r="1525" ht="18.75" customHeight="1">
      <c r="A1525" s="165">
        <v>1522.0</v>
      </c>
      <c r="B1525" s="165" t="s">
        <v>16985</v>
      </c>
      <c r="C1525" s="165"/>
      <c r="D1525" s="165"/>
      <c r="E1525" s="165"/>
      <c r="F1525" s="165"/>
      <c r="G1525" s="165"/>
      <c r="H1525" s="165"/>
      <c r="I1525" s="165"/>
      <c r="J1525" s="165"/>
      <c r="K1525" s="165"/>
      <c r="L1525" s="165"/>
      <c r="M1525" s="165"/>
      <c r="N1525" s="165"/>
      <c r="O1525" s="165"/>
      <c r="P1525" s="165"/>
      <c r="Q1525" s="165"/>
      <c r="R1525" s="165"/>
      <c r="S1525" s="165"/>
      <c r="T1525" s="165"/>
      <c r="U1525" s="165"/>
      <c r="V1525" s="165"/>
      <c r="W1525" s="165"/>
      <c r="X1525" s="165"/>
    </row>
    <row r="1526" ht="18.75" customHeight="1">
      <c r="A1526" s="165">
        <v>1523.0</v>
      </c>
      <c r="B1526" s="165" t="s">
        <v>16986</v>
      </c>
      <c r="C1526" s="165"/>
      <c r="D1526" s="165"/>
      <c r="E1526" s="165"/>
      <c r="F1526" s="165"/>
      <c r="G1526" s="165"/>
      <c r="H1526" s="165"/>
      <c r="I1526" s="165"/>
      <c r="J1526" s="165"/>
      <c r="K1526" s="165"/>
      <c r="L1526" s="165"/>
      <c r="M1526" s="165"/>
      <c r="N1526" s="165"/>
      <c r="O1526" s="165"/>
      <c r="P1526" s="165"/>
      <c r="Q1526" s="165"/>
      <c r="R1526" s="165"/>
      <c r="S1526" s="165"/>
      <c r="T1526" s="165"/>
      <c r="U1526" s="165"/>
      <c r="V1526" s="165"/>
      <c r="W1526" s="165"/>
      <c r="X1526" s="165"/>
    </row>
    <row r="1527" ht="18.75" customHeight="1">
      <c r="A1527" s="165">
        <v>1524.0</v>
      </c>
      <c r="B1527" s="165" t="s">
        <v>16987</v>
      </c>
      <c r="C1527" s="165"/>
      <c r="D1527" s="165"/>
      <c r="E1527" s="165"/>
      <c r="F1527" s="165"/>
      <c r="G1527" s="165"/>
      <c r="H1527" s="165"/>
      <c r="I1527" s="165"/>
      <c r="J1527" s="165"/>
      <c r="K1527" s="165"/>
      <c r="L1527" s="165"/>
      <c r="M1527" s="165"/>
      <c r="N1527" s="165"/>
      <c r="O1527" s="165"/>
      <c r="P1527" s="165"/>
      <c r="Q1527" s="165"/>
      <c r="R1527" s="165"/>
      <c r="S1527" s="165"/>
      <c r="T1527" s="165"/>
      <c r="U1527" s="165"/>
      <c r="V1527" s="165"/>
      <c r="W1527" s="165"/>
      <c r="X1527" s="165"/>
    </row>
    <row r="1528" ht="18.75" customHeight="1">
      <c r="A1528" s="165">
        <v>1525.0</v>
      </c>
      <c r="B1528" s="167" t="s">
        <v>16988</v>
      </c>
      <c r="C1528" s="165"/>
      <c r="D1528" s="165"/>
      <c r="E1528" s="165"/>
      <c r="F1528" s="165"/>
      <c r="G1528" s="165"/>
      <c r="H1528" s="165"/>
      <c r="I1528" s="165"/>
      <c r="J1528" s="165"/>
      <c r="K1528" s="165"/>
      <c r="L1528" s="165"/>
      <c r="M1528" s="165"/>
      <c r="N1528" s="165"/>
      <c r="O1528" s="165"/>
      <c r="P1528" s="165"/>
      <c r="Q1528" s="165"/>
      <c r="R1528" s="165"/>
      <c r="S1528" s="165"/>
      <c r="T1528" s="165"/>
      <c r="U1528" s="165"/>
      <c r="V1528" s="165"/>
      <c r="W1528" s="165"/>
      <c r="X1528" s="165"/>
    </row>
    <row r="1529" ht="18.75" customHeight="1">
      <c r="A1529" s="165">
        <v>1526.0</v>
      </c>
      <c r="B1529" s="167" t="s">
        <v>16989</v>
      </c>
      <c r="C1529" s="165"/>
      <c r="D1529" s="165"/>
      <c r="E1529" s="165"/>
      <c r="F1529" s="165"/>
      <c r="G1529" s="165"/>
      <c r="H1529" s="165"/>
      <c r="I1529" s="165"/>
      <c r="J1529" s="165"/>
      <c r="K1529" s="165"/>
      <c r="L1529" s="165"/>
      <c r="M1529" s="165"/>
      <c r="N1529" s="165"/>
      <c r="O1529" s="165"/>
      <c r="P1529" s="165"/>
      <c r="Q1529" s="165"/>
      <c r="R1529" s="165"/>
      <c r="S1529" s="165"/>
      <c r="T1529" s="165"/>
      <c r="U1529" s="165"/>
      <c r="V1529" s="165"/>
      <c r="W1529" s="165"/>
      <c r="X1529" s="165"/>
    </row>
    <row r="1530" ht="18.75" customHeight="1">
      <c r="A1530" s="165">
        <v>1527.0</v>
      </c>
      <c r="B1530" s="167" t="s">
        <v>16990</v>
      </c>
      <c r="C1530" s="165"/>
      <c r="D1530" s="165"/>
      <c r="E1530" s="165"/>
      <c r="F1530" s="165"/>
      <c r="G1530" s="165"/>
      <c r="H1530" s="165"/>
      <c r="I1530" s="165"/>
      <c r="J1530" s="165"/>
      <c r="K1530" s="165"/>
      <c r="L1530" s="165"/>
      <c r="M1530" s="165"/>
      <c r="N1530" s="165"/>
      <c r="O1530" s="165"/>
      <c r="P1530" s="165"/>
      <c r="Q1530" s="165"/>
      <c r="R1530" s="165"/>
      <c r="S1530" s="165"/>
      <c r="T1530" s="165"/>
      <c r="U1530" s="165"/>
      <c r="V1530" s="165"/>
      <c r="W1530" s="165"/>
      <c r="X1530" s="165"/>
    </row>
    <row r="1531" ht="18.75" customHeight="1">
      <c r="A1531" s="165">
        <v>1528.0</v>
      </c>
      <c r="B1531" s="167" t="s">
        <v>16991</v>
      </c>
      <c r="C1531" s="165"/>
      <c r="D1531" s="165"/>
      <c r="E1531" s="165"/>
      <c r="F1531" s="165"/>
      <c r="G1531" s="165"/>
      <c r="H1531" s="165"/>
      <c r="I1531" s="165"/>
      <c r="J1531" s="165"/>
      <c r="K1531" s="165"/>
      <c r="L1531" s="165"/>
      <c r="M1531" s="165"/>
      <c r="N1531" s="165"/>
      <c r="O1531" s="165"/>
      <c r="P1531" s="165"/>
      <c r="Q1531" s="165"/>
      <c r="R1531" s="165"/>
      <c r="S1531" s="165"/>
      <c r="T1531" s="165"/>
      <c r="U1531" s="165"/>
      <c r="V1531" s="165"/>
      <c r="W1531" s="165"/>
      <c r="X1531" s="165"/>
    </row>
    <row r="1532" ht="18.75" customHeight="1">
      <c r="A1532" s="165">
        <v>1529.0</v>
      </c>
      <c r="B1532" s="165" t="s">
        <v>16992</v>
      </c>
      <c r="C1532" s="165"/>
      <c r="D1532" s="165"/>
      <c r="E1532" s="165"/>
      <c r="F1532" s="165"/>
      <c r="G1532" s="165"/>
      <c r="H1532" s="165"/>
      <c r="I1532" s="165"/>
      <c r="J1532" s="165"/>
      <c r="K1532" s="165"/>
      <c r="L1532" s="165"/>
      <c r="M1532" s="165"/>
      <c r="N1532" s="165"/>
      <c r="O1532" s="165"/>
      <c r="P1532" s="165"/>
      <c r="Q1532" s="165"/>
      <c r="R1532" s="165"/>
      <c r="S1532" s="165"/>
      <c r="T1532" s="165"/>
      <c r="U1532" s="165"/>
      <c r="V1532" s="165"/>
      <c r="W1532" s="165"/>
      <c r="X1532" s="165"/>
    </row>
    <row r="1533" ht="18.75" customHeight="1">
      <c r="A1533" s="165">
        <v>1530.0</v>
      </c>
      <c r="B1533" s="167" t="s">
        <v>16993</v>
      </c>
      <c r="C1533" s="165"/>
      <c r="D1533" s="165"/>
      <c r="E1533" s="165"/>
      <c r="F1533" s="165"/>
      <c r="G1533" s="165"/>
      <c r="H1533" s="165"/>
      <c r="I1533" s="165"/>
      <c r="J1533" s="165"/>
      <c r="K1533" s="165"/>
      <c r="L1533" s="165"/>
      <c r="M1533" s="165"/>
      <c r="N1533" s="165"/>
      <c r="O1533" s="165"/>
      <c r="P1533" s="165"/>
      <c r="Q1533" s="165"/>
      <c r="R1533" s="165"/>
      <c r="S1533" s="165"/>
      <c r="T1533" s="165"/>
      <c r="U1533" s="165"/>
      <c r="V1533" s="165"/>
      <c r="W1533" s="165"/>
      <c r="X1533" s="165"/>
    </row>
    <row r="1534" ht="18.75" customHeight="1">
      <c r="A1534" s="165">
        <v>1531.0</v>
      </c>
      <c r="B1534" s="165" t="s">
        <v>16994</v>
      </c>
      <c r="C1534" s="165"/>
      <c r="D1534" s="165"/>
      <c r="E1534" s="165"/>
      <c r="F1534" s="165"/>
      <c r="G1534" s="165"/>
      <c r="H1534" s="165"/>
      <c r="I1534" s="165"/>
      <c r="J1534" s="165"/>
      <c r="K1534" s="165"/>
      <c r="L1534" s="165"/>
      <c r="M1534" s="165"/>
      <c r="N1534" s="165"/>
      <c r="O1534" s="165"/>
      <c r="P1534" s="165"/>
      <c r="Q1534" s="165"/>
      <c r="R1534" s="165"/>
      <c r="S1534" s="165"/>
      <c r="T1534" s="165"/>
      <c r="U1534" s="165"/>
      <c r="V1534" s="165"/>
      <c r="W1534" s="165"/>
      <c r="X1534" s="165"/>
    </row>
    <row r="1535" ht="18.75" customHeight="1">
      <c r="A1535" s="165">
        <v>1532.0</v>
      </c>
      <c r="B1535" s="165" t="s">
        <v>16995</v>
      </c>
      <c r="C1535" s="165"/>
      <c r="D1535" s="165"/>
      <c r="E1535" s="165"/>
      <c r="F1535" s="165"/>
      <c r="G1535" s="165"/>
      <c r="H1535" s="165"/>
      <c r="I1535" s="165"/>
      <c r="J1535" s="165"/>
      <c r="K1535" s="165"/>
      <c r="L1535" s="165"/>
      <c r="M1535" s="165"/>
      <c r="N1535" s="165"/>
      <c r="O1535" s="165"/>
      <c r="P1535" s="165"/>
      <c r="Q1535" s="165"/>
      <c r="R1535" s="165"/>
      <c r="S1535" s="165"/>
      <c r="T1535" s="165"/>
      <c r="U1535" s="165"/>
      <c r="V1535" s="165"/>
      <c r="W1535" s="165"/>
      <c r="X1535" s="165"/>
    </row>
    <row r="1536" ht="18.75" customHeight="1">
      <c r="A1536" s="165">
        <v>1533.0</v>
      </c>
      <c r="B1536" s="167" t="s">
        <v>16996</v>
      </c>
      <c r="C1536" s="165"/>
      <c r="D1536" s="165"/>
      <c r="E1536" s="165"/>
      <c r="F1536" s="165"/>
      <c r="G1536" s="165"/>
      <c r="H1536" s="165"/>
      <c r="I1536" s="165"/>
      <c r="J1536" s="165"/>
      <c r="K1536" s="165"/>
      <c r="L1536" s="165"/>
      <c r="M1536" s="165"/>
      <c r="N1536" s="165"/>
      <c r="O1536" s="165"/>
      <c r="P1536" s="165"/>
      <c r="Q1536" s="165"/>
      <c r="R1536" s="165"/>
      <c r="S1536" s="165"/>
      <c r="T1536" s="165"/>
      <c r="U1536" s="165"/>
      <c r="V1536" s="165"/>
      <c r="W1536" s="165"/>
      <c r="X1536" s="165"/>
    </row>
    <row r="1537" ht="18.75" customHeight="1">
      <c r="A1537" s="165">
        <v>1534.0</v>
      </c>
      <c r="B1537" s="165" t="s">
        <v>16997</v>
      </c>
      <c r="C1537" s="165"/>
      <c r="D1537" s="165"/>
      <c r="E1537" s="165"/>
      <c r="F1537" s="165"/>
      <c r="G1537" s="165"/>
      <c r="H1537" s="165"/>
      <c r="I1537" s="165"/>
      <c r="J1537" s="165"/>
      <c r="K1537" s="165"/>
      <c r="L1537" s="165"/>
      <c r="M1537" s="165"/>
      <c r="N1537" s="165"/>
      <c r="O1537" s="165"/>
      <c r="P1537" s="165"/>
      <c r="Q1537" s="165"/>
      <c r="R1537" s="165"/>
      <c r="S1537" s="165"/>
      <c r="T1537" s="165"/>
      <c r="U1537" s="165"/>
      <c r="V1537" s="165"/>
      <c r="W1537" s="165"/>
      <c r="X1537" s="165"/>
    </row>
    <row r="1538" ht="18.75" customHeight="1">
      <c r="A1538" s="165">
        <v>1535.0</v>
      </c>
      <c r="B1538" s="167" t="s">
        <v>16998</v>
      </c>
      <c r="C1538" s="165"/>
      <c r="D1538" s="165"/>
      <c r="E1538" s="165"/>
      <c r="F1538" s="165"/>
      <c r="G1538" s="165"/>
      <c r="H1538" s="165"/>
      <c r="I1538" s="165"/>
      <c r="J1538" s="165"/>
      <c r="K1538" s="165"/>
      <c r="L1538" s="165"/>
      <c r="M1538" s="165"/>
      <c r="N1538" s="165"/>
      <c r="O1538" s="165"/>
      <c r="P1538" s="165"/>
      <c r="Q1538" s="165"/>
      <c r="R1538" s="165"/>
      <c r="S1538" s="165"/>
      <c r="T1538" s="165"/>
      <c r="U1538" s="165"/>
      <c r="V1538" s="165"/>
      <c r="W1538" s="165"/>
      <c r="X1538" s="165"/>
    </row>
    <row r="1539" ht="18.75" customHeight="1">
      <c r="A1539" s="165">
        <v>1536.0</v>
      </c>
      <c r="B1539" s="167" t="s">
        <v>16999</v>
      </c>
      <c r="C1539" s="165"/>
      <c r="D1539" s="165"/>
      <c r="E1539" s="165"/>
      <c r="F1539" s="165"/>
      <c r="G1539" s="165"/>
      <c r="H1539" s="165"/>
      <c r="I1539" s="165"/>
      <c r="J1539" s="165"/>
      <c r="K1539" s="165"/>
      <c r="L1539" s="165"/>
      <c r="M1539" s="165"/>
      <c r="N1539" s="165"/>
      <c r="O1539" s="165"/>
      <c r="P1539" s="165"/>
      <c r="Q1539" s="165"/>
      <c r="R1539" s="165"/>
      <c r="S1539" s="165"/>
      <c r="T1539" s="165"/>
      <c r="U1539" s="165"/>
      <c r="V1539" s="165"/>
      <c r="W1539" s="165"/>
      <c r="X1539" s="165"/>
    </row>
    <row r="1540" ht="18.75" customHeight="1">
      <c r="A1540" s="165">
        <v>1537.0</v>
      </c>
      <c r="B1540" s="167" t="s">
        <v>17000</v>
      </c>
      <c r="C1540" s="165"/>
      <c r="D1540" s="165"/>
      <c r="E1540" s="165"/>
      <c r="F1540" s="165"/>
      <c r="G1540" s="165"/>
      <c r="H1540" s="165"/>
      <c r="I1540" s="165"/>
      <c r="J1540" s="165"/>
      <c r="K1540" s="165"/>
      <c r="L1540" s="165"/>
      <c r="M1540" s="165"/>
      <c r="N1540" s="165"/>
      <c r="O1540" s="165"/>
      <c r="P1540" s="165"/>
      <c r="Q1540" s="165"/>
      <c r="R1540" s="165"/>
      <c r="S1540" s="165"/>
      <c r="T1540" s="165"/>
      <c r="U1540" s="165"/>
      <c r="V1540" s="165"/>
      <c r="W1540" s="165"/>
      <c r="X1540" s="165"/>
    </row>
    <row r="1541" ht="18.75" customHeight="1">
      <c r="A1541" s="165">
        <v>1538.0</v>
      </c>
      <c r="B1541" s="167" t="s">
        <v>17001</v>
      </c>
      <c r="C1541" s="165"/>
      <c r="D1541" s="165"/>
      <c r="E1541" s="165"/>
      <c r="F1541" s="165"/>
      <c r="G1541" s="165"/>
      <c r="H1541" s="165"/>
      <c r="I1541" s="165"/>
      <c r="J1541" s="165"/>
      <c r="K1541" s="165"/>
      <c r="L1541" s="165"/>
      <c r="M1541" s="165"/>
      <c r="N1541" s="165"/>
      <c r="O1541" s="165"/>
      <c r="P1541" s="165"/>
      <c r="Q1541" s="165"/>
      <c r="R1541" s="165"/>
      <c r="S1541" s="165"/>
      <c r="T1541" s="165"/>
      <c r="U1541" s="165"/>
      <c r="V1541" s="165"/>
      <c r="W1541" s="165"/>
      <c r="X1541" s="165"/>
    </row>
    <row r="1542" ht="18.75" customHeight="1">
      <c r="A1542" s="165">
        <v>1539.0</v>
      </c>
      <c r="B1542" s="167" t="s">
        <v>17002</v>
      </c>
      <c r="C1542" s="165"/>
      <c r="D1542" s="165"/>
      <c r="E1542" s="165"/>
      <c r="F1542" s="165"/>
      <c r="G1542" s="165"/>
      <c r="H1542" s="165"/>
      <c r="I1542" s="165"/>
      <c r="J1542" s="165"/>
      <c r="K1542" s="165"/>
      <c r="L1542" s="165"/>
      <c r="M1542" s="165"/>
      <c r="N1542" s="165"/>
      <c r="O1542" s="165"/>
      <c r="P1542" s="165"/>
      <c r="Q1542" s="165"/>
      <c r="R1542" s="165"/>
      <c r="S1542" s="165"/>
      <c r="T1542" s="165"/>
      <c r="U1542" s="165"/>
      <c r="V1542" s="165"/>
      <c r="W1542" s="165"/>
      <c r="X1542" s="165"/>
    </row>
    <row r="1543" ht="18.75" customHeight="1">
      <c r="A1543" s="165">
        <v>1540.0</v>
      </c>
      <c r="B1543" s="167" t="s">
        <v>17003</v>
      </c>
      <c r="C1543" s="165"/>
      <c r="D1543" s="165"/>
      <c r="E1543" s="165"/>
      <c r="F1543" s="165"/>
      <c r="G1543" s="165"/>
      <c r="H1543" s="165"/>
      <c r="I1543" s="165"/>
      <c r="J1543" s="165"/>
      <c r="K1543" s="165"/>
      <c r="L1543" s="165"/>
      <c r="M1543" s="165"/>
      <c r="N1543" s="165"/>
      <c r="O1543" s="165"/>
      <c r="P1543" s="165"/>
      <c r="Q1543" s="165"/>
      <c r="R1543" s="165"/>
      <c r="S1543" s="165"/>
      <c r="T1543" s="165"/>
      <c r="U1543" s="165"/>
      <c r="V1543" s="165"/>
      <c r="W1543" s="165"/>
      <c r="X1543" s="165"/>
    </row>
    <row r="1544" ht="18.75" customHeight="1">
      <c r="A1544" s="165">
        <v>1541.0</v>
      </c>
      <c r="B1544" s="167" t="s">
        <v>17004</v>
      </c>
      <c r="C1544" s="165"/>
      <c r="D1544" s="165"/>
      <c r="E1544" s="165"/>
      <c r="F1544" s="165"/>
      <c r="G1544" s="165"/>
      <c r="H1544" s="165"/>
      <c r="I1544" s="165"/>
      <c r="J1544" s="165"/>
      <c r="K1544" s="165"/>
      <c r="L1544" s="165"/>
      <c r="M1544" s="165"/>
      <c r="N1544" s="165"/>
      <c r="O1544" s="165"/>
      <c r="P1544" s="165"/>
      <c r="Q1544" s="165"/>
      <c r="R1544" s="165"/>
      <c r="S1544" s="165"/>
      <c r="T1544" s="165"/>
      <c r="U1544" s="165"/>
      <c r="V1544" s="165"/>
      <c r="W1544" s="165"/>
      <c r="X1544" s="165"/>
    </row>
    <row r="1545" ht="18.75" customHeight="1">
      <c r="A1545" s="165">
        <v>1542.0</v>
      </c>
      <c r="B1545" s="167" t="s">
        <v>17005</v>
      </c>
      <c r="C1545" s="165"/>
      <c r="D1545" s="165"/>
      <c r="E1545" s="165"/>
      <c r="F1545" s="165"/>
      <c r="G1545" s="165"/>
      <c r="H1545" s="165"/>
      <c r="I1545" s="165"/>
      <c r="J1545" s="165"/>
      <c r="K1545" s="165"/>
      <c r="L1545" s="165"/>
      <c r="M1545" s="165"/>
      <c r="N1545" s="165"/>
      <c r="O1545" s="165"/>
      <c r="P1545" s="165"/>
      <c r="Q1545" s="165"/>
      <c r="R1545" s="165"/>
      <c r="S1545" s="165"/>
      <c r="T1545" s="165"/>
      <c r="U1545" s="165"/>
      <c r="V1545" s="165"/>
      <c r="W1545" s="165"/>
      <c r="X1545" s="165"/>
    </row>
    <row r="1546" ht="18.75" customHeight="1">
      <c r="A1546" s="165">
        <v>1543.0</v>
      </c>
      <c r="B1546" s="167" t="s">
        <v>17006</v>
      </c>
      <c r="C1546" s="165"/>
      <c r="D1546" s="165"/>
      <c r="E1546" s="165"/>
      <c r="F1546" s="165"/>
      <c r="G1546" s="165"/>
      <c r="H1546" s="165"/>
      <c r="I1546" s="165"/>
      <c r="J1546" s="165"/>
      <c r="K1546" s="165"/>
      <c r="L1546" s="165"/>
      <c r="M1546" s="165"/>
      <c r="N1546" s="165"/>
      <c r="O1546" s="165"/>
      <c r="P1546" s="165"/>
      <c r="Q1546" s="165"/>
      <c r="R1546" s="165"/>
      <c r="S1546" s="165"/>
      <c r="T1546" s="165"/>
      <c r="U1546" s="165"/>
      <c r="V1546" s="165"/>
      <c r="W1546" s="165"/>
      <c r="X1546" s="165"/>
    </row>
    <row r="1547" ht="18.75" customHeight="1">
      <c r="A1547" s="165">
        <v>1544.0</v>
      </c>
      <c r="B1547" s="167" t="s">
        <v>17007</v>
      </c>
      <c r="C1547" s="165"/>
      <c r="D1547" s="165"/>
      <c r="E1547" s="165"/>
      <c r="F1547" s="165"/>
      <c r="G1547" s="165"/>
      <c r="H1547" s="165"/>
      <c r="I1547" s="165"/>
      <c r="J1547" s="165"/>
      <c r="K1547" s="165"/>
      <c r="L1547" s="165"/>
      <c r="M1547" s="165"/>
      <c r="N1547" s="165"/>
      <c r="O1547" s="165"/>
      <c r="P1547" s="165"/>
      <c r="Q1547" s="165"/>
      <c r="R1547" s="165"/>
      <c r="S1547" s="165"/>
      <c r="T1547" s="165"/>
      <c r="U1547" s="165"/>
      <c r="V1547" s="165"/>
      <c r="W1547" s="165"/>
      <c r="X1547" s="165"/>
    </row>
    <row r="1548" ht="18.75" customHeight="1">
      <c r="A1548" s="165">
        <v>1545.0</v>
      </c>
      <c r="B1548" s="167" t="s">
        <v>17008</v>
      </c>
      <c r="C1548" s="165"/>
      <c r="D1548" s="165"/>
      <c r="E1548" s="165"/>
      <c r="F1548" s="165"/>
      <c r="G1548" s="165"/>
      <c r="H1548" s="165"/>
      <c r="I1548" s="165"/>
      <c r="J1548" s="165"/>
      <c r="K1548" s="165"/>
      <c r="L1548" s="165"/>
      <c r="M1548" s="165"/>
      <c r="N1548" s="165"/>
      <c r="O1548" s="165"/>
      <c r="P1548" s="165"/>
      <c r="Q1548" s="165"/>
      <c r="R1548" s="165"/>
      <c r="S1548" s="165"/>
      <c r="T1548" s="165"/>
      <c r="U1548" s="165"/>
      <c r="V1548" s="165"/>
      <c r="W1548" s="165"/>
      <c r="X1548" s="165"/>
    </row>
    <row r="1549" ht="18.75" customHeight="1">
      <c r="A1549" s="165">
        <v>1546.0</v>
      </c>
      <c r="B1549" s="167" t="s">
        <v>16977</v>
      </c>
      <c r="C1549" s="165"/>
      <c r="D1549" s="165"/>
      <c r="E1549" s="165"/>
      <c r="F1549" s="165"/>
      <c r="G1549" s="165"/>
      <c r="H1549" s="165"/>
      <c r="I1549" s="165"/>
      <c r="J1549" s="165"/>
      <c r="K1549" s="165"/>
      <c r="L1549" s="165"/>
      <c r="M1549" s="165"/>
      <c r="N1549" s="165"/>
      <c r="O1549" s="165"/>
      <c r="P1549" s="165"/>
      <c r="Q1549" s="165"/>
      <c r="R1549" s="165"/>
      <c r="S1549" s="165"/>
      <c r="T1549" s="165"/>
      <c r="U1549" s="165"/>
      <c r="V1549" s="165"/>
      <c r="W1549" s="165"/>
      <c r="X1549" s="165"/>
    </row>
    <row r="1550" ht="18.75" customHeight="1">
      <c r="A1550" s="165">
        <v>1547.0</v>
      </c>
      <c r="B1550" s="165" t="s">
        <v>17009</v>
      </c>
      <c r="C1550" s="165"/>
      <c r="D1550" s="165"/>
      <c r="E1550" s="165"/>
      <c r="F1550" s="165"/>
      <c r="G1550" s="165"/>
      <c r="H1550" s="165"/>
      <c r="I1550" s="165"/>
      <c r="J1550" s="165"/>
      <c r="K1550" s="165"/>
      <c r="L1550" s="165"/>
      <c r="M1550" s="165"/>
      <c r="N1550" s="165"/>
      <c r="O1550" s="165"/>
      <c r="P1550" s="165"/>
      <c r="Q1550" s="165"/>
      <c r="R1550" s="165"/>
      <c r="S1550" s="165"/>
      <c r="T1550" s="165"/>
      <c r="U1550" s="165"/>
      <c r="V1550" s="165"/>
      <c r="W1550" s="165"/>
      <c r="X1550" s="165"/>
    </row>
    <row r="1551" ht="18.75" customHeight="1">
      <c r="A1551" s="165">
        <v>1548.0</v>
      </c>
      <c r="B1551" s="165" t="s">
        <v>17010</v>
      </c>
      <c r="C1551" s="165"/>
      <c r="D1551" s="165"/>
      <c r="E1551" s="165"/>
      <c r="F1551" s="165"/>
      <c r="G1551" s="165"/>
      <c r="H1551" s="165"/>
      <c r="I1551" s="165"/>
      <c r="J1551" s="165"/>
      <c r="K1551" s="165"/>
      <c r="L1551" s="165"/>
      <c r="M1551" s="165"/>
      <c r="N1551" s="165"/>
      <c r="O1551" s="165"/>
      <c r="P1551" s="165"/>
      <c r="Q1551" s="165"/>
      <c r="R1551" s="165"/>
      <c r="S1551" s="165"/>
      <c r="T1551" s="165"/>
      <c r="U1551" s="165"/>
      <c r="V1551" s="165"/>
      <c r="W1551" s="165"/>
      <c r="X1551" s="165"/>
    </row>
    <row r="1552" ht="18.75" customHeight="1">
      <c r="A1552" s="165">
        <v>1549.0</v>
      </c>
      <c r="B1552" s="165" t="s">
        <v>17011</v>
      </c>
      <c r="C1552" s="165"/>
      <c r="D1552" s="165"/>
      <c r="E1552" s="165"/>
      <c r="F1552" s="165"/>
      <c r="G1552" s="165"/>
      <c r="H1552" s="165"/>
      <c r="I1552" s="165"/>
      <c r="J1552" s="165"/>
      <c r="K1552" s="165"/>
      <c r="L1552" s="165"/>
      <c r="M1552" s="165"/>
      <c r="N1552" s="165"/>
      <c r="O1552" s="165"/>
      <c r="P1552" s="165"/>
      <c r="Q1552" s="165"/>
      <c r="R1552" s="165"/>
      <c r="S1552" s="165"/>
      <c r="T1552" s="165"/>
      <c r="U1552" s="165"/>
      <c r="V1552" s="165"/>
      <c r="W1552" s="165"/>
      <c r="X1552" s="165"/>
    </row>
    <row r="1553" ht="18.75" customHeight="1">
      <c r="A1553" s="165">
        <v>1550.0</v>
      </c>
      <c r="B1553" s="167" t="s">
        <v>17012</v>
      </c>
      <c r="C1553" s="165"/>
      <c r="D1553" s="165"/>
      <c r="E1553" s="165"/>
      <c r="F1553" s="165"/>
      <c r="G1553" s="165"/>
      <c r="H1553" s="165"/>
      <c r="I1553" s="165"/>
      <c r="J1553" s="165"/>
      <c r="K1553" s="165"/>
      <c r="L1553" s="165"/>
      <c r="M1553" s="165"/>
      <c r="N1553" s="165"/>
      <c r="O1553" s="165"/>
      <c r="P1553" s="165"/>
      <c r="Q1553" s="165"/>
      <c r="R1553" s="165"/>
      <c r="S1553" s="165"/>
      <c r="T1553" s="165"/>
      <c r="U1553" s="165"/>
      <c r="V1553" s="165"/>
      <c r="W1553" s="165"/>
      <c r="X1553" s="165"/>
    </row>
    <row r="1554" ht="18.75" customHeight="1">
      <c r="A1554" s="165">
        <v>1551.0</v>
      </c>
      <c r="B1554" s="167" t="s">
        <v>17013</v>
      </c>
      <c r="C1554" s="165"/>
      <c r="D1554" s="165"/>
      <c r="E1554" s="165"/>
      <c r="F1554" s="165"/>
      <c r="G1554" s="165"/>
      <c r="H1554" s="165"/>
      <c r="I1554" s="165"/>
      <c r="J1554" s="165"/>
      <c r="K1554" s="165"/>
      <c r="L1554" s="165"/>
      <c r="M1554" s="165"/>
      <c r="N1554" s="165"/>
      <c r="O1554" s="165"/>
      <c r="P1554" s="165"/>
      <c r="Q1554" s="165"/>
      <c r="R1554" s="165"/>
      <c r="S1554" s="165"/>
      <c r="T1554" s="165"/>
      <c r="U1554" s="165"/>
      <c r="V1554" s="165"/>
      <c r="W1554" s="165"/>
      <c r="X1554" s="165"/>
    </row>
    <row r="1555" ht="18.75" customHeight="1">
      <c r="A1555" s="165">
        <v>1552.0</v>
      </c>
      <c r="B1555" s="167" t="s">
        <v>17014</v>
      </c>
      <c r="C1555" s="165"/>
      <c r="D1555" s="165"/>
      <c r="E1555" s="165"/>
      <c r="F1555" s="165"/>
      <c r="G1555" s="165"/>
      <c r="H1555" s="165"/>
      <c r="I1555" s="165"/>
      <c r="J1555" s="165"/>
      <c r="K1555" s="165"/>
      <c r="L1555" s="165"/>
      <c r="M1555" s="165"/>
      <c r="N1555" s="165"/>
      <c r="O1555" s="165"/>
      <c r="P1555" s="165"/>
      <c r="Q1555" s="165"/>
      <c r="R1555" s="165"/>
      <c r="S1555" s="165"/>
      <c r="T1555" s="165"/>
      <c r="U1555" s="165"/>
      <c r="V1555" s="165"/>
      <c r="W1555" s="165"/>
      <c r="X1555" s="165"/>
    </row>
    <row r="1556" ht="18.75" customHeight="1">
      <c r="A1556" s="165">
        <v>1553.0</v>
      </c>
      <c r="B1556" s="165" t="s">
        <v>17015</v>
      </c>
      <c r="C1556" s="165"/>
      <c r="D1556" s="165"/>
      <c r="E1556" s="165"/>
      <c r="F1556" s="165"/>
      <c r="G1556" s="165"/>
      <c r="H1556" s="165"/>
      <c r="I1556" s="165"/>
      <c r="J1556" s="165"/>
      <c r="K1556" s="165"/>
      <c r="L1556" s="165"/>
      <c r="M1556" s="165"/>
      <c r="N1556" s="165"/>
      <c r="O1556" s="165"/>
      <c r="P1556" s="165"/>
      <c r="Q1556" s="165"/>
      <c r="R1556" s="165"/>
      <c r="S1556" s="165"/>
      <c r="T1556" s="165"/>
      <c r="U1556" s="165"/>
      <c r="V1556" s="165"/>
      <c r="W1556" s="165"/>
      <c r="X1556" s="165"/>
    </row>
    <row r="1557" ht="18.75" customHeight="1">
      <c r="A1557" s="165">
        <v>1554.0</v>
      </c>
      <c r="B1557" s="165" t="s">
        <v>17016</v>
      </c>
      <c r="C1557" s="165"/>
      <c r="D1557" s="165"/>
      <c r="E1557" s="165"/>
      <c r="F1557" s="165"/>
      <c r="G1557" s="165"/>
      <c r="H1557" s="165"/>
      <c r="I1557" s="165"/>
      <c r="J1557" s="165"/>
      <c r="K1557" s="165"/>
      <c r="L1557" s="165"/>
      <c r="M1557" s="165"/>
      <c r="N1557" s="165"/>
      <c r="O1557" s="165"/>
      <c r="P1557" s="165"/>
      <c r="Q1557" s="165"/>
      <c r="R1557" s="165"/>
      <c r="S1557" s="165"/>
      <c r="T1557" s="165"/>
      <c r="U1557" s="165"/>
      <c r="V1557" s="165"/>
      <c r="W1557" s="165"/>
      <c r="X1557" s="165"/>
    </row>
    <row r="1558" ht="18.75" customHeight="1">
      <c r="A1558" s="165">
        <v>1555.0</v>
      </c>
      <c r="B1558" s="167" t="s">
        <v>17017</v>
      </c>
      <c r="C1558" s="165"/>
      <c r="D1558" s="165"/>
      <c r="E1558" s="165"/>
      <c r="F1558" s="165"/>
      <c r="G1558" s="165"/>
      <c r="H1558" s="165"/>
      <c r="I1558" s="165"/>
      <c r="J1558" s="165"/>
      <c r="K1558" s="165"/>
      <c r="L1558" s="165"/>
      <c r="M1558" s="165"/>
      <c r="N1558" s="165"/>
      <c r="O1558" s="165"/>
      <c r="P1558" s="165"/>
      <c r="Q1558" s="165"/>
      <c r="R1558" s="165"/>
      <c r="S1558" s="165"/>
      <c r="T1558" s="165"/>
      <c r="U1558" s="165"/>
      <c r="V1558" s="165"/>
      <c r="W1558" s="165"/>
      <c r="X1558" s="165"/>
    </row>
    <row r="1559" ht="18.75" customHeight="1">
      <c r="A1559" s="165">
        <v>1556.0</v>
      </c>
      <c r="B1559" s="167" t="s">
        <v>17018</v>
      </c>
      <c r="C1559" s="165"/>
      <c r="D1559" s="165"/>
      <c r="E1559" s="165"/>
      <c r="F1559" s="165"/>
      <c r="G1559" s="165"/>
      <c r="H1559" s="165"/>
      <c r="I1559" s="165"/>
      <c r="J1559" s="165"/>
      <c r="K1559" s="165"/>
      <c r="L1559" s="165"/>
      <c r="M1559" s="165"/>
      <c r="N1559" s="165"/>
      <c r="O1559" s="165"/>
      <c r="P1559" s="165"/>
      <c r="Q1559" s="165"/>
      <c r="R1559" s="165"/>
      <c r="S1559" s="165"/>
      <c r="T1559" s="165"/>
      <c r="U1559" s="165"/>
      <c r="V1559" s="165"/>
      <c r="W1559" s="165"/>
      <c r="X1559" s="165"/>
    </row>
    <row r="1560" ht="18.75" customHeight="1">
      <c r="A1560" s="165">
        <v>1557.0</v>
      </c>
      <c r="B1560" s="165" t="s">
        <v>17019</v>
      </c>
      <c r="C1560" s="165"/>
      <c r="D1560" s="165"/>
      <c r="E1560" s="165"/>
      <c r="F1560" s="165"/>
      <c r="G1560" s="165"/>
      <c r="H1560" s="165"/>
      <c r="I1560" s="165"/>
      <c r="J1560" s="165"/>
      <c r="K1560" s="165"/>
      <c r="L1560" s="165"/>
      <c r="M1560" s="165"/>
      <c r="N1560" s="165"/>
      <c r="O1560" s="165"/>
      <c r="P1560" s="165"/>
      <c r="Q1560" s="165"/>
      <c r="R1560" s="165"/>
      <c r="S1560" s="165"/>
      <c r="T1560" s="165"/>
      <c r="U1560" s="165"/>
      <c r="V1560" s="165"/>
      <c r="W1560" s="165"/>
      <c r="X1560" s="165"/>
    </row>
    <row r="1561" ht="18.75" customHeight="1">
      <c r="A1561" s="165">
        <v>1558.0</v>
      </c>
      <c r="B1561" s="167" t="s">
        <v>17020</v>
      </c>
      <c r="C1561" s="165"/>
      <c r="D1561" s="165"/>
      <c r="E1561" s="165"/>
      <c r="F1561" s="165"/>
      <c r="G1561" s="165"/>
      <c r="H1561" s="165"/>
      <c r="I1561" s="165"/>
      <c r="J1561" s="165"/>
      <c r="K1561" s="165"/>
      <c r="L1561" s="165"/>
      <c r="M1561" s="165"/>
      <c r="N1561" s="165"/>
      <c r="O1561" s="165"/>
      <c r="P1561" s="165"/>
      <c r="Q1561" s="165"/>
      <c r="R1561" s="165"/>
      <c r="S1561" s="165"/>
      <c r="T1561" s="165"/>
      <c r="U1561" s="165"/>
      <c r="V1561" s="165"/>
      <c r="W1561" s="165"/>
      <c r="X1561" s="165"/>
    </row>
    <row r="1562" ht="18.75" customHeight="1">
      <c r="A1562" s="165">
        <v>1559.0</v>
      </c>
      <c r="B1562" s="165" t="s">
        <v>17021</v>
      </c>
      <c r="C1562" s="165"/>
      <c r="D1562" s="165"/>
      <c r="E1562" s="165"/>
      <c r="F1562" s="165"/>
      <c r="G1562" s="165"/>
      <c r="H1562" s="165"/>
      <c r="I1562" s="165"/>
      <c r="J1562" s="165"/>
      <c r="K1562" s="165"/>
      <c r="L1562" s="165"/>
      <c r="M1562" s="165"/>
      <c r="N1562" s="165"/>
      <c r="O1562" s="165"/>
      <c r="P1562" s="165"/>
      <c r="Q1562" s="165"/>
      <c r="R1562" s="165"/>
      <c r="S1562" s="165"/>
      <c r="T1562" s="165"/>
      <c r="U1562" s="165"/>
      <c r="V1562" s="165"/>
      <c r="W1562" s="165"/>
      <c r="X1562" s="165"/>
    </row>
    <row r="1563" ht="18.75" customHeight="1">
      <c r="A1563" s="165">
        <v>1560.0</v>
      </c>
      <c r="B1563" s="167" t="s">
        <v>17022</v>
      </c>
      <c r="C1563" s="165"/>
      <c r="D1563" s="165"/>
      <c r="E1563" s="165"/>
      <c r="F1563" s="165"/>
      <c r="G1563" s="165"/>
      <c r="H1563" s="165"/>
      <c r="I1563" s="165"/>
      <c r="J1563" s="165"/>
      <c r="K1563" s="165"/>
      <c r="L1563" s="165"/>
      <c r="M1563" s="165"/>
      <c r="N1563" s="165"/>
      <c r="O1563" s="165"/>
      <c r="P1563" s="165"/>
      <c r="Q1563" s="165"/>
      <c r="R1563" s="165"/>
      <c r="S1563" s="165"/>
      <c r="T1563" s="165"/>
      <c r="U1563" s="165"/>
      <c r="V1563" s="165"/>
      <c r="W1563" s="165"/>
      <c r="X1563" s="165"/>
    </row>
    <row r="1564" ht="18.75" customHeight="1">
      <c r="A1564" s="165">
        <v>1561.0</v>
      </c>
      <c r="B1564" s="167" t="s">
        <v>17023</v>
      </c>
      <c r="C1564" s="165"/>
      <c r="D1564" s="165"/>
      <c r="E1564" s="165"/>
      <c r="F1564" s="165"/>
      <c r="G1564" s="165"/>
      <c r="H1564" s="165"/>
      <c r="I1564" s="165"/>
      <c r="J1564" s="165"/>
      <c r="K1564" s="165"/>
      <c r="L1564" s="165"/>
      <c r="M1564" s="165"/>
      <c r="N1564" s="165"/>
      <c r="O1564" s="165"/>
      <c r="P1564" s="165"/>
      <c r="Q1564" s="165"/>
      <c r="R1564" s="165"/>
      <c r="S1564" s="165"/>
      <c r="T1564" s="165"/>
      <c r="U1564" s="165"/>
      <c r="V1564" s="165"/>
      <c r="W1564" s="165"/>
      <c r="X1564" s="165"/>
    </row>
    <row r="1565" ht="18.75" customHeight="1">
      <c r="A1565" s="165">
        <v>1562.0</v>
      </c>
      <c r="B1565" s="185" t="s">
        <v>17024</v>
      </c>
      <c r="C1565" s="165"/>
      <c r="D1565" s="165"/>
      <c r="E1565" s="165"/>
      <c r="F1565" s="165"/>
      <c r="G1565" s="165"/>
      <c r="H1565" s="165"/>
      <c r="I1565" s="165"/>
      <c r="J1565" s="165"/>
      <c r="K1565" s="165"/>
      <c r="L1565" s="165"/>
      <c r="M1565" s="165"/>
      <c r="N1565" s="165"/>
      <c r="O1565" s="165"/>
      <c r="P1565" s="165"/>
      <c r="Q1565" s="165"/>
      <c r="R1565" s="165"/>
      <c r="S1565" s="165"/>
      <c r="T1565" s="165"/>
      <c r="U1565" s="165"/>
      <c r="V1565" s="165"/>
      <c r="W1565" s="165"/>
      <c r="X1565" s="165"/>
    </row>
    <row r="1566" ht="18.75" customHeight="1">
      <c r="A1566" s="165">
        <v>1563.0</v>
      </c>
      <c r="B1566" s="165" t="s">
        <v>17025</v>
      </c>
      <c r="C1566" s="165"/>
      <c r="D1566" s="165"/>
      <c r="E1566" s="165"/>
      <c r="F1566" s="165"/>
      <c r="G1566" s="165"/>
      <c r="H1566" s="165"/>
      <c r="I1566" s="165"/>
      <c r="J1566" s="165"/>
      <c r="K1566" s="165"/>
      <c r="L1566" s="165"/>
      <c r="M1566" s="165"/>
      <c r="N1566" s="165"/>
      <c r="O1566" s="165"/>
      <c r="P1566" s="165"/>
      <c r="Q1566" s="165"/>
      <c r="R1566" s="165"/>
      <c r="S1566" s="165"/>
      <c r="T1566" s="165"/>
      <c r="U1566" s="165"/>
      <c r="V1566" s="165"/>
      <c r="W1566" s="165"/>
      <c r="X1566" s="165"/>
    </row>
    <row r="1567" ht="18.75" customHeight="1">
      <c r="A1567" s="165">
        <v>1564.0</v>
      </c>
      <c r="B1567" s="165" t="s">
        <v>17026</v>
      </c>
      <c r="C1567" s="165"/>
      <c r="D1567" s="165"/>
      <c r="E1567" s="165"/>
      <c r="F1567" s="165"/>
      <c r="G1567" s="165"/>
      <c r="H1567" s="165"/>
      <c r="I1567" s="165"/>
      <c r="J1567" s="165"/>
      <c r="K1567" s="165"/>
      <c r="L1567" s="165"/>
      <c r="M1567" s="165"/>
      <c r="N1567" s="165"/>
      <c r="O1567" s="165"/>
      <c r="P1567" s="165"/>
      <c r="Q1567" s="165"/>
      <c r="R1567" s="165"/>
      <c r="S1567" s="165"/>
      <c r="T1567" s="165"/>
      <c r="U1567" s="165"/>
      <c r="V1567" s="165"/>
      <c r="W1567" s="165"/>
      <c r="X1567" s="165"/>
    </row>
    <row r="1568" ht="18.75" customHeight="1">
      <c r="A1568" s="165">
        <v>1565.0</v>
      </c>
      <c r="B1568" s="167" t="s">
        <v>17027</v>
      </c>
      <c r="C1568" s="165"/>
      <c r="D1568" s="165"/>
      <c r="E1568" s="165"/>
      <c r="F1568" s="165"/>
      <c r="G1568" s="165"/>
      <c r="H1568" s="165"/>
      <c r="I1568" s="165"/>
      <c r="J1568" s="165"/>
      <c r="K1568" s="165"/>
      <c r="L1568" s="165"/>
      <c r="M1568" s="165"/>
      <c r="N1568" s="165"/>
      <c r="O1568" s="165"/>
      <c r="P1568" s="165"/>
      <c r="Q1568" s="165"/>
      <c r="R1568" s="165"/>
      <c r="S1568" s="165"/>
      <c r="T1568" s="165"/>
      <c r="U1568" s="165"/>
      <c r="V1568" s="165"/>
      <c r="W1568" s="165"/>
      <c r="X1568" s="165"/>
    </row>
    <row r="1569" ht="18.75" customHeight="1">
      <c r="A1569" s="165">
        <v>1566.0</v>
      </c>
      <c r="B1569" s="167" t="s">
        <v>17028</v>
      </c>
      <c r="C1569" s="165"/>
      <c r="D1569" s="165"/>
      <c r="E1569" s="165"/>
      <c r="F1569" s="165"/>
      <c r="G1569" s="165"/>
      <c r="H1569" s="165"/>
      <c r="I1569" s="165"/>
      <c r="J1569" s="165"/>
      <c r="K1569" s="165"/>
      <c r="L1569" s="165"/>
      <c r="M1569" s="165"/>
      <c r="N1569" s="165"/>
      <c r="O1569" s="165"/>
      <c r="P1569" s="165"/>
      <c r="Q1569" s="165"/>
      <c r="R1569" s="165"/>
      <c r="S1569" s="165"/>
      <c r="T1569" s="165"/>
      <c r="U1569" s="165"/>
      <c r="V1569" s="165"/>
      <c r="W1569" s="165"/>
      <c r="X1569" s="165"/>
    </row>
    <row r="1570" ht="18.75" customHeight="1">
      <c r="A1570" s="165">
        <v>1567.0</v>
      </c>
      <c r="B1570" s="165" t="s">
        <v>17029</v>
      </c>
      <c r="C1570" s="165"/>
      <c r="D1570" s="165"/>
      <c r="E1570" s="165"/>
      <c r="F1570" s="165"/>
      <c r="G1570" s="165"/>
      <c r="H1570" s="165"/>
      <c r="I1570" s="165"/>
      <c r="J1570" s="165"/>
      <c r="K1570" s="165"/>
      <c r="L1570" s="165"/>
      <c r="M1570" s="165"/>
      <c r="N1570" s="165"/>
      <c r="O1570" s="165"/>
      <c r="P1570" s="165"/>
      <c r="Q1570" s="165"/>
      <c r="R1570" s="165"/>
      <c r="S1570" s="165"/>
      <c r="T1570" s="165"/>
      <c r="U1570" s="165"/>
      <c r="V1570" s="165"/>
      <c r="W1570" s="165"/>
      <c r="X1570" s="165"/>
    </row>
    <row r="1571" ht="18.75" customHeight="1">
      <c r="A1571" s="165">
        <v>1568.0</v>
      </c>
      <c r="B1571" s="167" t="s">
        <v>17030</v>
      </c>
      <c r="C1571" s="165"/>
      <c r="D1571" s="165"/>
      <c r="E1571" s="165"/>
      <c r="F1571" s="165"/>
      <c r="G1571" s="165"/>
      <c r="H1571" s="165"/>
      <c r="I1571" s="165"/>
      <c r="J1571" s="165"/>
      <c r="K1571" s="165"/>
      <c r="L1571" s="165"/>
      <c r="M1571" s="165"/>
      <c r="N1571" s="165"/>
      <c r="O1571" s="165"/>
      <c r="P1571" s="165"/>
      <c r="Q1571" s="165"/>
      <c r="R1571" s="165"/>
      <c r="S1571" s="165"/>
      <c r="T1571" s="165"/>
      <c r="U1571" s="165"/>
      <c r="V1571" s="165"/>
      <c r="W1571" s="165"/>
      <c r="X1571" s="165"/>
    </row>
    <row r="1572" ht="18.75" customHeight="1">
      <c r="A1572" s="165">
        <v>1569.0</v>
      </c>
      <c r="B1572" s="167" t="s">
        <v>17031</v>
      </c>
      <c r="C1572" s="165"/>
      <c r="D1572" s="165"/>
      <c r="E1572" s="165"/>
      <c r="F1572" s="165"/>
      <c r="G1572" s="165"/>
      <c r="H1572" s="165"/>
      <c r="I1572" s="165"/>
      <c r="J1572" s="165"/>
      <c r="K1572" s="165"/>
      <c r="L1572" s="165"/>
      <c r="M1572" s="165"/>
      <c r="N1572" s="165"/>
      <c r="O1572" s="165"/>
      <c r="P1572" s="165"/>
      <c r="Q1572" s="165"/>
      <c r="R1572" s="165"/>
      <c r="S1572" s="165"/>
      <c r="T1572" s="165"/>
      <c r="U1572" s="165"/>
      <c r="V1572" s="165"/>
      <c r="W1572" s="165"/>
      <c r="X1572" s="165"/>
    </row>
    <row r="1573" ht="18.75" customHeight="1">
      <c r="A1573" s="165">
        <v>1570.0</v>
      </c>
      <c r="B1573" s="165" t="s">
        <v>17032</v>
      </c>
      <c r="C1573" s="165"/>
      <c r="D1573" s="165"/>
      <c r="E1573" s="165"/>
      <c r="F1573" s="165"/>
      <c r="G1573" s="165"/>
      <c r="H1573" s="165"/>
      <c r="I1573" s="165"/>
      <c r="J1573" s="165"/>
      <c r="K1573" s="165"/>
      <c r="L1573" s="165"/>
      <c r="M1573" s="165"/>
      <c r="N1573" s="165"/>
      <c r="O1573" s="165"/>
      <c r="P1573" s="165"/>
      <c r="Q1573" s="165"/>
      <c r="R1573" s="165"/>
      <c r="S1573" s="165"/>
      <c r="T1573" s="165"/>
      <c r="U1573" s="165"/>
      <c r="V1573" s="165"/>
      <c r="W1573" s="165"/>
      <c r="X1573" s="165"/>
    </row>
    <row r="1574" ht="18.75" customHeight="1">
      <c r="A1574" s="165">
        <v>1571.0</v>
      </c>
      <c r="B1574" s="165" t="s">
        <v>17033</v>
      </c>
      <c r="C1574" s="165" t="s">
        <v>17033</v>
      </c>
      <c r="D1574" s="165"/>
      <c r="E1574" s="165"/>
      <c r="F1574" s="165"/>
      <c r="G1574" s="165"/>
      <c r="H1574" s="165"/>
      <c r="I1574" s="165"/>
      <c r="J1574" s="165"/>
      <c r="K1574" s="165"/>
      <c r="L1574" s="165"/>
      <c r="M1574" s="165"/>
      <c r="N1574" s="165"/>
      <c r="O1574" s="165"/>
      <c r="P1574" s="165"/>
      <c r="Q1574" s="165"/>
      <c r="R1574" s="165"/>
      <c r="S1574" s="165"/>
      <c r="T1574" s="165"/>
      <c r="U1574" s="165"/>
      <c r="V1574" s="165"/>
      <c r="W1574" s="165"/>
      <c r="X1574" s="165"/>
    </row>
    <row r="1575" ht="18.75" customHeight="1">
      <c r="A1575" s="165">
        <v>1572.0</v>
      </c>
      <c r="B1575" s="167" t="s">
        <v>17034</v>
      </c>
      <c r="C1575" s="165" t="s">
        <v>17034</v>
      </c>
      <c r="D1575" s="165"/>
      <c r="E1575" s="165"/>
      <c r="F1575" s="165"/>
      <c r="G1575" s="165"/>
      <c r="H1575" s="165"/>
      <c r="I1575" s="165"/>
      <c r="J1575" s="165"/>
      <c r="K1575" s="165"/>
      <c r="L1575" s="165"/>
      <c r="M1575" s="165"/>
      <c r="N1575" s="165"/>
      <c r="O1575" s="165"/>
      <c r="P1575" s="165"/>
      <c r="Q1575" s="165"/>
      <c r="R1575" s="165"/>
      <c r="S1575" s="165"/>
      <c r="T1575" s="165"/>
      <c r="U1575" s="165"/>
      <c r="V1575" s="165"/>
      <c r="W1575" s="165"/>
      <c r="X1575" s="165"/>
    </row>
    <row r="1576" ht="18.75" customHeight="1">
      <c r="A1576" s="165">
        <v>1573.0</v>
      </c>
      <c r="B1576" s="167" t="s">
        <v>17035</v>
      </c>
      <c r="C1576" s="165"/>
      <c r="D1576" s="165"/>
      <c r="E1576" s="165"/>
      <c r="F1576" s="165"/>
      <c r="G1576" s="165"/>
      <c r="H1576" s="165"/>
      <c r="I1576" s="165"/>
      <c r="J1576" s="165"/>
      <c r="K1576" s="165"/>
      <c r="L1576" s="165"/>
      <c r="M1576" s="165"/>
      <c r="N1576" s="165"/>
      <c r="O1576" s="165"/>
      <c r="P1576" s="165"/>
      <c r="Q1576" s="165"/>
      <c r="R1576" s="165"/>
      <c r="S1576" s="165"/>
      <c r="T1576" s="165"/>
      <c r="U1576" s="165"/>
      <c r="V1576" s="165"/>
      <c r="W1576" s="165"/>
      <c r="X1576" s="165"/>
    </row>
    <row r="1577" ht="18.75" customHeight="1">
      <c r="A1577" s="165">
        <v>1574.0</v>
      </c>
      <c r="B1577" s="165" t="s">
        <v>17036</v>
      </c>
      <c r="C1577" s="165"/>
      <c r="D1577" s="165"/>
      <c r="E1577" s="165"/>
      <c r="F1577" s="165"/>
      <c r="G1577" s="165"/>
      <c r="H1577" s="165"/>
      <c r="I1577" s="165"/>
      <c r="J1577" s="165"/>
      <c r="K1577" s="165"/>
      <c r="L1577" s="165"/>
      <c r="M1577" s="165"/>
      <c r="N1577" s="165"/>
      <c r="O1577" s="165"/>
      <c r="P1577" s="165"/>
      <c r="Q1577" s="165"/>
      <c r="R1577" s="165"/>
      <c r="S1577" s="165"/>
      <c r="T1577" s="165"/>
      <c r="U1577" s="165"/>
      <c r="V1577" s="165"/>
      <c r="W1577" s="165"/>
      <c r="X1577" s="165"/>
    </row>
    <row r="1578" ht="18.75" customHeight="1">
      <c r="A1578" s="165">
        <v>1575.0</v>
      </c>
      <c r="B1578" s="165" t="s">
        <v>17037</v>
      </c>
      <c r="C1578" s="165"/>
      <c r="D1578" s="165"/>
      <c r="E1578" s="165"/>
      <c r="F1578" s="165"/>
      <c r="G1578" s="165"/>
      <c r="H1578" s="165"/>
      <c r="I1578" s="165"/>
      <c r="J1578" s="165"/>
      <c r="K1578" s="165"/>
      <c r="L1578" s="165"/>
      <c r="M1578" s="165"/>
      <c r="N1578" s="165"/>
      <c r="O1578" s="165"/>
      <c r="P1578" s="165"/>
      <c r="Q1578" s="165"/>
      <c r="R1578" s="165"/>
      <c r="S1578" s="165"/>
      <c r="T1578" s="165"/>
      <c r="U1578" s="165"/>
      <c r="V1578" s="165"/>
      <c r="W1578" s="165"/>
      <c r="X1578" s="165"/>
    </row>
    <row r="1579" ht="18.75" customHeight="1">
      <c r="A1579" s="165">
        <v>1576.0</v>
      </c>
      <c r="B1579" s="165" t="s">
        <v>17038</v>
      </c>
      <c r="C1579" s="165"/>
      <c r="D1579" s="165"/>
      <c r="E1579" s="165"/>
      <c r="F1579" s="165"/>
      <c r="G1579" s="165"/>
      <c r="H1579" s="165"/>
      <c r="I1579" s="165"/>
      <c r="J1579" s="165"/>
      <c r="K1579" s="165"/>
      <c r="L1579" s="165"/>
      <c r="M1579" s="165"/>
      <c r="N1579" s="165"/>
      <c r="O1579" s="165"/>
      <c r="P1579" s="165"/>
      <c r="Q1579" s="165"/>
      <c r="R1579" s="165"/>
      <c r="S1579" s="165"/>
      <c r="T1579" s="165"/>
      <c r="U1579" s="165"/>
      <c r="V1579" s="165"/>
      <c r="W1579" s="165"/>
      <c r="X1579" s="165"/>
    </row>
    <row r="1580" ht="18.75" customHeight="1">
      <c r="A1580" s="165">
        <v>1577.0</v>
      </c>
      <c r="B1580" s="165" t="s">
        <v>17039</v>
      </c>
      <c r="C1580" s="165"/>
      <c r="D1580" s="165"/>
      <c r="E1580" s="165"/>
      <c r="F1580" s="165"/>
      <c r="G1580" s="165"/>
      <c r="H1580" s="165"/>
      <c r="I1580" s="165"/>
      <c r="J1580" s="165"/>
      <c r="K1580" s="165"/>
      <c r="L1580" s="165"/>
      <c r="M1580" s="165"/>
      <c r="N1580" s="165"/>
      <c r="O1580" s="165"/>
      <c r="P1580" s="165"/>
      <c r="Q1580" s="165"/>
      <c r="R1580" s="165"/>
      <c r="S1580" s="165"/>
      <c r="T1580" s="165"/>
      <c r="U1580" s="165"/>
      <c r="V1580" s="165"/>
      <c r="W1580" s="165"/>
      <c r="X1580" s="165"/>
    </row>
    <row r="1581" ht="18.75" customHeight="1">
      <c r="A1581" s="165">
        <v>1578.0</v>
      </c>
      <c r="B1581" s="165" t="s">
        <v>17040</v>
      </c>
      <c r="C1581" s="165"/>
      <c r="D1581" s="165"/>
      <c r="E1581" s="165"/>
      <c r="F1581" s="165"/>
      <c r="G1581" s="165"/>
      <c r="H1581" s="165"/>
      <c r="I1581" s="165"/>
      <c r="J1581" s="165"/>
      <c r="K1581" s="165"/>
      <c r="L1581" s="165"/>
      <c r="M1581" s="165"/>
      <c r="N1581" s="165"/>
      <c r="O1581" s="165"/>
      <c r="P1581" s="165"/>
      <c r="Q1581" s="165"/>
      <c r="R1581" s="165"/>
      <c r="S1581" s="165"/>
      <c r="T1581" s="165"/>
      <c r="U1581" s="165"/>
      <c r="V1581" s="165"/>
      <c r="W1581" s="165"/>
      <c r="X1581" s="165"/>
    </row>
    <row r="1582" ht="18.75" customHeight="1">
      <c r="A1582" s="165">
        <v>1579.0</v>
      </c>
      <c r="B1582" s="165" t="s">
        <v>17041</v>
      </c>
      <c r="C1582" s="165"/>
      <c r="D1582" s="165"/>
      <c r="E1582" s="165"/>
      <c r="F1582" s="165"/>
      <c r="G1582" s="165"/>
      <c r="H1582" s="165"/>
      <c r="I1582" s="165"/>
      <c r="J1582" s="165"/>
      <c r="K1582" s="165"/>
      <c r="L1582" s="165"/>
      <c r="M1582" s="165"/>
      <c r="N1582" s="165"/>
      <c r="O1582" s="165"/>
      <c r="P1582" s="165"/>
      <c r="Q1582" s="165"/>
      <c r="R1582" s="165"/>
      <c r="S1582" s="165"/>
      <c r="T1582" s="165"/>
      <c r="U1582" s="165"/>
      <c r="V1582" s="165"/>
      <c r="W1582" s="165"/>
      <c r="X1582" s="165"/>
    </row>
    <row r="1583" ht="18.75" customHeight="1">
      <c r="A1583" s="165">
        <v>1580.0</v>
      </c>
      <c r="B1583" s="167" t="s">
        <v>17042</v>
      </c>
      <c r="C1583" s="165"/>
      <c r="D1583" s="165"/>
      <c r="E1583" s="165"/>
      <c r="F1583" s="165"/>
      <c r="G1583" s="165"/>
      <c r="H1583" s="165"/>
      <c r="I1583" s="165"/>
      <c r="J1583" s="165"/>
      <c r="K1583" s="165"/>
      <c r="L1583" s="165"/>
      <c r="M1583" s="165"/>
      <c r="N1583" s="165"/>
      <c r="O1583" s="165"/>
      <c r="P1583" s="165"/>
      <c r="Q1583" s="165"/>
      <c r="R1583" s="165"/>
      <c r="S1583" s="165"/>
      <c r="T1583" s="165"/>
      <c r="U1583" s="165"/>
      <c r="V1583" s="165"/>
      <c r="W1583" s="165"/>
      <c r="X1583" s="165"/>
    </row>
    <row r="1584" ht="18.75" customHeight="1">
      <c r="A1584" s="165">
        <v>1581.0</v>
      </c>
      <c r="B1584" s="165" t="s">
        <v>17043</v>
      </c>
      <c r="C1584" s="165"/>
      <c r="D1584" s="165"/>
      <c r="E1584" s="165"/>
      <c r="F1584" s="165"/>
      <c r="G1584" s="165"/>
      <c r="H1584" s="165"/>
      <c r="I1584" s="165"/>
      <c r="J1584" s="165"/>
      <c r="K1584" s="165"/>
      <c r="L1584" s="165"/>
      <c r="M1584" s="165"/>
      <c r="N1584" s="165"/>
      <c r="O1584" s="165"/>
      <c r="P1584" s="165"/>
      <c r="Q1584" s="165"/>
      <c r="R1584" s="165"/>
      <c r="S1584" s="165"/>
      <c r="T1584" s="165"/>
      <c r="U1584" s="165"/>
      <c r="V1584" s="165"/>
      <c r="W1584" s="165"/>
      <c r="X1584" s="165"/>
    </row>
    <row r="1585" ht="18.75" customHeight="1">
      <c r="A1585" s="165">
        <v>1582.0</v>
      </c>
      <c r="B1585" s="165" t="s">
        <v>17044</v>
      </c>
      <c r="C1585" s="165"/>
      <c r="D1585" s="165"/>
      <c r="E1585" s="165"/>
      <c r="F1585" s="165"/>
      <c r="G1585" s="165"/>
      <c r="H1585" s="165"/>
      <c r="I1585" s="165"/>
      <c r="J1585" s="165"/>
      <c r="K1585" s="165"/>
      <c r="L1585" s="165"/>
      <c r="M1585" s="165"/>
      <c r="N1585" s="165"/>
      <c r="O1585" s="165"/>
      <c r="P1585" s="165"/>
      <c r="Q1585" s="165"/>
      <c r="R1585" s="165"/>
      <c r="S1585" s="165"/>
      <c r="T1585" s="165"/>
      <c r="U1585" s="165"/>
      <c r="V1585" s="165"/>
      <c r="W1585" s="165"/>
      <c r="X1585" s="165"/>
    </row>
    <row r="1586" ht="18.75" customHeight="1">
      <c r="A1586" s="165">
        <v>1583.0</v>
      </c>
      <c r="B1586" s="167" t="s">
        <v>17045</v>
      </c>
      <c r="C1586" s="165"/>
      <c r="D1586" s="165"/>
      <c r="E1586" s="165"/>
      <c r="F1586" s="165"/>
      <c r="G1586" s="165"/>
      <c r="H1586" s="165"/>
      <c r="I1586" s="165"/>
      <c r="J1586" s="165"/>
      <c r="K1586" s="165"/>
      <c r="L1586" s="165"/>
      <c r="M1586" s="165"/>
      <c r="N1586" s="165"/>
      <c r="O1586" s="165"/>
      <c r="P1586" s="165"/>
      <c r="Q1586" s="165"/>
      <c r="R1586" s="165"/>
      <c r="S1586" s="165"/>
      <c r="T1586" s="165"/>
      <c r="U1586" s="165"/>
      <c r="V1586" s="165"/>
      <c r="W1586" s="165"/>
      <c r="X1586" s="165"/>
    </row>
    <row r="1587" ht="18.75" customHeight="1">
      <c r="A1587" s="165">
        <v>1584.0</v>
      </c>
      <c r="B1587" s="167" t="s">
        <v>17046</v>
      </c>
      <c r="C1587" s="165"/>
      <c r="D1587" s="165"/>
      <c r="E1587" s="165"/>
      <c r="F1587" s="165"/>
      <c r="G1587" s="165"/>
      <c r="H1587" s="165"/>
      <c r="I1587" s="165"/>
      <c r="J1587" s="165"/>
      <c r="K1587" s="165"/>
      <c r="L1587" s="165"/>
      <c r="M1587" s="165"/>
      <c r="N1587" s="165"/>
      <c r="O1587" s="165"/>
      <c r="P1587" s="165"/>
      <c r="Q1587" s="165"/>
      <c r="R1587" s="165"/>
      <c r="S1587" s="165"/>
      <c r="T1587" s="165"/>
      <c r="U1587" s="165"/>
      <c r="V1587" s="165"/>
      <c r="W1587" s="165"/>
      <c r="X1587" s="165"/>
    </row>
    <row r="1588" ht="18.75" customHeight="1">
      <c r="A1588" s="165">
        <v>1585.0</v>
      </c>
      <c r="B1588" s="165" t="s">
        <v>17047</v>
      </c>
      <c r="C1588" s="165"/>
      <c r="D1588" s="165"/>
      <c r="E1588" s="165"/>
      <c r="F1588" s="165"/>
      <c r="G1588" s="165"/>
      <c r="H1588" s="165"/>
      <c r="I1588" s="165"/>
      <c r="J1588" s="165"/>
      <c r="K1588" s="165"/>
      <c r="L1588" s="165"/>
      <c r="M1588" s="165"/>
      <c r="N1588" s="165"/>
      <c r="O1588" s="165"/>
      <c r="P1588" s="165"/>
      <c r="Q1588" s="165"/>
      <c r="R1588" s="165"/>
      <c r="S1588" s="165"/>
      <c r="T1588" s="165"/>
      <c r="U1588" s="165"/>
      <c r="V1588" s="165"/>
      <c r="W1588" s="165"/>
      <c r="X1588" s="165"/>
    </row>
    <row r="1589" ht="18.75" customHeight="1">
      <c r="A1589" s="165">
        <v>1586.0</v>
      </c>
      <c r="B1589" s="165" t="s">
        <v>17048</v>
      </c>
      <c r="C1589" s="165"/>
      <c r="D1589" s="165"/>
      <c r="E1589" s="165"/>
      <c r="F1589" s="165"/>
      <c r="G1589" s="165"/>
      <c r="H1589" s="165"/>
      <c r="I1589" s="165"/>
      <c r="J1589" s="165"/>
      <c r="K1589" s="165"/>
      <c r="L1589" s="165"/>
      <c r="M1589" s="165"/>
      <c r="N1589" s="165"/>
      <c r="O1589" s="165"/>
      <c r="P1589" s="165"/>
      <c r="Q1589" s="165"/>
      <c r="R1589" s="165"/>
      <c r="S1589" s="165"/>
      <c r="T1589" s="165"/>
      <c r="U1589" s="165"/>
      <c r="V1589" s="165"/>
      <c r="W1589" s="165"/>
      <c r="X1589" s="165"/>
    </row>
    <row r="1590" ht="18.75" customHeight="1">
      <c r="A1590" s="165">
        <v>1587.0</v>
      </c>
      <c r="B1590" s="165" t="s">
        <v>17049</v>
      </c>
      <c r="C1590" s="165"/>
      <c r="D1590" s="165"/>
      <c r="E1590" s="165"/>
      <c r="F1590" s="165"/>
      <c r="G1590" s="165"/>
      <c r="H1590" s="165"/>
      <c r="I1590" s="165"/>
      <c r="J1590" s="165"/>
      <c r="K1590" s="165"/>
      <c r="L1590" s="165"/>
      <c r="M1590" s="165"/>
      <c r="N1590" s="165"/>
      <c r="O1590" s="165"/>
      <c r="P1590" s="165"/>
      <c r="Q1590" s="165"/>
      <c r="R1590" s="165"/>
      <c r="S1590" s="165"/>
      <c r="T1590" s="165"/>
      <c r="U1590" s="165"/>
      <c r="V1590" s="165"/>
      <c r="W1590" s="165"/>
      <c r="X1590" s="165"/>
    </row>
    <row r="1591" ht="18.75" customHeight="1">
      <c r="A1591" s="165">
        <v>1588.0</v>
      </c>
      <c r="B1591" s="165" t="s">
        <v>17050</v>
      </c>
      <c r="C1591" s="165"/>
      <c r="D1591" s="165"/>
      <c r="E1591" s="165"/>
      <c r="F1591" s="165"/>
      <c r="G1591" s="165"/>
      <c r="H1591" s="165"/>
      <c r="I1591" s="165"/>
      <c r="J1591" s="165"/>
      <c r="K1591" s="165"/>
      <c r="L1591" s="165"/>
      <c r="M1591" s="165"/>
      <c r="N1591" s="165"/>
      <c r="O1591" s="165"/>
      <c r="P1591" s="165"/>
      <c r="Q1591" s="165"/>
      <c r="R1591" s="165"/>
      <c r="S1591" s="165"/>
      <c r="T1591" s="165"/>
      <c r="U1591" s="165"/>
      <c r="V1591" s="165"/>
      <c r="W1591" s="165"/>
      <c r="X1591" s="165"/>
    </row>
    <row r="1592" ht="18.75" customHeight="1">
      <c r="A1592" s="165">
        <v>1589.0</v>
      </c>
      <c r="B1592" s="165" t="s">
        <v>17051</v>
      </c>
      <c r="C1592" s="165"/>
      <c r="D1592" s="165"/>
      <c r="E1592" s="165"/>
      <c r="F1592" s="165"/>
      <c r="G1592" s="165"/>
      <c r="H1592" s="165"/>
      <c r="I1592" s="165"/>
      <c r="J1592" s="165"/>
      <c r="K1592" s="165"/>
      <c r="L1592" s="165"/>
      <c r="M1592" s="165"/>
      <c r="N1592" s="165"/>
      <c r="O1592" s="165"/>
      <c r="P1592" s="165"/>
      <c r="Q1592" s="165"/>
      <c r="R1592" s="165"/>
      <c r="S1592" s="165"/>
      <c r="T1592" s="165"/>
      <c r="U1592" s="165"/>
      <c r="V1592" s="165"/>
      <c r="W1592" s="165"/>
      <c r="X1592" s="165"/>
    </row>
    <row r="1593" ht="18.75" customHeight="1">
      <c r="A1593" s="165">
        <v>1590.0</v>
      </c>
      <c r="B1593" s="165" t="s">
        <v>16850</v>
      </c>
      <c r="C1593" s="165"/>
      <c r="D1593" s="165"/>
      <c r="E1593" s="165"/>
      <c r="F1593" s="165"/>
      <c r="G1593" s="165"/>
      <c r="H1593" s="165"/>
      <c r="I1593" s="165"/>
      <c r="J1593" s="165"/>
      <c r="K1593" s="165"/>
      <c r="L1593" s="165"/>
      <c r="M1593" s="165"/>
      <c r="N1593" s="165"/>
      <c r="O1593" s="165"/>
      <c r="P1593" s="165"/>
      <c r="Q1593" s="165"/>
      <c r="R1593" s="165"/>
      <c r="S1593" s="165"/>
      <c r="T1593" s="165"/>
      <c r="U1593" s="165"/>
      <c r="V1593" s="165"/>
      <c r="W1593" s="165"/>
      <c r="X1593" s="165"/>
    </row>
    <row r="1594" ht="18.75" customHeight="1">
      <c r="A1594" s="165">
        <v>1591.0</v>
      </c>
      <c r="B1594" s="165" t="s">
        <v>17052</v>
      </c>
      <c r="C1594" s="165"/>
      <c r="D1594" s="165"/>
      <c r="E1594" s="165"/>
      <c r="F1594" s="165"/>
      <c r="G1594" s="165"/>
      <c r="H1594" s="165"/>
      <c r="I1594" s="165"/>
      <c r="J1594" s="165"/>
      <c r="K1594" s="165"/>
      <c r="L1594" s="165"/>
      <c r="M1594" s="165"/>
      <c r="N1594" s="165"/>
      <c r="O1594" s="165"/>
      <c r="P1594" s="165"/>
      <c r="Q1594" s="165"/>
      <c r="R1594" s="165"/>
      <c r="S1594" s="165"/>
      <c r="T1594" s="165"/>
      <c r="U1594" s="165"/>
      <c r="V1594" s="165"/>
      <c r="W1594" s="165"/>
      <c r="X1594" s="165"/>
    </row>
    <row r="1595" ht="18.75" customHeight="1">
      <c r="A1595" s="165">
        <v>1592.0</v>
      </c>
      <c r="B1595" s="165" t="s">
        <v>17053</v>
      </c>
      <c r="C1595" s="165"/>
      <c r="D1595" s="165"/>
      <c r="E1595" s="165"/>
      <c r="F1595" s="165"/>
      <c r="G1595" s="165"/>
      <c r="H1595" s="165"/>
      <c r="I1595" s="165"/>
      <c r="J1595" s="165"/>
      <c r="K1595" s="165"/>
      <c r="L1595" s="165"/>
      <c r="M1595" s="165"/>
      <c r="N1595" s="165"/>
      <c r="O1595" s="165"/>
      <c r="P1595" s="165"/>
      <c r="Q1595" s="165"/>
      <c r="R1595" s="165"/>
      <c r="S1595" s="165"/>
      <c r="T1595" s="165"/>
      <c r="U1595" s="165"/>
      <c r="V1595" s="165"/>
      <c r="W1595" s="165"/>
      <c r="X1595" s="165"/>
    </row>
    <row r="1596" ht="18.75" customHeight="1">
      <c r="A1596" s="165">
        <v>1593.0</v>
      </c>
      <c r="B1596" s="165" t="s">
        <v>17054</v>
      </c>
      <c r="C1596" s="165"/>
      <c r="D1596" s="165"/>
      <c r="E1596" s="165"/>
      <c r="F1596" s="165"/>
      <c r="G1596" s="165"/>
      <c r="H1596" s="165"/>
      <c r="I1596" s="165"/>
      <c r="J1596" s="165"/>
      <c r="K1596" s="165"/>
      <c r="L1596" s="165"/>
      <c r="M1596" s="165"/>
      <c r="N1596" s="165"/>
      <c r="O1596" s="165"/>
      <c r="P1596" s="165"/>
      <c r="Q1596" s="165"/>
      <c r="R1596" s="165"/>
      <c r="S1596" s="165"/>
      <c r="T1596" s="165"/>
      <c r="U1596" s="165"/>
      <c r="V1596" s="165"/>
      <c r="W1596" s="165"/>
      <c r="X1596" s="165"/>
    </row>
    <row r="1597" ht="18.75" customHeight="1">
      <c r="A1597" s="165">
        <v>1594.0</v>
      </c>
      <c r="B1597" s="167" t="s">
        <v>17055</v>
      </c>
      <c r="C1597" s="165"/>
      <c r="D1597" s="165"/>
      <c r="E1597" s="165"/>
      <c r="F1597" s="165"/>
      <c r="G1597" s="165"/>
      <c r="H1597" s="165"/>
      <c r="I1597" s="165"/>
      <c r="J1597" s="165"/>
      <c r="K1597" s="165"/>
      <c r="L1597" s="165"/>
      <c r="M1597" s="165"/>
      <c r="N1597" s="165"/>
      <c r="O1597" s="165"/>
      <c r="P1597" s="165"/>
      <c r="Q1597" s="165"/>
      <c r="R1597" s="165"/>
      <c r="S1597" s="165"/>
      <c r="T1597" s="165"/>
      <c r="U1597" s="165"/>
      <c r="V1597" s="165"/>
      <c r="W1597" s="165"/>
      <c r="X1597" s="165"/>
    </row>
    <row r="1598" ht="18.75" customHeight="1">
      <c r="A1598" s="165">
        <v>1595.0</v>
      </c>
      <c r="B1598" s="165" t="s">
        <v>17056</v>
      </c>
      <c r="C1598" s="165"/>
      <c r="D1598" s="165"/>
      <c r="E1598" s="165"/>
      <c r="F1598" s="165"/>
      <c r="G1598" s="165"/>
      <c r="H1598" s="165"/>
      <c r="I1598" s="165"/>
      <c r="J1598" s="165"/>
      <c r="K1598" s="165"/>
      <c r="L1598" s="165"/>
      <c r="M1598" s="165"/>
      <c r="N1598" s="165"/>
      <c r="O1598" s="165"/>
      <c r="P1598" s="165"/>
      <c r="Q1598" s="165"/>
      <c r="R1598" s="165"/>
      <c r="S1598" s="165"/>
      <c r="T1598" s="165"/>
      <c r="U1598" s="165"/>
      <c r="V1598" s="165"/>
      <c r="W1598" s="165"/>
      <c r="X1598" s="165"/>
    </row>
    <row r="1599" ht="18.75" customHeight="1">
      <c r="A1599" s="165">
        <v>1596.0</v>
      </c>
      <c r="B1599" s="167" t="s">
        <v>17057</v>
      </c>
      <c r="C1599" s="165"/>
      <c r="D1599" s="165"/>
      <c r="E1599" s="165"/>
      <c r="F1599" s="165"/>
      <c r="G1599" s="165"/>
      <c r="H1599" s="165"/>
      <c r="I1599" s="165"/>
      <c r="J1599" s="165"/>
      <c r="K1599" s="165"/>
      <c r="L1599" s="165"/>
      <c r="M1599" s="165"/>
      <c r="N1599" s="165"/>
      <c r="O1599" s="165"/>
      <c r="P1599" s="165"/>
      <c r="Q1599" s="165"/>
      <c r="R1599" s="165"/>
      <c r="S1599" s="165"/>
      <c r="T1599" s="165"/>
      <c r="U1599" s="165"/>
      <c r="V1599" s="165"/>
      <c r="W1599" s="165"/>
      <c r="X1599" s="165"/>
    </row>
    <row r="1600" ht="18.75" customHeight="1">
      <c r="A1600" s="165">
        <v>1597.0</v>
      </c>
      <c r="B1600" s="167" t="s">
        <v>17056</v>
      </c>
      <c r="C1600" s="165"/>
      <c r="D1600" s="165"/>
      <c r="E1600" s="165"/>
      <c r="F1600" s="165"/>
      <c r="G1600" s="165"/>
      <c r="H1600" s="165"/>
      <c r="I1600" s="165"/>
      <c r="J1600" s="165"/>
      <c r="K1600" s="165"/>
      <c r="L1600" s="165"/>
      <c r="M1600" s="165"/>
      <c r="N1600" s="165"/>
      <c r="O1600" s="165"/>
      <c r="P1600" s="165"/>
      <c r="Q1600" s="165"/>
      <c r="R1600" s="165"/>
      <c r="S1600" s="165"/>
      <c r="T1600" s="165"/>
      <c r="U1600" s="165"/>
      <c r="V1600" s="165"/>
      <c r="W1600" s="165"/>
      <c r="X1600" s="165"/>
    </row>
    <row r="1601" ht="18.75" customHeight="1">
      <c r="A1601" s="165">
        <v>1598.0</v>
      </c>
      <c r="B1601" s="165" t="s">
        <v>17058</v>
      </c>
      <c r="C1601" s="165"/>
      <c r="D1601" s="165"/>
      <c r="E1601" s="165"/>
      <c r="F1601" s="165"/>
      <c r="G1601" s="165"/>
      <c r="H1601" s="165"/>
      <c r="I1601" s="165"/>
      <c r="J1601" s="165"/>
      <c r="K1601" s="165"/>
      <c r="L1601" s="165"/>
      <c r="M1601" s="165"/>
      <c r="N1601" s="165"/>
      <c r="O1601" s="165"/>
      <c r="P1601" s="165"/>
      <c r="Q1601" s="165"/>
      <c r="R1601" s="165"/>
      <c r="S1601" s="165"/>
      <c r="T1601" s="165"/>
      <c r="U1601" s="165"/>
      <c r="V1601" s="165"/>
      <c r="W1601" s="165"/>
      <c r="X1601" s="165"/>
    </row>
    <row r="1602" ht="18.75" customHeight="1">
      <c r="A1602" s="165">
        <v>1599.0</v>
      </c>
      <c r="B1602" s="165" t="s">
        <v>17059</v>
      </c>
      <c r="C1602" s="165"/>
      <c r="D1602" s="165"/>
      <c r="E1602" s="165"/>
      <c r="F1602" s="165"/>
      <c r="G1602" s="165"/>
      <c r="H1602" s="165"/>
      <c r="I1602" s="165"/>
      <c r="J1602" s="165"/>
      <c r="K1602" s="165"/>
      <c r="L1602" s="165"/>
      <c r="M1602" s="165"/>
      <c r="N1602" s="165"/>
      <c r="O1602" s="165"/>
      <c r="P1602" s="165"/>
      <c r="Q1602" s="165"/>
      <c r="R1602" s="165"/>
      <c r="S1602" s="165"/>
      <c r="T1602" s="165"/>
      <c r="U1602" s="165"/>
      <c r="V1602" s="165"/>
      <c r="W1602" s="165"/>
      <c r="X1602" s="165"/>
    </row>
    <row r="1603" ht="18.75" customHeight="1">
      <c r="A1603" s="165">
        <v>1600.0</v>
      </c>
      <c r="B1603" s="165" t="s">
        <v>17060</v>
      </c>
      <c r="C1603" s="165"/>
      <c r="D1603" s="165"/>
      <c r="E1603" s="165"/>
      <c r="F1603" s="165"/>
      <c r="G1603" s="165"/>
      <c r="H1603" s="165"/>
      <c r="I1603" s="165"/>
      <c r="J1603" s="165"/>
      <c r="K1603" s="165"/>
      <c r="L1603" s="165"/>
      <c r="M1603" s="165"/>
      <c r="N1603" s="165"/>
      <c r="O1603" s="165"/>
      <c r="P1603" s="165"/>
      <c r="Q1603" s="165"/>
      <c r="R1603" s="165"/>
      <c r="S1603" s="165"/>
      <c r="T1603" s="165"/>
      <c r="U1603" s="165"/>
      <c r="V1603" s="165"/>
      <c r="W1603" s="165"/>
      <c r="X1603" s="165"/>
    </row>
    <row r="1604" ht="18.75" customHeight="1">
      <c r="A1604" s="165">
        <v>1601.0</v>
      </c>
      <c r="B1604" s="165" t="s">
        <v>17061</v>
      </c>
      <c r="C1604" s="165"/>
      <c r="D1604" s="165"/>
      <c r="E1604" s="165"/>
      <c r="F1604" s="165"/>
      <c r="G1604" s="165"/>
      <c r="H1604" s="165"/>
      <c r="I1604" s="165"/>
      <c r="J1604" s="165"/>
      <c r="K1604" s="165"/>
      <c r="L1604" s="165"/>
      <c r="M1604" s="165"/>
      <c r="N1604" s="165"/>
      <c r="O1604" s="165"/>
      <c r="P1604" s="165"/>
      <c r="Q1604" s="165"/>
      <c r="R1604" s="165"/>
      <c r="S1604" s="165"/>
      <c r="T1604" s="165"/>
      <c r="U1604" s="165"/>
      <c r="V1604" s="165"/>
      <c r="W1604" s="165"/>
      <c r="X1604" s="165"/>
    </row>
    <row r="1605" ht="18.75" customHeight="1">
      <c r="A1605" s="165">
        <v>1602.0</v>
      </c>
      <c r="B1605" s="167" t="s">
        <v>17062</v>
      </c>
      <c r="C1605" s="165"/>
      <c r="D1605" s="165"/>
      <c r="E1605" s="165"/>
      <c r="F1605" s="165"/>
      <c r="G1605" s="165"/>
      <c r="H1605" s="165"/>
      <c r="I1605" s="165"/>
      <c r="J1605" s="165"/>
      <c r="K1605" s="165"/>
      <c r="L1605" s="165"/>
      <c r="M1605" s="165"/>
      <c r="N1605" s="165"/>
      <c r="O1605" s="165"/>
      <c r="P1605" s="165"/>
      <c r="Q1605" s="165"/>
      <c r="R1605" s="165"/>
      <c r="S1605" s="165"/>
      <c r="T1605" s="165"/>
      <c r="U1605" s="165"/>
      <c r="V1605" s="165"/>
      <c r="W1605" s="165"/>
      <c r="X1605" s="165"/>
    </row>
    <row r="1606" ht="18.75" customHeight="1">
      <c r="A1606" s="165">
        <v>1603.0</v>
      </c>
      <c r="B1606" s="167" t="s">
        <v>17063</v>
      </c>
      <c r="C1606" s="165"/>
      <c r="D1606" s="165"/>
      <c r="E1606" s="165"/>
      <c r="F1606" s="165"/>
      <c r="G1606" s="165"/>
      <c r="H1606" s="165"/>
      <c r="I1606" s="165"/>
      <c r="J1606" s="165"/>
      <c r="K1606" s="165"/>
      <c r="L1606" s="165"/>
      <c r="M1606" s="165"/>
      <c r="N1606" s="165"/>
      <c r="O1606" s="165"/>
      <c r="P1606" s="165"/>
      <c r="Q1606" s="165"/>
      <c r="R1606" s="165"/>
      <c r="S1606" s="165"/>
      <c r="T1606" s="165"/>
      <c r="U1606" s="165"/>
      <c r="V1606" s="165"/>
      <c r="W1606" s="165"/>
      <c r="X1606" s="165"/>
    </row>
    <row r="1607" ht="18.75" customHeight="1">
      <c r="A1607" s="165">
        <v>1604.0</v>
      </c>
      <c r="B1607" s="167" t="s">
        <v>17064</v>
      </c>
      <c r="C1607" s="165"/>
      <c r="D1607" s="165"/>
      <c r="E1607" s="165"/>
      <c r="F1607" s="165"/>
      <c r="G1607" s="165"/>
      <c r="H1607" s="165"/>
      <c r="I1607" s="165"/>
      <c r="J1607" s="165"/>
      <c r="K1607" s="165"/>
      <c r="L1607" s="165"/>
      <c r="M1607" s="165"/>
      <c r="N1607" s="165"/>
      <c r="O1607" s="165"/>
      <c r="P1607" s="165"/>
      <c r="Q1607" s="165"/>
      <c r="R1607" s="165"/>
      <c r="S1607" s="165"/>
      <c r="T1607" s="165"/>
      <c r="U1607" s="165"/>
      <c r="V1607" s="165"/>
      <c r="W1607" s="165"/>
      <c r="X1607" s="165"/>
    </row>
    <row r="1608" ht="18.75" customHeight="1">
      <c r="A1608" s="165">
        <v>1605.0</v>
      </c>
      <c r="B1608" s="165" t="s">
        <v>17065</v>
      </c>
      <c r="C1608" s="165"/>
      <c r="D1608" s="165"/>
      <c r="E1608" s="165"/>
      <c r="F1608" s="165"/>
      <c r="G1608" s="165"/>
      <c r="H1608" s="165"/>
      <c r="I1608" s="165"/>
      <c r="J1608" s="165"/>
      <c r="K1608" s="165"/>
      <c r="L1608" s="165"/>
      <c r="M1608" s="165"/>
      <c r="N1608" s="165"/>
      <c r="O1608" s="165"/>
      <c r="P1608" s="165"/>
      <c r="Q1608" s="165"/>
      <c r="R1608" s="165"/>
      <c r="S1608" s="165"/>
      <c r="T1608" s="165"/>
      <c r="U1608" s="165"/>
      <c r="V1608" s="165"/>
      <c r="W1608" s="165"/>
      <c r="X1608" s="165"/>
    </row>
    <row r="1609" ht="18.75" customHeight="1">
      <c r="A1609" s="165">
        <v>1606.0</v>
      </c>
      <c r="B1609" s="167" t="s">
        <v>17066</v>
      </c>
      <c r="C1609" s="165"/>
      <c r="D1609" s="165"/>
      <c r="E1609" s="165"/>
      <c r="F1609" s="165"/>
      <c r="G1609" s="165"/>
      <c r="H1609" s="165"/>
      <c r="I1609" s="165"/>
      <c r="J1609" s="165"/>
      <c r="K1609" s="165"/>
      <c r="L1609" s="165"/>
      <c r="M1609" s="165"/>
      <c r="N1609" s="165"/>
      <c r="O1609" s="165"/>
      <c r="P1609" s="165"/>
      <c r="Q1609" s="165"/>
      <c r="R1609" s="165"/>
      <c r="S1609" s="165"/>
      <c r="T1609" s="165"/>
      <c r="U1609" s="165"/>
      <c r="V1609" s="165"/>
      <c r="W1609" s="165"/>
      <c r="X1609" s="165"/>
    </row>
    <row r="1610" ht="18.75" customHeight="1">
      <c r="A1610" s="165">
        <v>1607.0</v>
      </c>
      <c r="B1610" s="167" t="s">
        <v>17067</v>
      </c>
      <c r="C1610" s="165"/>
      <c r="D1610" s="165"/>
      <c r="E1610" s="165"/>
      <c r="F1610" s="165"/>
      <c r="G1610" s="165"/>
      <c r="H1610" s="165"/>
      <c r="I1610" s="165"/>
      <c r="J1610" s="165"/>
      <c r="K1610" s="165"/>
      <c r="L1610" s="165"/>
      <c r="M1610" s="165"/>
      <c r="N1610" s="165"/>
      <c r="O1610" s="165"/>
      <c r="P1610" s="165"/>
      <c r="Q1610" s="165"/>
      <c r="R1610" s="165"/>
      <c r="S1610" s="165"/>
      <c r="T1610" s="165"/>
      <c r="U1610" s="165"/>
      <c r="V1610" s="165"/>
      <c r="W1610" s="165"/>
      <c r="X1610" s="165"/>
    </row>
    <row r="1611" ht="18.75" customHeight="1">
      <c r="A1611" s="165">
        <v>1608.0</v>
      </c>
      <c r="B1611" s="167" t="s">
        <v>17068</v>
      </c>
      <c r="C1611" s="165"/>
      <c r="D1611" s="165"/>
      <c r="E1611" s="165"/>
      <c r="F1611" s="165"/>
      <c r="G1611" s="165"/>
      <c r="H1611" s="165"/>
      <c r="I1611" s="165"/>
      <c r="J1611" s="165"/>
      <c r="K1611" s="165"/>
      <c r="L1611" s="165"/>
      <c r="M1611" s="165"/>
      <c r="N1611" s="165"/>
      <c r="O1611" s="165"/>
      <c r="P1611" s="165"/>
      <c r="Q1611" s="165"/>
      <c r="R1611" s="165"/>
      <c r="S1611" s="165"/>
      <c r="T1611" s="165"/>
      <c r="U1611" s="165"/>
      <c r="V1611" s="165"/>
      <c r="W1611" s="165"/>
      <c r="X1611" s="165"/>
    </row>
    <row r="1612" ht="18.75" customHeight="1">
      <c r="A1612" s="165">
        <v>1609.0</v>
      </c>
      <c r="B1612" s="167" t="s">
        <v>17069</v>
      </c>
      <c r="C1612" s="165"/>
      <c r="D1612" s="165"/>
      <c r="E1612" s="165"/>
      <c r="F1612" s="165"/>
      <c r="G1612" s="165"/>
      <c r="H1612" s="165"/>
      <c r="I1612" s="165"/>
      <c r="J1612" s="165"/>
      <c r="K1612" s="165"/>
      <c r="L1612" s="165"/>
      <c r="M1612" s="165"/>
      <c r="N1612" s="165"/>
      <c r="O1612" s="165"/>
      <c r="P1612" s="165"/>
      <c r="Q1612" s="165"/>
      <c r="R1612" s="165"/>
      <c r="S1612" s="165"/>
      <c r="T1612" s="165"/>
      <c r="U1612" s="165"/>
      <c r="V1612" s="165"/>
      <c r="W1612" s="165"/>
      <c r="X1612" s="165"/>
    </row>
    <row r="1613" ht="18.75" customHeight="1">
      <c r="A1613" s="165">
        <v>1610.0</v>
      </c>
      <c r="B1613" s="167" t="s">
        <v>17070</v>
      </c>
      <c r="C1613" s="165"/>
      <c r="D1613" s="165"/>
      <c r="E1613" s="165"/>
      <c r="F1613" s="165"/>
      <c r="G1613" s="165"/>
      <c r="H1613" s="165"/>
      <c r="I1613" s="165"/>
      <c r="J1613" s="165"/>
      <c r="K1613" s="165"/>
      <c r="L1613" s="165"/>
      <c r="M1613" s="165"/>
      <c r="N1613" s="165"/>
      <c r="O1613" s="165"/>
      <c r="P1613" s="165"/>
      <c r="Q1613" s="165"/>
      <c r="R1613" s="165"/>
      <c r="S1613" s="165"/>
      <c r="T1613" s="165"/>
      <c r="U1613" s="165"/>
      <c r="V1613" s="165"/>
      <c r="W1613" s="165"/>
      <c r="X1613" s="165"/>
    </row>
    <row r="1614" ht="18.75" customHeight="1">
      <c r="A1614" s="165">
        <v>1611.0</v>
      </c>
      <c r="B1614" s="167" t="s">
        <v>17071</v>
      </c>
      <c r="C1614" s="165"/>
      <c r="D1614" s="165"/>
      <c r="E1614" s="165"/>
      <c r="F1614" s="165"/>
      <c r="G1614" s="165"/>
      <c r="H1614" s="165"/>
      <c r="I1614" s="165"/>
      <c r="J1614" s="165"/>
      <c r="K1614" s="165"/>
      <c r="L1614" s="165"/>
      <c r="M1614" s="165"/>
      <c r="N1614" s="165"/>
      <c r="O1614" s="165"/>
      <c r="P1614" s="165"/>
      <c r="Q1614" s="165"/>
      <c r="R1614" s="165"/>
      <c r="S1614" s="165"/>
      <c r="T1614" s="165"/>
      <c r="U1614" s="165"/>
      <c r="V1614" s="165"/>
      <c r="W1614" s="165"/>
      <c r="X1614" s="165"/>
    </row>
    <row r="1615" ht="18.75" customHeight="1">
      <c r="A1615" s="165">
        <v>1612.0</v>
      </c>
      <c r="B1615" s="167" t="s">
        <v>17072</v>
      </c>
      <c r="C1615" s="165"/>
      <c r="D1615" s="165"/>
      <c r="E1615" s="165"/>
      <c r="F1615" s="165"/>
      <c r="G1615" s="165"/>
      <c r="H1615" s="165"/>
      <c r="I1615" s="165"/>
      <c r="J1615" s="165"/>
      <c r="K1615" s="165"/>
      <c r="L1615" s="165"/>
      <c r="M1615" s="165"/>
      <c r="N1615" s="165"/>
      <c r="O1615" s="165"/>
      <c r="P1615" s="165"/>
      <c r="Q1615" s="165"/>
      <c r="R1615" s="165"/>
      <c r="S1615" s="165"/>
      <c r="T1615" s="165"/>
      <c r="U1615" s="165"/>
      <c r="V1615" s="165"/>
      <c r="W1615" s="165"/>
      <c r="X1615" s="165"/>
    </row>
    <row r="1616" ht="18.75" customHeight="1">
      <c r="A1616" s="165">
        <v>1613.0</v>
      </c>
      <c r="B1616" s="167" t="s">
        <v>16787</v>
      </c>
      <c r="C1616" s="165"/>
      <c r="D1616" s="165"/>
      <c r="E1616" s="165"/>
      <c r="F1616" s="165"/>
      <c r="G1616" s="165"/>
      <c r="H1616" s="165"/>
      <c r="I1616" s="165"/>
      <c r="J1616" s="165"/>
      <c r="K1616" s="165"/>
      <c r="L1616" s="165"/>
      <c r="M1616" s="165"/>
      <c r="N1616" s="165"/>
      <c r="O1616" s="165"/>
      <c r="P1616" s="165"/>
      <c r="Q1616" s="165"/>
      <c r="R1616" s="165"/>
      <c r="S1616" s="165"/>
      <c r="T1616" s="165"/>
      <c r="U1616" s="165"/>
      <c r="V1616" s="165"/>
      <c r="W1616" s="165"/>
      <c r="X1616" s="165"/>
    </row>
    <row r="1617" ht="18.75" customHeight="1">
      <c r="A1617" s="165">
        <v>1614.0</v>
      </c>
      <c r="B1617" s="167" t="s">
        <v>17073</v>
      </c>
      <c r="C1617" s="165"/>
      <c r="D1617" s="165"/>
      <c r="E1617" s="165"/>
      <c r="F1617" s="165"/>
      <c r="G1617" s="165"/>
      <c r="H1617" s="165"/>
      <c r="I1617" s="165"/>
      <c r="J1617" s="165"/>
      <c r="K1617" s="165"/>
      <c r="L1617" s="165"/>
      <c r="M1617" s="165"/>
      <c r="N1617" s="165"/>
      <c r="O1617" s="165"/>
      <c r="P1617" s="165"/>
      <c r="Q1617" s="165"/>
      <c r="R1617" s="165"/>
      <c r="S1617" s="165"/>
      <c r="T1617" s="165"/>
      <c r="U1617" s="165"/>
      <c r="V1617" s="165"/>
      <c r="W1617" s="165"/>
      <c r="X1617" s="165"/>
    </row>
    <row r="1618" ht="18.75" customHeight="1">
      <c r="A1618" s="165">
        <v>1615.0</v>
      </c>
      <c r="B1618" s="167" t="s">
        <v>17074</v>
      </c>
      <c r="C1618" s="165"/>
      <c r="D1618" s="165"/>
      <c r="E1618" s="165"/>
      <c r="F1618" s="165"/>
      <c r="G1618" s="165"/>
      <c r="H1618" s="165"/>
      <c r="I1618" s="165"/>
      <c r="J1618" s="165"/>
      <c r="K1618" s="165"/>
      <c r="L1618" s="165"/>
      <c r="M1618" s="165"/>
      <c r="N1618" s="165"/>
      <c r="O1618" s="165"/>
      <c r="P1618" s="165"/>
      <c r="Q1618" s="165"/>
      <c r="R1618" s="165"/>
      <c r="S1618" s="165"/>
      <c r="T1618" s="165"/>
      <c r="U1618" s="165"/>
      <c r="V1618" s="165"/>
      <c r="W1618" s="165"/>
      <c r="X1618" s="165"/>
    </row>
    <row r="1619" ht="18.75" customHeight="1">
      <c r="A1619" s="165">
        <v>1616.0</v>
      </c>
      <c r="B1619" s="167" t="s">
        <v>17075</v>
      </c>
      <c r="C1619" s="165"/>
      <c r="D1619" s="165"/>
      <c r="E1619" s="165"/>
      <c r="F1619" s="165"/>
      <c r="G1619" s="165"/>
      <c r="H1619" s="165"/>
      <c r="I1619" s="165"/>
      <c r="J1619" s="165"/>
      <c r="K1619" s="165"/>
      <c r="L1619" s="165"/>
      <c r="M1619" s="165"/>
      <c r="N1619" s="165"/>
      <c r="O1619" s="165"/>
      <c r="P1619" s="165"/>
      <c r="Q1619" s="165"/>
      <c r="R1619" s="165"/>
      <c r="S1619" s="165"/>
      <c r="T1619" s="165"/>
      <c r="U1619" s="165"/>
      <c r="V1619" s="165"/>
      <c r="W1619" s="165"/>
      <c r="X1619" s="165"/>
    </row>
    <row r="1620" ht="18.75" customHeight="1">
      <c r="A1620" s="165">
        <v>1617.0</v>
      </c>
      <c r="B1620" s="165" t="s">
        <v>17076</v>
      </c>
      <c r="C1620" s="165"/>
      <c r="D1620" s="165"/>
      <c r="E1620" s="165"/>
      <c r="F1620" s="165"/>
      <c r="G1620" s="165"/>
      <c r="H1620" s="165"/>
      <c r="I1620" s="165"/>
      <c r="J1620" s="165"/>
      <c r="K1620" s="165"/>
      <c r="L1620" s="165"/>
      <c r="M1620" s="165"/>
      <c r="N1620" s="165"/>
      <c r="O1620" s="165"/>
      <c r="P1620" s="165"/>
      <c r="Q1620" s="165"/>
      <c r="R1620" s="165"/>
      <c r="S1620" s="165"/>
      <c r="T1620" s="165"/>
      <c r="U1620" s="165"/>
      <c r="V1620" s="165"/>
      <c r="W1620" s="165"/>
      <c r="X1620" s="165"/>
    </row>
    <row r="1621" ht="18.75" customHeight="1">
      <c r="A1621" s="165">
        <v>1618.0</v>
      </c>
      <c r="B1621" s="167" t="s">
        <v>17077</v>
      </c>
      <c r="C1621" s="165"/>
      <c r="D1621" s="165"/>
      <c r="E1621" s="165"/>
      <c r="F1621" s="165"/>
      <c r="G1621" s="165"/>
      <c r="H1621" s="165"/>
      <c r="I1621" s="165"/>
      <c r="J1621" s="165"/>
      <c r="K1621" s="165"/>
      <c r="L1621" s="165"/>
      <c r="M1621" s="165"/>
      <c r="N1621" s="165"/>
      <c r="O1621" s="165"/>
      <c r="P1621" s="165"/>
      <c r="Q1621" s="165"/>
      <c r="R1621" s="165"/>
      <c r="S1621" s="165"/>
      <c r="T1621" s="165"/>
      <c r="U1621" s="165"/>
      <c r="V1621" s="165"/>
      <c r="W1621" s="165"/>
      <c r="X1621" s="165"/>
    </row>
    <row r="1622" ht="18.75" customHeight="1">
      <c r="A1622" s="165">
        <v>1619.0</v>
      </c>
      <c r="B1622" s="167" t="s">
        <v>17078</v>
      </c>
      <c r="C1622" s="165"/>
      <c r="D1622" s="165"/>
      <c r="E1622" s="165"/>
      <c r="F1622" s="165"/>
      <c r="G1622" s="165"/>
      <c r="H1622" s="165"/>
      <c r="I1622" s="165"/>
      <c r="J1622" s="165"/>
      <c r="K1622" s="165"/>
      <c r="L1622" s="165"/>
      <c r="M1622" s="165"/>
      <c r="N1622" s="165"/>
      <c r="O1622" s="165"/>
      <c r="P1622" s="165"/>
      <c r="Q1622" s="165"/>
      <c r="R1622" s="165"/>
      <c r="S1622" s="165"/>
      <c r="T1622" s="165"/>
      <c r="U1622" s="165"/>
      <c r="V1622" s="165"/>
      <c r="W1622" s="165"/>
      <c r="X1622" s="165"/>
    </row>
    <row r="1623" ht="18.75" customHeight="1">
      <c r="A1623" s="165">
        <v>1620.0</v>
      </c>
      <c r="B1623" s="167" t="s">
        <v>17079</v>
      </c>
      <c r="C1623" s="165"/>
      <c r="D1623" s="165"/>
      <c r="E1623" s="165"/>
      <c r="F1623" s="165"/>
      <c r="G1623" s="165"/>
      <c r="H1623" s="165"/>
      <c r="I1623" s="165"/>
      <c r="J1623" s="165"/>
      <c r="K1623" s="165"/>
      <c r="L1623" s="165"/>
      <c r="M1623" s="165"/>
      <c r="N1623" s="165"/>
      <c r="O1623" s="165"/>
      <c r="P1623" s="165"/>
      <c r="Q1623" s="165"/>
      <c r="R1623" s="165"/>
      <c r="S1623" s="165"/>
      <c r="T1623" s="165"/>
      <c r="U1623" s="165"/>
      <c r="V1623" s="165"/>
      <c r="W1623" s="165"/>
      <c r="X1623" s="165"/>
    </row>
    <row r="1624" ht="18.75" customHeight="1">
      <c r="A1624" s="165">
        <v>1621.0</v>
      </c>
      <c r="B1624" s="167" t="s">
        <v>17080</v>
      </c>
      <c r="C1624" s="165"/>
      <c r="D1624" s="165"/>
      <c r="E1624" s="165"/>
      <c r="F1624" s="165"/>
      <c r="G1624" s="165"/>
      <c r="H1624" s="165"/>
      <c r="I1624" s="165"/>
      <c r="J1624" s="165"/>
      <c r="K1624" s="165"/>
      <c r="L1624" s="165"/>
      <c r="M1624" s="165"/>
      <c r="N1624" s="165"/>
      <c r="O1624" s="165"/>
      <c r="P1624" s="165"/>
      <c r="Q1624" s="165"/>
      <c r="R1624" s="165"/>
      <c r="S1624" s="165"/>
      <c r="T1624" s="165"/>
      <c r="U1624" s="165"/>
      <c r="V1624" s="165"/>
      <c r="W1624" s="165"/>
      <c r="X1624" s="165"/>
    </row>
    <row r="1625" ht="18.75" customHeight="1">
      <c r="A1625" s="165">
        <v>1622.0</v>
      </c>
      <c r="B1625" s="167" t="s">
        <v>17081</v>
      </c>
      <c r="C1625" s="165"/>
      <c r="D1625" s="165"/>
      <c r="E1625" s="165"/>
      <c r="F1625" s="165"/>
      <c r="G1625" s="165"/>
      <c r="H1625" s="165"/>
      <c r="I1625" s="165"/>
      <c r="J1625" s="165"/>
      <c r="K1625" s="165"/>
      <c r="L1625" s="165"/>
      <c r="M1625" s="165"/>
      <c r="N1625" s="165"/>
      <c r="O1625" s="165"/>
      <c r="P1625" s="165"/>
      <c r="Q1625" s="165"/>
      <c r="R1625" s="165"/>
      <c r="S1625" s="165"/>
      <c r="T1625" s="165"/>
      <c r="U1625" s="165"/>
      <c r="V1625" s="165"/>
      <c r="W1625" s="165"/>
      <c r="X1625" s="165"/>
    </row>
    <row r="1626" ht="18.75" customHeight="1">
      <c r="A1626" s="165">
        <v>1623.0</v>
      </c>
      <c r="B1626" s="167" t="s">
        <v>17082</v>
      </c>
      <c r="C1626" s="165"/>
      <c r="D1626" s="165"/>
      <c r="E1626" s="165"/>
      <c r="F1626" s="165"/>
      <c r="G1626" s="165"/>
      <c r="H1626" s="165"/>
      <c r="I1626" s="165"/>
      <c r="J1626" s="165"/>
      <c r="K1626" s="165"/>
      <c r="L1626" s="165"/>
      <c r="M1626" s="165"/>
      <c r="N1626" s="165"/>
      <c r="O1626" s="165"/>
      <c r="P1626" s="165"/>
      <c r="Q1626" s="165"/>
      <c r="R1626" s="165"/>
      <c r="S1626" s="165"/>
      <c r="T1626" s="165"/>
      <c r="U1626" s="165"/>
      <c r="V1626" s="165"/>
      <c r="W1626" s="165"/>
      <c r="X1626" s="165"/>
    </row>
    <row r="1627" ht="18.75" customHeight="1">
      <c r="A1627" s="165">
        <v>1624.0</v>
      </c>
      <c r="B1627" s="168" t="s">
        <v>17083</v>
      </c>
      <c r="C1627" s="165"/>
      <c r="D1627" s="165"/>
      <c r="E1627" s="165"/>
      <c r="F1627" s="165"/>
      <c r="G1627" s="165"/>
      <c r="H1627" s="165"/>
      <c r="I1627" s="165"/>
      <c r="J1627" s="165"/>
      <c r="K1627" s="165"/>
      <c r="L1627" s="165"/>
      <c r="M1627" s="165"/>
      <c r="N1627" s="165"/>
      <c r="O1627" s="165"/>
      <c r="P1627" s="165"/>
      <c r="Q1627" s="165"/>
      <c r="R1627" s="165"/>
      <c r="S1627" s="165"/>
      <c r="T1627" s="165"/>
      <c r="U1627" s="165"/>
      <c r="V1627" s="165"/>
      <c r="W1627" s="165"/>
      <c r="X1627" s="165"/>
    </row>
    <row r="1628" ht="18.75" customHeight="1">
      <c r="A1628" s="165">
        <v>1625.0</v>
      </c>
      <c r="B1628" s="167" t="s">
        <v>17084</v>
      </c>
      <c r="C1628" s="165"/>
      <c r="D1628" s="165"/>
      <c r="E1628" s="165"/>
      <c r="F1628" s="165"/>
      <c r="G1628" s="165"/>
      <c r="H1628" s="165"/>
      <c r="I1628" s="165"/>
      <c r="J1628" s="165"/>
      <c r="K1628" s="165"/>
      <c r="L1628" s="165"/>
      <c r="M1628" s="165"/>
      <c r="N1628" s="165"/>
      <c r="O1628" s="165"/>
      <c r="P1628" s="165"/>
      <c r="Q1628" s="165"/>
      <c r="R1628" s="165"/>
      <c r="S1628" s="165"/>
      <c r="T1628" s="165"/>
      <c r="U1628" s="165"/>
      <c r="V1628" s="165"/>
      <c r="W1628" s="165"/>
      <c r="X1628" s="165"/>
    </row>
    <row r="1629" ht="18.75" customHeight="1">
      <c r="A1629" s="165">
        <v>1626.0</v>
      </c>
      <c r="B1629" s="167" t="s">
        <v>17085</v>
      </c>
      <c r="C1629" s="165"/>
      <c r="D1629" s="165"/>
      <c r="E1629" s="165"/>
      <c r="F1629" s="165"/>
      <c r="G1629" s="165"/>
      <c r="H1629" s="165"/>
      <c r="I1629" s="165"/>
      <c r="J1629" s="165"/>
      <c r="K1629" s="165"/>
      <c r="L1629" s="165"/>
      <c r="M1629" s="165"/>
      <c r="N1629" s="165"/>
      <c r="O1629" s="165"/>
      <c r="P1629" s="165"/>
      <c r="Q1629" s="165"/>
      <c r="R1629" s="165"/>
      <c r="S1629" s="165"/>
      <c r="T1629" s="165"/>
      <c r="U1629" s="165"/>
      <c r="V1629" s="165"/>
      <c r="W1629" s="165"/>
      <c r="X1629" s="165"/>
    </row>
    <row r="1630" ht="18.75" customHeight="1">
      <c r="A1630" s="165">
        <v>1627.0</v>
      </c>
      <c r="B1630" s="167" t="s">
        <v>17086</v>
      </c>
      <c r="C1630" s="165"/>
      <c r="D1630" s="165"/>
      <c r="E1630" s="165"/>
      <c r="F1630" s="165"/>
      <c r="G1630" s="165"/>
      <c r="H1630" s="165"/>
      <c r="I1630" s="165"/>
      <c r="J1630" s="165"/>
      <c r="K1630" s="165"/>
      <c r="L1630" s="165"/>
      <c r="M1630" s="165"/>
      <c r="N1630" s="165"/>
      <c r="O1630" s="165"/>
      <c r="P1630" s="165"/>
      <c r="Q1630" s="165"/>
      <c r="R1630" s="165"/>
      <c r="S1630" s="165"/>
      <c r="T1630" s="165"/>
      <c r="U1630" s="165"/>
      <c r="V1630" s="165"/>
      <c r="W1630" s="165"/>
      <c r="X1630" s="165"/>
    </row>
    <row r="1631" ht="18.75" customHeight="1">
      <c r="A1631" s="165">
        <v>1628.0</v>
      </c>
      <c r="B1631" s="167" t="s">
        <v>17087</v>
      </c>
      <c r="C1631" s="165"/>
      <c r="D1631" s="165"/>
      <c r="E1631" s="165"/>
      <c r="F1631" s="165"/>
      <c r="G1631" s="165"/>
      <c r="H1631" s="165"/>
      <c r="I1631" s="165"/>
      <c r="J1631" s="165"/>
      <c r="K1631" s="165"/>
      <c r="L1631" s="165"/>
      <c r="M1631" s="165"/>
      <c r="N1631" s="165"/>
      <c r="O1631" s="165"/>
      <c r="P1631" s="165"/>
      <c r="Q1631" s="165"/>
      <c r="R1631" s="165"/>
      <c r="S1631" s="165"/>
      <c r="T1631" s="165"/>
      <c r="U1631" s="165"/>
      <c r="V1631" s="165"/>
      <c r="W1631" s="165"/>
      <c r="X1631" s="165"/>
    </row>
    <row r="1632" ht="18.75" customHeight="1">
      <c r="A1632" s="165">
        <v>1629.0</v>
      </c>
      <c r="B1632" s="167" t="s">
        <v>17088</v>
      </c>
      <c r="C1632" s="165"/>
      <c r="D1632" s="165"/>
      <c r="E1632" s="165"/>
      <c r="F1632" s="165"/>
      <c r="G1632" s="165"/>
      <c r="H1632" s="165"/>
      <c r="I1632" s="165"/>
      <c r="J1632" s="165"/>
      <c r="K1632" s="165"/>
      <c r="L1632" s="165"/>
      <c r="M1632" s="165"/>
      <c r="N1632" s="165"/>
      <c r="O1632" s="165"/>
      <c r="P1632" s="165"/>
      <c r="Q1632" s="165"/>
      <c r="R1632" s="165"/>
      <c r="S1632" s="165"/>
      <c r="T1632" s="165"/>
      <c r="U1632" s="165"/>
      <c r="V1632" s="165"/>
      <c r="W1632" s="165"/>
      <c r="X1632" s="165"/>
    </row>
    <row r="1633" ht="18.75" customHeight="1">
      <c r="A1633" s="165">
        <v>1630.0</v>
      </c>
      <c r="B1633" s="167" t="s">
        <v>17089</v>
      </c>
      <c r="C1633" s="165"/>
      <c r="D1633" s="165"/>
      <c r="E1633" s="165"/>
      <c r="F1633" s="165"/>
      <c r="G1633" s="165"/>
      <c r="H1633" s="165"/>
      <c r="I1633" s="165"/>
      <c r="J1633" s="165"/>
      <c r="K1633" s="165"/>
      <c r="L1633" s="165"/>
      <c r="M1633" s="165"/>
      <c r="N1633" s="165"/>
      <c r="O1633" s="165"/>
      <c r="P1633" s="165"/>
      <c r="Q1633" s="165"/>
      <c r="R1633" s="165"/>
      <c r="S1633" s="165"/>
      <c r="T1633" s="165"/>
      <c r="U1633" s="165"/>
      <c r="V1633" s="165"/>
      <c r="W1633" s="165"/>
      <c r="X1633" s="165"/>
    </row>
    <row r="1634" ht="18.75" customHeight="1">
      <c r="A1634" s="165">
        <v>1631.0</v>
      </c>
      <c r="B1634" s="165" t="s">
        <v>17090</v>
      </c>
      <c r="C1634" s="165"/>
      <c r="D1634" s="165"/>
      <c r="E1634" s="165"/>
      <c r="F1634" s="165"/>
      <c r="G1634" s="165"/>
      <c r="H1634" s="165"/>
      <c r="I1634" s="165"/>
      <c r="J1634" s="165"/>
      <c r="K1634" s="165"/>
      <c r="L1634" s="165"/>
      <c r="M1634" s="165"/>
      <c r="N1634" s="165"/>
      <c r="O1634" s="165"/>
      <c r="P1634" s="165"/>
      <c r="Q1634" s="165"/>
      <c r="R1634" s="165"/>
      <c r="S1634" s="165"/>
      <c r="T1634" s="165"/>
      <c r="U1634" s="165"/>
      <c r="V1634" s="165"/>
      <c r="W1634" s="165"/>
      <c r="X1634" s="165"/>
    </row>
    <row r="1635" ht="18.75" customHeight="1">
      <c r="A1635" s="165">
        <v>1632.0</v>
      </c>
      <c r="B1635" s="167" t="s">
        <v>17091</v>
      </c>
      <c r="C1635" s="165"/>
      <c r="D1635" s="165"/>
      <c r="E1635" s="165"/>
      <c r="F1635" s="165"/>
      <c r="G1635" s="165"/>
      <c r="H1635" s="165"/>
      <c r="I1635" s="165"/>
      <c r="J1635" s="165"/>
      <c r="K1635" s="165"/>
      <c r="L1635" s="165"/>
      <c r="M1635" s="165"/>
      <c r="N1635" s="165"/>
      <c r="O1635" s="165"/>
      <c r="P1635" s="165"/>
      <c r="Q1635" s="165"/>
      <c r="R1635" s="165"/>
      <c r="S1635" s="165"/>
      <c r="T1635" s="165"/>
      <c r="U1635" s="165"/>
      <c r="V1635" s="165"/>
      <c r="W1635" s="165"/>
      <c r="X1635" s="165"/>
    </row>
    <row r="1636" ht="18.75" customHeight="1">
      <c r="A1636" s="165">
        <v>1633.0</v>
      </c>
      <c r="B1636" s="167" t="s">
        <v>17092</v>
      </c>
      <c r="C1636" s="165"/>
      <c r="D1636" s="165"/>
      <c r="E1636" s="165"/>
      <c r="F1636" s="165"/>
      <c r="G1636" s="165"/>
      <c r="H1636" s="165"/>
      <c r="I1636" s="165"/>
      <c r="J1636" s="165"/>
      <c r="K1636" s="165"/>
      <c r="L1636" s="165"/>
      <c r="M1636" s="165"/>
      <c r="N1636" s="165"/>
      <c r="O1636" s="165"/>
      <c r="P1636" s="165"/>
      <c r="Q1636" s="165"/>
      <c r="R1636" s="165"/>
      <c r="S1636" s="165"/>
      <c r="T1636" s="165"/>
      <c r="U1636" s="165"/>
      <c r="V1636" s="165"/>
      <c r="W1636" s="165"/>
      <c r="X1636" s="165"/>
    </row>
    <row r="1637" ht="18.75" customHeight="1">
      <c r="A1637" s="165">
        <v>1634.0</v>
      </c>
      <c r="B1637" s="167" t="s">
        <v>17093</v>
      </c>
      <c r="C1637" s="165"/>
      <c r="D1637" s="165"/>
      <c r="E1637" s="165"/>
      <c r="F1637" s="165"/>
      <c r="G1637" s="165"/>
      <c r="H1637" s="165"/>
      <c r="I1637" s="165"/>
      <c r="J1637" s="165"/>
      <c r="K1637" s="165"/>
      <c r="L1637" s="165"/>
      <c r="M1637" s="165"/>
      <c r="N1637" s="165"/>
      <c r="O1637" s="165"/>
      <c r="P1637" s="165"/>
      <c r="Q1637" s="165"/>
      <c r="R1637" s="165"/>
      <c r="S1637" s="165"/>
      <c r="T1637" s="165"/>
      <c r="U1637" s="165"/>
      <c r="V1637" s="165"/>
      <c r="W1637" s="165"/>
      <c r="X1637" s="165"/>
    </row>
    <row r="1638" ht="18.75" customHeight="1">
      <c r="A1638" s="165">
        <v>1635.0</v>
      </c>
      <c r="B1638" s="167" t="s">
        <v>17094</v>
      </c>
      <c r="C1638" s="165"/>
      <c r="D1638" s="165"/>
      <c r="E1638" s="165"/>
      <c r="F1638" s="165"/>
      <c r="G1638" s="165"/>
      <c r="H1638" s="165"/>
      <c r="I1638" s="165"/>
      <c r="J1638" s="165"/>
      <c r="K1638" s="165"/>
      <c r="L1638" s="165"/>
      <c r="M1638" s="165"/>
      <c r="N1638" s="165"/>
      <c r="O1638" s="165"/>
      <c r="P1638" s="165"/>
      <c r="Q1638" s="165"/>
      <c r="R1638" s="165"/>
      <c r="S1638" s="165"/>
      <c r="T1638" s="165"/>
      <c r="U1638" s="165"/>
      <c r="V1638" s="165"/>
      <c r="W1638" s="165"/>
      <c r="X1638" s="165"/>
    </row>
    <row r="1639" ht="18.75" customHeight="1">
      <c r="A1639" s="165">
        <v>1636.0</v>
      </c>
      <c r="B1639" s="167" t="s">
        <v>17095</v>
      </c>
      <c r="C1639" s="165"/>
      <c r="D1639" s="165"/>
      <c r="E1639" s="165"/>
      <c r="F1639" s="165"/>
      <c r="G1639" s="165"/>
      <c r="H1639" s="165"/>
      <c r="I1639" s="165"/>
      <c r="J1639" s="165"/>
      <c r="K1639" s="165"/>
      <c r="L1639" s="165"/>
      <c r="M1639" s="165"/>
      <c r="N1639" s="165"/>
      <c r="O1639" s="165"/>
      <c r="P1639" s="165"/>
      <c r="Q1639" s="165"/>
      <c r="R1639" s="165"/>
      <c r="S1639" s="165"/>
      <c r="T1639" s="165"/>
      <c r="U1639" s="165"/>
      <c r="V1639" s="165"/>
      <c r="W1639" s="165"/>
      <c r="X1639" s="165"/>
    </row>
    <row r="1640" ht="18.75" customHeight="1">
      <c r="A1640" s="165">
        <v>1637.0</v>
      </c>
      <c r="B1640" s="167" t="s">
        <v>17096</v>
      </c>
      <c r="C1640" s="165"/>
      <c r="D1640" s="165"/>
      <c r="E1640" s="165"/>
      <c r="F1640" s="165"/>
      <c r="G1640" s="165"/>
      <c r="H1640" s="165"/>
      <c r="I1640" s="165"/>
      <c r="J1640" s="165"/>
      <c r="K1640" s="165"/>
      <c r="L1640" s="165"/>
      <c r="M1640" s="165"/>
      <c r="N1640" s="165"/>
      <c r="O1640" s="165"/>
      <c r="P1640" s="165"/>
      <c r="Q1640" s="165"/>
      <c r="R1640" s="165"/>
      <c r="S1640" s="165"/>
      <c r="T1640" s="165"/>
      <c r="U1640" s="165"/>
      <c r="V1640" s="165"/>
      <c r="W1640" s="165"/>
      <c r="X1640" s="165"/>
    </row>
    <row r="1641" ht="18.75" customHeight="1">
      <c r="A1641" s="165">
        <v>1638.0</v>
      </c>
      <c r="B1641" s="167" t="s">
        <v>17097</v>
      </c>
      <c r="C1641" s="165"/>
      <c r="D1641" s="165"/>
      <c r="E1641" s="165"/>
      <c r="F1641" s="165"/>
      <c r="G1641" s="165"/>
      <c r="H1641" s="165"/>
      <c r="I1641" s="165"/>
      <c r="J1641" s="165"/>
      <c r="K1641" s="165"/>
      <c r="L1641" s="165"/>
      <c r="M1641" s="165"/>
      <c r="N1641" s="165"/>
      <c r="O1641" s="165"/>
      <c r="P1641" s="165"/>
      <c r="Q1641" s="165"/>
      <c r="R1641" s="165"/>
      <c r="S1641" s="165"/>
      <c r="T1641" s="165"/>
      <c r="U1641" s="165"/>
      <c r="V1641" s="165"/>
      <c r="W1641" s="165"/>
      <c r="X1641" s="165"/>
    </row>
    <row r="1642" ht="18.75" customHeight="1">
      <c r="A1642" s="165">
        <v>1639.0</v>
      </c>
      <c r="B1642" s="167" t="s">
        <v>16509</v>
      </c>
      <c r="C1642" s="165"/>
      <c r="D1642" s="165"/>
      <c r="E1642" s="165"/>
      <c r="F1642" s="165"/>
      <c r="G1642" s="165"/>
      <c r="H1642" s="165"/>
      <c r="I1642" s="165"/>
      <c r="J1642" s="165"/>
      <c r="K1642" s="165"/>
      <c r="L1642" s="165"/>
      <c r="M1642" s="165"/>
      <c r="N1642" s="165"/>
      <c r="O1642" s="165"/>
      <c r="P1642" s="165"/>
      <c r="Q1642" s="165"/>
      <c r="R1642" s="165"/>
      <c r="S1642" s="165"/>
      <c r="T1642" s="165"/>
      <c r="U1642" s="165"/>
      <c r="V1642" s="165"/>
      <c r="W1642" s="165"/>
      <c r="X1642" s="165"/>
    </row>
    <row r="1643" ht="18.75" customHeight="1">
      <c r="A1643" s="165">
        <v>1640.0</v>
      </c>
      <c r="B1643" s="167" t="s">
        <v>17098</v>
      </c>
      <c r="C1643" s="165"/>
      <c r="D1643" s="165"/>
      <c r="E1643" s="165"/>
      <c r="F1643" s="165"/>
      <c r="G1643" s="165"/>
      <c r="H1643" s="165"/>
      <c r="I1643" s="165"/>
      <c r="J1643" s="165"/>
      <c r="K1643" s="165"/>
      <c r="L1643" s="165"/>
      <c r="M1643" s="165"/>
      <c r="N1643" s="165"/>
      <c r="O1643" s="165"/>
      <c r="P1643" s="165"/>
      <c r="Q1643" s="165"/>
      <c r="R1643" s="165"/>
      <c r="S1643" s="165"/>
      <c r="T1643" s="165"/>
      <c r="U1643" s="165"/>
      <c r="V1643" s="165"/>
      <c r="W1643" s="165"/>
      <c r="X1643" s="165"/>
    </row>
    <row r="1644" ht="18.75" customHeight="1">
      <c r="A1644" s="165">
        <v>1641.0</v>
      </c>
      <c r="B1644" s="167" t="s">
        <v>17099</v>
      </c>
      <c r="C1644" s="165"/>
      <c r="D1644" s="165"/>
      <c r="E1644" s="165"/>
      <c r="F1644" s="165"/>
      <c r="G1644" s="165"/>
      <c r="H1644" s="165"/>
      <c r="I1644" s="165"/>
      <c r="J1644" s="165"/>
      <c r="K1644" s="165"/>
      <c r="L1644" s="165"/>
      <c r="M1644" s="165"/>
      <c r="N1644" s="165"/>
      <c r="O1644" s="165"/>
      <c r="P1644" s="165"/>
      <c r="Q1644" s="165"/>
      <c r="R1644" s="165"/>
      <c r="S1644" s="165"/>
      <c r="T1644" s="165"/>
      <c r="U1644" s="165"/>
      <c r="V1644" s="165"/>
      <c r="W1644" s="165"/>
      <c r="X1644" s="165"/>
    </row>
    <row r="1645" ht="18.75" customHeight="1">
      <c r="A1645" s="165">
        <v>1642.0</v>
      </c>
      <c r="B1645" s="165" t="s">
        <v>17100</v>
      </c>
      <c r="C1645" s="165"/>
      <c r="D1645" s="165"/>
      <c r="E1645" s="165"/>
      <c r="F1645" s="165"/>
      <c r="G1645" s="165"/>
      <c r="H1645" s="165"/>
      <c r="I1645" s="165"/>
      <c r="J1645" s="165"/>
      <c r="K1645" s="165"/>
      <c r="L1645" s="165"/>
      <c r="M1645" s="165"/>
      <c r="N1645" s="165"/>
      <c r="O1645" s="165"/>
      <c r="P1645" s="165"/>
      <c r="Q1645" s="165"/>
      <c r="R1645" s="165"/>
      <c r="S1645" s="165"/>
      <c r="T1645" s="165"/>
      <c r="U1645" s="165"/>
      <c r="V1645" s="165"/>
      <c r="W1645" s="165"/>
      <c r="X1645" s="165"/>
    </row>
    <row r="1646" ht="18.75" customHeight="1">
      <c r="A1646" s="165">
        <v>1643.0</v>
      </c>
      <c r="B1646" s="165" t="s">
        <v>17101</v>
      </c>
      <c r="C1646" s="165"/>
      <c r="D1646" s="165"/>
      <c r="E1646" s="165"/>
      <c r="F1646" s="165"/>
      <c r="G1646" s="165"/>
      <c r="H1646" s="165"/>
      <c r="I1646" s="165"/>
      <c r="J1646" s="165"/>
      <c r="K1646" s="165"/>
      <c r="L1646" s="165"/>
      <c r="M1646" s="165"/>
      <c r="N1646" s="165"/>
      <c r="O1646" s="165"/>
      <c r="P1646" s="165"/>
      <c r="Q1646" s="165"/>
      <c r="R1646" s="165"/>
      <c r="S1646" s="165"/>
      <c r="T1646" s="165"/>
      <c r="U1646" s="165"/>
      <c r="V1646" s="165"/>
      <c r="W1646" s="165"/>
      <c r="X1646" s="165"/>
    </row>
    <row r="1647" ht="18.75" customHeight="1">
      <c r="A1647" s="165">
        <v>1644.0</v>
      </c>
      <c r="B1647" s="165" t="s">
        <v>17102</v>
      </c>
      <c r="C1647" s="165"/>
      <c r="D1647" s="165"/>
      <c r="E1647" s="165"/>
      <c r="F1647" s="165"/>
      <c r="G1647" s="165"/>
      <c r="H1647" s="165"/>
      <c r="I1647" s="165"/>
      <c r="J1647" s="165"/>
      <c r="K1647" s="165"/>
      <c r="L1647" s="165"/>
      <c r="M1647" s="165"/>
      <c r="N1647" s="165"/>
      <c r="O1647" s="165"/>
      <c r="P1647" s="165"/>
      <c r="Q1647" s="165"/>
      <c r="R1647" s="165"/>
      <c r="S1647" s="165"/>
      <c r="T1647" s="165"/>
      <c r="U1647" s="165"/>
      <c r="V1647" s="165"/>
      <c r="W1647" s="165"/>
      <c r="X1647" s="165"/>
    </row>
    <row r="1648" ht="18.75" customHeight="1">
      <c r="A1648" s="165">
        <v>1645.0</v>
      </c>
      <c r="B1648" s="167" t="s">
        <v>17103</v>
      </c>
      <c r="C1648" s="165"/>
      <c r="D1648" s="165"/>
      <c r="E1648" s="165"/>
      <c r="F1648" s="165"/>
      <c r="G1648" s="165"/>
      <c r="H1648" s="165"/>
      <c r="I1648" s="165"/>
      <c r="J1648" s="165"/>
      <c r="K1648" s="165"/>
      <c r="L1648" s="165"/>
      <c r="M1648" s="165"/>
      <c r="N1648" s="165"/>
      <c r="O1648" s="165"/>
      <c r="P1648" s="165"/>
      <c r="Q1648" s="165"/>
      <c r="R1648" s="165"/>
      <c r="S1648" s="165"/>
      <c r="T1648" s="165"/>
      <c r="U1648" s="165"/>
      <c r="V1648" s="165"/>
      <c r="W1648" s="165"/>
      <c r="X1648" s="165"/>
    </row>
    <row r="1649" ht="18.75" customHeight="1">
      <c r="A1649" s="165">
        <v>1646.0</v>
      </c>
      <c r="B1649" s="167" t="s">
        <v>17104</v>
      </c>
      <c r="C1649" s="165"/>
      <c r="D1649" s="165"/>
      <c r="E1649" s="165"/>
      <c r="F1649" s="165"/>
      <c r="G1649" s="165"/>
      <c r="H1649" s="165"/>
      <c r="I1649" s="165"/>
      <c r="J1649" s="165"/>
      <c r="K1649" s="165"/>
      <c r="L1649" s="165"/>
      <c r="M1649" s="165"/>
      <c r="N1649" s="165"/>
      <c r="O1649" s="165"/>
      <c r="P1649" s="165"/>
      <c r="Q1649" s="165"/>
      <c r="R1649" s="165"/>
      <c r="S1649" s="165"/>
      <c r="T1649" s="165"/>
      <c r="U1649" s="165"/>
      <c r="V1649" s="165"/>
      <c r="W1649" s="165"/>
      <c r="X1649" s="165"/>
    </row>
    <row r="1650" ht="18.75" customHeight="1">
      <c r="A1650" s="165">
        <v>1647.0</v>
      </c>
      <c r="B1650" s="167" t="s">
        <v>17105</v>
      </c>
      <c r="C1650" s="165"/>
      <c r="D1650" s="165"/>
      <c r="E1650" s="165"/>
      <c r="F1650" s="165"/>
      <c r="G1650" s="165"/>
      <c r="H1650" s="165"/>
      <c r="I1650" s="165"/>
      <c r="J1650" s="165"/>
      <c r="K1650" s="165"/>
      <c r="L1650" s="165"/>
      <c r="M1650" s="165"/>
      <c r="N1650" s="165"/>
      <c r="O1650" s="165"/>
      <c r="P1650" s="165"/>
      <c r="Q1650" s="165"/>
      <c r="R1650" s="165"/>
      <c r="S1650" s="165"/>
      <c r="T1650" s="165"/>
      <c r="U1650" s="165"/>
      <c r="V1650" s="165"/>
      <c r="W1650" s="165"/>
      <c r="X1650" s="165"/>
    </row>
    <row r="1651" ht="18.75" customHeight="1">
      <c r="A1651" s="165">
        <v>1648.0</v>
      </c>
      <c r="B1651" s="165" t="s">
        <v>17106</v>
      </c>
      <c r="C1651" s="165"/>
      <c r="D1651" s="165"/>
      <c r="E1651" s="165"/>
      <c r="F1651" s="165"/>
      <c r="G1651" s="165"/>
      <c r="H1651" s="165"/>
      <c r="I1651" s="165"/>
      <c r="J1651" s="165"/>
      <c r="K1651" s="165"/>
      <c r="L1651" s="165"/>
      <c r="M1651" s="165"/>
      <c r="N1651" s="165"/>
      <c r="O1651" s="165"/>
      <c r="P1651" s="165"/>
      <c r="Q1651" s="165"/>
      <c r="R1651" s="165"/>
      <c r="S1651" s="165"/>
      <c r="T1651" s="165"/>
      <c r="U1651" s="165"/>
      <c r="V1651" s="165"/>
      <c r="W1651" s="165"/>
      <c r="X1651" s="165"/>
    </row>
    <row r="1652" ht="18.75" customHeight="1">
      <c r="A1652" s="165">
        <v>1649.0</v>
      </c>
      <c r="B1652" s="165" t="s">
        <v>17107</v>
      </c>
      <c r="C1652" s="165"/>
      <c r="D1652" s="165"/>
      <c r="E1652" s="165"/>
      <c r="F1652" s="165"/>
      <c r="G1652" s="165"/>
      <c r="H1652" s="165"/>
      <c r="I1652" s="165"/>
      <c r="J1652" s="165"/>
      <c r="K1652" s="165"/>
      <c r="L1652" s="165"/>
      <c r="M1652" s="165"/>
      <c r="N1652" s="165"/>
      <c r="O1652" s="165"/>
      <c r="P1652" s="165"/>
      <c r="Q1652" s="165"/>
      <c r="R1652" s="165"/>
      <c r="S1652" s="165"/>
      <c r="T1652" s="165"/>
      <c r="U1652" s="165"/>
      <c r="V1652" s="165"/>
      <c r="W1652" s="165"/>
      <c r="X1652" s="165"/>
    </row>
    <row r="1653" ht="18.75" customHeight="1">
      <c r="A1653" s="165">
        <v>1650.0</v>
      </c>
      <c r="B1653" s="165" t="s">
        <v>17108</v>
      </c>
      <c r="C1653" s="165"/>
      <c r="D1653" s="165"/>
      <c r="E1653" s="165"/>
      <c r="F1653" s="165"/>
      <c r="G1653" s="165"/>
      <c r="H1653" s="165"/>
      <c r="I1653" s="165"/>
      <c r="J1653" s="165"/>
      <c r="K1653" s="165"/>
      <c r="L1653" s="165"/>
      <c r="M1653" s="165"/>
      <c r="N1653" s="165"/>
      <c r="O1653" s="165"/>
      <c r="P1653" s="165"/>
      <c r="Q1653" s="165"/>
      <c r="R1653" s="165"/>
      <c r="S1653" s="165"/>
      <c r="T1653" s="165"/>
      <c r="U1653" s="165"/>
      <c r="V1653" s="165"/>
      <c r="W1653" s="165"/>
      <c r="X1653" s="165"/>
    </row>
    <row r="1654" ht="18.75" customHeight="1">
      <c r="A1654" s="165">
        <v>1651.0</v>
      </c>
      <c r="B1654" s="165" t="s">
        <v>17109</v>
      </c>
      <c r="C1654" s="165"/>
      <c r="D1654" s="165"/>
      <c r="E1654" s="165"/>
      <c r="F1654" s="165"/>
      <c r="G1654" s="165"/>
      <c r="H1654" s="165"/>
      <c r="I1654" s="165"/>
      <c r="J1654" s="165"/>
      <c r="K1654" s="165"/>
      <c r="L1654" s="165"/>
      <c r="M1654" s="165"/>
      <c r="N1654" s="165"/>
      <c r="O1654" s="165"/>
      <c r="P1654" s="165"/>
      <c r="Q1654" s="165"/>
      <c r="R1654" s="165"/>
      <c r="S1654" s="165"/>
      <c r="T1654" s="165"/>
      <c r="U1654" s="165"/>
      <c r="V1654" s="165"/>
      <c r="W1654" s="165"/>
      <c r="X1654" s="165"/>
    </row>
    <row r="1655" ht="18.75" customHeight="1">
      <c r="A1655" s="165">
        <v>1652.0</v>
      </c>
      <c r="B1655" s="167" t="s">
        <v>17110</v>
      </c>
      <c r="C1655" s="165"/>
      <c r="D1655" s="165"/>
      <c r="E1655" s="165"/>
      <c r="F1655" s="165"/>
      <c r="G1655" s="165"/>
      <c r="H1655" s="165"/>
      <c r="I1655" s="165"/>
      <c r="J1655" s="165"/>
      <c r="K1655" s="165"/>
      <c r="L1655" s="165"/>
      <c r="M1655" s="165"/>
      <c r="N1655" s="165"/>
      <c r="O1655" s="165"/>
      <c r="P1655" s="165"/>
      <c r="Q1655" s="165"/>
      <c r="R1655" s="165"/>
      <c r="S1655" s="165"/>
      <c r="T1655" s="165"/>
      <c r="U1655" s="165"/>
      <c r="V1655" s="165"/>
      <c r="W1655" s="165"/>
      <c r="X1655" s="165"/>
    </row>
    <row r="1656" ht="18.75" customHeight="1">
      <c r="A1656" s="165">
        <v>1653.0</v>
      </c>
      <c r="B1656" s="165" t="s">
        <v>17111</v>
      </c>
      <c r="C1656" s="165"/>
      <c r="D1656" s="165"/>
      <c r="E1656" s="165"/>
      <c r="F1656" s="165"/>
      <c r="G1656" s="165"/>
      <c r="H1656" s="165"/>
      <c r="I1656" s="165"/>
      <c r="J1656" s="165"/>
      <c r="K1656" s="165"/>
      <c r="L1656" s="165"/>
      <c r="M1656" s="165"/>
      <c r="N1656" s="165"/>
      <c r="O1656" s="165"/>
      <c r="P1656" s="165"/>
      <c r="Q1656" s="165"/>
      <c r="R1656" s="165"/>
      <c r="S1656" s="165"/>
      <c r="T1656" s="165"/>
      <c r="U1656" s="165"/>
      <c r="V1656" s="165"/>
      <c r="W1656" s="165"/>
      <c r="X1656" s="165"/>
    </row>
    <row r="1657" ht="18.75" customHeight="1">
      <c r="A1657" s="165">
        <v>1654.0</v>
      </c>
      <c r="B1657" s="167" t="s">
        <v>17112</v>
      </c>
      <c r="C1657" s="165"/>
      <c r="D1657" s="165"/>
      <c r="E1657" s="165"/>
      <c r="F1657" s="165"/>
      <c r="G1657" s="165"/>
      <c r="H1657" s="165"/>
      <c r="I1657" s="165"/>
      <c r="J1657" s="165"/>
      <c r="K1657" s="165"/>
      <c r="L1657" s="165"/>
      <c r="M1657" s="165"/>
      <c r="N1657" s="165"/>
      <c r="O1657" s="165"/>
      <c r="P1657" s="165"/>
      <c r="Q1657" s="165"/>
      <c r="R1657" s="165"/>
      <c r="S1657" s="165"/>
      <c r="T1657" s="165"/>
      <c r="U1657" s="165"/>
      <c r="V1657" s="165"/>
      <c r="W1657" s="165"/>
      <c r="X1657" s="165"/>
    </row>
    <row r="1658" ht="18.75" customHeight="1">
      <c r="A1658" s="165">
        <v>1655.0</v>
      </c>
      <c r="B1658" s="165" t="s">
        <v>17113</v>
      </c>
      <c r="C1658" s="165"/>
      <c r="D1658" s="165"/>
      <c r="E1658" s="165"/>
      <c r="F1658" s="165"/>
      <c r="G1658" s="165"/>
      <c r="H1658" s="165"/>
      <c r="I1658" s="165"/>
      <c r="J1658" s="165"/>
      <c r="K1658" s="165"/>
      <c r="L1658" s="165"/>
      <c r="M1658" s="165"/>
      <c r="N1658" s="165"/>
      <c r="O1658" s="165"/>
      <c r="P1658" s="165"/>
      <c r="Q1658" s="165"/>
      <c r="R1658" s="165"/>
      <c r="S1658" s="165"/>
      <c r="T1658" s="165"/>
      <c r="U1658" s="165"/>
      <c r="V1658" s="165"/>
      <c r="W1658" s="165"/>
      <c r="X1658" s="165"/>
    </row>
    <row r="1659" ht="18.75" customHeight="1">
      <c r="A1659" s="165">
        <v>1656.0</v>
      </c>
      <c r="B1659" s="165" t="s">
        <v>17114</v>
      </c>
      <c r="C1659" s="165"/>
      <c r="D1659" s="165"/>
      <c r="E1659" s="165"/>
      <c r="F1659" s="165"/>
      <c r="G1659" s="165"/>
      <c r="H1659" s="165"/>
      <c r="I1659" s="165"/>
      <c r="J1659" s="165"/>
      <c r="K1659" s="165"/>
      <c r="L1659" s="165"/>
      <c r="M1659" s="165"/>
      <c r="N1659" s="165"/>
      <c r="O1659" s="165"/>
      <c r="P1659" s="165"/>
      <c r="Q1659" s="165"/>
      <c r="R1659" s="165"/>
      <c r="S1659" s="165"/>
      <c r="T1659" s="165"/>
      <c r="U1659" s="165"/>
      <c r="V1659" s="165"/>
      <c r="W1659" s="165"/>
      <c r="X1659" s="165"/>
    </row>
    <row r="1660" ht="18.75" customHeight="1">
      <c r="A1660" s="165">
        <v>1657.0</v>
      </c>
      <c r="B1660" s="165" t="s">
        <v>17115</v>
      </c>
      <c r="C1660" s="165"/>
      <c r="D1660" s="165"/>
      <c r="E1660" s="165"/>
      <c r="F1660" s="165"/>
      <c r="G1660" s="165"/>
      <c r="H1660" s="165"/>
      <c r="I1660" s="165"/>
      <c r="J1660" s="165"/>
      <c r="K1660" s="165"/>
      <c r="L1660" s="165"/>
      <c r="M1660" s="165"/>
      <c r="N1660" s="165"/>
      <c r="O1660" s="165"/>
      <c r="P1660" s="165"/>
      <c r="Q1660" s="165"/>
      <c r="R1660" s="165"/>
      <c r="S1660" s="165"/>
      <c r="T1660" s="165"/>
      <c r="U1660" s="165"/>
      <c r="V1660" s="165"/>
      <c r="W1660" s="165"/>
      <c r="X1660" s="165"/>
    </row>
    <row r="1661" ht="18.75" customHeight="1">
      <c r="A1661" s="165">
        <v>1658.0</v>
      </c>
      <c r="B1661" s="165" t="s">
        <v>17116</v>
      </c>
      <c r="C1661" s="165"/>
      <c r="D1661" s="165"/>
      <c r="E1661" s="165"/>
      <c r="F1661" s="165"/>
      <c r="G1661" s="165"/>
      <c r="H1661" s="165"/>
      <c r="I1661" s="165"/>
      <c r="J1661" s="165"/>
      <c r="K1661" s="165"/>
      <c r="L1661" s="165"/>
      <c r="M1661" s="165"/>
      <c r="N1661" s="165"/>
      <c r="O1661" s="165"/>
      <c r="P1661" s="165"/>
      <c r="Q1661" s="165"/>
      <c r="R1661" s="165"/>
      <c r="S1661" s="165"/>
      <c r="T1661" s="165"/>
      <c r="U1661" s="165"/>
      <c r="V1661" s="165"/>
      <c r="W1661" s="165"/>
      <c r="X1661" s="165"/>
    </row>
    <row r="1662" ht="18.75" customHeight="1">
      <c r="A1662" s="165">
        <v>1659.0</v>
      </c>
      <c r="B1662" s="165" t="s">
        <v>17117</v>
      </c>
      <c r="C1662" s="165"/>
      <c r="D1662" s="165"/>
      <c r="E1662" s="165"/>
      <c r="F1662" s="165"/>
      <c r="G1662" s="165"/>
      <c r="H1662" s="165"/>
      <c r="I1662" s="165"/>
      <c r="J1662" s="165"/>
      <c r="K1662" s="165"/>
      <c r="L1662" s="165"/>
      <c r="M1662" s="165"/>
      <c r="N1662" s="165"/>
      <c r="O1662" s="165"/>
      <c r="P1662" s="165"/>
      <c r="Q1662" s="165"/>
      <c r="R1662" s="165"/>
      <c r="S1662" s="165"/>
      <c r="T1662" s="165"/>
      <c r="U1662" s="165"/>
      <c r="V1662" s="165"/>
      <c r="W1662" s="165"/>
      <c r="X1662" s="165"/>
    </row>
    <row r="1663" ht="18.75" customHeight="1">
      <c r="A1663" s="165">
        <v>1660.0</v>
      </c>
      <c r="B1663" s="167" t="s">
        <v>17118</v>
      </c>
      <c r="C1663" s="165"/>
      <c r="D1663" s="165"/>
      <c r="E1663" s="165"/>
      <c r="F1663" s="165"/>
      <c r="G1663" s="165"/>
      <c r="H1663" s="165"/>
      <c r="I1663" s="165"/>
      <c r="J1663" s="165"/>
      <c r="K1663" s="165"/>
      <c r="L1663" s="165"/>
      <c r="M1663" s="165"/>
      <c r="N1663" s="165"/>
      <c r="O1663" s="165"/>
      <c r="P1663" s="165"/>
      <c r="Q1663" s="165"/>
      <c r="R1663" s="165"/>
      <c r="S1663" s="165"/>
      <c r="T1663" s="165"/>
      <c r="U1663" s="165"/>
      <c r="V1663" s="165"/>
      <c r="W1663" s="165"/>
      <c r="X1663" s="165"/>
    </row>
    <row r="1664" ht="18.75" customHeight="1">
      <c r="A1664" s="165">
        <v>1661.0</v>
      </c>
      <c r="B1664" s="167" t="s">
        <v>17119</v>
      </c>
      <c r="C1664" s="165"/>
      <c r="D1664" s="165"/>
      <c r="E1664" s="165"/>
      <c r="F1664" s="165"/>
      <c r="G1664" s="165"/>
      <c r="H1664" s="165"/>
      <c r="I1664" s="165"/>
      <c r="J1664" s="165"/>
      <c r="K1664" s="165"/>
      <c r="L1664" s="165"/>
      <c r="M1664" s="165"/>
      <c r="N1664" s="165"/>
      <c r="O1664" s="165"/>
      <c r="P1664" s="165"/>
      <c r="Q1664" s="165"/>
      <c r="R1664" s="165"/>
      <c r="S1664" s="165"/>
      <c r="T1664" s="165"/>
      <c r="U1664" s="165"/>
      <c r="V1664" s="165"/>
      <c r="W1664" s="165"/>
      <c r="X1664" s="165"/>
    </row>
    <row r="1665" ht="18.75" customHeight="1">
      <c r="A1665" s="165">
        <v>1662.0</v>
      </c>
      <c r="B1665" s="167" t="s">
        <v>17120</v>
      </c>
      <c r="C1665" s="165"/>
      <c r="D1665" s="165"/>
      <c r="E1665" s="165"/>
      <c r="F1665" s="165"/>
      <c r="G1665" s="165"/>
      <c r="H1665" s="165"/>
      <c r="I1665" s="165"/>
      <c r="J1665" s="165"/>
      <c r="K1665" s="165"/>
      <c r="L1665" s="165"/>
      <c r="M1665" s="165"/>
      <c r="N1665" s="165"/>
      <c r="O1665" s="165"/>
      <c r="P1665" s="165"/>
      <c r="Q1665" s="165"/>
      <c r="R1665" s="165"/>
      <c r="S1665" s="165"/>
      <c r="T1665" s="165"/>
      <c r="U1665" s="165"/>
      <c r="V1665" s="165"/>
      <c r="W1665" s="165"/>
      <c r="X1665" s="165"/>
    </row>
    <row r="1666" ht="18.75" customHeight="1">
      <c r="A1666" s="165">
        <v>1663.0</v>
      </c>
      <c r="B1666" s="167" t="s">
        <v>17121</v>
      </c>
      <c r="C1666" s="165"/>
      <c r="D1666" s="165"/>
      <c r="E1666" s="165"/>
      <c r="F1666" s="165"/>
      <c r="G1666" s="165"/>
      <c r="H1666" s="165"/>
      <c r="I1666" s="165"/>
      <c r="J1666" s="165"/>
      <c r="K1666" s="165"/>
      <c r="L1666" s="165"/>
      <c r="M1666" s="165"/>
      <c r="N1666" s="165"/>
      <c r="O1666" s="165"/>
      <c r="P1666" s="165"/>
      <c r="Q1666" s="165"/>
      <c r="R1666" s="165"/>
      <c r="S1666" s="165"/>
      <c r="T1666" s="165"/>
      <c r="U1666" s="165"/>
      <c r="V1666" s="165"/>
      <c r="W1666" s="165"/>
      <c r="X1666" s="165"/>
    </row>
    <row r="1667" ht="18.75" customHeight="1">
      <c r="A1667" s="165">
        <v>1664.0</v>
      </c>
      <c r="B1667" s="165" t="s">
        <v>17122</v>
      </c>
      <c r="C1667" s="165"/>
      <c r="D1667" s="165"/>
      <c r="E1667" s="165"/>
      <c r="F1667" s="165"/>
      <c r="G1667" s="165"/>
      <c r="H1667" s="165"/>
      <c r="I1667" s="165"/>
      <c r="J1667" s="165"/>
      <c r="K1667" s="165"/>
      <c r="L1667" s="165"/>
      <c r="M1667" s="165"/>
      <c r="N1667" s="165"/>
      <c r="O1667" s="165"/>
      <c r="P1667" s="165"/>
      <c r="Q1667" s="165"/>
      <c r="R1667" s="165"/>
      <c r="S1667" s="165"/>
      <c r="T1667" s="165"/>
      <c r="U1667" s="165"/>
      <c r="V1667" s="165"/>
      <c r="W1667" s="165"/>
      <c r="X1667" s="165"/>
    </row>
    <row r="1668" ht="18.75" customHeight="1">
      <c r="A1668" s="165">
        <v>1665.0</v>
      </c>
      <c r="B1668" s="165" t="s">
        <v>17123</v>
      </c>
      <c r="C1668" s="165"/>
      <c r="D1668" s="165"/>
      <c r="E1668" s="165"/>
      <c r="F1668" s="165"/>
      <c r="G1668" s="165"/>
      <c r="H1668" s="165"/>
      <c r="I1668" s="165"/>
      <c r="J1668" s="165"/>
      <c r="K1668" s="165"/>
      <c r="L1668" s="165"/>
      <c r="M1668" s="165"/>
      <c r="N1668" s="165"/>
      <c r="O1668" s="165"/>
      <c r="P1668" s="165"/>
      <c r="Q1668" s="165"/>
      <c r="R1668" s="165"/>
      <c r="S1668" s="165"/>
      <c r="T1668" s="165"/>
      <c r="U1668" s="165"/>
      <c r="V1668" s="165"/>
      <c r="W1668" s="165"/>
      <c r="X1668" s="165"/>
    </row>
    <row r="1669" ht="18.75" customHeight="1">
      <c r="A1669" s="165">
        <v>1666.0</v>
      </c>
      <c r="B1669" s="167" t="s">
        <v>17124</v>
      </c>
      <c r="C1669" s="165"/>
      <c r="D1669" s="165"/>
      <c r="E1669" s="165"/>
      <c r="F1669" s="165"/>
      <c r="G1669" s="165"/>
      <c r="H1669" s="165"/>
      <c r="I1669" s="165"/>
      <c r="J1669" s="165"/>
      <c r="K1669" s="165"/>
      <c r="L1669" s="165"/>
      <c r="M1669" s="165"/>
      <c r="N1669" s="165"/>
      <c r="O1669" s="165"/>
      <c r="P1669" s="165"/>
      <c r="Q1669" s="165"/>
      <c r="R1669" s="165"/>
      <c r="S1669" s="165"/>
      <c r="T1669" s="165"/>
      <c r="U1669" s="165"/>
      <c r="V1669" s="165"/>
      <c r="W1669" s="165"/>
      <c r="X1669" s="165"/>
    </row>
    <row r="1670" ht="18.75" customHeight="1">
      <c r="A1670" s="165">
        <v>1667.0</v>
      </c>
      <c r="B1670" s="167" t="s">
        <v>17125</v>
      </c>
      <c r="C1670" s="165"/>
      <c r="D1670" s="165"/>
      <c r="E1670" s="165"/>
      <c r="F1670" s="165"/>
      <c r="G1670" s="165"/>
      <c r="H1670" s="165"/>
      <c r="I1670" s="165"/>
      <c r="J1670" s="165"/>
      <c r="K1670" s="165"/>
      <c r="L1670" s="165"/>
      <c r="M1670" s="165"/>
      <c r="N1670" s="165"/>
      <c r="O1670" s="165"/>
      <c r="P1670" s="165"/>
      <c r="Q1670" s="165"/>
      <c r="R1670" s="165"/>
      <c r="S1670" s="165"/>
      <c r="T1670" s="165"/>
      <c r="U1670" s="165"/>
      <c r="V1670" s="165"/>
      <c r="W1670" s="165"/>
      <c r="X1670" s="165"/>
    </row>
    <row r="1671" ht="18.75" customHeight="1">
      <c r="A1671" s="165">
        <v>1668.0</v>
      </c>
      <c r="B1671" s="165" t="s">
        <v>17126</v>
      </c>
      <c r="C1671" s="165"/>
      <c r="D1671" s="165"/>
      <c r="E1671" s="165"/>
      <c r="F1671" s="165"/>
      <c r="G1671" s="165"/>
      <c r="H1671" s="165"/>
      <c r="I1671" s="165"/>
      <c r="J1671" s="165"/>
      <c r="K1671" s="165"/>
      <c r="L1671" s="165"/>
      <c r="M1671" s="165"/>
      <c r="N1671" s="165"/>
      <c r="O1671" s="165"/>
      <c r="P1671" s="165"/>
      <c r="Q1671" s="165"/>
      <c r="R1671" s="165"/>
      <c r="S1671" s="165"/>
      <c r="T1671" s="165"/>
      <c r="U1671" s="165"/>
      <c r="V1671" s="165"/>
      <c r="W1671" s="165"/>
      <c r="X1671" s="165"/>
    </row>
    <row r="1672" ht="18.75" customHeight="1">
      <c r="A1672" s="165">
        <v>1669.0</v>
      </c>
      <c r="B1672" s="167" t="s">
        <v>17127</v>
      </c>
      <c r="C1672" s="165"/>
      <c r="D1672" s="165"/>
      <c r="E1672" s="165"/>
      <c r="F1672" s="165"/>
      <c r="G1672" s="165"/>
      <c r="H1672" s="165"/>
      <c r="I1672" s="165"/>
      <c r="J1672" s="165"/>
      <c r="K1672" s="165"/>
      <c r="L1672" s="165"/>
      <c r="M1672" s="165"/>
      <c r="N1672" s="165"/>
      <c r="O1672" s="165"/>
      <c r="P1672" s="165"/>
      <c r="Q1672" s="165"/>
      <c r="R1672" s="165"/>
      <c r="S1672" s="165"/>
      <c r="T1672" s="165"/>
      <c r="U1672" s="165"/>
      <c r="V1672" s="165"/>
      <c r="W1672" s="165"/>
      <c r="X1672" s="165"/>
    </row>
    <row r="1673" ht="18.75" customHeight="1">
      <c r="A1673" s="165">
        <v>1670.0</v>
      </c>
      <c r="B1673" s="165" t="s">
        <v>17128</v>
      </c>
      <c r="C1673" s="165"/>
      <c r="D1673" s="165"/>
      <c r="E1673" s="165"/>
      <c r="F1673" s="165"/>
      <c r="G1673" s="165"/>
      <c r="H1673" s="165"/>
      <c r="I1673" s="165"/>
      <c r="J1673" s="165"/>
      <c r="K1673" s="165"/>
      <c r="L1673" s="165"/>
      <c r="M1673" s="165"/>
      <c r="N1673" s="165"/>
      <c r="O1673" s="165"/>
      <c r="P1673" s="165"/>
      <c r="Q1673" s="165"/>
      <c r="R1673" s="165"/>
      <c r="S1673" s="165"/>
      <c r="T1673" s="165"/>
      <c r="U1673" s="165"/>
      <c r="V1673" s="165"/>
      <c r="W1673" s="165"/>
      <c r="X1673" s="165"/>
    </row>
    <row r="1674" ht="18.75" customHeight="1">
      <c r="A1674" s="165">
        <v>1671.0</v>
      </c>
      <c r="B1674" s="167" t="s">
        <v>17129</v>
      </c>
      <c r="C1674" s="165"/>
      <c r="D1674" s="165"/>
      <c r="E1674" s="165"/>
      <c r="F1674" s="165"/>
      <c r="G1674" s="165"/>
      <c r="H1674" s="165"/>
      <c r="I1674" s="165"/>
      <c r="J1674" s="165"/>
      <c r="K1674" s="165"/>
      <c r="L1674" s="165"/>
      <c r="M1674" s="165"/>
      <c r="N1674" s="165"/>
      <c r="O1674" s="165"/>
      <c r="P1674" s="165"/>
      <c r="Q1674" s="165"/>
      <c r="R1674" s="165"/>
      <c r="S1674" s="165"/>
      <c r="T1674" s="165"/>
      <c r="U1674" s="165"/>
      <c r="V1674" s="165"/>
      <c r="W1674" s="165"/>
      <c r="X1674" s="165"/>
    </row>
    <row r="1675" ht="18.75" customHeight="1">
      <c r="A1675" s="165">
        <v>1672.0</v>
      </c>
      <c r="B1675" s="167" t="s">
        <v>17130</v>
      </c>
      <c r="C1675" s="165"/>
      <c r="D1675" s="165"/>
      <c r="E1675" s="165"/>
      <c r="F1675" s="165"/>
      <c r="G1675" s="165"/>
      <c r="H1675" s="165"/>
      <c r="I1675" s="165"/>
      <c r="J1675" s="165"/>
      <c r="K1675" s="165"/>
      <c r="L1675" s="165"/>
      <c r="M1675" s="165"/>
      <c r="N1675" s="165"/>
      <c r="O1675" s="165"/>
      <c r="P1675" s="165"/>
      <c r="Q1675" s="165"/>
      <c r="R1675" s="165"/>
      <c r="S1675" s="165"/>
      <c r="T1675" s="165"/>
      <c r="U1675" s="165"/>
      <c r="V1675" s="165"/>
      <c r="W1675" s="165"/>
      <c r="X1675" s="165"/>
    </row>
    <row r="1676" ht="18.75" customHeight="1">
      <c r="A1676" s="165">
        <v>1673.0</v>
      </c>
      <c r="B1676" s="167" t="s">
        <v>17131</v>
      </c>
      <c r="C1676" s="165"/>
      <c r="D1676" s="165"/>
      <c r="E1676" s="165"/>
      <c r="F1676" s="165"/>
      <c r="G1676" s="165"/>
      <c r="H1676" s="165"/>
      <c r="I1676" s="165"/>
      <c r="J1676" s="165"/>
      <c r="K1676" s="165"/>
      <c r="L1676" s="165"/>
      <c r="M1676" s="165"/>
      <c r="N1676" s="165"/>
      <c r="O1676" s="165"/>
      <c r="P1676" s="165"/>
      <c r="Q1676" s="165"/>
      <c r="R1676" s="165"/>
      <c r="S1676" s="165"/>
      <c r="T1676" s="165"/>
      <c r="U1676" s="165"/>
      <c r="V1676" s="165"/>
      <c r="W1676" s="165"/>
      <c r="X1676" s="165"/>
    </row>
    <row r="1677" ht="18.75" customHeight="1">
      <c r="A1677" s="165">
        <v>1674.0</v>
      </c>
      <c r="B1677" s="167" t="s">
        <v>17132</v>
      </c>
      <c r="C1677" s="165"/>
      <c r="D1677" s="165"/>
      <c r="E1677" s="165"/>
      <c r="F1677" s="165"/>
      <c r="G1677" s="165"/>
      <c r="H1677" s="165"/>
      <c r="I1677" s="165"/>
      <c r="J1677" s="165"/>
      <c r="K1677" s="165"/>
      <c r="L1677" s="165"/>
      <c r="M1677" s="165"/>
      <c r="N1677" s="165"/>
      <c r="O1677" s="165"/>
      <c r="P1677" s="165"/>
      <c r="Q1677" s="165"/>
      <c r="R1677" s="165"/>
      <c r="S1677" s="165"/>
      <c r="T1677" s="165"/>
      <c r="U1677" s="165"/>
      <c r="V1677" s="165"/>
      <c r="W1677" s="165"/>
      <c r="X1677" s="165"/>
    </row>
    <row r="1678" ht="18.75" customHeight="1">
      <c r="A1678" s="165">
        <v>1675.0</v>
      </c>
      <c r="B1678" s="167" t="s">
        <v>17133</v>
      </c>
      <c r="C1678" s="165"/>
      <c r="D1678" s="165"/>
      <c r="E1678" s="165"/>
      <c r="F1678" s="165"/>
      <c r="G1678" s="165"/>
      <c r="H1678" s="165"/>
      <c r="I1678" s="165"/>
      <c r="J1678" s="165"/>
      <c r="K1678" s="165"/>
      <c r="L1678" s="165"/>
      <c r="M1678" s="165"/>
      <c r="N1678" s="165"/>
      <c r="O1678" s="165"/>
      <c r="P1678" s="165"/>
      <c r="Q1678" s="165"/>
      <c r="R1678" s="165"/>
      <c r="S1678" s="165"/>
      <c r="T1678" s="165"/>
      <c r="U1678" s="165"/>
      <c r="V1678" s="165"/>
      <c r="W1678" s="165"/>
      <c r="X1678" s="165"/>
    </row>
    <row r="1679" ht="18.75" customHeight="1">
      <c r="A1679" s="165">
        <v>1676.0</v>
      </c>
      <c r="B1679" s="167" t="s">
        <v>17134</v>
      </c>
      <c r="C1679" s="165"/>
      <c r="D1679" s="165"/>
      <c r="E1679" s="165"/>
      <c r="F1679" s="165"/>
      <c r="G1679" s="165"/>
      <c r="H1679" s="165"/>
      <c r="I1679" s="165"/>
      <c r="J1679" s="165"/>
      <c r="K1679" s="165"/>
      <c r="L1679" s="165"/>
      <c r="M1679" s="165"/>
      <c r="N1679" s="165"/>
      <c r="O1679" s="165"/>
      <c r="P1679" s="165"/>
      <c r="Q1679" s="165"/>
      <c r="R1679" s="165"/>
      <c r="S1679" s="165"/>
      <c r="T1679" s="165"/>
      <c r="U1679" s="165"/>
      <c r="V1679" s="165"/>
      <c r="W1679" s="165"/>
      <c r="X1679" s="165"/>
    </row>
    <row r="1680" ht="18.75" customHeight="1">
      <c r="A1680" s="165">
        <v>1677.0</v>
      </c>
      <c r="B1680" s="167" t="s">
        <v>17135</v>
      </c>
      <c r="C1680" s="165"/>
      <c r="D1680" s="165"/>
      <c r="E1680" s="165"/>
      <c r="F1680" s="165"/>
      <c r="G1680" s="165"/>
      <c r="H1680" s="165"/>
      <c r="I1680" s="165"/>
      <c r="J1680" s="165"/>
      <c r="K1680" s="165"/>
      <c r="L1680" s="165"/>
      <c r="M1680" s="165"/>
      <c r="N1680" s="165"/>
      <c r="O1680" s="165"/>
      <c r="P1680" s="165"/>
      <c r="Q1680" s="165"/>
      <c r="R1680" s="165"/>
      <c r="S1680" s="165"/>
      <c r="T1680" s="165"/>
      <c r="U1680" s="165"/>
      <c r="V1680" s="165"/>
      <c r="W1680" s="165"/>
      <c r="X1680" s="165"/>
    </row>
    <row r="1681" ht="18.75" customHeight="1">
      <c r="A1681" s="165">
        <v>1678.0</v>
      </c>
      <c r="B1681" s="167" t="s">
        <v>17136</v>
      </c>
      <c r="C1681" s="165"/>
      <c r="D1681" s="165"/>
      <c r="E1681" s="165"/>
      <c r="F1681" s="165"/>
      <c r="G1681" s="165"/>
      <c r="H1681" s="165"/>
      <c r="I1681" s="165"/>
      <c r="J1681" s="165"/>
      <c r="K1681" s="165"/>
      <c r="L1681" s="165"/>
      <c r="M1681" s="165"/>
      <c r="N1681" s="165"/>
      <c r="O1681" s="165"/>
      <c r="P1681" s="165"/>
      <c r="Q1681" s="165"/>
      <c r="R1681" s="165"/>
      <c r="S1681" s="165"/>
      <c r="T1681" s="165"/>
      <c r="U1681" s="165"/>
      <c r="V1681" s="165"/>
      <c r="W1681" s="165"/>
      <c r="X1681" s="165"/>
    </row>
    <row r="1682" ht="18.75" customHeight="1">
      <c r="A1682" s="165">
        <v>1679.0</v>
      </c>
      <c r="B1682" s="167" t="s">
        <v>17137</v>
      </c>
      <c r="C1682" s="165"/>
      <c r="D1682" s="165"/>
      <c r="E1682" s="165"/>
      <c r="F1682" s="165"/>
      <c r="G1682" s="165"/>
      <c r="H1682" s="165"/>
      <c r="I1682" s="165"/>
      <c r="J1682" s="165"/>
      <c r="K1682" s="165"/>
      <c r="L1682" s="165"/>
      <c r="M1682" s="165"/>
      <c r="N1682" s="165"/>
      <c r="O1682" s="165"/>
      <c r="P1682" s="165"/>
      <c r="Q1682" s="165"/>
      <c r="R1682" s="165"/>
      <c r="S1682" s="165"/>
      <c r="T1682" s="165"/>
      <c r="U1682" s="165"/>
      <c r="V1682" s="165"/>
      <c r="W1682" s="165"/>
      <c r="X1682" s="165"/>
    </row>
    <row r="1683" ht="18.75" customHeight="1">
      <c r="A1683" s="165">
        <v>1680.0</v>
      </c>
      <c r="B1683" s="167" t="s">
        <v>17138</v>
      </c>
      <c r="C1683" s="165"/>
      <c r="D1683" s="165"/>
      <c r="E1683" s="165"/>
      <c r="F1683" s="165"/>
      <c r="G1683" s="165"/>
      <c r="H1683" s="165"/>
      <c r="I1683" s="165"/>
      <c r="J1683" s="165"/>
      <c r="K1683" s="165"/>
      <c r="L1683" s="165"/>
      <c r="M1683" s="165"/>
      <c r="N1683" s="165"/>
      <c r="O1683" s="165"/>
      <c r="P1683" s="165"/>
      <c r="Q1683" s="165"/>
      <c r="R1683" s="165"/>
      <c r="S1683" s="165"/>
      <c r="T1683" s="165"/>
      <c r="U1683" s="165"/>
      <c r="V1683" s="165"/>
      <c r="W1683" s="165"/>
      <c r="X1683" s="165"/>
    </row>
    <row r="1684" ht="18.75" customHeight="1">
      <c r="A1684" s="165">
        <v>1681.0</v>
      </c>
      <c r="B1684" s="167" t="s">
        <v>17139</v>
      </c>
      <c r="C1684" s="165"/>
      <c r="D1684" s="165"/>
      <c r="E1684" s="165"/>
      <c r="F1684" s="165"/>
      <c r="G1684" s="165"/>
      <c r="H1684" s="165"/>
      <c r="I1684" s="165"/>
      <c r="J1684" s="165"/>
      <c r="K1684" s="165"/>
      <c r="L1684" s="165"/>
      <c r="M1684" s="165"/>
      <c r="N1684" s="165"/>
      <c r="O1684" s="165"/>
      <c r="P1684" s="165"/>
      <c r="Q1684" s="165"/>
      <c r="R1684" s="165"/>
      <c r="S1684" s="165"/>
      <c r="T1684" s="165"/>
      <c r="U1684" s="165"/>
      <c r="V1684" s="165"/>
      <c r="W1684" s="165"/>
      <c r="X1684" s="165"/>
    </row>
    <row r="1685" ht="18.75" customHeight="1">
      <c r="A1685" s="165">
        <v>1682.0</v>
      </c>
      <c r="B1685" s="167" t="s">
        <v>17140</v>
      </c>
      <c r="C1685" s="165"/>
      <c r="D1685" s="165"/>
      <c r="E1685" s="165"/>
      <c r="F1685" s="165"/>
      <c r="G1685" s="165"/>
      <c r="H1685" s="165"/>
      <c r="I1685" s="165"/>
      <c r="J1685" s="165"/>
      <c r="K1685" s="165"/>
      <c r="L1685" s="165"/>
      <c r="M1685" s="165"/>
      <c r="N1685" s="165"/>
      <c r="O1685" s="165"/>
      <c r="P1685" s="165"/>
      <c r="Q1685" s="165"/>
      <c r="R1685" s="165"/>
      <c r="S1685" s="165"/>
      <c r="T1685" s="165"/>
      <c r="U1685" s="165"/>
      <c r="V1685" s="165"/>
      <c r="W1685" s="165"/>
      <c r="X1685" s="165"/>
    </row>
    <row r="1686" ht="18.75" customHeight="1">
      <c r="A1686" s="165">
        <v>1683.0</v>
      </c>
      <c r="B1686" s="167" t="s">
        <v>17141</v>
      </c>
      <c r="C1686" s="165"/>
      <c r="D1686" s="165"/>
      <c r="E1686" s="165"/>
      <c r="F1686" s="165"/>
      <c r="G1686" s="165"/>
      <c r="H1686" s="165"/>
      <c r="I1686" s="165"/>
      <c r="J1686" s="165"/>
      <c r="K1686" s="165"/>
      <c r="L1686" s="165"/>
      <c r="M1686" s="165"/>
      <c r="N1686" s="165"/>
      <c r="O1686" s="165"/>
      <c r="P1686" s="165"/>
      <c r="Q1686" s="165"/>
      <c r="R1686" s="165"/>
      <c r="S1686" s="165"/>
      <c r="T1686" s="165"/>
      <c r="U1686" s="165"/>
      <c r="V1686" s="165"/>
      <c r="W1686" s="165"/>
      <c r="X1686" s="165"/>
    </row>
    <row r="1687" ht="18.75" customHeight="1">
      <c r="A1687" s="165">
        <v>1684.0</v>
      </c>
      <c r="B1687" s="167" t="s">
        <v>17142</v>
      </c>
      <c r="C1687" s="165"/>
      <c r="D1687" s="165"/>
      <c r="E1687" s="165"/>
      <c r="F1687" s="165"/>
      <c r="G1687" s="165"/>
      <c r="H1687" s="165"/>
      <c r="I1687" s="165"/>
      <c r="J1687" s="165"/>
      <c r="K1687" s="165"/>
      <c r="L1687" s="165"/>
      <c r="M1687" s="165"/>
      <c r="N1687" s="165"/>
      <c r="O1687" s="165"/>
      <c r="P1687" s="165"/>
      <c r="Q1687" s="165"/>
      <c r="R1687" s="165"/>
      <c r="S1687" s="165"/>
      <c r="T1687" s="165"/>
      <c r="U1687" s="165"/>
      <c r="V1687" s="165"/>
      <c r="W1687" s="165"/>
      <c r="X1687" s="165"/>
    </row>
    <row r="1688" ht="18.75" customHeight="1">
      <c r="A1688" s="165">
        <v>1685.0</v>
      </c>
      <c r="B1688" s="167" t="s">
        <v>17143</v>
      </c>
      <c r="C1688" s="165"/>
      <c r="D1688" s="165"/>
      <c r="E1688" s="165"/>
      <c r="F1688" s="165"/>
      <c r="G1688" s="165"/>
      <c r="H1688" s="165"/>
      <c r="I1688" s="165"/>
      <c r="J1688" s="165"/>
      <c r="K1688" s="165"/>
      <c r="L1688" s="165"/>
      <c r="M1688" s="165"/>
      <c r="N1688" s="165"/>
      <c r="O1688" s="165"/>
      <c r="P1688" s="165"/>
      <c r="Q1688" s="165"/>
      <c r="R1688" s="165"/>
      <c r="S1688" s="165"/>
      <c r="T1688" s="165"/>
      <c r="U1688" s="165"/>
      <c r="V1688" s="165"/>
      <c r="W1688" s="165"/>
      <c r="X1688" s="165"/>
    </row>
    <row r="1689" ht="18.75" customHeight="1">
      <c r="A1689" s="165">
        <v>1686.0</v>
      </c>
      <c r="B1689" s="167" t="s">
        <v>17144</v>
      </c>
      <c r="C1689" s="165"/>
      <c r="D1689" s="165"/>
      <c r="E1689" s="165"/>
      <c r="F1689" s="165"/>
      <c r="G1689" s="165"/>
      <c r="H1689" s="165"/>
      <c r="I1689" s="165"/>
      <c r="J1689" s="165"/>
      <c r="K1689" s="165"/>
      <c r="L1689" s="165"/>
      <c r="M1689" s="165"/>
      <c r="N1689" s="165"/>
      <c r="O1689" s="165"/>
      <c r="P1689" s="165"/>
      <c r="Q1689" s="165"/>
      <c r="R1689" s="165"/>
      <c r="S1689" s="165"/>
      <c r="T1689" s="165"/>
      <c r="U1689" s="165"/>
      <c r="V1689" s="165"/>
      <c r="W1689" s="165"/>
      <c r="X1689" s="165"/>
    </row>
    <row r="1690" ht="18.75" customHeight="1">
      <c r="A1690" s="165">
        <v>1687.0</v>
      </c>
      <c r="B1690" s="167" t="s">
        <v>17145</v>
      </c>
      <c r="C1690" s="165"/>
      <c r="D1690" s="165"/>
      <c r="E1690" s="165"/>
      <c r="F1690" s="165"/>
      <c r="G1690" s="165"/>
      <c r="H1690" s="165"/>
      <c r="I1690" s="165"/>
      <c r="J1690" s="165"/>
      <c r="K1690" s="165"/>
      <c r="L1690" s="165"/>
      <c r="M1690" s="165"/>
      <c r="N1690" s="165"/>
      <c r="O1690" s="165"/>
      <c r="P1690" s="165"/>
      <c r="Q1690" s="165"/>
      <c r="R1690" s="165"/>
      <c r="S1690" s="165"/>
      <c r="T1690" s="165"/>
      <c r="U1690" s="165"/>
      <c r="V1690" s="165"/>
      <c r="W1690" s="165"/>
      <c r="X1690" s="165"/>
    </row>
    <row r="1691" ht="18.75" customHeight="1">
      <c r="A1691" s="165">
        <v>1688.0</v>
      </c>
      <c r="B1691" s="167" t="s">
        <v>17146</v>
      </c>
      <c r="C1691" s="165"/>
      <c r="D1691" s="165"/>
      <c r="E1691" s="165"/>
      <c r="F1691" s="165"/>
      <c r="G1691" s="165"/>
      <c r="H1691" s="165"/>
      <c r="I1691" s="165"/>
      <c r="J1691" s="165"/>
      <c r="K1691" s="165"/>
      <c r="L1691" s="165"/>
      <c r="M1691" s="165"/>
      <c r="N1691" s="165"/>
      <c r="O1691" s="165"/>
      <c r="P1691" s="165"/>
      <c r="Q1691" s="165"/>
      <c r="R1691" s="165"/>
      <c r="S1691" s="165"/>
      <c r="T1691" s="165"/>
      <c r="U1691" s="165"/>
      <c r="V1691" s="165"/>
      <c r="W1691" s="165"/>
      <c r="X1691" s="165"/>
    </row>
    <row r="1692" ht="18.75" customHeight="1">
      <c r="A1692" s="165">
        <v>1689.0</v>
      </c>
      <c r="B1692" s="167" t="s">
        <v>17147</v>
      </c>
      <c r="C1692" s="165"/>
      <c r="D1692" s="165"/>
      <c r="E1692" s="165"/>
      <c r="F1692" s="165"/>
      <c r="G1692" s="165"/>
      <c r="H1692" s="165"/>
      <c r="I1692" s="165"/>
      <c r="J1692" s="165"/>
      <c r="K1692" s="165"/>
      <c r="L1692" s="165"/>
      <c r="M1692" s="165"/>
      <c r="N1692" s="165"/>
      <c r="O1692" s="165"/>
      <c r="P1692" s="165"/>
      <c r="Q1692" s="165"/>
      <c r="R1692" s="165"/>
      <c r="S1692" s="165"/>
      <c r="T1692" s="165"/>
      <c r="U1692" s="165"/>
      <c r="V1692" s="165"/>
      <c r="W1692" s="165"/>
      <c r="X1692" s="165"/>
    </row>
    <row r="1693" ht="18.75" customHeight="1">
      <c r="A1693" s="165">
        <v>1690.0</v>
      </c>
      <c r="B1693" s="167" t="s">
        <v>17148</v>
      </c>
      <c r="C1693" s="165"/>
      <c r="D1693" s="165"/>
      <c r="E1693" s="165"/>
      <c r="F1693" s="165"/>
      <c r="G1693" s="165"/>
      <c r="H1693" s="165"/>
      <c r="I1693" s="165"/>
      <c r="J1693" s="165"/>
      <c r="K1693" s="165"/>
      <c r="L1693" s="165"/>
      <c r="M1693" s="165"/>
      <c r="N1693" s="165"/>
      <c r="O1693" s="165"/>
      <c r="P1693" s="165"/>
      <c r="Q1693" s="165"/>
      <c r="R1693" s="165"/>
      <c r="S1693" s="165"/>
      <c r="T1693" s="165"/>
      <c r="U1693" s="165"/>
      <c r="V1693" s="165"/>
      <c r="W1693" s="165"/>
      <c r="X1693" s="165"/>
    </row>
    <row r="1694" ht="18.75" customHeight="1">
      <c r="A1694" s="165">
        <v>1691.0</v>
      </c>
      <c r="B1694" s="167" t="s">
        <v>17149</v>
      </c>
      <c r="C1694" s="165"/>
      <c r="D1694" s="165"/>
      <c r="E1694" s="165"/>
      <c r="F1694" s="165"/>
      <c r="G1694" s="165"/>
      <c r="H1694" s="165"/>
      <c r="I1694" s="165"/>
      <c r="J1694" s="165"/>
      <c r="K1694" s="165"/>
      <c r="L1694" s="165"/>
      <c r="M1694" s="165"/>
      <c r="N1694" s="165"/>
      <c r="O1694" s="165"/>
      <c r="P1694" s="165"/>
      <c r="Q1694" s="165"/>
      <c r="R1694" s="165"/>
      <c r="S1694" s="165"/>
      <c r="T1694" s="165"/>
      <c r="U1694" s="165"/>
      <c r="V1694" s="165"/>
      <c r="W1694" s="165"/>
      <c r="X1694" s="165"/>
    </row>
    <row r="1695" ht="18.75" customHeight="1">
      <c r="A1695" s="165">
        <v>1692.0</v>
      </c>
      <c r="B1695" s="167" t="s">
        <v>17150</v>
      </c>
      <c r="C1695" s="165"/>
      <c r="D1695" s="165"/>
      <c r="E1695" s="165"/>
      <c r="F1695" s="165"/>
      <c r="G1695" s="165"/>
      <c r="H1695" s="165"/>
      <c r="I1695" s="165"/>
      <c r="J1695" s="165"/>
      <c r="K1695" s="165"/>
      <c r="L1695" s="165"/>
      <c r="M1695" s="165"/>
      <c r="N1695" s="165"/>
      <c r="O1695" s="165"/>
      <c r="P1695" s="165"/>
      <c r="Q1695" s="165"/>
      <c r="R1695" s="165"/>
      <c r="S1695" s="165"/>
      <c r="T1695" s="165"/>
      <c r="U1695" s="165"/>
      <c r="V1695" s="165"/>
      <c r="W1695" s="165"/>
      <c r="X1695" s="165"/>
    </row>
    <row r="1696" ht="18.75" customHeight="1">
      <c r="A1696" s="165">
        <v>1693.0</v>
      </c>
      <c r="B1696" s="167" t="s">
        <v>17151</v>
      </c>
      <c r="C1696" s="165"/>
      <c r="D1696" s="165"/>
      <c r="E1696" s="165"/>
      <c r="F1696" s="165"/>
      <c r="G1696" s="165"/>
      <c r="H1696" s="165"/>
      <c r="I1696" s="165"/>
      <c r="J1696" s="165"/>
      <c r="K1696" s="165"/>
      <c r="L1696" s="165"/>
      <c r="M1696" s="165"/>
      <c r="N1696" s="165"/>
      <c r="O1696" s="165"/>
      <c r="P1696" s="165"/>
      <c r="Q1696" s="165"/>
      <c r="R1696" s="165"/>
      <c r="S1696" s="165"/>
      <c r="T1696" s="165"/>
      <c r="U1696" s="165"/>
      <c r="V1696" s="165"/>
      <c r="W1696" s="165"/>
      <c r="X1696" s="165"/>
    </row>
    <row r="1697" ht="18.75" customHeight="1">
      <c r="A1697" s="165">
        <v>1694.0</v>
      </c>
      <c r="B1697" s="167" t="s">
        <v>17152</v>
      </c>
      <c r="C1697" s="165"/>
      <c r="D1697" s="165"/>
      <c r="E1697" s="165"/>
      <c r="F1697" s="165"/>
      <c r="G1697" s="165"/>
      <c r="H1697" s="165"/>
      <c r="I1697" s="165"/>
      <c r="J1697" s="165"/>
      <c r="K1697" s="165"/>
      <c r="L1697" s="165"/>
      <c r="M1697" s="165"/>
      <c r="N1697" s="165"/>
      <c r="O1697" s="165"/>
      <c r="P1697" s="165"/>
      <c r="Q1697" s="165"/>
      <c r="R1697" s="165"/>
      <c r="S1697" s="165"/>
      <c r="T1697" s="165"/>
      <c r="U1697" s="165"/>
      <c r="V1697" s="165"/>
      <c r="W1697" s="165"/>
      <c r="X1697" s="165"/>
    </row>
    <row r="1698" ht="18.75" customHeight="1">
      <c r="A1698" s="165">
        <v>1695.0</v>
      </c>
      <c r="B1698" s="167" t="s">
        <v>17153</v>
      </c>
      <c r="C1698" s="165"/>
      <c r="D1698" s="165"/>
      <c r="E1698" s="165"/>
      <c r="F1698" s="165"/>
      <c r="G1698" s="165"/>
      <c r="H1698" s="165"/>
      <c r="I1698" s="165"/>
      <c r="J1698" s="165"/>
      <c r="K1698" s="165"/>
      <c r="L1698" s="165"/>
      <c r="M1698" s="165"/>
      <c r="N1698" s="165"/>
      <c r="O1698" s="165"/>
      <c r="P1698" s="165"/>
      <c r="Q1698" s="165"/>
      <c r="R1698" s="165"/>
      <c r="S1698" s="165"/>
      <c r="T1698" s="165"/>
      <c r="U1698" s="165"/>
      <c r="V1698" s="165"/>
      <c r="W1698" s="165"/>
      <c r="X1698" s="165"/>
    </row>
    <row r="1699" ht="18.75" customHeight="1">
      <c r="A1699" s="165">
        <v>1696.0</v>
      </c>
      <c r="B1699" s="167" t="s">
        <v>17154</v>
      </c>
      <c r="C1699" s="165"/>
      <c r="D1699" s="165"/>
      <c r="E1699" s="165"/>
      <c r="F1699" s="165"/>
      <c r="G1699" s="165"/>
      <c r="H1699" s="165"/>
      <c r="I1699" s="165"/>
      <c r="J1699" s="165"/>
      <c r="K1699" s="165"/>
      <c r="L1699" s="165"/>
      <c r="M1699" s="165"/>
      <c r="N1699" s="165"/>
      <c r="O1699" s="165"/>
      <c r="P1699" s="165"/>
      <c r="Q1699" s="165"/>
      <c r="R1699" s="165"/>
      <c r="S1699" s="165"/>
      <c r="T1699" s="165"/>
      <c r="U1699" s="165"/>
      <c r="V1699" s="165"/>
      <c r="W1699" s="165"/>
      <c r="X1699" s="165"/>
    </row>
    <row r="1700" ht="18.75" customHeight="1">
      <c r="A1700" s="165">
        <v>1697.0</v>
      </c>
      <c r="B1700" s="167" t="s">
        <v>17155</v>
      </c>
      <c r="C1700" s="165"/>
      <c r="D1700" s="165"/>
      <c r="E1700" s="165"/>
      <c r="F1700" s="165"/>
      <c r="G1700" s="165"/>
      <c r="H1700" s="165"/>
      <c r="I1700" s="165"/>
      <c r="J1700" s="165"/>
      <c r="K1700" s="165"/>
      <c r="L1700" s="165"/>
      <c r="M1700" s="165"/>
      <c r="N1700" s="165"/>
      <c r="O1700" s="165"/>
      <c r="P1700" s="165"/>
      <c r="Q1700" s="165"/>
      <c r="R1700" s="165"/>
      <c r="S1700" s="165"/>
      <c r="T1700" s="165"/>
      <c r="U1700" s="165"/>
      <c r="V1700" s="165"/>
      <c r="W1700" s="165"/>
      <c r="X1700" s="165"/>
    </row>
    <row r="1701" ht="18.75" customHeight="1">
      <c r="A1701" s="165">
        <v>1698.0</v>
      </c>
      <c r="B1701" s="167" t="s">
        <v>17156</v>
      </c>
      <c r="C1701" s="165"/>
      <c r="D1701" s="165"/>
      <c r="E1701" s="165"/>
      <c r="F1701" s="165"/>
      <c r="G1701" s="165"/>
      <c r="H1701" s="165"/>
      <c r="I1701" s="165"/>
      <c r="J1701" s="165"/>
      <c r="K1701" s="165"/>
      <c r="L1701" s="165"/>
      <c r="M1701" s="165"/>
      <c r="N1701" s="165"/>
      <c r="O1701" s="165"/>
      <c r="P1701" s="165"/>
      <c r="Q1701" s="165"/>
      <c r="R1701" s="165"/>
      <c r="S1701" s="165"/>
      <c r="T1701" s="165"/>
      <c r="U1701" s="165"/>
      <c r="V1701" s="165"/>
      <c r="W1701" s="165"/>
      <c r="X1701" s="165"/>
    </row>
    <row r="1702" ht="18.75" customHeight="1">
      <c r="A1702" s="165">
        <v>1699.0</v>
      </c>
      <c r="B1702" s="167" t="s">
        <v>17157</v>
      </c>
      <c r="C1702" s="165"/>
      <c r="D1702" s="165"/>
      <c r="E1702" s="165"/>
      <c r="F1702" s="165"/>
      <c r="G1702" s="165"/>
      <c r="H1702" s="165"/>
      <c r="I1702" s="165"/>
      <c r="J1702" s="165"/>
      <c r="K1702" s="165"/>
      <c r="L1702" s="165"/>
      <c r="M1702" s="165"/>
      <c r="N1702" s="165"/>
      <c r="O1702" s="165"/>
      <c r="P1702" s="165"/>
      <c r="Q1702" s="165"/>
      <c r="R1702" s="165"/>
      <c r="S1702" s="165"/>
      <c r="T1702" s="165"/>
      <c r="U1702" s="165"/>
      <c r="V1702" s="165"/>
      <c r="W1702" s="165"/>
      <c r="X1702" s="165"/>
    </row>
    <row r="1703" ht="18.75" customHeight="1">
      <c r="A1703" s="165">
        <v>1700.0</v>
      </c>
      <c r="B1703" s="167" t="s">
        <v>17158</v>
      </c>
      <c r="C1703" s="165"/>
      <c r="D1703" s="165"/>
      <c r="E1703" s="165"/>
      <c r="F1703" s="165"/>
      <c r="G1703" s="165"/>
      <c r="H1703" s="165"/>
      <c r="I1703" s="165"/>
      <c r="J1703" s="165"/>
      <c r="K1703" s="165"/>
      <c r="L1703" s="165"/>
      <c r="M1703" s="165"/>
      <c r="N1703" s="165"/>
      <c r="O1703" s="165"/>
      <c r="P1703" s="165"/>
      <c r="Q1703" s="165"/>
      <c r="R1703" s="165"/>
      <c r="S1703" s="165"/>
      <c r="T1703" s="165"/>
      <c r="U1703" s="165"/>
      <c r="V1703" s="165"/>
      <c r="W1703" s="165"/>
      <c r="X1703" s="165"/>
    </row>
    <row r="1704" ht="18.75" customHeight="1">
      <c r="A1704" s="165">
        <v>1701.0</v>
      </c>
      <c r="B1704" s="167" t="s">
        <v>17159</v>
      </c>
      <c r="C1704" s="165"/>
      <c r="D1704" s="165"/>
      <c r="E1704" s="165"/>
      <c r="F1704" s="165"/>
      <c r="G1704" s="165"/>
      <c r="H1704" s="165"/>
      <c r="I1704" s="165"/>
      <c r="J1704" s="165"/>
      <c r="K1704" s="165"/>
      <c r="L1704" s="165"/>
      <c r="M1704" s="165"/>
      <c r="N1704" s="165"/>
      <c r="O1704" s="165"/>
      <c r="P1704" s="165"/>
      <c r="Q1704" s="165"/>
      <c r="R1704" s="165"/>
      <c r="S1704" s="165"/>
      <c r="T1704" s="165"/>
      <c r="U1704" s="165"/>
      <c r="V1704" s="165"/>
      <c r="W1704" s="165"/>
      <c r="X1704" s="165"/>
    </row>
    <row r="1705" ht="18.75" customHeight="1">
      <c r="A1705" s="165">
        <v>1702.0</v>
      </c>
      <c r="B1705" s="167" t="s">
        <v>17160</v>
      </c>
      <c r="C1705" s="165"/>
      <c r="D1705" s="165"/>
      <c r="E1705" s="165"/>
      <c r="F1705" s="165"/>
      <c r="G1705" s="165"/>
      <c r="H1705" s="165"/>
      <c r="I1705" s="165"/>
      <c r="J1705" s="165"/>
      <c r="K1705" s="165"/>
      <c r="L1705" s="165"/>
      <c r="M1705" s="165"/>
      <c r="N1705" s="165"/>
      <c r="O1705" s="165"/>
      <c r="P1705" s="165"/>
      <c r="Q1705" s="165"/>
      <c r="R1705" s="165"/>
      <c r="S1705" s="165"/>
      <c r="T1705" s="165"/>
      <c r="U1705" s="165"/>
      <c r="V1705" s="165"/>
      <c r="W1705" s="165"/>
      <c r="X1705" s="165"/>
    </row>
    <row r="1706" ht="18.75" customHeight="1">
      <c r="A1706" s="165">
        <v>1703.0</v>
      </c>
      <c r="B1706" s="167" t="s">
        <v>17161</v>
      </c>
      <c r="C1706" s="165"/>
      <c r="D1706" s="165"/>
      <c r="E1706" s="165"/>
      <c r="F1706" s="165"/>
      <c r="G1706" s="165"/>
      <c r="H1706" s="165"/>
      <c r="I1706" s="165"/>
      <c r="J1706" s="165"/>
      <c r="K1706" s="165"/>
      <c r="L1706" s="165"/>
      <c r="M1706" s="165"/>
      <c r="N1706" s="165"/>
      <c r="O1706" s="165"/>
      <c r="P1706" s="165"/>
      <c r="Q1706" s="165"/>
      <c r="R1706" s="165"/>
      <c r="S1706" s="165"/>
      <c r="T1706" s="165"/>
      <c r="U1706" s="165"/>
      <c r="V1706" s="165"/>
      <c r="W1706" s="165"/>
      <c r="X1706" s="165"/>
    </row>
    <row r="1707" ht="18.75" customHeight="1">
      <c r="A1707" s="165">
        <v>1704.0</v>
      </c>
      <c r="B1707" s="167" t="s">
        <v>17162</v>
      </c>
      <c r="C1707" s="165"/>
      <c r="D1707" s="165"/>
      <c r="E1707" s="165"/>
      <c r="F1707" s="165"/>
      <c r="G1707" s="165"/>
      <c r="H1707" s="165"/>
      <c r="I1707" s="165"/>
      <c r="J1707" s="165"/>
      <c r="K1707" s="165"/>
      <c r="L1707" s="165"/>
      <c r="M1707" s="165"/>
      <c r="N1707" s="165"/>
      <c r="O1707" s="165"/>
      <c r="P1707" s="165"/>
      <c r="Q1707" s="165"/>
      <c r="R1707" s="165"/>
      <c r="S1707" s="165"/>
      <c r="T1707" s="165"/>
      <c r="U1707" s="165"/>
      <c r="V1707" s="165"/>
      <c r="W1707" s="165"/>
      <c r="X1707" s="165"/>
    </row>
    <row r="1708" ht="18.75" customHeight="1">
      <c r="A1708" s="165">
        <v>1705.0</v>
      </c>
      <c r="B1708" s="167" t="s">
        <v>17163</v>
      </c>
      <c r="C1708" s="165"/>
      <c r="D1708" s="165"/>
      <c r="E1708" s="165"/>
      <c r="F1708" s="165"/>
      <c r="G1708" s="165"/>
      <c r="H1708" s="165"/>
      <c r="I1708" s="165"/>
      <c r="J1708" s="165"/>
      <c r="K1708" s="165"/>
      <c r="L1708" s="165"/>
      <c r="M1708" s="165"/>
      <c r="N1708" s="165"/>
      <c r="O1708" s="165"/>
      <c r="P1708" s="165"/>
      <c r="Q1708" s="165"/>
      <c r="R1708" s="165"/>
      <c r="S1708" s="165"/>
      <c r="T1708" s="165"/>
      <c r="U1708" s="165"/>
      <c r="V1708" s="165"/>
      <c r="W1708" s="165"/>
      <c r="X1708" s="165"/>
    </row>
    <row r="1709" ht="18.75" customHeight="1">
      <c r="A1709" s="165">
        <v>1706.0</v>
      </c>
      <c r="B1709" s="167" t="s">
        <v>17117</v>
      </c>
      <c r="C1709" s="165"/>
      <c r="D1709" s="165"/>
      <c r="E1709" s="165"/>
      <c r="F1709" s="165"/>
      <c r="G1709" s="165"/>
      <c r="H1709" s="165"/>
      <c r="I1709" s="165"/>
      <c r="J1709" s="165"/>
      <c r="K1709" s="165"/>
      <c r="L1709" s="165"/>
      <c r="M1709" s="165"/>
      <c r="N1709" s="165"/>
      <c r="O1709" s="165"/>
      <c r="P1709" s="165"/>
      <c r="Q1709" s="165"/>
      <c r="R1709" s="165"/>
      <c r="S1709" s="165"/>
      <c r="T1709" s="165"/>
      <c r="U1709" s="165"/>
      <c r="V1709" s="165"/>
      <c r="W1709" s="165"/>
      <c r="X1709" s="165"/>
    </row>
    <row r="1710" ht="18.75" customHeight="1">
      <c r="A1710" s="165">
        <v>1707.0</v>
      </c>
      <c r="B1710" s="165" t="s">
        <v>17164</v>
      </c>
      <c r="C1710" s="165"/>
      <c r="D1710" s="165"/>
      <c r="E1710" s="165"/>
      <c r="F1710" s="165"/>
      <c r="G1710" s="165"/>
      <c r="H1710" s="165"/>
      <c r="I1710" s="165"/>
      <c r="J1710" s="165"/>
      <c r="K1710" s="165"/>
      <c r="L1710" s="165"/>
      <c r="M1710" s="165"/>
      <c r="N1710" s="165"/>
      <c r="O1710" s="165"/>
      <c r="P1710" s="165"/>
      <c r="Q1710" s="165"/>
      <c r="R1710" s="165"/>
      <c r="S1710" s="165"/>
      <c r="T1710" s="165"/>
      <c r="U1710" s="165"/>
      <c r="V1710" s="165"/>
      <c r="W1710" s="165"/>
      <c r="X1710" s="165"/>
    </row>
    <row r="1711" ht="18.75" customHeight="1">
      <c r="A1711" s="165">
        <v>1708.0</v>
      </c>
      <c r="B1711" s="165" t="s">
        <v>17165</v>
      </c>
      <c r="C1711" s="165"/>
      <c r="D1711" s="165"/>
      <c r="E1711" s="165"/>
      <c r="F1711" s="165"/>
      <c r="G1711" s="165"/>
      <c r="H1711" s="165"/>
      <c r="I1711" s="165"/>
      <c r="J1711" s="165"/>
      <c r="K1711" s="165"/>
      <c r="L1711" s="165"/>
      <c r="M1711" s="165"/>
      <c r="N1711" s="165"/>
      <c r="O1711" s="165"/>
      <c r="P1711" s="165"/>
      <c r="Q1711" s="165"/>
      <c r="R1711" s="165"/>
      <c r="S1711" s="165"/>
      <c r="T1711" s="165"/>
      <c r="U1711" s="165"/>
      <c r="V1711" s="165"/>
      <c r="W1711" s="165"/>
      <c r="X1711" s="165"/>
    </row>
    <row r="1712" ht="18.75" customHeight="1">
      <c r="A1712" s="165">
        <v>1709.0</v>
      </c>
      <c r="B1712" s="167" t="s">
        <v>17166</v>
      </c>
      <c r="C1712" s="165"/>
      <c r="D1712" s="165"/>
      <c r="E1712" s="165"/>
      <c r="F1712" s="165"/>
      <c r="G1712" s="165"/>
      <c r="H1712" s="165"/>
      <c r="I1712" s="165"/>
      <c r="J1712" s="165"/>
      <c r="K1712" s="165"/>
      <c r="L1712" s="165"/>
      <c r="M1712" s="165"/>
      <c r="N1712" s="165"/>
      <c r="O1712" s="165"/>
      <c r="P1712" s="165"/>
      <c r="Q1712" s="165"/>
      <c r="R1712" s="165"/>
      <c r="S1712" s="165"/>
      <c r="T1712" s="165"/>
      <c r="U1712" s="165"/>
      <c r="V1712" s="165"/>
      <c r="W1712" s="165"/>
      <c r="X1712" s="165"/>
    </row>
    <row r="1713" ht="18.75" customHeight="1">
      <c r="A1713" s="165">
        <v>1710.0</v>
      </c>
      <c r="B1713" s="167" t="s">
        <v>17167</v>
      </c>
      <c r="C1713" s="165"/>
      <c r="D1713" s="165"/>
      <c r="E1713" s="165"/>
      <c r="F1713" s="165"/>
      <c r="G1713" s="165"/>
      <c r="H1713" s="165"/>
      <c r="I1713" s="165"/>
      <c r="J1713" s="165"/>
      <c r="K1713" s="165"/>
      <c r="L1713" s="165"/>
      <c r="M1713" s="165"/>
      <c r="N1713" s="165"/>
      <c r="O1713" s="165"/>
      <c r="P1713" s="165"/>
      <c r="Q1713" s="165"/>
      <c r="R1713" s="165"/>
      <c r="S1713" s="165"/>
      <c r="T1713" s="165"/>
      <c r="U1713" s="165"/>
      <c r="V1713" s="165"/>
      <c r="W1713" s="165"/>
      <c r="X1713" s="165"/>
    </row>
    <row r="1714" ht="18.75" customHeight="1">
      <c r="A1714" s="165">
        <v>1711.0</v>
      </c>
      <c r="B1714" s="167" t="s">
        <v>17168</v>
      </c>
      <c r="C1714" s="165"/>
      <c r="D1714" s="165"/>
      <c r="E1714" s="165"/>
      <c r="F1714" s="165"/>
      <c r="G1714" s="165"/>
      <c r="H1714" s="165"/>
      <c r="I1714" s="165"/>
      <c r="J1714" s="165"/>
      <c r="K1714" s="165"/>
      <c r="L1714" s="165"/>
      <c r="M1714" s="165"/>
      <c r="N1714" s="165"/>
      <c r="O1714" s="165"/>
      <c r="P1714" s="165"/>
      <c r="Q1714" s="165"/>
      <c r="R1714" s="165"/>
      <c r="S1714" s="165"/>
      <c r="T1714" s="165"/>
      <c r="U1714" s="165"/>
      <c r="V1714" s="165"/>
      <c r="W1714" s="165"/>
      <c r="X1714" s="165"/>
    </row>
    <row r="1715" ht="18.75" customHeight="1">
      <c r="A1715" s="165">
        <v>1712.0</v>
      </c>
      <c r="B1715" s="167" t="s">
        <v>17169</v>
      </c>
      <c r="C1715" s="165"/>
      <c r="D1715" s="165"/>
      <c r="E1715" s="165"/>
      <c r="F1715" s="165"/>
      <c r="G1715" s="165"/>
      <c r="H1715" s="165"/>
      <c r="I1715" s="165"/>
      <c r="J1715" s="165"/>
      <c r="K1715" s="165"/>
      <c r="L1715" s="165"/>
      <c r="M1715" s="165"/>
      <c r="N1715" s="165"/>
      <c r="O1715" s="165"/>
      <c r="P1715" s="165"/>
      <c r="Q1715" s="165"/>
      <c r="R1715" s="165"/>
      <c r="S1715" s="165"/>
      <c r="T1715" s="165"/>
      <c r="U1715" s="165"/>
      <c r="V1715" s="165"/>
      <c r="W1715" s="165"/>
      <c r="X1715" s="165"/>
    </row>
    <row r="1716" ht="18.75" customHeight="1">
      <c r="A1716" s="165">
        <v>1713.0</v>
      </c>
      <c r="B1716" s="167" t="s">
        <v>17170</v>
      </c>
      <c r="C1716" s="165"/>
      <c r="D1716" s="165"/>
      <c r="E1716" s="165"/>
      <c r="F1716" s="165"/>
      <c r="G1716" s="165"/>
      <c r="H1716" s="165"/>
      <c r="I1716" s="165"/>
      <c r="J1716" s="165"/>
      <c r="K1716" s="165"/>
      <c r="L1716" s="165"/>
      <c r="M1716" s="165"/>
      <c r="N1716" s="165"/>
      <c r="O1716" s="165"/>
      <c r="P1716" s="165"/>
      <c r="Q1716" s="165"/>
      <c r="R1716" s="165"/>
      <c r="S1716" s="165"/>
      <c r="T1716" s="165"/>
      <c r="U1716" s="165"/>
      <c r="V1716" s="165"/>
      <c r="W1716" s="165"/>
      <c r="X1716" s="165"/>
    </row>
    <row r="1717" ht="18.75" customHeight="1">
      <c r="A1717" s="165">
        <v>1714.0</v>
      </c>
      <c r="B1717" s="167" t="s">
        <v>17171</v>
      </c>
      <c r="C1717" s="165"/>
      <c r="D1717" s="165"/>
      <c r="E1717" s="165"/>
      <c r="F1717" s="165"/>
      <c r="G1717" s="165"/>
      <c r="H1717" s="165"/>
      <c r="I1717" s="165"/>
      <c r="J1717" s="165"/>
      <c r="K1717" s="165"/>
      <c r="L1717" s="165"/>
      <c r="M1717" s="165"/>
      <c r="N1717" s="165"/>
      <c r="O1717" s="165"/>
      <c r="P1717" s="165"/>
      <c r="Q1717" s="165"/>
      <c r="R1717" s="165"/>
      <c r="S1717" s="165"/>
      <c r="T1717" s="165"/>
      <c r="U1717" s="165"/>
      <c r="V1717" s="165"/>
      <c r="W1717" s="165"/>
      <c r="X1717" s="165"/>
    </row>
    <row r="1718" ht="18.75" customHeight="1">
      <c r="A1718" s="165">
        <v>1715.0</v>
      </c>
      <c r="B1718" s="167" t="s">
        <v>17172</v>
      </c>
      <c r="C1718" s="165"/>
      <c r="D1718" s="165"/>
      <c r="E1718" s="165"/>
      <c r="F1718" s="165"/>
      <c r="G1718" s="165"/>
      <c r="H1718" s="165"/>
      <c r="I1718" s="165"/>
      <c r="J1718" s="165"/>
      <c r="K1718" s="165"/>
      <c r="L1718" s="165"/>
      <c r="M1718" s="165"/>
      <c r="N1718" s="165"/>
      <c r="O1718" s="165"/>
      <c r="P1718" s="165"/>
      <c r="Q1718" s="165"/>
      <c r="R1718" s="165"/>
      <c r="S1718" s="165"/>
      <c r="T1718" s="165"/>
      <c r="U1718" s="165"/>
      <c r="V1718" s="165"/>
      <c r="W1718" s="165"/>
      <c r="X1718" s="165"/>
    </row>
    <row r="1719" ht="18.75" customHeight="1">
      <c r="A1719" s="165">
        <v>1716.0</v>
      </c>
      <c r="B1719" s="167" t="s">
        <v>17173</v>
      </c>
      <c r="C1719" s="165"/>
      <c r="D1719" s="165"/>
      <c r="E1719" s="165"/>
      <c r="F1719" s="165"/>
      <c r="G1719" s="165"/>
      <c r="H1719" s="165"/>
      <c r="I1719" s="165"/>
      <c r="J1719" s="165"/>
      <c r="K1719" s="165"/>
      <c r="L1719" s="165"/>
      <c r="M1719" s="165"/>
      <c r="N1719" s="165"/>
      <c r="O1719" s="165"/>
      <c r="P1719" s="165"/>
      <c r="Q1719" s="165"/>
      <c r="R1719" s="165"/>
      <c r="S1719" s="165"/>
      <c r="T1719" s="165"/>
      <c r="U1719" s="165"/>
      <c r="V1719" s="165"/>
      <c r="W1719" s="165"/>
      <c r="X1719" s="165"/>
    </row>
    <row r="1720" ht="18.75" customHeight="1">
      <c r="A1720" s="165">
        <v>1717.0</v>
      </c>
      <c r="B1720" s="167" t="s">
        <v>17174</v>
      </c>
      <c r="C1720" s="165"/>
      <c r="D1720" s="165"/>
      <c r="E1720" s="165"/>
      <c r="F1720" s="165"/>
      <c r="G1720" s="165"/>
      <c r="H1720" s="165"/>
      <c r="I1720" s="165"/>
      <c r="J1720" s="165"/>
      <c r="K1720" s="165"/>
      <c r="L1720" s="165"/>
      <c r="M1720" s="165"/>
      <c r="N1720" s="165"/>
      <c r="O1720" s="165"/>
      <c r="P1720" s="165"/>
      <c r="Q1720" s="165"/>
      <c r="R1720" s="165"/>
      <c r="S1720" s="165"/>
      <c r="T1720" s="165"/>
      <c r="U1720" s="165"/>
      <c r="V1720" s="165"/>
      <c r="W1720" s="165"/>
      <c r="X1720" s="165"/>
    </row>
    <row r="1721" ht="18.75" customHeight="1">
      <c r="A1721" s="165">
        <v>1718.0</v>
      </c>
      <c r="B1721" s="167" t="s">
        <v>17175</v>
      </c>
      <c r="C1721" s="165"/>
      <c r="D1721" s="165"/>
      <c r="E1721" s="165"/>
      <c r="F1721" s="165"/>
      <c r="G1721" s="165"/>
      <c r="H1721" s="165"/>
      <c r="I1721" s="165"/>
      <c r="J1721" s="165"/>
      <c r="K1721" s="165"/>
      <c r="L1721" s="165"/>
      <c r="M1721" s="165"/>
      <c r="N1721" s="165"/>
      <c r="O1721" s="165"/>
      <c r="P1721" s="165"/>
      <c r="Q1721" s="165"/>
      <c r="R1721" s="165"/>
      <c r="S1721" s="165"/>
      <c r="T1721" s="165"/>
      <c r="U1721" s="165"/>
      <c r="V1721" s="165"/>
      <c r="W1721" s="165"/>
      <c r="X1721" s="165"/>
    </row>
    <row r="1722" ht="18.75" customHeight="1">
      <c r="A1722" s="165">
        <v>1719.0</v>
      </c>
      <c r="B1722" s="167" t="s">
        <v>17176</v>
      </c>
      <c r="C1722" s="165"/>
      <c r="D1722" s="165"/>
      <c r="E1722" s="165"/>
      <c r="F1722" s="165"/>
      <c r="G1722" s="165"/>
      <c r="H1722" s="165"/>
      <c r="I1722" s="165"/>
      <c r="J1722" s="165"/>
      <c r="K1722" s="165"/>
      <c r="L1722" s="165"/>
      <c r="M1722" s="165"/>
      <c r="N1722" s="165"/>
      <c r="O1722" s="165"/>
      <c r="P1722" s="165"/>
      <c r="Q1722" s="165"/>
      <c r="R1722" s="165"/>
      <c r="S1722" s="165"/>
      <c r="T1722" s="165"/>
      <c r="U1722" s="165"/>
      <c r="V1722" s="165"/>
      <c r="W1722" s="165"/>
      <c r="X1722" s="165"/>
    </row>
    <row r="1723" ht="18.75" customHeight="1">
      <c r="A1723" s="165">
        <v>1720.0</v>
      </c>
      <c r="B1723" s="167" t="s">
        <v>17177</v>
      </c>
      <c r="C1723" s="165"/>
      <c r="D1723" s="165"/>
      <c r="E1723" s="165"/>
      <c r="F1723" s="165"/>
      <c r="G1723" s="165"/>
      <c r="H1723" s="165"/>
      <c r="I1723" s="165"/>
      <c r="J1723" s="165"/>
      <c r="K1723" s="165"/>
      <c r="L1723" s="165"/>
      <c r="M1723" s="165"/>
      <c r="N1723" s="165"/>
      <c r="O1723" s="165"/>
      <c r="P1723" s="165"/>
      <c r="Q1723" s="165"/>
      <c r="R1723" s="165"/>
      <c r="S1723" s="165"/>
      <c r="T1723" s="165"/>
      <c r="U1723" s="165"/>
      <c r="V1723" s="165"/>
      <c r="W1723" s="165"/>
      <c r="X1723" s="165"/>
    </row>
    <row r="1724" ht="18.75" customHeight="1">
      <c r="A1724" s="165">
        <v>1721.0</v>
      </c>
      <c r="B1724" s="167" t="s">
        <v>17178</v>
      </c>
      <c r="C1724" s="165"/>
      <c r="D1724" s="165"/>
      <c r="E1724" s="165"/>
      <c r="F1724" s="165"/>
      <c r="G1724" s="165"/>
      <c r="H1724" s="165"/>
      <c r="I1724" s="165"/>
      <c r="J1724" s="165"/>
      <c r="K1724" s="165"/>
      <c r="L1724" s="165"/>
      <c r="M1724" s="165"/>
      <c r="N1724" s="165"/>
      <c r="O1724" s="165"/>
      <c r="P1724" s="165"/>
      <c r="Q1724" s="165"/>
      <c r="R1724" s="165"/>
      <c r="S1724" s="165"/>
      <c r="T1724" s="165"/>
      <c r="U1724" s="165"/>
      <c r="V1724" s="165"/>
      <c r="W1724" s="165"/>
      <c r="X1724" s="165"/>
    </row>
    <row r="1725" ht="18.75" customHeight="1">
      <c r="A1725" s="165">
        <v>1722.0</v>
      </c>
      <c r="B1725" s="167" t="s">
        <v>17179</v>
      </c>
      <c r="C1725" s="165"/>
      <c r="D1725" s="165"/>
      <c r="E1725" s="165"/>
      <c r="F1725" s="165"/>
      <c r="G1725" s="165"/>
      <c r="H1725" s="165"/>
      <c r="I1725" s="165"/>
      <c r="J1725" s="165"/>
      <c r="K1725" s="165"/>
      <c r="L1725" s="165"/>
      <c r="M1725" s="165"/>
      <c r="N1725" s="165"/>
      <c r="O1725" s="165"/>
      <c r="P1725" s="165"/>
      <c r="Q1725" s="165"/>
      <c r="R1725" s="165"/>
      <c r="S1725" s="165"/>
      <c r="T1725" s="165"/>
      <c r="U1725" s="165"/>
      <c r="V1725" s="165"/>
      <c r="W1725" s="165"/>
      <c r="X1725" s="165"/>
    </row>
    <row r="1726" ht="18.75" customHeight="1">
      <c r="A1726" s="165">
        <v>1723.0</v>
      </c>
      <c r="B1726" s="167" t="s">
        <v>17180</v>
      </c>
      <c r="C1726" s="165"/>
      <c r="D1726" s="165"/>
      <c r="E1726" s="165"/>
      <c r="F1726" s="165"/>
      <c r="G1726" s="165"/>
      <c r="H1726" s="165"/>
      <c r="I1726" s="165"/>
      <c r="J1726" s="165"/>
      <c r="K1726" s="165"/>
      <c r="L1726" s="165"/>
      <c r="M1726" s="165"/>
      <c r="N1726" s="165"/>
      <c r="O1726" s="165"/>
      <c r="P1726" s="165"/>
      <c r="Q1726" s="165"/>
      <c r="R1726" s="165"/>
      <c r="S1726" s="165"/>
      <c r="T1726" s="165"/>
      <c r="U1726" s="165"/>
      <c r="V1726" s="165"/>
      <c r="W1726" s="165"/>
      <c r="X1726" s="165"/>
    </row>
    <row r="1727" ht="18.75" customHeight="1">
      <c r="A1727" s="165">
        <v>1724.0</v>
      </c>
      <c r="B1727" s="165" t="s">
        <v>17181</v>
      </c>
      <c r="C1727" s="165"/>
      <c r="D1727" s="165"/>
      <c r="E1727" s="165"/>
      <c r="F1727" s="165"/>
      <c r="G1727" s="165"/>
      <c r="H1727" s="165"/>
      <c r="I1727" s="165"/>
      <c r="J1727" s="165"/>
      <c r="K1727" s="165"/>
      <c r="L1727" s="165"/>
      <c r="M1727" s="165"/>
      <c r="N1727" s="165"/>
      <c r="O1727" s="165"/>
      <c r="P1727" s="165"/>
      <c r="Q1727" s="165"/>
      <c r="R1727" s="165"/>
      <c r="S1727" s="165"/>
      <c r="T1727" s="165"/>
      <c r="U1727" s="165"/>
      <c r="V1727" s="165"/>
      <c r="W1727" s="165"/>
      <c r="X1727" s="165"/>
    </row>
    <row r="1728" ht="18.75" customHeight="1">
      <c r="A1728" s="165">
        <v>1725.0</v>
      </c>
      <c r="B1728" s="167" t="s">
        <v>17182</v>
      </c>
      <c r="C1728" s="165"/>
      <c r="D1728" s="165"/>
      <c r="E1728" s="165"/>
      <c r="F1728" s="165"/>
      <c r="G1728" s="165"/>
      <c r="H1728" s="165"/>
      <c r="I1728" s="165"/>
      <c r="J1728" s="165"/>
      <c r="K1728" s="165"/>
      <c r="L1728" s="165"/>
      <c r="M1728" s="165"/>
      <c r="N1728" s="165"/>
      <c r="O1728" s="165"/>
      <c r="P1728" s="165"/>
      <c r="Q1728" s="165"/>
      <c r="R1728" s="165"/>
      <c r="S1728" s="165"/>
      <c r="T1728" s="165"/>
      <c r="U1728" s="165"/>
      <c r="V1728" s="165"/>
      <c r="W1728" s="165"/>
      <c r="X1728" s="165"/>
    </row>
    <row r="1729" ht="18.75" customHeight="1">
      <c r="A1729" s="165">
        <v>1726.0</v>
      </c>
      <c r="B1729" s="165" t="s">
        <v>17183</v>
      </c>
      <c r="C1729" s="165"/>
      <c r="D1729" s="165"/>
      <c r="E1729" s="165"/>
      <c r="F1729" s="165"/>
      <c r="G1729" s="165"/>
      <c r="H1729" s="165"/>
      <c r="I1729" s="165"/>
      <c r="J1729" s="165"/>
      <c r="K1729" s="165"/>
      <c r="L1729" s="165"/>
      <c r="M1729" s="165"/>
      <c r="N1729" s="165"/>
      <c r="O1729" s="165"/>
      <c r="P1729" s="165"/>
      <c r="Q1729" s="165"/>
      <c r="R1729" s="165"/>
      <c r="S1729" s="165"/>
      <c r="T1729" s="165"/>
      <c r="U1729" s="165"/>
      <c r="V1729" s="165"/>
      <c r="W1729" s="165"/>
      <c r="X1729" s="165"/>
    </row>
    <row r="1730" ht="18.75" customHeight="1">
      <c r="A1730" s="165">
        <v>1727.0</v>
      </c>
      <c r="B1730" s="165" t="s">
        <v>17184</v>
      </c>
      <c r="C1730" s="165"/>
      <c r="D1730" s="165"/>
      <c r="E1730" s="165"/>
      <c r="F1730" s="165"/>
      <c r="G1730" s="165"/>
      <c r="H1730" s="165"/>
      <c r="I1730" s="165"/>
      <c r="J1730" s="165"/>
      <c r="K1730" s="165"/>
      <c r="L1730" s="165"/>
      <c r="M1730" s="165"/>
      <c r="N1730" s="165"/>
      <c r="O1730" s="165"/>
      <c r="P1730" s="165"/>
      <c r="Q1730" s="165"/>
      <c r="R1730" s="165"/>
      <c r="S1730" s="165"/>
      <c r="T1730" s="165"/>
      <c r="U1730" s="165"/>
      <c r="V1730" s="165"/>
      <c r="W1730" s="165"/>
      <c r="X1730" s="165"/>
    </row>
    <row r="1731" ht="18.75" customHeight="1">
      <c r="A1731" s="165">
        <v>1728.0</v>
      </c>
      <c r="B1731" s="167" t="s">
        <v>17185</v>
      </c>
      <c r="C1731" s="165"/>
      <c r="D1731" s="165"/>
      <c r="E1731" s="165"/>
      <c r="F1731" s="165"/>
      <c r="G1731" s="165"/>
      <c r="H1731" s="165"/>
      <c r="I1731" s="165"/>
      <c r="J1731" s="165"/>
      <c r="K1731" s="165"/>
      <c r="L1731" s="165"/>
      <c r="M1731" s="165"/>
      <c r="N1731" s="165"/>
      <c r="O1731" s="165"/>
      <c r="P1731" s="165"/>
      <c r="Q1731" s="165"/>
      <c r="R1731" s="165"/>
      <c r="S1731" s="165"/>
      <c r="T1731" s="165"/>
      <c r="U1731" s="165"/>
      <c r="V1731" s="165"/>
      <c r="W1731" s="165"/>
      <c r="X1731" s="165"/>
    </row>
    <row r="1732" ht="18.75" customHeight="1">
      <c r="A1732" s="165">
        <v>1729.0</v>
      </c>
      <c r="B1732" s="167" t="s">
        <v>17186</v>
      </c>
      <c r="C1732" s="165"/>
      <c r="D1732" s="165"/>
      <c r="E1732" s="165"/>
      <c r="F1732" s="165"/>
      <c r="G1732" s="165"/>
      <c r="H1732" s="165"/>
      <c r="I1732" s="165"/>
      <c r="J1732" s="165"/>
      <c r="K1732" s="165"/>
      <c r="L1732" s="165"/>
      <c r="M1732" s="165"/>
      <c r="N1732" s="165"/>
      <c r="O1732" s="165"/>
      <c r="P1732" s="165"/>
      <c r="Q1732" s="165"/>
      <c r="R1732" s="165"/>
      <c r="S1732" s="165"/>
      <c r="T1732" s="165"/>
      <c r="U1732" s="165"/>
      <c r="V1732" s="165"/>
      <c r="W1732" s="165"/>
      <c r="X1732" s="165"/>
    </row>
    <row r="1733" ht="18.75" customHeight="1">
      <c r="A1733" s="165">
        <v>1730.0</v>
      </c>
      <c r="B1733" s="165" t="s">
        <v>17187</v>
      </c>
      <c r="C1733" s="165"/>
      <c r="D1733" s="165"/>
      <c r="E1733" s="165"/>
      <c r="F1733" s="165"/>
      <c r="G1733" s="165"/>
      <c r="H1733" s="165"/>
      <c r="I1733" s="165"/>
      <c r="J1733" s="165"/>
      <c r="K1733" s="165"/>
      <c r="L1733" s="165"/>
      <c r="M1733" s="165"/>
      <c r="N1733" s="165"/>
      <c r="O1733" s="165"/>
      <c r="P1733" s="165"/>
      <c r="Q1733" s="165"/>
      <c r="R1733" s="165"/>
      <c r="S1733" s="165"/>
      <c r="T1733" s="165"/>
      <c r="U1733" s="165"/>
      <c r="V1733" s="165"/>
      <c r="W1733" s="165"/>
      <c r="X1733" s="165"/>
    </row>
    <row r="1734" ht="18.75" customHeight="1">
      <c r="A1734" s="165">
        <v>1731.0</v>
      </c>
      <c r="B1734" s="165" t="s">
        <v>17188</v>
      </c>
      <c r="C1734" s="165"/>
      <c r="D1734" s="165"/>
      <c r="E1734" s="165"/>
      <c r="F1734" s="165"/>
      <c r="G1734" s="165"/>
      <c r="H1734" s="165"/>
      <c r="I1734" s="165"/>
      <c r="J1734" s="165"/>
      <c r="K1734" s="165"/>
      <c r="L1734" s="165"/>
      <c r="M1734" s="165"/>
      <c r="N1734" s="165"/>
      <c r="O1734" s="165"/>
      <c r="P1734" s="165"/>
      <c r="Q1734" s="165"/>
      <c r="R1734" s="165"/>
      <c r="S1734" s="165"/>
      <c r="T1734" s="165"/>
      <c r="U1734" s="165"/>
      <c r="V1734" s="165"/>
      <c r="W1734" s="165"/>
      <c r="X1734" s="165"/>
    </row>
    <row r="1735" ht="18.75" customHeight="1">
      <c r="A1735" s="165">
        <v>1732.0</v>
      </c>
      <c r="B1735" s="165" t="s">
        <v>17189</v>
      </c>
      <c r="C1735" s="165"/>
      <c r="D1735" s="165"/>
      <c r="E1735" s="165"/>
      <c r="F1735" s="165"/>
      <c r="G1735" s="165"/>
      <c r="H1735" s="165"/>
      <c r="I1735" s="165"/>
      <c r="J1735" s="165"/>
      <c r="K1735" s="165"/>
      <c r="L1735" s="165"/>
      <c r="M1735" s="165"/>
      <c r="N1735" s="165"/>
      <c r="O1735" s="165"/>
      <c r="P1735" s="165"/>
      <c r="Q1735" s="165"/>
      <c r="R1735" s="165"/>
      <c r="S1735" s="165"/>
      <c r="T1735" s="165"/>
      <c r="U1735" s="165"/>
      <c r="V1735" s="165"/>
      <c r="W1735" s="165"/>
      <c r="X1735" s="165"/>
    </row>
    <row r="1736" ht="18.75" customHeight="1">
      <c r="A1736" s="165">
        <v>1733.0</v>
      </c>
      <c r="B1736" s="165" t="s">
        <v>17190</v>
      </c>
      <c r="C1736" s="165"/>
      <c r="D1736" s="165"/>
      <c r="E1736" s="165"/>
      <c r="F1736" s="165"/>
      <c r="G1736" s="165"/>
      <c r="H1736" s="165"/>
      <c r="I1736" s="165"/>
      <c r="J1736" s="165"/>
      <c r="K1736" s="165"/>
      <c r="L1736" s="165"/>
      <c r="M1736" s="165"/>
      <c r="N1736" s="165"/>
      <c r="O1736" s="165"/>
      <c r="P1736" s="165"/>
      <c r="Q1736" s="165"/>
      <c r="R1736" s="165"/>
      <c r="S1736" s="165"/>
      <c r="T1736" s="165"/>
      <c r="U1736" s="165"/>
      <c r="V1736" s="165"/>
      <c r="W1736" s="165"/>
      <c r="X1736" s="165"/>
    </row>
    <row r="1737" ht="18.75" customHeight="1">
      <c r="A1737" s="165">
        <v>1734.0</v>
      </c>
      <c r="B1737" s="165" t="s">
        <v>17191</v>
      </c>
      <c r="C1737" s="165"/>
      <c r="D1737" s="165"/>
      <c r="E1737" s="165"/>
      <c r="F1737" s="165"/>
      <c r="G1737" s="165"/>
      <c r="H1737" s="165"/>
      <c r="I1737" s="165"/>
      <c r="J1737" s="165"/>
      <c r="K1737" s="165"/>
      <c r="L1737" s="165"/>
      <c r="M1737" s="165"/>
      <c r="N1737" s="165"/>
      <c r="O1737" s="165"/>
      <c r="P1737" s="165"/>
      <c r="Q1737" s="165"/>
      <c r="R1737" s="165"/>
      <c r="S1737" s="165"/>
      <c r="T1737" s="165"/>
      <c r="U1737" s="165"/>
      <c r="V1737" s="165"/>
      <c r="W1737" s="165"/>
      <c r="X1737" s="165"/>
    </row>
    <row r="1738" ht="18.75" customHeight="1">
      <c r="A1738" s="165">
        <v>1735.0</v>
      </c>
      <c r="B1738" s="165" t="s">
        <v>17192</v>
      </c>
      <c r="C1738" s="165"/>
      <c r="D1738" s="165"/>
      <c r="E1738" s="165"/>
      <c r="F1738" s="165"/>
      <c r="G1738" s="165"/>
      <c r="H1738" s="165"/>
      <c r="I1738" s="165"/>
      <c r="J1738" s="165"/>
      <c r="K1738" s="165"/>
      <c r="L1738" s="165"/>
      <c r="M1738" s="165"/>
      <c r="N1738" s="165"/>
      <c r="O1738" s="165"/>
      <c r="P1738" s="165"/>
      <c r="Q1738" s="165"/>
      <c r="R1738" s="165"/>
      <c r="S1738" s="165"/>
      <c r="T1738" s="165"/>
      <c r="U1738" s="165"/>
      <c r="V1738" s="165"/>
      <c r="W1738" s="165"/>
      <c r="X1738" s="165"/>
    </row>
    <row r="1739" ht="18.75" customHeight="1">
      <c r="A1739" s="165">
        <v>1736.0</v>
      </c>
      <c r="B1739" s="165" t="s">
        <v>17193</v>
      </c>
      <c r="C1739" s="165"/>
      <c r="D1739" s="165"/>
      <c r="E1739" s="165"/>
      <c r="F1739" s="165"/>
      <c r="G1739" s="165"/>
      <c r="H1739" s="165"/>
      <c r="I1739" s="165"/>
      <c r="J1739" s="165"/>
      <c r="K1739" s="165"/>
      <c r="L1739" s="165"/>
      <c r="M1739" s="165"/>
      <c r="N1739" s="165"/>
      <c r="O1739" s="165"/>
      <c r="P1739" s="165"/>
      <c r="Q1739" s="165"/>
      <c r="R1739" s="165"/>
      <c r="S1739" s="165"/>
      <c r="T1739" s="165"/>
      <c r="U1739" s="165"/>
      <c r="V1739" s="165"/>
      <c r="W1739" s="165"/>
      <c r="X1739" s="165"/>
    </row>
    <row r="1740" ht="18.75" customHeight="1">
      <c r="A1740" s="165">
        <v>1737.0</v>
      </c>
      <c r="B1740" s="165" t="s">
        <v>17194</v>
      </c>
      <c r="C1740" s="165"/>
      <c r="D1740" s="165"/>
      <c r="E1740" s="165"/>
      <c r="F1740" s="165"/>
      <c r="G1740" s="165"/>
      <c r="H1740" s="165"/>
      <c r="I1740" s="165"/>
      <c r="J1740" s="165"/>
      <c r="K1740" s="165"/>
      <c r="L1740" s="165"/>
      <c r="M1740" s="165"/>
      <c r="N1740" s="165"/>
      <c r="O1740" s="165"/>
      <c r="P1740" s="165"/>
      <c r="Q1740" s="165"/>
      <c r="R1740" s="165"/>
      <c r="S1740" s="165"/>
      <c r="T1740" s="165"/>
      <c r="U1740" s="165"/>
      <c r="V1740" s="165"/>
      <c r="W1740" s="165"/>
      <c r="X1740" s="165"/>
    </row>
    <row r="1741" ht="18.75" customHeight="1">
      <c r="A1741" s="165">
        <v>1738.0</v>
      </c>
      <c r="B1741" s="165" t="s">
        <v>17195</v>
      </c>
      <c r="C1741" s="165"/>
      <c r="D1741" s="165"/>
      <c r="E1741" s="165"/>
      <c r="F1741" s="165"/>
      <c r="G1741" s="165"/>
      <c r="H1741" s="165"/>
      <c r="I1741" s="165"/>
      <c r="J1741" s="165"/>
      <c r="K1741" s="165"/>
      <c r="L1741" s="165"/>
      <c r="M1741" s="165"/>
      <c r="N1741" s="165"/>
      <c r="O1741" s="165"/>
      <c r="P1741" s="165"/>
      <c r="Q1741" s="165"/>
      <c r="R1741" s="165"/>
      <c r="S1741" s="165"/>
      <c r="T1741" s="165"/>
      <c r="U1741" s="165"/>
      <c r="V1741" s="165"/>
      <c r="W1741" s="165"/>
      <c r="X1741" s="165"/>
    </row>
    <row r="1742" ht="18.75" customHeight="1">
      <c r="A1742" s="165">
        <v>1739.0</v>
      </c>
      <c r="B1742" s="167" t="s">
        <v>17196</v>
      </c>
      <c r="C1742" s="165"/>
      <c r="D1742" s="165"/>
      <c r="E1742" s="165"/>
      <c r="F1742" s="165"/>
      <c r="G1742" s="165"/>
      <c r="H1742" s="165"/>
      <c r="I1742" s="165"/>
      <c r="J1742" s="165"/>
      <c r="K1742" s="165"/>
      <c r="L1742" s="165"/>
      <c r="M1742" s="165"/>
      <c r="N1742" s="165"/>
      <c r="O1742" s="165"/>
      <c r="P1742" s="165"/>
      <c r="Q1742" s="165"/>
      <c r="R1742" s="165"/>
      <c r="S1742" s="165"/>
      <c r="T1742" s="165"/>
      <c r="U1742" s="165"/>
      <c r="V1742" s="165"/>
      <c r="W1742" s="165"/>
      <c r="X1742" s="165"/>
    </row>
    <row r="1743" ht="18.75" customHeight="1">
      <c r="A1743" s="165">
        <v>1740.0</v>
      </c>
      <c r="B1743" s="167" t="s">
        <v>17197</v>
      </c>
      <c r="C1743" s="165"/>
      <c r="D1743" s="165"/>
      <c r="E1743" s="165"/>
      <c r="F1743" s="165"/>
      <c r="G1743" s="165"/>
      <c r="H1743" s="165"/>
      <c r="I1743" s="165"/>
      <c r="J1743" s="165"/>
      <c r="K1743" s="165"/>
      <c r="L1743" s="165"/>
      <c r="M1743" s="165"/>
      <c r="N1743" s="165"/>
      <c r="O1743" s="165"/>
      <c r="P1743" s="165"/>
      <c r="Q1743" s="165"/>
      <c r="R1743" s="165"/>
      <c r="S1743" s="165"/>
      <c r="T1743" s="165"/>
      <c r="U1743" s="165"/>
      <c r="V1743" s="165"/>
      <c r="W1743" s="165"/>
      <c r="X1743" s="165"/>
    </row>
    <row r="1744" ht="18.75" customHeight="1">
      <c r="A1744" s="165">
        <v>1741.0</v>
      </c>
      <c r="B1744" s="167" t="s">
        <v>17198</v>
      </c>
      <c r="C1744" s="165"/>
      <c r="D1744" s="165"/>
      <c r="E1744" s="165"/>
      <c r="F1744" s="165"/>
      <c r="G1744" s="165"/>
      <c r="H1744" s="165"/>
      <c r="I1744" s="165"/>
      <c r="J1744" s="165"/>
      <c r="K1744" s="165"/>
      <c r="L1744" s="165"/>
      <c r="M1744" s="165"/>
      <c r="N1744" s="165"/>
      <c r="O1744" s="165"/>
      <c r="P1744" s="165"/>
      <c r="Q1744" s="165"/>
      <c r="R1744" s="165"/>
      <c r="S1744" s="165"/>
      <c r="T1744" s="165"/>
      <c r="U1744" s="165"/>
      <c r="V1744" s="165"/>
      <c r="W1744" s="165"/>
      <c r="X1744" s="165"/>
    </row>
    <row r="1745" ht="18.75" customHeight="1">
      <c r="A1745" s="165">
        <v>1742.0</v>
      </c>
      <c r="B1745" s="165" t="s">
        <v>17199</v>
      </c>
      <c r="C1745" s="165"/>
      <c r="D1745" s="165"/>
      <c r="E1745" s="165"/>
      <c r="F1745" s="165"/>
      <c r="G1745" s="165"/>
      <c r="H1745" s="165"/>
      <c r="I1745" s="165"/>
      <c r="J1745" s="165"/>
      <c r="K1745" s="165"/>
      <c r="L1745" s="165"/>
      <c r="M1745" s="165"/>
      <c r="N1745" s="165"/>
      <c r="O1745" s="165"/>
      <c r="P1745" s="165"/>
      <c r="Q1745" s="165"/>
      <c r="R1745" s="165"/>
      <c r="S1745" s="165"/>
      <c r="T1745" s="165"/>
      <c r="U1745" s="165"/>
      <c r="V1745" s="165"/>
      <c r="W1745" s="165"/>
      <c r="X1745" s="165"/>
    </row>
    <row r="1746" ht="18.75" customHeight="1">
      <c r="A1746" s="165">
        <v>1743.0</v>
      </c>
      <c r="B1746" s="165" t="s">
        <v>17200</v>
      </c>
      <c r="C1746" s="165"/>
      <c r="D1746" s="165"/>
      <c r="E1746" s="165"/>
      <c r="F1746" s="165"/>
      <c r="G1746" s="165"/>
      <c r="H1746" s="165"/>
      <c r="I1746" s="165"/>
      <c r="J1746" s="165"/>
      <c r="K1746" s="165"/>
      <c r="L1746" s="165"/>
      <c r="M1746" s="165"/>
      <c r="N1746" s="165"/>
      <c r="O1746" s="165"/>
      <c r="P1746" s="165"/>
      <c r="Q1746" s="165"/>
      <c r="R1746" s="165"/>
      <c r="S1746" s="165"/>
      <c r="T1746" s="165"/>
      <c r="U1746" s="165"/>
      <c r="V1746" s="165"/>
      <c r="W1746" s="165"/>
      <c r="X1746" s="165"/>
    </row>
    <row r="1747" ht="18.75" customHeight="1">
      <c r="A1747" s="165">
        <v>1744.0</v>
      </c>
      <c r="B1747" s="165" t="s">
        <v>17201</v>
      </c>
      <c r="C1747" s="165"/>
      <c r="D1747" s="165"/>
      <c r="E1747" s="165"/>
      <c r="F1747" s="165"/>
      <c r="G1747" s="165"/>
      <c r="H1747" s="165"/>
      <c r="I1747" s="165"/>
      <c r="J1747" s="165"/>
      <c r="K1747" s="165"/>
      <c r="L1747" s="165"/>
      <c r="M1747" s="165"/>
      <c r="N1747" s="165"/>
      <c r="O1747" s="165"/>
      <c r="P1747" s="165"/>
      <c r="Q1747" s="165"/>
      <c r="R1747" s="165"/>
      <c r="S1747" s="165"/>
      <c r="T1747" s="165"/>
      <c r="U1747" s="165"/>
      <c r="V1747" s="165"/>
      <c r="W1747" s="165"/>
      <c r="X1747" s="165"/>
    </row>
    <row r="1748" ht="18.75" customHeight="1">
      <c r="A1748" s="165">
        <v>1745.0</v>
      </c>
      <c r="B1748" s="167" t="s">
        <v>17202</v>
      </c>
      <c r="C1748" s="165"/>
      <c r="D1748" s="165"/>
      <c r="E1748" s="165"/>
      <c r="F1748" s="165"/>
      <c r="G1748" s="165"/>
      <c r="H1748" s="165"/>
      <c r="I1748" s="165"/>
      <c r="J1748" s="165"/>
      <c r="K1748" s="165"/>
      <c r="L1748" s="165"/>
      <c r="M1748" s="165"/>
      <c r="N1748" s="165"/>
      <c r="O1748" s="165"/>
      <c r="P1748" s="165"/>
      <c r="Q1748" s="165"/>
      <c r="R1748" s="165"/>
      <c r="S1748" s="165"/>
      <c r="T1748" s="165"/>
      <c r="U1748" s="165"/>
      <c r="V1748" s="165"/>
      <c r="W1748" s="165"/>
      <c r="X1748" s="165"/>
    </row>
    <row r="1749" ht="18.75" customHeight="1">
      <c r="A1749" s="165">
        <v>1746.0</v>
      </c>
      <c r="B1749" s="165" t="s">
        <v>17203</v>
      </c>
      <c r="C1749" s="165"/>
      <c r="D1749" s="165"/>
      <c r="E1749" s="165"/>
      <c r="F1749" s="165"/>
      <c r="G1749" s="165"/>
      <c r="H1749" s="165"/>
      <c r="I1749" s="165"/>
      <c r="J1749" s="165"/>
      <c r="K1749" s="165"/>
      <c r="L1749" s="165"/>
      <c r="M1749" s="165"/>
      <c r="N1749" s="165"/>
      <c r="O1749" s="165"/>
      <c r="P1749" s="165"/>
      <c r="Q1749" s="165"/>
      <c r="R1749" s="165"/>
      <c r="S1749" s="165"/>
      <c r="T1749" s="165"/>
      <c r="U1749" s="165"/>
      <c r="V1749" s="165"/>
      <c r="W1749" s="165"/>
      <c r="X1749" s="165"/>
    </row>
    <row r="1750" ht="18.75" customHeight="1">
      <c r="A1750" s="165">
        <v>1747.0</v>
      </c>
      <c r="B1750" s="165" t="s">
        <v>17204</v>
      </c>
      <c r="C1750" s="165"/>
      <c r="D1750" s="165"/>
      <c r="E1750" s="165"/>
      <c r="F1750" s="165"/>
      <c r="G1750" s="165"/>
      <c r="H1750" s="165"/>
      <c r="I1750" s="165"/>
      <c r="J1750" s="165"/>
      <c r="K1750" s="165"/>
      <c r="L1750" s="165"/>
      <c r="M1750" s="165"/>
      <c r="N1750" s="165"/>
      <c r="O1750" s="165"/>
      <c r="P1750" s="165"/>
      <c r="Q1750" s="165"/>
      <c r="R1750" s="165"/>
      <c r="S1750" s="165"/>
      <c r="T1750" s="165"/>
      <c r="U1750" s="165"/>
      <c r="V1750" s="165"/>
      <c r="W1750" s="165"/>
      <c r="X1750" s="165"/>
    </row>
    <row r="1751" ht="18.75" customHeight="1">
      <c r="A1751" s="165">
        <v>1748.0</v>
      </c>
      <c r="B1751" s="167" t="s">
        <v>17205</v>
      </c>
      <c r="C1751" s="165"/>
      <c r="D1751" s="165"/>
      <c r="E1751" s="165"/>
      <c r="F1751" s="165"/>
      <c r="G1751" s="165"/>
      <c r="H1751" s="165"/>
      <c r="I1751" s="165"/>
      <c r="J1751" s="165"/>
      <c r="K1751" s="165"/>
      <c r="L1751" s="165"/>
      <c r="M1751" s="165"/>
      <c r="N1751" s="165"/>
      <c r="O1751" s="165"/>
      <c r="P1751" s="165"/>
      <c r="Q1751" s="165"/>
      <c r="R1751" s="165"/>
      <c r="S1751" s="165"/>
      <c r="T1751" s="165"/>
      <c r="U1751" s="165"/>
      <c r="V1751" s="165"/>
      <c r="W1751" s="165"/>
      <c r="X1751" s="165"/>
    </row>
    <row r="1752" ht="18.75" customHeight="1">
      <c r="A1752" s="165">
        <v>1749.0</v>
      </c>
      <c r="B1752" s="167" t="s">
        <v>17206</v>
      </c>
      <c r="C1752" s="165"/>
      <c r="D1752" s="165"/>
      <c r="E1752" s="165"/>
      <c r="F1752" s="165"/>
      <c r="G1752" s="165"/>
      <c r="H1752" s="165"/>
      <c r="I1752" s="165"/>
      <c r="J1752" s="165"/>
      <c r="K1752" s="165"/>
      <c r="L1752" s="165"/>
      <c r="M1752" s="165"/>
      <c r="N1752" s="165"/>
      <c r="O1752" s="165"/>
      <c r="P1752" s="165"/>
      <c r="Q1752" s="165"/>
      <c r="R1752" s="165"/>
      <c r="S1752" s="165"/>
      <c r="T1752" s="165"/>
      <c r="U1752" s="165"/>
      <c r="V1752" s="165"/>
      <c r="W1752" s="165"/>
      <c r="X1752" s="165"/>
    </row>
    <row r="1753" ht="18.75" customHeight="1">
      <c r="A1753" s="165">
        <v>1750.0</v>
      </c>
      <c r="B1753" s="165" t="s">
        <v>17207</v>
      </c>
      <c r="C1753" s="165"/>
      <c r="D1753" s="165"/>
      <c r="E1753" s="165"/>
      <c r="F1753" s="165"/>
      <c r="G1753" s="165"/>
      <c r="H1753" s="165"/>
      <c r="I1753" s="165"/>
      <c r="J1753" s="165"/>
      <c r="K1753" s="165"/>
      <c r="L1753" s="165"/>
      <c r="M1753" s="165"/>
      <c r="N1753" s="165"/>
      <c r="O1753" s="165"/>
      <c r="P1753" s="165"/>
      <c r="Q1753" s="165"/>
      <c r="R1753" s="165"/>
      <c r="S1753" s="165"/>
      <c r="T1753" s="165"/>
      <c r="U1753" s="165"/>
      <c r="V1753" s="165"/>
      <c r="W1753" s="165"/>
      <c r="X1753" s="165"/>
    </row>
    <row r="1754" ht="18.75" customHeight="1">
      <c r="A1754" s="165">
        <v>1751.0</v>
      </c>
      <c r="B1754" s="165" t="s">
        <v>17208</v>
      </c>
      <c r="C1754" s="165"/>
      <c r="D1754" s="165"/>
      <c r="E1754" s="165"/>
      <c r="F1754" s="165"/>
      <c r="G1754" s="165"/>
      <c r="H1754" s="165"/>
      <c r="I1754" s="165"/>
      <c r="J1754" s="165"/>
      <c r="K1754" s="165"/>
      <c r="L1754" s="165"/>
      <c r="M1754" s="165"/>
      <c r="N1754" s="165"/>
      <c r="O1754" s="165"/>
      <c r="P1754" s="165"/>
      <c r="Q1754" s="165"/>
      <c r="R1754" s="165"/>
      <c r="S1754" s="165"/>
      <c r="T1754" s="165"/>
      <c r="U1754" s="165"/>
      <c r="V1754" s="165"/>
      <c r="W1754" s="165"/>
      <c r="X1754" s="165"/>
    </row>
    <row r="1755" ht="18.75" customHeight="1">
      <c r="A1755" s="165">
        <v>1752.0</v>
      </c>
      <c r="B1755" s="167" t="s">
        <v>17209</v>
      </c>
      <c r="C1755" s="165"/>
      <c r="D1755" s="165"/>
      <c r="E1755" s="165"/>
      <c r="F1755" s="165"/>
      <c r="G1755" s="165"/>
      <c r="H1755" s="165"/>
      <c r="I1755" s="165"/>
      <c r="J1755" s="165"/>
      <c r="K1755" s="165"/>
      <c r="L1755" s="165"/>
      <c r="M1755" s="165"/>
      <c r="N1755" s="165"/>
      <c r="O1755" s="165"/>
      <c r="P1755" s="165"/>
      <c r="Q1755" s="165"/>
      <c r="R1755" s="165"/>
      <c r="S1755" s="165"/>
      <c r="T1755" s="165"/>
      <c r="U1755" s="165"/>
      <c r="V1755" s="165"/>
      <c r="W1755" s="165"/>
      <c r="X1755" s="165"/>
    </row>
    <row r="1756" ht="18.75" customHeight="1">
      <c r="A1756" s="165">
        <v>1753.0</v>
      </c>
      <c r="B1756" s="167" t="s">
        <v>17210</v>
      </c>
      <c r="C1756" s="165"/>
      <c r="D1756" s="165"/>
      <c r="E1756" s="165"/>
      <c r="F1756" s="165"/>
      <c r="G1756" s="165"/>
      <c r="H1756" s="165"/>
      <c r="I1756" s="165"/>
      <c r="J1756" s="165"/>
      <c r="K1756" s="165"/>
      <c r="L1756" s="165"/>
      <c r="M1756" s="165"/>
      <c r="N1756" s="165"/>
      <c r="O1756" s="165"/>
      <c r="P1756" s="165"/>
      <c r="Q1756" s="165"/>
      <c r="R1756" s="165"/>
      <c r="S1756" s="165"/>
      <c r="T1756" s="165"/>
      <c r="U1756" s="165"/>
      <c r="V1756" s="165"/>
      <c r="W1756" s="165"/>
      <c r="X1756" s="165"/>
    </row>
    <row r="1757" ht="18.75" customHeight="1">
      <c r="A1757" s="165">
        <v>1754.0</v>
      </c>
      <c r="B1757" s="167" t="s">
        <v>17211</v>
      </c>
      <c r="C1757" s="165"/>
      <c r="D1757" s="165"/>
      <c r="E1757" s="165"/>
      <c r="F1757" s="165"/>
      <c r="G1757" s="165"/>
      <c r="H1757" s="165"/>
      <c r="I1757" s="165"/>
      <c r="J1757" s="165"/>
      <c r="K1757" s="165"/>
      <c r="L1757" s="165"/>
      <c r="M1757" s="165"/>
      <c r="N1757" s="165"/>
      <c r="O1757" s="165"/>
      <c r="P1757" s="165"/>
      <c r="Q1757" s="165"/>
      <c r="R1757" s="165"/>
      <c r="S1757" s="165"/>
      <c r="T1757" s="165"/>
      <c r="U1757" s="165"/>
      <c r="V1757" s="165"/>
      <c r="W1757" s="165"/>
      <c r="X1757" s="165"/>
    </row>
    <row r="1758" ht="18.75" customHeight="1">
      <c r="A1758" s="165">
        <v>1755.0</v>
      </c>
      <c r="B1758" s="167" t="s">
        <v>17212</v>
      </c>
      <c r="C1758" s="165"/>
      <c r="D1758" s="165"/>
      <c r="E1758" s="165"/>
      <c r="F1758" s="165"/>
      <c r="G1758" s="165"/>
      <c r="H1758" s="165"/>
      <c r="I1758" s="165"/>
      <c r="J1758" s="165"/>
      <c r="K1758" s="165"/>
      <c r="L1758" s="165"/>
      <c r="M1758" s="165"/>
      <c r="N1758" s="165"/>
      <c r="O1758" s="165"/>
      <c r="P1758" s="165"/>
      <c r="Q1758" s="165"/>
      <c r="R1758" s="165"/>
      <c r="S1758" s="165"/>
      <c r="T1758" s="165"/>
      <c r="U1758" s="165"/>
      <c r="V1758" s="165"/>
      <c r="W1758" s="165"/>
      <c r="X1758" s="165"/>
    </row>
    <row r="1759" ht="18.75" customHeight="1">
      <c r="A1759" s="165">
        <v>1756.0</v>
      </c>
      <c r="B1759" s="167" t="s">
        <v>17213</v>
      </c>
      <c r="C1759" s="165"/>
      <c r="D1759" s="165"/>
      <c r="E1759" s="165"/>
      <c r="F1759" s="165"/>
      <c r="G1759" s="165"/>
      <c r="H1759" s="165"/>
      <c r="I1759" s="165"/>
      <c r="J1759" s="165"/>
      <c r="K1759" s="165"/>
      <c r="L1759" s="165"/>
      <c r="M1759" s="165"/>
      <c r="N1759" s="165"/>
      <c r="O1759" s="165"/>
      <c r="P1759" s="165"/>
      <c r="Q1759" s="165"/>
      <c r="R1759" s="165"/>
      <c r="S1759" s="165"/>
      <c r="T1759" s="165"/>
      <c r="U1759" s="165"/>
      <c r="V1759" s="165"/>
      <c r="W1759" s="165"/>
      <c r="X1759" s="165"/>
    </row>
    <row r="1760" ht="18.75" customHeight="1">
      <c r="A1760" s="165">
        <v>1757.0</v>
      </c>
      <c r="B1760" s="167" t="s">
        <v>17214</v>
      </c>
      <c r="C1760" s="165"/>
      <c r="D1760" s="165"/>
      <c r="E1760" s="165"/>
      <c r="F1760" s="165"/>
      <c r="G1760" s="165"/>
      <c r="H1760" s="165"/>
      <c r="I1760" s="165"/>
      <c r="J1760" s="165"/>
      <c r="K1760" s="165"/>
      <c r="L1760" s="165"/>
      <c r="M1760" s="165"/>
      <c r="N1760" s="165"/>
      <c r="O1760" s="165"/>
      <c r="P1760" s="165"/>
      <c r="Q1760" s="165"/>
      <c r="R1760" s="165"/>
      <c r="S1760" s="165"/>
      <c r="T1760" s="165"/>
      <c r="U1760" s="165"/>
      <c r="V1760" s="165"/>
      <c r="W1760" s="165"/>
      <c r="X1760" s="165"/>
    </row>
    <row r="1761" ht="18.75" customHeight="1">
      <c r="A1761" s="165">
        <v>1758.0</v>
      </c>
      <c r="B1761" s="167" t="s">
        <v>17215</v>
      </c>
      <c r="C1761" s="165"/>
      <c r="D1761" s="165"/>
      <c r="E1761" s="165"/>
      <c r="F1761" s="165"/>
      <c r="G1761" s="165"/>
      <c r="H1761" s="165"/>
      <c r="I1761" s="165"/>
      <c r="J1761" s="165"/>
      <c r="K1761" s="165"/>
      <c r="L1761" s="165"/>
      <c r="M1761" s="165"/>
      <c r="N1761" s="165"/>
      <c r="O1761" s="165"/>
      <c r="P1761" s="165"/>
      <c r="Q1761" s="165"/>
      <c r="R1761" s="165"/>
      <c r="S1761" s="165"/>
      <c r="T1761" s="165"/>
      <c r="U1761" s="165"/>
      <c r="V1761" s="165"/>
      <c r="W1761" s="165"/>
      <c r="X1761" s="165"/>
    </row>
    <row r="1762" ht="18.75" customHeight="1">
      <c r="A1762" s="165">
        <v>1759.0</v>
      </c>
      <c r="B1762" s="167" t="s">
        <v>17216</v>
      </c>
      <c r="C1762" s="165"/>
      <c r="D1762" s="165"/>
      <c r="E1762" s="165"/>
      <c r="F1762" s="165"/>
      <c r="G1762" s="165"/>
      <c r="H1762" s="165"/>
      <c r="I1762" s="165"/>
      <c r="J1762" s="165"/>
      <c r="K1762" s="165"/>
      <c r="L1762" s="165"/>
      <c r="M1762" s="165"/>
      <c r="N1762" s="165"/>
      <c r="O1762" s="165"/>
      <c r="P1762" s="165"/>
      <c r="Q1762" s="165"/>
      <c r="R1762" s="165"/>
      <c r="S1762" s="165"/>
      <c r="T1762" s="165"/>
      <c r="U1762" s="165"/>
      <c r="V1762" s="165"/>
      <c r="W1762" s="165"/>
      <c r="X1762" s="165"/>
    </row>
    <row r="1763" ht="18.75" customHeight="1">
      <c r="A1763" s="165">
        <v>1760.0</v>
      </c>
      <c r="B1763" s="167" t="s">
        <v>17217</v>
      </c>
      <c r="C1763" s="165"/>
      <c r="D1763" s="165"/>
      <c r="E1763" s="165"/>
      <c r="F1763" s="165"/>
      <c r="G1763" s="165"/>
      <c r="H1763" s="165"/>
      <c r="I1763" s="165"/>
      <c r="J1763" s="165"/>
      <c r="K1763" s="165"/>
      <c r="L1763" s="165"/>
      <c r="M1763" s="165"/>
      <c r="N1763" s="165"/>
      <c r="O1763" s="165"/>
      <c r="P1763" s="165"/>
      <c r="Q1763" s="165"/>
      <c r="R1763" s="165"/>
      <c r="S1763" s="165"/>
      <c r="T1763" s="165"/>
      <c r="U1763" s="165"/>
      <c r="V1763" s="165"/>
      <c r="W1763" s="165"/>
      <c r="X1763" s="165"/>
    </row>
    <row r="1764" ht="18.75" customHeight="1">
      <c r="A1764" s="165">
        <v>1761.0</v>
      </c>
      <c r="B1764" s="167" t="s">
        <v>17218</v>
      </c>
      <c r="C1764" s="165"/>
      <c r="D1764" s="165"/>
      <c r="E1764" s="165"/>
      <c r="F1764" s="165"/>
      <c r="G1764" s="165"/>
      <c r="H1764" s="165"/>
      <c r="I1764" s="165"/>
      <c r="J1764" s="165"/>
      <c r="K1764" s="165"/>
      <c r="L1764" s="165"/>
      <c r="M1764" s="165"/>
      <c r="N1764" s="165"/>
      <c r="O1764" s="165"/>
      <c r="P1764" s="165"/>
      <c r="Q1764" s="165"/>
      <c r="R1764" s="165"/>
      <c r="S1764" s="165"/>
      <c r="T1764" s="165"/>
      <c r="U1764" s="165"/>
      <c r="V1764" s="165"/>
      <c r="W1764" s="165"/>
      <c r="X1764" s="165"/>
    </row>
    <row r="1765" ht="18.75" customHeight="1">
      <c r="A1765" s="165">
        <v>1762.0</v>
      </c>
      <c r="B1765" s="167" t="s">
        <v>17219</v>
      </c>
      <c r="C1765" s="165"/>
      <c r="D1765" s="165"/>
      <c r="E1765" s="165"/>
      <c r="F1765" s="165"/>
      <c r="G1765" s="165"/>
      <c r="H1765" s="165"/>
      <c r="I1765" s="165"/>
      <c r="J1765" s="165"/>
      <c r="K1765" s="165"/>
      <c r="L1765" s="165"/>
      <c r="M1765" s="165"/>
      <c r="N1765" s="165"/>
      <c r="O1765" s="165"/>
      <c r="P1765" s="165"/>
      <c r="Q1765" s="165"/>
      <c r="R1765" s="165"/>
      <c r="S1765" s="165"/>
      <c r="T1765" s="165"/>
      <c r="U1765" s="165"/>
      <c r="V1765" s="165"/>
      <c r="W1765" s="165"/>
      <c r="X1765" s="165"/>
    </row>
    <row r="1766" ht="18.75" customHeight="1">
      <c r="A1766" s="165">
        <v>1763.0</v>
      </c>
      <c r="B1766" s="167" t="s">
        <v>17220</v>
      </c>
      <c r="C1766" s="165"/>
      <c r="D1766" s="165"/>
      <c r="E1766" s="165"/>
      <c r="F1766" s="165"/>
      <c r="G1766" s="165"/>
      <c r="H1766" s="165"/>
      <c r="I1766" s="165"/>
      <c r="J1766" s="165"/>
      <c r="K1766" s="165"/>
      <c r="L1766" s="165"/>
      <c r="M1766" s="165"/>
      <c r="N1766" s="165"/>
      <c r="O1766" s="165"/>
      <c r="P1766" s="165"/>
      <c r="Q1766" s="165"/>
      <c r="R1766" s="165"/>
      <c r="S1766" s="165"/>
      <c r="T1766" s="165"/>
      <c r="U1766" s="165"/>
      <c r="V1766" s="165"/>
      <c r="W1766" s="165"/>
      <c r="X1766" s="165"/>
    </row>
    <row r="1767" ht="18.75" customHeight="1">
      <c r="A1767" s="165">
        <v>1764.0</v>
      </c>
      <c r="B1767" s="167" t="s">
        <v>17221</v>
      </c>
      <c r="C1767" s="165"/>
      <c r="D1767" s="165"/>
      <c r="E1767" s="165"/>
      <c r="F1767" s="165"/>
      <c r="G1767" s="165"/>
      <c r="H1767" s="165"/>
      <c r="I1767" s="165"/>
      <c r="J1767" s="165"/>
      <c r="K1767" s="165"/>
      <c r="L1767" s="165"/>
      <c r="M1767" s="165"/>
      <c r="N1767" s="165"/>
      <c r="O1767" s="165"/>
      <c r="P1767" s="165"/>
      <c r="Q1767" s="165"/>
      <c r="R1767" s="165"/>
      <c r="S1767" s="165"/>
      <c r="T1767" s="165"/>
      <c r="U1767" s="165"/>
      <c r="V1767" s="165"/>
      <c r="W1767" s="165"/>
      <c r="X1767" s="165"/>
    </row>
    <row r="1768" ht="18.75" customHeight="1">
      <c r="A1768" s="165">
        <v>1765.0</v>
      </c>
      <c r="B1768" s="165" t="s">
        <v>17222</v>
      </c>
      <c r="C1768" s="165"/>
      <c r="D1768" s="165"/>
      <c r="E1768" s="165"/>
      <c r="F1768" s="165"/>
      <c r="G1768" s="165"/>
      <c r="H1768" s="165"/>
      <c r="I1768" s="165"/>
      <c r="J1768" s="165"/>
      <c r="K1768" s="165"/>
      <c r="L1768" s="165"/>
      <c r="M1768" s="165"/>
      <c r="N1768" s="165"/>
      <c r="O1768" s="165"/>
      <c r="P1768" s="165"/>
      <c r="Q1768" s="165"/>
      <c r="R1768" s="165"/>
      <c r="S1768" s="165"/>
      <c r="T1768" s="165"/>
      <c r="U1768" s="165"/>
      <c r="V1768" s="165"/>
      <c r="W1768" s="165"/>
      <c r="X1768" s="165"/>
    </row>
    <row r="1769" ht="18.75" customHeight="1">
      <c r="A1769" s="165">
        <v>1766.0</v>
      </c>
      <c r="B1769" s="167" t="s">
        <v>17223</v>
      </c>
      <c r="C1769" s="165"/>
      <c r="D1769" s="165"/>
      <c r="E1769" s="165"/>
      <c r="F1769" s="165"/>
      <c r="G1769" s="165"/>
      <c r="H1769" s="165"/>
      <c r="I1769" s="165"/>
      <c r="J1769" s="165"/>
      <c r="K1769" s="165"/>
      <c r="L1769" s="165"/>
      <c r="M1769" s="165"/>
      <c r="N1769" s="165"/>
      <c r="O1769" s="165"/>
      <c r="P1769" s="165"/>
      <c r="Q1769" s="165"/>
      <c r="R1769" s="165"/>
      <c r="S1769" s="165"/>
      <c r="T1769" s="165"/>
      <c r="U1769" s="165"/>
      <c r="V1769" s="165"/>
      <c r="W1769" s="165"/>
      <c r="X1769" s="165"/>
    </row>
    <row r="1770" ht="18.75" customHeight="1">
      <c r="A1770" s="165">
        <v>1767.0</v>
      </c>
      <c r="B1770" s="167" t="s">
        <v>17224</v>
      </c>
      <c r="C1770" s="165"/>
      <c r="D1770" s="165"/>
      <c r="E1770" s="165"/>
      <c r="F1770" s="165"/>
      <c r="G1770" s="165"/>
      <c r="H1770" s="165"/>
      <c r="I1770" s="165"/>
      <c r="J1770" s="165"/>
      <c r="K1770" s="165"/>
      <c r="L1770" s="165"/>
      <c r="M1770" s="165"/>
      <c r="N1770" s="165"/>
      <c r="O1770" s="165"/>
      <c r="P1770" s="165"/>
      <c r="Q1770" s="165"/>
      <c r="R1770" s="165"/>
      <c r="S1770" s="165"/>
      <c r="T1770" s="165"/>
      <c r="U1770" s="165"/>
      <c r="V1770" s="165"/>
      <c r="W1770" s="165"/>
      <c r="X1770" s="165"/>
    </row>
    <row r="1771" ht="18.75" customHeight="1">
      <c r="A1771" s="165">
        <v>1768.0</v>
      </c>
      <c r="B1771" s="167" t="s">
        <v>17225</v>
      </c>
      <c r="C1771" s="165"/>
      <c r="D1771" s="165"/>
      <c r="E1771" s="165"/>
      <c r="F1771" s="165"/>
      <c r="G1771" s="165"/>
      <c r="H1771" s="165"/>
      <c r="I1771" s="165"/>
      <c r="J1771" s="165"/>
      <c r="K1771" s="165"/>
      <c r="L1771" s="165"/>
      <c r="M1771" s="165"/>
      <c r="N1771" s="165"/>
      <c r="O1771" s="165"/>
      <c r="P1771" s="165"/>
      <c r="Q1771" s="165"/>
      <c r="R1771" s="165"/>
      <c r="S1771" s="165"/>
      <c r="T1771" s="165"/>
      <c r="U1771" s="165"/>
      <c r="V1771" s="165"/>
      <c r="W1771" s="165"/>
      <c r="X1771" s="165"/>
    </row>
    <row r="1772" ht="18.75" customHeight="1">
      <c r="A1772" s="165">
        <v>1769.0</v>
      </c>
      <c r="B1772" s="167" t="s">
        <v>17226</v>
      </c>
      <c r="C1772" s="165"/>
      <c r="D1772" s="165"/>
      <c r="E1772" s="165"/>
      <c r="F1772" s="165"/>
      <c r="G1772" s="165"/>
      <c r="H1772" s="165"/>
      <c r="I1772" s="165"/>
      <c r="J1772" s="165"/>
      <c r="K1772" s="165"/>
      <c r="L1772" s="165"/>
      <c r="M1772" s="165"/>
      <c r="N1772" s="165"/>
      <c r="O1772" s="165"/>
      <c r="P1772" s="165"/>
      <c r="Q1772" s="165"/>
      <c r="R1772" s="165"/>
      <c r="S1772" s="165"/>
      <c r="T1772" s="165"/>
      <c r="U1772" s="165"/>
      <c r="V1772" s="165"/>
      <c r="W1772" s="165"/>
      <c r="X1772" s="165"/>
    </row>
    <row r="1773" ht="18.75" customHeight="1">
      <c r="A1773" s="165">
        <v>1770.0</v>
      </c>
      <c r="B1773" s="167" t="s">
        <v>17227</v>
      </c>
      <c r="C1773" s="165"/>
      <c r="D1773" s="165"/>
      <c r="E1773" s="165"/>
      <c r="F1773" s="165"/>
      <c r="G1773" s="165"/>
      <c r="H1773" s="165"/>
      <c r="I1773" s="165"/>
      <c r="J1773" s="165"/>
      <c r="K1773" s="165"/>
      <c r="L1773" s="165"/>
      <c r="M1773" s="165"/>
      <c r="N1773" s="165"/>
      <c r="O1773" s="165"/>
      <c r="P1773" s="165"/>
      <c r="Q1773" s="165"/>
      <c r="R1773" s="165"/>
      <c r="S1773" s="165"/>
      <c r="T1773" s="165"/>
      <c r="U1773" s="165"/>
      <c r="V1773" s="165"/>
      <c r="W1773" s="165"/>
      <c r="X1773" s="165"/>
    </row>
    <row r="1774" ht="18.75" customHeight="1">
      <c r="A1774" s="165">
        <v>1771.0</v>
      </c>
      <c r="B1774" s="167" t="s">
        <v>17228</v>
      </c>
      <c r="C1774" s="165"/>
      <c r="D1774" s="165"/>
      <c r="E1774" s="165"/>
      <c r="F1774" s="165"/>
      <c r="G1774" s="165"/>
      <c r="H1774" s="165"/>
      <c r="I1774" s="165"/>
      <c r="J1774" s="165"/>
      <c r="K1774" s="165"/>
      <c r="L1774" s="165"/>
      <c r="M1774" s="165"/>
      <c r="N1774" s="165"/>
      <c r="O1774" s="165"/>
      <c r="P1774" s="165"/>
      <c r="Q1774" s="165"/>
      <c r="R1774" s="165"/>
      <c r="S1774" s="165"/>
      <c r="T1774" s="165"/>
      <c r="U1774" s="165"/>
      <c r="V1774" s="165"/>
      <c r="W1774" s="165"/>
      <c r="X1774" s="165"/>
    </row>
    <row r="1775" ht="18.75" customHeight="1">
      <c r="A1775" s="165">
        <v>1772.0</v>
      </c>
      <c r="B1775" s="167" t="s">
        <v>17229</v>
      </c>
      <c r="C1775" s="165"/>
      <c r="D1775" s="165"/>
      <c r="E1775" s="165"/>
      <c r="F1775" s="165"/>
      <c r="G1775" s="165"/>
      <c r="H1775" s="165"/>
      <c r="I1775" s="165"/>
      <c r="J1775" s="165"/>
      <c r="K1775" s="165"/>
      <c r="L1775" s="165"/>
      <c r="M1775" s="165"/>
      <c r="N1775" s="165"/>
      <c r="O1775" s="165"/>
      <c r="P1775" s="165"/>
      <c r="Q1775" s="165"/>
      <c r="R1775" s="165"/>
      <c r="S1775" s="165"/>
      <c r="T1775" s="165"/>
      <c r="U1775" s="165"/>
      <c r="V1775" s="165"/>
      <c r="W1775" s="165"/>
      <c r="X1775" s="165"/>
    </row>
    <row r="1776" ht="18.75" customHeight="1">
      <c r="A1776" s="165">
        <v>1773.0</v>
      </c>
      <c r="B1776" s="167" t="s">
        <v>17230</v>
      </c>
      <c r="C1776" s="165"/>
      <c r="D1776" s="165"/>
      <c r="E1776" s="165"/>
      <c r="F1776" s="165"/>
      <c r="G1776" s="165"/>
      <c r="H1776" s="165"/>
      <c r="I1776" s="165"/>
      <c r="J1776" s="165"/>
      <c r="K1776" s="165"/>
      <c r="L1776" s="165"/>
      <c r="M1776" s="165"/>
      <c r="N1776" s="165"/>
      <c r="O1776" s="165"/>
      <c r="P1776" s="165"/>
      <c r="Q1776" s="165"/>
      <c r="R1776" s="165"/>
      <c r="S1776" s="165"/>
      <c r="T1776" s="165"/>
      <c r="U1776" s="165"/>
      <c r="V1776" s="165"/>
      <c r="W1776" s="165"/>
      <c r="X1776" s="165"/>
    </row>
    <row r="1777" ht="18.75" customHeight="1">
      <c r="A1777" s="165">
        <v>1774.0</v>
      </c>
      <c r="B1777" s="167" t="s">
        <v>17231</v>
      </c>
      <c r="C1777" s="165"/>
      <c r="D1777" s="165"/>
      <c r="E1777" s="165"/>
      <c r="F1777" s="165"/>
      <c r="G1777" s="165"/>
      <c r="H1777" s="165"/>
      <c r="I1777" s="165"/>
      <c r="J1777" s="165"/>
      <c r="K1777" s="165"/>
      <c r="L1777" s="165"/>
      <c r="M1777" s="165"/>
      <c r="N1777" s="165"/>
      <c r="O1777" s="165"/>
      <c r="P1777" s="165"/>
      <c r="Q1777" s="165"/>
      <c r="R1777" s="165"/>
      <c r="S1777" s="165"/>
      <c r="T1777" s="165"/>
      <c r="U1777" s="165"/>
      <c r="V1777" s="165"/>
      <c r="W1777" s="165"/>
      <c r="X1777" s="165"/>
    </row>
    <row r="1778" ht="18.75" customHeight="1">
      <c r="A1778" s="165">
        <v>1775.0</v>
      </c>
      <c r="B1778" s="167" t="s">
        <v>17232</v>
      </c>
      <c r="C1778" s="165"/>
      <c r="D1778" s="165"/>
      <c r="E1778" s="165"/>
      <c r="F1778" s="165"/>
      <c r="G1778" s="165"/>
      <c r="H1778" s="165"/>
      <c r="I1778" s="165"/>
      <c r="J1778" s="165"/>
      <c r="K1778" s="165"/>
      <c r="L1778" s="165"/>
      <c r="M1778" s="165"/>
      <c r="N1778" s="165"/>
      <c r="O1778" s="165"/>
      <c r="P1778" s="165"/>
      <c r="Q1778" s="165"/>
      <c r="R1778" s="165"/>
      <c r="S1778" s="165"/>
      <c r="T1778" s="165"/>
      <c r="U1778" s="165"/>
      <c r="V1778" s="165"/>
      <c r="W1778" s="165"/>
      <c r="X1778" s="165"/>
    </row>
    <row r="1779" ht="18.75" customHeight="1">
      <c r="A1779" s="165">
        <v>1776.0</v>
      </c>
      <c r="B1779" s="165" t="s">
        <v>17233</v>
      </c>
      <c r="C1779" s="165"/>
      <c r="D1779" s="165"/>
      <c r="E1779" s="165"/>
      <c r="F1779" s="165"/>
      <c r="G1779" s="165"/>
      <c r="H1779" s="165"/>
      <c r="I1779" s="165"/>
      <c r="J1779" s="165"/>
      <c r="K1779" s="165"/>
      <c r="L1779" s="165"/>
      <c r="M1779" s="165"/>
      <c r="N1779" s="165"/>
      <c r="O1779" s="165"/>
      <c r="P1779" s="165"/>
      <c r="Q1779" s="165"/>
      <c r="R1779" s="165"/>
      <c r="S1779" s="165"/>
      <c r="T1779" s="165"/>
      <c r="U1779" s="165"/>
      <c r="V1779" s="165"/>
      <c r="W1779" s="165"/>
      <c r="X1779" s="165"/>
    </row>
    <row r="1780" ht="18.75" customHeight="1">
      <c r="A1780" s="165">
        <v>1777.0</v>
      </c>
      <c r="B1780" s="167" t="s">
        <v>17234</v>
      </c>
      <c r="C1780" s="165"/>
      <c r="D1780" s="165"/>
      <c r="E1780" s="165"/>
      <c r="F1780" s="165"/>
      <c r="G1780" s="165"/>
      <c r="H1780" s="165"/>
      <c r="I1780" s="165"/>
      <c r="J1780" s="165"/>
      <c r="K1780" s="165"/>
      <c r="L1780" s="165"/>
      <c r="M1780" s="165"/>
      <c r="N1780" s="165"/>
      <c r="O1780" s="165"/>
      <c r="P1780" s="165"/>
      <c r="Q1780" s="165"/>
      <c r="R1780" s="165"/>
      <c r="S1780" s="165"/>
      <c r="T1780" s="165"/>
      <c r="U1780" s="165"/>
      <c r="V1780" s="165"/>
      <c r="W1780" s="165"/>
      <c r="X1780" s="165"/>
    </row>
    <row r="1781" ht="18.75" customHeight="1">
      <c r="A1781" s="165">
        <v>1778.0</v>
      </c>
      <c r="B1781" s="167" t="s">
        <v>17235</v>
      </c>
      <c r="C1781" s="165"/>
      <c r="D1781" s="165"/>
      <c r="E1781" s="165"/>
      <c r="F1781" s="165"/>
      <c r="G1781" s="165"/>
      <c r="H1781" s="165"/>
      <c r="I1781" s="165"/>
      <c r="J1781" s="165"/>
      <c r="K1781" s="165"/>
      <c r="L1781" s="165"/>
      <c r="M1781" s="165"/>
      <c r="N1781" s="165"/>
      <c r="O1781" s="165"/>
      <c r="P1781" s="165"/>
      <c r="Q1781" s="165"/>
      <c r="R1781" s="165"/>
      <c r="S1781" s="165"/>
      <c r="T1781" s="165"/>
      <c r="U1781" s="165"/>
      <c r="V1781" s="165"/>
      <c r="W1781" s="165"/>
      <c r="X1781" s="165"/>
    </row>
    <row r="1782" ht="18.75" customHeight="1">
      <c r="A1782" s="165">
        <v>1779.0</v>
      </c>
      <c r="B1782" s="167" t="s">
        <v>17236</v>
      </c>
      <c r="C1782" s="165"/>
      <c r="D1782" s="165"/>
      <c r="E1782" s="165"/>
      <c r="F1782" s="165"/>
      <c r="G1782" s="165"/>
      <c r="H1782" s="165"/>
      <c r="I1782" s="165"/>
      <c r="J1782" s="165"/>
      <c r="K1782" s="165"/>
      <c r="L1782" s="165"/>
      <c r="M1782" s="165"/>
      <c r="N1782" s="165"/>
      <c r="O1782" s="165"/>
      <c r="P1782" s="165"/>
      <c r="Q1782" s="165"/>
      <c r="R1782" s="165"/>
      <c r="S1782" s="165"/>
      <c r="T1782" s="165"/>
      <c r="U1782" s="165"/>
      <c r="V1782" s="165"/>
      <c r="W1782" s="165"/>
      <c r="X1782" s="165"/>
    </row>
    <row r="1783" ht="18.75" customHeight="1">
      <c r="A1783" s="165">
        <v>1780.0</v>
      </c>
      <c r="B1783" s="167" t="s">
        <v>17237</v>
      </c>
      <c r="C1783" s="165"/>
      <c r="D1783" s="165"/>
      <c r="E1783" s="165"/>
      <c r="F1783" s="165"/>
      <c r="G1783" s="165"/>
      <c r="H1783" s="165"/>
      <c r="I1783" s="165"/>
      <c r="J1783" s="165"/>
      <c r="K1783" s="165"/>
      <c r="L1783" s="165"/>
      <c r="M1783" s="165"/>
      <c r="N1783" s="165"/>
      <c r="O1783" s="165"/>
      <c r="P1783" s="165"/>
      <c r="Q1783" s="165"/>
      <c r="R1783" s="165"/>
      <c r="S1783" s="165"/>
      <c r="T1783" s="165"/>
      <c r="U1783" s="165"/>
      <c r="V1783" s="165"/>
      <c r="W1783" s="165"/>
      <c r="X1783" s="165"/>
    </row>
    <row r="1784" ht="18.75" customHeight="1">
      <c r="A1784" s="165">
        <v>1781.0</v>
      </c>
      <c r="B1784" s="165" t="s">
        <v>17238</v>
      </c>
      <c r="C1784" s="165"/>
      <c r="D1784" s="165"/>
      <c r="E1784" s="165"/>
      <c r="F1784" s="165"/>
      <c r="G1784" s="165"/>
      <c r="H1784" s="165"/>
      <c r="I1784" s="165"/>
      <c r="J1784" s="165"/>
      <c r="K1784" s="165"/>
      <c r="L1784" s="165"/>
      <c r="M1784" s="165"/>
      <c r="N1784" s="165"/>
      <c r="O1784" s="165"/>
      <c r="P1784" s="165"/>
      <c r="Q1784" s="165"/>
      <c r="R1784" s="165"/>
      <c r="S1784" s="165"/>
      <c r="T1784" s="165"/>
      <c r="U1784" s="165"/>
      <c r="V1784" s="165"/>
      <c r="W1784" s="165"/>
      <c r="X1784" s="165"/>
    </row>
    <row r="1785" ht="18.75" customHeight="1">
      <c r="A1785" s="165">
        <v>1782.0</v>
      </c>
      <c r="B1785" s="165" t="s">
        <v>16696</v>
      </c>
      <c r="C1785" s="165"/>
      <c r="D1785" s="165"/>
      <c r="E1785" s="165"/>
      <c r="F1785" s="165"/>
      <c r="G1785" s="165"/>
      <c r="H1785" s="165"/>
      <c r="I1785" s="165"/>
      <c r="J1785" s="165"/>
      <c r="K1785" s="165"/>
      <c r="L1785" s="165"/>
      <c r="M1785" s="165"/>
      <c r="N1785" s="165"/>
      <c r="O1785" s="165"/>
      <c r="P1785" s="165"/>
      <c r="Q1785" s="165"/>
      <c r="R1785" s="165"/>
      <c r="S1785" s="165"/>
      <c r="T1785" s="165"/>
      <c r="U1785" s="165"/>
      <c r="V1785" s="165"/>
      <c r="W1785" s="165"/>
      <c r="X1785" s="165"/>
    </row>
    <row r="1786" ht="18.75" customHeight="1">
      <c r="A1786" s="165">
        <v>1783.0</v>
      </c>
      <c r="B1786" s="165" t="s">
        <v>16573</v>
      </c>
      <c r="C1786" s="165"/>
      <c r="D1786" s="165"/>
      <c r="E1786" s="165"/>
      <c r="F1786" s="165"/>
      <c r="G1786" s="165"/>
      <c r="H1786" s="165"/>
      <c r="I1786" s="165"/>
      <c r="J1786" s="165"/>
      <c r="K1786" s="165"/>
      <c r="L1786" s="165"/>
      <c r="M1786" s="165"/>
      <c r="N1786" s="165"/>
      <c r="O1786" s="165"/>
      <c r="P1786" s="165"/>
      <c r="Q1786" s="165"/>
      <c r="R1786" s="165"/>
      <c r="S1786" s="165"/>
      <c r="T1786" s="165"/>
      <c r="U1786" s="165"/>
      <c r="V1786" s="165"/>
      <c r="W1786" s="165"/>
      <c r="X1786" s="165"/>
    </row>
    <row r="1787" ht="18.75" customHeight="1">
      <c r="A1787" s="165">
        <v>1784.0</v>
      </c>
      <c r="B1787" s="165" t="s">
        <v>17239</v>
      </c>
      <c r="C1787" s="165"/>
      <c r="D1787" s="165"/>
      <c r="E1787" s="165"/>
      <c r="F1787" s="165"/>
      <c r="G1787" s="165"/>
      <c r="H1787" s="165"/>
      <c r="I1787" s="165"/>
      <c r="J1787" s="165"/>
      <c r="K1787" s="165"/>
      <c r="L1787" s="165"/>
      <c r="M1787" s="165"/>
      <c r="N1787" s="165"/>
      <c r="O1787" s="165"/>
      <c r="P1787" s="165"/>
      <c r="Q1787" s="165"/>
      <c r="R1787" s="165"/>
      <c r="S1787" s="165"/>
      <c r="T1787" s="165"/>
      <c r="U1787" s="165"/>
      <c r="V1787" s="165"/>
      <c r="W1787" s="165"/>
      <c r="X1787" s="165"/>
    </row>
    <row r="1788" ht="18.75" customHeight="1">
      <c r="A1788" s="165">
        <v>1785.0</v>
      </c>
      <c r="B1788" s="165" t="s">
        <v>17240</v>
      </c>
      <c r="C1788" s="165"/>
      <c r="D1788" s="165"/>
      <c r="E1788" s="165"/>
      <c r="F1788" s="165"/>
      <c r="G1788" s="165"/>
      <c r="H1788" s="165"/>
      <c r="I1788" s="165"/>
      <c r="J1788" s="165"/>
      <c r="K1788" s="165"/>
      <c r="L1788" s="165"/>
      <c r="M1788" s="165"/>
      <c r="N1788" s="165"/>
      <c r="O1788" s="165"/>
      <c r="P1788" s="165"/>
      <c r="Q1788" s="165"/>
      <c r="R1788" s="165"/>
      <c r="S1788" s="165"/>
      <c r="T1788" s="165"/>
      <c r="U1788" s="165"/>
      <c r="V1788" s="165"/>
      <c r="W1788" s="165"/>
      <c r="X1788" s="165"/>
    </row>
    <row r="1789" ht="18.75" customHeight="1">
      <c r="A1789" s="165">
        <v>1786.0</v>
      </c>
      <c r="B1789" s="165" t="s">
        <v>17241</v>
      </c>
      <c r="C1789" s="165"/>
      <c r="D1789" s="165"/>
      <c r="E1789" s="165"/>
      <c r="F1789" s="165"/>
      <c r="G1789" s="165"/>
      <c r="H1789" s="165"/>
      <c r="I1789" s="165"/>
      <c r="J1789" s="165"/>
      <c r="K1789" s="165"/>
      <c r="L1789" s="165"/>
      <c r="M1789" s="165"/>
      <c r="N1789" s="165"/>
      <c r="O1789" s="165"/>
      <c r="P1789" s="165"/>
      <c r="Q1789" s="165"/>
      <c r="R1789" s="165"/>
      <c r="S1789" s="165"/>
      <c r="T1789" s="165"/>
      <c r="U1789" s="165"/>
      <c r="V1789" s="165"/>
      <c r="W1789" s="165"/>
      <c r="X1789" s="165"/>
    </row>
    <row r="1790" ht="18.75" customHeight="1">
      <c r="A1790" s="165">
        <v>1787.0</v>
      </c>
      <c r="B1790" s="165" t="s">
        <v>17242</v>
      </c>
      <c r="C1790" s="165"/>
      <c r="D1790" s="165"/>
      <c r="E1790" s="165"/>
      <c r="F1790" s="165"/>
      <c r="G1790" s="165"/>
      <c r="H1790" s="165"/>
      <c r="I1790" s="165"/>
      <c r="J1790" s="165"/>
      <c r="K1790" s="165"/>
      <c r="L1790" s="165"/>
      <c r="M1790" s="165"/>
      <c r="N1790" s="165"/>
      <c r="O1790" s="165"/>
      <c r="P1790" s="165"/>
      <c r="Q1790" s="165"/>
      <c r="R1790" s="165"/>
      <c r="S1790" s="165"/>
      <c r="T1790" s="165"/>
      <c r="U1790" s="165"/>
      <c r="V1790" s="165"/>
      <c r="W1790" s="165"/>
      <c r="X1790" s="165"/>
    </row>
    <row r="1791" ht="18.75" customHeight="1">
      <c r="A1791" s="165">
        <v>1788.0</v>
      </c>
      <c r="B1791" s="165" t="s">
        <v>17243</v>
      </c>
      <c r="C1791" s="165"/>
      <c r="D1791" s="165"/>
      <c r="E1791" s="165"/>
      <c r="F1791" s="165"/>
      <c r="G1791" s="165"/>
      <c r="H1791" s="165"/>
      <c r="I1791" s="165"/>
      <c r="J1791" s="165"/>
      <c r="K1791" s="165"/>
      <c r="L1791" s="165"/>
      <c r="M1791" s="165"/>
      <c r="N1791" s="165"/>
      <c r="O1791" s="165"/>
      <c r="P1791" s="165"/>
      <c r="Q1791" s="165"/>
      <c r="R1791" s="165"/>
      <c r="S1791" s="165"/>
      <c r="T1791" s="165"/>
      <c r="U1791" s="165"/>
      <c r="V1791" s="165"/>
      <c r="W1791" s="165"/>
      <c r="X1791" s="165"/>
    </row>
    <row r="1792" ht="18.75" customHeight="1">
      <c r="A1792" s="165">
        <v>1789.0</v>
      </c>
      <c r="B1792" s="165" t="s">
        <v>17244</v>
      </c>
      <c r="C1792" s="165"/>
      <c r="D1792" s="165"/>
      <c r="E1792" s="165"/>
      <c r="F1792" s="165"/>
      <c r="G1792" s="165"/>
      <c r="H1792" s="165"/>
      <c r="I1792" s="165"/>
      <c r="J1792" s="165"/>
      <c r="K1792" s="165"/>
      <c r="L1792" s="165"/>
      <c r="M1792" s="165"/>
      <c r="N1792" s="165"/>
      <c r="O1792" s="165"/>
      <c r="P1792" s="165"/>
      <c r="Q1792" s="165"/>
      <c r="R1792" s="165"/>
      <c r="S1792" s="165"/>
      <c r="T1792" s="165"/>
      <c r="U1792" s="165"/>
      <c r="V1792" s="165"/>
      <c r="W1792" s="165"/>
      <c r="X1792" s="165"/>
    </row>
    <row r="1793" ht="18.75" customHeight="1">
      <c r="A1793" s="165">
        <v>1790.0</v>
      </c>
      <c r="B1793" s="165" t="s">
        <v>17245</v>
      </c>
      <c r="C1793" s="165"/>
      <c r="D1793" s="165"/>
      <c r="E1793" s="165"/>
      <c r="F1793" s="165"/>
      <c r="G1793" s="165"/>
      <c r="H1793" s="165"/>
      <c r="I1793" s="165"/>
      <c r="J1793" s="165"/>
      <c r="K1793" s="165"/>
      <c r="L1793" s="165"/>
      <c r="M1793" s="165"/>
      <c r="N1793" s="165"/>
      <c r="O1793" s="165"/>
      <c r="P1793" s="165"/>
      <c r="Q1793" s="165"/>
      <c r="R1793" s="165"/>
      <c r="S1793" s="165"/>
      <c r="T1793" s="165"/>
      <c r="U1793" s="165"/>
      <c r="V1793" s="165"/>
      <c r="W1793" s="165"/>
      <c r="X1793" s="165"/>
    </row>
    <row r="1794" ht="18.75" customHeight="1">
      <c r="A1794" s="165">
        <v>1791.0</v>
      </c>
      <c r="B1794" s="165" t="s">
        <v>17246</v>
      </c>
      <c r="C1794" s="165"/>
      <c r="D1794" s="165"/>
      <c r="E1794" s="165"/>
      <c r="F1794" s="165"/>
      <c r="G1794" s="165"/>
      <c r="H1794" s="165"/>
      <c r="I1794" s="165"/>
      <c r="J1794" s="165"/>
      <c r="K1794" s="165"/>
      <c r="L1794" s="165"/>
      <c r="M1794" s="165"/>
      <c r="N1794" s="165"/>
      <c r="O1794" s="165"/>
      <c r="P1794" s="165"/>
      <c r="Q1794" s="165"/>
      <c r="R1794" s="165"/>
      <c r="S1794" s="165"/>
      <c r="T1794" s="165"/>
      <c r="U1794" s="165"/>
      <c r="V1794" s="165"/>
      <c r="W1794" s="165"/>
      <c r="X1794" s="165"/>
    </row>
    <row r="1795" ht="18.75" customHeight="1">
      <c r="A1795" s="165">
        <v>1792.0</v>
      </c>
      <c r="B1795" s="165" t="s">
        <v>17247</v>
      </c>
      <c r="C1795" s="165"/>
      <c r="D1795" s="165"/>
      <c r="E1795" s="165"/>
      <c r="F1795" s="165"/>
      <c r="G1795" s="165"/>
      <c r="H1795" s="165"/>
      <c r="I1795" s="165"/>
      <c r="J1795" s="165"/>
      <c r="K1795" s="165"/>
      <c r="L1795" s="165"/>
      <c r="M1795" s="165"/>
      <c r="N1795" s="165"/>
      <c r="O1795" s="165"/>
      <c r="P1795" s="165"/>
      <c r="Q1795" s="165"/>
      <c r="R1795" s="165"/>
      <c r="S1795" s="165"/>
      <c r="T1795" s="165"/>
      <c r="U1795" s="165"/>
      <c r="V1795" s="165"/>
      <c r="W1795" s="165"/>
      <c r="X1795" s="165"/>
    </row>
    <row r="1796" ht="18.75" customHeight="1">
      <c r="A1796" s="165">
        <v>1793.0</v>
      </c>
      <c r="B1796" s="165" t="s">
        <v>17248</v>
      </c>
      <c r="C1796" s="165"/>
      <c r="D1796" s="165"/>
      <c r="E1796" s="165"/>
      <c r="F1796" s="165"/>
      <c r="G1796" s="165"/>
      <c r="H1796" s="165"/>
      <c r="I1796" s="165"/>
      <c r="J1796" s="165"/>
      <c r="K1796" s="165"/>
      <c r="L1796" s="165"/>
      <c r="M1796" s="165"/>
      <c r="N1796" s="165"/>
      <c r="O1796" s="165"/>
      <c r="P1796" s="165"/>
      <c r="Q1796" s="165"/>
      <c r="R1796" s="165"/>
      <c r="S1796" s="165"/>
      <c r="T1796" s="165"/>
      <c r="U1796" s="165"/>
      <c r="V1796" s="165"/>
      <c r="W1796" s="165"/>
      <c r="X1796" s="165"/>
    </row>
    <row r="1797" ht="18.75" customHeight="1">
      <c r="A1797" s="165">
        <v>1794.0</v>
      </c>
      <c r="B1797" s="165" t="s">
        <v>17249</v>
      </c>
      <c r="C1797" s="165"/>
      <c r="D1797" s="165"/>
      <c r="E1797" s="165"/>
      <c r="F1797" s="165"/>
      <c r="G1797" s="165"/>
      <c r="H1797" s="165"/>
      <c r="I1797" s="165"/>
      <c r="J1797" s="165"/>
      <c r="K1797" s="165"/>
      <c r="L1797" s="165"/>
      <c r="M1797" s="165"/>
      <c r="N1797" s="165"/>
      <c r="O1797" s="165"/>
      <c r="P1797" s="165"/>
      <c r="Q1797" s="165"/>
      <c r="R1797" s="165"/>
      <c r="S1797" s="165"/>
      <c r="T1797" s="165"/>
      <c r="U1797" s="165"/>
      <c r="V1797" s="165"/>
      <c r="W1797" s="165"/>
      <c r="X1797" s="165"/>
    </row>
    <row r="1798" ht="18.75" customHeight="1">
      <c r="A1798" s="165">
        <v>1795.0</v>
      </c>
      <c r="B1798" s="165" t="s">
        <v>17250</v>
      </c>
      <c r="C1798" s="165"/>
      <c r="D1798" s="165"/>
      <c r="E1798" s="165"/>
      <c r="F1798" s="165"/>
      <c r="G1798" s="165"/>
      <c r="H1798" s="165"/>
      <c r="I1798" s="165"/>
      <c r="J1798" s="165"/>
      <c r="K1798" s="165"/>
      <c r="L1798" s="165"/>
      <c r="M1798" s="165"/>
      <c r="N1798" s="165"/>
      <c r="O1798" s="165"/>
      <c r="P1798" s="165"/>
      <c r="Q1798" s="165"/>
      <c r="R1798" s="165"/>
      <c r="S1798" s="165"/>
      <c r="T1798" s="165"/>
      <c r="U1798" s="165"/>
      <c r="V1798" s="165"/>
      <c r="W1798" s="165"/>
      <c r="X1798" s="165"/>
    </row>
    <row r="1799" ht="18.75" customHeight="1">
      <c r="A1799" s="165">
        <v>1796.0</v>
      </c>
      <c r="B1799" s="165" t="s">
        <v>17251</v>
      </c>
      <c r="C1799" s="165"/>
      <c r="D1799" s="165"/>
      <c r="E1799" s="165"/>
      <c r="F1799" s="165"/>
      <c r="G1799" s="165"/>
      <c r="H1799" s="165"/>
      <c r="I1799" s="165"/>
      <c r="J1799" s="165"/>
      <c r="K1799" s="165"/>
      <c r="L1799" s="165"/>
      <c r="M1799" s="165"/>
      <c r="N1799" s="165"/>
      <c r="O1799" s="165"/>
      <c r="P1799" s="165"/>
      <c r="Q1799" s="165"/>
      <c r="R1799" s="165"/>
      <c r="S1799" s="165"/>
      <c r="T1799" s="165"/>
      <c r="U1799" s="165"/>
      <c r="V1799" s="165"/>
      <c r="W1799" s="165"/>
      <c r="X1799" s="165"/>
    </row>
    <row r="1800" ht="18.75" customHeight="1">
      <c r="A1800" s="165">
        <v>1797.0</v>
      </c>
      <c r="B1800" s="167" t="s">
        <v>17252</v>
      </c>
      <c r="C1800" s="165"/>
      <c r="D1800" s="165"/>
      <c r="E1800" s="165"/>
      <c r="F1800" s="165"/>
      <c r="G1800" s="165"/>
      <c r="H1800" s="165"/>
      <c r="I1800" s="165"/>
      <c r="J1800" s="165"/>
      <c r="K1800" s="165"/>
      <c r="L1800" s="165"/>
      <c r="M1800" s="165"/>
      <c r="N1800" s="165"/>
      <c r="O1800" s="165"/>
      <c r="P1800" s="165"/>
      <c r="Q1800" s="165"/>
      <c r="R1800" s="165"/>
      <c r="S1800" s="165"/>
      <c r="T1800" s="165"/>
      <c r="U1800" s="165"/>
      <c r="V1800" s="165"/>
      <c r="W1800" s="165"/>
      <c r="X1800" s="165"/>
    </row>
    <row r="1801" ht="18.75" customHeight="1">
      <c r="A1801" s="165">
        <v>1798.0</v>
      </c>
      <c r="B1801" s="165" t="s">
        <v>17253</v>
      </c>
      <c r="C1801" s="165"/>
      <c r="D1801" s="165"/>
      <c r="E1801" s="165"/>
      <c r="F1801" s="165"/>
      <c r="G1801" s="165"/>
      <c r="H1801" s="165"/>
      <c r="I1801" s="165"/>
      <c r="J1801" s="165"/>
      <c r="K1801" s="165"/>
      <c r="L1801" s="165"/>
      <c r="M1801" s="165"/>
      <c r="N1801" s="165"/>
      <c r="O1801" s="165"/>
      <c r="P1801" s="165"/>
      <c r="Q1801" s="165"/>
      <c r="R1801" s="165"/>
      <c r="S1801" s="165"/>
      <c r="T1801" s="165"/>
      <c r="U1801" s="165"/>
      <c r="V1801" s="165"/>
      <c r="W1801" s="165"/>
      <c r="X1801" s="165"/>
    </row>
    <row r="1802" ht="18.75" customHeight="1">
      <c r="A1802" s="165">
        <v>1799.0</v>
      </c>
      <c r="B1802" s="165" t="s">
        <v>17254</v>
      </c>
      <c r="C1802" s="165"/>
      <c r="D1802" s="165"/>
      <c r="E1802" s="165"/>
      <c r="F1802" s="165"/>
      <c r="G1802" s="165"/>
      <c r="H1802" s="165"/>
      <c r="I1802" s="165"/>
      <c r="J1802" s="165"/>
      <c r="K1802" s="165"/>
      <c r="L1802" s="165"/>
      <c r="M1802" s="165"/>
      <c r="N1802" s="165"/>
      <c r="O1802" s="165"/>
      <c r="P1802" s="165"/>
      <c r="Q1802" s="165"/>
      <c r="R1802" s="165"/>
      <c r="S1802" s="165"/>
      <c r="T1802" s="165"/>
      <c r="U1802" s="165"/>
      <c r="V1802" s="165"/>
      <c r="W1802" s="165"/>
      <c r="X1802" s="165"/>
    </row>
    <row r="1803" ht="18.75" customHeight="1">
      <c r="A1803" s="165">
        <v>1800.0</v>
      </c>
      <c r="B1803" s="165" t="s">
        <v>17255</v>
      </c>
      <c r="C1803" s="165"/>
      <c r="D1803" s="165"/>
      <c r="E1803" s="165"/>
      <c r="F1803" s="165"/>
      <c r="G1803" s="165"/>
      <c r="H1803" s="165"/>
      <c r="I1803" s="165"/>
      <c r="J1803" s="165"/>
      <c r="K1803" s="165"/>
      <c r="L1803" s="165"/>
      <c r="M1803" s="165"/>
      <c r="N1803" s="165"/>
      <c r="O1803" s="165"/>
      <c r="P1803" s="165"/>
      <c r="Q1803" s="165"/>
      <c r="R1803" s="165"/>
      <c r="S1803" s="165"/>
      <c r="T1803" s="165"/>
      <c r="U1803" s="165"/>
      <c r="V1803" s="165"/>
      <c r="W1803" s="165"/>
      <c r="X1803" s="165"/>
    </row>
    <row r="1804" ht="18.75" customHeight="1">
      <c r="A1804" s="165">
        <v>1801.0</v>
      </c>
      <c r="B1804" s="165" t="s">
        <v>17256</v>
      </c>
      <c r="C1804" s="165"/>
      <c r="D1804" s="165"/>
      <c r="E1804" s="165"/>
      <c r="F1804" s="165"/>
      <c r="G1804" s="165"/>
      <c r="H1804" s="165"/>
      <c r="I1804" s="165"/>
      <c r="J1804" s="165"/>
      <c r="K1804" s="165"/>
      <c r="L1804" s="165"/>
      <c r="M1804" s="165"/>
      <c r="N1804" s="165"/>
      <c r="O1804" s="165"/>
      <c r="P1804" s="165"/>
      <c r="Q1804" s="165"/>
      <c r="R1804" s="165"/>
      <c r="S1804" s="165"/>
      <c r="T1804" s="165"/>
      <c r="U1804" s="165"/>
      <c r="V1804" s="165"/>
      <c r="W1804" s="165"/>
      <c r="X1804" s="165"/>
    </row>
    <row r="1805" ht="18.75" customHeight="1">
      <c r="A1805" s="165">
        <v>1802.0</v>
      </c>
      <c r="B1805" s="165" t="s">
        <v>17257</v>
      </c>
      <c r="C1805" s="165"/>
      <c r="D1805" s="165"/>
      <c r="E1805" s="165"/>
      <c r="F1805" s="165"/>
      <c r="G1805" s="165"/>
      <c r="H1805" s="165"/>
      <c r="I1805" s="165"/>
      <c r="J1805" s="165"/>
      <c r="K1805" s="165"/>
      <c r="L1805" s="165"/>
      <c r="M1805" s="165"/>
      <c r="N1805" s="165"/>
      <c r="O1805" s="165"/>
      <c r="P1805" s="165"/>
      <c r="Q1805" s="165"/>
      <c r="R1805" s="165"/>
      <c r="S1805" s="165"/>
      <c r="T1805" s="165"/>
      <c r="U1805" s="165"/>
      <c r="V1805" s="165"/>
      <c r="W1805" s="165"/>
      <c r="X1805" s="165"/>
    </row>
    <row r="1806" ht="18.75" customHeight="1">
      <c r="A1806" s="165">
        <v>1803.0</v>
      </c>
      <c r="B1806" s="165" t="s">
        <v>17258</v>
      </c>
      <c r="C1806" s="165"/>
      <c r="D1806" s="165"/>
      <c r="E1806" s="165"/>
      <c r="F1806" s="165"/>
      <c r="G1806" s="165"/>
      <c r="H1806" s="165"/>
      <c r="I1806" s="165"/>
      <c r="J1806" s="165"/>
      <c r="K1806" s="165"/>
      <c r="L1806" s="165"/>
      <c r="M1806" s="165"/>
      <c r="N1806" s="165"/>
      <c r="O1806" s="165"/>
      <c r="P1806" s="165"/>
      <c r="Q1806" s="165"/>
      <c r="R1806" s="165"/>
      <c r="S1806" s="165"/>
      <c r="T1806" s="165"/>
      <c r="U1806" s="165"/>
      <c r="V1806" s="165"/>
      <c r="W1806" s="165"/>
      <c r="X1806" s="165"/>
    </row>
    <row r="1807" ht="18.75" customHeight="1">
      <c r="A1807" s="165">
        <v>1804.0</v>
      </c>
      <c r="B1807" s="165" t="s">
        <v>17259</v>
      </c>
      <c r="C1807" s="165"/>
      <c r="D1807" s="165"/>
      <c r="E1807" s="165"/>
      <c r="F1807" s="165"/>
      <c r="G1807" s="165"/>
      <c r="H1807" s="165"/>
      <c r="I1807" s="165"/>
      <c r="J1807" s="165"/>
      <c r="K1807" s="165"/>
      <c r="L1807" s="165"/>
      <c r="M1807" s="165"/>
      <c r="N1807" s="165"/>
      <c r="O1807" s="165"/>
      <c r="P1807" s="165"/>
      <c r="Q1807" s="165"/>
      <c r="R1807" s="165"/>
      <c r="S1807" s="165"/>
      <c r="T1807" s="165"/>
      <c r="U1807" s="165"/>
      <c r="V1807" s="165"/>
      <c r="W1807" s="165"/>
      <c r="X1807" s="165"/>
    </row>
    <row r="1808" ht="18.75" customHeight="1">
      <c r="A1808" s="165">
        <v>1805.0</v>
      </c>
      <c r="B1808" s="165" t="s">
        <v>17260</v>
      </c>
      <c r="C1808" s="165"/>
      <c r="D1808" s="165"/>
      <c r="E1808" s="165"/>
      <c r="F1808" s="165"/>
      <c r="G1808" s="165"/>
      <c r="H1808" s="165"/>
      <c r="I1808" s="165"/>
      <c r="J1808" s="165"/>
      <c r="K1808" s="165"/>
      <c r="L1808" s="165"/>
      <c r="M1808" s="165"/>
      <c r="N1808" s="165"/>
      <c r="O1808" s="165"/>
      <c r="P1808" s="165"/>
      <c r="Q1808" s="165"/>
      <c r="R1808" s="165"/>
      <c r="S1808" s="165"/>
      <c r="T1808" s="165"/>
      <c r="U1808" s="165"/>
      <c r="V1808" s="165"/>
      <c r="W1808" s="165"/>
      <c r="X1808" s="165"/>
    </row>
    <row r="1809" ht="18.75" customHeight="1">
      <c r="A1809" s="165">
        <v>1806.0</v>
      </c>
      <c r="B1809" s="165" t="s">
        <v>17261</v>
      </c>
      <c r="C1809" s="165"/>
      <c r="D1809" s="165"/>
      <c r="E1809" s="165"/>
      <c r="F1809" s="165"/>
      <c r="G1809" s="165"/>
      <c r="H1809" s="165"/>
      <c r="I1809" s="165"/>
      <c r="J1809" s="165"/>
      <c r="K1809" s="165"/>
      <c r="L1809" s="165"/>
      <c r="M1809" s="165"/>
      <c r="N1809" s="165"/>
      <c r="O1809" s="165"/>
      <c r="P1809" s="165"/>
      <c r="Q1809" s="165"/>
      <c r="R1809" s="165"/>
      <c r="S1809" s="165"/>
      <c r="T1809" s="165"/>
      <c r="U1809" s="165"/>
      <c r="V1809" s="165"/>
      <c r="W1809" s="165"/>
      <c r="X1809" s="165"/>
    </row>
    <row r="1810" ht="18.75" customHeight="1">
      <c r="A1810" s="165">
        <v>1807.0</v>
      </c>
      <c r="B1810" s="165" t="s">
        <v>17262</v>
      </c>
      <c r="C1810" s="165"/>
      <c r="D1810" s="165"/>
      <c r="E1810" s="165"/>
      <c r="F1810" s="165"/>
      <c r="G1810" s="165"/>
      <c r="H1810" s="165"/>
      <c r="I1810" s="165"/>
      <c r="J1810" s="165"/>
      <c r="K1810" s="165"/>
      <c r="L1810" s="165"/>
      <c r="M1810" s="165"/>
      <c r="N1810" s="165"/>
      <c r="O1810" s="165"/>
      <c r="P1810" s="165"/>
      <c r="Q1810" s="165"/>
      <c r="R1810" s="165"/>
      <c r="S1810" s="165"/>
      <c r="T1810" s="165"/>
      <c r="U1810" s="165"/>
      <c r="V1810" s="165"/>
      <c r="W1810" s="165"/>
      <c r="X1810" s="165"/>
    </row>
    <row r="1811" ht="18.75" customHeight="1">
      <c r="A1811" s="165">
        <v>1808.0</v>
      </c>
      <c r="B1811" s="165" t="s">
        <v>17263</v>
      </c>
      <c r="C1811" s="165"/>
      <c r="D1811" s="165"/>
      <c r="E1811" s="165"/>
      <c r="F1811" s="165"/>
      <c r="G1811" s="165"/>
      <c r="H1811" s="165"/>
      <c r="I1811" s="165"/>
      <c r="J1811" s="165"/>
      <c r="K1811" s="165"/>
      <c r="L1811" s="165"/>
      <c r="M1811" s="165"/>
      <c r="N1811" s="165"/>
      <c r="O1811" s="165"/>
      <c r="P1811" s="165"/>
      <c r="Q1811" s="165"/>
      <c r="R1811" s="165"/>
      <c r="S1811" s="165"/>
      <c r="T1811" s="165"/>
      <c r="U1811" s="165"/>
      <c r="V1811" s="165"/>
      <c r="W1811" s="165"/>
      <c r="X1811" s="165"/>
    </row>
    <row r="1812" ht="18.75" customHeight="1">
      <c r="A1812" s="165">
        <v>1809.0</v>
      </c>
      <c r="B1812" s="165" t="s">
        <v>17264</v>
      </c>
      <c r="C1812" s="165"/>
      <c r="D1812" s="165"/>
      <c r="E1812" s="165"/>
      <c r="F1812" s="165"/>
      <c r="G1812" s="165"/>
      <c r="H1812" s="165"/>
      <c r="I1812" s="165"/>
      <c r="J1812" s="165"/>
      <c r="K1812" s="165"/>
      <c r="L1812" s="165"/>
      <c r="M1812" s="165"/>
      <c r="N1812" s="165"/>
      <c r="O1812" s="165"/>
      <c r="P1812" s="165"/>
      <c r="Q1812" s="165"/>
      <c r="R1812" s="165"/>
      <c r="S1812" s="165"/>
      <c r="T1812" s="165"/>
      <c r="U1812" s="165"/>
      <c r="V1812" s="165"/>
      <c r="W1812" s="165"/>
      <c r="X1812" s="165"/>
    </row>
    <row r="1813" ht="18.75" customHeight="1">
      <c r="A1813" s="165">
        <v>1810.0</v>
      </c>
      <c r="B1813" s="167" t="s">
        <v>17265</v>
      </c>
      <c r="C1813" s="165"/>
      <c r="D1813" s="165"/>
      <c r="E1813" s="165"/>
      <c r="F1813" s="165"/>
      <c r="G1813" s="165"/>
      <c r="H1813" s="165"/>
      <c r="I1813" s="165"/>
      <c r="J1813" s="165"/>
      <c r="K1813" s="165"/>
      <c r="L1813" s="165"/>
      <c r="M1813" s="165"/>
      <c r="N1813" s="165"/>
      <c r="O1813" s="165"/>
      <c r="P1813" s="165"/>
      <c r="Q1813" s="165"/>
      <c r="R1813" s="165"/>
      <c r="S1813" s="165"/>
      <c r="T1813" s="165"/>
      <c r="U1813" s="165"/>
      <c r="V1813" s="165"/>
      <c r="W1813" s="165"/>
      <c r="X1813" s="165"/>
    </row>
    <row r="1814" ht="18.75" customHeight="1">
      <c r="A1814" s="165">
        <v>1811.0</v>
      </c>
      <c r="B1814" s="165" t="s">
        <v>17266</v>
      </c>
      <c r="C1814" s="165"/>
      <c r="D1814" s="165"/>
      <c r="E1814" s="165"/>
      <c r="F1814" s="165"/>
      <c r="G1814" s="165"/>
      <c r="H1814" s="165"/>
      <c r="I1814" s="165"/>
      <c r="J1814" s="165"/>
      <c r="K1814" s="165"/>
      <c r="L1814" s="165"/>
      <c r="M1814" s="165"/>
      <c r="N1814" s="165"/>
      <c r="O1814" s="165"/>
      <c r="P1814" s="165"/>
      <c r="Q1814" s="165"/>
      <c r="R1814" s="165"/>
      <c r="S1814" s="165"/>
      <c r="T1814" s="165"/>
      <c r="U1814" s="165"/>
      <c r="V1814" s="165"/>
      <c r="W1814" s="165"/>
      <c r="X1814" s="165"/>
    </row>
    <row r="1815" ht="18.75" customHeight="1">
      <c r="A1815" s="165">
        <v>1812.0</v>
      </c>
      <c r="B1815" s="165" t="s">
        <v>17267</v>
      </c>
      <c r="C1815" s="165"/>
      <c r="D1815" s="165"/>
      <c r="E1815" s="165"/>
      <c r="F1815" s="165"/>
      <c r="G1815" s="165"/>
      <c r="H1815" s="165"/>
      <c r="I1815" s="165"/>
      <c r="J1815" s="165"/>
      <c r="K1815" s="165"/>
      <c r="L1815" s="165"/>
      <c r="M1815" s="165"/>
      <c r="N1815" s="165"/>
      <c r="O1815" s="165"/>
      <c r="P1815" s="165"/>
      <c r="Q1815" s="165"/>
      <c r="R1815" s="165"/>
      <c r="S1815" s="165"/>
      <c r="T1815" s="165"/>
      <c r="U1815" s="165"/>
      <c r="V1815" s="165"/>
      <c r="W1815" s="165"/>
      <c r="X1815" s="165"/>
    </row>
    <row r="1816" ht="18.75" customHeight="1">
      <c r="A1816" s="165">
        <v>1813.0</v>
      </c>
      <c r="B1816" s="165" t="s">
        <v>17268</v>
      </c>
      <c r="C1816" s="165"/>
      <c r="D1816" s="165"/>
      <c r="E1816" s="165"/>
      <c r="F1816" s="165"/>
      <c r="G1816" s="165"/>
      <c r="H1816" s="165"/>
      <c r="I1816" s="165"/>
      <c r="J1816" s="165"/>
      <c r="K1816" s="165"/>
      <c r="L1816" s="165"/>
      <c r="M1816" s="165"/>
      <c r="N1816" s="165"/>
      <c r="O1816" s="165"/>
      <c r="P1816" s="165"/>
      <c r="Q1816" s="165"/>
      <c r="R1816" s="165"/>
      <c r="S1816" s="165"/>
      <c r="T1816" s="165"/>
      <c r="U1816" s="165"/>
      <c r="V1816" s="165"/>
      <c r="W1816" s="165"/>
      <c r="X1816" s="165"/>
    </row>
    <row r="1817" ht="18.75" customHeight="1">
      <c r="A1817" s="165">
        <v>1814.0</v>
      </c>
      <c r="B1817" s="165" t="s">
        <v>17269</v>
      </c>
      <c r="C1817" s="165"/>
      <c r="D1817" s="165"/>
      <c r="E1817" s="165"/>
      <c r="F1817" s="165"/>
      <c r="G1817" s="165"/>
      <c r="H1817" s="165"/>
      <c r="I1817" s="165"/>
      <c r="J1817" s="165"/>
      <c r="K1817" s="165"/>
      <c r="L1817" s="165"/>
      <c r="M1817" s="165"/>
      <c r="N1817" s="165"/>
      <c r="O1817" s="165"/>
      <c r="P1817" s="165"/>
      <c r="Q1817" s="165"/>
      <c r="R1817" s="165"/>
      <c r="S1817" s="165"/>
      <c r="T1817" s="165"/>
      <c r="U1817" s="165"/>
      <c r="V1817" s="165"/>
      <c r="W1817" s="165"/>
      <c r="X1817" s="165"/>
    </row>
    <row r="1818" ht="18.75" customHeight="1">
      <c r="A1818" s="165">
        <v>1815.0</v>
      </c>
      <c r="B1818" s="165" t="s">
        <v>17270</v>
      </c>
      <c r="C1818" s="165"/>
      <c r="D1818" s="165"/>
      <c r="E1818" s="165"/>
      <c r="F1818" s="165"/>
      <c r="G1818" s="165"/>
      <c r="H1818" s="165"/>
      <c r="I1818" s="165"/>
      <c r="J1818" s="165"/>
      <c r="K1818" s="165"/>
      <c r="L1818" s="165"/>
      <c r="M1818" s="165"/>
      <c r="N1818" s="165"/>
      <c r="O1818" s="165"/>
      <c r="P1818" s="165"/>
      <c r="Q1818" s="165"/>
      <c r="R1818" s="165"/>
      <c r="S1818" s="165"/>
      <c r="T1818" s="165"/>
      <c r="U1818" s="165"/>
      <c r="V1818" s="165"/>
      <c r="W1818" s="165"/>
      <c r="X1818" s="165"/>
    </row>
    <row r="1819" ht="18.75" customHeight="1">
      <c r="A1819" s="165">
        <v>1816.0</v>
      </c>
      <c r="B1819" s="165" t="s">
        <v>17271</v>
      </c>
      <c r="C1819" s="165"/>
      <c r="D1819" s="165"/>
      <c r="E1819" s="165"/>
      <c r="F1819" s="165"/>
      <c r="G1819" s="165"/>
      <c r="H1819" s="165"/>
      <c r="I1819" s="165"/>
      <c r="J1819" s="165"/>
      <c r="K1819" s="165"/>
      <c r="L1819" s="165"/>
      <c r="M1819" s="165"/>
      <c r="N1819" s="165"/>
      <c r="O1819" s="165"/>
      <c r="P1819" s="165"/>
      <c r="Q1819" s="165"/>
      <c r="R1819" s="165"/>
      <c r="S1819" s="165"/>
      <c r="T1819" s="165"/>
      <c r="U1819" s="165"/>
      <c r="V1819" s="165"/>
      <c r="W1819" s="165"/>
      <c r="X1819" s="165"/>
    </row>
    <row r="1820" ht="18.75" customHeight="1">
      <c r="A1820" s="165">
        <v>1817.0</v>
      </c>
      <c r="B1820" s="165" t="s">
        <v>17272</v>
      </c>
      <c r="C1820" s="165"/>
      <c r="D1820" s="165"/>
      <c r="E1820" s="165"/>
      <c r="F1820" s="165"/>
      <c r="G1820" s="165"/>
      <c r="H1820" s="165"/>
      <c r="I1820" s="165"/>
      <c r="J1820" s="165"/>
      <c r="K1820" s="165"/>
      <c r="L1820" s="165"/>
      <c r="M1820" s="165"/>
      <c r="N1820" s="165"/>
      <c r="O1820" s="165"/>
      <c r="P1820" s="165"/>
      <c r="Q1820" s="165"/>
      <c r="R1820" s="165"/>
      <c r="S1820" s="165"/>
      <c r="T1820" s="165"/>
      <c r="U1820" s="165"/>
      <c r="V1820" s="165"/>
      <c r="W1820" s="165"/>
      <c r="X1820" s="165"/>
    </row>
    <row r="1821" ht="18.75" customHeight="1">
      <c r="A1821" s="165">
        <v>1818.0</v>
      </c>
      <c r="B1821" s="165" t="s">
        <v>17273</v>
      </c>
      <c r="C1821" s="165"/>
      <c r="D1821" s="165"/>
      <c r="E1821" s="165"/>
      <c r="F1821" s="165"/>
      <c r="G1821" s="165"/>
      <c r="H1821" s="165"/>
      <c r="I1821" s="165"/>
      <c r="J1821" s="165"/>
      <c r="K1821" s="165"/>
      <c r="L1821" s="165"/>
      <c r="M1821" s="165"/>
      <c r="N1821" s="165"/>
      <c r="O1821" s="165"/>
      <c r="P1821" s="165"/>
      <c r="Q1821" s="165"/>
      <c r="R1821" s="165"/>
      <c r="S1821" s="165"/>
      <c r="T1821" s="165"/>
      <c r="U1821" s="165"/>
      <c r="V1821" s="165"/>
      <c r="W1821" s="165"/>
      <c r="X1821" s="165"/>
    </row>
    <row r="1822" ht="18.75" customHeight="1">
      <c r="A1822" s="165">
        <v>1819.0</v>
      </c>
      <c r="B1822" s="165" t="s">
        <v>17274</v>
      </c>
      <c r="C1822" s="165"/>
      <c r="D1822" s="165"/>
      <c r="E1822" s="165"/>
      <c r="F1822" s="165"/>
      <c r="G1822" s="165"/>
      <c r="H1822" s="165"/>
      <c r="I1822" s="165"/>
      <c r="J1822" s="165"/>
      <c r="K1822" s="165"/>
      <c r="L1822" s="165"/>
      <c r="M1822" s="165"/>
      <c r="N1822" s="165"/>
      <c r="O1822" s="165"/>
      <c r="P1822" s="165"/>
      <c r="Q1822" s="165"/>
      <c r="R1822" s="165"/>
      <c r="S1822" s="165"/>
      <c r="T1822" s="165"/>
      <c r="U1822" s="165"/>
      <c r="V1822" s="165"/>
      <c r="W1822" s="165"/>
      <c r="X1822" s="165"/>
    </row>
    <row r="1823" ht="18.75" customHeight="1">
      <c r="A1823" s="165">
        <v>1820.0</v>
      </c>
      <c r="B1823" s="165" t="s">
        <v>17275</v>
      </c>
      <c r="C1823" s="165"/>
      <c r="D1823" s="165"/>
      <c r="E1823" s="165"/>
      <c r="F1823" s="165"/>
      <c r="G1823" s="165"/>
      <c r="H1823" s="165"/>
      <c r="I1823" s="165"/>
      <c r="J1823" s="165"/>
      <c r="K1823" s="165"/>
      <c r="L1823" s="165"/>
      <c r="M1823" s="165"/>
      <c r="N1823" s="165"/>
      <c r="O1823" s="165"/>
      <c r="P1823" s="165"/>
      <c r="Q1823" s="165"/>
      <c r="R1823" s="165"/>
      <c r="S1823" s="165"/>
      <c r="T1823" s="165"/>
      <c r="U1823" s="165"/>
      <c r="V1823" s="165"/>
      <c r="W1823" s="165"/>
      <c r="X1823" s="165"/>
    </row>
    <row r="1824" ht="18.75" customHeight="1">
      <c r="A1824" s="165">
        <v>1821.0</v>
      </c>
      <c r="B1824" s="165" t="s">
        <v>17276</v>
      </c>
      <c r="C1824" s="165"/>
      <c r="D1824" s="165"/>
      <c r="E1824" s="165"/>
      <c r="F1824" s="165"/>
      <c r="G1824" s="165"/>
      <c r="H1824" s="165"/>
      <c r="I1824" s="165"/>
      <c r="J1824" s="165"/>
      <c r="K1824" s="165"/>
      <c r="L1824" s="165"/>
      <c r="M1824" s="165"/>
      <c r="N1824" s="165"/>
      <c r="O1824" s="165"/>
      <c r="P1824" s="165"/>
      <c r="Q1824" s="165"/>
      <c r="R1824" s="165"/>
      <c r="S1824" s="165"/>
      <c r="T1824" s="165"/>
      <c r="U1824" s="165"/>
      <c r="V1824" s="165"/>
      <c r="W1824" s="165"/>
      <c r="X1824" s="165"/>
    </row>
    <row r="1825" ht="18.75" customHeight="1">
      <c r="A1825" s="165">
        <v>1822.0</v>
      </c>
      <c r="B1825" s="165" t="s">
        <v>17277</v>
      </c>
      <c r="C1825" s="165"/>
      <c r="D1825" s="165"/>
      <c r="E1825" s="165"/>
      <c r="F1825" s="165"/>
      <c r="G1825" s="165"/>
      <c r="H1825" s="165"/>
      <c r="I1825" s="165"/>
      <c r="J1825" s="165"/>
      <c r="K1825" s="165"/>
      <c r="L1825" s="165"/>
      <c r="M1825" s="165"/>
      <c r="N1825" s="165"/>
      <c r="O1825" s="165"/>
      <c r="P1825" s="165"/>
      <c r="Q1825" s="165"/>
      <c r="R1825" s="165"/>
      <c r="S1825" s="165"/>
      <c r="T1825" s="165"/>
      <c r="U1825" s="165"/>
      <c r="V1825" s="165"/>
      <c r="W1825" s="165"/>
      <c r="X1825" s="165"/>
    </row>
    <row r="1826" ht="18.75" customHeight="1">
      <c r="A1826" s="165">
        <v>1823.0</v>
      </c>
      <c r="B1826" s="165" t="s">
        <v>17278</v>
      </c>
      <c r="C1826" s="165"/>
      <c r="D1826" s="165"/>
      <c r="E1826" s="165"/>
      <c r="F1826" s="165"/>
      <c r="G1826" s="165"/>
      <c r="H1826" s="165"/>
      <c r="I1826" s="165"/>
      <c r="J1826" s="165"/>
      <c r="K1826" s="165"/>
      <c r="L1826" s="165"/>
      <c r="M1826" s="165"/>
      <c r="N1826" s="165"/>
      <c r="O1826" s="165"/>
      <c r="P1826" s="165"/>
      <c r="Q1826" s="165"/>
      <c r="R1826" s="165"/>
      <c r="S1826" s="165"/>
      <c r="T1826" s="165"/>
      <c r="U1826" s="165"/>
      <c r="V1826" s="165"/>
      <c r="W1826" s="165"/>
      <c r="X1826" s="165"/>
    </row>
    <row r="1827" ht="18.75" customHeight="1">
      <c r="A1827" s="165">
        <v>1824.0</v>
      </c>
      <c r="B1827" s="167" t="s">
        <v>17279</v>
      </c>
      <c r="C1827" s="165"/>
      <c r="D1827" s="165"/>
      <c r="E1827" s="165"/>
      <c r="F1827" s="165"/>
      <c r="G1827" s="165"/>
      <c r="H1827" s="165"/>
      <c r="I1827" s="165"/>
      <c r="J1827" s="165"/>
      <c r="K1827" s="165"/>
      <c r="L1827" s="165"/>
      <c r="M1827" s="165"/>
      <c r="N1827" s="165"/>
      <c r="O1827" s="165"/>
      <c r="P1827" s="165"/>
      <c r="Q1827" s="165"/>
      <c r="R1827" s="165"/>
      <c r="S1827" s="165"/>
      <c r="T1827" s="165"/>
      <c r="U1827" s="165"/>
      <c r="V1827" s="165"/>
      <c r="W1827" s="165"/>
      <c r="X1827" s="165"/>
    </row>
    <row r="1828" ht="18.75" customHeight="1">
      <c r="A1828" s="165">
        <v>1825.0</v>
      </c>
      <c r="B1828" s="165" t="s">
        <v>17280</v>
      </c>
      <c r="C1828" s="165"/>
      <c r="D1828" s="165"/>
      <c r="E1828" s="165"/>
      <c r="F1828" s="165"/>
      <c r="G1828" s="165"/>
      <c r="H1828" s="165"/>
      <c r="I1828" s="165"/>
      <c r="J1828" s="165"/>
      <c r="K1828" s="165"/>
      <c r="L1828" s="165"/>
      <c r="M1828" s="165"/>
      <c r="N1828" s="165"/>
      <c r="O1828" s="165"/>
      <c r="P1828" s="165"/>
      <c r="Q1828" s="165"/>
      <c r="R1828" s="165"/>
      <c r="S1828" s="165"/>
      <c r="T1828" s="165"/>
      <c r="U1828" s="165"/>
      <c r="V1828" s="165"/>
      <c r="W1828" s="165"/>
      <c r="X1828" s="165"/>
    </row>
    <row r="1829" ht="18.75" customHeight="1">
      <c r="A1829" s="165">
        <v>1826.0</v>
      </c>
      <c r="B1829" s="165" t="s">
        <v>17281</v>
      </c>
      <c r="C1829" s="165"/>
      <c r="D1829" s="165"/>
      <c r="E1829" s="165"/>
      <c r="F1829" s="165"/>
      <c r="G1829" s="165"/>
      <c r="H1829" s="165"/>
      <c r="I1829" s="165"/>
      <c r="J1829" s="165"/>
      <c r="K1829" s="165"/>
      <c r="L1829" s="165"/>
      <c r="M1829" s="165"/>
      <c r="N1829" s="165"/>
      <c r="O1829" s="165"/>
      <c r="P1829" s="165"/>
      <c r="Q1829" s="165"/>
      <c r="R1829" s="165"/>
      <c r="S1829" s="165"/>
      <c r="T1829" s="165"/>
      <c r="U1829" s="165"/>
      <c r="V1829" s="165"/>
      <c r="W1829" s="165"/>
      <c r="X1829" s="165"/>
    </row>
    <row r="1830" ht="18.75" customHeight="1">
      <c r="A1830" s="165">
        <v>1827.0</v>
      </c>
      <c r="B1830" s="165" t="s">
        <v>17282</v>
      </c>
      <c r="C1830" s="165"/>
      <c r="D1830" s="165"/>
      <c r="E1830" s="165"/>
      <c r="F1830" s="165"/>
      <c r="G1830" s="165"/>
      <c r="H1830" s="165"/>
      <c r="I1830" s="165"/>
      <c r="J1830" s="165"/>
      <c r="K1830" s="165"/>
      <c r="L1830" s="165"/>
      <c r="M1830" s="165"/>
      <c r="N1830" s="165"/>
      <c r="O1830" s="165"/>
      <c r="P1830" s="165"/>
      <c r="Q1830" s="165"/>
      <c r="R1830" s="165"/>
      <c r="S1830" s="165"/>
      <c r="T1830" s="165"/>
      <c r="U1830" s="165"/>
      <c r="V1830" s="165"/>
      <c r="W1830" s="165"/>
      <c r="X1830" s="165"/>
    </row>
    <row r="1831" ht="18.75" customHeight="1">
      <c r="A1831" s="165">
        <v>1828.0</v>
      </c>
      <c r="B1831" s="165" t="s">
        <v>17283</v>
      </c>
      <c r="C1831" s="165"/>
      <c r="D1831" s="165"/>
      <c r="E1831" s="165"/>
      <c r="F1831" s="165"/>
      <c r="G1831" s="165"/>
      <c r="H1831" s="165"/>
      <c r="I1831" s="165"/>
      <c r="J1831" s="165"/>
      <c r="K1831" s="165"/>
      <c r="L1831" s="165"/>
      <c r="M1831" s="165"/>
      <c r="N1831" s="165"/>
      <c r="O1831" s="165"/>
      <c r="P1831" s="165"/>
      <c r="Q1831" s="165"/>
      <c r="R1831" s="165"/>
      <c r="S1831" s="165"/>
      <c r="T1831" s="165"/>
      <c r="U1831" s="165"/>
      <c r="V1831" s="165"/>
      <c r="W1831" s="165"/>
      <c r="X1831" s="165"/>
    </row>
    <row r="1832" ht="18.75" customHeight="1">
      <c r="A1832" s="165">
        <v>1829.0</v>
      </c>
      <c r="B1832" s="165" t="s">
        <v>17284</v>
      </c>
      <c r="C1832" s="165"/>
      <c r="D1832" s="165"/>
      <c r="E1832" s="165"/>
      <c r="F1832" s="165"/>
      <c r="G1832" s="165"/>
      <c r="H1832" s="165"/>
      <c r="I1832" s="165"/>
      <c r="J1832" s="165"/>
      <c r="K1832" s="165"/>
      <c r="L1832" s="165"/>
      <c r="M1832" s="165"/>
      <c r="N1832" s="165"/>
      <c r="O1832" s="165"/>
      <c r="P1832" s="165"/>
      <c r="Q1832" s="165"/>
      <c r="R1832" s="165"/>
      <c r="S1832" s="165"/>
      <c r="T1832" s="165"/>
      <c r="U1832" s="165"/>
      <c r="V1832" s="165"/>
      <c r="W1832" s="165"/>
      <c r="X1832" s="165"/>
    </row>
    <row r="1833" ht="18.75" customHeight="1">
      <c r="A1833" s="165">
        <v>1830.0</v>
      </c>
      <c r="B1833" s="167" t="s">
        <v>17285</v>
      </c>
      <c r="C1833" s="165"/>
      <c r="D1833" s="165"/>
      <c r="E1833" s="165"/>
      <c r="F1833" s="165"/>
      <c r="G1833" s="165"/>
      <c r="H1833" s="165"/>
      <c r="I1833" s="165"/>
      <c r="J1833" s="165"/>
      <c r="K1833" s="165"/>
      <c r="L1833" s="165"/>
      <c r="M1833" s="165"/>
      <c r="N1833" s="165"/>
      <c r="O1833" s="165"/>
      <c r="P1833" s="165"/>
      <c r="Q1833" s="165"/>
      <c r="R1833" s="165"/>
      <c r="S1833" s="165"/>
      <c r="T1833" s="165"/>
      <c r="U1833" s="165"/>
      <c r="V1833" s="165"/>
      <c r="W1833" s="165"/>
      <c r="X1833" s="165"/>
    </row>
    <row r="1834" ht="18.75" customHeight="1">
      <c r="A1834" s="165">
        <v>1831.0</v>
      </c>
      <c r="B1834" s="165" t="s">
        <v>17286</v>
      </c>
      <c r="C1834" s="165"/>
      <c r="D1834" s="165"/>
      <c r="E1834" s="165"/>
      <c r="F1834" s="165"/>
      <c r="G1834" s="165"/>
      <c r="H1834" s="165"/>
      <c r="I1834" s="165"/>
      <c r="J1834" s="165"/>
      <c r="K1834" s="165"/>
      <c r="L1834" s="165"/>
      <c r="M1834" s="165"/>
      <c r="N1834" s="165"/>
      <c r="O1834" s="165"/>
      <c r="P1834" s="165"/>
      <c r="Q1834" s="165"/>
      <c r="R1834" s="165"/>
      <c r="S1834" s="165"/>
      <c r="T1834" s="165"/>
      <c r="U1834" s="165"/>
      <c r="V1834" s="165"/>
      <c r="W1834" s="165"/>
      <c r="X1834" s="165"/>
    </row>
    <row r="1835" ht="18.75" customHeight="1">
      <c r="A1835" s="165">
        <v>1832.0</v>
      </c>
      <c r="B1835" s="165" t="s">
        <v>17287</v>
      </c>
      <c r="C1835" s="165"/>
      <c r="D1835" s="165"/>
      <c r="E1835" s="165"/>
      <c r="F1835" s="165"/>
      <c r="G1835" s="165"/>
      <c r="H1835" s="165"/>
      <c r="I1835" s="165"/>
      <c r="J1835" s="165"/>
      <c r="K1835" s="165"/>
      <c r="L1835" s="165"/>
      <c r="M1835" s="165"/>
      <c r="N1835" s="165"/>
      <c r="O1835" s="165"/>
      <c r="P1835" s="165"/>
      <c r="Q1835" s="165"/>
      <c r="R1835" s="165"/>
      <c r="S1835" s="165"/>
      <c r="T1835" s="165"/>
      <c r="U1835" s="165"/>
      <c r="V1835" s="165"/>
      <c r="W1835" s="165"/>
      <c r="X1835" s="165"/>
    </row>
    <row r="1836" ht="18.75" customHeight="1">
      <c r="A1836" s="165">
        <v>1833.0</v>
      </c>
      <c r="B1836" s="167" t="s">
        <v>17288</v>
      </c>
      <c r="C1836" s="165"/>
      <c r="D1836" s="165"/>
      <c r="E1836" s="165"/>
      <c r="F1836" s="165"/>
      <c r="G1836" s="165"/>
      <c r="H1836" s="165"/>
      <c r="I1836" s="165"/>
      <c r="J1836" s="165"/>
      <c r="K1836" s="165"/>
      <c r="L1836" s="165"/>
      <c r="M1836" s="165"/>
      <c r="N1836" s="165"/>
      <c r="O1836" s="165"/>
      <c r="P1836" s="165"/>
      <c r="Q1836" s="165"/>
      <c r="R1836" s="165"/>
      <c r="S1836" s="165"/>
      <c r="T1836" s="165"/>
      <c r="U1836" s="165"/>
      <c r="V1836" s="165"/>
      <c r="W1836" s="165"/>
      <c r="X1836" s="165"/>
    </row>
    <row r="1837" ht="18.75" customHeight="1">
      <c r="A1837" s="165">
        <v>1834.0</v>
      </c>
      <c r="B1837" s="167" t="s">
        <v>17289</v>
      </c>
      <c r="C1837" s="165"/>
      <c r="D1837" s="165"/>
      <c r="E1837" s="165"/>
      <c r="F1837" s="165"/>
      <c r="G1837" s="165"/>
      <c r="H1837" s="165"/>
      <c r="I1837" s="165"/>
      <c r="J1837" s="165"/>
      <c r="K1837" s="165"/>
      <c r="L1837" s="165"/>
      <c r="M1837" s="165"/>
      <c r="N1837" s="165"/>
      <c r="O1837" s="165"/>
      <c r="P1837" s="165"/>
      <c r="Q1837" s="165"/>
      <c r="R1837" s="165"/>
      <c r="S1837" s="165"/>
      <c r="T1837" s="165"/>
      <c r="U1837" s="165"/>
      <c r="V1837" s="165"/>
      <c r="W1837" s="165"/>
      <c r="X1837" s="165"/>
    </row>
    <row r="1838" ht="18.75" customHeight="1">
      <c r="A1838" s="165">
        <v>1835.0</v>
      </c>
      <c r="B1838" s="167" t="s">
        <v>17290</v>
      </c>
      <c r="C1838" s="165"/>
      <c r="D1838" s="165"/>
      <c r="E1838" s="165"/>
      <c r="F1838" s="165"/>
      <c r="G1838" s="165"/>
      <c r="H1838" s="165"/>
      <c r="I1838" s="165"/>
      <c r="J1838" s="165"/>
      <c r="K1838" s="165"/>
      <c r="L1838" s="165"/>
      <c r="M1838" s="165"/>
      <c r="N1838" s="165"/>
      <c r="O1838" s="165"/>
      <c r="P1838" s="165"/>
      <c r="Q1838" s="165"/>
      <c r="R1838" s="165"/>
      <c r="S1838" s="165"/>
      <c r="T1838" s="165"/>
      <c r="U1838" s="165"/>
      <c r="V1838" s="165"/>
      <c r="W1838" s="165"/>
      <c r="X1838" s="165"/>
    </row>
    <row r="1839" ht="18.75" customHeight="1">
      <c r="A1839" s="165">
        <v>1836.0</v>
      </c>
      <c r="B1839" s="167" t="s">
        <v>17291</v>
      </c>
      <c r="C1839" s="165"/>
      <c r="D1839" s="165"/>
      <c r="E1839" s="165"/>
      <c r="F1839" s="165"/>
      <c r="G1839" s="165"/>
      <c r="H1839" s="165"/>
      <c r="I1839" s="165"/>
      <c r="J1839" s="165"/>
      <c r="K1839" s="165"/>
      <c r="L1839" s="165"/>
      <c r="M1839" s="165"/>
      <c r="N1839" s="165"/>
      <c r="O1839" s="165"/>
      <c r="P1839" s="165"/>
      <c r="Q1839" s="165"/>
      <c r="R1839" s="165"/>
      <c r="S1839" s="165"/>
      <c r="T1839" s="165"/>
      <c r="U1839" s="165"/>
      <c r="V1839" s="165"/>
      <c r="W1839" s="165"/>
      <c r="X1839" s="165"/>
    </row>
    <row r="1840" ht="18.75" customHeight="1">
      <c r="A1840" s="165">
        <v>1837.0</v>
      </c>
      <c r="B1840" s="165" t="s">
        <v>17292</v>
      </c>
      <c r="C1840" s="165"/>
      <c r="D1840" s="165"/>
      <c r="E1840" s="165"/>
      <c r="F1840" s="165"/>
      <c r="G1840" s="165"/>
      <c r="H1840" s="165"/>
      <c r="I1840" s="165"/>
      <c r="J1840" s="165"/>
      <c r="K1840" s="165"/>
      <c r="L1840" s="165"/>
      <c r="M1840" s="165"/>
      <c r="N1840" s="165"/>
      <c r="O1840" s="165"/>
      <c r="P1840" s="165"/>
      <c r="Q1840" s="165"/>
      <c r="R1840" s="165"/>
      <c r="S1840" s="165"/>
      <c r="T1840" s="165"/>
      <c r="U1840" s="165"/>
      <c r="V1840" s="165"/>
      <c r="W1840" s="165"/>
      <c r="X1840" s="165"/>
    </row>
    <row r="1841" ht="18.75" customHeight="1">
      <c r="A1841" s="165">
        <v>1838.0</v>
      </c>
      <c r="B1841" s="165" t="s">
        <v>17293</v>
      </c>
      <c r="C1841" s="165"/>
      <c r="D1841" s="165"/>
      <c r="E1841" s="165"/>
      <c r="F1841" s="165"/>
      <c r="G1841" s="165"/>
      <c r="H1841" s="165"/>
      <c r="I1841" s="165"/>
      <c r="J1841" s="165"/>
      <c r="K1841" s="165"/>
      <c r="L1841" s="165"/>
      <c r="M1841" s="165"/>
      <c r="N1841" s="165"/>
      <c r="O1841" s="165"/>
      <c r="P1841" s="165"/>
      <c r="Q1841" s="165"/>
      <c r="R1841" s="165"/>
      <c r="S1841" s="165"/>
      <c r="T1841" s="165"/>
      <c r="U1841" s="165"/>
      <c r="V1841" s="165"/>
      <c r="W1841" s="165"/>
      <c r="X1841" s="165"/>
    </row>
    <row r="1842" ht="18.75" customHeight="1">
      <c r="A1842" s="165">
        <v>1839.0</v>
      </c>
      <c r="B1842" s="165" t="s">
        <v>17294</v>
      </c>
      <c r="C1842" s="165"/>
      <c r="D1842" s="165"/>
      <c r="E1842" s="165"/>
      <c r="F1842" s="165"/>
      <c r="G1842" s="165"/>
      <c r="H1842" s="165"/>
      <c r="I1842" s="165"/>
      <c r="J1842" s="165"/>
      <c r="K1842" s="165"/>
      <c r="L1842" s="165"/>
      <c r="M1842" s="165"/>
      <c r="N1842" s="165"/>
      <c r="O1842" s="165"/>
      <c r="P1842" s="165"/>
      <c r="Q1842" s="165"/>
      <c r="R1842" s="165"/>
      <c r="S1842" s="165"/>
      <c r="T1842" s="165"/>
      <c r="U1842" s="165"/>
      <c r="V1842" s="165"/>
      <c r="W1842" s="165"/>
      <c r="X1842" s="165"/>
    </row>
    <row r="1843" ht="18.75" customHeight="1">
      <c r="A1843" s="165">
        <v>1840.0</v>
      </c>
      <c r="B1843" s="165" t="s">
        <v>17295</v>
      </c>
      <c r="C1843" s="165"/>
      <c r="D1843" s="165"/>
      <c r="E1843" s="165"/>
      <c r="F1843" s="165"/>
      <c r="G1843" s="165"/>
      <c r="H1843" s="165"/>
      <c r="I1843" s="165"/>
      <c r="J1843" s="165"/>
      <c r="K1843" s="165"/>
      <c r="L1843" s="165"/>
      <c r="M1843" s="165"/>
      <c r="N1843" s="165"/>
      <c r="O1843" s="165"/>
      <c r="P1843" s="165"/>
      <c r="Q1843" s="165"/>
      <c r="R1843" s="165"/>
      <c r="S1843" s="165"/>
      <c r="T1843" s="165"/>
      <c r="U1843" s="165"/>
      <c r="V1843" s="165"/>
      <c r="W1843" s="165"/>
      <c r="X1843" s="165"/>
    </row>
    <row r="1844" ht="18.75" customHeight="1">
      <c r="A1844" s="165">
        <v>1841.0</v>
      </c>
      <c r="B1844" s="165" t="s">
        <v>17296</v>
      </c>
      <c r="C1844" s="165"/>
      <c r="D1844" s="165"/>
      <c r="E1844" s="165"/>
      <c r="F1844" s="165"/>
      <c r="G1844" s="165"/>
      <c r="H1844" s="165"/>
      <c r="I1844" s="165"/>
      <c r="J1844" s="165"/>
      <c r="K1844" s="165"/>
      <c r="L1844" s="165"/>
      <c r="M1844" s="165"/>
      <c r="N1844" s="165"/>
      <c r="O1844" s="165"/>
      <c r="P1844" s="165"/>
      <c r="Q1844" s="165"/>
      <c r="R1844" s="165"/>
      <c r="S1844" s="165"/>
      <c r="T1844" s="165"/>
      <c r="U1844" s="165"/>
      <c r="V1844" s="165"/>
      <c r="W1844" s="165"/>
      <c r="X1844" s="165"/>
    </row>
    <row r="1845" ht="18.75" customHeight="1">
      <c r="A1845" s="165">
        <v>1842.0</v>
      </c>
      <c r="B1845" s="165" t="s">
        <v>17297</v>
      </c>
      <c r="C1845" s="165"/>
      <c r="D1845" s="165"/>
      <c r="E1845" s="165"/>
      <c r="F1845" s="165"/>
      <c r="G1845" s="165"/>
      <c r="H1845" s="165"/>
      <c r="I1845" s="165"/>
      <c r="J1845" s="165"/>
      <c r="K1845" s="165"/>
      <c r="L1845" s="165"/>
      <c r="M1845" s="165"/>
      <c r="N1845" s="165"/>
      <c r="O1845" s="165"/>
      <c r="P1845" s="165"/>
      <c r="Q1845" s="165"/>
      <c r="R1845" s="165"/>
      <c r="S1845" s="165"/>
      <c r="T1845" s="165"/>
      <c r="U1845" s="165"/>
      <c r="V1845" s="165"/>
      <c r="W1845" s="165"/>
      <c r="X1845" s="165"/>
    </row>
    <row r="1846" ht="18.75" customHeight="1">
      <c r="A1846" s="165">
        <v>1843.0</v>
      </c>
      <c r="B1846" s="165" t="s">
        <v>17298</v>
      </c>
      <c r="C1846" s="165"/>
      <c r="D1846" s="165"/>
      <c r="E1846" s="165"/>
      <c r="F1846" s="165"/>
      <c r="G1846" s="165"/>
      <c r="H1846" s="165"/>
      <c r="I1846" s="165"/>
      <c r="J1846" s="165"/>
      <c r="K1846" s="165"/>
      <c r="L1846" s="165"/>
      <c r="M1846" s="165"/>
      <c r="N1846" s="165"/>
      <c r="O1846" s="165"/>
      <c r="P1846" s="165"/>
      <c r="Q1846" s="165"/>
      <c r="R1846" s="165"/>
      <c r="S1846" s="165"/>
      <c r="T1846" s="165"/>
      <c r="U1846" s="165"/>
      <c r="V1846" s="165"/>
      <c r="W1846" s="165"/>
      <c r="X1846" s="165"/>
    </row>
    <row r="1847" ht="18.75" customHeight="1">
      <c r="A1847" s="165">
        <v>1844.0</v>
      </c>
      <c r="B1847" s="167" t="s">
        <v>17299</v>
      </c>
      <c r="C1847" s="165"/>
      <c r="D1847" s="165"/>
      <c r="E1847" s="165"/>
      <c r="F1847" s="165"/>
      <c r="G1847" s="165"/>
      <c r="H1847" s="165"/>
      <c r="I1847" s="165"/>
      <c r="J1847" s="165"/>
      <c r="K1847" s="165"/>
      <c r="L1847" s="165"/>
      <c r="M1847" s="165"/>
      <c r="N1847" s="165"/>
      <c r="O1847" s="165"/>
      <c r="P1847" s="165"/>
      <c r="Q1847" s="165"/>
      <c r="R1847" s="165"/>
      <c r="S1847" s="165"/>
      <c r="T1847" s="165"/>
      <c r="U1847" s="165"/>
      <c r="V1847" s="165"/>
      <c r="W1847" s="165"/>
      <c r="X1847" s="165"/>
    </row>
    <row r="1848" ht="18.75" customHeight="1">
      <c r="A1848" s="165">
        <v>1845.0</v>
      </c>
      <c r="B1848" s="167" t="s">
        <v>17300</v>
      </c>
      <c r="C1848" s="165"/>
      <c r="D1848" s="165"/>
      <c r="E1848" s="165"/>
      <c r="F1848" s="165"/>
      <c r="G1848" s="165"/>
      <c r="H1848" s="165"/>
      <c r="I1848" s="165"/>
      <c r="J1848" s="165"/>
      <c r="K1848" s="165"/>
      <c r="L1848" s="165"/>
      <c r="M1848" s="165"/>
      <c r="N1848" s="165"/>
      <c r="O1848" s="165"/>
      <c r="P1848" s="165"/>
      <c r="Q1848" s="165"/>
      <c r="R1848" s="165"/>
      <c r="S1848" s="165"/>
      <c r="T1848" s="165"/>
      <c r="U1848" s="165"/>
      <c r="V1848" s="165"/>
      <c r="W1848" s="165"/>
      <c r="X1848" s="165"/>
    </row>
    <row r="1849" ht="18.75" customHeight="1">
      <c r="A1849" s="165">
        <v>1846.0</v>
      </c>
      <c r="B1849" s="165" t="s">
        <v>17301</v>
      </c>
      <c r="C1849" s="165"/>
      <c r="D1849" s="165"/>
      <c r="E1849" s="165"/>
      <c r="F1849" s="165"/>
      <c r="G1849" s="165"/>
      <c r="H1849" s="165"/>
      <c r="I1849" s="165"/>
      <c r="J1849" s="165"/>
      <c r="K1849" s="165"/>
      <c r="L1849" s="165"/>
      <c r="M1849" s="165"/>
      <c r="N1849" s="165"/>
      <c r="O1849" s="165"/>
      <c r="P1849" s="165"/>
      <c r="Q1849" s="165"/>
      <c r="R1849" s="165"/>
      <c r="S1849" s="165"/>
      <c r="T1849" s="165"/>
      <c r="U1849" s="165"/>
      <c r="V1849" s="165"/>
      <c r="W1849" s="165"/>
      <c r="X1849" s="165"/>
    </row>
    <row r="1850" ht="18.75" customHeight="1">
      <c r="A1850" s="165">
        <v>1847.0</v>
      </c>
      <c r="B1850" s="165" t="s">
        <v>17302</v>
      </c>
      <c r="C1850" s="165"/>
      <c r="D1850" s="165"/>
      <c r="E1850" s="165"/>
      <c r="F1850" s="165"/>
      <c r="G1850" s="165"/>
      <c r="H1850" s="165"/>
      <c r="I1850" s="165"/>
      <c r="J1850" s="165"/>
      <c r="K1850" s="165"/>
      <c r="L1850" s="165"/>
      <c r="M1850" s="165"/>
      <c r="N1850" s="165"/>
      <c r="O1850" s="165"/>
      <c r="P1850" s="165"/>
      <c r="Q1850" s="165"/>
      <c r="R1850" s="165"/>
      <c r="S1850" s="165"/>
      <c r="T1850" s="165"/>
      <c r="U1850" s="165"/>
      <c r="V1850" s="165"/>
      <c r="W1850" s="165"/>
      <c r="X1850" s="165"/>
    </row>
    <row r="1851" ht="18.75" customHeight="1">
      <c r="A1851" s="165">
        <v>1848.0</v>
      </c>
      <c r="B1851" s="165" t="s">
        <v>17303</v>
      </c>
      <c r="C1851" s="165"/>
      <c r="D1851" s="165"/>
      <c r="E1851" s="165"/>
      <c r="F1851" s="165"/>
      <c r="G1851" s="165"/>
      <c r="H1851" s="165"/>
      <c r="I1851" s="165"/>
      <c r="J1851" s="165"/>
      <c r="K1851" s="165"/>
      <c r="L1851" s="165"/>
      <c r="M1851" s="165"/>
      <c r="N1851" s="165"/>
      <c r="O1851" s="165"/>
      <c r="P1851" s="165"/>
      <c r="Q1851" s="165"/>
      <c r="R1851" s="165"/>
      <c r="S1851" s="165"/>
      <c r="T1851" s="165"/>
      <c r="U1851" s="165"/>
      <c r="V1851" s="165"/>
      <c r="W1851" s="165"/>
      <c r="X1851" s="165"/>
    </row>
    <row r="1852" ht="18.75" customHeight="1">
      <c r="A1852" s="165">
        <v>1849.0</v>
      </c>
      <c r="B1852" s="165" t="s">
        <v>17304</v>
      </c>
      <c r="C1852" s="165"/>
      <c r="D1852" s="165"/>
      <c r="E1852" s="165"/>
      <c r="F1852" s="165"/>
      <c r="G1852" s="165"/>
      <c r="H1852" s="165"/>
      <c r="I1852" s="165"/>
      <c r="J1852" s="165"/>
      <c r="K1852" s="165"/>
      <c r="L1852" s="165"/>
      <c r="M1852" s="165"/>
      <c r="N1852" s="165"/>
      <c r="O1852" s="165"/>
      <c r="P1852" s="165"/>
      <c r="Q1852" s="165"/>
      <c r="R1852" s="165"/>
      <c r="S1852" s="165"/>
      <c r="T1852" s="165"/>
      <c r="U1852" s="165"/>
      <c r="V1852" s="165"/>
      <c r="W1852" s="165"/>
      <c r="X1852" s="165"/>
    </row>
    <row r="1853" ht="18.75" customHeight="1">
      <c r="A1853" s="165">
        <v>1850.0</v>
      </c>
      <c r="B1853" s="167" t="s">
        <v>17305</v>
      </c>
      <c r="C1853" s="165"/>
      <c r="D1853" s="165"/>
      <c r="E1853" s="165"/>
      <c r="F1853" s="165"/>
      <c r="G1853" s="165"/>
      <c r="H1853" s="165"/>
      <c r="I1853" s="165"/>
      <c r="J1853" s="165"/>
      <c r="K1853" s="165"/>
      <c r="L1853" s="165"/>
      <c r="M1853" s="165"/>
      <c r="N1853" s="165"/>
      <c r="O1853" s="165"/>
      <c r="P1853" s="165"/>
      <c r="Q1853" s="165"/>
      <c r="R1853" s="165"/>
      <c r="S1853" s="165"/>
      <c r="T1853" s="165"/>
      <c r="U1853" s="165"/>
      <c r="V1853" s="165"/>
      <c r="W1853" s="165"/>
      <c r="X1853" s="165"/>
    </row>
    <row r="1854" ht="18.75" customHeight="1">
      <c r="A1854" s="165">
        <v>1851.0</v>
      </c>
      <c r="B1854" s="165" t="s">
        <v>17306</v>
      </c>
      <c r="C1854" s="165"/>
      <c r="D1854" s="165"/>
      <c r="E1854" s="165"/>
      <c r="F1854" s="165"/>
      <c r="G1854" s="165"/>
      <c r="H1854" s="165"/>
      <c r="I1854" s="165"/>
      <c r="J1854" s="165"/>
      <c r="K1854" s="165"/>
      <c r="L1854" s="165"/>
      <c r="M1854" s="165"/>
      <c r="N1854" s="165"/>
      <c r="O1854" s="165"/>
      <c r="P1854" s="165"/>
      <c r="Q1854" s="165"/>
      <c r="R1854" s="165"/>
      <c r="S1854" s="165"/>
      <c r="T1854" s="165"/>
      <c r="U1854" s="165"/>
      <c r="V1854" s="165"/>
      <c r="W1854" s="165"/>
      <c r="X1854" s="165"/>
    </row>
    <row r="1855" ht="18.75" customHeight="1">
      <c r="A1855" s="165">
        <v>1852.0</v>
      </c>
      <c r="B1855" s="165" t="s">
        <v>17307</v>
      </c>
      <c r="C1855" s="165"/>
      <c r="D1855" s="165"/>
      <c r="E1855" s="165"/>
      <c r="F1855" s="165"/>
      <c r="G1855" s="165"/>
      <c r="H1855" s="165"/>
      <c r="I1855" s="165"/>
      <c r="J1855" s="165"/>
      <c r="K1855" s="165"/>
      <c r="L1855" s="165"/>
      <c r="M1855" s="165"/>
      <c r="N1855" s="165"/>
      <c r="O1855" s="165"/>
      <c r="P1855" s="165"/>
      <c r="Q1855" s="165"/>
      <c r="R1855" s="165"/>
      <c r="S1855" s="165"/>
      <c r="T1855" s="165"/>
      <c r="U1855" s="165"/>
      <c r="V1855" s="165"/>
      <c r="W1855" s="165"/>
      <c r="X1855" s="165"/>
    </row>
    <row r="1856" ht="18.75" customHeight="1">
      <c r="A1856" s="165">
        <v>1853.0</v>
      </c>
      <c r="B1856" s="165" t="s">
        <v>17308</v>
      </c>
      <c r="C1856" s="165"/>
      <c r="D1856" s="165"/>
      <c r="E1856" s="165"/>
      <c r="F1856" s="165"/>
      <c r="G1856" s="165"/>
      <c r="H1856" s="165"/>
      <c r="I1856" s="165"/>
      <c r="J1856" s="165"/>
      <c r="K1856" s="165"/>
      <c r="L1856" s="165"/>
      <c r="M1856" s="165"/>
      <c r="N1856" s="165"/>
      <c r="O1856" s="165"/>
      <c r="P1856" s="165"/>
      <c r="Q1856" s="165"/>
      <c r="R1856" s="165"/>
      <c r="S1856" s="165"/>
      <c r="T1856" s="165"/>
      <c r="U1856" s="165"/>
      <c r="V1856" s="165"/>
      <c r="W1856" s="165"/>
      <c r="X1856" s="165"/>
    </row>
    <row r="1857" ht="18.75" customHeight="1">
      <c r="A1857" s="165">
        <v>1854.0</v>
      </c>
      <c r="B1857" s="165" t="s">
        <v>17309</v>
      </c>
      <c r="C1857" s="165"/>
      <c r="D1857" s="165"/>
      <c r="E1857" s="165"/>
      <c r="F1857" s="165"/>
      <c r="G1857" s="165"/>
      <c r="H1857" s="165"/>
      <c r="I1857" s="165"/>
      <c r="J1857" s="165"/>
      <c r="K1857" s="165"/>
      <c r="L1857" s="165"/>
      <c r="M1857" s="165"/>
      <c r="N1857" s="165"/>
      <c r="O1857" s="165"/>
      <c r="P1857" s="165"/>
      <c r="Q1857" s="165"/>
      <c r="R1857" s="165"/>
      <c r="S1857" s="165"/>
      <c r="T1857" s="165"/>
      <c r="U1857" s="165"/>
      <c r="V1857" s="165"/>
      <c r="W1857" s="165"/>
      <c r="X1857" s="165"/>
    </row>
    <row r="1858" ht="18.75" customHeight="1">
      <c r="A1858" s="165">
        <v>1855.0</v>
      </c>
      <c r="B1858" s="165" t="s">
        <v>17310</v>
      </c>
      <c r="C1858" s="165"/>
      <c r="D1858" s="165"/>
      <c r="E1858" s="165"/>
      <c r="F1858" s="165"/>
      <c r="G1858" s="165"/>
      <c r="H1858" s="165"/>
      <c r="I1858" s="165"/>
      <c r="J1858" s="165"/>
      <c r="K1858" s="165"/>
      <c r="L1858" s="165"/>
      <c r="M1858" s="165"/>
      <c r="N1858" s="165"/>
      <c r="O1858" s="165"/>
      <c r="P1858" s="165"/>
      <c r="Q1858" s="165"/>
      <c r="R1858" s="165"/>
      <c r="S1858" s="165"/>
      <c r="T1858" s="165"/>
      <c r="U1858" s="165"/>
      <c r="V1858" s="165"/>
      <c r="W1858" s="165"/>
      <c r="X1858" s="165"/>
    </row>
    <row r="1859" ht="18.75" customHeight="1">
      <c r="A1859" s="165">
        <v>1856.0</v>
      </c>
      <c r="B1859" s="165" t="s">
        <v>17311</v>
      </c>
      <c r="C1859" s="165"/>
      <c r="D1859" s="165"/>
      <c r="E1859" s="165"/>
      <c r="F1859" s="165"/>
      <c r="G1859" s="165"/>
      <c r="H1859" s="165"/>
      <c r="I1859" s="165"/>
      <c r="J1859" s="165"/>
      <c r="K1859" s="165"/>
      <c r="L1859" s="165"/>
      <c r="M1859" s="165"/>
      <c r="N1859" s="165"/>
      <c r="O1859" s="165"/>
      <c r="P1859" s="165"/>
      <c r="Q1859" s="165"/>
      <c r="R1859" s="165"/>
      <c r="S1859" s="165"/>
      <c r="T1859" s="165"/>
      <c r="U1859" s="165"/>
      <c r="V1859" s="165"/>
      <c r="W1859" s="165"/>
      <c r="X1859" s="165"/>
    </row>
    <row r="1860" ht="18.75" customHeight="1">
      <c r="A1860" s="165">
        <v>1857.0</v>
      </c>
      <c r="B1860" s="167" t="s">
        <v>17312</v>
      </c>
      <c r="C1860" s="165"/>
      <c r="D1860" s="165"/>
      <c r="E1860" s="165"/>
      <c r="F1860" s="165"/>
      <c r="G1860" s="165"/>
      <c r="H1860" s="165"/>
      <c r="I1860" s="165"/>
      <c r="J1860" s="165"/>
      <c r="K1860" s="165"/>
      <c r="L1860" s="165"/>
      <c r="M1860" s="165"/>
      <c r="N1860" s="165"/>
      <c r="O1860" s="165"/>
      <c r="P1860" s="165"/>
      <c r="Q1860" s="165"/>
      <c r="R1860" s="165"/>
      <c r="S1860" s="165"/>
      <c r="T1860" s="165"/>
      <c r="U1860" s="165"/>
      <c r="V1860" s="165"/>
      <c r="W1860" s="165"/>
      <c r="X1860" s="165"/>
    </row>
    <row r="1861" ht="18.75" customHeight="1">
      <c r="A1861" s="165">
        <v>1858.0</v>
      </c>
      <c r="B1861" s="167" t="s">
        <v>17313</v>
      </c>
      <c r="C1861" s="165"/>
      <c r="D1861" s="165"/>
      <c r="E1861" s="165"/>
      <c r="F1861" s="165"/>
      <c r="G1861" s="165"/>
      <c r="H1861" s="165"/>
      <c r="I1861" s="165"/>
      <c r="J1861" s="165"/>
      <c r="K1861" s="165"/>
      <c r="L1861" s="165"/>
      <c r="M1861" s="165"/>
      <c r="N1861" s="165"/>
      <c r="O1861" s="165"/>
      <c r="P1861" s="165"/>
      <c r="Q1861" s="165"/>
      <c r="R1861" s="165"/>
      <c r="S1861" s="165"/>
      <c r="T1861" s="165"/>
      <c r="U1861" s="165"/>
      <c r="V1861" s="165"/>
      <c r="W1861" s="165"/>
      <c r="X1861" s="165"/>
    </row>
    <row r="1862" ht="18.75" customHeight="1">
      <c r="A1862" s="165">
        <v>1859.0</v>
      </c>
      <c r="B1862" s="167" t="s">
        <v>17314</v>
      </c>
      <c r="C1862" s="165"/>
      <c r="D1862" s="165"/>
      <c r="E1862" s="165"/>
      <c r="F1862" s="165"/>
      <c r="G1862" s="165"/>
      <c r="H1862" s="165"/>
      <c r="I1862" s="165"/>
      <c r="J1862" s="165"/>
      <c r="K1862" s="165"/>
      <c r="L1862" s="165"/>
      <c r="M1862" s="165"/>
      <c r="N1862" s="165"/>
      <c r="O1862" s="165"/>
      <c r="P1862" s="165"/>
      <c r="Q1862" s="165"/>
      <c r="R1862" s="165"/>
      <c r="S1862" s="165"/>
      <c r="T1862" s="165"/>
      <c r="U1862" s="165"/>
      <c r="V1862" s="165"/>
      <c r="W1862" s="165"/>
      <c r="X1862" s="165"/>
    </row>
    <row r="1863" ht="18.75" customHeight="1">
      <c r="A1863" s="165">
        <v>1860.0</v>
      </c>
      <c r="B1863" s="167" t="s">
        <v>17315</v>
      </c>
      <c r="C1863" s="165"/>
      <c r="D1863" s="165"/>
      <c r="E1863" s="165"/>
      <c r="F1863" s="165"/>
      <c r="G1863" s="165"/>
      <c r="H1863" s="165"/>
      <c r="I1863" s="165"/>
      <c r="J1863" s="165"/>
      <c r="K1863" s="165"/>
      <c r="L1863" s="165"/>
      <c r="M1863" s="165"/>
      <c r="N1863" s="165"/>
      <c r="O1863" s="165"/>
      <c r="P1863" s="165"/>
      <c r="Q1863" s="165"/>
      <c r="R1863" s="165"/>
      <c r="S1863" s="165"/>
      <c r="T1863" s="165"/>
      <c r="U1863" s="165"/>
      <c r="V1863" s="165"/>
      <c r="W1863" s="165"/>
      <c r="X1863" s="165"/>
    </row>
    <row r="1864" ht="18.75" customHeight="1">
      <c r="A1864" s="165">
        <v>1861.0</v>
      </c>
      <c r="B1864" s="167" t="s">
        <v>17316</v>
      </c>
      <c r="C1864" s="165"/>
      <c r="D1864" s="165"/>
      <c r="E1864" s="165"/>
      <c r="F1864" s="165"/>
      <c r="G1864" s="165"/>
      <c r="H1864" s="165"/>
      <c r="I1864" s="165"/>
      <c r="J1864" s="165"/>
      <c r="K1864" s="165"/>
      <c r="L1864" s="165"/>
      <c r="M1864" s="165"/>
      <c r="N1864" s="165"/>
      <c r="O1864" s="165"/>
      <c r="P1864" s="165"/>
      <c r="Q1864" s="165"/>
      <c r="R1864" s="165"/>
      <c r="S1864" s="165"/>
      <c r="T1864" s="165"/>
      <c r="U1864" s="165"/>
      <c r="V1864" s="165"/>
      <c r="W1864" s="165"/>
      <c r="X1864" s="165"/>
    </row>
    <row r="1865" ht="18.75" customHeight="1">
      <c r="A1865" s="165">
        <v>1862.0</v>
      </c>
      <c r="B1865" s="167" t="s">
        <v>17317</v>
      </c>
      <c r="C1865" s="165"/>
      <c r="D1865" s="165"/>
      <c r="E1865" s="165"/>
      <c r="F1865" s="165"/>
      <c r="G1865" s="165"/>
      <c r="H1865" s="165"/>
      <c r="I1865" s="165"/>
      <c r="J1865" s="165"/>
      <c r="K1865" s="165"/>
      <c r="L1865" s="165"/>
      <c r="M1865" s="165"/>
      <c r="N1865" s="165"/>
      <c r="O1865" s="165"/>
      <c r="P1865" s="165"/>
      <c r="Q1865" s="165"/>
      <c r="R1865" s="165"/>
      <c r="S1865" s="165"/>
      <c r="T1865" s="165"/>
      <c r="U1865" s="165"/>
      <c r="V1865" s="165"/>
      <c r="W1865" s="165"/>
      <c r="X1865" s="165"/>
    </row>
    <row r="1866" ht="18.75" customHeight="1">
      <c r="A1866" s="165">
        <v>1863.0</v>
      </c>
      <c r="B1866" s="167" t="s">
        <v>17318</v>
      </c>
      <c r="C1866" s="165"/>
      <c r="D1866" s="165"/>
      <c r="E1866" s="165"/>
      <c r="F1866" s="165"/>
      <c r="G1866" s="165"/>
      <c r="H1866" s="165"/>
      <c r="I1866" s="165"/>
      <c r="J1866" s="165"/>
      <c r="K1866" s="165"/>
      <c r="L1866" s="165"/>
      <c r="M1866" s="165"/>
      <c r="N1866" s="165"/>
      <c r="O1866" s="165"/>
      <c r="P1866" s="165"/>
      <c r="Q1866" s="165"/>
      <c r="R1866" s="165"/>
      <c r="S1866" s="165"/>
      <c r="T1866" s="165"/>
      <c r="U1866" s="165"/>
      <c r="V1866" s="165"/>
      <c r="W1866" s="165"/>
      <c r="X1866" s="165"/>
    </row>
    <row r="1867" ht="18.75" customHeight="1">
      <c r="A1867" s="165">
        <v>1864.0</v>
      </c>
      <c r="B1867" s="167" t="s">
        <v>17319</v>
      </c>
      <c r="C1867" s="165"/>
      <c r="D1867" s="165"/>
      <c r="E1867" s="165"/>
      <c r="F1867" s="165"/>
      <c r="G1867" s="165"/>
      <c r="H1867" s="165"/>
      <c r="I1867" s="165"/>
      <c r="J1867" s="165"/>
      <c r="K1867" s="165"/>
      <c r="L1867" s="165"/>
      <c r="M1867" s="165"/>
      <c r="N1867" s="165"/>
      <c r="O1867" s="165"/>
      <c r="P1867" s="165"/>
      <c r="Q1867" s="165"/>
      <c r="R1867" s="165"/>
      <c r="S1867" s="165"/>
      <c r="T1867" s="165"/>
      <c r="U1867" s="165"/>
      <c r="V1867" s="165"/>
      <c r="W1867" s="165"/>
      <c r="X1867" s="165"/>
    </row>
    <row r="1868" ht="18.75" customHeight="1">
      <c r="A1868" s="165">
        <v>1865.0</v>
      </c>
      <c r="B1868" s="167" t="s">
        <v>17320</v>
      </c>
      <c r="C1868" s="165"/>
      <c r="D1868" s="165"/>
      <c r="E1868" s="165"/>
      <c r="F1868" s="165"/>
      <c r="G1868" s="165"/>
      <c r="H1868" s="165"/>
      <c r="I1868" s="165"/>
      <c r="J1868" s="165"/>
      <c r="K1868" s="165"/>
      <c r="L1868" s="165"/>
      <c r="M1868" s="165"/>
      <c r="N1868" s="165"/>
      <c r="O1868" s="165"/>
      <c r="P1868" s="165"/>
      <c r="Q1868" s="165"/>
      <c r="R1868" s="165"/>
      <c r="S1868" s="165"/>
      <c r="T1868" s="165"/>
      <c r="U1868" s="165"/>
      <c r="V1868" s="165"/>
      <c r="W1868" s="165"/>
      <c r="X1868" s="165"/>
    </row>
    <row r="1869" ht="18.75" customHeight="1">
      <c r="A1869" s="165">
        <v>1866.0</v>
      </c>
      <c r="B1869" s="167" t="s">
        <v>17321</v>
      </c>
      <c r="C1869" s="165"/>
      <c r="D1869" s="165"/>
      <c r="E1869" s="165"/>
      <c r="F1869" s="165"/>
      <c r="G1869" s="165"/>
      <c r="H1869" s="165"/>
      <c r="I1869" s="165"/>
      <c r="J1869" s="165"/>
      <c r="K1869" s="165"/>
      <c r="L1869" s="165"/>
      <c r="M1869" s="165"/>
      <c r="N1869" s="165"/>
      <c r="O1869" s="165"/>
      <c r="P1869" s="165"/>
      <c r="Q1869" s="165"/>
      <c r="R1869" s="165"/>
      <c r="S1869" s="165"/>
      <c r="T1869" s="165"/>
      <c r="U1869" s="165"/>
      <c r="V1869" s="165"/>
      <c r="W1869" s="165"/>
      <c r="X1869" s="165"/>
    </row>
    <row r="1870" ht="18.75" customHeight="1">
      <c r="A1870" s="165">
        <v>1867.0</v>
      </c>
      <c r="B1870" s="167" t="s">
        <v>17322</v>
      </c>
      <c r="C1870" s="165"/>
      <c r="D1870" s="165"/>
      <c r="E1870" s="165"/>
      <c r="F1870" s="165"/>
      <c r="G1870" s="165"/>
      <c r="H1870" s="165"/>
      <c r="I1870" s="165"/>
      <c r="J1870" s="165"/>
      <c r="K1870" s="165"/>
      <c r="L1870" s="165"/>
      <c r="M1870" s="165"/>
      <c r="N1870" s="165"/>
      <c r="O1870" s="165"/>
      <c r="P1870" s="165"/>
      <c r="Q1870" s="165"/>
      <c r="R1870" s="165"/>
      <c r="S1870" s="165"/>
      <c r="T1870" s="165"/>
      <c r="U1870" s="165"/>
      <c r="V1870" s="165"/>
      <c r="W1870" s="165"/>
      <c r="X1870" s="165"/>
    </row>
    <row r="1871" ht="18.75" customHeight="1">
      <c r="A1871" s="165">
        <v>1868.0</v>
      </c>
      <c r="B1871" s="165" t="s">
        <v>17323</v>
      </c>
      <c r="C1871" s="165"/>
      <c r="D1871" s="165"/>
      <c r="E1871" s="165"/>
      <c r="F1871" s="165"/>
      <c r="G1871" s="165"/>
      <c r="H1871" s="165"/>
      <c r="I1871" s="165"/>
      <c r="J1871" s="165"/>
      <c r="K1871" s="165"/>
      <c r="L1871" s="165"/>
      <c r="M1871" s="165"/>
      <c r="N1871" s="165"/>
      <c r="O1871" s="165"/>
      <c r="P1871" s="165"/>
      <c r="Q1871" s="165"/>
      <c r="R1871" s="165"/>
      <c r="S1871" s="165"/>
      <c r="T1871" s="165"/>
      <c r="U1871" s="165"/>
      <c r="V1871" s="165"/>
      <c r="W1871" s="165"/>
      <c r="X1871" s="165"/>
    </row>
    <row r="1872" ht="18.75" customHeight="1">
      <c r="A1872" s="165">
        <v>1869.0</v>
      </c>
      <c r="B1872" s="165" t="s">
        <v>17324</v>
      </c>
      <c r="C1872" s="165"/>
      <c r="D1872" s="165"/>
      <c r="E1872" s="165"/>
      <c r="F1872" s="165"/>
      <c r="G1872" s="165"/>
      <c r="H1872" s="165"/>
      <c r="I1872" s="165"/>
      <c r="J1872" s="165"/>
      <c r="K1872" s="165"/>
      <c r="L1872" s="165"/>
      <c r="M1872" s="165"/>
      <c r="N1872" s="165"/>
      <c r="O1872" s="165"/>
      <c r="P1872" s="165"/>
      <c r="Q1872" s="165"/>
      <c r="R1872" s="165"/>
      <c r="S1872" s="165"/>
      <c r="T1872" s="165"/>
      <c r="U1872" s="165"/>
      <c r="V1872" s="165"/>
      <c r="W1872" s="165"/>
      <c r="X1872" s="165"/>
    </row>
    <row r="1873" ht="18.75" customHeight="1">
      <c r="A1873" s="165">
        <v>1870.0</v>
      </c>
      <c r="B1873" s="165" t="s">
        <v>17325</v>
      </c>
      <c r="C1873" s="165"/>
      <c r="D1873" s="165"/>
      <c r="E1873" s="165"/>
      <c r="F1873" s="165"/>
      <c r="G1873" s="165"/>
      <c r="H1873" s="165"/>
      <c r="I1873" s="165"/>
      <c r="J1873" s="165"/>
      <c r="K1873" s="165"/>
      <c r="L1873" s="165"/>
      <c r="M1873" s="165"/>
      <c r="N1873" s="165"/>
      <c r="O1873" s="165"/>
      <c r="P1873" s="165"/>
      <c r="Q1873" s="165"/>
      <c r="R1873" s="165"/>
      <c r="S1873" s="165"/>
      <c r="T1873" s="165"/>
      <c r="U1873" s="165"/>
      <c r="V1873" s="165"/>
      <c r="W1873" s="165"/>
      <c r="X1873" s="165"/>
    </row>
    <row r="1874" ht="18.75" customHeight="1">
      <c r="A1874" s="165">
        <v>1871.0</v>
      </c>
      <c r="B1874" s="165" t="s">
        <v>17326</v>
      </c>
      <c r="C1874" s="165"/>
      <c r="D1874" s="165"/>
      <c r="E1874" s="165"/>
      <c r="F1874" s="165"/>
      <c r="G1874" s="165"/>
      <c r="H1874" s="165"/>
      <c r="I1874" s="165"/>
      <c r="J1874" s="165"/>
      <c r="K1874" s="165"/>
      <c r="L1874" s="165"/>
      <c r="M1874" s="165"/>
      <c r="N1874" s="165"/>
      <c r="O1874" s="165"/>
      <c r="P1874" s="165"/>
      <c r="Q1874" s="165"/>
      <c r="R1874" s="165"/>
      <c r="S1874" s="165"/>
      <c r="T1874" s="165"/>
      <c r="U1874" s="165"/>
      <c r="V1874" s="165"/>
      <c r="W1874" s="165"/>
      <c r="X1874" s="165"/>
    </row>
    <row r="1875" ht="18.75" customHeight="1">
      <c r="A1875" s="165">
        <v>1872.0</v>
      </c>
      <c r="B1875" s="165" t="s">
        <v>17327</v>
      </c>
      <c r="C1875" s="165"/>
      <c r="D1875" s="165"/>
      <c r="E1875" s="165"/>
      <c r="F1875" s="165"/>
      <c r="G1875" s="165"/>
      <c r="H1875" s="165"/>
      <c r="I1875" s="165"/>
      <c r="J1875" s="165"/>
      <c r="K1875" s="165"/>
      <c r="L1875" s="165"/>
      <c r="M1875" s="165"/>
      <c r="N1875" s="165"/>
      <c r="O1875" s="165"/>
      <c r="P1875" s="165"/>
      <c r="Q1875" s="165"/>
      <c r="R1875" s="165"/>
      <c r="S1875" s="165"/>
      <c r="T1875" s="165"/>
      <c r="U1875" s="165"/>
      <c r="V1875" s="165"/>
      <c r="W1875" s="165"/>
      <c r="X1875" s="165"/>
    </row>
    <row r="1876" ht="18.75" customHeight="1">
      <c r="A1876" s="165">
        <v>1873.0</v>
      </c>
      <c r="B1876" s="167" t="s">
        <v>17328</v>
      </c>
      <c r="C1876" s="165"/>
      <c r="D1876" s="165"/>
      <c r="E1876" s="165"/>
      <c r="F1876" s="165"/>
      <c r="G1876" s="165"/>
      <c r="H1876" s="165"/>
      <c r="I1876" s="165"/>
      <c r="J1876" s="165"/>
      <c r="K1876" s="165"/>
      <c r="L1876" s="165"/>
      <c r="M1876" s="165"/>
      <c r="N1876" s="165"/>
      <c r="O1876" s="165"/>
      <c r="P1876" s="165"/>
      <c r="Q1876" s="165"/>
      <c r="R1876" s="165"/>
      <c r="S1876" s="165"/>
      <c r="T1876" s="165"/>
      <c r="U1876" s="165"/>
      <c r="V1876" s="165"/>
      <c r="W1876" s="165"/>
      <c r="X1876" s="165"/>
    </row>
    <row r="1877" ht="18.75" customHeight="1">
      <c r="A1877" s="165">
        <v>1874.0</v>
      </c>
      <c r="B1877" s="167" t="s">
        <v>17329</v>
      </c>
      <c r="C1877" s="165"/>
      <c r="D1877" s="165"/>
      <c r="E1877" s="165"/>
      <c r="F1877" s="165"/>
      <c r="G1877" s="165"/>
      <c r="H1877" s="165"/>
      <c r="I1877" s="165"/>
      <c r="J1877" s="165"/>
      <c r="K1877" s="165"/>
      <c r="L1877" s="165"/>
      <c r="M1877" s="165"/>
      <c r="N1877" s="165"/>
      <c r="O1877" s="165"/>
      <c r="P1877" s="165"/>
      <c r="Q1877" s="165"/>
      <c r="R1877" s="165"/>
      <c r="S1877" s="165"/>
      <c r="T1877" s="165"/>
      <c r="U1877" s="165"/>
      <c r="V1877" s="165"/>
      <c r="W1877" s="165"/>
      <c r="X1877" s="165"/>
    </row>
    <row r="1878" ht="18.75" customHeight="1">
      <c r="A1878" s="165">
        <v>1875.0</v>
      </c>
      <c r="B1878" s="167" t="s">
        <v>17330</v>
      </c>
      <c r="C1878" s="165"/>
      <c r="D1878" s="165"/>
      <c r="E1878" s="165"/>
      <c r="F1878" s="165"/>
      <c r="G1878" s="165"/>
      <c r="H1878" s="165"/>
      <c r="I1878" s="165"/>
      <c r="J1878" s="165"/>
      <c r="K1878" s="165"/>
      <c r="L1878" s="165"/>
      <c r="M1878" s="165"/>
      <c r="N1878" s="165"/>
      <c r="O1878" s="165"/>
      <c r="P1878" s="165"/>
      <c r="Q1878" s="165"/>
      <c r="R1878" s="165"/>
      <c r="S1878" s="165"/>
      <c r="T1878" s="165"/>
      <c r="U1878" s="165"/>
      <c r="V1878" s="165"/>
      <c r="W1878" s="165"/>
      <c r="X1878" s="165"/>
    </row>
    <row r="1879" ht="18.75" customHeight="1">
      <c r="A1879" s="165">
        <v>1876.0</v>
      </c>
      <c r="B1879" s="167" t="s">
        <v>17331</v>
      </c>
      <c r="C1879" s="165"/>
      <c r="D1879" s="165"/>
      <c r="E1879" s="165"/>
      <c r="F1879" s="165"/>
      <c r="G1879" s="165"/>
      <c r="H1879" s="165"/>
      <c r="I1879" s="165"/>
      <c r="J1879" s="165"/>
      <c r="K1879" s="165"/>
      <c r="L1879" s="165"/>
      <c r="M1879" s="165"/>
      <c r="N1879" s="165"/>
      <c r="O1879" s="165"/>
      <c r="P1879" s="165"/>
      <c r="Q1879" s="165"/>
      <c r="R1879" s="165"/>
      <c r="S1879" s="165"/>
      <c r="T1879" s="165"/>
      <c r="U1879" s="165"/>
      <c r="V1879" s="165"/>
      <c r="W1879" s="165"/>
      <c r="X1879" s="165"/>
    </row>
    <row r="1880" ht="18.75" customHeight="1">
      <c r="A1880" s="165">
        <v>1877.0</v>
      </c>
      <c r="B1880" s="165" t="s">
        <v>17332</v>
      </c>
      <c r="C1880" s="165"/>
      <c r="D1880" s="165"/>
      <c r="E1880" s="165"/>
      <c r="F1880" s="165"/>
      <c r="G1880" s="165"/>
      <c r="H1880" s="165"/>
      <c r="I1880" s="165"/>
      <c r="J1880" s="165"/>
      <c r="K1880" s="165"/>
      <c r="L1880" s="165"/>
      <c r="M1880" s="165"/>
      <c r="N1880" s="165"/>
      <c r="O1880" s="165"/>
      <c r="P1880" s="165"/>
      <c r="Q1880" s="165"/>
      <c r="R1880" s="165"/>
      <c r="S1880" s="165"/>
      <c r="T1880" s="165"/>
      <c r="U1880" s="165"/>
      <c r="V1880" s="165"/>
      <c r="W1880" s="165"/>
      <c r="X1880" s="165"/>
    </row>
    <row r="1881" ht="18.75" customHeight="1">
      <c r="A1881" s="165">
        <v>1878.0</v>
      </c>
      <c r="B1881" s="165" t="s">
        <v>17333</v>
      </c>
      <c r="C1881" s="165"/>
      <c r="D1881" s="165"/>
      <c r="E1881" s="165"/>
      <c r="F1881" s="165"/>
      <c r="G1881" s="165"/>
      <c r="H1881" s="165"/>
      <c r="I1881" s="165"/>
      <c r="J1881" s="165"/>
      <c r="K1881" s="165"/>
      <c r="L1881" s="165"/>
      <c r="M1881" s="165"/>
      <c r="N1881" s="165"/>
      <c r="O1881" s="165"/>
      <c r="P1881" s="165"/>
      <c r="Q1881" s="165"/>
      <c r="R1881" s="165"/>
      <c r="S1881" s="165"/>
      <c r="T1881" s="165"/>
      <c r="U1881" s="165"/>
      <c r="V1881" s="165"/>
      <c r="W1881" s="165"/>
      <c r="X1881" s="165"/>
    </row>
    <row r="1882" ht="18.75" customHeight="1">
      <c r="A1882" s="165">
        <v>1879.0</v>
      </c>
      <c r="B1882" s="165" t="s">
        <v>17334</v>
      </c>
      <c r="C1882" s="165"/>
      <c r="D1882" s="165"/>
      <c r="E1882" s="165"/>
      <c r="F1882" s="165"/>
      <c r="G1882" s="165"/>
      <c r="H1882" s="165"/>
      <c r="I1882" s="165"/>
      <c r="J1882" s="165"/>
      <c r="K1882" s="165"/>
      <c r="L1882" s="165"/>
      <c r="M1882" s="165"/>
      <c r="N1882" s="165"/>
      <c r="O1882" s="165"/>
      <c r="P1882" s="165"/>
      <c r="Q1882" s="165"/>
      <c r="R1882" s="165"/>
      <c r="S1882" s="165"/>
      <c r="T1882" s="165"/>
      <c r="U1882" s="165"/>
      <c r="V1882" s="165"/>
      <c r="W1882" s="165"/>
      <c r="X1882" s="165"/>
    </row>
    <row r="1883" ht="18.75" customHeight="1">
      <c r="A1883" s="165">
        <v>1880.0</v>
      </c>
      <c r="B1883" s="165" t="s">
        <v>17335</v>
      </c>
      <c r="C1883" s="165"/>
      <c r="D1883" s="165"/>
      <c r="E1883" s="165"/>
      <c r="F1883" s="165"/>
      <c r="G1883" s="165"/>
      <c r="H1883" s="165"/>
      <c r="I1883" s="165"/>
      <c r="J1883" s="165"/>
      <c r="K1883" s="165"/>
      <c r="L1883" s="165"/>
      <c r="M1883" s="165"/>
      <c r="N1883" s="165"/>
      <c r="O1883" s="165"/>
      <c r="P1883" s="165"/>
      <c r="Q1883" s="165"/>
      <c r="R1883" s="165"/>
      <c r="S1883" s="165"/>
      <c r="T1883" s="165"/>
      <c r="U1883" s="165"/>
      <c r="V1883" s="165"/>
      <c r="W1883" s="165"/>
      <c r="X1883" s="165"/>
    </row>
    <row r="1884" ht="18.75" customHeight="1">
      <c r="A1884" s="165">
        <v>1881.0</v>
      </c>
      <c r="B1884" s="165" t="s">
        <v>17336</v>
      </c>
      <c r="C1884" s="165"/>
      <c r="D1884" s="165"/>
      <c r="E1884" s="165"/>
      <c r="F1884" s="165"/>
      <c r="G1884" s="165"/>
      <c r="H1884" s="165"/>
      <c r="I1884" s="165"/>
      <c r="J1884" s="165"/>
      <c r="K1884" s="165"/>
      <c r="L1884" s="165"/>
      <c r="M1884" s="165"/>
      <c r="N1884" s="165"/>
      <c r="O1884" s="165"/>
      <c r="P1884" s="165"/>
      <c r="Q1884" s="165"/>
      <c r="R1884" s="165"/>
      <c r="S1884" s="165"/>
      <c r="T1884" s="165"/>
      <c r="U1884" s="165"/>
      <c r="V1884" s="165"/>
      <c r="W1884" s="165"/>
      <c r="X1884" s="165"/>
    </row>
    <row r="1885" ht="18.75" customHeight="1">
      <c r="A1885" s="165">
        <v>1882.0</v>
      </c>
      <c r="B1885" s="165" t="s">
        <v>17337</v>
      </c>
      <c r="C1885" s="165"/>
      <c r="D1885" s="165"/>
      <c r="E1885" s="165"/>
      <c r="F1885" s="165"/>
      <c r="G1885" s="165"/>
      <c r="H1885" s="165"/>
      <c r="I1885" s="165"/>
      <c r="J1885" s="165"/>
      <c r="K1885" s="165"/>
      <c r="L1885" s="165"/>
      <c r="M1885" s="165"/>
      <c r="N1885" s="165"/>
      <c r="O1885" s="165"/>
      <c r="P1885" s="165"/>
      <c r="Q1885" s="165"/>
      <c r="R1885" s="165"/>
      <c r="S1885" s="165"/>
      <c r="T1885" s="165"/>
      <c r="U1885" s="165"/>
      <c r="V1885" s="165"/>
      <c r="W1885" s="165"/>
      <c r="X1885" s="165"/>
    </row>
    <row r="1886" ht="18.75" customHeight="1">
      <c r="A1886" s="165">
        <v>1883.0</v>
      </c>
      <c r="B1886" s="165" t="s">
        <v>17338</v>
      </c>
      <c r="C1886" s="165"/>
      <c r="D1886" s="165"/>
      <c r="E1886" s="165"/>
      <c r="F1886" s="165"/>
      <c r="G1886" s="165"/>
      <c r="H1886" s="165"/>
      <c r="I1886" s="165"/>
      <c r="J1886" s="165"/>
      <c r="K1886" s="165"/>
      <c r="L1886" s="165"/>
      <c r="M1886" s="165"/>
      <c r="N1886" s="165"/>
      <c r="O1886" s="165"/>
      <c r="P1886" s="165"/>
      <c r="Q1886" s="165"/>
      <c r="R1886" s="165"/>
      <c r="S1886" s="165"/>
      <c r="T1886" s="165"/>
      <c r="U1886" s="165"/>
      <c r="V1886" s="165"/>
      <c r="W1886" s="165"/>
      <c r="X1886" s="165"/>
    </row>
    <row r="1887" ht="18.75" customHeight="1">
      <c r="A1887" s="165">
        <v>1884.0</v>
      </c>
      <c r="B1887" s="165" t="s">
        <v>17339</v>
      </c>
      <c r="C1887" s="165"/>
      <c r="D1887" s="165"/>
      <c r="E1887" s="165"/>
      <c r="F1887" s="165"/>
      <c r="G1887" s="165"/>
      <c r="H1887" s="165"/>
      <c r="I1887" s="165"/>
      <c r="J1887" s="165"/>
      <c r="K1887" s="165"/>
      <c r="L1887" s="165"/>
      <c r="M1887" s="165"/>
      <c r="N1887" s="165"/>
      <c r="O1887" s="165"/>
      <c r="P1887" s="165"/>
      <c r="Q1887" s="165"/>
      <c r="R1887" s="165"/>
      <c r="S1887" s="165"/>
      <c r="T1887" s="165"/>
      <c r="U1887" s="165"/>
      <c r="V1887" s="165"/>
      <c r="W1887" s="165"/>
      <c r="X1887" s="165"/>
    </row>
    <row r="1888" ht="18.75" customHeight="1">
      <c r="A1888" s="165">
        <v>1885.0</v>
      </c>
      <c r="B1888" s="167" t="s">
        <v>17340</v>
      </c>
      <c r="C1888" s="165"/>
      <c r="D1888" s="165"/>
      <c r="E1888" s="165"/>
      <c r="F1888" s="165"/>
      <c r="G1888" s="165"/>
      <c r="H1888" s="165"/>
      <c r="I1888" s="165"/>
      <c r="J1888" s="165"/>
      <c r="K1888" s="165"/>
      <c r="L1888" s="165"/>
      <c r="M1888" s="165"/>
      <c r="N1888" s="165"/>
      <c r="O1888" s="165"/>
      <c r="P1888" s="165"/>
      <c r="Q1888" s="165"/>
      <c r="R1888" s="165"/>
      <c r="S1888" s="165"/>
      <c r="T1888" s="165"/>
      <c r="U1888" s="165"/>
      <c r="V1888" s="165"/>
      <c r="W1888" s="165"/>
      <c r="X1888" s="165"/>
    </row>
    <row r="1889" ht="18.75" customHeight="1">
      <c r="A1889" s="165">
        <v>1886.0</v>
      </c>
      <c r="B1889" s="165" t="s">
        <v>17341</v>
      </c>
      <c r="C1889" s="165"/>
      <c r="D1889" s="165"/>
      <c r="E1889" s="165"/>
      <c r="F1889" s="165"/>
      <c r="G1889" s="165"/>
      <c r="H1889" s="165"/>
      <c r="I1889" s="165"/>
      <c r="J1889" s="165"/>
      <c r="K1889" s="165"/>
      <c r="L1889" s="165"/>
      <c r="M1889" s="165"/>
      <c r="N1889" s="165"/>
      <c r="O1889" s="165"/>
      <c r="P1889" s="165"/>
      <c r="Q1889" s="165"/>
      <c r="R1889" s="165"/>
      <c r="S1889" s="165"/>
      <c r="T1889" s="165"/>
      <c r="U1889" s="165"/>
      <c r="V1889" s="165"/>
      <c r="W1889" s="165"/>
      <c r="X1889" s="165"/>
    </row>
    <row r="1890" ht="18.75" customHeight="1">
      <c r="A1890" s="165">
        <v>1887.0</v>
      </c>
      <c r="B1890" s="165" t="s">
        <v>17342</v>
      </c>
      <c r="C1890" s="165"/>
      <c r="D1890" s="165"/>
      <c r="E1890" s="165"/>
      <c r="F1890" s="165"/>
      <c r="G1890" s="165"/>
      <c r="H1890" s="165"/>
      <c r="I1890" s="165"/>
      <c r="J1890" s="165"/>
      <c r="K1890" s="165"/>
      <c r="L1890" s="165"/>
      <c r="M1890" s="165"/>
      <c r="N1890" s="165"/>
      <c r="O1890" s="165"/>
      <c r="P1890" s="165"/>
      <c r="Q1890" s="165"/>
      <c r="R1890" s="165"/>
      <c r="S1890" s="165"/>
      <c r="T1890" s="165"/>
      <c r="U1890" s="165"/>
      <c r="V1890" s="165"/>
      <c r="W1890" s="165"/>
      <c r="X1890" s="165"/>
    </row>
    <row r="1891" ht="18.75" customHeight="1">
      <c r="A1891" s="165">
        <v>1888.0</v>
      </c>
      <c r="B1891" s="167" t="s">
        <v>17343</v>
      </c>
      <c r="C1891" s="165"/>
      <c r="D1891" s="165"/>
      <c r="E1891" s="165"/>
      <c r="F1891" s="165"/>
      <c r="G1891" s="165"/>
      <c r="H1891" s="165"/>
      <c r="I1891" s="165"/>
      <c r="J1891" s="165"/>
      <c r="K1891" s="165"/>
      <c r="L1891" s="165"/>
      <c r="M1891" s="165"/>
      <c r="N1891" s="165"/>
      <c r="O1891" s="165"/>
      <c r="P1891" s="165"/>
      <c r="Q1891" s="165"/>
      <c r="R1891" s="165"/>
      <c r="S1891" s="165"/>
      <c r="T1891" s="165"/>
      <c r="U1891" s="165"/>
      <c r="V1891" s="165"/>
      <c r="W1891" s="165"/>
      <c r="X1891" s="165"/>
    </row>
    <row r="1892" ht="18.75" customHeight="1">
      <c r="A1892" s="165">
        <v>1889.0</v>
      </c>
      <c r="B1892" s="165" t="s">
        <v>17344</v>
      </c>
      <c r="C1892" s="165"/>
      <c r="D1892" s="165"/>
      <c r="E1892" s="165"/>
      <c r="F1892" s="165"/>
      <c r="G1892" s="165"/>
      <c r="H1892" s="165"/>
      <c r="I1892" s="165"/>
      <c r="J1892" s="165"/>
      <c r="K1892" s="165"/>
      <c r="L1892" s="165"/>
      <c r="M1892" s="165"/>
      <c r="N1892" s="165"/>
      <c r="O1892" s="165"/>
      <c r="P1892" s="165"/>
      <c r="Q1892" s="165"/>
      <c r="R1892" s="165"/>
      <c r="S1892" s="165"/>
      <c r="T1892" s="165"/>
      <c r="U1892" s="165"/>
      <c r="V1892" s="165"/>
      <c r="W1892" s="165"/>
      <c r="X1892" s="165"/>
    </row>
    <row r="1893" ht="18.75" customHeight="1">
      <c r="A1893" s="165">
        <v>1890.0</v>
      </c>
      <c r="B1893" s="165" t="s">
        <v>17345</v>
      </c>
      <c r="C1893" s="165"/>
      <c r="D1893" s="165"/>
      <c r="E1893" s="165"/>
      <c r="F1893" s="165"/>
      <c r="G1893" s="165"/>
      <c r="H1893" s="165"/>
      <c r="I1893" s="165"/>
      <c r="J1893" s="165"/>
      <c r="K1893" s="165"/>
      <c r="L1893" s="165"/>
      <c r="M1893" s="165"/>
      <c r="N1893" s="165"/>
      <c r="O1893" s="165"/>
      <c r="P1893" s="165"/>
      <c r="Q1893" s="165"/>
      <c r="R1893" s="165"/>
      <c r="S1893" s="165"/>
      <c r="T1893" s="165"/>
      <c r="U1893" s="165"/>
      <c r="V1893" s="165"/>
      <c r="W1893" s="165"/>
      <c r="X1893" s="165"/>
    </row>
    <row r="1894" ht="18.75" customHeight="1">
      <c r="A1894" s="165">
        <v>1891.0</v>
      </c>
      <c r="B1894" s="165" t="s">
        <v>17346</v>
      </c>
      <c r="C1894" s="165"/>
      <c r="D1894" s="165"/>
      <c r="E1894" s="165"/>
      <c r="F1894" s="165"/>
      <c r="G1894" s="165"/>
      <c r="H1894" s="165"/>
      <c r="I1894" s="165"/>
      <c r="J1894" s="165"/>
      <c r="K1894" s="165"/>
      <c r="L1894" s="165"/>
      <c r="M1894" s="165"/>
      <c r="N1894" s="165"/>
      <c r="O1894" s="165"/>
      <c r="P1894" s="165"/>
      <c r="Q1894" s="165"/>
      <c r="R1894" s="165"/>
      <c r="S1894" s="165"/>
      <c r="T1894" s="165"/>
      <c r="U1894" s="165"/>
      <c r="V1894" s="165"/>
      <c r="W1894" s="165"/>
      <c r="X1894" s="165"/>
    </row>
    <row r="1895" ht="18.75" customHeight="1">
      <c r="A1895" s="165">
        <v>1892.0</v>
      </c>
      <c r="B1895" s="167" t="s">
        <v>17347</v>
      </c>
      <c r="C1895" s="165"/>
      <c r="D1895" s="165"/>
      <c r="E1895" s="165"/>
      <c r="F1895" s="165"/>
      <c r="G1895" s="165"/>
      <c r="H1895" s="165"/>
      <c r="I1895" s="165"/>
      <c r="J1895" s="165"/>
      <c r="K1895" s="165"/>
      <c r="L1895" s="165"/>
      <c r="M1895" s="165"/>
      <c r="N1895" s="165"/>
      <c r="O1895" s="165"/>
      <c r="P1895" s="165"/>
      <c r="Q1895" s="165"/>
      <c r="R1895" s="165"/>
      <c r="S1895" s="165"/>
      <c r="T1895" s="165"/>
      <c r="U1895" s="165"/>
      <c r="V1895" s="165"/>
      <c r="W1895" s="165"/>
      <c r="X1895" s="165"/>
    </row>
    <row r="1896" ht="18.75" customHeight="1">
      <c r="A1896" s="165">
        <v>1893.0</v>
      </c>
      <c r="B1896" s="165" t="s">
        <v>17348</v>
      </c>
      <c r="C1896" s="165"/>
      <c r="D1896" s="165"/>
      <c r="E1896" s="165"/>
      <c r="F1896" s="165"/>
      <c r="G1896" s="165"/>
      <c r="H1896" s="165"/>
      <c r="I1896" s="165"/>
      <c r="J1896" s="165"/>
      <c r="K1896" s="165"/>
      <c r="L1896" s="165"/>
      <c r="M1896" s="165"/>
      <c r="N1896" s="165"/>
      <c r="O1896" s="165"/>
      <c r="P1896" s="165"/>
      <c r="Q1896" s="165"/>
      <c r="R1896" s="165"/>
      <c r="S1896" s="165"/>
      <c r="T1896" s="165"/>
      <c r="U1896" s="165"/>
      <c r="V1896" s="165"/>
      <c r="W1896" s="165"/>
      <c r="X1896" s="165"/>
    </row>
    <row r="1897" ht="18.75" customHeight="1">
      <c r="A1897" s="165">
        <v>1894.0</v>
      </c>
      <c r="B1897" s="165" t="s">
        <v>17349</v>
      </c>
      <c r="C1897" s="165"/>
      <c r="D1897" s="165"/>
      <c r="E1897" s="165"/>
      <c r="F1897" s="165"/>
      <c r="G1897" s="165"/>
      <c r="H1897" s="165"/>
      <c r="I1897" s="165"/>
      <c r="J1897" s="165"/>
      <c r="K1897" s="165"/>
      <c r="L1897" s="165"/>
      <c r="M1897" s="165"/>
      <c r="N1897" s="165"/>
      <c r="O1897" s="165"/>
      <c r="P1897" s="165"/>
      <c r="Q1897" s="165"/>
      <c r="R1897" s="165"/>
      <c r="S1897" s="165"/>
      <c r="T1897" s="165"/>
      <c r="U1897" s="165"/>
      <c r="V1897" s="165"/>
      <c r="W1897" s="165"/>
      <c r="X1897" s="165"/>
    </row>
    <row r="1898" ht="18.75" customHeight="1">
      <c r="A1898" s="165">
        <v>1895.0</v>
      </c>
      <c r="B1898" s="167" t="s">
        <v>17350</v>
      </c>
      <c r="C1898" s="165"/>
      <c r="D1898" s="165"/>
      <c r="E1898" s="165"/>
      <c r="F1898" s="165"/>
      <c r="G1898" s="165"/>
      <c r="H1898" s="165"/>
      <c r="I1898" s="165"/>
      <c r="J1898" s="165"/>
      <c r="K1898" s="165"/>
      <c r="L1898" s="165"/>
      <c r="M1898" s="165"/>
      <c r="N1898" s="165"/>
      <c r="O1898" s="165"/>
      <c r="P1898" s="165"/>
      <c r="Q1898" s="165"/>
      <c r="R1898" s="165"/>
      <c r="S1898" s="165"/>
      <c r="T1898" s="165"/>
      <c r="U1898" s="165"/>
      <c r="V1898" s="165"/>
      <c r="W1898" s="165"/>
      <c r="X1898" s="165"/>
    </row>
    <row r="1899" ht="18.75" customHeight="1">
      <c r="A1899" s="165">
        <v>1896.0</v>
      </c>
      <c r="B1899" s="167" t="s">
        <v>17351</v>
      </c>
      <c r="C1899" s="165"/>
      <c r="D1899" s="165"/>
      <c r="E1899" s="165"/>
      <c r="F1899" s="165"/>
      <c r="G1899" s="165"/>
      <c r="H1899" s="165"/>
      <c r="I1899" s="165"/>
      <c r="J1899" s="165"/>
      <c r="K1899" s="165"/>
      <c r="L1899" s="165"/>
      <c r="M1899" s="165"/>
      <c r="N1899" s="165"/>
      <c r="O1899" s="165"/>
      <c r="P1899" s="165"/>
      <c r="Q1899" s="165"/>
      <c r="R1899" s="165"/>
      <c r="S1899" s="165"/>
      <c r="T1899" s="165"/>
      <c r="U1899" s="165"/>
      <c r="V1899" s="165"/>
      <c r="W1899" s="165"/>
      <c r="X1899" s="165"/>
    </row>
    <row r="1900" ht="18.75" customHeight="1">
      <c r="A1900" s="165">
        <v>1897.0</v>
      </c>
      <c r="B1900" s="165" t="s">
        <v>17352</v>
      </c>
      <c r="C1900" s="165"/>
      <c r="D1900" s="165"/>
      <c r="E1900" s="165"/>
      <c r="F1900" s="165"/>
      <c r="G1900" s="165"/>
      <c r="H1900" s="165"/>
      <c r="I1900" s="165"/>
      <c r="J1900" s="165"/>
      <c r="K1900" s="165"/>
      <c r="L1900" s="165"/>
      <c r="M1900" s="165"/>
      <c r="N1900" s="165"/>
      <c r="O1900" s="165"/>
      <c r="P1900" s="165"/>
      <c r="Q1900" s="165"/>
      <c r="R1900" s="165"/>
      <c r="S1900" s="165"/>
      <c r="T1900" s="165"/>
      <c r="U1900" s="165"/>
      <c r="V1900" s="165"/>
      <c r="W1900" s="165"/>
      <c r="X1900" s="165"/>
    </row>
    <row r="1901" ht="18.75" customHeight="1">
      <c r="A1901" s="165">
        <v>1898.0</v>
      </c>
      <c r="B1901" s="167" t="s">
        <v>17353</v>
      </c>
      <c r="C1901" s="165"/>
      <c r="D1901" s="165"/>
      <c r="E1901" s="165"/>
      <c r="F1901" s="165"/>
      <c r="G1901" s="165"/>
      <c r="H1901" s="165"/>
      <c r="I1901" s="165"/>
      <c r="J1901" s="165"/>
      <c r="K1901" s="165"/>
      <c r="L1901" s="165"/>
      <c r="M1901" s="165"/>
      <c r="N1901" s="165"/>
      <c r="O1901" s="165"/>
      <c r="P1901" s="165"/>
      <c r="Q1901" s="165"/>
      <c r="R1901" s="165"/>
      <c r="S1901" s="165"/>
      <c r="T1901" s="165"/>
      <c r="U1901" s="165"/>
      <c r="V1901" s="165"/>
      <c r="W1901" s="165"/>
      <c r="X1901" s="165"/>
    </row>
    <row r="1902" ht="18.75" customHeight="1">
      <c r="A1902" s="165">
        <v>1899.0</v>
      </c>
      <c r="B1902" s="165" t="s">
        <v>17354</v>
      </c>
      <c r="C1902" s="165"/>
      <c r="D1902" s="165"/>
      <c r="E1902" s="165"/>
      <c r="F1902" s="165"/>
      <c r="G1902" s="165"/>
      <c r="H1902" s="165"/>
      <c r="I1902" s="165"/>
      <c r="J1902" s="165"/>
      <c r="K1902" s="165"/>
      <c r="L1902" s="165"/>
      <c r="M1902" s="165"/>
      <c r="N1902" s="165"/>
      <c r="O1902" s="165"/>
      <c r="P1902" s="165"/>
      <c r="Q1902" s="165"/>
      <c r="R1902" s="165"/>
      <c r="S1902" s="165"/>
      <c r="T1902" s="165"/>
      <c r="U1902" s="165"/>
      <c r="V1902" s="165"/>
      <c r="W1902" s="165"/>
      <c r="X1902" s="165"/>
    </row>
    <row r="1903" ht="18.75" customHeight="1">
      <c r="A1903" s="165">
        <v>1900.0</v>
      </c>
      <c r="B1903" s="165" t="s">
        <v>17355</v>
      </c>
      <c r="C1903" s="165"/>
      <c r="D1903" s="165"/>
      <c r="E1903" s="165"/>
      <c r="F1903" s="165"/>
      <c r="G1903" s="165"/>
      <c r="H1903" s="165"/>
      <c r="I1903" s="165"/>
      <c r="J1903" s="165"/>
      <c r="K1903" s="165"/>
      <c r="L1903" s="165"/>
      <c r="M1903" s="165"/>
      <c r="N1903" s="165"/>
      <c r="O1903" s="165"/>
      <c r="P1903" s="165"/>
      <c r="Q1903" s="165"/>
      <c r="R1903" s="165"/>
      <c r="S1903" s="165"/>
      <c r="T1903" s="165"/>
      <c r="U1903" s="165"/>
      <c r="V1903" s="165"/>
      <c r="W1903" s="165"/>
      <c r="X1903" s="165"/>
    </row>
    <row r="1904" ht="18.75" customHeight="1">
      <c r="A1904" s="165">
        <v>1901.0</v>
      </c>
      <c r="B1904" s="165" t="s">
        <v>17356</v>
      </c>
      <c r="C1904" s="165"/>
      <c r="D1904" s="165"/>
      <c r="E1904" s="165"/>
      <c r="F1904" s="165"/>
      <c r="G1904" s="165"/>
      <c r="H1904" s="165"/>
      <c r="I1904" s="165"/>
      <c r="J1904" s="165"/>
      <c r="K1904" s="165"/>
      <c r="L1904" s="165"/>
      <c r="M1904" s="165"/>
      <c r="N1904" s="165"/>
      <c r="O1904" s="165"/>
      <c r="P1904" s="165"/>
      <c r="Q1904" s="165"/>
      <c r="R1904" s="165"/>
      <c r="S1904" s="165"/>
      <c r="T1904" s="165"/>
      <c r="U1904" s="165"/>
      <c r="V1904" s="165"/>
      <c r="W1904" s="165"/>
      <c r="X1904" s="165"/>
    </row>
    <row r="1905" ht="18.75" customHeight="1">
      <c r="A1905" s="165">
        <v>1902.0</v>
      </c>
      <c r="B1905" s="165" t="s">
        <v>17357</v>
      </c>
      <c r="C1905" s="165"/>
      <c r="D1905" s="165"/>
      <c r="E1905" s="165"/>
      <c r="F1905" s="165"/>
      <c r="G1905" s="165"/>
      <c r="H1905" s="165"/>
      <c r="I1905" s="165"/>
      <c r="J1905" s="165"/>
      <c r="K1905" s="165"/>
      <c r="L1905" s="165"/>
      <c r="M1905" s="165"/>
      <c r="N1905" s="165"/>
      <c r="O1905" s="165"/>
      <c r="P1905" s="165"/>
      <c r="Q1905" s="165"/>
      <c r="R1905" s="165"/>
      <c r="S1905" s="165"/>
      <c r="T1905" s="165"/>
      <c r="U1905" s="165"/>
      <c r="V1905" s="165"/>
      <c r="W1905" s="165"/>
      <c r="X1905" s="165"/>
    </row>
    <row r="1906" ht="18.75" customHeight="1">
      <c r="A1906" s="165">
        <v>1903.0</v>
      </c>
      <c r="B1906" s="165" t="s">
        <v>17358</v>
      </c>
      <c r="C1906" s="165"/>
      <c r="D1906" s="165"/>
      <c r="E1906" s="165"/>
      <c r="F1906" s="165"/>
      <c r="G1906" s="165"/>
      <c r="H1906" s="165"/>
      <c r="I1906" s="165"/>
      <c r="J1906" s="165"/>
      <c r="K1906" s="165"/>
      <c r="L1906" s="165"/>
      <c r="M1906" s="165"/>
      <c r="N1906" s="165"/>
      <c r="O1906" s="165"/>
      <c r="P1906" s="165"/>
      <c r="Q1906" s="165"/>
      <c r="R1906" s="165"/>
      <c r="S1906" s="165"/>
      <c r="T1906" s="165"/>
      <c r="U1906" s="165"/>
      <c r="V1906" s="165"/>
      <c r="W1906" s="165"/>
      <c r="X1906" s="165"/>
    </row>
    <row r="1907" ht="18.75" customHeight="1">
      <c r="A1907" s="165">
        <v>1904.0</v>
      </c>
      <c r="B1907" s="165" t="s">
        <v>17359</v>
      </c>
      <c r="C1907" s="165"/>
      <c r="D1907" s="165"/>
      <c r="E1907" s="165"/>
      <c r="F1907" s="165"/>
      <c r="G1907" s="165"/>
      <c r="H1907" s="165"/>
      <c r="I1907" s="165"/>
      <c r="J1907" s="165"/>
      <c r="K1907" s="165"/>
      <c r="L1907" s="165"/>
      <c r="M1907" s="165"/>
      <c r="N1907" s="165"/>
      <c r="O1907" s="165"/>
      <c r="P1907" s="165"/>
      <c r="Q1907" s="165"/>
      <c r="R1907" s="165"/>
      <c r="S1907" s="165"/>
      <c r="T1907" s="165"/>
      <c r="U1907" s="165"/>
      <c r="V1907" s="165"/>
      <c r="W1907" s="165"/>
      <c r="X1907" s="165"/>
    </row>
    <row r="1908" ht="18.75" customHeight="1">
      <c r="A1908" s="165">
        <v>1905.0</v>
      </c>
      <c r="B1908" s="165" t="s">
        <v>17360</v>
      </c>
      <c r="C1908" s="165"/>
      <c r="D1908" s="165"/>
      <c r="E1908" s="165"/>
      <c r="F1908" s="165"/>
      <c r="G1908" s="165"/>
      <c r="H1908" s="165"/>
      <c r="I1908" s="165"/>
      <c r="J1908" s="165"/>
      <c r="K1908" s="165"/>
      <c r="L1908" s="165"/>
      <c r="M1908" s="165"/>
      <c r="N1908" s="165"/>
      <c r="O1908" s="165"/>
      <c r="P1908" s="165"/>
      <c r="Q1908" s="165"/>
      <c r="R1908" s="165"/>
      <c r="S1908" s="165"/>
      <c r="T1908" s="165"/>
      <c r="U1908" s="165"/>
      <c r="V1908" s="165"/>
      <c r="W1908" s="165"/>
      <c r="X1908" s="165"/>
    </row>
    <row r="1909" ht="18.75" customHeight="1">
      <c r="A1909" s="165">
        <v>1906.0</v>
      </c>
      <c r="B1909" s="165" t="s">
        <v>17361</v>
      </c>
      <c r="C1909" s="165"/>
      <c r="D1909" s="165"/>
      <c r="E1909" s="165"/>
      <c r="F1909" s="165"/>
      <c r="G1909" s="165"/>
      <c r="H1909" s="165"/>
      <c r="I1909" s="165"/>
      <c r="J1909" s="165"/>
      <c r="K1909" s="165"/>
      <c r="L1909" s="165"/>
      <c r="M1909" s="165"/>
      <c r="N1909" s="165"/>
      <c r="O1909" s="165"/>
      <c r="P1909" s="165"/>
      <c r="Q1909" s="165"/>
      <c r="R1909" s="165"/>
      <c r="S1909" s="165"/>
      <c r="T1909" s="165"/>
      <c r="U1909" s="165"/>
      <c r="V1909" s="165"/>
      <c r="W1909" s="165"/>
      <c r="X1909" s="165"/>
    </row>
    <row r="1910" ht="18.75" customHeight="1">
      <c r="A1910" s="165">
        <v>1907.0</v>
      </c>
      <c r="B1910" s="167" t="s">
        <v>17362</v>
      </c>
      <c r="C1910" s="165"/>
      <c r="D1910" s="165"/>
      <c r="E1910" s="165"/>
      <c r="F1910" s="165"/>
      <c r="G1910" s="165"/>
      <c r="H1910" s="165"/>
      <c r="I1910" s="165"/>
      <c r="J1910" s="165"/>
      <c r="K1910" s="165"/>
      <c r="L1910" s="165"/>
      <c r="M1910" s="165"/>
      <c r="N1910" s="165"/>
      <c r="O1910" s="165"/>
      <c r="P1910" s="165"/>
      <c r="Q1910" s="165"/>
      <c r="R1910" s="165"/>
      <c r="S1910" s="165"/>
      <c r="T1910" s="165"/>
      <c r="U1910" s="165"/>
      <c r="V1910" s="165"/>
      <c r="W1910" s="165"/>
      <c r="X1910" s="165"/>
    </row>
    <row r="1911" ht="18.75" customHeight="1">
      <c r="A1911" s="165">
        <v>1908.0</v>
      </c>
      <c r="B1911" s="165" t="s">
        <v>17363</v>
      </c>
      <c r="C1911" s="165"/>
      <c r="D1911" s="165"/>
      <c r="E1911" s="165"/>
      <c r="F1911" s="165"/>
      <c r="G1911" s="165"/>
      <c r="H1911" s="165"/>
      <c r="I1911" s="165"/>
      <c r="J1911" s="165"/>
      <c r="K1911" s="165"/>
      <c r="L1911" s="165"/>
      <c r="M1911" s="165"/>
      <c r="N1911" s="165"/>
      <c r="O1911" s="165"/>
      <c r="P1911" s="165"/>
      <c r="Q1911" s="165"/>
      <c r="R1911" s="165"/>
      <c r="S1911" s="165"/>
      <c r="T1911" s="165"/>
      <c r="U1911" s="165"/>
      <c r="V1911" s="165"/>
      <c r="W1911" s="165"/>
      <c r="X1911" s="165"/>
    </row>
    <row r="1912" ht="18.75" customHeight="1">
      <c r="A1912" s="165">
        <v>1909.0</v>
      </c>
      <c r="B1912" s="165" t="s">
        <v>17364</v>
      </c>
      <c r="C1912" s="165"/>
      <c r="D1912" s="165"/>
      <c r="E1912" s="165"/>
      <c r="F1912" s="165"/>
      <c r="G1912" s="165"/>
      <c r="H1912" s="165"/>
      <c r="I1912" s="165"/>
      <c r="J1912" s="165"/>
      <c r="K1912" s="165"/>
      <c r="L1912" s="165"/>
      <c r="M1912" s="165"/>
      <c r="N1912" s="165"/>
      <c r="O1912" s="165"/>
      <c r="P1912" s="165"/>
      <c r="Q1912" s="165"/>
      <c r="R1912" s="165"/>
      <c r="S1912" s="165"/>
      <c r="T1912" s="165"/>
      <c r="U1912" s="165"/>
      <c r="V1912" s="165"/>
      <c r="W1912" s="165"/>
      <c r="X1912" s="165"/>
    </row>
    <row r="1913" ht="18.75" customHeight="1">
      <c r="A1913" s="165">
        <v>1910.0</v>
      </c>
      <c r="B1913" s="165" t="s">
        <v>17365</v>
      </c>
      <c r="C1913" s="165"/>
      <c r="D1913" s="165"/>
      <c r="E1913" s="165"/>
      <c r="F1913" s="165"/>
      <c r="G1913" s="165"/>
      <c r="H1913" s="165"/>
      <c r="I1913" s="165"/>
      <c r="J1913" s="165"/>
      <c r="K1913" s="165"/>
      <c r="L1913" s="165"/>
      <c r="M1913" s="165"/>
      <c r="N1913" s="165"/>
      <c r="O1913" s="165"/>
      <c r="P1913" s="165"/>
      <c r="Q1913" s="165"/>
      <c r="R1913" s="165"/>
      <c r="S1913" s="165"/>
      <c r="T1913" s="165"/>
      <c r="U1913" s="165"/>
      <c r="V1913" s="165"/>
      <c r="W1913" s="165"/>
      <c r="X1913" s="165"/>
    </row>
    <row r="1914" ht="18.75" customHeight="1">
      <c r="A1914" s="165">
        <v>1911.0</v>
      </c>
      <c r="B1914" s="165" t="s">
        <v>17366</v>
      </c>
      <c r="C1914" s="165"/>
      <c r="D1914" s="165"/>
      <c r="E1914" s="165"/>
      <c r="F1914" s="165"/>
      <c r="G1914" s="165"/>
      <c r="H1914" s="165"/>
      <c r="I1914" s="165"/>
      <c r="J1914" s="165"/>
      <c r="K1914" s="165"/>
      <c r="L1914" s="165"/>
      <c r="M1914" s="165"/>
      <c r="N1914" s="165"/>
      <c r="O1914" s="165"/>
      <c r="P1914" s="165"/>
      <c r="Q1914" s="165"/>
      <c r="R1914" s="165"/>
      <c r="S1914" s="165"/>
      <c r="T1914" s="165"/>
      <c r="U1914" s="165"/>
      <c r="V1914" s="165"/>
      <c r="W1914" s="165"/>
      <c r="X1914" s="165"/>
    </row>
    <row r="1915" ht="18.75" customHeight="1">
      <c r="A1915" s="165">
        <v>1912.0</v>
      </c>
      <c r="B1915" s="181" t="s">
        <v>17367</v>
      </c>
      <c r="C1915" s="165"/>
      <c r="D1915" s="165"/>
      <c r="E1915" s="165"/>
      <c r="F1915" s="165"/>
      <c r="G1915" s="165"/>
      <c r="H1915" s="165"/>
      <c r="I1915" s="165"/>
      <c r="J1915" s="165"/>
      <c r="K1915" s="165"/>
      <c r="L1915" s="165"/>
      <c r="M1915" s="165"/>
      <c r="N1915" s="165"/>
      <c r="O1915" s="165"/>
      <c r="P1915" s="165"/>
      <c r="Q1915" s="165"/>
      <c r="R1915" s="165"/>
      <c r="S1915" s="165"/>
      <c r="T1915" s="165"/>
      <c r="U1915" s="165"/>
      <c r="V1915" s="165"/>
      <c r="W1915" s="165"/>
      <c r="X1915" s="165"/>
    </row>
    <row r="1916" ht="18.75" customHeight="1">
      <c r="A1916" s="165">
        <v>1913.0</v>
      </c>
      <c r="B1916" s="165" t="s">
        <v>17368</v>
      </c>
      <c r="C1916" s="165"/>
      <c r="D1916" s="165"/>
      <c r="E1916" s="165"/>
      <c r="F1916" s="165"/>
      <c r="G1916" s="165"/>
      <c r="H1916" s="165"/>
      <c r="I1916" s="165"/>
      <c r="J1916" s="165"/>
      <c r="K1916" s="165"/>
      <c r="L1916" s="165"/>
      <c r="M1916" s="165"/>
      <c r="N1916" s="165"/>
      <c r="O1916" s="165"/>
      <c r="P1916" s="165"/>
      <c r="Q1916" s="165"/>
      <c r="R1916" s="165"/>
      <c r="S1916" s="165"/>
      <c r="T1916" s="165"/>
      <c r="U1916" s="165"/>
      <c r="V1916" s="165"/>
      <c r="W1916" s="165"/>
      <c r="X1916" s="165"/>
    </row>
    <row r="1917" ht="18.75" customHeight="1">
      <c r="A1917" s="165">
        <v>1914.0</v>
      </c>
      <c r="B1917" s="165" t="s">
        <v>17369</v>
      </c>
      <c r="C1917" s="165"/>
      <c r="D1917" s="165"/>
      <c r="E1917" s="165"/>
      <c r="F1917" s="165"/>
      <c r="G1917" s="165"/>
      <c r="H1917" s="165"/>
      <c r="I1917" s="165"/>
      <c r="J1917" s="165"/>
      <c r="K1917" s="165"/>
      <c r="L1917" s="165"/>
      <c r="M1917" s="165"/>
      <c r="N1917" s="165"/>
      <c r="O1917" s="165"/>
      <c r="P1917" s="165"/>
      <c r="Q1917" s="165"/>
      <c r="R1917" s="165"/>
      <c r="S1917" s="165"/>
      <c r="T1917" s="165"/>
      <c r="U1917" s="165"/>
      <c r="V1917" s="165"/>
      <c r="W1917" s="165"/>
      <c r="X1917" s="165"/>
    </row>
    <row r="1918" ht="18.75" customHeight="1">
      <c r="A1918" s="165">
        <v>1915.0</v>
      </c>
      <c r="B1918" s="165" t="s">
        <v>17370</v>
      </c>
      <c r="C1918" s="165"/>
      <c r="D1918" s="165"/>
      <c r="E1918" s="165"/>
      <c r="F1918" s="165"/>
      <c r="G1918" s="165"/>
      <c r="H1918" s="165"/>
      <c r="I1918" s="165"/>
      <c r="J1918" s="165"/>
      <c r="K1918" s="165"/>
      <c r="L1918" s="165"/>
      <c r="M1918" s="165"/>
      <c r="N1918" s="165"/>
      <c r="O1918" s="165"/>
      <c r="P1918" s="165"/>
      <c r="Q1918" s="165"/>
      <c r="R1918" s="165"/>
      <c r="S1918" s="165"/>
      <c r="T1918" s="165"/>
      <c r="U1918" s="165"/>
      <c r="V1918" s="165"/>
      <c r="W1918" s="165"/>
      <c r="X1918" s="165"/>
    </row>
    <row r="1919" ht="18.75" customHeight="1">
      <c r="A1919" s="165">
        <v>1916.0</v>
      </c>
      <c r="B1919" s="165" t="s">
        <v>17371</v>
      </c>
      <c r="C1919" s="165"/>
      <c r="D1919" s="165"/>
      <c r="E1919" s="165"/>
      <c r="F1919" s="165"/>
      <c r="G1919" s="165"/>
      <c r="H1919" s="165"/>
      <c r="I1919" s="165"/>
      <c r="J1919" s="165"/>
      <c r="K1919" s="165"/>
      <c r="L1919" s="165"/>
      <c r="M1919" s="165"/>
      <c r="N1919" s="165"/>
      <c r="O1919" s="165"/>
      <c r="P1919" s="165"/>
      <c r="Q1919" s="165"/>
      <c r="R1919" s="165"/>
      <c r="S1919" s="165"/>
      <c r="T1919" s="165"/>
      <c r="U1919" s="165"/>
      <c r="V1919" s="165"/>
      <c r="W1919" s="165"/>
      <c r="X1919" s="165"/>
    </row>
    <row r="1920" ht="18.75" customHeight="1">
      <c r="A1920" s="165">
        <v>1917.0</v>
      </c>
      <c r="B1920" s="167" t="s">
        <v>17372</v>
      </c>
      <c r="C1920" s="165"/>
      <c r="D1920" s="165"/>
      <c r="E1920" s="165"/>
      <c r="F1920" s="165"/>
      <c r="G1920" s="165"/>
      <c r="H1920" s="165"/>
      <c r="I1920" s="165"/>
      <c r="J1920" s="165"/>
      <c r="K1920" s="165"/>
      <c r="L1920" s="165"/>
      <c r="M1920" s="165"/>
      <c r="N1920" s="165"/>
      <c r="O1920" s="165"/>
      <c r="P1920" s="165"/>
      <c r="Q1920" s="165"/>
      <c r="R1920" s="165"/>
      <c r="S1920" s="165"/>
      <c r="T1920" s="165"/>
      <c r="U1920" s="165"/>
      <c r="V1920" s="165"/>
      <c r="W1920" s="165"/>
      <c r="X1920" s="165"/>
    </row>
    <row r="1921" ht="18.75" customHeight="1">
      <c r="A1921" s="165">
        <v>1918.0</v>
      </c>
      <c r="B1921" s="165" t="s">
        <v>17373</v>
      </c>
      <c r="C1921" s="165"/>
      <c r="D1921" s="165"/>
      <c r="E1921" s="165"/>
      <c r="F1921" s="165"/>
      <c r="G1921" s="165"/>
      <c r="H1921" s="165"/>
      <c r="I1921" s="165"/>
      <c r="J1921" s="165"/>
      <c r="K1921" s="165"/>
      <c r="L1921" s="165"/>
      <c r="M1921" s="165"/>
      <c r="N1921" s="165"/>
      <c r="O1921" s="165"/>
      <c r="P1921" s="165"/>
      <c r="Q1921" s="165"/>
      <c r="R1921" s="165"/>
      <c r="S1921" s="165"/>
      <c r="T1921" s="165"/>
      <c r="U1921" s="165"/>
      <c r="V1921" s="165"/>
      <c r="W1921" s="165"/>
      <c r="X1921" s="165"/>
    </row>
    <row r="1922" ht="18.75" customHeight="1">
      <c r="A1922" s="165">
        <v>1919.0</v>
      </c>
      <c r="B1922" s="167" t="s">
        <v>17374</v>
      </c>
      <c r="C1922" s="165"/>
      <c r="D1922" s="165"/>
      <c r="E1922" s="165"/>
      <c r="F1922" s="165"/>
      <c r="G1922" s="165"/>
      <c r="H1922" s="165"/>
      <c r="I1922" s="165"/>
      <c r="J1922" s="165"/>
      <c r="K1922" s="165"/>
      <c r="L1922" s="165"/>
      <c r="M1922" s="165"/>
      <c r="N1922" s="165"/>
      <c r="O1922" s="165"/>
      <c r="P1922" s="165"/>
      <c r="Q1922" s="165"/>
      <c r="R1922" s="165"/>
      <c r="S1922" s="165"/>
      <c r="T1922" s="165"/>
      <c r="U1922" s="165"/>
      <c r="V1922" s="165"/>
      <c r="W1922" s="165"/>
      <c r="X1922" s="165"/>
    </row>
    <row r="1923" ht="18.75" customHeight="1">
      <c r="A1923" s="165">
        <v>1920.0</v>
      </c>
      <c r="B1923" s="167" t="s">
        <v>17375</v>
      </c>
      <c r="C1923" s="165"/>
      <c r="D1923" s="165"/>
      <c r="E1923" s="165"/>
      <c r="F1923" s="165"/>
      <c r="G1923" s="165"/>
      <c r="H1923" s="165"/>
      <c r="I1923" s="165"/>
      <c r="J1923" s="165"/>
      <c r="K1923" s="165"/>
      <c r="L1923" s="165"/>
      <c r="M1923" s="165"/>
      <c r="N1923" s="165"/>
      <c r="O1923" s="165"/>
      <c r="P1923" s="165"/>
      <c r="Q1923" s="165"/>
      <c r="R1923" s="165"/>
      <c r="S1923" s="165"/>
      <c r="T1923" s="165"/>
      <c r="U1923" s="165"/>
      <c r="V1923" s="165"/>
      <c r="W1923" s="165"/>
      <c r="X1923" s="165"/>
    </row>
    <row r="1924" ht="18.75" customHeight="1">
      <c r="A1924" s="165">
        <v>1921.0</v>
      </c>
      <c r="B1924" s="167" t="s">
        <v>17376</v>
      </c>
      <c r="C1924" s="165"/>
      <c r="D1924" s="165"/>
      <c r="E1924" s="165"/>
      <c r="F1924" s="165"/>
      <c r="G1924" s="165"/>
      <c r="H1924" s="165"/>
      <c r="I1924" s="165"/>
      <c r="J1924" s="165"/>
      <c r="K1924" s="165"/>
      <c r="L1924" s="165"/>
      <c r="M1924" s="165"/>
      <c r="N1924" s="165"/>
      <c r="O1924" s="165"/>
      <c r="P1924" s="165"/>
      <c r="Q1924" s="165"/>
      <c r="R1924" s="165"/>
      <c r="S1924" s="165"/>
      <c r="T1924" s="165"/>
      <c r="U1924" s="165"/>
      <c r="V1924" s="165"/>
      <c r="W1924" s="165"/>
      <c r="X1924" s="165"/>
    </row>
    <row r="1925" ht="18.75" customHeight="1">
      <c r="A1925" s="165">
        <v>1922.0</v>
      </c>
      <c r="B1925" s="167" t="s">
        <v>17377</v>
      </c>
      <c r="C1925" s="165"/>
      <c r="D1925" s="165"/>
      <c r="E1925" s="165"/>
      <c r="F1925" s="165"/>
      <c r="G1925" s="165"/>
      <c r="H1925" s="165"/>
      <c r="I1925" s="165"/>
      <c r="J1925" s="165"/>
      <c r="K1925" s="165"/>
      <c r="L1925" s="165"/>
      <c r="M1925" s="165"/>
      <c r="N1925" s="165"/>
      <c r="O1925" s="165"/>
      <c r="P1925" s="165"/>
      <c r="Q1925" s="165"/>
      <c r="R1925" s="165"/>
      <c r="S1925" s="165"/>
      <c r="T1925" s="165"/>
      <c r="U1925" s="165"/>
      <c r="V1925" s="165"/>
      <c r="W1925" s="165"/>
      <c r="X1925" s="165"/>
    </row>
    <row r="1926" ht="18.75" customHeight="1">
      <c r="A1926" s="165">
        <v>1923.0</v>
      </c>
      <c r="B1926" s="167" t="s">
        <v>17378</v>
      </c>
      <c r="C1926" s="165"/>
      <c r="D1926" s="165"/>
      <c r="E1926" s="165"/>
      <c r="F1926" s="165"/>
      <c r="G1926" s="165"/>
      <c r="H1926" s="165"/>
      <c r="I1926" s="165"/>
      <c r="J1926" s="165"/>
      <c r="K1926" s="165"/>
      <c r="L1926" s="165"/>
      <c r="M1926" s="165"/>
      <c r="N1926" s="165"/>
      <c r="O1926" s="165"/>
      <c r="P1926" s="165"/>
      <c r="Q1926" s="165"/>
      <c r="R1926" s="165"/>
      <c r="S1926" s="165"/>
      <c r="T1926" s="165"/>
      <c r="U1926" s="165"/>
      <c r="V1926" s="165"/>
      <c r="W1926" s="165"/>
      <c r="X1926" s="165"/>
    </row>
    <row r="1927" ht="18.75" customHeight="1">
      <c r="A1927" s="165">
        <v>1924.0</v>
      </c>
      <c r="B1927" s="167" t="s">
        <v>17379</v>
      </c>
      <c r="C1927" s="165"/>
      <c r="D1927" s="165"/>
      <c r="E1927" s="165"/>
      <c r="F1927" s="165"/>
      <c r="G1927" s="165"/>
      <c r="H1927" s="165"/>
      <c r="I1927" s="165"/>
      <c r="J1927" s="165"/>
      <c r="K1927" s="165"/>
      <c r="L1927" s="165"/>
      <c r="M1927" s="165"/>
      <c r="N1927" s="165"/>
      <c r="O1927" s="165"/>
      <c r="P1927" s="165"/>
      <c r="Q1927" s="165"/>
      <c r="R1927" s="165"/>
      <c r="S1927" s="165"/>
      <c r="T1927" s="165"/>
      <c r="U1927" s="165"/>
      <c r="V1927" s="165"/>
      <c r="W1927" s="165"/>
      <c r="X1927" s="165"/>
    </row>
    <row r="1928" ht="18.75" customHeight="1">
      <c r="A1928" s="165">
        <v>1925.0</v>
      </c>
      <c r="B1928" s="167" t="s">
        <v>17380</v>
      </c>
      <c r="C1928" s="165"/>
      <c r="D1928" s="165"/>
      <c r="E1928" s="165"/>
      <c r="F1928" s="165"/>
      <c r="G1928" s="165"/>
      <c r="H1928" s="165"/>
      <c r="I1928" s="165"/>
      <c r="J1928" s="165"/>
      <c r="K1928" s="165"/>
      <c r="L1928" s="165"/>
      <c r="M1928" s="165"/>
      <c r="N1928" s="165"/>
      <c r="O1928" s="165"/>
      <c r="P1928" s="165"/>
      <c r="Q1928" s="165"/>
      <c r="R1928" s="165"/>
      <c r="S1928" s="165"/>
      <c r="T1928" s="165"/>
      <c r="U1928" s="165"/>
      <c r="V1928" s="165"/>
      <c r="W1928" s="165"/>
      <c r="X1928" s="165"/>
    </row>
    <row r="1929" ht="18.75" customHeight="1">
      <c r="A1929" s="165">
        <v>1926.0</v>
      </c>
      <c r="B1929" s="167" t="s">
        <v>17381</v>
      </c>
      <c r="C1929" s="165"/>
      <c r="D1929" s="165"/>
      <c r="E1929" s="165"/>
      <c r="F1929" s="165"/>
      <c r="G1929" s="165"/>
      <c r="H1929" s="165"/>
      <c r="I1929" s="165"/>
      <c r="J1929" s="165"/>
      <c r="K1929" s="165"/>
      <c r="L1929" s="165"/>
      <c r="M1929" s="165"/>
      <c r="N1929" s="165"/>
      <c r="O1929" s="165"/>
      <c r="P1929" s="165"/>
      <c r="Q1929" s="165"/>
      <c r="R1929" s="165"/>
      <c r="S1929" s="165"/>
      <c r="T1929" s="165"/>
      <c r="U1929" s="165"/>
      <c r="V1929" s="165"/>
      <c r="W1929" s="165"/>
      <c r="X1929" s="165"/>
    </row>
    <row r="1930" ht="18.75" customHeight="1">
      <c r="A1930" s="165">
        <v>1927.0</v>
      </c>
      <c r="B1930" s="167" t="s">
        <v>17382</v>
      </c>
      <c r="C1930" s="165"/>
      <c r="D1930" s="165"/>
      <c r="E1930" s="165"/>
      <c r="F1930" s="165"/>
      <c r="G1930" s="165"/>
      <c r="H1930" s="165"/>
      <c r="I1930" s="165"/>
      <c r="J1930" s="165"/>
      <c r="K1930" s="165"/>
      <c r="L1930" s="165"/>
      <c r="M1930" s="165"/>
      <c r="N1930" s="165"/>
      <c r="O1930" s="165"/>
      <c r="P1930" s="165"/>
      <c r="Q1930" s="165"/>
      <c r="R1930" s="165"/>
      <c r="S1930" s="165"/>
      <c r="T1930" s="165"/>
      <c r="U1930" s="165"/>
      <c r="V1930" s="165"/>
      <c r="W1930" s="165"/>
      <c r="X1930" s="165"/>
    </row>
    <row r="1931" ht="18.75" customHeight="1">
      <c r="A1931" s="165">
        <v>1928.0</v>
      </c>
      <c r="B1931" s="167" t="s">
        <v>17383</v>
      </c>
      <c r="C1931" s="165"/>
      <c r="D1931" s="165"/>
      <c r="E1931" s="165"/>
      <c r="F1931" s="165"/>
      <c r="G1931" s="165"/>
      <c r="H1931" s="165"/>
      <c r="I1931" s="165"/>
      <c r="J1931" s="165"/>
      <c r="K1931" s="165"/>
      <c r="L1931" s="165"/>
      <c r="M1931" s="165"/>
      <c r="N1931" s="165"/>
      <c r="O1931" s="165"/>
      <c r="P1931" s="165"/>
      <c r="Q1931" s="165"/>
      <c r="R1931" s="165"/>
      <c r="S1931" s="165"/>
      <c r="T1931" s="165"/>
      <c r="U1931" s="165"/>
      <c r="V1931" s="165"/>
      <c r="W1931" s="165"/>
      <c r="X1931" s="165"/>
    </row>
    <row r="1932" ht="18.75" customHeight="1">
      <c r="A1932" s="165">
        <v>1929.0</v>
      </c>
      <c r="B1932" s="167" t="s">
        <v>17384</v>
      </c>
      <c r="C1932" s="165"/>
      <c r="D1932" s="165"/>
      <c r="E1932" s="165"/>
      <c r="F1932" s="165"/>
      <c r="G1932" s="165"/>
      <c r="H1932" s="165"/>
      <c r="I1932" s="165"/>
      <c r="J1932" s="165"/>
      <c r="K1932" s="165"/>
      <c r="L1932" s="165"/>
      <c r="M1932" s="165"/>
      <c r="N1932" s="165"/>
      <c r="O1932" s="165"/>
      <c r="P1932" s="165"/>
      <c r="Q1932" s="165"/>
      <c r="R1932" s="165"/>
      <c r="S1932" s="165"/>
      <c r="T1932" s="165"/>
      <c r="U1932" s="165"/>
      <c r="V1932" s="165"/>
      <c r="W1932" s="165"/>
      <c r="X1932" s="165"/>
    </row>
    <row r="1933" ht="18.75" customHeight="1">
      <c r="A1933" s="165">
        <v>1930.0</v>
      </c>
      <c r="B1933" s="167" t="s">
        <v>17385</v>
      </c>
      <c r="C1933" s="165"/>
      <c r="D1933" s="165"/>
      <c r="E1933" s="165"/>
      <c r="F1933" s="165"/>
      <c r="G1933" s="165"/>
      <c r="H1933" s="165"/>
      <c r="I1933" s="165"/>
      <c r="J1933" s="165"/>
      <c r="K1933" s="165"/>
      <c r="L1933" s="165"/>
      <c r="M1933" s="165"/>
      <c r="N1933" s="165"/>
      <c r="O1933" s="165"/>
      <c r="P1933" s="165"/>
      <c r="Q1933" s="165"/>
      <c r="R1933" s="165"/>
      <c r="S1933" s="165"/>
      <c r="T1933" s="165"/>
      <c r="U1933" s="165"/>
      <c r="V1933" s="165"/>
      <c r="W1933" s="165"/>
      <c r="X1933" s="165"/>
    </row>
    <row r="1934" ht="18.75" customHeight="1">
      <c r="A1934" s="165">
        <v>1931.0</v>
      </c>
      <c r="B1934" s="167" t="s">
        <v>17386</v>
      </c>
      <c r="C1934" s="165"/>
      <c r="D1934" s="165"/>
      <c r="E1934" s="165"/>
      <c r="F1934" s="165"/>
      <c r="G1934" s="165"/>
      <c r="H1934" s="165"/>
      <c r="I1934" s="165"/>
      <c r="J1934" s="165"/>
      <c r="K1934" s="165"/>
      <c r="L1934" s="165"/>
      <c r="M1934" s="165"/>
      <c r="N1934" s="165"/>
      <c r="O1934" s="165"/>
      <c r="P1934" s="165"/>
      <c r="Q1934" s="165"/>
      <c r="R1934" s="165"/>
      <c r="S1934" s="165"/>
      <c r="T1934" s="165"/>
      <c r="U1934" s="165"/>
      <c r="V1934" s="165"/>
      <c r="W1934" s="165"/>
      <c r="X1934" s="165"/>
    </row>
    <row r="1935" ht="18.75" customHeight="1">
      <c r="A1935" s="165">
        <v>1932.0</v>
      </c>
      <c r="B1935" s="165" t="s">
        <v>17387</v>
      </c>
      <c r="C1935" s="165"/>
      <c r="D1935" s="165"/>
      <c r="E1935" s="165"/>
      <c r="F1935" s="165"/>
      <c r="G1935" s="165"/>
      <c r="H1935" s="165"/>
      <c r="I1935" s="165"/>
      <c r="J1935" s="165"/>
      <c r="K1935" s="165"/>
      <c r="L1935" s="165"/>
      <c r="M1935" s="165"/>
      <c r="N1935" s="165"/>
      <c r="O1935" s="165"/>
      <c r="P1935" s="165"/>
      <c r="Q1935" s="165"/>
      <c r="R1935" s="165"/>
      <c r="S1935" s="165"/>
      <c r="T1935" s="165"/>
      <c r="U1935" s="165"/>
      <c r="V1935" s="165"/>
      <c r="W1935" s="165"/>
      <c r="X1935" s="165"/>
    </row>
    <row r="1936" ht="18.75" customHeight="1">
      <c r="A1936" s="165">
        <v>1933.0</v>
      </c>
      <c r="B1936" s="165" t="s">
        <v>17388</v>
      </c>
      <c r="C1936" s="165"/>
      <c r="D1936" s="165"/>
      <c r="E1936" s="165"/>
      <c r="F1936" s="165"/>
      <c r="G1936" s="165"/>
      <c r="H1936" s="165"/>
      <c r="I1936" s="165"/>
      <c r="J1936" s="165"/>
      <c r="K1936" s="165"/>
      <c r="L1936" s="165"/>
      <c r="M1936" s="165"/>
      <c r="N1936" s="165"/>
      <c r="O1936" s="165"/>
      <c r="P1936" s="165"/>
      <c r="Q1936" s="165"/>
      <c r="R1936" s="165"/>
      <c r="S1936" s="165"/>
      <c r="T1936" s="165"/>
      <c r="U1936" s="165"/>
      <c r="V1936" s="165"/>
      <c r="W1936" s="165"/>
      <c r="X1936" s="165"/>
    </row>
    <row r="1937" ht="18.75" customHeight="1">
      <c r="A1937" s="165">
        <v>1934.0</v>
      </c>
      <c r="B1937" s="165" t="s">
        <v>17389</v>
      </c>
      <c r="C1937" s="165"/>
      <c r="D1937" s="165"/>
      <c r="E1937" s="165"/>
      <c r="F1937" s="165"/>
      <c r="G1937" s="165"/>
      <c r="H1937" s="165"/>
      <c r="I1937" s="165"/>
      <c r="J1937" s="165"/>
      <c r="K1937" s="165"/>
      <c r="L1937" s="165"/>
      <c r="M1937" s="165"/>
      <c r="N1937" s="165"/>
      <c r="O1937" s="165"/>
      <c r="P1937" s="165"/>
      <c r="Q1937" s="165"/>
      <c r="R1937" s="165"/>
      <c r="S1937" s="165"/>
      <c r="T1937" s="165"/>
      <c r="U1937" s="165"/>
      <c r="V1937" s="165"/>
      <c r="W1937" s="165"/>
      <c r="X1937" s="165"/>
    </row>
    <row r="1938" ht="18.75" customHeight="1">
      <c r="A1938" s="165">
        <v>1935.0</v>
      </c>
      <c r="B1938" s="167" t="s">
        <v>17390</v>
      </c>
      <c r="C1938" s="165"/>
      <c r="D1938" s="165"/>
      <c r="E1938" s="165"/>
      <c r="F1938" s="165"/>
      <c r="G1938" s="165"/>
      <c r="H1938" s="165"/>
      <c r="I1938" s="165"/>
      <c r="J1938" s="165"/>
      <c r="K1938" s="165"/>
      <c r="L1938" s="165"/>
      <c r="M1938" s="165"/>
      <c r="N1938" s="165"/>
      <c r="O1938" s="165"/>
      <c r="P1938" s="165"/>
      <c r="Q1938" s="165"/>
      <c r="R1938" s="165"/>
      <c r="S1938" s="165"/>
      <c r="T1938" s="165"/>
      <c r="U1938" s="165"/>
      <c r="V1938" s="165"/>
      <c r="W1938" s="165"/>
      <c r="X1938" s="165"/>
    </row>
    <row r="1939" ht="18.75" customHeight="1">
      <c r="A1939" s="165">
        <v>1936.0</v>
      </c>
      <c r="B1939" s="165" t="s">
        <v>17391</v>
      </c>
      <c r="C1939" s="165"/>
      <c r="D1939" s="165"/>
      <c r="E1939" s="165"/>
      <c r="F1939" s="165"/>
      <c r="G1939" s="165"/>
      <c r="H1939" s="165"/>
      <c r="I1939" s="165"/>
      <c r="J1939" s="165"/>
      <c r="K1939" s="165"/>
      <c r="L1939" s="165"/>
      <c r="M1939" s="165"/>
      <c r="N1939" s="165"/>
      <c r="O1939" s="165"/>
      <c r="P1939" s="165"/>
      <c r="Q1939" s="165"/>
      <c r="R1939" s="165"/>
      <c r="S1939" s="165"/>
      <c r="T1939" s="165"/>
      <c r="U1939" s="165"/>
      <c r="V1939" s="165"/>
      <c r="W1939" s="165"/>
      <c r="X1939" s="165"/>
    </row>
    <row r="1940" ht="18.75" customHeight="1">
      <c r="A1940" s="165">
        <v>1937.0</v>
      </c>
      <c r="B1940" s="165" t="s">
        <v>17392</v>
      </c>
      <c r="C1940" s="165"/>
      <c r="D1940" s="165"/>
      <c r="E1940" s="165"/>
      <c r="F1940" s="165"/>
      <c r="G1940" s="165"/>
      <c r="H1940" s="165"/>
      <c r="I1940" s="165"/>
      <c r="J1940" s="165"/>
      <c r="K1940" s="165"/>
      <c r="L1940" s="165"/>
      <c r="M1940" s="165"/>
      <c r="N1940" s="165"/>
      <c r="O1940" s="165"/>
      <c r="P1940" s="165"/>
      <c r="Q1940" s="165"/>
      <c r="R1940" s="165"/>
      <c r="S1940" s="165"/>
      <c r="T1940" s="165"/>
      <c r="U1940" s="165"/>
      <c r="V1940" s="165"/>
      <c r="W1940" s="165"/>
      <c r="X1940" s="165"/>
    </row>
    <row r="1941" ht="18.75" customHeight="1">
      <c r="A1941" s="165">
        <v>1938.0</v>
      </c>
      <c r="B1941" s="165" t="s">
        <v>17393</v>
      </c>
      <c r="C1941" s="165"/>
      <c r="D1941" s="165"/>
      <c r="E1941" s="165"/>
      <c r="F1941" s="165"/>
      <c r="G1941" s="165"/>
      <c r="H1941" s="165"/>
      <c r="I1941" s="165"/>
      <c r="J1941" s="165"/>
      <c r="K1941" s="165"/>
      <c r="L1941" s="165"/>
      <c r="M1941" s="165"/>
      <c r="N1941" s="165"/>
      <c r="O1941" s="165"/>
      <c r="P1941" s="165"/>
      <c r="Q1941" s="165"/>
      <c r="R1941" s="165"/>
      <c r="S1941" s="165"/>
      <c r="T1941" s="165"/>
      <c r="U1941" s="165"/>
      <c r="V1941" s="165"/>
      <c r="W1941" s="165"/>
      <c r="X1941" s="165"/>
    </row>
    <row r="1942" ht="18.75" customHeight="1">
      <c r="A1942" s="165">
        <v>1939.0</v>
      </c>
      <c r="B1942" s="165" t="s">
        <v>17394</v>
      </c>
      <c r="C1942" s="165"/>
      <c r="D1942" s="165"/>
      <c r="E1942" s="165"/>
      <c r="F1942" s="165"/>
      <c r="G1942" s="165"/>
      <c r="H1942" s="165"/>
      <c r="I1942" s="165"/>
      <c r="J1942" s="165"/>
      <c r="K1942" s="165"/>
      <c r="L1942" s="165"/>
      <c r="M1942" s="165"/>
      <c r="N1942" s="165"/>
      <c r="O1942" s="165"/>
      <c r="P1942" s="165"/>
      <c r="Q1942" s="165"/>
      <c r="R1942" s="165"/>
      <c r="S1942" s="165"/>
      <c r="T1942" s="165"/>
      <c r="U1942" s="165"/>
      <c r="V1942" s="165"/>
      <c r="W1942" s="165"/>
      <c r="X1942" s="165"/>
    </row>
    <row r="1943" ht="18.75" customHeight="1">
      <c r="A1943" s="165">
        <v>1940.0</v>
      </c>
      <c r="B1943" s="165" t="s">
        <v>17395</v>
      </c>
      <c r="C1943" s="165"/>
      <c r="D1943" s="165"/>
      <c r="E1943" s="165"/>
      <c r="F1943" s="165"/>
      <c r="G1943" s="165"/>
      <c r="H1943" s="165"/>
      <c r="I1943" s="165"/>
      <c r="J1943" s="165"/>
      <c r="K1943" s="165"/>
      <c r="L1943" s="165"/>
      <c r="M1943" s="165"/>
      <c r="N1943" s="165"/>
      <c r="O1943" s="165"/>
      <c r="P1943" s="165"/>
      <c r="Q1943" s="165"/>
      <c r="R1943" s="165"/>
      <c r="S1943" s="165"/>
      <c r="T1943" s="165"/>
      <c r="U1943" s="165"/>
      <c r="V1943" s="165"/>
      <c r="W1943" s="165"/>
      <c r="X1943" s="165"/>
    </row>
    <row r="1944" ht="18.75" customHeight="1">
      <c r="A1944" s="165">
        <v>1941.0</v>
      </c>
      <c r="B1944" s="165" t="s">
        <v>17396</v>
      </c>
      <c r="C1944" s="165"/>
      <c r="D1944" s="165"/>
      <c r="E1944" s="165"/>
      <c r="F1944" s="165"/>
      <c r="G1944" s="165"/>
      <c r="H1944" s="165"/>
      <c r="I1944" s="165"/>
      <c r="J1944" s="165"/>
      <c r="K1944" s="165"/>
      <c r="L1944" s="165"/>
      <c r="M1944" s="165"/>
      <c r="N1944" s="165"/>
      <c r="O1944" s="165"/>
      <c r="P1944" s="165"/>
      <c r="Q1944" s="165"/>
      <c r="R1944" s="165"/>
      <c r="S1944" s="165"/>
      <c r="T1944" s="165"/>
      <c r="U1944" s="165"/>
      <c r="V1944" s="165"/>
      <c r="W1944" s="165"/>
      <c r="X1944" s="165"/>
    </row>
    <row r="1945" ht="18.75" customHeight="1">
      <c r="A1945" s="165">
        <v>1942.0</v>
      </c>
      <c r="B1945" s="165" t="s">
        <v>17397</v>
      </c>
      <c r="C1945" s="165"/>
      <c r="D1945" s="165"/>
      <c r="E1945" s="165"/>
      <c r="F1945" s="165"/>
      <c r="G1945" s="165"/>
      <c r="H1945" s="165"/>
      <c r="I1945" s="165"/>
      <c r="J1945" s="165"/>
      <c r="K1945" s="165"/>
      <c r="L1945" s="165"/>
      <c r="M1945" s="165"/>
      <c r="N1945" s="165"/>
      <c r="O1945" s="165"/>
      <c r="P1945" s="165"/>
      <c r="Q1945" s="165"/>
      <c r="R1945" s="165"/>
      <c r="S1945" s="165"/>
      <c r="T1945" s="165"/>
      <c r="U1945" s="165"/>
      <c r="V1945" s="165"/>
      <c r="W1945" s="165"/>
      <c r="X1945" s="165"/>
    </row>
    <row r="1946" ht="18.75" customHeight="1">
      <c r="A1946" s="165">
        <v>1943.0</v>
      </c>
      <c r="B1946" s="167" t="s">
        <v>17398</v>
      </c>
      <c r="C1946" s="165"/>
      <c r="D1946" s="165"/>
      <c r="E1946" s="165"/>
      <c r="F1946" s="165"/>
      <c r="G1946" s="165"/>
      <c r="H1946" s="165"/>
      <c r="I1946" s="165"/>
      <c r="J1946" s="165"/>
      <c r="K1946" s="165"/>
      <c r="L1946" s="165"/>
      <c r="M1946" s="165"/>
      <c r="N1946" s="165"/>
      <c r="O1946" s="165"/>
      <c r="P1946" s="165"/>
      <c r="Q1946" s="165"/>
      <c r="R1946" s="165"/>
      <c r="S1946" s="165"/>
      <c r="T1946" s="165"/>
      <c r="U1946" s="165"/>
      <c r="V1946" s="165"/>
      <c r="W1946" s="165"/>
      <c r="X1946" s="165"/>
    </row>
    <row r="1947" ht="18.75" customHeight="1">
      <c r="A1947" s="165">
        <v>1944.0</v>
      </c>
      <c r="B1947" s="165" t="s">
        <v>17399</v>
      </c>
      <c r="C1947" s="165"/>
      <c r="D1947" s="165"/>
      <c r="E1947" s="165"/>
      <c r="F1947" s="165"/>
      <c r="G1947" s="165"/>
      <c r="H1947" s="165"/>
      <c r="I1947" s="165"/>
      <c r="J1947" s="165"/>
      <c r="K1947" s="165"/>
      <c r="L1947" s="165"/>
      <c r="M1947" s="165"/>
      <c r="N1947" s="165"/>
      <c r="O1947" s="165"/>
      <c r="P1947" s="165"/>
      <c r="Q1947" s="165"/>
      <c r="R1947" s="165"/>
      <c r="S1947" s="165"/>
      <c r="T1947" s="165"/>
      <c r="U1947" s="165"/>
      <c r="V1947" s="165"/>
      <c r="W1947" s="165"/>
      <c r="X1947" s="165"/>
    </row>
    <row r="1948" ht="18.75" customHeight="1">
      <c r="A1948" s="165">
        <v>1945.0</v>
      </c>
      <c r="B1948" s="167" t="s">
        <v>17400</v>
      </c>
      <c r="C1948" s="165"/>
      <c r="D1948" s="165"/>
      <c r="E1948" s="165"/>
      <c r="F1948" s="165"/>
      <c r="G1948" s="165"/>
      <c r="H1948" s="165"/>
      <c r="I1948" s="165"/>
      <c r="J1948" s="165"/>
      <c r="K1948" s="165"/>
      <c r="L1948" s="165"/>
      <c r="M1948" s="165"/>
      <c r="N1948" s="165"/>
      <c r="O1948" s="165"/>
      <c r="P1948" s="165"/>
      <c r="Q1948" s="165"/>
      <c r="R1948" s="165"/>
      <c r="S1948" s="165"/>
      <c r="T1948" s="165"/>
      <c r="U1948" s="165"/>
      <c r="V1948" s="165"/>
      <c r="W1948" s="165"/>
      <c r="X1948" s="165"/>
    </row>
    <row r="1949" ht="18.75" customHeight="1">
      <c r="A1949" s="165">
        <v>1946.0</v>
      </c>
      <c r="B1949" s="165" t="s">
        <v>17401</v>
      </c>
      <c r="C1949" s="165"/>
      <c r="D1949" s="165"/>
      <c r="E1949" s="165"/>
      <c r="F1949" s="165"/>
      <c r="G1949" s="165"/>
      <c r="H1949" s="165"/>
      <c r="I1949" s="165"/>
      <c r="J1949" s="165"/>
      <c r="K1949" s="165"/>
      <c r="L1949" s="165"/>
      <c r="M1949" s="165"/>
      <c r="N1949" s="165"/>
      <c r="O1949" s="165"/>
      <c r="P1949" s="165"/>
      <c r="Q1949" s="165"/>
      <c r="R1949" s="165"/>
      <c r="S1949" s="165"/>
      <c r="T1949" s="165"/>
      <c r="U1949" s="165"/>
      <c r="V1949" s="165"/>
      <c r="W1949" s="165"/>
      <c r="X1949" s="165"/>
    </row>
    <row r="1950" ht="18.75" customHeight="1">
      <c r="A1950" s="165">
        <v>1947.0</v>
      </c>
      <c r="B1950" s="165" t="s">
        <v>17402</v>
      </c>
      <c r="C1950" s="165"/>
      <c r="D1950" s="165"/>
      <c r="E1950" s="165"/>
      <c r="F1950" s="165"/>
      <c r="G1950" s="165"/>
      <c r="H1950" s="165"/>
      <c r="I1950" s="165"/>
      <c r="J1950" s="165"/>
      <c r="K1950" s="165"/>
      <c r="L1950" s="165"/>
      <c r="M1950" s="165"/>
      <c r="N1950" s="165"/>
      <c r="O1950" s="165"/>
      <c r="P1950" s="165"/>
      <c r="Q1950" s="165"/>
      <c r="R1950" s="165"/>
      <c r="S1950" s="165"/>
      <c r="T1950" s="165"/>
      <c r="U1950" s="165"/>
      <c r="V1950" s="165"/>
      <c r="W1950" s="165"/>
      <c r="X1950" s="165"/>
    </row>
    <row r="1951" ht="18.75" customHeight="1">
      <c r="A1951" s="165">
        <v>1948.0</v>
      </c>
      <c r="B1951" s="167" t="s">
        <v>17403</v>
      </c>
      <c r="C1951" s="165"/>
      <c r="D1951" s="165"/>
      <c r="E1951" s="165"/>
      <c r="F1951" s="165"/>
      <c r="G1951" s="165"/>
      <c r="H1951" s="165"/>
      <c r="I1951" s="165"/>
      <c r="J1951" s="165"/>
      <c r="K1951" s="165"/>
      <c r="L1951" s="165"/>
      <c r="M1951" s="165"/>
      <c r="N1951" s="165"/>
      <c r="O1951" s="165"/>
      <c r="P1951" s="165"/>
      <c r="Q1951" s="165"/>
      <c r="R1951" s="165"/>
      <c r="S1951" s="165"/>
      <c r="T1951" s="165"/>
      <c r="U1951" s="165"/>
      <c r="V1951" s="165"/>
      <c r="W1951" s="165"/>
      <c r="X1951" s="165"/>
    </row>
    <row r="1952" ht="18.75" customHeight="1">
      <c r="A1952" s="165">
        <v>1949.0</v>
      </c>
      <c r="B1952" s="165" t="s">
        <v>17404</v>
      </c>
      <c r="C1952" s="165"/>
      <c r="D1952" s="165"/>
      <c r="E1952" s="165"/>
      <c r="F1952" s="165"/>
      <c r="G1952" s="165"/>
      <c r="H1952" s="165"/>
      <c r="I1952" s="165"/>
      <c r="J1952" s="165"/>
      <c r="K1952" s="165"/>
      <c r="L1952" s="165"/>
      <c r="M1952" s="165"/>
      <c r="N1952" s="165"/>
      <c r="O1952" s="165"/>
      <c r="P1952" s="165"/>
      <c r="Q1952" s="165"/>
      <c r="R1952" s="165"/>
      <c r="S1952" s="165"/>
      <c r="T1952" s="165"/>
      <c r="U1952" s="165"/>
      <c r="V1952" s="165"/>
      <c r="W1952" s="165"/>
      <c r="X1952" s="165"/>
    </row>
    <row r="1953" ht="18.75" customHeight="1">
      <c r="A1953" s="165">
        <v>1950.0</v>
      </c>
      <c r="B1953" s="165" t="s">
        <v>17405</v>
      </c>
      <c r="C1953" s="165"/>
      <c r="D1953" s="165"/>
      <c r="E1953" s="165"/>
      <c r="F1953" s="165"/>
      <c r="G1953" s="165"/>
      <c r="H1953" s="165"/>
      <c r="I1953" s="165"/>
      <c r="J1953" s="165"/>
      <c r="K1953" s="165"/>
      <c r="L1953" s="165"/>
      <c r="M1953" s="165"/>
      <c r="N1953" s="165"/>
      <c r="O1953" s="165"/>
      <c r="P1953" s="165"/>
      <c r="Q1953" s="165"/>
      <c r="R1953" s="165"/>
      <c r="S1953" s="165"/>
      <c r="T1953" s="165"/>
      <c r="U1953" s="165"/>
      <c r="V1953" s="165"/>
      <c r="W1953" s="165"/>
      <c r="X1953" s="165"/>
    </row>
    <row r="1954" ht="18.75" customHeight="1">
      <c r="A1954" s="165">
        <v>1951.0</v>
      </c>
      <c r="B1954" s="167" t="s">
        <v>17406</v>
      </c>
      <c r="C1954" s="165"/>
      <c r="D1954" s="165"/>
      <c r="E1954" s="165"/>
      <c r="F1954" s="165"/>
      <c r="G1954" s="165"/>
      <c r="H1954" s="165"/>
      <c r="I1954" s="165"/>
      <c r="J1954" s="165"/>
      <c r="K1954" s="165"/>
      <c r="L1954" s="165"/>
      <c r="M1954" s="165"/>
      <c r="N1954" s="165"/>
      <c r="O1954" s="165"/>
      <c r="P1954" s="165"/>
      <c r="Q1954" s="165"/>
      <c r="R1954" s="165"/>
      <c r="S1954" s="165"/>
      <c r="T1954" s="165"/>
      <c r="U1954" s="165"/>
      <c r="V1954" s="165"/>
      <c r="W1954" s="165"/>
      <c r="X1954" s="165"/>
    </row>
    <row r="1955" ht="18.75" customHeight="1">
      <c r="A1955" s="165">
        <v>1952.0</v>
      </c>
      <c r="B1955" s="167" t="s">
        <v>17407</v>
      </c>
      <c r="C1955" s="165"/>
      <c r="D1955" s="165"/>
      <c r="E1955" s="165"/>
      <c r="F1955" s="165"/>
      <c r="G1955" s="165"/>
      <c r="H1955" s="165"/>
      <c r="I1955" s="165"/>
      <c r="J1955" s="165"/>
      <c r="K1955" s="165"/>
      <c r="L1955" s="165"/>
      <c r="M1955" s="165"/>
      <c r="N1955" s="165"/>
      <c r="O1955" s="165"/>
      <c r="P1955" s="165"/>
      <c r="Q1955" s="165"/>
      <c r="R1955" s="165"/>
      <c r="S1955" s="165"/>
      <c r="T1955" s="165"/>
      <c r="U1955" s="165"/>
      <c r="V1955" s="165"/>
      <c r="W1955" s="165"/>
      <c r="X1955" s="165"/>
    </row>
    <row r="1956" ht="18.75" customHeight="1">
      <c r="A1956" s="165">
        <v>1953.0</v>
      </c>
      <c r="B1956" s="167" t="s">
        <v>17408</v>
      </c>
      <c r="C1956" s="165"/>
      <c r="D1956" s="165"/>
      <c r="E1956" s="165"/>
      <c r="F1956" s="165"/>
      <c r="G1956" s="165"/>
      <c r="H1956" s="165"/>
      <c r="I1956" s="165"/>
      <c r="J1956" s="165"/>
      <c r="K1956" s="165"/>
      <c r="L1956" s="165"/>
      <c r="M1956" s="165"/>
      <c r="N1956" s="165"/>
      <c r="O1956" s="165"/>
      <c r="P1956" s="165"/>
      <c r="Q1956" s="165"/>
      <c r="R1956" s="165"/>
      <c r="S1956" s="165"/>
      <c r="T1956" s="165"/>
      <c r="U1956" s="165"/>
      <c r="V1956" s="165"/>
      <c r="W1956" s="165"/>
      <c r="X1956" s="165"/>
    </row>
    <row r="1957" ht="18.75" customHeight="1">
      <c r="A1957" s="165">
        <v>1954.0</v>
      </c>
      <c r="B1957" s="167" t="s">
        <v>17409</v>
      </c>
      <c r="C1957" s="165"/>
      <c r="D1957" s="165"/>
      <c r="E1957" s="165"/>
      <c r="F1957" s="165"/>
      <c r="G1957" s="165"/>
      <c r="H1957" s="165"/>
      <c r="I1957" s="165"/>
      <c r="J1957" s="165"/>
      <c r="K1957" s="165"/>
      <c r="L1957" s="165"/>
      <c r="M1957" s="165"/>
      <c r="N1957" s="165"/>
      <c r="O1957" s="165"/>
      <c r="P1957" s="165"/>
      <c r="Q1957" s="165"/>
      <c r="R1957" s="165"/>
      <c r="S1957" s="165"/>
      <c r="T1957" s="165"/>
      <c r="U1957" s="165"/>
      <c r="V1957" s="165"/>
      <c r="W1957" s="165"/>
      <c r="X1957" s="165"/>
    </row>
    <row r="1958" ht="18.75" customHeight="1">
      <c r="A1958" s="165">
        <v>1955.0</v>
      </c>
      <c r="B1958" s="167" t="s">
        <v>17410</v>
      </c>
      <c r="C1958" s="165"/>
      <c r="D1958" s="165"/>
      <c r="E1958" s="165"/>
      <c r="F1958" s="165"/>
      <c r="G1958" s="165"/>
      <c r="H1958" s="165"/>
      <c r="I1958" s="165"/>
      <c r="J1958" s="165"/>
      <c r="K1958" s="165"/>
      <c r="L1958" s="165"/>
      <c r="M1958" s="165"/>
      <c r="N1958" s="165"/>
      <c r="O1958" s="165"/>
      <c r="P1958" s="165"/>
      <c r="Q1958" s="165"/>
      <c r="R1958" s="165"/>
      <c r="S1958" s="165"/>
      <c r="T1958" s="165"/>
      <c r="U1958" s="165"/>
      <c r="V1958" s="165"/>
      <c r="W1958" s="165"/>
      <c r="X1958" s="165"/>
    </row>
    <row r="1959" ht="18.75" customHeight="1">
      <c r="A1959" s="165">
        <v>1956.0</v>
      </c>
      <c r="B1959" s="167" t="s">
        <v>17411</v>
      </c>
      <c r="C1959" s="165"/>
      <c r="D1959" s="165"/>
      <c r="E1959" s="165"/>
      <c r="F1959" s="165"/>
      <c r="G1959" s="165"/>
      <c r="H1959" s="165"/>
      <c r="I1959" s="165"/>
      <c r="J1959" s="165"/>
      <c r="K1959" s="165"/>
      <c r="L1959" s="165"/>
      <c r="M1959" s="165"/>
      <c r="N1959" s="165"/>
      <c r="O1959" s="165"/>
      <c r="P1959" s="165"/>
      <c r="Q1959" s="165"/>
      <c r="R1959" s="165"/>
      <c r="S1959" s="165"/>
      <c r="T1959" s="165"/>
      <c r="U1959" s="165"/>
      <c r="V1959" s="165"/>
      <c r="W1959" s="165"/>
      <c r="X1959" s="165"/>
    </row>
    <row r="1960" ht="18.75" customHeight="1">
      <c r="A1960" s="165">
        <v>1957.0</v>
      </c>
      <c r="B1960" s="167" t="s">
        <v>17412</v>
      </c>
      <c r="C1960" s="165"/>
      <c r="D1960" s="165"/>
      <c r="E1960" s="165"/>
      <c r="F1960" s="165"/>
      <c r="G1960" s="165"/>
      <c r="H1960" s="165"/>
      <c r="I1960" s="165"/>
      <c r="J1960" s="165"/>
      <c r="K1960" s="165"/>
      <c r="L1960" s="165"/>
      <c r="M1960" s="165"/>
      <c r="N1960" s="165"/>
      <c r="O1960" s="165"/>
      <c r="P1960" s="165"/>
      <c r="Q1960" s="165"/>
      <c r="R1960" s="165"/>
      <c r="S1960" s="165"/>
      <c r="T1960" s="165"/>
      <c r="U1960" s="165"/>
      <c r="V1960" s="165"/>
      <c r="W1960" s="165"/>
      <c r="X1960" s="165"/>
    </row>
    <row r="1961" ht="18.75" customHeight="1">
      <c r="A1961" s="165">
        <v>1958.0</v>
      </c>
      <c r="B1961" s="167" t="s">
        <v>17413</v>
      </c>
      <c r="C1961" s="165"/>
      <c r="D1961" s="165"/>
      <c r="E1961" s="165"/>
      <c r="F1961" s="165"/>
      <c r="G1961" s="165"/>
      <c r="H1961" s="165"/>
      <c r="I1961" s="165"/>
      <c r="J1961" s="165"/>
      <c r="K1961" s="165"/>
      <c r="L1961" s="165"/>
      <c r="M1961" s="165"/>
      <c r="N1961" s="165"/>
      <c r="O1961" s="165"/>
      <c r="P1961" s="165"/>
      <c r="Q1961" s="165"/>
      <c r="R1961" s="165"/>
      <c r="S1961" s="165"/>
      <c r="T1961" s="165"/>
      <c r="U1961" s="165"/>
      <c r="V1961" s="165"/>
      <c r="W1961" s="165"/>
      <c r="X1961" s="165"/>
    </row>
    <row r="1962" ht="18.75" customHeight="1">
      <c r="A1962" s="165">
        <v>1959.0</v>
      </c>
      <c r="B1962" s="167" t="s">
        <v>17414</v>
      </c>
      <c r="C1962" s="165"/>
      <c r="D1962" s="165"/>
      <c r="E1962" s="165"/>
      <c r="F1962" s="165"/>
      <c r="G1962" s="165"/>
      <c r="H1962" s="165"/>
      <c r="I1962" s="165"/>
      <c r="J1962" s="165"/>
      <c r="K1962" s="165"/>
      <c r="L1962" s="165"/>
      <c r="M1962" s="165"/>
      <c r="N1962" s="165"/>
      <c r="O1962" s="165"/>
      <c r="P1962" s="165"/>
      <c r="Q1962" s="165"/>
      <c r="R1962" s="165"/>
      <c r="S1962" s="165"/>
      <c r="T1962" s="165"/>
      <c r="U1962" s="165"/>
      <c r="V1962" s="165"/>
      <c r="W1962" s="165"/>
      <c r="X1962" s="165"/>
    </row>
    <row r="1963" ht="18.75" customHeight="1">
      <c r="A1963" s="165">
        <v>1960.0</v>
      </c>
      <c r="B1963" s="167" t="s">
        <v>17415</v>
      </c>
      <c r="C1963" s="165"/>
      <c r="D1963" s="165"/>
      <c r="E1963" s="165"/>
      <c r="F1963" s="165"/>
      <c r="G1963" s="165"/>
      <c r="H1963" s="165"/>
      <c r="I1963" s="165"/>
      <c r="J1963" s="165"/>
      <c r="K1963" s="165"/>
      <c r="L1963" s="165"/>
      <c r="M1963" s="165"/>
      <c r="N1963" s="165"/>
      <c r="O1963" s="165"/>
      <c r="P1963" s="165"/>
      <c r="Q1963" s="165"/>
      <c r="R1963" s="165"/>
      <c r="S1963" s="165"/>
      <c r="T1963" s="165"/>
      <c r="U1963" s="165"/>
      <c r="V1963" s="165"/>
      <c r="W1963" s="165"/>
      <c r="X1963" s="165"/>
    </row>
    <row r="1964" ht="18.75" customHeight="1">
      <c r="A1964" s="165">
        <v>1961.0</v>
      </c>
      <c r="B1964" s="167" t="s">
        <v>17416</v>
      </c>
      <c r="C1964" s="165"/>
      <c r="D1964" s="165"/>
      <c r="E1964" s="165"/>
      <c r="F1964" s="165"/>
      <c r="G1964" s="165"/>
      <c r="H1964" s="165"/>
      <c r="I1964" s="165"/>
      <c r="J1964" s="165"/>
      <c r="K1964" s="165"/>
      <c r="L1964" s="165"/>
      <c r="M1964" s="165"/>
      <c r="N1964" s="165"/>
      <c r="O1964" s="165"/>
      <c r="P1964" s="165"/>
      <c r="Q1964" s="165"/>
      <c r="R1964" s="165"/>
      <c r="S1964" s="165"/>
      <c r="T1964" s="165"/>
      <c r="U1964" s="165"/>
      <c r="V1964" s="165"/>
      <c r="W1964" s="165"/>
      <c r="X1964" s="165"/>
    </row>
    <row r="1965" ht="18.75" customHeight="1">
      <c r="A1965" s="165">
        <v>1962.0</v>
      </c>
      <c r="B1965" s="167" t="s">
        <v>17417</v>
      </c>
      <c r="C1965" s="165"/>
      <c r="D1965" s="165"/>
      <c r="E1965" s="165"/>
      <c r="F1965" s="165"/>
      <c r="G1965" s="165"/>
      <c r="H1965" s="165"/>
      <c r="I1965" s="165"/>
      <c r="J1965" s="165"/>
      <c r="K1965" s="165"/>
      <c r="L1965" s="165"/>
      <c r="M1965" s="165"/>
      <c r="N1965" s="165"/>
      <c r="O1965" s="165"/>
      <c r="P1965" s="165"/>
      <c r="Q1965" s="165"/>
      <c r="R1965" s="165"/>
      <c r="S1965" s="165"/>
      <c r="T1965" s="165"/>
      <c r="U1965" s="165"/>
      <c r="V1965" s="165"/>
      <c r="W1965" s="165"/>
      <c r="X1965" s="165"/>
    </row>
    <row r="1966" ht="18.75" customHeight="1">
      <c r="A1966" s="165">
        <v>1963.0</v>
      </c>
      <c r="B1966" s="167" t="s">
        <v>17418</v>
      </c>
      <c r="C1966" s="165"/>
      <c r="D1966" s="165"/>
      <c r="E1966" s="165"/>
      <c r="F1966" s="165"/>
      <c r="G1966" s="165"/>
      <c r="H1966" s="165"/>
      <c r="I1966" s="165"/>
      <c r="J1966" s="165"/>
      <c r="K1966" s="165"/>
      <c r="L1966" s="165"/>
      <c r="M1966" s="165"/>
      <c r="N1966" s="165"/>
      <c r="O1966" s="165"/>
      <c r="P1966" s="165"/>
      <c r="Q1966" s="165"/>
      <c r="R1966" s="165"/>
      <c r="S1966" s="165"/>
      <c r="T1966" s="165"/>
      <c r="U1966" s="165"/>
      <c r="V1966" s="165"/>
      <c r="W1966" s="165"/>
      <c r="X1966" s="165"/>
    </row>
    <row r="1967" ht="18.75" customHeight="1">
      <c r="A1967" s="165">
        <v>1964.0</v>
      </c>
      <c r="B1967" s="167" t="s">
        <v>17419</v>
      </c>
      <c r="C1967" s="165"/>
      <c r="D1967" s="165"/>
      <c r="E1967" s="165"/>
      <c r="F1967" s="165"/>
      <c r="G1967" s="165"/>
      <c r="H1967" s="165"/>
      <c r="I1967" s="165"/>
      <c r="J1967" s="165"/>
      <c r="K1967" s="165"/>
      <c r="L1967" s="165"/>
      <c r="M1967" s="165"/>
      <c r="N1967" s="165"/>
      <c r="O1967" s="165"/>
      <c r="P1967" s="165"/>
      <c r="Q1967" s="165"/>
      <c r="R1967" s="165"/>
      <c r="S1967" s="165"/>
      <c r="T1967" s="165"/>
      <c r="U1967" s="165"/>
      <c r="V1967" s="165"/>
      <c r="W1967" s="165"/>
      <c r="X1967" s="165"/>
    </row>
    <row r="1968" ht="18.75" customHeight="1">
      <c r="A1968" s="165">
        <v>1965.0</v>
      </c>
      <c r="B1968" s="167" t="s">
        <v>17420</v>
      </c>
      <c r="C1968" s="165"/>
      <c r="D1968" s="165"/>
      <c r="E1968" s="165"/>
      <c r="F1968" s="165"/>
      <c r="G1968" s="165"/>
      <c r="H1968" s="165"/>
      <c r="I1968" s="165"/>
      <c r="J1968" s="165"/>
      <c r="K1968" s="165"/>
      <c r="L1968" s="165"/>
      <c r="M1968" s="165"/>
      <c r="N1968" s="165"/>
      <c r="O1968" s="165"/>
      <c r="P1968" s="165"/>
      <c r="Q1968" s="165"/>
      <c r="R1968" s="165"/>
      <c r="S1968" s="165"/>
      <c r="T1968" s="165"/>
      <c r="U1968" s="165"/>
      <c r="V1968" s="165"/>
      <c r="W1968" s="165"/>
      <c r="X1968" s="165"/>
    </row>
    <row r="1969" ht="18.75" customHeight="1">
      <c r="A1969" s="165">
        <v>1966.0</v>
      </c>
      <c r="B1969" s="167" t="s">
        <v>17421</v>
      </c>
      <c r="C1969" s="165"/>
      <c r="D1969" s="165"/>
      <c r="E1969" s="165"/>
      <c r="F1969" s="165"/>
      <c r="G1969" s="165"/>
      <c r="H1969" s="165"/>
      <c r="I1969" s="165"/>
      <c r="J1969" s="165"/>
      <c r="K1969" s="165"/>
      <c r="L1969" s="165"/>
      <c r="M1969" s="165"/>
      <c r="N1969" s="165"/>
      <c r="O1969" s="165"/>
      <c r="P1969" s="165"/>
      <c r="Q1969" s="165"/>
      <c r="R1969" s="165"/>
      <c r="S1969" s="165"/>
      <c r="T1969" s="165"/>
      <c r="U1969" s="165"/>
      <c r="V1969" s="165"/>
      <c r="W1969" s="165"/>
      <c r="X1969" s="165"/>
    </row>
    <row r="1970" ht="18.75" customHeight="1">
      <c r="A1970" s="165">
        <v>1967.0</v>
      </c>
      <c r="B1970" s="167" t="s">
        <v>17422</v>
      </c>
      <c r="C1970" s="165"/>
      <c r="D1970" s="165"/>
      <c r="E1970" s="165"/>
      <c r="F1970" s="165"/>
      <c r="G1970" s="165"/>
      <c r="H1970" s="165"/>
      <c r="I1970" s="165"/>
      <c r="J1970" s="165"/>
      <c r="K1970" s="165"/>
      <c r="L1970" s="165"/>
      <c r="M1970" s="165"/>
      <c r="N1970" s="165"/>
      <c r="O1970" s="165"/>
      <c r="P1970" s="165"/>
      <c r="Q1970" s="165"/>
      <c r="R1970" s="165"/>
      <c r="S1970" s="165"/>
      <c r="T1970" s="165"/>
      <c r="U1970" s="165"/>
      <c r="V1970" s="165"/>
      <c r="W1970" s="165"/>
      <c r="X1970" s="165"/>
    </row>
    <row r="1971" ht="18.75" customHeight="1">
      <c r="A1971" s="165">
        <v>1968.0</v>
      </c>
      <c r="B1971" s="167" t="s">
        <v>17423</v>
      </c>
      <c r="C1971" s="165"/>
      <c r="D1971" s="165"/>
      <c r="E1971" s="165"/>
      <c r="F1971" s="165"/>
      <c r="G1971" s="165"/>
      <c r="H1971" s="165"/>
      <c r="I1971" s="165"/>
      <c r="J1971" s="165"/>
      <c r="K1971" s="165"/>
      <c r="L1971" s="165"/>
      <c r="M1971" s="165"/>
      <c r="N1971" s="165"/>
      <c r="O1971" s="165"/>
      <c r="P1971" s="165"/>
      <c r="Q1971" s="165"/>
      <c r="R1971" s="165"/>
      <c r="S1971" s="165"/>
      <c r="T1971" s="165"/>
      <c r="U1971" s="165"/>
      <c r="V1971" s="165"/>
      <c r="W1971" s="165"/>
      <c r="X1971" s="165"/>
    </row>
    <row r="1972" ht="18.75" customHeight="1">
      <c r="A1972" s="165">
        <v>1969.0</v>
      </c>
      <c r="B1972" s="167" t="s">
        <v>17424</v>
      </c>
      <c r="C1972" s="165"/>
      <c r="D1972" s="165"/>
      <c r="E1972" s="165"/>
      <c r="F1972" s="165"/>
      <c r="G1972" s="165"/>
      <c r="H1972" s="165"/>
      <c r="I1972" s="165"/>
      <c r="J1972" s="165"/>
      <c r="K1972" s="165"/>
      <c r="L1972" s="165"/>
      <c r="M1972" s="165"/>
      <c r="N1972" s="165"/>
      <c r="O1972" s="165"/>
      <c r="P1972" s="165"/>
      <c r="Q1972" s="165"/>
      <c r="R1972" s="165"/>
      <c r="S1972" s="165"/>
      <c r="T1972" s="165"/>
      <c r="U1972" s="165"/>
      <c r="V1972" s="165"/>
      <c r="W1972" s="165"/>
      <c r="X1972" s="165"/>
    </row>
    <row r="1973" ht="18.75" customHeight="1">
      <c r="A1973" s="165">
        <v>1970.0</v>
      </c>
      <c r="B1973" s="165" t="s">
        <v>17425</v>
      </c>
      <c r="C1973" s="165"/>
      <c r="D1973" s="165"/>
      <c r="E1973" s="165"/>
      <c r="F1973" s="165"/>
      <c r="G1973" s="165"/>
      <c r="H1973" s="165"/>
      <c r="I1973" s="165"/>
      <c r="J1973" s="165"/>
      <c r="K1973" s="165"/>
      <c r="L1973" s="165"/>
      <c r="M1973" s="165"/>
      <c r="N1973" s="165"/>
      <c r="O1973" s="165"/>
      <c r="P1973" s="165"/>
      <c r="Q1973" s="165"/>
      <c r="R1973" s="165"/>
      <c r="S1973" s="165"/>
      <c r="T1973" s="165"/>
      <c r="U1973" s="165"/>
      <c r="V1973" s="165"/>
      <c r="W1973" s="165"/>
      <c r="X1973" s="165"/>
    </row>
    <row r="1974" ht="18.75" customHeight="1">
      <c r="A1974" s="165">
        <v>1971.0</v>
      </c>
      <c r="B1974" s="165" t="s">
        <v>17426</v>
      </c>
      <c r="C1974" s="165"/>
      <c r="D1974" s="165"/>
      <c r="E1974" s="165"/>
      <c r="F1974" s="165"/>
      <c r="G1974" s="165"/>
      <c r="H1974" s="165"/>
      <c r="I1974" s="165"/>
      <c r="J1974" s="165"/>
      <c r="K1974" s="165"/>
      <c r="L1974" s="165"/>
      <c r="M1974" s="165"/>
      <c r="N1974" s="165"/>
      <c r="O1974" s="165"/>
      <c r="P1974" s="165"/>
      <c r="Q1974" s="165"/>
      <c r="R1974" s="165"/>
      <c r="S1974" s="165"/>
      <c r="T1974" s="165"/>
      <c r="U1974" s="165"/>
      <c r="V1974" s="165"/>
      <c r="W1974" s="165"/>
      <c r="X1974" s="165"/>
    </row>
    <row r="1975" ht="18.75" customHeight="1">
      <c r="A1975" s="165">
        <v>1972.0</v>
      </c>
      <c r="B1975" s="165" t="s">
        <v>17427</v>
      </c>
      <c r="C1975" s="165"/>
      <c r="D1975" s="165"/>
      <c r="E1975" s="165"/>
      <c r="F1975" s="165"/>
      <c r="G1975" s="165"/>
      <c r="H1975" s="165"/>
      <c r="I1975" s="165"/>
      <c r="J1975" s="165"/>
      <c r="K1975" s="165"/>
      <c r="L1975" s="165"/>
      <c r="M1975" s="165"/>
      <c r="N1975" s="165"/>
      <c r="O1975" s="165"/>
      <c r="P1975" s="165"/>
      <c r="Q1975" s="165"/>
      <c r="R1975" s="165"/>
      <c r="S1975" s="165"/>
      <c r="T1975" s="165"/>
      <c r="U1975" s="165"/>
      <c r="V1975" s="165"/>
      <c r="W1975" s="165"/>
      <c r="X1975" s="165"/>
    </row>
    <row r="1976" ht="18.75" customHeight="1">
      <c r="A1976" s="165">
        <v>1973.0</v>
      </c>
      <c r="B1976" s="167" t="s">
        <v>17428</v>
      </c>
      <c r="C1976" s="165"/>
      <c r="D1976" s="165"/>
      <c r="E1976" s="165"/>
      <c r="F1976" s="165"/>
      <c r="G1976" s="165"/>
      <c r="H1976" s="165"/>
      <c r="I1976" s="165"/>
      <c r="J1976" s="165"/>
      <c r="K1976" s="165"/>
      <c r="L1976" s="165"/>
      <c r="M1976" s="165"/>
      <c r="N1976" s="165"/>
      <c r="O1976" s="165"/>
      <c r="P1976" s="165"/>
      <c r="Q1976" s="165"/>
      <c r="R1976" s="165"/>
      <c r="S1976" s="165"/>
      <c r="T1976" s="165"/>
      <c r="U1976" s="165"/>
      <c r="V1976" s="165"/>
      <c r="W1976" s="165"/>
      <c r="X1976" s="165"/>
    </row>
    <row r="1977" ht="18.75" customHeight="1">
      <c r="A1977" s="165">
        <v>1974.0</v>
      </c>
      <c r="B1977" s="167" t="s">
        <v>17429</v>
      </c>
      <c r="C1977" s="165"/>
      <c r="D1977" s="165"/>
      <c r="E1977" s="165"/>
      <c r="F1977" s="165"/>
      <c r="G1977" s="165"/>
      <c r="H1977" s="165"/>
      <c r="I1977" s="165"/>
      <c r="J1977" s="165"/>
      <c r="K1977" s="165"/>
      <c r="L1977" s="165"/>
      <c r="M1977" s="165"/>
      <c r="N1977" s="165"/>
      <c r="O1977" s="165"/>
      <c r="P1977" s="165"/>
      <c r="Q1977" s="165"/>
      <c r="R1977" s="165"/>
      <c r="S1977" s="165"/>
      <c r="T1977" s="165"/>
      <c r="U1977" s="165"/>
      <c r="V1977" s="165"/>
      <c r="W1977" s="165"/>
      <c r="X1977" s="165"/>
    </row>
    <row r="1978" ht="18.75" customHeight="1">
      <c r="A1978" s="165">
        <v>1975.0</v>
      </c>
      <c r="B1978" s="165" t="s">
        <v>17430</v>
      </c>
      <c r="C1978" s="165"/>
      <c r="D1978" s="165"/>
      <c r="E1978" s="165"/>
      <c r="F1978" s="165"/>
      <c r="G1978" s="165"/>
      <c r="H1978" s="165"/>
      <c r="I1978" s="165"/>
      <c r="J1978" s="165"/>
      <c r="K1978" s="165"/>
      <c r="L1978" s="165"/>
      <c r="M1978" s="165"/>
      <c r="N1978" s="165"/>
      <c r="O1978" s="165"/>
      <c r="P1978" s="165"/>
      <c r="Q1978" s="165"/>
      <c r="R1978" s="165"/>
      <c r="S1978" s="165"/>
      <c r="T1978" s="165"/>
      <c r="U1978" s="165"/>
      <c r="V1978" s="165"/>
      <c r="W1978" s="165"/>
      <c r="X1978" s="165"/>
    </row>
    <row r="1979" ht="18.75" customHeight="1">
      <c r="A1979" s="165">
        <v>1976.0</v>
      </c>
      <c r="B1979" s="167" t="s">
        <v>17431</v>
      </c>
      <c r="C1979" s="165"/>
      <c r="D1979" s="165"/>
      <c r="E1979" s="165"/>
      <c r="F1979" s="165"/>
      <c r="G1979" s="165"/>
      <c r="H1979" s="165"/>
      <c r="I1979" s="165"/>
      <c r="J1979" s="165"/>
      <c r="K1979" s="165"/>
      <c r="L1979" s="165"/>
      <c r="M1979" s="165"/>
      <c r="N1979" s="165"/>
      <c r="O1979" s="165"/>
      <c r="P1979" s="165"/>
      <c r="Q1979" s="165"/>
      <c r="R1979" s="165"/>
      <c r="S1979" s="165"/>
      <c r="T1979" s="165"/>
      <c r="U1979" s="165"/>
      <c r="V1979" s="165"/>
      <c r="W1979" s="165"/>
      <c r="X1979" s="165"/>
    </row>
    <row r="1980" ht="18.75" customHeight="1">
      <c r="A1980" s="165">
        <v>1977.0</v>
      </c>
      <c r="B1980" s="167" t="s">
        <v>17432</v>
      </c>
      <c r="C1980" s="165"/>
      <c r="D1980" s="165"/>
      <c r="E1980" s="165"/>
      <c r="F1980" s="165"/>
      <c r="G1980" s="165"/>
      <c r="H1980" s="165"/>
      <c r="I1980" s="165"/>
      <c r="J1980" s="165"/>
      <c r="K1980" s="165"/>
      <c r="L1980" s="165"/>
      <c r="M1980" s="165"/>
      <c r="N1980" s="165"/>
      <c r="O1980" s="165"/>
      <c r="P1980" s="165"/>
      <c r="Q1980" s="165"/>
      <c r="R1980" s="165"/>
      <c r="S1980" s="165"/>
      <c r="T1980" s="165"/>
      <c r="U1980" s="165"/>
      <c r="V1980" s="165"/>
      <c r="W1980" s="165"/>
      <c r="X1980" s="165"/>
    </row>
    <row r="1981" ht="18.75" customHeight="1">
      <c r="A1981" s="165">
        <v>1978.0</v>
      </c>
      <c r="B1981" s="165" t="s">
        <v>17433</v>
      </c>
      <c r="C1981" s="165"/>
      <c r="D1981" s="165"/>
      <c r="E1981" s="165"/>
      <c r="F1981" s="165"/>
      <c r="G1981" s="165"/>
      <c r="H1981" s="165"/>
      <c r="I1981" s="165"/>
      <c r="J1981" s="165"/>
      <c r="K1981" s="165"/>
      <c r="L1981" s="165"/>
      <c r="M1981" s="165"/>
      <c r="N1981" s="165"/>
      <c r="O1981" s="165"/>
      <c r="P1981" s="165"/>
      <c r="Q1981" s="165"/>
      <c r="R1981" s="165"/>
      <c r="S1981" s="165"/>
      <c r="T1981" s="165"/>
      <c r="U1981" s="165"/>
      <c r="V1981" s="165"/>
      <c r="W1981" s="165"/>
      <c r="X1981" s="165"/>
    </row>
    <row r="1982" ht="18.75" customHeight="1">
      <c r="A1982" s="165">
        <v>1979.0</v>
      </c>
      <c r="B1982" s="165" t="s">
        <v>17434</v>
      </c>
      <c r="C1982" s="165"/>
      <c r="D1982" s="165"/>
      <c r="E1982" s="165"/>
      <c r="F1982" s="165"/>
      <c r="G1982" s="165"/>
      <c r="H1982" s="165"/>
      <c r="I1982" s="165"/>
      <c r="J1982" s="165"/>
      <c r="K1982" s="165"/>
      <c r="L1982" s="165"/>
      <c r="M1982" s="165"/>
      <c r="N1982" s="165"/>
      <c r="O1982" s="165"/>
      <c r="P1982" s="165"/>
      <c r="Q1982" s="165"/>
      <c r="R1982" s="165"/>
      <c r="S1982" s="165"/>
      <c r="T1982" s="165"/>
      <c r="U1982" s="165"/>
      <c r="V1982" s="165"/>
      <c r="W1982" s="165"/>
      <c r="X1982" s="165"/>
    </row>
    <row r="1983" ht="18.75" customHeight="1">
      <c r="A1983" s="165">
        <v>1980.0</v>
      </c>
      <c r="B1983" s="165" t="s">
        <v>17435</v>
      </c>
      <c r="C1983" s="165"/>
      <c r="D1983" s="165"/>
      <c r="E1983" s="165"/>
      <c r="F1983" s="165"/>
      <c r="G1983" s="165"/>
      <c r="H1983" s="165"/>
      <c r="I1983" s="165"/>
      <c r="J1983" s="165"/>
      <c r="K1983" s="165"/>
      <c r="L1983" s="165"/>
      <c r="M1983" s="165"/>
      <c r="N1983" s="165"/>
      <c r="O1983" s="165"/>
      <c r="P1983" s="165"/>
      <c r="Q1983" s="165"/>
      <c r="R1983" s="165"/>
      <c r="S1983" s="165"/>
      <c r="T1983" s="165"/>
      <c r="U1983" s="165"/>
      <c r="V1983" s="165"/>
      <c r="W1983" s="165"/>
      <c r="X1983" s="165"/>
    </row>
    <row r="1984" ht="18.75" customHeight="1">
      <c r="A1984" s="165">
        <v>1981.0</v>
      </c>
      <c r="B1984" s="165" t="s">
        <v>17436</v>
      </c>
      <c r="C1984" s="165"/>
      <c r="D1984" s="165"/>
      <c r="E1984" s="165"/>
      <c r="F1984" s="165"/>
      <c r="G1984" s="165"/>
      <c r="H1984" s="165"/>
      <c r="I1984" s="165"/>
      <c r="J1984" s="165"/>
      <c r="K1984" s="165"/>
      <c r="L1984" s="165"/>
      <c r="M1984" s="165"/>
      <c r="N1984" s="165"/>
      <c r="O1984" s="165"/>
      <c r="P1984" s="165"/>
      <c r="Q1984" s="165"/>
      <c r="R1984" s="165"/>
      <c r="S1984" s="165"/>
      <c r="T1984" s="165"/>
      <c r="U1984" s="165"/>
      <c r="V1984" s="165"/>
      <c r="W1984" s="165"/>
      <c r="X1984" s="165"/>
    </row>
    <row r="1985" ht="18.75" customHeight="1">
      <c r="A1985" s="165">
        <v>1982.0</v>
      </c>
      <c r="B1985" s="167" t="s">
        <v>17437</v>
      </c>
      <c r="C1985" s="165"/>
      <c r="D1985" s="165"/>
      <c r="E1985" s="165"/>
      <c r="F1985" s="165"/>
      <c r="G1985" s="165"/>
      <c r="H1985" s="165"/>
      <c r="I1985" s="165"/>
      <c r="J1985" s="165"/>
      <c r="K1985" s="165"/>
      <c r="L1985" s="165"/>
      <c r="M1985" s="165"/>
      <c r="N1985" s="165"/>
      <c r="O1985" s="165"/>
      <c r="P1985" s="165"/>
      <c r="Q1985" s="165"/>
      <c r="R1985" s="165"/>
      <c r="S1985" s="165"/>
      <c r="T1985" s="165"/>
      <c r="U1985" s="165"/>
      <c r="V1985" s="165"/>
      <c r="W1985" s="165"/>
      <c r="X1985" s="165"/>
    </row>
    <row r="1986" ht="18.75" customHeight="1">
      <c r="A1986" s="165">
        <v>1983.0</v>
      </c>
      <c r="B1986" s="165" t="s">
        <v>17438</v>
      </c>
      <c r="C1986" s="165"/>
      <c r="D1986" s="165"/>
      <c r="E1986" s="165"/>
      <c r="F1986" s="165"/>
      <c r="G1986" s="165"/>
      <c r="H1986" s="165"/>
      <c r="I1986" s="165"/>
      <c r="J1986" s="165"/>
      <c r="K1986" s="165"/>
      <c r="L1986" s="165"/>
      <c r="M1986" s="165"/>
      <c r="N1986" s="165"/>
      <c r="O1986" s="165"/>
      <c r="P1986" s="165"/>
      <c r="Q1986" s="165"/>
      <c r="R1986" s="165"/>
      <c r="S1986" s="165"/>
      <c r="T1986" s="165"/>
      <c r="U1986" s="165"/>
      <c r="V1986" s="165"/>
      <c r="W1986" s="165"/>
      <c r="X1986" s="165"/>
    </row>
    <row r="1987" ht="18.75" customHeight="1">
      <c r="A1987" s="165">
        <v>1984.0</v>
      </c>
      <c r="B1987" s="165" t="s">
        <v>17439</v>
      </c>
      <c r="C1987" s="165"/>
      <c r="D1987" s="165"/>
      <c r="E1987" s="165"/>
      <c r="F1987" s="165"/>
      <c r="G1987" s="165"/>
      <c r="H1987" s="165"/>
      <c r="I1987" s="165"/>
      <c r="J1987" s="165"/>
      <c r="K1987" s="165"/>
      <c r="L1987" s="165"/>
      <c r="M1987" s="165"/>
      <c r="N1987" s="165"/>
      <c r="O1987" s="165"/>
      <c r="P1987" s="165"/>
      <c r="Q1987" s="165"/>
      <c r="R1987" s="165"/>
      <c r="S1987" s="165"/>
      <c r="T1987" s="165"/>
      <c r="U1987" s="165"/>
      <c r="V1987" s="165"/>
      <c r="W1987" s="165"/>
      <c r="X1987" s="165"/>
    </row>
    <row r="1988" ht="18.75" customHeight="1">
      <c r="A1988" s="165">
        <v>1985.0</v>
      </c>
      <c r="B1988" s="165" t="s">
        <v>17440</v>
      </c>
      <c r="C1988" s="165"/>
      <c r="D1988" s="165"/>
      <c r="E1988" s="165"/>
      <c r="F1988" s="165"/>
      <c r="G1988" s="165"/>
      <c r="H1988" s="165"/>
      <c r="I1988" s="165"/>
      <c r="J1988" s="165"/>
      <c r="K1988" s="165"/>
      <c r="L1988" s="165"/>
      <c r="M1988" s="165"/>
      <c r="N1988" s="165"/>
      <c r="O1988" s="165"/>
      <c r="P1988" s="165"/>
      <c r="Q1988" s="165"/>
      <c r="R1988" s="165"/>
      <c r="S1988" s="165"/>
      <c r="T1988" s="165"/>
      <c r="U1988" s="165"/>
      <c r="V1988" s="165"/>
      <c r="W1988" s="165"/>
      <c r="X1988" s="165"/>
    </row>
    <row r="1989" ht="18.75" customHeight="1">
      <c r="A1989" s="165">
        <v>1986.0</v>
      </c>
      <c r="B1989" s="165" t="s">
        <v>17441</v>
      </c>
      <c r="C1989" s="165"/>
      <c r="D1989" s="165"/>
      <c r="E1989" s="165"/>
      <c r="F1989" s="165"/>
      <c r="G1989" s="165"/>
      <c r="H1989" s="165"/>
      <c r="I1989" s="165"/>
      <c r="J1989" s="165"/>
      <c r="K1989" s="165"/>
      <c r="L1989" s="165"/>
      <c r="M1989" s="165"/>
      <c r="N1989" s="165"/>
      <c r="O1989" s="165"/>
      <c r="P1989" s="165"/>
      <c r="Q1989" s="165"/>
      <c r="R1989" s="165"/>
      <c r="S1989" s="165"/>
      <c r="T1989" s="165"/>
      <c r="U1989" s="165"/>
      <c r="V1989" s="165"/>
      <c r="W1989" s="165"/>
      <c r="X1989" s="165"/>
    </row>
    <row r="1990" ht="18.75" customHeight="1">
      <c r="A1990" s="165">
        <v>1987.0</v>
      </c>
      <c r="B1990" s="165" t="s">
        <v>17442</v>
      </c>
      <c r="C1990" s="165"/>
      <c r="D1990" s="165"/>
      <c r="E1990" s="165"/>
      <c r="F1990" s="165"/>
      <c r="G1990" s="165"/>
      <c r="H1990" s="165"/>
      <c r="I1990" s="165"/>
      <c r="J1990" s="165"/>
      <c r="K1990" s="165"/>
      <c r="L1990" s="165"/>
      <c r="M1990" s="165"/>
      <c r="N1990" s="165"/>
      <c r="O1990" s="165"/>
      <c r="P1990" s="165"/>
      <c r="Q1990" s="165"/>
      <c r="R1990" s="165"/>
      <c r="S1990" s="165"/>
      <c r="T1990" s="165"/>
      <c r="U1990" s="165"/>
      <c r="V1990" s="165"/>
      <c r="W1990" s="165"/>
      <c r="X1990" s="165"/>
    </row>
    <row r="1991" ht="18.75" customHeight="1">
      <c r="A1991" s="165">
        <v>1988.0</v>
      </c>
      <c r="B1991" s="165" t="s">
        <v>17443</v>
      </c>
      <c r="C1991" s="165"/>
      <c r="D1991" s="165"/>
      <c r="E1991" s="165"/>
      <c r="F1991" s="165"/>
      <c r="G1991" s="165"/>
      <c r="H1991" s="165"/>
      <c r="I1991" s="165"/>
      <c r="J1991" s="165"/>
      <c r="K1991" s="165"/>
      <c r="L1991" s="165"/>
      <c r="M1991" s="165"/>
      <c r="N1991" s="165"/>
      <c r="O1991" s="165"/>
      <c r="P1991" s="165"/>
      <c r="Q1991" s="165"/>
      <c r="R1991" s="165"/>
      <c r="S1991" s="165"/>
      <c r="T1991" s="165"/>
      <c r="U1991" s="165"/>
      <c r="V1991" s="165"/>
      <c r="W1991" s="165"/>
      <c r="X1991" s="165"/>
    </row>
    <row r="1992" ht="18.75" customHeight="1">
      <c r="A1992" s="165">
        <v>1989.0</v>
      </c>
      <c r="B1992" s="167" t="s">
        <v>17444</v>
      </c>
      <c r="C1992" s="165"/>
      <c r="D1992" s="165"/>
      <c r="E1992" s="165"/>
      <c r="F1992" s="165"/>
      <c r="G1992" s="165"/>
      <c r="H1992" s="165"/>
      <c r="I1992" s="165"/>
      <c r="J1992" s="165"/>
      <c r="K1992" s="165"/>
      <c r="L1992" s="165"/>
      <c r="M1992" s="165"/>
      <c r="N1992" s="165"/>
      <c r="O1992" s="165"/>
      <c r="P1992" s="165"/>
      <c r="Q1992" s="165"/>
      <c r="R1992" s="165"/>
      <c r="S1992" s="165"/>
      <c r="T1992" s="165"/>
      <c r="U1992" s="165"/>
      <c r="V1992" s="165"/>
      <c r="W1992" s="165"/>
      <c r="X1992" s="165"/>
    </row>
    <row r="1993" ht="18.75" customHeight="1">
      <c r="A1993" s="165">
        <v>1990.0</v>
      </c>
      <c r="B1993" s="167" t="s">
        <v>17445</v>
      </c>
      <c r="C1993" s="165"/>
      <c r="D1993" s="165"/>
      <c r="E1993" s="165"/>
      <c r="F1993" s="165"/>
      <c r="G1993" s="165"/>
      <c r="H1993" s="165"/>
      <c r="I1993" s="165"/>
      <c r="J1993" s="165"/>
      <c r="K1993" s="165"/>
      <c r="L1993" s="165"/>
      <c r="M1993" s="165"/>
      <c r="N1993" s="165"/>
      <c r="O1993" s="165"/>
      <c r="P1993" s="165"/>
      <c r="Q1993" s="165"/>
      <c r="R1993" s="165"/>
      <c r="S1993" s="165"/>
      <c r="T1993" s="165"/>
      <c r="U1993" s="165"/>
      <c r="V1993" s="165"/>
      <c r="W1993" s="165"/>
      <c r="X1993" s="165"/>
    </row>
    <row r="1994" ht="18.75" customHeight="1">
      <c r="A1994" s="165">
        <v>1991.0</v>
      </c>
      <c r="B1994" s="167" t="s">
        <v>17446</v>
      </c>
      <c r="C1994" s="165"/>
      <c r="D1994" s="165"/>
      <c r="E1994" s="165"/>
      <c r="F1994" s="165"/>
      <c r="G1994" s="165"/>
      <c r="H1994" s="165"/>
      <c r="I1994" s="165"/>
      <c r="J1994" s="165"/>
      <c r="K1994" s="165"/>
      <c r="L1994" s="165"/>
      <c r="M1994" s="165"/>
      <c r="N1994" s="165"/>
      <c r="O1994" s="165"/>
      <c r="P1994" s="165"/>
      <c r="Q1994" s="165"/>
      <c r="R1994" s="165"/>
      <c r="S1994" s="165"/>
      <c r="T1994" s="165"/>
      <c r="U1994" s="165"/>
      <c r="V1994" s="165"/>
      <c r="W1994" s="165"/>
      <c r="X1994" s="165"/>
    </row>
    <row r="1995" ht="18.75" customHeight="1">
      <c r="A1995" s="165">
        <v>1992.0</v>
      </c>
      <c r="B1995" s="167" t="s">
        <v>17447</v>
      </c>
      <c r="C1995" s="165"/>
      <c r="D1995" s="165"/>
      <c r="E1995" s="165"/>
      <c r="F1995" s="165"/>
      <c r="G1995" s="165"/>
      <c r="H1995" s="165"/>
      <c r="I1995" s="165"/>
      <c r="J1995" s="165"/>
      <c r="K1995" s="165"/>
      <c r="L1995" s="165"/>
      <c r="M1995" s="165"/>
      <c r="N1995" s="165"/>
      <c r="O1995" s="165"/>
      <c r="P1995" s="165"/>
      <c r="Q1995" s="165"/>
      <c r="R1995" s="165"/>
      <c r="S1995" s="165"/>
      <c r="T1995" s="165"/>
      <c r="U1995" s="165"/>
      <c r="V1995" s="165"/>
      <c r="W1995" s="165"/>
      <c r="X1995" s="165"/>
    </row>
    <row r="1996" ht="18.75" customHeight="1">
      <c r="A1996" s="165">
        <v>1993.0</v>
      </c>
      <c r="B1996" s="168" t="s">
        <v>17448</v>
      </c>
      <c r="C1996" s="165"/>
      <c r="D1996" s="165"/>
      <c r="E1996" s="165"/>
      <c r="F1996" s="165"/>
      <c r="G1996" s="165"/>
      <c r="H1996" s="165"/>
      <c r="I1996" s="165"/>
      <c r="J1996" s="165"/>
      <c r="K1996" s="165"/>
      <c r="L1996" s="165"/>
      <c r="M1996" s="165"/>
      <c r="N1996" s="165"/>
      <c r="O1996" s="165"/>
      <c r="P1996" s="165"/>
      <c r="Q1996" s="165"/>
      <c r="R1996" s="165"/>
      <c r="S1996" s="165"/>
      <c r="T1996" s="165"/>
      <c r="U1996" s="165"/>
      <c r="V1996" s="165"/>
      <c r="W1996" s="165"/>
      <c r="X1996" s="165"/>
    </row>
    <row r="1997" ht="18.75" customHeight="1">
      <c r="A1997" s="165">
        <v>1994.0</v>
      </c>
      <c r="B1997" s="167" t="s">
        <v>17449</v>
      </c>
      <c r="C1997" s="165"/>
      <c r="D1997" s="165"/>
      <c r="E1997" s="165"/>
      <c r="F1997" s="165"/>
      <c r="G1997" s="165"/>
      <c r="H1997" s="165"/>
      <c r="I1997" s="165"/>
      <c r="J1997" s="165"/>
      <c r="K1997" s="165"/>
      <c r="L1997" s="165"/>
      <c r="M1997" s="165"/>
      <c r="N1997" s="165"/>
      <c r="O1997" s="165"/>
      <c r="P1997" s="165"/>
      <c r="Q1997" s="165"/>
      <c r="R1997" s="165"/>
      <c r="S1997" s="165"/>
      <c r="T1997" s="165"/>
      <c r="U1997" s="165"/>
      <c r="V1997" s="165"/>
      <c r="W1997" s="165"/>
      <c r="X1997" s="165"/>
    </row>
    <row r="1998" ht="18.75" customHeight="1">
      <c r="A1998" s="165">
        <v>1995.0</v>
      </c>
      <c r="B1998" s="167" t="s">
        <v>17450</v>
      </c>
      <c r="C1998" s="165"/>
      <c r="D1998" s="165"/>
      <c r="E1998" s="165"/>
      <c r="F1998" s="165"/>
      <c r="G1998" s="165"/>
      <c r="H1998" s="165"/>
      <c r="I1998" s="165"/>
      <c r="J1998" s="165"/>
      <c r="K1998" s="165"/>
      <c r="L1998" s="165"/>
      <c r="M1998" s="165"/>
      <c r="N1998" s="165"/>
      <c r="O1998" s="165"/>
      <c r="P1998" s="165"/>
      <c r="Q1998" s="165"/>
      <c r="R1998" s="165"/>
      <c r="S1998" s="165"/>
      <c r="T1998" s="165"/>
      <c r="U1998" s="165"/>
      <c r="V1998" s="165"/>
      <c r="W1998" s="165"/>
      <c r="X1998" s="165"/>
    </row>
    <row r="1999" ht="18.75" customHeight="1">
      <c r="A1999" s="165">
        <v>1996.0</v>
      </c>
      <c r="B1999" s="167" t="s">
        <v>17451</v>
      </c>
      <c r="C1999" s="165"/>
      <c r="D1999" s="165"/>
      <c r="E1999" s="165"/>
      <c r="F1999" s="165"/>
      <c r="G1999" s="165"/>
      <c r="H1999" s="165"/>
      <c r="I1999" s="165"/>
      <c r="J1999" s="165"/>
      <c r="K1999" s="165"/>
      <c r="L1999" s="165"/>
      <c r="M1999" s="165"/>
      <c r="N1999" s="165"/>
      <c r="O1999" s="165"/>
      <c r="P1999" s="165"/>
      <c r="Q1999" s="165"/>
      <c r="R1999" s="165"/>
      <c r="S1999" s="165"/>
      <c r="T1999" s="165"/>
      <c r="U1999" s="165"/>
      <c r="V1999" s="165"/>
      <c r="W1999" s="165"/>
      <c r="X1999" s="165"/>
    </row>
    <row r="2000" ht="18.75" customHeight="1">
      <c r="A2000" s="165">
        <v>1997.0</v>
      </c>
      <c r="B2000" s="167" t="s">
        <v>17452</v>
      </c>
      <c r="C2000" s="165"/>
      <c r="D2000" s="165"/>
      <c r="E2000" s="165"/>
      <c r="F2000" s="165"/>
      <c r="G2000" s="165"/>
      <c r="H2000" s="165"/>
      <c r="I2000" s="165"/>
      <c r="J2000" s="165"/>
      <c r="K2000" s="165"/>
      <c r="L2000" s="165"/>
      <c r="M2000" s="165"/>
      <c r="N2000" s="165"/>
      <c r="O2000" s="165"/>
      <c r="P2000" s="165"/>
      <c r="Q2000" s="165"/>
      <c r="R2000" s="165"/>
      <c r="S2000" s="165"/>
      <c r="T2000" s="165"/>
      <c r="U2000" s="165"/>
      <c r="V2000" s="165"/>
      <c r="W2000" s="165"/>
      <c r="X2000" s="165"/>
    </row>
    <row r="2001" ht="18.75" customHeight="1">
      <c r="A2001" s="165">
        <v>1998.0</v>
      </c>
      <c r="B2001" s="167" t="s">
        <v>17453</v>
      </c>
      <c r="C2001" s="165"/>
      <c r="D2001" s="165"/>
      <c r="E2001" s="165"/>
      <c r="F2001" s="165"/>
      <c r="G2001" s="165"/>
      <c r="H2001" s="165"/>
      <c r="I2001" s="165"/>
      <c r="J2001" s="165"/>
      <c r="K2001" s="165"/>
      <c r="L2001" s="165"/>
      <c r="M2001" s="165"/>
      <c r="N2001" s="165"/>
      <c r="O2001" s="165"/>
      <c r="P2001" s="165"/>
      <c r="Q2001" s="165"/>
      <c r="R2001" s="165"/>
      <c r="S2001" s="165"/>
      <c r="T2001" s="165"/>
      <c r="U2001" s="165"/>
      <c r="V2001" s="165"/>
      <c r="W2001" s="165"/>
      <c r="X2001" s="165"/>
    </row>
    <row r="2002" ht="18.75" customHeight="1">
      <c r="A2002" s="165">
        <v>1999.0</v>
      </c>
      <c r="B2002" s="167" t="s">
        <v>17454</v>
      </c>
      <c r="C2002" s="165"/>
      <c r="D2002" s="165"/>
      <c r="E2002" s="165"/>
      <c r="F2002" s="165"/>
      <c r="G2002" s="165"/>
      <c r="H2002" s="165"/>
      <c r="I2002" s="165"/>
      <c r="J2002" s="165"/>
      <c r="K2002" s="165"/>
      <c r="L2002" s="165"/>
      <c r="M2002" s="165"/>
      <c r="N2002" s="165"/>
      <c r="O2002" s="165"/>
      <c r="P2002" s="165"/>
      <c r="Q2002" s="165"/>
      <c r="R2002" s="165"/>
      <c r="S2002" s="165"/>
      <c r="T2002" s="165"/>
      <c r="U2002" s="165"/>
      <c r="V2002" s="165"/>
      <c r="W2002" s="165"/>
      <c r="X2002" s="165"/>
    </row>
    <row r="2003" ht="18.75" customHeight="1">
      <c r="A2003" s="186">
        <v>2000.0</v>
      </c>
      <c r="B2003" s="187" t="s">
        <v>17144</v>
      </c>
      <c r="C2003" s="186"/>
      <c r="D2003" s="186"/>
      <c r="E2003" s="186"/>
      <c r="F2003" s="186"/>
      <c r="G2003" s="186"/>
      <c r="H2003" s="186"/>
      <c r="I2003" s="186"/>
      <c r="J2003" s="186"/>
      <c r="K2003" s="186"/>
      <c r="L2003" s="186"/>
      <c r="M2003" s="186"/>
      <c r="N2003" s="186"/>
      <c r="O2003" s="186"/>
      <c r="P2003" s="186"/>
      <c r="Q2003" s="186"/>
      <c r="R2003" s="186"/>
      <c r="S2003" s="186"/>
      <c r="T2003" s="186"/>
      <c r="U2003" s="186"/>
      <c r="V2003" s="186"/>
      <c r="W2003" s="186"/>
      <c r="X2003" s="186"/>
    </row>
    <row r="2004" ht="18.75" customHeight="1">
      <c r="A2004" s="165">
        <v>2001.0</v>
      </c>
      <c r="B2004" s="167" t="s">
        <v>17455</v>
      </c>
      <c r="C2004" s="165"/>
      <c r="D2004" s="165"/>
      <c r="E2004" s="165"/>
      <c r="F2004" s="165"/>
      <c r="G2004" s="165"/>
      <c r="H2004" s="165"/>
      <c r="I2004" s="165"/>
      <c r="J2004" s="165"/>
      <c r="K2004" s="165"/>
      <c r="L2004" s="165"/>
      <c r="M2004" s="165"/>
      <c r="N2004" s="165"/>
      <c r="O2004" s="165"/>
      <c r="P2004" s="165"/>
      <c r="Q2004" s="165"/>
      <c r="R2004" s="165"/>
      <c r="S2004" s="165"/>
      <c r="T2004" s="165"/>
      <c r="U2004" s="165"/>
      <c r="V2004" s="165"/>
      <c r="W2004" s="165"/>
      <c r="X2004" s="165"/>
    </row>
    <row r="2005" ht="18.75" customHeight="1">
      <c r="A2005" s="165">
        <v>2002.0</v>
      </c>
      <c r="B2005" s="167" t="s">
        <v>17456</v>
      </c>
      <c r="C2005" s="165"/>
      <c r="D2005" s="165"/>
      <c r="E2005" s="165"/>
      <c r="F2005" s="165"/>
      <c r="G2005" s="165"/>
      <c r="H2005" s="165"/>
      <c r="I2005" s="165"/>
      <c r="J2005" s="165"/>
      <c r="K2005" s="165"/>
      <c r="L2005" s="165"/>
      <c r="M2005" s="165"/>
      <c r="N2005" s="165"/>
      <c r="O2005" s="165"/>
      <c r="P2005" s="165"/>
      <c r="Q2005" s="165"/>
      <c r="R2005" s="165"/>
      <c r="S2005" s="165"/>
      <c r="T2005" s="165"/>
      <c r="U2005" s="165"/>
      <c r="V2005" s="165"/>
      <c r="W2005" s="165"/>
      <c r="X2005" s="165"/>
    </row>
    <row r="2006" ht="18.75" customHeight="1">
      <c r="A2006" s="165">
        <v>2003.0</v>
      </c>
      <c r="B2006" s="167" t="s">
        <v>17457</v>
      </c>
      <c r="C2006" s="165"/>
      <c r="D2006" s="165"/>
      <c r="E2006" s="165"/>
      <c r="F2006" s="165"/>
      <c r="G2006" s="165"/>
      <c r="H2006" s="165"/>
      <c r="I2006" s="165"/>
      <c r="J2006" s="165"/>
      <c r="K2006" s="165"/>
      <c r="L2006" s="165"/>
      <c r="M2006" s="165"/>
      <c r="N2006" s="165"/>
      <c r="O2006" s="165"/>
      <c r="P2006" s="165"/>
      <c r="Q2006" s="165"/>
      <c r="R2006" s="165"/>
      <c r="S2006" s="165"/>
      <c r="T2006" s="165"/>
      <c r="U2006" s="165"/>
      <c r="V2006" s="165"/>
      <c r="W2006" s="165"/>
      <c r="X2006" s="165"/>
    </row>
    <row r="2007" ht="18.75" customHeight="1">
      <c r="A2007" s="165">
        <v>2004.0</v>
      </c>
      <c r="B2007" s="167" t="s">
        <v>17458</v>
      </c>
      <c r="C2007" s="165"/>
      <c r="D2007" s="165"/>
      <c r="E2007" s="165"/>
      <c r="F2007" s="165"/>
      <c r="G2007" s="165"/>
      <c r="H2007" s="165"/>
      <c r="I2007" s="165"/>
      <c r="J2007" s="165"/>
      <c r="K2007" s="165"/>
      <c r="L2007" s="165"/>
      <c r="M2007" s="165"/>
      <c r="N2007" s="165"/>
      <c r="O2007" s="165"/>
      <c r="P2007" s="165"/>
      <c r="Q2007" s="165"/>
      <c r="R2007" s="165"/>
      <c r="S2007" s="165"/>
      <c r="T2007" s="165"/>
      <c r="U2007" s="165"/>
      <c r="V2007" s="165"/>
      <c r="W2007" s="165"/>
      <c r="X2007" s="165"/>
    </row>
    <row r="2008" ht="18.75" customHeight="1">
      <c r="A2008" s="165">
        <v>2005.0</v>
      </c>
      <c r="B2008" s="167" t="s">
        <v>17459</v>
      </c>
      <c r="C2008" s="165"/>
      <c r="D2008" s="165"/>
      <c r="E2008" s="165"/>
      <c r="F2008" s="165"/>
      <c r="G2008" s="165"/>
      <c r="H2008" s="165"/>
      <c r="I2008" s="165"/>
      <c r="J2008" s="165"/>
      <c r="K2008" s="165"/>
      <c r="L2008" s="165"/>
      <c r="M2008" s="165"/>
      <c r="N2008" s="165"/>
      <c r="O2008" s="165"/>
      <c r="P2008" s="165"/>
      <c r="Q2008" s="165"/>
      <c r="R2008" s="165"/>
      <c r="S2008" s="165"/>
      <c r="T2008" s="165"/>
      <c r="U2008" s="165"/>
      <c r="V2008" s="165"/>
      <c r="W2008" s="165"/>
      <c r="X2008" s="165"/>
    </row>
    <row r="2009" ht="18.75" customHeight="1">
      <c r="A2009" s="165">
        <v>2006.0</v>
      </c>
      <c r="B2009" s="167" t="s">
        <v>17460</v>
      </c>
      <c r="C2009" s="165"/>
      <c r="D2009" s="165"/>
      <c r="E2009" s="165"/>
      <c r="F2009" s="165"/>
      <c r="G2009" s="165"/>
      <c r="H2009" s="165"/>
      <c r="I2009" s="165"/>
      <c r="J2009" s="165"/>
      <c r="K2009" s="165"/>
      <c r="L2009" s="165"/>
      <c r="M2009" s="165"/>
      <c r="N2009" s="165"/>
      <c r="O2009" s="165"/>
      <c r="P2009" s="165"/>
      <c r="Q2009" s="165"/>
      <c r="R2009" s="165"/>
      <c r="S2009" s="165"/>
      <c r="T2009" s="165"/>
      <c r="U2009" s="165"/>
      <c r="V2009" s="165"/>
      <c r="W2009" s="165"/>
      <c r="X2009" s="165"/>
    </row>
    <row r="2010" ht="18.75" customHeight="1">
      <c r="A2010" s="165">
        <v>2007.0</v>
      </c>
      <c r="B2010" s="167" t="s">
        <v>17461</v>
      </c>
      <c r="C2010" s="165"/>
      <c r="D2010" s="165"/>
      <c r="E2010" s="165"/>
      <c r="F2010" s="165"/>
      <c r="G2010" s="165"/>
      <c r="H2010" s="165"/>
      <c r="I2010" s="165"/>
      <c r="J2010" s="165"/>
      <c r="K2010" s="165"/>
      <c r="L2010" s="165"/>
      <c r="M2010" s="165"/>
      <c r="N2010" s="165"/>
      <c r="O2010" s="165"/>
      <c r="P2010" s="165"/>
      <c r="Q2010" s="165"/>
      <c r="R2010" s="165"/>
      <c r="S2010" s="165"/>
      <c r="T2010" s="165"/>
      <c r="U2010" s="165"/>
      <c r="V2010" s="165"/>
      <c r="W2010" s="165"/>
      <c r="X2010" s="165"/>
    </row>
    <row r="2011" ht="18.75" customHeight="1">
      <c r="A2011" s="165">
        <v>2008.0</v>
      </c>
      <c r="B2011" s="167" t="s">
        <v>17462</v>
      </c>
      <c r="C2011" s="165"/>
      <c r="D2011" s="165"/>
      <c r="E2011" s="165"/>
      <c r="F2011" s="165"/>
      <c r="G2011" s="165"/>
      <c r="H2011" s="165"/>
      <c r="I2011" s="165"/>
      <c r="J2011" s="165"/>
      <c r="K2011" s="165"/>
      <c r="L2011" s="165"/>
      <c r="M2011" s="165"/>
      <c r="N2011" s="165"/>
      <c r="O2011" s="165"/>
      <c r="P2011" s="165"/>
      <c r="Q2011" s="165"/>
      <c r="R2011" s="165"/>
      <c r="S2011" s="165"/>
      <c r="T2011" s="165"/>
      <c r="U2011" s="165"/>
      <c r="V2011" s="165"/>
      <c r="W2011" s="165"/>
      <c r="X2011" s="165"/>
    </row>
    <row r="2012" ht="18.75" customHeight="1">
      <c r="A2012" s="165">
        <v>2009.0</v>
      </c>
      <c r="B2012" s="167" t="s">
        <v>17463</v>
      </c>
      <c r="C2012" s="165"/>
      <c r="D2012" s="165"/>
      <c r="E2012" s="165"/>
      <c r="F2012" s="165"/>
      <c r="G2012" s="165"/>
      <c r="H2012" s="165"/>
      <c r="I2012" s="165"/>
      <c r="J2012" s="165"/>
      <c r="K2012" s="165"/>
      <c r="L2012" s="165"/>
      <c r="M2012" s="165"/>
      <c r="N2012" s="165"/>
      <c r="O2012" s="165"/>
      <c r="P2012" s="165"/>
      <c r="Q2012" s="165"/>
      <c r="R2012" s="165"/>
      <c r="S2012" s="165"/>
      <c r="T2012" s="165"/>
      <c r="U2012" s="165"/>
      <c r="V2012" s="165"/>
      <c r="W2012" s="165"/>
      <c r="X2012" s="165"/>
    </row>
    <row r="2013" ht="18.75" customHeight="1">
      <c r="A2013" s="165">
        <v>2010.0</v>
      </c>
      <c r="B2013" s="167" t="s">
        <v>17464</v>
      </c>
      <c r="C2013" s="165"/>
      <c r="D2013" s="165"/>
      <c r="E2013" s="165"/>
      <c r="F2013" s="165"/>
      <c r="G2013" s="165"/>
      <c r="H2013" s="165"/>
      <c r="I2013" s="165"/>
      <c r="J2013" s="165"/>
      <c r="K2013" s="165"/>
      <c r="L2013" s="165"/>
      <c r="M2013" s="165"/>
      <c r="N2013" s="165"/>
      <c r="O2013" s="165"/>
      <c r="P2013" s="165"/>
      <c r="Q2013" s="165"/>
      <c r="R2013" s="165"/>
      <c r="S2013" s="165"/>
      <c r="T2013" s="165"/>
      <c r="U2013" s="165"/>
      <c r="V2013" s="165"/>
      <c r="W2013" s="165"/>
      <c r="X2013" s="165"/>
    </row>
    <row r="2014" ht="18.75" customHeight="1">
      <c r="A2014" s="165">
        <v>2011.0</v>
      </c>
      <c r="B2014" s="167" t="s">
        <v>17465</v>
      </c>
      <c r="C2014" s="165"/>
      <c r="D2014" s="165"/>
      <c r="E2014" s="165"/>
      <c r="F2014" s="165"/>
      <c r="G2014" s="165"/>
      <c r="H2014" s="165"/>
      <c r="I2014" s="165"/>
      <c r="J2014" s="165"/>
      <c r="K2014" s="165"/>
      <c r="L2014" s="165"/>
      <c r="M2014" s="165"/>
      <c r="N2014" s="165"/>
      <c r="O2014" s="165"/>
      <c r="P2014" s="165"/>
      <c r="Q2014" s="165"/>
      <c r="R2014" s="165"/>
      <c r="S2014" s="165"/>
      <c r="T2014" s="165"/>
      <c r="U2014" s="165"/>
      <c r="V2014" s="165"/>
      <c r="W2014" s="165"/>
      <c r="X2014" s="165"/>
    </row>
    <row r="2015" ht="18.75" customHeight="1">
      <c r="A2015" s="165">
        <v>2012.0</v>
      </c>
      <c r="B2015" s="167" t="s">
        <v>17466</v>
      </c>
      <c r="C2015" s="165"/>
      <c r="D2015" s="165"/>
      <c r="E2015" s="165"/>
      <c r="F2015" s="165"/>
      <c r="G2015" s="165"/>
      <c r="H2015" s="165"/>
      <c r="I2015" s="165"/>
      <c r="J2015" s="165"/>
      <c r="K2015" s="165"/>
      <c r="L2015" s="165"/>
      <c r="M2015" s="165"/>
      <c r="N2015" s="165"/>
      <c r="O2015" s="165"/>
      <c r="P2015" s="165"/>
      <c r="Q2015" s="165"/>
      <c r="R2015" s="165"/>
      <c r="S2015" s="165"/>
      <c r="T2015" s="165"/>
      <c r="U2015" s="165"/>
      <c r="V2015" s="165"/>
      <c r="W2015" s="165"/>
      <c r="X2015" s="165"/>
    </row>
    <row r="2016" ht="18.75" customHeight="1">
      <c r="A2016" s="165">
        <v>2013.0</v>
      </c>
      <c r="B2016" s="167" t="s">
        <v>17467</v>
      </c>
      <c r="C2016" s="165"/>
      <c r="D2016" s="165"/>
      <c r="E2016" s="165"/>
      <c r="F2016" s="165"/>
      <c r="G2016" s="165"/>
      <c r="H2016" s="165"/>
      <c r="I2016" s="165"/>
      <c r="J2016" s="165"/>
      <c r="K2016" s="165"/>
      <c r="L2016" s="165"/>
      <c r="M2016" s="165"/>
      <c r="N2016" s="165"/>
      <c r="O2016" s="165"/>
      <c r="P2016" s="165"/>
      <c r="Q2016" s="165"/>
      <c r="R2016" s="165"/>
      <c r="S2016" s="165"/>
      <c r="T2016" s="165"/>
      <c r="U2016" s="165"/>
      <c r="V2016" s="165"/>
      <c r="W2016" s="165"/>
      <c r="X2016" s="165"/>
    </row>
    <row r="2017" ht="18.75" customHeight="1">
      <c r="A2017" s="165">
        <v>2014.0</v>
      </c>
      <c r="B2017" s="167" t="s">
        <v>17468</v>
      </c>
      <c r="C2017" s="165"/>
      <c r="D2017" s="165"/>
      <c r="E2017" s="165"/>
      <c r="F2017" s="165"/>
      <c r="G2017" s="165"/>
      <c r="H2017" s="165"/>
      <c r="I2017" s="165"/>
      <c r="J2017" s="165"/>
      <c r="K2017" s="165"/>
      <c r="L2017" s="165"/>
      <c r="M2017" s="165"/>
      <c r="N2017" s="165"/>
      <c r="O2017" s="165"/>
      <c r="P2017" s="165"/>
      <c r="Q2017" s="165"/>
      <c r="R2017" s="165"/>
      <c r="S2017" s="165"/>
      <c r="T2017" s="165"/>
      <c r="U2017" s="165"/>
      <c r="V2017" s="165"/>
      <c r="W2017" s="165"/>
      <c r="X2017" s="165"/>
    </row>
    <row r="2018" ht="18.75" customHeight="1">
      <c r="A2018" s="165">
        <v>2015.0</v>
      </c>
      <c r="B2018" s="167" t="s">
        <v>17469</v>
      </c>
      <c r="C2018" s="165"/>
      <c r="D2018" s="165"/>
      <c r="E2018" s="165"/>
      <c r="F2018" s="165"/>
      <c r="G2018" s="165"/>
      <c r="H2018" s="165"/>
      <c r="I2018" s="165"/>
      <c r="J2018" s="165"/>
      <c r="K2018" s="165"/>
      <c r="L2018" s="165"/>
      <c r="M2018" s="165"/>
      <c r="N2018" s="165"/>
      <c r="O2018" s="165"/>
      <c r="P2018" s="165"/>
      <c r="Q2018" s="165"/>
      <c r="R2018" s="165"/>
      <c r="S2018" s="165"/>
      <c r="T2018" s="165"/>
      <c r="U2018" s="165"/>
      <c r="V2018" s="165"/>
      <c r="W2018" s="165"/>
      <c r="X2018" s="165"/>
    </row>
    <row r="2019" ht="18.75" customHeight="1">
      <c r="A2019" s="165">
        <v>2016.0</v>
      </c>
      <c r="B2019" s="165" t="s">
        <v>17470</v>
      </c>
      <c r="C2019" s="165"/>
      <c r="D2019" s="165"/>
      <c r="E2019" s="165"/>
      <c r="F2019" s="165"/>
      <c r="G2019" s="165"/>
      <c r="H2019" s="165"/>
      <c r="I2019" s="165"/>
      <c r="J2019" s="165"/>
      <c r="K2019" s="165"/>
      <c r="L2019" s="165"/>
      <c r="M2019" s="165"/>
      <c r="N2019" s="165"/>
      <c r="O2019" s="165"/>
      <c r="P2019" s="165"/>
      <c r="Q2019" s="165"/>
      <c r="R2019" s="165"/>
      <c r="S2019" s="165"/>
      <c r="T2019" s="165"/>
      <c r="U2019" s="165"/>
      <c r="V2019" s="165"/>
      <c r="W2019" s="165"/>
      <c r="X2019" s="165"/>
    </row>
    <row r="2020" ht="18.75" customHeight="1">
      <c r="A2020" s="165">
        <v>2017.0</v>
      </c>
      <c r="B2020" s="165" t="s">
        <v>17471</v>
      </c>
      <c r="C2020" s="165"/>
      <c r="D2020" s="165"/>
      <c r="E2020" s="165"/>
      <c r="F2020" s="165"/>
      <c r="G2020" s="165"/>
      <c r="H2020" s="165"/>
      <c r="I2020" s="165"/>
      <c r="J2020" s="165"/>
      <c r="K2020" s="165"/>
      <c r="L2020" s="165"/>
      <c r="M2020" s="165"/>
      <c r="N2020" s="165"/>
      <c r="O2020" s="165"/>
      <c r="P2020" s="165"/>
      <c r="Q2020" s="165"/>
      <c r="R2020" s="165"/>
      <c r="S2020" s="165"/>
      <c r="T2020" s="165"/>
      <c r="U2020" s="165"/>
      <c r="V2020" s="165"/>
      <c r="W2020" s="165"/>
      <c r="X2020" s="165"/>
    </row>
    <row r="2021" ht="18.75" customHeight="1">
      <c r="A2021" s="165">
        <v>2018.0</v>
      </c>
      <c r="B2021" s="165" t="s">
        <v>17472</v>
      </c>
      <c r="C2021" s="165"/>
      <c r="D2021" s="165"/>
      <c r="E2021" s="165"/>
      <c r="F2021" s="165"/>
      <c r="G2021" s="165"/>
      <c r="H2021" s="165"/>
      <c r="I2021" s="165"/>
      <c r="J2021" s="165"/>
      <c r="K2021" s="165"/>
      <c r="L2021" s="165"/>
      <c r="M2021" s="165"/>
      <c r="N2021" s="165"/>
      <c r="O2021" s="165"/>
      <c r="P2021" s="165"/>
      <c r="Q2021" s="165"/>
      <c r="R2021" s="165"/>
      <c r="S2021" s="165"/>
      <c r="T2021" s="165"/>
      <c r="U2021" s="165"/>
      <c r="V2021" s="165"/>
      <c r="W2021" s="165"/>
      <c r="X2021" s="165"/>
    </row>
    <row r="2022" ht="18.75" customHeight="1">
      <c r="A2022" s="165">
        <v>2019.0</v>
      </c>
      <c r="B2022" s="167" t="s">
        <v>17473</v>
      </c>
      <c r="C2022" s="165"/>
      <c r="D2022" s="165"/>
      <c r="E2022" s="165"/>
      <c r="F2022" s="165"/>
      <c r="G2022" s="165"/>
      <c r="H2022" s="165"/>
      <c r="I2022" s="165"/>
      <c r="J2022" s="165"/>
      <c r="K2022" s="165"/>
      <c r="L2022" s="165"/>
      <c r="M2022" s="165"/>
      <c r="N2022" s="165"/>
      <c r="O2022" s="165"/>
      <c r="P2022" s="165"/>
      <c r="Q2022" s="165"/>
      <c r="R2022" s="165"/>
      <c r="S2022" s="165"/>
      <c r="T2022" s="165"/>
      <c r="U2022" s="165"/>
      <c r="V2022" s="165"/>
      <c r="W2022" s="165"/>
      <c r="X2022" s="165"/>
    </row>
    <row r="2023" ht="18.75" customHeight="1">
      <c r="A2023" s="165">
        <v>2020.0</v>
      </c>
      <c r="B2023" s="167" t="s">
        <v>17474</v>
      </c>
      <c r="C2023" s="165"/>
      <c r="D2023" s="165"/>
      <c r="E2023" s="165"/>
      <c r="F2023" s="165"/>
      <c r="G2023" s="165"/>
      <c r="H2023" s="165"/>
      <c r="I2023" s="165"/>
      <c r="J2023" s="165"/>
      <c r="K2023" s="165"/>
      <c r="L2023" s="165"/>
      <c r="M2023" s="165"/>
      <c r="N2023" s="165"/>
      <c r="O2023" s="165"/>
      <c r="P2023" s="165"/>
      <c r="Q2023" s="165"/>
      <c r="R2023" s="165"/>
      <c r="S2023" s="165"/>
      <c r="T2023" s="165"/>
      <c r="U2023" s="165"/>
      <c r="V2023" s="165"/>
      <c r="W2023" s="165"/>
      <c r="X2023" s="165"/>
    </row>
    <row r="2024" ht="18.75" customHeight="1">
      <c r="A2024" s="165">
        <v>2021.0</v>
      </c>
      <c r="B2024" s="167" t="s">
        <v>17475</v>
      </c>
      <c r="C2024" s="165"/>
      <c r="D2024" s="165"/>
      <c r="E2024" s="165"/>
      <c r="F2024" s="165"/>
      <c r="G2024" s="165"/>
      <c r="H2024" s="165"/>
      <c r="I2024" s="165"/>
      <c r="J2024" s="165"/>
      <c r="K2024" s="165"/>
      <c r="L2024" s="165"/>
      <c r="M2024" s="165"/>
      <c r="N2024" s="165"/>
      <c r="O2024" s="165"/>
      <c r="P2024" s="165"/>
      <c r="Q2024" s="165"/>
      <c r="R2024" s="165"/>
      <c r="S2024" s="165"/>
      <c r="T2024" s="165"/>
      <c r="U2024" s="165"/>
      <c r="V2024" s="165"/>
      <c r="W2024" s="165"/>
      <c r="X2024" s="165"/>
    </row>
    <row r="2025" ht="18.75" customHeight="1">
      <c r="A2025" s="165">
        <v>2022.0</v>
      </c>
      <c r="B2025" s="167" t="s">
        <v>17476</v>
      </c>
      <c r="C2025" s="165"/>
      <c r="D2025" s="165"/>
      <c r="E2025" s="165"/>
      <c r="F2025" s="165"/>
      <c r="G2025" s="165"/>
      <c r="H2025" s="165"/>
      <c r="I2025" s="165"/>
      <c r="J2025" s="165"/>
      <c r="K2025" s="165"/>
      <c r="L2025" s="165"/>
      <c r="M2025" s="165"/>
      <c r="N2025" s="165"/>
      <c r="O2025" s="165"/>
      <c r="P2025" s="165"/>
      <c r="Q2025" s="165"/>
      <c r="R2025" s="165"/>
      <c r="S2025" s="165"/>
      <c r="T2025" s="165"/>
      <c r="U2025" s="165"/>
      <c r="V2025" s="165"/>
      <c r="W2025" s="165"/>
      <c r="X2025" s="165"/>
    </row>
    <row r="2026" ht="18.75" customHeight="1">
      <c r="A2026" s="165">
        <v>2023.0</v>
      </c>
      <c r="B2026" s="167" t="s">
        <v>17477</v>
      </c>
      <c r="C2026" s="165"/>
      <c r="D2026" s="165"/>
      <c r="E2026" s="165"/>
      <c r="F2026" s="165"/>
      <c r="G2026" s="165"/>
      <c r="H2026" s="165"/>
      <c r="I2026" s="165"/>
      <c r="J2026" s="165"/>
      <c r="K2026" s="165"/>
      <c r="L2026" s="165"/>
      <c r="M2026" s="165"/>
      <c r="N2026" s="165"/>
      <c r="O2026" s="165"/>
      <c r="P2026" s="165"/>
      <c r="Q2026" s="165"/>
      <c r="R2026" s="165"/>
      <c r="S2026" s="165"/>
      <c r="T2026" s="165"/>
      <c r="U2026" s="165"/>
      <c r="V2026" s="165"/>
      <c r="W2026" s="165"/>
      <c r="X2026" s="165"/>
    </row>
    <row r="2027" ht="18.75" customHeight="1">
      <c r="A2027" s="165">
        <v>2024.0</v>
      </c>
      <c r="B2027" s="167" t="s">
        <v>17478</v>
      </c>
      <c r="C2027" s="165"/>
      <c r="D2027" s="165"/>
      <c r="E2027" s="165"/>
      <c r="F2027" s="165"/>
      <c r="G2027" s="165"/>
      <c r="H2027" s="165"/>
      <c r="I2027" s="165"/>
      <c r="J2027" s="165"/>
      <c r="K2027" s="165"/>
      <c r="L2027" s="165"/>
      <c r="M2027" s="165"/>
      <c r="N2027" s="165"/>
      <c r="O2027" s="165"/>
      <c r="P2027" s="165"/>
      <c r="Q2027" s="165"/>
      <c r="R2027" s="165"/>
      <c r="S2027" s="165"/>
      <c r="T2027" s="165"/>
      <c r="U2027" s="165"/>
      <c r="V2027" s="165"/>
      <c r="W2027" s="165"/>
      <c r="X2027" s="165"/>
    </row>
    <row r="2028" ht="18.75" customHeight="1">
      <c r="A2028" s="165">
        <v>2025.0</v>
      </c>
      <c r="B2028" s="167" t="s">
        <v>17479</v>
      </c>
      <c r="C2028" s="165"/>
      <c r="D2028" s="165"/>
      <c r="E2028" s="165"/>
      <c r="F2028" s="165"/>
      <c r="G2028" s="165"/>
      <c r="H2028" s="165"/>
      <c r="I2028" s="165"/>
      <c r="J2028" s="165"/>
      <c r="K2028" s="165"/>
      <c r="L2028" s="165"/>
      <c r="M2028" s="165"/>
      <c r="N2028" s="165"/>
      <c r="O2028" s="165"/>
      <c r="P2028" s="165"/>
      <c r="Q2028" s="165"/>
      <c r="R2028" s="165"/>
      <c r="S2028" s="165"/>
      <c r="T2028" s="165"/>
      <c r="U2028" s="165"/>
      <c r="V2028" s="165"/>
      <c r="W2028" s="165"/>
      <c r="X2028" s="165"/>
    </row>
    <row r="2029" ht="18.75" customHeight="1">
      <c r="A2029" s="165">
        <v>2026.0</v>
      </c>
      <c r="B2029" s="167" t="s">
        <v>17480</v>
      </c>
      <c r="C2029" s="165"/>
      <c r="D2029" s="165"/>
      <c r="E2029" s="165"/>
      <c r="F2029" s="165"/>
      <c r="G2029" s="165"/>
      <c r="H2029" s="165"/>
      <c r="I2029" s="165"/>
      <c r="J2029" s="165"/>
      <c r="K2029" s="165"/>
      <c r="L2029" s="165"/>
      <c r="M2029" s="165"/>
      <c r="N2029" s="165"/>
      <c r="O2029" s="165"/>
      <c r="P2029" s="165"/>
      <c r="Q2029" s="165"/>
      <c r="R2029" s="165"/>
      <c r="S2029" s="165"/>
      <c r="T2029" s="165"/>
      <c r="U2029" s="165"/>
      <c r="V2029" s="165"/>
      <c r="W2029" s="165"/>
      <c r="X2029" s="165"/>
    </row>
    <row r="2030" ht="18.75" customHeight="1">
      <c r="A2030" s="165">
        <v>2027.0</v>
      </c>
      <c r="B2030" s="167" t="s">
        <v>17481</v>
      </c>
      <c r="C2030" s="165"/>
      <c r="D2030" s="165"/>
      <c r="E2030" s="165"/>
      <c r="F2030" s="165"/>
      <c r="G2030" s="165"/>
      <c r="H2030" s="165"/>
      <c r="I2030" s="165"/>
      <c r="J2030" s="165"/>
      <c r="K2030" s="165"/>
      <c r="L2030" s="165"/>
      <c r="M2030" s="165"/>
      <c r="N2030" s="165"/>
      <c r="O2030" s="165"/>
      <c r="P2030" s="165"/>
      <c r="Q2030" s="165"/>
      <c r="R2030" s="165"/>
      <c r="S2030" s="165"/>
      <c r="T2030" s="165"/>
      <c r="U2030" s="165"/>
      <c r="V2030" s="165"/>
      <c r="W2030" s="165"/>
      <c r="X2030" s="165"/>
    </row>
    <row r="2031" ht="18.75" customHeight="1">
      <c r="A2031" s="165">
        <v>2028.0</v>
      </c>
      <c r="B2031" s="167" t="s">
        <v>17482</v>
      </c>
      <c r="C2031" s="165"/>
      <c r="D2031" s="165"/>
      <c r="E2031" s="165"/>
      <c r="F2031" s="165"/>
      <c r="G2031" s="165"/>
      <c r="H2031" s="165"/>
      <c r="I2031" s="165"/>
      <c r="J2031" s="165"/>
      <c r="K2031" s="165"/>
      <c r="L2031" s="165"/>
      <c r="M2031" s="165"/>
      <c r="N2031" s="165"/>
      <c r="O2031" s="165"/>
      <c r="P2031" s="165"/>
      <c r="Q2031" s="165"/>
      <c r="R2031" s="165"/>
      <c r="S2031" s="165"/>
      <c r="T2031" s="165"/>
      <c r="U2031" s="165"/>
      <c r="V2031" s="165"/>
      <c r="W2031" s="165"/>
      <c r="X2031" s="165"/>
    </row>
    <row r="2032" ht="18.75" customHeight="1">
      <c r="A2032" s="165">
        <v>2029.0</v>
      </c>
      <c r="B2032" s="167" t="s">
        <v>17483</v>
      </c>
      <c r="C2032" s="165"/>
      <c r="D2032" s="165"/>
      <c r="E2032" s="165"/>
      <c r="F2032" s="165"/>
      <c r="G2032" s="165"/>
      <c r="H2032" s="165"/>
      <c r="I2032" s="165"/>
      <c r="J2032" s="165"/>
      <c r="K2032" s="165"/>
      <c r="L2032" s="165"/>
      <c r="M2032" s="165"/>
      <c r="N2032" s="165"/>
      <c r="O2032" s="165"/>
      <c r="P2032" s="165"/>
      <c r="Q2032" s="165"/>
      <c r="R2032" s="165"/>
      <c r="S2032" s="165"/>
      <c r="T2032" s="165"/>
      <c r="U2032" s="165"/>
      <c r="V2032" s="165"/>
      <c r="W2032" s="165"/>
      <c r="X2032" s="165"/>
    </row>
    <row r="2033" ht="18.75" customHeight="1">
      <c r="A2033" s="165">
        <v>2030.0</v>
      </c>
      <c r="B2033" s="167" t="s">
        <v>17484</v>
      </c>
      <c r="C2033" s="165"/>
      <c r="D2033" s="165"/>
      <c r="E2033" s="165"/>
      <c r="F2033" s="165"/>
      <c r="G2033" s="165"/>
      <c r="H2033" s="165"/>
      <c r="I2033" s="165"/>
      <c r="J2033" s="165"/>
      <c r="K2033" s="165"/>
      <c r="L2033" s="165"/>
      <c r="M2033" s="165"/>
      <c r="N2033" s="165"/>
      <c r="O2033" s="165"/>
      <c r="P2033" s="165"/>
      <c r="Q2033" s="165"/>
      <c r="R2033" s="165"/>
      <c r="S2033" s="165"/>
      <c r="T2033" s="165"/>
      <c r="U2033" s="165"/>
      <c r="V2033" s="165"/>
      <c r="W2033" s="165"/>
      <c r="X2033" s="165"/>
    </row>
    <row r="2034" ht="18.75" customHeight="1">
      <c r="A2034" s="165">
        <v>2031.0</v>
      </c>
      <c r="B2034" s="165" t="s">
        <v>17485</v>
      </c>
      <c r="C2034" s="165"/>
      <c r="D2034" s="165"/>
      <c r="E2034" s="165"/>
      <c r="F2034" s="165"/>
      <c r="G2034" s="165"/>
      <c r="H2034" s="165"/>
      <c r="I2034" s="165"/>
      <c r="J2034" s="165"/>
      <c r="K2034" s="165"/>
      <c r="L2034" s="165"/>
      <c r="M2034" s="165"/>
      <c r="N2034" s="165"/>
      <c r="O2034" s="165"/>
      <c r="P2034" s="165"/>
      <c r="Q2034" s="165"/>
      <c r="R2034" s="165"/>
      <c r="S2034" s="165"/>
      <c r="T2034" s="165"/>
      <c r="U2034" s="165"/>
      <c r="V2034" s="165"/>
      <c r="W2034" s="165"/>
      <c r="X2034" s="165"/>
    </row>
    <row r="2035" ht="18.75" customHeight="1">
      <c r="A2035" s="165">
        <v>2032.0</v>
      </c>
      <c r="B2035" s="165" t="s">
        <v>17486</v>
      </c>
      <c r="C2035" s="165"/>
      <c r="D2035" s="165"/>
      <c r="E2035" s="165"/>
      <c r="F2035" s="165"/>
      <c r="G2035" s="165"/>
      <c r="H2035" s="165"/>
      <c r="I2035" s="165"/>
      <c r="J2035" s="165"/>
      <c r="K2035" s="165"/>
      <c r="L2035" s="165"/>
      <c r="M2035" s="165"/>
      <c r="N2035" s="165"/>
      <c r="O2035" s="165"/>
      <c r="P2035" s="165"/>
      <c r="Q2035" s="165"/>
      <c r="R2035" s="165"/>
      <c r="S2035" s="165"/>
      <c r="T2035" s="165"/>
      <c r="U2035" s="165"/>
      <c r="V2035" s="165"/>
      <c r="W2035" s="165"/>
      <c r="X2035" s="165"/>
    </row>
    <row r="2036" ht="18.75" customHeight="1">
      <c r="A2036" s="165">
        <v>2033.0</v>
      </c>
      <c r="B2036" s="165" t="s">
        <v>17487</v>
      </c>
      <c r="C2036" s="165"/>
      <c r="D2036" s="165"/>
      <c r="E2036" s="165"/>
      <c r="F2036" s="165"/>
      <c r="G2036" s="165"/>
      <c r="H2036" s="165"/>
      <c r="I2036" s="165"/>
      <c r="J2036" s="165"/>
      <c r="K2036" s="165"/>
      <c r="L2036" s="165"/>
      <c r="M2036" s="165"/>
      <c r="N2036" s="165"/>
      <c r="O2036" s="165"/>
      <c r="P2036" s="165"/>
      <c r="Q2036" s="165"/>
      <c r="R2036" s="165"/>
      <c r="S2036" s="165"/>
      <c r="T2036" s="165"/>
      <c r="U2036" s="165"/>
      <c r="V2036" s="165"/>
      <c r="W2036" s="165"/>
      <c r="X2036" s="165"/>
    </row>
    <row r="2037" ht="18.75" customHeight="1">
      <c r="A2037" s="165">
        <v>2034.0</v>
      </c>
      <c r="B2037" s="167" t="s">
        <v>17488</v>
      </c>
      <c r="C2037" s="165"/>
      <c r="D2037" s="165"/>
      <c r="E2037" s="165"/>
      <c r="F2037" s="165"/>
      <c r="G2037" s="165"/>
      <c r="H2037" s="165"/>
      <c r="I2037" s="165"/>
      <c r="J2037" s="165"/>
      <c r="K2037" s="165"/>
      <c r="L2037" s="165"/>
      <c r="M2037" s="165"/>
      <c r="N2037" s="165"/>
      <c r="O2037" s="165"/>
      <c r="P2037" s="165"/>
      <c r="Q2037" s="165"/>
      <c r="R2037" s="165"/>
      <c r="S2037" s="165"/>
      <c r="T2037" s="165"/>
      <c r="U2037" s="165"/>
      <c r="V2037" s="165"/>
      <c r="W2037" s="165"/>
      <c r="X2037" s="165"/>
    </row>
    <row r="2038" ht="18.75" customHeight="1">
      <c r="A2038" s="165">
        <v>2035.0</v>
      </c>
      <c r="B2038" s="167" t="s">
        <v>17489</v>
      </c>
      <c r="C2038" s="165"/>
      <c r="D2038" s="165"/>
      <c r="E2038" s="165"/>
      <c r="F2038" s="165"/>
      <c r="G2038" s="165"/>
      <c r="H2038" s="165"/>
      <c r="I2038" s="165"/>
      <c r="J2038" s="165"/>
      <c r="K2038" s="165"/>
      <c r="L2038" s="165"/>
      <c r="M2038" s="165"/>
      <c r="N2038" s="165"/>
      <c r="O2038" s="165"/>
      <c r="P2038" s="165"/>
      <c r="Q2038" s="165"/>
      <c r="R2038" s="165"/>
      <c r="S2038" s="165"/>
      <c r="T2038" s="165"/>
      <c r="U2038" s="165"/>
      <c r="V2038" s="165"/>
      <c r="W2038" s="165"/>
      <c r="X2038" s="165"/>
    </row>
    <row r="2039" ht="18.75" customHeight="1">
      <c r="A2039" s="165">
        <v>2036.0</v>
      </c>
      <c r="B2039" s="165" t="s">
        <v>17490</v>
      </c>
      <c r="C2039" s="165"/>
      <c r="D2039" s="165"/>
      <c r="E2039" s="165"/>
      <c r="F2039" s="165"/>
      <c r="G2039" s="165"/>
      <c r="H2039" s="165"/>
      <c r="I2039" s="165"/>
      <c r="J2039" s="165"/>
      <c r="K2039" s="165"/>
      <c r="L2039" s="165"/>
      <c r="M2039" s="165"/>
      <c r="N2039" s="165"/>
      <c r="O2039" s="165"/>
      <c r="P2039" s="165"/>
      <c r="Q2039" s="165"/>
      <c r="R2039" s="165"/>
      <c r="S2039" s="165"/>
      <c r="T2039" s="165"/>
      <c r="U2039" s="165"/>
      <c r="V2039" s="165"/>
      <c r="W2039" s="165"/>
      <c r="X2039" s="165"/>
    </row>
    <row r="2040" ht="18.75" customHeight="1">
      <c r="A2040" s="165">
        <v>2037.0</v>
      </c>
      <c r="B2040" s="165" t="s">
        <v>17491</v>
      </c>
      <c r="C2040" s="165"/>
      <c r="D2040" s="165"/>
      <c r="E2040" s="165"/>
      <c r="F2040" s="165"/>
      <c r="G2040" s="165"/>
      <c r="H2040" s="165"/>
      <c r="I2040" s="165"/>
      <c r="J2040" s="165"/>
      <c r="K2040" s="165"/>
      <c r="L2040" s="165"/>
      <c r="M2040" s="165"/>
      <c r="N2040" s="165"/>
      <c r="O2040" s="165"/>
      <c r="P2040" s="165"/>
      <c r="Q2040" s="165"/>
      <c r="R2040" s="165"/>
      <c r="S2040" s="165"/>
      <c r="T2040" s="165"/>
      <c r="U2040" s="165"/>
      <c r="V2040" s="165"/>
      <c r="W2040" s="165"/>
      <c r="X2040" s="165"/>
    </row>
    <row r="2041" ht="18.75" customHeight="1">
      <c r="A2041" s="165">
        <v>2038.0</v>
      </c>
      <c r="B2041" s="165" t="s">
        <v>17492</v>
      </c>
      <c r="C2041" s="165"/>
      <c r="D2041" s="165"/>
      <c r="E2041" s="165"/>
      <c r="F2041" s="165"/>
      <c r="G2041" s="165"/>
      <c r="H2041" s="165"/>
      <c r="I2041" s="165"/>
      <c r="J2041" s="165"/>
      <c r="K2041" s="165"/>
      <c r="L2041" s="165"/>
      <c r="M2041" s="165"/>
      <c r="N2041" s="165"/>
      <c r="O2041" s="165"/>
      <c r="P2041" s="165"/>
      <c r="Q2041" s="165"/>
      <c r="R2041" s="165"/>
      <c r="S2041" s="165"/>
      <c r="T2041" s="165"/>
      <c r="U2041" s="165"/>
      <c r="V2041" s="165"/>
      <c r="W2041" s="165"/>
      <c r="X2041" s="165"/>
    </row>
    <row r="2042" ht="18.75" customHeight="1">
      <c r="A2042" s="165">
        <v>2039.0</v>
      </c>
      <c r="B2042" s="165" t="s">
        <v>17493</v>
      </c>
      <c r="C2042" s="165"/>
      <c r="D2042" s="165"/>
      <c r="E2042" s="165"/>
      <c r="F2042" s="165"/>
      <c r="G2042" s="165"/>
      <c r="H2042" s="165"/>
      <c r="I2042" s="165"/>
      <c r="J2042" s="165"/>
      <c r="K2042" s="165"/>
      <c r="L2042" s="165"/>
      <c r="M2042" s="165"/>
      <c r="N2042" s="165"/>
      <c r="O2042" s="165"/>
      <c r="P2042" s="165"/>
      <c r="Q2042" s="165"/>
      <c r="R2042" s="165"/>
      <c r="S2042" s="165"/>
      <c r="T2042" s="165"/>
      <c r="U2042" s="165"/>
      <c r="V2042" s="165"/>
      <c r="W2042" s="165"/>
      <c r="X2042" s="165"/>
    </row>
    <row r="2043" ht="18.75" customHeight="1">
      <c r="A2043" s="165">
        <v>2040.0</v>
      </c>
      <c r="B2043" s="165" t="s">
        <v>17494</v>
      </c>
      <c r="C2043" s="165"/>
      <c r="D2043" s="165"/>
      <c r="E2043" s="165"/>
      <c r="F2043" s="165"/>
      <c r="G2043" s="165"/>
      <c r="H2043" s="165"/>
      <c r="I2043" s="165"/>
      <c r="J2043" s="165"/>
      <c r="K2043" s="165"/>
      <c r="L2043" s="165"/>
      <c r="M2043" s="165"/>
      <c r="N2043" s="165"/>
      <c r="O2043" s="165"/>
      <c r="P2043" s="165"/>
      <c r="Q2043" s="165"/>
      <c r="R2043" s="165"/>
      <c r="S2043" s="165"/>
      <c r="T2043" s="165"/>
      <c r="U2043" s="165"/>
      <c r="V2043" s="165"/>
      <c r="W2043" s="165"/>
      <c r="X2043" s="165"/>
    </row>
    <row r="2044" ht="18.75" customHeight="1">
      <c r="A2044" s="165">
        <v>2041.0</v>
      </c>
      <c r="B2044" s="165" t="s">
        <v>17491</v>
      </c>
      <c r="C2044" s="165"/>
      <c r="D2044" s="165"/>
      <c r="E2044" s="165"/>
      <c r="F2044" s="165"/>
      <c r="G2044" s="165"/>
      <c r="H2044" s="165"/>
      <c r="I2044" s="165"/>
      <c r="J2044" s="165"/>
      <c r="K2044" s="165"/>
      <c r="L2044" s="165"/>
      <c r="M2044" s="165"/>
      <c r="N2044" s="165"/>
      <c r="O2044" s="165"/>
      <c r="P2044" s="165"/>
      <c r="Q2044" s="165"/>
      <c r="R2044" s="165"/>
      <c r="S2044" s="165"/>
      <c r="T2044" s="165"/>
      <c r="U2044" s="165"/>
      <c r="V2044" s="165"/>
      <c r="W2044" s="165"/>
      <c r="X2044" s="165"/>
    </row>
    <row r="2045" ht="18.75" customHeight="1">
      <c r="A2045" s="165">
        <v>2042.0</v>
      </c>
      <c r="B2045" s="165" t="s">
        <v>17495</v>
      </c>
      <c r="C2045" s="165"/>
      <c r="D2045" s="165"/>
      <c r="E2045" s="165"/>
      <c r="F2045" s="165"/>
      <c r="G2045" s="165"/>
      <c r="H2045" s="165"/>
      <c r="I2045" s="165"/>
      <c r="J2045" s="165"/>
      <c r="K2045" s="165"/>
      <c r="L2045" s="165"/>
      <c r="M2045" s="165"/>
      <c r="N2045" s="165"/>
      <c r="O2045" s="165"/>
      <c r="P2045" s="165"/>
      <c r="Q2045" s="165"/>
      <c r="R2045" s="165"/>
      <c r="S2045" s="165"/>
      <c r="T2045" s="165"/>
      <c r="U2045" s="165"/>
      <c r="V2045" s="165"/>
      <c r="W2045" s="165"/>
      <c r="X2045" s="165"/>
    </row>
    <row r="2046" ht="18.75" customHeight="1">
      <c r="A2046" s="165">
        <v>2043.0</v>
      </c>
      <c r="B2046" s="168" t="s">
        <v>17496</v>
      </c>
      <c r="C2046" s="165"/>
      <c r="D2046" s="165"/>
      <c r="E2046" s="165"/>
      <c r="F2046" s="165"/>
      <c r="G2046" s="165"/>
      <c r="H2046" s="165"/>
      <c r="I2046" s="165"/>
      <c r="J2046" s="165"/>
      <c r="K2046" s="165"/>
      <c r="L2046" s="165"/>
      <c r="M2046" s="165"/>
      <c r="N2046" s="165"/>
      <c r="O2046" s="165"/>
      <c r="P2046" s="165"/>
      <c r="Q2046" s="165"/>
      <c r="R2046" s="165"/>
      <c r="S2046" s="165"/>
      <c r="T2046" s="165"/>
      <c r="U2046" s="165"/>
      <c r="V2046" s="165"/>
      <c r="W2046" s="165"/>
      <c r="X2046" s="165"/>
    </row>
    <row r="2047" ht="18.75" customHeight="1">
      <c r="A2047" s="165">
        <v>2044.0</v>
      </c>
      <c r="B2047" s="167" t="s">
        <v>17491</v>
      </c>
      <c r="C2047" s="165"/>
      <c r="D2047" s="165"/>
      <c r="E2047" s="165"/>
      <c r="F2047" s="165"/>
      <c r="G2047" s="165"/>
      <c r="H2047" s="165"/>
      <c r="I2047" s="165"/>
      <c r="J2047" s="165"/>
      <c r="K2047" s="165"/>
      <c r="L2047" s="165"/>
      <c r="M2047" s="165"/>
      <c r="N2047" s="165"/>
      <c r="O2047" s="165"/>
      <c r="P2047" s="165"/>
      <c r="Q2047" s="165"/>
      <c r="R2047" s="165"/>
      <c r="S2047" s="165"/>
      <c r="T2047" s="165"/>
      <c r="U2047" s="165"/>
      <c r="V2047" s="165"/>
      <c r="W2047" s="165"/>
      <c r="X2047" s="165"/>
    </row>
    <row r="2048" ht="18.75" customHeight="1">
      <c r="A2048" s="165">
        <v>2045.0</v>
      </c>
      <c r="B2048" s="165" t="s">
        <v>17497</v>
      </c>
      <c r="C2048" s="165"/>
      <c r="D2048" s="165"/>
      <c r="E2048" s="165"/>
      <c r="F2048" s="165"/>
      <c r="G2048" s="165"/>
      <c r="H2048" s="165"/>
      <c r="I2048" s="165"/>
      <c r="J2048" s="165"/>
      <c r="K2048" s="165"/>
      <c r="L2048" s="165"/>
      <c r="M2048" s="165"/>
      <c r="N2048" s="165"/>
      <c r="O2048" s="165"/>
      <c r="P2048" s="165"/>
      <c r="Q2048" s="165"/>
      <c r="R2048" s="165"/>
      <c r="S2048" s="165"/>
      <c r="T2048" s="165"/>
      <c r="U2048" s="165"/>
      <c r="V2048" s="165"/>
      <c r="W2048" s="165"/>
      <c r="X2048" s="165"/>
    </row>
    <row r="2049" ht="18.75" customHeight="1">
      <c r="A2049" s="165">
        <v>2046.0</v>
      </c>
      <c r="B2049" s="165" t="s">
        <v>17498</v>
      </c>
      <c r="C2049" s="165"/>
      <c r="D2049" s="165"/>
      <c r="E2049" s="165"/>
      <c r="F2049" s="165"/>
      <c r="G2049" s="165"/>
      <c r="H2049" s="165"/>
      <c r="I2049" s="165"/>
      <c r="J2049" s="165"/>
      <c r="K2049" s="165"/>
      <c r="L2049" s="165"/>
      <c r="M2049" s="165"/>
      <c r="N2049" s="165"/>
      <c r="O2049" s="165"/>
      <c r="P2049" s="165"/>
      <c r="Q2049" s="165"/>
      <c r="R2049" s="165"/>
      <c r="S2049" s="165"/>
      <c r="T2049" s="165"/>
      <c r="U2049" s="165"/>
      <c r="V2049" s="165"/>
      <c r="W2049" s="165"/>
      <c r="X2049" s="165"/>
    </row>
    <row r="2050" ht="18.75" customHeight="1">
      <c r="A2050" s="165">
        <v>2047.0</v>
      </c>
      <c r="B2050" s="165" t="s">
        <v>17499</v>
      </c>
      <c r="C2050" s="165"/>
      <c r="D2050" s="165"/>
      <c r="E2050" s="165"/>
      <c r="F2050" s="165"/>
      <c r="G2050" s="165"/>
      <c r="H2050" s="165"/>
      <c r="I2050" s="165"/>
      <c r="J2050" s="165"/>
      <c r="K2050" s="165"/>
      <c r="L2050" s="165"/>
      <c r="M2050" s="165"/>
      <c r="N2050" s="165"/>
      <c r="O2050" s="165"/>
      <c r="P2050" s="165"/>
      <c r="Q2050" s="165"/>
      <c r="R2050" s="165"/>
      <c r="S2050" s="165"/>
      <c r="T2050" s="165"/>
      <c r="U2050" s="165"/>
      <c r="V2050" s="165"/>
      <c r="W2050" s="165"/>
      <c r="X2050" s="165"/>
    </row>
    <row r="2051" ht="18.75" customHeight="1">
      <c r="A2051" s="165">
        <v>2048.0</v>
      </c>
      <c r="B2051" s="165" t="s">
        <v>17500</v>
      </c>
      <c r="C2051" s="165"/>
      <c r="D2051" s="165"/>
      <c r="E2051" s="165"/>
      <c r="F2051" s="165"/>
      <c r="G2051" s="165"/>
      <c r="H2051" s="165"/>
      <c r="I2051" s="165"/>
      <c r="J2051" s="165"/>
      <c r="K2051" s="165"/>
      <c r="L2051" s="165"/>
      <c r="M2051" s="165"/>
      <c r="N2051" s="165"/>
      <c r="O2051" s="165"/>
      <c r="P2051" s="165"/>
      <c r="Q2051" s="165"/>
      <c r="R2051" s="165"/>
      <c r="S2051" s="165"/>
      <c r="T2051" s="165"/>
      <c r="U2051" s="165"/>
      <c r="V2051" s="165"/>
      <c r="W2051" s="165"/>
      <c r="X2051" s="165"/>
    </row>
    <row r="2052" ht="18.75" customHeight="1">
      <c r="A2052" s="165">
        <v>2049.0</v>
      </c>
      <c r="B2052" s="167" t="s">
        <v>17501</v>
      </c>
      <c r="C2052" s="165"/>
      <c r="D2052" s="165"/>
      <c r="E2052" s="165"/>
      <c r="F2052" s="165"/>
      <c r="G2052" s="165"/>
      <c r="H2052" s="165"/>
      <c r="I2052" s="165"/>
      <c r="J2052" s="165"/>
      <c r="K2052" s="165"/>
      <c r="L2052" s="165"/>
      <c r="M2052" s="165"/>
      <c r="N2052" s="165"/>
      <c r="O2052" s="165"/>
      <c r="P2052" s="165"/>
      <c r="Q2052" s="165"/>
      <c r="R2052" s="165"/>
      <c r="S2052" s="165"/>
      <c r="T2052" s="165"/>
      <c r="U2052" s="165"/>
      <c r="V2052" s="165"/>
      <c r="W2052" s="165"/>
      <c r="X2052" s="165"/>
    </row>
    <row r="2053" ht="18.75" customHeight="1">
      <c r="A2053" s="165">
        <v>2050.0</v>
      </c>
      <c r="B2053" s="167" t="s">
        <v>17502</v>
      </c>
      <c r="C2053" s="165"/>
      <c r="D2053" s="165"/>
      <c r="E2053" s="165"/>
      <c r="F2053" s="165"/>
      <c r="G2053" s="165"/>
      <c r="H2053" s="165"/>
      <c r="I2053" s="165"/>
      <c r="J2053" s="165"/>
      <c r="K2053" s="165"/>
      <c r="L2053" s="165"/>
      <c r="M2053" s="165"/>
      <c r="N2053" s="165"/>
      <c r="O2053" s="165"/>
      <c r="P2053" s="165"/>
      <c r="Q2053" s="165"/>
      <c r="R2053" s="165"/>
      <c r="S2053" s="165"/>
      <c r="T2053" s="165"/>
      <c r="U2053" s="165"/>
      <c r="V2053" s="165"/>
      <c r="W2053" s="165"/>
      <c r="X2053" s="165"/>
    </row>
    <row r="2054" ht="18.75" customHeight="1">
      <c r="A2054" s="165">
        <v>2051.0</v>
      </c>
      <c r="B2054" s="167" t="s">
        <v>17503</v>
      </c>
      <c r="C2054" s="165"/>
      <c r="D2054" s="165"/>
      <c r="E2054" s="165"/>
      <c r="F2054" s="165"/>
      <c r="G2054" s="165"/>
      <c r="H2054" s="165"/>
      <c r="I2054" s="165"/>
      <c r="J2054" s="165"/>
      <c r="K2054" s="165"/>
      <c r="L2054" s="165"/>
      <c r="M2054" s="165"/>
      <c r="N2054" s="165"/>
      <c r="O2054" s="165"/>
      <c r="P2054" s="165"/>
      <c r="Q2054" s="165"/>
      <c r="R2054" s="165"/>
      <c r="S2054" s="165"/>
      <c r="T2054" s="165"/>
      <c r="U2054" s="165"/>
      <c r="V2054" s="165"/>
      <c r="W2054" s="165"/>
      <c r="X2054" s="165"/>
    </row>
    <row r="2055" ht="18.75" customHeight="1">
      <c r="A2055" s="165">
        <v>2052.0</v>
      </c>
      <c r="B2055" s="167" t="s">
        <v>17504</v>
      </c>
      <c r="C2055" s="165"/>
      <c r="D2055" s="165"/>
      <c r="E2055" s="165"/>
      <c r="F2055" s="165"/>
      <c r="G2055" s="165"/>
      <c r="H2055" s="165"/>
      <c r="I2055" s="165"/>
      <c r="J2055" s="165"/>
      <c r="K2055" s="165"/>
      <c r="L2055" s="165"/>
      <c r="M2055" s="165"/>
      <c r="N2055" s="165"/>
      <c r="O2055" s="165"/>
      <c r="P2055" s="165"/>
      <c r="Q2055" s="165"/>
      <c r="R2055" s="165"/>
      <c r="S2055" s="165"/>
      <c r="T2055" s="165"/>
      <c r="U2055" s="165"/>
      <c r="V2055" s="165"/>
      <c r="W2055" s="165"/>
      <c r="X2055" s="165"/>
    </row>
    <row r="2056" ht="18.75" customHeight="1">
      <c r="A2056" s="165">
        <v>2053.0</v>
      </c>
      <c r="B2056" s="165" t="s">
        <v>17505</v>
      </c>
      <c r="C2056" s="165"/>
      <c r="D2056" s="165"/>
      <c r="E2056" s="165"/>
      <c r="F2056" s="165"/>
      <c r="G2056" s="165"/>
      <c r="H2056" s="165"/>
      <c r="I2056" s="165"/>
      <c r="J2056" s="165"/>
      <c r="K2056" s="165"/>
      <c r="L2056" s="165"/>
      <c r="M2056" s="165"/>
      <c r="N2056" s="165"/>
      <c r="O2056" s="165"/>
      <c r="P2056" s="165"/>
      <c r="Q2056" s="165"/>
      <c r="R2056" s="165"/>
      <c r="S2056" s="165"/>
      <c r="T2056" s="165"/>
      <c r="U2056" s="165"/>
      <c r="V2056" s="165"/>
      <c r="W2056" s="165"/>
      <c r="X2056" s="165"/>
    </row>
    <row r="2057" ht="18.75" customHeight="1">
      <c r="A2057" s="165">
        <v>2054.0</v>
      </c>
      <c r="B2057" s="167" t="s">
        <v>17506</v>
      </c>
      <c r="C2057" s="165"/>
      <c r="D2057" s="165"/>
      <c r="E2057" s="165"/>
      <c r="F2057" s="165"/>
      <c r="G2057" s="165"/>
      <c r="H2057" s="165"/>
      <c r="I2057" s="165"/>
      <c r="J2057" s="165"/>
      <c r="K2057" s="165"/>
      <c r="L2057" s="165"/>
      <c r="M2057" s="165"/>
      <c r="N2057" s="165"/>
      <c r="O2057" s="165"/>
      <c r="P2057" s="165"/>
      <c r="Q2057" s="165"/>
      <c r="R2057" s="165"/>
      <c r="S2057" s="165"/>
      <c r="T2057" s="165"/>
      <c r="U2057" s="165"/>
      <c r="V2057" s="165"/>
      <c r="W2057" s="165"/>
      <c r="X2057" s="165"/>
    </row>
    <row r="2058" ht="18.75" customHeight="1">
      <c r="A2058" s="165">
        <v>2055.0</v>
      </c>
      <c r="B2058" s="167" t="s">
        <v>17507</v>
      </c>
      <c r="C2058" s="165"/>
      <c r="D2058" s="165"/>
      <c r="E2058" s="165"/>
      <c r="F2058" s="165"/>
      <c r="G2058" s="165"/>
      <c r="H2058" s="165"/>
      <c r="I2058" s="165"/>
      <c r="J2058" s="165"/>
      <c r="K2058" s="165"/>
      <c r="L2058" s="165"/>
      <c r="M2058" s="165"/>
      <c r="N2058" s="165"/>
      <c r="O2058" s="165"/>
      <c r="P2058" s="165"/>
      <c r="Q2058" s="165"/>
      <c r="R2058" s="165"/>
      <c r="S2058" s="165"/>
      <c r="T2058" s="165"/>
      <c r="U2058" s="165"/>
      <c r="V2058" s="165"/>
      <c r="W2058" s="165"/>
      <c r="X2058" s="165"/>
    </row>
    <row r="2059" ht="18.75" customHeight="1">
      <c r="A2059" s="165">
        <v>2056.0</v>
      </c>
      <c r="B2059" s="167" t="s">
        <v>17508</v>
      </c>
      <c r="C2059" s="165"/>
      <c r="D2059" s="165"/>
      <c r="E2059" s="165"/>
      <c r="F2059" s="165"/>
      <c r="G2059" s="165"/>
      <c r="H2059" s="165"/>
      <c r="I2059" s="165"/>
      <c r="J2059" s="165"/>
      <c r="K2059" s="165"/>
      <c r="L2059" s="165"/>
      <c r="M2059" s="165"/>
      <c r="N2059" s="165"/>
      <c r="O2059" s="165"/>
      <c r="P2059" s="165"/>
      <c r="Q2059" s="165"/>
      <c r="R2059" s="165"/>
      <c r="S2059" s="165"/>
      <c r="T2059" s="165"/>
      <c r="U2059" s="165"/>
      <c r="V2059" s="165"/>
      <c r="W2059" s="165"/>
      <c r="X2059" s="165"/>
    </row>
    <row r="2060" ht="18.75" customHeight="1">
      <c r="A2060" s="165">
        <v>2057.0</v>
      </c>
      <c r="B2060" s="167" t="s">
        <v>17509</v>
      </c>
      <c r="C2060" s="165"/>
      <c r="D2060" s="165"/>
      <c r="E2060" s="165"/>
      <c r="F2060" s="165"/>
      <c r="G2060" s="165"/>
      <c r="H2060" s="165"/>
      <c r="I2060" s="165"/>
      <c r="J2060" s="165"/>
      <c r="K2060" s="165"/>
      <c r="L2060" s="165"/>
      <c r="M2060" s="165"/>
      <c r="N2060" s="165"/>
      <c r="O2060" s="165"/>
      <c r="P2060" s="165"/>
      <c r="Q2060" s="165"/>
      <c r="R2060" s="165"/>
      <c r="S2060" s="165"/>
      <c r="T2060" s="165"/>
      <c r="U2060" s="165"/>
      <c r="V2060" s="165"/>
      <c r="W2060" s="165"/>
      <c r="X2060" s="165"/>
    </row>
    <row r="2061" ht="18.75" customHeight="1">
      <c r="A2061" s="165">
        <v>2058.0</v>
      </c>
      <c r="B2061" s="167" t="s">
        <v>17510</v>
      </c>
      <c r="C2061" s="165"/>
      <c r="D2061" s="165"/>
      <c r="E2061" s="165"/>
      <c r="F2061" s="165"/>
      <c r="G2061" s="165"/>
      <c r="H2061" s="165"/>
      <c r="I2061" s="165"/>
      <c r="J2061" s="165"/>
      <c r="K2061" s="165"/>
      <c r="L2061" s="165"/>
      <c r="M2061" s="165"/>
      <c r="N2061" s="165"/>
      <c r="O2061" s="165"/>
      <c r="P2061" s="165"/>
      <c r="Q2061" s="165"/>
      <c r="R2061" s="165"/>
      <c r="S2061" s="165"/>
      <c r="T2061" s="165"/>
      <c r="U2061" s="165"/>
      <c r="V2061" s="165"/>
      <c r="W2061" s="165"/>
      <c r="X2061" s="165"/>
    </row>
    <row r="2062" ht="18.75" customHeight="1">
      <c r="A2062" s="165">
        <v>2059.0</v>
      </c>
      <c r="B2062" s="167" t="s">
        <v>17511</v>
      </c>
      <c r="C2062" s="165"/>
      <c r="D2062" s="165"/>
      <c r="E2062" s="165"/>
      <c r="F2062" s="165"/>
      <c r="G2062" s="165"/>
      <c r="H2062" s="165"/>
      <c r="I2062" s="165"/>
      <c r="J2062" s="165"/>
      <c r="K2062" s="165"/>
      <c r="L2062" s="165"/>
      <c r="M2062" s="165"/>
      <c r="N2062" s="165"/>
      <c r="O2062" s="165"/>
      <c r="P2062" s="165"/>
      <c r="Q2062" s="165"/>
      <c r="R2062" s="165"/>
      <c r="S2062" s="165"/>
      <c r="T2062" s="165"/>
      <c r="U2062" s="165"/>
      <c r="V2062" s="165"/>
      <c r="W2062" s="165"/>
      <c r="X2062" s="165"/>
    </row>
    <row r="2063" ht="18.75" customHeight="1">
      <c r="A2063" s="165">
        <v>2060.0</v>
      </c>
      <c r="B2063" s="167" t="s">
        <v>17512</v>
      </c>
      <c r="C2063" s="165"/>
      <c r="D2063" s="165"/>
      <c r="E2063" s="165"/>
      <c r="F2063" s="165"/>
      <c r="G2063" s="165"/>
      <c r="H2063" s="165"/>
      <c r="I2063" s="165"/>
      <c r="J2063" s="165"/>
      <c r="K2063" s="165"/>
      <c r="L2063" s="165"/>
      <c r="M2063" s="165"/>
      <c r="N2063" s="165"/>
      <c r="O2063" s="165"/>
      <c r="P2063" s="165"/>
      <c r="Q2063" s="165"/>
      <c r="R2063" s="165"/>
      <c r="S2063" s="165"/>
      <c r="T2063" s="165"/>
      <c r="U2063" s="165"/>
      <c r="V2063" s="165"/>
      <c r="W2063" s="165"/>
      <c r="X2063" s="165"/>
    </row>
    <row r="2064" ht="18.75" customHeight="1">
      <c r="A2064" s="165">
        <v>2061.0</v>
      </c>
      <c r="B2064" s="167" t="s">
        <v>17513</v>
      </c>
      <c r="C2064" s="165"/>
      <c r="D2064" s="165"/>
      <c r="E2064" s="165"/>
      <c r="F2064" s="165"/>
      <c r="G2064" s="165"/>
      <c r="H2064" s="165"/>
      <c r="I2064" s="165"/>
      <c r="J2064" s="165"/>
      <c r="K2064" s="165"/>
      <c r="L2064" s="165"/>
      <c r="M2064" s="165"/>
      <c r="N2064" s="165"/>
      <c r="O2064" s="165"/>
      <c r="P2064" s="165"/>
      <c r="Q2064" s="165"/>
      <c r="R2064" s="165"/>
      <c r="S2064" s="165"/>
      <c r="T2064" s="165"/>
      <c r="U2064" s="165"/>
      <c r="V2064" s="165"/>
      <c r="W2064" s="165"/>
      <c r="X2064" s="165"/>
    </row>
    <row r="2065" ht="18.75" customHeight="1">
      <c r="A2065" s="165">
        <v>2062.0</v>
      </c>
      <c r="B2065" s="165" t="s">
        <v>17514</v>
      </c>
      <c r="C2065" s="165"/>
      <c r="D2065" s="165"/>
      <c r="E2065" s="165"/>
      <c r="F2065" s="165"/>
      <c r="G2065" s="165"/>
      <c r="H2065" s="165"/>
      <c r="I2065" s="165"/>
      <c r="J2065" s="165"/>
      <c r="K2065" s="165"/>
      <c r="L2065" s="165"/>
      <c r="M2065" s="165"/>
      <c r="N2065" s="165"/>
      <c r="O2065" s="165"/>
      <c r="P2065" s="165"/>
      <c r="Q2065" s="165"/>
      <c r="R2065" s="165"/>
      <c r="S2065" s="165"/>
      <c r="T2065" s="165"/>
      <c r="U2065" s="165"/>
      <c r="V2065" s="165"/>
      <c r="W2065" s="165"/>
      <c r="X2065" s="165"/>
    </row>
    <row r="2066" ht="18.75" customHeight="1">
      <c r="A2066" s="165">
        <v>2063.0</v>
      </c>
      <c r="B2066" s="165" t="s">
        <v>17515</v>
      </c>
      <c r="C2066" s="165"/>
      <c r="D2066" s="165"/>
      <c r="E2066" s="165"/>
      <c r="F2066" s="165"/>
      <c r="G2066" s="165"/>
      <c r="H2066" s="165"/>
      <c r="I2066" s="165"/>
      <c r="J2066" s="165"/>
      <c r="K2066" s="165"/>
      <c r="L2066" s="165"/>
      <c r="M2066" s="165"/>
      <c r="N2066" s="165"/>
      <c r="O2066" s="165"/>
      <c r="P2066" s="165"/>
      <c r="Q2066" s="165"/>
      <c r="R2066" s="165"/>
      <c r="S2066" s="165"/>
      <c r="T2066" s="165"/>
      <c r="U2066" s="165"/>
      <c r="V2066" s="165"/>
      <c r="W2066" s="165"/>
      <c r="X2066" s="165"/>
    </row>
    <row r="2067" ht="18.75" customHeight="1">
      <c r="A2067" s="165">
        <v>2064.0</v>
      </c>
      <c r="B2067" s="165" t="s">
        <v>17516</v>
      </c>
      <c r="C2067" s="165"/>
      <c r="D2067" s="165"/>
      <c r="E2067" s="165"/>
      <c r="F2067" s="165"/>
      <c r="G2067" s="165"/>
      <c r="H2067" s="165"/>
      <c r="I2067" s="165"/>
      <c r="J2067" s="165"/>
      <c r="K2067" s="165"/>
      <c r="L2067" s="165"/>
      <c r="M2067" s="165"/>
      <c r="N2067" s="165"/>
      <c r="O2067" s="165"/>
      <c r="P2067" s="165"/>
      <c r="Q2067" s="165"/>
      <c r="R2067" s="165"/>
      <c r="S2067" s="165"/>
      <c r="T2067" s="165"/>
      <c r="U2067" s="165"/>
      <c r="V2067" s="165"/>
      <c r="W2067" s="165"/>
      <c r="X2067" s="165"/>
    </row>
    <row r="2068" ht="18.75" customHeight="1">
      <c r="A2068" s="165">
        <v>2065.0</v>
      </c>
      <c r="B2068" s="167" t="s">
        <v>17517</v>
      </c>
      <c r="C2068" s="165"/>
      <c r="D2068" s="165"/>
      <c r="E2068" s="165"/>
      <c r="F2068" s="165"/>
      <c r="G2068" s="165"/>
      <c r="H2068" s="165"/>
      <c r="I2068" s="165"/>
      <c r="J2068" s="165"/>
      <c r="K2068" s="165"/>
      <c r="L2068" s="165"/>
      <c r="M2068" s="165"/>
      <c r="N2068" s="165"/>
      <c r="O2068" s="165"/>
      <c r="P2068" s="165"/>
      <c r="Q2068" s="165"/>
      <c r="R2068" s="165"/>
      <c r="S2068" s="165"/>
      <c r="T2068" s="165"/>
      <c r="U2068" s="165"/>
      <c r="V2068" s="165"/>
      <c r="W2068" s="165"/>
      <c r="X2068" s="165"/>
    </row>
    <row r="2069" ht="18.75" customHeight="1">
      <c r="A2069" s="165">
        <v>2066.0</v>
      </c>
      <c r="B2069" s="167" t="s">
        <v>17518</v>
      </c>
      <c r="C2069" s="165"/>
      <c r="D2069" s="165"/>
      <c r="E2069" s="165"/>
      <c r="F2069" s="165"/>
      <c r="G2069" s="165"/>
      <c r="H2069" s="165"/>
      <c r="I2069" s="165"/>
      <c r="J2069" s="165"/>
      <c r="K2069" s="165"/>
      <c r="L2069" s="165"/>
      <c r="M2069" s="165"/>
      <c r="N2069" s="165"/>
      <c r="O2069" s="165"/>
      <c r="P2069" s="165"/>
      <c r="Q2069" s="165"/>
      <c r="R2069" s="165"/>
      <c r="S2069" s="165"/>
      <c r="T2069" s="165"/>
      <c r="U2069" s="165"/>
      <c r="V2069" s="165"/>
      <c r="W2069" s="165"/>
      <c r="X2069" s="165"/>
    </row>
    <row r="2070" ht="18.75" customHeight="1">
      <c r="A2070" s="165">
        <v>2067.0</v>
      </c>
      <c r="B2070" s="167" t="s">
        <v>17519</v>
      </c>
      <c r="C2070" s="165"/>
      <c r="D2070" s="165"/>
      <c r="E2070" s="165"/>
      <c r="F2070" s="165"/>
      <c r="G2070" s="165"/>
      <c r="H2070" s="165"/>
      <c r="I2070" s="165"/>
      <c r="J2070" s="165"/>
      <c r="K2070" s="165"/>
      <c r="L2070" s="165"/>
      <c r="M2070" s="165"/>
      <c r="N2070" s="165"/>
      <c r="O2070" s="165"/>
      <c r="P2070" s="165"/>
      <c r="Q2070" s="165"/>
      <c r="R2070" s="165"/>
      <c r="S2070" s="165"/>
      <c r="T2070" s="165"/>
      <c r="U2070" s="165"/>
      <c r="V2070" s="165"/>
      <c r="W2070" s="165"/>
      <c r="X2070" s="165"/>
    </row>
    <row r="2071" ht="18.75" customHeight="1">
      <c r="A2071" s="165">
        <v>2068.0</v>
      </c>
      <c r="B2071" s="165" t="s">
        <v>17520</v>
      </c>
      <c r="C2071" s="165"/>
      <c r="D2071" s="165"/>
      <c r="E2071" s="165"/>
      <c r="F2071" s="165"/>
      <c r="G2071" s="165"/>
      <c r="H2071" s="165"/>
      <c r="I2071" s="165"/>
      <c r="J2071" s="165"/>
      <c r="K2071" s="165"/>
      <c r="L2071" s="165"/>
      <c r="M2071" s="165"/>
      <c r="N2071" s="165"/>
      <c r="O2071" s="165"/>
      <c r="P2071" s="165"/>
      <c r="Q2071" s="165"/>
      <c r="R2071" s="165"/>
      <c r="S2071" s="165"/>
      <c r="T2071" s="165"/>
      <c r="U2071" s="165"/>
      <c r="V2071" s="165"/>
      <c r="W2071" s="165"/>
      <c r="X2071" s="165"/>
    </row>
    <row r="2072" ht="18.75" customHeight="1">
      <c r="A2072" s="165">
        <v>2069.0</v>
      </c>
      <c r="B2072" s="165" t="s">
        <v>17521</v>
      </c>
      <c r="C2072" s="165"/>
      <c r="D2072" s="165"/>
      <c r="E2072" s="165"/>
      <c r="F2072" s="165"/>
      <c r="G2072" s="165"/>
      <c r="H2072" s="165"/>
      <c r="I2072" s="165"/>
      <c r="J2072" s="165"/>
      <c r="K2072" s="165"/>
      <c r="L2072" s="165"/>
      <c r="M2072" s="165"/>
      <c r="N2072" s="165"/>
      <c r="O2072" s="165"/>
      <c r="P2072" s="165"/>
      <c r="Q2072" s="165"/>
      <c r="R2072" s="165"/>
      <c r="S2072" s="165"/>
      <c r="T2072" s="165"/>
      <c r="U2072" s="165"/>
      <c r="V2072" s="165"/>
      <c r="W2072" s="165"/>
      <c r="X2072" s="165"/>
    </row>
    <row r="2073" ht="18.75" customHeight="1">
      <c r="A2073" s="165">
        <v>2070.0</v>
      </c>
      <c r="B2073" s="165" t="s">
        <v>17522</v>
      </c>
      <c r="C2073" s="165"/>
      <c r="D2073" s="165"/>
      <c r="E2073" s="165"/>
      <c r="F2073" s="165"/>
      <c r="G2073" s="165"/>
      <c r="H2073" s="165"/>
      <c r="I2073" s="165"/>
      <c r="J2073" s="165"/>
      <c r="K2073" s="165"/>
      <c r="L2073" s="165"/>
      <c r="M2073" s="165"/>
      <c r="N2073" s="165"/>
      <c r="O2073" s="165"/>
      <c r="P2073" s="165"/>
      <c r="Q2073" s="165"/>
      <c r="R2073" s="165"/>
      <c r="S2073" s="165"/>
      <c r="T2073" s="165"/>
      <c r="U2073" s="165"/>
      <c r="V2073" s="165"/>
      <c r="W2073" s="165"/>
      <c r="X2073" s="165"/>
    </row>
    <row r="2074" ht="18.75" customHeight="1">
      <c r="A2074" s="165">
        <v>2071.0</v>
      </c>
      <c r="B2074" s="165" t="s">
        <v>17523</v>
      </c>
      <c r="C2074" s="165"/>
      <c r="D2074" s="165"/>
      <c r="E2074" s="165"/>
      <c r="F2074" s="165"/>
      <c r="G2074" s="165"/>
      <c r="H2074" s="165"/>
      <c r="I2074" s="165"/>
      <c r="J2074" s="165"/>
      <c r="K2074" s="165"/>
      <c r="L2074" s="165"/>
      <c r="M2074" s="165"/>
      <c r="N2074" s="165"/>
      <c r="O2074" s="165"/>
      <c r="P2074" s="165"/>
      <c r="Q2074" s="165"/>
      <c r="R2074" s="165"/>
      <c r="S2074" s="165"/>
      <c r="T2074" s="165"/>
      <c r="U2074" s="165"/>
      <c r="V2074" s="165"/>
      <c r="W2074" s="165"/>
      <c r="X2074" s="165"/>
    </row>
    <row r="2075" ht="18.75" customHeight="1">
      <c r="A2075" s="165">
        <v>2072.0</v>
      </c>
      <c r="B2075" s="165" t="s">
        <v>17524</v>
      </c>
      <c r="C2075" s="165"/>
      <c r="D2075" s="165"/>
      <c r="E2075" s="165"/>
      <c r="F2075" s="165"/>
      <c r="G2075" s="165"/>
      <c r="H2075" s="165"/>
      <c r="I2075" s="165"/>
      <c r="J2075" s="165"/>
      <c r="K2075" s="165"/>
      <c r="L2075" s="165"/>
      <c r="M2075" s="165"/>
      <c r="N2075" s="165"/>
      <c r="O2075" s="165"/>
      <c r="P2075" s="165"/>
      <c r="Q2075" s="165"/>
      <c r="R2075" s="165"/>
      <c r="S2075" s="165"/>
      <c r="T2075" s="165"/>
      <c r="U2075" s="165"/>
      <c r="V2075" s="165"/>
      <c r="W2075" s="165"/>
      <c r="X2075" s="165"/>
    </row>
    <row r="2076" ht="18.75" customHeight="1">
      <c r="A2076" s="165">
        <v>2073.0</v>
      </c>
      <c r="B2076" s="165" t="s">
        <v>17525</v>
      </c>
      <c r="C2076" s="165"/>
      <c r="D2076" s="165"/>
      <c r="E2076" s="165"/>
      <c r="F2076" s="165"/>
      <c r="G2076" s="165"/>
      <c r="H2076" s="165"/>
      <c r="I2076" s="165"/>
      <c r="J2076" s="165"/>
      <c r="K2076" s="165"/>
      <c r="L2076" s="165"/>
      <c r="M2076" s="165"/>
      <c r="N2076" s="165"/>
      <c r="O2076" s="165"/>
      <c r="P2076" s="165"/>
      <c r="Q2076" s="165"/>
      <c r="R2076" s="165"/>
      <c r="S2076" s="165"/>
      <c r="T2076" s="165"/>
      <c r="U2076" s="165"/>
      <c r="V2076" s="165"/>
      <c r="W2076" s="165"/>
      <c r="X2076" s="165"/>
    </row>
    <row r="2077" ht="18.75" customHeight="1">
      <c r="A2077" s="165">
        <v>2074.0</v>
      </c>
      <c r="B2077" s="167" t="s">
        <v>17526</v>
      </c>
      <c r="C2077" s="165"/>
      <c r="D2077" s="165"/>
      <c r="E2077" s="165"/>
      <c r="F2077" s="165"/>
      <c r="G2077" s="165"/>
      <c r="H2077" s="165"/>
      <c r="I2077" s="165"/>
      <c r="J2077" s="165"/>
      <c r="K2077" s="165"/>
      <c r="L2077" s="165"/>
      <c r="M2077" s="165"/>
      <c r="N2077" s="165"/>
      <c r="O2077" s="165"/>
      <c r="P2077" s="165"/>
      <c r="Q2077" s="165"/>
      <c r="R2077" s="165"/>
      <c r="S2077" s="165"/>
      <c r="T2077" s="165"/>
      <c r="U2077" s="165"/>
      <c r="V2077" s="165"/>
      <c r="W2077" s="165"/>
      <c r="X2077" s="165"/>
    </row>
    <row r="2078" ht="18.75" customHeight="1">
      <c r="A2078" s="165">
        <v>2075.0</v>
      </c>
      <c r="B2078" s="167" t="s">
        <v>17527</v>
      </c>
      <c r="C2078" s="165"/>
      <c r="D2078" s="165"/>
      <c r="E2078" s="165"/>
      <c r="F2078" s="165"/>
      <c r="G2078" s="165"/>
      <c r="H2078" s="165"/>
      <c r="I2078" s="165"/>
      <c r="J2078" s="165"/>
      <c r="K2078" s="165"/>
      <c r="L2078" s="165"/>
      <c r="M2078" s="165"/>
      <c r="N2078" s="165"/>
      <c r="O2078" s="165"/>
      <c r="P2078" s="165"/>
      <c r="Q2078" s="165"/>
      <c r="R2078" s="165"/>
      <c r="S2078" s="165"/>
      <c r="T2078" s="165"/>
      <c r="U2078" s="165"/>
      <c r="V2078" s="165"/>
      <c r="W2078" s="165"/>
      <c r="X2078" s="165"/>
    </row>
    <row r="2079" ht="18.75" customHeight="1">
      <c r="A2079" s="165">
        <v>2076.0</v>
      </c>
      <c r="B2079" s="168" t="s">
        <v>17528</v>
      </c>
      <c r="C2079" s="165"/>
      <c r="D2079" s="165"/>
      <c r="E2079" s="165"/>
      <c r="F2079" s="165"/>
      <c r="G2079" s="165"/>
      <c r="H2079" s="165"/>
      <c r="I2079" s="165"/>
      <c r="J2079" s="165"/>
      <c r="K2079" s="165"/>
      <c r="L2079" s="165"/>
      <c r="M2079" s="165"/>
      <c r="N2079" s="165"/>
      <c r="O2079" s="165"/>
      <c r="P2079" s="165"/>
      <c r="Q2079" s="165"/>
      <c r="R2079" s="165"/>
      <c r="S2079" s="165"/>
      <c r="T2079" s="165"/>
      <c r="U2079" s="165"/>
      <c r="V2079" s="165"/>
      <c r="W2079" s="165"/>
      <c r="X2079" s="165"/>
    </row>
    <row r="2080" ht="18.75" customHeight="1">
      <c r="A2080" s="165">
        <v>2077.0</v>
      </c>
      <c r="B2080" s="167" t="s">
        <v>17491</v>
      </c>
      <c r="C2080" s="165"/>
      <c r="D2080" s="165"/>
      <c r="E2080" s="165"/>
      <c r="F2080" s="165"/>
      <c r="G2080" s="165"/>
      <c r="H2080" s="165"/>
      <c r="I2080" s="165"/>
      <c r="J2080" s="165"/>
      <c r="K2080" s="165"/>
      <c r="L2080" s="165"/>
      <c r="M2080" s="165"/>
      <c r="N2080" s="165"/>
      <c r="O2080" s="165"/>
      <c r="P2080" s="165"/>
      <c r="Q2080" s="165"/>
      <c r="R2080" s="165"/>
      <c r="S2080" s="165"/>
      <c r="T2080" s="165"/>
      <c r="U2080" s="165"/>
      <c r="V2080" s="165"/>
      <c r="W2080" s="165"/>
      <c r="X2080" s="165"/>
    </row>
    <row r="2081" ht="18.75" customHeight="1">
      <c r="A2081" s="165">
        <v>2078.0</v>
      </c>
      <c r="B2081" s="167" t="s">
        <v>17529</v>
      </c>
      <c r="C2081" s="165"/>
      <c r="D2081" s="165"/>
      <c r="E2081" s="165"/>
      <c r="F2081" s="165"/>
      <c r="G2081" s="165"/>
      <c r="H2081" s="165"/>
      <c r="I2081" s="165"/>
      <c r="J2081" s="165"/>
      <c r="K2081" s="165"/>
      <c r="L2081" s="165"/>
      <c r="M2081" s="165"/>
      <c r="N2081" s="165"/>
      <c r="O2081" s="165"/>
      <c r="P2081" s="165"/>
      <c r="Q2081" s="165"/>
      <c r="R2081" s="165"/>
      <c r="S2081" s="165"/>
      <c r="T2081" s="165"/>
      <c r="U2081" s="165"/>
      <c r="V2081" s="165"/>
      <c r="W2081" s="165"/>
      <c r="X2081" s="165"/>
    </row>
    <row r="2082" ht="18.75" customHeight="1">
      <c r="A2082" s="165">
        <v>2079.0</v>
      </c>
      <c r="B2082" s="167" t="s">
        <v>17530</v>
      </c>
      <c r="C2082" s="165"/>
      <c r="D2082" s="165"/>
      <c r="E2082" s="165"/>
      <c r="F2082" s="165"/>
      <c r="G2082" s="165"/>
      <c r="H2082" s="165"/>
      <c r="I2082" s="165"/>
      <c r="J2082" s="165"/>
      <c r="K2082" s="165"/>
      <c r="L2082" s="165"/>
      <c r="M2082" s="165"/>
      <c r="N2082" s="165"/>
      <c r="O2082" s="165"/>
      <c r="P2082" s="165"/>
      <c r="Q2082" s="165"/>
      <c r="R2082" s="165"/>
      <c r="S2082" s="165"/>
      <c r="T2082" s="165"/>
      <c r="U2082" s="165"/>
      <c r="V2082" s="165"/>
      <c r="W2082" s="165"/>
      <c r="X2082" s="165"/>
    </row>
    <row r="2083" ht="18.75" customHeight="1">
      <c r="A2083" s="165">
        <v>2080.0</v>
      </c>
      <c r="B2083" s="167" t="s">
        <v>17531</v>
      </c>
      <c r="C2083" s="165"/>
      <c r="D2083" s="165"/>
      <c r="E2083" s="165"/>
      <c r="F2083" s="165"/>
      <c r="G2083" s="165"/>
      <c r="H2083" s="165"/>
      <c r="I2083" s="165"/>
      <c r="J2083" s="165"/>
      <c r="K2083" s="165"/>
      <c r="L2083" s="165"/>
      <c r="M2083" s="165"/>
      <c r="N2083" s="165"/>
      <c r="O2083" s="165"/>
      <c r="P2083" s="165"/>
      <c r="Q2083" s="165"/>
      <c r="R2083" s="165"/>
      <c r="S2083" s="165"/>
      <c r="T2083" s="165"/>
      <c r="U2083" s="165"/>
      <c r="V2083" s="165"/>
      <c r="W2083" s="165"/>
      <c r="X2083" s="165"/>
    </row>
    <row r="2084" ht="18.75" customHeight="1">
      <c r="A2084" s="165">
        <v>2081.0</v>
      </c>
      <c r="B2084" s="167" t="s">
        <v>17532</v>
      </c>
      <c r="C2084" s="165"/>
      <c r="D2084" s="165"/>
      <c r="E2084" s="165"/>
      <c r="F2084" s="165"/>
      <c r="G2084" s="165"/>
      <c r="H2084" s="165"/>
      <c r="I2084" s="165"/>
      <c r="J2084" s="165"/>
      <c r="K2084" s="165"/>
      <c r="L2084" s="165"/>
      <c r="M2084" s="165"/>
      <c r="N2084" s="165"/>
      <c r="O2084" s="165"/>
      <c r="P2084" s="165"/>
      <c r="Q2084" s="165"/>
      <c r="R2084" s="165"/>
      <c r="S2084" s="165"/>
      <c r="T2084" s="165"/>
      <c r="U2084" s="165"/>
      <c r="V2084" s="165"/>
      <c r="W2084" s="165"/>
      <c r="X2084" s="165"/>
    </row>
    <row r="2085" ht="18.75" customHeight="1">
      <c r="A2085" s="165">
        <v>2082.0</v>
      </c>
      <c r="B2085" s="167" t="s">
        <v>17533</v>
      </c>
      <c r="C2085" s="165"/>
      <c r="D2085" s="165"/>
      <c r="E2085" s="165"/>
      <c r="F2085" s="165"/>
      <c r="G2085" s="165"/>
      <c r="H2085" s="165"/>
      <c r="I2085" s="165"/>
      <c r="J2085" s="165"/>
      <c r="K2085" s="165"/>
      <c r="L2085" s="165"/>
      <c r="M2085" s="165"/>
      <c r="N2085" s="165"/>
      <c r="O2085" s="165"/>
      <c r="P2085" s="165"/>
      <c r="Q2085" s="165"/>
      <c r="R2085" s="165"/>
      <c r="S2085" s="165"/>
      <c r="T2085" s="165"/>
      <c r="U2085" s="165"/>
      <c r="V2085" s="165"/>
      <c r="W2085" s="165"/>
      <c r="X2085" s="165"/>
    </row>
    <row r="2086" ht="18.75" customHeight="1">
      <c r="A2086" s="165">
        <v>2083.0</v>
      </c>
      <c r="B2086" s="165" t="s">
        <v>17534</v>
      </c>
      <c r="C2086" s="165"/>
      <c r="D2086" s="165"/>
      <c r="E2086" s="165"/>
      <c r="F2086" s="165"/>
      <c r="G2086" s="165"/>
      <c r="H2086" s="165"/>
      <c r="I2086" s="165"/>
      <c r="J2086" s="165"/>
      <c r="K2086" s="165"/>
      <c r="L2086" s="165"/>
      <c r="M2086" s="165"/>
      <c r="N2086" s="165"/>
      <c r="O2086" s="165"/>
      <c r="P2086" s="165"/>
      <c r="Q2086" s="165"/>
      <c r="R2086" s="165"/>
      <c r="S2086" s="165"/>
      <c r="T2086" s="165"/>
      <c r="U2086" s="165"/>
      <c r="V2086" s="165"/>
      <c r="W2086" s="165"/>
      <c r="X2086" s="165"/>
    </row>
    <row r="2087" ht="18.75" customHeight="1">
      <c r="A2087" s="165">
        <v>2084.0</v>
      </c>
      <c r="B2087" s="165" t="s">
        <v>17535</v>
      </c>
      <c r="C2087" s="165"/>
      <c r="D2087" s="165"/>
      <c r="E2087" s="165"/>
      <c r="F2087" s="165"/>
      <c r="G2087" s="165"/>
      <c r="H2087" s="165"/>
      <c r="I2087" s="165"/>
      <c r="J2087" s="165"/>
      <c r="K2087" s="165"/>
      <c r="L2087" s="165"/>
      <c r="M2087" s="165"/>
      <c r="N2087" s="165"/>
      <c r="O2087" s="165"/>
      <c r="P2087" s="165"/>
      <c r="Q2087" s="165"/>
      <c r="R2087" s="165"/>
      <c r="S2087" s="165"/>
      <c r="T2087" s="165"/>
      <c r="U2087" s="165"/>
      <c r="V2087" s="165"/>
      <c r="W2087" s="165"/>
      <c r="X2087" s="165"/>
    </row>
    <row r="2088" ht="18.75" customHeight="1">
      <c r="A2088" s="165">
        <v>2085.0</v>
      </c>
      <c r="B2088" s="165" t="s">
        <v>17536</v>
      </c>
      <c r="C2088" s="165"/>
      <c r="D2088" s="165"/>
      <c r="E2088" s="165"/>
      <c r="F2088" s="165"/>
      <c r="G2088" s="165"/>
      <c r="H2088" s="165"/>
      <c r="I2088" s="165"/>
      <c r="J2088" s="165"/>
      <c r="K2088" s="165"/>
      <c r="L2088" s="165"/>
      <c r="M2088" s="165"/>
      <c r="N2088" s="165"/>
      <c r="O2088" s="165"/>
      <c r="P2088" s="165"/>
      <c r="Q2088" s="165"/>
      <c r="R2088" s="165"/>
      <c r="S2088" s="165"/>
      <c r="T2088" s="165"/>
      <c r="U2088" s="165"/>
      <c r="V2088" s="165"/>
      <c r="W2088" s="165"/>
      <c r="X2088" s="165"/>
    </row>
    <row r="2089" ht="18.75" customHeight="1">
      <c r="A2089" s="165">
        <v>2086.0</v>
      </c>
      <c r="B2089" s="165" t="s">
        <v>17537</v>
      </c>
      <c r="C2089" s="165"/>
      <c r="D2089" s="165"/>
      <c r="E2089" s="165"/>
      <c r="F2089" s="165"/>
      <c r="G2089" s="165"/>
      <c r="H2089" s="165"/>
      <c r="I2089" s="165"/>
      <c r="J2089" s="165"/>
      <c r="K2089" s="165"/>
      <c r="L2089" s="165"/>
      <c r="M2089" s="165"/>
      <c r="N2089" s="165"/>
      <c r="O2089" s="165"/>
      <c r="P2089" s="165"/>
      <c r="Q2089" s="165"/>
      <c r="R2089" s="165"/>
      <c r="S2089" s="165"/>
      <c r="T2089" s="165"/>
      <c r="U2089" s="165"/>
      <c r="V2089" s="165"/>
      <c r="W2089" s="165"/>
      <c r="X2089" s="165"/>
    </row>
    <row r="2090" ht="18.75" customHeight="1">
      <c r="A2090" s="165">
        <v>2087.0</v>
      </c>
      <c r="B2090" s="168" t="s">
        <v>17538</v>
      </c>
      <c r="C2090" s="165"/>
      <c r="D2090" s="165"/>
      <c r="E2090" s="165"/>
      <c r="F2090" s="165"/>
      <c r="G2090" s="165"/>
      <c r="H2090" s="165"/>
      <c r="I2090" s="165"/>
      <c r="J2090" s="165"/>
      <c r="K2090" s="165"/>
      <c r="L2090" s="165"/>
      <c r="M2090" s="165"/>
      <c r="N2090" s="165"/>
      <c r="O2090" s="165"/>
      <c r="P2090" s="165"/>
      <c r="Q2090" s="165"/>
      <c r="R2090" s="165"/>
      <c r="S2090" s="165"/>
      <c r="T2090" s="165"/>
      <c r="U2090" s="165"/>
      <c r="V2090" s="165"/>
      <c r="W2090" s="165"/>
      <c r="X2090" s="165"/>
    </row>
    <row r="2091" ht="18.75" customHeight="1">
      <c r="A2091" s="165">
        <v>2088.0</v>
      </c>
      <c r="B2091" s="168" t="s">
        <v>17539</v>
      </c>
      <c r="C2091" s="165"/>
      <c r="D2091" s="165"/>
      <c r="E2091" s="165"/>
      <c r="F2091" s="165"/>
      <c r="G2091" s="165"/>
      <c r="H2091" s="165"/>
      <c r="I2091" s="165"/>
      <c r="J2091" s="165"/>
      <c r="K2091" s="165"/>
      <c r="L2091" s="165"/>
      <c r="M2091" s="165"/>
      <c r="N2091" s="165"/>
      <c r="O2091" s="165"/>
      <c r="P2091" s="165"/>
      <c r="Q2091" s="165"/>
      <c r="R2091" s="165"/>
      <c r="S2091" s="165"/>
      <c r="T2091" s="165"/>
      <c r="U2091" s="165"/>
      <c r="V2091" s="165"/>
      <c r="W2091" s="165"/>
      <c r="X2091" s="165"/>
    </row>
    <row r="2092" ht="18.75" customHeight="1">
      <c r="A2092" s="165">
        <v>2089.0</v>
      </c>
      <c r="B2092" s="167" t="s">
        <v>17540</v>
      </c>
      <c r="C2092" s="165"/>
      <c r="D2092" s="165"/>
      <c r="E2092" s="165"/>
      <c r="F2092" s="165"/>
      <c r="G2092" s="165"/>
      <c r="H2092" s="165"/>
      <c r="I2092" s="165"/>
      <c r="J2092" s="165"/>
      <c r="K2092" s="165"/>
      <c r="L2092" s="165"/>
      <c r="M2092" s="165"/>
      <c r="N2092" s="165"/>
      <c r="O2092" s="165"/>
      <c r="P2092" s="165"/>
      <c r="Q2092" s="165"/>
      <c r="R2092" s="165"/>
      <c r="S2092" s="165"/>
      <c r="T2092" s="165"/>
      <c r="U2092" s="165"/>
      <c r="V2092" s="165"/>
      <c r="W2092" s="165"/>
      <c r="X2092" s="165"/>
    </row>
    <row r="2093" ht="18.75" customHeight="1">
      <c r="A2093" s="165">
        <v>2090.0</v>
      </c>
      <c r="B2093" s="167" t="s">
        <v>17541</v>
      </c>
      <c r="C2093" s="165"/>
      <c r="D2093" s="165"/>
      <c r="E2093" s="165"/>
      <c r="F2093" s="165"/>
      <c r="G2093" s="165"/>
      <c r="H2093" s="165"/>
      <c r="I2093" s="165"/>
      <c r="J2093" s="165"/>
      <c r="K2093" s="165"/>
      <c r="L2093" s="165"/>
      <c r="M2093" s="165"/>
      <c r="N2093" s="165"/>
      <c r="O2093" s="165"/>
      <c r="P2093" s="165"/>
      <c r="Q2093" s="165"/>
      <c r="R2093" s="165"/>
      <c r="S2093" s="165"/>
      <c r="T2093" s="165"/>
      <c r="U2093" s="165"/>
      <c r="V2093" s="165"/>
      <c r="W2093" s="165"/>
      <c r="X2093" s="165"/>
    </row>
    <row r="2094" ht="18.75" customHeight="1">
      <c r="A2094" s="165">
        <v>2091.0</v>
      </c>
      <c r="B2094" s="167" t="s">
        <v>17542</v>
      </c>
      <c r="C2094" s="165"/>
      <c r="D2094" s="165"/>
      <c r="E2094" s="165"/>
      <c r="F2094" s="165"/>
      <c r="G2094" s="165"/>
      <c r="H2094" s="165"/>
      <c r="I2094" s="165"/>
      <c r="J2094" s="165"/>
      <c r="K2094" s="165"/>
      <c r="L2094" s="165"/>
      <c r="M2094" s="165"/>
      <c r="N2094" s="165"/>
      <c r="O2094" s="165"/>
      <c r="P2094" s="165"/>
      <c r="Q2094" s="165"/>
      <c r="R2094" s="165"/>
      <c r="S2094" s="165"/>
      <c r="T2094" s="165"/>
      <c r="U2094" s="165"/>
      <c r="V2094" s="165"/>
      <c r="W2094" s="165"/>
      <c r="X2094" s="165"/>
    </row>
    <row r="2095" ht="18.75" customHeight="1">
      <c r="A2095" s="165">
        <v>2092.0</v>
      </c>
      <c r="B2095" s="167" t="s">
        <v>17543</v>
      </c>
      <c r="C2095" s="165"/>
      <c r="D2095" s="165"/>
      <c r="E2095" s="165"/>
      <c r="F2095" s="165"/>
      <c r="G2095" s="165"/>
      <c r="H2095" s="165"/>
      <c r="I2095" s="165"/>
      <c r="J2095" s="165"/>
      <c r="K2095" s="165"/>
      <c r="L2095" s="165"/>
      <c r="M2095" s="165"/>
      <c r="N2095" s="165"/>
      <c r="O2095" s="165"/>
      <c r="P2095" s="165"/>
      <c r="Q2095" s="165"/>
      <c r="R2095" s="165"/>
      <c r="S2095" s="165"/>
      <c r="T2095" s="165"/>
      <c r="U2095" s="165"/>
      <c r="V2095" s="165"/>
      <c r="W2095" s="165"/>
      <c r="X2095" s="165"/>
    </row>
    <row r="2096" ht="18.75" customHeight="1">
      <c r="A2096" s="165">
        <v>2093.0</v>
      </c>
      <c r="B2096" s="167" t="s">
        <v>17544</v>
      </c>
      <c r="C2096" s="165"/>
      <c r="D2096" s="165"/>
      <c r="E2096" s="165"/>
      <c r="F2096" s="165"/>
      <c r="G2096" s="165"/>
      <c r="H2096" s="165"/>
      <c r="I2096" s="165"/>
      <c r="J2096" s="165"/>
      <c r="K2096" s="165"/>
      <c r="L2096" s="165"/>
      <c r="M2096" s="165"/>
      <c r="N2096" s="165"/>
      <c r="O2096" s="165"/>
      <c r="P2096" s="165"/>
      <c r="Q2096" s="165"/>
      <c r="R2096" s="165"/>
      <c r="S2096" s="165"/>
      <c r="T2096" s="165"/>
      <c r="U2096" s="165"/>
      <c r="V2096" s="165"/>
      <c r="W2096" s="165"/>
      <c r="X2096" s="165"/>
    </row>
    <row r="2097" ht="18.75" customHeight="1">
      <c r="A2097" s="165">
        <v>2094.0</v>
      </c>
      <c r="B2097" s="167" t="s">
        <v>17545</v>
      </c>
      <c r="C2097" s="165"/>
      <c r="D2097" s="165"/>
      <c r="E2097" s="165"/>
      <c r="F2097" s="165"/>
      <c r="G2097" s="165"/>
      <c r="H2097" s="165"/>
      <c r="I2097" s="165"/>
      <c r="J2097" s="165"/>
      <c r="K2097" s="165"/>
      <c r="L2097" s="165"/>
      <c r="M2097" s="165"/>
      <c r="N2097" s="165"/>
      <c r="O2097" s="165"/>
      <c r="P2097" s="165"/>
      <c r="Q2097" s="165"/>
      <c r="R2097" s="165"/>
      <c r="S2097" s="165"/>
      <c r="T2097" s="165"/>
      <c r="U2097" s="165"/>
      <c r="V2097" s="165"/>
      <c r="W2097" s="165"/>
      <c r="X2097" s="165"/>
    </row>
    <row r="2098" ht="18.75" customHeight="1">
      <c r="A2098" s="165">
        <v>2095.0</v>
      </c>
      <c r="B2098" s="165" t="s">
        <v>17546</v>
      </c>
      <c r="C2098" s="165"/>
      <c r="D2098" s="165"/>
      <c r="E2098" s="165"/>
      <c r="F2098" s="165"/>
      <c r="G2098" s="165"/>
      <c r="H2098" s="165"/>
      <c r="I2098" s="165"/>
      <c r="J2098" s="165"/>
      <c r="K2098" s="165"/>
      <c r="L2098" s="165"/>
      <c r="M2098" s="165"/>
      <c r="N2098" s="165"/>
      <c r="O2098" s="165"/>
      <c r="P2098" s="165"/>
      <c r="Q2098" s="165"/>
      <c r="R2098" s="165"/>
      <c r="S2098" s="165"/>
      <c r="T2098" s="165"/>
      <c r="U2098" s="165"/>
      <c r="V2098" s="165"/>
      <c r="W2098" s="165"/>
      <c r="X2098" s="165"/>
    </row>
    <row r="2099" ht="18.75" customHeight="1">
      <c r="A2099" s="165">
        <v>2096.0</v>
      </c>
      <c r="B2099" s="167" t="s">
        <v>17547</v>
      </c>
      <c r="C2099" s="165"/>
      <c r="D2099" s="165"/>
      <c r="E2099" s="165"/>
      <c r="F2099" s="165"/>
      <c r="G2099" s="165"/>
      <c r="H2099" s="165"/>
      <c r="I2099" s="165"/>
      <c r="J2099" s="165"/>
      <c r="K2099" s="165"/>
      <c r="L2099" s="165"/>
      <c r="M2099" s="165"/>
      <c r="N2099" s="165"/>
      <c r="O2099" s="165"/>
      <c r="P2099" s="165"/>
      <c r="Q2099" s="165"/>
      <c r="R2099" s="165"/>
      <c r="S2099" s="165"/>
      <c r="T2099" s="165"/>
      <c r="U2099" s="165"/>
      <c r="V2099" s="165"/>
      <c r="W2099" s="165"/>
      <c r="X2099" s="165"/>
    </row>
    <row r="2100" ht="18.75" customHeight="1">
      <c r="A2100" s="165">
        <v>2097.0</v>
      </c>
      <c r="B2100" s="165" t="s">
        <v>17548</v>
      </c>
      <c r="C2100" s="165"/>
      <c r="D2100" s="165"/>
      <c r="E2100" s="165"/>
      <c r="F2100" s="165"/>
      <c r="G2100" s="165"/>
      <c r="H2100" s="165"/>
      <c r="I2100" s="165"/>
      <c r="J2100" s="165"/>
      <c r="K2100" s="165"/>
      <c r="L2100" s="165"/>
      <c r="M2100" s="165"/>
      <c r="N2100" s="165"/>
      <c r="O2100" s="165"/>
      <c r="P2100" s="165"/>
      <c r="Q2100" s="165"/>
      <c r="R2100" s="165"/>
      <c r="S2100" s="165"/>
      <c r="T2100" s="165"/>
      <c r="U2100" s="165"/>
      <c r="V2100" s="165"/>
      <c r="W2100" s="165"/>
      <c r="X2100" s="165"/>
    </row>
    <row r="2101" ht="18.75" customHeight="1">
      <c r="A2101" s="165">
        <v>2098.0</v>
      </c>
      <c r="B2101" s="167" t="s">
        <v>17229</v>
      </c>
      <c r="C2101" s="165"/>
      <c r="D2101" s="165"/>
      <c r="E2101" s="165"/>
      <c r="F2101" s="165"/>
      <c r="G2101" s="165"/>
      <c r="H2101" s="165"/>
      <c r="I2101" s="165"/>
      <c r="J2101" s="165"/>
      <c r="K2101" s="165"/>
      <c r="L2101" s="165"/>
      <c r="M2101" s="165"/>
      <c r="N2101" s="165"/>
      <c r="O2101" s="165"/>
      <c r="P2101" s="165"/>
      <c r="Q2101" s="165"/>
      <c r="R2101" s="165"/>
      <c r="S2101" s="165"/>
      <c r="T2101" s="165"/>
      <c r="U2101" s="165"/>
      <c r="V2101" s="165"/>
      <c r="W2101" s="165"/>
      <c r="X2101" s="165"/>
    </row>
    <row r="2102" ht="18.75" customHeight="1">
      <c r="A2102" s="165">
        <v>2099.0</v>
      </c>
      <c r="B2102" s="165" t="s">
        <v>17549</v>
      </c>
      <c r="C2102" s="165"/>
      <c r="D2102" s="165"/>
      <c r="E2102" s="165"/>
      <c r="F2102" s="165"/>
      <c r="G2102" s="165"/>
      <c r="H2102" s="165"/>
      <c r="I2102" s="165"/>
      <c r="J2102" s="165"/>
      <c r="K2102" s="165"/>
      <c r="L2102" s="165"/>
      <c r="M2102" s="165"/>
      <c r="N2102" s="165"/>
      <c r="O2102" s="165"/>
      <c r="P2102" s="165"/>
      <c r="Q2102" s="165"/>
      <c r="R2102" s="165"/>
      <c r="S2102" s="165"/>
      <c r="T2102" s="165"/>
      <c r="U2102" s="165"/>
      <c r="V2102" s="165"/>
      <c r="W2102" s="165"/>
      <c r="X2102" s="165"/>
    </row>
    <row r="2103" ht="18.75" customHeight="1">
      <c r="A2103" s="165">
        <v>2100.0</v>
      </c>
      <c r="B2103" s="167" t="s">
        <v>17550</v>
      </c>
      <c r="C2103" s="165"/>
      <c r="D2103" s="165"/>
      <c r="E2103" s="165"/>
      <c r="F2103" s="165"/>
      <c r="G2103" s="165"/>
      <c r="H2103" s="165"/>
      <c r="I2103" s="165"/>
      <c r="J2103" s="165"/>
      <c r="K2103" s="165"/>
      <c r="L2103" s="165"/>
      <c r="M2103" s="165"/>
      <c r="N2103" s="165"/>
      <c r="O2103" s="165"/>
      <c r="P2103" s="165"/>
      <c r="Q2103" s="165"/>
      <c r="R2103" s="165"/>
      <c r="S2103" s="165"/>
      <c r="T2103" s="165"/>
      <c r="U2103" s="165"/>
      <c r="V2103" s="165"/>
      <c r="W2103" s="165"/>
      <c r="X2103" s="165"/>
    </row>
    <row r="2104" ht="18.75" customHeight="1">
      <c r="A2104" s="165">
        <v>2101.0</v>
      </c>
      <c r="B2104" s="167" t="s">
        <v>17551</v>
      </c>
      <c r="C2104" s="165"/>
      <c r="D2104" s="165"/>
      <c r="E2104" s="165"/>
      <c r="F2104" s="165"/>
      <c r="G2104" s="165"/>
      <c r="H2104" s="165"/>
      <c r="I2104" s="165"/>
      <c r="J2104" s="165"/>
      <c r="K2104" s="165"/>
      <c r="L2104" s="165"/>
      <c r="M2104" s="165"/>
      <c r="N2104" s="165"/>
      <c r="O2104" s="165"/>
      <c r="P2104" s="165"/>
      <c r="Q2104" s="165"/>
      <c r="R2104" s="165"/>
      <c r="S2104" s="165"/>
      <c r="T2104" s="165"/>
      <c r="U2104" s="165"/>
      <c r="V2104" s="165"/>
      <c r="W2104" s="165"/>
      <c r="X2104" s="165"/>
    </row>
    <row r="2105" ht="18.75" customHeight="1">
      <c r="A2105" s="165">
        <v>2102.0</v>
      </c>
      <c r="B2105" s="167" t="s">
        <v>17552</v>
      </c>
      <c r="C2105" s="165"/>
      <c r="D2105" s="165"/>
      <c r="E2105" s="165"/>
      <c r="F2105" s="165"/>
      <c r="G2105" s="165"/>
      <c r="H2105" s="165"/>
      <c r="I2105" s="165"/>
      <c r="J2105" s="165"/>
      <c r="K2105" s="165"/>
      <c r="L2105" s="165"/>
      <c r="M2105" s="165"/>
      <c r="N2105" s="165"/>
      <c r="O2105" s="165"/>
      <c r="P2105" s="165"/>
      <c r="Q2105" s="165"/>
      <c r="R2105" s="165"/>
      <c r="S2105" s="165"/>
      <c r="T2105" s="165"/>
      <c r="U2105" s="165"/>
      <c r="V2105" s="165"/>
      <c r="W2105" s="165"/>
      <c r="X2105" s="165"/>
    </row>
    <row r="2106" ht="18.75" customHeight="1">
      <c r="A2106" s="165">
        <v>2103.0</v>
      </c>
      <c r="B2106" s="167" t="s">
        <v>17553</v>
      </c>
      <c r="C2106" s="165"/>
      <c r="D2106" s="165"/>
      <c r="E2106" s="165"/>
      <c r="F2106" s="165"/>
      <c r="G2106" s="165"/>
      <c r="H2106" s="165"/>
      <c r="I2106" s="165"/>
      <c r="J2106" s="165"/>
      <c r="K2106" s="165"/>
      <c r="L2106" s="165"/>
      <c r="M2106" s="165"/>
      <c r="N2106" s="165"/>
      <c r="O2106" s="165"/>
      <c r="P2106" s="165"/>
      <c r="Q2106" s="165"/>
      <c r="R2106" s="165"/>
      <c r="S2106" s="165"/>
      <c r="T2106" s="165"/>
      <c r="U2106" s="165"/>
      <c r="V2106" s="165"/>
      <c r="W2106" s="165"/>
      <c r="X2106" s="165"/>
    </row>
    <row r="2107" ht="18.75" customHeight="1">
      <c r="A2107" s="165">
        <v>2104.0</v>
      </c>
      <c r="B2107" s="167" t="s">
        <v>17554</v>
      </c>
      <c r="C2107" s="165"/>
      <c r="D2107" s="165"/>
      <c r="E2107" s="165"/>
      <c r="F2107" s="165"/>
      <c r="G2107" s="165"/>
      <c r="H2107" s="165"/>
      <c r="I2107" s="165"/>
      <c r="J2107" s="165"/>
      <c r="K2107" s="165"/>
      <c r="L2107" s="165"/>
      <c r="M2107" s="165"/>
      <c r="N2107" s="165"/>
      <c r="O2107" s="165"/>
      <c r="P2107" s="165"/>
      <c r="Q2107" s="165"/>
      <c r="R2107" s="165"/>
      <c r="S2107" s="165"/>
      <c r="T2107" s="165"/>
      <c r="U2107" s="165"/>
      <c r="V2107" s="165"/>
      <c r="W2107" s="165"/>
      <c r="X2107" s="165"/>
    </row>
    <row r="2108" ht="18.75" customHeight="1">
      <c r="A2108" s="165">
        <v>2105.0</v>
      </c>
      <c r="B2108" s="167" t="s">
        <v>17555</v>
      </c>
      <c r="C2108" s="165"/>
      <c r="D2108" s="165"/>
      <c r="E2108" s="165"/>
      <c r="F2108" s="165"/>
      <c r="G2108" s="165"/>
      <c r="H2108" s="165"/>
      <c r="I2108" s="165"/>
      <c r="J2108" s="165"/>
      <c r="K2108" s="165"/>
      <c r="L2108" s="165"/>
      <c r="M2108" s="165"/>
      <c r="N2108" s="165"/>
      <c r="O2108" s="165"/>
      <c r="P2108" s="165"/>
      <c r="Q2108" s="165"/>
      <c r="R2108" s="165"/>
      <c r="S2108" s="165"/>
      <c r="T2108" s="165"/>
      <c r="U2108" s="165"/>
      <c r="V2108" s="165"/>
      <c r="W2108" s="165"/>
      <c r="X2108" s="165"/>
    </row>
    <row r="2109" ht="18.75" customHeight="1">
      <c r="A2109" s="165">
        <v>2106.0</v>
      </c>
      <c r="B2109" s="167" t="s">
        <v>17556</v>
      </c>
      <c r="C2109" s="165"/>
      <c r="D2109" s="165"/>
      <c r="E2109" s="165"/>
      <c r="F2109" s="165"/>
      <c r="G2109" s="165"/>
      <c r="H2109" s="165"/>
      <c r="I2109" s="165"/>
      <c r="J2109" s="165"/>
      <c r="K2109" s="165"/>
      <c r="L2109" s="165"/>
      <c r="M2109" s="165"/>
      <c r="N2109" s="165"/>
      <c r="O2109" s="165"/>
      <c r="P2109" s="165"/>
      <c r="Q2109" s="165"/>
      <c r="R2109" s="165"/>
      <c r="S2109" s="165"/>
      <c r="T2109" s="165"/>
      <c r="U2109" s="165"/>
      <c r="V2109" s="165"/>
      <c r="W2109" s="165"/>
      <c r="X2109" s="165"/>
    </row>
    <row r="2110" ht="18.75" customHeight="1">
      <c r="A2110" s="165">
        <v>2107.0</v>
      </c>
      <c r="B2110" s="167" t="s">
        <v>17557</v>
      </c>
      <c r="C2110" s="165"/>
      <c r="D2110" s="165"/>
      <c r="E2110" s="165"/>
      <c r="F2110" s="165"/>
      <c r="G2110" s="165"/>
      <c r="H2110" s="165"/>
      <c r="I2110" s="165"/>
      <c r="J2110" s="165"/>
      <c r="K2110" s="165"/>
      <c r="L2110" s="165"/>
      <c r="M2110" s="165"/>
      <c r="N2110" s="165"/>
      <c r="O2110" s="165"/>
      <c r="P2110" s="165"/>
      <c r="Q2110" s="165"/>
      <c r="R2110" s="165"/>
      <c r="S2110" s="165"/>
      <c r="T2110" s="165"/>
      <c r="U2110" s="165"/>
      <c r="V2110" s="165"/>
      <c r="W2110" s="165"/>
      <c r="X2110" s="165"/>
    </row>
    <row r="2111" ht="18.75" customHeight="1">
      <c r="A2111" s="165">
        <v>2108.0</v>
      </c>
      <c r="B2111" s="167" t="s">
        <v>17558</v>
      </c>
      <c r="C2111" s="165"/>
      <c r="D2111" s="165"/>
      <c r="E2111" s="165"/>
      <c r="F2111" s="165"/>
      <c r="G2111" s="165"/>
      <c r="H2111" s="165"/>
      <c r="I2111" s="165"/>
      <c r="J2111" s="165"/>
      <c r="K2111" s="165"/>
      <c r="L2111" s="165"/>
      <c r="M2111" s="165"/>
      <c r="N2111" s="165"/>
      <c r="O2111" s="165"/>
      <c r="P2111" s="165"/>
      <c r="Q2111" s="165"/>
      <c r="R2111" s="165"/>
      <c r="S2111" s="165"/>
      <c r="T2111" s="165"/>
      <c r="U2111" s="165"/>
      <c r="V2111" s="165"/>
      <c r="W2111" s="165"/>
      <c r="X2111" s="165"/>
    </row>
    <row r="2112" ht="18.75" customHeight="1">
      <c r="A2112" s="165">
        <v>2109.0</v>
      </c>
      <c r="B2112" s="167" t="s">
        <v>17559</v>
      </c>
      <c r="C2112" s="165"/>
      <c r="D2112" s="165"/>
      <c r="E2112" s="165"/>
      <c r="F2112" s="165"/>
      <c r="G2112" s="165"/>
      <c r="H2112" s="165"/>
      <c r="I2112" s="165"/>
      <c r="J2112" s="165"/>
      <c r="K2112" s="165"/>
      <c r="L2112" s="165"/>
      <c r="M2112" s="165"/>
      <c r="N2112" s="165"/>
      <c r="O2112" s="165"/>
      <c r="P2112" s="165"/>
      <c r="Q2112" s="165"/>
      <c r="R2112" s="165"/>
      <c r="S2112" s="165"/>
      <c r="T2112" s="165"/>
      <c r="U2112" s="165"/>
      <c r="V2112" s="165"/>
      <c r="W2112" s="165"/>
      <c r="X2112" s="165"/>
    </row>
    <row r="2113" ht="18.75" customHeight="1">
      <c r="A2113" s="165">
        <v>2110.0</v>
      </c>
      <c r="B2113" s="167" t="s">
        <v>17560</v>
      </c>
      <c r="C2113" s="165"/>
      <c r="D2113" s="165"/>
      <c r="E2113" s="165"/>
      <c r="F2113" s="165"/>
      <c r="G2113" s="165"/>
      <c r="H2113" s="165"/>
      <c r="I2113" s="165"/>
      <c r="J2113" s="165"/>
      <c r="K2113" s="165"/>
      <c r="L2113" s="165"/>
      <c r="M2113" s="165"/>
      <c r="N2113" s="165"/>
      <c r="O2113" s="165"/>
      <c r="P2113" s="165"/>
      <c r="Q2113" s="165"/>
      <c r="R2113" s="165"/>
      <c r="S2113" s="165"/>
      <c r="T2113" s="165"/>
      <c r="U2113" s="165"/>
      <c r="V2113" s="165"/>
      <c r="W2113" s="165"/>
      <c r="X2113" s="165"/>
    </row>
    <row r="2114" ht="18.75" customHeight="1">
      <c r="A2114" s="165">
        <v>2111.0</v>
      </c>
      <c r="B2114" s="167" t="s">
        <v>17561</v>
      </c>
      <c r="C2114" s="165"/>
      <c r="D2114" s="165"/>
      <c r="E2114" s="165"/>
      <c r="F2114" s="165"/>
      <c r="G2114" s="165"/>
      <c r="H2114" s="165"/>
      <c r="I2114" s="165"/>
      <c r="J2114" s="165"/>
      <c r="K2114" s="165"/>
      <c r="L2114" s="165"/>
      <c r="M2114" s="165"/>
      <c r="N2114" s="165"/>
      <c r="O2114" s="165"/>
      <c r="P2114" s="165"/>
      <c r="Q2114" s="165"/>
      <c r="R2114" s="165"/>
      <c r="S2114" s="165"/>
      <c r="T2114" s="165"/>
      <c r="U2114" s="165"/>
      <c r="V2114" s="165"/>
      <c r="W2114" s="165"/>
      <c r="X2114" s="165"/>
    </row>
    <row r="2115" ht="18.75" customHeight="1">
      <c r="A2115" s="165">
        <v>2112.0</v>
      </c>
      <c r="B2115" s="167" t="s">
        <v>17562</v>
      </c>
      <c r="C2115" s="165"/>
      <c r="D2115" s="165"/>
      <c r="E2115" s="165"/>
      <c r="F2115" s="165"/>
      <c r="G2115" s="165"/>
      <c r="H2115" s="165"/>
      <c r="I2115" s="165"/>
      <c r="J2115" s="165"/>
      <c r="K2115" s="165"/>
      <c r="L2115" s="165"/>
      <c r="M2115" s="165"/>
      <c r="N2115" s="165"/>
      <c r="O2115" s="165"/>
      <c r="P2115" s="165"/>
      <c r="Q2115" s="165"/>
      <c r="R2115" s="165"/>
      <c r="S2115" s="165"/>
      <c r="T2115" s="165"/>
      <c r="U2115" s="165"/>
      <c r="V2115" s="165"/>
      <c r="W2115" s="165"/>
      <c r="X2115" s="165"/>
    </row>
    <row r="2116" ht="18.75" customHeight="1">
      <c r="A2116" s="165">
        <v>2113.0</v>
      </c>
      <c r="B2116" s="167" t="s">
        <v>17563</v>
      </c>
      <c r="C2116" s="165"/>
      <c r="D2116" s="165"/>
      <c r="E2116" s="165"/>
      <c r="F2116" s="165"/>
      <c r="G2116" s="165"/>
      <c r="H2116" s="165"/>
      <c r="I2116" s="165"/>
      <c r="J2116" s="165"/>
      <c r="K2116" s="165"/>
      <c r="L2116" s="165"/>
      <c r="M2116" s="165"/>
      <c r="N2116" s="165"/>
      <c r="O2116" s="165"/>
      <c r="P2116" s="165"/>
      <c r="Q2116" s="165"/>
      <c r="R2116" s="165"/>
      <c r="S2116" s="165"/>
      <c r="T2116" s="165"/>
      <c r="U2116" s="165"/>
      <c r="V2116" s="165"/>
      <c r="W2116" s="165"/>
      <c r="X2116" s="165"/>
    </row>
    <row r="2117" ht="18.75" customHeight="1">
      <c r="A2117" s="165">
        <v>2114.0</v>
      </c>
      <c r="B2117" s="167" t="s">
        <v>17564</v>
      </c>
      <c r="C2117" s="165"/>
      <c r="D2117" s="165"/>
      <c r="E2117" s="165"/>
      <c r="F2117" s="165"/>
      <c r="G2117" s="165"/>
      <c r="H2117" s="165"/>
      <c r="I2117" s="165"/>
      <c r="J2117" s="165"/>
      <c r="K2117" s="165"/>
      <c r="L2117" s="165"/>
      <c r="M2117" s="165"/>
      <c r="N2117" s="165"/>
      <c r="O2117" s="165"/>
      <c r="P2117" s="165"/>
      <c r="Q2117" s="165"/>
      <c r="R2117" s="165"/>
      <c r="S2117" s="165"/>
      <c r="T2117" s="165"/>
      <c r="U2117" s="165"/>
      <c r="V2117" s="165"/>
      <c r="W2117" s="165"/>
      <c r="X2117" s="165"/>
    </row>
    <row r="2118" ht="18.75" customHeight="1">
      <c r="A2118" s="165">
        <v>2115.0</v>
      </c>
      <c r="B2118" s="167" t="s">
        <v>17565</v>
      </c>
      <c r="C2118" s="165"/>
      <c r="D2118" s="165"/>
      <c r="E2118" s="165"/>
      <c r="F2118" s="165"/>
      <c r="G2118" s="165"/>
      <c r="H2118" s="165"/>
      <c r="I2118" s="165"/>
      <c r="J2118" s="165"/>
      <c r="K2118" s="165"/>
      <c r="L2118" s="165"/>
      <c r="M2118" s="165"/>
      <c r="N2118" s="165"/>
      <c r="O2118" s="165"/>
      <c r="P2118" s="165"/>
      <c r="Q2118" s="165"/>
      <c r="R2118" s="165"/>
      <c r="S2118" s="165"/>
      <c r="T2118" s="165"/>
      <c r="U2118" s="165"/>
      <c r="V2118" s="165"/>
      <c r="W2118" s="165"/>
      <c r="X2118" s="165"/>
    </row>
    <row r="2119" ht="18.75" customHeight="1">
      <c r="A2119" s="165">
        <v>2116.0</v>
      </c>
      <c r="B2119" s="167" t="s">
        <v>17566</v>
      </c>
      <c r="C2119" s="165"/>
      <c r="D2119" s="165"/>
      <c r="E2119" s="165"/>
      <c r="F2119" s="165"/>
      <c r="G2119" s="165"/>
      <c r="H2119" s="165"/>
      <c r="I2119" s="165"/>
      <c r="J2119" s="165"/>
      <c r="K2119" s="165"/>
      <c r="L2119" s="165"/>
      <c r="M2119" s="165"/>
      <c r="N2119" s="165"/>
      <c r="O2119" s="165"/>
      <c r="P2119" s="165"/>
      <c r="Q2119" s="165"/>
      <c r="R2119" s="165"/>
      <c r="S2119" s="165"/>
      <c r="T2119" s="165"/>
      <c r="U2119" s="165"/>
      <c r="V2119" s="165"/>
      <c r="W2119" s="165"/>
      <c r="X2119" s="165"/>
    </row>
    <row r="2120" ht="18.75" customHeight="1">
      <c r="A2120" s="165">
        <v>2117.0</v>
      </c>
      <c r="B2120" s="167" t="s">
        <v>17567</v>
      </c>
      <c r="C2120" s="165"/>
      <c r="D2120" s="165"/>
      <c r="E2120" s="165"/>
      <c r="F2120" s="165"/>
      <c r="G2120" s="165"/>
      <c r="H2120" s="165"/>
      <c r="I2120" s="165"/>
      <c r="J2120" s="165"/>
      <c r="K2120" s="165"/>
      <c r="L2120" s="165"/>
      <c r="M2120" s="165"/>
      <c r="N2120" s="165"/>
      <c r="O2120" s="165"/>
      <c r="P2120" s="165"/>
      <c r="Q2120" s="165"/>
      <c r="R2120" s="165"/>
      <c r="S2120" s="165"/>
      <c r="T2120" s="165"/>
      <c r="U2120" s="165"/>
      <c r="V2120" s="165"/>
      <c r="W2120" s="165"/>
      <c r="X2120" s="165"/>
    </row>
    <row r="2121" ht="18.75" customHeight="1">
      <c r="A2121" s="165">
        <v>2118.0</v>
      </c>
      <c r="B2121" s="167" t="s">
        <v>17568</v>
      </c>
      <c r="C2121" s="165"/>
      <c r="D2121" s="165"/>
      <c r="E2121" s="165"/>
      <c r="F2121" s="165"/>
      <c r="G2121" s="165"/>
      <c r="H2121" s="165"/>
      <c r="I2121" s="165"/>
      <c r="J2121" s="165"/>
      <c r="K2121" s="165"/>
      <c r="L2121" s="165"/>
      <c r="M2121" s="165"/>
      <c r="N2121" s="165"/>
      <c r="O2121" s="165"/>
      <c r="P2121" s="165"/>
      <c r="Q2121" s="165"/>
      <c r="R2121" s="165"/>
      <c r="S2121" s="165"/>
      <c r="T2121" s="165"/>
      <c r="U2121" s="165"/>
      <c r="V2121" s="165"/>
      <c r="W2121" s="165"/>
      <c r="X2121" s="165"/>
    </row>
    <row r="2122" ht="18.75" customHeight="1">
      <c r="A2122" s="165">
        <v>2119.0</v>
      </c>
      <c r="B2122" s="167" t="s">
        <v>17569</v>
      </c>
      <c r="C2122" s="165"/>
      <c r="D2122" s="165"/>
      <c r="E2122" s="165"/>
      <c r="F2122" s="165"/>
      <c r="G2122" s="165"/>
      <c r="H2122" s="165"/>
      <c r="I2122" s="165"/>
      <c r="J2122" s="165"/>
      <c r="K2122" s="165"/>
      <c r="L2122" s="165"/>
      <c r="M2122" s="165"/>
      <c r="N2122" s="165"/>
      <c r="O2122" s="165"/>
      <c r="P2122" s="165"/>
      <c r="Q2122" s="165"/>
      <c r="R2122" s="165"/>
      <c r="S2122" s="165"/>
      <c r="T2122" s="165"/>
      <c r="U2122" s="165"/>
      <c r="V2122" s="165"/>
      <c r="W2122" s="165"/>
      <c r="X2122" s="165"/>
    </row>
    <row r="2123" ht="18.75" customHeight="1">
      <c r="A2123" s="165">
        <v>2120.0</v>
      </c>
      <c r="B2123" s="167" t="s">
        <v>17570</v>
      </c>
      <c r="C2123" s="165"/>
      <c r="D2123" s="165"/>
      <c r="E2123" s="165"/>
      <c r="F2123" s="165"/>
      <c r="G2123" s="165"/>
      <c r="H2123" s="165"/>
      <c r="I2123" s="165"/>
      <c r="J2123" s="165"/>
      <c r="K2123" s="165"/>
      <c r="L2123" s="165"/>
      <c r="M2123" s="165"/>
      <c r="N2123" s="165"/>
      <c r="O2123" s="165"/>
      <c r="P2123" s="165"/>
      <c r="Q2123" s="165"/>
      <c r="R2123" s="165"/>
      <c r="S2123" s="165"/>
      <c r="T2123" s="165"/>
      <c r="U2123" s="165"/>
      <c r="V2123" s="165"/>
      <c r="W2123" s="165"/>
      <c r="X2123" s="165"/>
    </row>
    <row r="2124" ht="18.75" customHeight="1">
      <c r="A2124" s="165">
        <v>2121.0</v>
      </c>
      <c r="B2124" s="167" t="s">
        <v>17571</v>
      </c>
      <c r="C2124" s="165"/>
      <c r="D2124" s="165"/>
      <c r="E2124" s="165"/>
      <c r="F2124" s="165"/>
      <c r="G2124" s="165"/>
      <c r="H2124" s="165"/>
      <c r="I2124" s="165"/>
      <c r="J2124" s="165"/>
      <c r="K2124" s="165"/>
      <c r="L2124" s="165"/>
      <c r="M2124" s="165"/>
      <c r="N2124" s="165"/>
      <c r="O2124" s="165"/>
      <c r="P2124" s="165"/>
      <c r="Q2124" s="165"/>
      <c r="R2124" s="165"/>
      <c r="S2124" s="165"/>
      <c r="T2124" s="165"/>
      <c r="U2124" s="165"/>
      <c r="V2124" s="165"/>
      <c r="W2124" s="165"/>
      <c r="X2124" s="165"/>
    </row>
    <row r="2125" ht="18.75" customHeight="1">
      <c r="A2125" s="165">
        <v>2122.0</v>
      </c>
      <c r="B2125" s="167" t="s">
        <v>17572</v>
      </c>
      <c r="C2125" s="165"/>
      <c r="D2125" s="165"/>
      <c r="E2125" s="165"/>
      <c r="F2125" s="165"/>
      <c r="G2125" s="165"/>
      <c r="H2125" s="165"/>
      <c r="I2125" s="165"/>
      <c r="J2125" s="165"/>
      <c r="K2125" s="165"/>
      <c r="L2125" s="165"/>
      <c r="M2125" s="165"/>
      <c r="N2125" s="165"/>
      <c r="O2125" s="165"/>
      <c r="P2125" s="165"/>
      <c r="Q2125" s="165"/>
      <c r="R2125" s="165"/>
      <c r="S2125" s="165"/>
      <c r="T2125" s="165"/>
      <c r="U2125" s="165"/>
      <c r="V2125" s="165"/>
      <c r="W2125" s="165"/>
      <c r="X2125" s="165"/>
    </row>
    <row r="2126" ht="18.75" customHeight="1">
      <c r="A2126" s="165">
        <v>2123.0</v>
      </c>
      <c r="B2126" s="167" t="s">
        <v>17573</v>
      </c>
      <c r="C2126" s="165"/>
      <c r="D2126" s="165"/>
      <c r="E2126" s="165"/>
      <c r="F2126" s="165"/>
      <c r="G2126" s="165"/>
      <c r="H2126" s="165"/>
      <c r="I2126" s="165"/>
      <c r="J2126" s="165"/>
      <c r="K2126" s="165"/>
      <c r="L2126" s="165"/>
      <c r="M2126" s="165"/>
      <c r="N2126" s="165"/>
      <c r="O2126" s="165"/>
      <c r="P2126" s="165"/>
      <c r="Q2126" s="165"/>
      <c r="R2126" s="165"/>
      <c r="S2126" s="165"/>
      <c r="T2126" s="165"/>
      <c r="U2126" s="165"/>
      <c r="V2126" s="165"/>
      <c r="W2126" s="165"/>
      <c r="X2126" s="165"/>
    </row>
    <row r="2127" ht="18.75" customHeight="1">
      <c r="A2127" s="165">
        <v>2124.0</v>
      </c>
      <c r="B2127" s="167" t="s">
        <v>17574</v>
      </c>
      <c r="C2127" s="165"/>
      <c r="D2127" s="165"/>
      <c r="E2127" s="165"/>
      <c r="F2127" s="165"/>
      <c r="G2127" s="165"/>
      <c r="H2127" s="165"/>
      <c r="I2127" s="165"/>
      <c r="J2127" s="165"/>
      <c r="K2127" s="165"/>
      <c r="L2127" s="165"/>
      <c r="M2127" s="165"/>
      <c r="N2127" s="165"/>
      <c r="O2127" s="165"/>
      <c r="P2127" s="165"/>
      <c r="Q2127" s="165"/>
      <c r="R2127" s="165"/>
      <c r="S2127" s="165"/>
      <c r="T2127" s="165"/>
      <c r="U2127" s="165"/>
      <c r="V2127" s="165"/>
      <c r="W2127" s="165"/>
      <c r="X2127" s="165"/>
    </row>
    <row r="2128" ht="18.75" customHeight="1">
      <c r="A2128" s="165">
        <v>2125.0</v>
      </c>
      <c r="B2128" s="167" t="s">
        <v>17575</v>
      </c>
      <c r="C2128" s="165"/>
      <c r="D2128" s="165"/>
      <c r="E2128" s="165"/>
      <c r="F2128" s="165"/>
      <c r="G2128" s="165"/>
      <c r="H2128" s="165"/>
      <c r="I2128" s="165"/>
      <c r="J2128" s="165"/>
      <c r="K2128" s="165"/>
      <c r="L2128" s="165"/>
      <c r="M2128" s="165"/>
      <c r="N2128" s="165"/>
      <c r="O2128" s="165"/>
      <c r="P2128" s="165"/>
      <c r="Q2128" s="165"/>
      <c r="R2128" s="165"/>
      <c r="S2128" s="165"/>
      <c r="T2128" s="165"/>
      <c r="U2128" s="165"/>
      <c r="V2128" s="165"/>
      <c r="W2128" s="165"/>
      <c r="X2128" s="165"/>
    </row>
    <row r="2129" ht="18.75" customHeight="1">
      <c r="A2129" s="165">
        <v>2126.0</v>
      </c>
      <c r="B2129" s="167" t="s">
        <v>17576</v>
      </c>
      <c r="C2129" s="165"/>
      <c r="D2129" s="165"/>
      <c r="E2129" s="165"/>
      <c r="F2129" s="165"/>
      <c r="G2129" s="165"/>
      <c r="H2129" s="165"/>
      <c r="I2129" s="165"/>
      <c r="J2129" s="165"/>
      <c r="K2129" s="165"/>
      <c r="L2129" s="165"/>
      <c r="M2129" s="165"/>
      <c r="N2129" s="165"/>
      <c r="O2129" s="165"/>
      <c r="P2129" s="165"/>
      <c r="Q2129" s="165"/>
      <c r="R2129" s="165"/>
      <c r="S2129" s="165"/>
      <c r="T2129" s="165"/>
      <c r="U2129" s="165"/>
      <c r="V2129" s="165"/>
      <c r="W2129" s="165"/>
      <c r="X2129" s="165"/>
    </row>
    <row r="2130" ht="18.75" customHeight="1">
      <c r="A2130" s="165">
        <v>2127.0</v>
      </c>
      <c r="B2130" s="167" t="s">
        <v>17577</v>
      </c>
      <c r="C2130" s="165"/>
      <c r="D2130" s="165"/>
      <c r="E2130" s="165"/>
      <c r="F2130" s="165"/>
      <c r="G2130" s="165"/>
      <c r="H2130" s="165"/>
      <c r="I2130" s="165"/>
      <c r="J2130" s="165"/>
      <c r="K2130" s="165"/>
      <c r="L2130" s="165"/>
      <c r="M2130" s="165"/>
      <c r="N2130" s="165"/>
      <c r="O2130" s="165"/>
      <c r="P2130" s="165"/>
      <c r="Q2130" s="165"/>
      <c r="R2130" s="165"/>
      <c r="S2130" s="165"/>
      <c r="T2130" s="165"/>
      <c r="U2130" s="165"/>
      <c r="V2130" s="165"/>
      <c r="W2130" s="165"/>
      <c r="X2130" s="165"/>
    </row>
    <row r="2131" ht="18.75" customHeight="1">
      <c r="A2131" s="165">
        <v>2128.0</v>
      </c>
      <c r="B2131" s="167" t="s">
        <v>17578</v>
      </c>
      <c r="C2131" s="165"/>
      <c r="D2131" s="165"/>
      <c r="E2131" s="165"/>
      <c r="F2131" s="165"/>
      <c r="G2131" s="165"/>
      <c r="H2131" s="165"/>
      <c r="I2131" s="165"/>
      <c r="J2131" s="165"/>
      <c r="K2131" s="165"/>
      <c r="L2131" s="165"/>
      <c r="M2131" s="165"/>
      <c r="N2131" s="165"/>
      <c r="O2131" s="165"/>
      <c r="P2131" s="165"/>
      <c r="Q2131" s="165"/>
      <c r="R2131" s="165"/>
      <c r="S2131" s="165"/>
      <c r="T2131" s="165"/>
      <c r="U2131" s="165"/>
      <c r="V2131" s="165"/>
      <c r="W2131" s="165"/>
      <c r="X2131" s="165"/>
    </row>
    <row r="2132" ht="18.75" customHeight="1">
      <c r="A2132" s="165">
        <v>2129.0</v>
      </c>
      <c r="B2132" s="167" t="s">
        <v>17579</v>
      </c>
      <c r="C2132" s="165"/>
      <c r="D2132" s="165"/>
      <c r="E2132" s="165"/>
      <c r="F2132" s="165"/>
      <c r="G2132" s="165"/>
      <c r="H2132" s="165"/>
      <c r="I2132" s="165"/>
      <c r="J2132" s="165"/>
      <c r="K2132" s="165"/>
      <c r="L2132" s="165"/>
      <c r="M2132" s="165"/>
      <c r="N2132" s="165"/>
      <c r="O2132" s="165"/>
      <c r="P2132" s="165"/>
      <c r="Q2132" s="165"/>
      <c r="R2132" s="165"/>
      <c r="S2132" s="165"/>
      <c r="T2132" s="165"/>
      <c r="U2132" s="165"/>
      <c r="V2132" s="165"/>
      <c r="W2132" s="165"/>
      <c r="X2132" s="165"/>
    </row>
    <row r="2133" ht="18.75" customHeight="1">
      <c r="A2133" s="165">
        <v>2130.0</v>
      </c>
      <c r="B2133" s="167" t="s">
        <v>17580</v>
      </c>
      <c r="C2133" s="165"/>
      <c r="D2133" s="165"/>
      <c r="E2133" s="165"/>
      <c r="F2133" s="165"/>
      <c r="G2133" s="165"/>
      <c r="H2133" s="165"/>
      <c r="I2133" s="165"/>
      <c r="J2133" s="165"/>
      <c r="K2133" s="165"/>
      <c r="L2133" s="165"/>
      <c r="M2133" s="165"/>
      <c r="N2133" s="165"/>
      <c r="O2133" s="165"/>
      <c r="P2133" s="165"/>
      <c r="Q2133" s="165"/>
      <c r="R2133" s="165"/>
      <c r="S2133" s="165"/>
      <c r="T2133" s="165"/>
      <c r="U2133" s="165"/>
      <c r="V2133" s="165"/>
      <c r="W2133" s="165"/>
      <c r="X2133" s="165"/>
    </row>
    <row r="2134" ht="18.75" customHeight="1">
      <c r="A2134" s="165">
        <v>2131.0</v>
      </c>
      <c r="B2134" s="167" t="s">
        <v>17581</v>
      </c>
      <c r="C2134" s="165"/>
      <c r="D2134" s="165"/>
      <c r="E2134" s="165"/>
      <c r="F2134" s="165"/>
      <c r="G2134" s="165"/>
      <c r="H2134" s="165"/>
      <c r="I2134" s="165"/>
      <c r="J2134" s="165"/>
      <c r="K2134" s="165"/>
      <c r="L2134" s="165"/>
      <c r="M2134" s="165"/>
      <c r="N2134" s="165"/>
      <c r="O2134" s="165"/>
      <c r="P2134" s="165"/>
      <c r="Q2134" s="165"/>
      <c r="R2134" s="165"/>
      <c r="S2134" s="165"/>
      <c r="T2134" s="165"/>
      <c r="U2134" s="165"/>
      <c r="V2134" s="165"/>
      <c r="W2134" s="165"/>
      <c r="X2134" s="165"/>
    </row>
    <row r="2135" ht="18.75" customHeight="1">
      <c r="A2135" s="165">
        <v>2132.0</v>
      </c>
      <c r="B2135" s="167" t="s">
        <v>17582</v>
      </c>
      <c r="C2135" s="165"/>
      <c r="D2135" s="165"/>
      <c r="E2135" s="165"/>
      <c r="F2135" s="165"/>
      <c r="G2135" s="165"/>
      <c r="H2135" s="165"/>
      <c r="I2135" s="165"/>
      <c r="J2135" s="165"/>
      <c r="K2135" s="165"/>
      <c r="L2135" s="165"/>
      <c r="M2135" s="165"/>
      <c r="N2135" s="165"/>
      <c r="O2135" s="165"/>
      <c r="P2135" s="165"/>
      <c r="Q2135" s="165"/>
      <c r="R2135" s="165"/>
      <c r="S2135" s="165"/>
      <c r="T2135" s="165"/>
      <c r="U2135" s="165"/>
      <c r="V2135" s="165"/>
      <c r="W2135" s="165"/>
      <c r="X2135" s="165"/>
    </row>
    <row r="2136" ht="18.75" customHeight="1">
      <c r="A2136" s="165">
        <v>2133.0</v>
      </c>
      <c r="B2136" s="167" t="s">
        <v>17583</v>
      </c>
      <c r="C2136" s="165"/>
      <c r="D2136" s="165"/>
      <c r="E2136" s="165"/>
      <c r="F2136" s="165"/>
      <c r="G2136" s="165"/>
      <c r="H2136" s="165"/>
      <c r="I2136" s="165"/>
      <c r="J2136" s="165"/>
      <c r="K2136" s="165"/>
      <c r="L2136" s="165"/>
      <c r="M2136" s="165"/>
      <c r="N2136" s="165"/>
      <c r="O2136" s="165"/>
      <c r="P2136" s="165"/>
      <c r="Q2136" s="165"/>
      <c r="R2136" s="165"/>
      <c r="S2136" s="165"/>
      <c r="T2136" s="165"/>
      <c r="U2136" s="165"/>
      <c r="V2136" s="165"/>
      <c r="W2136" s="165"/>
      <c r="X2136" s="165"/>
    </row>
    <row r="2137" ht="18.75" customHeight="1">
      <c r="A2137" s="165">
        <v>2134.0</v>
      </c>
      <c r="B2137" s="167" t="s">
        <v>17584</v>
      </c>
      <c r="C2137" s="165"/>
      <c r="D2137" s="165"/>
      <c r="E2137" s="165"/>
      <c r="F2137" s="165"/>
      <c r="G2137" s="165"/>
      <c r="H2137" s="165"/>
      <c r="I2137" s="165"/>
      <c r="J2137" s="165"/>
      <c r="K2137" s="165"/>
      <c r="L2137" s="165"/>
      <c r="M2137" s="165"/>
      <c r="N2137" s="165"/>
      <c r="O2137" s="165"/>
      <c r="P2137" s="165"/>
      <c r="Q2137" s="165"/>
      <c r="R2137" s="165"/>
      <c r="S2137" s="165"/>
      <c r="T2137" s="165"/>
      <c r="U2137" s="165"/>
      <c r="V2137" s="165"/>
      <c r="W2137" s="165"/>
      <c r="X2137" s="165"/>
    </row>
    <row r="2138" ht="18.75" customHeight="1">
      <c r="A2138" s="165">
        <v>2135.0</v>
      </c>
      <c r="B2138" s="167" t="s">
        <v>17585</v>
      </c>
      <c r="C2138" s="165"/>
      <c r="D2138" s="165"/>
      <c r="E2138" s="165"/>
      <c r="F2138" s="165"/>
      <c r="G2138" s="165"/>
      <c r="H2138" s="165"/>
      <c r="I2138" s="165"/>
      <c r="J2138" s="165"/>
      <c r="K2138" s="165"/>
      <c r="L2138" s="165"/>
      <c r="M2138" s="165"/>
      <c r="N2138" s="165"/>
      <c r="O2138" s="165"/>
      <c r="P2138" s="165"/>
      <c r="Q2138" s="165"/>
      <c r="R2138" s="165"/>
      <c r="S2138" s="165"/>
      <c r="T2138" s="165"/>
      <c r="U2138" s="165"/>
      <c r="V2138" s="165"/>
      <c r="W2138" s="165"/>
      <c r="X2138" s="165"/>
    </row>
    <row r="2139" ht="18.75" customHeight="1">
      <c r="A2139" s="165">
        <v>2136.0</v>
      </c>
      <c r="B2139" s="167" t="s">
        <v>17586</v>
      </c>
      <c r="C2139" s="165"/>
      <c r="D2139" s="165"/>
      <c r="E2139" s="165"/>
      <c r="F2139" s="165"/>
      <c r="G2139" s="165"/>
      <c r="H2139" s="165"/>
      <c r="I2139" s="165"/>
      <c r="J2139" s="165"/>
      <c r="K2139" s="165"/>
      <c r="L2139" s="165"/>
      <c r="M2139" s="165"/>
      <c r="N2139" s="165"/>
      <c r="O2139" s="165"/>
      <c r="P2139" s="165"/>
      <c r="Q2139" s="165"/>
      <c r="R2139" s="165"/>
      <c r="S2139" s="165"/>
      <c r="T2139" s="165"/>
      <c r="U2139" s="165"/>
      <c r="V2139" s="165"/>
      <c r="W2139" s="165"/>
      <c r="X2139" s="165"/>
    </row>
    <row r="2140" ht="18.75" customHeight="1">
      <c r="A2140" s="165">
        <v>2137.0</v>
      </c>
      <c r="B2140" s="167" t="s">
        <v>17587</v>
      </c>
      <c r="C2140" s="165"/>
      <c r="D2140" s="165"/>
      <c r="E2140" s="165"/>
      <c r="F2140" s="165"/>
      <c r="G2140" s="165"/>
      <c r="H2140" s="165"/>
      <c r="I2140" s="165"/>
      <c r="J2140" s="165"/>
      <c r="K2140" s="165"/>
      <c r="L2140" s="165"/>
      <c r="M2140" s="165"/>
      <c r="N2140" s="165"/>
      <c r="O2140" s="165"/>
      <c r="P2140" s="165"/>
      <c r="Q2140" s="165"/>
      <c r="R2140" s="165"/>
      <c r="S2140" s="165"/>
      <c r="T2140" s="165"/>
      <c r="U2140" s="165"/>
      <c r="V2140" s="165"/>
      <c r="W2140" s="165"/>
      <c r="X2140" s="165"/>
    </row>
    <row r="2141" ht="18.75" customHeight="1">
      <c r="A2141" s="165">
        <v>2138.0</v>
      </c>
      <c r="B2141" s="167" t="s">
        <v>17588</v>
      </c>
      <c r="C2141" s="165"/>
      <c r="D2141" s="165"/>
      <c r="E2141" s="165"/>
      <c r="F2141" s="165"/>
      <c r="G2141" s="165"/>
      <c r="H2141" s="165"/>
      <c r="I2141" s="165"/>
      <c r="J2141" s="165"/>
      <c r="K2141" s="165"/>
      <c r="L2141" s="165"/>
      <c r="M2141" s="165"/>
      <c r="N2141" s="165"/>
      <c r="O2141" s="165"/>
      <c r="P2141" s="165"/>
      <c r="Q2141" s="165"/>
      <c r="R2141" s="165"/>
      <c r="S2141" s="165"/>
      <c r="T2141" s="165"/>
      <c r="U2141" s="165"/>
      <c r="V2141" s="165"/>
      <c r="W2141" s="165"/>
      <c r="X2141" s="165"/>
    </row>
    <row r="2142" ht="18.75" customHeight="1">
      <c r="A2142" s="165">
        <v>2139.0</v>
      </c>
      <c r="B2142" s="167" t="s">
        <v>17589</v>
      </c>
      <c r="C2142" s="165"/>
      <c r="D2142" s="165"/>
      <c r="E2142" s="165"/>
      <c r="F2142" s="165"/>
      <c r="G2142" s="165"/>
      <c r="H2142" s="165"/>
      <c r="I2142" s="165"/>
      <c r="J2142" s="165"/>
      <c r="K2142" s="165"/>
      <c r="L2142" s="165"/>
      <c r="M2142" s="165"/>
      <c r="N2142" s="165"/>
      <c r="O2142" s="165"/>
      <c r="P2142" s="165"/>
      <c r="Q2142" s="165"/>
      <c r="R2142" s="165"/>
      <c r="S2142" s="165"/>
      <c r="T2142" s="165"/>
      <c r="U2142" s="165"/>
      <c r="V2142" s="165"/>
      <c r="W2142" s="165"/>
      <c r="X2142" s="165"/>
    </row>
    <row r="2143" ht="18.75" customHeight="1">
      <c r="A2143" s="165">
        <v>2140.0</v>
      </c>
      <c r="B2143" s="167" t="s">
        <v>17590</v>
      </c>
      <c r="C2143" s="165"/>
      <c r="D2143" s="165"/>
      <c r="E2143" s="165"/>
      <c r="F2143" s="165"/>
      <c r="G2143" s="165"/>
      <c r="H2143" s="165"/>
      <c r="I2143" s="165"/>
      <c r="J2143" s="165"/>
      <c r="K2143" s="165"/>
      <c r="L2143" s="165"/>
      <c r="M2143" s="165"/>
      <c r="N2143" s="165"/>
      <c r="O2143" s="165"/>
      <c r="P2143" s="165"/>
      <c r="Q2143" s="165"/>
      <c r="R2143" s="165"/>
      <c r="S2143" s="165"/>
      <c r="T2143" s="165"/>
      <c r="U2143" s="165"/>
      <c r="V2143" s="165"/>
      <c r="W2143" s="165"/>
      <c r="X2143" s="165"/>
    </row>
    <row r="2144" ht="18.75" customHeight="1">
      <c r="A2144" s="165">
        <v>2141.0</v>
      </c>
      <c r="B2144" s="167" t="s">
        <v>17591</v>
      </c>
      <c r="C2144" s="165"/>
      <c r="D2144" s="165"/>
      <c r="E2144" s="165"/>
      <c r="F2144" s="165"/>
      <c r="G2144" s="165"/>
      <c r="H2144" s="165"/>
      <c r="I2144" s="165"/>
      <c r="J2144" s="165"/>
      <c r="K2144" s="165"/>
      <c r="L2144" s="165"/>
      <c r="M2144" s="165"/>
      <c r="N2144" s="165"/>
      <c r="O2144" s="165"/>
      <c r="P2144" s="165"/>
      <c r="Q2144" s="165"/>
      <c r="R2144" s="165"/>
      <c r="S2144" s="165"/>
      <c r="T2144" s="165"/>
      <c r="U2144" s="165"/>
      <c r="V2144" s="165"/>
      <c r="W2144" s="165"/>
      <c r="X2144" s="165"/>
    </row>
    <row r="2145" ht="18.75" customHeight="1">
      <c r="A2145" s="165">
        <v>2142.0</v>
      </c>
      <c r="B2145" s="167" t="s">
        <v>17592</v>
      </c>
      <c r="C2145" s="165"/>
      <c r="D2145" s="165"/>
      <c r="E2145" s="165"/>
      <c r="F2145" s="165"/>
      <c r="G2145" s="165"/>
      <c r="H2145" s="165"/>
      <c r="I2145" s="165"/>
      <c r="J2145" s="165"/>
      <c r="K2145" s="165"/>
      <c r="L2145" s="165"/>
      <c r="M2145" s="165"/>
      <c r="N2145" s="165"/>
      <c r="O2145" s="165"/>
      <c r="P2145" s="165"/>
      <c r="Q2145" s="165"/>
      <c r="R2145" s="165"/>
      <c r="S2145" s="165"/>
      <c r="T2145" s="165"/>
      <c r="U2145" s="165"/>
      <c r="V2145" s="165"/>
      <c r="W2145" s="165"/>
      <c r="X2145" s="165"/>
    </row>
    <row r="2146" ht="18.75" customHeight="1">
      <c r="A2146" s="165">
        <v>2143.0</v>
      </c>
      <c r="B2146" s="167" t="s">
        <v>17593</v>
      </c>
      <c r="C2146" s="165"/>
      <c r="D2146" s="165"/>
      <c r="E2146" s="165"/>
      <c r="F2146" s="165"/>
      <c r="G2146" s="165"/>
      <c r="H2146" s="165"/>
      <c r="I2146" s="165"/>
      <c r="J2146" s="165"/>
      <c r="K2146" s="165"/>
      <c r="L2146" s="165"/>
      <c r="M2146" s="165"/>
      <c r="N2146" s="165"/>
      <c r="O2146" s="165"/>
      <c r="P2146" s="165"/>
      <c r="Q2146" s="165"/>
      <c r="R2146" s="165"/>
      <c r="S2146" s="165"/>
      <c r="T2146" s="165"/>
      <c r="U2146" s="165"/>
      <c r="V2146" s="165"/>
      <c r="W2146" s="165"/>
      <c r="X2146" s="165"/>
    </row>
    <row r="2147" ht="18.75" customHeight="1">
      <c r="A2147" s="165">
        <v>2144.0</v>
      </c>
      <c r="B2147" s="167" t="s">
        <v>17594</v>
      </c>
      <c r="C2147" s="165"/>
      <c r="D2147" s="165"/>
      <c r="E2147" s="165"/>
      <c r="F2147" s="165"/>
      <c r="G2147" s="165"/>
      <c r="H2147" s="165"/>
      <c r="I2147" s="165"/>
      <c r="J2147" s="165"/>
      <c r="K2147" s="165"/>
      <c r="L2147" s="165"/>
      <c r="M2147" s="165"/>
      <c r="N2147" s="165"/>
      <c r="O2147" s="165"/>
      <c r="P2147" s="165"/>
      <c r="Q2147" s="165"/>
      <c r="R2147" s="165"/>
      <c r="S2147" s="165"/>
      <c r="T2147" s="165"/>
      <c r="U2147" s="165"/>
      <c r="V2147" s="165"/>
      <c r="W2147" s="165"/>
      <c r="X2147" s="165"/>
    </row>
    <row r="2148" ht="18.75" customHeight="1">
      <c r="A2148" s="165">
        <v>2145.0</v>
      </c>
      <c r="B2148" s="167" t="s">
        <v>17595</v>
      </c>
      <c r="C2148" s="165"/>
      <c r="D2148" s="165"/>
      <c r="E2148" s="165"/>
      <c r="F2148" s="165"/>
      <c r="G2148" s="165"/>
      <c r="H2148" s="165"/>
      <c r="I2148" s="165"/>
      <c r="J2148" s="165"/>
      <c r="K2148" s="165"/>
      <c r="L2148" s="165"/>
      <c r="M2148" s="165"/>
      <c r="N2148" s="165"/>
      <c r="O2148" s="165"/>
      <c r="P2148" s="165"/>
      <c r="Q2148" s="165"/>
      <c r="R2148" s="165"/>
      <c r="S2148" s="165"/>
      <c r="T2148" s="165"/>
      <c r="U2148" s="165"/>
      <c r="V2148" s="165"/>
      <c r="W2148" s="165"/>
      <c r="X2148" s="165"/>
    </row>
    <row r="2149" ht="18.75" customHeight="1">
      <c r="A2149" s="165">
        <v>2146.0</v>
      </c>
      <c r="B2149" s="167" t="s">
        <v>17596</v>
      </c>
      <c r="C2149" s="165"/>
      <c r="D2149" s="165"/>
      <c r="E2149" s="165"/>
      <c r="F2149" s="165"/>
      <c r="G2149" s="165"/>
      <c r="H2149" s="165"/>
      <c r="I2149" s="165"/>
      <c r="J2149" s="165"/>
      <c r="K2149" s="165"/>
      <c r="L2149" s="165"/>
      <c r="M2149" s="165"/>
      <c r="N2149" s="165"/>
      <c r="O2149" s="165"/>
      <c r="P2149" s="165"/>
      <c r="Q2149" s="165"/>
      <c r="R2149" s="165"/>
      <c r="S2149" s="165"/>
      <c r="T2149" s="165"/>
      <c r="U2149" s="165"/>
      <c r="V2149" s="165"/>
      <c r="W2149" s="165"/>
      <c r="X2149" s="165"/>
    </row>
    <row r="2150" ht="18.75" customHeight="1">
      <c r="A2150" s="165">
        <v>2147.0</v>
      </c>
      <c r="B2150" s="167" t="s">
        <v>17597</v>
      </c>
      <c r="C2150" s="165"/>
      <c r="D2150" s="165"/>
      <c r="E2150" s="165"/>
      <c r="F2150" s="165"/>
      <c r="G2150" s="165"/>
      <c r="H2150" s="165"/>
      <c r="I2150" s="165"/>
      <c r="J2150" s="165"/>
      <c r="K2150" s="165"/>
      <c r="L2150" s="165"/>
      <c r="M2150" s="165"/>
      <c r="N2150" s="165"/>
      <c r="O2150" s="165"/>
      <c r="P2150" s="165"/>
      <c r="Q2150" s="165"/>
      <c r="R2150" s="165"/>
      <c r="S2150" s="165"/>
      <c r="T2150" s="165"/>
      <c r="U2150" s="165"/>
      <c r="V2150" s="165"/>
      <c r="W2150" s="165"/>
      <c r="X2150" s="165"/>
    </row>
    <row r="2151" ht="18.75" customHeight="1">
      <c r="A2151" s="165">
        <v>2148.0</v>
      </c>
      <c r="B2151" s="167" t="s">
        <v>17598</v>
      </c>
      <c r="C2151" s="165"/>
      <c r="D2151" s="165"/>
      <c r="E2151" s="165"/>
      <c r="F2151" s="165"/>
      <c r="G2151" s="165"/>
      <c r="H2151" s="165"/>
      <c r="I2151" s="165"/>
      <c r="J2151" s="165"/>
      <c r="K2151" s="165"/>
      <c r="L2151" s="165"/>
      <c r="M2151" s="165"/>
      <c r="N2151" s="165"/>
      <c r="O2151" s="165"/>
      <c r="P2151" s="165"/>
      <c r="Q2151" s="165"/>
      <c r="R2151" s="165"/>
      <c r="S2151" s="165"/>
      <c r="T2151" s="165"/>
      <c r="U2151" s="165"/>
      <c r="V2151" s="165"/>
      <c r="W2151" s="165"/>
      <c r="X2151" s="165"/>
    </row>
    <row r="2152" ht="18.75" customHeight="1">
      <c r="A2152" s="165">
        <v>2149.0</v>
      </c>
      <c r="B2152" s="167" t="s">
        <v>17599</v>
      </c>
      <c r="C2152" s="165"/>
      <c r="D2152" s="165"/>
      <c r="E2152" s="165"/>
      <c r="F2152" s="165"/>
      <c r="G2152" s="165"/>
      <c r="H2152" s="165"/>
      <c r="I2152" s="165"/>
      <c r="J2152" s="165"/>
      <c r="K2152" s="165"/>
      <c r="L2152" s="165"/>
      <c r="M2152" s="165"/>
      <c r="N2152" s="165"/>
      <c r="O2152" s="165"/>
      <c r="P2152" s="165"/>
      <c r="Q2152" s="165"/>
      <c r="R2152" s="165"/>
      <c r="S2152" s="165"/>
      <c r="T2152" s="165"/>
      <c r="U2152" s="165"/>
      <c r="V2152" s="165"/>
      <c r="W2152" s="165"/>
      <c r="X2152" s="165"/>
    </row>
    <row r="2153" ht="18.75" customHeight="1">
      <c r="A2153" s="165">
        <v>2150.0</v>
      </c>
      <c r="B2153" s="167" t="s">
        <v>17600</v>
      </c>
      <c r="C2153" s="165"/>
      <c r="D2153" s="165"/>
      <c r="E2153" s="165"/>
      <c r="F2153" s="165"/>
      <c r="G2153" s="165"/>
      <c r="H2153" s="165"/>
      <c r="I2153" s="165"/>
      <c r="J2153" s="165"/>
      <c r="K2153" s="165"/>
      <c r="L2153" s="165"/>
      <c r="M2153" s="165"/>
      <c r="N2153" s="165"/>
      <c r="O2153" s="165"/>
      <c r="P2153" s="165"/>
      <c r="Q2153" s="165"/>
      <c r="R2153" s="165"/>
      <c r="S2153" s="165"/>
      <c r="T2153" s="165"/>
      <c r="U2153" s="165"/>
      <c r="V2153" s="165"/>
      <c r="W2153" s="165"/>
      <c r="X2153" s="165"/>
    </row>
    <row r="2154" ht="18.75" customHeight="1">
      <c r="A2154" s="165">
        <v>2151.0</v>
      </c>
      <c r="B2154" s="167" t="s">
        <v>17601</v>
      </c>
      <c r="C2154" s="165"/>
      <c r="D2154" s="165"/>
      <c r="E2154" s="165"/>
      <c r="F2154" s="165"/>
      <c r="G2154" s="165"/>
      <c r="H2154" s="165"/>
      <c r="I2154" s="165"/>
      <c r="J2154" s="165"/>
      <c r="K2154" s="165"/>
      <c r="L2154" s="165"/>
      <c r="M2154" s="165"/>
      <c r="N2154" s="165"/>
      <c r="O2154" s="165"/>
      <c r="P2154" s="165"/>
      <c r="Q2154" s="165"/>
      <c r="R2154" s="165"/>
      <c r="S2154" s="165"/>
      <c r="T2154" s="165"/>
      <c r="U2154" s="165"/>
      <c r="V2154" s="165"/>
      <c r="W2154" s="165"/>
      <c r="X2154" s="165"/>
    </row>
    <row r="2155" ht="18.75" customHeight="1">
      <c r="A2155" s="165">
        <v>2152.0</v>
      </c>
      <c r="B2155" s="167" t="s">
        <v>17602</v>
      </c>
      <c r="C2155" s="165"/>
      <c r="D2155" s="165"/>
      <c r="E2155" s="165"/>
      <c r="F2155" s="165"/>
      <c r="G2155" s="165"/>
      <c r="H2155" s="165"/>
      <c r="I2155" s="165"/>
      <c r="J2155" s="165"/>
      <c r="K2155" s="165"/>
      <c r="L2155" s="165"/>
      <c r="M2155" s="165"/>
      <c r="N2155" s="165"/>
      <c r="O2155" s="165"/>
      <c r="P2155" s="165"/>
      <c r="Q2155" s="165"/>
      <c r="R2155" s="165"/>
      <c r="S2155" s="165"/>
      <c r="T2155" s="165"/>
      <c r="U2155" s="165"/>
      <c r="V2155" s="165"/>
      <c r="W2155" s="165"/>
      <c r="X2155" s="165"/>
    </row>
    <row r="2156" ht="18.75" customHeight="1">
      <c r="A2156" s="165">
        <v>2153.0</v>
      </c>
      <c r="B2156" s="167" t="s">
        <v>17603</v>
      </c>
      <c r="C2156" s="165"/>
      <c r="D2156" s="165"/>
      <c r="E2156" s="165"/>
      <c r="F2156" s="165"/>
      <c r="G2156" s="165"/>
      <c r="H2156" s="165"/>
      <c r="I2156" s="165"/>
      <c r="J2156" s="165"/>
      <c r="K2156" s="165"/>
      <c r="L2156" s="165"/>
      <c r="M2156" s="165"/>
      <c r="N2156" s="165"/>
      <c r="O2156" s="165"/>
      <c r="P2156" s="165"/>
      <c r="Q2156" s="165"/>
      <c r="R2156" s="165"/>
      <c r="S2156" s="165"/>
      <c r="T2156" s="165"/>
      <c r="U2156" s="165"/>
      <c r="V2156" s="165"/>
      <c r="W2156" s="165"/>
      <c r="X2156" s="165"/>
    </row>
    <row r="2157" ht="18.75" customHeight="1">
      <c r="A2157" s="165">
        <v>2154.0</v>
      </c>
      <c r="B2157" s="167" t="s">
        <v>17604</v>
      </c>
      <c r="C2157" s="165"/>
      <c r="D2157" s="165"/>
      <c r="E2157" s="165"/>
      <c r="F2157" s="165"/>
      <c r="G2157" s="165"/>
      <c r="H2157" s="165"/>
      <c r="I2157" s="165"/>
      <c r="J2157" s="165"/>
      <c r="K2157" s="165"/>
      <c r="L2157" s="165"/>
      <c r="M2157" s="165"/>
      <c r="N2157" s="165"/>
      <c r="O2157" s="165"/>
      <c r="P2157" s="165"/>
      <c r="Q2157" s="165"/>
      <c r="R2157" s="165"/>
      <c r="S2157" s="165"/>
      <c r="T2157" s="165"/>
      <c r="U2157" s="165"/>
      <c r="V2157" s="165"/>
      <c r="W2157" s="165"/>
      <c r="X2157" s="165"/>
    </row>
    <row r="2158" ht="18.75" customHeight="1">
      <c r="A2158" s="165">
        <v>2155.0</v>
      </c>
      <c r="B2158" s="167" t="s">
        <v>17605</v>
      </c>
      <c r="C2158" s="165"/>
      <c r="D2158" s="165"/>
      <c r="E2158" s="165"/>
      <c r="F2158" s="165"/>
      <c r="G2158" s="165"/>
      <c r="H2158" s="165"/>
      <c r="I2158" s="165"/>
      <c r="J2158" s="165"/>
      <c r="K2158" s="165"/>
      <c r="L2158" s="165"/>
      <c r="M2158" s="165"/>
      <c r="N2158" s="165"/>
      <c r="O2158" s="165"/>
      <c r="P2158" s="165"/>
      <c r="Q2158" s="165"/>
      <c r="R2158" s="165"/>
      <c r="S2158" s="165"/>
      <c r="T2158" s="165"/>
      <c r="U2158" s="165"/>
      <c r="V2158" s="165"/>
      <c r="W2158" s="165"/>
      <c r="X2158" s="165"/>
    </row>
    <row r="2159" ht="18.75" customHeight="1">
      <c r="A2159" s="165">
        <v>2156.0</v>
      </c>
      <c r="B2159" s="167" t="s">
        <v>17606</v>
      </c>
      <c r="C2159" s="165"/>
      <c r="D2159" s="165"/>
      <c r="E2159" s="165"/>
      <c r="F2159" s="165"/>
      <c r="G2159" s="165"/>
      <c r="H2159" s="165"/>
      <c r="I2159" s="165"/>
      <c r="J2159" s="165"/>
      <c r="K2159" s="165"/>
      <c r="L2159" s="165"/>
      <c r="M2159" s="165"/>
      <c r="N2159" s="165"/>
      <c r="O2159" s="165"/>
      <c r="P2159" s="165"/>
      <c r="Q2159" s="165"/>
      <c r="R2159" s="165"/>
      <c r="S2159" s="165"/>
      <c r="T2159" s="165"/>
      <c r="U2159" s="165"/>
      <c r="V2159" s="165"/>
      <c r="W2159" s="165"/>
      <c r="X2159" s="165"/>
    </row>
    <row r="2160" ht="18.75" customHeight="1">
      <c r="A2160" s="165">
        <v>2157.0</v>
      </c>
      <c r="B2160" s="167" t="s">
        <v>17607</v>
      </c>
      <c r="C2160" s="165"/>
      <c r="D2160" s="165"/>
      <c r="E2160" s="165"/>
      <c r="F2160" s="165"/>
      <c r="G2160" s="165"/>
      <c r="H2160" s="165"/>
      <c r="I2160" s="165"/>
      <c r="J2160" s="165"/>
      <c r="K2160" s="165"/>
      <c r="L2160" s="165"/>
      <c r="M2160" s="165"/>
      <c r="N2160" s="165"/>
      <c r="O2160" s="165"/>
      <c r="P2160" s="165"/>
      <c r="Q2160" s="165"/>
      <c r="R2160" s="165"/>
      <c r="S2160" s="165"/>
      <c r="T2160" s="165"/>
      <c r="U2160" s="165"/>
      <c r="V2160" s="165"/>
      <c r="W2160" s="165"/>
      <c r="X2160" s="165"/>
    </row>
    <row r="2161" ht="18.75" customHeight="1">
      <c r="A2161" s="165">
        <v>2158.0</v>
      </c>
      <c r="B2161" s="165" t="s">
        <v>17608</v>
      </c>
      <c r="C2161" s="165"/>
      <c r="D2161" s="165"/>
      <c r="E2161" s="165"/>
      <c r="F2161" s="165"/>
      <c r="G2161" s="165"/>
      <c r="H2161" s="165"/>
      <c r="I2161" s="165"/>
      <c r="J2161" s="165"/>
      <c r="K2161" s="165"/>
      <c r="L2161" s="165"/>
      <c r="M2161" s="165"/>
      <c r="N2161" s="165"/>
      <c r="O2161" s="165"/>
      <c r="P2161" s="165"/>
      <c r="Q2161" s="165"/>
      <c r="R2161" s="165"/>
      <c r="S2161" s="165"/>
      <c r="T2161" s="165"/>
      <c r="U2161" s="165"/>
      <c r="V2161" s="165"/>
      <c r="W2161" s="165"/>
      <c r="X2161" s="165"/>
    </row>
    <row r="2162" ht="18.75" customHeight="1">
      <c r="A2162" s="165">
        <v>2159.0</v>
      </c>
      <c r="B2162" s="167" t="s">
        <v>17609</v>
      </c>
      <c r="C2162" s="165"/>
      <c r="D2162" s="165"/>
      <c r="E2162" s="165"/>
      <c r="F2162" s="165"/>
      <c r="G2162" s="165"/>
      <c r="H2162" s="165"/>
      <c r="I2162" s="165"/>
      <c r="J2162" s="165"/>
      <c r="K2162" s="165"/>
      <c r="L2162" s="165"/>
      <c r="M2162" s="165"/>
      <c r="N2162" s="165"/>
      <c r="O2162" s="165"/>
      <c r="P2162" s="165"/>
      <c r="Q2162" s="165"/>
      <c r="R2162" s="165"/>
      <c r="S2162" s="165"/>
      <c r="T2162" s="165"/>
      <c r="U2162" s="165"/>
      <c r="V2162" s="165"/>
      <c r="W2162" s="165"/>
      <c r="X2162" s="165"/>
    </row>
    <row r="2163" ht="18.75" customHeight="1">
      <c r="A2163" s="165">
        <v>2160.0</v>
      </c>
      <c r="B2163" s="165" t="s">
        <v>17610</v>
      </c>
      <c r="C2163" s="165"/>
      <c r="D2163" s="165"/>
      <c r="E2163" s="165"/>
      <c r="F2163" s="165"/>
      <c r="G2163" s="165"/>
      <c r="H2163" s="165"/>
      <c r="I2163" s="165"/>
      <c r="J2163" s="165"/>
      <c r="K2163" s="165"/>
      <c r="L2163" s="165"/>
      <c r="M2163" s="165"/>
      <c r="N2163" s="165"/>
      <c r="O2163" s="165"/>
      <c r="P2163" s="165"/>
      <c r="Q2163" s="165"/>
      <c r="R2163" s="165"/>
      <c r="S2163" s="165"/>
      <c r="T2163" s="165"/>
      <c r="U2163" s="165"/>
      <c r="V2163" s="165"/>
      <c r="W2163" s="165"/>
      <c r="X2163" s="165"/>
    </row>
    <row r="2164" ht="18.75" customHeight="1">
      <c r="A2164" s="165">
        <v>2161.0</v>
      </c>
      <c r="B2164" s="167" t="s">
        <v>17611</v>
      </c>
      <c r="C2164" s="165"/>
      <c r="D2164" s="165"/>
      <c r="E2164" s="165"/>
      <c r="F2164" s="165"/>
      <c r="G2164" s="165"/>
      <c r="H2164" s="165"/>
      <c r="I2164" s="165"/>
      <c r="J2164" s="165"/>
      <c r="K2164" s="165"/>
      <c r="L2164" s="165"/>
      <c r="M2164" s="165"/>
      <c r="N2164" s="165"/>
      <c r="O2164" s="165"/>
      <c r="P2164" s="165"/>
      <c r="Q2164" s="165"/>
      <c r="R2164" s="165"/>
      <c r="S2164" s="165"/>
      <c r="T2164" s="165"/>
      <c r="U2164" s="165"/>
      <c r="V2164" s="165"/>
      <c r="W2164" s="165"/>
      <c r="X2164" s="165"/>
    </row>
    <row r="2165" ht="18.75" customHeight="1">
      <c r="A2165" s="165">
        <v>2162.0</v>
      </c>
      <c r="B2165" s="167" t="s">
        <v>17612</v>
      </c>
      <c r="C2165" s="165"/>
      <c r="D2165" s="165"/>
      <c r="E2165" s="165"/>
      <c r="F2165" s="165"/>
      <c r="G2165" s="165"/>
      <c r="H2165" s="165"/>
      <c r="I2165" s="165"/>
      <c r="J2165" s="165"/>
      <c r="K2165" s="165"/>
      <c r="L2165" s="165"/>
      <c r="M2165" s="165"/>
      <c r="N2165" s="165"/>
      <c r="O2165" s="165"/>
      <c r="P2165" s="165"/>
      <c r="Q2165" s="165"/>
      <c r="R2165" s="165"/>
      <c r="S2165" s="165"/>
      <c r="T2165" s="165"/>
      <c r="U2165" s="165"/>
      <c r="V2165" s="165"/>
      <c r="W2165" s="165"/>
      <c r="X2165" s="165"/>
    </row>
    <row r="2166" ht="18.75" customHeight="1">
      <c r="A2166" s="188">
        <v>2163.0</v>
      </c>
      <c r="B2166" s="167" t="s">
        <v>16223</v>
      </c>
      <c r="C2166" s="165"/>
      <c r="D2166" s="165"/>
      <c r="E2166" s="165"/>
      <c r="F2166" s="165"/>
      <c r="G2166" s="165"/>
      <c r="H2166" s="165"/>
      <c r="I2166" s="165"/>
      <c r="J2166" s="165"/>
      <c r="K2166" s="165"/>
      <c r="L2166" s="165"/>
      <c r="M2166" s="165"/>
      <c r="N2166" s="165"/>
      <c r="O2166" s="165"/>
      <c r="P2166" s="165"/>
      <c r="Q2166" s="165"/>
      <c r="R2166" s="165"/>
      <c r="S2166" s="165"/>
      <c r="T2166" s="165"/>
      <c r="U2166" s="165"/>
      <c r="V2166" s="165"/>
      <c r="W2166" s="165"/>
      <c r="X2166" s="165"/>
    </row>
    <row r="2167" ht="18.75" customHeight="1">
      <c r="A2167" s="165">
        <v>2164.0</v>
      </c>
      <c r="B2167" s="165" t="s">
        <v>17613</v>
      </c>
      <c r="C2167" s="165"/>
      <c r="D2167" s="165"/>
      <c r="E2167" s="165"/>
      <c r="F2167" s="165"/>
      <c r="G2167" s="165"/>
      <c r="H2167" s="165"/>
      <c r="I2167" s="165"/>
      <c r="J2167" s="165"/>
      <c r="K2167" s="165"/>
      <c r="L2167" s="165"/>
      <c r="M2167" s="165"/>
      <c r="N2167" s="165"/>
      <c r="O2167" s="165"/>
      <c r="P2167" s="165"/>
      <c r="Q2167" s="165"/>
      <c r="R2167" s="165"/>
      <c r="S2167" s="165"/>
      <c r="T2167" s="165"/>
      <c r="U2167" s="165"/>
      <c r="V2167" s="165"/>
      <c r="W2167" s="165"/>
      <c r="X2167" s="165"/>
    </row>
    <row r="2168" ht="18.75" customHeight="1">
      <c r="A2168" s="165">
        <v>2165.0</v>
      </c>
      <c r="B2168" s="167" t="s">
        <v>17614</v>
      </c>
      <c r="C2168" s="165"/>
      <c r="D2168" s="165"/>
      <c r="E2168" s="165"/>
      <c r="F2168" s="165"/>
      <c r="G2168" s="165"/>
      <c r="H2168" s="165"/>
      <c r="I2168" s="165"/>
      <c r="J2168" s="165"/>
      <c r="K2168" s="165"/>
      <c r="L2168" s="165"/>
      <c r="M2168" s="165"/>
      <c r="N2168" s="165"/>
      <c r="O2168" s="165"/>
      <c r="P2168" s="165"/>
      <c r="Q2168" s="165"/>
      <c r="R2168" s="165"/>
      <c r="S2168" s="165"/>
      <c r="T2168" s="165"/>
      <c r="U2168" s="165"/>
      <c r="V2168" s="165"/>
      <c r="W2168" s="165"/>
      <c r="X2168" s="165"/>
    </row>
    <row r="2169" ht="18.75" customHeight="1">
      <c r="A2169" s="165">
        <v>2166.0</v>
      </c>
      <c r="B2169" s="167" t="s">
        <v>17615</v>
      </c>
      <c r="C2169" s="165"/>
      <c r="D2169" s="165"/>
      <c r="E2169" s="165"/>
      <c r="F2169" s="165"/>
      <c r="G2169" s="165"/>
      <c r="H2169" s="165"/>
      <c r="I2169" s="165"/>
      <c r="J2169" s="165"/>
      <c r="K2169" s="165"/>
      <c r="L2169" s="165"/>
      <c r="M2169" s="165"/>
      <c r="N2169" s="165"/>
      <c r="O2169" s="165"/>
      <c r="P2169" s="165"/>
      <c r="Q2169" s="165"/>
      <c r="R2169" s="165"/>
      <c r="S2169" s="165"/>
      <c r="T2169" s="165"/>
      <c r="U2169" s="165"/>
      <c r="V2169" s="165"/>
      <c r="W2169" s="165"/>
      <c r="X2169" s="165"/>
    </row>
    <row r="2170" ht="18.75" customHeight="1">
      <c r="A2170" s="165">
        <v>2167.0</v>
      </c>
      <c r="B2170" s="167" t="s">
        <v>17616</v>
      </c>
      <c r="C2170" s="165"/>
      <c r="D2170" s="165"/>
      <c r="E2170" s="165"/>
      <c r="F2170" s="165"/>
      <c r="G2170" s="165"/>
      <c r="H2170" s="165"/>
      <c r="I2170" s="165"/>
      <c r="J2170" s="165"/>
      <c r="K2170" s="165"/>
      <c r="L2170" s="165"/>
      <c r="M2170" s="165"/>
      <c r="N2170" s="165"/>
      <c r="O2170" s="165"/>
      <c r="P2170" s="165"/>
      <c r="Q2170" s="165"/>
      <c r="R2170" s="165"/>
      <c r="S2170" s="165"/>
      <c r="T2170" s="165"/>
      <c r="U2170" s="165"/>
      <c r="V2170" s="165"/>
      <c r="W2170" s="165"/>
      <c r="X2170" s="165"/>
    </row>
    <row r="2171" ht="18.75" customHeight="1">
      <c r="A2171" s="165">
        <v>2168.0</v>
      </c>
      <c r="B2171" s="167" t="s">
        <v>17617</v>
      </c>
      <c r="C2171" s="165"/>
      <c r="D2171" s="165"/>
      <c r="E2171" s="165"/>
      <c r="F2171" s="165"/>
      <c r="G2171" s="165"/>
      <c r="H2171" s="165"/>
      <c r="I2171" s="165"/>
      <c r="J2171" s="165"/>
      <c r="K2171" s="165"/>
      <c r="L2171" s="165"/>
      <c r="M2171" s="165"/>
      <c r="N2171" s="165"/>
      <c r="O2171" s="165"/>
      <c r="P2171" s="165"/>
      <c r="Q2171" s="165"/>
      <c r="R2171" s="165"/>
      <c r="S2171" s="165"/>
      <c r="T2171" s="165"/>
      <c r="U2171" s="165"/>
      <c r="V2171" s="165"/>
      <c r="W2171" s="165"/>
      <c r="X2171" s="165"/>
    </row>
    <row r="2172" ht="18.75" customHeight="1">
      <c r="A2172" s="165">
        <v>2169.0</v>
      </c>
      <c r="B2172" s="167" t="s">
        <v>17618</v>
      </c>
      <c r="C2172" s="165"/>
      <c r="D2172" s="165"/>
      <c r="E2172" s="165"/>
      <c r="F2172" s="165"/>
      <c r="G2172" s="165"/>
      <c r="H2172" s="165"/>
      <c r="I2172" s="165"/>
      <c r="J2172" s="165"/>
      <c r="K2172" s="165"/>
      <c r="L2172" s="165"/>
      <c r="M2172" s="165"/>
      <c r="N2172" s="165"/>
      <c r="O2172" s="165"/>
      <c r="P2172" s="165"/>
      <c r="Q2172" s="165"/>
      <c r="R2172" s="165"/>
      <c r="S2172" s="165"/>
      <c r="T2172" s="165"/>
      <c r="U2172" s="165"/>
      <c r="V2172" s="165"/>
      <c r="W2172" s="165"/>
      <c r="X2172" s="165"/>
    </row>
    <row r="2173" ht="18.75" customHeight="1">
      <c r="A2173" s="165">
        <v>2170.0</v>
      </c>
      <c r="B2173" s="167" t="s">
        <v>17619</v>
      </c>
      <c r="C2173" s="165"/>
      <c r="D2173" s="165"/>
      <c r="E2173" s="165"/>
      <c r="F2173" s="165"/>
      <c r="G2173" s="165"/>
      <c r="H2173" s="165"/>
      <c r="I2173" s="165"/>
      <c r="J2173" s="165"/>
      <c r="K2173" s="165"/>
      <c r="L2173" s="165"/>
      <c r="M2173" s="165"/>
      <c r="N2173" s="165"/>
      <c r="O2173" s="165"/>
      <c r="P2173" s="165"/>
      <c r="Q2173" s="165"/>
      <c r="R2173" s="165"/>
      <c r="S2173" s="165"/>
      <c r="T2173" s="165"/>
      <c r="U2173" s="165"/>
      <c r="V2173" s="165"/>
      <c r="W2173" s="165"/>
      <c r="X2173" s="165"/>
    </row>
    <row r="2174" ht="18.75" customHeight="1">
      <c r="A2174" s="165">
        <v>2171.0</v>
      </c>
      <c r="B2174" s="167" t="s">
        <v>17550</v>
      </c>
      <c r="C2174" s="165"/>
      <c r="D2174" s="165"/>
      <c r="E2174" s="165"/>
      <c r="F2174" s="165"/>
      <c r="G2174" s="165"/>
      <c r="H2174" s="165"/>
      <c r="I2174" s="165"/>
      <c r="J2174" s="165"/>
      <c r="K2174" s="165"/>
      <c r="L2174" s="165"/>
      <c r="M2174" s="165"/>
      <c r="N2174" s="165"/>
      <c r="O2174" s="165"/>
      <c r="P2174" s="165"/>
      <c r="Q2174" s="165"/>
      <c r="R2174" s="165"/>
      <c r="S2174" s="165"/>
      <c r="T2174" s="165"/>
      <c r="U2174" s="165"/>
      <c r="V2174" s="165"/>
      <c r="W2174" s="165"/>
      <c r="X2174" s="165"/>
    </row>
    <row r="2175" ht="18.75" customHeight="1">
      <c r="A2175" s="165">
        <v>2172.0</v>
      </c>
      <c r="B2175" s="167" t="s">
        <v>17620</v>
      </c>
      <c r="C2175" s="165"/>
      <c r="D2175" s="165"/>
      <c r="E2175" s="165"/>
      <c r="F2175" s="165"/>
      <c r="G2175" s="165"/>
      <c r="H2175" s="165"/>
      <c r="I2175" s="165"/>
      <c r="J2175" s="165"/>
      <c r="K2175" s="165"/>
      <c r="L2175" s="165"/>
      <c r="M2175" s="165"/>
      <c r="N2175" s="165"/>
      <c r="O2175" s="165"/>
      <c r="P2175" s="165"/>
      <c r="Q2175" s="165"/>
      <c r="R2175" s="165"/>
      <c r="S2175" s="165"/>
      <c r="T2175" s="165"/>
      <c r="U2175" s="165"/>
      <c r="V2175" s="165"/>
      <c r="W2175" s="165"/>
      <c r="X2175" s="165"/>
    </row>
    <row r="2176" ht="18.75" customHeight="1">
      <c r="A2176" s="165">
        <v>2173.0</v>
      </c>
      <c r="B2176" s="167" t="s">
        <v>17621</v>
      </c>
      <c r="C2176" s="165"/>
      <c r="D2176" s="165"/>
      <c r="E2176" s="165"/>
      <c r="F2176" s="165"/>
      <c r="G2176" s="165"/>
      <c r="H2176" s="165"/>
      <c r="I2176" s="165"/>
      <c r="J2176" s="165"/>
      <c r="K2176" s="165"/>
      <c r="L2176" s="165"/>
      <c r="M2176" s="165"/>
      <c r="N2176" s="165"/>
      <c r="O2176" s="165"/>
      <c r="P2176" s="165"/>
      <c r="Q2176" s="165"/>
      <c r="R2176" s="165"/>
      <c r="S2176" s="165"/>
      <c r="T2176" s="165"/>
      <c r="U2176" s="165"/>
      <c r="V2176" s="165"/>
      <c r="W2176" s="165"/>
      <c r="X2176" s="165"/>
    </row>
    <row r="2177" ht="18.75" customHeight="1">
      <c r="A2177" s="165">
        <v>2174.0</v>
      </c>
      <c r="B2177" s="167" t="s">
        <v>17622</v>
      </c>
      <c r="C2177" s="165"/>
      <c r="D2177" s="165"/>
      <c r="E2177" s="165"/>
      <c r="F2177" s="165"/>
      <c r="G2177" s="165"/>
      <c r="H2177" s="165"/>
      <c r="I2177" s="165"/>
      <c r="J2177" s="165"/>
      <c r="K2177" s="165"/>
      <c r="L2177" s="165"/>
      <c r="M2177" s="165"/>
      <c r="N2177" s="165"/>
      <c r="O2177" s="165"/>
      <c r="P2177" s="165"/>
      <c r="Q2177" s="165"/>
      <c r="R2177" s="165"/>
      <c r="S2177" s="165"/>
      <c r="T2177" s="165"/>
      <c r="U2177" s="165"/>
      <c r="V2177" s="165"/>
      <c r="W2177" s="165"/>
      <c r="X2177" s="165"/>
    </row>
    <row r="2178" ht="18.75" customHeight="1">
      <c r="A2178" s="165">
        <v>2175.0</v>
      </c>
      <c r="B2178" s="167" t="s">
        <v>17623</v>
      </c>
      <c r="C2178" s="165"/>
      <c r="D2178" s="165"/>
      <c r="E2178" s="165"/>
      <c r="F2178" s="165"/>
      <c r="G2178" s="165"/>
      <c r="H2178" s="165"/>
      <c r="I2178" s="165"/>
      <c r="J2178" s="165"/>
      <c r="K2178" s="165"/>
      <c r="L2178" s="165"/>
      <c r="M2178" s="165"/>
      <c r="N2178" s="165"/>
      <c r="O2178" s="165"/>
      <c r="P2178" s="165"/>
      <c r="Q2178" s="165"/>
      <c r="R2178" s="165"/>
      <c r="S2178" s="165"/>
      <c r="T2178" s="165"/>
      <c r="U2178" s="165"/>
      <c r="V2178" s="165"/>
      <c r="W2178" s="165"/>
      <c r="X2178" s="165"/>
    </row>
    <row r="2179" ht="18.75" customHeight="1">
      <c r="A2179" s="165">
        <v>2176.0</v>
      </c>
      <c r="B2179" s="167" t="s">
        <v>17624</v>
      </c>
      <c r="C2179" s="165"/>
      <c r="D2179" s="165"/>
      <c r="E2179" s="165"/>
      <c r="F2179" s="165"/>
      <c r="G2179" s="165"/>
      <c r="H2179" s="165"/>
      <c r="I2179" s="165"/>
      <c r="J2179" s="165"/>
      <c r="K2179" s="165"/>
      <c r="L2179" s="165"/>
      <c r="M2179" s="165"/>
      <c r="N2179" s="165"/>
      <c r="O2179" s="165"/>
      <c r="P2179" s="165"/>
      <c r="Q2179" s="165"/>
      <c r="R2179" s="165"/>
      <c r="S2179" s="165"/>
      <c r="T2179" s="165"/>
      <c r="U2179" s="165"/>
      <c r="V2179" s="165"/>
      <c r="W2179" s="165"/>
      <c r="X2179" s="165"/>
    </row>
    <row r="2180" ht="18.75" customHeight="1">
      <c r="A2180" s="165">
        <v>2177.0</v>
      </c>
      <c r="B2180" s="167" t="s">
        <v>17625</v>
      </c>
      <c r="C2180" s="165"/>
      <c r="D2180" s="165"/>
      <c r="E2180" s="165"/>
      <c r="F2180" s="165"/>
      <c r="G2180" s="165"/>
      <c r="H2180" s="165"/>
      <c r="I2180" s="165"/>
      <c r="J2180" s="165"/>
      <c r="K2180" s="165"/>
      <c r="L2180" s="165"/>
      <c r="M2180" s="165"/>
      <c r="N2180" s="165"/>
      <c r="O2180" s="165"/>
      <c r="P2180" s="165"/>
      <c r="Q2180" s="165"/>
      <c r="R2180" s="165"/>
      <c r="S2180" s="165"/>
      <c r="T2180" s="165"/>
      <c r="U2180" s="165"/>
      <c r="V2180" s="165"/>
      <c r="W2180" s="165"/>
      <c r="X2180" s="165"/>
    </row>
    <row r="2181" ht="18.75" customHeight="1">
      <c r="A2181" s="165">
        <v>2178.0</v>
      </c>
      <c r="B2181" s="167" t="s">
        <v>17626</v>
      </c>
      <c r="C2181" s="165"/>
      <c r="D2181" s="165"/>
      <c r="E2181" s="165"/>
      <c r="F2181" s="165"/>
      <c r="G2181" s="165"/>
      <c r="H2181" s="165"/>
      <c r="I2181" s="165"/>
      <c r="J2181" s="165"/>
      <c r="K2181" s="165"/>
      <c r="L2181" s="165"/>
      <c r="M2181" s="165"/>
      <c r="N2181" s="165"/>
      <c r="O2181" s="165"/>
      <c r="P2181" s="165"/>
      <c r="Q2181" s="165"/>
      <c r="R2181" s="165"/>
      <c r="S2181" s="165"/>
      <c r="T2181" s="165"/>
      <c r="U2181" s="165"/>
      <c r="V2181" s="165"/>
      <c r="W2181" s="165"/>
      <c r="X2181" s="165"/>
    </row>
    <row r="2182" ht="18.75" customHeight="1">
      <c r="A2182" s="165">
        <v>2179.0</v>
      </c>
      <c r="B2182" s="167" t="s">
        <v>17627</v>
      </c>
      <c r="C2182" s="165"/>
      <c r="D2182" s="165"/>
      <c r="E2182" s="165"/>
      <c r="F2182" s="165"/>
      <c r="G2182" s="165"/>
      <c r="H2182" s="165"/>
      <c r="I2182" s="165"/>
      <c r="J2182" s="165"/>
      <c r="K2182" s="165"/>
      <c r="L2182" s="165"/>
      <c r="M2182" s="165"/>
      <c r="N2182" s="165"/>
      <c r="O2182" s="165"/>
      <c r="P2182" s="165"/>
      <c r="Q2182" s="165"/>
      <c r="R2182" s="165"/>
      <c r="S2182" s="165"/>
      <c r="T2182" s="165"/>
      <c r="U2182" s="165"/>
      <c r="V2182" s="165"/>
      <c r="W2182" s="165"/>
      <c r="X2182" s="165"/>
    </row>
    <row r="2183" ht="18.75" customHeight="1">
      <c r="A2183" s="165">
        <v>2180.0</v>
      </c>
      <c r="B2183" s="167" t="s">
        <v>17628</v>
      </c>
      <c r="C2183" s="165"/>
      <c r="D2183" s="165"/>
      <c r="E2183" s="165"/>
      <c r="F2183" s="165"/>
      <c r="G2183" s="165"/>
      <c r="H2183" s="165"/>
      <c r="I2183" s="165"/>
      <c r="J2183" s="165"/>
      <c r="K2183" s="165"/>
      <c r="L2183" s="165"/>
      <c r="M2183" s="165"/>
      <c r="N2183" s="165"/>
      <c r="O2183" s="165"/>
      <c r="P2183" s="165"/>
      <c r="Q2183" s="165"/>
      <c r="R2183" s="165"/>
      <c r="S2183" s="165"/>
      <c r="T2183" s="165"/>
      <c r="U2183" s="165"/>
      <c r="V2183" s="165"/>
      <c r="W2183" s="165"/>
      <c r="X2183" s="165"/>
    </row>
    <row r="2184" ht="18.75" customHeight="1">
      <c r="A2184" s="165">
        <v>2181.0</v>
      </c>
      <c r="B2184" s="167" t="s">
        <v>17629</v>
      </c>
      <c r="C2184" s="165"/>
      <c r="D2184" s="165"/>
      <c r="E2184" s="165"/>
      <c r="F2184" s="165"/>
      <c r="G2184" s="165"/>
      <c r="H2184" s="165"/>
      <c r="I2184" s="165"/>
      <c r="J2184" s="165"/>
      <c r="K2184" s="165"/>
      <c r="L2184" s="165"/>
      <c r="M2184" s="165"/>
      <c r="N2184" s="165"/>
      <c r="O2184" s="165"/>
      <c r="P2184" s="165"/>
      <c r="Q2184" s="165"/>
      <c r="R2184" s="165"/>
      <c r="S2184" s="165"/>
      <c r="T2184" s="165"/>
      <c r="U2184" s="165"/>
      <c r="V2184" s="165"/>
      <c r="W2184" s="165"/>
      <c r="X2184" s="165"/>
    </row>
    <row r="2185" ht="18.75" customHeight="1">
      <c r="A2185" s="165">
        <v>2182.0</v>
      </c>
      <c r="B2185" s="167" t="s">
        <v>17630</v>
      </c>
      <c r="C2185" s="165"/>
      <c r="D2185" s="165"/>
      <c r="E2185" s="165"/>
      <c r="F2185" s="165"/>
      <c r="G2185" s="165"/>
      <c r="H2185" s="165"/>
      <c r="I2185" s="165"/>
      <c r="J2185" s="165"/>
      <c r="K2185" s="165"/>
      <c r="L2185" s="165"/>
      <c r="M2185" s="165"/>
      <c r="N2185" s="165"/>
      <c r="O2185" s="165"/>
      <c r="P2185" s="165"/>
      <c r="Q2185" s="165"/>
      <c r="R2185" s="165"/>
      <c r="S2185" s="165"/>
      <c r="T2185" s="165"/>
      <c r="U2185" s="165"/>
      <c r="V2185" s="165"/>
      <c r="W2185" s="165"/>
      <c r="X2185" s="165"/>
    </row>
    <row r="2186" ht="18.75" customHeight="1">
      <c r="A2186" s="165">
        <v>2183.0</v>
      </c>
      <c r="B2186" s="167" t="s">
        <v>17631</v>
      </c>
      <c r="C2186" s="165"/>
      <c r="D2186" s="165"/>
      <c r="E2186" s="165"/>
      <c r="F2186" s="165"/>
      <c r="G2186" s="165"/>
      <c r="H2186" s="165"/>
      <c r="I2186" s="165"/>
      <c r="J2186" s="165"/>
      <c r="K2186" s="165"/>
      <c r="L2186" s="165"/>
      <c r="M2186" s="165"/>
      <c r="N2186" s="165"/>
      <c r="O2186" s="165"/>
      <c r="P2186" s="165"/>
      <c r="Q2186" s="165"/>
      <c r="R2186" s="165"/>
      <c r="S2186" s="165"/>
      <c r="T2186" s="165"/>
      <c r="U2186" s="165"/>
      <c r="V2186" s="165"/>
      <c r="W2186" s="165"/>
      <c r="X2186" s="165"/>
    </row>
    <row r="2187" ht="18.75" customHeight="1">
      <c r="A2187" s="165">
        <v>2184.0</v>
      </c>
      <c r="B2187" s="167" t="s">
        <v>17632</v>
      </c>
      <c r="C2187" s="165"/>
      <c r="D2187" s="165"/>
      <c r="E2187" s="165"/>
      <c r="F2187" s="165"/>
      <c r="G2187" s="165"/>
      <c r="H2187" s="165"/>
      <c r="I2187" s="165"/>
      <c r="J2187" s="165"/>
      <c r="K2187" s="165"/>
      <c r="L2187" s="165"/>
      <c r="M2187" s="165"/>
      <c r="N2187" s="165"/>
      <c r="O2187" s="165"/>
      <c r="P2187" s="165"/>
      <c r="Q2187" s="165"/>
      <c r="R2187" s="165"/>
      <c r="S2187" s="165"/>
      <c r="T2187" s="165"/>
      <c r="U2187" s="165"/>
      <c r="V2187" s="165"/>
      <c r="W2187" s="165"/>
      <c r="X2187" s="165"/>
    </row>
    <row r="2188" ht="18.75" customHeight="1">
      <c r="A2188" s="165">
        <v>2185.0</v>
      </c>
      <c r="B2188" s="167" t="s">
        <v>17633</v>
      </c>
      <c r="C2188" s="165"/>
      <c r="D2188" s="165"/>
      <c r="E2188" s="165"/>
      <c r="F2188" s="165"/>
      <c r="G2188" s="165"/>
      <c r="H2188" s="165"/>
      <c r="I2188" s="165"/>
      <c r="J2188" s="165"/>
      <c r="K2188" s="165"/>
      <c r="L2188" s="165"/>
      <c r="M2188" s="165"/>
      <c r="N2188" s="165"/>
      <c r="O2188" s="165"/>
      <c r="P2188" s="165"/>
      <c r="Q2188" s="165"/>
      <c r="R2188" s="165"/>
      <c r="S2188" s="165"/>
      <c r="T2188" s="165"/>
      <c r="U2188" s="165"/>
      <c r="V2188" s="165"/>
      <c r="W2188" s="165"/>
      <c r="X2188" s="165"/>
    </row>
    <row r="2189" ht="18.75" customHeight="1">
      <c r="A2189" s="165">
        <v>2186.0</v>
      </c>
      <c r="B2189" s="167" t="s">
        <v>17634</v>
      </c>
      <c r="C2189" s="165"/>
      <c r="D2189" s="165"/>
      <c r="E2189" s="165"/>
      <c r="F2189" s="165"/>
      <c r="G2189" s="165"/>
      <c r="H2189" s="165"/>
      <c r="I2189" s="165"/>
      <c r="J2189" s="165"/>
      <c r="K2189" s="165"/>
      <c r="L2189" s="165"/>
      <c r="M2189" s="165"/>
      <c r="N2189" s="165"/>
      <c r="O2189" s="165"/>
      <c r="P2189" s="165"/>
      <c r="Q2189" s="165"/>
      <c r="R2189" s="165"/>
      <c r="S2189" s="165"/>
      <c r="T2189" s="165"/>
      <c r="U2189" s="165"/>
      <c r="V2189" s="165"/>
      <c r="W2189" s="165"/>
      <c r="X2189" s="165"/>
    </row>
    <row r="2190" ht="18.75" customHeight="1">
      <c r="A2190" s="165">
        <v>2187.0</v>
      </c>
      <c r="B2190" s="167" t="s">
        <v>17635</v>
      </c>
      <c r="C2190" s="165"/>
      <c r="D2190" s="165"/>
      <c r="E2190" s="165"/>
      <c r="F2190" s="165"/>
      <c r="G2190" s="165"/>
      <c r="H2190" s="165"/>
      <c r="I2190" s="165"/>
      <c r="J2190" s="165"/>
      <c r="K2190" s="165"/>
      <c r="L2190" s="165"/>
      <c r="M2190" s="165"/>
      <c r="N2190" s="165"/>
      <c r="O2190" s="165"/>
      <c r="P2190" s="165"/>
      <c r="Q2190" s="165"/>
      <c r="R2190" s="165"/>
      <c r="S2190" s="165"/>
      <c r="T2190" s="165"/>
      <c r="U2190" s="165"/>
      <c r="V2190" s="165"/>
      <c r="W2190" s="165"/>
      <c r="X2190" s="165"/>
    </row>
    <row r="2191" ht="18.75" customHeight="1">
      <c r="A2191" s="165">
        <v>2188.0</v>
      </c>
      <c r="B2191" s="167" t="s">
        <v>17636</v>
      </c>
      <c r="C2191" s="165"/>
      <c r="D2191" s="165"/>
      <c r="E2191" s="165"/>
      <c r="F2191" s="165"/>
      <c r="G2191" s="165"/>
      <c r="H2191" s="165"/>
      <c r="I2191" s="165"/>
      <c r="J2191" s="165"/>
      <c r="K2191" s="165"/>
      <c r="L2191" s="165"/>
      <c r="M2191" s="165"/>
      <c r="N2191" s="165"/>
      <c r="O2191" s="165"/>
      <c r="P2191" s="165"/>
      <c r="Q2191" s="165"/>
      <c r="R2191" s="165"/>
      <c r="S2191" s="165"/>
      <c r="T2191" s="165"/>
      <c r="U2191" s="165"/>
      <c r="V2191" s="165"/>
      <c r="W2191" s="165"/>
      <c r="X2191" s="165"/>
    </row>
    <row r="2192" ht="18.75" customHeight="1">
      <c r="A2192" s="165">
        <v>2189.0</v>
      </c>
      <c r="B2192" s="167" t="s">
        <v>17637</v>
      </c>
      <c r="C2192" s="165"/>
      <c r="D2192" s="165"/>
      <c r="E2192" s="165"/>
      <c r="F2192" s="165"/>
      <c r="G2192" s="165"/>
      <c r="H2192" s="165"/>
      <c r="I2192" s="165"/>
      <c r="J2192" s="165"/>
      <c r="K2192" s="165"/>
      <c r="L2192" s="165"/>
      <c r="M2192" s="165"/>
      <c r="N2192" s="165"/>
      <c r="O2192" s="165"/>
      <c r="P2192" s="165"/>
      <c r="Q2192" s="165"/>
      <c r="R2192" s="165"/>
      <c r="S2192" s="165"/>
      <c r="T2192" s="165"/>
      <c r="U2192" s="165"/>
      <c r="V2192" s="165"/>
      <c r="W2192" s="165"/>
      <c r="X2192" s="165"/>
    </row>
    <row r="2193" ht="18.75" customHeight="1">
      <c r="A2193" s="165">
        <v>2190.0</v>
      </c>
      <c r="B2193" s="167" t="s">
        <v>17638</v>
      </c>
      <c r="C2193" s="165"/>
      <c r="D2193" s="165"/>
      <c r="E2193" s="165"/>
      <c r="F2193" s="165"/>
      <c r="G2193" s="165"/>
      <c r="H2193" s="165"/>
      <c r="I2193" s="165"/>
      <c r="J2193" s="165"/>
      <c r="K2193" s="165"/>
      <c r="L2193" s="165"/>
      <c r="M2193" s="165"/>
      <c r="N2193" s="165"/>
      <c r="O2193" s="165"/>
      <c r="P2193" s="165"/>
      <c r="Q2193" s="165"/>
      <c r="R2193" s="165"/>
      <c r="S2193" s="165"/>
      <c r="T2193" s="165"/>
      <c r="U2193" s="165"/>
      <c r="V2193" s="165"/>
      <c r="W2193" s="165"/>
      <c r="X2193" s="165"/>
    </row>
    <row r="2194" ht="18.75" customHeight="1">
      <c r="A2194" s="165">
        <v>2191.0</v>
      </c>
      <c r="B2194" s="167" t="s">
        <v>17639</v>
      </c>
      <c r="C2194" s="165"/>
      <c r="D2194" s="165"/>
      <c r="E2194" s="165"/>
      <c r="F2194" s="165"/>
      <c r="G2194" s="165"/>
      <c r="H2194" s="165"/>
      <c r="I2194" s="165"/>
      <c r="J2194" s="165"/>
      <c r="K2194" s="165"/>
      <c r="L2194" s="165"/>
      <c r="M2194" s="165"/>
      <c r="N2194" s="165"/>
      <c r="O2194" s="165"/>
      <c r="P2194" s="165"/>
      <c r="Q2194" s="165"/>
      <c r="R2194" s="165"/>
      <c r="S2194" s="165"/>
      <c r="T2194" s="165"/>
      <c r="U2194" s="165"/>
      <c r="V2194" s="165"/>
      <c r="W2194" s="165"/>
      <c r="X2194" s="165"/>
    </row>
    <row r="2195" ht="18.75" customHeight="1">
      <c r="A2195" s="165">
        <v>2192.0</v>
      </c>
      <c r="B2195" s="167" t="s">
        <v>17640</v>
      </c>
      <c r="C2195" s="165"/>
      <c r="D2195" s="165"/>
      <c r="E2195" s="165"/>
      <c r="F2195" s="165"/>
      <c r="G2195" s="165"/>
      <c r="H2195" s="165"/>
      <c r="I2195" s="165"/>
      <c r="J2195" s="165"/>
      <c r="K2195" s="165"/>
      <c r="L2195" s="165"/>
      <c r="M2195" s="165"/>
      <c r="N2195" s="165"/>
      <c r="O2195" s="165"/>
      <c r="P2195" s="165"/>
      <c r="Q2195" s="165"/>
      <c r="R2195" s="165"/>
      <c r="S2195" s="165"/>
      <c r="T2195" s="165"/>
      <c r="U2195" s="165"/>
      <c r="V2195" s="165"/>
      <c r="W2195" s="165"/>
      <c r="X2195" s="165"/>
    </row>
    <row r="2196" ht="18.75" customHeight="1">
      <c r="A2196" s="165">
        <v>2193.0</v>
      </c>
      <c r="B2196" s="167" t="s">
        <v>17641</v>
      </c>
      <c r="C2196" s="165"/>
      <c r="D2196" s="165"/>
      <c r="E2196" s="165"/>
      <c r="F2196" s="165"/>
      <c r="G2196" s="165"/>
      <c r="H2196" s="165"/>
      <c r="I2196" s="165"/>
      <c r="J2196" s="165"/>
      <c r="K2196" s="165"/>
      <c r="L2196" s="165"/>
      <c r="M2196" s="165"/>
      <c r="N2196" s="165"/>
      <c r="O2196" s="165"/>
      <c r="P2196" s="165"/>
      <c r="Q2196" s="165"/>
      <c r="R2196" s="165"/>
      <c r="S2196" s="165"/>
      <c r="T2196" s="165"/>
      <c r="U2196" s="165"/>
      <c r="V2196" s="165"/>
      <c r="W2196" s="165"/>
      <c r="X2196" s="165"/>
    </row>
    <row r="2197" ht="18.75" customHeight="1">
      <c r="A2197" s="165">
        <v>2194.0</v>
      </c>
      <c r="B2197" s="167" t="s">
        <v>17642</v>
      </c>
      <c r="C2197" s="165"/>
      <c r="D2197" s="165"/>
      <c r="E2197" s="165"/>
      <c r="F2197" s="165"/>
      <c r="G2197" s="165"/>
      <c r="H2197" s="165"/>
      <c r="I2197" s="165"/>
      <c r="J2197" s="165"/>
      <c r="K2197" s="165"/>
      <c r="L2197" s="165"/>
      <c r="M2197" s="165"/>
      <c r="N2197" s="165"/>
      <c r="O2197" s="165"/>
      <c r="P2197" s="165"/>
      <c r="Q2197" s="165"/>
      <c r="R2197" s="165"/>
      <c r="S2197" s="165"/>
      <c r="T2197" s="165"/>
      <c r="U2197" s="165"/>
      <c r="V2197" s="165"/>
      <c r="W2197" s="165"/>
      <c r="X2197" s="165"/>
    </row>
    <row r="2198" ht="18.75" customHeight="1">
      <c r="A2198" s="165">
        <v>2195.0</v>
      </c>
      <c r="B2198" s="167" t="s">
        <v>17643</v>
      </c>
      <c r="C2198" s="165"/>
      <c r="D2198" s="165"/>
      <c r="E2198" s="165"/>
      <c r="F2198" s="165"/>
      <c r="G2198" s="165"/>
      <c r="H2198" s="165"/>
      <c r="I2198" s="165"/>
      <c r="J2198" s="165"/>
      <c r="K2198" s="165"/>
      <c r="L2198" s="165"/>
      <c r="M2198" s="165"/>
      <c r="N2198" s="165"/>
      <c r="O2198" s="165"/>
      <c r="P2198" s="165"/>
      <c r="Q2198" s="165"/>
      <c r="R2198" s="165"/>
      <c r="S2198" s="165"/>
      <c r="T2198" s="165"/>
      <c r="U2198" s="165"/>
      <c r="V2198" s="165"/>
      <c r="W2198" s="165"/>
      <c r="X2198" s="165"/>
    </row>
    <row r="2199" ht="18.75" customHeight="1">
      <c r="A2199" s="165">
        <v>2196.0</v>
      </c>
      <c r="B2199" s="167" t="s">
        <v>17644</v>
      </c>
      <c r="C2199" s="165"/>
      <c r="D2199" s="165"/>
      <c r="E2199" s="165"/>
      <c r="F2199" s="165"/>
      <c r="G2199" s="165"/>
      <c r="H2199" s="165"/>
      <c r="I2199" s="165"/>
      <c r="J2199" s="165"/>
      <c r="K2199" s="165"/>
      <c r="L2199" s="165"/>
      <c r="M2199" s="165"/>
      <c r="N2199" s="165"/>
      <c r="O2199" s="165"/>
      <c r="P2199" s="165"/>
      <c r="Q2199" s="165"/>
      <c r="R2199" s="165"/>
      <c r="S2199" s="165"/>
      <c r="T2199" s="165"/>
      <c r="U2199" s="165"/>
      <c r="V2199" s="165"/>
      <c r="W2199" s="165"/>
      <c r="X2199" s="165"/>
    </row>
    <row r="2200" ht="18.75" customHeight="1">
      <c r="A2200" s="165">
        <v>2197.0</v>
      </c>
      <c r="B2200" s="167" t="s">
        <v>17645</v>
      </c>
      <c r="C2200" s="165"/>
      <c r="D2200" s="165"/>
      <c r="E2200" s="165"/>
      <c r="F2200" s="165"/>
      <c r="G2200" s="165"/>
      <c r="H2200" s="165"/>
      <c r="I2200" s="165"/>
      <c r="J2200" s="165"/>
      <c r="K2200" s="165"/>
      <c r="L2200" s="165"/>
      <c r="M2200" s="165"/>
      <c r="N2200" s="165"/>
      <c r="O2200" s="165"/>
      <c r="P2200" s="165"/>
      <c r="Q2200" s="165"/>
      <c r="R2200" s="165"/>
      <c r="S2200" s="165"/>
      <c r="T2200" s="165"/>
      <c r="U2200" s="165"/>
      <c r="V2200" s="165"/>
      <c r="W2200" s="165"/>
      <c r="X2200" s="165"/>
    </row>
    <row r="2201" ht="18.75" customHeight="1">
      <c r="A2201" s="165">
        <v>2198.0</v>
      </c>
      <c r="B2201" s="167" t="s">
        <v>17646</v>
      </c>
      <c r="C2201" s="165"/>
      <c r="D2201" s="165"/>
      <c r="E2201" s="165"/>
      <c r="F2201" s="165"/>
      <c r="G2201" s="165"/>
      <c r="H2201" s="165"/>
      <c r="I2201" s="165"/>
      <c r="J2201" s="165"/>
      <c r="K2201" s="165"/>
      <c r="L2201" s="165"/>
      <c r="M2201" s="165"/>
      <c r="N2201" s="165"/>
      <c r="O2201" s="165"/>
      <c r="P2201" s="165"/>
      <c r="Q2201" s="165"/>
      <c r="R2201" s="165"/>
      <c r="S2201" s="165"/>
      <c r="T2201" s="165"/>
      <c r="U2201" s="165"/>
      <c r="V2201" s="165"/>
      <c r="W2201" s="165"/>
      <c r="X2201" s="165"/>
    </row>
    <row r="2202" ht="18.75" customHeight="1">
      <c r="A2202" s="165">
        <v>2199.0</v>
      </c>
      <c r="B2202" s="167" t="s">
        <v>17647</v>
      </c>
      <c r="C2202" s="165"/>
      <c r="D2202" s="165"/>
      <c r="E2202" s="165"/>
      <c r="F2202" s="165"/>
      <c r="G2202" s="165"/>
      <c r="H2202" s="165"/>
      <c r="I2202" s="165"/>
      <c r="J2202" s="165"/>
      <c r="K2202" s="165"/>
      <c r="L2202" s="165"/>
      <c r="M2202" s="165"/>
      <c r="N2202" s="165"/>
      <c r="O2202" s="165"/>
      <c r="P2202" s="165"/>
      <c r="Q2202" s="165"/>
      <c r="R2202" s="165"/>
      <c r="S2202" s="165"/>
      <c r="T2202" s="165"/>
      <c r="U2202" s="165"/>
      <c r="V2202" s="165"/>
      <c r="W2202" s="165"/>
      <c r="X2202" s="165"/>
    </row>
    <row r="2203" ht="18.75" customHeight="1">
      <c r="A2203" s="165">
        <v>2200.0</v>
      </c>
      <c r="B2203" s="167" t="s">
        <v>17648</v>
      </c>
      <c r="C2203" s="165"/>
      <c r="D2203" s="165"/>
      <c r="E2203" s="165"/>
      <c r="F2203" s="165"/>
      <c r="G2203" s="165"/>
      <c r="H2203" s="165"/>
      <c r="I2203" s="165"/>
      <c r="J2203" s="165"/>
      <c r="K2203" s="165"/>
      <c r="L2203" s="165"/>
      <c r="M2203" s="165"/>
      <c r="N2203" s="165"/>
      <c r="O2203" s="165"/>
      <c r="P2203" s="165"/>
      <c r="Q2203" s="165"/>
      <c r="R2203" s="165"/>
      <c r="S2203" s="165"/>
      <c r="T2203" s="165"/>
      <c r="U2203" s="165"/>
      <c r="V2203" s="165"/>
      <c r="W2203" s="165"/>
      <c r="X2203" s="165"/>
    </row>
    <row r="2204" ht="18.75" customHeight="1">
      <c r="A2204" s="165">
        <v>2201.0</v>
      </c>
      <c r="B2204" s="167" t="s">
        <v>17649</v>
      </c>
      <c r="C2204" s="165"/>
      <c r="D2204" s="165"/>
      <c r="E2204" s="165"/>
      <c r="F2204" s="165"/>
      <c r="G2204" s="165"/>
      <c r="H2204" s="165"/>
      <c r="I2204" s="165"/>
      <c r="J2204" s="165"/>
      <c r="K2204" s="165"/>
      <c r="L2204" s="165"/>
      <c r="M2204" s="165"/>
      <c r="N2204" s="165"/>
      <c r="O2204" s="165"/>
      <c r="P2204" s="165"/>
      <c r="Q2204" s="165"/>
      <c r="R2204" s="165"/>
      <c r="S2204" s="165"/>
      <c r="T2204" s="165"/>
      <c r="U2204" s="165"/>
      <c r="V2204" s="165"/>
      <c r="W2204" s="165"/>
      <c r="X2204" s="165"/>
    </row>
    <row r="2205" ht="18.75" customHeight="1">
      <c r="A2205" s="165">
        <v>2202.0</v>
      </c>
      <c r="B2205" s="167" t="s">
        <v>17650</v>
      </c>
      <c r="C2205" s="165"/>
      <c r="D2205" s="165"/>
      <c r="E2205" s="165"/>
      <c r="F2205" s="165"/>
      <c r="G2205" s="165"/>
      <c r="H2205" s="165"/>
      <c r="I2205" s="165"/>
      <c r="J2205" s="165"/>
      <c r="K2205" s="165"/>
      <c r="L2205" s="165"/>
      <c r="M2205" s="165"/>
      <c r="N2205" s="165"/>
      <c r="O2205" s="165"/>
      <c r="P2205" s="165"/>
      <c r="Q2205" s="165"/>
      <c r="R2205" s="165"/>
      <c r="S2205" s="165"/>
      <c r="T2205" s="165"/>
      <c r="U2205" s="165"/>
      <c r="V2205" s="165"/>
      <c r="W2205" s="165"/>
      <c r="X2205" s="165"/>
    </row>
    <row r="2206" ht="18.75" customHeight="1">
      <c r="A2206" s="165">
        <v>2203.0</v>
      </c>
      <c r="B2206" s="167" t="s">
        <v>17651</v>
      </c>
      <c r="C2206" s="165"/>
      <c r="D2206" s="165"/>
      <c r="E2206" s="165"/>
      <c r="F2206" s="165"/>
      <c r="G2206" s="165"/>
      <c r="H2206" s="165"/>
      <c r="I2206" s="165"/>
      <c r="J2206" s="165"/>
      <c r="K2206" s="165"/>
      <c r="L2206" s="165"/>
      <c r="M2206" s="165"/>
      <c r="N2206" s="165"/>
      <c r="O2206" s="165"/>
      <c r="P2206" s="165"/>
      <c r="Q2206" s="165"/>
      <c r="R2206" s="165"/>
      <c r="S2206" s="165"/>
      <c r="T2206" s="165"/>
      <c r="U2206" s="165"/>
      <c r="V2206" s="165"/>
      <c r="W2206" s="165"/>
      <c r="X2206" s="165"/>
    </row>
    <row r="2207" ht="18.75" customHeight="1">
      <c r="A2207" s="165">
        <v>2204.0</v>
      </c>
      <c r="B2207" s="167" t="s">
        <v>17652</v>
      </c>
      <c r="C2207" s="165"/>
      <c r="D2207" s="165"/>
      <c r="E2207" s="165"/>
      <c r="F2207" s="165"/>
      <c r="G2207" s="165"/>
      <c r="H2207" s="165"/>
      <c r="I2207" s="165"/>
      <c r="J2207" s="165"/>
      <c r="K2207" s="165"/>
      <c r="L2207" s="165"/>
      <c r="M2207" s="165"/>
      <c r="N2207" s="165"/>
      <c r="O2207" s="165"/>
      <c r="P2207" s="165"/>
      <c r="Q2207" s="165"/>
      <c r="R2207" s="165"/>
      <c r="S2207" s="165"/>
      <c r="T2207" s="165"/>
      <c r="U2207" s="165"/>
      <c r="V2207" s="165"/>
      <c r="W2207" s="165"/>
      <c r="X2207" s="165"/>
    </row>
    <row r="2208" ht="18.75" customHeight="1">
      <c r="A2208" s="165">
        <v>2205.0</v>
      </c>
      <c r="B2208" s="165" t="s">
        <v>17653</v>
      </c>
      <c r="C2208" s="165"/>
      <c r="D2208" s="165"/>
      <c r="E2208" s="165"/>
      <c r="F2208" s="165"/>
      <c r="G2208" s="165"/>
      <c r="H2208" s="165"/>
      <c r="I2208" s="165"/>
      <c r="J2208" s="165"/>
      <c r="K2208" s="165"/>
      <c r="L2208" s="165"/>
      <c r="M2208" s="165"/>
      <c r="N2208" s="165"/>
      <c r="O2208" s="165"/>
      <c r="P2208" s="165"/>
      <c r="Q2208" s="165"/>
      <c r="R2208" s="165"/>
      <c r="S2208" s="165"/>
      <c r="T2208" s="165"/>
      <c r="U2208" s="165"/>
      <c r="V2208" s="165"/>
      <c r="W2208" s="165"/>
      <c r="X2208" s="165"/>
    </row>
    <row r="2209" ht="18.75" customHeight="1">
      <c r="A2209" s="165">
        <v>2206.0</v>
      </c>
      <c r="B2209" s="167" t="s">
        <v>17654</v>
      </c>
      <c r="C2209" s="165"/>
      <c r="D2209" s="165"/>
      <c r="E2209" s="165"/>
      <c r="F2209" s="165"/>
      <c r="G2209" s="165"/>
      <c r="H2209" s="165"/>
      <c r="I2209" s="165"/>
      <c r="J2209" s="165"/>
      <c r="K2209" s="165"/>
      <c r="L2209" s="165"/>
      <c r="M2209" s="165"/>
      <c r="N2209" s="165"/>
      <c r="O2209" s="165"/>
      <c r="P2209" s="165"/>
      <c r="Q2209" s="165"/>
      <c r="R2209" s="165"/>
      <c r="S2209" s="165"/>
      <c r="T2209" s="165"/>
      <c r="U2209" s="165"/>
      <c r="V2209" s="165"/>
      <c r="W2209" s="165"/>
      <c r="X2209" s="165"/>
    </row>
    <row r="2210" ht="18.75" customHeight="1">
      <c r="A2210" s="165">
        <v>2207.0</v>
      </c>
      <c r="B2210" s="167" t="s">
        <v>17655</v>
      </c>
      <c r="C2210" s="165"/>
      <c r="D2210" s="165"/>
      <c r="E2210" s="165"/>
      <c r="F2210" s="165"/>
      <c r="G2210" s="165"/>
      <c r="H2210" s="165"/>
      <c r="I2210" s="165"/>
      <c r="J2210" s="165"/>
      <c r="K2210" s="165"/>
      <c r="L2210" s="165"/>
      <c r="M2210" s="165"/>
      <c r="N2210" s="165"/>
      <c r="O2210" s="165"/>
      <c r="P2210" s="165"/>
      <c r="Q2210" s="165"/>
      <c r="R2210" s="165"/>
      <c r="S2210" s="165"/>
      <c r="T2210" s="165"/>
      <c r="U2210" s="165"/>
      <c r="V2210" s="165"/>
      <c r="W2210" s="165"/>
      <c r="X2210" s="165"/>
    </row>
    <row r="2211" ht="18.75" customHeight="1">
      <c r="A2211" s="165">
        <v>2208.0</v>
      </c>
      <c r="B2211" s="167" t="s">
        <v>17656</v>
      </c>
      <c r="C2211" s="165"/>
      <c r="D2211" s="165"/>
      <c r="E2211" s="165"/>
      <c r="F2211" s="165"/>
      <c r="G2211" s="165"/>
      <c r="H2211" s="165"/>
      <c r="I2211" s="165"/>
      <c r="J2211" s="165"/>
      <c r="K2211" s="165"/>
      <c r="L2211" s="165"/>
      <c r="M2211" s="165"/>
      <c r="N2211" s="165"/>
      <c r="O2211" s="165"/>
      <c r="P2211" s="165"/>
      <c r="Q2211" s="165"/>
      <c r="R2211" s="165"/>
      <c r="S2211" s="165"/>
      <c r="T2211" s="165"/>
      <c r="U2211" s="165"/>
      <c r="V2211" s="165"/>
      <c r="W2211" s="165"/>
      <c r="X2211" s="165"/>
    </row>
    <row r="2212" ht="18.75" customHeight="1">
      <c r="A2212" s="165">
        <v>2209.0</v>
      </c>
      <c r="B2212" s="167" t="s">
        <v>17657</v>
      </c>
      <c r="C2212" s="165"/>
      <c r="D2212" s="165"/>
      <c r="E2212" s="165"/>
      <c r="F2212" s="165"/>
      <c r="G2212" s="165"/>
      <c r="H2212" s="165"/>
      <c r="I2212" s="165"/>
      <c r="J2212" s="165"/>
      <c r="K2212" s="165"/>
      <c r="L2212" s="165"/>
      <c r="M2212" s="165"/>
      <c r="N2212" s="165"/>
      <c r="O2212" s="165"/>
      <c r="P2212" s="165"/>
      <c r="Q2212" s="165"/>
      <c r="R2212" s="165"/>
      <c r="S2212" s="165"/>
      <c r="T2212" s="165"/>
      <c r="U2212" s="165"/>
      <c r="V2212" s="165"/>
      <c r="W2212" s="165"/>
      <c r="X2212" s="165"/>
    </row>
    <row r="2213" ht="18.75" customHeight="1">
      <c r="A2213" s="165">
        <v>2210.0</v>
      </c>
      <c r="B2213" s="165" t="s">
        <v>17658</v>
      </c>
      <c r="C2213" s="165"/>
      <c r="D2213" s="165"/>
      <c r="E2213" s="165"/>
      <c r="F2213" s="165"/>
      <c r="G2213" s="165"/>
      <c r="H2213" s="165"/>
      <c r="I2213" s="165"/>
      <c r="J2213" s="165"/>
      <c r="K2213" s="165"/>
      <c r="L2213" s="165"/>
      <c r="M2213" s="165"/>
      <c r="N2213" s="165"/>
      <c r="O2213" s="165"/>
      <c r="P2213" s="165"/>
      <c r="Q2213" s="165"/>
      <c r="R2213" s="165"/>
      <c r="S2213" s="165"/>
      <c r="T2213" s="165"/>
      <c r="U2213" s="165"/>
      <c r="V2213" s="165"/>
      <c r="W2213" s="165"/>
      <c r="X2213" s="165"/>
    </row>
    <row r="2214" ht="18.75" customHeight="1">
      <c r="A2214" s="165">
        <v>2211.0</v>
      </c>
      <c r="B2214" s="167" t="s">
        <v>17659</v>
      </c>
      <c r="C2214" s="165"/>
      <c r="D2214" s="165"/>
      <c r="E2214" s="165"/>
      <c r="F2214" s="165"/>
      <c r="G2214" s="165"/>
      <c r="H2214" s="165"/>
      <c r="I2214" s="165"/>
      <c r="J2214" s="165"/>
      <c r="K2214" s="165"/>
      <c r="L2214" s="165"/>
      <c r="M2214" s="165"/>
      <c r="N2214" s="165"/>
      <c r="O2214" s="165"/>
      <c r="P2214" s="165"/>
      <c r="Q2214" s="165"/>
      <c r="R2214" s="165"/>
      <c r="S2214" s="165"/>
      <c r="T2214" s="165"/>
      <c r="U2214" s="165"/>
      <c r="V2214" s="165"/>
      <c r="W2214" s="165"/>
      <c r="X2214" s="165"/>
    </row>
    <row r="2215" ht="18.75" customHeight="1">
      <c r="A2215" s="165">
        <v>2212.0</v>
      </c>
      <c r="B2215" s="167" t="s">
        <v>17660</v>
      </c>
      <c r="C2215" s="165"/>
      <c r="D2215" s="165"/>
      <c r="E2215" s="165"/>
      <c r="F2215" s="165"/>
      <c r="G2215" s="165"/>
      <c r="H2215" s="165"/>
      <c r="I2215" s="165"/>
      <c r="J2215" s="165"/>
      <c r="K2215" s="165"/>
      <c r="L2215" s="165"/>
      <c r="M2215" s="165"/>
      <c r="N2215" s="165"/>
      <c r="O2215" s="165"/>
      <c r="P2215" s="165"/>
      <c r="Q2215" s="165"/>
      <c r="R2215" s="165"/>
      <c r="S2215" s="165"/>
      <c r="T2215" s="165"/>
      <c r="U2215" s="165"/>
      <c r="V2215" s="165"/>
      <c r="W2215" s="165"/>
      <c r="X2215" s="165"/>
    </row>
    <row r="2216" ht="18.75" customHeight="1">
      <c r="A2216" s="165">
        <v>2213.0</v>
      </c>
      <c r="B2216" s="167" t="s">
        <v>17661</v>
      </c>
      <c r="C2216" s="165"/>
      <c r="D2216" s="165"/>
      <c r="E2216" s="165"/>
      <c r="F2216" s="165"/>
      <c r="G2216" s="165"/>
      <c r="H2216" s="165"/>
      <c r="I2216" s="165"/>
      <c r="J2216" s="165"/>
      <c r="K2216" s="165"/>
      <c r="L2216" s="165"/>
      <c r="M2216" s="165"/>
      <c r="N2216" s="165"/>
      <c r="O2216" s="165"/>
      <c r="P2216" s="165"/>
      <c r="Q2216" s="165"/>
      <c r="R2216" s="165"/>
      <c r="S2216" s="165"/>
      <c r="T2216" s="165"/>
      <c r="U2216" s="165"/>
      <c r="V2216" s="165"/>
      <c r="W2216" s="165"/>
      <c r="X2216" s="165"/>
    </row>
    <row r="2217" ht="18.75" customHeight="1">
      <c r="A2217" s="165">
        <v>2214.0</v>
      </c>
      <c r="B2217" s="167" t="s">
        <v>17662</v>
      </c>
      <c r="C2217" s="165"/>
      <c r="D2217" s="165"/>
      <c r="E2217" s="165"/>
      <c r="F2217" s="165"/>
      <c r="G2217" s="165"/>
      <c r="H2217" s="165"/>
      <c r="I2217" s="165"/>
      <c r="J2217" s="165"/>
      <c r="K2217" s="165"/>
      <c r="L2217" s="165"/>
      <c r="M2217" s="165"/>
      <c r="N2217" s="165"/>
      <c r="O2217" s="165"/>
      <c r="P2217" s="165"/>
      <c r="Q2217" s="165"/>
      <c r="R2217" s="165"/>
      <c r="S2217" s="165"/>
      <c r="T2217" s="165"/>
      <c r="U2217" s="165"/>
      <c r="V2217" s="165"/>
      <c r="W2217" s="165"/>
      <c r="X2217" s="165"/>
    </row>
    <row r="2218" ht="18.75" customHeight="1">
      <c r="A2218" s="165">
        <v>2215.0</v>
      </c>
      <c r="B2218" s="167" t="s">
        <v>17663</v>
      </c>
      <c r="C2218" s="165"/>
      <c r="D2218" s="165"/>
      <c r="E2218" s="165"/>
      <c r="F2218" s="165"/>
      <c r="G2218" s="165"/>
      <c r="H2218" s="165"/>
      <c r="I2218" s="165"/>
      <c r="J2218" s="165"/>
      <c r="K2218" s="165"/>
      <c r="L2218" s="165"/>
      <c r="M2218" s="165"/>
      <c r="N2218" s="165"/>
      <c r="O2218" s="165"/>
      <c r="P2218" s="165"/>
      <c r="Q2218" s="165"/>
      <c r="R2218" s="165"/>
      <c r="S2218" s="165"/>
      <c r="T2218" s="165"/>
      <c r="U2218" s="165"/>
      <c r="V2218" s="165"/>
      <c r="W2218" s="165"/>
      <c r="X2218" s="165"/>
    </row>
    <row r="2219" ht="18.75" customHeight="1">
      <c r="A2219" s="165">
        <v>2216.0</v>
      </c>
      <c r="B2219" s="167" t="s">
        <v>17664</v>
      </c>
      <c r="C2219" s="165"/>
      <c r="D2219" s="165"/>
      <c r="E2219" s="165"/>
      <c r="F2219" s="165"/>
      <c r="G2219" s="165"/>
      <c r="H2219" s="165"/>
      <c r="I2219" s="165"/>
      <c r="J2219" s="165"/>
      <c r="K2219" s="165"/>
      <c r="L2219" s="165"/>
      <c r="M2219" s="165"/>
      <c r="N2219" s="165"/>
      <c r="O2219" s="165"/>
      <c r="P2219" s="165"/>
      <c r="Q2219" s="165"/>
      <c r="R2219" s="165"/>
      <c r="S2219" s="165"/>
      <c r="T2219" s="165"/>
      <c r="U2219" s="165"/>
      <c r="V2219" s="165"/>
      <c r="W2219" s="165"/>
      <c r="X2219" s="165"/>
    </row>
    <row r="2220" ht="18.75" customHeight="1">
      <c r="A2220" s="165">
        <v>2217.0</v>
      </c>
      <c r="B2220" s="167" t="s">
        <v>17665</v>
      </c>
      <c r="C2220" s="165"/>
      <c r="D2220" s="165"/>
      <c r="E2220" s="165"/>
      <c r="F2220" s="165"/>
      <c r="G2220" s="165"/>
      <c r="H2220" s="165"/>
      <c r="I2220" s="165"/>
      <c r="J2220" s="165"/>
      <c r="K2220" s="165"/>
      <c r="L2220" s="165"/>
      <c r="M2220" s="165"/>
      <c r="N2220" s="165"/>
      <c r="O2220" s="165"/>
      <c r="P2220" s="165"/>
      <c r="Q2220" s="165"/>
      <c r="R2220" s="165"/>
      <c r="S2220" s="165"/>
      <c r="T2220" s="165"/>
      <c r="U2220" s="165"/>
      <c r="V2220" s="165"/>
      <c r="W2220" s="165"/>
      <c r="X2220" s="165"/>
    </row>
    <row r="2221" ht="18.75" customHeight="1">
      <c r="A2221" s="165">
        <v>2218.0</v>
      </c>
      <c r="B2221" s="167" t="s">
        <v>17666</v>
      </c>
      <c r="C2221" s="165"/>
      <c r="D2221" s="165"/>
      <c r="E2221" s="165"/>
      <c r="F2221" s="165"/>
      <c r="G2221" s="165"/>
      <c r="H2221" s="165"/>
      <c r="I2221" s="165"/>
      <c r="J2221" s="165"/>
      <c r="K2221" s="165"/>
      <c r="L2221" s="165"/>
      <c r="M2221" s="165"/>
      <c r="N2221" s="165"/>
      <c r="O2221" s="165"/>
      <c r="P2221" s="165"/>
      <c r="Q2221" s="165"/>
      <c r="R2221" s="165"/>
      <c r="S2221" s="165"/>
      <c r="T2221" s="165"/>
      <c r="U2221" s="165"/>
      <c r="V2221" s="165"/>
      <c r="W2221" s="165"/>
      <c r="X2221" s="165"/>
    </row>
    <row r="2222" ht="18.75" customHeight="1">
      <c r="A2222" s="165">
        <v>2219.0</v>
      </c>
      <c r="B2222" s="167" t="s">
        <v>17667</v>
      </c>
      <c r="C2222" s="165"/>
      <c r="D2222" s="165"/>
      <c r="E2222" s="165"/>
      <c r="F2222" s="165"/>
      <c r="G2222" s="165"/>
      <c r="H2222" s="165"/>
      <c r="I2222" s="165"/>
      <c r="J2222" s="165"/>
      <c r="K2222" s="165"/>
      <c r="L2222" s="165"/>
      <c r="M2222" s="165"/>
      <c r="N2222" s="165"/>
      <c r="O2222" s="165"/>
      <c r="P2222" s="165"/>
      <c r="Q2222" s="165"/>
      <c r="R2222" s="165"/>
      <c r="S2222" s="165"/>
      <c r="T2222" s="165"/>
      <c r="U2222" s="165"/>
      <c r="V2222" s="165"/>
      <c r="W2222" s="165"/>
      <c r="X2222" s="165"/>
    </row>
    <row r="2223" ht="18.75" customHeight="1">
      <c r="A2223" s="165">
        <v>2220.0</v>
      </c>
      <c r="B2223" s="167" t="s">
        <v>17668</v>
      </c>
      <c r="C2223" s="165"/>
      <c r="D2223" s="165"/>
      <c r="E2223" s="165"/>
      <c r="F2223" s="165"/>
      <c r="G2223" s="165"/>
      <c r="H2223" s="165"/>
      <c r="I2223" s="165"/>
      <c r="J2223" s="165"/>
      <c r="K2223" s="165"/>
      <c r="L2223" s="165"/>
      <c r="M2223" s="165"/>
      <c r="N2223" s="165"/>
      <c r="O2223" s="165"/>
      <c r="P2223" s="165"/>
      <c r="Q2223" s="165"/>
      <c r="R2223" s="165"/>
      <c r="S2223" s="165"/>
      <c r="T2223" s="165"/>
      <c r="U2223" s="165"/>
      <c r="V2223" s="165"/>
      <c r="W2223" s="165"/>
      <c r="X2223" s="165"/>
    </row>
    <row r="2224" ht="18.75" customHeight="1">
      <c r="A2224" s="165">
        <v>2221.0</v>
      </c>
      <c r="B2224" s="167" t="s">
        <v>17669</v>
      </c>
      <c r="C2224" s="165"/>
      <c r="D2224" s="165"/>
      <c r="E2224" s="165"/>
      <c r="F2224" s="165"/>
      <c r="G2224" s="165"/>
      <c r="H2224" s="165"/>
      <c r="I2224" s="165"/>
      <c r="J2224" s="165"/>
      <c r="K2224" s="165"/>
      <c r="L2224" s="165"/>
      <c r="M2224" s="165"/>
      <c r="N2224" s="165"/>
      <c r="O2224" s="165"/>
      <c r="P2224" s="165"/>
      <c r="Q2224" s="165"/>
      <c r="R2224" s="165"/>
      <c r="S2224" s="165"/>
      <c r="T2224" s="165"/>
      <c r="U2224" s="165"/>
      <c r="V2224" s="165"/>
      <c r="W2224" s="165"/>
      <c r="X2224" s="165"/>
    </row>
    <row r="2225" ht="18.75" customHeight="1">
      <c r="A2225" s="165">
        <v>2222.0</v>
      </c>
      <c r="B2225" s="167" t="s">
        <v>17670</v>
      </c>
      <c r="C2225" s="165"/>
      <c r="D2225" s="165"/>
      <c r="E2225" s="165"/>
      <c r="F2225" s="165"/>
      <c r="G2225" s="165"/>
      <c r="H2225" s="165"/>
      <c r="I2225" s="165"/>
      <c r="J2225" s="165"/>
      <c r="K2225" s="165"/>
      <c r="L2225" s="165"/>
      <c r="M2225" s="165"/>
      <c r="N2225" s="165"/>
      <c r="O2225" s="165"/>
      <c r="P2225" s="165"/>
      <c r="Q2225" s="165"/>
      <c r="R2225" s="165"/>
      <c r="S2225" s="165"/>
      <c r="T2225" s="165"/>
      <c r="U2225" s="165"/>
      <c r="V2225" s="165"/>
      <c r="W2225" s="165"/>
      <c r="X2225" s="165"/>
    </row>
    <row r="2226" ht="18.75" customHeight="1">
      <c r="A2226" s="165">
        <v>2223.0</v>
      </c>
      <c r="B2226" s="165" t="s">
        <v>17671</v>
      </c>
      <c r="C2226" s="165"/>
      <c r="D2226" s="165"/>
      <c r="E2226" s="165"/>
      <c r="F2226" s="165"/>
      <c r="G2226" s="165"/>
      <c r="H2226" s="165"/>
      <c r="I2226" s="165"/>
      <c r="J2226" s="165"/>
      <c r="K2226" s="165"/>
      <c r="L2226" s="165"/>
      <c r="M2226" s="165"/>
      <c r="N2226" s="165"/>
      <c r="O2226" s="165"/>
      <c r="P2226" s="165"/>
      <c r="Q2226" s="165"/>
      <c r="R2226" s="165"/>
      <c r="S2226" s="165"/>
      <c r="T2226" s="165"/>
      <c r="U2226" s="165"/>
      <c r="V2226" s="165"/>
      <c r="W2226" s="165"/>
      <c r="X2226" s="165"/>
    </row>
    <row r="2227" ht="18.75" customHeight="1">
      <c r="A2227" s="165">
        <v>2224.0</v>
      </c>
      <c r="B2227" s="167" t="s">
        <v>17672</v>
      </c>
      <c r="C2227" s="165"/>
      <c r="D2227" s="165"/>
      <c r="E2227" s="165"/>
      <c r="F2227" s="165"/>
      <c r="G2227" s="165"/>
      <c r="H2227" s="165"/>
      <c r="I2227" s="165"/>
      <c r="J2227" s="165"/>
      <c r="K2227" s="165"/>
      <c r="L2227" s="165"/>
      <c r="M2227" s="165"/>
      <c r="N2227" s="165"/>
      <c r="O2227" s="165"/>
      <c r="P2227" s="165"/>
      <c r="Q2227" s="165"/>
      <c r="R2227" s="165"/>
      <c r="S2227" s="165"/>
      <c r="T2227" s="165"/>
      <c r="U2227" s="165"/>
      <c r="V2227" s="165"/>
      <c r="W2227" s="165"/>
      <c r="X2227" s="165"/>
    </row>
    <row r="2228" ht="18.75" customHeight="1">
      <c r="A2228" s="165">
        <v>2225.0</v>
      </c>
      <c r="B2228" s="165" t="s">
        <v>17673</v>
      </c>
      <c r="C2228" s="165"/>
      <c r="D2228" s="165"/>
      <c r="E2228" s="165"/>
      <c r="F2228" s="165"/>
      <c r="G2228" s="165"/>
      <c r="H2228" s="165"/>
      <c r="I2228" s="165"/>
      <c r="J2228" s="165"/>
      <c r="K2228" s="165"/>
      <c r="L2228" s="165"/>
      <c r="M2228" s="165"/>
      <c r="N2228" s="165"/>
      <c r="O2228" s="165"/>
      <c r="P2228" s="165"/>
      <c r="Q2228" s="165"/>
      <c r="R2228" s="165"/>
      <c r="S2228" s="165"/>
      <c r="T2228" s="165"/>
      <c r="U2228" s="165"/>
      <c r="V2228" s="165"/>
      <c r="W2228" s="165"/>
      <c r="X2228" s="165"/>
    </row>
    <row r="2229" ht="18.75" customHeight="1">
      <c r="A2229" s="165">
        <v>2226.0</v>
      </c>
      <c r="B2229" s="167" t="s">
        <v>17674</v>
      </c>
      <c r="C2229" s="165"/>
      <c r="D2229" s="165"/>
      <c r="E2229" s="165"/>
      <c r="F2229" s="165"/>
      <c r="G2229" s="165"/>
      <c r="H2229" s="165"/>
      <c r="I2229" s="165"/>
      <c r="J2229" s="165"/>
      <c r="K2229" s="165"/>
      <c r="L2229" s="165"/>
      <c r="M2229" s="165"/>
      <c r="N2229" s="165"/>
      <c r="O2229" s="165"/>
      <c r="P2229" s="165"/>
      <c r="Q2229" s="165"/>
      <c r="R2229" s="165"/>
      <c r="S2229" s="165"/>
      <c r="T2229" s="165"/>
      <c r="U2229" s="165"/>
      <c r="V2229" s="165"/>
      <c r="W2229" s="165"/>
      <c r="X2229" s="165"/>
    </row>
    <row r="2230" ht="18.75" customHeight="1">
      <c r="A2230" s="165">
        <v>2227.0</v>
      </c>
      <c r="B2230" s="167" t="s">
        <v>17675</v>
      </c>
      <c r="C2230" s="165"/>
      <c r="D2230" s="165"/>
      <c r="E2230" s="165"/>
      <c r="F2230" s="165"/>
      <c r="G2230" s="165"/>
      <c r="H2230" s="165"/>
      <c r="I2230" s="165"/>
      <c r="J2230" s="165"/>
      <c r="K2230" s="165"/>
      <c r="L2230" s="165"/>
      <c r="M2230" s="165"/>
      <c r="N2230" s="165"/>
      <c r="O2230" s="165"/>
      <c r="P2230" s="165"/>
      <c r="Q2230" s="165"/>
      <c r="R2230" s="165"/>
      <c r="S2230" s="165"/>
      <c r="T2230" s="165"/>
      <c r="U2230" s="165"/>
      <c r="V2230" s="165"/>
      <c r="W2230" s="165"/>
      <c r="X2230" s="165"/>
    </row>
    <row r="2231" ht="18.75" customHeight="1">
      <c r="A2231" s="165">
        <v>2228.0</v>
      </c>
      <c r="B2231" s="167" t="s">
        <v>17676</v>
      </c>
      <c r="C2231" s="165"/>
      <c r="D2231" s="165"/>
      <c r="E2231" s="165"/>
      <c r="F2231" s="165"/>
      <c r="G2231" s="165"/>
      <c r="H2231" s="165"/>
      <c r="I2231" s="165"/>
      <c r="J2231" s="165"/>
      <c r="K2231" s="165"/>
      <c r="L2231" s="165"/>
      <c r="M2231" s="165"/>
      <c r="N2231" s="165"/>
      <c r="O2231" s="165"/>
      <c r="P2231" s="165"/>
      <c r="Q2231" s="165"/>
      <c r="R2231" s="165"/>
      <c r="S2231" s="165"/>
      <c r="T2231" s="165"/>
      <c r="U2231" s="165"/>
      <c r="V2231" s="165"/>
      <c r="W2231" s="165"/>
      <c r="X2231" s="165"/>
    </row>
    <row r="2232" ht="18.75" customHeight="1">
      <c r="A2232" s="165">
        <v>2229.0</v>
      </c>
      <c r="B2232" s="167" t="s">
        <v>17677</v>
      </c>
      <c r="C2232" s="165"/>
      <c r="D2232" s="165"/>
      <c r="E2232" s="165"/>
      <c r="F2232" s="165"/>
      <c r="G2232" s="165"/>
      <c r="H2232" s="165"/>
      <c r="I2232" s="165"/>
      <c r="J2232" s="165"/>
      <c r="K2232" s="165"/>
      <c r="L2232" s="165"/>
      <c r="M2232" s="165"/>
      <c r="N2232" s="165"/>
      <c r="O2232" s="165"/>
      <c r="P2232" s="165"/>
      <c r="Q2232" s="165"/>
      <c r="R2232" s="165"/>
      <c r="S2232" s="165"/>
      <c r="T2232" s="165"/>
      <c r="U2232" s="165"/>
      <c r="V2232" s="165"/>
      <c r="W2232" s="165"/>
      <c r="X2232" s="165"/>
    </row>
    <row r="2233" ht="18.75" customHeight="1">
      <c r="A2233" s="165">
        <v>2230.0</v>
      </c>
      <c r="B2233" s="165" t="s">
        <v>17678</v>
      </c>
      <c r="C2233" s="165"/>
      <c r="D2233" s="165"/>
      <c r="E2233" s="165"/>
      <c r="F2233" s="165"/>
      <c r="G2233" s="165"/>
      <c r="H2233" s="165"/>
      <c r="I2233" s="165"/>
      <c r="J2233" s="165"/>
      <c r="K2233" s="165"/>
      <c r="L2233" s="165"/>
      <c r="M2233" s="165"/>
      <c r="N2233" s="165"/>
      <c r="O2233" s="165"/>
      <c r="P2233" s="165"/>
      <c r="Q2233" s="165"/>
      <c r="R2233" s="165"/>
      <c r="S2233" s="165"/>
      <c r="T2233" s="165"/>
      <c r="U2233" s="165"/>
      <c r="V2233" s="165"/>
      <c r="W2233" s="165"/>
      <c r="X2233" s="165"/>
    </row>
    <row r="2234" ht="18.75" customHeight="1">
      <c r="A2234" s="165">
        <v>2231.0</v>
      </c>
      <c r="B2234" s="165" t="s">
        <v>17679</v>
      </c>
      <c r="C2234" s="165"/>
      <c r="D2234" s="165"/>
      <c r="E2234" s="165"/>
      <c r="F2234" s="165"/>
      <c r="G2234" s="165"/>
      <c r="H2234" s="165"/>
      <c r="I2234" s="165"/>
      <c r="J2234" s="165"/>
      <c r="K2234" s="165"/>
      <c r="L2234" s="165"/>
      <c r="M2234" s="165"/>
      <c r="N2234" s="165"/>
      <c r="O2234" s="165"/>
      <c r="P2234" s="165"/>
      <c r="Q2234" s="165"/>
      <c r="R2234" s="165"/>
      <c r="S2234" s="165"/>
      <c r="T2234" s="165"/>
      <c r="U2234" s="165"/>
      <c r="V2234" s="165"/>
      <c r="W2234" s="165"/>
      <c r="X2234" s="165"/>
    </row>
    <row r="2235" ht="18.75" customHeight="1">
      <c r="A2235" s="165">
        <v>2232.0</v>
      </c>
      <c r="B2235" s="165" t="s">
        <v>17680</v>
      </c>
      <c r="C2235" s="165"/>
      <c r="D2235" s="165"/>
      <c r="E2235" s="165"/>
      <c r="F2235" s="165"/>
      <c r="G2235" s="165"/>
      <c r="H2235" s="165"/>
      <c r="I2235" s="165"/>
      <c r="J2235" s="165"/>
      <c r="K2235" s="165"/>
      <c r="L2235" s="165"/>
      <c r="M2235" s="165"/>
      <c r="N2235" s="165"/>
      <c r="O2235" s="165"/>
      <c r="P2235" s="165"/>
      <c r="Q2235" s="165"/>
      <c r="R2235" s="165"/>
      <c r="S2235" s="165"/>
      <c r="T2235" s="165"/>
      <c r="U2235" s="165"/>
      <c r="V2235" s="165"/>
      <c r="W2235" s="165"/>
      <c r="X2235" s="165"/>
    </row>
    <row r="2236" ht="18.75" customHeight="1">
      <c r="A2236" s="165">
        <v>2233.0</v>
      </c>
      <c r="B2236" s="165" t="s">
        <v>17681</v>
      </c>
      <c r="C2236" s="165"/>
      <c r="D2236" s="165"/>
      <c r="E2236" s="165"/>
      <c r="F2236" s="165"/>
      <c r="G2236" s="165"/>
      <c r="H2236" s="165"/>
      <c r="I2236" s="165"/>
      <c r="J2236" s="165"/>
      <c r="K2236" s="165"/>
      <c r="L2236" s="165"/>
      <c r="M2236" s="165"/>
      <c r="N2236" s="165"/>
      <c r="O2236" s="165"/>
      <c r="P2236" s="165"/>
      <c r="Q2236" s="165"/>
      <c r="R2236" s="165"/>
      <c r="S2236" s="165"/>
      <c r="T2236" s="165"/>
      <c r="U2236" s="165"/>
      <c r="V2236" s="165"/>
      <c r="W2236" s="165"/>
      <c r="X2236" s="165"/>
    </row>
    <row r="2237" ht="18.75" customHeight="1">
      <c r="A2237" s="165">
        <v>2234.0</v>
      </c>
      <c r="B2237" s="165" t="s">
        <v>17682</v>
      </c>
      <c r="C2237" s="165"/>
      <c r="D2237" s="165"/>
      <c r="E2237" s="165"/>
      <c r="F2237" s="165"/>
      <c r="G2237" s="165"/>
      <c r="H2237" s="165"/>
      <c r="I2237" s="165"/>
      <c r="J2237" s="165"/>
      <c r="K2237" s="165"/>
      <c r="L2237" s="165"/>
      <c r="M2237" s="165"/>
      <c r="N2237" s="165"/>
      <c r="O2237" s="165"/>
      <c r="P2237" s="165"/>
      <c r="Q2237" s="165"/>
      <c r="R2237" s="165"/>
      <c r="S2237" s="165"/>
      <c r="T2237" s="165"/>
      <c r="U2237" s="165"/>
      <c r="V2237" s="165"/>
      <c r="W2237" s="165"/>
      <c r="X2237" s="165"/>
    </row>
    <row r="2238" ht="18.75" customHeight="1">
      <c r="A2238" s="165">
        <v>2235.0</v>
      </c>
      <c r="B2238" s="167" t="s">
        <v>17683</v>
      </c>
      <c r="C2238" s="165"/>
      <c r="D2238" s="165"/>
      <c r="E2238" s="165"/>
      <c r="F2238" s="165"/>
      <c r="G2238" s="165"/>
      <c r="H2238" s="165"/>
      <c r="I2238" s="165"/>
      <c r="J2238" s="165"/>
      <c r="K2238" s="165"/>
      <c r="L2238" s="165"/>
      <c r="M2238" s="165"/>
      <c r="N2238" s="165"/>
      <c r="O2238" s="165"/>
      <c r="P2238" s="165"/>
      <c r="Q2238" s="165"/>
      <c r="R2238" s="165"/>
      <c r="S2238" s="165"/>
      <c r="T2238" s="165"/>
      <c r="U2238" s="165"/>
      <c r="V2238" s="165"/>
      <c r="W2238" s="165"/>
      <c r="X2238" s="165"/>
    </row>
    <row r="2239" ht="18.75" customHeight="1">
      <c r="A2239" s="165">
        <v>2236.0</v>
      </c>
      <c r="B2239" s="167" t="s">
        <v>17684</v>
      </c>
      <c r="C2239" s="165"/>
      <c r="D2239" s="165"/>
      <c r="E2239" s="165"/>
      <c r="F2239" s="165"/>
      <c r="G2239" s="165"/>
      <c r="H2239" s="165"/>
      <c r="I2239" s="165"/>
      <c r="J2239" s="165"/>
      <c r="K2239" s="165"/>
      <c r="L2239" s="165"/>
      <c r="M2239" s="165"/>
      <c r="N2239" s="165"/>
      <c r="O2239" s="165"/>
      <c r="P2239" s="165"/>
      <c r="Q2239" s="165"/>
      <c r="R2239" s="165"/>
      <c r="S2239" s="165"/>
      <c r="T2239" s="165"/>
      <c r="U2239" s="165"/>
      <c r="V2239" s="165"/>
      <c r="W2239" s="165"/>
      <c r="X2239" s="165"/>
    </row>
    <row r="2240" ht="18.75" customHeight="1">
      <c r="A2240" s="165">
        <v>2237.0</v>
      </c>
      <c r="B2240" s="167" t="s">
        <v>17685</v>
      </c>
      <c r="C2240" s="165"/>
      <c r="D2240" s="165"/>
      <c r="E2240" s="165"/>
      <c r="F2240" s="165"/>
      <c r="G2240" s="165"/>
      <c r="H2240" s="165"/>
      <c r="I2240" s="165"/>
      <c r="J2240" s="165"/>
      <c r="K2240" s="165"/>
      <c r="L2240" s="165"/>
      <c r="M2240" s="165"/>
      <c r="N2240" s="165"/>
      <c r="O2240" s="165"/>
      <c r="P2240" s="165"/>
      <c r="Q2240" s="165"/>
      <c r="R2240" s="165"/>
      <c r="S2240" s="165"/>
      <c r="T2240" s="165"/>
      <c r="U2240" s="165"/>
      <c r="V2240" s="165"/>
      <c r="W2240" s="165"/>
      <c r="X2240" s="165"/>
    </row>
    <row r="2241" ht="18.75" customHeight="1">
      <c r="A2241" s="165">
        <v>2238.0</v>
      </c>
      <c r="B2241" s="167" t="s">
        <v>17686</v>
      </c>
      <c r="C2241" s="165"/>
      <c r="D2241" s="165"/>
      <c r="E2241" s="165"/>
      <c r="F2241" s="165"/>
      <c r="G2241" s="165"/>
      <c r="H2241" s="165"/>
      <c r="I2241" s="165"/>
      <c r="J2241" s="165"/>
      <c r="K2241" s="165"/>
      <c r="L2241" s="165"/>
      <c r="M2241" s="165"/>
      <c r="N2241" s="165"/>
      <c r="O2241" s="165"/>
      <c r="P2241" s="165"/>
      <c r="Q2241" s="165"/>
      <c r="R2241" s="165"/>
      <c r="S2241" s="165"/>
      <c r="T2241" s="165"/>
      <c r="U2241" s="165"/>
      <c r="V2241" s="165"/>
      <c r="W2241" s="165"/>
      <c r="X2241" s="165"/>
    </row>
    <row r="2242" ht="18.75" customHeight="1">
      <c r="A2242" s="165">
        <v>2239.0</v>
      </c>
      <c r="B2242" s="167" t="s">
        <v>17687</v>
      </c>
      <c r="C2242" s="165"/>
      <c r="D2242" s="165"/>
      <c r="E2242" s="165"/>
      <c r="F2242" s="165"/>
      <c r="G2242" s="165"/>
      <c r="H2242" s="165"/>
      <c r="I2242" s="165"/>
      <c r="J2242" s="165"/>
      <c r="K2242" s="165"/>
      <c r="L2242" s="165"/>
      <c r="M2242" s="165"/>
      <c r="N2242" s="165"/>
      <c r="O2242" s="165"/>
      <c r="P2242" s="165"/>
      <c r="Q2242" s="165"/>
      <c r="R2242" s="165"/>
      <c r="S2242" s="165"/>
      <c r="T2242" s="165"/>
      <c r="U2242" s="165"/>
      <c r="V2242" s="165"/>
      <c r="W2242" s="165"/>
      <c r="X2242" s="165"/>
    </row>
    <row r="2243" ht="18.75" customHeight="1">
      <c r="A2243" s="165">
        <v>2240.0</v>
      </c>
      <c r="B2243" s="165" t="s">
        <v>17688</v>
      </c>
      <c r="C2243" s="165"/>
      <c r="D2243" s="165"/>
      <c r="E2243" s="165"/>
      <c r="F2243" s="165"/>
      <c r="G2243" s="165"/>
      <c r="H2243" s="165"/>
      <c r="I2243" s="165"/>
      <c r="J2243" s="165"/>
      <c r="K2243" s="165"/>
      <c r="L2243" s="165"/>
      <c r="M2243" s="165"/>
      <c r="N2243" s="165"/>
      <c r="O2243" s="165"/>
      <c r="P2243" s="165"/>
      <c r="Q2243" s="165"/>
      <c r="R2243" s="165"/>
      <c r="S2243" s="165"/>
      <c r="T2243" s="165"/>
      <c r="U2243" s="165"/>
      <c r="V2243" s="165"/>
      <c r="W2243" s="165"/>
      <c r="X2243" s="165"/>
    </row>
    <row r="2244" ht="18.75" customHeight="1">
      <c r="A2244" s="165">
        <v>2241.0</v>
      </c>
      <c r="B2244" s="165" t="s">
        <v>17689</v>
      </c>
      <c r="C2244" s="165"/>
      <c r="D2244" s="165"/>
      <c r="E2244" s="165"/>
      <c r="F2244" s="165"/>
      <c r="G2244" s="165"/>
      <c r="H2244" s="165"/>
      <c r="I2244" s="165"/>
      <c r="J2244" s="165"/>
      <c r="K2244" s="165"/>
      <c r="L2244" s="165"/>
      <c r="M2244" s="165"/>
      <c r="N2244" s="165"/>
      <c r="O2244" s="165"/>
      <c r="P2244" s="165"/>
      <c r="Q2244" s="165"/>
      <c r="R2244" s="165"/>
      <c r="S2244" s="165"/>
      <c r="T2244" s="165"/>
      <c r="U2244" s="165"/>
      <c r="V2244" s="165"/>
      <c r="W2244" s="165"/>
      <c r="X2244" s="165"/>
    </row>
    <row r="2245" ht="18.75" customHeight="1">
      <c r="A2245" s="165">
        <v>2242.0</v>
      </c>
      <c r="B2245" s="165" t="s">
        <v>17690</v>
      </c>
      <c r="C2245" s="165"/>
      <c r="D2245" s="165"/>
      <c r="E2245" s="165"/>
      <c r="F2245" s="165"/>
      <c r="G2245" s="165"/>
      <c r="H2245" s="165"/>
      <c r="I2245" s="165"/>
      <c r="J2245" s="165"/>
      <c r="K2245" s="165"/>
      <c r="L2245" s="165"/>
      <c r="M2245" s="165"/>
      <c r="N2245" s="165"/>
      <c r="O2245" s="165"/>
      <c r="P2245" s="165"/>
      <c r="Q2245" s="165"/>
      <c r="R2245" s="165"/>
      <c r="S2245" s="165"/>
      <c r="T2245" s="165"/>
      <c r="U2245" s="165"/>
      <c r="V2245" s="165"/>
      <c r="W2245" s="165"/>
      <c r="X2245" s="165"/>
    </row>
    <row r="2246" ht="18.75" customHeight="1">
      <c r="A2246" s="165">
        <v>2243.0</v>
      </c>
      <c r="B2246" s="165" t="s">
        <v>17691</v>
      </c>
      <c r="C2246" s="165"/>
      <c r="D2246" s="165"/>
      <c r="E2246" s="165"/>
      <c r="F2246" s="165"/>
      <c r="G2246" s="165"/>
      <c r="H2246" s="165"/>
      <c r="I2246" s="165"/>
      <c r="J2246" s="165"/>
      <c r="K2246" s="165"/>
      <c r="L2246" s="165"/>
      <c r="M2246" s="165"/>
      <c r="N2246" s="165"/>
      <c r="O2246" s="165"/>
      <c r="P2246" s="165"/>
      <c r="Q2246" s="165"/>
      <c r="R2246" s="165"/>
      <c r="S2246" s="165"/>
      <c r="T2246" s="165"/>
      <c r="U2246" s="165"/>
      <c r="V2246" s="165"/>
      <c r="W2246" s="165"/>
      <c r="X2246" s="165"/>
    </row>
    <row r="2247" ht="18.75" customHeight="1">
      <c r="A2247" s="165">
        <v>2244.0</v>
      </c>
      <c r="B2247" s="165" t="s">
        <v>17692</v>
      </c>
      <c r="C2247" s="165"/>
      <c r="D2247" s="165"/>
      <c r="E2247" s="165"/>
      <c r="F2247" s="165"/>
      <c r="G2247" s="165"/>
      <c r="H2247" s="165"/>
      <c r="I2247" s="165"/>
      <c r="J2247" s="165"/>
      <c r="K2247" s="165"/>
      <c r="L2247" s="165"/>
      <c r="M2247" s="165"/>
      <c r="N2247" s="165"/>
      <c r="O2247" s="165"/>
      <c r="P2247" s="165"/>
      <c r="Q2247" s="165"/>
      <c r="R2247" s="165"/>
      <c r="S2247" s="165"/>
      <c r="T2247" s="165"/>
      <c r="U2247" s="165"/>
      <c r="V2247" s="165"/>
      <c r="W2247" s="165"/>
      <c r="X2247" s="165"/>
    </row>
    <row r="2248" ht="18.75" customHeight="1">
      <c r="A2248" s="165">
        <v>2245.0</v>
      </c>
      <c r="B2248" s="167" t="s">
        <v>17693</v>
      </c>
      <c r="C2248" s="165"/>
      <c r="D2248" s="165"/>
      <c r="E2248" s="165"/>
      <c r="F2248" s="165"/>
      <c r="G2248" s="165"/>
      <c r="H2248" s="165"/>
      <c r="I2248" s="165"/>
      <c r="J2248" s="165"/>
      <c r="K2248" s="165"/>
      <c r="L2248" s="165"/>
      <c r="M2248" s="165"/>
      <c r="N2248" s="165"/>
      <c r="O2248" s="165"/>
      <c r="P2248" s="165"/>
      <c r="Q2248" s="165"/>
      <c r="R2248" s="165"/>
      <c r="S2248" s="165"/>
      <c r="T2248" s="165"/>
      <c r="U2248" s="165"/>
      <c r="V2248" s="165"/>
      <c r="W2248" s="165"/>
      <c r="X2248" s="165"/>
    </row>
    <row r="2249" ht="18.75" customHeight="1">
      <c r="A2249" s="165">
        <v>2246.0</v>
      </c>
      <c r="B2249" s="167" t="s">
        <v>17694</v>
      </c>
      <c r="C2249" s="165"/>
      <c r="D2249" s="165"/>
      <c r="E2249" s="165"/>
      <c r="F2249" s="165"/>
      <c r="G2249" s="165"/>
      <c r="H2249" s="165"/>
      <c r="I2249" s="165"/>
      <c r="J2249" s="165"/>
      <c r="K2249" s="165"/>
      <c r="L2249" s="165"/>
      <c r="M2249" s="165"/>
      <c r="N2249" s="165"/>
      <c r="O2249" s="165"/>
      <c r="P2249" s="165"/>
      <c r="Q2249" s="165"/>
      <c r="R2249" s="165"/>
      <c r="S2249" s="165"/>
      <c r="T2249" s="165"/>
      <c r="U2249" s="165"/>
      <c r="V2249" s="165"/>
      <c r="W2249" s="165"/>
      <c r="X2249" s="165"/>
    </row>
    <row r="2250" ht="18.75" customHeight="1">
      <c r="A2250" s="165">
        <v>2247.0</v>
      </c>
      <c r="B2250" s="167" t="s">
        <v>17695</v>
      </c>
      <c r="C2250" s="165"/>
      <c r="D2250" s="165"/>
      <c r="E2250" s="165"/>
      <c r="F2250" s="165"/>
      <c r="G2250" s="165"/>
      <c r="H2250" s="165"/>
      <c r="I2250" s="165"/>
      <c r="J2250" s="165"/>
      <c r="K2250" s="165"/>
      <c r="L2250" s="165"/>
      <c r="M2250" s="165"/>
      <c r="N2250" s="165"/>
      <c r="O2250" s="165"/>
      <c r="P2250" s="165"/>
      <c r="Q2250" s="165"/>
      <c r="R2250" s="165"/>
      <c r="S2250" s="165"/>
      <c r="T2250" s="165"/>
      <c r="U2250" s="165"/>
      <c r="V2250" s="165"/>
      <c r="W2250" s="165"/>
      <c r="X2250" s="165"/>
    </row>
    <row r="2251" ht="18.75" customHeight="1">
      <c r="A2251" s="165">
        <v>2248.0</v>
      </c>
      <c r="B2251" s="167" t="s">
        <v>17696</v>
      </c>
      <c r="C2251" s="165"/>
      <c r="D2251" s="165"/>
      <c r="E2251" s="165"/>
      <c r="F2251" s="165"/>
      <c r="G2251" s="165"/>
      <c r="H2251" s="165"/>
      <c r="I2251" s="165"/>
      <c r="J2251" s="165"/>
      <c r="K2251" s="165"/>
      <c r="L2251" s="165"/>
      <c r="M2251" s="165"/>
      <c r="N2251" s="165"/>
      <c r="O2251" s="165"/>
      <c r="P2251" s="165"/>
      <c r="Q2251" s="165"/>
      <c r="R2251" s="165"/>
      <c r="S2251" s="165"/>
      <c r="T2251" s="165"/>
      <c r="U2251" s="165"/>
      <c r="V2251" s="165"/>
      <c r="W2251" s="165"/>
      <c r="X2251" s="165"/>
    </row>
    <row r="2252" ht="18.75" customHeight="1">
      <c r="A2252" s="165">
        <v>2249.0</v>
      </c>
      <c r="B2252" s="168" t="s">
        <v>17697</v>
      </c>
      <c r="C2252" s="165"/>
      <c r="D2252" s="165"/>
      <c r="E2252" s="165"/>
      <c r="F2252" s="165"/>
      <c r="G2252" s="165"/>
      <c r="H2252" s="165"/>
      <c r="I2252" s="165"/>
      <c r="J2252" s="165"/>
      <c r="K2252" s="165"/>
      <c r="L2252" s="165"/>
      <c r="M2252" s="165"/>
      <c r="N2252" s="165"/>
      <c r="O2252" s="165"/>
      <c r="P2252" s="165"/>
      <c r="Q2252" s="165"/>
      <c r="R2252" s="165"/>
      <c r="S2252" s="165"/>
      <c r="T2252" s="165"/>
      <c r="U2252" s="165"/>
      <c r="V2252" s="165"/>
      <c r="W2252" s="165"/>
      <c r="X2252" s="165"/>
    </row>
    <row r="2253" ht="18.75" customHeight="1">
      <c r="A2253" s="165">
        <v>2250.0</v>
      </c>
      <c r="B2253" s="167" t="s">
        <v>17698</v>
      </c>
      <c r="C2253" s="165"/>
      <c r="D2253" s="165"/>
      <c r="E2253" s="165"/>
      <c r="F2253" s="165"/>
      <c r="G2253" s="165"/>
      <c r="H2253" s="165"/>
      <c r="I2253" s="165"/>
      <c r="J2253" s="165"/>
      <c r="K2253" s="165"/>
      <c r="L2253" s="165"/>
      <c r="M2253" s="165"/>
      <c r="N2253" s="165"/>
      <c r="O2253" s="165"/>
      <c r="P2253" s="165"/>
      <c r="Q2253" s="165"/>
      <c r="R2253" s="165"/>
      <c r="S2253" s="165"/>
      <c r="T2253" s="165"/>
      <c r="U2253" s="165"/>
      <c r="V2253" s="165"/>
      <c r="W2253" s="165"/>
      <c r="X2253" s="165"/>
    </row>
    <row r="2254" ht="18.75" customHeight="1">
      <c r="A2254" s="165">
        <v>2251.0</v>
      </c>
      <c r="B2254" s="167" t="s">
        <v>17699</v>
      </c>
      <c r="C2254" s="165"/>
      <c r="D2254" s="165"/>
      <c r="E2254" s="165"/>
      <c r="F2254" s="165"/>
      <c r="G2254" s="165"/>
      <c r="H2254" s="165"/>
      <c r="I2254" s="165"/>
      <c r="J2254" s="165"/>
      <c r="K2254" s="165"/>
      <c r="L2254" s="165"/>
      <c r="M2254" s="165"/>
      <c r="N2254" s="165"/>
      <c r="O2254" s="165"/>
      <c r="P2254" s="165"/>
      <c r="Q2254" s="165"/>
      <c r="R2254" s="165"/>
      <c r="S2254" s="165"/>
      <c r="T2254" s="165"/>
      <c r="U2254" s="165"/>
      <c r="V2254" s="165"/>
      <c r="W2254" s="165"/>
      <c r="X2254" s="165"/>
    </row>
    <row r="2255" ht="18.75" customHeight="1">
      <c r="A2255" s="165">
        <v>2252.0</v>
      </c>
      <c r="B2255" s="165" t="s">
        <v>17700</v>
      </c>
      <c r="C2255" s="165"/>
      <c r="D2255" s="165"/>
      <c r="E2255" s="165"/>
      <c r="F2255" s="165"/>
      <c r="G2255" s="165"/>
      <c r="H2255" s="165"/>
      <c r="I2255" s="165"/>
      <c r="J2255" s="165"/>
      <c r="K2255" s="165"/>
      <c r="L2255" s="165"/>
      <c r="M2255" s="165"/>
      <c r="N2255" s="165"/>
      <c r="O2255" s="165"/>
      <c r="P2255" s="165"/>
      <c r="Q2255" s="165"/>
      <c r="R2255" s="165"/>
      <c r="S2255" s="165"/>
      <c r="T2255" s="165"/>
      <c r="U2255" s="165"/>
      <c r="V2255" s="165"/>
      <c r="W2255" s="165"/>
      <c r="X2255" s="165"/>
    </row>
    <row r="2256" ht="18.75" customHeight="1">
      <c r="A2256" s="165">
        <v>2253.0</v>
      </c>
      <c r="B2256" s="167" t="s">
        <v>17701</v>
      </c>
      <c r="C2256" s="165"/>
      <c r="D2256" s="165"/>
      <c r="E2256" s="165"/>
      <c r="F2256" s="165"/>
      <c r="G2256" s="165"/>
      <c r="H2256" s="165"/>
      <c r="I2256" s="165"/>
      <c r="J2256" s="165"/>
      <c r="K2256" s="165"/>
      <c r="L2256" s="165"/>
      <c r="M2256" s="165"/>
      <c r="N2256" s="165"/>
      <c r="O2256" s="165"/>
      <c r="P2256" s="165"/>
      <c r="Q2256" s="165"/>
      <c r="R2256" s="165"/>
      <c r="S2256" s="165"/>
      <c r="T2256" s="165"/>
      <c r="U2256" s="165"/>
      <c r="V2256" s="165"/>
      <c r="W2256" s="165"/>
      <c r="X2256" s="165"/>
    </row>
    <row r="2257" ht="18.75" customHeight="1">
      <c r="A2257" s="165">
        <v>2254.0</v>
      </c>
      <c r="B2257" s="165" t="s">
        <v>17702</v>
      </c>
      <c r="C2257" s="165"/>
      <c r="D2257" s="165"/>
      <c r="E2257" s="165"/>
      <c r="F2257" s="165"/>
      <c r="G2257" s="165"/>
      <c r="H2257" s="165"/>
      <c r="I2257" s="165"/>
      <c r="J2257" s="165"/>
      <c r="K2257" s="165"/>
      <c r="L2257" s="165"/>
      <c r="M2257" s="165"/>
      <c r="N2257" s="165"/>
      <c r="O2257" s="165"/>
      <c r="P2257" s="165"/>
      <c r="Q2257" s="165"/>
      <c r="R2257" s="165"/>
      <c r="S2257" s="165"/>
      <c r="T2257" s="165"/>
      <c r="U2257" s="165"/>
      <c r="V2257" s="165"/>
      <c r="W2257" s="165"/>
      <c r="X2257" s="165"/>
    </row>
    <row r="2258" ht="18.75" customHeight="1">
      <c r="A2258" s="165">
        <v>2255.0</v>
      </c>
      <c r="B2258" s="167" t="s">
        <v>17703</v>
      </c>
      <c r="C2258" s="165"/>
      <c r="D2258" s="165"/>
      <c r="E2258" s="165"/>
      <c r="F2258" s="165"/>
      <c r="G2258" s="165"/>
      <c r="H2258" s="165"/>
      <c r="I2258" s="165"/>
      <c r="J2258" s="165"/>
      <c r="K2258" s="165"/>
      <c r="L2258" s="165"/>
      <c r="M2258" s="165"/>
      <c r="N2258" s="165"/>
      <c r="O2258" s="165"/>
      <c r="P2258" s="165"/>
      <c r="Q2258" s="165"/>
      <c r="R2258" s="165"/>
      <c r="S2258" s="165"/>
      <c r="T2258" s="165"/>
      <c r="U2258" s="165"/>
      <c r="V2258" s="165"/>
      <c r="W2258" s="165"/>
      <c r="X2258" s="165"/>
    </row>
    <row r="2259" ht="18.75" customHeight="1">
      <c r="A2259" s="165">
        <v>2256.0</v>
      </c>
      <c r="B2259" s="167" t="s">
        <v>17704</v>
      </c>
      <c r="C2259" s="165"/>
      <c r="D2259" s="165"/>
      <c r="E2259" s="165"/>
      <c r="F2259" s="165"/>
      <c r="G2259" s="165"/>
      <c r="H2259" s="165"/>
      <c r="I2259" s="165"/>
      <c r="J2259" s="165"/>
      <c r="K2259" s="165"/>
      <c r="L2259" s="165"/>
      <c r="M2259" s="165"/>
      <c r="N2259" s="165"/>
      <c r="O2259" s="165"/>
      <c r="P2259" s="165"/>
      <c r="Q2259" s="165"/>
      <c r="R2259" s="165"/>
      <c r="S2259" s="165"/>
      <c r="T2259" s="165"/>
      <c r="U2259" s="165"/>
      <c r="V2259" s="165"/>
      <c r="W2259" s="165"/>
      <c r="X2259" s="165"/>
    </row>
    <row r="2260" ht="18.75" customHeight="1">
      <c r="A2260" s="165">
        <v>2257.0</v>
      </c>
      <c r="B2260" s="167" t="s">
        <v>17705</v>
      </c>
      <c r="C2260" s="165"/>
      <c r="D2260" s="165"/>
      <c r="E2260" s="165"/>
      <c r="F2260" s="165"/>
      <c r="G2260" s="165"/>
      <c r="H2260" s="165"/>
      <c r="I2260" s="165"/>
      <c r="J2260" s="165"/>
      <c r="K2260" s="165"/>
      <c r="L2260" s="165"/>
      <c r="M2260" s="165"/>
      <c r="N2260" s="165"/>
      <c r="O2260" s="165"/>
      <c r="P2260" s="165"/>
      <c r="Q2260" s="165"/>
      <c r="R2260" s="165"/>
      <c r="S2260" s="165"/>
      <c r="T2260" s="165"/>
      <c r="U2260" s="165"/>
      <c r="V2260" s="165"/>
      <c r="W2260" s="165"/>
      <c r="X2260" s="165"/>
    </row>
    <row r="2261" ht="18.75" customHeight="1">
      <c r="A2261" s="165">
        <v>2258.0</v>
      </c>
      <c r="B2261" s="167" t="s">
        <v>17706</v>
      </c>
      <c r="C2261" s="165"/>
      <c r="D2261" s="165"/>
      <c r="E2261" s="165"/>
      <c r="F2261" s="165"/>
      <c r="G2261" s="165"/>
      <c r="H2261" s="165"/>
      <c r="I2261" s="165"/>
      <c r="J2261" s="165"/>
      <c r="K2261" s="165"/>
      <c r="L2261" s="165"/>
      <c r="M2261" s="165"/>
      <c r="N2261" s="165"/>
      <c r="O2261" s="165"/>
      <c r="P2261" s="165"/>
      <c r="Q2261" s="165"/>
      <c r="R2261" s="165"/>
      <c r="S2261" s="165"/>
      <c r="T2261" s="165"/>
      <c r="U2261" s="165"/>
      <c r="V2261" s="165"/>
      <c r="W2261" s="165"/>
      <c r="X2261" s="165"/>
    </row>
    <row r="2262" ht="18.75" customHeight="1">
      <c r="A2262" s="165">
        <v>2259.0</v>
      </c>
      <c r="B2262" s="167" t="s">
        <v>17707</v>
      </c>
      <c r="C2262" s="165"/>
      <c r="D2262" s="165"/>
      <c r="E2262" s="165"/>
      <c r="F2262" s="165"/>
      <c r="G2262" s="165"/>
      <c r="H2262" s="165"/>
      <c r="I2262" s="165"/>
      <c r="J2262" s="165"/>
      <c r="K2262" s="165"/>
      <c r="L2262" s="165"/>
      <c r="M2262" s="165"/>
      <c r="N2262" s="165"/>
      <c r="O2262" s="165"/>
      <c r="P2262" s="165"/>
      <c r="Q2262" s="165"/>
      <c r="R2262" s="165"/>
      <c r="S2262" s="165"/>
      <c r="T2262" s="165"/>
      <c r="U2262" s="165"/>
      <c r="V2262" s="165"/>
      <c r="W2262" s="165"/>
      <c r="X2262" s="165"/>
    </row>
    <row r="2263" ht="18.75" customHeight="1">
      <c r="A2263" s="165">
        <v>2260.0</v>
      </c>
      <c r="B2263" s="167" t="s">
        <v>17708</v>
      </c>
      <c r="C2263" s="165"/>
      <c r="D2263" s="165"/>
      <c r="E2263" s="165"/>
      <c r="F2263" s="165"/>
      <c r="G2263" s="165"/>
      <c r="H2263" s="165"/>
      <c r="I2263" s="165"/>
      <c r="J2263" s="165"/>
      <c r="K2263" s="165"/>
      <c r="L2263" s="165"/>
      <c r="M2263" s="165"/>
      <c r="N2263" s="165"/>
      <c r="O2263" s="165"/>
      <c r="P2263" s="165"/>
      <c r="Q2263" s="165"/>
      <c r="R2263" s="165"/>
      <c r="S2263" s="165"/>
      <c r="T2263" s="165"/>
      <c r="U2263" s="165"/>
      <c r="V2263" s="165"/>
      <c r="W2263" s="165"/>
      <c r="X2263" s="165"/>
    </row>
    <row r="2264" ht="18.75" customHeight="1">
      <c r="A2264" s="165">
        <v>2261.0</v>
      </c>
      <c r="B2264" s="167" t="s">
        <v>17709</v>
      </c>
      <c r="C2264" s="165"/>
      <c r="D2264" s="165"/>
      <c r="E2264" s="165"/>
      <c r="F2264" s="165"/>
      <c r="G2264" s="165"/>
      <c r="H2264" s="165"/>
      <c r="I2264" s="165"/>
      <c r="J2264" s="165"/>
      <c r="K2264" s="165"/>
      <c r="L2264" s="165"/>
      <c r="M2264" s="165"/>
      <c r="N2264" s="165"/>
      <c r="O2264" s="165"/>
      <c r="P2264" s="165"/>
      <c r="Q2264" s="165"/>
      <c r="R2264" s="165"/>
      <c r="S2264" s="165"/>
      <c r="T2264" s="165"/>
      <c r="U2264" s="165"/>
      <c r="V2264" s="165"/>
      <c r="W2264" s="165"/>
      <c r="X2264" s="165"/>
    </row>
    <row r="2265" ht="18.75" customHeight="1">
      <c r="A2265" s="165">
        <v>2262.0</v>
      </c>
      <c r="B2265" s="167" t="s">
        <v>17710</v>
      </c>
      <c r="C2265" s="165"/>
      <c r="D2265" s="165"/>
      <c r="E2265" s="165"/>
      <c r="F2265" s="165"/>
      <c r="G2265" s="165"/>
      <c r="H2265" s="165"/>
      <c r="I2265" s="165"/>
      <c r="J2265" s="165"/>
      <c r="K2265" s="165"/>
      <c r="L2265" s="165"/>
      <c r="M2265" s="165"/>
      <c r="N2265" s="165"/>
      <c r="O2265" s="165"/>
      <c r="P2265" s="165"/>
      <c r="Q2265" s="165"/>
      <c r="R2265" s="165"/>
      <c r="S2265" s="165"/>
      <c r="T2265" s="165"/>
      <c r="U2265" s="165"/>
      <c r="V2265" s="165"/>
      <c r="W2265" s="165"/>
      <c r="X2265" s="165"/>
    </row>
    <row r="2266" ht="18.75" customHeight="1">
      <c r="A2266" s="165">
        <v>2263.0</v>
      </c>
      <c r="B2266" s="167" t="s">
        <v>17711</v>
      </c>
      <c r="C2266" s="165"/>
      <c r="D2266" s="165"/>
      <c r="E2266" s="165"/>
      <c r="F2266" s="165"/>
      <c r="G2266" s="165"/>
      <c r="H2266" s="165"/>
      <c r="I2266" s="165"/>
      <c r="J2266" s="165"/>
      <c r="K2266" s="165"/>
      <c r="L2266" s="165"/>
      <c r="M2266" s="165"/>
      <c r="N2266" s="165"/>
      <c r="O2266" s="165"/>
      <c r="P2266" s="165"/>
      <c r="Q2266" s="165"/>
      <c r="R2266" s="165"/>
      <c r="S2266" s="165"/>
      <c r="T2266" s="165"/>
      <c r="U2266" s="165"/>
      <c r="V2266" s="165"/>
      <c r="W2266" s="165"/>
      <c r="X2266" s="165"/>
    </row>
    <row r="2267" ht="18.75" customHeight="1">
      <c r="A2267" s="165">
        <v>2264.0</v>
      </c>
      <c r="B2267" s="167" t="s">
        <v>17712</v>
      </c>
      <c r="C2267" s="165"/>
      <c r="D2267" s="165"/>
      <c r="E2267" s="165"/>
      <c r="F2267" s="165"/>
      <c r="G2267" s="165"/>
      <c r="H2267" s="165"/>
      <c r="I2267" s="165"/>
      <c r="J2267" s="165"/>
      <c r="K2267" s="165"/>
      <c r="L2267" s="165"/>
      <c r="M2267" s="165"/>
      <c r="N2267" s="165"/>
      <c r="O2267" s="165"/>
      <c r="P2267" s="165"/>
      <c r="Q2267" s="165"/>
      <c r="R2267" s="165"/>
      <c r="S2267" s="165"/>
      <c r="T2267" s="165"/>
      <c r="U2267" s="165"/>
      <c r="V2267" s="165"/>
      <c r="W2267" s="165"/>
      <c r="X2267" s="165"/>
    </row>
    <row r="2268" ht="18.75" customHeight="1">
      <c r="A2268" s="165">
        <v>2265.0</v>
      </c>
      <c r="B2268" s="167" t="s">
        <v>17473</v>
      </c>
      <c r="C2268" s="165"/>
      <c r="D2268" s="165"/>
      <c r="E2268" s="165"/>
      <c r="F2268" s="165"/>
      <c r="G2268" s="165"/>
      <c r="H2268" s="165"/>
      <c r="I2268" s="165"/>
      <c r="J2268" s="165"/>
      <c r="K2268" s="165"/>
      <c r="L2268" s="165"/>
      <c r="M2268" s="165"/>
      <c r="N2268" s="165"/>
      <c r="O2268" s="165"/>
      <c r="P2268" s="165"/>
      <c r="Q2268" s="165"/>
      <c r="R2268" s="165"/>
      <c r="S2268" s="165"/>
      <c r="T2268" s="165"/>
      <c r="U2268" s="165"/>
      <c r="V2268" s="165"/>
      <c r="W2268" s="165"/>
      <c r="X2268" s="165"/>
    </row>
    <row r="2269" ht="18.75" customHeight="1">
      <c r="A2269" s="165">
        <v>2266.0</v>
      </c>
      <c r="B2269" s="167" t="s">
        <v>16503</v>
      </c>
      <c r="C2269" s="165"/>
      <c r="D2269" s="165"/>
      <c r="E2269" s="165"/>
      <c r="F2269" s="165"/>
      <c r="G2269" s="165"/>
      <c r="H2269" s="165"/>
      <c r="I2269" s="165"/>
      <c r="J2269" s="165"/>
      <c r="K2269" s="165"/>
      <c r="L2269" s="165"/>
      <c r="M2269" s="165"/>
      <c r="N2269" s="165"/>
      <c r="O2269" s="165"/>
      <c r="P2269" s="165"/>
      <c r="Q2269" s="165"/>
      <c r="R2269" s="165"/>
      <c r="S2269" s="165"/>
      <c r="T2269" s="165"/>
      <c r="U2269" s="165"/>
      <c r="V2269" s="165"/>
      <c r="W2269" s="165"/>
      <c r="X2269" s="165"/>
    </row>
    <row r="2270" ht="18.75" customHeight="1">
      <c r="A2270" s="165">
        <v>2267.0</v>
      </c>
      <c r="B2270" s="167" t="s">
        <v>17713</v>
      </c>
      <c r="C2270" s="165"/>
      <c r="D2270" s="165"/>
      <c r="E2270" s="165"/>
      <c r="F2270" s="165"/>
      <c r="G2270" s="165"/>
      <c r="H2270" s="165"/>
      <c r="I2270" s="165"/>
      <c r="J2270" s="165"/>
      <c r="K2270" s="165"/>
      <c r="L2270" s="165"/>
      <c r="M2270" s="165"/>
      <c r="N2270" s="165"/>
      <c r="O2270" s="165"/>
      <c r="P2270" s="165"/>
      <c r="Q2270" s="165"/>
      <c r="R2270" s="165"/>
      <c r="S2270" s="165"/>
      <c r="T2270" s="165"/>
      <c r="U2270" s="165"/>
      <c r="V2270" s="165"/>
      <c r="W2270" s="165"/>
      <c r="X2270" s="165"/>
    </row>
    <row r="2271" ht="18.75" customHeight="1">
      <c r="A2271" s="165">
        <v>2268.0</v>
      </c>
      <c r="B2271" s="167" t="s">
        <v>17714</v>
      </c>
      <c r="C2271" s="165"/>
      <c r="D2271" s="165"/>
      <c r="E2271" s="165"/>
      <c r="F2271" s="165"/>
      <c r="G2271" s="165"/>
      <c r="H2271" s="165"/>
      <c r="I2271" s="165"/>
      <c r="J2271" s="165"/>
      <c r="K2271" s="165"/>
      <c r="L2271" s="165"/>
      <c r="M2271" s="165"/>
      <c r="N2271" s="165"/>
      <c r="O2271" s="165"/>
      <c r="P2271" s="165"/>
      <c r="Q2271" s="165"/>
      <c r="R2271" s="165"/>
      <c r="S2271" s="165"/>
      <c r="T2271" s="165"/>
      <c r="U2271" s="165"/>
      <c r="V2271" s="165"/>
      <c r="W2271" s="165"/>
      <c r="X2271" s="165"/>
    </row>
    <row r="2272" ht="18.75" customHeight="1">
      <c r="A2272" s="165">
        <v>2269.0</v>
      </c>
      <c r="B2272" s="167" t="s">
        <v>17715</v>
      </c>
      <c r="C2272" s="165"/>
      <c r="D2272" s="165"/>
      <c r="E2272" s="165"/>
      <c r="F2272" s="165"/>
      <c r="G2272" s="165"/>
      <c r="H2272" s="165"/>
      <c r="I2272" s="165"/>
      <c r="J2272" s="165"/>
      <c r="K2272" s="165"/>
      <c r="L2272" s="165"/>
      <c r="M2272" s="165"/>
      <c r="N2272" s="165"/>
      <c r="O2272" s="165"/>
      <c r="P2272" s="165"/>
      <c r="Q2272" s="165"/>
      <c r="R2272" s="165"/>
      <c r="S2272" s="165"/>
      <c r="T2272" s="165"/>
      <c r="U2272" s="165"/>
      <c r="V2272" s="165"/>
      <c r="W2272" s="165"/>
      <c r="X2272" s="165"/>
    </row>
    <row r="2273" ht="18.75" customHeight="1">
      <c r="A2273" s="165">
        <v>2270.0</v>
      </c>
      <c r="B2273" s="167" t="s">
        <v>17716</v>
      </c>
      <c r="C2273" s="165"/>
      <c r="D2273" s="165"/>
      <c r="E2273" s="165"/>
      <c r="F2273" s="165"/>
      <c r="G2273" s="165"/>
      <c r="H2273" s="165"/>
      <c r="I2273" s="165"/>
      <c r="J2273" s="165"/>
      <c r="K2273" s="165"/>
      <c r="L2273" s="165"/>
      <c r="M2273" s="165"/>
      <c r="N2273" s="165"/>
      <c r="O2273" s="165"/>
      <c r="P2273" s="165"/>
      <c r="Q2273" s="165"/>
      <c r="R2273" s="165"/>
      <c r="S2273" s="165"/>
      <c r="T2273" s="165"/>
      <c r="U2273" s="165"/>
      <c r="V2273" s="165"/>
      <c r="W2273" s="165"/>
      <c r="X2273" s="165"/>
    </row>
    <row r="2274" ht="18.75" customHeight="1">
      <c r="A2274" s="165">
        <v>2271.0</v>
      </c>
      <c r="B2274" s="167" t="s">
        <v>17717</v>
      </c>
      <c r="C2274" s="165"/>
      <c r="D2274" s="165"/>
      <c r="E2274" s="165"/>
      <c r="F2274" s="165"/>
      <c r="G2274" s="165"/>
      <c r="H2274" s="165"/>
      <c r="I2274" s="165"/>
      <c r="J2274" s="165"/>
      <c r="K2274" s="165"/>
      <c r="L2274" s="165"/>
      <c r="M2274" s="165"/>
      <c r="N2274" s="165"/>
      <c r="O2274" s="165"/>
      <c r="P2274" s="165"/>
      <c r="Q2274" s="165"/>
      <c r="R2274" s="165"/>
      <c r="S2274" s="165"/>
      <c r="T2274" s="165"/>
      <c r="U2274" s="165"/>
      <c r="V2274" s="165"/>
      <c r="W2274" s="165"/>
      <c r="X2274" s="165"/>
    </row>
    <row r="2275" ht="18.75" customHeight="1">
      <c r="A2275" s="165">
        <v>2272.0</v>
      </c>
      <c r="B2275" s="167" t="s">
        <v>17718</v>
      </c>
      <c r="C2275" s="165"/>
      <c r="D2275" s="165"/>
      <c r="E2275" s="165"/>
      <c r="F2275" s="165"/>
      <c r="G2275" s="165"/>
      <c r="H2275" s="165"/>
      <c r="I2275" s="165"/>
      <c r="J2275" s="165"/>
      <c r="K2275" s="165"/>
      <c r="L2275" s="165"/>
      <c r="M2275" s="165"/>
      <c r="N2275" s="165"/>
      <c r="O2275" s="165"/>
      <c r="P2275" s="165"/>
      <c r="Q2275" s="165"/>
      <c r="R2275" s="165"/>
      <c r="S2275" s="165"/>
      <c r="T2275" s="165"/>
      <c r="U2275" s="165"/>
      <c r="V2275" s="165"/>
      <c r="W2275" s="165"/>
      <c r="X2275" s="165"/>
    </row>
    <row r="2276" ht="18.75" customHeight="1">
      <c r="A2276" s="165">
        <v>2273.0</v>
      </c>
      <c r="B2276" s="167" t="s">
        <v>17719</v>
      </c>
      <c r="C2276" s="165"/>
      <c r="D2276" s="165"/>
      <c r="E2276" s="165"/>
      <c r="F2276" s="165"/>
      <c r="G2276" s="165"/>
      <c r="H2276" s="165"/>
      <c r="I2276" s="165"/>
      <c r="J2276" s="165"/>
      <c r="K2276" s="165"/>
      <c r="L2276" s="165"/>
      <c r="M2276" s="165"/>
      <c r="N2276" s="165"/>
      <c r="O2276" s="165"/>
      <c r="P2276" s="165"/>
      <c r="Q2276" s="165"/>
      <c r="R2276" s="165"/>
      <c r="S2276" s="165"/>
      <c r="T2276" s="165"/>
      <c r="U2276" s="165"/>
      <c r="V2276" s="165"/>
      <c r="W2276" s="165"/>
      <c r="X2276" s="165"/>
    </row>
    <row r="2277" ht="18.75" customHeight="1">
      <c r="A2277" s="165">
        <v>2274.0</v>
      </c>
      <c r="B2277" s="167" t="s">
        <v>16509</v>
      </c>
      <c r="C2277" s="165"/>
      <c r="D2277" s="165"/>
      <c r="E2277" s="165"/>
      <c r="F2277" s="165"/>
      <c r="G2277" s="165"/>
      <c r="H2277" s="165"/>
      <c r="I2277" s="165"/>
      <c r="J2277" s="165"/>
      <c r="K2277" s="165"/>
      <c r="L2277" s="165"/>
      <c r="M2277" s="165"/>
      <c r="N2277" s="165"/>
      <c r="O2277" s="165"/>
      <c r="P2277" s="165"/>
      <c r="Q2277" s="165"/>
      <c r="R2277" s="165"/>
      <c r="S2277" s="165"/>
      <c r="T2277" s="165"/>
      <c r="U2277" s="165"/>
      <c r="V2277" s="165"/>
      <c r="W2277" s="165"/>
      <c r="X2277" s="165"/>
    </row>
    <row r="2278" ht="18.75" customHeight="1">
      <c r="A2278" s="165">
        <v>2275.0</v>
      </c>
      <c r="B2278" s="167" t="s">
        <v>17720</v>
      </c>
      <c r="C2278" s="165"/>
      <c r="D2278" s="165"/>
      <c r="E2278" s="165"/>
      <c r="F2278" s="165"/>
      <c r="G2278" s="165"/>
      <c r="H2278" s="165"/>
      <c r="I2278" s="165"/>
      <c r="J2278" s="165"/>
      <c r="K2278" s="165"/>
      <c r="L2278" s="165"/>
      <c r="M2278" s="165"/>
      <c r="N2278" s="165"/>
      <c r="O2278" s="165"/>
      <c r="P2278" s="165"/>
      <c r="Q2278" s="165"/>
      <c r="R2278" s="165"/>
      <c r="S2278" s="165"/>
      <c r="T2278" s="165"/>
      <c r="U2278" s="165"/>
      <c r="V2278" s="165"/>
      <c r="W2278" s="165"/>
      <c r="X2278" s="165"/>
    </row>
    <row r="2279" ht="18.75" customHeight="1">
      <c r="A2279" s="165">
        <v>2276.0</v>
      </c>
      <c r="B2279" s="167" t="s">
        <v>17721</v>
      </c>
      <c r="C2279" s="165"/>
      <c r="D2279" s="165"/>
      <c r="E2279" s="165"/>
      <c r="F2279" s="165"/>
      <c r="G2279" s="165"/>
      <c r="H2279" s="165"/>
      <c r="I2279" s="165"/>
      <c r="J2279" s="165"/>
      <c r="K2279" s="165"/>
      <c r="L2279" s="165"/>
      <c r="M2279" s="165"/>
      <c r="N2279" s="165"/>
      <c r="O2279" s="165"/>
      <c r="P2279" s="165"/>
      <c r="Q2279" s="165"/>
      <c r="R2279" s="165"/>
      <c r="S2279" s="165"/>
      <c r="T2279" s="165"/>
      <c r="U2279" s="165"/>
      <c r="V2279" s="165"/>
      <c r="W2279" s="165"/>
      <c r="X2279" s="165"/>
    </row>
    <row r="2280" ht="18.75" customHeight="1">
      <c r="A2280" s="165">
        <v>2277.0</v>
      </c>
      <c r="B2280" s="167" t="s">
        <v>17722</v>
      </c>
      <c r="C2280" s="165"/>
      <c r="D2280" s="165"/>
      <c r="E2280" s="165"/>
      <c r="F2280" s="165"/>
      <c r="G2280" s="165"/>
      <c r="H2280" s="165"/>
      <c r="I2280" s="165"/>
      <c r="J2280" s="165"/>
      <c r="K2280" s="165"/>
      <c r="L2280" s="165"/>
      <c r="M2280" s="165"/>
      <c r="N2280" s="165"/>
      <c r="O2280" s="165"/>
      <c r="P2280" s="165"/>
      <c r="Q2280" s="165"/>
      <c r="R2280" s="165"/>
      <c r="S2280" s="165"/>
      <c r="T2280" s="165"/>
      <c r="U2280" s="165"/>
      <c r="V2280" s="165"/>
      <c r="W2280" s="165"/>
      <c r="X2280" s="165"/>
    </row>
    <row r="2281" ht="18.75" customHeight="1">
      <c r="A2281" s="165">
        <v>2278.0</v>
      </c>
      <c r="B2281" s="189" t="s">
        <v>17491</v>
      </c>
      <c r="C2281" s="165"/>
      <c r="D2281" s="165"/>
      <c r="E2281" s="165"/>
      <c r="F2281" s="165"/>
      <c r="G2281" s="165"/>
      <c r="H2281" s="165"/>
      <c r="I2281" s="165"/>
      <c r="J2281" s="165"/>
      <c r="K2281" s="165"/>
      <c r="L2281" s="165"/>
      <c r="M2281" s="165"/>
      <c r="N2281" s="165"/>
      <c r="O2281" s="165"/>
      <c r="P2281" s="165"/>
      <c r="Q2281" s="165"/>
      <c r="R2281" s="165"/>
      <c r="S2281" s="165"/>
      <c r="T2281" s="165"/>
      <c r="U2281" s="165"/>
      <c r="V2281" s="165"/>
      <c r="W2281" s="165"/>
      <c r="X2281" s="165"/>
    </row>
    <row r="2282" ht="18.75" customHeight="1">
      <c r="A2282" s="165">
        <v>2279.0</v>
      </c>
      <c r="B2282" s="189" t="s">
        <v>17723</v>
      </c>
      <c r="C2282" s="165"/>
      <c r="D2282" s="165"/>
      <c r="E2282" s="165"/>
      <c r="F2282" s="165"/>
      <c r="G2282" s="165"/>
      <c r="H2282" s="165"/>
      <c r="I2282" s="165"/>
      <c r="J2282" s="165"/>
      <c r="K2282" s="165"/>
      <c r="L2282" s="165"/>
      <c r="M2282" s="165"/>
      <c r="N2282" s="165"/>
      <c r="O2282" s="165"/>
      <c r="P2282" s="165"/>
      <c r="Q2282" s="165"/>
      <c r="R2282" s="165"/>
      <c r="S2282" s="165"/>
      <c r="T2282" s="165"/>
      <c r="U2282" s="165"/>
      <c r="V2282" s="165"/>
      <c r="W2282" s="165"/>
      <c r="X2282" s="165"/>
    </row>
    <row r="2283" ht="18.75" customHeight="1">
      <c r="A2283" s="165">
        <v>2280.0</v>
      </c>
      <c r="B2283" s="182" t="s">
        <v>17724</v>
      </c>
      <c r="C2283" s="165"/>
      <c r="D2283" s="165"/>
      <c r="E2283" s="165"/>
      <c r="F2283" s="165"/>
      <c r="G2283" s="165"/>
      <c r="H2283" s="165"/>
      <c r="I2283" s="165"/>
      <c r="J2283" s="165"/>
      <c r="K2283" s="165"/>
      <c r="L2283" s="165"/>
      <c r="M2283" s="165"/>
      <c r="N2283" s="165"/>
      <c r="O2283" s="165"/>
      <c r="P2283" s="165"/>
      <c r="Q2283" s="165"/>
      <c r="R2283" s="165"/>
      <c r="S2283" s="165"/>
      <c r="T2283" s="165"/>
      <c r="U2283" s="165"/>
      <c r="V2283" s="165"/>
      <c r="W2283" s="165"/>
      <c r="X2283" s="165"/>
    </row>
    <row r="2284" ht="18.75" customHeight="1">
      <c r="A2284" s="165">
        <v>2281.0</v>
      </c>
      <c r="B2284" s="165" t="s">
        <v>17725</v>
      </c>
      <c r="C2284" s="165"/>
      <c r="D2284" s="165"/>
      <c r="E2284" s="165"/>
      <c r="F2284" s="165"/>
      <c r="G2284" s="165"/>
      <c r="H2284" s="165"/>
      <c r="I2284" s="165"/>
      <c r="J2284" s="165"/>
      <c r="K2284" s="165"/>
      <c r="L2284" s="165"/>
      <c r="M2284" s="165"/>
      <c r="N2284" s="165"/>
      <c r="O2284" s="165"/>
      <c r="P2284" s="165"/>
      <c r="Q2284" s="165"/>
      <c r="R2284" s="165"/>
      <c r="S2284" s="165"/>
      <c r="T2284" s="165"/>
      <c r="U2284" s="165"/>
      <c r="V2284" s="165"/>
      <c r="W2284" s="165"/>
      <c r="X2284" s="165"/>
    </row>
    <row r="2285" ht="18.75" customHeight="1">
      <c r="A2285" s="165">
        <v>2282.0</v>
      </c>
      <c r="B2285" s="182" t="s">
        <v>17726</v>
      </c>
      <c r="C2285" s="165"/>
      <c r="D2285" s="165"/>
      <c r="E2285" s="165"/>
      <c r="F2285" s="165"/>
      <c r="G2285" s="165"/>
      <c r="H2285" s="165"/>
      <c r="I2285" s="165"/>
      <c r="J2285" s="165"/>
      <c r="K2285" s="165"/>
      <c r="L2285" s="165"/>
      <c r="M2285" s="165"/>
      <c r="N2285" s="165"/>
      <c r="O2285" s="165"/>
      <c r="P2285" s="165"/>
      <c r="Q2285" s="165"/>
      <c r="R2285" s="165"/>
      <c r="S2285" s="165"/>
      <c r="T2285" s="165"/>
      <c r="U2285" s="165"/>
      <c r="V2285" s="165"/>
      <c r="W2285" s="165"/>
      <c r="X2285" s="165"/>
    </row>
    <row r="2286" ht="18.75" customHeight="1">
      <c r="A2286" s="165">
        <v>2283.0</v>
      </c>
      <c r="B2286" s="165" t="s">
        <v>17727</v>
      </c>
      <c r="C2286" s="165"/>
      <c r="D2286" s="165"/>
      <c r="E2286" s="165"/>
      <c r="F2286" s="165"/>
      <c r="G2286" s="165"/>
      <c r="H2286" s="165"/>
      <c r="I2286" s="165"/>
      <c r="J2286" s="165"/>
      <c r="K2286" s="165"/>
      <c r="L2286" s="165"/>
      <c r="M2286" s="165"/>
      <c r="N2286" s="165"/>
      <c r="O2286" s="165"/>
      <c r="P2286" s="165"/>
      <c r="Q2286" s="165"/>
      <c r="R2286" s="165"/>
      <c r="S2286" s="165"/>
      <c r="T2286" s="165"/>
      <c r="U2286" s="165"/>
      <c r="V2286" s="165"/>
      <c r="W2286" s="165"/>
      <c r="X2286" s="165"/>
    </row>
    <row r="2287" ht="18.75" customHeight="1">
      <c r="A2287" s="165">
        <v>2284.0</v>
      </c>
      <c r="B2287" s="165" t="s">
        <v>17728</v>
      </c>
      <c r="C2287" s="165"/>
      <c r="D2287" s="165"/>
      <c r="E2287" s="165"/>
      <c r="F2287" s="165"/>
      <c r="G2287" s="165"/>
      <c r="H2287" s="165"/>
      <c r="I2287" s="165"/>
      <c r="J2287" s="165"/>
      <c r="K2287" s="165"/>
      <c r="L2287" s="165"/>
      <c r="M2287" s="165"/>
      <c r="N2287" s="165"/>
      <c r="O2287" s="165"/>
      <c r="P2287" s="165"/>
      <c r="Q2287" s="165"/>
      <c r="R2287" s="165"/>
      <c r="S2287" s="165"/>
      <c r="T2287" s="165"/>
      <c r="U2287" s="165"/>
      <c r="V2287" s="165"/>
      <c r="W2287" s="165"/>
      <c r="X2287" s="165"/>
    </row>
    <row r="2288" ht="18.75" customHeight="1">
      <c r="A2288" s="165">
        <v>2285.0</v>
      </c>
      <c r="B2288" s="182" t="s">
        <v>17729</v>
      </c>
      <c r="C2288" s="165"/>
      <c r="D2288" s="165"/>
      <c r="E2288" s="165"/>
      <c r="F2288" s="165"/>
      <c r="G2288" s="165"/>
      <c r="H2288" s="165"/>
      <c r="I2288" s="165"/>
      <c r="J2288" s="165"/>
      <c r="K2288" s="165"/>
      <c r="L2288" s="165"/>
      <c r="M2288" s="165"/>
      <c r="N2288" s="165"/>
      <c r="O2288" s="165"/>
      <c r="P2288" s="165"/>
      <c r="Q2288" s="165"/>
      <c r="R2288" s="165"/>
      <c r="S2288" s="165"/>
      <c r="T2288" s="165"/>
      <c r="U2288" s="165"/>
      <c r="V2288" s="165"/>
      <c r="W2288" s="165"/>
      <c r="X2288" s="165"/>
    </row>
    <row r="2289" ht="18.75" customHeight="1">
      <c r="A2289" s="165">
        <v>2286.0</v>
      </c>
      <c r="B2289" s="165" t="s">
        <v>17730</v>
      </c>
      <c r="C2289" s="165"/>
      <c r="D2289" s="165"/>
      <c r="E2289" s="165"/>
      <c r="F2289" s="165"/>
      <c r="G2289" s="165"/>
      <c r="H2289" s="165"/>
      <c r="I2289" s="165"/>
      <c r="J2289" s="165"/>
      <c r="K2289" s="165"/>
      <c r="L2289" s="165"/>
      <c r="M2289" s="165"/>
      <c r="N2289" s="165"/>
      <c r="O2289" s="165"/>
      <c r="P2289" s="165"/>
      <c r="Q2289" s="165"/>
      <c r="R2289" s="165"/>
      <c r="S2289" s="165"/>
      <c r="T2289" s="165"/>
      <c r="U2289" s="165"/>
      <c r="V2289" s="165"/>
      <c r="W2289" s="165"/>
      <c r="X2289" s="165"/>
    </row>
    <row r="2290" ht="18.75" customHeight="1">
      <c r="A2290" s="165">
        <v>2287.0</v>
      </c>
      <c r="B2290" s="168" t="s">
        <v>17731</v>
      </c>
      <c r="C2290" s="165"/>
      <c r="D2290" s="165"/>
      <c r="E2290" s="165"/>
      <c r="F2290" s="165"/>
      <c r="G2290" s="165"/>
      <c r="H2290" s="165"/>
      <c r="I2290" s="165"/>
      <c r="J2290" s="165"/>
      <c r="K2290" s="165"/>
      <c r="L2290" s="165"/>
      <c r="M2290" s="165"/>
      <c r="N2290" s="165"/>
      <c r="O2290" s="165"/>
      <c r="P2290" s="165"/>
      <c r="Q2290" s="165"/>
      <c r="R2290" s="165"/>
      <c r="S2290" s="165"/>
      <c r="T2290" s="165"/>
      <c r="U2290" s="165"/>
      <c r="V2290" s="165"/>
      <c r="W2290" s="165"/>
      <c r="X2290" s="165"/>
    </row>
    <row r="2291" ht="18.75" customHeight="1">
      <c r="A2291" s="165">
        <v>2288.0</v>
      </c>
      <c r="B2291" s="165" t="s">
        <v>17732</v>
      </c>
      <c r="C2291" s="165"/>
      <c r="D2291" s="165"/>
      <c r="E2291" s="165"/>
      <c r="F2291" s="165"/>
      <c r="G2291" s="165"/>
      <c r="H2291" s="165"/>
      <c r="I2291" s="165"/>
      <c r="J2291" s="165"/>
      <c r="K2291" s="165"/>
      <c r="L2291" s="165"/>
      <c r="M2291" s="165"/>
      <c r="N2291" s="165"/>
      <c r="O2291" s="165"/>
      <c r="P2291" s="165"/>
      <c r="Q2291" s="165"/>
      <c r="R2291" s="165"/>
      <c r="S2291" s="165"/>
      <c r="T2291" s="165"/>
      <c r="U2291" s="165"/>
      <c r="V2291" s="165"/>
      <c r="W2291" s="165"/>
      <c r="X2291" s="165"/>
    </row>
    <row r="2292" ht="18.75" customHeight="1">
      <c r="A2292" s="165">
        <v>2289.0</v>
      </c>
      <c r="B2292" s="165" t="s">
        <v>17733</v>
      </c>
      <c r="C2292" s="165"/>
      <c r="D2292" s="165"/>
      <c r="E2292" s="165"/>
      <c r="F2292" s="165"/>
      <c r="G2292" s="165"/>
      <c r="H2292" s="165"/>
      <c r="I2292" s="165"/>
      <c r="J2292" s="165"/>
      <c r="K2292" s="165"/>
      <c r="L2292" s="165"/>
      <c r="M2292" s="165"/>
      <c r="N2292" s="165"/>
      <c r="O2292" s="165"/>
      <c r="P2292" s="165"/>
      <c r="Q2292" s="165"/>
      <c r="R2292" s="165"/>
      <c r="S2292" s="165"/>
      <c r="T2292" s="165"/>
      <c r="U2292" s="165"/>
      <c r="V2292" s="165"/>
      <c r="W2292" s="165"/>
      <c r="X2292" s="165"/>
    </row>
    <row r="2293" ht="18.75" customHeight="1">
      <c r="A2293" s="165">
        <v>2290.0</v>
      </c>
      <c r="B2293" s="167" t="s">
        <v>17734</v>
      </c>
      <c r="C2293" s="165"/>
      <c r="D2293" s="165"/>
      <c r="E2293" s="165"/>
      <c r="F2293" s="165"/>
      <c r="G2293" s="165"/>
      <c r="H2293" s="165"/>
      <c r="I2293" s="165"/>
      <c r="J2293" s="165"/>
      <c r="K2293" s="165"/>
      <c r="L2293" s="165"/>
      <c r="M2293" s="165"/>
      <c r="N2293" s="165"/>
      <c r="O2293" s="165"/>
      <c r="P2293" s="165"/>
      <c r="Q2293" s="165"/>
      <c r="R2293" s="165"/>
      <c r="S2293" s="165"/>
      <c r="T2293" s="165"/>
      <c r="U2293" s="165"/>
      <c r="V2293" s="165"/>
      <c r="W2293" s="165"/>
      <c r="X2293" s="165"/>
    </row>
    <row r="2294" ht="18.75" customHeight="1">
      <c r="A2294" s="165">
        <v>2291.0</v>
      </c>
      <c r="B2294" s="167" t="s">
        <v>17735</v>
      </c>
      <c r="C2294" s="165"/>
      <c r="D2294" s="165"/>
      <c r="E2294" s="165"/>
      <c r="F2294" s="165"/>
      <c r="G2294" s="165"/>
      <c r="H2294" s="165"/>
      <c r="I2294" s="165"/>
      <c r="J2294" s="165"/>
      <c r="K2294" s="165"/>
      <c r="L2294" s="165"/>
      <c r="M2294" s="165"/>
      <c r="N2294" s="165"/>
      <c r="O2294" s="165"/>
      <c r="P2294" s="165"/>
      <c r="Q2294" s="165"/>
      <c r="R2294" s="165"/>
      <c r="S2294" s="165"/>
      <c r="T2294" s="165"/>
      <c r="U2294" s="165"/>
      <c r="V2294" s="165"/>
      <c r="W2294" s="165"/>
      <c r="X2294" s="165"/>
    </row>
    <row r="2295" ht="18.75" customHeight="1">
      <c r="A2295" s="165">
        <v>2292.0</v>
      </c>
      <c r="B2295" s="165" t="s">
        <v>17736</v>
      </c>
      <c r="C2295" s="165"/>
      <c r="D2295" s="165"/>
      <c r="E2295" s="165"/>
      <c r="F2295" s="165"/>
      <c r="G2295" s="165"/>
      <c r="H2295" s="165"/>
      <c r="I2295" s="165"/>
      <c r="J2295" s="165"/>
      <c r="K2295" s="165"/>
      <c r="L2295" s="165"/>
      <c r="M2295" s="165"/>
      <c r="N2295" s="165"/>
      <c r="O2295" s="165"/>
      <c r="P2295" s="165"/>
      <c r="Q2295" s="165"/>
      <c r="R2295" s="165"/>
      <c r="S2295" s="165"/>
      <c r="T2295" s="165"/>
      <c r="U2295" s="165"/>
      <c r="V2295" s="165"/>
      <c r="W2295" s="165"/>
      <c r="X2295" s="165"/>
    </row>
    <row r="2296" ht="18.75" customHeight="1">
      <c r="A2296" s="165">
        <v>2293.0</v>
      </c>
      <c r="B2296" s="165" t="s">
        <v>17737</v>
      </c>
      <c r="C2296" s="165"/>
      <c r="D2296" s="165"/>
      <c r="E2296" s="165"/>
      <c r="F2296" s="165"/>
      <c r="G2296" s="165"/>
      <c r="H2296" s="165"/>
      <c r="I2296" s="165"/>
      <c r="J2296" s="165"/>
      <c r="K2296" s="165"/>
      <c r="L2296" s="165"/>
      <c r="M2296" s="165"/>
      <c r="N2296" s="165"/>
      <c r="O2296" s="165"/>
      <c r="P2296" s="165"/>
      <c r="Q2296" s="165"/>
      <c r="R2296" s="165"/>
      <c r="S2296" s="165"/>
      <c r="T2296" s="165"/>
      <c r="U2296" s="165"/>
      <c r="V2296" s="165"/>
      <c r="W2296" s="165"/>
      <c r="X2296" s="165"/>
    </row>
    <row r="2297" ht="18.75" customHeight="1">
      <c r="A2297" s="165">
        <v>2294.0</v>
      </c>
      <c r="B2297" s="165" t="s">
        <v>17738</v>
      </c>
      <c r="C2297" s="165"/>
      <c r="D2297" s="165"/>
      <c r="E2297" s="165"/>
      <c r="F2297" s="165"/>
      <c r="G2297" s="165"/>
      <c r="H2297" s="165"/>
      <c r="I2297" s="165"/>
      <c r="J2297" s="165"/>
      <c r="K2297" s="165"/>
      <c r="L2297" s="165"/>
      <c r="M2297" s="165"/>
      <c r="N2297" s="165"/>
      <c r="O2297" s="165"/>
      <c r="P2297" s="165"/>
      <c r="Q2297" s="165"/>
      <c r="R2297" s="165"/>
      <c r="S2297" s="165"/>
      <c r="T2297" s="165"/>
      <c r="U2297" s="165"/>
      <c r="V2297" s="165"/>
      <c r="W2297" s="165"/>
      <c r="X2297" s="165"/>
    </row>
    <row r="2298" ht="18.75" customHeight="1">
      <c r="A2298" s="165">
        <v>2295.0</v>
      </c>
      <c r="B2298" s="165" t="s">
        <v>17739</v>
      </c>
      <c r="C2298" s="165"/>
      <c r="D2298" s="165"/>
      <c r="E2298" s="165"/>
      <c r="F2298" s="165"/>
      <c r="G2298" s="165"/>
      <c r="H2298" s="165"/>
      <c r="I2298" s="165"/>
      <c r="J2298" s="165"/>
      <c r="K2298" s="165"/>
      <c r="L2298" s="165"/>
      <c r="M2298" s="165"/>
      <c r="N2298" s="165"/>
      <c r="O2298" s="165"/>
      <c r="P2298" s="165"/>
      <c r="Q2298" s="165"/>
      <c r="R2298" s="165"/>
      <c r="S2298" s="165"/>
      <c r="T2298" s="165"/>
      <c r="U2298" s="165"/>
      <c r="V2298" s="165"/>
      <c r="W2298" s="165"/>
      <c r="X2298" s="165"/>
    </row>
    <row r="2299" ht="18.75" customHeight="1">
      <c r="A2299" s="165">
        <v>2296.0</v>
      </c>
      <c r="B2299" s="168" t="s">
        <v>17740</v>
      </c>
      <c r="C2299" s="165"/>
      <c r="D2299" s="165"/>
      <c r="E2299" s="165"/>
      <c r="F2299" s="165"/>
      <c r="G2299" s="165"/>
      <c r="H2299" s="165"/>
      <c r="I2299" s="165"/>
      <c r="J2299" s="165"/>
      <c r="K2299" s="165"/>
      <c r="L2299" s="165"/>
      <c r="M2299" s="165"/>
      <c r="N2299" s="165"/>
      <c r="O2299" s="165"/>
      <c r="P2299" s="165"/>
      <c r="Q2299" s="165"/>
      <c r="R2299" s="165"/>
      <c r="S2299" s="165"/>
      <c r="T2299" s="165"/>
      <c r="U2299" s="165"/>
      <c r="V2299" s="165"/>
      <c r="W2299" s="165"/>
      <c r="X2299" s="165"/>
    </row>
    <row r="2300" ht="18.75" customHeight="1">
      <c r="A2300" s="165">
        <v>2297.0</v>
      </c>
      <c r="B2300" s="182" t="s">
        <v>17741</v>
      </c>
      <c r="C2300" s="165"/>
      <c r="D2300" s="165"/>
      <c r="E2300" s="165"/>
      <c r="F2300" s="165"/>
      <c r="G2300" s="165"/>
      <c r="H2300" s="165"/>
      <c r="I2300" s="165"/>
      <c r="J2300" s="165"/>
      <c r="K2300" s="165"/>
      <c r="L2300" s="165"/>
      <c r="M2300" s="165"/>
      <c r="N2300" s="165"/>
      <c r="O2300" s="165"/>
      <c r="P2300" s="165"/>
      <c r="Q2300" s="165"/>
      <c r="R2300" s="165"/>
      <c r="S2300" s="165"/>
      <c r="T2300" s="165"/>
      <c r="U2300" s="165"/>
      <c r="V2300" s="165"/>
      <c r="W2300" s="165"/>
      <c r="X2300" s="165"/>
    </row>
    <row r="2301" ht="18.75" customHeight="1">
      <c r="A2301" s="165">
        <v>2298.0</v>
      </c>
      <c r="B2301" s="182" t="s">
        <v>17742</v>
      </c>
      <c r="C2301" s="165"/>
      <c r="D2301" s="165"/>
      <c r="E2301" s="165"/>
      <c r="F2301" s="165"/>
      <c r="G2301" s="165"/>
      <c r="H2301" s="165"/>
      <c r="I2301" s="165"/>
      <c r="J2301" s="165"/>
      <c r="K2301" s="165"/>
      <c r="L2301" s="165"/>
      <c r="M2301" s="165"/>
      <c r="N2301" s="165"/>
      <c r="O2301" s="165"/>
      <c r="P2301" s="165"/>
      <c r="Q2301" s="165"/>
      <c r="R2301" s="165"/>
      <c r="S2301" s="165"/>
      <c r="T2301" s="165"/>
      <c r="U2301" s="165"/>
      <c r="V2301" s="165"/>
      <c r="W2301" s="165"/>
      <c r="X2301" s="165"/>
    </row>
    <row r="2302" ht="18.75" customHeight="1">
      <c r="A2302" s="165">
        <v>2299.0</v>
      </c>
      <c r="B2302" s="165" t="s">
        <v>17743</v>
      </c>
      <c r="C2302" s="165"/>
      <c r="D2302" s="165"/>
      <c r="E2302" s="165"/>
      <c r="F2302" s="165"/>
      <c r="G2302" s="165"/>
      <c r="H2302" s="165"/>
      <c r="I2302" s="165"/>
      <c r="J2302" s="165"/>
      <c r="K2302" s="165"/>
      <c r="L2302" s="165"/>
      <c r="M2302" s="165"/>
      <c r="N2302" s="165"/>
      <c r="O2302" s="165"/>
      <c r="P2302" s="165"/>
      <c r="Q2302" s="165"/>
      <c r="R2302" s="165"/>
      <c r="S2302" s="165"/>
      <c r="T2302" s="165"/>
      <c r="U2302" s="165"/>
      <c r="V2302" s="165"/>
      <c r="W2302" s="165"/>
      <c r="X2302" s="165"/>
    </row>
    <row r="2303" ht="18.75" customHeight="1">
      <c r="A2303" s="165">
        <v>2300.0</v>
      </c>
      <c r="B2303" s="167" t="s">
        <v>17744</v>
      </c>
      <c r="C2303" s="165"/>
      <c r="D2303" s="165"/>
      <c r="E2303" s="165"/>
      <c r="F2303" s="165"/>
      <c r="G2303" s="165"/>
      <c r="H2303" s="165"/>
      <c r="I2303" s="165"/>
      <c r="J2303" s="165"/>
      <c r="K2303" s="165"/>
      <c r="L2303" s="165"/>
      <c r="M2303" s="165"/>
      <c r="N2303" s="165"/>
      <c r="O2303" s="165"/>
      <c r="P2303" s="165"/>
      <c r="Q2303" s="165"/>
      <c r="R2303" s="165"/>
      <c r="S2303" s="165"/>
      <c r="T2303" s="165"/>
      <c r="U2303" s="165"/>
      <c r="V2303" s="165"/>
      <c r="W2303" s="165"/>
      <c r="X2303" s="165"/>
    </row>
    <row r="2304" ht="18.75" customHeight="1">
      <c r="A2304" s="165">
        <v>2301.0</v>
      </c>
      <c r="B2304" s="168" t="s">
        <v>17745</v>
      </c>
      <c r="C2304" s="165"/>
      <c r="D2304" s="165"/>
      <c r="E2304" s="165"/>
      <c r="F2304" s="165"/>
      <c r="G2304" s="165"/>
      <c r="H2304" s="165"/>
      <c r="I2304" s="165"/>
      <c r="J2304" s="165"/>
      <c r="K2304" s="165"/>
      <c r="L2304" s="165"/>
      <c r="M2304" s="165"/>
      <c r="N2304" s="165"/>
      <c r="O2304" s="165"/>
      <c r="P2304" s="165"/>
      <c r="Q2304" s="165"/>
      <c r="R2304" s="165"/>
      <c r="S2304" s="165"/>
      <c r="T2304" s="165"/>
      <c r="U2304" s="165"/>
      <c r="V2304" s="165"/>
      <c r="W2304" s="165"/>
      <c r="X2304" s="165"/>
    </row>
    <row r="2305" ht="18.75" customHeight="1">
      <c r="A2305" s="165">
        <v>2302.0</v>
      </c>
      <c r="B2305" s="165" t="s">
        <v>17746</v>
      </c>
      <c r="C2305" s="165"/>
      <c r="D2305" s="165"/>
      <c r="E2305" s="165"/>
      <c r="F2305" s="165"/>
      <c r="G2305" s="165"/>
      <c r="H2305" s="165"/>
      <c r="I2305" s="165"/>
      <c r="J2305" s="165"/>
      <c r="K2305" s="165"/>
      <c r="L2305" s="165"/>
      <c r="M2305" s="165"/>
      <c r="N2305" s="165"/>
      <c r="O2305" s="165"/>
      <c r="P2305" s="165"/>
      <c r="Q2305" s="165"/>
      <c r="R2305" s="165"/>
      <c r="S2305" s="165"/>
      <c r="T2305" s="165"/>
      <c r="U2305" s="165"/>
      <c r="V2305" s="165"/>
      <c r="W2305" s="165"/>
      <c r="X2305" s="165"/>
    </row>
    <row r="2306" ht="18.75" customHeight="1">
      <c r="A2306" s="165">
        <v>2303.0</v>
      </c>
      <c r="B2306" s="165" t="s">
        <v>17747</v>
      </c>
      <c r="C2306" s="165"/>
      <c r="D2306" s="165"/>
      <c r="E2306" s="165"/>
      <c r="F2306" s="165"/>
      <c r="G2306" s="165"/>
      <c r="H2306" s="165"/>
      <c r="I2306" s="165"/>
      <c r="J2306" s="165"/>
      <c r="K2306" s="165"/>
      <c r="L2306" s="165"/>
      <c r="M2306" s="165"/>
      <c r="N2306" s="165"/>
      <c r="O2306" s="165"/>
      <c r="P2306" s="165"/>
      <c r="Q2306" s="165"/>
      <c r="R2306" s="165"/>
      <c r="S2306" s="165"/>
      <c r="T2306" s="165"/>
      <c r="U2306" s="165"/>
      <c r="V2306" s="165"/>
      <c r="W2306" s="165"/>
      <c r="X2306" s="165"/>
    </row>
    <row r="2307" ht="18.75" customHeight="1">
      <c r="A2307" s="165">
        <v>2304.0</v>
      </c>
      <c r="B2307" s="165" t="s">
        <v>17748</v>
      </c>
      <c r="C2307" s="165"/>
      <c r="D2307" s="165"/>
      <c r="E2307" s="165"/>
      <c r="F2307" s="165"/>
      <c r="G2307" s="165"/>
      <c r="H2307" s="165"/>
      <c r="I2307" s="165"/>
      <c r="J2307" s="165"/>
      <c r="K2307" s="165"/>
      <c r="L2307" s="165"/>
      <c r="M2307" s="165"/>
      <c r="N2307" s="165"/>
      <c r="O2307" s="165"/>
      <c r="P2307" s="165"/>
      <c r="Q2307" s="165"/>
      <c r="R2307" s="165"/>
      <c r="S2307" s="165"/>
      <c r="T2307" s="165"/>
      <c r="U2307" s="165"/>
      <c r="V2307" s="165"/>
      <c r="W2307" s="165"/>
      <c r="X2307" s="165"/>
    </row>
    <row r="2308" ht="18.75" customHeight="1">
      <c r="A2308" s="165">
        <v>2305.0</v>
      </c>
      <c r="B2308" s="165" t="s">
        <v>17749</v>
      </c>
      <c r="C2308" s="165"/>
      <c r="D2308" s="165"/>
      <c r="E2308" s="165"/>
      <c r="F2308" s="165"/>
      <c r="G2308" s="165"/>
      <c r="H2308" s="165"/>
      <c r="I2308" s="165"/>
      <c r="J2308" s="165"/>
      <c r="K2308" s="165"/>
      <c r="L2308" s="165"/>
      <c r="M2308" s="165"/>
      <c r="N2308" s="165"/>
      <c r="O2308" s="165"/>
      <c r="P2308" s="165"/>
      <c r="Q2308" s="165"/>
      <c r="R2308" s="165"/>
      <c r="S2308" s="165"/>
      <c r="T2308" s="165"/>
      <c r="U2308" s="165"/>
      <c r="V2308" s="165"/>
      <c r="W2308" s="165"/>
      <c r="X2308" s="165"/>
    </row>
    <row r="2309" ht="18.75" customHeight="1">
      <c r="A2309" s="165">
        <v>2306.0</v>
      </c>
      <c r="B2309" s="165" t="s">
        <v>17750</v>
      </c>
      <c r="C2309" s="165"/>
      <c r="D2309" s="165"/>
      <c r="E2309" s="165"/>
      <c r="F2309" s="165"/>
      <c r="G2309" s="165"/>
      <c r="H2309" s="165"/>
      <c r="I2309" s="165"/>
      <c r="J2309" s="165"/>
      <c r="K2309" s="165"/>
      <c r="L2309" s="165"/>
      <c r="M2309" s="165"/>
      <c r="N2309" s="165"/>
      <c r="O2309" s="165"/>
      <c r="P2309" s="165"/>
      <c r="Q2309" s="165"/>
      <c r="R2309" s="165"/>
      <c r="S2309" s="165"/>
      <c r="T2309" s="165"/>
      <c r="U2309" s="165"/>
      <c r="V2309" s="165"/>
      <c r="W2309" s="165"/>
      <c r="X2309" s="165"/>
    </row>
    <row r="2310" ht="18.75" customHeight="1">
      <c r="A2310" s="165">
        <v>2307.0</v>
      </c>
      <c r="B2310" s="165" t="s">
        <v>17751</v>
      </c>
      <c r="C2310" s="165"/>
      <c r="D2310" s="165"/>
      <c r="E2310" s="165"/>
      <c r="F2310" s="165"/>
      <c r="G2310" s="165"/>
      <c r="H2310" s="165"/>
      <c r="I2310" s="165"/>
      <c r="J2310" s="165"/>
      <c r="K2310" s="165"/>
      <c r="L2310" s="165"/>
      <c r="M2310" s="165"/>
      <c r="N2310" s="165"/>
      <c r="O2310" s="165"/>
      <c r="P2310" s="165"/>
      <c r="Q2310" s="165"/>
      <c r="R2310" s="165"/>
      <c r="S2310" s="165"/>
      <c r="T2310" s="165"/>
      <c r="U2310" s="165"/>
      <c r="V2310" s="165"/>
      <c r="W2310" s="165"/>
      <c r="X2310" s="165"/>
    </row>
    <row r="2311" ht="18.75" customHeight="1">
      <c r="A2311" s="165">
        <v>2308.0</v>
      </c>
      <c r="B2311" s="165" t="s">
        <v>17752</v>
      </c>
      <c r="C2311" s="165"/>
      <c r="D2311" s="165"/>
      <c r="E2311" s="165"/>
      <c r="F2311" s="165"/>
      <c r="G2311" s="165"/>
      <c r="H2311" s="165"/>
      <c r="I2311" s="165"/>
      <c r="J2311" s="165"/>
      <c r="K2311" s="165"/>
      <c r="L2311" s="165"/>
      <c r="M2311" s="165"/>
      <c r="N2311" s="165"/>
      <c r="O2311" s="165"/>
      <c r="P2311" s="165"/>
      <c r="Q2311" s="165"/>
      <c r="R2311" s="165"/>
      <c r="S2311" s="165"/>
      <c r="T2311" s="165"/>
      <c r="U2311" s="165"/>
      <c r="V2311" s="165"/>
      <c r="W2311" s="165"/>
      <c r="X2311" s="165"/>
    </row>
    <row r="2312" ht="18.75" customHeight="1">
      <c r="A2312" s="165">
        <v>2309.0</v>
      </c>
      <c r="B2312" s="165" t="s">
        <v>17753</v>
      </c>
      <c r="C2312" s="165"/>
      <c r="D2312" s="165"/>
      <c r="E2312" s="165"/>
      <c r="F2312" s="165"/>
      <c r="G2312" s="165"/>
      <c r="H2312" s="165"/>
      <c r="I2312" s="165"/>
      <c r="J2312" s="165"/>
      <c r="K2312" s="165"/>
      <c r="L2312" s="165"/>
      <c r="M2312" s="165"/>
      <c r="N2312" s="165"/>
      <c r="O2312" s="165"/>
      <c r="P2312" s="165"/>
      <c r="Q2312" s="165"/>
      <c r="R2312" s="165"/>
      <c r="S2312" s="165"/>
      <c r="T2312" s="165"/>
      <c r="U2312" s="165"/>
      <c r="V2312" s="165"/>
      <c r="W2312" s="165"/>
      <c r="X2312" s="165"/>
    </row>
    <row r="2313" ht="18.75" customHeight="1">
      <c r="A2313" s="165">
        <v>2310.0</v>
      </c>
      <c r="B2313" s="165" t="s">
        <v>17754</v>
      </c>
      <c r="C2313" s="165"/>
      <c r="D2313" s="165"/>
      <c r="E2313" s="165"/>
      <c r="F2313" s="165"/>
      <c r="G2313" s="165"/>
      <c r="H2313" s="165"/>
      <c r="I2313" s="165"/>
      <c r="J2313" s="165"/>
      <c r="K2313" s="165"/>
      <c r="L2313" s="165"/>
      <c r="M2313" s="165"/>
      <c r="N2313" s="165"/>
      <c r="O2313" s="165"/>
      <c r="P2313" s="165"/>
      <c r="Q2313" s="165"/>
      <c r="R2313" s="165"/>
      <c r="S2313" s="165"/>
      <c r="T2313" s="165"/>
      <c r="U2313" s="165"/>
      <c r="V2313" s="165"/>
      <c r="W2313" s="165"/>
      <c r="X2313" s="165"/>
    </row>
    <row r="2314" ht="18.75" customHeight="1">
      <c r="A2314" s="165">
        <v>2311.0</v>
      </c>
      <c r="B2314" s="165" t="s">
        <v>17755</v>
      </c>
      <c r="C2314" s="165"/>
      <c r="D2314" s="165"/>
      <c r="E2314" s="165"/>
      <c r="F2314" s="165"/>
      <c r="G2314" s="165"/>
      <c r="H2314" s="165"/>
      <c r="I2314" s="165"/>
      <c r="J2314" s="165"/>
      <c r="K2314" s="165"/>
      <c r="L2314" s="165"/>
      <c r="M2314" s="165"/>
      <c r="N2314" s="165"/>
      <c r="O2314" s="165"/>
      <c r="P2314" s="165"/>
      <c r="Q2314" s="165"/>
      <c r="R2314" s="165"/>
      <c r="S2314" s="165"/>
      <c r="T2314" s="165"/>
      <c r="U2314" s="165"/>
      <c r="V2314" s="165"/>
      <c r="W2314" s="165"/>
      <c r="X2314" s="165"/>
    </row>
    <row r="2315" ht="18.75" customHeight="1">
      <c r="A2315" s="165">
        <v>2312.0</v>
      </c>
      <c r="B2315" s="165" t="s">
        <v>17756</v>
      </c>
      <c r="C2315" s="165"/>
      <c r="D2315" s="165"/>
      <c r="E2315" s="165"/>
      <c r="F2315" s="165"/>
      <c r="G2315" s="165"/>
      <c r="H2315" s="165"/>
      <c r="I2315" s="165"/>
      <c r="J2315" s="165"/>
      <c r="K2315" s="165"/>
      <c r="L2315" s="165"/>
      <c r="M2315" s="165"/>
      <c r="N2315" s="165"/>
      <c r="O2315" s="165"/>
      <c r="P2315" s="165"/>
      <c r="Q2315" s="165"/>
      <c r="R2315" s="165"/>
      <c r="S2315" s="165"/>
      <c r="T2315" s="165"/>
      <c r="U2315" s="165"/>
      <c r="V2315" s="165"/>
      <c r="W2315" s="165"/>
      <c r="X2315" s="165"/>
    </row>
    <row r="2316" ht="18.75" customHeight="1">
      <c r="A2316" s="165">
        <v>2313.0</v>
      </c>
      <c r="B2316" s="167" t="s">
        <v>17757</v>
      </c>
      <c r="C2316" s="165"/>
      <c r="D2316" s="165"/>
      <c r="E2316" s="165"/>
      <c r="F2316" s="165"/>
      <c r="G2316" s="165"/>
      <c r="H2316" s="165"/>
      <c r="I2316" s="165"/>
      <c r="J2316" s="165"/>
      <c r="K2316" s="165"/>
      <c r="L2316" s="165"/>
      <c r="M2316" s="165"/>
      <c r="N2316" s="165"/>
      <c r="O2316" s="165"/>
      <c r="P2316" s="165"/>
      <c r="Q2316" s="165"/>
      <c r="R2316" s="165"/>
      <c r="S2316" s="165"/>
      <c r="T2316" s="165"/>
      <c r="U2316" s="165"/>
      <c r="V2316" s="165"/>
      <c r="W2316" s="165"/>
      <c r="X2316" s="165"/>
    </row>
    <row r="2317" ht="18.75" customHeight="1">
      <c r="A2317" s="165">
        <v>2314.0</v>
      </c>
      <c r="B2317" s="165" t="s">
        <v>17758</v>
      </c>
      <c r="C2317" s="165"/>
      <c r="D2317" s="165"/>
      <c r="E2317" s="165"/>
      <c r="F2317" s="165"/>
      <c r="G2317" s="165"/>
      <c r="H2317" s="165"/>
      <c r="I2317" s="165"/>
      <c r="J2317" s="165"/>
      <c r="K2317" s="165"/>
      <c r="L2317" s="165"/>
      <c r="M2317" s="165"/>
      <c r="N2317" s="165"/>
      <c r="O2317" s="165"/>
      <c r="P2317" s="165"/>
      <c r="Q2317" s="165"/>
      <c r="R2317" s="165"/>
      <c r="S2317" s="165"/>
      <c r="T2317" s="165"/>
      <c r="U2317" s="165"/>
      <c r="V2317" s="165"/>
      <c r="W2317" s="165"/>
      <c r="X2317" s="165"/>
    </row>
    <row r="2318" ht="18.75" customHeight="1">
      <c r="A2318" s="165">
        <v>2315.0</v>
      </c>
      <c r="B2318" s="165" t="s">
        <v>17759</v>
      </c>
      <c r="C2318" s="165"/>
      <c r="D2318" s="165"/>
      <c r="E2318" s="165"/>
      <c r="F2318" s="165"/>
      <c r="G2318" s="165"/>
      <c r="H2318" s="165"/>
      <c r="I2318" s="165"/>
      <c r="J2318" s="165"/>
      <c r="K2318" s="165"/>
      <c r="L2318" s="165"/>
      <c r="M2318" s="165"/>
      <c r="N2318" s="165"/>
      <c r="O2318" s="165"/>
      <c r="P2318" s="165"/>
      <c r="Q2318" s="165"/>
      <c r="R2318" s="165"/>
      <c r="S2318" s="165"/>
      <c r="T2318" s="165"/>
      <c r="U2318" s="165"/>
      <c r="V2318" s="165"/>
      <c r="W2318" s="165"/>
      <c r="X2318" s="165"/>
    </row>
    <row r="2319" ht="18.75" customHeight="1">
      <c r="A2319" s="165">
        <v>2316.0</v>
      </c>
      <c r="B2319" s="165" t="s">
        <v>17760</v>
      </c>
      <c r="C2319" s="165"/>
      <c r="D2319" s="165"/>
      <c r="E2319" s="165"/>
      <c r="F2319" s="165"/>
      <c r="G2319" s="165"/>
      <c r="H2319" s="165"/>
      <c r="I2319" s="165"/>
      <c r="J2319" s="165"/>
      <c r="K2319" s="165"/>
      <c r="L2319" s="165"/>
      <c r="M2319" s="165"/>
      <c r="N2319" s="165"/>
      <c r="O2319" s="165"/>
      <c r="P2319" s="165"/>
      <c r="Q2319" s="165"/>
      <c r="R2319" s="165"/>
      <c r="S2319" s="165"/>
      <c r="T2319" s="165"/>
      <c r="U2319" s="165"/>
      <c r="V2319" s="165"/>
      <c r="W2319" s="165"/>
      <c r="X2319" s="165"/>
    </row>
    <row r="2320" ht="18.75" customHeight="1">
      <c r="A2320" s="165">
        <v>2317.0</v>
      </c>
      <c r="B2320" s="165" t="s">
        <v>17761</v>
      </c>
      <c r="C2320" s="165"/>
      <c r="D2320" s="165"/>
      <c r="E2320" s="165"/>
      <c r="F2320" s="165"/>
      <c r="G2320" s="165"/>
      <c r="H2320" s="165"/>
      <c r="I2320" s="165"/>
      <c r="J2320" s="165"/>
      <c r="K2320" s="165"/>
      <c r="L2320" s="165"/>
      <c r="M2320" s="165"/>
      <c r="N2320" s="165"/>
      <c r="O2320" s="165"/>
      <c r="P2320" s="165"/>
      <c r="Q2320" s="165"/>
      <c r="R2320" s="165"/>
      <c r="S2320" s="165"/>
      <c r="T2320" s="165"/>
      <c r="U2320" s="165"/>
      <c r="V2320" s="165"/>
      <c r="W2320" s="165"/>
      <c r="X2320" s="165"/>
    </row>
    <row r="2321" ht="18.75" customHeight="1">
      <c r="A2321" s="165">
        <v>2318.0</v>
      </c>
      <c r="B2321" s="165" t="s">
        <v>17762</v>
      </c>
      <c r="C2321" s="165"/>
      <c r="D2321" s="165"/>
      <c r="E2321" s="165"/>
      <c r="F2321" s="165"/>
      <c r="G2321" s="165"/>
      <c r="H2321" s="165"/>
      <c r="I2321" s="165"/>
      <c r="J2321" s="165"/>
      <c r="K2321" s="165"/>
      <c r="L2321" s="165"/>
      <c r="M2321" s="165"/>
      <c r="N2321" s="165"/>
      <c r="O2321" s="165"/>
      <c r="P2321" s="165"/>
      <c r="Q2321" s="165"/>
      <c r="R2321" s="165"/>
      <c r="S2321" s="165"/>
      <c r="T2321" s="165"/>
      <c r="U2321" s="165"/>
      <c r="V2321" s="165"/>
      <c r="W2321" s="165"/>
      <c r="X2321" s="165"/>
    </row>
    <row r="2322" ht="18.75" customHeight="1">
      <c r="A2322" s="165">
        <v>2319.0</v>
      </c>
      <c r="B2322" s="165" t="s">
        <v>17763</v>
      </c>
      <c r="C2322" s="165"/>
      <c r="D2322" s="165"/>
      <c r="E2322" s="165"/>
      <c r="F2322" s="165"/>
      <c r="G2322" s="165"/>
      <c r="H2322" s="165"/>
      <c r="I2322" s="165"/>
      <c r="J2322" s="165"/>
      <c r="K2322" s="165"/>
      <c r="L2322" s="165"/>
      <c r="M2322" s="165"/>
      <c r="N2322" s="165"/>
      <c r="O2322" s="165"/>
      <c r="P2322" s="165"/>
      <c r="Q2322" s="165"/>
      <c r="R2322" s="165"/>
      <c r="S2322" s="165"/>
      <c r="T2322" s="165"/>
      <c r="U2322" s="165"/>
      <c r="V2322" s="165"/>
      <c r="W2322" s="165"/>
      <c r="X2322" s="165"/>
    </row>
    <row r="2323" ht="18.75" customHeight="1">
      <c r="A2323" s="165">
        <v>2320.0</v>
      </c>
      <c r="B2323" s="165" t="s">
        <v>17764</v>
      </c>
      <c r="C2323" s="165"/>
      <c r="D2323" s="165"/>
      <c r="E2323" s="165"/>
      <c r="F2323" s="165"/>
      <c r="G2323" s="165"/>
      <c r="H2323" s="165"/>
      <c r="I2323" s="165"/>
      <c r="J2323" s="165"/>
      <c r="K2323" s="165"/>
      <c r="L2323" s="165"/>
      <c r="M2323" s="165"/>
      <c r="N2323" s="165"/>
      <c r="O2323" s="165"/>
      <c r="P2323" s="165"/>
      <c r="Q2323" s="165"/>
      <c r="R2323" s="165"/>
      <c r="S2323" s="165"/>
      <c r="T2323" s="165"/>
      <c r="U2323" s="165"/>
      <c r="V2323" s="165"/>
      <c r="W2323" s="165"/>
      <c r="X2323" s="165"/>
    </row>
    <row r="2324" ht="18.75" customHeight="1">
      <c r="A2324" s="165">
        <v>2321.0</v>
      </c>
      <c r="B2324" s="167" t="s">
        <v>17765</v>
      </c>
      <c r="C2324" s="165"/>
      <c r="D2324" s="165"/>
      <c r="E2324" s="165"/>
      <c r="F2324" s="165"/>
      <c r="G2324" s="165"/>
      <c r="H2324" s="165"/>
      <c r="I2324" s="165"/>
      <c r="J2324" s="165"/>
      <c r="K2324" s="165"/>
      <c r="L2324" s="165"/>
      <c r="M2324" s="165"/>
      <c r="N2324" s="165"/>
      <c r="O2324" s="165"/>
      <c r="P2324" s="165"/>
      <c r="Q2324" s="165"/>
      <c r="R2324" s="165"/>
      <c r="S2324" s="165"/>
      <c r="T2324" s="165"/>
      <c r="U2324" s="165"/>
      <c r="V2324" s="165"/>
      <c r="W2324" s="165"/>
      <c r="X2324" s="165"/>
    </row>
    <row r="2325" ht="18.75" customHeight="1">
      <c r="A2325" s="165">
        <v>2322.0</v>
      </c>
      <c r="B2325" s="167" t="s">
        <v>17766</v>
      </c>
      <c r="C2325" s="165"/>
      <c r="D2325" s="165"/>
      <c r="E2325" s="165"/>
      <c r="F2325" s="165"/>
      <c r="G2325" s="165"/>
      <c r="H2325" s="165"/>
      <c r="I2325" s="165"/>
      <c r="J2325" s="165"/>
      <c r="K2325" s="165"/>
      <c r="L2325" s="165"/>
      <c r="M2325" s="165"/>
      <c r="N2325" s="165"/>
      <c r="O2325" s="165"/>
      <c r="P2325" s="165"/>
      <c r="Q2325" s="165"/>
      <c r="R2325" s="165"/>
      <c r="S2325" s="165"/>
      <c r="T2325" s="165"/>
      <c r="U2325" s="165"/>
      <c r="V2325" s="165"/>
      <c r="W2325" s="165"/>
      <c r="X2325" s="165"/>
    </row>
    <row r="2326" ht="18.75" customHeight="1">
      <c r="A2326" s="165">
        <v>2323.0</v>
      </c>
      <c r="B2326" s="167" t="s">
        <v>17767</v>
      </c>
      <c r="C2326" s="165"/>
      <c r="D2326" s="165"/>
      <c r="E2326" s="165"/>
      <c r="F2326" s="165"/>
      <c r="G2326" s="165"/>
      <c r="H2326" s="165"/>
      <c r="I2326" s="165"/>
      <c r="J2326" s="165"/>
      <c r="K2326" s="165"/>
      <c r="L2326" s="165"/>
      <c r="M2326" s="165"/>
      <c r="N2326" s="165"/>
      <c r="O2326" s="165"/>
      <c r="P2326" s="165"/>
      <c r="Q2326" s="165"/>
      <c r="R2326" s="165"/>
      <c r="S2326" s="165"/>
      <c r="T2326" s="165"/>
      <c r="U2326" s="165"/>
      <c r="V2326" s="165"/>
      <c r="W2326" s="165"/>
      <c r="X2326" s="165"/>
    </row>
    <row r="2327" ht="18.75" customHeight="1">
      <c r="A2327" s="165">
        <v>2324.0</v>
      </c>
      <c r="B2327" s="165" t="s">
        <v>17768</v>
      </c>
      <c r="C2327" s="165"/>
      <c r="D2327" s="165"/>
      <c r="E2327" s="165"/>
      <c r="F2327" s="165"/>
      <c r="G2327" s="165"/>
      <c r="H2327" s="165"/>
      <c r="I2327" s="165"/>
      <c r="J2327" s="165"/>
      <c r="K2327" s="165"/>
      <c r="L2327" s="165"/>
      <c r="M2327" s="165"/>
      <c r="N2327" s="165"/>
      <c r="O2327" s="165"/>
      <c r="P2327" s="165"/>
      <c r="Q2327" s="165"/>
      <c r="R2327" s="165"/>
      <c r="S2327" s="165"/>
      <c r="T2327" s="165"/>
      <c r="U2327" s="165"/>
      <c r="V2327" s="165"/>
      <c r="W2327" s="165"/>
      <c r="X2327" s="165"/>
    </row>
    <row r="2328" ht="18.75" customHeight="1">
      <c r="A2328" s="165">
        <v>2325.0</v>
      </c>
      <c r="B2328" s="165" t="s">
        <v>17769</v>
      </c>
      <c r="C2328" s="165"/>
      <c r="D2328" s="165"/>
      <c r="E2328" s="165"/>
      <c r="F2328" s="165"/>
      <c r="G2328" s="165"/>
      <c r="H2328" s="165"/>
      <c r="I2328" s="165"/>
      <c r="J2328" s="165"/>
      <c r="K2328" s="165"/>
      <c r="L2328" s="165"/>
      <c r="M2328" s="165"/>
      <c r="N2328" s="165"/>
      <c r="O2328" s="165"/>
      <c r="P2328" s="165"/>
      <c r="Q2328" s="165"/>
      <c r="R2328" s="165"/>
      <c r="S2328" s="165"/>
      <c r="T2328" s="165"/>
      <c r="U2328" s="165"/>
      <c r="V2328" s="165"/>
      <c r="W2328" s="165"/>
      <c r="X2328" s="165"/>
    </row>
    <row r="2329" ht="18.75" customHeight="1">
      <c r="A2329" s="165">
        <v>2326.0</v>
      </c>
      <c r="B2329" s="165" t="s">
        <v>17770</v>
      </c>
      <c r="C2329" s="165"/>
      <c r="D2329" s="165"/>
      <c r="E2329" s="165"/>
      <c r="F2329" s="165"/>
      <c r="G2329" s="165"/>
      <c r="H2329" s="165"/>
      <c r="I2329" s="165"/>
      <c r="J2329" s="165"/>
      <c r="K2329" s="165"/>
      <c r="L2329" s="165"/>
      <c r="M2329" s="165"/>
      <c r="N2329" s="165"/>
      <c r="O2329" s="165"/>
      <c r="P2329" s="165"/>
      <c r="Q2329" s="165"/>
      <c r="R2329" s="165"/>
      <c r="S2329" s="165"/>
      <c r="T2329" s="165"/>
      <c r="U2329" s="165"/>
      <c r="V2329" s="165"/>
      <c r="W2329" s="165"/>
      <c r="X2329" s="165"/>
    </row>
    <row r="2330" ht="18.75" customHeight="1">
      <c r="A2330" s="165">
        <v>2327.0</v>
      </c>
      <c r="B2330" s="167" t="s">
        <v>17771</v>
      </c>
      <c r="C2330" s="165"/>
      <c r="D2330" s="165"/>
      <c r="E2330" s="165"/>
      <c r="F2330" s="165"/>
      <c r="G2330" s="165"/>
      <c r="H2330" s="165"/>
      <c r="I2330" s="165"/>
      <c r="J2330" s="165"/>
      <c r="K2330" s="165"/>
      <c r="L2330" s="165"/>
      <c r="M2330" s="165"/>
      <c r="N2330" s="165"/>
      <c r="O2330" s="165"/>
      <c r="P2330" s="165"/>
      <c r="Q2330" s="165"/>
      <c r="R2330" s="165"/>
      <c r="S2330" s="165"/>
      <c r="T2330" s="165"/>
      <c r="U2330" s="165"/>
      <c r="V2330" s="165"/>
      <c r="W2330" s="165"/>
      <c r="X2330" s="165"/>
    </row>
    <row r="2331" ht="18.75" customHeight="1">
      <c r="A2331" s="165">
        <v>2328.0</v>
      </c>
      <c r="B2331" s="165" t="s">
        <v>17772</v>
      </c>
      <c r="C2331" s="165"/>
      <c r="D2331" s="165"/>
      <c r="E2331" s="165"/>
      <c r="F2331" s="165"/>
      <c r="G2331" s="165"/>
      <c r="H2331" s="165"/>
      <c r="I2331" s="165"/>
      <c r="J2331" s="165"/>
      <c r="K2331" s="165"/>
      <c r="L2331" s="165"/>
      <c r="M2331" s="165"/>
      <c r="N2331" s="165"/>
      <c r="O2331" s="165"/>
      <c r="P2331" s="165"/>
      <c r="Q2331" s="165"/>
      <c r="R2331" s="165"/>
      <c r="S2331" s="165"/>
      <c r="T2331" s="165"/>
      <c r="U2331" s="165"/>
      <c r="V2331" s="165"/>
      <c r="W2331" s="165"/>
      <c r="X2331" s="165"/>
    </row>
    <row r="2332" ht="18.75" customHeight="1">
      <c r="A2332" s="165">
        <v>2329.0</v>
      </c>
      <c r="B2332" s="165" t="s">
        <v>17773</v>
      </c>
      <c r="C2332" s="165"/>
      <c r="D2332" s="165"/>
      <c r="E2332" s="165"/>
      <c r="F2332" s="165"/>
      <c r="G2332" s="165"/>
      <c r="H2332" s="165"/>
      <c r="I2332" s="165"/>
      <c r="J2332" s="165"/>
      <c r="K2332" s="165"/>
      <c r="L2332" s="165"/>
      <c r="M2332" s="165"/>
      <c r="N2332" s="165"/>
      <c r="O2332" s="165"/>
      <c r="P2332" s="165"/>
      <c r="Q2332" s="165"/>
      <c r="R2332" s="165"/>
      <c r="S2332" s="165"/>
      <c r="T2332" s="165"/>
      <c r="U2332" s="165"/>
      <c r="V2332" s="165"/>
      <c r="W2332" s="165"/>
      <c r="X2332" s="165"/>
    </row>
    <row r="2333" ht="18.75" customHeight="1">
      <c r="A2333" s="165">
        <v>2330.0</v>
      </c>
      <c r="B2333" s="165" t="s">
        <v>17774</v>
      </c>
      <c r="C2333" s="165"/>
      <c r="D2333" s="165"/>
      <c r="E2333" s="165"/>
      <c r="F2333" s="165"/>
      <c r="G2333" s="165"/>
      <c r="H2333" s="165"/>
      <c r="I2333" s="165"/>
      <c r="J2333" s="165"/>
      <c r="K2333" s="165"/>
      <c r="L2333" s="165"/>
      <c r="M2333" s="165"/>
      <c r="N2333" s="165"/>
      <c r="O2333" s="165"/>
      <c r="P2333" s="165"/>
      <c r="Q2333" s="165"/>
      <c r="R2333" s="165"/>
      <c r="S2333" s="165"/>
      <c r="T2333" s="165"/>
      <c r="U2333" s="165"/>
      <c r="V2333" s="165"/>
      <c r="W2333" s="165"/>
      <c r="X2333" s="165"/>
    </row>
    <row r="2334" ht="18.75" customHeight="1">
      <c r="A2334" s="165">
        <v>2331.0</v>
      </c>
      <c r="B2334" s="165" t="s">
        <v>17775</v>
      </c>
      <c r="C2334" s="165"/>
      <c r="D2334" s="165"/>
      <c r="E2334" s="165"/>
      <c r="F2334" s="165"/>
      <c r="G2334" s="165"/>
      <c r="H2334" s="165"/>
      <c r="I2334" s="165"/>
      <c r="J2334" s="165"/>
      <c r="K2334" s="165"/>
      <c r="L2334" s="165"/>
      <c r="M2334" s="165"/>
      <c r="N2334" s="165"/>
      <c r="O2334" s="165"/>
      <c r="P2334" s="165"/>
      <c r="Q2334" s="165"/>
      <c r="R2334" s="165"/>
      <c r="S2334" s="165"/>
      <c r="T2334" s="165"/>
      <c r="U2334" s="165"/>
      <c r="V2334" s="165"/>
      <c r="W2334" s="165"/>
      <c r="X2334" s="165"/>
    </row>
    <row r="2335" ht="18.75" customHeight="1">
      <c r="A2335" s="165">
        <v>2332.0</v>
      </c>
      <c r="B2335" s="165" t="s">
        <v>17776</v>
      </c>
      <c r="C2335" s="165"/>
      <c r="D2335" s="165"/>
      <c r="E2335" s="165"/>
      <c r="F2335" s="165"/>
      <c r="G2335" s="165"/>
      <c r="H2335" s="165"/>
      <c r="I2335" s="165"/>
      <c r="J2335" s="165"/>
      <c r="K2335" s="165"/>
      <c r="L2335" s="165"/>
      <c r="M2335" s="165"/>
      <c r="N2335" s="165"/>
      <c r="O2335" s="165"/>
      <c r="P2335" s="165"/>
      <c r="Q2335" s="165"/>
      <c r="R2335" s="165"/>
      <c r="S2335" s="165"/>
      <c r="T2335" s="165"/>
      <c r="U2335" s="165"/>
      <c r="V2335" s="165"/>
      <c r="W2335" s="165"/>
      <c r="X2335" s="165"/>
    </row>
    <row r="2336" ht="18.75" customHeight="1">
      <c r="A2336" s="165">
        <v>2333.0</v>
      </c>
      <c r="B2336" s="165" t="s">
        <v>17777</v>
      </c>
      <c r="C2336" s="165"/>
      <c r="D2336" s="165"/>
      <c r="E2336" s="165"/>
      <c r="F2336" s="165"/>
      <c r="G2336" s="165"/>
      <c r="H2336" s="165"/>
      <c r="I2336" s="165"/>
      <c r="J2336" s="165"/>
      <c r="K2336" s="165"/>
      <c r="L2336" s="165"/>
      <c r="M2336" s="165"/>
      <c r="N2336" s="165"/>
      <c r="O2336" s="165"/>
      <c r="P2336" s="165"/>
      <c r="Q2336" s="165"/>
      <c r="R2336" s="165"/>
      <c r="S2336" s="165"/>
      <c r="T2336" s="165"/>
      <c r="U2336" s="165"/>
      <c r="V2336" s="165"/>
      <c r="W2336" s="165"/>
      <c r="X2336" s="165"/>
    </row>
    <row r="2337" ht="18.75" customHeight="1">
      <c r="A2337" s="165">
        <v>2334.0</v>
      </c>
      <c r="B2337" s="165" t="s">
        <v>17778</v>
      </c>
      <c r="C2337" s="165"/>
      <c r="D2337" s="165"/>
      <c r="E2337" s="165"/>
      <c r="F2337" s="165"/>
      <c r="G2337" s="165"/>
      <c r="H2337" s="165"/>
      <c r="I2337" s="165"/>
      <c r="J2337" s="165"/>
      <c r="K2337" s="165"/>
      <c r="L2337" s="165"/>
      <c r="M2337" s="165"/>
      <c r="N2337" s="165"/>
      <c r="O2337" s="165"/>
      <c r="P2337" s="165"/>
      <c r="Q2337" s="165"/>
      <c r="R2337" s="165"/>
      <c r="S2337" s="165"/>
      <c r="T2337" s="165"/>
      <c r="U2337" s="165"/>
      <c r="V2337" s="165"/>
      <c r="W2337" s="165"/>
      <c r="X2337" s="165"/>
    </row>
    <row r="2338" ht="18.75" customHeight="1">
      <c r="A2338" s="165">
        <v>2335.0</v>
      </c>
      <c r="B2338" s="165" t="s">
        <v>17779</v>
      </c>
      <c r="C2338" s="165"/>
      <c r="D2338" s="165"/>
      <c r="E2338" s="165"/>
      <c r="F2338" s="165"/>
      <c r="G2338" s="165"/>
      <c r="H2338" s="165"/>
      <c r="I2338" s="165"/>
      <c r="J2338" s="165"/>
      <c r="K2338" s="165"/>
      <c r="L2338" s="165"/>
      <c r="M2338" s="165"/>
      <c r="N2338" s="165"/>
      <c r="O2338" s="165"/>
      <c r="P2338" s="165"/>
      <c r="Q2338" s="165"/>
      <c r="R2338" s="165"/>
      <c r="S2338" s="165"/>
      <c r="T2338" s="165"/>
      <c r="U2338" s="165"/>
      <c r="V2338" s="165"/>
      <c r="W2338" s="165"/>
      <c r="X2338" s="165"/>
    </row>
    <row r="2339" ht="18.75" customHeight="1">
      <c r="A2339" s="165">
        <v>2336.0</v>
      </c>
      <c r="B2339" s="165" t="s">
        <v>17780</v>
      </c>
      <c r="C2339" s="165"/>
      <c r="D2339" s="165"/>
      <c r="E2339" s="165"/>
      <c r="F2339" s="165"/>
      <c r="G2339" s="165"/>
      <c r="H2339" s="165"/>
      <c r="I2339" s="165"/>
      <c r="J2339" s="165"/>
      <c r="K2339" s="165"/>
      <c r="L2339" s="165"/>
      <c r="M2339" s="165"/>
      <c r="N2339" s="165"/>
      <c r="O2339" s="165"/>
      <c r="P2339" s="165"/>
      <c r="Q2339" s="165"/>
      <c r="R2339" s="165"/>
      <c r="S2339" s="165"/>
      <c r="T2339" s="165"/>
      <c r="U2339" s="165"/>
      <c r="V2339" s="165"/>
      <c r="W2339" s="165"/>
      <c r="X2339" s="165"/>
    </row>
    <row r="2340" ht="18.75" customHeight="1">
      <c r="A2340" s="165">
        <v>2337.0</v>
      </c>
      <c r="B2340" s="168" t="s">
        <v>17781</v>
      </c>
      <c r="C2340" s="165"/>
      <c r="D2340" s="165"/>
      <c r="E2340" s="165"/>
      <c r="F2340" s="165"/>
      <c r="G2340" s="165"/>
      <c r="H2340" s="165"/>
      <c r="I2340" s="165"/>
      <c r="J2340" s="165"/>
      <c r="K2340" s="165"/>
      <c r="L2340" s="165"/>
      <c r="M2340" s="165"/>
      <c r="N2340" s="165"/>
      <c r="O2340" s="165"/>
      <c r="P2340" s="165"/>
      <c r="Q2340" s="165"/>
      <c r="R2340" s="165"/>
      <c r="S2340" s="165"/>
      <c r="T2340" s="165"/>
      <c r="U2340" s="165"/>
      <c r="V2340" s="165"/>
      <c r="W2340" s="165"/>
      <c r="X2340" s="165"/>
    </row>
    <row r="2341" ht="18.75" customHeight="1">
      <c r="A2341" s="165">
        <v>2338.0</v>
      </c>
      <c r="B2341" s="165" t="s">
        <v>17782</v>
      </c>
      <c r="C2341" s="165"/>
      <c r="D2341" s="165"/>
      <c r="E2341" s="165"/>
      <c r="F2341" s="165"/>
      <c r="G2341" s="165"/>
      <c r="H2341" s="165"/>
      <c r="I2341" s="165"/>
      <c r="J2341" s="165"/>
      <c r="K2341" s="165"/>
      <c r="L2341" s="165"/>
      <c r="M2341" s="165"/>
      <c r="N2341" s="165"/>
      <c r="O2341" s="165"/>
      <c r="P2341" s="165"/>
      <c r="Q2341" s="165"/>
      <c r="R2341" s="165"/>
      <c r="S2341" s="165"/>
      <c r="T2341" s="165"/>
      <c r="U2341" s="165"/>
      <c r="V2341" s="165"/>
      <c r="W2341" s="165"/>
      <c r="X2341" s="165"/>
    </row>
    <row r="2342" ht="18.75" customHeight="1">
      <c r="A2342" s="165">
        <v>2339.0</v>
      </c>
      <c r="B2342" s="165" t="s">
        <v>17783</v>
      </c>
      <c r="C2342" s="165"/>
      <c r="D2342" s="165"/>
      <c r="E2342" s="165"/>
      <c r="F2342" s="165"/>
      <c r="G2342" s="165"/>
      <c r="H2342" s="165"/>
      <c r="I2342" s="165"/>
      <c r="J2342" s="165"/>
      <c r="K2342" s="165"/>
      <c r="L2342" s="165"/>
      <c r="M2342" s="165"/>
      <c r="N2342" s="165"/>
      <c r="O2342" s="165"/>
      <c r="P2342" s="165"/>
      <c r="Q2342" s="165"/>
      <c r="R2342" s="165"/>
      <c r="S2342" s="165"/>
      <c r="T2342" s="165"/>
      <c r="U2342" s="165"/>
      <c r="V2342" s="165"/>
      <c r="W2342" s="165"/>
      <c r="X2342" s="165"/>
    </row>
    <row r="2343" ht="18.75" customHeight="1">
      <c r="A2343" s="165">
        <v>2340.0</v>
      </c>
      <c r="B2343" s="165" t="s">
        <v>17784</v>
      </c>
      <c r="C2343" s="165"/>
      <c r="D2343" s="165"/>
      <c r="E2343" s="165"/>
      <c r="F2343" s="165"/>
      <c r="G2343" s="165"/>
      <c r="H2343" s="165"/>
      <c r="I2343" s="165"/>
      <c r="J2343" s="165"/>
      <c r="K2343" s="165"/>
      <c r="L2343" s="165"/>
      <c r="M2343" s="165"/>
      <c r="N2343" s="165"/>
      <c r="O2343" s="165"/>
      <c r="P2343" s="165"/>
      <c r="Q2343" s="165"/>
      <c r="R2343" s="165"/>
      <c r="S2343" s="165"/>
      <c r="T2343" s="165"/>
      <c r="U2343" s="165"/>
      <c r="V2343" s="165"/>
      <c r="W2343" s="165"/>
      <c r="X2343" s="165"/>
    </row>
    <row r="2344" ht="18.75" customHeight="1">
      <c r="A2344" s="165">
        <v>2341.0</v>
      </c>
      <c r="B2344" s="167" t="s">
        <v>17785</v>
      </c>
      <c r="C2344" s="165"/>
      <c r="D2344" s="165"/>
      <c r="E2344" s="165"/>
      <c r="F2344" s="165"/>
      <c r="G2344" s="165"/>
      <c r="H2344" s="165"/>
      <c r="I2344" s="165"/>
      <c r="J2344" s="165"/>
      <c r="K2344" s="165"/>
      <c r="L2344" s="165"/>
      <c r="M2344" s="165"/>
      <c r="N2344" s="165"/>
      <c r="O2344" s="165"/>
      <c r="P2344" s="165"/>
      <c r="Q2344" s="165"/>
      <c r="R2344" s="165"/>
      <c r="S2344" s="165"/>
      <c r="T2344" s="165"/>
      <c r="U2344" s="165"/>
      <c r="V2344" s="165"/>
      <c r="W2344" s="165"/>
      <c r="X2344" s="165"/>
    </row>
    <row r="2345" ht="18.75" customHeight="1">
      <c r="A2345" s="165">
        <v>2342.0</v>
      </c>
      <c r="B2345" s="165" t="s">
        <v>17786</v>
      </c>
      <c r="C2345" s="165"/>
      <c r="D2345" s="165"/>
      <c r="E2345" s="165"/>
      <c r="F2345" s="165"/>
      <c r="G2345" s="165"/>
      <c r="H2345" s="165"/>
      <c r="I2345" s="165"/>
      <c r="J2345" s="165"/>
      <c r="K2345" s="165"/>
      <c r="L2345" s="165"/>
      <c r="M2345" s="165"/>
      <c r="N2345" s="165"/>
      <c r="O2345" s="165"/>
      <c r="P2345" s="165"/>
      <c r="Q2345" s="165"/>
      <c r="R2345" s="165"/>
      <c r="S2345" s="165"/>
      <c r="T2345" s="165"/>
      <c r="U2345" s="165"/>
      <c r="V2345" s="165"/>
      <c r="W2345" s="165"/>
      <c r="X2345" s="165"/>
    </row>
    <row r="2346" ht="18.75" customHeight="1">
      <c r="A2346" s="165">
        <v>2343.0</v>
      </c>
      <c r="B2346" s="165" t="s">
        <v>17787</v>
      </c>
      <c r="C2346" s="165"/>
      <c r="D2346" s="165"/>
      <c r="E2346" s="165"/>
      <c r="F2346" s="165"/>
      <c r="G2346" s="165"/>
      <c r="H2346" s="165"/>
      <c r="I2346" s="165"/>
      <c r="J2346" s="165"/>
      <c r="K2346" s="165"/>
      <c r="L2346" s="165"/>
      <c r="M2346" s="165"/>
      <c r="N2346" s="165"/>
      <c r="O2346" s="165"/>
      <c r="P2346" s="165"/>
      <c r="Q2346" s="165"/>
      <c r="R2346" s="165"/>
      <c r="S2346" s="165"/>
      <c r="T2346" s="165"/>
      <c r="U2346" s="165"/>
      <c r="V2346" s="165"/>
      <c r="W2346" s="165"/>
      <c r="X2346" s="165"/>
    </row>
    <row r="2347" ht="18.75" customHeight="1">
      <c r="A2347" s="165">
        <v>2344.0</v>
      </c>
      <c r="B2347" s="165" t="s">
        <v>17788</v>
      </c>
      <c r="C2347" s="165"/>
      <c r="D2347" s="165"/>
      <c r="E2347" s="165"/>
      <c r="F2347" s="165"/>
      <c r="G2347" s="165"/>
      <c r="H2347" s="165"/>
      <c r="I2347" s="165"/>
      <c r="J2347" s="165"/>
      <c r="K2347" s="165"/>
      <c r="L2347" s="165"/>
      <c r="M2347" s="165"/>
      <c r="N2347" s="165"/>
      <c r="O2347" s="165"/>
      <c r="P2347" s="165"/>
      <c r="Q2347" s="165"/>
      <c r="R2347" s="165"/>
      <c r="S2347" s="165"/>
      <c r="T2347" s="165"/>
      <c r="U2347" s="165"/>
      <c r="V2347" s="165"/>
      <c r="W2347" s="165"/>
      <c r="X2347" s="165"/>
    </row>
    <row r="2348" ht="18.75" customHeight="1">
      <c r="A2348" s="165">
        <v>2345.0</v>
      </c>
      <c r="B2348" s="165" t="s">
        <v>17789</v>
      </c>
      <c r="C2348" s="165"/>
      <c r="D2348" s="165"/>
      <c r="E2348" s="165"/>
      <c r="F2348" s="165"/>
      <c r="G2348" s="165"/>
      <c r="H2348" s="165"/>
      <c r="I2348" s="165"/>
      <c r="J2348" s="165"/>
      <c r="K2348" s="165"/>
      <c r="L2348" s="165"/>
      <c r="M2348" s="165"/>
      <c r="N2348" s="165"/>
      <c r="O2348" s="165"/>
      <c r="P2348" s="165"/>
      <c r="Q2348" s="165"/>
      <c r="R2348" s="165"/>
      <c r="S2348" s="165"/>
      <c r="T2348" s="165"/>
      <c r="U2348" s="165"/>
      <c r="V2348" s="165"/>
      <c r="W2348" s="165"/>
      <c r="X2348" s="165"/>
    </row>
    <row r="2349" ht="18.75" customHeight="1">
      <c r="A2349" s="165">
        <v>2346.0</v>
      </c>
      <c r="B2349" s="165" t="s">
        <v>17790</v>
      </c>
      <c r="C2349" s="165"/>
      <c r="D2349" s="165"/>
      <c r="E2349" s="165"/>
      <c r="F2349" s="165"/>
      <c r="G2349" s="165"/>
      <c r="H2349" s="165"/>
      <c r="I2349" s="165"/>
      <c r="J2349" s="165"/>
      <c r="K2349" s="165"/>
      <c r="L2349" s="165"/>
      <c r="M2349" s="165"/>
      <c r="N2349" s="165"/>
      <c r="O2349" s="165"/>
      <c r="P2349" s="165"/>
      <c r="Q2349" s="165"/>
      <c r="R2349" s="165"/>
      <c r="S2349" s="165"/>
      <c r="T2349" s="165"/>
      <c r="U2349" s="165"/>
      <c r="V2349" s="165"/>
      <c r="W2349" s="165"/>
      <c r="X2349" s="165"/>
    </row>
    <row r="2350" ht="18.75" customHeight="1">
      <c r="A2350" s="165">
        <v>2347.0</v>
      </c>
      <c r="B2350" s="165" t="s">
        <v>17791</v>
      </c>
      <c r="C2350" s="165"/>
      <c r="D2350" s="165"/>
      <c r="E2350" s="165"/>
      <c r="F2350" s="165"/>
      <c r="G2350" s="165"/>
      <c r="H2350" s="165"/>
      <c r="I2350" s="165"/>
      <c r="J2350" s="165"/>
      <c r="K2350" s="165"/>
      <c r="L2350" s="165"/>
      <c r="M2350" s="165"/>
      <c r="N2350" s="165"/>
      <c r="O2350" s="165"/>
      <c r="P2350" s="165"/>
      <c r="Q2350" s="165"/>
      <c r="R2350" s="165"/>
      <c r="S2350" s="165"/>
      <c r="T2350" s="165"/>
      <c r="U2350" s="165"/>
      <c r="V2350" s="165"/>
      <c r="W2350" s="165"/>
      <c r="X2350" s="165"/>
    </row>
    <row r="2351" ht="18.75" customHeight="1">
      <c r="A2351" s="165">
        <v>2348.0</v>
      </c>
      <c r="B2351" s="165" t="s">
        <v>17792</v>
      </c>
      <c r="C2351" s="165"/>
      <c r="D2351" s="165"/>
      <c r="E2351" s="165"/>
      <c r="F2351" s="165"/>
      <c r="G2351" s="165"/>
      <c r="H2351" s="165"/>
      <c r="I2351" s="165"/>
      <c r="J2351" s="165"/>
      <c r="K2351" s="165"/>
      <c r="L2351" s="165"/>
      <c r="M2351" s="165"/>
      <c r="N2351" s="165"/>
      <c r="O2351" s="165"/>
      <c r="P2351" s="165"/>
      <c r="Q2351" s="165"/>
      <c r="R2351" s="165"/>
      <c r="S2351" s="165"/>
      <c r="T2351" s="165"/>
      <c r="U2351" s="165"/>
      <c r="V2351" s="165"/>
      <c r="W2351" s="165"/>
      <c r="X2351" s="165"/>
    </row>
    <row r="2352" ht="18.75" customHeight="1">
      <c r="A2352" s="165">
        <v>2349.0</v>
      </c>
      <c r="B2352" s="165" t="s">
        <v>17793</v>
      </c>
      <c r="C2352" s="165"/>
      <c r="D2352" s="165"/>
      <c r="E2352" s="165"/>
      <c r="F2352" s="165"/>
      <c r="G2352" s="165"/>
      <c r="H2352" s="165"/>
      <c r="I2352" s="165"/>
      <c r="J2352" s="165"/>
      <c r="K2352" s="165"/>
      <c r="L2352" s="165"/>
      <c r="M2352" s="165"/>
      <c r="N2352" s="165"/>
      <c r="O2352" s="165"/>
      <c r="P2352" s="165"/>
      <c r="Q2352" s="165"/>
      <c r="R2352" s="165"/>
      <c r="S2352" s="165"/>
      <c r="T2352" s="165"/>
      <c r="U2352" s="165"/>
      <c r="V2352" s="165"/>
      <c r="W2352" s="165"/>
      <c r="X2352" s="165"/>
    </row>
    <row r="2353" ht="18.75" customHeight="1">
      <c r="A2353" s="165">
        <v>2350.0</v>
      </c>
      <c r="B2353" s="165" t="s">
        <v>17794</v>
      </c>
      <c r="C2353" s="165"/>
      <c r="D2353" s="165"/>
      <c r="E2353" s="165"/>
      <c r="F2353" s="165"/>
      <c r="G2353" s="165"/>
      <c r="H2353" s="165"/>
      <c r="I2353" s="165"/>
      <c r="J2353" s="165"/>
      <c r="K2353" s="165"/>
      <c r="L2353" s="165"/>
      <c r="M2353" s="165"/>
      <c r="N2353" s="165"/>
      <c r="O2353" s="165"/>
      <c r="P2353" s="165"/>
      <c r="Q2353" s="165"/>
      <c r="R2353" s="165"/>
      <c r="S2353" s="165"/>
      <c r="T2353" s="165"/>
      <c r="U2353" s="165"/>
      <c r="V2353" s="165"/>
      <c r="W2353" s="165"/>
      <c r="X2353" s="165"/>
    </row>
    <row r="2354" ht="18.75" customHeight="1">
      <c r="A2354" s="165">
        <v>2351.0</v>
      </c>
      <c r="B2354" s="165" t="s">
        <v>17795</v>
      </c>
      <c r="C2354" s="165"/>
      <c r="D2354" s="165"/>
      <c r="E2354" s="165"/>
      <c r="F2354" s="165"/>
      <c r="G2354" s="165"/>
      <c r="H2354" s="165"/>
      <c r="I2354" s="165"/>
      <c r="J2354" s="165"/>
      <c r="K2354" s="165"/>
      <c r="L2354" s="165"/>
      <c r="M2354" s="165"/>
      <c r="N2354" s="165"/>
      <c r="O2354" s="165"/>
      <c r="P2354" s="165"/>
      <c r="Q2354" s="165"/>
      <c r="R2354" s="165"/>
      <c r="S2354" s="165"/>
      <c r="T2354" s="165"/>
      <c r="U2354" s="165"/>
      <c r="V2354" s="165"/>
      <c r="W2354" s="165"/>
      <c r="X2354" s="165"/>
    </row>
    <row r="2355" ht="18.75" customHeight="1">
      <c r="A2355" s="165">
        <v>2352.0</v>
      </c>
      <c r="B2355" s="165" t="s">
        <v>17796</v>
      </c>
      <c r="C2355" s="165"/>
      <c r="D2355" s="165"/>
      <c r="E2355" s="165"/>
      <c r="F2355" s="165"/>
      <c r="G2355" s="165"/>
      <c r="H2355" s="165"/>
      <c r="I2355" s="165"/>
      <c r="J2355" s="165"/>
      <c r="K2355" s="165"/>
      <c r="L2355" s="165"/>
      <c r="M2355" s="165"/>
      <c r="N2355" s="165"/>
      <c r="O2355" s="165"/>
      <c r="P2355" s="165"/>
      <c r="Q2355" s="165"/>
      <c r="R2355" s="165"/>
      <c r="S2355" s="165"/>
      <c r="T2355" s="165"/>
      <c r="U2355" s="165"/>
      <c r="V2355" s="165"/>
      <c r="W2355" s="165"/>
      <c r="X2355" s="165"/>
    </row>
    <row r="2356" ht="18.75" customHeight="1">
      <c r="A2356" s="165">
        <v>2353.0</v>
      </c>
      <c r="B2356" s="167" t="s">
        <v>17797</v>
      </c>
      <c r="C2356" s="165"/>
      <c r="D2356" s="165"/>
      <c r="E2356" s="165"/>
      <c r="F2356" s="165"/>
      <c r="G2356" s="165"/>
      <c r="H2356" s="165"/>
      <c r="I2356" s="165"/>
      <c r="J2356" s="165"/>
      <c r="K2356" s="165"/>
      <c r="L2356" s="165"/>
      <c r="M2356" s="165"/>
      <c r="N2356" s="165"/>
      <c r="O2356" s="165"/>
      <c r="P2356" s="165"/>
      <c r="Q2356" s="165"/>
      <c r="R2356" s="165"/>
      <c r="S2356" s="165"/>
      <c r="T2356" s="165"/>
      <c r="U2356" s="165"/>
      <c r="V2356" s="165"/>
      <c r="W2356" s="165"/>
      <c r="X2356" s="165"/>
    </row>
    <row r="2357" ht="18.75" customHeight="1">
      <c r="A2357" s="165">
        <v>2354.0</v>
      </c>
      <c r="B2357" s="165" t="s">
        <v>17798</v>
      </c>
      <c r="C2357" s="165"/>
      <c r="D2357" s="165"/>
      <c r="E2357" s="165"/>
      <c r="F2357" s="165"/>
      <c r="G2357" s="165"/>
      <c r="H2357" s="165"/>
      <c r="I2357" s="165"/>
      <c r="J2357" s="165"/>
      <c r="K2357" s="165"/>
      <c r="L2357" s="165"/>
      <c r="M2357" s="165"/>
      <c r="N2357" s="165"/>
      <c r="O2357" s="165"/>
      <c r="P2357" s="165"/>
      <c r="Q2357" s="165"/>
      <c r="R2357" s="165"/>
      <c r="S2357" s="165"/>
      <c r="T2357" s="165"/>
      <c r="U2357" s="165"/>
      <c r="V2357" s="165"/>
      <c r="W2357" s="165"/>
      <c r="X2357" s="165"/>
    </row>
    <row r="2358" ht="18.75" customHeight="1">
      <c r="A2358" s="165">
        <v>2355.0</v>
      </c>
      <c r="B2358" s="165" t="s">
        <v>17799</v>
      </c>
      <c r="C2358" s="165"/>
      <c r="D2358" s="165"/>
      <c r="E2358" s="165"/>
      <c r="F2358" s="165"/>
      <c r="G2358" s="165"/>
      <c r="H2358" s="165"/>
      <c r="I2358" s="165"/>
      <c r="J2358" s="165"/>
      <c r="K2358" s="165"/>
      <c r="L2358" s="165"/>
      <c r="M2358" s="165"/>
      <c r="N2358" s="165"/>
      <c r="O2358" s="165"/>
      <c r="P2358" s="165"/>
      <c r="Q2358" s="165"/>
      <c r="R2358" s="165"/>
      <c r="S2358" s="165"/>
      <c r="T2358" s="165"/>
      <c r="U2358" s="165"/>
      <c r="V2358" s="165"/>
      <c r="W2358" s="165"/>
      <c r="X2358" s="165"/>
    </row>
    <row r="2359" ht="18.75" customHeight="1">
      <c r="A2359" s="165">
        <v>2356.0</v>
      </c>
      <c r="B2359" s="165" t="s">
        <v>17800</v>
      </c>
      <c r="C2359" s="165"/>
      <c r="D2359" s="165"/>
      <c r="E2359" s="165"/>
      <c r="F2359" s="165"/>
      <c r="G2359" s="165"/>
      <c r="H2359" s="165"/>
      <c r="I2359" s="165"/>
      <c r="J2359" s="165"/>
      <c r="K2359" s="165"/>
      <c r="L2359" s="165"/>
      <c r="M2359" s="165"/>
      <c r="N2359" s="165"/>
      <c r="O2359" s="165"/>
      <c r="P2359" s="165"/>
      <c r="Q2359" s="165"/>
      <c r="R2359" s="165"/>
      <c r="S2359" s="165"/>
      <c r="T2359" s="165"/>
      <c r="U2359" s="165"/>
      <c r="V2359" s="165"/>
      <c r="W2359" s="165"/>
      <c r="X2359" s="165"/>
    </row>
    <row r="2360" ht="18.75" customHeight="1">
      <c r="A2360" s="165">
        <v>2357.0</v>
      </c>
      <c r="B2360" s="165" t="s">
        <v>17801</v>
      </c>
      <c r="C2360" s="165"/>
      <c r="D2360" s="165"/>
      <c r="E2360" s="165"/>
      <c r="F2360" s="165"/>
      <c r="G2360" s="165"/>
      <c r="H2360" s="165"/>
      <c r="I2360" s="165"/>
      <c r="J2360" s="165"/>
      <c r="K2360" s="165"/>
      <c r="L2360" s="165"/>
      <c r="M2360" s="165"/>
      <c r="N2360" s="165"/>
      <c r="O2360" s="165"/>
      <c r="P2360" s="165"/>
      <c r="Q2360" s="165"/>
      <c r="R2360" s="165"/>
      <c r="S2360" s="165"/>
      <c r="T2360" s="165"/>
      <c r="U2360" s="165"/>
      <c r="V2360" s="165"/>
      <c r="W2360" s="165"/>
      <c r="X2360" s="165"/>
    </row>
    <row r="2361" ht="18.75" customHeight="1">
      <c r="A2361" s="165">
        <v>2358.0</v>
      </c>
      <c r="B2361" s="165" t="s">
        <v>17802</v>
      </c>
      <c r="C2361" s="165"/>
      <c r="D2361" s="165"/>
      <c r="E2361" s="165"/>
      <c r="F2361" s="165"/>
      <c r="G2361" s="165"/>
      <c r="H2361" s="165"/>
      <c r="I2361" s="165"/>
      <c r="J2361" s="165"/>
      <c r="K2361" s="165"/>
      <c r="L2361" s="165"/>
      <c r="M2361" s="165"/>
      <c r="N2361" s="165"/>
      <c r="O2361" s="165"/>
      <c r="P2361" s="165"/>
      <c r="Q2361" s="165"/>
      <c r="R2361" s="165"/>
      <c r="S2361" s="165"/>
      <c r="T2361" s="165"/>
      <c r="U2361" s="165"/>
      <c r="V2361" s="165"/>
      <c r="W2361" s="165"/>
      <c r="X2361" s="165"/>
    </row>
    <row r="2362" ht="18.75" customHeight="1">
      <c r="A2362" s="165">
        <v>2359.0</v>
      </c>
      <c r="B2362" s="165" t="s">
        <v>17803</v>
      </c>
      <c r="C2362" s="165"/>
      <c r="D2362" s="165"/>
      <c r="E2362" s="165"/>
      <c r="F2362" s="165"/>
      <c r="G2362" s="165"/>
      <c r="H2362" s="165"/>
      <c r="I2362" s="165"/>
      <c r="J2362" s="165"/>
      <c r="K2362" s="165"/>
      <c r="L2362" s="165"/>
      <c r="M2362" s="165"/>
      <c r="N2362" s="165"/>
      <c r="O2362" s="165"/>
      <c r="P2362" s="165"/>
      <c r="Q2362" s="165"/>
      <c r="R2362" s="165"/>
      <c r="S2362" s="165"/>
      <c r="T2362" s="165"/>
      <c r="U2362" s="165"/>
      <c r="V2362" s="165"/>
      <c r="W2362" s="165"/>
      <c r="X2362" s="165"/>
    </row>
    <row r="2363" ht="18.75" customHeight="1">
      <c r="A2363" s="165">
        <v>2360.0</v>
      </c>
      <c r="B2363" s="165" t="s">
        <v>17804</v>
      </c>
      <c r="C2363" s="165"/>
      <c r="D2363" s="165"/>
      <c r="E2363" s="165"/>
      <c r="F2363" s="165"/>
      <c r="G2363" s="165"/>
      <c r="H2363" s="165"/>
      <c r="I2363" s="165"/>
      <c r="J2363" s="165"/>
      <c r="K2363" s="165"/>
      <c r="L2363" s="165"/>
      <c r="M2363" s="165"/>
      <c r="N2363" s="165"/>
      <c r="O2363" s="165"/>
      <c r="P2363" s="165"/>
      <c r="Q2363" s="165"/>
      <c r="R2363" s="165"/>
      <c r="S2363" s="165"/>
      <c r="T2363" s="165"/>
      <c r="U2363" s="165"/>
      <c r="V2363" s="165"/>
      <c r="W2363" s="165"/>
      <c r="X2363" s="165"/>
    </row>
    <row r="2364" ht="18.75" customHeight="1">
      <c r="A2364" s="165">
        <v>2361.0</v>
      </c>
      <c r="B2364" s="165" t="s">
        <v>17805</v>
      </c>
      <c r="C2364" s="165"/>
      <c r="D2364" s="165"/>
      <c r="E2364" s="165"/>
      <c r="F2364" s="165"/>
      <c r="G2364" s="165"/>
      <c r="H2364" s="165"/>
      <c r="I2364" s="165"/>
      <c r="J2364" s="165"/>
      <c r="K2364" s="165"/>
      <c r="L2364" s="165"/>
      <c r="M2364" s="165"/>
      <c r="N2364" s="165"/>
      <c r="O2364" s="165"/>
      <c r="P2364" s="165"/>
      <c r="Q2364" s="165"/>
      <c r="R2364" s="165"/>
      <c r="S2364" s="165"/>
      <c r="T2364" s="165"/>
      <c r="U2364" s="165"/>
      <c r="V2364" s="165"/>
      <c r="W2364" s="165"/>
      <c r="X2364" s="165"/>
    </row>
    <row r="2365" ht="18.75" customHeight="1">
      <c r="A2365" s="165">
        <v>2362.0</v>
      </c>
      <c r="B2365" s="165" t="s">
        <v>17806</v>
      </c>
      <c r="C2365" s="165"/>
      <c r="D2365" s="165"/>
      <c r="E2365" s="165"/>
      <c r="F2365" s="165"/>
      <c r="G2365" s="165"/>
      <c r="H2365" s="165"/>
      <c r="I2365" s="165"/>
      <c r="J2365" s="165"/>
      <c r="K2365" s="165"/>
      <c r="L2365" s="165"/>
      <c r="M2365" s="165"/>
      <c r="N2365" s="165"/>
      <c r="O2365" s="165"/>
      <c r="P2365" s="165"/>
      <c r="Q2365" s="165"/>
      <c r="R2365" s="165"/>
      <c r="S2365" s="165"/>
      <c r="T2365" s="165"/>
      <c r="U2365" s="165"/>
      <c r="V2365" s="165"/>
      <c r="W2365" s="165"/>
      <c r="X2365" s="165"/>
    </row>
    <row r="2366" ht="18.75" customHeight="1">
      <c r="A2366" s="165">
        <v>2363.0</v>
      </c>
      <c r="B2366" s="165" t="s">
        <v>17807</v>
      </c>
      <c r="C2366" s="165"/>
      <c r="D2366" s="165"/>
      <c r="E2366" s="165"/>
      <c r="F2366" s="165"/>
      <c r="G2366" s="165"/>
      <c r="H2366" s="165"/>
      <c r="I2366" s="165"/>
      <c r="J2366" s="165"/>
      <c r="K2366" s="165"/>
      <c r="L2366" s="165"/>
      <c r="M2366" s="165"/>
      <c r="N2366" s="165"/>
      <c r="O2366" s="165"/>
      <c r="P2366" s="165"/>
      <c r="Q2366" s="165"/>
      <c r="R2366" s="165"/>
      <c r="S2366" s="165"/>
      <c r="T2366" s="165"/>
      <c r="U2366" s="165"/>
      <c r="V2366" s="165"/>
      <c r="W2366" s="165"/>
      <c r="X2366" s="165"/>
    </row>
    <row r="2367" ht="18.75" customHeight="1">
      <c r="A2367" s="165">
        <v>2364.0</v>
      </c>
      <c r="B2367" s="165" t="s">
        <v>17808</v>
      </c>
      <c r="C2367" s="165"/>
      <c r="D2367" s="165"/>
      <c r="E2367" s="165"/>
      <c r="F2367" s="165"/>
      <c r="G2367" s="165"/>
      <c r="H2367" s="165"/>
      <c r="I2367" s="165"/>
      <c r="J2367" s="165"/>
      <c r="K2367" s="165"/>
      <c r="L2367" s="165"/>
      <c r="M2367" s="165"/>
      <c r="N2367" s="165"/>
      <c r="O2367" s="165"/>
      <c r="P2367" s="165"/>
      <c r="Q2367" s="165"/>
      <c r="R2367" s="165"/>
      <c r="S2367" s="165"/>
      <c r="T2367" s="165"/>
      <c r="U2367" s="165"/>
      <c r="V2367" s="165"/>
      <c r="W2367" s="165"/>
      <c r="X2367" s="165"/>
    </row>
    <row r="2368" ht="18.75" customHeight="1">
      <c r="A2368" s="165">
        <v>2365.0</v>
      </c>
      <c r="B2368" s="167" t="s">
        <v>17809</v>
      </c>
      <c r="C2368" s="165"/>
      <c r="D2368" s="165"/>
      <c r="E2368" s="165"/>
      <c r="F2368" s="165"/>
      <c r="G2368" s="165"/>
      <c r="H2368" s="165"/>
      <c r="I2368" s="165"/>
      <c r="J2368" s="165"/>
      <c r="K2368" s="165"/>
      <c r="L2368" s="165"/>
      <c r="M2368" s="165"/>
      <c r="N2368" s="165"/>
      <c r="O2368" s="165"/>
      <c r="P2368" s="165"/>
      <c r="Q2368" s="165"/>
      <c r="R2368" s="165"/>
      <c r="S2368" s="165"/>
      <c r="T2368" s="165"/>
      <c r="U2368" s="165"/>
      <c r="V2368" s="165"/>
      <c r="W2368" s="165"/>
      <c r="X2368" s="165"/>
    </row>
    <row r="2369" ht="18.75" customHeight="1">
      <c r="A2369" s="165">
        <v>2366.0</v>
      </c>
      <c r="B2369" s="165" t="s">
        <v>17810</v>
      </c>
      <c r="C2369" s="165"/>
      <c r="D2369" s="165"/>
      <c r="E2369" s="165"/>
      <c r="F2369" s="165"/>
      <c r="G2369" s="165"/>
      <c r="H2369" s="165"/>
      <c r="I2369" s="165"/>
      <c r="J2369" s="165"/>
      <c r="K2369" s="165"/>
      <c r="L2369" s="165"/>
      <c r="M2369" s="165"/>
      <c r="N2369" s="165"/>
      <c r="O2369" s="165"/>
      <c r="P2369" s="165"/>
      <c r="Q2369" s="165"/>
      <c r="R2369" s="165"/>
      <c r="S2369" s="165"/>
      <c r="T2369" s="165"/>
      <c r="U2369" s="165"/>
      <c r="V2369" s="165"/>
      <c r="W2369" s="165"/>
      <c r="X2369" s="165"/>
    </row>
    <row r="2370" ht="18.75" customHeight="1">
      <c r="A2370" s="165">
        <v>2367.0</v>
      </c>
      <c r="B2370" s="165" t="s">
        <v>17811</v>
      </c>
      <c r="C2370" s="165"/>
      <c r="D2370" s="165"/>
      <c r="E2370" s="165"/>
      <c r="F2370" s="165"/>
      <c r="G2370" s="165"/>
      <c r="H2370" s="165"/>
      <c r="I2370" s="165"/>
      <c r="J2370" s="165"/>
      <c r="K2370" s="165"/>
      <c r="L2370" s="165"/>
      <c r="M2370" s="165"/>
      <c r="N2370" s="165"/>
      <c r="O2370" s="165"/>
      <c r="P2370" s="165"/>
      <c r="Q2370" s="165"/>
      <c r="R2370" s="165"/>
      <c r="S2370" s="165"/>
      <c r="T2370" s="165"/>
      <c r="U2370" s="165"/>
      <c r="V2370" s="165"/>
      <c r="W2370" s="165"/>
      <c r="X2370" s="165"/>
    </row>
    <row r="2371" ht="18.75" customHeight="1">
      <c r="A2371" s="165">
        <v>2368.0</v>
      </c>
      <c r="B2371" s="165" t="s">
        <v>17812</v>
      </c>
      <c r="C2371" s="165"/>
      <c r="D2371" s="165"/>
      <c r="E2371" s="165"/>
      <c r="F2371" s="165"/>
      <c r="G2371" s="165"/>
      <c r="H2371" s="165"/>
      <c r="I2371" s="165"/>
      <c r="J2371" s="165"/>
      <c r="K2371" s="165"/>
      <c r="L2371" s="165"/>
      <c r="M2371" s="165"/>
      <c r="N2371" s="165"/>
      <c r="O2371" s="165"/>
      <c r="P2371" s="165"/>
      <c r="Q2371" s="165"/>
      <c r="R2371" s="165"/>
      <c r="S2371" s="165"/>
      <c r="T2371" s="165"/>
      <c r="U2371" s="165"/>
      <c r="V2371" s="165"/>
      <c r="W2371" s="165"/>
      <c r="X2371" s="165"/>
    </row>
    <row r="2372" ht="18.75" customHeight="1">
      <c r="A2372" s="165">
        <v>2369.0</v>
      </c>
      <c r="B2372" s="165" t="s">
        <v>17813</v>
      </c>
      <c r="C2372" s="165"/>
      <c r="D2372" s="165"/>
      <c r="E2372" s="165"/>
      <c r="F2372" s="165"/>
      <c r="G2372" s="165"/>
      <c r="H2372" s="165"/>
      <c r="I2372" s="165"/>
      <c r="J2372" s="165"/>
      <c r="K2372" s="165"/>
      <c r="L2372" s="165"/>
      <c r="M2372" s="165"/>
      <c r="N2372" s="165"/>
      <c r="O2372" s="165"/>
      <c r="P2372" s="165"/>
      <c r="Q2372" s="165"/>
      <c r="R2372" s="165"/>
      <c r="S2372" s="165"/>
      <c r="T2372" s="165"/>
      <c r="U2372" s="165"/>
      <c r="V2372" s="165"/>
      <c r="W2372" s="165"/>
      <c r="X2372" s="165"/>
    </row>
    <row r="2373" ht="18.75" customHeight="1">
      <c r="A2373" s="165">
        <v>2370.0</v>
      </c>
      <c r="B2373" s="165" t="s">
        <v>17814</v>
      </c>
      <c r="C2373" s="165"/>
      <c r="D2373" s="165"/>
      <c r="E2373" s="165"/>
      <c r="F2373" s="165"/>
      <c r="G2373" s="165"/>
      <c r="H2373" s="165"/>
      <c r="I2373" s="165"/>
      <c r="J2373" s="165"/>
      <c r="K2373" s="165"/>
      <c r="L2373" s="165"/>
      <c r="M2373" s="165"/>
      <c r="N2373" s="165"/>
      <c r="O2373" s="165"/>
      <c r="P2373" s="165"/>
      <c r="Q2373" s="165"/>
      <c r="R2373" s="165"/>
      <c r="S2373" s="165"/>
      <c r="T2373" s="165"/>
      <c r="U2373" s="165"/>
      <c r="V2373" s="165"/>
      <c r="W2373" s="165"/>
      <c r="X2373" s="165"/>
    </row>
    <row r="2374" ht="18.75" customHeight="1">
      <c r="A2374" s="165">
        <v>2371.0</v>
      </c>
      <c r="B2374" s="165" t="s">
        <v>17815</v>
      </c>
      <c r="C2374" s="165"/>
      <c r="D2374" s="165"/>
      <c r="E2374" s="165"/>
      <c r="F2374" s="165"/>
      <c r="G2374" s="165"/>
      <c r="H2374" s="165"/>
      <c r="I2374" s="165"/>
      <c r="J2374" s="165"/>
      <c r="K2374" s="165"/>
      <c r="L2374" s="165"/>
      <c r="M2374" s="165"/>
      <c r="N2374" s="165"/>
      <c r="O2374" s="165"/>
      <c r="P2374" s="165"/>
      <c r="Q2374" s="165"/>
      <c r="R2374" s="165"/>
      <c r="S2374" s="165"/>
      <c r="T2374" s="165"/>
      <c r="U2374" s="165"/>
      <c r="V2374" s="165"/>
      <c r="W2374" s="165"/>
      <c r="X2374" s="165"/>
    </row>
    <row r="2375" ht="18.75" customHeight="1">
      <c r="A2375" s="165">
        <v>2372.0</v>
      </c>
      <c r="B2375" s="165" t="s">
        <v>17816</v>
      </c>
      <c r="C2375" s="165"/>
      <c r="D2375" s="165"/>
      <c r="E2375" s="165"/>
      <c r="F2375" s="165"/>
      <c r="G2375" s="165"/>
      <c r="H2375" s="165"/>
      <c r="I2375" s="165"/>
      <c r="J2375" s="165"/>
      <c r="K2375" s="165"/>
      <c r="L2375" s="165"/>
      <c r="M2375" s="165"/>
      <c r="N2375" s="165"/>
      <c r="O2375" s="165"/>
      <c r="P2375" s="165"/>
      <c r="Q2375" s="165"/>
      <c r="R2375" s="165"/>
      <c r="S2375" s="165"/>
      <c r="T2375" s="165"/>
      <c r="U2375" s="165"/>
      <c r="V2375" s="165"/>
      <c r="W2375" s="165"/>
      <c r="X2375" s="165"/>
    </row>
    <row r="2376" ht="18.75" customHeight="1">
      <c r="A2376" s="165">
        <v>2373.0</v>
      </c>
      <c r="B2376" s="165" t="s">
        <v>17817</v>
      </c>
      <c r="C2376" s="165"/>
      <c r="D2376" s="165"/>
      <c r="E2376" s="165"/>
      <c r="F2376" s="165"/>
      <c r="G2376" s="165"/>
      <c r="H2376" s="165"/>
      <c r="I2376" s="165"/>
      <c r="J2376" s="165"/>
      <c r="K2376" s="165"/>
      <c r="L2376" s="165"/>
      <c r="M2376" s="165"/>
      <c r="N2376" s="165"/>
      <c r="O2376" s="165"/>
      <c r="P2376" s="165"/>
      <c r="Q2376" s="165"/>
      <c r="R2376" s="165"/>
      <c r="S2376" s="165"/>
      <c r="T2376" s="165"/>
      <c r="U2376" s="165"/>
      <c r="V2376" s="165"/>
      <c r="W2376" s="165"/>
      <c r="X2376" s="165"/>
    </row>
    <row r="2377" ht="18.75" customHeight="1">
      <c r="A2377" s="165">
        <v>2374.0</v>
      </c>
      <c r="B2377" s="165" t="s">
        <v>17437</v>
      </c>
      <c r="C2377" s="165"/>
      <c r="D2377" s="165"/>
      <c r="E2377" s="165"/>
      <c r="F2377" s="165"/>
      <c r="G2377" s="165"/>
      <c r="H2377" s="165"/>
      <c r="I2377" s="165"/>
      <c r="J2377" s="165"/>
      <c r="K2377" s="165"/>
      <c r="L2377" s="165"/>
      <c r="M2377" s="165"/>
      <c r="N2377" s="165"/>
      <c r="O2377" s="165"/>
      <c r="P2377" s="165"/>
      <c r="Q2377" s="165"/>
      <c r="R2377" s="165"/>
      <c r="S2377" s="165"/>
      <c r="T2377" s="165"/>
      <c r="U2377" s="165"/>
      <c r="V2377" s="165"/>
      <c r="W2377" s="165"/>
      <c r="X2377" s="165"/>
    </row>
    <row r="2378" ht="18.75" customHeight="1">
      <c r="A2378" s="165">
        <v>2375.0</v>
      </c>
      <c r="B2378" s="165" t="s">
        <v>17818</v>
      </c>
      <c r="C2378" s="165"/>
      <c r="D2378" s="165"/>
      <c r="E2378" s="165"/>
      <c r="F2378" s="165"/>
      <c r="G2378" s="165"/>
      <c r="H2378" s="165"/>
      <c r="I2378" s="165"/>
      <c r="J2378" s="165"/>
      <c r="K2378" s="165"/>
      <c r="L2378" s="165"/>
      <c r="M2378" s="165"/>
      <c r="N2378" s="165"/>
      <c r="O2378" s="165"/>
      <c r="P2378" s="165"/>
      <c r="Q2378" s="165"/>
      <c r="R2378" s="165"/>
      <c r="S2378" s="165"/>
      <c r="T2378" s="165"/>
      <c r="U2378" s="165"/>
      <c r="V2378" s="165"/>
      <c r="W2378" s="165"/>
      <c r="X2378" s="165"/>
    </row>
    <row r="2379" ht="18.75" customHeight="1">
      <c r="A2379" s="165">
        <v>2376.0</v>
      </c>
      <c r="B2379" s="165" t="s">
        <v>17819</v>
      </c>
      <c r="C2379" s="165"/>
      <c r="D2379" s="165"/>
      <c r="E2379" s="165"/>
      <c r="F2379" s="165"/>
      <c r="G2379" s="165"/>
      <c r="H2379" s="165"/>
      <c r="I2379" s="165"/>
      <c r="J2379" s="165"/>
      <c r="K2379" s="165"/>
      <c r="L2379" s="165"/>
      <c r="M2379" s="165"/>
      <c r="N2379" s="165"/>
      <c r="O2379" s="165"/>
      <c r="P2379" s="165"/>
      <c r="Q2379" s="165"/>
      <c r="R2379" s="165"/>
      <c r="S2379" s="165"/>
      <c r="T2379" s="165"/>
      <c r="U2379" s="165"/>
      <c r="V2379" s="165"/>
      <c r="W2379" s="165"/>
      <c r="X2379" s="165"/>
    </row>
    <row r="2380" ht="18.75" customHeight="1">
      <c r="A2380" s="165">
        <v>2377.0</v>
      </c>
      <c r="B2380" s="165" t="s">
        <v>17820</v>
      </c>
      <c r="C2380" s="165"/>
      <c r="D2380" s="165"/>
      <c r="E2380" s="165"/>
      <c r="F2380" s="165"/>
      <c r="G2380" s="165"/>
      <c r="H2380" s="165"/>
      <c r="I2380" s="165"/>
      <c r="J2380" s="165"/>
      <c r="K2380" s="165"/>
      <c r="L2380" s="165"/>
      <c r="M2380" s="165"/>
      <c r="N2380" s="165"/>
      <c r="O2380" s="165"/>
      <c r="P2380" s="165"/>
      <c r="Q2380" s="165"/>
      <c r="R2380" s="165"/>
      <c r="S2380" s="165"/>
      <c r="T2380" s="165"/>
      <c r="U2380" s="165"/>
      <c r="V2380" s="165"/>
      <c r="W2380" s="165"/>
      <c r="X2380" s="165"/>
    </row>
    <row r="2381" ht="18.75" customHeight="1">
      <c r="A2381" s="165">
        <v>2378.0</v>
      </c>
      <c r="B2381" s="165" t="s">
        <v>17821</v>
      </c>
      <c r="C2381" s="165"/>
      <c r="D2381" s="165"/>
      <c r="E2381" s="165"/>
      <c r="F2381" s="165"/>
      <c r="G2381" s="165"/>
      <c r="H2381" s="165"/>
      <c r="I2381" s="165"/>
      <c r="J2381" s="165"/>
      <c r="K2381" s="165"/>
      <c r="L2381" s="165"/>
      <c r="M2381" s="165"/>
      <c r="N2381" s="165"/>
      <c r="O2381" s="165"/>
      <c r="P2381" s="165"/>
      <c r="Q2381" s="165"/>
      <c r="R2381" s="165"/>
      <c r="S2381" s="165"/>
      <c r="T2381" s="165"/>
      <c r="U2381" s="165"/>
      <c r="V2381" s="165"/>
      <c r="W2381" s="165"/>
      <c r="X2381" s="165"/>
    </row>
    <row r="2382" ht="18.75" customHeight="1">
      <c r="A2382" s="165">
        <v>2379.0</v>
      </c>
      <c r="B2382" s="165" t="s">
        <v>17822</v>
      </c>
      <c r="C2382" s="165"/>
      <c r="D2382" s="165"/>
      <c r="E2382" s="165"/>
      <c r="F2382" s="165"/>
      <c r="G2382" s="165"/>
      <c r="H2382" s="165"/>
      <c r="I2382" s="165"/>
      <c r="J2382" s="165"/>
      <c r="K2382" s="165"/>
      <c r="L2382" s="165"/>
      <c r="M2382" s="165"/>
      <c r="N2382" s="165"/>
      <c r="O2382" s="165"/>
      <c r="P2382" s="165"/>
      <c r="Q2382" s="165"/>
      <c r="R2382" s="165"/>
      <c r="S2382" s="165"/>
      <c r="T2382" s="165"/>
      <c r="U2382" s="165"/>
      <c r="V2382" s="165"/>
      <c r="W2382" s="165"/>
      <c r="X2382" s="165"/>
    </row>
    <row r="2383" ht="18.75" customHeight="1">
      <c r="A2383" s="165">
        <v>2380.0</v>
      </c>
      <c r="B2383" s="165" t="s">
        <v>17823</v>
      </c>
      <c r="C2383" s="165"/>
      <c r="D2383" s="165"/>
      <c r="E2383" s="165"/>
      <c r="F2383" s="165"/>
      <c r="G2383" s="165"/>
      <c r="H2383" s="165"/>
      <c r="I2383" s="165"/>
      <c r="J2383" s="165"/>
      <c r="K2383" s="165"/>
      <c r="L2383" s="165"/>
      <c r="M2383" s="165"/>
      <c r="N2383" s="165"/>
      <c r="O2383" s="165"/>
      <c r="P2383" s="165"/>
      <c r="Q2383" s="165"/>
      <c r="R2383" s="165"/>
      <c r="S2383" s="165"/>
      <c r="T2383" s="165"/>
      <c r="U2383" s="165"/>
      <c r="V2383" s="165"/>
      <c r="W2383" s="165"/>
      <c r="X2383" s="165"/>
    </row>
    <row r="2384" ht="18.75" customHeight="1">
      <c r="A2384" s="165">
        <v>2381.0</v>
      </c>
      <c r="B2384" s="165" t="s">
        <v>17824</v>
      </c>
      <c r="C2384" s="165"/>
      <c r="D2384" s="165"/>
      <c r="E2384" s="165"/>
      <c r="F2384" s="165"/>
      <c r="G2384" s="165"/>
      <c r="H2384" s="165"/>
      <c r="I2384" s="165"/>
      <c r="J2384" s="165"/>
      <c r="K2384" s="165"/>
      <c r="L2384" s="165"/>
      <c r="M2384" s="165"/>
      <c r="N2384" s="165"/>
      <c r="O2384" s="165"/>
      <c r="P2384" s="165"/>
      <c r="Q2384" s="165"/>
      <c r="R2384" s="165"/>
      <c r="S2384" s="165"/>
      <c r="T2384" s="165"/>
      <c r="U2384" s="165"/>
      <c r="V2384" s="165"/>
      <c r="W2384" s="165"/>
      <c r="X2384" s="165"/>
    </row>
    <row r="2385" ht="18.75" customHeight="1">
      <c r="A2385" s="165">
        <v>2382.0</v>
      </c>
      <c r="B2385" s="165" t="s">
        <v>17825</v>
      </c>
      <c r="C2385" s="165"/>
      <c r="D2385" s="165"/>
      <c r="E2385" s="165"/>
      <c r="F2385" s="165"/>
      <c r="G2385" s="165"/>
      <c r="H2385" s="165"/>
      <c r="I2385" s="165"/>
      <c r="J2385" s="165"/>
      <c r="K2385" s="165"/>
      <c r="L2385" s="165"/>
      <c r="M2385" s="165"/>
      <c r="N2385" s="165"/>
      <c r="O2385" s="165"/>
      <c r="P2385" s="165"/>
      <c r="Q2385" s="165"/>
      <c r="R2385" s="165"/>
      <c r="S2385" s="165"/>
      <c r="T2385" s="165"/>
      <c r="U2385" s="165"/>
      <c r="V2385" s="165"/>
      <c r="W2385" s="165"/>
      <c r="X2385" s="165"/>
    </row>
    <row r="2386" ht="18.75" customHeight="1">
      <c r="A2386" s="165">
        <v>2383.0</v>
      </c>
      <c r="B2386" s="165" t="s">
        <v>17826</v>
      </c>
      <c r="C2386" s="165"/>
      <c r="D2386" s="165"/>
      <c r="E2386" s="165"/>
      <c r="F2386" s="165"/>
      <c r="G2386" s="165"/>
      <c r="H2386" s="165"/>
      <c r="I2386" s="165"/>
      <c r="J2386" s="165"/>
      <c r="K2386" s="165"/>
      <c r="L2386" s="165"/>
      <c r="M2386" s="165"/>
      <c r="N2386" s="165"/>
      <c r="O2386" s="165"/>
      <c r="P2386" s="165"/>
      <c r="Q2386" s="165"/>
      <c r="R2386" s="165"/>
      <c r="S2386" s="165"/>
      <c r="T2386" s="165"/>
      <c r="U2386" s="165"/>
      <c r="V2386" s="165"/>
      <c r="W2386" s="165"/>
      <c r="X2386" s="165"/>
    </row>
    <row r="2387" ht="18.75" customHeight="1">
      <c r="A2387" s="165">
        <v>2384.0</v>
      </c>
      <c r="B2387" s="165" t="s">
        <v>17827</v>
      </c>
      <c r="C2387" s="165"/>
      <c r="D2387" s="165"/>
      <c r="E2387" s="165"/>
      <c r="F2387" s="165"/>
      <c r="G2387" s="165"/>
      <c r="H2387" s="165"/>
      <c r="I2387" s="165"/>
      <c r="J2387" s="165"/>
      <c r="K2387" s="165"/>
      <c r="L2387" s="165"/>
      <c r="M2387" s="165"/>
      <c r="N2387" s="165"/>
      <c r="O2387" s="165"/>
      <c r="P2387" s="165"/>
      <c r="Q2387" s="165"/>
      <c r="R2387" s="165"/>
      <c r="S2387" s="165"/>
      <c r="T2387" s="165"/>
      <c r="U2387" s="165"/>
      <c r="V2387" s="165"/>
      <c r="W2387" s="165"/>
      <c r="X2387" s="165"/>
    </row>
    <row r="2388" ht="18.75" customHeight="1">
      <c r="A2388" s="165">
        <v>2385.0</v>
      </c>
      <c r="B2388" s="165" t="s">
        <v>17828</v>
      </c>
      <c r="C2388" s="165"/>
      <c r="D2388" s="165"/>
      <c r="E2388" s="165"/>
      <c r="F2388" s="165"/>
      <c r="G2388" s="165"/>
      <c r="H2388" s="165"/>
      <c r="I2388" s="165"/>
      <c r="J2388" s="165"/>
      <c r="K2388" s="165"/>
      <c r="L2388" s="165"/>
      <c r="M2388" s="165"/>
      <c r="N2388" s="165"/>
      <c r="O2388" s="165"/>
      <c r="P2388" s="165"/>
      <c r="Q2388" s="165"/>
      <c r="R2388" s="165"/>
      <c r="S2388" s="165"/>
      <c r="T2388" s="165"/>
      <c r="U2388" s="165"/>
      <c r="V2388" s="165"/>
      <c r="W2388" s="165"/>
      <c r="X2388" s="165"/>
    </row>
    <row r="2389" ht="18.75" customHeight="1">
      <c r="A2389" s="165">
        <v>2386.0</v>
      </c>
      <c r="B2389" s="165" t="s">
        <v>17829</v>
      </c>
      <c r="C2389" s="165"/>
      <c r="D2389" s="165"/>
      <c r="E2389" s="165"/>
      <c r="F2389" s="165"/>
      <c r="G2389" s="165"/>
      <c r="H2389" s="165"/>
      <c r="I2389" s="165"/>
      <c r="J2389" s="165"/>
      <c r="K2389" s="165"/>
      <c r="L2389" s="165"/>
      <c r="M2389" s="165"/>
      <c r="N2389" s="165"/>
      <c r="O2389" s="165"/>
      <c r="P2389" s="165"/>
      <c r="Q2389" s="165"/>
      <c r="R2389" s="165"/>
      <c r="S2389" s="165"/>
      <c r="T2389" s="165"/>
      <c r="U2389" s="165"/>
      <c r="V2389" s="165"/>
      <c r="W2389" s="165"/>
      <c r="X2389" s="165"/>
    </row>
    <row r="2390" ht="18.75" customHeight="1">
      <c r="A2390" s="165">
        <v>2387.0</v>
      </c>
      <c r="B2390" s="165" t="s">
        <v>17830</v>
      </c>
      <c r="C2390" s="165"/>
      <c r="D2390" s="165"/>
      <c r="E2390" s="165"/>
      <c r="F2390" s="165"/>
      <c r="G2390" s="165"/>
      <c r="H2390" s="165"/>
      <c r="I2390" s="165"/>
      <c r="J2390" s="165"/>
      <c r="K2390" s="165"/>
      <c r="L2390" s="165"/>
      <c r="M2390" s="165"/>
      <c r="N2390" s="165"/>
      <c r="O2390" s="165"/>
      <c r="P2390" s="165"/>
      <c r="Q2390" s="165"/>
      <c r="R2390" s="165"/>
      <c r="S2390" s="165"/>
      <c r="T2390" s="165"/>
      <c r="U2390" s="165"/>
      <c r="V2390" s="165"/>
      <c r="W2390" s="165"/>
      <c r="X2390" s="165"/>
    </row>
    <row r="2391" ht="18.75" customHeight="1">
      <c r="A2391" s="165">
        <v>2388.0</v>
      </c>
      <c r="B2391" s="165" t="s">
        <v>17831</v>
      </c>
      <c r="C2391" s="165"/>
      <c r="D2391" s="165"/>
      <c r="E2391" s="165"/>
      <c r="F2391" s="165"/>
      <c r="G2391" s="165"/>
      <c r="H2391" s="165"/>
      <c r="I2391" s="165"/>
      <c r="J2391" s="165"/>
      <c r="K2391" s="165"/>
      <c r="L2391" s="165"/>
      <c r="M2391" s="165"/>
      <c r="N2391" s="165"/>
      <c r="O2391" s="165"/>
      <c r="P2391" s="165"/>
      <c r="Q2391" s="165"/>
      <c r="R2391" s="165"/>
      <c r="S2391" s="165"/>
      <c r="T2391" s="165"/>
      <c r="U2391" s="165"/>
      <c r="V2391" s="165"/>
      <c r="W2391" s="165"/>
      <c r="X2391" s="165"/>
    </row>
    <row r="2392" ht="18.75" customHeight="1">
      <c r="A2392" s="165">
        <v>2389.0</v>
      </c>
      <c r="B2392" s="165" t="s">
        <v>17832</v>
      </c>
      <c r="C2392" s="165"/>
      <c r="D2392" s="165"/>
      <c r="E2392" s="165"/>
      <c r="F2392" s="165"/>
      <c r="G2392" s="165"/>
      <c r="H2392" s="165"/>
      <c r="I2392" s="165"/>
      <c r="J2392" s="165"/>
      <c r="K2392" s="165"/>
      <c r="L2392" s="165"/>
      <c r="M2392" s="165"/>
      <c r="N2392" s="165"/>
      <c r="O2392" s="165"/>
      <c r="P2392" s="165"/>
      <c r="Q2392" s="165"/>
      <c r="R2392" s="165"/>
      <c r="S2392" s="165"/>
      <c r="T2392" s="165"/>
      <c r="U2392" s="165"/>
      <c r="V2392" s="165"/>
      <c r="W2392" s="165"/>
      <c r="X2392" s="165"/>
    </row>
    <row r="2393" ht="18.75" customHeight="1">
      <c r="A2393" s="165">
        <v>2390.0</v>
      </c>
      <c r="B2393" s="165" t="s">
        <v>17833</v>
      </c>
      <c r="C2393" s="165"/>
      <c r="D2393" s="165"/>
      <c r="E2393" s="165"/>
      <c r="F2393" s="165"/>
      <c r="G2393" s="165"/>
      <c r="H2393" s="165"/>
      <c r="I2393" s="165"/>
      <c r="J2393" s="165"/>
      <c r="K2393" s="165"/>
      <c r="L2393" s="165"/>
      <c r="M2393" s="165"/>
      <c r="N2393" s="165"/>
      <c r="O2393" s="165"/>
      <c r="P2393" s="165"/>
      <c r="Q2393" s="165"/>
      <c r="R2393" s="165"/>
      <c r="S2393" s="165"/>
      <c r="T2393" s="165"/>
      <c r="U2393" s="165"/>
      <c r="V2393" s="165"/>
      <c r="W2393" s="165"/>
      <c r="X2393" s="165"/>
    </row>
    <row r="2394" ht="18.75" customHeight="1">
      <c r="A2394" s="165">
        <v>2391.0</v>
      </c>
      <c r="B2394" s="165" t="s">
        <v>17834</v>
      </c>
      <c r="C2394" s="165"/>
      <c r="D2394" s="165"/>
      <c r="E2394" s="165"/>
      <c r="F2394" s="165"/>
      <c r="G2394" s="165"/>
      <c r="H2394" s="165"/>
      <c r="I2394" s="165"/>
      <c r="J2394" s="165"/>
      <c r="K2394" s="165"/>
      <c r="L2394" s="165"/>
      <c r="M2394" s="165"/>
      <c r="N2394" s="165"/>
      <c r="O2394" s="165"/>
      <c r="P2394" s="165"/>
      <c r="Q2394" s="165"/>
      <c r="R2394" s="165"/>
      <c r="S2394" s="165"/>
      <c r="T2394" s="165"/>
      <c r="U2394" s="165"/>
      <c r="V2394" s="165"/>
      <c r="W2394" s="165"/>
      <c r="X2394" s="165"/>
    </row>
    <row r="2395" ht="18.75" customHeight="1">
      <c r="A2395" s="165">
        <v>2392.0</v>
      </c>
      <c r="B2395" s="165" t="s">
        <v>17835</v>
      </c>
      <c r="C2395" s="165"/>
      <c r="D2395" s="165"/>
      <c r="E2395" s="165"/>
      <c r="F2395" s="165"/>
      <c r="G2395" s="165"/>
      <c r="H2395" s="165"/>
      <c r="I2395" s="165"/>
      <c r="J2395" s="165"/>
      <c r="K2395" s="165"/>
      <c r="L2395" s="165"/>
      <c r="M2395" s="165"/>
      <c r="N2395" s="165"/>
      <c r="O2395" s="165"/>
      <c r="P2395" s="165"/>
      <c r="Q2395" s="165"/>
      <c r="R2395" s="165"/>
      <c r="S2395" s="165"/>
      <c r="T2395" s="165"/>
      <c r="U2395" s="165"/>
      <c r="V2395" s="165"/>
      <c r="W2395" s="165"/>
      <c r="X2395" s="165"/>
    </row>
    <row r="2396" ht="18.75" customHeight="1">
      <c r="A2396" s="165">
        <v>2393.0</v>
      </c>
      <c r="B2396" s="165" t="s">
        <v>17836</v>
      </c>
      <c r="C2396" s="165"/>
      <c r="D2396" s="165"/>
      <c r="E2396" s="165"/>
      <c r="F2396" s="165"/>
      <c r="G2396" s="165"/>
      <c r="H2396" s="165"/>
      <c r="I2396" s="165"/>
      <c r="J2396" s="165"/>
      <c r="K2396" s="165"/>
      <c r="L2396" s="165"/>
      <c r="M2396" s="165"/>
      <c r="N2396" s="165"/>
      <c r="O2396" s="165"/>
      <c r="P2396" s="165"/>
      <c r="Q2396" s="165"/>
      <c r="R2396" s="165"/>
      <c r="S2396" s="165"/>
      <c r="T2396" s="165"/>
      <c r="U2396" s="165"/>
      <c r="V2396" s="165"/>
      <c r="W2396" s="165"/>
      <c r="X2396" s="165"/>
    </row>
    <row r="2397" ht="18.75" customHeight="1">
      <c r="A2397" s="165">
        <v>2394.0</v>
      </c>
      <c r="B2397" s="165" t="s">
        <v>17837</v>
      </c>
      <c r="C2397" s="165"/>
      <c r="D2397" s="165"/>
      <c r="E2397" s="165"/>
      <c r="F2397" s="165"/>
      <c r="G2397" s="165"/>
      <c r="H2397" s="165"/>
      <c r="I2397" s="165"/>
      <c r="J2397" s="165"/>
      <c r="K2397" s="165"/>
      <c r="L2397" s="165"/>
      <c r="M2397" s="165"/>
      <c r="N2397" s="165"/>
      <c r="O2397" s="165"/>
      <c r="P2397" s="165"/>
      <c r="Q2397" s="165"/>
      <c r="R2397" s="165"/>
      <c r="S2397" s="165"/>
      <c r="T2397" s="165"/>
      <c r="U2397" s="165"/>
      <c r="V2397" s="165"/>
      <c r="W2397" s="165"/>
      <c r="X2397" s="165"/>
    </row>
    <row r="2398" ht="18.75" customHeight="1">
      <c r="A2398" s="165">
        <v>2395.0</v>
      </c>
      <c r="B2398" s="165" t="s">
        <v>17838</v>
      </c>
      <c r="C2398" s="165"/>
      <c r="D2398" s="165"/>
      <c r="E2398" s="165"/>
      <c r="F2398" s="165"/>
      <c r="G2398" s="165"/>
      <c r="H2398" s="165"/>
      <c r="I2398" s="165"/>
      <c r="J2398" s="165"/>
      <c r="K2398" s="165"/>
      <c r="L2398" s="165"/>
      <c r="M2398" s="165"/>
      <c r="N2398" s="165"/>
      <c r="O2398" s="165"/>
      <c r="P2398" s="165"/>
      <c r="Q2398" s="165"/>
      <c r="R2398" s="165"/>
      <c r="S2398" s="165"/>
      <c r="T2398" s="165"/>
      <c r="U2398" s="165"/>
      <c r="V2398" s="165"/>
      <c r="W2398" s="165"/>
      <c r="X2398" s="165"/>
    </row>
    <row r="2399" ht="18.75" customHeight="1">
      <c r="A2399" s="165">
        <v>2396.0</v>
      </c>
      <c r="B2399" s="165" t="s">
        <v>17839</v>
      </c>
      <c r="C2399" s="165"/>
      <c r="D2399" s="165"/>
      <c r="E2399" s="165"/>
      <c r="F2399" s="165"/>
      <c r="G2399" s="165"/>
      <c r="H2399" s="165"/>
      <c r="I2399" s="165"/>
      <c r="J2399" s="165"/>
      <c r="K2399" s="165"/>
      <c r="L2399" s="165"/>
      <c r="M2399" s="165"/>
      <c r="N2399" s="165"/>
      <c r="O2399" s="165"/>
      <c r="P2399" s="165"/>
      <c r="Q2399" s="165"/>
      <c r="R2399" s="165"/>
      <c r="S2399" s="165"/>
      <c r="T2399" s="165"/>
      <c r="U2399" s="165"/>
      <c r="V2399" s="165"/>
      <c r="W2399" s="165"/>
      <c r="X2399" s="165"/>
    </row>
    <row r="2400" ht="18.75" customHeight="1">
      <c r="A2400" s="165">
        <v>2397.0</v>
      </c>
      <c r="B2400" s="165" t="s">
        <v>17840</v>
      </c>
      <c r="C2400" s="165"/>
      <c r="D2400" s="165"/>
      <c r="E2400" s="165"/>
      <c r="F2400" s="165"/>
      <c r="G2400" s="165"/>
      <c r="H2400" s="165"/>
      <c r="I2400" s="165"/>
      <c r="J2400" s="165"/>
      <c r="K2400" s="165"/>
      <c r="L2400" s="165"/>
      <c r="M2400" s="165"/>
      <c r="N2400" s="165"/>
      <c r="O2400" s="165"/>
      <c r="P2400" s="165"/>
      <c r="Q2400" s="165"/>
      <c r="R2400" s="165"/>
      <c r="S2400" s="165"/>
      <c r="T2400" s="165"/>
      <c r="U2400" s="165"/>
      <c r="V2400" s="165"/>
      <c r="W2400" s="165"/>
      <c r="X2400" s="165"/>
    </row>
    <row r="2401" ht="18.75" customHeight="1">
      <c r="A2401" s="165">
        <v>2398.0</v>
      </c>
      <c r="B2401" s="165" t="s">
        <v>17841</v>
      </c>
      <c r="C2401" s="165"/>
      <c r="D2401" s="165"/>
      <c r="E2401" s="165"/>
      <c r="F2401" s="165"/>
      <c r="G2401" s="165"/>
      <c r="H2401" s="165"/>
      <c r="I2401" s="165"/>
      <c r="J2401" s="165"/>
      <c r="K2401" s="165"/>
      <c r="L2401" s="165"/>
      <c r="M2401" s="165"/>
      <c r="N2401" s="165"/>
      <c r="O2401" s="165"/>
      <c r="P2401" s="165"/>
      <c r="Q2401" s="165"/>
      <c r="R2401" s="165"/>
      <c r="S2401" s="165"/>
      <c r="T2401" s="165"/>
      <c r="U2401" s="165"/>
      <c r="V2401" s="165"/>
      <c r="W2401" s="165"/>
      <c r="X2401" s="165"/>
    </row>
    <row r="2402" ht="18.75" customHeight="1">
      <c r="A2402" s="165">
        <v>2399.0</v>
      </c>
      <c r="B2402" s="165" t="s">
        <v>17842</v>
      </c>
      <c r="C2402" s="165"/>
      <c r="D2402" s="165"/>
      <c r="E2402" s="165"/>
      <c r="F2402" s="165"/>
      <c r="G2402" s="165"/>
      <c r="H2402" s="165"/>
      <c r="I2402" s="165"/>
      <c r="J2402" s="165"/>
      <c r="K2402" s="165"/>
      <c r="L2402" s="165"/>
      <c r="M2402" s="165"/>
      <c r="N2402" s="165"/>
      <c r="O2402" s="165"/>
      <c r="P2402" s="165"/>
      <c r="Q2402" s="165"/>
      <c r="R2402" s="165"/>
      <c r="S2402" s="165"/>
      <c r="T2402" s="165"/>
      <c r="U2402" s="165"/>
      <c r="V2402" s="165"/>
      <c r="W2402" s="165"/>
      <c r="X2402" s="165"/>
    </row>
    <row r="2403" ht="18.75" customHeight="1">
      <c r="A2403" s="165">
        <v>2400.0</v>
      </c>
      <c r="B2403" s="165" t="s">
        <v>17843</v>
      </c>
      <c r="C2403" s="165"/>
      <c r="D2403" s="165"/>
      <c r="E2403" s="165"/>
      <c r="F2403" s="165"/>
      <c r="G2403" s="165"/>
      <c r="H2403" s="165"/>
      <c r="I2403" s="165"/>
      <c r="J2403" s="165"/>
      <c r="K2403" s="165"/>
      <c r="L2403" s="165"/>
      <c r="M2403" s="165"/>
      <c r="N2403" s="165"/>
      <c r="O2403" s="165"/>
      <c r="P2403" s="165"/>
      <c r="Q2403" s="165"/>
      <c r="R2403" s="165"/>
      <c r="S2403" s="165"/>
      <c r="T2403" s="165"/>
      <c r="U2403" s="165"/>
      <c r="V2403" s="165"/>
      <c r="W2403" s="165"/>
      <c r="X2403" s="165"/>
    </row>
    <row r="2404" ht="18.75" customHeight="1">
      <c r="A2404" s="165">
        <v>2401.0</v>
      </c>
      <c r="B2404" s="165" t="s">
        <v>17844</v>
      </c>
      <c r="C2404" s="165"/>
      <c r="D2404" s="165"/>
      <c r="E2404" s="165"/>
      <c r="F2404" s="165"/>
      <c r="G2404" s="165"/>
      <c r="H2404" s="165"/>
      <c r="I2404" s="165"/>
      <c r="J2404" s="165"/>
      <c r="K2404" s="165"/>
      <c r="L2404" s="165"/>
      <c r="M2404" s="165"/>
      <c r="N2404" s="165"/>
      <c r="O2404" s="165"/>
      <c r="P2404" s="165"/>
      <c r="Q2404" s="165"/>
      <c r="R2404" s="165"/>
      <c r="S2404" s="165"/>
      <c r="T2404" s="165"/>
      <c r="U2404" s="165"/>
      <c r="V2404" s="165"/>
      <c r="W2404" s="165"/>
      <c r="X2404" s="165"/>
    </row>
    <row r="2405" ht="18.75" customHeight="1">
      <c r="A2405" s="165">
        <v>2402.0</v>
      </c>
      <c r="B2405" s="165" t="s">
        <v>17845</v>
      </c>
      <c r="C2405" s="165"/>
      <c r="D2405" s="165"/>
      <c r="E2405" s="165"/>
      <c r="F2405" s="165"/>
      <c r="G2405" s="165"/>
      <c r="H2405" s="165"/>
      <c r="I2405" s="165"/>
      <c r="J2405" s="165"/>
      <c r="K2405" s="165"/>
      <c r="L2405" s="165"/>
      <c r="M2405" s="165"/>
      <c r="N2405" s="165"/>
      <c r="O2405" s="165"/>
      <c r="P2405" s="165"/>
      <c r="Q2405" s="165"/>
      <c r="R2405" s="165"/>
      <c r="S2405" s="165"/>
      <c r="T2405" s="165"/>
      <c r="U2405" s="165"/>
      <c r="V2405" s="165"/>
      <c r="W2405" s="165"/>
      <c r="X2405" s="165"/>
    </row>
    <row r="2406" ht="18.75" customHeight="1">
      <c r="A2406" s="165">
        <v>2403.0</v>
      </c>
      <c r="B2406" s="165" t="s">
        <v>17846</v>
      </c>
      <c r="C2406" s="165"/>
      <c r="D2406" s="165"/>
      <c r="E2406" s="165"/>
      <c r="F2406" s="165"/>
      <c r="G2406" s="165"/>
      <c r="H2406" s="165"/>
      <c r="I2406" s="165"/>
      <c r="J2406" s="165"/>
      <c r="K2406" s="165"/>
      <c r="L2406" s="165"/>
      <c r="M2406" s="165"/>
      <c r="N2406" s="165"/>
      <c r="O2406" s="165"/>
      <c r="P2406" s="165"/>
      <c r="Q2406" s="165"/>
      <c r="R2406" s="165"/>
      <c r="S2406" s="165"/>
      <c r="T2406" s="165"/>
      <c r="U2406" s="165"/>
      <c r="V2406" s="165"/>
      <c r="W2406" s="165"/>
      <c r="X2406" s="165"/>
    </row>
    <row r="2407" ht="18.75" customHeight="1">
      <c r="A2407" s="165">
        <v>2404.0</v>
      </c>
      <c r="B2407" s="165" t="s">
        <v>17847</v>
      </c>
      <c r="C2407" s="165"/>
      <c r="D2407" s="165"/>
      <c r="E2407" s="165"/>
      <c r="F2407" s="165"/>
      <c r="G2407" s="165"/>
      <c r="H2407" s="165"/>
      <c r="I2407" s="165"/>
      <c r="J2407" s="165"/>
      <c r="K2407" s="165"/>
      <c r="L2407" s="165"/>
      <c r="M2407" s="165"/>
      <c r="N2407" s="165"/>
      <c r="O2407" s="165"/>
      <c r="P2407" s="165"/>
      <c r="Q2407" s="165"/>
      <c r="R2407" s="165"/>
      <c r="S2407" s="165"/>
      <c r="T2407" s="165"/>
      <c r="U2407" s="165"/>
      <c r="V2407" s="165"/>
      <c r="W2407" s="165"/>
      <c r="X2407" s="165"/>
    </row>
    <row r="2408" ht="18.75" customHeight="1">
      <c r="A2408" s="165">
        <v>2405.0</v>
      </c>
      <c r="B2408" s="165" t="s">
        <v>17848</v>
      </c>
      <c r="C2408" s="165"/>
      <c r="D2408" s="165"/>
      <c r="E2408" s="165"/>
      <c r="F2408" s="165"/>
      <c r="G2408" s="165"/>
      <c r="H2408" s="165"/>
      <c r="I2408" s="165"/>
      <c r="J2408" s="165"/>
      <c r="K2408" s="165"/>
      <c r="L2408" s="165"/>
      <c r="M2408" s="165"/>
      <c r="N2408" s="165"/>
      <c r="O2408" s="165"/>
      <c r="P2408" s="165"/>
      <c r="Q2408" s="165"/>
      <c r="R2408" s="165"/>
      <c r="S2408" s="165"/>
      <c r="T2408" s="165"/>
      <c r="U2408" s="165"/>
      <c r="V2408" s="165"/>
      <c r="W2408" s="165"/>
      <c r="X2408" s="165"/>
    </row>
    <row r="2409" ht="18.75" customHeight="1">
      <c r="A2409" s="165">
        <v>2406.0</v>
      </c>
      <c r="B2409" s="165" t="s">
        <v>17849</v>
      </c>
      <c r="C2409" s="165"/>
      <c r="D2409" s="165"/>
      <c r="E2409" s="165"/>
      <c r="F2409" s="165"/>
      <c r="G2409" s="165"/>
      <c r="H2409" s="165"/>
      <c r="I2409" s="165"/>
      <c r="J2409" s="165"/>
      <c r="K2409" s="165"/>
      <c r="L2409" s="165"/>
      <c r="M2409" s="165"/>
      <c r="N2409" s="165"/>
      <c r="O2409" s="165"/>
      <c r="P2409" s="165"/>
      <c r="Q2409" s="165"/>
      <c r="R2409" s="165"/>
      <c r="S2409" s="165"/>
      <c r="T2409" s="165"/>
      <c r="U2409" s="165"/>
      <c r="V2409" s="165"/>
      <c r="W2409" s="165"/>
      <c r="X2409" s="165"/>
    </row>
    <row r="2410" ht="18.75" customHeight="1">
      <c r="A2410" s="165">
        <v>2407.0</v>
      </c>
      <c r="B2410" s="165" t="s">
        <v>17850</v>
      </c>
      <c r="C2410" s="165"/>
      <c r="D2410" s="165"/>
      <c r="E2410" s="165"/>
      <c r="F2410" s="165"/>
      <c r="G2410" s="165"/>
      <c r="H2410" s="165"/>
      <c r="I2410" s="165"/>
      <c r="J2410" s="165"/>
      <c r="K2410" s="165"/>
      <c r="L2410" s="165"/>
      <c r="M2410" s="165"/>
      <c r="N2410" s="165"/>
      <c r="O2410" s="165"/>
      <c r="P2410" s="165"/>
      <c r="Q2410" s="165"/>
      <c r="R2410" s="165"/>
      <c r="S2410" s="165"/>
      <c r="T2410" s="165"/>
      <c r="U2410" s="165"/>
      <c r="V2410" s="165"/>
      <c r="W2410" s="165"/>
      <c r="X2410" s="165"/>
    </row>
    <row r="2411" ht="18.75" customHeight="1">
      <c r="A2411" s="165">
        <v>2408.0</v>
      </c>
      <c r="B2411" s="165" t="s">
        <v>17851</v>
      </c>
      <c r="C2411" s="165"/>
      <c r="D2411" s="165"/>
      <c r="E2411" s="165"/>
      <c r="F2411" s="165"/>
      <c r="G2411" s="165"/>
      <c r="H2411" s="165"/>
      <c r="I2411" s="165"/>
      <c r="J2411" s="165"/>
      <c r="K2411" s="165"/>
      <c r="L2411" s="165"/>
      <c r="M2411" s="165"/>
      <c r="N2411" s="165"/>
      <c r="O2411" s="165"/>
      <c r="P2411" s="165"/>
      <c r="Q2411" s="165"/>
      <c r="R2411" s="165"/>
      <c r="S2411" s="165"/>
      <c r="T2411" s="165"/>
      <c r="U2411" s="165"/>
      <c r="V2411" s="165"/>
      <c r="W2411" s="165"/>
      <c r="X2411" s="165"/>
    </row>
    <row r="2412" ht="18.75" customHeight="1">
      <c r="A2412" s="165">
        <v>2409.0</v>
      </c>
      <c r="B2412" s="165" t="s">
        <v>17852</v>
      </c>
      <c r="C2412" s="165"/>
      <c r="D2412" s="165"/>
      <c r="E2412" s="165"/>
      <c r="F2412" s="165"/>
      <c r="G2412" s="165"/>
      <c r="H2412" s="165"/>
      <c r="I2412" s="165"/>
      <c r="J2412" s="165"/>
      <c r="K2412" s="165"/>
      <c r="L2412" s="165"/>
      <c r="M2412" s="165"/>
      <c r="N2412" s="165"/>
      <c r="O2412" s="165"/>
      <c r="P2412" s="165"/>
      <c r="Q2412" s="165"/>
      <c r="R2412" s="165"/>
      <c r="S2412" s="165"/>
      <c r="T2412" s="165"/>
      <c r="U2412" s="165"/>
      <c r="V2412" s="165"/>
      <c r="W2412" s="165"/>
      <c r="X2412" s="165"/>
    </row>
    <row r="2413" ht="18.75" customHeight="1">
      <c r="A2413" s="165">
        <v>2410.0</v>
      </c>
      <c r="B2413" s="167" t="s">
        <v>17853</v>
      </c>
      <c r="C2413" s="165"/>
      <c r="D2413" s="165"/>
      <c r="E2413" s="165"/>
      <c r="F2413" s="165"/>
      <c r="G2413" s="165"/>
      <c r="H2413" s="165"/>
      <c r="I2413" s="165"/>
      <c r="J2413" s="165"/>
      <c r="K2413" s="165"/>
      <c r="L2413" s="165"/>
      <c r="M2413" s="165"/>
      <c r="N2413" s="165"/>
      <c r="O2413" s="165"/>
      <c r="P2413" s="165"/>
      <c r="Q2413" s="165"/>
      <c r="R2413" s="165"/>
      <c r="S2413" s="165"/>
      <c r="T2413" s="165"/>
      <c r="U2413" s="165"/>
      <c r="V2413" s="165"/>
      <c r="W2413" s="165"/>
      <c r="X2413" s="165"/>
    </row>
    <row r="2414" ht="18.75" customHeight="1">
      <c r="A2414" s="165">
        <v>2411.0</v>
      </c>
      <c r="B2414" s="165" t="s">
        <v>17854</v>
      </c>
      <c r="C2414" s="165"/>
      <c r="D2414" s="165"/>
      <c r="E2414" s="165"/>
      <c r="F2414" s="165"/>
      <c r="G2414" s="165"/>
      <c r="H2414" s="165"/>
      <c r="I2414" s="165"/>
      <c r="J2414" s="165"/>
      <c r="K2414" s="165"/>
      <c r="L2414" s="165"/>
      <c r="M2414" s="165"/>
      <c r="N2414" s="165"/>
      <c r="O2414" s="165"/>
      <c r="P2414" s="165"/>
      <c r="Q2414" s="165"/>
      <c r="R2414" s="165"/>
      <c r="S2414" s="165"/>
      <c r="T2414" s="165"/>
      <c r="U2414" s="165"/>
      <c r="V2414" s="165"/>
      <c r="W2414" s="165"/>
      <c r="X2414" s="165"/>
    </row>
    <row r="2415" ht="18.75" customHeight="1">
      <c r="A2415" s="165">
        <v>2412.0</v>
      </c>
      <c r="B2415" s="167" t="s">
        <v>17855</v>
      </c>
      <c r="C2415" s="165"/>
      <c r="D2415" s="165"/>
      <c r="E2415" s="165"/>
      <c r="F2415" s="165"/>
      <c r="G2415" s="165"/>
      <c r="H2415" s="165"/>
      <c r="I2415" s="165"/>
      <c r="J2415" s="165"/>
      <c r="K2415" s="165"/>
      <c r="L2415" s="165"/>
      <c r="M2415" s="165"/>
      <c r="N2415" s="165"/>
      <c r="O2415" s="165"/>
      <c r="P2415" s="165"/>
      <c r="Q2415" s="165"/>
      <c r="R2415" s="165"/>
      <c r="S2415" s="165"/>
      <c r="T2415" s="165"/>
      <c r="U2415" s="165"/>
      <c r="V2415" s="165"/>
      <c r="W2415" s="165"/>
      <c r="X2415" s="165"/>
    </row>
    <row r="2416" ht="18.75" customHeight="1">
      <c r="A2416" s="165">
        <v>2413.0</v>
      </c>
      <c r="B2416" s="165" t="s">
        <v>17856</v>
      </c>
      <c r="C2416" s="165"/>
      <c r="D2416" s="165"/>
      <c r="E2416" s="165"/>
      <c r="F2416" s="165"/>
      <c r="G2416" s="165"/>
      <c r="H2416" s="165"/>
      <c r="I2416" s="165"/>
      <c r="J2416" s="165"/>
      <c r="K2416" s="165"/>
      <c r="L2416" s="165"/>
      <c r="M2416" s="165"/>
      <c r="N2416" s="165"/>
      <c r="O2416" s="165"/>
      <c r="P2416" s="165"/>
      <c r="Q2416" s="165"/>
      <c r="R2416" s="165"/>
      <c r="S2416" s="165"/>
      <c r="T2416" s="165"/>
      <c r="U2416" s="165"/>
      <c r="V2416" s="165"/>
      <c r="W2416" s="165"/>
      <c r="X2416" s="165"/>
    </row>
    <row r="2417" ht="18.75" customHeight="1">
      <c r="A2417" s="165">
        <v>2414.0</v>
      </c>
      <c r="B2417" s="181" t="s">
        <v>17857</v>
      </c>
      <c r="C2417" s="165"/>
      <c r="D2417" s="165"/>
      <c r="E2417" s="165"/>
      <c r="F2417" s="165"/>
      <c r="G2417" s="165"/>
      <c r="H2417" s="165"/>
      <c r="I2417" s="165"/>
      <c r="J2417" s="165"/>
      <c r="K2417" s="165"/>
      <c r="L2417" s="165"/>
      <c r="M2417" s="165"/>
      <c r="N2417" s="165"/>
      <c r="O2417" s="165"/>
      <c r="P2417" s="165"/>
      <c r="Q2417" s="165"/>
      <c r="R2417" s="165"/>
      <c r="S2417" s="165"/>
      <c r="T2417" s="165"/>
      <c r="U2417" s="165"/>
      <c r="V2417" s="165"/>
      <c r="W2417" s="165"/>
      <c r="X2417" s="165"/>
    </row>
    <row r="2418" ht="18.75" customHeight="1">
      <c r="A2418" s="165">
        <v>2415.0</v>
      </c>
      <c r="B2418" s="165" t="s">
        <v>17858</v>
      </c>
      <c r="C2418" s="165"/>
      <c r="D2418" s="165"/>
      <c r="E2418" s="165"/>
      <c r="F2418" s="165"/>
      <c r="G2418" s="165"/>
      <c r="H2418" s="165"/>
      <c r="I2418" s="165"/>
      <c r="J2418" s="165"/>
      <c r="K2418" s="165"/>
      <c r="L2418" s="165"/>
      <c r="M2418" s="165"/>
      <c r="N2418" s="165"/>
      <c r="O2418" s="165"/>
      <c r="P2418" s="165"/>
      <c r="Q2418" s="165"/>
      <c r="R2418" s="165"/>
      <c r="S2418" s="165"/>
      <c r="T2418" s="165"/>
      <c r="U2418" s="165"/>
      <c r="V2418" s="165"/>
      <c r="W2418" s="165"/>
      <c r="X2418" s="165"/>
    </row>
    <row r="2419" ht="18.75" customHeight="1">
      <c r="A2419" s="165">
        <v>2416.0</v>
      </c>
      <c r="B2419" s="165" t="s">
        <v>17859</v>
      </c>
      <c r="C2419" s="165"/>
      <c r="D2419" s="165"/>
      <c r="E2419" s="165"/>
      <c r="F2419" s="165"/>
      <c r="G2419" s="165"/>
      <c r="H2419" s="165"/>
      <c r="I2419" s="165"/>
      <c r="J2419" s="165"/>
      <c r="K2419" s="165"/>
      <c r="L2419" s="165"/>
      <c r="M2419" s="165"/>
      <c r="N2419" s="165"/>
      <c r="O2419" s="165"/>
      <c r="P2419" s="165"/>
      <c r="Q2419" s="165"/>
      <c r="R2419" s="165"/>
      <c r="S2419" s="165"/>
      <c r="T2419" s="165"/>
      <c r="U2419" s="165"/>
      <c r="V2419" s="165"/>
      <c r="W2419" s="165"/>
      <c r="X2419" s="165"/>
    </row>
    <row r="2420" ht="18.75" customHeight="1">
      <c r="A2420" s="165">
        <v>2417.0</v>
      </c>
      <c r="B2420" s="165" t="s">
        <v>17860</v>
      </c>
      <c r="C2420" s="165"/>
      <c r="D2420" s="165"/>
      <c r="E2420" s="165"/>
      <c r="F2420" s="165"/>
      <c r="G2420" s="165"/>
      <c r="H2420" s="165"/>
      <c r="I2420" s="165"/>
      <c r="J2420" s="165"/>
      <c r="K2420" s="165"/>
      <c r="L2420" s="165"/>
      <c r="M2420" s="165"/>
      <c r="N2420" s="165"/>
      <c r="O2420" s="165"/>
      <c r="P2420" s="165"/>
      <c r="Q2420" s="165"/>
      <c r="R2420" s="165"/>
      <c r="S2420" s="165"/>
      <c r="T2420" s="165"/>
      <c r="U2420" s="165"/>
      <c r="V2420" s="165"/>
      <c r="W2420" s="165"/>
      <c r="X2420" s="165"/>
    </row>
    <row r="2421" ht="18.75" customHeight="1">
      <c r="A2421" s="165">
        <v>2418.0</v>
      </c>
      <c r="B2421" s="165" t="s">
        <v>17861</v>
      </c>
      <c r="C2421" s="165"/>
      <c r="D2421" s="165"/>
      <c r="E2421" s="165"/>
      <c r="F2421" s="165"/>
      <c r="G2421" s="165"/>
      <c r="H2421" s="165"/>
      <c r="I2421" s="165"/>
      <c r="J2421" s="165"/>
      <c r="K2421" s="165"/>
      <c r="L2421" s="165"/>
      <c r="M2421" s="165"/>
      <c r="N2421" s="165"/>
      <c r="O2421" s="165"/>
      <c r="P2421" s="165"/>
      <c r="Q2421" s="165"/>
      <c r="R2421" s="165"/>
      <c r="S2421" s="165"/>
      <c r="T2421" s="165"/>
      <c r="U2421" s="165"/>
      <c r="V2421" s="165"/>
      <c r="W2421" s="165"/>
      <c r="X2421" s="165"/>
    </row>
    <row r="2422" ht="18.75" customHeight="1">
      <c r="A2422" s="165">
        <v>2419.0</v>
      </c>
      <c r="B2422" s="165" t="s">
        <v>17862</v>
      </c>
      <c r="C2422" s="165"/>
      <c r="D2422" s="165"/>
      <c r="E2422" s="165"/>
      <c r="F2422" s="165"/>
      <c r="G2422" s="165"/>
      <c r="H2422" s="165"/>
      <c r="I2422" s="165"/>
      <c r="J2422" s="165"/>
      <c r="K2422" s="165"/>
      <c r="L2422" s="165"/>
      <c r="M2422" s="165"/>
      <c r="N2422" s="165"/>
      <c r="O2422" s="165"/>
      <c r="P2422" s="165"/>
      <c r="Q2422" s="165"/>
      <c r="R2422" s="165"/>
      <c r="S2422" s="165"/>
      <c r="T2422" s="165"/>
      <c r="U2422" s="165"/>
      <c r="V2422" s="165"/>
      <c r="W2422" s="165"/>
      <c r="X2422" s="165"/>
    </row>
    <row r="2423" ht="18.75" customHeight="1">
      <c r="A2423" s="165">
        <v>2420.0</v>
      </c>
      <c r="B2423" s="190" t="s">
        <v>17863</v>
      </c>
      <c r="C2423" s="165"/>
      <c r="D2423" s="165"/>
      <c r="E2423" s="165"/>
      <c r="F2423" s="165"/>
      <c r="G2423" s="165"/>
      <c r="H2423" s="165"/>
      <c r="I2423" s="165"/>
      <c r="J2423" s="165"/>
      <c r="K2423" s="165"/>
      <c r="L2423" s="165"/>
      <c r="M2423" s="165"/>
      <c r="N2423" s="165"/>
      <c r="O2423" s="165"/>
      <c r="P2423" s="165"/>
      <c r="Q2423" s="165"/>
      <c r="R2423" s="165"/>
      <c r="S2423" s="165"/>
      <c r="T2423" s="165"/>
      <c r="U2423" s="165"/>
      <c r="V2423" s="165"/>
      <c r="W2423" s="165"/>
      <c r="X2423" s="165"/>
    </row>
    <row r="2424" ht="18.75" customHeight="1">
      <c r="A2424" s="165">
        <v>2421.0</v>
      </c>
      <c r="B2424" s="190" t="s">
        <v>17864</v>
      </c>
      <c r="C2424" s="165"/>
      <c r="D2424" s="165"/>
      <c r="E2424" s="165"/>
      <c r="F2424" s="165"/>
      <c r="G2424" s="165"/>
      <c r="H2424" s="165"/>
      <c r="I2424" s="165"/>
      <c r="J2424" s="165"/>
      <c r="K2424" s="165"/>
      <c r="L2424" s="165"/>
      <c r="M2424" s="165"/>
      <c r="N2424" s="165"/>
      <c r="O2424" s="165"/>
      <c r="P2424" s="165"/>
      <c r="Q2424" s="165"/>
      <c r="R2424" s="165"/>
      <c r="S2424" s="165"/>
      <c r="T2424" s="165"/>
      <c r="U2424" s="165"/>
      <c r="V2424" s="165"/>
      <c r="W2424" s="165"/>
      <c r="X2424" s="165"/>
    </row>
    <row r="2425" ht="18.75" customHeight="1">
      <c r="A2425" s="165">
        <v>2422.0</v>
      </c>
      <c r="B2425" s="190" t="s">
        <v>17865</v>
      </c>
      <c r="C2425" s="165"/>
      <c r="D2425" s="165"/>
      <c r="E2425" s="165"/>
      <c r="F2425" s="165"/>
      <c r="G2425" s="165"/>
      <c r="H2425" s="165"/>
      <c r="I2425" s="165"/>
      <c r="J2425" s="165"/>
      <c r="K2425" s="165"/>
      <c r="L2425" s="165"/>
      <c r="M2425" s="165"/>
      <c r="N2425" s="165"/>
      <c r="O2425" s="165"/>
      <c r="P2425" s="165"/>
      <c r="Q2425" s="165"/>
      <c r="R2425" s="165"/>
      <c r="S2425" s="165"/>
      <c r="T2425" s="165"/>
      <c r="U2425" s="165"/>
      <c r="V2425" s="165"/>
      <c r="W2425" s="165"/>
      <c r="X2425" s="165"/>
    </row>
    <row r="2426" ht="18.75" customHeight="1">
      <c r="A2426" s="165">
        <v>2423.0</v>
      </c>
      <c r="B2426" s="190" t="s">
        <v>17866</v>
      </c>
      <c r="C2426" s="165"/>
      <c r="D2426" s="165"/>
      <c r="E2426" s="165"/>
      <c r="F2426" s="165"/>
      <c r="G2426" s="165"/>
      <c r="H2426" s="165"/>
      <c r="I2426" s="165"/>
      <c r="J2426" s="165"/>
      <c r="K2426" s="165"/>
      <c r="L2426" s="165"/>
      <c r="M2426" s="165"/>
      <c r="N2426" s="165"/>
      <c r="O2426" s="165"/>
      <c r="P2426" s="165"/>
      <c r="Q2426" s="165"/>
      <c r="R2426" s="165"/>
      <c r="S2426" s="165"/>
      <c r="T2426" s="165"/>
      <c r="U2426" s="165"/>
      <c r="V2426" s="165"/>
      <c r="W2426" s="165"/>
      <c r="X2426" s="165"/>
    </row>
    <row r="2427" ht="18.75" customHeight="1">
      <c r="A2427" s="165">
        <v>2424.0</v>
      </c>
      <c r="B2427" s="190" t="s">
        <v>17867</v>
      </c>
      <c r="C2427" s="165"/>
      <c r="D2427" s="165"/>
      <c r="E2427" s="165"/>
      <c r="F2427" s="165"/>
      <c r="G2427" s="165"/>
      <c r="H2427" s="165"/>
      <c r="I2427" s="165"/>
      <c r="J2427" s="165"/>
      <c r="K2427" s="165"/>
      <c r="L2427" s="165"/>
      <c r="M2427" s="165"/>
      <c r="N2427" s="165"/>
      <c r="O2427" s="165"/>
      <c r="P2427" s="165"/>
      <c r="Q2427" s="165"/>
      <c r="R2427" s="165"/>
      <c r="S2427" s="165"/>
      <c r="T2427" s="165"/>
      <c r="U2427" s="165"/>
      <c r="V2427" s="165"/>
      <c r="W2427" s="165"/>
      <c r="X2427" s="165"/>
    </row>
    <row r="2428" ht="18.75" customHeight="1">
      <c r="A2428" s="165">
        <v>2425.0</v>
      </c>
      <c r="B2428" s="168" t="s">
        <v>17868</v>
      </c>
      <c r="C2428" s="165"/>
      <c r="D2428" s="165"/>
      <c r="E2428" s="165"/>
      <c r="F2428" s="165"/>
      <c r="G2428" s="165"/>
      <c r="H2428" s="165"/>
      <c r="I2428" s="165"/>
      <c r="J2428" s="165"/>
      <c r="K2428" s="165"/>
      <c r="L2428" s="165"/>
      <c r="M2428" s="165"/>
      <c r="N2428" s="165"/>
      <c r="O2428" s="165"/>
      <c r="P2428" s="165"/>
      <c r="Q2428" s="165"/>
      <c r="R2428" s="165"/>
      <c r="S2428" s="165"/>
      <c r="T2428" s="165"/>
      <c r="U2428" s="165"/>
      <c r="V2428" s="165"/>
      <c r="W2428" s="165"/>
      <c r="X2428" s="165"/>
    </row>
    <row r="2429" ht="18.75" customHeight="1">
      <c r="A2429" s="165">
        <v>2426.0</v>
      </c>
      <c r="B2429" s="165" t="s">
        <v>17869</v>
      </c>
      <c r="C2429" s="165"/>
      <c r="D2429" s="165"/>
      <c r="E2429" s="165"/>
      <c r="F2429" s="165"/>
      <c r="G2429" s="165"/>
      <c r="H2429" s="165"/>
      <c r="I2429" s="165"/>
      <c r="J2429" s="165"/>
      <c r="K2429" s="165"/>
      <c r="L2429" s="165"/>
      <c r="M2429" s="165"/>
      <c r="N2429" s="165"/>
      <c r="O2429" s="165"/>
      <c r="P2429" s="165"/>
      <c r="Q2429" s="165"/>
      <c r="R2429" s="165"/>
      <c r="S2429" s="165"/>
      <c r="T2429" s="165"/>
      <c r="U2429" s="165"/>
      <c r="V2429" s="165"/>
      <c r="W2429" s="165"/>
      <c r="X2429" s="165"/>
    </row>
    <row r="2430" ht="18.75" customHeight="1">
      <c r="A2430" s="165">
        <v>2427.0</v>
      </c>
      <c r="B2430" s="165" t="s">
        <v>17870</v>
      </c>
      <c r="C2430" s="165"/>
      <c r="D2430" s="165"/>
      <c r="E2430" s="165"/>
      <c r="F2430" s="165"/>
      <c r="G2430" s="165"/>
      <c r="H2430" s="165"/>
      <c r="I2430" s="165"/>
      <c r="J2430" s="165"/>
      <c r="K2430" s="165"/>
      <c r="L2430" s="165"/>
      <c r="M2430" s="165"/>
      <c r="N2430" s="165"/>
      <c r="O2430" s="165"/>
      <c r="P2430" s="165"/>
      <c r="Q2430" s="165"/>
      <c r="R2430" s="165"/>
      <c r="S2430" s="165"/>
      <c r="T2430" s="165"/>
      <c r="U2430" s="165"/>
      <c r="V2430" s="165"/>
      <c r="W2430" s="165"/>
      <c r="X2430" s="165"/>
    </row>
    <row r="2431" ht="18.75" customHeight="1">
      <c r="A2431" s="165">
        <v>2428.0</v>
      </c>
      <c r="B2431" s="165" t="s">
        <v>17503</v>
      </c>
      <c r="C2431" s="165"/>
      <c r="D2431" s="165"/>
      <c r="E2431" s="165"/>
      <c r="F2431" s="165"/>
      <c r="G2431" s="165"/>
      <c r="H2431" s="165"/>
      <c r="I2431" s="165"/>
      <c r="J2431" s="165"/>
      <c r="K2431" s="165"/>
      <c r="L2431" s="165"/>
      <c r="M2431" s="165"/>
      <c r="N2431" s="165"/>
      <c r="O2431" s="165"/>
      <c r="P2431" s="165"/>
      <c r="Q2431" s="165"/>
      <c r="R2431" s="165"/>
      <c r="S2431" s="165"/>
      <c r="T2431" s="165"/>
      <c r="U2431" s="165"/>
      <c r="V2431" s="165"/>
      <c r="W2431" s="165"/>
      <c r="X2431" s="165"/>
    </row>
    <row r="2432" ht="18.75" customHeight="1">
      <c r="A2432" s="165">
        <v>2429.0</v>
      </c>
      <c r="B2432" s="168" t="s">
        <v>17871</v>
      </c>
      <c r="C2432" s="165"/>
      <c r="D2432" s="165"/>
      <c r="E2432" s="165"/>
      <c r="F2432" s="165"/>
      <c r="G2432" s="165"/>
      <c r="H2432" s="165"/>
      <c r="I2432" s="165"/>
      <c r="J2432" s="165"/>
      <c r="K2432" s="165"/>
      <c r="L2432" s="165"/>
      <c r="M2432" s="165"/>
      <c r="N2432" s="165"/>
      <c r="O2432" s="165"/>
      <c r="P2432" s="165"/>
      <c r="Q2432" s="165"/>
      <c r="R2432" s="165"/>
      <c r="S2432" s="165"/>
      <c r="T2432" s="165"/>
      <c r="U2432" s="165"/>
      <c r="V2432" s="165"/>
      <c r="W2432" s="165"/>
      <c r="X2432" s="165"/>
    </row>
    <row r="2433" ht="18.75" customHeight="1">
      <c r="A2433" s="165">
        <v>2430.0</v>
      </c>
      <c r="B2433" s="165" t="s">
        <v>17872</v>
      </c>
      <c r="C2433" s="165"/>
      <c r="D2433" s="165"/>
      <c r="E2433" s="165"/>
      <c r="F2433" s="165"/>
      <c r="G2433" s="165"/>
      <c r="H2433" s="165"/>
      <c r="I2433" s="165"/>
      <c r="J2433" s="165"/>
      <c r="K2433" s="165"/>
      <c r="L2433" s="165"/>
      <c r="M2433" s="165"/>
      <c r="N2433" s="165"/>
      <c r="O2433" s="165"/>
      <c r="P2433" s="165"/>
      <c r="Q2433" s="165"/>
      <c r="R2433" s="165"/>
      <c r="S2433" s="165"/>
      <c r="T2433" s="165"/>
      <c r="U2433" s="165"/>
      <c r="V2433" s="165"/>
      <c r="W2433" s="165"/>
      <c r="X2433" s="165"/>
    </row>
    <row r="2434" ht="18.75" customHeight="1">
      <c r="A2434" s="165">
        <v>2431.0</v>
      </c>
      <c r="B2434" s="165" t="s">
        <v>17873</v>
      </c>
      <c r="C2434" s="165"/>
      <c r="D2434" s="165"/>
      <c r="E2434" s="165"/>
      <c r="F2434" s="165"/>
      <c r="G2434" s="165"/>
      <c r="H2434" s="165"/>
      <c r="I2434" s="165"/>
      <c r="J2434" s="165"/>
      <c r="K2434" s="165"/>
      <c r="L2434" s="165"/>
      <c r="M2434" s="165"/>
      <c r="N2434" s="165"/>
      <c r="O2434" s="165"/>
      <c r="P2434" s="165"/>
      <c r="Q2434" s="165"/>
      <c r="R2434" s="165"/>
      <c r="S2434" s="165"/>
      <c r="T2434" s="165"/>
      <c r="U2434" s="165"/>
      <c r="V2434" s="165"/>
      <c r="W2434" s="165"/>
      <c r="X2434" s="165"/>
    </row>
    <row r="2435" ht="18.75" customHeight="1">
      <c r="A2435" s="165">
        <v>2432.0</v>
      </c>
      <c r="B2435" s="165" t="s">
        <v>17874</v>
      </c>
      <c r="C2435" s="165"/>
      <c r="D2435" s="165"/>
      <c r="E2435" s="165"/>
      <c r="F2435" s="165"/>
      <c r="G2435" s="165"/>
      <c r="H2435" s="165"/>
      <c r="I2435" s="165"/>
      <c r="J2435" s="165"/>
      <c r="K2435" s="165"/>
      <c r="L2435" s="165"/>
      <c r="M2435" s="165"/>
      <c r="N2435" s="165"/>
      <c r="O2435" s="165"/>
      <c r="P2435" s="165"/>
      <c r="Q2435" s="165"/>
      <c r="R2435" s="165"/>
      <c r="S2435" s="165"/>
      <c r="T2435" s="165"/>
      <c r="U2435" s="165"/>
      <c r="V2435" s="165"/>
      <c r="W2435" s="165"/>
      <c r="X2435" s="165"/>
    </row>
    <row r="2436" ht="18.75" customHeight="1">
      <c r="A2436" s="165">
        <v>2433.0</v>
      </c>
      <c r="B2436" s="165" t="s">
        <v>17875</v>
      </c>
      <c r="C2436" s="165"/>
      <c r="D2436" s="165"/>
      <c r="E2436" s="165"/>
      <c r="F2436" s="165"/>
      <c r="G2436" s="165"/>
      <c r="H2436" s="165"/>
      <c r="I2436" s="165"/>
      <c r="J2436" s="165"/>
      <c r="K2436" s="165"/>
      <c r="L2436" s="165"/>
      <c r="M2436" s="165"/>
      <c r="N2436" s="165"/>
      <c r="O2436" s="165"/>
      <c r="P2436" s="165"/>
      <c r="Q2436" s="165"/>
      <c r="R2436" s="165"/>
      <c r="S2436" s="165"/>
      <c r="T2436" s="165"/>
      <c r="U2436" s="165"/>
      <c r="V2436" s="165"/>
      <c r="W2436" s="165"/>
      <c r="X2436" s="165"/>
    </row>
    <row r="2437" ht="18.75" customHeight="1">
      <c r="A2437" s="165">
        <v>2434.0</v>
      </c>
      <c r="B2437" s="165" t="s">
        <v>17876</v>
      </c>
      <c r="C2437" s="165"/>
      <c r="D2437" s="165"/>
      <c r="E2437" s="165"/>
      <c r="F2437" s="165"/>
      <c r="G2437" s="165"/>
      <c r="H2437" s="165"/>
      <c r="I2437" s="165"/>
      <c r="J2437" s="165"/>
      <c r="K2437" s="165"/>
      <c r="L2437" s="165"/>
      <c r="M2437" s="165"/>
      <c r="N2437" s="165"/>
      <c r="O2437" s="165"/>
      <c r="P2437" s="165"/>
      <c r="Q2437" s="165"/>
      <c r="R2437" s="165"/>
      <c r="S2437" s="165"/>
      <c r="T2437" s="165"/>
      <c r="U2437" s="165"/>
      <c r="V2437" s="165"/>
      <c r="W2437" s="165"/>
      <c r="X2437" s="165"/>
    </row>
    <row r="2438" ht="18.75" customHeight="1">
      <c r="A2438" s="165">
        <v>2435.0</v>
      </c>
      <c r="B2438" s="165" t="s">
        <v>17877</v>
      </c>
      <c r="C2438" s="165"/>
      <c r="D2438" s="165"/>
      <c r="E2438" s="165"/>
      <c r="F2438" s="165"/>
      <c r="G2438" s="165"/>
      <c r="H2438" s="165"/>
      <c r="I2438" s="165"/>
      <c r="J2438" s="165"/>
      <c r="K2438" s="165"/>
      <c r="L2438" s="165"/>
      <c r="M2438" s="165"/>
      <c r="N2438" s="165"/>
      <c r="O2438" s="165"/>
      <c r="P2438" s="165"/>
      <c r="Q2438" s="165"/>
      <c r="R2438" s="165"/>
      <c r="S2438" s="165"/>
      <c r="T2438" s="165"/>
      <c r="U2438" s="165"/>
      <c r="V2438" s="165"/>
      <c r="W2438" s="165"/>
      <c r="X2438" s="165"/>
    </row>
    <row r="2439" ht="18.75" customHeight="1">
      <c r="A2439" s="165">
        <v>2436.0</v>
      </c>
      <c r="B2439" s="165" t="s">
        <v>17878</v>
      </c>
      <c r="C2439" s="165"/>
      <c r="D2439" s="165"/>
      <c r="E2439" s="165"/>
      <c r="F2439" s="165"/>
      <c r="G2439" s="165"/>
      <c r="H2439" s="165"/>
      <c r="I2439" s="165"/>
      <c r="J2439" s="165"/>
      <c r="K2439" s="165"/>
      <c r="L2439" s="165"/>
      <c r="M2439" s="165"/>
      <c r="N2439" s="165"/>
      <c r="O2439" s="165"/>
      <c r="P2439" s="165"/>
      <c r="Q2439" s="165"/>
      <c r="R2439" s="165"/>
      <c r="S2439" s="165"/>
      <c r="T2439" s="165"/>
      <c r="U2439" s="165"/>
      <c r="V2439" s="165"/>
      <c r="W2439" s="165"/>
      <c r="X2439" s="165"/>
    </row>
    <row r="2440" ht="18.75" customHeight="1">
      <c r="A2440" s="165">
        <v>2437.0</v>
      </c>
      <c r="B2440" s="165" t="s">
        <v>17879</v>
      </c>
      <c r="C2440" s="165"/>
      <c r="D2440" s="165"/>
      <c r="E2440" s="165"/>
      <c r="F2440" s="165"/>
      <c r="G2440" s="165"/>
      <c r="H2440" s="165"/>
      <c r="I2440" s="165"/>
      <c r="J2440" s="165"/>
      <c r="K2440" s="165"/>
      <c r="L2440" s="165"/>
      <c r="M2440" s="165"/>
      <c r="N2440" s="165"/>
      <c r="O2440" s="165"/>
      <c r="P2440" s="165"/>
      <c r="Q2440" s="165"/>
      <c r="R2440" s="165"/>
      <c r="S2440" s="165"/>
      <c r="T2440" s="165"/>
      <c r="U2440" s="165"/>
      <c r="V2440" s="165"/>
      <c r="W2440" s="165"/>
      <c r="X2440" s="165"/>
    </row>
    <row r="2441" ht="18.75" customHeight="1">
      <c r="A2441" s="165">
        <v>2438.0</v>
      </c>
      <c r="B2441" s="165" t="s">
        <v>17880</v>
      </c>
      <c r="C2441" s="165"/>
      <c r="D2441" s="165"/>
      <c r="E2441" s="165"/>
      <c r="F2441" s="165"/>
      <c r="G2441" s="165"/>
      <c r="H2441" s="165"/>
      <c r="I2441" s="165"/>
      <c r="J2441" s="165"/>
      <c r="K2441" s="165"/>
      <c r="L2441" s="165"/>
      <c r="M2441" s="165"/>
      <c r="N2441" s="165"/>
      <c r="O2441" s="165"/>
      <c r="P2441" s="165"/>
      <c r="Q2441" s="165"/>
      <c r="R2441" s="165"/>
      <c r="S2441" s="165"/>
      <c r="T2441" s="165"/>
      <c r="U2441" s="165"/>
      <c r="V2441" s="165"/>
      <c r="W2441" s="165"/>
      <c r="X2441" s="165"/>
    </row>
    <row r="2442" ht="18.75" customHeight="1">
      <c r="A2442" s="165">
        <v>2439.0</v>
      </c>
      <c r="B2442" s="165" t="s">
        <v>17881</v>
      </c>
      <c r="C2442" s="165"/>
      <c r="D2442" s="165"/>
      <c r="E2442" s="165"/>
      <c r="F2442" s="165"/>
      <c r="G2442" s="165"/>
      <c r="H2442" s="165"/>
      <c r="I2442" s="165"/>
      <c r="J2442" s="165"/>
      <c r="K2442" s="165"/>
      <c r="L2442" s="165"/>
      <c r="M2442" s="165"/>
      <c r="N2442" s="165"/>
      <c r="O2442" s="165"/>
      <c r="P2442" s="165"/>
      <c r="Q2442" s="165"/>
      <c r="R2442" s="165"/>
      <c r="S2442" s="165"/>
      <c r="T2442" s="165"/>
      <c r="U2442" s="165"/>
      <c r="V2442" s="165"/>
      <c r="W2442" s="165"/>
      <c r="X2442" s="165"/>
    </row>
    <row r="2443" ht="18.75" customHeight="1">
      <c r="A2443" s="165">
        <v>2440.0</v>
      </c>
      <c r="B2443" s="165" t="s">
        <v>17882</v>
      </c>
      <c r="C2443" s="165"/>
      <c r="D2443" s="165"/>
      <c r="E2443" s="165"/>
      <c r="F2443" s="165"/>
      <c r="G2443" s="165"/>
      <c r="H2443" s="165"/>
      <c r="I2443" s="165"/>
      <c r="J2443" s="165"/>
      <c r="K2443" s="165"/>
      <c r="L2443" s="165"/>
      <c r="M2443" s="165"/>
      <c r="N2443" s="165"/>
      <c r="O2443" s="165"/>
      <c r="P2443" s="165"/>
      <c r="Q2443" s="165"/>
      <c r="R2443" s="165"/>
      <c r="S2443" s="165"/>
      <c r="T2443" s="165"/>
      <c r="U2443" s="165"/>
      <c r="V2443" s="165"/>
      <c r="W2443" s="165"/>
      <c r="X2443" s="165"/>
    </row>
    <row r="2444" ht="18.75" customHeight="1">
      <c r="A2444" s="165">
        <v>2441.0</v>
      </c>
      <c r="B2444" s="165" t="s">
        <v>17883</v>
      </c>
      <c r="C2444" s="165"/>
      <c r="D2444" s="165"/>
      <c r="E2444" s="165"/>
      <c r="F2444" s="165"/>
      <c r="G2444" s="165"/>
      <c r="H2444" s="165"/>
      <c r="I2444" s="165"/>
      <c r="J2444" s="165"/>
      <c r="K2444" s="165"/>
      <c r="L2444" s="165"/>
      <c r="M2444" s="165"/>
      <c r="N2444" s="165"/>
      <c r="O2444" s="165"/>
      <c r="P2444" s="165"/>
      <c r="Q2444" s="165"/>
      <c r="R2444" s="165"/>
      <c r="S2444" s="165"/>
      <c r="T2444" s="165"/>
      <c r="U2444" s="165"/>
      <c r="V2444" s="165"/>
      <c r="W2444" s="165"/>
      <c r="X2444" s="165"/>
    </row>
    <row r="2445" ht="18.75" customHeight="1">
      <c r="A2445" s="165">
        <v>2442.0</v>
      </c>
      <c r="B2445" s="165" t="s">
        <v>17884</v>
      </c>
      <c r="C2445" s="165"/>
      <c r="D2445" s="165"/>
      <c r="E2445" s="165"/>
      <c r="F2445" s="165"/>
      <c r="G2445" s="165"/>
      <c r="H2445" s="165"/>
      <c r="I2445" s="165"/>
      <c r="J2445" s="165"/>
      <c r="K2445" s="165"/>
      <c r="L2445" s="165"/>
      <c r="M2445" s="165"/>
      <c r="N2445" s="165"/>
      <c r="O2445" s="165"/>
      <c r="P2445" s="165"/>
      <c r="Q2445" s="165"/>
      <c r="R2445" s="165"/>
      <c r="S2445" s="165"/>
      <c r="T2445" s="165"/>
      <c r="U2445" s="165"/>
      <c r="V2445" s="165"/>
      <c r="W2445" s="165"/>
      <c r="X2445" s="165"/>
    </row>
    <row r="2446" ht="18.75" customHeight="1">
      <c r="A2446" s="165">
        <v>2443.0</v>
      </c>
      <c r="B2446" s="165" t="s">
        <v>17885</v>
      </c>
      <c r="C2446" s="165"/>
      <c r="D2446" s="165"/>
      <c r="E2446" s="165"/>
      <c r="F2446" s="165"/>
      <c r="G2446" s="165"/>
      <c r="H2446" s="165"/>
      <c r="I2446" s="165"/>
      <c r="J2446" s="165"/>
      <c r="K2446" s="165"/>
      <c r="L2446" s="165"/>
      <c r="M2446" s="165"/>
      <c r="N2446" s="165"/>
      <c r="O2446" s="165"/>
      <c r="P2446" s="165"/>
      <c r="Q2446" s="165"/>
      <c r="R2446" s="165"/>
      <c r="S2446" s="165"/>
      <c r="T2446" s="165"/>
      <c r="U2446" s="165"/>
      <c r="V2446" s="165"/>
      <c r="W2446" s="165"/>
      <c r="X2446" s="165"/>
    </row>
    <row r="2447" ht="18.75" customHeight="1">
      <c r="A2447" s="165">
        <v>2444.0</v>
      </c>
      <c r="B2447" s="165" t="s">
        <v>17886</v>
      </c>
      <c r="C2447" s="165"/>
      <c r="D2447" s="165"/>
      <c r="E2447" s="165"/>
      <c r="F2447" s="165"/>
      <c r="G2447" s="165"/>
      <c r="H2447" s="165"/>
      <c r="I2447" s="165"/>
      <c r="J2447" s="165"/>
      <c r="K2447" s="165"/>
      <c r="L2447" s="165"/>
      <c r="M2447" s="165"/>
      <c r="N2447" s="165"/>
      <c r="O2447" s="165"/>
      <c r="P2447" s="165"/>
      <c r="Q2447" s="165"/>
      <c r="R2447" s="165"/>
      <c r="S2447" s="165"/>
      <c r="T2447" s="165"/>
      <c r="U2447" s="165"/>
      <c r="V2447" s="165"/>
      <c r="W2447" s="165"/>
      <c r="X2447" s="165"/>
    </row>
    <row r="2448" ht="18.75" customHeight="1">
      <c r="A2448" s="165">
        <v>2445.0</v>
      </c>
      <c r="B2448" s="165" t="s">
        <v>17887</v>
      </c>
      <c r="C2448" s="165"/>
      <c r="D2448" s="165"/>
      <c r="E2448" s="165"/>
      <c r="F2448" s="165"/>
      <c r="G2448" s="165"/>
      <c r="H2448" s="165"/>
      <c r="I2448" s="165"/>
      <c r="J2448" s="165"/>
      <c r="K2448" s="165"/>
      <c r="L2448" s="165"/>
      <c r="M2448" s="165"/>
      <c r="N2448" s="165"/>
      <c r="O2448" s="165"/>
      <c r="P2448" s="165"/>
      <c r="Q2448" s="165"/>
      <c r="R2448" s="165"/>
      <c r="S2448" s="165"/>
      <c r="T2448" s="165"/>
      <c r="U2448" s="165"/>
      <c r="V2448" s="165"/>
      <c r="W2448" s="165"/>
      <c r="X2448" s="165"/>
    </row>
    <row r="2449" ht="18.75" customHeight="1">
      <c r="A2449" s="165">
        <v>2446.0</v>
      </c>
      <c r="B2449" s="167" t="s">
        <v>17888</v>
      </c>
      <c r="C2449" s="165" t="s">
        <v>17889</v>
      </c>
      <c r="D2449" s="165" t="s">
        <v>17890</v>
      </c>
      <c r="E2449" s="165"/>
      <c r="F2449" s="165"/>
      <c r="G2449" s="165"/>
      <c r="H2449" s="165"/>
      <c r="I2449" s="165"/>
      <c r="J2449" s="165"/>
      <c r="K2449" s="165"/>
      <c r="L2449" s="165"/>
      <c r="M2449" s="165"/>
      <c r="N2449" s="165"/>
      <c r="O2449" s="165"/>
      <c r="P2449" s="165"/>
      <c r="Q2449" s="165"/>
      <c r="R2449" s="165"/>
      <c r="S2449" s="165"/>
      <c r="T2449" s="165"/>
      <c r="U2449" s="165"/>
      <c r="V2449" s="165"/>
      <c r="W2449" s="165"/>
      <c r="X2449" s="165"/>
    </row>
    <row r="2450" ht="18.75" customHeight="1">
      <c r="A2450" s="165">
        <v>2447.0</v>
      </c>
      <c r="B2450" s="167" t="s">
        <v>17889</v>
      </c>
      <c r="C2450" s="165"/>
      <c r="D2450" s="165"/>
      <c r="E2450" s="165"/>
      <c r="F2450" s="165"/>
      <c r="G2450" s="165"/>
      <c r="H2450" s="165"/>
      <c r="I2450" s="165"/>
      <c r="J2450" s="165"/>
      <c r="K2450" s="165"/>
      <c r="L2450" s="165"/>
      <c r="M2450" s="165"/>
      <c r="N2450" s="165"/>
      <c r="O2450" s="165"/>
      <c r="P2450" s="165"/>
      <c r="Q2450" s="165"/>
      <c r="R2450" s="165"/>
      <c r="S2450" s="165"/>
      <c r="T2450" s="165"/>
      <c r="U2450" s="165"/>
      <c r="V2450" s="165"/>
      <c r="W2450" s="165"/>
      <c r="X2450" s="165"/>
    </row>
    <row r="2451" ht="18.75" customHeight="1">
      <c r="A2451" s="165">
        <v>2448.0</v>
      </c>
      <c r="B2451" s="165" t="s">
        <v>17890</v>
      </c>
      <c r="C2451" s="165"/>
      <c r="D2451" s="165"/>
      <c r="E2451" s="165"/>
      <c r="F2451" s="165"/>
      <c r="G2451" s="165"/>
      <c r="H2451" s="165"/>
      <c r="I2451" s="165"/>
      <c r="J2451" s="165"/>
      <c r="K2451" s="165"/>
      <c r="L2451" s="165"/>
      <c r="M2451" s="165"/>
      <c r="N2451" s="165"/>
      <c r="O2451" s="165"/>
      <c r="P2451" s="165"/>
      <c r="Q2451" s="165"/>
      <c r="R2451" s="165"/>
      <c r="S2451" s="165"/>
      <c r="T2451" s="165"/>
      <c r="U2451" s="165"/>
      <c r="V2451" s="165"/>
      <c r="W2451" s="165"/>
      <c r="X2451" s="165"/>
    </row>
    <row r="2452" ht="18.75" customHeight="1">
      <c r="A2452" s="165">
        <v>2449.0</v>
      </c>
      <c r="B2452" s="165" t="s">
        <v>17891</v>
      </c>
      <c r="C2452" s="165"/>
      <c r="D2452" s="165"/>
      <c r="E2452" s="165"/>
      <c r="F2452" s="165"/>
      <c r="G2452" s="165"/>
      <c r="H2452" s="165"/>
      <c r="I2452" s="165"/>
      <c r="J2452" s="165"/>
      <c r="K2452" s="165"/>
      <c r="L2452" s="165"/>
      <c r="M2452" s="165"/>
      <c r="N2452" s="165"/>
      <c r="O2452" s="165"/>
      <c r="P2452" s="165"/>
      <c r="Q2452" s="165"/>
      <c r="R2452" s="165"/>
      <c r="S2452" s="165"/>
      <c r="T2452" s="165"/>
      <c r="U2452" s="165"/>
      <c r="V2452" s="165"/>
      <c r="W2452" s="165"/>
      <c r="X2452" s="165"/>
    </row>
    <row r="2453" ht="18.75" customHeight="1">
      <c r="A2453" s="165">
        <v>2450.0</v>
      </c>
      <c r="B2453" s="165" t="s">
        <v>17892</v>
      </c>
      <c r="C2453" s="165"/>
      <c r="D2453" s="165"/>
      <c r="E2453" s="165"/>
      <c r="F2453" s="165"/>
      <c r="G2453" s="165"/>
      <c r="H2453" s="165"/>
      <c r="I2453" s="165"/>
      <c r="J2453" s="165"/>
      <c r="K2453" s="165"/>
      <c r="L2453" s="165"/>
      <c r="M2453" s="165"/>
      <c r="N2453" s="165"/>
      <c r="O2453" s="165"/>
      <c r="P2453" s="165"/>
      <c r="Q2453" s="165"/>
      <c r="R2453" s="165"/>
      <c r="S2453" s="165"/>
      <c r="T2453" s="165"/>
      <c r="U2453" s="165"/>
      <c r="V2453" s="165"/>
      <c r="W2453" s="165"/>
      <c r="X2453" s="165"/>
    </row>
    <row r="2454" ht="18.75" customHeight="1">
      <c r="A2454" s="165">
        <v>2451.0</v>
      </c>
      <c r="B2454" s="165" t="s">
        <v>17893</v>
      </c>
      <c r="C2454" s="165"/>
      <c r="D2454" s="165"/>
      <c r="E2454" s="165"/>
      <c r="F2454" s="165"/>
      <c r="G2454" s="165"/>
      <c r="H2454" s="165"/>
      <c r="I2454" s="165"/>
      <c r="J2454" s="165"/>
      <c r="K2454" s="165"/>
      <c r="L2454" s="165"/>
      <c r="M2454" s="165"/>
      <c r="N2454" s="165"/>
      <c r="O2454" s="165"/>
      <c r="P2454" s="165"/>
      <c r="Q2454" s="165"/>
      <c r="R2454" s="165"/>
      <c r="S2454" s="165"/>
      <c r="T2454" s="165"/>
      <c r="U2454" s="165"/>
      <c r="V2454" s="165"/>
      <c r="W2454" s="165"/>
      <c r="X2454" s="165"/>
    </row>
    <row r="2455" ht="18.75" customHeight="1">
      <c r="A2455" s="165">
        <v>2452.0</v>
      </c>
      <c r="B2455" s="165" t="s">
        <v>17894</v>
      </c>
      <c r="C2455" s="165"/>
      <c r="D2455" s="165"/>
      <c r="E2455" s="165"/>
      <c r="F2455" s="165"/>
      <c r="G2455" s="165"/>
      <c r="H2455" s="165"/>
      <c r="I2455" s="165"/>
      <c r="J2455" s="165"/>
      <c r="K2455" s="165"/>
      <c r="L2455" s="165"/>
      <c r="M2455" s="165"/>
      <c r="N2455" s="165"/>
      <c r="O2455" s="165"/>
      <c r="P2455" s="165"/>
      <c r="Q2455" s="165"/>
      <c r="R2455" s="165"/>
      <c r="S2455" s="165"/>
      <c r="T2455" s="165"/>
      <c r="U2455" s="165"/>
      <c r="V2455" s="165"/>
      <c r="W2455" s="165"/>
      <c r="X2455" s="165"/>
    </row>
    <row r="2456" ht="18.75" customHeight="1">
      <c r="A2456" s="165">
        <v>2453.0</v>
      </c>
      <c r="B2456" s="165" t="s">
        <v>17895</v>
      </c>
      <c r="C2456" s="165"/>
      <c r="D2456" s="165"/>
      <c r="E2456" s="165"/>
      <c r="F2456" s="165"/>
      <c r="G2456" s="165"/>
      <c r="H2456" s="165"/>
      <c r="I2456" s="165"/>
      <c r="J2456" s="165"/>
      <c r="K2456" s="165"/>
      <c r="L2456" s="165"/>
      <c r="M2456" s="165"/>
      <c r="N2456" s="165"/>
      <c r="O2456" s="165"/>
      <c r="P2456" s="165"/>
      <c r="Q2456" s="165"/>
      <c r="R2456" s="165"/>
      <c r="S2456" s="165"/>
      <c r="T2456" s="165"/>
      <c r="U2456" s="165"/>
      <c r="V2456" s="165"/>
      <c r="W2456" s="165"/>
      <c r="X2456" s="165"/>
    </row>
    <row r="2457" ht="18.75" customHeight="1">
      <c r="A2457" s="165">
        <v>2454.0</v>
      </c>
      <c r="B2457" s="165" t="s">
        <v>17896</v>
      </c>
      <c r="C2457" s="165"/>
      <c r="D2457" s="165"/>
      <c r="E2457" s="165"/>
      <c r="F2457" s="165"/>
      <c r="G2457" s="165"/>
      <c r="H2457" s="165"/>
      <c r="I2457" s="165"/>
      <c r="J2457" s="165"/>
      <c r="K2457" s="165"/>
      <c r="L2457" s="165"/>
      <c r="M2457" s="165"/>
      <c r="N2457" s="165"/>
      <c r="O2457" s="165"/>
      <c r="P2457" s="165"/>
      <c r="Q2457" s="165"/>
      <c r="R2457" s="165"/>
      <c r="S2457" s="165"/>
      <c r="T2457" s="165"/>
      <c r="U2457" s="165"/>
      <c r="V2457" s="165"/>
      <c r="W2457" s="165"/>
      <c r="X2457" s="165"/>
    </row>
    <row r="2458" ht="18.75" customHeight="1">
      <c r="A2458" s="165">
        <v>2455.0</v>
      </c>
      <c r="B2458" s="165" t="s">
        <v>17897</v>
      </c>
      <c r="C2458" s="165"/>
      <c r="D2458" s="165"/>
      <c r="E2458" s="165"/>
      <c r="F2458" s="165"/>
      <c r="G2458" s="165"/>
      <c r="H2458" s="165"/>
      <c r="I2458" s="165"/>
      <c r="J2458" s="165"/>
      <c r="K2458" s="165"/>
      <c r="L2458" s="165"/>
      <c r="M2458" s="165"/>
      <c r="N2458" s="165"/>
      <c r="O2458" s="165"/>
      <c r="P2458" s="165"/>
      <c r="Q2458" s="165"/>
      <c r="R2458" s="165"/>
      <c r="S2458" s="165"/>
      <c r="T2458" s="165"/>
      <c r="U2458" s="165"/>
      <c r="V2458" s="165"/>
      <c r="W2458" s="165"/>
      <c r="X2458" s="165"/>
    </row>
    <row r="2459" ht="18.75" customHeight="1">
      <c r="A2459" s="165">
        <v>2456.0</v>
      </c>
      <c r="B2459" s="165" t="s">
        <v>17898</v>
      </c>
      <c r="C2459" s="165"/>
      <c r="D2459" s="165"/>
      <c r="E2459" s="165"/>
      <c r="F2459" s="165"/>
      <c r="G2459" s="165"/>
      <c r="H2459" s="165"/>
      <c r="I2459" s="165"/>
      <c r="J2459" s="165"/>
      <c r="K2459" s="165"/>
      <c r="L2459" s="165"/>
      <c r="M2459" s="165"/>
      <c r="N2459" s="165"/>
      <c r="O2459" s="165"/>
      <c r="P2459" s="165"/>
      <c r="Q2459" s="165"/>
      <c r="R2459" s="165"/>
      <c r="S2459" s="165"/>
      <c r="T2459" s="165"/>
      <c r="U2459" s="165"/>
      <c r="V2459" s="165"/>
      <c r="W2459" s="165"/>
      <c r="X2459" s="165"/>
    </row>
    <row r="2460" ht="18.75" customHeight="1">
      <c r="A2460" s="165">
        <v>2457.0</v>
      </c>
      <c r="B2460" s="165" t="s">
        <v>17899</v>
      </c>
      <c r="C2460" s="165"/>
      <c r="D2460" s="165"/>
      <c r="E2460" s="165"/>
      <c r="F2460" s="165"/>
      <c r="G2460" s="165"/>
      <c r="H2460" s="165"/>
      <c r="I2460" s="165"/>
      <c r="J2460" s="165"/>
      <c r="K2460" s="165"/>
      <c r="L2460" s="165"/>
      <c r="M2460" s="165"/>
      <c r="N2460" s="165"/>
      <c r="O2460" s="165"/>
      <c r="P2460" s="165"/>
      <c r="Q2460" s="165"/>
      <c r="R2460" s="165"/>
      <c r="S2460" s="165"/>
      <c r="T2460" s="165"/>
      <c r="U2460" s="165"/>
      <c r="V2460" s="165"/>
      <c r="W2460" s="165"/>
      <c r="X2460" s="165"/>
    </row>
    <row r="2461" ht="18.75" customHeight="1">
      <c r="A2461" s="165">
        <v>2458.0</v>
      </c>
      <c r="B2461" s="165" t="s">
        <v>17900</v>
      </c>
      <c r="C2461" s="165"/>
      <c r="D2461" s="165"/>
      <c r="E2461" s="165"/>
      <c r="F2461" s="165"/>
      <c r="G2461" s="165"/>
      <c r="H2461" s="165"/>
      <c r="I2461" s="165"/>
      <c r="J2461" s="165"/>
      <c r="K2461" s="165"/>
      <c r="L2461" s="165"/>
      <c r="M2461" s="165"/>
      <c r="N2461" s="165"/>
      <c r="O2461" s="165"/>
      <c r="P2461" s="165"/>
      <c r="Q2461" s="165"/>
      <c r="R2461" s="165"/>
      <c r="S2461" s="165"/>
      <c r="T2461" s="165"/>
      <c r="U2461" s="165"/>
      <c r="V2461" s="165"/>
      <c r="W2461" s="165"/>
      <c r="X2461" s="165"/>
    </row>
    <row r="2462" ht="18.75" customHeight="1">
      <c r="A2462" s="165">
        <v>2459.0</v>
      </c>
      <c r="B2462" s="165" t="s">
        <v>17901</v>
      </c>
      <c r="C2462" s="165"/>
      <c r="D2462" s="165"/>
      <c r="E2462" s="165"/>
      <c r="F2462" s="165"/>
      <c r="G2462" s="165"/>
      <c r="H2462" s="165"/>
      <c r="I2462" s="165"/>
      <c r="J2462" s="165"/>
      <c r="K2462" s="165"/>
      <c r="L2462" s="165"/>
      <c r="M2462" s="165"/>
      <c r="N2462" s="165"/>
      <c r="O2462" s="165"/>
      <c r="P2462" s="165"/>
      <c r="Q2462" s="165"/>
      <c r="R2462" s="165"/>
      <c r="S2462" s="165"/>
      <c r="T2462" s="165"/>
      <c r="U2462" s="165"/>
      <c r="V2462" s="165"/>
      <c r="W2462" s="165"/>
      <c r="X2462" s="165"/>
    </row>
    <row r="2463" ht="18.75" customHeight="1">
      <c r="A2463" s="165">
        <v>2460.0</v>
      </c>
      <c r="B2463" s="165" t="s">
        <v>17902</v>
      </c>
      <c r="C2463" s="165"/>
      <c r="D2463" s="165"/>
      <c r="E2463" s="165"/>
      <c r="F2463" s="165"/>
      <c r="G2463" s="165"/>
      <c r="H2463" s="165"/>
      <c r="I2463" s="165"/>
      <c r="J2463" s="165"/>
      <c r="K2463" s="165"/>
      <c r="L2463" s="165"/>
      <c r="M2463" s="165"/>
      <c r="N2463" s="165"/>
      <c r="O2463" s="165"/>
      <c r="P2463" s="165"/>
      <c r="Q2463" s="165"/>
      <c r="R2463" s="165"/>
      <c r="S2463" s="165"/>
      <c r="T2463" s="165"/>
      <c r="U2463" s="165"/>
      <c r="V2463" s="165"/>
      <c r="W2463" s="165"/>
      <c r="X2463" s="165"/>
    </row>
    <row r="2464" ht="18.75" customHeight="1">
      <c r="A2464" s="165">
        <v>2461.0</v>
      </c>
      <c r="B2464" s="167" t="s">
        <v>17903</v>
      </c>
      <c r="C2464" s="165"/>
      <c r="D2464" s="165"/>
      <c r="E2464" s="165"/>
      <c r="F2464" s="165"/>
      <c r="G2464" s="165"/>
      <c r="H2464" s="165"/>
      <c r="I2464" s="165"/>
      <c r="J2464" s="165"/>
      <c r="K2464" s="165"/>
      <c r="L2464" s="165"/>
      <c r="M2464" s="165"/>
      <c r="N2464" s="165"/>
      <c r="O2464" s="165"/>
      <c r="P2464" s="165"/>
      <c r="Q2464" s="165"/>
      <c r="R2464" s="165"/>
      <c r="S2464" s="165"/>
      <c r="T2464" s="165"/>
      <c r="U2464" s="165"/>
      <c r="V2464" s="165"/>
      <c r="W2464" s="165"/>
      <c r="X2464" s="165"/>
    </row>
    <row r="2465" ht="18.75" customHeight="1">
      <c r="A2465" s="165">
        <v>2462.0</v>
      </c>
      <c r="B2465" s="167" t="s">
        <v>17904</v>
      </c>
      <c r="C2465" s="165"/>
      <c r="D2465" s="165"/>
      <c r="E2465" s="165"/>
      <c r="F2465" s="165"/>
      <c r="G2465" s="165"/>
      <c r="H2465" s="165"/>
      <c r="I2465" s="165"/>
      <c r="J2465" s="165"/>
      <c r="K2465" s="165"/>
      <c r="L2465" s="165"/>
      <c r="M2465" s="165"/>
      <c r="N2465" s="165"/>
      <c r="O2465" s="165"/>
      <c r="P2465" s="165"/>
      <c r="Q2465" s="165"/>
      <c r="R2465" s="165"/>
      <c r="S2465" s="165"/>
      <c r="T2465" s="165"/>
      <c r="U2465" s="165"/>
      <c r="V2465" s="165"/>
      <c r="W2465" s="165"/>
      <c r="X2465" s="165"/>
    </row>
    <row r="2466" ht="18.75" customHeight="1">
      <c r="A2466" s="165">
        <v>2463.0</v>
      </c>
      <c r="B2466" s="167" t="s">
        <v>17905</v>
      </c>
      <c r="C2466" s="165"/>
      <c r="D2466" s="165"/>
      <c r="E2466" s="165"/>
      <c r="F2466" s="165"/>
      <c r="G2466" s="165"/>
      <c r="H2466" s="165"/>
      <c r="I2466" s="165"/>
      <c r="J2466" s="165"/>
      <c r="K2466" s="165"/>
      <c r="L2466" s="165"/>
      <c r="M2466" s="165"/>
      <c r="N2466" s="165"/>
      <c r="O2466" s="165"/>
      <c r="P2466" s="165"/>
      <c r="Q2466" s="165"/>
      <c r="R2466" s="165"/>
      <c r="S2466" s="165"/>
      <c r="T2466" s="165"/>
      <c r="U2466" s="165"/>
      <c r="V2466" s="165"/>
      <c r="W2466" s="165"/>
      <c r="X2466" s="165"/>
    </row>
    <row r="2467" ht="18.75" customHeight="1">
      <c r="A2467" s="165">
        <v>2464.0</v>
      </c>
      <c r="B2467" s="167" t="s">
        <v>17906</v>
      </c>
      <c r="C2467" s="165"/>
      <c r="D2467" s="165"/>
      <c r="E2467" s="165"/>
      <c r="F2467" s="165"/>
      <c r="G2467" s="165"/>
      <c r="H2467" s="165"/>
      <c r="I2467" s="165"/>
      <c r="J2467" s="165"/>
      <c r="K2467" s="165"/>
      <c r="L2467" s="165"/>
      <c r="M2467" s="165"/>
      <c r="N2467" s="165"/>
      <c r="O2467" s="165"/>
      <c r="P2467" s="165"/>
      <c r="Q2467" s="165"/>
      <c r="R2467" s="165"/>
      <c r="S2467" s="165"/>
      <c r="T2467" s="165"/>
      <c r="U2467" s="165"/>
      <c r="V2467" s="165"/>
      <c r="W2467" s="165"/>
      <c r="X2467" s="165"/>
    </row>
    <row r="2468" ht="18.75" customHeight="1">
      <c r="A2468" s="165">
        <v>2465.0</v>
      </c>
      <c r="B2468" s="167" t="s">
        <v>17907</v>
      </c>
      <c r="C2468" s="165"/>
      <c r="D2468" s="165"/>
      <c r="E2468" s="165"/>
      <c r="F2468" s="165"/>
      <c r="G2468" s="165"/>
      <c r="H2468" s="165"/>
      <c r="I2468" s="165"/>
      <c r="J2468" s="165"/>
      <c r="K2468" s="165"/>
      <c r="L2468" s="165"/>
      <c r="M2468" s="165"/>
      <c r="N2468" s="165"/>
      <c r="O2468" s="165"/>
      <c r="P2468" s="165"/>
      <c r="Q2468" s="165"/>
      <c r="R2468" s="165"/>
      <c r="S2468" s="165"/>
      <c r="T2468" s="165"/>
      <c r="U2468" s="165"/>
      <c r="V2468" s="165"/>
      <c r="W2468" s="165"/>
      <c r="X2468" s="165"/>
    </row>
    <row r="2469" ht="18.75" customHeight="1">
      <c r="A2469" s="165">
        <v>2466.0</v>
      </c>
      <c r="B2469" s="165" t="s">
        <v>17908</v>
      </c>
      <c r="C2469" s="165"/>
      <c r="D2469" s="165"/>
      <c r="E2469" s="165"/>
      <c r="F2469" s="165"/>
      <c r="G2469" s="165"/>
      <c r="H2469" s="165"/>
      <c r="I2469" s="165"/>
      <c r="J2469" s="165"/>
      <c r="K2469" s="165"/>
      <c r="L2469" s="165"/>
      <c r="M2469" s="165"/>
      <c r="N2469" s="165"/>
      <c r="O2469" s="165"/>
      <c r="P2469" s="165"/>
      <c r="Q2469" s="165"/>
      <c r="R2469" s="165"/>
      <c r="S2469" s="165"/>
      <c r="T2469" s="165"/>
      <c r="U2469" s="165"/>
      <c r="V2469" s="165"/>
      <c r="W2469" s="165"/>
      <c r="X2469" s="165"/>
    </row>
    <row r="2470" ht="18.75" customHeight="1">
      <c r="A2470" s="165">
        <v>2467.0</v>
      </c>
      <c r="B2470" s="165" t="s">
        <v>17909</v>
      </c>
      <c r="C2470" s="165"/>
      <c r="D2470" s="165"/>
      <c r="E2470" s="165"/>
      <c r="F2470" s="165"/>
      <c r="G2470" s="165"/>
      <c r="H2470" s="165"/>
      <c r="I2470" s="165"/>
      <c r="J2470" s="165"/>
      <c r="K2470" s="165"/>
      <c r="L2470" s="165"/>
      <c r="M2470" s="165"/>
      <c r="N2470" s="165"/>
      <c r="O2470" s="165"/>
      <c r="P2470" s="165"/>
      <c r="Q2470" s="165"/>
      <c r="R2470" s="165"/>
      <c r="S2470" s="165"/>
      <c r="T2470" s="165"/>
      <c r="U2470" s="165"/>
      <c r="V2470" s="165"/>
      <c r="W2470" s="165"/>
      <c r="X2470" s="165"/>
    </row>
    <row r="2471" ht="18.75" customHeight="1">
      <c r="A2471" s="165">
        <v>2468.0</v>
      </c>
      <c r="B2471" s="165" t="s">
        <v>17909</v>
      </c>
      <c r="C2471" s="165"/>
      <c r="D2471" s="165"/>
      <c r="E2471" s="165"/>
      <c r="F2471" s="165"/>
      <c r="G2471" s="165"/>
      <c r="H2471" s="165"/>
      <c r="I2471" s="165"/>
      <c r="J2471" s="165"/>
      <c r="K2471" s="165"/>
      <c r="L2471" s="165"/>
      <c r="M2471" s="165"/>
      <c r="N2471" s="165"/>
      <c r="O2471" s="165"/>
      <c r="P2471" s="165"/>
      <c r="Q2471" s="165"/>
      <c r="R2471" s="165"/>
      <c r="S2471" s="165"/>
      <c r="T2471" s="165"/>
      <c r="U2471" s="165"/>
      <c r="V2471" s="165"/>
      <c r="W2471" s="165"/>
      <c r="X2471" s="165"/>
    </row>
    <row r="2472" ht="18.75" customHeight="1">
      <c r="A2472" s="165">
        <v>2469.0</v>
      </c>
      <c r="B2472" s="191" t="s">
        <v>17910</v>
      </c>
      <c r="C2472" s="165"/>
      <c r="D2472" s="165"/>
      <c r="E2472" s="165"/>
      <c r="F2472" s="165"/>
      <c r="G2472" s="165"/>
      <c r="H2472" s="165"/>
      <c r="I2472" s="165"/>
      <c r="J2472" s="165"/>
      <c r="K2472" s="165"/>
      <c r="L2472" s="165"/>
      <c r="M2472" s="165"/>
      <c r="N2472" s="165"/>
      <c r="O2472" s="165"/>
      <c r="P2472" s="165"/>
      <c r="Q2472" s="165"/>
      <c r="R2472" s="165"/>
      <c r="S2472" s="165"/>
      <c r="T2472" s="165"/>
      <c r="U2472" s="165"/>
      <c r="V2472" s="165"/>
      <c r="W2472" s="165"/>
      <c r="X2472" s="165"/>
    </row>
    <row r="2473" ht="18.75" customHeight="1">
      <c r="A2473" s="165">
        <v>2470.0</v>
      </c>
      <c r="B2473" s="165" t="s">
        <v>17911</v>
      </c>
      <c r="C2473" s="165"/>
      <c r="D2473" s="165"/>
      <c r="E2473" s="165"/>
      <c r="F2473" s="165"/>
      <c r="G2473" s="165"/>
      <c r="H2473" s="165"/>
      <c r="I2473" s="165"/>
      <c r="J2473" s="165"/>
      <c r="K2473" s="165"/>
      <c r="L2473" s="165"/>
      <c r="M2473" s="165"/>
      <c r="N2473" s="165"/>
      <c r="O2473" s="165"/>
      <c r="P2473" s="165"/>
      <c r="Q2473" s="165"/>
      <c r="R2473" s="165"/>
      <c r="S2473" s="165"/>
      <c r="T2473" s="165"/>
      <c r="U2473" s="165"/>
      <c r="V2473" s="165"/>
      <c r="W2473" s="165"/>
      <c r="X2473" s="165"/>
    </row>
    <row r="2474" ht="18.75" customHeight="1">
      <c r="A2474" s="165">
        <v>2471.0</v>
      </c>
      <c r="B2474" s="165" t="s">
        <v>17912</v>
      </c>
      <c r="C2474" s="165"/>
      <c r="D2474" s="165"/>
      <c r="E2474" s="165"/>
      <c r="F2474" s="165"/>
      <c r="G2474" s="165"/>
      <c r="H2474" s="165"/>
      <c r="I2474" s="165"/>
      <c r="J2474" s="165"/>
      <c r="K2474" s="165"/>
      <c r="L2474" s="165"/>
      <c r="M2474" s="165"/>
      <c r="N2474" s="165"/>
      <c r="O2474" s="165"/>
      <c r="P2474" s="165"/>
      <c r="Q2474" s="165"/>
      <c r="R2474" s="165"/>
      <c r="S2474" s="165"/>
      <c r="T2474" s="165"/>
      <c r="U2474" s="165"/>
      <c r="V2474" s="165"/>
      <c r="W2474" s="165"/>
      <c r="X2474" s="165"/>
    </row>
    <row r="2475" ht="18.75" customHeight="1">
      <c r="A2475" s="165">
        <v>2472.0</v>
      </c>
      <c r="B2475" s="165" t="s">
        <v>17913</v>
      </c>
      <c r="C2475" s="165"/>
      <c r="D2475" s="165"/>
      <c r="E2475" s="165"/>
      <c r="F2475" s="165"/>
      <c r="G2475" s="165"/>
      <c r="H2475" s="165"/>
      <c r="I2475" s="165"/>
      <c r="J2475" s="165"/>
      <c r="K2475" s="165"/>
      <c r="L2475" s="165"/>
      <c r="M2475" s="165"/>
      <c r="N2475" s="165"/>
      <c r="O2475" s="165"/>
      <c r="P2475" s="165"/>
      <c r="Q2475" s="165"/>
      <c r="R2475" s="165"/>
      <c r="S2475" s="165"/>
      <c r="T2475" s="165"/>
      <c r="U2475" s="165"/>
      <c r="V2475" s="165"/>
      <c r="W2475" s="165"/>
      <c r="X2475" s="165"/>
    </row>
    <row r="2476" ht="18.75" customHeight="1">
      <c r="A2476" s="165">
        <v>2473.0</v>
      </c>
      <c r="B2476" s="167" t="s">
        <v>17914</v>
      </c>
      <c r="C2476" s="165"/>
      <c r="D2476" s="165"/>
      <c r="E2476" s="165"/>
      <c r="F2476" s="165"/>
      <c r="G2476" s="165"/>
      <c r="H2476" s="165"/>
      <c r="I2476" s="165"/>
      <c r="J2476" s="165"/>
      <c r="K2476" s="165"/>
      <c r="L2476" s="165"/>
      <c r="M2476" s="165"/>
      <c r="N2476" s="165"/>
      <c r="O2476" s="165"/>
      <c r="P2476" s="165"/>
      <c r="Q2476" s="165"/>
      <c r="R2476" s="165"/>
      <c r="S2476" s="165"/>
      <c r="T2476" s="165"/>
      <c r="U2476" s="165"/>
      <c r="V2476" s="165"/>
      <c r="W2476" s="165"/>
      <c r="X2476" s="165"/>
    </row>
    <row r="2477" ht="18.75" customHeight="1">
      <c r="A2477" s="165">
        <v>2474.0</v>
      </c>
      <c r="B2477" s="165" t="s">
        <v>17915</v>
      </c>
      <c r="C2477" s="165"/>
      <c r="D2477" s="165"/>
      <c r="E2477" s="165"/>
      <c r="F2477" s="165"/>
      <c r="G2477" s="165"/>
      <c r="H2477" s="165"/>
      <c r="I2477" s="165"/>
      <c r="J2477" s="165"/>
      <c r="K2477" s="165"/>
      <c r="L2477" s="165"/>
      <c r="M2477" s="165"/>
      <c r="N2477" s="165"/>
      <c r="O2477" s="165"/>
      <c r="P2477" s="165"/>
      <c r="Q2477" s="165"/>
      <c r="R2477" s="165"/>
      <c r="S2477" s="165"/>
      <c r="T2477" s="165"/>
      <c r="U2477" s="165"/>
      <c r="V2477" s="165"/>
      <c r="W2477" s="165"/>
      <c r="X2477" s="165"/>
    </row>
    <row r="2478" ht="18.75" customHeight="1">
      <c r="A2478" s="165">
        <v>2475.0</v>
      </c>
      <c r="B2478" s="165" t="s">
        <v>17916</v>
      </c>
      <c r="C2478" s="165"/>
      <c r="D2478" s="165"/>
      <c r="E2478" s="165"/>
      <c r="F2478" s="165"/>
      <c r="G2478" s="165"/>
      <c r="H2478" s="165"/>
      <c r="I2478" s="165"/>
      <c r="J2478" s="165"/>
      <c r="K2478" s="165"/>
      <c r="L2478" s="165"/>
      <c r="M2478" s="165"/>
      <c r="N2478" s="165"/>
      <c r="O2478" s="165"/>
      <c r="P2478" s="165"/>
      <c r="Q2478" s="165"/>
      <c r="R2478" s="165"/>
      <c r="S2478" s="165"/>
      <c r="T2478" s="165"/>
      <c r="U2478" s="165"/>
      <c r="V2478" s="165"/>
      <c r="W2478" s="165"/>
      <c r="X2478" s="165"/>
    </row>
    <row r="2479" ht="18.75" customHeight="1">
      <c r="A2479" s="165">
        <v>2476.0</v>
      </c>
      <c r="B2479" s="165" t="s">
        <v>17917</v>
      </c>
      <c r="C2479" s="165"/>
      <c r="D2479" s="165"/>
      <c r="E2479" s="165"/>
      <c r="F2479" s="165"/>
      <c r="G2479" s="165"/>
      <c r="H2479" s="165"/>
      <c r="I2479" s="165"/>
      <c r="J2479" s="165"/>
      <c r="K2479" s="165"/>
      <c r="L2479" s="165"/>
      <c r="M2479" s="165"/>
      <c r="N2479" s="165"/>
      <c r="O2479" s="165"/>
      <c r="P2479" s="165"/>
      <c r="Q2479" s="165"/>
      <c r="R2479" s="165"/>
      <c r="S2479" s="165"/>
      <c r="T2479" s="165"/>
      <c r="U2479" s="165"/>
      <c r="V2479" s="165"/>
      <c r="W2479" s="165"/>
      <c r="X2479" s="165"/>
    </row>
    <row r="2480" ht="18.75" customHeight="1">
      <c r="A2480" s="165">
        <v>2477.0</v>
      </c>
      <c r="B2480" s="165" t="s">
        <v>17918</v>
      </c>
      <c r="C2480" s="165"/>
      <c r="D2480" s="165"/>
      <c r="E2480" s="165"/>
      <c r="F2480" s="165"/>
      <c r="G2480" s="165"/>
      <c r="H2480" s="165"/>
      <c r="I2480" s="165"/>
      <c r="J2480" s="165"/>
      <c r="K2480" s="165"/>
      <c r="L2480" s="165"/>
      <c r="M2480" s="165"/>
      <c r="N2480" s="165"/>
      <c r="O2480" s="165"/>
      <c r="P2480" s="165"/>
      <c r="Q2480" s="165"/>
      <c r="R2480" s="165"/>
      <c r="S2480" s="165"/>
      <c r="T2480" s="165"/>
      <c r="U2480" s="165"/>
      <c r="V2480" s="165"/>
      <c r="W2480" s="165"/>
      <c r="X2480" s="165"/>
    </row>
    <row r="2481" ht="18.75" customHeight="1">
      <c r="A2481" s="165">
        <v>2478.0</v>
      </c>
      <c r="B2481" s="165" t="s">
        <v>17919</v>
      </c>
      <c r="C2481" s="165"/>
      <c r="D2481" s="165"/>
      <c r="E2481" s="165"/>
      <c r="F2481" s="165"/>
      <c r="G2481" s="165"/>
      <c r="H2481" s="165"/>
      <c r="I2481" s="165"/>
      <c r="J2481" s="165"/>
      <c r="K2481" s="165"/>
      <c r="L2481" s="165"/>
      <c r="M2481" s="165"/>
      <c r="N2481" s="165"/>
      <c r="O2481" s="165"/>
      <c r="P2481" s="165"/>
      <c r="Q2481" s="165"/>
      <c r="R2481" s="165"/>
      <c r="S2481" s="165"/>
      <c r="T2481" s="165"/>
      <c r="U2481" s="165"/>
      <c r="V2481" s="165"/>
      <c r="W2481" s="165"/>
      <c r="X2481" s="165"/>
    </row>
    <row r="2482" ht="18.75" customHeight="1">
      <c r="A2482" s="165">
        <v>2479.0</v>
      </c>
      <c r="B2482" s="165" t="s">
        <v>17920</v>
      </c>
      <c r="C2482" s="165"/>
      <c r="D2482" s="165"/>
      <c r="E2482" s="165"/>
      <c r="F2482" s="165"/>
      <c r="G2482" s="165"/>
      <c r="H2482" s="165"/>
      <c r="I2482" s="165"/>
      <c r="J2482" s="165"/>
      <c r="K2482" s="165"/>
      <c r="L2482" s="165"/>
      <c r="M2482" s="165"/>
      <c r="N2482" s="165"/>
      <c r="O2482" s="165"/>
      <c r="P2482" s="165"/>
      <c r="Q2482" s="165"/>
      <c r="R2482" s="165"/>
      <c r="S2482" s="165"/>
      <c r="T2482" s="165"/>
      <c r="U2482" s="165"/>
      <c r="V2482" s="165"/>
      <c r="W2482" s="165"/>
      <c r="X2482" s="165"/>
    </row>
    <row r="2483" ht="18.75" customHeight="1">
      <c r="A2483" s="165">
        <v>2480.0</v>
      </c>
      <c r="B2483" s="165" t="s">
        <v>17921</v>
      </c>
      <c r="C2483" s="165"/>
      <c r="D2483" s="165"/>
      <c r="E2483" s="165"/>
      <c r="F2483" s="165"/>
      <c r="G2483" s="165"/>
      <c r="H2483" s="165"/>
      <c r="I2483" s="165"/>
      <c r="J2483" s="165"/>
      <c r="K2483" s="165"/>
      <c r="L2483" s="165"/>
      <c r="M2483" s="165"/>
      <c r="N2483" s="165"/>
      <c r="O2483" s="165"/>
      <c r="P2483" s="165"/>
      <c r="Q2483" s="165"/>
      <c r="R2483" s="165"/>
      <c r="S2483" s="165"/>
      <c r="T2483" s="165"/>
      <c r="U2483" s="165"/>
      <c r="V2483" s="165"/>
      <c r="W2483" s="165"/>
      <c r="X2483" s="165"/>
    </row>
    <row r="2484" ht="18.75" customHeight="1">
      <c r="A2484" s="165">
        <v>2481.0</v>
      </c>
      <c r="B2484" s="167" t="s">
        <v>17922</v>
      </c>
      <c r="C2484" s="165"/>
      <c r="D2484" s="165"/>
      <c r="E2484" s="165"/>
      <c r="F2484" s="165"/>
      <c r="G2484" s="165"/>
      <c r="H2484" s="165"/>
      <c r="I2484" s="165"/>
      <c r="J2484" s="165"/>
      <c r="K2484" s="165"/>
      <c r="L2484" s="165"/>
      <c r="M2484" s="165"/>
      <c r="N2484" s="165"/>
      <c r="O2484" s="165"/>
      <c r="P2484" s="165"/>
      <c r="Q2484" s="165"/>
      <c r="R2484" s="165"/>
      <c r="S2484" s="165"/>
      <c r="T2484" s="165"/>
      <c r="U2484" s="165"/>
      <c r="V2484" s="165"/>
      <c r="W2484" s="165"/>
      <c r="X2484" s="165"/>
    </row>
    <row r="2485" ht="18.75" customHeight="1">
      <c r="A2485" s="165">
        <v>2482.0</v>
      </c>
      <c r="B2485" s="165" t="s">
        <v>17923</v>
      </c>
      <c r="C2485" s="165"/>
      <c r="D2485" s="165"/>
      <c r="E2485" s="165"/>
      <c r="F2485" s="165"/>
      <c r="G2485" s="165"/>
      <c r="H2485" s="165"/>
      <c r="I2485" s="165"/>
      <c r="J2485" s="165"/>
      <c r="K2485" s="165"/>
      <c r="L2485" s="165"/>
      <c r="M2485" s="165"/>
      <c r="N2485" s="165"/>
      <c r="O2485" s="165"/>
      <c r="P2485" s="165"/>
      <c r="Q2485" s="165"/>
      <c r="R2485" s="165"/>
      <c r="S2485" s="165"/>
      <c r="T2485" s="165"/>
      <c r="U2485" s="165"/>
      <c r="V2485" s="165"/>
      <c r="W2485" s="165"/>
      <c r="X2485" s="165"/>
    </row>
    <row r="2486" ht="18.75" customHeight="1">
      <c r="A2486" s="165">
        <v>2483.0</v>
      </c>
      <c r="B2486" s="165" t="s">
        <v>17924</v>
      </c>
      <c r="C2486" s="165"/>
      <c r="D2486" s="165"/>
      <c r="E2486" s="165"/>
      <c r="F2486" s="165"/>
      <c r="G2486" s="165"/>
      <c r="H2486" s="165"/>
      <c r="I2486" s="165"/>
      <c r="J2486" s="165"/>
      <c r="K2486" s="165"/>
      <c r="L2486" s="165"/>
      <c r="M2486" s="165"/>
      <c r="N2486" s="165"/>
      <c r="O2486" s="165"/>
      <c r="P2486" s="165"/>
      <c r="Q2486" s="165"/>
      <c r="R2486" s="165"/>
      <c r="S2486" s="165"/>
      <c r="T2486" s="165"/>
      <c r="U2486" s="165"/>
      <c r="V2486" s="165"/>
      <c r="W2486" s="165"/>
      <c r="X2486" s="165"/>
    </row>
    <row r="2487" ht="18.75" customHeight="1">
      <c r="A2487" s="165">
        <v>2484.0</v>
      </c>
      <c r="B2487" s="165" t="s">
        <v>17925</v>
      </c>
      <c r="C2487" s="165"/>
      <c r="D2487" s="165"/>
      <c r="E2487" s="165"/>
      <c r="F2487" s="165"/>
      <c r="G2487" s="165"/>
      <c r="H2487" s="165"/>
      <c r="I2487" s="165"/>
      <c r="J2487" s="165"/>
      <c r="K2487" s="165"/>
      <c r="L2487" s="165"/>
      <c r="M2487" s="165"/>
      <c r="N2487" s="165"/>
      <c r="O2487" s="165"/>
      <c r="P2487" s="165"/>
      <c r="Q2487" s="165"/>
      <c r="R2487" s="165"/>
      <c r="S2487" s="165"/>
      <c r="T2487" s="165"/>
      <c r="U2487" s="165"/>
      <c r="V2487" s="165"/>
      <c r="W2487" s="165"/>
      <c r="X2487" s="165"/>
    </row>
    <row r="2488" ht="18.75" customHeight="1">
      <c r="A2488" s="165">
        <v>2485.0</v>
      </c>
      <c r="B2488" s="165" t="s">
        <v>17926</v>
      </c>
      <c r="C2488" s="165"/>
      <c r="D2488" s="165"/>
      <c r="E2488" s="165"/>
      <c r="F2488" s="165"/>
      <c r="G2488" s="165"/>
      <c r="H2488" s="165"/>
      <c r="I2488" s="165"/>
      <c r="J2488" s="165"/>
      <c r="K2488" s="165"/>
      <c r="L2488" s="165"/>
      <c r="M2488" s="165"/>
      <c r="N2488" s="165"/>
      <c r="O2488" s="165"/>
      <c r="P2488" s="165"/>
      <c r="Q2488" s="165"/>
      <c r="R2488" s="165"/>
      <c r="S2488" s="165"/>
      <c r="T2488" s="165"/>
      <c r="U2488" s="165"/>
      <c r="V2488" s="165"/>
      <c r="W2488" s="165"/>
      <c r="X2488" s="165"/>
    </row>
    <row r="2489" ht="18.75" customHeight="1">
      <c r="A2489" s="165">
        <v>2486.0</v>
      </c>
      <c r="B2489" s="165" t="s">
        <v>17927</v>
      </c>
      <c r="C2489" s="165"/>
      <c r="D2489" s="165"/>
      <c r="E2489" s="165"/>
      <c r="F2489" s="165"/>
      <c r="G2489" s="165"/>
      <c r="H2489" s="165"/>
      <c r="I2489" s="165"/>
      <c r="J2489" s="165"/>
      <c r="K2489" s="165"/>
      <c r="L2489" s="165"/>
      <c r="M2489" s="165"/>
      <c r="N2489" s="165"/>
      <c r="O2489" s="165"/>
      <c r="P2489" s="165"/>
      <c r="Q2489" s="165"/>
      <c r="R2489" s="165"/>
      <c r="S2489" s="165"/>
      <c r="T2489" s="165"/>
      <c r="U2489" s="165"/>
      <c r="V2489" s="165"/>
      <c r="W2489" s="165"/>
      <c r="X2489" s="165"/>
    </row>
    <row r="2490" ht="18.75" customHeight="1">
      <c r="A2490" s="165">
        <v>2487.0</v>
      </c>
      <c r="B2490" s="165" t="s">
        <v>17928</v>
      </c>
      <c r="C2490" s="165"/>
      <c r="D2490" s="165"/>
      <c r="E2490" s="165"/>
      <c r="F2490" s="165"/>
      <c r="G2490" s="165"/>
      <c r="H2490" s="165"/>
      <c r="I2490" s="165"/>
      <c r="J2490" s="165"/>
      <c r="K2490" s="165"/>
      <c r="L2490" s="165"/>
      <c r="M2490" s="165"/>
      <c r="N2490" s="165"/>
      <c r="O2490" s="165"/>
      <c r="P2490" s="165"/>
      <c r="Q2490" s="165"/>
      <c r="R2490" s="165"/>
      <c r="S2490" s="165"/>
      <c r="T2490" s="165"/>
      <c r="U2490" s="165"/>
      <c r="V2490" s="165"/>
      <c r="W2490" s="165"/>
      <c r="X2490" s="165"/>
    </row>
    <row r="2491" ht="18.75" customHeight="1">
      <c r="A2491" s="165">
        <v>2488.0</v>
      </c>
      <c r="B2491" s="165" t="s">
        <v>17929</v>
      </c>
      <c r="C2491" s="165"/>
      <c r="D2491" s="165"/>
      <c r="E2491" s="165"/>
      <c r="F2491" s="165"/>
      <c r="G2491" s="165"/>
      <c r="H2491" s="165"/>
      <c r="I2491" s="165"/>
      <c r="J2491" s="165"/>
      <c r="K2491" s="165"/>
      <c r="L2491" s="165"/>
      <c r="M2491" s="165"/>
      <c r="N2491" s="165"/>
      <c r="O2491" s="165"/>
      <c r="P2491" s="165"/>
      <c r="Q2491" s="165"/>
      <c r="R2491" s="165"/>
      <c r="S2491" s="165"/>
      <c r="T2491" s="165"/>
      <c r="U2491" s="165"/>
      <c r="V2491" s="165"/>
      <c r="W2491" s="165"/>
      <c r="X2491" s="165"/>
    </row>
    <row r="2492" ht="18.75" customHeight="1">
      <c r="A2492" s="165">
        <v>2489.0</v>
      </c>
      <c r="B2492" s="165" t="s">
        <v>17930</v>
      </c>
      <c r="C2492" s="165"/>
      <c r="D2492" s="165"/>
      <c r="E2492" s="165"/>
      <c r="F2492" s="165"/>
      <c r="G2492" s="165"/>
      <c r="H2492" s="165"/>
      <c r="I2492" s="165"/>
      <c r="J2492" s="165"/>
      <c r="K2492" s="165"/>
      <c r="L2492" s="165"/>
      <c r="M2492" s="165"/>
      <c r="N2492" s="165"/>
      <c r="O2492" s="165"/>
      <c r="P2492" s="165"/>
      <c r="Q2492" s="165"/>
      <c r="R2492" s="165"/>
      <c r="S2492" s="165"/>
      <c r="T2492" s="165"/>
      <c r="U2492" s="165"/>
      <c r="V2492" s="165"/>
      <c r="W2492" s="165"/>
      <c r="X2492" s="165"/>
    </row>
    <row r="2493" ht="18.75" customHeight="1">
      <c r="A2493" s="165">
        <v>2490.0</v>
      </c>
      <c r="B2493" s="165" t="s">
        <v>17931</v>
      </c>
      <c r="C2493" s="165"/>
      <c r="D2493" s="165"/>
      <c r="E2493" s="165"/>
      <c r="F2493" s="165"/>
      <c r="G2493" s="165"/>
      <c r="H2493" s="165"/>
      <c r="I2493" s="165"/>
      <c r="J2493" s="165"/>
      <c r="K2493" s="165"/>
      <c r="L2493" s="165"/>
      <c r="M2493" s="165"/>
      <c r="N2493" s="165"/>
      <c r="O2493" s="165"/>
      <c r="P2493" s="165"/>
      <c r="Q2493" s="165"/>
      <c r="R2493" s="165"/>
      <c r="S2493" s="165"/>
      <c r="T2493" s="165"/>
      <c r="U2493" s="165"/>
      <c r="V2493" s="165"/>
      <c r="W2493" s="165"/>
      <c r="X2493" s="165"/>
    </row>
    <row r="2494" ht="18.75" customHeight="1">
      <c r="A2494" s="165">
        <v>2491.0</v>
      </c>
      <c r="B2494" s="165" t="s">
        <v>17932</v>
      </c>
      <c r="C2494" s="165"/>
      <c r="D2494" s="165"/>
      <c r="E2494" s="165"/>
      <c r="F2494" s="165"/>
      <c r="G2494" s="165"/>
      <c r="H2494" s="165"/>
      <c r="I2494" s="165"/>
      <c r="J2494" s="165"/>
      <c r="K2494" s="165"/>
      <c r="L2494" s="165"/>
      <c r="M2494" s="165"/>
      <c r="N2494" s="165"/>
      <c r="O2494" s="165"/>
      <c r="P2494" s="165"/>
      <c r="Q2494" s="165"/>
      <c r="R2494" s="165"/>
      <c r="S2494" s="165"/>
      <c r="T2494" s="165"/>
      <c r="U2494" s="165"/>
      <c r="V2494" s="165"/>
      <c r="W2494" s="165"/>
      <c r="X2494" s="165"/>
    </row>
    <row r="2495" ht="18.75" customHeight="1">
      <c r="A2495" s="165">
        <v>2492.0</v>
      </c>
      <c r="B2495" s="165" t="s">
        <v>17933</v>
      </c>
      <c r="C2495" s="165"/>
      <c r="D2495" s="165"/>
      <c r="E2495" s="165"/>
      <c r="F2495" s="165"/>
      <c r="G2495" s="165"/>
      <c r="H2495" s="165"/>
      <c r="I2495" s="165"/>
      <c r="J2495" s="165"/>
      <c r="K2495" s="165"/>
      <c r="L2495" s="165"/>
      <c r="M2495" s="165"/>
      <c r="N2495" s="165"/>
      <c r="O2495" s="165"/>
      <c r="P2495" s="165"/>
      <c r="Q2495" s="165"/>
      <c r="R2495" s="165"/>
      <c r="S2495" s="165"/>
      <c r="T2495" s="165"/>
      <c r="U2495" s="165"/>
      <c r="V2495" s="165"/>
      <c r="W2495" s="165"/>
      <c r="X2495" s="165"/>
    </row>
    <row r="2496" ht="18.75" customHeight="1">
      <c r="A2496" s="165">
        <v>2493.0</v>
      </c>
      <c r="B2496" s="165" t="s">
        <v>17934</v>
      </c>
      <c r="C2496" s="165"/>
      <c r="D2496" s="165"/>
      <c r="E2496" s="165"/>
      <c r="F2496" s="165"/>
      <c r="G2496" s="165"/>
      <c r="H2496" s="165"/>
      <c r="I2496" s="165"/>
      <c r="J2496" s="165"/>
      <c r="K2496" s="165"/>
      <c r="L2496" s="165"/>
      <c r="M2496" s="165"/>
      <c r="N2496" s="165"/>
      <c r="O2496" s="165"/>
      <c r="P2496" s="165"/>
      <c r="Q2496" s="165"/>
      <c r="R2496" s="165"/>
      <c r="S2496" s="165"/>
      <c r="T2496" s="165"/>
      <c r="U2496" s="165"/>
      <c r="V2496" s="165"/>
      <c r="W2496" s="165"/>
      <c r="X2496" s="165"/>
    </row>
    <row r="2497" ht="18.75" customHeight="1">
      <c r="A2497" s="165">
        <v>2494.0</v>
      </c>
      <c r="B2497" s="165" t="s">
        <v>17935</v>
      </c>
      <c r="C2497" s="165"/>
      <c r="D2497" s="165"/>
      <c r="E2497" s="165"/>
      <c r="F2497" s="165"/>
      <c r="G2497" s="165"/>
      <c r="H2497" s="165"/>
      <c r="I2497" s="165"/>
      <c r="J2497" s="165"/>
      <c r="K2497" s="165"/>
      <c r="L2497" s="165"/>
      <c r="M2497" s="165"/>
      <c r="N2497" s="165"/>
      <c r="O2497" s="165"/>
      <c r="P2497" s="165"/>
      <c r="Q2497" s="165"/>
      <c r="R2497" s="165"/>
      <c r="S2497" s="165"/>
      <c r="T2497" s="165"/>
      <c r="U2497" s="165"/>
      <c r="V2497" s="165"/>
      <c r="W2497" s="165"/>
      <c r="X2497" s="165"/>
    </row>
    <row r="2498" ht="18.75" customHeight="1">
      <c r="A2498" s="165">
        <v>2495.0</v>
      </c>
      <c r="B2498" s="165" t="s">
        <v>17936</v>
      </c>
      <c r="C2498" s="165"/>
      <c r="D2498" s="165"/>
      <c r="E2498" s="165"/>
      <c r="F2498" s="165"/>
      <c r="G2498" s="165"/>
      <c r="H2498" s="165"/>
      <c r="I2498" s="165"/>
      <c r="J2498" s="165"/>
      <c r="K2498" s="165"/>
      <c r="L2498" s="165"/>
      <c r="M2498" s="165"/>
      <c r="N2498" s="165"/>
      <c r="O2498" s="165"/>
      <c r="P2498" s="165"/>
      <c r="Q2498" s="165"/>
      <c r="R2498" s="165"/>
      <c r="S2498" s="165"/>
      <c r="T2498" s="165"/>
      <c r="U2498" s="165"/>
      <c r="V2498" s="165"/>
      <c r="W2498" s="165"/>
      <c r="X2498" s="165"/>
    </row>
    <row r="2499" ht="18.75" customHeight="1">
      <c r="A2499" s="165">
        <v>2496.0</v>
      </c>
      <c r="B2499" s="165" t="s">
        <v>17937</v>
      </c>
      <c r="C2499" s="165"/>
      <c r="D2499" s="165"/>
      <c r="E2499" s="165"/>
      <c r="F2499" s="165"/>
      <c r="G2499" s="165"/>
      <c r="H2499" s="165"/>
      <c r="I2499" s="165"/>
      <c r="J2499" s="165"/>
      <c r="K2499" s="165"/>
      <c r="L2499" s="165"/>
      <c r="M2499" s="165"/>
      <c r="N2499" s="165"/>
      <c r="O2499" s="165"/>
      <c r="P2499" s="165"/>
      <c r="Q2499" s="165"/>
      <c r="R2499" s="165"/>
      <c r="S2499" s="165"/>
      <c r="T2499" s="165"/>
      <c r="U2499" s="165"/>
      <c r="V2499" s="165"/>
      <c r="W2499" s="165"/>
      <c r="X2499" s="165"/>
    </row>
    <row r="2500" ht="18.75" customHeight="1">
      <c r="A2500" s="165">
        <v>2497.0</v>
      </c>
      <c r="B2500" s="165" t="s">
        <v>17938</v>
      </c>
      <c r="C2500" s="165"/>
      <c r="D2500" s="165"/>
      <c r="E2500" s="165"/>
      <c r="F2500" s="165"/>
      <c r="G2500" s="165"/>
      <c r="H2500" s="165"/>
      <c r="I2500" s="165"/>
      <c r="J2500" s="165"/>
      <c r="K2500" s="165"/>
      <c r="L2500" s="165"/>
      <c r="M2500" s="165"/>
      <c r="N2500" s="165"/>
      <c r="O2500" s="165"/>
      <c r="P2500" s="165"/>
      <c r="Q2500" s="165"/>
      <c r="R2500" s="165"/>
      <c r="S2500" s="165"/>
      <c r="T2500" s="165"/>
      <c r="U2500" s="165"/>
      <c r="V2500" s="165"/>
      <c r="W2500" s="165"/>
      <c r="X2500" s="165"/>
    </row>
    <row r="2501" ht="18.75" customHeight="1">
      <c r="A2501" s="165">
        <v>2498.0</v>
      </c>
      <c r="B2501" s="165" t="s">
        <v>17939</v>
      </c>
      <c r="C2501" s="165"/>
      <c r="D2501" s="165"/>
      <c r="E2501" s="165"/>
      <c r="F2501" s="165"/>
      <c r="G2501" s="165"/>
      <c r="H2501" s="165"/>
      <c r="I2501" s="165"/>
      <c r="J2501" s="165"/>
      <c r="K2501" s="165"/>
      <c r="L2501" s="165"/>
      <c r="M2501" s="165"/>
      <c r="N2501" s="165"/>
      <c r="O2501" s="165"/>
      <c r="P2501" s="165"/>
      <c r="Q2501" s="165"/>
      <c r="R2501" s="165"/>
      <c r="S2501" s="165"/>
      <c r="T2501" s="165"/>
      <c r="U2501" s="165"/>
      <c r="V2501" s="165"/>
      <c r="W2501" s="165"/>
      <c r="X2501" s="165"/>
    </row>
    <row r="2502" ht="18.75" customHeight="1">
      <c r="A2502" s="165">
        <v>2499.0</v>
      </c>
      <c r="B2502" s="165" t="s">
        <v>17940</v>
      </c>
      <c r="C2502" s="165"/>
      <c r="D2502" s="165"/>
      <c r="E2502" s="165"/>
      <c r="F2502" s="165"/>
      <c r="G2502" s="165"/>
      <c r="H2502" s="165"/>
      <c r="I2502" s="165"/>
      <c r="J2502" s="165"/>
      <c r="K2502" s="165"/>
      <c r="L2502" s="165"/>
      <c r="M2502" s="165"/>
      <c r="N2502" s="165"/>
      <c r="O2502" s="165"/>
      <c r="P2502" s="165"/>
      <c r="Q2502" s="165"/>
      <c r="R2502" s="165"/>
      <c r="S2502" s="165"/>
      <c r="T2502" s="165"/>
      <c r="U2502" s="165"/>
      <c r="V2502" s="165"/>
      <c r="W2502" s="165"/>
      <c r="X2502" s="165"/>
    </row>
    <row r="2503" ht="18.75" customHeight="1">
      <c r="A2503" s="165">
        <v>2500.0</v>
      </c>
      <c r="B2503" s="165" t="s">
        <v>17941</v>
      </c>
      <c r="C2503" s="165"/>
      <c r="D2503" s="165"/>
      <c r="E2503" s="165"/>
      <c r="F2503" s="165"/>
      <c r="G2503" s="165"/>
      <c r="H2503" s="165"/>
      <c r="I2503" s="165"/>
      <c r="J2503" s="165"/>
      <c r="K2503" s="165"/>
      <c r="L2503" s="165"/>
      <c r="M2503" s="165"/>
      <c r="N2503" s="165"/>
      <c r="O2503" s="165"/>
      <c r="P2503" s="165"/>
      <c r="Q2503" s="165"/>
      <c r="R2503" s="165"/>
      <c r="S2503" s="165"/>
      <c r="T2503" s="165"/>
      <c r="U2503" s="165"/>
      <c r="V2503" s="165"/>
      <c r="W2503" s="165"/>
      <c r="X2503" s="165"/>
    </row>
    <row r="2504" ht="18.75" customHeight="1">
      <c r="A2504" s="165">
        <v>2501.0</v>
      </c>
      <c r="B2504" s="165" t="s">
        <v>17942</v>
      </c>
      <c r="C2504" s="165"/>
      <c r="D2504" s="165"/>
      <c r="E2504" s="165"/>
      <c r="F2504" s="165"/>
      <c r="G2504" s="165"/>
      <c r="H2504" s="165"/>
      <c r="I2504" s="165"/>
      <c r="J2504" s="165"/>
      <c r="K2504" s="165"/>
      <c r="L2504" s="165"/>
      <c r="M2504" s="165"/>
      <c r="N2504" s="165"/>
      <c r="O2504" s="165"/>
      <c r="P2504" s="165"/>
      <c r="Q2504" s="165"/>
      <c r="R2504" s="165"/>
      <c r="S2504" s="165"/>
      <c r="T2504" s="165"/>
      <c r="U2504" s="165"/>
      <c r="V2504" s="165"/>
      <c r="W2504" s="165"/>
      <c r="X2504" s="165"/>
    </row>
    <row r="2505" ht="18.75" customHeight="1">
      <c r="A2505" s="165">
        <v>2502.0</v>
      </c>
      <c r="B2505" s="165" t="s">
        <v>17943</v>
      </c>
      <c r="C2505" s="165"/>
      <c r="D2505" s="165"/>
      <c r="E2505" s="165"/>
      <c r="F2505" s="165"/>
      <c r="G2505" s="165"/>
      <c r="H2505" s="165"/>
      <c r="I2505" s="165"/>
      <c r="J2505" s="165"/>
      <c r="K2505" s="165"/>
      <c r="L2505" s="165"/>
      <c r="M2505" s="165"/>
      <c r="N2505" s="165"/>
      <c r="O2505" s="165"/>
      <c r="P2505" s="165"/>
      <c r="Q2505" s="165"/>
      <c r="R2505" s="165"/>
      <c r="S2505" s="165"/>
      <c r="T2505" s="165"/>
      <c r="U2505" s="165"/>
      <c r="V2505" s="165"/>
      <c r="W2505" s="165"/>
      <c r="X2505" s="165"/>
    </row>
    <row r="2506" ht="18.75" customHeight="1">
      <c r="A2506" s="165">
        <v>2503.0</v>
      </c>
      <c r="B2506" s="165" t="s">
        <v>17944</v>
      </c>
      <c r="C2506" s="165"/>
      <c r="D2506" s="165"/>
      <c r="E2506" s="165"/>
      <c r="F2506" s="165"/>
      <c r="G2506" s="165"/>
      <c r="H2506" s="165"/>
      <c r="I2506" s="165"/>
      <c r="J2506" s="165"/>
      <c r="K2506" s="165"/>
      <c r="L2506" s="165"/>
      <c r="M2506" s="165"/>
      <c r="N2506" s="165"/>
      <c r="O2506" s="165"/>
      <c r="P2506" s="165"/>
      <c r="Q2506" s="165"/>
      <c r="R2506" s="165"/>
      <c r="S2506" s="165"/>
      <c r="T2506" s="165"/>
      <c r="U2506" s="165"/>
      <c r="V2506" s="165"/>
      <c r="W2506" s="165"/>
      <c r="X2506" s="165"/>
    </row>
    <row r="2507" ht="18.75" customHeight="1">
      <c r="A2507" s="165">
        <v>2504.0</v>
      </c>
      <c r="B2507" s="165" t="s">
        <v>17945</v>
      </c>
      <c r="C2507" s="165"/>
      <c r="D2507" s="165"/>
      <c r="E2507" s="165"/>
      <c r="F2507" s="165"/>
      <c r="G2507" s="165"/>
      <c r="H2507" s="165"/>
      <c r="I2507" s="165"/>
      <c r="J2507" s="165"/>
      <c r="K2507" s="165"/>
      <c r="L2507" s="165"/>
      <c r="M2507" s="165"/>
      <c r="N2507" s="165"/>
      <c r="O2507" s="165"/>
      <c r="P2507" s="165"/>
      <c r="Q2507" s="165"/>
      <c r="R2507" s="165"/>
      <c r="S2507" s="165"/>
      <c r="T2507" s="165"/>
      <c r="U2507" s="165"/>
      <c r="V2507" s="165"/>
      <c r="W2507" s="165"/>
      <c r="X2507" s="165"/>
    </row>
    <row r="2508" ht="18.75" customHeight="1">
      <c r="A2508" s="165">
        <v>2505.0</v>
      </c>
      <c r="B2508" s="165" t="s">
        <v>17946</v>
      </c>
      <c r="C2508" s="165"/>
      <c r="D2508" s="165"/>
      <c r="E2508" s="165"/>
      <c r="F2508" s="165"/>
      <c r="G2508" s="165"/>
      <c r="H2508" s="165"/>
      <c r="I2508" s="165"/>
      <c r="J2508" s="165"/>
      <c r="K2508" s="165"/>
      <c r="L2508" s="165"/>
      <c r="M2508" s="165"/>
      <c r="N2508" s="165"/>
      <c r="O2508" s="165"/>
      <c r="P2508" s="165"/>
      <c r="Q2508" s="165"/>
      <c r="R2508" s="165"/>
      <c r="S2508" s="165"/>
      <c r="T2508" s="165"/>
      <c r="U2508" s="165"/>
      <c r="V2508" s="165"/>
      <c r="W2508" s="165"/>
      <c r="X2508" s="165"/>
    </row>
    <row r="2509" ht="18.75" customHeight="1">
      <c r="A2509" s="165">
        <v>2506.0</v>
      </c>
      <c r="B2509" s="165" t="s">
        <v>17947</v>
      </c>
      <c r="C2509" s="165"/>
      <c r="D2509" s="165"/>
      <c r="E2509" s="165"/>
      <c r="F2509" s="165"/>
      <c r="G2509" s="165"/>
      <c r="H2509" s="165"/>
      <c r="I2509" s="165"/>
      <c r="J2509" s="165"/>
      <c r="K2509" s="165"/>
      <c r="L2509" s="165"/>
      <c r="M2509" s="165"/>
      <c r="N2509" s="165"/>
      <c r="O2509" s="165"/>
      <c r="P2509" s="165"/>
      <c r="Q2509" s="165"/>
      <c r="R2509" s="165"/>
      <c r="S2509" s="165"/>
      <c r="T2509" s="165"/>
      <c r="U2509" s="165"/>
      <c r="V2509" s="165"/>
      <c r="W2509" s="165"/>
      <c r="X2509" s="165"/>
    </row>
    <row r="2510" ht="18.75" customHeight="1">
      <c r="A2510" s="165">
        <v>2507.0</v>
      </c>
      <c r="B2510" s="165" t="s">
        <v>17948</v>
      </c>
      <c r="C2510" s="165"/>
      <c r="D2510" s="165"/>
      <c r="E2510" s="165"/>
      <c r="F2510" s="165"/>
      <c r="G2510" s="165"/>
      <c r="H2510" s="165"/>
      <c r="I2510" s="165"/>
      <c r="J2510" s="165"/>
      <c r="K2510" s="165"/>
      <c r="L2510" s="165"/>
      <c r="M2510" s="165"/>
      <c r="N2510" s="165"/>
      <c r="O2510" s="165"/>
      <c r="P2510" s="165"/>
      <c r="Q2510" s="165"/>
      <c r="R2510" s="165"/>
      <c r="S2510" s="165"/>
      <c r="T2510" s="165"/>
      <c r="U2510" s="165"/>
      <c r="V2510" s="165"/>
      <c r="W2510" s="165"/>
      <c r="X2510" s="165"/>
    </row>
    <row r="2511" ht="18.75" customHeight="1">
      <c r="A2511" s="165">
        <v>2508.0</v>
      </c>
      <c r="B2511" s="165" t="s">
        <v>17949</v>
      </c>
      <c r="C2511" s="165"/>
      <c r="D2511" s="165"/>
      <c r="E2511" s="165"/>
      <c r="F2511" s="165"/>
      <c r="G2511" s="165"/>
      <c r="H2511" s="165"/>
      <c r="I2511" s="165"/>
      <c r="J2511" s="165"/>
      <c r="K2511" s="165"/>
      <c r="L2511" s="165"/>
      <c r="M2511" s="165"/>
      <c r="N2511" s="165"/>
      <c r="O2511" s="165"/>
      <c r="P2511" s="165"/>
      <c r="Q2511" s="165"/>
      <c r="R2511" s="165"/>
      <c r="S2511" s="165"/>
      <c r="T2511" s="165"/>
      <c r="U2511" s="165"/>
      <c r="V2511" s="165"/>
      <c r="W2511" s="165"/>
      <c r="X2511" s="165"/>
    </row>
    <row r="2512" ht="18.75" customHeight="1">
      <c r="A2512" s="165">
        <v>2509.0</v>
      </c>
      <c r="B2512" s="165" t="s">
        <v>17950</v>
      </c>
      <c r="C2512" s="165"/>
      <c r="D2512" s="165"/>
      <c r="E2512" s="165"/>
      <c r="F2512" s="165"/>
      <c r="G2512" s="165"/>
      <c r="H2512" s="165"/>
      <c r="I2512" s="165"/>
      <c r="J2512" s="165"/>
      <c r="K2512" s="165"/>
      <c r="L2512" s="165"/>
      <c r="M2512" s="165"/>
      <c r="N2512" s="165"/>
      <c r="O2512" s="165"/>
      <c r="P2512" s="165"/>
      <c r="Q2512" s="165"/>
      <c r="R2512" s="165"/>
      <c r="S2512" s="165"/>
      <c r="T2512" s="165"/>
      <c r="U2512" s="165"/>
      <c r="V2512" s="165"/>
      <c r="W2512" s="165"/>
      <c r="X2512" s="165"/>
    </row>
    <row r="2513" ht="18.75" customHeight="1">
      <c r="A2513" s="165">
        <v>2510.0</v>
      </c>
      <c r="B2513" s="165" t="s">
        <v>17951</v>
      </c>
      <c r="C2513" s="165"/>
      <c r="D2513" s="165"/>
      <c r="E2513" s="165"/>
      <c r="F2513" s="165"/>
      <c r="G2513" s="165"/>
      <c r="H2513" s="165"/>
      <c r="I2513" s="165"/>
      <c r="J2513" s="165"/>
      <c r="K2513" s="165"/>
      <c r="L2513" s="165"/>
      <c r="M2513" s="165"/>
      <c r="N2513" s="165"/>
      <c r="O2513" s="165"/>
      <c r="P2513" s="165"/>
      <c r="Q2513" s="165"/>
      <c r="R2513" s="165"/>
      <c r="S2513" s="165"/>
      <c r="T2513" s="165"/>
      <c r="U2513" s="165"/>
      <c r="V2513" s="165"/>
      <c r="W2513" s="165"/>
      <c r="X2513" s="165"/>
    </row>
    <row r="2514" ht="18.75" customHeight="1">
      <c r="A2514" s="165">
        <v>2511.0</v>
      </c>
      <c r="B2514" s="165" t="s">
        <v>17952</v>
      </c>
      <c r="C2514" s="165"/>
      <c r="D2514" s="165"/>
      <c r="E2514" s="165"/>
      <c r="F2514" s="165"/>
      <c r="G2514" s="165"/>
      <c r="H2514" s="165"/>
      <c r="I2514" s="165"/>
      <c r="J2514" s="165"/>
      <c r="K2514" s="165"/>
      <c r="L2514" s="165"/>
      <c r="M2514" s="165"/>
      <c r="N2514" s="165"/>
      <c r="O2514" s="165"/>
      <c r="P2514" s="165"/>
      <c r="Q2514" s="165"/>
      <c r="R2514" s="165"/>
      <c r="S2514" s="165"/>
      <c r="T2514" s="165"/>
      <c r="U2514" s="165"/>
      <c r="V2514" s="165"/>
      <c r="W2514" s="165"/>
      <c r="X2514" s="165"/>
    </row>
    <row r="2515" ht="18.75" customHeight="1">
      <c r="A2515" s="165">
        <v>2512.0</v>
      </c>
      <c r="B2515" s="167" t="s">
        <v>17953</v>
      </c>
      <c r="C2515" s="165"/>
      <c r="D2515" s="165"/>
      <c r="E2515" s="165"/>
      <c r="F2515" s="165"/>
      <c r="G2515" s="165"/>
      <c r="H2515" s="165"/>
      <c r="I2515" s="165"/>
      <c r="J2515" s="165"/>
      <c r="K2515" s="165"/>
      <c r="L2515" s="165"/>
      <c r="M2515" s="165"/>
      <c r="N2515" s="165"/>
      <c r="O2515" s="165"/>
      <c r="P2515" s="165"/>
      <c r="Q2515" s="165"/>
      <c r="R2515" s="165"/>
      <c r="S2515" s="165"/>
      <c r="T2515" s="165"/>
      <c r="U2515" s="165"/>
      <c r="V2515" s="165"/>
      <c r="W2515" s="165"/>
      <c r="X2515" s="165"/>
    </row>
    <row r="2516" ht="18.75" customHeight="1">
      <c r="A2516" s="165">
        <v>2513.0</v>
      </c>
      <c r="B2516" s="165" t="s">
        <v>17954</v>
      </c>
      <c r="C2516" s="165"/>
      <c r="D2516" s="165"/>
      <c r="E2516" s="165"/>
      <c r="F2516" s="165"/>
      <c r="G2516" s="165"/>
      <c r="H2516" s="165"/>
      <c r="I2516" s="165"/>
      <c r="J2516" s="165"/>
      <c r="K2516" s="165"/>
      <c r="L2516" s="165"/>
      <c r="M2516" s="165"/>
      <c r="N2516" s="165"/>
      <c r="O2516" s="165"/>
      <c r="P2516" s="165"/>
      <c r="Q2516" s="165"/>
      <c r="R2516" s="165"/>
      <c r="S2516" s="165"/>
      <c r="T2516" s="165"/>
      <c r="U2516" s="165"/>
      <c r="V2516" s="165"/>
      <c r="W2516" s="165"/>
      <c r="X2516" s="165"/>
    </row>
    <row r="2517" ht="18.75" customHeight="1">
      <c r="A2517" s="165">
        <v>2514.0</v>
      </c>
      <c r="B2517" s="165" t="s">
        <v>17955</v>
      </c>
      <c r="C2517" s="165"/>
      <c r="D2517" s="165"/>
      <c r="E2517" s="165"/>
      <c r="F2517" s="165"/>
      <c r="G2517" s="165"/>
      <c r="H2517" s="165"/>
      <c r="I2517" s="165"/>
      <c r="J2517" s="165"/>
      <c r="K2517" s="165"/>
      <c r="L2517" s="165"/>
      <c r="M2517" s="165"/>
      <c r="N2517" s="165"/>
      <c r="O2517" s="165"/>
      <c r="P2517" s="165"/>
      <c r="Q2517" s="165"/>
      <c r="R2517" s="165"/>
      <c r="S2517" s="165"/>
      <c r="T2517" s="165"/>
      <c r="U2517" s="165"/>
      <c r="V2517" s="165"/>
      <c r="W2517" s="165"/>
      <c r="X2517" s="165"/>
    </row>
    <row r="2518" ht="18.75" customHeight="1">
      <c r="A2518" s="165">
        <v>2515.0</v>
      </c>
      <c r="B2518" s="165" t="s">
        <v>17956</v>
      </c>
      <c r="C2518" s="165"/>
      <c r="D2518" s="165"/>
      <c r="E2518" s="165"/>
      <c r="F2518" s="165"/>
      <c r="G2518" s="165"/>
      <c r="H2518" s="165"/>
      <c r="I2518" s="165"/>
      <c r="J2518" s="165"/>
      <c r="K2518" s="165"/>
      <c r="L2518" s="165"/>
      <c r="M2518" s="165"/>
      <c r="N2518" s="165"/>
      <c r="O2518" s="165"/>
      <c r="P2518" s="165"/>
      <c r="Q2518" s="165"/>
      <c r="R2518" s="165"/>
      <c r="S2518" s="165"/>
      <c r="T2518" s="165"/>
      <c r="U2518" s="165"/>
      <c r="V2518" s="165"/>
      <c r="W2518" s="165"/>
      <c r="X2518" s="165"/>
    </row>
    <row r="2519" ht="18.75" customHeight="1">
      <c r="A2519" s="165">
        <v>2516.0</v>
      </c>
      <c r="B2519" s="165" t="s">
        <v>17957</v>
      </c>
      <c r="C2519" s="165"/>
      <c r="D2519" s="165"/>
      <c r="E2519" s="165"/>
      <c r="F2519" s="165"/>
      <c r="G2519" s="165"/>
      <c r="H2519" s="165"/>
      <c r="I2519" s="165"/>
      <c r="J2519" s="165"/>
      <c r="K2519" s="165"/>
      <c r="L2519" s="165"/>
      <c r="M2519" s="165"/>
      <c r="N2519" s="165"/>
      <c r="O2519" s="165"/>
      <c r="P2519" s="165"/>
      <c r="Q2519" s="165"/>
      <c r="R2519" s="165"/>
      <c r="S2519" s="165"/>
      <c r="T2519" s="165"/>
      <c r="U2519" s="165"/>
      <c r="V2519" s="165"/>
      <c r="W2519" s="165"/>
      <c r="X2519" s="165"/>
    </row>
    <row r="2520" ht="18.75" customHeight="1">
      <c r="A2520" s="165">
        <v>2517.0</v>
      </c>
      <c r="B2520" s="165" t="s">
        <v>17958</v>
      </c>
      <c r="C2520" s="165"/>
      <c r="D2520" s="165"/>
      <c r="E2520" s="165"/>
      <c r="F2520" s="165"/>
      <c r="G2520" s="165"/>
      <c r="H2520" s="165"/>
      <c r="I2520" s="165"/>
      <c r="J2520" s="165"/>
      <c r="K2520" s="165"/>
      <c r="L2520" s="165"/>
      <c r="M2520" s="165"/>
      <c r="N2520" s="165"/>
      <c r="O2520" s="165"/>
      <c r="P2520" s="165"/>
      <c r="Q2520" s="165"/>
      <c r="R2520" s="165"/>
      <c r="S2520" s="165"/>
      <c r="T2520" s="165"/>
      <c r="U2520" s="165"/>
      <c r="V2520" s="165"/>
      <c r="W2520" s="165"/>
      <c r="X2520" s="165"/>
    </row>
    <row r="2521" ht="18.75" customHeight="1">
      <c r="A2521" s="165">
        <v>2518.0</v>
      </c>
      <c r="B2521" s="165" t="s">
        <v>17125</v>
      </c>
      <c r="C2521" s="165"/>
      <c r="D2521" s="165"/>
      <c r="E2521" s="165"/>
      <c r="F2521" s="165"/>
      <c r="G2521" s="165"/>
      <c r="H2521" s="165"/>
      <c r="I2521" s="165"/>
      <c r="J2521" s="165"/>
      <c r="K2521" s="165"/>
      <c r="L2521" s="165"/>
      <c r="M2521" s="165"/>
      <c r="N2521" s="165"/>
      <c r="O2521" s="165"/>
      <c r="P2521" s="165"/>
      <c r="Q2521" s="165"/>
      <c r="R2521" s="165"/>
      <c r="S2521" s="165"/>
      <c r="T2521" s="165"/>
      <c r="U2521" s="165"/>
      <c r="V2521" s="165"/>
      <c r="W2521" s="165"/>
      <c r="X2521" s="165"/>
    </row>
    <row r="2522" ht="18.75" customHeight="1">
      <c r="A2522" s="165">
        <v>2519.0</v>
      </c>
      <c r="B2522" s="165" t="s">
        <v>17959</v>
      </c>
      <c r="C2522" s="165"/>
      <c r="D2522" s="165"/>
      <c r="E2522" s="165"/>
      <c r="F2522" s="165"/>
      <c r="G2522" s="165"/>
      <c r="H2522" s="165"/>
      <c r="I2522" s="165"/>
      <c r="J2522" s="165"/>
      <c r="K2522" s="165"/>
      <c r="L2522" s="165"/>
      <c r="M2522" s="165"/>
      <c r="N2522" s="165"/>
      <c r="O2522" s="165"/>
      <c r="P2522" s="165"/>
      <c r="Q2522" s="165"/>
      <c r="R2522" s="165"/>
      <c r="S2522" s="165"/>
      <c r="T2522" s="165"/>
      <c r="U2522" s="165"/>
      <c r="V2522" s="165"/>
      <c r="W2522" s="165"/>
      <c r="X2522" s="165"/>
    </row>
    <row r="2523" ht="18.75" customHeight="1">
      <c r="A2523" s="165">
        <v>2520.0</v>
      </c>
      <c r="B2523" s="165" t="s">
        <v>17960</v>
      </c>
      <c r="C2523" s="165"/>
      <c r="D2523" s="165"/>
      <c r="E2523" s="165"/>
      <c r="F2523" s="165"/>
      <c r="G2523" s="165"/>
      <c r="H2523" s="165"/>
      <c r="I2523" s="165"/>
      <c r="J2523" s="165"/>
      <c r="K2523" s="165"/>
      <c r="L2523" s="165"/>
      <c r="M2523" s="165"/>
      <c r="N2523" s="165"/>
      <c r="O2523" s="165"/>
      <c r="P2523" s="165"/>
      <c r="Q2523" s="165"/>
      <c r="R2523" s="165"/>
      <c r="S2523" s="165"/>
      <c r="T2523" s="165"/>
      <c r="U2523" s="165"/>
      <c r="V2523" s="165"/>
      <c r="W2523" s="165"/>
      <c r="X2523" s="165"/>
    </row>
    <row r="2524" ht="18.75" customHeight="1">
      <c r="A2524" s="165">
        <v>2521.0</v>
      </c>
      <c r="B2524" s="165" t="s">
        <v>17839</v>
      </c>
      <c r="C2524" s="165"/>
      <c r="D2524" s="165"/>
      <c r="E2524" s="165"/>
      <c r="F2524" s="165"/>
      <c r="G2524" s="165"/>
      <c r="H2524" s="165"/>
      <c r="I2524" s="165"/>
      <c r="J2524" s="165"/>
      <c r="K2524" s="165"/>
      <c r="L2524" s="165"/>
      <c r="M2524" s="165"/>
      <c r="N2524" s="165"/>
      <c r="O2524" s="165"/>
      <c r="P2524" s="165"/>
      <c r="Q2524" s="165"/>
      <c r="R2524" s="165"/>
      <c r="S2524" s="165"/>
      <c r="T2524" s="165"/>
      <c r="U2524" s="165"/>
      <c r="V2524" s="165"/>
      <c r="W2524" s="165"/>
      <c r="X2524" s="165"/>
    </row>
    <row r="2525" ht="18.75" customHeight="1">
      <c r="A2525" s="165">
        <v>2522.0</v>
      </c>
      <c r="B2525" s="165" t="s">
        <v>17961</v>
      </c>
      <c r="C2525" s="165"/>
      <c r="D2525" s="165"/>
      <c r="E2525" s="165"/>
      <c r="F2525" s="165"/>
      <c r="G2525" s="165"/>
      <c r="H2525" s="165"/>
      <c r="I2525" s="165"/>
      <c r="J2525" s="165"/>
      <c r="K2525" s="165"/>
      <c r="L2525" s="165"/>
      <c r="M2525" s="165"/>
      <c r="N2525" s="165"/>
      <c r="O2525" s="165"/>
      <c r="P2525" s="165"/>
      <c r="Q2525" s="165"/>
      <c r="R2525" s="165"/>
      <c r="S2525" s="165"/>
      <c r="T2525" s="165"/>
      <c r="U2525" s="165"/>
      <c r="V2525" s="165"/>
      <c r="W2525" s="165"/>
      <c r="X2525" s="165"/>
    </row>
    <row r="2526" ht="18.75" customHeight="1">
      <c r="A2526" s="165">
        <v>2523.0</v>
      </c>
      <c r="B2526" s="165" t="s">
        <v>17962</v>
      </c>
      <c r="C2526" s="165"/>
      <c r="D2526" s="165"/>
      <c r="E2526" s="165"/>
      <c r="F2526" s="165"/>
      <c r="G2526" s="165"/>
      <c r="H2526" s="165"/>
      <c r="I2526" s="165"/>
      <c r="J2526" s="165"/>
      <c r="K2526" s="165"/>
      <c r="L2526" s="165"/>
      <c r="M2526" s="165"/>
      <c r="N2526" s="165"/>
      <c r="O2526" s="165"/>
      <c r="P2526" s="165"/>
      <c r="Q2526" s="165"/>
      <c r="R2526" s="165"/>
      <c r="S2526" s="165"/>
      <c r="T2526" s="165"/>
      <c r="U2526" s="165"/>
      <c r="V2526" s="165"/>
      <c r="W2526" s="165"/>
      <c r="X2526" s="165"/>
    </row>
    <row r="2527" ht="18.75" customHeight="1">
      <c r="A2527" s="165">
        <v>2524.0</v>
      </c>
      <c r="B2527" s="165" t="s">
        <v>17963</v>
      </c>
      <c r="C2527" s="165"/>
      <c r="D2527" s="165"/>
      <c r="E2527" s="165"/>
      <c r="F2527" s="165"/>
      <c r="G2527" s="165"/>
      <c r="H2527" s="165"/>
      <c r="I2527" s="165"/>
      <c r="J2527" s="165"/>
      <c r="K2527" s="165"/>
      <c r="L2527" s="165"/>
      <c r="M2527" s="165"/>
      <c r="N2527" s="165"/>
      <c r="O2527" s="165"/>
      <c r="P2527" s="165"/>
      <c r="Q2527" s="165"/>
      <c r="R2527" s="165"/>
      <c r="S2527" s="165"/>
      <c r="T2527" s="165"/>
      <c r="U2527" s="165"/>
      <c r="V2527" s="165"/>
      <c r="W2527" s="165"/>
      <c r="X2527" s="165"/>
    </row>
    <row r="2528" ht="18.75" customHeight="1">
      <c r="A2528" s="165">
        <v>2525.0</v>
      </c>
      <c r="B2528" s="165" t="s">
        <v>17964</v>
      </c>
      <c r="C2528" s="165"/>
      <c r="D2528" s="165"/>
      <c r="E2528" s="165"/>
      <c r="F2528" s="165"/>
      <c r="G2528" s="165"/>
      <c r="H2528" s="165"/>
      <c r="I2528" s="165"/>
      <c r="J2528" s="165"/>
      <c r="K2528" s="165"/>
      <c r="L2528" s="165"/>
      <c r="M2528" s="165"/>
      <c r="N2528" s="165"/>
      <c r="O2528" s="165"/>
      <c r="P2528" s="165"/>
      <c r="Q2528" s="165"/>
      <c r="R2528" s="165"/>
      <c r="S2528" s="165"/>
      <c r="T2528" s="165"/>
      <c r="U2528" s="165"/>
      <c r="V2528" s="165"/>
      <c r="W2528" s="165"/>
      <c r="X2528" s="165"/>
    </row>
    <row r="2529" ht="18.75" customHeight="1">
      <c r="A2529" s="165">
        <v>2526.0</v>
      </c>
      <c r="B2529" s="165" t="s">
        <v>17965</v>
      </c>
      <c r="C2529" s="165"/>
      <c r="D2529" s="165"/>
      <c r="E2529" s="165"/>
      <c r="F2529" s="165"/>
      <c r="G2529" s="165"/>
      <c r="H2529" s="165"/>
      <c r="I2529" s="165"/>
      <c r="J2529" s="165"/>
      <c r="K2529" s="165"/>
      <c r="L2529" s="165"/>
      <c r="M2529" s="165"/>
      <c r="N2529" s="165"/>
      <c r="O2529" s="165"/>
      <c r="P2529" s="165"/>
      <c r="Q2529" s="165"/>
      <c r="R2529" s="165"/>
      <c r="S2529" s="165"/>
      <c r="T2529" s="165"/>
      <c r="U2529" s="165"/>
      <c r="V2529" s="165"/>
      <c r="W2529" s="165"/>
      <c r="X2529" s="165"/>
    </row>
    <row r="2530" ht="18.75" customHeight="1">
      <c r="A2530" s="165">
        <v>2527.0</v>
      </c>
      <c r="B2530" s="165" t="s">
        <v>17966</v>
      </c>
      <c r="C2530" s="165"/>
      <c r="D2530" s="165"/>
      <c r="E2530" s="165"/>
      <c r="F2530" s="165"/>
      <c r="G2530" s="165"/>
      <c r="H2530" s="165"/>
      <c r="I2530" s="165"/>
      <c r="J2530" s="165"/>
      <c r="K2530" s="165"/>
      <c r="L2530" s="165"/>
      <c r="M2530" s="165"/>
      <c r="N2530" s="165"/>
      <c r="O2530" s="165"/>
      <c r="P2530" s="165"/>
      <c r="Q2530" s="165"/>
      <c r="R2530" s="165"/>
      <c r="S2530" s="165"/>
      <c r="T2530" s="165"/>
      <c r="U2530" s="165"/>
      <c r="V2530" s="165"/>
      <c r="W2530" s="165"/>
      <c r="X2530" s="165"/>
    </row>
    <row r="2531" ht="18.75" customHeight="1">
      <c r="A2531" s="165">
        <v>2528.0</v>
      </c>
      <c r="B2531" s="165" t="s">
        <v>17967</v>
      </c>
      <c r="C2531" s="165"/>
      <c r="D2531" s="165"/>
      <c r="E2531" s="165"/>
      <c r="F2531" s="165"/>
      <c r="G2531" s="165"/>
      <c r="H2531" s="165"/>
      <c r="I2531" s="165"/>
      <c r="J2531" s="165"/>
      <c r="K2531" s="165"/>
      <c r="L2531" s="165"/>
      <c r="M2531" s="165"/>
      <c r="N2531" s="165"/>
      <c r="O2531" s="165"/>
      <c r="P2531" s="165"/>
      <c r="Q2531" s="165"/>
      <c r="R2531" s="165"/>
      <c r="S2531" s="165"/>
      <c r="T2531" s="165"/>
      <c r="U2531" s="165"/>
      <c r="V2531" s="165"/>
      <c r="W2531" s="165"/>
      <c r="X2531" s="165"/>
    </row>
    <row r="2532" ht="18.75" customHeight="1">
      <c r="A2532" s="165">
        <v>2529.0</v>
      </c>
      <c r="B2532" s="165" t="s">
        <v>17968</v>
      </c>
      <c r="C2532" s="165"/>
      <c r="D2532" s="165"/>
      <c r="E2532" s="165"/>
      <c r="F2532" s="165"/>
      <c r="G2532" s="165"/>
      <c r="H2532" s="165"/>
      <c r="I2532" s="165"/>
      <c r="J2532" s="165"/>
      <c r="K2532" s="165"/>
      <c r="L2532" s="165"/>
      <c r="M2532" s="165"/>
      <c r="N2532" s="165"/>
      <c r="O2532" s="165"/>
      <c r="P2532" s="165"/>
      <c r="Q2532" s="165"/>
      <c r="R2532" s="165"/>
      <c r="S2532" s="165"/>
      <c r="T2532" s="165"/>
      <c r="U2532" s="165"/>
      <c r="V2532" s="165"/>
      <c r="W2532" s="165"/>
      <c r="X2532" s="165"/>
    </row>
    <row r="2533" ht="18.75" customHeight="1">
      <c r="A2533" s="165">
        <v>2530.0</v>
      </c>
      <c r="B2533" s="165" t="s">
        <v>17936</v>
      </c>
      <c r="C2533" s="165"/>
      <c r="D2533" s="165"/>
      <c r="E2533" s="165"/>
      <c r="F2533" s="165"/>
      <c r="G2533" s="165"/>
      <c r="H2533" s="165"/>
      <c r="I2533" s="165"/>
      <c r="J2533" s="165"/>
      <c r="K2533" s="165"/>
      <c r="L2533" s="165"/>
      <c r="M2533" s="165"/>
      <c r="N2533" s="165"/>
      <c r="O2533" s="165"/>
      <c r="P2533" s="165"/>
      <c r="Q2533" s="165"/>
      <c r="R2533" s="165"/>
      <c r="S2533" s="165"/>
      <c r="T2533" s="165"/>
      <c r="U2533" s="165"/>
      <c r="V2533" s="165"/>
      <c r="W2533" s="165"/>
      <c r="X2533" s="165"/>
    </row>
    <row r="2534" ht="18.75" customHeight="1">
      <c r="A2534" s="165">
        <v>2531.0</v>
      </c>
      <c r="B2534" s="165" t="s">
        <v>17969</v>
      </c>
      <c r="C2534" s="165"/>
      <c r="D2534" s="165"/>
      <c r="E2534" s="165"/>
      <c r="F2534" s="165"/>
      <c r="G2534" s="165"/>
      <c r="H2534" s="165"/>
      <c r="I2534" s="165"/>
      <c r="J2534" s="165"/>
      <c r="K2534" s="165"/>
      <c r="L2534" s="165"/>
      <c r="M2534" s="165"/>
      <c r="N2534" s="165"/>
      <c r="O2534" s="165"/>
      <c r="P2534" s="165"/>
      <c r="Q2534" s="165"/>
      <c r="R2534" s="165"/>
      <c r="S2534" s="165"/>
      <c r="T2534" s="165"/>
      <c r="U2534" s="165"/>
      <c r="V2534" s="165"/>
      <c r="W2534" s="165"/>
      <c r="X2534" s="165"/>
    </row>
    <row r="2535" ht="18.75" customHeight="1">
      <c r="A2535" s="165">
        <v>2532.0</v>
      </c>
      <c r="B2535" s="165" t="s">
        <v>17970</v>
      </c>
      <c r="C2535" s="165"/>
      <c r="D2535" s="165"/>
      <c r="E2535" s="165"/>
      <c r="F2535" s="165"/>
      <c r="G2535" s="165"/>
      <c r="H2535" s="165"/>
      <c r="I2535" s="165"/>
      <c r="J2535" s="165"/>
      <c r="K2535" s="165"/>
      <c r="L2535" s="165"/>
      <c r="M2535" s="165"/>
      <c r="N2535" s="165"/>
      <c r="O2535" s="165"/>
      <c r="P2535" s="165"/>
      <c r="Q2535" s="165"/>
      <c r="R2535" s="165"/>
      <c r="S2535" s="165"/>
      <c r="T2535" s="165"/>
      <c r="U2535" s="165"/>
      <c r="V2535" s="165"/>
      <c r="W2535" s="165"/>
      <c r="X2535" s="165"/>
    </row>
    <row r="2536" ht="18.75" customHeight="1">
      <c r="A2536" s="165">
        <v>2533.0</v>
      </c>
      <c r="B2536" s="165" t="s">
        <v>17971</v>
      </c>
      <c r="C2536" s="165"/>
      <c r="D2536" s="165"/>
      <c r="E2536" s="165"/>
      <c r="F2536" s="165"/>
      <c r="G2536" s="165"/>
      <c r="H2536" s="165"/>
      <c r="I2536" s="165"/>
      <c r="J2536" s="165"/>
      <c r="K2536" s="165"/>
      <c r="L2536" s="165"/>
      <c r="M2536" s="165"/>
      <c r="N2536" s="165"/>
      <c r="O2536" s="165"/>
      <c r="P2536" s="165"/>
      <c r="Q2536" s="165"/>
      <c r="R2536" s="165"/>
      <c r="S2536" s="165"/>
      <c r="T2536" s="165"/>
      <c r="U2536" s="165"/>
      <c r="V2536" s="165"/>
      <c r="W2536" s="165"/>
      <c r="X2536" s="165"/>
    </row>
    <row r="2537" ht="18.75" customHeight="1">
      <c r="A2537" s="165">
        <v>2534.0</v>
      </c>
      <c r="B2537" s="165" t="s">
        <v>17972</v>
      </c>
      <c r="C2537" s="165"/>
      <c r="D2537" s="165"/>
      <c r="E2537" s="165"/>
      <c r="F2537" s="165"/>
      <c r="G2537" s="165"/>
      <c r="H2537" s="165"/>
      <c r="I2537" s="165"/>
      <c r="J2537" s="165"/>
      <c r="K2537" s="165"/>
      <c r="L2537" s="165"/>
      <c r="M2537" s="165"/>
      <c r="N2537" s="165"/>
      <c r="O2537" s="165"/>
      <c r="P2537" s="165"/>
      <c r="Q2537" s="165"/>
      <c r="R2537" s="165"/>
      <c r="S2537" s="165"/>
      <c r="T2537" s="165"/>
      <c r="U2537" s="165"/>
      <c r="V2537" s="165"/>
      <c r="W2537" s="165"/>
      <c r="X2537" s="165"/>
    </row>
    <row r="2538" ht="18.75" customHeight="1">
      <c r="A2538" s="165">
        <v>2535.0</v>
      </c>
      <c r="B2538" s="165" t="s">
        <v>17973</v>
      </c>
      <c r="C2538" s="165"/>
      <c r="D2538" s="165"/>
      <c r="E2538" s="165"/>
      <c r="F2538" s="165"/>
      <c r="G2538" s="165"/>
      <c r="H2538" s="165"/>
      <c r="I2538" s="165"/>
      <c r="J2538" s="165"/>
      <c r="K2538" s="165"/>
      <c r="L2538" s="165"/>
      <c r="M2538" s="165"/>
      <c r="N2538" s="165"/>
      <c r="O2538" s="165"/>
      <c r="P2538" s="165"/>
      <c r="Q2538" s="165"/>
      <c r="R2538" s="165"/>
      <c r="S2538" s="165"/>
      <c r="T2538" s="165"/>
      <c r="U2538" s="165"/>
      <c r="V2538" s="165"/>
      <c r="W2538" s="165"/>
      <c r="X2538" s="165"/>
    </row>
    <row r="2539" ht="18.75" customHeight="1">
      <c r="A2539" s="165">
        <v>2536.0</v>
      </c>
      <c r="B2539" s="165" t="s">
        <v>17974</v>
      </c>
      <c r="C2539" s="165"/>
      <c r="D2539" s="165"/>
      <c r="E2539" s="165"/>
      <c r="F2539" s="165"/>
      <c r="G2539" s="165"/>
      <c r="H2539" s="165"/>
      <c r="I2539" s="165"/>
      <c r="J2539" s="165"/>
      <c r="K2539" s="165"/>
      <c r="L2539" s="165"/>
      <c r="M2539" s="165"/>
      <c r="N2539" s="165"/>
      <c r="O2539" s="165"/>
      <c r="P2539" s="165"/>
      <c r="Q2539" s="165"/>
      <c r="R2539" s="165"/>
      <c r="S2539" s="165"/>
      <c r="T2539" s="165"/>
      <c r="U2539" s="165"/>
      <c r="V2539" s="165"/>
      <c r="W2539" s="165"/>
      <c r="X2539" s="165"/>
    </row>
    <row r="2540" ht="18.75" customHeight="1">
      <c r="A2540" s="165">
        <v>2537.0</v>
      </c>
      <c r="B2540" s="165" t="s">
        <v>17975</v>
      </c>
      <c r="C2540" s="165"/>
      <c r="D2540" s="165"/>
      <c r="E2540" s="165"/>
      <c r="F2540" s="165"/>
      <c r="G2540" s="165"/>
      <c r="H2540" s="165"/>
      <c r="I2540" s="165"/>
      <c r="J2540" s="165"/>
      <c r="K2540" s="165"/>
      <c r="L2540" s="165"/>
      <c r="M2540" s="165"/>
      <c r="N2540" s="165"/>
      <c r="O2540" s="165"/>
      <c r="P2540" s="165"/>
      <c r="Q2540" s="165"/>
      <c r="R2540" s="165"/>
      <c r="S2540" s="165"/>
      <c r="T2540" s="165"/>
      <c r="U2540" s="165"/>
      <c r="V2540" s="165"/>
      <c r="W2540" s="165"/>
      <c r="X2540" s="165"/>
    </row>
    <row r="2541" ht="18.75" customHeight="1">
      <c r="A2541" s="165">
        <v>2538.0</v>
      </c>
      <c r="B2541" s="165" t="s">
        <v>17976</v>
      </c>
      <c r="C2541" s="165"/>
      <c r="D2541" s="165"/>
      <c r="E2541" s="165"/>
      <c r="F2541" s="165"/>
      <c r="G2541" s="165"/>
      <c r="H2541" s="165"/>
      <c r="I2541" s="165"/>
      <c r="J2541" s="165"/>
      <c r="K2541" s="165"/>
      <c r="L2541" s="165"/>
      <c r="M2541" s="165"/>
      <c r="N2541" s="165"/>
      <c r="O2541" s="165"/>
      <c r="P2541" s="165"/>
      <c r="Q2541" s="165"/>
      <c r="R2541" s="165"/>
      <c r="S2541" s="165"/>
      <c r="T2541" s="165"/>
      <c r="U2541" s="165"/>
      <c r="V2541" s="165"/>
      <c r="W2541" s="165"/>
      <c r="X2541" s="165"/>
    </row>
    <row r="2542" ht="18.75" customHeight="1">
      <c r="A2542" s="165">
        <v>2539.0</v>
      </c>
      <c r="B2542" s="165" t="s">
        <v>17977</v>
      </c>
      <c r="C2542" s="165"/>
      <c r="D2542" s="165"/>
      <c r="E2542" s="165"/>
      <c r="F2542" s="165"/>
      <c r="G2542" s="165"/>
      <c r="H2542" s="165"/>
      <c r="I2542" s="165"/>
      <c r="J2542" s="165"/>
      <c r="K2542" s="165"/>
      <c r="L2542" s="165"/>
      <c r="M2542" s="165"/>
      <c r="N2542" s="165"/>
      <c r="O2542" s="165"/>
      <c r="P2542" s="165"/>
      <c r="Q2542" s="165"/>
      <c r="R2542" s="165"/>
      <c r="S2542" s="165"/>
      <c r="T2542" s="165"/>
      <c r="U2542" s="165"/>
      <c r="V2542" s="165"/>
      <c r="W2542" s="165"/>
      <c r="X2542" s="165"/>
    </row>
    <row r="2543" ht="18.75" customHeight="1">
      <c r="A2543" s="165">
        <v>2540.0</v>
      </c>
      <c r="B2543" s="165" t="s">
        <v>17978</v>
      </c>
      <c r="C2543" s="165"/>
      <c r="D2543" s="165"/>
      <c r="E2543" s="165"/>
      <c r="F2543" s="165"/>
      <c r="G2543" s="165"/>
      <c r="H2543" s="165"/>
      <c r="I2543" s="165"/>
      <c r="J2543" s="165"/>
      <c r="K2543" s="165"/>
      <c r="L2543" s="165"/>
      <c r="M2543" s="165"/>
      <c r="N2543" s="165"/>
      <c r="O2543" s="165"/>
      <c r="P2543" s="165"/>
      <c r="Q2543" s="165"/>
      <c r="R2543" s="165"/>
      <c r="S2543" s="165"/>
      <c r="T2543" s="165"/>
      <c r="U2543" s="165"/>
      <c r="V2543" s="165"/>
      <c r="W2543" s="165"/>
      <c r="X2543" s="165"/>
    </row>
    <row r="2544" ht="18.75" customHeight="1">
      <c r="A2544" s="165">
        <v>2541.0</v>
      </c>
      <c r="B2544" s="165" t="s">
        <v>17979</v>
      </c>
      <c r="C2544" s="165"/>
      <c r="D2544" s="165"/>
      <c r="E2544" s="165"/>
      <c r="F2544" s="165"/>
      <c r="G2544" s="165"/>
      <c r="H2544" s="165"/>
      <c r="I2544" s="165"/>
      <c r="J2544" s="165"/>
      <c r="K2544" s="165"/>
      <c r="L2544" s="165"/>
      <c r="M2544" s="165"/>
      <c r="N2544" s="165"/>
      <c r="O2544" s="165"/>
      <c r="P2544" s="165"/>
      <c r="Q2544" s="165"/>
      <c r="R2544" s="165"/>
      <c r="S2544" s="165"/>
      <c r="T2544" s="165"/>
      <c r="U2544" s="165"/>
      <c r="V2544" s="165"/>
      <c r="W2544" s="165"/>
      <c r="X2544" s="165"/>
    </row>
    <row r="2545" ht="18.75" customHeight="1">
      <c r="A2545" s="165">
        <v>2542.0</v>
      </c>
      <c r="B2545" s="165" t="s">
        <v>17980</v>
      </c>
      <c r="C2545" s="165"/>
      <c r="D2545" s="165"/>
      <c r="E2545" s="165"/>
      <c r="F2545" s="165"/>
      <c r="G2545" s="165"/>
      <c r="H2545" s="165"/>
      <c r="I2545" s="165"/>
      <c r="J2545" s="165"/>
      <c r="K2545" s="165"/>
      <c r="L2545" s="165"/>
      <c r="M2545" s="165"/>
      <c r="N2545" s="165"/>
      <c r="O2545" s="165"/>
      <c r="P2545" s="165"/>
      <c r="Q2545" s="165"/>
      <c r="R2545" s="165"/>
      <c r="S2545" s="165"/>
      <c r="T2545" s="165"/>
      <c r="U2545" s="165"/>
      <c r="V2545" s="165"/>
      <c r="W2545" s="165"/>
      <c r="X2545" s="165"/>
    </row>
    <row r="2546" ht="18.75" customHeight="1">
      <c r="A2546" s="165">
        <v>2543.0</v>
      </c>
      <c r="B2546" s="165" t="s">
        <v>17981</v>
      </c>
      <c r="C2546" s="165"/>
      <c r="D2546" s="165"/>
      <c r="E2546" s="165"/>
      <c r="F2546" s="165"/>
      <c r="G2546" s="165"/>
      <c r="H2546" s="165"/>
      <c r="I2546" s="165"/>
      <c r="J2546" s="165"/>
      <c r="K2546" s="165"/>
      <c r="L2546" s="165"/>
      <c r="M2546" s="165"/>
      <c r="N2546" s="165"/>
      <c r="O2546" s="165"/>
      <c r="P2546" s="165"/>
      <c r="Q2546" s="165"/>
      <c r="R2546" s="165"/>
      <c r="S2546" s="165"/>
      <c r="T2546" s="165"/>
      <c r="U2546" s="165"/>
      <c r="V2546" s="165"/>
      <c r="W2546" s="165"/>
      <c r="X2546" s="165"/>
    </row>
    <row r="2547" ht="18.75" customHeight="1">
      <c r="A2547" s="165">
        <v>2544.0</v>
      </c>
      <c r="B2547" s="165" t="s">
        <v>17982</v>
      </c>
      <c r="C2547" s="165"/>
      <c r="D2547" s="165"/>
      <c r="E2547" s="165"/>
      <c r="F2547" s="165"/>
      <c r="G2547" s="165"/>
      <c r="H2547" s="165"/>
      <c r="I2547" s="165"/>
      <c r="J2547" s="165"/>
      <c r="K2547" s="165"/>
      <c r="L2547" s="165"/>
      <c r="M2547" s="165"/>
      <c r="N2547" s="165"/>
      <c r="O2547" s="165"/>
      <c r="P2547" s="165"/>
      <c r="Q2547" s="165"/>
      <c r="R2547" s="165"/>
      <c r="S2547" s="165"/>
      <c r="T2547" s="165"/>
      <c r="U2547" s="165"/>
      <c r="V2547" s="165"/>
      <c r="W2547" s="165"/>
      <c r="X2547" s="165"/>
    </row>
    <row r="2548" ht="18.75" customHeight="1">
      <c r="A2548" s="165">
        <v>2545.0</v>
      </c>
      <c r="B2548" s="165" t="s">
        <v>17983</v>
      </c>
      <c r="C2548" s="165"/>
      <c r="D2548" s="165"/>
      <c r="E2548" s="165"/>
      <c r="F2548" s="165"/>
      <c r="G2548" s="165"/>
      <c r="H2548" s="165"/>
      <c r="I2548" s="165"/>
      <c r="J2548" s="165"/>
      <c r="K2548" s="165"/>
      <c r="L2548" s="165"/>
      <c r="M2548" s="165"/>
      <c r="N2548" s="165"/>
      <c r="O2548" s="165"/>
      <c r="P2548" s="165"/>
      <c r="Q2548" s="165"/>
      <c r="R2548" s="165"/>
      <c r="S2548" s="165"/>
      <c r="T2548" s="165"/>
      <c r="U2548" s="165"/>
      <c r="V2548" s="165"/>
      <c r="W2548" s="165"/>
      <c r="X2548" s="165"/>
    </row>
    <row r="2549" ht="18.75" customHeight="1">
      <c r="A2549" s="165">
        <v>2546.0</v>
      </c>
      <c r="B2549" s="165" t="s">
        <v>17984</v>
      </c>
      <c r="C2549" s="165"/>
      <c r="D2549" s="165"/>
      <c r="E2549" s="165"/>
      <c r="F2549" s="165"/>
      <c r="G2549" s="165"/>
      <c r="H2549" s="165"/>
      <c r="I2549" s="165"/>
      <c r="J2549" s="165"/>
      <c r="K2549" s="165"/>
      <c r="L2549" s="165"/>
      <c r="M2549" s="165"/>
      <c r="N2549" s="165"/>
      <c r="O2549" s="165"/>
      <c r="P2549" s="165"/>
      <c r="Q2549" s="165"/>
      <c r="R2549" s="165"/>
      <c r="S2549" s="165"/>
      <c r="T2549" s="165"/>
      <c r="U2549" s="165"/>
      <c r="V2549" s="165"/>
      <c r="W2549" s="165"/>
      <c r="X2549" s="165"/>
    </row>
    <row r="2550" ht="18.75" customHeight="1">
      <c r="A2550" s="165">
        <v>2547.0</v>
      </c>
      <c r="B2550" s="165" t="s">
        <v>17985</v>
      </c>
      <c r="C2550" s="165"/>
      <c r="D2550" s="165"/>
      <c r="E2550" s="165"/>
      <c r="F2550" s="165"/>
      <c r="G2550" s="165"/>
      <c r="H2550" s="165"/>
      <c r="I2550" s="165"/>
      <c r="J2550" s="165"/>
      <c r="K2550" s="165"/>
      <c r="L2550" s="165"/>
      <c r="M2550" s="165"/>
      <c r="N2550" s="165"/>
      <c r="O2550" s="165"/>
      <c r="P2550" s="165"/>
      <c r="Q2550" s="165"/>
      <c r="R2550" s="165"/>
      <c r="S2550" s="165"/>
      <c r="T2550" s="165"/>
      <c r="U2550" s="165"/>
      <c r="V2550" s="165"/>
      <c r="W2550" s="165"/>
      <c r="X2550" s="165"/>
    </row>
    <row r="2551" ht="18.75" customHeight="1">
      <c r="A2551" s="165">
        <v>2548.0</v>
      </c>
      <c r="B2551" s="165" t="s">
        <v>17986</v>
      </c>
      <c r="C2551" s="165"/>
      <c r="D2551" s="165"/>
      <c r="E2551" s="165"/>
      <c r="F2551" s="165"/>
      <c r="G2551" s="165"/>
      <c r="H2551" s="165"/>
      <c r="I2551" s="165"/>
      <c r="J2551" s="165"/>
      <c r="K2551" s="165"/>
      <c r="L2551" s="165"/>
      <c r="M2551" s="165"/>
      <c r="N2551" s="165"/>
      <c r="O2551" s="165"/>
      <c r="P2551" s="165"/>
      <c r="Q2551" s="165"/>
      <c r="R2551" s="165"/>
      <c r="S2551" s="165"/>
      <c r="T2551" s="165"/>
      <c r="U2551" s="165"/>
      <c r="V2551" s="165"/>
      <c r="W2551" s="165"/>
      <c r="X2551" s="165"/>
    </row>
    <row r="2552" ht="18.75" customHeight="1">
      <c r="A2552" s="165">
        <v>2549.0</v>
      </c>
      <c r="B2552" s="165" t="s">
        <v>17987</v>
      </c>
      <c r="C2552" s="165"/>
      <c r="D2552" s="165"/>
      <c r="E2552" s="165"/>
      <c r="F2552" s="165"/>
      <c r="G2552" s="165"/>
      <c r="H2552" s="165"/>
      <c r="I2552" s="165"/>
      <c r="J2552" s="165"/>
      <c r="K2552" s="165"/>
      <c r="L2552" s="165"/>
      <c r="M2552" s="165"/>
      <c r="N2552" s="165"/>
      <c r="O2552" s="165"/>
      <c r="P2552" s="165"/>
      <c r="Q2552" s="165"/>
      <c r="R2552" s="165"/>
      <c r="S2552" s="165"/>
      <c r="T2552" s="165"/>
      <c r="U2552" s="165"/>
      <c r="V2552" s="165"/>
      <c r="W2552" s="165"/>
      <c r="X2552" s="165"/>
    </row>
    <row r="2553" ht="18.75" customHeight="1">
      <c r="A2553" s="165">
        <v>2550.0</v>
      </c>
      <c r="B2553" s="165" t="s">
        <v>17988</v>
      </c>
      <c r="C2553" s="165"/>
      <c r="D2553" s="165"/>
      <c r="E2553" s="165"/>
      <c r="F2553" s="165"/>
      <c r="G2553" s="165"/>
      <c r="H2553" s="165"/>
      <c r="I2553" s="165"/>
      <c r="J2553" s="165"/>
      <c r="K2553" s="165"/>
      <c r="L2553" s="165"/>
      <c r="M2553" s="165"/>
      <c r="N2553" s="165"/>
      <c r="O2553" s="165"/>
      <c r="P2553" s="165"/>
      <c r="Q2553" s="165"/>
      <c r="R2553" s="165"/>
      <c r="S2553" s="165"/>
      <c r="T2553" s="165"/>
      <c r="U2553" s="165"/>
      <c r="V2553" s="165"/>
      <c r="W2553" s="165"/>
      <c r="X2553" s="165"/>
    </row>
    <row r="2554" ht="18.75" customHeight="1">
      <c r="A2554" s="165">
        <v>2551.0</v>
      </c>
      <c r="B2554" s="165" t="s">
        <v>17989</v>
      </c>
      <c r="C2554" s="165"/>
      <c r="D2554" s="165"/>
      <c r="E2554" s="165"/>
      <c r="F2554" s="165"/>
      <c r="G2554" s="165"/>
      <c r="H2554" s="165"/>
      <c r="I2554" s="165"/>
      <c r="J2554" s="165"/>
      <c r="K2554" s="165"/>
      <c r="L2554" s="165"/>
      <c r="M2554" s="165"/>
      <c r="N2554" s="165"/>
      <c r="O2554" s="165"/>
      <c r="P2554" s="165"/>
      <c r="Q2554" s="165"/>
      <c r="R2554" s="165"/>
      <c r="S2554" s="165"/>
      <c r="T2554" s="165"/>
      <c r="U2554" s="165"/>
      <c r="V2554" s="165"/>
      <c r="W2554" s="165"/>
      <c r="X2554" s="165"/>
    </row>
    <row r="2555" ht="18.75" customHeight="1">
      <c r="A2555" s="165">
        <v>2552.0</v>
      </c>
      <c r="B2555" s="165" t="s">
        <v>17990</v>
      </c>
      <c r="C2555" s="165"/>
      <c r="D2555" s="165"/>
      <c r="E2555" s="165"/>
      <c r="F2555" s="165"/>
      <c r="G2555" s="165"/>
      <c r="H2555" s="165"/>
      <c r="I2555" s="165"/>
      <c r="J2555" s="165"/>
      <c r="K2555" s="165"/>
      <c r="L2555" s="165"/>
      <c r="M2555" s="165"/>
      <c r="N2555" s="165"/>
      <c r="O2555" s="165"/>
      <c r="P2555" s="165"/>
      <c r="Q2555" s="165"/>
      <c r="R2555" s="165"/>
      <c r="S2555" s="165"/>
      <c r="T2555" s="165"/>
      <c r="U2555" s="165"/>
      <c r="V2555" s="165"/>
      <c r="W2555" s="165"/>
      <c r="X2555" s="165"/>
    </row>
    <row r="2556" ht="18.75" customHeight="1">
      <c r="A2556" s="165">
        <v>2553.0</v>
      </c>
      <c r="B2556" s="165" t="s">
        <v>17991</v>
      </c>
      <c r="C2556" s="165"/>
      <c r="D2556" s="165"/>
      <c r="E2556" s="165"/>
      <c r="F2556" s="165"/>
      <c r="G2556" s="165"/>
      <c r="H2556" s="165"/>
      <c r="I2556" s="165"/>
      <c r="J2556" s="165"/>
      <c r="K2556" s="165"/>
      <c r="L2556" s="165"/>
      <c r="M2556" s="165"/>
      <c r="N2556" s="165"/>
      <c r="O2556" s="165"/>
      <c r="P2556" s="165"/>
      <c r="Q2556" s="165"/>
      <c r="R2556" s="165"/>
      <c r="S2556" s="165"/>
      <c r="T2556" s="165"/>
      <c r="U2556" s="165"/>
      <c r="V2556" s="165"/>
      <c r="W2556" s="165"/>
      <c r="X2556" s="165"/>
    </row>
    <row r="2557" ht="18.75" customHeight="1">
      <c r="A2557" s="165">
        <v>2554.0</v>
      </c>
      <c r="B2557" s="165" t="s">
        <v>17992</v>
      </c>
      <c r="C2557" s="165"/>
      <c r="D2557" s="165"/>
      <c r="E2557" s="165"/>
      <c r="F2557" s="165"/>
      <c r="G2557" s="165"/>
      <c r="H2557" s="165"/>
      <c r="I2557" s="165"/>
      <c r="J2557" s="165"/>
      <c r="K2557" s="165"/>
      <c r="L2557" s="165"/>
      <c r="M2557" s="165"/>
      <c r="N2557" s="165"/>
      <c r="O2557" s="165"/>
      <c r="P2557" s="165"/>
      <c r="Q2557" s="165"/>
      <c r="R2557" s="165"/>
      <c r="S2557" s="165"/>
      <c r="T2557" s="165"/>
      <c r="U2557" s="165"/>
      <c r="V2557" s="165"/>
      <c r="W2557" s="165"/>
      <c r="X2557" s="165"/>
    </row>
    <row r="2558" ht="18.75" customHeight="1">
      <c r="A2558" s="165">
        <v>2555.0</v>
      </c>
      <c r="B2558" s="165" t="s">
        <v>17993</v>
      </c>
      <c r="C2558" s="165"/>
      <c r="D2558" s="165"/>
      <c r="E2558" s="165"/>
      <c r="F2558" s="165"/>
      <c r="G2558" s="165"/>
      <c r="H2558" s="165"/>
      <c r="I2558" s="165"/>
      <c r="J2558" s="165"/>
      <c r="K2558" s="165"/>
      <c r="L2558" s="165"/>
      <c r="M2558" s="165"/>
      <c r="N2558" s="165"/>
      <c r="O2558" s="165"/>
      <c r="P2558" s="165"/>
      <c r="Q2558" s="165"/>
      <c r="R2558" s="165"/>
      <c r="S2558" s="165"/>
      <c r="T2558" s="165"/>
      <c r="U2558" s="165"/>
      <c r="V2558" s="165"/>
      <c r="W2558" s="165"/>
      <c r="X2558" s="165"/>
    </row>
    <row r="2559" ht="18.75" customHeight="1">
      <c r="A2559" s="165">
        <v>2556.0</v>
      </c>
      <c r="B2559" s="165" t="s">
        <v>17994</v>
      </c>
      <c r="C2559" s="165"/>
      <c r="D2559" s="165"/>
      <c r="E2559" s="165"/>
      <c r="F2559" s="165"/>
      <c r="G2559" s="165"/>
      <c r="H2559" s="165"/>
      <c r="I2559" s="165"/>
      <c r="J2559" s="165"/>
      <c r="K2559" s="165"/>
      <c r="L2559" s="165"/>
      <c r="M2559" s="165"/>
      <c r="N2559" s="165"/>
      <c r="O2559" s="165"/>
      <c r="P2559" s="165"/>
      <c r="Q2559" s="165"/>
      <c r="R2559" s="165"/>
      <c r="S2559" s="165"/>
      <c r="T2559" s="165"/>
      <c r="U2559" s="165"/>
      <c r="V2559" s="165"/>
      <c r="W2559" s="165"/>
      <c r="X2559" s="165"/>
    </row>
    <row r="2560" ht="18.75" customHeight="1">
      <c r="A2560" s="165">
        <v>2557.0</v>
      </c>
      <c r="B2560" s="165" t="s">
        <v>17995</v>
      </c>
      <c r="C2560" s="165"/>
      <c r="D2560" s="165"/>
      <c r="E2560" s="165"/>
      <c r="F2560" s="165"/>
      <c r="G2560" s="165"/>
      <c r="H2560" s="165"/>
      <c r="I2560" s="165"/>
      <c r="J2560" s="165"/>
      <c r="K2560" s="165"/>
      <c r="L2560" s="165"/>
      <c r="M2560" s="165"/>
      <c r="N2560" s="165"/>
      <c r="O2560" s="165"/>
      <c r="P2560" s="165"/>
      <c r="Q2560" s="165"/>
      <c r="R2560" s="165"/>
      <c r="S2560" s="165"/>
      <c r="T2560" s="165"/>
      <c r="U2560" s="165"/>
      <c r="V2560" s="165"/>
      <c r="W2560" s="165"/>
      <c r="X2560" s="165"/>
    </row>
    <row r="2561" ht="18.75" customHeight="1">
      <c r="A2561" s="165">
        <v>2558.0</v>
      </c>
      <c r="B2561" s="165" t="s">
        <v>17996</v>
      </c>
      <c r="C2561" s="165"/>
      <c r="D2561" s="165"/>
      <c r="E2561" s="165"/>
      <c r="F2561" s="165"/>
      <c r="G2561" s="165"/>
      <c r="H2561" s="165"/>
      <c r="I2561" s="165"/>
      <c r="J2561" s="165"/>
      <c r="K2561" s="165"/>
      <c r="L2561" s="165"/>
      <c r="M2561" s="165"/>
      <c r="N2561" s="165"/>
      <c r="O2561" s="165"/>
      <c r="P2561" s="165"/>
      <c r="Q2561" s="165"/>
      <c r="R2561" s="165"/>
      <c r="S2561" s="165"/>
      <c r="T2561" s="165"/>
      <c r="U2561" s="165"/>
      <c r="V2561" s="165"/>
      <c r="W2561" s="165"/>
      <c r="X2561" s="165"/>
    </row>
    <row r="2562" ht="18.75" customHeight="1">
      <c r="A2562" s="165">
        <v>2559.0</v>
      </c>
      <c r="B2562" s="165" t="s">
        <v>17997</v>
      </c>
      <c r="C2562" s="165"/>
      <c r="D2562" s="165"/>
      <c r="E2562" s="165"/>
      <c r="F2562" s="165"/>
      <c r="G2562" s="165"/>
      <c r="H2562" s="165"/>
      <c r="I2562" s="165"/>
      <c r="J2562" s="165"/>
      <c r="K2562" s="165"/>
      <c r="L2562" s="165"/>
      <c r="M2562" s="165"/>
      <c r="N2562" s="165"/>
      <c r="O2562" s="165"/>
      <c r="P2562" s="165"/>
      <c r="Q2562" s="165"/>
      <c r="R2562" s="165"/>
      <c r="S2562" s="165"/>
      <c r="T2562" s="165"/>
      <c r="U2562" s="165"/>
      <c r="V2562" s="165"/>
      <c r="W2562" s="165"/>
      <c r="X2562" s="165"/>
    </row>
    <row r="2563" ht="18.75" customHeight="1">
      <c r="A2563" s="165">
        <v>2560.0</v>
      </c>
      <c r="B2563" s="165" t="s">
        <v>17998</v>
      </c>
      <c r="C2563" s="165"/>
      <c r="D2563" s="165"/>
      <c r="E2563" s="165"/>
      <c r="F2563" s="165"/>
      <c r="G2563" s="165"/>
      <c r="H2563" s="165"/>
      <c r="I2563" s="165"/>
      <c r="J2563" s="165"/>
      <c r="K2563" s="165"/>
      <c r="L2563" s="165"/>
      <c r="M2563" s="165"/>
      <c r="N2563" s="165"/>
      <c r="O2563" s="165"/>
      <c r="P2563" s="165"/>
      <c r="Q2563" s="165"/>
      <c r="R2563" s="165"/>
      <c r="S2563" s="165"/>
      <c r="T2563" s="165"/>
      <c r="U2563" s="165"/>
      <c r="V2563" s="165"/>
      <c r="W2563" s="165"/>
      <c r="X2563" s="165"/>
    </row>
    <row r="2564" ht="18.75" customHeight="1">
      <c r="A2564" s="165">
        <v>2561.0</v>
      </c>
      <c r="B2564" s="165" t="s">
        <v>17999</v>
      </c>
      <c r="C2564" s="165"/>
      <c r="D2564" s="165"/>
      <c r="E2564" s="165"/>
      <c r="F2564" s="165"/>
      <c r="G2564" s="165"/>
      <c r="H2564" s="165"/>
      <c r="I2564" s="165"/>
      <c r="J2564" s="165"/>
      <c r="K2564" s="165"/>
      <c r="L2564" s="165"/>
      <c r="M2564" s="165"/>
      <c r="N2564" s="165"/>
      <c r="O2564" s="165"/>
      <c r="P2564" s="165"/>
      <c r="Q2564" s="165"/>
      <c r="R2564" s="165"/>
      <c r="S2564" s="165"/>
      <c r="T2564" s="165"/>
      <c r="U2564" s="165"/>
      <c r="V2564" s="165"/>
      <c r="W2564" s="165"/>
      <c r="X2564" s="165"/>
    </row>
    <row r="2565" ht="18.75" customHeight="1">
      <c r="A2565" s="165">
        <v>2562.0</v>
      </c>
      <c r="B2565" s="167" t="s">
        <v>18000</v>
      </c>
      <c r="C2565" s="165"/>
      <c r="D2565" s="165"/>
      <c r="E2565" s="165"/>
      <c r="F2565" s="165"/>
      <c r="G2565" s="165"/>
      <c r="H2565" s="165"/>
      <c r="I2565" s="165"/>
      <c r="J2565" s="165"/>
      <c r="K2565" s="165"/>
      <c r="L2565" s="165"/>
      <c r="M2565" s="165"/>
      <c r="N2565" s="165"/>
      <c r="O2565" s="165"/>
      <c r="P2565" s="165"/>
      <c r="Q2565" s="165"/>
      <c r="R2565" s="165"/>
      <c r="S2565" s="165"/>
      <c r="T2565" s="165"/>
      <c r="U2565" s="165"/>
      <c r="V2565" s="165"/>
      <c r="W2565" s="165"/>
      <c r="X2565" s="165"/>
    </row>
    <row r="2566" ht="18.75" customHeight="1">
      <c r="A2566" s="165">
        <v>2563.0</v>
      </c>
      <c r="B2566" s="167" t="s">
        <v>18001</v>
      </c>
      <c r="C2566" s="165"/>
      <c r="D2566" s="165"/>
      <c r="E2566" s="165"/>
      <c r="F2566" s="165"/>
      <c r="G2566" s="165"/>
      <c r="H2566" s="165"/>
      <c r="I2566" s="165"/>
      <c r="J2566" s="165"/>
      <c r="K2566" s="165"/>
      <c r="L2566" s="165"/>
      <c r="M2566" s="165"/>
      <c r="N2566" s="165"/>
      <c r="O2566" s="165"/>
      <c r="P2566" s="165"/>
      <c r="Q2566" s="165"/>
      <c r="R2566" s="165"/>
      <c r="S2566" s="165"/>
      <c r="T2566" s="165"/>
      <c r="U2566" s="165"/>
      <c r="V2566" s="165"/>
      <c r="W2566" s="165"/>
      <c r="X2566" s="165"/>
    </row>
    <row r="2567" ht="18.75" customHeight="1">
      <c r="A2567" s="165">
        <v>2564.0</v>
      </c>
      <c r="B2567" s="167" t="s">
        <v>18002</v>
      </c>
      <c r="C2567" s="165"/>
      <c r="D2567" s="165"/>
      <c r="E2567" s="165"/>
      <c r="F2567" s="165"/>
      <c r="G2567" s="165"/>
      <c r="H2567" s="165"/>
      <c r="I2567" s="165"/>
      <c r="J2567" s="165"/>
      <c r="K2567" s="165"/>
      <c r="L2567" s="165"/>
      <c r="M2567" s="165"/>
      <c r="N2567" s="165"/>
      <c r="O2567" s="165"/>
      <c r="P2567" s="165"/>
      <c r="Q2567" s="165"/>
      <c r="R2567" s="165"/>
      <c r="S2567" s="165"/>
      <c r="T2567" s="165"/>
      <c r="U2567" s="165"/>
      <c r="V2567" s="165"/>
      <c r="W2567" s="165"/>
      <c r="X2567" s="165"/>
    </row>
    <row r="2568" ht="18.75" customHeight="1">
      <c r="A2568" s="165">
        <v>2565.0</v>
      </c>
      <c r="B2568" s="167" t="s">
        <v>18003</v>
      </c>
      <c r="C2568" s="165"/>
      <c r="D2568" s="165"/>
      <c r="E2568" s="165"/>
      <c r="F2568" s="165"/>
      <c r="G2568" s="165"/>
      <c r="H2568" s="165"/>
      <c r="I2568" s="165"/>
      <c r="J2568" s="165"/>
      <c r="K2568" s="165"/>
      <c r="L2568" s="165"/>
      <c r="M2568" s="165"/>
      <c r="N2568" s="165"/>
      <c r="O2568" s="165"/>
      <c r="P2568" s="165"/>
      <c r="Q2568" s="165"/>
      <c r="R2568" s="165"/>
      <c r="S2568" s="165"/>
      <c r="T2568" s="165"/>
      <c r="U2568" s="165"/>
      <c r="V2568" s="165"/>
      <c r="W2568" s="165"/>
      <c r="X2568" s="165"/>
    </row>
    <row r="2569" ht="18.75" customHeight="1">
      <c r="A2569" s="165">
        <v>2566.0</v>
      </c>
      <c r="B2569" s="167" t="s">
        <v>18004</v>
      </c>
      <c r="C2569" s="165"/>
      <c r="D2569" s="165"/>
      <c r="E2569" s="165"/>
      <c r="F2569" s="165"/>
      <c r="G2569" s="165"/>
      <c r="H2569" s="165"/>
      <c r="I2569" s="165"/>
      <c r="J2569" s="165"/>
      <c r="K2569" s="165"/>
      <c r="L2569" s="165"/>
      <c r="M2569" s="165"/>
      <c r="N2569" s="165"/>
      <c r="O2569" s="165"/>
      <c r="P2569" s="165"/>
      <c r="Q2569" s="165"/>
      <c r="R2569" s="165"/>
      <c r="S2569" s="165"/>
      <c r="T2569" s="165"/>
      <c r="U2569" s="165"/>
      <c r="V2569" s="165"/>
      <c r="W2569" s="165"/>
      <c r="X2569" s="165"/>
    </row>
    <row r="2570" ht="18.75" customHeight="1">
      <c r="A2570" s="165">
        <v>2567.0</v>
      </c>
      <c r="B2570" s="167" t="s">
        <v>18005</v>
      </c>
      <c r="C2570" s="165"/>
      <c r="D2570" s="165"/>
      <c r="E2570" s="165"/>
      <c r="F2570" s="165"/>
      <c r="G2570" s="165"/>
      <c r="H2570" s="165"/>
      <c r="I2570" s="165"/>
      <c r="J2570" s="165"/>
      <c r="K2570" s="165"/>
      <c r="L2570" s="165"/>
      <c r="M2570" s="165"/>
      <c r="N2570" s="165"/>
      <c r="O2570" s="165"/>
      <c r="P2570" s="165"/>
      <c r="Q2570" s="165"/>
      <c r="R2570" s="165"/>
      <c r="S2570" s="165"/>
      <c r="T2570" s="165"/>
      <c r="U2570" s="165"/>
      <c r="V2570" s="165"/>
      <c r="W2570" s="165"/>
      <c r="X2570" s="165"/>
    </row>
    <row r="2571" ht="18.75" customHeight="1">
      <c r="A2571" s="165">
        <v>2568.0</v>
      </c>
      <c r="B2571" s="167" t="s">
        <v>18006</v>
      </c>
      <c r="C2571" s="165"/>
      <c r="D2571" s="165"/>
      <c r="E2571" s="165"/>
      <c r="F2571" s="165"/>
      <c r="G2571" s="165"/>
      <c r="H2571" s="165"/>
      <c r="I2571" s="165"/>
      <c r="J2571" s="165"/>
      <c r="K2571" s="165"/>
      <c r="L2571" s="165"/>
      <c r="M2571" s="165"/>
      <c r="N2571" s="165"/>
      <c r="O2571" s="165"/>
      <c r="P2571" s="165"/>
      <c r="Q2571" s="165"/>
      <c r="R2571" s="165"/>
      <c r="S2571" s="165"/>
      <c r="T2571" s="165"/>
      <c r="U2571" s="165"/>
      <c r="V2571" s="165"/>
      <c r="W2571" s="165"/>
      <c r="X2571" s="165"/>
    </row>
    <row r="2572" ht="18.75" customHeight="1">
      <c r="A2572" s="165">
        <v>2569.0</v>
      </c>
      <c r="B2572" s="167" t="s">
        <v>18007</v>
      </c>
      <c r="C2572" s="165"/>
      <c r="D2572" s="165"/>
      <c r="E2572" s="165"/>
      <c r="F2572" s="165"/>
      <c r="G2572" s="165"/>
      <c r="H2572" s="165"/>
      <c r="I2572" s="165"/>
      <c r="J2572" s="165"/>
      <c r="K2572" s="165"/>
      <c r="L2572" s="165"/>
      <c r="M2572" s="165"/>
      <c r="N2572" s="165"/>
      <c r="O2572" s="165"/>
      <c r="P2572" s="165"/>
      <c r="Q2572" s="165"/>
      <c r="R2572" s="165"/>
      <c r="S2572" s="165"/>
      <c r="T2572" s="165"/>
      <c r="U2572" s="165"/>
      <c r="V2572" s="165"/>
      <c r="W2572" s="165"/>
      <c r="X2572" s="165"/>
    </row>
    <row r="2573" ht="18.75" customHeight="1">
      <c r="A2573" s="165">
        <v>2570.0</v>
      </c>
      <c r="B2573" s="167" t="s">
        <v>18008</v>
      </c>
      <c r="C2573" s="165"/>
      <c r="D2573" s="165"/>
      <c r="E2573" s="165"/>
      <c r="F2573" s="165"/>
      <c r="G2573" s="165"/>
      <c r="H2573" s="165"/>
      <c r="I2573" s="165"/>
      <c r="J2573" s="165"/>
      <c r="K2573" s="165"/>
      <c r="L2573" s="165"/>
      <c r="M2573" s="165"/>
      <c r="N2573" s="165"/>
      <c r="O2573" s="165"/>
      <c r="P2573" s="165"/>
      <c r="Q2573" s="165"/>
      <c r="R2573" s="165"/>
      <c r="S2573" s="165"/>
      <c r="T2573" s="165"/>
      <c r="U2573" s="165"/>
      <c r="V2573" s="165"/>
      <c r="W2573" s="165"/>
      <c r="X2573" s="165"/>
    </row>
    <row r="2574" ht="18.75" customHeight="1">
      <c r="A2574" s="165">
        <v>2571.0</v>
      </c>
      <c r="B2574" s="167" t="s">
        <v>18009</v>
      </c>
      <c r="C2574" s="165"/>
      <c r="D2574" s="165"/>
      <c r="E2574" s="165"/>
      <c r="F2574" s="165"/>
      <c r="G2574" s="165"/>
      <c r="H2574" s="165"/>
      <c r="I2574" s="165"/>
      <c r="J2574" s="165"/>
      <c r="K2574" s="165"/>
      <c r="L2574" s="165"/>
      <c r="M2574" s="165"/>
      <c r="N2574" s="165"/>
      <c r="O2574" s="165"/>
      <c r="P2574" s="165"/>
      <c r="Q2574" s="165"/>
      <c r="R2574" s="165"/>
      <c r="S2574" s="165"/>
      <c r="T2574" s="165"/>
      <c r="U2574" s="165"/>
      <c r="V2574" s="165"/>
      <c r="W2574" s="165"/>
      <c r="X2574" s="165"/>
    </row>
    <row r="2575" ht="18.75" customHeight="1">
      <c r="A2575" s="165">
        <v>2572.0</v>
      </c>
      <c r="B2575" s="167" t="s">
        <v>17926</v>
      </c>
      <c r="C2575" s="165"/>
      <c r="D2575" s="165"/>
      <c r="E2575" s="165"/>
      <c r="F2575" s="165"/>
      <c r="G2575" s="165"/>
      <c r="H2575" s="165"/>
      <c r="I2575" s="165"/>
      <c r="J2575" s="165"/>
      <c r="K2575" s="165"/>
      <c r="L2575" s="165"/>
      <c r="M2575" s="165"/>
      <c r="N2575" s="165"/>
      <c r="O2575" s="165"/>
      <c r="P2575" s="165"/>
      <c r="Q2575" s="165"/>
      <c r="R2575" s="165"/>
      <c r="S2575" s="165"/>
      <c r="T2575" s="165"/>
      <c r="U2575" s="165"/>
      <c r="V2575" s="165"/>
      <c r="W2575" s="165"/>
      <c r="X2575" s="165"/>
    </row>
    <row r="2576" ht="18.75" customHeight="1">
      <c r="A2576" s="165">
        <v>2573.0</v>
      </c>
      <c r="B2576" s="167" t="s">
        <v>18010</v>
      </c>
      <c r="C2576" s="165"/>
      <c r="D2576" s="165"/>
      <c r="E2576" s="165"/>
      <c r="F2576" s="165"/>
      <c r="G2576" s="165"/>
      <c r="H2576" s="165"/>
      <c r="I2576" s="165"/>
      <c r="J2576" s="165"/>
      <c r="K2576" s="165"/>
      <c r="L2576" s="165"/>
      <c r="M2576" s="165"/>
      <c r="N2576" s="165"/>
      <c r="O2576" s="165"/>
      <c r="P2576" s="165"/>
      <c r="Q2576" s="165"/>
      <c r="R2576" s="165"/>
      <c r="S2576" s="165"/>
      <c r="T2576" s="165"/>
      <c r="U2576" s="165"/>
      <c r="V2576" s="165"/>
      <c r="W2576" s="165"/>
      <c r="X2576" s="165"/>
    </row>
    <row r="2577" ht="18.75" customHeight="1">
      <c r="A2577" s="165">
        <v>2574.0</v>
      </c>
      <c r="B2577" s="167" t="s">
        <v>18011</v>
      </c>
      <c r="C2577" s="165"/>
      <c r="D2577" s="165"/>
      <c r="E2577" s="165"/>
      <c r="F2577" s="165"/>
      <c r="G2577" s="165"/>
      <c r="H2577" s="165"/>
      <c r="I2577" s="165"/>
      <c r="J2577" s="165"/>
      <c r="K2577" s="165"/>
      <c r="L2577" s="165"/>
      <c r="M2577" s="165"/>
      <c r="N2577" s="165"/>
      <c r="O2577" s="165"/>
      <c r="P2577" s="165"/>
      <c r="Q2577" s="165"/>
      <c r="R2577" s="165"/>
      <c r="S2577" s="165"/>
      <c r="T2577" s="165"/>
      <c r="U2577" s="165"/>
      <c r="V2577" s="165"/>
      <c r="W2577" s="165"/>
      <c r="X2577" s="165"/>
    </row>
    <row r="2578" ht="18.75" customHeight="1">
      <c r="A2578" s="165">
        <v>2575.0</v>
      </c>
      <c r="B2578" s="167" t="s">
        <v>18012</v>
      </c>
      <c r="C2578" s="165"/>
      <c r="D2578" s="165"/>
      <c r="E2578" s="165"/>
      <c r="F2578" s="165"/>
      <c r="G2578" s="165"/>
      <c r="H2578" s="165"/>
      <c r="I2578" s="165"/>
      <c r="J2578" s="165"/>
      <c r="K2578" s="165"/>
      <c r="L2578" s="165"/>
      <c r="M2578" s="165"/>
      <c r="N2578" s="165"/>
      <c r="O2578" s="165"/>
      <c r="P2578" s="165"/>
      <c r="Q2578" s="165"/>
      <c r="R2578" s="165"/>
      <c r="S2578" s="165"/>
      <c r="T2578" s="165"/>
      <c r="U2578" s="165"/>
      <c r="V2578" s="165"/>
      <c r="W2578" s="165"/>
      <c r="X2578" s="165"/>
    </row>
    <row r="2579" ht="18.75" customHeight="1">
      <c r="A2579" s="165">
        <v>2576.0</v>
      </c>
      <c r="B2579" s="167" t="s">
        <v>18013</v>
      </c>
      <c r="C2579" s="165"/>
      <c r="D2579" s="165"/>
      <c r="E2579" s="165"/>
      <c r="F2579" s="165"/>
      <c r="G2579" s="165"/>
      <c r="H2579" s="165"/>
      <c r="I2579" s="165"/>
      <c r="J2579" s="165"/>
      <c r="K2579" s="165"/>
      <c r="L2579" s="165"/>
      <c r="M2579" s="165"/>
      <c r="N2579" s="165"/>
      <c r="O2579" s="165"/>
      <c r="P2579" s="165"/>
      <c r="Q2579" s="165"/>
      <c r="R2579" s="165"/>
      <c r="S2579" s="165"/>
      <c r="T2579" s="165"/>
      <c r="U2579" s="165"/>
      <c r="V2579" s="165"/>
      <c r="W2579" s="165"/>
      <c r="X2579" s="165"/>
    </row>
    <row r="2580" ht="18.75" customHeight="1">
      <c r="A2580" s="165">
        <v>2577.0</v>
      </c>
      <c r="B2580" s="165" t="s">
        <v>18014</v>
      </c>
      <c r="C2580" s="165"/>
      <c r="D2580" s="165"/>
      <c r="E2580" s="165"/>
      <c r="F2580" s="165"/>
      <c r="G2580" s="165"/>
      <c r="H2580" s="165"/>
      <c r="I2580" s="165"/>
      <c r="J2580" s="165"/>
      <c r="K2580" s="165"/>
      <c r="L2580" s="165"/>
      <c r="M2580" s="165"/>
      <c r="N2580" s="165"/>
      <c r="O2580" s="165"/>
      <c r="P2580" s="165"/>
      <c r="Q2580" s="165"/>
      <c r="R2580" s="165"/>
      <c r="S2580" s="165"/>
      <c r="T2580" s="165"/>
      <c r="U2580" s="165"/>
      <c r="V2580" s="165"/>
      <c r="W2580" s="165"/>
      <c r="X2580" s="165"/>
    </row>
    <row r="2581" ht="18.75" customHeight="1">
      <c r="A2581" s="165">
        <v>2578.0</v>
      </c>
      <c r="B2581" s="165" t="s">
        <v>18015</v>
      </c>
      <c r="C2581" s="165"/>
      <c r="D2581" s="165"/>
      <c r="E2581" s="165"/>
      <c r="F2581" s="165"/>
      <c r="G2581" s="165"/>
      <c r="H2581" s="165"/>
      <c r="I2581" s="165"/>
      <c r="J2581" s="165"/>
      <c r="K2581" s="165"/>
      <c r="L2581" s="165"/>
      <c r="M2581" s="165"/>
      <c r="N2581" s="165"/>
      <c r="O2581" s="165"/>
      <c r="P2581" s="165"/>
      <c r="Q2581" s="165"/>
      <c r="R2581" s="165"/>
      <c r="S2581" s="165"/>
      <c r="T2581" s="165"/>
      <c r="U2581" s="165"/>
      <c r="V2581" s="165"/>
      <c r="W2581" s="165"/>
      <c r="X2581" s="165"/>
    </row>
    <row r="2582" ht="18.75" customHeight="1">
      <c r="A2582" s="165">
        <v>2579.0</v>
      </c>
      <c r="B2582" s="165" t="s">
        <v>18016</v>
      </c>
      <c r="C2582" s="165"/>
      <c r="D2582" s="165"/>
      <c r="E2582" s="165"/>
      <c r="F2582" s="165"/>
      <c r="G2582" s="165"/>
      <c r="H2582" s="165"/>
      <c r="I2582" s="165"/>
      <c r="J2582" s="165"/>
      <c r="K2582" s="165"/>
      <c r="L2582" s="165"/>
      <c r="M2582" s="165"/>
      <c r="N2582" s="165"/>
      <c r="O2582" s="165"/>
      <c r="P2582" s="165"/>
      <c r="Q2582" s="165"/>
      <c r="R2582" s="165"/>
      <c r="S2582" s="165"/>
      <c r="T2582" s="165"/>
      <c r="U2582" s="165"/>
      <c r="V2582" s="165"/>
      <c r="W2582" s="165"/>
      <c r="X2582" s="165"/>
    </row>
    <row r="2583" ht="18.75" customHeight="1">
      <c r="A2583" s="165">
        <v>2580.0</v>
      </c>
      <c r="B2583" s="167" t="s">
        <v>18017</v>
      </c>
      <c r="C2583" s="165"/>
      <c r="D2583" s="165"/>
      <c r="E2583" s="165"/>
      <c r="F2583" s="165"/>
      <c r="G2583" s="165"/>
      <c r="H2583" s="165"/>
      <c r="I2583" s="165"/>
      <c r="J2583" s="165"/>
      <c r="K2583" s="165"/>
      <c r="L2583" s="165"/>
      <c r="M2583" s="165"/>
      <c r="N2583" s="165"/>
      <c r="O2583" s="165"/>
      <c r="P2583" s="165"/>
      <c r="Q2583" s="165"/>
      <c r="R2583" s="165"/>
      <c r="S2583" s="165"/>
      <c r="T2583" s="165"/>
      <c r="U2583" s="165"/>
      <c r="V2583" s="165"/>
      <c r="W2583" s="165"/>
      <c r="X2583" s="165"/>
    </row>
    <row r="2584" ht="18.75" customHeight="1">
      <c r="A2584" s="165">
        <v>2581.0</v>
      </c>
      <c r="B2584" s="167" t="s">
        <v>18018</v>
      </c>
      <c r="C2584" s="165"/>
      <c r="D2584" s="165"/>
      <c r="E2584" s="165"/>
      <c r="F2584" s="165"/>
      <c r="G2584" s="165"/>
      <c r="H2584" s="165"/>
      <c r="I2584" s="165"/>
      <c r="J2584" s="165"/>
      <c r="K2584" s="165"/>
      <c r="L2584" s="165"/>
      <c r="M2584" s="165"/>
      <c r="N2584" s="165"/>
      <c r="O2584" s="165"/>
      <c r="P2584" s="165"/>
      <c r="Q2584" s="165"/>
      <c r="R2584" s="165"/>
      <c r="S2584" s="165"/>
      <c r="T2584" s="165"/>
      <c r="U2584" s="165"/>
      <c r="V2584" s="165"/>
      <c r="W2584" s="165"/>
      <c r="X2584" s="165"/>
    </row>
    <row r="2585" ht="18.75" customHeight="1">
      <c r="A2585" s="165">
        <v>2582.0</v>
      </c>
      <c r="B2585" s="167" t="s">
        <v>18019</v>
      </c>
      <c r="C2585" s="165"/>
      <c r="D2585" s="165"/>
      <c r="E2585" s="165"/>
      <c r="F2585" s="165"/>
      <c r="G2585" s="165"/>
      <c r="H2585" s="165"/>
      <c r="I2585" s="165"/>
      <c r="J2585" s="165"/>
      <c r="K2585" s="165"/>
      <c r="L2585" s="165"/>
      <c r="M2585" s="165"/>
      <c r="N2585" s="165"/>
      <c r="O2585" s="165"/>
      <c r="P2585" s="165"/>
      <c r="Q2585" s="165"/>
      <c r="R2585" s="165"/>
      <c r="S2585" s="165"/>
      <c r="T2585" s="165"/>
      <c r="U2585" s="165"/>
      <c r="V2585" s="165"/>
      <c r="W2585" s="165"/>
      <c r="X2585" s="165"/>
    </row>
    <row r="2586" ht="18.75" customHeight="1">
      <c r="A2586" s="165">
        <v>2583.0</v>
      </c>
      <c r="B2586" s="167" t="s">
        <v>18020</v>
      </c>
      <c r="C2586" s="165"/>
      <c r="D2586" s="165"/>
      <c r="E2586" s="165"/>
      <c r="F2586" s="165"/>
      <c r="G2586" s="165"/>
      <c r="H2586" s="165"/>
      <c r="I2586" s="165"/>
      <c r="J2586" s="165"/>
      <c r="K2586" s="165"/>
      <c r="L2586" s="165"/>
      <c r="M2586" s="165"/>
      <c r="N2586" s="165"/>
      <c r="O2586" s="165"/>
      <c r="P2586" s="165"/>
      <c r="Q2586" s="165"/>
      <c r="R2586" s="165"/>
      <c r="S2586" s="165"/>
      <c r="T2586" s="165"/>
      <c r="U2586" s="165"/>
      <c r="V2586" s="165"/>
      <c r="W2586" s="165"/>
      <c r="X2586" s="165"/>
    </row>
    <row r="2587" ht="18.75" customHeight="1">
      <c r="A2587" s="165">
        <v>2584.0</v>
      </c>
      <c r="B2587" s="167" t="s">
        <v>18021</v>
      </c>
      <c r="C2587" s="165"/>
      <c r="D2587" s="165"/>
      <c r="E2587" s="165"/>
      <c r="F2587" s="165"/>
      <c r="G2587" s="165"/>
      <c r="H2587" s="165"/>
      <c r="I2587" s="165"/>
      <c r="J2587" s="165"/>
      <c r="K2587" s="165"/>
      <c r="L2587" s="165"/>
      <c r="M2587" s="165"/>
      <c r="N2587" s="165"/>
      <c r="O2587" s="165"/>
      <c r="P2587" s="165"/>
      <c r="Q2587" s="165"/>
      <c r="R2587" s="165"/>
      <c r="S2587" s="165"/>
      <c r="T2587" s="165"/>
      <c r="U2587" s="165"/>
      <c r="V2587" s="165"/>
      <c r="W2587" s="165"/>
      <c r="X2587" s="165"/>
    </row>
    <row r="2588" ht="18.75" customHeight="1">
      <c r="A2588" s="165">
        <v>2585.0</v>
      </c>
      <c r="B2588" s="167" t="s">
        <v>18022</v>
      </c>
      <c r="C2588" s="165"/>
      <c r="D2588" s="165"/>
      <c r="E2588" s="165"/>
      <c r="F2588" s="165"/>
      <c r="G2588" s="165"/>
      <c r="H2588" s="165"/>
      <c r="I2588" s="165"/>
      <c r="J2588" s="165"/>
      <c r="K2588" s="165"/>
      <c r="L2588" s="165"/>
      <c r="M2588" s="165"/>
      <c r="N2588" s="165"/>
      <c r="O2588" s="165"/>
      <c r="P2588" s="165"/>
      <c r="Q2588" s="165"/>
      <c r="R2588" s="165"/>
      <c r="S2588" s="165"/>
      <c r="T2588" s="165"/>
      <c r="U2588" s="165"/>
      <c r="V2588" s="165"/>
      <c r="W2588" s="165"/>
      <c r="X2588" s="165"/>
    </row>
    <row r="2589" ht="18.75" customHeight="1">
      <c r="A2589" s="165">
        <v>2586.0</v>
      </c>
      <c r="B2589" s="167" t="s">
        <v>18023</v>
      </c>
      <c r="C2589" s="165"/>
      <c r="D2589" s="165"/>
      <c r="E2589" s="165"/>
      <c r="F2589" s="165"/>
      <c r="G2589" s="165"/>
      <c r="H2589" s="165"/>
      <c r="I2589" s="165"/>
      <c r="J2589" s="165"/>
      <c r="K2589" s="165"/>
      <c r="L2589" s="165"/>
      <c r="M2589" s="165"/>
      <c r="N2589" s="165"/>
      <c r="O2589" s="165"/>
      <c r="P2589" s="165"/>
      <c r="Q2589" s="165"/>
      <c r="R2589" s="165"/>
      <c r="S2589" s="165"/>
      <c r="T2589" s="165"/>
      <c r="U2589" s="165"/>
      <c r="V2589" s="165"/>
      <c r="W2589" s="165"/>
      <c r="X2589" s="165"/>
    </row>
    <row r="2590" ht="18.75" customHeight="1">
      <c r="A2590" s="165">
        <v>2587.0</v>
      </c>
      <c r="B2590" s="167" t="s">
        <v>18024</v>
      </c>
      <c r="C2590" s="165"/>
      <c r="D2590" s="165"/>
      <c r="E2590" s="165"/>
      <c r="F2590" s="165"/>
      <c r="G2590" s="165"/>
      <c r="H2590" s="165"/>
      <c r="I2590" s="165"/>
      <c r="J2590" s="165"/>
      <c r="K2590" s="165"/>
      <c r="L2590" s="165"/>
      <c r="M2590" s="165"/>
      <c r="N2590" s="165"/>
      <c r="O2590" s="165"/>
      <c r="P2590" s="165"/>
      <c r="Q2590" s="165"/>
      <c r="R2590" s="165"/>
      <c r="S2590" s="165"/>
      <c r="T2590" s="165"/>
      <c r="U2590" s="165"/>
      <c r="V2590" s="165"/>
      <c r="W2590" s="165"/>
      <c r="X2590" s="165"/>
    </row>
    <row r="2591" ht="18.75" customHeight="1">
      <c r="A2591" s="165">
        <v>2588.0</v>
      </c>
      <c r="B2591" s="165" t="s">
        <v>18025</v>
      </c>
      <c r="C2591" s="165"/>
      <c r="D2591" s="165"/>
      <c r="E2591" s="165"/>
      <c r="F2591" s="165"/>
      <c r="G2591" s="165"/>
      <c r="H2591" s="165"/>
      <c r="I2591" s="165"/>
      <c r="J2591" s="165"/>
      <c r="K2591" s="165"/>
      <c r="L2591" s="165"/>
      <c r="M2591" s="165"/>
      <c r="N2591" s="165"/>
      <c r="O2591" s="165"/>
      <c r="P2591" s="165"/>
      <c r="Q2591" s="165"/>
      <c r="R2591" s="165"/>
      <c r="S2591" s="165"/>
      <c r="T2591" s="165"/>
      <c r="U2591" s="165"/>
      <c r="V2591" s="165"/>
      <c r="W2591" s="165"/>
      <c r="X2591" s="165"/>
    </row>
    <row r="2592" ht="18.75" customHeight="1">
      <c r="A2592" s="165">
        <v>2589.0</v>
      </c>
      <c r="B2592" s="167" t="s">
        <v>18026</v>
      </c>
      <c r="C2592" s="165"/>
      <c r="D2592" s="165"/>
      <c r="E2592" s="165"/>
      <c r="F2592" s="165"/>
      <c r="G2592" s="165"/>
      <c r="H2592" s="165"/>
      <c r="I2592" s="165"/>
      <c r="J2592" s="165"/>
      <c r="K2592" s="165"/>
      <c r="L2592" s="165"/>
      <c r="M2592" s="165"/>
      <c r="N2592" s="165"/>
      <c r="O2592" s="165"/>
      <c r="P2592" s="165"/>
      <c r="Q2592" s="165"/>
      <c r="R2592" s="165"/>
      <c r="S2592" s="165"/>
      <c r="T2592" s="165"/>
      <c r="U2592" s="165"/>
      <c r="V2592" s="165"/>
      <c r="W2592" s="165"/>
      <c r="X2592" s="165"/>
    </row>
    <row r="2593" ht="18.75" customHeight="1">
      <c r="A2593" s="165">
        <v>2590.0</v>
      </c>
      <c r="B2593" s="167" t="s">
        <v>18027</v>
      </c>
      <c r="C2593" s="165"/>
      <c r="D2593" s="165"/>
      <c r="E2593" s="165"/>
      <c r="F2593" s="165"/>
      <c r="G2593" s="165"/>
      <c r="H2593" s="165"/>
      <c r="I2593" s="165"/>
      <c r="J2593" s="165"/>
      <c r="K2593" s="165"/>
      <c r="L2593" s="165"/>
      <c r="M2593" s="165"/>
      <c r="N2593" s="165"/>
      <c r="O2593" s="165"/>
      <c r="P2593" s="165"/>
      <c r="Q2593" s="165"/>
      <c r="R2593" s="165"/>
      <c r="S2593" s="165"/>
      <c r="T2593" s="165"/>
      <c r="U2593" s="165"/>
      <c r="V2593" s="165"/>
      <c r="W2593" s="165"/>
      <c r="X2593" s="165"/>
    </row>
    <row r="2594" ht="18.75" customHeight="1">
      <c r="A2594" s="165">
        <v>2591.0</v>
      </c>
      <c r="B2594" s="167" t="s">
        <v>18028</v>
      </c>
      <c r="C2594" s="165"/>
      <c r="D2594" s="165"/>
      <c r="E2594" s="165"/>
      <c r="F2594" s="165"/>
      <c r="G2594" s="165"/>
      <c r="H2594" s="165"/>
      <c r="I2594" s="165"/>
      <c r="J2594" s="165"/>
      <c r="K2594" s="165"/>
      <c r="L2594" s="165"/>
      <c r="M2594" s="165"/>
      <c r="N2594" s="165"/>
      <c r="O2594" s="165"/>
      <c r="P2594" s="165"/>
      <c r="Q2594" s="165"/>
      <c r="R2594" s="165"/>
      <c r="S2594" s="165"/>
      <c r="T2594" s="165"/>
      <c r="U2594" s="165"/>
      <c r="V2594" s="165"/>
      <c r="W2594" s="165"/>
      <c r="X2594" s="165"/>
    </row>
    <row r="2595" ht="18.75" customHeight="1">
      <c r="A2595" s="165">
        <v>2592.0</v>
      </c>
      <c r="B2595" s="167" t="s">
        <v>18029</v>
      </c>
      <c r="C2595" s="165"/>
      <c r="D2595" s="165"/>
      <c r="E2595" s="165"/>
      <c r="F2595" s="165"/>
      <c r="G2595" s="165"/>
      <c r="H2595" s="165"/>
      <c r="I2595" s="165"/>
      <c r="J2595" s="165"/>
      <c r="K2595" s="165"/>
      <c r="L2595" s="165"/>
      <c r="M2595" s="165"/>
      <c r="N2595" s="165"/>
      <c r="O2595" s="165"/>
      <c r="P2595" s="165"/>
      <c r="Q2595" s="165"/>
      <c r="R2595" s="165"/>
      <c r="S2595" s="165"/>
      <c r="T2595" s="165"/>
      <c r="U2595" s="165"/>
      <c r="V2595" s="165"/>
      <c r="W2595" s="165"/>
      <c r="X2595" s="165"/>
    </row>
    <row r="2596" ht="18.75" customHeight="1">
      <c r="A2596" s="165">
        <v>2593.0</v>
      </c>
      <c r="B2596" s="167" t="s">
        <v>18030</v>
      </c>
      <c r="C2596" s="165"/>
      <c r="D2596" s="165"/>
      <c r="E2596" s="165"/>
      <c r="F2596" s="165"/>
      <c r="G2596" s="165"/>
      <c r="H2596" s="165"/>
      <c r="I2596" s="165"/>
      <c r="J2596" s="165"/>
      <c r="K2596" s="165"/>
      <c r="L2596" s="165"/>
      <c r="M2596" s="165"/>
      <c r="N2596" s="165"/>
      <c r="O2596" s="165"/>
      <c r="P2596" s="165"/>
      <c r="Q2596" s="165"/>
      <c r="R2596" s="165"/>
      <c r="S2596" s="165"/>
      <c r="T2596" s="165"/>
      <c r="U2596" s="165"/>
      <c r="V2596" s="165"/>
      <c r="W2596" s="165"/>
      <c r="X2596" s="165"/>
    </row>
    <row r="2597" ht="18.75" customHeight="1">
      <c r="A2597" s="165">
        <v>2594.0</v>
      </c>
      <c r="B2597" s="167" t="s">
        <v>18031</v>
      </c>
      <c r="C2597" s="165"/>
      <c r="D2597" s="165"/>
      <c r="E2597" s="165"/>
      <c r="F2597" s="165"/>
      <c r="G2597" s="165"/>
      <c r="H2597" s="165"/>
      <c r="I2597" s="165"/>
      <c r="J2597" s="165"/>
      <c r="K2597" s="165"/>
      <c r="L2597" s="165"/>
      <c r="M2597" s="165"/>
      <c r="N2597" s="165"/>
      <c r="O2597" s="165"/>
      <c r="P2597" s="165"/>
      <c r="Q2597" s="165"/>
      <c r="R2597" s="165"/>
      <c r="S2597" s="165"/>
      <c r="T2597" s="165"/>
      <c r="U2597" s="165"/>
      <c r="V2597" s="165"/>
      <c r="W2597" s="165"/>
      <c r="X2597" s="165"/>
    </row>
    <row r="2598" ht="18.75" customHeight="1">
      <c r="A2598" s="165">
        <v>2595.0</v>
      </c>
      <c r="B2598" s="167" t="s">
        <v>18032</v>
      </c>
      <c r="C2598" s="165"/>
      <c r="D2598" s="165"/>
      <c r="E2598" s="165"/>
      <c r="F2598" s="165"/>
      <c r="G2598" s="165"/>
      <c r="H2598" s="165"/>
      <c r="I2598" s="165"/>
      <c r="J2598" s="165"/>
      <c r="K2598" s="165"/>
      <c r="L2598" s="165"/>
      <c r="M2598" s="165"/>
      <c r="N2598" s="165"/>
      <c r="O2598" s="165"/>
      <c r="P2598" s="165"/>
      <c r="Q2598" s="165"/>
      <c r="R2598" s="165"/>
      <c r="S2598" s="165"/>
      <c r="T2598" s="165"/>
      <c r="U2598" s="165"/>
      <c r="V2598" s="165"/>
      <c r="W2598" s="165"/>
      <c r="X2598" s="165"/>
    </row>
    <row r="2599" ht="18.75" customHeight="1">
      <c r="A2599" s="165">
        <v>2596.0</v>
      </c>
      <c r="B2599" s="167" t="s">
        <v>18033</v>
      </c>
      <c r="C2599" s="165"/>
      <c r="D2599" s="165"/>
      <c r="E2599" s="165"/>
      <c r="F2599" s="165"/>
      <c r="G2599" s="165"/>
      <c r="H2599" s="165"/>
      <c r="I2599" s="165"/>
      <c r="J2599" s="165"/>
      <c r="K2599" s="165"/>
      <c r="L2599" s="165"/>
      <c r="M2599" s="165"/>
      <c r="N2599" s="165"/>
      <c r="O2599" s="165"/>
      <c r="P2599" s="165"/>
      <c r="Q2599" s="165"/>
      <c r="R2599" s="165"/>
      <c r="S2599" s="165"/>
      <c r="T2599" s="165"/>
      <c r="U2599" s="165"/>
      <c r="V2599" s="165"/>
      <c r="W2599" s="165"/>
      <c r="X2599" s="165"/>
    </row>
    <row r="2600" ht="18.75" customHeight="1">
      <c r="A2600" s="165">
        <v>2597.0</v>
      </c>
      <c r="B2600" s="167" t="s">
        <v>18034</v>
      </c>
      <c r="C2600" s="165"/>
      <c r="D2600" s="165"/>
      <c r="E2600" s="165"/>
      <c r="F2600" s="165"/>
      <c r="G2600" s="165"/>
      <c r="H2600" s="165"/>
      <c r="I2600" s="165"/>
      <c r="J2600" s="165"/>
      <c r="K2600" s="165"/>
      <c r="L2600" s="165"/>
      <c r="M2600" s="165"/>
      <c r="N2600" s="165"/>
      <c r="O2600" s="165"/>
      <c r="P2600" s="165"/>
      <c r="Q2600" s="165"/>
      <c r="R2600" s="165"/>
      <c r="S2600" s="165"/>
      <c r="T2600" s="165"/>
      <c r="U2600" s="165"/>
      <c r="V2600" s="165"/>
      <c r="W2600" s="165"/>
      <c r="X2600" s="165"/>
    </row>
    <row r="2601" ht="18.75" customHeight="1">
      <c r="A2601" s="165">
        <v>2598.0</v>
      </c>
      <c r="B2601" s="167" t="s">
        <v>18035</v>
      </c>
      <c r="C2601" s="165"/>
      <c r="D2601" s="165"/>
      <c r="E2601" s="165"/>
      <c r="F2601" s="165"/>
      <c r="G2601" s="165"/>
      <c r="H2601" s="165"/>
      <c r="I2601" s="165"/>
      <c r="J2601" s="165"/>
      <c r="K2601" s="165"/>
      <c r="L2601" s="165"/>
      <c r="M2601" s="165"/>
      <c r="N2601" s="165"/>
      <c r="O2601" s="165"/>
      <c r="P2601" s="165"/>
      <c r="Q2601" s="165"/>
      <c r="R2601" s="165"/>
      <c r="S2601" s="165"/>
      <c r="T2601" s="165"/>
      <c r="U2601" s="165"/>
      <c r="V2601" s="165"/>
      <c r="W2601" s="165"/>
      <c r="X2601" s="165"/>
    </row>
    <row r="2602" ht="18.75" customHeight="1">
      <c r="A2602" s="165">
        <v>2599.0</v>
      </c>
      <c r="B2602" s="167" t="s">
        <v>18036</v>
      </c>
      <c r="C2602" s="165"/>
      <c r="D2602" s="165"/>
      <c r="E2602" s="165"/>
      <c r="F2602" s="165"/>
      <c r="G2602" s="165"/>
      <c r="H2602" s="165"/>
      <c r="I2602" s="165"/>
      <c r="J2602" s="165"/>
      <c r="K2602" s="165"/>
      <c r="L2602" s="165"/>
      <c r="M2602" s="165"/>
      <c r="N2602" s="165"/>
      <c r="O2602" s="165"/>
      <c r="P2602" s="165"/>
      <c r="Q2602" s="165"/>
      <c r="R2602" s="165"/>
      <c r="S2602" s="165"/>
      <c r="T2602" s="165"/>
      <c r="U2602" s="165"/>
      <c r="V2602" s="165"/>
      <c r="W2602" s="165"/>
      <c r="X2602" s="165"/>
    </row>
    <row r="2603" ht="18.75" customHeight="1">
      <c r="A2603" s="165">
        <v>2600.0</v>
      </c>
      <c r="B2603" s="167" t="s">
        <v>18037</v>
      </c>
      <c r="C2603" s="165"/>
      <c r="D2603" s="165"/>
      <c r="E2603" s="165"/>
      <c r="F2603" s="165"/>
      <c r="G2603" s="165"/>
      <c r="H2603" s="165"/>
      <c r="I2603" s="165"/>
      <c r="J2603" s="165"/>
      <c r="K2603" s="165"/>
      <c r="L2603" s="165"/>
      <c r="M2603" s="165"/>
      <c r="N2603" s="165"/>
      <c r="O2603" s="165"/>
      <c r="P2603" s="165"/>
      <c r="Q2603" s="165"/>
      <c r="R2603" s="165"/>
      <c r="S2603" s="165"/>
      <c r="T2603" s="165"/>
      <c r="U2603" s="165"/>
      <c r="V2603" s="165"/>
      <c r="W2603" s="165"/>
      <c r="X2603" s="165"/>
    </row>
    <row r="2604" ht="18.75" customHeight="1">
      <c r="A2604" s="165">
        <v>2601.0</v>
      </c>
      <c r="B2604" s="167" t="s">
        <v>18038</v>
      </c>
      <c r="C2604" s="165"/>
      <c r="D2604" s="165"/>
      <c r="E2604" s="165"/>
      <c r="F2604" s="165"/>
      <c r="G2604" s="165"/>
      <c r="H2604" s="165"/>
      <c r="I2604" s="165"/>
      <c r="J2604" s="165"/>
      <c r="K2604" s="165"/>
      <c r="L2604" s="165"/>
      <c r="M2604" s="165"/>
      <c r="N2604" s="165"/>
      <c r="O2604" s="165"/>
      <c r="P2604" s="165"/>
      <c r="Q2604" s="165"/>
      <c r="R2604" s="165"/>
      <c r="S2604" s="165"/>
      <c r="T2604" s="165"/>
      <c r="U2604" s="165"/>
      <c r="V2604" s="165"/>
      <c r="W2604" s="165"/>
      <c r="X2604" s="165"/>
    </row>
    <row r="2605" ht="18.75" customHeight="1">
      <c r="A2605" s="165">
        <v>2602.0</v>
      </c>
      <c r="B2605" s="167" t="s">
        <v>18039</v>
      </c>
      <c r="C2605" s="165"/>
      <c r="D2605" s="165"/>
      <c r="E2605" s="165"/>
      <c r="F2605" s="165"/>
      <c r="G2605" s="165"/>
      <c r="H2605" s="165"/>
      <c r="I2605" s="165"/>
      <c r="J2605" s="165"/>
      <c r="K2605" s="165"/>
      <c r="L2605" s="165"/>
      <c r="M2605" s="165"/>
      <c r="N2605" s="165"/>
      <c r="O2605" s="165"/>
      <c r="P2605" s="165"/>
      <c r="Q2605" s="165"/>
      <c r="R2605" s="165"/>
      <c r="S2605" s="165"/>
      <c r="T2605" s="165"/>
      <c r="U2605" s="165"/>
      <c r="V2605" s="165"/>
      <c r="W2605" s="165"/>
      <c r="X2605" s="165"/>
    </row>
    <row r="2606" ht="18.75" customHeight="1">
      <c r="A2606" s="165">
        <v>2603.0</v>
      </c>
      <c r="B2606" s="165" t="s">
        <v>18040</v>
      </c>
      <c r="C2606" s="165"/>
      <c r="D2606" s="165"/>
      <c r="E2606" s="165"/>
      <c r="F2606" s="165"/>
      <c r="G2606" s="165"/>
      <c r="H2606" s="165"/>
      <c r="I2606" s="165"/>
      <c r="J2606" s="165"/>
      <c r="K2606" s="165"/>
      <c r="L2606" s="165"/>
      <c r="M2606" s="165"/>
      <c r="N2606" s="165"/>
      <c r="O2606" s="165"/>
      <c r="P2606" s="165"/>
      <c r="Q2606" s="165"/>
      <c r="R2606" s="165"/>
      <c r="S2606" s="165"/>
      <c r="T2606" s="165"/>
      <c r="U2606" s="165"/>
      <c r="V2606" s="165"/>
      <c r="W2606" s="165"/>
      <c r="X2606" s="165"/>
    </row>
    <row r="2607" ht="18.75" customHeight="1">
      <c r="A2607" s="165">
        <v>2604.0</v>
      </c>
      <c r="B2607" s="165" t="s">
        <v>18041</v>
      </c>
      <c r="C2607" s="165"/>
      <c r="D2607" s="165"/>
      <c r="E2607" s="165"/>
      <c r="F2607" s="165"/>
      <c r="G2607" s="165"/>
      <c r="H2607" s="165"/>
      <c r="I2607" s="165"/>
      <c r="J2607" s="165"/>
      <c r="K2607" s="165"/>
      <c r="L2607" s="165"/>
      <c r="M2607" s="165"/>
      <c r="N2607" s="165"/>
      <c r="O2607" s="165"/>
      <c r="P2607" s="165"/>
      <c r="Q2607" s="165"/>
      <c r="R2607" s="165"/>
      <c r="S2607" s="165"/>
      <c r="T2607" s="165"/>
      <c r="U2607" s="165"/>
      <c r="V2607" s="165"/>
      <c r="W2607" s="165"/>
      <c r="X2607" s="165"/>
    </row>
    <row r="2608" ht="18.75" customHeight="1">
      <c r="A2608" s="165">
        <v>2605.0</v>
      </c>
      <c r="B2608" s="165" t="s">
        <v>18042</v>
      </c>
      <c r="C2608" s="165"/>
      <c r="D2608" s="165"/>
      <c r="E2608" s="165"/>
      <c r="F2608" s="165"/>
      <c r="G2608" s="165"/>
      <c r="H2608" s="165"/>
      <c r="I2608" s="165"/>
      <c r="J2608" s="165"/>
      <c r="K2608" s="165"/>
      <c r="L2608" s="165"/>
      <c r="M2608" s="165"/>
      <c r="N2608" s="165"/>
      <c r="O2608" s="165"/>
      <c r="P2608" s="165"/>
      <c r="Q2608" s="165"/>
      <c r="R2608" s="165"/>
      <c r="S2608" s="165"/>
      <c r="T2608" s="165"/>
      <c r="U2608" s="165"/>
      <c r="V2608" s="165"/>
      <c r="W2608" s="165"/>
      <c r="X2608" s="165"/>
    </row>
    <row r="2609" ht="18.75" customHeight="1">
      <c r="A2609" s="165">
        <v>2606.0</v>
      </c>
      <c r="B2609" s="165" t="s">
        <v>18043</v>
      </c>
      <c r="C2609" s="165"/>
      <c r="D2609" s="165"/>
      <c r="E2609" s="165"/>
      <c r="F2609" s="165"/>
      <c r="G2609" s="165"/>
      <c r="H2609" s="165"/>
      <c r="I2609" s="165"/>
      <c r="J2609" s="165"/>
      <c r="K2609" s="165"/>
      <c r="L2609" s="165"/>
      <c r="M2609" s="165"/>
      <c r="N2609" s="165"/>
      <c r="O2609" s="165"/>
      <c r="P2609" s="165"/>
      <c r="Q2609" s="165"/>
      <c r="R2609" s="165"/>
      <c r="S2609" s="165"/>
      <c r="T2609" s="165"/>
      <c r="U2609" s="165"/>
      <c r="V2609" s="165"/>
      <c r="W2609" s="165"/>
      <c r="X2609" s="165"/>
    </row>
    <row r="2610" ht="18.75" customHeight="1">
      <c r="A2610" s="165">
        <v>2607.0</v>
      </c>
      <c r="B2610" s="165" t="s">
        <v>18044</v>
      </c>
      <c r="C2610" s="165"/>
      <c r="D2610" s="165"/>
      <c r="E2610" s="165"/>
      <c r="F2610" s="165"/>
      <c r="G2610" s="165"/>
      <c r="H2610" s="165"/>
      <c r="I2610" s="165"/>
      <c r="J2610" s="165"/>
      <c r="K2610" s="165"/>
      <c r="L2610" s="165"/>
      <c r="M2610" s="165"/>
      <c r="N2610" s="165"/>
      <c r="O2610" s="165"/>
      <c r="P2610" s="165"/>
      <c r="Q2610" s="165"/>
      <c r="R2610" s="165"/>
      <c r="S2610" s="165"/>
      <c r="T2610" s="165"/>
      <c r="U2610" s="165"/>
      <c r="V2610" s="165"/>
      <c r="W2610" s="165"/>
      <c r="X2610" s="165"/>
    </row>
    <row r="2611" ht="18.75" customHeight="1">
      <c r="A2611" s="165">
        <v>2608.0</v>
      </c>
      <c r="B2611" s="165" t="s">
        <v>18045</v>
      </c>
      <c r="C2611" s="165"/>
      <c r="D2611" s="165"/>
      <c r="E2611" s="165"/>
      <c r="F2611" s="165"/>
      <c r="G2611" s="165"/>
      <c r="H2611" s="165"/>
      <c r="I2611" s="165"/>
      <c r="J2611" s="165"/>
      <c r="K2611" s="165"/>
      <c r="L2611" s="165"/>
      <c r="M2611" s="165"/>
      <c r="N2611" s="165"/>
      <c r="O2611" s="165"/>
      <c r="P2611" s="165"/>
      <c r="Q2611" s="165"/>
      <c r="R2611" s="165"/>
      <c r="S2611" s="165"/>
      <c r="T2611" s="165"/>
      <c r="U2611" s="165"/>
      <c r="V2611" s="165"/>
      <c r="W2611" s="165"/>
      <c r="X2611" s="165"/>
    </row>
    <row r="2612" ht="18.75" customHeight="1">
      <c r="A2612" s="165">
        <v>2609.0</v>
      </c>
      <c r="B2612" s="165" t="s">
        <v>18046</v>
      </c>
      <c r="C2612" s="165"/>
      <c r="D2612" s="165"/>
      <c r="E2612" s="165"/>
      <c r="F2612" s="165"/>
      <c r="G2612" s="165"/>
      <c r="H2612" s="165"/>
      <c r="I2612" s="165"/>
      <c r="J2612" s="165"/>
      <c r="K2612" s="165"/>
      <c r="L2612" s="165"/>
      <c r="M2612" s="165"/>
      <c r="N2612" s="165"/>
      <c r="O2612" s="165"/>
      <c r="P2612" s="165"/>
      <c r="Q2612" s="165"/>
      <c r="R2612" s="165"/>
      <c r="S2612" s="165"/>
      <c r="T2612" s="165"/>
      <c r="U2612" s="165"/>
      <c r="V2612" s="165"/>
      <c r="W2612" s="165"/>
      <c r="X2612" s="165"/>
    </row>
    <row r="2613" ht="18.75" customHeight="1">
      <c r="A2613" s="165">
        <v>2610.0</v>
      </c>
      <c r="B2613" s="165" t="s">
        <v>18047</v>
      </c>
      <c r="C2613" s="165"/>
      <c r="D2613" s="165"/>
      <c r="E2613" s="165"/>
      <c r="F2613" s="165"/>
      <c r="G2613" s="165"/>
      <c r="H2613" s="165"/>
      <c r="I2613" s="165"/>
      <c r="J2613" s="165"/>
      <c r="K2613" s="165"/>
      <c r="L2613" s="165"/>
      <c r="M2613" s="165"/>
      <c r="N2613" s="165"/>
      <c r="O2613" s="165"/>
      <c r="P2613" s="165"/>
      <c r="Q2613" s="165"/>
      <c r="R2613" s="165"/>
      <c r="S2613" s="165"/>
      <c r="T2613" s="165"/>
      <c r="U2613" s="165"/>
      <c r="V2613" s="165"/>
      <c r="W2613" s="165"/>
      <c r="X2613" s="165"/>
    </row>
    <row r="2614" ht="18.75" customHeight="1">
      <c r="A2614" s="165">
        <v>2611.0</v>
      </c>
      <c r="B2614" s="165" t="s">
        <v>18048</v>
      </c>
      <c r="C2614" s="165"/>
      <c r="D2614" s="165"/>
      <c r="E2614" s="165"/>
      <c r="F2614" s="165"/>
      <c r="G2614" s="165"/>
      <c r="H2614" s="165"/>
      <c r="I2614" s="165"/>
      <c r="J2614" s="165"/>
      <c r="K2614" s="165"/>
      <c r="L2614" s="165"/>
      <c r="M2614" s="165"/>
      <c r="N2614" s="165"/>
      <c r="O2614" s="165"/>
      <c r="P2614" s="165"/>
      <c r="Q2614" s="165"/>
      <c r="R2614" s="165"/>
      <c r="S2614" s="165"/>
      <c r="T2614" s="165"/>
      <c r="U2614" s="165"/>
      <c r="V2614" s="165"/>
      <c r="W2614" s="165"/>
      <c r="X2614" s="165"/>
    </row>
    <row r="2615" ht="18.75" customHeight="1">
      <c r="A2615" s="165">
        <v>2612.0</v>
      </c>
      <c r="B2615" s="165" t="s">
        <v>18049</v>
      </c>
      <c r="C2615" s="165"/>
      <c r="D2615" s="165"/>
      <c r="E2615" s="165"/>
      <c r="F2615" s="165"/>
      <c r="G2615" s="165"/>
      <c r="H2615" s="165"/>
      <c r="I2615" s="165"/>
      <c r="J2615" s="165"/>
      <c r="K2615" s="165"/>
      <c r="L2615" s="165"/>
      <c r="M2615" s="165"/>
      <c r="N2615" s="165"/>
      <c r="O2615" s="165"/>
      <c r="P2615" s="165"/>
      <c r="Q2615" s="165"/>
      <c r="R2615" s="165"/>
      <c r="S2615" s="165"/>
      <c r="T2615" s="165"/>
      <c r="U2615" s="165"/>
      <c r="V2615" s="165"/>
      <c r="W2615" s="165"/>
      <c r="X2615" s="165"/>
    </row>
    <row r="2616" ht="18.75" customHeight="1">
      <c r="A2616" s="165">
        <v>2613.0</v>
      </c>
      <c r="B2616" s="165" t="s">
        <v>18050</v>
      </c>
      <c r="C2616" s="165"/>
      <c r="D2616" s="165"/>
      <c r="E2616" s="165"/>
      <c r="F2616" s="165"/>
      <c r="G2616" s="165"/>
      <c r="H2616" s="165"/>
      <c r="I2616" s="165"/>
      <c r="J2616" s="165"/>
      <c r="K2616" s="165"/>
      <c r="L2616" s="165"/>
      <c r="M2616" s="165"/>
      <c r="N2616" s="165"/>
      <c r="O2616" s="165"/>
      <c r="P2616" s="165"/>
      <c r="Q2616" s="165"/>
      <c r="R2616" s="165"/>
      <c r="S2616" s="165"/>
      <c r="T2616" s="165"/>
      <c r="U2616" s="165"/>
      <c r="V2616" s="165"/>
      <c r="W2616" s="165"/>
      <c r="X2616" s="165"/>
    </row>
    <row r="2617" ht="18.75" customHeight="1">
      <c r="A2617" s="165">
        <v>2614.0</v>
      </c>
      <c r="B2617" s="165" t="s">
        <v>18051</v>
      </c>
      <c r="C2617" s="165"/>
      <c r="D2617" s="165"/>
      <c r="E2617" s="165"/>
      <c r="F2617" s="165"/>
      <c r="G2617" s="165"/>
      <c r="H2617" s="165"/>
      <c r="I2617" s="165"/>
      <c r="J2617" s="165"/>
      <c r="K2617" s="165"/>
      <c r="L2617" s="165"/>
      <c r="M2617" s="165"/>
      <c r="N2617" s="165"/>
      <c r="O2617" s="165"/>
      <c r="P2617" s="165"/>
      <c r="Q2617" s="165"/>
      <c r="R2617" s="165"/>
      <c r="S2617" s="165"/>
      <c r="T2617" s="165"/>
      <c r="U2617" s="165"/>
      <c r="V2617" s="165"/>
      <c r="W2617" s="165"/>
      <c r="X2617" s="165"/>
    </row>
    <row r="2618" ht="18.75" customHeight="1">
      <c r="A2618" s="165">
        <v>2615.0</v>
      </c>
      <c r="B2618" s="165" t="s">
        <v>18052</v>
      </c>
      <c r="C2618" s="165"/>
      <c r="D2618" s="165"/>
      <c r="E2618" s="165"/>
      <c r="F2618" s="165"/>
      <c r="G2618" s="165"/>
      <c r="H2618" s="165"/>
      <c r="I2618" s="165"/>
      <c r="J2618" s="165"/>
      <c r="K2618" s="165"/>
      <c r="L2618" s="165"/>
      <c r="M2618" s="165"/>
      <c r="N2618" s="165"/>
      <c r="O2618" s="165"/>
      <c r="P2618" s="165"/>
      <c r="Q2618" s="165"/>
      <c r="R2618" s="165"/>
      <c r="S2618" s="165"/>
      <c r="T2618" s="165"/>
      <c r="U2618" s="165"/>
      <c r="V2618" s="165"/>
      <c r="W2618" s="165"/>
      <c r="X2618" s="165"/>
    </row>
    <row r="2619" ht="18.75" customHeight="1">
      <c r="A2619" s="165">
        <v>2616.0</v>
      </c>
      <c r="B2619" s="165" t="s">
        <v>18053</v>
      </c>
      <c r="C2619" s="165"/>
      <c r="D2619" s="165"/>
      <c r="E2619" s="165"/>
      <c r="F2619" s="165"/>
      <c r="G2619" s="165"/>
      <c r="H2619" s="165"/>
      <c r="I2619" s="165"/>
      <c r="J2619" s="165"/>
      <c r="K2619" s="165"/>
      <c r="L2619" s="165"/>
      <c r="M2619" s="165"/>
      <c r="N2619" s="165"/>
      <c r="O2619" s="165"/>
      <c r="P2619" s="165"/>
      <c r="Q2619" s="165"/>
      <c r="R2619" s="165"/>
      <c r="S2619" s="165"/>
      <c r="T2619" s="165"/>
      <c r="U2619" s="165"/>
      <c r="V2619" s="165"/>
      <c r="W2619" s="165"/>
      <c r="X2619" s="165"/>
    </row>
    <row r="2620" ht="18.75" customHeight="1">
      <c r="A2620" s="165">
        <v>2617.0</v>
      </c>
      <c r="B2620" s="165" t="s">
        <v>18054</v>
      </c>
      <c r="C2620" s="165"/>
      <c r="D2620" s="165"/>
      <c r="E2620" s="165"/>
      <c r="F2620" s="165"/>
      <c r="G2620" s="165"/>
      <c r="H2620" s="165"/>
      <c r="I2620" s="165"/>
      <c r="J2620" s="165"/>
      <c r="K2620" s="165"/>
      <c r="L2620" s="165"/>
      <c r="M2620" s="165"/>
      <c r="N2620" s="165"/>
      <c r="O2620" s="165"/>
      <c r="P2620" s="165"/>
      <c r="Q2620" s="165"/>
      <c r="R2620" s="165"/>
      <c r="S2620" s="165"/>
      <c r="T2620" s="165"/>
      <c r="U2620" s="165"/>
      <c r="V2620" s="165"/>
      <c r="W2620" s="165"/>
      <c r="X2620" s="165"/>
    </row>
    <row r="2621" ht="18.75" customHeight="1">
      <c r="A2621" s="165">
        <v>2618.0</v>
      </c>
      <c r="B2621" s="165" t="s">
        <v>18055</v>
      </c>
      <c r="C2621" s="165"/>
      <c r="D2621" s="165"/>
      <c r="E2621" s="165"/>
      <c r="F2621" s="165"/>
      <c r="G2621" s="165"/>
      <c r="H2621" s="165"/>
      <c r="I2621" s="165"/>
      <c r="J2621" s="165"/>
      <c r="K2621" s="165"/>
      <c r="L2621" s="165"/>
      <c r="M2621" s="165"/>
      <c r="N2621" s="165"/>
      <c r="O2621" s="165"/>
      <c r="P2621" s="165"/>
      <c r="Q2621" s="165"/>
      <c r="R2621" s="165"/>
      <c r="S2621" s="165"/>
      <c r="T2621" s="165"/>
      <c r="U2621" s="165"/>
      <c r="V2621" s="165"/>
      <c r="W2621" s="165"/>
      <c r="X2621" s="165"/>
    </row>
    <row r="2622" ht="18.75" customHeight="1">
      <c r="A2622" s="165">
        <v>2619.0</v>
      </c>
      <c r="B2622" s="165" t="s">
        <v>18056</v>
      </c>
      <c r="C2622" s="165"/>
      <c r="D2622" s="165"/>
      <c r="E2622" s="165"/>
      <c r="F2622" s="165"/>
      <c r="G2622" s="165"/>
      <c r="H2622" s="165"/>
      <c r="I2622" s="165"/>
      <c r="J2622" s="165"/>
      <c r="K2622" s="165"/>
      <c r="L2622" s="165"/>
      <c r="M2622" s="165"/>
      <c r="N2622" s="165"/>
      <c r="O2622" s="165"/>
      <c r="P2622" s="165"/>
      <c r="Q2622" s="165"/>
      <c r="R2622" s="165"/>
      <c r="S2622" s="165"/>
      <c r="T2622" s="165"/>
      <c r="U2622" s="165"/>
      <c r="V2622" s="165"/>
      <c r="W2622" s="165"/>
      <c r="X2622" s="165"/>
    </row>
    <row r="2623" ht="18.75" customHeight="1">
      <c r="A2623" s="165">
        <v>2620.0</v>
      </c>
      <c r="B2623" s="165" t="s">
        <v>18057</v>
      </c>
      <c r="C2623" s="165"/>
      <c r="D2623" s="165"/>
      <c r="E2623" s="165"/>
      <c r="F2623" s="165"/>
      <c r="G2623" s="165"/>
      <c r="H2623" s="165"/>
      <c r="I2623" s="165"/>
      <c r="J2623" s="165"/>
      <c r="K2623" s="165"/>
      <c r="L2623" s="165"/>
      <c r="M2623" s="165"/>
      <c r="N2623" s="165"/>
      <c r="O2623" s="165"/>
      <c r="P2623" s="165"/>
      <c r="Q2623" s="165"/>
      <c r="R2623" s="165"/>
      <c r="S2623" s="165"/>
      <c r="T2623" s="165"/>
      <c r="U2623" s="165"/>
      <c r="V2623" s="165"/>
      <c r="W2623" s="165"/>
      <c r="X2623" s="165"/>
    </row>
    <row r="2624" ht="18.75" customHeight="1">
      <c r="A2624" s="165">
        <v>2621.0</v>
      </c>
      <c r="B2624" s="165" t="s">
        <v>18058</v>
      </c>
      <c r="C2624" s="165"/>
      <c r="D2624" s="165"/>
      <c r="E2624" s="165"/>
      <c r="F2624" s="165"/>
      <c r="G2624" s="165"/>
      <c r="H2624" s="165"/>
      <c r="I2624" s="165"/>
      <c r="J2624" s="165"/>
      <c r="K2624" s="165"/>
      <c r="L2624" s="165"/>
      <c r="M2624" s="165"/>
      <c r="N2624" s="165"/>
      <c r="O2624" s="165"/>
      <c r="P2624" s="165"/>
      <c r="Q2624" s="165"/>
      <c r="R2624" s="165"/>
      <c r="S2624" s="165"/>
      <c r="T2624" s="165"/>
      <c r="U2624" s="165"/>
      <c r="V2624" s="165"/>
      <c r="W2624" s="165"/>
      <c r="X2624" s="165"/>
    </row>
    <row r="2625" ht="18.75" customHeight="1">
      <c r="A2625" s="165">
        <v>2622.0</v>
      </c>
      <c r="B2625" s="165" t="s">
        <v>18059</v>
      </c>
      <c r="C2625" s="165"/>
      <c r="D2625" s="165"/>
      <c r="E2625" s="165"/>
      <c r="F2625" s="165"/>
      <c r="G2625" s="165"/>
      <c r="H2625" s="165"/>
      <c r="I2625" s="165"/>
      <c r="J2625" s="165"/>
      <c r="K2625" s="165"/>
      <c r="L2625" s="165"/>
      <c r="M2625" s="165"/>
      <c r="N2625" s="165"/>
      <c r="O2625" s="165"/>
      <c r="P2625" s="165"/>
      <c r="Q2625" s="165"/>
      <c r="R2625" s="165"/>
      <c r="S2625" s="165"/>
      <c r="T2625" s="165"/>
      <c r="U2625" s="165"/>
      <c r="V2625" s="165"/>
      <c r="W2625" s="165"/>
      <c r="X2625" s="165"/>
    </row>
    <row r="2626" ht="18.75" customHeight="1">
      <c r="A2626" s="165">
        <v>2623.0</v>
      </c>
      <c r="B2626" s="165" t="s">
        <v>18060</v>
      </c>
      <c r="C2626" s="165"/>
      <c r="D2626" s="165"/>
      <c r="E2626" s="165"/>
      <c r="F2626" s="165"/>
      <c r="G2626" s="165"/>
      <c r="H2626" s="165"/>
      <c r="I2626" s="165"/>
      <c r="J2626" s="165"/>
      <c r="K2626" s="165"/>
      <c r="L2626" s="165"/>
      <c r="M2626" s="165"/>
      <c r="N2626" s="165"/>
      <c r="O2626" s="165"/>
      <c r="P2626" s="165"/>
      <c r="Q2626" s="165"/>
      <c r="R2626" s="165"/>
      <c r="S2626" s="165"/>
      <c r="T2626" s="165"/>
      <c r="U2626" s="165"/>
      <c r="V2626" s="165"/>
      <c r="W2626" s="165"/>
      <c r="X2626" s="165"/>
    </row>
    <row r="2627" ht="18.75" customHeight="1">
      <c r="A2627" s="165">
        <v>2624.0</v>
      </c>
      <c r="B2627" s="165" t="s">
        <v>18061</v>
      </c>
      <c r="C2627" s="165"/>
      <c r="D2627" s="165"/>
      <c r="E2627" s="165"/>
      <c r="F2627" s="165"/>
      <c r="G2627" s="165"/>
      <c r="H2627" s="165"/>
      <c r="I2627" s="165"/>
      <c r="J2627" s="165"/>
      <c r="K2627" s="165"/>
      <c r="L2627" s="165"/>
      <c r="M2627" s="165"/>
      <c r="N2627" s="165"/>
      <c r="O2627" s="165"/>
      <c r="P2627" s="165"/>
      <c r="Q2627" s="165"/>
      <c r="R2627" s="165"/>
      <c r="S2627" s="165"/>
      <c r="T2627" s="165"/>
      <c r="U2627" s="165"/>
      <c r="V2627" s="165"/>
      <c r="W2627" s="165"/>
      <c r="X2627" s="165"/>
    </row>
    <row r="2628" ht="18.75" customHeight="1">
      <c r="A2628" s="165">
        <v>2625.0</v>
      </c>
      <c r="B2628" s="165" t="s">
        <v>18062</v>
      </c>
      <c r="C2628" s="165"/>
      <c r="D2628" s="165"/>
      <c r="E2628" s="165"/>
      <c r="F2628" s="165"/>
      <c r="G2628" s="165"/>
      <c r="H2628" s="165"/>
      <c r="I2628" s="165"/>
      <c r="J2628" s="165"/>
      <c r="K2628" s="165"/>
      <c r="L2628" s="165"/>
      <c r="M2628" s="165"/>
      <c r="N2628" s="165"/>
      <c r="O2628" s="165"/>
      <c r="P2628" s="165"/>
      <c r="Q2628" s="165"/>
      <c r="R2628" s="165"/>
      <c r="S2628" s="165"/>
      <c r="T2628" s="165"/>
      <c r="U2628" s="165"/>
      <c r="V2628" s="165"/>
      <c r="W2628" s="165"/>
      <c r="X2628" s="165"/>
    </row>
    <row r="2629" ht="18.75" customHeight="1">
      <c r="A2629" s="165">
        <v>2626.0</v>
      </c>
      <c r="B2629" s="165" t="s">
        <v>18063</v>
      </c>
      <c r="C2629" s="165"/>
      <c r="D2629" s="165"/>
      <c r="E2629" s="165"/>
      <c r="F2629" s="165"/>
      <c r="G2629" s="165"/>
      <c r="H2629" s="165"/>
      <c r="I2629" s="165"/>
      <c r="J2629" s="165"/>
      <c r="K2629" s="165"/>
      <c r="L2629" s="165"/>
      <c r="M2629" s="165"/>
      <c r="N2629" s="165"/>
      <c r="O2629" s="165"/>
      <c r="P2629" s="165"/>
      <c r="Q2629" s="165"/>
      <c r="R2629" s="165"/>
      <c r="S2629" s="165"/>
      <c r="T2629" s="165"/>
      <c r="U2629" s="165"/>
      <c r="V2629" s="165"/>
      <c r="W2629" s="165"/>
      <c r="X2629" s="165"/>
    </row>
    <row r="2630" ht="18.75" customHeight="1">
      <c r="A2630" s="165">
        <v>2627.0</v>
      </c>
      <c r="B2630" s="165" t="s">
        <v>18064</v>
      </c>
      <c r="C2630" s="165"/>
      <c r="D2630" s="165"/>
      <c r="E2630" s="165"/>
      <c r="F2630" s="165"/>
      <c r="G2630" s="165"/>
      <c r="H2630" s="165"/>
      <c r="I2630" s="165"/>
      <c r="J2630" s="165"/>
      <c r="K2630" s="165"/>
      <c r="L2630" s="165"/>
      <c r="M2630" s="165"/>
      <c r="N2630" s="165"/>
      <c r="O2630" s="165"/>
      <c r="P2630" s="165"/>
      <c r="Q2630" s="165"/>
      <c r="R2630" s="165"/>
      <c r="S2630" s="165"/>
      <c r="T2630" s="165"/>
      <c r="U2630" s="165"/>
      <c r="V2630" s="165"/>
      <c r="W2630" s="165"/>
      <c r="X2630" s="165"/>
    </row>
    <row r="2631" ht="18.75" customHeight="1">
      <c r="A2631" s="165">
        <v>2628.0</v>
      </c>
      <c r="B2631" s="165" t="s">
        <v>18065</v>
      </c>
      <c r="C2631" s="165"/>
      <c r="D2631" s="165"/>
      <c r="E2631" s="165"/>
      <c r="F2631" s="165"/>
      <c r="G2631" s="165"/>
      <c r="H2631" s="165"/>
      <c r="I2631" s="165"/>
      <c r="J2631" s="165"/>
      <c r="K2631" s="165"/>
      <c r="L2631" s="165"/>
      <c r="M2631" s="165"/>
      <c r="N2631" s="165"/>
      <c r="O2631" s="165"/>
      <c r="P2631" s="165"/>
      <c r="Q2631" s="165"/>
      <c r="R2631" s="165"/>
      <c r="S2631" s="165"/>
      <c r="T2631" s="165"/>
      <c r="U2631" s="165"/>
      <c r="V2631" s="165"/>
      <c r="W2631" s="165"/>
      <c r="X2631" s="165"/>
    </row>
    <row r="2632" ht="18.75" customHeight="1">
      <c r="A2632" s="165">
        <v>2629.0</v>
      </c>
      <c r="B2632" s="165" t="s">
        <v>18066</v>
      </c>
      <c r="C2632" s="165"/>
      <c r="D2632" s="165"/>
      <c r="E2632" s="165"/>
      <c r="F2632" s="165"/>
      <c r="G2632" s="165"/>
      <c r="H2632" s="165"/>
      <c r="I2632" s="165"/>
      <c r="J2632" s="165"/>
      <c r="K2632" s="165"/>
      <c r="L2632" s="165"/>
      <c r="M2632" s="165"/>
      <c r="N2632" s="165"/>
      <c r="O2632" s="165"/>
      <c r="P2632" s="165"/>
      <c r="Q2632" s="165"/>
      <c r="R2632" s="165"/>
      <c r="S2632" s="165"/>
      <c r="T2632" s="165"/>
      <c r="U2632" s="165"/>
      <c r="V2632" s="165"/>
      <c r="W2632" s="165"/>
      <c r="X2632" s="165"/>
    </row>
    <row r="2633" ht="18.75" customHeight="1">
      <c r="A2633" s="165">
        <v>2630.0</v>
      </c>
      <c r="B2633" s="165" t="s">
        <v>18067</v>
      </c>
      <c r="C2633" s="165"/>
      <c r="D2633" s="165"/>
      <c r="E2633" s="165"/>
      <c r="F2633" s="165"/>
      <c r="G2633" s="165"/>
      <c r="H2633" s="165"/>
      <c r="I2633" s="165"/>
      <c r="J2633" s="165"/>
      <c r="K2633" s="165"/>
      <c r="L2633" s="165"/>
      <c r="M2633" s="165"/>
      <c r="N2633" s="165"/>
      <c r="O2633" s="165"/>
      <c r="P2633" s="165"/>
      <c r="Q2633" s="165"/>
      <c r="R2633" s="165"/>
      <c r="S2633" s="165"/>
      <c r="T2633" s="165"/>
      <c r="U2633" s="165"/>
      <c r="V2633" s="165"/>
      <c r="W2633" s="165"/>
      <c r="X2633" s="165"/>
    </row>
    <row r="2634" ht="18.75" customHeight="1">
      <c r="A2634" s="165">
        <v>2631.0</v>
      </c>
      <c r="B2634" s="165" t="s">
        <v>18068</v>
      </c>
      <c r="C2634" s="165"/>
      <c r="D2634" s="165"/>
      <c r="E2634" s="165"/>
      <c r="F2634" s="165"/>
      <c r="G2634" s="165"/>
      <c r="H2634" s="165"/>
      <c r="I2634" s="165"/>
      <c r="J2634" s="165"/>
      <c r="K2634" s="165"/>
      <c r="L2634" s="165"/>
      <c r="M2634" s="165"/>
      <c r="N2634" s="165"/>
      <c r="O2634" s="165"/>
      <c r="P2634" s="165"/>
      <c r="Q2634" s="165"/>
      <c r="R2634" s="165"/>
      <c r="S2634" s="165"/>
      <c r="T2634" s="165"/>
      <c r="U2634" s="165"/>
      <c r="V2634" s="165"/>
      <c r="W2634" s="165"/>
      <c r="X2634" s="165"/>
    </row>
    <row r="2635" ht="18.75" customHeight="1">
      <c r="A2635" s="165">
        <v>2632.0</v>
      </c>
      <c r="B2635" s="165" t="s">
        <v>18069</v>
      </c>
      <c r="C2635" s="165"/>
      <c r="D2635" s="165"/>
      <c r="E2635" s="165"/>
      <c r="F2635" s="165"/>
      <c r="G2635" s="165"/>
      <c r="H2635" s="165"/>
      <c r="I2635" s="165"/>
      <c r="J2635" s="165"/>
      <c r="K2635" s="165"/>
      <c r="L2635" s="165"/>
      <c r="M2635" s="165"/>
      <c r="N2635" s="165"/>
      <c r="O2635" s="165"/>
      <c r="P2635" s="165"/>
      <c r="Q2635" s="165"/>
      <c r="R2635" s="165"/>
      <c r="S2635" s="165"/>
      <c r="T2635" s="165"/>
      <c r="U2635" s="165"/>
      <c r="V2635" s="165"/>
      <c r="W2635" s="165"/>
      <c r="X2635" s="165"/>
    </row>
    <row r="2636" ht="18.75" customHeight="1">
      <c r="A2636" s="165">
        <v>2633.0</v>
      </c>
      <c r="B2636" s="165" t="s">
        <v>18070</v>
      </c>
      <c r="C2636" s="165"/>
      <c r="D2636" s="165"/>
      <c r="E2636" s="165"/>
      <c r="F2636" s="165"/>
      <c r="G2636" s="165"/>
      <c r="H2636" s="165"/>
      <c r="I2636" s="165"/>
      <c r="J2636" s="165"/>
      <c r="K2636" s="165"/>
      <c r="L2636" s="165"/>
      <c r="M2636" s="165"/>
      <c r="N2636" s="165"/>
      <c r="O2636" s="165"/>
      <c r="P2636" s="165"/>
      <c r="Q2636" s="165"/>
      <c r="R2636" s="165"/>
      <c r="S2636" s="165"/>
      <c r="T2636" s="165"/>
      <c r="U2636" s="165"/>
      <c r="V2636" s="165"/>
      <c r="W2636" s="165"/>
      <c r="X2636" s="165"/>
    </row>
    <row r="2637" ht="18.75" customHeight="1">
      <c r="A2637" s="165">
        <v>2634.0</v>
      </c>
      <c r="B2637" s="165" t="s">
        <v>18071</v>
      </c>
      <c r="C2637" s="165"/>
      <c r="D2637" s="165"/>
      <c r="E2637" s="165"/>
      <c r="F2637" s="165"/>
      <c r="G2637" s="165"/>
      <c r="H2637" s="165"/>
      <c r="I2637" s="165"/>
      <c r="J2637" s="165"/>
      <c r="K2637" s="165"/>
      <c r="L2637" s="165"/>
      <c r="M2637" s="165"/>
      <c r="N2637" s="165"/>
      <c r="O2637" s="165"/>
      <c r="P2637" s="165"/>
      <c r="Q2637" s="165"/>
      <c r="R2637" s="165"/>
      <c r="S2637" s="165"/>
      <c r="T2637" s="165"/>
      <c r="U2637" s="165"/>
      <c r="V2637" s="165"/>
      <c r="W2637" s="165"/>
      <c r="X2637" s="165"/>
    </row>
    <row r="2638" ht="18.75" customHeight="1">
      <c r="A2638" s="165">
        <v>2635.0</v>
      </c>
      <c r="B2638" s="165" t="s">
        <v>18072</v>
      </c>
      <c r="C2638" s="165"/>
      <c r="D2638" s="165"/>
      <c r="E2638" s="165"/>
      <c r="F2638" s="165"/>
      <c r="G2638" s="165"/>
      <c r="H2638" s="165"/>
      <c r="I2638" s="165"/>
      <c r="J2638" s="165"/>
      <c r="K2638" s="165"/>
      <c r="L2638" s="165"/>
      <c r="M2638" s="165"/>
      <c r="N2638" s="165"/>
      <c r="O2638" s="165"/>
      <c r="P2638" s="165"/>
      <c r="Q2638" s="165"/>
      <c r="R2638" s="165"/>
      <c r="S2638" s="165"/>
      <c r="T2638" s="165"/>
      <c r="U2638" s="165"/>
      <c r="V2638" s="165"/>
      <c r="W2638" s="165"/>
      <c r="X2638" s="165"/>
    </row>
    <row r="2639" ht="18.75" customHeight="1">
      <c r="A2639" s="165">
        <v>2636.0</v>
      </c>
      <c r="B2639" s="165" t="s">
        <v>18073</v>
      </c>
      <c r="C2639" s="165"/>
      <c r="D2639" s="165"/>
      <c r="E2639" s="165"/>
      <c r="F2639" s="165"/>
      <c r="G2639" s="165"/>
      <c r="H2639" s="165"/>
      <c r="I2639" s="165"/>
      <c r="J2639" s="165"/>
      <c r="K2639" s="165"/>
      <c r="L2639" s="165"/>
      <c r="M2639" s="165"/>
      <c r="N2639" s="165"/>
      <c r="O2639" s="165"/>
      <c r="P2639" s="165"/>
      <c r="Q2639" s="165"/>
      <c r="R2639" s="165"/>
      <c r="S2639" s="165"/>
      <c r="T2639" s="165"/>
      <c r="U2639" s="165"/>
      <c r="V2639" s="165"/>
      <c r="W2639" s="165"/>
      <c r="X2639" s="165"/>
    </row>
    <row r="2640" ht="18.75" customHeight="1">
      <c r="A2640" s="165">
        <v>2637.0</v>
      </c>
      <c r="B2640" s="165" t="s">
        <v>18074</v>
      </c>
      <c r="C2640" s="165"/>
      <c r="D2640" s="165"/>
      <c r="E2640" s="165"/>
      <c r="F2640" s="165"/>
      <c r="G2640" s="165"/>
      <c r="H2640" s="165"/>
      <c r="I2640" s="165"/>
      <c r="J2640" s="165"/>
      <c r="K2640" s="165"/>
      <c r="L2640" s="165"/>
      <c r="M2640" s="165"/>
      <c r="N2640" s="165"/>
      <c r="O2640" s="165"/>
      <c r="P2640" s="165"/>
      <c r="Q2640" s="165"/>
      <c r="R2640" s="165"/>
      <c r="S2640" s="165"/>
      <c r="T2640" s="165"/>
      <c r="U2640" s="165"/>
      <c r="V2640" s="165"/>
      <c r="W2640" s="165"/>
      <c r="X2640" s="165"/>
    </row>
    <row r="2641" ht="18.75" customHeight="1">
      <c r="A2641" s="165">
        <v>2638.0</v>
      </c>
      <c r="B2641" s="165" t="s">
        <v>18075</v>
      </c>
      <c r="C2641" s="165"/>
      <c r="D2641" s="165"/>
      <c r="E2641" s="165"/>
      <c r="F2641" s="165"/>
      <c r="G2641" s="165"/>
      <c r="H2641" s="165"/>
      <c r="I2641" s="165"/>
      <c r="J2641" s="165"/>
      <c r="K2641" s="165"/>
      <c r="L2641" s="165"/>
      <c r="M2641" s="165"/>
      <c r="N2641" s="165"/>
      <c r="O2641" s="165"/>
      <c r="P2641" s="165"/>
      <c r="Q2641" s="165"/>
      <c r="R2641" s="165"/>
      <c r="S2641" s="165"/>
      <c r="T2641" s="165"/>
      <c r="U2641" s="165"/>
      <c r="V2641" s="165"/>
      <c r="W2641" s="165"/>
      <c r="X2641" s="165"/>
    </row>
    <row r="2642" ht="18.75" customHeight="1">
      <c r="A2642" s="165">
        <v>2639.0</v>
      </c>
      <c r="B2642" s="192" t="s">
        <v>18076</v>
      </c>
      <c r="C2642" s="165"/>
      <c r="D2642" s="165"/>
      <c r="E2642" s="165"/>
      <c r="F2642" s="165"/>
      <c r="G2642" s="165"/>
      <c r="H2642" s="165"/>
      <c r="I2642" s="165"/>
      <c r="J2642" s="165"/>
      <c r="K2642" s="165"/>
      <c r="L2642" s="165"/>
      <c r="M2642" s="165"/>
      <c r="N2642" s="165"/>
      <c r="O2642" s="165"/>
      <c r="P2642" s="165"/>
      <c r="Q2642" s="165"/>
      <c r="R2642" s="165"/>
      <c r="S2642" s="165"/>
      <c r="T2642" s="165"/>
      <c r="U2642" s="165"/>
      <c r="V2642" s="165"/>
      <c r="W2642" s="165"/>
      <c r="X2642" s="165"/>
    </row>
    <row r="2643" ht="18.75" customHeight="1">
      <c r="A2643" s="165">
        <v>2640.0</v>
      </c>
      <c r="B2643" s="180" t="s">
        <v>18077</v>
      </c>
      <c r="C2643" s="165"/>
      <c r="D2643" s="165"/>
      <c r="E2643" s="165"/>
      <c r="F2643" s="165"/>
      <c r="G2643" s="165"/>
      <c r="H2643" s="165"/>
      <c r="I2643" s="165"/>
      <c r="J2643" s="165"/>
      <c r="K2643" s="165"/>
      <c r="L2643" s="165"/>
      <c r="M2643" s="165"/>
      <c r="N2643" s="165"/>
      <c r="O2643" s="165"/>
      <c r="P2643" s="165"/>
      <c r="Q2643" s="165"/>
      <c r="R2643" s="165"/>
      <c r="S2643" s="165"/>
      <c r="T2643" s="165"/>
      <c r="U2643" s="165"/>
      <c r="V2643" s="165"/>
      <c r="W2643" s="165"/>
      <c r="X2643" s="165"/>
    </row>
    <row r="2644" ht="18.75" customHeight="1">
      <c r="A2644" s="165">
        <v>2641.0</v>
      </c>
      <c r="B2644" s="180" t="s">
        <v>18078</v>
      </c>
      <c r="C2644" s="165"/>
      <c r="D2644" s="165"/>
      <c r="E2644" s="165"/>
      <c r="F2644" s="165"/>
      <c r="G2644" s="165"/>
      <c r="H2644" s="165"/>
      <c r="I2644" s="165"/>
      <c r="J2644" s="165"/>
      <c r="K2644" s="165"/>
      <c r="L2644" s="165"/>
      <c r="M2644" s="165"/>
      <c r="N2644" s="165"/>
      <c r="O2644" s="165"/>
      <c r="P2644" s="165"/>
      <c r="Q2644" s="165"/>
      <c r="R2644" s="165"/>
      <c r="S2644" s="165"/>
      <c r="T2644" s="165"/>
      <c r="U2644" s="165"/>
      <c r="V2644" s="165"/>
      <c r="W2644" s="165"/>
      <c r="X2644" s="165"/>
    </row>
    <row r="2645" ht="18.75" customHeight="1">
      <c r="A2645" s="165">
        <v>2642.0</v>
      </c>
      <c r="B2645" s="180" t="s">
        <v>18079</v>
      </c>
      <c r="C2645" s="165"/>
      <c r="D2645" s="165"/>
      <c r="E2645" s="165"/>
      <c r="F2645" s="165"/>
      <c r="G2645" s="165"/>
      <c r="H2645" s="165"/>
      <c r="I2645" s="165"/>
      <c r="J2645" s="165"/>
      <c r="K2645" s="165"/>
      <c r="L2645" s="165"/>
      <c r="M2645" s="165"/>
      <c r="N2645" s="165"/>
      <c r="O2645" s="165"/>
      <c r="P2645" s="165"/>
      <c r="Q2645" s="165"/>
      <c r="R2645" s="165"/>
      <c r="S2645" s="165"/>
      <c r="T2645" s="165"/>
      <c r="U2645" s="165"/>
      <c r="V2645" s="165"/>
      <c r="W2645" s="165"/>
      <c r="X2645" s="165"/>
    </row>
    <row r="2646" ht="18.75" customHeight="1">
      <c r="A2646" s="165">
        <v>2643.0</v>
      </c>
      <c r="B2646" s="180" t="s">
        <v>18080</v>
      </c>
      <c r="C2646" s="165"/>
      <c r="D2646" s="165"/>
      <c r="E2646" s="165"/>
      <c r="F2646" s="165"/>
      <c r="G2646" s="165"/>
      <c r="H2646" s="165"/>
      <c r="I2646" s="165"/>
      <c r="J2646" s="165"/>
      <c r="K2646" s="165"/>
      <c r="L2646" s="165"/>
      <c r="M2646" s="165"/>
      <c r="N2646" s="165"/>
      <c r="O2646" s="165"/>
      <c r="P2646" s="165"/>
      <c r="Q2646" s="165"/>
      <c r="R2646" s="165"/>
      <c r="S2646" s="165"/>
      <c r="T2646" s="165"/>
      <c r="U2646" s="165"/>
      <c r="V2646" s="165"/>
      <c r="W2646" s="165"/>
      <c r="X2646" s="165"/>
    </row>
    <row r="2647" ht="18.75" customHeight="1">
      <c r="A2647" s="165">
        <v>2644.0</v>
      </c>
      <c r="B2647" s="180" t="s">
        <v>18081</v>
      </c>
      <c r="C2647" s="165"/>
      <c r="D2647" s="165"/>
      <c r="E2647" s="165"/>
      <c r="F2647" s="165"/>
      <c r="G2647" s="165"/>
      <c r="H2647" s="165"/>
      <c r="I2647" s="165"/>
      <c r="J2647" s="165"/>
      <c r="K2647" s="165"/>
      <c r="L2647" s="165"/>
      <c r="M2647" s="165"/>
      <c r="N2647" s="165"/>
      <c r="O2647" s="165"/>
      <c r="P2647" s="165"/>
      <c r="Q2647" s="165"/>
      <c r="R2647" s="165"/>
      <c r="S2647" s="165"/>
      <c r="T2647" s="165"/>
      <c r="U2647" s="165"/>
      <c r="V2647" s="165"/>
      <c r="W2647" s="165"/>
      <c r="X2647" s="165"/>
    </row>
    <row r="2648" ht="18.75" customHeight="1">
      <c r="A2648" s="165">
        <v>2645.0</v>
      </c>
      <c r="B2648" s="180" t="s">
        <v>18082</v>
      </c>
      <c r="C2648" s="165"/>
      <c r="D2648" s="165"/>
      <c r="E2648" s="165"/>
      <c r="F2648" s="165"/>
      <c r="G2648" s="165"/>
      <c r="H2648" s="165"/>
      <c r="I2648" s="165"/>
      <c r="J2648" s="165"/>
      <c r="K2648" s="165"/>
      <c r="L2648" s="165"/>
      <c r="M2648" s="165"/>
      <c r="N2648" s="165"/>
      <c r="O2648" s="165"/>
      <c r="P2648" s="165"/>
      <c r="Q2648" s="165"/>
      <c r="R2648" s="165"/>
      <c r="S2648" s="165"/>
      <c r="T2648" s="165"/>
      <c r="U2648" s="165"/>
      <c r="V2648" s="165"/>
      <c r="W2648" s="165"/>
      <c r="X2648" s="165"/>
    </row>
    <row r="2649" ht="18.75" customHeight="1">
      <c r="A2649" s="165">
        <v>2646.0</v>
      </c>
      <c r="B2649" s="180" t="s">
        <v>18083</v>
      </c>
      <c r="C2649" s="165"/>
      <c r="D2649" s="165"/>
      <c r="E2649" s="165"/>
      <c r="F2649" s="165"/>
      <c r="G2649" s="165"/>
      <c r="H2649" s="165"/>
      <c r="I2649" s="165"/>
      <c r="J2649" s="165"/>
      <c r="K2649" s="165"/>
      <c r="L2649" s="165"/>
      <c r="M2649" s="165"/>
      <c r="N2649" s="165"/>
      <c r="O2649" s="165"/>
      <c r="P2649" s="165"/>
      <c r="Q2649" s="165"/>
      <c r="R2649" s="165"/>
      <c r="S2649" s="165"/>
      <c r="T2649" s="165"/>
      <c r="U2649" s="165"/>
      <c r="V2649" s="165"/>
      <c r="W2649" s="165"/>
      <c r="X2649" s="165"/>
    </row>
    <row r="2650" ht="18.75" customHeight="1">
      <c r="A2650" s="165">
        <v>2647.0</v>
      </c>
      <c r="B2650" s="180" t="s">
        <v>18084</v>
      </c>
      <c r="C2650" s="165"/>
      <c r="D2650" s="165"/>
      <c r="E2650" s="165"/>
      <c r="F2650" s="165"/>
      <c r="G2650" s="165"/>
      <c r="H2650" s="165"/>
      <c r="I2650" s="165"/>
      <c r="J2650" s="165"/>
      <c r="K2650" s="165"/>
      <c r="L2650" s="165"/>
      <c r="M2650" s="165"/>
      <c r="N2650" s="165"/>
      <c r="O2650" s="165"/>
      <c r="P2650" s="165"/>
      <c r="Q2650" s="165"/>
      <c r="R2650" s="165"/>
      <c r="S2650" s="165"/>
      <c r="T2650" s="165"/>
      <c r="U2650" s="165"/>
      <c r="V2650" s="165"/>
      <c r="W2650" s="165"/>
      <c r="X2650" s="165"/>
    </row>
    <row r="2651" ht="18.75" customHeight="1">
      <c r="A2651" s="165">
        <v>2648.0</v>
      </c>
      <c r="B2651" s="165" t="s">
        <v>18085</v>
      </c>
      <c r="C2651" s="165"/>
      <c r="D2651" s="165"/>
      <c r="E2651" s="165"/>
      <c r="F2651" s="165"/>
      <c r="G2651" s="165"/>
      <c r="H2651" s="165"/>
      <c r="I2651" s="165"/>
      <c r="J2651" s="165"/>
      <c r="K2651" s="165"/>
      <c r="L2651" s="165"/>
      <c r="M2651" s="165"/>
      <c r="N2651" s="165"/>
      <c r="O2651" s="165"/>
      <c r="P2651" s="165"/>
      <c r="Q2651" s="165"/>
      <c r="R2651" s="165"/>
      <c r="S2651" s="165"/>
      <c r="T2651" s="165"/>
      <c r="U2651" s="165"/>
      <c r="V2651" s="165"/>
      <c r="W2651" s="165"/>
      <c r="X2651" s="165"/>
    </row>
    <row r="2652" ht="18.75" customHeight="1">
      <c r="A2652" s="165">
        <v>2649.0</v>
      </c>
      <c r="B2652" s="165" t="s">
        <v>18086</v>
      </c>
      <c r="C2652" s="165"/>
      <c r="D2652" s="165"/>
      <c r="E2652" s="165"/>
      <c r="F2652" s="165"/>
      <c r="G2652" s="165"/>
      <c r="H2652" s="165"/>
      <c r="I2652" s="165"/>
      <c r="J2652" s="165"/>
      <c r="K2652" s="165"/>
      <c r="L2652" s="165"/>
      <c r="M2652" s="165"/>
      <c r="N2652" s="165"/>
      <c r="O2652" s="165"/>
      <c r="P2652" s="165"/>
      <c r="Q2652" s="165"/>
      <c r="R2652" s="165"/>
      <c r="S2652" s="165"/>
      <c r="T2652" s="165"/>
      <c r="U2652" s="165"/>
      <c r="V2652" s="165"/>
      <c r="W2652" s="165"/>
      <c r="X2652" s="165"/>
    </row>
    <row r="2653" ht="18.75" customHeight="1">
      <c r="A2653" s="165">
        <v>2650.0</v>
      </c>
      <c r="B2653" s="165" t="s">
        <v>18087</v>
      </c>
      <c r="C2653" s="165"/>
      <c r="D2653" s="165"/>
      <c r="E2653" s="165"/>
      <c r="F2653" s="165"/>
      <c r="G2653" s="165"/>
      <c r="H2653" s="165"/>
      <c r="I2653" s="165"/>
      <c r="J2653" s="165"/>
      <c r="K2653" s="165"/>
      <c r="L2653" s="165"/>
      <c r="M2653" s="165"/>
      <c r="N2653" s="165"/>
      <c r="O2653" s="165"/>
      <c r="P2653" s="165"/>
      <c r="Q2653" s="165"/>
      <c r="R2653" s="165"/>
      <c r="S2653" s="165"/>
      <c r="T2653" s="165"/>
      <c r="U2653" s="165"/>
      <c r="V2653" s="165"/>
      <c r="W2653" s="165"/>
      <c r="X2653" s="165"/>
    </row>
    <row r="2654" ht="18.75" customHeight="1">
      <c r="A2654" s="165">
        <v>2651.0</v>
      </c>
      <c r="B2654" s="167" t="s">
        <v>18088</v>
      </c>
      <c r="C2654" s="165"/>
      <c r="D2654" s="165"/>
      <c r="E2654" s="165"/>
      <c r="F2654" s="165"/>
      <c r="G2654" s="165"/>
      <c r="H2654" s="165"/>
      <c r="I2654" s="165"/>
      <c r="J2654" s="165"/>
      <c r="K2654" s="165"/>
      <c r="L2654" s="165"/>
      <c r="M2654" s="165"/>
      <c r="N2654" s="165"/>
      <c r="O2654" s="165"/>
      <c r="P2654" s="165"/>
      <c r="Q2654" s="165"/>
      <c r="R2654" s="165"/>
      <c r="S2654" s="165"/>
      <c r="T2654" s="165"/>
      <c r="U2654" s="165"/>
      <c r="V2654" s="165"/>
      <c r="W2654" s="165"/>
      <c r="X2654" s="165"/>
    </row>
    <row r="2655" ht="18.75" customHeight="1">
      <c r="A2655" s="165">
        <v>2652.0</v>
      </c>
      <c r="B2655" s="165" t="s">
        <v>18089</v>
      </c>
      <c r="C2655" s="165"/>
      <c r="D2655" s="165"/>
      <c r="E2655" s="165"/>
      <c r="F2655" s="165"/>
      <c r="G2655" s="165"/>
      <c r="H2655" s="165"/>
      <c r="I2655" s="165"/>
      <c r="J2655" s="165"/>
      <c r="K2655" s="165"/>
      <c r="L2655" s="165"/>
      <c r="M2655" s="165"/>
      <c r="N2655" s="165"/>
      <c r="O2655" s="165"/>
      <c r="P2655" s="165"/>
      <c r="Q2655" s="165"/>
      <c r="R2655" s="165"/>
      <c r="S2655" s="165"/>
      <c r="T2655" s="165"/>
      <c r="U2655" s="165"/>
      <c r="V2655" s="165"/>
      <c r="W2655" s="165"/>
      <c r="X2655" s="165"/>
    </row>
    <row r="2656" ht="18.75" customHeight="1">
      <c r="A2656" s="165">
        <v>2653.0</v>
      </c>
      <c r="B2656" s="165" t="s">
        <v>18090</v>
      </c>
      <c r="C2656" s="165"/>
      <c r="D2656" s="165"/>
      <c r="E2656" s="165"/>
      <c r="F2656" s="165"/>
      <c r="G2656" s="165"/>
      <c r="H2656" s="165"/>
      <c r="I2656" s="165"/>
      <c r="J2656" s="165"/>
      <c r="K2656" s="165"/>
      <c r="L2656" s="165"/>
      <c r="M2656" s="165"/>
      <c r="N2656" s="165"/>
      <c r="O2656" s="165"/>
      <c r="P2656" s="165"/>
      <c r="Q2656" s="165"/>
      <c r="R2656" s="165"/>
      <c r="S2656" s="165"/>
      <c r="T2656" s="165"/>
      <c r="U2656" s="165"/>
      <c r="V2656" s="165"/>
      <c r="W2656" s="165"/>
      <c r="X2656" s="165"/>
    </row>
    <row r="2657" ht="18.75" customHeight="1">
      <c r="A2657" s="165">
        <v>2654.0</v>
      </c>
      <c r="B2657" s="165" t="s">
        <v>18091</v>
      </c>
      <c r="C2657" s="165"/>
      <c r="D2657" s="165"/>
      <c r="E2657" s="165"/>
      <c r="F2657" s="165"/>
      <c r="G2657" s="165"/>
      <c r="H2657" s="165"/>
      <c r="I2657" s="165"/>
      <c r="J2657" s="165"/>
      <c r="K2657" s="165"/>
      <c r="L2657" s="165"/>
      <c r="M2657" s="165"/>
      <c r="N2657" s="165"/>
      <c r="O2657" s="165"/>
      <c r="P2657" s="165"/>
      <c r="Q2657" s="165"/>
      <c r="R2657" s="165"/>
      <c r="S2657" s="165"/>
      <c r="T2657" s="165"/>
      <c r="U2657" s="165"/>
      <c r="V2657" s="165"/>
      <c r="W2657" s="165"/>
      <c r="X2657" s="165"/>
    </row>
    <row r="2658" ht="18.75" customHeight="1">
      <c r="A2658" s="165">
        <v>2655.0</v>
      </c>
      <c r="B2658" s="165" t="s">
        <v>18092</v>
      </c>
      <c r="C2658" s="165"/>
      <c r="D2658" s="165"/>
      <c r="E2658" s="165"/>
      <c r="F2658" s="165"/>
      <c r="G2658" s="165"/>
      <c r="H2658" s="165"/>
      <c r="I2658" s="165"/>
      <c r="J2658" s="165"/>
      <c r="K2658" s="165"/>
      <c r="L2658" s="165"/>
      <c r="M2658" s="165"/>
      <c r="N2658" s="165"/>
      <c r="O2658" s="165"/>
      <c r="P2658" s="165"/>
      <c r="Q2658" s="165"/>
      <c r="R2658" s="165"/>
      <c r="S2658" s="165"/>
      <c r="T2658" s="165"/>
      <c r="U2658" s="165"/>
      <c r="V2658" s="165"/>
      <c r="W2658" s="165"/>
      <c r="X2658" s="165"/>
    </row>
    <row r="2659" ht="18.75" customHeight="1">
      <c r="A2659" s="165">
        <v>2656.0</v>
      </c>
      <c r="B2659" s="165" t="s">
        <v>18093</v>
      </c>
      <c r="C2659" s="165"/>
      <c r="D2659" s="165"/>
      <c r="E2659" s="165"/>
      <c r="F2659" s="165"/>
      <c r="G2659" s="165"/>
      <c r="H2659" s="165"/>
      <c r="I2659" s="165"/>
      <c r="J2659" s="165"/>
      <c r="K2659" s="165"/>
      <c r="L2659" s="165"/>
      <c r="M2659" s="165"/>
      <c r="N2659" s="165"/>
      <c r="O2659" s="165"/>
      <c r="P2659" s="165"/>
      <c r="Q2659" s="165"/>
      <c r="R2659" s="165"/>
      <c r="S2659" s="165"/>
      <c r="T2659" s="165"/>
      <c r="U2659" s="165"/>
      <c r="V2659" s="165"/>
      <c r="W2659" s="165"/>
      <c r="X2659" s="165"/>
    </row>
    <row r="2660" ht="18.75" customHeight="1">
      <c r="A2660" s="165">
        <v>2657.0</v>
      </c>
      <c r="B2660" s="165" t="s">
        <v>18094</v>
      </c>
      <c r="C2660" s="165"/>
      <c r="D2660" s="165"/>
      <c r="E2660" s="165"/>
      <c r="F2660" s="165"/>
      <c r="G2660" s="165"/>
      <c r="H2660" s="165"/>
      <c r="I2660" s="165"/>
      <c r="J2660" s="165"/>
      <c r="K2660" s="165"/>
      <c r="L2660" s="165"/>
      <c r="M2660" s="165"/>
      <c r="N2660" s="165"/>
      <c r="O2660" s="165"/>
      <c r="P2660" s="165"/>
      <c r="Q2660" s="165"/>
      <c r="R2660" s="165"/>
      <c r="S2660" s="165"/>
      <c r="T2660" s="165"/>
      <c r="U2660" s="165"/>
      <c r="V2660" s="165"/>
      <c r="W2660" s="165"/>
      <c r="X2660" s="165"/>
    </row>
    <row r="2661" ht="18.75" customHeight="1">
      <c r="A2661" s="165">
        <v>2658.0</v>
      </c>
      <c r="B2661" s="165" t="s">
        <v>18095</v>
      </c>
      <c r="C2661" s="165"/>
      <c r="D2661" s="165"/>
      <c r="E2661" s="165"/>
      <c r="F2661" s="165"/>
      <c r="G2661" s="165"/>
      <c r="H2661" s="165"/>
      <c r="I2661" s="165"/>
      <c r="J2661" s="165"/>
      <c r="K2661" s="165"/>
      <c r="L2661" s="165"/>
      <c r="M2661" s="165"/>
      <c r="N2661" s="165"/>
      <c r="O2661" s="165"/>
      <c r="P2661" s="165"/>
      <c r="Q2661" s="165"/>
      <c r="R2661" s="165"/>
      <c r="S2661" s="165"/>
      <c r="T2661" s="165"/>
      <c r="U2661" s="165"/>
      <c r="V2661" s="165"/>
      <c r="W2661" s="165"/>
      <c r="X2661" s="165"/>
    </row>
    <row r="2662" ht="18.75" customHeight="1">
      <c r="A2662" s="165">
        <v>2659.0</v>
      </c>
      <c r="B2662" s="165" t="s">
        <v>18096</v>
      </c>
      <c r="C2662" s="165"/>
      <c r="D2662" s="165"/>
      <c r="E2662" s="165"/>
      <c r="F2662" s="165"/>
      <c r="G2662" s="165"/>
      <c r="H2662" s="165"/>
      <c r="I2662" s="165"/>
      <c r="J2662" s="165"/>
      <c r="K2662" s="165"/>
      <c r="L2662" s="165"/>
      <c r="M2662" s="165"/>
      <c r="N2662" s="165"/>
      <c r="O2662" s="165"/>
      <c r="P2662" s="165"/>
      <c r="Q2662" s="165"/>
      <c r="R2662" s="165"/>
      <c r="S2662" s="165"/>
      <c r="T2662" s="165"/>
      <c r="U2662" s="165"/>
      <c r="V2662" s="165"/>
      <c r="W2662" s="165"/>
      <c r="X2662" s="165"/>
    </row>
    <row r="2663" ht="18.75" customHeight="1">
      <c r="A2663" s="165">
        <v>2660.0</v>
      </c>
      <c r="B2663" s="165" t="s">
        <v>18097</v>
      </c>
      <c r="C2663" s="165"/>
      <c r="D2663" s="165"/>
      <c r="E2663" s="165"/>
      <c r="F2663" s="165"/>
      <c r="G2663" s="165"/>
      <c r="H2663" s="165"/>
      <c r="I2663" s="165"/>
      <c r="J2663" s="165"/>
      <c r="K2663" s="165"/>
      <c r="L2663" s="165"/>
      <c r="M2663" s="165"/>
      <c r="N2663" s="165"/>
      <c r="O2663" s="165"/>
      <c r="P2663" s="165"/>
      <c r="Q2663" s="165"/>
      <c r="R2663" s="165"/>
      <c r="S2663" s="165"/>
      <c r="T2663" s="165"/>
      <c r="U2663" s="165"/>
      <c r="V2663" s="165"/>
      <c r="W2663" s="165"/>
      <c r="X2663" s="165"/>
    </row>
    <row r="2664" ht="18.75" customHeight="1">
      <c r="A2664" s="165">
        <v>2661.0</v>
      </c>
      <c r="B2664" s="165" t="s">
        <v>18098</v>
      </c>
      <c r="C2664" s="165"/>
      <c r="D2664" s="165"/>
      <c r="E2664" s="165"/>
      <c r="F2664" s="165"/>
      <c r="G2664" s="165"/>
      <c r="H2664" s="165"/>
      <c r="I2664" s="165"/>
      <c r="J2664" s="165"/>
      <c r="K2664" s="165"/>
      <c r="L2664" s="165"/>
      <c r="M2664" s="165"/>
      <c r="N2664" s="165"/>
      <c r="O2664" s="165"/>
      <c r="P2664" s="165"/>
      <c r="Q2664" s="165"/>
      <c r="R2664" s="165"/>
      <c r="S2664" s="165"/>
      <c r="T2664" s="165"/>
      <c r="U2664" s="165"/>
      <c r="V2664" s="165"/>
      <c r="W2664" s="165"/>
      <c r="X2664" s="165"/>
    </row>
    <row r="2665" ht="18.75" customHeight="1">
      <c r="A2665" s="165">
        <v>2662.0</v>
      </c>
      <c r="B2665" s="165" t="s">
        <v>18099</v>
      </c>
      <c r="C2665" s="165"/>
      <c r="D2665" s="165"/>
      <c r="E2665" s="165"/>
      <c r="F2665" s="165"/>
      <c r="G2665" s="165"/>
      <c r="H2665" s="165"/>
      <c r="I2665" s="165"/>
      <c r="J2665" s="165"/>
      <c r="K2665" s="165"/>
      <c r="L2665" s="165"/>
      <c r="M2665" s="165"/>
      <c r="N2665" s="165"/>
      <c r="O2665" s="165"/>
      <c r="P2665" s="165"/>
      <c r="Q2665" s="165"/>
      <c r="R2665" s="165"/>
      <c r="S2665" s="165"/>
      <c r="T2665" s="165"/>
      <c r="U2665" s="165"/>
      <c r="V2665" s="165"/>
      <c r="W2665" s="165"/>
      <c r="X2665" s="165"/>
    </row>
    <row r="2666" ht="18.75" customHeight="1">
      <c r="A2666" s="165">
        <v>2663.0</v>
      </c>
      <c r="B2666" s="165" t="s">
        <v>18100</v>
      </c>
      <c r="C2666" s="165"/>
      <c r="D2666" s="165"/>
      <c r="E2666" s="165"/>
      <c r="F2666" s="165"/>
      <c r="G2666" s="165"/>
      <c r="H2666" s="165"/>
      <c r="I2666" s="165"/>
      <c r="J2666" s="165"/>
      <c r="K2666" s="165"/>
      <c r="L2666" s="165"/>
      <c r="M2666" s="165"/>
      <c r="N2666" s="165"/>
      <c r="O2666" s="165"/>
      <c r="P2666" s="165"/>
      <c r="Q2666" s="165"/>
      <c r="R2666" s="165"/>
      <c r="S2666" s="165"/>
      <c r="T2666" s="165"/>
      <c r="U2666" s="165"/>
      <c r="V2666" s="165"/>
      <c r="W2666" s="165"/>
      <c r="X2666" s="165"/>
    </row>
    <row r="2667" ht="18.75" customHeight="1">
      <c r="A2667" s="165">
        <v>2664.0</v>
      </c>
      <c r="B2667" s="165" t="s">
        <v>18101</v>
      </c>
      <c r="C2667" s="165"/>
      <c r="D2667" s="165"/>
      <c r="E2667" s="165"/>
      <c r="F2667" s="165"/>
      <c r="G2667" s="165"/>
      <c r="H2667" s="165"/>
      <c r="I2667" s="165"/>
      <c r="J2667" s="165"/>
      <c r="K2667" s="165"/>
      <c r="L2667" s="165"/>
      <c r="M2667" s="165"/>
      <c r="N2667" s="165"/>
      <c r="O2667" s="165"/>
      <c r="P2667" s="165"/>
      <c r="Q2667" s="165"/>
      <c r="R2667" s="165"/>
      <c r="S2667" s="165"/>
      <c r="T2667" s="165"/>
      <c r="U2667" s="165"/>
      <c r="V2667" s="165"/>
      <c r="W2667" s="165"/>
      <c r="X2667" s="165"/>
    </row>
    <row r="2668" ht="18.75" customHeight="1">
      <c r="A2668" s="165">
        <v>2665.0</v>
      </c>
      <c r="B2668" s="165" t="s">
        <v>18102</v>
      </c>
      <c r="C2668" s="165"/>
      <c r="D2668" s="165"/>
      <c r="E2668" s="165"/>
      <c r="F2668" s="165"/>
      <c r="G2668" s="165"/>
      <c r="H2668" s="165"/>
      <c r="I2668" s="165"/>
      <c r="J2668" s="165"/>
      <c r="K2668" s="165"/>
      <c r="L2668" s="165"/>
      <c r="M2668" s="165"/>
      <c r="N2668" s="165"/>
      <c r="O2668" s="165"/>
      <c r="P2668" s="165"/>
      <c r="Q2668" s="165"/>
      <c r="R2668" s="165"/>
      <c r="S2668" s="165"/>
      <c r="T2668" s="165"/>
      <c r="U2668" s="165"/>
      <c r="V2668" s="165"/>
      <c r="W2668" s="165"/>
      <c r="X2668" s="165"/>
    </row>
    <row r="2669" ht="18.75" customHeight="1">
      <c r="A2669" s="165">
        <v>2666.0</v>
      </c>
      <c r="B2669" s="165" t="s">
        <v>18103</v>
      </c>
      <c r="C2669" s="165"/>
      <c r="D2669" s="165"/>
      <c r="E2669" s="165"/>
      <c r="F2669" s="165"/>
      <c r="G2669" s="165"/>
      <c r="H2669" s="165"/>
      <c r="I2669" s="165"/>
      <c r="J2669" s="165"/>
      <c r="K2669" s="165"/>
      <c r="L2669" s="165"/>
      <c r="M2669" s="165"/>
      <c r="N2669" s="165"/>
      <c r="O2669" s="165"/>
      <c r="P2669" s="165"/>
      <c r="Q2669" s="165"/>
      <c r="R2669" s="165"/>
      <c r="S2669" s="165"/>
      <c r="T2669" s="165"/>
      <c r="U2669" s="165"/>
      <c r="V2669" s="165"/>
      <c r="W2669" s="165"/>
      <c r="X2669" s="165"/>
    </row>
    <row r="2670" ht="18.75" customHeight="1">
      <c r="A2670" s="165">
        <v>2667.0</v>
      </c>
      <c r="B2670" s="165" t="s">
        <v>18104</v>
      </c>
      <c r="C2670" s="165"/>
      <c r="D2670" s="165"/>
      <c r="E2670" s="165"/>
      <c r="F2670" s="165"/>
      <c r="G2670" s="165"/>
      <c r="H2670" s="165"/>
      <c r="I2670" s="165"/>
      <c r="J2670" s="165"/>
      <c r="K2670" s="165"/>
      <c r="L2670" s="165"/>
      <c r="M2670" s="165"/>
      <c r="N2670" s="165"/>
      <c r="O2670" s="165"/>
      <c r="P2670" s="165"/>
      <c r="Q2670" s="165"/>
      <c r="R2670" s="165"/>
      <c r="S2670" s="165"/>
      <c r="T2670" s="165"/>
      <c r="U2670" s="165"/>
      <c r="V2670" s="165"/>
      <c r="W2670" s="165"/>
      <c r="X2670" s="165"/>
    </row>
    <row r="2671" ht="18.75" customHeight="1">
      <c r="A2671" s="165">
        <v>2668.0</v>
      </c>
      <c r="B2671" s="165" t="s">
        <v>18105</v>
      </c>
      <c r="C2671" s="165"/>
      <c r="D2671" s="165"/>
      <c r="E2671" s="165"/>
      <c r="F2671" s="165"/>
      <c r="G2671" s="165"/>
      <c r="H2671" s="165"/>
      <c r="I2671" s="165"/>
      <c r="J2671" s="165"/>
      <c r="K2671" s="165"/>
      <c r="L2671" s="165"/>
      <c r="M2671" s="165"/>
      <c r="N2671" s="165"/>
      <c r="O2671" s="165"/>
      <c r="P2671" s="165"/>
      <c r="Q2671" s="165"/>
      <c r="R2671" s="165"/>
      <c r="S2671" s="165"/>
      <c r="T2671" s="165"/>
      <c r="U2671" s="165"/>
      <c r="V2671" s="165"/>
      <c r="W2671" s="165"/>
      <c r="X2671" s="165"/>
    </row>
    <row r="2672" ht="18.75" customHeight="1">
      <c r="A2672" s="165">
        <v>2669.0</v>
      </c>
      <c r="B2672" s="167" t="s">
        <v>18106</v>
      </c>
      <c r="C2672" s="165"/>
      <c r="D2672" s="165"/>
      <c r="E2672" s="165"/>
      <c r="F2672" s="165"/>
      <c r="G2672" s="165"/>
      <c r="H2672" s="165"/>
      <c r="I2672" s="165"/>
      <c r="J2672" s="165"/>
      <c r="K2672" s="165"/>
      <c r="L2672" s="165"/>
      <c r="M2672" s="165"/>
      <c r="N2672" s="165"/>
      <c r="O2672" s="165"/>
      <c r="P2672" s="165"/>
      <c r="Q2672" s="165"/>
      <c r="R2672" s="165"/>
      <c r="S2672" s="165"/>
      <c r="T2672" s="165"/>
      <c r="U2672" s="165"/>
      <c r="V2672" s="165"/>
      <c r="W2672" s="165"/>
      <c r="X2672" s="165"/>
    </row>
    <row r="2673" ht="18.75" customHeight="1">
      <c r="A2673" s="165">
        <v>2670.0</v>
      </c>
      <c r="B2673" s="165" t="s">
        <v>18107</v>
      </c>
      <c r="C2673" s="165"/>
      <c r="D2673" s="165"/>
      <c r="E2673" s="165"/>
      <c r="F2673" s="165"/>
      <c r="G2673" s="165"/>
      <c r="H2673" s="165"/>
      <c r="I2673" s="165"/>
      <c r="J2673" s="165"/>
      <c r="K2673" s="165"/>
      <c r="L2673" s="165"/>
      <c r="M2673" s="165"/>
      <c r="N2673" s="165"/>
      <c r="O2673" s="165"/>
      <c r="P2673" s="165"/>
      <c r="Q2673" s="165"/>
      <c r="R2673" s="165"/>
      <c r="S2673" s="165"/>
      <c r="T2673" s="165"/>
      <c r="U2673" s="165"/>
      <c r="V2673" s="165"/>
      <c r="W2673" s="165"/>
      <c r="X2673" s="165"/>
    </row>
    <row r="2674" ht="18.75" customHeight="1">
      <c r="A2674" s="165">
        <v>2671.0</v>
      </c>
      <c r="B2674" s="165" t="s">
        <v>18108</v>
      </c>
      <c r="C2674" s="165"/>
      <c r="D2674" s="165"/>
      <c r="E2674" s="165"/>
      <c r="F2674" s="165"/>
      <c r="G2674" s="165"/>
      <c r="H2674" s="165"/>
      <c r="I2674" s="165"/>
      <c r="J2674" s="165"/>
      <c r="K2674" s="165"/>
      <c r="L2674" s="165"/>
      <c r="M2674" s="165"/>
      <c r="N2674" s="165"/>
      <c r="O2674" s="165"/>
      <c r="P2674" s="165"/>
      <c r="Q2674" s="165"/>
      <c r="R2674" s="165"/>
      <c r="S2674" s="165"/>
      <c r="T2674" s="165"/>
      <c r="U2674" s="165"/>
      <c r="V2674" s="165"/>
      <c r="W2674" s="165"/>
      <c r="X2674" s="165"/>
    </row>
    <row r="2675" ht="18.75" customHeight="1">
      <c r="A2675" s="165">
        <v>2672.0</v>
      </c>
      <c r="B2675" s="165" t="s">
        <v>18109</v>
      </c>
      <c r="C2675" s="165"/>
      <c r="D2675" s="165"/>
      <c r="E2675" s="165"/>
      <c r="F2675" s="165"/>
      <c r="G2675" s="165"/>
      <c r="H2675" s="165"/>
      <c r="I2675" s="165"/>
      <c r="J2675" s="165"/>
      <c r="K2675" s="165"/>
      <c r="L2675" s="165"/>
      <c r="M2675" s="165"/>
      <c r="N2675" s="165"/>
      <c r="O2675" s="165"/>
      <c r="P2675" s="165"/>
      <c r="Q2675" s="165"/>
      <c r="R2675" s="165"/>
      <c r="S2675" s="165"/>
      <c r="T2675" s="165"/>
      <c r="U2675" s="165"/>
      <c r="V2675" s="165"/>
      <c r="W2675" s="165"/>
      <c r="X2675" s="165"/>
    </row>
    <row r="2676" ht="18.75" customHeight="1">
      <c r="A2676" s="165">
        <v>2673.0</v>
      </c>
      <c r="B2676" s="165" t="s">
        <v>18110</v>
      </c>
      <c r="C2676" s="165"/>
      <c r="D2676" s="165"/>
      <c r="E2676" s="165"/>
      <c r="F2676" s="165"/>
      <c r="G2676" s="165"/>
      <c r="H2676" s="165"/>
      <c r="I2676" s="165"/>
      <c r="J2676" s="165"/>
      <c r="K2676" s="165"/>
      <c r="L2676" s="165"/>
      <c r="M2676" s="165"/>
      <c r="N2676" s="165"/>
      <c r="O2676" s="165"/>
      <c r="P2676" s="165"/>
      <c r="Q2676" s="165"/>
      <c r="R2676" s="165"/>
      <c r="S2676" s="165"/>
      <c r="T2676" s="165"/>
      <c r="U2676" s="165"/>
      <c r="V2676" s="165"/>
      <c r="W2676" s="165"/>
      <c r="X2676" s="165"/>
    </row>
    <row r="2677" ht="18.75" customHeight="1">
      <c r="A2677" s="165">
        <v>2674.0</v>
      </c>
      <c r="B2677" s="165" t="s">
        <v>18111</v>
      </c>
      <c r="C2677" s="165"/>
      <c r="D2677" s="165"/>
      <c r="E2677" s="165"/>
      <c r="F2677" s="165"/>
      <c r="G2677" s="165"/>
      <c r="H2677" s="165"/>
      <c r="I2677" s="165"/>
      <c r="J2677" s="165"/>
      <c r="K2677" s="165"/>
      <c r="L2677" s="165"/>
      <c r="M2677" s="165"/>
      <c r="N2677" s="165"/>
      <c r="O2677" s="165"/>
      <c r="P2677" s="165"/>
      <c r="Q2677" s="165"/>
      <c r="R2677" s="165"/>
      <c r="S2677" s="165"/>
      <c r="T2677" s="165"/>
      <c r="U2677" s="165"/>
      <c r="V2677" s="165"/>
      <c r="W2677" s="165"/>
      <c r="X2677" s="165"/>
    </row>
    <row r="2678" ht="18.75" customHeight="1">
      <c r="A2678" s="165">
        <v>2675.0</v>
      </c>
      <c r="B2678" s="165" t="s">
        <v>18112</v>
      </c>
      <c r="C2678" s="165"/>
      <c r="D2678" s="165"/>
      <c r="E2678" s="165"/>
      <c r="F2678" s="165"/>
      <c r="G2678" s="165"/>
      <c r="H2678" s="165"/>
      <c r="I2678" s="165"/>
      <c r="J2678" s="165"/>
      <c r="K2678" s="165"/>
      <c r="L2678" s="165"/>
      <c r="M2678" s="165"/>
      <c r="N2678" s="165"/>
      <c r="O2678" s="165"/>
      <c r="P2678" s="165"/>
      <c r="Q2678" s="165"/>
      <c r="R2678" s="165"/>
      <c r="S2678" s="165"/>
      <c r="T2678" s="165"/>
      <c r="U2678" s="165"/>
      <c r="V2678" s="165"/>
      <c r="W2678" s="165"/>
      <c r="X2678" s="165"/>
    </row>
    <row r="2679" ht="18.75" customHeight="1">
      <c r="A2679" s="165">
        <v>2676.0</v>
      </c>
      <c r="B2679" s="165" t="s">
        <v>18113</v>
      </c>
      <c r="C2679" s="165"/>
      <c r="D2679" s="165"/>
      <c r="E2679" s="165"/>
      <c r="F2679" s="165"/>
      <c r="G2679" s="165"/>
      <c r="H2679" s="165"/>
      <c r="I2679" s="165"/>
      <c r="J2679" s="165"/>
      <c r="K2679" s="165"/>
      <c r="L2679" s="165"/>
      <c r="M2679" s="165"/>
      <c r="N2679" s="165"/>
      <c r="O2679" s="165"/>
      <c r="P2679" s="165"/>
      <c r="Q2679" s="165"/>
      <c r="R2679" s="165"/>
      <c r="S2679" s="165"/>
      <c r="T2679" s="165"/>
      <c r="U2679" s="165"/>
      <c r="V2679" s="165"/>
      <c r="W2679" s="165"/>
      <c r="X2679" s="165"/>
    </row>
    <row r="2680" ht="18.75" customHeight="1">
      <c r="A2680" s="165">
        <v>2677.0</v>
      </c>
      <c r="B2680" s="165" t="s">
        <v>18114</v>
      </c>
      <c r="C2680" s="165"/>
      <c r="D2680" s="165"/>
      <c r="E2680" s="165"/>
      <c r="F2680" s="165"/>
      <c r="G2680" s="165"/>
      <c r="H2680" s="165"/>
      <c r="I2680" s="165"/>
      <c r="J2680" s="165"/>
      <c r="K2680" s="165"/>
      <c r="L2680" s="165"/>
      <c r="M2680" s="165"/>
      <c r="N2680" s="165"/>
      <c r="O2680" s="165"/>
      <c r="P2680" s="165"/>
      <c r="Q2680" s="165"/>
      <c r="R2680" s="165"/>
      <c r="S2680" s="165"/>
      <c r="T2680" s="165"/>
      <c r="U2680" s="165"/>
      <c r="V2680" s="165"/>
      <c r="W2680" s="165"/>
      <c r="X2680" s="165"/>
    </row>
    <row r="2681" ht="18.75" customHeight="1">
      <c r="A2681" s="165">
        <v>2678.0</v>
      </c>
      <c r="B2681" s="165" t="s">
        <v>18115</v>
      </c>
      <c r="C2681" s="165"/>
      <c r="D2681" s="165"/>
      <c r="E2681" s="165"/>
      <c r="F2681" s="165"/>
      <c r="G2681" s="165"/>
      <c r="H2681" s="165"/>
      <c r="I2681" s="165"/>
      <c r="J2681" s="165"/>
      <c r="K2681" s="165"/>
      <c r="L2681" s="165"/>
      <c r="M2681" s="165"/>
      <c r="N2681" s="165"/>
      <c r="O2681" s="165"/>
      <c r="P2681" s="165"/>
      <c r="Q2681" s="165"/>
      <c r="R2681" s="165"/>
      <c r="S2681" s="165"/>
      <c r="T2681" s="165"/>
      <c r="U2681" s="165"/>
      <c r="V2681" s="165"/>
      <c r="W2681" s="165"/>
      <c r="X2681" s="165"/>
    </row>
    <row r="2682" ht="18.75" customHeight="1">
      <c r="A2682" s="165">
        <v>2679.0</v>
      </c>
      <c r="B2682" s="165" t="s">
        <v>18116</v>
      </c>
      <c r="C2682" s="165"/>
      <c r="D2682" s="165"/>
      <c r="E2682" s="165"/>
      <c r="F2682" s="165"/>
      <c r="G2682" s="165"/>
      <c r="H2682" s="165"/>
      <c r="I2682" s="165"/>
      <c r="J2682" s="165"/>
      <c r="K2682" s="165"/>
      <c r="L2682" s="165"/>
      <c r="M2682" s="165"/>
      <c r="N2682" s="165"/>
      <c r="O2682" s="165"/>
      <c r="P2682" s="165"/>
      <c r="Q2682" s="165"/>
      <c r="R2682" s="165"/>
      <c r="S2682" s="165"/>
      <c r="T2682" s="165"/>
      <c r="U2682" s="165"/>
      <c r="V2682" s="165"/>
      <c r="W2682" s="165"/>
      <c r="X2682" s="165"/>
    </row>
    <row r="2683" ht="18.75" customHeight="1">
      <c r="A2683" s="165">
        <v>2680.0</v>
      </c>
      <c r="B2683" s="165" t="s">
        <v>18117</v>
      </c>
      <c r="C2683" s="165"/>
      <c r="D2683" s="165"/>
      <c r="E2683" s="165"/>
      <c r="F2683" s="165"/>
      <c r="G2683" s="165"/>
      <c r="H2683" s="165"/>
      <c r="I2683" s="165"/>
      <c r="J2683" s="165"/>
      <c r="K2683" s="165"/>
      <c r="L2683" s="165"/>
      <c r="M2683" s="165"/>
      <c r="N2683" s="165"/>
      <c r="O2683" s="165"/>
      <c r="P2683" s="165"/>
      <c r="Q2683" s="165"/>
      <c r="R2683" s="165"/>
      <c r="S2683" s="165"/>
      <c r="T2683" s="165"/>
      <c r="U2683" s="165"/>
      <c r="V2683" s="165"/>
      <c r="W2683" s="165"/>
      <c r="X2683" s="165"/>
    </row>
    <row r="2684" ht="18.75" customHeight="1">
      <c r="A2684" s="165">
        <v>2681.0</v>
      </c>
      <c r="B2684" s="165" t="s">
        <v>18118</v>
      </c>
      <c r="C2684" s="165"/>
      <c r="D2684" s="165"/>
      <c r="E2684" s="165"/>
      <c r="F2684" s="165"/>
      <c r="G2684" s="165"/>
      <c r="H2684" s="165"/>
      <c r="I2684" s="165"/>
      <c r="J2684" s="165"/>
      <c r="K2684" s="165"/>
      <c r="L2684" s="165"/>
      <c r="M2684" s="165"/>
      <c r="N2684" s="165"/>
      <c r="O2684" s="165"/>
      <c r="P2684" s="165"/>
      <c r="Q2684" s="165"/>
      <c r="R2684" s="165"/>
      <c r="S2684" s="165"/>
      <c r="T2684" s="165"/>
      <c r="U2684" s="165"/>
      <c r="V2684" s="165"/>
      <c r="W2684" s="165"/>
      <c r="X2684" s="165"/>
    </row>
    <row r="2685" ht="18.75" customHeight="1">
      <c r="A2685" s="165">
        <v>2682.0</v>
      </c>
      <c r="B2685" s="167" t="s">
        <v>18119</v>
      </c>
      <c r="C2685" s="165"/>
      <c r="D2685" s="165"/>
      <c r="E2685" s="165"/>
      <c r="F2685" s="165"/>
      <c r="G2685" s="165"/>
      <c r="H2685" s="165"/>
      <c r="I2685" s="165"/>
      <c r="J2685" s="165"/>
      <c r="K2685" s="165"/>
      <c r="L2685" s="165"/>
      <c r="M2685" s="165"/>
      <c r="N2685" s="165"/>
      <c r="O2685" s="165"/>
      <c r="P2685" s="165"/>
      <c r="Q2685" s="165"/>
      <c r="R2685" s="165"/>
      <c r="S2685" s="165"/>
      <c r="T2685" s="165"/>
      <c r="U2685" s="165"/>
      <c r="V2685" s="165"/>
      <c r="W2685" s="165"/>
      <c r="X2685" s="165"/>
    </row>
    <row r="2686" ht="18.75" customHeight="1">
      <c r="A2686" s="165">
        <v>2683.0</v>
      </c>
      <c r="B2686" s="167" t="s">
        <v>18120</v>
      </c>
      <c r="C2686" s="165"/>
      <c r="D2686" s="165"/>
      <c r="E2686" s="165"/>
      <c r="F2686" s="165"/>
      <c r="G2686" s="165"/>
      <c r="H2686" s="165"/>
      <c r="I2686" s="165"/>
      <c r="J2686" s="165"/>
      <c r="K2686" s="165"/>
      <c r="L2686" s="165"/>
      <c r="M2686" s="165"/>
      <c r="N2686" s="165"/>
      <c r="O2686" s="165"/>
      <c r="P2686" s="165"/>
      <c r="Q2686" s="165"/>
      <c r="R2686" s="165"/>
      <c r="S2686" s="165"/>
      <c r="T2686" s="165"/>
      <c r="U2686" s="165"/>
      <c r="V2686" s="165"/>
      <c r="W2686" s="165"/>
      <c r="X2686" s="165"/>
    </row>
    <row r="2687" ht="18.75" customHeight="1">
      <c r="A2687" s="165">
        <v>2684.0</v>
      </c>
      <c r="B2687" s="167" t="s">
        <v>18121</v>
      </c>
      <c r="C2687" s="165"/>
      <c r="D2687" s="165"/>
      <c r="E2687" s="165"/>
      <c r="F2687" s="165"/>
      <c r="G2687" s="165"/>
      <c r="H2687" s="165"/>
      <c r="I2687" s="165"/>
      <c r="J2687" s="165"/>
      <c r="K2687" s="165"/>
      <c r="L2687" s="165"/>
      <c r="M2687" s="165"/>
      <c r="N2687" s="165"/>
      <c r="O2687" s="165"/>
      <c r="P2687" s="165"/>
      <c r="Q2687" s="165"/>
      <c r="R2687" s="165"/>
      <c r="S2687" s="165"/>
      <c r="T2687" s="165"/>
      <c r="U2687" s="165"/>
      <c r="V2687" s="165"/>
      <c r="W2687" s="165"/>
      <c r="X2687" s="165"/>
    </row>
    <row r="2688" ht="18.75" customHeight="1">
      <c r="A2688" s="165">
        <v>2685.0</v>
      </c>
      <c r="B2688" s="167" t="s">
        <v>18122</v>
      </c>
      <c r="C2688" s="165"/>
      <c r="D2688" s="165"/>
      <c r="E2688" s="165"/>
      <c r="F2688" s="165"/>
      <c r="G2688" s="165"/>
      <c r="H2688" s="165"/>
      <c r="I2688" s="165"/>
      <c r="J2688" s="165"/>
      <c r="K2688" s="165"/>
      <c r="L2688" s="165"/>
      <c r="M2688" s="165"/>
      <c r="N2688" s="165"/>
      <c r="O2688" s="165"/>
      <c r="P2688" s="165"/>
      <c r="Q2688" s="165"/>
      <c r="R2688" s="165"/>
      <c r="S2688" s="165"/>
      <c r="T2688" s="165"/>
      <c r="U2688" s="165"/>
      <c r="V2688" s="165"/>
      <c r="W2688" s="165"/>
      <c r="X2688" s="165"/>
    </row>
    <row r="2689" ht="18.75" customHeight="1">
      <c r="A2689" s="165">
        <v>2686.0</v>
      </c>
      <c r="B2689" s="167" t="s">
        <v>17503</v>
      </c>
      <c r="C2689" s="165"/>
      <c r="D2689" s="165"/>
      <c r="E2689" s="165"/>
      <c r="F2689" s="165"/>
      <c r="G2689" s="165"/>
      <c r="H2689" s="165"/>
      <c r="I2689" s="165"/>
      <c r="J2689" s="165"/>
      <c r="K2689" s="165"/>
      <c r="L2689" s="165"/>
      <c r="M2689" s="165"/>
      <c r="N2689" s="165"/>
      <c r="O2689" s="165"/>
      <c r="P2689" s="165"/>
      <c r="Q2689" s="165"/>
      <c r="R2689" s="165"/>
      <c r="S2689" s="165"/>
      <c r="T2689" s="165"/>
      <c r="U2689" s="165"/>
      <c r="V2689" s="165"/>
      <c r="W2689" s="165"/>
      <c r="X2689" s="165"/>
    </row>
    <row r="2690" ht="18.75" customHeight="1">
      <c r="A2690" s="165">
        <v>2687.0</v>
      </c>
      <c r="B2690" s="167" t="s">
        <v>18123</v>
      </c>
      <c r="C2690" s="165"/>
      <c r="D2690" s="165"/>
      <c r="E2690" s="165"/>
      <c r="F2690" s="165"/>
      <c r="G2690" s="165"/>
      <c r="H2690" s="165"/>
      <c r="I2690" s="165"/>
      <c r="J2690" s="165"/>
      <c r="K2690" s="165"/>
      <c r="L2690" s="165"/>
      <c r="M2690" s="165"/>
      <c r="N2690" s="165"/>
      <c r="O2690" s="165"/>
      <c r="P2690" s="165"/>
      <c r="Q2690" s="165"/>
      <c r="R2690" s="165"/>
      <c r="S2690" s="165"/>
      <c r="T2690" s="165"/>
      <c r="U2690" s="165"/>
      <c r="V2690" s="165"/>
      <c r="W2690" s="165"/>
      <c r="X2690" s="165"/>
    </row>
    <row r="2691" ht="18.75" customHeight="1">
      <c r="A2691" s="165">
        <v>2688.0</v>
      </c>
      <c r="B2691" s="167" t="s">
        <v>18124</v>
      </c>
      <c r="C2691" s="165"/>
      <c r="D2691" s="165"/>
      <c r="E2691" s="165"/>
      <c r="F2691" s="165"/>
      <c r="G2691" s="165"/>
      <c r="H2691" s="165"/>
      <c r="I2691" s="165"/>
      <c r="J2691" s="165"/>
      <c r="K2691" s="165"/>
      <c r="L2691" s="165"/>
      <c r="M2691" s="165"/>
      <c r="N2691" s="165"/>
      <c r="O2691" s="165"/>
      <c r="P2691" s="165"/>
      <c r="Q2691" s="165"/>
      <c r="R2691" s="165"/>
      <c r="S2691" s="165"/>
      <c r="T2691" s="165"/>
      <c r="U2691" s="165"/>
      <c r="V2691" s="165"/>
      <c r="W2691" s="165"/>
      <c r="X2691" s="165"/>
    </row>
    <row r="2692" ht="18.75" customHeight="1">
      <c r="A2692" s="165">
        <v>2689.0</v>
      </c>
      <c r="B2692" s="165" t="s">
        <v>18125</v>
      </c>
      <c r="C2692" s="165"/>
      <c r="D2692" s="165"/>
      <c r="E2692" s="165"/>
      <c r="F2692" s="165"/>
      <c r="G2692" s="165"/>
      <c r="H2692" s="165"/>
      <c r="I2692" s="165"/>
      <c r="J2692" s="165"/>
      <c r="K2692" s="165"/>
      <c r="L2692" s="165"/>
      <c r="M2692" s="165"/>
      <c r="N2692" s="165"/>
      <c r="O2692" s="165"/>
      <c r="P2692" s="165"/>
      <c r="Q2692" s="165"/>
      <c r="R2692" s="165"/>
      <c r="S2692" s="165"/>
      <c r="T2692" s="165"/>
      <c r="U2692" s="165"/>
      <c r="V2692" s="165"/>
      <c r="W2692" s="165"/>
      <c r="X2692" s="165"/>
    </row>
    <row r="2693" ht="18.75" customHeight="1">
      <c r="A2693" s="165">
        <v>2690.0</v>
      </c>
      <c r="B2693" s="167" t="s">
        <v>18126</v>
      </c>
      <c r="C2693" s="165"/>
      <c r="D2693" s="165"/>
      <c r="E2693" s="165"/>
      <c r="F2693" s="165"/>
      <c r="G2693" s="165"/>
      <c r="H2693" s="165"/>
      <c r="I2693" s="165"/>
      <c r="J2693" s="165"/>
      <c r="K2693" s="165"/>
      <c r="L2693" s="165"/>
      <c r="M2693" s="165"/>
      <c r="N2693" s="165"/>
      <c r="O2693" s="165"/>
      <c r="P2693" s="165"/>
      <c r="Q2693" s="165"/>
      <c r="R2693" s="165"/>
      <c r="S2693" s="165"/>
      <c r="T2693" s="165"/>
      <c r="U2693" s="165"/>
      <c r="V2693" s="165"/>
      <c r="W2693" s="165"/>
      <c r="X2693" s="165"/>
    </row>
    <row r="2694" ht="18.75" customHeight="1">
      <c r="A2694" s="165">
        <v>2691.0</v>
      </c>
      <c r="B2694" s="167" t="s">
        <v>18127</v>
      </c>
      <c r="C2694" s="165"/>
      <c r="D2694" s="165"/>
      <c r="E2694" s="165"/>
      <c r="F2694" s="165"/>
      <c r="G2694" s="165"/>
      <c r="H2694" s="165"/>
      <c r="I2694" s="165"/>
      <c r="J2694" s="165"/>
      <c r="K2694" s="165"/>
      <c r="L2694" s="165"/>
      <c r="M2694" s="165"/>
      <c r="N2694" s="165"/>
      <c r="O2694" s="165"/>
      <c r="P2694" s="165"/>
      <c r="Q2694" s="165"/>
      <c r="R2694" s="165"/>
      <c r="S2694" s="165"/>
      <c r="T2694" s="165"/>
      <c r="U2694" s="165"/>
      <c r="V2694" s="165"/>
      <c r="W2694" s="165"/>
      <c r="X2694" s="165"/>
    </row>
    <row r="2695" ht="18.75" customHeight="1">
      <c r="A2695" s="165">
        <v>2692.0</v>
      </c>
      <c r="B2695" s="167" t="s">
        <v>18128</v>
      </c>
      <c r="C2695" s="165"/>
      <c r="D2695" s="165"/>
      <c r="E2695" s="165"/>
      <c r="F2695" s="165"/>
      <c r="G2695" s="165"/>
      <c r="H2695" s="165"/>
      <c r="I2695" s="165"/>
      <c r="J2695" s="165"/>
      <c r="K2695" s="165"/>
      <c r="L2695" s="165"/>
      <c r="M2695" s="165"/>
      <c r="N2695" s="165"/>
      <c r="O2695" s="165"/>
      <c r="P2695" s="165"/>
      <c r="Q2695" s="165"/>
      <c r="R2695" s="165"/>
      <c r="S2695" s="165"/>
      <c r="T2695" s="165"/>
      <c r="U2695" s="165"/>
      <c r="V2695" s="165"/>
      <c r="W2695" s="165"/>
      <c r="X2695" s="165"/>
    </row>
    <row r="2696" ht="18.75" customHeight="1">
      <c r="A2696" s="165">
        <v>2693.0</v>
      </c>
      <c r="B2696" s="167" t="s">
        <v>18129</v>
      </c>
      <c r="C2696" s="165"/>
      <c r="D2696" s="165"/>
      <c r="E2696" s="165"/>
      <c r="F2696" s="165"/>
      <c r="G2696" s="165"/>
      <c r="H2696" s="165"/>
      <c r="I2696" s="165"/>
      <c r="J2696" s="165"/>
      <c r="K2696" s="165"/>
      <c r="L2696" s="165"/>
      <c r="M2696" s="165"/>
      <c r="N2696" s="165"/>
      <c r="O2696" s="165"/>
      <c r="P2696" s="165"/>
      <c r="Q2696" s="165"/>
      <c r="R2696" s="165"/>
      <c r="S2696" s="165"/>
      <c r="T2696" s="165"/>
      <c r="U2696" s="165"/>
      <c r="V2696" s="165"/>
      <c r="W2696" s="165"/>
      <c r="X2696" s="165"/>
    </row>
    <row r="2697" ht="18.75" customHeight="1">
      <c r="A2697" s="165">
        <v>2694.0</v>
      </c>
      <c r="B2697" s="167" t="s">
        <v>18130</v>
      </c>
      <c r="C2697" s="165"/>
      <c r="D2697" s="165"/>
      <c r="E2697" s="165"/>
      <c r="F2697" s="165"/>
      <c r="G2697" s="165"/>
      <c r="H2697" s="165"/>
      <c r="I2697" s="165"/>
      <c r="J2697" s="165"/>
      <c r="K2697" s="165"/>
      <c r="L2697" s="165"/>
      <c r="M2697" s="165"/>
      <c r="N2697" s="165"/>
      <c r="O2697" s="165"/>
      <c r="P2697" s="165"/>
      <c r="Q2697" s="165"/>
      <c r="R2697" s="165"/>
      <c r="S2697" s="165"/>
      <c r="T2697" s="165"/>
      <c r="U2697" s="165"/>
      <c r="V2697" s="165"/>
      <c r="W2697" s="165"/>
      <c r="X2697" s="165"/>
    </row>
    <row r="2698" ht="18.75" customHeight="1">
      <c r="A2698" s="165">
        <v>2695.0</v>
      </c>
      <c r="B2698" s="167" t="s">
        <v>18131</v>
      </c>
      <c r="C2698" s="165"/>
      <c r="D2698" s="165"/>
      <c r="E2698" s="165"/>
      <c r="F2698" s="165"/>
      <c r="G2698" s="165"/>
      <c r="H2698" s="165"/>
      <c r="I2698" s="165"/>
      <c r="J2698" s="165"/>
      <c r="K2698" s="165"/>
      <c r="L2698" s="165"/>
      <c r="M2698" s="165"/>
      <c r="N2698" s="165"/>
      <c r="O2698" s="165"/>
      <c r="P2698" s="165"/>
      <c r="Q2698" s="165"/>
      <c r="R2698" s="165"/>
      <c r="S2698" s="165"/>
      <c r="T2698" s="165"/>
      <c r="U2698" s="165"/>
      <c r="V2698" s="165"/>
      <c r="W2698" s="165"/>
      <c r="X2698" s="165"/>
    </row>
    <row r="2699" ht="18.75" customHeight="1">
      <c r="A2699" s="165">
        <v>2696.0</v>
      </c>
      <c r="B2699" s="167" t="s">
        <v>18132</v>
      </c>
      <c r="C2699" s="165"/>
      <c r="D2699" s="165"/>
      <c r="E2699" s="165"/>
      <c r="F2699" s="165"/>
      <c r="G2699" s="165"/>
      <c r="H2699" s="165"/>
      <c r="I2699" s="165"/>
      <c r="J2699" s="165"/>
      <c r="K2699" s="165"/>
      <c r="L2699" s="165"/>
      <c r="M2699" s="165"/>
      <c r="N2699" s="165"/>
      <c r="O2699" s="165"/>
      <c r="P2699" s="165"/>
      <c r="Q2699" s="165"/>
      <c r="R2699" s="165"/>
      <c r="S2699" s="165"/>
      <c r="T2699" s="165"/>
      <c r="U2699" s="165"/>
      <c r="V2699" s="165"/>
      <c r="W2699" s="165"/>
      <c r="X2699" s="165"/>
    </row>
    <row r="2700" ht="18.75" customHeight="1">
      <c r="A2700" s="165">
        <v>2697.0</v>
      </c>
      <c r="B2700" s="167" t="s">
        <v>18133</v>
      </c>
      <c r="C2700" s="165"/>
      <c r="D2700" s="165"/>
      <c r="E2700" s="165"/>
      <c r="F2700" s="165"/>
      <c r="G2700" s="165"/>
      <c r="H2700" s="165"/>
      <c r="I2700" s="165"/>
      <c r="J2700" s="165"/>
      <c r="K2700" s="165"/>
      <c r="L2700" s="165"/>
      <c r="M2700" s="165"/>
      <c r="N2700" s="165"/>
      <c r="O2700" s="165"/>
      <c r="P2700" s="165"/>
      <c r="Q2700" s="165"/>
      <c r="R2700" s="165"/>
      <c r="S2700" s="165"/>
      <c r="T2700" s="165"/>
      <c r="U2700" s="165"/>
      <c r="V2700" s="165"/>
      <c r="W2700" s="165"/>
      <c r="X2700" s="165"/>
    </row>
    <row r="2701" ht="18.75" customHeight="1">
      <c r="A2701" s="165">
        <v>2698.0</v>
      </c>
      <c r="B2701" s="167" t="s">
        <v>18134</v>
      </c>
      <c r="C2701" s="165"/>
      <c r="D2701" s="165"/>
      <c r="E2701" s="165"/>
      <c r="F2701" s="165"/>
      <c r="G2701" s="165"/>
      <c r="H2701" s="165"/>
      <c r="I2701" s="165"/>
      <c r="J2701" s="165"/>
      <c r="K2701" s="165"/>
      <c r="L2701" s="165"/>
      <c r="M2701" s="165"/>
      <c r="N2701" s="165"/>
      <c r="O2701" s="165"/>
      <c r="P2701" s="165"/>
      <c r="Q2701" s="165"/>
      <c r="R2701" s="165"/>
      <c r="S2701" s="165"/>
      <c r="T2701" s="165"/>
      <c r="U2701" s="165"/>
      <c r="V2701" s="165"/>
      <c r="W2701" s="165"/>
      <c r="X2701" s="165"/>
    </row>
    <row r="2702" ht="18.75" customHeight="1">
      <c r="A2702" s="165">
        <v>2699.0</v>
      </c>
      <c r="B2702" s="167" t="s">
        <v>18135</v>
      </c>
      <c r="C2702" s="165"/>
      <c r="D2702" s="165"/>
      <c r="E2702" s="165"/>
      <c r="F2702" s="165"/>
      <c r="G2702" s="165"/>
      <c r="H2702" s="165"/>
      <c r="I2702" s="165"/>
      <c r="J2702" s="165"/>
      <c r="K2702" s="165"/>
      <c r="L2702" s="165"/>
      <c r="M2702" s="165"/>
      <c r="N2702" s="165"/>
      <c r="O2702" s="165"/>
      <c r="P2702" s="165"/>
      <c r="Q2702" s="165"/>
      <c r="R2702" s="165"/>
      <c r="S2702" s="165"/>
      <c r="T2702" s="165"/>
      <c r="U2702" s="165"/>
      <c r="V2702" s="165"/>
      <c r="W2702" s="165"/>
      <c r="X2702" s="165"/>
    </row>
    <row r="2703" ht="18.75" customHeight="1">
      <c r="A2703" s="165">
        <v>2700.0</v>
      </c>
      <c r="B2703" s="165" t="s">
        <v>18136</v>
      </c>
      <c r="C2703" s="165"/>
      <c r="D2703" s="165"/>
      <c r="E2703" s="165"/>
      <c r="F2703" s="165"/>
      <c r="G2703" s="165"/>
      <c r="H2703" s="165"/>
      <c r="I2703" s="165"/>
      <c r="J2703" s="165"/>
      <c r="K2703" s="165"/>
      <c r="L2703" s="165"/>
      <c r="M2703" s="165"/>
      <c r="N2703" s="165"/>
      <c r="O2703" s="165"/>
      <c r="P2703" s="165"/>
      <c r="Q2703" s="165"/>
      <c r="R2703" s="165"/>
      <c r="S2703" s="165"/>
      <c r="T2703" s="165"/>
      <c r="U2703" s="165"/>
      <c r="V2703" s="165"/>
      <c r="W2703" s="165"/>
      <c r="X2703" s="165"/>
    </row>
    <row r="2704" ht="18.75" customHeight="1">
      <c r="A2704" s="165">
        <v>2701.0</v>
      </c>
      <c r="B2704" s="167" t="s">
        <v>18137</v>
      </c>
      <c r="C2704" s="165"/>
      <c r="D2704" s="165"/>
      <c r="E2704" s="165"/>
      <c r="F2704" s="165"/>
      <c r="G2704" s="165"/>
      <c r="H2704" s="165"/>
      <c r="I2704" s="165"/>
      <c r="J2704" s="165"/>
      <c r="K2704" s="165"/>
      <c r="L2704" s="165"/>
      <c r="M2704" s="165"/>
      <c r="N2704" s="165"/>
      <c r="O2704" s="165"/>
      <c r="P2704" s="165"/>
      <c r="Q2704" s="165"/>
      <c r="R2704" s="165"/>
      <c r="S2704" s="165"/>
      <c r="T2704" s="165"/>
      <c r="U2704" s="165"/>
      <c r="V2704" s="165"/>
      <c r="W2704" s="165"/>
      <c r="X2704" s="165"/>
    </row>
    <row r="2705" ht="18.75" customHeight="1">
      <c r="A2705" s="165">
        <v>2702.0</v>
      </c>
      <c r="B2705" s="167" t="s">
        <v>18138</v>
      </c>
      <c r="C2705" s="165"/>
      <c r="D2705" s="165"/>
      <c r="E2705" s="165"/>
      <c r="F2705" s="165"/>
      <c r="G2705" s="165"/>
      <c r="H2705" s="165"/>
      <c r="I2705" s="165"/>
      <c r="J2705" s="165"/>
      <c r="K2705" s="165"/>
      <c r="L2705" s="165"/>
      <c r="M2705" s="165"/>
      <c r="N2705" s="165"/>
      <c r="O2705" s="165"/>
      <c r="P2705" s="165"/>
      <c r="Q2705" s="165"/>
      <c r="R2705" s="165"/>
      <c r="S2705" s="165"/>
      <c r="T2705" s="165"/>
      <c r="U2705" s="165"/>
      <c r="V2705" s="165"/>
      <c r="W2705" s="165"/>
      <c r="X2705" s="165"/>
    </row>
    <row r="2706" ht="18.75" customHeight="1">
      <c r="A2706" s="165">
        <v>2703.0</v>
      </c>
      <c r="B2706" s="167" t="s">
        <v>18139</v>
      </c>
      <c r="C2706" s="165"/>
      <c r="D2706" s="165"/>
      <c r="E2706" s="165"/>
      <c r="F2706" s="165"/>
      <c r="G2706" s="165"/>
      <c r="H2706" s="165"/>
      <c r="I2706" s="165"/>
      <c r="J2706" s="165"/>
      <c r="K2706" s="165"/>
      <c r="L2706" s="165"/>
      <c r="M2706" s="165"/>
      <c r="N2706" s="165"/>
      <c r="O2706" s="165"/>
      <c r="P2706" s="165"/>
      <c r="Q2706" s="165"/>
      <c r="R2706" s="165"/>
      <c r="S2706" s="165"/>
      <c r="T2706" s="165"/>
      <c r="U2706" s="165"/>
      <c r="V2706" s="165"/>
      <c r="W2706" s="165"/>
      <c r="X2706" s="165"/>
    </row>
    <row r="2707" ht="18.75" customHeight="1">
      <c r="A2707" s="165">
        <v>2704.0</v>
      </c>
      <c r="B2707" s="167" t="s">
        <v>18140</v>
      </c>
      <c r="C2707" s="165"/>
      <c r="D2707" s="165"/>
      <c r="E2707" s="165"/>
      <c r="F2707" s="165"/>
      <c r="G2707" s="165"/>
      <c r="H2707" s="165"/>
      <c r="I2707" s="165"/>
      <c r="J2707" s="165"/>
      <c r="K2707" s="165"/>
      <c r="L2707" s="165"/>
      <c r="M2707" s="165"/>
      <c r="N2707" s="165"/>
      <c r="O2707" s="165"/>
      <c r="P2707" s="165"/>
      <c r="Q2707" s="165"/>
      <c r="R2707" s="165"/>
      <c r="S2707" s="165"/>
      <c r="T2707" s="165"/>
      <c r="U2707" s="165"/>
      <c r="V2707" s="165"/>
      <c r="W2707" s="165"/>
      <c r="X2707" s="165"/>
    </row>
    <row r="2708" ht="18.75" customHeight="1">
      <c r="A2708" s="165">
        <v>2705.0</v>
      </c>
      <c r="B2708" s="167" t="s">
        <v>16963</v>
      </c>
      <c r="C2708" s="165"/>
      <c r="D2708" s="165"/>
      <c r="E2708" s="165"/>
      <c r="F2708" s="165"/>
      <c r="G2708" s="165"/>
      <c r="H2708" s="165"/>
      <c r="I2708" s="165"/>
      <c r="J2708" s="165"/>
      <c r="K2708" s="165"/>
      <c r="L2708" s="165"/>
      <c r="M2708" s="165"/>
      <c r="N2708" s="165"/>
      <c r="O2708" s="165"/>
      <c r="P2708" s="165"/>
      <c r="Q2708" s="165"/>
      <c r="R2708" s="165"/>
      <c r="S2708" s="165"/>
      <c r="T2708" s="165"/>
      <c r="U2708" s="165"/>
      <c r="V2708" s="165"/>
      <c r="W2708" s="165"/>
      <c r="X2708" s="165"/>
    </row>
    <row r="2709" ht="18.75" customHeight="1">
      <c r="A2709" s="165">
        <v>2706.0</v>
      </c>
      <c r="B2709" s="167" t="s">
        <v>18141</v>
      </c>
      <c r="C2709" s="165"/>
      <c r="D2709" s="165"/>
      <c r="E2709" s="165"/>
      <c r="F2709" s="165"/>
      <c r="G2709" s="165"/>
      <c r="H2709" s="165"/>
      <c r="I2709" s="165"/>
      <c r="J2709" s="165"/>
      <c r="K2709" s="165"/>
      <c r="L2709" s="165"/>
      <c r="M2709" s="165"/>
      <c r="N2709" s="165"/>
      <c r="O2709" s="165"/>
      <c r="P2709" s="165"/>
      <c r="Q2709" s="165"/>
      <c r="R2709" s="165"/>
      <c r="S2709" s="165"/>
      <c r="T2709" s="165"/>
      <c r="U2709" s="165"/>
      <c r="V2709" s="165"/>
      <c r="W2709" s="165"/>
      <c r="X2709" s="165"/>
    </row>
    <row r="2710" ht="18.75" customHeight="1">
      <c r="A2710" s="165">
        <v>2707.0</v>
      </c>
      <c r="B2710" s="167" t="s">
        <v>18142</v>
      </c>
      <c r="C2710" s="165"/>
      <c r="D2710" s="165"/>
      <c r="E2710" s="165"/>
      <c r="F2710" s="165"/>
      <c r="G2710" s="165"/>
      <c r="H2710" s="165"/>
      <c r="I2710" s="165"/>
      <c r="J2710" s="165"/>
      <c r="K2710" s="165"/>
      <c r="L2710" s="165"/>
      <c r="M2710" s="165"/>
      <c r="N2710" s="165"/>
      <c r="O2710" s="165"/>
      <c r="P2710" s="165"/>
      <c r="Q2710" s="165"/>
      <c r="R2710" s="165"/>
      <c r="S2710" s="165"/>
      <c r="T2710" s="165"/>
      <c r="U2710" s="165"/>
      <c r="V2710" s="165"/>
      <c r="W2710" s="165"/>
      <c r="X2710" s="165"/>
    </row>
    <row r="2711" ht="18.75" customHeight="1">
      <c r="A2711" s="165">
        <v>2708.0</v>
      </c>
      <c r="B2711" s="167" t="s">
        <v>18143</v>
      </c>
      <c r="C2711" s="165"/>
      <c r="D2711" s="165"/>
      <c r="E2711" s="165"/>
      <c r="F2711" s="165"/>
      <c r="G2711" s="165"/>
      <c r="H2711" s="165"/>
      <c r="I2711" s="165"/>
      <c r="J2711" s="165"/>
      <c r="K2711" s="165"/>
      <c r="L2711" s="165"/>
      <c r="M2711" s="165"/>
      <c r="N2711" s="165"/>
      <c r="O2711" s="165"/>
      <c r="P2711" s="165"/>
      <c r="Q2711" s="165"/>
      <c r="R2711" s="165"/>
      <c r="S2711" s="165"/>
      <c r="T2711" s="165"/>
      <c r="U2711" s="165"/>
      <c r="V2711" s="165"/>
      <c r="W2711" s="165"/>
      <c r="X2711" s="165"/>
    </row>
    <row r="2712" ht="18.75" customHeight="1">
      <c r="A2712" s="165">
        <v>2709.0</v>
      </c>
      <c r="B2712" s="165" t="s">
        <v>18144</v>
      </c>
      <c r="C2712" s="165"/>
      <c r="D2712" s="165"/>
      <c r="E2712" s="165"/>
      <c r="F2712" s="165"/>
      <c r="G2712" s="165"/>
      <c r="H2712" s="165"/>
      <c r="I2712" s="165"/>
      <c r="J2712" s="165"/>
      <c r="K2712" s="165"/>
      <c r="L2712" s="165"/>
      <c r="M2712" s="165"/>
      <c r="N2712" s="165"/>
      <c r="O2712" s="165"/>
      <c r="P2712" s="165"/>
      <c r="Q2712" s="165"/>
      <c r="R2712" s="165"/>
      <c r="S2712" s="165"/>
      <c r="T2712" s="165"/>
      <c r="U2712" s="165"/>
      <c r="V2712" s="165"/>
      <c r="W2712" s="165"/>
      <c r="X2712" s="165"/>
    </row>
    <row r="2713" ht="18.75" customHeight="1">
      <c r="A2713" s="165">
        <v>2710.0</v>
      </c>
      <c r="B2713" s="165" t="s">
        <v>18145</v>
      </c>
      <c r="C2713" s="165"/>
      <c r="D2713" s="165"/>
      <c r="E2713" s="165"/>
      <c r="F2713" s="165"/>
      <c r="G2713" s="165"/>
      <c r="H2713" s="165"/>
      <c r="I2713" s="165"/>
      <c r="J2713" s="165"/>
      <c r="K2713" s="165"/>
      <c r="L2713" s="165"/>
      <c r="M2713" s="165"/>
      <c r="N2713" s="165"/>
      <c r="O2713" s="165"/>
      <c r="P2713" s="165"/>
      <c r="Q2713" s="165"/>
      <c r="R2713" s="165"/>
      <c r="S2713" s="165"/>
      <c r="T2713" s="165"/>
      <c r="U2713" s="165"/>
      <c r="V2713" s="165"/>
      <c r="W2713" s="165"/>
      <c r="X2713" s="165"/>
    </row>
    <row r="2714" ht="18.75" customHeight="1">
      <c r="A2714" s="165">
        <v>2711.0</v>
      </c>
      <c r="B2714" s="165" t="s">
        <v>18146</v>
      </c>
      <c r="C2714" s="165"/>
      <c r="D2714" s="165"/>
      <c r="E2714" s="165"/>
      <c r="F2714" s="165"/>
      <c r="G2714" s="165"/>
      <c r="H2714" s="165"/>
      <c r="I2714" s="165"/>
      <c r="J2714" s="165"/>
      <c r="K2714" s="165"/>
      <c r="L2714" s="165"/>
      <c r="M2714" s="165"/>
      <c r="N2714" s="165"/>
      <c r="O2714" s="165"/>
      <c r="P2714" s="165"/>
      <c r="Q2714" s="165"/>
      <c r="R2714" s="165"/>
      <c r="S2714" s="165"/>
      <c r="T2714" s="165"/>
      <c r="U2714" s="165"/>
      <c r="V2714" s="165"/>
      <c r="W2714" s="165"/>
      <c r="X2714" s="165"/>
    </row>
    <row r="2715" ht="18.75" customHeight="1">
      <c r="A2715" s="165">
        <v>2712.0</v>
      </c>
      <c r="B2715" s="165" t="s">
        <v>18147</v>
      </c>
      <c r="C2715" s="165"/>
      <c r="D2715" s="165"/>
      <c r="E2715" s="165"/>
      <c r="F2715" s="165"/>
      <c r="G2715" s="165"/>
      <c r="H2715" s="165"/>
      <c r="I2715" s="165"/>
      <c r="J2715" s="165"/>
      <c r="K2715" s="165"/>
      <c r="L2715" s="165"/>
      <c r="M2715" s="165"/>
      <c r="N2715" s="165"/>
      <c r="O2715" s="165"/>
      <c r="P2715" s="165"/>
      <c r="Q2715" s="165"/>
      <c r="R2715" s="165"/>
      <c r="S2715" s="165"/>
      <c r="T2715" s="165"/>
      <c r="U2715" s="165"/>
      <c r="V2715" s="165"/>
      <c r="W2715" s="165"/>
      <c r="X2715" s="165"/>
    </row>
    <row r="2716" ht="18.75" customHeight="1">
      <c r="A2716" s="165">
        <v>2713.0</v>
      </c>
      <c r="B2716" s="165" t="s">
        <v>18148</v>
      </c>
      <c r="C2716" s="165"/>
      <c r="D2716" s="165"/>
      <c r="E2716" s="165"/>
      <c r="F2716" s="165"/>
      <c r="G2716" s="165"/>
      <c r="H2716" s="165"/>
      <c r="I2716" s="165"/>
      <c r="J2716" s="165"/>
      <c r="K2716" s="165"/>
      <c r="L2716" s="165"/>
      <c r="M2716" s="165"/>
      <c r="N2716" s="165"/>
      <c r="O2716" s="165"/>
      <c r="P2716" s="165"/>
      <c r="Q2716" s="165"/>
      <c r="R2716" s="165"/>
      <c r="S2716" s="165"/>
      <c r="T2716" s="165"/>
      <c r="U2716" s="165"/>
      <c r="V2716" s="165"/>
      <c r="W2716" s="165"/>
      <c r="X2716" s="165"/>
    </row>
    <row r="2717" ht="18.75" customHeight="1">
      <c r="A2717" s="165">
        <v>2714.0</v>
      </c>
      <c r="B2717" s="167" t="s">
        <v>18149</v>
      </c>
      <c r="C2717" s="165"/>
      <c r="D2717" s="165"/>
      <c r="E2717" s="165"/>
      <c r="F2717" s="165"/>
      <c r="G2717" s="165"/>
      <c r="H2717" s="165"/>
      <c r="I2717" s="165"/>
      <c r="J2717" s="165"/>
      <c r="K2717" s="165"/>
      <c r="L2717" s="165"/>
      <c r="M2717" s="165"/>
      <c r="N2717" s="165"/>
      <c r="O2717" s="165"/>
      <c r="P2717" s="165"/>
      <c r="Q2717" s="165"/>
      <c r="R2717" s="165"/>
      <c r="S2717" s="165"/>
      <c r="T2717" s="165"/>
      <c r="U2717" s="165"/>
      <c r="V2717" s="165"/>
      <c r="W2717" s="165"/>
      <c r="X2717" s="165"/>
    </row>
    <row r="2718" ht="18.75" customHeight="1">
      <c r="A2718" s="165">
        <v>2715.0</v>
      </c>
      <c r="B2718" s="165" t="s">
        <v>18150</v>
      </c>
      <c r="C2718" s="165"/>
      <c r="D2718" s="165"/>
      <c r="E2718" s="165"/>
      <c r="F2718" s="165"/>
      <c r="G2718" s="165"/>
      <c r="H2718" s="165"/>
      <c r="I2718" s="165"/>
      <c r="J2718" s="165"/>
      <c r="K2718" s="165"/>
      <c r="L2718" s="165"/>
      <c r="M2718" s="165"/>
      <c r="N2718" s="165"/>
      <c r="O2718" s="165"/>
      <c r="P2718" s="165"/>
      <c r="Q2718" s="165"/>
      <c r="R2718" s="165"/>
      <c r="S2718" s="165"/>
      <c r="T2718" s="165"/>
      <c r="U2718" s="165"/>
      <c r="V2718" s="165"/>
      <c r="W2718" s="165"/>
      <c r="X2718" s="165"/>
    </row>
    <row r="2719" ht="18.75" customHeight="1">
      <c r="A2719" s="165">
        <v>2716.0</v>
      </c>
      <c r="B2719" s="165" t="s">
        <v>18151</v>
      </c>
      <c r="C2719" s="165"/>
      <c r="D2719" s="165"/>
      <c r="E2719" s="165"/>
      <c r="F2719" s="165"/>
      <c r="G2719" s="165"/>
      <c r="H2719" s="165"/>
      <c r="I2719" s="165"/>
      <c r="J2719" s="165"/>
      <c r="K2719" s="165"/>
      <c r="L2719" s="165"/>
      <c r="M2719" s="165"/>
      <c r="N2719" s="165"/>
      <c r="O2719" s="165"/>
      <c r="P2719" s="165"/>
      <c r="Q2719" s="165"/>
      <c r="R2719" s="165"/>
      <c r="S2719" s="165"/>
      <c r="T2719" s="165"/>
      <c r="U2719" s="165"/>
      <c r="V2719" s="165"/>
      <c r="W2719" s="165"/>
      <c r="X2719" s="165"/>
    </row>
    <row r="2720" ht="18.75" customHeight="1">
      <c r="A2720" s="165">
        <v>2717.0</v>
      </c>
      <c r="B2720" s="167" t="s">
        <v>18152</v>
      </c>
      <c r="C2720" s="165"/>
      <c r="D2720" s="165"/>
      <c r="E2720" s="165"/>
      <c r="F2720" s="165"/>
      <c r="G2720" s="165"/>
      <c r="H2720" s="165"/>
      <c r="I2720" s="165"/>
      <c r="J2720" s="165"/>
      <c r="K2720" s="165"/>
      <c r="L2720" s="165"/>
      <c r="M2720" s="165"/>
      <c r="N2720" s="165"/>
      <c r="O2720" s="165"/>
      <c r="P2720" s="165"/>
      <c r="Q2720" s="165"/>
      <c r="R2720" s="165"/>
      <c r="S2720" s="165"/>
      <c r="T2720" s="165"/>
      <c r="U2720" s="165"/>
      <c r="V2720" s="165"/>
      <c r="W2720" s="165"/>
      <c r="X2720" s="165"/>
    </row>
    <row r="2721" ht="18.75" customHeight="1">
      <c r="A2721" s="165">
        <v>2718.0</v>
      </c>
      <c r="B2721" s="167" t="s">
        <v>18153</v>
      </c>
      <c r="C2721" s="165"/>
      <c r="D2721" s="165"/>
      <c r="E2721" s="165"/>
      <c r="F2721" s="165"/>
      <c r="G2721" s="165"/>
      <c r="H2721" s="165"/>
      <c r="I2721" s="165"/>
      <c r="J2721" s="165"/>
      <c r="K2721" s="165"/>
      <c r="L2721" s="165"/>
      <c r="M2721" s="165"/>
      <c r="N2721" s="165"/>
      <c r="O2721" s="165"/>
      <c r="P2721" s="165"/>
      <c r="Q2721" s="165"/>
      <c r="R2721" s="165"/>
      <c r="S2721" s="165"/>
      <c r="T2721" s="165"/>
      <c r="U2721" s="165"/>
      <c r="V2721" s="165"/>
      <c r="W2721" s="165"/>
      <c r="X2721" s="165"/>
    </row>
    <row r="2722" ht="18.75" customHeight="1">
      <c r="A2722" s="165">
        <v>2719.0</v>
      </c>
      <c r="B2722" s="165" t="s">
        <v>18154</v>
      </c>
      <c r="C2722" s="165"/>
      <c r="D2722" s="165"/>
      <c r="E2722" s="165"/>
      <c r="F2722" s="165"/>
      <c r="G2722" s="165"/>
      <c r="H2722" s="165"/>
      <c r="I2722" s="165"/>
      <c r="J2722" s="165"/>
      <c r="K2722" s="165"/>
      <c r="L2722" s="165"/>
      <c r="M2722" s="165"/>
      <c r="N2722" s="165"/>
      <c r="O2722" s="165"/>
      <c r="P2722" s="165"/>
      <c r="Q2722" s="165"/>
      <c r="R2722" s="165"/>
      <c r="S2722" s="165"/>
      <c r="T2722" s="165"/>
      <c r="U2722" s="165"/>
      <c r="V2722" s="165"/>
      <c r="W2722" s="165"/>
      <c r="X2722" s="165"/>
    </row>
    <row r="2723" ht="18.75" customHeight="1">
      <c r="A2723" s="165">
        <v>2720.0</v>
      </c>
      <c r="B2723" s="167" t="s">
        <v>18155</v>
      </c>
      <c r="C2723" s="165"/>
      <c r="D2723" s="165"/>
      <c r="E2723" s="165"/>
      <c r="F2723" s="165"/>
      <c r="G2723" s="165"/>
      <c r="H2723" s="165"/>
      <c r="I2723" s="165"/>
      <c r="J2723" s="165"/>
      <c r="K2723" s="165"/>
      <c r="L2723" s="165"/>
      <c r="M2723" s="165"/>
      <c r="N2723" s="165"/>
      <c r="O2723" s="165"/>
      <c r="P2723" s="165"/>
      <c r="Q2723" s="165"/>
      <c r="R2723" s="165"/>
      <c r="S2723" s="165"/>
      <c r="T2723" s="165"/>
      <c r="U2723" s="165"/>
      <c r="V2723" s="165"/>
      <c r="W2723" s="165"/>
      <c r="X2723" s="165"/>
    </row>
    <row r="2724" ht="18.75" customHeight="1">
      <c r="A2724" s="165">
        <v>2721.0</v>
      </c>
      <c r="B2724" s="165" t="s">
        <v>18156</v>
      </c>
      <c r="C2724" s="165"/>
      <c r="D2724" s="165"/>
      <c r="E2724" s="165"/>
      <c r="F2724" s="165"/>
      <c r="G2724" s="165"/>
      <c r="H2724" s="165"/>
      <c r="I2724" s="165"/>
      <c r="J2724" s="165"/>
      <c r="K2724" s="165"/>
      <c r="L2724" s="165"/>
      <c r="M2724" s="165"/>
      <c r="N2724" s="165"/>
      <c r="O2724" s="165"/>
      <c r="P2724" s="165"/>
      <c r="Q2724" s="165"/>
      <c r="R2724" s="165"/>
      <c r="S2724" s="165"/>
      <c r="T2724" s="165"/>
      <c r="U2724" s="165"/>
      <c r="V2724" s="165"/>
      <c r="W2724" s="165"/>
      <c r="X2724" s="165"/>
    </row>
    <row r="2725" ht="18.75" customHeight="1">
      <c r="A2725" s="165">
        <v>2722.0</v>
      </c>
      <c r="B2725" s="167" t="s">
        <v>18157</v>
      </c>
      <c r="C2725" s="165"/>
      <c r="D2725" s="165"/>
      <c r="E2725" s="165"/>
      <c r="F2725" s="165"/>
      <c r="G2725" s="165"/>
      <c r="H2725" s="165"/>
      <c r="I2725" s="165"/>
      <c r="J2725" s="165"/>
      <c r="K2725" s="165"/>
      <c r="L2725" s="165"/>
      <c r="M2725" s="165"/>
      <c r="N2725" s="165"/>
      <c r="O2725" s="165"/>
      <c r="P2725" s="165"/>
      <c r="Q2725" s="165"/>
      <c r="R2725" s="165"/>
      <c r="S2725" s="165"/>
      <c r="T2725" s="165"/>
      <c r="U2725" s="165"/>
      <c r="V2725" s="165"/>
      <c r="W2725" s="165"/>
      <c r="X2725" s="165"/>
    </row>
    <row r="2726" ht="18.75" customHeight="1">
      <c r="A2726" s="165">
        <v>2723.0</v>
      </c>
      <c r="B2726" s="165" t="s">
        <v>18158</v>
      </c>
      <c r="C2726" s="165"/>
      <c r="D2726" s="165"/>
      <c r="E2726" s="165"/>
      <c r="F2726" s="165"/>
      <c r="G2726" s="165"/>
      <c r="H2726" s="165"/>
      <c r="I2726" s="165"/>
      <c r="J2726" s="165"/>
      <c r="K2726" s="165"/>
      <c r="L2726" s="165"/>
      <c r="M2726" s="165"/>
      <c r="N2726" s="165"/>
      <c r="O2726" s="165"/>
      <c r="P2726" s="165"/>
      <c r="Q2726" s="165"/>
      <c r="R2726" s="165"/>
      <c r="S2726" s="165"/>
      <c r="T2726" s="165"/>
      <c r="U2726" s="165"/>
      <c r="V2726" s="165"/>
      <c r="W2726" s="165"/>
      <c r="X2726" s="165"/>
    </row>
    <row r="2727" ht="18.75" customHeight="1">
      <c r="A2727" s="165">
        <v>2724.0</v>
      </c>
      <c r="B2727" s="167" t="s">
        <v>18159</v>
      </c>
      <c r="C2727" s="165"/>
      <c r="D2727" s="165"/>
      <c r="E2727" s="165"/>
      <c r="F2727" s="165"/>
      <c r="G2727" s="165"/>
      <c r="H2727" s="165"/>
      <c r="I2727" s="165"/>
      <c r="J2727" s="165"/>
      <c r="K2727" s="165"/>
      <c r="L2727" s="165"/>
      <c r="M2727" s="165"/>
      <c r="N2727" s="165"/>
      <c r="O2727" s="165"/>
      <c r="P2727" s="165"/>
      <c r="Q2727" s="165"/>
      <c r="R2727" s="165"/>
      <c r="S2727" s="165"/>
      <c r="T2727" s="165"/>
      <c r="U2727" s="165"/>
      <c r="V2727" s="165"/>
      <c r="W2727" s="165"/>
      <c r="X2727" s="165"/>
    </row>
    <row r="2728" ht="18.75" customHeight="1">
      <c r="A2728" s="165">
        <v>2725.0</v>
      </c>
      <c r="B2728" s="167" t="s">
        <v>18160</v>
      </c>
      <c r="C2728" s="165"/>
      <c r="D2728" s="165"/>
      <c r="E2728" s="165"/>
      <c r="F2728" s="165"/>
      <c r="G2728" s="165"/>
      <c r="H2728" s="165"/>
      <c r="I2728" s="165"/>
      <c r="J2728" s="165"/>
      <c r="K2728" s="165"/>
      <c r="L2728" s="165"/>
      <c r="M2728" s="165"/>
      <c r="N2728" s="165"/>
      <c r="O2728" s="165"/>
      <c r="P2728" s="165"/>
      <c r="Q2728" s="165"/>
      <c r="R2728" s="165"/>
      <c r="S2728" s="165"/>
      <c r="T2728" s="165"/>
      <c r="U2728" s="165"/>
      <c r="V2728" s="165"/>
      <c r="W2728" s="165"/>
      <c r="X2728" s="165"/>
    </row>
    <row r="2729" ht="18.75" customHeight="1">
      <c r="A2729" s="165">
        <v>2726.0</v>
      </c>
      <c r="B2729" s="165" t="s">
        <v>18161</v>
      </c>
      <c r="C2729" s="165"/>
      <c r="D2729" s="165"/>
      <c r="E2729" s="165"/>
      <c r="F2729" s="165"/>
      <c r="G2729" s="165"/>
      <c r="H2729" s="165"/>
      <c r="I2729" s="165"/>
      <c r="J2729" s="165"/>
      <c r="K2729" s="165"/>
      <c r="L2729" s="165"/>
      <c r="M2729" s="165"/>
      <c r="N2729" s="165"/>
      <c r="O2729" s="165"/>
      <c r="P2729" s="165"/>
      <c r="Q2729" s="165"/>
      <c r="R2729" s="165"/>
      <c r="S2729" s="165"/>
      <c r="T2729" s="165"/>
      <c r="U2729" s="165"/>
      <c r="V2729" s="165"/>
      <c r="W2729" s="165"/>
      <c r="X2729" s="165"/>
    </row>
    <row r="2730" ht="18.75" customHeight="1">
      <c r="A2730" s="165">
        <v>2727.0</v>
      </c>
      <c r="B2730" s="167" t="s">
        <v>18162</v>
      </c>
      <c r="C2730" s="165"/>
      <c r="D2730" s="165"/>
      <c r="E2730" s="165"/>
      <c r="F2730" s="165"/>
      <c r="G2730" s="165"/>
      <c r="H2730" s="165"/>
      <c r="I2730" s="165"/>
      <c r="J2730" s="165"/>
      <c r="K2730" s="165"/>
      <c r="L2730" s="165"/>
      <c r="M2730" s="165"/>
      <c r="N2730" s="165"/>
      <c r="O2730" s="165"/>
      <c r="P2730" s="165"/>
      <c r="Q2730" s="165"/>
      <c r="R2730" s="165"/>
      <c r="S2730" s="165"/>
      <c r="T2730" s="165"/>
      <c r="U2730" s="165"/>
      <c r="V2730" s="165"/>
      <c r="W2730" s="165"/>
      <c r="X2730" s="165"/>
    </row>
    <row r="2731" ht="18.75" customHeight="1">
      <c r="A2731" s="165">
        <v>2728.0</v>
      </c>
      <c r="B2731" s="167" t="s">
        <v>18163</v>
      </c>
      <c r="C2731" s="165"/>
      <c r="D2731" s="165"/>
      <c r="E2731" s="165"/>
      <c r="F2731" s="165"/>
      <c r="G2731" s="165"/>
      <c r="H2731" s="165"/>
      <c r="I2731" s="165"/>
      <c r="J2731" s="165"/>
      <c r="K2731" s="165"/>
      <c r="L2731" s="165"/>
      <c r="M2731" s="165"/>
      <c r="N2731" s="165"/>
      <c r="O2731" s="165"/>
      <c r="P2731" s="165"/>
      <c r="Q2731" s="165"/>
      <c r="R2731" s="165"/>
      <c r="S2731" s="165"/>
      <c r="T2731" s="165"/>
      <c r="U2731" s="165"/>
      <c r="V2731" s="165"/>
      <c r="W2731" s="165"/>
      <c r="X2731" s="165"/>
    </row>
    <row r="2732" ht="18.75" customHeight="1">
      <c r="A2732" s="165">
        <v>2729.0</v>
      </c>
      <c r="B2732" s="167" t="s">
        <v>18164</v>
      </c>
      <c r="C2732" s="165"/>
      <c r="D2732" s="165"/>
      <c r="E2732" s="165"/>
      <c r="F2732" s="165"/>
      <c r="G2732" s="165"/>
      <c r="H2732" s="165"/>
      <c r="I2732" s="165"/>
      <c r="J2732" s="165"/>
      <c r="K2732" s="165"/>
      <c r="L2732" s="165"/>
      <c r="M2732" s="165"/>
      <c r="N2732" s="165"/>
      <c r="O2732" s="165"/>
      <c r="P2732" s="165"/>
      <c r="Q2732" s="165"/>
      <c r="R2732" s="165"/>
      <c r="S2732" s="165"/>
      <c r="T2732" s="165"/>
      <c r="U2732" s="165"/>
      <c r="V2732" s="165"/>
      <c r="W2732" s="165"/>
      <c r="X2732" s="165"/>
    </row>
    <row r="2733" ht="18.75" customHeight="1">
      <c r="A2733" s="165">
        <v>2730.0</v>
      </c>
      <c r="B2733" s="165" t="s">
        <v>18165</v>
      </c>
      <c r="C2733" s="165"/>
      <c r="D2733" s="165"/>
      <c r="E2733" s="165"/>
      <c r="F2733" s="165"/>
      <c r="G2733" s="165"/>
      <c r="H2733" s="165"/>
      <c r="I2733" s="165"/>
      <c r="J2733" s="165"/>
      <c r="K2733" s="165"/>
      <c r="L2733" s="165"/>
      <c r="M2733" s="165"/>
      <c r="N2733" s="165"/>
      <c r="O2733" s="165"/>
      <c r="P2733" s="165"/>
      <c r="Q2733" s="165"/>
      <c r="R2733" s="165"/>
      <c r="S2733" s="165"/>
      <c r="T2733" s="165"/>
      <c r="U2733" s="165"/>
      <c r="V2733" s="165"/>
      <c r="W2733" s="165"/>
      <c r="X2733" s="165"/>
    </row>
    <row r="2734" ht="18.75" customHeight="1">
      <c r="A2734" s="165">
        <v>2731.0</v>
      </c>
      <c r="B2734" s="167" t="s">
        <v>18166</v>
      </c>
      <c r="C2734" s="165"/>
      <c r="D2734" s="165"/>
      <c r="E2734" s="165"/>
      <c r="F2734" s="165"/>
      <c r="G2734" s="165"/>
      <c r="H2734" s="165"/>
      <c r="I2734" s="165"/>
      <c r="J2734" s="165"/>
      <c r="K2734" s="165"/>
      <c r="L2734" s="165"/>
      <c r="M2734" s="165"/>
      <c r="N2734" s="165"/>
      <c r="O2734" s="165"/>
      <c r="P2734" s="165"/>
      <c r="Q2734" s="165"/>
      <c r="R2734" s="165"/>
      <c r="S2734" s="165"/>
      <c r="T2734" s="165"/>
      <c r="U2734" s="165"/>
      <c r="V2734" s="165"/>
      <c r="W2734" s="165"/>
      <c r="X2734" s="165"/>
    </row>
    <row r="2735" ht="18.75" customHeight="1">
      <c r="A2735" s="165">
        <v>2732.0</v>
      </c>
      <c r="B2735" s="167" t="s">
        <v>18167</v>
      </c>
      <c r="C2735" s="165"/>
      <c r="D2735" s="165"/>
      <c r="E2735" s="165"/>
      <c r="F2735" s="165"/>
      <c r="G2735" s="165"/>
      <c r="H2735" s="165"/>
      <c r="I2735" s="165"/>
      <c r="J2735" s="165"/>
      <c r="K2735" s="165"/>
      <c r="L2735" s="165"/>
      <c r="M2735" s="165"/>
      <c r="N2735" s="165"/>
      <c r="O2735" s="165"/>
      <c r="P2735" s="165"/>
      <c r="Q2735" s="165"/>
      <c r="R2735" s="165"/>
      <c r="S2735" s="165"/>
      <c r="T2735" s="165"/>
      <c r="U2735" s="165"/>
      <c r="V2735" s="165"/>
      <c r="W2735" s="165"/>
      <c r="X2735" s="165"/>
    </row>
    <row r="2736" ht="18.75" customHeight="1">
      <c r="A2736" s="165">
        <v>2733.0</v>
      </c>
      <c r="B2736" s="167" t="s">
        <v>18168</v>
      </c>
      <c r="C2736" s="165"/>
      <c r="D2736" s="165"/>
      <c r="E2736" s="165"/>
      <c r="F2736" s="165"/>
      <c r="G2736" s="165"/>
      <c r="H2736" s="165"/>
      <c r="I2736" s="165"/>
      <c r="J2736" s="165"/>
      <c r="K2736" s="165"/>
      <c r="L2736" s="165"/>
      <c r="M2736" s="165"/>
      <c r="N2736" s="165"/>
      <c r="O2736" s="165"/>
      <c r="P2736" s="165"/>
      <c r="Q2736" s="165"/>
      <c r="R2736" s="165"/>
      <c r="S2736" s="165"/>
      <c r="T2736" s="165"/>
      <c r="U2736" s="165"/>
      <c r="V2736" s="165"/>
      <c r="W2736" s="165"/>
      <c r="X2736" s="165"/>
    </row>
    <row r="2737" ht="18.75" customHeight="1">
      <c r="A2737" s="165">
        <v>2734.0</v>
      </c>
      <c r="B2737" s="167" t="s">
        <v>18169</v>
      </c>
      <c r="C2737" s="165"/>
      <c r="D2737" s="165"/>
      <c r="E2737" s="165"/>
      <c r="F2737" s="165"/>
      <c r="G2737" s="165"/>
      <c r="H2737" s="165"/>
      <c r="I2737" s="165"/>
      <c r="J2737" s="165"/>
      <c r="K2737" s="165"/>
      <c r="L2737" s="165"/>
      <c r="M2737" s="165"/>
      <c r="N2737" s="165"/>
      <c r="O2737" s="165"/>
      <c r="P2737" s="165"/>
      <c r="Q2737" s="165"/>
      <c r="R2737" s="165"/>
      <c r="S2737" s="165"/>
      <c r="T2737" s="165"/>
      <c r="U2737" s="165"/>
      <c r="V2737" s="165"/>
      <c r="W2737" s="165"/>
      <c r="X2737" s="165"/>
    </row>
    <row r="2738" ht="18.75" customHeight="1">
      <c r="A2738" s="165">
        <v>2735.0</v>
      </c>
      <c r="B2738" s="167" t="s">
        <v>18170</v>
      </c>
      <c r="C2738" s="165"/>
      <c r="D2738" s="165"/>
      <c r="E2738" s="165"/>
      <c r="F2738" s="165"/>
      <c r="G2738" s="165"/>
      <c r="H2738" s="165"/>
      <c r="I2738" s="165"/>
      <c r="J2738" s="165"/>
      <c r="K2738" s="165"/>
      <c r="L2738" s="165"/>
      <c r="M2738" s="165"/>
      <c r="N2738" s="165"/>
      <c r="O2738" s="165"/>
      <c r="P2738" s="165"/>
      <c r="Q2738" s="165"/>
      <c r="R2738" s="165"/>
      <c r="S2738" s="165"/>
      <c r="T2738" s="165"/>
      <c r="U2738" s="165"/>
      <c r="V2738" s="165"/>
      <c r="W2738" s="165"/>
      <c r="X2738" s="165"/>
    </row>
    <row r="2739" ht="18.75" customHeight="1">
      <c r="A2739" s="165">
        <v>2736.0</v>
      </c>
      <c r="B2739" s="167" t="s">
        <v>18171</v>
      </c>
      <c r="C2739" s="165"/>
      <c r="D2739" s="165"/>
      <c r="E2739" s="165"/>
      <c r="F2739" s="165"/>
      <c r="G2739" s="165"/>
      <c r="H2739" s="165"/>
      <c r="I2739" s="165"/>
      <c r="J2739" s="165"/>
      <c r="K2739" s="165"/>
      <c r="L2739" s="165"/>
      <c r="M2739" s="165"/>
      <c r="N2739" s="165"/>
      <c r="O2739" s="165"/>
      <c r="P2739" s="165"/>
      <c r="Q2739" s="165"/>
      <c r="R2739" s="165"/>
      <c r="S2739" s="165"/>
      <c r="T2739" s="165"/>
      <c r="U2739" s="165"/>
      <c r="V2739" s="165"/>
      <c r="W2739" s="165"/>
      <c r="X2739" s="165"/>
    </row>
    <row r="2740" ht="18.75" customHeight="1">
      <c r="A2740" s="165">
        <v>2737.0</v>
      </c>
      <c r="B2740" s="165" t="s">
        <v>18172</v>
      </c>
      <c r="C2740" s="165"/>
      <c r="D2740" s="165"/>
      <c r="E2740" s="165"/>
      <c r="F2740" s="165"/>
      <c r="G2740" s="165"/>
      <c r="H2740" s="165"/>
      <c r="I2740" s="165"/>
      <c r="J2740" s="165"/>
      <c r="K2740" s="165"/>
      <c r="L2740" s="165"/>
      <c r="M2740" s="165"/>
      <c r="N2740" s="165"/>
      <c r="O2740" s="165"/>
      <c r="P2740" s="165"/>
      <c r="Q2740" s="165"/>
      <c r="R2740" s="165"/>
      <c r="S2740" s="165"/>
      <c r="T2740" s="165"/>
      <c r="U2740" s="165"/>
      <c r="V2740" s="165"/>
      <c r="W2740" s="165"/>
      <c r="X2740" s="165"/>
    </row>
    <row r="2741" ht="18.75" customHeight="1">
      <c r="A2741" s="165">
        <v>2738.0</v>
      </c>
      <c r="B2741" s="167" t="s">
        <v>18173</v>
      </c>
      <c r="C2741" s="165"/>
      <c r="D2741" s="165"/>
      <c r="E2741" s="165"/>
      <c r="F2741" s="165"/>
      <c r="G2741" s="165"/>
      <c r="H2741" s="165"/>
      <c r="I2741" s="165"/>
      <c r="J2741" s="165"/>
      <c r="K2741" s="165"/>
      <c r="L2741" s="165"/>
      <c r="M2741" s="165"/>
      <c r="N2741" s="165"/>
      <c r="O2741" s="165"/>
      <c r="P2741" s="165"/>
      <c r="Q2741" s="165"/>
      <c r="R2741" s="165"/>
      <c r="S2741" s="165"/>
      <c r="T2741" s="165"/>
      <c r="U2741" s="165"/>
      <c r="V2741" s="165"/>
      <c r="W2741" s="165"/>
      <c r="X2741" s="165"/>
    </row>
    <row r="2742" ht="18.75" customHeight="1">
      <c r="A2742" s="165">
        <v>2739.0</v>
      </c>
      <c r="B2742" s="165" t="s">
        <v>18174</v>
      </c>
      <c r="C2742" s="165"/>
      <c r="D2742" s="165"/>
      <c r="E2742" s="165"/>
      <c r="F2742" s="165"/>
      <c r="G2742" s="165"/>
      <c r="H2742" s="165"/>
      <c r="I2742" s="165"/>
      <c r="J2742" s="165"/>
      <c r="K2742" s="165"/>
      <c r="L2742" s="165"/>
      <c r="M2742" s="165"/>
      <c r="N2742" s="165"/>
      <c r="O2742" s="165"/>
      <c r="P2742" s="165"/>
      <c r="Q2742" s="165"/>
      <c r="R2742" s="165"/>
      <c r="S2742" s="165"/>
      <c r="T2742" s="165"/>
      <c r="U2742" s="165"/>
      <c r="V2742" s="165"/>
      <c r="W2742" s="165"/>
      <c r="X2742" s="165"/>
    </row>
    <row r="2743" ht="18.75" customHeight="1">
      <c r="A2743" s="165">
        <v>2740.0</v>
      </c>
      <c r="B2743" s="167" t="s">
        <v>18175</v>
      </c>
      <c r="C2743" s="165"/>
      <c r="D2743" s="165"/>
      <c r="E2743" s="165"/>
      <c r="F2743" s="165"/>
      <c r="G2743" s="165"/>
      <c r="H2743" s="165"/>
      <c r="I2743" s="165"/>
      <c r="J2743" s="165"/>
      <c r="K2743" s="165"/>
      <c r="L2743" s="165"/>
      <c r="M2743" s="165"/>
      <c r="N2743" s="165"/>
      <c r="O2743" s="165"/>
      <c r="P2743" s="165"/>
      <c r="Q2743" s="165"/>
      <c r="R2743" s="165"/>
      <c r="S2743" s="165"/>
      <c r="T2743" s="165"/>
      <c r="U2743" s="165"/>
      <c r="V2743" s="165"/>
      <c r="W2743" s="165"/>
      <c r="X2743" s="165"/>
    </row>
    <row r="2744" ht="18.75" customHeight="1">
      <c r="A2744" s="165">
        <v>2741.0</v>
      </c>
      <c r="B2744" s="167" t="s">
        <v>18176</v>
      </c>
      <c r="C2744" s="165"/>
      <c r="D2744" s="165"/>
      <c r="E2744" s="165"/>
      <c r="F2744" s="165"/>
      <c r="G2744" s="165"/>
      <c r="H2744" s="165"/>
      <c r="I2744" s="165"/>
      <c r="J2744" s="165"/>
      <c r="K2744" s="165"/>
      <c r="L2744" s="165"/>
      <c r="M2744" s="165"/>
      <c r="N2744" s="165"/>
      <c r="O2744" s="165"/>
      <c r="P2744" s="165"/>
      <c r="Q2744" s="165"/>
      <c r="R2744" s="165"/>
      <c r="S2744" s="165"/>
      <c r="T2744" s="165"/>
      <c r="U2744" s="165"/>
      <c r="V2744" s="165"/>
      <c r="W2744" s="165"/>
      <c r="X2744" s="165"/>
    </row>
    <row r="2745" ht="18.75" customHeight="1">
      <c r="A2745" s="165">
        <v>2742.0</v>
      </c>
      <c r="B2745" s="167" t="s">
        <v>18177</v>
      </c>
      <c r="C2745" s="165"/>
      <c r="D2745" s="165"/>
      <c r="E2745" s="165"/>
      <c r="F2745" s="165"/>
      <c r="G2745" s="165"/>
      <c r="H2745" s="165"/>
      <c r="I2745" s="165"/>
      <c r="J2745" s="165"/>
      <c r="K2745" s="165"/>
      <c r="L2745" s="165"/>
      <c r="M2745" s="165"/>
      <c r="N2745" s="165"/>
      <c r="O2745" s="165"/>
      <c r="P2745" s="165"/>
      <c r="Q2745" s="165"/>
      <c r="R2745" s="165"/>
      <c r="S2745" s="165"/>
      <c r="T2745" s="165"/>
      <c r="U2745" s="165"/>
      <c r="V2745" s="165"/>
      <c r="W2745" s="165"/>
      <c r="X2745" s="165"/>
    </row>
    <row r="2746" ht="18.75" customHeight="1">
      <c r="A2746" s="165">
        <v>2743.0</v>
      </c>
      <c r="B2746" s="167" t="s">
        <v>18178</v>
      </c>
      <c r="C2746" s="165"/>
      <c r="D2746" s="165"/>
      <c r="E2746" s="165"/>
      <c r="F2746" s="165"/>
      <c r="G2746" s="165"/>
      <c r="H2746" s="165"/>
      <c r="I2746" s="165"/>
      <c r="J2746" s="165"/>
      <c r="K2746" s="165"/>
      <c r="L2746" s="165"/>
      <c r="M2746" s="165"/>
      <c r="N2746" s="165"/>
      <c r="O2746" s="165"/>
      <c r="P2746" s="165"/>
      <c r="Q2746" s="165"/>
      <c r="R2746" s="165"/>
      <c r="S2746" s="165"/>
      <c r="T2746" s="165"/>
      <c r="U2746" s="165"/>
      <c r="V2746" s="165"/>
      <c r="W2746" s="165"/>
      <c r="X2746" s="165"/>
    </row>
    <row r="2747" ht="18.75" customHeight="1">
      <c r="A2747" s="165">
        <v>2744.0</v>
      </c>
      <c r="B2747" s="167" t="s">
        <v>18179</v>
      </c>
      <c r="C2747" s="165"/>
      <c r="D2747" s="165"/>
      <c r="E2747" s="165"/>
      <c r="F2747" s="165"/>
      <c r="G2747" s="165"/>
      <c r="H2747" s="165"/>
      <c r="I2747" s="165"/>
      <c r="J2747" s="165"/>
      <c r="K2747" s="165"/>
      <c r="L2747" s="165"/>
      <c r="M2747" s="165"/>
      <c r="N2747" s="165"/>
      <c r="O2747" s="165"/>
      <c r="P2747" s="165"/>
      <c r="Q2747" s="165"/>
      <c r="R2747" s="165"/>
      <c r="S2747" s="165"/>
      <c r="T2747" s="165"/>
      <c r="U2747" s="165"/>
      <c r="V2747" s="165"/>
      <c r="W2747" s="165"/>
      <c r="X2747" s="165"/>
    </row>
    <row r="2748" ht="18.75" customHeight="1">
      <c r="A2748" s="165">
        <v>2745.0</v>
      </c>
      <c r="B2748" s="167" t="s">
        <v>18180</v>
      </c>
      <c r="C2748" s="165"/>
      <c r="D2748" s="165"/>
      <c r="E2748" s="165"/>
      <c r="F2748" s="165"/>
      <c r="G2748" s="165"/>
      <c r="H2748" s="165"/>
      <c r="I2748" s="165"/>
      <c r="J2748" s="165"/>
      <c r="K2748" s="165"/>
      <c r="L2748" s="165"/>
      <c r="M2748" s="165"/>
      <c r="N2748" s="165"/>
      <c r="O2748" s="165"/>
      <c r="P2748" s="165"/>
      <c r="Q2748" s="165"/>
      <c r="R2748" s="165"/>
      <c r="S2748" s="165"/>
      <c r="T2748" s="165"/>
      <c r="U2748" s="165"/>
      <c r="V2748" s="165"/>
      <c r="W2748" s="165"/>
      <c r="X2748" s="165"/>
    </row>
    <row r="2749" ht="18.75" customHeight="1">
      <c r="A2749" s="165">
        <v>2746.0</v>
      </c>
      <c r="B2749" s="165" t="s">
        <v>18181</v>
      </c>
      <c r="C2749" s="165"/>
      <c r="D2749" s="165"/>
      <c r="E2749" s="165"/>
      <c r="F2749" s="165"/>
      <c r="G2749" s="165"/>
      <c r="H2749" s="165"/>
      <c r="I2749" s="165"/>
      <c r="J2749" s="165"/>
      <c r="K2749" s="165"/>
      <c r="L2749" s="165"/>
      <c r="M2749" s="165"/>
      <c r="N2749" s="165"/>
      <c r="O2749" s="165"/>
      <c r="P2749" s="165"/>
      <c r="Q2749" s="165"/>
      <c r="R2749" s="165"/>
      <c r="S2749" s="165"/>
      <c r="T2749" s="165"/>
      <c r="U2749" s="165"/>
      <c r="V2749" s="165"/>
      <c r="W2749" s="165"/>
      <c r="X2749" s="165"/>
    </row>
    <row r="2750" ht="18.75" customHeight="1">
      <c r="A2750" s="165">
        <v>2747.0</v>
      </c>
      <c r="B2750" s="165" t="s">
        <v>18182</v>
      </c>
      <c r="C2750" s="165"/>
      <c r="D2750" s="165"/>
      <c r="E2750" s="165"/>
      <c r="F2750" s="165"/>
      <c r="G2750" s="165"/>
      <c r="H2750" s="165"/>
      <c r="I2750" s="165"/>
      <c r="J2750" s="165"/>
      <c r="K2750" s="165"/>
      <c r="L2750" s="165"/>
      <c r="M2750" s="165"/>
      <c r="N2750" s="165"/>
      <c r="O2750" s="165"/>
      <c r="P2750" s="165"/>
      <c r="Q2750" s="165"/>
      <c r="R2750" s="165"/>
      <c r="S2750" s="165"/>
      <c r="T2750" s="165"/>
      <c r="U2750" s="165"/>
      <c r="V2750" s="165"/>
      <c r="W2750" s="165"/>
      <c r="X2750" s="165"/>
    </row>
    <row r="2751" ht="18.75" customHeight="1">
      <c r="A2751" s="165">
        <v>2748.0</v>
      </c>
      <c r="B2751" s="165" t="s">
        <v>18183</v>
      </c>
      <c r="C2751" s="165"/>
      <c r="D2751" s="165"/>
      <c r="E2751" s="165"/>
      <c r="F2751" s="165"/>
      <c r="G2751" s="165"/>
      <c r="H2751" s="165"/>
      <c r="I2751" s="165"/>
      <c r="J2751" s="165"/>
      <c r="K2751" s="165"/>
      <c r="L2751" s="165"/>
      <c r="M2751" s="165"/>
      <c r="N2751" s="165"/>
      <c r="O2751" s="165"/>
      <c r="P2751" s="165"/>
      <c r="Q2751" s="165"/>
      <c r="R2751" s="165"/>
      <c r="S2751" s="165"/>
      <c r="T2751" s="165"/>
      <c r="U2751" s="165"/>
      <c r="V2751" s="165"/>
      <c r="W2751" s="165"/>
      <c r="X2751" s="165"/>
    </row>
    <row r="2752" ht="18.75" customHeight="1">
      <c r="A2752" s="165">
        <v>2749.0</v>
      </c>
      <c r="B2752" s="165" t="s">
        <v>18184</v>
      </c>
      <c r="C2752" s="165"/>
      <c r="D2752" s="165"/>
      <c r="E2752" s="165"/>
      <c r="F2752" s="165"/>
      <c r="G2752" s="165"/>
      <c r="H2752" s="165"/>
      <c r="I2752" s="165"/>
      <c r="J2752" s="165"/>
      <c r="K2752" s="165"/>
      <c r="L2752" s="165"/>
      <c r="M2752" s="165"/>
      <c r="N2752" s="165"/>
      <c r="O2752" s="165"/>
      <c r="P2752" s="165"/>
      <c r="Q2752" s="165"/>
      <c r="R2752" s="165"/>
      <c r="S2752" s="165"/>
      <c r="T2752" s="165"/>
      <c r="U2752" s="165"/>
      <c r="V2752" s="165"/>
      <c r="W2752" s="165"/>
      <c r="X2752" s="165"/>
    </row>
    <row r="2753" ht="18.75" customHeight="1">
      <c r="A2753" s="165">
        <v>2750.0</v>
      </c>
      <c r="B2753" s="165" t="s">
        <v>18185</v>
      </c>
      <c r="C2753" s="165"/>
      <c r="D2753" s="165"/>
      <c r="E2753" s="165"/>
      <c r="F2753" s="165"/>
      <c r="G2753" s="165"/>
      <c r="H2753" s="165"/>
      <c r="I2753" s="165"/>
      <c r="J2753" s="165"/>
      <c r="K2753" s="165"/>
      <c r="L2753" s="165"/>
      <c r="M2753" s="165"/>
      <c r="N2753" s="165"/>
      <c r="O2753" s="165"/>
      <c r="P2753" s="165"/>
      <c r="Q2753" s="165"/>
      <c r="R2753" s="165"/>
      <c r="S2753" s="165"/>
      <c r="T2753" s="165"/>
      <c r="U2753" s="165"/>
      <c r="V2753" s="165"/>
      <c r="W2753" s="165"/>
      <c r="X2753" s="165"/>
    </row>
    <row r="2754" ht="18.75" customHeight="1">
      <c r="A2754" s="165">
        <v>2751.0</v>
      </c>
      <c r="B2754" s="167" t="s">
        <v>18186</v>
      </c>
      <c r="C2754" s="165"/>
      <c r="D2754" s="165"/>
      <c r="E2754" s="165"/>
      <c r="F2754" s="165"/>
      <c r="G2754" s="165"/>
      <c r="H2754" s="165"/>
      <c r="I2754" s="165"/>
      <c r="J2754" s="165"/>
      <c r="K2754" s="165"/>
      <c r="L2754" s="165"/>
      <c r="M2754" s="165"/>
      <c r="N2754" s="165"/>
      <c r="O2754" s="165"/>
      <c r="P2754" s="165"/>
      <c r="Q2754" s="165"/>
      <c r="R2754" s="165"/>
      <c r="S2754" s="165"/>
      <c r="T2754" s="165"/>
      <c r="U2754" s="165"/>
      <c r="V2754" s="165"/>
      <c r="W2754" s="165"/>
      <c r="X2754" s="165"/>
    </row>
    <row r="2755" ht="18.75" customHeight="1">
      <c r="A2755" s="165">
        <v>2752.0</v>
      </c>
      <c r="B2755" s="165"/>
      <c r="C2755" s="165"/>
      <c r="D2755" s="165"/>
      <c r="E2755" s="165"/>
      <c r="F2755" s="165"/>
      <c r="G2755" s="165"/>
      <c r="H2755" s="165"/>
      <c r="I2755" s="165"/>
      <c r="J2755" s="165"/>
      <c r="K2755" s="165"/>
      <c r="L2755" s="165"/>
      <c r="M2755" s="165"/>
      <c r="N2755" s="165"/>
      <c r="O2755" s="165"/>
      <c r="P2755" s="165"/>
      <c r="Q2755" s="165"/>
      <c r="R2755" s="165"/>
      <c r="S2755" s="165"/>
      <c r="T2755" s="165"/>
      <c r="U2755" s="165"/>
      <c r="V2755" s="165"/>
      <c r="W2755" s="165"/>
      <c r="X2755" s="165"/>
    </row>
    <row r="2756" ht="18.75" customHeight="1">
      <c r="A2756" s="165">
        <v>2753.0</v>
      </c>
      <c r="B2756" s="165"/>
      <c r="C2756" s="165"/>
      <c r="D2756" s="165"/>
      <c r="E2756" s="165"/>
      <c r="F2756" s="165"/>
      <c r="G2756" s="165"/>
      <c r="H2756" s="165"/>
      <c r="I2756" s="165"/>
      <c r="J2756" s="165"/>
      <c r="K2756" s="165"/>
      <c r="L2756" s="165"/>
      <c r="M2756" s="165"/>
      <c r="N2756" s="165"/>
      <c r="O2756" s="165"/>
      <c r="P2756" s="165"/>
      <c r="Q2756" s="165"/>
      <c r="R2756" s="165"/>
      <c r="S2756" s="165"/>
      <c r="T2756" s="165"/>
      <c r="U2756" s="165"/>
      <c r="V2756" s="165"/>
      <c r="W2756" s="165"/>
      <c r="X2756" s="165"/>
    </row>
    <row r="2757" ht="18.75" customHeight="1">
      <c r="A2757" s="165">
        <v>2754.0</v>
      </c>
      <c r="B2757" s="165"/>
      <c r="C2757" s="165"/>
      <c r="D2757" s="165"/>
      <c r="E2757" s="165"/>
      <c r="F2757" s="165"/>
      <c r="G2757" s="165"/>
      <c r="H2757" s="165"/>
      <c r="I2757" s="165"/>
      <c r="J2757" s="165"/>
      <c r="K2757" s="165"/>
      <c r="L2757" s="165"/>
      <c r="M2757" s="165"/>
      <c r="N2757" s="165"/>
      <c r="O2757" s="165"/>
      <c r="P2757" s="165"/>
      <c r="Q2757" s="165"/>
      <c r="R2757" s="165"/>
      <c r="S2757" s="165"/>
      <c r="T2757" s="165"/>
      <c r="U2757" s="165"/>
      <c r="V2757" s="165"/>
      <c r="W2757" s="165"/>
      <c r="X2757" s="165"/>
    </row>
    <row r="2758" ht="18.75" customHeight="1">
      <c r="A2758" s="165">
        <v>2755.0</v>
      </c>
      <c r="B2758" s="165"/>
      <c r="C2758" s="165"/>
      <c r="D2758" s="165"/>
      <c r="E2758" s="165"/>
      <c r="F2758" s="165"/>
      <c r="G2758" s="165"/>
      <c r="H2758" s="165"/>
      <c r="I2758" s="165"/>
      <c r="J2758" s="165"/>
      <c r="K2758" s="165"/>
      <c r="L2758" s="165"/>
      <c r="M2758" s="165"/>
      <c r="N2758" s="165"/>
      <c r="O2758" s="165"/>
      <c r="P2758" s="165"/>
      <c r="Q2758" s="165"/>
      <c r="R2758" s="165"/>
      <c r="S2758" s="165"/>
      <c r="T2758" s="165"/>
      <c r="U2758" s="165"/>
      <c r="V2758" s="165"/>
      <c r="W2758" s="165"/>
      <c r="X2758" s="165"/>
    </row>
    <row r="2759" ht="18.75" customHeight="1">
      <c r="A2759" s="165">
        <v>2756.0</v>
      </c>
      <c r="B2759" s="165"/>
      <c r="C2759" s="165"/>
      <c r="D2759" s="165"/>
      <c r="E2759" s="165"/>
      <c r="F2759" s="165"/>
      <c r="G2759" s="165"/>
      <c r="H2759" s="165"/>
      <c r="I2759" s="165"/>
      <c r="J2759" s="165"/>
      <c r="K2759" s="165"/>
      <c r="L2759" s="165"/>
      <c r="M2759" s="165"/>
      <c r="N2759" s="165"/>
      <c r="O2759" s="165"/>
      <c r="P2759" s="165"/>
      <c r="Q2759" s="165"/>
      <c r="R2759" s="165"/>
      <c r="S2759" s="165"/>
      <c r="T2759" s="165"/>
      <c r="U2759" s="165"/>
      <c r="V2759" s="165"/>
      <c r="W2759" s="165"/>
      <c r="X2759" s="165"/>
    </row>
    <row r="2760" ht="18.75" customHeight="1">
      <c r="A2760" s="165">
        <v>2757.0</v>
      </c>
      <c r="B2760" s="165"/>
      <c r="C2760" s="165"/>
      <c r="D2760" s="165"/>
      <c r="E2760" s="165"/>
      <c r="F2760" s="165"/>
      <c r="G2760" s="165"/>
      <c r="H2760" s="165"/>
      <c r="I2760" s="165"/>
      <c r="J2760" s="165"/>
      <c r="K2760" s="165"/>
      <c r="L2760" s="165"/>
      <c r="M2760" s="165"/>
      <c r="N2760" s="165"/>
      <c r="O2760" s="165"/>
      <c r="P2760" s="165"/>
      <c r="Q2760" s="165"/>
      <c r="R2760" s="165"/>
      <c r="S2760" s="165"/>
      <c r="T2760" s="165"/>
      <c r="U2760" s="165"/>
      <c r="V2760" s="165"/>
      <c r="W2760" s="165"/>
      <c r="X2760" s="165"/>
    </row>
    <row r="2761" ht="18.75" customHeight="1">
      <c r="A2761" s="165">
        <v>2758.0</v>
      </c>
      <c r="B2761" s="165"/>
      <c r="C2761" s="165"/>
      <c r="D2761" s="165"/>
      <c r="E2761" s="165"/>
      <c r="F2761" s="165"/>
      <c r="G2761" s="165"/>
      <c r="H2761" s="165"/>
      <c r="I2761" s="165"/>
      <c r="J2761" s="165"/>
      <c r="K2761" s="165"/>
      <c r="L2761" s="165"/>
      <c r="M2761" s="165"/>
      <c r="N2761" s="165"/>
      <c r="O2761" s="165"/>
      <c r="P2761" s="165"/>
      <c r="Q2761" s="165"/>
      <c r="R2761" s="165"/>
      <c r="S2761" s="165"/>
      <c r="T2761" s="165"/>
      <c r="U2761" s="165"/>
      <c r="V2761" s="165"/>
      <c r="W2761" s="165"/>
      <c r="X2761" s="165"/>
    </row>
    <row r="2762" ht="18.75" customHeight="1">
      <c r="A2762" s="165">
        <v>2759.0</v>
      </c>
      <c r="B2762" s="165"/>
      <c r="C2762" s="165"/>
      <c r="D2762" s="165"/>
      <c r="E2762" s="165"/>
      <c r="F2762" s="165"/>
      <c r="G2762" s="165"/>
      <c r="H2762" s="165"/>
      <c r="I2762" s="165"/>
      <c r="J2762" s="165"/>
      <c r="K2762" s="165"/>
      <c r="L2762" s="165"/>
      <c r="M2762" s="165"/>
      <c r="N2762" s="165"/>
      <c r="O2762" s="165"/>
      <c r="P2762" s="165"/>
      <c r="Q2762" s="165"/>
      <c r="R2762" s="165"/>
      <c r="S2762" s="165"/>
      <c r="T2762" s="165"/>
      <c r="U2762" s="165"/>
      <c r="V2762" s="165"/>
      <c r="W2762" s="165"/>
      <c r="X2762" s="165"/>
    </row>
    <row r="2763" ht="18.75" customHeight="1">
      <c r="A2763" s="165">
        <v>2760.0</v>
      </c>
      <c r="B2763" s="165"/>
      <c r="C2763" s="165"/>
      <c r="D2763" s="165"/>
      <c r="E2763" s="165"/>
      <c r="F2763" s="165"/>
      <c r="G2763" s="165"/>
      <c r="H2763" s="165"/>
      <c r="I2763" s="165"/>
      <c r="J2763" s="165"/>
      <c r="K2763" s="165"/>
      <c r="L2763" s="165"/>
      <c r="M2763" s="165"/>
      <c r="N2763" s="165"/>
      <c r="O2763" s="165"/>
      <c r="P2763" s="165"/>
      <c r="Q2763" s="165"/>
      <c r="R2763" s="165"/>
      <c r="S2763" s="165"/>
      <c r="T2763" s="165"/>
      <c r="U2763" s="165"/>
      <c r="V2763" s="165"/>
      <c r="W2763" s="165"/>
      <c r="X2763" s="165"/>
    </row>
    <row r="2764" ht="18.75" customHeight="1">
      <c r="A2764" s="165">
        <v>2761.0</v>
      </c>
      <c r="B2764" s="165"/>
      <c r="C2764" s="165"/>
      <c r="D2764" s="165"/>
      <c r="E2764" s="165"/>
      <c r="F2764" s="165"/>
      <c r="G2764" s="165"/>
      <c r="H2764" s="165"/>
      <c r="I2764" s="165"/>
      <c r="J2764" s="165"/>
      <c r="K2764" s="165"/>
      <c r="L2764" s="165"/>
      <c r="M2764" s="165"/>
      <c r="N2764" s="165"/>
      <c r="O2764" s="165"/>
      <c r="P2764" s="165"/>
      <c r="Q2764" s="165"/>
      <c r="R2764" s="165"/>
      <c r="S2764" s="165"/>
      <c r="T2764" s="165"/>
      <c r="U2764" s="165"/>
      <c r="V2764" s="165"/>
      <c r="W2764" s="165"/>
      <c r="X2764" s="165"/>
    </row>
    <row r="2765" ht="18.75" customHeight="1">
      <c r="A2765" s="165">
        <v>2762.0</v>
      </c>
      <c r="B2765" s="165"/>
      <c r="C2765" s="165"/>
      <c r="D2765" s="165"/>
      <c r="E2765" s="165"/>
      <c r="F2765" s="165"/>
      <c r="G2765" s="165"/>
      <c r="H2765" s="165"/>
      <c r="I2765" s="165"/>
      <c r="J2765" s="165"/>
      <c r="K2765" s="165"/>
      <c r="L2765" s="165"/>
      <c r="M2765" s="165"/>
      <c r="N2765" s="165"/>
      <c r="O2765" s="165"/>
      <c r="P2765" s="165"/>
      <c r="Q2765" s="165"/>
      <c r="R2765" s="165"/>
      <c r="S2765" s="165"/>
      <c r="T2765" s="165"/>
      <c r="U2765" s="165"/>
      <c r="V2765" s="165"/>
      <c r="W2765" s="165"/>
      <c r="X2765" s="165"/>
    </row>
    <row r="2766" ht="18.75" customHeight="1">
      <c r="A2766" s="165">
        <v>2763.0</v>
      </c>
      <c r="B2766" s="165"/>
      <c r="C2766" s="165"/>
      <c r="D2766" s="165"/>
      <c r="E2766" s="165"/>
      <c r="F2766" s="165"/>
      <c r="G2766" s="165"/>
      <c r="H2766" s="165"/>
      <c r="I2766" s="165"/>
      <c r="J2766" s="165"/>
      <c r="K2766" s="165"/>
      <c r="L2766" s="165"/>
      <c r="M2766" s="165"/>
      <c r="N2766" s="165"/>
      <c r="O2766" s="165"/>
      <c r="P2766" s="165"/>
      <c r="Q2766" s="165"/>
      <c r="R2766" s="165"/>
      <c r="S2766" s="165"/>
      <c r="T2766" s="165"/>
      <c r="U2766" s="165"/>
      <c r="V2766" s="165"/>
      <c r="W2766" s="165"/>
      <c r="X2766" s="165"/>
    </row>
    <row r="2767" ht="18.75" customHeight="1">
      <c r="A2767" s="165">
        <v>2764.0</v>
      </c>
      <c r="B2767" s="165"/>
      <c r="C2767" s="165"/>
      <c r="D2767" s="165"/>
      <c r="E2767" s="165"/>
      <c r="F2767" s="165"/>
      <c r="G2767" s="165"/>
      <c r="H2767" s="165"/>
      <c r="I2767" s="165"/>
      <c r="J2767" s="165"/>
      <c r="K2767" s="165"/>
      <c r="L2767" s="165"/>
      <c r="M2767" s="165"/>
      <c r="N2767" s="165"/>
      <c r="O2767" s="165"/>
      <c r="P2767" s="165"/>
      <c r="Q2767" s="165"/>
      <c r="R2767" s="165"/>
      <c r="S2767" s="165"/>
      <c r="T2767" s="165"/>
      <c r="U2767" s="165"/>
      <c r="V2767" s="165"/>
      <c r="W2767" s="165"/>
      <c r="X2767" s="165"/>
    </row>
    <row r="2768" ht="18.75" customHeight="1">
      <c r="A2768" s="165">
        <v>2765.0</v>
      </c>
      <c r="B2768" s="165"/>
      <c r="C2768" s="165"/>
      <c r="D2768" s="165"/>
      <c r="E2768" s="165"/>
      <c r="F2768" s="165"/>
      <c r="G2768" s="165"/>
      <c r="H2768" s="165"/>
      <c r="I2768" s="165"/>
      <c r="J2768" s="165"/>
      <c r="K2768" s="165"/>
      <c r="L2768" s="165"/>
      <c r="M2768" s="165"/>
      <c r="N2768" s="165"/>
      <c r="O2768" s="165"/>
      <c r="P2768" s="165"/>
      <c r="Q2768" s="165"/>
      <c r="R2768" s="165"/>
      <c r="S2768" s="165"/>
      <c r="T2768" s="165"/>
      <c r="U2768" s="165"/>
      <c r="V2768" s="165"/>
      <c r="W2768" s="165"/>
      <c r="X2768" s="165"/>
    </row>
    <row r="2769" ht="18.75" customHeight="1">
      <c r="A2769" s="165">
        <v>2766.0</v>
      </c>
      <c r="B2769" s="165"/>
      <c r="C2769" s="165"/>
      <c r="D2769" s="165"/>
      <c r="E2769" s="165"/>
      <c r="F2769" s="165"/>
      <c r="G2769" s="165"/>
      <c r="H2769" s="165"/>
      <c r="I2769" s="165"/>
      <c r="J2769" s="165"/>
      <c r="K2769" s="165"/>
      <c r="L2769" s="165"/>
      <c r="M2769" s="165"/>
      <c r="N2769" s="165"/>
      <c r="O2769" s="165"/>
      <c r="P2769" s="165"/>
      <c r="Q2769" s="165"/>
      <c r="R2769" s="165"/>
      <c r="S2769" s="165"/>
      <c r="T2769" s="165"/>
      <c r="U2769" s="165"/>
      <c r="V2769" s="165"/>
      <c r="W2769" s="165"/>
      <c r="X2769" s="165"/>
    </row>
    <row r="2770" ht="18.75" customHeight="1">
      <c r="A2770" s="165">
        <v>2767.0</v>
      </c>
      <c r="B2770" s="165"/>
      <c r="C2770" s="165"/>
      <c r="D2770" s="165"/>
      <c r="E2770" s="165"/>
      <c r="F2770" s="165"/>
      <c r="G2770" s="165"/>
      <c r="H2770" s="165"/>
      <c r="I2770" s="165"/>
      <c r="J2770" s="165"/>
      <c r="K2770" s="165"/>
      <c r="L2770" s="165"/>
      <c r="M2770" s="165"/>
      <c r="N2770" s="165"/>
      <c r="O2770" s="165"/>
      <c r="P2770" s="165"/>
      <c r="Q2770" s="165"/>
      <c r="R2770" s="165"/>
      <c r="S2770" s="165"/>
      <c r="T2770" s="165"/>
      <c r="U2770" s="165"/>
      <c r="V2770" s="165"/>
      <c r="W2770" s="165"/>
      <c r="X2770" s="165"/>
    </row>
    <row r="2771" ht="18.75" customHeight="1">
      <c r="A2771" s="165">
        <v>2768.0</v>
      </c>
      <c r="B2771" s="165"/>
      <c r="C2771" s="165"/>
      <c r="D2771" s="165"/>
      <c r="E2771" s="165"/>
      <c r="F2771" s="165"/>
      <c r="G2771" s="165"/>
      <c r="H2771" s="165"/>
      <c r="I2771" s="165"/>
      <c r="J2771" s="165"/>
      <c r="K2771" s="165"/>
      <c r="L2771" s="165"/>
      <c r="M2771" s="165"/>
      <c r="N2771" s="165"/>
      <c r="O2771" s="165"/>
      <c r="P2771" s="165"/>
      <c r="Q2771" s="165"/>
      <c r="R2771" s="165"/>
      <c r="S2771" s="165"/>
      <c r="T2771" s="165"/>
      <c r="U2771" s="165"/>
      <c r="V2771" s="165"/>
      <c r="W2771" s="165"/>
      <c r="X2771" s="165"/>
    </row>
    <row r="2772" ht="18.75" customHeight="1">
      <c r="A2772" s="165">
        <v>2769.0</v>
      </c>
      <c r="B2772" s="165"/>
      <c r="C2772" s="165"/>
      <c r="D2772" s="165"/>
      <c r="E2772" s="165"/>
      <c r="F2772" s="165"/>
      <c r="G2772" s="165"/>
      <c r="H2772" s="165"/>
      <c r="I2772" s="165"/>
      <c r="J2772" s="165"/>
      <c r="K2772" s="165"/>
      <c r="L2772" s="165"/>
      <c r="M2772" s="165"/>
      <c r="N2772" s="165"/>
      <c r="O2772" s="165"/>
      <c r="P2772" s="165"/>
      <c r="Q2772" s="165"/>
      <c r="R2772" s="165"/>
      <c r="S2772" s="165"/>
      <c r="T2772" s="165"/>
      <c r="U2772" s="165"/>
      <c r="V2772" s="165"/>
      <c r="W2772" s="165"/>
      <c r="X2772" s="165"/>
    </row>
    <row r="2773" ht="18.75" customHeight="1">
      <c r="A2773" s="165">
        <v>2770.0</v>
      </c>
      <c r="B2773" s="165"/>
      <c r="C2773" s="165"/>
      <c r="D2773" s="165"/>
      <c r="E2773" s="165"/>
      <c r="F2773" s="165"/>
      <c r="G2773" s="165"/>
      <c r="H2773" s="165"/>
      <c r="I2773" s="165"/>
      <c r="J2773" s="165"/>
      <c r="K2773" s="165"/>
      <c r="L2773" s="165"/>
      <c r="M2773" s="165"/>
      <c r="N2773" s="165"/>
      <c r="O2773" s="165"/>
      <c r="P2773" s="165"/>
      <c r="Q2773" s="165"/>
      <c r="R2773" s="165"/>
      <c r="S2773" s="165"/>
      <c r="T2773" s="165"/>
      <c r="U2773" s="165"/>
      <c r="V2773" s="165"/>
      <c r="W2773" s="165"/>
      <c r="X2773" s="165"/>
    </row>
    <row r="2774" ht="18.75" customHeight="1">
      <c r="A2774" s="165">
        <v>2771.0</v>
      </c>
      <c r="B2774" s="165"/>
      <c r="C2774" s="165"/>
      <c r="D2774" s="165"/>
      <c r="E2774" s="165"/>
      <c r="F2774" s="165"/>
      <c r="G2774" s="165"/>
      <c r="H2774" s="165"/>
      <c r="I2774" s="165"/>
      <c r="J2774" s="165"/>
      <c r="K2774" s="165"/>
      <c r="L2774" s="165"/>
      <c r="M2774" s="165"/>
      <c r="N2774" s="165"/>
      <c r="O2774" s="165"/>
      <c r="P2774" s="165"/>
      <c r="Q2774" s="165"/>
      <c r="R2774" s="165"/>
      <c r="S2774" s="165"/>
      <c r="T2774" s="165"/>
      <c r="U2774" s="165"/>
      <c r="V2774" s="165"/>
      <c r="W2774" s="165"/>
      <c r="X2774" s="165"/>
    </row>
    <row r="2775" ht="18.75" customHeight="1">
      <c r="A2775" s="165">
        <v>2772.0</v>
      </c>
      <c r="B2775" s="165"/>
      <c r="C2775" s="165"/>
      <c r="D2775" s="165"/>
      <c r="E2775" s="165"/>
      <c r="F2775" s="165"/>
      <c r="G2775" s="165"/>
      <c r="H2775" s="165"/>
      <c r="I2775" s="165"/>
      <c r="J2775" s="165"/>
      <c r="K2775" s="165"/>
      <c r="L2775" s="165"/>
      <c r="M2775" s="165"/>
      <c r="N2775" s="165"/>
      <c r="O2775" s="165"/>
      <c r="P2775" s="165"/>
      <c r="Q2775" s="165"/>
      <c r="R2775" s="165"/>
      <c r="S2775" s="165"/>
      <c r="T2775" s="165"/>
      <c r="U2775" s="165"/>
      <c r="V2775" s="165"/>
      <c r="W2775" s="165"/>
      <c r="X2775" s="165"/>
    </row>
    <row r="2776" ht="18.75" customHeight="1">
      <c r="A2776" s="165">
        <v>2773.0</v>
      </c>
      <c r="B2776" s="165"/>
      <c r="C2776" s="165"/>
      <c r="D2776" s="165"/>
      <c r="E2776" s="165"/>
      <c r="F2776" s="165"/>
      <c r="G2776" s="165"/>
      <c r="H2776" s="165"/>
      <c r="I2776" s="165"/>
      <c r="J2776" s="165"/>
      <c r="K2776" s="165"/>
      <c r="L2776" s="165"/>
      <c r="M2776" s="165"/>
      <c r="N2776" s="165"/>
      <c r="O2776" s="165"/>
      <c r="P2776" s="165"/>
      <c r="Q2776" s="165"/>
      <c r="R2776" s="165"/>
      <c r="S2776" s="165"/>
      <c r="T2776" s="165"/>
      <c r="U2776" s="165"/>
      <c r="V2776" s="165"/>
      <c r="W2776" s="165"/>
      <c r="X2776" s="165"/>
    </row>
    <row r="2777" ht="18.75" customHeight="1">
      <c r="A2777" s="165">
        <v>2774.0</v>
      </c>
      <c r="B2777" s="165"/>
      <c r="C2777" s="165"/>
      <c r="D2777" s="165"/>
      <c r="E2777" s="165"/>
      <c r="F2777" s="165"/>
      <c r="G2777" s="165"/>
      <c r="H2777" s="165"/>
      <c r="I2777" s="165"/>
      <c r="J2777" s="165"/>
      <c r="K2777" s="165"/>
      <c r="L2777" s="165"/>
      <c r="M2777" s="165"/>
      <c r="N2777" s="165"/>
      <c r="O2777" s="165"/>
      <c r="P2777" s="165"/>
      <c r="Q2777" s="165"/>
      <c r="R2777" s="165"/>
      <c r="S2777" s="165"/>
      <c r="T2777" s="165"/>
      <c r="U2777" s="165"/>
      <c r="V2777" s="165"/>
      <c r="W2777" s="165"/>
      <c r="X2777" s="165"/>
    </row>
    <row r="2778" ht="18.75" customHeight="1">
      <c r="A2778" s="165">
        <v>2775.0</v>
      </c>
      <c r="B2778" s="165"/>
      <c r="C2778" s="165"/>
      <c r="D2778" s="165"/>
      <c r="E2778" s="165"/>
      <c r="F2778" s="165"/>
      <c r="G2778" s="165"/>
      <c r="H2778" s="165"/>
      <c r="I2778" s="165"/>
      <c r="J2778" s="165"/>
      <c r="K2778" s="165"/>
      <c r="L2778" s="165"/>
      <c r="M2778" s="165"/>
      <c r="N2778" s="165"/>
      <c r="O2778" s="165"/>
      <c r="P2778" s="165"/>
      <c r="Q2778" s="165"/>
      <c r="R2778" s="165"/>
      <c r="S2778" s="165"/>
      <c r="T2778" s="165"/>
      <c r="U2778" s="165"/>
      <c r="V2778" s="165"/>
      <c r="W2778" s="165"/>
      <c r="X2778" s="165"/>
    </row>
    <row r="2779" ht="18.75" customHeight="1">
      <c r="A2779" s="165">
        <v>2776.0</v>
      </c>
      <c r="B2779" s="165"/>
      <c r="C2779" s="165"/>
      <c r="D2779" s="165"/>
      <c r="E2779" s="165"/>
      <c r="F2779" s="165"/>
      <c r="G2779" s="165"/>
      <c r="H2779" s="165"/>
      <c r="I2779" s="165"/>
      <c r="J2779" s="165"/>
      <c r="K2779" s="165"/>
      <c r="L2779" s="165"/>
      <c r="M2779" s="165"/>
      <c r="N2779" s="165"/>
      <c r="O2779" s="165"/>
      <c r="P2779" s="165"/>
      <c r="Q2779" s="165"/>
      <c r="R2779" s="165"/>
      <c r="S2779" s="165"/>
      <c r="T2779" s="165"/>
      <c r="U2779" s="165"/>
      <c r="V2779" s="165"/>
      <c r="W2779" s="165"/>
      <c r="X2779" s="165"/>
    </row>
    <row r="2780" ht="18.75" customHeight="1">
      <c r="A2780" s="165">
        <v>2777.0</v>
      </c>
      <c r="B2780" s="165"/>
      <c r="C2780" s="165"/>
      <c r="D2780" s="165"/>
      <c r="E2780" s="165"/>
      <c r="F2780" s="165"/>
      <c r="G2780" s="165"/>
      <c r="H2780" s="165"/>
      <c r="I2780" s="165"/>
      <c r="J2780" s="165"/>
      <c r="K2780" s="165"/>
      <c r="L2780" s="165"/>
      <c r="M2780" s="165"/>
      <c r="N2780" s="165"/>
      <c r="O2780" s="165"/>
      <c r="P2780" s="165"/>
      <c r="Q2780" s="165"/>
      <c r="R2780" s="165"/>
      <c r="S2780" s="165"/>
      <c r="T2780" s="165"/>
      <c r="U2780" s="165"/>
      <c r="V2780" s="165"/>
      <c r="W2780" s="165"/>
      <c r="X2780" s="165"/>
    </row>
    <row r="2781" ht="18.75" customHeight="1">
      <c r="A2781" s="165">
        <v>2778.0</v>
      </c>
      <c r="B2781" s="165"/>
      <c r="C2781" s="165"/>
      <c r="D2781" s="165"/>
      <c r="E2781" s="165"/>
      <c r="F2781" s="165"/>
      <c r="G2781" s="165"/>
      <c r="H2781" s="165"/>
      <c r="I2781" s="165"/>
      <c r="J2781" s="165"/>
      <c r="K2781" s="165"/>
      <c r="L2781" s="165"/>
      <c r="M2781" s="165"/>
      <c r="N2781" s="165"/>
      <c r="O2781" s="165"/>
      <c r="P2781" s="165"/>
      <c r="Q2781" s="165"/>
      <c r="R2781" s="165"/>
      <c r="S2781" s="165"/>
      <c r="T2781" s="165"/>
      <c r="U2781" s="165"/>
      <c r="V2781" s="165"/>
      <c r="W2781" s="165"/>
      <c r="X2781" s="165"/>
    </row>
    <row r="2782" ht="18.75" customHeight="1">
      <c r="A2782" s="165">
        <v>2779.0</v>
      </c>
      <c r="B2782" s="165"/>
      <c r="C2782" s="165"/>
      <c r="D2782" s="165"/>
      <c r="E2782" s="165"/>
      <c r="F2782" s="165"/>
      <c r="G2782" s="165"/>
      <c r="H2782" s="165"/>
      <c r="I2782" s="165"/>
      <c r="J2782" s="165"/>
      <c r="K2782" s="165"/>
      <c r="L2782" s="165"/>
      <c r="M2782" s="165"/>
      <c r="N2782" s="165"/>
      <c r="O2782" s="165"/>
      <c r="P2782" s="165"/>
      <c r="Q2782" s="165"/>
      <c r="R2782" s="165"/>
      <c r="S2782" s="165"/>
      <c r="T2782" s="165"/>
      <c r="U2782" s="165"/>
      <c r="V2782" s="165"/>
      <c r="W2782" s="165"/>
      <c r="X2782" s="165"/>
    </row>
    <row r="2783" ht="18.75" customHeight="1">
      <c r="A2783" s="165">
        <v>2780.0</v>
      </c>
      <c r="B2783" s="165"/>
      <c r="C2783" s="165"/>
      <c r="D2783" s="165"/>
      <c r="E2783" s="165"/>
      <c r="F2783" s="165"/>
      <c r="G2783" s="165"/>
      <c r="H2783" s="165"/>
      <c r="I2783" s="165"/>
      <c r="J2783" s="165"/>
      <c r="K2783" s="165"/>
      <c r="L2783" s="165"/>
      <c r="M2783" s="165"/>
      <c r="N2783" s="165"/>
      <c r="O2783" s="165"/>
      <c r="P2783" s="165"/>
      <c r="Q2783" s="165"/>
      <c r="R2783" s="165"/>
      <c r="S2783" s="165"/>
      <c r="T2783" s="165"/>
      <c r="U2783" s="165"/>
      <c r="V2783" s="165"/>
      <c r="W2783" s="165"/>
      <c r="X2783" s="165"/>
    </row>
    <row r="2784" ht="18.75" customHeight="1">
      <c r="A2784" s="165">
        <v>2781.0</v>
      </c>
      <c r="B2784" s="165"/>
      <c r="C2784" s="165"/>
      <c r="D2784" s="165"/>
      <c r="E2784" s="165"/>
      <c r="F2784" s="165"/>
      <c r="G2784" s="165"/>
      <c r="H2784" s="165"/>
      <c r="I2784" s="165"/>
      <c r="J2784" s="165"/>
      <c r="K2784" s="165"/>
      <c r="L2784" s="165"/>
      <c r="M2784" s="165"/>
      <c r="N2784" s="165"/>
      <c r="O2784" s="165"/>
      <c r="P2784" s="165"/>
      <c r="Q2784" s="165"/>
      <c r="R2784" s="165"/>
      <c r="S2784" s="165"/>
      <c r="T2784" s="165"/>
      <c r="U2784" s="165"/>
      <c r="V2784" s="165"/>
      <c r="W2784" s="165"/>
      <c r="X2784" s="165"/>
    </row>
    <row r="2785" ht="18.75" customHeight="1">
      <c r="A2785" s="165">
        <v>2782.0</v>
      </c>
      <c r="B2785" s="165"/>
      <c r="C2785" s="165"/>
      <c r="D2785" s="165"/>
      <c r="E2785" s="165"/>
      <c r="F2785" s="165"/>
      <c r="G2785" s="165"/>
      <c r="H2785" s="165"/>
      <c r="I2785" s="165"/>
      <c r="J2785" s="165"/>
      <c r="K2785" s="165"/>
      <c r="L2785" s="165"/>
      <c r="M2785" s="165"/>
      <c r="N2785" s="165"/>
      <c r="O2785" s="165"/>
      <c r="P2785" s="165"/>
      <c r="Q2785" s="165"/>
      <c r="R2785" s="165"/>
      <c r="S2785" s="165"/>
      <c r="T2785" s="165"/>
      <c r="U2785" s="165"/>
      <c r="V2785" s="165"/>
      <c r="W2785" s="165"/>
      <c r="X2785" s="165"/>
    </row>
    <row r="2786" ht="18.75" customHeight="1">
      <c r="A2786" s="165">
        <v>2783.0</v>
      </c>
      <c r="B2786" s="165"/>
      <c r="C2786" s="165"/>
      <c r="D2786" s="165"/>
      <c r="E2786" s="165"/>
      <c r="F2786" s="165"/>
      <c r="G2786" s="165"/>
      <c r="H2786" s="165"/>
      <c r="I2786" s="165"/>
      <c r="J2786" s="165"/>
      <c r="K2786" s="165"/>
      <c r="L2786" s="165"/>
      <c r="M2786" s="165"/>
      <c r="N2786" s="165"/>
      <c r="O2786" s="165"/>
      <c r="P2786" s="165"/>
      <c r="Q2786" s="165"/>
      <c r="R2786" s="165"/>
      <c r="S2786" s="165"/>
      <c r="T2786" s="165"/>
      <c r="U2786" s="165"/>
      <c r="V2786" s="165"/>
      <c r="W2786" s="165"/>
      <c r="X2786" s="165"/>
    </row>
    <row r="2787" ht="18.75" customHeight="1">
      <c r="A2787" s="165">
        <v>2784.0</v>
      </c>
      <c r="B2787" s="165"/>
      <c r="C2787" s="165"/>
      <c r="D2787" s="165"/>
      <c r="E2787" s="165"/>
      <c r="F2787" s="165"/>
      <c r="G2787" s="165"/>
      <c r="H2787" s="165"/>
      <c r="I2787" s="165"/>
      <c r="J2787" s="165"/>
      <c r="K2787" s="165"/>
      <c r="L2787" s="165"/>
      <c r="M2787" s="165"/>
      <c r="N2787" s="165"/>
      <c r="O2787" s="165"/>
      <c r="P2787" s="165"/>
      <c r="Q2787" s="165"/>
      <c r="R2787" s="165"/>
      <c r="S2787" s="165"/>
      <c r="T2787" s="165"/>
      <c r="U2787" s="165"/>
      <c r="V2787" s="165"/>
      <c r="W2787" s="165"/>
      <c r="X2787" s="165"/>
    </row>
    <row r="2788" ht="18.75" customHeight="1">
      <c r="A2788" s="165">
        <v>2785.0</v>
      </c>
      <c r="B2788" s="165"/>
      <c r="C2788" s="165"/>
      <c r="D2788" s="165"/>
      <c r="E2788" s="165"/>
      <c r="F2788" s="165"/>
      <c r="G2788" s="165"/>
      <c r="H2788" s="165"/>
      <c r="I2788" s="165"/>
      <c r="J2788" s="165"/>
      <c r="K2788" s="165"/>
      <c r="L2788" s="165"/>
      <c r="M2788" s="165"/>
      <c r="N2788" s="165"/>
      <c r="O2788" s="165"/>
      <c r="P2788" s="165"/>
      <c r="Q2788" s="165"/>
      <c r="R2788" s="165"/>
      <c r="S2788" s="165"/>
      <c r="T2788" s="165"/>
      <c r="U2788" s="165"/>
      <c r="V2788" s="165"/>
      <c r="W2788" s="165"/>
      <c r="X2788" s="165"/>
    </row>
    <row r="2789" ht="18.75" customHeight="1">
      <c r="A2789" s="165">
        <v>2786.0</v>
      </c>
      <c r="B2789" s="165"/>
      <c r="C2789" s="165"/>
      <c r="D2789" s="165"/>
      <c r="E2789" s="165"/>
      <c r="F2789" s="165"/>
      <c r="G2789" s="165"/>
      <c r="H2789" s="165"/>
      <c r="I2789" s="165"/>
      <c r="J2789" s="165"/>
      <c r="K2789" s="165"/>
      <c r="L2789" s="165"/>
      <c r="M2789" s="165"/>
      <c r="N2789" s="165"/>
      <c r="O2789" s="165"/>
      <c r="P2789" s="165"/>
      <c r="Q2789" s="165"/>
      <c r="R2789" s="165"/>
      <c r="S2789" s="165"/>
      <c r="T2789" s="165"/>
      <c r="U2789" s="165"/>
      <c r="V2789" s="165"/>
      <c r="W2789" s="165"/>
      <c r="X2789" s="165"/>
    </row>
    <row r="2790" ht="18.75" customHeight="1">
      <c r="A2790" s="165">
        <v>2787.0</v>
      </c>
      <c r="B2790" s="165"/>
      <c r="C2790" s="165"/>
      <c r="D2790" s="165"/>
      <c r="E2790" s="165"/>
      <c r="F2790" s="165"/>
      <c r="G2790" s="165"/>
      <c r="H2790" s="165"/>
      <c r="I2790" s="165"/>
      <c r="J2790" s="165"/>
      <c r="K2790" s="165"/>
      <c r="L2790" s="165"/>
      <c r="M2790" s="165"/>
      <c r="N2790" s="165"/>
      <c r="O2790" s="165"/>
      <c r="P2790" s="165"/>
      <c r="Q2790" s="165"/>
      <c r="R2790" s="165"/>
      <c r="S2790" s="165"/>
      <c r="T2790" s="165"/>
      <c r="U2790" s="165"/>
      <c r="V2790" s="165"/>
      <c r="W2790" s="165"/>
      <c r="X2790" s="165"/>
    </row>
    <row r="2791" ht="18.75" customHeight="1">
      <c r="A2791" s="165">
        <v>2788.0</v>
      </c>
      <c r="B2791" s="165"/>
      <c r="C2791" s="165"/>
      <c r="D2791" s="165"/>
      <c r="E2791" s="165"/>
      <c r="F2791" s="165"/>
      <c r="G2791" s="165"/>
      <c r="H2791" s="165"/>
      <c r="I2791" s="165"/>
      <c r="J2791" s="165"/>
      <c r="K2791" s="165"/>
      <c r="L2791" s="165"/>
      <c r="M2791" s="165"/>
      <c r="N2791" s="165"/>
      <c r="O2791" s="165"/>
      <c r="P2791" s="165"/>
      <c r="Q2791" s="165"/>
      <c r="R2791" s="165"/>
      <c r="S2791" s="165"/>
      <c r="T2791" s="165"/>
      <c r="U2791" s="165"/>
      <c r="V2791" s="165"/>
      <c r="W2791" s="165"/>
      <c r="X2791" s="165"/>
    </row>
    <row r="2792" ht="18.75" customHeight="1">
      <c r="A2792" s="165">
        <v>2789.0</v>
      </c>
      <c r="B2792" s="165"/>
      <c r="C2792" s="165"/>
      <c r="D2792" s="165"/>
      <c r="E2792" s="165"/>
      <c r="F2792" s="165"/>
      <c r="G2792" s="165"/>
      <c r="H2792" s="165"/>
      <c r="I2792" s="165"/>
      <c r="J2792" s="165"/>
      <c r="K2792" s="165"/>
      <c r="L2792" s="165"/>
      <c r="M2792" s="165"/>
      <c r="N2792" s="165"/>
      <c r="O2792" s="165"/>
      <c r="P2792" s="165"/>
      <c r="Q2792" s="165"/>
      <c r="R2792" s="165"/>
      <c r="S2792" s="165"/>
      <c r="T2792" s="165"/>
      <c r="U2792" s="165"/>
      <c r="V2792" s="165"/>
      <c r="W2792" s="165"/>
      <c r="X2792" s="165"/>
    </row>
    <row r="2793" ht="18.75" customHeight="1">
      <c r="A2793" s="165">
        <v>2790.0</v>
      </c>
      <c r="B2793" s="165"/>
      <c r="C2793" s="165"/>
      <c r="D2793" s="165"/>
      <c r="E2793" s="165"/>
      <c r="F2793" s="165"/>
      <c r="G2793" s="165"/>
      <c r="H2793" s="165"/>
      <c r="I2793" s="165"/>
      <c r="J2793" s="165"/>
      <c r="K2793" s="165"/>
      <c r="L2793" s="165"/>
      <c r="M2793" s="165"/>
      <c r="N2793" s="165"/>
      <c r="O2793" s="165"/>
      <c r="P2793" s="165"/>
      <c r="Q2793" s="165"/>
      <c r="R2793" s="165"/>
      <c r="S2793" s="165"/>
      <c r="T2793" s="165"/>
      <c r="U2793" s="165"/>
      <c r="V2793" s="165"/>
      <c r="W2793" s="165"/>
      <c r="X2793" s="165"/>
    </row>
    <row r="2794" ht="18.75" customHeight="1">
      <c r="A2794" s="165">
        <v>2791.0</v>
      </c>
      <c r="B2794" s="165"/>
      <c r="C2794" s="165"/>
      <c r="D2794" s="165"/>
      <c r="E2794" s="165"/>
      <c r="F2794" s="165"/>
      <c r="G2794" s="165"/>
      <c r="H2794" s="165"/>
      <c r="I2794" s="165"/>
      <c r="J2794" s="165"/>
      <c r="K2794" s="165"/>
      <c r="L2794" s="165"/>
      <c r="M2794" s="165"/>
      <c r="N2794" s="165"/>
      <c r="O2794" s="165"/>
      <c r="P2794" s="165"/>
      <c r="Q2794" s="165"/>
      <c r="R2794" s="165"/>
      <c r="S2794" s="165"/>
      <c r="T2794" s="165"/>
      <c r="U2794" s="165"/>
      <c r="V2794" s="165"/>
      <c r="W2794" s="165"/>
      <c r="X2794" s="165"/>
    </row>
    <row r="2795" ht="18.75" customHeight="1">
      <c r="A2795" s="165">
        <v>2792.0</v>
      </c>
      <c r="B2795" s="165"/>
      <c r="C2795" s="165"/>
      <c r="D2795" s="165"/>
      <c r="E2795" s="165"/>
      <c r="F2795" s="165"/>
      <c r="G2795" s="165"/>
      <c r="H2795" s="165"/>
      <c r="I2795" s="165"/>
      <c r="J2795" s="165"/>
      <c r="K2795" s="165"/>
      <c r="L2795" s="165"/>
      <c r="M2795" s="165"/>
      <c r="N2795" s="165"/>
      <c r="O2795" s="165"/>
      <c r="P2795" s="165"/>
      <c r="Q2795" s="165"/>
      <c r="R2795" s="165"/>
      <c r="S2795" s="165"/>
      <c r="T2795" s="165"/>
      <c r="U2795" s="165"/>
      <c r="V2795" s="165"/>
      <c r="W2795" s="165"/>
      <c r="X2795" s="165"/>
    </row>
    <row r="2796" ht="18.75" customHeight="1">
      <c r="A2796" s="165">
        <v>2793.0</v>
      </c>
      <c r="B2796" s="165"/>
      <c r="C2796" s="165"/>
      <c r="D2796" s="165"/>
      <c r="E2796" s="165"/>
      <c r="F2796" s="165"/>
      <c r="G2796" s="165"/>
      <c r="H2796" s="165"/>
      <c r="I2796" s="165"/>
      <c r="J2796" s="165"/>
      <c r="K2796" s="165"/>
      <c r="L2796" s="165"/>
      <c r="M2796" s="165"/>
      <c r="N2796" s="165"/>
      <c r="O2796" s="165"/>
      <c r="P2796" s="165"/>
      <c r="Q2796" s="165"/>
      <c r="R2796" s="165"/>
      <c r="S2796" s="165"/>
      <c r="T2796" s="165"/>
      <c r="U2796" s="165"/>
      <c r="V2796" s="165"/>
      <c r="W2796" s="165"/>
      <c r="X2796" s="165"/>
    </row>
    <row r="2797" ht="18.75" customHeight="1">
      <c r="A2797" s="165">
        <v>2794.0</v>
      </c>
      <c r="B2797" s="165"/>
      <c r="C2797" s="165"/>
      <c r="D2797" s="165"/>
      <c r="E2797" s="165"/>
      <c r="F2797" s="165"/>
      <c r="G2797" s="165"/>
      <c r="H2797" s="165"/>
      <c r="I2797" s="165"/>
      <c r="J2797" s="165"/>
      <c r="K2797" s="165"/>
      <c r="L2797" s="165"/>
      <c r="M2797" s="165"/>
      <c r="N2797" s="165"/>
      <c r="O2797" s="165"/>
      <c r="P2797" s="165"/>
      <c r="Q2797" s="165"/>
      <c r="R2797" s="165"/>
      <c r="S2797" s="165"/>
      <c r="T2797" s="165"/>
      <c r="U2797" s="165"/>
      <c r="V2797" s="165"/>
      <c r="W2797" s="165"/>
      <c r="X2797" s="165"/>
    </row>
    <row r="2798" ht="18.75" customHeight="1">
      <c r="A2798" s="165">
        <v>2795.0</v>
      </c>
      <c r="B2798" s="165"/>
      <c r="C2798" s="165"/>
      <c r="D2798" s="165"/>
      <c r="E2798" s="165"/>
      <c r="F2798" s="165"/>
      <c r="G2798" s="165"/>
      <c r="H2798" s="165"/>
      <c r="I2798" s="165"/>
      <c r="J2798" s="165"/>
      <c r="K2798" s="165"/>
      <c r="L2798" s="165"/>
      <c r="M2798" s="165"/>
      <c r="N2798" s="165"/>
      <c r="O2798" s="165"/>
      <c r="P2798" s="165"/>
      <c r="Q2798" s="165"/>
      <c r="R2798" s="165"/>
      <c r="S2798" s="165"/>
      <c r="T2798" s="165"/>
      <c r="U2798" s="165"/>
      <c r="V2798" s="165"/>
      <c r="W2798" s="165"/>
      <c r="X2798" s="165"/>
    </row>
    <row r="2799" ht="18.75" customHeight="1">
      <c r="A2799" s="165">
        <v>2796.0</v>
      </c>
      <c r="B2799" s="165"/>
      <c r="C2799" s="165"/>
      <c r="D2799" s="165"/>
      <c r="E2799" s="165"/>
      <c r="F2799" s="165"/>
      <c r="G2799" s="165"/>
      <c r="H2799" s="165"/>
      <c r="I2799" s="165"/>
      <c r="J2799" s="165"/>
      <c r="K2799" s="165"/>
      <c r="L2799" s="165"/>
      <c r="M2799" s="165"/>
      <c r="N2799" s="165"/>
      <c r="O2799" s="165"/>
      <c r="P2799" s="165"/>
      <c r="Q2799" s="165"/>
      <c r="R2799" s="165"/>
      <c r="S2799" s="165"/>
      <c r="T2799" s="165"/>
      <c r="U2799" s="165"/>
      <c r="V2799" s="165"/>
      <c r="W2799" s="165"/>
      <c r="X2799" s="165"/>
    </row>
    <row r="2800" ht="18.75" customHeight="1">
      <c r="A2800" s="165">
        <v>2797.0</v>
      </c>
      <c r="B2800" s="165"/>
      <c r="C2800" s="165"/>
      <c r="D2800" s="165"/>
      <c r="E2800" s="165"/>
      <c r="F2800" s="165"/>
      <c r="G2800" s="165"/>
      <c r="H2800" s="165"/>
      <c r="I2800" s="165"/>
      <c r="J2800" s="165"/>
      <c r="K2800" s="165"/>
      <c r="L2800" s="165"/>
      <c r="M2800" s="165"/>
      <c r="N2800" s="165"/>
      <c r="O2800" s="165"/>
      <c r="P2800" s="165"/>
      <c r="Q2800" s="165"/>
      <c r="R2800" s="165"/>
      <c r="S2800" s="165"/>
      <c r="T2800" s="165"/>
      <c r="U2800" s="165"/>
      <c r="V2800" s="165"/>
      <c r="W2800" s="165"/>
      <c r="X2800" s="165"/>
    </row>
    <row r="2801" ht="18.75" customHeight="1">
      <c r="A2801" s="165">
        <v>2798.0</v>
      </c>
      <c r="B2801" s="165"/>
      <c r="C2801" s="165"/>
      <c r="D2801" s="165"/>
      <c r="E2801" s="165"/>
      <c r="F2801" s="165"/>
      <c r="G2801" s="165"/>
      <c r="H2801" s="165"/>
      <c r="I2801" s="165"/>
      <c r="J2801" s="165"/>
      <c r="K2801" s="165"/>
      <c r="L2801" s="165"/>
      <c r="M2801" s="165"/>
      <c r="N2801" s="165"/>
      <c r="O2801" s="165"/>
      <c r="P2801" s="165"/>
      <c r="Q2801" s="165"/>
      <c r="R2801" s="165"/>
      <c r="S2801" s="165"/>
      <c r="T2801" s="165"/>
      <c r="U2801" s="165"/>
      <c r="V2801" s="165"/>
      <c r="W2801" s="165"/>
      <c r="X2801" s="165"/>
    </row>
    <row r="2802" ht="18.75" customHeight="1">
      <c r="A2802" s="165">
        <v>2799.0</v>
      </c>
      <c r="B2802" s="165"/>
      <c r="C2802" s="165"/>
      <c r="D2802" s="165"/>
      <c r="E2802" s="165"/>
      <c r="F2802" s="165"/>
      <c r="G2802" s="165"/>
      <c r="H2802" s="165"/>
      <c r="I2802" s="165"/>
      <c r="J2802" s="165"/>
      <c r="K2802" s="165"/>
      <c r="L2802" s="165"/>
      <c r="M2802" s="165"/>
      <c r="N2802" s="165"/>
      <c r="O2802" s="165"/>
      <c r="P2802" s="165"/>
      <c r="Q2802" s="165"/>
      <c r="R2802" s="165"/>
      <c r="S2802" s="165"/>
      <c r="T2802" s="165"/>
      <c r="U2802" s="165"/>
      <c r="V2802" s="165"/>
      <c r="W2802" s="165"/>
      <c r="X2802" s="165"/>
    </row>
    <row r="2803" ht="18.75" customHeight="1">
      <c r="A2803" s="165">
        <v>2800.0</v>
      </c>
      <c r="B2803" s="165"/>
      <c r="C2803" s="165"/>
      <c r="D2803" s="165"/>
      <c r="E2803" s="165"/>
      <c r="F2803" s="165"/>
      <c r="G2803" s="165"/>
      <c r="H2803" s="165"/>
      <c r="I2803" s="165"/>
      <c r="J2803" s="165"/>
      <c r="K2803" s="165"/>
      <c r="L2803" s="165"/>
      <c r="M2803" s="165"/>
      <c r="N2803" s="165"/>
      <c r="O2803" s="165"/>
      <c r="P2803" s="165"/>
      <c r="Q2803" s="165"/>
      <c r="R2803" s="165"/>
      <c r="S2803" s="165"/>
      <c r="T2803" s="165"/>
      <c r="U2803" s="165"/>
      <c r="V2803" s="165"/>
      <c r="W2803" s="165"/>
      <c r="X2803" s="165"/>
    </row>
    <row r="2804" ht="18.75" customHeight="1">
      <c r="A2804" s="165">
        <v>2801.0</v>
      </c>
      <c r="B2804" s="165"/>
      <c r="C2804" s="165"/>
      <c r="D2804" s="165"/>
      <c r="E2804" s="165"/>
      <c r="F2804" s="165"/>
      <c r="G2804" s="165"/>
      <c r="H2804" s="165"/>
      <c r="I2804" s="165"/>
      <c r="J2804" s="165"/>
      <c r="K2804" s="165"/>
      <c r="L2804" s="165"/>
      <c r="M2804" s="165"/>
      <c r="N2804" s="165"/>
      <c r="O2804" s="165"/>
      <c r="P2804" s="165"/>
      <c r="Q2804" s="165"/>
      <c r="R2804" s="165"/>
      <c r="S2804" s="165"/>
      <c r="T2804" s="165"/>
      <c r="U2804" s="165"/>
      <c r="V2804" s="165"/>
      <c r="W2804" s="165"/>
      <c r="X2804" s="165"/>
    </row>
    <row r="2805" ht="18.75" customHeight="1">
      <c r="A2805" s="165">
        <v>2802.0</v>
      </c>
      <c r="B2805" s="165"/>
      <c r="C2805" s="165"/>
      <c r="D2805" s="165"/>
      <c r="E2805" s="165"/>
      <c r="F2805" s="165"/>
      <c r="G2805" s="165"/>
      <c r="H2805" s="165"/>
      <c r="I2805" s="165"/>
      <c r="J2805" s="165"/>
      <c r="K2805" s="165"/>
      <c r="L2805" s="165"/>
      <c r="M2805" s="165"/>
      <c r="N2805" s="165"/>
      <c r="O2805" s="165"/>
      <c r="P2805" s="165"/>
      <c r="Q2805" s="165"/>
      <c r="R2805" s="165"/>
      <c r="S2805" s="165"/>
      <c r="T2805" s="165"/>
      <c r="U2805" s="165"/>
      <c r="V2805" s="165"/>
      <c r="W2805" s="165"/>
      <c r="X2805" s="165"/>
    </row>
    <row r="2806" ht="18.75" customHeight="1">
      <c r="A2806" s="165">
        <v>2803.0</v>
      </c>
      <c r="B2806" s="165"/>
      <c r="C2806" s="165"/>
      <c r="D2806" s="165"/>
      <c r="E2806" s="165"/>
      <c r="F2806" s="165"/>
      <c r="G2806" s="165"/>
      <c r="H2806" s="165"/>
      <c r="I2806" s="165"/>
      <c r="J2806" s="165"/>
      <c r="K2806" s="165"/>
      <c r="L2806" s="165"/>
      <c r="M2806" s="165"/>
      <c r="N2806" s="165"/>
      <c r="O2806" s="165"/>
      <c r="P2806" s="165"/>
      <c r="Q2806" s="165"/>
      <c r="R2806" s="165"/>
      <c r="S2806" s="165"/>
      <c r="T2806" s="165"/>
      <c r="U2806" s="165"/>
      <c r="V2806" s="165"/>
      <c r="W2806" s="165"/>
      <c r="X2806" s="165"/>
    </row>
    <row r="2807" ht="18.75" customHeight="1">
      <c r="A2807" s="165">
        <v>2804.0</v>
      </c>
      <c r="B2807" s="165"/>
      <c r="C2807" s="165"/>
      <c r="D2807" s="165"/>
      <c r="E2807" s="165"/>
      <c r="F2807" s="165"/>
      <c r="G2807" s="165"/>
      <c r="H2807" s="165"/>
      <c r="I2807" s="165"/>
      <c r="J2807" s="165"/>
      <c r="K2807" s="165"/>
      <c r="L2807" s="165"/>
      <c r="M2807" s="165"/>
      <c r="N2807" s="165"/>
      <c r="O2807" s="165"/>
      <c r="P2807" s="165"/>
      <c r="Q2807" s="165"/>
      <c r="R2807" s="165"/>
      <c r="S2807" s="165"/>
      <c r="T2807" s="165"/>
      <c r="U2807" s="165"/>
      <c r="V2807" s="165"/>
      <c r="W2807" s="165"/>
      <c r="X2807" s="165"/>
    </row>
    <row r="2808" ht="18.75" customHeight="1">
      <c r="A2808" s="165">
        <v>2805.0</v>
      </c>
      <c r="B2808" s="165"/>
      <c r="C2808" s="165"/>
      <c r="D2808" s="165"/>
      <c r="E2808" s="165"/>
      <c r="F2808" s="165"/>
      <c r="G2808" s="165"/>
      <c r="H2808" s="165"/>
      <c r="I2808" s="165"/>
      <c r="J2808" s="165"/>
      <c r="K2808" s="165"/>
      <c r="L2808" s="165"/>
      <c r="M2808" s="165"/>
      <c r="N2808" s="165"/>
      <c r="O2808" s="165"/>
      <c r="P2808" s="165"/>
      <c r="Q2808" s="165"/>
      <c r="R2808" s="165"/>
      <c r="S2808" s="165"/>
      <c r="T2808" s="165"/>
      <c r="U2808" s="165"/>
      <c r="V2808" s="165"/>
      <c r="W2808" s="165"/>
      <c r="X2808" s="165"/>
    </row>
    <row r="2809" ht="18.75" customHeight="1">
      <c r="A2809" s="165">
        <v>2806.0</v>
      </c>
      <c r="B2809" s="165"/>
      <c r="C2809" s="165"/>
      <c r="D2809" s="165"/>
      <c r="E2809" s="165"/>
      <c r="F2809" s="165"/>
      <c r="G2809" s="165"/>
      <c r="H2809" s="165"/>
      <c r="I2809" s="165"/>
      <c r="J2809" s="165"/>
      <c r="K2809" s="165"/>
      <c r="L2809" s="165"/>
      <c r="M2809" s="165"/>
      <c r="N2809" s="165"/>
      <c r="O2809" s="165"/>
      <c r="P2809" s="165"/>
      <c r="Q2809" s="165"/>
      <c r="R2809" s="165"/>
      <c r="S2809" s="165"/>
      <c r="T2809" s="165"/>
      <c r="U2809" s="165"/>
      <c r="V2809" s="165"/>
      <c r="W2809" s="165"/>
      <c r="X2809" s="165"/>
    </row>
    <row r="2810" ht="18.75" customHeight="1">
      <c r="A2810" s="165">
        <v>2807.0</v>
      </c>
      <c r="B2810" s="165"/>
      <c r="C2810" s="165"/>
      <c r="D2810" s="165"/>
      <c r="E2810" s="165"/>
      <c r="F2810" s="165"/>
      <c r="G2810" s="165"/>
      <c r="H2810" s="165"/>
      <c r="I2810" s="165"/>
      <c r="J2810" s="165"/>
      <c r="K2810" s="165"/>
      <c r="L2810" s="165"/>
      <c r="M2810" s="165"/>
      <c r="N2810" s="165"/>
      <c r="O2810" s="165"/>
      <c r="P2810" s="165"/>
      <c r="Q2810" s="165"/>
      <c r="R2810" s="165"/>
      <c r="S2810" s="165"/>
      <c r="T2810" s="165"/>
      <c r="U2810" s="165"/>
      <c r="V2810" s="165"/>
      <c r="W2810" s="165"/>
      <c r="X2810" s="165"/>
    </row>
    <row r="2811" ht="18.75" customHeight="1">
      <c r="A2811" s="165">
        <v>2808.0</v>
      </c>
      <c r="B2811" s="165"/>
      <c r="C2811" s="165"/>
      <c r="D2811" s="165"/>
      <c r="E2811" s="165"/>
      <c r="F2811" s="165"/>
      <c r="G2811" s="165"/>
      <c r="H2811" s="165"/>
      <c r="I2811" s="165"/>
      <c r="J2811" s="165"/>
      <c r="K2811" s="165"/>
      <c r="L2811" s="165"/>
      <c r="M2811" s="165"/>
      <c r="N2811" s="165"/>
      <c r="O2811" s="165"/>
      <c r="P2811" s="165"/>
      <c r="Q2811" s="165"/>
      <c r="R2811" s="165"/>
      <c r="S2811" s="165"/>
      <c r="T2811" s="165"/>
      <c r="U2811" s="165"/>
      <c r="V2811" s="165"/>
      <c r="W2811" s="165"/>
      <c r="X2811" s="165"/>
    </row>
    <row r="2812" ht="18.75" customHeight="1">
      <c r="A2812" s="165">
        <v>2809.0</v>
      </c>
      <c r="B2812" s="165"/>
      <c r="C2812" s="165"/>
      <c r="D2812" s="165"/>
      <c r="E2812" s="165"/>
      <c r="F2812" s="165"/>
      <c r="G2812" s="165"/>
      <c r="H2812" s="165"/>
      <c r="I2812" s="165"/>
      <c r="J2812" s="165"/>
      <c r="K2812" s="165"/>
      <c r="L2812" s="165"/>
      <c r="M2812" s="165"/>
      <c r="N2812" s="165"/>
      <c r="O2812" s="165"/>
      <c r="P2812" s="165"/>
      <c r="Q2812" s="165"/>
      <c r="R2812" s="165"/>
      <c r="S2812" s="165"/>
      <c r="T2812" s="165"/>
      <c r="U2812" s="165"/>
      <c r="V2812" s="165"/>
      <c r="W2812" s="165"/>
      <c r="X2812" s="165"/>
    </row>
    <row r="2813" ht="18.75" customHeight="1">
      <c r="A2813" s="165">
        <v>2810.0</v>
      </c>
      <c r="B2813" s="165"/>
      <c r="C2813" s="165"/>
      <c r="D2813" s="165"/>
      <c r="E2813" s="165"/>
      <c r="F2813" s="165"/>
      <c r="G2813" s="165"/>
      <c r="H2813" s="165"/>
      <c r="I2813" s="165"/>
      <c r="J2813" s="165"/>
      <c r="K2813" s="165"/>
      <c r="L2813" s="165"/>
      <c r="M2813" s="165"/>
      <c r="N2813" s="165"/>
      <c r="O2813" s="165"/>
      <c r="P2813" s="165"/>
      <c r="Q2813" s="165"/>
      <c r="R2813" s="165"/>
      <c r="S2813" s="165"/>
      <c r="T2813" s="165"/>
      <c r="U2813" s="165"/>
      <c r="V2813" s="165"/>
      <c r="W2813" s="165"/>
      <c r="X2813" s="165"/>
    </row>
    <row r="2814" ht="18.75" customHeight="1">
      <c r="A2814" s="165">
        <v>2811.0</v>
      </c>
      <c r="B2814" s="165"/>
      <c r="C2814" s="165"/>
      <c r="D2814" s="165"/>
      <c r="E2814" s="165"/>
      <c r="F2814" s="165"/>
      <c r="G2814" s="165"/>
      <c r="H2814" s="165"/>
      <c r="I2814" s="165"/>
      <c r="J2814" s="165"/>
      <c r="K2814" s="165"/>
      <c r="L2814" s="165"/>
      <c r="M2814" s="165"/>
      <c r="N2814" s="165"/>
      <c r="O2814" s="165"/>
      <c r="P2814" s="165"/>
      <c r="Q2814" s="165"/>
      <c r="R2814" s="165"/>
      <c r="S2814" s="165"/>
      <c r="T2814" s="165"/>
      <c r="U2814" s="165"/>
      <c r="V2814" s="165"/>
      <c r="W2814" s="165"/>
      <c r="X2814" s="165"/>
    </row>
    <row r="2815" ht="18.75" customHeight="1">
      <c r="A2815" s="165">
        <v>2812.0</v>
      </c>
      <c r="B2815" s="165"/>
      <c r="C2815" s="165"/>
      <c r="D2815" s="165"/>
      <c r="E2815" s="165"/>
      <c r="F2815" s="165"/>
      <c r="G2815" s="165"/>
      <c r="H2815" s="165"/>
      <c r="I2815" s="165"/>
      <c r="J2815" s="165"/>
      <c r="K2815" s="165"/>
      <c r="L2815" s="165"/>
      <c r="M2815" s="165"/>
      <c r="N2815" s="165"/>
      <c r="O2815" s="165"/>
      <c r="P2815" s="165"/>
      <c r="Q2815" s="165"/>
      <c r="R2815" s="165"/>
      <c r="S2815" s="165"/>
      <c r="T2815" s="165"/>
      <c r="U2815" s="165"/>
      <c r="V2815" s="165"/>
      <c r="W2815" s="165"/>
      <c r="X2815" s="165"/>
    </row>
    <row r="2816" ht="18.75" customHeight="1">
      <c r="A2816" s="165">
        <v>2813.0</v>
      </c>
      <c r="B2816" s="165"/>
      <c r="C2816" s="165"/>
      <c r="D2816" s="165"/>
      <c r="E2816" s="165"/>
      <c r="F2816" s="165"/>
      <c r="G2816" s="165"/>
      <c r="H2816" s="165"/>
      <c r="I2816" s="165"/>
      <c r="J2816" s="165"/>
      <c r="K2816" s="165"/>
      <c r="L2816" s="165"/>
      <c r="M2816" s="165"/>
      <c r="N2816" s="165"/>
      <c r="O2816" s="165"/>
      <c r="P2816" s="165"/>
      <c r="Q2816" s="165"/>
      <c r="R2816" s="165"/>
      <c r="S2816" s="165"/>
      <c r="T2816" s="165"/>
      <c r="U2816" s="165"/>
      <c r="V2816" s="165"/>
      <c r="W2816" s="165"/>
      <c r="X2816" s="165"/>
    </row>
    <row r="2817" ht="18.75" customHeight="1">
      <c r="A2817" s="165">
        <v>2814.0</v>
      </c>
      <c r="B2817" s="165"/>
      <c r="C2817" s="165"/>
      <c r="D2817" s="165"/>
      <c r="E2817" s="165"/>
      <c r="F2817" s="165"/>
      <c r="G2817" s="165"/>
      <c r="H2817" s="165"/>
      <c r="I2817" s="165"/>
      <c r="J2817" s="165"/>
      <c r="K2817" s="165"/>
      <c r="L2817" s="165"/>
      <c r="M2817" s="165"/>
      <c r="N2817" s="165"/>
      <c r="O2817" s="165"/>
      <c r="P2817" s="165"/>
      <c r="Q2817" s="165"/>
      <c r="R2817" s="165"/>
      <c r="S2817" s="165"/>
      <c r="T2817" s="165"/>
      <c r="U2817" s="165"/>
      <c r="V2817" s="165"/>
      <c r="W2817" s="165"/>
      <c r="X2817" s="165"/>
    </row>
    <row r="2818" ht="18.75" customHeight="1">
      <c r="A2818" s="165">
        <v>2815.0</v>
      </c>
      <c r="B2818" s="165"/>
      <c r="C2818" s="165"/>
      <c r="D2818" s="165"/>
      <c r="E2818" s="165"/>
      <c r="F2818" s="165"/>
      <c r="G2818" s="165"/>
      <c r="H2818" s="165"/>
      <c r="I2818" s="165"/>
      <c r="J2818" s="165"/>
      <c r="K2818" s="165"/>
      <c r="L2818" s="165"/>
      <c r="M2818" s="165"/>
      <c r="N2818" s="165"/>
      <c r="O2818" s="165"/>
      <c r="P2818" s="165"/>
      <c r="Q2818" s="165"/>
      <c r="R2818" s="165"/>
      <c r="S2818" s="165"/>
      <c r="T2818" s="165"/>
      <c r="U2818" s="165"/>
      <c r="V2818" s="165"/>
      <c r="W2818" s="165"/>
      <c r="X2818" s="165"/>
    </row>
    <row r="2819" ht="18.75" customHeight="1">
      <c r="A2819" s="165">
        <v>2816.0</v>
      </c>
      <c r="B2819" s="165"/>
      <c r="C2819" s="165"/>
      <c r="D2819" s="165"/>
      <c r="E2819" s="165"/>
      <c r="F2819" s="165"/>
      <c r="G2819" s="165"/>
      <c r="H2819" s="165"/>
      <c r="I2819" s="165"/>
      <c r="J2819" s="165"/>
      <c r="K2819" s="165"/>
      <c r="L2819" s="165"/>
      <c r="M2819" s="165"/>
      <c r="N2819" s="165"/>
      <c r="O2819" s="165"/>
      <c r="P2819" s="165"/>
      <c r="Q2819" s="165"/>
      <c r="R2819" s="165"/>
      <c r="S2819" s="165"/>
      <c r="T2819" s="165"/>
      <c r="U2819" s="165"/>
      <c r="V2819" s="165"/>
      <c r="W2819" s="165"/>
      <c r="X2819" s="165"/>
    </row>
    <row r="2820" ht="18.75" customHeight="1">
      <c r="A2820" s="165">
        <v>2817.0</v>
      </c>
      <c r="B2820" s="165"/>
      <c r="C2820" s="165"/>
      <c r="D2820" s="165"/>
      <c r="E2820" s="165"/>
      <c r="F2820" s="165"/>
      <c r="G2820" s="165"/>
      <c r="H2820" s="165"/>
      <c r="I2820" s="165"/>
      <c r="J2820" s="165"/>
      <c r="K2820" s="165"/>
      <c r="L2820" s="165"/>
      <c r="M2820" s="165"/>
      <c r="N2820" s="165"/>
      <c r="O2820" s="165"/>
      <c r="P2820" s="165"/>
      <c r="Q2820" s="165"/>
      <c r="R2820" s="165"/>
      <c r="S2820" s="165"/>
      <c r="T2820" s="165"/>
      <c r="U2820" s="165"/>
      <c r="V2820" s="165"/>
      <c r="W2820" s="165"/>
      <c r="X2820" s="165"/>
    </row>
    <row r="2821" ht="18.75" customHeight="1">
      <c r="A2821" s="165">
        <v>2818.0</v>
      </c>
      <c r="B2821" s="165"/>
      <c r="C2821" s="165"/>
      <c r="D2821" s="165"/>
      <c r="E2821" s="165"/>
      <c r="F2821" s="165"/>
      <c r="G2821" s="165"/>
      <c r="H2821" s="165"/>
      <c r="I2821" s="165"/>
      <c r="J2821" s="165"/>
      <c r="K2821" s="165"/>
      <c r="L2821" s="165"/>
      <c r="M2821" s="165"/>
      <c r="N2821" s="165"/>
      <c r="O2821" s="165"/>
      <c r="P2821" s="165"/>
      <c r="Q2821" s="165"/>
      <c r="R2821" s="165"/>
      <c r="S2821" s="165"/>
      <c r="T2821" s="165"/>
      <c r="U2821" s="165"/>
      <c r="V2821" s="165"/>
      <c r="W2821" s="165"/>
      <c r="X2821" s="165"/>
    </row>
    <row r="2822" ht="18.75" customHeight="1">
      <c r="A2822" s="165">
        <v>2819.0</v>
      </c>
      <c r="B2822" s="165"/>
      <c r="C2822" s="165"/>
      <c r="D2822" s="165"/>
      <c r="E2822" s="165"/>
      <c r="F2822" s="165"/>
      <c r="G2822" s="165"/>
      <c r="H2822" s="165"/>
      <c r="I2822" s="165"/>
      <c r="J2822" s="165"/>
      <c r="K2822" s="165"/>
      <c r="L2822" s="165"/>
      <c r="M2822" s="165"/>
      <c r="N2822" s="165"/>
      <c r="O2822" s="165"/>
      <c r="P2822" s="165"/>
      <c r="Q2822" s="165"/>
      <c r="R2822" s="165"/>
      <c r="S2822" s="165"/>
      <c r="T2822" s="165"/>
      <c r="U2822" s="165"/>
      <c r="V2822" s="165"/>
      <c r="W2822" s="165"/>
      <c r="X2822" s="165"/>
    </row>
    <row r="2823" ht="18.75" customHeight="1">
      <c r="A2823" s="165">
        <v>2820.0</v>
      </c>
      <c r="B2823" s="165"/>
      <c r="C2823" s="165"/>
      <c r="D2823" s="165"/>
      <c r="E2823" s="165"/>
      <c r="F2823" s="165"/>
      <c r="G2823" s="165"/>
      <c r="H2823" s="165"/>
      <c r="I2823" s="165"/>
      <c r="J2823" s="165"/>
      <c r="K2823" s="165"/>
      <c r="L2823" s="165"/>
      <c r="M2823" s="165"/>
      <c r="N2823" s="165"/>
      <c r="O2823" s="165"/>
      <c r="P2823" s="165"/>
      <c r="Q2823" s="165"/>
      <c r="R2823" s="165"/>
      <c r="S2823" s="165"/>
      <c r="T2823" s="165"/>
      <c r="U2823" s="165"/>
      <c r="V2823" s="165"/>
      <c r="W2823" s="165"/>
      <c r="X2823" s="165"/>
    </row>
    <row r="2824" ht="18.75" customHeight="1">
      <c r="A2824" s="165">
        <v>2821.0</v>
      </c>
      <c r="B2824" s="165"/>
      <c r="C2824" s="165"/>
      <c r="D2824" s="165"/>
      <c r="E2824" s="165"/>
      <c r="F2824" s="165"/>
      <c r="G2824" s="165"/>
      <c r="H2824" s="165"/>
      <c r="I2824" s="165"/>
      <c r="J2824" s="165"/>
      <c r="K2824" s="165"/>
      <c r="L2824" s="165"/>
      <c r="M2824" s="165"/>
      <c r="N2824" s="165"/>
      <c r="O2824" s="165"/>
      <c r="P2824" s="165"/>
      <c r="Q2824" s="165"/>
      <c r="R2824" s="165"/>
      <c r="S2824" s="165"/>
      <c r="T2824" s="165"/>
      <c r="U2824" s="165"/>
      <c r="V2824" s="165"/>
      <c r="W2824" s="165"/>
      <c r="X2824" s="165"/>
    </row>
    <row r="2825" ht="18.75" customHeight="1">
      <c r="A2825" s="165">
        <v>2822.0</v>
      </c>
      <c r="B2825" s="165"/>
      <c r="C2825" s="165"/>
      <c r="D2825" s="165"/>
      <c r="E2825" s="165"/>
      <c r="F2825" s="165"/>
      <c r="G2825" s="165"/>
      <c r="H2825" s="165"/>
      <c r="I2825" s="165"/>
      <c r="J2825" s="165"/>
      <c r="K2825" s="165"/>
      <c r="L2825" s="165"/>
      <c r="M2825" s="165"/>
      <c r="N2825" s="165"/>
      <c r="O2825" s="165"/>
      <c r="P2825" s="165"/>
      <c r="Q2825" s="165"/>
      <c r="R2825" s="165"/>
      <c r="S2825" s="165"/>
      <c r="T2825" s="165"/>
      <c r="U2825" s="165"/>
      <c r="V2825" s="165"/>
      <c r="W2825" s="165"/>
      <c r="X2825" s="165"/>
    </row>
    <row r="2826" ht="18.75" customHeight="1">
      <c r="A2826" s="165">
        <v>2823.0</v>
      </c>
      <c r="B2826" s="165"/>
      <c r="C2826" s="165"/>
      <c r="D2826" s="165"/>
      <c r="E2826" s="165"/>
      <c r="F2826" s="165"/>
      <c r="G2826" s="165"/>
      <c r="H2826" s="165"/>
      <c r="I2826" s="165"/>
      <c r="J2826" s="165"/>
      <c r="K2826" s="165"/>
      <c r="L2826" s="165"/>
      <c r="M2826" s="165"/>
      <c r="N2826" s="165"/>
      <c r="O2826" s="165"/>
      <c r="P2826" s="165"/>
      <c r="Q2826" s="165"/>
      <c r="R2826" s="165"/>
      <c r="S2826" s="165"/>
      <c r="T2826" s="165"/>
      <c r="U2826" s="165"/>
      <c r="V2826" s="165"/>
      <c r="W2826" s="165"/>
      <c r="X2826" s="165"/>
    </row>
    <row r="2827" ht="18.75" customHeight="1">
      <c r="A2827" s="165">
        <v>2824.0</v>
      </c>
      <c r="B2827" s="165"/>
      <c r="C2827" s="165"/>
      <c r="D2827" s="165"/>
      <c r="E2827" s="165"/>
      <c r="F2827" s="165"/>
      <c r="G2827" s="165"/>
      <c r="H2827" s="165"/>
      <c r="I2827" s="165"/>
      <c r="J2827" s="165"/>
      <c r="K2827" s="165"/>
      <c r="L2827" s="165"/>
      <c r="M2827" s="165"/>
      <c r="N2827" s="165"/>
      <c r="O2827" s="165"/>
      <c r="P2827" s="165"/>
      <c r="Q2827" s="165"/>
      <c r="R2827" s="165"/>
      <c r="S2827" s="165"/>
      <c r="T2827" s="165"/>
      <c r="U2827" s="165"/>
      <c r="V2827" s="165"/>
      <c r="W2827" s="165"/>
      <c r="X2827" s="165"/>
    </row>
    <row r="2828" ht="18.75" customHeight="1">
      <c r="A2828" s="165">
        <v>2825.0</v>
      </c>
      <c r="B2828" s="165"/>
      <c r="C2828" s="165"/>
      <c r="D2828" s="165"/>
      <c r="E2828" s="165"/>
      <c r="F2828" s="165"/>
      <c r="G2828" s="165"/>
      <c r="H2828" s="165"/>
      <c r="I2828" s="165"/>
      <c r="J2828" s="165"/>
      <c r="K2828" s="165"/>
      <c r="L2828" s="165"/>
      <c r="M2828" s="165"/>
      <c r="N2828" s="165"/>
      <c r="O2828" s="165"/>
      <c r="P2828" s="165"/>
      <c r="Q2828" s="165"/>
      <c r="R2828" s="165"/>
      <c r="S2828" s="165"/>
      <c r="T2828" s="165"/>
      <c r="U2828" s="165"/>
      <c r="V2828" s="165"/>
      <c r="W2828" s="165"/>
      <c r="X2828" s="165"/>
    </row>
    <row r="2829" ht="18.75" customHeight="1">
      <c r="A2829" s="165">
        <v>2826.0</v>
      </c>
      <c r="B2829" s="165"/>
      <c r="C2829" s="165"/>
      <c r="D2829" s="165"/>
      <c r="E2829" s="165"/>
      <c r="F2829" s="165"/>
      <c r="G2829" s="165"/>
      <c r="H2829" s="165"/>
      <c r="I2829" s="165"/>
      <c r="J2829" s="165"/>
      <c r="K2829" s="165"/>
      <c r="L2829" s="165"/>
      <c r="M2829" s="165"/>
      <c r="N2829" s="165"/>
      <c r="O2829" s="165"/>
      <c r="P2829" s="165"/>
      <c r="Q2829" s="165"/>
      <c r="R2829" s="165"/>
      <c r="S2829" s="165"/>
      <c r="T2829" s="165"/>
      <c r="U2829" s="165"/>
      <c r="V2829" s="165"/>
      <c r="W2829" s="165"/>
      <c r="X2829" s="165"/>
    </row>
    <row r="2830" ht="18.75" customHeight="1">
      <c r="A2830" s="165">
        <v>2827.0</v>
      </c>
      <c r="B2830" s="165"/>
      <c r="C2830" s="165"/>
      <c r="D2830" s="165"/>
      <c r="E2830" s="165"/>
      <c r="F2830" s="165"/>
      <c r="G2830" s="165"/>
      <c r="H2830" s="165"/>
      <c r="I2830" s="165"/>
      <c r="J2830" s="165"/>
      <c r="K2830" s="165"/>
      <c r="L2830" s="165"/>
      <c r="M2830" s="165"/>
      <c r="N2830" s="165"/>
      <c r="O2830" s="165"/>
      <c r="P2830" s="165"/>
      <c r="Q2830" s="165"/>
      <c r="R2830" s="165"/>
      <c r="S2830" s="165"/>
      <c r="T2830" s="165"/>
      <c r="U2830" s="165"/>
      <c r="V2830" s="165"/>
      <c r="W2830" s="165"/>
      <c r="X2830" s="165"/>
    </row>
    <row r="2831" ht="18.75" customHeight="1">
      <c r="A2831" s="165">
        <v>2828.0</v>
      </c>
      <c r="B2831" s="165"/>
      <c r="C2831" s="165"/>
      <c r="D2831" s="165"/>
      <c r="E2831" s="165"/>
      <c r="F2831" s="165"/>
      <c r="G2831" s="165"/>
      <c r="H2831" s="165"/>
      <c r="I2831" s="165"/>
      <c r="J2831" s="165"/>
      <c r="K2831" s="165"/>
      <c r="L2831" s="165"/>
      <c r="M2831" s="165"/>
      <c r="N2831" s="165"/>
      <c r="O2831" s="165"/>
      <c r="P2831" s="165"/>
      <c r="Q2831" s="165"/>
      <c r="R2831" s="165"/>
      <c r="S2831" s="165"/>
      <c r="T2831" s="165"/>
      <c r="U2831" s="165"/>
      <c r="V2831" s="165"/>
      <c r="W2831" s="165"/>
      <c r="X2831" s="165"/>
    </row>
    <row r="2832" ht="18.75" customHeight="1">
      <c r="A2832" s="165">
        <v>2829.0</v>
      </c>
      <c r="B2832" s="165"/>
      <c r="C2832" s="165"/>
      <c r="D2832" s="165"/>
      <c r="E2832" s="165"/>
      <c r="F2832" s="165"/>
      <c r="G2832" s="165"/>
      <c r="H2832" s="165"/>
      <c r="I2832" s="165"/>
      <c r="J2832" s="165"/>
      <c r="K2832" s="165"/>
      <c r="L2832" s="165"/>
      <c r="M2832" s="165"/>
      <c r="N2832" s="165"/>
      <c r="O2832" s="165"/>
      <c r="P2832" s="165"/>
      <c r="Q2832" s="165"/>
      <c r="R2832" s="165"/>
      <c r="S2832" s="165"/>
      <c r="T2832" s="165"/>
      <c r="U2832" s="165"/>
      <c r="V2832" s="165"/>
      <c r="W2832" s="165"/>
      <c r="X2832" s="165"/>
    </row>
    <row r="2833" ht="18.75" customHeight="1">
      <c r="A2833" s="165">
        <v>2830.0</v>
      </c>
      <c r="B2833" s="165"/>
      <c r="C2833" s="165"/>
      <c r="D2833" s="165"/>
      <c r="E2833" s="165"/>
      <c r="F2833" s="165"/>
      <c r="G2833" s="165"/>
      <c r="H2833" s="165"/>
      <c r="I2833" s="165"/>
      <c r="J2833" s="165"/>
      <c r="K2833" s="165"/>
      <c r="L2833" s="165"/>
      <c r="M2833" s="165"/>
      <c r="N2833" s="165"/>
      <c r="O2833" s="165"/>
      <c r="P2833" s="165"/>
      <c r="Q2833" s="165"/>
      <c r="R2833" s="165"/>
      <c r="S2833" s="165"/>
      <c r="T2833" s="165"/>
      <c r="U2833" s="165"/>
      <c r="V2833" s="165"/>
      <c r="W2833" s="165"/>
      <c r="X2833" s="165"/>
    </row>
    <row r="2834" ht="18.75" customHeight="1">
      <c r="A2834" s="165">
        <v>2831.0</v>
      </c>
      <c r="B2834" s="165"/>
      <c r="C2834" s="165"/>
      <c r="D2834" s="165"/>
      <c r="E2834" s="165"/>
      <c r="F2834" s="165"/>
      <c r="G2834" s="165"/>
      <c r="H2834" s="165"/>
      <c r="I2834" s="165"/>
      <c r="J2834" s="165"/>
      <c r="K2834" s="165"/>
      <c r="L2834" s="165"/>
      <c r="M2834" s="165"/>
      <c r="N2834" s="165"/>
      <c r="O2834" s="165"/>
      <c r="P2834" s="165"/>
      <c r="Q2834" s="165"/>
      <c r="R2834" s="165"/>
      <c r="S2834" s="165"/>
      <c r="T2834" s="165"/>
      <c r="U2834" s="165"/>
      <c r="V2834" s="165"/>
      <c r="W2834" s="165"/>
      <c r="X2834" s="165"/>
    </row>
    <row r="2835" ht="18.75" customHeight="1">
      <c r="A2835" s="165">
        <v>2832.0</v>
      </c>
      <c r="B2835" s="165"/>
      <c r="C2835" s="165"/>
      <c r="D2835" s="165"/>
      <c r="E2835" s="165"/>
      <c r="F2835" s="165"/>
      <c r="G2835" s="165"/>
      <c r="H2835" s="165"/>
      <c r="I2835" s="165"/>
      <c r="J2835" s="165"/>
      <c r="K2835" s="165"/>
      <c r="L2835" s="165"/>
      <c r="M2835" s="165"/>
      <c r="N2835" s="165"/>
      <c r="O2835" s="165"/>
      <c r="P2835" s="165"/>
      <c r="Q2835" s="165"/>
      <c r="R2835" s="165"/>
      <c r="S2835" s="165"/>
      <c r="T2835" s="165"/>
      <c r="U2835" s="165"/>
      <c r="V2835" s="165"/>
      <c r="W2835" s="165"/>
      <c r="X2835" s="165"/>
    </row>
    <row r="2836" ht="18.75" customHeight="1">
      <c r="A2836" s="165">
        <v>2833.0</v>
      </c>
      <c r="B2836" s="165"/>
      <c r="C2836" s="165"/>
      <c r="D2836" s="165"/>
      <c r="E2836" s="165"/>
      <c r="F2836" s="165"/>
      <c r="G2836" s="165"/>
      <c r="H2836" s="165"/>
      <c r="I2836" s="165"/>
      <c r="J2836" s="165"/>
      <c r="K2836" s="165"/>
      <c r="L2836" s="165"/>
      <c r="M2836" s="165"/>
      <c r="N2836" s="165"/>
      <c r="O2836" s="165"/>
      <c r="P2836" s="165"/>
      <c r="Q2836" s="165"/>
      <c r="R2836" s="165"/>
      <c r="S2836" s="165"/>
      <c r="T2836" s="165"/>
      <c r="U2836" s="165"/>
      <c r="V2836" s="165"/>
      <c r="W2836" s="165"/>
      <c r="X2836" s="165"/>
    </row>
    <row r="2837" ht="18.75" customHeight="1">
      <c r="A2837" s="165">
        <v>2834.0</v>
      </c>
      <c r="B2837" s="165"/>
      <c r="C2837" s="165"/>
      <c r="D2837" s="165"/>
      <c r="E2837" s="165"/>
      <c r="F2837" s="165"/>
      <c r="G2837" s="165"/>
      <c r="H2837" s="165"/>
      <c r="I2837" s="165"/>
      <c r="J2837" s="165"/>
      <c r="K2837" s="165"/>
      <c r="L2837" s="165"/>
      <c r="M2837" s="165"/>
      <c r="N2837" s="165"/>
      <c r="O2837" s="165"/>
      <c r="P2837" s="165"/>
      <c r="Q2837" s="165"/>
      <c r="R2837" s="165"/>
      <c r="S2837" s="165"/>
      <c r="T2837" s="165"/>
      <c r="U2837" s="165"/>
      <c r="V2837" s="165"/>
      <c r="W2837" s="165"/>
      <c r="X2837" s="165"/>
    </row>
    <row r="2838" ht="18.75" customHeight="1">
      <c r="A2838" s="165">
        <v>2835.0</v>
      </c>
      <c r="B2838" s="165"/>
      <c r="C2838" s="165"/>
      <c r="D2838" s="165"/>
      <c r="E2838" s="165"/>
      <c r="F2838" s="165"/>
      <c r="G2838" s="165"/>
      <c r="H2838" s="165"/>
      <c r="I2838" s="165"/>
      <c r="J2838" s="165"/>
      <c r="K2838" s="165"/>
      <c r="L2838" s="165"/>
      <c r="M2838" s="165"/>
      <c r="N2838" s="165"/>
      <c r="O2838" s="165"/>
      <c r="P2838" s="165"/>
      <c r="Q2838" s="165"/>
      <c r="R2838" s="165"/>
      <c r="S2838" s="165"/>
      <c r="T2838" s="165"/>
      <c r="U2838" s="165"/>
      <c r="V2838" s="165"/>
      <c r="W2838" s="165"/>
      <c r="X2838" s="165"/>
    </row>
    <row r="2839" ht="18.75" customHeight="1">
      <c r="A2839" s="165">
        <v>2836.0</v>
      </c>
      <c r="B2839" s="165"/>
      <c r="C2839" s="165"/>
      <c r="D2839" s="165"/>
      <c r="E2839" s="165"/>
      <c r="F2839" s="165"/>
      <c r="G2839" s="165"/>
      <c r="H2839" s="165"/>
      <c r="I2839" s="165"/>
      <c r="J2839" s="165"/>
      <c r="K2839" s="165"/>
      <c r="L2839" s="165"/>
      <c r="M2839" s="165"/>
      <c r="N2839" s="165"/>
      <c r="O2839" s="165"/>
      <c r="P2839" s="165"/>
      <c r="Q2839" s="165"/>
      <c r="R2839" s="165"/>
      <c r="S2839" s="165"/>
      <c r="T2839" s="165"/>
      <c r="U2839" s="165"/>
      <c r="V2839" s="165"/>
      <c r="W2839" s="165"/>
      <c r="X2839" s="165"/>
    </row>
    <row r="2840" ht="18.75" customHeight="1">
      <c r="A2840" s="165">
        <v>2837.0</v>
      </c>
      <c r="B2840" s="165"/>
      <c r="C2840" s="165"/>
      <c r="D2840" s="165"/>
      <c r="E2840" s="165"/>
      <c r="F2840" s="165"/>
      <c r="G2840" s="165"/>
      <c r="H2840" s="165"/>
      <c r="I2840" s="165"/>
      <c r="J2840" s="165"/>
      <c r="K2840" s="165"/>
      <c r="L2840" s="165"/>
      <c r="M2840" s="165"/>
      <c r="N2840" s="165"/>
      <c r="O2840" s="165"/>
      <c r="P2840" s="165"/>
      <c r="Q2840" s="165"/>
      <c r="R2840" s="165"/>
      <c r="S2840" s="165"/>
      <c r="T2840" s="165"/>
      <c r="U2840" s="165"/>
      <c r="V2840" s="165"/>
      <c r="W2840" s="165"/>
      <c r="X2840" s="165"/>
    </row>
    <row r="2841" ht="18.75" customHeight="1">
      <c r="A2841" s="165">
        <v>2838.0</v>
      </c>
      <c r="B2841" s="165"/>
      <c r="C2841" s="165"/>
      <c r="D2841" s="165"/>
      <c r="E2841" s="165"/>
      <c r="F2841" s="165"/>
      <c r="G2841" s="165"/>
      <c r="H2841" s="165"/>
      <c r="I2841" s="165"/>
      <c r="J2841" s="165"/>
      <c r="K2841" s="165"/>
      <c r="L2841" s="165"/>
      <c r="M2841" s="165"/>
      <c r="N2841" s="165"/>
      <c r="O2841" s="165"/>
      <c r="P2841" s="165"/>
      <c r="Q2841" s="165"/>
      <c r="R2841" s="165"/>
      <c r="S2841" s="165"/>
      <c r="T2841" s="165"/>
      <c r="U2841" s="165"/>
      <c r="V2841" s="165"/>
      <c r="W2841" s="165"/>
      <c r="X2841" s="165"/>
    </row>
    <row r="2842" ht="18.75" customHeight="1">
      <c r="A2842" s="165">
        <v>2839.0</v>
      </c>
      <c r="B2842" s="165"/>
      <c r="C2842" s="165"/>
      <c r="D2842" s="165"/>
      <c r="E2842" s="165"/>
      <c r="F2842" s="165"/>
      <c r="G2842" s="165"/>
      <c r="H2842" s="165"/>
      <c r="I2842" s="165"/>
      <c r="J2842" s="165"/>
      <c r="K2842" s="165"/>
      <c r="L2842" s="165"/>
      <c r="M2842" s="165"/>
      <c r="N2842" s="165"/>
      <c r="O2842" s="165"/>
      <c r="P2842" s="165"/>
      <c r="Q2842" s="165"/>
      <c r="R2842" s="165"/>
      <c r="S2842" s="165"/>
      <c r="T2842" s="165"/>
      <c r="U2842" s="165"/>
      <c r="V2842" s="165"/>
      <c r="W2842" s="165"/>
      <c r="X2842" s="165"/>
    </row>
    <row r="2843" ht="18.75" customHeight="1">
      <c r="A2843" s="165">
        <v>2840.0</v>
      </c>
      <c r="B2843" s="165"/>
      <c r="C2843" s="165"/>
      <c r="D2843" s="165"/>
      <c r="E2843" s="165"/>
      <c r="F2843" s="165"/>
      <c r="G2843" s="165"/>
      <c r="H2843" s="165"/>
      <c r="I2843" s="165"/>
      <c r="J2843" s="165"/>
      <c r="K2843" s="165"/>
      <c r="L2843" s="165"/>
      <c r="M2843" s="165"/>
      <c r="N2843" s="165"/>
      <c r="O2843" s="165"/>
      <c r="P2843" s="165"/>
      <c r="Q2843" s="165"/>
      <c r="R2843" s="165"/>
      <c r="S2843" s="165"/>
      <c r="T2843" s="165"/>
      <c r="U2843" s="165"/>
      <c r="V2843" s="165"/>
      <c r="W2843" s="165"/>
      <c r="X2843" s="165"/>
    </row>
    <row r="2844" ht="18.75" customHeight="1">
      <c r="A2844" s="165">
        <v>2841.0</v>
      </c>
      <c r="B2844" s="165"/>
      <c r="C2844" s="165"/>
      <c r="D2844" s="165"/>
      <c r="E2844" s="165"/>
      <c r="F2844" s="165"/>
      <c r="G2844" s="165"/>
      <c r="H2844" s="165"/>
      <c r="I2844" s="165"/>
      <c r="J2844" s="165"/>
      <c r="K2844" s="165"/>
      <c r="L2844" s="165"/>
      <c r="M2844" s="165"/>
      <c r="N2844" s="165"/>
      <c r="O2844" s="165"/>
      <c r="P2844" s="165"/>
      <c r="Q2844" s="165"/>
      <c r="R2844" s="165"/>
      <c r="S2844" s="165"/>
      <c r="T2844" s="165"/>
      <c r="U2844" s="165"/>
      <c r="V2844" s="165"/>
      <c r="W2844" s="165"/>
      <c r="X2844" s="165"/>
    </row>
    <row r="2845" ht="18.75" customHeight="1">
      <c r="A2845" s="165">
        <v>2842.0</v>
      </c>
      <c r="B2845" s="165"/>
      <c r="C2845" s="165"/>
      <c r="D2845" s="165"/>
      <c r="E2845" s="165"/>
      <c r="F2845" s="165"/>
      <c r="G2845" s="165"/>
      <c r="H2845" s="165"/>
      <c r="I2845" s="165"/>
      <c r="J2845" s="165"/>
      <c r="K2845" s="165"/>
      <c r="L2845" s="165"/>
      <c r="M2845" s="165"/>
      <c r="N2845" s="165"/>
      <c r="O2845" s="165"/>
      <c r="P2845" s="165"/>
      <c r="Q2845" s="165"/>
      <c r="R2845" s="165"/>
      <c r="S2845" s="165"/>
      <c r="T2845" s="165"/>
      <c r="U2845" s="165"/>
      <c r="V2845" s="165"/>
      <c r="W2845" s="165"/>
      <c r="X2845" s="165"/>
    </row>
    <row r="2846" ht="18.75" customHeight="1">
      <c r="A2846" s="165">
        <v>2843.0</v>
      </c>
      <c r="B2846" s="165"/>
      <c r="C2846" s="165"/>
      <c r="D2846" s="165"/>
      <c r="E2846" s="165"/>
      <c r="F2846" s="165"/>
      <c r="G2846" s="165"/>
      <c r="H2846" s="165"/>
      <c r="I2846" s="165"/>
      <c r="J2846" s="165"/>
      <c r="K2846" s="165"/>
      <c r="L2846" s="165"/>
      <c r="M2846" s="165"/>
      <c r="N2846" s="165"/>
      <c r="O2846" s="165"/>
      <c r="P2846" s="165"/>
      <c r="Q2846" s="165"/>
      <c r="R2846" s="165"/>
      <c r="S2846" s="165"/>
      <c r="T2846" s="165"/>
      <c r="U2846" s="165"/>
      <c r="V2846" s="165"/>
      <c r="W2846" s="165"/>
      <c r="X2846" s="165"/>
    </row>
    <row r="2847" ht="18.75" customHeight="1">
      <c r="A2847" s="165">
        <v>2844.0</v>
      </c>
      <c r="B2847" s="165"/>
      <c r="C2847" s="165"/>
      <c r="D2847" s="165"/>
      <c r="E2847" s="165"/>
      <c r="F2847" s="165"/>
      <c r="G2847" s="165"/>
      <c r="H2847" s="165"/>
      <c r="I2847" s="165"/>
      <c r="J2847" s="165"/>
      <c r="K2847" s="165"/>
      <c r="L2847" s="165"/>
      <c r="M2847" s="165"/>
      <c r="N2847" s="165"/>
      <c r="O2847" s="165"/>
      <c r="P2847" s="165"/>
      <c r="Q2847" s="165"/>
      <c r="R2847" s="165"/>
      <c r="S2847" s="165"/>
      <c r="T2847" s="165"/>
      <c r="U2847" s="165"/>
      <c r="V2847" s="165"/>
      <c r="W2847" s="165"/>
      <c r="X2847" s="165"/>
    </row>
    <row r="2848" ht="18.75" customHeight="1">
      <c r="A2848" s="165">
        <v>2845.0</v>
      </c>
      <c r="B2848" s="165"/>
      <c r="C2848" s="165"/>
      <c r="D2848" s="165"/>
      <c r="E2848" s="165"/>
      <c r="F2848" s="165"/>
      <c r="G2848" s="165"/>
      <c r="H2848" s="165"/>
      <c r="I2848" s="165"/>
      <c r="J2848" s="165"/>
      <c r="K2848" s="165"/>
      <c r="L2848" s="165"/>
      <c r="M2848" s="165"/>
      <c r="N2848" s="165"/>
      <c r="O2848" s="165"/>
      <c r="P2848" s="165"/>
      <c r="Q2848" s="165"/>
      <c r="R2848" s="165"/>
      <c r="S2848" s="165"/>
      <c r="T2848" s="165"/>
      <c r="U2848" s="165"/>
      <c r="V2848" s="165"/>
      <c r="W2848" s="165"/>
      <c r="X2848" s="165"/>
    </row>
    <row r="2849" ht="18.75" customHeight="1">
      <c r="A2849" s="165">
        <v>2846.0</v>
      </c>
      <c r="B2849" s="165"/>
      <c r="C2849" s="165"/>
      <c r="D2849" s="165"/>
      <c r="E2849" s="165"/>
      <c r="F2849" s="165"/>
      <c r="G2849" s="165"/>
      <c r="H2849" s="165"/>
      <c r="I2849" s="165"/>
      <c r="J2849" s="165"/>
      <c r="K2849" s="165"/>
      <c r="L2849" s="165"/>
      <c r="M2849" s="165"/>
      <c r="N2849" s="165"/>
      <c r="O2849" s="165"/>
      <c r="P2849" s="165"/>
      <c r="Q2849" s="165"/>
      <c r="R2849" s="165"/>
      <c r="S2849" s="165"/>
      <c r="T2849" s="165"/>
      <c r="U2849" s="165"/>
      <c r="V2849" s="165"/>
      <c r="W2849" s="165"/>
      <c r="X2849" s="165"/>
    </row>
    <row r="2850" ht="18.75" customHeight="1">
      <c r="A2850" s="165">
        <v>2847.0</v>
      </c>
      <c r="B2850" s="165"/>
      <c r="C2850" s="165"/>
      <c r="D2850" s="165"/>
      <c r="E2850" s="165"/>
      <c r="F2850" s="165"/>
      <c r="G2850" s="165"/>
      <c r="H2850" s="165"/>
      <c r="I2850" s="165"/>
      <c r="J2850" s="165"/>
      <c r="K2850" s="165"/>
      <c r="L2850" s="165"/>
      <c r="M2850" s="165"/>
      <c r="N2850" s="165"/>
      <c r="O2850" s="165"/>
      <c r="P2850" s="165"/>
      <c r="Q2850" s="165"/>
      <c r="R2850" s="165"/>
      <c r="S2850" s="165"/>
      <c r="T2850" s="165"/>
      <c r="U2850" s="165"/>
      <c r="V2850" s="165"/>
      <c r="W2850" s="165"/>
      <c r="X2850" s="165"/>
    </row>
    <row r="2851" ht="18.75" customHeight="1">
      <c r="A2851" s="165">
        <v>2848.0</v>
      </c>
      <c r="B2851" s="165"/>
      <c r="C2851" s="165"/>
      <c r="D2851" s="165"/>
      <c r="E2851" s="165"/>
      <c r="F2851" s="165"/>
      <c r="G2851" s="165"/>
      <c r="H2851" s="165"/>
      <c r="I2851" s="165"/>
      <c r="J2851" s="165"/>
      <c r="K2851" s="165"/>
      <c r="L2851" s="165"/>
      <c r="M2851" s="165"/>
      <c r="N2851" s="165"/>
      <c r="O2851" s="165"/>
      <c r="P2851" s="165"/>
      <c r="Q2851" s="165"/>
      <c r="R2851" s="165"/>
      <c r="S2851" s="165"/>
      <c r="T2851" s="165"/>
      <c r="U2851" s="165"/>
      <c r="V2851" s="165"/>
      <c r="W2851" s="165"/>
      <c r="X2851" s="165"/>
    </row>
    <row r="2852" ht="18.75" customHeight="1">
      <c r="A2852" s="165">
        <v>2849.0</v>
      </c>
      <c r="B2852" s="165"/>
      <c r="C2852" s="165"/>
      <c r="D2852" s="165"/>
      <c r="E2852" s="165"/>
      <c r="F2852" s="165"/>
      <c r="G2852" s="165"/>
      <c r="H2852" s="165"/>
      <c r="I2852" s="165"/>
      <c r="J2852" s="165"/>
      <c r="K2852" s="165"/>
      <c r="L2852" s="165"/>
      <c r="M2852" s="165"/>
      <c r="N2852" s="165"/>
      <c r="O2852" s="165"/>
      <c r="P2852" s="165"/>
      <c r="Q2852" s="165"/>
      <c r="R2852" s="165"/>
      <c r="S2852" s="165"/>
      <c r="T2852" s="165"/>
      <c r="U2852" s="165"/>
      <c r="V2852" s="165"/>
      <c r="W2852" s="165"/>
      <c r="X2852" s="165"/>
    </row>
    <row r="2853" ht="18.75" customHeight="1">
      <c r="A2853" s="165">
        <v>2850.0</v>
      </c>
      <c r="B2853" s="165"/>
      <c r="C2853" s="165"/>
      <c r="D2853" s="165"/>
      <c r="E2853" s="165"/>
      <c r="F2853" s="165"/>
      <c r="G2853" s="165"/>
      <c r="H2853" s="165"/>
      <c r="I2853" s="165"/>
      <c r="J2853" s="165"/>
      <c r="K2853" s="165"/>
      <c r="L2853" s="165"/>
      <c r="M2853" s="165"/>
      <c r="N2853" s="165"/>
      <c r="O2853" s="165"/>
      <c r="P2853" s="165"/>
      <c r="Q2853" s="165"/>
      <c r="R2853" s="165"/>
      <c r="S2853" s="165"/>
      <c r="T2853" s="165"/>
      <c r="U2853" s="165"/>
      <c r="V2853" s="165"/>
      <c r="W2853" s="165"/>
      <c r="X2853" s="165"/>
    </row>
    <row r="2854" ht="18.75" customHeight="1">
      <c r="A2854" s="165">
        <v>2851.0</v>
      </c>
      <c r="B2854" s="165"/>
      <c r="C2854" s="165"/>
      <c r="D2854" s="165"/>
      <c r="E2854" s="165"/>
      <c r="F2854" s="165"/>
      <c r="G2854" s="165"/>
      <c r="H2854" s="165"/>
      <c r="I2854" s="165"/>
      <c r="J2854" s="165"/>
      <c r="K2854" s="165"/>
      <c r="L2854" s="165"/>
      <c r="M2854" s="165"/>
      <c r="N2854" s="165"/>
      <c r="O2854" s="165"/>
      <c r="P2854" s="165"/>
      <c r="Q2854" s="165"/>
      <c r="R2854" s="165"/>
      <c r="S2854" s="165"/>
      <c r="T2854" s="165"/>
      <c r="U2854" s="165"/>
      <c r="V2854" s="165"/>
      <c r="W2854" s="165"/>
      <c r="X2854" s="165"/>
    </row>
    <row r="2855" ht="18.75" customHeight="1">
      <c r="A2855" s="165">
        <v>2852.0</v>
      </c>
      <c r="B2855" s="165"/>
      <c r="C2855" s="165"/>
      <c r="D2855" s="165"/>
      <c r="E2855" s="165"/>
      <c r="F2855" s="165"/>
      <c r="G2855" s="165"/>
      <c r="H2855" s="165"/>
      <c r="I2855" s="165"/>
      <c r="J2855" s="165"/>
      <c r="K2855" s="165"/>
      <c r="L2855" s="165"/>
      <c r="M2855" s="165"/>
      <c r="N2855" s="165"/>
      <c r="O2855" s="165"/>
      <c r="P2855" s="165"/>
      <c r="Q2855" s="165"/>
      <c r="R2855" s="165"/>
      <c r="S2855" s="165"/>
      <c r="T2855" s="165"/>
      <c r="U2855" s="165"/>
      <c r="V2855" s="165"/>
      <c r="W2855" s="165"/>
      <c r="X2855" s="165"/>
    </row>
    <row r="2856" ht="18.75" customHeight="1">
      <c r="A2856" s="165">
        <v>2853.0</v>
      </c>
      <c r="B2856" s="165"/>
      <c r="C2856" s="165"/>
      <c r="D2856" s="165"/>
      <c r="E2856" s="165"/>
      <c r="F2856" s="165"/>
      <c r="G2856" s="165"/>
      <c r="H2856" s="165"/>
      <c r="I2856" s="165"/>
      <c r="J2856" s="165"/>
      <c r="K2856" s="165"/>
      <c r="L2856" s="165"/>
      <c r="M2856" s="165"/>
      <c r="N2856" s="165"/>
      <c r="O2856" s="165"/>
      <c r="P2856" s="165"/>
      <c r="Q2856" s="165"/>
      <c r="R2856" s="165"/>
      <c r="S2856" s="165"/>
      <c r="T2856" s="165"/>
      <c r="U2856" s="165"/>
      <c r="V2856" s="165"/>
      <c r="W2856" s="165"/>
      <c r="X2856" s="165"/>
    </row>
    <row r="2857" ht="18.75" customHeight="1">
      <c r="A2857" s="165">
        <v>2854.0</v>
      </c>
      <c r="B2857" s="165"/>
      <c r="C2857" s="165"/>
      <c r="D2857" s="165"/>
      <c r="E2857" s="165"/>
      <c r="F2857" s="165"/>
      <c r="G2857" s="165"/>
      <c r="H2857" s="165"/>
      <c r="I2857" s="165"/>
      <c r="J2857" s="165"/>
      <c r="K2857" s="165"/>
      <c r="L2857" s="165"/>
      <c r="M2857" s="165"/>
      <c r="N2857" s="165"/>
      <c r="O2857" s="165"/>
      <c r="P2857" s="165"/>
      <c r="Q2857" s="165"/>
      <c r="R2857" s="165"/>
      <c r="S2857" s="165"/>
      <c r="T2857" s="165"/>
      <c r="U2857" s="165"/>
      <c r="V2857" s="165"/>
      <c r="W2857" s="165"/>
      <c r="X2857" s="165"/>
    </row>
    <row r="2858" ht="18.75" customHeight="1">
      <c r="A2858" s="165">
        <v>2855.0</v>
      </c>
      <c r="B2858" s="165"/>
      <c r="C2858" s="165"/>
      <c r="D2858" s="165"/>
      <c r="E2858" s="165"/>
      <c r="F2858" s="165"/>
      <c r="G2858" s="165"/>
      <c r="H2858" s="165"/>
      <c r="I2858" s="165"/>
      <c r="J2858" s="165"/>
      <c r="K2858" s="165"/>
      <c r="L2858" s="165"/>
      <c r="M2858" s="165"/>
      <c r="N2858" s="165"/>
      <c r="O2858" s="165"/>
      <c r="P2858" s="165"/>
      <c r="Q2858" s="165"/>
      <c r="R2858" s="165"/>
      <c r="S2858" s="165"/>
      <c r="T2858" s="165"/>
      <c r="U2858" s="165"/>
      <c r="V2858" s="165"/>
      <c r="W2858" s="165"/>
      <c r="X2858" s="165"/>
    </row>
    <row r="2859" ht="18.75" customHeight="1">
      <c r="A2859" s="165">
        <v>2856.0</v>
      </c>
      <c r="B2859" s="165"/>
      <c r="C2859" s="165"/>
      <c r="D2859" s="165"/>
      <c r="E2859" s="165"/>
      <c r="F2859" s="165"/>
      <c r="G2859" s="165"/>
      <c r="H2859" s="165"/>
      <c r="I2859" s="165"/>
      <c r="J2859" s="165"/>
      <c r="K2859" s="165"/>
      <c r="L2859" s="165"/>
      <c r="M2859" s="165"/>
      <c r="N2859" s="165"/>
      <c r="O2859" s="165"/>
      <c r="P2859" s="165"/>
      <c r="Q2859" s="165"/>
      <c r="R2859" s="165"/>
      <c r="S2859" s="165"/>
      <c r="T2859" s="165"/>
      <c r="U2859" s="165"/>
      <c r="V2859" s="165"/>
      <c r="W2859" s="165"/>
      <c r="X2859" s="165"/>
    </row>
    <row r="2860" ht="18.75" customHeight="1">
      <c r="A2860" s="165">
        <v>2857.0</v>
      </c>
      <c r="B2860" s="165"/>
      <c r="C2860" s="165"/>
      <c r="D2860" s="165"/>
      <c r="E2860" s="165"/>
      <c r="F2860" s="165"/>
      <c r="G2860" s="165"/>
      <c r="H2860" s="165"/>
      <c r="I2860" s="165"/>
      <c r="J2860" s="165"/>
      <c r="K2860" s="165"/>
      <c r="L2860" s="165"/>
      <c r="M2860" s="165"/>
      <c r="N2860" s="165"/>
      <c r="O2860" s="165"/>
      <c r="P2860" s="165"/>
      <c r="Q2860" s="165"/>
      <c r="R2860" s="165"/>
      <c r="S2860" s="165"/>
      <c r="T2860" s="165"/>
      <c r="U2860" s="165"/>
      <c r="V2860" s="165"/>
      <c r="W2860" s="165"/>
      <c r="X2860" s="165"/>
    </row>
    <row r="2861" ht="18.75" customHeight="1">
      <c r="A2861" s="165">
        <v>2858.0</v>
      </c>
      <c r="B2861" s="165"/>
      <c r="C2861" s="165"/>
      <c r="D2861" s="165"/>
      <c r="E2861" s="165"/>
      <c r="F2861" s="165"/>
      <c r="G2861" s="165"/>
      <c r="H2861" s="165"/>
      <c r="I2861" s="165"/>
      <c r="J2861" s="165"/>
      <c r="K2861" s="165"/>
      <c r="L2861" s="165"/>
      <c r="M2861" s="165"/>
      <c r="N2861" s="165"/>
      <c r="O2861" s="165"/>
      <c r="P2861" s="165"/>
      <c r="Q2861" s="165"/>
      <c r="R2861" s="165"/>
      <c r="S2861" s="165"/>
      <c r="T2861" s="165"/>
      <c r="U2861" s="165"/>
      <c r="V2861" s="165"/>
      <c r="W2861" s="165"/>
      <c r="X2861" s="165"/>
    </row>
    <row r="2862" ht="18.75" customHeight="1">
      <c r="A2862" s="165">
        <v>2859.0</v>
      </c>
      <c r="B2862" s="165"/>
      <c r="C2862" s="165"/>
      <c r="D2862" s="165"/>
      <c r="E2862" s="165"/>
      <c r="F2862" s="165"/>
      <c r="G2862" s="165"/>
      <c r="H2862" s="165"/>
      <c r="I2862" s="165"/>
      <c r="J2862" s="165"/>
      <c r="K2862" s="165"/>
      <c r="L2862" s="165"/>
      <c r="M2862" s="165"/>
      <c r="N2862" s="165"/>
      <c r="O2862" s="165"/>
      <c r="P2862" s="165"/>
      <c r="Q2862" s="165"/>
      <c r="R2862" s="165"/>
      <c r="S2862" s="165"/>
      <c r="T2862" s="165"/>
      <c r="U2862" s="165"/>
      <c r="V2862" s="165"/>
      <c r="W2862" s="165"/>
      <c r="X2862" s="165"/>
    </row>
    <row r="2863" ht="18.75" customHeight="1">
      <c r="A2863" s="165">
        <v>2860.0</v>
      </c>
      <c r="B2863" s="165"/>
      <c r="C2863" s="165"/>
      <c r="D2863" s="165"/>
      <c r="E2863" s="165"/>
      <c r="F2863" s="165"/>
      <c r="G2863" s="165"/>
      <c r="H2863" s="165"/>
      <c r="I2863" s="165"/>
      <c r="J2863" s="165"/>
      <c r="K2863" s="165"/>
      <c r="L2863" s="165"/>
      <c r="M2863" s="165"/>
      <c r="N2863" s="165"/>
      <c r="O2863" s="165"/>
      <c r="P2863" s="165"/>
      <c r="Q2863" s="165"/>
      <c r="R2863" s="165"/>
      <c r="S2863" s="165"/>
      <c r="T2863" s="165"/>
      <c r="U2863" s="165"/>
      <c r="V2863" s="165"/>
      <c r="W2863" s="165"/>
      <c r="X2863" s="165"/>
    </row>
    <row r="2864" ht="18.75" customHeight="1">
      <c r="A2864" s="165">
        <v>2861.0</v>
      </c>
      <c r="B2864" s="165"/>
      <c r="C2864" s="165"/>
      <c r="D2864" s="165"/>
      <c r="E2864" s="165"/>
      <c r="F2864" s="165"/>
      <c r="G2864" s="165"/>
      <c r="H2864" s="165"/>
      <c r="I2864" s="165"/>
      <c r="J2864" s="165"/>
      <c r="K2864" s="165"/>
      <c r="L2864" s="165"/>
      <c r="M2864" s="165"/>
      <c r="N2864" s="165"/>
      <c r="O2864" s="165"/>
      <c r="P2864" s="165"/>
      <c r="Q2864" s="165"/>
      <c r="R2864" s="165"/>
      <c r="S2864" s="165"/>
      <c r="T2864" s="165"/>
      <c r="U2864" s="165"/>
      <c r="V2864" s="165"/>
      <c r="W2864" s="165"/>
      <c r="X2864" s="165"/>
    </row>
    <row r="2865" ht="18.75" customHeight="1">
      <c r="A2865" s="165">
        <v>2862.0</v>
      </c>
      <c r="B2865" s="165"/>
      <c r="C2865" s="165"/>
      <c r="D2865" s="165"/>
      <c r="E2865" s="165"/>
      <c r="F2865" s="165"/>
      <c r="G2865" s="165"/>
      <c r="H2865" s="165"/>
      <c r="I2865" s="165"/>
      <c r="J2865" s="165"/>
      <c r="K2865" s="165"/>
      <c r="L2865" s="165"/>
      <c r="M2865" s="165"/>
      <c r="N2865" s="165"/>
      <c r="O2865" s="165"/>
      <c r="P2865" s="165"/>
      <c r="Q2865" s="165"/>
      <c r="R2865" s="165"/>
      <c r="S2865" s="165"/>
      <c r="T2865" s="165"/>
      <c r="U2865" s="165"/>
      <c r="V2865" s="165"/>
      <c r="W2865" s="165"/>
      <c r="X2865" s="165"/>
    </row>
    <row r="2866" ht="18.75" customHeight="1">
      <c r="A2866" s="165">
        <v>2863.0</v>
      </c>
      <c r="B2866" s="165"/>
      <c r="C2866" s="165"/>
      <c r="D2866" s="165"/>
      <c r="E2866" s="165"/>
      <c r="F2866" s="165"/>
      <c r="G2866" s="165"/>
      <c r="H2866" s="165"/>
      <c r="I2866" s="165"/>
      <c r="J2866" s="165"/>
      <c r="K2866" s="165"/>
      <c r="L2866" s="165"/>
      <c r="M2866" s="165"/>
      <c r="N2866" s="165"/>
      <c r="O2866" s="165"/>
      <c r="P2866" s="165"/>
      <c r="Q2866" s="165"/>
      <c r="R2866" s="165"/>
      <c r="S2866" s="165"/>
      <c r="T2866" s="165"/>
      <c r="U2866" s="165"/>
      <c r="V2866" s="165"/>
      <c r="W2866" s="165"/>
      <c r="X2866" s="165"/>
    </row>
    <row r="2867" ht="18.75" customHeight="1">
      <c r="A2867" s="165">
        <v>2864.0</v>
      </c>
      <c r="B2867" s="165"/>
      <c r="C2867" s="165"/>
      <c r="D2867" s="165"/>
      <c r="E2867" s="165"/>
      <c r="F2867" s="165"/>
      <c r="G2867" s="165"/>
      <c r="H2867" s="165"/>
      <c r="I2867" s="165"/>
      <c r="J2867" s="165"/>
      <c r="K2867" s="165"/>
      <c r="L2867" s="165"/>
      <c r="M2867" s="165"/>
      <c r="N2867" s="165"/>
      <c r="O2867" s="165"/>
      <c r="P2867" s="165"/>
      <c r="Q2867" s="165"/>
      <c r="R2867" s="165"/>
      <c r="S2867" s="165"/>
      <c r="T2867" s="165"/>
      <c r="U2867" s="165"/>
      <c r="V2867" s="165"/>
      <c r="W2867" s="165"/>
      <c r="X2867" s="165"/>
    </row>
    <row r="2868" ht="18.75" customHeight="1">
      <c r="A2868" s="165">
        <v>2865.0</v>
      </c>
      <c r="B2868" s="165"/>
      <c r="C2868" s="165"/>
      <c r="D2868" s="165"/>
      <c r="E2868" s="165"/>
      <c r="F2868" s="165"/>
      <c r="G2868" s="165"/>
      <c r="H2868" s="165"/>
      <c r="I2868" s="165"/>
      <c r="J2868" s="165"/>
      <c r="K2868" s="165"/>
      <c r="L2868" s="165"/>
      <c r="M2868" s="165"/>
      <c r="N2868" s="165"/>
      <c r="O2868" s="165"/>
      <c r="P2868" s="165"/>
      <c r="Q2868" s="165"/>
      <c r="R2868" s="165"/>
      <c r="S2868" s="165"/>
      <c r="T2868" s="165"/>
      <c r="U2868" s="165"/>
      <c r="V2868" s="165"/>
      <c r="W2868" s="165"/>
      <c r="X2868" s="165"/>
    </row>
    <row r="2869" ht="18.75" customHeight="1">
      <c r="A2869" s="165">
        <v>2866.0</v>
      </c>
      <c r="B2869" s="165"/>
      <c r="C2869" s="165"/>
      <c r="D2869" s="165"/>
      <c r="E2869" s="165"/>
      <c r="F2869" s="165"/>
      <c r="G2869" s="165"/>
      <c r="H2869" s="165"/>
      <c r="I2869" s="165"/>
      <c r="J2869" s="165"/>
      <c r="K2869" s="165"/>
      <c r="L2869" s="165"/>
      <c r="M2869" s="165"/>
      <c r="N2869" s="165"/>
      <c r="O2869" s="165"/>
      <c r="P2869" s="165"/>
      <c r="Q2869" s="165"/>
      <c r="R2869" s="165"/>
      <c r="S2869" s="165"/>
      <c r="T2869" s="165"/>
      <c r="U2869" s="165"/>
      <c r="V2869" s="165"/>
      <c r="W2869" s="165"/>
      <c r="X2869" s="165"/>
    </row>
    <row r="2870" ht="18.75" customHeight="1">
      <c r="A2870" s="165">
        <v>2867.0</v>
      </c>
      <c r="B2870" s="165"/>
      <c r="C2870" s="165"/>
      <c r="D2870" s="165"/>
      <c r="E2870" s="165"/>
      <c r="F2870" s="165"/>
      <c r="G2870" s="165"/>
      <c r="H2870" s="165"/>
      <c r="I2870" s="165"/>
      <c r="J2870" s="165"/>
      <c r="K2870" s="165"/>
      <c r="L2870" s="165"/>
      <c r="M2870" s="165"/>
      <c r="N2870" s="165"/>
      <c r="O2870" s="165"/>
      <c r="P2870" s="165"/>
      <c r="Q2870" s="165"/>
      <c r="R2870" s="165"/>
      <c r="S2870" s="165"/>
      <c r="T2870" s="165"/>
      <c r="U2870" s="165"/>
      <c r="V2870" s="165"/>
      <c r="W2870" s="165"/>
      <c r="X2870" s="165"/>
    </row>
    <row r="2871" ht="18.75" customHeight="1">
      <c r="A2871" s="165">
        <v>2868.0</v>
      </c>
      <c r="B2871" s="165"/>
      <c r="C2871" s="165"/>
      <c r="D2871" s="165"/>
      <c r="E2871" s="165"/>
      <c r="F2871" s="165"/>
      <c r="G2871" s="165"/>
      <c r="H2871" s="165"/>
      <c r="I2871" s="165"/>
      <c r="J2871" s="165"/>
      <c r="K2871" s="165"/>
      <c r="L2871" s="165"/>
      <c r="M2871" s="165"/>
      <c r="N2871" s="165"/>
      <c r="O2871" s="165"/>
      <c r="P2871" s="165"/>
      <c r="Q2871" s="165"/>
      <c r="R2871" s="165"/>
      <c r="S2871" s="165"/>
      <c r="T2871" s="165"/>
      <c r="U2871" s="165"/>
      <c r="V2871" s="165"/>
      <c r="W2871" s="165"/>
      <c r="X2871" s="165"/>
    </row>
    <row r="2872" ht="18.75" customHeight="1">
      <c r="A2872" s="165">
        <v>2869.0</v>
      </c>
      <c r="B2872" s="165"/>
      <c r="C2872" s="165"/>
      <c r="D2872" s="165"/>
      <c r="E2872" s="165"/>
      <c r="F2872" s="165"/>
      <c r="G2872" s="165"/>
      <c r="H2872" s="165"/>
      <c r="I2872" s="165"/>
      <c r="J2872" s="165"/>
      <c r="K2872" s="165"/>
      <c r="L2872" s="165"/>
      <c r="M2872" s="165"/>
      <c r="N2872" s="165"/>
      <c r="O2872" s="165"/>
      <c r="P2872" s="165"/>
      <c r="Q2872" s="165"/>
      <c r="R2872" s="165"/>
      <c r="S2872" s="165"/>
      <c r="T2872" s="165"/>
      <c r="U2872" s="165"/>
      <c r="V2872" s="165"/>
      <c r="W2872" s="165"/>
      <c r="X2872" s="165"/>
    </row>
    <row r="2873" ht="18.75" customHeight="1">
      <c r="A2873" s="165">
        <v>2870.0</v>
      </c>
      <c r="B2873" s="165"/>
      <c r="C2873" s="165"/>
      <c r="D2873" s="165"/>
      <c r="E2873" s="165"/>
      <c r="F2873" s="165"/>
      <c r="G2873" s="165"/>
      <c r="H2873" s="165"/>
      <c r="I2873" s="165"/>
      <c r="J2873" s="165"/>
      <c r="K2873" s="165"/>
      <c r="L2873" s="165"/>
      <c r="M2873" s="165"/>
      <c r="N2873" s="165"/>
      <c r="O2873" s="165"/>
      <c r="P2873" s="165"/>
      <c r="Q2873" s="165"/>
      <c r="R2873" s="165"/>
      <c r="S2873" s="165"/>
      <c r="T2873" s="165"/>
      <c r="U2873" s="165"/>
      <c r="V2873" s="165"/>
      <c r="W2873" s="165"/>
      <c r="X2873" s="165"/>
    </row>
    <row r="2874" ht="18.75" customHeight="1">
      <c r="A2874" s="165">
        <v>2871.0</v>
      </c>
      <c r="B2874" s="165"/>
      <c r="C2874" s="165"/>
      <c r="D2874" s="165"/>
      <c r="E2874" s="165"/>
      <c r="F2874" s="165"/>
      <c r="G2874" s="165"/>
      <c r="H2874" s="165"/>
      <c r="I2874" s="165"/>
      <c r="J2874" s="165"/>
      <c r="K2874" s="165"/>
      <c r="L2874" s="165"/>
      <c r="M2874" s="165"/>
      <c r="N2874" s="165"/>
      <c r="O2874" s="165"/>
      <c r="P2874" s="165"/>
      <c r="Q2874" s="165"/>
      <c r="R2874" s="165"/>
      <c r="S2874" s="165"/>
      <c r="T2874" s="165"/>
      <c r="U2874" s="165"/>
      <c r="V2874" s="165"/>
      <c r="W2874" s="165"/>
      <c r="X2874" s="165"/>
    </row>
    <row r="2875" ht="18.75" customHeight="1">
      <c r="A2875" s="165">
        <v>2872.0</v>
      </c>
      <c r="B2875" s="165"/>
      <c r="C2875" s="165"/>
      <c r="D2875" s="165"/>
      <c r="E2875" s="165"/>
      <c r="F2875" s="165"/>
      <c r="G2875" s="165"/>
      <c r="H2875" s="165"/>
      <c r="I2875" s="165"/>
      <c r="J2875" s="165"/>
      <c r="K2875" s="165"/>
      <c r="L2875" s="165"/>
      <c r="M2875" s="165"/>
      <c r="N2875" s="165"/>
      <c r="O2875" s="165"/>
      <c r="P2875" s="165"/>
      <c r="Q2875" s="165"/>
      <c r="R2875" s="165"/>
      <c r="S2875" s="165"/>
      <c r="T2875" s="165"/>
      <c r="U2875" s="165"/>
      <c r="V2875" s="165"/>
      <c r="W2875" s="165"/>
      <c r="X2875" s="165"/>
    </row>
    <row r="2876" ht="18.75" customHeight="1">
      <c r="A2876" s="165">
        <v>2873.0</v>
      </c>
      <c r="B2876" s="165"/>
      <c r="C2876" s="165"/>
      <c r="D2876" s="165"/>
      <c r="E2876" s="165"/>
      <c r="F2876" s="165"/>
      <c r="G2876" s="165"/>
      <c r="H2876" s="165"/>
      <c r="I2876" s="165"/>
      <c r="J2876" s="165"/>
      <c r="K2876" s="165"/>
      <c r="L2876" s="165"/>
      <c r="M2876" s="165"/>
      <c r="N2876" s="165"/>
      <c r="O2876" s="165"/>
      <c r="P2876" s="165"/>
      <c r="Q2876" s="165"/>
      <c r="R2876" s="165"/>
      <c r="S2876" s="165"/>
      <c r="T2876" s="165"/>
      <c r="U2876" s="165"/>
      <c r="V2876" s="165"/>
      <c r="W2876" s="165"/>
      <c r="X2876" s="165"/>
    </row>
    <row r="2877" ht="18.75" customHeight="1">
      <c r="A2877" s="165">
        <v>2874.0</v>
      </c>
      <c r="B2877" s="165"/>
      <c r="C2877" s="165"/>
      <c r="D2877" s="165"/>
      <c r="E2877" s="165"/>
      <c r="F2877" s="165"/>
      <c r="G2877" s="165"/>
      <c r="H2877" s="165"/>
      <c r="I2877" s="165"/>
      <c r="J2877" s="165"/>
      <c r="K2877" s="165"/>
      <c r="L2877" s="165"/>
      <c r="M2877" s="165"/>
      <c r="N2877" s="165"/>
      <c r="O2877" s="165"/>
      <c r="P2877" s="165"/>
      <c r="Q2877" s="165"/>
      <c r="R2877" s="165"/>
      <c r="S2877" s="165"/>
      <c r="T2877" s="165"/>
      <c r="U2877" s="165"/>
      <c r="V2877" s="165"/>
      <c r="W2877" s="165"/>
      <c r="X2877" s="165"/>
    </row>
    <row r="2878" ht="18.75" customHeight="1">
      <c r="A2878" s="165">
        <v>2875.0</v>
      </c>
      <c r="B2878" s="165"/>
      <c r="C2878" s="165"/>
      <c r="D2878" s="165"/>
      <c r="E2878" s="165"/>
      <c r="F2878" s="165"/>
      <c r="G2878" s="165"/>
      <c r="H2878" s="165"/>
      <c r="I2878" s="165"/>
      <c r="J2878" s="165"/>
      <c r="K2878" s="165"/>
      <c r="L2878" s="165"/>
      <c r="M2878" s="165"/>
      <c r="N2878" s="165"/>
      <c r="O2878" s="165"/>
      <c r="P2878" s="165"/>
      <c r="Q2878" s="165"/>
      <c r="R2878" s="165"/>
      <c r="S2878" s="165"/>
      <c r="T2878" s="165"/>
      <c r="U2878" s="165"/>
      <c r="V2878" s="165"/>
      <c r="W2878" s="165"/>
      <c r="X2878" s="165"/>
    </row>
    <row r="2879" ht="18.75" customHeight="1">
      <c r="A2879" s="165">
        <v>2876.0</v>
      </c>
      <c r="B2879" s="165"/>
      <c r="C2879" s="165"/>
      <c r="D2879" s="165"/>
      <c r="E2879" s="165"/>
      <c r="F2879" s="165"/>
      <c r="G2879" s="165"/>
      <c r="H2879" s="165"/>
      <c r="I2879" s="165"/>
      <c r="J2879" s="165"/>
      <c r="K2879" s="165"/>
      <c r="L2879" s="165"/>
      <c r="M2879" s="165"/>
      <c r="N2879" s="165"/>
      <c r="O2879" s="165"/>
      <c r="P2879" s="165"/>
      <c r="Q2879" s="165"/>
      <c r="R2879" s="165"/>
      <c r="S2879" s="165"/>
      <c r="T2879" s="165"/>
      <c r="U2879" s="165"/>
      <c r="V2879" s="165"/>
      <c r="W2879" s="165"/>
      <c r="X2879" s="165"/>
    </row>
    <row r="2880" ht="18.75" customHeight="1">
      <c r="A2880" s="165">
        <v>2877.0</v>
      </c>
      <c r="B2880" s="165"/>
      <c r="C2880" s="165"/>
      <c r="D2880" s="165"/>
      <c r="E2880" s="165"/>
      <c r="F2880" s="165"/>
      <c r="G2880" s="165"/>
      <c r="H2880" s="165"/>
      <c r="I2880" s="165"/>
      <c r="J2880" s="165"/>
      <c r="K2880" s="165"/>
      <c r="L2880" s="165"/>
      <c r="M2880" s="165"/>
      <c r="N2880" s="165"/>
      <c r="O2880" s="165"/>
      <c r="P2880" s="165"/>
      <c r="Q2880" s="165"/>
      <c r="R2880" s="165"/>
      <c r="S2880" s="165"/>
      <c r="T2880" s="165"/>
      <c r="U2880" s="165"/>
      <c r="V2880" s="165"/>
      <c r="W2880" s="165"/>
      <c r="X2880" s="165"/>
    </row>
    <row r="2881" ht="18.75" customHeight="1">
      <c r="A2881" s="165">
        <v>2878.0</v>
      </c>
      <c r="B2881" s="165"/>
      <c r="C2881" s="165"/>
      <c r="D2881" s="165"/>
      <c r="E2881" s="165"/>
      <c r="F2881" s="165"/>
      <c r="G2881" s="165"/>
      <c r="H2881" s="165"/>
      <c r="I2881" s="165"/>
      <c r="J2881" s="165"/>
      <c r="K2881" s="165"/>
      <c r="L2881" s="165"/>
      <c r="M2881" s="165"/>
      <c r="N2881" s="165"/>
      <c r="O2881" s="165"/>
      <c r="P2881" s="165"/>
      <c r="Q2881" s="165"/>
      <c r="R2881" s="165"/>
      <c r="S2881" s="165"/>
      <c r="T2881" s="165"/>
      <c r="U2881" s="165"/>
      <c r="V2881" s="165"/>
      <c r="W2881" s="165"/>
      <c r="X2881" s="165"/>
    </row>
    <row r="2882" ht="18.75" customHeight="1">
      <c r="A2882" s="165">
        <v>2879.0</v>
      </c>
      <c r="B2882" s="165"/>
      <c r="C2882" s="165"/>
      <c r="D2882" s="165"/>
      <c r="E2882" s="165"/>
      <c r="F2882" s="165"/>
      <c r="G2882" s="165"/>
      <c r="H2882" s="165"/>
      <c r="I2882" s="165"/>
      <c r="J2882" s="165"/>
      <c r="K2882" s="165"/>
      <c r="L2882" s="165"/>
      <c r="M2882" s="165"/>
      <c r="N2882" s="165"/>
      <c r="O2882" s="165"/>
      <c r="P2882" s="165"/>
      <c r="Q2882" s="165"/>
      <c r="R2882" s="165"/>
      <c r="S2882" s="165"/>
      <c r="T2882" s="165"/>
      <c r="U2882" s="165"/>
      <c r="V2882" s="165"/>
      <c r="W2882" s="165"/>
      <c r="X2882" s="165"/>
    </row>
    <row r="2883" ht="18.75" customHeight="1">
      <c r="A2883" s="165">
        <v>2880.0</v>
      </c>
      <c r="B2883" s="165"/>
      <c r="C2883" s="165"/>
      <c r="D2883" s="165"/>
      <c r="E2883" s="165"/>
      <c r="F2883" s="165"/>
      <c r="G2883" s="165"/>
      <c r="H2883" s="165"/>
      <c r="I2883" s="165"/>
      <c r="J2883" s="165"/>
      <c r="K2883" s="165"/>
      <c r="L2883" s="165"/>
      <c r="M2883" s="165"/>
      <c r="N2883" s="165"/>
      <c r="O2883" s="165"/>
      <c r="P2883" s="165"/>
      <c r="Q2883" s="165"/>
      <c r="R2883" s="165"/>
      <c r="S2883" s="165"/>
      <c r="T2883" s="165"/>
      <c r="U2883" s="165"/>
      <c r="V2883" s="165"/>
      <c r="W2883" s="165"/>
      <c r="X2883" s="165"/>
    </row>
    <row r="2884" ht="18.75" customHeight="1">
      <c r="A2884" s="165">
        <v>2881.0</v>
      </c>
      <c r="B2884" s="165"/>
      <c r="C2884" s="165"/>
      <c r="D2884" s="165"/>
      <c r="E2884" s="165"/>
      <c r="F2884" s="165"/>
      <c r="G2884" s="165"/>
      <c r="H2884" s="165"/>
      <c r="I2884" s="165"/>
      <c r="J2884" s="165"/>
      <c r="K2884" s="165"/>
      <c r="L2884" s="165"/>
      <c r="M2884" s="165"/>
      <c r="N2884" s="165"/>
      <c r="O2884" s="165"/>
      <c r="P2884" s="165"/>
      <c r="Q2884" s="165"/>
      <c r="R2884" s="165"/>
      <c r="S2884" s="165"/>
      <c r="T2884" s="165"/>
      <c r="U2884" s="165"/>
      <c r="V2884" s="165"/>
      <c r="W2884" s="165"/>
      <c r="X2884" s="165"/>
    </row>
    <row r="2885" ht="18.75" customHeight="1">
      <c r="A2885" s="165">
        <v>2882.0</v>
      </c>
      <c r="B2885" s="165"/>
      <c r="C2885" s="165"/>
      <c r="D2885" s="165"/>
      <c r="E2885" s="165"/>
      <c r="F2885" s="165"/>
      <c r="G2885" s="165"/>
      <c r="H2885" s="165"/>
      <c r="I2885" s="165"/>
      <c r="J2885" s="165"/>
      <c r="K2885" s="165"/>
      <c r="L2885" s="165"/>
      <c r="M2885" s="165"/>
      <c r="N2885" s="165"/>
      <c r="O2885" s="165"/>
      <c r="P2885" s="165"/>
      <c r="Q2885" s="165"/>
      <c r="R2885" s="165"/>
      <c r="S2885" s="165"/>
      <c r="T2885" s="165"/>
      <c r="U2885" s="165"/>
      <c r="V2885" s="165"/>
      <c r="W2885" s="165"/>
      <c r="X2885" s="165"/>
    </row>
    <row r="2886" ht="18.75" customHeight="1">
      <c r="A2886" s="165">
        <v>2883.0</v>
      </c>
      <c r="B2886" s="165"/>
      <c r="C2886" s="165"/>
      <c r="D2886" s="165"/>
      <c r="E2886" s="165"/>
      <c r="F2886" s="165"/>
      <c r="G2886" s="165"/>
      <c r="H2886" s="165"/>
      <c r="I2886" s="165"/>
      <c r="J2886" s="165"/>
      <c r="K2886" s="165"/>
      <c r="L2886" s="165"/>
      <c r="M2886" s="165"/>
      <c r="N2886" s="165"/>
      <c r="O2886" s="165"/>
      <c r="P2886" s="165"/>
      <c r="Q2886" s="165"/>
      <c r="R2886" s="165"/>
      <c r="S2886" s="165"/>
      <c r="T2886" s="165"/>
      <c r="U2886" s="165"/>
      <c r="V2886" s="165"/>
      <c r="W2886" s="165"/>
      <c r="X2886" s="165"/>
    </row>
    <row r="2887" ht="18.75" customHeight="1">
      <c r="A2887" s="165">
        <v>2884.0</v>
      </c>
      <c r="B2887" s="165"/>
      <c r="C2887" s="165"/>
      <c r="D2887" s="165"/>
      <c r="E2887" s="165"/>
      <c r="F2887" s="165"/>
      <c r="G2887" s="165"/>
      <c r="H2887" s="165"/>
      <c r="I2887" s="165"/>
      <c r="J2887" s="165"/>
      <c r="K2887" s="165"/>
      <c r="L2887" s="165"/>
      <c r="M2887" s="165"/>
      <c r="N2887" s="165"/>
      <c r="O2887" s="165"/>
      <c r="P2887" s="165"/>
      <c r="Q2887" s="165"/>
      <c r="R2887" s="165"/>
      <c r="S2887" s="165"/>
      <c r="T2887" s="165"/>
      <c r="U2887" s="165"/>
      <c r="V2887" s="165"/>
      <c r="W2887" s="165"/>
      <c r="X2887" s="165"/>
    </row>
    <row r="2888" ht="18.75" customHeight="1">
      <c r="A2888" s="165">
        <v>2885.0</v>
      </c>
      <c r="B2888" s="165"/>
      <c r="C2888" s="165"/>
      <c r="D2888" s="165"/>
      <c r="E2888" s="165"/>
      <c r="F2888" s="165"/>
      <c r="G2888" s="165"/>
      <c r="H2888" s="165"/>
      <c r="I2888" s="165"/>
      <c r="J2888" s="165"/>
      <c r="K2888" s="165"/>
      <c r="L2888" s="165"/>
      <c r="M2888" s="165"/>
      <c r="N2888" s="165"/>
      <c r="O2888" s="165"/>
      <c r="P2888" s="165"/>
      <c r="Q2888" s="165"/>
      <c r="R2888" s="165"/>
      <c r="S2888" s="165"/>
      <c r="T2888" s="165"/>
      <c r="U2888" s="165"/>
      <c r="V2888" s="165"/>
      <c r="W2888" s="165"/>
      <c r="X2888" s="165"/>
    </row>
    <row r="2889" ht="18.75" customHeight="1">
      <c r="A2889" s="165">
        <v>2886.0</v>
      </c>
      <c r="B2889" s="165"/>
      <c r="C2889" s="165"/>
      <c r="D2889" s="165"/>
      <c r="E2889" s="165"/>
      <c r="F2889" s="165"/>
      <c r="G2889" s="165"/>
      <c r="H2889" s="165"/>
      <c r="I2889" s="165"/>
      <c r="J2889" s="165"/>
      <c r="K2889" s="165"/>
      <c r="L2889" s="165"/>
      <c r="M2889" s="165"/>
      <c r="N2889" s="165"/>
      <c r="O2889" s="165"/>
      <c r="P2889" s="165"/>
      <c r="Q2889" s="165"/>
      <c r="R2889" s="165"/>
      <c r="S2889" s="165"/>
      <c r="T2889" s="165"/>
      <c r="U2889" s="165"/>
      <c r="V2889" s="165"/>
      <c r="W2889" s="165"/>
      <c r="X2889" s="165"/>
    </row>
    <row r="2890" ht="18.75" customHeight="1">
      <c r="A2890" s="165">
        <v>2887.0</v>
      </c>
      <c r="B2890" s="165"/>
      <c r="C2890" s="165"/>
      <c r="D2890" s="165"/>
      <c r="E2890" s="165"/>
      <c r="F2890" s="165"/>
      <c r="G2890" s="165"/>
      <c r="H2890" s="165"/>
      <c r="I2890" s="165"/>
      <c r="J2890" s="165"/>
      <c r="K2890" s="165"/>
      <c r="L2890" s="165"/>
      <c r="M2890" s="165"/>
      <c r="N2890" s="165"/>
      <c r="O2890" s="165"/>
      <c r="P2890" s="165"/>
      <c r="Q2890" s="165"/>
      <c r="R2890" s="165"/>
      <c r="S2890" s="165"/>
      <c r="T2890" s="165"/>
      <c r="U2890" s="165"/>
      <c r="V2890" s="165"/>
      <c r="W2890" s="165"/>
      <c r="X2890" s="165"/>
    </row>
    <row r="2891" ht="18.75" customHeight="1">
      <c r="A2891" s="165">
        <v>2888.0</v>
      </c>
      <c r="B2891" s="165"/>
      <c r="C2891" s="165"/>
      <c r="D2891" s="165"/>
      <c r="E2891" s="165"/>
      <c r="F2891" s="165"/>
      <c r="G2891" s="165"/>
      <c r="H2891" s="165"/>
      <c r="I2891" s="165"/>
      <c r="J2891" s="165"/>
      <c r="K2891" s="165"/>
      <c r="L2891" s="165"/>
      <c r="M2891" s="165"/>
      <c r="N2891" s="165"/>
      <c r="O2891" s="165"/>
      <c r="P2891" s="165"/>
      <c r="Q2891" s="165"/>
      <c r="R2891" s="165"/>
      <c r="S2891" s="165"/>
      <c r="T2891" s="165"/>
      <c r="U2891" s="165"/>
      <c r="V2891" s="165"/>
      <c r="W2891" s="165"/>
      <c r="X2891" s="165"/>
    </row>
    <row r="2892" ht="18.75" customHeight="1">
      <c r="A2892" s="165">
        <v>2889.0</v>
      </c>
      <c r="B2892" s="165"/>
      <c r="C2892" s="165"/>
      <c r="D2892" s="165"/>
      <c r="E2892" s="165"/>
      <c r="F2892" s="165"/>
      <c r="G2892" s="165"/>
      <c r="H2892" s="165"/>
      <c r="I2892" s="165"/>
      <c r="J2892" s="165"/>
      <c r="K2892" s="165"/>
      <c r="L2892" s="165"/>
      <c r="M2892" s="165"/>
      <c r="N2892" s="165"/>
      <c r="O2892" s="165"/>
      <c r="P2892" s="165"/>
      <c r="Q2892" s="165"/>
      <c r="R2892" s="165"/>
      <c r="S2892" s="165"/>
      <c r="T2892" s="165"/>
      <c r="U2892" s="165"/>
      <c r="V2892" s="165"/>
      <c r="W2892" s="165"/>
      <c r="X2892" s="165"/>
    </row>
    <row r="2893" ht="18.75" customHeight="1">
      <c r="A2893" s="165">
        <v>2890.0</v>
      </c>
      <c r="B2893" s="165"/>
      <c r="C2893" s="165"/>
      <c r="D2893" s="165"/>
      <c r="E2893" s="165"/>
      <c r="F2893" s="165"/>
      <c r="G2893" s="165"/>
      <c r="H2893" s="165"/>
      <c r="I2893" s="165"/>
      <c r="J2893" s="165"/>
      <c r="K2893" s="165"/>
      <c r="L2893" s="165"/>
      <c r="M2893" s="165"/>
      <c r="N2893" s="165"/>
      <c r="O2893" s="165"/>
      <c r="P2893" s="165"/>
      <c r="Q2893" s="165"/>
      <c r="R2893" s="165"/>
      <c r="S2893" s="165"/>
      <c r="T2893" s="165"/>
      <c r="U2893" s="165"/>
      <c r="V2893" s="165"/>
      <c r="W2893" s="165"/>
      <c r="X2893" s="165"/>
    </row>
    <row r="2894" ht="18.75" customHeight="1">
      <c r="A2894" s="165">
        <v>2891.0</v>
      </c>
      <c r="B2894" s="165"/>
      <c r="C2894" s="165"/>
      <c r="D2894" s="165"/>
      <c r="E2894" s="165"/>
      <c r="F2894" s="165"/>
      <c r="G2894" s="165"/>
      <c r="H2894" s="165"/>
      <c r="I2894" s="165"/>
      <c r="J2894" s="165"/>
      <c r="K2894" s="165"/>
      <c r="L2894" s="165"/>
      <c r="M2894" s="165"/>
      <c r="N2894" s="165"/>
      <c r="O2894" s="165"/>
      <c r="P2894" s="165"/>
      <c r="Q2894" s="165"/>
      <c r="R2894" s="165"/>
      <c r="S2894" s="165"/>
      <c r="T2894" s="165"/>
      <c r="U2894" s="165"/>
      <c r="V2894" s="165"/>
      <c r="W2894" s="165"/>
      <c r="X2894" s="165"/>
    </row>
    <row r="2895" ht="18.75" customHeight="1">
      <c r="A2895" s="165">
        <v>2892.0</v>
      </c>
      <c r="B2895" s="165"/>
      <c r="C2895" s="165"/>
      <c r="D2895" s="165"/>
      <c r="E2895" s="165"/>
      <c r="F2895" s="165"/>
      <c r="G2895" s="165"/>
      <c r="H2895" s="165"/>
      <c r="I2895" s="165"/>
      <c r="J2895" s="165"/>
      <c r="K2895" s="165"/>
      <c r="L2895" s="165"/>
      <c r="M2895" s="165"/>
      <c r="N2895" s="165"/>
      <c r="O2895" s="165"/>
      <c r="P2895" s="165"/>
      <c r="Q2895" s="165"/>
      <c r="R2895" s="165"/>
      <c r="S2895" s="165"/>
      <c r="T2895" s="165"/>
      <c r="U2895" s="165"/>
      <c r="V2895" s="165"/>
      <c r="W2895" s="165"/>
      <c r="X2895" s="165"/>
    </row>
    <row r="2896" ht="18.75" customHeight="1">
      <c r="A2896" s="165">
        <v>2893.0</v>
      </c>
      <c r="B2896" s="165"/>
      <c r="C2896" s="165"/>
      <c r="D2896" s="165"/>
      <c r="E2896" s="165"/>
      <c r="F2896" s="165"/>
      <c r="G2896" s="165"/>
      <c r="H2896" s="165"/>
      <c r="I2896" s="165"/>
      <c r="J2896" s="165"/>
      <c r="K2896" s="165"/>
      <c r="L2896" s="165"/>
      <c r="M2896" s="165"/>
      <c r="N2896" s="165"/>
      <c r="O2896" s="165"/>
      <c r="P2896" s="165"/>
      <c r="Q2896" s="165"/>
      <c r="R2896" s="165"/>
      <c r="S2896" s="165"/>
      <c r="T2896" s="165"/>
      <c r="U2896" s="165"/>
      <c r="V2896" s="165"/>
      <c r="W2896" s="165"/>
      <c r="X2896" s="165"/>
    </row>
    <row r="2897" ht="18.75" customHeight="1">
      <c r="A2897" s="165">
        <v>2894.0</v>
      </c>
      <c r="B2897" s="165"/>
      <c r="C2897" s="165"/>
      <c r="D2897" s="165"/>
      <c r="E2897" s="165"/>
      <c r="F2897" s="165"/>
      <c r="G2897" s="165"/>
      <c r="H2897" s="165"/>
      <c r="I2897" s="165"/>
      <c r="J2897" s="165"/>
      <c r="K2897" s="165"/>
      <c r="L2897" s="165"/>
      <c r="M2897" s="165"/>
      <c r="N2897" s="165"/>
      <c r="O2897" s="165"/>
      <c r="P2897" s="165"/>
      <c r="Q2897" s="165"/>
      <c r="R2897" s="165"/>
      <c r="S2897" s="165"/>
      <c r="T2897" s="165"/>
      <c r="U2897" s="165"/>
      <c r="V2897" s="165"/>
      <c r="W2897" s="165"/>
      <c r="X2897" s="165"/>
    </row>
    <row r="2898" ht="18.75" customHeight="1">
      <c r="A2898" s="165">
        <v>2895.0</v>
      </c>
      <c r="B2898" s="165"/>
      <c r="C2898" s="165"/>
      <c r="D2898" s="165"/>
      <c r="E2898" s="165"/>
      <c r="F2898" s="165"/>
      <c r="G2898" s="165"/>
      <c r="H2898" s="165"/>
      <c r="I2898" s="165"/>
      <c r="J2898" s="165"/>
      <c r="K2898" s="165"/>
      <c r="L2898" s="165"/>
      <c r="M2898" s="165"/>
      <c r="N2898" s="165"/>
      <c r="O2898" s="165"/>
      <c r="P2898" s="165"/>
      <c r="Q2898" s="165"/>
      <c r="R2898" s="165"/>
      <c r="S2898" s="165"/>
      <c r="T2898" s="165"/>
      <c r="U2898" s="165"/>
      <c r="V2898" s="165"/>
      <c r="W2898" s="165"/>
      <c r="X2898" s="165"/>
    </row>
    <row r="2899" ht="18.75" customHeight="1">
      <c r="A2899" s="165">
        <v>2896.0</v>
      </c>
      <c r="B2899" s="165"/>
      <c r="C2899" s="165"/>
      <c r="D2899" s="165"/>
      <c r="E2899" s="165"/>
      <c r="F2899" s="165"/>
      <c r="G2899" s="165"/>
      <c r="H2899" s="165"/>
      <c r="I2899" s="165"/>
      <c r="J2899" s="165"/>
      <c r="K2899" s="165"/>
      <c r="L2899" s="165"/>
      <c r="M2899" s="165"/>
      <c r="N2899" s="165"/>
      <c r="O2899" s="165"/>
      <c r="P2899" s="165"/>
      <c r="Q2899" s="165"/>
      <c r="R2899" s="165"/>
      <c r="S2899" s="165"/>
      <c r="T2899" s="165"/>
      <c r="U2899" s="165"/>
      <c r="V2899" s="165"/>
      <c r="W2899" s="165"/>
      <c r="X2899" s="165"/>
    </row>
    <row r="2900" ht="18.75" customHeight="1">
      <c r="A2900" s="165">
        <v>2897.0</v>
      </c>
      <c r="B2900" s="165"/>
      <c r="C2900" s="165"/>
      <c r="D2900" s="165"/>
      <c r="E2900" s="165"/>
      <c r="F2900" s="165"/>
      <c r="G2900" s="165"/>
      <c r="H2900" s="165"/>
      <c r="I2900" s="165"/>
      <c r="J2900" s="165"/>
      <c r="K2900" s="165"/>
      <c r="L2900" s="165"/>
      <c r="M2900" s="165"/>
      <c r="N2900" s="165"/>
      <c r="O2900" s="165"/>
      <c r="P2900" s="165"/>
      <c r="Q2900" s="165"/>
      <c r="R2900" s="165"/>
      <c r="S2900" s="165"/>
      <c r="T2900" s="165"/>
      <c r="U2900" s="165"/>
      <c r="V2900" s="165"/>
      <c r="W2900" s="165"/>
      <c r="X2900" s="165"/>
    </row>
    <row r="2901" ht="18.75" customHeight="1">
      <c r="A2901" s="165">
        <v>2898.0</v>
      </c>
      <c r="B2901" s="165"/>
      <c r="C2901" s="165"/>
      <c r="D2901" s="165"/>
      <c r="E2901" s="165"/>
      <c r="F2901" s="165"/>
      <c r="G2901" s="165"/>
      <c r="H2901" s="165"/>
      <c r="I2901" s="165"/>
      <c r="J2901" s="165"/>
      <c r="K2901" s="165"/>
      <c r="L2901" s="165"/>
      <c r="M2901" s="165"/>
      <c r="N2901" s="165"/>
      <c r="O2901" s="165"/>
      <c r="P2901" s="165"/>
      <c r="Q2901" s="165"/>
      <c r="R2901" s="165"/>
      <c r="S2901" s="165"/>
      <c r="T2901" s="165"/>
      <c r="U2901" s="165"/>
      <c r="V2901" s="165"/>
      <c r="W2901" s="165"/>
      <c r="X2901" s="165"/>
    </row>
    <row r="2902" ht="18.75" customHeight="1">
      <c r="A2902" s="165">
        <v>2899.0</v>
      </c>
      <c r="B2902" s="165"/>
      <c r="C2902" s="165"/>
      <c r="D2902" s="165"/>
      <c r="E2902" s="165"/>
      <c r="F2902" s="165"/>
      <c r="G2902" s="165"/>
      <c r="H2902" s="165"/>
      <c r="I2902" s="165"/>
      <c r="J2902" s="165"/>
      <c r="K2902" s="165"/>
      <c r="L2902" s="165"/>
      <c r="M2902" s="165"/>
      <c r="N2902" s="165"/>
      <c r="O2902" s="165"/>
      <c r="P2902" s="165"/>
      <c r="Q2902" s="165"/>
      <c r="R2902" s="165"/>
      <c r="S2902" s="165"/>
      <c r="T2902" s="165"/>
      <c r="U2902" s="165"/>
      <c r="V2902" s="165"/>
      <c r="W2902" s="165"/>
      <c r="X2902" s="165"/>
    </row>
    <row r="2903" ht="18.75" customHeight="1">
      <c r="A2903" s="165">
        <v>2900.0</v>
      </c>
      <c r="B2903" s="165"/>
      <c r="C2903" s="165"/>
      <c r="D2903" s="165"/>
      <c r="E2903" s="165"/>
      <c r="F2903" s="165"/>
      <c r="G2903" s="165"/>
      <c r="H2903" s="165"/>
      <c r="I2903" s="165"/>
      <c r="J2903" s="165"/>
      <c r="K2903" s="165"/>
      <c r="L2903" s="165"/>
      <c r="M2903" s="165"/>
      <c r="N2903" s="165"/>
      <c r="O2903" s="165"/>
      <c r="P2903" s="165"/>
      <c r="Q2903" s="165"/>
      <c r="R2903" s="165"/>
      <c r="S2903" s="165"/>
      <c r="T2903" s="165"/>
      <c r="U2903" s="165"/>
      <c r="V2903" s="165"/>
      <c r="W2903" s="165"/>
      <c r="X2903" s="165"/>
    </row>
    <row r="2904" ht="18.75" customHeight="1">
      <c r="A2904" s="165">
        <v>2901.0</v>
      </c>
      <c r="B2904" s="165"/>
      <c r="C2904" s="165"/>
      <c r="D2904" s="165"/>
      <c r="E2904" s="165"/>
      <c r="F2904" s="165"/>
      <c r="G2904" s="165"/>
      <c r="H2904" s="165"/>
      <c r="I2904" s="165"/>
      <c r="J2904" s="165"/>
      <c r="K2904" s="165"/>
      <c r="L2904" s="165"/>
      <c r="M2904" s="165"/>
      <c r="N2904" s="165"/>
      <c r="O2904" s="165"/>
      <c r="P2904" s="165"/>
      <c r="Q2904" s="165"/>
      <c r="R2904" s="165"/>
      <c r="S2904" s="165"/>
      <c r="T2904" s="165"/>
      <c r="U2904" s="165"/>
      <c r="V2904" s="165"/>
      <c r="W2904" s="165"/>
      <c r="X2904" s="165"/>
    </row>
    <row r="2905" ht="18.75" customHeight="1">
      <c r="A2905" s="165">
        <v>2902.0</v>
      </c>
      <c r="B2905" s="165"/>
      <c r="C2905" s="165"/>
      <c r="D2905" s="165"/>
      <c r="E2905" s="165"/>
      <c r="F2905" s="165"/>
      <c r="G2905" s="165"/>
      <c r="H2905" s="165"/>
      <c r="I2905" s="165"/>
      <c r="J2905" s="165"/>
      <c r="K2905" s="165"/>
      <c r="L2905" s="165"/>
      <c r="M2905" s="165"/>
      <c r="N2905" s="165"/>
      <c r="O2905" s="165"/>
      <c r="P2905" s="165"/>
      <c r="Q2905" s="165"/>
      <c r="R2905" s="165"/>
      <c r="S2905" s="165"/>
      <c r="T2905" s="165"/>
      <c r="U2905" s="165"/>
      <c r="V2905" s="165"/>
      <c r="W2905" s="165"/>
      <c r="X2905" s="165"/>
    </row>
    <row r="2906" ht="18.75" customHeight="1">
      <c r="A2906" s="165">
        <v>2903.0</v>
      </c>
      <c r="B2906" s="165"/>
      <c r="C2906" s="165"/>
      <c r="D2906" s="165"/>
      <c r="E2906" s="165"/>
      <c r="F2906" s="165"/>
      <c r="G2906" s="165"/>
      <c r="H2906" s="165"/>
      <c r="I2906" s="165"/>
      <c r="J2906" s="165"/>
      <c r="K2906" s="165"/>
      <c r="L2906" s="165"/>
      <c r="M2906" s="165"/>
      <c r="N2906" s="165"/>
      <c r="O2906" s="165"/>
      <c r="P2906" s="165"/>
      <c r="Q2906" s="165"/>
      <c r="R2906" s="165"/>
      <c r="S2906" s="165"/>
      <c r="T2906" s="165"/>
      <c r="U2906" s="165"/>
      <c r="V2906" s="165"/>
      <c r="W2906" s="165"/>
      <c r="X2906" s="165"/>
    </row>
    <row r="2907" ht="18.75" customHeight="1">
      <c r="A2907" s="165">
        <v>2904.0</v>
      </c>
      <c r="B2907" s="165"/>
      <c r="C2907" s="165"/>
      <c r="D2907" s="165"/>
      <c r="E2907" s="165"/>
      <c r="F2907" s="165"/>
      <c r="G2907" s="165"/>
      <c r="H2907" s="165"/>
      <c r="I2907" s="165"/>
      <c r="J2907" s="165"/>
      <c r="K2907" s="165"/>
      <c r="L2907" s="165"/>
      <c r="M2907" s="165"/>
      <c r="N2907" s="165"/>
      <c r="O2907" s="165"/>
      <c r="P2907" s="165"/>
      <c r="Q2907" s="165"/>
      <c r="R2907" s="165"/>
      <c r="S2907" s="165"/>
      <c r="T2907" s="165"/>
      <c r="U2907" s="165"/>
      <c r="V2907" s="165"/>
      <c r="W2907" s="165"/>
      <c r="X2907" s="165"/>
    </row>
    <row r="2908" ht="18.75" customHeight="1">
      <c r="A2908" s="165">
        <v>2905.0</v>
      </c>
      <c r="B2908" s="165"/>
      <c r="C2908" s="165"/>
      <c r="D2908" s="165"/>
      <c r="E2908" s="165"/>
      <c r="F2908" s="165"/>
      <c r="G2908" s="165"/>
      <c r="H2908" s="165"/>
      <c r="I2908" s="165"/>
      <c r="J2908" s="165"/>
      <c r="K2908" s="165"/>
      <c r="L2908" s="165"/>
      <c r="M2908" s="165"/>
      <c r="N2908" s="165"/>
      <c r="O2908" s="165"/>
      <c r="P2908" s="165"/>
      <c r="Q2908" s="165"/>
      <c r="R2908" s="165"/>
      <c r="S2908" s="165"/>
      <c r="T2908" s="165"/>
      <c r="U2908" s="165"/>
      <c r="V2908" s="165"/>
      <c r="W2908" s="165"/>
      <c r="X2908" s="165"/>
    </row>
    <row r="2909" ht="18.75" customHeight="1">
      <c r="A2909" s="165">
        <v>2906.0</v>
      </c>
      <c r="B2909" s="165"/>
      <c r="C2909" s="165"/>
      <c r="D2909" s="165"/>
      <c r="E2909" s="165"/>
      <c r="F2909" s="165"/>
      <c r="G2909" s="165"/>
      <c r="H2909" s="165"/>
      <c r="I2909" s="165"/>
      <c r="J2909" s="165"/>
      <c r="K2909" s="165"/>
      <c r="L2909" s="165"/>
      <c r="M2909" s="165"/>
      <c r="N2909" s="165"/>
      <c r="O2909" s="165"/>
      <c r="P2909" s="165"/>
      <c r="Q2909" s="165"/>
      <c r="R2909" s="165"/>
      <c r="S2909" s="165"/>
      <c r="T2909" s="165"/>
      <c r="U2909" s="165"/>
      <c r="V2909" s="165"/>
      <c r="W2909" s="165"/>
      <c r="X2909" s="165"/>
    </row>
    <row r="2910" ht="18.75" customHeight="1">
      <c r="A2910" s="165">
        <v>2907.0</v>
      </c>
      <c r="B2910" s="165"/>
      <c r="C2910" s="165"/>
      <c r="D2910" s="165"/>
      <c r="E2910" s="165"/>
      <c r="F2910" s="165"/>
      <c r="G2910" s="165"/>
      <c r="H2910" s="165"/>
      <c r="I2910" s="165"/>
      <c r="J2910" s="165"/>
      <c r="K2910" s="165"/>
      <c r="L2910" s="165"/>
      <c r="M2910" s="165"/>
      <c r="N2910" s="165"/>
      <c r="O2910" s="165"/>
      <c r="P2910" s="165"/>
      <c r="Q2910" s="165"/>
      <c r="R2910" s="165"/>
      <c r="S2910" s="165"/>
      <c r="T2910" s="165"/>
      <c r="U2910" s="165"/>
      <c r="V2910" s="165"/>
      <c r="W2910" s="165"/>
      <c r="X2910" s="165"/>
    </row>
    <row r="2911" ht="18.75" customHeight="1">
      <c r="A2911" s="165">
        <v>2908.0</v>
      </c>
      <c r="B2911" s="165"/>
      <c r="C2911" s="165"/>
      <c r="D2911" s="165"/>
      <c r="E2911" s="165"/>
      <c r="F2911" s="165"/>
      <c r="G2911" s="165"/>
      <c r="H2911" s="165"/>
      <c r="I2911" s="165"/>
      <c r="J2911" s="165"/>
      <c r="K2911" s="165"/>
      <c r="L2911" s="165"/>
      <c r="M2911" s="165"/>
      <c r="N2911" s="165"/>
      <c r="O2911" s="165"/>
      <c r="P2911" s="165"/>
      <c r="Q2911" s="165"/>
      <c r="R2911" s="165"/>
      <c r="S2911" s="165"/>
      <c r="T2911" s="165"/>
      <c r="U2911" s="165"/>
      <c r="V2911" s="165"/>
      <c r="W2911" s="165"/>
      <c r="X2911" s="165"/>
    </row>
    <row r="2912" ht="18.75" customHeight="1">
      <c r="A2912" s="165">
        <v>2909.0</v>
      </c>
      <c r="B2912" s="165"/>
      <c r="C2912" s="165"/>
      <c r="D2912" s="165"/>
      <c r="E2912" s="165"/>
      <c r="F2912" s="165"/>
      <c r="G2912" s="165"/>
      <c r="H2912" s="165"/>
      <c r="I2912" s="165"/>
      <c r="J2912" s="165"/>
      <c r="K2912" s="165"/>
      <c r="L2912" s="165"/>
      <c r="M2912" s="165"/>
      <c r="N2912" s="165"/>
      <c r="O2912" s="165"/>
      <c r="P2912" s="165"/>
      <c r="Q2912" s="165"/>
      <c r="R2912" s="165"/>
      <c r="S2912" s="165"/>
      <c r="T2912" s="165"/>
      <c r="U2912" s="165"/>
      <c r="V2912" s="165"/>
      <c r="W2912" s="165"/>
      <c r="X2912" s="165"/>
    </row>
    <row r="2913" ht="18.75" customHeight="1">
      <c r="A2913" s="165">
        <v>2910.0</v>
      </c>
      <c r="B2913" s="165"/>
      <c r="C2913" s="165"/>
      <c r="D2913" s="165"/>
      <c r="E2913" s="165"/>
      <c r="F2913" s="165"/>
      <c r="G2913" s="165"/>
      <c r="H2913" s="165"/>
      <c r="I2913" s="165"/>
      <c r="J2913" s="165"/>
      <c r="K2913" s="165"/>
      <c r="L2913" s="165"/>
      <c r="M2913" s="165"/>
      <c r="N2913" s="165"/>
      <c r="O2913" s="165"/>
      <c r="P2913" s="165"/>
      <c r="Q2913" s="165"/>
      <c r="R2913" s="165"/>
      <c r="S2913" s="165"/>
      <c r="T2913" s="165"/>
      <c r="U2913" s="165"/>
      <c r="V2913" s="165"/>
      <c r="W2913" s="165"/>
      <c r="X2913" s="165"/>
    </row>
    <row r="2914" ht="18.75" customHeight="1">
      <c r="A2914" s="165">
        <v>2911.0</v>
      </c>
      <c r="B2914" s="165"/>
      <c r="C2914" s="165"/>
      <c r="D2914" s="165"/>
      <c r="E2914" s="165"/>
      <c r="F2914" s="165"/>
      <c r="G2914" s="165"/>
      <c r="H2914" s="165"/>
      <c r="I2914" s="165"/>
      <c r="J2914" s="165"/>
      <c r="K2914" s="165"/>
      <c r="L2914" s="165"/>
      <c r="M2914" s="165"/>
      <c r="N2914" s="165"/>
      <c r="O2914" s="165"/>
      <c r="P2914" s="165"/>
      <c r="Q2914" s="165"/>
      <c r="R2914" s="165"/>
      <c r="S2914" s="165"/>
      <c r="T2914" s="165"/>
      <c r="U2914" s="165"/>
      <c r="V2914" s="165"/>
      <c r="W2914" s="165"/>
      <c r="X2914" s="165"/>
    </row>
    <row r="2915" ht="18.75" customHeight="1">
      <c r="A2915" s="165">
        <v>2912.0</v>
      </c>
      <c r="B2915" s="165"/>
      <c r="C2915" s="165"/>
      <c r="D2915" s="165"/>
      <c r="E2915" s="165"/>
      <c r="F2915" s="165"/>
      <c r="G2915" s="165"/>
      <c r="H2915" s="165"/>
      <c r="I2915" s="165"/>
      <c r="J2915" s="165"/>
      <c r="K2915" s="165"/>
      <c r="L2915" s="165"/>
      <c r="M2915" s="165"/>
      <c r="N2915" s="165"/>
      <c r="O2915" s="165"/>
      <c r="P2915" s="165"/>
      <c r="Q2915" s="165"/>
      <c r="R2915" s="165"/>
      <c r="S2915" s="165"/>
      <c r="T2915" s="165"/>
      <c r="U2915" s="165"/>
      <c r="V2915" s="165"/>
      <c r="W2915" s="165"/>
      <c r="X2915" s="165"/>
    </row>
  </sheetData>
  <autoFilter ref="$A$1:$B$2915"/>
  <hyperlinks>
    <hyperlink r:id="rId2" ref="B47"/>
    <hyperlink r:id="rId3" ref="B97"/>
    <hyperlink r:id="rId4" ref="B101"/>
    <hyperlink r:id="rId5" ref="B106"/>
    <hyperlink r:id="rId6" ref="B110"/>
    <hyperlink r:id="rId7" ref="B124"/>
    <hyperlink r:id="rId8" ref="B125"/>
    <hyperlink r:id="rId9" ref="B129"/>
    <hyperlink r:id="rId10" ref="B132"/>
    <hyperlink r:id="rId11" ref="B133"/>
    <hyperlink r:id="rId12" ref="B141"/>
    <hyperlink r:id="rId13" ref="B142"/>
    <hyperlink r:id="rId14" ref="B156"/>
    <hyperlink r:id="rId15" ref="B167"/>
    <hyperlink r:id="rId16" ref="B191"/>
    <hyperlink r:id="rId17" ref="B199"/>
    <hyperlink r:id="rId18" ref="B201"/>
    <hyperlink r:id="rId19" ref="B203"/>
    <hyperlink r:id="rId20" ref="B204"/>
    <hyperlink r:id="rId21" ref="B213"/>
    <hyperlink r:id="rId22" ref="B217"/>
    <hyperlink r:id="rId23" ref="B218"/>
    <hyperlink r:id="rId24" ref="B223"/>
    <hyperlink r:id="rId25" ref="B224"/>
    <hyperlink r:id="rId26" ref="B225"/>
    <hyperlink r:id="rId27" ref="B226"/>
    <hyperlink r:id="rId28" ref="B228"/>
    <hyperlink r:id="rId29" ref="B230"/>
    <hyperlink r:id="rId30" ref="B231"/>
    <hyperlink r:id="rId31" ref="B233"/>
    <hyperlink r:id="rId32" ref="B234"/>
    <hyperlink r:id="rId33" ref="B235"/>
    <hyperlink r:id="rId34" ref="B236"/>
    <hyperlink r:id="rId35" ref="B237"/>
    <hyperlink r:id="rId36" ref="B238"/>
    <hyperlink r:id="rId37" ref="B239"/>
    <hyperlink r:id="rId38" ref="B240"/>
    <hyperlink r:id="rId39" ref="B241"/>
    <hyperlink r:id="rId40" ref="B242"/>
    <hyperlink r:id="rId41" ref="B243"/>
    <hyperlink r:id="rId42" ref="B244"/>
    <hyperlink r:id="rId43" ref="B246"/>
    <hyperlink r:id="rId44" ref="B247"/>
    <hyperlink r:id="rId45" ref="B248"/>
    <hyperlink r:id="rId46" ref="B250"/>
    <hyperlink r:id="rId47" ref="B251"/>
    <hyperlink r:id="rId48" ref="B252"/>
    <hyperlink r:id="rId49" location="bateau" ref="B253"/>
    <hyperlink r:id="rId50" ref="B254"/>
    <hyperlink r:id="rId51" ref="B255"/>
    <hyperlink r:id="rId52" ref="B257"/>
    <hyperlink r:id="rId53" ref="B258"/>
    <hyperlink r:id="rId54" ref="B260"/>
    <hyperlink r:id="rId55" ref="B263"/>
    <hyperlink r:id="rId56" ref="B264"/>
    <hyperlink r:id="rId57" ref="B265"/>
    <hyperlink r:id="rId58" ref="B266"/>
    <hyperlink r:id="rId59" location="powertogas" ref="B267"/>
    <hyperlink r:id="rId60" ref="B268"/>
    <hyperlink r:id="rId61" ref="B269"/>
    <hyperlink r:id="rId62" ref="B270"/>
    <hyperlink r:id="rId63" ref="B271"/>
    <hyperlink r:id="rId64" ref="B272"/>
    <hyperlink r:id="rId65" ref="B275"/>
    <hyperlink r:id="rId66" ref="B276"/>
    <hyperlink r:id="rId67" ref="B277"/>
    <hyperlink r:id="rId68" ref="B278"/>
    <hyperlink r:id="rId69" ref="B279"/>
    <hyperlink r:id="rId70" ref="B280"/>
    <hyperlink r:id="rId71" ref="B281"/>
    <hyperlink r:id="rId72" ref="B282"/>
    <hyperlink r:id="rId73" ref="B283"/>
    <hyperlink r:id="rId74" ref="B284"/>
    <hyperlink r:id="rId75" ref="B285"/>
    <hyperlink r:id="rId76" ref="B286"/>
    <hyperlink r:id="rId77" ref="B287"/>
    <hyperlink r:id="rId78" ref="B289"/>
    <hyperlink r:id="rId79" ref="B290"/>
    <hyperlink r:id="rId80" ref="B291"/>
    <hyperlink r:id="rId81" ref="B292"/>
    <hyperlink r:id="rId82" ref="B293"/>
    <hyperlink r:id="rId83" ref="B294"/>
    <hyperlink r:id="rId84" ref="B295"/>
    <hyperlink r:id="rId85" ref="B296"/>
    <hyperlink r:id="rId86" ref="B297"/>
    <hyperlink r:id="rId87" ref="B298"/>
    <hyperlink r:id="rId88" ref="B299"/>
    <hyperlink r:id="rId89" ref="B300"/>
    <hyperlink r:id="rId90" ref="B301"/>
    <hyperlink r:id="rId91" ref="B302"/>
    <hyperlink r:id="rId92" ref="B303"/>
    <hyperlink r:id="rId93" ref="B304"/>
    <hyperlink r:id="rId94" ref="B306"/>
    <hyperlink r:id="rId95" ref="B307"/>
    <hyperlink r:id="rId96" ref="B308"/>
    <hyperlink r:id="rId97" ref="B309"/>
    <hyperlink r:id="rId98" ref="B310"/>
    <hyperlink r:id="rId99" ref="B311"/>
    <hyperlink r:id="rId100" ref="B313"/>
    <hyperlink r:id="rId101" ref="B314"/>
    <hyperlink r:id="rId102" ref="B315"/>
    <hyperlink r:id="rId103" ref="B316"/>
    <hyperlink r:id="rId104" ref="B317"/>
    <hyperlink r:id="rId105" ref="B318"/>
    <hyperlink r:id="rId106" ref="B319"/>
    <hyperlink r:id="rId107" location="reallabor-zur-intelligenten-erzeugung-speicherung-transport-und-nutzung-von-gruenem-wasserstoff" ref="B320"/>
    <hyperlink r:id="rId108" ref="B321"/>
    <hyperlink r:id="rId109" ref="B322"/>
    <hyperlink r:id="rId110" ref="B323"/>
    <hyperlink r:id="rId111" ref="B324"/>
    <hyperlink r:id="rId112" ref="B325"/>
    <hyperlink r:id="rId113" ref="B326"/>
    <hyperlink r:id="rId114" ref="B327"/>
    <hyperlink r:id="rId115" ref="B328"/>
    <hyperlink r:id="rId116" ref="B329"/>
    <hyperlink r:id="rId117" ref="B330"/>
    <hyperlink r:id="rId118" ref="B331"/>
    <hyperlink r:id="rId119" ref="B332"/>
    <hyperlink r:id="rId120" ref="B333"/>
    <hyperlink r:id="rId121" ref="B334"/>
    <hyperlink r:id="rId122" ref="B335"/>
    <hyperlink r:id="rId123" ref="B336"/>
    <hyperlink r:id="rId124" ref="B337"/>
    <hyperlink r:id="rId125" ref="B338"/>
    <hyperlink r:id="rId126" ref="B339"/>
    <hyperlink r:id="rId127" ref="B340"/>
    <hyperlink r:id="rId128" ref="B341"/>
    <hyperlink r:id="rId129" ref="B342"/>
    <hyperlink r:id="rId130" ref="B343"/>
    <hyperlink r:id="rId131" ref="B344"/>
    <hyperlink r:id="rId132" ref="B345"/>
    <hyperlink r:id="rId133" ref="B346"/>
    <hyperlink r:id="rId134" ref="B347"/>
    <hyperlink r:id="rId135" ref="B348"/>
    <hyperlink r:id="rId136" ref="B349"/>
    <hyperlink r:id="rId137" ref="B350"/>
    <hyperlink r:id="rId138" ref="B351"/>
    <hyperlink r:id="rId139" ref="B352"/>
    <hyperlink r:id="rId140" ref="B353"/>
    <hyperlink r:id="rId141" ref="B354"/>
    <hyperlink r:id="rId142" ref="B355"/>
    <hyperlink r:id="rId143" ref="B356"/>
    <hyperlink r:id="rId144" ref="B357"/>
    <hyperlink r:id="rId145" ref="B358"/>
    <hyperlink r:id="rId146" ref="B359"/>
    <hyperlink r:id="rId147" ref="B360"/>
    <hyperlink r:id="rId148" ref="B361"/>
    <hyperlink r:id="rId149" ref="B362"/>
    <hyperlink r:id="rId150" ref="B363"/>
    <hyperlink r:id="rId151" ref="B364"/>
    <hyperlink r:id="rId152" ref="B365"/>
    <hyperlink r:id="rId153" ref="B366"/>
    <hyperlink r:id="rId154" ref="B368"/>
    <hyperlink r:id="rId155" ref="B369"/>
    <hyperlink r:id="rId156" ref="B370"/>
    <hyperlink r:id="rId157" ref="B372"/>
    <hyperlink r:id="rId158" ref="B373"/>
    <hyperlink r:id="rId159" ref="B374"/>
    <hyperlink r:id="rId160" ref="B375"/>
    <hyperlink r:id="rId161" ref="B376"/>
    <hyperlink r:id="rId162" ref="B377"/>
    <hyperlink r:id="rId163" ref="B379"/>
    <hyperlink r:id="rId164" ref="B380"/>
    <hyperlink r:id="rId165" ref="B381"/>
    <hyperlink r:id="rId166" ref="B382"/>
    <hyperlink r:id="rId167" ref="B383"/>
    <hyperlink r:id="rId168" ref="B384"/>
    <hyperlink r:id="rId169" ref="B385"/>
    <hyperlink r:id="rId170" ref="B386"/>
    <hyperlink r:id="rId171" ref="B387"/>
    <hyperlink r:id="rId172" ref="B388"/>
    <hyperlink r:id="rId173" ref="B389"/>
    <hyperlink r:id="rId174" ref="B390"/>
    <hyperlink r:id="rId175" ref="B391"/>
    <hyperlink r:id="rId176" ref="B392"/>
    <hyperlink r:id="rId177" ref="B393"/>
    <hyperlink r:id="rId178" ref="B394"/>
    <hyperlink r:id="rId179" ref="B395"/>
    <hyperlink r:id="rId180" ref="B396"/>
    <hyperlink r:id="rId181" ref="B397"/>
    <hyperlink r:id="rId182" ref="B398"/>
    <hyperlink r:id="rId183" ref="B399"/>
    <hyperlink r:id="rId184" ref="B400"/>
    <hyperlink r:id="rId185" ref="B401"/>
    <hyperlink r:id="rId186" ref="B402"/>
    <hyperlink r:id="rId187" ref="B403"/>
    <hyperlink r:id="rId188" ref="B405"/>
    <hyperlink r:id="rId189" ref="B406"/>
    <hyperlink r:id="rId190" ref="B407"/>
    <hyperlink r:id="rId191" ref="B408"/>
    <hyperlink r:id="rId192" ref="B409"/>
    <hyperlink r:id="rId193" ref="B410"/>
    <hyperlink r:id="rId194" ref="B411"/>
    <hyperlink r:id="rId195" ref="B412"/>
    <hyperlink r:id="rId196" ref="B413"/>
    <hyperlink r:id="rId197" ref="B414"/>
    <hyperlink r:id="rId198" ref="B415"/>
    <hyperlink r:id="rId199" ref="B416"/>
    <hyperlink r:id="rId200" ref="B417"/>
    <hyperlink r:id="rId201" ref="B418"/>
    <hyperlink r:id="rId202" ref="B419"/>
    <hyperlink r:id="rId203" ref="B420"/>
    <hyperlink r:id="rId204" ref="B421"/>
    <hyperlink r:id="rId205" ref="B422"/>
    <hyperlink r:id="rId206" ref="B423"/>
    <hyperlink r:id="rId207" ref="B424"/>
    <hyperlink r:id="rId208" ref="B425"/>
    <hyperlink r:id="rId209" ref="B426"/>
    <hyperlink r:id="rId210" ref="B427"/>
    <hyperlink r:id="rId211" ref="B428"/>
    <hyperlink r:id="rId212" ref="B429"/>
    <hyperlink r:id="rId213" ref="B431"/>
    <hyperlink r:id="rId214" ref="B432"/>
    <hyperlink r:id="rId215" ref="B433"/>
    <hyperlink r:id="rId216" ref="B434"/>
    <hyperlink r:id="rId217" ref="B436"/>
    <hyperlink r:id="rId218" ref="B437"/>
    <hyperlink r:id="rId219" ref="B438"/>
    <hyperlink r:id="rId220" ref="B439"/>
    <hyperlink r:id="rId221" ref="B440"/>
    <hyperlink r:id="rId222" ref="B441"/>
    <hyperlink r:id="rId223" ref="B442"/>
    <hyperlink r:id="rId224" ref="B443"/>
    <hyperlink r:id="rId225" ref="B444"/>
    <hyperlink r:id="rId226" ref="B445"/>
    <hyperlink r:id="rId227" ref="B446"/>
    <hyperlink r:id="rId228" ref="B450"/>
    <hyperlink r:id="rId229" ref="B451"/>
    <hyperlink r:id="rId230" ref="B452"/>
    <hyperlink r:id="rId231" ref="B453"/>
    <hyperlink r:id="rId232" ref="B454"/>
    <hyperlink r:id="rId233" ref="B455"/>
    <hyperlink r:id="rId234" ref="B456"/>
    <hyperlink r:id="rId235" ref="B457"/>
    <hyperlink r:id="rId236" location=".Xo96YMgzY2z" ref="B458"/>
    <hyperlink r:id="rId237" ref="B459"/>
    <hyperlink r:id="rId238" ref="B460"/>
    <hyperlink r:id="rId239" ref="B461"/>
    <hyperlink r:id="rId240" ref="B463"/>
    <hyperlink r:id="rId241" ref="B464"/>
    <hyperlink r:id="rId242" location="sec4" ref="B465"/>
    <hyperlink r:id="rId243" ref="B466"/>
    <hyperlink r:id="rId244" ref="B467"/>
    <hyperlink r:id="rId245" ref="B468"/>
    <hyperlink r:id="rId246" ref="B469"/>
    <hyperlink r:id="rId247" ref="B470"/>
    <hyperlink r:id="rId248" ref="B471"/>
    <hyperlink r:id="rId249" ref="B472"/>
    <hyperlink r:id="rId250" ref="B473"/>
    <hyperlink r:id="rId251" ref="B474"/>
    <hyperlink r:id="rId252" ref="B476"/>
    <hyperlink r:id="rId253" ref="B477"/>
    <hyperlink r:id="rId254" ref="B478"/>
    <hyperlink r:id="rId255" ref="B479"/>
    <hyperlink r:id="rId256" ref="B480"/>
    <hyperlink r:id="rId257" ref="B481"/>
    <hyperlink r:id="rId258" ref="B482"/>
    <hyperlink r:id="rId259" ref="B483"/>
    <hyperlink r:id="rId260" ref="B484"/>
    <hyperlink r:id="rId261" ref="B485"/>
    <hyperlink r:id="rId262" ref="B486"/>
    <hyperlink r:id="rId263" ref="B487"/>
    <hyperlink r:id="rId264" ref="B488"/>
    <hyperlink r:id="rId265" ref="B489"/>
    <hyperlink r:id="rId266" location="302" ref="B490"/>
    <hyperlink r:id="rId267" ref="B491"/>
    <hyperlink r:id="rId268" ref="B492"/>
    <hyperlink r:id="rId269" ref="B493"/>
    <hyperlink r:id="rId270" ref="B494"/>
    <hyperlink r:id="rId271" ref="B495"/>
    <hyperlink r:id="rId272" ref="B496"/>
    <hyperlink r:id="rId273" ref="B497"/>
    <hyperlink r:id="rId274" ref="B498"/>
    <hyperlink r:id="rId275" ref="B499"/>
    <hyperlink r:id="rId276" ref="B500"/>
    <hyperlink r:id="rId277" ref="B501"/>
    <hyperlink r:id="rId278" ref="B502"/>
    <hyperlink r:id="rId279" ref="B503"/>
    <hyperlink r:id="rId280" ref="B504"/>
    <hyperlink r:id="rId281" ref="B506"/>
    <hyperlink r:id="rId282" ref="B507"/>
    <hyperlink r:id="rId283" ref="B508"/>
    <hyperlink r:id="rId284" ref="B509"/>
    <hyperlink r:id="rId285" ref="B510"/>
    <hyperlink r:id="rId286" ref="B511"/>
    <hyperlink r:id="rId287" ref="B512"/>
    <hyperlink r:id="rId288" ref="B513"/>
    <hyperlink r:id="rId289" ref="B514"/>
    <hyperlink r:id="rId290" ref="B515"/>
    <hyperlink r:id="rId291" ref="B516"/>
    <hyperlink r:id="rId292" ref="B517"/>
    <hyperlink r:id="rId293" ref="B518"/>
    <hyperlink r:id="rId294" ref="B519"/>
    <hyperlink r:id="rId295" ref="B520"/>
    <hyperlink r:id="rId296" ref="B521"/>
    <hyperlink r:id="rId297" ref="B522"/>
    <hyperlink r:id="rId298" ref="B523"/>
    <hyperlink r:id="rId299" ref="B524"/>
    <hyperlink r:id="rId300" ref="B525"/>
    <hyperlink r:id="rId301" ref="B526"/>
    <hyperlink r:id="rId302" ref="B527"/>
    <hyperlink r:id="rId303" ref="B528"/>
    <hyperlink r:id="rId304" ref="B529"/>
    <hyperlink r:id="rId305" ref="B530"/>
    <hyperlink r:id="rId306" ref="B531"/>
    <hyperlink r:id="rId307" ref="B532"/>
    <hyperlink r:id="rId308" ref="B533"/>
    <hyperlink r:id="rId309" ref="B534"/>
    <hyperlink r:id="rId310" ref="B535"/>
    <hyperlink r:id="rId311" ref="B536"/>
    <hyperlink r:id="rId312" ref="B538"/>
    <hyperlink r:id="rId313" ref="B539"/>
    <hyperlink r:id="rId314" ref="B540"/>
    <hyperlink r:id="rId315" ref="B541"/>
    <hyperlink r:id="rId316" ref="B542"/>
    <hyperlink r:id="rId317" ref="B544"/>
    <hyperlink r:id="rId318" ref="B545"/>
    <hyperlink r:id="rId319" ref="B546"/>
    <hyperlink r:id="rId320" ref="B547"/>
    <hyperlink r:id="rId321" ref="B548"/>
    <hyperlink r:id="rId322" ref="B549"/>
    <hyperlink r:id="rId323" ref="B550"/>
    <hyperlink r:id="rId324" ref="B551"/>
    <hyperlink r:id="rId325" ref="B552"/>
    <hyperlink r:id="rId326" ref="B553"/>
    <hyperlink r:id="rId327" ref="B554"/>
    <hyperlink r:id="rId328" ref="B555"/>
    <hyperlink r:id="rId329" ref="B556"/>
    <hyperlink r:id="rId330" ref="B557"/>
    <hyperlink r:id="rId331" ref="B558"/>
    <hyperlink r:id="rId332" ref="B559"/>
    <hyperlink r:id="rId333" ref="B560"/>
    <hyperlink r:id="rId334" ref="B561"/>
    <hyperlink r:id="rId335" ref="B562"/>
    <hyperlink r:id="rId336" ref="B563"/>
    <hyperlink r:id="rId337" ref="B564"/>
    <hyperlink r:id="rId338" ref="B565"/>
    <hyperlink r:id="rId339" ref="B566"/>
    <hyperlink r:id="rId340" ref="B567"/>
    <hyperlink r:id="rId341" ref="B568"/>
    <hyperlink r:id="rId342" ref="B569"/>
    <hyperlink r:id="rId343" ref="B570"/>
    <hyperlink r:id="rId344" ref="B571"/>
    <hyperlink r:id="rId345" ref="B572"/>
    <hyperlink r:id="rId346" ref="B573"/>
    <hyperlink r:id="rId347" ref="B574"/>
    <hyperlink r:id="rId348" ref="B575"/>
    <hyperlink r:id="rId349" ref="B576"/>
    <hyperlink r:id="rId350" ref="B577"/>
    <hyperlink r:id="rId351" ref="B578"/>
    <hyperlink r:id="rId352" ref="B579"/>
    <hyperlink r:id="rId353" ref="B580"/>
    <hyperlink r:id="rId354" ref="B581"/>
    <hyperlink r:id="rId355" ref="B583"/>
    <hyperlink r:id="rId356" ref="B584"/>
    <hyperlink r:id="rId357" ref="B585"/>
    <hyperlink r:id="rId358" ref="B586"/>
    <hyperlink r:id="rId359" ref="B587"/>
    <hyperlink r:id="rId360" ref="B588"/>
    <hyperlink r:id="rId361" ref="B589"/>
    <hyperlink r:id="rId362" ref="B595"/>
    <hyperlink r:id="rId363" ref="B597"/>
    <hyperlink r:id="rId364" ref="B598"/>
    <hyperlink r:id="rId365" ref="B599"/>
    <hyperlink r:id="rId366" ref="B600"/>
    <hyperlink r:id="rId367" ref="B601"/>
    <hyperlink r:id="rId368" ref="B603"/>
    <hyperlink r:id="rId369" location="intro" ref="B604"/>
    <hyperlink r:id="rId370" ref="B606"/>
    <hyperlink r:id="rId371" ref="B607"/>
    <hyperlink r:id="rId372" ref="B608"/>
    <hyperlink r:id="rId373" ref="B609"/>
    <hyperlink r:id="rId374" ref="B611"/>
    <hyperlink r:id="rId375" ref="B612"/>
    <hyperlink r:id="rId376" ref="B613"/>
    <hyperlink r:id="rId377" ref="B615"/>
    <hyperlink r:id="rId378" ref="B618"/>
    <hyperlink r:id="rId379" ref="B619"/>
    <hyperlink r:id="rId380" ref="B621"/>
    <hyperlink r:id="rId381" ref="B623"/>
    <hyperlink r:id="rId382" ref="B624"/>
    <hyperlink r:id="rId383" ref="B625"/>
    <hyperlink r:id="rId384" ref="B626"/>
    <hyperlink r:id="rId385" ref="B628"/>
    <hyperlink r:id="rId386" ref="B629"/>
    <hyperlink r:id="rId387" ref="B632"/>
    <hyperlink r:id="rId388" ref="B642"/>
    <hyperlink r:id="rId389" ref="B643"/>
    <hyperlink r:id="rId390" ref="B645"/>
    <hyperlink r:id="rId391" ref="B650"/>
    <hyperlink r:id="rId392" ref="B652"/>
    <hyperlink r:id="rId393" ref="B659"/>
    <hyperlink r:id="rId394" ref="B662"/>
    <hyperlink r:id="rId395" ref="B665"/>
    <hyperlink r:id="rId396" ref="B667"/>
    <hyperlink r:id="rId397" ref="B669"/>
    <hyperlink r:id="rId398" ref="B672"/>
    <hyperlink r:id="rId399" location="section-2" ref="B679"/>
    <hyperlink r:id="rId400" ref="B685"/>
    <hyperlink r:id="rId401" ref="B687"/>
    <hyperlink r:id="rId402" ref="B688"/>
    <hyperlink r:id="rId403" ref="B689"/>
    <hyperlink r:id="rId404" ref="B690"/>
    <hyperlink r:id="rId405" ref="B695"/>
    <hyperlink r:id="rId406" ref="B701"/>
    <hyperlink r:id="rId407" ref="B702"/>
    <hyperlink r:id="rId408" ref="B703"/>
    <hyperlink r:id="rId409" ref="B705"/>
    <hyperlink r:id="rId410" ref="B711"/>
    <hyperlink r:id="rId411" ref="B712"/>
    <hyperlink r:id="rId412" ref="B715"/>
    <hyperlink r:id="rId413" ref="B716"/>
    <hyperlink r:id="rId414" ref="B717"/>
    <hyperlink r:id="rId415" ref="B722"/>
    <hyperlink r:id="rId416" ref="B728"/>
    <hyperlink r:id="rId417" ref="B735"/>
    <hyperlink r:id="rId418" ref="B736"/>
    <hyperlink r:id="rId419" ref="B740"/>
    <hyperlink r:id="rId420" ref="B741"/>
    <hyperlink r:id="rId421" ref="B747"/>
    <hyperlink r:id="rId422" ref="B749"/>
    <hyperlink r:id="rId423" ref="B755"/>
    <hyperlink r:id="rId424" ref="B758"/>
    <hyperlink r:id="rId425" ref="B763"/>
    <hyperlink r:id="rId426" ref="B771"/>
    <hyperlink r:id="rId427" ref="B772"/>
    <hyperlink r:id="rId428" ref="B773"/>
    <hyperlink r:id="rId429" ref="B777"/>
    <hyperlink r:id="rId430" ref="B778"/>
    <hyperlink r:id="rId431" ref="B780"/>
    <hyperlink r:id="rId432" ref="B783"/>
    <hyperlink r:id="rId433" ref="B795"/>
    <hyperlink r:id="rId434" ref="B796"/>
    <hyperlink r:id="rId435" ref="B804"/>
    <hyperlink r:id="rId436" ref="B807"/>
    <hyperlink r:id="rId437" ref="B810"/>
    <hyperlink r:id="rId438" ref="B829"/>
    <hyperlink r:id="rId439" ref="B832"/>
    <hyperlink r:id="rId440" ref="B833"/>
    <hyperlink r:id="rId441" ref="B835"/>
    <hyperlink r:id="rId442" ref="B836"/>
    <hyperlink r:id="rId443" ref="B838"/>
    <hyperlink r:id="rId444" ref="B839"/>
    <hyperlink r:id="rId445" ref="B840"/>
    <hyperlink r:id="rId446" ref="B841"/>
    <hyperlink r:id="rId447" ref="B844"/>
    <hyperlink r:id="rId448" ref="B848"/>
    <hyperlink r:id="rId449" ref="B855"/>
    <hyperlink r:id="rId450" ref="B859"/>
    <hyperlink r:id="rId451" ref="B860"/>
    <hyperlink r:id="rId452" ref="B861"/>
    <hyperlink r:id="rId453" ref="B862"/>
    <hyperlink r:id="rId454" ref="B863"/>
    <hyperlink r:id="rId455" ref="B865"/>
    <hyperlink r:id="rId456" ref="B875"/>
    <hyperlink r:id="rId457" ref="B880"/>
    <hyperlink r:id="rId458" ref="B883"/>
    <hyperlink r:id="rId459" ref="B887"/>
    <hyperlink r:id="rId460" ref="B888"/>
    <hyperlink r:id="rId461" ref="B891"/>
    <hyperlink r:id="rId462" ref="B897"/>
    <hyperlink r:id="rId463" ref="B900"/>
    <hyperlink r:id="rId464" ref="B903"/>
    <hyperlink r:id="rId465" ref="B904"/>
    <hyperlink r:id="rId466" ref="B905"/>
    <hyperlink r:id="rId467" ref="B907"/>
    <hyperlink r:id="rId468" ref="B908"/>
    <hyperlink r:id="rId469" ref="B915"/>
    <hyperlink r:id="rId470" ref="B922"/>
    <hyperlink r:id="rId471" ref="B924"/>
    <hyperlink r:id="rId472" ref="B926"/>
    <hyperlink r:id="rId473" ref="B928"/>
    <hyperlink r:id="rId474" ref="B929"/>
    <hyperlink r:id="rId475" ref="B930"/>
    <hyperlink r:id="rId476" ref="B931"/>
    <hyperlink r:id="rId477" ref="B934"/>
    <hyperlink r:id="rId478" ref="B944"/>
    <hyperlink r:id="rId479" ref="B946"/>
    <hyperlink r:id="rId480" ref="B947"/>
    <hyperlink r:id="rId481" ref="B949"/>
    <hyperlink r:id="rId482" ref="B950"/>
    <hyperlink r:id="rId483" ref="B951"/>
    <hyperlink r:id="rId484" ref="B952"/>
    <hyperlink r:id="rId485" ref="B954"/>
    <hyperlink r:id="rId486" ref="B957"/>
    <hyperlink r:id="rId487" ref="B958"/>
    <hyperlink r:id="rId488" ref="B960"/>
    <hyperlink r:id="rId489" ref="B963"/>
    <hyperlink r:id="rId490" ref="B964"/>
    <hyperlink r:id="rId491" ref="B965"/>
    <hyperlink r:id="rId492" ref="B967"/>
    <hyperlink r:id="rId493" ref="B973"/>
    <hyperlink r:id="rId494" ref="B974"/>
    <hyperlink r:id="rId495" ref="B978"/>
    <hyperlink r:id="rId496" ref="B982"/>
    <hyperlink r:id="rId497" ref="B983"/>
    <hyperlink r:id="rId498" ref="B994"/>
    <hyperlink r:id="rId499" ref="B996"/>
    <hyperlink r:id="rId500" ref="B1002"/>
    <hyperlink r:id="rId501" ref="B1003"/>
    <hyperlink r:id="rId502" ref="B1006"/>
    <hyperlink r:id="rId503" ref="B1008"/>
    <hyperlink r:id="rId504" ref="B1013"/>
    <hyperlink r:id="rId505" ref="B1018"/>
    <hyperlink r:id="rId506" ref="B1022"/>
    <hyperlink r:id="rId507" ref="B1023"/>
    <hyperlink r:id="rId508" ref="B1029"/>
    <hyperlink r:id="rId509" ref="B1035"/>
    <hyperlink r:id="rId510" ref="B1040"/>
    <hyperlink r:id="rId511" ref="B1041"/>
    <hyperlink r:id="rId512" ref="B1044"/>
    <hyperlink r:id="rId513" ref="B1052"/>
    <hyperlink r:id="rId514" location=":~:text=Fortescue%20Future%20Industries%20(FFI)%20has,project%20in%20Southland%2C%20New%20Zealand." ref="B1053"/>
    <hyperlink r:id="rId515" ref="B1054"/>
    <hyperlink r:id="rId516" ref="B1061"/>
    <hyperlink r:id="rId517" ref="B1062"/>
    <hyperlink r:id="rId518" ref="B1063"/>
    <hyperlink r:id="rId519" ref="B1064"/>
    <hyperlink r:id="rId520" ref="B1065"/>
    <hyperlink r:id="rId521" ref="B1066"/>
    <hyperlink r:id="rId522" ref="B1070"/>
    <hyperlink r:id="rId523" ref="B1073"/>
    <hyperlink r:id="rId524" ref="B1075"/>
    <hyperlink r:id="rId525" ref="B1076"/>
    <hyperlink r:id="rId526" ref="B1080"/>
    <hyperlink r:id="rId527" ref="B1085"/>
    <hyperlink r:id="rId528" ref="B1086"/>
    <hyperlink r:id="rId529" ref="B1090"/>
    <hyperlink r:id="rId530" ref="B1093"/>
    <hyperlink r:id="rId531" ref="B1094"/>
    <hyperlink r:id="rId532" ref="B1095"/>
    <hyperlink r:id="rId533" ref="B1096"/>
    <hyperlink r:id="rId534" ref="B1097"/>
    <hyperlink r:id="rId535" ref="B1101"/>
    <hyperlink r:id="rId536" ref="B1102"/>
    <hyperlink r:id="rId537" ref="B1106"/>
    <hyperlink r:id="rId538" ref="B1107"/>
    <hyperlink r:id="rId539" ref="B1110"/>
    <hyperlink r:id="rId540" ref="B1112"/>
    <hyperlink r:id="rId541" ref="B1118"/>
    <hyperlink r:id="rId542" ref="B1119"/>
    <hyperlink r:id="rId543" ref="B1121"/>
    <hyperlink r:id="rId544" ref="B1122"/>
    <hyperlink r:id="rId545" ref="B1123"/>
    <hyperlink r:id="rId546" ref="B1125"/>
    <hyperlink r:id="rId547" ref="B1128"/>
    <hyperlink r:id="rId548" ref="B1129"/>
    <hyperlink r:id="rId549" ref="B1134"/>
    <hyperlink r:id="rId550" ref="B1135"/>
    <hyperlink r:id="rId551" ref="B1140"/>
    <hyperlink r:id="rId552" ref="B1141"/>
    <hyperlink r:id="rId553" ref="B1142"/>
    <hyperlink r:id="rId554" ref="B1143"/>
    <hyperlink r:id="rId555" ref="B1147"/>
    <hyperlink r:id="rId556" ref="B1152"/>
    <hyperlink r:id="rId557" ref="B1154"/>
    <hyperlink r:id="rId558" ref="B1160"/>
    <hyperlink r:id="rId559" ref="B1161"/>
    <hyperlink r:id="rId560" ref="B1162"/>
    <hyperlink r:id="rId561" ref="B1166"/>
    <hyperlink r:id="rId562" ref="B1167"/>
    <hyperlink r:id="rId563" ref="B1168"/>
    <hyperlink r:id="rId564" ref="B1170"/>
    <hyperlink r:id="rId565" ref="B1171"/>
    <hyperlink r:id="rId566" ref="B1172"/>
    <hyperlink r:id="rId567" ref="B1176"/>
    <hyperlink r:id="rId568" ref="B1180"/>
    <hyperlink r:id="rId569" ref="B1186"/>
    <hyperlink r:id="rId570" ref="B1193"/>
    <hyperlink r:id="rId571" ref="B1205"/>
    <hyperlink r:id="rId572" ref="B1206"/>
    <hyperlink r:id="rId573" ref="B1207"/>
    <hyperlink r:id="rId574" ref="B1210"/>
    <hyperlink r:id="rId575" ref="B1212"/>
    <hyperlink r:id="rId576" ref="B1213"/>
    <hyperlink r:id="rId577" ref="B1214"/>
    <hyperlink r:id="rId578" ref="B1217"/>
    <hyperlink r:id="rId579" ref="B1219"/>
    <hyperlink r:id="rId580" ref="B1220"/>
    <hyperlink r:id="rId581" ref="B1232"/>
    <hyperlink r:id="rId582" ref="B1233"/>
    <hyperlink r:id="rId583" ref="B1234"/>
    <hyperlink r:id="rId584" ref="B1236"/>
    <hyperlink r:id="rId585" ref="B1242"/>
    <hyperlink r:id="rId586" ref="B1246"/>
    <hyperlink r:id="rId587" ref="B1248"/>
    <hyperlink r:id="rId588" ref="B1251"/>
    <hyperlink r:id="rId589" ref="B1252"/>
    <hyperlink r:id="rId590" ref="B1258"/>
    <hyperlink r:id="rId591" ref="B1259"/>
    <hyperlink r:id="rId592" ref="B1260"/>
    <hyperlink r:id="rId593" ref="B1261"/>
    <hyperlink r:id="rId594" ref="B1262"/>
    <hyperlink r:id="rId595" ref="B1263"/>
    <hyperlink r:id="rId596" ref="B1264"/>
    <hyperlink r:id="rId597" ref="B1268"/>
    <hyperlink r:id="rId598" ref="B1271"/>
    <hyperlink r:id="rId599" location="rd" ref="B1273"/>
    <hyperlink r:id="rId600" location=":~:text=LISBON%2C%20Feb%2022%20(Reuters),launch%20a%20green%20hydrogen%20plant" ref="B1274"/>
    <hyperlink r:id="rId601" ref="B1276"/>
    <hyperlink r:id="rId602" ref="B1277"/>
    <hyperlink r:id="rId603" ref="B1279"/>
    <hyperlink r:id="rId604" ref="B1280"/>
    <hyperlink r:id="rId605" ref="B1283"/>
    <hyperlink r:id="rId606" ref="B1288"/>
    <hyperlink r:id="rId607" ref="B1290"/>
    <hyperlink r:id="rId608" ref="B1296"/>
    <hyperlink r:id="rId609" ref="B1297"/>
    <hyperlink r:id="rId610" ref="B1298"/>
    <hyperlink r:id="rId611" ref="B1300"/>
    <hyperlink r:id="rId612" ref="B1302"/>
    <hyperlink r:id="rId613" ref="B1303"/>
    <hyperlink r:id="rId614" ref="B1304"/>
    <hyperlink r:id="rId615" ref="B1305"/>
    <hyperlink r:id="rId616" ref="B1306"/>
    <hyperlink r:id="rId617" ref="B1307"/>
    <hyperlink r:id="rId618" ref="B1308"/>
    <hyperlink r:id="rId619" ref="B1309"/>
    <hyperlink r:id="rId620" ref="B1310"/>
    <hyperlink r:id="rId621" ref="B1311"/>
    <hyperlink r:id="rId622" ref="B1312"/>
    <hyperlink r:id="rId623" ref="B1313"/>
    <hyperlink r:id="rId624" ref="B1314"/>
    <hyperlink r:id="rId625" ref="B1315"/>
    <hyperlink r:id="rId626" ref="B1316"/>
    <hyperlink r:id="rId627" ref="B1317"/>
    <hyperlink r:id="rId628" ref="B1318"/>
    <hyperlink r:id="rId629" ref="B1319"/>
    <hyperlink r:id="rId630" ref="B1320"/>
    <hyperlink r:id="rId631" ref="B1321"/>
    <hyperlink r:id="rId632" ref="B1323"/>
    <hyperlink r:id="rId633" ref="B1324"/>
    <hyperlink r:id="rId634" ref="B1325"/>
    <hyperlink r:id="rId635" ref="B1326"/>
    <hyperlink r:id="rId636" ref="B1327"/>
    <hyperlink r:id="rId637" ref="B1328"/>
    <hyperlink r:id="rId638" ref="B1329"/>
    <hyperlink r:id="rId639" ref="B1330"/>
    <hyperlink r:id="rId640" ref="B1331"/>
    <hyperlink r:id="rId641" ref="B1332"/>
    <hyperlink r:id="rId642" location="about" ref="B1333"/>
    <hyperlink r:id="rId643" ref="B1334"/>
    <hyperlink r:id="rId644" ref="B1335"/>
    <hyperlink r:id="rId645" ref="B1336"/>
    <hyperlink r:id="rId646" ref="B1337"/>
    <hyperlink r:id="rId647" ref="B1338"/>
    <hyperlink r:id="rId648" ref="B1339"/>
    <hyperlink r:id="rId649" ref="B1340"/>
    <hyperlink r:id="rId650" location=":~:text=Project%20description,tender%20application%20in%20June%202020." ref="B1341"/>
    <hyperlink r:id="rId651" location=":~:text=H2%20NorthEast%20is%20being%20developed,blue%20hydrogen%20capacity%20by%202030" ref="B1342"/>
    <hyperlink r:id="rId652" ref="B1343"/>
    <hyperlink r:id="rId653" ref="B1344"/>
    <hyperlink r:id="rId654" ref="B1345"/>
    <hyperlink r:id="rId655" ref="B1348"/>
    <hyperlink r:id="rId656" ref="B1356"/>
    <hyperlink r:id="rId657" ref="B1357"/>
    <hyperlink r:id="rId658" ref="B1360"/>
    <hyperlink r:id="rId659" ref="B1362"/>
    <hyperlink r:id="rId660" ref="B1364"/>
    <hyperlink r:id="rId661" ref="B1365"/>
    <hyperlink r:id="rId662" ref="B1367"/>
    <hyperlink r:id="rId663" ref="B1368"/>
    <hyperlink r:id="rId664" ref="B1370"/>
    <hyperlink r:id="rId665" ref="B1371"/>
    <hyperlink r:id="rId666" ref="B1372"/>
    <hyperlink r:id="rId667" location=":~:text=South%20Australia%20renewable%20hydrogen%20hub%20wins%20Japanese%20backing,-Sophie%20Vorrath%2015&amp;text=Plans%20to%20export%20renewable%20hydrogen,for%20the%20zero%20emissions%20fuel." ref="B1373"/>
    <hyperlink r:id="rId668" ref="B1374"/>
    <hyperlink r:id="rId669" ref="B1375"/>
    <hyperlink r:id="rId670" ref="B1376"/>
    <hyperlink r:id="rId671" ref="B1378"/>
    <hyperlink r:id="rId672" ref="B1379"/>
    <hyperlink r:id="rId673" ref="B1384"/>
    <hyperlink r:id="rId674" ref="B1386"/>
    <hyperlink r:id="rId675" ref="B1387"/>
    <hyperlink r:id="rId676" ref="B1388"/>
    <hyperlink r:id="rId677" ref="B1389"/>
    <hyperlink r:id="rId678" ref="B1390"/>
    <hyperlink r:id="rId679" ref="B1391"/>
    <hyperlink r:id="rId680" ref="B1392"/>
    <hyperlink r:id="rId681" ref="B1394"/>
    <hyperlink r:id="rId682" ref="B1395"/>
    <hyperlink r:id="rId683" ref="B1396"/>
    <hyperlink r:id="rId684" ref="B1397"/>
    <hyperlink r:id="rId685" ref="B1398"/>
    <hyperlink r:id="rId686" ref="B1401"/>
    <hyperlink r:id="rId687" ref="B1402"/>
    <hyperlink r:id="rId688" ref="B1403"/>
    <hyperlink r:id="rId689" ref="B1404"/>
    <hyperlink r:id="rId690" ref="B1405"/>
    <hyperlink r:id="rId691" ref="B1406"/>
    <hyperlink r:id="rId692" ref="B1407"/>
    <hyperlink r:id="rId693" ref="B1408"/>
    <hyperlink r:id="rId694" ref="B1409"/>
    <hyperlink r:id="rId695" ref="B1410"/>
    <hyperlink r:id="rId696" ref="B1411"/>
    <hyperlink r:id="rId697" ref="B1412"/>
    <hyperlink r:id="rId698" ref="B1413"/>
    <hyperlink r:id="rId699" ref="B1414"/>
    <hyperlink r:id="rId700" ref="B1415"/>
    <hyperlink r:id="rId701" ref="B1416"/>
    <hyperlink r:id="rId702" ref="B1417"/>
    <hyperlink r:id="rId703" ref="B1418"/>
    <hyperlink r:id="rId704" location=":~:text=Paris%2C%20January%2013%2C%202021%20%E2%80%93,C%C3%B4te%20d%27Azur%20South%20region." ref="B1419"/>
    <hyperlink r:id="rId705" ref="B1420"/>
    <hyperlink r:id="rId706" ref="B1421"/>
    <hyperlink r:id="rId707" ref="B1422"/>
    <hyperlink r:id="rId708" ref="B1423"/>
    <hyperlink r:id="rId709" ref="B1424"/>
    <hyperlink r:id="rId710" ref="B1425"/>
    <hyperlink r:id="rId711" ref="B1426"/>
    <hyperlink r:id="rId712" ref="B1428"/>
    <hyperlink r:id="rId713" ref="B1429"/>
    <hyperlink r:id="rId714" ref="B1430"/>
    <hyperlink r:id="rId715" ref="B1432"/>
    <hyperlink r:id="rId716" ref="B1433"/>
    <hyperlink r:id="rId717" ref="B1434"/>
    <hyperlink r:id="rId718" ref="B1436"/>
    <hyperlink r:id="rId719" ref="B1438"/>
    <hyperlink r:id="rId720" ref="B1439"/>
    <hyperlink r:id="rId721" ref="B1441"/>
    <hyperlink r:id="rId722" ref="B1443"/>
    <hyperlink r:id="rId723" ref="B1444"/>
    <hyperlink r:id="rId724" ref="B1445"/>
    <hyperlink r:id="rId725" location="press-release" ref="B1447"/>
    <hyperlink r:id="rId726" ref="B1449"/>
    <hyperlink r:id="rId727" ref="B1451"/>
    <hyperlink r:id="rId728" ref="B1453"/>
    <hyperlink r:id="rId729" ref="B1456"/>
    <hyperlink r:id="rId730" ref="B1458"/>
    <hyperlink r:id="rId731" ref="B1462"/>
    <hyperlink r:id="rId732" ref="B1467"/>
    <hyperlink r:id="rId733" ref="B1468"/>
    <hyperlink r:id="rId734" ref="B1470"/>
    <hyperlink r:id="rId735" ref="B1474"/>
    <hyperlink r:id="rId736" ref="B1475"/>
    <hyperlink r:id="rId737" ref="B1487"/>
    <hyperlink r:id="rId738" ref="B1490"/>
    <hyperlink r:id="rId739" ref="B1496"/>
    <hyperlink r:id="rId740" ref="B1498"/>
    <hyperlink r:id="rId741" ref="B1506"/>
    <hyperlink r:id="rId742" ref="B1509"/>
    <hyperlink r:id="rId743" ref="B1510"/>
    <hyperlink r:id="rId744" location="vision" ref="B1511"/>
    <hyperlink r:id="rId745" location=":~:text=Copenhagen%20Infrastructure%20Partners-,European%20consortium%20MadoquaPower2X%20announces%20industrial-scale%20power%20to%20green%20hydrogen,ammonia%20project%20in%20Sines%2C%20Portugal&amp;text=Total%20investment%20of%20%E2%82%AC1,creating%20more%20than%20200%20jobs" ref="B1515"/>
    <hyperlink r:id="rId746" ref="B1516"/>
    <hyperlink r:id="rId747" ref="B1517"/>
    <hyperlink r:id="rId748" ref="B1519"/>
    <hyperlink r:id="rId749" ref="B1520"/>
    <hyperlink r:id="rId750" ref="B1521"/>
    <hyperlink r:id="rId751" ref="B1522"/>
    <hyperlink r:id="rId752" ref="B1524"/>
    <hyperlink r:id="rId753" ref="B1528"/>
    <hyperlink r:id="rId754" ref="B1529"/>
    <hyperlink r:id="rId755" ref="B1530"/>
    <hyperlink r:id="rId756" ref="B1531"/>
    <hyperlink r:id="rId757" ref="B1533"/>
    <hyperlink r:id="rId758" ref="B1536"/>
    <hyperlink r:id="rId759" ref="B1538"/>
    <hyperlink r:id="rId760" ref="B1539"/>
    <hyperlink r:id="rId761" ref="B1540"/>
    <hyperlink r:id="rId762" ref="B1541"/>
    <hyperlink r:id="rId763" ref="B1542"/>
    <hyperlink r:id="rId764" ref="B1543"/>
    <hyperlink r:id="rId765" ref="B1544"/>
    <hyperlink r:id="rId766" ref="B1545"/>
    <hyperlink r:id="rId767" ref="B1546"/>
    <hyperlink r:id="rId768" ref="B1547"/>
    <hyperlink r:id="rId769" ref="B1548"/>
    <hyperlink r:id="rId770" ref="B1549"/>
    <hyperlink r:id="rId771" ref="B1553"/>
    <hyperlink r:id="rId772" ref="B1554"/>
    <hyperlink r:id="rId773" ref="B1555"/>
    <hyperlink r:id="rId774" ref="B1558"/>
    <hyperlink r:id="rId775" ref="B1559"/>
    <hyperlink r:id="rId776" ref="B1561"/>
    <hyperlink r:id="rId777" ref="B1563"/>
    <hyperlink r:id="rId778" ref="B1564"/>
    <hyperlink r:id="rId779" ref="B1565"/>
    <hyperlink r:id="rId780" ref="B1568"/>
    <hyperlink r:id="rId781" ref="B1569"/>
    <hyperlink r:id="rId782" ref="B1571"/>
    <hyperlink r:id="rId783" ref="B1572"/>
    <hyperlink r:id="rId784" ref="B1575"/>
    <hyperlink r:id="rId785" ref="B1576"/>
    <hyperlink r:id="rId786" ref="B1583"/>
    <hyperlink r:id="rId787" ref="B1586"/>
    <hyperlink r:id="rId788" ref="B1587"/>
    <hyperlink r:id="rId789" ref="B1597"/>
    <hyperlink r:id="rId790" ref="B1599"/>
    <hyperlink r:id="rId791" ref="B1600"/>
    <hyperlink r:id="rId792" ref="B1605"/>
    <hyperlink r:id="rId793" ref="B1606"/>
    <hyperlink r:id="rId794" ref="B1607"/>
    <hyperlink r:id="rId795" ref="B1609"/>
    <hyperlink r:id="rId796" ref="B1610"/>
    <hyperlink r:id="rId797" ref="B1611"/>
    <hyperlink r:id="rId798" ref="B1612"/>
    <hyperlink r:id="rId799" ref="B1613"/>
    <hyperlink r:id="rId800" ref="B1614"/>
    <hyperlink r:id="rId801" ref="B1615"/>
    <hyperlink r:id="rId802" ref="B1616"/>
    <hyperlink r:id="rId803" ref="B1617"/>
    <hyperlink r:id="rId804" location=":~:text=The%20GET%20H2%20Nukleus%20project,discriminatory%20access%20and%20transparent%20prices." ref="B1618"/>
    <hyperlink r:id="rId805" ref="B1619"/>
    <hyperlink r:id="rId806" ref="B1621"/>
    <hyperlink r:id="rId807" ref="B1622"/>
    <hyperlink r:id="rId808" ref="B1623"/>
    <hyperlink r:id="rId809" ref="B1624"/>
    <hyperlink r:id="rId810" ref="B1625"/>
    <hyperlink r:id="rId811" ref="B1626"/>
    <hyperlink r:id="rId812" ref="B1627"/>
    <hyperlink r:id="rId813" ref="B1628"/>
    <hyperlink r:id="rId814" ref="B1629"/>
    <hyperlink r:id="rId815" ref="B1630"/>
    <hyperlink r:id="rId816" ref="B1631"/>
    <hyperlink r:id="rId817" ref="B1632"/>
    <hyperlink r:id="rId818" ref="B1633"/>
    <hyperlink r:id="rId819" ref="B1635"/>
    <hyperlink r:id="rId820" location=":~:text=Minnesota%20Demonstration%20Project,our%20local%20natural%20gas%20supply." ref="B1636"/>
    <hyperlink r:id="rId821" ref="B1637"/>
    <hyperlink r:id="rId822" ref="B1638"/>
    <hyperlink r:id="rId823" ref="B1639"/>
    <hyperlink r:id="rId824" ref="B1640"/>
    <hyperlink r:id="rId825" ref="B1641"/>
    <hyperlink r:id="rId826" ref="B1642"/>
    <hyperlink r:id="rId827" ref="B1643"/>
    <hyperlink r:id="rId828" ref="B1644"/>
    <hyperlink r:id="rId829" ref="B1648"/>
    <hyperlink r:id="rId830" ref="B1649"/>
    <hyperlink r:id="rId831" ref="B1650"/>
    <hyperlink r:id="rId832" ref="B1655"/>
    <hyperlink r:id="rId833" ref="B1657"/>
    <hyperlink r:id="rId834" ref="B1663"/>
    <hyperlink r:id="rId835" ref="B1664"/>
    <hyperlink r:id="rId836" ref="B1665"/>
    <hyperlink r:id="rId837" ref="B1666"/>
    <hyperlink r:id="rId838" ref="B1669"/>
    <hyperlink r:id="rId839" ref="B1670"/>
    <hyperlink r:id="rId840" ref="B1672"/>
    <hyperlink r:id="rId841" ref="B1674"/>
    <hyperlink r:id="rId842" ref="B1675"/>
    <hyperlink r:id="rId843" ref="B1676"/>
    <hyperlink r:id="rId844" ref="B1677"/>
    <hyperlink r:id="rId845" ref="B1678"/>
    <hyperlink r:id="rId846" ref="B1679"/>
    <hyperlink r:id="rId847" ref="B1680"/>
    <hyperlink r:id="rId848" ref="B1681"/>
    <hyperlink r:id="rId849" ref="B1682"/>
    <hyperlink r:id="rId850" ref="B1683"/>
    <hyperlink r:id="rId851" ref="B1684"/>
    <hyperlink r:id="rId852" ref="B1685"/>
    <hyperlink r:id="rId853" ref="B1686"/>
    <hyperlink r:id="rId854" ref="B1687"/>
    <hyperlink r:id="rId855" ref="B1688"/>
    <hyperlink r:id="rId856" ref="B1689"/>
    <hyperlink r:id="rId857" ref="B1690"/>
    <hyperlink r:id="rId858" ref="B1691"/>
    <hyperlink r:id="rId859" ref="B1692"/>
    <hyperlink r:id="rId860" ref="B1693"/>
    <hyperlink r:id="rId861" ref="B1694"/>
    <hyperlink r:id="rId862" ref="B1695"/>
    <hyperlink r:id="rId863" ref="B1696"/>
    <hyperlink r:id="rId864" ref="B1697"/>
    <hyperlink r:id="rId865" ref="B1698"/>
    <hyperlink r:id="rId866" ref="B1699"/>
    <hyperlink r:id="rId867" ref="B1700"/>
    <hyperlink r:id="rId868" ref="B1701"/>
    <hyperlink r:id="rId869" ref="B1702"/>
    <hyperlink r:id="rId870" ref="B1703"/>
    <hyperlink r:id="rId871" ref="B1704"/>
    <hyperlink r:id="rId872" ref="B1705"/>
    <hyperlink r:id="rId873" ref="B1706"/>
    <hyperlink r:id="rId874" ref="B1707"/>
    <hyperlink r:id="rId875" ref="B1708"/>
    <hyperlink r:id="rId876" ref="B1709"/>
    <hyperlink r:id="rId877" ref="B1712"/>
    <hyperlink r:id="rId878" ref="B1713"/>
    <hyperlink r:id="rId879" ref="B1714"/>
    <hyperlink r:id="rId880" ref="B1715"/>
    <hyperlink r:id="rId881" ref="B1716"/>
    <hyperlink r:id="rId882" ref="B1717"/>
    <hyperlink r:id="rId883" ref="B1718"/>
    <hyperlink r:id="rId884" ref="B1719"/>
    <hyperlink r:id="rId885" ref="B1720"/>
    <hyperlink r:id="rId886" location=":~:text=Energy%20companies%20Cepsa%20and%20GETEC,part%20of%20their%20decarbonisation%20goals." ref="B1721"/>
    <hyperlink r:id="rId887" ref="B1722"/>
    <hyperlink r:id="rId888" ref="B1723"/>
    <hyperlink r:id="rId889" ref="B1724"/>
    <hyperlink r:id="rId890" ref="B1725"/>
    <hyperlink r:id="rId891" ref="B1726"/>
    <hyperlink r:id="rId892" ref="B1728"/>
    <hyperlink r:id="rId893" ref="B1731"/>
    <hyperlink r:id="rId894" ref="B1732"/>
    <hyperlink r:id="rId895" ref="B1742"/>
    <hyperlink r:id="rId896" ref="B1743"/>
    <hyperlink r:id="rId897" ref="B1744"/>
    <hyperlink r:id="rId898" ref="B1748"/>
    <hyperlink r:id="rId899" ref="B1751"/>
    <hyperlink r:id="rId900" ref="B1752"/>
    <hyperlink r:id="rId901" ref="B1755"/>
    <hyperlink r:id="rId902" ref="B1756"/>
    <hyperlink r:id="rId903" ref="B1757"/>
    <hyperlink r:id="rId904" ref="B1758"/>
    <hyperlink r:id="rId905" ref="B1759"/>
    <hyperlink r:id="rId906" ref="B1760"/>
    <hyperlink r:id="rId907" ref="B1761"/>
    <hyperlink r:id="rId908" ref="B1762"/>
    <hyperlink r:id="rId909" ref="B1763"/>
    <hyperlink r:id="rId910" ref="B1764"/>
    <hyperlink r:id="rId911" ref="B1765"/>
    <hyperlink r:id="rId912" ref="B1766"/>
    <hyperlink r:id="rId913" ref="B1767"/>
    <hyperlink r:id="rId914" ref="B1769"/>
    <hyperlink r:id="rId915" ref="B1770"/>
    <hyperlink r:id="rId916" ref="B1771"/>
    <hyperlink r:id="rId917" ref="B1772"/>
    <hyperlink r:id="rId918" ref="B1773"/>
    <hyperlink r:id="rId919" ref="B1774"/>
    <hyperlink r:id="rId920" ref="B1775"/>
    <hyperlink r:id="rId921" ref="B1776"/>
    <hyperlink r:id="rId922" ref="B1777"/>
    <hyperlink r:id="rId923" ref="B1778"/>
    <hyperlink r:id="rId924" ref="B1780"/>
    <hyperlink r:id="rId925" ref="B1781"/>
    <hyperlink r:id="rId926" ref="B1782"/>
    <hyperlink r:id="rId927" ref="B1783"/>
    <hyperlink r:id="rId928" ref="B1800"/>
    <hyperlink r:id="rId929" ref="B1813"/>
    <hyperlink r:id="rId930" ref="B1827"/>
    <hyperlink r:id="rId931" ref="B1833"/>
    <hyperlink r:id="rId932" ref="B1836"/>
    <hyperlink r:id="rId933" ref="B1837"/>
    <hyperlink r:id="rId934" ref="B1838"/>
    <hyperlink r:id="rId935" ref="B1839"/>
    <hyperlink r:id="rId936" ref="B1847"/>
    <hyperlink r:id="rId937" ref="B1848"/>
    <hyperlink r:id="rId938" ref="B1853"/>
    <hyperlink r:id="rId939" ref="B1860"/>
    <hyperlink r:id="rId940" ref="B1861"/>
    <hyperlink r:id="rId941" ref="B1862"/>
    <hyperlink r:id="rId942" ref="B1863"/>
    <hyperlink r:id="rId943" ref="B1864"/>
    <hyperlink r:id="rId944" ref="B1865"/>
    <hyperlink r:id="rId945" ref="B1866"/>
    <hyperlink r:id="rId946" ref="B1867"/>
    <hyperlink r:id="rId947" ref="B1868"/>
    <hyperlink r:id="rId948" ref="B1869"/>
    <hyperlink r:id="rId949" ref="B1870"/>
    <hyperlink r:id="rId950" ref="B1876"/>
    <hyperlink r:id="rId951" ref="B1877"/>
    <hyperlink r:id="rId952" ref="B1878"/>
    <hyperlink r:id="rId953" ref="B1879"/>
    <hyperlink r:id="rId954" ref="B1888"/>
    <hyperlink r:id="rId955" ref="B1891"/>
    <hyperlink r:id="rId956" ref="B1895"/>
    <hyperlink r:id="rId957" ref="B1898"/>
    <hyperlink r:id="rId958" ref="B1899"/>
    <hyperlink r:id="rId959" ref="B1901"/>
    <hyperlink r:id="rId960" ref="B1910"/>
    <hyperlink r:id="rId961" ref="B1920"/>
    <hyperlink r:id="rId962" ref="B1922"/>
    <hyperlink r:id="rId963" ref="B1923"/>
    <hyperlink r:id="rId964" ref="B1924"/>
    <hyperlink r:id="rId965" ref="B1925"/>
    <hyperlink r:id="rId966" ref="B1926"/>
    <hyperlink r:id="rId967" ref="B1927"/>
    <hyperlink r:id="rId968" ref="B1928"/>
    <hyperlink r:id="rId969" ref="B1929"/>
    <hyperlink r:id="rId970" ref="B1930"/>
    <hyperlink r:id="rId971" ref="B1931"/>
    <hyperlink r:id="rId972" ref="B1932"/>
    <hyperlink r:id="rId973" ref="B1933"/>
    <hyperlink r:id="rId974" ref="B1934"/>
    <hyperlink r:id="rId975" ref="B1938"/>
    <hyperlink r:id="rId976" ref="B1946"/>
    <hyperlink r:id="rId977" ref="B1948"/>
    <hyperlink r:id="rId978" ref="B1951"/>
    <hyperlink r:id="rId979" ref="B1954"/>
    <hyperlink r:id="rId980" ref="B1955"/>
    <hyperlink r:id="rId981" ref="B1956"/>
    <hyperlink r:id="rId982" ref="B1957"/>
    <hyperlink r:id="rId983" ref="B1958"/>
    <hyperlink r:id="rId984" ref="B1959"/>
    <hyperlink r:id="rId985" ref="B1960"/>
    <hyperlink r:id="rId986" ref="B1961"/>
    <hyperlink r:id="rId987" ref="B1962"/>
    <hyperlink r:id="rId988" ref="B1963"/>
    <hyperlink r:id="rId989" ref="B1964"/>
    <hyperlink r:id="rId990" ref="B1965"/>
    <hyperlink r:id="rId991" ref="B1966"/>
    <hyperlink r:id="rId992" ref="B1967"/>
    <hyperlink r:id="rId993" ref="B1968"/>
    <hyperlink r:id="rId994" ref="B1969"/>
    <hyperlink r:id="rId995" ref="B1970"/>
    <hyperlink r:id="rId996" ref="B1971"/>
    <hyperlink r:id="rId997" ref="B1972"/>
    <hyperlink r:id="rId998" ref="B1976"/>
    <hyperlink r:id="rId999" ref="B1977"/>
    <hyperlink r:id="rId1000" ref="B1979"/>
    <hyperlink r:id="rId1001" ref="B1980"/>
    <hyperlink r:id="rId1002" ref="B1985"/>
    <hyperlink r:id="rId1003" ref="B1992"/>
    <hyperlink r:id="rId1004" ref="B1993"/>
    <hyperlink r:id="rId1005" ref="B1994"/>
    <hyperlink r:id="rId1006" ref="B1995"/>
    <hyperlink r:id="rId1007" ref="B1996"/>
    <hyperlink r:id="rId1008" ref="B1997"/>
    <hyperlink r:id="rId1009" ref="B1998"/>
    <hyperlink r:id="rId1010" ref="B1999"/>
    <hyperlink r:id="rId1011" ref="B2000"/>
    <hyperlink r:id="rId1012" ref="B2001"/>
    <hyperlink r:id="rId1013" ref="B2003"/>
    <hyperlink r:id="rId1014" ref="B2004"/>
    <hyperlink r:id="rId1015" ref="B2005"/>
    <hyperlink r:id="rId1016" ref="B2006"/>
    <hyperlink r:id="rId1017" ref="B2007"/>
    <hyperlink r:id="rId1018" ref="B2008"/>
    <hyperlink r:id="rId1019" ref="B2009"/>
    <hyperlink r:id="rId1020" ref="B2010"/>
    <hyperlink r:id="rId1021" ref="B2011"/>
    <hyperlink r:id="rId1022" ref="B2012"/>
    <hyperlink r:id="rId1023" ref="B2013"/>
    <hyperlink r:id="rId1024" ref="B2014"/>
    <hyperlink r:id="rId1025" ref="B2015"/>
    <hyperlink r:id="rId1026" ref="B2016"/>
    <hyperlink r:id="rId1027" ref="B2017"/>
    <hyperlink r:id="rId1028" ref="B2018"/>
    <hyperlink r:id="rId1029" ref="B2022"/>
    <hyperlink r:id="rId1030" ref="B2023"/>
    <hyperlink r:id="rId1031" ref="B2024"/>
    <hyperlink r:id="rId1032" ref="B2025"/>
    <hyperlink r:id="rId1033" ref="B2026"/>
    <hyperlink r:id="rId1034" ref="B2027"/>
    <hyperlink r:id="rId1035" ref="B2028"/>
    <hyperlink r:id="rId1036" ref="B2029"/>
    <hyperlink r:id="rId1037" ref="B2030"/>
    <hyperlink r:id="rId1038" ref="B2031"/>
    <hyperlink r:id="rId1039" ref="B2032"/>
    <hyperlink r:id="rId1040" ref="B2033"/>
    <hyperlink r:id="rId1041" ref="B2037"/>
    <hyperlink r:id="rId1042" ref="B2038"/>
    <hyperlink r:id="rId1043" ref="B2046"/>
    <hyperlink r:id="rId1044" ref="B2052"/>
    <hyperlink r:id="rId1045" ref="B2053"/>
    <hyperlink r:id="rId1046" ref="B2054"/>
    <hyperlink r:id="rId1047" ref="B2055"/>
    <hyperlink r:id="rId1048" ref="B2057"/>
    <hyperlink r:id="rId1049" ref="B2058"/>
    <hyperlink r:id="rId1050" ref="B2059"/>
    <hyperlink r:id="rId1051" ref="B2060"/>
    <hyperlink r:id="rId1052" ref="B2061"/>
    <hyperlink r:id="rId1053" ref="B2062"/>
    <hyperlink r:id="rId1054" ref="B2063"/>
    <hyperlink r:id="rId1055" ref="B2064"/>
    <hyperlink r:id="rId1056" ref="B2068"/>
    <hyperlink r:id="rId1057" ref="B2069"/>
    <hyperlink r:id="rId1058" ref="B2070"/>
    <hyperlink r:id="rId1059" ref="B2077"/>
    <hyperlink r:id="rId1060" ref="B2078"/>
    <hyperlink r:id="rId1061" ref="B2079"/>
    <hyperlink r:id="rId1062" ref="B2081"/>
    <hyperlink r:id="rId1063" ref="B2082"/>
    <hyperlink r:id="rId1064" ref="B2083"/>
    <hyperlink r:id="rId1065" ref="B2084"/>
    <hyperlink r:id="rId1066" ref="B2085"/>
    <hyperlink r:id="rId1067" ref="B2090"/>
    <hyperlink r:id="rId1068" ref="B2092"/>
    <hyperlink r:id="rId1069" ref="B2093"/>
    <hyperlink r:id="rId1070" ref="B2094"/>
    <hyperlink r:id="rId1071" ref="B2095"/>
    <hyperlink r:id="rId1072" ref="B2096"/>
    <hyperlink r:id="rId1073" ref="B2097"/>
    <hyperlink r:id="rId1074" ref="B2099"/>
    <hyperlink r:id="rId1075" ref="B2101"/>
    <hyperlink r:id="rId1076" ref="B2103"/>
    <hyperlink r:id="rId1077" ref="B2104"/>
    <hyperlink r:id="rId1078" ref="B2105"/>
    <hyperlink r:id="rId1079" ref="B2106"/>
    <hyperlink r:id="rId1080" ref="B2107"/>
    <hyperlink r:id="rId1081" ref="B2108"/>
    <hyperlink r:id="rId1082" ref="B2109"/>
    <hyperlink r:id="rId1083" ref="B2110"/>
    <hyperlink r:id="rId1084" ref="B2111"/>
    <hyperlink r:id="rId1085" ref="B2112"/>
    <hyperlink r:id="rId1086" ref="B2113"/>
    <hyperlink r:id="rId1087" ref="B2114"/>
    <hyperlink r:id="rId1088" ref="B2115"/>
    <hyperlink r:id="rId1089" ref="B2116"/>
    <hyperlink r:id="rId1090" ref="B2117"/>
    <hyperlink r:id="rId1091" ref="B2118"/>
    <hyperlink r:id="rId1092" ref="B2119"/>
    <hyperlink r:id="rId1093" ref="B2120"/>
    <hyperlink r:id="rId1094" ref="B2121"/>
    <hyperlink r:id="rId1095" ref="B2122"/>
    <hyperlink r:id="rId1096" ref="B2123"/>
    <hyperlink r:id="rId1097" ref="B2124"/>
    <hyperlink r:id="rId1098" ref="B2125"/>
    <hyperlink r:id="rId1099" ref="B2126"/>
    <hyperlink r:id="rId1100" ref="B2127"/>
    <hyperlink r:id="rId1101" ref="B2128"/>
    <hyperlink r:id="rId1102" ref="B2129"/>
    <hyperlink r:id="rId1103" ref="B2130"/>
    <hyperlink r:id="rId1104" ref="B2131"/>
    <hyperlink r:id="rId1105" ref="B2132"/>
    <hyperlink r:id="rId1106" ref="B2133"/>
    <hyperlink r:id="rId1107" ref="B2134"/>
    <hyperlink r:id="rId1108" ref="B2135"/>
    <hyperlink r:id="rId1109" ref="B2136"/>
    <hyperlink r:id="rId1110" ref="B2137"/>
    <hyperlink r:id="rId1111" ref="B2138"/>
    <hyperlink r:id="rId1112" ref="B2139"/>
    <hyperlink r:id="rId1113" ref="B2140"/>
    <hyperlink r:id="rId1114" ref="B2141"/>
    <hyperlink r:id="rId1115" ref="B2142"/>
    <hyperlink r:id="rId1116" ref="B2143"/>
    <hyperlink r:id="rId1117" ref="B2144"/>
    <hyperlink r:id="rId1118" ref="B2145"/>
    <hyperlink r:id="rId1119" ref="B2146"/>
    <hyperlink r:id="rId1120" ref="B2147"/>
    <hyperlink r:id="rId1121" ref="B2148"/>
    <hyperlink r:id="rId1122" ref="B2149"/>
    <hyperlink r:id="rId1123" ref="B2150"/>
    <hyperlink r:id="rId1124" ref="B2151"/>
    <hyperlink r:id="rId1125" ref="B2152"/>
    <hyperlink r:id="rId1126" ref="B2153"/>
    <hyperlink r:id="rId1127" ref="B2154"/>
    <hyperlink r:id="rId1128" location=":~:text=The%20new%202.5%20megawatt%20site,Hydrogen%20Fund%20earlier%20this%20year." ref="B2155"/>
    <hyperlink r:id="rId1129" ref="B2156"/>
    <hyperlink r:id="rId1130" ref="B2157"/>
    <hyperlink r:id="rId1131" ref="B2158"/>
    <hyperlink r:id="rId1132" ref="B2159"/>
    <hyperlink r:id="rId1133" ref="B2160"/>
    <hyperlink r:id="rId1134" ref="B2162"/>
    <hyperlink r:id="rId1135" ref="B2164"/>
    <hyperlink r:id="rId1136" ref="B2165"/>
    <hyperlink r:id="rId1137" ref="B2166"/>
    <hyperlink r:id="rId1138" ref="B2168"/>
    <hyperlink r:id="rId1139" ref="B2169"/>
    <hyperlink r:id="rId1140" ref="B2170"/>
    <hyperlink r:id="rId1141" ref="B2171"/>
    <hyperlink r:id="rId1142" ref="B2172"/>
    <hyperlink r:id="rId1143" ref="B2173"/>
    <hyperlink r:id="rId1144" ref="B2174"/>
    <hyperlink r:id="rId1145" ref="B2175"/>
    <hyperlink r:id="rId1146" ref="B2176"/>
    <hyperlink r:id="rId1147" ref="B2177"/>
    <hyperlink r:id="rId1148" ref="B2178"/>
    <hyperlink r:id="rId1149" ref="B2179"/>
    <hyperlink r:id="rId1150" ref="B2180"/>
    <hyperlink r:id="rId1151" ref="B2181"/>
    <hyperlink r:id="rId1152" ref="B2182"/>
    <hyperlink r:id="rId1153" ref="B2183"/>
    <hyperlink r:id="rId1154" ref="B2184"/>
    <hyperlink r:id="rId1155" ref="B2185"/>
    <hyperlink r:id="rId1156" ref="B2186"/>
    <hyperlink r:id="rId1157" ref="B2187"/>
    <hyperlink r:id="rId1158" ref="B2188"/>
    <hyperlink r:id="rId1159" ref="B2189"/>
    <hyperlink r:id="rId1160" ref="B2190"/>
    <hyperlink r:id="rId1161" ref="B2191"/>
    <hyperlink r:id="rId1162" ref="B2192"/>
    <hyperlink r:id="rId1163" ref="B2193"/>
    <hyperlink r:id="rId1164" ref="B2194"/>
    <hyperlink r:id="rId1165" ref="B2195"/>
    <hyperlink r:id="rId1166" ref="B2196"/>
    <hyperlink r:id="rId1167" ref="B2197"/>
    <hyperlink r:id="rId1168" ref="B2198"/>
    <hyperlink r:id="rId1169" ref="B2199"/>
    <hyperlink r:id="rId1170" ref="B2200"/>
    <hyperlink r:id="rId1171" ref="B2201"/>
    <hyperlink r:id="rId1172" ref="B2202"/>
    <hyperlink r:id="rId1173" ref="B2203"/>
    <hyperlink r:id="rId1174" ref="B2204"/>
    <hyperlink r:id="rId1175" ref="B2205"/>
    <hyperlink r:id="rId1176" ref="B2206"/>
    <hyperlink r:id="rId1177" ref="B2207"/>
    <hyperlink r:id="rId1178" ref="B2209"/>
    <hyperlink r:id="rId1179" ref="B2210"/>
    <hyperlink r:id="rId1180" ref="B2211"/>
    <hyperlink r:id="rId1181" ref="B2212"/>
    <hyperlink r:id="rId1182" ref="B2214"/>
    <hyperlink r:id="rId1183" ref="B2215"/>
    <hyperlink r:id="rId1184" ref="B2216"/>
    <hyperlink r:id="rId1185" ref="B2217"/>
    <hyperlink r:id="rId1186" ref="B2218"/>
    <hyperlink r:id="rId1187" ref="B2219"/>
    <hyperlink r:id="rId1188" ref="B2220"/>
    <hyperlink r:id="rId1189" location=":~:text=Dutch%20utility%20Eneco%20on%20Monday,over%20the%20next%20few%20years." ref="B2221"/>
    <hyperlink r:id="rId1190" ref="B2222"/>
    <hyperlink r:id="rId1191" ref="B2223"/>
    <hyperlink r:id="rId1192" ref="B2224"/>
    <hyperlink r:id="rId1193" ref="B2225"/>
    <hyperlink r:id="rId1194" ref="B2227"/>
    <hyperlink r:id="rId1195" location=":~:text=The%203.2%2DMW%20electrolyser%20was,amount%20was%20secured%20through%20grants." ref="B2229"/>
    <hyperlink r:id="rId1196" location=":~:text=Alliander%2C%20a%20Dutch%20energy%20company,with%20solar%2Dfarm%20developer%20GroenLeven." ref="B2230"/>
    <hyperlink r:id="rId1197" ref="B2231"/>
    <hyperlink r:id="rId1198" ref="B2232"/>
    <hyperlink r:id="rId1199" ref="B2238"/>
    <hyperlink r:id="rId1200" ref="B2239"/>
    <hyperlink r:id="rId1201" ref="B2240"/>
    <hyperlink r:id="rId1202" ref="B2241"/>
    <hyperlink r:id="rId1203" ref="B2242"/>
    <hyperlink r:id="rId1204" ref="B2248"/>
    <hyperlink r:id="rId1205" ref="B2249"/>
    <hyperlink r:id="rId1206" ref="B2250"/>
    <hyperlink r:id="rId1207" ref="B2251"/>
    <hyperlink r:id="rId1208" ref="B2252"/>
    <hyperlink r:id="rId1209" ref="B2253"/>
    <hyperlink r:id="rId1210" ref="B2254"/>
    <hyperlink r:id="rId1211" ref="B2256"/>
    <hyperlink r:id="rId1212" ref="B2258"/>
    <hyperlink r:id="rId1213" ref="B2259"/>
    <hyperlink r:id="rId1214" ref="B2260"/>
    <hyperlink r:id="rId1215" ref="B2261"/>
    <hyperlink r:id="rId1216" ref="B2262"/>
    <hyperlink r:id="rId1217" ref="B2263"/>
    <hyperlink r:id="rId1218" ref="B2264"/>
    <hyperlink r:id="rId1219" ref="B2265"/>
    <hyperlink r:id="rId1220" ref="B2266"/>
    <hyperlink r:id="rId1221" ref="B2267"/>
    <hyperlink r:id="rId1222" ref="B2268"/>
    <hyperlink r:id="rId1223" ref="B2269"/>
    <hyperlink r:id="rId1224" ref="B2270"/>
    <hyperlink r:id="rId1225" ref="B2271"/>
    <hyperlink r:id="rId1226" ref="B2272"/>
    <hyperlink r:id="rId1227" ref="B2273"/>
    <hyperlink r:id="rId1228" ref="B2274"/>
    <hyperlink r:id="rId1229" ref="B2275"/>
    <hyperlink r:id="rId1230" ref="B2276"/>
    <hyperlink r:id="rId1231" ref="B2277"/>
    <hyperlink r:id="rId1232" ref="B2278"/>
    <hyperlink r:id="rId1233" ref="B2279"/>
    <hyperlink r:id="rId1234" ref="B2280"/>
    <hyperlink r:id="rId1235" ref="B2290"/>
    <hyperlink r:id="rId1236" ref="B2293"/>
    <hyperlink r:id="rId1237" ref="B2299"/>
    <hyperlink r:id="rId1238" ref="B2303"/>
    <hyperlink r:id="rId1239" ref="B2304"/>
    <hyperlink r:id="rId1240" ref="B2316"/>
    <hyperlink r:id="rId1241" ref="B2324"/>
    <hyperlink r:id="rId1242" ref="B2325"/>
    <hyperlink r:id="rId1243" ref="B2326"/>
    <hyperlink r:id="rId1244" ref="B2330"/>
    <hyperlink r:id="rId1245" ref="B2340"/>
    <hyperlink r:id="rId1246" ref="B2344"/>
    <hyperlink r:id="rId1247" ref="B2356"/>
    <hyperlink r:id="rId1248" ref="B2368"/>
    <hyperlink r:id="rId1249" ref="B2413"/>
    <hyperlink r:id="rId1250" ref="B2415"/>
    <hyperlink r:id="rId1251" ref="B2428"/>
    <hyperlink r:id="rId1252" ref="B2432"/>
    <hyperlink r:id="rId1253" ref="B2449"/>
    <hyperlink r:id="rId1254" ref="B2450"/>
    <hyperlink r:id="rId1255" ref="B2464"/>
    <hyperlink r:id="rId1256" ref="B2465"/>
    <hyperlink r:id="rId1257" ref="B2466"/>
    <hyperlink r:id="rId1258" ref="B2467"/>
    <hyperlink r:id="rId1259" ref="B2468"/>
    <hyperlink r:id="rId1260" ref="B2472"/>
    <hyperlink r:id="rId1261" ref="B2476"/>
    <hyperlink r:id="rId1262" ref="B2484"/>
    <hyperlink r:id="rId1263" ref="B2515"/>
    <hyperlink r:id="rId1264" ref="B2565"/>
    <hyperlink r:id="rId1265" ref="B2566"/>
    <hyperlink r:id="rId1266" ref="B2567"/>
    <hyperlink r:id="rId1267" ref="B2568"/>
    <hyperlink r:id="rId1268" ref="B2569"/>
    <hyperlink r:id="rId1269" ref="B2570"/>
    <hyperlink r:id="rId1270" ref="B2571"/>
    <hyperlink r:id="rId1271" ref="B2572"/>
    <hyperlink r:id="rId1272" ref="B2573"/>
    <hyperlink r:id="rId1273" ref="B2574"/>
    <hyperlink r:id="rId1274" ref="B2575"/>
    <hyperlink r:id="rId1275" ref="B2576"/>
    <hyperlink r:id="rId1276" ref="B2577"/>
    <hyperlink r:id="rId1277" ref="B2578"/>
    <hyperlink r:id="rId1278" ref="B2579"/>
    <hyperlink r:id="rId1279" ref="B2583"/>
    <hyperlink r:id="rId1280" ref="B2584"/>
    <hyperlink r:id="rId1281" ref="B2585"/>
    <hyperlink r:id="rId1282" ref="B2586"/>
    <hyperlink r:id="rId1283" ref="B2587"/>
    <hyperlink r:id="rId1284" ref="B2588"/>
    <hyperlink r:id="rId1285" ref="B2589"/>
    <hyperlink r:id="rId1286" ref="B2590"/>
    <hyperlink r:id="rId1287" ref="B2592"/>
    <hyperlink r:id="rId1288" ref="B2593"/>
    <hyperlink r:id="rId1289" ref="B2594"/>
    <hyperlink r:id="rId1290" ref="B2595"/>
    <hyperlink r:id="rId1291" ref="B2596"/>
    <hyperlink r:id="rId1292" ref="B2597"/>
    <hyperlink r:id="rId1293" ref="B2598"/>
    <hyperlink r:id="rId1294" ref="B2599"/>
    <hyperlink r:id="rId1295" ref="B2600"/>
    <hyperlink r:id="rId1296" ref="B2601"/>
    <hyperlink r:id="rId1297" ref="B2602"/>
    <hyperlink r:id="rId1298" ref="B2603"/>
    <hyperlink r:id="rId1299" ref="B2604"/>
    <hyperlink r:id="rId1300" ref="B2605"/>
    <hyperlink r:id="rId1301" ref="B2642"/>
    <hyperlink r:id="rId1302" ref="B2643"/>
    <hyperlink r:id="rId1303" ref="B2644"/>
    <hyperlink r:id="rId1304" ref="B2645"/>
    <hyperlink r:id="rId1305" ref="B2646"/>
    <hyperlink r:id="rId1306" ref="B2647"/>
    <hyperlink r:id="rId1307" ref="B2648"/>
    <hyperlink r:id="rId1308" ref="B2649"/>
    <hyperlink r:id="rId1309" ref="B2650"/>
    <hyperlink r:id="rId1310" ref="B2654"/>
    <hyperlink r:id="rId1311" ref="B2672"/>
    <hyperlink r:id="rId1312" ref="B2685"/>
    <hyperlink r:id="rId1313" ref="B2686"/>
    <hyperlink r:id="rId1314" ref="B2687"/>
    <hyperlink r:id="rId1315" ref="B2688"/>
    <hyperlink r:id="rId1316" ref="B2689"/>
    <hyperlink r:id="rId1317" ref="B2690"/>
    <hyperlink r:id="rId1318" ref="B2691"/>
    <hyperlink r:id="rId1319" ref="B2693"/>
    <hyperlink r:id="rId1320" ref="B2694"/>
    <hyperlink r:id="rId1321" ref="B2695"/>
    <hyperlink r:id="rId1322" ref="B2696"/>
    <hyperlink r:id="rId1323" ref="B2697"/>
    <hyperlink r:id="rId1324" ref="B2698"/>
    <hyperlink r:id="rId1325" ref="B2699"/>
    <hyperlink r:id="rId1326" ref="B2700"/>
    <hyperlink r:id="rId1327" ref="B2701"/>
    <hyperlink r:id="rId1328" ref="B2702"/>
    <hyperlink r:id="rId1329" ref="B2704"/>
    <hyperlink r:id="rId1330" ref="B2705"/>
    <hyperlink r:id="rId1331" location="gref" ref="B2706"/>
    <hyperlink r:id="rId1332" ref="B2707"/>
    <hyperlink r:id="rId1333" ref="B2708"/>
    <hyperlink r:id="rId1334" ref="B2709"/>
    <hyperlink r:id="rId1335" ref="B2710"/>
    <hyperlink r:id="rId1336" ref="B2711"/>
    <hyperlink r:id="rId1337" ref="B2720"/>
    <hyperlink r:id="rId1338" ref="B2721"/>
    <hyperlink r:id="rId1339" ref="B2723"/>
    <hyperlink r:id="rId1340" ref="B2725"/>
    <hyperlink r:id="rId1341" ref="B2727"/>
    <hyperlink r:id="rId1342" ref="B2728"/>
    <hyperlink r:id="rId1343" ref="B2730"/>
    <hyperlink r:id="rId1344" ref="B2731"/>
    <hyperlink r:id="rId1345" ref="B2732"/>
    <hyperlink r:id="rId1346" ref="B2734"/>
    <hyperlink r:id="rId1347" ref="B2735"/>
    <hyperlink r:id="rId1348" ref="B2736"/>
    <hyperlink r:id="rId1349" ref="B2737"/>
    <hyperlink r:id="rId1350" ref="B2738"/>
    <hyperlink r:id="rId1351" ref="B2739"/>
    <hyperlink r:id="rId1352" ref="B2741"/>
    <hyperlink r:id="rId1353" ref="B2743"/>
    <hyperlink r:id="rId1354" ref="B2744"/>
    <hyperlink r:id="rId1355" ref="B2745"/>
    <hyperlink r:id="rId1356" ref="B2746"/>
    <hyperlink r:id="rId1357" ref="B2747"/>
    <hyperlink r:id="rId1358" ref="B2748"/>
    <hyperlink r:id="rId1359" ref="B2754"/>
  </hyperlinks>
  <printOptions/>
  <pageMargins bottom="0.75" footer="0.0" header="0.0" left="0.7" right="0.7" top="0.75"/>
  <pageSetup paperSize="9" orientation="portrait"/>
  <drawing r:id="rId1360"/>
  <legacyDrawing r:id="rId136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2889E"/>
    <pageSetUpPr/>
  </sheetPr>
  <sheetViews>
    <sheetView workbookViewId="0"/>
  </sheetViews>
  <sheetFormatPr customHeight="1" defaultColWidth="14.43" defaultRowHeight="15.75"/>
  <cols>
    <col customWidth="1" min="1" max="8" width="8.71"/>
    <col customWidth="1" min="9" max="9" width="14.43"/>
    <col customWidth="1" min="10" max="10" width="13.0"/>
    <col customWidth="1" min="11" max="13" width="8.71"/>
    <col customWidth="1" min="14" max="14" width="11.57"/>
    <col customWidth="1" min="15" max="18" width="8.71"/>
    <col customWidth="1" min="19" max="19" width="27.43"/>
    <col customWidth="1" min="20" max="26" width="8.71"/>
  </cols>
  <sheetData>
    <row r="1">
      <c r="A1" s="193" t="s">
        <v>12328</v>
      </c>
      <c r="B1" s="194"/>
      <c r="C1" s="194"/>
      <c r="D1" s="194"/>
      <c r="E1" s="194"/>
      <c r="F1" s="194"/>
      <c r="G1" s="194"/>
      <c r="H1" s="194"/>
      <c r="I1" s="194"/>
      <c r="J1" s="194"/>
      <c r="K1" s="194"/>
      <c r="L1" s="194"/>
      <c r="M1" s="194"/>
      <c r="N1" s="194"/>
      <c r="O1" s="194"/>
      <c r="P1" s="194"/>
      <c r="Q1" s="194"/>
    </row>
    <row r="2">
      <c r="A2" s="195" t="s">
        <v>36</v>
      </c>
      <c r="B2" s="196"/>
      <c r="C2" s="196"/>
      <c r="D2" s="195" t="s">
        <v>18187</v>
      </c>
      <c r="E2" s="196"/>
      <c r="F2" s="195" t="s">
        <v>18188</v>
      </c>
      <c r="G2" s="195" t="s">
        <v>12349</v>
      </c>
      <c r="H2" s="196"/>
      <c r="I2" s="195" t="s">
        <v>18189</v>
      </c>
      <c r="J2" s="195" t="s">
        <v>18190</v>
      </c>
      <c r="K2" s="196"/>
      <c r="L2" s="195" t="s">
        <v>12332</v>
      </c>
      <c r="M2" s="196"/>
      <c r="N2" s="195" t="s">
        <v>18191</v>
      </c>
      <c r="O2" s="195"/>
      <c r="P2" s="195" t="s">
        <v>18190</v>
      </c>
      <c r="Q2" s="196"/>
    </row>
    <row r="3">
      <c r="A3" s="196" t="s">
        <v>12397</v>
      </c>
      <c r="B3" s="196"/>
      <c r="C3" s="196"/>
      <c r="D3" s="196" t="s">
        <v>12224</v>
      </c>
      <c r="E3" s="196"/>
      <c r="F3" s="196">
        <v>0.0046</v>
      </c>
      <c r="G3" s="196" t="s">
        <v>12383</v>
      </c>
      <c r="H3" s="196"/>
      <c r="I3" s="196" t="s">
        <v>12406</v>
      </c>
      <c r="J3" s="196">
        <v>0.57</v>
      </c>
      <c r="K3" s="196"/>
      <c r="L3" s="196" t="s">
        <v>30</v>
      </c>
      <c r="M3" s="196"/>
      <c r="N3" s="196" t="s">
        <v>12291</v>
      </c>
      <c r="O3" s="196"/>
      <c r="P3" s="196">
        <v>0.3</v>
      </c>
      <c r="Q3" s="196"/>
    </row>
    <row r="4">
      <c r="A4" s="196" t="s">
        <v>12399</v>
      </c>
      <c r="B4" s="196"/>
      <c r="C4" s="196"/>
      <c r="D4" s="196" t="s">
        <v>12226</v>
      </c>
      <c r="E4" s="196"/>
      <c r="F4" s="196">
        <v>0.0052</v>
      </c>
      <c r="G4" s="196" t="s">
        <v>12383</v>
      </c>
      <c r="H4" s="196"/>
      <c r="I4" s="196" t="s">
        <v>12759</v>
      </c>
      <c r="J4" s="196">
        <v>0.7</v>
      </c>
      <c r="K4" s="196"/>
      <c r="L4" s="196" t="s">
        <v>174</v>
      </c>
      <c r="M4" s="196"/>
      <c r="N4" s="196" t="s">
        <v>12292</v>
      </c>
      <c r="O4" s="196"/>
      <c r="P4" s="196">
        <v>0.4</v>
      </c>
      <c r="Q4" s="196"/>
    </row>
    <row r="5">
      <c r="A5" s="196" t="s">
        <v>12393</v>
      </c>
      <c r="B5" s="196"/>
      <c r="C5" s="196"/>
      <c r="D5" s="196" t="s">
        <v>12228</v>
      </c>
      <c r="E5" s="196"/>
      <c r="F5" s="196">
        <v>0.0038</v>
      </c>
      <c r="G5" s="196" t="s">
        <v>12383</v>
      </c>
      <c r="H5" s="196"/>
      <c r="I5" s="196" t="s">
        <v>12394</v>
      </c>
      <c r="J5" s="196"/>
      <c r="K5" s="196"/>
      <c r="L5" s="196" t="s">
        <v>12415</v>
      </c>
      <c r="M5" s="196"/>
      <c r="N5" s="196" t="s">
        <v>12293</v>
      </c>
      <c r="O5" s="196"/>
      <c r="P5" s="196">
        <v>0.55</v>
      </c>
      <c r="Q5" s="196"/>
    </row>
    <row r="6">
      <c r="A6" s="196" t="s">
        <v>12385</v>
      </c>
      <c r="B6" s="196"/>
      <c r="C6" s="196"/>
      <c r="D6" s="196" t="s">
        <v>12381</v>
      </c>
      <c r="E6" s="196"/>
      <c r="F6" s="196">
        <v>0.0045</v>
      </c>
      <c r="G6" s="196" t="s">
        <v>12383</v>
      </c>
      <c r="H6" s="196"/>
      <c r="I6" s="196" t="s">
        <v>12287</v>
      </c>
      <c r="J6" s="196">
        <v>0.57</v>
      </c>
      <c r="K6" s="196"/>
      <c r="L6" s="196" t="s">
        <v>12449</v>
      </c>
      <c r="M6" s="196"/>
      <c r="N6" s="196" t="s">
        <v>12294</v>
      </c>
      <c r="O6" s="196"/>
      <c r="P6" s="196">
        <v>0.8</v>
      </c>
      <c r="Q6" s="196"/>
    </row>
    <row r="7">
      <c r="A7" s="196" t="s">
        <v>12437</v>
      </c>
      <c r="B7" s="196"/>
      <c r="C7" s="196"/>
      <c r="D7" s="196" t="s">
        <v>12235</v>
      </c>
      <c r="E7" s="196"/>
      <c r="F7" s="196"/>
      <c r="G7" s="196" t="s">
        <v>12378</v>
      </c>
      <c r="H7" s="196"/>
      <c r="I7" s="196" t="s">
        <v>12289</v>
      </c>
      <c r="J7" s="196">
        <v>0.57</v>
      </c>
      <c r="K7" s="196"/>
      <c r="L7" s="196" t="s">
        <v>12251</v>
      </c>
      <c r="M7" s="196"/>
      <c r="N7" s="196" t="s">
        <v>12295</v>
      </c>
      <c r="O7" s="196"/>
      <c r="P7" s="196">
        <v>0.5</v>
      </c>
      <c r="Q7" s="196"/>
    </row>
    <row r="8">
      <c r="A8" s="196" t="s">
        <v>12287</v>
      </c>
      <c r="B8" s="196"/>
      <c r="C8" s="196"/>
      <c r="D8" s="196" t="s">
        <v>12233</v>
      </c>
      <c r="E8" s="196"/>
      <c r="F8" s="196"/>
      <c r="G8" s="196" t="s">
        <v>12378</v>
      </c>
      <c r="H8" s="196"/>
      <c r="I8" s="196" t="s">
        <v>12288</v>
      </c>
      <c r="J8" s="196">
        <v>0.8</v>
      </c>
      <c r="K8" s="196"/>
      <c r="L8" s="196" t="s">
        <v>12249</v>
      </c>
      <c r="M8" s="196"/>
      <c r="N8" s="196" t="s">
        <v>12296</v>
      </c>
      <c r="O8" s="196"/>
      <c r="P8" s="196">
        <v>0.5</v>
      </c>
      <c r="Q8" s="196"/>
    </row>
    <row r="9">
      <c r="A9" s="196" t="s">
        <v>12418</v>
      </c>
      <c r="B9" s="196"/>
      <c r="C9" s="196"/>
      <c r="D9" s="196" t="s">
        <v>12237</v>
      </c>
      <c r="E9" s="196"/>
      <c r="F9" s="196"/>
      <c r="G9" s="196" t="s">
        <v>12378</v>
      </c>
      <c r="H9" s="196"/>
      <c r="I9" s="196"/>
      <c r="J9" s="196"/>
      <c r="K9" s="196"/>
      <c r="L9" s="196" t="s">
        <v>12481</v>
      </c>
      <c r="M9" s="196"/>
      <c r="N9" s="196" t="s">
        <v>12289</v>
      </c>
      <c r="O9" s="196"/>
      <c r="P9" s="196">
        <v>0.5</v>
      </c>
      <c r="Q9" s="196"/>
    </row>
    <row r="10">
      <c r="A10" s="196" t="s">
        <v>18192</v>
      </c>
      <c r="B10" s="196"/>
      <c r="C10" s="196"/>
      <c r="D10" s="196" t="s">
        <v>12239</v>
      </c>
      <c r="E10" s="196"/>
      <c r="F10" s="196"/>
      <c r="G10" s="196" t="s">
        <v>12241</v>
      </c>
      <c r="H10" s="196"/>
      <c r="I10" s="196"/>
      <c r="J10" s="196"/>
      <c r="K10" s="196"/>
      <c r="L10" s="196"/>
      <c r="M10" s="196"/>
      <c r="N10" s="196"/>
      <c r="O10" s="196"/>
      <c r="P10" s="196"/>
      <c r="Q10" s="196"/>
    </row>
    <row r="11">
      <c r="A11" s="196" t="s">
        <v>18193</v>
      </c>
      <c r="B11" s="196"/>
      <c r="C11" s="196"/>
      <c r="D11" s="196" t="s">
        <v>13722</v>
      </c>
      <c r="E11" s="196"/>
      <c r="F11" s="196"/>
      <c r="G11" s="196" t="s">
        <v>12241</v>
      </c>
      <c r="H11" s="196"/>
      <c r="I11" s="196"/>
      <c r="J11" s="196"/>
      <c r="K11" s="196"/>
      <c r="L11" s="196"/>
      <c r="M11" s="196"/>
      <c r="N11" s="196"/>
      <c r="O11" s="196"/>
      <c r="P11" s="196"/>
      <c r="Q11" s="196"/>
    </row>
    <row r="12">
      <c r="A12" s="196"/>
      <c r="B12" s="196"/>
      <c r="C12" s="196"/>
      <c r="D12" s="196" t="s">
        <v>12241</v>
      </c>
      <c r="E12" s="196"/>
      <c r="F12" s="196"/>
      <c r="G12" s="196" t="s">
        <v>12241</v>
      </c>
      <c r="H12" s="196"/>
      <c r="I12" s="196"/>
      <c r="J12" s="196"/>
      <c r="K12" s="196"/>
      <c r="L12" s="196"/>
      <c r="M12" s="196"/>
      <c r="N12" s="196"/>
      <c r="O12" s="196"/>
      <c r="P12" s="196"/>
      <c r="Q12" s="196"/>
    </row>
    <row r="13">
      <c r="A13" s="196"/>
      <c r="B13" s="196"/>
      <c r="C13" s="196"/>
      <c r="D13" s="196" t="s">
        <v>18194</v>
      </c>
      <c r="E13" s="196"/>
      <c r="F13" s="196">
        <v>0.00415</v>
      </c>
      <c r="G13" s="196" t="s">
        <v>12383</v>
      </c>
      <c r="H13" s="196"/>
      <c r="I13" s="196"/>
      <c r="J13" s="196"/>
      <c r="K13" s="196"/>
      <c r="L13" s="196"/>
      <c r="M13" s="196"/>
      <c r="N13" s="196"/>
      <c r="O13" s="196"/>
      <c r="P13" s="196"/>
      <c r="Q13" s="196"/>
    </row>
    <row r="14">
      <c r="A14" s="196"/>
      <c r="B14" s="196"/>
      <c r="C14" s="196"/>
      <c r="D14" s="196" t="s">
        <v>13638</v>
      </c>
      <c r="E14" s="196"/>
      <c r="F14" s="196">
        <v>0.0045</v>
      </c>
      <c r="G14" s="196" t="s">
        <v>12383</v>
      </c>
      <c r="H14" s="196"/>
      <c r="I14" s="196"/>
      <c r="J14" s="196"/>
      <c r="K14" s="196"/>
      <c r="L14" s="196"/>
      <c r="M14" s="196"/>
      <c r="N14" s="196"/>
      <c r="O14" s="196"/>
      <c r="P14" s="196"/>
      <c r="Q14" s="196"/>
    </row>
    <row r="15">
      <c r="A15" s="196"/>
      <c r="B15" s="196"/>
      <c r="C15" s="196"/>
      <c r="D15" s="196"/>
      <c r="E15" s="196"/>
      <c r="F15" s="196"/>
      <c r="G15" s="196"/>
      <c r="H15" s="196"/>
      <c r="I15" s="196"/>
      <c r="J15" s="196"/>
      <c r="K15" s="196"/>
      <c r="L15" s="196"/>
      <c r="M15" s="196"/>
      <c r="N15" s="196"/>
      <c r="O15" s="196"/>
      <c r="P15" s="196"/>
      <c r="Q15" s="196"/>
    </row>
    <row r="16">
      <c r="A16" s="196"/>
      <c r="B16" s="196"/>
      <c r="C16" s="196"/>
      <c r="D16" s="196"/>
      <c r="E16" s="196"/>
      <c r="F16" s="196"/>
      <c r="G16" s="196"/>
      <c r="H16" s="196"/>
      <c r="I16" s="196"/>
      <c r="J16" s="196"/>
      <c r="K16" s="196"/>
      <c r="L16" s="196"/>
      <c r="M16" s="196"/>
      <c r="N16" s="196"/>
      <c r="O16" s="196"/>
      <c r="P16" s="196"/>
      <c r="Q16" s="196"/>
    </row>
    <row r="17">
      <c r="A17" s="196"/>
      <c r="B17" s="196"/>
      <c r="C17" s="196"/>
      <c r="D17" s="196"/>
      <c r="E17" s="196"/>
      <c r="F17" s="196"/>
      <c r="G17" s="196"/>
      <c r="H17" s="196"/>
      <c r="I17" s="196"/>
      <c r="J17" s="196"/>
      <c r="K17" s="196"/>
      <c r="L17" s="196"/>
      <c r="M17" s="196"/>
      <c r="N17" s="196"/>
      <c r="O17" s="196"/>
      <c r="P17" s="196"/>
      <c r="Q17" s="196"/>
    </row>
    <row r="19">
      <c r="A19" s="197" t="s">
        <v>18195</v>
      </c>
      <c r="B19" s="194"/>
      <c r="C19" s="194"/>
      <c r="D19" s="194"/>
      <c r="E19" s="194"/>
      <c r="F19" s="194"/>
      <c r="G19" s="194"/>
      <c r="H19" s="194"/>
      <c r="I19" s="194"/>
      <c r="J19" s="194"/>
      <c r="K19" s="194"/>
      <c r="L19" s="194"/>
      <c r="M19" s="194"/>
      <c r="N19" s="194"/>
      <c r="O19" s="194"/>
      <c r="P19" s="194"/>
      <c r="Q19" s="194"/>
    </row>
    <row r="20">
      <c r="A20" s="198" t="s">
        <v>18196</v>
      </c>
      <c r="B20" s="199"/>
      <c r="C20" s="198" t="s">
        <v>18197</v>
      </c>
      <c r="D20" s="199"/>
      <c r="E20" s="199"/>
      <c r="F20" s="199"/>
      <c r="G20" s="199"/>
      <c r="H20" s="199"/>
      <c r="I20" s="199"/>
      <c r="J20" s="199"/>
      <c r="K20" s="199"/>
      <c r="L20" s="199"/>
      <c r="M20" s="199"/>
      <c r="N20" s="199"/>
      <c r="O20" s="199"/>
      <c r="P20" s="199"/>
      <c r="Q20" s="199"/>
    </row>
    <row r="21" ht="15.75" customHeight="1">
      <c r="A21" s="199" t="s">
        <v>18198</v>
      </c>
      <c r="B21" s="199"/>
      <c r="C21" s="199" t="s">
        <v>18199</v>
      </c>
      <c r="D21" s="199"/>
      <c r="E21" s="199"/>
      <c r="F21" s="199"/>
      <c r="G21" s="199"/>
      <c r="H21" s="199"/>
      <c r="I21" s="199"/>
      <c r="J21" s="199"/>
      <c r="K21" s="199"/>
      <c r="L21" s="199"/>
      <c r="M21" s="199"/>
      <c r="N21" s="199"/>
      <c r="O21" s="199"/>
      <c r="P21" s="199"/>
      <c r="Q21" s="199"/>
    </row>
    <row r="22" ht="15.75" customHeight="1">
      <c r="A22" s="199" t="s">
        <v>18200</v>
      </c>
      <c r="B22" s="199"/>
      <c r="C22" s="199" t="s">
        <v>18201</v>
      </c>
      <c r="D22" s="199"/>
      <c r="E22" s="199"/>
      <c r="F22" s="199"/>
      <c r="G22" s="199"/>
      <c r="H22" s="199"/>
      <c r="I22" s="199"/>
      <c r="J22" s="199"/>
      <c r="K22" s="199"/>
      <c r="L22" s="199"/>
      <c r="M22" s="199"/>
      <c r="N22" s="199"/>
      <c r="O22" s="199"/>
      <c r="P22" s="199"/>
      <c r="Q22" s="199"/>
    </row>
    <row r="23" ht="15.75" customHeight="1">
      <c r="A23" s="199" t="s">
        <v>18202</v>
      </c>
      <c r="B23" s="199"/>
      <c r="C23" s="199"/>
      <c r="D23" s="199"/>
      <c r="E23" s="199"/>
      <c r="F23" s="199"/>
      <c r="G23" s="199"/>
      <c r="H23" s="199"/>
      <c r="I23" s="199"/>
      <c r="J23" s="199"/>
      <c r="K23" s="199"/>
      <c r="L23" s="199"/>
      <c r="M23" s="199"/>
      <c r="N23" s="199"/>
      <c r="O23" s="199"/>
      <c r="P23" s="199"/>
      <c r="Q23" s="199"/>
    </row>
    <row r="24" ht="15.75" customHeight="1">
      <c r="A24" s="199" t="s">
        <v>18203</v>
      </c>
      <c r="B24" s="199"/>
      <c r="C24" s="199"/>
      <c r="D24" s="199"/>
      <c r="E24" s="199"/>
      <c r="F24" s="199"/>
      <c r="G24" s="199"/>
      <c r="H24" s="199"/>
      <c r="I24" s="199"/>
      <c r="J24" s="199"/>
      <c r="K24" s="199"/>
      <c r="L24" s="199"/>
      <c r="M24" s="199"/>
      <c r="N24" s="199"/>
      <c r="O24" s="199"/>
      <c r="P24" s="199"/>
      <c r="Q24" s="199"/>
    </row>
    <row r="25" ht="15.75" customHeight="1">
      <c r="A25" s="199" t="s">
        <v>95</v>
      </c>
      <c r="B25" s="199"/>
      <c r="C25" s="199"/>
      <c r="D25" s="199"/>
      <c r="E25" s="199"/>
      <c r="F25" s="199"/>
      <c r="G25" s="199"/>
      <c r="H25" s="199"/>
      <c r="I25" s="199"/>
      <c r="J25" s="199"/>
      <c r="K25" s="199"/>
      <c r="L25" s="199"/>
      <c r="M25" s="199"/>
      <c r="N25" s="199"/>
      <c r="O25" s="199"/>
      <c r="P25" s="199"/>
      <c r="Q25" s="199"/>
    </row>
    <row r="26" ht="15.75" customHeight="1">
      <c r="A26" s="35"/>
      <c r="B26" s="35"/>
      <c r="C26" s="35"/>
      <c r="D26" s="35"/>
      <c r="E26" s="35"/>
      <c r="F26" s="35"/>
      <c r="G26" s="35"/>
      <c r="H26" s="35"/>
      <c r="I26" s="35"/>
      <c r="J26" s="35"/>
      <c r="K26" s="35"/>
      <c r="L26" s="35"/>
      <c r="M26" s="35"/>
      <c r="N26" s="35"/>
      <c r="O26" s="35"/>
      <c r="P26" s="35"/>
      <c r="Q26" s="35"/>
      <c r="R26" s="35"/>
      <c r="S26" s="35"/>
      <c r="T26" s="35"/>
      <c r="U26" s="35"/>
      <c r="V26" s="35"/>
      <c r="W26" s="35"/>
      <c r="X26" s="35"/>
      <c r="Y26" s="35"/>
      <c r="Z26" s="35"/>
    </row>
    <row r="27" ht="15.75" customHeight="1">
      <c r="A27" s="198" t="s">
        <v>18204</v>
      </c>
      <c r="B27" s="199"/>
      <c r="C27" s="199"/>
      <c r="D27" s="198" t="s">
        <v>18205</v>
      </c>
      <c r="E27" s="199"/>
      <c r="F27" s="199"/>
      <c r="G27" s="198" t="s">
        <v>18206</v>
      </c>
      <c r="H27" s="199"/>
      <c r="I27" s="199"/>
      <c r="J27" s="199"/>
      <c r="K27" s="198" t="s">
        <v>18207</v>
      </c>
      <c r="L27" s="199"/>
      <c r="M27" s="199"/>
      <c r="N27" s="198" t="s">
        <v>18189</v>
      </c>
      <c r="O27" s="199"/>
      <c r="P27" s="199"/>
      <c r="Q27" s="198" t="s">
        <v>18208</v>
      </c>
    </row>
    <row r="28" ht="15.75" customHeight="1">
      <c r="A28" s="199" t="s">
        <v>8021</v>
      </c>
      <c r="B28" s="199"/>
      <c r="C28" s="199"/>
      <c r="D28" s="199" t="s">
        <v>18209</v>
      </c>
      <c r="E28" s="199"/>
      <c r="F28" s="199"/>
      <c r="G28" s="199" t="s">
        <v>18210</v>
      </c>
      <c r="H28" s="199"/>
      <c r="I28" s="199"/>
      <c r="J28" s="199"/>
      <c r="K28" s="199" t="s">
        <v>18211</v>
      </c>
      <c r="L28" s="199"/>
      <c r="M28" s="199"/>
      <c r="N28" s="199" t="s">
        <v>12406</v>
      </c>
      <c r="O28" s="199"/>
      <c r="P28" s="199"/>
      <c r="Q28" s="199" t="s">
        <v>18212</v>
      </c>
    </row>
    <row r="29" ht="15.75" customHeight="1">
      <c r="A29" s="199" t="s">
        <v>8590</v>
      </c>
      <c r="B29" s="199"/>
      <c r="C29" s="199"/>
      <c r="D29" s="199" t="s">
        <v>95</v>
      </c>
      <c r="E29" s="199"/>
      <c r="F29" s="199"/>
      <c r="G29" s="199" t="s">
        <v>18213</v>
      </c>
      <c r="H29" s="199"/>
      <c r="I29" s="199"/>
      <c r="J29" s="199"/>
      <c r="K29" s="199" t="s">
        <v>18214</v>
      </c>
      <c r="L29" s="199"/>
      <c r="M29" s="199"/>
      <c r="N29" s="199" t="s">
        <v>18215</v>
      </c>
      <c r="O29" s="199"/>
      <c r="P29" s="199"/>
      <c r="Q29" s="199" t="s">
        <v>18216</v>
      </c>
    </row>
    <row r="30" ht="15.75" customHeight="1">
      <c r="A30" s="199" t="s">
        <v>8003</v>
      </c>
      <c r="B30" s="199"/>
      <c r="C30" s="199"/>
      <c r="D30" s="199" t="s">
        <v>174</v>
      </c>
      <c r="E30" s="199"/>
      <c r="F30" s="199"/>
      <c r="G30" s="199" t="s">
        <v>18217</v>
      </c>
      <c r="H30" s="199"/>
      <c r="I30" s="199"/>
      <c r="J30" s="199"/>
      <c r="K30" s="199"/>
      <c r="L30" s="199"/>
      <c r="M30" s="199"/>
      <c r="N30" s="199" t="s">
        <v>12394</v>
      </c>
      <c r="O30" s="199"/>
      <c r="P30" s="199"/>
      <c r="Q30" s="199" t="s">
        <v>18218</v>
      </c>
    </row>
    <row r="31" ht="15.75" customHeight="1">
      <c r="A31" s="199" t="s">
        <v>18219</v>
      </c>
      <c r="B31" s="199"/>
      <c r="C31" s="199"/>
      <c r="D31" s="199" t="s">
        <v>12251</v>
      </c>
      <c r="E31" s="199"/>
      <c r="F31" s="199"/>
      <c r="G31" s="199" t="s">
        <v>18220</v>
      </c>
      <c r="H31" s="199"/>
      <c r="I31" s="199"/>
      <c r="J31" s="199"/>
      <c r="K31" s="199"/>
      <c r="L31" s="199"/>
      <c r="M31" s="199"/>
      <c r="N31" s="199" t="s">
        <v>12241</v>
      </c>
      <c r="O31" s="199"/>
      <c r="P31" s="199"/>
      <c r="Q31" s="199" t="s">
        <v>18221</v>
      </c>
    </row>
    <row r="32" ht="15.75" customHeight="1">
      <c r="A32" s="199" t="s">
        <v>8001</v>
      </c>
      <c r="B32" s="199"/>
      <c r="C32" s="199"/>
      <c r="D32" s="199" t="s">
        <v>18222</v>
      </c>
      <c r="E32" s="199"/>
      <c r="F32" s="199"/>
      <c r="G32" s="199" t="s">
        <v>18223</v>
      </c>
      <c r="H32" s="199"/>
      <c r="I32" s="199"/>
      <c r="J32" s="199"/>
      <c r="K32" s="199"/>
      <c r="L32" s="199"/>
      <c r="M32" s="199"/>
      <c r="N32" s="199"/>
      <c r="O32" s="199"/>
      <c r="P32" s="199"/>
      <c r="Q32" s="199" t="s">
        <v>12296</v>
      </c>
    </row>
    <row r="33" ht="15.75" customHeight="1">
      <c r="A33" s="199" t="s">
        <v>18224</v>
      </c>
      <c r="B33" s="199"/>
      <c r="C33" s="199"/>
      <c r="D33" s="199" t="s">
        <v>12270</v>
      </c>
      <c r="E33" s="199"/>
      <c r="F33" s="199"/>
      <c r="G33" s="199" t="s">
        <v>18225</v>
      </c>
      <c r="H33" s="199"/>
      <c r="I33" s="199"/>
      <c r="J33" s="199"/>
      <c r="K33" s="199"/>
      <c r="L33" s="199"/>
      <c r="M33" s="199"/>
      <c r="N33" s="199"/>
      <c r="O33" s="199"/>
      <c r="P33" s="199"/>
      <c r="Q33" s="199"/>
    </row>
    <row r="34" ht="15.75" customHeight="1">
      <c r="A34" s="199" t="s">
        <v>18226</v>
      </c>
      <c r="B34" s="199"/>
      <c r="C34" s="199"/>
      <c r="D34" s="199" t="s">
        <v>12481</v>
      </c>
      <c r="E34" s="199"/>
      <c r="F34" s="199"/>
      <c r="G34" s="199" t="s">
        <v>18227</v>
      </c>
      <c r="H34" s="199"/>
      <c r="I34" s="199"/>
      <c r="J34" s="199"/>
      <c r="K34" s="199"/>
      <c r="L34" s="199"/>
      <c r="M34" s="199"/>
      <c r="N34" s="199"/>
      <c r="O34" s="199"/>
      <c r="P34" s="199"/>
      <c r="Q34" s="199"/>
    </row>
    <row r="35" ht="15.75" customHeight="1">
      <c r="A35" s="199" t="s">
        <v>18228</v>
      </c>
      <c r="B35" s="199"/>
      <c r="C35" s="199"/>
      <c r="D35" s="199" t="s">
        <v>64</v>
      </c>
      <c r="E35" s="199"/>
      <c r="F35" s="199"/>
      <c r="G35" s="199" t="s">
        <v>18229</v>
      </c>
      <c r="H35" s="199"/>
      <c r="I35" s="199"/>
      <c r="J35" s="199"/>
      <c r="K35" s="199"/>
      <c r="L35" s="199"/>
      <c r="M35" s="199"/>
      <c r="N35" s="199"/>
      <c r="O35" s="199"/>
      <c r="P35" s="199"/>
      <c r="Q35" s="199"/>
    </row>
    <row r="36" ht="15.75" customHeight="1">
      <c r="A36" s="199" t="s">
        <v>18230</v>
      </c>
      <c r="B36" s="199"/>
      <c r="C36" s="199"/>
      <c r="D36" s="199"/>
      <c r="E36" s="199"/>
      <c r="F36" s="199"/>
      <c r="G36" s="199"/>
      <c r="H36" s="199"/>
      <c r="I36" s="199"/>
      <c r="J36" s="199"/>
      <c r="K36" s="199"/>
      <c r="L36" s="199"/>
      <c r="M36" s="199"/>
      <c r="N36" s="199"/>
      <c r="O36" s="199"/>
      <c r="P36" s="199"/>
      <c r="Q36" s="199"/>
    </row>
    <row r="37" ht="15.75" customHeight="1">
      <c r="A37" s="199" t="s">
        <v>18231</v>
      </c>
      <c r="B37" s="199"/>
      <c r="C37" s="199"/>
      <c r="D37" s="199"/>
      <c r="E37" s="199"/>
      <c r="F37" s="199"/>
      <c r="G37" s="199"/>
      <c r="H37" s="199"/>
      <c r="I37" s="199"/>
      <c r="J37" s="199"/>
      <c r="K37" s="199"/>
      <c r="L37" s="199"/>
      <c r="M37" s="199"/>
      <c r="N37" s="199"/>
      <c r="O37" s="199"/>
      <c r="P37" s="199"/>
      <c r="Q37" s="199"/>
    </row>
    <row r="38" ht="15.75" customHeight="1">
      <c r="A38" s="199" t="s">
        <v>7991</v>
      </c>
      <c r="B38" s="199"/>
      <c r="C38" s="199"/>
      <c r="D38" s="199"/>
      <c r="E38" s="199"/>
      <c r="F38" s="199"/>
      <c r="G38" s="199"/>
      <c r="H38" s="199"/>
      <c r="I38" s="199"/>
      <c r="J38" s="199"/>
      <c r="K38" s="199"/>
      <c r="L38" s="199"/>
      <c r="M38" s="199"/>
      <c r="N38" s="199"/>
      <c r="O38" s="199"/>
      <c r="P38" s="199"/>
      <c r="Q38" s="199"/>
    </row>
    <row r="39" ht="15.75" customHeight="1">
      <c r="A39" s="199" t="s">
        <v>8578</v>
      </c>
      <c r="B39" s="199"/>
      <c r="C39" s="199"/>
      <c r="D39" s="199"/>
      <c r="E39" s="199"/>
      <c r="F39" s="199"/>
      <c r="G39" s="199"/>
      <c r="H39" s="199"/>
      <c r="I39" s="199"/>
      <c r="J39" s="199"/>
      <c r="K39" s="199"/>
      <c r="L39" s="199"/>
      <c r="M39" s="199"/>
      <c r="N39" s="199"/>
      <c r="O39" s="199"/>
      <c r="P39" s="199"/>
      <c r="Q39" s="199"/>
    </row>
    <row r="40" ht="15.75" customHeight="1">
      <c r="A40" s="199" t="s">
        <v>8108</v>
      </c>
      <c r="B40" s="199"/>
      <c r="C40" s="199"/>
      <c r="D40" s="199"/>
      <c r="E40" s="199"/>
      <c r="F40" s="199"/>
      <c r="G40" s="199"/>
      <c r="H40" s="199"/>
      <c r="I40" s="199"/>
      <c r="J40" s="199"/>
      <c r="K40" s="199"/>
      <c r="L40" s="199"/>
      <c r="M40" s="199"/>
      <c r="N40" s="199"/>
      <c r="O40" s="199"/>
      <c r="P40" s="199"/>
      <c r="Q40" s="199"/>
    </row>
    <row r="41" ht="15.75" customHeight="1">
      <c r="A41" s="199" t="s">
        <v>7983</v>
      </c>
      <c r="B41" s="199"/>
      <c r="C41" s="199"/>
      <c r="D41" s="199"/>
      <c r="E41" s="199"/>
      <c r="F41" s="199"/>
      <c r="G41" s="199"/>
      <c r="H41" s="199"/>
      <c r="I41" s="199"/>
      <c r="J41" s="199"/>
      <c r="K41" s="199"/>
      <c r="L41" s="199"/>
      <c r="M41" s="199"/>
      <c r="N41" s="199"/>
      <c r="O41" s="199"/>
      <c r="P41" s="199"/>
      <c r="Q41" s="199"/>
    </row>
    <row r="42" ht="15.75" customHeight="1">
      <c r="A42" s="199" t="s">
        <v>8539</v>
      </c>
      <c r="B42" s="199"/>
      <c r="C42" s="199"/>
      <c r="D42" s="199"/>
      <c r="E42" s="199"/>
      <c r="F42" s="199"/>
      <c r="G42" s="199"/>
      <c r="H42" s="199"/>
      <c r="I42" s="199"/>
      <c r="J42" s="199"/>
      <c r="K42" s="199"/>
      <c r="L42" s="199"/>
      <c r="M42" s="199"/>
      <c r="N42" s="199"/>
      <c r="O42" s="199"/>
      <c r="P42" s="199"/>
      <c r="Q42" s="199"/>
    </row>
    <row r="43" ht="15.75" customHeight="1">
      <c r="A43" s="199" t="s">
        <v>18232</v>
      </c>
      <c r="B43" s="199"/>
      <c r="C43" s="199"/>
      <c r="D43" s="199"/>
      <c r="E43" s="199"/>
      <c r="F43" s="199"/>
      <c r="G43" s="199"/>
      <c r="H43" s="199"/>
      <c r="I43" s="199"/>
      <c r="J43" s="199"/>
      <c r="K43" s="199"/>
      <c r="L43" s="199"/>
      <c r="M43" s="199"/>
      <c r="N43" s="199"/>
      <c r="O43" s="199"/>
      <c r="P43" s="199"/>
      <c r="Q43" s="199"/>
    </row>
    <row r="44" ht="15.75" customHeight="1">
      <c r="A44" s="199" t="s">
        <v>8600</v>
      </c>
      <c r="B44" s="199"/>
      <c r="C44" s="199"/>
      <c r="D44" s="199"/>
      <c r="E44" s="199"/>
      <c r="F44" s="199"/>
      <c r="G44" s="199"/>
      <c r="H44" s="199"/>
      <c r="I44" s="199"/>
      <c r="J44" s="199"/>
      <c r="K44" s="199"/>
      <c r="L44" s="199"/>
      <c r="M44" s="199"/>
      <c r="N44" s="199"/>
      <c r="O44" s="199"/>
      <c r="P44" s="199"/>
      <c r="Q44" s="199"/>
    </row>
    <row r="45" ht="15.75" customHeight="1">
      <c r="A45" s="199" t="s">
        <v>18233</v>
      </c>
      <c r="B45" s="199"/>
      <c r="C45" s="199"/>
      <c r="D45" s="199"/>
      <c r="E45" s="199"/>
      <c r="F45" s="199"/>
      <c r="G45" s="199"/>
      <c r="H45" s="199"/>
      <c r="I45" s="199"/>
      <c r="J45" s="199"/>
      <c r="K45" s="199"/>
      <c r="L45" s="199"/>
      <c r="M45" s="199"/>
      <c r="N45" s="199"/>
      <c r="O45" s="199"/>
      <c r="P45" s="199"/>
      <c r="Q45" s="199"/>
    </row>
    <row r="46" ht="15.75" customHeight="1">
      <c r="A46" s="199" t="s">
        <v>18234</v>
      </c>
      <c r="B46" s="199"/>
      <c r="C46" s="199"/>
      <c r="D46" s="199"/>
      <c r="E46" s="199"/>
      <c r="F46" s="199"/>
      <c r="G46" s="199"/>
      <c r="H46" s="199"/>
      <c r="I46" s="199"/>
      <c r="J46" s="199"/>
      <c r="K46" s="199"/>
      <c r="L46" s="199"/>
      <c r="M46" s="199"/>
      <c r="N46" s="199"/>
      <c r="O46" s="199"/>
      <c r="P46" s="199"/>
      <c r="Q46" s="199"/>
    </row>
    <row r="47" ht="15.75" customHeight="1">
      <c r="A47" s="199" t="s">
        <v>18235</v>
      </c>
      <c r="B47" s="199"/>
      <c r="C47" s="199"/>
      <c r="D47" s="199"/>
      <c r="E47" s="199"/>
      <c r="F47" s="199"/>
      <c r="G47" s="199"/>
      <c r="H47" s="199"/>
      <c r="I47" s="199"/>
      <c r="J47" s="199"/>
      <c r="K47" s="199"/>
      <c r="L47" s="199"/>
      <c r="M47" s="199"/>
      <c r="N47" s="199"/>
      <c r="O47" s="199"/>
      <c r="P47" s="199"/>
      <c r="Q47" s="199"/>
    </row>
    <row r="48" ht="15.75" customHeight="1">
      <c r="A48" s="199" t="s">
        <v>18236</v>
      </c>
      <c r="B48" s="199"/>
      <c r="C48" s="199"/>
      <c r="D48" s="199"/>
      <c r="E48" s="199"/>
      <c r="F48" s="199"/>
      <c r="G48" s="199"/>
      <c r="H48" s="199"/>
      <c r="I48" s="199"/>
      <c r="J48" s="199"/>
      <c r="K48" s="199"/>
      <c r="L48" s="199"/>
      <c r="M48" s="199"/>
      <c r="N48" s="199"/>
      <c r="O48" s="199"/>
      <c r="P48" s="199"/>
      <c r="Q48" s="199"/>
    </row>
    <row r="49" ht="15.75" customHeight="1">
      <c r="A49" s="199" t="s">
        <v>18237</v>
      </c>
      <c r="B49" s="199"/>
      <c r="C49" s="199"/>
      <c r="D49" s="199"/>
      <c r="E49" s="199"/>
      <c r="F49" s="199"/>
      <c r="G49" s="199"/>
      <c r="H49" s="199"/>
      <c r="I49" s="199"/>
      <c r="J49" s="199"/>
      <c r="K49" s="199"/>
      <c r="L49" s="199"/>
      <c r="M49" s="199"/>
      <c r="N49" s="199"/>
      <c r="O49" s="199"/>
      <c r="P49" s="199"/>
      <c r="Q49" s="199"/>
    </row>
    <row r="50" ht="15.75" customHeight="1">
      <c r="A50" s="199" t="s">
        <v>18238</v>
      </c>
      <c r="B50" s="199"/>
      <c r="C50" s="199"/>
      <c r="D50" s="199"/>
      <c r="E50" s="199"/>
      <c r="F50" s="199"/>
      <c r="G50" s="199"/>
      <c r="H50" s="199"/>
      <c r="I50" s="199"/>
      <c r="J50" s="199"/>
      <c r="K50" s="199"/>
      <c r="L50" s="199"/>
      <c r="M50" s="199"/>
      <c r="N50" s="199"/>
      <c r="O50" s="199"/>
      <c r="P50" s="199"/>
      <c r="Q50" s="199"/>
    </row>
    <row r="51" ht="15.75" customHeight="1">
      <c r="A51" s="199" t="s">
        <v>18239</v>
      </c>
      <c r="B51" s="199"/>
      <c r="C51" s="199"/>
      <c r="D51" s="199"/>
      <c r="E51" s="199"/>
      <c r="F51" s="199"/>
      <c r="G51" s="199"/>
      <c r="H51" s="199"/>
      <c r="I51" s="199"/>
      <c r="J51" s="199"/>
      <c r="K51" s="199"/>
      <c r="L51" s="199"/>
      <c r="M51" s="199"/>
      <c r="N51" s="199"/>
      <c r="O51" s="199"/>
      <c r="P51" s="199"/>
      <c r="Q51" s="199"/>
    </row>
    <row r="52" ht="15.75" customHeight="1">
      <c r="A52" s="199" t="s">
        <v>18240</v>
      </c>
      <c r="B52" s="199"/>
      <c r="C52" s="199"/>
      <c r="D52" s="199"/>
      <c r="E52" s="199"/>
      <c r="F52" s="199"/>
      <c r="G52" s="199"/>
      <c r="H52" s="199"/>
      <c r="I52" s="199"/>
      <c r="J52" s="199"/>
      <c r="K52" s="199"/>
      <c r="L52" s="199"/>
      <c r="M52" s="199"/>
      <c r="N52" s="199"/>
      <c r="O52" s="199"/>
      <c r="P52" s="199"/>
      <c r="Q52" s="199"/>
    </row>
    <row r="53" ht="15.75" customHeight="1">
      <c r="A53" s="199" t="s">
        <v>8723</v>
      </c>
      <c r="B53" s="199"/>
      <c r="C53" s="199"/>
      <c r="D53" s="199"/>
      <c r="E53" s="199"/>
      <c r="F53" s="199"/>
      <c r="G53" s="199"/>
      <c r="H53" s="199"/>
      <c r="I53" s="199"/>
      <c r="J53" s="199"/>
      <c r="K53" s="199"/>
      <c r="L53" s="199"/>
      <c r="M53" s="199"/>
      <c r="N53" s="199"/>
      <c r="O53" s="199"/>
      <c r="P53" s="199"/>
      <c r="Q53" s="199"/>
    </row>
    <row r="54" ht="15.75" customHeight="1">
      <c r="A54" s="199" t="s">
        <v>7981</v>
      </c>
      <c r="B54" s="199"/>
      <c r="C54" s="199"/>
      <c r="D54" s="199"/>
      <c r="E54" s="199"/>
      <c r="F54" s="199"/>
      <c r="G54" s="199"/>
      <c r="H54" s="199"/>
      <c r="I54" s="199"/>
      <c r="J54" s="199"/>
      <c r="K54" s="199"/>
      <c r="L54" s="199"/>
      <c r="M54" s="199"/>
      <c r="N54" s="199"/>
      <c r="O54" s="199"/>
      <c r="P54" s="199"/>
      <c r="Q54" s="199"/>
    </row>
    <row r="55" ht="15.75" customHeight="1">
      <c r="A55" s="199" t="s">
        <v>8365</v>
      </c>
      <c r="B55" s="199"/>
      <c r="C55" s="199"/>
      <c r="D55" s="199"/>
      <c r="E55" s="199"/>
      <c r="F55" s="199"/>
      <c r="G55" s="199"/>
      <c r="H55" s="199"/>
      <c r="I55" s="199"/>
      <c r="J55" s="199"/>
      <c r="K55" s="199"/>
      <c r="L55" s="199"/>
      <c r="M55" s="199"/>
      <c r="N55" s="199"/>
      <c r="O55" s="199"/>
      <c r="P55" s="199"/>
      <c r="Q55" s="199"/>
    </row>
    <row r="56" ht="15.75" customHeight="1">
      <c r="A56" s="199"/>
      <c r="B56" s="199"/>
      <c r="C56" s="199"/>
      <c r="D56" s="199"/>
      <c r="E56" s="199"/>
      <c r="F56" s="199"/>
      <c r="G56" s="199"/>
      <c r="H56" s="199"/>
      <c r="I56" s="199"/>
      <c r="J56" s="199"/>
      <c r="K56" s="199"/>
      <c r="L56" s="199"/>
      <c r="M56" s="199"/>
      <c r="N56" s="199"/>
      <c r="O56" s="199"/>
      <c r="P56" s="199"/>
      <c r="Q56" s="199"/>
    </row>
    <row r="57" ht="15.75" customHeight="1">
      <c r="A57" s="35"/>
      <c r="B57" s="35"/>
      <c r="C57" s="35"/>
      <c r="D57" s="35"/>
      <c r="E57" s="35"/>
      <c r="F57" s="35"/>
      <c r="G57" s="35"/>
      <c r="H57" s="35"/>
      <c r="I57" s="35"/>
      <c r="J57" s="35"/>
      <c r="K57" s="35"/>
      <c r="L57" s="35"/>
      <c r="M57" s="35"/>
      <c r="N57" s="35"/>
      <c r="O57" s="35"/>
      <c r="P57" s="35"/>
      <c r="Q57" s="35"/>
      <c r="R57" s="35"/>
      <c r="S57" s="35"/>
      <c r="T57" s="35"/>
      <c r="U57" s="35"/>
      <c r="V57" s="35"/>
      <c r="W57" s="35"/>
      <c r="X57" s="35"/>
      <c r="Y57" s="35"/>
      <c r="Z57" s="35"/>
    </row>
    <row r="58" ht="15.75" customHeight="1">
      <c r="A58" s="198" t="s">
        <v>18241</v>
      </c>
      <c r="B58" s="199"/>
      <c r="C58" s="199"/>
      <c r="D58" s="198" t="s">
        <v>18242</v>
      </c>
      <c r="E58" s="199"/>
      <c r="F58" s="199"/>
      <c r="G58" s="198" t="s">
        <v>18207</v>
      </c>
      <c r="H58" s="199"/>
      <c r="I58" s="199"/>
      <c r="J58" s="198" t="s">
        <v>18189</v>
      </c>
      <c r="K58" s="198"/>
      <c r="L58" s="199"/>
      <c r="M58" s="199"/>
      <c r="N58" s="198" t="s">
        <v>18243</v>
      </c>
      <c r="O58" s="199"/>
      <c r="P58" s="199"/>
      <c r="Q58" s="199"/>
      <c r="S58" s="198" t="s">
        <v>18244</v>
      </c>
      <c r="T58" s="199"/>
      <c r="U58" s="199"/>
      <c r="V58" s="198" t="s">
        <v>18245</v>
      </c>
      <c r="W58" s="198"/>
      <c r="X58" s="199"/>
      <c r="Y58" s="198" t="s">
        <v>18246</v>
      </c>
      <c r="Z58" s="199"/>
    </row>
    <row r="59" ht="15.75" customHeight="1">
      <c r="A59" s="199" t="s">
        <v>18247</v>
      </c>
      <c r="B59" s="199"/>
      <c r="C59" s="199"/>
      <c r="D59" s="199" t="s">
        <v>18248</v>
      </c>
      <c r="E59" s="199"/>
      <c r="F59" s="199"/>
      <c r="G59" s="199" t="s">
        <v>18211</v>
      </c>
      <c r="H59" s="199"/>
      <c r="I59" s="199"/>
      <c r="J59" s="199" t="s">
        <v>12406</v>
      </c>
      <c r="K59" s="199"/>
      <c r="L59" s="199"/>
      <c r="M59" s="199"/>
      <c r="N59" s="199" t="s">
        <v>12341</v>
      </c>
      <c r="O59" s="199"/>
      <c r="P59" s="199"/>
      <c r="Q59" s="199"/>
      <c r="S59" s="199" t="s">
        <v>8021</v>
      </c>
      <c r="T59" s="199"/>
      <c r="U59" s="199"/>
      <c r="V59" s="199" t="s">
        <v>18249</v>
      </c>
      <c r="W59" s="199"/>
      <c r="X59" s="199"/>
      <c r="Y59" s="199" t="s">
        <v>18250</v>
      </c>
      <c r="Z59" s="199"/>
    </row>
    <row r="60" ht="15.75" customHeight="1">
      <c r="A60" s="199" t="s">
        <v>18251</v>
      </c>
      <c r="B60" s="199"/>
      <c r="C60" s="199"/>
      <c r="D60" s="199" t="s">
        <v>18252</v>
      </c>
      <c r="E60" s="199"/>
      <c r="F60" s="199"/>
      <c r="G60" s="199" t="s">
        <v>18214</v>
      </c>
      <c r="H60" s="199"/>
      <c r="I60" s="199"/>
      <c r="J60" s="199" t="s">
        <v>18215</v>
      </c>
      <c r="K60" s="199"/>
      <c r="L60" s="199"/>
      <c r="M60" s="199"/>
      <c r="N60" s="199" t="s">
        <v>677</v>
      </c>
      <c r="O60" s="199"/>
      <c r="P60" s="199"/>
      <c r="Q60" s="199"/>
      <c r="S60" s="199" t="s">
        <v>18253</v>
      </c>
      <c r="T60" s="199"/>
      <c r="U60" s="199"/>
      <c r="V60" s="199" t="s">
        <v>18254</v>
      </c>
      <c r="W60" s="199"/>
      <c r="X60" s="199"/>
      <c r="Y60" s="199" t="s">
        <v>18255</v>
      </c>
      <c r="Z60" s="199"/>
    </row>
    <row r="61" ht="15.75" customHeight="1">
      <c r="A61" s="199" t="s">
        <v>8003</v>
      </c>
      <c r="B61" s="199"/>
      <c r="C61" s="199"/>
      <c r="D61" s="199" t="s">
        <v>18256</v>
      </c>
      <c r="E61" s="199"/>
      <c r="F61" s="199"/>
      <c r="G61" s="199"/>
      <c r="H61" s="199"/>
      <c r="I61" s="199"/>
      <c r="J61" s="199" t="s">
        <v>12394</v>
      </c>
      <c r="K61" s="199"/>
      <c r="L61" s="199"/>
      <c r="M61" s="199"/>
      <c r="N61" s="199" t="s">
        <v>12481</v>
      </c>
      <c r="O61" s="199"/>
      <c r="P61" s="199"/>
      <c r="Q61" s="199"/>
      <c r="S61" s="199" t="s">
        <v>8003</v>
      </c>
      <c r="T61" s="199"/>
      <c r="U61" s="199"/>
      <c r="V61" s="199" t="s">
        <v>18257</v>
      </c>
      <c r="W61" s="199"/>
      <c r="X61" s="199"/>
      <c r="Y61" s="199" t="s">
        <v>18258</v>
      </c>
      <c r="Z61" s="199"/>
    </row>
    <row r="62" ht="15.75" customHeight="1">
      <c r="A62" s="199" t="s">
        <v>18219</v>
      </c>
      <c r="B62" s="199"/>
      <c r="C62" s="199"/>
      <c r="D62" s="199" t="s">
        <v>18259</v>
      </c>
      <c r="E62" s="199"/>
      <c r="F62" s="199"/>
      <c r="G62" s="199"/>
      <c r="H62" s="199"/>
      <c r="I62" s="199"/>
      <c r="J62" s="199" t="s">
        <v>12241</v>
      </c>
      <c r="K62" s="199"/>
      <c r="L62" s="199"/>
      <c r="M62" s="199"/>
      <c r="N62" s="199"/>
      <c r="O62" s="199"/>
      <c r="P62" s="199"/>
      <c r="Q62" s="199"/>
      <c r="S62" s="199" t="s">
        <v>18219</v>
      </c>
      <c r="T62" s="199"/>
      <c r="U62" s="199"/>
      <c r="V62" s="199" t="s">
        <v>18260</v>
      </c>
      <c r="W62" s="199"/>
      <c r="X62" s="199"/>
      <c r="Y62" s="199" t="s">
        <v>18253</v>
      </c>
      <c r="Z62" s="199"/>
    </row>
    <row r="63" ht="15.75" customHeight="1">
      <c r="A63" s="199" t="s">
        <v>7985</v>
      </c>
      <c r="B63" s="199"/>
      <c r="C63" s="199"/>
      <c r="D63" s="199" t="s">
        <v>18261</v>
      </c>
      <c r="E63" s="199"/>
      <c r="F63" s="199"/>
      <c r="G63" s="199"/>
      <c r="H63" s="199"/>
      <c r="I63" s="199"/>
      <c r="J63" s="199"/>
      <c r="K63" s="199"/>
      <c r="L63" s="199"/>
      <c r="M63" s="199"/>
      <c r="N63" s="199"/>
      <c r="O63" s="199"/>
      <c r="P63" s="199"/>
      <c r="Q63" s="199"/>
      <c r="S63" s="199" t="s">
        <v>18262</v>
      </c>
      <c r="T63" s="199"/>
      <c r="U63" s="199"/>
      <c r="V63" s="199" t="s">
        <v>18263</v>
      </c>
      <c r="W63" s="199"/>
      <c r="X63" s="199"/>
      <c r="Y63" s="199" t="s">
        <v>18264</v>
      </c>
      <c r="Z63" s="199"/>
    </row>
    <row r="64" ht="15.75" customHeight="1">
      <c r="A64" s="199" t="s">
        <v>18265</v>
      </c>
      <c r="B64" s="199"/>
      <c r="C64" s="199"/>
      <c r="D64" s="199" t="s">
        <v>18266</v>
      </c>
      <c r="E64" s="199"/>
      <c r="F64" s="199"/>
      <c r="G64" s="199"/>
      <c r="H64" s="199"/>
      <c r="I64" s="199"/>
      <c r="J64" s="199"/>
      <c r="K64" s="199"/>
      <c r="L64" s="199"/>
      <c r="M64" s="199"/>
      <c r="N64" s="199"/>
      <c r="O64" s="199"/>
      <c r="P64" s="199"/>
      <c r="Q64" s="199"/>
      <c r="S64" s="199" t="s">
        <v>18267</v>
      </c>
      <c r="T64" s="199"/>
      <c r="U64" s="199"/>
      <c r="V64" s="199" t="s">
        <v>18268</v>
      </c>
      <c r="W64" s="199"/>
      <c r="X64" s="199"/>
      <c r="Y64" s="199" t="s">
        <v>18269</v>
      </c>
      <c r="Z64" s="199"/>
    </row>
    <row r="65" ht="15.75" customHeight="1">
      <c r="A65" s="199" t="s">
        <v>18267</v>
      </c>
      <c r="B65" s="199"/>
      <c r="C65" s="199"/>
      <c r="D65" s="199" t="s">
        <v>18270</v>
      </c>
      <c r="E65" s="199"/>
      <c r="F65" s="199"/>
      <c r="G65" s="199"/>
      <c r="H65" s="199"/>
      <c r="I65" s="199"/>
      <c r="J65" s="199"/>
      <c r="K65" s="199"/>
      <c r="L65" s="199"/>
      <c r="M65" s="199"/>
      <c r="N65" s="199"/>
      <c r="O65" s="199"/>
      <c r="P65" s="199"/>
      <c r="Q65" s="199"/>
      <c r="S65" s="199" t="s">
        <v>18271</v>
      </c>
      <c r="T65" s="199"/>
      <c r="U65" s="199"/>
      <c r="V65" s="199" t="s">
        <v>18272</v>
      </c>
      <c r="W65" s="199"/>
      <c r="X65" s="199"/>
      <c r="Y65" s="199" t="s">
        <v>18262</v>
      </c>
      <c r="Z65" s="199"/>
    </row>
    <row r="66" ht="15.75" customHeight="1">
      <c r="A66" s="199" t="s">
        <v>18271</v>
      </c>
      <c r="B66" s="199"/>
      <c r="C66" s="199"/>
      <c r="D66" s="199" t="s">
        <v>18273</v>
      </c>
      <c r="E66" s="199"/>
      <c r="F66" s="199"/>
      <c r="G66" s="199"/>
      <c r="H66" s="199"/>
      <c r="I66" s="199"/>
      <c r="J66" s="199"/>
      <c r="K66" s="199"/>
      <c r="L66" s="199"/>
      <c r="M66" s="199"/>
      <c r="N66" s="199"/>
      <c r="O66" s="199"/>
      <c r="P66" s="199"/>
      <c r="Q66" s="199"/>
      <c r="S66" s="199" t="s">
        <v>7987</v>
      </c>
      <c r="T66" s="199"/>
      <c r="U66" s="199"/>
      <c r="V66" s="199" t="s">
        <v>18274</v>
      </c>
      <c r="W66" s="199"/>
      <c r="X66" s="199"/>
      <c r="Y66" s="199" t="s">
        <v>18275</v>
      </c>
      <c r="Z66" s="199"/>
    </row>
    <row r="67" ht="15.75" customHeight="1">
      <c r="A67" s="199" t="s">
        <v>7987</v>
      </c>
      <c r="B67" s="199"/>
      <c r="C67" s="199"/>
      <c r="D67" s="199" t="s">
        <v>18276</v>
      </c>
      <c r="E67" s="199"/>
      <c r="F67" s="199"/>
      <c r="G67" s="199"/>
      <c r="H67" s="199"/>
      <c r="I67" s="199"/>
      <c r="J67" s="199"/>
      <c r="K67" s="199"/>
      <c r="L67" s="199"/>
      <c r="M67" s="199"/>
      <c r="N67" s="199"/>
      <c r="O67" s="199"/>
      <c r="P67" s="199"/>
      <c r="Q67" s="199"/>
      <c r="S67" s="199" t="s">
        <v>7994</v>
      </c>
      <c r="T67" s="199"/>
      <c r="U67" s="199"/>
      <c r="V67" s="199" t="s">
        <v>18277</v>
      </c>
      <c r="W67" s="199"/>
      <c r="X67" s="199"/>
      <c r="Y67" s="199" t="s">
        <v>18278</v>
      </c>
      <c r="Z67" s="199"/>
    </row>
    <row r="68" ht="15.75" customHeight="1">
      <c r="A68" s="199" t="s">
        <v>7994</v>
      </c>
      <c r="B68" s="199"/>
      <c r="C68" s="199"/>
      <c r="D68" s="199" t="s">
        <v>18279</v>
      </c>
      <c r="E68" s="199"/>
      <c r="F68" s="199"/>
      <c r="G68" s="199"/>
      <c r="H68" s="199"/>
      <c r="I68" s="199"/>
      <c r="J68" s="199"/>
      <c r="K68" s="199"/>
      <c r="L68" s="199"/>
      <c r="M68" s="199"/>
      <c r="N68" s="199"/>
      <c r="O68" s="199"/>
      <c r="P68" s="199"/>
      <c r="Q68" s="199"/>
      <c r="S68" s="199" t="s">
        <v>18280</v>
      </c>
      <c r="T68" s="199"/>
      <c r="U68" s="199"/>
      <c r="V68" s="199"/>
      <c r="W68" s="199"/>
      <c r="X68" s="199"/>
      <c r="Y68" s="199" t="s">
        <v>18281</v>
      </c>
      <c r="Z68" s="199"/>
    </row>
    <row r="69" ht="15.75" customHeight="1">
      <c r="A69" s="199" t="s">
        <v>18282</v>
      </c>
      <c r="B69" s="199"/>
      <c r="C69" s="199"/>
      <c r="D69" s="199" t="s">
        <v>18283</v>
      </c>
      <c r="E69" s="199"/>
      <c r="F69" s="199"/>
      <c r="G69" s="199"/>
      <c r="H69" s="199"/>
      <c r="I69" s="199"/>
      <c r="J69" s="199"/>
      <c r="K69" s="199"/>
      <c r="L69" s="199"/>
      <c r="M69" s="199"/>
      <c r="N69" s="199"/>
      <c r="O69" s="199"/>
      <c r="P69" s="199"/>
      <c r="Q69" s="199"/>
      <c r="S69" s="199" t="s">
        <v>18282</v>
      </c>
      <c r="T69" s="199"/>
      <c r="U69" s="199"/>
      <c r="V69" s="199"/>
      <c r="W69" s="199"/>
      <c r="X69" s="199"/>
      <c r="Y69" s="199" t="s">
        <v>18284</v>
      </c>
      <c r="Z69" s="199"/>
    </row>
    <row r="70" ht="15.75" customHeight="1">
      <c r="A70" s="199" t="s">
        <v>8026</v>
      </c>
      <c r="B70" s="199"/>
      <c r="C70" s="199"/>
      <c r="D70" s="199"/>
      <c r="E70" s="199"/>
      <c r="F70" s="199"/>
      <c r="G70" s="199"/>
      <c r="H70" s="199"/>
      <c r="I70" s="199"/>
      <c r="J70" s="199"/>
      <c r="K70" s="199"/>
      <c r="L70" s="199"/>
      <c r="M70" s="199"/>
      <c r="N70" s="199"/>
      <c r="O70" s="199"/>
      <c r="P70" s="199"/>
      <c r="Q70" s="199"/>
      <c r="S70" s="199" t="s">
        <v>8026</v>
      </c>
      <c r="T70" s="199"/>
      <c r="U70" s="199"/>
      <c r="V70" s="199"/>
      <c r="W70" s="199"/>
      <c r="X70" s="199"/>
      <c r="Y70" s="199" t="s">
        <v>120</v>
      </c>
      <c r="Z70" s="199"/>
    </row>
    <row r="71" ht="15.75" customHeight="1">
      <c r="A71" s="199" t="s">
        <v>8011</v>
      </c>
      <c r="B71" s="199"/>
      <c r="C71" s="199"/>
      <c r="D71" s="199"/>
      <c r="E71" s="199"/>
      <c r="F71" s="199"/>
      <c r="G71" s="199"/>
      <c r="H71" s="199"/>
      <c r="I71" s="199"/>
      <c r="J71" s="199"/>
      <c r="K71" s="199"/>
      <c r="L71" s="199"/>
      <c r="M71" s="199"/>
      <c r="N71" s="199"/>
      <c r="O71" s="199"/>
      <c r="P71" s="199"/>
      <c r="Q71" s="199"/>
      <c r="S71" s="199" t="s">
        <v>8011</v>
      </c>
      <c r="T71" s="199"/>
      <c r="U71" s="199"/>
      <c r="V71" s="199"/>
      <c r="W71" s="199"/>
      <c r="X71" s="199"/>
      <c r="Y71" s="199" t="s">
        <v>57</v>
      </c>
      <c r="Z71" s="199"/>
    </row>
    <row r="72" ht="15.75" customHeight="1">
      <c r="A72" s="199" t="s">
        <v>7991</v>
      </c>
      <c r="B72" s="199"/>
      <c r="C72" s="199"/>
      <c r="D72" s="199"/>
      <c r="E72" s="199"/>
      <c r="F72" s="199"/>
      <c r="G72" s="199"/>
      <c r="H72" s="199"/>
      <c r="I72" s="199"/>
      <c r="J72" s="199"/>
      <c r="K72" s="199"/>
      <c r="L72" s="199"/>
      <c r="M72" s="199"/>
      <c r="N72" s="199"/>
      <c r="O72" s="199"/>
      <c r="P72" s="199"/>
      <c r="Q72" s="199"/>
      <c r="S72" s="199" t="s">
        <v>7991</v>
      </c>
      <c r="T72" s="199"/>
      <c r="U72" s="199"/>
      <c r="V72" s="199"/>
      <c r="W72" s="199"/>
      <c r="X72" s="199"/>
      <c r="Y72" s="199" t="s">
        <v>18285</v>
      </c>
      <c r="Z72" s="199"/>
    </row>
    <row r="73" ht="15.75" customHeight="1">
      <c r="A73" s="199" t="s">
        <v>18286</v>
      </c>
      <c r="B73" s="199"/>
      <c r="C73" s="199"/>
      <c r="D73" s="199"/>
      <c r="E73" s="199"/>
      <c r="F73" s="199"/>
      <c r="G73" s="199"/>
      <c r="H73" s="199"/>
      <c r="I73" s="199"/>
      <c r="J73" s="199"/>
      <c r="K73" s="199"/>
      <c r="L73" s="199"/>
      <c r="M73" s="199"/>
      <c r="N73" s="199"/>
      <c r="O73" s="199"/>
      <c r="P73" s="199"/>
      <c r="Q73" s="199"/>
      <c r="S73" s="199" t="s">
        <v>18285</v>
      </c>
      <c r="T73" s="199"/>
      <c r="U73" s="199"/>
      <c r="V73" s="199"/>
      <c r="W73" s="199"/>
      <c r="X73" s="199"/>
      <c r="Y73" s="199" t="s">
        <v>18287</v>
      </c>
      <c r="Z73" s="199"/>
    </row>
    <row r="74" ht="15.75" customHeight="1">
      <c r="A74" s="199" t="s">
        <v>18288</v>
      </c>
      <c r="B74" s="199"/>
      <c r="C74" s="199"/>
      <c r="D74" s="199"/>
      <c r="E74" s="199"/>
      <c r="F74" s="199"/>
      <c r="G74" s="199"/>
      <c r="H74" s="199"/>
      <c r="I74" s="199"/>
      <c r="J74" s="199"/>
      <c r="K74" s="199"/>
      <c r="L74" s="199"/>
      <c r="M74" s="199"/>
      <c r="N74" s="199"/>
      <c r="O74" s="199"/>
      <c r="P74" s="199"/>
      <c r="Q74" s="199"/>
      <c r="S74" s="199" t="s">
        <v>18288</v>
      </c>
      <c r="T74" s="199"/>
      <c r="U74" s="199"/>
      <c r="V74" s="199"/>
      <c r="W74" s="199"/>
      <c r="X74" s="199"/>
      <c r="Y74" s="199" t="s">
        <v>18289</v>
      </c>
      <c r="Z74" s="199"/>
    </row>
    <row r="75" ht="15.75" customHeight="1">
      <c r="A75" s="199" t="s">
        <v>8122</v>
      </c>
      <c r="B75" s="199"/>
      <c r="C75" s="199"/>
      <c r="D75" s="199"/>
      <c r="E75" s="199"/>
      <c r="F75" s="199"/>
      <c r="G75" s="199"/>
      <c r="H75" s="199"/>
      <c r="I75" s="199"/>
      <c r="J75" s="199"/>
      <c r="K75" s="199"/>
      <c r="L75" s="199"/>
      <c r="M75" s="199"/>
      <c r="N75" s="199"/>
      <c r="O75" s="199"/>
      <c r="P75" s="199"/>
      <c r="Q75" s="199"/>
      <c r="S75" s="199" t="s">
        <v>8122</v>
      </c>
      <c r="T75" s="199"/>
      <c r="U75" s="199"/>
      <c r="V75" s="199"/>
      <c r="W75" s="199"/>
      <c r="X75" s="199"/>
      <c r="Y75" s="199" t="s">
        <v>78</v>
      </c>
      <c r="Z75" s="199"/>
    </row>
    <row r="76" ht="15.75" customHeight="1">
      <c r="A76" s="199" t="s">
        <v>10311</v>
      </c>
      <c r="B76" s="199"/>
      <c r="C76" s="199"/>
      <c r="D76" s="199"/>
      <c r="E76" s="199"/>
      <c r="F76" s="199"/>
      <c r="G76" s="199"/>
      <c r="H76" s="199"/>
      <c r="I76" s="199"/>
      <c r="J76" s="199"/>
      <c r="K76" s="199"/>
      <c r="L76" s="199"/>
      <c r="M76" s="199"/>
      <c r="N76" s="199"/>
      <c r="O76" s="199"/>
      <c r="P76" s="199"/>
      <c r="Q76" s="199"/>
      <c r="S76" s="199" t="s">
        <v>10311</v>
      </c>
      <c r="T76" s="199"/>
      <c r="U76" s="199"/>
      <c r="V76" s="199"/>
      <c r="W76" s="199"/>
      <c r="X76" s="199"/>
      <c r="Y76" s="199" t="s">
        <v>18290</v>
      </c>
      <c r="Z76" s="199"/>
    </row>
    <row r="77" ht="15.75" customHeight="1">
      <c r="A77" s="199" t="s">
        <v>8047</v>
      </c>
      <c r="B77" s="199"/>
      <c r="C77" s="199"/>
      <c r="D77" s="199"/>
      <c r="E77" s="199"/>
      <c r="F77" s="199"/>
      <c r="G77" s="199"/>
      <c r="H77" s="199"/>
      <c r="I77" s="199"/>
      <c r="J77" s="199"/>
      <c r="K77" s="199"/>
      <c r="L77" s="199"/>
      <c r="M77" s="199"/>
      <c r="N77" s="199"/>
      <c r="O77" s="199"/>
      <c r="P77" s="199"/>
      <c r="Q77" s="199"/>
      <c r="S77" s="199" t="s">
        <v>8047</v>
      </c>
      <c r="T77" s="199"/>
      <c r="U77" s="199"/>
      <c r="V77" s="199"/>
      <c r="W77" s="199"/>
      <c r="X77" s="199"/>
      <c r="Y77" s="199" t="s">
        <v>18291</v>
      </c>
      <c r="Z77" s="199"/>
    </row>
    <row r="78" ht="15.75" customHeight="1">
      <c r="A78" s="199" t="s">
        <v>7983</v>
      </c>
      <c r="B78" s="199"/>
      <c r="C78" s="199"/>
      <c r="D78" s="199"/>
      <c r="E78" s="199"/>
      <c r="F78" s="199"/>
      <c r="G78" s="199"/>
      <c r="H78" s="199"/>
      <c r="I78" s="199"/>
      <c r="J78" s="199"/>
      <c r="K78" s="199"/>
      <c r="L78" s="199"/>
      <c r="M78" s="199"/>
      <c r="N78" s="199"/>
      <c r="O78" s="199"/>
      <c r="P78" s="199"/>
      <c r="Q78" s="199"/>
      <c r="S78" s="199" t="s">
        <v>7983</v>
      </c>
      <c r="T78" s="199"/>
      <c r="U78" s="199"/>
      <c r="V78" s="199"/>
      <c r="W78" s="199"/>
      <c r="X78" s="199"/>
      <c r="Y78" s="199" t="s">
        <v>18292</v>
      </c>
      <c r="Z78" s="199"/>
    </row>
    <row r="79" ht="15.75" customHeight="1">
      <c r="A79" s="199" t="s">
        <v>8539</v>
      </c>
      <c r="B79" s="199"/>
      <c r="C79" s="199"/>
      <c r="D79" s="199"/>
      <c r="E79" s="199"/>
      <c r="F79" s="199"/>
      <c r="G79" s="199"/>
      <c r="H79" s="199"/>
      <c r="I79" s="199"/>
      <c r="J79" s="199"/>
      <c r="K79" s="199"/>
      <c r="L79" s="199"/>
      <c r="M79" s="199"/>
      <c r="N79" s="199"/>
      <c r="O79" s="199"/>
      <c r="P79" s="199"/>
      <c r="Q79" s="199"/>
      <c r="S79" s="199" t="s">
        <v>8539</v>
      </c>
      <c r="T79" s="199"/>
      <c r="U79" s="199"/>
      <c r="V79" s="199"/>
      <c r="W79" s="199"/>
      <c r="X79" s="199"/>
      <c r="Y79" s="199" t="s">
        <v>18293</v>
      </c>
      <c r="Z79" s="199"/>
    </row>
    <row r="80" ht="15.75" customHeight="1">
      <c r="A80" s="199" t="s">
        <v>18294</v>
      </c>
      <c r="B80" s="199"/>
      <c r="C80" s="199"/>
      <c r="D80" s="199"/>
      <c r="E80" s="199"/>
      <c r="F80" s="199"/>
      <c r="G80" s="199"/>
      <c r="H80" s="199"/>
      <c r="I80" s="199"/>
      <c r="J80" s="199"/>
      <c r="K80" s="199"/>
      <c r="L80" s="199"/>
      <c r="M80" s="199"/>
      <c r="N80" s="199"/>
      <c r="O80" s="199"/>
      <c r="P80" s="199"/>
      <c r="Q80" s="199"/>
      <c r="S80" s="199" t="s">
        <v>18294</v>
      </c>
      <c r="T80" s="199"/>
      <c r="U80" s="199"/>
      <c r="V80" s="199"/>
      <c r="W80" s="199"/>
      <c r="X80" s="199"/>
      <c r="Y80" s="199" t="s">
        <v>18295</v>
      </c>
      <c r="Z80" s="199"/>
    </row>
    <row r="81" ht="15.75" customHeight="1">
      <c r="A81" s="199" t="s">
        <v>8600</v>
      </c>
      <c r="B81" s="199"/>
      <c r="C81" s="199"/>
      <c r="D81" s="199"/>
      <c r="E81" s="199"/>
      <c r="F81" s="199"/>
      <c r="G81" s="199"/>
      <c r="H81" s="199"/>
      <c r="I81" s="199"/>
      <c r="J81" s="199"/>
      <c r="K81" s="199"/>
      <c r="L81" s="199"/>
      <c r="M81" s="199"/>
      <c r="N81" s="199"/>
      <c r="O81" s="199"/>
      <c r="P81" s="199"/>
      <c r="Q81" s="199"/>
      <c r="S81" s="199" t="s">
        <v>8600</v>
      </c>
      <c r="T81" s="199"/>
      <c r="U81" s="199"/>
      <c r="V81" s="199"/>
      <c r="W81" s="199"/>
      <c r="X81" s="199"/>
      <c r="Y81" s="199" t="s">
        <v>18296</v>
      </c>
      <c r="Z81" s="199"/>
    </row>
    <row r="82" ht="15.75" customHeight="1">
      <c r="A82" s="199" t="s">
        <v>8016</v>
      </c>
      <c r="B82" s="199"/>
      <c r="C82" s="199"/>
      <c r="D82" s="199"/>
      <c r="E82" s="199"/>
      <c r="F82" s="199"/>
      <c r="G82" s="199"/>
      <c r="H82" s="199"/>
      <c r="I82" s="199"/>
      <c r="J82" s="199"/>
      <c r="K82" s="199"/>
      <c r="L82" s="199"/>
      <c r="M82" s="199"/>
      <c r="N82" s="199"/>
      <c r="O82" s="199"/>
      <c r="P82" s="199"/>
      <c r="Q82" s="199"/>
      <c r="S82" s="199" t="s">
        <v>18233</v>
      </c>
      <c r="T82" s="199"/>
      <c r="U82" s="199"/>
      <c r="V82" s="199"/>
      <c r="W82" s="199"/>
      <c r="X82" s="199"/>
      <c r="Y82" s="199" t="s">
        <v>18296</v>
      </c>
      <c r="Z82" s="199"/>
    </row>
    <row r="83" ht="15.75" customHeight="1">
      <c r="A83" s="199" t="s">
        <v>18233</v>
      </c>
      <c r="B83" s="199"/>
      <c r="C83" s="199"/>
      <c r="D83" s="199"/>
      <c r="E83" s="199"/>
      <c r="F83" s="199"/>
      <c r="G83" s="199"/>
      <c r="H83" s="199"/>
      <c r="I83" s="199"/>
      <c r="J83" s="199"/>
      <c r="K83" s="199"/>
      <c r="L83" s="199"/>
      <c r="M83" s="199"/>
      <c r="N83" s="199"/>
      <c r="O83" s="199"/>
      <c r="P83" s="199"/>
      <c r="Q83" s="199"/>
      <c r="S83" s="199" t="s">
        <v>7971</v>
      </c>
      <c r="T83" s="199"/>
      <c r="U83" s="199"/>
      <c r="V83" s="199"/>
      <c r="W83" s="199"/>
      <c r="X83" s="199"/>
      <c r="Y83" s="199" t="s">
        <v>18297</v>
      </c>
      <c r="Z83" s="199"/>
    </row>
    <row r="84" ht="15.75" customHeight="1">
      <c r="A84" s="199" t="s">
        <v>7971</v>
      </c>
      <c r="B84" s="199"/>
      <c r="C84" s="199"/>
      <c r="D84" s="199"/>
      <c r="E84" s="199"/>
      <c r="F84" s="199"/>
      <c r="G84" s="199"/>
      <c r="H84" s="199"/>
      <c r="I84" s="199"/>
      <c r="J84" s="199"/>
      <c r="K84" s="199"/>
      <c r="L84" s="199"/>
      <c r="M84" s="199"/>
      <c r="N84" s="199"/>
      <c r="O84" s="199"/>
      <c r="P84" s="199"/>
      <c r="Q84" s="199"/>
      <c r="S84" s="199" t="s">
        <v>18298</v>
      </c>
      <c r="T84" s="199"/>
      <c r="U84" s="199"/>
      <c r="V84" s="199"/>
      <c r="W84" s="199"/>
      <c r="X84" s="199"/>
      <c r="Y84" s="199" t="s">
        <v>18238</v>
      </c>
      <c r="Z84" s="199"/>
    </row>
    <row r="85" ht="15.75" customHeight="1">
      <c r="A85" s="199" t="s">
        <v>18236</v>
      </c>
      <c r="B85" s="199"/>
      <c r="C85" s="199"/>
      <c r="D85" s="199"/>
      <c r="E85" s="199"/>
      <c r="F85" s="199"/>
      <c r="G85" s="199"/>
      <c r="H85" s="199"/>
      <c r="I85" s="199"/>
      <c r="J85" s="199"/>
      <c r="K85" s="199"/>
      <c r="L85" s="199"/>
      <c r="M85" s="199"/>
      <c r="N85" s="199"/>
      <c r="O85" s="199"/>
      <c r="P85" s="199"/>
      <c r="Q85" s="199"/>
      <c r="S85" s="199" t="s">
        <v>18236</v>
      </c>
      <c r="T85" s="199"/>
      <c r="U85" s="199"/>
      <c r="V85" s="199"/>
      <c r="W85" s="199"/>
      <c r="X85" s="199"/>
      <c r="Y85" s="199" t="s">
        <v>18299</v>
      </c>
      <c r="Z85" s="199"/>
    </row>
    <row r="86" ht="15.75" customHeight="1">
      <c r="A86" s="199" t="s">
        <v>18300</v>
      </c>
      <c r="B86" s="199"/>
      <c r="C86" s="199"/>
      <c r="D86" s="199"/>
      <c r="E86" s="199"/>
      <c r="F86" s="199"/>
      <c r="G86" s="199"/>
      <c r="H86" s="199"/>
      <c r="I86" s="199"/>
      <c r="J86" s="199"/>
      <c r="K86" s="199"/>
      <c r="L86" s="199"/>
      <c r="M86" s="199"/>
      <c r="N86" s="199"/>
      <c r="O86" s="199"/>
      <c r="P86" s="199"/>
      <c r="Q86" s="199"/>
      <c r="S86" s="199" t="s">
        <v>18301</v>
      </c>
      <c r="T86" s="199"/>
      <c r="U86" s="199"/>
      <c r="V86" s="199"/>
      <c r="W86" s="199"/>
      <c r="X86" s="199"/>
      <c r="Y86" s="199" t="s">
        <v>18302</v>
      </c>
      <c r="Z86" s="199"/>
    </row>
    <row r="87" ht="15.75" customHeight="1">
      <c r="A87" s="199" t="s">
        <v>18303</v>
      </c>
      <c r="B87" s="199"/>
      <c r="C87" s="199"/>
      <c r="D87" s="199"/>
      <c r="E87" s="199"/>
      <c r="F87" s="199"/>
      <c r="G87" s="199"/>
      <c r="H87" s="199"/>
      <c r="I87" s="199"/>
      <c r="J87" s="199"/>
      <c r="K87" s="199"/>
      <c r="L87" s="199"/>
      <c r="M87" s="199"/>
      <c r="N87" s="199"/>
      <c r="O87" s="199"/>
      <c r="P87" s="199"/>
      <c r="Q87" s="199"/>
      <c r="S87" s="199" t="s">
        <v>18303</v>
      </c>
      <c r="T87" s="199"/>
      <c r="U87" s="199"/>
      <c r="V87" s="199"/>
      <c r="W87" s="199"/>
      <c r="X87" s="199"/>
      <c r="Y87" s="199" t="s">
        <v>18302</v>
      </c>
      <c r="Z87" s="199"/>
    </row>
    <row r="88" ht="15.75" customHeight="1">
      <c r="A88" s="199" t="s">
        <v>18304</v>
      </c>
      <c r="B88" s="199"/>
      <c r="C88" s="199"/>
      <c r="D88" s="199"/>
      <c r="E88" s="199"/>
      <c r="F88" s="199"/>
      <c r="G88" s="199"/>
      <c r="H88" s="199"/>
      <c r="I88" s="199"/>
      <c r="J88" s="199"/>
      <c r="K88" s="199"/>
      <c r="L88" s="199"/>
      <c r="M88" s="199"/>
      <c r="N88" s="199"/>
      <c r="O88" s="199"/>
      <c r="P88" s="199"/>
      <c r="Q88" s="199"/>
      <c r="S88" s="199" t="s">
        <v>18305</v>
      </c>
      <c r="T88" s="199"/>
      <c r="U88" s="199"/>
      <c r="V88" s="199"/>
      <c r="W88" s="199"/>
      <c r="X88" s="199"/>
      <c r="Y88" s="199" t="s">
        <v>18306</v>
      </c>
      <c r="Z88" s="199"/>
    </row>
    <row r="89" ht="15.75" customHeight="1">
      <c r="A89" s="199" t="s">
        <v>18307</v>
      </c>
      <c r="B89" s="199"/>
      <c r="C89" s="199"/>
      <c r="D89" s="199"/>
      <c r="E89" s="199"/>
      <c r="F89" s="199"/>
      <c r="G89" s="199"/>
      <c r="H89" s="199"/>
      <c r="I89" s="199"/>
      <c r="J89" s="199"/>
      <c r="K89" s="199"/>
      <c r="L89" s="199"/>
      <c r="M89" s="199"/>
      <c r="N89" s="199"/>
      <c r="O89" s="199"/>
      <c r="P89" s="199"/>
      <c r="Q89" s="199"/>
      <c r="S89" s="199" t="s">
        <v>18308</v>
      </c>
      <c r="T89" s="199"/>
      <c r="U89" s="199"/>
      <c r="V89" s="199"/>
      <c r="W89" s="199"/>
      <c r="X89" s="199"/>
      <c r="Y89" s="199" t="s">
        <v>18309</v>
      </c>
      <c r="Z89" s="199"/>
    </row>
    <row r="90" ht="15.75" customHeight="1">
      <c r="A90" s="199" t="s">
        <v>10023</v>
      </c>
      <c r="B90" s="199"/>
      <c r="C90" s="199"/>
      <c r="D90" s="199"/>
      <c r="E90" s="199"/>
      <c r="F90" s="199"/>
      <c r="G90" s="199"/>
      <c r="H90" s="199"/>
      <c r="I90" s="199"/>
      <c r="J90" s="199"/>
      <c r="K90" s="199"/>
      <c r="L90" s="199"/>
      <c r="M90" s="199"/>
      <c r="N90" s="199"/>
      <c r="O90" s="199"/>
      <c r="P90" s="199"/>
      <c r="Q90" s="199"/>
      <c r="S90" s="199" t="s">
        <v>8723</v>
      </c>
      <c r="T90" s="199"/>
      <c r="U90" s="199"/>
      <c r="V90" s="199"/>
      <c r="W90" s="199"/>
      <c r="X90" s="199"/>
      <c r="Y90" s="199" t="s">
        <v>18310</v>
      </c>
      <c r="Z90" s="199"/>
    </row>
    <row r="91" ht="15.75" customHeight="1">
      <c r="A91" s="199" t="s">
        <v>8723</v>
      </c>
      <c r="B91" s="199"/>
      <c r="C91" s="199"/>
      <c r="D91" s="199"/>
      <c r="E91" s="199"/>
      <c r="F91" s="199"/>
      <c r="G91" s="199"/>
      <c r="H91" s="199"/>
      <c r="I91" s="199"/>
      <c r="J91" s="199"/>
      <c r="K91" s="199"/>
      <c r="L91" s="199"/>
      <c r="M91" s="199"/>
      <c r="N91" s="199"/>
      <c r="O91" s="199"/>
      <c r="P91" s="199"/>
      <c r="Q91" s="199"/>
      <c r="S91" s="199" t="s">
        <v>18311</v>
      </c>
      <c r="T91" s="199"/>
      <c r="U91" s="199"/>
      <c r="V91" s="199"/>
      <c r="W91" s="199"/>
      <c r="X91" s="199"/>
      <c r="Y91" s="199" t="s">
        <v>18312</v>
      </c>
      <c r="Z91" s="199"/>
    </row>
    <row r="92" ht="15.75" customHeight="1">
      <c r="A92" s="199" t="s">
        <v>18311</v>
      </c>
      <c r="B92" s="199"/>
      <c r="C92" s="199"/>
      <c r="D92" s="199"/>
      <c r="E92" s="199"/>
      <c r="F92" s="199"/>
      <c r="G92" s="199"/>
      <c r="H92" s="199"/>
      <c r="I92" s="199"/>
      <c r="J92" s="199"/>
      <c r="K92" s="199"/>
      <c r="L92" s="199"/>
      <c r="M92" s="199"/>
      <c r="N92" s="199"/>
      <c r="O92" s="199"/>
      <c r="P92" s="199"/>
      <c r="Q92" s="199"/>
      <c r="S92" s="199" t="s">
        <v>7974</v>
      </c>
      <c r="T92" s="199"/>
      <c r="U92" s="199"/>
      <c r="V92" s="199"/>
      <c r="W92" s="199"/>
      <c r="X92" s="199"/>
      <c r="Y92" s="199" t="s">
        <v>7981</v>
      </c>
      <c r="Z92" s="199"/>
    </row>
    <row r="93" ht="15.75" customHeight="1">
      <c r="A93" s="199" t="s">
        <v>7974</v>
      </c>
      <c r="B93" s="199"/>
      <c r="C93" s="199"/>
      <c r="D93" s="199"/>
      <c r="E93" s="199"/>
      <c r="F93" s="199"/>
      <c r="G93" s="199"/>
      <c r="H93" s="199"/>
      <c r="I93" s="199"/>
      <c r="J93" s="199"/>
      <c r="K93" s="199"/>
      <c r="L93" s="199"/>
      <c r="M93" s="199"/>
      <c r="N93" s="199"/>
      <c r="O93" s="199"/>
      <c r="P93" s="199"/>
      <c r="Q93" s="199"/>
      <c r="S93" s="199" t="s">
        <v>18313</v>
      </c>
      <c r="T93" s="199"/>
      <c r="U93" s="199"/>
      <c r="V93" s="199"/>
      <c r="W93" s="199"/>
      <c r="X93" s="199"/>
      <c r="Y93" s="199"/>
      <c r="Z93" s="199"/>
    </row>
    <row r="94" ht="15.75" customHeight="1">
      <c r="A94" s="199" t="s">
        <v>8041</v>
      </c>
      <c r="B94" s="199"/>
      <c r="C94" s="199"/>
      <c r="D94" s="199"/>
      <c r="E94" s="199"/>
      <c r="F94" s="199"/>
      <c r="G94" s="199"/>
      <c r="H94" s="199"/>
      <c r="I94" s="199"/>
      <c r="J94" s="199"/>
      <c r="K94" s="199"/>
      <c r="L94" s="199"/>
      <c r="M94" s="199"/>
      <c r="N94" s="199"/>
      <c r="O94" s="199"/>
      <c r="P94" s="199"/>
      <c r="Q94" s="199"/>
    </row>
    <row r="95" ht="15.75" customHeight="1">
      <c r="A95" s="199" t="s">
        <v>8128</v>
      </c>
      <c r="B95" s="199"/>
      <c r="C95" s="199"/>
      <c r="D95" s="199"/>
      <c r="E95" s="199"/>
      <c r="F95" s="199"/>
      <c r="G95" s="199"/>
      <c r="H95" s="199"/>
      <c r="I95" s="199"/>
      <c r="J95" s="199"/>
      <c r="K95" s="199"/>
      <c r="L95" s="199"/>
      <c r="M95" s="199"/>
      <c r="N95" s="199"/>
      <c r="O95" s="199"/>
      <c r="P95" s="199"/>
      <c r="Q95" s="199"/>
    </row>
    <row r="96" ht="15.75" customHeight="1">
      <c r="A96" s="199" t="s">
        <v>9084</v>
      </c>
      <c r="B96" s="199"/>
      <c r="C96" s="199"/>
      <c r="D96" s="199"/>
      <c r="E96" s="199"/>
      <c r="F96" s="199"/>
      <c r="G96" s="199"/>
      <c r="H96" s="199"/>
      <c r="I96" s="199"/>
      <c r="J96" s="199"/>
      <c r="K96" s="199"/>
      <c r="L96" s="199"/>
      <c r="M96" s="199"/>
      <c r="N96" s="199"/>
      <c r="O96" s="199"/>
      <c r="P96" s="199"/>
      <c r="Q96" s="199"/>
    </row>
    <row r="97" ht="15.75" customHeight="1">
      <c r="A97" s="199" t="s">
        <v>18313</v>
      </c>
      <c r="B97" s="199"/>
      <c r="C97" s="199"/>
      <c r="D97" s="199"/>
      <c r="E97" s="199"/>
      <c r="F97" s="199"/>
      <c r="G97" s="199"/>
      <c r="H97" s="199"/>
      <c r="I97" s="199"/>
      <c r="J97" s="199"/>
      <c r="K97" s="199"/>
      <c r="L97" s="199"/>
      <c r="M97" s="199"/>
      <c r="N97" s="199"/>
      <c r="O97" s="199"/>
      <c r="P97" s="199"/>
      <c r="Q97" s="199"/>
    </row>
    <row r="98" ht="15.75" customHeight="1">
      <c r="A98" s="199" t="s">
        <v>8602</v>
      </c>
      <c r="B98" s="199"/>
      <c r="C98" s="199"/>
      <c r="D98" s="199"/>
      <c r="E98" s="199"/>
      <c r="F98" s="199"/>
      <c r="G98" s="199"/>
      <c r="H98" s="199"/>
      <c r="I98" s="199"/>
      <c r="J98" s="199"/>
      <c r="K98" s="199"/>
      <c r="L98" s="199"/>
      <c r="M98" s="199"/>
      <c r="N98" s="199"/>
      <c r="O98" s="199"/>
      <c r="P98" s="199"/>
      <c r="Q98" s="199"/>
    </row>
    <row r="99" ht="15.75" customHeight="1">
      <c r="A99" s="199"/>
      <c r="B99" s="199"/>
      <c r="C99" s="199"/>
      <c r="D99" s="199"/>
      <c r="E99" s="199"/>
      <c r="F99" s="199"/>
      <c r="G99" s="199"/>
      <c r="H99" s="199"/>
      <c r="I99" s="199"/>
      <c r="J99" s="199"/>
      <c r="K99" s="199"/>
      <c r="L99" s="199"/>
      <c r="M99" s="199"/>
      <c r="N99" s="199"/>
      <c r="O99" s="199"/>
      <c r="P99" s="199"/>
      <c r="Q99" s="199"/>
    </row>
    <row r="100" ht="15.75" customHeight="1"/>
    <row r="101" ht="15.75" customHeight="1"/>
    <row r="102" ht="15.75" customHeight="1"/>
    <row r="103" ht="15.75" customHeight="1"/>
    <row r="104" ht="15.75" customHeight="1"/>
    <row r="105" ht="15.75" customHeight="1">
      <c r="T105" s="200"/>
    </row>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2">
    <mergeCell ref="A1:Q1"/>
    <mergeCell ref="A19:Q19"/>
  </mergeCells>
  <printOptions/>
  <pageMargins bottom="0.75" footer="0.0" header="0.0" left="0.7" right="0.7" top="0.75"/>
  <pageSetup paperSize="9" orientation="portrait"/>
  <drawing r:id="rId2"/>
  <legacy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2889E"/>
    <pageSetUpPr/>
  </sheetPr>
  <sheetViews>
    <sheetView workbookViewId="0"/>
  </sheetViews>
  <sheetFormatPr customHeight="1" defaultColWidth="14.43" defaultRowHeight="15.75"/>
  <cols>
    <col customWidth="1" min="1" max="2" width="25.57"/>
    <col customWidth="1" min="3" max="6" width="8.71"/>
  </cols>
  <sheetData>
    <row r="1">
      <c r="A1" s="201" t="s">
        <v>18314</v>
      </c>
      <c r="B1" s="201" t="s">
        <v>40</v>
      </c>
    </row>
    <row r="2">
      <c r="A2" s="202" t="s">
        <v>18315</v>
      </c>
      <c r="B2" s="202" t="s">
        <v>18316</v>
      </c>
    </row>
    <row r="3">
      <c r="A3" s="202" t="s">
        <v>18317</v>
      </c>
      <c r="B3" s="202" t="s">
        <v>18318</v>
      </c>
    </row>
    <row r="4">
      <c r="A4" s="202" t="s">
        <v>9069</v>
      </c>
      <c r="B4" s="202" t="s">
        <v>18319</v>
      </c>
    </row>
    <row r="5">
      <c r="A5" s="202" t="s">
        <v>8563</v>
      </c>
      <c r="B5" s="202" t="s">
        <v>18320</v>
      </c>
    </row>
    <row r="6">
      <c r="A6" s="202" t="s">
        <v>8371</v>
      </c>
      <c r="B6" s="202" t="s">
        <v>18321</v>
      </c>
    </row>
    <row r="7">
      <c r="A7" s="202" t="s">
        <v>8138</v>
      </c>
      <c r="B7" s="202" t="s">
        <v>18322</v>
      </c>
    </row>
    <row r="8">
      <c r="A8" s="202" t="s">
        <v>18323</v>
      </c>
      <c r="B8" s="202" t="s">
        <v>18324</v>
      </c>
    </row>
    <row r="9">
      <c r="A9" s="202" t="s">
        <v>18325</v>
      </c>
      <c r="B9" s="202" t="s">
        <v>18326</v>
      </c>
    </row>
    <row r="10">
      <c r="A10" s="202" t="s">
        <v>18327</v>
      </c>
      <c r="B10" s="202" t="s">
        <v>18328</v>
      </c>
    </row>
    <row r="11">
      <c r="A11" s="202" t="s">
        <v>8021</v>
      </c>
      <c r="B11" s="202" t="s">
        <v>18329</v>
      </c>
    </row>
    <row r="12">
      <c r="A12" s="202" t="s">
        <v>7999</v>
      </c>
      <c r="B12" s="202" t="s">
        <v>108</v>
      </c>
    </row>
    <row r="13">
      <c r="A13" s="202" t="s">
        <v>18330</v>
      </c>
      <c r="B13" s="202" t="s">
        <v>18331</v>
      </c>
    </row>
    <row r="14">
      <c r="A14" s="202" t="s">
        <v>18332</v>
      </c>
      <c r="B14" s="202" t="s">
        <v>18333</v>
      </c>
    </row>
    <row r="15">
      <c r="A15" s="202" t="s">
        <v>8087</v>
      </c>
      <c r="B15" s="202" t="s">
        <v>161</v>
      </c>
    </row>
    <row r="16">
      <c r="A16" s="202" t="s">
        <v>18334</v>
      </c>
      <c r="B16" s="202" t="s">
        <v>18335</v>
      </c>
    </row>
    <row r="17">
      <c r="A17" s="202" t="s">
        <v>18336</v>
      </c>
      <c r="B17" s="202" t="s">
        <v>18337</v>
      </c>
    </row>
    <row r="18">
      <c r="A18" s="202" t="s">
        <v>8588</v>
      </c>
      <c r="B18" s="202" t="s">
        <v>18338</v>
      </c>
    </row>
    <row r="19">
      <c r="A19" s="202" t="s">
        <v>9089</v>
      </c>
      <c r="B19" s="202" t="s">
        <v>18339</v>
      </c>
    </row>
    <row r="20">
      <c r="A20" s="202" t="s">
        <v>10237</v>
      </c>
      <c r="B20" s="202" t="s">
        <v>18340</v>
      </c>
    </row>
    <row r="21" ht="15.75" customHeight="1">
      <c r="A21" s="202" t="s">
        <v>18341</v>
      </c>
      <c r="B21" s="202" t="s">
        <v>18342</v>
      </c>
    </row>
    <row r="22" ht="15.75" customHeight="1">
      <c r="A22" s="202" t="s">
        <v>18343</v>
      </c>
      <c r="B22" s="202" t="s">
        <v>18344</v>
      </c>
    </row>
    <row r="23" ht="15.75" customHeight="1">
      <c r="A23" s="202" t="s">
        <v>18345</v>
      </c>
      <c r="B23" s="202" t="s">
        <v>18346</v>
      </c>
    </row>
    <row r="24" ht="15.75" customHeight="1">
      <c r="A24" s="202" t="s">
        <v>18347</v>
      </c>
      <c r="B24" s="202" t="s">
        <v>18348</v>
      </c>
    </row>
    <row r="25" ht="15.75" customHeight="1">
      <c r="A25" s="202" t="s">
        <v>18349</v>
      </c>
      <c r="B25" s="202" t="s">
        <v>18350</v>
      </c>
    </row>
    <row r="26" ht="15.75" customHeight="1">
      <c r="A26" s="202" t="s">
        <v>18351</v>
      </c>
      <c r="B26" s="202" t="s">
        <v>18352</v>
      </c>
    </row>
    <row r="27" ht="15.75" customHeight="1">
      <c r="A27" s="202" t="s">
        <v>8590</v>
      </c>
      <c r="B27" s="202" t="s">
        <v>18253</v>
      </c>
    </row>
    <row r="28" ht="15.75" customHeight="1">
      <c r="A28" s="202" t="s">
        <v>8582</v>
      </c>
      <c r="B28" s="202" t="s">
        <v>18253</v>
      </c>
    </row>
    <row r="29" ht="15.75" customHeight="1">
      <c r="A29" s="202" t="s">
        <v>18353</v>
      </c>
      <c r="B29" s="202" t="s">
        <v>18354</v>
      </c>
    </row>
    <row r="30" ht="15.75" customHeight="1">
      <c r="A30" s="202" t="s">
        <v>18355</v>
      </c>
      <c r="B30" s="202" t="s">
        <v>18356</v>
      </c>
    </row>
    <row r="31" ht="15.75" customHeight="1">
      <c r="A31" s="202" t="s">
        <v>8899</v>
      </c>
      <c r="B31" s="202" t="s">
        <v>18357</v>
      </c>
    </row>
    <row r="32" ht="15.75" customHeight="1">
      <c r="A32" s="202" t="s">
        <v>18358</v>
      </c>
      <c r="B32" s="202" t="s">
        <v>18359</v>
      </c>
    </row>
    <row r="33" ht="15.75" customHeight="1">
      <c r="A33" s="202" t="s">
        <v>8003</v>
      </c>
      <c r="B33" s="202" t="s">
        <v>18264</v>
      </c>
    </row>
    <row r="34" ht="15.75" customHeight="1">
      <c r="A34" s="202" t="s">
        <v>7985</v>
      </c>
      <c r="B34" s="202" t="s">
        <v>127</v>
      </c>
    </row>
    <row r="35" ht="15.75" customHeight="1">
      <c r="A35" s="202" t="s">
        <v>8071</v>
      </c>
      <c r="B35" s="202" t="s">
        <v>18269</v>
      </c>
    </row>
    <row r="36" ht="15.75" customHeight="1">
      <c r="A36" s="202" t="s">
        <v>8001</v>
      </c>
      <c r="B36" s="202" t="s">
        <v>18360</v>
      </c>
    </row>
    <row r="37" ht="15.75" customHeight="1">
      <c r="A37" s="202" t="s">
        <v>18361</v>
      </c>
      <c r="B37" s="202" t="s">
        <v>18362</v>
      </c>
    </row>
    <row r="38" ht="15.75" customHeight="1">
      <c r="A38" s="202" t="s">
        <v>18363</v>
      </c>
      <c r="B38" s="202" t="s">
        <v>18364</v>
      </c>
    </row>
    <row r="39" ht="15.75" customHeight="1">
      <c r="A39" s="202" t="s">
        <v>8980</v>
      </c>
      <c r="B39" s="202" t="s">
        <v>18365</v>
      </c>
    </row>
    <row r="40" ht="15.75" customHeight="1">
      <c r="A40" s="202" t="s">
        <v>18366</v>
      </c>
      <c r="B40" s="202" t="s">
        <v>18367</v>
      </c>
    </row>
    <row r="41" ht="15.75" customHeight="1">
      <c r="A41" s="202" t="s">
        <v>8276</v>
      </c>
      <c r="B41" s="202" t="s">
        <v>18368</v>
      </c>
    </row>
    <row r="42" ht="15.75" customHeight="1">
      <c r="A42" s="202" t="s">
        <v>8737</v>
      </c>
      <c r="B42" s="202" t="s">
        <v>18275</v>
      </c>
    </row>
    <row r="43" ht="15.75" customHeight="1">
      <c r="A43" s="202" t="s">
        <v>18369</v>
      </c>
      <c r="B43" s="202" t="s">
        <v>18370</v>
      </c>
    </row>
    <row r="44" ht="15.75" customHeight="1">
      <c r="A44" s="202" t="s">
        <v>18371</v>
      </c>
      <c r="B44" s="202" t="s">
        <v>18372</v>
      </c>
    </row>
    <row r="45" ht="15.75" customHeight="1">
      <c r="A45" s="202" t="s">
        <v>8069</v>
      </c>
      <c r="B45" s="202" t="s">
        <v>18373</v>
      </c>
    </row>
    <row r="46" ht="15.75" customHeight="1">
      <c r="A46" s="202" t="s">
        <v>18374</v>
      </c>
      <c r="B46" s="202" t="s">
        <v>18375</v>
      </c>
    </row>
    <row r="47" ht="15.75" customHeight="1">
      <c r="A47" s="202" t="s">
        <v>18376</v>
      </c>
      <c r="B47" s="202" t="s">
        <v>18377</v>
      </c>
    </row>
    <row r="48" ht="15.75" customHeight="1">
      <c r="A48" s="202" t="s">
        <v>18378</v>
      </c>
      <c r="B48" s="202" t="s">
        <v>18379</v>
      </c>
    </row>
    <row r="49" ht="15.75" customHeight="1">
      <c r="A49" s="202" t="s">
        <v>10056</v>
      </c>
      <c r="B49" s="202" t="s">
        <v>18380</v>
      </c>
    </row>
    <row r="50" ht="15.75" customHeight="1">
      <c r="A50" s="202" t="s">
        <v>8620</v>
      </c>
      <c r="B50" s="202" t="s">
        <v>435</v>
      </c>
    </row>
    <row r="51" ht="15.75" customHeight="1">
      <c r="A51" s="202" t="s">
        <v>7987</v>
      </c>
      <c r="B51" s="202" t="s">
        <v>57</v>
      </c>
    </row>
    <row r="52" ht="15.75" customHeight="1">
      <c r="A52" s="202" t="s">
        <v>9296</v>
      </c>
      <c r="B52" s="202" t="s">
        <v>18381</v>
      </c>
    </row>
    <row r="53" ht="15.75" customHeight="1">
      <c r="A53" s="202" t="s">
        <v>9601</v>
      </c>
      <c r="B53" s="202" t="s">
        <v>18382</v>
      </c>
    </row>
    <row r="54" ht="15.75" customHeight="1">
      <c r="A54" s="202" t="s">
        <v>7994</v>
      </c>
      <c r="B54" s="202" t="s">
        <v>86</v>
      </c>
    </row>
    <row r="55" ht="15.75" customHeight="1">
      <c r="A55" s="202" t="s">
        <v>9949</v>
      </c>
      <c r="B55" s="202" t="s">
        <v>18383</v>
      </c>
    </row>
    <row r="56" ht="15.75" customHeight="1">
      <c r="A56" s="202" t="s">
        <v>10152</v>
      </c>
      <c r="B56" s="202" t="s">
        <v>18384</v>
      </c>
    </row>
    <row r="57" ht="15.75" customHeight="1">
      <c r="A57" s="202" t="s">
        <v>18385</v>
      </c>
      <c r="B57" s="202" t="s">
        <v>18386</v>
      </c>
    </row>
    <row r="58" ht="15.75" customHeight="1">
      <c r="A58" s="202" t="s">
        <v>8785</v>
      </c>
      <c r="B58" s="202" t="s">
        <v>18387</v>
      </c>
    </row>
    <row r="59" ht="15.75" customHeight="1">
      <c r="A59" s="202" t="s">
        <v>18388</v>
      </c>
      <c r="B59" s="202" t="s">
        <v>18389</v>
      </c>
    </row>
    <row r="60" ht="15.75" customHeight="1">
      <c r="A60" s="202" t="s">
        <v>7977</v>
      </c>
      <c r="B60" s="202" t="s">
        <v>173</v>
      </c>
    </row>
    <row r="61" ht="15.75" customHeight="1">
      <c r="A61" s="202" t="s">
        <v>8008</v>
      </c>
      <c r="B61" s="202" t="s">
        <v>356</v>
      </c>
    </row>
    <row r="62" ht="15.75" customHeight="1">
      <c r="A62" s="202" t="s">
        <v>18390</v>
      </c>
      <c r="B62" s="202" t="s">
        <v>18391</v>
      </c>
    </row>
    <row r="63" ht="15.75" customHeight="1">
      <c r="A63" s="202" t="s">
        <v>8026</v>
      </c>
      <c r="B63" s="202" t="s">
        <v>75</v>
      </c>
    </row>
    <row r="64" ht="15.75" customHeight="1">
      <c r="A64" s="202" t="s">
        <v>10025</v>
      </c>
      <c r="B64" s="202" t="s">
        <v>18392</v>
      </c>
    </row>
    <row r="65" ht="15.75" customHeight="1">
      <c r="A65" s="202" t="s">
        <v>18393</v>
      </c>
      <c r="B65" s="202" t="s">
        <v>18394</v>
      </c>
    </row>
    <row r="66" ht="15.75" customHeight="1">
      <c r="A66" s="202" t="s">
        <v>8011</v>
      </c>
      <c r="B66" s="202" t="s">
        <v>120</v>
      </c>
    </row>
    <row r="67" ht="15.75" customHeight="1">
      <c r="A67" s="202" t="s">
        <v>18395</v>
      </c>
      <c r="B67" s="202" t="s">
        <v>18396</v>
      </c>
    </row>
    <row r="68" ht="15.75" customHeight="1">
      <c r="A68" s="202" t="s">
        <v>7991</v>
      </c>
      <c r="B68" s="202" t="s">
        <v>83</v>
      </c>
    </row>
    <row r="69" ht="15.75" customHeight="1">
      <c r="A69" s="202" t="s">
        <v>18397</v>
      </c>
      <c r="B69" s="202" t="s">
        <v>18398</v>
      </c>
    </row>
    <row r="70" ht="15.75" customHeight="1">
      <c r="A70" s="202" t="s">
        <v>18399</v>
      </c>
      <c r="B70" s="202" t="s">
        <v>18400</v>
      </c>
    </row>
    <row r="71" ht="15.75" customHeight="1">
      <c r="A71" s="202" t="s">
        <v>18401</v>
      </c>
      <c r="B71" s="202" t="s">
        <v>18402</v>
      </c>
    </row>
    <row r="72" ht="15.75" customHeight="1">
      <c r="A72" s="202" t="s">
        <v>18403</v>
      </c>
      <c r="B72" s="202" t="s">
        <v>18404</v>
      </c>
    </row>
    <row r="73" ht="15.75" customHeight="1">
      <c r="A73" s="202" t="s">
        <v>18405</v>
      </c>
      <c r="B73" s="202" t="s">
        <v>18406</v>
      </c>
    </row>
    <row r="74" ht="15.75" customHeight="1">
      <c r="A74" s="202" t="s">
        <v>18407</v>
      </c>
      <c r="B74" s="202" t="s">
        <v>18408</v>
      </c>
    </row>
    <row r="75" ht="15.75" customHeight="1">
      <c r="A75" s="202" t="s">
        <v>18409</v>
      </c>
      <c r="B75" s="202" t="s">
        <v>18410</v>
      </c>
    </row>
    <row r="76" ht="15.75" customHeight="1">
      <c r="A76" s="202" t="s">
        <v>18411</v>
      </c>
      <c r="B76" s="202" t="s">
        <v>18412</v>
      </c>
    </row>
    <row r="77" ht="15.75" customHeight="1">
      <c r="A77" s="202" t="s">
        <v>8117</v>
      </c>
      <c r="B77" s="202" t="s">
        <v>197</v>
      </c>
    </row>
    <row r="78" ht="15.75" customHeight="1">
      <c r="A78" s="202" t="s">
        <v>18413</v>
      </c>
      <c r="B78" s="202" t="s">
        <v>18414</v>
      </c>
    </row>
    <row r="79" ht="15.75" customHeight="1">
      <c r="A79" s="202" t="s">
        <v>18415</v>
      </c>
      <c r="B79" s="202" t="s">
        <v>18416</v>
      </c>
    </row>
    <row r="80" ht="15.75" customHeight="1">
      <c r="A80" s="202" t="s">
        <v>18417</v>
      </c>
      <c r="B80" s="202" t="s">
        <v>455</v>
      </c>
    </row>
    <row r="81" ht="15.75" customHeight="1">
      <c r="A81" s="202" t="s">
        <v>18418</v>
      </c>
      <c r="B81" s="202" t="s">
        <v>18419</v>
      </c>
    </row>
    <row r="82" ht="15.75" customHeight="1">
      <c r="A82" s="202" t="s">
        <v>18420</v>
      </c>
      <c r="B82" s="202" t="s">
        <v>18421</v>
      </c>
    </row>
    <row r="83" ht="15.75" customHeight="1">
      <c r="A83" s="202" t="s">
        <v>18422</v>
      </c>
      <c r="B83" s="202" t="s">
        <v>18423</v>
      </c>
    </row>
    <row r="84" ht="15.75" customHeight="1">
      <c r="A84" s="202" t="s">
        <v>18424</v>
      </c>
      <c r="B84" s="202" t="s">
        <v>18425</v>
      </c>
    </row>
    <row r="85" ht="15.75" customHeight="1">
      <c r="A85" s="202" t="s">
        <v>10072</v>
      </c>
      <c r="B85" s="202" t="s">
        <v>18426</v>
      </c>
    </row>
    <row r="86" ht="15.75" customHeight="1">
      <c r="A86" s="202" t="s">
        <v>18427</v>
      </c>
      <c r="B86" s="202" t="s">
        <v>18428</v>
      </c>
    </row>
    <row r="87" ht="15.75" customHeight="1">
      <c r="A87" s="202" t="s">
        <v>8591</v>
      </c>
      <c r="B87" s="202" t="s">
        <v>234</v>
      </c>
    </row>
    <row r="88" ht="15.75" customHeight="1">
      <c r="A88" s="202" t="s">
        <v>8578</v>
      </c>
      <c r="B88" s="202" t="s">
        <v>18287</v>
      </c>
    </row>
    <row r="89" ht="15.75" customHeight="1">
      <c r="A89" s="202" t="s">
        <v>8108</v>
      </c>
      <c r="B89" s="202" t="s">
        <v>18285</v>
      </c>
    </row>
    <row r="90" ht="15.75" customHeight="1">
      <c r="A90" s="202" t="s">
        <v>8702</v>
      </c>
      <c r="B90" s="202" t="s">
        <v>18429</v>
      </c>
    </row>
    <row r="91" ht="15.75" customHeight="1">
      <c r="A91" s="202" t="s">
        <v>8140</v>
      </c>
      <c r="B91" s="202" t="s">
        <v>18430</v>
      </c>
    </row>
    <row r="92" ht="15.75" customHeight="1">
      <c r="A92" s="202" t="s">
        <v>18431</v>
      </c>
      <c r="B92" s="202" t="s">
        <v>18432</v>
      </c>
    </row>
    <row r="93" ht="15.75" customHeight="1">
      <c r="A93" s="202" t="s">
        <v>8122</v>
      </c>
      <c r="B93" s="202" t="s">
        <v>63</v>
      </c>
    </row>
    <row r="94" ht="15.75" customHeight="1">
      <c r="A94" s="202" t="s">
        <v>10311</v>
      </c>
      <c r="B94" s="202" t="s">
        <v>18289</v>
      </c>
    </row>
    <row r="95" ht="15.75" customHeight="1">
      <c r="A95" s="202" t="s">
        <v>8047</v>
      </c>
      <c r="B95" s="202" t="s">
        <v>78</v>
      </c>
    </row>
    <row r="96" ht="15.75" customHeight="1">
      <c r="A96" s="202" t="s">
        <v>18433</v>
      </c>
      <c r="B96" s="202" t="s">
        <v>18434</v>
      </c>
    </row>
    <row r="97" ht="15.75" customHeight="1">
      <c r="A97" s="202" t="s">
        <v>9649</v>
      </c>
      <c r="B97" s="202" t="s">
        <v>18435</v>
      </c>
    </row>
    <row r="98" ht="15.75" customHeight="1">
      <c r="A98" s="202" t="s">
        <v>7983</v>
      </c>
      <c r="B98" s="202" t="s">
        <v>18290</v>
      </c>
    </row>
    <row r="99" ht="15.75" customHeight="1">
      <c r="A99" s="202" t="s">
        <v>8753</v>
      </c>
      <c r="B99" s="202" t="s">
        <v>18436</v>
      </c>
    </row>
    <row r="100" ht="15.75" customHeight="1">
      <c r="A100" s="202" t="s">
        <v>8891</v>
      </c>
      <c r="B100" s="202" t="s">
        <v>18437</v>
      </c>
    </row>
    <row r="101" ht="15.75" customHeight="1">
      <c r="A101" s="202" t="s">
        <v>18438</v>
      </c>
      <c r="B101" s="202" t="s">
        <v>18439</v>
      </c>
    </row>
    <row r="102" ht="15.75" customHeight="1">
      <c r="A102" s="202" t="s">
        <v>18440</v>
      </c>
      <c r="B102" s="202" t="s">
        <v>18441</v>
      </c>
    </row>
    <row r="103" ht="15.75" customHeight="1">
      <c r="A103" s="202" t="s">
        <v>18442</v>
      </c>
      <c r="B103" s="202" t="s">
        <v>18443</v>
      </c>
    </row>
    <row r="104" ht="15.75" customHeight="1">
      <c r="A104" s="202" t="s">
        <v>18444</v>
      </c>
      <c r="B104" s="202" t="s">
        <v>18445</v>
      </c>
    </row>
    <row r="105" ht="15.75" customHeight="1">
      <c r="A105" s="202" t="s">
        <v>8539</v>
      </c>
      <c r="B105" s="202" t="s">
        <v>18291</v>
      </c>
    </row>
    <row r="106" ht="15.75" customHeight="1">
      <c r="A106" s="202" t="s">
        <v>18446</v>
      </c>
      <c r="B106" s="202" t="s">
        <v>18447</v>
      </c>
    </row>
    <row r="107" ht="15.75" customHeight="1">
      <c r="A107" s="202" t="s">
        <v>18448</v>
      </c>
      <c r="B107" s="202" t="s">
        <v>18449</v>
      </c>
    </row>
    <row r="108" ht="15.75" customHeight="1">
      <c r="A108" s="202" t="s">
        <v>8169</v>
      </c>
      <c r="B108" s="202" t="s">
        <v>18450</v>
      </c>
    </row>
    <row r="109" ht="15.75" customHeight="1">
      <c r="A109" s="202" t="s">
        <v>18451</v>
      </c>
      <c r="B109" s="202" t="s">
        <v>18452</v>
      </c>
    </row>
    <row r="110" ht="15.75" customHeight="1">
      <c r="A110" s="202" t="s">
        <v>18453</v>
      </c>
      <c r="B110" s="202" t="s">
        <v>18454</v>
      </c>
    </row>
    <row r="111" ht="15.75" customHeight="1">
      <c r="A111" s="202" t="s">
        <v>18455</v>
      </c>
      <c r="B111" s="202" t="s">
        <v>18456</v>
      </c>
    </row>
    <row r="112" ht="15.75" customHeight="1">
      <c r="A112" s="202" t="s">
        <v>9243</v>
      </c>
      <c r="B112" s="202" t="s">
        <v>18457</v>
      </c>
    </row>
    <row r="113" ht="15.75" customHeight="1">
      <c r="A113" s="202" t="s">
        <v>18458</v>
      </c>
      <c r="B113" s="202" t="s">
        <v>18459</v>
      </c>
    </row>
    <row r="114" ht="15.75" customHeight="1">
      <c r="A114" s="202" t="s">
        <v>8647</v>
      </c>
      <c r="B114" s="202" t="s">
        <v>461</v>
      </c>
    </row>
    <row r="115" ht="15.75" customHeight="1">
      <c r="A115" s="202" t="s">
        <v>9150</v>
      </c>
      <c r="B115" s="202" t="s">
        <v>18460</v>
      </c>
    </row>
    <row r="116" ht="15.75" customHeight="1">
      <c r="A116" s="202" t="s">
        <v>8649</v>
      </c>
      <c r="B116" s="202" t="s">
        <v>18461</v>
      </c>
    </row>
    <row r="117" ht="15.75" customHeight="1">
      <c r="A117" s="202" t="s">
        <v>18462</v>
      </c>
      <c r="B117" s="202" t="s">
        <v>18463</v>
      </c>
    </row>
    <row r="118" ht="15.75" customHeight="1">
      <c r="A118" s="202" t="s">
        <v>8562</v>
      </c>
      <c r="B118" s="202" t="s">
        <v>18464</v>
      </c>
    </row>
    <row r="119" ht="15.75" customHeight="1">
      <c r="A119" s="202" t="s">
        <v>18465</v>
      </c>
      <c r="B119" s="202" t="s">
        <v>18466</v>
      </c>
    </row>
    <row r="120" ht="15.75" customHeight="1">
      <c r="A120" s="202" t="s">
        <v>18467</v>
      </c>
      <c r="B120" s="202" t="s">
        <v>18468</v>
      </c>
    </row>
    <row r="121" ht="15.75" customHeight="1">
      <c r="A121" s="202" t="s">
        <v>18469</v>
      </c>
      <c r="B121" s="202" t="s">
        <v>18470</v>
      </c>
    </row>
    <row r="122" ht="15.75" customHeight="1">
      <c r="A122" s="202" t="s">
        <v>18471</v>
      </c>
      <c r="B122" s="202" t="s">
        <v>18472</v>
      </c>
    </row>
    <row r="123" ht="15.75" customHeight="1">
      <c r="A123" s="202" t="s">
        <v>8600</v>
      </c>
      <c r="B123" s="202" t="s">
        <v>18292</v>
      </c>
    </row>
    <row r="124" ht="15.75" customHeight="1">
      <c r="A124" s="202" t="s">
        <v>18473</v>
      </c>
      <c r="B124" s="202" t="s">
        <v>18474</v>
      </c>
    </row>
    <row r="125" ht="15.75" customHeight="1">
      <c r="A125" s="202" t="s">
        <v>18475</v>
      </c>
      <c r="B125" s="202" t="s">
        <v>18476</v>
      </c>
    </row>
    <row r="126" ht="15.75" customHeight="1">
      <c r="A126" s="202" t="s">
        <v>18477</v>
      </c>
      <c r="B126" s="202" t="s">
        <v>18478</v>
      </c>
    </row>
    <row r="127" ht="15.75" customHeight="1">
      <c r="A127" s="202" t="s">
        <v>18479</v>
      </c>
      <c r="B127" s="202" t="s">
        <v>18480</v>
      </c>
    </row>
    <row r="128" ht="15.75" customHeight="1">
      <c r="A128" s="202" t="s">
        <v>18481</v>
      </c>
      <c r="B128" s="202" t="s">
        <v>18482</v>
      </c>
    </row>
    <row r="129" ht="15.75" customHeight="1">
      <c r="A129" s="202" t="s">
        <v>9570</v>
      </c>
      <c r="B129" s="202" t="s">
        <v>18483</v>
      </c>
    </row>
    <row r="130" ht="15.75" customHeight="1">
      <c r="A130" s="202" t="s">
        <v>18484</v>
      </c>
      <c r="B130" s="202" t="s">
        <v>18485</v>
      </c>
    </row>
    <row r="131" ht="15.75" customHeight="1">
      <c r="A131" s="202" t="s">
        <v>9863</v>
      </c>
      <c r="B131" s="202" t="s">
        <v>18486</v>
      </c>
    </row>
    <row r="132" ht="15.75" customHeight="1">
      <c r="A132" s="202" t="s">
        <v>8177</v>
      </c>
      <c r="B132" s="202" t="s">
        <v>18487</v>
      </c>
    </row>
    <row r="133" ht="15.75" customHeight="1">
      <c r="A133" s="202" t="s">
        <v>18488</v>
      </c>
      <c r="B133" s="202" t="s">
        <v>18489</v>
      </c>
    </row>
    <row r="134" ht="15.75" customHeight="1">
      <c r="A134" s="202" t="s">
        <v>18490</v>
      </c>
      <c r="B134" s="202" t="s">
        <v>18491</v>
      </c>
    </row>
    <row r="135" ht="15.75" customHeight="1">
      <c r="A135" s="202" t="s">
        <v>18492</v>
      </c>
      <c r="B135" s="202" t="s">
        <v>18493</v>
      </c>
    </row>
    <row r="136" ht="15.75" customHeight="1">
      <c r="A136" s="202" t="s">
        <v>18494</v>
      </c>
      <c r="B136" s="202" t="s">
        <v>18495</v>
      </c>
    </row>
    <row r="137" ht="15.75" customHeight="1">
      <c r="A137" s="202" t="s">
        <v>8016</v>
      </c>
      <c r="B137" s="202" t="s">
        <v>18496</v>
      </c>
    </row>
    <row r="138" ht="15.75" customHeight="1">
      <c r="A138" s="202" t="s">
        <v>8873</v>
      </c>
      <c r="B138" s="202" t="s">
        <v>18497</v>
      </c>
    </row>
    <row r="139" ht="15.75" customHeight="1">
      <c r="A139" s="202" t="s">
        <v>18498</v>
      </c>
      <c r="B139" s="202" t="s">
        <v>18499</v>
      </c>
    </row>
    <row r="140" ht="15.75" customHeight="1">
      <c r="A140" s="202" t="s">
        <v>9252</v>
      </c>
      <c r="B140" s="202" t="s">
        <v>18500</v>
      </c>
    </row>
    <row r="141" ht="15.75" customHeight="1">
      <c r="A141" s="202" t="s">
        <v>18501</v>
      </c>
      <c r="B141" s="202" t="s">
        <v>18502</v>
      </c>
    </row>
    <row r="142" ht="15.75" customHeight="1">
      <c r="A142" s="202" t="s">
        <v>18503</v>
      </c>
      <c r="B142" s="202" t="s">
        <v>18504</v>
      </c>
    </row>
    <row r="143" ht="15.75" customHeight="1">
      <c r="A143" s="202" t="s">
        <v>7967</v>
      </c>
      <c r="B143" s="202" t="s">
        <v>164</v>
      </c>
    </row>
    <row r="144" ht="15.75" customHeight="1">
      <c r="A144" s="202" t="s">
        <v>7971</v>
      </c>
      <c r="B144" s="202" t="s">
        <v>98</v>
      </c>
    </row>
    <row r="145" ht="15.75" customHeight="1">
      <c r="A145" s="202" t="s">
        <v>18505</v>
      </c>
      <c r="B145" s="202" t="s">
        <v>18506</v>
      </c>
    </row>
    <row r="146" ht="15.75" customHeight="1">
      <c r="A146" s="202" t="s">
        <v>8147</v>
      </c>
      <c r="B146" s="202" t="s">
        <v>18507</v>
      </c>
    </row>
    <row r="147" ht="15.75" customHeight="1">
      <c r="A147" s="202" t="s">
        <v>8388</v>
      </c>
      <c r="B147" s="202" t="s">
        <v>18508</v>
      </c>
    </row>
    <row r="148" ht="15.75" customHeight="1">
      <c r="A148" s="202" t="s">
        <v>8914</v>
      </c>
      <c r="B148" s="202" t="s">
        <v>18509</v>
      </c>
    </row>
    <row r="149" ht="15.75" customHeight="1">
      <c r="A149" s="202" t="s">
        <v>9492</v>
      </c>
      <c r="B149" s="202" t="s">
        <v>18510</v>
      </c>
    </row>
    <row r="150" ht="15.75" customHeight="1">
      <c r="A150" s="202" t="s">
        <v>8713</v>
      </c>
      <c r="B150" s="202" t="s">
        <v>18511</v>
      </c>
    </row>
    <row r="151" ht="15.75" customHeight="1">
      <c r="A151" s="202" t="s">
        <v>10023</v>
      </c>
      <c r="B151" s="202" t="s">
        <v>18512</v>
      </c>
    </row>
    <row r="152" ht="15.75" customHeight="1">
      <c r="A152" s="202" t="s">
        <v>18513</v>
      </c>
      <c r="B152" s="202" t="s">
        <v>18514</v>
      </c>
    </row>
    <row r="153" ht="15.75" customHeight="1">
      <c r="A153" s="202" t="s">
        <v>18515</v>
      </c>
      <c r="B153" s="202" t="s">
        <v>18516</v>
      </c>
    </row>
    <row r="154" ht="15.75" customHeight="1">
      <c r="A154" s="202" t="s">
        <v>8023</v>
      </c>
      <c r="B154" s="202" t="s">
        <v>292</v>
      </c>
    </row>
    <row r="155" ht="15.75" customHeight="1">
      <c r="A155" s="202" t="s">
        <v>18517</v>
      </c>
      <c r="B155" s="202" t="s">
        <v>18518</v>
      </c>
    </row>
    <row r="156" ht="15.75" customHeight="1">
      <c r="A156" s="202" t="s">
        <v>18519</v>
      </c>
      <c r="B156" s="202" t="s">
        <v>18520</v>
      </c>
    </row>
    <row r="157" ht="15.75" customHeight="1">
      <c r="A157" s="202" t="s">
        <v>8161</v>
      </c>
      <c r="B157" s="202" t="s">
        <v>339</v>
      </c>
    </row>
    <row r="158" ht="15.75" customHeight="1">
      <c r="A158" s="202" t="s">
        <v>8437</v>
      </c>
      <c r="B158" s="202" t="s">
        <v>18521</v>
      </c>
    </row>
    <row r="159" ht="15.75" customHeight="1">
      <c r="A159" s="202" t="s">
        <v>18522</v>
      </c>
      <c r="B159" s="202" t="s">
        <v>18523</v>
      </c>
    </row>
    <row r="160" ht="15.75" customHeight="1">
      <c r="A160" s="202" t="s">
        <v>9951</v>
      </c>
      <c r="B160" s="202" t="s">
        <v>18524</v>
      </c>
    </row>
    <row r="161" ht="15.75" customHeight="1">
      <c r="A161" s="202" t="s">
        <v>18525</v>
      </c>
      <c r="B161" s="202" t="s">
        <v>18526</v>
      </c>
    </row>
    <row r="162" ht="15.75" customHeight="1">
      <c r="A162" s="202" t="s">
        <v>9176</v>
      </c>
      <c r="B162" s="202" t="s">
        <v>409</v>
      </c>
    </row>
    <row r="163" ht="15.75" customHeight="1">
      <c r="A163" s="202" t="s">
        <v>8723</v>
      </c>
      <c r="B163" s="202" t="s">
        <v>18527</v>
      </c>
    </row>
    <row r="164" ht="15.75" customHeight="1">
      <c r="A164" s="202" t="s">
        <v>18528</v>
      </c>
      <c r="B164" s="202" t="s">
        <v>18529</v>
      </c>
    </row>
    <row r="165" ht="15.75" customHeight="1">
      <c r="A165" s="202" t="s">
        <v>8240</v>
      </c>
      <c r="B165" s="202" t="s">
        <v>18530</v>
      </c>
    </row>
    <row r="166" ht="15.75" customHeight="1">
      <c r="A166" s="202" t="s">
        <v>18531</v>
      </c>
      <c r="B166" s="202" t="s">
        <v>18532</v>
      </c>
    </row>
    <row r="167" ht="15.75" customHeight="1">
      <c r="A167" s="202" t="s">
        <v>18533</v>
      </c>
      <c r="B167" s="202" t="s">
        <v>18534</v>
      </c>
    </row>
    <row r="168" ht="15.75" customHeight="1">
      <c r="A168" s="202" t="s">
        <v>8031</v>
      </c>
      <c r="B168" s="202" t="s">
        <v>18535</v>
      </c>
    </row>
    <row r="169" ht="15.75" customHeight="1">
      <c r="A169" s="202" t="s">
        <v>18536</v>
      </c>
      <c r="B169" s="202" t="s">
        <v>18537</v>
      </c>
    </row>
    <row r="170" ht="15.75" customHeight="1">
      <c r="A170" s="202" t="s">
        <v>18538</v>
      </c>
      <c r="B170" s="202" t="s">
        <v>18539</v>
      </c>
    </row>
    <row r="171" ht="15.75" customHeight="1">
      <c r="A171" s="202" t="s">
        <v>18540</v>
      </c>
      <c r="B171" s="202" t="s">
        <v>18541</v>
      </c>
    </row>
    <row r="172" ht="15.75" customHeight="1">
      <c r="A172" s="202" t="s">
        <v>18542</v>
      </c>
      <c r="B172" s="202" t="s">
        <v>18543</v>
      </c>
    </row>
    <row r="173" ht="15.75" customHeight="1">
      <c r="A173" s="202" t="s">
        <v>18544</v>
      </c>
      <c r="B173" s="202" t="s">
        <v>18545</v>
      </c>
    </row>
    <row r="174" ht="15.75" customHeight="1">
      <c r="A174" s="202" t="s">
        <v>18546</v>
      </c>
      <c r="B174" s="202" t="s">
        <v>18547</v>
      </c>
    </row>
    <row r="175" ht="15.75" customHeight="1">
      <c r="A175" s="202" t="s">
        <v>9984</v>
      </c>
      <c r="B175" s="202" t="s">
        <v>18548</v>
      </c>
    </row>
    <row r="176" ht="15.75" customHeight="1">
      <c r="A176" s="202" t="s">
        <v>18549</v>
      </c>
      <c r="B176" s="202" t="s">
        <v>18550</v>
      </c>
    </row>
    <row r="177" ht="15.75" customHeight="1">
      <c r="A177" s="202" t="s">
        <v>18551</v>
      </c>
      <c r="B177" s="202" t="s">
        <v>18552</v>
      </c>
    </row>
    <row r="178" ht="15.75" customHeight="1">
      <c r="A178" s="202" t="s">
        <v>18553</v>
      </c>
      <c r="B178" s="202" t="s">
        <v>18554</v>
      </c>
    </row>
    <row r="179" ht="15.75" customHeight="1">
      <c r="A179" s="202" t="s">
        <v>8632</v>
      </c>
      <c r="B179" s="202" t="s">
        <v>18555</v>
      </c>
    </row>
    <row r="180" ht="15.75" customHeight="1">
      <c r="A180" s="202" t="s">
        <v>8618</v>
      </c>
      <c r="B180" s="202" t="s">
        <v>464</v>
      </c>
    </row>
    <row r="181" ht="15.75" customHeight="1">
      <c r="A181" s="202" t="s">
        <v>7974</v>
      </c>
      <c r="B181" s="202" t="s">
        <v>51</v>
      </c>
    </row>
    <row r="182" ht="15.75" customHeight="1">
      <c r="A182" s="202" t="s">
        <v>18556</v>
      </c>
      <c r="B182" s="202" t="s">
        <v>18557</v>
      </c>
    </row>
    <row r="183" ht="15.75" customHeight="1">
      <c r="A183" s="202" t="s">
        <v>18558</v>
      </c>
      <c r="B183" s="202" t="s">
        <v>18559</v>
      </c>
    </row>
    <row r="184" ht="15.75" customHeight="1">
      <c r="A184" s="202" t="s">
        <v>18560</v>
      </c>
      <c r="B184" s="202" t="s">
        <v>18561</v>
      </c>
    </row>
    <row r="185" ht="15.75" customHeight="1">
      <c r="A185" s="202" t="s">
        <v>18562</v>
      </c>
      <c r="B185" s="202" t="s">
        <v>18563</v>
      </c>
    </row>
    <row r="186" ht="15.75" customHeight="1">
      <c r="A186" s="202" t="s">
        <v>18564</v>
      </c>
      <c r="B186" s="202" t="s">
        <v>18565</v>
      </c>
    </row>
    <row r="187" ht="15.75" customHeight="1">
      <c r="A187" s="202" t="s">
        <v>18566</v>
      </c>
      <c r="B187" s="202" t="s">
        <v>18567</v>
      </c>
    </row>
    <row r="188" ht="15.75" customHeight="1">
      <c r="A188" s="202" t="s">
        <v>8041</v>
      </c>
      <c r="B188" s="202" t="s">
        <v>18568</v>
      </c>
    </row>
    <row r="189" ht="15.75" customHeight="1">
      <c r="A189" s="202" t="s">
        <v>18569</v>
      </c>
      <c r="B189" s="202" t="s">
        <v>18570</v>
      </c>
    </row>
    <row r="190" ht="15.75" customHeight="1">
      <c r="A190" s="202" t="s">
        <v>18571</v>
      </c>
      <c r="B190" s="202" t="s">
        <v>18572</v>
      </c>
    </row>
    <row r="191" ht="15.75" customHeight="1">
      <c r="A191" s="202" t="s">
        <v>18573</v>
      </c>
      <c r="B191" s="202" t="s">
        <v>18574</v>
      </c>
    </row>
    <row r="192" ht="15.75" customHeight="1">
      <c r="A192" s="202" t="s">
        <v>18575</v>
      </c>
      <c r="B192" s="202" t="s">
        <v>18576</v>
      </c>
    </row>
    <row r="193" ht="15.75" customHeight="1">
      <c r="A193" s="202" t="s">
        <v>8585</v>
      </c>
      <c r="B193" s="202" t="s">
        <v>18577</v>
      </c>
    </row>
    <row r="194" ht="15.75" customHeight="1">
      <c r="A194" s="202" t="s">
        <v>10100</v>
      </c>
      <c r="B194" s="202" t="s">
        <v>18578</v>
      </c>
    </row>
    <row r="195" ht="15.75" customHeight="1">
      <c r="A195" s="202" t="s">
        <v>8128</v>
      </c>
      <c r="B195" s="202" t="s">
        <v>18579</v>
      </c>
    </row>
    <row r="196" ht="15.75" customHeight="1">
      <c r="A196" s="202" t="s">
        <v>8594</v>
      </c>
      <c r="B196" s="202" t="s">
        <v>18580</v>
      </c>
    </row>
    <row r="197" ht="15.75" customHeight="1">
      <c r="A197" s="202" t="s">
        <v>18581</v>
      </c>
      <c r="B197" s="202" t="s">
        <v>18582</v>
      </c>
    </row>
    <row r="198" ht="15.75" customHeight="1">
      <c r="A198" s="202" t="s">
        <v>10028</v>
      </c>
      <c r="B198" s="202" t="s">
        <v>18583</v>
      </c>
    </row>
    <row r="199" ht="15.75" customHeight="1">
      <c r="A199" s="202" t="s">
        <v>9084</v>
      </c>
      <c r="B199" s="202" t="s">
        <v>18584</v>
      </c>
    </row>
    <row r="200" ht="15.75" customHeight="1">
      <c r="A200" s="202" t="s">
        <v>8413</v>
      </c>
      <c r="B200" s="202" t="s">
        <v>18585</v>
      </c>
    </row>
    <row r="201" ht="15.75" customHeight="1">
      <c r="A201" s="202" t="s">
        <v>7981</v>
      </c>
      <c r="B201" s="202" t="s">
        <v>18586</v>
      </c>
    </row>
    <row r="202" ht="15.75" customHeight="1">
      <c r="A202" s="202" t="s">
        <v>9386</v>
      </c>
      <c r="B202" s="202" t="s">
        <v>18587</v>
      </c>
    </row>
    <row r="203" ht="15.75" customHeight="1">
      <c r="A203" s="202" t="s">
        <v>18588</v>
      </c>
      <c r="B203" s="202" t="s">
        <v>18589</v>
      </c>
    </row>
    <row r="204" ht="15.75" customHeight="1">
      <c r="A204" s="202" t="s">
        <v>18590</v>
      </c>
      <c r="B204" s="202" t="s">
        <v>18591</v>
      </c>
    </row>
    <row r="205" ht="15.75" customHeight="1">
      <c r="A205" s="202" t="s">
        <v>18592</v>
      </c>
      <c r="B205" s="202" t="s">
        <v>18593</v>
      </c>
    </row>
    <row r="206" ht="15.75" customHeight="1">
      <c r="A206" s="202" t="s">
        <v>18594</v>
      </c>
      <c r="B206" s="202" t="s">
        <v>18595</v>
      </c>
    </row>
    <row r="207" ht="15.75" customHeight="1">
      <c r="A207" s="202" t="s">
        <v>18596</v>
      </c>
      <c r="B207" s="202" t="s">
        <v>18597</v>
      </c>
    </row>
    <row r="208" ht="15.75" customHeight="1">
      <c r="A208" s="202" t="s">
        <v>8602</v>
      </c>
      <c r="B208" s="202" t="s">
        <v>18598</v>
      </c>
    </row>
    <row r="209" ht="15.75" customHeight="1">
      <c r="A209" s="202" t="s">
        <v>18599</v>
      </c>
      <c r="B209" s="202" t="s">
        <v>18600</v>
      </c>
    </row>
    <row r="210" ht="15.75" customHeight="1">
      <c r="A210" s="202" t="s">
        <v>18601</v>
      </c>
      <c r="B210" s="202" t="s">
        <v>18602</v>
      </c>
    </row>
    <row r="211" ht="15.75" customHeight="1">
      <c r="A211" s="202" t="s">
        <v>18603</v>
      </c>
      <c r="B211" s="202" t="s">
        <v>18604</v>
      </c>
    </row>
    <row r="212" ht="15.75" customHeight="1">
      <c r="A212" s="202" t="s">
        <v>18605</v>
      </c>
      <c r="B212" s="202" t="s">
        <v>18606</v>
      </c>
    </row>
    <row r="213" ht="15.75" customHeight="1">
      <c r="A213" s="202" t="s">
        <v>8365</v>
      </c>
      <c r="B213" s="202" t="s">
        <v>18310</v>
      </c>
    </row>
    <row r="214" ht="15.75" customHeight="1">
      <c r="A214" s="202" t="s">
        <v>18607</v>
      </c>
      <c r="B214" s="202" t="s">
        <v>18608</v>
      </c>
    </row>
    <row r="215" ht="15.75" customHeight="1">
      <c r="A215" s="202" t="s">
        <v>8787</v>
      </c>
      <c r="B215" s="202" t="s">
        <v>18609</v>
      </c>
    </row>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printOptions/>
  <pageMargins bottom="0.75" footer="0.0" header="0.0" left="0.7" right="0.7" top="0.75"/>
  <pageSetup paperSize="9" orientation="portrait"/>
  <drawing r:id="rId1"/>
  <tableParts count="1">
    <tablePart r:id="rId3"/>
  </tableParts>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C000"/>
    <pageSetUpPr/>
  </sheetPr>
  <sheetViews>
    <sheetView workbookViewId="0"/>
  </sheetViews>
  <sheetFormatPr customHeight="1" defaultColWidth="14.43" defaultRowHeight="15.75"/>
  <cols>
    <col customWidth="1" min="1" max="23" width="9.43"/>
  </cols>
  <sheetData>
    <row r="1" ht="12.75" customHeight="1">
      <c r="A1" s="35"/>
      <c r="B1" s="35"/>
      <c r="C1" s="35"/>
      <c r="D1" s="35"/>
      <c r="E1" s="35"/>
      <c r="F1" s="35"/>
      <c r="G1" s="35"/>
      <c r="H1" s="35"/>
      <c r="I1" s="35"/>
      <c r="J1" s="35"/>
      <c r="K1" s="35"/>
      <c r="L1" s="35"/>
      <c r="M1" s="35"/>
      <c r="N1" s="35"/>
      <c r="O1" s="35"/>
      <c r="P1" s="35"/>
      <c r="Q1" s="35"/>
      <c r="R1" s="35"/>
      <c r="S1" s="35"/>
      <c r="T1" s="35"/>
      <c r="U1" s="35"/>
      <c r="V1" s="35"/>
      <c r="W1" s="35"/>
      <c r="X1" s="35"/>
      <c r="Y1" s="35"/>
      <c r="Z1" s="35"/>
    </row>
    <row r="2" ht="12.75" customHeight="1">
      <c r="A2" s="35"/>
      <c r="B2" s="35"/>
      <c r="C2" s="35"/>
      <c r="D2" s="35"/>
      <c r="E2" s="35"/>
      <c r="F2" s="35"/>
      <c r="G2" s="35"/>
      <c r="H2" s="35"/>
      <c r="I2" s="35"/>
      <c r="J2" s="35"/>
      <c r="K2" s="35"/>
      <c r="L2" s="35"/>
      <c r="M2" s="35"/>
      <c r="N2" s="35"/>
      <c r="O2" s="35"/>
      <c r="P2" s="35"/>
      <c r="Q2" s="35"/>
      <c r="R2" s="35"/>
      <c r="S2" s="35"/>
      <c r="T2" s="35"/>
      <c r="U2" s="35"/>
      <c r="V2" s="35"/>
      <c r="W2" s="35"/>
      <c r="X2" s="35"/>
      <c r="Y2" s="35"/>
      <c r="Z2" s="35"/>
    </row>
    <row r="3" ht="12.75" customHeight="1">
      <c r="A3" s="35"/>
      <c r="B3" s="35"/>
      <c r="C3" s="35"/>
      <c r="D3" s="35"/>
      <c r="E3" s="35"/>
      <c r="F3" s="35"/>
      <c r="G3" s="35"/>
      <c r="H3" s="35"/>
      <c r="I3" s="35"/>
      <c r="J3" s="35"/>
      <c r="K3" s="35"/>
      <c r="L3" s="35"/>
      <c r="M3" s="35"/>
      <c r="N3" s="35"/>
      <c r="O3" s="35"/>
      <c r="P3" s="35"/>
      <c r="Q3" s="35"/>
      <c r="R3" s="35"/>
      <c r="S3" s="35"/>
      <c r="T3" s="35"/>
      <c r="U3" s="35"/>
      <c r="V3" s="35"/>
      <c r="W3" s="35"/>
      <c r="X3" s="35"/>
      <c r="Y3" s="35"/>
      <c r="Z3" s="35"/>
    </row>
    <row r="4" ht="12.75" customHeight="1">
      <c r="A4" s="36"/>
      <c r="B4" s="36"/>
      <c r="C4" s="36"/>
      <c r="D4" s="36"/>
      <c r="E4" s="36"/>
      <c r="F4" s="36"/>
      <c r="G4" s="36"/>
      <c r="H4" s="36"/>
      <c r="I4" s="36"/>
      <c r="J4" s="36"/>
      <c r="K4" s="36"/>
      <c r="L4" s="36"/>
      <c r="M4" s="36"/>
      <c r="N4" s="36"/>
      <c r="O4" s="36"/>
      <c r="P4" s="36"/>
      <c r="Q4" s="36"/>
      <c r="R4" s="36"/>
      <c r="S4" s="36"/>
      <c r="T4" s="36"/>
      <c r="U4" s="36"/>
      <c r="V4" s="36"/>
      <c r="W4" s="36"/>
      <c r="X4" s="36"/>
      <c r="Y4" s="36"/>
      <c r="Z4" s="36"/>
    </row>
    <row r="5" ht="12.75" customHeight="1">
      <c r="A5" s="36"/>
      <c r="B5" s="203"/>
      <c r="C5" s="204" t="s">
        <v>18610</v>
      </c>
      <c r="D5" s="60"/>
      <c r="E5" s="60"/>
      <c r="F5" s="60"/>
      <c r="G5" s="60"/>
      <c r="H5" s="60"/>
      <c r="I5" s="60"/>
      <c r="J5" s="60"/>
      <c r="K5" s="60"/>
      <c r="L5" s="60"/>
      <c r="M5" s="60"/>
      <c r="N5" s="60"/>
      <c r="O5" s="60"/>
      <c r="P5" s="60"/>
      <c r="Q5" s="60"/>
      <c r="R5" s="60"/>
      <c r="S5" s="60"/>
      <c r="T5" s="60"/>
      <c r="U5" s="60"/>
      <c r="V5" s="203"/>
      <c r="W5" s="203"/>
      <c r="X5" s="36"/>
      <c r="Y5" s="36"/>
      <c r="Z5" s="36"/>
    </row>
    <row r="6" ht="12.75" customHeight="1">
      <c r="A6" s="36"/>
      <c r="B6" s="203"/>
      <c r="C6" s="61"/>
      <c r="V6" s="203"/>
      <c r="W6" s="203"/>
      <c r="X6" s="36"/>
      <c r="Y6" s="36"/>
      <c r="Z6" s="36"/>
    </row>
    <row r="7" ht="12.75" customHeight="1">
      <c r="A7" s="36"/>
      <c r="B7" s="203"/>
      <c r="C7" s="61"/>
      <c r="V7" s="203"/>
      <c r="W7" s="203"/>
      <c r="X7" s="36"/>
      <c r="Y7" s="36"/>
      <c r="Z7" s="36"/>
    </row>
    <row r="8" ht="12.75" customHeight="1">
      <c r="A8" s="36"/>
      <c r="B8" s="203"/>
      <c r="C8" s="61"/>
      <c r="V8" s="203"/>
      <c r="W8" s="203"/>
      <c r="X8" s="36"/>
      <c r="Y8" s="36"/>
      <c r="Z8" s="36"/>
    </row>
    <row r="9" ht="12.75" customHeight="1">
      <c r="A9" s="36"/>
      <c r="B9" s="203"/>
      <c r="C9" s="61"/>
      <c r="V9" s="203"/>
      <c r="W9" s="203"/>
      <c r="X9" s="36"/>
      <c r="Y9" s="36"/>
      <c r="Z9" s="36"/>
    </row>
    <row r="10" ht="12.75" customHeight="1">
      <c r="A10" s="36"/>
      <c r="B10" s="203"/>
      <c r="C10" s="61"/>
      <c r="V10" s="203"/>
      <c r="W10" s="203"/>
      <c r="X10" s="36"/>
      <c r="Y10" s="36"/>
      <c r="Z10" s="36"/>
    </row>
    <row r="11" ht="12.75" customHeight="1">
      <c r="A11" s="36"/>
      <c r="B11" s="203"/>
      <c r="C11" s="61"/>
      <c r="V11" s="203"/>
      <c r="W11" s="203"/>
      <c r="X11" s="36"/>
      <c r="Y11" s="36"/>
      <c r="Z11" s="36"/>
    </row>
    <row r="12" ht="12.75" customHeight="1">
      <c r="A12" s="36"/>
      <c r="B12" s="203"/>
      <c r="C12" s="61"/>
      <c r="V12" s="203"/>
      <c r="W12" s="203"/>
      <c r="X12" s="36"/>
      <c r="Y12" s="36"/>
      <c r="Z12" s="36"/>
    </row>
    <row r="13" ht="12.75" customHeight="1">
      <c r="A13" s="36"/>
      <c r="B13" s="203"/>
      <c r="C13" s="61"/>
      <c r="V13" s="203"/>
      <c r="W13" s="203"/>
      <c r="X13" s="36"/>
      <c r="Y13" s="36"/>
      <c r="Z13" s="36"/>
    </row>
    <row r="14" ht="12.75" customHeight="1">
      <c r="A14" s="36"/>
      <c r="B14" s="203"/>
      <c r="C14" s="61"/>
      <c r="V14" s="203"/>
      <c r="W14" s="203"/>
      <c r="X14" s="36"/>
      <c r="Y14" s="36"/>
      <c r="Z14" s="36"/>
    </row>
    <row r="15" ht="12.75" customHeight="1">
      <c r="A15" s="36"/>
      <c r="B15" s="203"/>
      <c r="C15" s="61"/>
      <c r="V15" s="203"/>
      <c r="W15" s="203"/>
      <c r="X15" s="36"/>
      <c r="Y15" s="36"/>
      <c r="Z15" s="36"/>
    </row>
    <row r="16" ht="12.75" customHeight="1">
      <c r="A16" s="36"/>
      <c r="B16" s="203"/>
      <c r="C16" s="61"/>
      <c r="V16" s="203"/>
      <c r="W16" s="203"/>
      <c r="X16" s="36"/>
      <c r="Y16" s="36"/>
      <c r="Z16" s="36"/>
    </row>
    <row r="17" ht="12.75" customHeight="1">
      <c r="A17" s="36"/>
      <c r="B17" s="203"/>
      <c r="C17" s="61"/>
      <c r="V17" s="203"/>
      <c r="W17" s="203"/>
      <c r="X17" s="36"/>
      <c r="Y17" s="36"/>
      <c r="Z17" s="36"/>
    </row>
    <row r="18" ht="12.75" customHeight="1">
      <c r="A18" s="36"/>
      <c r="B18" s="203"/>
      <c r="C18" s="61"/>
      <c r="V18" s="203"/>
      <c r="W18" s="203"/>
      <c r="X18" s="36"/>
      <c r="Y18" s="36"/>
      <c r="Z18" s="36"/>
    </row>
    <row r="19" ht="12.75" customHeight="1">
      <c r="A19" s="36"/>
      <c r="B19" s="203"/>
      <c r="C19" s="61"/>
      <c r="V19" s="203"/>
      <c r="W19" s="203"/>
      <c r="X19" s="36"/>
      <c r="Y19" s="36"/>
      <c r="Z19" s="36"/>
    </row>
    <row r="20" ht="12.75" customHeight="1">
      <c r="A20" s="36"/>
      <c r="B20" s="203"/>
      <c r="C20" s="61"/>
      <c r="V20" s="203"/>
      <c r="W20" s="203"/>
      <c r="X20" s="36"/>
      <c r="Y20" s="36"/>
      <c r="Z20" s="36"/>
    </row>
    <row r="21" ht="12.75" customHeight="1">
      <c r="A21" s="36"/>
      <c r="B21" s="203"/>
      <c r="C21" s="61"/>
      <c r="V21" s="203"/>
      <c r="W21" s="203"/>
      <c r="X21" s="36"/>
      <c r="Y21" s="36"/>
      <c r="Z21" s="36"/>
    </row>
    <row r="22" ht="12.75" customHeight="1">
      <c r="A22" s="36"/>
      <c r="B22" s="203"/>
      <c r="C22" s="61"/>
      <c r="V22" s="203"/>
      <c r="W22" s="203"/>
      <c r="X22" s="36"/>
      <c r="Y22" s="36"/>
      <c r="Z22" s="36"/>
    </row>
    <row r="23" ht="12.75" customHeight="1">
      <c r="A23" s="35"/>
      <c r="B23" s="203"/>
      <c r="C23" s="61"/>
      <c r="V23" s="203"/>
      <c r="W23" s="203"/>
      <c r="X23" s="35"/>
      <c r="Y23" s="35"/>
      <c r="Z23" s="35"/>
    </row>
    <row r="24" ht="12.75" customHeight="1">
      <c r="A24" s="35"/>
      <c r="B24" s="203"/>
      <c r="C24" s="61"/>
      <c r="V24" s="203"/>
      <c r="W24" s="203"/>
      <c r="X24" s="35"/>
      <c r="Y24" s="35"/>
      <c r="Z24" s="35"/>
    </row>
    <row r="25" ht="12.75" customHeight="1">
      <c r="A25" s="35"/>
      <c r="B25" s="203"/>
      <c r="C25" s="61"/>
      <c r="V25" s="203"/>
      <c r="W25" s="203"/>
      <c r="X25" s="35"/>
      <c r="Y25" s="35"/>
      <c r="Z25" s="35"/>
    </row>
    <row r="26" ht="12.75" customHeight="1">
      <c r="A26" s="35"/>
      <c r="B26" s="203"/>
      <c r="C26" s="61"/>
      <c r="V26" s="203"/>
      <c r="W26" s="203"/>
      <c r="X26" s="35"/>
      <c r="Y26" s="35"/>
      <c r="Z26" s="35"/>
    </row>
    <row r="27" ht="12.75" customHeight="1">
      <c r="A27" s="35"/>
      <c r="B27" s="203"/>
      <c r="C27" s="61"/>
      <c r="V27" s="203"/>
      <c r="W27" s="203"/>
      <c r="X27" s="35"/>
      <c r="Y27" s="35"/>
      <c r="Z27" s="35"/>
    </row>
    <row r="28" ht="12.75" customHeight="1">
      <c r="A28" s="35"/>
      <c r="B28" s="203"/>
      <c r="C28" s="61"/>
      <c r="V28" s="203"/>
      <c r="W28" s="203"/>
      <c r="X28" s="35"/>
      <c r="Y28" s="35"/>
      <c r="Z28" s="35"/>
    </row>
    <row r="29" ht="12.75" customHeight="1">
      <c r="A29" s="35"/>
      <c r="B29" s="203"/>
      <c r="C29" s="61"/>
      <c r="V29" s="203"/>
      <c r="W29" s="203"/>
      <c r="X29" s="35"/>
      <c r="Y29" s="35"/>
      <c r="Z29" s="35"/>
    </row>
    <row r="30" ht="12.75" customHeight="1">
      <c r="A30" s="35"/>
      <c r="B30" s="203"/>
      <c r="C30" s="61"/>
      <c r="V30" s="203"/>
      <c r="W30" s="203"/>
      <c r="X30" s="35"/>
      <c r="Y30" s="35"/>
      <c r="Z30" s="35"/>
    </row>
    <row r="31" ht="12.75" customHeight="1">
      <c r="A31" s="35"/>
      <c r="B31" s="203"/>
      <c r="C31" s="61"/>
      <c r="V31" s="203"/>
      <c r="W31" s="203"/>
      <c r="X31" s="35"/>
      <c r="Y31" s="35"/>
      <c r="Z31" s="35"/>
    </row>
    <row r="32" ht="12.75" customHeight="1">
      <c r="A32" s="35"/>
      <c r="B32" s="203"/>
      <c r="C32" s="61"/>
      <c r="V32" s="203"/>
      <c r="W32" s="203"/>
      <c r="X32" s="35"/>
      <c r="Y32" s="35"/>
      <c r="Z32" s="35"/>
    </row>
    <row r="33" ht="12.75" customHeight="1">
      <c r="A33" s="35"/>
      <c r="B33" s="203"/>
      <c r="C33" s="61"/>
      <c r="V33" s="203"/>
      <c r="W33" s="203"/>
      <c r="X33" s="35"/>
      <c r="Y33" s="35"/>
      <c r="Z33" s="35"/>
    </row>
    <row r="34" ht="12.75" customHeight="1">
      <c r="A34" s="35"/>
      <c r="B34" s="203"/>
      <c r="C34" s="203"/>
      <c r="D34" s="203"/>
      <c r="E34" s="203"/>
      <c r="F34" s="203"/>
      <c r="G34" s="203"/>
      <c r="H34" s="203"/>
      <c r="I34" s="203"/>
      <c r="J34" s="203"/>
      <c r="K34" s="203"/>
      <c r="L34" s="203"/>
      <c r="M34" s="203"/>
      <c r="N34" s="203"/>
      <c r="O34" s="203"/>
      <c r="P34" s="203"/>
      <c r="Q34" s="203"/>
      <c r="R34" s="203"/>
      <c r="S34" s="203"/>
      <c r="T34" s="203"/>
      <c r="U34" s="203"/>
      <c r="V34" s="203"/>
      <c r="W34" s="203"/>
      <c r="X34" s="35"/>
      <c r="Y34" s="35"/>
      <c r="Z34" s="35"/>
    </row>
    <row r="35" ht="12.75" customHeight="1">
      <c r="A35" s="35"/>
      <c r="B35" s="203"/>
      <c r="C35" s="203"/>
      <c r="D35" s="203"/>
      <c r="E35" s="203"/>
      <c r="F35" s="203"/>
      <c r="G35" s="203"/>
      <c r="H35" s="203"/>
      <c r="I35" s="203"/>
      <c r="J35" s="203"/>
      <c r="K35" s="203"/>
      <c r="L35" s="203"/>
      <c r="M35" s="203"/>
      <c r="N35" s="203"/>
      <c r="O35" s="203"/>
      <c r="P35" s="203"/>
      <c r="Q35" s="203"/>
      <c r="R35" s="203"/>
      <c r="S35" s="203"/>
      <c r="T35" s="203"/>
      <c r="U35" s="203"/>
      <c r="V35" s="203"/>
      <c r="W35" s="203"/>
      <c r="X35" s="35"/>
      <c r="Y35" s="35"/>
      <c r="Z35" s="35"/>
    </row>
    <row r="36" ht="12.75" customHeight="1">
      <c r="A36" s="35"/>
      <c r="B36" s="203"/>
      <c r="C36" s="203"/>
      <c r="D36" s="203"/>
      <c r="E36" s="203"/>
      <c r="F36" s="203"/>
      <c r="G36" s="203"/>
      <c r="H36" s="203"/>
      <c r="I36" s="203"/>
      <c r="J36" s="203"/>
      <c r="K36" s="203"/>
      <c r="L36" s="203"/>
      <c r="M36" s="203"/>
      <c r="N36" s="203"/>
      <c r="O36" s="203"/>
      <c r="P36" s="203"/>
      <c r="Q36" s="203"/>
      <c r="R36" s="203"/>
      <c r="S36" s="203"/>
      <c r="T36" s="203"/>
      <c r="U36" s="203"/>
      <c r="V36" s="203"/>
      <c r="W36" s="203"/>
      <c r="X36" s="35"/>
      <c r="Y36" s="35"/>
      <c r="Z36" s="35"/>
    </row>
    <row r="37" ht="12.75" customHeight="1">
      <c r="A37" s="35"/>
      <c r="B37" s="203"/>
      <c r="C37" s="203"/>
      <c r="D37" s="203"/>
      <c r="E37" s="203"/>
      <c r="F37" s="203"/>
      <c r="G37" s="203"/>
      <c r="H37" s="203"/>
      <c r="I37" s="203"/>
      <c r="J37" s="203"/>
      <c r="K37" s="203"/>
      <c r="L37" s="203"/>
      <c r="M37" s="203"/>
      <c r="N37" s="203"/>
      <c r="O37" s="203"/>
      <c r="P37" s="203"/>
      <c r="Q37" s="203"/>
      <c r="R37" s="203"/>
      <c r="S37" s="203"/>
      <c r="T37" s="203"/>
      <c r="U37" s="203"/>
      <c r="V37" s="203"/>
      <c r="W37" s="203"/>
      <c r="X37" s="35"/>
      <c r="Y37" s="35"/>
      <c r="Z37" s="35"/>
    </row>
    <row r="38" ht="12.75" customHeight="1">
      <c r="A38" s="35"/>
      <c r="B38" s="203"/>
      <c r="C38" s="203"/>
      <c r="D38" s="203"/>
      <c r="E38" s="203"/>
      <c r="F38" s="203"/>
      <c r="G38" s="203"/>
      <c r="H38" s="203"/>
      <c r="I38" s="203"/>
      <c r="J38" s="203"/>
      <c r="K38" s="203"/>
      <c r="L38" s="203"/>
      <c r="M38" s="203"/>
      <c r="N38" s="203"/>
      <c r="O38" s="203"/>
      <c r="P38" s="203"/>
      <c r="Q38" s="203"/>
      <c r="R38" s="203"/>
      <c r="S38" s="203"/>
      <c r="T38" s="203"/>
      <c r="U38" s="203"/>
      <c r="V38" s="203"/>
      <c r="W38" s="203"/>
      <c r="X38" s="35"/>
      <c r="Y38" s="35"/>
      <c r="Z38" s="35"/>
    </row>
    <row r="39" ht="12.75" customHeight="1">
      <c r="A39" s="35"/>
      <c r="B39" s="203"/>
      <c r="C39" s="203"/>
      <c r="D39" s="203"/>
      <c r="E39" s="203"/>
      <c r="F39" s="203"/>
      <c r="G39" s="203"/>
      <c r="H39" s="203"/>
      <c r="I39" s="203"/>
      <c r="J39" s="203"/>
      <c r="K39" s="203"/>
      <c r="L39" s="203"/>
      <c r="M39" s="203"/>
      <c r="N39" s="203"/>
      <c r="O39" s="203"/>
      <c r="P39" s="203"/>
      <c r="Q39" s="203"/>
      <c r="R39" s="203"/>
      <c r="S39" s="203"/>
      <c r="T39" s="203"/>
      <c r="U39" s="203"/>
      <c r="V39" s="203"/>
      <c r="W39" s="203"/>
      <c r="X39" s="35"/>
      <c r="Y39" s="35"/>
      <c r="Z39" s="35"/>
    </row>
    <row r="40" ht="12.75" customHeight="1">
      <c r="A40" s="35"/>
      <c r="B40" s="203"/>
      <c r="C40" s="203"/>
      <c r="D40" s="203"/>
      <c r="E40" s="203"/>
      <c r="F40" s="203"/>
      <c r="G40" s="203"/>
      <c r="H40" s="203"/>
      <c r="I40" s="203"/>
      <c r="J40" s="203"/>
      <c r="K40" s="203"/>
      <c r="L40" s="203"/>
      <c r="M40" s="203"/>
      <c r="N40" s="203"/>
      <c r="O40" s="203"/>
      <c r="P40" s="203"/>
      <c r="Q40" s="203"/>
      <c r="R40" s="203"/>
      <c r="S40" s="203"/>
      <c r="T40" s="203"/>
      <c r="U40" s="203"/>
      <c r="V40" s="203"/>
      <c r="W40" s="203"/>
      <c r="X40" s="35"/>
      <c r="Y40" s="35"/>
      <c r="Z40" s="35"/>
    </row>
    <row r="41" ht="12.75" customHeight="1">
      <c r="A41" s="35"/>
      <c r="B41" s="203"/>
      <c r="C41" s="203"/>
      <c r="D41" s="203"/>
      <c r="E41" s="203"/>
      <c r="F41" s="203"/>
      <c r="G41" s="203"/>
      <c r="H41" s="203"/>
      <c r="I41" s="203"/>
      <c r="J41" s="203"/>
      <c r="K41" s="203"/>
      <c r="L41" s="203"/>
      <c r="M41" s="203"/>
      <c r="N41" s="203"/>
      <c r="O41" s="203"/>
      <c r="P41" s="203"/>
      <c r="Q41" s="203"/>
      <c r="R41" s="203"/>
      <c r="S41" s="203"/>
      <c r="T41" s="203"/>
      <c r="U41" s="203"/>
      <c r="V41" s="203"/>
      <c r="W41" s="203"/>
      <c r="X41" s="35"/>
      <c r="Y41" s="35"/>
      <c r="Z41" s="35"/>
    </row>
    <row r="42" ht="12.75" customHeight="1">
      <c r="A42" s="35"/>
      <c r="B42" s="203"/>
      <c r="C42" s="203"/>
      <c r="D42" s="203"/>
      <c r="E42" s="203"/>
      <c r="F42" s="203"/>
      <c r="G42" s="203"/>
      <c r="H42" s="203"/>
      <c r="I42" s="203"/>
      <c r="J42" s="203"/>
      <c r="K42" s="203"/>
      <c r="L42" s="203"/>
      <c r="M42" s="203"/>
      <c r="N42" s="203"/>
      <c r="O42" s="203"/>
      <c r="P42" s="203"/>
      <c r="Q42" s="203"/>
      <c r="R42" s="203"/>
      <c r="S42" s="203"/>
      <c r="T42" s="203"/>
      <c r="U42" s="203"/>
      <c r="V42" s="203"/>
      <c r="W42" s="203"/>
      <c r="X42" s="35"/>
      <c r="Y42" s="35"/>
      <c r="Z42" s="35"/>
    </row>
    <row r="43" ht="12.75" customHeight="1">
      <c r="A43" s="35"/>
      <c r="B43" s="203"/>
      <c r="C43" s="203"/>
      <c r="D43" s="203"/>
      <c r="E43" s="203"/>
      <c r="F43" s="203"/>
      <c r="G43" s="203"/>
      <c r="H43" s="203"/>
      <c r="I43" s="203"/>
      <c r="J43" s="203"/>
      <c r="K43" s="203"/>
      <c r="L43" s="203"/>
      <c r="M43" s="203"/>
      <c r="N43" s="203"/>
      <c r="O43" s="203"/>
      <c r="P43" s="203"/>
      <c r="Q43" s="203"/>
      <c r="R43" s="203"/>
      <c r="S43" s="203"/>
      <c r="T43" s="203"/>
      <c r="U43" s="203"/>
      <c r="V43" s="203"/>
      <c r="W43" s="203"/>
      <c r="X43" s="35"/>
      <c r="Y43" s="35"/>
      <c r="Z43" s="35"/>
    </row>
    <row r="44" ht="12.75" customHeight="1">
      <c r="A44" s="35"/>
      <c r="B44" s="203"/>
      <c r="C44" s="203"/>
      <c r="D44" s="203"/>
      <c r="E44" s="203"/>
      <c r="F44" s="203"/>
      <c r="G44" s="203"/>
      <c r="H44" s="203"/>
      <c r="I44" s="203"/>
      <c r="J44" s="203"/>
      <c r="K44" s="203"/>
      <c r="L44" s="203"/>
      <c r="M44" s="203"/>
      <c r="N44" s="203"/>
      <c r="O44" s="203"/>
      <c r="P44" s="203"/>
      <c r="Q44" s="203"/>
      <c r="R44" s="203"/>
      <c r="S44" s="203"/>
      <c r="T44" s="203"/>
      <c r="U44" s="203"/>
      <c r="V44" s="203"/>
      <c r="W44" s="203"/>
      <c r="X44" s="35"/>
      <c r="Y44" s="35"/>
      <c r="Z44" s="35"/>
    </row>
    <row r="45" ht="12.75" customHeight="1">
      <c r="A45" s="35"/>
      <c r="B45" s="203"/>
      <c r="C45" s="203"/>
      <c r="D45" s="203"/>
      <c r="E45" s="203"/>
      <c r="F45" s="203"/>
      <c r="G45" s="203"/>
      <c r="H45" s="203"/>
      <c r="I45" s="203"/>
      <c r="J45" s="203"/>
      <c r="K45" s="203"/>
      <c r="L45" s="203"/>
      <c r="M45" s="203"/>
      <c r="N45" s="203"/>
      <c r="O45" s="203"/>
      <c r="P45" s="203"/>
      <c r="Q45" s="203"/>
      <c r="R45" s="203"/>
      <c r="S45" s="203"/>
      <c r="T45" s="203"/>
      <c r="U45" s="203"/>
      <c r="V45" s="203"/>
      <c r="W45" s="203"/>
      <c r="X45" s="35"/>
      <c r="Y45" s="35"/>
      <c r="Z45" s="35"/>
    </row>
    <row r="46" ht="12.75" customHeight="1">
      <c r="A46" s="35"/>
      <c r="B46" s="203"/>
      <c r="C46" s="203"/>
      <c r="D46" s="203"/>
      <c r="E46" s="203"/>
      <c r="F46" s="203"/>
      <c r="G46" s="203"/>
      <c r="H46" s="203"/>
      <c r="I46" s="203"/>
      <c r="J46" s="203"/>
      <c r="K46" s="203"/>
      <c r="L46" s="203"/>
      <c r="M46" s="203"/>
      <c r="N46" s="203"/>
      <c r="O46" s="203"/>
      <c r="P46" s="203"/>
      <c r="Q46" s="203"/>
      <c r="R46" s="203"/>
      <c r="S46" s="203"/>
      <c r="T46" s="203"/>
      <c r="U46" s="203"/>
      <c r="V46" s="203"/>
      <c r="W46" s="203"/>
      <c r="X46" s="35"/>
      <c r="Y46" s="35"/>
      <c r="Z46" s="35"/>
    </row>
    <row r="47" ht="12.75" customHeight="1">
      <c r="A47" s="35"/>
      <c r="B47" s="203"/>
      <c r="C47" s="203"/>
      <c r="D47" s="203"/>
      <c r="E47" s="203"/>
      <c r="F47" s="203"/>
      <c r="G47" s="203"/>
      <c r="H47" s="203"/>
      <c r="I47" s="203"/>
      <c r="J47" s="203"/>
      <c r="K47" s="203"/>
      <c r="L47" s="203"/>
      <c r="M47" s="203"/>
      <c r="N47" s="203"/>
      <c r="O47" s="203"/>
      <c r="P47" s="203"/>
      <c r="Q47" s="203"/>
      <c r="R47" s="203"/>
      <c r="S47" s="203"/>
      <c r="T47" s="203"/>
      <c r="U47" s="203"/>
      <c r="V47" s="203"/>
      <c r="W47" s="203"/>
      <c r="X47" s="35"/>
      <c r="Y47" s="35"/>
      <c r="Z47" s="35"/>
    </row>
    <row r="48" ht="12.75" customHeight="1">
      <c r="A48" s="35"/>
      <c r="B48" s="203"/>
      <c r="C48" s="203"/>
      <c r="D48" s="203"/>
      <c r="E48" s="203"/>
      <c r="F48" s="203"/>
      <c r="G48" s="203"/>
      <c r="H48" s="203"/>
      <c r="I48" s="203"/>
      <c r="J48" s="203"/>
      <c r="K48" s="203"/>
      <c r="L48" s="203"/>
      <c r="M48" s="203"/>
      <c r="N48" s="203"/>
      <c r="O48" s="203"/>
      <c r="P48" s="203"/>
      <c r="Q48" s="203"/>
      <c r="R48" s="203"/>
      <c r="S48" s="203"/>
      <c r="T48" s="203"/>
      <c r="U48" s="203"/>
      <c r="V48" s="203"/>
      <c r="W48" s="203"/>
      <c r="X48" s="35"/>
      <c r="Y48" s="35"/>
      <c r="Z48" s="35"/>
    </row>
    <row r="49" ht="12.75" customHeight="1">
      <c r="A49" s="35"/>
      <c r="B49" s="203"/>
      <c r="C49" s="203"/>
      <c r="D49" s="203"/>
      <c r="E49" s="203"/>
      <c r="F49" s="203"/>
      <c r="G49" s="203"/>
      <c r="H49" s="203"/>
      <c r="I49" s="203"/>
      <c r="J49" s="203"/>
      <c r="K49" s="203"/>
      <c r="L49" s="203"/>
      <c r="M49" s="203"/>
      <c r="N49" s="203"/>
      <c r="O49" s="203"/>
      <c r="P49" s="203"/>
      <c r="Q49" s="203"/>
      <c r="R49" s="203"/>
      <c r="S49" s="203"/>
      <c r="T49" s="203"/>
      <c r="U49" s="203"/>
      <c r="V49" s="203"/>
      <c r="W49" s="203"/>
      <c r="X49" s="35"/>
      <c r="Y49" s="35"/>
      <c r="Z49" s="35"/>
    </row>
    <row r="50" ht="12.75" customHeight="1">
      <c r="A50" s="35"/>
      <c r="B50" s="203"/>
      <c r="C50" s="203"/>
      <c r="D50" s="203"/>
      <c r="E50" s="203"/>
      <c r="F50" s="203"/>
      <c r="G50" s="203"/>
      <c r="H50" s="203"/>
      <c r="I50" s="203"/>
      <c r="J50" s="203"/>
      <c r="K50" s="203"/>
      <c r="L50" s="203"/>
      <c r="M50" s="203"/>
      <c r="N50" s="203"/>
      <c r="O50" s="203"/>
      <c r="P50" s="203"/>
      <c r="Q50" s="203"/>
      <c r="R50" s="203"/>
      <c r="S50" s="203"/>
      <c r="T50" s="203"/>
      <c r="U50" s="203"/>
      <c r="V50" s="203"/>
      <c r="W50" s="203"/>
      <c r="X50" s="35"/>
      <c r="Y50" s="35"/>
      <c r="Z50" s="35"/>
    </row>
    <row r="51" ht="12.75" customHeight="1">
      <c r="A51" s="35"/>
      <c r="B51" s="203"/>
      <c r="C51" s="203"/>
      <c r="D51" s="203"/>
      <c r="E51" s="203"/>
      <c r="F51" s="203"/>
      <c r="G51" s="203"/>
      <c r="H51" s="203"/>
      <c r="I51" s="203"/>
      <c r="J51" s="203"/>
      <c r="K51" s="203"/>
      <c r="L51" s="203"/>
      <c r="M51" s="203"/>
      <c r="N51" s="203"/>
      <c r="O51" s="203"/>
      <c r="P51" s="203"/>
      <c r="Q51" s="203"/>
      <c r="R51" s="203"/>
      <c r="S51" s="203"/>
      <c r="T51" s="203"/>
      <c r="U51" s="203"/>
      <c r="V51" s="203"/>
      <c r="W51" s="203"/>
      <c r="X51" s="35"/>
      <c r="Y51" s="35"/>
      <c r="Z51" s="35"/>
    </row>
    <row r="52" ht="12.75" customHeight="1">
      <c r="A52" s="35"/>
      <c r="B52" s="203"/>
      <c r="C52" s="203"/>
      <c r="D52" s="203"/>
      <c r="E52" s="203"/>
      <c r="F52" s="203"/>
      <c r="G52" s="203"/>
      <c r="H52" s="203"/>
      <c r="I52" s="203"/>
      <c r="J52" s="203"/>
      <c r="K52" s="203"/>
      <c r="L52" s="203"/>
      <c r="M52" s="203"/>
      <c r="N52" s="203"/>
      <c r="O52" s="203"/>
      <c r="P52" s="203"/>
      <c r="Q52" s="203"/>
      <c r="R52" s="203"/>
      <c r="S52" s="203"/>
      <c r="T52" s="203"/>
      <c r="U52" s="203"/>
      <c r="V52" s="203"/>
      <c r="W52" s="203"/>
      <c r="X52" s="35"/>
      <c r="Y52" s="35"/>
      <c r="Z52" s="35"/>
    </row>
    <row r="53" ht="12.75" customHeight="1">
      <c r="A53" s="35"/>
      <c r="B53" s="203"/>
      <c r="C53" s="203"/>
      <c r="D53" s="203"/>
      <c r="E53" s="203"/>
      <c r="F53" s="203"/>
      <c r="G53" s="203"/>
      <c r="H53" s="203"/>
      <c r="I53" s="203"/>
      <c r="J53" s="203"/>
      <c r="K53" s="203"/>
      <c r="L53" s="203"/>
      <c r="M53" s="203"/>
      <c r="N53" s="203"/>
      <c r="O53" s="203"/>
      <c r="P53" s="203"/>
      <c r="Q53" s="203"/>
      <c r="R53" s="203"/>
      <c r="S53" s="203"/>
      <c r="T53" s="203"/>
      <c r="U53" s="203"/>
      <c r="V53" s="203"/>
      <c r="W53" s="203"/>
      <c r="X53" s="35"/>
      <c r="Y53" s="35"/>
      <c r="Z53" s="35"/>
    </row>
    <row r="54" ht="12.75" customHeight="1">
      <c r="A54" s="35"/>
      <c r="B54" s="203"/>
      <c r="C54" s="203"/>
      <c r="D54" s="203"/>
      <c r="E54" s="203"/>
      <c r="F54" s="203"/>
      <c r="G54" s="203"/>
      <c r="H54" s="203"/>
      <c r="I54" s="203"/>
      <c r="J54" s="203"/>
      <c r="K54" s="203"/>
      <c r="L54" s="203"/>
      <c r="M54" s="203"/>
      <c r="N54" s="203"/>
      <c r="O54" s="203"/>
      <c r="P54" s="203"/>
      <c r="Q54" s="203"/>
      <c r="R54" s="203"/>
      <c r="S54" s="203"/>
      <c r="T54" s="203"/>
      <c r="U54" s="203"/>
      <c r="V54" s="203"/>
      <c r="W54" s="203"/>
      <c r="X54" s="35"/>
      <c r="Y54" s="35"/>
      <c r="Z54" s="35"/>
    </row>
    <row r="55" ht="12.75" customHeight="1">
      <c r="A55" s="35"/>
      <c r="B55" s="203"/>
      <c r="C55" s="203"/>
      <c r="D55" s="203"/>
      <c r="E55" s="203"/>
      <c r="F55" s="203"/>
      <c r="G55" s="203"/>
      <c r="H55" s="203"/>
      <c r="I55" s="203"/>
      <c r="J55" s="203"/>
      <c r="K55" s="203"/>
      <c r="L55" s="203"/>
      <c r="M55" s="203"/>
      <c r="N55" s="203"/>
      <c r="O55" s="203"/>
      <c r="P55" s="203"/>
      <c r="Q55" s="203"/>
      <c r="R55" s="203"/>
      <c r="S55" s="203"/>
      <c r="T55" s="203"/>
      <c r="U55" s="203"/>
      <c r="V55" s="203"/>
      <c r="W55" s="203"/>
      <c r="X55" s="35"/>
      <c r="Y55" s="35"/>
      <c r="Z55" s="35"/>
    </row>
    <row r="56" ht="12.75" customHeight="1">
      <c r="A56" s="35"/>
      <c r="B56" s="203"/>
      <c r="C56" s="203"/>
      <c r="D56" s="203"/>
      <c r="E56" s="203"/>
      <c r="F56" s="203"/>
      <c r="G56" s="203"/>
      <c r="H56" s="203"/>
      <c r="I56" s="203"/>
      <c r="J56" s="203"/>
      <c r="K56" s="203"/>
      <c r="L56" s="203"/>
      <c r="M56" s="203"/>
      <c r="N56" s="203"/>
      <c r="O56" s="203"/>
      <c r="P56" s="203"/>
      <c r="Q56" s="203"/>
      <c r="R56" s="203"/>
      <c r="S56" s="203"/>
      <c r="T56" s="203"/>
      <c r="U56" s="203"/>
      <c r="V56" s="203"/>
      <c r="W56" s="203"/>
      <c r="X56" s="35"/>
      <c r="Y56" s="35"/>
      <c r="Z56" s="35"/>
    </row>
    <row r="57" ht="12.75" customHeight="1">
      <c r="A57" s="35"/>
      <c r="B57" s="203"/>
      <c r="C57" s="203"/>
      <c r="D57" s="203"/>
      <c r="E57" s="203"/>
      <c r="F57" s="203"/>
      <c r="G57" s="203"/>
      <c r="H57" s="203"/>
      <c r="I57" s="203"/>
      <c r="J57" s="203"/>
      <c r="K57" s="203"/>
      <c r="L57" s="203"/>
      <c r="M57" s="203"/>
      <c r="N57" s="203"/>
      <c r="O57" s="203"/>
      <c r="P57" s="203"/>
      <c r="Q57" s="203"/>
      <c r="R57" s="203"/>
      <c r="S57" s="203"/>
      <c r="T57" s="203"/>
      <c r="U57" s="203"/>
      <c r="V57" s="203"/>
      <c r="W57" s="203"/>
      <c r="X57" s="35"/>
      <c r="Y57" s="35"/>
      <c r="Z57" s="35"/>
    </row>
    <row r="58" ht="12.75" customHeight="1">
      <c r="A58" s="35"/>
      <c r="B58" s="203"/>
      <c r="C58" s="203"/>
      <c r="D58" s="203"/>
      <c r="E58" s="203"/>
      <c r="F58" s="203"/>
      <c r="G58" s="203"/>
      <c r="H58" s="203"/>
      <c r="I58" s="203"/>
      <c r="J58" s="203"/>
      <c r="K58" s="203"/>
      <c r="L58" s="203"/>
      <c r="M58" s="203"/>
      <c r="N58" s="203"/>
      <c r="O58" s="203"/>
      <c r="P58" s="203"/>
      <c r="Q58" s="203"/>
      <c r="R58" s="203"/>
      <c r="S58" s="203"/>
      <c r="T58" s="203"/>
      <c r="U58" s="203"/>
      <c r="V58" s="203"/>
      <c r="W58" s="203"/>
      <c r="X58" s="35"/>
      <c r="Y58" s="35"/>
      <c r="Z58" s="35"/>
    </row>
    <row r="59" ht="12.75" customHeight="1">
      <c r="A59" s="35"/>
      <c r="B59" s="203"/>
      <c r="C59" s="203"/>
      <c r="D59" s="203"/>
      <c r="E59" s="203"/>
      <c r="F59" s="203"/>
      <c r="G59" s="203"/>
      <c r="H59" s="203"/>
      <c r="I59" s="203"/>
      <c r="J59" s="203"/>
      <c r="K59" s="203"/>
      <c r="L59" s="203"/>
      <c r="M59" s="203"/>
      <c r="N59" s="203"/>
      <c r="O59" s="203"/>
      <c r="P59" s="203"/>
      <c r="Q59" s="203"/>
      <c r="R59" s="203"/>
      <c r="S59" s="203"/>
      <c r="T59" s="203"/>
      <c r="U59" s="203"/>
      <c r="V59" s="203"/>
      <c r="W59" s="203"/>
      <c r="X59" s="35"/>
      <c r="Y59" s="35"/>
      <c r="Z59" s="35"/>
    </row>
    <row r="60" ht="12.75" customHeight="1">
      <c r="A60" s="35"/>
      <c r="B60" s="203"/>
      <c r="C60" s="203"/>
      <c r="D60" s="203"/>
      <c r="E60" s="203"/>
      <c r="F60" s="203"/>
      <c r="G60" s="203"/>
      <c r="H60" s="203"/>
      <c r="I60" s="203"/>
      <c r="J60" s="203"/>
      <c r="K60" s="203"/>
      <c r="L60" s="203"/>
      <c r="M60" s="203"/>
      <c r="N60" s="203"/>
      <c r="O60" s="203"/>
      <c r="P60" s="203"/>
      <c r="Q60" s="203"/>
      <c r="R60" s="203"/>
      <c r="S60" s="203"/>
      <c r="T60" s="203"/>
      <c r="U60" s="203"/>
      <c r="V60" s="203"/>
      <c r="W60" s="203"/>
      <c r="X60" s="35"/>
      <c r="Y60" s="35"/>
      <c r="Z60" s="35"/>
    </row>
    <row r="61" ht="12.75" customHeight="1">
      <c r="A61" s="35"/>
      <c r="B61" s="203"/>
      <c r="C61" s="203"/>
      <c r="D61" s="203"/>
      <c r="E61" s="203"/>
      <c r="F61" s="203"/>
      <c r="G61" s="203"/>
      <c r="H61" s="203"/>
      <c r="I61" s="203"/>
      <c r="J61" s="203"/>
      <c r="K61" s="203"/>
      <c r="L61" s="203"/>
      <c r="M61" s="203"/>
      <c r="N61" s="203"/>
      <c r="O61" s="203"/>
      <c r="P61" s="203"/>
      <c r="Q61" s="203"/>
      <c r="R61" s="203"/>
      <c r="S61" s="203"/>
      <c r="T61" s="203"/>
      <c r="U61" s="203"/>
      <c r="V61" s="203"/>
      <c r="W61" s="203"/>
      <c r="X61" s="35"/>
      <c r="Y61" s="35"/>
      <c r="Z61" s="35"/>
    </row>
    <row r="62" ht="12.75" customHeight="1">
      <c r="A62" s="35"/>
      <c r="B62" s="203"/>
      <c r="C62" s="203"/>
      <c r="D62" s="203"/>
      <c r="E62" s="203"/>
      <c r="F62" s="203"/>
      <c r="G62" s="203"/>
      <c r="H62" s="203"/>
      <c r="I62" s="203"/>
      <c r="J62" s="203"/>
      <c r="K62" s="203"/>
      <c r="L62" s="203"/>
      <c r="M62" s="203"/>
      <c r="N62" s="203"/>
      <c r="O62" s="203"/>
      <c r="P62" s="203"/>
      <c r="Q62" s="203"/>
      <c r="R62" s="203"/>
      <c r="S62" s="203"/>
      <c r="T62" s="203"/>
      <c r="U62" s="203"/>
      <c r="V62" s="203"/>
      <c r="W62" s="203"/>
      <c r="X62" s="35"/>
      <c r="Y62" s="35"/>
      <c r="Z62" s="35"/>
    </row>
    <row r="63" ht="12.75" customHeight="1">
      <c r="A63" s="35"/>
      <c r="B63" s="203"/>
      <c r="C63" s="203"/>
      <c r="D63" s="203"/>
      <c r="E63" s="203"/>
      <c r="F63" s="203"/>
      <c r="G63" s="203"/>
      <c r="H63" s="203"/>
      <c r="I63" s="203"/>
      <c r="J63" s="203"/>
      <c r="K63" s="203"/>
      <c r="L63" s="203"/>
      <c r="M63" s="203"/>
      <c r="N63" s="203"/>
      <c r="O63" s="203"/>
      <c r="P63" s="203"/>
      <c r="Q63" s="203"/>
      <c r="R63" s="203"/>
      <c r="S63" s="203"/>
      <c r="T63" s="203"/>
      <c r="U63" s="203"/>
      <c r="V63" s="203"/>
      <c r="W63" s="203"/>
      <c r="X63" s="35"/>
      <c r="Y63" s="35"/>
      <c r="Z63" s="35"/>
    </row>
    <row r="64" ht="12.75" customHeight="1">
      <c r="A64" s="35"/>
      <c r="B64" s="203"/>
      <c r="C64" s="203"/>
      <c r="D64" s="203"/>
      <c r="E64" s="203"/>
      <c r="F64" s="203"/>
      <c r="G64" s="203"/>
      <c r="H64" s="203"/>
      <c r="I64" s="203"/>
      <c r="J64" s="203"/>
      <c r="K64" s="203"/>
      <c r="L64" s="203"/>
      <c r="M64" s="203"/>
      <c r="N64" s="203"/>
      <c r="O64" s="203"/>
      <c r="P64" s="203"/>
      <c r="Q64" s="203"/>
      <c r="R64" s="203"/>
      <c r="S64" s="203"/>
      <c r="T64" s="203"/>
      <c r="U64" s="203"/>
      <c r="V64" s="203"/>
      <c r="W64" s="203"/>
      <c r="X64" s="35"/>
      <c r="Y64" s="35"/>
      <c r="Z64" s="35"/>
    </row>
    <row r="65" ht="12.75" customHeight="1">
      <c r="A65" s="35"/>
      <c r="B65" s="203"/>
      <c r="C65" s="203"/>
      <c r="D65" s="203"/>
      <c r="E65" s="203"/>
      <c r="F65" s="203"/>
      <c r="G65" s="203"/>
      <c r="H65" s="203"/>
      <c r="I65" s="203"/>
      <c r="J65" s="203"/>
      <c r="K65" s="203"/>
      <c r="L65" s="203"/>
      <c r="M65" s="203"/>
      <c r="N65" s="203"/>
      <c r="O65" s="203"/>
      <c r="P65" s="203"/>
      <c r="Q65" s="203"/>
      <c r="R65" s="203"/>
      <c r="S65" s="203"/>
      <c r="T65" s="203"/>
      <c r="U65" s="203"/>
      <c r="V65" s="203"/>
      <c r="W65" s="203"/>
      <c r="X65" s="35"/>
      <c r="Y65" s="35"/>
      <c r="Z65" s="35"/>
    </row>
    <row r="66" ht="12.75" customHeight="1">
      <c r="A66" s="35"/>
      <c r="B66" s="203"/>
      <c r="C66" s="203"/>
      <c r="D66" s="203"/>
      <c r="E66" s="203"/>
      <c r="F66" s="203"/>
      <c r="G66" s="203"/>
      <c r="H66" s="203"/>
      <c r="I66" s="203"/>
      <c r="J66" s="203"/>
      <c r="K66" s="203"/>
      <c r="L66" s="203"/>
      <c r="M66" s="203"/>
      <c r="N66" s="203"/>
      <c r="O66" s="203"/>
      <c r="P66" s="203"/>
      <c r="Q66" s="203"/>
      <c r="R66" s="203"/>
      <c r="S66" s="203"/>
      <c r="T66" s="203"/>
      <c r="U66" s="203"/>
      <c r="V66" s="203"/>
      <c r="W66" s="203"/>
      <c r="X66" s="35"/>
      <c r="Y66" s="35"/>
      <c r="Z66" s="35"/>
    </row>
    <row r="67" ht="12.75" customHeight="1">
      <c r="A67" s="35"/>
      <c r="B67" s="203"/>
      <c r="C67" s="203"/>
      <c r="D67" s="203"/>
      <c r="E67" s="203"/>
      <c r="F67" s="203"/>
      <c r="G67" s="203"/>
      <c r="H67" s="203"/>
      <c r="I67" s="203"/>
      <c r="J67" s="203"/>
      <c r="K67" s="203"/>
      <c r="L67" s="203"/>
      <c r="M67" s="203"/>
      <c r="N67" s="203"/>
      <c r="O67" s="203"/>
      <c r="P67" s="203"/>
      <c r="Q67" s="203"/>
      <c r="R67" s="203"/>
      <c r="S67" s="203"/>
      <c r="T67" s="203"/>
      <c r="U67" s="203"/>
      <c r="V67" s="203"/>
      <c r="W67" s="203"/>
      <c r="X67" s="35"/>
      <c r="Y67" s="35"/>
      <c r="Z67" s="35"/>
    </row>
    <row r="68" ht="12.75" customHeight="1">
      <c r="A68" s="35"/>
      <c r="B68" s="203"/>
      <c r="C68" s="203"/>
      <c r="D68" s="203"/>
      <c r="E68" s="203"/>
      <c r="F68" s="203"/>
      <c r="G68" s="203"/>
      <c r="H68" s="203"/>
      <c r="I68" s="203"/>
      <c r="J68" s="203"/>
      <c r="K68" s="203"/>
      <c r="L68" s="203"/>
      <c r="M68" s="203"/>
      <c r="N68" s="203"/>
      <c r="O68" s="203"/>
      <c r="P68" s="203"/>
      <c r="Q68" s="203"/>
      <c r="R68" s="203"/>
      <c r="S68" s="203"/>
      <c r="T68" s="203"/>
      <c r="U68" s="203"/>
      <c r="V68" s="203"/>
      <c r="W68" s="203"/>
      <c r="X68" s="35"/>
      <c r="Y68" s="35"/>
      <c r="Z68" s="35"/>
    </row>
    <row r="69" ht="12.75" customHeight="1">
      <c r="A69" s="35"/>
      <c r="B69" s="203"/>
      <c r="C69" s="203"/>
      <c r="D69" s="203"/>
      <c r="E69" s="203"/>
      <c r="F69" s="203"/>
      <c r="G69" s="203"/>
      <c r="H69" s="203"/>
      <c r="I69" s="203"/>
      <c r="J69" s="203"/>
      <c r="K69" s="203"/>
      <c r="L69" s="203"/>
      <c r="M69" s="203"/>
      <c r="N69" s="203"/>
      <c r="O69" s="203"/>
      <c r="P69" s="203"/>
      <c r="Q69" s="203"/>
      <c r="R69" s="203"/>
      <c r="S69" s="203"/>
      <c r="T69" s="203"/>
      <c r="U69" s="203"/>
      <c r="V69" s="203"/>
      <c r="W69" s="203"/>
      <c r="X69" s="35"/>
      <c r="Y69" s="35"/>
      <c r="Z69" s="35"/>
    </row>
    <row r="70" ht="12.75" customHeight="1">
      <c r="A70" s="35"/>
      <c r="B70" s="203"/>
      <c r="C70" s="203"/>
      <c r="D70" s="203"/>
      <c r="E70" s="203"/>
      <c r="F70" s="203"/>
      <c r="G70" s="203"/>
      <c r="H70" s="203"/>
      <c r="I70" s="203"/>
      <c r="J70" s="203"/>
      <c r="K70" s="203"/>
      <c r="L70" s="203"/>
      <c r="M70" s="203"/>
      <c r="N70" s="203"/>
      <c r="O70" s="203"/>
      <c r="P70" s="203"/>
      <c r="Q70" s="203"/>
      <c r="R70" s="203"/>
      <c r="S70" s="203"/>
      <c r="T70" s="203"/>
      <c r="U70" s="203"/>
      <c r="V70" s="203"/>
      <c r="W70" s="203"/>
      <c r="X70" s="35"/>
      <c r="Y70" s="35"/>
      <c r="Z70" s="35"/>
    </row>
    <row r="71" ht="12.75" customHeight="1">
      <c r="A71" s="35"/>
      <c r="B71" s="203"/>
      <c r="C71" s="203"/>
      <c r="D71" s="203"/>
      <c r="E71" s="203"/>
      <c r="F71" s="203"/>
      <c r="G71" s="203"/>
      <c r="H71" s="203"/>
      <c r="I71" s="203"/>
      <c r="J71" s="203"/>
      <c r="K71" s="203"/>
      <c r="L71" s="203"/>
      <c r="M71" s="203"/>
      <c r="N71" s="203"/>
      <c r="O71" s="203"/>
      <c r="P71" s="203"/>
      <c r="Q71" s="203"/>
      <c r="R71" s="203"/>
      <c r="S71" s="203"/>
      <c r="T71" s="203"/>
      <c r="U71" s="203"/>
      <c r="V71" s="203"/>
      <c r="W71" s="203"/>
      <c r="X71" s="35"/>
      <c r="Y71" s="35"/>
      <c r="Z71" s="35"/>
    </row>
    <row r="72" ht="12.75" customHeight="1">
      <c r="A72" s="35"/>
      <c r="B72" s="203"/>
      <c r="C72" s="203"/>
      <c r="D72" s="203"/>
      <c r="E72" s="203"/>
      <c r="F72" s="203"/>
      <c r="G72" s="203"/>
      <c r="H72" s="203"/>
      <c r="I72" s="203"/>
      <c r="J72" s="203"/>
      <c r="K72" s="203"/>
      <c r="L72" s="203"/>
      <c r="M72" s="203"/>
      <c r="N72" s="203"/>
      <c r="O72" s="203"/>
      <c r="P72" s="203"/>
      <c r="Q72" s="203"/>
      <c r="R72" s="203"/>
      <c r="S72" s="203"/>
      <c r="T72" s="203"/>
      <c r="U72" s="203"/>
      <c r="V72" s="203"/>
      <c r="W72" s="203"/>
      <c r="X72" s="35"/>
      <c r="Y72" s="35"/>
      <c r="Z72" s="35"/>
    </row>
    <row r="73" ht="12.75" customHeight="1">
      <c r="A73" s="35"/>
      <c r="B73" s="203"/>
      <c r="C73" s="203"/>
      <c r="D73" s="203"/>
      <c r="E73" s="203"/>
      <c r="F73" s="203"/>
      <c r="G73" s="203"/>
      <c r="H73" s="203"/>
      <c r="I73" s="203"/>
      <c r="J73" s="203"/>
      <c r="K73" s="203"/>
      <c r="L73" s="203"/>
      <c r="M73" s="203"/>
      <c r="N73" s="203"/>
      <c r="O73" s="203"/>
      <c r="P73" s="203"/>
      <c r="Q73" s="203"/>
      <c r="R73" s="203"/>
      <c r="S73" s="203"/>
      <c r="T73" s="203"/>
      <c r="U73" s="203"/>
      <c r="V73" s="203"/>
      <c r="W73" s="203"/>
      <c r="X73" s="35"/>
      <c r="Y73" s="35"/>
      <c r="Z73" s="35"/>
    </row>
    <row r="74" ht="12.75" customHeight="1">
      <c r="A74" s="35"/>
      <c r="B74" s="203"/>
      <c r="C74" s="203"/>
      <c r="D74" s="203"/>
      <c r="E74" s="203"/>
      <c r="F74" s="203"/>
      <c r="G74" s="203"/>
      <c r="H74" s="203"/>
      <c r="I74" s="203"/>
      <c r="J74" s="203"/>
      <c r="K74" s="203"/>
      <c r="L74" s="203"/>
      <c r="M74" s="203"/>
      <c r="N74" s="203"/>
      <c r="O74" s="203"/>
      <c r="P74" s="203"/>
      <c r="Q74" s="203"/>
      <c r="R74" s="203"/>
      <c r="S74" s="203"/>
      <c r="T74" s="203"/>
      <c r="U74" s="203"/>
      <c r="V74" s="203"/>
      <c r="W74" s="203"/>
      <c r="X74" s="35"/>
      <c r="Y74" s="35"/>
      <c r="Z74" s="35"/>
    </row>
    <row r="75" ht="12.75" customHeight="1">
      <c r="A75" s="35"/>
      <c r="B75" s="203"/>
      <c r="C75" s="203"/>
      <c r="D75" s="203"/>
      <c r="E75" s="203"/>
      <c r="F75" s="203"/>
      <c r="G75" s="203"/>
      <c r="H75" s="203"/>
      <c r="I75" s="203"/>
      <c r="J75" s="203"/>
      <c r="K75" s="203"/>
      <c r="L75" s="203"/>
      <c r="M75" s="203"/>
      <c r="N75" s="203"/>
      <c r="O75" s="203"/>
      <c r="P75" s="203"/>
      <c r="Q75" s="203"/>
      <c r="R75" s="203"/>
      <c r="S75" s="203"/>
      <c r="T75" s="203"/>
      <c r="U75" s="203"/>
      <c r="V75" s="203"/>
      <c r="W75" s="203"/>
      <c r="X75" s="35"/>
      <c r="Y75" s="35"/>
      <c r="Z75" s="35"/>
    </row>
    <row r="76" ht="12.75" customHeight="1">
      <c r="A76" s="35"/>
      <c r="B76" s="203"/>
      <c r="C76" s="203"/>
      <c r="D76" s="203"/>
      <c r="E76" s="203"/>
      <c r="F76" s="203"/>
      <c r="G76" s="203"/>
      <c r="H76" s="203"/>
      <c r="I76" s="203"/>
      <c r="J76" s="203"/>
      <c r="K76" s="203"/>
      <c r="L76" s="203"/>
      <c r="M76" s="203"/>
      <c r="N76" s="203"/>
      <c r="O76" s="203"/>
      <c r="P76" s="203"/>
      <c r="Q76" s="203"/>
      <c r="R76" s="203"/>
      <c r="S76" s="203"/>
      <c r="T76" s="203"/>
      <c r="U76" s="203"/>
      <c r="V76" s="203"/>
      <c r="W76" s="203"/>
      <c r="X76" s="35"/>
      <c r="Y76" s="35"/>
      <c r="Z76" s="35"/>
    </row>
    <row r="77" ht="12.75" customHeight="1">
      <c r="A77" s="35"/>
      <c r="B77" s="203"/>
      <c r="C77" s="203"/>
      <c r="D77" s="203"/>
      <c r="E77" s="203"/>
      <c r="F77" s="203"/>
      <c r="G77" s="203"/>
      <c r="H77" s="203"/>
      <c r="I77" s="203"/>
      <c r="J77" s="203"/>
      <c r="K77" s="203"/>
      <c r="L77" s="203"/>
      <c r="M77" s="203"/>
      <c r="N77" s="203"/>
      <c r="O77" s="203"/>
      <c r="P77" s="203"/>
      <c r="Q77" s="203"/>
      <c r="R77" s="203"/>
      <c r="S77" s="203"/>
      <c r="T77" s="203"/>
      <c r="U77" s="203"/>
      <c r="V77" s="203"/>
      <c r="W77" s="203"/>
      <c r="X77" s="35"/>
      <c r="Y77" s="35"/>
      <c r="Z77" s="35"/>
    </row>
    <row r="78" ht="12.75" customHeight="1">
      <c r="A78" s="35"/>
      <c r="B78" s="203"/>
      <c r="C78" s="203"/>
      <c r="D78" s="203"/>
      <c r="E78" s="203"/>
      <c r="F78" s="203"/>
      <c r="G78" s="203"/>
      <c r="H78" s="203"/>
      <c r="I78" s="203"/>
      <c r="J78" s="203"/>
      <c r="K78" s="203"/>
      <c r="L78" s="203"/>
      <c r="M78" s="203"/>
      <c r="N78" s="203"/>
      <c r="O78" s="203"/>
      <c r="P78" s="203"/>
      <c r="Q78" s="203"/>
      <c r="R78" s="203"/>
      <c r="S78" s="203"/>
      <c r="T78" s="203"/>
      <c r="U78" s="203"/>
      <c r="V78" s="203"/>
      <c r="W78" s="203"/>
      <c r="X78" s="35"/>
      <c r="Y78" s="35"/>
      <c r="Z78" s="35"/>
    </row>
    <row r="79" ht="12.75" customHeight="1">
      <c r="A79" s="35"/>
      <c r="B79" s="203"/>
      <c r="C79" s="203"/>
      <c r="D79" s="203"/>
      <c r="E79" s="203"/>
      <c r="F79" s="203"/>
      <c r="G79" s="203"/>
      <c r="H79" s="203"/>
      <c r="I79" s="203"/>
      <c r="J79" s="203"/>
      <c r="K79" s="203"/>
      <c r="L79" s="203"/>
      <c r="M79" s="203"/>
      <c r="N79" s="203"/>
      <c r="O79" s="203"/>
      <c r="P79" s="203"/>
      <c r="Q79" s="203"/>
      <c r="R79" s="203"/>
      <c r="S79" s="203"/>
      <c r="T79" s="203"/>
      <c r="U79" s="203"/>
      <c r="V79" s="203"/>
      <c r="W79" s="203"/>
      <c r="X79" s="35"/>
      <c r="Y79" s="35"/>
      <c r="Z79" s="35"/>
    </row>
    <row r="80" ht="12.75" customHeight="1">
      <c r="A80" s="35"/>
      <c r="B80" s="203"/>
      <c r="C80" s="203"/>
      <c r="D80" s="203"/>
      <c r="E80" s="203"/>
      <c r="F80" s="203"/>
      <c r="G80" s="203"/>
      <c r="H80" s="203"/>
      <c r="I80" s="203"/>
      <c r="J80" s="203"/>
      <c r="K80" s="203"/>
      <c r="L80" s="203"/>
      <c r="M80" s="203"/>
      <c r="N80" s="203"/>
      <c r="O80" s="203"/>
      <c r="P80" s="203"/>
      <c r="Q80" s="203"/>
      <c r="R80" s="203"/>
      <c r="S80" s="203"/>
      <c r="T80" s="203"/>
      <c r="U80" s="203"/>
      <c r="V80" s="203"/>
      <c r="W80" s="203"/>
      <c r="X80" s="35"/>
      <c r="Y80" s="35"/>
      <c r="Z80" s="35"/>
    </row>
    <row r="81" ht="12.75" customHeight="1">
      <c r="A81" s="35"/>
      <c r="B81" s="203"/>
      <c r="C81" s="203"/>
      <c r="D81" s="203"/>
      <c r="E81" s="203"/>
      <c r="F81" s="203"/>
      <c r="G81" s="203"/>
      <c r="H81" s="203"/>
      <c r="I81" s="203"/>
      <c r="J81" s="203"/>
      <c r="K81" s="203"/>
      <c r="L81" s="203"/>
      <c r="M81" s="203"/>
      <c r="N81" s="203"/>
      <c r="O81" s="203"/>
      <c r="P81" s="203"/>
      <c r="Q81" s="203"/>
      <c r="R81" s="203"/>
      <c r="S81" s="203"/>
      <c r="T81" s="203"/>
      <c r="U81" s="203"/>
      <c r="V81" s="203"/>
      <c r="W81" s="203"/>
      <c r="X81" s="35"/>
      <c r="Y81" s="35"/>
      <c r="Z81" s="35"/>
    </row>
    <row r="82" ht="12.75" customHeight="1">
      <c r="A82" s="35"/>
      <c r="B82" s="203"/>
      <c r="C82" s="203"/>
      <c r="D82" s="203"/>
      <c r="E82" s="203"/>
      <c r="F82" s="203"/>
      <c r="G82" s="203"/>
      <c r="H82" s="203"/>
      <c r="I82" s="203"/>
      <c r="J82" s="203"/>
      <c r="K82" s="203"/>
      <c r="L82" s="203"/>
      <c r="M82" s="203"/>
      <c r="N82" s="203"/>
      <c r="O82" s="203"/>
      <c r="P82" s="203"/>
      <c r="Q82" s="203"/>
      <c r="R82" s="203"/>
      <c r="S82" s="203"/>
      <c r="T82" s="203"/>
      <c r="U82" s="203"/>
      <c r="V82" s="203"/>
      <c r="W82" s="203"/>
      <c r="X82" s="35"/>
      <c r="Y82" s="35"/>
      <c r="Z82" s="35"/>
    </row>
    <row r="83" ht="12.75" customHeight="1">
      <c r="A83" s="35"/>
      <c r="B83" s="203"/>
      <c r="C83" s="203"/>
      <c r="D83" s="203"/>
      <c r="E83" s="203"/>
      <c r="F83" s="203"/>
      <c r="G83" s="203"/>
      <c r="H83" s="203"/>
      <c r="I83" s="203"/>
      <c r="J83" s="203"/>
      <c r="K83" s="203"/>
      <c r="L83" s="203"/>
      <c r="M83" s="203"/>
      <c r="N83" s="203"/>
      <c r="O83" s="203"/>
      <c r="P83" s="203"/>
      <c r="Q83" s="203"/>
      <c r="R83" s="203"/>
      <c r="S83" s="203"/>
      <c r="T83" s="203"/>
      <c r="U83" s="203"/>
      <c r="V83" s="203"/>
      <c r="W83" s="203"/>
      <c r="X83" s="35"/>
      <c r="Y83" s="35"/>
      <c r="Z83" s="35"/>
    </row>
    <row r="84" ht="12.75" customHeight="1">
      <c r="A84" s="35"/>
      <c r="B84" s="203"/>
      <c r="C84" s="203"/>
      <c r="D84" s="203"/>
      <c r="E84" s="203"/>
      <c r="F84" s="203"/>
      <c r="G84" s="203"/>
      <c r="H84" s="203"/>
      <c r="I84" s="203"/>
      <c r="J84" s="203"/>
      <c r="K84" s="203"/>
      <c r="L84" s="203"/>
      <c r="M84" s="203"/>
      <c r="N84" s="203"/>
      <c r="O84" s="203"/>
      <c r="P84" s="203"/>
      <c r="Q84" s="203"/>
      <c r="R84" s="203"/>
      <c r="S84" s="203"/>
      <c r="T84" s="203"/>
      <c r="U84" s="203"/>
      <c r="V84" s="203"/>
      <c r="W84" s="203"/>
      <c r="X84" s="35"/>
      <c r="Y84" s="35"/>
      <c r="Z84" s="35"/>
    </row>
    <row r="85" ht="12.75" customHeight="1">
      <c r="A85" s="35"/>
      <c r="B85" s="203"/>
      <c r="C85" s="203"/>
      <c r="D85" s="203"/>
      <c r="E85" s="203"/>
      <c r="F85" s="203"/>
      <c r="G85" s="203"/>
      <c r="H85" s="203"/>
      <c r="I85" s="203"/>
      <c r="J85" s="203"/>
      <c r="K85" s="203"/>
      <c r="L85" s="203"/>
      <c r="M85" s="203"/>
      <c r="N85" s="203"/>
      <c r="O85" s="203"/>
      <c r="P85" s="203"/>
      <c r="Q85" s="203"/>
      <c r="R85" s="203"/>
      <c r="S85" s="203"/>
      <c r="T85" s="203"/>
      <c r="U85" s="203"/>
      <c r="V85" s="203"/>
      <c r="W85" s="203"/>
      <c r="X85" s="35"/>
      <c r="Y85" s="35"/>
      <c r="Z85" s="35"/>
    </row>
    <row r="86" ht="12.75" customHeight="1">
      <c r="A86" s="35"/>
      <c r="B86" s="203"/>
      <c r="C86" s="203"/>
      <c r="D86" s="203"/>
      <c r="E86" s="203"/>
      <c r="F86" s="203"/>
      <c r="G86" s="203"/>
      <c r="H86" s="203"/>
      <c r="I86" s="203"/>
      <c r="J86" s="203"/>
      <c r="K86" s="203"/>
      <c r="L86" s="203"/>
      <c r="M86" s="203"/>
      <c r="N86" s="203"/>
      <c r="O86" s="203"/>
      <c r="P86" s="203"/>
      <c r="Q86" s="203"/>
      <c r="R86" s="203"/>
      <c r="S86" s="203"/>
      <c r="T86" s="203"/>
      <c r="U86" s="203"/>
      <c r="V86" s="203"/>
      <c r="W86" s="203"/>
      <c r="X86" s="35"/>
      <c r="Y86" s="35"/>
      <c r="Z86" s="35"/>
    </row>
    <row r="87" ht="12.75" customHeight="1">
      <c r="A87" s="35"/>
      <c r="B87" s="203"/>
      <c r="C87" s="203"/>
      <c r="D87" s="203"/>
      <c r="E87" s="203"/>
      <c r="F87" s="203"/>
      <c r="G87" s="203"/>
      <c r="H87" s="203"/>
      <c r="I87" s="203"/>
      <c r="J87" s="203"/>
      <c r="K87" s="203"/>
      <c r="L87" s="203"/>
      <c r="M87" s="203"/>
      <c r="N87" s="203"/>
      <c r="O87" s="203"/>
      <c r="P87" s="203"/>
      <c r="Q87" s="203"/>
      <c r="R87" s="203"/>
      <c r="S87" s="203"/>
      <c r="T87" s="203"/>
      <c r="U87" s="203"/>
      <c r="V87" s="203"/>
      <c r="W87" s="203"/>
      <c r="X87" s="35"/>
      <c r="Y87" s="35"/>
      <c r="Z87" s="35"/>
    </row>
    <row r="88" ht="12.75" customHeight="1">
      <c r="A88" s="35"/>
      <c r="B88" s="203"/>
      <c r="C88" s="203"/>
      <c r="D88" s="203"/>
      <c r="E88" s="203"/>
      <c r="F88" s="203"/>
      <c r="G88" s="203"/>
      <c r="H88" s="203"/>
      <c r="I88" s="203"/>
      <c r="J88" s="203"/>
      <c r="K88" s="203"/>
      <c r="L88" s="203"/>
      <c r="M88" s="203"/>
      <c r="N88" s="203"/>
      <c r="O88" s="203"/>
      <c r="P88" s="203"/>
      <c r="Q88" s="203"/>
      <c r="R88" s="203"/>
      <c r="S88" s="203"/>
      <c r="T88" s="203"/>
      <c r="U88" s="203"/>
      <c r="V88" s="203"/>
      <c r="W88" s="203"/>
      <c r="X88" s="35"/>
      <c r="Y88" s="35"/>
      <c r="Z88" s="35"/>
    </row>
    <row r="89" ht="12.75" customHeight="1">
      <c r="A89" s="35"/>
      <c r="B89" s="203"/>
      <c r="C89" s="203"/>
      <c r="D89" s="203"/>
      <c r="E89" s="203"/>
      <c r="F89" s="203"/>
      <c r="G89" s="203"/>
      <c r="H89" s="203"/>
      <c r="I89" s="203"/>
      <c r="J89" s="203"/>
      <c r="K89" s="203"/>
      <c r="L89" s="203"/>
      <c r="M89" s="203"/>
      <c r="N89" s="203"/>
      <c r="O89" s="203"/>
      <c r="P89" s="203"/>
      <c r="Q89" s="203"/>
      <c r="R89" s="203"/>
      <c r="S89" s="203"/>
      <c r="T89" s="203"/>
      <c r="U89" s="203"/>
      <c r="V89" s="203"/>
      <c r="W89" s="203"/>
      <c r="X89" s="35"/>
      <c r="Y89" s="35"/>
      <c r="Z89" s="35"/>
    </row>
    <row r="90" ht="12.75" customHeight="1">
      <c r="A90" s="35"/>
      <c r="B90" s="203"/>
      <c r="C90" s="203"/>
      <c r="D90" s="203"/>
      <c r="E90" s="203"/>
      <c r="F90" s="203"/>
      <c r="G90" s="203"/>
      <c r="H90" s="203"/>
      <c r="I90" s="203"/>
      <c r="J90" s="203"/>
      <c r="K90" s="203"/>
      <c r="L90" s="203"/>
      <c r="M90" s="203"/>
      <c r="N90" s="203"/>
      <c r="O90" s="203"/>
      <c r="P90" s="203"/>
      <c r="Q90" s="203"/>
      <c r="R90" s="203"/>
      <c r="S90" s="203"/>
      <c r="T90" s="203"/>
      <c r="U90" s="203"/>
      <c r="V90" s="203"/>
      <c r="W90" s="203"/>
      <c r="X90" s="35"/>
      <c r="Y90" s="35"/>
      <c r="Z90" s="35"/>
    </row>
    <row r="91" ht="12.75" customHeight="1">
      <c r="A91" s="35"/>
      <c r="B91" s="203"/>
      <c r="C91" s="203"/>
      <c r="D91" s="203"/>
      <c r="E91" s="203"/>
      <c r="F91" s="203"/>
      <c r="G91" s="203"/>
      <c r="H91" s="203"/>
      <c r="I91" s="203"/>
      <c r="J91" s="203"/>
      <c r="K91" s="203"/>
      <c r="L91" s="203"/>
      <c r="M91" s="203"/>
      <c r="N91" s="203"/>
      <c r="O91" s="203"/>
      <c r="P91" s="203"/>
      <c r="Q91" s="203"/>
      <c r="R91" s="203"/>
      <c r="S91" s="203"/>
      <c r="T91" s="203"/>
      <c r="U91" s="203"/>
      <c r="V91" s="203"/>
      <c r="W91" s="203"/>
      <c r="X91" s="35"/>
      <c r="Y91" s="35"/>
      <c r="Z91" s="35"/>
    </row>
    <row r="92" ht="12.75" customHeight="1">
      <c r="A92" s="35"/>
      <c r="B92" s="203"/>
      <c r="C92" s="203"/>
      <c r="D92" s="203"/>
      <c r="E92" s="203"/>
      <c r="F92" s="203"/>
      <c r="G92" s="203"/>
      <c r="H92" s="203"/>
      <c r="I92" s="203"/>
      <c r="J92" s="203"/>
      <c r="K92" s="203"/>
      <c r="L92" s="203"/>
      <c r="M92" s="203"/>
      <c r="N92" s="203"/>
      <c r="O92" s="203"/>
      <c r="P92" s="203"/>
      <c r="Q92" s="203"/>
      <c r="R92" s="203"/>
      <c r="S92" s="203"/>
      <c r="T92" s="203"/>
      <c r="U92" s="203"/>
      <c r="V92" s="203"/>
      <c r="W92" s="203"/>
      <c r="X92" s="35"/>
      <c r="Y92" s="35"/>
      <c r="Z92" s="35"/>
    </row>
    <row r="93" ht="12.75" customHeight="1">
      <c r="A93" s="35"/>
      <c r="B93" s="203"/>
      <c r="C93" s="203"/>
      <c r="D93" s="203"/>
      <c r="E93" s="203"/>
      <c r="F93" s="203"/>
      <c r="G93" s="203"/>
      <c r="H93" s="203"/>
      <c r="I93" s="203"/>
      <c r="J93" s="203"/>
      <c r="K93" s="203"/>
      <c r="L93" s="203"/>
      <c r="M93" s="203"/>
      <c r="N93" s="203"/>
      <c r="O93" s="203"/>
      <c r="P93" s="203"/>
      <c r="Q93" s="203"/>
      <c r="R93" s="203"/>
      <c r="S93" s="203"/>
      <c r="T93" s="203"/>
      <c r="U93" s="203"/>
      <c r="V93" s="203"/>
      <c r="W93" s="203"/>
      <c r="X93" s="35"/>
      <c r="Y93" s="35"/>
      <c r="Z93" s="35"/>
    </row>
    <row r="94" ht="12.75" customHeight="1">
      <c r="A94" s="35"/>
      <c r="B94" s="203"/>
      <c r="C94" s="203"/>
      <c r="D94" s="203"/>
      <c r="E94" s="203"/>
      <c r="F94" s="203"/>
      <c r="G94" s="203"/>
      <c r="H94" s="203"/>
      <c r="I94" s="203"/>
      <c r="J94" s="203"/>
      <c r="K94" s="203"/>
      <c r="L94" s="203"/>
      <c r="M94" s="203"/>
      <c r="N94" s="203"/>
      <c r="O94" s="203"/>
      <c r="P94" s="203"/>
      <c r="Q94" s="203"/>
      <c r="R94" s="203"/>
      <c r="S94" s="203"/>
      <c r="T94" s="203"/>
      <c r="U94" s="203"/>
      <c r="V94" s="203"/>
      <c r="W94" s="203"/>
      <c r="X94" s="35"/>
      <c r="Y94" s="35"/>
      <c r="Z94" s="35"/>
    </row>
    <row r="95" ht="12.75" customHeight="1">
      <c r="A95" s="35"/>
      <c r="B95" s="203"/>
      <c r="C95" s="203"/>
      <c r="D95" s="203"/>
      <c r="E95" s="203"/>
      <c r="F95" s="203"/>
      <c r="G95" s="203"/>
      <c r="H95" s="203"/>
      <c r="I95" s="203"/>
      <c r="J95" s="203"/>
      <c r="K95" s="203"/>
      <c r="L95" s="203"/>
      <c r="M95" s="203"/>
      <c r="N95" s="203"/>
      <c r="O95" s="203"/>
      <c r="P95" s="203"/>
      <c r="Q95" s="203"/>
      <c r="R95" s="203"/>
      <c r="S95" s="203"/>
      <c r="T95" s="203"/>
      <c r="U95" s="203"/>
      <c r="V95" s="203"/>
      <c r="W95" s="203"/>
      <c r="X95" s="35"/>
      <c r="Y95" s="35"/>
      <c r="Z95" s="35"/>
    </row>
    <row r="96" ht="12.75" customHeight="1">
      <c r="A96" s="35"/>
      <c r="B96" s="203"/>
      <c r="C96" s="203"/>
      <c r="D96" s="203"/>
      <c r="E96" s="203"/>
      <c r="F96" s="203"/>
      <c r="G96" s="203"/>
      <c r="H96" s="203"/>
      <c r="I96" s="203"/>
      <c r="J96" s="203"/>
      <c r="K96" s="203"/>
      <c r="L96" s="203"/>
      <c r="M96" s="203"/>
      <c r="N96" s="203"/>
      <c r="O96" s="203"/>
      <c r="P96" s="203"/>
      <c r="Q96" s="203"/>
      <c r="R96" s="203"/>
      <c r="S96" s="203"/>
      <c r="T96" s="203"/>
      <c r="U96" s="203"/>
      <c r="V96" s="203"/>
      <c r="W96" s="203"/>
      <c r="X96" s="35"/>
      <c r="Y96" s="35"/>
      <c r="Z96" s="35"/>
    </row>
    <row r="97" ht="12.75" customHeight="1">
      <c r="A97" s="35"/>
      <c r="B97" s="203"/>
      <c r="C97" s="203"/>
      <c r="D97" s="203"/>
      <c r="E97" s="203"/>
      <c r="F97" s="203"/>
      <c r="G97" s="203"/>
      <c r="H97" s="203"/>
      <c r="I97" s="203"/>
      <c r="J97" s="203"/>
      <c r="K97" s="203"/>
      <c r="L97" s="203"/>
      <c r="M97" s="203"/>
      <c r="N97" s="203"/>
      <c r="O97" s="203"/>
      <c r="P97" s="203"/>
      <c r="Q97" s="203"/>
      <c r="R97" s="203"/>
      <c r="S97" s="203"/>
      <c r="T97" s="203"/>
      <c r="U97" s="203"/>
      <c r="V97" s="203"/>
      <c r="W97" s="203"/>
      <c r="X97" s="35"/>
      <c r="Y97" s="35"/>
      <c r="Z97" s="35"/>
    </row>
    <row r="98" ht="12.75" customHeight="1">
      <c r="A98" s="35"/>
      <c r="B98" s="203"/>
      <c r="C98" s="203"/>
      <c r="D98" s="203"/>
      <c r="E98" s="203"/>
      <c r="F98" s="203"/>
      <c r="G98" s="203"/>
      <c r="H98" s="203"/>
      <c r="I98" s="203"/>
      <c r="J98" s="203"/>
      <c r="K98" s="203"/>
      <c r="L98" s="203"/>
      <c r="M98" s="203"/>
      <c r="N98" s="203"/>
      <c r="O98" s="203"/>
      <c r="P98" s="203"/>
      <c r="Q98" s="203"/>
      <c r="R98" s="203"/>
      <c r="S98" s="203"/>
      <c r="T98" s="203"/>
      <c r="U98" s="203"/>
      <c r="V98" s="203"/>
      <c r="W98" s="203"/>
      <c r="X98" s="35"/>
      <c r="Y98" s="35"/>
      <c r="Z98" s="35"/>
    </row>
    <row r="99" ht="12.75" customHeight="1">
      <c r="A99" s="35"/>
      <c r="B99" s="203"/>
      <c r="C99" s="203"/>
      <c r="D99" s="203"/>
      <c r="E99" s="203"/>
      <c r="F99" s="203"/>
      <c r="G99" s="203"/>
      <c r="H99" s="203"/>
      <c r="I99" s="203"/>
      <c r="J99" s="203"/>
      <c r="K99" s="203"/>
      <c r="L99" s="203"/>
      <c r="M99" s="203"/>
      <c r="N99" s="203"/>
      <c r="O99" s="203"/>
      <c r="P99" s="203"/>
      <c r="Q99" s="203"/>
      <c r="R99" s="203"/>
      <c r="S99" s="203"/>
      <c r="T99" s="203"/>
      <c r="U99" s="203"/>
      <c r="V99" s="203"/>
      <c r="W99" s="203"/>
      <c r="X99" s="35"/>
      <c r="Y99" s="35"/>
      <c r="Z99" s="35"/>
    </row>
    <row r="100" ht="12.75" customHeight="1">
      <c r="A100" s="35"/>
      <c r="B100" s="203"/>
      <c r="C100" s="203"/>
      <c r="D100" s="203"/>
      <c r="E100" s="203"/>
      <c r="F100" s="203"/>
      <c r="G100" s="203"/>
      <c r="H100" s="203"/>
      <c r="I100" s="203"/>
      <c r="J100" s="203"/>
      <c r="K100" s="203"/>
      <c r="L100" s="203"/>
      <c r="M100" s="203"/>
      <c r="N100" s="203"/>
      <c r="O100" s="203"/>
      <c r="P100" s="203"/>
      <c r="Q100" s="203"/>
      <c r="R100" s="203"/>
      <c r="S100" s="203"/>
      <c r="T100" s="203"/>
      <c r="U100" s="203"/>
      <c r="V100" s="203"/>
      <c r="W100" s="203"/>
      <c r="X100" s="35"/>
      <c r="Y100" s="35"/>
      <c r="Z100" s="35"/>
    </row>
    <row r="101" ht="12.75" customHeight="1">
      <c r="A101" s="35"/>
      <c r="B101" s="203"/>
      <c r="C101" s="203"/>
      <c r="D101" s="203"/>
      <c r="E101" s="203"/>
      <c r="F101" s="203"/>
      <c r="G101" s="203"/>
      <c r="H101" s="203"/>
      <c r="I101" s="203"/>
      <c r="J101" s="203"/>
      <c r="K101" s="203"/>
      <c r="L101" s="203"/>
      <c r="M101" s="203"/>
      <c r="N101" s="203"/>
      <c r="O101" s="203"/>
      <c r="P101" s="203"/>
      <c r="Q101" s="203"/>
      <c r="R101" s="203"/>
      <c r="S101" s="203"/>
      <c r="T101" s="203"/>
      <c r="U101" s="203"/>
      <c r="V101" s="203"/>
      <c r="W101" s="203"/>
      <c r="X101" s="35"/>
      <c r="Y101" s="35"/>
      <c r="Z101" s="35"/>
    </row>
    <row r="102" ht="12.75" customHeight="1">
      <c r="A102" s="35"/>
      <c r="B102" s="203"/>
      <c r="C102" s="203"/>
      <c r="D102" s="203"/>
      <c r="E102" s="203"/>
      <c r="F102" s="203"/>
      <c r="G102" s="203"/>
      <c r="H102" s="203"/>
      <c r="I102" s="203"/>
      <c r="J102" s="203"/>
      <c r="K102" s="203"/>
      <c r="L102" s="203"/>
      <c r="M102" s="203"/>
      <c r="N102" s="203"/>
      <c r="O102" s="203"/>
      <c r="P102" s="203"/>
      <c r="Q102" s="203"/>
      <c r="R102" s="203"/>
      <c r="S102" s="203"/>
      <c r="T102" s="203"/>
      <c r="U102" s="203"/>
      <c r="V102" s="203"/>
      <c r="W102" s="203"/>
      <c r="X102" s="35"/>
      <c r="Y102" s="35"/>
      <c r="Z102" s="35"/>
    </row>
    <row r="103" ht="12.75" customHeight="1">
      <c r="A103" s="35"/>
      <c r="B103" s="203"/>
      <c r="C103" s="203"/>
      <c r="D103" s="203"/>
      <c r="E103" s="203"/>
      <c r="F103" s="203"/>
      <c r="G103" s="203"/>
      <c r="H103" s="203"/>
      <c r="I103" s="203"/>
      <c r="J103" s="203"/>
      <c r="K103" s="203"/>
      <c r="L103" s="203"/>
      <c r="M103" s="203"/>
      <c r="N103" s="203"/>
      <c r="O103" s="203"/>
      <c r="P103" s="203"/>
      <c r="Q103" s="203"/>
      <c r="R103" s="203"/>
      <c r="S103" s="203"/>
      <c r="T103" s="203"/>
      <c r="U103" s="203"/>
      <c r="V103" s="203"/>
      <c r="W103" s="203"/>
      <c r="X103" s="35"/>
      <c r="Y103" s="35"/>
      <c r="Z103" s="35"/>
    </row>
    <row r="104" ht="12.75" customHeight="1">
      <c r="A104" s="35"/>
      <c r="B104" s="203"/>
      <c r="C104" s="203"/>
      <c r="D104" s="203"/>
      <c r="E104" s="203"/>
      <c r="F104" s="203"/>
      <c r="G104" s="203"/>
      <c r="H104" s="203"/>
      <c r="I104" s="203"/>
      <c r="J104" s="203"/>
      <c r="K104" s="203"/>
      <c r="L104" s="203"/>
      <c r="M104" s="203"/>
      <c r="N104" s="203"/>
      <c r="O104" s="203"/>
      <c r="P104" s="203"/>
      <c r="Q104" s="203"/>
      <c r="R104" s="203"/>
      <c r="S104" s="203"/>
      <c r="T104" s="203"/>
      <c r="U104" s="203"/>
      <c r="V104" s="203"/>
      <c r="W104" s="203"/>
      <c r="X104" s="35"/>
      <c r="Y104" s="35"/>
      <c r="Z104" s="35"/>
    </row>
    <row r="105" ht="12.75" customHeight="1">
      <c r="A105" s="35"/>
      <c r="B105" s="203"/>
      <c r="C105" s="203"/>
      <c r="D105" s="203"/>
      <c r="E105" s="203"/>
      <c r="F105" s="203"/>
      <c r="G105" s="203"/>
      <c r="H105" s="203"/>
      <c r="I105" s="203"/>
      <c r="J105" s="203"/>
      <c r="K105" s="203"/>
      <c r="L105" s="203"/>
      <c r="M105" s="203"/>
      <c r="N105" s="203"/>
      <c r="O105" s="203"/>
      <c r="P105" s="203"/>
      <c r="Q105" s="203"/>
      <c r="R105" s="203"/>
      <c r="S105" s="203"/>
      <c r="T105" s="203"/>
      <c r="U105" s="203"/>
      <c r="V105" s="203"/>
      <c r="W105" s="203"/>
      <c r="X105" s="35"/>
      <c r="Y105" s="35"/>
      <c r="Z105" s="35"/>
    </row>
    <row r="106" ht="12.75" customHeight="1">
      <c r="A106" s="35"/>
      <c r="B106" s="203"/>
      <c r="C106" s="203"/>
      <c r="D106" s="203"/>
      <c r="E106" s="203"/>
      <c r="F106" s="203"/>
      <c r="G106" s="203"/>
      <c r="H106" s="203"/>
      <c r="I106" s="203"/>
      <c r="J106" s="203"/>
      <c r="K106" s="203"/>
      <c r="L106" s="203"/>
      <c r="M106" s="203"/>
      <c r="N106" s="203"/>
      <c r="O106" s="203"/>
      <c r="P106" s="203"/>
      <c r="Q106" s="203"/>
      <c r="R106" s="203"/>
      <c r="S106" s="203"/>
      <c r="T106" s="203"/>
      <c r="U106" s="203"/>
      <c r="V106" s="203"/>
      <c r="W106" s="203"/>
      <c r="X106" s="35"/>
      <c r="Y106" s="35"/>
      <c r="Z106" s="35"/>
    </row>
    <row r="107" ht="12.75" customHeight="1">
      <c r="A107" s="35"/>
      <c r="B107" s="203"/>
      <c r="C107" s="203"/>
      <c r="D107" s="203"/>
      <c r="E107" s="203"/>
      <c r="F107" s="203"/>
      <c r="G107" s="203"/>
      <c r="H107" s="203"/>
      <c r="I107" s="203"/>
      <c r="J107" s="203"/>
      <c r="K107" s="203"/>
      <c r="L107" s="203"/>
      <c r="M107" s="203"/>
      <c r="N107" s="203"/>
      <c r="O107" s="203"/>
      <c r="P107" s="203"/>
      <c r="Q107" s="203"/>
      <c r="R107" s="203"/>
      <c r="S107" s="203"/>
      <c r="T107" s="203"/>
      <c r="U107" s="203"/>
      <c r="V107" s="203"/>
      <c r="W107" s="203"/>
      <c r="X107" s="35"/>
      <c r="Y107" s="35"/>
      <c r="Z107" s="35"/>
    </row>
    <row r="108" ht="12.75" customHeight="1">
      <c r="A108" s="35"/>
      <c r="B108" s="203"/>
      <c r="C108" s="203"/>
      <c r="D108" s="203"/>
      <c r="E108" s="203"/>
      <c r="F108" s="203"/>
      <c r="G108" s="203"/>
      <c r="H108" s="203"/>
      <c r="I108" s="203"/>
      <c r="J108" s="203"/>
      <c r="K108" s="203"/>
      <c r="L108" s="203"/>
      <c r="M108" s="203"/>
      <c r="N108" s="203"/>
      <c r="O108" s="203"/>
      <c r="P108" s="203"/>
      <c r="Q108" s="203"/>
      <c r="R108" s="203"/>
      <c r="S108" s="203"/>
      <c r="T108" s="203"/>
      <c r="U108" s="203"/>
      <c r="V108" s="203"/>
      <c r="W108" s="203"/>
      <c r="X108" s="35"/>
      <c r="Y108" s="35"/>
      <c r="Z108" s="35"/>
    </row>
    <row r="109" ht="12.75" customHeight="1">
      <c r="A109" s="35"/>
      <c r="B109" s="203"/>
      <c r="C109" s="203"/>
      <c r="D109" s="203"/>
      <c r="E109" s="203"/>
      <c r="F109" s="203"/>
      <c r="G109" s="203"/>
      <c r="H109" s="203"/>
      <c r="I109" s="203"/>
      <c r="J109" s="203"/>
      <c r="K109" s="203"/>
      <c r="L109" s="203"/>
      <c r="M109" s="203"/>
      <c r="N109" s="203"/>
      <c r="O109" s="203"/>
      <c r="P109" s="203"/>
      <c r="Q109" s="203"/>
      <c r="R109" s="203"/>
      <c r="S109" s="203"/>
      <c r="T109" s="203"/>
      <c r="U109" s="203"/>
      <c r="V109" s="203"/>
      <c r="W109" s="203"/>
      <c r="X109" s="35"/>
      <c r="Y109" s="35"/>
      <c r="Z109" s="35"/>
    </row>
    <row r="110" ht="12.75" customHeight="1">
      <c r="A110" s="35"/>
      <c r="B110" s="203"/>
      <c r="C110" s="203"/>
      <c r="D110" s="203"/>
      <c r="E110" s="203"/>
      <c r="F110" s="203"/>
      <c r="G110" s="203"/>
      <c r="H110" s="203"/>
      <c r="I110" s="203"/>
      <c r="J110" s="203"/>
      <c r="K110" s="203"/>
      <c r="L110" s="203"/>
      <c r="M110" s="203"/>
      <c r="N110" s="203"/>
      <c r="O110" s="203"/>
      <c r="P110" s="203"/>
      <c r="Q110" s="203"/>
      <c r="R110" s="203"/>
      <c r="S110" s="203"/>
      <c r="T110" s="203"/>
      <c r="U110" s="203"/>
      <c r="V110" s="203"/>
      <c r="W110" s="203"/>
      <c r="X110" s="35"/>
      <c r="Y110" s="35"/>
      <c r="Z110" s="35"/>
    </row>
    <row r="111" ht="12.75" customHeight="1">
      <c r="A111" s="35"/>
      <c r="B111" s="203"/>
      <c r="C111" s="203"/>
      <c r="D111" s="203"/>
      <c r="E111" s="203"/>
      <c r="F111" s="203"/>
      <c r="G111" s="203"/>
      <c r="H111" s="203"/>
      <c r="I111" s="203"/>
      <c r="J111" s="203"/>
      <c r="K111" s="203"/>
      <c r="L111" s="203"/>
      <c r="M111" s="203"/>
      <c r="N111" s="203"/>
      <c r="O111" s="203"/>
      <c r="P111" s="203"/>
      <c r="Q111" s="203"/>
      <c r="R111" s="203"/>
      <c r="S111" s="203"/>
      <c r="T111" s="203"/>
      <c r="U111" s="203"/>
      <c r="V111" s="203"/>
      <c r="W111" s="203"/>
      <c r="X111" s="35"/>
      <c r="Y111" s="35"/>
      <c r="Z111" s="35"/>
    </row>
    <row r="112" ht="12.75" customHeight="1">
      <c r="A112" s="35"/>
      <c r="B112" s="203"/>
      <c r="C112" s="203"/>
      <c r="D112" s="203"/>
      <c r="E112" s="203"/>
      <c r="F112" s="203"/>
      <c r="G112" s="203"/>
      <c r="H112" s="203"/>
      <c r="I112" s="203"/>
      <c r="J112" s="203"/>
      <c r="K112" s="203"/>
      <c r="L112" s="203"/>
      <c r="M112" s="203"/>
      <c r="N112" s="203"/>
      <c r="O112" s="203"/>
      <c r="P112" s="203"/>
      <c r="Q112" s="203"/>
      <c r="R112" s="203"/>
      <c r="S112" s="203"/>
      <c r="T112" s="203"/>
      <c r="U112" s="203"/>
      <c r="V112" s="203"/>
      <c r="W112" s="203"/>
      <c r="X112" s="35"/>
      <c r="Y112" s="35"/>
      <c r="Z112" s="35"/>
    </row>
    <row r="113" ht="12.75" customHeight="1">
      <c r="A113" s="35"/>
      <c r="B113" s="203"/>
      <c r="C113" s="203"/>
      <c r="D113" s="203"/>
      <c r="E113" s="203"/>
      <c r="F113" s="203"/>
      <c r="G113" s="203"/>
      <c r="H113" s="203"/>
      <c r="I113" s="203"/>
      <c r="J113" s="203"/>
      <c r="K113" s="203"/>
      <c r="L113" s="203"/>
      <c r="M113" s="203"/>
      <c r="N113" s="203"/>
      <c r="O113" s="203"/>
      <c r="P113" s="203"/>
      <c r="Q113" s="203"/>
      <c r="R113" s="203"/>
      <c r="S113" s="203"/>
      <c r="T113" s="203"/>
      <c r="U113" s="203"/>
      <c r="V113" s="203"/>
      <c r="W113" s="203"/>
      <c r="X113" s="35"/>
      <c r="Y113" s="35"/>
      <c r="Z113" s="35"/>
    </row>
    <row r="114" ht="12.75" customHeight="1">
      <c r="A114" s="35"/>
      <c r="B114" s="203"/>
      <c r="C114" s="203"/>
      <c r="D114" s="203"/>
      <c r="E114" s="203"/>
      <c r="F114" s="203"/>
      <c r="G114" s="203"/>
      <c r="H114" s="203"/>
      <c r="I114" s="203"/>
      <c r="J114" s="203"/>
      <c r="K114" s="203"/>
      <c r="L114" s="203"/>
      <c r="M114" s="203"/>
      <c r="N114" s="203"/>
      <c r="O114" s="203"/>
      <c r="P114" s="203"/>
      <c r="Q114" s="203"/>
      <c r="R114" s="203"/>
      <c r="S114" s="203"/>
      <c r="T114" s="203"/>
      <c r="U114" s="203"/>
      <c r="V114" s="203"/>
      <c r="W114" s="203"/>
      <c r="X114" s="35"/>
      <c r="Y114" s="35"/>
      <c r="Z114" s="35"/>
    </row>
    <row r="115" ht="12.75" customHeight="1">
      <c r="A115" s="35"/>
      <c r="B115" s="203"/>
      <c r="C115" s="203"/>
      <c r="D115" s="203"/>
      <c r="E115" s="203"/>
      <c r="F115" s="203"/>
      <c r="G115" s="203"/>
      <c r="H115" s="203"/>
      <c r="I115" s="203"/>
      <c r="J115" s="203"/>
      <c r="K115" s="203"/>
      <c r="L115" s="203"/>
      <c r="M115" s="203"/>
      <c r="N115" s="203"/>
      <c r="O115" s="203"/>
      <c r="P115" s="203"/>
      <c r="Q115" s="203"/>
      <c r="R115" s="203"/>
      <c r="S115" s="203"/>
      <c r="T115" s="203"/>
      <c r="U115" s="203"/>
      <c r="V115" s="203"/>
      <c r="W115" s="203"/>
      <c r="X115" s="35"/>
      <c r="Y115" s="35"/>
      <c r="Z115" s="35"/>
    </row>
    <row r="116" ht="12.75" customHeight="1">
      <c r="A116" s="35"/>
      <c r="B116" s="203"/>
      <c r="C116" s="203"/>
      <c r="D116" s="203"/>
      <c r="E116" s="203"/>
      <c r="F116" s="203"/>
      <c r="G116" s="203"/>
      <c r="H116" s="203"/>
      <c r="I116" s="203"/>
      <c r="J116" s="203"/>
      <c r="K116" s="203"/>
      <c r="L116" s="203"/>
      <c r="M116" s="203"/>
      <c r="N116" s="203"/>
      <c r="O116" s="203"/>
      <c r="P116" s="203"/>
      <c r="Q116" s="203"/>
      <c r="R116" s="203"/>
      <c r="S116" s="203"/>
      <c r="T116" s="203"/>
      <c r="U116" s="203"/>
      <c r="V116" s="203"/>
      <c r="W116" s="203"/>
      <c r="X116" s="35"/>
      <c r="Y116" s="35"/>
      <c r="Z116" s="35"/>
    </row>
    <row r="117" ht="12.75" customHeight="1">
      <c r="A117" s="35"/>
      <c r="B117" s="203"/>
      <c r="C117" s="203"/>
      <c r="D117" s="203"/>
      <c r="E117" s="203"/>
      <c r="F117" s="203"/>
      <c r="G117" s="203"/>
      <c r="H117" s="203"/>
      <c r="I117" s="203"/>
      <c r="J117" s="203"/>
      <c r="K117" s="203"/>
      <c r="L117" s="203"/>
      <c r="M117" s="203"/>
      <c r="N117" s="203"/>
      <c r="O117" s="203"/>
      <c r="P117" s="203"/>
      <c r="Q117" s="203"/>
      <c r="R117" s="203"/>
      <c r="S117" s="203"/>
      <c r="T117" s="203"/>
      <c r="U117" s="203"/>
      <c r="V117" s="203"/>
      <c r="W117" s="203"/>
      <c r="X117" s="35"/>
      <c r="Y117" s="35"/>
      <c r="Z117" s="35"/>
    </row>
    <row r="118" ht="12.75" customHeight="1">
      <c r="A118" s="35"/>
      <c r="B118" s="203"/>
      <c r="C118" s="203"/>
      <c r="D118" s="203"/>
      <c r="E118" s="203"/>
      <c r="F118" s="203"/>
      <c r="G118" s="203"/>
      <c r="H118" s="203"/>
      <c r="I118" s="203"/>
      <c r="J118" s="203"/>
      <c r="K118" s="203"/>
      <c r="L118" s="203"/>
      <c r="M118" s="203"/>
      <c r="N118" s="203"/>
      <c r="O118" s="203"/>
      <c r="P118" s="203"/>
      <c r="Q118" s="203"/>
      <c r="R118" s="203"/>
      <c r="S118" s="203"/>
      <c r="T118" s="203"/>
      <c r="U118" s="203"/>
      <c r="V118" s="203"/>
      <c r="W118" s="203"/>
      <c r="X118" s="35"/>
      <c r="Y118" s="35"/>
      <c r="Z118" s="35"/>
    </row>
    <row r="119" ht="12.75" customHeight="1">
      <c r="A119" s="35"/>
      <c r="B119" s="203"/>
      <c r="C119" s="203"/>
      <c r="D119" s="203"/>
      <c r="E119" s="203"/>
      <c r="F119" s="203"/>
      <c r="G119" s="203"/>
      <c r="H119" s="203"/>
      <c r="I119" s="203"/>
      <c r="J119" s="203"/>
      <c r="K119" s="203"/>
      <c r="L119" s="203"/>
      <c r="M119" s="203"/>
      <c r="N119" s="203"/>
      <c r="O119" s="203"/>
      <c r="P119" s="203"/>
      <c r="Q119" s="203"/>
      <c r="R119" s="203"/>
      <c r="S119" s="203"/>
      <c r="T119" s="203"/>
      <c r="U119" s="203"/>
      <c r="V119" s="203"/>
      <c r="W119" s="203"/>
      <c r="X119" s="35"/>
      <c r="Y119" s="35"/>
      <c r="Z119" s="35"/>
    </row>
    <row r="120" ht="12.75" customHeight="1">
      <c r="A120" s="35"/>
      <c r="B120" s="203"/>
      <c r="C120" s="203"/>
      <c r="D120" s="203"/>
      <c r="E120" s="203"/>
      <c r="F120" s="203"/>
      <c r="G120" s="203"/>
      <c r="H120" s="203"/>
      <c r="I120" s="203"/>
      <c r="J120" s="203"/>
      <c r="K120" s="203"/>
      <c r="L120" s="203"/>
      <c r="M120" s="203"/>
      <c r="N120" s="203"/>
      <c r="O120" s="203"/>
      <c r="P120" s="203"/>
      <c r="Q120" s="203"/>
      <c r="R120" s="203"/>
      <c r="S120" s="203"/>
      <c r="T120" s="203"/>
      <c r="U120" s="203"/>
      <c r="V120" s="203"/>
      <c r="W120" s="203"/>
      <c r="X120" s="35"/>
      <c r="Y120" s="35"/>
      <c r="Z120" s="35"/>
    </row>
    <row r="121" ht="12.75" customHeight="1">
      <c r="A121" s="35"/>
      <c r="B121" s="203"/>
      <c r="C121" s="203"/>
      <c r="D121" s="203"/>
      <c r="E121" s="203"/>
      <c r="F121" s="203"/>
      <c r="G121" s="203"/>
      <c r="H121" s="203"/>
      <c r="I121" s="203"/>
      <c r="J121" s="203"/>
      <c r="K121" s="203"/>
      <c r="L121" s="203"/>
      <c r="M121" s="203"/>
      <c r="N121" s="203"/>
      <c r="O121" s="203"/>
      <c r="P121" s="203"/>
      <c r="Q121" s="203"/>
      <c r="R121" s="203"/>
      <c r="S121" s="203"/>
      <c r="T121" s="203"/>
      <c r="U121" s="203"/>
      <c r="V121" s="203"/>
      <c r="W121" s="203"/>
      <c r="X121" s="35"/>
      <c r="Y121" s="35"/>
      <c r="Z121" s="35"/>
    </row>
    <row r="122" ht="12.75" customHeight="1">
      <c r="A122" s="35"/>
      <c r="B122" s="203"/>
      <c r="C122" s="203"/>
      <c r="D122" s="203"/>
      <c r="E122" s="203"/>
      <c r="F122" s="203"/>
      <c r="G122" s="203"/>
      <c r="H122" s="203"/>
      <c r="I122" s="203"/>
      <c r="J122" s="203"/>
      <c r="K122" s="203"/>
      <c r="L122" s="203"/>
      <c r="M122" s="203"/>
      <c r="N122" s="203"/>
      <c r="O122" s="203"/>
      <c r="P122" s="203"/>
      <c r="Q122" s="203"/>
      <c r="R122" s="203"/>
      <c r="S122" s="203"/>
      <c r="T122" s="203"/>
      <c r="U122" s="203"/>
      <c r="V122" s="203"/>
      <c r="W122" s="203"/>
      <c r="X122" s="35"/>
      <c r="Y122" s="35"/>
      <c r="Z122" s="35"/>
    </row>
    <row r="123" ht="12.75" customHeight="1">
      <c r="A123" s="35"/>
      <c r="B123" s="203"/>
      <c r="C123" s="203"/>
      <c r="D123" s="203"/>
      <c r="E123" s="203"/>
      <c r="F123" s="203"/>
      <c r="G123" s="203"/>
      <c r="H123" s="203"/>
      <c r="I123" s="203"/>
      <c r="J123" s="203"/>
      <c r="K123" s="203"/>
      <c r="L123" s="203"/>
      <c r="M123" s="203"/>
      <c r="N123" s="203"/>
      <c r="O123" s="203"/>
      <c r="P123" s="203"/>
      <c r="Q123" s="203"/>
      <c r="R123" s="203"/>
      <c r="S123" s="203"/>
      <c r="T123" s="203"/>
      <c r="U123" s="203"/>
      <c r="V123" s="203"/>
      <c r="W123" s="203"/>
      <c r="X123" s="35"/>
      <c r="Y123" s="35"/>
      <c r="Z123" s="35"/>
    </row>
    <row r="124" ht="12.75" customHeight="1">
      <c r="A124" s="35"/>
      <c r="B124" s="203"/>
      <c r="C124" s="203"/>
      <c r="D124" s="203"/>
      <c r="E124" s="203"/>
      <c r="F124" s="203"/>
      <c r="G124" s="203"/>
      <c r="H124" s="203"/>
      <c r="I124" s="203"/>
      <c r="J124" s="203"/>
      <c r="K124" s="203"/>
      <c r="L124" s="203"/>
      <c r="M124" s="203"/>
      <c r="N124" s="203"/>
      <c r="O124" s="203"/>
      <c r="P124" s="203"/>
      <c r="Q124" s="203"/>
      <c r="R124" s="203"/>
      <c r="S124" s="203"/>
      <c r="T124" s="203"/>
      <c r="U124" s="203"/>
      <c r="V124" s="203"/>
      <c r="W124" s="203"/>
      <c r="X124" s="35"/>
      <c r="Y124" s="35"/>
      <c r="Z124" s="35"/>
    </row>
    <row r="125" ht="12.75" customHeight="1">
      <c r="A125" s="35"/>
      <c r="B125" s="203"/>
      <c r="C125" s="203"/>
      <c r="D125" s="203"/>
      <c r="E125" s="203"/>
      <c r="F125" s="203"/>
      <c r="G125" s="203"/>
      <c r="H125" s="203"/>
      <c r="I125" s="203"/>
      <c r="J125" s="203"/>
      <c r="K125" s="203"/>
      <c r="L125" s="203"/>
      <c r="M125" s="203"/>
      <c r="N125" s="203"/>
      <c r="O125" s="203"/>
      <c r="P125" s="203"/>
      <c r="Q125" s="203"/>
      <c r="R125" s="203"/>
      <c r="S125" s="203"/>
      <c r="T125" s="203"/>
      <c r="U125" s="203"/>
      <c r="V125" s="203"/>
      <c r="W125" s="203"/>
      <c r="X125" s="35"/>
      <c r="Y125" s="35"/>
      <c r="Z125" s="35"/>
    </row>
    <row r="126" ht="12.75" customHeight="1">
      <c r="A126" s="35"/>
      <c r="B126" s="203"/>
      <c r="C126" s="203"/>
      <c r="D126" s="203"/>
      <c r="E126" s="203"/>
      <c r="F126" s="203"/>
      <c r="G126" s="203"/>
      <c r="H126" s="203"/>
      <c r="I126" s="203"/>
      <c r="J126" s="203"/>
      <c r="K126" s="203"/>
      <c r="L126" s="203"/>
      <c r="M126" s="203"/>
      <c r="N126" s="203"/>
      <c r="O126" s="203"/>
      <c r="P126" s="203"/>
      <c r="Q126" s="203"/>
      <c r="R126" s="203"/>
      <c r="S126" s="203"/>
      <c r="T126" s="203"/>
      <c r="U126" s="203"/>
      <c r="V126" s="203"/>
      <c r="W126" s="203"/>
      <c r="X126" s="35"/>
      <c r="Y126" s="35"/>
      <c r="Z126" s="35"/>
    </row>
    <row r="127" ht="12.75" customHeight="1">
      <c r="A127" s="35"/>
      <c r="B127" s="203"/>
      <c r="C127" s="203"/>
      <c r="D127" s="203"/>
      <c r="E127" s="203"/>
      <c r="F127" s="203"/>
      <c r="G127" s="203"/>
      <c r="H127" s="203"/>
      <c r="I127" s="203"/>
      <c r="J127" s="203"/>
      <c r="K127" s="203"/>
      <c r="L127" s="203"/>
      <c r="M127" s="203"/>
      <c r="N127" s="203"/>
      <c r="O127" s="203"/>
      <c r="P127" s="203"/>
      <c r="Q127" s="203"/>
      <c r="R127" s="203"/>
      <c r="S127" s="203"/>
      <c r="T127" s="203"/>
      <c r="U127" s="203"/>
      <c r="V127" s="203"/>
      <c r="W127" s="203"/>
      <c r="X127" s="35"/>
      <c r="Y127" s="35"/>
      <c r="Z127" s="35"/>
    </row>
    <row r="128" ht="12.75" customHeight="1">
      <c r="A128" s="35"/>
      <c r="B128" s="203"/>
      <c r="C128" s="203"/>
      <c r="D128" s="203"/>
      <c r="E128" s="203"/>
      <c r="F128" s="203"/>
      <c r="G128" s="203"/>
      <c r="H128" s="203"/>
      <c r="I128" s="203"/>
      <c r="J128" s="203"/>
      <c r="K128" s="203"/>
      <c r="L128" s="203"/>
      <c r="M128" s="203"/>
      <c r="N128" s="203"/>
      <c r="O128" s="203"/>
      <c r="P128" s="203"/>
      <c r="Q128" s="203"/>
      <c r="R128" s="203"/>
      <c r="S128" s="203"/>
      <c r="T128" s="203"/>
      <c r="U128" s="203"/>
      <c r="V128" s="203"/>
      <c r="W128" s="203"/>
      <c r="X128" s="35"/>
      <c r="Y128" s="35"/>
      <c r="Z128" s="35"/>
    </row>
    <row r="129" ht="12.75" customHeight="1">
      <c r="A129" s="35"/>
      <c r="B129" s="203"/>
      <c r="C129" s="203"/>
      <c r="D129" s="203"/>
      <c r="E129" s="203"/>
      <c r="F129" s="203"/>
      <c r="G129" s="203"/>
      <c r="H129" s="203"/>
      <c r="I129" s="203"/>
      <c r="J129" s="203"/>
      <c r="K129" s="203"/>
      <c r="L129" s="203"/>
      <c r="M129" s="203"/>
      <c r="N129" s="203"/>
      <c r="O129" s="203"/>
      <c r="P129" s="203"/>
      <c r="Q129" s="203"/>
      <c r="R129" s="203"/>
      <c r="S129" s="203"/>
      <c r="T129" s="203"/>
      <c r="U129" s="203"/>
      <c r="V129" s="203"/>
      <c r="W129" s="203"/>
      <c r="X129" s="35"/>
      <c r="Y129" s="35"/>
      <c r="Z129" s="35"/>
    </row>
    <row r="130" ht="12.75" customHeight="1">
      <c r="A130" s="35"/>
      <c r="B130" s="203"/>
      <c r="C130" s="203"/>
      <c r="D130" s="203"/>
      <c r="E130" s="203"/>
      <c r="F130" s="203"/>
      <c r="G130" s="203"/>
      <c r="H130" s="203"/>
      <c r="I130" s="203"/>
      <c r="J130" s="203"/>
      <c r="K130" s="203"/>
      <c r="L130" s="203"/>
      <c r="M130" s="203"/>
      <c r="N130" s="203"/>
      <c r="O130" s="203"/>
      <c r="P130" s="203"/>
      <c r="Q130" s="203"/>
      <c r="R130" s="203"/>
      <c r="S130" s="203"/>
      <c r="T130" s="203"/>
      <c r="U130" s="203"/>
      <c r="V130" s="203"/>
      <c r="W130" s="203"/>
      <c r="X130" s="35"/>
      <c r="Y130" s="35"/>
      <c r="Z130" s="35"/>
    </row>
    <row r="131" ht="12.75" customHeight="1">
      <c r="A131" s="35"/>
      <c r="B131" s="203"/>
      <c r="C131" s="203"/>
      <c r="D131" s="203"/>
      <c r="E131" s="203"/>
      <c r="F131" s="203"/>
      <c r="G131" s="203"/>
      <c r="H131" s="203"/>
      <c r="I131" s="203"/>
      <c r="J131" s="203"/>
      <c r="K131" s="203"/>
      <c r="L131" s="203"/>
      <c r="M131" s="203"/>
      <c r="N131" s="203"/>
      <c r="O131" s="203"/>
      <c r="P131" s="203"/>
      <c r="Q131" s="203"/>
      <c r="R131" s="203"/>
      <c r="S131" s="203"/>
      <c r="T131" s="203"/>
      <c r="U131" s="203"/>
      <c r="V131" s="203"/>
      <c r="W131" s="203"/>
      <c r="X131" s="35"/>
      <c r="Y131" s="35"/>
      <c r="Z131" s="35"/>
    </row>
    <row r="132" ht="12.75" customHeight="1">
      <c r="A132" s="35"/>
      <c r="B132" s="203"/>
      <c r="C132" s="203"/>
      <c r="D132" s="203"/>
      <c r="E132" s="203"/>
      <c r="F132" s="203"/>
      <c r="G132" s="203"/>
      <c r="H132" s="203"/>
      <c r="I132" s="203"/>
      <c r="J132" s="203"/>
      <c r="K132" s="203"/>
      <c r="L132" s="203"/>
      <c r="M132" s="203"/>
      <c r="N132" s="203"/>
      <c r="O132" s="203"/>
      <c r="P132" s="203"/>
      <c r="Q132" s="203"/>
      <c r="R132" s="203"/>
      <c r="S132" s="203"/>
      <c r="T132" s="203"/>
      <c r="U132" s="203"/>
      <c r="V132" s="203"/>
      <c r="W132" s="203"/>
      <c r="X132" s="35"/>
      <c r="Y132" s="35"/>
      <c r="Z132" s="35"/>
    </row>
    <row r="133" ht="12.75" customHeight="1">
      <c r="A133" s="35"/>
      <c r="B133" s="203"/>
      <c r="C133" s="203"/>
      <c r="D133" s="203"/>
      <c r="E133" s="203"/>
      <c r="F133" s="203"/>
      <c r="G133" s="203"/>
      <c r="H133" s="203"/>
      <c r="I133" s="203"/>
      <c r="J133" s="203"/>
      <c r="K133" s="203"/>
      <c r="L133" s="203"/>
      <c r="M133" s="203"/>
      <c r="N133" s="203"/>
      <c r="O133" s="203"/>
      <c r="P133" s="203"/>
      <c r="Q133" s="203"/>
      <c r="R133" s="203"/>
      <c r="S133" s="203"/>
      <c r="T133" s="203"/>
      <c r="U133" s="203"/>
      <c r="V133" s="203"/>
      <c r="W133" s="203"/>
      <c r="X133" s="35"/>
      <c r="Y133" s="35"/>
      <c r="Z133" s="35"/>
    </row>
    <row r="134" ht="12.75" customHeight="1">
      <c r="A134" s="35"/>
      <c r="B134" s="203"/>
      <c r="C134" s="203"/>
      <c r="D134" s="203"/>
      <c r="E134" s="203"/>
      <c r="F134" s="203"/>
      <c r="G134" s="203"/>
      <c r="H134" s="203"/>
      <c r="I134" s="203"/>
      <c r="J134" s="203"/>
      <c r="K134" s="203"/>
      <c r="L134" s="203"/>
      <c r="M134" s="203"/>
      <c r="N134" s="203"/>
      <c r="O134" s="203"/>
      <c r="P134" s="203"/>
      <c r="Q134" s="203"/>
      <c r="R134" s="203"/>
      <c r="S134" s="203"/>
      <c r="T134" s="203"/>
      <c r="U134" s="203"/>
      <c r="V134" s="203"/>
      <c r="W134" s="203"/>
      <c r="X134" s="35"/>
      <c r="Y134" s="35"/>
      <c r="Z134" s="35"/>
    </row>
    <row r="135" ht="12.75" customHeight="1">
      <c r="A135" s="35"/>
      <c r="B135" s="203"/>
      <c r="C135" s="203"/>
      <c r="D135" s="203"/>
      <c r="E135" s="203"/>
      <c r="F135" s="203"/>
      <c r="G135" s="203"/>
      <c r="H135" s="203"/>
      <c r="I135" s="203"/>
      <c r="J135" s="203"/>
      <c r="K135" s="203"/>
      <c r="L135" s="203"/>
      <c r="M135" s="203"/>
      <c r="N135" s="203"/>
      <c r="O135" s="203"/>
      <c r="P135" s="203"/>
      <c r="Q135" s="203"/>
      <c r="R135" s="203"/>
      <c r="S135" s="203"/>
      <c r="T135" s="203"/>
      <c r="U135" s="203"/>
      <c r="V135" s="203"/>
      <c r="W135" s="203"/>
      <c r="X135" s="35"/>
      <c r="Y135" s="35"/>
      <c r="Z135" s="35"/>
    </row>
    <row r="136" ht="12.75" customHeight="1">
      <c r="A136" s="35"/>
      <c r="B136" s="203"/>
      <c r="C136" s="203"/>
      <c r="D136" s="203"/>
      <c r="E136" s="203"/>
      <c r="F136" s="203"/>
      <c r="G136" s="203"/>
      <c r="H136" s="203"/>
      <c r="I136" s="203"/>
      <c r="J136" s="203"/>
      <c r="K136" s="203"/>
      <c r="L136" s="203"/>
      <c r="M136" s="203"/>
      <c r="N136" s="203"/>
      <c r="O136" s="203"/>
      <c r="P136" s="203"/>
      <c r="Q136" s="203"/>
      <c r="R136" s="203"/>
      <c r="S136" s="203"/>
      <c r="T136" s="203"/>
      <c r="U136" s="203"/>
      <c r="V136" s="203"/>
      <c r="W136" s="203"/>
      <c r="X136" s="35"/>
      <c r="Y136" s="35"/>
      <c r="Z136" s="35"/>
    </row>
    <row r="137" ht="12.75" customHeight="1">
      <c r="A137" s="35"/>
      <c r="B137" s="203"/>
      <c r="C137" s="203"/>
      <c r="D137" s="203"/>
      <c r="E137" s="203"/>
      <c r="F137" s="203"/>
      <c r="G137" s="203"/>
      <c r="H137" s="203"/>
      <c r="I137" s="203"/>
      <c r="J137" s="203"/>
      <c r="K137" s="203"/>
      <c r="L137" s="203"/>
      <c r="M137" s="203"/>
      <c r="N137" s="203"/>
      <c r="O137" s="203"/>
      <c r="P137" s="203"/>
      <c r="Q137" s="203"/>
      <c r="R137" s="203"/>
      <c r="S137" s="203"/>
      <c r="T137" s="203"/>
      <c r="U137" s="203"/>
      <c r="V137" s="203"/>
      <c r="W137" s="203"/>
      <c r="X137" s="35"/>
      <c r="Y137" s="35"/>
      <c r="Z137" s="35"/>
    </row>
    <row r="138" ht="12.75" customHeight="1">
      <c r="A138" s="35"/>
      <c r="B138" s="203"/>
      <c r="C138" s="203"/>
      <c r="D138" s="203"/>
      <c r="E138" s="203"/>
      <c r="F138" s="203"/>
      <c r="G138" s="203"/>
      <c r="H138" s="203"/>
      <c r="I138" s="203"/>
      <c r="J138" s="203"/>
      <c r="K138" s="203"/>
      <c r="L138" s="203"/>
      <c r="M138" s="203"/>
      <c r="N138" s="203"/>
      <c r="O138" s="203"/>
      <c r="P138" s="203"/>
      <c r="Q138" s="203"/>
      <c r="R138" s="203"/>
      <c r="S138" s="203"/>
      <c r="T138" s="203"/>
      <c r="U138" s="203"/>
      <c r="V138" s="203"/>
      <c r="W138" s="203"/>
      <c r="X138" s="35"/>
      <c r="Y138" s="35"/>
      <c r="Z138" s="35"/>
    </row>
    <row r="139" ht="12.75" customHeight="1">
      <c r="A139" s="35"/>
      <c r="B139" s="203"/>
      <c r="C139" s="203"/>
      <c r="D139" s="203"/>
      <c r="E139" s="203"/>
      <c r="F139" s="203"/>
      <c r="G139" s="203"/>
      <c r="H139" s="203"/>
      <c r="I139" s="203"/>
      <c r="J139" s="203"/>
      <c r="K139" s="203"/>
      <c r="L139" s="203"/>
      <c r="M139" s="203"/>
      <c r="N139" s="203"/>
      <c r="O139" s="203"/>
      <c r="P139" s="203"/>
      <c r="Q139" s="203"/>
      <c r="R139" s="203"/>
      <c r="S139" s="203"/>
      <c r="T139" s="203"/>
      <c r="U139" s="203"/>
      <c r="V139" s="203"/>
      <c r="W139" s="203"/>
      <c r="X139" s="35"/>
      <c r="Y139" s="35"/>
      <c r="Z139" s="35"/>
    </row>
    <row r="140" ht="12.75" customHeight="1">
      <c r="A140" s="35"/>
      <c r="B140" s="203"/>
      <c r="C140" s="203"/>
      <c r="D140" s="203"/>
      <c r="E140" s="203"/>
      <c r="F140" s="203"/>
      <c r="G140" s="203"/>
      <c r="H140" s="203"/>
      <c r="I140" s="203"/>
      <c r="J140" s="203"/>
      <c r="K140" s="203"/>
      <c r="L140" s="203"/>
      <c r="M140" s="203"/>
      <c r="N140" s="203"/>
      <c r="O140" s="203"/>
      <c r="P140" s="203"/>
      <c r="Q140" s="203"/>
      <c r="R140" s="203"/>
      <c r="S140" s="203"/>
      <c r="T140" s="203"/>
      <c r="U140" s="203"/>
      <c r="V140" s="203"/>
      <c r="W140" s="203"/>
      <c r="X140" s="35"/>
      <c r="Y140" s="35"/>
      <c r="Z140" s="35"/>
    </row>
    <row r="141" ht="12.75" customHeight="1">
      <c r="A141" s="35"/>
      <c r="B141" s="203"/>
      <c r="C141" s="203"/>
      <c r="D141" s="203"/>
      <c r="E141" s="203"/>
      <c r="F141" s="203"/>
      <c r="G141" s="203"/>
      <c r="H141" s="203"/>
      <c r="I141" s="203"/>
      <c r="J141" s="203"/>
      <c r="K141" s="203"/>
      <c r="L141" s="203"/>
      <c r="M141" s="203"/>
      <c r="N141" s="203"/>
      <c r="O141" s="203"/>
      <c r="P141" s="203"/>
      <c r="Q141" s="203"/>
      <c r="R141" s="203"/>
      <c r="S141" s="203"/>
      <c r="T141" s="203"/>
      <c r="U141" s="203"/>
      <c r="V141" s="203"/>
      <c r="W141" s="203"/>
      <c r="X141" s="35"/>
      <c r="Y141" s="35"/>
      <c r="Z141" s="35"/>
    </row>
    <row r="142" ht="12.75" customHeight="1">
      <c r="A142" s="35"/>
      <c r="B142" s="203"/>
      <c r="C142" s="203"/>
      <c r="D142" s="203"/>
      <c r="E142" s="203"/>
      <c r="F142" s="203"/>
      <c r="G142" s="203"/>
      <c r="H142" s="203"/>
      <c r="I142" s="203"/>
      <c r="J142" s="203"/>
      <c r="K142" s="203"/>
      <c r="L142" s="203"/>
      <c r="M142" s="203"/>
      <c r="N142" s="203"/>
      <c r="O142" s="203"/>
      <c r="P142" s="203"/>
      <c r="Q142" s="203"/>
      <c r="R142" s="203"/>
      <c r="S142" s="203"/>
      <c r="T142" s="203"/>
      <c r="U142" s="203"/>
      <c r="V142" s="203"/>
      <c r="W142" s="203"/>
      <c r="X142" s="35"/>
      <c r="Y142" s="35"/>
      <c r="Z142" s="35"/>
    </row>
    <row r="143" ht="12.75" customHeight="1">
      <c r="A143" s="35"/>
      <c r="B143" s="203"/>
      <c r="C143" s="203"/>
      <c r="D143" s="203"/>
      <c r="E143" s="203"/>
      <c r="F143" s="203"/>
      <c r="G143" s="203"/>
      <c r="H143" s="203"/>
      <c r="I143" s="203"/>
      <c r="J143" s="203"/>
      <c r="K143" s="203"/>
      <c r="L143" s="203"/>
      <c r="M143" s="203"/>
      <c r="N143" s="203"/>
      <c r="O143" s="203"/>
      <c r="P143" s="203"/>
      <c r="Q143" s="203"/>
      <c r="R143" s="203"/>
      <c r="S143" s="203"/>
      <c r="T143" s="203"/>
      <c r="U143" s="203"/>
      <c r="V143" s="203"/>
      <c r="W143" s="203"/>
      <c r="X143" s="35"/>
      <c r="Y143" s="35"/>
      <c r="Z143" s="35"/>
    </row>
    <row r="144" ht="12.75" customHeight="1">
      <c r="A144" s="35"/>
      <c r="B144" s="203"/>
      <c r="C144" s="203"/>
      <c r="D144" s="203"/>
      <c r="E144" s="203"/>
      <c r="F144" s="203"/>
      <c r="G144" s="203"/>
      <c r="H144" s="203"/>
      <c r="I144" s="203"/>
      <c r="J144" s="203"/>
      <c r="K144" s="203"/>
      <c r="L144" s="203"/>
      <c r="M144" s="203"/>
      <c r="N144" s="203"/>
      <c r="O144" s="203"/>
      <c r="P144" s="203"/>
      <c r="Q144" s="203"/>
      <c r="R144" s="203"/>
      <c r="S144" s="203"/>
      <c r="T144" s="203"/>
      <c r="U144" s="203"/>
      <c r="V144" s="203"/>
      <c r="W144" s="203"/>
      <c r="X144" s="35"/>
      <c r="Y144" s="35"/>
      <c r="Z144" s="35"/>
    </row>
    <row r="145" ht="12.75" customHeight="1">
      <c r="A145" s="35"/>
      <c r="B145" s="203"/>
      <c r="C145" s="203"/>
      <c r="D145" s="203"/>
      <c r="E145" s="203"/>
      <c r="F145" s="203"/>
      <c r="G145" s="203"/>
      <c r="H145" s="203"/>
      <c r="I145" s="203"/>
      <c r="J145" s="203"/>
      <c r="K145" s="203"/>
      <c r="L145" s="203"/>
      <c r="M145" s="203"/>
      <c r="N145" s="203"/>
      <c r="O145" s="203"/>
      <c r="P145" s="203"/>
      <c r="Q145" s="203"/>
      <c r="R145" s="203"/>
      <c r="S145" s="203"/>
      <c r="T145" s="203"/>
      <c r="U145" s="203"/>
      <c r="V145" s="203"/>
      <c r="W145" s="203"/>
      <c r="X145" s="35"/>
      <c r="Y145" s="35"/>
      <c r="Z145" s="35"/>
    </row>
    <row r="146" ht="12.75" customHeight="1">
      <c r="A146" s="35"/>
      <c r="B146" s="203"/>
      <c r="C146" s="203"/>
      <c r="D146" s="203"/>
      <c r="E146" s="203"/>
      <c r="F146" s="203"/>
      <c r="G146" s="203"/>
      <c r="H146" s="203"/>
      <c r="I146" s="203"/>
      <c r="J146" s="203"/>
      <c r="K146" s="203"/>
      <c r="L146" s="203"/>
      <c r="M146" s="203"/>
      <c r="N146" s="203"/>
      <c r="O146" s="203"/>
      <c r="P146" s="203"/>
      <c r="Q146" s="203"/>
      <c r="R146" s="203"/>
      <c r="S146" s="203"/>
      <c r="T146" s="203"/>
      <c r="U146" s="203"/>
      <c r="V146" s="203"/>
      <c r="W146" s="203"/>
      <c r="X146" s="35"/>
      <c r="Y146" s="35"/>
      <c r="Z146" s="35"/>
    </row>
    <row r="147" ht="12.75" customHeight="1">
      <c r="A147" s="35"/>
      <c r="B147" s="203"/>
      <c r="C147" s="203"/>
      <c r="D147" s="203"/>
      <c r="E147" s="203"/>
      <c r="F147" s="203"/>
      <c r="G147" s="203"/>
      <c r="H147" s="203"/>
      <c r="I147" s="203"/>
      <c r="J147" s="203"/>
      <c r="K147" s="203"/>
      <c r="L147" s="203"/>
      <c r="M147" s="203"/>
      <c r="N147" s="203"/>
      <c r="O147" s="203"/>
      <c r="P147" s="203"/>
      <c r="Q147" s="203"/>
      <c r="R147" s="203"/>
      <c r="S147" s="203"/>
      <c r="T147" s="203"/>
      <c r="U147" s="203"/>
      <c r="V147" s="203"/>
      <c r="W147" s="203"/>
      <c r="X147" s="35"/>
      <c r="Y147" s="35"/>
      <c r="Z147" s="35"/>
    </row>
    <row r="148" ht="12.75" customHeight="1">
      <c r="A148" s="35"/>
      <c r="B148" s="203"/>
      <c r="C148" s="203"/>
      <c r="D148" s="203"/>
      <c r="E148" s="203"/>
      <c r="F148" s="203"/>
      <c r="G148" s="203"/>
      <c r="H148" s="203"/>
      <c r="I148" s="203"/>
      <c r="J148" s="203"/>
      <c r="K148" s="203"/>
      <c r="L148" s="203"/>
      <c r="M148" s="203"/>
      <c r="N148" s="203"/>
      <c r="O148" s="203"/>
      <c r="P148" s="203"/>
      <c r="Q148" s="203"/>
      <c r="R148" s="203"/>
      <c r="S148" s="203"/>
      <c r="T148" s="203"/>
      <c r="U148" s="203"/>
      <c r="V148" s="203"/>
      <c r="W148" s="203"/>
      <c r="X148" s="35"/>
      <c r="Y148" s="35"/>
      <c r="Z148" s="35"/>
    </row>
    <row r="149" ht="12.75" customHeight="1">
      <c r="A149" s="35"/>
      <c r="B149" s="203"/>
      <c r="C149" s="203"/>
      <c r="D149" s="203"/>
      <c r="E149" s="203"/>
      <c r="F149" s="203"/>
      <c r="G149" s="203"/>
      <c r="H149" s="203"/>
      <c r="I149" s="203"/>
      <c r="J149" s="203"/>
      <c r="K149" s="203"/>
      <c r="L149" s="203"/>
      <c r="M149" s="203"/>
      <c r="N149" s="203"/>
      <c r="O149" s="203"/>
      <c r="P149" s="203"/>
      <c r="Q149" s="203"/>
      <c r="R149" s="203"/>
      <c r="S149" s="203"/>
      <c r="T149" s="203"/>
      <c r="U149" s="203"/>
      <c r="V149" s="203"/>
      <c r="W149" s="203"/>
      <c r="X149" s="35"/>
      <c r="Y149" s="35"/>
      <c r="Z149" s="35"/>
    </row>
    <row r="150" ht="12.75" customHeight="1">
      <c r="A150" s="35"/>
      <c r="B150" s="203"/>
      <c r="C150" s="203"/>
      <c r="D150" s="203"/>
      <c r="E150" s="203"/>
      <c r="F150" s="203"/>
      <c r="G150" s="203"/>
      <c r="H150" s="203"/>
      <c r="I150" s="203"/>
      <c r="J150" s="203"/>
      <c r="K150" s="203"/>
      <c r="L150" s="203"/>
      <c r="M150" s="203"/>
      <c r="N150" s="203"/>
      <c r="O150" s="203"/>
      <c r="P150" s="203"/>
      <c r="Q150" s="203"/>
      <c r="R150" s="203"/>
      <c r="S150" s="203"/>
      <c r="T150" s="203"/>
      <c r="U150" s="203"/>
      <c r="V150" s="203"/>
      <c r="W150" s="203"/>
      <c r="X150" s="35"/>
      <c r="Y150" s="35"/>
      <c r="Z150" s="35"/>
    </row>
    <row r="151" ht="12.75" customHeight="1">
      <c r="A151" s="35"/>
      <c r="B151" s="203"/>
      <c r="C151" s="203"/>
      <c r="D151" s="203"/>
      <c r="E151" s="203"/>
      <c r="F151" s="203"/>
      <c r="G151" s="203"/>
      <c r="H151" s="203"/>
      <c r="I151" s="203"/>
      <c r="J151" s="203"/>
      <c r="K151" s="203"/>
      <c r="L151" s="203"/>
      <c r="M151" s="203"/>
      <c r="N151" s="203"/>
      <c r="O151" s="203"/>
      <c r="P151" s="203"/>
      <c r="Q151" s="203"/>
      <c r="R151" s="203"/>
      <c r="S151" s="203"/>
      <c r="T151" s="203"/>
      <c r="U151" s="203"/>
      <c r="V151" s="203"/>
      <c r="W151" s="203"/>
      <c r="X151" s="35"/>
      <c r="Y151" s="35"/>
      <c r="Z151" s="35"/>
    </row>
    <row r="152" ht="12.75" customHeight="1">
      <c r="A152" s="35"/>
      <c r="B152" s="203"/>
      <c r="C152" s="203"/>
      <c r="D152" s="203"/>
      <c r="E152" s="203"/>
      <c r="F152" s="203"/>
      <c r="G152" s="203"/>
      <c r="H152" s="203"/>
      <c r="I152" s="203"/>
      <c r="J152" s="203"/>
      <c r="K152" s="203"/>
      <c r="L152" s="203"/>
      <c r="M152" s="203"/>
      <c r="N152" s="203"/>
      <c r="O152" s="203"/>
      <c r="P152" s="203"/>
      <c r="Q152" s="203"/>
      <c r="R152" s="203"/>
      <c r="S152" s="203"/>
      <c r="T152" s="203"/>
      <c r="U152" s="203"/>
      <c r="V152" s="203"/>
      <c r="W152" s="203"/>
      <c r="X152" s="35"/>
      <c r="Y152" s="35"/>
      <c r="Z152" s="35"/>
    </row>
    <row r="153" ht="12.75" customHeight="1">
      <c r="A153" s="35"/>
      <c r="B153" s="203"/>
      <c r="C153" s="203"/>
      <c r="D153" s="203"/>
      <c r="E153" s="203"/>
      <c r="F153" s="203"/>
      <c r="G153" s="203"/>
      <c r="H153" s="203"/>
      <c r="I153" s="203"/>
      <c r="J153" s="203"/>
      <c r="K153" s="203"/>
      <c r="L153" s="203"/>
      <c r="M153" s="203"/>
      <c r="N153" s="203"/>
      <c r="O153" s="203"/>
      <c r="P153" s="203"/>
      <c r="Q153" s="203"/>
      <c r="R153" s="203"/>
      <c r="S153" s="203"/>
      <c r="T153" s="203"/>
      <c r="U153" s="203"/>
      <c r="V153" s="203"/>
      <c r="W153" s="203"/>
      <c r="X153" s="35"/>
      <c r="Y153" s="35"/>
      <c r="Z153" s="35"/>
    </row>
    <row r="154" ht="12.75" customHeight="1">
      <c r="A154" s="35"/>
      <c r="B154" s="203"/>
      <c r="C154" s="203"/>
      <c r="D154" s="203"/>
      <c r="E154" s="203"/>
      <c r="F154" s="203"/>
      <c r="G154" s="203"/>
      <c r="H154" s="203"/>
      <c r="I154" s="203"/>
      <c r="J154" s="203"/>
      <c r="K154" s="203"/>
      <c r="L154" s="203"/>
      <c r="M154" s="203"/>
      <c r="N154" s="203"/>
      <c r="O154" s="203"/>
      <c r="P154" s="203"/>
      <c r="Q154" s="203"/>
      <c r="R154" s="203"/>
      <c r="S154" s="203"/>
      <c r="T154" s="203"/>
      <c r="U154" s="203"/>
      <c r="V154" s="203"/>
      <c r="W154" s="203"/>
      <c r="X154" s="35"/>
      <c r="Y154" s="35"/>
      <c r="Z154" s="35"/>
    </row>
    <row r="155" ht="12.75" customHeight="1">
      <c r="A155" s="35"/>
      <c r="B155" s="203"/>
      <c r="C155" s="203"/>
      <c r="D155" s="203"/>
      <c r="E155" s="203"/>
      <c r="F155" s="203"/>
      <c r="G155" s="203"/>
      <c r="H155" s="203"/>
      <c r="I155" s="203"/>
      <c r="J155" s="203"/>
      <c r="K155" s="203"/>
      <c r="L155" s="203"/>
      <c r="M155" s="203"/>
      <c r="N155" s="203"/>
      <c r="O155" s="203"/>
      <c r="P155" s="203"/>
      <c r="Q155" s="203"/>
      <c r="R155" s="203"/>
      <c r="S155" s="203"/>
      <c r="T155" s="203"/>
      <c r="U155" s="203"/>
      <c r="V155" s="203"/>
      <c r="W155" s="203"/>
      <c r="X155" s="35"/>
      <c r="Y155" s="35"/>
      <c r="Z155" s="35"/>
    </row>
    <row r="156" ht="12.75" customHeight="1">
      <c r="A156" s="35"/>
      <c r="B156" s="203"/>
      <c r="C156" s="203"/>
      <c r="D156" s="203"/>
      <c r="E156" s="203"/>
      <c r="F156" s="203"/>
      <c r="G156" s="203"/>
      <c r="H156" s="203"/>
      <c r="I156" s="203"/>
      <c r="J156" s="203"/>
      <c r="K156" s="203"/>
      <c r="L156" s="203"/>
      <c r="M156" s="203"/>
      <c r="N156" s="203"/>
      <c r="O156" s="203"/>
      <c r="P156" s="203"/>
      <c r="Q156" s="203"/>
      <c r="R156" s="203"/>
      <c r="S156" s="203"/>
      <c r="T156" s="203"/>
      <c r="U156" s="203"/>
      <c r="V156" s="203"/>
      <c r="W156" s="203"/>
      <c r="X156" s="35"/>
      <c r="Y156" s="35"/>
      <c r="Z156" s="35"/>
    </row>
    <row r="157" ht="12.75" customHeight="1">
      <c r="A157" s="35"/>
      <c r="B157" s="203"/>
      <c r="C157" s="203"/>
      <c r="D157" s="203"/>
      <c r="E157" s="203"/>
      <c r="F157" s="203"/>
      <c r="G157" s="203"/>
      <c r="H157" s="203"/>
      <c r="I157" s="203"/>
      <c r="J157" s="203"/>
      <c r="K157" s="203"/>
      <c r="L157" s="203"/>
      <c r="M157" s="203"/>
      <c r="N157" s="203"/>
      <c r="O157" s="203"/>
      <c r="P157" s="203"/>
      <c r="Q157" s="203"/>
      <c r="R157" s="203"/>
      <c r="S157" s="203"/>
      <c r="T157" s="203"/>
      <c r="U157" s="203"/>
      <c r="V157" s="203"/>
      <c r="W157" s="203"/>
      <c r="X157" s="35"/>
      <c r="Y157" s="35"/>
      <c r="Z157" s="35"/>
    </row>
    <row r="158" ht="12.75" customHeight="1">
      <c r="A158" s="35"/>
      <c r="B158" s="203"/>
      <c r="C158" s="203"/>
      <c r="D158" s="203"/>
      <c r="E158" s="203"/>
      <c r="F158" s="203"/>
      <c r="G158" s="203"/>
      <c r="H158" s="203"/>
      <c r="I158" s="203"/>
      <c r="J158" s="203"/>
      <c r="K158" s="203"/>
      <c r="L158" s="203"/>
      <c r="M158" s="203"/>
      <c r="N158" s="203"/>
      <c r="O158" s="203"/>
      <c r="P158" s="203"/>
      <c r="Q158" s="203"/>
      <c r="R158" s="203"/>
      <c r="S158" s="203"/>
      <c r="T158" s="203"/>
      <c r="U158" s="203"/>
      <c r="V158" s="203"/>
      <c r="W158" s="203"/>
      <c r="X158" s="35"/>
      <c r="Y158" s="35"/>
      <c r="Z158" s="35"/>
    </row>
    <row r="159" ht="12.75" customHeight="1">
      <c r="A159" s="35"/>
      <c r="B159" s="203"/>
      <c r="C159" s="203"/>
      <c r="D159" s="203"/>
      <c r="E159" s="203"/>
      <c r="F159" s="203"/>
      <c r="G159" s="203"/>
      <c r="H159" s="203"/>
      <c r="I159" s="203"/>
      <c r="J159" s="203"/>
      <c r="K159" s="203"/>
      <c r="L159" s="203"/>
      <c r="M159" s="203"/>
      <c r="N159" s="203"/>
      <c r="O159" s="203"/>
      <c r="P159" s="203"/>
      <c r="Q159" s="203"/>
      <c r="R159" s="203"/>
      <c r="S159" s="203"/>
      <c r="T159" s="203"/>
      <c r="U159" s="203"/>
      <c r="V159" s="203"/>
      <c r="W159" s="203"/>
      <c r="X159" s="35"/>
      <c r="Y159" s="35"/>
      <c r="Z159" s="35"/>
    </row>
    <row r="160" ht="12.75" customHeight="1">
      <c r="A160" s="35"/>
      <c r="B160" s="203"/>
      <c r="C160" s="203"/>
      <c r="D160" s="203"/>
      <c r="E160" s="203"/>
      <c r="F160" s="203"/>
      <c r="G160" s="203"/>
      <c r="H160" s="203"/>
      <c r="I160" s="203"/>
      <c r="J160" s="203"/>
      <c r="K160" s="203"/>
      <c r="L160" s="203"/>
      <c r="M160" s="203"/>
      <c r="N160" s="203"/>
      <c r="O160" s="203"/>
      <c r="P160" s="203"/>
      <c r="Q160" s="203"/>
      <c r="R160" s="203"/>
      <c r="S160" s="203"/>
      <c r="T160" s="203"/>
      <c r="U160" s="203"/>
      <c r="V160" s="203"/>
      <c r="W160" s="203"/>
      <c r="X160" s="35"/>
      <c r="Y160" s="35"/>
      <c r="Z160" s="35"/>
    </row>
    <row r="161" ht="12.75" customHeight="1">
      <c r="A161" s="35"/>
      <c r="B161" s="203"/>
      <c r="C161" s="203"/>
      <c r="D161" s="203"/>
      <c r="E161" s="203"/>
      <c r="F161" s="203"/>
      <c r="G161" s="203"/>
      <c r="H161" s="203"/>
      <c r="I161" s="203"/>
      <c r="J161" s="203"/>
      <c r="K161" s="203"/>
      <c r="L161" s="203"/>
      <c r="M161" s="203"/>
      <c r="N161" s="203"/>
      <c r="O161" s="203"/>
      <c r="P161" s="203"/>
      <c r="Q161" s="203"/>
      <c r="R161" s="203"/>
      <c r="S161" s="203"/>
      <c r="T161" s="203"/>
      <c r="U161" s="203"/>
      <c r="V161" s="203"/>
      <c r="W161" s="203"/>
      <c r="X161" s="35"/>
      <c r="Y161" s="35"/>
      <c r="Z161" s="35"/>
    </row>
    <row r="162" ht="12.75" customHeight="1">
      <c r="A162" s="35"/>
      <c r="B162" s="203"/>
      <c r="C162" s="203"/>
      <c r="D162" s="203"/>
      <c r="E162" s="203"/>
      <c r="F162" s="203"/>
      <c r="G162" s="203"/>
      <c r="H162" s="203"/>
      <c r="I162" s="203"/>
      <c r="J162" s="203"/>
      <c r="K162" s="203"/>
      <c r="L162" s="203"/>
      <c r="M162" s="203"/>
      <c r="N162" s="203"/>
      <c r="O162" s="203"/>
      <c r="P162" s="203"/>
      <c r="Q162" s="203"/>
      <c r="R162" s="203"/>
      <c r="S162" s="203"/>
      <c r="T162" s="203"/>
      <c r="U162" s="203"/>
      <c r="V162" s="203"/>
      <c r="W162" s="203"/>
      <c r="X162" s="35"/>
      <c r="Y162" s="35"/>
      <c r="Z162" s="35"/>
    </row>
    <row r="163" ht="12.75" customHeight="1">
      <c r="A163" s="35"/>
      <c r="B163" s="203"/>
      <c r="C163" s="203"/>
      <c r="D163" s="203"/>
      <c r="E163" s="203"/>
      <c r="F163" s="203"/>
      <c r="G163" s="203"/>
      <c r="H163" s="203"/>
      <c r="I163" s="203"/>
      <c r="J163" s="203"/>
      <c r="K163" s="203"/>
      <c r="L163" s="203"/>
      <c r="M163" s="203"/>
      <c r="N163" s="203"/>
      <c r="O163" s="203"/>
      <c r="P163" s="203"/>
      <c r="Q163" s="203"/>
      <c r="R163" s="203"/>
      <c r="S163" s="203"/>
      <c r="T163" s="203"/>
      <c r="U163" s="203"/>
      <c r="V163" s="203"/>
      <c r="W163" s="203"/>
      <c r="X163" s="35"/>
      <c r="Y163" s="35"/>
      <c r="Z163" s="35"/>
    </row>
    <row r="164" ht="12.75" customHeight="1">
      <c r="A164" s="35"/>
      <c r="B164" s="203"/>
      <c r="C164" s="203"/>
      <c r="D164" s="203"/>
      <c r="E164" s="203"/>
      <c r="F164" s="203"/>
      <c r="G164" s="203"/>
      <c r="H164" s="203"/>
      <c r="I164" s="203"/>
      <c r="J164" s="203"/>
      <c r="K164" s="203"/>
      <c r="L164" s="203"/>
      <c r="M164" s="203"/>
      <c r="N164" s="203"/>
      <c r="O164" s="203"/>
      <c r="P164" s="203"/>
      <c r="Q164" s="203"/>
      <c r="R164" s="203"/>
      <c r="S164" s="203"/>
      <c r="T164" s="203"/>
      <c r="U164" s="203"/>
      <c r="V164" s="203"/>
      <c r="W164" s="203"/>
      <c r="X164" s="35"/>
      <c r="Y164" s="35"/>
      <c r="Z164" s="35"/>
    </row>
    <row r="165" ht="12.75" customHeight="1">
      <c r="A165" s="35"/>
      <c r="B165" s="203"/>
      <c r="C165" s="203"/>
      <c r="D165" s="203"/>
      <c r="E165" s="203"/>
      <c r="F165" s="203"/>
      <c r="G165" s="203"/>
      <c r="H165" s="203"/>
      <c r="I165" s="203"/>
      <c r="J165" s="203"/>
      <c r="K165" s="203"/>
      <c r="L165" s="203"/>
      <c r="M165" s="203"/>
      <c r="N165" s="203"/>
      <c r="O165" s="203"/>
      <c r="P165" s="203"/>
      <c r="Q165" s="203"/>
      <c r="R165" s="203"/>
      <c r="S165" s="203"/>
      <c r="T165" s="203"/>
      <c r="U165" s="203"/>
      <c r="V165" s="203"/>
      <c r="W165" s="203"/>
      <c r="X165" s="35"/>
      <c r="Y165" s="35"/>
      <c r="Z165" s="35"/>
    </row>
    <row r="166" ht="12.75" customHeight="1">
      <c r="A166" s="35"/>
      <c r="B166" s="203"/>
      <c r="C166" s="203"/>
      <c r="D166" s="203"/>
      <c r="E166" s="203"/>
      <c r="F166" s="203"/>
      <c r="G166" s="203"/>
      <c r="H166" s="203"/>
      <c r="I166" s="203"/>
      <c r="J166" s="203"/>
      <c r="K166" s="203"/>
      <c r="L166" s="203"/>
      <c r="M166" s="203"/>
      <c r="N166" s="203"/>
      <c r="O166" s="203"/>
      <c r="P166" s="203"/>
      <c r="Q166" s="203"/>
      <c r="R166" s="203"/>
      <c r="S166" s="203"/>
      <c r="T166" s="203"/>
      <c r="U166" s="203"/>
      <c r="V166" s="203"/>
      <c r="W166" s="203"/>
      <c r="X166" s="35"/>
      <c r="Y166" s="35"/>
      <c r="Z166" s="35"/>
    </row>
    <row r="167" ht="12.75" customHeight="1">
      <c r="A167" s="35"/>
      <c r="B167" s="203"/>
      <c r="C167" s="203"/>
      <c r="D167" s="203"/>
      <c r="E167" s="203"/>
      <c r="F167" s="203"/>
      <c r="G167" s="203"/>
      <c r="H167" s="203"/>
      <c r="I167" s="203"/>
      <c r="J167" s="203"/>
      <c r="K167" s="203"/>
      <c r="L167" s="203"/>
      <c r="M167" s="203"/>
      <c r="N167" s="203"/>
      <c r="O167" s="203"/>
      <c r="P167" s="203"/>
      <c r="Q167" s="203"/>
      <c r="R167" s="203"/>
      <c r="S167" s="203"/>
      <c r="T167" s="203"/>
      <c r="U167" s="203"/>
      <c r="V167" s="203"/>
      <c r="W167" s="203"/>
      <c r="X167" s="35"/>
      <c r="Y167" s="35"/>
      <c r="Z167" s="35"/>
    </row>
    <row r="168" ht="12.75" customHeight="1">
      <c r="A168" s="35"/>
      <c r="B168" s="203"/>
      <c r="C168" s="203"/>
      <c r="D168" s="203"/>
      <c r="E168" s="203"/>
      <c r="F168" s="203"/>
      <c r="G168" s="203"/>
      <c r="H168" s="203"/>
      <c r="I168" s="203"/>
      <c r="J168" s="203"/>
      <c r="K168" s="203"/>
      <c r="L168" s="203"/>
      <c r="M168" s="203"/>
      <c r="N168" s="203"/>
      <c r="O168" s="203"/>
      <c r="P168" s="203"/>
      <c r="Q168" s="203"/>
      <c r="R168" s="203"/>
      <c r="S168" s="203"/>
      <c r="T168" s="203"/>
      <c r="U168" s="203"/>
      <c r="V168" s="203"/>
      <c r="W168" s="203"/>
      <c r="X168" s="35"/>
      <c r="Y168" s="35"/>
      <c r="Z168" s="35"/>
    </row>
    <row r="169" ht="12.75" customHeight="1">
      <c r="A169" s="35"/>
      <c r="B169" s="203"/>
      <c r="C169" s="203"/>
      <c r="D169" s="203"/>
      <c r="E169" s="203"/>
      <c r="F169" s="203"/>
      <c r="G169" s="203"/>
      <c r="H169" s="203"/>
      <c r="I169" s="203"/>
      <c r="J169" s="203"/>
      <c r="K169" s="203"/>
      <c r="L169" s="203"/>
      <c r="M169" s="203"/>
      <c r="N169" s="203"/>
      <c r="O169" s="203"/>
      <c r="P169" s="203"/>
      <c r="Q169" s="203"/>
      <c r="R169" s="203"/>
      <c r="S169" s="203"/>
      <c r="T169" s="203"/>
      <c r="U169" s="203"/>
      <c r="V169" s="203"/>
      <c r="W169" s="203"/>
      <c r="X169" s="35"/>
      <c r="Y169" s="35"/>
      <c r="Z169" s="35"/>
    </row>
    <row r="170" ht="12.75" customHeight="1">
      <c r="A170" s="35"/>
      <c r="B170" s="203"/>
      <c r="C170" s="203"/>
      <c r="D170" s="203"/>
      <c r="E170" s="203"/>
      <c r="F170" s="203"/>
      <c r="G170" s="203"/>
      <c r="H170" s="203"/>
      <c r="I170" s="203"/>
      <c r="J170" s="203"/>
      <c r="K170" s="203"/>
      <c r="L170" s="203"/>
      <c r="M170" s="203"/>
      <c r="N170" s="203"/>
      <c r="O170" s="203"/>
      <c r="P170" s="203"/>
      <c r="Q170" s="203"/>
      <c r="R170" s="203"/>
      <c r="S170" s="203"/>
      <c r="T170" s="203"/>
      <c r="U170" s="203"/>
      <c r="V170" s="203"/>
      <c r="W170" s="203"/>
      <c r="X170" s="35"/>
      <c r="Y170" s="35"/>
      <c r="Z170" s="35"/>
    </row>
    <row r="171" ht="12.75" customHeight="1">
      <c r="A171" s="35"/>
      <c r="B171" s="203"/>
      <c r="C171" s="203"/>
      <c r="D171" s="203"/>
      <c r="E171" s="203"/>
      <c r="F171" s="203"/>
      <c r="G171" s="203"/>
      <c r="H171" s="203"/>
      <c r="I171" s="203"/>
      <c r="J171" s="203"/>
      <c r="K171" s="203"/>
      <c r="L171" s="203"/>
      <c r="M171" s="203"/>
      <c r="N171" s="203"/>
      <c r="O171" s="203"/>
      <c r="P171" s="203"/>
      <c r="Q171" s="203"/>
      <c r="R171" s="203"/>
      <c r="S171" s="203"/>
      <c r="T171" s="203"/>
      <c r="U171" s="203"/>
      <c r="V171" s="203"/>
      <c r="W171" s="203"/>
      <c r="X171" s="35"/>
      <c r="Y171" s="35"/>
      <c r="Z171" s="35"/>
    </row>
    <row r="172" ht="12.75" customHeight="1">
      <c r="A172" s="35"/>
      <c r="B172" s="203"/>
      <c r="C172" s="203"/>
      <c r="D172" s="203"/>
      <c r="E172" s="203"/>
      <c r="F172" s="203"/>
      <c r="G172" s="203"/>
      <c r="H172" s="203"/>
      <c r="I172" s="203"/>
      <c r="J172" s="203"/>
      <c r="K172" s="203"/>
      <c r="L172" s="203"/>
      <c r="M172" s="203"/>
      <c r="N172" s="203"/>
      <c r="O172" s="203"/>
      <c r="P172" s="203"/>
      <c r="Q172" s="203"/>
      <c r="R172" s="203"/>
      <c r="S172" s="203"/>
      <c r="T172" s="203"/>
      <c r="U172" s="203"/>
      <c r="V172" s="203"/>
      <c r="W172" s="203"/>
      <c r="X172" s="35"/>
      <c r="Y172" s="35"/>
      <c r="Z172" s="35"/>
    </row>
    <row r="173" ht="12.75" customHeight="1">
      <c r="A173" s="35"/>
      <c r="B173" s="203"/>
      <c r="C173" s="203"/>
      <c r="D173" s="203"/>
      <c r="E173" s="203"/>
      <c r="F173" s="203"/>
      <c r="G173" s="203"/>
      <c r="H173" s="203"/>
      <c r="I173" s="203"/>
      <c r="J173" s="203"/>
      <c r="K173" s="203"/>
      <c r="L173" s="203"/>
      <c r="M173" s="203"/>
      <c r="N173" s="203"/>
      <c r="O173" s="203"/>
      <c r="P173" s="203"/>
      <c r="Q173" s="203"/>
      <c r="R173" s="203"/>
      <c r="S173" s="203"/>
      <c r="T173" s="203"/>
      <c r="U173" s="203"/>
      <c r="V173" s="203"/>
      <c r="W173" s="203"/>
      <c r="X173" s="35"/>
      <c r="Y173" s="35"/>
      <c r="Z173" s="35"/>
    </row>
    <row r="174" ht="12.75" customHeight="1">
      <c r="A174" s="35"/>
      <c r="B174" s="203"/>
      <c r="C174" s="203"/>
      <c r="D174" s="203"/>
      <c r="E174" s="203"/>
      <c r="F174" s="203"/>
      <c r="G174" s="203"/>
      <c r="H174" s="203"/>
      <c r="I174" s="203"/>
      <c r="J174" s="203"/>
      <c r="K174" s="203"/>
      <c r="L174" s="203"/>
      <c r="M174" s="203"/>
      <c r="N174" s="203"/>
      <c r="O174" s="203"/>
      <c r="P174" s="203"/>
      <c r="Q174" s="203"/>
      <c r="R174" s="203"/>
      <c r="S174" s="203"/>
      <c r="T174" s="203"/>
      <c r="U174" s="203"/>
      <c r="V174" s="203"/>
      <c r="W174" s="203"/>
      <c r="X174" s="35"/>
      <c r="Y174" s="35"/>
      <c r="Z174" s="35"/>
    </row>
    <row r="175" ht="12.75" customHeight="1">
      <c r="A175" s="35"/>
      <c r="B175" s="203"/>
      <c r="C175" s="203"/>
      <c r="D175" s="203"/>
      <c r="E175" s="203"/>
      <c r="F175" s="203"/>
      <c r="G175" s="203"/>
      <c r="H175" s="203"/>
      <c r="I175" s="203"/>
      <c r="J175" s="203"/>
      <c r="K175" s="203"/>
      <c r="L175" s="203"/>
      <c r="M175" s="203"/>
      <c r="N175" s="203"/>
      <c r="O175" s="203"/>
      <c r="P175" s="203"/>
      <c r="Q175" s="203"/>
      <c r="R175" s="203"/>
      <c r="S175" s="203"/>
      <c r="T175" s="203"/>
      <c r="U175" s="203"/>
      <c r="V175" s="203"/>
      <c r="W175" s="203"/>
      <c r="X175" s="35"/>
      <c r="Y175" s="35"/>
      <c r="Z175" s="35"/>
    </row>
    <row r="176" ht="12.75" customHeight="1">
      <c r="A176" s="35"/>
      <c r="B176" s="203"/>
      <c r="C176" s="203"/>
      <c r="D176" s="203"/>
      <c r="E176" s="203"/>
      <c r="F176" s="203"/>
      <c r="G176" s="203"/>
      <c r="H176" s="203"/>
      <c r="I176" s="203"/>
      <c r="J176" s="203"/>
      <c r="K176" s="203"/>
      <c r="L176" s="203"/>
      <c r="M176" s="203"/>
      <c r="N176" s="203"/>
      <c r="O176" s="203"/>
      <c r="P176" s="203"/>
      <c r="Q176" s="203"/>
      <c r="R176" s="203"/>
      <c r="S176" s="203"/>
      <c r="T176" s="203"/>
      <c r="U176" s="203"/>
      <c r="V176" s="203"/>
      <c r="W176" s="203"/>
      <c r="X176" s="35"/>
      <c r="Y176" s="35"/>
      <c r="Z176" s="35"/>
    </row>
    <row r="177" ht="12.75" customHeight="1">
      <c r="A177" s="35"/>
      <c r="B177" s="203"/>
      <c r="C177" s="203"/>
      <c r="D177" s="203"/>
      <c r="E177" s="203"/>
      <c r="F177" s="203"/>
      <c r="G177" s="203"/>
      <c r="H177" s="203"/>
      <c r="I177" s="203"/>
      <c r="J177" s="203"/>
      <c r="K177" s="203"/>
      <c r="L177" s="203"/>
      <c r="M177" s="203"/>
      <c r="N177" s="203"/>
      <c r="O177" s="203"/>
      <c r="P177" s="203"/>
      <c r="Q177" s="203"/>
      <c r="R177" s="203"/>
      <c r="S177" s="203"/>
      <c r="T177" s="203"/>
      <c r="U177" s="203"/>
      <c r="V177" s="203"/>
      <c r="W177" s="203"/>
      <c r="X177" s="35"/>
      <c r="Y177" s="35"/>
      <c r="Z177" s="35"/>
    </row>
    <row r="178" ht="12.75" customHeight="1">
      <c r="A178" s="35"/>
      <c r="B178" s="203"/>
      <c r="C178" s="203"/>
      <c r="D178" s="203"/>
      <c r="E178" s="203"/>
      <c r="F178" s="203"/>
      <c r="G178" s="203"/>
      <c r="H178" s="203"/>
      <c r="I178" s="203"/>
      <c r="J178" s="203"/>
      <c r="K178" s="203"/>
      <c r="L178" s="203"/>
      <c r="M178" s="203"/>
      <c r="N178" s="203"/>
      <c r="O178" s="203"/>
      <c r="P178" s="203"/>
      <c r="Q178" s="203"/>
      <c r="R178" s="203"/>
      <c r="S178" s="203"/>
      <c r="T178" s="203"/>
      <c r="U178" s="203"/>
      <c r="V178" s="203"/>
      <c r="W178" s="203"/>
      <c r="X178" s="35"/>
      <c r="Y178" s="35"/>
      <c r="Z178" s="35"/>
    </row>
    <row r="179" ht="12.75" customHeight="1">
      <c r="A179" s="35"/>
      <c r="B179" s="203"/>
      <c r="C179" s="203"/>
      <c r="D179" s="203"/>
      <c r="E179" s="203"/>
      <c r="F179" s="203"/>
      <c r="G179" s="203"/>
      <c r="H179" s="203"/>
      <c r="I179" s="203"/>
      <c r="J179" s="203"/>
      <c r="K179" s="203"/>
      <c r="L179" s="203"/>
      <c r="M179" s="203"/>
      <c r="N179" s="203"/>
      <c r="O179" s="203"/>
      <c r="P179" s="203"/>
      <c r="Q179" s="203"/>
      <c r="R179" s="203"/>
      <c r="S179" s="203"/>
      <c r="T179" s="203"/>
      <c r="U179" s="203"/>
      <c r="V179" s="203"/>
      <c r="W179" s="203"/>
      <c r="X179" s="35"/>
      <c r="Y179" s="35"/>
      <c r="Z179" s="35"/>
    </row>
    <row r="180" ht="12.75" customHeight="1">
      <c r="A180" s="35"/>
      <c r="B180" s="203"/>
      <c r="C180" s="203"/>
      <c r="D180" s="203"/>
      <c r="E180" s="203"/>
      <c r="F180" s="203"/>
      <c r="G180" s="203"/>
      <c r="H180" s="203"/>
      <c r="I180" s="203"/>
      <c r="J180" s="203"/>
      <c r="K180" s="203"/>
      <c r="L180" s="203"/>
      <c r="M180" s="203"/>
      <c r="N180" s="203"/>
      <c r="O180" s="203"/>
      <c r="P180" s="203"/>
      <c r="Q180" s="203"/>
      <c r="R180" s="203"/>
      <c r="S180" s="203"/>
      <c r="T180" s="203"/>
      <c r="U180" s="203"/>
      <c r="V180" s="203"/>
      <c r="W180" s="203"/>
      <c r="X180" s="35"/>
      <c r="Y180" s="35"/>
      <c r="Z180" s="35"/>
    </row>
    <row r="181" ht="12.75" customHeight="1">
      <c r="A181" s="35"/>
      <c r="B181" s="203"/>
      <c r="C181" s="203"/>
      <c r="D181" s="203"/>
      <c r="E181" s="203"/>
      <c r="F181" s="203"/>
      <c r="G181" s="203"/>
      <c r="H181" s="203"/>
      <c r="I181" s="203"/>
      <c r="J181" s="203"/>
      <c r="K181" s="203"/>
      <c r="L181" s="203"/>
      <c r="M181" s="203"/>
      <c r="N181" s="203"/>
      <c r="O181" s="203"/>
      <c r="P181" s="203"/>
      <c r="Q181" s="203"/>
      <c r="R181" s="203"/>
      <c r="S181" s="203"/>
      <c r="T181" s="203"/>
      <c r="U181" s="203"/>
      <c r="V181" s="203"/>
      <c r="W181" s="203"/>
      <c r="X181" s="35"/>
      <c r="Y181" s="35"/>
      <c r="Z181" s="35"/>
    </row>
    <row r="182" ht="12.75" customHeight="1">
      <c r="A182" s="35"/>
      <c r="B182" s="203"/>
      <c r="C182" s="203"/>
      <c r="D182" s="203"/>
      <c r="E182" s="203"/>
      <c r="F182" s="203"/>
      <c r="G182" s="203"/>
      <c r="H182" s="203"/>
      <c r="I182" s="203"/>
      <c r="J182" s="203"/>
      <c r="K182" s="203"/>
      <c r="L182" s="203"/>
      <c r="M182" s="203"/>
      <c r="N182" s="203"/>
      <c r="O182" s="203"/>
      <c r="P182" s="203"/>
      <c r="Q182" s="203"/>
      <c r="R182" s="203"/>
      <c r="S182" s="203"/>
      <c r="T182" s="203"/>
      <c r="U182" s="203"/>
      <c r="V182" s="203"/>
      <c r="W182" s="203"/>
      <c r="X182" s="35"/>
      <c r="Y182" s="35"/>
      <c r="Z182" s="35"/>
    </row>
    <row r="183" ht="12.75" customHeight="1">
      <c r="A183" s="35"/>
      <c r="B183" s="203"/>
      <c r="C183" s="203"/>
      <c r="D183" s="203"/>
      <c r="E183" s="203"/>
      <c r="F183" s="203"/>
      <c r="G183" s="203"/>
      <c r="H183" s="203"/>
      <c r="I183" s="203"/>
      <c r="J183" s="203"/>
      <c r="K183" s="203"/>
      <c r="L183" s="203"/>
      <c r="M183" s="203"/>
      <c r="N183" s="203"/>
      <c r="O183" s="203"/>
      <c r="P183" s="203"/>
      <c r="Q183" s="203"/>
      <c r="R183" s="203"/>
      <c r="S183" s="203"/>
      <c r="T183" s="203"/>
      <c r="U183" s="203"/>
      <c r="V183" s="203"/>
      <c r="W183" s="203"/>
      <c r="X183" s="35"/>
      <c r="Y183" s="35"/>
      <c r="Z183" s="35"/>
    </row>
    <row r="184" ht="12.75" customHeight="1">
      <c r="A184" s="35"/>
      <c r="B184" s="203"/>
      <c r="C184" s="203"/>
      <c r="D184" s="203"/>
      <c r="E184" s="203"/>
      <c r="F184" s="203"/>
      <c r="G184" s="203"/>
      <c r="H184" s="203"/>
      <c r="I184" s="203"/>
      <c r="J184" s="203"/>
      <c r="K184" s="203"/>
      <c r="L184" s="203"/>
      <c r="M184" s="203"/>
      <c r="N184" s="203"/>
      <c r="O184" s="203"/>
      <c r="P184" s="203"/>
      <c r="Q184" s="203"/>
      <c r="R184" s="203"/>
      <c r="S184" s="203"/>
      <c r="T184" s="203"/>
      <c r="U184" s="203"/>
      <c r="V184" s="203"/>
      <c r="W184" s="203"/>
      <c r="X184" s="35"/>
      <c r="Y184" s="35"/>
      <c r="Z184" s="35"/>
    </row>
    <row r="185" ht="12.75" customHeight="1">
      <c r="A185" s="35"/>
      <c r="B185" s="203"/>
      <c r="C185" s="203"/>
      <c r="D185" s="203"/>
      <c r="E185" s="203"/>
      <c r="F185" s="203"/>
      <c r="G185" s="203"/>
      <c r="H185" s="203"/>
      <c r="I185" s="203"/>
      <c r="J185" s="203"/>
      <c r="K185" s="203"/>
      <c r="L185" s="203"/>
      <c r="M185" s="203"/>
      <c r="N185" s="203"/>
      <c r="O185" s="203"/>
      <c r="P185" s="203"/>
      <c r="Q185" s="203"/>
      <c r="R185" s="203"/>
      <c r="S185" s="203"/>
      <c r="T185" s="203"/>
      <c r="U185" s="203"/>
      <c r="V185" s="203"/>
      <c r="W185" s="203"/>
      <c r="X185" s="35"/>
      <c r="Y185" s="35"/>
      <c r="Z185" s="35"/>
    </row>
    <row r="186" ht="12.75" customHeight="1">
      <c r="A186" s="35"/>
      <c r="B186" s="203"/>
      <c r="C186" s="203"/>
      <c r="D186" s="203"/>
      <c r="E186" s="203"/>
      <c r="F186" s="203"/>
      <c r="G186" s="203"/>
      <c r="H186" s="203"/>
      <c r="I186" s="203"/>
      <c r="J186" s="203"/>
      <c r="K186" s="203"/>
      <c r="L186" s="203"/>
      <c r="M186" s="203"/>
      <c r="N186" s="203"/>
      <c r="O186" s="203"/>
      <c r="P186" s="203"/>
      <c r="Q186" s="203"/>
      <c r="R186" s="203"/>
      <c r="S186" s="203"/>
      <c r="T186" s="203"/>
      <c r="U186" s="203"/>
      <c r="V186" s="203"/>
      <c r="W186" s="203"/>
      <c r="X186" s="35"/>
      <c r="Y186" s="35"/>
      <c r="Z186" s="35"/>
    </row>
    <row r="187" ht="12.75" customHeight="1">
      <c r="A187" s="35"/>
      <c r="B187" s="203"/>
      <c r="C187" s="203"/>
      <c r="D187" s="203"/>
      <c r="E187" s="203"/>
      <c r="F187" s="203"/>
      <c r="G187" s="203"/>
      <c r="H187" s="203"/>
      <c r="I187" s="203"/>
      <c r="J187" s="203"/>
      <c r="K187" s="203"/>
      <c r="L187" s="203"/>
      <c r="M187" s="203"/>
      <c r="N187" s="203"/>
      <c r="O187" s="203"/>
      <c r="P187" s="203"/>
      <c r="Q187" s="203"/>
      <c r="R187" s="203"/>
      <c r="S187" s="203"/>
      <c r="T187" s="203"/>
      <c r="U187" s="203"/>
      <c r="V187" s="203"/>
      <c r="W187" s="203"/>
      <c r="X187" s="35"/>
      <c r="Y187" s="35"/>
      <c r="Z187" s="35"/>
    </row>
    <row r="188" ht="12.75" customHeight="1">
      <c r="A188" s="35"/>
      <c r="B188" s="203"/>
      <c r="C188" s="203"/>
      <c r="D188" s="203"/>
      <c r="E188" s="203"/>
      <c r="F188" s="203"/>
      <c r="G188" s="203"/>
      <c r="H188" s="203"/>
      <c r="I188" s="203"/>
      <c r="J188" s="203"/>
      <c r="K188" s="203"/>
      <c r="L188" s="203"/>
      <c r="M188" s="203"/>
      <c r="N188" s="203"/>
      <c r="O188" s="203"/>
      <c r="P188" s="203"/>
      <c r="Q188" s="203"/>
      <c r="R188" s="203"/>
      <c r="S188" s="203"/>
      <c r="T188" s="203"/>
      <c r="U188" s="203"/>
      <c r="V188" s="203"/>
      <c r="W188" s="203"/>
      <c r="X188" s="35"/>
      <c r="Y188" s="35"/>
      <c r="Z188" s="35"/>
    </row>
    <row r="189" ht="12.75" customHeight="1">
      <c r="A189" s="35"/>
      <c r="B189" s="203"/>
      <c r="C189" s="203"/>
      <c r="D189" s="203"/>
      <c r="E189" s="203"/>
      <c r="F189" s="203"/>
      <c r="G189" s="203"/>
      <c r="H189" s="203"/>
      <c r="I189" s="203"/>
      <c r="J189" s="203"/>
      <c r="K189" s="203"/>
      <c r="L189" s="203"/>
      <c r="M189" s="203"/>
      <c r="N189" s="203"/>
      <c r="O189" s="203"/>
      <c r="P189" s="203"/>
      <c r="Q189" s="203"/>
      <c r="R189" s="203"/>
      <c r="S189" s="203"/>
      <c r="T189" s="203"/>
      <c r="U189" s="203"/>
      <c r="V189" s="203"/>
      <c r="W189" s="203"/>
      <c r="X189" s="35"/>
      <c r="Y189" s="35"/>
      <c r="Z189" s="35"/>
    </row>
    <row r="190" ht="12.75" customHeight="1">
      <c r="A190" s="35"/>
      <c r="B190" s="203"/>
      <c r="C190" s="203"/>
      <c r="D190" s="203"/>
      <c r="E190" s="203"/>
      <c r="F190" s="203"/>
      <c r="G190" s="203"/>
      <c r="H190" s="203"/>
      <c r="I190" s="203"/>
      <c r="J190" s="203"/>
      <c r="K190" s="203"/>
      <c r="L190" s="203"/>
      <c r="M190" s="203"/>
      <c r="N190" s="203"/>
      <c r="O190" s="203"/>
      <c r="P190" s="203"/>
      <c r="Q190" s="203"/>
      <c r="R190" s="203"/>
      <c r="S190" s="203"/>
      <c r="T190" s="203"/>
      <c r="U190" s="203"/>
      <c r="V190" s="203"/>
      <c r="W190" s="203"/>
      <c r="X190" s="35"/>
      <c r="Y190" s="35"/>
      <c r="Z190" s="35"/>
    </row>
    <row r="191" ht="12.75" customHeight="1">
      <c r="A191" s="35"/>
      <c r="B191" s="203"/>
      <c r="C191" s="203"/>
      <c r="D191" s="203"/>
      <c r="E191" s="203"/>
      <c r="F191" s="203"/>
      <c r="G191" s="203"/>
      <c r="H191" s="203"/>
      <c r="I191" s="203"/>
      <c r="J191" s="203"/>
      <c r="K191" s="203"/>
      <c r="L191" s="203"/>
      <c r="M191" s="203"/>
      <c r="N191" s="203"/>
      <c r="O191" s="203"/>
      <c r="P191" s="203"/>
      <c r="Q191" s="203"/>
      <c r="R191" s="203"/>
      <c r="S191" s="203"/>
      <c r="T191" s="203"/>
      <c r="U191" s="203"/>
      <c r="V191" s="203"/>
      <c r="W191" s="203"/>
      <c r="X191" s="35"/>
      <c r="Y191" s="35"/>
      <c r="Z191" s="35"/>
    </row>
    <row r="192" ht="12.75" customHeight="1">
      <c r="A192" s="35"/>
      <c r="B192" s="203"/>
      <c r="C192" s="203"/>
      <c r="D192" s="203"/>
      <c r="E192" s="203"/>
      <c r="F192" s="203"/>
      <c r="G192" s="203"/>
      <c r="H192" s="203"/>
      <c r="I192" s="203"/>
      <c r="J192" s="203"/>
      <c r="K192" s="203"/>
      <c r="L192" s="203"/>
      <c r="M192" s="203"/>
      <c r="N192" s="203"/>
      <c r="O192" s="203"/>
      <c r="P192" s="203"/>
      <c r="Q192" s="203"/>
      <c r="R192" s="203"/>
      <c r="S192" s="203"/>
      <c r="T192" s="203"/>
      <c r="U192" s="203"/>
      <c r="V192" s="203"/>
      <c r="W192" s="203"/>
      <c r="X192" s="35"/>
      <c r="Y192" s="35"/>
      <c r="Z192" s="35"/>
    </row>
    <row r="193" ht="12.75" customHeight="1">
      <c r="A193" s="35"/>
      <c r="B193" s="203"/>
      <c r="C193" s="203"/>
      <c r="D193" s="203"/>
      <c r="E193" s="203"/>
      <c r="F193" s="203"/>
      <c r="G193" s="203"/>
      <c r="H193" s="203"/>
      <c r="I193" s="203"/>
      <c r="J193" s="203"/>
      <c r="K193" s="203"/>
      <c r="L193" s="203"/>
      <c r="M193" s="203"/>
      <c r="N193" s="203"/>
      <c r="O193" s="203"/>
      <c r="P193" s="203"/>
      <c r="Q193" s="203"/>
      <c r="R193" s="203"/>
      <c r="S193" s="203"/>
      <c r="T193" s="203"/>
      <c r="U193" s="203"/>
      <c r="V193" s="203"/>
      <c r="W193" s="203"/>
      <c r="X193" s="35"/>
      <c r="Y193" s="35"/>
      <c r="Z193" s="35"/>
    </row>
    <row r="194" ht="12.75" customHeight="1">
      <c r="A194" s="35"/>
      <c r="B194" s="203"/>
      <c r="C194" s="203"/>
      <c r="D194" s="203"/>
      <c r="E194" s="203"/>
      <c r="F194" s="203"/>
      <c r="G194" s="203"/>
      <c r="H194" s="203"/>
      <c r="I194" s="203"/>
      <c r="J194" s="203"/>
      <c r="K194" s="203"/>
      <c r="L194" s="203"/>
      <c r="M194" s="203"/>
      <c r="N194" s="203"/>
      <c r="O194" s="203"/>
      <c r="P194" s="203"/>
      <c r="Q194" s="203"/>
      <c r="R194" s="203"/>
      <c r="S194" s="203"/>
      <c r="T194" s="203"/>
      <c r="U194" s="203"/>
      <c r="V194" s="203"/>
      <c r="W194" s="203"/>
      <c r="X194" s="35"/>
      <c r="Y194" s="35"/>
      <c r="Z194" s="35"/>
    </row>
    <row r="195" ht="12.75" customHeight="1">
      <c r="A195" s="35"/>
      <c r="B195" s="203"/>
      <c r="C195" s="203"/>
      <c r="D195" s="203"/>
      <c r="E195" s="203"/>
      <c r="F195" s="203"/>
      <c r="G195" s="203"/>
      <c r="H195" s="203"/>
      <c r="I195" s="203"/>
      <c r="J195" s="203"/>
      <c r="K195" s="203"/>
      <c r="L195" s="203"/>
      <c r="M195" s="203"/>
      <c r="N195" s="203"/>
      <c r="O195" s="203"/>
      <c r="P195" s="203"/>
      <c r="Q195" s="203"/>
      <c r="R195" s="203"/>
      <c r="S195" s="203"/>
      <c r="T195" s="203"/>
      <c r="U195" s="203"/>
      <c r="V195" s="203"/>
      <c r="W195" s="203"/>
      <c r="X195" s="35"/>
      <c r="Y195" s="35"/>
      <c r="Z195" s="35"/>
    </row>
    <row r="196" ht="12.75" customHeight="1">
      <c r="A196" s="35"/>
      <c r="B196" s="203"/>
      <c r="C196" s="203"/>
      <c r="D196" s="203"/>
      <c r="E196" s="203"/>
      <c r="F196" s="203"/>
      <c r="G196" s="203"/>
      <c r="H196" s="203"/>
      <c r="I196" s="203"/>
      <c r="J196" s="203"/>
      <c r="K196" s="203"/>
      <c r="L196" s="203"/>
      <c r="M196" s="203"/>
      <c r="N196" s="203"/>
      <c r="O196" s="203"/>
      <c r="P196" s="203"/>
      <c r="Q196" s="203"/>
      <c r="R196" s="203"/>
      <c r="S196" s="203"/>
      <c r="T196" s="203"/>
      <c r="U196" s="203"/>
      <c r="V196" s="203"/>
      <c r="W196" s="203"/>
      <c r="X196" s="35"/>
      <c r="Y196" s="35"/>
      <c r="Z196" s="35"/>
    </row>
    <row r="197" ht="12.75" customHeight="1">
      <c r="A197" s="35"/>
      <c r="B197" s="203"/>
      <c r="C197" s="203"/>
      <c r="D197" s="203"/>
      <c r="E197" s="203"/>
      <c r="F197" s="203"/>
      <c r="G197" s="203"/>
      <c r="H197" s="203"/>
      <c r="I197" s="203"/>
      <c r="J197" s="203"/>
      <c r="K197" s="203"/>
      <c r="L197" s="203"/>
      <c r="M197" s="203"/>
      <c r="N197" s="203"/>
      <c r="O197" s="203"/>
      <c r="P197" s="203"/>
      <c r="Q197" s="203"/>
      <c r="R197" s="203"/>
      <c r="S197" s="203"/>
      <c r="T197" s="203"/>
      <c r="U197" s="203"/>
      <c r="V197" s="203"/>
      <c r="W197" s="203"/>
      <c r="X197" s="35"/>
      <c r="Y197" s="35"/>
      <c r="Z197" s="35"/>
    </row>
    <row r="198" ht="12.75" customHeight="1">
      <c r="A198" s="35"/>
      <c r="B198" s="203"/>
      <c r="C198" s="203"/>
      <c r="D198" s="203"/>
      <c r="E198" s="203"/>
      <c r="F198" s="203"/>
      <c r="G198" s="203"/>
      <c r="H198" s="203"/>
      <c r="I198" s="203"/>
      <c r="J198" s="203"/>
      <c r="K198" s="203"/>
      <c r="L198" s="203"/>
      <c r="M198" s="203"/>
      <c r="N198" s="203"/>
      <c r="O198" s="203"/>
      <c r="P198" s="203"/>
      <c r="Q198" s="203"/>
      <c r="R198" s="203"/>
      <c r="S198" s="203"/>
      <c r="T198" s="203"/>
      <c r="U198" s="203"/>
      <c r="V198" s="203"/>
      <c r="W198" s="203"/>
      <c r="X198" s="35"/>
      <c r="Y198" s="35"/>
      <c r="Z198" s="35"/>
    </row>
    <row r="199" ht="12.75" customHeight="1">
      <c r="A199" s="35"/>
      <c r="B199" s="203"/>
      <c r="C199" s="203"/>
      <c r="D199" s="203"/>
      <c r="E199" s="203"/>
      <c r="F199" s="203"/>
      <c r="G199" s="203"/>
      <c r="H199" s="203"/>
      <c r="I199" s="203"/>
      <c r="J199" s="203"/>
      <c r="K199" s="203"/>
      <c r="L199" s="203"/>
      <c r="M199" s="203"/>
      <c r="N199" s="203"/>
      <c r="O199" s="203"/>
      <c r="P199" s="203"/>
      <c r="Q199" s="203"/>
      <c r="R199" s="203"/>
      <c r="S199" s="203"/>
      <c r="T199" s="203"/>
      <c r="U199" s="203"/>
      <c r="V199" s="203"/>
      <c r="W199" s="203"/>
      <c r="X199" s="35"/>
      <c r="Y199" s="35"/>
      <c r="Z199" s="35"/>
    </row>
    <row r="200" ht="12.75" customHeight="1">
      <c r="A200" s="35"/>
      <c r="B200" s="203"/>
      <c r="C200" s="203"/>
      <c r="D200" s="203"/>
      <c r="E200" s="203"/>
      <c r="F200" s="203"/>
      <c r="G200" s="203"/>
      <c r="H200" s="203"/>
      <c r="I200" s="203"/>
      <c r="J200" s="203"/>
      <c r="K200" s="203"/>
      <c r="L200" s="203"/>
      <c r="M200" s="203"/>
      <c r="N200" s="203"/>
      <c r="O200" s="203"/>
      <c r="P200" s="203"/>
      <c r="Q200" s="203"/>
      <c r="R200" s="203"/>
      <c r="S200" s="203"/>
      <c r="T200" s="203"/>
      <c r="U200" s="203"/>
      <c r="V200" s="203"/>
      <c r="W200" s="203"/>
      <c r="X200" s="35"/>
      <c r="Y200" s="35"/>
      <c r="Z200" s="35"/>
    </row>
    <row r="201" ht="12.75" customHeight="1">
      <c r="A201" s="35"/>
      <c r="B201" s="203"/>
      <c r="C201" s="203"/>
      <c r="D201" s="203"/>
      <c r="E201" s="203"/>
      <c r="F201" s="203"/>
      <c r="G201" s="203"/>
      <c r="H201" s="203"/>
      <c r="I201" s="203"/>
      <c r="J201" s="203"/>
      <c r="K201" s="203"/>
      <c r="L201" s="203"/>
      <c r="M201" s="203"/>
      <c r="N201" s="203"/>
      <c r="O201" s="203"/>
      <c r="P201" s="203"/>
      <c r="Q201" s="203"/>
      <c r="R201" s="203"/>
      <c r="S201" s="203"/>
      <c r="T201" s="203"/>
      <c r="U201" s="203"/>
      <c r="V201" s="203"/>
      <c r="W201" s="203"/>
      <c r="X201" s="35"/>
      <c r="Y201" s="35"/>
      <c r="Z201" s="35"/>
    </row>
    <row r="202" ht="12.75" customHeight="1">
      <c r="A202" s="35"/>
      <c r="B202" s="203"/>
      <c r="C202" s="203"/>
      <c r="D202" s="203"/>
      <c r="E202" s="203"/>
      <c r="F202" s="203"/>
      <c r="G202" s="203"/>
      <c r="H202" s="203"/>
      <c r="I202" s="203"/>
      <c r="J202" s="203"/>
      <c r="K202" s="203"/>
      <c r="L202" s="203"/>
      <c r="M202" s="203"/>
      <c r="N202" s="203"/>
      <c r="O202" s="203"/>
      <c r="P202" s="203"/>
      <c r="Q202" s="203"/>
      <c r="R202" s="203"/>
      <c r="S202" s="203"/>
      <c r="T202" s="203"/>
      <c r="U202" s="203"/>
      <c r="V202" s="203"/>
      <c r="W202" s="203"/>
      <c r="X202" s="35"/>
      <c r="Y202" s="35"/>
      <c r="Z202" s="35"/>
    </row>
    <row r="203" ht="12.75" customHeight="1">
      <c r="A203" s="35"/>
      <c r="B203" s="203"/>
      <c r="C203" s="203"/>
      <c r="D203" s="203"/>
      <c r="E203" s="203"/>
      <c r="F203" s="203"/>
      <c r="G203" s="203"/>
      <c r="H203" s="203"/>
      <c r="I203" s="203"/>
      <c r="J203" s="203"/>
      <c r="K203" s="203"/>
      <c r="L203" s="203"/>
      <c r="M203" s="203"/>
      <c r="N203" s="203"/>
      <c r="O203" s="203"/>
      <c r="P203" s="203"/>
      <c r="Q203" s="203"/>
      <c r="R203" s="203"/>
      <c r="S203" s="203"/>
      <c r="T203" s="203"/>
      <c r="U203" s="203"/>
      <c r="V203" s="203"/>
      <c r="W203" s="203"/>
      <c r="X203" s="35"/>
      <c r="Y203" s="35"/>
      <c r="Z203" s="35"/>
    </row>
    <row r="204" ht="12.75" customHeight="1">
      <c r="A204" s="35"/>
      <c r="B204" s="203"/>
      <c r="C204" s="203"/>
      <c r="D204" s="203"/>
      <c r="E204" s="203"/>
      <c r="F204" s="203"/>
      <c r="G204" s="203"/>
      <c r="H204" s="203"/>
      <c r="I204" s="203"/>
      <c r="J204" s="203"/>
      <c r="K204" s="203"/>
      <c r="L204" s="203"/>
      <c r="M204" s="203"/>
      <c r="N204" s="203"/>
      <c r="O204" s="203"/>
      <c r="P204" s="203"/>
      <c r="Q204" s="203"/>
      <c r="R204" s="203"/>
      <c r="S204" s="203"/>
      <c r="T204" s="203"/>
      <c r="U204" s="203"/>
      <c r="V204" s="203"/>
      <c r="W204" s="203"/>
      <c r="X204" s="35"/>
      <c r="Y204" s="35"/>
      <c r="Z204" s="35"/>
    </row>
    <row r="205" ht="12.75" customHeight="1">
      <c r="A205" s="35"/>
      <c r="B205" s="203"/>
      <c r="C205" s="203"/>
      <c r="D205" s="203"/>
      <c r="E205" s="203"/>
      <c r="F205" s="203"/>
      <c r="G205" s="203"/>
      <c r="H205" s="203"/>
      <c r="I205" s="203"/>
      <c r="J205" s="203"/>
      <c r="K205" s="203"/>
      <c r="L205" s="203"/>
      <c r="M205" s="203"/>
      <c r="N205" s="203"/>
      <c r="O205" s="203"/>
      <c r="P205" s="203"/>
      <c r="Q205" s="203"/>
      <c r="R205" s="203"/>
      <c r="S205" s="203"/>
      <c r="T205" s="203"/>
      <c r="U205" s="203"/>
      <c r="V205" s="203"/>
      <c r="W205" s="203"/>
      <c r="X205" s="35"/>
      <c r="Y205" s="35"/>
      <c r="Z205" s="35"/>
    </row>
    <row r="206" ht="12.75" customHeight="1">
      <c r="A206" s="35"/>
      <c r="B206" s="203"/>
      <c r="C206" s="203"/>
      <c r="D206" s="203"/>
      <c r="E206" s="203"/>
      <c r="F206" s="203"/>
      <c r="G206" s="203"/>
      <c r="H206" s="203"/>
      <c r="I206" s="203"/>
      <c r="J206" s="203"/>
      <c r="K206" s="203"/>
      <c r="L206" s="203"/>
      <c r="M206" s="203"/>
      <c r="N206" s="203"/>
      <c r="O206" s="203"/>
      <c r="P206" s="203"/>
      <c r="Q206" s="203"/>
      <c r="R206" s="203"/>
      <c r="S206" s="203"/>
      <c r="T206" s="203"/>
      <c r="U206" s="203"/>
      <c r="V206" s="203"/>
      <c r="W206" s="203"/>
      <c r="X206" s="35"/>
      <c r="Y206" s="35"/>
      <c r="Z206" s="35"/>
    </row>
    <row r="207" ht="12.75" customHeight="1">
      <c r="A207" s="35"/>
      <c r="B207" s="203"/>
      <c r="C207" s="203"/>
      <c r="D207" s="203"/>
      <c r="E207" s="203"/>
      <c r="F207" s="203"/>
      <c r="G207" s="203"/>
      <c r="H207" s="203"/>
      <c r="I207" s="203"/>
      <c r="J207" s="203"/>
      <c r="K207" s="203"/>
      <c r="L207" s="203"/>
      <c r="M207" s="203"/>
      <c r="N207" s="203"/>
      <c r="O207" s="203"/>
      <c r="P207" s="203"/>
      <c r="Q207" s="203"/>
      <c r="R207" s="203"/>
      <c r="S207" s="203"/>
      <c r="T207" s="203"/>
      <c r="U207" s="203"/>
      <c r="V207" s="203"/>
      <c r="W207" s="203"/>
      <c r="X207" s="35"/>
      <c r="Y207" s="35"/>
      <c r="Z207" s="35"/>
    </row>
    <row r="208" ht="12.75" customHeight="1">
      <c r="A208" s="35"/>
      <c r="B208" s="203"/>
      <c r="C208" s="203"/>
      <c r="D208" s="203"/>
      <c r="E208" s="203"/>
      <c r="F208" s="203"/>
      <c r="G208" s="203"/>
      <c r="H208" s="203"/>
      <c r="I208" s="203"/>
      <c r="J208" s="203"/>
      <c r="K208" s="203"/>
      <c r="L208" s="203"/>
      <c r="M208" s="203"/>
      <c r="N208" s="203"/>
      <c r="O208" s="203"/>
      <c r="P208" s="203"/>
      <c r="Q208" s="203"/>
      <c r="R208" s="203"/>
      <c r="S208" s="203"/>
      <c r="T208" s="203"/>
      <c r="U208" s="203"/>
      <c r="V208" s="203"/>
      <c r="W208" s="203"/>
      <c r="X208" s="35"/>
      <c r="Y208" s="35"/>
      <c r="Z208" s="35"/>
    </row>
    <row r="209" ht="12.75" customHeight="1">
      <c r="A209" s="35"/>
      <c r="B209" s="203"/>
      <c r="C209" s="203"/>
      <c r="D209" s="203"/>
      <c r="E209" s="203"/>
      <c r="F209" s="203"/>
      <c r="G209" s="203"/>
      <c r="H209" s="203"/>
      <c r="I209" s="203"/>
      <c r="J209" s="203"/>
      <c r="K209" s="203"/>
      <c r="L209" s="203"/>
      <c r="M209" s="203"/>
      <c r="N209" s="203"/>
      <c r="O209" s="203"/>
      <c r="P209" s="203"/>
      <c r="Q209" s="203"/>
      <c r="R209" s="203"/>
      <c r="S209" s="203"/>
      <c r="T209" s="203"/>
      <c r="U209" s="203"/>
      <c r="V209" s="203"/>
      <c r="W209" s="203"/>
      <c r="X209" s="35"/>
      <c r="Y209" s="35"/>
      <c r="Z209" s="35"/>
    </row>
    <row r="210" ht="12.75" customHeight="1">
      <c r="A210" s="35"/>
      <c r="B210" s="203"/>
      <c r="C210" s="203"/>
      <c r="D210" s="203"/>
      <c r="E210" s="203"/>
      <c r="F210" s="203"/>
      <c r="G210" s="203"/>
      <c r="H210" s="203"/>
      <c r="I210" s="203"/>
      <c r="J210" s="203"/>
      <c r="K210" s="203"/>
      <c r="L210" s="203"/>
      <c r="M210" s="203"/>
      <c r="N210" s="203"/>
      <c r="O210" s="203"/>
      <c r="P210" s="203"/>
      <c r="Q210" s="203"/>
      <c r="R210" s="203"/>
      <c r="S210" s="203"/>
      <c r="T210" s="203"/>
      <c r="U210" s="203"/>
      <c r="V210" s="203"/>
      <c r="W210" s="203"/>
      <c r="X210" s="35"/>
      <c r="Y210" s="35"/>
      <c r="Z210" s="35"/>
    </row>
    <row r="211" ht="12.75" customHeight="1">
      <c r="A211" s="35"/>
      <c r="B211" s="203"/>
      <c r="C211" s="203"/>
      <c r="D211" s="203"/>
      <c r="E211" s="203"/>
      <c r="F211" s="203"/>
      <c r="G211" s="203"/>
      <c r="H211" s="203"/>
      <c r="I211" s="203"/>
      <c r="J211" s="203"/>
      <c r="K211" s="203"/>
      <c r="L211" s="203"/>
      <c r="M211" s="203"/>
      <c r="N211" s="203"/>
      <c r="O211" s="203"/>
      <c r="P211" s="203"/>
      <c r="Q211" s="203"/>
      <c r="R211" s="203"/>
      <c r="S211" s="203"/>
      <c r="T211" s="203"/>
      <c r="U211" s="203"/>
      <c r="V211" s="203"/>
      <c r="W211" s="203"/>
      <c r="X211" s="35"/>
      <c r="Y211" s="35"/>
      <c r="Z211" s="35"/>
    </row>
    <row r="212" ht="12.75" customHeight="1">
      <c r="A212" s="35"/>
      <c r="B212" s="203"/>
      <c r="C212" s="203"/>
      <c r="D212" s="203"/>
      <c r="E212" s="203"/>
      <c r="F212" s="203"/>
      <c r="G212" s="203"/>
      <c r="H212" s="203"/>
      <c r="I212" s="203"/>
      <c r="J212" s="203"/>
      <c r="K212" s="203"/>
      <c r="L212" s="203"/>
      <c r="M212" s="203"/>
      <c r="N212" s="203"/>
      <c r="O212" s="203"/>
      <c r="P212" s="203"/>
      <c r="Q212" s="203"/>
      <c r="R212" s="203"/>
      <c r="S212" s="203"/>
      <c r="T212" s="203"/>
      <c r="U212" s="203"/>
      <c r="V212" s="203"/>
      <c r="W212" s="203"/>
      <c r="X212" s="35"/>
      <c r="Y212" s="35"/>
      <c r="Z212" s="35"/>
    </row>
    <row r="213" ht="12.75" customHeight="1">
      <c r="A213" s="35"/>
      <c r="B213" s="203"/>
      <c r="C213" s="203"/>
      <c r="D213" s="203"/>
      <c r="E213" s="203"/>
      <c r="F213" s="203"/>
      <c r="G213" s="203"/>
      <c r="H213" s="203"/>
      <c r="I213" s="203"/>
      <c r="J213" s="203"/>
      <c r="K213" s="203"/>
      <c r="L213" s="203"/>
      <c r="M213" s="203"/>
      <c r="N213" s="203"/>
      <c r="O213" s="203"/>
      <c r="P213" s="203"/>
      <c r="Q213" s="203"/>
      <c r="R213" s="203"/>
      <c r="S213" s="203"/>
      <c r="T213" s="203"/>
      <c r="U213" s="203"/>
      <c r="V213" s="203"/>
      <c r="W213" s="203"/>
      <c r="X213" s="35"/>
      <c r="Y213" s="35"/>
      <c r="Z213" s="35"/>
    </row>
    <row r="214" ht="12.75" customHeight="1">
      <c r="A214" s="35"/>
      <c r="B214" s="203"/>
      <c r="C214" s="203"/>
      <c r="D214" s="203"/>
      <c r="E214" s="203"/>
      <c r="F214" s="203"/>
      <c r="G214" s="203"/>
      <c r="H214" s="203"/>
      <c r="I214" s="203"/>
      <c r="J214" s="203"/>
      <c r="K214" s="203"/>
      <c r="L214" s="203"/>
      <c r="M214" s="203"/>
      <c r="N214" s="203"/>
      <c r="O214" s="203"/>
      <c r="P214" s="203"/>
      <c r="Q214" s="203"/>
      <c r="R214" s="203"/>
      <c r="S214" s="203"/>
      <c r="T214" s="203"/>
      <c r="U214" s="203"/>
      <c r="V214" s="203"/>
      <c r="W214" s="203"/>
      <c r="X214" s="35"/>
      <c r="Y214" s="35"/>
      <c r="Z214" s="35"/>
    </row>
    <row r="215" ht="12.75" customHeight="1">
      <c r="A215" s="35"/>
      <c r="B215" s="203"/>
      <c r="C215" s="203"/>
      <c r="D215" s="203"/>
      <c r="E215" s="203"/>
      <c r="F215" s="203"/>
      <c r="G215" s="203"/>
      <c r="H215" s="203"/>
      <c r="I215" s="203"/>
      <c r="J215" s="203"/>
      <c r="K215" s="203"/>
      <c r="L215" s="203"/>
      <c r="M215" s="203"/>
      <c r="N215" s="203"/>
      <c r="O215" s="203"/>
      <c r="P215" s="203"/>
      <c r="Q215" s="203"/>
      <c r="R215" s="203"/>
      <c r="S215" s="203"/>
      <c r="T215" s="203"/>
      <c r="U215" s="203"/>
      <c r="V215" s="203"/>
      <c r="W215" s="203"/>
      <c r="X215" s="35"/>
      <c r="Y215" s="35"/>
      <c r="Z215" s="35"/>
    </row>
    <row r="216" ht="12.75" customHeight="1">
      <c r="A216" s="35"/>
      <c r="B216" s="203"/>
      <c r="C216" s="203"/>
      <c r="D216" s="203"/>
      <c r="E216" s="203"/>
      <c r="F216" s="203"/>
      <c r="G216" s="203"/>
      <c r="H216" s="203"/>
      <c r="I216" s="203"/>
      <c r="J216" s="203"/>
      <c r="K216" s="203"/>
      <c r="L216" s="203"/>
      <c r="M216" s="203"/>
      <c r="N216" s="203"/>
      <c r="O216" s="203"/>
      <c r="P216" s="203"/>
      <c r="Q216" s="203"/>
      <c r="R216" s="203"/>
      <c r="S216" s="203"/>
      <c r="T216" s="203"/>
      <c r="U216" s="203"/>
      <c r="V216" s="203"/>
      <c r="W216" s="203"/>
      <c r="X216" s="35"/>
      <c r="Y216" s="35"/>
      <c r="Z216" s="35"/>
    </row>
    <row r="217" ht="12.75" customHeight="1">
      <c r="A217" s="35"/>
      <c r="B217" s="203"/>
      <c r="C217" s="203"/>
      <c r="D217" s="203"/>
      <c r="E217" s="203"/>
      <c r="F217" s="203"/>
      <c r="G217" s="203"/>
      <c r="H217" s="203"/>
      <c r="I217" s="203"/>
      <c r="J217" s="203"/>
      <c r="K217" s="203"/>
      <c r="L217" s="203"/>
      <c r="M217" s="203"/>
      <c r="N217" s="203"/>
      <c r="O217" s="203"/>
      <c r="P217" s="203"/>
      <c r="Q217" s="203"/>
      <c r="R217" s="203"/>
      <c r="S217" s="203"/>
      <c r="T217" s="203"/>
      <c r="U217" s="203"/>
      <c r="V217" s="203"/>
      <c r="W217" s="203"/>
      <c r="X217" s="35"/>
      <c r="Y217" s="35"/>
      <c r="Z217" s="35"/>
    </row>
    <row r="218" ht="12.75" customHeight="1">
      <c r="A218" s="35"/>
      <c r="B218" s="203"/>
      <c r="C218" s="203"/>
      <c r="D218" s="203"/>
      <c r="E218" s="203"/>
      <c r="F218" s="203"/>
      <c r="G218" s="203"/>
      <c r="H218" s="203"/>
      <c r="I218" s="203"/>
      <c r="J218" s="203"/>
      <c r="K218" s="203"/>
      <c r="L218" s="203"/>
      <c r="M218" s="203"/>
      <c r="N218" s="203"/>
      <c r="O218" s="203"/>
      <c r="P218" s="203"/>
      <c r="Q218" s="203"/>
      <c r="R218" s="203"/>
      <c r="S218" s="203"/>
      <c r="T218" s="203"/>
      <c r="U218" s="203"/>
      <c r="V218" s="203"/>
      <c r="W218" s="203"/>
      <c r="X218" s="35"/>
      <c r="Y218" s="35"/>
      <c r="Z218" s="35"/>
    </row>
    <row r="219" ht="12.75" customHeight="1">
      <c r="A219" s="35"/>
      <c r="B219" s="203"/>
      <c r="C219" s="203"/>
      <c r="D219" s="203"/>
      <c r="E219" s="203"/>
      <c r="F219" s="203"/>
      <c r="G219" s="203"/>
      <c r="H219" s="203"/>
      <c r="I219" s="203"/>
      <c r="J219" s="203"/>
      <c r="K219" s="203"/>
      <c r="L219" s="203"/>
      <c r="M219" s="203"/>
      <c r="N219" s="203"/>
      <c r="O219" s="203"/>
      <c r="P219" s="203"/>
      <c r="Q219" s="203"/>
      <c r="R219" s="203"/>
      <c r="S219" s="203"/>
      <c r="T219" s="203"/>
      <c r="U219" s="203"/>
      <c r="V219" s="203"/>
      <c r="W219" s="203"/>
      <c r="X219" s="35"/>
      <c r="Y219" s="35"/>
      <c r="Z219" s="35"/>
    </row>
    <row r="220" ht="12.75" customHeight="1">
      <c r="A220" s="35"/>
      <c r="B220" s="203"/>
      <c r="C220" s="203"/>
      <c r="D220" s="203"/>
      <c r="E220" s="203"/>
      <c r="F220" s="203"/>
      <c r="G220" s="203"/>
      <c r="H220" s="203"/>
      <c r="I220" s="203"/>
      <c r="J220" s="203"/>
      <c r="K220" s="203"/>
      <c r="L220" s="203"/>
      <c r="M220" s="203"/>
      <c r="N220" s="203"/>
      <c r="O220" s="203"/>
      <c r="P220" s="203"/>
      <c r="Q220" s="203"/>
      <c r="R220" s="203"/>
      <c r="S220" s="203"/>
      <c r="T220" s="203"/>
      <c r="U220" s="203"/>
      <c r="V220" s="203"/>
      <c r="W220" s="203"/>
      <c r="X220" s="35"/>
      <c r="Y220" s="35"/>
      <c r="Z220" s="35"/>
    </row>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
    <mergeCell ref="C5:U33"/>
  </mergeCells>
  <printOptions/>
  <pageMargins bottom="0.75" footer="0.0" header="0.0" left="0.7" right="0.7" top="0.75"/>
  <pageSetup paperSize="9" orientation="portrait"/>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C000"/>
    <pageSetUpPr/>
  </sheetPr>
  <sheetViews>
    <sheetView workbookViewId="0"/>
  </sheetViews>
  <sheetFormatPr customHeight="1" defaultColWidth="14.43" defaultRowHeight="15.75"/>
  <cols>
    <col customWidth="1" min="1" max="1" width="18.43"/>
    <col customWidth="1" min="2" max="2" width="43.29"/>
    <col customWidth="1" min="3" max="3" width="171.43"/>
    <col customWidth="1" min="4" max="4" width="23.43"/>
    <col customWidth="1" min="5" max="5" width="28.57"/>
    <col customWidth="1" min="6" max="6" width="18.71"/>
    <col customWidth="1" min="7" max="7" width="16.71"/>
    <col customWidth="1" min="8" max="24" width="8.71"/>
  </cols>
  <sheetData>
    <row r="1" ht="12.75" customHeight="1">
      <c r="A1" s="205"/>
      <c r="B1" s="205"/>
      <c r="C1" s="205"/>
      <c r="D1" s="205"/>
      <c r="E1" s="205"/>
      <c r="F1" s="205"/>
      <c r="G1" s="205"/>
      <c r="H1" s="205"/>
      <c r="I1" s="205"/>
      <c r="J1" s="205"/>
      <c r="K1" s="205"/>
      <c r="L1" s="205"/>
      <c r="M1" s="205"/>
      <c r="N1" s="205"/>
      <c r="O1" s="205"/>
      <c r="P1" s="205"/>
      <c r="Q1" s="205"/>
      <c r="R1" s="205"/>
      <c r="S1" s="205"/>
      <c r="T1" s="205"/>
      <c r="U1" s="205"/>
      <c r="V1" s="205"/>
      <c r="W1" s="205"/>
      <c r="X1" s="205"/>
      <c r="Y1" s="205"/>
      <c r="Z1" s="205"/>
    </row>
    <row r="2" ht="12.75" customHeight="1">
      <c r="A2" s="205"/>
      <c r="B2" s="205"/>
      <c r="C2" s="205"/>
      <c r="D2" s="205"/>
      <c r="E2" s="205"/>
      <c r="F2" s="205"/>
      <c r="G2" s="205"/>
      <c r="H2" s="205"/>
      <c r="I2" s="205"/>
      <c r="J2" s="205"/>
      <c r="K2" s="205"/>
      <c r="L2" s="205"/>
      <c r="M2" s="205"/>
      <c r="N2" s="205"/>
      <c r="O2" s="205"/>
      <c r="P2" s="205"/>
      <c r="Q2" s="205"/>
      <c r="R2" s="205"/>
      <c r="S2" s="205"/>
      <c r="T2" s="205"/>
      <c r="U2" s="205"/>
      <c r="V2" s="205"/>
      <c r="W2" s="205"/>
      <c r="X2" s="205"/>
      <c r="Y2" s="205"/>
      <c r="Z2" s="205"/>
    </row>
    <row r="3" ht="12.75" customHeight="1">
      <c r="A3" s="205"/>
      <c r="B3" s="205"/>
      <c r="C3" s="205"/>
      <c r="D3" s="205"/>
      <c r="E3" s="205"/>
      <c r="F3" s="205"/>
      <c r="G3" s="205"/>
      <c r="H3" s="205"/>
      <c r="I3" s="205"/>
      <c r="J3" s="205"/>
      <c r="K3" s="205"/>
      <c r="L3" s="205"/>
      <c r="M3" s="205"/>
      <c r="N3" s="205"/>
      <c r="O3" s="205"/>
      <c r="P3" s="205"/>
      <c r="Q3" s="205"/>
      <c r="R3" s="205"/>
      <c r="S3" s="205"/>
      <c r="T3" s="205"/>
      <c r="U3" s="205"/>
      <c r="V3" s="205"/>
      <c r="W3" s="205"/>
      <c r="X3" s="205"/>
      <c r="Y3" s="205"/>
      <c r="Z3" s="205"/>
    </row>
    <row r="4" ht="12.75" customHeight="1">
      <c r="A4" s="205"/>
      <c r="B4" s="205"/>
      <c r="C4" s="205"/>
      <c r="D4" s="205"/>
      <c r="E4" s="205"/>
      <c r="F4" s="205"/>
      <c r="G4" s="205"/>
      <c r="H4" s="205"/>
      <c r="I4" s="205"/>
      <c r="J4" s="205"/>
      <c r="K4" s="205"/>
      <c r="L4" s="205"/>
      <c r="M4" s="205"/>
      <c r="N4" s="205"/>
      <c r="O4" s="205"/>
      <c r="P4" s="205"/>
      <c r="Q4" s="205"/>
      <c r="R4" s="205"/>
      <c r="S4" s="205"/>
      <c r="T4" s="205"/>
      <c r="U4" s="205"/>
      <c r="V4" s="205"/>
      <c r="W4" s="205"/>
      <c r="X4" s="205"/>
      <c r="Y4" s="205"/>
      <c r="Z4" s="205"/>
    </row>
    <row r="5" ht="12.75" customHeight="1">
      <c r="A5" s="205"/>
      <c r="B5" s="205"/>
      <c r="C5" s="205"/>
      <c r="D5" s="205"/>
      <c r="E5" s="205"/>
      <c r="F5" s="205"/>
      <c r="G5" s="205"/>
      <c r="H5" s="205"/>
      <c r="I5" s="205"/>
      <c r="J5" s="205"/>
      <c r="K5" s="205"/>
      <c r="L5" s="205"/>
      <c r="M5" s="205"/>
      <c r="N5" s="205"/>
      <c r="O5" s="205"/>
      <c r="P5" s="205"/>
      <c r="Q5" s="205"/>
      <c r="R5" s="205"/>
      <c r="S5" s="205"/>
      <c r="T5" s="205"/>
      <c r="U5" s="205"/>
      <c r="V5" s="205"/>
      <c r="W5" s="205"/>
      <c r="X5" s="205"/>
      <c r="Y5" s="205"/>
      <c r="Z5" s="205"/>
    </row>
    <row r="6" ht="16.5" customHeight="1">
      <c r="A6" s="205"/>
      <c r="B6" s="206" t="s">
        <v>18611</v>
      </c>
      <c r="C6" s="207" t="s">
        <v>18612</v>
      </c>
      <c r="D6" s="205"/>
      <c r="E6" s="205"/>
      <c r="F6" s="205"/>
      <c r="G6" s="205"/>
      <c r="H6" s="205"/>
      <c r="I6" s="205"/>
      <c r="J6" s="205"/>
      <c r="K6" s="205"/>
      <c r="L6" s="205"/>
      <c r="M6" s="205"/>
      <c r="N6" s="205"/>
      <c r="O6" s="205"/>
      <c r="P6" s="205"/>
      <c r="Q6" s="205"/>
      <c r="R6" s="205"/>
      <c r="S6" s="205"/>
      <c r="T6" s="205"/>
      <c r="U6" s="205"/>
      <c r="V6" s="205"/>
      <c r="W6" s="205"/>
      <c r="X6" s="205"/>
      <c r="Y6" s="205"/>
      <c r="Z6" s="205"/>
    </row>
    <row r="7" ht="12.75" customHeight="1">
      <c r="A7" s="205"/>
      <c r="B7" s="208"/>
      <c r="C7" s="208"/>
      <c r="D7" s="205"/>
      <c r="E7" s="205"/>
      <c r="F7" s="205"/>
      <c r="G7" s="205"/>
      <c r="H7" s="205"/>
      <c r="I7" s="205"/>
      <c r="J7" s="205"/>
      <c r="K7" s="205"/>
      <c r="L7" s="205"/>
      <c r="M7" s="205"/>
      <c r="N7" s="205"/>
      <c r="O7" s="205"/>
      <c r="P7" s="205"/>
      <c r="Q7" s="205"/>
      <c r="R7" s="205"/>
      <c r="S7" s="205"/>
      <c r="T7" s="205"/>
      <c r="U7" s="205"/>
      <c r="V7" s="205"/>
      <c r="W7" s="205"/>
      <c r="X7" s="205"/>
      <c r="Y7" s="205"/>
      <c r="Z7" s="205"/>
    </row>
    <row r="8" ht="15.0" customHeight="1">
      <c r="A8" s="205"/>
      <c r="B8" s="206" t="s">
        <v>18613</v>
      </c>
      <c r="C8" s="207" t="s">
        <v>18614</v>
      </c>
      <c r="D8" s="205"/>
      <c r="E8" s="205"/>
      <c r="F8" s="205"/>
      <c r="G8" s="205"/>
      <c r="H8" s="205"/>
      <c r="I8" s="205"/>
      <c r="J8" s="205"/>
      <c r="K8" s="205"/>
      <c r="L8" s="205"/>
      <c r="M8" s="205"/>
      <c r="N8" s="205"/>
      <c r="O8" s="205"/>
      <c r="P8" s="205"/>
      <c r="Q8" s="205"/>
      <c r="R8" s="205"/>
      <c r="S8" s="205"/>
      <c r="T8" s="205"/>
      <c r="U8" s="205"/>
      <c r="V8" s="205"/>
      <c r="W8" s="205"/>
      <c r="X8" s="205"/>
      <c r="Y8" s="205"/>
      <c r="Z8" s="205"/>
    </row>
    <row r="9" ht="12.75" customHeight="1">
      <c r="A9" s="205"/>
      <c r="B9" s="208"/>
      <c r="C9" s="208"/>
      <c r="D9" s="205"/>
      <c r="E9" s="205"/>
      <c r="F9" s="205"/>
      <c r="G9" s="205"/>
      <c r="H9" s="205"/>
      <c r="I9" s="205"/>
      <c r="J9" s="205"/>
      <c r="K9" s="205"/>
      <c r="L9" s="205"/>
      <c r="M9" s="205"/>
      <c r="N9" s="205"/>
      <c r="O9" s="205"/>
      <c r="P9" s="205"/>
      <c r="Q9" s="205"/>
      <c r="R9" s="205"/>
      <c r="S9" s="205"/>
      <c r="T9" s="205"/>
      <c r="U9" s="205"/>
      <c r="V9" s="205"/>
      <c r="W9" s="205"/>
      <c r="X9" s="205"/>
      <c r="Y9" s="205"/>
      <c r="Z9" s="205"/>
    </row>
    <row r="10" ht="16.5" customHeight="1">
      <c r="A10" s="205"/>
      <c r="B10" s="206" t="s">
        <v>18615</v>
      </c>
      <c r="C10" s="208"/>
      <c r="D10" s="205"/>
      <c r="E10" s="205"/>
      <c r="F10" s="205"/>
      <c r="G10" s="205"/>
      <c r="H10" s="205"/>
      <c r="I10" s="205"/>
      <c r="J10" s="205"/>
      <c r="K10" s="205"/>
      <c r="L10" s="205"/>
      <c r="M10" s="205"/>
      <c r="N10" s="205"/>
      <c r="O10" s="205"/>
      <c r="P10" s="205"/>
      <c r="Q10" s="205"/>
      <c r="R10" s="205"/>
      <c r="S10" s="205"/>
      <c r="T10" s="205"/>
      <c r="U10" s="205"/>
      <c r="V10" s="205"/>
      <c r="W10" s="205"/>
      <c r="X10" s="205"/>
      <c r="Y10" s="205"/>
      <c r="Z10" s="205"/>
    </row>
    <row r="11" ht="12.75" customHeight="1">
      <c r="A11" s="205"/>
      <c r="B11" s="206"/>
      <c r="C11" s="208"/>
      <c r="D11" s="205"/>
      <c r="E11" s="205"/>
      <c r="F11" s="205"/>
      <c r="G11" s="205"/>
      <c r="H11" s="205"/>
      <c r="I11" s="205"/>
      <c r="J11" s="205"/>
      <c r="K11" s="205"/>
      <c r="L11" s="205"/>
      <c r="M11" s="205"/>
      <c r="N11" s="205"/>
      <c r="O11" s="205"/>
      <c r="P11" s="205"/>
      <c r="Q11" s="205"/>
      <c r="R11" s="205"/>
      <c r="S11" s="205"/>
      <c r="T11" s="205"/>
      <c r="U11" s="205"/>
      <c r="V11" s="205"/>
      <c r="W11" s="205"/>
      <c r="X11" s="205"/>
      <c r="Y11" s="205"/>
      <c r="Z11" s="205"/>
    </row>
    <row r="12" ht="12.75" customHeight="1">
      <c r="A12" s="205"/>
      <c r="B12" s="209" t="s">
        <v>18616</v>
      </c>
      <c r="C12" s="210" t="s">
        <v>18617</v>
      </c>
      <c r="D12" s="211"/>
      <c r="E12" s="211"/>
      <c r="F12" s="211"/>
      <c r="G12" s="211"/>
      <c r="H12" s="211"/>
      <c r="I12" s="205"/>
      <c r="J12" s="205"/>
      <c r="K12" s="205"/>
      <c r="L12" s="205"/>
      <c r="M12" s="205"/>
      <c r="N12" s="205"/>
      <c r="O12" s="205"/>
      <c r="P12" s="205"/>
      <c r="Q12" s="205"/>
      <c r="R12" s="205"/>
      <c r="S12" s="205"/>
      <c r="T12" s="205"/>
      <c r="U12" s="205"/>
      <c r="V12" s="205"/>
      <c r="W12" s="205"/>
      <c r="X12" s="205"/>
      <c r="Y12" s="205"/>
      <c r="Z12" s="205"/>
    </row>
    <row r="13" ht="12.75" customHeight="1">
      <c r="A13" s="205"/>
      <c r="B13" s="209" t="s">
        <v>18618</v>
      </c>
      <c r="C13" s="210" t="s">
        <v>18619</v>
      </c>
      <c r="D13" s="211"/>
      <c r="E13" s="211"/>
      <c r="F13" s="211"/>
      <c r="G13" s="211"/>
      <c r="H13" s="211"/>
      <c r="I13" s="205"/>
      <c r="J13" s="205"/>
      <c r="K13" s="205"/>
      <c r="L13" s="205"/>
      <c r="M13" s="205"/>
      <c r="N13" s="205"/>
      <c r="O13" s="205"/>
      <c r="P13" s="205"/>
      <c r="Q13" s="205"/>
      <c r="R13" s="205"/>
      <c r="S13" s="205"/>
      <c r="T13" s="205"/>
      <c r="U13" s="205"/>
      <c r="V13" s="205"/>
      <c r="W13" s="205"/>
      <c r="X13" s="205"/>
      <c r="Y13" s="205"/>
      <c r="Z13" s="205"/>
    </row>
    <row r="14" ht="12.75" customHeight="1">
      <c r="A14" s="205"/>
      <c r="B14" s="209" t="s">
        <v>18620</v>
      </c>
      <c r="C14" s="207" t="s">
        <v>18621</v>
      </c>
      <c r="D14" s="211"/>
      <c r="E14" s="211"/>
      <c r="F14" s="211"/>
      <c r="G14" s="211"/>
      <c r="H14" s="211"/>
      <c r="I14" s="205"/>
      <c r="J14" s="205"/>
      <c r="K14" s="205"/>
      <c r="L14" s="205"/>
      <c r="M14" s="205"/>
      <c r="N14" s="205"/>
      <c r="O14" s="205"/>
      <c r="P14" s="205"/>
      <c r="Q14" s="205"/>
      <c r="R14" s="205"/>
      <c r="S14" s="205"/>
      <c r="T14" s="205"/>
      <c r="U14" s="205"/>
      <c r="V14" s="205"/>
      <c r="W14" s="205"/>
      <c r="X14" s="205"/>
      <c r="Y14" s="205"/>
      <c r="Z14" s="205"/>
    </row>
    <row r="15" ht="12.75" customHeight="1">
      <c r="A15" s="205"/>
      <c r="B15" s="209" t="s">
        <v>3</v>
      </c>
      <c r="C15" s="210" t="s">
        <v>18622</v>
      </c>
      <c r="D15" s="211"/>
      <c r="E15" s="211"/>
      <c r="F15" s="211"/>
      <c r="G15" s="211"/>
      <c r="H15" s="211"/>
      <c r="I15" s="205"/>
      <c r="J15" s="205"/>
      <c r="K15" s="205"/>
      <c r="L15" s="205"/>
      <c r="M15" s="205"/>
      <c r="N15" s="205"/>
      <c r="O15" s="205"/>
      <c r="P15" s="205"/>
      <c r="Q15" s="205"/>
      <c r="R15" s="205"/>
      <c r="S15" s="205"/>
      <c r="T15" s="205"/>
      <c r="U15" s="205"/>
      <c r="V15" s="205"/>
      <c r="W15" s="205"/>
      <c r="X15" s="205"/>
      <c r="Y15" s="205"/>
      <c r="Z15" s="205"/>
    </row>
    <row r="16" ht="12.75" customHeight="1">
      <c r="A16" s="205"/>
      <c r="B16" s="209" t="s">
        <v>18623</v>
      </c>
      <c r="C16" s="210" t="s">
        <v>18624</v>
      </c>
      <c r="D16" s="211"/>
      <c r="E16" s="211"/>
      <c r="F16" s="211"/>
      <c r="G16" s="211"/>
      <c r="H16" s="211"/>
      <c r="I16" s="205"/>
      <c r="J16" s="205"/>
      <c r="K16" s="205"/>
      <c r="L16" s="205"/>
      <c r="M16" s="205"/>
      <c r="N16" s="205"/>
      <c r="O16" s="205"/>
      <c r="P16" s="205"/>
      <c r="Q16" s="205"/>
      <c r="R16" s="205"/>
      <c r="S16" s="205"/>
      <c r="T16" s="205"/>
      <c r="U16" s="205"/>
      <c r="V16" s="205"/>
      <c r="W16" s="205"/>
      <c r="X16" s="205"/>
      <c r="Y16" s="205"/>
      <c r="Z16" s="205"/>
    </row>
    <row r="17" ht="12.75" customHeight="1">
      <c r="A17" s="205"/>
      <c r="B17" s="209" t="s">
        <v>18625</v>
      </c>
      <c r="C17" s="210" t="s">
        <v>18626</v>
      </c>
      <c r="D17" s="211"/>
      <c r="E17" s="211"/>
      <c r="F17" s="211"/>
      <c r="G17" s="211"/>
      <c r="H17" s="211"/>
      <c r="I17" s="205"/>
      <c r="J17" s="205"/>
      <c r="K17" s="205"/>
      <c r="L17" s="205"/>
      <c r="M17" s="205"/>
      <c r="N17" s="205"/>
      <c r="O17" s="205"/>
      <c r="P17" s="205"/>
      <c r="Q17" s="205"/>
      <c r="R17" s="205"/>
      <c r="S17" s="205"/>
      <c r="T17" s="205"/>
      <c r="U17" s="205"/>
      <c r="V17" s="205"/>
      <c r="W17" s="205"/>
      <c r="X17" s="205"/>
      <c r="Y17" s="205"/>
      <c r="Z17" s="205"/>
    </row>
    <row r="18" ht="12.75" customHeight="1">
      <c r="A18" s="205"/>
      <c r="B18" s="212"/>
      <c r="C18" s="210"/>
      <c r="D18" s="211"/>
      <c r="E18" s="211"/>
      <c r="F18" s="211"/>
      <c r="G18" s="211"/>
      <c r="H18" s="205"/>
      <c r="I18" s="205"/>
      <c r="J18" s="205"/>
      <c r="K18" s="205"/>
      <c r="L18" s="205"/>
      <c r="M18" s="205"/>
      <c r="N18" s="205"/>
      <c r="O18" s="205"/>
      <c r="P18" s="205"/>
      <c r="Q18" s="205"/>
      <c r="R18" s="205"/>
      <c r="S18" s="205"/>
      <c r="T18" s="205"/>
      <c r="U18" s="205"/>
      <c r="V18" s="205"/>
      <c r="W18" s="205"/>
      <c r="X18" s="205"/>
      <c r="Y18" s="205"/>
      <c r="Z18" s="205"/>
    </row>
    <row r="19" ht="12.75" customHeight="1">
      <c r="A19" s="205"/>
      <c r="B19" s="206" t="s">
        <v>18627</v>
      </c>
      <c r="C19" s="208"/>
      <c r="D19" s="205"/>
      <c r="E19" s="205"/>
      <c r="F19" s="205"/>
      <c r="G19" s="205"/>
      <c r="H19" s="205"/>
      <c r="I19" s="205"/>
      <c r="J19" s="205"/>
      <c r="K19" s="205"/>
      <c r="L19" s="205"/>
      <c r="M19" s="205"/>
      <c r="N19" s="205"/>
      <c r="O19" s="205"/>
      <c r="P19" s="205"/>
      <c r="Q19" s="205"/>
      <c r="R19" s="205"/>
      <c r="S19" s="205"/>
      <c r="T19" s="205"/>
      <c r="U19" s="205"/>
      <c r="V19" s="205"/>
      <c r="W19" s="205"/>
      <c r="X19" s="205"/>
      <c r="Y19" s="205"/>
      <c r="Z19" s="205"/>
    </row>
    <row r="20" ht="12.75" customHeight="1">
      <c r="A20" s="205"/>
      <c r="B20" s="208"/>
      <c r="C20" s="208"/>
      <c r="D20" s="205"/>
      <c r="E20" s="205"/>
      <c r="F20" s="205"/>
      <c r="G20" s="205"/>
      <c r="H20" s="205"/>
      <c r="I20" s="205"/>
      <c r="J20" s="205"/>
      <c r="K20" s="205"/>
      <c r="L20" s="205"/>
      <c r="M20" s="205"/>
      <c r="N20" s="205"/>
      <c r="O20" s="205"/>
      <c r="P20" s="205"/>
      <c r="Q20" s="205"/>
      <c r="R20" s="205"/>
      <c r="S20" s="205"/>
      <c r="T20" s="205"/>
      <c r="U20" s="205"/>
      <c r="V20" s="205"/>
      <c r="W20" s="205"/>
      <c r="X20" s="205"/>
      <c r="Y20" s="205"/>
      <c r="Z20" s="205"/>
    </row>
    <row r="21" ht="12.75" customHeight="1">
      <c r="A21" s="205"/>
      <c r="B21" s="212" t="s">
        <v>18628</v>
      </c>
      <c r="C21" s="207" t="s">
        <v>18629</v>
      </c>
      <c r="D21" s="211"/>
      <c r="E21" s="211"/>
      <c r="F21" s="211"/>
      <c r="G21" s="211"/>
      <c r="H21" s="211"/>
      <c r="I21" s="205"/>
      <c r="J21" s="205"/>
      <c r="K21" s="205"/>
      <c r="L21" s="205"/>
      <c r="M21" s="205"/>
      <c r="N21" s="205"/>
      <c r="O21" s="205"/>
      <c r="P21" s="205"/>
      <c r="Q21" s="205"/>
      <c r="R21" s="205"/>
      <c r="S21" s="205"/>
      <c r="T21" s="205"/>
      <c r="U21" s="205"/>
      <c r="V21" s="205"/>
      <c r="W21" s="205"/>
      <c r="X21" s="205"/>
      <c r="Y21" s="205"/>
      <c r="Z21" s="205"/>
    </row>
    <row r="22" ht="12.75" customHeight="1">
      <c r="A22" s="205"/>
      <c r="B22" s="212" t="s">
        <v>18630</v>
      </c>
      <c r="C22" s="207" t="s">
        <v>18631</v>
      </c>
      <c r="D22" s="211"/>
      <c r="E22" s="211"/>
      <c r="F22" s="211"/>
      <c r="G22" s="211"/>
      <c r="H22" s="211"/>
      <c r="I22" s="205"/>
      <c r="J22" s="205"/>
      <c r="K22" s="205"/>
      <c r="L22" s="205"/>
      <c r="M22" s="205"/>
      <c r="N22" s="205"/>
      <c r="O22" s="205"/>
      <c r="P22" s="205"/>
      <c r="Q22" s="205"/>
      <c r="R22" s="205"/>
      <c r="S22" s="205"/>
      <c r="T22" s="205"/>
      <c r="U22" s="205"/>
      <c r="V22" s="205"/>
      <c r="W22" s="205"/>
      <c r="X22" s="205"/>
      <c r="Y22" s="205"/>
      <c r="Z22" s="205"/>
    </row>
    <row r="23" ht="12.75" customHeight="1">
      <c r="A23" s="205"/>
      <c r="B23" s="212" t="s">
        <v>54</v>
      </c>
      <c r="C23" s="207" t="s">
        <v>18632</v>
      </c>
      <c r="D23" s="211"/>
      <c r="E23" s="211"/>
      <c r="F23" s="211"/>
      <c r="G23" s="211"/>
      <c r="H23" s="211"/>
      <c r="I23" s="205"/>
      <c r="J23" s="205"/>
      <c r="K23" s="205"/>
      <c r="L23" s="205"/>
      <c r="M23" s="205"/>
      <c r="N23" s="205"/>
      <c r="O23" s="205"/>
      <c r="P23" s="205"/>
      <c r="Q23" s="205"/>
      <c r="R23" s="205"/>
      <c r="S23" s="205"/>
      <c r="T23" s="205"/>
      <c r="U23" s="205"/>
      <c r="V23" s="205"/>
      <c r="W23" s="205"/>
      <c r="X23" s="205"/>
      <c r="Y23" s="205"/>
      <c r="Z23" s="205"/>
    </row>
    <row r="24" ht="12.75" customHeight="1">
      <c r="A24" s="205"/>
      <c r="B24" s="212" t="s">
        <v>18633</v>
      </c>
      <c r="C24" s="207" t="s">
        <v>18634</v>
      </c>
      <c r="D24" s="211"/>
      <c r="E24" s="211"/>
      <c r="F24" s="211"/>
      <c r="G24" s="211"/>
      <c r="H24" s="211"/>
      <c r="I24" s="205"/>
      <c r="J24" s="205"/>
      <c r="K24" s="205"/>
      <c r="L24" s="205"/>
      <c r="M24" s="205"/>
      <c r="N24" s="205"/>
      <c r="O24" s="205"/>
      <c r="P24" s="205"/>
      <c r="Q24" s="205"/>
      <c r="R24" s="205"/>
      <c r="S24" s="205"/>
      <c r="T24" s="205"/>
      <c r="U24" s="205"/>
      <c r="V24" s="205"/>
      <c r="W24" s="205"/>
      <c r="X24" s="205"/>
      <c r="Y24" s="205"/>
      <c r="Z24" s="205"/>
    </row>
    <row r="25" ht="12.75" customHeight="1">
      <c r="A25" s="205"/>
      <c r="B25" s="208"/>
      <c r="C25" s="208"/>
      <c r="D25" s="211"/>
      <c r="E25" s="211"/>
      <c r="F25" s="211"/>
      <c r="G25" s="211"/>
      <c r="H25" s="211"/>
      <c r="I25" s="205"/>
      <c r="J25" s="205"/>
      <c r="K25" s="205"/>
      <c r="L25" s="205"/>
      <c r="M25" s="205"/>
      <c r="N25" s="205"/>
      <c r="O25" s="205"/>
      <c r="P25" s="205"/>
      <c r="Q25" s="205"/>
      <c r="R25" s="205"/>
      <c r="S25" s="205"/>
      <c r="T25" s="205"/>
      <c r="U25" s="205"/>
      <c r="V25" s="205"/>
      <c r="W25" s="205"/>
      <c r="X25" s="205"/>
      <c r="Y25" s="205"/>
      <c r="Z25" s="205"/>
    </row>
    <row r="26" ht="15.0" customHeight="1">
      <c r="A26" s="205"/>
      <c r="B26" s="206" t="s">
        <v>18635</v>
      </c>
      <c r="C26" s="210"/>
      <c r="D26" s="211"/>
      <c r="E26" s="211"/>
      <c r="F26" s="211"/>
      <c r="G26" s="211"/>
      <c r="H26" s="211"/>
      <c r="I26" s="205"/>
      <c r="J26" s="205"/>
      <c r="K26" s="205"/>
      <c r="L26" s="205"/>
      <c r="M26" s="205"/>
      <c r="N26" s="205"/>
      <c r="O26" s="205"/>
      <c r="P26" s="205"/>
      <c r="Q26" s="205"/>
      <c r="R26" s="205"/>
      <c r="S26" s="205"/>
      <c r="T26" s="205"/>
      <c r="U26" s="205"/>
      <c r="V26" s="205"/>
      <c r="W26" s="205"/>
      <c r="X26" s="205"/>
      <c r="Y26" s="205"/>
      <c r="Z26" s="205"/>
    </row>
    <row r="27" ht="12.75" customHeight="1">
      <c r="A27" s="205"/>
      <c r="B27" s="206"/>
      <c r="C27" s="210"/>
      <c r="D27" s="205"/>
      <c r="E27" s="205"/>
      <c r="F27" s="205"/>
      <c r="G27" s="205"/>
      <c r="H27" s="205"/>
      <c r="I27" s="205"/>
      <c r="J27" s="205"/>
      <c r="K27" s="205"/>
      <c r="L27" s="205"/>
      <c r="M27" s="205"/>
      <c r="N27" s="205"/>
      <c r="O27" s="205"/>
      <c r="P27" s="205"/>
      <c r="Q27" s="205"/>
      <c r="R27" s="205"/>
      <c r="S27" s="205"/>
      <c r="T27" s="205"/>
      <c r="U27" s="205"/>
      <c r="V27" s="205"/>
      <c r="W27" s="205"/>
      <c r="X27" s="205"/>
      <c r="Y27" s="205"/>
      <c r="Z27" s="205"/>
    </row>
    <row r="28" ht="12.75" customHeight="1">
      <c r="A28" s="205"/>
      <c r="B28" s="212" t="s">
        <v>18636</v>
      </c>
      <c r="C28" s="210" t="s">
        <v>18637</v>
      </c>
      <c r="D28" s="205"/>
      <c r="E28" s="205"/>
      <c r="F28" s="213"/>
      <c r="G28" s="205"/>
      <c r="H28" s="205"/>
      <c r="I28" s="205"/>
      <c r="J28" s="205"/>
      <c r="K28" s="205"/>
      <c r="L28" s="205"/>
      <c r="M28" s="205"/>
      <c r="N28" s="205"/>
      <c r="O28" s="205"/>
      <c r="P28" s="205"/>
      <c r="Q28" s="205"/>
      <c r="R28" s="205"/>
      <c r="S28" s="205"/>
      <c r="T28" s="205"/>
      <c r="U28" s="205"/>
      <c r="V28" s="205"/>
      <c r="W28" s="205"/>
      <c r="X28" s="205"/>
      <c r="Y28" s="205"/>
      <c r="Z28" s="205"/>
    </row>
    <row r="29" ht="12.75" customHeight="1">
      <c r="A29" s="214"/>
      <c r="B29" s="212" t="s">
        <v>18638</v>
      </c>
      <c r="C29" s="210" t="s">
        <v>18639</v>
      </c>
      <c r="D29" s="205"/>
      <c r="E29" s="213"/>
      <c r="F29" s="205"/>
      <c r="G29" s="205"/>
      <c r="H29" s="205"/>
      <c r="I29" s="205"/>
      <c r="J29" s="205"/>
      <c r="K29" s="205"/>
      <c r="L29" s="205"/>
      <c r="M29" s="205"/>
      <c r="N29" s="205"/>
      <c r="O29" s="205"/>
      <c r="P29" s="205"/>
      <c r="Q29" s="205"/>
      <c r="R29" s="205"/>
      <c r="S29" s="205"/>
      <c r="T29" s="205"/>
      <c r="U29" s="205"/>
      <c r="V29" s="205"/>
      <c r="W29" s="205"/>
      <c r="X29" s="205"/>
      <c r="Y29" s="205"/>
      <c r="Z29" s="205"/>
    </row>
    <row r="30" ht="12.75" customHeight="1">
      <c r="A30" s="205"/>
      <c r="B30" s="212" t="s">
        <v>12385</v>
      </c>
      <c r="C30" s="210" t="s">
        <v>18640</v>
      </c>
      <c r="D30" s="205"/>
      <c r="E30" s="213"/>
      <c r="F30" s="205"/>
      <c r="G30" s="205"/>
      <c r="H30" s="205"/>
      <c r="I30" s="205"/>
      <c r="J30" s="205"/>
      <c r="K30" s="205"/>
      <c r="L30" s="205"/>
      <c r="M30" s="205"/>
      <c r="N30" s="205"/>
      <c r="O30" s="205"/>
      <c r="P30" s="205"/>
      <c r="Q30" s="205"/>
      <c r="R30" s="205"/>
      <c r="S30" s="205"/>
      <c r="T30" s="205"/>
      <c r="U30" s="205"/>
      <c r="V30" s="205"/>
      <c r="W30" s="205"/>
      <c r="X30" s="205"/>
      <c r="Y30" s="205"/>
      <c r="Z30" s="205"/>
    </row>
    <row r="31" ht="12.75" customHeight="1">
      <c r="A31" s="205"/>
      <c r="B31" s="212" t="s">
        <v>18192</v>
      </c>
      <c r="C31" s="210" t="s">
        <v>18641</v>
      </c>
      <c r="D31" s="205"/>
      <c r="E31" s="213"/>
      <c r="F31" s="205"/>
      <c r="G31" s="205"/>
      <c r="H31" s="205"/>
      <c r="I31" s="205"/>
      <c r="J31" s="205"/>
      <c r="K31" s="205"/>
      <c r="L31" s="205"/>
      <c r="M31" s="205"/>
      <c r="N31" s="205"/>
      <c r="O31" s="205"/>
      <c r="P31" s="205"/>
      <c r="Q31" s="205"/>
      <c r="R31" s="205"/>
      <c r="S31" s="205"/>
      <c r="T31" s="205"/>
      <c r="U31" s="205"/>
      <c r="V31" s="205"/>
      <c r="W31" s="205"/>
      <c r="X31" s="205"/>
      <c r="Y31" s="205"/>
      <c r="Z31" s="205"/>
    </row>
    <row r="32" ht="12.75" customHeight="1">
      <c r="A32" s="205"/>
      <c r="B32" s="212" t="s">
        <v>18642</v>
      </c>
      <c r="C32" s="210" t="s">
        <v>18643</v>
      </c>
      <c r="D32" s="205"/>
      <c r="E32" s="213"/>
      <c r="F32" s="205"/>
      <c r="G32" s="205"/>
      <c r="H32" s="205"/>
      <c r="I32" s="205"/>
      <c r="J32" s="205"/>
      <c r="K32" s="205"/>
      <c r="L32" s="205"/>
      <c r="M32" s="205"/>
      <c r="N32" s="205"/>
      <c r="O32" s="205"/>
      <c r="P32" s="205"/>
      <c r="Q32" s="205"/>
      <c r="R32" s="205"/>
      <c r="S32" s="205"/>
      <c r="T32" s="205"/>
      <c r="U32" s="205"/>
      <c r="V32" s="205"/>
      <c r="W32" s="205"/>
      <c r="X32" s="205"/>
      <c r="Y32" s="205"/>
      <c r="Z32" s="205"/>
    </row>
    <row r="33" ht="12.75" customHeight="1">
      <c r="A33" s="205"/>
      <c r="B33" s="212" t="s">
        <v>18644</v>
      </c>
      <c r="C33" s="210" t="s">
        <v>18645</v>
      </c>
      <c r="D33" s="205"/>
      <c r="E33" s="213"/>
      <c r="F33" s="205"/>
      <c r="G33" s="205"/>
      <c r="H33" s="205"/>
      <c r="I33" s="205"/>
      <c r="J33" s="205"/>
      <c r="K33" s="205"/>
      <c r="L33" s="205"/>
      <c r="M33" s="205"/>
      <c r="N33" s="205"/>
      <c r="O33" s="205"/>
      <c r="P33" s="205"/>
      <c r="Q33" s="205"/>
      <c r="R33" s="205"/>
      <c r="S33" s="205"/>
      <c r="T33" s="205"/>
      <c r="U33" s="205"/>
      <c r="V33" s="205"/>
      <c r="W33" s="205"/>
      <c r="X33" s="205"/>
      <c r="Y33" s="205"/>
      <c r="Z33" s="205"/>
    </row>
    <row r="34" ht="12.75" customHeight="1">
      <c r="A34" s="214"/>
      <c r="B34" s="212"/>
      <c r="C34" s="210"/>
      <c r="D34" s="205"/>
      <c r="E34" s="213"/>
      <c r="F34" s="205"/>
      <c r="G34" s="205"/>
      <c r="H34" s="205"/>
      <c r="I34" s="205"/>
      <c r="J34" s="205"/>
      <c r="K34" s="205"/>
      <c r="L34" s="205"/>
      <c r="M34" s="205"/>
      <c r="N34" s="205"/>
      <c r="O34" s="205"/>
      <c r="P34" s="205"/>
      <c r="Q34" s="205"/>
      <c r="R34" s="205"/>
      <c r="S34" s="205"/>
      <c r="T34" s="205"/>
      <c r="U34" s="205"/>
      <c r="V34" s="205"/>
      <c r="W34" s="205"/>
      <c r="X34" s="205"/>
      <c r="Y34" s="205"/>
      <c r="Z34" s="205"/>
    </row>
    <row r="35" ht="16.5" customHeight="1">
      <c r="A35" s="215"/>
      <c r="B35" s="206" t="s">
        <v>18646</v>
      </c>
      <c r="C35" s="210" t="s">
        <v>18647</v>
      </c>
      <c r="D35" s="205"/>
      <c r="E35" s="216"/>
      <c r="F35" s="205"/>
      <c r="G35" s="205"/>
      <c r="H35" s="205"/>
      <c r="I35" s="205"/>
      <c r="J35" s="205"/>
      <c r="K35" s="205"/>
      <c r="L35" s="205"/>
      <c r="M35" s="205"/>
      <c r="N35" s="205"/>
      <c r="O35" s="205"/>
      <c r="P35" s="205"/>
      <c r="Q35" s="205"/>
      <c r="R35" s="205"/>
      <c r="S35" s="205"/>
      <c r="T35" s="205"/>
      <c r="U35" s="205"/>
      <c r="V35" s="205"/>
      <c r="W35" s="205"/>
      <c r="X35" s="205"/>
      <c r="Y35" s="205"/>
      <c r="Z35" s="205"/>
    </row>
    <row r="36" ht="12.75" customHeight="1">
      <c r="A36" s="205"/>
      <c r="B36" s="212"/>
      <c r="C36" s="208"/>
      <c r="D36" s="205"/>
      <c r="E36" s="213"/>
      <c r="F36" s="205"/>
      <c r="G36" s="205"/>
      <c r="H36" s="205"/>
      <c r="I36" s="205"/>
      <c r="J36" s="205"/>
      <c r="K36" s="205"/>
      <c r="L36" s="205"/>
      <c r="M36" s="205"/>
      <c r="N36" s="205"/>
      <c r="O36" s="205"/>
      <c r="P36" s="205"/>
      <c r="Q36" s="205"/>
      <c r="R36" s="205"/>
      <c r="S36" s="205"/>
      <c r="T36" s="205"/>
      <c r="U36" s="205"/>
      <c r="V36" s="205"/>
      <c r="W36" s="205"/>
      <c r="X36" s="205"/>
      <c r="Y36" s="205"/>
      <c r="Z36" s="205"/>
    </row>
    <row r="37" ht="15.0" customHeight="1">
      <c r="A37" s="205"/>
      <c r="B37" s="206" t="s">
        <v>18648</v>
      </c>
      <c r="C37" s="217" t="s">
        <v>18649</v>
      </c>
      <c r="D37" s="194"/>
      <c r="E37" s="213"/>
      <c r="F37" s="205"/>
      <c r="G37" s="205"/>
      <c r="H37" s="205"/>
      <c r="I37" s="205"/>
      <c r="J37" s="205"/>
      <c r="K37" s="205"/>
      <c r="L37" s="205"/>
      <c r="M37" s="205"/>
      <c r="N37" s="205"/>
      <c r="O37" s="205"/>
      <c r="P37" s="205"/>
      <c r="Q37" s="205"/>
      <c r="R37" s="205"/>
      <c r="S37" s="205"/>
      <c r="T37" s="205"/>
      <c r="U37" s="205"/>
      <c r="V37" s="205"/>
      <c r="W37" s="205"/>
      <c r="X37" s="205"/>
      <c r="Y37" s="205"/>
      <c r="Z37" s="205"/>
    </row>
    <row r="38" ht="12.75" customHeight="1">
      <c r="A38" s="205"/>
      <c r="B38" s="206"/>
      <c r="C38" s="210"/>
      <c r="D38" s="210"/>
      <c r="E38" s="213"/>
      <c r="F38" s="205"/>
      <c r="G38" s="205"/>
      <c r="H38" s="205"/>
      <c r="I38" s="205"/>
      <c r="J38" s="205"/>
      <c r="K38" s="205"/>
      <c r="L38" s="205"/>
      <c r="M38" s="205"/>
      <c r="N38" s="205"/>
      <c r="O38" s="205"/>
      <c r="P38" s="205"/>
      <c r="Q38" s="205"/>
      <c r="R38" s="205"/>
      <c r="S38" s="205"/>
      <c r="T38" s="205"/>
      <c r="U38" s="205"/>
      <c r="V38" s="205"/>
      <c r="W38" s="205"/>
      <c r="X38" s="205"/>
      <c r="Y38" s="205"/>
      <c r="Z38" s="205"/>
    </row>
    <row r="39" ht="18.0" customHeight="1">
      <c r="A39" s="205"/>
      <c r="B39" s="206" t="s">
        <v>18650</v>
      </c>
      <c r="C39" s="210" t="s">
        <v>18651</v>
      </c>
      <c r="D39" s="210"/>
      <c r="E39" s="213"/>
      <c r="F39" s="205"/>
      <c r="G39" s="205"/>
      <c r="H39" s="205"/>
      <c r="I39" s="205"/>
      <c r="J39" s="205"/>
      <c r="K39" s="205"/>
      <c r="L39" s="205"/>
      <c r="M39" s="205"/>
      <c r="N39" s="205"/>
      <c r="O39" s="205"/>
      <c r="P39" s="205"/>
      <c r="Q39" s="205"/>
      <c r="R39" s="205"/>
      <c r="S39" s="205"/>
      <c r="T39" s="205"/>
      <c r="U39" s="205"/>
      <c r="V39" s="205"/>
      <c r="W39" s="205"/>
      <c r="X39" s="205"/>
      <c r="Y39" s="205"/>
      <c r="Z39" s="205"/>
    </row>
    <row r="40" ht="12.75" customHeight="1">
      <c r="A40" s="205"/>
      <c r="B40" s="212"/>
      <c r="C40" s="210"/>
      <c r="D40" s="205"/>
      <c r="E40" s="213"/>
      <c r="F40" s="205"/>
      <c r="G40" s="205"/>
      <c r="H40" s="205"/>
      <c r="I40" s="205"/>
      <c r="J40" s="205"/>
      <c r="K40" s="205"/>
      <c r="L40" s="205"/>
      <c r="M40" s="205"/>
      <c r="N40" s="205"/>
      <c r="O40" s="205"/>
      <c r="P40" s="205"/>
      <c r="Q40" s="205"/>
      <c r="R40" s="205"/>
      <c r="S40" s="205"/>
      <c r="T40" s="205"/>
      <c r="U40" s="205"/>
      <c r="V40" s="205"/>
      <c r="W40" s="205"/>
      <c r="X40" s="205"/>
      <c r="Y40" s="205"/>
      <c r="Z40" s="205"/>
    </row>
    <row r="41" ht="12.75" customHeight="1">
      <c r="A41" s="215"/>
      <c r="B41" s="206" t="s">
        <v>18652</v>
      </c>
      <c r="C41" s="207" t="s">
        <v>18653</v>
      </c>
      <c r="D41" s="205"/>
      <c r="E41" s="213"/>
      <c r="F41" s="205"/>
      <c r="G41" s="205"/>
      <c r="H41" s="205"/>
      <c r="I41" s="205"/>
      <c r="J41" s="205"/>
      <c r="K41" s="205"/>
      <c r="L41" s="205"/>
      <c r="M41" s="205"/>
      <c r="N41" s="205"/>
      <c r="O41" s="205"/>
      <c r="P41" s="205"/>
      <c r="Q41" s="205"/>
      <c r="R41" s="205"/>
      <c r="S41" s="205"/>
      <c r="T41" s="205"/>
      <c r="U41" s="205"/>
      <c r="V41" s="205"/>
      <c r="W41" s="205"/>
      <c r="X41" s="205"/>
      <c r="Y41" s="205"/>
      <c r="Z41" s="205"/>
    </row>
    <row r="42" ht="12.75" customHeight="1">
      <c r="A42" s="205"/>
      <c r="B42" s="208"/>
      <c r="C42" s="218"/>
      <c r="D42" s="205"/>
      <c r="E42" s="213"/>
      <c r="F42" s="205"/>
      <c r="G42" s="205"/>
      <c r="H42" s="205"/>
      <c r="I42" s="205"/>
      <c r="J42" s="205"/>
      <c r="K42" s="205"/>
      <c r="L42" s="205"/>
      <c r="M42" s="205"/>
      <c r="N42" s="205"/>
      <c r="O42" s="205"/>
      <c r="P42" s="205"/>
      <c r="Q42" s="205"/>
      <c r="R42" s="205"/>
      <c r="S42" s="205"/>
      <c r="T42" s="205"/>
      <c r="U42" s="205"/>
      <c r="V42" s="205"/>
      <c r="W42" s="205"/>
      <c r="X42" s="205"/>
      <c r="Y42" s="205"/>
      <c r="Z42" s="205"/>
    </row>
    <row r="43" ht="12.75" customHeight="1">
      <c r="A43" s="205"/>
      <c r="B43" s="212" t="s">
        <v>18654</v>
      </c>
      <c r="C43" s="210" t="s">
        <v>18655</v>
      </c>
      <c r="D43" s="205"/>
      <c r="E43" s="213"/>
      <c r="F43" s="205"/>
      <c r="G43" s="205"/>
      <c r="H43" s="205"/>
      <c r="I43" s="205"/>
      <c r="J43" s="205"/>
      <c r="K43" s="205"/>
      <c r="L43" s="205"/>
      <c r="M43" s="205"/>
      <c r="N43" s="205"/>
      <c r="O43" s="205"/>
      <c r="P43" s="205"/>
      <c r="Q43" s="205"/>
      <c r="R43" s="205"/>
      <c r="S43" s="205"/>
      <c r="T43" s="205"/>
      <c r="U43" s="205"/>
      <c r="V43" s="205"/>
      <c r="W43" s="205"/>
      <c r="X43" s="205"/>
      <c r="Y43" s="205"/>
      <c r="Z43" s="205"/>
    </row>
    <row r="44" ht="12.75" customHeight="1">
      <c r="A44" s="205"/>
      <c r="B44" s="212" t="s">
        <v>18656</v>
      </c>
      <c r="C44" s="210" t="s">
        <v>18657</v>
      </c>
      <c r="D44" s="205"/>
      <c r="E44" s="213"/>
      <c r="F44" s="205"/>
      <c r="G44" s="205"/>
      <c r="H44" s="205"/>
      <c r="I44" s="205"/>
      <c r="J44" s="205"/>
      <c r="K44" s="205"/>
      <c r="L44" s="205"/>
      <c r="M44" s="205"/>
      <c r="N44" s="205"/>
      <c r="O44" s="205"/>
      <c r="P44" s="205"/>
      <c r="Q44" s="205"/>
      <c r="R44" s="205"/>
      <c r="S44" s="205"/>
      <c r="T44" s="205"/>
      <c r="U44" s="205"/>
      <c r="V44" s="205"/>
      <c r="W44" s="205"/>
      <c r="X44" s="205"/>
      <c r="Y44" s="205"/>
      <c r="Z44" s="205"/>
    </row>
    <row r="45" ht="12.75" customHeight="1">
      <c r="A45" s="205"/>
      <c r="B45" s="212" t="s">
        <v>12270</v>
      </c>
      <c r="C45" s="210" t="s">
        <v>18658</v>
      </c>
      <c r="D45" s="205"/>
      <c r="E45" s="205"/>
      <c r="F45" s="205"/>
      <c r="G45" s="205"/>
      <c r="H45" s="205"/>
      <c r="I45" s="205"/>
      <c r="J45" s="205"/>
      <c r="K45" s="205"/>
      <c r="L45" s="205"/>
      <c r="M45" s="205"/>
      <c r="N45" s="205"/>
      <c r="O45" s="205"/>
      <c r="P45" s="205"/>
      <c r="Q45" s="205"/>
      <c r="R45" s="205"/>
      <c r="S45" s="205"/>
      <c r="T45" s="205"/>
      <c r="U45" s="205"/>
      <c r="V45" s="205"/>
      <c r="W45" s="205"/>
      <c r="X45" s="205"/>
      <c r="Y45" s="205"/>
      <c r="Z45" s="205"/>
    </row>
    <row r="46" ht="12.75" customHeight="1">
      <c r="A46" s="215"/>
      <c r="B46" s="212" t="s">
        <v>18659</v>
      </c>
      <c r="C46" s="207" t="s">
        <v>18660</v>
      </c>
      <c r="D46" s="205"/>
      <c r="E46" s="205"/>
      <c r="F46" s="205"/>
      <c r="G46" s="205"/>
      <c r="H46" s="205"/>
      <c r="I46" s="205"/>
      <c r="J46" s="205"/>
      <c r="K46" s="205"/>
      <c r="L46" s="205"/>
      <c r="M46" s="205"/>
      <c r="N46" s="205"/>
      <c r="O46" s="205"/>
      <c r="P46" s="205"/>
      <c r="Q46" s="205"/>
      <c r="R46" s="205"/>
      <c r="S46" s="205"/>
      <c r="T46" s="205"/>
      <c r="U46" s="205"/>
      <c r="V46" s="205"/>
      <c r="W46" s="205"/>
      <c r="X46" s="205"/>
      <c r="Y46" s="205"/>
      <c r="Z46" s="205"/>
    </row>
    <row r="47" ht="12.75" customHeight="1">
      <c r="A47" s="215"/>
      <c r="B47" s="212" t="s">
        <v>18661</v>
      </c>
      <c r="C47" s="210" t="s">
        <v>18662</v>
      </c>
      <c r="D47" s="205"/>
      <c r="E47" s="205"/>
      <c r="F47" s="205"/>
      <c r="G47" s="205"/>
      <c r="H47" s="205"/>
      <c r="I47" s="205"/>
      <c r="J47" s="205"/>
      <c r="K47" s="205"/>
      <c r="L47" s="205"/>
      <c r="M47" s="205"/>
      <c r="N47" s="205"/>
      <c r="O47" s="205"/>
      <c r="P47" s="205"/>
      <c r="Q47" s="205"/>
      <c r="R47" s="205"/>
      <c r="S47" s="205"/>
      <c r="T47" s="205"/>
      <c r="U47" s="205"/>
      <c r="V47" s="205"/>
      <c r="W47" s="205"/>
      <c r="X47" s="205"/>
      <c r="Y47" s="205"/>
      <c r="Z47" s="205"/>
    </row>
    <row r="48" ht="12.75" customHeight="1">
      <c r="A48" s="219"/>
      <c r="B48" s="212" t="s">
        <v>18663</v>
      </c>
      <c r="C48" s="210" t="s">
        <v>18664</v>
      </c>
      <c r="D48" s="205"/>
      <c r="E48" s="205"/>
      <c r="F48" s="205"/>
      <c r="G48" s="205"/>
      <c r="H48" s="205"/>
      <c r="I48" s="205"/>
      <c r="J48" s="205"/>
      <c r="K48" s="205"/>
      <c r="L48" s="205"/>
      <c r="M48" s="205"/>
      <c r="N48" s="205"/>
      <c r="O48" s="205"/>
      <c r="P48" s="205"/>
      <c r="Q48" s="205"/>
      <c r="R48" s="205"/>
      <c r="S48" s="205"/>
      <c r="T48" s="205"/>
      <c r="U48" s="205"/>
      <c r="V48" s="205"/>
      <c r="W48" s="205"/>
      <c r="X48" s="205"/>
      <c r="Y48" s="205"/>
      <c r="Z48" s="205"/>
    </row>
    <row r="49" ht="12.75" customHeight="1">
      <c r="A49" s="220"/>
      <c r="B49" s="212" t="s">
        <v>18665</v>
      </c>
      <c r="C49" s="210" t="s">
        <v>18666</v>
      </c>
      <c r="D49" s="205"/>
      <c r="E49" s="205"/>
      <c r="F49" s="205"/>
      <c r="G49" s="205"/>
      <c r="H49" s="205"/>
      <c r="I49" s="205"/>
      <c r="J49" s="205"/>
      <c r="K49" s="205"/>
      <c r="L49" s="205"/>
      <c r="M49" s="205"/>
      <c r="N49" s="205"/>
      <c r="O49" s="205"/>
      <c r="P49" s="205"/>
      <c r="Q49" s="205"/>
      <c r="R49" s="205"/>
      <c r="S49" s="205"/>
      <c r="T49" s="205"/>
      <c r="U49" s="205"/>
      <c r="V49" s="205"/>
      <c r="W49" s="205"/>
      <c r="X49" s="205"/>
      <c r="Y49" s="205"/>
      <c r="Z49" s="205"/>
    </row>
    <row r="50" ht="12.75" customHeight="1">
      <c r="A50" s="220"/>
      <c r="B50" s="212" t="s">
        <v>677</v>
      </c>
      <c r="C50" s="210" t="s">
        <v>18667</v>
      </c>
      <c r="D50" s="205"/>
      <c r="E50" s="205"/>
      <c r="F50" s="205"/>
      <c r="G50" s="205"/>
      <c r="H50" s="205"/>
      <c r="I50" s="205"/>
      <c r="J50" s="205"/>
      <c r="K50" s="205"/>
      <c r="L50" s="205"/>
      <c r="M50" s="205"/>
      <c r="N50" s="205"/>
      <c r="O50" s="205"/>
      <c r="P50" s="205"/>
      <c r="Q50" s="205"/>
      <c r="R50" s="205"/>
      <c r="S50" s="205"/>
      <c r="T50" s="205"/>
      <c r="U50" s="205"/>
      <c r="V50" s="205"/>
      <c r="W50" s="205"/>
      <c r="X50" s="205"/>
      <c r="Y50" s="205"/>
      <c r="Z50" s="205"/>
    </row>
    <row r="51" ht="12.75" customHeight="1">
      <c r="A51" s="221"/>
      <c r="B51" s="212" t="s">
        <v>103</v>
      </c>
      <c r="C51" s="210" t="s">
        <v>18668</v>
      </c>
      <c r="D51" s="205"/>
      <c r="E51" s="205"/>
      <c r="F51" s="205"/>
      <c r="G51" s="205"/>
      <c r="H51" s="205"/>
      <c r="I51" s="205"/>
      <c r="J51" s="205"/>
      <c r="K51" s="205"/>
      <c r="L51" s="205"/>
      <c r="M51" s="205"/>
      <c r="N51" s="205"/>
      <c r="O51" s="205"/>
      <c r="P51" s="205"/>
      <c r="Q51" s="205"/>
      <c r="R51" s="205"/>
      <c r="S51" s="205"/>
      <c r="T51" s="205"/>
      <c r="U51" s="205"/>
      <c r="V51" s="205"/>
      <c r="W51" s="205"/>
      <c r="X51" s="205"/>
      <c r="Y51" s="205"/>
      <c r="Z51" s="205"/>
    </row>
    <row r="52" ht="12.75" customHeight="1">
      <c r="A52" s="221"/>
      <c r="B52" s="212" t="s">
        <v>18218</v>
      </c>
      <c r="C52" s="210" t="s">
        <v>18669</v>
      </c>
      <c r="D52" s="205"/>
      <c r="E52" s="205"/>
      <c r="F52" s="205"/>
      <c r="G52" s="205"/>
      <c r="H52" s="205"/>
      <c r="I52" s="205"/>
      <c r="J52" s="205"/>
      <c r="K52" s="205"/>
      <c r="L52" s="205"/>
      <c r="M52" s="205"/>
      <c r="N52" s="205"/>
      <c r="O52" s="205"/>
      <c r="P52" s="205"/>
      <c r="Q52" s="205"/>
      <c r="R52" s="205"/>
      <c r="S52" s="205"/>
      <c r="T52" s="205"/>
      <c r="U52" s="205"/>
      <c r="V52" s="205"/>
      <c r="W52" s="205"/>
      <c r="X52" s="205"/>
      <c r="Y52" s="205"/>
      <c r="Z52" s="205"/>
    </row>
    <row r="53" ht="12.75" customHeight="1">
      <c r="A53" s="221"/>
      <c r="B53" s="212" t="s">
        <v>18620</v>
      </c>
      <c r="C53" s="207" t="s">
        <v>18670</v>
      </c>
      <c r="D53" s="205"/>
      <c r="E53" s="205"/>
      <c r="F53" s="205"/>
      <c r="G53" s="205"/>
      <c r="H53" s="205"/>
      <c r="I53" s="205"/>
      <c r="J53" s="205"/>
      <c r="K53" s="205"/>
      <c r="L53" s="205"/>
      <c r="M53" s="205"/>
      <c r="N53" s="205"/>
      <c r="O53" s="205"/>
      <c r="P53" s="205"/>
      <c r="Q53" s="205"/>
      <c r="R53" s="205"/>
      <c r="S53" s="205"/>
      <c r="T53" s="205"/>
      <c r="U53" s="205"/>
      <c r="V53" s="205"/>
      <c r="W53" s="205"/>
      <c r="X53" s="205"/>
      <c r="Y53" s="205"/>
      <c r="Z53" s="205"/>
    </row>
    <row r="54" ht="12.75" customHeight="1">
      <c r="A54" s="221"/>
      <c r="B54" s="212" t="s">
        <v>3</v>
      </c>
      <c r="C54" s="210" t="s">
        <v>18671</v>
      </c>
      <c r="D54" s="205" t="s">
        <v>18672</v>
      </c>
      <c r="E54" s="205"/>
      <c r="F54" s="205"/>
      <c r="G54" s="205"/>
      <c r="H54" s="205"/>
      <c r="I54" s="205"/>
      <c r="J54" s="205"/>
      <c r="K54" s="205"/>
      <c r="L54" s="205"/>
      <c r="M54" s="205"/>
      <c r="N54" s="205"/>
      <c r="O54" s="205"/>
      <c r="P54" s="205"/>
      <c r="Q54" s="205"/>
      <c r="R54" s="205"/>
      <c r="S54" s="205"/>
      <c r="T54" s="205"/>
      <c r="U54" s="205"/>
      <c r="V54" s="205"/>
      <c r="W54" s="205"/>
      <c r="X54" s="205"/>
      <c r="Y54" s="205"/>
      <c r="Z54" s="205"/>
    </row>
    <row r="55" ht="12.75" customHeight="1">
      <c r="A55" s="221"/>
      <c r="B55" s="212" t="s">
        <v>18623</v>
      </c>
      <c r="C55" s="222" t="s">
        <v>18673</v>
      </c>
      <c r="D55" s="205"/>
      <c r="E55" s="205"/>
      <c r="F55" s="205"/>
      <c r="G55" s="205"/>
      <c r="H55" s="205"/>
      <c r="I55" s="205"/>
      <c r="J55" s="205"/>
      <c r="K55" s="205"/>
      <c r="L55" s="205"/>
      <c r="M55" s="205"/>
      <c r="N55" s="205"/>
      <c r="O55" s="205"/>
      <c r="P55" s="205"/>
      <c r="Q55" s="205"/>
      <c r="R55" s="205"/>
      <c r="S55" s="205"/>
      <c r="T55" s="205"/>
      <c r="U55" s="205"/>
      <c r="V55" s="205"/>
      <c r="W55" s="205"/>
      <c r="X55" s="205"/>
      <c r="Y55" s="205"/>
      <c r="Z55" s="205"/>
    </row>
    <row r="56" ht="12.75" customHeight="1">
      <c r="A56" s="221"/>
      <c r="B56" s="208"/>
      <c r="C56" s="223"/>
      <c r="D56" s="205"/>
      <c r="E56" s="205"/>
      <c r="F56" s="205"/>
      <c r="G56" s="205"/>
      <c r="H56" s="205"/>
      <c r="I56" s="205"/>
      <c r="J56" s="205"/>
      <c r="K56" s="205"/>
      <c r="L56" s="205"/>
      <c r="M56" s="205"/>
      <c r="N56" s="205"/>
      <c r="O56" s="205"/>
      <c r="P56" s="205"/>
      <c r="Q56" s="205"/>
      <c r="R56" s="205"/>
      <c r="S56" s="205"/>
      <c r="T56" s="205"/>
      <c r="U56" s="205"/>
      <c r="V56" s="205"/>
      <c r="W56" s="205"/>
      <c r="X56" s="205"/>
      <c r="Y56" s="205"/>
      <c r="Z56" s="205"/>
    </row>
    <row r="57" ht="12.75" customHeight="1">
      <c r="A57" s="221"/>
      <c r="B57" s="206" t="s">
        <v>18674</v>
      </c>
      <c r="C57" s="223"/>
      <c r="D57" s="205"/>
      <c r="E57" s="205"/>
      <c r="F57" s="205"/>
      <c r="G57" s="205"/>
      <c r="H57" s="205"/>
      <c r="I57" s="205"/>
      <c r="J57" s="205"/>
      <c r="K57" s="205"/>
      <c r="L57" s="205"/>
      <c r="M57" s="205"/>
      <c r="N57" s="205"/>
      <c r="O57" s="205"/>
      <c r="P57" s="205"/>
      <c r="Q57" s="205"/>
      <c r="R57" s="205"/>
      <c r="S57" s="205"/>
      <c r="T57" s="205"/>
      <c r="U57" s="205"/>
      <c r="V57" s="205"/>
      <c r="W57" s="205"/>
      <c r="X57" s="205"/>
      <c r="Y57" s="205"/>
      <c r="Z57" s="205"/>
    </row>
    <row r="58" ht="12.75" customHeight="1">
      <c r="A58" s="221"/>
      <c r="B58" s="205"/>
      <c r="C58" s="224"/>
      <c r="D58" s="205"/>
      <c r="E58" s="205"/>
      <c r="F58" s="205"/>
      <c r="G58" s="205"/>
      <c r="H58" s="205"/>
      <c r="I58" s="205"/>
      <c r="J58" s="205"/>
      <c r="K58" s="205"/>
      <c r="L58" s="205"/>
      <c r="M58" s="205"/>
      <c r="N58" s="205"/>
      <c r="O58" s="205"/>
      <c r="P58" s="205"/>
      <c r="Q58" s="205"/>
      <c r="R58" s="205"/>
      <c r="S58" s="205"/>
      <c r="T58" s="205"/>
      <c r="U58" s="205"/>
      <c r="V58" s="205"/>
      <c r="W58" s="205"/>
      <c r="X58" s="205"/>
      <c r="Y58" s="205"/>
      <c r="Z58" s="205"/>
    </row>
    <row r="59" ht="12.75" customHeight="1">
      <c r="A59" s="221"/>
      <c r="B59" s="225" t="s">
        <v>18675</v>
      </c>
      <c r="C59" s="226" t="s">
        <v>18676</v>
      </c>
      <c r="D59" s="205"/>
      <c r="E59" s="205"/>
      <c r="F59" s="205"/>
      <c r="G59" s="205"/>
      <c r="H59" s="205"/>
      <c r="I59" s="205"/>
      <c r="J59" s="205"/>
      <c r="K59" s="205"/>
      <c r="L59" s="205"/>
      <c r="M59" s="205"/>
      <c r="N59" s="205"/>
      <c r="O59" s="205"/>
      <c r="P59" s="205"/>
      <c r="Q59" s="205"/>
      <c r="R59" s="205"/>
      <c r="S59" s="205"/>
      <c r="T59" s="205"/>
      <c r="U59" s="205"/>
      <c r="V59" s="205"/>
      <c r="W59" s="205"/>
      <c r="X59" s="205"/>
      <c r="Y59" s="205"/>
      <c r="Z59" s="205"/>
    </row>
    <row r="60" ht="12.75" customHeight="1">
      <c r="A60" s="221"/>
      <c r="B60" s="225" t="s">
        <v>18677</v>
      </c>
      <c r="C60" s="226" t="s">
        <v>18678</v>
      </c>
      <c r="D60" s="205"/>
      <c r="E60" s="205"/>
      <c r="F60" s="205"/>
      <c r="G60" s="205"/>
      <c r="H60" s="205"/>
      <c r="I60" s="205"/>
      <c r="J60" s="205"/>
      <c r="K60" s="205"/>
      <c r="L60" s="205"/>
      <c r="M60" s="205"/>
      <c r="N60" s="205"/>
      <c r="O60" s="205"/>
      <c r="P60" s="205"/>
      <c r="Q60" s="205"/>
      <c r="R60" s="205"/>
      <c r="S60" s="205"/>
      <c r="T60" s="205"/>
      <c r="U60" s="205"/>
      <c r="V60" s="205"/>
      <c r="W60" s="205"/>
      <c r="X60" s="205"/>
      <c r="Y60" s="205"/>
      <c r="Z60" s="205"/>
    </row>
    <row r="61" ht="12.75" customHeight="1">
      <c r="A61" s="221"/>
      <c r="B61" s="225" t="s">
        <v>18679</v>
      </c>
      <c r="C61" s="226" t="s">
        <v>18680</v>
      </c>
      <c r="D61" s="205"/>
      <c r="E61" s="205"/>
      <c r="F61" s="205"/>
      <c r="G61" s="205"/>
      <c r="H61" s="205"/>
      <c r="I61" s="205"/>
      <c r="J61" s="205"/>
      <c r="K61" s="205"/>
      <c r="L61" s="205"/>
      <c r="M61" s="205"/>
      <c r="N61" s="205"/>
      <c r="O61" s="205"/>
      <c r="P61" s="205"/>
      <c r="Q61" s="205"/>
      <c r="R61" s="205"/>
      <c r="S61" s="205"/>
      <c r="T61" s="205"/>
      <c r="U61" s="205"/>
      <c r="V61" s="205"/>
      <c r="W61" s="205"/>
      <c r="X61" s="205"/>
      <c r="Y61" s="205"/>
      <c r="Z61" s="205"/>
    </row>
    <row r="62" ht="12.75" customHeight="1">
      <c r="A62" s="221"/>
      <c r="B62" s="225" t="s">
        <v>18681</v>
      </c>
      <c r="C62" s="226" t="s">
        <v>18682</v>
      </c>
      <c r="D62" s="205"/>
      <c r="E62" s="205"/>
      <c r="F62" s="205"/>
      <c r="G62" s="205"/>
      <c r="H62" s="205"/>
      <c r="I62" s="205"/>
      <c r="J62" s="205"/>
      <c r="K62" s="205"/>
      <c r="L62" s="205"/>
      <c r="M62" s="205"/>
      <c r="N62" s="205"/>
      <c r="O62" s="205"/>
      <c r="P62" s="205"/>
      <c r="Q62" s="205"/>
      <c r="R62" s="205"/>
      <c r="S62" s="205"/>
      <c r="T62" s="205"/>
      <c r="U62" s="205"/>
      <c r="V62" s="205"/>
      <c r="W62" s="205"/>
      <c r="X62" s="205"/>
      <c r="Y62" s="205"/>
      <c r="Z62" s="205"/>
    </row>
    <row r="63" ht="12.75" customHeight="1">
      <c r="A63" s="221"/>
      <c r="B63" s="225" t="s">
        <v>18683</v>
      </c>
      <c r="C63" s="226" t="s">
        <v>18684</v>
      </c>
      <c r="D63" s="205"/>
      <c r="E63" s="205"/>
      <c r="F63" s="205"/>
      <c r="G63" s="205"/>
      <c r="H63" s="205"/>
      <c r="I63" s="205"/>
      <c r="J63" s="205"/>
      <c r="K63" s="205"/>
      <c r="L63" s="205"/>
      <c r="M63" s="205"/>
      <c r="N63" s="205"/>
      <c r="O63" s="205"/>
      <c r="P63" s="205"/>
      <c r="Q63" s="205"/>
      <c r="R63" s="205"/>
      <c r="S63" s="205"/>
      <c r="T63" s="205"/>
      <c r="U63" s="205"/>
      <c r="V63" s="205"/>
      <c r="W63" s="205"/>
      <c r="X63" s="205"/>
      <c r="Y63" s="205"/>
      <c r="Z63" s="205"/>
    </row>
    <row r="64" ht="12.75" customHeight="1">
      <c r="A64" s="221"/>
      <c r="B64" s="205"/>
      <c r="C64" s="205"/>
      <c r="D64" s="205"/>
      <c r="E64" s="205"/>
      <c r="F64" s="205"/>
      <c r="G64" s="205"/>
      <c r="H64" s="205"/>
      <c r="I64" s="205"/>
      <c r="J64" s="205"/>
      <c r="K64" s="205"/>
      <c r="L64" s="205"/>
      <c r="M64" s="205"/>
      <c r="N64" s="205"/>
      <c r="O64" s="205"/>
      <c r="P64" s="205"/>
      <c r="Q64" s="205"/>
      <c r="R64" s="205"/>
      <c r="S64" s="205"/>
      <c r="T64" s="205"/>
      <c r="U64" s="205"/>
      <c r="V64" s="205"/>
      <c r="W64" s="205"/>
      <c r="X64" s="205"/>
      <c r="Y64" s="205"/>
      <c r="Z64" s="205"/>
    </row>
    <row r="65" ht="12.75" customHeight="1">
      <c r="A65" s="221"/>
      <c r="B65" s="206" t="s">
        <v>18685</v>
      </c>
      <c r="C65" s="223"/>
      <c r="D65" s="205"/>
      <c r="E65" s="205"/>
      <c r="F65" s="205"/>
      <c r="G65" s="205"/>
      <c r="H65" s="205"/>
      <c r="I65" s="205"/>
      <c r="J65" s="205"/>
      <c r="K65" s="205"/>
      <c r="L65" s="205"/>
      <c r="M65" s="205"/>
      <c r="N65" s="205"/>
      <c r="O65" s="205"/>
      <c r="P65" s="205"/>
      <c r="Q65" s="205"/>
      <c r="R65" s="205"/>
      <c r="S65" s="205"/>
      <c r="T65" s="205"/>
      <c r="U65" s="205"/>
      <c r="V65" s="205"/>
      <c r="W65" s="205"/>
      <c r="X65" s="205"/>
      <c r="Y65" s="205"/>
      <c r="Z65" s="205"/>
    </row>
    <row r="66" ht="12.75" customHeight="1">
      <c r="A66" s="221"/>
      <c r="B66" s="205"/>
      <c r="C66" s="224"/>
      <c r="D66" s="205"/>
      <c r="E66" s="205"/>
      <c r="F66" s="205"/>
      <c r="G66" s="205"/>
      <c r="H66" s="205"/>
      <c r="I66" s="205"/>
      <c r="J66" s="205"/>
      <c r="K66" s="205"/>
      <c r="L66" s="205"/>
      <c r="M66" s="205"/>
      <c r="N66" s="205"/>
      <c r="O66" s="205"/>
      <c r="P66" s="205"/>
      <c r="Q66" s="205"/>
      <c r="R66" s="205"/>
      <c r="S66" s="205"/>
      <c r="T66" s="205"/>
      <c r="U66" s="205"/>
      <c r="V66" s="205"/>
      <c r="W66" s="205"/>
      <c r="X66" s="205"/>
      <c r="Y66" s="205"/>
      <c r="Z66" s="205"/>
    </row>
    <row r="67" ht="12.75" customHeight="1">
      <c r="A67" s="221"/>
      <c r="B67" s="226" t="s">
        <v>18686</v>
      </c>
      <c r="C67" s="226"/>
      <c r="D67" s="205"/>
      <c r="E67" s="205"/>
      <c r="F67" s="205"/>
      <c r="G67" s="205"/>
      <c r="H67" s="205"/>
      <c r="I67" s="205"/>
      <c r="J67" s="205"/>
      <c r="K67" s="205"/>
      <c r="L67" s="205"/>
      <c r="M67" s="205"/>
      <c r="N67" s="205"/>
      <c r="O67" s="205"/>
      <c r="P67" s="205"/>
      <c r="Q67" s="205"/>
      <c r="R67" s="205"/>
      <c r="S67" s="205"/>
      <c r="T67" s="205"/>
      <c r="U67" s="205"/>
      <c r="V67" s="205"/>
      <c r="W67" s="205"/>
      <c r="X67" s="205"/>
      <c r="Y67" s="205"/>
      <c r="Z67" s="205"/>
    </row>
    <row r="68" ht="12.75" customHeight="1">
      <c r="A68" s="221"/>
      <c r="B68" s="225"/>
      <c r="C68" s="226"/>
      <c r="D68" s="205"/>
      <c r="E68" s="205"/>
      <c r="F68" s="205"/>
      <c r="G68" s="205"/>
      <c r="H68" s="205"/>
      <c r="I68" s="205"/>
      <c r="J68" s="205"/>
      <c r="K68" s="205"/>
      <c r="L68" s="205"/>
      <c r="M68" s="205"/>
      <c r="N68" s="205"/>
      <c r="O68" s="205"/>
      <c r="P68" s="205"/>
      <c r="Q68" s="205"/>
      <c r="R68" s="205"/>
      <c r="S68" s="205"/>
      <c r="T68" s="205"/>
      <c r="U68" s="205"/>
      <c r="V68" s="205"/>
      <c r="W68" s="205"/>
      <c r="X68" s="205"/>
      <c r="Y68" s="205"/>
      <c r="Z68" s="205"/>
    </row>
    <row r="69" ht="16.5" customHeight="1">
      <c r="A69" s="221"/>
      <c r="B69" s="206" t="s">
        <v>18687</v>
      </c>
      <c r="C69" s="207" t="s">
        <v>18688</v>
      </c>
      <c r="D69" s="205"/>
      <c r="E69" s="205"/>
      <c r="F69" s="205"/>
      <c r="G69" s="205"/>
      <c r="H69" s="205"/>
      <c r="I69" s="205"/>
      <c r="J69" s="205"/>
      <c r="K69" s="205"/>
      <c r="L69" s="205"/>
      <c r="M69" s="205"/>
      <c r="N69" s="205"/>
      <c r="O69" s="205"/>
      <c r="P69" s="205"/>
      <c r="Q69" s="205"/>
      <c r="R69" s="205"/>
      <c r="S69" s="205"/>
      <c r="T69" s="205"/>
      <c r="U69" s="205"/>
      <c r="V69" s="205"/>
      <c r="W69" s="205"/>
      <c r="X69" s="205"/>
      <c r="Y69" s="205"/>
      <c r="Z69" s="205"/>
    </row>
    <row r="70" ht="12.75" customHeight="1">
      <c r="A70" s="221"/>
      <c r="B70" s="208"/>
      <c r="C70" s="208"/>
      <c r="D70" s="205"/>
      <c r="E70" s="205"/>
      <c r="F70" s="205"/>
      <c r="G70" s="205"/>
      <c r="H70" s="205"/>
      <c r="I70" s="205"/>
      <c r="J70" s="205"/>
      <c r="K70" s="205"/>
      <c r="L70" s="205"/>
      <c r="M70" s="205"/>
      <c r="N70" s="205"/>
      <c r="O70" s="205"/>
      <c r="P70" s="205"/>
      <c r="Q70" s="205"/>
      <c r="R70" s="205"/>
      <c r="S70" s="205"/>
      <c r="T70" s="205"/>
      <c r="U70" s="205"/>
      <c r="V70" s="205"/>
      <c r="W70" s="205"/>
      <c r="X70" s="205"/>
      <c r="Y70" s="205"/>
      <c r="Z70" s="205"/>
    </row>
    <row r="71" ht="16.5" customHeight="1">
      <c r="A71" s="221"/>
      <c r="B71" s="206" t="s">
        <v>18689</v>
      </c>
      <c r="C71" s="207" t="s">
        <v>18690</v>
      </c>
      <c r="D71" s="205"/>
      <c r="E71" s="205"/>
      <c r="F71" s="205"/>
      <c r="G71" s="205"/>
      <c r="H71" s="205"/>
      <c r="I71" s="205"/>
      <c r="J71" s="205"/>
      <c r="K71" s="205"/>
      <c r="L71" s="205"/>
      <c r="M71" s="205"/>
      <c r="N71" s="205"/>
      <c r="O71" s="205"/>
      <c r="P71" s="205"/>
      <c r="Q71" s="205"/>
      <c r="R71" s="205"/>
      <c r="S71" s="205"/>
      <c r="T71" s="205"/>
      <c r="U71" s="205"/>
      <c r="V71" s="205"/>
      <c r="W71" s="205"/>
      <c r="X71" s="205"/>
      <c r="Y71" s="205"/>
      <c r="Z71" s="205"/>
    </row>
    <row r="72" ht="12.75" customHeight="1">
      <c r="A72" s="221"/>
      <c r="B72" s="208"/>
      <c r="C72" s="208"/>
      <c r="D72" s="205"/>
      <c r="E72" s="205"/>
      <c r="F72" s="205"/>
      <c r="G72" s="205"/>
      <c r="H72" s="205"/>
      <c r="I72" s="205"/>
      <c r="J72" s="205"/>
      <c r="K72" s="205"/>
      <c r="L72" s="205"/>
      <c r="M72" s="205"/>
      <c r="N72" s="205"/>
      <c r="O72" s="205"/>
      <c r="P72" s="205"/>
      <c r="Q72" s="205"/>
      <c r="R72" s="205"/>
      <c r="S72" s="205"/>
      <c r="T72" s="205"/>
      <c r="U72" s="205"/>
      <c r="V72" s="205"/>
      <c r="W72" s="205"/>
      <c r="X72" s="205"/>
      <c r="Y72" s="205"/>
      <c r="Z72" s="205"/>
    </row>
    <row r="73" ht="13.5" customHeight="1">
      <c r="A73" s="221"/>
      <c r="B73" s="206" t="s">
        <v>18691</v>
      </c>
      <c r="C73" s="207" t="s">
        <v>18692</v>
      </c>
      <c r="D73" s="205"/>
      <c r="E73" s="205"/>
      <c r="F73" s="205"/>
      <c r="G73" s="205"/>
      <c r="H73" s="205"/>
      <c r="I73" s="205"/>
      <c r="J73" s="205"/>
      <c r="K73" s="205"/>
      <c r="L73" s="205"/>
      <c r="M73" s="205"/>
      <c r="N73" s="205"/>
      <c r="O73" s="205"/>
      <c r="P73" s="205"/>
      <c r="Q73" s="205"/>
      <c r="R73" s="205"/>
      <c r="S73" s="205"/>
      <c r="T73" s="205"/>
      <c r="U73" s="205"/>
      <c r="V73" s="205"/>
      <c r="W73" s="205"/>
      <c r="X73" s="205"/>
      <c r="Y73" s="205"/>
      <c r="Z73" s="205"/>
    </row>
    <row r="74" ht="12.75" customHeight="1">
      <c r="A74" s="221"/>
      <c r="B74" s="208"/>
      <c r="C74" s="208"/>
      <c r="D74" s="205"/>
      <c r="E74" s="205"/>
      <c r="F74" s="205"/>
      <c r="G74" s="205"/>
      <c r="H74" s="205"/>
      <c r="I74" s="205"/>
      <c r="J74" s="205"/>
      <c r="K74" s="205"/>
      <c r="L74" s="205"/>
      <c r="M74" s="205"/>
      <c r="N74" s="205"/>
      <c r="O74" s="205"/>
      <c r="P74" s="205"/>
      <c r="Q74" s="205"/>
      <c r="R74" s="205"/>
      <c r="S74" s="205"/>
      <c r="T74" s="205"/>
      <c r="U74" s="205"/>
      <c r="V74" s="205"/>
      <c r="W74" s="205"/>
      <c r="X74" s="205"/>
      <c r="Y74" s="205"/>
      <c r="Z74" s="205"/>
    </row>
    <row r="75" ht="16.5" customHeight="1">
      <c r="A75" s="221"/>
      <c r="B75" s="206" t="s">
        <v>18693</v>
      </c>
      <c r="C75" s="207" t="s">
        <v>18694</v>
      </c>
      <c r="D75" s="205"/>
      <c r="E75" s="205"/>
      <c r="F75" s="205"/>
      <c r="G75" s="205"/>
      <c r="H75" s="205"/>
      <c r="I75" s="205"/>
      <c r="J75" s="205"/>
      <c r="K75" s="205"/>
      <c r="L75" s="205"/>
      <c r="M75" s="205"/>
      <c r="N75" s="205"/>
      <c r="O75" s="205"/>
      <c r="P75" s="205"/>
      <c r="Q75" s="205"/>
      <c r="R75" s="205"/>
      <c r="S75" s="205"/>
      <c r="T75" s="205"/>
      <c r="U75" s="205"/>
      <c r="V75" s="205"/>
      <c r="W75" s="205"/>
      <c r="X75" s="205"/>
      <c r="Y75" s="205"/>
      <c r="Z75" s="205"/>
    </row>
    <row r="76" ht="12.75" customHeight="1">
      <c r="A76" s="221"/>
      <c r="B76" s="208"/>
      <c r="C76" s="208"/>
      <c r="D76" s="205"/>
      <c r="E76" s="205"/>
      <c r="F76" s="205"/>
      <c r="G76" s="205"/>
      <c r="H76" s="205"/>
      <c r="I76" s="205"/>
      <c r="J76" s="205"/>
      <c r="K76" s="205"/>
      <c r="L76" s="205"/>
      <c r="M76" s="205"/>
      <c r="N76" s="205"/>
      <c r="O76" s="205"/>
      <c r="P76" s="205"/>
      <c r="Q76" s="205"/>
      <c r="R76" s="205"/>
      <c r="S76" s="205"/>
      <c r="T76" s="205"/>
      <c r="U76" s="205"/>
      <c r="V76" s="205"/>
      <c r="W76" s="205"/>
      <c r="X76" s="205"/>
      <c r="Y76" s="205"/>
      <c r="Z76" s="205"/>
    </row>
    <row r="77" ht="12.75" customHeight="1">
      <c r="A77" s="221"/>
      <c r="B77" s="227" t="s">
        <v>18695</v>
      </c>
      <c r="C77" s="228" t="s">
        <v>18696</v>
      </c>
      <c r="D77" s="205"/>
      <c r="E77" s="205"/>
      <c r="F77" s="205"/>
      <c r="G77" s="205"/>
      <c r="H77" s="205"/>
      <c r="I77" s="205"/>
      <c r="J77" s="205"/>
      <c r="K77" s="205"/>
      <c r="L77" s="205"/>
      <c r="M77" s="205"/>
      <c r="N77" s="205"/>
      <c r="O77" s="205"/>
      <c r="P77" s="205"/>
      <c r="Q77" s="205"/>
      <c r="R77" s="205"/>
      <c r="S77" s="205"/>
      <c r="T77" s="205"/>
      <c r="U77" s="205"/>
      <c r="V77" s="205"/>
      <c r="W77" s="205"/>
      <c r="X77" s="205"/>
      <c r="Y77" s="205"/>
      <c r="Z77" s="205"/>
    </row>
    <row r="78" ht="12.75" customHeight="1">
      <c r="A78" s="221"/>
      <c r="B78" s="203"/>
      <c r="C78" s="228"/>
      <c r="D78" s="205"/>
      <c r="E78" s="205"/>
      <c r="F78" s="205"/>
      <c r="G78" s="205"/>
      <c r="H78" s="205"/>
      <c r="I78" s="205"/>
      <c r="J78" s="205"/>
      <c r="K78" s="205"/>
      <c r="L78" s="205"/>
      <c r="M78" s="205"/>
      <c r="N78" s="205"/>
      <c r="O78" s="205"/>
      <c r="P78" s="205"/>
      <c r="Q78" s="205"/>
      <c r="R78" s="205"/>
      <c r="S78" s="205"/>
      <c r="T78" s="205"/>
      <c r="U78" s="205"/>
      <c r="V78" s="205"/>
      <c r="W78" s="205"/>
      <c r="X78" s="205"/>
      <c r="Y78" s="205"/>
      <c r="Z78" s="205"/>
    </row>
    <row r="79" ht="12.75" customHeight="1">
      <c r="A79" s="205"/>
      <c r="B79" s="228"/>
      <c r="C79" s="228" t="s">
        <v>18697</v>
      </c>
      <c r="D79" s="205"/>
      <c r="E79" s="205"/>
      <c r="F79" s="205"/>
      <c r="G79" s="205"/>
      <c r="H79" s="205"/>
      <c r="I79" s="205"/>
      <c r="J79" s="205"/>
      <c r="K79" s="205"/>
      <c r="L79" s="205"/>
      <c r="M79" s="205"/>
      <c r="N79" s="205"/>
      <c r="O79" s="205"/>
      <c r="P79" s="205"/>
      <c r="Q79" s="205"/>
      <c r="R79" s="205"/>
      <c r="S79" s="205"/>
      <c r="T79" s="205"/>
      <c r="U79" s="205"/>
      <c r="V79" s="205"/>
      <c r="W79" s="205"/>
      <c r="X79" s="205"/>
      <c r="Y79" s="205"/>
      <c r="Z79" s="205"/>
    </row>
    <row r="80" ht="12.75" customHeight="1">
      <c r="A80" s="205"/>
      <c r="B80" s="228"/>
      <c r="C80" s="228" t="s">
        <v>18698</v>
      </c>
      <c r="D80" s="205"/>
      <c r="E80" s="205"/>
      <c r="F80" s="205"/>
      <c r="G80" s="205"/>
      <c r="H80" s="205"/>
      <c r="I80" s="205"/>
      <c r="J80" s="205"/>
      <c r="K80" s="205"/>
      <c r="L80" s="205"/>
      <c r="M80" s="205"/>
      <c r="N80" s="205"/>
      <c r="O80" s="205"/>
      <c r="P80" s="205"/>
      <c r="Q80" s="205"/>
      <c r="R80" s="205"/>
      <c r="S80" s="205"/>
      <c r="T80" s="205"/>
      <c r="U80" s="205"/>
      <c r="V80" s="205"/>
      <c r="W80" s="205"/>
      <c r="X80" s="205"/>
      <c r="Y80" s="205"/>
      <c r="Z80" s="205"/>
    </row>
    <row r="81" ht="12.75" customHeight="1">
      <c r="A81" s="205"/>
      <c r="B81" s="203"/>
      <c r="C81" s="221" t="s">
        <v>18699</v>
      </c>
      <c r="D81" s="205"/>
      <c r="E81" s="205"/>
      <c r="F81" s="205"/>
      <c r="G81" s="205"/>
      <c r="H81" s="205"/>
      <c r="I81" s="205"/>
      <c r="J81" s="205"/>
      <c r="K81" s="205"/>
      <c r="L81" s="205"/>
      <c r="M81" s="205"/>
      <c r="N81" s="205"/>
      <c r="O81" s="205"/>
      <c r="P81" s="205"/>
      <c r="Q81" s="205"/>
      <c r="R81" s="205"/>
      <c r="S81" s="205"/>
      <c r="T81" s="205"/>
      <c r="U81" s="205"/>
      <c r="V81" s="205"/>
      <c r="W81" s="205"/>
      <c r="X81" s="205"/>
      <c r="Y81" s="205"/>
      <c r="Z81" s="205"/>
    </row>
    <row r="82" ht="12.75" customHeight="1">
      <c r="A82" s="205"/>
      <c r="B82" s="203"/>
      <c r="C82" s="221" t="s">
        <v>18700</v>
      </c>
      <c r="D82" s="205"/>
      <c r="E82" s="205"/>
      <c r="F82" s="205"/>
      <c r="G82" s="205"/>
      <c r="H82" s="205"/>
      <c r="I82" s="205"/>
      <c r="J82" s="205"/>
      <c r="K82" s="205"/>
      <c r="L82" s="205"/>
      <c r="M82" s="205"/>
      <c r="N82" s="205"/>
      <c r="O82" s="205"/>
      <c r="P82" s="205"/>
      <c r="Q82" s="205"/>
      <c r="R82" s="205"/>
      <c r="S82" s="205"/>
      <c r="T82" s="205"/>
      <c r="U82" s="205"/>
      <c r="V82" s="205"/>
      <c r="W82" s="205"/>
      <c r="X82" s="205"/>
      <c r="Y82" s="205"/>
      <c r="Z82" s="205"/>
    </row>
    <row r="83" ht="12.75" customHeight="1">
      <c r="A83" s="205"/>
      <c r="B83" s="203"/>
      <c r="C83" s="228"/>
      <c r="D83" s="205"/>
      <c r="E83" s="205"/>
      <c r="F83" s="205"/>
      <c r="G83" s="205"/>
      <c r="H83" s="205"/>
      <c r="I83" s="205"/>
      <c r="J83" s="205"/>
      <c r="K83" s="205"/>
      <c r="L83" s="205"/>
      <c r="M83" s="205"/>
      <c r="N83" s="205"/>
      <c r="O83" s="205"/>
      <c r="P83" s="205"/>
      <c r="Q83" s="205"/>
      <c r="R83" s="205"/>
      <c r="S83" s="205"/>
      <c r="T83" s="205"/>
      <c r="U83" s="205"/>
      <c r="V83" s="205"/>
      <c r="W83" s="205"/>
      <c r="X83" s="205"/>
      <c r="Y83" s="205"/>
      <c r="Z83" s="205"/>
    </row>
    <row r="84" ht="12.75" customHeight="1">
      <c r="A84" s="205"/>
      <c r="B84" s="203"/>
      <c r="C84" s="205"/>
      <c r="D84" s="205"/>
      <c r="E84" s="205"/>
      <c r="F84" s="205"/>
      <c r="G84" s="205"/>
      <c r="H84" s="205"/>
      <c r="I84" s="205"/>
      <c r="J84" s="205"/>
      <c r="K84" s="205"/>
      <c r="L84" s="205"/>
      <c r="M84" s="205"/>
      <c r="N84" s="205"/>
      <c r="O84" s="205"/>
      <c r="P84" s="205"/>
      <c r="Q84" s="205"/>
      <c r="R84" s="205"/>
      <c r="S84" s="205"/>
      <c r="T84" s="205"/>
      <c r="U84" s="205"/>
      <c r="V84" s="205"/>
      <c r="W84" s="205"/>
      <c r="X84" s="205"/>
      <c r="Y84" s="205"/>
      <c r="Z84" s="205"/>
    </row>
    <row r="85" ht="12.75" customHeight="1">
      <c r="A85" s="205"/>
      <c r="B85" s="228"/>
      <c r="C85" s="221"/>
      <c r="D85" s="205"/>
      <c r="E85" s="205"/>
      <c r="F85" s="205"/>
      <c r="G85" s="205"/>
      <c r="H85" s="205"/>
      <c r="I85" s="205"/>
      <c r="J85" s="205"/>
      <c r="K85" s="205"/>
      <c r="L85" s="205"/>
      <c r="M85" s="205"/>
      <c r="N85" s="205"/>
      <c r="O85" s="205"/>
      <c r="P85" s="205"/>
      <c r="Q85" s="205"/>
      <c r="R85" s="205"/>
      <c r="S85" s="205"/>
      <c r="T85" s="205"/>
      <c r="U85" s="205"/>
      <c r="V85" s="205"/>
      <c r="W85" s="205"/>
      <c r="X85" s="205"/>
      <c r="Y85" s="205"/>
      <c r="Z85" s="205"/>
    </row>
    <row r="86" ht="12.75" customHeight="1">
      <c r="A86" s="205"/>
      <c r="B86" s="228"/>
      <c r="C86" s="228"/>
      <c r="D86" s="205"/>
      <c r="E86" s="205"/>
      <c r="F86" s="205"/>
      <c r="G86" s="205"/>
      <c r="H86" s="205"/>
      <c r="I86" s="205"/>
      <c r="J86" s="205"/>
      <c r="K86" s="205"/>
      <c r="L86" s="205"/>
      <c r="M86" s="205"/>
      <c r="N86" s="205"/>
      <c r="O86" s="205"/>
      <c r="P86" s="205"/>
      <c r="Q86" s="205"/>
      <c r="R86" s="205"/>
      <c r="S86" s="205"/>
      <c r="T86" s="205"/>
      <c r="U86" s="205"/>
      <c r="V86" s="205"/>
      <c r="W86" s="205"/>
      <c r="X86" s="205"/>
      <c r="Y86" s="205"/>
      <c r="Z86" s="205"/>
    </row>
    <row r="87" ht="12.75" customHeight="1">
      <c r="A87" s="205"/>
      <c r="B87" s="203"/>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row>
    <row r="88" ht="12.75" customHeight="1">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row>
    <row r="89" ht="12.75" customHeight="1">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row>
    <row r="90" ht="12.75" customHeight="1">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row>
    <row r="91" ht="12.75" customHeight="1">
      <c r="A91" s="205"/>
      <c r="B91" s="205"/>
      <c r="C91" s="205"/>
      <c r="D91" s="205"/>
      <c r="E91" s="205"/>
      <c r="F91" s="205"/>
      <c r="G91" s="205"/>
      <c r="H91" s="205"/>
      <c r="I91" s="205"/>
      <c r="J91" s="205"/>
      <c r="K91" s="205"/>
      <c r="L91" s="205"/>
      <c r="M91" s="205"/>
      <c r="N91" s="205"/>
      <c r="O91" s="205"/>
      <c r="P91" s="205"/>
      <c r="Q91" s="205"/>
      <c r="R91" s="205"/>
      <c r="S91" s="205"/>
      <c r="T91" s="205"/>
      <c r="U91" s="205"/>
      <c r="V91" s="205"/>
      <c r="W91" s="205"/>
      <c r="X91" s="205"/>
      <c r="Y91" s="205"/>
      <c r="Z91" s="205"/>
    </row>
    <row r="92" ht="12.75" customHeight="1">
      <c r="A92" s="205"/>
      <c r="B92" s="205"/>
      <c r="C92" s="205"/>
      <c r="D92" s="205"/>
      <c r="E92" s="205"/>
      <c r="F92" s="205"/>
      <c r="G92" s="205"/>
      <c r="H92" s="205"/>
      <c r="I92" s="205"/>
      <c r="J92" s="205"/>
      <c r="K92" s="205"/>
      <c r="L92" s="205"/>
      <c r="M92" s="205"/>
      <c r="N92" s="205"/>
      <c r="O92" s="205"/>
      <c r="P92" s="205"/>
      <c r="Q92" s="205"/>
      <c r="R92" s="205"/>
      <c r="S92" s="205"/>
      <c r="T92" s="205"/>
      <c r="U92" s="205"/>
      <c r="V92" s="205"/>
      <c r="W92" s="205"/>
      <c r="X92" s="205"/>
      <c r="Y92" s="205"/>
      <c r="Z92" s="205"/>
    </row>
    <row r="93" ht="12.75" customHeight="1">
      <c r="A93" s="205"/>
      <c r="B93" s="205"/>
      <c r="C93" s="205"/>
      <c r="D93" s="205"/>
      <c r="E93" s="205"/>
      <c r="F93" s="205"/>
      <c r="G93" s="205"/>
      <c r="H93" s="205"/>
      <c r="I93" s="205"/>
      <c r="J93" s="205"/>
      <c r="K93" s="205"/>
      <c r="L93" s="205"/>
      <c r="M93" s="205"/>
      <c r="N93" s="205"/>
      <c r="O93" s="205"/>
      <c r="P93" s="205"/>
      <c r="Q93" s="205"/>
      <c r="R93" s="205"/>
      <c r="S93" s="205"/>
      <c r="T93" s="205"/>
      <c r="U93" s="205"/>
      <c r="V93" s="205"/>
      <c r="W93" s="205"/>
      <c r="X93" s="205"/>
      <c r="Y93" s="205"/>
      <c r="Z93" s="205"/>
    </row>
    <row r="94" ht="12.75" customHeight="1">
      <c r="A94" s="205"/>
      <c r="B94" s="205"/>
      <c r="C94" s="205"/>
      <c r="D94" s="205"/>
      <c r="E94" s="205"/>
      <c r="F94" s="205"/>
      <c r="G94" s="205"/>
      <c r="H94" s="205"/>
      <c r="I94" s="205"/>
      <c r="J94" s="205"/>
      <c r="K94" s="205"/>
      <c r="L94" s="205"/>
      <c r="M94" s="205"/>
      <c r="N94" s="205"/>
      <c r="O94" s="205"/>
      <c r="P94" s="205"/>
      <c r="Q94" s="205"/>
      <c r="R94" s="205"/>
      <c r="S94" s="205"/>
      <c r="T94" s="205"/>
      <c r="U94" s="205"/>
      <c r="V94" s="205"/>
      <c r="W94" s="205"/>
      <c r="X94" s="205"/>
      <c r="Y94" s="205"/>
      <c r="Z94" s="205"/>
    </row>
    <row r="95" ht="12.75" customHeight="1">
      <c r="A95" s="205"/>
      <c r="B95" s="205"/>
      <c r="C95" s="205"/>
      <c r="D95" s="205"/>
      <c r="E95" s="205"/>
      <c r="F95" s="205"/>
      <c r="G95" s="205"/>
      <c r="H95" s="205"/>
      <c r="I95" s="205"/>
      <c r="J95" s="205"/>
      <c r="K95" s="205"/>
      <c r="L95" s="205"/>
      <c r="M95" s="205"/>
      <c r="N95" s="205"/>
      <c r="O95" s="205"/>
      <c r="P95" s="205"/>
      <c r="Q95" s="205"/>
      <c r="R95" s="205"/>
      <c r="S95" s="205"/>
      <c r="T95" s="205"/>
      <c r="U95" s="205"/>
      <c r="V95" s="205"/>
      <c r="W95" s="205"/>
      <c r="X95" s="205"/>
      <c r="Y95" s="205"/>
      <c r="Z95" s="205"/>
    </row>
    <row r="96" ht="12.75" customHeight="1">
      <c r="A96" s="205"/>
      <c r="B96" s="205"/>
      <c r="C96" s="205"/>
      <c r="D96" s="205"/>
      <c r="E96" s="205"/>
      <c r="F96" s="205"/>
      <c r="G96" s="205"/>
      <c r="H96" s="205"/>
      <c r="I96" s="205"/>
      <c r="J96" s="205"/>
      <c r="K96" s="205"/>
      <c r="L96" s="205"/>
      <c r="M96" s="205"/>
      <c r="N96" s="205"/>
      <c r="O96" s="205"/>
      <c r="P96" s="205"/>
      <c r="Q96" s="205"/>
      <c r="R96" s="205"/>
      <c r="S96" s="205"/>
      <c r="T96" s="205"/>
      <c r="U96" s="205"/>
      <c r="V96" s="205"/>
      <c r="W96" s="205"/>
      <c r="X96" s="205"/>
      <c r="Y96" s="205"/>
      <c r="Z96" s="205"/>
    </row>
    <row r="97" ht="12.75" customHeight="1">
      <c r="A97" s="205"/>
      <c r="B97" s="205"/>
      <c r="C97" s="205"/>
      <c r="D97" s="205"/>
      <c r="E97" s="205"/>
      <c r="F97" s="205"/>
      <c r="G97" s="205"/>
      <c r="H97" s="205"/>
      <c r="I97" s="205"/>
      <c r="J97" s="205"/>
      <c r="K97" s="205"/>
      <c r="L97" s="205"/>
      <c r="M97" s="205"/>
      <c r="N97" s="205"/>
      <c r="O97" s="205"/>
      <c r="P97" s="205"/>
      <c r="Q97" s="205"/>
      <c r="R97" s="205"/>
      <c r="S97" s="205"/>
      <c r="T97" s="205"/>
      <c r="U97" s="205"/>
      <c r="V97" s="205"/>
      <c r="W97" s="205"/>
      <c r="X97" s="205"/>
      <c r="Y97" s="205"/>
      <c r="Z97" s="205"/>
    </row>
    <row r="98" ht="12.75" customHeight="1">
      <c r="A98" s="205"/>
      <c r="B98" s="205"/>
      <c r="C98" s="205"/>
      <c r="D98" s="205"/>
      <c r="E98" s="205"/>
      <c r="F98" s="205"/>
      <c r="G98" s="205"/>
      <c r="H98" s="205"/>
      <c r="I98" s="205"/>
      <c r="J98" s="205"/>
      <c r="K98" s="205"/>
      <c r="L98" s="205"/>
      <c r="M98" s="205"/>
      <c r="N98" s="205"/>
      <c r="O98" s="205"/>
      <c r="P98" s="205"/>
      <c r="Q98" s="205"/>
      <c r="R98" s="205"/>
      <c r="S98" s="205"/>
      <c r="T98" s="205"/>
      <c r="U98" s="205"/>
      <c r="V98" s="205"/>
      <c r="W98" s="205"/>
      <c r="X98" s="205"/>
      <c r="Y98" s="205"/>
      <c r="Z98" s="205"/>
    </row>
    <row r="99" ht="12.75" customHeight="1">
      <c r="A99" s="205"/>
      <c r="B99" s="205"/>
      <c r="C99" s="205"/>
      <c r="D99" s="205"/>
      <c r="E99" s="205"/>
      <c r="F99" s="205"/>
      <c r="G99" s="205"/>
      <c r="H99" s="205"/>
      <c r="I99" s="205"/>
      <c r="J99" s="205"/>
      <c r="K99" s="205"/>
      <c r="L99" s="205"/>
      <c r="M99" s="205"/>
      <c r="N99" s="205"/>
      <c r="O99" s="205"/>
      <c r="P99" s="205"/>
      <c r="Q99" s="205"/>
      <c r="R99" s="205"/>
      <c r="S99" s="205"/>
      <c r="T99" s="205"/>
      <c r="U99" s="205"/>
      <c r="V99" s="205"/>
      <c r="W99" s="205"/>
      <c r="X99" s="205"/>
      <c r="Y99" s="205"/>
      <c r="Z99" s="205"/>
    </row>
    <row r="100" ht="12.75" customHeight="1">
      <c r="A100" s="205"/>
      <c r="B100" s="205"/>
      <c r="C100" s="205"/>
      <c r="D100" s="205"/>
      <c r="E100" s="205"/>
      <c r="F100" s="205"/>
      <c r="G100" s="205"/>
      <c r="H100" s="205"/>
      <c r="I100" s="205"/>
      <c r="J100" s="205"/>
      <c r="K100" s="205"/>
      <c r="L100" s="205"/>
      <c r="M100" s="205"/>
      <c r="N100" s="205"/>
      <c r="O100" s="205"/>
      <c r="P100" s="205"/>
      <c r="Q100" s="205"/>
      <c r="R100" s="205"/>
      <c r="S100" s="205"/>
      <c r="T100" s="205"/>
      <c r="U100" s="205"/>
      <c r="V100" s="205"/>
      <c r="W100" s="205"/>
      <c r="X100" s="205"/>
      <c r="Y100" s="205"/>
      <c r="Z100" s="205"/>
    </row>
    <row r="101" ht="12.75" customHeight="1">
      <c r="A101" s="205"/>
      <c r="B101" s="205"/>
      <c r="C101" s="205"/>
      <c r="D101" s="205"/>
      <c r="E101" s="205"/>
      <c r="F101" s="205"/>
      <c r="G101" s="205"/>
      <c r="H101" s="205"/>
      <c r="I101" s="205"/>
      <c r="J101" s="205"/>
      <c r="K101" s="205"/>
      <c r="L101" s="205"/>
      <c r="M101" s="205"/>
      <c r="N101" s="205"/>
      <c r="O101" s="205"/>
      <c r="P101" s="205"/>
      <c r="Q101" s="205"/>
      <c r="R101" s="205"/>
      <c r="S101" s="205"/>
      <c r="T101" s="205"/>
      <c r="U101" s="205"/>
      <c r="V101" s="205"/>
      <c r="W101" s="205"/>
      <c r="X101" s="205"/>
      <c r="Y101" s="205"/>
      <c r="Z101" s="205"/>
    </row>
    <row r="102" ht="12.75" customHeight="1">
      <c r="A102" s="205"/>
      <c r="B102" s="205"/>
      <c r="C102" s="205"/>
      <c r="D102" s="205"/>
      <c r="E102" s="205"/>
      <c r="F102" s="205"/>
      <c r="G102" s="205"/>
      <c r="H102" s="205"/>
      <c r="I102" s="205"/>
      <c r="J102" s="205"/>
      <c r="K102" s="205"/>
      <c r="L102" s="205"/>
      <c r="M102" s="205"/>
      <c r="N102" s="205"/>
      <c r="O102" s="205"/>
      <c r="P102" s="205"/>
      <c r="Q102" s="205"/>
      <c r="R102" s="205"/>
      <c r="S102" s="205"/>
      <c r="T102" s="205"/>
      <c r="U102" s="205"/>
      <c r="V102" s="205"/>
      <c r="W102" s="205"/>
      <c r="X102" s="205"/>
      <c r="Y102" s="205"/>
      <c r="Z102" s="205"/>
    </row>
    <row r="103" ht="12.75" customHeight="1">
      <c r="A103" s="205"/>
      <c r="B103" s="205"/>
      <c r="C103" s="205"/>
      <c r="D103" s="205"/>
      <c r="E103" s="205"/>
      <c r="F103" s="205"/>
      <c r="G103" s="205"/>
      <c r="H103" s="205"/>
      <c r="I103" s="205"/>
      <c r="J103" s="205"/>
      <c r="K103" s="205"/>
      <c r="L103" s="205"/>
      <c r="M103" s="205"/>
      <c r="N103" s="205"/>
      <c r="O103" s="205"/>
      <c r="P103" s="205"/>
      <c r="Q103" s="205"/>
      <c r="R103" s="205"/>
      <c r="S103" s="205"/>
      <c r="T103" s="205"/>
      <c r="U103" s="205"/>
      <c r="V103" s="205"/>
      <c r="W103" s="205"/>
      <c r="X103" s="205"/>
      <c r="Y103" s="205"/>
      <c r="Z103" s="205"/>
    </row>
    <row r="104" ht="12.75" customHeight="1">
      <c r="A104" s="205"/>
      <c r="B104" s="205"/>
      <c r="C104" s="205"/>
      <c r="D104" s="205"/>
      <c r="E104" s="205"/>
      <c r="F104" s="205"/>
      <c r="G104" s="205"/>
      <c r="H104" s="205"/>
      <c r="I104" s="205"/>
      <c r="J104" s="205"/>
      <c r="K104" s="205"/>
      <c r="L104" s="205"/>
      <c r="M104" s="205"/>
      <c r="N104" s="205"/>
      <c r="O104" s="205"/>
      <c r="P104" s="205"/>
      <c r="Q104" s="205"/>
      <c r="R104" s="205"/>
      <c r="S104" s="205"/>
      <c r="T104" s="205"/>
      <c r="U104" s="205"/>
      <c r="V104" s="205"/>
      <c r="W104" s="205"/>
      <c r="X104" s="205"/>
      <c r="Y104" s="205"/>
      <c r="Z104" s="205"/>
    </row>
    <row r="105" ht="12.75" customHeight="1">
      <c r="A105" s="205"/>
      <c r="B105" s="205"/>
      <c r="C105" s="205"/>
      <c r="D105" s="205"/>
      <c r="E105" s="205"/>
      <c r="F105" s="205"/>
      <c r="G105" s="205"/>
      <c r="H105" s="205"/>
      <c r="I105" s="205"/>
      <c r="J105" s="205"/>
      <c r="K105" s="205"/>
      <c r="L105" s="205"/>
      <c r="M105" s="205"/>
      <c r="N105" s="205"/>
      <c r="O105" s="205"/>
      <c r="P105" s="205"/>
      <c r="Q105" s="205"/>
      <c r="R105" s="205"/>
      <c r="S105" s="205"/>
      <c r="T105" s="205"/>
      <c r="U105" s="205"/>
      <c r="V105" s="205"/>
      <c r="W105" s="205"/>
      <c r="X105" s="205"/>
      <c r="Y105" s="205"/>
      <c r="Z105" s="205"/>
    </row>
    <row r="106" ht="12.75" customHeight="1">
      <c r="A106" s="205"/>
      <c r="B106" s="205"/>
      <c r="C106" s="205"/>
      <c r="D106" s="205"/>
      <c r="E106" s="205"/>
      <c r="F106" s="205"/>
      <c r="G106" s="205"/>
      <c r="H106" s="205"/>
      <c r="I106" s="205"/>
      <c r="J106" s="205"/>
      <c r="K106" s="205"/>
      <c r="L106" s="205"/>
      <c r="M106" s="205"/>
      <c r="N106" s="205"/>
      <c r="O106" s="205"/>
      <c r="P106" s="205"/>
      <c r="Q106" s="205"/>
      <c r="R106" s="205"/>
      <c r="S106" s="205"/>
      <c r="T106" s="205"/>
      <c r="U106" s="205"/>
      <c r="V106" s="205"/>
      <c r="W106" s="205"/>
      <c r="X106" s="205"/>
      <c r="Y106" s="205"/>
      <c r="Z106" s="205"/>
    </row>
    <row r="107" ht="12.75" customHeight="1">
      <c r="A107" s="205"/>
      <c r="B107" s="205"/>
      <c r="C107" s="205"/>
      <c r="D107" s="205"/>
      <c r="E107" s="205"/>
      <c r="F107" s="205"/>
      <c r="G107" s="205"/>
      <c r="H107" s="205"/>
      <c r="I107" s="205"/>
      <c r="J107" s="205"/>
      <c r="K107" s="205"/>
      <c r="L107" s="205"/>
      <c r="M107" s="205"/>
      <c r="N107" s="205"/>
      <c r="O107" s="205"/>
      <c r="P107" s="205"/>
      <c r="Q107" s="205"/>
      <c r="R107" s="205"/>
      <c r="S107" s="205"/>
      <c r="T107" s="205"/>
      <c r="U107" s="205"/>
      <c r="V107" s="205"/>
      <c r="W107" s="205"/>
      <c r="X107" s="205"/>
      <c r="Y107" s="205"/>
      <c r="Z107" s="205"/>
    </row>
    <row r="108" ht="12.75" customHeight="1">
      <c r="A108" s="205"/>
      <c r="B108" s="205"/>
      <c r="C108" s="205"/>
      <c r="D108" s="205"/>
      <c r="E108" s="205"/>
      <c r="F108" s="205"/>
      <c r="G108" s="205"/>
      <c r="H108" s="205"/>
      <c r="I108" s="205"/>
      <c r="J108" s="205"/>
      <c r="K108" s="205"/>
      <c r="L108" s="205"/>
      <c r="M108" s="205"/>
      <c r="N108" s="205"/>
      <c r="O108" s="205"/>
      <c r="P108" s="205"/>
      <c r="Q108" s="205"/>
      <c r="R108" s="205"/>
      <c r="S108" s="205"/>
      <c r="T108" s="205"/>
      <c r="U108" s="205"/>
      <c r="V108" s="205"/>
      <c r="W108" s="205"/>
      <c r="X108" s="205"/>
      <c r="Y108" s="205"/>
      <c r="Z108" s="205"/>
    </row>
    <row r="109" ht="12.75" customHeight="1">
      <c r="A109" s="205"/>
      <c r="B109" s="205"/>
      <c r="C109" s="205"/>
      <c r="D109" s="205"/>
      <c r="E109" s="205"/>
      <c r="F109" s="205"/>
      <c r="G109" s="205"/>
      <c r="H109" s="205"/>
      <c r="I109" s="205"/>
      <c r="J109" s="205"/>
      <c r="K109" s="205"/>
      <c r="L109" s="205"/>
      <c r="M109" s="205"/>
      <c r="N109" s="205"/>
      <c r="O109" s="205"/>
      <c r="P109" s="205"/>
      <c r="Q109" s="205"/>
      <c r="R109" s="205"/>
      <c r="S109" s="205"/>
      <c r="T109" s="205"/>
      <c r="U109" s="205"/>
      <c r="V109" s="205"/>
      <c r="W109" s="205"/>
      <c r="X109" s="205"/>
      <c r="Y109" s="205"/>
      <c r="Z109" s="205"/>
    </row>
    <row r="110" ht="12.75" customHeight="1">
      <c r="A110" s="205"/>
      <c r="B110" s="205"/>
      <c r="C110" s="205"/>
      <c r="D110" s="205"/>
      <c r="E110" s="205"/>
      <c r="F110" s="205"/>
      <c r="G110" s="205"/>
      <c r="H110" s="205"/>
      <c r="I110" s="205"/>
      <c r="J110" s="205"/>
      <c r="K110" s="205"/>
      <c r="L110" s="205"/>
      <c r="M110" s="205"/>
      <c r="N110" s="205"/>
      <c r="O110" s="205"/>
      <c r="P110" s="205"/>
      <c r="Q110" s="205"/>
      <c r="R110" s="205"/>
      <c r="S110" s="205"/>
      <c r="T110" s="205"/>
      <c r="U110" s="205"/>
      <c r="V110" s="205"/>
      <c r="W110" s="205"/>
      <c r="X110" s="205"/>
      <c r="Y110" s="205"/>
      <c r="Z110" s="205"/>
    </row>
    <row r="111" ht="12.75" customHeight="1">
      <c r="A111" s="205"/>
      <c r="B111" s="205"/>
      <c r="C111" s="205"/>
      <c r="D111" s="205"/>
      <c r="E111" s="205"/>
      <c r="F111" s="205"/>
      <c r="G111" s="205"/>
      <c r="H111" s="205"/>
      <c r="I111" s="205"/>
      <c r="J111" s="205"/>
      <c r="K111" s="205"/>
      <c r="L111" s="205"/>
      <c r="M111" s="205"/>
      <c r="N111" s="205"/>
      <c r="O111" s="205"/>
      <c r="P111" s="205"/>
      <c r="Q111" s="205"/>
      <c r="R111" s="205"/>
      <c r="S111" s="205"/>
      <c r="T111" s="205"/>
      <c r="U111" s="205"/>
      <c r="V111" s="205"/>
      <c r="W111" s="205"/>
      <c r="X111" s="205"/>
      <c r="Y111" s="205"/>
      <c r="Z111" s="205"/>
    </row>
    <row r="112" ht="12.75" customHeight="1">
      <c r="A112" s="205"/>
      <c r="B112" s="205"/>
      <c r="C112" s="205"/>
      <c r="D112" s="205"/>
      <c r="E112" s="205"/>
      <c r="F112" s="205"/>
      <c r="G112" s="205"/>
      <c r="H112" s="205"/>
      <c r="I112" s="205"/>
      <c r="J112" s="205"/>
      <c r="K112" s="205"/>
      <c r="L112" s="205"/>
      <c r="M112" s="205"/>
      <c r="N112" s="205"/>
      <c r="O112" s="205"/>
      <c r="P112" s="205"/>
      <c r="Q112" s="205"/>
      <c r="R112" s="205"/>
      <c r="S112" s="205"/>
      <c r="T112" s="205"/>
      <c r="U112" s="205"/>
      <c r="V112" s="205"/>
      <c r="W112" s="205"/>
      <c r="X112" s="205"/>
      <c r="Y112" s="205"/>
      <c r="Z112" s="205"/>
    </row>
    <row r="113" ht="12.75" customHeight="1">
      <c r="A113" s="205"/>
      <c r="B113" s="205"/>
      <c r="C113" s="205"/>
      <c r="D113" s="205"/>
      <c r="E113" s="205"/>
      <c r="F113" s="205"/>
      <c r="G113" s="205"/>
      <c r="H113" s="205"/>
      <c r="I113" s="205"/>
      <c r="J113" s="205"/>
      <c r="K113" s="205"/>
      <c r="L113" s="205"/>
      <c r="M113" s="205"/>
      <c r="N113" s="205"/>
      <c r="O113" s="205"/>
      <c r="P113" s="205"/>
      <c r="Q113" s="205"/>
      <c r="R113" s="205"/>
      <c r="S113" s="205"/>
      <c r="T113" s="205"/>
      <c r="U113" s="205"/>
      <c r="V113" s="205"/>
      <c r="W113" s="205"/>
      <c r="X113" s="205"/>
      <c r="Y113" s="205"/>
      <c r="Z113" s="205"/>
    </row>
    <row r="114" ht="12.75" customHeight="1">
      <c r="A114" s="205"/>
      <c r="B114" s="205"/>
      <c r="C114" s="205"/>
      <c r="D114" s="205"/>
      <c r="E114" s="205"/>
      <c r="F114" s="205"/>
      <c r="G114" s="205"/>
      <c r="H114" s="205"/>
      <c r="I114" s="205"/>
      <c r="J114" s="205"/>
      <c r="K114" s="205"/>
      <c r="L114" s="205"/>
      <c r="M114" s="205"/>
      <c r="N114" s="205"/>
      <c r="O114" s="205"/>
      <c r="P114" s="205"/>
      <c r="Q114" s="205"/>
      <c r="R114" s="205"/>
      <c r="S114" s="205"/>
      <c r="T114" s="205"/>
      <c r="U114" s="205"/>
      <c r="V114" s="205"/>
      <c r="W114" s="205"/>
      <c r="X114" s="205"/>
      <c r="Y114" s="205"/>
      <c r="Z114" s="205"/>
    </row>
    <row r="115" ht="12.75" customHeight="1">
      <c r="A115" s="205"/>
      <c r="B115" s="205"/>
      <c r="C115" s="205"/>
      <c r="D115" s="205"/>
      <c r="E115" s="205"/>
      <c r="F115" s="205"/>
      <c r="G115" s="205"/>
      <c r="H115" s="205"/>
      <c r="I115" s="205"/>
      <c r="J115" s="205"/>
      <c r="K115" s="205"/>
      <c r="L115" s="205"/>
      <c r="M115" s="205"/>
      <c r="N115" s="205"/>
      <c r="O115" s="205"/>
      <c r="P115" s="205"/>
      <c r="Q115" s="205"/>
      <c r="R115" s="205"/>
      <c r="S115" s="205"/>
      <c r="T115" s="205"/>
      <c r="U115" s="205"/>
      <c r="V115" s="205"/>
      <c r="W115" s="205"/>
      <c r="X115" s="205"/>
      <c r="Y115" s="205"/>
      <c r="Z115" s="205"/>
    </row>
    <row r="116" ht="12.75" customHeight="1">
      <c r="A116" s="205"/>
      <c r="B116" s="205"/>
      <c r="C116" s="205"/>
      <c r="D116" s="205"/>
      <c r="E116" s="205"/>
      <c r="F116" s="205"/>
      <c r="G116" s="205"/>
      <c r="H116" s="205"/>
      <c r="I116" s="205"/>
      <c r="J116" s="205"/>
      <c r="K116" s="205"/>
      <c r="L116" s="205"/>
      <c r="M116" s="205"/>
      <c r="N116" s="205"/>
      <c r="O116" s="205"/>
      <c r="P116" s="205"/>
      <c r="Q116" s="205"/>
      <c r="R116" s="205"/>
      <c r="S116" s="205"/>
      <c r="T116" s="205"/>
      <c r="U116" s="205"/>
      <c r="V116" s="205"/>
      <c r="W116" s="205"/>
      <c r="X116" s="205"/>
      <c r="Y116" s="205"/>
      <c r="Z116" s="205"/>
    </row>
    <row r="117" ht="12.75" customHeight="1">
      <c r="A117" s="205"/>
      <c r="B117" s="205"/>
      <c r="C117" s="205"/>
      <c r="D117" s="205"/>
      <c r="E117" s="205"/>
      <c r="F117" s="205"/>
      <c r="G117" s="205"/>
      <c r="H117" s="205"/>
      <c r="I117" s="205"/>
      <c r="J117" s="205"/>
      <c r="K117" s="205"/>
      <c r="L117" s="205"/>
      <c r="M117" s="205"/>
      <c r="N117" s="205"/>
      <c r="O117" s="205"/>
      <c r="P117" s="205"/>
      <c r="Q117" s="205"/>
      <c r="R117" s="205"/>
      <c r="S117" s="205"/>
      <c r="T117" s="205"/>
      <c r="U117" s="205"/>
      <c r="V117" s="205"/>
      <c r="W117" s="205"/>
      <c r="X117" s="205"/>
      <c r="Y117" s="205"/>
      <c r="Z117" s="205"/>
    </row>
    <row r="118" ht="12.75" customHeight="1">
      <c r="A118" s="205"/>
      <c r="B118" s="205"/>
      <c r="C118" s="205"/>
      <c r="D118" s="205"/>
      <c r="E118" s="205"/>
      <c r="F118" s="205"/>
      <c r="G118" s="205"/>
      <c r="H118" s="205"/>
      <c r="I118" s="205"/>
      <c r="J118" s="205"/>
      <c r="K118" s="205"/>
      <c r="L118" s="205"/>
      <c r="M118" s="205"/>
      <c r="N118" s="205"/>
      <c r="O118" s="205"/>
      <c r="P118" s="205"/>
      <c r="Q118" s="205"/>
      <c r="R118" s="205"/>
      <c r="S118" s="205"/>
      <c r="T118" s="205"/>
      <c r="U118" s="205"/>
      <c r="V118" s="205"/>
      <c r="W118" s="205"/>
      <c r="X118" s="205"/>
      <c r="Y118" s="205"/>
      <c r="Z118" s="205"/>
    </row>
    <row r="119" ht="12.75" customHeight="1">
      <c r="A119" s="205"/>
      <c r="B119" s="205"/>
      <c r="C119" s="205"/>
      <c r="D119" s="205"/>
      <c r="E119" s="205"/>
      <c r="F119" s="205"/>
      <c r="G119" s="205"/>
      <c r="H119" s="205"/>
      <c r="I119" s="205"/>
      <c r="J119" s="205"/>
      <c r="K119" s="205"/>
      <c r="L119" s="205"/>
      <c r="M119" s="205"/>
      <c r="N119" s="205"/>
      <c r="O119" s="205"/>
      <c r="P119" s="205"/>
      <c r="Q119" s="205"/>
      <c r="R119" s="205"/>
      <c r="S119" s="205"/>
      <c r="T119" s="205"/>
      <c r="U119" s="205"/>
      <c r="V119" s="205"/>
      <c r="W119" s="205"/>
      <c r="X119" s="205"/>
      <c r="Y119" s="205"/>
      <c r="Z119" s="205"/>
    </row>
    <row r="120" ht="12.75" customHeight="1">
      <c r="A120" s="205"/>
      <c r="B120" s="205"/>
      <c r="C120" s="205"/>
      <c r="D120" s="205"/>
      <c r="E120" s="205"/>
      <c r="F120" s="205"/>
      <c r="G120" s="205"/>
      <c r="H120" s="205"/>
      <c r="I120" s="205"/>
      <c r="J120" s="205"/>
      <c r="K120" s="205"/>
      <c r="L120" s="205"/>
      <c r="M120" s="205"/>
      <c r="N120" s="205"/>
      <c r="O120" s="205"/>
      <c r="P120" s="205"/>
      <c r="Q120" s="205"/>
      <c r="R120" s="205"/>
      <c r="S120" s="205"/>
      <c r="T120" s="205"/>
      <c r="U120" s="205"/>
      <c r="V120" s="205"/>
      <c r="W120" s="205"/>
      <c r="X120" s="205"/>
      <c r="Y120" s="205"/>
      <c r="Z120" s="205"/>
    </row>
    <row r="121" ht="12.75" customHeight="1">
      <c r="A121" s="205"/>
      <c r="B121" s="205"/>
      <c r="C121" s="205"/>
      <c r="D121" s="205"/>
      <c r="E121" s="205"/>
      <c r="F121" s="205"/>
      <c r="G121" s="205"/>
      <c r="H121" s="205"/>
      <c r="I121" s="205"/>
      <c r="J121" s="205"/>
      <c r="K121" s="205"/>
      <c r="L121" s="205"/>
      <c r="M121" s="205"/>
      <c r="N121" s="205"/>
      <c r="O121" s="205"/>
      <c r="P121" s="205"/>
      <c r="Q121" s="205"/>
      <c r="R121" s="205"/>
      <c r="S121" s="205"/>
      <c r="T121" s="205"/>
      <c r="U121" s="205"/>
      <c r="V121" s="205"/>
      <c r="W121" s="205"/>
      <c r="X121" s="205"/>
      <c r="Y121" s="205"/>
      <c r="Z121" s="205"/>
    </row>
    <row r="122" ht="12.75" customHeight="1">
      <c r="A122" s="205"/>
      <c r="B122" s="205"/>
      <c r="C122" s="205"/>
      <c r="D122" s="205"/>
      <c r="E122" s="205"/>
      <c r="F122" s="205"/>
      <c r="G122" s="205"/>
      <c r="H122" s="205"/>
      <c r="I122" s="205"/>
      <c r="J122" s="205"/>
      <c r="K122" s="205"/>
      <c r="L122" s="205"/>
      <c r="M122" s="205"/>
      <c r="N122" s="205"/>
      <c r="O122" s="205"/>
      <c r="P122" s="205"/>
      <c r="Q122" s="205"/>
      <c r="R122" s="205"/>
      <c r="S122" s="205"/>
      <c r="T122" s="205"/>
      <c r="U122" s="205"/>
      <c r="V122" s="205"/>
      <c r="W122" s="205"/>
      <c r="X122" s="205"/>
      <c r="Y122" s="205"/>
      <c r="Z122" s="205"/>
    </row>
    <row r="123" ht="12.75" customHeight="1">
      <c r="A123" s="205"/>
      <c r="B123" s="205"/>
      <c r="C123" s="205"/>
      <c r="D123" s="205"/>
      <c r="E123" s="205"/>
      <c r="F123" s="205"/>
      <c r="G123" s="205"/>
      <c r="H123" s="205"/>
      <c r="I123" s="205"/>
      <c r="J123" s="205"/>
      <c r="K123" s="205"/>
      <c r="L123" s="205"/>
      <c r="M123" s="205"/>
      <c r="N123" s="205"/>
      <c r="O123" s="205"/>
      <c r="P123" s="205"/>
      <c r="Q123" s="205"/>
      <c r="R123" s="205"/>
      <c r="S123" s="205"/>
      <c r="T123" s="205"/>
      <c r="U123" s="205"/>
      <c r="V123" s="205"/>
      <c r="W123" s="205"/>
      <c r="X123" s="205"/>
      <c r="Y123" s="205"/>
      <c r="Z123" s="205"/>
    </row>
    <row r="124" ht="12.75" customHeight="1">
      <c r="A124" s="205"/>
      <c r="B124" s="205"/>
      <c r="C124" s="205"/>
      <c r="D124" s="205"/>
      <c r="E124" s="205"/>
      <c r="F124" s="205"/>
      <c r="G124" s="205"/>
      <c r="H124" s="205"/>
      <c r="I124" s="205"/>
      <c r="J124" s="205"/>
      <c r="K124" s="205"/>
      <c r="L124" s="205"/>
      <c r="M124" s="205"/>
      <c r="N124" s="205"/>
      <c r="O124" s="205"/>
      <c r="P124" s="205"/>
      <c r="Q124" s="205"/>
      <c r="R124" s="205"/>
      <c r="S124" s="205"/>
      <c r="T124" s="205"/>
      <c r="U124" s="205"/>
      <c r="V124" s="205"/>
      <c r="W124" s="205"/>
      <c r="X124" s="205"/>
      <c r="Y124" s="205"/>
      <c r="Z124" s="205"/>
    </row>
    <row r="125" ht="12.75" customHeight="1">
      <c r="A125" s="205"/>
      <c r="B125" s="205"/>
      <c r="C125" s="205"/>
      <c r="D125" s="205"/>
      <c r="E125" s="205"/>
      <c r="F125" s="205"/>
      <c r="G125" s="205"/>
      <c r="H125" s="205"/>
      <c r="I125" s="205"/>
      <c r="J125" s="205"/>
      <c r="K125" s="205"/>
      <c r="L125" s="205"/>
      <c r="M125" s="205"/>
      <c r="N125" s="205"/>
      <c r="O125" s="205"/>
      <c r="P125" s="205"/>
      <c r="Q125" s="205"/>
      <c r="R125" s="205"/>
      <c r="S125" s="205"/>
      <c r="T125" s="205"/>
      <c r="U125" s="205"/>
      <c r="V125" s="205"/>
      <c r="W125" s="205"/>
      <c r="X125" s="205"/>
      <c r="Y125" s="205"/>
      <c r="Z125" s="205"/>
    </row>
    <row r="126" ht="12.75" customHeight="1">
      <c r="A126" s="205"/>
      <c r="B126" s="205"/>
      <c r="C126" s="205"/>
      <c r="D126" s="205"/>
      <c r="E126" s="205"/>
      <c r="F126" s="205"/>
      <c r="G126" s="205"/>
      <c r="H126" s="205"/>
      <c r="I126" s="205"/>
      <c r="J126" s="205"/>
      <c r="K126" s="205"/>
      <c r="L126" s="205"/>
      <c r="M126" s="205"/>
      <c r="N126" s="205"/>
      <c r="O126" s="205"/>
      <c r="P126" s="205"/>
      <c r="Q126" s="205"/>
      <c r="R126" s="205"/>
      <c r="S126" s="205"/>
      <c r="T126" s="205"/>
      <c r="U126" s="205"/>
      <c r="V126" s="205"/>
      <c r="W126" s="205"/>
      <c r="X126" s="205"/>
      <c r="Y126" s="205"/>
      <c r="Z126" s="205"/>
    </row>
    <row r="127" ht="12.75" customHeight="1">
      <c r="A127" s="205"/>
      <c r="B127" s="205"/>
      <c r="C127" s="205"/>
      <c r="D127" s="205"/>
      <c r="E127" s="205"/>
      <c r="F127" s="205"/>
      <c r="G127" s="205"/>
      <c r="H127" s="205"/>
      <c r="I127" s="205"/>
      <c r="J127" s="205"/>
      <c r="K127" s="205"/>
      <c r="L127" s="205"/>
      <c r="M127" s="205"/>
      <c r="N127" s="205"/>
      <c r="O127" s="205"/>
      <c r="P127" s="205"/>
      <c r="Q127" s="205"/>
      <c r="R127" s="205"/>
      <c r="S127" s="205"/>
      <c r="T127" s="205"/>
      <c r="U127" s="205"/>
      <c r="V127" s="205"/>
      <c r="W127" s="205"/>
      <c r="X127" s="205"/>
      <c r="Y127" s="205"/>
      <c r="Z127" s="205"/>
    </row>
    <row r="128" ht="12.75" customHeight="1">
      <c r="A128" s="205"/>
      <c r="B128" s="205"/>
      <c r="C128" s="205"/>
      <c r="D128" s="205"/>
      <c r="E128" s="205"/>
      <c r="F128" s="205"/>
      <c r="G128" s="205"/>
      <c r="H128" s="205"/>
      <c r="I128" s="205"/>
      <c r="J128" s="205"/>
      <c r="K128" s="205"/>
      <c r="L128" s="205"/>
      <c r="M128" s="205"/>
      <c r="N128" s="205"/>
      <c r="O128" s="205"/>
      <c r="P128" s="205"/>
      <c r="Q128" s="205"/>
      <c r="R128" s="205"/>
      <c r="S128" s="205"/>
      <c r="T128" s="205"/>
      <c r="U128" s="205"/>
      <c r="V128" s="205"/>
      <c r="W128" s="205"/>
      <c r="X128" s="205"/>
      <c r="Y128" s="205"/>
      <c r="Z128" s="205"/>
    </row>
    <row r="129" ht="12.75" customHeight="1">
      <c r="A129" s="205"/>
      <c r="B129" s="205"/>
      <c r="C129" s="205"/>
      <c r="D129" s="205"/>
      <c r="E129" s="205"/>
      <c r="F129" s="205"/>
      <c r="G129" s="205"/>
      <c r="H129" s="205"/>
      <c r="I129" s="205"/>
      <c r="J129" s="205"/>
      <c r="K129" s="205"/>
      <c r="L129" s="205"/>
      <c r="M129" s="205"/>
      <c r="N129" s="205"/>
      <c r="O129" s="205"/>
      <c r="P129" s="205"/>
      <c r="Q129" s="205"/>
      <c r="R129" s="205"/>
      <c r="S129" s="205"/>
      <c r="T129" s="205"/>
      <c r="U129" s="205"/>
      <c r="V129" s="205"/>
      <c r="W129" s="205"/>
      <c r="X129" s="205"/>
      <c r="Y129" s="205"/>
      <c r="Z129" s="205"/>
    </row>
    <row r="130" ht="12.75" customHeight="1">
      <c r="A130" s="205"/>
      <c r="B130" s="205"/>
      <c r="C130" s="205"/>
      <c r="D130" s="205"/>
      <c r="E130" s="205"/>
      <c r="F130" s="205"/>
      <c r="G130" s="205"/>
      <c r="H130" s="205"/>
      <c r="I130" s="205"/>
      <c r="J130" s="205"/>
      <c r="K130" s="205"/>
      <c r="L130" s="205"/>
      <c r="M130" s="205"/>
      <c r="N130" s="205"/>
      <c r="O130" s="205"/>
      <c r="P130" s="205"/>
      <c r="Q130" s="205"/>
      <c r="R130" s="205"/>
      <c r="S130" s="205"/>
      <c r="T130" s="205"/>
      <c r="U130" s="205"/>
      <c r="V130" s="205"/>
      <c r="W130" s="205"/>
      <c r="X130" s="205"/>
      <c r="Y130" s="205"/>
      <c r="Z130" s="205"/>
    </row>
    <row r="131" ht="12.75" customHeight="1">
      <c r="A131" s="205"/>
      <c r="B131" s="205"/>
      <c r="C131" s="205"/>
      <c r="D131" s="205"/>
      <c r="E131" s="205"/>
      <c r="F131" s="205"/>
      <c r="G131" s="205"/>
      <c r="H131" s="205"/>
      <c r="I131" s="205"/>
      <c r="J131" s="205"/>
      <c r="K131" s="205"/>
      <c r="L131" s="205"/>
      <c r="M131" s="205"/>
      <c r="N131" s="205"/>
      <c r="O131" s="205"/>
      <c r="P131" s="205"/>
      <c r="Q131" s="205"/>
      <c r="R131" s="205"/>
      <c r="S131" s="205"/>
      <c r="T131" s="205"/>
      <c r="U131" s="205"/>
      <c r="V131" s="205"/>
      <c r="W131" s="205"/>
      <c r="X131" s="205"/>
      <c r="Y131" s="205"/>
      <c r="Z131" s="205"/>
    </row>
    <row r="132" ht="12.75" customHeight="1">
      <c r="A132" s="205"/>
      <c r="B132" s="205"/>
      <c r="C132" s="205"/>
      <c r="D132" s="205"/>
      <c r="E132" s="205"/>
      <c r="F132" s="205"/>
      <c r="G132" s="205"/>
      <c r="H132" s="205"/>
      <c r="I132" s="205"/>
      <c r="J132" s="205"/>
      <c r="K132" s="205"/>
      <c r="L132" s="205"/>
      <c r="M132" s="205"/>
      <c r="N132" s="205"/>
      <c r="O132" s="205"/>
      <c r="P132" s="205"/>
      <c r="Q132" s="205"/>
      <c r="R132" s="205"/>
      <c r="S132" s="205"/>
      <c r="T132" s="205"/>
      <c r="U132" s="205"/>
      <c r="V132" s="205"/>
      <c r="W132" s="205"/>
      <c r="X132" s="205"/>
      <c r="Y132" s="205"/>
      <c r="Z132" s="205"/>
    </row>
    <row r="133" ht="12.75" customHeight="1">
      <c r="A133" s="205"/>
      <c r="B133" s="205"/>
      <c r="C133" s="205"/>
      <c r="D133" s="205"/>
      <c r="E133" s="205"/>
      <c r="F133" s="205"/>
      <c r="G133" s="205"/>
      <c r="H133" s="205"/>
      <c r="I133" s="205"/>
      <c r="J133" s="205"/>
      <c r="K133" s="205"/>
      <c r="L133" s="205"/>
      <c r="M133" s="205"/>
      <c r="N133" s="205"/>
      <c r="O133" s="205"/>
      <c r="P133" s="205"/>
      <c r="Q133" s="205"/>
      <c r="R133" s="205"/>
      <c r="S133" s="205"/>
      <c r="T133" s="205"/>
      <c r="U133" s="205"/>
      <c r="V133" s="205"/>
      <c r="W133" s="205"/>
      <c r="X133" s="205"/>
      <c r="Y133" s="205"/>
      <c r="Z133" s="205"/>
    </row>
    <row r="134" ht="12.75" customHeight="1">
      <c r="A134" s="205"/>
      <c r="B134" s="205"/>
      <c r="C134" s="205"/>
      <c r="D134" s="205"/>
      <c r="E134" s="205"/>
      <c r="F134" s="205"/>
      <c r="G134" s="205"/>
      <c r="H134" s="205"/>
      <c r="I134" s="205"/>
      <c r="J134" s="205"/>
      <c r="K134" s="205"/>
      <c r="L134" s="205"/>
      <c r="M134" s="205"/>
      <c r="N134" s="205"/>
      <c r="O134" s="205"/>
      <c r="P134" s="205"/>
      <c r="Q134" s="205"/>
      <c r="R134" s="205"/>
      <c r="S134" s="205"/>
      <c r="T134" s="205"/>
      <c r="U134" s="205"/>
      <c r="V134" s="205"/>
      <c r="W134" s="205"/>
      <c r="X134" s="205"/>
      <c r="Y134" s="205"/>
      <c r="Z134" s="205"/>
    </row>
    <row r="135" ht="12.75" customHeight="1">
      <c r="A135" s="205"/>
      <c r="B135" s="205"/>
      <c r="C135" s="205"/>
      <c r="D135" s="205"/>
      <c r="E135" s="205"/>
      <c r="F135" s="205"/>
      <c r="G135" s="205"/>
      <c r="H135" s="205"/>
      <c r="I135" s="205"/>
      <c r="J135" s="205"/>
      <c r="K135" s="205"/>
      <c r="L135" s="205"/>
      <c r="M135" s="205"/>
      <c r="N135" s="205"/>
      <c r="O135" s="205"/>
      <c r="P135" s="205"/>
      <c r="Q135" s="205"/>
      <c r="R135" s="205"/>
      <c r="S135" s="205"/>
      <c r="T135" s="205"/>
      <c r="U135" s="205"/>
      <c r="V135" s="205"/>
      <c r="W135" s="205"/>
      <c r="X135" s="205"/>
      <c r="Y135" s="205"/>
      <c r="Z135" s="205"/>
    </row>
    <row r="136" ht="12.75" customHeight="1">
      <c r="A136" s="205"/>
      <c r="B136" s="205"/>
      <c r="C136" s="205"/>
      <c r="D136" s="205"/>
      <c r="E136" s="205"/>
      <c r="F136" s="205"/>
      <c r="G136" s="205"/>
      <c r="H136" s="205"/>
      <c r="I136" s="205"/>
      <c r="J136" s="205"/>
      <c r="K136" s="205"/>
      <c r="L136" s="205"/>
      <c r="M136" s="205"/>
      <c r="N136" s="205"/>
      <c r="O136" s="205"/>
      <c r="P136" s="205"/>
      <c r="Q136" s="205"/>
      <c r="R136" s="205"/>
      <c r="S136" s="205"/>
      <c r="T136" s="205"/>
      <c r="U136" s="205"/>
      <c r="V136" s="205"/>
      <c r="W136" s="205"/>
      <c r="X136" s="205"/>
      <c r="Y136" s="205"/>
      <c r="Z136" s="205"/>
    </row>
    <row r="137" ht="12.75" customHeight="1">
      <c r="A137" s="205"/>
      <c r="B137" s="205"/>
      <c r="C137" s="205"/>
      <c r="D137" s="205"/>
      <c r="E137" s="205"/>
      <c r="F137" s="205"/>
      <c r="G137" s="205"/>
      <c r="H137" s="205"/>
      <c r="I137" s="205"/>
      <c r="J137" s="205"/>
      <c r="K137" s="205"/>
      <c r="L137" s="205"/>
      <c r="M137" s="205"/>
      <c r="N137" s="205"/>
      <c r="O137" s="205"/>
      <c r="P137" s="205"/>
      <c r="Q137" s="205"/>
      <c r="R137" s="205"/>
      <c r="S137" s="205"/>
      <c r="T137" s="205"/>
      <c r="U137" s="205"/>
      <c r="V137" s="205"/>
      <c r="W137" s="205"/>
      <c r="X137" s="205"/>
      <c r="Y137" s="205"/>
      <c r="Z137" s="205"/>
    </row>
    <row r="138" ht="12.75" customHeight="1">
      <c r="A138" s="205"/>
      <c r="B138" s="205"/>
      <c r="C138" s="205"/>
      <c r="D138" s="205"/>
      <c r="E138" s="205"/>
      <c r="F138" s="205"/>
      <c r="G138" s="205"/>
      <c r="H138" s="205"/>
      <c r="I138" s="205"/>
      <c r="J138" s="205"/>
      <c r="K138" s="205"/>
      <c r="L138" s="205"/>
      <c r="M138" s="205"/>
      <c r="N138" s="205"/>
      <c r="O138" s="205"/>
      <c r="P138" s="205"/>
      <c r="Q138" s="205"/>
      <c r="R138" s="205"/>
      <c r="S138" s="205"/>
      <c r="T138" s="205"/>
      <c r="U138" s="205"/>
      <c r="V138" s="205"/>
      <c r="W138" s="205"/>
      <c r="X138" s="205"/>
      <c r="Y138" s="205"/>
      <c r="Z138" s="205"/>
    </row>
    <row r="139" ht="12.75" customHeight="1">
      <c r="A139" s="205"/>
      <c r="B139" s="205"/>
      <c r="C139" s="205"/>
      <c r="D139" s="205"/>
      <c r="E139" s="205"/>
      <c r="F139" s="205"/>
      <c r="G139" s="205"/>
      <c r="H139" s="205"/>
      <c r="I139" s="205"/>
      <c r="J139" s="205"/>
      <c r="K139" s="205"/>
      <c r="L139" s="205"/>
      <c r="M139" s="205"/>
      <c r="N139" s="205"/>
      <c r="O139" s="205"/>
      <c r="P139" s="205"/>
      <c r="Q139" s="205"/>
      <c r="R139" s="205"/>
      <c r="S139" s="205"/>
      <c r="T139" s="205"/>
      <c r="U139" s="205"/>
      <c r="V139" s="205"/>
      <c r="W139" s="205"/>
      <c r="X139" s="205"/>
      <c r="Y139" s="205"/>
      <c r="Z139" s="205"/>
    </row>
    <row r="140" ht="12.75" customHeight="1">
      <c r="A140" s="205"/>
      <c r="B140" s="205"/>
      <c r="C140" s="205"/>
      <c r="D140" s="205"/>
      <c r="E140" s="205"/>
      <c r="F140" s="205"/>
      <c r="G140" s="205"/>
      <c r="H140" s="205"/>
      <c r="I140" s="205"/>
      <c r="J140" s="205"/>
      <c r="K140" s="205"/>
      <c r="L140" s="205"/>
      <c r="M140" s="205"/>
      <c r="N140" s="205"/>
      <c r="O140" s="205"/>
      <c r="P140" s="205"/>
      <c r="Q140" s="205"/>
      <c r="R140" s="205"/>
      <c r="S140" s="205"/>
      <c r="T140" s="205"/>
      <c r="U140" s="205"/>
      <c r="V140" s="205"/>
      <c r="W140" s="205"/>
      <c r="X140" s="205"/>
      <c r="Y140" s="205"/>
      <c r="Z140" s="205"/>
    </row>
    <row r="141" ht="12.75" customHeight="1">
      <c r="A141" s="205"/>
      <c r="B141" s="205"/>
      <c r="C141" s="205"/>
      <c r="D141" s="205"/>
      <c r="E141" s="205"/>
      <c r="F141" s="205"/>
      <c r="G141" s="205"/>
      <c r="H141" s="205"/>
      <c r="I141" s="205"/>
      <c r="J141" s="205"/>
      <c r="K141" s="205"/>
      <c r="L141" s="205"/>
      <c r="M141" s="205"/>
      <c r="N141" s="205"/>
      <c r="O141" s="205"/>
      <c r="P141" s="205"/>
      <c r="Q141" s="205"/>
      <c r="R141" s="205"/>
      <c r="S141" s="205"/>
      <c r="T141" s="205"/>
      <c r="U141" s="205"/>
      <c r="V141" s="205"/>
      <c r="W141" s="205"/>
      <c r="X141" s="205"/>
      <c r="Y141" s="205"/>
      <c r="Z141" s="205"/>
    </row>
    <row r="142" ht="12.75" customHeight="1">
      <c r="A142" s="205"/>
      <c r="B142" s="205"/>
      <c r="C142" s="205"/>
      <c r="D142" s="205"/>
      <c r="E142" s="205"/>
      <c r="F142" s="205"/>
      <c r="G142" s="205"/>
      <c r="H142" s="205"/>
      <c r="I142" s="205"/>
      <c r="J142" s="205"/>
      <c r="K142" s="205"/>
      <c r="L142" s="205"/>
      <c r="M142" s="205"/>
      <c r="N142" s="205"/>
      <c r="O142" s="205"/>
      <c r="P142" s="205"/>
      <c r="Q142" s="205"/>
      <c r="R142" s="205"/>
      <c r="S142" s="205"/>
      <c r="T142" s="205"/>
      <c r="U142" s="205"/>
      <c r="V142" s="205"/>
      <c r="W142" s="205"/>
      <c r="X142" s="205"/>
      <c r="Y142" s="205"/>
      <c r="Z142" s="205"/>
    </row>
    <row r="143" ht="12.75" customHeight="1">
      <c r="A143" s="205"/>
      <c r="B143" s="205"/>
      <c r="C143" s="205"/>
      <c r="D143" s="205"/>
      <c r="E143" s="205"/>
      <c r="F143" s="205"/>
      <c r="G143" s="205"/>
      <c r="H143" s="205"/>
      <c r="I143" s="205"/>
      <c r="J143" s="205"/>
      <c r="K143" s="205"/>
      <c r="L143" s="205"/>
      <c r="M143" s="205"/>
      <c r="N143" s="205"/>
      <c r="O143" s="205"/>
      <c r="P143" s="205"/>
      <c r="Q143" s="205"/>
      <c r="R143" s="205"/>
      <c r="S143" s="205"/>
      <c r="T143" s="205"/>
      <c r="U143" s="205"/>
      <c r="V143" s="205"/>
      <c r="W143" s="205"/>
      <c r="X143" s="205"/>
      <c r="Y143" s="205"/>
      <c r="Z143" s="205"/>
    </row>
    <row r="144" ht="12.75" customHeight="1">
      <c r="A144" s="205"/>
      <c r="B144" s="205"/>
      <c r="C144" s="205"/>
      <c r="D144" s="205"/>
      <c r="E144" s="205"/>
      <c r="F144" s="205"/>
      <c r="G144" s="205"/>
      <c r="H144" s="205"/>
      <c r="I144" s="205"/>
      <c r="J144" s="205"/>
      <c r="K144" s="205"/>
      <c r="L144" s="205"/>
      <c r="M144" s="205"/>
      <c r="N144" s="205"/>
      <c r="O144" s="205"/>
      <c r="P144" s="205"/>
      <c r="Q144" s="205"/>
      <c r="R144" s="205"/>
      <c r="S144" s="205"/>
      <c r="T144" s="205"/>
      <c r="U144" s="205"/>
      <c r="V144" s="205"/>
      <c r="W144" s="205"/>
      <c r="X144" s="205"/>
      <c r="Y144" s="205"/>
      <c r="Z144" s="205"/>
    </row>
    <row r="145" ht="12.75" customHeight="1">
      <c r="A145" s="205"/>
      <c r="B145" s="205"/>
      <c r="C145" s="205"/>
      <c r="D145" s="205"/>
      <c r="E145" s="205"/>
      <c r="F145" s="205"/>
      <c r="G145" s="205"/>
      <c r="H145" s="205"/>
      <c r="I145" s="205"/>
      <c r="J145" s="205"/>
      <c r="K145" s="205"/>
      <c r="L145" s="205"/>
      <c r="M145" s="205"/>
      <c r="N145" s="205"/>
      <c r="O145" s="205"/>
      <c r="P145" s="205"/>
      <c r="Q145" s="205"/>
      <c r="R145" s="205"/>
      <c r="S145" s="205"/>
      <c r="T145" s="205"/>
      <c r="U145" s="205"/>
      <c r="V145" s="205"/>
      <c r="W145" s="205"/>
      <c r="X145" s="205"/>
      <c r="Y145" s="205"/>
      <c r="Z145" s="205"/>
    </row>
    <row r="146" ht="12.75" customHeight="1">
      <c r="A146" s="205"/>
      <c r="B146" s="205"/>
      <c r="C146" s="205"/>
      <c r="D146" s="205"/>
      <c r="E146" s="205"/>
      <c r="F146" s="205"/>
      <c r="G146" s="205"/>
      <c r="H146" s="205"/>
      <c r="I146" s="205"/>
      <c r="J146" s="205"/>
      <c r="K146" s="205"/>
      <c r="L146" s="205"/>
      <c r="M146" s="205"/>
      <c r="N146" s="205"/>
      <c r="O146" s="205"/>
      <c r="P146" s="205"/>
      <c r="Q146" s="205"/>
      <c r="R146" s="205"/>
      <c r="S146" s="205"/>
      <c r="T146" s="205"/>
      <c r="U146" s="205"/>
      <c r="V146" s="205"/>
      <c r="W146" s="205"/>
      <c r="X146" s="205"/>
      <c r="Y146" s="205"/>
      <c r="Z146" s="205"/>
    </row>
    <row r="147" ht="12.75" customHeight="1">
      <c r="A147" s="205"/>
      <c r="B147" s="205"/>
      <c r="C147" s="205"/>
      <c r="D147" s="205"/>
      <c r="E147" s="205"/>
      <c r="F147" s="205"/>
      <c r="G147" s="205"/>
      <c r="H147" s="205"/>
      <c r="I147" s="205"/>
      <c r="J147" s="205"/>
      <c r="K147" s="205"/>
      <c r="L147" s="205"/>
      <c r="M147" s="205"/>
      <c r="N147" s="205"/>
      <c r="O147" s="205"/>
      <c r="P147" s="205"/>
      <c r="Q147" s="205"/>
      <c r="R147" s="205"/>
      <c r="S147" s="205"/>
      <c r="T147" s="205"/>
      <c r="U147" s="205"/>
      <c r="V147" s="205"/>
      <c r="W147" s="205"/>
      <c r="X147" s="205"/>
      <c r="Y147" s="205"/>
      <c r="Z147" s="205"/>
    </row>
    <row r="148" ht="12.75" customHeight="1">
      <c r="A148" s="205"/>
      <c r="B148" s="205"/>
      <c r="C148" s="205"/>
      <c r="D148" s="205"/>
      <c r="E148" s="205"/>
      <c r="F148" s="205"/>
      <c r="G148" s="205"/>
      <c r="H148" s="205"/>
      <c r="I148" s="205"/>
      <c r="J148" s="205"/>
      <c r="K148" s="205"/>
      <c r="L148" s="205"/>
      <c r="M148" s="205"/>
      <c r="N148" s="205"/>
      <c r="O148" s="205"/>
      <c r="P148" s="205"/>
      <c r="Q148" s="205"/>
      <c r="R148" s="205"/>
      <c r="S148" s="205"/>
      <c r="T148" s="205"/>
      <c r="U148" s="205"/>
      <c r="V148" s="205"/>
      <c r="W148" s="205"/>
      <c r="X148" s="205"/>
      <c r="Y148" s="205"/>
      <c r="Z148" s="205"/>
    </row>
    <row r="149" ht="12.75" customHeight="1">
      <c r="A149" s="205"/>
      <c r="B149" s="205"/>
      <c r="C149" s="205"/>
      <c r="D149" s="205"/>
      <c r="E149" s="205"/>
      <c r="F149" s="205"/>
      <c r="G149" s="205"/>
      <c r="H149" s="205"/>
      <c r="I149" s="205"/>
      <c r="J149" s="205"/>
      <c r="K149" s="205"/>
      <c r="L149" s="205"/>
      <c r="M149" s="205"/>
      <c r="N149" s="205"/>
      <c r="O149" s="205"/>
      <c r="P149" s="205"/>
      <c r="Q149" s="205"/>
      <c r="R149" s="205"/>
      <c r="S149" s="205"/>
      <c r="T149" s="205"/>
      <c r="U149" s="205"/>
      <c r="V149" s="205"/>
      <c r="W149" s="205"/>
      <c r="X149" s="205"/>
      <c r="Y149" s="205"/>
      <c r="Z149" s="205"/>
    </row>
    <row r="150" ht="12.75" customHeight="1">
      <c r="A150" s="205"/>
      <c r="B150" s="205"/>
      <c r="C150" s="205"/>
      <c r="D150" s="205"/>
      <c r="E150" s="205"/>
      <c r="F150" s="205"/>
      <c r="G150" s="205"/>
      <c r="H150" s="205"/>
      <c r="I150" s="205"/>
      <c r="J150" s="205"/>
      <c r="K150" s="205"/>
      <c r="L150" s="205"/>
      <c r="M150" s="205"/>
      <c r="N150" s="205"/>
      <c r="O150" s="205"/>
      <c r="P150" s="205"/>
      <c r="Q150" s="205"/>
      <c r="R150" s="205"/>
      <c r="S150" s="205"/>
      <c r="T150" s="205"/>
      <c r="U150" s="205"/>
      <c r="V150" s="205"/>
      <c r="W150" s="205"/>
      <c r="X150" s="205"/>
      <c r="Y150" s="205"/>
      <c r="Z150" s="205"/>
    </row>
    <row r="151" ht="12.75" customHeight="1">
      <c r="A151" s="205"/>
      <c r="B151" s="205"/>
      <c r="C151" s="205"/>
      <c r="D151" s="205"/>
      <c r="E151" s="205"/>
      <c r="F151" s="205"/>
      <c r="G151" s="205"/>
      <c r="H151" s="205"/>
      <c r="I151" s="205"/>
      <c r="J151" s="205"/>
      <c r="K151" s="205"/>
      <c r="L151" s="205"/>
      <c r="M151" s="205"/>
      <c r="N151" s="205"/>
      <c r="O151" s="205"/>
      <c r="P151" s="205"/>
      <c r="Q151" s="205"/>
      <c r="R151" s="205"/>
      <c r="S151" s="205"/>
      <c r="T151" s="205"/>
      <c r="U151" s="205"/>
      <c r="V151" s="205"/>
      <c r="W151" s="205"/>
      <c r="X151" s="205"/>
      <c r="Y151" s="205"/>
      <c r="Z151" s="205"/>
    </row>
    <row r="152" ht="12.75" customHeight="1">
      <c r="A152" s="205"/>
      <c r="B152" s="205"/>
      <c r="C152" s="205"/>
      <c r="D152" s="205"/>
      <c r="E152" s="205"/>
      <c r="F152" s="205"/>
      <c r="G152" s="205"/>
      <c r="H152" s="205"/>
      <c r="I152" s="205"/>
      <c r="J152" s="205"/>
      <c r="K152" s="205"/>
      <c r="L152" s="205"/>
      <c r="M152" s="205"/>
      <c r="N152" s="205"/>
      <c r="O152" s="205"/>
      <c r="P152" s="205"/>
      <c r="Q152" s="205"/>
      <c r="R152" s="205"/>
      <c r="S152" s="205"/>
      <c r="T152" s="205"/>
      <c r="U152" s="205"/>
      <c r="V152" s="205"/>
      <c r="W152" s="205"/>
      <c r="X152" s="205"/>
      <c r="Y152" s="205"/>
      <c r="Z152" s="205"/>
    </row>
    <row r="153" ht="12.75" customHeight="1">
      <c r="A153" s="205"/>
      <c r="B153" s="205"/>
      <c r="C153" s="205"/>
      <c r="D153" s="205"/>
      <c r="E153" s="205"/>
      <c r="F153" s="205"/>
      <c r="G153" s="205"/>
      <c r="H153" s="205"/>
      <c r="I153" s="205"/>
      <c r="J153" s="205"/>
      <c r="K153" s="205"/>
      <c r="L153" s="205"/>
      <c r="M153" s="205"/>
      <c r="N153" s="205"/>
      <c r="O153" s="205"/>
      <c r="P153" s="205"/>
      <c r="Q153" s="205"/>
      <c r="R153" s="205"/>
      <c r="S153" s="205"/>
      <c r="T153" s="205"/>
      <c r="U153" s="205"/>
      <c r="V153" s="205"/>
      <c r="W153" s="205"/>
      <c r="X153" s="205"/>
      <c r="Y153" s="205"/>
      <c r="Z153" s="205"/>
    </row>
    <row r="154" ht="12.75" customHeight="1">
      <c r="A154" s="205"/>
      <c r="B154" s="205"/>
      <c r="C154" s="205"/>
      <c r="D154" s="205"/>
      <c r="E154" s="205"/>
      <c r="F154" s="205"/>
      <c r="G154" s="205"/>
      <c r="H154" s="205"/>
      <c r="I154" s="205"/>
      <c r="J154" s="205"/>
      <c r="K154" s="205"/>
      <c r="L154" s="205"/>
      <c r="M154" s="205"/>
      <c r="N154" s="205"/>
      <c r="O154" s="205"/>
      <c r="P154" s="205"/>
      <c r="Q154" s="205"/>
      <c r="R154" s="205"/>
      <c r="S154" s="205"/>
      <c r="T154" s="205"/>
      <c r="U154" s="205"/>
      <c r="V154" s="205"/>
      <c r="W154" s="205"/>
      <c r="X154" s="205"/>
      <c r="Y154" s="205"/>
      <c r="Z154" s="205"/>
    </row>
    <row r="155" ht="12.75" customHeight="1">
      <c r="A155" s="205"/>
      <c r="B155" s="205"/>
      <c r="C155" s="205"/>
      <c r="D155" s="205"/>
      <c r="E155" s="205"/>
      <c r="F155" s="205"/>
      <c r="G155" s="205"/>
      <c r="H155" s="205"/>
      <c r="I155" s="205"/>
      <c r="J155" s="205"/>
      <c r="K155" s="205"/>
      <c r="L155" s="205"/>
      <c r="M155" s="205"/>
      <c r="N155" s="205"/>
      <c r="O155" s="205"/>
      <c r="P155" s="205"/>
      <c r="Q155" s="205"/>
      <c r="R155" s="205"/>
      <c r="S155" s="205"/>
      <c r="T155" s="205"/>
      <c r="U155" s="205"/>
      <c r="V155" s="205"/>
      <c r="W155" s="205"/>
      <c r="X155" s="205"/>
      <c r="Y155" s="205"/>
      <c r="Z155" s="205"/>
    </row>
    <row r="156" ht="12.75" customHeight="1">
      <c r="A156" s="205"/>
      <c r="B156" s="205"/>
      <c r="C156" s="205"/>
      <c r="D156" s="205"/>
      <c r="E156" s="205"/>
      <c r="F156" s="205"/>
      <c r="G156" s="205"/>
      <c r="H156" s="205"/>
      <c r="I156" s="205"/>
      <c r="J156" s="205"/>
      <c r="K156" s="205"/>
      <c r="L156" s="205"/>
      <c r="M156" s="205"/>
      <c r="N156" s="205"/>
      <c r="O156" s="205"/>
      <c r="P156" s="205"/>
      <c r="Q156" s="205"/>
      <c r="R156" s="205"/>
      <c r="S156" s="205"/>
      <c r="T156" s="205"/>
      <c r="U156" s="205"/>
      <c r="V156" s="205"/>
      <c r="W156" s="205"/>
      <c r="X156" s="205"/>
      <c r="Y156" s="205"/>
      <c r="Z156" s="205"/>
    </row>
    <row r="157" ht="12.75" customHeight="1">
      <c r="A157" s="205"/>
      <c r="B157" s="205"/>
      <c r="C157" s="205"/>
      <c r="D157" s="205"/>
      <c r="E157" s="205"/>
      <c r="F157" s="205"/>
      <c r="G157" s="205"/>
      <c r="H157" s="205"/>
      <c r="I157" s="205"/>
      <c r="J157" s="205"/>
      <c r="K157" s="205"/>
      <c r="L157" s="205"/>
      <c r="M157" s="205"/>
      <c r="N157" s="205"/>
      <c r="O157" s="205"/>
      <c r="P157" s="205"/>
      <c r="Q157" s="205"/>
      <c r="R157" s="205"/>
      <c r="S157" s="205"/>
      <c r="T157" s="205"/>
      <c r="U157" s="205"/>
      <c r="V157" s="205"/>
      <c r="W157" s="205"/>
      <c r="X157" s="205"/>
      <c r="Y157" s="205"/>
      <c r="Z157" s="205"/>
    </row>
    <row r="158" ht="12.75" customHeight="1">
      <c r="A158" s="205"/>
      <c r="B158" s="205"/>
      <c r="C158" s="205"/>
      <c r="D158" s="205"/>
      <c r="E158" s="205"/>
      <c r="F158" s="205"/>
      <c r="G158" s="205"/>
      <c r="H158" s="205"/>
      <c r="I158" s="205"/>
      <c r="J158" s="205"/>
      <c r="K158" s="205"/>
      <c r="L158" s="205"/>
      <c r="M158" s="205"/>
      <c r="N158" s="205"/>
      <c r="O158" s="205"/>
      <c r="P158" s="205"/>
      <c r="Q158" s="205"/>
      <c r="R158" s="205"/>
      <c r="S158" s="205"/>
      <c r="T158" s="205"/>
      <c r="U158" s="205"/>
      <c r="V158" s="205"/>
      <c r="W158" s="205"/>
      <c r="X158" s="205"/>
      <c r="Y158" s="205"/>
      <c r="Z158" s="205"/>
    </row>
    <row r="159" ht="12.75" customHeight="1">
      <c r="A159" s="205"/>
      <c r="B159" s="205"/>
      <c r="C159" s="205"/>
      <c r="D159" s="205"/>
      <c r="E159" s="205"/>
      <c r="F159" s="205"/>
      <c r="G159" s="205"/>
      <c r="H159" s="205"/>
      <c r="I159" s="205"/>
      <c r="J159" s="205"/>
      <c r="K159" s="205"/>
      <c r="L159" s="205"/>
      <c r="M159" s="205"/>
      <c r="N159" s="205"/>
      <c r="O159" s="205"/>
      <c r="P159" s="205"/>
      <c r="Q159" s="205"/>
      <c r="R159" s="205"/>
      <c r="S159" s="205"/>
      <c r="T159" s="205"/>
      <c r="U159" s="205"/>
      <c r="V159" s="205"/>
      <c r="W159" s="205"/>
      <c r="X159" s="205"/>
      <c r="Y159" s="205"/>
      <c r="Z159" s="205"/>
    </row>
    <row r="160" ht="12.75" customHeight="1">
      <c r="A160" s="205"/>
      <c r="B160" s="205"/>
      <c r="C160" s="205"/>
      <c r="D160" s="205"/>
      <c r="E160" s="205"/>
      <c r="F160" s="205"/>
      <c r="G160" s="205"/>
      <c r="H160" s="205"/>
      <c r="I160" s="205"/>
      <c r="J160" s="205"/>
      <c r="K160" s="205"/>
      <c r="L160" s="205"/>
      <c r="M160" s="205"/>
      <c r="N160" s="205"/>
      <c r="O160" s="205"/>
      <c r="P160" s="205"/>
      <c r="Q160" s="205"/>
      <c r="R160" s="205"/>
      <c r="S160" s="205"/>
      <c r="T160" s="205"/>
      <c r="U160" s="205"/>
      <c r="V160" s="205"/>
      <c r="W160" s="205"/>
      <c r="X160" s="205"/>
      <c r="Y160" s="205"/>
      <c r="Z160" s="205"/>
    </row>
    <row r="161" ht="12.75" customHeight="1">
      <c r="A161" s="205"/>
      <c r="B161" s="205"/>
      <c r="C161" s="205"/>
      <c r="D161" s="205"/>
      <c r="E161" s="205"/>
      <c r="F161" s="205"/>
      <c r="G161" s="205"/>
      <c r="H161" s="205"/>
      <c r="I161" s="205"/>
      <c r="J161" s="205"/>
      <c r="K161" s="205"/>
      <c r="L161" s="205"/>
      <c r="M161" s="205"/>
      <c r="N161" s="205"/>
      <c r="O161" s="205"/>
      <c r="P161" s="205"/>
      <c r="Q161" s="205"/>
      <c r="R161" s="205"/>
      <c r="S161" s="205"/>
      <c r="T161" s="205"/>
      <c r="U161" s="205"/>
      <c r="V161" s="205"/>
      <c r="W161" s="205"/>
      <c r="X161" s="205"/>
      <c r="Y161" s="205"/>
      <c r="Z161" s="205"/>
    </row>
    <row r="162" ht="12.75" customHeight="1">
      <c r="A162" s="205"/>
      <c r="B162" s="205"/>
      <c r="C162" s="205"/>
      <c r="D162" s="205"/>
      <c r="E162" s="205"/>
      <c r="F162" s="205"/>
      <c r="G162" s="205"/>
      <c r="H162" s="205"/>
      <c r="I162" s="205"/>
      <c r="J162" s="205"/>
      <c r="K162" s="205"/>
      <c r="L162" s="205"/>
      <c r="M162" s="205"/>
      <c r="N162" s="205"/>
      <c r="O162" s="205"/>
      <c r="P162" s="205"/>
      <c r="Q162" s="205"/>
      <c r="R162" s="205"/>
      <c r="S162" s="205"/>
      <c r="T162" s="205"/>
      <c r="U162" s="205"/>
      <c r="V162" s="205"/>
      <c r="W162" s="205"/>
      <c r="X162" s="205"/>
      <c r="Y162" s="205"/>
      <c r="Z162" s="205"/>
    </row>
    <row r="163" ht="12.75" customHeight="1">
      <c r="A163" s="205"/>
      <c r="B163" s="205"/>
      <c r="C163" s="205"/>
      <c r="D163" s="205"/>
      <c r="E163" s="205"/>
      <c r="F163" s="205"/>
      <c r="G163" s="205"/>
      <c r="H163" s="205"/>
      <c r="I163" s="205"/>
      <c r="J163" s="205"/>
      <c r="K163" s="205"/>
      <c r="L163" s="205"/>
      <c r="M163" s="205"/>
      <c r="N163" s="205"/>
      <c r="O163" s="205"/>
      <c r="P163" s="205"/>
      <c r="Q163" s="205"/>
      <c r="R163" s="205"/>
      <c r="S163" s="205"/>
      <c r="T163" s="205"/>
      <c r="U163" s="205"/>
      <c r="V163" s="205"/>
      <c r="W163" s="205"/>
      <c r="X163" s="205"/>
      <c r="Y163" s="205"/>
      <c r="Z163" s="205"/>
    </row>
    <row r="164" ht="12.75" customHeight="1">
      <c r="A164" s="205"/>
      <c r="B164" s="205"/>
      <c r="C164" s="205"/>
      <c r="D164" s="205"/>
      <c r="E164" s="205"/>
      <c r="F164" s="205"/>
      <c r="G164" s="205"/>
      <c r="H164" s="205"/>
      <c r="I164" s="205"/>
      <c r="J164" s="205"/>
      <c r="K164" s="205"/>
      <c r="L164" s="205"/>
      <c r="M164" s="205"/>
      <c r="N164" s="205"/>
      <c r="O164" s="205"/>
      <c r="P164" s="205"/>
      <c r="Q164" s="205"/>
      <c r="R164" s="205"/>
      <c r="S164" s="205"/>
      <c r="T164" s="205"/>
      <c r="U164" s="205"/>
      <c r="V164" s="205"/>
      <c r="W164" s="205"/>
      <c r="X164" s="205"/>
      <c r="Y164" s="205"/>
      <c r="Z164" s="205"/>
    </row>
    <row r="165" ht="12.75" customHeight="1">
      <c r="A165" s="205"/>
      <c r="B165" s="205"/>
      <c r="C165" s="205"/>
      <c r="D165" s="205"/>
      <c r="E165" s="205"/>
      <c r="F165" s="205"/>
      <c r="G165" s="205"/>
      <c r="H165" s="205"/>
      <c r="I165" s="205"/>
      <c r="J165" s="205"/>
      <c r="K165" s="205"/>
      <c r="L165" s="205"/>
      <c r="M165" s="205"/>
      <c r="N165" s="205"/>
      <c r="O165" s="205"/>
      <c r="P165" s="205"/>
      <c r="Q165" s="205"/>
      <c r="R165" s="205"/>
      <c r="S165" s="205"/>
      <c r="T165" s="205"/>
      <c r="U165" s="205"/>
      <c r="V165" s="205"/>
      <c r="W165" s="205"/>
      <c r="X165" s="205"/>
      <c r="Y165" s="205"/>
      <c r="Z165" s="205"/>
    </row>
    <row r="166" ht="12.75" customHeight="1">
      <c r="A166" s="205"/>
      <c r="B166" s="205"/>
      <c r="C166" s="205"/>
      <c r="D166" s="205"/>
      <c r="E166" s="205"/>
      <c r="F166" s="205"/>
      <c r="G166" s="205"/>
      <c r="H166" s="205"/>
      <c r="I166" s="205"/>
      <c r="J166" s="205"/>
      <c r="K166" s="205"/>
      <c r="L166" s="205"/>
      <c r="M166" s="205"/>
      <c r="N166" s="205"/>
      <c r="O166" s="205"/>
      <c r="P166" s="205"/>
      <c r="Q166" s="205"/>
      <c r="R166" s="205"/>
      <c r="S166" s="205"/>
      <c r="T166" s="205"/>
      <c r="U166" s="205"/>
      <c r="V166" s="205"/>
      <c r="W166" s="205"/>
      <c r="X166" s="205"/>
      <c r="Y166" s="205"/>
      <c r="Z166" s="205"/>
    </row>
    <row r="167" ht="12.75" customHeight="1">
      <c r="A167" s="205"/>
      <c r="B167" s="205"/>
      <c r="C167" s="205"/>
      <c r="D167" s="205"/>
      <c r="E167" s="205"/>
      <c r="F167" s="205"/>
      <c r="G167" s="205"/>
      <c r="H167" s="205"/>
      <c r="I167" s="205"/>
      <c r="J167" s="205"/>
      <c r="K167" s="205"/>
      <c r="L167" s="205"/>
      <c r="M167" s="205"/>
      <c r="N167" s="205"/>
      <c r="O167" s="205"/>
      <c r="P167" s="205"/>
      <c r="Q167" s="205"/>
      <c r="R167" s="205"/>
      <c r="S167" s="205"/>
      <c r="T167" s="205"/>
      <c r="U167" s="205"/>
      <c r="V167" s="205"/>
      <c r="W167" s="205"/>
      <c r="X167" s="205"/>
      <c r="Y167" s="205"/>
      <c r="Z167" s="205"/>
    </row>
    <row r="168" ht="12.75" customHeight="1">
      <c r="A168" s="205"/>
      <c r="B168" s="205"/>
      <c r="C168" s="205"/>
      <c r="D168" s="205"/>
      <c r="E168" s="205"/>
      <c r="F168" s="205"/>
      <c r="G168" s="205"/>
      <c r="H168" s="205"/>
      <c r="I168" s="205"/>
      <c r="J168" s="205"/>
      <c r="K168" s="205"/>
      <c r="L168" s="205"/>
      <c r="M168" s="205"/>
      <c r="N168" s="205"/>
      <c r="O168" s="205"/>
      <c r="P168" s="205"/>
      <c r="Q168" s="205"/>
      <c r="R168" s="205"/>
      <c r="S168" s="205"/>
      <c r="T168" s="205"/>
      <c r="U168" s="205"/>
      <c r="V168" s="205"/>
      <c r="W168" s="205"/>
      <c r="X168" s="205"/>
      <c r="Y168" s="205"/>
      <c r="Z168" s="205"/>
    </row>
    <row r="169" ht="12.75" customHeight="1">
      <c r="A169" s="205"/>
      <c r="B169" s="205"/>
      <c r="C169" s="205"/>
      <c r="D169" s="205"/>
      <c r="E169" s="205"/>
      <c r="F169" s="205"/>
      <c r="G169" s="205"/>
      <c r="H169" s="205"/>
      <c r="I169" s="205"/>
      <c r="J169" s="205"/>
      <c r="K169" s="205"/>
      <c r="L169" s="205"/>
      <c r="M169" s="205"/>
      <c r="N169" s="205"/>
      <c r="O169" s="205"/>
      <c r="P169" s="205"/>
      <c r="Q169" s="205"/>
      <c r="R169" s="205"/>
      <c r="S169" s="205"/>
      <c r="T169" s="205"/>
      <c r="U169" s="205"/>
      <c r="V169" s="205"/>
      <c r="W169" s="205"/>
      <c r="X169" s="205"/>
      <c r="Y169" s="205"/>
      <c r="Z169" s="205"/>
    </row>
    <row r="170" ht="12.75" customHeight="1">
      <c r="A170" s="205"/>
      <c r="B170" s="205"/>
      <c r="C170" s="205"/>
      <c r="D170" s="205"/>
      <c r="E170" s="205"/>
      <c r="F170" s="205"/>
      <c r="G170" s="205"/>
      <c r="H170" s="205"/>
      <c r="I170" s="205"/>
      <c r="J170" s="205"/>
      <c r="K170" s="205"/>
      <c r="L170" s="205"/>
      <c r="M170" s="205"/>
      <c r="N170" s="205"/>
      <c r="O170" s="205"/>
      <c r="P170" s="205"/>
      <c r="Q170" s="205"/>
      <c r="R170" s="205"/>
      <c r="S170" s="205"/>
      <c r="T170" s="205"/>
      <c r="U170" s="205"/>
      <c r="V170" s="205"/>
      <c r="W170" s="205"/>
      <c r="X170" s="205"/>
      <c r="Y170" s="205"/>
      <c r="Z170" s="205"/>
    </row>
    <row r="171" ht="12.75" customHeight="1">
      <c r="A171" s="205"/>
      <c r="B171" s="205"/>
      <c r="C171" s="205"/>
      <c r="D171" s="205"/>
      <c r="E171" s="205"/>
      <c r="F171" s="205"/>
      <c r="G171" s="205"/>
      <c r="H171" s="205"/>
      <c r="I171" s="205"/>
      <c r="J171" s="205"/>
      <c r="K171" s="205"/>
      <c r="L171" s="205"/>
      <c r="M171" s="205"/>
      <c r="N171" s="205"/>
      <c r="O171" s="205"/>
      <c r="P171" s="205"/>
      <c r="Q171" s="205"/>
      <c r="R171" s="205"/>
      <c r="S171" s="205"/>
      <c r="T171" s="205"/>
      <c r="U171" s="205"/>
      <c r="V171" s="205"/>
      <c r="W171" s="205"/>
      <c r="X171" s="205"/>
      <c r="Y171" s="205"/>
      <c r="Z171" s="205"/>
    </row>
    <row r="172" ht="12.75" customHeight="1">
      <c r="A172" s="205"/>
      <c r="B172" s="205"/>
      <c r="C172" s="205"/>
      <c r="D172" s="205"/>
      <c r="E172" s="205"/>
      <c r="F172" s="205"/>
      <c r="G172" s="205"/>
      <c r="H172" s="205"/>
      <c r="I172" s="205"/>
      <c r="J172" s="205"/>
      <c r="K172" s="205"/>
      <c r="L172" s="205"/>
      <c r="M172" s="205"/>
      <c r="N172" s="205"/>
      <c r="O172" s="205"/>
      <c r="P172" s="205"/>
      <c r="Q172" s="205"/>
      <c r="R172" s="205"/>
      <c r="S172" s="205"/>
      <c r="T172" s="205"/>
      <c r="U172" s="205"/>
      <c r="V172" s="205"/>
      <c r="W172" s="205"/>
      <c r="X172" s="205"/>
      <c r="Y172" s="205"/>
      <c r="Z172" s="205"/>
    </row>
    <row r="173" ht="12.75" customHeight="1">
      <c r="A173" s="205"/>
      <c r="B173" s="205"/>
      <c r="C173" s="205"/>
      <c r="D173" s="205"/>
      <c r="E173" s="205"/>
      <c r="F173" s="205"/>
      <c r="G173" s="205"/>
      <c r="H173" s="205"/>
      <c r="I173" s="205"/>
      <c r="J173" s="205"/>
      <c r="K173" s="205"/>
      <c r="L173" s="205"/>
      <c r="M173" s="205"/>
      <c r="N173" s="205"/>
      <c r="O173" s="205"/>
      <c r="P173" s="205"/>
      <c r="Q173" s="205"/>
      <c r="R173" s="205"/>
      <c r="S173" s="205"/>
      <c r="T173" s="205"/>
      <c r="U173" s="205"/>
      <c r="V173" s="205"/>
      <c r="W173" s="205"/>
      <c r="X173" s="205"/>
      <c r="Y173" s="205"/>
      <c r="Z173" s="205"/>
    </row>
    <row r="174" ht="12.75" customHeight="1">
      <c r="A174" s="205"/>
      <c r="B174" s="205"/>
      <c r="C174" s="205"/>
      <c r="D174" s="205"/>
      <c r="E174" s="205"/>
      <c r="F174" s="205"/>
      <c r="G174" s="205"/>
      <c r="H174" s="205"/>
      <c r="I174" s="205"/>
      <c r="J174" s="205"/>
      <c r="K174" s="205"/>
      <c r="L174" s="205"/>
      <c r="M174" s="205"/>
      <c r="N174" s="205"/>
      <c r="O174" s="205"/>
      <c r="P174" s="205"/>
      <c r="Q174" s="205"/>
      <c r="R174" s="205"/>
      <c r="S174" s="205"/>
      <c r="T174" s="205"/>
      <c r="U174" s="205"/>
      <c r="V174" s="205"/>
      <c r="W174" s="205"/>
      <c r="X174" s="205"/>
      <c r="Y174" s="205"/>
      <c r="Z174" s="205"/>
    </row>
    <row r="175" ht="12.75" customHeight="1">
      <c r="A175" s="205"/>
      <c r="B175" s="205"/>
      <c r="C175" s="205"/>
      <c r="D175" s="205"/>
      <c r="E175" s="205"/>
      <c r="F175" s="205"/>
      <c r="G175" s="205"/>
      <c r="H175" s="205"/>
      <c r="I175" s="205"/>
      <c r="J175" s="205"/>
      <c r="K175" s="205"/>
      <c r="L175" s="205"/>
      <c r="M175" s="205"/>
      <c r="N175" s="205"/>
      <c r="O175" s="205"/>
      <c r="P175" s="205"/>
      <c r="Q175" s="205"/>
      <c r="R175" s="205"/>
      <c r="S175" s="205"/>
      <c r="T175" s="205"/>
      <c r="U175" s="205"/>
      <c r="V175" s="205"/>
      <c r="W175" s="205"/>
      <c r="X175" s="205"/>
      <c r="Y175" s="205"/>
      <c r="Z175" s="205"/>
    </row>
    <row r="176" ht="12.75" customHeight="1">
      <c r="A176" s="205"/>
      <c r="B176" s="205"/>
      <c r="C176" s="205"/>
      <c r="D176" s="205"/>
      <c r="E176" s="205"/>
      <c r="F176" s="205"/>
      <c r="G176" s="205"/>
      <c r="H176" s="205"/>
      <c r="I176" s="205"/>
      <c r="J176" s="205"/>
      <c r="K176" s="205"/>
      <c r="L176" s="205"/>
      <c r="M176" s="205"/>
      <c r="N176" s="205"/>
      <c r="O176" s="205"/>
      <c r="P176" s="205"/>
      <c r="Q176" s="205"/>
      <c r="R176" s="205"/>
      <c r="S176" s="205"/>
      <c r="T176" s="205"/>
      <c r="U176" s="205"/>
      <c r="V176" s="205"/>
      <c r="W176" s="205"/>
      <c r="X176" s="205"/>
      <c r="Y176" s="205"/>
      <c r="Z176" s="205"/>
    </row>
    <row r="177" ht="12.75" customHeight="1">
      <c r="A177" s="205"/>
      <c r="B177" s="205"/>
      <c r="C177" s="205"/>
      <c r="D177" s="205"/>
      <c r="E177" s="205"/>
      <c r="F177" s="205"/>
      <c r="G177" s="205"/>
      <c r="H177" s="205"/>
      <c r="I177" s="205"/>
      <c r="J177" s="205"/>
      <c r="K177" s="205"/>
      <c r="L177" s="205"/>
      <c r="M177" s="205"/>
      <c r="N177" s="205"/>
      <c r="O177" s="205"/>
      <c r="P177" s="205"/>
      <c r="Q177" s="205"/>
      <c r="R177" s="205"/>
      <c r="S177" s="205"/>
      <c r="T177" s="205"/>
      <c r="U177" s="205"/>
      <c r="V177" s="205"/>
      <c r="W177" s="205"/>
      <c r="X177" s="205"/>
      <c r="Y177" s="205"/>
      <c r="Z177" s="205"/>
    </row>
    <row r="178" ht="12.75" customHeight="1">
      <c r="A178" s="205"/>
      <c r="B178" s="205"/>
      <c r="C178" s="205"/>
      <c r="D178" s="205"/>
      <c r="E178" s="205"/>
      <c r="F178" s="205"/>
      <c r="G178" s="205"/>
      <c r="H178" s="205"/>
      <c r="I178" s="205"/>
      <c r="J178" s="205"/>
      <c r="K178" s="205"/>
      <c r="L178" s="205"/>
      <c r="M178" s="205"/>
      <c r="N178" s="205"/>
      <c r="O178" s="205"/>
      <c r="P178" s="205"/>
      <c r="Q178" s="205"/>
      <c r="R178" s="205"/>
      <c r="S178" s="205"/>
      <c r="T178" s="205"/>
      <c r="U178" s="205"/>
      <c r="V178" s="205"/>
      <c r="W178" s="205"/>
      <c r="X178" s="205"/>
      <c r="Y178" s="205"/>
      <c r="Z178" s="205"/>
    </row>
    <row r="179" ht="12.75" customHeight="1">
      <c r="A179" s="205"/>
      <c r="B179" s="205"/>
      <c r="C179" s="205"/>
      <c r="D179" s="205"/>
      <c r="E179" s="205"/>
      <c r="F179" s="205"/>
      <c r="G179" s="205"/>
      <c r="H179" s="205"/>
      <c r="I179" s="205"/>
      <c r="J179" s="205"/>
      <c r="K179" s="205"/>
      <c r="L179" s="205"/>
      <c r="M179" s="205"/>
      <c r="N179" s="205"/>
      <c r="O179" s="205"/>
      <c r="P179" s="205"/>
      <c r="Q179" s="205"/>
      <c r="R179" s="205"/>
      <c r="S179" s="205"/>
      <c r="T179" s="205"/>
      <c r="U179" s="205"/>
      <c r="V179" s="205"/>
      <c r="W179" s="205"/>
      <c r="X179" s="205"/>
      <c r="Y179" s="205"/>
      <c r="Z179" s="205"/>
    </row>
    <row r="180" ht="12.75" customHeight="1">
      <c r="A180" s="205"/>
      <c r="B180" s="205"/>
      <c r="C180" s="205"/>
      <c r="D180" s="205"/>
      <c r="E180" s="205"/>
      <c r="F180" s="205"/>
      <c r="G180" s="205"/>
      <c r="H180" s="205"/>
      <c r="I180" s="205"/>
      <c r="J180" s="205"/>
      <c r="K180" s="205"/>
      <c r="L180" s="205"/>
      <c r="M180" s="205"/>
      <c r="N180" s="205"/>
      <c r="O180" s="205"/>
      <c r="P180" s="205"/>
      <c r="Q180" s="205"/>
      <c r="R180" s="205"/>
      <c r="S180" s="205"/>
      <c r="T180" s="205"/>
      <c r="U180" s="205"/>
      <c r="V180" s="205"/>
      <c r="W180" s="205"/>
      <c r="X180" s="205"/>
      <c r="Y180" s="205"/>
      <c r="Z180" s="205"/>
    </row>
    <row r="181" ht="12.75" customHeight="1">
      <c r="A181" s="205"/>
      <c r="B181" s="205"/>
      <c r="C181" s="205"/>
      <c r="D181" s="205"/>
      <c r="E181" s="205"/>
      <c r="F181" s="205"/>
      <c r="G181" s="205"/>
      <c r="H181" s="205"/>
      <c r="I181" s="205"/>
      <c r="J181" s="205"/>
      <c r="K181" s="205"/>
      <c r="L181" s="205"/>
      <c r="M181" s="205"/>
      <c r="N181" s="205"/>
      <c r="O181" s="205"/>
      <c r="P181" s="205"/>
      <c r="Q181" s="205"/>
      <c r="R181" s="205"/>
      <c r="S181" s="205"/>
      <c r="T181" s="205"/>
      <c r="U181" s="205"/>
      <c r="V181" s="205"/>
      <c r="W181" s="205"/>
      <c r="X181" s="205"/>
      <c r="Y181" s="205"/>
      <c r="Z181" s="205"/>
    </row>
    <row r="182" ht="12.75" customHeight="1">
      <c r="A182" s="205"/>
      <c r="B182" s="205"/>
      <c r="C182" s="205"/>
      <c r="D182" s="205"/>
      <c r="E182" s="205"/>
      <c r="F182" s="205"/>
      <c r="G182" s="205"/>
      <c r="H182" s="205"/>
      <c r="I182" s="205"/>
      <c r="J182" s="205"/>
      <c r="K182" s="205"/>
      <c r="L182" s="205"/>
      <c r="M182" s="205"/>
      <c r="N182" s="205"/>
      <c r="O182" s="205"/>
      <c r="P182" s="205"/>
      <c r="Q182" s="205"/>
      <c r="R182" s="205"/>
      <c r="S182" s="205"/>
      <c r="T182" s="205"/>
      <c r="U182" s="205"/>
      <c r="V182" s="205"/>
      <c r="W182" s="205"/>
      <c r="X182" s="205"/>
      <c r="Y182" s="205"/>
      <c r="Z182" s="205"/>
    </row>
    <row r="183" ht="12.75" customHeight="1">
      <c r="A183" s="205"/>
      <c r="B183" s="205"/>
      <c r="C183" s="205"/>
      <c r="D183" s="205"/>
      <c r="E183" s="205"/>
      <c r="F183" s="205"/>
      <c r="G183" s="205"/>
      <c r="H183" s="205"/>
      <c r="I183" s="205"/>
      <c r="J183" s="205"/>
      <c r="K183" s="205"/>
      <c r="L183" s="205"/>
      <c r="M183" s="205"/>
      <c r="N183" s="205"/>
      <c r="O183" s="205"/>
      <c r="P183" s="205"/>
      <c r="Q183" s="205"/>
      <c r="R183" s="205"/>
      <c r="S183" s="205"/>
      <c r="T183" s="205"/>
      <c r="U183" s="205"/>
      <c r="V183" s="205"/>
      <c r="W183" s="205"/>
      <c r="X183" s="205"/>
      <c r="Y183" s="205"/>
      <c r="Z183" s="205"/>
    </row>
    <row r="184" ht="12.75" customHeight="1">
      <c r="A184" s="205"/>
      <c r="B184" s="205"/>
      <c r="C184" s="205"/>
      <c r="D184" s="205"/>
      <c r="E184" s="205"/>
      <c r="F184" s="205"/>
      <c r="G184" s="205"/>
      <c r="H184" s="205"/>
      <c r="I184" s="205"/>
      <c r="J184" s="205"/>
      <c r="K184" s="205"/>
      <c r="L184" s="205"/>
      <c r="M184" s="205"/>
      <c r="N184" s="205"/>
      <c r="O184" s="205"/>
      <c r="P184" s="205"/>
      <c r="Q184" s="205"/>
      <c r="R184" s="205"/>
      <c r="S184" s="205"/>
      <c r="T184" s="205"/>
      <c r="U184" s="205"/>
      <c r="V184" s="205"/>
      <c r="W184" s="205"/>
      <c r="X184" s="205"/>
      <c r="Y184" s="205"/>
      <c r="Z184" s="205"/>
    </row>
    <row r="185" ht="12.75" customHeight="1">
      <c r="A185" s="205"/>
      <c r="B185" s="205"/>
      <c r="C185" s="205"/>
      <c r="D185" s="205"/>
      <c r="E185" s="205"/>
      <c r="F185" s="205"/>
      <c r="G185" s="205"/>
      <c r="H185" s="205"/>
      <c r="I185" s="205"/>
      <c r="J185" s="205"/>
      <c r="K185" s="205"/>
      <c r="L185" s="205"/>
      <c r="M185" s="205"/>
      <c r="N185" s="205"/>
      <c r="O185" s="205"/>
      <c r="P185" s="205"/>
      <c r="Q185" s="205"/>
      <c r="R185" s="205"/>
      <c r="S185" s="205"/>
      <c r="T185" s="205"/>
      <c r="U185" s="205"/>
      <c r="V185" s="205"/>
      <c r="W185" s="205"/>
      <c r="X185" s="205"/>
      <c r="Y185" s="205"/>
      <c r="Z185" s="205"/>
    </row>
    <row r="186" ht="12.75" customHeight="1">
      <c r="A186" s="205"/>
      <c r="B186" s="205"/>
      <c r="C186" s="205"/>
      <c r="D186" s="205"/>
      <c r="E186" s="205"/>
      <c r="F186" s="205"/>
      <c r="G186" s="205"/>
      <c r="H186" s="205"/>
      <c r="I186" s="205"/>
      <c r="J186" s="205"/>
      <c r="K186" s="205"/>
      <c r="L186" s="205"/>
      <c r="M186" s="205"/>
      <c r="N186" s="205"/>
      <c r="O186" s="205"/>
      <c r="P186" s="205"/>
      <c r="Q186" s="205"/>
      <c r="R186" s="205"/>
      <c r="S186" s="205"/>
      <c r="T186" s="205"/>
      <c r="U186" s="205"/>
      <c r="V186" s="205"/>
      <c r="W186" s="205"/>
      <c r="X186" s="205"/>
      <c r="Y186" s="205"/>
      <c r="Z186" s="205"/>
    </row>
    <row r="187" ht="12.75" customHeight="1">
      <c r="A187" s="205"/>
      <c r="B187" s="205"/>
      <c r="C187" s="205"/>
      <c r="D187" s="205"/>
      <c r="E187" s="205"/>
      <c r="F187" s="205"/>
      <c r="G187" s="205"/>
      <c r="H187" s="205"/>
      <c r="I187" s="205"/>
      <c r="J187" s="205"/>
      <c r="K187" s="205"/>
      <c r="L187" s="205"/>
      <c r="M187" s="205"/>
      <c r="N187" s="205"/>
      <c r="O187" s="205"/>
      <c r="P187" s="205"/>
      <c r="Q187" s="205"/>
      <c r="R187" s="205"/>
      <c r="S187" s="205"/>
      <c r="T187" s="205"/>
      <c r="U187" s="205"/>
      <c r="V187" s="205"/>
      <c r="W187" s="205"/>
      <c r="X187" s="205"/>
      <c r="Y187" s="205"/>
      <c r="Z187" s="205"/>
    </row>
    <row r="188" ht="12.75" customHeight="1">
      <c r="A188" s="205"/>
      <c r="B188" s="205"/>
      <c r="C188" s="205"/>
      <c r="D188" s="205"/>
      <c r="E188" s="205"/>
      <c r="F188" s="205"/>
      <c r="G188" s="205"/>
      <c r="H188" s="205"/>
      <c r="I188" s="205"/>
      <c r="J188" s="205"/>
      <c r="K188" s="205"/>
      <c r="L188" s="205"/>
      <c r="M188" s="205"/>
      <c r="N188" s="205"/>
      <c r="O188" s="205"/>
      <c r="P188" s="205"/>
      <c r="Q188" s="205"/>
      <c r="R188" s="205"/>
      <c r="S188" s="205"/>
      <c r="T188" s="205"/>
      <c r="U188" s="205"/>
      <c r="V188" s="205"/>
      <c r="W188" s="205"/>
      <c r="X188" s="205"/>
      <c r="Y188" s="205"/>
      <c r="Z188" s="205"/>
    </row>
    <row r="189" ht="12.75" customHeight="1">
      <c r="A189" s="205"/>
      <c r="B189" s="205"/>
      <c r="C189" s="205"/>
      <c r="D189" s="205"/>
      <c r="E189" s="205"/>
      <c r="F189" s="205"/>
      <c r="G189" s="205"/>
      <c r="H189" s="205"/>
      <c r="I189" s="205"/>
      <c r="J189" s="205"/>
      <c r="K189" s="205"/>
      <c r="L189" s="205"/>
      <c r="M189" s="205"/>
      <c r="N189" s="205"/>
      <c r="O189" s="205"/>
      <c r="P189" s="205"/>
      <c r="Q189" s="205"/>
      <c r="R189" s="205"/>
      <c r="S189" s="205"/>
      <c r="T189" s="205"/>
      <c r="U189" s="205"/>
      <c r="V189" s="205"/>
      <c r="W189" s="205"/>
      <c r="X189" s="205"/>
      <c r="Y189" s="205"/>
      <c r="Z189" s="205"/>
    </row>
    <row r="190" ht="12.75" customHeight="1">
      <c r="A190" s="205"/>
      <c r="B190" s="205"/>
      <c r="C190" s="205"/>
      <c r="D190" s="205"/>
      <c r="E190" s="205"/>
      <c r="F190" s="205"/>
      <c r="G190" s="205"/>
      <c r="H190" s="205"/>
      <c r="I190" s="205"/>
      <c r="J190" s="205"/>
      <c r="K190" s="205"/>
      <c r="L190" s="205"/>
      <c r="M190" s="205"/>
      <c r="N190" s="205"/>
      <c r="O190" s="205"/>
      <c r="P190" s="205"/>
      <c r="Q190" s="205"/>
      <c r="R190" s="205"/>
      <c r="S190" s="205"/>
      <c r="T190" s="205"/>
      <c r="U190" s="205"/>
      <c r="V190" s="205"/>
      <c r="W190" s="205"/>
      <c r="X190" s="205"/>
      <c r="Y190" s="205"/>
      <c r="Z190" s="205"/>
    </row>
    <row r="191" ht="12.75" customHeight="1">
      <c r="A191" s="205"/>
      <c r="B191" s="205"/>
      <c r="C191" s="205"/>
      <c r="D191" s="205"/>
      <c r="E191" s="205"/>
      <c r="F191" s="205"/>
      <c r="G191" s="205"/>
      <c r="H191" s="205"/>
      <c r="I191" s="205"/>
      <c r="J191" s="205"/>
      <c r="K191" s="205"/>
      <c r="L191" s="205"/>
      <c r="M191" s="205"/>
      <c r="N191" s="205"/>
      <c r="O191" s="205"/>
      <c r="P191" s="205"/>
      <c r="Q191" s="205"/>
      <c r="R191" s="205"/>
      <c r="S191" s="205"/>
      <c r="T191" s="205"/>
      <c r="U191" s="205"/>
      <c r="V191" s="205"/>
      <c r="W191" s="205"/>
      <c r="X191" s="205"/>
      <c r="Y191" s="205"/>
      <c r="Z191" s="205"/>
    </row>
    <row r="192" ht="12.75" customHeight="1">
      <c r="A192" s="205"/>
      <c r="B192" s="205"/>
      <c r="C192" s="205"/>
      <c r="D192" s="205"/>
      <c r="E192" s="205"/>
      <c r="F192" s="205"/>
      <c r="G192" s="205"/>
      <c r="H192" s="205"/>
      <c r="I192" s="205"/>
      <c r="J192" s="205"/>
      <c r="K192" s="205"/>
      <c r="L192" s="205"/>
      <c r="M192" s="205"/>
      <c r="N192" s="205"/>
      <c r="O192" s="205"/>
      <c r="P192" s="205"/>
      <c r="Q192" s="205"/>
      <c r="R192" s="205"/>
      <c r="S192" s="205"/>
      <c r="T192" s="205"/>
      <c r="U192" s="205"/>
      <c r="V192" s="205"/>
      <c r="W192" s="205"/>
      <c r="X192" s="205"/>
      <c r="Y192" s="205"/>
      <c r="Z192" s="205"/>
    </row>
    <row r="193" ht="12.75" customHeight="1">
      <c r="A193" s="205"/>
      <c r="B193" s="205"/>
      <c r="C193" s="205"/>
      <c r="D193" s="205"/>
      <c r="E193" s="205"/>
      <c r="F193" s="205"/>
      <c r="G193" s="205"/>
      <c r="H193" s="205"/>
      <c r="I193" s="205"/>
      <c r="J193" s="205"/>
      <c r="K193" s="205"/>
      <c r="L193" s="205"/>
      <c r="M193" s="205"/>
      <c r="N193" s="205"/>
      <c r="O193" s="205"/>
      <c r="P193" s="205"/>
      <c r="Q193" s="205"/>
      <c r="R193" s="205"/>
      <c r="S193" s="205"/>
      <c r="T193" s="205"/>
      <c r="U193" s="205"/>
      <c r="V193" s="205"/>
      <c r="W193" s="205"/>
      <c r="X193" s="205"/>
      <c r="Y193" s="205"/>
      <c r="Z193" s="205"/>
    </row>
    <row r="194" ht="12.75" customHeight="1">
      <c r="A194" s="205"/>
      <c r="B194" s="205"/>
      <c r="C194" s="205"/>
      <c r="D194" s="205"/>
      <c r="E194" s="205"/>
      <c r="F194" s="205"/>
      <c r="G194" s="205"/>
      <c r="H194" s="205"/>
      <c r="I194" s="205"/>
      <c r="J194" s="205"/>
      <c r="K194" s="205"/>
      <c r="L194" s="205"/>
      <c r="M194" s="205"/>
      <c r="N194" s="205"/>
      <c r="O194" s="205"/>
      <c r="P194" s="205"/>
      <c r="Q194" s="205"/>
      <c r="R194" s="205"/>
      <c r="S194" s="205"/>
      <c r="T194" s="205"/>
      <c r="U194" s="205"/>
      <c r="V194" s="205"/>
      <c r="W194" s="205"/>
      <c r="X194" s="205"/>
      <c r="Y194" s="205"/>
      <c r="Z194" s="205"/>
    </row>
    <row r="195" ht="12.75" customHeight="1">
      <c r="A195" s="205"/>
      <c r="B195" s="205"/>
      <c r="C195" s="205"/>
      <c r="D195" s="205"/>
      <c r="E195" s="205"/>
      <c r="F195" s="205"/>
      <c r="G195" s="205"/>
      <c r="H195" s="205"/>
      <c r="I195" s="205"/>
      <c r="J195" s="205"/>
      <c r="K195" s="205"/>
      <c r="L195" s="205"/>
      <c r="M195" s="205"/>
      <c r="N195" s="205"/>
      <c r="O195" s="205"/>
      <c r="P195" s="205"/>
      <c r="Q195" s="205"/>
      <c r="R195" s="205"/>
      <c r="S195" s="205"/>
      <c r="T195" s="205"/>
      <c r="U195" s="205"/>
      <c r="V195" s="205"/>
      <c r="W195" s="205"/>
      <c r="X195" s="205"/>
      <c r="Y195" s="205"/>
      <c r="Z195" s="205"/>
    </row>
    <row r="196" ht="12.75" customHeight="1">
      <c r="A196" s="205"/>
      <c r="B196" s="205"/>
      <c r="C196" s="205"/>
      <c r="D196" s="205"/>
      <c r="E196" s="205"/>
      <c r="F196" s="205"/>
      <c r="G196" s="205"/>
      <c r="H196" s="205"/>
      <c r="I196" s="205"/>
      <c r="J196" s="205"/>
      <c r="K196" s="205"/>
      <c r="L196" s="205"/>
      <c r="M196" s="205"/>
      <c r="N196" s="205"/>
      <c r="O196" s="205"/>
      <c r="P196" s="205"/>
      <c r="Q196" s="205"/>
      <c r="R196" s="205"/>
      <c r="S196" s="205"/>
      <c r="T196" s="205"/>
      <c r="U196" s="205"/>
      <c r="V196" s="205"/>
      <c r="W196" s="205"/>
      <c r="X196" s="205"/>
      <c r="Y196" s="205"/>
      <c r="Z196" s="205"/>
    </row>
    <row r="197" ht="12.75" customHeight="1">
      <c r="A197" s="205"/>
      <c r="B197" s="205"/>
      <c r="C197" s="205"/>
      <c r="D197" s="205"/>
      <c r="E197" s="205"/>
      <c r="F197" s="205"/>
      <c r="G197" s="205"/>
      <c r="H197" s="205"/>
      <c r="I197" s="205"/>
      <c r="J197" s="205"/>
      <c r="K197" s="205"/>
      <c r="L197" s="205"/>
      <c r="M197" s="205"/>
      <c r="N197" s="205"/>
      <c r="O197" s="205"/>
      <c r="P197" s="205"/>
      <c r="Q197" s="205"/>
      <c r="R197" s="205"/>
      <c r="S197" s="205"/>
      <c r="T197" s="205"/>
      <c r="U197" s="205"/>
      <c r="V197" s="205"/>
      <c r="W197" s="205"/>
      <c r="X197" s="205"/>
      <c r="Y197" s="205"/>
      <c r="Z197" s="205"/>
    </row>
    <row r="198" ht="12.75" customHeight="1">
      <c r="A198" s="205"/>
      <c r="B198" s="205"/>
      <c r="C198" s="205"/>
      <c r="D198" s="205"/>
      <c r="E198" s="205"/>
      <c r="F198" s="205"/>
      <c r="G198" s="205"/>
      <c r="H198" s="205"/>
      <c r="I198" s="205"/>
      <c r="J198" s="205"/>
      <c r="K198" s="205"/>
      <c r="L198" s="205"/>
      <c r="M198" s="205"/>
      <c r="N198" s="205"/>
      <c r="O198" s="205"/>
      <c r="P198" s="205"/>
      <c r="Q198" s="205"/>
      <c r="R198" s="205"/>
      <c r="S198" s="205"/>
      <c r="T198" s="205"/>
      <c r="U198" s="205"/>
      <c r="V198" s="205"/>
      <c r="W198" s="205"/>
      <c r="X198" s="205"/>
      <c r="Y198" s="205"/>
      <c r="Z198" s="205"/>
    </row>
    <row r="199" ht="12.75" customHeight="1">
      <c r="A199" s="205"/>
      <c r="B199" s="205"/>
      <c r="C199" s="205"/>
      <c r="D199" s="205"/>
      <c r="E199" s="205"/>
      <c r="F199" s="205"/>
      <c r="G199" s="205"/>
      <c r="H199" s="205"/>
      <c r="I199" s="205"/>
      <c r="J199" s="205"/>
      <c r="K199" s="205"/>
      <c r="L199" s="205"/>
      <c r="M199" s="205"/>
      <c r="N199" s="205"/>
      <c r="O199" s="205"/>
      <c r="P199" s="205"/>
      <c r="Q199" s="205"/>
      <c r="R199" s="205"/>
      <c r="S199" s="205"/>
      <c r="T199" s="205"/>
      <c r="U199" s="205"/>
      <c r="V199" s="205"/>
      <c r="W199" s="205"/>
      <c r="X199" s="205"/>
      <c r="Y199" s="205"/>
      <c r="Z199" s="205"/>
    </row>
    <row r="200" ht="12.75" customHeight="1">
      <c r="A200" s="205"/>
      <c r="B200" s="205"/>
      <c r="C200" s="205"/>
      <c r="D200" s="205"/>
      <c r="E200" s="205"/>
      <c r="F200" s="205"/>
      <c r="G200" s="205"/>
      <c r="H200" s="205"/>
      <c r="I200" s="205"/>
      <c r="J200" s="205"/>
      <c r="K200" s="205"/>
      <c r="L200" s="205"/>
      <c r="M200" s="205"/>
      <c r="N200" s="205"/>
      <c r="O200" s="205"/>
      <c r="P200" s="205"/>
      <c r="Q200" s="205"/>
      <c r="R200" s="205"/>
      <c r="S200" s="205"/>
      <c r="T200" s="205"/>
      <c r="U200" s="205"/>
      <c r="V200" s="205"/>
      <c r="W200" s="205"/>
      <c r="X200" s="205"/>
      <c r="Y200" s="205"/>
      <c r="Z200" s="205"/>
    </row>
    <row r="201" ht="12.75" customHeight="1">
      <c r="A201" s="205"/>
      <c r="B201" s="205"/>
      <c r="C201" s="205"/>
      <c r="D201" s="205"/>
      <c r="E201" s="205"/>
      <c r="F201" s="205"/>
      <c r="G201" s="205"/>
      <c r="H201" s="205"/>
      <c r="I201" s="205"/>
      <c r="J201" s="205"/>
      <c r="K201" s="205"/>
      <c r="L201" s="205"/>
      <c r="M201" s="205"/>
      <c r="N201" s="205"/>
      <c r="O201" s="205"/>
      <c r="P201" s="205"/>
      <c r="Q201" s="205"/>
      <c r="R201" s="205"/>
      <c r="S201" s="205"/>
      <c r="T201" s="205"/>
      <c r="U201" s="205"/>
      <c r="V201" s="205"/>
      <c r="W201" s="205"/>
      <c r="X201" s="205"/>
      <c r="Y201" s="205"/>
      <c r="Z201" s="205"/>
    </row>
    <row r="202" ht="12.75" customHeight="1">
      <c r="A202" s="205"/>
      <c r="B202" s="205"/>
      <c r="C202" s="205"/>
      <c r="D202" s="205"/>
      <c r="E202" s="205"/>
      <c r="F202" s="205"/>
      <c r="G202" s="205"/>
      <c r="H202" s="205"/>
      <c r="I202" s="205"/>
      <c r="J202" s="205"/>
      <c r="K202" s="205"/>
      <c r="L202" s="205"/>
      <c r="M202" s="205"/>
      <c r="N202" s="205"/>
      <c r="O202" s="205"/>
      <c r="P202" s="205"/>
      <c r="Q202" s="205"/>
      <c r="R202" s="205"/>
      <c r="S202" s="205"/>
      <c r="T202" s="205"/>
      <c r="U202" s="205"/>
      <c r="V202" s="205"/>
      <c r="W202" s="205"/>
      <c r="X202" s="205"/>
      <c r="Y202" s="205"/>
      <c r="Z202" s="205"/>
    </row>
    <row r="203" ht="12.75" customHeight="1">
      <c r="A203" s="205"/>
      <c r="B203" s="205"/>
      <c r="C203" s="205"/>
      <c r="D203" s="205"/>
      <c r="E203" s="205"/>
      <c r="F203" s="205"/>
      <c r="G203" s="205"/>
      <c r="H203" s="205"/>
      <c r="I203" s="205"/>
      <c r="J203" s="205"/>
      <c r="K203" s="205"/>
      <c r="L203" s="205"/>
      <c r="M203" s="205"/>
      <c r="N203" s="205"/>
      <c r="O203" s="205"/>
      <c r="P203" s="205"/>
      <c r="Q203" s="205"/>
      <c r="R203" s="205"/>
      <c r="S203" s="205"/>
      <c r="T203" s="205"/>
      <c r="U203" s="205"/>
      <c r="V203" s="205"/>
      <c r="W203" s="205"/>
      <c r="X203" s="205"/>
      <c r="Y203" s="205"/>
      <c r="Z203" s="205"/>
    </row>
    <row r="204" ht="12.75" customHeight="1">
      <c r="A204" s="205"/>
      <c r="B204" s="205"/>
      <c r="C204" s="205"/>
      <c r="D204" s="205"/>
      <c r="E204" s="205"/>
      <c r="F204" s="205"/>
      <c r="G204" s="205"/>
      <c r="H204" s="205"/>
      <c r="I204" s="205"/>
      <c r="J204" s="205"/>
      <c r="K204" s="205"/>
      <c r="L204" s="205"/>
      <c r="M204" s="205"/>
      <c r="N204" s="205"/>
      <c r="O204" s="205"/>
      <c r="P204" s="205"/>
      <c r="Q204" s="205"/>
      <c r="R204" s="205"/>
      <c r="S204" s="205"/>
      <c r="T204" s="205"/>
      <c r="U204" s="205"/>
      <c r="V204" s="205"/>
      <c r="W204" s="205"/>
      <c r="X204" s="205"/>
      <c r="Y204" s="205"/>
      <c r="Z204" s="205"/>
    </row>
    <row r="205" ht="12.75" customHeight="1">
      <c r="A205" s="205"/>
      <c r="B205" s="205"/>
      <c r="C205" s="205"/>
      <c r="D205" s="205"/>
      <c r="E205" s="205"/>
      <c r="F205" s="205"/>
      <c r="G205" s="205"/>
      <c r="H205" s="205"/>
      <c r="I205" s="205"/>
      <c r="J205" s="205"/>
      <c r="K205" s="205"/>
      <c r="L205" s="205"/>
      <c r="M205" s="205"/>
      <c r="N205" s="205"/>
      <c r="O205" s="205"/>
      <c r="P205" s="205"/>
      <c r="Q205" s="205"/>
      <c r="R205" s="205"/>
      <c r="S205" s="205"/>
      <c r="T205" s="205"/>
      <c r="U205" s="205"/>
      <c r="V205" s="205"/>
      <c r="W205" s="205"/>
      <c r="X205" s="205"/>
      <c r="Y205" s="205"/>
      <c r="Z205" s="205"/>
    </row>
    <row r="206" ht="12.75" customHeight="1">
      <c r="A206" s="205"/>
      <c r="B206" s="205"/>
      <c r="C206" s="205"/>
      <c r="D206" s="205"/>
      <c r="E206" s="205"/>
      <c r="F206" s="205"/>
      <c r="G206" s="205"/>
      <c r="H206" s="205"/>
      <c r="I206" s="205"/>
      <c r="J206" s="205"/>
      <c r="K206" s="205"/>
      <c r="L206" s="205"/>
      <c r="M206" s="205"/>
      <c r="N206" s="205"/>
      <c r="O206" s="205"/>
      <c r="P206" s="205"/>
      <c r="Q206" s="205"/>
      <c r="R206" s="205"/>
      <c r="S206" s="205"/>
      <c r="T206" s="205"/>
      <c r="U206" s="205"/>
      <c r="V206" s="205"/>
      <c r="W206" s="205"/>
      <c r="X206" s="205"/>
      <c r="Y206" s="205"/>
      <c r="Z206" s="205"/>
    </row>
    <row r="207" ht="12.75" customHeight="1">
      <c r="A207" s="205"/>
      <c r="B207" s="205"/>
      <c r="C207" s="205"/>
      <c r="D207" s="205"/>
      <c r="E207" s="205"/>
      <c r="F207" s="205"/>
      <c r="G207" s="205"/>
      <c r="H207" s="205"/>
      <c r="I207" s="205"/>
      <c r="J207" s="205"/>
      <c r="K207" s="205"/>
      <c r="L207" s="205"/>
      <c r="M207" s="205"/>
      <c r="N207" s="205"/>
      <c r="O207" s="205"/>
      <c r="P207" s="205"/>
      <c r="Q207" s="205"/>
      <c r="R207" s="205"/>
      <c r="S207" s="205"/>
      <c r="T207" s="205"/>
      <c r="U207" s="205"/>
      <c r="V207" s="205"/>
      <c r="W207" s="205"/>
      <c r="X207" s="205"/>
      <c r="Y207" s="205"/>
      <c r="Z207" s="205"/>
    </row>
    <row r="208" ht="12.75" customHeight="1">
      <c r="A208" s="205"/>
      <c r="B208" s="205"/>
      <c r="C208" s="205"/>
      <c r="D208" s="205"/>
      <c r="E208" s="205"/>
      <c r="F208" s="205"/>
      <c r="G208" s="205"/>
      <c r="H208" s="205"/>
      <c r="I208" s="205"/>
      <c r="J208" s="205"/>
      <c r="K208" s="205"/>
      <c r="L208" s="205"/>
      <c r="M208" s="205"/>
      <c r="N208" s="205"/>
      <c r="O208" s="205"/>
      <c r="P208" s="205"/>
      <c r="Q208" s="205"/>
      <c r="R208" s="205"/>
      <c r="S208" s="205"/>
      <c r="T208" s="205"/>
      <c r="U208" s="205"/>
      <c r="V208" s="205"/>
      <c r="W208" s="205"/>
      <c r="X208" s="205"/>
      <c r="Y208" s="205"/>
      <c r="Z208" s="205"/>
    </row>
    <row r="209" ht="12.75" customHeight="1">
      <c r="A209" s="205"/>
      <c r="B209" s="205"/>
      <c r="C209" s="205"/>
      <c r="D209" s="205"/>
      <c r="E209" s="205"/>
      <c r="F209" s="205"/>
      <c r="G209" s="205"/>
      <c r="H209" s="205"/>
      <c r="I209" s="205"/>
      <c r="J209" s="205"/>
      <c r="K209" s="205"/>
      <c r="L209" s="205"/>
      <c r="M209" s="205"/>
      <c r="N209" s="205"/>
      <c r="O209" s="205"/>
      <c r="P209" s="205"/>
      <c r="Q209" s="205"/>
      <c r="R209" s="205"/>
      <c r="S209" s="205"/>
      <c r="T209" s="205"/>
      <c r="U209" s="205"/>
      <c r="V209" s="205"/>
      <c r="W209" s="205"/>
      <c r="X209" s="205"/>
      <c r="Y209" s="205"/>
      <c r="Z209" s="205"/>
    </row>
    <row r="210" ht="12.75" customHeight="1">
      <c r="A210" s="205"/>
      <c r="B210" s="205"/>
      <c r="C210" s="205"/>
      <c r="D210" s="205"/>
      <c r="E210" s="205"/>
      <c r="F210" s="205"/>
      <c r="G210" s="205"/>
      <c r="H210" s="205"/>
      <c r="I210" s="205"/>
      <c r="J210" s="205"/>
      <c r="K210" s="205"/>
      <c r="L210" s="205"/>
      <c r="M210" s="205"/>
      <c r="N210" s="205"/>
      <c r="O210" s="205"/>
      <c r="P210" s="205"/>
      <c r="Q210" s="205"/>
      <c r="R210" s="205"/>
      <c r="S210" s="205"/>
      <c r="T210" s="205"/>
      <c r="U210" s="205"/>
      <c r="V210" s="205"/>
      <c r="W210" s="205"/>
      <c r="X210" s="205"/>
      <c r="Y210" s="205"/>
      <c r="Z210" s="205"/>
    </row>
    <row r="211" ht="12.75" customHeight="1">
      <c r="A211" s="205"/>
      <c r="B211" s="205"/>
      <c r="C211" s="205"/>
      <c r="D211" s="205"/>
      <c r="E211" s="205"/>
      <c r="F211" s="205"/>
      <c r="G211" s="205"/>
      <c r="H211" s="205"/>
      <c r="I211" s="205"/>
      <c r="J211" s="205"/>
      <c r="K211" s="205"/>
      <c r="L211" s="205"/>
      <c r="M211" s="205"/>
      <c r="N211" s="205"/>
      <c r="O211" s="205"/>
      <c r="P211" s="205"/>
      <c r="Q211" s="205"/>
      <c r="R211" s="205"/>
      <c r="S211" s="205"/>
      <c r="T211" s="205"/>
      <c r="U211" s="205"/>
      <c r="V211" s="205"/>
      <c r="W211" s="205"/>
      <c r="X211" s="205"/>
      <c r="Y211" s="205"/>
      <c r="Z211" s="205"/>
    </row>
    <row r="212" ht="12.75" customHeight="1">
      <c r="A212" s="205"/>
      <c r="B212" s="205"/>
      <c r="C212" s="205"/>
      <c r="D212" s="205"/>
      <c r="E212" s="205"/>
      <c r="F212" s="205"/>
      <c r="G212" s="205"/>
      <c r="H212" s="205"/>
      <c r="I212" s="205"/>
      <c r="J212" s="205"/>
      <c r="K212" s="205"/>
      <c r="L212" s="205"/>
      <c r="M212" s="205"/>
      <c r="N212" s="205"/>
      <c r="O212" s="205"/>
      <c r="P212" s="205"/>
      <c r="Q212" s="205"/>
      <c r="R212" s="205"/>
      <c r="S212" s="205"/>
      <c r="T212" s="205"/>
      <c r="U212" s="205"/>
      <c r="V212" s="205"/>
      <c r="W212" s="205"/>
      <c r="X212" s="205"/>
      <c r="Y212" s="205"/>
      <c r="Z212" s="205"/>
    </row>
    <row r="213" ht="12.75" customHeight="1">
      <c r="A213" s="205"/>
      <c r="B213" s="205"/>
      <c r="C213" s="205"/>
      <c r="D213" s="205"/>
      <c r="E213" s="205"/>
      <c r="F213" s="205"/>
      <c r="G213" s="205"/>
      <c r="H213" s="205"/>
      <c r="I213" s="205"/>
      <c r="J213" s="205"/>
      <c r="K213" s="205"/>
      <c r="L213" s="205"/>
      <c r="M213" s="205"/>
      <c r="N213" s="205"/>
      <c r="O213" s="205"/>
      <c r="P213" s="205"/>
      <c r="Q213" s="205"/>
      <c r="R213" s="205"/>
      <c r="S213" s="205"/>
      <c r="T213" s="205"/>
      <c r="U213" s="205"/>
      <c r="V213" s="205"/>
      <c r="W213" s="205"/>
      <c r="X213" s="205"/>
      <c r="Y213" s="205"/>
      <c r="Z213" s="205"/>
    </row>
    <row r="214" ht="12.75" customHeight="1">
      <c r="A214" s="205"/>
      <c r="B214" s="205"/>
      <c r="C214" s="205"/>
      <c r="D214" s="205"/>
      <c r="E214" s="205"/>
      <c r="F214" s="205"/>
      <c r="G214" s="205"/>
      <c r="H214" s="205"/>
      <c r="I214" s="205"/>
      <c r="J214" s="205"/>
      <c r="K214" s="205"/>
      <c r="L214" s="205"/>
      <c r="M214" s="205"/>
      <c r="N214" s="205"/>
      <c r="O214" s="205"/>
      <c r="P214" s="205"/>
      <c r="Q214" s="205"/>
      <c r="R214" s="205"/>
      <c r="S214" s="205"/>
      <c r="T214" s="205"/>
      <c r="U214" s="205"/>
      <c r="V214" s="205"/>
      <c r="W214" s="205"/>
      <c r="X214" s="205"/>
      <c r="Y214" s="205"/>
      <c r="Z214" s="205"/>
    </row>
    <row r="215" ht="12.75" customHeight="1">
      <c r="A215" s="205"/>
      <c r="B215" s="205"/>
      <c r="C215" s="205"/>
      <c r="D215" s="205"/>
      <c r="E215" s="205"/>
      <c r="F215" s="205"/>
      <c r="G215" s="205"/>
      <c r="H215" s="205"/>
      <c r="I215" s="205"/>
      <c r="J215" s="205"/>
      <c r="K215" s="205"/>
      <c r="L215" s="205"/>
      <c r="M215" s="205"/>
      <c r="N215" s="205"/>
      <c r="O215" s="205"/>
      <c r="P215" s="205"/>
      <c r="Q215" s="205"/>
      <c r="R215" s="205"/>
      <c r="S215" s="205"/>
      <c r="T215" s="205"/>
      <c r="U215" s="205"/>
      <c r="V215" s="205"/>
      <c r="W215" s="205"/>
      <c r="X215" s="205"/>
      <c r="Y215" s="205"/>
      <c r="Z215" s="205"/>
    </row>
    <row r="216" ht="12.75" customHeight="1">
      <c r="A216" s="205"/>
      <c r="B216" s="205"/>
      <c r="C216" s="205"/>
      <c r="D216" s="205"/>
      <c r="E216" s="205"/>
      <c r="F216" s="205"/>
      <c r="G216" s="205"/>
      <c r="H216" s="205"/>
      <c r="I216" s="205"/>
      <c r="J216" s="205"/>
      <c r="K216" s="205"/>
      <c r="L216" s="205"/>
      <c r="M216" s="205"/>
      <c r="N216" s="205"/>
      <c r="O216" s="205"/>
      <c r="P216" s="205"/>
      <c r="Q216" s="205"/>
      <c r="R216" s="205"/>
      <c r="S216" s="205"/>
      <c r="T216" s="205"/>
      <c r="U216" s="205"/>
      <c r="V216" s="205"/>
      <c r="W216" s="205"/>
      <c r="X216" s="205"/>
      <c r="Y216" s="205"/>
      <c r="Z216" s="205"/>
    </row>
    <row r="217" ht="12.75" customHeight="1">
      <c r="A217" s="205"/>
      <c r="B217" s="205"/>
      <c r="C217" s="205"/>
      <c r="D217" s="205"/>
      <c r="E217" s="205"/>
      <c r="F217" s="205"/>
      <c r="G217" s="205"/>
      <c r="H217" s="205"/>
      <c r="I217" s="205"/>
      <c r="J217" s="205"/>
      <c r="K217" s="205"/>
      <c r="L217" s="205"/>
      <c r="M217" s="205"/>
      <c r="N217" s="205"/>
      <c r="O217" s="205"/>
      <c r="P217" s="205"/>
      <c r="Q217" s="205"/>
      <c r="R217" s="205"/>
      <c r="S217" s="205"/>
      <c r="T217" s="205"/>
      <c r="U217" s="205"/>
      <c r="V217" s="205"/>
      <c r="W217" s="205"/>
      <c r="X217" s="205"/>
      <c r="Y217" s="205"/>
      <c r="Z217" s="205"/>
    </row>
    <row r="218" ht="12.75" customHeight="1">
      <c r="A218" s="205"/>
      <c r="B218" s="205"/>
      <c r="C218" s="205"/>
      <c r="D218" s="205"/>
      <c r="E218" s="205"/>
      <c r="F218" s="205"/>
      <c r="G218" s="205"/>
      <c r="H218" s="205"/>
      <c r="I218" s="205"/>
      <c r="J218" s="205"/>
      <c r="K218" s="205"/>
      <c r="L218" s="205"/>
      <c r="M218" s="205"/>
      <c r="N218" s="205"/>
      <c r="O218" s="205"/>
      <c r="P218" s="205"/>
      <c r="Q218" s="205"/>
      <c r="R218" s="205"/>
      <c r="S218" s="205"/>
      <c r="T218" s="205"/>
      <c r="U218" s="205"/>
      <c r="V218" s="205"/>
      <c r="W218" s="205"/>
      <c r="X218" s="205"/>
      <c r="Y218" s="205"/>
      <c r="Z218" s="205"/>
    </row>
    <row r="219" ht="12.75" customHeight="1">
      <c r="A219" s="205"/>
      <c r="B219" s="205"/>
      <c r="C219" s="205"/>
      <c r="D219" s="205"/>
      <c r="E219" s="205"/>
      <c r="F219" s="205"/>
      <c r="G219" s="205"/>
      <c r="H219" s="205"/>
      <c r="I219" s="205"/>
      <c r="J219" s="205"/>
      <c r="K219" s="205"/>
      <c r="L219" s="205"/>
      <c r="M219" s="205"/>
      <c r="N219" s="205"/>
      <c r="O219" s="205"/>
      <c r="P219" s="205"/>
      <c r="Q219" s="205"/>
      <c r="R219" s="205"/>
      <c r="S219" s="205"/>
      <c r="T219" s="205"/>
      <c r="U219" s="205"/>
      <c r="V219" s="205"/>
      <c r="W219" s="205"/>
      <c r="X219" s="205"/>
      <c r="Y219" s="205"/>
      <c r="Z219" s="205"/>
    </row>
    <row r="220" ht="12.75" customHeight="1">
      <c r="A220" s="205"/>
      <c r="B220" s="205"/>
      <c r="C220" s="205"/>
      <c r="D220" s="205"/>
      <c r="E220" s="205"/>
      <c r="F220" s="205"/>
      <c r="G220" s="205"/>
      <c r="H220" s="205"/>
      <c r="I220" s="205"/>
      <c r="J220" s="205"/>
      <c r="K220" s="205"/>
      <c r="L220" s="205"/>
      <c r="M220" s="205"/>
      <c r="N220" s="205"/>
      <c r="O220" s="205"/>
      <c r="P220" s="205"/>
      <c r="Q220" s="205"/>
      <c r="R220" s="205"/>
      <c r="S220" s="205"/>
      <c r="T220" s="205"/>
      <c r="U220" s="205"/>
      <c r="V220" s="205"/>
      <c r="W220" s="205"/>
      <c r="X220" s="205"/>
      <c r="Y220" s="205"/>
      <c r="Z220" s="205"/>
    </row>
    <row r="221" ht="12.75" customHeight="1">
      <c r="A221" s="205"/>
      <c r="B221" s="205"/>
      <c r="C221" s="205"/>
      <c r="D221" s="205"/>
      <c r="E221" s="205"/>
      <c r="F221" s="205"/>
      <c r="G221" s="205"/>
      <c r="H221" s="205"/>
      <c r="I221" s="205"/>
      <c r="J221" s="205"/>
      <c r="K221" s="205"/>
      <c r="L221" s="205"/>
      <c r="M221" s="205"/>
      <c r="N221" s="205"/>
      <c r="O221" s="205"/>
      <c r="P221" s="205"/>
      <c r="Q221" s="205"/>
      <c r="R221" s="205"/>
      <c r="S221" s="205"/>
      <c r="T221" s="205"/>
      <c r="U221" s="205"/>
      <c r="V221" s="205"/>
      <c r="W221" s="205"/>
      <c r="X221" s="205"/>
      <c r="Y221" s="205"/>
      <c r="Z221" s="205"/>
    </row>
    <row r="222" ht="12.75" customHeight="1">
      <c r="A222" s="205"/>
      <c r="B222" s="205"/>
      <c r="C222" s="205"/>
      <c r="D222" s="205"/>
      <c r="E222" s="205"/>
      <c r="F222" s="205"/>
      <c r="G222" s="205"/>
      <c r="H222" s="205"/>
      <c r="I222" s="205"/>
      <c r="J222" s="205"/>
      <c r="K222" s="205"/>
      <c r="L222" s="205"/>
      <c r="M222" s="205"/>
      <c r="N222" s="205"/>
      <c r="O222" s="205"/>
      <c r="P222" s="205"/>
      <c r="Q222" s="205"/>
      <c r="R222" s="205"/>
      <c r="S222" s="205"/>
      <c r="T222" s="205"/>
      <c r="U222" s="205"/>
      <c r="V222" s="205"/>
      <c r="W222" s="205"/>
      <c r="X222" s="205"/>
      <c r="Y222" s="205"/>
      <c r="Z222" s="205"/>
    </row>
    <row r="223" ht="12.75" customHeight="1">
      <c r="A223" s="205"/>
      <c r="B223" s="205"/>
      <c r="C223" s="205"/>
      <c r="D223" s="205"/>
      <c r="E223" s="205"/>
      <c r="F223" s="205"/>
      <c r="G223" s="205"/>
      <c r="H223" s="205"/>
      <c r="I223" s="205"/>
      <c r="J223" s="205"/>
      <c r="K223" s="205"/>
      <c r="L223" s="205"/>
      <c r="M223" s="205"/>
      <c r="N223" s="205"/>
      <c r="O223" s="205"/>
      <c r="P223" s="205"/>
      <c r="Q223" s="205"/>
      <c r="R223" s="205"/>
      <c r="S223" s="205"/>
      <c r="T223" s="205"/>
      <c r="U223" s="205"/>
      <c r="V223" s="205"/>
      <c r="W223" s="205"/>
      <c r="X223" s="205"/>
      <c r="Y223" s="205"/>
      <c r="Z223" s="205"/>
    </row>
    <row r="224" ht="12.75" customHeight="1">
      <c r="A224" s="205"/>
      <c r="B224" s="205"/>
      <c r="C224" s="205"/>
      <c r="D224" s="205"/>
      <c r="E224" s="205"/>
      <c r="F224" s="205"/>
      <c r="G224" s="205"/>
      <c r="H224" s="205"/>
      <c r="I224" s="205"/>
      <c r="J224" s="205"/>
      <c r="K224" s="205"/>
      <c r="L224" s="205"/>
      <c r="M224" s="205"/>
      <c r="N224" s="205"/>
      <c r="O224" s="205"/>
      <c r="P224" s="205"/>
      <c r="Q224" s="205"/>
      <c r="R224" s="205"/>
      <c r="S224" s="205"/>
      <c r="T224" s="205"/>
      <c r="U224" s="205"/>
      <c r="V224" s="205"/>
      <c r="W224" s="205"/>
      <c r="X224" s="205"/>
      <c r="Y224" s="205"/>
      <c r="Z224" s="205"/>
    </row>
    <row r="225" ht="12.75" customHeight="1">
      <c r="A225" s="205"/>
      <c r="B225" s="205"/>
      <c r="C225" s="205"/>
      <c r="D225" s="205"/>
      <c r="E225" s="205"/>
      <c r="F225" s="205"/>
      <c r="G225" s="205"/>
      <c r="H225" s="205"/>
      <c r="I225" s="205"/>
      <c r="J225" s="205"/>
      <c r="K225" s="205"/>
      <c r="L225" s="205"/>
      <c r="M225" s="205"/>
      <c r="N225" s="205"/>
      <c r="O225" s="205"/>
      <c r="P225" s="205"/>
      <c r="Q225" s="205"/>
      <c r="R225" s="205"/>
      <c r="S225" s="205"/>
      <c r="T225" s="205"/>
      <c r="U225" s="205"/>
      <c r="V225" s="205"/>
      <c r="W225" s="205"/>
      <c r="X225" s="205"/>
      <c r="Y225" s="205"/>
      <c r="Z225" s="205"/>
    </row>
    <row r="226" ht="12.75" customHeight="1">
      <c r="A226" s="205"/>
      <c r="B226" s="205"/>
      <c r="C226" s="205"/>
      <c r="D226" s="205"/>
      <c r="E226" s="205"/>
      <c r="F226" s="205"/>
      <c r="G226" s="205"/>
      <c r="H226" s="205"/>
      <c r="I226" s="205"/>
      <c r="J226" s="205"/>
      <c r="K226" s="205"/>
      <c r="L226" s="205"/>
      <c r="M226" s="205"/>
      <c r="N226" s="205"/>
      <c r="O226" s="205"/>
      <c r="P226" s="205"/>
      <c r="Q226" s="205"/>
      <c r="R226" s="205"/>
      <c r="S226" s="205"/>
      <c r="T226" s="205"/>
      <c r="U226" s="205"/>
      <c r="V226" s="205"/>
      <c r="W226" s="205"/>
      <c r="X226" s="205"/>
      <c r="Y226" s="205"/>
      <c r="Z226" s="205"/>
    </row>
    <row r="227" ht="12.75" customHeight="1">
      <c r="A227" s="205"/>
      <c r="B227" s="205"/>
      <c r="C227" s="205"/>
      <c r="D227" s="205"/>
      <c r="E227" s="205"/>
      <c r="F227" s="205"/>
      <c r="G227" s="205"/>
      <c r="H227" s="205"/>
      <c r="I227" s="205"/>
      <c r="J227" s="205"/>
      <c r="K227" s="205"/>
      <c r="L227" s="205"/>
      <c r="M227" s="205"/>
      <c r="N227" s="205"/>
      <c r="O227" s="205"/>
      <c r="P227" s="205"/>
      <c r="Q227" s="205"/>
      <c r="R227" s="205"/>
      <c r="S227" s="205"/>
      <c r="T227" s="205"/>
      <c r="U227" s="205"/>
      <c r="V227" s="205"/>
      <c r="W227" s="205"/>
      <c r="X227" s="205"/>
      <c r="Y227" s="205"/>
      <c r="Z227" s="205"/>
    </row>
    <row r="228" ht="12.75" customHeight="1">
      <c r="A228" s="205"/>
      <c r="B228" s="205"/>
      <c r="C228" s="205"/>
      <c r="D228" s="205"/>
      <c r="E228" s="205"/>
      <c r="F228" s="205"/>
      <c r="G228" s="205"/>
      <c r="H228" s="205"/>
      <c r="I228" s="205"/>
      <c r="J228" s="205"/>
      <c r="K228" s="205"/>
      <c r="L228" s="205"/>
      <c r="M228" s="205"/>
      <c r="N228" s="205"/>
      <c r="O228" s="205"/>
      <c r="P228" s="205"/>
      <c r="Q228" s="205"/>
      <c r="R228" s="205"/>
      <c r="S228" s="205"/>
      <c r="T228" s="205"/>
      <c r="U228" s="205"/>
      <c r="V228" s="205"/>
      <c r="W228" s="205"/>
      <c r="X228" s="205"/>
      <c r="Y228" s="205"/>
      <c r="Z228" s="205"/>
    </row>
    <row r="229" ht="12.75" customHeight="1">
      <c r="A229" s="205"/>
      <c r="B229" s="205"/>
      <c r="C229" s="205"/>
      <c r="D229" s="205"/>
      <c r="E229" s="205"/>
      <c r="F229" s="205"/>
      <c r="G229" s="205"/>
      <c r="H229" s="205"/>
      <c r="I229" s="205"/>
      <c r="J229" s="205"/>
      <c r="K229" s="205"/>
      <c r="L229" s="205"/>
      <c r="M229" s="205"/>
      <c r="N229" s="205"/>
      <c r="O229" s="205"/>
      <c r="P229" s="205"/>
      <c r="Q229" s="205"/>
      <c r="R229" s="205"/>
      <c r="S229" s="205"/>
      <c r="T229" s="205"/>
      <c r="U229" s="205"/>
      <c r="V229" s="205"/>
      <c r="W229" s="205"/>
      <c r="X229" s="205"/>
      <c r="Y229" s="205"/>
      <c r="Z229" s="205"/>
    </row>
    <row r="230" ht="12.75" customHeight="1">
      <c r="A230" s="205"/>
      <c r="B230" s="205"/>
      <c r="C230" s="205"/>
      <c r="D230" s="205"/>
      <c r="E230" s="205"/>
      <c r="F230" s="205"/>
      <c r="G230" s="205"/>
      <c r="H230" s="205"/>
      <c r="I230" s="205"/>
      <c r="J230" s="205"/>
      <c r="K230" s="205"/>
      <c r="L230" s="205"/>
      <c r="M230" s="205"/>
      <c r="N230" s="205"/>
      <c r="O230" s="205"/>
      <c r="P230" s="205"/>
      <c r="Q230" s="205"/>
      <c r="R230" s="205"/>
      <c r="S230" s="205"/>
      <c r="T230" s="205"/>
      <c r="U230" s="205"/>
      <c r="V230" s="205"/>
      <c r="W230" s="205"/>
      <c r="X230" s="205"/>
      <c r="Y230" s="205"/>
      <c r="Z230" s="205"/>
    </row>
    <row r="231" ht="12.75" customHeight="1">
      <c r="A231" s="205"/>
      <c r="B231" s="205"/>
      <c r="C231" s="205"/>
      <c r="D231" s="205"/>
      <c r="E231" s="205"/>
      <c r="F231" s="205"/>
      <c r="G231" s="205"/>
      <c r="H231" s="205"/>
      <c r="I231" s="205"/>
      <c r="J231" s="205"/>
      <c r="K231" s="205"/>
      <c r="L231" s="205"/>
      <c r="M231" s="205"/>
      <c r="N231" s="205"/>
      <c r="O231" s="205"/>
      <c r="P231" s="205"/>
      <c r="Q231" s="205"/>
      <c r="R231" s="205"/>
      <c r="S231" s="205"/>
      <c r="T231" s="205"/>
      <c r="U231" s="205"/>
      <c r="V231" s="205"/>
      <c r="W231" s="205"/>
      <c r="X231" s="205"/>
      <c r="Y231" s="205"/>
      <c r="Z231" s="205"/>
    </row>
    <row r="232" ht="12.75" customHeight="1">
      <c r="A232" s="205"/>
      <c r="B232" s="205"/>
      <c r="C232" s="205"/>
      <c r="D232" s="205"/>
      <c r="E232" s="205"/>
      <c r="F232" s="205"/>
      <c r="G232" s="205"/>
      <c r="H232" s="205"/>
      <c r="I232" s="205"/>
      <c r="J232" s="205"/>
      <c r="K232" s="205"/>
      <c r="L232" s="205"/>
      <c r="M232" s="205"/>
      <c r="N232" s="205"/>
      <c r="O232" s="205"/>
      <c r="P232" s="205"/>
      <c r="Q232" s="205"/>
      <c r="R232" s="205"/>
      <c r="S232" s="205"/>
      <c r="T232" s="205"/>
      <c r="U232" s="205"/>
      <c r="V232" s="205"/>
      <c r="W232" s="205"/>
      <c r="X232" s="205"/>
      <c r="Y232" s="205"/>
      <c r="Z232" s="205"/>
    </row>
    <row r="233" ht="12.75" customHeight="1">
      <c r="A233" s="205"/>
      <c r="B233" s="205"/>
      <c r="C233" s="205"/>
      <c r="D233" s="205"/>
      <c r="E233" s="205"/>
      <c r="F233" s="205"/>
      <c r="G233" s="205"/>
      <c r="H233" s="205"/>
      <c r="I233" s="205"/>
      <c r="J233" s="205"/>
      <c r="K233" s="205"/>
      <c r="L233" s="205"/>
      <c r="M233" s="205"/>
      <c r="N233" s="205"/>
      <c r="O233" s="205"/>
      <c r="P233" s="205"/>
      <c r="Q233" s="205"/>
      <c r="R233" s="205"/>
      <c r="S233" s="205"/>
      <c r="T233" s="205"/>
      <c r="U233" s="205"/>
      <c r="V233" s="205"/>
      <c r="W233" s="205"/>
      <c r="X233" s="205"/>
      <c r="Y233" s="205"/>
      <c r="Z233" s="205"/>
    </row>
    <row r="234" ht="12.75" customHeight="1">
      <c r="A234" s="205"/>
      <c r="B234" s="205"/>
      <c r="C234" s="205"/>
      <c r="D234" s="205"/>
      <c r="E234" s="205"/>
      <c r="F234" s="205"/>
      <c r="G234" s="205"/>
      <c r="H234" s="205"/>
      <c r="I234" s="205"/>
      <c r="J234" s="205"/>
      <c r="K234" s="205"/>
      <c r="L234" s="205"/>
      <c r="M234" s="205"/>
      <c r="N234" s="205"/>
      <c r="O234" s="205"/>
      <c r="P234" s="205"/>
      <c r="Q234" s="205"/>
      <c r="R234" s="205"/>
      <c r="S234" s="205"/>
      <c r="T234" s="205"/>
      <c r="U234" s="205"/>
      <c r="V234" s="205"/>
      <c r="W234" s="205"/>
      <c r="X234" s="205"/>
      <c r="Y234" s="205"/>
      <c r="Z234" s="205"/>
    </row>
    <row r="235" ht="12.75" customHeight="1">
      <c r="A235" s="205"/>
      <c r="B235" s="205"/>
      <c r="C235" s="205"/>
      <c r="D235" s="205"/>
      <c r="E235" s="205"/>
      <c r="F235" s="205"/>
      <c r="G235" s="205"/>
      <c r="H235" s="205"/>
      <c r="I235" s="205"/>
      <c r="J235" s="205"/>
      <c r="K235" s="205"/>
      <c r="L235" s="205"/>
      <c r="M235" s="205"/>
      <c r="N235" s="205"/>
      <c r="O235" s="205"/>
      <c r="P235" s="205"/>
      <c r="Q235" s="205"/>
      <c r="R235" s="205"/>
      <c r="S235" s="205"/>
      <c r="T235" s="205"/>
      <c r="U235" s="205"/>
      <c r="V235" s="205"/>
      <c r="W235" s="205"/>
      <c r="X235" s="205"/>
      <c r="Y235" s="205"/>
      <c r="Z235" s="205"/>
    </row>
    <row r="236" ht="12.75" customHeight="1">
      <c r="A236" s="205"/>
      <c r="B236" s="205"/>
      <c r="C236" s="205"/>
      <c r="D236" s="205"/>
      <c r="E236" s="205"/>
      <c r="F236" s="205"/>
      <c r="G236" s="205"/>
      <c r="H236" s="205"/>
      <c r="I236" s="205"/>
      <c r="J236" s="205"/>
      <c r="K236" s="205"/>
      <c r="L236" s="205"/>
      <c r="M236" s="205"/>
      <c r="N236" s="205"/>
      <c r="O236" s="205"/>
      <c r="P236" s="205"/>
      <c r="Q236" s="205"/>
      <c r="R236" s="205"/>
      <c r="S236" s="205"/>
      <c r="T236" s="205"/>
      <c r="U236" s="205"/>
      <c r="V236" s="205"/>
      <c r="W236" s="205"/>
      <c r="X236" s="205"/>
      <c r="Y236" s="205"/>
      <c r="Z236" s="205"/>
    </row>
    <row r="237" ht="12.75" customHeight="1">
      <c r="A237" s="205"/>
      <c r="B237" s="205"/>
      <c r="C237" s="205"/>
      <c r="D237" s="205"/>
      <c r="E237" s="205"/>
      <c r="F237" s="205"/>
      <c r="G237" s="205"/>
      <c r="H237" s="205"/>
      <c r="I237" s="205"/>
      <c r="J237" s="205"/>
      <c r="K237" s="205"/>
      <c r="L237" s="205"/>
      <c r="M237" s="205"/>
      <c r="N237" s="205"/>
      <c r="O237" s="205"/>
      <c r="P237" s="205"/>
      <c r="Q237" s="205"/>
      <c r="R237" s="205"/>
      <c r="S237" s="205"/>
      <c r="T237" s="205"/>
      <c r="U237" s="205"/>
      <c r="V237" s="205"/>
      <c r="W237" s="205"/>
      <c r="X237" s="205"/>
      <c r="Y237" s="205"/>
      <c r="Z237" s="205"/>
    </row>
    <row r="238" ht="12.75" customHeight="1">
      <c r="A238" s="205"/>
      <c r="B238" s="205"/>
      <c r="C238" s="205"/>
      <c r="D238" s="205"/>
      <c r="E238" s="205"/>
      <c r="F238" s="205"/>
      <c r="G238" s="205"/>
      <c r="H238" s="205"/>
      <c r="I238" s="205"/>
      <c r="J238" s="205"/>
      <c r="K238" s="205"/>
      <c r="L238" s="205"/>
      <c r="M238" s="205"/>
      <c r="N238" s="205"/>
      <c r="O238" s="205"/>
      <c r="P238" s="205"/>
      <c r="Q238" s="205"/>
      <c r="R238" s="205"/>
      <c r="S238" s="205"/>
      <c r="T238" s="205"/>
      <c r="U238" s="205"/>
      <c r="V238" s="205"/>
      <c r="W238" s="205"/>
      <c r="X238" s="205"/>
      <c r="Y238" s="205"/>
      <c r="Z238" s="205"/>
    </row>
    <row r="239" ht="12.75" customHeight="1">
      <c r="A239" s="205"/>
      <c r="B239" s="205"/>
      <c r="C239" s="205"/>
      <c r="D239" s="205"/>
      <c r="E239" s="205"/>
      <c r="F239" s="205"/>
      <c r="G239" s="205"/>
      <c r="H239" s="205"/>
      <c r="I239" s="205"/>
      <c r="J239" s="205"/>
      <c r="K239" s="205"/>
      <c r="L239" s="205"/>
      <c r="M239" s="205"/>
      <c r="N239" s="205"/>
      <c r="O239" s="205"/>
      <c r="P239" s="205"/>
      <c r="Q239" s="205"/>
      <c r="R239" s="205"/>
      <c r="S239" s="205"/>
      <c r="T239" s="205"/>
      <c r="U239" s="205"/>
      <c r="V239" s="205"/>
      <c r="W239" s="205"/>
      <c r="X239" s="205"/>
      <c r="Y239" s="205"/>
      <c r="Z239" s="205"/>
    </row>
    <row r="240" ht="12.75" customHeight="1">
      <c r="A240" s="205"/>
      <c r="B240" s="205"/>
      <c r="C240" s="205"/>
      <c r="D240" s="205"/>
      <c r="E240" s="205"/>
      <c r="F240" s="205"/>
      <c r="G240" s="205"/>
      <c r="H240" s="205"/>
      <c r="I240" s="205"/>
      <c r="J240" s="205"/>
      <c r="K240" s="205"/>
      <c r="L240" s="205"/>
      <c r="M240" s="205"/>
      <c r="N240" s="205"/>
      <c r="O240" s="205"/>
      <c r="P240" s="205"/>
      <c r="Q240" s="205"/>
      <c r="R240" s="205"/>
      <c r="S240" s="205"/>
      <c r="T240" s="205"/>
      <c r="U240" s="205"/>
      <c r="V240" s="205"/>
      <c r="W240" s="205"/>
      <c r="X240" s="205"/>
      <c r="Y240" s="205"/>
      <c r="Z240" s="205"/>
    </row>
    <row r="241" ht="12.75" customHeight="1">
      <c r="A241" s="205"/>
      <c r="B241" s="205"/>
      <c r="C241" s="205"/>
      <c r="D241" s="205"/>
      <c r="E241" s="205"/>
      <c r="F241" s="205"/>
      <c r="G241" s="205"/>
      <c r="H241" s="205"/>
      <c r="I241" s="205"/>
      <c r="J241" s="205"/>
      <c r="K241" s="205"/>
      <c r="L241" s="205"/>
      <c r="M241" s="205"/>
      <c r="N241" s="205"/>
      <c r="O241" s="205"/>
      <c r="P241" s="205"/>
      <c r="Q241" s="205"/>
      <c r="R241" s="205"/>
      <c r="S241" s="205"/>
      <c r="T241" s="205"/>
      <c r="U241" s="205"/>
      <c r="V241" s="205"/>
      <c r="W241" s="205"/>
      <c r="X241" s="205"/>
      <c r="Y241" s="205"/>
      <c r="Z241" s="205"/>
    </row>
    <row r="242" ht="12.75" customHeight="1">
      <c r="A242" s="205"/>
      <c r="B242" s="205"/>
      <c r="C242" s="205"/>
      <c r="D242" s="205"/>
      <c r="E242" s="205"/>
      <c r="F242" s="205"/>
      <c r="G242" s="205"/>
      <c r="H242" s="205"/>
      <c r="I242" s="205"/>
      <c r="J242" s="205"/>
      <c r="K242" s="205"/>
      <c r="L242" s="205"/>
      <c r="M242" s="205"/>
      <c r="N242" s="205"/>
      <c r="O242" s="205"/>
      <c r="P242" s="205"/>
      <c r="Q242" s="205"/>
      <c r="R242" s="205"/>
      <c r="S242" s="205"/>
      <c r="T242" s="205"/>
      <c r="U242" s="205"/>
      <c r="V242" s="205"/>
      <c r="W242" s="205"/>
      <c r="X242" s="205"/>
      <c r="Y242" s="205"/>
      <c r="Z242" s="205"/>
    </row>
    <row r="243" ht="12.75" customHeight="1">
      <c r="A243" s="205"/>
      <c r="B243" s="205"/>
      <c r="C243" s="205"/>
      <c r="D243" s="205"/>
      <c r="E243" s="205"/>
      <c r="F243" s="205"/>
      <c r="G243" s="205"/>
      <c r="H243" s="205"/>
      <c r="I243" s="205"/>
      <c r="J243" s="205"/>
      <c r="K243" s="205"/>
      <c r="L243" s="205"/>
      <c r="M243" s="205"/>
      <c r="N243" s="205"/>
      <c r="O243" s="205"/>
      <c r="P243" s="205"/>
      <c r="Q243" s="205"/>
      <c r="R243" s="205"/>
      <c r="S243" s="205"/>
      <c r="T243" s="205"/>
      <c r="U243" s="205"/>
      <c r="V243" s="205"/>
      <c r="W243" s="205"/>
      <c r="X243" s="205"/>
      <c r="Y243" s="205"/>
      <c r="Z243" s="205"/>
    </row>
    <row r="244" ht="12.75" customHeight="1">
      <c r="A244" s="205"/>
      <c r="B244" s="205"/>
      <c r="C244" s="205"/>
      <c r="D244" s="205"/>
      <c r="E244" s="205"/>
      <c r="F244" s="205"/>
      <c r="G244" s="205"/>
      <c r="H244" s="205"/>
      <c r="I244" s="205"/>
      <c r="J244" s="205"/>
      <c r="K244" s="205"/>
      <c r="L244" s="205"/>
      <c r="M244" s="205"/>
      <c r="N244" s="205"/>
      <c r="O244" s="205"/>
      <c r="P244" s="205"/>
      <c r="Q244" s="205"/>
      <c r="R244" s="205"/>
      <c r="S244" s="205"/>
      <c r="T244" s="205"/>
      <c r="U244" s="205"/>
      <c r="V244" s="205"/>
      <c r="W244" s="205"/>
      <c r="X244" s="205"/>
      <c r="Y244" s="205"/>
      <c r="Z244" s="205"/>
    </row>
    <row r="245" ht="12.75" customHeight="1">
      <c r="A245" s="205"/>
      <c r="B245" s="205"/>
      <c r="C245" s="205"/>
      <c r="D245" s="205"/>
      <c r="E245" s="205"/>
      <c r="F245" s="205"/>
      <c r="G245" s="205"/>
      <c r="H245" s="205"/>
      <c r="I245" s="205"/>
      <c r="J245" s="205"/>
      <c r="K245" s="205"/>
      <c r="L245" s="205"/>
      <c r="M245" s="205"/>
      <c r="N245" s="205"/>
      <c r="O245" s="205"/>
      <c r="P245" s="205"/>
      <c r="Q245" s="205"/>
      <c r="R245" s="205"/>
      <c r="S245" s="205"/>
      <c r="T245" s="205"/>
      <c r="U245" s="205"/>
      <c r="V245" s="205"/>
      <c r="W245" s="205"/>
      <c r="X245" s="205"/>
      <c r="Y245" s="205"/>
      <c r="Z245" s="205"/>
    </row>
    <row r="246" ht="12.75" customHeight="1">
      <c r="A246" s="205"/>
      <c r="B246" s="205"/>
      <c r="C246" s="205"/>
      <c r="D246" s="205"/>
      <c r="E246" s="205"/>
      <c r="F246" s="205"/>
      <c r="G246" s="205"/>
      <c r="H246" s="205"/>
      <c r="I246" s="205"/>
      <c r="J246" s="205"/>
      <c r="K246" s="205"/>
      <c r="L246" s="205"/>
      <c r="M246" s="205"/>
      <c r="N246" s="205"/>
      <c r="O246" s="205"/>
      <c r="P246" s="205"/>
      <c r="Q246" s="205"/>
      <c r="R246" s="205"/>
      <c r="S246" s="205"/>
      <c r="T246" s="205"/>
      <c r="U246" s="205"/>
      <c r="V246" s="205"/>
      <c r="W246" s="205"/>
      <c r="X246" s="205"/>
      <c r="Y246" s="205"/>
      <c r="Z246" s="205"/>
    </row>
    <row r="247" ht="12.75" customHeight="1">
      <c r="A247" s="205"/>
      <c r="B247" s="205"/>
      <c r="C247" s="205"/>
      <c r="D247" s="205"/>
      <c r="E247" s="205"/>
      <c r="F247" s="205"/>
      <c r="G247" s="205"/>
      <c r="H247" s="205"/>
      <c r="I247" s="205"/>
      <c r="J247" s="205"/>
      <c r="K247" s="205"/>
      <c r="L247" s="205"/>
      <c r="M247" s="205"/>
      <c r="N247" s="205"/>
      <c r="O247" s="205"/>
      <c r="P247" s="205"/>
      <c r="Q247" s="205"/>
      <c r="R247" s="205"/>
      <c r="S247" s="205"/>
      <c r="T247" s="205"/>
      <c r="U247" s="205"/>
      <c r="V247" s="205"/>
      <c r="W247" s="205"/>
      <c r="X247" s="205"/>
      <c r="Y247" s="205"/>
      <c r="Z247" s="205"/>
    </row>
    <row r="248" ht="12.75" customHeight="1">
      <c r="A248" s="205"/>
      <c r="B248" s="205"/>
      <c r="C248" s="205"/>
      <c r="D248" s="205"/>
      <c r="E248" s="205"/>
      <c r="F248" s="205"/>
      <c r="G248" s="205"/>
      <c r="H248" s="205"/>
      <c r="I248" s="205"/>
      <c r="J248" s="205"/>
      <c r="K248" s="205"/>
      <c r="L248" s="205"/>
      <c r="M248" s="205"/>
      <c r="N248" s="205"/>
      <c r="O248" s="205"/>
      <c r="P248" s="205"/>
      <c r="Q248" s="205"/>
      <c r="R248" s="205"/>
      <c r="S248" s="205"/>
      <c r="T248" s="205"/>
      <c r="U248" s="205"/>
      <c r="V248" s="205"/>
      <c r="W248" s="205"/>
      <c r="X248" s="205"/>
      <c r="Y248" s="205"/>
      <c r="Z248" s="205"/>
    </row>
    <row r="249" ht="12.75" customHeight="1">
      <c r="A249" s="205"/>
      <c r="B249" s="205"/>
      <c r="C249" s="205"/>
      <c r="D249" s="205"/>
      <c r="E249" s="205"/>
      <c r="F249" s="205"/>
      <c r="G249" s="205"/>
      <c r="H249" s="205"/>
      <c r="I249" s="205"/>
      <c r="J249" s="205"/>
      <c r="K249" s="205"/>
      <c r="L249" s="205"/>
      <c r="M249" s="205"/>
      <c r="N249" s="205"/>
      <c r="O249" s="205"/>
      <c r="P249" s="205"/>
      <c r="Q249" s="205"/>
      <c r="R249" s="205"/>
      <c r="S249" s="205"/>
      <c r="T249" s="205"/>
      <c r="U249" s="205"/>
      <c r="V249" s="205"/>
      <c r="W249" s="205"/>
      <c r="X249" s="205"/>
      <c r="Y249" s="205"/>
      <c r="Z249" s="205"/>
    </row>
    <row r="250" ht="12.75" customHeight="1">
      <c r="A250" s="205"/>
      <c r="B250" s="205"/>
      <c r="C250" s="205"/>
      <c r="D250" s="205"/>
      <c r="E250" s="205"/>
      <c r="F250" s="205"/>
      <c r="G250" s="205"/>
      <c r="H250" s="205"/>
      <c r="I250" s="205"/>
      <c r="J250" s="205"/>
      <c r="K250" s="205"/>
      <c r="L250" s="205"/>
      <c r="M250" s="205"/>
      <c r="N250" s="205"/>
      <c r="O250" s="205"/>
      <c r="P250" s="205"/>
      <c r="Q250" s="205"/>
      <c r="R250" s="205"/>
      <c r="S250" s="205"/>
      <c r="T250" s="205"/>
      <c r="U250" s="205"/>
      <c r="V250" s="205"/>
      <c r="W250" s="205"/>
      <c r="X250" s="205"/>
      <c r="Y250" s="205"/>
      <c r="Z250" s="205"/>
    </row>
    <row r="251" ht="12.75" customHeight="1">
      <c r="A251" s="205"/>
      <c r="B251" s="205"/>
      <c r="C251" s="205"/>
      <c r="D251" s="205"/>
      <c r="E251" s="205"/>
      <c r="F251" s="205"/>
      <c r="G251" s="205"/>
      <c r="H251" s="205"/>
      <c r="I251" s="205"/>
      <c r="J251" s="205"/>
      <c r="K251" s="205"/>
      <c r="L251" s="205"/>
      <c r="M251" s="205"/>
      <c r="N251" s="205"/>
      <c r="O251" s="205"/>
      <c r="P251" s="205"/>
      <c r="Q251" s="205"/>
      <c r="R251" s="205"/>
      <c r="S251" s="205"/>
      <c r="T251" s="205"/>
      <c r="U251" s="205"/>
      <c r="V251" s="205"/>
      <c r="W251" s="205"/>
      <c r="X251" s="205"/>
      <c r="Y251" s="205"/>
      <c r="Z251" s="205"/>
    </row>
    <row r="252" ht="12.75" customHeight="1">
      <c r="A252" s="205"/>
      <c r="B252" s="205"/>
      <c r="C252" s="205"/>
      <c r="D252" s="205"/>
      <c r="E252" s="205"/>
      <c r="F252" s="205"/>
      <c r="G252" s="205"/>
      <c r="H252" s="205"/>
      <c r="I252" s="205"/>
      <c r="J252" s="205"/>
      <c r="K252" s="205"/>
      <c r="L252" s="205"/>
      <c r="M252" s="205"/>
      <c r="N252" s="205"/>
      <c r="O252" s="205"/>
      <c r="P252" s="205"/>
      <c r="Q252" s="205"/>
      <c r="R252" s="205"/>
      <c r="S252" s="205"/>
      <c r="T252" s="205"/>
      <c r="U252" s="205"/>
      <c r="V252" s="205"/>
      <c r="W252" s="205"/>
      <c r="X252" s="205"/>
      <c r="Y252" s="205"/>
      <c r="Z252" s="205"/>
    </row>
    <row r="253" ht="12.75" customHeight="1">
      <c r="A253" s="205"/>
      <c r="B253" s="205"/>
      <c r="C253" s="205"/>
      <c r="D253" s="205"/>
      <c r="E253" s="205"/>
      <c r="F253" s="205"/>
      <c r="G253" s="205"/>
      <c r="H253" s="205"/>
      <c r="I253" s="205"/>
      <c r="J253" s="205"/>
      <c r="K253" s="205"/>
      <c r="L253" s="205"/>
      <c r="M253" s="205"/>
      <c r="N253" s="205"/>
      <c r="O253" s="205"/>
      <c r="P253" s="205"/>
      <c r="Q253" s="205"/>
      <c r="R253" s="205"/>
      <c r="S253" s="205"/>
      <c r="T253" s="205"/>
      <c r="U253" s="205"/>
      <c r="V253" s="205"/>
      <c r="W253" s="205"/>
      <c r="X253" s="205"/>
      <c r="Y253" s="205"/>
      <c r="Z253" s="205"/>
    </row>
    <row r="254" ht="12.75" customHeight="1">
      <c r="A254" s="205"/>
      <c r="B254" s="205"/>
      <c r="C254" s="205"/>
      <c r="D254" s="205"/>
      <c r="E254" s="205"/>
      <c r="F254" s="205"/>
      <c r="G254" s="205"/>
      <c r="H254" s="205"/>
      <c r="I254" s="205"/>
      <c r="J254" s="205"/>
      <c r="K254" s="205"/>
      <c r="L254" s="205"/>
      <c r="M254" s="205"/>
      <c r="N254" s="205"/>
      <c r="O254" s="205"/>
      <c r="P254" s="205"/>
      <c r="Q254" s="205"/>
      <c r="R254" s="205"/>
      <c r="S254" s="205"/>
      <c r="T254" s="205"/>
      <c r="U254" s="205"/>
      <c r="V254" s="205"/>
      <c r="W254" s="205"/>
      <c r="X254" s="205"/>
      <c r="Y254" s="205"/>
      <c r="Z254" s="205"/>
    </row>
    <row r="255" ht="12.75" customHeight="1">
      <c r="A255" s="205"/>
      <c r="B255" s="205"/>
      <c r="C255" s="205"/>
      <c r="D255" s="205"/>
      <c r="E255" s="205"/>
      <c r="F255" s="205"/>
      <c r="G255" s="205"/>
      <c r="H255" s="205"/>
      <c r="I255" s="205"/>
      <c r="J255" s="205"/>
      <c r="K255" s="205"/>
      <c r="L255" s="205"/>
      <c r="M255" s="205"/>
      <c r="N255" s="205"/>
      <c r="O255" s="205"/>
      <c r="P255" s="205"/>
      <c r="Q255" s="205"/>
      <c r="R255" s="205"/>
      <c r="S255" s="205"/>
      <c r="T255" s="205"/>
      <c r="U255" s="205"/>
      <c r="V255" s="205"/>
      <c r="W255" s="205"/>
      <c r="X255" s="205"/>
      <c r="Y255" s="205"/>
      <c r="Z255" s="205"/>
    </row>
    <row r="256" ht="12.75" customHeight="1">
      <c r="A256" s="205"/>
      <c r="B256" s="205"/>
      <c r="C256" s="205"/>
      <c r="D256" s="205"/>
      <c r="E256" s="205"/>
      <c r="F256" s="205"/>
      <c r="G256" s="205"/>
      <c r="H256" s="205"/>
      <c r="I256" s="205"/>
      <c r="J256" s="205"/>
      <c r="K256" s="205"/>
      <c r="L256" s="205"/>
      <c r="M256" s="205"/>
      <c r="N256" s="205"/>
      <c r="O256" s="205"/>
      <c r="P256" s="205"/>
      <c r="Q256" s="205"/>
      <c r="R256" s="205"/>
      <c r="S256" s="205"/>
      <c r="T256" s="205"/>
      <c r="U256" s="205"/>
      <c r="V256" s="205"/>
      <c r="W256" s="205"/>
      <c r="X256" s="205"/>
      <c r="Y256" s="205"/>
      <c r="Z256" s="205"/>
    </row>
    <row r="257" ht="12.75" customHeight="1">
      <c r="A257" s="205"/>
      <c r="B257" s="205"/>
      <c r="C257" s="205"/>
      <c r="D257" s="205"/>
      <c r="E257" s="205"/>
      <c r="F257" s="205"/>
      <c r="G257" s="205"/>
      <c r="H257" s="205"/>
      <c r="I257" s="205"/>
      <c r="J257" s="205"/>
      <c r="K257" s="205"/>
      <c r="L257" s="205"/>
      <c r="M257" s="205"/>
      <c r="N257" s="205"/>
      <c r="O257" s="205"/>
      <c r="P257" s="205"/>
      <c r="Q257" s="205"/>
      <c r="R257" s="205"/>
      <c r="S257" s="205"/>
      <c r="T257" s="205"/>
      <c r="U257" s="205"/>
      <c r="V257" s="205"/>
      <c r="W257" s="205"/>
      <c r="X257" s="205"/>
      <c r="Y257" s="205"/>
      <c r="Z257" s="205"/>
    </row>
    <row r="258" ht="12.75" customHeight="1">
      <c r="A258" s="205"/>
      <c r="B258" s="205"/>
      <c r="C258" s="205"/>
      <c r="D258" s="205"/>
      <c r="E258" s="205"/>
      <c r="F258" s="205"/>
      <c r="G258" s="205"/>
      <c r="H258" s="205"/>
      <c r="I258" s="205"/>
      <c r="J258" s="205"/>
      <c r="K258" s="205"/>
      <c r="L258" s="205"/>
      <c r="M258" s="205"/>
      <c r="N258" s="205"/>
      <c r="O258" s="205"/>
      <c r="P258" s="205"/>
      <c r="Q258" s="205"/>
      <c r="R258" s="205"/>
      <c r="S258" s="205"/>
      <c r="T258" s="205"/>
      <c r="U258" s="205"/>
      <c r="V258" s="205"/>
      <c r="W258" s="205"/>
      <c r="X258" s="205"/>
      <c r="Y258" s="205"/>
      <c r="Z258" s="205"/>
    </row>
    <row r="259" ht="12.75" customHeight="1">
      <c r="A259" s="205"/>
      <c r="B259" s="205"/>
      <c r="C259" s="205"/>
      <c r="D259" s="205"/>
      <c r="E259" s="205"/>
      <c r="F259" s="205"/>
      <c r="G259" s="205"/>
      <c r="H259" s="205"/>
      <c r="I259" s="205"/>
      <c r="J259" s="205"/>
      <c r="K259" s="205"/>
      <c r="L259" s="205"/>
      <c r="M259" s="205"/>
      <c r="N259" s="205"/>
      <c r="O259" s="205"/>
      <c r="P259" s="205"/>
      <c r="Q259" s="205"/>
      <c r="R259" s="205"/>
      <c r="S259" s="205"/>
      <c r="T259" s="205"/>
      <c r="U259" s="205"/>
      <c r="V259" s="205"/>
      <c r="W259" s="205"/>
      <c r="X259" s="205"/>
      <c r="Y259" s="205"/>
      <c r="Z259" s="205"/>
    </row>
    <row r="260" ht="12.75" customHeight="1">
      <c r="A260" s="205"/>
      <c r="B260" s="205"/>
      <c r="C260" s="205"/>
      <c r="D260" s="205"/>
      <c r="E260" s="205"/>
      <c r="F260" s="205"/>
      <c r="G260" s="205"/>
      <c r="H260" s="205"/>
      <c r="I260" s="205"/>
      <c r="J260" s="205"/>
      <c r="K260" s="205"/>
      <c r="L260" s="205"/>
      <c r="M260" s="205"/>
      <c r="N260" s="205"/>
      <c r="O260" s="205"/>
      <c r="P260" s="205"/>
      <c r="Q260" s="205"/>
      <c r="R260" s="205"/>
      <c r="S260" s="205"/>
      <c r="T260" s="205"/>
      <c r="U260" s="205"/>
      <c r="V260" s="205"/>
      <c r="W260" s="205"/>
      <c r="X260" s="205"/>
      <c r="Y260" s="205"/>
      <c r="Z260" s="205"/>
    </row>
    <row r="261" ht="12.75" customHeight="1">
      <c r="A261" s="205"/>
      <c r="B261" s="205"/>
      <c r="C261" s="205"/>
      <c r="D261" s="205"/>
      <c r="E261" s="205"/>
      <c r="F261" s="205"/>
      <c r="G261" s="205"/>
      <c r="H261" s="205"/>
      <c r="I261" s="205"/>
      <c r="J261" s="205"/>
      <c r="K261" s="205"/>
      <c r="L261" s="205"/>
      <c r="M261" s="205"/>
      <c r="N261" s="205"/>
      <c r="O261" s="205"/>
      <c r="P261" s="205"/>
      <c r="Q261" s="205"/>
      <c r="R261" s="205"/>
      <c r="S261" s="205"/>
      <c r="T261" s="205"/>
      <c r="U261" s="205"/>
      <c r="V261" s="205"/>
      <c r="W261" s="205"/>
      <c r="X261" s="205"/>
      <c r="Y261" s="205"/>
      <c r="Z261" s="205"/>
    </row>
    <row r="262" ht="12.75" customHeight="1">
      <c r="A262" s="205"/>
      <c r="B262" s="205"/>
      <c r="C262" s="205"/>
      <c r="D262" s="205"/>
      <c r="E262" s="205"/>
      <c r="F262" s="205"/>
      <c r="G262" s="205"/>
      <c r="H262" s="205"/>
      <c r="I262" s="205"/>
      <c r="J262" s="205"/>
      <c r="K262" s="205"/>
      <c r="L262" s="205"/>
      <c r="M262" s="205"/>
      <c r="N262" s="205"/>
      <c r="O262" s="205"/>
      <c r="P262" s="205"/>
      <c r="Q262" s="205"/>
      <c r="R262" s="205"/>
      <c r="S262" s="205"/>
      <c r="T262" s="205"/>
      <c r="U262" s="205"/>
      <c r="V262" s="205"/>
      <c r="W262" s="205"/>
      <c r="X262" s="205"/>
      <c r="Y262" s="205"/>
      <c r="Z262" s="205"/>
    </row>
    <row r="263" ht="12.75" customHeight="1">
      <c r="A263" s="205"/>
      <c r="B263" s="205"/>
      <c r="C263" s="205"/>
      <c r="D263" s="205"/>
      <c r="E263" s="205"/>
      <c r="F263" s="205"/>
      <c r="G263" s="205"/>
      <c r="H263" s="205"/>
      <c r="I263" s="205"/>
      <c r="J263" s="205"/>
      <c r="K263" s="205"/>
      <c r="L263" s="205"/>
      <c r="M263" s="205"/>
      <c r="N263" s="205"/>
      <c r="O263" s="205"/>
      <c r="P263" s="205"/>
      <c r="Q263" s="205"/>
      <c r="R263" s="205"/>
      <c r="S263" s="205"/>
      <c r="T263" s="205"/>
      <c r="U263" s="205"/>
      <c r="V263" s="205"/>
      <c r="W263" s="205"/>
      <c r="X263" s="205"/>
      <c r="Y263" s="205"/>
      <c r="Z263" s="205"/>
    </row>
    <row r="264" ht="12.75" customHeight="1">
      <c r="A264" s="205"/>
      <c r="B264" s="205"/>
      <c r="C264" s="205"/>
      <c r="D264" s="205"/>
      <c r="E264" s="205"/>
      <c r="F264" s="205"/>
      <c r="G264" s="205"/>
      <c r="H264" s="205"/>
      <c r="I264" s="205"/>
      <c r="J264" s="205"/>
      <c r="K264" s="205"/>
      <c r="L264" s="205"/>
      <c r="M264" s="205"/>
      <c r="N264" s="205"/>
      <c r="O264" s="205"/>
      <c r="P264" s="205"/>
      <c r="Q264" s="205"/>
      <c r="R264" s="205"/>
      <c r="S264" s="205"/>
      <c r="T264" s="205"/>
      <c r="U264" s="205"/>
      <c r="V264" s="205"/>
      <c r="W264" s="205"/>
      <c r="X264" s="205"/>
      <c r="Y264" s="205"/>
      <c r="Z264" s="205"/>
    </row>
    <row r="265" ht="12.75" customHeight="1">
      <c r="A265" s="205"/>
      <c r="B265" s="205"/>
      <c r="C265" s="205"/>
      <c r="D265" s="205"/>
      <c r="E265" s="205"/>
      <c r="F265" s="205"/>
      <c r="G265" s="205"/>
      <c r="H265" s="205"/>
      <c r="I265" s="205"/>
      <c r="J265" s="205"/>
      <c r="K265" s="205"/>
      <c r="L265" s="205"/>
      <c r="M265" s="205"/>
      <c r="N265" s="205"/>
      <c r="O265" s="205"/>
      <c r="P265" s="205"/>
      <c r="Q265" s="205"/>
      <c r="R265" s="205"/>
      <c r="S265" s="205"/>
      <c r="T265" s="205"/>
      <c r="U265" s="205"/>
      <c r="V265" s="205"/>
      <c r="W265" s="205"/>
      <c r="X265" s="205"/>
      <c r="Y265" s="205"/>
      <c r="Z265" s="205"/>
    </row>
    <row r="266" ht="12.75" customHeight="1">
      <c r="A266" s="205"/>
      <c r="B266" s="205"/>
      <c r="C266" s="205"/>
      <c r="D266" s="205"/>
      <c r="E266" s="205"/>
      <c r="F266" s="205"/>
      <c r="G266" s="205"/>
      <c r="H266" s="205"/>
      <c r="I266" s="205"/>
      <c r="J266" s="205"/>
      <c r="K266" s="205"/>
      <c r="L266" s="205"/>
      <c r="M266" s="205"/>
      <c r="N266" s="205"/>
      <c r="O266" s="205"/>
      <c r="P266" s="205"/>
      <c r="Q266" s="205"/>
      <c r="R266" s="205"/>
      <c r="S266" s="205"/>
      <c r="T266" s="205"/>
      <c r="U266" s="205"/>
      <c r="V266" s="205"/>
      <c r="W266" s="205"/>
      <c r="X266" s="205"/>
      <c r="Y266" s="205"/>
      <c r="Z266" s="205"/>
    </row>
    <row r="267" ht="12.75" customHeight="1">
      <c r="A267" s="205"/>
      <c r="B267" s="205"/>
      <c r="C267" s="205"/>
      <c r="D267" s="205"/>
      <c r="E267" s="205"/>
      <c r="F267" s="205"/>
      <c r="G267" s="205"/>
      <c r="H267" s="205"/>
      <c r="I267" s="205"/>
      <c r="J267" s="205"/>
      <c r="K267" s="205"/>
      <c r="L267" s="205"/>
      <c r="M267" s="205"/>
      <c r="N267" s="205"/>
      <c r="O267" s="205"/>
      <c r="P267" s="205"/>
      <c r="Q267" s="205"/>
      <c r="R267" s="205"/>
      <c r="S267" s="205"/>
      <c r="T267" s="205"/>
      <c r="U267" s="205"/>
      <c r="V267" s="205"/>
      <c r="W267" s="205"/>
      <c r="X267" s="205"/>
      <c r="Y267" s="205"/>
      <c r="Z267" s="205"/>
    </row>
    <row r="268" ht="12.75" customHeight="1">
      <c r="A268" s="205"/>
      <c r="B268" s="205"/>
      <c r="C268" s="205"/>
      <c r="D268" s="205"/>
      <c r="E268" s="205"/>
      <c r="F268" s="205"/>
      <c r="G268" s="205"/>
      <c r="H268" s="205"/>
      <c r="I268" s="205"/>
      <c r="J268" s="205"/>
      <c r="K268" s="205"/>
      <c r="L268" s="205"/>
      <c r="M268" s="205"/>
      <c r="N268" s="205"/>
      <c r="O268" s="205"/>
      <c r="P268" s="205"/>
      <c r="Q268" s="205"/>
      <c r="R268" s="205"/>
      <c r="S268" s="205"/>
      <c r="T268" s="205"/>
      <c r="U268" s="205"/>
      <c r="V268" s="205"/>
      <c r="W268" s="205"/>
      <c r="X268" s="205"/>
      <c r="Y268" s="205"/>
      <c r="Z268" s="205"/>
    </row>
    <row r="269" ht="12.75" customHeight="1">
      <c r="A269" s="205"/>
      <c r="B269" s="205"/>
      <c r="C269" s="205"/>
      <c r="D269" s="205"/>
      <c r="E269" s="205"/>
      <c r="F269" s="205"/>
      <c r="G269" s="205"/>
      <c r="H269" s="205"/>
      <c r="I269" s="205"/>
      <c r="J269" s="205"/>
      <c r="K269" s="205"/>
      <c r="L269" s="205"/>
      <c r="M269" s="205"/>
      <c r="N269" s="205"/>
      <c r="O269" s="205"/>
      <c r="P269" s="205"/>
      <c r="Q269" s="205"/>
      <c r="R269" s="205"/>
      <c r="S269" s="205"/>
      <c r="T269" s="205"/>
      <c r="U269" s="205"/>
      <c r="V269" s="205"/>
      <c r="W269" s="205"/>
      <c r="X269" s="205"/>
      <c r="Y269" s="205"/>
      <c r="Z269" s="205"/>
    </row>
    <row r="270" ht="12.75" customHeight="1">
      <c r="A270" s="205"/>
      <c r="B270" s="205"/>
      <c r="C270" s="205"/>
      <c r="D270" s="205"/>
      <c r="E270" s="205"/>
      <c r="F270" s="205"/>
      <c r="G270" s="205"/>
      <c r="H270" s="205"/>
      <c r="I270" s="205"/>
      <c r="J270" s="205"/>
      <c r="K270" s="205"/>
      <c r="L270" s="205"/>
      <c r="M270" s="205"/>
      <c r="N270" s="205"/>
      <c r="O270" s="205"/>
      <c r="P270" s="205"/>
      <c r="Q270" s="205"/>
      <c r="R270" s="205"/>
      <c r="S270" s="205"/>
      <c r="T270" s="205"/>
      <c r="U270" s="205"/>
      <c r="V270" s="205"/>
      <c r="W270" s="205"/>
      <c r="X270" s="205"/>
      <c r="Y270" s="205"/>
      <c r="Z270" s="205"/>
    </row>
    <row r="271" ht="12.75" customHeight="1">
      <c r="A271" s="205"/>
      <c r="B271" s="205"/>
      <c r="C271" s="205"/>
      <c r="D271" s="205"/>
      <c r="E271" s="205"/>
      <c r="F271" s="205"/>
      <c r="G271" s="205"/>
      <c r="H271" s="205"/>
      <c r="I271" s="205"/>
      <c r="J271" s="205"/>
      <c r="K271" s="205"/>
      <c r="L271" s="205"/>
      <c r="M271" s="205"/>
      <c r="N271" s="205"/>
      <c r="O271" s="205"/>
      <c r="P271" s="205"/>
      <c r="Q271" s="205"/>
      <c r="R271" s="205"/>
      <c r="S271" s="205"/>
      <c r="T271" s="205"/>
      <c r="U271" s="205"/>
      <c r="V271" s="205"/>
      <c r="W271" s="205"/>
      <c r="X271" s="205"/>
      <c r="Y271" s="205"/>
      <c r="Z271" s="205"/>
    </row>
    <row r="272" ht="12.75" customHeight="1">
      <c r="A272" s="205"/>
      <c r="B272" s="205"/>
      <c r="C272" s="205"/>
      <c r="D272" s="205"/>
      <c r="E272" s="205"/>
      <c r="F272" s="205"/>
      <c r="G272" s="205"/>
      <c r="H272" s="205"/>
      <c r="I272" s="205"/>
      <c r="J272" s="205"/>
      <c r="K272" s="205"/>
      <c r="L272" s="205"/>
      <c r="M272" s="205"/>
      <c r="N272" s="205"/>
      <c r="O272" s="205"/>
      <c r="P272" s="205"/>
      <c r="Q272" s="205"/>
      <c r="R272" s="205"/>
      <c r="S272" s="205"/>
      <c r="T272" s="205"/>
      <c r="U272" s="205"/>
      <c r="V272" s="205"/>
      <c r="W272" s="205"/>
      <c r="X272" s="205"/>
      <c r="Y272" s="205"/>
      <c r="Z272" s="205"/>
    </row>
    <row r="273" ht="12.75" customHeight="1">
      <c r="A273" s="205"/>
      <c r="B273" s="205"/>
      <c r="C273" s="205"/>
      <c r="D273" s="205"/>
      <c r="E273" s="205"/>
      <c r="F273" s="205"/>
      <c r="G273" s="205"/>
      <c r="H273" s="205"/>
      <c r="I273" s="205"/>
      <c r="J273" s="205"/>
      <c r="K273" s="205"/>
      <c r="L273" s="205"/>
      <c r="M273" s="205"/>
      <c r="N273" s="205"/>
      <c r="O273" s="205"/>
      <c r="P273" s="205"/>
      <c r="Q273" s="205"/>
      <c r="R273" s="205"/>
      <c r="S273" s="205"/>
      <c r="T273" s="205"/>
      <c r="U273" s="205"/>
      <c r="V273" s="205"/>
      <c r="W273" s="205"/>
      <c r="X273" s="205"/>
      <c r="Y273" s="205"/>
      <c r="Z273" s="205"/>
    </row>
    <row r="274" ht="12.75" customHeight="1">
      <c r="A274" s="205"/>
      <c r="B274" s="205"/>
      <c r="C274" s="205"/>
      <c r="D274" s="205"/>
      <c r="E274" s="205"/>
      <c r="F274" s="205"/>
      <c r="G274" s="205"/>
      <c r="H274" s="205"/>
      <c r="I274" s="205"/>
      <c r="J274" s="205"/>
      <c r="K274" s="205"/>
      <c r="L274" s="205"/>
      <c r="M274" s="205"/>
      <c r="N274" s="205"/>
      <c r="O274" s="205"/>
      <c r="P274" s="205"/>
      <c r="Q274" s="205"/>
      <c r="R274" s="205"/>
      <c r="S274" s="205"/>
      <c r="T274" s="205"/>
      <c r="U274" s="205"/>
      <c r="V274" s="205"/>
      <c r="W274" s="205"/>
      <c r="X274" s="205"/>
      <c r="Y274" s="205"/>
      <c r="Z274" s="205"/>
    </row>
    <row r="275" ht="12.75" customHeight="1">
      <c r="A275" s="205"/>
      <c r="B275" s="205"/>
      <c r="C275" s="205"/>
      <c r="D275" s="205"/>
      <c r="E275" s="205"/>
      <c r="F275" s="205"/>
      <c r="G275" s="205"/>
      <c r="H275" s="205"/>
      <c r="I275" s="205"/>
      <c r="J275" s="205"/>
      <c r="K275" s="205"/>
      <c r="L275" s="205"/>
      <c r="M275" s="205"/>
      <c r="N275" s="205"/>
      <c r="O275" s="205"/>
      <c r="P275" s="205"/>
      <c r="Q275" s="205"/>
      <c r="R275" s="205"/>
      <c r="S275" s="205"/>
      <c r="T275" s="205"/>
      <c r="U275" s="205"/>
      <c r="V275" s="205"/>
      <c r="W275" s="205"/>
      <c r="X275" s="205"/>
      <c r="Y275" s="205"/>
      <c r="Z275" s="205"/>
    </row>
    <row r="276" ht="12.75" customHeight="1">
      <c r="A276" s="205"/>
      <c r="B276" s="205"/>
      <c r="C276" s="205"/>
      <c r="D276" s="205"/>
      <c r="E276" s="205"/>
      <c r="F276" s="205"/>
      <c r="G276" s="205"/>
      <c r="H276" s="205"/>
      <c r="I276" s="205"/>
      <c r="J276" s="205"/>
      <c r="K276" s="205"/>
      <c r="L276" s="205"/>
      <c r="M276" s="205"/>
      <c r="N276" s="205"/>
      <c r="O276" s="205"/>
      <c r="P276" s="205"/>
      <c r="Q276" s="205"/>
      <c r="R276" s="205"/>
      <c r="S276" s="205"/>
      <c r="T276" s="205"/>
      <c r="U276" s="205"/>
      <c r="V276" s="205"/>
      <c r="W276" s="205"/>
      <c r="X276" s="205"/>
      <c r="Y276" s="205"/>
      <c r="Z276" s="205"/>
    </row>
    <row r="277" ht="12.75" customHeight="1">
      <c r="A277" s="205"/>
      <c r="B277" s="205"/>
      <c r="C277" s="205"/>
      <c r="D277" s="205"/>
      <c r="E277" s="205"/>
      <c r="F277" s="205"/>
      <c r="G277" s="205"/>
      <c r="H277" s="205"/>
      <c r="I277" s="205"/>
      <c r="J277" s="205"/>
      <c r="K277" s="205"/>
      <c r="L277" s="205"/>
      <c r="M277" s="205"/>
      <c r="N277" s="205"/>
      <c r="O277" s="205"/>
      <c r="P277" s="205"/>
      <c r="Q277" s="205"/>
      <c r="R277" s="205"/>
      <c r="S277" s="205"/>
      <c r="T277" s="205"/>
      <c r="U277" s="205"/>
      <c r="V277" s="205"/>
      <c r="W277" s="205"/>
      <c r="X277" s="205"/>
      <c r="Y277" s="205"/>
      <c r="Z277" s="205"/>
    </row>
    <row r="278" ht="12.75" customHeight="1">
      <c r="A278" s="205"/>
      <c r="B278" s="205"/>
      <c r="C278" s="205"/>
      <c r="D278" s="205"/>
      <c r="E278" s="205"/>
      <c r="F278" s="205"/>
      <c r="G278" s="205"/>
      <c r="H278" s="205"/>
      <c r="I278" s="205"/>
      <c r="J278" s="205"/>
      <c r="K278" s="205"/>
      <c r="L278" s="205"/>
      <c r="M278" s="205"/>
      <c r="N278" s="205"/>
      <c r="O278" s="205"/>
      <c r="P278" s="205"/>
      <c r="Q278" s="205"/>
      <c r="R278" s="205"/>
      <c r="S278" s="205"/>
      <c r="T278" s="205"/>
      <c r="U278" s="205"/>
      <c r="V278" s="205"/>
      <c r="W278" s="205"/>
      <c r="X278" s="205"/>
      <c r="Y278" s="205"/>
      <c r="Z278" s="205"/>
    </row>
    <row r="279" ht="12.75" customHeight="1">
      <c r="A279" s="205"/>
      <c r="B279" s="205"/>
      <c r="C279" s="205"/>
      <c r="D279" s="205"/>
      <c r="E279" s="205"/>
      <c r="F279" s="205"/>
      <c r="G279" s="205"/>
      <c r="H279" s="205"/>
      <c r="I279" s="205"/>
      <c r="J279" s="205"/>
      <c r="K279" s="205"/>
      <c r="L279" s="205"/>
      <c r="M279" s="205"/>
      <c r="N279" s="205"/>
      <c r="O279" s="205"/>
      <c r="P279" s="205"/>
      <c r="Q279" s="205"/>
      <c r="R279" s="205"/>
      <c r="S279" s="205"/>
      <c r="T279" s="205"/>
      <c r="U279" s="205"/>
      <c r="V279" s="205"/>
      <c r="W279" s="205"/>
      <c r="X279" s="205"/>
      <c r="Y279" s="205"/>
      <c r="Z279" s="205"/>
    </row>
    <row r="280" ht="12.75" customHeight="1">
      <c r="A280" s="205"/>
      <c r="B280" s="205"/>
      <c r="C280" s="205"/>
      <c r="D280" s="205"/>
      <c r="E280" s="205"/>
      <c r="F280" s="205"/>
      <c r="G280" s="205"/>
      <c r="H280" s="205"/>
      <c r="I280" s="205"/>
      <c r="J280" s="205"/>
      <c r="K280" s="205"/>
      <c r="L280" s="205"/>
      <c r="M280" s="205"/>
      <c r="N280" s="205"/>
      <c r="O280" s="205"/>
      <c r="P280" s="205"/>
      <c r="Q280" s="205"/>
      <c r="R280" s="205"/>
      <c r="S280" s="205"/>
      <c r="T280" s="205"/>
      <c r="U280" s="205"/>
      <c r="V280" s="205"/>
      <c r="W280" s="205"/>
      <c r="X280" s="205"/>
      <c r="Y280" s="205"/>
      <c r="Z280" s="205"/>
    </row>
    <row r="281" ht="12.75" customHeight="1">
      <c r="A281" s="205"/>
      <c r="B281" s="205"/>
      <c r="C281" s="205"/>
      <c r="D281" s="205"/>
      <c r="E281" s="205"/>
      <c r="F281" s="205"/>
      <c r="G281" s="205"/>
      <c r="H281" s="205"/>
      <c r="I281" s="205"/>
      <c r="J281" s="205"/>
      <c r="K281" s="205"/>
      <c r="L281" s="205"/>
      <c r="M281" s="205"/>
      <c r="N281" s="205"/>
      <c r="O281" s="205"/>
      <c r="P281" s="205"/>
      <c r="Q281" s="205"/>
      <c r="R281" s="205"/>
      <c r="S281" s="205"/>
      <c r="T281" s="205"/>
      <c r="U281" s="205"/>
      <c r="V281" s="205"/>
      <c r="W281" s="205"/>
      <c r="X281" s="205"/>
      <c r="Y281" s="205"/>
      <c r="Z281" s="205"/>
    </row>
    <row r="282" ht="12.75" customHeight="1">
      <c r="A282" s="205"/>
      <c r="B282" s="205"/>
      <c r="C282" s="205"/>
      <c r="D282" s="205"/>
      <c r="E282" s="205"/>
      <c r="F282" s="205"/>
      <c r="G282" s="205"/>
      <c r="H282" s="205"/>
      <c r="I282" s="205"/>
      <c r="J282" s="205"/>
      <c r="K282" s="205"/>
      <c r="L282" s="205"/>
      <c r="M282" s="205"/>
      <c r="N282" s="205"/>
      <c r="O282" s="205"/>
      <c r="P282" s="205"/>
      <c r="Q282" s="205"/>
      <c r="R282" s="205"/>
      <c r="S282" s="205"/>
      <c r="T282" s="205"/>
      <c r="U282" s="205"/>
      <c r="V282" s="205"/>
      <c r="W282" s="205"/>
      <c r="X282" s="205"/>
      <c r="Y282" s="205"/>
      <c r="Z282" s="205"/>
    </row>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
    <mergeCell ref="C37:D37"/>
  </mergeCells>
  <printOptions/>
  <pageMargins bottom="0.75" footer="0.0" header="0.0" left="0.7" right="0.7" top="0.75"/>
  <pageSetup paperSize="9" orientation="portrait"/>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4BFF"/>
    <pageSetUpPr/>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4.43" defaultRowHeight="15.75"/>
  <cols>
    <col customWidth="1" min="1" max="1" width="48.29"/>
    <col customWidth="1" min="2" max="2" width="7.43"/>
    <col customWidth="1" min="3" max="3" width="20.86"/>
    <col customWidth="1" min="4" max="4" width="55.86"/>
    <col customWidth="1" min="5" max="5" width="11.57"/>
    <col customWidth="1" min="6" max="6" width="14.29"/>
    <col customWidth="1" min="7" max="7" width="9.0"/>
    <col customWidth="1" min="8" max="8" width="6.71"/>
    <col customWidth="1" min="9" max="9" width="7.29"/>
    <col customWidth="1" min="10" max="10" width="17.14"/>
    <col customWidth="1" min="11" max="11" width="7.71"/>
    <col customWidth="1" min="12" max="12" width="14.14"/>
    <col customWidth="1" min="13" max="13" width="13.0"/>
    <col customWidth="1" min="14" max="14" width="26.14"/>
    <col customWidth="1" min="15" max="15" width="26.71"/>
    <col customWidth="1" min="16" max="16" width="25.57"/>
    <col customWidth="1" min="17" max="17" width="24.0"/>
    <col customWidth="1" hidden="1" min="18" max="18" width="8.71"/>
    <col customWidth="1" hidden="1" min="19" max="19" width="7.71"/>
    <col customWidth="1" hidden="1" min="20" max="20" width="8.71"/>
    <col customWidth="1" hidden="1" min="21" max="21" width="9.43"/>
    <col customWidth="1" hidden="1" min="22" max="24" width="8.71"/>
    <col customWidth="1" min="25" max="31" width="8.71"/>
  </cols>
  <sheetData>
    <row r="1" ht="84.0" customHeight="1">
      <c r="A1" s="229" t="s">
        <v>687</v>
      </c>
      <c r="B1" s="229" t="s">
        <v>18701</v>
      </c>
      <c r="C1" s="229" t="s">
        <v>18611</v>
      </c>
      <c r="D1" s="229" t="s">
        <v>18702</v>
      </c>
      <c r="E1" s="229" t="s">
        <v>18615</v>
      </c>
      <c r="F1" s="230" t="s">
        <v>18628</v>
      </c>
      <c r="G1" s="231" t="s">
        <v>18630</v>
      </c>
      <c r="H1" s="230" t="s">
        <v>54</v>
      </c>
      <c r="I1" s="230" t="s">
        <v>18703</v>
      </c>
      <c r="J1" s="229" t="s">
        <v>18704</v>
      </c>
      <c r="K1" s="230" t="s">
        <v>18705</v>
      </c>
      <c r="L1" s="229" t="s">
        <v>18706</v>
      </c>
      <c r="M1" s="229" t="s">
        <v>18707</v>
      </c>
      <c r="N1" s="229" t="s">
        <v>18652</v>
      </c>
      <c r="O1" s="232" t="s">
        <v>18674</v>
      </c>
      <c r="P1" s="229" t="s">
        <v>18685</v>
      </c>
      <c r="Q1" s="229" t="s">
        <v>18708</v>
      </c>
      <c r="R1" s="229" t="s">
        <v>18709</v>
      </c>
      <c r="S1" s="229" t="s">
        <v>18710</v>
      </c>
      <c r="T1" s="229" t="s">
        <v>18711</v>
      </c>
      <c r="U1" s="229" t="s">
        <v>18712</v>
      </c>
      <c r="V1" s="229" t="s">
        <v>18713</v>
      </c>
      <c r="W1" s="229" t="s">
        <v>18714</v>
      </c>
      <c r="X1" s="229" t="s">
        <v>18715</v>
      </c>
      <c r="Y1" s="229" t="s">
        <v>18716</v>
      </c>
      <c r="Z1" s="229" t="s">
        <v>18717</v>
      </c>
      <c r="AA1" s="229" t="s">
        <v>18718</v>
      </c>
      <c r="AB1" s="229" t="s">
        <v>18719</v>
      </c>
      <c r="AC1" s="229" t="s">
        <v>18720</v>
      </c>
      <c r="AD1" s="229" t="s">
        <v>18721</v>
      </c>
      <c r="AE1" s="229" t="s">
        <v>18722</v>
      </c>
    </row>
    <row r="2" ht="14.25" customHeight="1">
      <c r="A2" s="233" t="s">
        <v>18723</v>
      </c>
      <c r="B2" s="234">
        <v>1.0</v>
      </c>
      <c r="C2" s="234" t="s">
        <v>120</v>
      </c>
      <c r="D2" s="235" t="s">
        <v>18724</v>
      </c>
      <c r="E2" s="234" t="s">
        <v>18618</v>
      </c>
      <c r="F2" s="234">
        <v>2019.0</v>
      </c>
      <c r="G2" s="234" t="s">
        <v>18725</v>
      </c>
      <c r="H2" s="234">
        <v>2025.0</v>
      </c>
      <c r="I2" s="234" t="s">
        <v>18725</v>
      </c>
      <c r="J2" s="234" t="s">
        <v>18192</v>
      </c>
      <c r="K2" s="236">
        <v>2.0</v>
      </c>
      <c r="L2" s="236">
        <v>0.7</v>
      </c>
      <c r="M2" s="236">
        <v>0.7</v>
      </c>
      <c r="N2" s="234" t="s">
        <v>18665</v>
      </c>
      <c r="O2" s="237" t="s">
        <v>18683</v>
      </c>
      <c r="P2" s="238" t="s">
        <v>18725</v>
      </c>
      <c r="Q2" s="234" t="s">
        <v>18726</v>
      </c>
      <c r="R2" s="238" t="s">
        <v>18727</v>
      </c>
      <c r="S2" s="238" t="s">
        <v>18728</v>
      </c>
      <c r="T2" s="238" t="s">
        <v>18725</v>
      </c>
      <c r="U2" s="238" t="s">
        <v>18725</v>
      </c>
      <c r="V2" s="238" t="s">
        <v>18725</v>
      </c>
      <c r="W2" s="238" t="s">
        <v>18725</v>
      </c>
      <c r="X2" s="238" t="s">
        <v>18725</v>
      </c>
      <c r="Y2" s="239" t="str">
        <f>IF('CCUS Projects Database'!$R2&lt;&gt;"",HYPERLINK('CCUS Projects Database'!$R2,"Link 1"),"")</f>
        <v>Link 1</v>
      </c>
      <c r="Z2" s="239" t="str">
        <f>IF('CCUS Projects Database'!$S2&lt;&gt;"",HYPERLINK('CCUS Projects Database'!$S2,"Link 2"),"")</f>
        <v>Link 2</v>
      </c>
      <c r="AA2" s="239" t="str">
        <f>IF('CCUS Projects Database'!$T2&lt;&gt;"",HYPERLINK('CCUS Projects Database'!$T2,"Link 3"),"")</f>
        <v/>
      </c>
      <c r="AB2" s="239" t="str">
        <f>IF('CCUS Projects Database'!$U2&lt;&gt;"",HYPERLINK('CCUS Projects Database'!$U2,"Link 4"),"")</f>
        <v/>
      </c>
      <c r="AC2" s="239" t="str">
        <f>IF('CCUS Projects Database'!$V2&lt;&gt;"",HYPERLINK('CCUS Projects Database'!$V2,"Link 5"),"")</f>
        <v/>
      </c>
      <c r="AD2" s="239" t="str">
        <f>IF('CCUS Projects Database'!$W2&lt;&gt;"",HYPERLINK('CCUS Projects Database'!$W2,"Link 6"),"")</f>
        <v/>
      </c>
      <c r="AE2" s="239" t="str">
        <f>IF('CCUS Projects Database'!$X2&lt;&gt;"",HYPERLINK('CCUS Projects Database'!$X2,"Link 7"),"")</f>
        <v/>
      </c>
    </row>
    <row r="3" ht="14.25" customHeight="1">
      <c r="A3" s="233" t="s">
        <v>18729</v>
      </c>
      <c r="B3" s="234">
        <v>3.0</v>
      </c>
      <c r="C3" s="234" t="s">
        <v>18586</v>
      </c>
      <c r="D3" s="235" t="s">
        <v>18730</v>
      </c>
      <c r="E3" s="234" t="s">
        <v>18618</v>
      </c>
      <c r="F3" s="234">
        <v>2022.0</v>
      </c>
      <c r="G3" s="234" t="s">
        <v>18725</v>
      </c>
      <c r="H3" s="234" t="s">
        <v>18725</v>
      </c>
      <c r="I3" s="234" t="s">
        <v>18725</v>
      </c>
      <c r="J3" s="234" t="s">
        <v>18636</v>
      </c>
      <c r="K3" s="236" t="s">
        <v>18725</v>
      </c>
      <c r="L3" s="236" t="s">
        <v>18725</v>
      </c>
      <c r="M3" s="236" t="s">
        <v>18725</v>
      </c>
      <c r="N3" s="234" t="s">
        <v>18731</v>
      </c>
      <c r="O3" s="237" t="s">
        <v>18675</v>
      </c>
      <c r="P3" s="238" t="s">
        <v>18725</v>
      </c>
      <c r="Q3" s="234" t="s">
        <v>18732</v>
      </c>
      <c r="R3" s="238" t="s">
        <v>18733</v>
      </c>
      <c r="S3" s="238" t="s">
        <v>18725</v>
      </c>
      <c r="T3" s="238" t="s">
        <v>18725</v>
      </c>
      <c r="U3" s="238" t="s">
        <v>18725</v>
      </c>
      <c r="V3" s="238" t="s">
        <v>18725</v>
      </c>
      <c r="W3" s="238" t="s">
        <v>18725</v>
      </c>
      <c r="X3" s="238" t="s">
        <v>18725</v>
      </c>
      <c r="Y3" s="239" t="str">
        <f>IF('CCUS Projects Database'!$R3&lt;&gt;"",HYPERLINK('CCUS Projects Database'!$R3,"Link 1"),"")</f>
        <v>Link 1</v>
      </c>
      <c r="Z3" s="239" t="str">
        <f>IF('CCUS Projects Database'!$S3&lt;&gt;"",HYPERLINK('CCUS Projects Database'!$S3,"Link 2"),"")</f>
        <v/>
      </c>
      <c r="AA3" s="239" t="str">
        <f>IF('CCUS Projects Database'!$T3&lt;&gt;"",HYPERLINK('CCUS Projects Database'!$T3,"Link 3"),"")</f>
        <v/>
      </c>
      <c r="AB3" s="239" t="str">
        <f>IF('CCUS Projects Database'!$U3&lt;&gt;"",HYPERLINK('CCUS Projects Database'!$U3,"Link 4"),"")</f>
        <v/>
      </c>
      <c r="AC3" s="239" t="str">
        <f>IF('CCUS Projects Database'!$V3&lt;&gt;"",HYPERLINK('CCUS Projects Database'!$V3,"Link 5"),"")</f>
        <v/>
      </c>
      <c r="AD3" s="239" t="str">
        <f>IF('CCUS Projects Database'!$W3&lt;&gt;"",HYPERLINK('CCUS Projects Database'!$W3,"Link 6"),"")</f>
        <v/>
      </c>
      <c r="AE3" s="239" t="str">
        <f>IF('CCUS Projects Database'!$X3&lt;&gt;"",HYPERLINK('CCUS Projects Database'!$X3,"Link 7"),"")</f>
        <v/>
      </c>
    </row>
    <row r="4" ht="14.25" customHeight="1">
      <c r="A4" s="233" t="s">
        <v>18734</v>
      </c>
      <c r="B4" s="234">
        <v>4.0</v>
      </c>
      <c r="C4" s="234" t="s">
        <v>18321</v>
      </c>
      <c r="D4" s="235" t="s">
        <v>18735</v>
      </c>
      <c r="E4" s="234" t="s">
        <v>18616</v>
      </c>
      <c r="F4" s="234">
        <v>2007.0</v>
      </c>
      <c r="G4" s="234">
        <v>2012.0</v>
      </c>
      <c r="H4" s="234">
        <v>2016.0</v>
      </c>
      <c r="I4" s="234" t="s">
        <v>18725</v>
      </c>
      <c r="J4" s="234" t="s">
        <v>12385</v>
      </c>
      <c r="K4" s="236" t="s">
        <v>18725</v>
      </c>
      <c r="L4" s="236">
        <v>0.8</v>
      </c>
      <c r="M4" s="236">
        <v>0.8</v>
      </c>
      <c r="N4" s="234" t="s">
        <v>18665</v>
      </c>
      <c r="O4" s="237" t="s">
        <v>18677</v>
      </c>
      <c r="P4" s="238" t="s">
        <v>18725</v>
      </c>
      <c r="Q4" s="234" t="s">
        <v>18293</v>
      </c>
      <c r="R4" s="238" t="s">
        <v>16222</v>
      </c>
      <c r="S4" s="238" t="s">
        <v>18736</v>
      </c>
      <c r="T4" s="238" t="s">
        <v>18725</v>
      </c>
      <c r="U4" s="238" t="s">
        <v>18725</v>
      </c>
      <c r="V4" s="238" t="s">
        <v>18725</v>
      </c>
      <c r="W4" s="238" t="s">
        <v>18725</v>
      </c>
      <c r="X4" s="238" t="s">
        <v>18725</v>
      </c>
      <c r="Y4" s="239" t="str">
        <f>IF('CCUS Projects Database'!$R4&lt;&gt;"",HYPERLINK('CCUS Projects Database'!$R4,"Link 1"),"")</f>
        <v>Link 1</v>
      </c>
      <c r="Z4" s="239" t="str">
        <f>IF('CCUS Projects Database'!$S4&lt;&gt;"",HYPERLINK('CCUS Projects Database'!$S4,"Link 2"),"")</f>
        <v>Link 2</v>
      </c>
      <c r="AA4" s="239" t="str">
        <f>IF('CCUS Projects Database'!$T4&lt;&gt;"",HYPERLINK('CCUS Projects Database'!$T4,"Link 3"),"")</f>
        <v/>
      </c>
      <c r="AB4" s="239" t="str">
        <f>IF('CCUS Projects Database'!$U4&lt;&gt;"",HYPERLINK('CCUS Projects Database'!$U4,"Link 4"),"")</f>
        <v/>
      </c>
      <c r="AC4" s="239" t="str">
        <f>IF('CCUS Projects Database'!$V4&lt;&gt;"",HYPERLINK('CCUS Projects Database'!$V4,"Link 5"),"")</f>
        <v/>
      </c>
      <c r="AD4" s="239" t="str">
        <f>IF('CCUS Projects Database'!$W4&lt;&gt;"",HYPERLINK('CCUS Projects Database'!$W4,"Link 6"),"")</f>
        <v/>
      </c>
      <c r="AE4" s="239" t="str">
        <f>IF('CCUS Projects Database'!$X4&lt;&gt;"",HYPERLINK('CCUS Projects Database'!$X4,"Link 7"),"")</f>
        <v/>
      </c>
    </row>
    <row r="5" ht="14.25" customHeight="1">
      <c r="A5" s="233" t="s">
        <v>18737</v>
      </c>
      <c r="B5" s="234">
        <v>5.0</v>
      </c>
      <c r="C5" s="234" t="s">
        <v>18321</v>
      </c>
      <c r="D5" s="235" t="s">
        <v>18738</v>
      </c>
      <c r="E5" s="234" t="s">
        <v>18616</v>
      </c>
      <c r="F5" s="234">
        <v>2020.0</v>
      </c>
      <c r="G5" s="234">
        <v>2023.0</v>
      </c>
      <c r="H5" s="234">
        <v>2026.0</v>
      </c>
      <c r="I5" s="234" t="s">
        <v>18725</v>
      </c>
      <c r="J5" s="234" t="s">
        <v>18638</v>
      </c>
      <c r="K5" s="236" t="s">
        <v>18725</v>
      </c>
      <c r="L5" s="236">
        <v>1.5</v>
      </c>
      <c r="M5" s="236">
        <v>1.5</v>
      </c>
      <c r="N5" s="234" t="s">
        <v>18656</v>
      </c>
      <c r="O5" s="237" t="s">
        <v>18677</v>
      </c>
      <c r="P5" s="238" t="s">
        <v>18725</v>
      </c>
      <c r="Q5" s="234" t="s">
        <v>18293</v>
      </c>
      <c r="R5" s="238" t="s">
        <v>18739</v>
      </c>
      <c r="S5" s="238" t="s">
        <v>18740</v>
      </c>
      <c r="T5" s="238" t="s">
        <v>18741</v>
      </c>
      <c r="U5" s="238" t="s">
        <v>18725</v>
      </c>
      <c r="V5" s="238" t="s">
        <v>18725</v>
      </c>
      <c r="W5" s="238" t="s">
        <v>18725</v>
      </c>
      <c r="X5" s="238" t="s">
        <v>18725</v>
      </c>
      <c r="Y5" s="239" t="str">
        <f>IF('CCUS Projects Database'!$R5&lt;&gt;"",HYPERLINK('CCUS Projects Database'!$R5,"Link 1"),"")</f>
        <v>Link 1</v>
      </c>
      <c r="Z5" s="239" t="str">
        <f>IF('CCUS Projects Database'!$S5&lt;&gt;"",HYPERLINK('CCUS Projects Database'!$S5,"Link 2"),"")</f>
        <v>Link 2</v>
      </c>
      <c r="AA5" s="239" t="str">
        <f>IF('CCUS Projects Database'!$T5&lt;&gt;"",HYPERLINK('CCUS Projects Database'!$T5,"Link 3"),"")</f>
        <v>Link 3</v>
      </c>
      <c r="AB5" s="239" t="str">
        <f>IF('CCUS Projects Database'!$U5&lt;&gt;"",HYPERLINK('CCUS Projects Database'!$U5,"Link 4"),"")</f>
        <v/>
      </c>
      <c r="AC5" s="239" t="str">
        <f>IF('CCUS Projects Database'!$V5&lt;&gt;"",HYPERLINK('CCUS Projects Database'!$V5,"Link 5"),"")</f>
        <v/>
      </c>
      <c r="AD5" s="239" t="str">
        <f>IF('CCUS Projects Database'!$W5&lt;&gt;"",HYPERLINK('CCUS Projects Database'!$W5,"Link 6"),"")</f>
        <v/>
      </c>
      <c r="AE5" s="239" t="str">
        <f>IF('CCUS Projects Database'!$X5&lt;&gt;"",HYPERLINK('CCUS Projects Database'!$X5,"Link 7"),"")</f>
        <v/>
      </c>
    </row>
    <row r="6" ht="14.25" customHeight="1">
      <c r="A6" s="233" t="s">
        <v>18742</v>
      </c>
      <c r="B6" s="234">
        <v>6.0</v>
      </c>
      <c r="C6" s="234" t="s">
        <v>18321</v>
      </c>
      <c r="D6" s="235" t="s">
        <v>18743</v>
      </c>
      <c r="E6" s="234" t="s">
        <v>18616</v>
      </c>
      <c r="F6" s="234">
        <v>2020.0</v>
      </c>
      <c r="G6" s="234" t="s">
        <v>18725</v>
      </c>
      <c r="H6" s="234">
        <v>2030.0</v>
      </c>
      <c r="I6" s="234" t="s">
        <v>18725</v>
      </c>
      <c r="J6" s="234" t="s">
        <v>18636</v>
      </c>
      <c r="K6" s="236">
        <v>2.0</v>
      </c>
      <c r="L6" s="236">
        <v>2.3</v>
      </c>
      <c r="M6" s="236">
        <v>2.3</v>
      </c>
      <c r="N6" s="234" t="s">
        <v>18656</v>
      </c>
      <c r="O6" s="237" t="s">
        <v>18677</v>
      </c>
      <c r="P6" s="238" t="s">
        <v>18725</v>
      </c>
      <c r="Q6" s="234" t="s">
        <v>18293</v>
      </c>
      <c r="R6" s="238" t="s">
        <v>18739</v>
      </c>
      <c r="S6" s="238" t="s">
        <v>18725</v>
      </c>
      <c r="T6" s="238" t="s">
        <v>18725</v>
      </c>
      <c r="U6" s="238" t="s">
        <v>18725</v>
      </c>
      <c r="V6" s="238" t="s">
        <v>18725</v>
      </c>
      <c r="W6" s="238" t="s">
        <v>18725</v>
      </c>
      <c r="X6" s="238" t="s">
        <v>18725</v>
      </c>
      <c r="Y6" s="239" t="str">
        <f>IF('CCUS Projects Database'!$R6&lt;&gt;"",HYPERLINK('CCUS Projects Database'!$R6,"Link 1"),"")</f>
        <v>Link 1</v>
      </c>
      <c r="Z6" s="239" t="str">
        <f>IF('CCUS Projects Database'!$S6&lt;&gt;"",HYPERLINK('CCUS Projects Database'!$S6,"Link 2"),"")</f>
        <v/>
      </c>
      <c r="AA6" s="239" t="str">
        <f>IF('CCUS Projects Database'!$T6&lt;&gt;"",HYPERLINK('CCUS Projects Database'!$T6,"Link 3"),"")</f>
        <v/>
      </c>
      <c r="AB6" s="239" t="str">
        <f>IF('CCUS Projects Database'!$U6&lt;&gt;"",HYPERLINK('CCUS Projects Database'!$U6,"Link 4"),"")</f>
        <v/>
      </c>
      <c r="AC6" s="239" t="str">
        <f>IF('CCUS Projects Database'!$V6&lt;&gt;"",HYPERLINK('CCUS Projects Database'!$V6,"Link 5"),"")</f>
        <v/>
      </c>
      <c r="AD6" s="239" t="str">
        <f>IF('CCUS Projects Database'!$W6&lt;&gt;"",HYPERLINK('CCUS Projects Database'!$W6,"Link 6"),"")</f>
        <v/>
      </c>
      <c r="AE6" s="239" t="str">
        <f>IF('CCUS Projects Database'!$X6&lt;&gt;"",HYPERLINK('CCUS Projects Database'!$X6,"Link 7"),"")</f>
        <v/>
      </c>
    </row>
    <row r="7" ht="14.25" customHeight="1">
      <c r="A7" s="233" t="s">
        <v>18744</v>
      </c>
      <c r="B7" s="234">
        <v>7.0</v>
      </c>
      <c r="C7" s="234" t="s">
        <v>83</v>
      </c>
      <c r="D7" s="235" t="s">
        <v>18745</v>
      </c>
      <c r="E7" s="234" t="s">
        <v>18618</v>
      </c>
      <c r="F7" s="234">
        <v>2016.0</v>
      </c>
      <c r="G7" s="234">
        <v>2025.0</v>
      </c>
      <c r="H7" s="234">
        <v>2028.0</v>
      </c>
      <c r="I7" s="234" t="s">
        <v>18725</v>
      </c>
      <c r="J7" s="234" t="s">
        <v>18636</v>
      </c>
      <c r="K7" s="236">
        <v>1.0</v>
      </c>
      <c r="L7" s="236">
        <v>0.3</v>
      </c>
      <c r="M7" s="236">
        <v>0.3</v>
      </c>
      <c r="N7" s="234" t="s">
        <v>18656</v>
      </c>
      <c r="O7" s="237" t="s">
        <v>18675</v>
      </c>
      <c r="P7" s="238" t="s">
        <v>18746</v>
      </c>
      <c r="Q7" s="234" t="s">
        <v>18726</v>
      </c>
      <c r="R7" s="238" t="s">
        <v>18747</v>
      </c>
      <c r="S7" s="238" t="s">
        <v>18748</v>
      </c>
      <c r="T7" s="238" t="s">
        <v>18749</v>
      </c>
      <c r="U7" s="238" t="s">
        <v>18750</v>
      </c>
      <c r="V7" s="238" t="s">
        <v>18751</v>
      </c>
      <c r="W7" s="238" t="s">
        <v>18752</v>
      </c>
      <c r="X7" s="238" t="s">
        <v>18725</v>
      </c>
      <c r="Y7" s="239" t="str">
        <f>IF('CCUS Projects Database'!$R7&lt;&gt;"",HYPERLINK('CCUS Projects Database'!$R7,"Link 1"),"")</f>
        <v>Link 1</v>
      </c>
      <c r="Z7" s="239" t="str">
        <f>IF('CCUS Projects Database'!$S7&lt;&gt;"",HYPERLINK('CCUS Projects Database'!$S7,"Link 2"),"")</f>
        <v>Link 2</v>
      </c>
      <c r="AA7" s="239" t="str">
        <f>IF('CCUS Projects Database'!$T7&lt;&gt;"",HYPERLINK('CCUS Projects Database'!$T7,"Link 3"),"")</f>
        <v>Link 3</v>
      </c>
      <c r="AB7" s="239" t="str">
        <f>IF('CCUS Projects Database'!$U7&lt;&gt;"",HYPERLINK('CCUS Projects Database'!$U7,"Link 4"),"")</f>
        <v>Link 4</v>
      </c>
      <c r="AC7" s="239" t="str">
        <f>IF('CCUS Projects Database'!$V7&lt;&gt;"",HYPERLINK('CCUS Projects Database'!$V7,"Link 5"),"")</f>
        <v>Link 5</v>
      </c>
      <c r="AD7" s="239" t="str">
        <f>IF('CCUS Projects Database'!$W7&lt;&gt;"",HYPERLINK('CCUS Projects Database'!$W7,"Link 6"),"")</f>
        <v>Link 6</v>
      </c>
      <c r="AE7" s="239" t="str">
        <f>IF('CCUS Projects Database'!$X7&lt;&gt;"",HYPERLINK('CCUS Projects Database'!$X7,"Link 7"),"")</f>
        <v/>
      </c>
    </row>
    <row r="8" ht="14.25" customHeight="1">
      <c r="A8" s="233" t="s">
        <v>18753</v>
      </c>
      <c r="B8" s="234">
        <v>8.0</v>
      </c>
      <c r="C8" s="234" t="s">
        <v>83</v>
      </c>
      <c r="D8" s="235" t="s">
        <v>18745</v>
      </c>
      <c r="E8" s="234" t="s">
        <v>18623</v>
      </c>
      <c r="F8" s="234">
        <v>2016.0</v>
      </c>
      <c r="G8" s="234">
        <v>2025.0</v>
      </c>
      <c r="H8" s="234">
        <v>2028.0</v>
      </c>
      <c r="I8" s="234" t="s">
        <v>18725</v>
      </c>
      <c r="J8" s="234" t="s">
        <v>18636</v>
      </c>
      <c r="K8" s="236">
        <v>1.0</v>
      </c>
      <c r="L8" s="236" t="s">
        <v>18754</v>
      </c>
      <c r="M8" s="236">
        <v>0.8</v>
      </c>
      <c r="N8" s="234" t="s">
        <v>18623</v>
      </c>
      <c r="O8" s="237" t="s">
        <v>18675</v>
      </c>
      <c r="P8" s="238" t="s">
        <v>18746</v>
      </c>
      <c r="Q8" s="234" t="s">
        <v>18726</v>
      </c>
      <c r="R8" s="238" t="s">
        <v>18747</v>
      </c>
      <c r="S8" s="238" t="s">
        <v>18748</v>
      </c>
      <c r="T8" s="238" t="s">
        <v>18749</v>
      </c>
      <c r="U8" s="238" t="s">
        <v>18750</v>
      </c>
      <c r="V8" s="238" t="s">
        <v>18751</v>
      </c>
      <c r="W8" s="238" t="s">
        <v>18752</v>
      </c>
      <c r="X8" s="238" t="s">
        <v>18725</v>
      </c>
      <c r="Y8" s="239" t="str">
        <f>IF('CCUS Projects Database'!$R8&lt;&gt;"",HYPERLINK('CCUS Projects Database'!$R8,"Link 1"),"")</f>
        <v>Link 1</v>
      </c>
      <c r="Z8" s="239" t="str">
        <f>IF('CCUS Projects Database'!$S8&lt;&gt;"",HYPERLINK('CCUS Projects Database'!$S8,"Link 2"),"")</f>
        <v>Link 2</v>
      </c>
      <c r="AA8" s="239" t="str">
        <f>IF('CCUS Projects Database'!$T8&lt;&gt;"",HYPERLINK('CCUS Projects Database'!$T8,"Link 3"),"")</f>
        <v>Link 3</v>
      </c>
      <c r="AB8" s="239" t="str">
        <f>IF('CCUS Projects Database'!$U8&lt;&gt;"",HYPERLINK('CCUS Projects Database'!$U8,"Link 4"),"")</f>
        <v>Link 4</v>
      </c>
      <c r="AC8" s="239" t="str">
        <f>IF('CCUS Projects Database'!$V8&lt;&gt;"",HYPERLINK('CCUS Projects Database'!$V8,"Link 5"),"")</f>
        <v>Link 5</v>
      </c>
      <c r="AD8" s="239" t="str">
        <f>IF('CCUS Projects Database'!$W8&lt;&gt;"",HYPERLINK('CCUS Projects Database'!$W8,"Link 6"),"")</f>
        <v>Link 6</v>
      </c>
      <c r="AE8" s="239" t="str">
        <f>IF('CCUS Projects Database'!$X8&lt;&gt;"",HYPERLINK('CCUS Projects Database'!$X8,"Link 7"),"")</f>
        <v/>
      </c>
    </row>
    <row r="9" ht="14.25" customHeight="1">
      <c r="A9" s="233" t="s">
        <v>18755</v>
      </c>
      <c r="B9" s="234">
        <v>9.0</v>
      </c>
      <c r="C9" s="234" t="s">
        <v>83</v>
      </c>
      <c r="D9" s="235" t="s">
        <v>18745</v>
      </c>
      <c r="E9" s="234" t="s">
        <v>18623</v>
      </c>
      <c r="F9" s="234">
        <v>2017.0</v>
      </c>
      <c r="G9" s="234" t="s">
        <v>18725</v>
      </c>
      <c r="H9" s="234" t="s">
        <v>18725</v>
      </c>
      <c r="I9" s="234" t="s">
        <v>18725</v>
      </c>
      <c r="J9" s="234" t="s">
        <v>18636</v>
      </c>
      <c r="K9" s="236">
        <v>2.0</v>
      </c>
      <c r="L9" s="236">
        <v>5.0</v>
      </c>
      <c r="M9" s="236">
        <v>5.0</v>
      </c>
      <c r="N9" s="234" t="s">
        <v>18623</v>
      </c>
      <c r="O9" s="237" t="s">
        <v>18675</v>
      </c>
      <c r="P9" s="238" t="s">
        <v>18746</v>
      </c>
      <c r="Q9" s="234" t="s">
        <v>18726</v>
      </c>
      <c r="R9" s="238" t="s">
        <v>18747</v>
      </c>
      <c r="S9" s="238" t="s">
        <v>18748</v>
      </c>
      <c r="T9" s="238" t="s">
        <v>18749</v>
      </c>
      <c r="U9" s="238" t="s">
        <v>18750</v>
      </c>
      <c r="V9" s="238" t="s">
        <v>18751</v>
      </c>
      <c r="W9" s="238" t="s">
        <v>18752</v>
      </c>
      <c r="X9" s="238" t="s">
        <v>18756</v>
      </c>
      <c r="Y9" s="239" t="str">
        <f>IF('CCUS Projects Database'!$R9&lt;&gt;"",HYPERLINK('CCUS Projects Database'!$R9,"Link 1"),"")</f>
        <v>Link 1</v>
      </c>
      <c r="Z9" s="239" t="str">
        <f>IF('CCUS Projects Database'!$S9&lt;&gt;"",HYPERLINK('CCUS Projects Database'!$S9,"Link 2"),"")</f>
        <v>Link 2</v>
      </c>
      <c r="AA9" s="239" t="str">
        <f>IF('CCUS Projects Database'!$T9&lt;&gt;"",HYPERLINK('CCUS Projects Database'!$T9,"Link 3"),"")</f>
        <v>Link 3</v>
      </c>
      <c r="AB9" s="239" t="str">
        <f>IF('CCUS Projects Database'!$U9&lt;&gt;"",HYPERLINK('CCUS Projects Database'!$U9,"Link 4"),"")</f>
        <v>Link 4</v>
      </c>
      <c r="AC9" s="239" t="str">
        <f>IF('CCUS Projects Database'!$V9&lt;&gt;"",HYPERLINK('CCUS Projects Database'!$V9,"Link 5"),"")</f>
        <v>Link 5</v>
      </c>
      <c r="AD9" s="239" t="str">
        <f>IF('CCUS Projects Database'!$W9&lt;&gt;"",HYPERLINK('CCUS Projects Database'!$W9,"Link 6"),"")</f>
        <v>Link 6</v>
      </c>
      <c r="AE9" s="239" t="str">
        <f>IF('CCUS Projects Database'!$X9&lt;&gt;"",HYPERLINK('CCUS Projects Database'!$X9,"Link 7"),"")</f>
        <v>Link 7</v>
      </c>
    </row>
    <row r="10" ht="14.25" customHeight="1">
      <c r="A10" s="233" t="s">
        <v>8210</v>
      </c>
      <c r="B10" s="234">
        <v>10.0</v>
      </c>
      <c r="C10" s="234" t="s">
        <v>83</v>
      </c>
      <c r="D10" s="235" t="s">
        <v>18757</v>
      </c>
      <c r="E10" s="234" t="s">
        <v>18618</v>
      </c>
      <c r="F10" s="234">
        <v>2018.0</v>
      </c>
      <c r="G10" s="234" t="s">
        <v>18725</v>
      </c>
      <c r="H10" s="234">
        <v>2028.0</v>
      </c>
      <c r="I10" s="234" t="s">
        <v>18725</v>
      </c>
      <c r="J10" s="234" t="s">
        <v>18636</v>
      </c>
      <c r="K10" s="236" t="s">
        <v>18725</v>
      </c>
      <c r="L10" s="236">
        <v>0.4</v>
      </c>
      <c r="M10" s="236">
        <v>0.4</v>
      </c>
      <c r="N10" s="234" t="s">
        <v>18731</v>
      </c>
      <c r="O10" s="237" t="s">
        <v>18675</v>
      </c>
      <c r="P10" s="238" t="s">
        <v>18746</v>
      </c>
      <c r="Q10" s="234" t="s">
        <v>18726</v>
      </c>
      <c r="R10" s="238" t="s">
        <v>18758</v>
      </c>
      <c r="S10" s="238" t="s">
        <v>18725</v>
      </c>
      <c r="T10" s="238" t="s">
        <v>18725</v>
      </c>
      <c r="U10" s="238" t="s">
        <v>18725</v>
      </c>
      <c r="V10" s="238" t="s">
        <v>18725</v>
      </c>
      <c r="W10" s="238" t="s">
        <v>18725</v>
      </c>
      <c r="X10" s="238" t="s">
        <v>18725</v>
      </c>
      <c r="Y10" s="239" t="str">
        <f>IF('CCUS Projects Database'!$R10&lt;&gt;"",HYPERLINK('CCUS Projects Database'!$R10,"Link 1"),"")</f>
        <v>Link 1</v>
      </c>
      <c r="Z10" s="239" t="str">
        <f>IF('CCUS Projects Database'!$S10&lt;&gt;"",HYPERLINK('CCUS Projects Database'!$S10,"Link 2"),"")</f>
        <v/>
      </c>
      <c r="AA10" s="239" t="str">
        <f>IF('CCUS Projects Database'!$T10&lt;&gt;"",HYPERLINK('CCUS Projects Database'!$T10,"Link 3"),"")</f>
        <v/>
      </c>
      <c r="AB10" s="239" t="str">
        <f>IF('CCUS Projects Database'!$U10&lt;&gt;"",HYPERLINK('CCUS Projects Database'!$U10,"Link 4"),"")</f>
        <v/>
      </c>
      <c r="AC10" s="239" t="str">
        <f>IF('CCUS Projects Database'!$V10&lt;&gt;"",HYPERLINK('CCUS Projects Database'!$V10,"Link 5"),"")</f>
        <v/>
      </c>
      <c r="AD10" s="239" t="str">
        <f>IF('CCUS Projects Database'!$W10&lt;&gt;"",HYPERLINK('CCUS Projects Database'!$W10,"Link 6"),"")</f>
        <v/>
      </c>
      <c r="AE10" s="239" t="str">
        <f>IF('CCUS Projects Database'!$X10&lt;&gt;"",HYPERLINK('CCUS Projects Database'!$X10,"Link 7"),"")</f>
        <v/>
      </c>
    </row>
    <row r="11" ht="14.25" customHeight="1">
      <c r="A11" s="233" t="s">
        <v>18759</v>
      </c>
      <c r="B11" s="234">
        <v>11.0</v>
      </c>
      <c r="C11" s="234" t="s">
        <v>18329</v>
      </c>
      <c r="D11" s="235" t="s">
        <v>18760</v>
      </c>
      <c r="E11" s="234" t="s">
        <v>18618</v>
      </c>
      <c r="F11" s="234">
        <v>2021.0</v>
      </c>
      <c r="G11" s="234" t="s">
        <v>18725</v>
      </c>
      <c r="H11" s="234" t="s">
        <v>18725</v>
      </c>
      <c r="I11" s="234" t="s">
        <v>18725</v>
      </c>
      <c r="J11" s="234" t="s">
        <v>18636</v>
      </c>
      <c r="K11" s="236" t="s">
        <v>18725</v>
      </c>
      <c r="L11" s="236" t="s">
        <v>18725</v>
      </c>
      <c r="M11" s="236" t="s">
        <v>18725</v>
      </c>
      <c r="N11" s="234" t="s">
        <v>18663</v>
      </c>
      <c r="O11" s="237" t="s">
        <v>18675</v>
      </c>
      <c r="P11" s="238" t="s">
        <v>18761</v>
      </c>
      <c r="Q11" s="234" t="s">
        <v>18762</v>
      </c>
      <c r="R11" s="238" t="s">
        <v>18763</v>
      </c>
      <c r="S11" s="238" t="s">
        <v>18725</v>
      </c>
      <c r="T11" s="238" t="s">
        <v>18725</v>
      </c>
      <c r="U11" s="238" t="s">
        <v>18725</v>
      </c>
      <c r="V11" s="238" t="s">
        <v>18725</v>
      </c>
      <c r="W11" s="238" t="s">
        <v>18725</v>
      </c>
      <c r="X11" s="238" t="s">
        <v>18725</v>
      </c>
      <c r="Y11" s="239" t="str">
        <f>IF('CCUS Projects Database'!$R11&lt;&gt;"",HYPERLINK('CCUS Projects Database'!$R11,"Link 1"),"")</f>
        <v>Link 1</v>
      </c>
      <c r="Z11" s="239" t="str">
        <f>IF('CCUS Projects Database'!$S11&lt;&gt;"",HYPERLINK('CCUS Projects Database'!$S11,"Link 2"),"")</f>
        <v/>
      </c>
      <c r="AA11" s="239" t="str">
        <f>IF('CCUS Projects Database'!$T11&lt;&gt;"",HYPERLINK('CCUS Projects Database'!$T11,"Link 3"),"")</f>
        <v/>
      </c>
      <c r="AB11" s="239" t="str">
        <f>IF('CCUS Projects Database'!$U11&lt;&gt;"",HYPERLINK('CCUS Projects Database'!$U11,"Link 4"),"")</f>
        <v/>
      </c>
      <c r="AC11" s="239" t="str">
        <f>IF('CCUS Projects Database'!$V11&lt;&gt;"",HYPERLINK('CCUS Projects Database'!$V11,"Link 5"),"")</f>
        <v/>
      </c>
      <c r="AD11" s="239" t="str">
        <f>IF('CCUS Projects Database'!$W11&lt;&gt;"",HYPERLINK('CCUS Projects Database'!$W11,"Link 6"),"")</f>
        <v/>
      </c>
      <c r="AE11" s="239" t="str">
        <f>IF('CCUS Projects Database'!$X11&lt;&gt;"",HYPERLINK('CCUS Projects Database'!$X11,"Link 7"),"")</f>
        <v/>
      </c>
    </row>
    <row r="12" ht="14.25" customHeight="1">
      <c r="A12" s="233" t="s">
        <v>18764</v>
      </c>
      <c r="B12" s="234">
        <v>12.0</v>
      </c>
      <c r="C12" s="234" t="s">
        <v>18586</v>
      </c>
      <c r="D12" s="235" t="s">
        <v>18765</v>
      </c>
      <c r="E12" s="234" t="s">
        <v>18620</v>
      </c>
      <c r="F12" s="234">
        <v>2022.0</v>
      </c>
      <c r="G12" s="234">
        <v>2025.0</v>
      </c>
      <c r="H12" s="234">
        <v>2028.0</v>
      </c>
      <c r="I12" s="234">
        <v>2023.0</v>
      </c>
      <c r="J12" s="234" t="s">
        <v>18192</v>
      </c>
      <c r="K12" s="236" t="s">
        <v>18725</v>
      </c>
      <c r="L12" s="236">
        <v>12.0</v>
      </c>
      <c r="M12" s="236">
        <v>12.0</v>
      </c>
      <c r="N12" s="234" t="s">
        <v>18620</v>
      </c>
      <c r="O12" s="237" t="s">
        <v>18675</v>
      </c>
      <c r="P12" s="238" t="s">
        <v>18764</v>
      </c>
      <c r="Q12" s="234" t="s">
        <v>18732</v>
      </c>
      <c r="R12" s="238" t="s">
        <v>18766</v>
      </c>
      <c r="S12" s="238" t="s">
        <v>18767</v>
      </c>
      <c r="T12" s="238" t="s">
        <v>18768</v>
      </c>
      <c r="U12" s="238" t="s">
        <v>18769</v>
      </c>
      <c r="V12" s="238" t="s">
        <v>18770</v>
      </c>
      <c r="W12" s="238" t="s">
        <v>18725</v>
      </c>
      <c r="X12" s="238" t="s">
        <v>18725</v>
      </c>
      <c r="Y12" s="239" t="str">
        <f>IF('CCUS Projects Database'!$R12&lt;&gt;"",HYPERLINK('CCUS Projects Database'!$R12,"Link 1"),"")</f>
        <v>Link 1</v>
      </c>
      <c r="Z12" s="239" t="str">
        <f>IF('CCUS Projects Database'!$S12&lt;&gt;"",HYPERLINK('CCUS Projects Database'!$S12,"Link 2"),"")</f>
        <v>Link 2</v>
      </c>
      <c r="AA12" s="239" t="str">
        <f>IF('CCUS Projects Database'!$T12&lt;&gt;"",HYPERLINK('CCUS Projects Database'!$T12,"Link 3"),"")</f>
        <v>Link 3</v>
      </c>
      <c r="AB12" s="239" t="str">
        <f>IF('CCUS Projects Database'!$U12&lt;&gt;"",HYPERLINK('CCUS Projects Database'!$U12,"Link 4"),"")</f>
        <v>Link 4</v>
      </c>
      <c r="AC12" s="239" t="str">
        <f>IF('CCUS Projects Database'!$V12&lt;&gt;"",HYPERLINK('CCUS Projects Database'!$V12,"Link 5"),"")</f>
        <v>Link 5</v>
      </c>
      <c r="AD12" s="239" t="str">
        <f>IF('CCUS Projects Database'!$W12&lt;&gt;"",HYPERLINK('CCUS Projects Database'!$W12,"Link 6"),"")</f>
        <v/>
      </c>
      <c r="AE12" s="239" t="str">
        <f>IF('CCUS Projects Database'!$X12&lt;&gt;"",HYPERLINK('CCUS Projects Database'!$X12,"Link 7"),"")</f>
        <v/>
      </c>
    </row>
    <row r="13" ht="14.25" customHeight="1">
      <c r="A13" s="233" t="s">
        <v>18771</v>
      </c>
      <c r="B13" s="234">
        <v>13.0</v>
      </c>
      <c r="C13" s="234" t="s">
        <v>18586</v>
      </c>
      <c r="D13" s="235" t="s">
        <v>18772</v>
      </c>
      <c r="E13" s="234" t="s">
        <v>18618</v>
      </c>
      <c r="F13" s="234">
        <v>2022.0</v>
      </c>
      <c r="G13" s="234" t="s">
        <v>18725</v>
      </c>
      <c r="H13" s="234">
        <v>2028.0</v>
      </c>
      <c r="I13" s="234" t="s">
        <v>18725</v>
      </c>
      <c r="J13" s="234" t="s">
        <v>18636</v>
      </c>
      <c r="K13" s="236" t="s">
        <v>18725</v>
      </c>
      <c r="L13" s="236" t="s">
        <v>18725</v>
      </c>
      <c r="M13" s="236" t="s">
        <v>18725</v>
      </c>
      <c r="N13" s="234" t="s">
        <v>12270</v>
      </c>
      <c r="O13" s="237" t="s">
        <v>18675</v>
      </c>
      <c r="P13" s="238" t="s">
        <v>18764</v>
      </c>
      <c r="Q13" s="234" t="s">
        <v>18732</v>
      </c>
      <c r="R13" s="238" t="s">
        <v>18766</v>
      </c>
      <c r="S13" s="238" t="s">
        <v>18725</v>
      </c>
      <c r="T13" s="238" t="s">
        <v>18725</v>
      </c>
      <c r="U13" s="238" t="s">
        <v>18725</v>
      </c>
      <c r="V13" s="238" t="s">
        <v>18725</v>
      </c>
      <c r="W13" s="238" t="s">
        <v>18725</v>
      </c>
      <c r="X13" s="238" t="s">
        <v>18725</v>
      </c>
      <c r="Y13" s="239" t="str">
        <f>IF('CCUS Projects Database'!$R13&lt;&gt;"",HYPERLINK('CCUS Projects Database'!$R13,"Link 1"),"")</f>
        <v>Link 1</v>
      </c>
      <c r="Z13" s="239" t="str">
        <f>IF('CCUS Projects Database'!$S13&lt;&gt;"",HYPERLINK('CCUS Projects Database'!$S13,"Link 2"),"")</f>
        <v/>
      </c>
      <c r="AA13" s="239" t="str">
        <f>IF('CCUS Projects Database'!$T13&lt;&gt;"",HYPERLINK('CCUS Projects Database'!$T13,"Link 3"),"")</f>
        <v/>
      </c>
      <c r="AB13" s="239" t="str">
        <f>IF('CCUS Projects Database'!$U13&lt;&gt;"",HYPERLINK('CCUS Projects Database'!$U13,"Link 4"),"")</f>
        <v/>
      </c>
      <c r="AC13" s="239" t="str">
        <f>IF('CCUS Projects Database'!$V13&lt;&gt;"",HYPERLINK('CCUS Projects Database'!$V13,"Link 5"),"")</f>
        <v/>
      </c>
      <c r="AD13" s="239" t="str">
        <f>IF('CCUS Projects Database'!$W13&lt;&gt;"",HYPERLINK('CCUS Projects Database'!$W13,"Link 6"),"")</f>
        <v/>
      </c>
      <c r="AE13" s="239" t="str">
        <f>IF('CCUS Projects Database'!$X13&lt;&gt;"",HYPERLINK('CCUS Projects Database'!$X13,"Link 7"),"")</f>
        <v/>
      </c>
    </row>
    <row r="14" ht="14.25" customHeight="1">
      <c r="A14" s="233" t="s">
        <v>18773</v>
      </c>
      <c r="B14" s="234">
        <v>14.0</v>
      </c>
      <c r="C14" s="234" t="s">
        <v>18586</v>
      </c>
      <c r="D14" s="235" t="s">
        <v>18772</v>
      </c>
      <c r="E14" s="234" t="s">
        <v>18618</v>
      </c>
      <c r="F14" s="234">
        <v>2022.0</v>
      </c>
      <c r="G14" s="234" t="s">
        <v>18725</v>
      </c>
      <c r="H14" s="234">
        <v>2028.0</v>
      </c>
      <c r="I14" s="234" t="s">
        <v>18725</v>
      </c>
      <c r="J14" s="234" t="s">
        <v>18636</v>
      </c>
      <c r="K14" s="236" t="s">
        <v>18725</v>
      </c>
      <c r="L14" s="236" t="s">
        <v>18725</v>
      </c>
      <c r="M14" s="236" t="s">
        <v>18725</v>
      </c>
      <c r="N14" s="234" t="s">
        <v>12270</v>
      </c>
      <c r="O14" s="237" t="s">
        <v>18675</v>
      </c>
      <c r="P14" s="238" t="s">
        <v>18764</v>
      </c>
      <c r="Q14" s="234" t="s">
        <v>18732</v>
      </c>
      <c r="R14" s="238" t="s">
        <v>18766</v>
      </c>
      <c r="S14" s="238" t="s">
        <v>18725</v>
      </c>
      <c r="T14" s="238" t="s">
        <v>18725</v>
      </c>
      <c r="U14" s="238" t="s">
        <v>18725</v>
      </c>
      <c r="V14" s="238" t="s">
        <v>18725</v>
      </c>
      <c r="W14" s="238" t="s">
        <v>18725</v>
      </c>
      <c r="X14" s="238" t="s">
        <v>18725</v>
      </c>
      <c r="Y14" s="239" t="str">
        <f>IF('CCUS Projects Database'!$R14&lt;&gt;"",HYPERLINK('CCUS Projects Database'!$R14,"Link 1"),"")</f>
        <v>Link 1</v>
      </c>
      <c r="Z14" s="239" t="str">
        <f>IF('CCUS Projects Database'!$S14&lt;&gt;"",HYPERLINK('CCUS Projects Database'!$S14,"Link 2"),"")</f>
        <v/>
      </c>
      <c r="AA14" s="239" t="str">
        <f>IF('CCUS Projects Database'!$T14&lt;&gt;"",HYPERLINK('CCUS Projects Database'!$T14,"Link 3"),"")</f>
        <v/>
      </c>
      <c r="AB14" s="239" t="str">
        <f>IF('CCUS Projects Database'!$U14&lt;&gt;"",HYPERLINK('CCUS Projects Database'!$U14,"Link 4"),"")</f>
        <v/>
      </c>
      <c r="AC14" s="239" t="str">
        <f>IF('CCUS Projects Database'!$V14&lt;&gt;"",HYPERLINK('CCUS Projects Database'!$V14,"Link 5"),"")</f>
        <v/>
      </c>
      <c r="AD14" s="239" t="str">
        <f>IF('CCUS Projects Database'!$W14&lt;&gt;"",HYPERLINK('CCUS Projects Database'!$W14,"Link 6"),"")</f>
        <v/>
      </c>
      <c r="AE14" s="239" t="str">
        <f>IF('CCUS Projects Database'!$X14&lt;&gt;"",HYPERLINK('CCUS Projects Database'!$X14,"Link 7"),"")</f>
        <v/>
      </c>
    </row>
    <row r="15" ht="14.25" customHeight="1">
      <c r="A15" s="233" t="s">
        <v>18774</v>
      </c>
      <c r="B15" s="234">
        <v>15.0</v>
      </c>
      <c r="C15" s="234" t="s">
        <v>18586</v>
      </c>
      <c r="D15" s="235" t="s">
        <v>18775</v>
      </c>
      <c r="E15" s="234" t="s">
        <v>18618</v>
      </c>
      <c r="F15" s="234">
        <v>2021.0</v>
      </c>
      <c r="G15" s="234" t="s">
        <v>18725</v>
      </c>
      <c r="H15" s="234">
        <v>2026.0</v>
      </c>
      <c r="I15" s="234" t="s">
        <v>18725</v>
      </c>
      <c r="J15" s="234" t="s">
        <v>18636</v>
      </c>
      <c r="K15" s="236" t="s">
        <v>18725</v>
      </c>
      <c r="L15" s="236">
        <v>0.2</v>
      </c>
      <c r="M15" s="236">
        <v>0.2</v>
      </c>
      <c r="N15" s="234" t="s">
        <v>12270</v>
      </c>
      <c r="O15" s="237" t="s">
        <v>18675</v>
      </c>
      <c r="P15" s="238" t="s">
        <v>18776</v>
      </c>
      <c r="Q15" s="234" t="s">
        <v>18732</v>
      </c>
      <c r="R15" s="238" t="s">
        <v>18777</v>
      </c>
      <c r="S15" s="238" t="s">
        <v>18778</v>
      </c>
      <c r="T15" s="238" t="s">
        <v>18778</v>
      </c>
      <c r="U15" s="238" t="s">
        <v>18779</v>
      </c>
      <c r="V15" s="238" t="s">
        <v>18725</v>
      </c>
      <c r="W15" s="238" t="s">
        <v>18725</v>
      </c>
      <c r="X15" s="238" t="s">
        <v>18725</v>
      </c>
      <c r="Y15" s="239" t="str">
        <f>IF('CCUS Projects Database'!$R15&lt;&gt;"",HYPERLINK('CCUS Projects Database'!$R15,"Link 1"),"")</f>
        <v>Link 1</v>
      </c>
      <c r="Z15" s="239" t="str">
        <f>IF('CCUS Projects Database'!$S15&lt;&gt;"",HYPERLINK('CCUS Projects Database'!$S15,"Link 2"),"")</f>
        <v>Link 2</v>
      </c>
      <c r="AA15" s="239" t="str">
        <f>IF('CCUS Projects Database'!$T15&lt;&gt;"",HYPERLINK('CCUS Projects Database'!$T15,"Link 3"),"")</f>
        <v>Link 3</v>
      </c>
      <c r="AB15" s="239" t="str">
        <f>IF('CCUS Projects Database'!$U15&lt;&gt;"",HYPERLINK('CCUS Projects Database'!$U15,"Link 4"),"")</f>
        <v>Link 4</v>
      </c>
      <c r="AC15" s="239" t="str">
        <f>IF('CCUS Projects Database'!$V15&lt;&gt;"",HYPERLINK('CCUS Projects Database'!$V15,"Link 5"),"")</f>
        <v/>
      </c>
      <c r="AD15" s="239" t="str">
        <f>IF('CCUS Projects Database'!$W15&lt;&gt;"",HYPERLINK('CCUS Projects Database'!$W15,"Link 6"),"")</f>
        <v/>
      </c>
      <c r="AE15" s="239" t="str">
        <f>IF('CCUS Projects Database'!$X15&lt;&gt;"",HYPERLINK('CCUS Projects Database'!$X15,"Link 7"),"")</f>
        <v/>
      </c>
    </row>
    <row r="16" ht="14.25" customHeight="1">
      <c r="A16" s="233" t="s">
        <v>18780</v>
      </c>
      <c r="B16" s="234">
        <v>16.0</v>
      </c>
      <c r="C16" s="234" t="s">
        <v>18586</v>
      </c>
      <c r="D16" s="235" t="s">
        <v>18775</v>
      </c>
      <c r="E16" s="234" t="s">
        <v>18618</v>
      </c>
      <c r="F16" s="234">
        <v>2021.0</v>
      </c>
      <c r="G16" s="234" t="s">
        <v>18725</v>
      </c>
      <c r="H16" s="234">
        <v>2026.0</v>
      </c>
      <c r="I16" s="234" t="s">
        <v>18725</v>
      </c>
      <c r="J16" s="234" t="s">
        <v>18636</v>
      </c>
      <c r="K16" s="236" t="s">
        <v>18725</v>
      </c>
      <c r="L16" s="236">
        <v>0.2</v>
      </c>
      <c r="M16" s="236">
        <v>0.2</v>
      </c>
      <c r="N16" s="234" t="s">
        <v>12270</v>
      </c>
      <c r="O16" s="237" t="s">
        <v>18675</v>
      </c>
      <c r="P16" s="238" t="s">
        <v>18776</v>
      </c>
      <c r="Q16" s="234" t="s">
        <v>18732</v>
      </c>
      <c r="R16" s="238" t="s">
        <v>18777</v>
      </c>
      <c r="S16" s="238" t="s">
        <v>18778</v>
      </c>
      <c r="T16" s="238" t="s">
        <v>18778</v>
      </c>
      <c r="U16" s="238" t="s">
        <v>18779</v>
      </c>
      <c r="V16" s="238" t="s">
        <v>18725</v>
      </c>
      <c r="W16" s="238" t="s">
        <v>18725</v>
      </c>
      <c r="X16" s="238" t="s">
        <v>18725</v>
      </c>
      <c r="Y16" s="239" t="str">
        <f>IF('CCUS Projects Database'!$R16&lt;&gt;"",HYPERLINK('CCUS Projects Database'!$R16,"Link 1"),"")</f>
        <v>Link 1</v>
      </c>
      <c r="Z16" s="239" t="str">
        <f>IF('CCUS Projects Database'!$S16&lt;&gt;"",HYPERLINK('CCUS Projects Database'!$S16,"Link 2"),"")</f>
        <v>Link 2</v>
      </c>
      <c r="AA16" s="239" t="str">
        <f>IF('CCUS Projects Database'!$T16&lt;&gt;"",HYPERLINK('CCUS Projects Database'!$T16,"Link 3"),"")</f>
        <v>Link 3</v>
      </c>
      <c r="AB16" s="239" t="str">
        <f>IF('CCUS Projects Database'!$U16&lt;&gt;"",HYPERLINK('CCUS Projects Database'!$U16,"Link 4"),"")</f>
        <v>Link 4</v>
      </c>
      <c r="AC16" s="239" t="str">
        <f>IF('CCUS Projects Database'!$V16&lt;&gt;"",HYPERLINK('CCUS Projects Database'!$V16,"Link 5"),"")</f>
        <v/>
      </c>
      <c r="AD16" s="239" t="str">
        <f>IF('CCUS Projects Database'!$W16&lt;&gt;"",HYPERLINK('CCUS Projects Database'!$W16,"Link 6"),"")</f>
        <v/>
      </c>
      <c r="AE16" s="239" t="str">
        <f>IF('CCUS Projects Database'!$X16&lt;&gt;"",HYPERLINK('CCUS Projects Database'!$X16,"Link 7"),"")</f>
        <v/>
      </c>
    </row>
    <row r="17" ht="14.25" customHeight="1">
      <c r="A17" s="233" t="s">
        <v>18781</v>
      </c>
      <c r="B17" s="234">
        <v>18.0</v>
      </c>
      <c r="C17" s="234" t="s">
        <v>164</v>
      </c>
      <c r="D17" s="235" t="s">
        <v>18782</v>
      </c>
      <c r="E17" s="234" t="s">
        <v>18618</v>
      </c>
      <c r="F17" s="234">
        <v>2012.0</v>
      </c>
      <c r="G17" s="234">
        <v>2023.0</v>
      </c>
      <c r="H17" s="234">
        <v>2026.0</v>
      </c>
      <c r="I17" s="234" t="s">
        <v>18725</v>
      </c>
      <c r="J17" s="234" t="s">
        <v>18638</v>
      </c>
      <c r="K17" s="236" t="s">
        <v>18725</v>
      </c>
      <c r="L17" s="236">
        <v>0.5</v>
      </c>
      <c r="M17" s="236">
        <v>0.5</v>
      </c>
      <c r="N17" s="234" t="s">
        <v>18661</v>
      </c>
      <c r="O17" s="237" t="s">
        <v>18675</v>
      </c>
      <c r="P17" s="238" t="s">
        <v>18783</v>
      </c>
      <c r="Q17" s="234" t="s">
        <v>18726</v>
      </c>
      <c r="R17" s="238" t="s">
        <v>18784</v>
      </c>
      <c r="S17" s="238" t="s">
        <v>18785</v>
      </c>
      <c r="T17" s="238" t="s">
        <v>18786</v>
      </c>
      <c r="U17" s="238" t="s">
        <v>17618</v>
      </c>
      <c r="V17" s="238" t="s">
        <v>18725</v>
      </c>
      <c r="W17" s="238" t="s">
        <v>18725</v>
      </c>
      <c r="X17" s="238" t="s">
        <v>18725</v>
      </c>
      <c r="Y17" s="239" t="str">
        <f>IF('CCUS Projects Database'!$R17&lt;&gt;"",HYPERLINK('CCUS Projects Database'!$R17,"Link 1"),"")</f>
        <v>Link 1</v>
      </c>
      <c r="Z17" s="239" t="str">
        <f>IF('CCUS Projects Database'!$S17&lt;&gt;"",HYPERLINK('CCUS Projects Database'!$S17,"Link 2"),"")</f>
        <v>Link 2</v>
      </c>
      <c r="AA17" s="239" t="str">
        <f>IF('CCUS Projects Database'!$T17&lt;&gt;"",HYPERLINK('CCUS Projects Database'!$T17,"Link 3"),"")</f>
        <v>Link 3</v>
      </c>
      <c r="AB17" s="239" t="str">
        <f>IF('CCUS Projects Database'!$U17&lt;&gt;"",HYPERLINK('CCUS Projects Database'!$U17,"Link 4"),"")</f>
        <v>Link 4</v>
      </c>
      <c r="AC17" s="239" t="str">
        <f>IF('CCUS Projects Database'!$V17&lt;&gt;"",HYPERLINK('CCUS Projects Database'!$V17,"Link 5"),"")</f>
        <v/>
      </c>
      <c r="AD17" s="239" t="str">
        <f>IF('CCUS Projects Database'!$W17&lt;&gt;"",HYPERLINK('CCUS Projects Database'!$W17,"Link 6"),"")</f>
        <v/>
      </c>
      <c r="AE17" s="239" t="str">
        <f>IF('CCUS Projects Database'!$X17&lt;&gt;"",HYPERLINK('CCUS Projects Database'!$X17,"Link 7"),"")</f>
        <v/>
      </c>
    </row>
    <row r="18" ht="14.25" customHeight="1">
      <c r="A18" s="233" t="s">
        <v>18787</v>
      </c>
      <c r="B18" s="234">
        <v>19.0</v>
      </c>
      <c r="C18" s="234" t="s">
        <v>164</v>
      </c>
      <c r="D18" s="235" t="s">
        <v>18788</v>
      </c>
      <c r="E18" s="234" t="s">
        <v>18620</v>
      </c>
      <c r="F18" s="234">
        <v>2019.0</v>
      </c>
      <c r="G18" s="234">
        <v>2025.0</v>
      </c>
      <c r="H18" s="234">
        <v>2029.0</v>
      </c>
      <c r="I18" s="234" t="s">
        <v>18725</v>
      </c>
      <c r="J18" s="234" t="s">
        <v>18636</v>
      </c>
      <c r="K18" s="236">
        <v>1.0</v>
      </c>
      <c r="L18" s="236">
        <v>22.0</v>
      </c>
      <c r="M18" s="236">
        <v>22.0</v>
      </c>
      <c r="N18" s="234" t="s">
        <v>18620</v>
      </c>
      <c r="O18" s="237" t="s">
        <v>18675</v>
      </c>
      <c r="P18" s="238" t="s">
        <v>18789</v>
      </c>
      <c r="Q18" s="234" t="s">
        <v>18726</v>
      </c>
      <c r="R18" s="238" t="s">
        <v>18790</v>
      </c>
      <c r="S18" s="238" t="s">
        <v>18791</v>
      </c>
      <c r="T18" s="238" t="s">
        <v>18792</v>
      </c>
      <c r="U18" s="238" t="s">
        <v>18793</v>
      </c>
      <c r="V18" s="238" t="s">
        <v>18794</v>
      </c>
      <c r="W18" s="238" t="s">
        <v>18795</v>
      </c>
      <c r="X18" s="238" t="s">
        <v>18725</v>
      </c>
      <c r="Y18" s="239" t="str">
        <f>IF('CCUS Projects Database'!$R18&lt;&gt;"",HYPERLINK('CCUS Projects Database'!$R18,"Link 1"),"")</f>
        <v>Link 1</v>
      </c>
      <c r="Z18" s="239" t="str">
        <f>IF('CCUS Projects Database'!$S18&lt;&gt;"",HYPERLINK('CCUS Projects Database'!$S18,"Link 2"),"")</f>
        <v>Link 2</v>
      </c>
      <c r="AA18" s="239" t="str">
        <f>IF('CCUS Projects Database'!$T18&lt;&gt;"",HYPERLINK('CCUS Projects Database'!$T18,"Link 3"),"")</f>
        <v>Link 3</v>
      </c>
      <c r="AB18" s="239" t="str">
        <f>IF('CCUS Projects Database'!$U18&lt;&gt;"",HYPERLINK('CCUS Projects Database'!$U18,"Link 4"),"")</f>
        <v>Link 4</v>
      </c>
      <c r="AC18" s="239" t="str">
        <f>IF('CCUS Projects Database'!$V18&lt;&gt;"",HYPERLINK('CCUS Projects Database'!$V18,"Link 5"),"")</f>
        <v>Link 5</v>
      </c>
      <c r="AD18" s="239" t="str">
        <f>IF('CCUS Projects Database'!$W18&lt;&gt;"",HYPERLINK('CCUS Projects Database'!$W18,"Link 6"),"")</f>
        <v>Link 6</v>
      </c>
      <c r="AE18" s="239" t="str">
        <f>IF('CCUS Projects Database'!$X18&lt;&gt;"",HYPERLINK('CCUS Projects Database'!$X18,"Link 7"),"")</f>
        <v/>
      </c>
    </row>
    <row r="19" ht="14.25" customHeight="1">
      <c r="A19" s="233" t="s">
        <v>18796</v>
      </c>
      <c r="B19" s="234">
        <v>20.0</v>
      </c>
      <c r="C19" s="234" t="s">
        <v>18264</v>
      </c>
      <c r="D19" s="235" t="s">
        <v>682</v>
      </c>
      <c r="E19" s="234" t="s">
        <v>18618</v>
      </c>
      <c r="F19" s="234">
        <v>2021.0</v>
      </c>
      <c r="G19" s="234">
        <v>2022.0</v>
      </c>
      <c r="H19" s="234">
        <v>2025.0</v>
      </c>
      <c r="I19" s="234" t="s">
        <v>18725</v>
      </c>
      <c r="J19" s="234" t="s">
        <v>18638</v>
      </c>
      <c r="K19" s="236" t="s">
        <v>18725</v>
      </c>
      <c r="L19" s="236">
        <v>3.0</v>
      </c>
      <c r="M19" s="236">
        <v>3.0</v>
      </c>
      <c r="N19" s="234" t="s">
        <v>18731</v>
      </c>
      <c r="O19" s="237" t="s">
        <v>18683</v>
      </c>
      <c r="P19" s="238" t="s">
        <v>18797</v>
      </c>
      <c r="Q19" s="234" t="s">
        <v>18732</v>
      </c>
      <c r="R19" s="238" t="s">
        <v>18798</v>
      </c>
      <c r="S19" s="238" t="s">
        <v>18798</v>
      </c>
      <c r="T19" s="238" t="s">
        <v>18799</v>
      </c>
      <c r="U19" s="238" t="s">
        <v>18800</v>
      </c>
      <c r="V19" s="238" t="s">
        <v>18801</v>
      </c>
      <c r="W19" s="238" t="s">
        <v>18802</v>
      </c>
      <c r="X19" s="238" t="s">
        <v>18803</v>
      </c>
      <c r="Y19" s="239" t="str">
        <f>IF('CCUS Projects Database'!$R19&lt;&gt;"",HYPERLINK('CCUS Projects Database'!$R19,"Link 1"),"")</f>
        <v>Link 1</v>
      </c>
      <c r="Z19" s="239" t="str">
        <f>IF('CCUS Projects Database'!$S19&lt;&gt;"",HYPERLINK('CCUS Projects Database'!$S19,"Link 2"),"")</f>
        <v>Link 2</v>
      </c>
      <c r="AA19" s="239" t="str">
        <f>IF('CCUS Projects Database'!$T19&lt;&gt;"",HYPERLINK('CCUS Projects Database'!$T19,"Link 3"),"")</f>
        <v>Link 3</v>
      </c>
      <c r="AB19" s="239" t="str">
        <f>IF('CCUS Projects Database'!$U19&lt;&gt;"",HYPERLINK('CCUS Projects Database'!$U19,"Link 4"),"")</f>
        <v>Link 4</v>
      </c>
      <c r="AC19" s="239" t="str">
        <f>IF('CCUS Projects Database'!$V19&lt;&gt;"",HYPERLINK('CCUS Projects Database'!$V19,"Link 5"),"")</f>
        <v>Link 5</v>
      </c>
      <c r="AD19" s="239" t="str">
        <f>IF('CCUS Projects Database'!$W19&lt;&gt;"",HYPERLINK('CCUS Projects Database'!$W19,"Link 6"),"")</f>
        <v>Link 6</v>
      </c>
      <c r="AE19" s="239" t="str">
        <f>IF('CCUS Projects Database'!$X19&lt;&gt;"",HYPERLINK('CCUS Projects Database'!$X19,"Link 7"),"")</f>
        <v>Link 7</v>
      </c>
    </row>
    <row r="20" ht="14.25" customHeight="1">
      <c r="A20" s="233" t="s">
        <v>18804</v>
      </c>
      <c r="B20" s="234">
        <v>21.0</v>
      </c>
      <c r="C20" s="234" t="s">
        <v>18586</v>
      </c>
      <c r="D20" s="235" t="s">
        <v>18805</v>
      </c>
      <c r="E20" s="234" t="s">
        <v>18625</v>
      </c>
      <c r="F20" s="234">
        <v>2022.0</v>
      </c>
      <c r="G20" s="234" t="s">
        <v>18725</v>
      </c>
      <c r="H20" s="234" t="s">
        <v>18725</v>
      </c>
      <c r="I20" s="234" t="s">
        <v>18725</v>
      </c>
      <c r="J20" s="234" t="s">
        <v>18636</v>
      </c>
      <c r="K20" s="236" t="s">
        <v>18725</v>
      </c>
      <c r="L20" s="236" t="s">
        <v>18725</v>
      </c>
      <c r="M20" s="236" t="s">
        <v>18725</v>
      </c>
      <c r="N20" s="234" t="s">
        <v>18218</v>
      </c>
      <c r="O20" s="237" t="s">
        <v>18679</v>
      </c>
      <c r="P20" s="238" t="s">
        <v>18725</v>
      </c>
      <c r="Q20" s="234" t="s">
        <v>18732</v>
      </c>
      <c r="R20" s="238" t="s">
        <v>18806</v>
      </c>
      <c r="S20" s="238" t="s">
        <v>18725</v>
      </c>
      <c r="T20" s="238" t="s">
        <v>18725</v>
      </c>
      <c r="U20" s="238" t="s">
        <v>18725</v>
      </c>
      <c r="V20" s="238" t="s">
        <v>18725</v>
      </c>
      <c r="W20" s="238" t="s">
        <v>18725</v>
      </c>
      <c r="X20" s="238" t="s">
        <v>18725</v>
      </c>
      <c r="Y20" s="239" t="str">
        <f>IF('CCUS Projects Database'!$R20&lt;&gt;"",HYPERLINK('CCUS Projects Database'!$R20,"Link 1"),"")</f>
        <v>Link 1</v>
      </c>
      <c r="Z20" s="239" t="str">
        <f>IF('CCUS Projects Database'!$S20&lt;&gt;"",HYPERLINK('CCUS Projects Database'!$S20,"Link 2"),"")</f>
        <v/>
      </c>
      <c r="AA20" s="239" t="str">
        <f>IF('CCUS Projects Database'!$T20&lt;&gt;"",HYPERLINK('CCUS Projects Database'!$T20,"Link 3"),"")</f>
        <v/>
      </c>
      <c r="AB20" s="239" t="str">
        <f>IF('CCUS Projects Database'!$U20&lt;&gt;"",HYPERLINK('CCUS Projects Database'!$U20,"Link 4"),"")</f>
        <v/>
      </c>
      <c r="AC20" s="239" t="str">
        <f>IF('CCUS Projects Database'!$V20&lt;&gt;"",HYPERLINK('CCUS Projects Database'!$V20,"Link 5"),"")</f>
        <v/>
      </c>
      <c r="AD20" s="239" t="str">
        <f>IF('CCUS Projects Database'!$W20&lt;&gt;"",HYPERLINK('CCUS Projects Database'!$W20,"Link 6"),"")</f>
        <v/>
      </c>
      <c r="AE20" s="239" t="str">
        <f>IF('CCUS Projects Database'!$X20&lt;&gt;"",HYPERLINK('CCUS Projects Database'!$X20,"Link 7"),"")</f>
        <v/>
      </c>
    </row>
    <row r="21" ht="14.25" customHeight="1">
      <c r="A21" s="233" t="s">
        <v>18807</v>
      </c>
      <c r="B21" s="234">
        <v>22.0</v>
      </c>
      <c r="C21" s="234" t="s">
        <v>18586</v>
      </c>
      <c r="D21" s="235" t="s">
        <v>18808</v>
      </c>
      <c r="E21" s="234" t="s">
        <v>18618</v>
      </c>
      <c r="F21" s="234">
        <v>2022.0</v>
      </c>
      <c r="G21" s="234" t="s">
        <v>18725</v>
      </c>
      <c r="H21" s="234" t="s">
        <v>18725</v>
      </c>
      <c r="I21" s="234" t="s">
        <v>18725</v>
      </c>
      <c r="J21" s="234" t="s">
        <v>18636</v>
      </c>
      <c r="K21" s="236" t="s">
        <v>18725</v>
      </c>
      <c r="L21" s="236" t="s">
        <v>18725</v>
      </c>
      <c r="M21" s="236" t="s">
        <v>18725</v>
      </c>
      <c r="N21" s="234" t="s">
        <v>18218</v>
      </c>
      <c r="O21" s="237" t="s">
        <v>18675</v>
      </c>
      <c r="P21" s="238" t="s">
        <v>18725</v>
      </c>
      <c r="Q21" s="234" t="s">
        <v>18732</v>
      </c>
      <c r="R21" s="238" t="s">
        <v>18806</v>
      </c>
      <c r="S21" s="238" t="s">
        <v>18809</v>
      </c>
      <c r="T21" s="238" t="s">
        <v>18725</v>
      </c>
      <c r="U21" s="238" t="s">
        <v>18725</v>
      </c>
      <c r="V21" s="238" t="s">
        <v>18725</v>
      </c>
      <c r="W21" s="238" t="s">
        <v>18725</v>
      </c>
      <c r="X21" s="238" t="s">
        <v>18725</v>
      </c>
      <c r="Y21" s="239" t="str">
        <f>IF('CCUS Projects Database'!$R21&lt;&gt;"",HYPERLINK('CCUS Projects Database'!$R21,"Link 1"),"")</f>
        <v>Link 1</v>
      </c>
      <c r="Z21" s="239" t="str">
        <f>IF('CCUS Projects Database'!$S21&lt;&gt;"",HYPERLINK('CCUS Projects Database'!$S21,"Link 2"),"")</f>
        <v>Link 2</v>
      </c>
      <c r="AA21" s="239" t="str">
        <f>IF('CCUS Projects Database'!$T21&lt;&gt;"",HYPERLINK('CCUS Projects Database'!$T21,"Link 3"),"")</f>
        <v/>
      </c>
      <c r="AB21" s="239" t="str">
        <f>IF('CCUS Projects Database'!$U21&lt;&gt;"",HYPERLINK('CCUS Projects Database'!$U21,"Link 4"),"")</f>
        <v/>
      </c>
      <c r="AC21" s="239" t="str">
        <f>IF('CCUS Projects Database'!$V21&lt;&gt;"",HYPERLINK('CCUS Projects Database'!$V21,"Link 5"),"")</f>
        <v/>
      </c>
      <c r="AD21" s="239" t="str">
        <f>IF('CCUS Projects Database'!$W21&lt;&gt;"",HYPERLINK('CCUS Projects Database'!$W21,"Link 6"),"")</f>
        <v/>
      </c>
      <c r="AE21" s="239" t="str">
        <f>IF('CCUS Projects Database'!$X21&lt;&gt;"",HYPERLINK('CCUS Projects Database'!$X21,"Link 7"),"")</f>
        <v/>
      </c>
    </row>
    <row r="22" ht="14.25" customHeight="1">
      <c r="A22" s="233" t="s">
        <v>18810</v>
      </c>
      <c r="B22" s="234">
        <v>23.0</v>
      </c>
      <c r="C22" s="234" t="s">
        <v>18264</v>
      </c>
      <c r="D22" s="235" t="s">
        <v>18811</v>
      </c>
      <c r="E22" s="234" t="s">
        <v>18625</v>
      </c>
      <c r="F22" s="234">
        <v>2021.0</v>
      </c>
      <c r="G22" s="234" t="s">
        <v>18725</v>
      </c>
      <c r="H22" s="234">
        <v>2026.0</v>
      </c>
      <c r="I22" s="234" t="s">
        <v>18725</v>
      </c>
      <c r="J22" s="234" t="s">
        <v>18636</v>
      </c>
      <c r="K22" s="236" t="s">
        <v>18725</v>
      </c>
      <c r="L22" s="236">
        <v>0.25</v>
      </c>
      <c r="M22" s="236">
        <v>0.25</v>
      </c>
      <c r="N22" s="234" t="s">
        <v>18218</v>
      </c>
      <c r="O22" s="237" t="s">
        <v>18679</v>
      </c>
      <c r="P22" s="238" t="s">
        <v>18725</v>
      </c>
      <c r="Q22" s="234" t="s">
        <v>18732</v>
      </c>
      <c r="R22" s="238" t="s">
        <v>18812</v>
      </c>
      <c r="S22" s="238" t="s">
        <v>18813</v>
      </c>
      <c r="T22" s="238" t="s">
        <v>18725</v>
      </c>
      <c r="U22" s="238" t="s">
        <v>18725</v>
      </c>
      <c r="V22" s="238" t="s">
        <v>18725</v>
      </c>
      <c r="W22" s="238" t="s">
        <v>18725</v>
      </c>
      <c r="X22" s="238" t="s">
        <v>18725</v>
      </c>
      <c r="Y22" s="239" t="str">
        <f>IF('CCUS Projects Database'!$R22&lt;&gt;"",HYPERLINK('CCUS Projects Database'!$R22,"Link 1"),"")</f>
        <v>Link 1</v>
      </c>
      <c r="Z22" s="239" t="str">
        <f>IF('CCUS Projects Database'!$S22&lt;&gt;"",HYPERLINK('CCUS Projects Database'!$S22,"Link 2"),"")</f>
        <v>Link 2</v>
      </c>
      <c r="AA22" s="239" t="str">
        <f>IF('CCUS Projects Database'!$T22&lt;&gt;"",HYPERLINK('CCUS Projects Database'!$T22,"Link 3"),"")</f>
        <v/>
      </c>
      <c r="AB22" s="239" t="str">
        <f>IF('CCUS Projects Database'!$U22&lt;&gt;"",HYPERLINK('CCUS Projects Database'!$U22,"Link 4"),"")</f>
        <v/>
      </c>
      <c r="AC22" s="239" t="str">
        <f>IF('CCUS Projects Database'!$V22&lt;&gt;"",HYPERLINK('CCUS Projects Database'!$V22,"Link 5"),"")</f>
        <v/>
      </c>
      <c r="AD22" s="239" t="str">
        <f>IF('CCUS Projects Database'!$W22&lt;&gt;"",HYPERLINK('CCUS Projects Database'!$W22,"Link 6"),"")</f>
        <v/>
      </c>
      <c r="AE22" s="239" t="str">
        <f>IF('CCUS Projects Database'!$X22&lt;&gt;"",HYPERLINK('CCUS Projects Database'!$X22,"Link 7"),"")</f>
        <v/>
      </c>
    </row>
    <row r="23" ht="14.25" customHeight="1">
      <c r="A23" s="233" t="s">
        <v>18814</v>
      </c>
      <c r="B23" s="234">
        <v>24.0</v>
      </c>
      <c r="C23" s="234" t="s">
        <v>18264</v>
      </c>
      <c r="D23" s="235" t="s">
        <v>18815</v>
      </c>
      <c r="E23" s="234" t="s">
        <v>18623</v>
      </c>
      <c r="F23" s="234">
        <v>2021.0</v>
      </c>
      <c r="G23" s="234">
        <v>2026.0</v>
      </c>
      <c r="H23" s="234">
        <v>2028.0</v>
      </c>
      <c r="I23" s="234" t="s">
        <v>18725</v>
      </c>
      <c r="J23" s="234" t="s">
        <v>18636</v>
      </c>
      <c r="K23" s="236">
        <v>1.0</v>
      </c>
      <c r="L23" s="236">
        <v>10.0</v>
      </c>
      <c r="M23" s="236">
        <v>10.0</v>
      </c>
      <c r="N23" s="234" t="s">
        <v>18623</v>
      </c>
      <c r="O23" s="237" t="s">
        <v>18675</v>
      </c>
      <c r="P23" s="238" t="s">
        <v>18816</v>
      </c>
      <c r="Q23" s="234" t="s">
        <v>18732</v>
      </c>
      <c r="R23" s="238" t="s">
        <v>18817</v>
      </c>
      <c r="S23" s="238" t="s">
        <v>18818</v>
      </c>
      <c r="T23" s="238" t="s">
        <v>18725</v>
      </c>
      <c r="U23" s="238" t="s">
        <v>18725</v>
      </c>
      <c r="V23" s="238" t="s">
        <v>18725</v>
      </c>
      <c r="W23" s="238" t="s">
        <v>18725</v>
      </c>
      <c r="X23" s="238" t="s">
        <v>18725</v>
      </c>
      <c r="Y23" s="239" t="str">
        <f>IF('CCUS Projects Database'!$R23&lt;&gt;"",HYPERLINK('CCUS Projects Database'!$R23,"Link 1"),"")</f>
        <v>Link 1</v>
      </c>
      <c r="Z23" s="239" t="str">
        <f>IF('CCUS Projects Database'!$S23&lt;&gt;"",HYPERLINK('CCUS Projects Database'!$S23,"Link 2"),"")</f>
        <v>Link 2</v>
      </c>
      <c r="AA23" s="239" t="str">
        <f>IF('CCUS Projects Database'!$T23&lt;&gt;"",HYPERLINK('CCUS Projects Database'!$T23,"Link 3"),"")</f>
        <v/>
      </c>
      <c r="AB23" s="239" t="str">
        <f>IF('CCUS Projects Database'!$U23&lt;&gt;"",HYPERLINK('CCUS Projects Database'!$U23,"Link 4"),"")</f>
        <v/>
      </c>
      <c r="AC23" s="239" t="str">
        <f>IF('CCUS Projects Database'!$V23&lt;&gt;"",HYPERLINK('CCUS Projects Database'!$V23,"Link 5"),"")</f>
        <v/>
      </c>
      <c r="AD23" s="239" t="str">
        <f>IF('CCUS Projects Database'!$W23&lt;&gt;"",HYPERLINK('CCUS Projects Database'!$W23,"Link 6"),"")</f>
        <v/>
      </c>
      <c r="AE23" s="239" t="str">
        <f>IF('CCUS Projects Database'!$X23&lt;&gt;"",HYPERLINK('CCUS Projects Database'!$X23,"Link 7"),"")</f>
        <v/>
      </c>
    </row>
    <row r="24" ht="14.25" customHeight="1">
      <c r="A24" s="233" t="s">
        <v>18819</v>
      </c>
      <c r="B24" s="234">
        <v>25.0</v>
      </c>
      <c r="C24" s="234" t="s">
        <v>18264</v>
      </c>
      <c r="D24" s="235" t="s">
        <v>18820</v>
      </c>
      <c r="E24" s="234" t="s">
        <v>18620</v>
      </c>
      <c r="F24" s="234">
        <v>2011.0</v>
      </c>
      <c r="G24" s="234">
        <v>2018.0</v>
      </c>
      <c r="H24" s="234">
        <v>2020.0</v>
      </c>
      <c r="I24" s="234" t="s">
        <v>18725</v>
      </c>
      <c r="J24" s="234" t="s">
        <v>12385</v>
      </c>
      <c r="K24" s="236" t="s">
        <v>18725</v>
      </c>
      <c r="L24" s="236">
        <v>14.6</v>
      </c>
      <c r="M24" s="236">
        <v>14.6</v>
      </c>
      <c r="N24" s="234" t="s">
        <v>18620</v>
      </c>
      <c r="O24" s="237" t="s">
        <v>18677</v>
      </c>
      <c r="P24" s="238" t="s">
        <v>18821</v>
      </c>
      <c r="Q24" s="234" t="s">
        <v>18732</v>
      </c>
      <c r="R24" s="238" t="s">
        <v>18822</v>
      </c>
      <c r="S24" s="238" t="s">
        <v>18725</v>
      </c>
      <c r="T24" s="238" t="s">
        <v>18725</v>
      </c>
      <c r="U24" s="238" t="s">
        <v>18725</v>
      </c>
      <c r="V24" s="238" t="s">
        <v>18725</v>
      </c>
      <c r="W24" s="238" t="s">
        <v>18725</v>
      </c>
      <c r="X24" s="238" t="s">
        <v>18725</v>
      </c>
      <c r="Y24" s="239" t="str">
        <f>IF('CCUS Projects Database'!$R24&lt;&gt;"",HYPERLINK('CCUS Projects Database'!$R24,"Link 1"),"")</f>
        <v>Link 1</v>
      </c>
      <c r="Z24" s="239" t="str">
        <f>IF('CCUS Projects Database'!$S24&lt;&gt;"",HYPERLINK('CCUS Projects Database'!$S24,"Link 2"),"")</f>
        <v/>
      </c>
      <c r="AA24" s="239" t="str">
        <f>IF('CCUS Projects Database'!$T24&lt;&gt;"",HYPERLINK('CCUS Projects Database'!$T24,"Link 3"),"")</f>
        <v/>
      </c>
      <c r="AB24" s="239" t="str">
        <f>IF('CCUS Projects Database'!$U24&lt;&gt;"",HYPERLINK('CCUS Projects Database'!$U24,"Link 4"),"")</f>
        <v/>
      </c>
      <c r="AC24" s="239" t="str">
        <f>IF('CCUS Projects Database'!$V24&lt;&gt;"",HYPERLINK('CCUS Projects Database'!$V24,"Link 5"),"")</f>
        <v/>
      </c>
      <c r="AD24" s="239" t="str">
        <f>IF('CCUS Projects Database'!$W24&lt;&gt;"",HYPERLINK('CCUS Projects Database'!$W24,"Link 6"),"")</f>
        <v/>
      </c>
      <c r="AE24" s="239" t="str">
        <f>IF('CCUS Projects Database'!$X24&lt;&gt;"",HYPERLINK('CCUS Projects Database'!$X24,"Link 7"),"")</f>
        <v/>
      </c>
    </row>
    <row r="25" ht="14.25" customHeight="1">
      <c r="A25" s="233" t="s">
        <v>18823</v>
      </c>
      <c r="B25" s="234">
        <v>28.0</v>
      </c>
      <c r="C25" s="234" t="s">
        <v>98</v>
      </c>
      <c r="D25" s="235" t="s">
        <v>18824</v>
      </c>
      <c r="E25" s="234" t="s">
        <v>18623</v>
      </c>
      <c r="F25" s="234">
        <v>2020.0</v>
      </c>
      <c r="G25" s="234" t="s">
        <v>18725</v>
      </c>
      <c r="H25" s="234" t="s">
        <v>18725</v>
      </c>
      <c r="I25" s="234" t="s">
        <v>18725</v>
      </c>
      <c r="J25" s="234" t="s">
        <v>18636</v>
      </c>
      <c r="K25" s="236">
        <v>2.0</v>
      </c>
      <c r="L25" s="236">
        <v>3.0</v>
      </c>
      <c r="M25" s="236">
        <v>3.0</v>
      </c>
      <c r="N25" s="234" t="s">
        <v>18623</v>
      </c>
      <c r="O25" s="237" t="s">
        <v>18675</v>
      </c>
      <c r="P25" s="238" t="s">
        <v>18825</v>
      </c>
      <c r="Q25" s="234" t="s">
        <v>18726</v>
      </c>
      <c r="R25" s="238" t="s">
        <v>18826</v>
      </c>
      <c r="S25" s="238" t="s">
        <v>18827</v>
      </c>
      <c r="T25" s="238" t="s">
        <v>18828</v>
      </c>
      <c r="U25" s="238" t="s">
        <v>18826</v>
      </c>
      <c r="V25" s="238" t="s">
        <v>18827</v>
      </c>
      <c r="W25" s="238" t="s">
        <v>18725</v>
      </c>
      <c r="X25" s="238" t="s">
        <v>18725</v>
      </c>
      <c r="Y25" s="239" t="str">
        <f>IF('CCUS Projects Database'!$R25&lt;&gt;"",HYPERLINK('CCUS Projects Database'!$R25,"Link 1"),"")</f>
        <v>Link 1</v>
      </c>
      <c r="Z25" s="239" t="str">
        <f>IF('CCUS Projects Database'!$S25&lt;&gt;"",HYPERLINK('CCUS Projects Database'!$S25,"Link 2"),"")</f>
        <v>Link 2</v>
      </c>
      <c r="AA25" s="239" t="str">
        <f>IF('CCUS Projects Database'!$T25&lt;&gt;"",HYPERLINK('CCUS Projects Database'!$T25,"Link 3"),"")</f>
        <v>Link 3</v>
      </c>
      <c r="AB25" s="239" t="str">
        <f>IF('CCUS Projects Database'!$U25&lt;&gt;"",HYPERLINK('CCUS Projects Database'!$U25,"Link 4"),"")</f>
        <v>Link 4</v>
      </c>
      <c r="AC25" s="239" t="str">
        <f>IF('CCUS Projects Database'!$V25&lt;&gt;"",HYPERLINK('CCUS Projects Database'!$V25,"Link 5"),"")</f>
        <v>Link 5</v>
      </c>
      <c r="AD25" s="239" t="str">
        <f>IF('CCUS Projects Database'!$W25&lt;&gt;"",HYPERLINK('CCUS Projects Database'!$W25,"Link 6"),"")</f>
        <v/>
      </c>
      <c r="AE25" s="239" t="str">
        <f>IF('CCUS Projects Database'!$X25&lt;&gt;"",HYPERLINK('CCUS Projects Database'!$X25,"Link 7"),"")</f>
        <v/>
      </c>
    </row>
    <row r="26" ht="14.25" customHeight="1">
      <c r="A26" s="233" t="s">
        <v>18829</v>
      </c>
      <c r="B26" s="234">
        <v>29.0</v>
      </c>
      <c r="C26" s="234" t="s">
        <v>18340</v>
      </c>
      <c r="D26" s="235" t="s">
        <v>18830</v>
      </c>
      <c r="E26" s="234" t="s">
        <v>18618</v>
      </c>
      <c r="F26" s="234">
        <v>2022.0</v>
      </c>
      <c r="G26" s="234" t="s">
        <v>18725</v>
      </c>
      <c r="H26" s="234" t="s">
        <v>18725</v>
      </c>
      <c r="I26" s="234" t="s">
        <v>18725</v>
      </c>
      <c r="J26" s="234" t="s">
        <v>18636</v>
      </c>
      <c r="K26" s="236" t="s">
        <v>18725</v>
      </c>
      <c r="L26" s="236" t="s">
        <v>18725</v>
      </c>
      <c r="M26" s="236" t="s">
        <v>18725</v>
      </c>
      <c r="N26" s="234" t="s">
        <v>103</v>
      </c>
      <c r="O26" s="237" t="s">
        <v>18683</v>
      </c>
      <c r="P26" s="238" t="s">
        <v>18725</v>
      </c>
      <c r="Q26" s="234" t="s">
        <v>18293</v>
      </c>
      <c r="R26" s="238" t="s">
        <v>18831</v>
      </c>
      <c r="S26" s="238" t="s">
        <v>18725</v>
      </c>
      <c r="T26" s="238" t="s">
        <v>18725</v>
      </c>
      <c r="U26" s="238" t="s">
        <v>18725</v>
      </c>
      <c r="V26" s="238" t="s">
        <v>18725</v>
      </c>
      <c r="W26" s="238" t="s">
        <v>18725</v>
      </c>
      <c r="X26" s="238" t="s">
        <v>18725</v>
      </c>
      <c r="Y26" s="239" t="str">
        <f>IF('CCUS Projects Database'!$R26&lt;&gt;"",HYPERLINK('CCUS Projects Database'!$R26,"Link 1"),"")</f>
        <v>Link 1</v>
      </c>
      <c r="Z26" s="239" t="str">
        <f>IF('CCUS Projects Database'!$S26&lt;&gt;"",HYPERLINK('CCUS Projects Database'!$S26,"Link 2"),"")</f>
        <v/>
      </c>
      <c r="AA26" s="239" t="str">
        <f>IF('CCUS Projects Database'!$T26&lt;&gt;"",HYPERLINK('CCUS Projects Database'!$T26,"Link 3"),"")</f>
        <v/>
      </c>
      <c r="AB26" s="239" t="str">
        <f>IF('CCUS Projects Database'!$U26&lt;&gt;"",HYPERLINK('CCUS Projects Database'!$U26,"Link 4"),"")</f>
        <v/>
      </c>
      <c r="AC26" s="239" t="str">
        <f>IF('CCUS Projects Database'!$V26&lt;&gt;"",HYPERLINK('CCUS Projects Database'!$V26,"Link 5"),"")</f>
        <v/>
      </c>
      <c r="AD26" s="239" t="str">
        <f>IF('CCUS Projects Database'!$W26&lt;&gt;"",HYPERLINK('CCUS Projects Database'!$W26,"Link 6"),"")</f>
        <v/>
      </c>
      <c r="AE26" s="239" t="str">
        <f>IF('CCUS Projects Database'!$X26&lt;&gt;"",HYPERLINK('CCUS Projects Database'!$X26,"Link 7"),"")</f>
        <v/>
      </c>
    </row>
    <row r="27" ht="14.25" customHeight="1">
      <c r="A27" s="233" t="s">
        <v>18832</v>
      </c>
      <c r="B27" s="234">
        <v>31.0</v>
      </c>
      <c r="C27" s="234" t="s">
        <v>161</v>
      </c>
      <c r="D27" s="235" t="s">
        <v>18833</v>
      </c>
      <c r="E27" s="234" t="s">
        <v>18620</v>
      </c>
      <c r="F27" s="234">
        <v>2019.0</v>
      </c>
      <c r="G27" s="234">
        <v>2025.0</v>
      </c>
      <c r="H27" s="234">
        <v>2027.0</v>
      </c>
      <c r="I27" s="234" t="s">
        <v>18725</v>
      </c>
      <c r="J27" s="234" t="s">
        <v>18636</v>
      </c>
      <c r="K27" s="236">
        <v>1.0</v>
      </c>
      <c r="L27" s="236">
        <v>2.5</v>
      </c>
      <c r="M27" s="236">
        <v>2.5</v>
      </c>
      <c r="N27" s="234" t="s">
        <v>18620</v>
      </c>
      <c r="O27" s="237" t="s">
        <v>18675</v>
      </c>
      <c r="P27" s="238" t="s">
        <v>18834</v>
      </c>
      <c r="Q27" s="234" t="s">
        <v>18726</v>
      </c>
      <c r="R27" s="238" t="s">
        <v>18835</v>
      </c>
      <c r="S27" s="238" t="s">
        <v>18836</v>
      </c>
      <c r="T27" s="238" t="s">
        <v>18837</v>
      </c>
      <c r="U27" s="238" t="s">
        <v>18838</v>
      </c>
      <c r="V27" s="238" t="s">
        <v>18725</v>
      </c>
      <c r="W27" s="238" t="s">
        <v>18725</v>
      </c>
      <c r="X27" s="238" t="s">
        <v>18725</v>
      </c>
      <c r="Y27" s="239" t="str">
        <f>IF('CCUS Projects Database'!$R27&lt;&gt;"",HYPERLINK('CCUS Projects Database'!$R27,"Link 1"),"")</f>
        <v>Link 1</v>
      </c>
      <c r="Z27" s="239" t="str">
        <f>IF('CCUS Projects Database'!$S27&lt;&gt;"",HYPERLINK('CCUS Projects Database'!$S27,"Link 2"),"")</f>
        <v>Link 2</v>
      </c>
      <c r="AA27" s="239" t="str">
        <f>IF('CCUS Projects Database'!$T27&lt;&gt;"",HYPERLINK('CCUS Projects Database'!$T27,"Link 3"),"")</f>
        <v>Link 3</v>
      </c>
      <c r="AB27" s="239" t="str">
        <f>IF('CCUS Projects Database'!$U27&lt;&gt;"",HYPERLINK('CCUS Projects Database'!$U27,"Link 4"),"")</f>
        <v>Link 4</v>
      </c>
      <c r="AC27" s="239" t="str">
        <f>IF('CCUS Projects Database'!$V27&lt;&gt;"",HYPERLINK('CCUS Projects Database'!$V27,"Link 5"),"")</f>
        <v/>
      </c>
      <c r="AD27" s="239" t="str">
        <f>IF('CCUS Projects Database'!$W27&lt;&gt;"",HYPERLINK('CCUS Projects Database'!$W27,"Link 6"),"")</f>
        <v/>
      </c>
      <c r="AE27" s="239" t="str">
        <f>IF('CCUS Projects Database'!$X27&lt;&gt;"",HYPERLINK('CCUS Projects Database'!$X27,"Link 7"),"")</f>
        <v/>
      </c>
    </row>
    <row r="28" ht="14.25" customHeight="1">
      <c r="A28" s="233" t="s">
        <v>18839</v>
      </c>
      <c r="B28" s="234">
        <v>32.0</v>
      </c>
      <c r="C28" s="234" t="s">
        <v>164</v>
      </c>
      <c r="D28" s="235" t="s">
        <v>18840</v>
      </c>
      <c r="E28" s="234" t="s">
        <v>3</v>
      </c>
      <c r="F28" s="234">
        <v>2019.0</v>
      </c>
      <c r="G28" s="234">
        <v>2025.0</v>
      </c>
      <c r="H28" s="234">
        <v>2029.0</v>
      </c>
      <c r="I28" s="234" t="s">
        <v>18725</v>
      </c>
      <c r="J28" s="234" t="s">
        <v>18636</v>
      </c>
      <c r="K28" s="236">
        <v>1.0</v>
      </c>
      <c r="L28" s="236">
        <v>7.7</v>
      </c>
      <c r="M28" s="236">
        <v>7.7</v>
      </c>
      <c r="N28" s="234" t="s">
        <v>3</v>
      </c>
      <c r="O28" s="237" t="s">
        <v>18675</v>
      </c>
      <c r="P28" s="238" t="s">
        <v>18789</v>
      </c>
      <c r="Q28" s="234" t="s">
        <v>18726</v>
      </c>
      <c r="R28" s="238" t="s">
        <v>18790</v>
      </c>
      <c r="S28" s="238" t="s">
        <v>18791</v>
      </c>
      <c r="T28" s="238" t="s">
        <v>18792</v>
      </c>
      <c r="U28" s="238" t="s">
        <v>18793</v>
      </c>
      <c r="V28" s="238" t="s">
        <v>18794</v>
      </c>
      <c r="W28" s="238" t="s">
        <v>18795</v>
      </c>
      <c r="X28" s="238" t="s">
        <v>18725</v>
      </c>
      <c r="Y28" s="239" t="str">
        <f>IF('CCUS Projects Database'!$R28&lt;&gt;"",HYPERLINK('CCUS Projects Database'!$R28,"Link 1"),"")</f>
        <v>Link 1</v>
      </c>
      <c r="Z28" s="239" t="str">
        <f>IF('CCUS Projects Database'!$S28&lt;&gt;"",HYPERLINK('CCUS Projects Database'!$S28,"Link 2"),"")</f>
        <v>Link 2</v>
      </c>
      <c r="AA28" s="239" t="str">
        <f>IF('CCUS Projects Database'!$T28&lt;&gt;"",HYPERLINK('CCUS Projects Database'!$T28,"Link 3"),"")</f>
        <v>Link 3</v>
      </c>
      <c r="AB28" s="239" t="str">
        <f>IF('CCUS Projects Database'!$U28&lt;&gt;"",HYPERLINK('CCUS Projects Database'!$U28,"Link 4"),"")</f>
        <v>Link 4</v>
      </c>
      <c r="AC28" s="239" t="str">
        <f>IF('CCUS Projects Database'!$V28&lt;&gt;"",HYPERLINK('CCUS Projects Database'!$V28,"Link 5"),"")</f>
        <v>Link 5</v>
      </c>
      <c r="AD28" s="239" t="str">
        <f>IF('CCUS Projects Database'!$W28&lt;&gt;"",HYPERLINK('CCUS Projects Database'!$W28,"Link 6"),"")</f>
        <v>Link 6</v>
      </c>
      <c r="AE28" s="239" t="str">
        <f>IF('CCUS Projects Database'!$X28&lt;&gt;"",HYPERLINK('CCUS Projects Database'!$X28,"Link 7"),"")</f>
        <v/>
      </c>
    </row>
    <row r="29" ht="14.25" customHeight="1">
      <c r="A29" s="233" t="s">
        <v>18841</v>
      </c>
      <c r="B29" s="234">
        <v>33.0</v>
      </c>
      <c r="C29" s="234" t="s">
        <v>164</v>
      </c>
      <c r="D29" s="235" t="s">
        <v>18842</v>
      </c>
      <c r="E29" s="234" t="s">
        <v>3</v>
      </c>
      <c r="F29" s="234">
        <v>2019.0</v>
      </c>
      <c r="G29" s="234" t="s">
        <v>18725</v>
      </c>
      <c r="H29" s="234">
        <v>2030.0</v>
      </c>
      <c r="I29" s="234" t="s">
        <v>18725</v>
      </c>
      <c r="J29" s="234" t="s">
        <v>18636</v>
      </c>
      <c r="K29" s="236">
        <v>2.0</v>
      </c>
      <c r="L29" s="236">
        <v>3.1</v>
      </c>
      <c r="M29" s="236">
        <v>3.1</v>
      </c>
      <c r="N29" s="234" t="s">
        <v>3</v>
      </c>
      <c r="O29" s="237" t="s">
        <v>18675</v>
      </c>
      <c r="P29" s="238" t="s">
        <v>18789</v>
      </c>
      <c r="Q29" s="234" t="s">
        <v>18726</v>
      </c>
      <c r="R29" s="238" t="s">
        <v>18790</v>
      </c>
      <c r="S29" s="238" t="s">
        <v>18792</v>
      </c>
      <c r="T29" s="238" t="s">
        <v>18794</v>
      </c>
      <c r="U29" s="238" t="s">
        <v>18795</v>
      </c>
      <c r="V29" s="238" t="s">
        <v>18725</v>
      </c>
      <c r="W29" s="238" t="s">
        <v>18725</v>
      </c>
      <c r="X29" s="238" t="s">
        <v>18725</v>
      </c>
      <c r="Y29" s="239" t="str">
        <f>IF('CCUS Projects Database'!$R29&lt;&gt;"",HYPERLINK('CCUS Projects Database'!$R29,"Link 1"),"")</f>
        <v>Link 1</v>
      </c>
      <c r="Z29" s="239" t="str">
        <f>IF('CCUS Projects Database'!$S29&lt;&gt;"",HYPERLINK('CCUS Projects Database'!$S29,"Link 2"),"")</f>
        <v>Link 2</v>
      </c>
      <c r="AA29" s="239" t="str">
        <f>IF('CCUS Projects Database'!$T29&lt;&gt;"",HYPERLINK('CCUS Projects Database'!$T29,"Link 3"),"")</f>
        <v>Link 3</v>
      </c>
      <c r="AB29" s="239" t="str">
        <f>IF('CCUS Projects Database'!$U29&lt;&gt;"",HYPERLINK('CCUS Projects Database'!$U29,"Link 4"),"")</f>
        <v>Link 4</v>
      </c>
      <c r="AC29" s="239" t="str">
        <f>IF('CCUS Projects Database'!$V29&lt;&gt;"",HYPERLINK('CCUS Projects Database'!$V29,"Link 5"),"")</f>
        <v/>
      </c>
      <c r="AD29" s="239" t="str">
        <f>IF('CCUS Projects Database'!$W29&lt;&gt;"",HYPERLINK('CCUS Projects Database'!$W29,"Link 6"),"")</f>
        <v/>
      </c>
      <c r="AE29" s="239" t="str">
        <f>IF('CCUS Projects Database'!$X29&lt;&gt;"",HYPERLINK('CCUS Projects Database'!$X29,"Link 7"),"")</f>
        <v/>
      </c>
    </row>
    <row r="30" ht="14.25" customHeight="1">
      <c r="A30" s="233" t="s">
        <v>18843</v>
      </c>
      <c r="B30" s="234">
        <v>34.0</v>
      </c>
      <c r="C30" s="234" t="s">
        <v>161</v>
      </c>
      <c r="D30" s="235" t="s">
        <v>18844</v>
      </c>
      <c r="E30" s="234" t="s">
        <v>18625</v>
      </c>
      <c r="F30" s="234">
        <v>2011.0</v>
      </c>
      <c r="G30" s="234">
        <v>2015.0</v>
      </c>
      <c r="H30" s="234">
        <v>2022.0</v>
      </c>
      <c r="I30" s="234" t="s">
        <v>18725</v>
      </c>
      <c r="J30" s="234" t="s">
        <v>12385</v>
      </c>
      <c r="K30" s="236" t="s">
        <v>18725</v>
      </c>
      <c r="L30" s="236">
        <v>0.125</v>
      </c>
      <c r="M30" s="236">
        <v>0.125</v>
      </c>
      <c r="N30" s="234" t="s">
        <v>18665</v>
      </c>
      <c r="O30" s="237" t="s">
        <v>18679</v>
      </c>
      <c r="P30" s="238" t="s">
        <v>18725</v>
      </c>
      <c r="Q30" s="234" t="s">
        <v>18726</v>
      </c>
      <c r="R30" s="238" t="s">
        <v>18845</v>
      </c>
      <c r="S30" s="238" t="s">
        <v>18846</v>
      </c>
      <c r="T30" s="238" t="s">
        <v>18847</v>
      </c>
      <c r="U30" s="238" t="s">
        <v>18848</v>
      </c>
      <c r="V30" s="238" t="s">
        <v>18725</v>
      </c>
      <c r="W30" s="238" t="s">
        <v>18725</v>
      </c>
      <c r="X30" s="238" t="s">
        <v>18725</v>
      </c>
      <c r="Y30" s="239" t="str">
        <f>IF('CCUS Projects Database'!$R30&lt;&gt;"",HYPERLINK('CCUS Projects Database'!$R30,"Link 1"),"")</f>
        <v>Link 1</v>
      </c>
      <c r="Z30" s="239" t="str">
        <f>IF('CCUS Projects Database'!$S30&lt;&gt;"",HYPERLINK('CCUS Projects Database'!$S30,"Link 2"),"")</f>
        <v>Link 2</v>
      </c>
      <c r="AA30" s="239" t="str">
        <f>IF('CCUS Projects Database'!$T30&lt;&gt;"",HYPERLINK('CCUS Projects Database'!$T30,"Link 3"),"")</f>
        <v>Link 3</v>
      </c>
      <c r="AB30" s="239" t="str">
        <f>IF('CCUS Projects Database'!$U30&lt;&gt;"",HYPERLINK('CCUS Projects Database'!$U30,"Link 4"),"")</f>
        <v>Link 4</v>
      </c>
      <c r="AC30" s="239" t="str">
        <f>IF('CCUS Projects Database'!$V30&lt;&gt;"",HYPERLINK('CCUS Projects Database'!$V30,"Link 5"),"")</f>
        <v/>
      </c>
      <c r="AD30" s="239" t="str">
        <f>IF('CCUS Projects Database'!$W30&lt;&gt;"",HYPERLINK('CCUS Projects Database'!$W30,"Link 6"),"")</f>
        <v/>
      </c>
      <c r="AE30" s="239" t="str">
        <f>IF('CCUS Projects Database'!$X30&lt;&gt;"",HYPERLINK('CCUS Projects Database'!$X30,"Link 7"),"")</f>
        <v/>
      </c>
    </row>
    <row r="31" ht="14.25" customHeight="1">
      <c r="A31" s="233" t="s">
        <v>18849</v>
      </c>
      <c r="B31" s="234">
        <v>35.0</v>
      </c>
      <c r="C31" s="234" t="s">
        <v>18586</v>
      </c>
      <c r="D31" s="235" t="s">
        <v>18850</v>
      </c>
      <c r="E31" s="234" t="s">
        <v>18616</v>
      </c>
      <c r="F31" s="234" t="s">
        <v>18725</v>
      </c>
      <c r="G31" s="234" t="s">
        <v>18725</v>
      </c>
      <c r="H31" s="234">
        <v>2009.0</v>
      </c>
      <c r="I31" s="234" t="s">
        <v>18725</v>
      </c>
      <c r="J31" s="234" t="s">
        <v>12385</v>
      </c>
      <c r="K31" s="236" t="s">
        <v>18725</v>
      </c>
      <c r="L31" s="236" t="s">
        <v>18851</v>
      </c>
      <c r="M31" s="236">
        <v>0.31</v>
      </c>
      <c r="N31" s="234" t="s">
        <v>12270</v>
      </c>
      <c r="O31" s="237" t="s">
        <v>18677</v>
      </c>
      <c r="P31" s="238" t="s">
        <v>18725</v>
      </c>
      <c r="Q31" s="234" t="s">
        <v>18732</v>
      </c>
      <c r="R31" s="238" t="s">
        <v>18852</v>
      </c>
      <c r="S31" s="238" t="s">
        <v>18853</v>
      </c>
      <c r="T31" s="238" t="s">
        <v>18725</v>
      </c>
      <c r="U31" s="238" t="s">
        <v>18725</v>
      </c>
      <c r="V31" s="238" t="s">
        <v>18725</v>
      </c>
      <c r="W31" s="238" t="s">
        <v>18725</v>
      </c>
      <c r="X31" s="238" t="s">
        <v>18725</v>
      </c>
      <c r="Y31" s="239" t="str">
        <f>IF('CCUS Projects Database'!$R31&lt;&gt;"",HYPERLINK('CCUS Projects Database'!$R31,"Link 1"),"")</f>
        <v>Link 1</v>
      </c>
      <c r="Z31" s="239" t="str">
        <f>IF('CCUS Projects Database'!$S31&lt;&gt;"",HYPERLINK('CCUS Projects Database'!$S31,"Link 2"),"")</f>
        <v>Link 2</v>
      </c>
      <c r="AA31" s="239" t="str">
        <f>IF('CCUS Projects Database'!$T31&lt;&gt;"",HYPERLINK('CCUS Projects Database'!$T31,"Link 3"),"")</f>
        <v/>
      </c>
      <c r="AB31" s="239" t="str">
        <f>IF('CCUS Projects Database'!$U31&lt;&gt;"",HYPERLINK('CCUS Projects Database'!$U31,"Link 4"),"")</f>
        <v/>
      </c>
      <c r="AC31" s="239" t="str">
        <f>IF('CCUS Projects Database'!$V31&lt;&gt;"",HYPERLINK('CCUS Projects Database'!$V31,"Link 5"),"")</f>
        <v/>
      </c>
      <c r="AD31" s="239" t="str">
        <f>IF('CCUS Projects Database'!$W31&lt;&gt;"",HYPERLINK('CCUS Projects Database'!$W31,"Link 6"),"")</f>
        <v/>
      </c>
      <c r="AE31" s="239" t="str">
        <f>IF('CCUS Projects Database'!$X31&lt;&gt;"",HYPERLINK('CCUS Projects Database'!$X31,"Link 7"),"")</f>
        <v/>
      </c>
    </row>
    <row r="32" ht="14.25" customHeight="1">
      <c r="A32" s="233" t="s">
        <v>18854</v>
      </c>
      <c r="B32" s="234">
        <v>36.0</v>
      </c>
      <c r="C32" s="234" t="s">
        <v>18568</v>
      </c>
      <c r="D32" s="235" t="s">
        <v>18855</v>
      </c>
      <c r="E32" s="234" t="s">
        <v>18616</v>
      </c>
      <c r="F32" s="234">
        <v>2021.0</v>
      </c>
      <c r="G32" s="234" t="s">
        <v>18725</v>
      </c>
      <c r="H32" s="234">
        <v>2027.0</v>
      </c>
      <c r="I32" s="234" t="s">
        <v>18725</v>
      </c>
      <c r="J32" s="234" t="s">
        <v>18636</v>
      </c>
      <c r="K32" s="236" t="s">
        <v>18725</v>
      </c>
      <c r="L32" s="236" t="s">
        <v>18725</v>
      </c>
      <c r="M32" s="236" t="s">
        <v>18725</v>
      </c>
      <c r="N32" s="234" t="s">
        <v>18656</v>
      </c>
      <c r="O32" s="237" t="s">
        <v>18675</v>
      </c>
      <c r="P32" s="238" t="s">
        <v>18725</v>
      </c>
      <c r="Q32" s="234" t="s">
        <v>18856</v>
      </c>
      <c r="R32" s="238" t="s">
        <v>18857</v>
      </c>
      <c r="S32" s="238" t="s">
        <v>18858</v>
      </c>
      <c r="T32" s="238" t="s">
        <v>18859</v>
      </c>
      <c r="U32" s="238" t="s">
        <v>18725</v>
      </c>
      <c r="V32" s="238" t="s">
        <v>18725</v>
      </c>
      <c r="W32" s="238" t="s">
        <v>18725</v>
      </c>
      <c r="X32" s="238" t="s">
        <v>18725</v>
      </c>
      <c r="Y32" s="239" t="str">
        <f>IF('CCUS Projects Database'!$R32&lt;&gt;"",HYPERLINK('CCUS Projects Database'!$R32,"Link 1"),"")</f>
        <v>Link 1</v>
      </c>
      <c r="Z32" s="239" t="str">
        <f>IF('CCUS Projects Database'!$S32&lt;&gt;"",HYPERLINK('CCUS Projects Database'!$S32,"Link 2"),"")</f>
        <v>Link 2</v>
      </c>
      <c r="AA32" s="239" t="str">
        <f>IF('CCUS Projects Database'!$T32&lt;&gt;"",HYPERLINK('CCUS Projects Database'!$T32,"Link 3"),"")</f>
        <v>Link 3</v>
      </c>
      <c r="AB32" s="239" t="str">
        <f>IF('CCUS Projects Database'!$U32&lt;&gt;"",HYPERLINK('CCUS Projects Database'!$U32,"Link 4"),"")</f>
        <v/>
      </c>
      <c r="AC32" s="239" t="str">
        <f>IF('CCUS Projects Database'!$V32&lt;&gt;"",HYPERLINK('CCUS Projects Database'!$V32,"Link 5"),"")</f>
        <v/>
      </c>
      <c r="AD32" s="239" t="str">
        <f>IF('CCUS Projects Database'!$W32&lt;&gt;"",HYPERLINK('CCUS Projects Database'!$W32,"Link 6"),"")</f>
        <v/>
      </c>
      <c r="AE32" s="239" t="str">
        <f>IF('CCUS Projects Database'!$X32&lt;&gt;"",HYPERLINK('CCUS Projects Database'!$X32,"Link 7"),"")</f>
        <v/>
      </c>
    </row>
    <row r="33" ht="14.25" customHeight="1">
      <c r="A33" s="233" t="s">
        <v>18860</v>
      </c>
      <c r="B33" s="234">
        <v>37.0</v>
      </c>
      <c r="C33" s="234" t="s">
        <v>18287</v>
      </c>
      <c r="D33" s="235" t="s">
        <v>18861</v>
      </c>
      <c r="E33" s="234" t="s">
        <v>3</v>
      </c>
      <c r="F33" s="234">
        <v>2022.0</v>
      </c>
      <c r="G33" s="234" t="s">
        <v>18725</v>
      </c>
      <c r="H33" s="234">
        <v>2029.0</v>
      </c>
      <c r="I33" s="234" t="s">
        <v>18725</v>
      </c>
      <c r="J33" s="234" t="s">
        <v>18636</v>
      </c>
      <c r="K33" s="236" t="s">
        <v>18725</v>
      </c>
      <c r="L33" s="236" t="s">
        <v>18725</v>
      </c>
      <c r="M33" s="236" t="s">
        <v>18725</v>
      </c>
      <c r="N33" s="234" t="s">
        <v>3</v>
      </c>
      <c r="O33" s="237" t="s">
        <v>18675</v>
      </c>
      <c r="P33" s="238" t="s">
        <v>18860</v>
      </c>
      <c r="Q33" s="234" t="s">
        <v>18856</v>
      </c>
      <c r="R33" s="238" t="s">
        <v>18862</v>
      </c>
      <c r="S33" s="238" t="s">
        <v>18863</v>
      </c>
      <c r="T33" s="238" t="s">
        <v>18864</v>
      </c>
      <c r="U33" s="238" t="s">
        <v>18725</v>
      </c>
      <c r="V33" s="238" t="s">
        <v>18725</v>
      </c>
      <c r="W33" s="238" t="s">
        <v>18725</v>
      </c>
      <c r="X33" s="238" t="s">
        <v>18725</v>
      </c>
      <c r="Y33" s="239" t="str">
        <f>IF('CCUS Projects Database'!$R33&lt;&gt;"",HYPERLINK('CCUS Projects Database'!$R33,"Link 1"),"")</f>
        <v>Link 1</v>
      </c>
      <c r="Z33" s="239" t="str">
        <f>IF('CCUS Projects Database'!$S33&lt;&gt;"",HYPERLINK('CCUS Projects Database'!$S33,"Link 2"),"")</f>
        <v>Link 2</v>
      </c>
      <c r="AA33" s="239" t="str">
        <f>IF('CCUS Projects Database'!$T33&lt;&gt;"",HYPERLINK('CCUS Projects Database'!$T33,"Link 3"),"")</f>
        <v>Link 3</v>
      </c>
      <c r="AB33" s="239" t="str">
        <f>IF('CCUS Projects Database'!$U33&lt;&gt;"",HYPERLINK('CCUS Projects Database'!$U33,"Link 4"),"")</f>
        <v/>
      </c>
      <c r="AC33" s="239" t="str">
        <f>IF('CCUS Projects Database'!$V33&lt;&gt;"",HYPERLINK('CCUS Projects Database'!$V33,"Link 5"),"")</f>
        <v/>
      </c>
      <c r="AD33" s="239" t="str">
        <f>IF('CCUS Projects Database'!$W33&lt;&gt;"",HYPERLINK('CCUS Projects Database'!$W33,"Link 6"),"")</f>
        <v/>
      </c>
      <c r="AE33" s="239" t="str">
        <f>IF('CCUS Projects Database'!$X33&lt;&gt;"",HYPERLINK('CCUS Projects Database'!$X33,"Link 7"),"")</f>
        <v/>
      </c>
    </row>
    <row r="34" ht="14.25" customHeight="1">
      <c r="A34" s="233" t="s">
        <v>18865</v>
      </c>
      <c r="B34" s="234">
        <v>38.0</v>
      </c>
      <c r="C34" s="234" t="s">
        <v>18586</v>
      </c>
      <c r="D34" s="235" t="s">
        <v>682</v>
      </c>
      <c r="E34" s="234" t="s">
        <v>18616</v>
      </c>
      <c r="F34" s="234">
        <v>2021.0</v>
      </c>
      <c r="G34" s="234">
        <v>2023.0</v>
      </c>
      <c r="H34" s="234">
        <v>2028.0</v>
      </c>
      <c r="I34" s="234" t="s">
        <v>18725</v>
      </c>
      <c r="J34" s="234" t="s">
        <v>18638</v>
      </c>
      <c r="K34" s="236" t="s">
        <v>18725</v>
      </c>
      <c r="L34" s="236">
        <v>5.0</v>
      </c>
      <c r="M34" s="236">
        <v>5.0</v>
      </c>
      <c r="N34" s="234" t="s">
        <v>18731</v>
      </c>
      <c r="O34" s="237" t="s">
        <v>18675</v>
      </c>
      <c r="P34" s="238" t="s">
        <v>18725</v>
      </c>
      <c r="Q34" s="234" t="s">
        <v>18732</v>
      </c>
      <c r="R34" s="238" t="s">
        <v>18866</v>
      </c>
      <c r="S34" s="238" t="s">
        <v>18867</v>
      </c>
      <c r="T34" s="238" t="s">
        <v>18725</v>
      </c>
      <c r="U34" s="238" t="s">
        <v>18725</v>
      </c>
      <c r="V34" s="238" t="s">
        <v>18725</v>
      </c>
      <c r="W34" s="238" t="s">
        <v>18725</v>
      </c>
      <c r="X34" s="238" t="s">
        <v>18725</v>
      </c>
      <c r="Y34" s="239" t="str">
        <f>IF('CCUS Projects Database'!$R34&lt;&gt;"",HYPERLINK('CCUS Projects Database'!$R34,"Link 1"),"")</f>
        <v>Link 1</v>
      </c>
      <c r="Z34" s="239" t="str">
        <f>IF('CCUS Projects Database'!$S34&lt;&gt;"",HYPERLINK('CCUS Projects Database'!$S34,"Link 2"),"")</f>
        <v>Link 2</v>
      </c>
      <c r="AA34" s="239" t="str">
        <f>IF('CCUS Projects Database'!$T34&lt;&gt;"",HYPERLINK('CCUS Projects Database'!$T34,"Link 3"),"")</f>
        <v/>
      </c>
      <c r="AB34" s="239" t="str">
        <f>IF('CCUS Projects Database'!$U34&lt;&gt;"",HYPERLINK('CCUS Projects Database'!$U34,"Link 4"),"")</f>
        <v/>
      </c>
      <c r="AC34" s="239" t="str">
        <f>IF('CCUS Projects Database'!$V34&lt;&gt;"",HYPERLINK('CCUS Projects Database'!$V34,"Link 5"),"")</f>
        <v/>
      </c>
      <c r="AD34" s="239" t="str">
        <f>IF('CCUS Projects Database'!$W34&lt;&gt;"",HYPERLINK('CCUS Projects Database'!$W34,"Link 6"),"")</f>
        <v/>
      </c>
      <c r="AE34" s="239" t="str">
        <f>IF('CCUS Projects Database'!$X34&lt;&gt;"",HYPERLINK('CCUS Projects Database'!$X34,"Link 7"),"")</f>
        <v/>
      </c>
    </row>
    <row r="35" ht="14.25" customHeight="1">
      <c r="A35" s="233" t="s">
        <v>18868</v>
      </c>
      <c r="B35" s="234">
        <v>39.0</v>
      </c>
      <c r="C35" s="234" t="s">
        <v>18264</v>
      </c>
      <c r="D35" s="235" t="s">
        <v>18869</v>
      </c>
      <c r="E35" s="234" t="s">
        <v>18623</v>
      </c>
      <c r="F35" s="234">
        <v>2021.0</v>
      </c>
      <c r="G35" s="234">
        <v>2024.0</v>
      </c>
      <c r="H35" s="234">
        <v>2028.0</v>
      </c>
      <c r="I35" s="234" t="s">
        <v>18725</v>
      </c>
      <c r="J35" s="234" t="s">
        <v>18638</v>
      </c>
      <c r="K35" s="236">
        <v>1.0</v>
      </c>
      <c r="L35" s="236">
        <v>0.65</v>
      </c>
      <c r="M35" s="236">
        <v>0.65</v>
      </c>
      <c r="N35" s="234" t="s">
        <v>18623</v>
      </c>
      <c r="O35" s="237" t="s">
        <v>18675</v>
      </c>
      <c r="P35" s="238" t="s">
        <v>18870</v>
      </c>
      <c r="Q35" s="234" t="s">
        <v>18732</v>
      </c>
      <c r="R35" s="238" t="s">
        <v>17905</v>
      </c>
      <c r="S35" s="238" t="s">
        <v>17906</v>
      </c>
      <c r="T35" s="238" t="s">
        <v>17907</v>
      </c>
      <c r="U35" s="238" t="s">
        <v>18106</v>
      </c>
      <c r="V35" s="238" t="s">
        <v>18871</v>
      </c>
      <c r="W35" s="238" t="s">
        <v>18725</v>
      </c>
      <c r="X35" s="238" t="s">
        <v>18725</v>
      </c>
      <c r="Y35" s="239" t="str">
        <f>IF('CCUS Projects Database'!$R35&lt;&gt;"",HYPERLINK('CCUS Projects Database'!$R35,"Link 1"),"")</f>
        <v>Link 1</v>
      </c>
      <c r="Z35" s="239" t="str">
        <f>IF('CCUS Projects Database'!$S35&lt;&gt;"",HYPERLINK('CCUS Projects Database'!$S35,"Link 2"),"")</f>
        <v>Link 2</v>
      </c>
      <c r="AA35" s="239" t="str">
        <f>IF('CCUS Projects Database'!$T35&lt;&gt;"",HYPERLINK('CCUS Projects Database'!$T35,"Link 3"),"")</f>
        <v>Link 3</v>
      </c>
      <c r="AB35" s="239" t="str">
        <f>IF('CCUS Projects Database'!$U35&lt;&gt;"",HYPERLINK('CCUS Projects Database'!$U35,"Link 4"),"")</f>
        <v>Link 4</v>
      </c>
      <c r="AC35" s="239" t="str">
        <f>IF('CCUS Projects Database'!$V35&lt;&gt;"",HYPERLINK('CCUS Projects Database'!$V35,"Link 5"),"")</f>
        <v>Link 5</v>
      </c>
      <c r="AD35" s="239" t="str">
        <f>IF('CCUS Projects Database'!$W35&lt;&gt;"",HYPERLINK('CCUS Projects Database'!$W35,"Link 6"),"")</f>
        <v/>
      </c>
      <c r="AE35" s="239" t="str">
        <f>IF('CCUS Projects Database'!$X35&lt;&gt;"",HYPERLINK('CCUS Projects Database'!$X35,"Link 7"),"")</f>
        <v/>
      </c>
    </row>
    <row r="36" ht="14.25" customHeight="1">
      <c r="A36" s="233" t="s">
        <v>18872</v>
      </c>
      <c r="B36" s="234">
        <v>40.0</v>
      </c>
      <c r="C36" s="234" t="s">
        <v>18264</v>
      </c>
      <c r="D36" s="235" t="s">
        <v>18873</v>
      </c>
      <c r="E36" s="234" t="s">
        <v>18623</v>
      </c>
      <c r="F36" s="234">
        <v>2022.0</v>
      </c>
      <c r="G36" s="234" t="s">
        <v>18725</v>
      </c>
      <c r="H36" s="234">
        <v>2026.0</v>
      </c>
      <c r="I36" s="234" t="s">
        <v>18725</v>
      </c>
      <c r="J36" s="234" t="s">
        <v>18636</v>
      </c>
      <c r="K36" s="236">
        <v>2.0</v>
      </c>
      <c r="L36" s="236">
        <v>9.25</v>
      </c>
      <c r="M36" s="236">
        <v>9.25</v>
      </c>
      <c r="N36" s="234" t="s">
        <v>18623</v>
      </c>
      <c r="O36" s="237" t="s">
        <v>18675</v>
      </c>
      <c r="P36" s="238" t="s">
        <v>18870</v>
      </c>
      <c r="Q36" s="234" t="s">
        <v>18732</v>
      </c>
      <c r="R36" s="238" t="s">
        <v>16483</v>
      </c>
      <c r="S36" s="238" t="s">
        <v>18874</v>
      </c>
      <c r="T36" s="238" t="s">
        <v>18875</v>
      </c>
      <c r="U36" s="238" t="s">
        <v>18876</v>
      </c>
      <c r="V36" s="238" t="s">
        <v>18877</v>
      </c>
      <c r="W36" s="238" t="s">
        <v>18725</v>
      </c>
      <c r="X36" s="238" t="s">
        <v>18725</v>
      </c>
      <c r="Y36" s="239" t="str">
        <f>IF('CCUS Projects Database'!$R36&lt;&gt;"",HYPERLINK('CCUS Projects Database'!$R36,"Link 1"),"")</f>
        <v>Link 1</v>
      </c>
      <c r="Z36" s="239" t="str">
        <f>IF('CCUS Projects Database'!$S36&lt;&gt;"",HYPERLINK('CCUS Projects Database'!$S36,"Link 2"),"")</f>
        <v>Link 2</v>
      </c>
      <c r="AA36" s="239" t="str">
        <f>IF('CCUS Projects Database'!$T36&lt;&gt;"",HYPERLINK('CCUS Projects Database'!$T36,"Link 3"),"")</f>
        <v>Link 3</v>
      </c>
      <c r="AB36" s="239" t="str">
        <f>IF('CCUS Projects Database'!$U36&lt;&gt;"",HYPERLINK('CCUS Projects Database'!$U36,"Link 4"),"")</f>
        <v>Link 4</v>
      </c>
      <c r="AC36" s="239" t="str">
        <f>IF('CCUS Projects Database'!$V36&lt;&gt;"",HYPERLINK('CCUS Projects Database'!$V36,"Link 5"),"")</f>
        <v>Link 5</v>
      </c>
      <c r="AD36" s="239" t="str">
        <f>IF('CCUS Projects Database'!$W36&lt;&gt;"",HYPERLINK('CCUS Projects Database'!$W36,"Link 6"),"")</f>
        <v/>
      </c>
      <c r="AE36" s="239" t="str">
        <f>IF('CCUS Projects Database'!$X36&lt;&gt;"",HYPERLINK('CCUS Projects Database'!$X36,"Link 7"),"")</f>
        <v/>
      </c>
    </row>
    <row r="37" ht="14.25" customHeight="1">
      <c r="A37" s="233" t="s">
        <v>18878</v>
      </c>
      <c r="B37" s="234">
        <v>41.0</v>
      </c>
      <c r="C37" s="234" t="s">
        <v>98</v>
      </c>
      <c r="D37" s="235" t="s">
        <v>18879</v>
      </c>
      <c r="E37" s="234" t="s">
        <v>18616</v>
      </c>
      <c r="F37" s="234">
        <v>2021.0</v>
      </c>
      <c r="G37" s="234">
        <v>2025.0</v>
      </c>
      <c r="H37" s="234">
        <v>2030.0</v>
      </c>
      <c r="I37" s="234">
        <v>2024.0</v>
      </c>
      <c r="J37" s="234" t="s">
        <v>18192</v>
      </c>
      <c r="K37" s="236" t="s">
        <v>18725</v>
      </c>
      <c r="L37" s="236" t="s">
        <v>18725</v>
      </c>
      <c r="M37" s="236" t="s">
        <v>18725</v>
      </c>
      <c r="N37" s="234" t="s">
        <v>18731</v>
      </c>
      <c r="O37" s="237" t="s">
        <v>18683</v>
      </c>
      <c r="P37" s="238" t="s">
        <v>18725</v>
      </c>
      <c r="Q37" s="234" t="s">
        <v>18726</v>
      </c>
      <c r="R37" s="238" t="s">
        <v>18880</v>
      </c>
      <c r="S37" s="238" t="s">
        <v>18881</v>
      </c>
      <c r="T37" s="238" t="s">
        <v>18725</v>
      </c>
      <c r="U37" s="238" t="s">
        <v>18725</v>
      </c>
      <c r="V37" s="238" t="s">
        <v>18725</v>
      </c>
      <c r="W37" s="238" t="s">
        <v>18725</v>
      </c>
      <c r="X37" s="238" t="s">
        <v>18725</v>
      </c>
      <c r="Y37" s="239" t="str">
        <f>IF('CCUS Projects Database'!$R37&lt;&gt;"",HYPERLINK('CCUS Projects Database'!$R37,"Link 1"),"")</f>
        <v>Link 1</v>
      </c>
      <c r="Z37" s="239" t="str">
        <f>IF('CCUS Projects Database'!$S37&lt;&gt;"",HYPERLINK('CCUS Projects Database'!$S37,"Link 2"),"")</f>
        <v>Link 2</v>
      </c>
      <c r="AA37" s="239" t="str">
        <f>IF('CCUS Projects Database'!$T37&lt;&gt;"",HYPERLINK('CCUS Projects Database'!$T37,"Link 3"),"")</f>
        <v/>
      </c>
      <c r="AB37" s="239" t="str">
        <f>IF('CCUS Projects Database'!$U37&lt;&gt;"",HYPERLINK('CCUS Projects Database'!$U37,"Link 4"),"")</f>
        <v/>
      </c>
      <c r="AC37" s="239" t="str">
        <f>IF('CCUS Projects Database'!$V37&lt;&gt;"",HYPERLINK('CCUS Projects Database'!$V37,"Link 5"),"")</f>
        <v/>
      </c>
      <c r="AD37" s="239" t="str">
        <f>IF('CCUS Projects Database'!$W37&lt;&gt;"",HYPERLINK('CCUS Projects Database'!$W37,"Link 6"),"")</f>
        <v/>
      </c>
      <c r="AE37" s="239" t="str">
        <f>IF('CCUS Projects Database'!$X37&lt;&gt;"",HYPERLINK('CCUS Projects Database'!$X37,"Link 7"),"")</f>
        <v/>
      </c>
    </row>
    <row r="38" ht="14.25" customHeight="1">
      <c r="A38" s="233" t="s">
        <v>18882</v>
      </c>
      <c r="B38" s="234">
        <v>42.0</v>
      </c>
      <c r="C38" s="234" t="s">
        <v>86</v>
      </c>
      <c r="D38" s="235" t="s">
        <v>18883</v>
      </c>
      <c r="E38" s="234" t="s">
        <v>18618</v>
      </c>
      <c r="F38" s="234">
        <v>2021.0</v>
      </c>
      <c r="G38" s="234">
        <v>2023.0</v>
      </c>
      <c r="H38" s="234">
        <v>2026.0</v>
      </c>
      <c r="I38" s="234" t="s">
        <v>18725</v>
      </c>
      <c r="J38" s="234" t="s">
        <v>18638</v>
      </c>
      <c r="K38" s="236">
        <v>1.0</v>
      </c>
      <c r="L38" s="236">
        <v>0.15</v>
      </c>
      <c r="M38" s="236">
        <v>0.15</v>
      </c>
      <c r="N38" s="234" t="s">
        <v>18654</v>
      </c>
      <c r="O38" s="237" t="s">
        <v>18675</v>
      </c>
      <c r="P38" s="238" t="s">
        <v>18884</v>
      </c>
      <c r="Q38" s="234" t="s">
        <v>18726</v>
      </c>
      <c r="R38" s="238" t="s">
        <v>18885</v>
      </c>
      <c r="S38" s="238" t="s">
        <v>18886</v>
      </c>
      <c r="T38" s="238" t="s">
        <v>18886</v>
      </c>
      <c r="U38" s="238" t="s">
        <v>18887</v>
      </c>
      <c r="V38" s="238" t="s">
        <v>18888</v>
      </c>
      <c r="W38" s="238" t="s">
        <v>18725</v>
      </c>
      <c r="X38" s="238" t="s">
        <v>18725</v>
      </c>
      <c r="Y38" s="239" t="str">
        <f>IF('CCUS Projects Database'!$R38&lt;&gt;"",HYPERLINK('CCUS Projects Database'!$R38,"Link 1"),"")</f>
        <v>Link 1</v>
      </c>
      <c r="Z38" s="239" t="str">
        <f>IF('CCUS Projects Database'!$S38&lt;&gt;"",HYPERLINK('CCUS Projects Database'!$S38,"Link 2"),"")</f>
        <v>Link 2</v>
      </c>
      <c r="AA38" s="239" t="str">
        <f>IF('CCUS Projects Database'!$T38&lt;&gt;"",HYPERLINK('CCUS Projects Database'!$T38,"Link 3"),"")</f>
        <v>Link 3</v>
      </c>
      <c r="AB38" s="239" t="str">
        <f>IF('CCUS Projects Database'!$U38&lt;&gt;"",HYPERLINK('CCUS Projects Database'!$U38,"Link 4"),"")</f>
        <v>Link 4</v>
      </c>
      <c r="AC38" s="239" t="str">
        <f>IF('CCUS Projects Database'!$V38&lt;&gt;"",HYPERLINK('CCUS Projects Database'!$V38,"Link 5"),"")</f>
        <v>Link 5</v>
      </c>
      <c r="AD38" s="239" t="str">
        <f>IF('CCUS Projects Database'!$W38&lt;&gt;"",HYPERLINK('CCUS Projects Database'!$W38,"Link 6"),"")</f>
        <v/>
      </c>
      <c r="AE38" s="239" t="str">
        <f>IF('CCUS Projects Database'!$X38&lt;&gt;"",HYPERLINK('CCUS Projects Database'!$X38,"Link 7"),"")</f>
        <v/>
      </c>
    </row>
    <row r="39" ht="14.25" customHeight="1">
      <c r="A39" s="233" t="s">
        <v>9450</v>
      </c>
      <c r="B39" s="234">
        <v>43.0</v>
      </c>
      <c r="C39" s="234" t="s">
        <v>18287</v>
      </c>
      <c r="D39" s="235" t="s">
        <v>18889</v>
      </c>
      <c r="E39" s="234" t="s">
        <v>18616</v>
      </c>
      <c r="F39" s="234">
        <v>2022.0</v>
      </c>
      <c r="G39" s="234" t="s">
        <v>18725</v>
      </c>
      <c r="H39" s="234">
        <v>2030.0</v>
      </c>
      <c r="I39" s="234" t="s">
        <v>18725</v>
      </c>
      <c r="J39" s="234" t="s">
        <v>18636</v>
      </c>
      <c r="K39" s="236" t="s">
        <v>18725</v>
      </c>
      <c r="L39" s="236">
        <v>1.4</v>
      </c>
      <c r="M39" s="236">
        <v>1.4</v>
      </c>
      <c r="N39" s="234" t="s">
        <v>18661</v>
      </c>
      <c r="O39" s="237" t="s">
        <v>18890</v>
      </c>
      <c r="P39" s="238" t="s">
        <v>18891</v>
      </c>
      <c r="Q39" s="234" t="s">
        <v>18856</v>
      </c>
      <c r="R39" s="238" t="s">
        <v>17241</v>
      </c>
      <c r="S39" s="238" t="s">
        <v>18864</v>
      </c>
      <c r="T39" s="238" t="s">
        <v>18725</v>
      </c>
      <c r="U39" s="238" t="s">
        <v>18725</v>
      </c>
      <c r="V39" s="238" t="s">
        <v>18725</v>
      </c>
      <c r="W39" s="238" t="s">
        <v>18725</v>
      </c>
      <c r="X39" s="238" t="s">
        <v>18725</v>
      </c>
      <c r="Y39" s="239" t="str">
        <f>IF('CCUS Projects Database'!$R39&lt;&gt;"",HYPERLINK('CCUS Projects Database'!$R39,"Link 1"),"")</f>
        <v>Link 1</v>
      </c>
      <c r="Z39" s="239" t="str">
        <f>IF('CCUS Projects Database'!$S39&lt;&gt;"",HYPERLINK('CCUS Projects Database'!$S39,"Link 2"),"")</f>
        <v>Link 2</v>
      </c>
      <c r="AA39" s="239" t="str">
        <f>IF('CCUS Projects Database'!$T39&lt;&gt;"",HYPERLINK('CCUS Projects Database'!$T39,"Link 3"),"")</f>
        <v/>
      </c>
      <c r="AB39" s="239" t="str">
        <f>IF('CCUS Projects Database'!$U39&lt;&gt;"",HYPERLINK('CCUS Projects Database'!$U39,"Link 4"),"")</f>
        <v/>
      </c>
      <c r="AC39" s="239" t="str">
        <f>IF('CCUS Projects Database'!$V39&lt;&gt;"",HYPERLINK('CCUS Projects Database'!$V39,"Link 5"),"")</f>
        <v/>
      </c>
      <c r="AD39" s="239" t="str">
        <f>IF('CCUS Projects Database'!$W39&lt;&gt;"",HYPERLINK('CCUS Projects Database'!$W39,"Link 6"),"")</f>
        <v/>
      </c>
      <c r="AE39" s="239" t="str">
        <f>IF('CCUS Projects Database'!$X39&lt;&gt;"",HYPERLINK('CCUS Projects Database'!$X39,"Link 7"),"")</f>
        <v/>
      </c>
    </row>
    <row r="40" ht="14.25" customHeight="1">
      <c r="A40" s="233" t="s">
        <v>18892</v>
      </c>
      <c r="B40" s="234">
        <v>44.0</v>
      </c>
      <c r="C40" s="234" t="s">
        <v>98</v>
      </c>
      <c r="D40" s="235" t="s">
        <v>18893</v>
      </c>
      <c r="E40" s="234" t="s">
        <v>18618</v>
      </c>
      <c r="F40" s="234">
        <v>2021.0</v>
      </c>
      <c r="G40" s="234">
        <v>2026.0</v>
      </c>
      <c r="H40" s="234">
        <v>2030.0</v>
      </c>
      <c r="I40" s="234" t="s">
        <v>18725</v>
      </c>
      <c r="J40" s="234" t="s">
        <v>18636</v>
      </c>
      <c r="K40" s="236">
        <v>1.0</v>
      </c>
      <c r="L40" s="236" t="s">
        <v>18894</v>
      </c>
      <c r="M40" s="236">
        <v>2.0</v>
      </c>
      <c r="N40" s="234" t="s">
        <v>18731</v>
      </c>
      <c r="O40" s="237" t="s">
        <v>18675</v>
      </c>
      <c r="P40" s="238" t="s">
        <v>18895</v>
      </c>
      <c r="Q40" s="234" t="s">
        <v>18726</v>
      </c>
      <c r="R40" s="238" t="s">
        <v>18896</v>
      </c>
      <c r="S40" s="238" t="s">
        <v>18897</v>
      </c>
      <c r="T40" s="238" t="s">
        <v>18725</v>
      </c>
      <c r="U40" s="238" t="s">
        <v>18725</v>
      </c>
      <c r="V40" s="238" t="s">
        <v>18725</v>
      </c>
      <c r="W40" s="238" t="s">
        <v>18725</v>
      </c>
      <c r="X40" s="238" t="s">
        <v>18725</v>
      </c>
      <c r="Y40" s="239" t="str">
        <f>IF('CCUS Projects Database'!$R40&lt;&gt;"",HYPERLINK('CCUS Projects Database'!$R40,"Link 1"),"")</f>
        <v>Link 1</v>
      </c>
      <c r="Z40" s="239" t="str">
        <f>IF('CCUS Projects Database'!$S40&lt;&gt;"",HYPERLINK('CCUS Projects Database'!$S40,"Link 2"),"")</f>
        <v>Link 2</v>
      </c>
      <c r="AA40" s="239" t="str">
        <f>IF('CCUS Projects Database'!$T40&lt;&gt;"",HYPERLINK('CCUS Projects Database'!$T40,"Link 3"),"")</f>
        <v/>
      </c>
      <c r="AB40" s="239" t="str">
        <f>IF('CCUS Projects Database'!$U40&lt;&gt;"",HYPERLINK('CCUS Projects Database'!$U40,"Link 4"),"")</f>
        <v/>
      </c>
      <c r="AC40" s="239" t="str">
        <f>IF('CCUS Projects Database'!$V40&lt;&gt;"",HYPERLINK('CCUS Projects Database'!$V40,"Link 5"),"")</f>
        <v/>
      </c>
      <c r="AD40" s="239" t="str">
        <f>IF('CCUS Projects Database'!$W40&lt;&gt;"",HYPERLINK('CCUS Projects Database'!$W40,"Link 6"),"")</f>
        <v/>
      </c>
      <c r="AE40" s="239" t="str">
        <f>IF('CCUS Projects Database'!$X40&lt;&gt;"",HYPERLINK('CCUS Projects Database'!$X40,"Link 7"),"")</f>
        <v/>
      </c>
    </row>
    <row r="41" ht="14.25" customHeight="1">
      <c r="A41" s="233" t="s">
        <v>18898</v>
      </c>
      <c r="B41" s="234">
        <v>45.0</v>
      </c>
      <c r="C41" s="234" t="s">
        <v>98</v>
      </c>
      <c r="D41" s="235" t="s">
        <v>18899</v>
      </c>
      <c r="E41" s="234" t="s">
        <v>18618</v>
      </c>
      <c r="F41" s="234">
        <v>2021.0</v>
      </c>
      <c r="G41" s="234" t="s">
        <v>18725</v>
      </c>
      <c r="H41" s="234" t="s">
        <v>18725</v>
      </c>
      <c r="I41" s="234" t="s">
        <v>18725</v>
      </c>
      <c r="J41" s="234" t="s">
        <v>18636</v>
      </c>
      <c r="K41" s="236">
        <v>2.0</v>
      </c>
      <c r="L41" s="236" t="s">
        <v>18894</v>
      </c>
      <c r="M41" s="236">
        <v>2.0</v>
      </c>
      <c r="N41" s="234" t="s">
        <v>18731</v>
      </c>
      <c r="O41" s="237" t="s">
        <v>18675</v>
      </c>
      <c r="P41" s="238" t="s">
        <v>18895</v>
      </c>
      <c r="Q41" s="234" t="s">
        <v>18726</v>
      </c>
      <c r="R41" s="238" t="s">
        <v>18896</v>
      </c>
      <c r="S41" s="238" t="s">
        <v>18897</v>
      </c>
      <c r="T41" s="238" t="s">
        <v>18725</v>
      </c>
      <c r="U41" s="238" t="s">
        <v>18725</v>
      </c>
      <c r="V41" s="238" t="s">
        <v>18725</v>
      </c>
      <c r="W41" s="238" t="s">
        <v>18725</v>
      </c>
      <c r="X41" s="238" t="s">
        <v>18725</v>
      </c>
      <c r="Y41" s="239" t="str">
        <f>IF('CCUS Projects Database'!$R41&lt;&gt;"",HYPERLINK('CCUS Projects Database'!$R41,"Link 1"),"")</f>
        <v>Link 1</v>
      </c>
      <c r="Z41" s="239" t="str">
        <f>IF('CCUS Projects Database'!$S41&lt;&gt;"",HYPERLINK('CCUS Projects Database'!$S41,"Link 2"),"")</f>
        <v>Link 2</v>
      </c>
      <c r="AA41" s="239" t="str">
        <f>IF('CCUS Projects Database'!$T41&lt;&gt;"",HYPERLINK('CCUS Projects Database'!$T41,"Link 3"),"")</f>
        <v/>
      </c>
      <c r="AB41" s="239" t="str">
        <f>IF('CCUS Projects Database'!$U41&lt;&gt;"",HYPERLINK('CCUS Projects Database'!$U41,"Link 4"),"")</f>
        <v/>
      </c>
      <c r="AC41" s="239" t="str">
        <f>IF('CCUS Projects Database'!$V41&lt;&gt;"",HYPERLINK('CCUS Projects Database'!$V41,"Link 5"),"")</f>
        <v/>
      </c>
      <c r="AD41" s="239" t="str">
        <f>IF('CCUS Projects Database'!$W41&lt;&gt;"",HYPERLINK('CCUS Projects Database'!$W41,"Link 6"),"")</f>
        <v/>
      </c>
      <c r="AE41" s="239" t="str">
        <f>IF('CCUS Projects Database'!$X41&lt;&gt;"",HYPERLINK('CCUS Projects Database'!$X41,"Link 7"),"")</f>
        <v/>
      </c>
    </row>
    <row r="42" ht="14.25" customHeight="1">
      <c r="A42" s="233" t="s">
        <v>18900</v>
      </c>
      <c r="B42" s="234">
        <v>46.0</v>
      </c>
      <c r="C42" s="234" t="s">
        <v>98</v>
      </c>
      <c r="D42" s="235" t="s">
        <v>18893</v>
      </c>
      <c r="E42" s="234" t="s">
        <v>18618</v>
      </c>
      <c r="F42" s="234">
        <v>2021.0</v>
      </c>
      <c r="G42" s="234" t="s">
        <v>18725</v>
      </c>
      <c r="H42" s="234" t="s">
        <v>18725</v>
      </c>
      <c r="I42" s="234" t="s">
        <v>18725</v>
      </c>
      <c r="J42" s="234" t="s">
        <v>18636</v>
      </c>
      <c r="K42" s="236">
        <v>3.0</v>
      </c>
      <c r="L42" s="236" t="s">
        <v>18894</v>
      </c>
      <c r="M42" s="236">
        <v>2.0</v>
      </c>
      <c r="N42" s="234" t="s">
        <v>18731</v>
      </c>
      <c r="O42" s="237" t="s">
        <v>18675</v>
      </c>
      <c r="P42" s="238" t="s">
        <v>18895</v>
      </c>
      <c r="Q42" s="234" t="s">
        <v>18726</v>
      </c>
      <c r="R42" s="238" t="s">
        <v>18896</v>
      </c>
      <c r="S42" s="238" t="s">
        <v>18897</v>
      </c>
      <c r="T42" s="238" t="s">
        <v>18725</v>
      </c>
      <c r="U42" s="238" t="s">
        <v>18725</v>
      </c>
      <c r="V42" s="238" t="s">
        <v>18725</v>
      </c>
      <c r="W42" s="238" t="s">
        <v>18725</v>
      </c>
      <c r="X42" s="238" t="s">
        <v>18725</v>
      </c>
      <c r="Y42" s="239" t="str">
        <f>IF('CCUS Projects Database'!$R42&lt;&gt;"",HYPERLINK('CCUS Projects Database'!$R42,"Link 1"),"")</f>
        <v>Link 1</v>
      </c>
      <c r="Z42" s="239" t="str">
        <f>IF('CCUS Projects Database'!$S42&lt;&gt;"",HYPERLINK('CCUS Projects Database'!$S42,"Link 2"),"")</f>
        <v>Link 2</v>
      </c>
      <c r="AA42" s="239" t="str">
        <f>IF('CCUS Projects Database'!$T42&lt;&gt;"",HYPERLINK('CCUS Projects Database'!$T42,"Link 3"),"")</f>
        <v/>
      </c>
      <c r="AB42" s="239" t="str">
        <f>IF('CCUS Projects Database'!$U42&lt;&gt;"",HYPERLINK('CCUS Projects Database'!$U42,"Link 4"),"")</f>
        <v/>
      </c>
      <c r="AC42" s="239" t="str">
        <f>IF('CCUS Projects Database'!$V42&lt;&gt;"",HYPERLINK('CCUS Projects Database'!$V42,"Link 5"),"")</f>
        <v/>
      </c>
      <c r="AD42" s="239" t="str">
        <f>IF('CCUS Projects Database'!$W42&lt;&gt;"",HYPERLINK('CCUS Projects Database'!$W42,"Link 6"),"")</f>
        <v/>
      </c>
      <c r="AE42" s="239" t="str">
        <f>IF('CCUS Projects Database'!$X42&lt;&gt;"",HYPERLINK('CCUS Projects Database'!$X42,"Link 7"),"")</f>
        <v/>
      </c>
    </row>
    <row r="43" ht="14.25" customHeight="1">
      <c r="A43" s="233" t="s">
        <v>18901</v>
      </c>
      <c r="B43" s="234">
        <v>47.0</v>
      </c>
      <c r="C43" s="234" t="s">
        <v>18329</v>
      </c>
      <c r="D43" s="235" t="s">
        <v>18902</v>
      </c>
      <c r="E43" s="234" t="s">
        <v>18618</v>
      </c>
      <c r="F43" s="234">
        <v>2021.0</v>
      </c>
      <c r="G43" s="234">
        <v>2025.0</v>
      </c>
      <c r="H43" s="234">
        <v>2026.0</v>
      </c>
      <c r="I43" s="234" t="s">
        <v>18725</v>
      </c>
      <c r="J43" s="234" t="s">
        <v>18636</v>
      </c>
      <c r="K43" s="236" t="s">
        <v>18725</v>
      </c>
      <c r="L43" s="236">
        <v>2.3</v>
      </c>
      <c r="M43" s="236">
        <v>2.3</v>
      </c>
      <c r="N43" s="234" t="s">
        <v>18656</v>
      </c>
      <c r="O43" s="237" t="s">
        <v>18675</v>
      </c>
      <c r="P43" s="238" t="s">
        <v>18903</v>
      </c>
      <c r="Q43" s="234" t="s">
        <v>18762</v>
      </c>
      <c r="R43" s="238" t="s">
        <v>18904</v>
      </c>
      <c r="S43" s="238" t="s">
        <v>18905</v>
      </c>
      <c r="T43" s="238" t="s">
        <v>18906</v>
      </c>
      <c r="U43" s="238" t="s">
        <v>18907</v>
      </c>
      <c r="V43" s="238" t="s">
        <v>18908</v>
      </c>
      <c r="W43" s="238" t="s">
        <v>18909</v>
      </c>
      <c r="X43" s="238" t="s">
        <v>18725</v>
      </c>
      <c r="Y43" s="239" t="str">
        <f>IF('CCUS Projects Database'!$R43&lt;&gt;"",HYPERLINK('CCUS Projects Database'!$R43,"Link 1"),"")</f>
        <v>Link 1</v>
      </c>
      <c r="Z43" s="239" t="str">
        <f>IF('CCUS Projects Database'!$S43&lt;&gt;"",HYPERLINK('CCUS Projects Database'!$S43,"Link 2"),"")</f>
        <v>Link 2</v>
      </c>
      <c r="AA43" s="239" t="str">
        <f>IF('CCUS Projects Database'!$T43&lt;&gt;"",HYPERLINK('CCUS Projects Database'!$T43,"Link 3"),"")</f>
        <v>Link 3</v>
      </c>
      <c r="AB43" s="239" t="str">
        <f>IF('CCUS Projects Database'!$U43&lt;&gt;"",HYPERLINK('CCUS Projects Database'!$U43,"Link 4"),"")</f>
        <v>Link 4</v>
      </c>
      <c r="AC43" s="239" t="str">
        <f>IF('CCUS Projects Database'!$V43&lt;&gt;"",HYPERLINK('CCUS Projects Database'!$V43,"Link 5"),"")</f>
        <v>Link 5</v>
      </c>
      <c r="AD43" s="239" t="str">
        <f>IF('CCUS Projects Database'!$W43&lt;&gt;"",HYPERLINK('CCUS Projects Database'!$W43,"Link 6"),"")</f>
        <v>Link 6</v>
      </c>
      <c r="AE43" s="239" t="str">
        <f>IF('CCUS Projects Database'!$X43&lt;&gt;"",HYPERLINK('CCUS Projects Database'!$X43,"Link 7"),"")</f>
        <v/>
      </c>
    </row>
    <row r="44" ht="14.25" customHeight="1">
      <c r="A44" s="233" t="s">
        <v>18910</v>
      </c>
      <c r="B44" s="234">
        <v>49.0</v>
      </c>
      <c r="C44" s="234" t="s">
        <v>18586</v>
      </c>
      <c r="D44" s="235" t="s">
        <v>18911</v>
      </c>
      <c r="E44" s="234" t="s">
        <v>3</v>
      </c>
      <c r="F44" s="234">
        <v>2021.0</v>
      </c>
      <c r="G44" s="234">
        <v>2026.0</v>
      </c>
      <c r="H44" s="234">
        <v>2029.0</v>
      </c>
      <c r="I44" s="234" t="s">
        <v>18725</v>
      </c>
      <c r="J44" s="234" t="s">
        <v>18636</v>
      </c>
      <c r="K44" s="236" t="s">
        <v>18725</v>
      </c>
      <c r="L44" s="236">
        <v>10.0</v>
      </c>
      <c r="M44" s="236">
        <v>10.0</v>
      </c>
      <c r="N44" s="234" t="s">
        <v>3</v>
      </c>
      <c r="O44" s="237" t="s">
        <v>18675</v>
      </c>
      <c r="P44" s="238" t="s">
        <v>18912</v>
      </c>
      <c r="Q44" s="234" t="s">
        <v>18732</v>
      </c>
      <c r="R44" s="238" t="s">
        <v>18913</v>
      </c>
      <c r="S44" s="238" t="s">
        <v>18914</v>
      </c>
      <c r="T44" s="238" t="s">
        <v>18915</v>
      </c>
      <c r="U44" s="238" t="s">
        <v>18916</v>
      </c>
      <c r="V44" s="238" t="s">
        <v>18917</v>
      </c>
      <c r="W44" s="238" t="s">
        <v>18918</v>
      </c>
      <c r="X44" s="238" t="s">
        <v>18725</v>
      </c>
      <c r="Y44" s="239" t="str">
        <f>IF('CCUS Projects Database'!$R44&lt;&gt;"",HYPERLINK('CCUS Projects Database'!$R44,"Link 1"),"")</f>
        <v>Link 1</v>
      </c>
      <c r="Z44" s="239" t="str">
        <f>IF('CCUS Projects Database'!$S44&lt;&gt;"",HYPERLINK('CCUS Projects Database'!$S44,"Link 2"),"")</f>
        <v>Link 2</v>
      </c>
      <c r="AA44" s="239" t="str">
        <f>IF('CCUS Projects Database'!$T44&lt;&gt;"",HYPERLINK('CCUS Projects Database'!$T44,"Link 3"),"")</f>
        <v>Link 3</v>
      </c>
      <c r="AB44" s="239" t="str">
        <f>IF('CCUS Projects Database'!$U44&lt;&gt;"",HYPERLINK('CCUS Projects Database'!$U44,"Link 4"),"")</f>
        <v>Link 4</v>
      </c>
      <c r="AC44" s="239" t="str">
        <f>IF('CCUS Projects Database'!$V44&lt;&gt;"",HYPERLINK('CCUS Projects Database'!$V44,"Link 5"),"")</f>
        <v>Link 5</v>
      </c>
      <c r="AD44" s="239" t="str">
        <f>IF('CCUS Projects Database'!$W44&lt;&gt;"",HYPERLINK('CCUS Projects Database'!$W44,"Link 6"),"")</f>
        <v>Link 6</v>
      </c>
      <c r="AE44" s="239" t="str">
        <f>IF('CCUS Projects Database'!$X44&lt;&gt;"",HYPERLINK('CCUS Projects Database'!$X44,"Link 7"),"")</f>
        <v/>
      </c>
    </row>
    <row r="45" ht="14.25" customHeight="1">
      <c r="A45" s="233" t="s">
        <v>18919</v>
      </c>
      <c r="B45" s="234">
        <v>50.0</v>
      </c>
      <c r="C45" s="234" t="s">
        <v>18920</v>
      </c>
      <c r="D45" s="235" t="s">
        <v>18921</v>
      </c>
      <c r="E45" s="234" t="s">
        <v>18623</v>
      </c>
      <c r="F45" s="234">
        <v>2021.0</v>
      </c>
      <c r="G45" s="234">
        <v>2025.0</v>
      </c>
      <c r="H45" s="234">
        <v>2028.0</v>
      </c>
      <c r="I45" s="234" t="s">
        <v>18725</v>
      </c>
      <c r="J45" s="234" t="s">
        <v>18636</v>
      </c>
      <c r="K45" s="236">
        <v>1.0</v>
      </c>
      <c r="L45" s="236">
        <v>2.3</v>
      </c>
      <c r="M45" s="236">
        <v>2.3</v>
      </c>
      <c r="N45" s="234" t="s">
        <v>18623</v>
      </c>
      <c r="O45" s="237" t="s">
        <v>18675</v>
      </c>
      <c r="P45" s="238" t="s">
        <v>18903</v>
      </c>
      <c r="Q45" s="234" t="s">
        <v>18762</v>
      </c>
      <c r="R45" s="238" t="s">
        <v>18906</v>
      </c>
      <c r="S45" s="238" t="s">
        <v>18908</v>
      </c>
      <c r="T45" s="238" t="s">
        <v>18922</v>
      </c>
      <c r="U45" s="238" t="s">
        <v>18923</v>
      </c>
      <c r="V45" s="238" t="s">
        <v>18924</v>
      </c>
      <c r="W45" s="238" t="s">
        <v>18725</v>
      </c>
      <c r="X45" s="238" t="s">
        <v>18725</v>
      </c>
      <c r="Y45" s="239" t="str">
        <f>IF('CCUS Projects Database'!$R45&lt;&gt;"",HYPERLINK('CCUS Projects Database'!$R45,"Link 1"),"")</f>
        <v>Link 1</v>
      </c>
      <c r="Z45" s="239" t="str">
        <f>IF('CCUS Projects Database'!$S45&lt;&gt;"",HYPERLINK('CCUS Projects Database'!$S45,"Link 2"),"")</f>
        <v>Link 2</v>
      </c>
      <c r="AA45" s="239" t="str">
        <f>IF('CCUS Projects Database'!$T45&lt;&gt;"",HYPERLINK('CCUS Projects Database'!$T45,"Link 3"),"")</f>
        <v>Link 3</v>
      </c>
      <c r="AB45" s="239" t="str">
        <f>IF('CCUS Projects Database'!$U45&lt;&gt;"",HYPERLINK('CCUS Projects Database'!$U45,"Link 4"),"")</f>
        <v>Link 4</v>
      </c>
      <c r="AC45" s="239" t="str">
        <f>IF('CCUS Projects Database'!$V45&lt;&gt;"",HYPERLINK('CCUS Projects Database'!$V45,"Link 5"),"")</f>
        <v>Link 5</v>
      </c>
      <c r="AD45" s="239" t="str">
        <f>IF('CCUS Projects Database'!$W45&lt;&gt;"",HYPERLINK('CCUS Projects Database'!$W45,"Link 6"),"")</f>
        <v/>
      </c>
      <c r="AE45" s="239" t="str">
        <f>IF('CCUS Projects Database'!$X45&lt;&gt;"",HYPERLINK('CCUS Projects Database'!$X45,"Link 7"),"")</f>
        <v/>
      </c>
    </row>
    <row r="46" ht="14.25" customHeight="1">
      <c r="A46" s="233" t="s">
        <v>18925</v>
      </c>
      <c r="B46" s="234">
        <v>51.0</v>
      </c>
      <c r="C46" s="234" t="s">
        <v>51</v>
      </c>
      <c r="D46" s="235" t="s">
        <v>18926</v>
      </c>
      <c r="E46" s="234" t="s">
        <v>18618</v>
      </c>
      <c r="F46" s="234">
        <v>2020.0</v>
      </c>
      <c r="G46" s="234">
        <v>2026.0</v>
      </c>
      <c r="H46" s="234">
        <v>2030.0</v>
      </c>
      <c r="I46" s="234" t="s">
        <v>18725</v>
      </c>
      <c r="J46" s="234" t="s">
        <v>18636</v>
      </c>
      <c r="K46" s="236" t="s">
        <v>18725</v>
      </c>
      <c r="L46" s="236">
        <v>0.5</v>
      </c>
      <c r="M46" s="236">
        <v>0.5</v>
      </c>
      <c r="N46" s="234" t="s">
        <v>18654</v>
      </c>
      <c r="O46" s="237" t="s">
        <v>18675</v>
      </c>
      <c r="P46" s="238" t="s">
        <v>18725</v>
      </c>
      <c r="Q46" s="234" t="s">
        <v>18726</v>
      </c>
      <c r="R46" s="238" t="s">
        <v>18927</v>
      </c>
      <c r="S46" s="238" t="s">
        <v>18928</v>
      </c>
      <c r="T46" s="238" t="s">
        <v>18725</v>
      </c>
      <c r="U46" s="238" t="s">
        <v>18725</v>
      </c>
      <c r="V46" s="238" t="s">
        <v>18725</v>
      </c>
      <c r="W46" s="238" t="s">
        <v>18725</v>
      </c>
      <c r="X46" s="238" t="s">
        <v>18725</v>
      </c>
      <c r="Y46" s="239" t="str">
        <f>IF('CCUS Projects Database'!$R46&lt;&gt;"",HYPERLINK('CCUS Projects Database'!$R46,"Link 1"),"")</f>
        <v>Link 1</v>
      </c>
      <c r="Z46" s="239" t="str">
        <f>IF('CCUS Projects Database'!$S46&lt;&gt;"",HYPERLINK('CCUS Projects Database'!$S46,"Link 2"),"")</f>
        <v>Link 2</v>
      </c>
      <c r="AA46" s="239" t="str">
        <f>IF('CCUS Projects Database'!$T46&lt;&gt;"",HYPERLINK('CCUS Projects Database'!$T46,"Link 3"),"")</f>
        <v/>
      </c>
      <c r="AB46" s="239" t="str">
        <f>IF('CCUS Projects Database'!$U46&lt;&gt;"",HYPERLINK('CCUS Projects Database'!$U46,"Link 4"),"")</f>
        <v/>
      </c>
      <c r="AC46" s="239" t="str">
        <f>IF('CCUS Projects Database'!$V46&lt;&gt;"",HYPERLINK('CCUS Projects Database'!$V46,"Link 5"),"")</f>
        <v/>
      </c>
      <c r="AD46" s="239" t="str">
        <f>IF('CCUS Projects Database'!$W46&lt;&gt;"",HYPERLINK('CCUS Projects Database'!$W46,"Link 6"),"")</f>
        <v/>
      </c>
      <c r="AE46" s="239" t="str">
        <f>IF('CCUS Projects Database'!$X46&lt;&gt;"",HYPERLINK('CCUS Projects Database'!$X46,"Link 7"),"")</f>
        <v/>
      </c>
    </row>
    <row r="47" ht="14.25" customHeight="1">
      <c r="A47" s="233" t="s">
        <v>18929</v>
      </c>
      <c r="B47" s="234">
        <v>53.0</v>
      </c>
      <c r="C47" s="234" t="s">
        <v>18586</v>
      </c>
      <c r="D47" s="235" t="s">
        <v>18930</v>
      </c>
      <c r="E47" s="234" t="s">
        <v>18616</v>
      </c>
      <c r="F47" s="234">
        <v>2010.0</v>
      </c>
      <c r="G47" s="234" t="s">
        <v>18725</v>
      </c>
      <c r="H47" s="234">
        <v>2012.0</v>
      </c>
      <c r="I47" s="234" t="s">
        <v>18725</v>
      </c>
      <c r="J47" s="234" t="s">
        <v>12385</v>
      </c>
      <c r="K47" s="236" t="s">
        <v>18725</v>
      </c>
      <c r="L47" s="236" t="s">
        <v>18931</v>
      </c>
      <c r="M47" s="236">
        <v>0.16</v>
      </c>
      <c r="N47" s="234" t="s">
        <v>12270</v>
      </c>
      <c r="O47" s="237" t="s">
        <v>18677</v>
      </c>
      <c r="P47" s="238" t="s">
        <v>18725</v>
      </c>
      <c r="Q47" s="234" t="s">
        <v>18732</v>
      </c>
      <c r="R47" s="238" t="s">
        <v>18932</v>
      </c>
      <c r="S47" s="238" t="s">
        <v>18933</v>
      </c>
      <c r="T47" s="238" t="s">
        <v>18852</v>
      </c>
      <c r="U47" s="238" t="s">
        <v>18725</v>
      </c>
      <c r="V47" s="238" t="s">
        <v>18725</v>
      </c>
      <c r="W47" s="238" t="s">
        <v>18725</v>
      </c>
      <c r="X47" s="238" t="s">
        <v>18725</v>
      </c>
      <c r="Y47" s="239" t="str">
        <f>IF('CCUS Projects Database'!$R47&lt;&gt;"",HYPERLINK('CCUS Projects Database'!$R47,"Link 1"),"")</f>
        <v>Link 1</v>
      </c>
      <c r="Z47" s="239" t="str">
        <f>IF('CCUS Projects Database'!$S47&lt;&gt;"",HYPERLINK('CCUS Projects Database'!$S47,"Link 2"),"")</f>
        <v>Link 2</v>
      </c>
      <c r="AA47" s="239" t="str">
        <f>IF('CCUS Projects Database'!$T47&lt;&gt;"",HYPERLINK('CCUS Projects Database'!$T47,"Link 3"),"")</f>
        <v>Link 3</v>
      </c>
      <c r="AB47" s="239" t="str">
        <f>IF('CCUS Projects Database'!$U47&lt;&gt;"",HYPERLINK('CCUS Projects Database'!$U47,"Link 4"),"")</f>
        <v/>
      </c>
      <c r="AC47" s="239" t="str">
        <f>IF('CCUS Projects Database'!$V47&lt;&gt;"",HYPERLINK('CCUS Projects Database'!$V47,"Link 5"),"")</f>
        <v/>
      </c>
      <c r="AD47" s="239" t="str">
        <f>IF('CCUS Projects Database'!$W47&lt;&gt;"",HYPERLINK('CCUS Projects Database'!$W47,"Link 6"),"")</f>
        <v/>
      </c>
      <c r="AE47" s="239" t="str">
        <f>IF('CCUS Projects Database'!$X47&lt;&gt;"",HYPERLINK('CCUS Projects Database'!$X47,"Link 7"),"")</f>
        <v/>
      </c>
    </row>
    <row r="48" ht="14.25" customHeight="1">
      <c r="A48" s="233" t="s">
        <v>18934</v>
      </c>
      <c r="B48" s="234">
        <v>54.0</v>
      </c>
      <c r="C48" s="234" t="s">
        <v>18329</v>
      </c>
      <c r="D48" s="235" t="s">
        <v>18935</v>
      </c>
      <c r="E48" s="234" t="s">
        <v>18625</v>
      </c>
      <c r="F48" s="234">
        <v>2022.0</v>
      </c>
      <c r="G48" s="234" t="s">
        <v>18725</v>
      </c>
      <c r="H48" s="234" t="s">
        <v>18725</v>
      </c>
      <c r="I48" s="234" t="s">
        <v>18725</v>
      </c>
      <c r="J48" s="234" t="s">
        <v>18192</v>
      </c>
      <c r="K48" s="236" t="s">
        <v>18725</v>
      </c>
      <c r="L48" s="236">
        <v>0.1</v>
      </c>
      <c r="M48" s="236">
        <v>0.1</v>
      </c>
      <c r="N48" s="234" t="s">
        <v>18663</v>
      </c>
      <c r="O48" s="237" t="s">
        <v>18679</v>
      </c>
      <c r="P48" s="238" t="s">
        <v>18725</v>
      </c>
      <c r="Q48" s="234" t="s">
        <v>18762</v>
      </c>
      <c r="R48" s="238" t="s">
        <v>18936</v>
      </c>
      <c r="S48" s="238" t="s">
        <v>18937</v>
      </c>
      <c r="T48" s="238" t="s">
        <v>18725</v>
      </c>
      <c r="U48" s="238" t="s">
        <v>18725</v>
      </c>
      <c r="V48" s="238" t="s">
        <v>18725</v>
      </c>
      <c r="W48" s="238" t="s">
        <v>18725</v>
      </c>
      <c r="X48" s="238" t="s">
        <v>18725</v>
      </c>
      <c r="Y48" s="239" t="str">
        <f>IF('CCUS Projects Database'!$R48&lt;&gt;"",HYPERLINK('CCUS Projects Database'!$R48,"Link 1"),"")</f>
        <v>Link 1</v>
      </c>
      <c r="Z48" s="239" t="str">
        <f>IF('CCUS Projects Database'!$S48&lt;&gt;"",HYPERLINK('CCUS Projects Database'!$S48,"Link 2"),"")</f>
        <v>Link 2</v>
      </c>
      <c r="AA48" s="239" t="str">
        <f>IF('CCUS Projects Database'!$T48&lt;&gt;"",HYPERLINK('CCUS Projects Database'!$T48,"Link 3"),"")</f>
        <v/>
      </c>
      <c r="AB48" s="239" t="str">
        <f>IF('CCUS Projects Database'!$U48&lt;&gt;"",HYPERLINK('CCUS Projects Database'!$U48,"Link 4"),"")</f>
        <v/>
      </c>
      <c r="AC48" s="239" t="str">
        <f>IF('CCUS Projects Database'!$V48&lt;&gt;"",HYPERLINK('CCUS Projects Database'!$V48,"Link 5"),"")</f>
        <v/>
      </c>
      <c r="AD48" s="239" t="str">
        <f>IF('CCUS Projects Database'!$W48&lt;&gt;"",HYPERLINK('CCUS Projects Database'!$W48,"Link 6"),"")</f>
        <v/>
      </c>
      <c r="AE48" s="239" t="str">
        <f>IF('CCUS Projects Database'!$X48&lt;&gt;"",HYPERLINK('CCUS Projects Database'!$X48,"Link 7"),"")</f>
        <v/>
      </c>
    </row>
    <row r="49" ht="14.25" customHeight="1">
      <c r="A49" s="233" t="s">
        <v>18938</v>
      </c>
      <c r="B49" s="234">
        <v>55.0</v>
      </c>
      <c r="C49" s="234" t="s">
        <v>161</v>
      </c>
      <c r="D49" s="235" t="s">
        <v>683</v>
      </c>
      <c r="E49" s="234" t="s">
        <v>18618</v>
      </c>
      <c r="F49" s="234">
        <v>2021.0</v>
      </c>
      <c r="G49" s="234">
        <v>2025.0</v>
      </c>
      <c r="H49" s="234">
        <v>2030.0</v>
      </c>
      <c r="I49" s="234" t="s">
        <v>18725</v>
      </c>
      <c r="J49" s="234" t="s">
        <v>18636</v>
      </c>
      <c r="K49" s="236" t="s">
        <v>18725</v>
      </c>
      <c r="L49" s="236" t="s">
        <v>18725</v>
      </c>
      <c r="M49" s="236" t="s">
        <v>18725</v>
      </c>
      <c r="N49" s="234" t="s">
        <v>677</v>
      </c>
      <c r="O49" s="237" t="s">
        <v>18683</v>
      </c>
      <c r="P49" s="238" t="s">
        <v>18725</v>
      </c>
      <c r="Q49" s="234" t="s">
        <v>18726</v>
      </c>
      <c r="R49" s="238" t="s">
        <v>18725</v>
      </c>
      <c r="S49" s="238" t="s">
        <v>18725</v>
      </c>
      <c r="T49" s="238" t="s">
        <v>18725</v>
      </c>
      <c r="U49" s="238" t="s">
        <v>18725</v>
      </c>
      <c r="V49" s="238" t="s">
        <v>18725</v>
      </c>
      <c r="W49" s="238" t="s">
        <v>18725</v>
      </c>
      <c r="X49" s="238" t="s">
        <v>18725</v>
      </c>
      <c r="Y49" s="239" t="str">
        <f>IF('CCUS Projects Database'!$R49&lt;&gt;"",HYPERLINK('CCUS Projects Database'!$R49,"Link 1"),"")</f>
        <v/>
      </c>
      <c r="Z49" s="239" t="str">
        <f>IF('CCUS Projects Database'!$S49&lt;&gt;"",HYPERLINK('CCUS Projects Database'!$S49,"Link 2"),"")</f>
        <v/>
      </c>
      <c r="AA49" s="239" t="str">
        <f>IF('CCUS Projects Database'!$T49&lt;&gt;"",HYPERLINK('CCUS Projects Database'!$T49,"Link 3"),"")</f>
        <v/>
      </c>
      <c r="AB49" s="239" t="str">
        <f>IF('CCUS Projects Database'!$U49&lt;&gt;"",HYPERLINK('CCUS Projects Database'!$U49,"Link 4"),"")</f>
        <v/>
      </c>
      <c r="AC49" s="239" t="str">
        <f>IF('CCUS Projects Database'!$V49&lt;&gt;"",HYPERLINK('CCUS Projects Database'!$V49,"Link 5"),"")</f>
        <v/>
      </c>
      <c r="AD49" s="239" t="str">
        <f>IF('CCUS Projects Database'!$W49&lt;&gt;"",HYPERLINK('CCUS Projects Database'!$W49,"Link 6"),"")</f>
        <v/>
      </c>
      <c r="AE49" s="239" t="str">
        <f>IF('CCUS Projects Database'!$X49&lt;&gt;"",HYPERLINK('CCUS Projects Database'!$X49,"Link 7"),"")</f>
        <v/>
      </c>
    </row>
    <row r="50" ht="14.25" customHeight="1">
      <c r="A50" s="233" t="s">
        <v>18939</v>
      </c>
      <c r="B50" s="234">
        <v>56.0</v>
      </c>
      <c r="C50" s="234" t="s">
        <v>98</v>
      </c>
      <c r="D50" s="235" t="s">
        <v>18940</v>
      </c>
      <c r="E50" s="234" t="s">
        <v>18618</v>
      </c>
      <c r="F50" s="234">
        <v>2019.0</v>
      </c>
      <c r="G50" s="234" t="s">
        <v>18725</v>
      </c>
      <c r="H50" s="234">
        <v>2035.0</v>
      </c>
      <c r="I50" s="234" t="s">
        <v>18725</v>
      </c>
      <c r="J50" s="234" t="s">
        <v>18636</v>
      </c>
      <c r="K50" s="236" t="s">
        <v>18725</v>
      </c>
      <c r="L50" s="236">
        <v>0.15</v>
      </c>
      <c r="M50" s="236">
        <v>0.15</v>
      </c>
      <c r="N50" s="234" t="s">
        <v>18654</v>
      </c>
      <c r="O50" s="237" t="s">
        <v>18675</v>
      </c>
      <c r="P50" s="238" t="s">
        <v>18941</v>
      </c>
      <c r="Q50" s="234" t="s">
        <v>18726</v>
      </c>
      <c r="R50" s="238" t="s">
        <v>18942</v>
      </c>
      <c r="S50" s="238" t="s">
        <v>18943</v>
      </c>
      <c r="T50" s="238" t="s">
        <v>18944</v>
      </c>
      <c r="U50" s="238" t="s">
        <v>18945</v>
      </c>
      <c r="V50" s="238" t="s">
        <v>18725</v>
      </c>
      <c r="W50" s="238" t="s">
        <v>18725</v>
      </c>
      <c r="X50" s="238" t="s">
        <v>18725</v>
      </c>
      <c r="Y50" s="239" t="str">
        <f>IF('CCUS Projects Database'!$R50&lt;&gt;"",HYPERLINK('CCUS Projects Database'!$R50,"Link 1"),"")</f>
        <v>Link 1</v>
      </c>
      <c r="Z50" s="239" t="str">
        <f>IF('CCUS Projects Database'!$S50&lt;&gt;"",HYPERLINK('CCUS Projects Database'!$S50,"Link 2"),"")</f>
        <v>Link 2</v>
      </c>
      <c r="AA50" s="239" t="str">
        <f>IF('CCUS Projects Database'!$T50&lt;&gt;"",HYPERLINK('CCUS Projects Database'!$T50,"Link 3"),"")</f>
        <v>Link 3</v>
      </c>
      <c r="AB50" s="239" t="str">
        <f>IF('CCUS Projects Database'!$U50&lt;&gt;"",HYPERLINK('CCUS Projects Database'!$U50,"Link 4"),"")</f>
        <v>Link 4</v>
      </c>
      <c r="AC50" s="239" t="str">
        <f>IF('CCUS Projects Database'!$V50&lt;&gt;"",HYPERLINK('CCUS Projects Database'!$V50,"Link 5"),"")</f>
        <v/>
      </c>
      <c r="AD50" s="239" t="str">
        <f>IF('CCUS Projects Database'!$W50&lt;&gt;"",HYPERLINK('CCUS Projects Database'!$W50,"Link 6"),"")</f>
        <v/>
      </c>
      <c r="AE50" s="239" t="str">
        <f>IF('CCUS Projects Database'!$X50&lt;&gt;"",HYPERLINK('CCUS Projects Database'!$X50,"Link 7"),"")</f>
        <v/>
      </c>
    </row>
    <row r="51" ht="14.25" customHeight="1">
      <c r="A51" s="233" t="s">
        <v>18946</v>
      </c>
      <c r="B51" s="234">
        <v>57.0</v>
      </c>
      <c r="C51" s="234" t="s">
        <v>18947</v>
      </c>
      <c r="D51" s="235" t="s">
        <v>18948</v>
      </c>
      <c r="E51" s="234" t="s">
        <v>18616</v>
      </c>
      <c r="F51" s="234">
        <v>2021.0</v>
      </c>
      <c r="G51" s="234" t="s">
        <v>18725</v>
      </c>
      <c r="H51" s="234">
        <v>2028.0</v>
      </c>
      <c r="I51" s="234" t="s">
        <v>18725</v>
      </c>
      <c r="J51" s="234" t="s">
        <v>18636</v>
      </c>
      <c r="K51" s="236" t="s">
        <v>18725</v>
      </c>
      <c r="L51" s="236">
        <v>2.0</v>
      </c>
      <c r="M51" s="236">
        <v>2.0</v>
      </c>
      <c r="N51" s="234" t="s">
        <v>18731</v>
      </c>
      <c r="O51" s="237" t="s">
        <v>18675</v>
      </c>
      <c r="P51" s="238" t="s">
        <v>18725</v>
      </c>
      <c r="Q51" s="234" t="s">
        <v>18856</v>
      </c>
      <c r="R51" s="238" t="s">
        <v>18949</v>
      </c>
      <c r="S51" s="238" t="s">
        <v>18950</v>
      </c>
      <c r="T51" s="238" t="s">
        <v>18951</v>
      </c>
      <c r="U51" s="238" t="s">
        <v>18725</v>
      </c>
      <c r="V51" s="238" t="s">
        <v>18725</v>
      </c>
      <c r="W51" s="238" t="s">
        <v>18725</v>
      </c>
      <c r="X51" s="238" t="s">
        <v>18725</v>
      </c>
      <c r="Y51" s="239" t="str">
        <f>IF('CCUS Projects Database'!$R51&lt;&gt;"",HYPERLINK('CCUS Projects Database'!$R51,"Link 1"),"")</f>
        <v>Link 1</v>
      </c>
      <c r="Z51" s="239" t="str">
        <f>IF('CCUS Projects Database'!$S51&lt;&gt;"",HYPERLINK('CCUS Projects Database'!$S51,"Link 2"),"")</f>
        <v>Link 2</v>
      </c>
      <c r="AA51" s="239" t="str">
        <f>IF('CCUS Projects Database'!$T51&lt;&gt;"",HYPERLINK('CCUS Projects Database'!$T51,"Link 3"),"")</f>
        <v>Link 3</v>
      </c>
      <c r="AB51" s="239" t="str">
        <f>IF('CCUS Projects Database'!$U51&lt;&gt;"",HYPERLINK('CCUS Projects Database'!$U51,"Link 4"),"")</f>
        <v/>
      </c>
      <c r="AC51" s="239" t="str">
        <f>IF('CCUS Projects Database'!$V51&lt;&gt;"",HYPERLINK('CCUS Projects Database'!$V51,"Link 5"),"")</f>
        <v/>
      </c>
      <c r="AD51" s="239" t="str">
        <f>IF('CCUS Projects Database'!$W51&lt;&gt;"",HYPERLINK('CCUS Projects Database'!$W51,"Link 6"),"")</f>
        <v/>
      </c>
      <c r="AE51" s="239" t="str">
        <f>IF('CCUS Projects Database'!$X51&lt;&gt;"",HYPERLINK('CCUS Projects Database'!$X51,"Link 7"),"")</f>
        <v/>
      </c>
    </row>
    <row r="52" ht="14.25" customHeight="1">
      <c r="A52" s="233" t="s">
        <v>18952</v>
      </c>
      <c r="B52" s="234">
        <v>59.0</v>
      </c>
      <c r="C52" s="234" t="s">
        <v>18264</v>
      </c>
      <c r="D52" s="235" t="s">
        <v>18953</v>
      </c>
      <c r="E52" s="234" t="s">
        <v>18618</v>
      </c>
      <c r="F52" s="234">
        <v>2008.0</v>
      </c>
      <c r="G52" s="234">
        <v>2011.0</v>
      </c>
      <c r="H52" s="234">
        <v>2014.0</v>
      </c>
      <c r="I52" s="234" t="s">
        <v>18725</v>
      </c>
      <c r="J52" s="234" t="s">
        <v>12385</v>
      </c>
      <c r="K52" s="236" t="s">
        <v>18725</v>
      </c>
      <c r="L52" s="236">
        <v>1.0</v>
      </c>
      <c r="M52" s="236">
        <v>1.0</v>
      </c>
      <c r="N52" s="234" t="s">
        <v>18654</v>
      </c>
      <c r="O52" s="237" t="s">
        <v>18677</v>
      </c>
      <c r="P52" s="238" t="s">
        <v>18725</v>
      </c>
      <c r="Q52" s="234" t="s">
        <v>18732</v>
      </c>
      <c r="R52" s="238" t="s">
        <v>18954</v>
      </c>
      <c r="S52" s="238" t="s">
        <v>18955</v>
      </c>
      <c r="T52" s="238" t="s">
        <v>18956</v>
      </c>
      <c r="U52" s="238" t="s">
        <v>18725</v>
      </c>
      <c r="V52" s="238" t="s">
        <v>18725</v>
      </c>
      <c r="W52" s="238" t="s">
        <v>18725</v>
      </c>
      <c r="X52" s="238" t="s">
        <v>18725</v>
      </c>
      <c r="Y52" s="239" t="str">
        <f>IF('CCUS Projects Database'!$R52&lt;&gt;"",HYPERLINK('CCUS Projects Database'!$R52,"Link 1"),"")</f>
        <v>Link 1</v>
      </c>
      <c r="Z52" s="239" t="str">
        <f>IF('CCUS Projects Database'!$S52&lt;&gt;"",HYPERLINK('CCUS Projects Database'!$S52,"Link 2"),"")</f>
        <v>Link 2</v>
      </c>
      <c r="AA52" s="239" t="str">
        <f>IF('CCUS Projects Database'!$T52&lt;&gt;"",HYPERLINK('CCUS Projects Database'!$T52,"Link 3"),"")</f>
        <v>Link 3</v>
      </c>
      <c r="AB52" s="239" t="str">
        <f>IF('CCUS Projects Database'!$U52&lt;&gt;"",HYPERLINK('CCUS Projects Database'!$U52,"Link 4"),"")</f>
        <v/>
      </c>
      <c r="AC52" s="239" t="str">
        <f>IF('CCUS Projects Database'!$V52&lt;&gt;"",HYPERLINK('CCUS Projects Database'!$V52,"Link 5"),"")</f>
        <v/>
      </c>
      <c r="AD52" s="239" t="str">
        <f>IF('CCUS Projects Database'!$W52&lt;&gt;"",HYPERLINK('CCUS Projects Database'!$W52,"Link 6"),"")</f>
        <v/>
      </c>
      <c r="AE52" s="239" t="str">
        <f>IF('CCUS Projects Database'!$X52&lt;&gt;"",HYPERLINK('CCUS Projects Database'!$X52,"Link 7"),"")</f>
        <v/>
      </c>
    </row>
    <row r="53" ht="14.25" customHeight="1">
      <c r="A53" s="233" t="s">
        <v>18957</v>
      </c>
      <c r="B53" s="234">
        <v>60.0</v>
      </c>
      <c r="C53" s="234" t="s">
        <v>18329</v>
      </c>
      <c r="D53" s="235" t="s">
        <v>18958</v>
      </c>
      <c r="E53" s="234" t="s">
        <v>18623</v>
      </c>
      <c r="F53" s="234">
        <v>2018.0</v>
      </c>
      <c r="G53" s="234" t="s">
        <v>18725</v>
      </c>
      <c r="H53" s="234">
        <v>2025.0</v>
      </c>
      <c r="I53" s="234" t="s">
        <v>18725</v>
      </c>
      <c r="J53" s="234" t="s">
        <v>18192</v>
      </c>
      <c r="K53" s="236" t="s">
        <v>18725</v>
      </c>
      <c r="L53" s="236">
        <v>0.12</v>
      </c>
      <c r="M53" s="236">
        <v>0.12</v>
      </c>
      <c r="N53" s="234" t="s">
        <v>18623</v>
      </c>
      <c r="O53" s="237" t="s">
        <v>18677</v>
      </c>
      <c r="P53" s="238" t="s">
        <v>18957</v>
      </c>
      <c r="Q53" s="234" t="s">
        <v>18762</v>
      </c>
      <c r="R53" s="238" t="s">
        <v>18725</v>
      </c>
      <c r="S53" s="238" t="s">
        <v>18725</v>
      </c>
      <c r="T53" s="238" t="s">
        <v>18725</v>
      </c>
      <c r="U53" s="238" t="s">
        <v>18725</v>
      </c>
      <c r="V53" s="238" t="s">
        <v>18725</v>
      </c>
      <c r="W53" s="238" t="s">
        <v>18725</v>
      </c>
      <c r="X53" s="238" t="s">
        <v>18725</v>
      </c>
      <c r="Y53" s="239" t="str">
        <f>IF('CCUS Projects Database'!$R53&lt;&gt;"",HYPERLINK('CCUS Projects Database'!$R53,"Link 1"),"")</f>
        <v/>
      </c>
      <c r="Z53" s="239" t="str">
        <f>IF('CCUS Projects Database'!$S53&lt;&gt;"",HYPERLINK('CCUS Projects Database'!$S53,"Link 2"),"")</f>
        <v/>
      </c>
      <c r="AA53" s="239" t="str">
        <f>IF('CCUS Projects Database'!$T53&lt;&gt;"",HYPERLINK('CCUS Projects Database'!$T53,"Link 3"),"")</f>
        <v/>
      </c>
      <c r="AB53" s="239" t="str">
        <f>IF('CCUS Projects Database'!$U53&lt;&gt;"",HYPERLINK('CCUS Projects Database'!$U53,"Link 4"),"")</f>
        <v/>
      </c>
      <c r="AC53" s="239" t="str">
        <f>IF('CCUS Projects Database'!$V53&lt;&gt;"",HYPERLINK('CCUS Projects Database'!$V53,"Link 5"),"")</f>
        <v/>
      </c>
      <c r="AD53" s="239" t="str">
        <f>IF('CCUS Projects Database'!$W53&lt;&gt;"",HYPERLINK('CCUS Projects Database'!$W53,"Link 6"),"")</f>
        <v/>
      </c>
      <c r="AE53" s="239" t="str">
        <f>IF('CCUS Projects Database'!$X53&lt;&gt;"",HYPERLINK('CCUS Projects Database'!$X53,"Link 7"),"")</f>
        <v/>
      </c>
    </row>
    <row r="54" ht="14.25" customHeight="1">
      <c r="A54" s="233" t="s">
        <v>18959</v>
      </c>
      <c r="B54" s="234">
        <v>62.0</v>
      </c>
      <c r="C54" s="234" t="s">
        <v>18586</v>
      </c>
      <c r="D54" s="235" t="s">
        <v>18960</v>
      </c>
      <c r="E54" s="234" t="s">
        <v>18618</v>
      </c>
      <c r="F54" s="234">
        <v>2021.0</v>
      </c>
      <c r="G54" s="234">
        <v>2025.0</v>
      </c>
      <c r="H54" s="234">
        <v>2028.0</v>
      </c>
      <c r="I54" s="234" t="s">
        <v>18725</v>
      </c>
      <c r="J54" s="234" t="s">
        <v>18636</v>
      </c>
      <c r="K54" s="236" t="s">
        <v>18725</v>
      </c>
      <c r="L54" s="236">
        <v>2.8</v>
      </c>
      <c r="M54" s="236">
        <v>2.8</v>
      </c>
      <c r="N54" s="234" t="s">
        <v>18654</v>
      </c>
      <c r="O54" s="237" t="s">
        <v>18675</v>
      </c>
      <c r="P54" s="238" t="s">
        <v>18961</v>
      </c>
      <c r="Q54" s="234" t="s">
        <v>18732</v>
      </c>
      <c r="R54" s="238" t="s">
        <v>18962</v>
      </c>
      <c r="S54" s="238" t="s">
        <v>18963</v>
      </c>
      <c r="T54" s="238" t="s">
        <v>18962</v>
      </c>
      <c r="U54" s="238" t="s">
        <v>18725</v>
      </c>
      <c r="V54" s="238" t="s">
        <v>18725</v>
      </c>
      <c r="W54" s="238" t="s">
        <v>18725</v>
      </c>
      <c r="X54" s="238" t="s">
        <v>18725</v>
      </c>
      <c r="Y54" s="239" t="str">
        <f>IF('CCUS Projects Database'!$R54&lt;&gt;"",HYPERLINK('CCUS Projects Database'!$R54,"Link 1"),"")</f>
        <v>Link 1</v>
      </c>
      <c r="Z54" s="239" t="str">
        <f>IF('CCUS Projects Database'!$S54&lt;&gt;"",HYPERLINK('CCUS Projects Database'!$S54,"Link 2"),"")</f>
        <v>Link 2</v>
      </c>
      <c r="AA54" s="239" t="str">
        <f>IF('CCUS Projects Database'!$T54&lt;&gt;"",HYPERLINK('CCUS Projects Database'!$T54,"Link 3"),"")</f>
        <v>Link 3</v>
      </c>
      <c r="AB54" s="239" t="str">
        <f>IF('CCUS Projects Database'!$U54&lt;&gt;"",HYPERLINK('CCUS Projects Database'!$U54,"Link 4"),"")</f>
        <v/>
      </c>
      <c r="AC54" s="239" t="str">
        <f>IF('CCUS Projects Database'!$V54&lt;&gt;"",HYPERLINK('CCUS Projects Database'!$V54,"Link 5"),"")</f>
        <v/>
      </c>
      <c r="AD54" s="239" t="str">
        <f>IF('CCUS Projects Database'!$W54&lt;&gt;"",HYPERLINK('CCUS Projects Database'!$W54,"Link 6"),"")</f>
        <v/>
      </c>
      <c r="AE54" s="239" t="str">
        <f>IF('CCUS Projects Database'!$X54&lt;&gt;"",HYPERLINK('CCUS Projects Database'!$X54,"Link 7"),"")</f>
        <v/>
      </c>
    </row>
    <row r="55" ht="14.25" customHeight="1">
      <c r="A55" s="233" t="s">
        <v>18964</v>
      </c>
      <c r="B55" s="234">
        <v>63.0</v>
      </c>
      <c r="C55" s="234" t="s">
        <v>18586</v>
      </c>
      <c r="D55" s="235" t="s">
        <v>18965</v>
      </c>
      <c r="E55" s="234" t="s">
        <v>18618</v>
      </c>
      <c r="F55" s="234">
        <v>2022.0</v>
      </c>
      <c r="G55" s="234" t="s">
        <v>18725</v>
      </c>
      <c r="H55" s="234">
        <v>2026.0</v>
      </c>
      <c r="I55" s="234" t="s">
        <v>18725</v>
      </c>
      <c r="J55" s="234" t="s">
        <v>18636</v>
      </c>
      <c r="K55" s="236" t="s">
        <v>18725</v>
      </c>
      <c r="L55" s="236">
        <v>0.23</v>
      </c>
      <c r="M55" s="236">
        <v>0.23</v>
      </c>
      <c r="N55" s="234" t="s">
        <v>12270</v>
      </c>
      <c r="O55" s="237" t="s">
        <v>18675</v>
      </c>
      <c r="P55" s="238" t="s">
        <v>18966</v>
      </c>
      <c r="Q55" s="234" t="s">
        <v>18732</v>
      </c>
      <c r="R55" s="238" t="s">
        <v>18967</v>
      </c>
      <c r="S55" s="238" t="s">
        <v>18725</v>
      </c>
      <c r="T55" s="238" t="s">
        <v>18725</v>
      </c>
      <c r="U55" s="238" t="s">
        <v>18725</v>
      </c>
      <c r="V55" s="238" t="s">
        <v>18725</v>
      </c>
      <c r="W55" s="238" t="s">
        <v>18725</v>
      </c>
      <c r="X55" s="238" t="s">
        <v>18725</v>
      </c>
      <c r="Y55" s="239" t="str">
        <f>IF('CCUS Projects Database'!$R55&lt;&gt;"",HYPERLINK('CCUS Projects Database'!$R55,"Link 1"),"")</f>
        <v>Link 1</v>
      </c>
      <c r="Z55" s="239" t="str">
        <f>IF('CCUS Projects Database'!$S55&lt;&gt;"",HYPERLINK('CCUS Projects Database'!$S55,"Link 2"),"")</f>
        <v/>
      </c>
      <c r="AA55" s="239" t="str">
        <f>IF('CCUS Projects Database'!$T55&lt;&gt;"",HYPERLINK('CCUS Projects Database'!$T55,"Link 3"),"")</f>
        <v/>
      </c>
      <c r="AB55" s="239" t="str">
        <f>IF('CCUS Projects Database'!$U55&lt;&gt;"",HYPERLINK('CCUS Projects Database'!$U55,"Link 4"),"")</f>
        <v/>
      </c>
      <c r="AC55" s="239" t="str">
        <f>IF('CCUS Projects Database'!$V55&lt;&gt;"",HYPERLINK('CCUS Projects Database'!$V55,"Link 5"),"")</f>
        <v/>
      </c>
      <c r="AD55" s="239" t="str">
        <f>IF('CCUS Projects Database'!$W55&lt;&gt;"",HYPERLINK('CCUS Projects Database'!$W55,"Link 6"),"")</f>
        <v/>
      </c>
      <c r="AE55" s="239" t="str">
        <f>IF('CCUS Projects Database'!$X55&lt;&gt;"",HYPERLINK('CCUS Projects Database'!$X55,"Link 7"),"")</f>
        <v/>
      </c>
    </row>
    <row r="56" ht="14.25" customHeight="1">
      <c r="A56" s="233" t="s">
        <v>18968</v>
      </c>
      <c r="B56" s="234">
        <v>64.0</v>
      </c>
      <c r="C56" s="234" t="s">
        <v>18586</v>
      </c>
      <c r="D56" s="235" t="s">
        <v>18969</v>
      </c>
      <c r="E56" s="234" t="s">
        <v>18618</v>
      </c>
      <c r="F56" s="234">
        <v>2019.0</v>
      </c>
      <c r="G56" s="234">
        <v>2025.0</v>
      </c>
      <c r="H56" s="234">
        <v>2026.0</v>
      </c>
      <c r="I56" s="234" t="s">
        <v>18725</v>
      </c>
      <c r="J56" s="234" t="s">
        <v>18636</v>
      </c>
      <c r="K56" s="236" t="s">
        <v>18725</v>
      </c>
      <c r="L56" s="236" t="s">
        <v>18970</v>
      </c>
      <c r="M56" s="236">
        <v>1.4</v>
      </c>
      <c r="N56" s="234" t="s">
        <v>18654</v>
      </c>
      <c r="O56" s="237" t="s">
        <v>18675</v>
      </c>
      <c r="P56" s="238" t="s">
        <v>18971</v>
      </c>
      <c r="Q56" s="234" t="s">
        <v>18732</v>
      </c>
      <c r="R56" s="238" t="s">
        <v>17257</v>
      </c>
      <c r="S56" s="238" t="s">
        <v>18972</v>
      </c>
      <c r="T56" s="238" t="s">
        <v>18973</v>
      </c>
      <c r="U56" s="238" t="s">
        <v>18974</v>
      </c>
      <c r="V56" s="238" t="s">
        <v>18975</v>
      </c>
      <c r="W56" s="238" t="s">
        <v>18725</v>
      </c>
      <c r="X56" s="238" t="s">
        <v>18725</v>
      </c>
      <c r="Y56" s="239" t="str">
        <f>IF('CCUS Projects Database'!$R56&lt;&gt;"",HYPERLINK('CCUS Projects Database'!$R56,"Link 1"),"")</f>
        <v>Link 1</v>
      </c>
      <c r="Z56" s="239" t="str">
        <f>IF('CCUS Projects Database'!$S56&lt;&gt;"",HYPERLINK('CCUS Projects Database'!$S56,"Link 2"),"")</f>
        <v>Link 2</v>
      </c>
      <c r="AA56" s="239" t="str">
        <f>IF('CCUS Projects Database'!$T56&lt;&gt;"",HYPERLINK('CCUS Projects Database'!$T56,"Link 3"),"")</f>
        <v>Link 3</v>
      </c>
      <c r="AB56" s="239" t="str">
        <f>IF('CCUS Projects Database'!$U56&lt;&gt;"",HYPERLINK('CCUS Projects Database'!$U56,"Link 4"),"")</f>
        <v>Link 4</v>
      </c>
      <c r="AC56" s="239" t="str">
        <f>IF('CCUS Projects Database'!$V56&lt;&gt;"",HYPERLINK('CCUS Projects Database'!$V56,"Link 5"),"")</f>
        <v>Link 5</v>
      </c>
      <c r="AD56" s="239" t="str">
        <f>IF('CCUS Projects Database'!$W56&lt;&gt;"",HYPERLINK('CCUS Projects Database'!$W56,"Link 6"),"")</f>
        <v/>
      </c>
      <c r="AE56" s="239" t="str">
        <f>IF('CCUS Projects Database'!$X56&lt;&gt;"",HYPERLINK('CCUS Projects Database'!$X56,"Link 7"),"")</f>
        <v/>
      </c>
    </row>
    <row r="57" ht="14.25" customHeight="1">
      <c r="A57" s="233" t="s">
        <v>18976</v>
      </c>
      <c r="B57" s="234">
        <v>65.0</v>
      </c>
      <c r="C57" s="234" t="s">
        <v>83</v>
      </c>
      <c r="D57" s="235" t="s">
        <v>18977</v>
      </c>
      <c r="E57" s="234" t="s">
        <v>18616</v>
      </c>
      <c r="F57" s="234">
        <v>2012.0</v>
      </c>
      <c r="G57" s="234" t="s">
        <v>18725</v>
      </c>
      <c r="H57" s="234">
        <v>2028.0</v>
      </c>
      <c r="I57" s="234" t="s">
        <v>18725</v>
      </c>
      <c r="J57" s="234" t="s">
        <v>18636</v>
      </c>
      <c r="K57" s="236" t="s">
        <v>18725</v>
      </c>
      <c r="L57" s="236">
        <v>3.0</v>
      </c>
      <c r="M57" s="236">
        <v>3.0</v>
      </c>
      <c r="N57" s="234" t="s">
        <v>18654</v>
      </c>
      <c r="O57" s="237" t="s">
        <v>18675</v>
      </c>
      <c r="P57" s="238" t="s">
        <v>18725</v>
      </c>
      <c r="Q57" s="234" t="s">
        <v>18726</v>
      </c>
      <c r="R57" s="238" t="s">
        <v>18978</v>
      </c>
      <c r="S57" s="238" t="s">
        <v>18725</v>
      </c>
      <c r="T57" s="238" t="s">
        <v>18725</v>
      </c>
      <c r="U57" s="238" t="s">
        <v>18725</v>
      </c>
      <c r="V57" s="238" t="s">
        <v>18725</v>
      </c>
      <c r="W57" s="238" t="s">
        <v>18725</v>
      </c>
      <c r="X57" s="238" t="s">
        <v>18725</v>
      </c>
      <c r="Y57" s="239" t="str">
        <f>IF('CCUS Projects Database'!$R57&lt;&gt;"",HYPERLINK('CCUS Projects Database'!$R57,"Link 1"),"")</f>
        <v>Link 1</v>
      </c>
      <c r="Z57" s="239" t="str">
        <f>IF('CCUS Projects Database'!$S57&lt;&gt;"",HYPERLINK('CCUS Projects Database'!$S57,"Link 2"),"")</f>
        <v/>
      </c>
      <c r="AA57" s="239" t="str">
        <f>IF('CCUS Projects Database'!$T57&lt;&gt;"",HYPERLINK('CCUS Projects Database'!$T57,"Link 3"),"")</f>
        <v/>
      </c>
      <c r="AB57" s="239" t="str">
        <f>IF('CCUS Projects Database'!$U57&lt;&gt;"",HYPERLINK('CCUS Projects Database'!$U57,"Link 4"),"")</f>
        <v/>
      </c>
      <c r="AC57" s="239" t="str">
        <f>IF('CCUS Projects Database'!$V57&lt;&gt;"",HYPERLINK('CCUS Projects Database'!$V57,"Link 5"),"")</f>
        <v/>
      </c>
      <c r="AD57" s="239" t="str">
        <f>IF('CCUS Projects Database'!$W57&lt;&gt;"",HYPERLINK('CCUS Projects Database'!$W57,"Link 6"),"")</f>
        <v/>
      </c>
      <c r="AE57" s="239" t="str">
        <f>IF('CCUS Projects Database'!$X57&lt;&gt;"",HYPERLINK('CCUS Projects Database'!$X57,"Link 7"),"")</f>
        <v/>
      </c>
    </row>
    <row r="58" ht="14.25" customHeight="1">
      <c r="A58" s="233" t="s">
        <v>18979</v>
      </c>
      <c r="B58" s="234">
        <v>68.0</v>
      </c>
      <c r="C58" s="234" t="s">
        <v>18586</v>
      </c>
      <c r="D58" s="235" t="s">
        <v>18980</v>
      </c>
      <c r="E58" s="234" t="s">
        <v>18616</v>
      </c>
      <c r="F58" s="234">
        <v>2022.0</v>
      </c>
      <c r="G58" s="234">
        <v>2025.0</v>
      </c>
      <c r="H58" s="234">
        <v>2028.0</v>
      </c>
      <c r="I58" s="234" t="s">
        <v>18725</v>
      </c>
      <c r="J58" s="234" t="s">
        <v>18636</v>
      </c>
      <c r="K58" s="236" t="s">
        <v>18725</v>
      </c>
      <c r="L58" s="236">
        <v>0.35</v>
      </c>
      <c r="M58" s="236">
        <v>0.35</v>
      </c>
      <c r="N58" s="234" t="s">
        <v>12270</v>
      </c>
      <c r="O58" s="237" t="s">
        <v>18675</v>
      </c>
      <c r="P58" s="238" t="s">
        <v>18725</v>
      </c>
      <c r="Q58" s="234" t="s">
        <v>18732</v>
      </c>
      <c r="R58" s="238" t="s">
        <v>18981</v>
      </c>
      <c r="S58" s="238" t="s">
        <v>18725</v>
      </c>
      <c r="T58" s="238" t="s">
        <v>18725</v>
      </c>
      <c r="U58" s="238" t="s">
        <v>18725</v>
      </c>
      <c r="V58" s="238" t="s">
        <v>18725</v>
      </c>
      <c r="W58" s="238" t="s">
        <v>18725</v>
      </c>
      <c r="X58" s="238" t="s">
        <v>18725</v>
      </c>
      <c r="Y58" s="239" t="str">
        <f>IF('CCUS Projects Database'!$R58&lt;&gt;"",HYPERLINK('CCUS Projects Database'!$R58,"Link 1"),"")</f>
        <v>Link 1</v>
      </c>
      <c r="Z58" s="239" t="str">
        <f>IF('CCUS Projects Database'!$S58&lt;&gt;"",HYPERLINK('CCUS Projects Database'!$S58,"Link 2"),"")</f>
        <v/>
      </c>
      <c r="AA58" s="239" t="str">
        <f>IF('CCUS Projects Database'!$T58&lt;&gt;"",HYPERLINK('CCUS Projects Database'!$T58,"Link 3"),"")</f>
        <v/>
      </c>
      <c r="AB58" s="239" t="str">
        <f>IF('CCUS Projects Database'!$U58&lt;&gt;"",HYPERLINK('CCUS Projects Database'!$U58,"Link 4"),"")</f>
        <v/>
      </c>
      <c r="AC58" s="239" t="str">
        <f>IF('CCUS Projects Database'!$V58&lt;&gt;"",HYPERLINK('CCUS Projects Database'!$V58,"Link 5"),"")</f>
        <v/>
      </c>
      <c r="AD58" s="239" t="str">
        <f>IF('CCUS Projects Database'!$W58&lt;&gt;"",HYPERLINK('CCUS Projects Database'!$W58,"Link 6"),"")</f>
        <v/>
      </c>
      <c r="AE58" s="239" t="str">
        <f>IF('CCUS Projects Database'!$X58&lt;&gt;"",HYPERLINK('CCUS Projects Database'!$X58,"Link 7"),"")</f>
        <v/>
      </c>
    </row>
    <row r="59" ht="14.25" customHeight="1">
      <c r="A59" s="233" t="s">
        <v>18982</v>
      </c>
      <c r="B59" s="234">
        <v>69.0</v>
      </c>
      <c r="C59" s="234" t="s">
        <v>18586</v>
      </c>
      <c r="D59" s="235" t="s">
        <v>18980</v>
      </c>
      <c r="E59" s="234" t="s">
        <v>18616</v>
      </c>
      <c r="F59" s="234">
        <v>2022.0</v>
      </c>
      <c r="G59" s="234">
        <v>2025.0</v>
      </c>
      <c r="H59" s="234">
        <v>2028.0</v>
      </c>
      <c r="I59" s="234" t="s">
        <v>18725</v>
      </c>
      <c r="J59" s="234" t="s">
        <v>18636</v>
      </c>
      <c r="K59" s="236" t="s">
        <v>18725</v>
      </c>
      <c r="L59" s="236" t="s">
        <v>18725</v>
      </c>
      <c r="M59" s="236" t="s">
        <v>18725</v>
      </c>
      <c r="N59" s="234" t="s">
        <v>12270</v>
      </c>
      <c r="O59" s="237" t="s">
        <v>18675</v>
      </c>
      <c r="P59" s="238" t="s">
        <v>18725</v>
      </c>
      <c r="Q59" s="234" t="s">
        <v>18732</v>
      </c>
      <c r="R59" s="238" t="s">
        <v>18981</v>
      </c>
      <c r="S59" s="238" t="s">
        <v>18725</v>
      </c>
      <c r="T59" s="238" t="s">
        <v>18725</v>
      </c>
      <c r="U59" s="238" t="s">
        <v>18725</v>
      </c>
      <c r="V59" s="238" t="s">
        <v>18725</v>
      </c>
      <c r="W59" s="238" t="s">
        <v>18725</v>
      </c>
      <c r="X59" s="238" t="s">
        <v>18725</v>
      </c>
      <c r="Y59" s="239" t="str">
        <f>IF('CCUS Projects Database'!$R59&lt;&gt;"",HYPERLINK('CCUS Projects Database'!$R59,"Link 1"),"")</f>
        <v>Link 1</v>
      </c>
      <c r="Z59" s="239" t="str">
        <f>IF('CCUS Projects Database'!$S59&lt;&gt;"",HYPERLINK('CCUS Projects Database'!$S59,"Link 2"),"")</f>
        <v/>
      </c>
      <c r="AA59" s="239" t="str">
        <f>IF('CCUS Projects Database'!$T59&lt;&gt;"",HYPERLINK('CCUS Projects Database'!$T59,"Link 3"),"")</f>
        <v/>
      </c>
      <c r="AB59" s="239" t="str">
        <f>IF('CCUS Projects Database'!$U59&lt;&gt;"",HYPERLINK('CCUS Projects Database'!$U59,"Link 4"),"")</f>
        <v/>
      </c>
      <c r="AC59" s="239" t="str">
        <f>IF('CCUS Projects Database'!$V59&lt;&gt;"",HYPERLINK('CCUS Projects Database'!$V59,"Link 5"),"")</f>
        <v/>
      </c>
      <c r="AD59" s="239" t="str">
        <f>IF('CCUS Projects Database'!$W59&lt;&gt;"",HYPERLINK('CCUS Projects Database'!$W59,"Link 6"),"")</f>
        <v/>
      </c>
      <c r="AE59" s="239" t="str">
        <f>IF('CCUS Projects Database'!$X59&lt;&gt;"",HYPERLINK('CCUS Projects Database'!$X59,"Link 7"),"")</f>
        <v/>
      </c>
    </row>
    <row r="60" ht="14.25" customHeight="1">
      <c r="A60" s="233" t="s">
        <v>18983</v>
      </c>
      <c r="B60" s="234">
        <v>70.0</v>
      </c>
      <c r="C60" s="234" t="s">
        <v>83</v>
      </c>
      <c r="D60" s="235" t="s">
        <v>18984</v>
      </c>
      <c r="E60" s="234" t="s">
        <v>18618</v>
      </c>
      <c r="F60" s="234">
        <v>2018.0</v>
      </c>
      <c r="G60" s="234" t="s">
        <v>18725</v>
      </c>
      <c r="H60" s="234" t="s">
        <v>18725</v>
      </c>
      <c r="I60" s="234">
        <v>2022.0</v>
      </c>
      <c r="J60" s="234" t="s">
        <v>18192</v>
      </c>
      <c r="K60" s="236" t="s">
        <v>18725</v>
      </c>
      <c r="L60" s="236">
        <v>0.4</v>
      </c>
      <c r="M60" s="236">
        <v>0.4</v>
      </c>
      <c r="N60" s="234" t="s">
        <v>677</v>
      </c>
      <c r="O60" s="237" t="s">
        <v>18675</v>
      </c>
      <c r="P60" s="238" t="s">
        <v>18985</v>
      </c>
      <c r="Q60" s="234" t="s">
        <v>18726</v>
      </c>
      <c r="R60" s="238" t="s">
        <v>18986</v>
      </c>
      <c r="S60" s="238" t="s">
        <v>18725</v>
      </c>
      <c r="T60" s="238" t="s">
        <v>18725</v>
      </c>
      <c r="U60" s="238" t="s">
        <v>18725</v>
      </c>
      <c r="V60" s="238" t="s">
        <v>18725</v>
      </c>
      <c r="W60" s="238" t="s">
        <v>18725</v>
      </c>
      <c r="X60" s="238" t="s">
        <v>18725</v>
      </c>
      <c r="Y60" s="239" t="str">
        <f>IF('CCUS Projects Database'!$R60&lt;&gt;"",HYPERLINK('CCUS Projects Database'!$R60,"Link 1"),"")</f>
        <v>Link 1</v>
      </c>
      <c r="Z60" s="239" t="str">
        <f>IF('CCUS Projects Database'!$S60&lt;&gt;"",HYPERLINK('CCUS Projects Database'!$S60,"Link 2"),"")</f>
        <v/>
      </c>
      <c r="AA60" s="239" t="str">
        <f>IF('CCUS Projects Database'!$T60&lt;&gt;"",HYPERLINK('CCUS Projects Database'!$T60,"Link 3"),"")</f>
        <v/>
      </c>
      <c r="AB60" s="239" t="str">
        <f>IF('CCUS Projects Database'!$U60&lt;&gt;"",HYPERLINK('CCUS Projects Database'!$U60,"Link 4"),"")</f>
        <v/>
      </c>
      <c r="AC60" s="239" t="str">
        <f>IF('CCUS Projects Database'!$V60&lt;&gt;"",HYPERLINK('CCUS Projects Database'!$V60,"Link 5"),"")</f>
        <v/>
      </c>
      <c r="AD60" s="239" t="str">
        <f>IF('CCUS Projects Database'!$W60&lt;&gt;"",HYPERLINK('CCUS Projects Database'!$W60,"Link 6"),"")</f>
        <v/>
      </c>
      <c r="AE60" s="239" t="str">
        <f>IF('CCUS Projects Database'!$X60&lt;&gt;"",HYPERLINK('CCUS Projects Database'!$X60,"Link 7"),"")</f>
        <v/>
      </c>
    </row>
    <row r="61" ht="14.25" customHeight="1">
      <c r="A61" s="233" t="s">
        <v>18987</v>
      </c>
      <c r="B61" s="234">
        <v>72.0</v>
      </c>
      <c r="C61" s="234" t="s">
        <v>108</v>
      </c>
      <c r="D61" s="235" t="s">
        <v>18988</v>
      </c>
      <c r="E61" s="234" t="s">
        <v>18625</v>
      </c>
      <c r="F61" s="234">
        <v>2020.0</v>
      </c>
      <c r="G61" s="234" t="s">
        <v>18725</v>
      </c>
      <c r="H61" s="234">
        <v>2030.0</v>
      </c>
      <c r="I61" s="234" t="s">
        <v>18725</v>
      </c>
      <c r="J61" s="234" t="s">
        <v>18636</v>
      </c>
      <c r="K61" s="236">
        <v>1.0</v>
      </c>
      <c r="L61" s="236">
        <v>0.7</v>
      </c>
      <c r="M61" s="236">
        <v>0.7</v>
      </c>
      <c r="N61" s="234" t="s">
        <v>18663</v>
      </c>
      <c r="O61" s="237" t="s">
        <v>18679</v>
      </c>
      <c r="P61" s="238" t="s">
        <v>18725</v>
      </c>
      <c r="Q61" s="234" t="s">
        <v>18726</v>
      </c>
      <c r="R61" s="238" t="s">
        <v>18989</v>
      </c>
      <c r="S61" s="238" t="s">
        <v>18990</v>
      </c>
      <c r="T61" s="238" t="s">
        <v>18991</v>
      </c>
      <c r="U61" s="238" t="s">
        <v>18725</v>
      </c>
      <c r="V61" s="238" t="s">
        <v>18725</v>
      </c>
      <c r="W61" s="238" t="s">
        <v>18725</v>
      </c>
      <c r="X61" s="238" t="s">
        <v>18725</v>
      </c>
      <c r="Y61" s="239" t="str">
        <f>IF('CCUS Projects Database'!$R61&lt;&gt;"",HYPERLINK('CCUS Projects Database'!$R61,"Link 1"),"")</f>
        <v>Link 1</v>
      </c>
      <c r="Z61" s="239" t="str">
        <f>IF('CCUS Projects Database'!$S61&lt;&gt;"",HYPERLINK('CCUS Projects Database'!$S61,"Link 2"),"")</f>
        <v>Link 2</v>
      </c>
      <c r="AA61" s="239" t="str">
        <f>IF('CCUS Projects Database'!$T61&lt;&gt;"",HYPERLINK('CCUS Projects Database'!$T61,"Link 3"),"")</f>
        <v>Link 3</v>
      </c>
      <c r="AB61" s="239" t="str">
        <f>IF('CCUS Projects Database'!$U61&lt;&gt;"",HYPERLINK('CCUS Projects Database'!$U61,"Link 4"),"")</f>
        <v/>
      </c>
      <c r="AC61" s="239" t="str">
        <f>IF('CCUS Projects Database'!$V61&lt;&gt;"",HYPERLINK('CCUS Projects Database'!$V61,"Link 5"),"")</f>
        <v/>
      </c>
      <c r="AD61" s="239" t="str">
        <f>IF('CCUS Projects Database'!$W61&lt;&gt;"",HYPERLINK('CCUS Projects Database'!$W61,"Link 6"),"")</f>
        <v/>
      </c>
      <c r="AE61" s="239" t="str">
        <f>IF('CCUS Projects Database'!$X61&lt;&gt;"",HYPERLINK('CCUS Projects Database'!$X61,"Link 7"),"")</f>
        <v/>
      </c>
    </row>
    <row r="62" ht="14.25" customHeight="1">
      <c r="A62" s="233" t="s">
        <v>18992</v>
      </c>
      <c r="B62" s="234">
        <v>73.0</v>
      </c>
      <c r="C62" s="234" t="s">
        <v>18586</v>
      </c>
      <c r="D62" s="235" t="s">
        <v>18993</v>
      </c>
      <c r="E62" s="234" t="s">
        <v>18625</v>
      </c>
      <c r="F62" s="234">
        <v>2022.0</v>
      </c>
      <c r="G62" s="234" t="s">
        <v>18725</v>
      </c>
      <c r="H62" s="234" t="s">
        <v>18725</v>
      </c>
      <c r="I62" s="234" t="s">
        <v>18725</v>
      </c>
      <c r="J62" s="234" t="s">
        <v>18636</v>
      </c>
      <c r="K62" s="236" t="s">
        <v>18725</v>
      </c>
      <c r="L62" s="236">
        <v>0.005</v>
      </c>
      <c r="M62" s="236">
        <v>0.005</v>
      </c>
      <c r="N62" s="234" t="s">
        <v>18218</v>
      </c>
      <c r="O62" s="237" t="s">
        <v>18679</v>
      </c>
      <c r="P62" s="238" t="s">
        <v>18725</v>
      </c>
      <c r="Q62" s="234" t="s">
        <v>18732</v>
      </c>
      <c r="R62" s="238" t="s">
        <v>18806</v>
      </c>
      <c r="S62" s="238" t="s">
        <v>18994</v>
      </c>
      <c r="T62" s="238" t="s">
        <v>18725</v>
      </c>
      <c r="U62" s="238" t="s">
        <v>18725</v>
      </c>
      <c r="V62" s="238" t="s">
        <v>18725</v>
      </c>
      <c r="W62" s="238" t="s">
        <v>18725</v>
      </c>
      <c r="X62" s="238" t="s">
        <v>18725</v>
      </c>
      <c r="Y62" s="239" t="str">
        <f>IF('CCUS Projects Database'!$R62&lt;&gt;"",HYPERLINK('CCUS Projects Database'!$R62,"Link 1"),"")</f>
        <v>Link 1</v>
      </c>
      <c r="Z62" s="239" t="str">
        <f>IF('CCUS Projects Database'!$S62&lt;&gt;"",HYPERLINK('CCUS Projects Database'!$S62,"Link 2"),"")</f>
        <v>Link 2</v>
      </c>
      <c r="AA62" s="239" t="str">
        <f>IF('CCUS Projects Database'!$T62&lt;&gt;"",HYPERLINK('CCUS Projects Database'!$T62,"Link 3"),"")</f>
        <v/>
      </c>
      <c r="AB62" s="239" t="str">
        <f>IF('CCUS Projects Database'!$U62&lt;&gt;"",HYPERLINK('CCUS Projects Database'!$U62,"Link 4"),"")</f>
        <v/>
      </c>
      <c r="AC62" s="239" t="str">
        <f>IF('CCUS Projects Database'!$V62&lt;&gt;"",HYPERLINK('CCUS Projects Database'!$V62,"Link 5"),"")</f>
        <v/>
      </c>
      <c r="AD62" s="239" t="str">
        <f>IF('CCUS Projects Database'!$W62&lt;&gt;"",HYPERLINK('CCUS Projects Database'!$W62,"Link 6"),"")</f>
        <v/>
      </c>
      <c r="AE62" s="239" t="str">
        <f>IF('CCUS Projects Database'!$X62&lt;&gt;"",HYPERLINK('CCUS Projects Database'!$X62,"Link 7"),"")</f>
        <v/>
      </c>
    </row>
    <row r="63" ht="14.25" customHeight="1">
      <c r="A63" s="233" t="s">
        <v>18995</v>
      </c>
      <c r="B63" s="234">
        <v>75.0</v>
      </c>
      <c r="C63" s="234" t="s">
        <v>18329</v>
      </c>
      <c r="D63" s="235" t="s">
        <v>18996</v>
      </c>
      <c r="E63" s="234" t="s">
        <v>18623</v>
      </c>
      <c r="F63" s="234">
        <v>2010.0</v>
      </c>
      <c r="G63" s="234">
        <v>2025.0</v>
      </c>
      <c r="H63" s="234">
        <v>2030.0</v>
      </c>
      <c r="I63" s="234" t="s">
        <v>18725</v>
      </c>
      <c r="J63" s="234" t="s">
        <v>18636</v>
      </c>
      <c r="K63" s="236" t="s">
        <v>18725</v>
      </c>
      <c r="L63" s="236">
        <v>6.0</v>
      </c>
      <c r="M63" s="236">
        <v>6.0</v>
      </c>
      <c r="N63" s="234" t="s">
        <v>18623</v>
      </c>
      <c r="O63" s="237" t="s">
        <v>18675</v>
      </c>
      <c r="P63" s="238" t="s">
        <v>18997</v>
      </c>
      <c r="Q63" s="234" t="s">
        <v>18762</v>
      </c>
      <c r="R63" s="238" t="s">
        <v>18998</v>
      </c>
      <c r="S63" s="238" t="s">
        <v>18999</v>
      </c>
      <c r="T63" s="238" t="s">
        <v>19000</v>
      </c>
      <c r="U63" s="238" t="s">
        <v>19001</v>
      </c>
      <c r="V63" s="238" t="s">
        <v>18725</v>
      </c>
      <c r="W63" s="238" t="s">
        <v>18725</v>
      </c>
      <c r="X63" s="238" t="s">
        <v>18725</v>
      </c>
      <c r="Y63" s="239" t="str">
        <f>IF('CCUS Projects Database'!$R63&lt;&gt;"",HYPERLINK('CCUS Projects Database'!$R63,"Link 1"),"")</f>
        <v>Link 1</v>
      </c>
      <c r="Z63" s="239" t="str">
        <f>IF('CCUS Projects Database'!$S63&lt;&gt;"",HYPERLINK('CCUS Projects Database'!$S63,"Link 2"),"")</f>
        <v>Link 2</v>
      </c>
      <c r="AA63" s="239" t="str">
        <f>IF('CCUS Projects Database'!$T63&lt;&gt;"",HYPERLINK('CCUS Projects Database'!$T63,"Link 3"),"")</f>
        <v>Link 3</v>
      </c>
      <c r="AB63" s="239" t="str">
        <f>IF('CCUS Projects Database'!$U63&lt;&gt;"",HYPERLINK('CCUS Projects Database'!$U63,"Link 4"),"")</f>
        <v>Link 4</v>
      </c>
      <c r="AC63" s="239" t="str">
        <f>IF('CCUS Projects Database'!$V63&lt;&gt;"",HYPERLINK('CCUS Projects Database'!$V63,"Link 5"),"")</f>
        <v/>
      </c>
      <c r="AD63" s="239" t="str">
        <f>IF('CCUS Projects Database'!$W63&lt;&gt;"",HYPERLINK('CCUS Projects Database'!$W63,"Link 6"),"")</f>
        <v/>
      </c>
      <c r="AE63" s="239" t="str">
        <f>IF('CCUS Projects Database'!$X63&lt;&gt;"",HYPERLINK('CCUS Projects Database'!$X63,"Link 7"),"")</f>
        <v/>
      </c>
    </row>
    <row r="64" ht="14.25" customHeight="1">
      <c r="A64" s="233" t="s">
        <v>19002</v>
      </c>
      <c r="B64" s="234">
        <v>77.0</v>
      </c>
      <c r="C64" s="234" t="s">
        <v>18586</v>
      </c>
      <c r="D64" s="235" t="s">
        <v>19003</v>
      </c>
      <c r="E64" s="234" t="s">
        <v>18616</v>
      </c>
      <c r="F64" s="234">
        <v>2022.0</v>
      </c>
      <c r="G64" s="234">
        <v>2022.0</v>
      </c>
      <c r="H64" s="234">
        <v>2025.0</v>
      </c>
      <c r="I64" s="234" t="s">
        <v>18725</v>
      </c>
      <c r="J64" s="234" t="s">
        <v>18638</v>
      </c>
      <c r="K64" s="236">
        <v>1.0</v>
      </c>
      <c r="L64" s="236">
        <v>0.36</v>
      </c>
      <c r="M64" s="236">
        <v>0.36</v>
      </c>
      <c r="N64" s="234" t="s">
        <v>18656</v>
      </c>
      <c r="O64" s="237" t="s">
        <v>18677</v>
      </c>
      <c r="P64" s="238" t="s">
        <v>18725</v>
      </c>
      <c r="Q64" s="234" t="s">
        <v>18732</v>
      </c>
      <c r="R64" s="238" t="s">
        <v>19004</v>
      </c>
      <c r="S64" s="238" t="s">
        <v>19005</v>
      </c>
      <c r="T64" s="238" t="s">
        <v>19006</v>
      </c>
      <c r="U64" s="238" t="s">
        <v>18725</v>
      </c>
      <c r="V64" s="238" t="s">
        <v>18725</v>
      </c>
      <c r="W64" s="238" t="s">
        <v>18725</v>
      </c>
      <c r="X64" s="238" t="s">
        <v>18725</v>
      </c>
      <c r="Y64" s="239" t="str">
        <f>IF('CCUS Projects Database'!$R64&lt;&gt;"",HYPERLINK('CCUS Projects Database'!$R64,"Link 1"),"")</f>
        <v>Link 1</v>
      </c>
      <c r="Z64" s="239" t="str">
        <f>IF('CCUS Projects Database'!$S64&lt;&gt;"",HYPERLINK('CCUS Projects Database'!$S64,"Link 2"),"")</f>
        <v>Link 2</v>
      </c>
      <c r="AA64" s="239" t="str">
        <f>IF('CCUS Projects Database'!$T64&lt;&gt;"",HYPERLINK('CCUS Projects Database'!$T64,"Link 3"),"")</f>
        <v>Link 3</v>
      </c>
      <c r="AB64" s="239" t="str">
        <f>IF('CCUS Projects Database'!$U64&lt;&gt;"",HYPERLINK('CCUS Projects Database'!$U64,"Link 4"),"")</f>
        <v/>
      </c>
      <c r="AC64" s="239" t="str">
        <f>IF('CCUS Projects Database'!$V64&lt;&gt;"",HYPERLINK('CCUS Projects Database'!$V64,"Link 5"),"")</f>
        <v/>
      </c>
      <c r="AD64" s="239" t="str">
        <f>IF('CCUS Projects Database'!$W64&lt;&gt;"",HYPERLINK('CCUS Projects Database'!$W64,"Link 6"),"")</f>
        <v/>
      </c>
      <c r="AE64" s="239" t="str">
        <f>IF('CCUS Projects Database'!$X64&lt;&gt;"",HYPERLINK('CCUS Projects Database'!$X64,"Link 7"),"")</f>
        <v/>
      </c>
    </row>
    <row r="65" ht="14.25" customHeight="1">
      <c r="A65" s="233" t="s">
        <v>19007</v>
      </c>
      <c r="B65" s="234">
        <v>78.0</v>
      </c>
      <c r="C65" s="234" t="s">
        <v>18586</v>
      </c>
      <c r="D65" s="235" t="s">
        <v>19003</v>
      </c>
      <c r="E65" s="234" t="s">
        <v>18616</v>
      </c>
      <c r="F65" s="234">
        <v>2022.0</v>
      </c>
      <c r="G65" s="234" t="s">
        <v>18725</v>
      </c>
      <c r="H65" s="234">
        <v>2026.0</v>
      </c>
      <c r="I65" s="234" t="s">
        <v>18725</v>
      </c>
      <c r="J65" s="234" t="s">
        <v>18636</v>
      </c>
      <c r="K65" s="236">
        <v>2.0</v>
      </c>
      <c r="L65" s="236">
        <v>0.26</v>
      </c>
      <c r="M65" s="236">
        <v>0.26</v>
      </c>
      <c r="N65" s="234" t="s">
        <v>18656</v>
      </c>
      <c r="O65" s="237" t="s">
        <v>18677</v>
      </c>
      <c r="P65" s="238" t="s">
        <v>18725</v>
      </c>
      <c r="Q65" s="234" t="s">
        <v>18732</v>
      </c>
      <c r="R65" s="238" t="s">
        <v>19004</v>
      </c>
      <c r="S65" s="238" t="s">
        <v>19005</v>
      </c>
      <c r="T65" s="238" t="s">
        <v>19006</v>
      </c>
      <c r="U65" s="238" t="s">
        <v>18725</v>
      </c>
      <c r="V65" s="238" t="s">
        <v>18725</v>
      </c>
      <c r="W65" s="238" t="s">
        <v>18725</v>
      </c>
      <c r="X65" s="238" t="s">
        <v>18725</v>
      </c>
      <c r="Y65" s="239" t="str">
        <f>IF('CCUS Projects Database'!$R65&lt;&gt;"",HYPERLINK('CCUS Projects Database'!$R65,"Link 1"),"")</f>
        <v>Link 1</v>
      </c>
      <c r="Z65" s="239" t="str">
        <f>IF('CCUS Projects Database'!$S65&lt;&gt;"",HYPERLINK('CCUS Projects Database'!$S65,"Link 2"),"")</f>
        <v>Link 2</v>
      </c>
      <c r="AA65" s="239" t="str">
        <f>IF('CCUS Projects Database'!$T65&lt;&gt;"",HYPERLINK('CCUS Projects Database'!$T65,"Link 3"),"")</f>
        <v>Link 3</v>
      </c>
      <c r="AB65" s="239" t="str">
        <f>IF('CCUS Projects Database'!$U65&lt;&gt;"",HYPERLINK('CCUS Projects Database'!$U65,"Link 4"),"")</f>
        <v/>
      </c>
      <c r="AC65" s="239" t="str">
        <f>IF('CCUS Projects Database'!$V65&lt;&gt;"",HYPERLINK('CCUS Projects Database'!$V65,"Link 5"),"")</f>
        <v/>
      </c>
      <c r="AD65" s="239" t="str">
        <f>IF('CCUS Projects Database'!$W65&lt;&gt;"",HYPERLINK('CCUS Projects Database'!$W65,"Link 6"),"")</f>
        <v/>
      </c>
      <c r="AE65" s="239" t="str">
        <f>IF('CCUS Projects Database'!$X65&lt;&gt;"",HYPERLINK('CCUS Projects Database'!$X65,"Link 7"),"")</f>
        <v/>
      </c>
    </row>
    <row r="66" ht="14.25" customHeight="1">
      <c r="A66" s="233" t="s">
        <v>19008</v>
      </c>
      <c r="B66" s="234">
        <v>79.0</v>
      </c>
      <c r="C66" s="234" t="s">
        <v>51</v>
      </c>
      <c r="D66" s="235" t="s">
        <v>19009</v>
      </c>
      <c r="E66" s="234" t="s">
        <v>18618</v>
      </c>
      <c r="F66" s="234">
        <v>2021.0</v>
      </c>
      <c r="G66" s="234">
        <v>2026.0</v>
      </c>
      <c r="H66" s="234">
        <v>2029.0</v>
      </c>
      <c r="I66" s="234" t="s">
        <v>18725</v>
      </c>
      <c r="J66" s="234" t="s">
        <v>18636</v>
      </c>
      <c r="K66" s="236" t="s">
        <v>18725</v>
      </c>
      <c r="L66" s="236">
        <v>1.8</v>
      </c>
      <c r="M66" s="236">
        <v>1.8</v>
      </c>
      <c r="N66" s="234" t="s">
        <v>18663</v>
      </c>
      <c r="O66" s="237" t="s">
        <v>18675</v>
      </c>
      <c r="P66" s="238" t="s">
        <v>18725</v>
      </c>
      <c r="Q66" s="234" t="s">
        <v>18726</v>
      </c>
      <c r="R66" s="238" t="s">
        <v>19010</v>
      </c>
      <c r="S66" s="238" t="s">
        <v>19011</v>
      </c>
      <c r="T66" s="238" t="s">
        <v>19012</v>
      </c>
      <c r="U66" s="238" t="s">
        <v>18725</v>
      </c>
      <c r="V66" s="238" t="s">
        <v>18725</v>
      </c>
      <c r="W66" s="238" t="s">
        <v>18725</v>
      </c>
      <c r="X66" s="238" t="s">
        <v>18725</v>
      </c>
      <c r="Y66" s="239" t="str">
        <f>IF('CCUS Projects Database'!$R66&lt;&gt;"",HYPERLINK('CCUS Projects Database'!$R66,"Link 1"),"")</f>
        <v>Link 1</v>
      </c>
      <c r="Z66" s="239" t="str">
        <f>IF('CCUS Projects Database'!$S66&lt;&gt;"",HYPERLINK('CCUS Projects Database'!$S66,"Link 2"),"")</f>
        <v>Link 2</v>
      </c>
      <c r="AA66" s="239" t="str">
        <f>IF('CCUS Projects Database'!$T66&lt;&gt;"",HYPERLINK('CCUS Projects Database'!$T66,"Link 3"),"")</f>
        <v>Link 3</v>
      </c>
      <c r="AB66" s="239" t="str">
        <f>IF('CCUS Projects Database'!$U66&lt;&gt;"",HYPERLINK('CCUS Projects Database'!$U66,"Link 4"),"")</f>
        <v/>
      </c>
      <c r="AC66" s="239" t="str">
        <f>IF('CCUS Projects Database'!$V66&lt;&gt;"",HYPERLINK('CCUS Projects Database'!$V66,"Link 5"),"")</f>
        <v/>
      </c>
      <c r="AD66" s="239" t="str">
        <f>IF('CCUS Projects Database'!$W66&lt;&gt;"",HYPERLINK('CCUS Projects Database'!$W66,"Link 6"),"")</f>
        <v/>
      </c>
      <c r="AE66" s="239" t="str">
        <f>IF('CCUS Projects Database'!$X66&lt;&gt;"",HYPERLINK('CCUS Projects Database'!$X66,"Link 7"),"")</f>
        <v/>
      </c>
    </row>
    <row r="67" ht="14.25" customHeight="1">
      <c r="A67" s="233" t="s">
        <v>19013</v>
      </c>
      <c r="B67" s="234">
        <v>80.0</v>
      </c>
      <c r="C67" s="234" t="s">
        <v>18586</v>
      </c>
      <c r="D67" s="235" t="s">
        <v>19014</v>
      </c>
      <c r="E67" s="234" t="s">
        <v>18616</v>
      </c>
      <c r="F67" s="234">
        <v>2008.0</v>
      </c>
      <c r="G67" s="234">
        <v>2008.0</v>
      </c>
      <c r="H67" s="234">
        <v>2010.0</v>
      </c>
      <c r="I67" s="234" t="s">
        <v>18725</v>
      </c>
      <c r="J67" s="234" t="s">
        <v>12385</v>
      </c>
      <c r="K67" s="236" t="s">
        <v>18725</v>
      </c>
      <c r="L67" s="236" t="s">
        <v>19015</v>
      </c>
      <c r="M67" s="236">
        <v>4.32</v>
      </c>
      <c r="N67" s="234" t="s">
        <v>18656</v>
      </c>
      <c r="O67" s="237" t="s">
        <v>18677</v>
      </c>
      <c r="P67" s="238" t="s">
        <v>18725</v>
      </c>
      <c r="Q67" s="234" t="s">
        <v>18732</v>
      </c>
      <c r="R67" s="238" t="s">
        <v>19016</v>
      </c>
      <c r="S67" s="238" t="s">
        <v>19017</v>
      </c>
      <c r="T67" s="238" t="s">
        <v>19018</v>
      </c>
      <c r="U67" s="238" t="s">
        <v>19019</v>
      </c>
      <c r="V67" s="238" t="s">
        <v>18725</v>
      </c>
      <c r="W67" s="238" t="s">
        <v>18725</v>
      </c>
      <c r="X67" s="238" t="s">
        <v>18725</v>
      </c>
      <c r="Y67" s="239" t="str">
        <f>IF('CCUS Projects Database'!$R67&lt;&gt;"",HYPERLINK('CCUS Projects Database'!$R67,"Link 1"),"")</f>
        <v>Link 1</v>
      </c>
      <c r="Z67" s="239" t="str">
        <f>IF('CCUS Projects Database'!$S67&lt;&gt;"",HYPERLINK('CCUS Projects Database'!$S67,"Link 2"),"")</f>
        <v>Link 2</v>
      </c>
      <c r="AA67" s="239" t="str">
        <f>IF('CCUS Projects Database'!$T67&lt;&gt;"",HYPERLINK('CCUS Projects Database'!$T67,"Link 3"),"")</f>
        <v>Link 3</v>
      </c>
      <c r="AB67" s="239" t="str">
        <f>IF('CCUS Projects Database'!$U67&lt;&gt;"",HYPERLINK('CCUS Projects Database'!$U67,"Link 4"),"")</f>
        <v>Link 4</v>
      </c>
      <c r="AC67" s="239" t="str">
        <f>IF('CCUS Projects Database'!$V67&lt;&gt;"",HYPERLINK('CCUS Projects Database'!$V67,"Link 5"),"")</f>
        <v/>
      </c>
      <c r="AD67" s="239" t="str">
        <f>IF('CCUS Projects Database'!$W67&lt;&gt;"",HYPERLINK('CCUS Projects Database'!$W67,"Link 6"),"")</f>
        <v/>
      </c>
      <c r="AE67" s="239" t="str">
        <f>IF('CCUS Projects Database'!$X67&lt;&gt;"",HYPERLINK('CCUS Projects Database'!$X67,"Link 7"),"")</f>
        <v/>
      </c>
    </row>
    <row r="68" ht="14.25" customHeight="1">
      <c r="A68" s="233" t="s">
        <v>10094</v>
      </c>
      <c r="B68" s="234">
        <v>81.0</v>
      </c>
      <c r="C68" s="234" t="s">
        <v>18586</v>
      </c>
      <c r="D68" s="235" t="s">
        <v>19020</v>
      </c>
      <c r="E68" s="234" t="s">
        <v>18616</v>
      </c>
      <c r="F68" s="234">
        <v>2021.0</v>
      </c>
      <c r="G68" s="234" t="s">
        <v>18725</v>
      </c>
      <c r="H68" s="234">
        <v>2029.0</v>
      </c>
      <c r="I68" s="234" t="s">
        <v>18725</v>
      </c>
      <c r="J68" s="234" t="s">
        <v>18636</v>
      </c>
      <c r="K68" s="236">
        <v>1.0</v>
      </c>
      <c r="L68" s="236">
        <v>2.0</v>
      </c>
      <c r="M68" s="236">
        <v>2.0</v>
      </c>
      <c r="N68" s="234" t="s">
        <v>18661</v>
      </c>
      <c r="O68" s="237" t="s">
        <v>18675</v>
      </c>
      <c r="P68" s="238" t="s">
        <v>18725</v>
      </c>
      <c r="Q68" s="234" t="s">
        <v>18732</v>
      </c>
      <c r="R68" s="238" t="s">
        <v>17893</v>
      </c>
      <c r="S68" s="238" t="s">
        <v>19021</v>
      </c>
      <c r="T68" s="238" t="s">
        <v>17894</v>
      </c>
      <c r="U68" s="238" t="s">
        <v>18725</v>
      </c>
      <c r="V68" s="238" t="s">
        <v>18725</v>
      </c>
      <c r="W68" s="238" t="s">
        <v>18725</v>
      </c>
      <c r="X68" s="238" t="s">
        <v>18725</v>
      </c>
      <c r="Y68" s="239" t="str">
        <f>IF('CCUS Projects Database'!$R68&lt;&gt;"",HYPERLINK('CCUS Projects Database'!$R68,"Link 1"),"")</f>
        <v>Link 1</v>
      </c>
      <c r="Z68" s="239" t="str">
        <f>IF('CCUS Projects Database'!$S68&lt;&gt;"",HYPERLINK('CCUS Projects Database'!$S68,"Link 2"),"")</f>
        <v>Link 2</v>
      </c>
      <c r="AA68" s="239" t="str">
        <f>IF('CCUS Projects Database'!$T68&lt;&gt;"",HYPERLINK('CCUS Projects Database'!$T68,"Link 3"),"")</f>
        <v>Link 3</v>
      </c>
      <c r="AB68" s="239" t="str">
        <f>IF('CCUS Projects Database'!$U68&lt;&gt;"",HYPERLINK('CCUS Projects Database'!$U68,"Link 4"),"")</f>
        <v/>
      </c>
      <c r="AC68" s="239" t="str">
        <f>IF('CCUS Projects Database'!$V68&lt;&gt;"",HYPERLINK('CCUS Projects Database'!$V68,"Link 5"),"")</f>
        <v/>
      </c>
      <c r="AD68" s="239" t="str">
        <f>IF('CCUS Projects Database'!$W68&lt;&gt;"",HYPERLINK('CCUS Projects Database'!$W68,"Link 6"),"")</f>
        <v/>
      </c>
      <c r="AE68" s="239" t="str">
        <f>IF('CCUS Projects Database'!$X68&lt;&gt;"",HYPERLINK('CCUS Projects Database'!$X68,"Link 7"),"")</f>
        <v/>
      </c>
    </row>
    <row r="69" ht="14.25" customHeight="1">
      <c r="A69" s="233" t="s">
        <v>9327</v>
      </c>
      <c r="B69" s="234">
        <v>82.0</v>
      </c>
      <c r="C69" s="234" t="s">
        <v>18586</v>
      </c>
      <c r="D69" s="235" t="s">
        <v>19022</v>
      </c>
      <c r="E69" s="234" t="s">
        <v>18616</v>
      </c>
      <c r="F69" s="234">
        <v>2022.0</v>
      </c>
      <c r="G69" s="234">
        <v>2025.0</v>
      </c>
      <c r="H69" s="234">
        <v>2027.0</v>
      </c>
      <c r="I69" s="234" t="s">
        <v>18725</v>
      </c>
      <c r="J69" s="234" t="s">
        <v>18636</v>
      </c>
      <c r="K69" s="236" t="s">
        <v>18725</v>
      </c>
      <c r="L69" s="236" t="s">
        <v>18725</v>
      </c>
      <c r="M69" s="236">
        <v>1.57</v>
      </c>
      <c r="N69" s="234" t="s">
        <v>18731</v>
      </c>
      <c r="O69" s="237" t="s">
        <v>18683</v>
      </c>
      <c r="P69" s="238" t="s">
        <v>18725</v>
      </c>
      <c r="Q69" s="234" t="s">
        <v>18732</v>
      </c>
      <c r="R69" s="238" t="s">
        <v>19023</v>
      </c>
      <c r="S69" s="238" t="s">
        <v>19024</v>
      </c>
      <c r="T69" s="238" t="s">
        <v>18725</v>
      </c>
      <c r="U69" s="238" t="s">
        <v>18725</v>
      </c>
      <c r="V69" s="238" t="s">
        <v>18725</v>
      </c>
      <c r="W69" s="238" t="s">
        <v>18725</v>
      </c>
      <c r="X69" s="238" t="s">
        <v>18725</v>
      </c>
      <c r="Y69" s="239" t="str">
        <f>IF('CCUS Projects Database'!$R69&lt;&gt;"",HYPERLINK('CCUS Projects Database'!$R69,"Link 1"),"")</f>
        <v>Link 1</v>
      </c>
      <c r="Z69" s="239" t="str">
        <f>IF('CCUS Projects Database'!$S69&lt;&gt;"",HYPERLINK('CCUS Projects Database'!$S69,"Link 2"),"")</f>
        <v>Link 2</v>
      </c>
      <c r="AA69" s="239" t="str">
        <f>IF('CCUS Projects Database'!$T69&lt;&gt;"",HYPERLINK('CCUS Projects Database'!$T69,"Link 3"),"")</f>
        <v/>
      </c>
      <c r="AB69" s="239" t="str">
        <f>IF('CCUS Projects Database'!$U69&lt;&gt;"",HYPERLINK('CCUS Projects Database'!$U69,"Link 4"),"")</f>
        <v/>
      </c>
      <c r="AC69" s="239" t="str">
        <f>IF('CCUS Projects Database'!$V69&lt;&gt;"",HYPERLINK('CCUS Projects Database'!$V69,"Link 5"),"")</f>
        <v/>
      </c>
      <c r="AD69" s="239" t="str">
        <f>IF('CCUS Projects Database'!$W69&lt;&gt;"",HYPERLINK('CCUS Projects Database'!$W69,"Link 6"),"")</f>
        <v/>
      </c>
      <c r="AE69" s="239" t="str">
        <f>IF('CCUS Projects Database'!$X69&lt;&gt;"",HYPERLINK('CCUS Projects Database'!$X69,"Link 7"),"")</f>
        <v/>
      </c>
    </row>
    <row r="70" ht="14.25" customHeight="1">
      <c r="A70" s="233" t="s">
        <v>19025</v>
      </c>
      <c r="B70" s="234">
        <v>83.0</v>
      </c>
      <c r="C70" s="234" t="s">
        <v>18360</v>
      </c>
      <c r="D70" s="235" t="s">
        <v>19026</v>
      </c>
      <c r="E70" s="234" t="s">
        <v>18616</v>
      </c>
      <c r="F70" s="234">
        <v>2006.0</v>
      </c>
      <c r="G70" s="234">
        <v>2015.0</v>
      </c>
      <c r="H70" s="234">
        <v>2018.0</v>
      </c>
      <c r="I70" s="234" t="s">
        <v>18725</v>
      </c>
      <c r="J70" s="234" t="s">
        <v>12385</v>
      </c>
      <c r="K70" s="236" t="s">
        <v>18725</v>
      </c>
      <c r="L70" s="236" t="s">
        <v>19027</v>
      </c>
      <c r="M70" s="236">
        <v>0.6</v>
      </c>
      <c r="N70" s="234" t="s">
        <v>18656</v>
      </c>
      <c r="O70" s="237" t="s">
        <v>18677</v>
      </c>
      <c r="P70" s="238" t="s">
        <v>18725</v>
      </c>
      <c r="Q70" s="234" t="s">
        <v>18856</v>
      </c>
      <c r="R70" s="238" t="s">
        <v>19028</v>
      </c>
      <c r="S70" s="238" t="s">
        <v>19029</v>
      </c>
      <c r="T70" s="238" t="s">
        <v>19030</v>
      </c>
      <c r="U70" s="238" t="s">
        <v>18725</v>
      </c>
      <c r="V70" s="238" t="s">
        <v>18725</v>
      </c>
      <c r="W70" s="238" t="s">
        <v>18725</v>
      </c>
      <c r="X70" s="238" t="s">
        <v>18725</v>
      </c>
      <c r="Y70" s="239" t="str">
        <f>IF('CCUS Projects Database'!$R70&lt;&gt;"",HYPERLINK('CCUS Projects Database'!$R70,"Link 1"),"")</f>
        <v>Link 1</v>
      </c>
      <c r="Z70" s="239" t="str">
        <f>IF('CCUS Projects Database'!$S70&lt;&gt;"",HYPERLINK('CCUS Projects Database'!$S70,"Link 2"),"")</f>
        <v>Link 2</v>
      </c>
      <c r="AA70" s="239" t="str">
        <f>IF('CCUS Projects Database'!$T70&lt;&gt;"",HYPERLINK('CCUS Projects Database'!$T70,"Link 3"),"")</f>
        <v>Link 3</v>
      </c>
      <c r="AB70" s="239" t="str">
        <f>IF('CCUS Projects Database'!$U70&lt;&gt;"",HYPERLINK('CCUS Projects Database'!$U70,"Link 4"),"")</f>
        <v/>
      </c>
      <c r="AC70" s="239" t="str">
        <f>IF('CCUS Projects Database'!$V70&lt;&gt;"",HYPERLINK('CCUS Projects Database'!$V70,"Link 5"),"")</f>
        <v/>
      </c>
      <c r="AD70" s="239" t="str">
        <f>IF('CCUS Projects Database'!$W70&lt;&gt;"",HYPERLINK('CCUS Projects Database'!$W70,"Link 6"),"")</f>
        <v/>
      </c>
      <c r="AE70" s="239" t="str">
        <f>IF('CCUS Projects Database'!$X70&lt;&gt;"",HYPERLINK('CCUS Projects Database'!$X70,"Link 7"),"")</f>
        <v/>
      </c>
    </row>
    <row r="71" ht="14.25" customHeight="1">
      <c r="A71" s="233" t="s">
        <v>19031</v>
      </c>
      <c r="B71" s="234">
        <v>85.0</v>
      </c>
      <c r="C71" s="234" t="s">
        <v>18360</v>
      </c>
      <c r="D71" s="235" t="s">
        <v>19032</v>
      </c>
      <c r="E71" s="234" t="s">
        <v>18616</v>
      </c>
      <c r="F71" s="234">
        <v>2021.0</v>
      </c>
      <c r="G71" s="234">
        <v>2021.0</v>
      </c>
      <c r="H71" s="234">
        <v>2023.0</v>
      </c>
      <c r="I71" s="234" t="s">
        <v>18725</v>
      </c>
      <c r="J71" s="234" t="s">
        <v>12385</v>
      </c>
      <c r="K71" s="236" t="s">
        <v>18725</v>
      </c>
      <c r="L71" s="236">
        <v>0.5</v>
      </c>
      <c r="M71" s="236">
        <v>0.5</v>
      </c>
      <c r="N71" s="234" t="s">
        <v>18654</v>
      </c>
      <c r="O71" s="237" t="s">
        <v>19033</v>
      </c>
      <c r="P71" s="238" t="s">
        <v>18725</v>
      </c>
      <c r="Q71" s="234" t="s">
        <v>18856</v>
      </c>
      <c r="R71" s="238" t="s">
        <v>19034</v>
      </c>
      <c r="S71" s="238" t="s">
        <v>19035</v>
      </c>
      <c r="T71" s="238" t="s">
        <v>19036</v>
      </c>
      <c r="U71" s="238" t="s">
        <v>19037</v>
      </c>
      <c r="V71" s="238" t="s">
        <v>19038</v>
      </c>
      <c r="W71" s="238" t="s">
        <v>18725</v>
      </c>
      <c r="X71" s="238" t="s">
        <v>18725</v>
      </c>
      <c r="Y71" s="239" t="str">
        <f>IF('CCUS Projects Database'!$R71&lt;&gt;"",HYPERLINK('CCUS Projects Database'!$R71,"Link 1"),"")</f>
        <v>Link 1</v>
      </c>
      <c r="Z71" s="239" t="str">
        <f>IF('CCUS Projects Database'!$S71&lt;&gt;"",HYPERLINK('CCUS Projects Database'!$S71,"Link 2"),"")</f>
        <v>Link 2</v>
      </c>
      <c r="AA71" s="239" t="str">
        <f>IF('CCUS Projects Database'!$T71&lt;&gt;"",HYPERLINK('CCUS Projects Database'!$T71,"Link 3"),"")</f>
        <v>Link 3</v>
      </c>
      <c r="AB71" s="239" t="str">
        <f>IF('CCUS Projects Database'!$U71&lt;&gt;"",HYPERLINK('CCUS Projects Database'!$U71,"Link 4"),"")</f>
        <v>Link 4</v>
      </c>
      <c r="AC71" s="239" t="str">
        <f>IF('CCUS Projects Database'!$V71&lt;&gt;"",HYPERLINK('CCUS Projects Database'!$V71,"Link 5"),"")</f>
        <v>Link 5</v>
      </c>
      <c r="AD71" s="239" t="str">
        <f>IF('CCUS Projects Database'!$W71&lt;&gt;"",HYPERLINK('CCUS Projects Database'!$W71,"Link 6"),"")</f>
        <v/>
      </c>
      <c r="AE71" s="239" t="str">
        <f>IF('CCUS Projects Database'!$X71&lt;&gt;"",HYPERLINK('CCUS Projects Database'!$X71,"Link 7"),"")</f>
        <v/>
      </c>
    </row>
    <row r="72" ht="14.25" customHeight="1">
      <c r="A72" s="233" t="s">
        <v>19039</v>
      </c>
      <c r="B72" s="234">
        <v>86.0</v>
      </c>
      <c r="C72" s="234" t="s">
        <v>18360</v>
      </c>
      <c r="D72" s="235" t="s">
        <v>19032</v>
      </c>
      <c r="E72" s="234" t="s">
        <v>18616</v>
      </c>
      <c r="F72" s="234">
        <v>2018.0</v>
      </c>
      <c r="G72" s="234">
        <v>2019.0</v>
      </c>
      <c r="H72" s="234">
        <v>2021.0</v>
      </c>
      <c r="I72" s="234" t="s">
        <v>18725</v>
      </c>
      <c r="J72" s="234" t="s">
        <v>12385</v>
      </c>
      <c r="K72" s="236" t="s">
        <v>18725</v>
      </c>
      <c r="L72" s="236">
        <v>0.15</v>
      </c>
      <c r="M72" s="236">
        <v>0.15</v>
      </c>
      <c r="N72" s="234" t="s">
        <v>18654</v>
      </c>
      <c r="O72" s="237" t="s">
        <v>19033</v>
      </c>
      <c r="P72" s="238" t="s">
        <v>18725</v>
      </c>
      <c r="Q72" s="234" t="s">
        <v>18856</v>
      </c>
      <c r="R72" s="238" t="s">
        <v>19034</v>
      </c>
      <c r="S72" s="238" t="s">
        <v>19035</v>
      </c>
      <c r="T72" s="238" t="s">
        <v>19040</v>
      </c>
      <c r="U72" s="238" t="s">
        <v>19041</v>
      </c>
      <c r="V72" s="238" t="s">
        <v>18725</v>
      </c>
      <c r="W72" s="238" t="s">
        <v>18725</v>
      </c>
      <c r="X72" s="238" t="s">
        <v>18725</v>
      </c>
      <c r="Y72" s="239" t="str">
        <f>IF('CCUS Projects Database'!$R72&lt;&gt;"",HYPERLINK('CCUS Projects Database'!$R72,"Link 1"),"")</f>
        <v>Link 1</v>
      </c>
      <c r="Z72" s="239" t="str">
        <f>IF('CCUS Projects Database'!$S72&lt;&gt;"",HYPERLINK('CCUS Projects Database'!$S72,"Link 2"),"")</f>
        <v>Link 2</v>
      </c>
      <c r="AA72" s="239" t="str">
        <f>IF('CCUS Projects Database'!$T72&lt;&gt;"",HYPERLINK('CCUS Projects Database'!$T72,"Link 3"),"")</f>
        <v>Link 3</v>
      </c>
      <c r="AB72" s="239" t="str">
        <f>IF('CCUS Projects Database'!$U72&lt;&gt;"",HYPERLINK('CCUS Projects Database'!$U72,"Link 4"),"")</f>
        <v>Link 4</v>
      </c>
      <c r="AC72" s="239" t="str">
        <f>IF('CCUS Projects Database'!$V72&lt;&gt;"",HYPERLINK('CCUS Projects Database'!$V72,"Link 5"),"")</f>
        <v/>
      </c>
      <c r="AD72" s="239" t="str">
        <f>IF('CCUS Projects Database'!$W72&lt;&gt;"",HYPERLINK('CCUS Projects Database'!$W72,"Link 6"),"")</f>
        <v/>
      </c>
      <c r="AE72" s="239" t="str">
        <f>IF('CCUS Projects Database'!$X72&lt;&gt;"",HYPERLINK('CCUS Projects Database'!$X72,"Link 7"),"")</f>
        <v/>
      </c>
    </row>
    <row r="73" ht="14.25" customHeight="1">
      <c r="A73" s="233" t="s">
        <v>19042</v>
      </c>
      <c r="B73" s="234">
        <v>87.0</v>
      </c>
      <c r="C73" s="234" t="s">
        <v>51</v>
      </c>
      <c r="D73" s="235" t="s">
        <v>19043</v>
      </c>
      <c r="E73" s="234" t="s">
        <v>18620</v>
      </c>
      <c r="F73" s="234">
        <v>2020.0</v>
      </c>
      <c r="G73" s="234" t="s">
        <v>18725</v>
      </c>
      <c r="H73" s="234" t="s">
        <v>18725</v>
      </c>
      <c r="I73" s="234" t="s">
        <v>18725</v>
      </c>
      <c r="J73" s="234" t="s">
        <v>18636</v>
      </c>
      <c r="K73" s="236" t="s">
        <v>18725</v>
      </c>
      <c r="L73" s="236">
        <v>1.5</v>
      </c>
      <c r="M73" s="236">
        <v>1.5</v>
      </c>
      <c r="N73" s="234" t="s">
        <v>18620</v>
      </c>
      <c r="O73" s="237" t="s">
        <v>18675</v>
      </c>
      <c r="P73" s="238" t="s">
        <v>19044</v>
      </c>
      <c r="Q73" s="234" t="s">
        <v>18726</v>
      </c>
      <c r="R73" s="238" t="s">
        <v>19045</v>
      </c>
      <c r="S73" s="238" t="s">
        <v>19046</v>
      </c>
      <c r="T73" s="238" t="s">
        <v>18725</v>
      </c>
      <c r="U73" s="238" t="s">
        <v>18725</v>
      </c>
      <c r="V73" s="238" t="s">
        <v>18725</v>
      </c>
      <c r="W73" s="238" t="s">
        <v>18725</v>
      </c>
      <c r="X73" s="238" t="s">
        <v>18725</v>
      </c>
      <c r="Y73" s="239" t="str">
        <f>IF('CCUS Projects Database'!$R73&lt;&gt;"",HYPERLINK('CCUS Projects Database'!$R73,"Link 1"),"")</f>
        <v>Link 1</v>
      </c>
      <c r="Z73" s="239" t="str">
        <f>IF('CCUS Projects Database'!$S73&lt;&gt;"",HYPERLINK('CCUS Projects Database'!$S73,"Link 2"),"")</f>
        <v>Link 2</v>
      </c>
      <c r="AA73" s="239" t="str">
        <f>IF('CCUS Projects Database'!$T73&lt;&gt;"",HYPERLINK('CCUS Projects Database'!$T73,"Link 3"),"")</f>
        <v/>
      </c>
      <c r="AB73" s="239" t="str">
        <f>IF('CCUS Projects Database'!$U73&lt;&gt;"",HYPERLINK('CCUS Projects Database'!$U73,"Link 4"),"")</f>
        <v/>
      </c>
      <c r="AC73" s="239" t="str">
        <f>IF('CCUS Projects Database'!$V73&lt;&gt;"",HYPERLINK('CCUS Projects Database'!$V73,"Link 5"),"")</f>
        <v/>
      </c>
      <c r="AD73" s="239" t="str">
        <f>IF('CCUS Projects Database'!$W73&lt;&gt;"",HYPERLINK('CCUS Projects Database'!$W73,"Link 6"),"")</f>
        <v/>
      </c>
      <c r="AE73" s="239" t="str">
        <f>IF('CCUS Projects Database'!$X73&lt;&gt;"",HYPERLINK('CCUS Projects Database'!$X73,"Link 7"),"")</f>
        <v/>
      </c>
    </row>
    <row r="74" ht="14.25" customHeight="1">
      <c r="A74" s="233" t="s">
        <v>19047</v>
      </c>
      <c r="B74" s="234">
        <v>89.0</v>
      </c>
      <c r="C74" s="234" t="s">
        <v>86</v>
      </c>
      <c r="D74" s="235" t="s">
        <v>19048</v>
      </c>
      <c r="E74" s="234" t="s">
        <v>18618</v>
      </c>
      <c r="F74" s="234">
        <v>2020.0</v>
      </c>
      <c r="G74" s="234" t="s">
        <v>18725</v>
      </c>
      <c r="H74" s="234">
        <v>2026.0</v>
      </c>
      <c r="I74" s="234" t="s">
        <v>18725</v>
      </c>
      <c r="J74" s="234" t="s">
        <v>18636</v>
      </c>
      <c r="K74" s="236" t="s">
        <v>18725</v>
      </c>
      <c r="L74" s="236">
        <v>0.5</v>
      </c>
      <c r="M74" s="236">
        <v>0.5</v>
      </c>
      <c r="N74" s="234" t="s">
        <v>18654</v>
      </c>
      <c r="O74" s="237" t="s">
        <v>18675</v>
      </c>
      <c r="P74" s="238" t="s">
        <v>18725</v>
      </c>
      <c r="Q74" s="234" t="s">
        <v>18726</v>
      </c>
      <c r="R74" s="238" t="s">
        <v>19049</v>
      </c>
      <c r="S74" s="238" t="s">
        <v>19050</v>
      </c>
      <c r="T74" s="238" t="s">
        <v>19051</v>
      </c>
      <c r="U74" s="238" t="s">
        <v>19052</v>
      </c>
      <c r="V74" s="238" t="s">
        <v>18725</v>
      </c>
      <c r="W74" s="238" t="s">
        <v>18725</v>
      </c>
      <c r="X74" s="238" t="s">
        <v>18725</v>
      </c>
      <c r="Y74" s="239" t="str">
        <f>IF('CCUS Projects Database'!$R74&lt;&gt;"",HYPERLINK('CCUS Projects Database'!$R74,"Link 1"),"")</f>
        <v>Link 1</v>
      </c>
      <c r="Z74" s="239" t="str">
        <f>IF('CCUS Projects Database'!$S74&lt;&gt;"",HYPERLINK('CCUS Projects Database'!$S74,"Link 2"),"")</f>
        <v>Link 2</v>
      </c>
      <c r="AA74" s="239" t="str">
        <f>IF('CCUS Projects Database'!$T74&lt;&gt;"",HYPERLINK('CCUS Projects Database'!$T74,"Link 3"),"")</f>
        <v>Link 3</v>
      </c>
      <c r="AB74" s="239" t="str">
        <f>IF('CCUS Projects Database'!$U74&lt;&gt;"",HYPERLINK('CCUS Projects Database'!$U74,"Link 4"),"")</f>
        <v>Link 4</v>
      </c>
      <c r="AC74" s="239" t="str">
        <f>IF('CCUS Projects Database'!$V74&lt;&gt;"",HYPERLINK('CCUS Projects Database'!$V74,"Link 5"),"")</f>
        <v/>
      </c>
      <c r="AD74" s="239" t="str">
        <f>IF('CCUS Projects Database'!$W74&lt;&gt;"",HYPERLINK('CCUS Projects Database'!$W74,"Link 6"),"")</f>
        <v/>
      </c>
      <c r="AE74" s="239" t="str">
        <f>IF('CCUS Projects Database'!$X74&lt;&gt;"",HYPERLINK('CCUS Projects Database'!$X74,"Link 7"),"")</f>
        <v/>
      </c>
    </row>
    <row r="75" ht="14.25" customHeight="1">
      <c r="A75" s="233" t="s">
        <v>19053</v>
      </c>
      <c r="B75" s="234">
        <v>90.0</v>
      </c>
      <c r="C75" s="234" t="s">
        <v>18586</v>
      </c>
      <c r="D75" s="235" t="s">
        <v>19054</v>
      </c>
      <c r="E75" s="234" t="s">
        <v>18616</v>
      </c>
      <c r="F75" s="234">
        <v>2022.0</v>
      </c>
      <c r="G75" s="234" t="s">
        <v>18725</v>
      </c>
      <c r="H75" s="234" t="s">
        <v>18725</v>
      </c>
      <c r="I75" s="234" t="s">
        <v>18725</v>
      </c>
      <c r="J75" s="234" t="s">
        <v>18636</v>
      </c>
      <c r="K75" s="236" t="s">
        <v>18725</v>
      </c>
      <c r="L75" s="236">
        <v>0.005</v>
      </c>
      <c r="M75" s="236">
        <v>0.005</v>
      </c>
      <c r="N75" s="234" t="s">
        <v>18218</v>
      </c>
      <c r="O75" s="237" t="s">
        <v>18675</v>
      </c>
      <c r="P75" s="238" t="s">
        <v>18725</v>
      </c>
      <c r="Q75" s="234" t="s">
        <v>18732</v>
      </c>
      <c r="R75" s="238" t="s">
        <v>18806</v>
      </c>
      <c r="S75" s="238" t="s">
        <v>19055</v>
      </c>
      <c r="T75" s="238" t="s">
        <v>18725</v>
      </c>
      <c r="U75" s="238" t="s">
        <v>18725</v>
      </c>
      <c r="V75" s="238" t="s">
        <v>18725</v>
      </c>
      <c r="W75" s="238" t="s">
        <v>18725</v>
      </c>
      <c r="X75" s="238" t="s">
        <v>18725</v>
      </c>
      <c r="Y75" s="239" t="str">
        <f>IF('CCUS Projects Database'!$R75&lt;&gt;"",HYPERLINK('CCUS Projects Database'!$R75,"Link 1"),"")</f>
        <v>Link 1</v>
      </c>
      <c r="Z75" s="239" t="str">
        <f>IF('CCUS Projects Database'!$S75&lt;&gt;"",HYPERLINK('CCUS Projects Database'!$S75,"Link 2"),"")</f>
        <v>Link 2</v>
      </c>
      <c r="AA75" s="239" t="str">
        <f>IF('CCUS Projects Database'!$T75&lt;&gt;"",HYPERLINK('CCUS Projects Database'!$T75,"Link 3"),"")</f>
        <v/>
      </c>
      <c r="AB75" s="239" t="str">
        <f>IF('CCUS Projects Database'!$U75&lt;&gt;"",HYPERLINK('CCUS Projects Database'!$U75,"Link 4"),"")</f>
        <v/>
      </c>
      <c r="AC75" s="239" t="str">
        <f>IF('CCUS Projects Database'!$V75&lt;&gt;"",HYPERLINK('CCUS Projects Database'!$V75,"Link 5"),"")</f>
        <v/>
      </c>
      <c r="AD75" s="239" t="str">
        <f>IF('CCUS Projects Database'!$W75&lt;&gt;"",HYPERLINK('CCUS Projects Database'!$W75,"Link 6"),"")</f>
        <v/>
      </c>
      <c r="AE75" s="239" t="str">
        <f>IF('CCUS Projects Database'!$X75&lt;&gt;"",HYPERLINK('CCUS Projects Database'!$X75,"Link 7"),"")</f>
        <v/>
      </c>
    </row>
    <row r="76" ht="14.25" customHeight="1">
      <c r="A76" s="233" t="s">
        <v>19056</v>
      </c>
      <c r="B76" s="234">
        <v>91.0</v>
      </c>
      <c r="C76" s="234" t="s">
        <v>98</v>
      </c>
      <c r="D76" s="235" t="s">
        <v>19057</v>
      </c>
      <c r="E76" s="234" t="s">
        <v>18625</v>
      </c>
      <c r="F76" s="234">
        <v>2020.0</v>
      </c>
      <c r="G76" s="234">
        <v>2025.0</v>
      </c>
      <c r="H76" s="234">
        <v>2026.0</v>
      </c>
      <c r="I76" s="234" t="s">
        <v>18725</v>
      </c>
      <c r="J76" s="234" t="s">
        <v>18636</v>
      </c>
      <c r="K76" s="236">
        <v>1.0</v>
      </c>
      <c r="L76" s="236">
        <v>0.039</v>
      </c>
      <c r="M76" s="236">
        <v>0.039</v>
      </c>
      <c r="N76" s="234" t="s">
        <v>18218</v>
      </c>
      <c r="O76" s="237" t="s">
        <v>18679</v>
      </c>
      <c r="P76" s="238" t="s">
        <v>18725</v>
      </c>
      <c r="Q76" s="234" t="s">
        <v>18726</v>
      </c>
      <c r="R76" s="238" t="s">
        <v>16910</v>
      </c>
      <c r="S76" s="238" t="s">
        <v>18725</v>
      </c>
      <c r="T76" s="238" t="s">
        <v>18725</v>
      </c>
      <c r="U76" s="238" t="s">
        <v>18725</v>
      </c>
      <c r="V76" s="238" t="s">
        <v>18725</v>
      </c>
      <c r="W76" s="238" t="s">
        <v>18725</v>
      </c>
      <c r="X76" s="238" t="s">
        <v>18725</v>
      </c>
      <c r="Y76" s="239" t="str">
        <f>IF('CCUS Projects Database'!$R76&lt;&gt;"",HYPERLINK('CCUS Projects Database'!$R76,"Link 1"),"")</f>
        <v>Link 1</v>
      </c>
      <c r="Z76" s="239" t="str">
        <f>IF('CCUS Projects Database'!$S76&lt;&gt;"",HYPERLINK('CCUS Projects Database'!$S76,"Link 2"),"")</f>
        <v/>
      </c>
      <c r="AA76" s="239" t="str">
        <f>IF('CCUS Projects Database'!$T76&lt;&gt;"",HYPERLINK('CCUS Projects Database'!$T76,"Link 3"),"")</f>
        <v/>
      </c>
      <c r="AB76" s="239" t="str">
        <f>IF('CCUS Projects Database'!$U76&lt;&gt;"",HYPERLINK('CCUS Projects Database'!$U76,"Link 4"),"")</f>
        <v/>
      </c>
      <c r="AC76" s="239" t="str">
        <f>IF('CCUS Projects Database'!$V76&lt;&gt;"",HYPERLINK('CCUS Projects Database'!$V76,"Link 5"),"")</f>
        <v/>
      </c>
      <c r="AD76" s="239" t="str">
        <f>IF('CCUS Projects Database'!$W76&lt;&gt;"",HYPERLINK('CCUS Projects Database'!$W76,"Link 6"),"")</f>
        <v/>
      </c>
      <c r="AE76" s="239" t="str">
        <f>IF('CCUS Projects Database'!$X76&lt;&gt;"",HYPERLINK('CCUS Projects Database'!$X76,"Link 7"),"")</f>
        <v/>
      </c>
    </row>
    <row r="77" ht="14.25" customHeight="1">
      <c r="A77" s="233" t="s">
        <v>19058</v>
      </c>
      <c r="B77" s="234">
        <v>92.0</v>
      </c>
      <c r="C77" s="234" t="s">
        <v>98</v>
      </c>
      <c r="D77" s="235" t="s">
        <v>19057</v>
      </c>
      <c r="E77" s="234" t="s">
        <v>18625</v>
      </c>
      <c r="F77" s="234">
        <v>2020.0</v>
      </c>
      <c r="G77" s="234" t="s">
        <v>18725</v>
      </c>
      <c r="H77" s="234">
        <v>2026.0</v>
      </c>
      <c r="I77" s="234" t="s">
        <v>18725</v>
      </c>
      <c r="J77" s="234" t="s">
        <v>18636</v>
      </c>
      <c r="K77" s="236">
        <v>2.0</v>
      </c>
      <c r="L77" s="236">
        <v>0.035</v>
      </c>
      <c r="M77" s="236">
        <v>0.035</v>
      </c>
      <c r="N77" s="234" t="s">
        <v>18218</v>
      </c>
      <c r="O77" s="237" t="s">
        <v>18679</v>
      </c>
      <c r="P77" s="238" t="s">
        <v>18725</v>
      </c>
      <c r="Q77" s="234" t="s">
        <v>18726</v>
      </c>
      <c r="R77" s="238" t="s">
        <v>16910</v>
      </c>
      <c r="S77" s="238" t="s">
        <v>18725</v>
      </c>
      <c r="T77" s="238" t="s">
        <v>18725</v>
      </c>
      <c r="U77" s="238" t="s">
        <v>18725</v>
      </c>
      <c r="V77" s="238" t="s">
        <v>18725</v>
      </c>
      <c r="W77" s="238" t="s">
        <v>18725</v>
      </c>
      <c r="X77" s="238" t="s">
        <v>18725</v>
      </c>
      <c r="Y77" s="239" t="str">
        <f>IF('CCUS Projects Database'!$R77&lt;&gt;"",HYPERLINK('CCUS Projects Database'!$R77,"Link 1"),"")</f>
        <v>Link 1</v>
      </c>
      <c r="Z77" s="239" t="str">
        <f>IF('CCUS Projects Database'!$S77&lt;&gt;"",HYPERLINK('CCUS Projects Database'!$S77,"Link 2"),"")</f>
        <v/>
      </c>
      <c r="AA77" s="239" t="str">
        <f>IF('CCUS Projects Database'!$T77&lt;&gt;"",HYPERLINK('CCUS Projects Database'!$T77,"Link 3"),"")</f>
        <v/>
      </c>
      <c r="AB77" s="239" t="str">
        <f>IF('CCUS Projects Database'!$U77&lt;&gt;"",HYPERLINK('CCUS Projects Database'!$U77,"Link 4"),"")</f>
        <v/>
      </c>
      <c r="AC77" s="239" t="str">
        <f>IF('CCUS Projects Database'!$V77&lt;&gt;"",HYPERLINK('CCUS Projects Database'!$V77,"Link 5"),"")</f>
        <v/>
      </c>
      <c r="AD77" s="239" t="str">
        <f>IF('CCUS Projects Database'!$W77&lt;&gt;"",HYPERLINK('CCUS Projects Database'!$W77,"Link 6"),"")</f>
        <v/>
      </c>
      <c r="AE77" s="239" t="str">
        <f>IF('CCUS Projects Database'!$X77&lt;&gt;"",HYPERLINK('CCUS Projects Database'!$X77,"Link 7"),"")</f>
        <v/>
      </c>
    </row>
    <row r="78" ht="14.25" customHeight="1">
      <c r="A78" s="233" t="s">
        <v>19059</v>
      </c>
      <c r="B78" s="234">
        <v>93.0</v>
      </c>
      <c r="C78" s="234" t="s">
        <v>98</v>
      </c>
      <c r="D78" s="235" t="s">
        <v>19057</v>
      </c>
      <c r="E78" s="234" t="s">
        <v>18625</v>
      </c>
      <c r="F78" s="234">
        <v>2020.0</v>
      </c>
      <c r="G78" s="234" t="s">
        <v>18725</v>
      </c>
      <c r="H78" s="234">
        <v>2029.0</v>
      </c>
      <c r="I78" s="234" t="s">
        <v>18725</v>
      </c>
      <c r="J78" s="234" t="s">
        <v>18636</v>
      </c>
      <c r="K78" s="236">
        <v>3.0</v>
      </c>
      <c r="L78" s="236">
        <v>0.184</v>
      </c>
      <c r="M78" s="236">
        <v>0.184</v>
      </c>
      <c r="N78" s="234" t="s">
        <v>18218</v>
      </c>
      <c r="O78" s="237" t="s">
        <v>18679</v>
      </c>
      <c r="P78" s="238" t="s">
        <v>18725</v>
      </c>
      <c r="Q78" s="234" t="s">
        <v>18726</v>
      </c>
      <c r="R78" s="238" t="s">
        <v>16910</v>
      </c>
      <c r="S78" s="238" t="s">
        <v>18725</v>
      </c>
      <c r="T78" s="238" t="s">
        <v>18725</v>
      </c>
      <c r="U78" s="238" t="s">
        <v>18725</v>
      </c>
      <c r="V78" s="238" t="s">
        <v>18725</v>
      </c>
      <c r="W78" s="238" t="s">
        <v>18725</v>
      </c>
      <c r="X78" s="238" t="s">
        <v>18725</v>
      </c>
      <c r="Y78" s="239" t="str">
        <f>IF('CCUS Projects Database'!$R78&lt;&gt;"",HYPERLINK('CCUS Projects Database'!$R78,"Link 1"),"")</f>
        <v>Link 1</v>
      </c>
      <c r="Z78" s="239" t="str">
        <f>IF('CCUS Projects Database'!$S78&lt;&gt;"",HYPERLINK('CCUS Projects Database'!$S78,"Link 2"),"")</f>
        <v/>
      </c>
      <c r="AA78" s="239" t="str">
        <f>IF('CCUS Projects Database'!$T78&lt;&gt;"",HYPERLINK('CCUS Projects Database'!$T78,"Link 3"),"")</f>
        <v/>
      </c>
      <c r="AB78" s="239" t="str">
        <f>IF('CCUS Projects Database'!$U78&lt;&gt;"",HYPERLINK('CCUS Projects Database'!$U78,"Link 4"),"")</f>
        <v/>
      </c>
      <c r="AC78" s="239" t="str">
        <f>IF('CCUS Projects Database'!$V78&lt;&gt;"",HYPERLINK('CCUS Projects Database'!$V78,"Link 5"),"")</f>
        <v/>
      </c>
      <c r="AD78" s="239" t="str">
        <f>IF('CCUS Projects Database'!$W78&lt;&gt;"",HYPERLINK('CCUS Projects Database'!$W78,"Link 6"),"")</f>
        <v/>
      </c>
      <c r="AE78" s="239" t="str">
        <f>IF('CCUS Projects Database'!$X78&lt;&gt;"",HYPERLINK('CCUS Projects Database'!$X78,"Link 7"),"")</f>
        <v/>
      </c>
    </row>
    <row r="79" ht="14.25" customHeight="1">
      <c r="A79" s="233" t="s">
        <v>19060</v>
      </c>
      <c r="B79" s="234">
        <v>94.0</v>
      </c>
      <c r="C79" s="234" t="s">
        <v>18264</v>
      </c>
      <c r="D79" s="235" t="s">
        <v>19061</v>
      </c>
      <c r="E79" s="234" t="s">
        <v>3</v>
      </c>
      <c r="F79" s="234">
        <v>2011.0</v>
      </c>
      <c r="G79" s="234">
        <v>2018.0</v>
      </c>
      <c r="H79" s="234">
        <v>2020.0</v>
      </c>
      <c r="I79" s="234" t="s">
        <v>18725</v>
      </c>
      <c r="J79" s="234" t="s">
        <v>12385</v>
      </c>
      <c r="K79" s="236" t="s">
        <v>18725</v>
      </c>
      <c r="L79" s="236">
        <v>1.5</v>
      </c>
      <c r="M79" s="236">
        <v>1.5</v>
      </c>
      <c r="N79" s="234" t="s">
        <v>3</v>
      </c>
      <c r="O79" s="237" t="s">
        <v>18677</v>
      </c>
      <c r="P79" s="238" t="s">
        <v>19062</v>
      </c>
      <c r="Q79" s="234" t="s">
        <v>18732</v>
      </c>
      <c r="R79" s="238" t="s">
        <v>19063</v>
      </c>
      <c r="S79" s="238" t="s">
        <v>19064</v>
      </c>
      <c r="T79" s="238" t="s">
        <v>18725</v>
      </c>
      <c r="U79" s="238" t="s">
        <v>18725</v>
      </c>
      <c r="V79" s="238" t="s">
        <v>18725</v>
      </c>
      <c r="W79" s="238" t="s">
        <v>18725</v>
      </c>
      <c r="X79" s="238" t="s">
        <v>18725</v>
      </c>
      <c r="Y79" s="239" t="str">
        <f>IF('CCUS Projects Database'!$R79&lt;&gt;"",HYPERLINK('CCUS Projects Database'!$R79,"Link 1"),"")</f>
        <v>Link 1</v>
      </c>
      <c r="Z79" s="239" t="str">
        <f>IF('CCUS Projects Database'!$S79&lt;&gt;"",HYPERLINK('CCUS Projects Database'!$S79,"Link 2"),"")</f>
        <v>Link 2</v>
      </c>
      <c r="AA79" s="239" t="str">
        <f>IF('CCUS Projects Database'!$T79&lt;&gt;"",HYPERLINK('CCUS Projects Database'!$T79,"Link 3"),"")</f>
        <v/>
      </c>
      <c r="AB79" s="239" t="str">
        <f>IF('CCUS Projects Database'!$U79&lt;&gt;"",HYPERLINK('CCUS Projects Database'!$U79,"Link 4"),"")</f>
        <v/>
      </c>
      <c r="AC79" s="239" t="str">
        <f>IF('CCUS Projects Database'!$V79&lt;&gt;"",HYPERLINK('CCUS Projects Database'!$V79,"Link 5"),"")</f>
        <v/>
      </c>
      <c r="AD79" s="239" t="str">
        <f>IF('CCUS Projects Database'!$W79&lt;&gt;"",HYPERLINK('CCUS Projects Database'!$W79,"Link 6"),"")</f>
        <v/>
      </c>
      <c r="AE79" s="239" t="str">
        <f>IF('CCUS Projects Database'!$X79&lt;&gt;"",HYPERLINK('CCUS Projects Database'!$X79,"Link 7"),"")</f>
        <v/>
      </c>
    </row>
    <row r="80" ht="14.25" customHeight="1">
      <c r="A80" s="233" t="s">
        <v>19065</v>
      </c>
      <c r="B80" s="234">
        <v>95.0</v>
      </c>
      <c r="C80" s="234" t="s">
        <v>18360</v>
      </c>
      <c r="D80" s="235" t="s">
        <v>19066</v>
      </c>
      <c r="E80" s="234" t="s">
        <v>18616</v>
      </c>
      <c r="F80" s="234">
        <v>2021.0</v>
      </c>
      <c r="G80" s="234">
        <v>2021.0</v>
      </c>
      <c r="H80" s="234">
        <v>2023.0</v>
      </c>
      <c r="I80" s="234" t="s">
        <v>18725</v>
      </c>
      <c r="J80" s="234" t="s">
        <v>12385</v>
      </c>
      <c r="K80" s="236" t="s">
        <v>18725</v>
      </c>
      <c r="L80" s="236">
        <v>0.3</v>
      </c>
      <c r="M80" s="236">
        <v>0.3</v>
      </c>
      <c r="N80" s="234" t="s">
        <v>18661</v>
      </c>
      <c r="O80" s="237" t="s">
        <v>18675</v>
      </c>
      <c r="P80" s="238" t="s">
        <v>18725</v>
      </c>
      <c r="Q80" s="234" t="s">
        <v>18856</v>
      </c>
      <c r="R80" s="238" t="s">
        <v>19067</v>
      </c>
      <c r="S80" s="238" t="s">
        <v>19068</v>
      </c>
      <c r="T80" s="238" t="s">
        <v>19069</v>
      </c>
      <c r="U80" s="238" t="s">
        <v>19070</v>
      </c>
      <c r="V80" s="238" t="s">
        <v>19071</v>
      </c>
      <c r="W80" s="238" t="s">
        <v>18725</v>
      </c>
      <c r="X80" s="238" t="s">
        <v>18725</v>
      </c>
      <c r="Y80" s="239" t="str">
        <f>IF('CCUS Projects Database'!$R80&lt;&gt;"",HYPERLINK('CCUS Projects Database'!$R80,"Link 1"),"")</f>
        <v>Link 1</v>
      </c>
      <c r="Z80" s="239" t="str">
        <f>IF('CCUS Projects Database'!$S80&lt;&gt;"",HYPERLINK('CCUS Projects Database'!$S80,"Link 2"),"")</f>
        <v>Link 2</v>
      </c>
      <c r="AA80" s="239" t="str">
        <f>IF('CCUS Projects Database'!$T80&lt;&gt;"",HYPERLINK('CCUS Projects Database'!$T80,"Link 3"),"")</f>
        <v>Link 3</v>
      </c>
      <c r="AB80" s="239" t="str">
        <f>IF('CCUS Projects Database'!$U80&lt;&gt;"",HYPERLINK('CCUS Projects Database'!$U80,"Link 4"),"")</f>
        <v>Link 4</v>
      </c>
      <c r="AC80" s="239" t="str">
        <f>IF('CCUS Projects Database'!$V80&lt;&gt;"",HYPERLINK('CCUS Projects Database'!$V80,"Link 5"),"")</f>
        <v>Link 5</v>
      </c>
      <c r="AD80" s="239" t="str">
        <f>IF('CCUS Projects Database'!$W80&lt;&gt;"",HYPERLINK('CCUS Projects Database'!$W80,"Link 6"),"")</f>
        <v/>
      </c>
      <c r="AE80" s="239" t="str">
        <f>IF('CCUS Projects Database'!$X80&lt;&gt;"",HYPERLINK('CCUS Projects Database'!$X80,"Link 7"),"")</f>
        <v/>
      </c>
    </row>
    <row r="81" ht="14.25" customHeight="1">
      <c r="A81" s="233" t="s">
        <v>19072</v>
      </c>
      <c r="B81" s="234">
        <v>96.0</v>
      </c>
      <c r="C81" s="234" t="s">
        <v>18360</v>
      </c>
      <c r="D81" s="235" t="s">
        <v>19073</v>
      </c>
      <c r="E81" s="234" t="s">
        <v>18623</v>
      </c>
      <c r="F81" s="234">
        <v>2019.0</v>
      </c>
      <c r="G81" s="234">
        <v>2025.0</v>
      </c>
      <c r="H81" s="234">
        <v>2026.0</v>
      </c>
      <c r="I81" s="234" t="s">
        <v>18725</v>
      </c>
      <c r="J81" s="234" t="s">
        <v>18636</v>
      </c>
      <c r="K81" s="236">
        <v>1.0</v>
      </c>
      <c r="L81" s="236">
        <v>1.0</v>
      </c>
      <c r="M81" s="236">
        <v>1.0</v>
      </c>
      <c r="N81" s="234" t="s">
        <v>18623</v>
      </c>
      <c r="O81" s="237" t="s">
        <v>18677</v>
      </c>
      <c r="P81" s="238" t="s">
        <v>19074</v>
      </c>
      <c r="Q81" s="234" t="s">
        <v>18856</v>
      </c>
      <c r="R81" s="238" t="s">
        <v>16696</v>
      </c>
      <c r="S81" s="238" t="s">
        <v>19034</v>
      </c>
      <c r="T81" s="238" t="s">
        <v>19075</v>
      </c>
      <c r="U81" s="238" t="s">
        <v>18725</v>
      </c>
      <c r="V81" s="238" t="s">
        <v>18725</v>
      </c>
      <c r="W81" s="238" t="s">
        <v>18725</v>
      </c>
      <c r="X81" s="238" t="s">
        <v>18725</v>
      </c>
      <c r="Y81" s="239" t="str">
        <f>IF('CCUS Projects Database'!$R81&lt;&gt;"",HYPERLINK('CCUS Projects Database'!$R81,"Link 1"),"")</f>
        <v>Link 1</v>
      </c>
      <c r="Z81" s="239" t="str">
        <f>IF('CCUS Projects Database'!$S81&lt;&gt;"",HYPERLINK('CCUS Projects Database'!$S81,"Link 2"),"")</f>
        <v>Link 2</v>
      </c>
      <c r="AA81" s="239" t="str">
        <f>IF('CCUS Projects Database'!$T81&lt;&gt;"",HYPERLINK('CCUS Projects Database'!$T81,"Link 3"),"")</f>
        <v>Link 3</v>
      </c>
      <c r="AB81" s="239" t="str">
        <f>IF('CCUS Projects Database'!$U81&lt;&gt;"",HYPERLINK('CCUS Projects Database'!$U81,"Link 4"),"")</f>
        <v/>
      </c>
      <c r="AC81" s="239" t="str">
        <f>IF('CCUS Projects Database'!$V81&lt;&gt;"",HYPERLINK('CCUS Projects Database'!$V81,"Link 5"),"")</f>
        <v/>
      </c>
      <c r="AD81" s="239" t="str">
        <f>IF('CCUS Projects Database'!$W81&lt;&gt;"",HYPERLINK('CCUS Projects Database'!$W81,"Link 6"),"")</f>
        <v/>
      </c>
      <c r="AE81" s="239" t="str">
        <f>IF('CCUS Projects Database'!$X81&lt;&gt;"",HYPERLINK('CCUS Projects Database'!$X81,"Link 7"),"")</f>
        <v/>
      </c>
    </row>
    <row r="82" ht="14.25" customHeight="1">
      <c r="A82" s="233" t="s">
        <v>19076</v>
      </c>
      <c r="B82" s="234">
        <v>97.0</v>
      </c>
      <c r="C82" s="234" t="s">
        <v>18360</v>
      </c>
      <c r="D82" s="235" t="s">
        <v>19073</v>
      </c>
      <c r="E82" s="234" t="s">
        <v>18623</v>
      </c>
      <c r="F82" s="234">
        <v>2019.0</v>
      </c>
      <c r="G82" s="234" t="s">
        <v>18725</v>
      </c>
      <c r="H82" s="234">
        <v>2030.0</v>
      </c>
      <c r="I82" s="234" t="s">
        <v>18725</v>
      </c>
      <c r="J82" s="234" t="s">
        <v>18636</v>
      </c>
      <c r="K82" s="236">
        <v>2.0</v>
      </c>
      <c r="L82" s="236">
        <v>2.0</v>
      </c>
      <c r="M82" s="236">
        <v>2.0</v>
      </c>
      <c r="N82" s="234" t="s">
        <v>18623</v>
      </c>
      <c r="O82" s="237" t="s">
        <v>18677</v>
      </c>
      <c r="P82" s="238" t="s">
        <v>19074</v>
      </c>
      <c r="Q82" s="234" t="s">
        <v>18856</v>
      </c>
      <c r="R82" s="238" t="s">
        <v>16696</v>
      </c>
      <c r="S82" s="238" t="s">
        <v>19034</v>
      </c>
      <c r="T82" s="238" t="s">
        <v>19075</v>
      </c>
      <c r="U82" s="238" t="s">
        <v>18725</v>
      </c>
      <c r="V82" s="238" t="s">
        <v>18725</v>
      </c>
      <c r="W82" s="238" t="s">
        <v>18725</v>
      </c>
      <c r="X82" s="238" t="s">
        <v>18725</v>
      </c>
      <c r="Y82" s="239" t="str">
        <f>IF('CCUS Projects Database'!$R82&lt;&gt;"",HYPERLINK('CCUS Projects Database'!$R82,"Link 1"),"")</f>
        <v>Link 1</v>
      </c>
      <c r="Z82" s="239" t="str">
        <f>IF('CCUS Projects Database'!$S82&lt;&gt;"",HYPERLINK('CCUS Projects Database'!$S82,"Link 2"),"")</f>
        <v>Link 2</v>
      </c>
      <c r="AA82" s="239" t="str">
        <f>IF('CCUS Projects Database'!$T82&lt;&gt;"",HYPERLINK('CCUS Projects Database'!$T82,"Link 3"),"")</f>
        <v>Link 3</v>
      </c>
      <c r="AB82" s="239" t="str">
        <f>IF('CCUS Projects Database'!$U82&lt;&gt;"",HYPERLINK('CCUS Projects Database'!$U82,"Link 4"),"")</f>
        <v/>
      </c>
      <c r="AC82" s="239" t="str">
        <f>IF('CCUS Projects Database'!$V82&lt;&gt;"",HYPERLINK('CCUS Projects Database'!$V82,"Link 5"),"")</f>
        <v/>
      </c>
      <c r="AD82" s="239" t="str">
        <f>IF('CCUS Projects Database'!$W82&lt;&gt;"",HYPERLINK('CCUS Projects Database'!$W82,"Link 6"),"")</f>
        <v/>
      </c>
      <c r="AE82" s="239" t="str">
        <f>IF('CCUS Projects Database'!$X82&lt;&gt;"",HYPERLINK('CCUS Projects Database'!$X82,"Link 7"),"")</f>
        <v/>
      </c>
    </row>
    <row r="83" ht="14.25" customHeight="1">
      <c r="A83" s="233" t="s">
        <v>19077</v>
      </c>
      <c r="B83" s="234">
        <v>99.0</v>
      </c>
      <c r="C83" s="234" t="s">
        <v>18360</v>
      </c>
      <c r="D83" s="235" t="s">
        <v>19073</v>
      </c>
      <c r="E83" s="234" t="s">
        <v>18618</v>
      </c>
      <c r="F83" s="234">
        <v>2019.0</v>
      </c>
      <c r="G83" s="234">
        <v>2025.0</v>
      </c>
      <c r="H83" s="234">
        <v>2026.0</v>
      </c>
      <c r="I83" s="234" t="s">
        <v>18725</v>
      </c>
      <c r="J83" s="234" t="s">
        <v>18636</v>
      </c>
      <c r="K83" s="236" t="s">
        <v>18725</v>
      </c>
      <c r="L83" s="236">
        <v>1.0</v>
      </c>
      <c r="M83" s="236">
        <v>1.0</v>
      </c>
      <c r="N83" s="234" t="s">
        <v>18661</v>
      </c>
      <c r="O83" s="237" t="s">
        <v>18677</v>
      </c>
      <c r="P83" s="238" t="s">
        <v>19074</v>
      </c>
      <c r="Q83" s="234" t="s">
        <v>18856</v>
      </c>
      <c r="R83" s="238" t="s">
        <v>16696</v>
      </c>
      <c r="S83" s="238" t="s">
        <v>19034</v>
      </c>
      <c r="T83" s="238" t="s">
        <v>18725</v>
      </c>
      <c r="U83" s="238" t="s">
        <v>18725</v>
      </c>
      <c r="V83" s="238" t="s">
        <v>18725</v>
      </c>
      <c r="W83" s="238" t="s">
        <v>18725</v>
      </c>
      <c r="X83" s="238" t="s">
        <v>18725</v>
      </c>
      <c r="Y83" s="239" t="str">
        <f>IF('CCUS Projects Database'!$R83&lt;&gt;"",HYPERLINK('CCUS Projects Database'!$R83,"Link 1"),"")</f>
        <v>Link 1</v>
      </c>
      <c r="Z83" s="239" t="str">
        <f>IF('CCUS Projects Database'!$S83&lt;&gt;"",HYPERLINK('CCUS Projects Database'!$S83,"Link 2"),"")</f>
        <v>Link 2</v>
      </c>
      <c r="AA83" s="239" t="str">
        <f>IF('CCUS Projects Database'!$T83&lt;&gt;"",HYPERLINK('CCUS Projects Database'!$T83,"Link 3"),"")</f>
        <v/>
      </c>
      <c r="AB83" s="239" t="str">
        <f>IF('CCUS Projects Database'!$U83&lt;&gt;"",HYPERLINK('CCUS Projects Database'!$U83,"Link 4"),"")</f>
        <v/>
      </c>
      <c r="AC83" s="239" t="str">
        <f>IF('CCUS Projects Database'!$V83&lt;&gt;"",HYPERLINK('CCUS Projects Database'!$V83,"Link 5"),"")</f>
        <v/>
      </c>
      <c r="AD83" s="239" t="str">
        <f>IF('CCUS Projects Database'!$W83&lt;&gt;"",HYPERLINK('CCUS Projects Database'!$W83,"Link 6"),"")</f>
        <v/>
      </c>
      <c r="AE83" s="239" t="str">
        <f>IF('CCUS Projects Database'!$X83&lt;&gt;"",HYPERLINK('CCUS Projects Database'!$X83,"Link 7"),"")</f>
        <v/>
      </c>
    </row>
    <row r="84" ht="14.25" customHeight="1">
      <c r="A84" s="233" t="s">
        <v>19078</v>
      </c>
      <c r="B84" s="234">
        <v>100.0</v>
      </c>
      <c r="C84" s="234" t="s">
        <v>18586</v>
      </c>
      <c r="D84" s="235" t="s">
        <v>19079</v>
      </c>
      <c r="E84" s="234" t="s">
        <v>18618</v>
      </c>
      <c r="F84" s="234">
        <v>2021.0</v>
      </c>
      <c r="G84" s="234">
        <v>2025.0</v>
      </c>
      <c r="H84" s="234" t="s">
        <v>18725</v>
      </c>
      <c r="I84" s="234" t="s">
        <v>18725</v>
      </c>
      <c r="J84" s="234" t="s">
        <v>18636</v>
      </c>
      <c r="K84" s="236" t="s">
        <v>18725</v>
      </c>
      <c r="L84" s="236" t="s">
        <v>18725</v>
      </c>
      <c r="M84" s="236" t="s">
        <v>18725</v>
      </c>
      <c r="N84" s="234" t="s">
        <v>18654</v>
      </c>
      <c r="O84" s="237" t="s">
        <v>18675</v>
      </c>
      <c r="P84" s="238" t="s">
        <v>19080</v>
      </c>
      <c r="Q84" s="234" t="s">
        <v>18732</v>
      </c>
      <c r="R84" s="238" t="s">
        <v>19081</v>
      </c>
      <c r="S84" s="238" t="s">
        <v>18725</v>
      </c>
      <c r="T84" s="238" t="s">
        <v>18725</v>
      </c>
      <c r="U84" s="238" t="s">
        <v>18725</v>
      </c>
      <c r="V84" s="238" t="s">
        <v>18725</v>
      </c>
      <c r="W84" s="238" t="s">
        <v>18725</v>
      </c>
      <c r="X84" s="238" t="s">
        <v>18725</v>
      </c>
      <c r="Y84" s="239" t="str">
        <f>IF('CCUS Projects Database'!$R84&lt;&gt;"",HYPERLINK('CCUS Projects Database'!$R84,"Link 1"),"")</f>
        <v>Link 1</v>
      </c>
      <c r="Z84" s="239" t="str">
        <f>IF('CCUS Projects Database'!$S84&lt;&gt;"",HYPERLINK('CCUS Projects Database'!$S84,"Link 2"),"")</f>
        <v/>
      </c>
      <c r="AA84" s="239" t="str">
        <f>IF('CCUS Projects Database'!$T84&lt;&gt;"",HYPERLINK('CCUS Projects Database'!$T84,"Link 3"),"")</f>
        <v/>
      </c>
      <c r="AB84" s="239" t="str">
        <f>IF('CCUS Projects Database'!$U84&lt;&gt;"",HYPERLINK('CCUS Projects Database'!$U84,"Link 4"),"")</f>
        <v/>
      </c>
      <c r="AC84" s="239" t="str">
        <f>IF('CCUS Projects Database'!$V84&lt;&gt;"",HYPERLINK('CCUS Projects Database'!$V84,"Link 5"),"")</f>
        <v/>
      </c>
      <c r="AD84" s="239" t="str">
        <f>IF('CCUS Projects Database'!$W84&lt;&gt;"",HYPERLINK('CCUS Projects Database'!$W84,"Link 6"),"")</f>
        <v/>
      </c>
      <c r="AE84" s="239" t="str">
        <f>IF('CCUS Projects Database'!$X84&lt;&gt;"",HYPERLINK('CCUS Projects Database'!$X84,"Link 7"),"")</f>
        <v/>
      </c>
    </row>
    <row r="85" ht="14.25" customHeight="1">
      <c r="A85" s="233" t="s">
        <v>19082</v>
      </c>
      <c r="B85" s="234">
        <v>101.0</v>
      </c>
      <c r="C85" s="234" t="s">
        <v>98</v>
      </c>
      <c r="D85" s="235" t="s">
        <v>19083</v>
      </c>
      <c r="E85" s="234" t="s">
        <v>18625</v>
      </c>
      <c r="F85" s="234">
        <v>2017.0</v>
      </c>
      <c r="G85" s="234">
        <v>2025.0</v>
      </c>
      <c r="H85" s="234" t="s">
        <v>18725</v>
      </c>
      <c r="I85" s="234" t="s">
        <v>18725</v>
      </c>
      <c r="J85" s="234" t="s">
        <v>18636</v>
      </c>
      <c r="K85" s="236" t="s">
        <v>18725</v>
      </c>
      <c r="L85" s="236">
        <v>0.3</v>
      </c>
      <c r="M85" s="236">
        <v>0.3</v>
      </c>
      <c r="N85" s="234" t="s">
        <v>18665</v>
      </c>
      <c r="O85" s="237" t="s">
        <v>18679</v>
      </c>
      <c r="P85" s="238" t="s">
        <v>18725</v>
      </c>
      <c r="Q85" s="234" t="s">
        <v>18726</v>
      </c>
      <c r="R85" s="238" t="s">
        <v>19084</v>
      </c>
      <c r="S85" s="238" t="s">
        <v>19085</v>
      </c>
      <c r="T85" s="238" t="s">
        <v>18725</v>
      </c>
      <c r="U85" s="238" t="s">
        <v>18725</v>
      </c>
      <c r="V85" s="238" t="s">
        <v>18725</v>
      </c>
      <c r="W85" s="238" t="s">
        <v>18725</v>
      </c>
      <c r="X85" s="238" t="s">
        <v>18725</v>
      </c>
      <c r="Y85" s="239" t="str">
        <f>IF('CCUS Projects Database'!$R85&lt;&gt;"",HYPERLINK('CCUS Projects Database'!$R85,"Link 1"),"")</f>
        <v>Link 1</v>
      </c>
      <c r="Z85" s="239" t="str">
        <f>IF('CCUS Projects Database'!$S85&lt;&gt;"",HYPERLINK('CCUS Projects Database'!$S85,"Link 2"),"")</f>
        <v>Link 2</v>
      </c>
      <c r="AA85" s="239" t="str">
        <f>IF('CCUS Projects Database'!$T85&lt;&gt;"",HYPERLINK('CCUS Projects Database'!$T85,"Link 3"),"")</f>
        <v/>
      </c>
      <c r="AB85" s="239" t="str">
        <f>IF('CCUS Projects Database'!$U85&lt;&gt;"",HYPERLINK('CCUS Projects Database'!$U85,"Link 4"),"")</f>
        <v/>
      </c>
      <c r="AC85" s="239" t="str">
        <f>IF('CCUS Projects Database'!$V85&lt;&gt;"",HYPERLINK('CCUS Projects Database'!$V85,"Link 5"),"")</f>
        <v/>
      </c>
      <c r="AD85" s="239" t="str">
        <f>IF('CCUS Projects Database'!$W85&lt;&gt;"",HYPERLINK('CCUS Projects Database'!$W85,"Link 6"),"")</f>
        <v/>
      </c>
      <c r="AE85" s="239" t="str">
        <f>IF('CCUS Projects Database'!$X85&lt;&gt;"",HYPERLINK('CCUS Projects Database'!$X85,"Link 7"),"")</f>
        <v/>
      </c>
    </row>
    <row r="86" ht="14.25" customHeight="1">
      <c r="A86" s="233" t="s">
        <v>19086</v>
      </c>
      <c r="B86" s="234">
        <v>102.0</v>
      </c>
      <c r="C86" s="234" t="s">
        <v>19087</v>
      </c>
      <c r="D86" s="235" t="s">
        <v>19088</v>
      </c>
      <c r="E86" s="234" t="s">
        <v>18623</v>
      </c>
      <c r="F86" s="234">
        <v>2021.0</v>
      </c>
      <c r="G86" s="234">
        <v>2025.0</v>
      </c>
      <c r="H86" s="234">
        <v>2028.0</v>
      </c>
      <c r="I86" s="234" t="s">
        <v>18725</v>
      </c>
      <c r="J86" s="234" t="s">
        <v>18636</v>
      </c>
      <c r="K86" s="236">
        <v>1.0</v>
      </c>
      <c r="L86" s="236">
        <v>0.7</v>
      </c>
      <c r="M86" s="236">
        <v>0.7</v>
      </c>
      <c r="N86" s="234" t="s">
        <v>18623</v>
      </c>
      <c r="O86" s="237" t="s">
        <v>18675</v>
      </c>
      <c r="P86" s="238" t="s">
        <v>19089</v>
      </c>
      <c r="Q86" s="234" t="s">
        <v>18726</v>
      </c>
      <c r="R86" s="238" t="s">
        <v>19090</v>
      </c>
      <c r="S86" s="238" t="s">
        <v>19091</v>
      </c>
      <c r="T86" s="238" t="s">
        <v>19092</v>
      </c>
      <c r="U86" s="238" t="s">
        <v>18725</v>
      </c>
      <c r="V86" s="238" t="s">
        <v>18725</v>
      </c>
      <c r="W86" s="238" t="s">
        <v>18725</v>
      </c>
      <c r="X86" s="238" t="s">
        <v>18725</v>
      </c>
      <c r="Y86" s="239" t="str">
        <f>IF('CCUS Projects Database'!$R86&lt;&gt;"",HYPERLINK('CCUS Projects Database'!$R86,"Link 1"),"")</f>
        <v>Link 1</v>
      </c>
      <c r="Z86" s="239" t="str">
        <f>IF('CCUS Projects Database'!$S86&lt;&gt;"",HYPERLINK('CCUS Projects Database'!$S86,"Link 2"),"")</f>
        <v>Link 2</v>
      </c>
      <c r="AA86" s="239" t="str">
        <f>IF('CCUS Projects Database'!$T86&lt;&gt;"",HYPERLINK('CCUS Projects Database'!$T86,"Link 3"),"")</f>
        <v>Link 3</v>
      </c>
      <c r="AB86" s="239" t="str">
        <f>IF('CCUS Projects Database'!$U86&lt;&gt;"",HYPERLINK('CCUS Projects Database'!$U86,"Link 4"),"")</f>
        <v/>
      </c>
      <c r="AC86" s="239" t="str">
        <f>IF('CCUS Projects Database'!$V86&lt;&gt;"",HYPERLINK('CCUS Projects Database'!$V86,"Link 5"),"")</f>
        <v/>
      </c>
      <c r="AD86" s="239" t="str">
        <f>IF('CCUS Projects Database'!$W86&lt;&gt;"",HYPERLINK('CCUS Projects Database'!$W86,"Link 6"),"")</f>
        <v/>
      </c>
      <c r="AE86" s="239" t="str">
        <f>IF('CCUS Projects Database'!$X86&lt;&gt;"",HYPERLINK('CCUS Projects Database'!$X86,"Link 7"),"")</f>
        <v/>
      </c>
    </row>
    <row r="87" ht="14.25" customHeight="1">
      <c r="A87" s="233" t="s">
        <v>19093</v>
      </c>
      <c r="B87" s="234">
        <v>103.0</v>
      </c>
      <c r="C87" s="234" t="s">
        <v>19087</v>
      </c>
      <c r="D87" s="235" t="s">
        <v>19088</v>
      </c>
      <c r="E87" s="234" t="s">
        <v>18623</v>
      </c>
      <c r="F87" s="234">
        <v>2021.0</v>
      </c>
      <c r="G87" s="234" t="s">
        <v>18725</v>
      </c>
      <c r="H87" s="234">
        <v>2030.0</v>
      </c>
      <c r="I87" s="234" t="s">
        <v>18725</v>
      </c>
      <c r="J87" s="234" t="s">
        <v>18636</v>
      </c>
      <c r="K87" s="236">
        <v>2.0</v>
      </c>
      <c r="L87" s="236">
        <v>0.7</v>
      </c>
      <c r="M87" s="236">
        <v>0.7</v>
      </c>
      <c r="N87" s="234" t="s">
        <v>18623</v>
      </c>
      <c r="O87" s="237" t="s">
        <v>18675</v>
      </c>
      <c r="P87" s="238" t="s">
        <v>19089</v>
      </c>
      <c r="Q87" s="234" t="s">
        <v>18726</v>
      </c>
      <c r="R87" s="238" t="s">
        <v>19090</v>
      </c>
      <c r="S87" s="238" t="s">
        <v>19091</v>
      </c>
      <c r="T87" s="238" t="s">
        <v>19092</v>
      </c>
      <c r="U87" s="238" t="s">
        <v>18725</v>
      </c>
      <c r="V87" s="238" t="s">
        <v>18725</v>
      </c>
      <c r="W87" s="238" t="s">
        <v>18725</v>
      </c>
      <c r="X87" s="238" t="s">
        <v>18725</v>
      </c>
      <c r="Y87" s="239" t="str">
        <f>IF('CCUS Projects Database'!$R87&lt;&gt;"",HYPERLINK('CCUS Projects Database'!$R87,"Link 1"),"")</f>
        <v>Link 1</v>
      </c>
      <c r="Z87" s="239" t="str">
        <f>IF('CCUS Projects Database'!$S87&lt;&gt;"",HYPERLINK('CCUS Projects Database'!$S87,"Link 2"),"")</f>
        <v>Link 2</v>
      </c>
      <c r="AA87" s="239" t="str">
        <f>IF('CCUS Projects Database'!$T87&lt;&gt;"",HYPERLINK('CCUS Projects Database'!$T87,"Link 3"),"")</f>
        <v>Link 3</v>
      </c>
      <c r="AB87" s="239" t="str">
        <f>IF('CCUS Projects Database'!$U87&lt;&gt;"",HYPERLINK('CCUS Projects Database'!$U87,"Link 4"),"")</f>
        <v/>
      </c>
      <c r="AC87" s="239" t="str">
        <f>IF('CCUS Projects Database'!$V87&lt;&gt;"",HYPERLINK('CCUS Projects Database'!$V87,"Link 5"),"")</f>
        <v/>
      </c>
      <c r="AD87" s="239" t="str">
        <f>IF('CCUS Projects Database'!$W87&lt;&gt;"",HYPERLINK('CCUS Projects Database'!$W87,"Link 6"),"")</f>
        <v/>
      </c>
      <c r="AE87" s="239" t="str">
        <f>IF('CCUS Projects Database'!$X87&lt;&gt;"",HYPERLINK('CCUS Projects Database'!$X87,"Link 7"),"")</f>
        <v/>
      </c>
    </row>
    <row r="88" ht="14.25" customHeight="1">
      <c r="A88" s="233" t="s">
        <v>19094</v>
      </c>
      <c r="B88" s="234">
        <v>104.0</v>
      </c>
      <c r="C88" s="234" t="s">
        <v>19087</v>
      </c>
      <c r="D88" s="235" t="s">
        <v>19088</v>
      </c>
      <c r="E88" s="234" t="s">
        <v>18623</v>
      </c>
      <c r="F88" s="234">
        <v>2021.0</v>
      </c>
      <c r="G88" s="234" t="s">
        <v>18725</v>
      </c>
      <c r="H88" s="234">
        <v>2032.0</v>
      </c>
      <c r="I88" s="234" t="s">
        <v>18725</v>
      </c>
      <c r="J88" s="234" t="s">
        <v>18636</v>
      </c>
      <c r="K88" s="236">
        <v>3.0</v>
      </c>
      <c r="L88" s="236">
        <v>1.6</v>
      </c>
      <c r="M88" s="236">
        <v>1.6</v>
      </c>
      <c r="N88" s="234" t="s">
        <v>18623</v>
      </c>
      <c r="O88" s="237" t="s">
        <v>18675</v>
      </c>
      <c r="P88" s="238" t="s">
        <v>19089</v>
      </c>
      <c r="Q88" s="234" t="s">
        <v>18726</v>
      </c>
      <c r="R88" s="238" t="s">
        <v>19090</v>
      </c>
      <c r="S88" s="238" t="s">
        <v>19091</v>
      </c>
      <c r="T88" s="238" t="s">
        <v>19092</v>
      </c>
      <c r="U88" s="238" t="s">
        <v>18725</v>
      </c>
      <c r="V88" s="238" t="s">
        <v>18725</v>
      </c>
      <c r="W88" s="238" t="s">
        <v>18725</v>
      </c>
      <c r="X88" s="238" t="s">
        <v>18725</v>
      </c>
      <c r="Y88" s="239" t="str">
        <f>IF('CCUS Projects Database'!$R88&lt;&gt;"",HYPERLINK('CCUS Projects Database'!$R88,"Link 1"),"")</f>
        <v>Link 1</v>
      </c>
      <c r="Z88" s="239" t="str">
        <f>IF('CCUS Projects Database'!$S88&lt;&gt;"",HYPERLINK('CCUS Projects Database'!$S88,"Link 2"),"")</f>
        <v>Link 2</v>
      </c>
      <c r="AA88" s="239" t="str">
        <f>IF('CCUS Projects Database'!$T88&lt;&gt;"",HYPERLINK('CCUS Projects Database'!$T88,"Link 3"),"")</f>
        <v>Link 3</v>
      </c>
      <c r="AB88" s="239" t="str">
        <f>IF('CCUS Projects Database'!$U88&lt;&gt;"",HYPERLINK('CCUS Projects Database'!$U88,"Link 4"),"")</f>
        <v/>
      </c>
      <c r="AC88" s="239" t="str">
        <f>IF('CCUS Projects Database'!$V88&lt;&gt;"",HYPERLINK('CCUS Projects Database'!$V88,"Link 5"),"")</f>
        <v/>
      </c>
      <c r="AD88" s="239" t="str">
        <f>IF('CCUS Projects Database'!$W88&lt;&gt;"",HYPERLINK('CCUS Projects Database'!$W88,"Link 6"),"")</f>
        <v/>
      </c>
      <c r="AE88" s="239" t="str">
        <f>IF('CCUS Projects Database'!$X88&lt;&gt;"",HYPERLINK('CCUS Projects Database'!$X88,"Link 7"),"")</f>
        <v/>
      </c>
    </row>
    <row r="89" ht="14.25" customHeight="1">
      <c r="A89" s="233" t="s">
        <v>19095</v>
      </c>
      <c r="B89" s="234">
        <v>105.0</v>
      </c>
      <c r="C89" s="234" t="s">
        <v>18586</v>
      </c>
      <c r="D89" s="235" t="s">
        <v>19096</v>
      </c>
      <c r="E89" s="234" t="s">
        <v>18616</v>
      </c>
      <c r="F89" s="234">
        <v>2011.0</v>
      </c>
      <c r="G89" s="234">
        <v>2011.0</v>
      </c>
      <c r="H89" s="234">
        <v>2013.0</v>
      </c>
      <c r="I89" s="234" t="s">
        <v>18725</v>
      </c>
      <c r="J89" s="234" t="s">
        <v>12385</v>
      </c>
      <c r="K89" s="236" t="s">
        <v>18725</v>
      </c>
      <c r="L89" s="236" t="s">
        <v>19097</v>
      </c>
      <c r="M89" s="236">
        <v>0.9</v>
      </c>
      <c r="N89" s="234" t="s">
        <v>677</v>
      </c>
      <c r="O89" s="237" t="s">
        <v>18677</v>
      </c>
      <c r="P89" s="238" t="s">
        <v>18725</v>
      </c>
      <c r="Q89" s="234" t="s">
        <v>18732</v>
      </c>
      <c r="R89" s="238" t="s">
        <v>19098</v>
      </c>
      <c r="S89" s="238" t="s">
        <v>19099</v>
      </c>
      <c r="T89" s="238" t="s">
        <v>19100</v>
      </c>
      <c r="U89" s="238" t="s">
        <v>19101</v>
      </c>
      <c r="V89" s="238" t="s">
        <v>18725</v>
      </c>
      <c r="W89" s="238" t="s">
        <v>18725</v>
      </c>
      <c r="X89" s="238" t="s">
        <v>18725</v>
      </c>
      <c r="Y89" s="239" t="str">
        <f>IF('CCUS Projects Database'!$R89&lt;&gt;"",HYPERLINK('CCUS Projects Database'!$R89,"Link 1"),"")</f>
        <v>Link 1</v>
      </c>
      <c r="Z89" s="239" t="str">
        <f>IF('CCUS Projects Database'!$S89&lt;&gt;"",HYPERLINK('CCUS Projects Database'!$S89,"Link 2"),"")</f>
        <v>Link 2</v>
      </c>
      <c r="AA89" s="239" t="str">
        <f>IF('CCUS Projects Database'!$T89&lt;&gt;"",HYPERLINK('CCUS Projects Database'!$T89,"Link 3"),"")</f>
        <v>Link 3</v>
      </c>
      <c r="AB89" s="239" t="str">
        <f>IF('CCUS Projects Database'!$U89&lt;&gt;"",HYPERLINK('CCUS Projects Database'!$U89,"Link 4"),"")</f>
        <v>Link 4</v>
      </c>
      <c r="AC89" s="239" t="str">
        <f>IF('CCUS Projects Database'!$V89&lt;&gt;"",HYPERLINK('CCUS Projects Database'!$V89,"Link 5"),"")</f>
        <v/>
      </c>
      <c r="AD89" s="239" t="str">
        <f>IF('CCUS Projects Database'!$W89&lt;&gt;"",HYPERLINK('CCUS Projects Database'!$W89,"Link 6"),"")</f>
        <v/>
      </c>
      <c r="AE89" s="239" t="str">
        <f>IF('CCUS Projects Database'!$X89&lt;&gt;"",HYPERLINK('CCUS Projects Database'!$X89,"Link 7"),"")</f>
        <v/>
      </c>
    </row>
    <row r="90" ht="14.25" customHeight="1">
      <c r="A90" s="233" t="s">
        <v>19102</v>
      </c>
      <c r="B90" s="234">
        <v>106.0</v>
      </c>
      <c r="C90" s="234" t="s">
        <v>18586</v>
      </c>
      <c r="D90" s="235" t="s">
        <v>19103</v>
      </c>
      <c r="E90" s="234" t="s">
        <v>18616</v>
      </c>
      <c r="F90" s="234" t="s">
        <v>18725</v>
      </c>
      <c r="G90" s="234" t="s">
        <v>18725</v>
      </c>
      <c r="H90" s="234">
        <v>2003.0</v>
      </c>
      <c r="I90" s="234" t="s">
        <v>18725</v>
      </c>
      <c r="J90" s="234" t="s">
        <v>12385</v>
      </c>
      <c r="K90" s="236" t="s">
        <v>18725</v>
      </c>
      <c r="L90" s="236">
        <v>0.35</v>
      </c>
      <c r="M90" s="236">
        <v>0.35</v>
      </c>
      <c r="N90" s="234" t="s">
        <v>18656</v>
      </c>
      <c r="O90" s="237" t="s">
        <v>18677</v>
      </c>
      <c r="P90" s="238" t="s">
        <v>18725</v>
      </c>
      <c r="Q90" s="234" t="s">
        <v>18732</v>
      </c>
      <c r="R90" s="238" t="s">
        <v>19104</v>
      </c>
      <c r="S90" s="238" t="s">
        <v>19105</v>
      </c>
      <c r="T90" s="238" t="s">
        <v>18725</v>
      </c>
      <c r="U90" s="238" t="s">
        <v>18725</v>
      </c>
      <c r="V90" s="238" t="s">
        <v>18725</v>
      </c>
      <c r="W90" s="238" t="s">
        <v>18725</v>
      </c>
      <c r="X90" s="238" t="s">
        <v>18725</v>
      </c>
      <c r="Y90" s="239" t="str">
        <f>IF('CCUS Projects Database'!$R90&lt;&gt;"",HYPERLINK('CCUS Projects Database'!$R90,"Link 1"),"")</f>
        <v>Link 1</v>
      </c>
      <c r="Z90" s="239" t="str">
        <f>IF('CCUS Projects Database'!$S90&lt;&gt;"",HYPERLINK('CCUS Projects Database'!$S90,"Link 2"),"")</f>
        <v>Link 2</v>
      </c>
      <c r="AA90" s="239" t="str">
        <f>IF('CCUS Projects Database'!$T90&lt;&gt;"",HYPERLINK('CCUS Projects Database'!$T90,"Link 3"),"")</f>
        <v/>
      </c>
      <c r="AB90" s="239" t="str">
        <f>IF('CCUS Projects Database'!$U90&lt;&gt;"",HYPERLINK('CCUS Projects Database'!$U90,"Link 4"),"")</f>
        <v/>
      </c>
      <c r="AC90" s="239" t="str">
        <f>IF('CCUS Projects Database'!$V90&lt;&gt;"",HYPERLINK('CCUS Projects Database'!$V90,"Link 5"),"")</f>
        <v/>
      </c>
      <c r="AD90" s="239" t="str">
        <f>IF('CCUS Projects Database'!$W90&lt;&gt;"",HYPERLINK('CCUS Projects Database'!$W90,"Link 6"),"")</f>
        <v/>
      </c>
      <c r="AE90" s="239" t="str">
        <f>IF('CCUS Projects Database'!$X90&lt;&gt;"",HYPERLINK('CCUS Projects Database'!$X90,"Link 7"),"")</f>
        <v/>
      </c>
    </row>
    <row r="91" ht="14.25" customHeight="1">
      <c r="A91" s="233" t="s">
        <v>19106</v>
      </c>
      <c r="B91" s="234">
        <v>107.0</v>
      </c>
      <c r="C91" s="234" t="s">
        <v>18586</v>
      </c>
      <c r="D91" s="235" t="s">
        <v>19107</v>
      </c>
      <c r="E91" s="234" t="s">
        <v>18618</v>
      </c>
      <c r="F91" s="234">
        <v>2021.0</v>
      </c>
      <c r="G91" s="234">
        <v>2026.0</v>
      </c>
      <c r="H91" s="234">
        <v>2028.0</v>
      </c>
      <c r="I91" s="234" t="s">
        <v>18725</v>
      </c>
      <c r="J91" s="234" t="s">
        <v>18636</v>
      </c>
      <c r="K91" s="236" t="s">
        <v>18725</v>
      </c>
      <c r="L91" s="236" t="s">
        <v>19108</v>
      </c>
      <c r="M91" s="236">
        <v>0.215</v>
      </c>
      <c r="N91" s="234" t="s">
        <v>12270</v>
      </c>
      <c r="O91" s="237" t="s">
        <v>18675</v>
      </c>
      <c r="P91" s="238" t="s">
        <v>18966</v>
      </c>
      <c r="Q91" s="234" t="s">
        <v>18732</v>
      </c>
      <c r="R91" s="238" t="s">
        <v>19109</v>
      </c>
      <c r="S91" s="238" t="s">
        <v>19110</v>
      </c>
      <c r="T91" s="238" t="s">
        <v>19111</v>
      </c>
      <c r="U91" s="238" t="s">
        <v>18725</v>
      </c>
      <c r="V91" s="238" t="s">
        <v>18725</v>
      </c>
      <c r="W91" s="238" t="s">
        <v>18725</v>
      </c>
      <c r="X91" s="238" t="s">
        <v>18725</v>
      </c>
      <c r="Y91" s="239" t="str">
        <f>IF('CCUS Projects Database'!$R91&lt;&gt;"",HYPERLINK('CCUS Projects Database'!$R91,"Link 1"),"")</f>
        <v>Link 1</v>
      </c>
      <c r="Z91" s="239" t="str">
        <f>IF('CCUS Projects Database'!$S91&lt;&gt;"",HYPERLINK('CCUS Projects Database'!$S91,"Link 2"),"")</f>
        <v>Link 2</v>
      </c>
      <c r="AA91" s="239" t="str">
        <f>IF('CCUS Projects Database'!$T91&lt;&gt;"",HYPERLINK('CCUS Projects Database'!$T91,"Link 3"),"")</f>
        <v>Link 3</v>
      </c>
      <c r="AB91" s="239" t="str">
        <f>IF('CCUS Projects Database'!$U91&lt;&gt;"",HYPERLINK('CCUS Projects Database'!$U91,"Link 4"),"")</f>
        <v/>
      </c>
      <c r="AC91" s="239" t="str">
        <f>IF('CCUS Projects Database'!$V91&lt;&gt;"",HYPERLINK('CCUS Projects Database'!$V91,"Link 5"),"")</f>
        <v/>
      </c>
      <c r="AD91" s="239" t="str">
        <f>IF('CCUS Projects Database'!$W91&lt;&gt;"",HYPERLINK('CCUS Projects Database'!$W91,"Link 6"),"")</f>
        <v/>
      </c>
      <c r="AE91" s="239" t="str">
        <f>IF('CCUS Projects Database'!$X91&lt;&gt;"",HYPERLINK('CCUS Projects Database'!$X91,"Link 7"),"")</f>
        <v/>
      </c>
    </row>
    <row r="92" ht="14.25" customHeight="1">
      <c r="A92" s="233" t="s">
        <v>19112</v>
      </c>
      <c r="B92" s="234">
        <v>110.0</v>
      </c>
      <c r="C92" s="234" t="s">
        <v>83</v>
      </c>
      <c r="D92" s="235" t="s">
        <v>19113</v>
      </c>
      <c r="E92" s="234" t="s">
        <v>18616</v>
      </c>
      <c r="F92" s="234">
        <v>2021.0</v>
      </c>
      <c r="G92" s="234" t="s">
        <v>18725</v>
      </c>
      <c r="H92" s="234">
        <v>2030.0</v>
      </c>
      <c r="I92" s="234" t="s">
        <v>18725</v>
      </c>
      <c r="J92" s="234" t="s">
        <v>18636</v>
      </c>
      <c r="K92" s="236" t="s">
        <v>18725</v>
      </c>
      <c r="L92" s="236" t="s">
        <v>19114</v>
      </c>
      <c r="M92" s="236">
        <v>1.3</v>
      </c>
      <c r="N92" s="234" t="s">
        <v>18654</v>
      </c>
      <c r="O92" s="237" t="s">
        <v>18675</v>
      </c>
      <c r="P92" s="238" t="s">
        <v>19115</v>
      </c>
      <c r="Q92" s="234" t="s">
        <v>18726</v>
      </c>
      <c r="R92" s="238" t="s">
        <v>19116</v>
      </c>
      <c r="S92" s="238" t="s">
        <v>19117</v>
      </c>
      <c r="T92" s="238" t="s">
        <v>19118</v>
      </c>
      <c r="U92" s="238" t="s">
        <v>19119</v>
      </c>
      <c r="V92" s="238" t="s">
        <v>19119</v>
      </c>
      <c r="W92" s="238" t="s">
        <v>19120</v>
      </c>
      <c r="X92" s="238" t="s">
        <v>18725</v>
      </c>
      <c r="Y92" s="239" t="str">
        <f>IF('CCUS Projects Database'!$R92&lt;&gt;"",HYPERLINK('CCUS Projects Database'!$R92,"Link 1"),"")</f>
        <v>Link 1</v>
      </c>
      <c r="Z92" s="239" t="str">
        <f>IF('CCUS Projects Database'!$S92&lt;&gt;"",HYPERLINK('CCUS Projects Database'!$S92,"Link 2"),"")</f>
        <v>Link 2</v>
      </c>
      <c r="AA92" s="239" t="str">
        <f>IF('CCUS Projects Database'!$T92&lt;&gt;"",HYPERLINK('CCUS Projects Database'!$T92,"Link 3"),"")</f>
        <v>Link 3</v>
      </c>
      <c r="AB92" s="239" t="str">
        <f>IF('CCUS Projects Database'!$U92&lt;&gt;"",HYPERLINK('CCUS Projects Database'!$U92,"Link 4"),"")</f>
        <v>Link 4</v>
      </c>
      <c r="AC92" s="239" t="str">
        <f>IF('CCUS Projects Database'!$V92&lt;&gt;"",HYPERLINK('CCUS Projects Database'!$V92,"Link 5"),"")</f>
        <v>Link 5</v>
      </c>
      <c r="AD92" s="239" t="str">
        <f>IF('CCUS Projects Database'!$W92&lt;&gt;"",HYPERLINK('CCUS Projects Database'!$W92,"Link 6"),"")</f>
        <v>Link 6</v>
      </c>
      <c r="AE92" s="239" t="str">
        <f>IF('CCUS Projects Database'!$X92&lt;&gt;"",HYPERLINK('CCUS Projects Database'!$X92,"Link 7"),"")</f>
        <v/>
      </c>
    </row>
    <row r="93" ht="14.25" customHeight="1">
      <c r="A93" s="233" t="s">
        <v>19121</v>
      </c>
      <c r="B93" s="234">
        <v>111.0</v>
      </c>
      <c r="C93" s="234" t="s">
        <v>18586</v>
      </c>
      <c r="D93" s="235" t="s">
        <v>19122</v>
      </c>
      <c r="E93" s="234" t="s">
        <v>18616</v>
      </c>
      <c r="F93" s="234">
        <v>2021.0</v>
      </c>
      <c r="G93" s="234">
        <v>2025.0</v>
      </c>
      <c r="H93" s="234">
        <v>2026.0</v>
      </c>
      <c r="I93" s="234" t="s">
        <v>18725</v>
      </c>
      <c r="J93" s="234" t="s">
        <v>18636</v>
      </c>
      <c r="K93" s="236" t="s">
        <v>18725</v>
      </c>
      <c r="L93" s="236">
        <v>0.865</v>
      </c>
      <c r="M93" s="236">
        <v>0.865</v>
      </c>
      <c r="N93" s="234" t="s">
        <v>18654</v>
      </c>
      <c r="O93" s="237" t="s">
        <v>18683</v>
      </c>
      <c r="P93" s="238" t="s">
        <v>18725</v>
      </c>
      <c r="Q93" s="234" t="s">
        <v>18732</v>
      </c>
      <c r="R93" s="238" t="s">
        <v>19123</v>
      </c>
      <c r="S93" s="238" t="s">
        <v>18725</v>
      </c>
      <c r="T93" s="238" t="s">
        <v>18725</v>
      </c>
      <c r="U93" s="238" t="s">
        <v>18725</v>
      </c>
      <c r="V93" s="238" t="s">
        <v>18725</v>
      </c>
      <c r="W93" s="238" t="s">
        <v>18725</v>
      </c>
      <c r="X93" s="238" t="s">
        <v>18725</v>
      </c>
      <c r="Y93" s="239" t="str">
        <f>IF('CCUS Projects Database'!$R93&lt;&gt;"",HYPERLINK('CCUS Projects Database'!$R93,"Link 1"),"")</f>
        <v>Link 1</v>
      </c>
      <c r="Z93" s="239" t="str">
        <f>IF('CCUS Projects Database'!$S93&lt;&gt;"",HYPERLINK('CCUS Projects Database'!$S93,"Link 2"),"")</f>
        <v/>
      </c>
      <c r="AA93" s="239" t="str">
        <f>IF('CCUS Projects Database'!$T93&lt;&gt;"",HYPERLINK('CCUS Projects Database'!$T93,"Link 3"),"")</f>
        <v/>
      </c>
      <c r="AB93" s="239" t="str">
        <f>IF('CCUS Projects Database'!$U93&lt;&gt;"",HYPERLINK('CCUS Projects Database'!$U93,"Link 4"),"")</f>
        <v/>
      </c>
      <c r="AC93" s="239" t="str">
        <f>IF('CCUS Projects Database'!$V93&lt;&gt;"",HYPERLINK('CCUS Projects Database'!$V93,"Link 5"),"")</f>
        <v/>
      </c>
      <c r="AD93" s="239" t="str">
        <f>IF('CCUS Projects Database'!$W93&lt;&gt;"",HYPERLINK('CCUS Projects Database'!$W93,"Link 6"),"")</f>
        <v/>
      </c>
      <c r="AE93" s="239" t="str">
        <f>IF('CCUS Projects Database'!$X93&lt;&gt;"",HYPERLINK('CCUS Projects Database'!$X93,"Link 7"),"")</f>
        <v/>
      </c>
    </row>
    <row r="94" ht="14.25" customHeight="1">
      <c r="A94" s="233" t="s">
        <v>19124</v>
      </c>
      <c r="B94" s="234">
        <v>112.0</v>
      </c>
      <c r="C94" s="234" t="s">
        <v>18360</v>
      </c>
      <c r="D94" s="235" t="s">
        <v>19125</v>
      </c>
      <c r="E94" s="234" t="s">
        <v>18618</v>
      </c>
      <c r="F94" s="234">
        <v>2013.0</v>
      </c>
      <c r="G94" s="234" t="s">
        <v>18725</v>
      </c>
      <c r="H94" s="234">
        <v>2030.0</v>
      </c>
      <c r="I94" s="234" t="s">
        <v>18725</v>
      </c>
      <c r="J94" s="234" t="s">
        <v>18636</v>
      </c>
      <c r="K94" s="236">
        <v>1.0</v>
      </c>
      <c r="L94" s="236">
        <v>1.0</v>
      </c>
      <c r="M94" s="236">
        <v>1.0</v>
      </c>
      <c r="N94" s="234" t="s">
        <v>18654</v>
      </c>
      <c r="O94" s="237" t="s">
        <v>18683</v>
      </c>
      <c r="P94" s="238" t="s">
        <v>18725</v>
      </c>
      <c r="Q94" s="234" t="s">
        <v>18856</v>
      </c>
      <c r="R94" s="238" t="s">
        <v>19126</v>
      </c>
      <c r="S94" s="238" t="s">
        <v>19127</v>
      </c>
      <c r="T94" s="238" t="s">
        <v>19128</v>
      </c>
      <c r="U94" s="238" t="s">
        <v>18725</v>
      </c>
      <c r="V94" s="238" t="s">
        <v>18725</v>
      </c>
      <c r="W94" s="238" t="s">
        <v>18725</v>
      </c>
      <c r="X94" s="238" t="s">
        <v>18725</v>
      </c>
      <c r="Y94" s="239" t="str">
        <f>IF('CCUS Projects Database'!$R94&lt;&gt;"",HYPERLINK('CCUS Projects Database'!$R94,"Link 1"),"")</f>
        <v>Link 1</v>
      </c>
      <c r="Z94" s="239" t="str">
        <f>IF('CCUS Projects Database'!$S94&lt;&gt;"",HYPERLINK('CCUS Projects Database'!$S94,"Link 2"),"")</f>
        <v>Link 2</v>
      </c>
      <c r="AA94" s="239" t="str">
        <f>IF('CCUS Projects Database'!$T94&lt;&gt;"",HYPERLINK('CCUS Projects Database'!$T94,"Link 3"),"")</f>
        <v>Link 3</v>
      </c>
      <c r="AB94" s="239" t="str">
        <f>IF('CCUS Projects Database'!$U94&lt;&gt;"",HYPERLINK('CCUS Projects Database'!$U94,"Link 4"),"")</f>
        <v/>
      </c>
      <c r="AC94" s="239" t="str">
        <f>IF('CCUS Projects Database'!$V94&lt;&gt;"",HYPERLINK('CCUS Projects Database'!$V94,"Link 5"),"")</f>
        <v/>
      </c>
      <c r="AD94" s="239" t="str">
        <f>IF('CCUS Projects Database'!$W94&lt;&gt;"",HYPERLINK('CCUS Projects Database'!$W94,"Link 6"),"")</f>
        <v/>
      </c>
      <c r="AE94" s="239" t="str">
        <f>IF('CCUS Projects Database'!$X94&lt;&gt;"",HYPERLINK('CCUS Projects Database'!$X94,"Link 7"),"")</f>
        <v/>
      </c>
    </row>
    <row r="95" ht="14.25" customHeight="1">
      <c r="A95" s="233" t="s">
        <v>19129</v>
      </c>
      <c r="B95" s="234">
        <v>114.0</v>
      </c>
      <c r="C95" s="234" t="s">
        <v>18329</v>
      </c>
      <c r="D95" s="235" t="s">
        <v>19130</v>
      </c>
      <c r="E95" s="234" t="s">
        <v>18616</v>
      </c>
      <c r="F95" s="234">
        <v>2010.0</v>
      </c>
      <c r="G95" s="234">
        <v>2022.0</v>
      </c>
      <c r="H95" s="234">
        <v>2026.0</v>
      </c>
      <c r="I95" s="234" t="s">
        <v>18725</v>
      </c>
      <c r="J95" s="234" t="s">
        <v>18192</v>
      </c>
      <c r="K95" s="236" t="s">
        <v>18725</v>
      </c>
      <c r="L95" s="236">
        <v>0.11</v>
      </c>
      <c r="M95" s="236">
        <v>0.11</v>
      </c>
      <c r="N95" s="234" t="s">
        <v>18654</v>
      </c>
      <c r="O95" s="237" t="s">
        <v>18675</v>
      </c>
      <c r="P95" s="238" t="s">
        <v>18725</v>
      </c>
      <c r="Q95" s="234" t="s">
        <v>18762</v>
      </c>
      <c r="R95" s="238" t="s">
        <v>19131</v>
      </c>
      <c r="S95" s="238" t="s">
        <v>19132</v>
      </c>
      <c r="T95" s="238" t="s">
        <v>19133</v>
      </c>
      <c r="U95" s="238" t="s">
        <v>18725</v>
      </c>
      <c r="V95" s="238" t="s">
        <v>18725</v>
      </c>
      <c r="W95" s="238" t="s">
        <v>18725</v>
      </c>
      <c r="X95" s="238" t="s">
        <v>18725</v>
      </c>
      <c r="Y95" s="239" t="str">
        <f>IF('CCUS Projects Database'!$R95&lt;&gt;"",HYPERLINK('CCUS Projects Database'!$R95,"Link 1"),"")</f>
        <v>Link 1</v>
      </c>
      <c r="Z95" s="239" t="str">
        <f>IF('CCUS Projects Database'!$S95&lt;&gt;"",HYPERLINK('CCUS Projects Database'!$S95,"Link 2"),"")</f>
        <v>Link 2</v>
      </c>
      <c r="AA95" s="239" t="str">
        <f>IF('CCUS Projects Database'!$T95&lt;&gt;"",HYPERLINK('CCUS Projects Database'!$T95,"Link 3"),"")</f>
        <v>Link 3</v>
      </c>
      <c r="AB95" s="239" t="str">
        <f>IF('CCUS Projects Database'!$U95&lt;&gt;"",HYPERLINK('CCUS Projects Database'!$U95,"Link 4"),"")</f>
        <v/>
      </c>
      <c r="AC95" s="239" t="str">
        <f>IF('CCUS Projects Database'!$V95&lt;&gt;"",HYPERLINK('CCUS Projects Database'!$V95,"Link 5"),"")</f>
        <v/>
      </c>
      <c r="AD95" s="239" t="str">
        <f>IF('CCUS Projects Database'!$W95&lt;&gt;"",HYPERLINK('CCUS Projects Database'!$W95,"Link 6"),"")</f>
        <v/>
      </c>
      <c r="AE95" s="239" t="str">
        <f>IF('CCUS Projects Database'!$X95&lt;&gt;"",HYPERLINK('CCUS Projects Database'!$X95,"Link 7"),"")</f>
        <v/>
      </c>
    </row>
    <row r="96" ht="14.25" customHeight="1">
      <c r="A96" s="233" t="s">
        <v>19134</v>
      </c>
      <c r="B96" s="234">
        <v>115.0</v>
      </c>
      <c r="C96" s="234" t="s">
        <v>18586</v>
      </c>
      <c r="D96" s="235" t="s">
        <v>19135</v>
      </c>
      <c r="E96" s="234" t="s">
        <v>18616</v>
      </c>
      <c r="F96" s="234">
        <v>2019.0</v>
      </c>
      <c r="G96" s="234">
        <v>2022.0</v>
      </c>
      <c r="H96" s="234">
        <v>2025.0</v>
      </c>
      <c r="I96" s="234" t="s">
        <v>18725</v>
      </c>
      <c r="J96" s="234" t="s">
        <v>18638</v>
      </c>
      <c r="K96" s="236">
        <v>1.0</v>
      </c>
      <c r="L96" s="236">
        <v>0.25</v>
      </c>
      <c r="M96" s="236">
        <v>0.25</v>
      </c>
      <c r="N96" s="234" t="s">
        <v>18218</v>
      </c>
      <c r="O96" s="237" t="s">
        <v>19136</v>
      </c>
      <c r="P96" s="238" t="s">
        <v>18725</v>
      </c>
      <c r="Q96" s="234" t="s">
        <v>18732</v>
      </c>
      <c r="R96" s="238" t="s">
        <v>19137</v>
      </c>
      <c r="S96" s="238" t="s">
        <v>19138</v>
      </c>
      <c r="T96" s="238" t="s">
        <v>19139</v>
      </c>
      <c r="U96" s="238" t="s">
        <v>19140</v>
      </c>
      <c r="V96" s="238" t="s">
        <v>19141</v>
      </c>
      <c r="W96" s="238" t="s">
        <v>18725</v>
      </c>
      <c r="X96" s="238" t="s">
        <v>18725</v>
      </c>
      <c r="Y96" s="239" t="str">
        <f>IF('CCUS Projects Database'!$R96&lt;&gt;"",HYPERLINK('CCUS Projects Database'!$R96,"Link 1"),"")</f>
        <v>Link 1</v>
      </c>
      <c r="Z96" s="239" t="str">
        <f>IF('CCUS Projects Database'!$S96&lt;&gt;"",HYPERLINK('CCUS Projects Database'!$S96,"Link 2"),"")</f>
        <v>Link 2</v>
      </c>
      <c r="AA96" s="239" t="str">
        <f>IF('CCUS Projects Database'!$T96&lt;&gt;"",HYPERLINK('CCUS Projects Database'!$T96,"Link 3"),"")</f>
        <v>Link 3</v>
      </c>
      <c r="AB96" s="239" t="str">
        <f>IF('CCUS Projects Database'!$U96&lt;&gt;"",HYPERLINK('CCUS Projects Database'!$U96,"Link 4"),"")</f>
        <v>Link 4</v>
      </c>
      <c r="AC96" s="239" t="str">
        <f>IF('CCUS Projects Database'!$V96&lt;&gt;"",HYPERLINK('CCUS Projects Database'!$V96,"Link 5"),"")</f>
        <v>Link 5</v>
      </c>
      <c r="AD96" s="239" t="str">
        <f>IF('CCUS Projects Database'!$W96&lt;&gt;"",HYPERLINK('CCUS Projects Database'!$W96,"Link 6"),"")</f>
        <v/>
      </c>
      <c r="AE96" s="239" t="str">
        <f>IF('CCUS Projects Database'!$X96&lt;&gt;"",HYPERLINK('CCUS Projects Database'!$X96,"Link 7"),"")</f>
        <v/>
      </c>
    </row>
    <row r="97" ht="14.25" customHeight="1">
      <c r="A97" s="233" t="s">
        <v>19142</v>
      </c>
      <c r="B97" s="234">
        <v>116.0</v>
      </c>
      <c r="C97" s="234" t="s">
        <v>18586</v>
      </c>
      <c r="D97" s="235" t="s">
        <v>19143</v>
      </c>
      <c r="E97" s="234" t="s">
        <v>18616</v>
      </c>
      <c r="F97" s="234">
        <v>2019.0</v>
      </c>
      <c r="G97" s="234">
        <v>2022.0</v>
      </c>
      <c r="H97" s="234">
        <v>2026.0</v>
      </c>
      <c r="I97" s="234" t="s">
        <v>18725</v>
      </c>
      <c r="J97" s="234" t="s">
        <v>18638</v>
      </c>
      <c r="K97" s="236">
        <v>2.0</v>
      </c>
      <c r="L97" s="236">
        <v>0.25</v>
      </c>
      <c r="M97" s="236">
        <v>0.25</v>
      </c>
      <c r="N97" s="234" t="s">
        <v>18218</v>
      </c>
      <c r="O97" s="237" t="s">
        <v>19136</v>
      </c>
      <c r="P97" s="238" t="s">
        <v>18725</v>
      </c>
      <c r="Q97" s="234" t="s">
        <v>18732</v>
      </c>
      <c r="R97" s="238" t="s">
        <v>19137</v>
      </c>
      <c r="S97" s="238" t="s">
        <v>19138</v>
      </c>
      <c r="T97" s="238" t="s">
        <v>19138</v>
      </c>
      <c r="U97" s="238" t="s">
        <v>18725</v>
      </c>
      <c r="V97" s="238" t="s">
        <v>18725</v>
      </c>
      <c r="W97" s="238" t="s">
        <v>18725</v>
      </c>
      <c r="X97" s="238" t="s">
        <v>18725</v>
      </c>
      <c r="Y97" s="239" t="str">
        <f>IF('CCUS Projects Database'!$R97&lt;&gt;"",HYPERLINK('CCUS Projects Database'!$R97,"Link 1"),"")</f>
        <v>Link 1</v>
      </c>
      <c r="Z97" s="239" t="str">
        <f>IF('CCUS Projects Database'!$S97&lt;&gt;"",HYPERLINK('CCUS Projects Database'!$S97,"Link 2"),"")</f>
        <v>Link 2</v>
      </c>
      <c r="AA97" s="239" t="str">
        <f>IF('CCUS Projects Database'!$T97&lt;&gt;"",HYPERLINK('CCUS Projects Database'!$T97,"Link 3"),"")</f>
        <v>Link 3</v>
      </c>
      <c r="AB97" s="239" t="str">
        <f>IF('CCUS Projects Database'!$U97&lt;&gt;"",HYPERLINK('CCUS Projects Database'!$U97,"Link 4"),"")</f>
        <v/>
      </c>
      <c r="AC97" s="239" t="str">
        <f>IF('CCUS Projects Database'!$V97&lt;&gt;"",HYPERLINK('CCUS Projects Database'!$V97,"Link 5"),"")</f>
        <v/>
      </c>
      <c r="AD97" s="239" t="str">
        <f>IF('CCUS Projects Database'!$W97&lt;&gt;"",HYPERLINK('CCUS Projects Database'!$W97,"Link 6"),"")</f>
        <v/>
      </c>
      <c r="AE97" s="239" t="str">
        <f>IF('CCUS Projects Database'!$X97&lt;&gt;"",HYPERLINK('CCUS Projects Database'!$X97,"Link 7"),"")</f>
        <v/>
      </c>
    </row>
    <row r="98" ht="14.25" customHeight="1">
      <c r="A98" s="233" t="s">
        <v>19144</v>
      </c>
      <c r="B98" s="234">
        <v>117.0</v>
      </c>
      <c r="C98" s="234" t="s">
        <v>18586</v>
      </c>
      <c r="D98" s="235" t="s">
        <v>19145</v>
      </c>
      <c r="E98" s="234" t="s">
        <v>18618</v>
      </c>
      <c r="F98" s="234">
        <v>2021.0</v>
      </c>
      <c r="G98" s="234">
        <v>2026.0</v>
      </c>
      <c r="H98" s="234">
        <v>2028.0</v>
      </c>
      <c r="I98" s="234" t="s">
        <v>18725</v>
      </c>
      <c r="J98" s="234" t="s">
        <v>18636</v>
      </c>
      <c r="K98" s="236" t="s">
        <v>18725</v>
      </c>
      <c r="L98" s="236" t="s">
        <v>19146</v>
      </c>
      <c r="M98" s="236">
        <v>0.257</v>
      </c>
      <c r="N98" s="234" t="s">
        <v>12270</v>
      </c>
      <c r="O98" s="237" t="s">
        <v>18675</v>
      </c>
      <c r="P98" s="238" t="s">
        <v>18966</v>
      </c>
      <c r="Q98" s="234" t="s">
        <v>18732</v>
      </c>
      <c r="R98" s="238" t="s">
        <v>19109</v>
      </c>
      <c r="S98" s="238" t="s">
        <v>19110</v>
      </c>
      <c r="T98" s="238" t="s">
        <v>19111</v>
      </c>
      <c r="U98" s="238" t="s">
        <v>18725</v>
      </c>
      <c r="V98" s="238" t="s">
        <v>18725</v>
      </c>
      <c r="W98" s="238" t="s">
        <v>18725</v>
      </c>
      <c r="X98" s="238" t="s">
        <v>18725</v>
      </c>
      <c r="Y98" s="239" t="str">
        <f>IF('CCUS Projects Database'!$R98&lt;&gt;"",HYPERLINK('CCUS Projects Database'!$R98,"Link 1"),"")</f>
        <v>Link 1</v>
      </c>
      <c r="Z98" s="239" t="str">
        <f>IF('CCUS Projects Database'!$S98&lt;&gt;"",HYPERLINK('CCUS Projects Database'!$S98,"Link 2"),"")</f>
        <v>Link 2</v>
      </c>
      <c r="AA98" s="239" t="str">
        <f>IF('CCUS Projects Database'!$T98&lt;&gt;"",HYPERLINK('CCUS Projects Database'!$T98,"Link 3"),"")</f>
        <v>Link 3</v>
      </c>
      <c r="AB98" s="239" t="str">
        <f>IF('CCUS Projects Database'!$U98&lt;&gt;"",HYPERLINK('CCUS Projects Database'!$U98,"Link 4"),"")</f>
        <v/>
      </c>
      <c r="AC98" s="239" t="str">
        <f>IF('CCUS Projects Database'!$V98&lt;&gt;"",HYPERLINK('CCUS Projects Database'!$V98,"Link 5"),"")</f>
        <v/>
      </c>
      <c r="AD98" s="239" t="str">
        <f>IF('CCUS Projects Database'!$W98&lt;&gt;"",HYPERLINK('CCUS Projects Database'!$W98,"Link 6"),"")</f>
        <v/>
      </c>
      <c r="AE98" s="239" t="str">
        <f>IF('CCUS Projects Database'!$X98&lt;&gt;"",HYPERLINK('CCUS Projects Database'!$X98,"Link 7"),"")</f>
        <v/>
      </c>
    </row>
    <row r="99" ht="14.25" customHeight="1">
      <c r="A99" s="233" t="s">
        <v>19147</v>
      </c>
      <c r="B99" s="234">
        <v>118.0</v>
      </c>
      <c r="C99" s="234" t="s">
        <v>18586</v>
      </c>
      <c r="D99" s="235" t="s">
        <v>19148</v>
      </c>
      <c r="E99" s="234" t="s">
        <v>18616</v>
      </c>
      <c r="F99" s="234">
        <v>2021.0</v>
      </c>
      <c r="G99" s="234" t="s">
        <v>18725</v>
      </c>
      <c r="H99" s="234">
        <v>2027.0</v>
      </c>
      <c r="I99" s="234" t="s">
        <v>18725</v>
      </c>
      <c r="J99" s="234" t="s">
        <v>18636</v>
      </c>
      <c r="K99" s="236" t="s">
        <v>18725</v>
      </c>
      <c r="L99" s="236" t="s">
        <v>18725</v>
      </c>
      <c r="M99" s="236">
        <v>2.712</v>
      </c>
      <c r="N99" s="234" t="s">
        <v>18731</v>
      </c>
      <c r="O99" s="237" t="s">
        <v>18675</v>
      </c>
      <c r="P99" s="238" t="s">
        <v>18725</v>
      </c>
      <c r="Q99" s="234" t="s">
        <v>18732</v>
      </c>
      <c r="R99" s="238" t="s">
        <v>16524</v>
      </c>
      <c r="S99" s="238" t="s">
        <v>19149</v>
      </c>
      <c r="T99" s="238" t="s">
        <v>19150</v>
      </c>
      <c r="U99" s="238" t="s">
        <v>18725</v>
      </c>
      <c r="V99" s="238" t="s">
        <v>18725</v>
      </c>
      <c r="W99" s="238" t="s">
        <v>18725</v>
      </c>
      <c r="X99" s="238" t="s">
        <v>18725</v>
      </c>
      <c r="Y99" s="239" t="str">
        <f>IF('CCUS Projects Database'!$R99&lt;&gt;"",HYPERLINK('CCUS Projects Database'!$R99,"Link 1"),"")</f>
        <v>Link 1</v>
      </c>
      <c r="Z99" s="239" t="str">
        <f>IF('CCUS Projects Database'!$S99&lt;&gt;"",HYPERLINK('CCUS Projects Database'!$S99,"Link 2"),"")</f>
        <v>Link 2</v>
      </c>
      <c r="AA99" s="239" t="str">
        <f>IF('CCUS Projects Database'!$T99&lt;&gt;"",HYPERLINK('CCUS Projects Database'!$T99,"Link 3"),"")</f>
        <v>Link 3</v>
      </c>
      <c r="AB99" s="239" t="str">
        <f>IF('CCUS Projects Database'!$U99&lt;&gt;"",HYPERLINK('CCUS Projects Database'!$U99,"Link 4"),"")</f>
        <v/>
      </c>
      <c r="AC99" s="239" t="str">
        <f>IF('CCUS Projects Database'!$V99&lt;&gt;"",HYPERLINK('CCUS Projects Database'!$V99,"Link 5"),"")</f>
        <v/>
      </c>
      <c r="AD99" s="239" t="str">
        <f>IF('CCUS Projects Database'!$W99&lt;&gt;"",HYPERLINK('CCUS Projects Database'!$W99,"Link 6"),"")</f>
        <v/>
      </c>
      <c r="AE99" s="239" t="str">
        <f>IF('CCUS Projects Database'!$X99&lt;&gt;"",HYPERLINK('CCUS Projects Database'!$X99,"Link 7"),"")</f>
        <v/>
      </c>
    </row>
    <row r="100" ht="14.25" customHeight="1">
      <c r="A100" s="233" t="s">
        <v>19151</v>
      </c>
      <c r="B100" s="234">
        <v>119.0</v>
      </c>
      <c r="C100" s="234" t="s">
        <v>18285</v>
      </c>
      <c r="D100" s="235" t="s">
        <v>19152</v>
      </c>
      <c r="E100" s="234" t="s">
        <v>18625</v>
      </c>
      <c r="F100" s="234">
        <v>2019.0</v>
      </c>
      <c r="G100" s="234" t="s">
        <v>18725</v>
      </c>
      <c r="H100" s="234" t="s">
        <v>18725</v>
      </c>
      <c r="I100" s="234" t="s">
        <v>18725</v>
      </c>
      <c r="J100" s="234" t="s">
        <v>18636</v>
      </c>
      <c r="K100" s="236" t="s">
        <v>18725</v>
      </c>
      <c r="L100" s="236">
        <v>0.5</v>
      </c>
      <c r="M100" s="236">
        <v>0.5</v>
      </c>
      <c r="N100" s="234" t="s">
        <v>18663</v>
      </c>
      <c r="O100" s="237" t="s">
        <v>19153</v>
      </c>
      <c r="P100" s="238" t="s">
        <v>18725</v>
      </c>
      <c r="Q100" s="234" t="s">
        <v>18856</v>
      </c>
      <c r="R100" s="238" t="s">
        <v>19154</v>
      </c>
      <c r="S100" s="238" t="s">
        <v>18725</v>
      </c>
      <c r="T100" s="238" t="s">
        <v>18725</v>
      </c>
      <c r="U100" s="238" t="s">
        <v>18725</v>
      </c>
      <c r="V100" s="238" t="s">
        <v>18725</v>
      </c>
      <c r="W100" s="238" t="s">
        <v>18725</v>
      </c>
      <c r="X100" s="238" t="s">
        <v>18725</v>
      </c>
      <c r="Y100" s="239" t="str">
        <f>IF('CCUS Projects Database'!$R100&lt;&gt;"",HYPERLINK('CCUS Projects Database'!$R100,"Link 1"),"")</f>
        <v>Link 1</v>
      </c>
      <c r="Z100" s="239" t="str">
        <f>IF('CCUS Projects Database'!$S100&lt;&gt;"",HYPERLINK('CCUS Projects Database'!$S100,"Link 2"),"")</f>
        <v/>
      </c>
      <c r="AA100" s="239" t="str">
        <f>IF('CCUS Projects Database'!$T100&lt;&gt;"",HYPERLINK('CCUS Projects Database'!$T100,"Link 3"),"")</f>
        <v/>
      </c>
      <c r="AB100" s="239" t="str">
        <f>IF('CCUS Projects Database'!$U100&lt;&gt;"",HYPERLINK('CCUS Projects Database'!$U100,"Link 4"),"")</f>
        <v/>
      </c>
      <c r="AC100" s="239" t="str">
        <f>IF('CCUS Projects Database'!$V100&lt;&gt;"",HYPERLINK('CCUS Projects Database'!$V100,"Link 5"),"")</f>
        <v/>
      </c>
      <c r="AD100" s="239" t="str">
        <f>IF('CCUS Projects Database'!$W100&lt;&gt;"",HYPERLINK('CCUS Projects Database'!$W100,"Link 6"),"")</f>
        <v/>
      </c>
      <c r="AE100" s="239" t="str">
        <f>IF('CCUS Projects Database'!$X100&lt;&gt;"",HYPERLINK('CCUS Projects Database'!$X100,"Link 7"),"")</f>
        <v/>
      </c>
    </row>
    <row r="101" ht="14.25" customHeight="1">
      <c r="A101" s="233" t="s">
        <v>9451</v>
      </c>
      <c r="B101" s="234">
        <v>120.0</v>
      </c>
      <c r="C101" s="234" t="s">
        <v>18285</v>
      </c>
      <c r="D101" s="235" t="s">
        <v>19155</v>
      </c>
      <c r="E101" s="234" t="s">
        <v>18618</v>
      </c>
      <c r="F101" s="234">
        <v>2022.0</v>
      </c>
      <c r="G101" s="234" t="s">
        <v>18725</v>
      </c>
      <c r="H101" s="234" t="s">
        <v>18725</v>
      </c>
      <c r="I101" s="234" t="s">
        <v>18725</v>
      </c>
      <c r="J101" s="234" t="s">
        <v>18636</v>
      </c>
      <c r="K101" s="236" t="s">
        <v>18725</v>
      </c>
      <c r="L101" s="236" t="s">
        <v>18725</v>
      </c>
      <c r="M101" s="236" t="s">
        <v>18725</v>
      </c>
      <c r="N101" s="234" t="s">
        <v>18731</v>
      </c>
      <c r="O101" s="237" t="s">
        <v>18683</v>
      </c>
      <c r="P101" s="238" t="s">
        <v>18725</v>
      </c>
      <c r="Q101" s="234" t="s">
        <v>18856</v>
      </c>
      <c r="R101" s="238" t="s">
        <v>17242</v>
      </c>
      <c r="S101" s="238" t="s">
        <v>18725</v>
      </c>
      <c r="T101" s="238" t="s">
        <v>18725</v>
      </c>
      <c r="U101" s="238" t="s">
        <v>18725</v>
      </c>
      <c r="V101" s="238" t="s">
        <v>18725</v>
      </c>
      <c r="W101" s="238" t="s">
        <v>18725</v>
      </c>
      <c r="X101" s="238" t="s">
        <v>18725</v>
      </c>
      <c r="Y101" s="239" t="str">
        <f>IF('CCUS Projects Database'!$R101&lt;&gt;"",HYPERLINK('CCUS Projects Database'!$R101,"Link 1"),"")</f>
        <v>Link 1</v>
      </c>
      <c r="Z101" s="239" t="str">
        <f>IF('CCUS Projects Database'!$S101&lt;&gt;"",HYPERLINK('CCUS Projects Database'!$S101,"Link 2"),"")</f>
        <v/>
      </c>
      <c r="AA101" s="239" t="str">
        <f>IF('CCUS Projects Database'!$T101&lt;&gt;"",HYPERLINK('CCUS Projects Database'!$T101,"Link 3"),"")</f>
        <v/>
      </c>
      <c r="AB101" s="239" t="str">
        <f>IF('CCUS Projects Database'!$U101&lt;&gt;"",HYPERLINK('CCUS Projects Database'!$U101,"Link 4"),"")</f>
        <v/>
      </c>
      <c r="AC101" s="239" t="str">
        <f>IF('CCUS Projects Database'!$V101&lt;&gt;"",HYPERLINK('CCUS Projects Database'!$V101,"Link 5"),"")</f>
        <v/>
      </c>
      <c r="AD101" s="239" t="str">
        <f>IF('CCUS Projects Database'!$W101&lt;&gt;"",HYPERLINK('CCUS Projects Database'!$W101,"Link 6"),"")</f>
        <v/>
      </c>
      <c r="AE101" s="239" t="str">
        <f>IF('CCUS Projects Database'!$X101&lt;&gt;"",HYPERLINK('CCUS Projects Database'!$X101,"Link 7"),"")</f>
        <v/>
      </c>
    </row>
    <row r="102" ht="14.25" customHeight="1">
      <c r="A102" s="233" t="s">
        <v>19156</v>
      </c>
      <c r="B102" s="234">
        <v>121.0</v>
      </c>
      <c r="C102" s="234" t="s">
        <v>120</v>
      </c>
      <c r="D102" s="235" t="s">
        <v>19157</v>
      </c>
      <c r="E102" s="234" t="s">
        <v>18620</v>
      </c>
      <c r="F102" s="234">
        <v>2021.0</v>
      </c>
      <c r="G102" s="234" t="s">
        <v>18725</v>
      </c>
      <c r="H102" s="234">
        <v>2027.0</v>
      </c>
      <c r="I102" s="234" t="s">
        <v>18725</v>
      </c>
      <c r="J102" s="234" t="s">
        <v>18636</v>
      </c>
      <c r="K102" s="236">
        <v>1.0</v>
      </c>
      <c r="L102" s="236">
        <v>3.0</v>
      </c>
      <c r="M102" s="236">
        <v>3.0</v>
      </c>
      <c r="N102" s="234" t="s">
        <v>18620</v>
      </c>
      <c r="O102" s="237" t="s">
        <v>18675</v>
      </c>
      <c r="P102" s="238" t="s">
        <v>19158</v>
      </c>
      <c r="Q102" s="234" t="s">
        <v>18726</v>
      </c>
      <c r="R102" s="238" t="s">
        <v>19159</v>
      </c>
      <c r="S102" s="238" t="s">
        <v>19160</v>
      </c>
      <c r="T102" s="238" t="s">
        <v>18837</v>
      </c>
      <c r="U102" s="238" t="s">
        <v>18794</v>
      </c>
      <c r="V102" s="238" t="s">
        <v>18725</v>
      </c>
      <c r="W102" s="238" t="s">
        <v>18725</v>
      </c>
      <c r="X102" s="238" t="s">
        <v>18725</v>
      </c>
      <c r="Y102" s="239" t="str">
        <f>IF('CCUS Projects Database'!$R102&lt;&gt;"",HYPERLINK('CCUS Projects Database'!$R102,"Link 1"),"")</f>
        <v>Link 1</v>
      </c>
      <c r="Z102" s="239" t="str">
        <f>IF('CCUS Projects Database'!$S102&lt;&gt;"",HYPERLINK('CCUS Projects Database'!$S102,"Link 2"),"")</f>
        <v>Link 2</v>
      </c>
      <c r="AA102" s="239" t="str">
        <f>IF('CCUS Projects Database'!$T102&lt;&gt;"",HYPERLINK('CCUS Projects Database'!$T102,"Link 3"),"")</f>
        <v>Link 3</v>
      </c>
      <c r="AB102" s="239" t="str">
        <f>IF('CCUS Projects Database'!$U102&lt;&gt;"",HYPERLINK('CCUS Projects Database'!$U102,"Link 4"),"")</f>
        <v>Link 4</v>
      </c>
      <c r="AC102" s="239" t="str">
        <f>IF('CCUS Projects Database'!$V102&lt;&gt;"",HYPERLINK('CCUS Projects Database'!$V102,"Link 5"),"")</f>
        <v/>
      </c>
      <c r="AD102" s="239" t="str">
        <f>IF('CCUS Projects Database'!$W102&lt;&gt;"",HYPERLINK('CCUS Projects Database'!$W102,"Link 6"),"")</f>
        <v/>
      </c>
      <c r="AE102" s="239" t="str">
        <f>IF('CCUS Projects Database'!$X102&lt;&gt;"",HYPERLINK('CCUS Projects Database'!$X102,"Link 7"),"")</f>
        <v/>
      </c>
    </row>
    <row r="103" ht="14.25" customHeight="1">
      <c r="A103" s="233" t="s">
        <v>19161</v>
      </c>
      <c r="B103" s="234">
        <v>122.0</v>
      </c>
      <c r="C103" s="234" t="s">
        <v>120</v>
      </c>
      <c r="D103" s="235" t="s">
        <v>19157</v>
      </c>
      <c r="E103" s="234" t="s">
        <v>18620</v>
      </c>
      <c r="F103" s="234">
        <v>2021.0</v>
      </c>
      <c r="G103" s="234" t="s">
        <v>18725</v>
      </c>
      <c r="H103" s="234">
        <v>2031.0</v>
      </c>
      <c r="I103" s="234" t="s">
        <v>18725</v>
      </c>
      <c r="J103" s="234" t="s">
        <v>18636</v>
      </c>
      <c r="K103" s="236">
        <v>2.0</v>
      </c>
      <c r="L103" s="236">
        <v>1.4</v>
      </c>
      <c r="M103" s="236">
        <v>1.4</v>
      </c>
      <c r="N103" s="234" t="s">
        <v>18620</v>
      </c>
      <c r="O103" s="237" t="s">
        <v>18675</v>
      </c>
      <c r="P103" s="238" t="s">
        <v>19158</v>
      </c>
      <c r="Q103" s="234" t="s">
        <v>18726</v>
      </c>
      <c r="R103" s="238" t="s">
        <v>19159</v>
      </c>
      <c r="S103" s="238" t="s">
        <v>19160</v>
      </c>
      <c r="T103" s="238" t="s">
        <v>18837</v>
      </c>
      <c r="U103" s="238" t="s">
        <v>18794</v>
      </c>
      <c r="V103" s="238" t="s">
        <v>18725</v>
      </c>
      <c r="W103" s="238" t="s">
        <v>18725</v>
      </c>
      <c r="X103" s="238" t="s">
        <v>18725</v>
      </c>
      <c r="Y103" s="239" t="str">
        <f>IF('CCUS Projects Database'!$R103&lt;&gt;"",HYPERLINK('CCUS Projects Database'!$R103,"Link 1"),"")</f>
        <v>Link 1</v>
      </c>
      <c r="Z103" s="239" t="str">
        <f>IF('CCUS Projects Database'!$S103&lt;&gt;"",HYPERLINK('CCUS Projects Database'!$S103,"Link 2"),"")</f>
        <v>Link 2</v>
      </c>
      <c r="AA103" s="239" t="str">
        <f>IF('CCUS Projects Database'!$T103&lt;&gt;"",HYPERLINK('CCUS Projects Database'!$T103,"Link 3"),"")</f>
        <v>Link 3</v>
      </c>
      <c r="AB103" s="239" t="str">
        <f>IF('CCUS Projects Database'!$U103&lt;&gt;"",HYPERLINK('CCUS Projects Database'!$U103,"Link 4"),"")</f>
        <v>Link 4</v>
      </c>
      <c r="AC103" s="239" t="str">
        <f>IF('CCUS Projects Database'!$V103&lt;&gt;"",HYPERLINK('CCUS Projects Database'!$V103,"Link 5"),"")</f>
        <v/>
      </c>
      <c r="AD103" s="239" t="str">
        <f>IF('CCUS Projects Database'!$W103&lt;&gt;"",HYPERLINK('CCUS Projects Database'!$W103,"Link 6"),"")</f>
        <v/>
      </c>
      <c r="AE103" s="239" t="str">
        <f>IF('CCUS Projects Database'!$X103&lt;&gt;"",HYPERLINK('CCUS Projects Database'!$X103,"Link 7"),"")</f>
        <v/>
      </c>
    </row>
    <row r="104" ht="14.25" customHeight="1">
      <c r="A104" s="233" t="s">
        <v>19162</v>
      </c>
      <c r="B104" s="234">
        <v>123.0</v>
      </c>
      <c r="C104" s="234" t="s">
        <v>120</v>
      </c>
      <c r="D104" s="235" t="s">
        <v>19157</v>
      </c>
      <c r="E104" s="234" t="s">
        <v>18620</v>
      </c>
      <c r="F104" s="234">
        <v>2021.0</v>
      </c>
      <c r="G104" s="234" t="s">
        <v>18725</v>
      </c>
      <c r="H104" s="234">
        <v>2035.0</v>
      </c>
      <c r="I104" s="234" t="s">
        <v>18725</v>
      </c>
      <c r="J104" s="234" t="s">
        <v>18636</v>
      </c>
      <c r="K104" s="236">
        <v>3.0</v>
      </c>
      <c r="L104" s="236">
        <v>5.6</v>
      </c>
      <c r="M104" s="236">
        <v>5.6</v>
      </c>
      <c r="N104" s="234" t="s">
        <v>18620</v>
      </c>
      <c r="O104" s="237" t="s">
        <v>18675</v>
      </c>
      <c r="P104" s="238" t="s">
        <v>19158</v>
      </c>
      <c r="Q104" s="234" t="s">
        <v>18726</v>
      </c>
      <c r="R104" s="238" t="s">
        <v>19159</v>
      </c>
      <c r="S104" s="238" t="s">
        <v>19160</v>
      </c>
      <c r="T104" s="238" t="s">
        <v>18837</v>
      </c>
      <c r="U104" s="238" t="s">
        <v>18794</v>
      </c>
      <c r="V104" s="238" t="s">
        <v>18725</v>
      </c>
      <c r="W104" s="238" t="s">
        <v>18725</v>
      </c>
      <c r="X104" s="238" t="s">
        <v>18725</v>
      </c>
      <c r="Y104" s="239" t="str">
        <f>IF('CCUS Projects Database'!$R104&lt;&gt;"",HYPERLINK('CCUS Projects Database'!$R104,"Link 1"),"")</f>
        <v>Link 1</v>
      </c>
      <c r="Z104" s="239" t="str">
        <f>IF('CCUS Projects Database'!$S104&lt;&gt;"",HYPERLINK('CCUS Projects Database'!$S104,"Link 2"),"")</f>
        <v>Link 2</v>
      </c>
      <c r="AA104" s="239" t="str">
        <f>IF('CCUS Projects Database'!$T104&lt;&gt;"",HYPERLINK('CCUS Projects Database'!$T104,"Link 3"),"")</f>
        <v>Link 3</v>
      </c>
      <c r="AB104" s="239" t="str">
        <f>IF('CCUS Projects Database'!$U104&lt;&gt;"",HYPERLINK('CCUS Projects Database'!$U104,"Link 4"),"")</f>
        <v>Link 4</v>
      </c>
      <c r="AC104" s="239" t="str">
        <f>IF('CCUS Projects Database'!$V104&lt;&gt;"",HYPERLINK('CCUS Projects Database'!$V104,"Link 5"),"")</f>
        <v/>
      </c>
      <c r="AD104" s="239" t="str">
        <f>IF('CCUS Projects Database'!$W104&lt;&gt;"",HYPERLINK('CCUS Projects Database'!$W104,"Link 6"),"")</f>
        <v/>
      </c>
      <c r="AE104" s="239" t="str">
        <f>IF('CCUS Projects Database'!$X104&lt;&gt;"",HYPERLINK('CCUS Projects Database'!$X104,"Link 7"),"")</f>
        <v/>
      </c>
    </row>
    <row r="105" ht="14.25" customHeight="1">
      <c r="A105" s="233" t="s">
        <v>19163</v>
      </c>
      <c r="B105" s="234">
        <v>124.0</v>
      </c>
      <c r="C105" s="234" t="s">
        <v>18586</v>
      </c>
      <c r="D105" s="235" t="s">
        <v>19164</v>
      </c>
      <c r="E105" s="234" t="s">
        <v>18616</v>
      </c>
      <c r="F105" s="234">
        <v>2009.0</v>
      </c>
      <c r="G105" s="234">
        <v>2011.0</v>
      </c>
      <c r="H105" s="234">
        <v>2011.0</v>
      </c>
      <c r="I105" s="234">
        <v>2014.0</v>
      </c>
      <c r="J105" s="234" t="s">
        <v>18644</v>
      </c>
      <c r="K105" s="236" t="s">
        <v>18725</v>
      </c>
      <c r="L105" s="236">
        <v>0.33</v>
      </c>
      <c r="M105" s="236">
        <v>0.33</v>
      </c>
      <c r="N105" s="234" t="s">
        <v>12270</v>
      </c>
      <c r="O105" s="237" t="s">
        <v>18675</v>
      </c>
      <c r="P105" s="238" t="s">
        <v>18961</v>
      </c>
      <c r="Q105" s="234" t="s">
        <v>18732</v>
      </c>
      <c r="R105" s="238" t="s">
        <v>19165</v>
      </c>
      <c r="S105" s="238" t="s">
        <v>18725</v>
      </c>
      <c r="T105" s="238" t="s">
        <v>18725</v>
      </c>
      <c r="U105" s="238" t="s">
        <v>18725</v>
      </c>
      <c r="V105" s="238" t="s">
        <v>18725</v>
      </c>
      <c r="W105" s="238" t="s">
        <v>18725</v>
      </c>
      <c r="X105" s="238" t="s">
        <v>18725</v>
      </c>
      <c r="Y105" s="239" t="str">
        <f>IF('CCUS Projects Database'!$R105&lt;&gt;"",HYPERLINK('CCUS Projects Database'!$R105,"Link 1"),"")</f>
        <v>Link 1</v>
      </c>
      <c r="Z105" s="239" t="str">
        <f>IF('CCUS Projects Database'!$S105&lt;&gt;"",HYPERLINK('CCUS Projects Database'!$S105,"Link 2"),"")</f>
        <v/>
      </c>
      <c r="AA105" s="239" t="str">
        <f>IF('CCUS Projects Database'!$T105&lt;&gt;"",HYPERLINK('CCUS Projects Database'!$T105,"Link 3"),"")</f>
        <v/>
      </c>
      <c r="AB105" s="239" t="str">
        <f>IF('CCUS Projects Database'!$U105&lt;&gt;"",HYPERLINK('CCUS Projects Database'!$U105,"Link 4"),"")</f>
        <v/>
      </c>
      <c r="AC105" s="239" t="str">
        <f>IF('CCUS Projects Database'!$V105&lt;&gt;"",HYPERLINK('CCUS Projects Database'!$V105,"Link 5"),"")</f>
        <v/>
      </c>
      <c r="AD105" s="239" t="str">
        <f>IF('CCUS Projects Database'!$W105&lt;&gt;"",HYPERLINK('CCUS Projects Database'!$W105,"Link 6"),"")</f>
        <v/>
      </c>
      <c r="AE105" s="239" t="str">
        <f>IF('CCUS Projects Database'!$X105&lt;&gt;"",HYPERLINK('CCUS Projects Database'!$X105,"Link 7"),"")</f>
        <v/>
      </c>
    </row>
    <row r="106" ht="14.25" customHeight="1">
      <c r="A106" s="233" t="s">
        <v>19166</v>
      </c>
      <c r="B106" s="234">
        <v>125.0</v>
      </c>
      <c r="C106" s="234" t="s">
        <v>83</v>
      </c>
      <c r="D106" s="235" t="s">
        <v>19167</v>
      </c>
      <c r="E106" s="234" t="s">
        <v>18618</v>
      </c>
      <c r="F106" s="234">
        <v>2021.0</v>
      </c>
      <c r="G106" s="234" t="s">
        <v>18725</v>
      </c>
      <c r="H106" s="234">
        <v>2027.0</v>
      </c>
      <c r="I106" s="234">
        <v>2023.0</v>
      </c>
      <c r="J106" s="234" t="s">
        <v>18192</v>
      </c>
      <c r="K106" s="236" t="s">
        <v>18725</v>
      </c>
      <c r="L106" s="236" t="s">
        <v>19168</v>
      </c>
      <c r="M106" s="236">
        <v>5.0</v>
      </c>
      <c r="N106" s="234" t="s">
        <v>18731</v>
      </c>
      <c r="O106" s="237" t="s">
        <v>18675</v>
      </c>
      <c r="P106" s="238" t="s">
        <v>19169</v>
      </c>
      <c r="Q106" s="234" t="s">
        <v>18726</v>
      </c>
      <c r="R106" s="238" t="s">
        <v>18747</v>
      </c>
      <c r="S106" s="238" t="s">
        <v>19170</v>
      </c>
      <c r="T106" s="238" t="s">
        <v>18725</v>
      </c>
      <c r="U106" s="238" t="s">
        <v>18725</v>
      </c>
      <c r="V106" s="238" t="s">
        <v>18725</v>
      </c>
      <c r="W106" s="238" t="s">
        <v>18725</v>
      </c>
      <c r="X106" s="238" t="s">
        <v>18725</v>
      </c>
      <c r="Y106" s="239" t="str">
        <f>IF('CCUS Projects Database'!$R106&lt;&gt;"",HYPERLINK('CCUS Projects Database'!$R106,"Link 1"),"")</f>
        <v>Link 1</v>
      </c>
      <c r="Z106" s="239" t="str">
        <f>IF('CCUS Projects Database'!$S106&lt;&gt;"",HYPERLINK('CCUS Projects Database'!$S106,"Link 2"),"")</f>
        <v>Link 2</v>
      </c>
      <c r="AA106" s="239" t="str">
        <f>IF('CCUS Projects Database'!$T106&lt;&gt;"",HYPERLINK('CCUS Projects Database'!$T106,"Link 3"),"")</f>
        <v/>
      </c>
      <c r="AB106" s="239" t="str">
        <f>IF('CCUS Projects Database'!$U106&lt;&gt;"",HYPERLINK('CCUS Projects Database'!$U106,"Link 4"),"")</f>
        <v/>
      </c>
      <c r="AC106" s="239" t="str">
        <f>IF('CCUS Projects Database'!$V106&lt;&gt;"",HYPERLINK('CCUS Projects Database'!$V106,"Link 5"),"")</f>
        <v/>
      </c>
      <c r="AD106" s="239" t="str">
        <f>IF('CCUS Projects Database'!$W106&lt;&gt;"",HYPERLINK('CCUS Projects Database'!$W106,"Link 6"),"")</f>
        <v/>
      </c>
      <c r="AE106" s="239" t="str">
        <f>IF('CCUS Projects Database'!$X106&lt;&gt;"",HYPERLINK('CCUS Projects Database'!$X106,"Link 7"),"")</f>
        <v/>
      </c>
    </row>
    <row r="107" ht="14.25" customHeight="1">
      <c r="A107" s="233" t="s">
        <v>19171</v>
      </c>
      <c r="B107" s="234">
        <v>126.0</v>
      </c>
      <c r="C107" s="234" t="s">
        <v>19172</v>
      </c>
      <c r="D107" s="235">
        <v>0.0</v>
      </c>
      <c r="E107" s="234" t="s">
        <v>18620</v>
      </c>
      <c r="F107" s="234">
        <v>2021.0</v>
      </c>
      <c r="G107" s="234">
        <v>2025.0</v>
      </c>
      <c r="H107" s="234">
        <v>2027.0</v>
      </c>
      <c r="I107" s="234" t="s">
        <v>18725</v>
      </c>
      <c r="J107" s="234" t="s">
        <v>18636</v>
      </c>
      <c r="K107" s="236" t="s">
        <v>18725</v>
      </c>
      <c r="L107" s="236">
        <v>22.0</v>
      </c>
      <c r="M107" s="236">
        <v>22.0</v>
      </c>
      <c r="N107" s="234" t="s">
        <v>18620</v>
      </c>
      <c r="O107" s="237" t="s">
        <v>18675</v>
      </c>
      <c r="P107" s="238" t="s">
        <v>18725</v>
      </c>
      <c r="Q107" s="234" t="s">
        <v>18726</v>
      </c>
      <c r="R107" s="238" t="s">
        <v>19173</v>
      </c>
      <c r="S107" s="238" t="s">
        <v>19173</v>
      </c>
      <c r="T107" s="238" t="s">
        <v>18725</v>
      </c>
      <c r="U107" s="238" t="s">
        <v>18725</v>
      </c>
      <c r="V107" s="238" t="s">
        <v>18725</v>
      </c>
      <c r="W107" s="238" t="s">
        <v>18725</v>
      </c>
      <c r="X107" s="238" t="s">
        <v>18725</v>
      </c>
      <c r="Y107" s="239" t="str">
        <f>IF('CCUS Projects Database'!$R107&lt;&gt;"",HYPERLINK('CCUS Projects Database'!$R107,"Link 1"),"")</f>
        <v>Link 1</v>
      </c>
      <c r="Z107" s="239" t="str">
        <f>IF('CCUS Projects Database'!$S107&lt;&gt;"",HYPERLINK('CCUS Projects Database'!$S107,"Link 2"),"")</f>
        <v>Link 2</v>
      </c>
      <c r="AA107" s="239" t="str">
        <f>IF('CCUS Projects Database'!$T107&lt;&gt;"",HYPERLINK('CCUS Projects Database'!$T107,"Link 3"),"")</f>
        <v/>
      </c>
      <c r="AB107" s="239" t="str">
        <f>IF('CCUS Projects Database'!$U107&lt;&gt;"",HYPERLINK('CCUS Projects Database'!$U107,"Link 4"),"")</f>
        <v/>
      </c>
      <c r="AC107" s="239" t="str">
        <f>IF('CCUS Projects Database'!$V107&lt;&gt;"",HYPERLINK('CCUS Projects Database'!$V107,"Link 5"),"")</f>
        <v/>
      </c>
      <c r="AD107" s="239" t="str">
        <f>IF('CCUS Projects Database'!$W107&lt;&gt;"",HYPERLINK('CCUS Projects Database'!$W107,"Link 6"),"")</f>
        <v/>
      </c>
      <c r="AE107" s="239" t="str">
        <f>IF('CCUS Projects Database'!$X107&lt;&gt;"",HYPERLINK('CCUS Projects Database'!$X107,"Link 7"),"")</f>
        <v/>
      </c>
    </row>
    <row r="108" ht="14.25" customHeight="1">
      <c r="A108" s="233" t="s">
        <v>19174</v>
      </c>
      <c r="B108" s="234">
        <v>127.0</v>
      </c>
      <c r="C108" s="234" t="s">
        <v>18586</v>
      </c>
      <c r="D108" s="235" t="s">
        <v>19175</v>
      </c>
      <c r="E108" s="234" t="s">
        <v>18623</v>
      </c>
      <c r="F108" s="234">
        <v>2021.0</v>
      </c>
      <c r="G108" s="234" t="s">
        <v>18725</v>
      </c>
      <c r="H108" s="234" t="s">
        <v>18725</v>
      </c>
      <c r="I108" s="234" t="s">
        <v>18725</v>
      </c>
      <c r="J108" s="234" t="s">
        <v>18636</v>
      </c>
      <c r="K108" s="236" t="s">
        <v>18725</v>
      </c>
      <c r="L108" s="236">
        <v>1.8</v>
      </c>
      <c r="M108" s="236">
        <v>1.8</v>
      </c>
      <c r="N108" s="234" t="s">
        <v>18623</v>
      </c>
      <c r="O108" s="237" t="s">
        <v>18675</v>
      </c>
      <c r="P108" s="238" t="s">
        <v>18725</v>
      </c>
      <c r="Q108" s="234" t="s">
        <v>18732</v>
      </c>
      <c r="R108" s="238" t="s">
        <v>19176</v>
      </c>
      <c r="S108" s="238" t="s">
        <v>16633</v>
      </c>
      <c r="T108" s="238" t="s">
        <v>18725</v>
      </c>
      <c r="U108" s="238" t="s">
        <v>18725</v>
      </c>
      <c r="V108" s="238" t="s">
        <v>18725</v>
      </c>
      <c r="W108" s="238" t="s">
        <v>18725</v>
      </c>
      <c r="X108" s="238" t="s">
        <v>18725</v>
      </c>
      <c r="Y108" s="239" t="str">
        <f>IF('CCUS Projects Database'!$R108&lt;&gt;"",HYPERLINK('CCUS Projects Database'!$R108,"Link 1"),"")</f>
        <v>Link 1</v>
      </c>
      <c r="Z108" s="239" t="str">
        <f>IF('CCUS Projects Database'!$S108&lt;&gt;"",HYPERLINK('CCUS Projects Database'!$S108,"Link 2"),"")</f>
        <v>Link 2</v>
      </c>
      <c r="AA108" s="239" t="str">
        <f>IF('CCUS Projects Database'!$T108&lt;&gt;"",HYPERLINK('CCUS Projects Database'!$T108,"Link 3"),"")</f>
        <v/>
      </c>
      <c r="AB108" s="239" t="str">
        <f>IF('CCUS Projects Database'!$U108&lt;&gt;"",HYPERLINK('CCUS Projects Database'!$U108,"Link 4"),"")</f>
        <v/>
      </c>
      <c r="AC108" s="239" t="str">
        <f>IF('CCUS Projects Database'!$V108&lt;&gt;"",HYPERLINK('CCUS Projects Database'!$V108,"Link 5"),"")</f>
        <v/>
      </c>
      <c r="AD108" s="239" t="str">
        <f>IF('CCUS Projects Database'!$W108&lt;&gt;"",HYPERLINK('CCUS Projects Database'!$W108,"Link 6"),"")</f>
        <v/>
      </c>
      <c r="AE108" s="239" t="str">
        <f>IF('CCUS Projects Database'!$X108&lt;&gt;"",HYPERLINK('CCUS Projects Database'!$X108,"Link 7"),"")</f>
        <v/>
      </c>
    </row>
    <row r="109" ht="14.25" customHeight="1">
      <c r="A109" s="233" t="s">
        <v>19177</v>
      </c>
      <c r="B109" s="234">
        <v>129.0</v>
      </c>
      <c r="C109" s="234" t="s">
        <v>18264</v>
      </c>
      <c r="D109" s="235" t="s">
        <v>19178</v>
      </c>
      <c r="E109" s="234" t="s">
        <v>18618</v>
      </c>
      <c r="F109" s="234">
        <v>2021.0</v>
      </c>
      <c r="G109" s="234">
        <v>2023.0</v>
      </c>
      <c r="H109" s="234">
        <v>2028.0</v>
      </c>
      <c r="I109" s="234" t="s">
        <v>18725</v>
      </c>
      <c r="J109" s="234" t="s">
        <v>18638</v>
      </c>
      <c r="K109" s="236" t="s">
        <v>18725</v>
      </c>
      <c r="L109" s="236">
        <v>2.0</v>
      </c>
      <c r="M109" s="236">
        <v>2.0</v>
      </c>
      <c r="N109" s="234" t="s">
        <v>677</v>
      </c>
      <c r="O109" s="237" t="s">
        <v>18683</v>
      </c>
      <c r="P109" s="238" t="s">
        <v>18797</v>
      </c>
      <c r="Q109" s="234" t="s">
        <v>18732</v>
      </c>
      <c r="R109" s="238" t="s">
        <v>19179</v>
      </c>
      <c r="S109" s="238" t="s">
        <v>19180</v>
      </c>
      <c r="T109" s="238" t="s">
        <v>19181</v>
      </c>
      <c r="U109" s="238" t="s">
        <v>19182</v>
      </c>
      <c r="V109" s="238" t="s">
        <v>19183</v>
      </c>
      <c r="W109" s="238" t="s">
        <v>17693</v>
      </c>
      <c r="X109" s="238" t="s">
        <v>19184</v>
      </c>
      <c r="Y109" s="239" t="str">
        <f>IF('CCUS Projects Database'!$R109&lt;&gt;"",HYPERLINK('CCUS Projects Database'!$R109,"Link 1"),"")</f>
        <v>Link 1</v>
      </c>
      <c r="Z109" s="239" t="str">
        <f>IF('CCUS Projects Database'!$S109&lt;&gt;"",HYPERLINK('CCUS Projects Database'!$S109,"Link 2"),"")</f>
        <v>Link 2</v>
      </c>
      <c r="AA109" s="239" t="str">
        <f>IF('CCUS Projects Database'!$T109&lt;&gt;"",HYPERLINK('CCUS Projects Database'!$T109,"Link 3"),"")</f>
        <v>Link 3</v>
      </c>
      <c r="AB109" s="239" t="str">
        <f>IF('CCUS Projects Database'!$U109&lt;&gt;"",HYPERLINK('CCUS Projects Database'!$U109,"Link 4"),"")</f>
        <v>Link 4</v>
      </c>
      <c r="AC109" s="239" t="str">
        <f>IF('CCUS Projects Database'!$V109&lt;&gt;"",HYPERLINK('CCUS Projects Database'!$V109,"Link 5"),"")</f>
        <v>Link 5</v>
      </c>
      <c r="AD109" s="239" t="str">
        <f>IF('CCUS Projects Database'!$W109&lt;&gt;"",HYPERLINK('CCUS Projects Database'!$W109,"Link 6"),"")</f>
        <v>Link 6</v>
      </c>
      <c r="AE109" s="239" t="str">
        <f>IF('CCUS Projects Database'!$X109&lt;&gt;"",HYPERLINK('CCUS Projects Database'!$X109,"Link 7"),"")</f>
        <v>Link 7</v>
      </c>
    </row>
    <row r="110" ht="14.25" customHeight="1">
      <c r="A110" s="233" t="s">
        <v>19185</v>
      </c>
      <c r="B110" s="234">
        <v>130.0</v>
      </c>
      <c r="C110" s="234" t="s">
        <v>83</v>
      </c>
      <c r="D110" s="235" t="s">
        <v>19186</v>
      </c>
      <c r="E110" s="234" t="s">
        <v>18618</v>
      </c>
      <c r="F110" s="234">
        <v>2019.0</v>
      </c>
      <c r="G110" s="234">
        <v>2025.0</v>
      </c>
      <c r="H110" s="234">
        <v>2027.0</v>
      </c>
      <c r="I110" s="234" t="s">
        <v>18725</v>
      </c>
      <c r="J110" s="234" t="s">
        <v>18636</v>
      </c>
      <c r="K110" s="236">
        <v>1.0</v>
      </c>
      <c r="L110" s="236">
        <v>4.3</v>
      </c>
      <c r="M110" s="236">
        <v>4.3</v>
      </c>
      <c r="N110" s="234" t="s">
        <v>18654</v>
      </c>
      <c r="O110" s="237" t="s">
        <v>18675</v>
      </c>
      <c r="P110" s="238" t="s">
        <v>19187</v>
      </c>
      <c r="Q110" s="234" t="s">
        <v>18726</v>
      </c>
      <c r="R110" s="238" t="s">
        <v>19188</v>
      </c>
      <c r="S110" s="238" t="s">
        <v>19189</v>
      </c>
      <c r="T110" s="238" t="s">
        <v>19190</v>
      </c>
      <c r="U110" s="238" t="s">
        <v>19191</v>
      </c>
      <c r="V110" s="238" t="s">
        <v>19192</v>
      </c>
      <c r="W110" s="238" t="s">
        <v>19193</v>
      </c>
      <c r="X110" s="238" t="s">
        <v>18725</v>
      </c>
      <c r="Y110" s="239" t="str">
        <f>IF('CCUS Projects Database'!$R110&lt;&gt;"",HYPERLINK('CCUS Projects Database'!$R110,"Link 1"),"")</f>
        <v>Link 1</v>
      </c>
      <c r="Z110" s="239" t="str">
        <f>IF('CCUS Projects Database'!$S110&lt;&gt;"",HYPERLINK('CCUS Projects Database'!$S110,"Link 2"),"")</f>
        <v>Link 2</v>
      </c>
      <c r="AA110" s="239" t="str">
        <f>IF('CCUS Projects Database'!$T110&lt;&gt;"",HYPERLINK('CCUS Projects Database'!$T110,"Link 3"),"")</f>
        <v>Link 3</v>
      </c>
      <c r="AB110" s="239" t="str">
        <f>IF('CCUS Projects Database'!$U110&lt;&gt;"",HYPERLINK('CCUS Projects Database'!$U110,"Link 4"),"")</f>
        <v>Link 4</v>
      </c>
      <c r="AC110" s="239" t="str">
        <f>IF('CCUS Projects Database'!$V110&lt;&gt;"",HYPERLINK('CCUS Projects Database'!$V110,"Link 5"),"")</f>
        <v>Link 5</v>
      </c>
      <c r="AD110" s="239" t="str">
        <f>IF('CCUS Projects Database'!$W110&lt;&gt;"",HYPERLINK('CCUS Projects Database'!$W110,"Link 6"),"")</f>
        <v>Link 6</v>
      </c>
      <c r="AE110" s="239" t="str">
        <f>IF('CCUS Projects Database'!$X110&lt;&gt;"",HYPERLINK('CCUS Projects Database'!$X110,"Link 7"),"")</f>
        <v/>
      </c>
    </row>
    <row r="111" ht="14.25" customHeight="1">
      <c r="A111" s="233" t="s">
        <v>19194</v>
      </c>
      <c r="B111" s="234">
        <v>131.0</v>
      </c>
      <c r="C111" s="234" t="s">
        <v>83</v>
      </c>
      <c r="D111" s="235" t="s">
        <v>19186</v>
      </c>
      <c r="E111" s="234" t="s">
        <v>18618</v>
      </c>
      <c r="F111" s="234">
        <v>2019.0</v>
      </c>
      <c r="G111" s="234">
        <v>2025.0</v>
      </c>
      <c r="H111" s="234">
        <v>2030.0</v>
      </c>
      <c r="I111" s="234" t="s">
        <v>18725</v>
      </c>
      <c r="J111" s="234" t="s">
        <v>18636</v>
      </c>
      <c r="K111" s="236">
        <v>2.0</v>
      </c>
      <c r="L111" s="236">
        <v>3.7</v>
      </c>
      <c r="M111" s="236">
        <v>3.7</v>
      </c>
      <c r="N111" s="234" t="s">
        <v>18654</v>
      </c>
      <c r="O111" s="237" t="s">
        <v>18675</v>
      </c>
      <c r="P111" s="238" t="s">
        <v>19187</v>
      </c>
      <c r="Q111" s="234" t="s">
        <v>18726</v>
      </c>
      <c r="R111" s="238" t="s">
        <v>19188</v>
      </c>
      <c r="S111" s="238" t="s">
        <v>19189</v>
      </c>
      <c r="T111" s="238" t="s">
        <v>19191</v>
      </c>
      <c r="U111" s="238" t="s">
        <v>19193</v>
      </c>
      <c r="V111" s="238" t="s">
        <v>18725</v>
      </c>
      <c r="W111" s="238" t="s">
        <v>18725</v>
      </c>
      <c r="X111" s="238" t="s">
        <v>18725</v>
      </c>
      <c r="Y111" s="239" t="str">
        <f>IF('CCUS Projects Database'!$R111&lt;&gt;"",HYPERLINK('CCUS Projects Database'!$R111,"Link 1"),"")</f>
        <v>Link 1</v>
      </c>
      <c r="Z111" s="239" t="str">
        <f>IF('CCUS Projects Database'!$S111&lt;&gt;"",HYPERLINK('CCUS Projects Database'!$S111,"Link 2"),"")</f>
        <v>Link 2</v>
      </c>
      <c r="AA111" s="239" t="str">
        <f>IF('CCUS Projects Database'!$T111&lt;&gt;"",HYPERLINK('CCUS Projects Database'!$T111,"Link 3"),"")</f>
        <v>Link 3</v>
      </c>
      <c r="AB111" s="239" t="str">
        <f>IF('CCUS Projects Database'!$U111&lt;&gt;"",HYPERLINK('CCUS Projects Database'!$U111,"Link 4"),"")</f>
        <v>Link 4</v>
      </c>
      <c r="AC111" s="239" t="str">
        <f>IF('CCUS Projects Database'!$V111&lt;&gt;"",HYPERLINK('CCUS Projects Database'!$V111,"Link 5"),"")</f>
        <v/>
      </c>
      <c r="AD111" s="239" t="str">
        <f>IF('CCUS Projects Database'!$W111&lt;&gt;"",HYPERLINK('CCUS Projects Database'!$W111,"Link 6"),"")</f>
        <v/>
      </c>
      <c r="AE111" s="239" t="str">
        <f>IF('CCUS Projects Database'!$X111&lt;&gt;"",HYPERLINK('CCUS Projects Database'!$X111,"Link 7"),"")</f>
        <v/>
      </c>
    </row>
    <row r="112" ht="14.25" customHeight="1">
      <c r="A112" s="233" t="s">
        <v>19195</v>
      </c>
      <c r="B112" s="234">
        <v>132.0</v>
      </c>
      <c r="C112" s="234" t="s">
        <v>18586</v>
      </c>
      <c r="D112" s="235" t="s">
        <v>19196</v>
      </c>
      <c r="E112" s="234" t="s">
        <v>18616</v>
      </c>
      <c r="F112" s="234">
        <v>2016.0</v>
      </c>
      <c r="G112" s="234" t="s">
        <v>18725</v>
      </c>
      <c r="H112" s="234">
        <v>2026.0</v>
      </c>
      <c r="I112" s="234" t="s">
        <v>18725</v>
      </c>
      <c r="J112" s="234" t="s">
        <v>18636</v>
      </c>
      <c r="K112" s="236">
        <v>1.0</v>
      </c>
      <c r="L112" s="236">
        <v>3.0</v>
      </c>
      <c r="M112" s="236">
        <v>3.0</v>
      </c>
      <c r="N112" s="234" t="s">
        <v>18654</v>
      </c>
      <c r="O112" s="237" t="s">
        <v>18675</v>
      </c>
      <c r="P112" s="238" t="s">
        <v>19197</v>
      </c>
      <c r="Q112" s="234" t="s">
        <v>18732</v>
      </c>
      <c r="R112" s="238" t="s">
        <v>19198</v>
      </c>
      <c r="S112" s="238" t="s">
        <v>19199</v>
      </c>
      <c r="T112" s="238" t="s">
        <v>19200</v>
      </c>
      <c r="U112" s="238" t="s">
        <v>19201</v>
      </c>
      <c r="V112" s="238" t="s">
        <v>19202</v>
      </c>
      <c r="W112" s="238" t="s">
        <v>19203</v>
      </c>
      <c r="X112" s="238" t="s">
        <v>19204</v>
      </c>
      <c r="Y112" s="239" t="str">
        <f>IF('CCUS Projects Database'!$R112&lt;&gt;"",HYPERLINK('CCUS Projects Database'!$R112,"Link 1"),"")</f>
        <v>Link 1</v>
      </c>
      <c r="Z112" s="239" t="str">
        <f>IF('CCUS Projects Database'!$S112&lt;&gt;"",HYPERLINK('CCUS Projects Database'!$S112,"Link 2"),"")</f>
        <v>Link 2</v>
      </c>
      <c r="AA112" s="239" t="str">
        <f>IF('CCUS Projects Database'!$T112&lt;&gt;"",HYPERLINK('CCUS Projects Database'!$T112,"Link 3"),"")</f>
        <v>Link 3</v>
      </c>
      <c r="AB112" s="239" t="str">
        <f>IF('CCUS Projects Database'!$U112&lt;&gt;"",HYPERLINK('CCUS Projects Database'!$U112,"Link 4"),"")</f>
        <v>Link 4</v>
      </c>
      <c r="AC112" s="239" t="str">
        <f>IF('CCUS Projects Database'!$V112&lt;&gt;"",HYPERLINK('CCUS Projects Database'!$V112,"Link 5"),"")</f>
        <v>Link 5</v>
      </c>
      <c r="AD112" s="239" t="str">
        <f>IF('CCUS Projects Database'!$W112&lt;&gt;"",HYPERLINK('CCUS Projects Database'!$W112,"Link 6"),"")</f>
        <v>Link 6</v>
      </c>
      <c r="AE112" s="239" t="str">
        <f>IF('CCUS Projects Database'!$X112&lt;&gt;"",HYPERLINK('CCUS Projects Database'!$X112,"Link 7"),"")</f>
        <v>Link 7</v>
      </c>
    </row>
    <row r="113" ht="14.25" customHeight="1">
      <c r="A113" s="233" t="s">
        <v>19205</v>
      </c>
      <c r="B113" s="234">
        <v>133.0</v>
      </c>
      <c r="C113" s="234" t="s">
        <v>18586</v>
      </c>
      <c r="D113" s="235" t="s">
        <v>19206</v>
      </c>
      <c r="E113" s="234" t="s">
        <v>3</v>
      </c>
      <c r="F113" s="234">
        <v>2022.0</v>
      </c>
      <c r="G113" s="234" t="s">
        <v>18725</v>
      </c>
      <c r="H113" s="234">
        <v>2026.0</v>
      </c>
      <c r="I113" s="234" t="s">
        <v>18725</v>
      </c>
      <c r="J113" s="234" t="s">
        <v>18636</v>
      </c>
      <c r="K113" s="236" t="s">
        <v>18725</v>
      </c>
      <c r="L113" s="236">
        <v>1.5</v>
      </c>
      <c r="M113" s="236">
        <v>1.5</v>
      </c>
      <c r="N113" s="234" t="s">
        <v>3</v>
      </c>
      <c r="O113" s="237" t="s">
        <v>18675</v>
      </c>
      <c r="P113" s="238" t="s">
        <v>19207</v>
      </c>
      <c r="Q113" s="234" t="s">
        <v>18732</v>
      </c>
      <c r="R113" s="238" t="s">
        <v>19208</v>
      </c>
      <c r="S113" s="238" t="s">
        <v>18725</v>
      </c>
      <c r="T113" s="238" t="s">
        <v>18725</v>
      </c>
      <c r="U113" s="238" t="s">
        <v>18725</v>
      </c>
      <c r="V113" s="238" t="s">
        <v>18725</v>
      </c>
      <c r="W113" s="238" t="s">
        <v>18725</v>
      </c>
      <c r="X113" s="238" t="s">
        <v>18725</v>
      </c>
      <c r="Y113" s="239" t="str">
        <f>IF('CCUS Projects Database'!$R113&lt;&gt;"",HYPERLINK('CCUS Projects Database'!$R113,"Link 1"),"")</f>
        <v>Link 1</v>
      </c>
      <c r="Z113" s="239" t="str">
        <f>IF('CCUS Projects Database'!$S113&lt;&gt;"",HYPERLINK('CCUS Projects Database'!$S113,"Link 2"),"")</f>
        <v/>
      </c>
      <c r="AA113" s="239" t="str">
        <f>IF('CCUS Projects Database'!$T113&lt;&gt;"",HYPERLINK('CCUS Projects Database'!$T113,"Link 3"),"")</f>
        <v/>
      </c>
      <c r="AB113" s="239" t="str">
        <f>IF('CCUS Projects Database'!$U113&lt;&gt;"",HYPERLINK('CCUS Projects Database'!$U113,"Link 4"),"")</f>
        <v/>
      </c>
      <c r="AC113" s="239" t="str">
        <f>IF('CCUS Projects Database'!$V113&lt;&gt;"",HYPERLINK('CCUS Projects Database'!$V113,"Link 5"),"")</f>
        <v/>
      </c>
      <c r="AD113" s="239" t="str">
        <f>IF('CCUS Projects Database'!$W113&lt;&gt;"",HYPERLINK('CCUS Projects Database'!$W113,"Link 6"),"")</f>
        <v/>
      </c>
      <c r="AE113" s="239" t="str">
        <f>IF('CCUS Projects Database'!$X113&lt;&gt;"",HYPERLINK('CCUS Projects Database'!$X113,"Link 7"),"")</f>
        <v/>
      </c>
    </row>
    <row r="114" ht="14.25" customHeight="1">
      <c r="A114" s="233" t="s">
        <v>19209</v>
      </c>
      <c r="B114" s="234">
        <v>135.0</v>
      </c>
      <c r="C114" s="234" t="s">
        <v>18264</v>
      </c>
      <c r="D114" s="235" t="s">
        <v>19210</v>
      </c>
      <c r="E114" s="234" t="s">
        <v>18618</v>
      </c>
      <c r="F114" s="234">
        <v>2021.0</v>
      </c>
      <c r="G114" s="234" t="s">
        <v>18725</v>
      </c>
      <c r="H114" s="234">
        <v>2029.0</v>
      </c>
      <c r="I114" s="234" t="s">
        <v>18725</v>
      </c>
      <c r="J114" s="234" t="s">
        <v>18636</v>
      </c>
      <c r="K114" s="236" t="s">
        <v>18725</v>
      </c>
      <c r="L114" s="236">
        <v>2.4</v>
      </c>
      <c r="M114" s="236">
        <v>1.443</v>
      </c>
      <c r="N114" s="234" t="s">
        <v>18731</v>
      </c>
      <c r="O114" s="237" t="s">
        <v>18675</v>
      </c>
      <c r="P114" s="238" t="s">
        <v>18870</v>
      </c>
      <c r="Q114" s="234" t="s">
        <v>18732</v>
      </c>
      <c r="R114" s="238" t="s">
        <v>16577</v>
      </c>
      <c r="S114" s="238" t="s">
        <v>18725</v>
      </c>
      <c r="T114" s="238" t="s">
        <v>18725</v>
      </c>
      <c r="U114" s="238" t="s">
        <v>18725</v>
      </c>
      <c r="V114" s="238" t="s">
        <v>18725</v>
      </c>
      <c r="W114" s="238" t="s">
        <v>18725</v>
      </c>
      <c r="X114" s="238" t="s">
        <v>18725</v>
      </c>
      <c r="Y114" s="239" t="str">
        <f>IF('CCUS Projects Database'!$R114&lt;&gt;"",HYPERLINK('CCUS Projects Database'!$R114,"Link 1"),"")</f>
        <v>Link 1</v>
      </c>
      <c r="Z114" s="239" t="str">
        <f>IF('CCUS Projects Database'!$S114&lt;&gt;"",HYPERLINK('CCUS Projects Database'!$S114,"Link 2"),"")</f>
        <v/>
      </c>
      <c r="AA114" s="239" t="str">
        <f>IF('CCUS Projects Database'!$T114&lt;&gt;"",HYPERLINK('CCUS Projects Database'!$T114,"Link 3"),"")</f>
        <v/>
      </c>
      <c r="AB114" s="239" t="str">
        <f>IF('CCUS Projects Database'!$U114&lt;&gt;"",HYPERLINK('CCUS Projects Database'!$U114,"Link 4"),"")</f>
        <v/>
      </c>
      <c r="AC114" s="239" t="str">
        <f>IF('CCUS Projects Database'!$V114&lt;&gt;"",HYPERLINK('CCUS Projects Database'!$V114,"Link 5"),"")</f>
        <v/>
      </c>
      <c r="AD114" s="239" t="str">
        <f>IF('CCUS Projects Database'!$W114&lt;&gt;"",HYPERLINK('CCUS Projects Database'!$W114,"Link 6"),"")</f>
        <v/>
      </c>
      <c r="AE114" s="239" t="str">
        <f>IF('CCUS Projects Database'!$X114&lt;&gt;"",HYPERLINK('CCUS Projects Database'!$X114,"Link 7"),"")</f>
        <v/>
      </c>
    </row>
    <row r="115" ht="14.25" customHeight="1">
      <c r="A115" s="233" t="s">
        <v>9456</v>
      </c>
      <c r="B115" s="234">
        <v>136.0</v>
      </c>
      <c r="C115" s="234" t="s">
        <v>18586</v>
      </c>
      <c r="D115" s="235" t="s">
        <v>19211</v>
      </c>
      <c r="E115" s="234" t="s">
        <v>18618</v>
      </c>
      <c r="F115" s="234">
        <v>2022.0</v>
      </c>
      <c r="G115" s="234" t="s">
        <v>18725</v>
      </c>
      <c r="H115" s="234">
        <v>2028.0</v>
      </c>
      <c r="I115" s="234" t="s">
        <v>18725</v>
      </c>
      <c r="J115" s="234" t="s">
        <v>18636</v>
      </c>
      <c r="K115" s="236" t="s">
        <v>18725</v>
      </c>
      <c r="L115" s="236" t="s">
        <v>18725</v>
      </c>
      <c r="M115" s="236">
        <v>1.89</v>
      </c>
      <c r="N115" s="234" t="s">
        <v>18731</v>
      </c>
      <c r="O115" s="237" t="s">
        <v>18675</v>
      </c>
      <c r="P115" s="238" t="s">
        <v>19212</v>
      </c>
      <c r="Q115" s="234" t="s">
        <v>18732</v>
      </c>
      <c r="R115" s="238" t="s">
        <v>17248</v>
      </c>
      <c r="S115" s="238" t="s">
        <v>19213</v>
      </c>
      <c r="T115" s="238" t="s">
        <v>18725</v>
      </c>
      <c r="U115" s="238" t="s">
        <v>18725</v>
      </c>
      <c r="V115" s="238" t="s">
        <v>18725</v>
      </c>
      <c r="W115" s="238" t="s">
        <v>18725</v>
      </c>
      <c r="X115" s="238" t="s">
        <v>18725</v>
      </c>
      <c r="Y115" s="239" t="str">
        <f>IF('CCUS Projects Database'!$R115&lt;&gt;"",HYPERLINK('CCUS Projects Database'!$R115,"Link 1"),"")</f>
        <v>Link 1</v>
      </c>
      <c r="Z115" s="239" t="str">
        <f>IF('CCUS Projects Database'!$S115&lt;&gt;"",HYPERLINK('CCUS Projects Database'!$S115,"Link 2"),"")</f>
        <v>Link 2</v>
      </c>
      <c r="AA115" s="239" t="str">
        <f>IF('CCUS Projects Database'!$T115&lt;&gt;"",HYPERLINK('CCUS Projects Database'!$T115,"Link 3"),"")</f>
        <v/>
      </c>
      <c r="AB115" s="239" t="str">
        <f>IF('CCUS Projects Database'!$U115&lt;&gt;"",HYPERLINK('CCUS Projects Database'!$U115,"Link 4"),"")</f>
        <v/>
      </c>
      <c r="AC115" s="239" t="str">
        <f>IF('CCUS Projects Database'!$V115&lt;&gt;"",HYPERLINK('CCUS Projects Database'!$V115,"Link 5"),"")</f>
        <v/>
      </c>
      <c r="AD115" s="239" t="str">
        <f>IF('CCUS Projects Database'!$W115&lt;&gt;"",HYPERLINK('CCUS Projects Database'!$W115,"Link 6"),"")</f>
        <v/>
      </c>
      <c r="AE115" s="239" t="str">
        <f>IF('CCUS Projects Database'!$X115&lt;&gt;"",HYPERLINK('CCUS Projects Database'!$X115,"Link 7"),"")</f>
        <v/>
      </c>
    </row>
    <row r="116" ht="14.25" customHeight="1">
      <c r="A116" s="233" t="s">
        <v>19214</v>
      </c>
      <c r="B116" s="234">
        <v>137.0</v>
      </c>
      <c r="C116" s="234" t="s">
        <v>18290</v>
      </c>
      <c r="D116" s="235" t="s">
        <v>19215</v>
      </c>
      <c r="E116" s="234" t="s">
        <v>18616</v>
      </c>
      <c r="F116" s="234">
        <v>2022.0</v>
      </c>
      <c r="G116" s="234">
        <v>2026.0</v>
      </c>
      <c r="H116" s="234">
        <v>2030.0</v>
      </c>
      <c r="I116" s="234" t="s">
        <v>18725</v>
      </c>
      <c r="J116" s="234" t="s">
        <v>18636</v>
      </c>
      <c r="K116" s="236" t="s">
        <v>18725</v>
      </c>
      <c r="L116" s="236" t="s">
        <v>18725</v>
      </c>
      <c r="M116" s="236" t="s">
        <v>18725</v>
      </c>
      <c r="N116" s="234" t="s">
        <v>18654</v>
      </c>
      <c r="O116" s="237" t="s">
        <v>18675</v>
      </c>
      <c r="P116" s="238" t="s">
        <v>19216</v>
      </c>
      <c r="Q116" s="234" t="s">
        <v>18856</v>
      </c>
      <c r="R116" s="238" t="s">
        <v>19217</v>
      </c>
      <c r="S116" s="238" t="s">
        <v>19218</v>
      </c>
      <c r="T116" s="238" t="s">
        <v>19219</v>
      </c>
      <c r="U116" s="238" t="s">
        <v>18725</v>
      </c>
      <c r="V116" s="238" t="s">
        <v>18725</v>
      </c>
      <c r="W116" s="238" t="s">
        <v>18725</v>
      </c>
      <c r="X116" s="238" t="s">
        <v>18725</v>
      </c>
      <c r="Y116" s="239" t="str">
        <f>IF('CCUS Projects Database'!$R116&lt;&gt;"",HYPERLINK('CCUS Projects Database'!$R116,"Link 1"),"")</f>
        <v>Link 1</v>
      </c>
      <c r="Z116" s="239" t="str">
        <f>IF('CCUS Projects Database'!$S116&lt;&gt;"",HYPERLINK('CCUS Projects Database'!$S116,"Link 2"),"")</f>
        <v>Link 2</v>
      </c>
      <c r="AA116" s="239" t="str">
        <f>IF('CCUS Projects Database'!$T116&lt;&gt;"",HYPERLINK('CCUS Projects Database'!$T116,"Link 3"),"")</f>
        <v>Link 3</v>
      </c>
      <c r="AB116" s="239" t="str">
        <f>IF('CCUS Projects Database'!$U116&lt;&gt;"",HYPERLINK('CCUS Projects Database'!$U116,"Link 4"),"")</f>
        <v/>
      </c>
      <c r="AC116" s="239" t="str">
        <f>IF('CCUS Projects Database'!$V116&lt;&gt;"",HYPERLINK('CCUS Projects Database'!$V116,"Link 5"),"")</f>
        <v/>
      </c>
      <c r="AD116" s="239" t="str">
        <f>IF('CCUS Projects Database'!$W116&lt;&gt;"",HYPERLINK('CCUS Projects Database'!$W116,"Link 6"),"")</f>
        <v/>
      </c>
      <c r="AE116" s="239" t="str">
        <f>IF('CCUS Projects Database'!$X116&lt;&gt;"",HYPERLINK('CCUS Projects Database'!$X116,"Link 7"),"")</f>
        <v/>
      </c>
    </row>
    <row r="117" ht="14.25" customHeight="1">
      <c r="A117" s="233" t="s">
        <v>19220</v>
      </c>
      <c r="B117" s="234">
        <v>138.0</v>
      </c>
      <c r="C117" s="234" t="s">
        <v>197</v>
      </c>
      <c r="D117" s="235" t="s">
        <v>19221</v>
      </c>
      <c r="E117" s="234" t="s">
        <v>18618</v>
      </c>
      <c r="F117" s="234">
        <v>2021.0</v>
      </c>
      <c r="G117" s="234" t="s">
        <v>18725</v>
      </c>
      <c r="H117" s="234">
        <v>2026.0</v>
      </c>
      <c r="I117" s="234" t="s">
        <v>18725</v>
      </c>
      <c r="J117" s="234" t="s">
        <v>18636</v>
      </c>
      <c r="K117" s="236" t="s">
        <v>18725</v>
      </c>
      <c r="L117" s="236">
        <v>2.5</v>
      </c>
      <c r="M117" s="236">
        <v>2.5</v>
      </c>
      <c r="N117" s="234" t="s">
        <v>18731</v>
      </c>
      <c r="O117" s="237" t="s">
        <v>18675</v>
      </c>
      <c r="P117" s="238" t="s">
        <v>19222</v>
      </c>
      <c r="Q117" s="234" t="s">
        <v>18726</v>
      </c>
      <c r="R117" s="238" t="s">
        <v>19223</v>
      </c>
      <c r="S117" s="238" t="s">
        <v>19224</v>
      </c>
      <c r="T117" s="238" t="s">
        <v>18725</v>
      </c>
      <c r="U117" s="238" t="s">
        <v>18725</v>
      </c>
      <c r="V117" s="238" t="s">
        <v>18725</v>
      </c>
      <c r="W117" s="238" t="s">
        <v>18725</v>
      </c>
      <c r="X117" s="238" t="s">
        <v>18725</v>
      </c>
      <c r="Y117" s="239" t="str">
        <f>IF('CCUS Projects Database'!$R117&lt;&gt;"",HYPERLINK('CCUS Projects Database'!$R117,"Link 1"),"")</f>
        <v>Link 1</v>
      </c>
      <c r="Z117" s="239" t="str">
        <f>IF('CCUS Projects Database'!$S117&lt;&gt;"",HYPERLINK('CCUS Projects Database'!$S117,"Link 2"),"")</f>
        <v>Link 2</v>
      </c>
      <c r="AA117" s="239" t="str">
        <f>IF('CCUS Projects Database'!$T117&lt;&gt;"",HYPERLINK('CCUS Projects Database'!$T117,"Link 3"),"")</f>
        <v/>
      </c>
      <c r="AB117" s="239" t="str">
        <f>IF('CCUS Projects Database'!$U117&lt;&gt;"",HYPERLINK('CCUS Projects Database'!$U117,"Link 4"),"")</f>
        <v/>
      </c>
      <c r="AC117" s="239" t="str">
        <f>IF('CCUS Projects Database'!$V117&lt;&gt;"",HYPERLINK('CCUS Projects Database'!$V117,"Link 5"),"")</f>
        <v/>
      </c>
      <c r="AD117" s="239" t="str">
        <f>IF('CCUS Projects Database'!$W117&lt;&gt;"",HYPERLINK('CCUS Projects Database'!$W117,"Link 6"),"")</f>
        <v/>
      </c>
      <c r="AE117" s="239" t="str">
        <f>IF('CCUS Projects Database'!$X117&lt;&gt;"",HYPERLINK('CCUS Projects Database'!$X117,"Link 7"),"")</f>
        <v/>
      </c>
    </row>
    <row r="118" ht="14.25" customHeight="1">
      <c r="A118" s="233" t="s">
        <v>19225</v>
      </c>
      <c r="B118" s="234">
        <v>142.0</v>
      </c>
      <c r="C118" s="234" t="s">
        <v>78</v>
      </c>
      <c r="D118" s="235" t="s">
        <v>19226</v>
      </c>
      <c r="E118" s="234" t="s">
        <v>18618</v>
      </c>
      <c r="F118" s="234">
        <v>2020.0</v>
      </c>
      <c r="G118" s="234" t="s">
        <v>18725</v>
      </c>
      <c r="H118" s="234">
        <v>2030.0</v>
      </c>
      <c r="I118" s="234" t="s">
        <v>18725</v>
      </c>
      <c r="J118" s="234" t="s">
        <v>18636</v>
      </c>
      <c r="K118" s="236">
        <v>1.0</v>
      </c>
      <c r="L118" s="236">
        <v>0.8</v>
      </c>
      <c r="M118" s="236">
        <v>0.8</v>
      </c>
      <c r="N118" s="234" t="s">
        <v>18654</v>
      </c>
      <c r="O118" s="237" t="s">
        <v>18675</v>
      </c>
      <c r="P118" s="238" t="s">
        <v>19227</v>
      </c>
      <c r="Q118" s="234" t="s">
        <v>18726</v>
      </c>
      <c r="R118" s="238" t="s">
        <v>17245</v>
      </c>
      <c r="S118" s="238" t="s">
        <v>18725</v>
      </c>
      <c r="T118" s="238" t="s">
        <v>18725</v>
      </c>
      <c r="U118" s="238" t="s">
        <v>18725</v>
      </c>
      <c r="V118" s="238" t="s">
        <v>18725</v>
      </c>
      <c r="W118" s="238" t="s">
        <v>18725</v>
      </c>
      <c r="X118" s="238" t="s">
        <v>18725</v>
      </c>
      <c r="Y118" s="239" t="str">
        <f>IF('CCUS Projects Database'!$R118&lt;&gt;"",HYPERLINK('CCUS Projects Database'!$R118,"Link 1"),"")</f>
        <v>Link 1</v>
      </c>
      <c r="Z118" s="239" t="str">
        <f>IF('CCUS Projects Database'!$S118&lt;&gt;"",HYPERLINK('CCUS Projects Database'!$S118,"Link 2"),"")</f>
        <v/>
      </c>
      <c r="AA118" s="239" t="str">
        <f>IF('CCUS Projects Database'!$T118&lt;&gt;"",HYPERLINK('CCUS Projects Database'!$T118,"Link 3"),"")</f>
        <v/>
      </c>
      <c r="AB118" s="239" t="str">
        <f>IF('CCUS Projects Database'!$U118&lt;&gt;"",HYPERLINK('CCUS Projects Database'!$U118,"Link 4"),"")</f>
        <v/>
      </c>
      <c r="AC118" s="239" t="str">
        <f>IF('CCUS Projects Database'!$V118&lt;&gt;"",HYPERLINK('CCUS Projects Database'!$V118,"Link 5"),"")</f>
        <v/>
      </c>
      <c r="AD118" s="239" t="str">
        <f>IF('CCUS Projects Database'!$W118&lt;&gt;"",HYPERLINK('CCUS Projects Database'!$W118,"Link 6"),"")</f>
        <v/>
      </c>
      <c r="AE118" s="239" t="str">
        <f>IF('CCUS Projects Database'!$X118&lt;&gt;"",HYPERLINK('CCUS Projects Database'!$X118,"Link 7"),"")</f>
        <v/>
      </c>
    </row>
    <row r="119" ht="14.25" customHeight="1">
      <c r="A119" s="233" t="s">
        <v>19228</v>
      </c>
      <c r="B119" s="234">
        <v>143.0</v>
      </c>
      <c r="C119" s="234" t="s">
        <v>78</v>
      </c>
      <c r="D119" s="235" t="s">
        <v>19226</v>
      </c>
      <c r="E119" s="234" t="s">
        <v>18618</v>
      </c>
      <c r="F119" s="234">
        <v>2020.0</v>
      </c>
      <c r="G119" s="234" t="s">
        <v>18725</v>
      </c>
      <c r="H119" s="234">
        <v>2030.0</v>
      </c>
      <c r="I119" s="234" t="s">
        <v>18725</v>
      </c>
      <c r="J119" s="234" t="s">
        <v>18636</v>
      </c>
      <c r="K119" s="236" t="s">
        <v>18725</v>
      </c>
      <c r="L119" s="236">
        <v>0.2</v>
      </c>
      <c r="M119" s="236">
        <v>0.2</v>
      </c>
      <c r="N119" s="234" t="s">
        <v>18661</v>
      </c>
      <c r="O119" s="237" t="s">
        <v>18675</v>
      </c>
      <c r="P119" s="238" t="s">
        <v>19227</v>
      </c>
      <c r="Q119" s="234" t="s">
        <v>18726</v>
      </c>
      <c r="R119" s="238" t="s">
        <v>17245</v>
      </c>
      <c r="S119" s="238" t="s">
        <v>18725</v>
      </c>
      <c r="T119" s="238" t="s">
        <v>18725</v>
      </c>
      <c r="U119" s="238" t="s">
        <v>18725</v>
      </c>
      <c r="V119" s="238" t="s">
        <v>18725</v>
      </c>
      <c r="W119" s="238" t="s">
        <v>18725</v>
      </c>
      <c r="X119" s="238" t="s">
        <v>18725</v>
      </c>
      <c r="Y119" s="239" t="str">
        <f>IF('CCUS Projects Database'!$R119&lt;&gt;"",HYPERLINK('CCUS Projects Database'!$R119,"Link 1"),"")</f>
        <v>Link 1</v>
      </c>
      <c r="Z119" s="239" t="str">
        <f>IF('CCUS Projects Database'!$S119&lt;&gt;"",HYPERLINK('CCUS Projects Database'!$S119,"Link 2"),"")</f>
        <v/>
      </c>
      <c r="AA119" s="239" t="str">
        <f>IF('CCUS Projects Database'!$T119&lt;&gt;"",HYPERLINK('CCUS Projects Database'!$T119,"Link 3"),"")</f>
        <v/>
      </c>
      <c r="AB119" s="239" t="str">
        <f>IF('CCUS Projects Database'!$U119&lt;&gt;"",HYPERLINK('CCUS Projects Database'!$U119,"Link 4"),"")</f>
        <v/>
      </c>
      <c r="AC119" s="239" t="str">
        <f>IF('CCUS Projects Database'!$V119&lt;&gt;"",HYPERLINK('CCUS Projects Database'!$V119,"Link 5"),"")</f>
        <v/>
      </c>
      <c r="AD119" s="239" t="str">
        <f>IF('CCUS Projects Database'!$W119&lt;&gt;"",HYPERLINK('CCUS Projects Database'!$W119,"Link 6"),"")</f>
        <v/>
      </c>
      <c r="AE119" s="239" t="str">
        <f>IF('CCUS Projects Database'!$X119&lt;&gt;"",HYPERLINK('CCUS Projects Database'!$X119,"Link 7"),"")</f>
        <v/>
      </c>
    </row>
    <row r="120" ht="14.25" customHeight="1">
      <c r="A120" s="233" t="s">
        <v>19229</v>
      </c>
      <c r="B120" s="234">
        <v>144.0</v>
      </c>
      <c r="C120" s="234" t="s">
        <v>18586</v>
      </c>
      <c r="D120" s="235" t="s">
        <v>19230</v>
      </c>
      <c r="E120" s="234" t="s">
        <v>18616</v>
      </c>
      <c r="F120" s="234" t="s">
        <v>18725</v>
      </c>
      <c r="G120" s="234" t="s">
        <v>18725</v>
      </c>
      <c r="H120" s="234">
        <v>1982.0</v>
      </c>
      <c r="I120" s="234" t="s">
        <v>18725</v>
      </c>
      <c r="J120" s="234" t="s">
        <v>12385</v>
      </c>
      <c r="K120" s="236" t="s">
        <v>18725</v>
      </c>
      <c r="L120" s="236">
        <v>0.68</v>
      </c>
      <c r="M120" s="236">
        <v>0.68</v>
      </c>
      <c r="N120" s="234" t="s">
        <v>677</v>
      </c>
      <c r="O120" s="237" t="s">
        <v>18677</v>
      </c>
      <c r="P120" s="238" t="s">
        <v>18725</v>
      </c>
      <c r="Q120" s="234" t="s">
        <v>18732</v>
      </c>
      <c r="R120" s="238" t="s">
        <v>19231</v>
      </c>
      <c r="S120" s="238" t="s">
        <v>19104</v>
      </c>
      <c r="T120" s="238" t="s">
        <v>19232</v>
      </c>
      <c r="U120" s="238" t="s">
        <v>18725</v>
      </c>
      <c r="V120" s="238" t="s">
        <v>18725</v>
      </c>
      <c r="W120" s="238" t="s">
        <v>18725</v>
      </c>
      <c r="X120" s="238" t="s">
        <v>18725</v>
      </c>
      <c r="Y120" s="239" t="str">
        <f>IF('CCUS Projects Database'!$R120&lt;&gt;"",HYPERLINK('CCUS Projects Database'!$R120,"Link 1"),"")</f>
        <v>Link 1</v>
      </c>
      <c r="Z120" s="239" t="str">
        <f>IF('CCUS Projects Database'!$S120&lt;&gt;"",HYPERLINK('CCUS Projects Database'!$S120,"Link 2"),"")</f>
        <v>Link 2</v>
      </c>
      <c r="AA120" s="239" t="str">
        <f>IF('CCUS Projects Database'!$T120&lt;&gt;"",HYPERLINK('CCUS Projects Database'!$T120,"Link 3"),"")</f>
        <v>Link 3</v>
      </c>
      <c r="AB120" s="239" t="str">
        <f>IF('CCUS Projects Database'!$U120&lt;&gt;"",HYPERLINK('CCUS Projects Database'!$U120,"Link 4"),"")</f>
        <v/>
      </c>
      <c r="AC120" s="239" t="str">
        <f>IF('CCUS Projects Database'!$V120&lt;&gt;"",HYPERLINK('CCUS Projects Database'!$V120,"Link 5"),"")</f>
        <v/>
      </c>
      <c r="AD120" s="239" t="str">
        <f>IF('CCUS Projects Database'!$W120&lt;&gt;"",HYPERLINK('CCUS Projects Database'!$W120,"Link 6"),"")</f>
        <v/>
      </c>
      <c r="AE120" s="239" t="str">
        <f>IF('CCUS Projects Database'!$X120&lt;&gt;"",HYPERLINK('CCUS Projects Database'!$X120,"Link 7"),"")</f>
        <v/>
      </c>
    </row>
    <row r="121" ht="14.25" customHeight="1">
      <c r="A121" s="233" t="s">
        <v>19233</v>
      </c>
      <c r="B121" s="234">
        <v>145.0</v>
      </c>
      <c r="C121" s="234" t="s">
        <v>18429</v>
      </c>
      <c r="D121" s="235" t="s">
        <v>19234</v>
      </c>
      <c r="E121" s="234" t="s">
        <v>18618</v>
      </c>
      <c r="F121" s="234">
        <v>2018.0</v>
      </c>
      <c r="G121" s="234" t="s">
        <v>18725</v>
      </c>
      <c r="H121" s="234">
        <v>2030.0</v>
      </c>
      <c r="I121" s="234" t="s">
        <v>18725</v>
      </c>
      <c r="J121" s="234" t="s">
        <v>18636</v>
      </c>
      <c r="K121" s="236" t="s">
        <v>18725</v>
      </c>
      <c r="L121" s="236" t="s">
        <v>18725</v>
      </c>
      <c r="M121" s="236" t="s">
        <v>18725</v>
      </c>
      <c r="N121" s="234" t="s">
        <v>18654</v>
      </c>
      <c r="O121" s="237" t="s">
        <v>18683</v>
      </c>
      <c r="P121" s="238" t="s">
        <v>19235</v>
      </c>
      <c r="Q121" s="234" t="s">
        <v>18726</v>
      </c>
      <c r="R121" s="238" t="s">
        <v>19236</v>
      </c>
      <c r="S121" s="238" t="s">
        <v>18725</v>
      </c>
      <c r="T121" s="238" t="s">
        <v>18725</v>
      </c>
      <c r="U121" s="238" t="s">
        <v>18725</v>
      </c>
      <c r="V121" s="238" t="s">
        <v>18725</v>
      </c>
      <c r="W121" s="238" t="s">
        <v>18725</v>
      </c>
      <c r="X121" s="238" t="s">
        <v>18725</v>
      </c>
      <c r="Y121" s="239" t="str">
        <f>IF('CCUS Projects Database'!$R121&lt;&gt;"",HYPERLINK('CCUS Projects Database'!$R121,"Link 1"),"")</f>
        <v>Link 1</v>
      </c>
      <c r="Z121" s="239" t="str">
        <f>IF('CCUS Projects Database'!$S121&lt;&gt;"",HYPERLINK('CCUS Projects Database'!$S121,"Link 2"),"")</f>
        <v/>
      </c>
      <c r="AA121" s="239" t="str">
        <f>IF('CCUS Projects Database'!$T121&lt;&gt;"",HYPERLINK('CCUS Projects Database'!$T121,"Link 3"),"")</f>
        <v/>
      </c>
      <c r="AB121" s="239" t="str">
        <f>IF('CCUS Projects Database'!$U121&lt;&gt;"",HYPERLINK('CCUS Projects Database'!$U121,"Link 4"),"")</f>
        <v/>
      </c>
      <c r="AC121" s="239" t="str">
        <f>IF('CCUS Projects Database'!$V121&lt;&gt;"",HYPERLINK('CCUS Projects Database'!$V121,"Link 5"),"")</f>
        <v/>
      </c>
      <c r="AD121" s="239" t="str">
        <f>IF('CCUS Projects Database'!$W121&lt;&gt;"",HYPERLINK('CCUS Projects Database'!$W121,"Link 6"),"")</f>
        <v/>
      </c>
      <c r="AE121" s="239" t="str">
        <f>IF('CCUS Projects Database'!$X121&lt;&gt;"",HYPERLINK('CCUS Projects Database'!$X121,"Link 7"),"")</f>
        <v/>
      </c>
    </row>
    <row r="122" ht="14.25" customHeight="1">
      <c r="A122" s="233" t="s">
        <v>19237</v>
      </c>
      <c r="B122" s="234">
        <v>146.0</v>
      </c>
      <c r="C122" s="234" t="s">
        <v>18429</v>
      </c>
      <c r="D122" s="235" t="s">
        <v>19238</v>
      </c>
      <c r="E122" s="234" t="s">
        <v>18618</v>
      </c>
      <c r="F122" s="234">
        <v>2018.0</v>
      </c>
      <c r="G122" s="234" t="s">
        <v>18725</v>
      </c>
      <c r="H122" s="234">
        <v>2030.0</v>
      </c>
      <c r="I122" s="234" t="s">
        <v>18725</v>
      </c>
      <c r="J122" s="234" t="s">
        <v>18636</v>
      </c>
      <c r="K122" s="236" t="s">
        <v>18725</v>
      </c>
      <c r="L122" s="236">
        <v>2.5</v>
      </c>
      <c r="M122" s="236">
        <v>2.5</v>
      </c>
      <c r="N122" s="234" t="s">
        <v>18661</v>
      </c>
      <c r="O122" s="237" t="s">
        <v>18683</v>
      </c>
      <c r="P122" s="238" t="s">
        <v>19235</v>
      </c>
      <c r="Q122" s="234" t="s">
        <v>18726</v>
      </c>
      <c r="R122" s="238" t="s">
        <v>19236</v>
      </c>
      <c r="S122" s="238" t="s">
        <v>18725</v>
      </c>
      <c r="T122" s="238" t="s">
        <v>18725</v>
      </c>
      <c r="U122" s="238" t="s">
        <v>18725</v>
      </c>
      <c r="V122" s="238" t="s">
        <v>18725</v>
      </c>
      <c r="W122" s="238" t="s">
        <v>18725</v>
      </c>
      <c r="X122" s="238" t="s">
        <v>18725</v>
      </c>
      <c r="Y122" s="239" t="str">
        <f>IF('CCUS Projects Database'!$R122&lt;&gt;"",HYPERLINK('CCUS Projects Database'!$R122,"Link 1"),"")</f>
        <v>Link 1</v>
      </c>
      <c r="Z122" s="239" t="str">
        <f>IF('CCUS Projects Database'!$S122&lt;&gt;"",HYPERLINK('CCUS Projects Database'!$S122,"Link 2"),"")</f>
        <v/>
      </c>
      <c r="AA122" s="239" t="str">
        <f>IF('CCUS Projects Database'!$T122&lt;&gt;"",HYPERLINK('CCUS Projects Database'!$T122,"Link 3"),"")</f>
        <v/>
      </c>
      <c r="AB122" s="239" t="str">
        <f>IF('CCUS Projects Database'!$U122&lt;&gt;"",HYPERLINK('CCUS Projects Database'!$U122,"Link 4"),"")</f>
        <v/>
      </c>
      <c r="AC122" s="239" t="str">
        <f>IF('CCUS Projects Database'!$V122&lt;&gt;"",HYPERLINK('CCUS Projects Database'!$V122,"Link 5"),"")</f>
        <v/>
      </c>
      <c r="AD122" s="239" t="str">
        <f>IF('CCUS Projects Database'!$W122&lt;&gt;"",HYPERLINK('CCUS Projects Database'!$W122,"Link 6"),"")</f>
        <v/>
      </c>
      <c r="AE122" s="239" t="str">
        <f>IF('CCUS Projects Database'!$X122&lt;&gt;"",HYPERLINK('CCUS Projects Database'!$X122,"Link 7"),"")</f>
        <v/>
      </c>
    </row>
    <row r="123" ht="14.25" customHeight="1">
      <c r="A123" s="233" t="s">
        <v>19239</v>
      </c>
      <c r="B123" s="234">
        <v>147.0</v>
      </c>
      <c r="C123" s="234" t="s">
        <v>18429</v>
      </c>
      <c r="D123" s="235" t="s">
        <v>19240</v>
      </c>
      <c r="E123" s="234" t="s">
        <v>18618</v>
      </c>
      <c r="F123" s="234">
        <v>2018.0</v>
      </c>
      <c r="G123" s="234" t="s">
        <v>18725</v>
      </c>
      <c r="H123" s="234">
        <v>2030.0</v>
      </c>
      <c r="I123" s="234" t="s">
        <v>18725</v>
      </c>
      <c r="J123" s="234" t="s">
        <v>18636</v>
      </c>
      <c r="K123" s="236" t="s">
        <v>18725</v>
      </c>
      <c r="L123" s="236" t="s">
        <v>18725</v>
      </c>
      <c r="M123" s="236" t="s">
        <v>18725</v>
      </c>
      <c r="N123" s="234" t="s">
        <v>18654</v>
      </c>
      <c r="O123" s="237" t="s">
        <v>18683</v>
      </c>
      <c r="P123" s="238" t="s">
        <v>19235</v>
      </c>
      <c r="Q123" s="234" t="s">
        <v>18726</v>
      </c>
      <c r="R123" s="238" t="s">
        <v>19236</v>
      </c>
      <c r="S123" s="238" t="s">
        <v>18725</v>
      </c>
      <c r="T123" s="238" t="s">
        <v>18725</v>
      </c>
      <c r="U123" s="238" t="s">
        <v>18725</v>
      </c>
      <c r="V123" s="238" t="s">
        <v>18725</v>
      </c>
      <c r="W123" s="238" t="s">
        <v>18725</v>
      </c>
      <c r="X123" s="238" t="s">
        <v>18725</v>
      </c>
      <c r="Y123" s="239" t="str">
        <f>IF('CCUS Projects Database'!$R123&lt;&gt;"",HYPERLINK('CCUS Projects Database'!$R123,"Link 1"),"")</f>
        <v>Link 1</v>
      </c>
      <c r="Z123" s="239" t="str">
        <f>IF('CCUS Projects Database'!$S123&lt;&gt;"",HYPERLINK('CCUS Projects Database'!$S123,"Link 2"),"")</f>
        <v/>
      </c>
      <c r="AA123" s="239" t="str">
        <f>IF('CCUS Projects Database'!$T123&lt;&gt;"",HYPERLINK('CCUS Projects Database'!$T123,"Link 3"),"")</f>
        <v/>
      </c>
      <c r="AB123" s="239" t="str">
        <f>IF('CCUS Projects Database'!$U123&lt;&gt;"",HYPERLINK('CCUS Projects Database'!$U123,"Link 4"),"")</f>
        <v/>
      </c>
      <c r="AC123" s="239" t="str">
        <f>IF('CCUS Projects Database'!$V123&lt;&gt;"",HYPERLINK('CCUS Projects Database'!$V123,"Link 5"),"")</f>
        <v/>
      </c>
      <c r="AD123" s="239" t="str">
        <f>IF('CCUS Projects Database'!$W123&lt;&gt;"",HYPERLINK('CCUS Projects Database'!$W123,"Link 6"),"")</f>
        <v/>
      </c>
      <c r="AE123" s="239" t="str">
        <f>IF('CCUS Projects Database'!$X123&lt;&gt;"",HYPERLINK('CCUS Projects Database'!$X123,"Link 7"),"")</f>
        <v/>
      </c>
    </row>
    <row r="124" ht="14.25" customHeight="1">
      <c r="A124" s="233" t="s">
        <v>19241</v>
      </c>
      <c r="B124" s="234">
        <v>148.0</v>
      </c>
      <c r="C124" s="234" t="s">
        <v>18586</v>
      </c>
      <c r="D124" s="235" t="s">
        <v>19242</v>
      </c>
      <c r="E124" s="234" t="s">
        <v>18618</v>
      </c>
      <c r="F124" s="234">
        <v>2022.0</v>
      </c>
      <c r="G124" s="234">
        <v>2025.0</v>
      </c>
      <c r="H124" s="234">
        <v>2028.0</v>
      </c>
      <c r="I124" s="234" t="s">
        <v>18725</v>
      </c>
      <c r="J124" s="234" t="s">
        <v>18636</v>
      </c>
      <c r="K124" s="236" t="s">
        <v>18725</v>
      </c>
      <c r="L124" s="236">
        <v>7.0</v>
      </c>
      <c r="M124" s="236">
        <v>7.0</v>
      </c>
      <c r="N124" s="234" t="s">
        <v>18661</v>
      </c>
      <c r="O124" s="237" t="s">
        <v>18675</v>
      </c>
      <c r="P124" s="238" t="s">
        <v>19243</v>
      </c>
      <c r="Q124" s="234" t="s">
        <v>18732</v>
      </c>
      <c r="R124" s="238" t="s">
        <v>19244</v>
      </c>
      <c r="S124" s="238" t="s">
        <v>19245</v>
      </c>
      <c r="T124" s="238" t="s">
        <v>19245</v>
      </c>
      <c r="U124" s="238" t="s">
        <v>19246</v>
      </c>
      <c r="V124" s="238" t="s">
        <v>19247</v>
      </c>
      <c r="W124" s="238" t="s">
        <v>19248</v>
      </c>
      <c r="X124" s="238" t="s">
        <v>18725</v>
      </c>
      <c r="Y124" s="239" t="str">
        <f>IF('CCUS Projects Database'!$R124&lt;&gt;"",HYPERLINK('CCUS Projects Database'!$R124,"Link 1"),"")</f>
        <v>Link 1</v>
      </c>
      <c r="Z124" s="239" t="str">
        <f>IF('CCUS Projects Database'!$S124&lt;&gt;"",HYPERLINK('CCUS Projects Database'!$S124,"Link 2"),"")</f>
        <v>Link 2</v>
      </c>
      <c r="AA124" s="239" t="str">
        <f>IF('CCUS Projects Database'!$T124&lt;&gt;"",HYPERLINK('CCUS Projects Database'!$T124,"Link 3"),"")</f>
        <v>Link 3</v>
      </c>
      <c r="AB124" s="239" t="str">
        <f>IF('CCUS Projects Database'!$U124&lt;&gt;"",HYPERLINK('CCUS Projects Database'!$U124,"Link 4"),"")</f>
        <v>Link 4</v>
      </c>
      <c r="AC124" s="239" t="str">
        <f>IF('CCUS Projects Database'!$V124&lt;&gt;"",HYPERLINK('CCUS Projects Database'!$V124,"Link 5"),"")</f>
        <v>Link 5</v>
      </c>
      <c r="AD124" s="239" t="str">
        <f>IF('CCUS Projects Database'!$W124&lt;&gt;"",HYPERLINK('CCUS Projects Database'!$W124,"Link 6"),"")</f>
        <v>Link 6</v>
      </c>
      <c r="AE124" s="239" t="str">
        <f>IF('CCUS Projects Database'!$X124&lt;&gt;"",HYPERLINK('CCUS Projects Database'!$X124,"Link 7"),"")</f>
        <v/>
      </c>
    </row>
    <row r="125" ht="14.25" customHeight="1">
      <c r="A125" s="233" t="s">
        <v>9444</v>
      </c>
      <c r="B125" s="234">
        <v>149.0</v>
      </c>
      <c r="C125" s="234" t="s">
        <v>161</v>
      </c>
      <c r="D125" s="235" t="s">
        <v>19249</v>
      </c>
      <c r="E125" s="234" t="s">
        <v>18618</v>
      </c>
      <c r="F125" s="234">
        <v>2021.0</v>
      </c>
      <c r="G125" s="234">
        <v>2025.0</v>
      </c>
      <c r="H125" s="234">
        <v>2030.0</v>
      </c>
      <c r="I125" s="234" t="s">
        <v>18725</v>
      </c>
      <c r="J125" s="234" t="s">
        <v>18636</v>
      </c>
      <c r="K125" s="236" t="s">
        <v>18725</v>
      </c>
      <c r="L125" s="236" t="s">
        <v>18725</v>
      </c>
      <c r="M125" s="236" t="s">
        <v>18725</v>
      </c>
      <c r="N125" s="234" t="s">
        <v>18661</v>
      </c>
      <c r="O125" s="237" t="s">
        <v>18683</v>
      </c>
      <c r="P125" s="238" t="s">
        <v>18725</v>
      </c>
      <c r="Q125" s="234" t="s">
        <v>18726</v>
      </c>
      <c r="R125" s="238" t="s">
        <v>18725</v>
      </c>
      <c r="S125" s="238" t="s">
        <v>18725</v>
      </c>
      <c r="T125" s="238" t="s">
        <v>18725</v>
      </c>
      <c r="U125" s="238" t="s">
        <v>18725</v>
      </c>
      <c r="V125" s="238" t="s">
        <v>18725</v>
      </c>
      <c r="W125" s="238" t="s">
        <v>18725</v>
      </c>
      <c r="X125" s="238" t="s">
        <v>18725</v>
      </c>
      <c r="Y125" s="239" t="str">
        <f>IF('CCUS Projects Database'!$R125&lt;&gt;"",HYPERLINK('CCUS Projects Database'!$R125,"Link 1"),"")</f>
        <v/>
      </c>
      <c r="Z125" s="239" t="str">
        <f>IF('CCUS Projects Database'!$S125&lt;&gt;"",HYPERLINK('CCUS Projects Database'!$S125,"Link 2"),"")</f>
        <v/>
      </c>
      <c r="AA125" s="239" t="str">
        <f>IF('CCUS Projects Database'!$T125&lt;&gt;"",HYPERLINK('CCUS Projects Database'!$T125,"Link 3"),"")</f>
        <v/>
      </c>
      <c r="AB125" s="239" t="str">
        <f>IF('CCUS Projects Database'!$U125&lt;&gt;"",HYPERLINK('CCUS Projects Database'!$U125,"Link 4"),"")</f>
        <v/>
      </c>
      <c r="AC125" s="239" t="str">
        <f>IF('CCUS Projects Database'!$V125&lt;&gt;"",HYPERLINK('CCUS Projects Database'!$V125,"Link 5"),"")</f>
        <v/>
      </c>
      <c r="AD125" s="239" t="str">
        <f>IF('CCUS Projects Database'!$W125&lt;&gt;"",HYPERLINK('CCUS Projects Database'!$W125,"Link 6"),"")</f>
        <v/>
      </c>
      <c r="AE125" s="239" t="str">
        <f>IF('CCUS Projects Database'!$X125&lt;&gt;"",HYPERLINK('CCUS Projects Database'!$X125,"Link 7"),"")</f>
        <v/>
      </c>
    </row>
    <row r="126" ht="14.25" customHeight="1">
      <c r="A126" s="233" t="s">
        <v>19250</v>
      </c>
      <c r="B126" s="234">
        <v>150.0</v>
      </c>
      <c r="C126" s="234" t="s">
        <v>164</v>
      </c>
      <c r="D126" s="235" t="s">
        <v>19251</v>
      </c>
      <c r="E126" s="234" t="s">
        <v>18618</v>
      </c>
      <c r="F126" s="234">
        <v>2019.0</v>
      </c>
      <c r="G126" s="234">
        <v>2023.0</v>
      </c>
      <c r="H126" s="234">
        <v>2026.0</v>
      </c>
      <c r="I126" s="234" t="s">
        <v>18725</v>
      </c>
      <c r="J126" s="234" t="s">
        <v>18638</v>
      </c>
      <c r="K126" s="236" t="s">
        <v>18725</v>
      </c>
      <c r="L126" s="236" t="s">
        <v>18725</v>
      </c>
      <c r="M126" s="236">
        <v>0.958</v>
      </c>
      <c r="N126" s="234" t="s">
        <v>18661</v>
      </c>
      <c r="O126" s="237" t="s">
        <v>18675</v>
      </c>
      <c r="P126" s="238" t="s">
        <v>18783</v>
      </c>
      <c r="Q126" s="234" t="s">
        <v>18726</v>
      </c>
      <c r="R126" s="238" t="s">
        <v>18784</v>
      </c>
      <c r="S126" s="238" t="s">
        <v>19252</v>
      </c>
      <c r="T126" s="238" t="s">
        <v>17686</v>
      </c>
      <c r="U126" s="238" t="s">
        <v>18725</v>
      </c>
      <c r="V126" s="238" t="s">
        <v>18725</v>
      </c>
      <c r="W126" s="238" t="s">
        <v>18725</v>
      </c>
      <c r="X126" s="238" t="s">
        <v>18725</v>
      </c>
      <c r="Y126" s="239" t="str">
        <f>IF('CCUS Projects Database'!$R126&lt;&gt;"",HYPERLINK('CCUS Projects Database'!$R126,"Link 1"),"")</f>
        <v>Link 1</v>
      </c>
      <c r="Z126" s="239" t="str">
        <f>IF('CCUS Projects Database'!$S126&lt;&gt;"",HYPERLINK('CCUS Projects Database'!$S126,"Link 2"),"")</f>
        <v>Link 2</v>
      </c>
      <c r="AA126" s="239" t="str">
        <f>IF('CCUS Projects Database'!$T126&lt;&gt;"",HYPERLINK('CCUS Projects Database'!$T126,"Link 3"),"")</f>
        <v>Link 3</v>
      </c>
      <c r="AB126" s="239" t="str">
        <f>IF('CCUS Projects Database'!$U126&lt;&gt;"",HYPERLINK('CCUS Projects Database'!$U126,"Link 4"),"")</f>
        <v/>
      </c>
      <c r="AC126" s="239" t="str">
        <f>IF('CCUS Projects Database'!$V126&lt;&gt;"",HYPERLINK('CCUS Projects Database'!$V126,"Link 5"),"")</f>
        <v/>
      </c>
      <c r="AD126" s="239" t="str">
        <f>IF('CCUS Projects Database'!$W126&lt;&gt;"",HYPERLINK('CCUS Projects Database'!$W126,"Link 6"),"")</f>
        <v/>
      </c>
      <c r="AE126" s="239" t="str">
        <f>IF('CCUS Projects Database'!$X126&lt;&gt;"",HYPERLINK('CCUS Projects Database'!$X126,"Link 7"),"")</f>
        <v/>
      </c>
    </row>
    <row r="127" ht="14.25" customHeight="1">
      <c r="A127" s="233" t="s">
        <v>19253</v>
      </c>
      <c r="B127" s="234">
        <v>152.0</v>
      </c>
      <c r="C127" s="234" t="s">
        <v>18586</v>
      </c>
      <c r="D127" s="235" t="s">
        <v>19254</v>
      </c>
      <c r="E127" s="234" t="s">
        <v>18616</v>
      </c>
      <c r="F127" s="234">
        <v>2022.0</v>
      </c>
      <c r="G127" s="234" t="s">
        <v>18725</v>
      </c>
      <c r="H127" s="234">
        <v>2032.0</v>
      </c>
      <c r="I127" s="234" t="s">
        <v>18725</v>
      </c>
      <c r="J127" s="234" t="s">
        <v>18636</v>
      </c>
      <c r="K127" s="236" t="s">
        <v>18725</v>
      </c>
      <c r="L127" s="236">
        <v>1.0</v>
      </c>
      <c r="M127" s="236">
        <v>1.0</v>
      </c>
      <c r="N127" s="234" t="s">
        <v>18654</v>
      </c>
      <c r="O127" s="237" t="s">
        <v>18675</v>
      </c>
      <c r="P127" s="238" t="s">
        <v>18725</v>
      </c>
      <c r="Q127" s="234" t="s">
        <v>18732</v>
      </c>
      <c r="R127" s="238" t="s">
        <v>19255</v>
      </c>
      <c r="S127" s="238" t="s">
        <v>19256</v>
      </c>
      <c r="T127" s="238" t="s">
        <v>18725</v>
      </c>
      <c r="U127" s="238" t="s">
        <v>18725</v>
      </c>
      <c r="V127" s="238" t="s">
        <v>18725</v>
      </c>
      <c r="W127" s="238" t="s">
        <v>18725</v>
      </c>
      <c r="X127" s="238" t="s">
        <v>18725</v>
      </c>
      <c r="Y127" s="239" t="str">
        <f>IF('CCUS Projects Database'!$R127&lt;&gt;"",HYPERLINK('CCUS Projects Database'!$R127,"Link 1"),"")</f>
        <v>Link 1</v>
      </c>
      <c r="Z127" s="239" t="str">
        <f>IF('CCUS Projects Database'!$S127&lt;&gt;"",HYPERLINK('CCUS Projects Database'!$S127,"Link 2"),"")</f>
        <v>Link 2</v>
      </c>
      <c r="AA127" s="239" t="str">
        <f>IF('CCUS Projects Database'!$T127&lt;&gt;"",HYPERLINK('CCUS Projects Database'!$T127,"Link 3"),"")</f>
        <v/>
      </c>
      <c r="AB127" s="239" t="str">
        <f>IF('CCUS Projects Database'!$U127&lt;&gt;"",HYPERLINK('CCUS Projects Database'!$U127,"Link 4"),"")</f>
        <v/>
      </c>
      <c r="AC127" s="239" t="str">
        <f>IF('CCUS Projects Database'!$V127&lt;&gt;"",HYPERLINK('CCUS Projects Database'!$V127,"Link 5"),"")</f>
        <v/>
      </c>
      <c r="AD127" s="239" t="str">
        <f>IF('CCUS Projects Database'!$W127&lt;&gt;"",HYPERLINK('CCUS Projects Database'!$W127,"Link 6"),"")</f>
        <v/>
      </c>
      <c r="AE127" s="239" t="str">
        <f>IF('CCUS Projects Database'!$X127&lt;&gt;"",HYPERLINK('CCUS Projects Database'!$X127,"Link 7"),"")</f>
        <v/>
      </c>
    </row>
    <row r="128" ht="14.25" customHeight="1">
      <c r="A128" s="233" t="s">
        <v>19257</v>
      </c>
      <c r="B128" s="234">
        <v>154.0</v>
      </c>
      <c r="C128" s="234" t="s">
        <v>18586</v>
      </c>
      <c r="D128" s="235" t="s">
        <v>19258</v>
      </c>
      <c r="E128" s="234" t="s">
        <v>18616</v>
      </c>
      <c r="F128" s="234">
        <v>2021.0</v>
      </c>
      <c r="G128" s="234" t="s">
        <v>18725</v>
      </c>
      <c r="H128" s="234">
        <v>2026.0</v>
      </c>
      <c r="I128" s="234" t="s">
        <v>18725</v>
      </c>
      <c r="J128" s="234" t="s">
        <v>18636</v>
      </c>
      <c r="K128" s="236" t="s">
        <v>18725</v>
      </c>
      <c r="L128" s="236" t="s">
        <v>18725</v>
      </c>
      <c r="M128" s="236" t="s">
        <v>18725</v>
      </c>
      <c r="N128" s="234" t="s">
        <v>18656</v>
      </c>
      <c r="O128" s="237" t="s">
        <v>18675</v>
      </c>
      <c r="P128" s="238" t="s">
        <v>18725</v>
      </c>
      <c r="Q128" s="234" t="s">
        <v>18732</v>
      </c>
      <c r="R128" s="238" t="s">
        <v>19259</v>
      </c>
      <c r="S128" s="238" t="s">
        <v>18725</v>
      </c>
      <c r="T128" s="238" t="s">
        <v>18725</v>
      </c>
      <c r="U128" s="238" t="s">
        <v>18725</v>
      </c>
      <c r="V128" s="238" t="s">
        <v>18725</v>
      </c>
      <c r="W128" s="238" t="s">
        <v>18725</v>
      </c>
      <c r="X128" s="238" t="s">
        <v>18725</v>
      </c>
      <c r="Y128" s="239" t="str">
        <f>IF('CCUS Projects Database'!$R128&lt;&gt;"",HYPERLINK('CCUS Projects Database'!$R128,"Link 1"),"")</f>
        <v>Link 1</v>
      </c>
      <c r="Z128" s="239" t="str">
        <f>IF('CCUS Projects Database'!$S128&lt;&gt;"",HYPERLINK('CCUS Projects Database'!$S128,"Link 2"),"")</f>
        <v/>
      </c>
      <c r="AA128" s="239" t="str">
        <f>IF('CCUS Projects Database'!$T128&lt;&gt;"",HYPERLINK('CCUS Projects Database'!$T128,"Link 3"),"")</f>
        <v/>
      </c>
      <c r="AB128" s="239" t="str">
        <f>IF('CCUS Projects Database'!$U128&lt;&gt;"",HYPERLINK('CCUS Projects Database'!$U128,"Link 4"),"")</f>
        <v/>
      </c>
      <c r="AC128" s="239" t="str">
        <f>IF('CCUS Projects Database'!$V128&lt;&gt;"",HYPERLINK('CCUS Projects Database'!$V128,"Link 5"),"")</f>
        <v/>
      </c>
      <c r="AD128" s="239" t="str">
        <f>IF('CCUS Projects Database'!$W128&lt;&gt;"",HYPERLINK('CCUS Projects Database'!$W128,"Link 6"),"")</f>
        <v/>
      </c>
      <c r="AE128" s="239" t="str">
        <f>IF('CCUS Projects Database'!$X128&lt;&gt;"",HYPERLINK('CCUS Projects Database'!$X128,"Link 7"),"")</f>
        <v/>
      </c>
    </row>
    <row r="129" ht="14.25" customHeight="1">
      <c r="A129" s="233" t="s">
        <v>19260</v>
      </c>
      <c r="B129" s="234">
        <v>155.0</v>
      </c>
      <c r="C129" s="234" t="s">
        <v>98</v>
      </c>
      <c r="D129" s="235" t="s">
        <v>19261</v>
      </c>
      <c r="E129" s="234" t="s">
        <v>18618</v>
      </c>
      <c r="F129" s="234">
        <v>2019.0</v>
      </c>
      <c r="G129" s="234" t="s">
        <v>18725</v>
      </c>
      <c r="H129" s="234">
        <v>2035.0</v>
      </c>
      <c r="I129" s="234" t="s">
        <v>18725</v>
      </c>
      <c r="J129" s="234" t="s">
        <v>18636</v>
      </c>
      <c r="K129" s="236" t="s">
        <v>18725</v>
      </c>
      <c r="L129" s="236">
        <v>0.12</v>
      </c>
      <c r="M129" s="236">
        <v>0.12</v>
      </c>
      <c r="N129" s="234" t="s">
        <v>18654</v>
      </c>
      <c r="O129" s="237" t="s">
        <v>18675</v>
      </c>
      <c r="P129" s="238" t="s">
        <v>18941</v>
      </c>
      <c r="Q129" s="234" t="s">
        <v>18726</v>
      </c>
      <c r="R129" s="238" t="s">
        <v>18942</v>
      </c>
      <c r="S129" s="238" t="s">
        <v>18943</v>
      </c>
      <c r="T129" s="238" t="s">
        <v>18725</v>
      </c>
      <c r="U129" s="238" t="s">
        <v>18725</v>
      </c>
      <c r="V129" s="238" t="s">
        <v>18725</v>
      </c>
      <c r="W129" s="238" t="s">
        <v>18725</v>
      </c>
      <c r="X129" s="238" t="s">
        <v>18725</v>
      </c>
      <c r="Y129" s="239" t="str">
        <f>IF('CCUS Projects Database'!$R129&lt;&gt;"",HYPERLINK('CCUS Projects Database'!$R129,"Link 1"),"")</f>
        <v>Link 1</v>
      </c>
      <c r="Z129" s="239" t="str">
        <f>IF('CCUS Projects Database'!$S129&lt;&gt;"",HYPERLINK('CCUS Projects Database'!$S129,"Link 2"),"")</f>
        <v>Link 2</v>
      </c>
      <c r="AA129" s="239" t="str">
        <f>IF('CCUS Projects Database'!$T129&lt;&gt;"",HYPERLINK('CCUS Projects Database'!$T129,"Link 3"),"")</f>
        <v/>
      </c>
      <c r="AB129" s="239" t="str">
        <f>IF('CCUS Projects Database'!$U129&lt;&gt;"",HYPERLINK('CCUS Projects Database'!$U129,"Link 4"),"")</f>
        <v/>
      </c>
      <c r="AC129" s="239" t="str">
        <f>IF('CCUS Projects Database'!$V129&lt;&gt;"",HYPERLINK('CCUS Projects Database'!$V129,"Link 5"),"")</f>
        <v/>
      </c>
      <c r="AD129" s="239" t="str">
        <f>IF('CCUS Projects Database'!$W129&lt;&gt;"",HYPERLINK('CCUS Projects Database'!$W129,"Link 6"),"")</f>
        <v/>
      </c>
      <c r="AE129" s="239" t="str">
        <f>IF('CCUS Projects Database'!$X129&lt;&gt;"",HYPERLINK('CCUS Projects Database'!$X129,"Link 7"),"")</f>
        <v/>
      </c>
    </row>
    <row r="130" ht="14.25" customHeight="1">
      <c r="A130" s="233" t="s">
        <v>19262</v>
      </c>
      <c r="B130" s="234">
        <v>156.0</v>
      </c>
      <c r="C130" s="234" t="s">
        <v>18264</v>
      </c>
      <c r="D130" s="235" t="s">
        <v>19263</v>
      </c>
      <c r="E130" s="234" t="s">
        <v>18618</v>
      </c>
      <c r="F130" s="234">
        <v>2021.0</v>
      </c>
      <c r="G130" s="234">
        <v>2025.0</v>
      </c>
      <c r="H130" s="234">
        <v>2025.0</v>
      </c>
      <c r="I130" s="234" t="s">
        <v>18725</v>
      </c>
      <c r="J130" s="234" t="s">
        <v>18192</v>
      </c>
      <c r="K130" s="236" t="s">
        <v>18725</v>
      </c>
      <c r="L130" s="236" t="s">
        <v>19264</v>
      </c>
      <c r="M130" s="236">
        <v>0.8</v>
      </c>
      <c r="N130" s="234" t="s">
        <v>18654</v>
      </c>
      <c r="O130" s="237" t="s">
        <v>18675</v>
      </c>
      <c r="P130" s="238" t="s">
        <v>19265</v>
      </c>
      <c r="Q130" s="234" t="s">
        <v>18732</v>
      </c>
      <c r="R130" s="238" t="s">
        <v>19266</v>
      </c>
      <c r="S130" s="238" t="s">
        <v>18725</v>
      </c>
      <c r="T130" s="238" t="s">
        <v>18725</v>
      </c>
      <c r="U130" s="238" t="s">
        <v>18725</v>
      </c>
      <c r="V130" s="238" t="s">
        <v>18725</v>
      </c>
      <c r="W130" s="238" t="s">
        <v>18725</v>
      </c>
      <c r="X130" s="238" t="s">
        <v>18725</v>
      </c>
      <c r="Y130" s="239" t="str">
        <f>IF('CCUS Projects Database'!$R130&lt;&gt;"",HYPERLINK('CCUS Projects Database'!$R130,"Link 1"),"")</f>
        <v>Link 1</v>
      </c>
      <c r="Z130" s="239" t="str">
        <f>IF('CCUS Projects Database'!$S130&lt;&gt;"",HYPERLINK('CCUS Projects Database'!$S130,"Link 2"),"")</f>
        <v/>
      </c>
      <c r="AA130" s="239" t="str">
        <f>IF('CCUS Projects Database'!$T130&lt;&gt;"",HYPERLINK('CCUS Projects Database'!$T130,"Link 3"),"")</f>
        <v/>
      </c>
      <c r="AB130" s="239" t="str">
        <f>IF('CCUS Projects Database'!$U130&lt;&gt;"",HYPERLINK('CCUS Projects Database'!$U130,"Link 4"),"")</f>
        <v/>
      </c>
      <c r="AC130" s="239" t="str">
        <f>IF('CCUS Projects Database'!$V130&lt;&gt;"",HYPERLINK('CCUS Projects Database'!$V130,"Link 5"),"")</f>
        <v/>
      </c>
      <c r="AD130" s="239" t="str">
        <f>IF('CCUS Projects Database'!$W130&lt;&gt;"",HYPERLINK('CCUS Projects Database'!$W130,"Link 6"),"")</f>
        <v/>
      </c>
      <c r="AE130" s="239" t="str">
        <f>IF('CCUS Projects Database'!$X130&lt;&gt;"",HYPERLINK('CCUS Projects Database'!$X130,"Link 7"),"")</f>
        <v/>
      </c>
    </row>
    <row r="131" ht="14.25" customHeight="1">
      <c r="A131" s="233" t="s">
        <v>19267</v>
      </c>
      <c r="B131" s="234">
        <v>157.0</v>
      </c>
      <c r="C131" s="234" t="s">
        <v>18253</v>
      </c>
      <c r="D131" s="235" t="s">
        <v>19268</v>
      </c>
      <c r="E131" s="234" t="s">
        <v>18616</v>
      </c>
      <c r="F131" s="234">
        <v>2021.0</v>
      </c>
      <c r="G131" s="234" t="s">
        <v>18725</v>
      </c>
      <c r="H131" s="234">
        <v>2030.0</v>
      </c>
      <c r="I131" s="234" t="s">
        <v>18725</v>
      </c>
      <c r="J131" s="234" t="s">
        <v>18636</v>
      </c>
      <c r="K131" s="236" t="s">
        <v>18725</v>
      </c>
      <c r="L131" s="236">
        <v>0.423</v>
      </c>
      <c r="M131" s="236">
        <v>0.423</v>
      </c>
      <c r="N131" s="234" t="s">
        <v>12270</v>
      </c>
      <c r="O131" s="237" t="s">
        <v>18675</v>
      </c>
      <c r="P131" s="238" t="s">
        <v>18725</v>
      </c>
      <c r="Q131" s="234" t="s">
        <v>19269</v>
      </c>
      <c r="R131" s="238" t="s">
        <v>19270</v>
      </c>
      <c r="S131" s="238" t="s">
        <v>19271</v>
      </c>
      <c r="T131" s="238" t="s">
        <v>19272</v>
      </c>
      <c r="U131" s="238" t="s">
        <v>19273</v>
      </c>
      <c r="V131" s="238" t="s">
        <v>19274</v>
      </c>
      <c r="W131" s="238" t="s">
        <v>18725</v>
      </c>
      <c r="X131" s="238" t="s">
        <v>18725</v>
      </c>
      <c r="Y131" s="239" t="str">
        <f>IF('CCUS Projects Database'!$R131&lt;&gt;"",HYPERLINK('CCUS Projects Database'!$R131,"Link 1"),"")</f>
        <v>Link 1</v>
      </c>
      <c r="Z131" s="239" t="str">
        <f>IF('CCUS Projects Database'!$S131&lt;&gt;"",HYPERLINK('CCUS Projects Database'!$S131,"Link 2"),"")</f>
        <v>Link 2</v>
      </c>
      <c r="AA131" s="239" t="str">
        <f>IF('CCUS Projects Database'!$T131&lt;&gt;"",HYPERLINK('CCUS Projects Database'!$T131,"Link 3"),"")</f>
        <v>Link 3</v>
      </c>
      <c r="AB131" s="239" t="str">
        <f>IF('CCUS Projects Database'!$U131&lt;&gt;"",HYPERLINK('CCUS Projects Database'!$U131,"Link 4"),"")</f>
        <v>Link 4</v>
      </c>
      <c r="AC131" s="239" t="str">
        <f>IF('CCUS Projects Database'!$V131&lt;&gt;"",HYPERLINK('CCUS Projects Database'!$V131,"Link 5"),"")</f>
        <v>Link 5</v>
      </c>
      <c r="AD131" s="239" t="str">
        <f>IF('CCUS Projects Database'!$W131&lt;&gt;"",HYPERLINK('CCUS Projects Database'!$W131,"Link 6"),"")</f>
        <v/>
      </c>
      <c r="AE131" s="239" t="str">
        <f>IF('CCUS Projects Database'!$X131&lt;&gt;"",HYPERLINK('CCUS Projects Database'!$X131,"Link 7"),"")</f>
        <v/>
      </c>
    </row>
    <row r="132" ht="14.25" customHeight="1">
      <c r="A132" s="233" t="s">
        <v>19275</v>
      </c>
      <c r="B132" s="234">
        <v>158.0</v>
      </c>
      <c r="C132" s="234" t="s">
        <v>83</v>
      </c>
      <c r="D132" s="235" t="s">
        <v>19276</v>
      </c>
      <c r="E132" s="234" t="s">
        <v>18618</v>
      </c>
      <c r="F132" s="234">
        <v>2021.0</v>
      </c>
      <c r="G132" s="234" t="s">
        <v>18725</v>
      </c>
      <c r="H132" s="234">
        <v>2026.0</v>
      </c>
      <c r="I132" s="234" t="s">
        <v>18725</v>
      </c>
      <c r="J132" s="234" t="s">
        <v>18636</v>
      </c>
      <c r="K132" s="236">
        <v>1.0</v>
      </c>
      <c r="L132" s="236">
        <v>0.2</v>
      </c>
      <c r="M132" s="236">
        <v>0.2</v>
      </c>
      <c r="N132" s="234" t="s">
        <v>12270</v>
      </c>
      <c r="O132" s="237" t="s">
        <v>18675</v>
      </c>
      <c r="P132" s="238" t="s">
        <v>18941</v>
      </c>
      <c r="Q132" s="234" t="s">
        <v>18726</v>
      </c>
      <c r="R132" s="238" t="s">
        <v>19277</v>
      </c>
      <c r="S132" s="238" t="s">
        <v>19278</v>
      </c>
      <c r="T132" s="238" t="s">
        <v>18725</v>
      </c>
      <c r="U132" s="238" t="s">
        <v>18725</v>
      </c>
      <c r="V132" s="238" t="s">
        <v>18725</v>
      </c>
      <c r="W132" s="238" t="s">
        <v>18725</v>
      </c>
      <c r="X132" s="238" t="s">
        <v>18725</v>
      </c>
      <c r="Y132" s="239" t="str">
        <f>IF('CCUS Projects Database'!$R132&lt;&gt;"",HYPERLINK('CCUS Projects Database'!$R132,"Link 1"),"")</f>
        <v>Link 1</v>
      </c>
      <c r="Z132" s="239" t="str">
        <f>IF('CCUS Projects Database'!$S132&lt;&gt;"",HYPERLINK('CCUS Projects Database'!$S132,"Link 2"),"")</f>
        <v>Link 2</v>
      </c>
      <c r="AA132" s="239" t="str">
        <f>IF('CCUS Projects Database'!$T132&lt;&gt;"",HYPERLINK('CCUS Projects Database'!$T132,"Link 3"),"")</f>
        <v/>
      </c>
      <c r="AB132" s="239" t="str">
        <f>IF('CCUS Projects Database'!$U132&lt;&gt;"",HYPERLINK('CCUS Projects Database'!$U132,"Link 4"),"")</f>
        <v/>
      </c>
      <c r="AC132" s="239" t="str">
        <f>IF('CCUS Projects Database'!$V132&lt;&gt;"",HYPERLINK('CCUS Projects Database'!$V132,"Link 5"),"")</f>
        <v/>
      </c>
      <c r="AD132" s="239" t="str">
        <f>IF('CCUS Projects Database'!$W132&lt;&gt;"",HYPERLINK('CCUS Projects Database'!$W132,"Link 6"),"")</f>
        <v/>
      </c>
      <c r="AE132" s="239" t="str">
        <f>IF('CCUS Projects Database'!$X132&lt;&gt;"",HYPERLINK('CCUS Projects Database'!$X132,"Link 7"),"")</f>
        <v/>
      </c>
    </row>
    <row r="133" ht="14.25" customHeight="1">
      <c r="A133" s="233" t="s">
        <v>19279</v>
      </c>
      <c r="B133" s="234">
        <v>159.0</v>
      </c>
      <c r="C133" s="234" t="s">
        <v>83</v>
      </c>
      <c r="D133" s="235" t="s">
        <v>19276</v>
      </c>
      <c r="E133" s="234" t="s">
        <v>18618</v>
      </c>
      <c r="F133" s="234">
        <v>2021.0</v>
      </c>
      <c r="G133" s="234" t="s">
        <v>18725</v>
      </c>
      <c r="H133" s="234">
        <v>2028.0</v>
      </c>
      <c r="I133" s="234" t="s">
        <v>18725</v>
      </c>
      <c r="J133" s="234" t="s">
        <v>18636</v>
      </c>
      <c r="K133" s="236">
        <v>2.0</v>
      </c>
      <c r="L133" s="236">
        <v>0.345</v>
      </c>
      <c r="M133" s="236">
        <v>0.345</v>
      </c>
      <c r="N133" s="234" t="s">
        <v>12270</v>
      </c>
      <c r="O133" s="237" t="s">
        <v>18675</v>
      </c>
      <c r="P133" s="238" t="s">
        <v>18941</v>
      </c>
      <c r="Q133" s="234" t="s">
        <v>18726</v>
      </c>
      <c r="R133" s="238" t="s">
        <v>19277</v>
      </c>
      <c r="S133" s="238" t="s">
        <v>19278</v>
      </c>
      <c r="T133" s="238" t="s">
        <v>18725</v>
      </c>
      <c r="U133" s="238" t="s">
        <v>18725</v>
      </c>
      <c r="V133" s="238" t="s">
        <v>18725</v>
      </c>
      <c r="W133" s="238" t="s">
        <v>18725</v>
      </c>
      <c r="X133" s="238" t="s">
        <v>18725</v>
      </c>
      <c r="Y133" s="239" t="str">
        <f>IF('CCUS Projects Database'!$R133&lt;&gt;"",HYPERLINK('CCUS Projects Database'!$R133,"Link 1"),"")</f>
        <v>Link 1</v>
      </c>
      <c r="Z133" s="239" t="str">
        <f>IF('CCUS Projects Database'!$S133&lt;&gt;"",HYPERLINK('CCUS Projects Database'!$S133,"Link 2"),"")</f>
        <v>Link 2</v>
      </c>
      <c r="AA133" s="239" t="str">
        <f>IF('CCUS Projects Database'!$T133&lt;&gt;"",HYPERLINK('CCUS Projects Database'!$T133,"Link 3"),"")</f>
        <v/>
      </c>
      <c r="AB133" s="239" t="str">
        <f>IF('CCUS Projects Database'!$U133&lt;&gt;"",HYPERLINK('CCUS Projects Database'!$U133,"Link 4"),"")</f>
        <v/>
      </c>
      <c r="AC133" s="239" t="str">
        <f>IF('CCUS Projects Database'!$V133&lt;&gt;"",HYPERLINK('CCUS Projects Database'!$V133,"Link 5"),"")</f>
        <v/>
      </c>
      <c r="AD133" s="239" t="str">
        <f>IF('CCUS Projects Database'!$W133&lt;&gt;"",HYPERLINK('CCUS Projects Database'!$W133,"Link 6"),"")</f>
        <v/>
      </c>
      <c r="AE133" s="239" t="str">
        <f>IF('CCUS Projects Database'!$X133&lt;&gt;"",HYPERLINK('CCUS Projects Database'!$X133,"Link 7"),"")</f>
        <v/>
      </c>
    </row>
    <row r="134" ht="14.25" customHeight="1">
      <c r="A134" s="233" t="s">
        <v>19280</v>
      </c>
      <c r="B134" s="234">
        <v>160.0</v>
      </c>
      <c r="C134" s="234" t="s">
        <v>18586</v>
      </c>
      <c r="D134" s="235" t="s">
        <v>19281</v>
      </c>
      <c r="E134" s="234" t="s">
        <v>18618</v>
      </c>
      <c r="F134" s="234">
        <v>2020.0</v>
      </c>
      <c r="G134" s="234" t="s">
        <v>18725</v>
      </c>
      <c r="H134" s="234">
        <v>2027.0</v>
      </c>
      <c r="I134" s="234" t="s">
        <v>18725</v>
      </c>
      <c r="J134" s="234" t="s">
        <v>18636</v>
      </c>
      <c r="K134" s="236" t="s">
        <v>18725</v>
      </c>
      <c r="L134" s="236">
        <v>4.0</v>
      </c>
      <c r="M134" s="236">
        <v>4.0</v>
      </c>
      <c r="N134" s="234" t="s">
        <v>18656</v>
      </c>
      <c r="O134" s="237" t="s">
        <v>18683</v>
      </c>
      <c r="P134" s="238" t="s">
        <v>18725</v>
      </c>
      <c r="Q134" s="234" t="s">
        <v>18732</v>
      </c>
      <c r="R134" s="238" t="s">
        <v>19282</v>
      </c>
      <c r="S134" s="238" t="s">
        <v>19283</v>
      </c>
      <c r="T134" s="238" t="s">
        <v>19284</v>
      </c>
      <c r="U134" s="238" t="s">
        <v>19285</v>
      </c>
      <c r="V134" s="238" t="s">
        <v>18725</v>
      </c>
      <c r="W134" s="238" t="s">
        <v>18725</v>
      </c>
      <c r="X134" s="238" t="s">
        <v>18725</v>
      </c>
      <c r="Y134" s="239" t="str">
        <f>IF('CCUS Projects Database'!$R134&lt;&gt;"",HYPERLINK('CCUS Projects Database'!$R134,"Link 1"),"")</f>
        <v>Link 1</v>
      </c>
      <c r="Z134" s="239" t="str">
        <f>IF('CCUS Projects Database'!$S134&lt;&gt;"",HYPERLINK('CCUS Projects Database'!$S134,"Link 2"),"")</f>
        <v>Link 2</v>
      </c>
      <c r="AA134" s="239" t="str">
        <f>IF('CCUS Projects Database'!$T134&lt;&gt;"",HYPERLINK('CCUS Projects Database'!$T134,"Link 3"),"")</f>
        <v>Link 3</v>
      </c>
      <c r="AB134" s="239" t="str">
        <f>IF('CCUS Projects Database'!$U134&lt;&gt;"",HYPERLINK('CCUS Projects Database'!$U134,"Link 4"),"")</f>
        <v>Link 4</v>
      </c>
      <c r="AC134" s="239" t="str">
        <f>IF('CCUS Projects Database'!$V134&lt;&gt;"",HYPERLINK('CCUS Projects Database'!$V134,"Link 5"),"")</f>
        <v/>
      </c>
      <c r="AD134" s="239" t="str">
        <f>IF('CCUS Projects Database'!$W134&lt;&gt;"",HYPERLINK('CCUS Projects Database'!$W134,"Link 6"),"")</f>
        <v/>
      </c>
      <c r="AE134" s="239" t="str">
        <f>IF('CCUS Projects Database'!$X134&lt;&gt;"",HYPERLINK('CCUS Projects Database'!$X134,"Link 7"),"")</f>
        <v/>
      </c>
    </row>
    <row r="135" ht="14.25" customHeight="1">
      <c r="A135" s="233" t="s">
        <v>19286</v>
      </c>
      <c r="B135" s="234">
        <v>161.0</v>
      </c>
      <c r="C135" s="234" t="s">
        <v>18321</v>
      </c>
      <c r="D135" s="235" t="s">
        <v>19287</v>
      </c>
      <c r="E135" s="234" t="s">
        <v>18616</v>
      </c>
      <c r="F135" s="234">
        <v>2021.0</v>
      </c>
      <c r="G135" s="234">
        <v>2023.0</v>
      </c>
      <c r="H135" s="234">
        <v>2028.0</v>
      </c>
      <c r="I135" s="234" t="s">
        <v>18725</v>
      </c>
      <c r="J135" s="234" t="s">
        <v>18638</v>
      </c>
      <c r="K135" s="236" t="s">
        <v>18725</v>
      </c>
      <c r="L135" s="236">
        <v>1.5</v>
      </c>
      <c r="M135" s="236">
        <v>1.5</v>
      </c>
      <c r="N135" s="234" t="s">
        <v>18656</v>
      </c>
      <c r="O135" s="237" t="s">
        <v>18675</v>
      </c>
      <c r="P135" s="238" t="s">
        <v>18725</v>
      </c>
      <c r="Q135" s="234" t="s">
        <v>18293</v>
      </c>
      <c r="R135" s="238" t="s">
        <v>19288</v>
      </c>
      <c r="S135" s="238" t="s">
        <v>19289</v>
      </c>
      <c r="T135" s="238" t="s">
        <v>18725</v>
      </c>
      <c r="U135" s="238" t="s">
        <v>19290</v>
      </c>
      <c r="V135" s="238" t="s">
        <v>18725</v>
      </c>
      <c r="W135" s="238" t="s">
        <v>18725</v>
      </c>
      <c r="X135" s="238" t="s">
        <v>18725</v>
      </c>
      <c r="Y135" s="239" t="str">
        <f>IF('CCUS Projects Database'!$R135&lt;&gt;"",HYPERLINK('CCUS Projects Database'!$R135,"Link 1"),"")</f>
        <v>Link 1</v>
      </c>
      <c r="Z135" s="239" t="str">
        <f>IF('CCUS Projects Database'!$S135&lt;&gt;"",HYPERLINK('CCUS Projects Database'!$S135,"Link 2"),"")</f>
        <v>Link 2</v>
      </c>
      <c r="AA135" s="239" t="str">
        <f>IF('CCUS Projects Database'!$T135&lt;&gt;"",HYPERLINK('CCUS Projects Database'!$T135,"Link 3"),"")</f>
        <v/>
      </c>
      <c r="AB135" s="239" t="str">
        <f>IF('CCUS Projects Database'!$U135&lt;&gt;"",HYPERLINK('CCUS Projects Database'!$U135,"Link 4"),"")</f>
        <v>Link 4</v>
      </c>
      <c r="AC135" s="239" t="str">
        <f>IF('CCUS Projects Database'!$V135&lt;&gt;"",HYPERLINK('CCUS Projects Database'!$V135,"Link 5"),"")</f>
        <v/>
      </c>
      <c r="AD135" s="239" t="str">
        <f>IF('CCUS Projects Database'!$W135&lt;&gt;"",HYPERLINK('CCUS Projects Database'!$W135,"Link 6"),"")</f>
        <v/>
      </c>
      <c r="AE135" s="239" t="str">
        <f>IF('CCUS Projects Database'!$X135&lt;&gt;"",HYPERLINK('CCUS Projects Database'!$X135,"Link 7"),"")</f>
        <v/>
      </c>
    </row>
    <row r="136" ht="14.25" customHeight="1">
      <c r="A136" s="233" t="s">
        <v>19291</v>
      </c>
      <c r="B136" s="234">
        <v>162.0</v>
      </c>
      <c r="C136" s="234" t="s">
        <v>18264</v>
      </c>
      <c r="D136" s="235" t="s">
        <v>19292</v>
      </c>
      <c r="E136" s="234" t="s">
        <v>18618</v>
      </c>
      <c r="F136" s="234">
        <v>2021.0</v>
      </c>
      <c r="G136" s="234">
        <v>2025.0</v>
      </c>
      <c r="H136" s="234">
        <v>2027.0</v>
      </c>
      <c r="I136" s="234" t="s">
        <v>18725</v>
      </c>
      <c r="J136" s="234" t="s">
        <v>18192</v>
      </c>
      <c r="K136" s="236" t="s">
        <v>18725</v>
      </c>
      <c r="L136" s="236">
        <v>3.0</v>
      </c>
      <c r="M136" s="236">
        <v>3.0</v>
      </c>
      <c r="N136" s="234" t="s">
        <v>18654</v>
      </c>
      <c r="O136" s="237" t="s">
        <v>18675</v>
      </c>
      <c r="P136" s="238" t="s">
        <v>19293</v>
      </c>
      <c r="Q136" s="234" t="s">
        <v>18732</v>
      </c>
      <c r="R136" s="238" t="s">
        <v>19294</v>
      </c>
      <c r="S136" s="238" t="s">
        <v>19295</v>
      </c>
      <c r="T136" s="238" t="s">
        <v>19296</v>
      </c>
      <c r="U136" s="238" t="s">
        <v>18725</v>
      </c>
      <c r="V136" s="238" t="s">
        <v>18725</v>
      </c>
      <c r="W136" s="238" t="s">
        <v>18725</v>
      </c>
      <c r="X136" s="238" t="s">
        <v>18725</v>
      </c>
      <c r="Y136" s="239" t="str">
        <f>IF('CCUS Projects Database'!$R136&lt;&gt;"",HYPERLINK('CCUS Projects Database'!$R136,"Link 1"),"")</f>
        <v>Link 1</v>
      </c>
      <c r="Z136" s="239" t="str">
        <f>IF('CCUS Projects Database'!$S136&lt;&gt;"",HYPERLINK('CCUS Projects Database'!$S136,"Link 2"),"")</f>
        <v>Link 2</v>
      </c>
      <c r="AA136" s="239" t="str">
        <f>IF('CCUS Projects Database'!$T136&lt;&gt;"",HYPERLINK('CCUS Projects Database'!$T136,"Link 3"),"")</f>
        <v>Link 3</v>
      </c>
      <c r="AB136" s="239" t="str">
        <f>IF('CCUS Projects Database'!$U136&lt;&gt;"",HYPERLINK('CCUS Projects Database'!$U136,"Link 4"),"")</f>
        <v/>
      </c>
      <c r="AC136" s="239" t="str">
        <f>IF('CCUS Projects Database'!$V136&lt;&gt;"",HYPERLINK('CCUS Projects Database'!$V136,"Link 5"),"")</f>
        <v/>
      </c>
      <c r="AD136" s="239" t="str">
        <f>IF('CCUS Projects Database'!$W136&lt;&gt;"",HYPERLINK('CCUS Projects Database'!$W136,"Link 6"),"")</f>
        <v/>
      </c>
      <c r="AE136" s="239" t="str">
        <f>IF('CCUS Projects Database'!$X136&lt;&gt;"",HYPERLINK('CCUS Projects Database'!$X136,"Link 7"),"")</f>
        <v/>
      </c>
    </row>
    <row r="137" ht="14.25" customHeight="1">
      <c r="A137" s="233" t="s">
        <v>19297</v>
      </c>
      <c r="B137" s="234">
        <v>163.0</v>
      </c>
      <c r="C137" s="234" t="s">
        <v>18586</v>
      </c>
      <c r="D137" s="235" t="s">
        <v>19298</v>
      </c>
      <c r="E137" s="234" t="s">
        <v>18618</v>
      </c>
      <c r="F137" s="234">
        <v>2013.0</v>
      </c>
      <c r="G137" s="234" t="s">
        <v>18725</v>
      </c>
      <c r="H137" s="234">
        <v>2026.0</v>
      </c>
      <c r="I137" s="234" t="s">
        <v>18725</v>
      </c>
      <c r="J137" s="234" t="s">
        <v>18636</v>
      </c>
      <c r="K137" s="236" t="s">
        <v>18725</v>
      </c>
      <c r="L137" s="236">
        <v>3.8</v>
      </c>
      <c r="M137" s="236">
        <v>3.8</v>
      </c>
      <c r="N137" s="234" t="s">
        <v>18654</v>
      </c>
      <c r="O137" s="237" t="s">
        <v>18677</v>
      </c>
      <c r="P137" s="238" t="s">
        <v>18725</v>
      </c>
      <c r="Q137" s="234" t="s">
        <v>18732</v>
      </c>
      <c r="R137" s="238" t="s">
        <v>19299</v>
      </c>
      <c r="S137" s="238" t="s">
        <v>18725</v>
      </c>
      <c r="T137" s="238" t="s">
        <v>18725</v>
      </c>
      <c r="U137" s="238" t="s">
        <v>18725</v>
      </c>
      <c r="V137" s="238" t="s">
        <v>18725</v>
      </c>
      <c r="W137" s="238" t="s">
        <v>18725</v>
      </c>
      <c r="X137" s="238" t="s">
        <v>18725</v>
      </c>
      <c r="Y137" s="239" t="str">
        <f>IF('CCUS Projects Database'!$R137&lt;&gt;"",HYPERLINK('CCUS Projects Database'!$R137,"Link 1"),"")</f>
        <v>Link 1</v>
      </c>
      <c r="Z137" s="239" t="str">
        <f>IF('CCUS Projects Database'!$S137&lt;&gt;"",HYPERLINK('CCUS Projects Database'!$S137,"Link 2"),"")</f>
        <v/>
      </c>
      <c r="AA137" s="239" t="str">
        <f>IF('CCUS Projects Database'!$T137&lt;&gt;"",HYPERLINK('CCUS Projects Database'!$T137,"Link 3"),"")</f>
        <v/>
      </c>
      <c r="AB137" s="239" t="str">
        <f>IF('CCUS Projects Database'!$U137&lt;&gt;"",HYPERLINK('CCUS Projects Database'!$U137,"Link 4"),"")</f>
        <v/>
      </c>
      <c r="AC137" s="239" t="str">
        <f>IF('CCUS Projects Database'!$V137&lt;&gt;"",HYPERLINK('CCUS Projects Database'!$V137,"Link 5"),"")</f>
        <v/>
      </c>
      <c r="AD137" s="239" t="str">
        <f>IF('CCUS Projects Database'!$W137&lt;&gt;"",HYPERLINK('CCUS Projects Database'!$W137,"Link 6"),"")</f>
        <v/>
      </c>
      <c r="AE137" s="239" t="str">
        <f>IF('CCUS Projects Database'!$X137&lt;&gt;"",HYPERLINK('CCUS Projects Database'!$X137,"Link 7"),"")</f>
        <v/>
      </c>
    </row>
    <row r="138" ht="14.25" customHeight="1">
      <c r="A138" s="233" t="s">
        <v>19300</v>
      </c>
      <c r="B138" s="234">
        <v>166.0</v>
      </c>
      <c r="C138" s="234" t="s">
        <v>18586</v>
      </c>
      <c r="D138" s="235" t="s">
        <v>19301</v>
      </c>
      <c r="E138" s="234" t="s">
        <v>18618</v>
      </c>
      <c r="F138" s="234">
        <v>2021.0</v>
      </c>
      <c r="G138" s="234">
        <v>2026.0</v>
      </c>
      <c r="H138" s="234">
        <v>2028.0</v>
      </c>
      <c r="I138" s="234" t="s">
        <v>18725</v>
      </c>
      <c r="J138" s="234" t="s">
        <v>18636</v>
      </c>
      <c r="K138" s="236" t="s">
        <v>18725</v>
      </c>
      <c r="L138" s="236" t="s">
        <v>19302</v>
      </c>
      <c r="M138" s="236">
        <v>0.14</v>
      </c>
      <c r="N138" s="234" t="s">
        <v>12270</v>
      </c>
      <c r="O138" s="237" t="s">
        <v>18675</v>
      </c>
      <c r="P138" s="238" t="s">
        <v>18966</v>
      </c>
      <c r="Q138" s="234" t="s">
        <v>18732</v>
      </c>
      <c r="R138" s="238" t="s">
        <v>19109</v>
      </c>
      <c r="S138" s="238" t="s">
        <v>19110</v>
      </c>
      <c r="T138" s="238" t="s">
        <v>19111</v>
      </c>
      <c r="U138" s="238" t="s">
        <v>18725</v>
      </c>
      <c r="V138" s="238" t="s">
        <v>18725</v>
      </c>
      <c r="W138" s="238" t="s">
        <v>18725</v>
      </c>
      <c r="X138" s="238" t="s">
        <v>18725</v>
      </c>
      <c r="Y138" s="239" t="str">
        <f>IF('CCUS Projects Database'!$R138&lt;&gt;"",HYPERLINK('CCUS Projects Database'!$R138,"Link 1"),"")</f>
        <v>Link 1</v>
      </c>
      <c r="Z138" s="239" t="str">
        <f>IF('CCUS Projects Database'!$S138&lt;&gt;"",HYPERLINK('CCUS Projects Database'!$S138,"Link 2"),"")</f>
        <v>Link 2</v>
      </c>
      <c r="AA138" s="239" t="str">
        <f>IF('CCUS Projects Database'!$T138&lt;&gt;"",HYPERLINK('CCUS Projects Database'!$T138,"Link 3"),"")</f>
        <v>Link 3</v>
      </c>
      <c r="AB138" s="239" t="str">
        <f>IF('CCUS Projects Database'!$U138&lt;&gt;"",HYPERLINK('CCUS Projects Database'!$U138,"Link 4"),"")</f>
        <v/>
      </c>
      <c r="AC138" s="239" t="str">
        <f>IF('CCUS Projects Database'!$V138&lt;&gt;"",HYPERLINK('CCUS Projects Database'!$V138,"Link 5"),"")</f>
        <v/>
      </c>
      <c r="AD138" s="239" t="str">
        <f>IF('CCUS Projects Database'!$W138&lt;&gt;"",HYPERLINK('CCUS Projects Database'!$W138,"Link 6"),"")</f>
        <v/>
      </c>
      <c r="AE138" s="239" t="str">
        <f>IF('CCUS Projects Database'!$X138&lt;&gt;"",HYPERLINK('CCUS Projects Database'!$X138,"Link 7"),"")</f>
        <v/>
      </c>
    </row>
    <row r="139" ht="14.25" customHeight="1">
      <c r="A139" s="233" t="s">
        <v>19303</v>
      </c>
      <c r="B139" s="234">
        <v>168.0</v>
      </c>
      <c r="C139" s="234" t="s">
        <v>18586</v>
      </c>
      <c r="D139" s="235" t="s">
        <v>19301</v>
      </c>
      <c r="E139" s="234" t="s">
        <v>18618</v>
      </c>
      <c r="F139" s="234">
        <v>2021.0</v>
      </c>
      <c r="G139" s="234">
        <v>2026.0</v>
      </c>
      <c r="H139" s="234">
        <v>2028.0</v>
      </c>
      <c r="I139" s="234" t="s">
        <v>18725</v>
      </c>
      <c r="J139" s="234" t="s">
        <v>18636</v>
      </c>
      <c r="K139" s="236" t="s">
        <v>18725</v>
      </c>
      <c r="L139" s="236" t="s">
        <v>19304</v>
      </c>
      <c r="M139" s="236">
        <v>0.4</v>
      </c>
      <c r="N139" s="234" t="s">
        <v>12270</v>
      </c>
      <c r="O139" s="237" t="s">
        <v>18675</v>
      </c>
      <c r="P139" s="238" t="s">
        <v>18966</v>
      </c>
      <c r="Q139" s="234" t="s">
        <v>18732</v>
      </c>
      <c r="R139" s="238" t="s">
        <v>19109</v>
      </c>
      <c r="S139" s="238" t="s">
        <v>19110</v>
      </c>
      <c r="T139" s="238" t="s">
        <v>19111</v>
      </c>
      <c r="U139" s="238" t="s">
        <v>18725</v>
      </c>
      <c r="V139" s="238" t="s">
        <v>18725</v>
      </c>
      <c r="W139" s="238" t="s">
        <v>18725</v>
      </c>
      <c r="X139" s="238" t="s">
        <v>18725</v>
      </c>
      <c r="Y139" s="239" t="str">
        <f>IF('CCUS Projects Database'!$R139&lt;&gt;"",HYPERLINK('CCUS Projects Database'!$R139,"Link 1"),"")</f>
        <v>Link 1</v>
      </c>
      <c r="Z139" s="239" t="str">
        <f>IF('CCUS Projects Database'!$S139&lt;&gt;"",HYPERLINK('CCUS Projects Database'!$S139,"Link 2"),"")</f>
        <v>Link 2</v>
      </c>
      <c r="AA139" s="239" t="str">
        <f>IF('CCUS Projects Database'!$T139&lt;&gt;"",HYPERLINK('CCUS Projects Database'!$T139,"Link 3"),"")</f>
        <v>Link 3</v>
      </c>
      <c r="AB139" s="239" t="str">
        <f>IF('CCUS Projects Database'!$U139&lt;&gt;"",HYPERLINK('CCUS Projects Database'!$U139,"Link 4"),"")</f>
        <v/>
      </c>
      <c r="AC139" s="239" t="str">
        <f>IF('CCUS Projects Database'!$V139&lt;&gt;"",HYPERLINK('CCUS Projects Database'!$V139,"Link 5"),"")</f>
        <v/>
      </c>
      <c r="AD139" s="239" t="str">
        <f>IF('CCUS Projects Database'!$W139&lt;&gt;"",HYPERLINK('CCUS Projects Database'!$W139,"Link 6"),"")</f>
        <v/>
      </c>
      <c r="AE139" s="239" t="str">
        <f>IF('CCUS Projects Database'!$X139&lt;&gt;"",HYPERLINK('CCUS Projects Database'!$X139,"Link 7"),"")</f>
        <v/>
      </c>
    </row>
    <row r="140" ht="14.25" customHeight="1">
      <c r="A140" s="233" t="s">
        <v>19305</v>
      </c>
      <c r="B140" s="234">
        <v>169.0</v>
      </c>
      <c r="C140" s="234" t="s">
        <v>18586</v>
      </c>
      <c r="D140" s="235" t="s">
        <v>19301</v>
      </c>
      <c r="E140" s="234" t="s">
        <v>18618</v>
      </c>
      <c r="F140" s="234">
        <v>2021.0</v>
      </c>
      <c r="G140" s="234">
        <v>2026.0</v>
      </c>
      <c r="H140" s="234">
        <v>2028.0</v>
      </c>
      <c r="I140" s="234" t="s">
        <v>18725</v>
      </c>
      <c r="J140" s="234" t="s">
        <v>18636</v>
      </c>
      <c r="K140" s="236" t="s">
        <v>18725</v>
      </c>
      <c r="L140" s="236" t="s">
        <v>19306</v>
      </c>
      <c r="M140" s="236">
        <v>0.372</v>
      </c>
      <c r="N140" s="234" t="s">
        <v>12270</v>
      </c>
      <c r="O140" s="237" t="s">
        <v>18675</v>
      </c>
      <c r="P140" s="238" t="s">
        <v>18966</v>
      </c>
      <c r="Q140" s="234" t="s">
        <v>18732</v>
      </c>
      <c r="R140" s="238" t="s">
        <v>19109</v>
      </c>
      <c r="S140" s="238" t="s">
        <v>19110</v>
      </c>
      <c r="T140" s="238" t="s">
        <v>19111</v>
      </c>
      <c r="U140" s="238" t="s">
        <v>18725</v>
      </c>
      <c r="V140" s="238" t="s">
        <v>18725</v>
      </c>
      <c r="W140" s="238" t="s">
        <v>18725</v>
      </c>
      <c r="X140" s="238" t="s">
        <v>18725</v>
      </c>
      <c r="Y140" s="239" t="str">
        <f>IF('CCUS Projects Database'!$R140&lt;&gt;"",HYPERLINK('CCUS Projects Database'!$R140,"Link 1"),"")</f>
        <v>Link 1</v>
      </c>
      <c r="Z140" s="239" t="str">
        <f>IF('CCUS Projects Database'!$S140&lt;&gt;"",HYPERLINK('CCUS Projects Database'!$S140,"Link 2"),"")</f>
        <v>Link 2</v>
      </c>
      <c r="AA140" s="239" t="str">
        <f>IF('CCUS Projects Database'!$T140&lt;&gt;"",HYPERLINK('CCUS Projects Database'!$T140,"Link 3"),"")</f>
        <v>Link 3</v>
      </c>
      <c r="AB140" s="239" t="str">
        <f>IF('CCUS Projects Database'!$U140&lt;&gt;"",HYPERLINK('CCUS Projects Database'!$U140,"Link 4"),"")</f>
        <v/>
      </c>
      <c r="AC140" s="239" t="str">
        <f>IF('CCUS Projects Database'!$V140&lt;&gt;"",HYPERLINK('CCUS Projects Database'!$V140,"Link 5"),"")</f>
        <v/>
      </c>
      <c r="AD140" s="239" t="str">
        <f>IF('CCUS Projects Database'!$W140&lt;&gt;"",HYPERLINK('CCUS Projects Database'!$W140,"Link 6"),"")</f>
        <v/>
      </c>
      <c r="AE140" s="239" t="str">
        <f>IF('CCUS Projects Database'!$X140&lt;&gt;"",HYPERLINK('CCUS Projects Database'!$X140,"Link 7"),"")</f>
        <v/>
      </c>
    </row>
    <row r="141" ht="14.25" customHeight="1">
      <c r="A141" s="233" t="s">
        <v>19307</v>
      </c>
      <c r="B141" s="234">
        <v>171.0</v>
      </c>
      <c r="C141" s="234" t="s">
        <v>18264</v>
      </c>
      <c r="D141" s="235" t="s">
        <v>19308</v>
      </c>
      <c r="E141" s="234" t="s">
        <v>18616</v>
      </c>
      <c r="F141" s="234">
        <v>2021.0</v>
      </c>
      <c r="G141" s="234">
        <v>2024.0</v>
      </c>
      <c r="H141" s="234">
        <v>2026.0</v>
      </c>
      <c r="I141" s="234" t="s">
        <v>18725</v>
      </c>
      <c r="J141" s="234" t="s">
        <v>18638</v>
      </c>
      <c r="K141" s="236">
        <v>2.0</v>
      </c>
      <c r="L141" s="236">
        <v>0.192</v>
      </c>
      <c r="M141" s="236">
        <v>0.192</v>
      </c>
      <c r="N141" s="234" t="s">
        <v>18654</v>
      </c>
      <c r="O141" s="237" t="s">
        <v>18675</v>
      </c>
      <c r="P141" s="238" t="s">
        <v>18725</v>
      </c>
      <c r="Q141" s="234" t="s">
        <v>18732</v>
      </c>
      <c r="R141" s="238" t="s">
        <v>19309</v>
      </c>
      <c r="S141" s="238" t="s">
        <v>19310</v>
      </c>
      <c r="T141" s="238" t="s">
        <v>19311</v>
      </c>
      <c r="U141" s="238" t="s">
        <v>19312</v>
      </c>
      <c r="V141" s="238" t="s">
        <v>19313</v>
      </c>
      <c r="W141" s="238" t="s">
        <v>18725</v>
      </c>
      <c r="X141" s="238" t="s">
        <v>18725</v>
      </c>
      <c r="Y141" s="239" t="str">
        <f>IF('CCUS Projects Database'!$R141&lt;&gt;"",HYPERLINK('CCUS Projects Database'!$R141,"Link 1"),"")</f>
        <v>Link 1</v>
      </c>
      <c r="Z141" s="239" t="str">
        <f>IF('CCUS Projects Database'!$S141&lt;&gt;"",HYPERLINK('CCUS Projects Database'!$S141,"Link 2"),"")</f>
        <v>Link 2</v>
      </c>
      <c r="AA141" s="239" t="str">
        <f>IF('CCUS Projects Database'!$T141&lt;&gt;"",HYPERLINK('CCUS Projects Database'!$T141,"Link 3"),"")</f>
        <v>Link 3</v>
      </c>
      <c r="AB141" s="239" t="str">
        <f>IF('CCUS Projects Database'!$U141&lt;&gt;"",HYPERLINK('CCUS Projects Database'!$U141,"Link 4"),"")</f>
        <v>Link 4</v>
      </c>
      <c r="AC141" s="239" t="str">
        <f>IF('CCUS Projects Database'!$V141&lt;&gt;"",HYPERLINK('CCUS Projects Database'!$V141,"Link 5"),"")</f>
        <v>Link 5</v>
      </c>
      <c r="AD141" s="239" t="str">
        <f>IF('CCUS Projects Database'!$W141&lt;&gt;"",HYPERLINK('CCUS Projects Database'!$W141,"Link 6"),"")</f>
        <v/>
      </c>
      <c r="AE141" s="239" t="str">
        <f>IF('CCUS Projects Database'!$X141&lt;&gt;"",HYPERLINK('CCUS Projects Database'!$X141,"Link 7"),"")</f>
        <v/>
      </c>
    </row>
    <row r="142" ht="14.25" customHeight="1">
      <c r="A142" s="233" t="s">
        <v>19314</v>
      </c>
      <c r="B142" s="234">
        <v>172.0</v>
      </c>
      <c r="C142" s="234" t="s">
        <v>18586</v>
      </c>
      <c r="D142" s="235" t="s">
        <v>19315</v>
      </c>
      <c r="E142" s="234" t="s">
        <v>18618</v>
      </c>
      <c r="F142" s="234">
        <v>2021.0</v>
      </c>
      <c r="G142" s="234">
        <v>2026.0</v>
      </c>
      <c r="H142" s="234">
        <v>2028.0</v>
      </c>
      <c r="I142" s="234" t="s">
        <v>18725</v>
      </c>
      <c r="J142" s="234" t="s">
        <v>18636</v>
      </c>
      <c r="K142" s="236" t="s">
        <v>18725</v>
      </c>
      <c r="L142" s="236" t="s">
        <v>19316</v>
      </c>
      <c r="M142" s="236">
        <v>0.343</v>
      </c>
      <c r="N142" s="234" t="s">
        <v>12270</v>
      </c>
      <c r="O142" s="237" t="s">
        <v>18675</v>
      </c>
      <c r="P142" s="238" t="s">
        <v>18966</v>
      </c>
      <c r="Q142" s="234" t="s">
        <v>18732</v>
      </c>
      <c r="R142" s="238" t="s">
        <v>19109</v>
      </c>
      <c r="S142" s="238" t="s">
        <v>19110</v>
      </c>
      <c r="T142" s="238" t="s">
        <v>19111</v>
      </c>
      <c r="U142" s="238" t="s">
        <v>18725</v>
      </c>
      <c r="V142" s="238" t="s">
        <v>18725</v>
      </c>
      <c r="W142" s="238" t="s">
        <v>18725</v>
      </c>
      <c r="X142" s="238" t="s">
        <v>18725</v>
      </c>
      <c r="Y142" s="239" t="str">
        <f>IF('CCUS Projects Database'!$R142&lt;&gt;"",HYPERLINK('CCUS Projects Database'!$R142,"Link 1"),"")</f>
        <v>Link 1</v>
      </c>
      <c r="Z142" s="239" t="str">
        <f>IF('CCUS Projects Database'!$S142&lt;&gt;"",HYPERLINK('CCUS Projects Database'!$S142,"Link 2"),"")</f>
        <v>Link 2</v>
      </c>
      <c r="AA142" s="239" t="str">
        <f>IF('CCUS Projects Database'!$T142&lt;&gt;"",HYPERLINK('CCUS Projects Database'!$T142,"Link 3"),"")</f>
        <v>Link 3</v>
      </c>
      <c r="AB142" s="239" t="str">
        <f>IF('CCUS Projects Database'!$U142&lt;&gt;"",HYPERLINK('CCUS Projects Database'!$U142,"Link 4"),"")</f>
        <v/>
      </c>
      <c r="AC142" s="239" t="str">
        <f>IF('CCUS Projects Database'!$V142&lt;&gt;"",HYPERLINK('CCUS Projects Database'!$V142,"Link 5"),"")</f>
        <v/>
      </c>
      <c r="AD142" s="239" t="str">
        <f>IF('CCUS Projects Database'!$W142&lt;&gt;"",HYPERLINK('CCUS Projects Database'!$W142,"Link 6"),"")</f>
        <v/>
      </c>
      <c r="AE142" s="239" t="str">
        <f>IF('CCUS Projects Database'!$X142&lt;&gt;"",HYPERLINK('CCUS Projects Database'!$X142,"Link 7"),"")</f>
        <v/>
      </c>
    </row>
    <row r="143" ht="14.25" customHeight="1">
      <c r="A143" s="233" t="s">
        <v>19317</v>
      </c>
      <c r="B143" s="234">
        <v>173.0</v>
      </c>
      <c r="C143" s="234" t="s">
        <v>18329</v>
      </c>
      <c r="D143" s="235" t="s">
        <v>19318</v>
      </c>
      <c r="E143" s="234" t="s">
        <v>18616</v>
      </c>
      <c r="F143" s="234">
        <v>2009.0</v>
      </c>
      <c r="G143" s="234">
        <v>2009.0</v>
      </c>
      <c r="H143" s="234">
        <v>2019.0</v>
      </c>
      <c r="I143" s="234" t="s">
        <v>18725</v>
      </c>
      <c r="J143" s="234" t="s">
        <v>12385</v>
      </c>
      <c r="K143" s="236" t="s">
        <v>18725</v>
      </c>
      <c r="L143" s="236" t="s">
        <v>19319</v>
      </c>
      <c r="M143" s="236">
        <v>1.6</v>
      </c>
      <c r="N143" s="234" t="s">
        <v>18656</v>
      </c>
      <c r="O143" s="237" t="s">
        <v>18675</v>
      </c>
      <c r="P143" s="238" t="s">
        <v>18725</v>
      </c>
      <c r="Q143" s="234" t="s">
        <v>18762</v>
      </c>
      <c r="R143" s="238" t="s">
        <v>19320</v>
      </c>
      <c r="S143" s="238" t="s">
        <v>19321</v>
      </c>
      <c r="T143" s="238" t="s">
        <v>18725</v>
      </c>
      <c r="U143" s="238" t="s">
        <v>18725</v>
      </c>
      <c r="V143" s="238" t="s">
        <v>18725</v>
      </c>
      <c r="W143" s="238" t="s">
        <v>18725</v>
      </c>
      <c r="X143" s="238" t="s">
        <v>18725</v>
      </c>
      <c r="Y143" s="239" t="str">
        <f>IF('CCUS Projects Database'!$R143&lt;&gt;"",HYPERLINK('CCUS Projects Database'!$R143,"Link 1"),"")</f>
        <v>Link 1</v>
      </c>
      <c r="Z143" s="239" t="str">
        <f>IF('CCUS Projects Database'!$S143&lt;&gt;"",HYPERLINK('CCUS Projects Database'!$S143,"Link 2"),"")</f>
        <v>Link 2</v>
      </c>
      <c r="AA143" s="239" t="str">
        <f>IF('CCUS Projects Database'!$T143&lt;&gt;"",HYPERLINK('CCUS Projects Database'!$T143,"Link 3"),"")</f>
        <v/>
      </c>
      <c r="AB143" s="239" t="str">
        <f>IF('CCUS Projects Database'!$U143&lt;&gt;"",HYPERLINK('CCUS Projects Database'!$U143,"Link 4"),"")</f>
        <v/>
      </c>
      <c r="AC143" s="239" t="str">
        <f>IF('CCUS Projects Database'!$V143&lt;&gt;"",HYPERLINK('CCUS Projects Database'!$V143,"Link 5"),"")</f>
        <v/>
      </c>
      <c r="AD143" s="239" t="str">
        <f>IF('CCUS Projects Database'!$W143&lt;&gt;"",HYPERLINK('CCUS Projects Database'!$W143,"Link 6"),"")</f>
        <v/>
      </c>
      <c r="AE143" s="239" t="str">
        <f>IF('CCUS Projects Database'!$X143&lt;&gt;"",HYPERLINK('CCUS Projects Database'!$X143,"Link 7"),"")</f>
        <v/>
      </c>
    </row>
    <row r="144" ht="14.25" customHeight="1">
      <c r="A144" s="233" t="s">
        <v>19322</v>
      </c>
      <c r="B144" s="234">
        <v>175.0</v>
      </c>
      <c r="C144" s="234" t="s">
        <v>18586</v>
      </c>
      <c r="D144" s="235" t="s">
        <v>19323</v>
      </c>
      <c r="E144" s="234" t="s">
        <v>18618</v>
      </c>
      <c r="F144" s="234">
        <v>2021.0</v>
      </c>
      <c r="G144" s="234">
        <v>2026.0</v>
      </c>
      <c r="H144" s="234">
        <v>2028.0</v>
      </c>
      <c r="I144" s="234" t="s">
        <v>18725</v>
      </c>
      <c r="J144" s="234" t="s">
        <v>18636</v>
      </c>
      <c r="K144" s="236" t="s">
        <v>18725</v>
      </c>
      <c r="L144" s="236" t="s">
        <v>19324</v>
      </c>
      <c r="M144" s="236">
        <v>0.18</v>
      </c>
      <c r="N144" s="234" t="s">
        <v>12270</v>
      </c>
      <c r="O144" s="237" t="s">
        <v>18675</v>
      </c>
      <c r="P144" s="238" t="s">
        <v>18966</v>
      </c>
      <c r="Q144" s="234" t="s">
        <v>18732</v>
      </c>
      <c r="R144" s="238" t="s">
        <v>19109</v>
      </c>
      <c r="S144" s="238" t="s">
        <v>19110</v>
      </c>
      <c r="T144" s="238" t="s">
        <v>19111</v>
      </c>
      <c r="U144" s="238" t="s">
        <v>18725</v>
      </c>
      <c r="V144" s="238" t="s">
        <v>18725</v>
      </c>
      <c r="W144" s="238" t="s">
        <v>18725</v>
      </c>
      <c r="X144" s="238" t="s">
        <v>18725</v>
      </c>
      <c r="Y144" s="239" t="str">
        <f>IF('CCUS Projects Database'!$R144&lt;&gt;"",HYPERLINK('CCUS Projects Database'!$R144,"Link 1"),"")</f>
        <v>Link 1</v>
      </c>
      <c r="Z144" s="239" t="str">
        <f>IF('CCUS Projects Database'!$S144&lt;&gt;"",HYPERLINK('CCUS Projects Database'!$S144,"Link 2"),"")</f>
        <v>Link 2</v>
      </c>
      <c r="AA144" s="239" t="str">
        <f>IF('CCUS Projects Database'!$T144&lt;&gt;"",HYPERLINK('CCUS Projects Database'!$T144,"Link 3"),"")</f>
        <v>Link 3</v>
      </c>
      <c r="AB144" s="239" t="str">
        <f>IF('CCUS Projects Database'!$U144&lt;&gt;"",HYPERLINK('CCUS Projects Database'!$U144,"Link 4"),"")</f>
        <v/>
      </c>
      <c r="AC144" s="239" t="str">
        <f>IF('CCUS Projects Database'!$V144&lt;&gt;"",HYPERLINK('CCUS Projects Database'!$V144,"Link 5"),"")</f>
        <v/>
      </c>
      <c r="AD144" s="239" t="str">
        <f>IF('CCUS Projects Database'!$W144&lt;&gt;"",HYPERLINK('CCUS Projects Database'!$W144,"Link 6"),"")</f>
        <v/>
      </c>
      <c r="AE144" s="239" t="str">
        <f>IF('CCUS Projects Database'!$X144&lt;&gt;"",HYPERLINK('CCUS Projects Database'!$X144,"Link 7"),"")</f>
        <v/>
      </c>
    </row>
    <row r="145" ht="14.25" customHeight="1">
      <c r="A145" s="233" t="s">
        <v>19325</v>
      </c>
      <c r="B145" s="234">
        <v>176.0</v>
      </c>
      <c r="C145" s="234" t="s">
        <v>19326</v>
      </c>
      <c r="D145" s="235" t="s">
        <v>19327</v>
      </c>
      <c r="E145" s="234" t="s">
        <v>18616</v>
      </c>
      <c r="F145" s="234">
        <v>1997.0</v>
      </c>
      <c r="G145" s="234" t="s">
        <v>18725</v>
      </c>
      <c r="H145" s="234">
        <v>2000.0</v>
      </c>
      <c r="I145" s="234" t="s">
        <v>18725</v>
      </c>
      <c r="J145" s="234" t="s">
        <v>12385</v>
      </c>
      <c r="K145" s="236">
        <v>1.0</v>
      </c>
      <c r="L145" s="236">
        <v>3.0</v>
      </c>
      <c r="M145" s="236">
        <v>3.0</v>
      </c>
      <c r="N145" s="234" t="s">
        <v>18661</v>
      </c>
      <c r="O145" s="237" t="s">
        <v>18677</v>
      </c>
      <c r="P145" s="238" t="s">
        <v>19328</v>
      </c>
      <c r="Q145" s="234" t="s">
        <v>18732</v>
      </c>
      <c r="R145" s="238" t="s">
        <v>16524</v>
      </c>
      <c r="S145" s="238" t="s">
        <v>19329</v>
      </c>
      <c r="T145" s="238" t="s">
        <v>19330</v>
      </c>
      <c r="U145" s="238" t="s">
        <v>19331</v>
      </c>
      <c r="V145" s="238" t="s">
        <v>18725</v>
      </c>
      <c r="W145" s="238" t="s">
        <v>18725</v>
      </c>
      <c r="X145" s="238" t="s">
        <v>18725</v>
      </c>
      <c r="Y145" s="239" t="str">
        <f>IF('CCUS Projects Database'!$R145&lt;&gt;"",HYPERLINK('CCUS Projects Database'!$R145,"Link 1"),"")</f>
        <v>Link 1</v>
      </c>
      <c r="Z145" s="239" t="str">
        <f>IF('CCUS Projects Database'!$S145&lt;&gt;"",HYPERLINK('CCUS Projects Database'!$S145,"Link 2"),"")</f>
        <v>Link 2</v>
      </c>
      <c r="AA145" s="239" t="str">
        <f>IF('CCUS Projects Database'!$T145&lt;&gt;"",HYPERLINK('CCUS Projects Database'!$T145,"Link 3"),"")</f>
        <v>Link 3</v>
      </c>
      <c r="AB145" s="239" t="str">
        <f>IF('CCUS Projects Database'!$U145&lt;&gt;"",HYPERLINK('CCUS Projects Database'!$U145,"Link 4"),"")</f>
        <v>Link 4</v>
      </c>
      <c r="AC145" s="239" t="str">
        <f>IF('CCUS Projects Database'!$V145&lt;&gt;"",HYPERLINK('CCUS Projects Database'!$V145,"Link 5"),"")</f>
        <v/>
      </c>
      <c r="AD145" s="239" t="str">
        <f>IF('CCUS Projects Database'!$W145&lt;&gt;"",HYPERLINK('CCUS Projects Database'!$W145,"Link 6"),"")</f>
        <v/>
      </c>
      <c r="AE145" s="239" t="str">
        <f>IF('CCUS Projects Database'!$X145&lt;&gt;"",HYPERLINK('CCUS Projects Database'!$X145,"Link 7"),"")</f>
        <v/>
      </c>
    </row>
    <row r="146" ht="14.25" customHeight="1">
      <c r="A146" s="233" t="s">
        <v>19332</v>
      </c>
      <c r="B146" s="234">
        <v>177.0</v>
      </c>
      <c r="C146" s="234" t="s">
        <v>18586</v>
      </c>
      <c r="D146" s="235" t="s">
        <v>19333</v>
      </c>
      <c r="E146" s="234" t="s">
        <v>18618</v>
      </c>
      <c r="F146" s="234">
        <v>2021.0</v>
      </c>
      <c r="G146" s="234">
        <v>2026.0</v>
      </c>
      <c r="H146" s="234">
        <v>2028.0</v>
      </c>
      <c r="I146" s="234" t="s">
        <v>18725</v>
      </c>
      <c r="J146" s="234" t="s">
        <v>18636</v>
      </c>
      <c r="K146" s="236" t="s">
        <v>18725</v>
      </c>
      <c r="L146" s="236" t="s">
        <v>19334</v>
      </c>
      <c r="M146" s="236">
        <v>0.157</v>
      </c>
      <c r="N146" s="234" t="s">
        <v>12270</v>
      </c>
      <c r="O146" s="237" t="s">
        <v>18675</v>
      </c>
      <c r="P146" s="238" t="s">
        <v>18966</v>
      </c>
      <c r="Q146" s="234" t="s">
        <v>18732</v>
      </c>
      <c r="R146" s="238" t="s">
        <v>19109</v>
      </c>
      <c r="S146" s="238" t="s">
        <v>19110</v>
      </c>
      <c r="T146" s="238" t="s">
        <v>19111</v>
      </c>
      <c r="U146" s="238" t="s">
        <v>19335</v>
      </c>
      <c r="V146" s="238" t="s">
        <v>18725</v>
      </c>
      <c r="W146" s="238" t="s">
        <v>18725</v>
      </c>
      <c r="X146" s="238" t="s">
        <v>18725</v>
      </c>
      <c r="Y146" s="239" t="str">
        <f>IF('CCUS Projects Database'!$R146&lt;&gt;"",HYPERLINK('CCUS Projects Database'!$R146,"Link 1"),"")</f>
        <v>Link 1</v>
      </c>
      <c r="Z146" s="239" t="str">
        <f>IF('CCUS Projects Database'!$S146&lt;&gt;"",HYPERLINK('CCUS Projects Database'!$S146,"Link 2"),"")</f>
        <v>Link 2</v>
      </c>
      <c r="AA146" s="239" t="str">
        <f>IF('CCUS Projects Database'!$T146&lt;&gt;"",HYPERLINK('CCUS Projects Database'!$T146,"Link 3"),"")</f>
        <v>Link 3</v>
      </c>
      <c r="AB146" s="239" t="str">
        <f>IF('CCUS Projects Database'!$U146&lt;&gt;"",HYPERLINK('CCUS Projects Database'!$U146,"Link 4"),"")</f>
        <v>Link 4</v>
      </c>
      <c r="AC146" s="239" t="str">
        <f>IF('CCUS Projects Database'!$V146&lt;&gt;"",HYPERLINK('CCUS Projects Database'!$V146,"Link 5"),"")</f>
        <v/>
      </c>
      <c r="AD146" s="239" t="str">
        <f>IF('CCUS Projects Database'!$W146&lt;&gt;"",HYPERLINK('CCUS Projects Database'!$W146,"Link 6"),"")</f>
        <v/>
      </c>
      <c r="AE146" s="239" t="str">
        <f>IF('CCUS Projects Database'!$X146&lt;&gt;"",HYPERLINK('CCUS Projects Database'!$X146,"Link 7"),"")</f>
        <v/>
      </c>
    </row>
    <row r="147" ht="14.25" customHeight="1">
      <c r="A147" s="233" t="s">
        <v>19336</v>
      </c>
      <c r="B147" s="234">
        <v>178.0</v>
      </c>
      <c r="C147" s="234" t="s">
        <v>18586</v>
      </c>
      <c r="D147" s="235" t="s">
        <v>19337</v>
      </c>
      <c r="E147" s="234" t="s">
        <v>18618</v>
      </c>
      <c r="F147" s="234">
        <v>2021.0</v>
      </c>
      <c r="G147" s="234">
        <v>2024.0</v>
      </c>
      <c r="H147" s="234">
        <v>2028.0</v>
      </c>
      <c r="I147" s="234" t="s">
        <v>18725</v>
      </c>
      <c r="J147" s="234" t="s">
        <v>18638</v>
      </c>
      <c r="K147" s="236" t="s">
        <v>18725</v>
      </c>
      <c r="L147" s="236" t="s">
        <v>19338</v>
      </c>
      <c r="M147" s="236">
        <v>0.332</v>
      </c>
      <c r="N147" s="234" t="s">
        <v>12270</v>
      </c>
      <c r="O147" s="237" t="s">
        <v>18675</v>
      </c>
      <c r="P147" s="238" t="s">
        <v>18966</v>
      </c>
      <c r="Q147" s="234" t="s">
        <v>18732</v>
      </c>
      <c r="R147" s="238" t="s">
        <v>19109</v>
      </c>
      <c r="S147" s="238" t="s">
        <v>19110</v>
      </c>
      <c r="T147" s="238" t="s">
        <v>19111</v>
      </c>
      <c r="U147" s="238" t="s">
        <v>19335</v>
      </c>
      <c r="V147" s="238" t="s">
        <v>19339</v>
      </c>
      <c r="W147" s="238" t="s">
        <v>18725</v>
      </c>
      <c r="X147" s="238" t="s">
        <v>18725</v>
      </c>
      <c r="Y147" s="239" t="str">
        <f>IF('CCUS Projects Database'!$R147&lt;&gt;"",HYPERLINK('CCUS Projects Database'!$R147,"Link 1"),"")</f>
        <v>Link 1</v>
      </c>
      <c r="Z147" s="239" t="str">
        <f>IF('CCUS Projects Database'!$S147&lt;&gt;"",HYPERLINK('CCUS Projects Database'!$S147,"Link 2"),"")</f>
        <v>Link 2</v>
      </c>
      <c r="AA147" s="239" t="str">
        <f>IF('CCUS Projects Database'!$T147&lt;&gt;"",HYPERLINK('CCUS Projects Database'!$T147,"Link 3"),"")</f>
        <v>Link 3</v>
      </c>
      <c r="AB147" s="239" t="str">
        <f>IF('CCUS Projects Database'!$U147&lt;&gt;"",HYPERLINK('CCUS Projects Database'!$U147,"Link 4"),"")</f>
        <v>Link 4</v>
      </c>
      <c r="AC147" s="239" t="str">
        <f>IF('CCUS Projects Database'!$V147&lt;&gt;"",HYPERLINK('CCUS Projects Database'!$V147,"Link 5"),"")</f>
        <v>Link 5</v>
      </c>
      <c r="AD147" s="239" t="str">
        <f>IF('CCUS Projects Database'!$W147&lt;&gt;"",HYPERLINK('CCUS Projects Database'!$W147,"Link 6"),"")</f>
        <v/>
      </c>
      <c r="AE147" s="239" t="str">
        <f>IF('CCUS Projects Database'!$X147&lt;&gt;"",HYPERLINK('CCUS Projects Database'!$X147,"Link 7"),"")</f>
        <v/>
      </c>
    </row>
    <row r="148" ht="14.25" customHeight="1">
      <c r="A148" s="233" t="s">
        <v>19340</v>
      </c>
      <c r="B148" s="234">
        <v>179.0</v>
      </c>
      <c r="C148" s="234" t="s">
        <v>18586</v>
      </c>
      <c r="D148" s="235" t="s">
        <v>19341</v>
      </c>
      <c r="E148" s="234" t="s">
        <v>18618</v>
      </c>
      <c r="F148" s="234">
        <v>2021.0</v>
      </c>
      <c r="G148" s="234">
        <v>2026.0</v>
      </c>
      <c r="H148" s="234">
        <v>2028.0</v>
      </c>
      <c r="I148" s="234" t="s">
        <v>18725</v>
      </c>
      <c r="J148" s="234" t="s">
        <v>18636</v>
      </c>
      <c r="K148" s="236" t="s">
        <v>18725</v>
      </c>
      <c r="L148" s="236" t="s">
        <v>19342</v>
      </c>
      <c r="M148" s="236">
        <v>0.343</v>
      </c>
      <c r="N148" s="234" t="s">
        <v>12270</v>
      </c>
      <c r="O148" s="237" t="s">
        <v>18675</v>
      </c>
      <c r="P148" s="238" t="s">
        <v>18966</v>
      </c>
      <c r="Q148" s="234" t="s">
        <v>18732</v>
      </c>
      <c r="R148" s="238" t="s">
        <v>19109</v>
      </c>
      <c r="S148" s="238" t="s">
        <v>19110</v>
      </c>
      <c r="T148" s="238" t="s">
        <v>19111</v>
      </c>
      <c r="U148" s="238" t="s">
        <v>18725</v>
      </c>
      <c r="V148" s="238" t="s">
        <v>18725</v>
      </c>
      <c r="W148" s="238" t="s">
        <v>18725</v>
      </c>
      <c r="X148" s="238" t="s">
        <v>18725</v>
      </c>
      <c r="Y148" s="239" t="str">
        <f>IF('CCUS Projects Database'!$R148&lt;&gt;"",HYPERLINK('CCUS Projects Database'!$R148,"Link 1"),"")</f>
        <v>Link 1</v>
      </c>
      <c r="Z148" s="239" t="str">
        <f>IF('CCUS Projects Database'!$S148&lt;&gt;"",HYPERLINK('CCUS Projects Database'!$S148,"Link 2"),"")</f>
        <v>Link 2</v>
      </c>
      <c r="AA148" s="239" t="str">
        <f>IF('CCUS Projects Database'!$T148&lt;&gt;"",HYPERLINK('CCUS Projects Database'!$T148,"Link 3"),"")</f>
        <v>Link 3</v>
      </c>
      <c r="AB148" s="239" t="str">
        <f>IF('CCUS Projects Database'!$U148&lt;&gt;"",HYPERLINK('CCUS Projects Database'!$U148,"Link 4"),"")</f>
        <v/>
      </c>
      <c r="AC148" s="239" t="str">
        <f>IF('CCUS Projects Database'!$V148&lt;&gt;"",HYPERLINK('CCUS Projects Database'!$V148,"Link 5"),"")</f>
        <v/>
      </c>
      <c r="AD148" s="239" t="str">
        <f>IF('CCUS Projects Database'!$W148&lt;&gt;"",HYPERLINK('CCUS Projects Database'!$W148,"Link 6"),"")</f>
        <v/>
      </c>
      <c r="AE148" s="239" t="str">
        <f>IF('CCUS Projects Database'!$X148&lt;&gt;"",HYPERLINK('CCUS Projects Database'!$X148,"Link 7"),"")</f>
        <v/>
      </c>
    </row>
    <row r="149" ht="14.25" customHeight="1">
      <c r="A149" s="233" t="s">
        <v>19343</v>
      </c>
      <c r="B149" s="234">
        <v>180.0</v>
      </c>
      <c r="C149" s="234" t="s">
        <v>18586</v>
      </c>
      <c r="D149" s="235" t="s">
        <v>19344</v>
      </c>
      <c r="E149" s="234" t="s">
        <v>18618</v>
      </c>
      <c r="F149" s="234">
        <v>2021.0</v>
      </c>
      <c r="G149" s="234">
        <v>2026.0</v>
      </c>
      <c r="H149" s="234">
        <v>2028.0</v>
      </c>
      <c r="I149" s="234" t="s">
        <v>18725</v>
      </c>
      <c r="J149" s="234" t="s">
        <v>18636</v>
      </c>
      <c r="K149" s="236" t="s">
        <v>18725</v>
      </c>
      <c r="L149" s="236">
        <v>0.172</v>
      </c>
      <c r="M149" s="236">
        <v>0.172</v>
      </c>
      <c r="N149" s="234" t="s">
        <v>12270</v>
      </c>
      <c r="O149" s="237" t="s">
        <v>18675</v>
      </c>
      <c r="P149" s="238" t="s">
        <v>18966</v>
      </c>
      <c r="Q149" s="234" t="s">
        <v>18732</v>
      </c>
      <c r="R149" s="238" t="s">
        <v>19109</v>
      </c>
      <c r="S149" s="238" t="s">
        <v>19110</v>
      </c>
      <c r="T149" s="238" t="s">
        <v>19111</v>
      </c>
      <c r="U149" s="238" t="s">
        <v>18725</v>
      </c>
      <c r="V149" s="238" t="s">
        <v>18725</v>
      </c>
      <c r="W149" s="238" t="s">
        <v>18725</v>
      </c>
      <c r="X149" s="238" t="s">
        <v>18725</v>
      </c>
      <c r="Y149" s="239" t="str">
        <f>IF('CCUS Projects Database'!$R149&lt;&gt;"",HYPERLINK('CCUS Projects Database'!$R149,"Link 1"),"")</f>
        <v>Link 1</v>
      </c>
      <c r="Z149" s="239" t="str">
        <f>IF('CCUS Projects Database'!$S149&lt;&gt;"",HYPERLINK('CCUS Projects Database'!$S149,"Link 2"),"")</f>
        <v>Link 2</v>
      </c>
      <c r="AA149" s="239" t="str">
        <f>IF('CCUS Projects Database'!$T149&lt;&gt;"",HYPERLINK('CCUS Projects Database'!$T149,"Link 3"),"")</f>
        <v>Link 3</v>
      </c>
      <c r="AB149" s="239" t="str">
        <f>IF('CCUS Projects Database'!$U149&lt;&gt;"",HYPERLINK('CCUS Projects Database'!$U149,"Link 4"),"")</f>
        <v/>
      </c>
      <c r="AC149" s="239" t="str">
        <f>IF('CCUS Projects Database'!$V149&lt;&gt;"",HYPERLINK('CCUS Projects Database'!$V149,"Link 5"),"")</f>
        <v/>
      </c>
      <c r="AD149" s="239" t="str">
        <f>IF('CCUS Projects Database'!$W149&lt;&gt;"",HYPERLINK('CCUS Projects Database'!$W149,"Link 6"),"")</f>
        <v/>
      </c>
      <c r="AE149" s="239" t="str">
        <f>IF('CCUS Projects Database'!$X149&lt;&gt;"",HYPERLINK('CCUS Projects Database'!$X149,"Link 7"),"")</f>
        <v/>
      </c>
    </row>
    <row r="150" ht="14.25" customHeight="1">
      <c r="A150" s="233" t="s">
        <v>19345</v>
      </c>
      <c r="B150" s="234">
        <v>181.0</v>
      </c>
      <c r="C150" s="234" t="s">
        <v>18586</v>
      </c>
      <c r="D150" s="235" t="s">
        <v>19346</v>
      </c>
      <c r="E150" s="234" t="s">
        <v>18618</v>
      </c>
      <c r="F150" s="234">
        <v>2021.0</v>
      </c>
      <c r="G150" s="234">
        <v>2026.0</v>
      </c>
      <c r="H150" s="234">
        <v>2028.0</v>
      </c>
      <c r="I150" s="234" t="s">
        <v>18725</v>
      </c>
      <c r="J150" s="234" t="s">
        <v>18636</v>
      </c>
      <c r="K150" s="236" t="s">
        <v>18725</v>
      </c>
      <c r="L150" s="236" t="s">
        <v>19347</v>
      </c>
      <c r="M150" s="236">
        <v>0.235</v>
      </c>
      <c r="N150" s="234" t="s">
        <v>12270</v>
      </c>
      <c r="O150" s="237" t="s">
        <v>18675</v>
      </c>
      <c r="P150" s="238" t="s">
        <v>18966</v>
      </c>
      <c r="Q150" s="234" t="s">
        <v>18732</v>
      </c>
      <c r="R150" s="238" t="s">
        <v>19109</v>
      </c>
      <c r="S150" s="238" t="s">
        <v>19110</v>
      </c>
      <c r="T150" s="238" t="s">
        <v>19111</v>
      </c>
      <c r="U150" s="238" t="s">
        <v>18725</v>
      </c>
      <c r="V150" s="238" t="s">
        <v>18725</v>
      </c>
      <c r="W150" s="238" t="s">
        <v>18725</v>
      </c>
      <c r="X150" s="238" t="s">
        <v>18725</v>
      </c>
      <c r="Y150" s="239" t="str">
        <f>IF('CCUS Projects Database'!$R150&lt;&gt;"",HYPERLINK('CCUS Projects Database'!$R150,"Link 1"),"")</f>
        <v>Link 1</v>
      </c>
      <c r="Z150" s="239" t="str">
        <f>IF('CCUS Projects Database'!$S150&lt;&gt;"",HYPERLINK('CCUS Projects Database'!$S150,"Link 2"),"")</f>
        <v>Link 2</v>
      </c>
      <c r="AA150" s="239" t="str">
        <f>IF('CCUS Projects Database'!$T150&lt;&gt;"",HYPERLINK('CCUS Projects Database'!$T150,"Link 3"),"")</f>
        <v>Link 3</v>
      </c>
      <c r="AB150" s="239" t="str">
        <f>IF('CCUS Projects Database'!$U150&lt;&gt;"",HYPERLINK('CCUS Projects Database'!$U150,"Link 4"),"")</f>
        <v/>
      </c>
      <c r="AC150" s="239" t="str">
        <f>IF('CCUS Projects Database'!$V150&lt;&gt;"",HYPERLINK('CCUS Projects Database'!$V150,"Link 5"),"")</f>
        <v/>
      </c>
      <c r="AD150" s="239" t="str">
        <f>IF('CCUS Projects Database'!$W150&lt;&gt;"",HYPERLINK('CCUS Projects Database'!$W150,"Link 6"),"")</f>
        <v/>
      </c>
      <c r="AE150" s="239" t="str">
        <f>IF('CCUS Projects Database'!$X150&lt;&gt;"",HYPERLINK('CCUS Projects Database'!$X150,"Link 7"),"")</f>
        <v/>
      </c>
    </row>
    <row r="151" ht="14.25" customHeight="1">
      <c r="A151" s="233" t="s">
        <v>19348</v>
      </c>
      <c r="B151" s="234">
        <v>182.0</v>
      </c>
      <c r="C151" s="234" t="s">
        <v>18586</v>
      </c>
      <c r="D151" s="235" t="s">
        <v>19349</v>
      </c>
      <c r="E151" s="234" t="s">
        <v>18618</v>
      </c>
      <c r="F151" s="234">
        <v>2021.0</v>
      </c>
      <c r="G151" s="234">
        <v>2026.0</v>
      </c>
      <c r="H151" s="234">
        <v>2028.0</v>
      </c>
      <c r="I151" s="234" t="s">
        <v>18725</v>
      </c>
      <c r="J151" s="234" t="s">
        <v>18636</v>
      </c>
      <c r="K151" s="236" t="s">
        <v>18725</v>
      </c>
      <c r="L151" s="236" t="s">
        <v>19350</v>
      </c>
      <c r="M151" s="236">
        <v>0.172</v>
      </c>
      <c r="N151" s="234" t="s">
        <v>12270</v>
      </c>
      <c r="O151" s="237" t="s">
        <v>18675</v>
      </c>
      <c r="P151" s="238" t="s">
        <v>18966</v>
      </c>
      <c r="Q151" s="234" t="s">
        <v>18732</v>
      </c>
      <c r="R151" s="238" t="s">
        <v>19109</v>
      </c>
      <c r="S151" s="238" t="s">
        <v>19110</v>
      </c>
      <c r="T151" s="238" t="s">
        <v>19111</v>
      </c>
      <c r="U151" s="238" t="s">
        <v>18725</v>
      </c>
      <c r="V151" s="238" t="s">
        <v>18725</v>
      </c>
      <c r="W151" s="238" t="s">
        <v>18725</v>
      </c>
      <c r="X151" s="238" t="s">
        <v>18725</v>
      </c>
      <c r="Y151" s="239" t="str">
        <f>IF('CCUS Projects Database'!$R151&lt;&gt;"",HYPERLINK('CCUS Projects Database'!$R151,"Link 1"),"")</f>
        <v>Link 1</v>
      </c>
      <c r="Z151" s="239" t="str">
        <f>IF('CCUS Projects Database'!$S151&lt;&gt;"",HYPERLINK('CCUS Projects Database'!$S151,"Link 2"),"")</f>
        <v>Link 2</v>
      </c>
      <c r="AA151" s="239" t="str">
        <f>IF('CCUS Projects Database'!$T151&lt;&gt;"",HYPERLINK('CCUS Projects Database'!$T151,"Link 3"),"")</f>
        <v>Link 3</v>
      </c>
      <c r="AB151" s="239" t="str">
        <f>IF('CCUS Projects Database'!$U151&lt;&gt;"",HYPERLINK('CCUS Projects Database'!$U151,"Link 4"),"")</f>
        <v/>
      </c>
      <c r="AC151" s="239" t="str">
        <f>IF('CCUS Projects Database'!$V151&lt;&gt;"",HYPERLINK('CCUS Projects Database'!$V151,"Link 5"),"")</f>
        <v/>
      </c>
      <c r="AD151" s="239" t="str">
        <f>IF('CCUS Projects Database'!$W151&lt;&gt;"",HYPERLINK('CCUS Projects Database'!$W151,"Link 6"),"")</f>
        <v/>
      </c>
      <c r="AE151" s="239" t="str">
        <f>IF('CCUS Projects Database'!$X151&lt;&gt;"",HYPERLINK('CCUS Projects Database'!$X151,"Link 7"),"")</f>
        <v/>
      </c>
    </row>
    <row r="152" ht="14.25" customHeight="1">
      <c r="A152" s="233" t="s">
        <v>19351</v>
      </c>
      <c r="B152" s="234">
        <v>183.0</v>
      </c>
      <c r="C152" s="234" t="s">
        <v>18586</v>
      </c>
      <c r="D152" s="235" t="s">
        <v>19352</v>
      </c>
      <c r="E152" s="234" t="s">
        <v>18618</v>
      </c>
      <c r="F152" s="234">
        <v>2021.0</v>
      </c>
      <c r="G152" s="234">
        <v>2024.0</v>
      </c>
      <c r="H152" s="234">
        <v>2028.0</v>
      </c>
      <c r="I152" s="234" t="s">
        <v>18725</v>
      </c>
      <c r="J152" s="234" t="s">
        <v>18638</v>
      </c>
      <c r="K152" s="236" t="s">
        <v>18725</v>
      </c>
      <c r="L152" s="236" t="s">
        <v>19353</v>
      </c>
      <c r="M152" s="236">
        <v>0.346</v>
      </c>
      <c r="N152" s="234" t="s">
        <v>12270</v>
      </c>
      <c r="O152" s="237" t="s">
        <v>18675</v>
      </c>
      <c r="P152" s="238" t="s">
        <v>18966</v>
      </c>
      <c r="Q152" s="234" t="s">
        <v>18732</v>
      </c>
      <c r="R152" s="238" t="s">
        <v>19109</v>
      </c>
      <c r="S152" s="238" t="s">
        <v>19110</v>
      </c>
      <c r="T152" s="238" t="s">
        <v>19111</v>
      </c>
      <c r="U152" s="238" t="s">
        <v>19335</v>
      </c>
      <c r="V152" s="238" t="s">
        <v>19339</v>
      </c>
      <c r="W152" s="238" t="s">
        <v>18725</v>
      </c>
      <c r="X152" s="238" t="s">
        <v>18725</v>
      </c>
      <c r="Y152" s="239" t="str">
        <f>IF('CCUS Projects Database'!$R152&lt;&gt;"",HYPERLINK('CCUS Projects Database'!$R152,"Link 1"),"")</f>
        <v>Link 1</v>
      </c>
      <c r="Z152" s="239" t="str">
        <f>IF('CCUS Projects Database'!$S152&lt;&gt;"",HYPERLINK('CCUS Projects Database'!$S152,"Link 2"),"")</f>
        <v>Link 2</v>
      </c>
      <c r="AA152" s="239" t="str">
        <f>IF('CCUS Projects Database'!$T152&lt;&gt;"",HYPERLINK('CCUS Projects Database'!$T152,"Link 3"),"")</f>
        <v>Link 3</v>
      </c>
      <c r="AB152" s="239" t="str">
        <f>IF('CCUS Projects Database'!$U152&lt;&gt;"",HYPERLINK('CCUS Projects Database'!$U152,"Link 4"),"")</f>
        <v>Link 4</v>
      </c>
      <c r="AC152" s="239" t="str">
        <f>IF('CCUS Projects Database'!$V152&lt;&gt;"",HYPERLINK('CCUS Projects Database'!$V152,"Link 5"),"")</f>
        <v>Link 5</v>
      </c>
      <c r="AD152" s="239" t="str">
        <f>IF('CCUS Projects Database'!$W152&lt;&gt;"",HYPERLINK('CCUS Projects Database'!$W152,"Link 6"),"")</f>
        <v/>
      </c>
      <c r="AE152" s="239" t="str">
        <f>IF('CCUS Projects Database'!$X152&lt;&gt;"",HYPERLINK('CCUS Projects Database'!$X152,"Link 7"),"")</f>
        <v/>
      </c>
    </row>
    <row r="153" ht="14.25" customHeight="1">
      <c r="A153" s="233" t="s">
        <v>19354</v>
      </c>
      <c r="B153" s="234">
        <v>184.0</v>
      </c>
      <c r="C153" s="234" t="s">
        <v>18586</v>
      </c>
      <c r="D153" s="235" t="s">
        <v>19355</v>
      </c>
      <c r="E153" s="234" t="s">
        <v>18618</v>
      </c>
      <c r="F153" s="234">
        <v>2021.0</v>
      </c>
      <c r="G153" s="234">
        <v>2024.0</v>
      </c>
      <c r="H153" s="234">
        <v>2028.0</v>
      </c>
      <c r="I153" s="234" t="s">
        <v>18725</v>
      </c>
      <c r="J153" s="234" t="s">
        <v>18638</v>
      </c>
      <c r="K153" s="236" t="s">
        <v>18725</v>
      </c>
      <c r="L153" s="236" t="s">
        <v>19356</v>
      </c>
      <c r="M153" s="236">
        <v>0.143</v>
      </c>
      <c r="N153" s="234" t="s">
        <v>12270</v>
      </c>
      <c r="O153" s="237" t="s">
        <v>18675</v>
      </c>
      <c r="P153" s="238" t="s">
        <v>18966</v>
      </c>
      <c r="Q153" s="234" t="s">
        <v>18732</v>
      </c>
      <c r="R153" s="238" t="s">
        <v>19109</v>
      </c>
      <c r="S153" s="238" t="s">
        <v>19110</v>
      </c>
      <c r="T153" s="238" t="s">
        <v>19111</v>
      </c>
      <c r="U153" s="238" t="s">
        <v>19335</v>
      </c>
      <c r="V153" s="238" t="s">
        <v>19339</v>
      </c>
      <c r="W153" s="238" t="s">
        <v>18725</v>
      </c>
      <c r="X153" s="238" t="s">
        <v>18725</v>
      </c>
      <c r="Y153" s="239" t="str">
        <f>IF('CCUS Projects Database'!$R153&lt;&gt;"",HYPERLINK('CCUS Projects Database'!$R153,"Link 1"),"")</f>
        <v>Link 1</v>
      </c>
      <c r="Z153" s="239" t="str">
        <f>IF('CCUS Projects Database'!$S153&lt;&gt;"",HYPERLINK('CCUS Projects Database'!$S153,"Link 2"),"")</f>
        <v>Link 2</v>
      </c>
      <c r="AA153" s="239" t="str">
        <f>IF('CCUS Projects Database'!$T153&lt;&gt;"",HYPERLINK('CCUS Projects Database'!$T153,"Link 3"),"")</f>
        <v>Link 3</v>
      </c>
      <c r="AB153" s="239" t="str">
        <f>IF('CCUS Projects Database'!$U153&lt;&gt;"",HYPERLINK('CCUS Projects Database'!$U153,"Link 4"),"")</f>
        <v>Link 4</v>
      </c>
      <c r="AC153" s="239" t="str">
        <f>IF('CCUS Projects Database'!$V153&lt;&gt;"",HYPERLINK('CCUS Projects Database'!$V153,"Link 5"),"")</f>
        <v>Link 5</v>
      </c>
      <c r="AD153" s="239" t="str">
        <f>IF('CCUS Projects Database'!$W153&lt;&gt;"",HYPERLINK('CCUS Projects Database'!$W153,"Link 6"),"")</f>
        <v/>
      </c>
      <c r="AE153" s="239" t="str">
        <f>IF('CCUS Projects Database'!$X153&lt;&gt;"",HYPERLINK('CCUS Projects Database'!$X153,"Link 7"),"")</f>
        <v/>
      </c>
    </row>
    <row r="154" ht="14.25" customHeight="1">
      <c r="A154" s="233" t="s">
        <v>19357</v>
      </c>
      <c r="B154" s="234">
        <v>186.0</v>
      </c>
      <c r="C154" s="234" t="s">
        <v>18360</v>
      </c>
      <c r="D154" s="235" t="s">
        <v>19358</v>
      </c>
      <c r="E154" s="234" t="s">
        <v>18616</v>
      </c>
      <c r="F154" s="234">
        <v>2011.0</v>
      </c>
      <c r="G154" s="234" t="s">
        <v>18725</v>
      </c>
      <c r="H154" s="234">
        <v>2030.0</v>
      </c>
      <c r="I154" s="234" t="s">
        <v>18725</v>
      </c>
      <c r="J154" s="234" t="s">
        <v>18636</v>
      </c>
      <c r="K154" s="236">
        <v>1.0</v>
      </c>
      <c r="L154" s="236">
        <v>2.0</v>
      </c>
      <c r="M154" s="236">
        <v>2.0</v>
      </c>
      <c r="N154" s="234" t="s">
        <v>18654</v>
      </c>
      <c r="O154" s="237" t="s">
        <v>18683</v>
      </c>
      <c r="P154" s="238" t="s">
        <v>18725</v>
      </c>
      <c r="Q154" s="234" t="s">
        <v>18856</v>
      </c>
      <c r="R154" s="238" t="s">
        <v>19068</v>
      </c>
      <c r="S154" s="238" t="s">
        <v>18725</v>
      </c>
      <c r="T154" s="238" t="s">
        <v>18725</v>
      </c>
      <c r="U154" s="238" t="s">
        <v>18725</v>
      </c>
      <c r="V154" s="238" t="s">
        <v>18725</v>
      </c>
      <c r="W154" s="238" t="s">
        <v>18725</v>
      </c>
      <c r="X154" s="238" t="s">
        <v>18725</v>
      </c>
      <c r="Y154" s="239" t="str">
        <f>IF('CCUS Projects Database'!$R154&lt;&gt;"",HYPERLINK('CCUS Projects Database'!$R154,"Link 1"),"")</f>
        <v>Link 1</v>
      </c>
      <c r="Z154" s="239" t="str">
        <f>IF('CCUS Projects Database'!$S154&lt;&gt;"",HYPERLINK('CCUS Projects Database'!$S154,"Link 2"),"")</f>
        <v/>
      </c>
      <c r="AA154" s="239" t="str">
        <f>IF('CCUS Projects Database'!$T154&lt;&gt;"",HYPERLINK('CCUS Projects Database'!$T154,"Link 3"),"")</f>
        <v/>
      </c>
      <c r="AB154" s="239" t="str">
        <f>IF('CCUS Projects Database'!$U154&lt;&gt;"",HYPERLINK('CCUS Projects Database'!$U154,"Link 4"),"")</f>
        <v/>
      </c>
      <c r="AC154" s="239" t="str">
        <f>IF('CCUS Projects Database'!$V154&lt;&gt;"",HYPERLINK('CCUS Projects Database'!$V154,"Link 5"),"")</f>
        <v/>
      </c>
      <c r="AD154" s="239" t="str">
        <f>IF('CCUS Projects Database'!$W154&lt;&gt;"",HYPERLINK('CCUS Projects Database'!$W154,"Link 6"),"")</f>
        <v/>
      </c>
      <c r="AE154" s="239" t="str">
        <f>IF('CCUS Projects Database'!$X154&lt;&gt;"",HYPERLINK('CCUS Projects Database'!$X154,"Link 7"),"")</f>
        <v/>
      </c>
    </row>
    <row r="155" ht="14.25" customHeight="1">
      <c r="A155" s="233" t="s">
        <v>19359</v>
      </c>
      <c r="B155" s="234">
        <v>187.0</v>
      </c>
      <c r="C155" s="234" t="s">
        <v>18287</v>
      </c>
      <c r="D155" s="235" t="s">
        <v>19360</v>
      </c>
      <c r="E155" s="234" t="s">
        <v>18616</v>
      </c>
      <c r="F155" s="234">
        <v>2020.0</v>
      </c>
      <c r="G155" s="234" t="s">
        <v>18725</v>
      </c>
      <c r="H155" s="234">
        <v>2030.0</v>
      </c>
      <c r="I155" s="234" t="s">
        <v>18725</v>
      </c>
      <c r="J155" s="234" t="s">
        <v>18636</v>
      </c>
      <c r="K155" s="236" t="s">
        <v>18725</v>
      </c>
      <c r="L155" s="236">
        <v>0.3</v>
      </c>
      <c r="M155" s="236">
        <v>0.3</v>
      </c>
      <c r="N155" s="234" t="s">
        <v>18656</v>
      </c>
      <c r="O155" s="237" t="s">
        <v>18677</v>
      </c>
      <c r="P155" s="238" t="s">
        <v>18725</v>
      </c>
      <c r="Q155" s="234" t="s">
        <v>18856</v>
      </c>
      <c r="R155" s="238" t="s">
        <v>19361</v>
      </c>
      <c r="S155" s="238" t="s">
        <v>18725</v>
      </c>
      <c r="T155" s="238" t="s">
        <v>18725</v>
      </c>
      <c r="U155" s="238" t="s">
        <v>18725</v>
      </c>
      <c r="V155" s="238" t="s">
        <v>18725</v>
      </c>
      <c r="W155" s="238" t="s">
        <v>18725</v>
      </c>
      <c r="X155" s="238" t="s">
        <v>18725</v>
      </c>
      <c r="Y155" s="239" t="str">
        <f>IF('CCUS Projects Database'!$R155&lt;&gt;"",HYPERLINK('CCUS Projects Database'!$R155,"Link 1"),"")</f>
        <v>Link 1</v>
      </c>
      <c r="Z155" s="239" t="str">
        <f>IF('CCUS Projects Database'!$S155&lt;&gt;"",HYPERLINK('CCUS Projects Database'!$S155,"Link 2"),"")</f>
        <v/>
      </c>
      <c r="AA155" s="239" t="str">
        <f>IF('CCUS Projects Database'!$T155&lt;&gt;"",HYPERLINK('CCUS Projects Database'!$T155,"Link 3"),"")</f>
        <v/>
      </c>
      <c r="AB155" s="239" t="str">
        <f>IF('CCUS Projects Database'!$U155&lt;&gt;"",HYPERLINK('CCUS Projects Database'!$U155,"Link 4"),"")</f>
        <v/>
      </c>
      <c r="AC155" s="239" t="str">
        <f>IF('CCUS Projects Database'!$V155&lt;&gt;"",HYPERLINK('CCUS Projects Database'!$V155,"Link 5"),"")</f>
        <v/>
      </c>
      <c r="AD155" s="239" t="str">
        <f>IF('CCUS Projects Database'!$W155&lt;&gt;"",HYPERLINK('CCUS Projects Database'!$W155,"Link 6"),"")</f>
        <v/>
      </c>
      <c r="AE155" s="239" t="str">
        <f>IF('CCUS Projects Database'!$X155&lt;&gt;"",HYPERLINK('CCUS Projects Database'!$X155,"Link 7"),"")</f>
        <v/>
      </c>
    </row>
    <row r="156" ht="14.25" customHeight="1">
      <c r="A156" s="233" t="s">
        <v>8059</v>
      </c>
      <c r="B156" s="234">
        <v>188.0</v>
      </c>
      <c r="C156" s="234" t="s">
        <v>83</v>
      </c>
      <c r="D156" s="235" t="s">
        <v>19362</v>
      </c>
      <c r="E156" s="234" t="s">
        <v>18618</v>
      </c>
      <c r="F156" s="234">
        <v>2014.0</v>
      </c>
      <c r="G156" s="234" t="s">
        <v>18725</v>
      </c>
      <c r="H156" s="234">
        <v>2035.0</v>
      </c>
      <c r="I156" s="234" t="s">
        <v>18725</v>
      </c>
      <c r="J156" s="234" t="s">
        <v>18636</v>
      </c>
      <c r="K156" s="236" t="s">
        <v>18725</v>
      </c>
      <c r="L156" s="236">
        <v>1.5</v>
      </c>
      <c r="M156" s="236">
        <v>1.5</v>
      </c>
      <c r="N156" s="234" t="s">
        <v>18731</v>
      </c>
      <c r="O156" s="237" t="s">
        <v>18675</v>
      </c>
      <c r="P156" s="238" t="s">
        <v>18725</v>
      </c>
      <c r="Q156" s="234" t="s">
        <v>18726</v>
      </c>
      <c r="R156" s="238" t="s">
        <v>19363</v>
      </c>
      <c r="S156" s="238" t="s">
        <v>18725</v>
      </c>
      <c r="T156" s="238" t="s">
        <v>18725</v>
      </c>
      <c r="U156" s="238" t="s">
        <v>18725</v>
      </c>
      <c r="V156" s="238" t="s">
        <v>18725</v>
      </c>
      <c r="W156" s="238" t="s">
        <v>18725</v>
      </c>
      <c r="X156" s="238" t="s">
        <v>18725</v>
      </c>
      <c r="Y156" s="239" t="str">
        <f>IF('CCUS Projects Database'!$R156&lt;&gt;"",HYPERLINK('CCUS Projects Database'!$R156,"Link 1"),"")</f>
        <v>Link 1</v>
      </c>
      <c r="Z156" s="239" t="str">
        <f>IF('CCUS Projects Database'!$S156&lt;&gt;"",HYPERLINK('CCUS Projects Database'!$S156,"Link 2"),"")</f>
        <v/>
      </c>
      <c r="AA156" s="239" t="str">
        <f>IF('CCUS Projects Database'!$T156&lt;&gt;"",HYPERLINK('CCUS Projects Database'!$T156,"Link 3"),"")</f>
        <v/>
      </c>
      <c r="AB156" s="239" t="str">
        <f>IF('CCUS Projects Database'!$U156&lt;&gt;"",HYPERLINK('CCUS Projects Database'!$U156,"Link 4"),"")</f>
        <v/>
      </c>
      <c r="AC156" s="239" t="str">
        <f>IF('CCUS Projects Database'!$V156&lt;&gt;"",HYPERLINK('CCUS Projects Database'!$V156,"Link 5"),"")</f>
        <v/>
      </c>
      <c r="AD156" s="239" t="str">
        <f>IF('CCUS Projects Database'!$W156&lt;&gt;"",HYPERLINK('CCUS Projects Database'!$W156,"Link 6"),"")</f>
        <v/>
      </c>
      <c r="AE156" s="239" t="str">
        <f>IF('CCUS Projects Database'!$X156&lt;&gt;"",HYPERLINK('CCUS Projects Database'!$X156,"Link 7"),"")</f>
        <v/>
      </c>
    </row>
    <row r="157" ht="14.25" customHeight="1">
      <c r="A157" s="233" t="s">
        <v>8963</v>
      </c>
      <c r="B157" s="234">
        <v>190.0</v>
      </c>
      <c r="C157" s="234" t="s">
        <v>161</v>
      </c>
      <c r="D157" s="235" t="s">
        <v>19364</v>
      </c>
      <c r="E157" s="234" t="s">
        <v>18618</v>
      </c>
      <c r="F157" s="234">
        <v>2021.0</v>
      </c>
      <c r="G157" s="234" t="s">
        <v>18725</v>
      </c>
      <c r="H157" s="234">
        <v>2030.0</v>
      </c>
      <c r="I157" s="234" t="s">
        <v>18725</v>
      </c>
      <c r="J157" s="234" t="s">
        <v>18636</v>
      </c>
      <c r="K157" s="236" t="s">
        <v>18725</v>
      </c>
      <c r="L157" s="236">
        <v>1.8</v>
      </c>
      <c r="M157" s="236">
        <v>1.8</v>
      </c>
      <c r="N157" s="234" t="s">
        <v>18731</v>
      </c>
      <c r="O157" s="237" t="s">
        <v>18675</v>
      </c>
      <c r="P157" s="238" t="s">
        <v>18725</v>
      </c>
      <c r="Q157" s="234" t="s">
        <v>18726</v>
      </c>
      <c r="R157" s="238" t="s">
        <v>19365</v>
      </c>
      <c r="S157" s="238" t="s">
        <v>18725</v>
      </c>
      <c r="T157" s="238" t="s">
        <v>18725</v>
      </c>
      <c r="U157" s="238" t="s">
        <v>18725</v>
      </c>
      <c r="V157" s="238" t="s">
        <v>18725</v>
      </c>
      <c r="W157" s="238" t="s">
        <v>18725</v>
      </c>
      <c r="X157" s="238" t="s">
        <v>18725</v>
      </c>
      <c r="Y157" s="239" t="str">
        <f>IF('CCUS Projects Database'!$R157&lt;&gt;"",HYPERLINK('CCUS Projects Database'!$R157,"Link 1"),"")</f>
        <v>Link 1</v>
      </c>
      <c r="Z157" s="239" t="str">
        <f>IF('CCUS Projects Database'!$S157&lt;&gt;"",HYPERLINK('CCUS Projects Database'!$S157,"Link 2"),"")</f>
        <v/>
      </c>
      <c r="AA157" s="239" t="str">
        <f>IF('CCUS Projects Database'!$T157&lt;&gt;"",HYPERLINK('CCUS Projects Database'!$T157,"Link 3"),"")</f>
        <v/>
      </c>
      <c r="AB157" s="239" t="str">
        <f>IF('CCUS Projects Database'!$U157&lt;&gt;"",HYPERLINK('CCUS Projects Database'!$U157,"Link 4"),"")</f>
        <v/>
      </c>
      <c r="AC157" s="239" t="str">
        <f>IF('CCUS Projects Database'!$V157&lt;&gt;"",HYPERLINK('CCUS Projects Database'!$V157,"Link 5"),"")</f>
        <v/>
      </c>
      <c r="AD157" s="239" t="str">
        <f>IF('CCUS Projects Database'!$W157&lt;&gt;"",HYPERLINK('CCUS Projects Database'!$W157,"Link 6"),"")</f>
        <v/>
      </c>
      <c r="AE157" s="239" t="str">
        <f>IF('CCUS Projects Database'!$X157&lt;&gt;"",HYPERLINK('CCUS Projects Database'!$X157,"Link 7"),"")</f>
        <v/>
      </c>
    </row>
    <row r="158" ht="14.25" customHeight="1">
      <c r="A158" s="233" t="s">
        <v>19366</v>
      </c>
      <c r="B158" s="234">
        <v>193.0</v>
      </c>
      <c r="C158" s="234" t="s">
        <v>83</v>
      </c>
      <c r="D158" s="235" t="s">
        <v>19367</v>
      </c>
      <c r="E158" s="234" t="s">
        <v>18618</v>
      </c>
      <c r="F158" s="234">
        <v>2021.0</v>
      </c>
      <c r="G158" s="234">
        <v>2025.0</v>
      </c>
      <c r="H158" s="234">
        <v>2028.0</v>
      </c>
      <c r="I158" s="234" t="s">
        <v>18725</v>
      </c>
      <c r="J158" s="234" t="s">
        <v>18636</v>
      </c>
      <c r="K158" s="236">
        <v>1.0</v>
      </c>
      <c r="L158" s="236" t="s">
        <v>18725</v>
      </c>
      <c r="M158" s="236">
        <v>0.823</v>
      </c>
      <c r="N158" s="234" t="s">
        <v>18731</v>
      </c>
      <c r="O158" s="237" t="s">
        <v>18675</v>
      </c>
      <c r="P158" s="238" t="s">
        <v>19187</v>
      </c>
      <c r="Q158" s="234" t="s">
        <v>18726</v>
      </c>
      <c r="R158" s="238" t="s">
        <v>19368</v>
      </c>
      <c r="S158" s="238" t="s">
        <v>19369</v>
      </c>
      <c r="T158" s="238" t="s">
        <v>19370</v>
      </c>
      <c r="U158" s="238" t="s">
        <v>17685</v>
      </c>
      <c r="V158" s="238" t="s">
        <v>18725</v>
      </c>
      <c r="W158" s="238" t="s">
        <v>18725</v>
      </c>
      <c r="X158" s="238" t="s">
        <v>18725</v>
      </c>
      <c r="Y158" s="239" t="str">
        <f>IF('CCUS Projects Database'!$R158&lt;&gt;"",HYPERLINK('CCUS Projects Database'!$R158,"Link 1"),"")</f>
        <v>Link 1</v>
      </c>
      <c r="Z158" s="239" t="str">
        <f>IF('CCUS Projects Database'!$S158&lt;&gt;"",HYPERLINK('CCUS Projects Database'!$S158,"Link 2"),"")</f>
        <v>Link 2</v>
      </c>
      <c r="AA158" s="239" t="str">
        <f>IF('CCUS Projects Database'!$T158&lt;&gt;"",HYPERLINK('CCUS Projects Database'!$T158,"Link 3"),"")</f>
        <v>Link 3</v>
      </c>
      <c r="AB158" s="239" t="str">
        <f>IF('CCUS Projects Database'!$U158&lt;&gt;"",HYPERLINK('CCUS Projects Database'!$U158,"Link 4"),"")</f>
        <v>Link 4</v>
      </c>
      <c r="AC158" s="239" t="str">
        <f>IF('CCUS Projects Database'!$V158&lt;&gt;"",HYPERLINK('CCUS Projects Database'!$V158,"Link 5"),"")</f>
        <v/>
      </c>
      <c r="AD158" s="239" t="str">
        <f>IF('CCUS Projects Database'!$W158&lt;&gt;"",HYPERLINK('CCUS Projects Database'!$W158,"Link 6"),"")</f>
        <v/>
      </c>
      <c r="AE158" s="239" t="str">
        <f>IF('CCUS Projects Database'!$X158&lt;&gt;"",HYPERLINK('CCUS Projects Database'!$X158,"Link 7"),"")</f>
        <v/>
      </c>
    </row>
    <row r="159" ht="14.25" customHeight="1">
      <c r="A159" s="233" t="s">
        <v>19371</v>
      </c>
      <c r="B159" s="234">
        <v>194.0</v>
      </c>
      <c r="C159" s="234" t="s">
        <v>83</v>
      </c>
      <c r="D159" s="235" t="s">
        <v>19372</v>
      </c>
      <c r="E159" s="234" t="s">
        <v>18618</v>
      </c>
      <c r="F159" s="234">
        <v>2021.0</v>
      </c>
      <c r="G159" s="234" t="s">
        <v>18725</v>
      </c>
      <c r="H159" s="234">
        <v>2030.0</v>
      </c>
      <c r="I159" s="234" t="s">
        <v>18725</v>
      </c>
      <c r="J159" s="234" t="s">
        <v>18636</v>
      </c>
      <c r="K159" s="236">
        <v>2.0</v>
      </c>
      <c r="L159" s="236" t="s">
        <v>18725</v>
      </c>
      <c r="M159" s="236">
        <v>1.495</v>
      </c>
      <c r="N159" s="234" t="s">
        <v>18731</v>
      </c>
      <c r="O159" s="237" t="s">
        <v>18675</v>
      </c>
      <c r="P159" s="238" t="s">
        <v>19187</v>
      </c>
      <c r="Q159" s="234" t="s">
        <v>18726</v>
      </c>
      <c r="R159" s="238" t="s">
        <v>19368</v>
      </c>
      <c r="S159" s="238" t="s">
        <v>19369</v>
      </c>
      <c r="T159" s="238" t="s">
        <v>19370</v>
      </c>
      <c r="U159" s="238" t="s">
        <v>17685</v>
      </c>
      <c r="V159" s="238" t="s">
        <v>18725</v>
      </c>
      <c r="W159" s="238" t="s">
        <v>18725</v>
      </c>
      <c r="X159" s="238" t="s">
        <v>18725</v>
      </c>
      <c r="Y159" s="239" t="str">
        <f>IF('CCUS Projects Database'!$R159&lt;&gt;"",HYPERLINK('CCUS Projects Database'!$R159,"Link 1"),"")</f>
        <v>Link 1</v>
      </c>
      <c r="Z159" s="239" t="str">
        <f>IF('CCUS Projects Database'!$S159&lt;&gt;"",HYPERLINK('CCUS Projects Database'!$S159,"Link 2"),"")</f>
        <v>Link 2</v>
      </c>
      <c r="AA159" s="239" t="str">
        <f>IF('CCUS Projects Database'!$T159&lt;&gt;"",HYPERLINK('CCUS Projects Database'!$T159,"Link 3"),"")</f>
        <v>Link 3</v>
      </c>
      <c r="AB159" s="239" t="str">
        <f>IF('CCUS Projects Database'!$U159&lt;&gt;"",HYPERLINK('CCUS Projects Database'!$U159,"Link 4"),"")</f>
        <v>Link 4</v>
      </c>
      <c r="AC159" s="239" t="str">
        <f>IF('CCUS Projects Database'!$V159&lt;&gt;"",HYPERLINK('CCUS Projects Database'!$V159,"Link 5"),"")</f>
        <v/>
      </c>
      <c r="AD159" s="239" t="str">
        <f>IF('CCUS Projects Database'!$W159&lt;&gt;"",HYPERLINK('CCUS Projects Database'!$W159,"Link 6"),"")</f>
        <v/>
      </c>
      <c r="AE159" s="239" t="str">
        <f>IF('CCUS Projects Database'!$X159&lt;&gt;"",HYPERLINK('CCUS Projects Database'!$X159,"Link 7"),"")</f>
        <v/>
      </c>
    </row>
    <row r="160" ht="14.25" customHeight="1">
      <c r="A160" s="233" t="s">
        <v>19373</v>
      </c>
      <c r="B160" s="234">
        <v>195.0</v>
      </c>
      <c r="C160" s="234" t="s">
        <v>18329</v>
      </c>
      <c r="D160" s="235" t="s">
        <v>19374</v>
      </c>
      <c r="E160" s="234" t="s">
        <v>18616</v>
      </c>
      <c r="F160" s="234">
        <v>2021.0</v>
      </c>
      <c r="G160" s="234">
        <v>2025.0</v>
      </c>
      <c r="H160" s="234">
        <v>2026.0</v>
      </c>
      <c r="I160" s="234" t="s">
        <v>18725</v>
      </c>
      <c r="J160" s="234" t="s">
        <v>18636</v>
      </c>
      <c r="K160" s="236" t="s">
        <v>18725</v>
      </c>
      <c r="L160" s="236" t="s">
        <v>18725</v>
      </c>
      <c r="M160" s="236" t="s">
        <v>18725</v>
      </c>
      <c r="N160" s="234" t="s">
        <v>18731</v>
      </c>
      <c r="O160" s="237" t="s">
        <v>18683</v>
      </c>
      <c r="P160" s="238" t="s">
        <v>18725</v>
      </c>
      <c r="Q160" s="234" t="s">
        <v>18762</v>
      </c>
      <c r="R160" s="238" t="s">
        <v>16558</v>
      </c>
      <c r="S160" s="238" t="s">
        <v>19375</v>
      </c>
      <c r="T160" s="238" t="s">
        <v>19376</v>
      </c>
      <c r="U160" s="238" t="s">
        <v>19377</v>
      </c>
      <c r="V160" s="238" t="s">
        <v>18725</v>
      </c>
      <c r="W160" s="238" t="s">
        <v>18725</v>
      </c>
      <c r="X160" s="238" t="s">
        <v>18725</v>
      </c>
      <c r="Y160" s="239" t="str">
        <f>IF('CCUS Projects Database'!$R160&lt;&gt;"",HYPERLINK('CCUS Projects Database'!$R160,"Link 1"),"")</f>
        <v>Link 1</v>
      </c>
      <c r="Z160" s="239" t="str">
        <f>IF('CCUS Projects Database'!$S160&lt;&gt;"",HYPERLINK('CCUS Projects Database'!$S160,"Link 2"),"")</f>
        <v>Link 2</v>
      </c>
      <c r="AA160" s="239" t="str">
        <f>IF('CCUS Projects Database'!$T160&lt;&gt;"",HYPERLINK('CCUS Projects Database'!$T160,"Link 3"),"")</f>
        <v>Link 3</v>
      </c>
      <c r="AB160" s="239" t="str">
        <f>IF('CCUS Projects Database'!$U160&lt;&gt;"",HYPERLINK('CCUS Projects Database'!$U160,"Link 4"),"")</f>
        <v>Link 4</v>
      </c>
      <c r="AC160" s="239" t="str">
        <f>IF('CCUS Projects Database'!$V160&lt;&gt;"",HYPERLINK('CCUS Projects Database'!$V160,"Link 5"),"")</f>
        <v/>
      </c>
      <c r="AD160" s="239" t="str">
        <f>IF('CCUS Projects Database'!$W160&lt;&gt;"",HYPERLINK('CCUS Projects Database'!$W160,"Link 6"),"")</f>
        <v/>
      </c>
      <c r="AE160" s="239" t="str">
        <f>IF('CCUS Projects Database'!$X160&lt;&gt;"",HYPERLINK('CCUS Projects Database'!$X160,"Link 7"),"")</f>
        <v/>
      </c>
    </row>
    <row r="161" ht="14.25" customHeight="1">
      <c r="A161" s="233" t="s">
        <v>19378</v>
      </c>
      <c r="B161" s="234">
        <v>196.0</v>
      </c>
      <c r="C161" s="234" t="s">
        <v>83</v>
      </c>
      <c r="D161" s="235" t="s">
        <v>19379</v>
      </c>
      <c r="E161" s="234" t="s">
        <v>18618</v>
      </c>
      <c r="F161" s="234">
        <v>2021.0</v>
      </c>
      <c r="G161" s="234" t="s">
        <v>18725</v>
      </c>
      <c r="H161" s="234">
        <v>2027.0</v>
      </c>
      <c r="I161" s="234" t="s">
        <v>18725</v>
      </c>
      <c r="J161" s="234" t="s">
        <v>18636</v>
      </c>
      <c r="K161" s="236">
        <v>1.0</v>
      </c>
      <c r="L161" s="236">
        <v>1.0</v>
      </c>
      <c r="M161" s="236">
        <v>1.0</v>
      </c>
      <c r="N161" s="234" t="s">
        <v>18731</v>
      </c>
      <c r="O161" s="237" t="s">
        <v>18675</v>
      </c>
      <c r="P161" s="238" t="s">
        <v>19187</v>
      </c>
      <c r="Q161" s="234" t="s">
        <v>18726</v>
      </c>
      <c r="R161" s="238" t="s">
        <v>16261</v>
      </c>
      <c r="S161" s="238" t="s">
        <v>16967</v>
      </c>
      <c r="T161" s="238" t="s">
        <v>19369</v>
      </c>
      <c r="U161" s="238" t="s">
        <v>19380</v>
      </c>
      <c r="V161" s="238" t="s">
        <v>19381</v>
      </c>
      <c r="W161" s="238" t="s">
        <v>18725</v>
      </c>
      <c r="X161" s="238" t="s">
        <v>18725</v>
      </c>
      <c r="Y161" s="239" t="str">
        <f>IF('CCUS Projects Database'!$R161&lt;&gt;"",HYPERLINK('CCUS Projects Database'!$R161,"Link 1"),"")</f>
        <v>Link 1</v>
      </c>
      <c r="Z161" s="239" t="str">
        <f>IF('CCUS Projects Database'!$S161&lt;&gt;"",HYPERLINK('CCUS Projects Database'!$S161,"Link 2"),"")</f>
        <v>Link 2</v>
      </c>
      <c r="AA161" s="239" t="str">
        <f>IF('CCUS Projects Database'!$T161&lt;&gt;"",HYPERLINK('CCUS Projects Database'!$T161,"Link 3"),"")</f>
        <v>Link 3</v>
      </c>
      <c r="AB161" s="239" t="str">
        <f>IF('CCUS Projects Database'!$U161&lt;&gt;"",HYPERLINK('CCUS Projects Database'!$U161,"Link 4"),"")</f>
        <v>Link 4</v>
      </c>
      <c r="AC161" s="239" t="str">
        <f>IF('CCUS Projects Database'!$V161&lt;&gt;"",HYPERLINK('CCUS Projects Database'!$V161,"Link 5"),"")</f>
        <v>Link 5</v>
      </c>
      <c r="AD161" s="239" t="str">
        <f>IF('CCUS Projects Database'!$W161&lt;&gt;"",HYPERLINK('CCUS Projects Database'!$W161,"Link 6"),"")</f>
        <v/>
      </c>
      <c r="AE161" s="239" t="str">
        <f>IF('CCUS Projects Database'!$X161&lt;&gt;"",HYPERLINK('CCUS Projects Database'!$X161,"Link 7"),"")</f>
        <v/>
      </c>
    </row>
    <row r="162" ht="14.25" customHeight="1">
      <c r="A162" s="233" t="s">
        <v>19382</v>
      </c>
      <c r="B162" s="234">
        <v>197.0</v>
      </c>
      <c r="C162" s="234" t="s">
        <v>83</v>
      </c>
      <c r="D162" s="235" t="s">
        <v>19383</v>
      </c>
      <c r="E162" s="234" t="s">
        <v>18618</v>
      </c>
      <c r="F162" s="234">
        <v>2021.0</v>
      </c>
      <c r="G162" s="234" t="s">
        <v>18725</v>
      </c>
      <c r="H162" s="234">
        <v>2030.0</v>
      </c>
      <c r="I162" s="234" t="s">
        <v>18725</v>
      </c>
      <c r="J162" s="234" t="s">
        <v>18636</v>
      </c>
      <c r="K162" s="236">
        <v>2.0</v>
      </c>
      <c r="L162" s="236">
        <v>1.0</v>
      </c>
      <c r="M162" s="236">
        <v>1.0</v>
      </c>
      <c r="N162" s="234" t="s">
        <v>18731</v>
      </c>
      <c r="O162" s="237" t="s">
        <v>18675</v>
      </c>
      <c r="P162" s="238" t="s">
        <v>19187</v>
      </c>
      <c r="Q162" s="234" t="s">
        <v>18726</v>
      </c>
      <c r="R162" s="238" t="s">
        <v>16261</v>
      </c>
      <c r="S162" s="238" t="s">
        <v>16967</v>
      </c>
      <c r="T162" s="238" t="s">
        <v>19369</v>
      </c>
      <c r="U162" s="238" t="s">
        <v>19380</v>
      </c>
      <c r="V162" s="238" t="s">
        <v>18725</v>
      </c>
      <c r="W162" s="238" t="s">
        <v>18725</v>
      </c>
      <c r="X162" s="238" t="s">
        <v>18725</v>
      </c>
      <c r="Y162" s="239" t="str">
        <f>IF('CCUS Projects Database'!$R162&lt;&gt;"",HYPERLINK('CCUS Projects Database'!$R162,"Link 1"),"")</f>
        <v>Link 1</v>
      </c>
      <c r="Z162" s="239" t="str">
        <f>IF('CCUS Projects Database'!$S162&lt;&gt;"",HYPERLINK('CCUS Projects Database'!$S162,"Link 2"),"")</f>
        <v>Link 2</v>
      </c>
      <c r="AA162" s="239" t="str">
        <f>IF('CCUS Projects Database'!$T162&lt;&gt;"",HYPERLINK('CCUS Projects Database'!$T162,"Link 3"),"")</f>
        <v>Link 3</v>
      </c>
      <c r="AB162" s="239" t="str">
        <f>IF('CCUS Projects Database'!$U162&lt;&gt;"",HYPERLINK('CCUS Projects Database'!$U162,"Link 4"),"")</f>
        <v>Link 4</v>
      </c>
      <c r="AC162" s="239" t="str">
        <f>IF('CCUS Projects Database'!$V162&lt;&gt;"",HYPERLINK('CCUS Projects Database'!$V162,"Link 5"),"")</f>
        <v/>
      </c>
      <c r="AD162" s="239" t="str">
        <f>IF('CCUS Projects Database'!$W162&lt;&gt;"",HYPERLINK('CCUS Projects Database'!$W162,"Link 6"),"")</f>
        <v/>
      </c>
      <c r="AE162" s="239" t="str">
        <f>IF('CCUS Projects Database'!$X162&lt;&gt;"",HYPERLINK('CCUS Projects Database'!$X162,"Link 7"),"")</f>
        <v/>
      </c>
    </row>
    <row r="163" ht="14.25" customHeight="1">
      <c r="A163" s="233" t="s">
        <v>19384</v>
      </c>
      <c r="B163" s="234">
        <v>198.0</v>
      </c>
      <c r="C163" s="234" t="s">
        <v>18586</v>
      </c>
      <c r="D163" s="235" t="s">
        <v>19385</v>
      </c>
      <c r="E163" s="234" t="s">
        <v>18616</v>
      </c>
      <c r="F163" s="234">
        <v>2022.0</v>
      </c>
      <c r="G163" s="234" t="s">
        <v>18725</v>
      </c>
      <c r="H163" s="234" t="s">
        <v>18725</v>
      </c>
      <c r="I163" s="234" t="s">
        <v>18725</v>
      </c>
      <c r="J163" s="234" t="s">
        <v>18636</v>
      </c>
      <c r="K163" s="236" t="s">
        <v>18725</v>
      </c>
      <c r="L163" s="236">
        <v>2.0</v>
      </c>
      <c r="M163" s="236">
        <v>2.0</v>
      </c>
      <c r="N163" s="234" t="s">
        <v>18656</v>
      </c>
      <c r="O163" s="237" t="s">
        <v>18675</v>
      </c>
      <c r="P163" s="238" t="s">
        <v>18725</v>
      </c>
      <c r="Q163" s="234" t="s">
        <v>18732</v>
      </c>
      <c r="R163" s="238" t="s">
        <v>19386</v>
      </c>
      <c r="S163" s="238" t="s">
        <v>18725</v>
      </c>
      <c r="T163" s="238" t="s">
        <v>18725</v>
      </c>
      <c r="U163" s="238" t="s">
        <v>18725</v>
      </c>
      <c r="V163" s="238" t="s">
        <v>18725</v>
      </c>
      <c r="W163" s="238" t="s">
        <v>18725</v>
      </c>
      <c r="X163" s="238" t="s">
        <v>18725</v>
      </c>
      <c r="Y163" s="239" t="str">
        <f>IF('CCUS Projects Database'!$R163&lt;&gt;"",HYPERLINK('CCUS Projects Database'!$R163,"Link 1"),"")</f>
        <v>Link 1</v>
      </c>
      <c r="Z163" s="239" t="str">
        <f>IF('CCUS Projects Database'!$S163&lt;&gt;"",HYPERLINK('CCUS Projects Database'!$S163,"Link 2"),"")</f>
        <v/>
      </c>
      <c r="AA163" s="239" t="str">
        <f>IF('CCUS Projects Database'!$T163&lt;&gt;"",HYPERLINK('CCUS Projects Database'!$T163,"Link 3"),"")</f>
        <v/>
      </c>
      <c r="AB163" s="239" t="str">
        <f>IF('CCUS Projects Database'!$U163&lt;&gt;"",HYPERLINK('CCUS Projects Database'!$U163,"Link 4"),"")</f>
        <v/>
      </c>
      <c r="AC163" s="239" t="str">
        <f>IF('CCUS Projects Database'!$V163&lt;&gt;"",HYPERLINK('CCUS Projects Database'!$V163,"Link 5"),"")</f>
        <v/>
      </c>
      <c r="AD163" s="239" t="str">
        <f>IF('CCUS Projects Database'!$W163&lt;&gt;"",HYPERLINK('CCUS Projects Database'!$W163,"Link 6"),"")</f>
        <v/>
      </c>
      <c r="AE163" s="239" t="str">
        <f>IF('CCUS Projects Database'!$X163&lt;&gt;"",HYPERLINK('CCUS Projects Database'!$X163,"Link 7"),"")</f>
        <v/>
      </c>
    </row>
    <row r="164" ht="14.25" customHeight="1">
      <c r="A164" s="233" t="s">
        <v>19387</v>
      </c>
      <c r="B164" s="234">
        <v>199.0</v>
      </c>
      <c r="C164" s="234" t="s">
        <v>18586</v>
      </c>
      <c r="D164" s="235" t="s">
        <v>19388</v>
      </c>
      <c r="E164" s="234" t="s">
        <v>18620</v>
      </c>
      <c r="F164" s="234">
        <v>2021.0</v>
      </c>
      <c r="G164" s="234">
        <v>2025.0</v>
      </c>
      <c r="H164" s="234">
        <v>2025.0</v>
      </c>
      <c r="I164" s="234">
        <v>2023.0</v>
      </c>
      <c r="J164" s="234" t="s">
        <v>18192</v>
      </c>
      <c r="K164" s="236" t="s">
        <v>18725</v>
      </c>
      <c r="L164" s="236" t="s">
        <v>19389</v>
      </c>
      <c r="M164" s="236">
        <v>15.0</v>
      </c>
      <c r="N164" s="234" t="s">
        <v>18620</v>
      </c>
      <c r="O164" s="237" t="s">
        <v>18683</v>
      </c>
      <c r="P164" s="238" t="s">
        <v>19390</v>
      </c>
      <c r="Q164" s="234" t="s">
        <v>18732</v>
      </c>
      <c r="R164" s="238" t="s">
        <v>19391</v>
      </c>
      <c r="S164" s="238" t="s">
        <v>19392</v>
      </c>
      <c r="T164" s="238" t="s">
        <v>19393</v>
      </c>
      <c r="U164" s="238" t="s">
        <v>19394</v>
      </c>
      <c r="V164" s="238" t="s">
        <v>19395</v>
      </c>
      <c r="W164" s="238" t="s">
        <v>19396</v>
      </c>
      <c r="X164" s="238" t="s">
        <v>18725</v>
      </c>
      <c r="Y164" s="239" t="str">
        <f>IF('CCUS Projects Database'!$R164&lt;&gt;"",HYPERLINK('CCUS Projects Database'!$R164,"Link 1"),"")</f>
        <v>Link 1</v>
      </c>
      <c r="Z164" s="239" t="str">
        <f>IF('CCUS Projects Database'!$S164&lt;&gt;"",HYPERLINK('CCUS Projects Database'!$S164,"Link 2"),"")</f>
        <v>Link 2</v>
      </c>
      <c r="AA164" s="239" t="str">
        <f>IF('CCUS Projects Database'!$T164&lt;&gt;"",HYPERLINK('CCUS Projects Database'!$T164,"Link 3"),"")</f>
        <v>Link 3</v>
      </c>
      <c r="AB164" s="239" t="str">
        <f>IF('CCUS Projects Database'!$U164&lt;&gt;"",HYPERLINK('CCUS Projects Database'!$U164,"Link 4"),"")</f>
        <v>Link 4</v>
      </c>
      <c r="AC164" s="239" t="str">
        <f>IF('CCUS Projects Database'!$V164&lt;&gt;"",HYPERLINK('CCUS Projects Database'!$V164,"Link 5"),"")</f>
        <v>Link 5</v>
      </c>
      <c r="AD164" s="239" t="str">
        <f>IF('CCUS Projects Database'!$W164&lt;&gt;"",HYPERLINK('CCUS Projects Database'!$W164,"Link 6"),"")</f>
        <v>Link 6</v>
      </c>
      <c r="AE164" s="239" t="str">
        <f>IF('CCUS Projects Database'!$X164&lt;&gt;"",HYPERLINK('CCUS Projects Database'!$X164,"Link 7"),"")</f>
        <v/>
      </c>
    </row>
    <row r="165" ht="14.25" customHeight="1">
      <c r="A165" s="233" t="s">
        <v>19397</v>
      </c>
      <c r="B165" s="234">
        <v>201.0</v>
      </c>
      <c r="C165" s="234" t="s">
        <v>98</v>
      </c>
      <c r="D165" s="235" t="s">
        <v>19398</v>
      </c>
      <c r="E165" s="234" t="s">
        <v>18618</v>
      </c>
      <c r="F165" s="234">
        <v>2016.0</v>
      </c>
      <c r="G165" s="234">
        <v>2020.0</v>
      </c>
      <c r="H165" s="234">
        <v>2025.0</v>
      </c>
      <c r="I165" s="234" t="s">
        <v>18725</v>
      </c>
      <c r="J165" s="234" t="s">
        <v>18638</v>
      </c>
      <c r="K165" s="236" t="s">
        <v>18725</v>
      </c>
      <c r="L165" s="236">
        <v>0.4</v>
      </c>
      <c r="M165" s="236">
        <v>0.4</v>
      </c>
      <c r="N165" s="234" t="s">
        <v>18663</v>
      </c>
      <c r="O165" s="237" t="s">
        <v>18675</v>
      </c>
      <c r="P165" s="234" t="s">
        <v>18941</v>
      </c>
      <c r="Q165" s="234" t="s">
        <v>18726</v>
      </c>
      <c r="R165" s="238" t="s">
        <v>19399</v>
      </c>
      <c r="S165" s="238" t="s">
        <v>19400</v>
      </c>
      <c r="T165" s="238" t="s">
        <v>19401</v>
      </c>
      <c r="U165" s="238" t="s">
        <v>19402</v>
      </c>
      <c r="V165" s="238" t="s">
        <v>19403</v>
      </c>
      <c r="W165" s="238" t="s">
        <v>18725</v>
      </c>
      <c r="X165" s="238" t="s">
        <v>18725</v>
      </c>
      <c r="Y165" s="239" t="str">
        <f>IF('CCUS Projects Database'!$R165&lt;&gt;"",HYPERLINK('CCUS Projects Database'!$R165,"Link 1"),"")</f>
        <v>Link 1</v>
      </c>
      <c r="Z165" s="239" t="str">
        <f>IF('CCUS Projects Database'!$S165&lt;&gt;"",HYPERLINK('CCUS Projects Database'!$S165,"Link 2"),"")</f>
        <v>Link 2</v>
      </c>
      <c r="AA165" s="239" t="str">
        <f>IF('CCUS Projects Database'!$T165&lt;&gt;"",HYPERLINK('CCUS Projects Database'!$T165,"Link 3"),"")</f>
        <v>Link 3</v>
      </c>
      <c r="AB165" s="239" t="str">
        <f>IF('CCUS Projects Database'!$U165&lt;&gt;"",HYPERLINK('CCUS Projects Database'!$U165,"Link 4"),"")</f>
        <v>Link 4</v>
      </c>
      <c r="AC165" s="239" t="str">
        <f>IF('CCUS Projects Database'!$V165&lt;&gt;"",HYPERLINK('CCUS Projects Database'!$V165,"Link 5"),"")</f>
        <v>Link 5</v>
      </c>
      <c r="AD165" s="239" t="str">
        <f>IF('CCUS Projects Database'!$W165&lt;&gt;"",HYPERLINK('CCUS Projects Database'!$W165,"Link 6"),"")</f>
        <v/>
      </c>
      <c r="AE165" s="239" t="str">
        <f>IF('CCUS Projects Database'!$X165&lt;&gt;"",HYPERLINK('CCUS Projects Database'!$X165,"Link 7"),"")</f>
        <v/>
      </c>
    </row>
    <row r="166" ht="14.25" customHeight="1">
      <c r="A166" s="233" t="s">
        <v>19404</v>
      </c>
      <c r="B166" s="234">
        <v>202.0</v>
      </c>
      <c r="C166" s="234" t="s">
        <v>57</v>
      </c>
      <c r="D166" s="235" t="s">
        <v>19405</v>
      </c>
      <c r="E166" s="234" t="s">
        <v>18618</v>
      </c>
      <c r="F166" s="234">
        <v>2021.0</v>
      </c>
      <c r="G166" s="234">
        <v>2022.0</v>
      </c>
      <c r="H166" s="234">
        <v>2025.0</v>
      </c>
      <c r="I166" s="234" t="s">
        <v>18725</v>
      </c>
      <c r="J166" s="234" t="s">
        <v>18638</v>
      </c>
      <c r="K166" s="236" t="s">
        <v>18725</v>
      </c>
      <c r="L166" s="236">
        <v>0.1</v>
      </c>
      <c r="M166" s="236">
        <v>0.1</v>
      </c>
      <c r="N166" s="234" t="s">
        <v>18663</v>
      </c>
      <c r="O166" s="237" t="s">
        <v>18683</v>
      </c>
      <c r="P166" s="238" t="s">
        <v>18725</v>
      </c>
      <c r="Q166" s="234" t="s">
        <v>18726</v>
      </c>
      <c r="R166" s="238" t="s">
        <v>19406</v>
      </c>
      <c r="S166" s="238" t="s">
        <v>19407</v>
      </c>
      <c r="T166" s="238" t="s">
        <v>18725</v>
      </c>
      <c r="U166" s="238" t="s">
        <v>18725</v>
      </c>
      <c r="V166" s="238" t="s">
        <v>18725</v>
      </c>
      <c r="W166" s="238" t="s">
        <v>18725</v>
      </c>
      <c r="X166" s="238" t="s">
        <v>18725</v>
      </c>
      <c r="Y166" s="239" t="str">
        <f>IF('CCUS Projects Database'!$R166&lt;&gt;"",HYPERLINK('CCUS Projects Database'!$R166,"Link 1"),"")</f>
        <v>Link 1</v>
      </c>
      <c r="Z166" s="239" t="str">
        <f>IF('CCUS Projects Database'!$S166&lt;&gt;"",HYPERLINK('CCUS Projects Database'!$S166,"Link 2"),"")</f>
        <v>Link 2</v>
      </c>
      <c r="AA166" s="239" t="str">
        <f>IF('CCUS Projects Database'!$T166&lt;&gt;"",HYPERLINK('CCUS Projects Database'!$T166,"Link 3"),"")</f>
        <v/>
      </c>
      <c r="AB166" s="239" t="str">
        <f>IF('CCUS Projects Database'!$U166&lt;&gt;"",HYPERLINK('CCUS Projects Database'!$U166,"Link 4"),"")</f>
        <v/>
      </c>
      <c r="AC166" s="239" t="str">
        <f>IF('CCUS Projects Database'!$V166&lt;&gt;"",HYPERLINK('CCUS Projects Database'!$V166,"Link 5"),"")</f>
        <v/>
      </c>
      <c r="AD166" s="239" t="str">
        <f>IF('CCUS Projects Database'!$W166&lt;&gt;"",HYPERLINK('CCUS Projects Database'!$W166,"Link 6"),"")</f>
        <v/>
      </c>
      <c r="AE166" s="239" t="str">
        <f>IF('CCUS Projects Database'!$X166&lt;&gt;"",HYPERLINK('CCUS Projects Database'!$X166,"Link 7"),"")</f>
        <v/>
      </c>
    </row>
    <row r="167" ht="14.25" customHeight="1">
      <c r="A167" s="233" t="s">
        <v>19408</v>
      </c>
      <c r="B167" s="234">
        <v>203.0</v>
      </c>
      <c r="C167" s="234" t="s">
        <v>18586</v>
      </c>
      <c r="D167" s="235" t="s">
        <v>19409</v>
      </c>
      <c r="E167" s="234" t="s">
        <v>18618</v>
      </c>
      <c r="F167" s="234">
        <v>2021.0</v>
      </c>
      <c r="G167" s="234">
        <v>2026.0</v>
      </c>
      <c r="H167" s="234">
        <v>2028.0</v>
      </c>
      <c r="I167" s="234" t="s">
        <v>18725</v>
      </c>
      <c r="J167" s="234" t="s">
        <v>18636</v>
      </c>
      <c r="K167" s="236" t="s">
        <v>18725</v>
      </c>
      <c r="L167" s="236" t="s">
        <v>19410</v>
      </c>
      <c r="M167" s="236">
        <v>0.186</v>
      </c>
      <c r="N167" s="234" t="s">
        <v>12270</v>
      </c>
      <c r="O167" s="237" t="s">
        <v>18675</v>
      </c>
      <c r="P167" s="238" t="s">
        <v>18966</v>
      </c>
      <c r="Q167" s="234" t="s">
        <v>18732</v>
      </c>
      <c r="R167" s="238" t="s">
        <v>19109</v>
      </c>
      <c r="S167" s="238" t="s">
        <v>19110</v>
      </c>
      <c r="T167" s="238" t="s">
        <v>19111</v>
      </c>
      <c r="U167" s="238" t="s">
        <v>18725</v>
      </c>
      <c r="V167" s="238" t="s">
        <v>18725</v>
      </c>
      <c r="W167" s="238" t="s">
        <v>18725</v>
      </c>
      <c r="X167" s="238" t="s">
        <v>18725</v>
      </c>
      <c r="Y167" s="239" t="str">
        <f>IF('CCUS Projects Database'!$R167&lt;&gt;"",HYPERLINK('CCUS Projects Database'!$R167,"Link 1"),"")</f>
        <v>Link 1</v>
      </c>
      <c r="Z167" s="239" t="str">
        <f>IF('CCUS Projects Database'!$S167&lt;&gt;"",HYPERLINK('CCUS Projects Database'!$S167,"Link 2"),"")</f>
        <v>Link 2</v>
      </c>
      <c r="AA167" s="239" t="str">
        <f>IF('CCUS Projects Database'!$T167&lt;&gt;"",HYPERLINK('CCUS Projects Database'!$T167,"Link 3"),"")</f>
        <v>Link 3</v>
      </c>
      <c r="AB167" s="239" t="str">
        <f>IF('CCUS Projects Database'!$U167&lt;&gt;"",HYPERLINK('CCUS Projects Database'!$U167,"Link 4"),"")</f>
        <v/>
      </c>
      <c r="AC167" s="239" t="str">
        <f>IF('CCUS Projects Database'!$V167&lt;&gt;"",HYPERLINK('CCUS Projects Database'!$V167,"Link 5"),"")</f>
        <v/>
      </c>
      <c r="AD167" s="239" t="str">
        <f>IF('CCUS Projects Database'!$W167&lt;&gt;"",HYPERLINK('CCUS Projects Database'!$W167,"Link 6"),"")</f>
        <v/>
      </c>
      <c r="AE167" s="239" t="str">
        <f>IF('CCUS Projects Database'!$X167&lt;&gt;"",HYPERLINK('CCUS Projects Database'!$X167,"Link 7"),"")</f>
        <v/>
      </c>
    </row>
    <row r="168" ht="14.25" customHeight="1">
      <c r="A168" s="233" t="s">
        <v>19411</v>
      </c>
      <c r="B168" s="234">
        <v>205.0</v>
      </c>
      <c r="C168" s="234" t="s">
        <v>18586</v>
      </c>
      <c r="D168" s="235" t="s">
        <v>19412</v>
      </c>
      <c r="E168" s="234" t="s">
        <v>18625</v>
      </c>
      <c r="F168" s="234">
        <v>2021.0</v>
      </c>
      <c r="G168" s="234">
        <v>2025.0</v>
      </c>
      <c r="H168" s="234">
        <v>2027.0</v>
      </c>
      <c r="I168" s="234" t="s">
        <v>18725</v>
      </c>
      <c r="J168" s="234" t="s">
        <v>18636</v>
      </c>
      <c r="K168" s="236" t="s">
        <v>18725</v>
      </c>
      <c r="L168" s="236">
        <v>2.0</v>
      </c>
      <c r="M168" s="236">
        <v>2.0</v>
      </c>
      <c r="N168" s="234" t="s">
        <v>18218</v>
      </c>
      <c r="O168" s="237" t="s">
        <v>18679</v>
      </c>
      <c r="P168" s="238" t="s">
        <v>18725</v>
      </c>
      <c r="Q168" s="234" t="s">
        <v>18732</v>
      </c>
      <c r="R168" s="238" t="s">
        <v>19413</v>
      </c>
      <c r="S168" s="238" t="s">
        <v>19414</v>
      </c>
      <c r="T168" s="238" t="s">
        <v>19415</v>
      </c>
      <c r="U168" s="238" t="s">
        <v>18725</v>
      </c>
      <c r="V168" s="238" t="s">
        <v>18725</v>
      </c>
      <c r="W168" s="238" t="s">
        <v>18725</v>
      </c>
      <c r="X168" s="238" t="s">
        <v>18725</v>
      </c>
      <c r="Y168" s="239" t="str">
        <f>IF('CCUS Projects Database'!$R168&lt;&gt;"",HYPERLINK('CCUS Projects Database'!$R168,"Link 1"),"")</f>
        <v>Link 1</v>
      </c>
      <c r="Z168" s="239" t="str">
        <f>IF('CCUS Projects Database'!$S168&lt;&gt;"",HYPERLINK('CCUS Projects Database'!$S168,"Link 2"),"")</f>
        <v>Link 2</v>
      </c>
      <c r="AA168" s="239" t="str">
        <f>IF('CCUS Projects Database'!$T168&lt;&gt;"",HYPERLINK('CCUS Projects Database'!$T168,"Link 3"),"")</f>
        <v>Link 3</v>
      </c>
      <c r="AB168" s="239" t="str">
        <f>IF('CCUS Projects Database'!$U168&lt;&gt;"",HYPERLINK('CCUS Projects Database'!$U168,"Link 4"),"")</f>
        <v/>
      </c>
      <c r="AC168" s="239" t="str">
        <f>IF('CCUS Projects Database'!$V168&lt;&gt;"",HYPERLINK('CCUS Projects Database'!$V168,"Link 5"),"")</f>
        <v/>
      </c>
      <c r="AD168" s="239" t="str">
        <f>IF('CCUS Projects Database'!$W168&lt;&gt;"",HYPERLINK('CCUS Projects Database'!$W168,"Link 6"),"")</f>
        <v/>
      </c>
      <c r="AE168" s="239" t="str">
        <f>IF('CCUS Projects Database'!$X168&lt;&gt;"",HYPERLINK('CCUS Projects Database'!$X168,"Link 7"),"")</f>
        <v/>
      </c>
    </row>
    <row r="169" ht="14.25" customHeight="1">
      <c r="A169" s="233" t="s">
        <v>19416</v>
      </c>
      <c r="B169" s="234">
        <v>206.0</v>
      </c>
      <c r="C169" s="234" t="s">
        <v>18586</v>
      </c>
      <c r="D169" s="235" t="s">
        <v>19417</v>
      </c>
      <c r="E169" s="234" t="s">
        <v>18618</v>
      </c>
      <c r="F169" s="234">
        <v>2021.0</v>
      </c>
      <c r="G169" s="234">
        <v>2026.0</v>
      </c>
      <c r="H169" s="234">
        <v>2028.0</v>
      </c>
      <c r="I169" s="234" t="s">
        <v>18725</v>
      </c>
      <c r="J169" s="234" t="s">
        <v>18636</v>
      </c>
      <c r="K169" s="236" t="s">
        <v>18725</v>
      </c>
      <c r="L169" s="236" t="s">
        <v>19418</v>
      </c>
      <c r="M169" s="236">
        <v>0.157</v>
      </c>
      <c r="N169" s="234" t="s">
        <v>12270</v>
      </c>
      <c r="O169" s="237" t="s">
        <v>18675</v>
      </c>
      <c r="P169" s="238" t="s">
        <v>18966</v>
      </c>
      <c r="Q169" s="234" t="s">
        <v>18732</v>
      </c>
      <c r="R169" s="238" t="s">
        <v>19109</v>
      </c>
      <c r="S169" s="238" t="s">
        <v>19110</v>
      </c>
      <c r="T169" s="238" t="s">
        <v>19111</v>
      </c>
      <c r="U169" s="238" t="s">
        <v>18725</v>
      </c>
      <c r="V169" s="238" t="s">
        <v>18725</v>
      </c>
      <c r="W169" s="238" t="s">
        <v>18725</v>
      </c>
      <c r="X169" s="238" t="s">
        <v>18725</v>
      </c>
      <c r="Y169" s="239" t="str">
        <f>IF('CCUS Projects Database'!$R169&lt;&gt;"",HYPERLINK('CCUS Projects Database'!$R169,"Link 1"),"")</f>
        <v>Link 1</v>
      </c>
      <c r="Z169" s="239" t="str">
        <f>IF('CCUS Projects Database'!$S169&lt;&gt;"",HYPERLINK('CCUS Projects Database'!$S169,"Link 2"),"")</f>
        <v>Link 2</v>
      </c>
      <c r="AA169" s="239" t="str">
        <f>IF('CCUS Projects Database'!$T169&lt;&gt;"",HYPERLINK('CCUS Projects Database'!$T169,"Link 3"),"")</f>
        <v>Link 3</v>
      </c>
      <c r="AB169" s="239" t="str">
        <f>IF('CCUS Projects Database'!$U169&lt;&gt;"",HYPERLINK('CCUS Projects Database'!$U169,"Link 4"),"")</f>
        <v/>
      </c>
      <c r="AC169" s="239" t="str">
        <f>IF('CCUS Projects Database'!$V169&lt;&gt;"",HYPERLINK('CCUS Projects Database'!$V169,"Link 5"),"")</f>
        <v/>
      </c>
      <c r="AD169" s="239" t="str">
        <f>IF('CCUS Projects Database'!$W169&lt;&gt;"",HYPERLINK('CCUS Projects Database'!$W169,"Link 6"),"")</f>
        <v/>
      </c>
      <c r="AE169" s="239" t="str">
        <f>IF('CCUS Projects Database'!$X169&lt;&gt;"",HYPERLINK('CCUS Projects Database'!$X169,"Link 7"),"")</f>
        <v/>
      </c>
    </row>
    <row r="170" ht="14.25" customHeight="1">
      <c r="A170" s="233" t="s">
        <v>19419</v>
      </c>
      <c r="B170" s="234">
        <v>207.0</v>
      </c>
      <c r="C170" s="234" t="s">
        <v>57</v>
      </c>
      <c r="D170" s="235" t="s">
        <v>19420</v>
      </c>
      <c r="E170" s="234" t="s">
        <v>18625</v>
      </c>
      <c r="F170" s="234">
        <v>2020.0</v>
      </c>
      <c r="G170" s="234" t="s">
        <v>18725</v>
      </c>
      <c r="H170" s="234">
        <v>2029.0</v>
      </c>
      <c r="I170" s="234" t="s">
        <v>18725</v>
      </c>
      <c r="J170" s="234" t="s">
        <v>18636</v>
      </c>
      <c r="K170" s="236" t="s">
        <v>18725</v>
      </c>
      <c r="L170" s="236">
        <v>1.2</v>
      </c>
      <c r="M170" s="236">
        <v>1.2</v>
      </c>
      <c r="N170" s="234" t="s">
        <v>18663</v>
      </c>
      <c r="O170" s="237" t="s">
        <v>18679</v>
      </c>
      <c r="P170" s="238" t="s">
        <v>18725</v>
      </c>
      <c r="Q170" s="234" t="s">
        <v>18726</v>
      </c>
      <c r="R170" s="238" t="s">
        <v>19421</v>
      </c>
      <c r="S170" s="238" t="s">
        <v>19132</v>
      </c>
      <c r="T170" s="238" t="s">
        <v>19422</v>
      </c>
      <c r="U170" s="238" t="s">
        <v>19422</v>
      </c>
      <c r="V170" s="238" t="s">
        <v>18725</v>
      </c>
      <c r="W170" s="238" t="s">
        <v>18725</v>
      </c>
      <c r="X170" s="238" t="s">
        <v>18725</v>
      </c>
      <c r="Y170" s="239" t="str">
        <f>IF('CCUS Projects Database'!$R170&lt;&gt;"",HYPERLINK('CCUS Projects Database'!$R170,"Link 1"),"")</f>
        <v>Link 1</v>
      </c>
      <c r="Z170" s="239" t="str">
        <f>IF('CCUS Projects Database'!$S170&lt;&gt;"",HYPERLINK('CCUS Projects Database'!$S170,"Link 2"),"")</f>
        <v>Link 2</v>
      </c>
      <c r="AA170" s="239" t="str">
        <f>IF('CCUS Projects Database'!$T170&lt;&gt;"",HYPERLINK('CCUS Projects Database'!$T170,"Link 3"),"")</f>
        <v>Link 3</v>
      </c>
      <c r="AB170" s="239" t="str">
        <f>IF('CCUS Projects Database'!$U170&lt;&gt;"",HYPERLINK('CCUS Projects Database'!$U170,"Link 4"),"")</f>
        <v>Link 4</v>
      </c>
      <c r="AC170" s="239" t="str">
        <f>IF('CCUS Projects Database'!$V170&lt;&gt;"",HYPERLINK('CCUS Projects Database'!$V170,"Link 5"),"")</f>
        <v/>
      </c>
      <c r="AD170" s="239" t="str">
        <f>IF('CCUS Projects Database'!$W170&lt;&gt;"",HYPERLINK('CCUS Projects Database'!$W170,"Link 6"),"")</f>
        <v/>
      </c>
      <c r="AE170" s="239" t="str">
        <f>IF('CCUS Projects Database'!$X170&lt;&gt;"",HYPERLINK('CCUS Projects Database'!$X170,"Link 7"),"")</f>
        <v/>
      </c>
    </row>
    <row r="171" ht="14.25" customHeight="1">
      <c r="A171" s="233" t="s">
        <v>19423</v>
      </c>
      <c r="B171" s="234">
        <v>208.0</v>
      </c>
      <c r="C171" s="234" t="s">
        <v>18586</v>
      </c>
      <c r="D171" s="235" t="s">
        <v>19424</v>
      </c>
      <c r="E171" s="234" t="s">
        <v>18618</v>
      </c>
      <c r="F171" s="234">
        <v>2021.0</v>
      </c>
      <c r="G171" s="234">
        <v>2026.0</v>
      </c>
      <c r="H171" s="234">
        <v>2028.0</v>
      </c>
      <c r="I171" s="234" t="s">
        <v>18725</v>
      </c>
      <c r="J171" s="234" t="s">
        <v>18636</v>
      </c>
      <c r="K171" s="236" t="s">
        <v>18725</v>
      </c>
      <c r="L171" s="236" t="s">
        <v>19425</v>
      </c>
      <c r="M171" s="236">
        <v>0.572</v>
      </c>
      <c r="N171" s="234" t="s">
        <v>12270</v>
      </c>
      <c r="O171" s="237" t="s">
        <v>18675</v>
      </c>
      <c r="P171" s="238" t="s">
        <v>18966</v>
      </c>
      <c r="Q171" s="234" t="s">
        <v>18732</v>
      </c>
      <c r="R171" s="238" t="s">
        <v>19109</v>
      </c>
      <c r="S171" s="238" t="s">
        <v>19110</v>
      </c>
      <c r="T171" s="238" t="s">
        <v>19111</v>
      </c>
      <c r="U171" s="238" t="s">
        <v>18725</v>
      </c>
      <c r="V171" s="238" t="s">
        <v>18725</v>
      </c>
      <c r="W171" s="238" t="s">
        <v>18725</v>
      </c>
      <c r="X171" s="238" t="s">
        <v>18725</v>
      </c>
      <c r="Y171" s="239" t="str">
        <f>IF('CCUS Projects Database'!$R171&lt;&gt;"",HYPERLINK('CCUS Projects Database'!$R171,"Link 1"),"")</f>
        <v>Link 1</v>
      </c>
      <c r="Z171" s="239" t="str">
        <f>IF('CCUS Projects Database'!$S171&lt;&gt;"",HYPERLINK('CCUS Projects Database'!$S171,"Link 2"),"")</f>
        <v>Link 2</v>
      </c>
      <c r="AA171" s="239" t="str">
        <f>IF('CCUS Projects Database'!$T171&lt;&gt;"",HYPERLINK('CCUS Projects Database'!$T171,"Link 3"),"")</f>
        <v>Link 3</v>
      </c>
      <c r="AB171" s="239" t="str">
        <f>IF('CCUS Projects Database'!$U171&lt;&gt;"",HYPERLINK('CCUS Projects Database'!$U171,"Link 4"),"")</f>
        <v/>
      </c>
      <c r="AC171" s="239" t="str">
        <f>IF('CCUS Projects Database'!$V171&lt;&gt;"",HYPERLINK('CCUS Projects Database'!$V171,"Link 5"),"")</f>
        <v/>
      </c>
      <c r="AD171" s="239" t="str">
        <f>IF('CCUS Projects Database'!$W171&lt;&gt;"",HYPERLINK('CCUS Projects Database'!$W171,"Link 6"),"")</f>
        <v/>
      </c>
      <c r="AE171" s="239" t="str">
        <f>IF('CCUS Projects Database'!$X171&lt;&gt;"",HYPERLINK('CCUS Projects Database'!$X171,"Link 7"),"")</f>
        <v/>
      </c>
    </row>
    <row r="172" ht="14.25" customHeight="1">
      <c r="A172" s="233" t="s">
        <v>19426</v>
      </c>
      <c r="B172" s="234">
        <v>209.0</v>
      </c>
      <c r="C172" s="234" t="s">
        <v>18264</v>
      </c>
      <c r="D172" s="235" t="s">
        <v>19427</v>
      </c>
      <c r="E172" s="234" t="s">
        <v>18625</v>
      </c>
      <c r="F172" s="234" t="s">
        <v>18725</v>
      </c>
      <c r="G172" s="234" t="s">
        <v>18725</v>
      </c>
      <c r="H172" s="234">
        <v>2017.0</v>
      </c>
      <c r="I172" s="234" t="s">
        <v>18725</v>
      </c>
      <c r="J172" s="234" t="s">
        <v>12385</v>
      </c>
      <c r="K172" s="236" t="s">
        <v>18725</v>
      </c>
      <c r="L172" s="236">
        <v>0.4</v>
      </c>
      <c r="M172" s="236">
        <v>0.4</v>
      </c>
      <c r="N172" s="234" t="s">
        <v>18661</v>
      </c>
      <c r="O172" s="237" t="s">
        <v>18679</v>
      </c>
      <c r="P172" s="238" t="s">
        <v>18725</v>
      </c>
      <c r="Q172" s="234" t="s">
        <v>18732</v>
      </c>
      <c r="R172" s="238" t="s">
        <v>19428</v>
      </c>
      <c r="S172" s="238" t="s">
        <v>19429</v>
      </c>
      <c r="T172" s="238" t="s">
        <v>18725</v>
      </c>
      <c r="U172" s="238" t="s">
        <v>18725</v>
      </c>
      <c r="V172" s="238" t="s">
        <v>18725</v>
      </c>
      <c r="W172" s="238" t="s">
        <v>18725</v>
      </c>
      <c r="X172" s="238" t="s">
        <v>18725</v>
      </c>
      <c r="Y172" s="239" t="str">
        <f>IF('CCUS Projects Database'!$R172&lt;&gt;"",HYPERLINK('CCUS Projects Database'!$R172,"Link 1"),"")</f>
        <v>Link 1</v>
      </c>
      <c r="Z172" s="239" t="str">
        <f>IF('CCUS Projects Database'!$S172&lt;&gt;"",HYPERLINK('CCUS Projects Database'!$S172,"Link 2"),"")</f>
        <v>Link 2</v>
      </c>
      <c r="AA172" s="239" t="str">
        <f>IF('CCUS Projects Database'!$T172&lt;&gt;"",HYPERLINK('CCUS Projects Database'!$T172,"Link 3"),"")</f>
        <v/>
      </c>
      <c r="AB172" s="239" t="str">
        <f>IF('CCUS Projects Database'!$U172&lt;&gt;"",HYPERLINK('CCUS Projects Database'!$U172,"Link 4"),"")</f>
        <v/>
      </c>
      <c r="AC172" s="239" t="str">
        <f>IF('CCUS Projects Database'!$V172&lt;&gt;"",HYPERLINK('CCUS Projects Database'!$V172,"Link 5"),"")</f>
        <v/>
      </c>
      <c r="AD172" s="239" t="str">
        <f>IF('CCUS Projects Database'!$W172&lt;&gt;"",HYPERLINK('CCUS Projects Database'!$W172,"Link 6"),"")</f>
        <v/>
      </c>
      <c r="AE172" s="239" t="str">
        <f>IF('CCUS Projects Database'!$X172&lt;&gt;"",HYPERLINK('CCUS Projects Database'!$X172,"Link 7"),"")</f>
        <v/>
      </c>
    </row>
    <row r="173" ht="14.25" customHeight="1">
      <c r="A173" s="233" t="s">
        <v>19430</v>
      </c>
      <c r="B173" s="234">
        <v>214.0</v>
      </c>
      <c r="C173" s="234" t="s">
        <v>18586</v>
      </c>
      <c r="D173" s="235" t="s">
        <v>19431</v>
      </c>
      <c r="E173" s="234" t="s">
        <v>18618</v>
      </c>
      <c r="F173" s="234">
        <v>2021.0</v>
      </c>
      <c r="G173" s="234">
        <v>2026.0</v>
      </c>
      <c r="H173" s="234">
        <v>2028.0</v>
      </c>
      <c r="I173" s="234" t="s">
        <v>18725</v>
      </c>
      <c r="J173" s="234" t="s">
        <v>18636</v>
      </c>
      <c r="K173" s="236" t="s">
        <v>18725</v>
      </c>
      <c r="L173" s="236" t="s">
        <v>19432</v>
      </c>
      <c r="M173" s="236">
        <v>0.315</v>
      </c>
      <c r="N173" s="234" t="s">
        <v>12270</v>
      </c>
      <c r="O173" s="237" t="s">
        <v>18675</v>
      </c>
      <c r="P173" s="238" t="s">
        <v>18966</v>
      </c>
      <c r="Q173" s="234" t="s">
        <v>18732</v>
      </c>
      <c r="R173" s="238" t="s">
        <v>19109</v>
      </c>
      <c r="S173" s="238" t="s">
        <v>19110</v>
      </c>
      <c r="T173" s="238" t="s">
        <v>19111</v>
      </c>
      <c r="U173" s="238" t="s">
        <v>18725</v>
      </c>
      <c r="V173" s="238" t="s">
        <v>18725</v>
      </c>
      <c r="W173" s="238" t="s">
        <v>18725</v>
      </c>
      <c r="X173" s="238" t="s">
        <v>18725</v>
      </c>
      <c r="Y173" s="239" t="str">
        <f>IF('CCUS Projects Database'!$R173&lt;&gt;"",HYPERLINK('CCUS Projects Database'!$R173,"Link 1"),"")</f>
        <v>Link 1</v>
      </c>
      <c r="Z173" s="239" t="str">
        <f>IF('CCUS Projects Database'!$S173&lt;&gt;"",HYPERLINK('CCUS Projects Database'!$S173,"Link 2"),"")</f>
        <v>Link 2</v>
      </c>
      <c r="AA173" s="239" t="str">
        <f>IF('CCUS Projects Database'!$T173&lt;&gt;"",HYPERLINK('CCUS Projects Database'!$T173,"Link 3"),"")</f>
        <v>Link 3</v>
      </c>
      <c r="AB173" s="239" t="str">
        <f>IF('CCUS Projects Database'!$U173&lt;&gt;"",HYPERLINK('CCUS Projects Database'!$U173,"Link 4"),"")</f>
        <v/>
      </c>
      <c r="AC173" s="239" t="str">
        <f>IF('CCUS Projects Database'!$V173&lt;&gt;"",HYPERLINK('CCUS Projects Database'!$V173,"Link 5"),"")</f>
        <v/>
      </c>
      <c r="AD173" s="239" t="str">
        <f>IF('CCUS Projects Database'!$W173&lt;&gt;"",HYPERLINK('CCUS Projects Database'!$W173,"Link 6"),"")</f>
        <v/>
      </c>
      <c r="AE173" s="239" t="str">
        <f>IF('CCUS Projects Database'!$X173&lt;&gt;"",HYPERLINK('CCUS Projects Database'!$X173,"Link 7"),"")</f>
        <v/>
      </c>
    </row>
    <row r="174" ht="14.25" customHeight="1">
      <c r="A174" s="233" t="s">
        <v>19433</v>
      </c>
      <c r="B174" s="234">
        <v>215.0</v>
      </c>
      <c r="C174" s="234" t="s">
        <v>164</v>
      </c>
      <c r="D174" s="235" t="s">
        <v>19434</v>
      </c>
      <c r="E174" s="234" t="s">
        <v>18618</v>
      </c>
      <c r="F174" s="234">
        <v>2018.0</v>
      </c>
      <c r="G174" s="234">
        <v>2026.0</v>
      </c>
      <c r="H174" s="234">
        <v>2030.0</v>
      </c>
      <c r="I174" s="234" t="s">
        <v>18725</v>
      </c>
      <c r="J174" s="234" t="s">
        <v>18636</v>
      </c>
      <c r="K174" s="236">
        <v>1.0</v>
      </c>
      <c r="L174" s="236">
        <v>1.3</v>
      </c>
      <c r="M174" s="236">
        <v>1.3</v>
      </c>
      <c r="N174" s="234" t="s">
        <v>18661</v>
      </c>
      <c r="O174" s="237" t="s">
        <v>18675</v>
      </c>
      <c r="P174" s="238" t="s">
        <v>18725</v>
      </c>
      <c r="Q174" s="234" t="s">
        <v>18726</v>
      </c>
      <c r="R174" s="238" t="s">
        <v>19435</v>
      </c>
      <c r="S174" s="238" t="s">
        <v>18725</v>
      </c>
      <c r="T174" s="238" t="s">
        <v>18725</v>
      </c>
      <c r="U174" s="238" t="s">
        <v>18725</v>
      </c>
      <c r="V174" s="238" t="s">
        <v>18725</v>
      </c>
      <c r="W174" s="238" t="s">
        <v>18725</v>
      </c>
      <c r="X174" s="238" t="s">
        <v>18725</v>
      </c>
      <c r="Y174" s="239" t="str">
        <f>IF('CCUS Projects Database'!$R174&lt;&gt;"",HYPERLINK('CCUS Projects Database'!$R174,"Link 1"),"")</f>
        <v>Link 1</v>
      </c>
      <c r="Z174" s="239" t="str">
        <f>IF('CCUS Projects Database'!$S174&lt;&gt;"",HYPERLINK('CCUS Projects Database'!$S174,"Link 2"),"")</f>
        <v/>
      </c>
      <c r="AA174" s="239" t="str">
        <f>IF('CCUS Projects Database'!$T174&lt;&gt;"",HYPERLINK('CCUS Projects Database'!$T174,"Link 3"),"")</f>
        <v/>
      </c>
      <c r="AB174" s="239" t="str">
        <f>IF('CCUS Projects Database'!$U174&lt;&gt;"",HYPERLINK('CCUS Projects Database'!$U174,"Link 4"),"")</f>
        <v/>
      </c>
      <c r="AC174" s="239" t="str">
        <f>IF('CCUS Projects Database'!$V174&lt;&gt;"",HYPERLINK('CCUS Projects Database'!$V174,"Link 5"),"")</f>
        <v/>
      </c>
      <c r="AD174" s="239" t="str">
        <f>IF('CCUS Projects Database'!$W174&lt;&gt;"",HYPERLINK('CCUS Projects Database'!$W174,"Link 6"),"")</f>
        <v/>
      </c>
      <c r="AE174" s="239" t="str">
        <f>IF('CCUS Projects Database'!$X174&lt;&gt;"",HYPERLINK('CCUS Projects Database'!$X174,"Link 7"),"")</f>
        <v/>
      </c>
    </row>
    <row r="175" ht="14.25" customHeight="1">
      <c r="A175" s="233" t="s">
        <v>19436</v>
      </c>
      <c r="B175" s="234">
        <v>216.0</v>
      </c>
      <c r="C175" s="234" t="s">
        <v>164</v>
      </c>
      <c r="D175" s="235" t="s">
        <v>19434</v>
      </c>
      <c r="E175" s="234" t="s">
        <v>18618</v>
      </c>
      <c r="F175" s="234">
        <v>2018.0</v>
      </c>
      <c r="G175" s="234" t="s">
        <v>18725</v>
      </c>
      <c r="H175" s="234" t="s">
        <v>18725</v>
      </c>
      <c r="I175" s="234" t="s">
        <v>18725</v>
      </c>
      <c r="J175" s="234" t="s">
        <v>18192</v>
      </c>
      <c r="K175" s="236">
        <v>2.0</v>
      </c>
      <c r="L175" s="236" t="s">
        <v>18725</v>
      </c>
      <c r="M175" s="236" t="s">
        <v>18725</v>
      </c>
      <c r="N175" s="234" t="s">
        <v>18661</v>
      </c>
      <c r="O175" s="237" t="s">
        <v>18675</v>
      </c>
      <c r="P175" s="238" t="s">
        <v>18725</v>
      </c>
      <c r="Q175" s="234" t="s">
        <v>18726</v>
      </c>
      <c r="R175" s="238" t="s">
        <v>19435</v>
      </c>
      <c r="S175" s="238" t="s">
        <v>18725</v>
      </c>
      <c r="T175" s="238" t="s">
        <v>18725</v>
      </c>
      <c r="U175" s="238" t="s">
        <v>18725</v>
      </c>
      <c r="V175" s="238" t="s">
        <v>18725</v>
      </c>
      <c r="W175" s="238" t="s">
        <v>18725</v>
      </c>
      <c r="X175" s="238" t="s">
        <v>18725</v>
      </c>
      <c r="Y175" s="239" t="str">
        <f>IF('CCUS Projects Database'!$R175&lt;&gt;"",HYPERLINK('CCUS Projects Database'!$R175,"Link 1"),"")</f>
        <v>Link 1</v>
      </c>
      <c r="Z175" s="239" t="str">
        <f>IF('CCUS Projects Database'!$S175&lt;&gt;"",HYPERLINK('CCUS Projects Database'!$S175,"Link 2"),"")</f>
        <v/>
      </c>
      <c r="AA175" s="239" t="str">
        <f>IF('CCUS Projects Database'!$T175&lt;&gt;"",HYPERLINK('CCUS Projects Database'!$T175,"Link 3"),"")</f>
        <v/>
      </c>
      <c r="AB175" s="239" t="str">
        <f>IF('CCUS Projects Database'!$U175&lt;&gt;"",HYPERLINK('CCUS Projects Database'!$U175,"Link 4"),"")</f>
        <v/>
      </c>
      <c r="AC175" s="239" t="str">
        <f>IF('CCUS Projects Database'!$V175&lt;&gt;"",HYPERLINK('CCUS Projects Database'!$V175,"Link 5"),"")</f>
        <v/>
      </c>
      <c r="AD175" s="239" t="str">
        <f>IF('CCUS Projects Database'!$W175&lt;&gt;"",HYPERLINK('CCUS Projects Database'!$W175,"Link 6"),"")</f>
        <v/>
      </c>
      <c r="AE175" s="239" t="str">
        <f>IF('CCUS Projects Database'!$X175&lt;&gt;"",HYPERLINK('CCUS Projects Database'!$X175,"Link 7"),"")</f>
        <v/>
      </c>
    </row>
    <row r="176" ht="14.25" customHeight="1">
      <c r="A176" s="233" t="s">
        <v>8447</v>
      </c>
      <c r="B176" s="234">
        <v>217.0</v>
      </c>
      <c r="C176" s="234" t="s">
        <v>164</v>
      </c>
      <c r="D176" s="235" t="s">
        <v>19437</v>
      </c>
      <c r="E176" s="234" t="s">
        <v>18618</v>
      </c>
      <c r="F176" s="234">
        <v>2017.0</v>
      </c>
      <c r="G176" s="234" t="s">
        <v>18725</v>
      </c>
      <c r="H176" s="234">
        <v>2029.0</v>
      </c>
      <c r="I176" s="234" t="s">
        <v>18725</v>
      </c>
      <c r="J176" s="234" t="s">
        <v>18636</v>
      </c>
      <c r="K176" s="236" t="s">
        <v>18725</v>
      </c>
      <c r="L176" s="236">
        <v>1.3</v>
      </c>
      <c r="M176" s="236">
        <v>1.3</v>
      </c>
      <c r="N176" s="234" t="s">
        <v>18731</v>
      </c>
      <c r="O176" s="237" t="s">
        <v>18675</v>
      </c>
      <c r="P176" s="238" t="s">
        <v>18941</v>
      </c>
      <c r="Q176" s="234" t="s">
        <v>18726</v>
      </c>
      <c r="R176" s="238" t="s">
        <v>15764</v>
      </c>
      <c r="S176" s="238" t="s">
        <v>19438</v>
      </c>
      <c r="T176" s="238" t="s">
        <v>18725</v>
      </c>
      <c r="U176" s="238" t="s">
        <v>18725</v>
      </c>
      <c r="V176" s="238" t="s">
        <v>18725</v>
      </c>
      <c r="W176" s="238" t="s">
        <v>18725</v>
      </c>
      <c r="X176" s="238" t="s">
        <v>18725</v>
      </c>
      <c r="Y176" s="239" t="str">
        <f>IF('CCUS Projects Database'!$R176&lt;&gt;"",HYPERLINK('CCUS Projects Database'!$R176,"Link 1"),"")</f>
        <v>Link 1</v>
      </c>
      <c r="Z176" s="239" t="str">
        <f>IF('CCUS Projects Database'!$S176&lt;&gt;"",HYPERLINK('CCUS Projects Database'!$S176,"Link 2"),"")</f>
        <v>Link 2</v>
      </c>
      <c r="AA176" s="239" t="str">
        <f>IF('CCUS Projects Database'!$T176&lt;&gt;"",HYPERLINK('CCUS Projects Database'!$T176,"Link 3"),"")</f>
        <v/>
      </c>
      <c r="AB176" s="239" t="str">
        <f>IF('CCUS Projects Database'!$U176&lt;&gt;"",HYPERLINK('CCUS Projects Database'!$U176,"Link 4"),"")</f>
        <v/>
      </c>
      <c r="AC176" s="239" t="str">
        <f>IF('CCUS Projects Database'!$V176&lt;&gt;"",HYPERLINK('CCUS Projects Database'!$V176,"Link 5"),"")</f>
        <v/>
      </c>
      <c r="AD176" s="239" t="str">
        <f>IF('CCUS Projects Database'!$W176&lt;&gt;"",HYPERLINK('CCUS Projects Database'!$W176,"Link 6"),"")</f>
        <v/>
      </c>
      <c r="AE176" s="239" t="str">
        <f>IF('CCUS Projects Database'!$X176&lt;&gt;"",HYPERLINK('CCUS Projects Database'!$X176,"Link 7"),"")</f>
        <v/>
      </c>
    </row>
    <row r="177" ht="14.25" customHeight="1">
      <c r="A177" s="233" t="s">
        <v>19439</v>
      </c>
      <c r="B177" s="234">
        <v>218.0</v>
      </c>
      <c r="C177" s="234" t="s">
        <v>18329</v>
      </c>
      <c r="D177" s="235" t="s">
        <v>19440</v>
      </c>
      <c r="E177" s="234" t="s">
        <v>18618</v>
      </c>
      <c r="F177" s="234">
        <v>2018.0</v>
      </c>
      <c r="G177" s="234" t="s">
        <v>18725</v>
      </c>
      <c r="H177" s="234">
        <v>2030.0</v>
      </c>
      <c r="I177" s="234" t="s">
        <v>18725</v>
      </c>
      <c r="J177" s="234" t="s">
        <v>18636</v>
      </c>
      <c r="K177" s="236">
        <v>1.0</v>
      </c>
      <c r="L177" s="236">
        <v>1.8</v>
      </c>
      <c r="M177" s="236">
        <v>1.8</v>
      </c>
      <c r="N177" s="234" t="s">
        <v>18731</v>
      </c>
      <c r="O177" s="237" t="s">
        <v>18675</v>
      </c>
      <c r="P177" s="238" t="s">
        <v>19441</v>
      </c>
      <c r="Q177" s="234" t="s">
        <v>18762</v>
      </c>
      <c r="R177" s="238" t="s">
        <v>19442</v>
      </c>
      <c r="S177" s="238" t="s">
        <v>19443</v>
      </c>
      <c r="T177" s="238" t="s">
        <v>19444</v>
      </c>
      <c r="U177" s="238" t="s">
        <v>19445</v>
      </c>
      <c r="V177" s="238" t="s">
        <v>19446</v>
      </c>
      <c r="W177" s="238" t="s">
        <v>19447</v>
      </c>
      <c r="X177" s="238" t="s">
        <v>18725</v>
      </c>
      <c r="Y177" s="239" t="str">
        <f>IF('CCUS Projects Database'!$R177&lt;&gt;"",HYPERLINK('CCUS Projects Database'!$R177,"Link 1"),"")</f>
        <v>Link 1</v>
      </c>
      <c r="Z177" s="239" t="str">
        <f>IF('CCUS Projects Database'!$S177&lt;&gt;"",HYPERLINK('CCUS Projects Database'!$S177,"Link 2"),"")</f>
        <v>Link 2</v>
      </c>
      <c r="AA177" s="239" t="str">
        <f>IF('CCUS Projects Database'!$T177&lt;&gt;"",HYPERLINK('CCUS Projects Database'!$T177,"Link 3"),"")</f>
        <v>Link 3</v>
      </c>
      <c r="AB177" s="239" t="str">
        <f>IF('CCUS Projects Database'!$U177&lt;&gt;"",HYPERLINK('CCUS Projects Database'!$U177,"Link 4"),"")</f>
        <v>Link 4</v>
      </c>
      <c r="AC177" s="239" t="str">
        <f>IF('CCUS Projects Database'!$V177&lt;&gt;"",HYPERLINK('CCUS Projects Database'!$V177,"Link 5"),"")</f>
        <v>Link 5</v>
      </c>
      <c r="AD177" s="239" t="str">
        <f>IF('CCUS Projects Database'!$W177&lt;&gt;"",HYPERLINK('CCUS Projects Database'!$W177,"Link 6"),"")</f>
        <v>Link 6</v>
      </c>
      <c r="AE177" s="239" t="str">
        <f>IF('CCUS Projects Database'!$X177&lt;&gt;"",HYPERLINK('CCUS Projects Database'!$X177,"Link 7"),"")</f>
        <v/>
      </c>
    </row>
    <row r="178" ht="14.25" customHeight="1">
      <c r="A178" s="233" t="s">
        <v>19448</v>
      </c>
      <c r="B178" s="234">
        <v>220.0</v>
      </c>
      <c r="C178" s="234" t="s">
        <v>83</v>
      </c>
      <c r="D178" s="235" t="s">
        <v>19449</v>
      </c>
      <c r="E178" s="234" t="s">
        <v>18618</v>
      </c>
      <c r="F178" s="234">
        <v>2020.0</v>
      </c>
      <c r="G178" s="234">
        <v>2027.0</v>
      </c>
      <c r="H178" s="234" t="s">
        <v>18725</v>
      </c>
      <c r="I178" s="234" t="s">
        <v>18725</v>
      </c>
      <c r="J178" s="234" t="s">
        <v>18636</v>
      </c>
      <c r="K178" s="236">
        <v>1.0</v>
      </c>
      <c r="L178" s="236">
        <v>0.89</v>
      </c>
      <c r="M178" s="236">
        <v>0.89</v>
      </c>
      <c r="N178" s="234" t="s">
        <v>18731</v>
      </c>
      <c r="O178" s="237" t="s">
        <v>18675</v>
      </c>
      <c r="P178" s="238" t="s">
        <v>19187</v>
      </c>
      <c r="Q178" s="234" t="s">
        <v>18726</v>
      </c>
      <c r="R178" s="238" t="s">
        <v>19450</v>
      </c>
      <c r="S178" s="238" t="s">
        <v>19451</v>
      </c>
      <c r="T178" s="238" t="s">
        <v>19452</v>
      </c>
      <c r="U178" s="238" t="s">
        <v>19453</v>
      </c>
      <c r="V178" s="238" t="s">
        <v>19454</v>
      </c>
      <c r="W178" s="238" t="s">
        <v>19455</v>
      </c>
      <c r="X178" s="238" t="s">
        <v>18725</v>
      </c>
      <c r="Y178" s="239" t="str">
        <f>IF('CCUS Projects Database'!$R178&lt;&gt;"",HYPERLINK('CCUS Projects Database'!$R178,"Link 1"),"")</f>
        <v>Link 1</v>
      </c>
      <c r="Z178" s="239" t="str">
        <f>IF('CCUS Projects Database'!$S178&lt;&gt;"",HYPERLINK('CCUS Projects Database'!$S178,"Link 2"),"")</f>
        <v>Link 2</v>
      </c>
      <c r="AA178" s="239" t="str">
        <f>IF('CCUS Projects Database'!$T178&lt;&gt;"",HYPERLINK('CCUS Projects Database'!$T178,"Link 3"),"")</f>
        <v>Link 3</v>
      </c>
      <c r="AB178" s="239" t="str">
        <f>IF('CCUS Projects Database'!$U178&lt;&gt;"",HYPERLINK('CCUS Projects Database'!$U178,"Link 4"),"")</f>
        <v>Link 4</v>
      </c>
      <c r="AC178" s="239" t="str">
        <f>IF('CCUS Projects Database'!$V178&lt;&gt;"",HYPERLINK('CCUS Projects Database'!$V178,"Link 5"),"")</f>
        <v>Link 5</v>
      </c>
      <c r="AD178" s="239" t="str">
        <f>IF('CCUS Projects Database'!$W178&lt;&gt;"",HYPERLINK('CCUS Projects Database'!$W178,"Link 6"),"")</f>
        <v>Link 6</v>
      </c>
      <c r="AE178" s="239" t="str">
        <f>IF('CCUS Projects Database'!$X178&lt;&gt;"",HYPERLINK('CCUS Projects Database'!$X178,"Link 7"),"")</f>
        <v/>
      </c>
    </row>
    <row r="179" ht="14.25" customHeight="1">
      <c r="A179" s="233" t="s">
        <v>19456</v>
      </c>
      <c r="B179" s="234">
        <v>222.0</v>
      </c>
      <c r="C179" s="234" t="s">
        <v>18586</v>
      </c>
      <c r="D179" s="235" t="s">
        <v>19457</v>
      </c>
      <c r="E179" s="234" t="s">
        <v>18618</v>
      </c>
      <c r="F179" s="234">
        <v>2013.0</v>
      </c>
      <c r="G179" s="234">
        <v>2025.0</v>
      </c>
      <c r="H179" s="234">
        <v>2026.0</v>
      </c>
      <c r="I179" s="234" t="s">
        <v>18725</v>
      </c>
      <c r="J179" s="234" t="s">
        <v>18636</v>
      </c>
      <c r="K179" s="236" t="s">
        <v>18725</v>
      </c>
      <c r="L179" s="236" t="s">
        <v>19458</v>
      </c>
      <c r="M179" s="236">
        <v>9.7</v>
      </c>
      <c r="N179" s="234" t="s">
        <v>12270</v>
      </c>
      <c r="O179" s="237" t="s">
        <v>18675</v>
      </c>
      <c r="P179" s="238" t="s">
        <v>18725</v>
      </c>
      <c r="Q179" s="234" t="s">
        <v>18732</v>
      </c>
      <c r="R179" s="238" t="s">
        <v>19459</v>
      </c>
      <c r="S179" s="238" t="s">
        <v>18725</v>
      </c>
      <c r="T179" s="238" t="s">
        <v>18725</v>
      </c>
      <c r="U179" s="238" t="s">
        <v>18725</v>
      </c>
      <c r="V179" s="238" t="s">
        <v>18725</v>
      </c>
      <c r="W179" s="238" t="s">
        <v>18725</v>
      </c>
      <c r="X179" s="238" t="s">
        <v>18725</v>
      </c>
      <c r="Y179" s="239" t="str">
        <f>IF('CCUS Projects Database'!$R179&lt;&gt;"",HYPERLINK('CCUS Projects Database'!$R179,"Link 1"),"")</f>
        <v>Link 1</v>
      </c>
      <c r="Z179" s="239" t="str">
        <f>IF('CCUS Projects Database'!$S179&lt;&gt;"",HYPERLINK('CCUS Projects Database'!$S179,"Link 2"),"")</f>
        <v/>
      </c>
      <c r="AA179" s="239" t="str">
        <f>IF('CCUS Projects Database'!$T179&lt;&gt;"",HYPERLINK('CCUS Projects Database'!$T179,"Link 3"),"")</f>
        <v/>
      </c>
      <c r="AB179" s="239" t="str">
        <f>IF('CCUS Projects Database'!$U179&lt;&gt;"",HYPERLINK('CCUS Projects Database'!$U179,"Link 4"),"")</f>
        <v/>
      </c>
      <c r="AC179" s="239" t="str">
        <f>IF('CCUS Projects Database'!$V179&lt;&gt;"",HYPERLINK('CCUS Projects Database'!$V179,"Link 5"),"")</f>
        <v/>
      </c>
      <c r="AD179" s="239" t="str">
        <f>IF('CCUS Projects Database'!$W179&lt;&gt;"",HYPERLINK('CCUS Projects Database'!$W179,"Link 6"),"")</f>
        <v/>
      </c>
      <c r="AE179" s="239" t="str">
        <f>IF('CCUS Projects Database'!$X179&lt;&gt;"",HYPERLINK('CCUS Projects Database'!$X179,"Link 7"),"")</f>
        <v/>
      </c>
    </row>
    <row r="180" ht="14.25" customHeight="1">
      <c r="A180" s="233" t="s">
        <v>19460</v>
      </c>
      <c r="B180" s="234">
        <v>223.0</v>
      </c>
      <c r="C180" s="234" t="s">
        <v>18586</v>
      </c>
      <c r="D180" s="235" t="s">
        <v>18772</v>
      </c>
      <c r="E180" s="234" t="s">
        <v>18616</v>
      </c>
      <c r="F180" s="234">
        <v>2009.0</v>
      </c>
      <c r="G180" s="234">
        <v>2011.0</v>
      </c>
      <c r="H180" s="234">
        <v>2017.0</v>
      </c>
      <c r="I180" s="234" t="s">
        <v>18725</v>
      </c>
      <c r="J180" s="234" t="s">
        <v>12385</v>
      </c>
      <c r="K180" s="236">
        <v>1.0</v>
      </c>
      <c r="L180" s="236" t="s">
        <v>19461</v>
      </c>
      <c r="M180" s="236">
        <v>0.5</v>
      </c>
      <c r="N180" s="234" t="s">
        <v>12270</v>
      </c>
      <c r="O180" s="237" t="s">
        <v>18675</v>
      </c>
      <c r="P180" s="238" t="s">
        <v>18961</v>
      </c>
      <c r="Q180" s="234" t="s">
        <v>18732</v>
      </c>
      <c r="R180" s="238" t="s">
        <v>19462</v>
      </c>
      <c r="S180" s="238" t="s">
        <v>19463</v>
      </c>
      <c r="T180" s="238" t="s">
        <v>19464</v>
      </c>
      <c r="U180" s="238" t="s">
        <v>19465</v>
      </c>
      <c r="V180" s="238" t="s">
        <v>19462</v>
      </c>
      <c r="W180" s="238" t="s">
        <v>19466</v>
      </c>
      <c r="X180" s="238" t="s">
        <v>19467</v>
      </c>
      <c r="Y180" s="239" t="str">
        <f>IF('CCUS Projects Database'!$R180&lt;&gt;"",HYPERLINK('CCUS Projects Database'!$R180,"Link 1"),"")</f>
        <v>Link 1</v>
      </c>
      <c r="Z180" s="239" t="str">
        <f>IF('CCUS Projects Database'!$S180&lt;&gt;"",HYPERLINK('CCUS Projects Database'!$S180,"Link 2"),"")</f>
        <v>Link 2</v>
      </c>
      <c r="AA180" s="239" t="str">
        <f>IF('CCUS Projects Database'!$T180&lt;&gt;"",HYPERLINK('CCUS Projects Database'!$T180,"Link 3"),"")</f>
        <v>Link 3</v>
      </c>
      <c r="AB180" s="239" t="str">
        <f>IF('CCUS Projects Database'!$U180&lt;&gt;"",HYPERLINK('CCUS Projects Database'!$U180,"Link 4"),"")</f>
        <v>Link 4</v>
      </c>
      <c r="AC180" s="239" t="str">
        <f>IF('CCUS Projects Database'!$V180&lt;&gt;"",HYPERLINK('CCUS Projects Database'!$V180,"Link 5"),"")</f>
        <v>Link 5</v>
      </c>
      <c r="AD180" s="239" t="str">
        <f>IF('CCUS Projects Database'!$W180&lt;&gt;"",HYPERLINK('CCUS Projects Database'!$W180,"Link 6"),"")</f>
        <v>Link 6</v>
      </c>
      <c r="AE180" s="239" t="str">
        <f>IF('CCUS Projects Database'!$X180&lt;&gt;"",HYPERLINK('CCUS Projects Database'!$X180,"Link 7"),"")</f>
        <v>Link 7</v>
      </c>
    </row>
    <row r="181" ht="14.25" customHeight="1">
      <c r="A181" s="233" t="s">
        <v>9452</v>
      </c>
      <c r="B181" s="234">
        <v>224.0</v>
      </c>
      <c r="C181" s="234" t="s">
        <v>18285</v>
      </c>
      <c r="D181" s="235" t="s">
        <v>19468</v>
      </c>
      <c r="E181" s="234" t="s">
        <v>18616</v>
      </c>
      <c r="F181" s="234">
        <v>2021.0</v>
      </c>
      <c r="G181" s="234" t="s">
        <v>18725</v>
      </c>
      <c r="H181" s="234">
        <v>2030.0</v>
      </c>
      <c r="I181" s="234" t="s">
        <v>18725</v>
      </c>
      <c r="J181" s="234" t="s">
        <v>18636</v>
      </c>
      <c r="K181" s="236" t="s">
        <v>18725</v>
      </c>
      <c r="L181" s="236">
        <v>0.7</v>
      </c>
      <c r="M181" s="236">
        <v>0.7</v>
      </c>
      <c r="N181" s="234" t="s">
        <v>18661</v>
      </c>
      <c r="O181" s="237" t="s">
        <v>19033</v>
      </c>
      <c r="P181" s="238" t="s">
        <v>18725</v>
      </c>
      <c r="Q181" s="234" t="s">
        <v>18856</v>
      </c>
      <c r="R181" s="238" t="s">
        <v>19469</v>
      </c>
      <c r="S181" s="238" t="s">
        <v>17243</v>
      </c>
      <c r="T181" s="238" t="s">
        <v>18725</v>
      </c>
      <c r="U181" s="238" t="s">
        <v>18725</v>
      </c>
      <c r="V181" s="238" t="s">
        <v>18725</v>
      </c>
      <c r="W181" s="238" t="s">
        <v>18725</v>
      </c>
      <c r="X181" s="238" t="s">
        <v>18725</v>
      </c>
      <c r="Y181" s="239" t="str">
        <f>IF('CCUS Projects Database'!$R181&lt;&gt;"",HYPERLINK('CCUS Projects Database'!$R181,"Link 1"),"")</f>
        <v>Link 1</v>
      </c>
      <c r="Z181" s="239" t="str">
        <f>IF('CCUS Projects Database'!$S181&lt;&gt;"",HYPERLINK('CCUS Projects Database'!$S181,"Link 2"),"")</f>
        <v>Link 2</v>
      </c>
      <c r="AA181" s="239" t="str">
        <f>IF('CCUS Projects Database'!$T181&lt;&gt;"",HYPERLINK('CCUS Projects Database'!$T181,"Link 3"),"")</f>
        <v/>
      </c>
      <c r="AB181" s="239" t="str">
        <f>IF('CCUS Projects Database'!$U181&lt;&gt;"",HYPERLINK('CCUS Projects Database'!$U181,"Link 4"),"")</f>
        <v/>
      </c>
      <c r="AC181" s="239" t="str">
        <f>IF('CCUS Projects Database'!$V181&lt;&gt;"",HYPERLINK('CCUS Projects Database'!$V181,"Link 5"),"")</f>
        <v/>
      </c>
      <c r="AD181" s="239" t="str">
        <f>IF('CCUS Projects Database'!$W181&lt;&gt;"",HYPERLINK('CCUS Projects Database'!$W181,"Link 6"),"")</f>
        <v/>
      </c>
      <c r="AE181" s="239" t="str">
        <f>IF('CCUS Projects Database'!$X181&lt;&gt;"",HYPERLINK('CCUS Projects Database'!$X181,"Link 7"),"")</f>
        <v/>
      </c>
    </row>
    <row r="182" ht="14.25" customHeight="1">
      <c r="A182" s="233" t="s">
        <v>19470</v>
      </c>
      <c r="B182" s="234">
        <v>225.0</v>
      </c>
      <c r="C182" s="234" t="s">
        <v>161</v>
      </c>
      <c r="D182" s="235" t="s">
        <v>19471</v>
      </c>
      <c r="E182" s="234" t="s">
        <v>18618</v>
      </c>
      <c r="F182" s="234">
        <v>2021.0</v>
      </c>
      <c r="G182" s="234">
        <v>2025.0</v>
      </c>
      <c r="H182" s="234">
        <v>2030.0</v>
      </c>
      <c r="I182" s="234" t="s">
        <v>18725</v>
      </c>
      <c r="J182" s="234" t="s">
        <v>18636</v>
      </c>
      <c r="K182" s="236" t="s">
        <v>18725</v>
      </c>
      <c r="L182" s="236" t="s">
        <v>18725</v>
      </c>
      <c r="M182" s="236" t="s">
        <v>18725</v>
      </c>
      <c r="N182" s="234" t="s">
        <v>677</v>
      </c>
      <c r="O182" s="237" t="s">
        <v>18683</v>
      </c>
      <c r="P182" s="238" t="s">
        <v>18725</v>
      </c>
      <c r="Q182" s="234" t="s">
        <v>18726</v>
      </c>
      <c r="R182" s="238" t="s">
        <v>18725</v>
      </c>
      <c r="S182" s="238" t="s">
        <v>18725</v>
      </c>
      <c r="T182" s="238" t="s">
        <v>18725</v>
      </c>
      <c r="U182" s="238" t="s">
        <v>18725</v>
      </c>
      <c r="V182" s="238" t="s">
        <v>18725</v>
      </c>
      <c r="W182" s="238" t="s">
        <v>18725</v>
      </c>
      <c r="X182" s="238" t="s">
        <v>18725</v>
      </c>
      <c r="Y182" s="239" t="str">
        <f>IF('CCUS Projects Database'!$R182&lt;&gt;"",HYPERLINK('CCUS Projects Database'!$R182,"Link 1"),"")</f>
        <v/>
      </c>
      <c r="Z182" s="239" t="str">
        <f>IF('CCUS Projects Database'!$S182&lt;&gt;"",HYPERLINK('CCUS Projects Database'!$S182,"Link 2"),"")</f>
        <v/>
      </c>
      <c r="AA182" s="239" t="str">
        <f>IF('CCUS Projects Database'!$T182&lt;&gt;"",HYPERLINK('CCUS Projects Database'!$T182,"Link 3"),"")</f>
        <v/>
      </c>
      <c r="AB182" s="239" t="str">
        <f>IF('CCUS Projects Database'!$U182&lt;&gt;"",HYPERLINK('CCUS Projects Database'!$U182,"Link 4"),"")</f>
        <v/>
      </c>
      <c r="AC182" s="239" t="str">
        <f>IF('CCUS Projects Database'!$V182&lt;&gt;"",HYPERLINK('CCUS Projects Database'!$V182,"Link 5"),"")</f>
        <v/>
      </c>
      <c r="AD182" s="239" t="str">
        <f>IF('CCUS Projects Database'!$W182&lt;&gt;"",HYPERLINK('CCUS Projects Database'!$W182,"Link 6"),"")</f>
        <v/>
      </c>
      <c r="AE182" s="239" t="str">
        <f>IF('CCUS Projects Database'!$X182&lt;&gt;"",HYPERLINK('CCUS Projects Database'!$X182,"Link 7"),"")</f>
        <v/>
      </c>
    </row>
    <row r="183" ht="14.25" customHeight="1">
      <c r="A183" s="233" t="s">
        <v>19472</v>
      </c>
      <c r="B183" s="234">
        <v>226.0</v>
      </c>
      <c r="C183" s="234" t="s">
        <v>83</v>
      </c>
      <c r="D183" s="235" t="s">
        <v>19473</v>
      </c>
      <c r="E183" s="234" t="s">
        <v>18618</v>
      </c>
      <c r="F183" s="234">
        <v>2021.0</v>
      </c>
      <c r="G183" s="234" t="s">
        <v>18725</v>
      </c>
      <c r="H183" s="234">
        <v>2030.0</v>
      </c>
      <c r="I183" s="234" t="s">
        <v>18725</v>
      </c>
      <c r="J183" s="234" t="s">
        <v>18636</v>
      </c>
      <c r="K183" s="236" t="s">
        <v>18725</v>
      </c>
      <c r="L183" s="236">
        <v>1.0</v>
      </c>
      <c r="M183" s="236">
        <v>1.0</v>
      </c>
      <c r="N183" s="234" t="s">
        <v>677</v>
      </c>
      <c r="O183" s="237" t="s">
        <v>18675</v>
      </c>
      <c r="P183" s="238" t="s">
        <v>18746</v>
      </c>
      <c r="Q183" s="234" t="s">
        <v>18726</v>
      </c>
      <c r="R183" s="238" t="s">
        <v>16677</v>
      </c>
      <c r="S183" s="238" t="s">
        <v>19474</v>
      </c>
      <c r="T183" s="238" t="s">
        <v>18725</v>
      </c>
      <c r="U183" s="238" t="s">
        <v>18725</v>
      </c>
      <c r="V183" s="238" t="s">
        <v>18725</v>
      </c>
      <c r="W183" s="238" t="s">
        <v>18725</v>
      </c>
      <c r="X183" s="238" t="s">
        <v>18725</v>
      </c>
      <c r="Y183" s="239" t="str">
        <f>IF('CCUS Projects Database'!$R183&lt;&gt;"",HYPERLINK('CCUS Projects Database'!$R183,"Link 1"),"")</f>
        <v>Link 1</v>
      </c>
      <c r="Z183" s="239" t="str">
        <f>IF('CCUS Projects Database'!$S183&lt;&gt;"",HYPERLINK('CCUS Projects Database'!$S183,"Link 2"),"")</f>
        <v>Link 2</v>
      </c>
      <c r="AA183" s="239" t="str">
        <f>IF('CCUS Projects Database'!$T183&lt;&gt;"",HYPERLINK('CCUS Projects Database'!$T183,"Link 3"),"")</f>
        <v/>
      </c>
      <c r="AB183" s="239" t="str">
        <f>IF('CCUS Projects Database'!$U183&lt;&gt;"",HYPERLINK('CCUS Projects Database'!$U183,"Link 4"),"")</f>
        <v/>
      </c>
      <c r="AC183" s="239" t="str">
        <f>IF('CCUS Projects Database'!$V183&lt;&gt;"",HYPERLINK('CCUS Projects Database'!$V183,"Link 5"),"")</f>
        <v/>
      </c>
      <c r="AD183" s="239" t="str">
        <f>IF('CCUS Projects Database'!$W183&lt;&gt;"",HYPERLINK('CCUS Projects Database'!$W183,"Link 6"),"")</f>
        <v/>
      </c>
      <c r="AE183" s="239" t="str">
        <f>IF('CCUS Projects Database'!$X183&lt;&gt;"",HYPERLINK('CCUS Projects Database'!$X183,"Link 7"),"")</f>
        <v/>
      </c>
    </row>
    <row r="184" ht="14.25" customHeight="1">
      <c r="A184" s="233" t="s">
        <v>19475</v>
      </c>
      <c r="B184" s="234">
        <v>227.0</v>
      </c>
      <c r="C184" s="234" t="s">
        <v>18287</v>
      </c>
      <c r="D184" s="235" t="s">
        <v>19476</v>
      </c>
      <c r="E184" s="234" t="s">
        <v>18616</v>
      </c>
      <c r="F184" s="234">
        <v>2018.0</v>
      </c>
      <c r="G184" s="234" t="s">
        <v>18725</v>
      </c>
      <c r="H184" s="234">
        <v>2027.0</v>
      </c>
      <c r="I184" s="234" t="s">
        <v>18725</v>
      </c>
      <c r="J184" s="234" t="s">
        <v>18636</v>
      </c>
      <c r="K184" s="236" t="s">
        <v>18725</v>
      </c>
      <c r="L184" s="236">
        <v>2.41</v>
      </c>
      <c r="M184" s="236">
        <v>2.41</v>
      </c>
      <c r="N184" s="234" t="s">
        <v>18656</v>
      </c>
      <c r="O184" s="237" t="s">
        <v>18683</v>
      </c>
      <c r="P184" s="238" t="s">
        <v>18725</v>
      </c>
      <c r="Q184" s="234" t="s">
        <v>18856</v>
      </c>
      <c r="R184" s="238" t="s">
        <v>19477</v>
      </c>
      <c r="S184" s="238" t="s">
        <v>19478</v>
      </c>
      <c r="T184" s="238" t="s">
        <v>19479</v>
      </c>
      <c r="U184" s="238" t="s">
        <v>18725</v>
      </c>
      <c r="V184" s="238" t="s">
        <v>18725</v>
      </c>
      <c r="W184" s="238" t="s">
        <v>18725</v>
      </c>
      <c r="X184" s="238" t="s">
        <v>18725</v>
      </c>
      <c r="Y184" s="239" t="str">
        <f>IF('CCUS Projects Database'!$R184&lt;&gt;"",HYPERLINK('CCUS Projects Database'!$R184,"Link 1"),"")</f>
        <v>Link 1</v>
      </c>
      <c r="Z184" s="239" t="str">
        <f>IF('CCUS Projects Database'!$S184&lt;&gt;"",HYPERLINK('CCUS Projects Database'!$S184,"Link 2"),"")</f>
        <v>Link 2</v>
      </c>
      <c r="AA184" s="239" t="str">
        <f>IF('CCUS Projects Database'!$T184&lt;&gt;"",HYPERLINK('CCUS Projects Database'!$T184,"Link 3"),"")</f>
        <v>Link 3</v>
      </c>
      <c r="AB184" s="239" t="str">
        <f>IF('CCUS Projects Database'!$U184&lt;&gt;"",HYPERLINK('CCUS Projects Database'!$U184,"Link 4"),"")</f>
        <v/>
      </c>
      <c r="AC184" s="239" t="str">
        <f>IF('CCUS Projects Database'!$V184&lt;&gt;"",HYPERLINK('CCUS Projects Database'!$V184,"Link 5"),"")</f>
        <v/>
      </c>
      <c r="AD184" s="239" t="str">
        <f>IF('CCUS Projects Database'!$W184&lt;&gt;"",HYPERLINK('CCUS Projects Database'!$W184,"Link 6"),"")</f>
        <v/>
      </c>
      <c r="AE184" s="239" t="str">
        <f>IF('CCUS Projects Database'!$X184&lt;&gt;"",HYPERLINK('CCUS Projects Database'!$X184,"Link 7"),"")</f>
        <v/>
      </c>
    </row>
    <row r="185" ht="14.25" customHeight="1">
      <c r="A185" s="233" t="s">
        <v>19480</v>
      </c>
      <c r="B185" s="234">
        <v>228.0</v>
      </c>
      <c r="C185" s="234" t="s">
        <v>18586</v>
      </c>
      <c r="D185" s="235" t="s">
        <v>19481</v>
      </c>
      <c r="E185" s="234" t="s">
        <v>18623</v>
      </c>
      <c r="F185" s="234">
        <v>2017.0</v>
      </c>
      <c r="G185" s="234" t="s">
        <v>18725</v>
      </c>
      <c r="H185" s="234" t="s">
        <v>18725</v>
      </c>
      <c r="I185" s="234">
        <v>2021.0</v>
      </c>
      <c r="J185" s="234" t="s">
        <v>18192</v>
      </c>
      <c r="K185" s="236" t="s">
        <v>18725</v>
      </c>
      <c r="L185" s="236">
        <v>1.9</v>
      </c>
      <c r="M185" s="236">
        <v>1.9</v>
      </c>
      <c r="N185" s="234" t="s">
        <v>18623</v>
      </c>
      <c r="O185" s="237" t="s">
        <v>18675</v>
      </c>
      <c r="P185" s="238" t="s">
        <v>19480</v>
      </c>
      <c r="Q185" s="234" t="s">
        <v>18732</v>
      </c>
      <c r="R185" s="238" t="s">
        <v>19482</v>
      </c>
      <c r="S185" s="238" t="s">
        <v>18725</v>
      </c>
      <c r="T185" s="238" t="s">
        <v>18725</v>
      </c>
      <c r="U185" s="238" t="s">
        <v>18725</v>
      </c>
      <c r="V185" s="238" t="s">
        <v>18725</v>
      </c>
      <c r="W185" s="238" t="s">
        <v>18725</v>
      </c>
      <c r="X185" s="238" t="s">
        <v>18725</v>
      </c>
      <c r="Y185" s="239" t="str">
        <f>IF('CCUS Projects Database'!$R185&lt;&gt;"",HYPERLINK('CCUS Projects Database'!$R185,"Link 1"),"")</f>
        <v>Link 1</v>
      </c>
      <c r="Z185" s="239" t="str">
        <f>IF('CCUS Projects Database'!$S185&lt;&gt;"",HYPERLINK('CCUS Projects Database'!$S185,"Link 2"),"")</f>
        <v/>
      </c>
      <c r="AA185" s="239" t="str">
        <f>IF('CCUS Projects Database'!$T185&lt;&gt;"",HYPERLINK('CCUS Projects Database'!$T185,"Link 3"),"")</f>
        <v/>
      </c>
      <c r="AB185" s="239" t="str">
        <f>IF('CCUS Projects Database'!$U185&lt;&gt;"",HYPERLINK('CCUS Projects Database'!$U185,"Link 4"),"")</f>
        <v/>
      </c>
      <c r="AC185" s="239" t="str">
        <f>IF('CCUS Projects Database'!$V185&lt;&gt;"",HYPERLINK('CCUS Projects Database'!$V185,"Link 5"),"")</f>
        <v/>
      </c>
      <c r="AD185" s="239" t="str">
        <f>IF('CCUS Projects Database'!$W185&lt;&gt;"",HYPERLINK('CCUS Projects Database'!$W185,"Link 6"),"")</f>
        <v/>
      </c>
      <c r="AE185" s="239" t="str">
        <f>IF('CCUS Projects Database'!$X185&lt;&gt;"",HYPERLINK('CCUS Projects Database'!$X185,"Link 7"),"")</f>
        <v/>
      </c>
    </row>
    <row r="186" ht="14.25" customHeight="1">
      <c r="A186" s="233" t="s">
        <v>19483</v>
      </c>
      <c r="B186" s="234">
        <v>229.0</v>
      </c>
      <c r="C186" s="234" t="s">
        <v>18264</v>
      </c>
      <c r="D186" s="235" t="s">
        <v>19484</v>
      </c>
      <c r="E186" s="234" t="s">
        <v>18616</v>
      </c>
      <c r="F186" s="234">
        <v>2021.0</v>
      </c>
      <c r="G186" s="234" t="s">
        <v>18725</v>
      </c>
      <c r="H186" s="234">
        <v>2027.0</v>
      </c>
      <c r="I186" s="234">
        <v>2024.0</v>
      </c>
      <c r="J186" s="234" t="s">
        <v>18192</v>
      </c>
      <c r="K186" s="236" t="s">
        <v>18725</v>
      </c>
      <c r="L186" s="236" t="s">
        <v>18725</v>
      </c>
      <c r="M186" s="236" t="s">
        <v>18725</v>
      </c>
      <c r="N186" s="234" t="s">
        <v>18731</v>
      </c>
      <c r="O186" s="237" t="s">
        <v>18675</v>
      </c>
      <c r="P186" s="238" t="s">
        <v>18725</v>
      </c>
      <c r="Q186" s="234" t="s">
        <v>18732</v>
      </c>
      <c r="R186" s="238" t="s">
        <v>19485</v>
      </c>
      <c r="S186" s="238" t="s">
        <v>19486</v>
      </c>
      <c r="T186" s="238" t="s">
        <v>18725</v>
      </c>
      <c r="U186" s="238" t="s">
        <v>18725</v>
      </c>
      <c r="V186" s="238" t="s">
        <v>18725</v>
      </c>
      <c r="W186" s="238" t="s">
        <v>18725</v>
      </c>
      <c r="X186" s="238" t="s">
        <v>18725</v>
      </c>
      <c r="Y186" s="239" t="str">
        <f>IF('CCUS Projects Database'!$R186&lt;&gt;"",HYPERLINK('CCUS Projects Database'!$R186,"Link 1"),"")</f>
        <v>Link 1</v>
      </c>
      <c r="Z186" s="239" t="str">
        <f>IF('CCUS Projects Database'!$S186&lt;&gt;"",HYPERLINK('CCUS Projects Database'!$S186,"Link 2"),"")</f>
        <v>Link 2</v>
      </c>
      <c r="AA186" s="239" t="str">
        <f>IF('CCUS Projects Database'!$T186&lt;&gt;"",HYPERLINK('CCUS Projects Database'!$T186,"Link 3"),"")</f>
        <v/>
      </c>
      <c r="AB186" s="239" t="str">
        <f>IF('CCUS Projects Database'!$U186&lt;&gt;"",HYPERLINK('CCUS Projects Database'!$U186,"Link 4"),"")</f>
        <v/>
      </c>
      <c r="AC186" s="239" t="str">
        <f>IF('CCUS Projects Database'!$V186&lt;&gt;"",HYPERLINK('CCUS Projects Database'!$V186,"Link 5"),"")</f>
        <v/>
      </c>
      <c r="AD186" s="239" t="str">
        <f>IF('CCUS Projects Database'!$W186&lt;&gt;"",HYPERLINK('CCUS Projects Database'!$W186,"Link 6"),"")</f>
        <v/>
      </c>
      <c r="AE186" s="239" t="str">
        <f>IF('CCUS Projects Database'!$X186&lt;&gt;"",HYPERLINK('CCUS Projects Database'!$X186,"Link 7"),"")</f>
        <v/>
      </c>
    </row>
    <row r="187" ht="14.25" customHeight="1">
      <c r="A187" s="233" t="s">
        <v>19487</v>
      </c>
      <c r="B187" s="234">
        <v>230.0</v>
      </c>
      <c r="C187" s="234" t="s">
        <v>18287</v>
      </c>
      <c r="D187" s="235" t="s">
        <v>19488</v>
      </c>
      <c r="E187" s="234" t="s">
        <v>18616</v>
      </c>
      <c r="F187" s="234">
        <v>2020.0</v>
      </c>
      <c r="G187" s="234">
        <v>2025.0</v>
      </c>
      <c r="H187" s="234">
        <v>2026.0</v>
      </c>
      <c r="I187" s="234" t="s">
        <v>18725</v>
      </c>
      <c r="J187" s="234" t="s">
        <v>18636</v>
      </c>
      <c r="K187" s="236" t="s">
        <v>18725</v>
      </c>
      <c r="L187" s="236" t="s">
        <v>19489</v>
      </c>
      <c r="M187" s="236">
        <v>0.93</v>
      </c>
      <c r="N187" s="234" t="s">
        <v>18656</v>
      </c>
      <c r="O187" s="237" t="s">
        <v>18677</v>
      </c>
      <c r="P187" s="238" t="s">
        <v>18725</v>
      </c>
      <c r="Q187" s="234" t="s">
        <v>18856</v>
      </c>
      <c r="R187" s="238" t="s">
        <v>19490</v>
      </c>
      <c r="S187" s="238" t="s">
        <v>19491</v>
      </c>
      <c r="T187" s="238" t="s">
        <v>18725</v>
      </c>
      <c r="U187" s="238" t="s">
        <v>18725</v>
      </c>
      <c r="V187" s="238" t="s">
        <v>18725</v>
      </c>
      <c r="W187" s="238" t="s">
        <v>18725</v>
      </c>
      <c r="X187" s="238" t="s">
        <v>18725</v>
      </c>
      <c r="Y187" s="239" t="str">
        <f>IF('CCUS Projects Database'!$R187&lt;&gt;"",HYPERLINK('CCUS Projects Database'!$R187,"Link 1"),"")</f>
        <v>Link 1</v>
      </c>
      <c r="Z187" s="239" t="str">
        <f>IF('CCUS Projects Database'!$S187&lt;&gt;"",HYPERLINK('CCUS Projects Database'!$S187,"Link 2"),"")</f>
        <v>Link 2</v>
      </c>
      <c r="AA187" s="239" t="str">
        <f>IF('CCUS Projects Database'!$T187&lt;&gt;"",HYPERLINK('CCUS Projects Database'!$T187,"Link 3"),"")</f>
        <v/>
      </c>
      <c r="AB187" s="239" t="str">
        <f>IF('CCUS Projects Database'!$U187&lt;&gt;"",HYPERLINK('CCUS Projects Database'!$U187,"Link 4"),"")</f>
        <v/>
      </c>
      <c r="AC187" s="239" t="str">
        <f>IF('CCUS Projects Database'!$V187&lt;&gt;"",HYPERLINK('CCUS Projects Database'!$V187,"Link 5"),"")</f>
        <v/>
      </c>
      <c r="AD187" s="239" t="str">
        <f>IF('CCUS Projects Database'!$W187&lt;&gt;"",HYPERLINK('CCUS Projects Database'!$W187,"Link 6"),"")</f>
        <v/>
      </c>
      <c r="AE187" s="239" t="str">
        <f>IF('CCUS Projects Database'!$X187&lt;&gt;"",HYPERLINK('CCUS Projects Database'!$X187,"Link 7"),"")</f>
        <v/>
      </c>
    </row>
    <row r="188" ht="14.25" customHeight="1">
      <c r="A188" s="233" t="s">
        <v>19492</v>
      </c>
      <c r="B188" s="234">
        <v>231.0</v>
      </c>
      <c r="C188" s="234" t="s">
        <v>18586</v>
      </c>
      <c r="D188" s="235" t="s">
        <v>19493</v>
      </c>
      <c r="E188" s="234" t="s">
        <v>18618</v>
      </c>
      <c r="F188" s="234">
        <v>2022.0</v>
      </c>
      <c r="G188" s="234" t="s">
        <v>18725</v>
      </c>
      <c r="H188" s="234">
        <v>2030.0</v>
      </c>
      <c r="I188" s="234" t="s">
        <v>18725</v>
      </c>
      <c r="J188" s="234" t="s">
        <v>18636</v>
      </c>
      <c r="K188" s="236" t="s">
        <v>18725</v>
      </c>
      <c r="L188" s="236">
        <v>0.5</v>
      </c>
      <c r="M188" s="236">
        <v>0.5</v>
      </c>
      <c r="N188" s="234" t="s">
        <v>18654</v>
      </c>
      <c r="O188" s="237" t="s">
        <v>18683</v>
      </c>
      <c r="P188" s="238" t="s">
        <v>18725</v>
      </c>
      <c r="Q188" s="234" t="s">
        <v>18732</v>
      </c>
      <c r="R188" s="238" t="s">
        <v>19494</v>
      </c>
      <c r="S188" s="238" t="s">
        <v>19495</v>
      </c>
      <c r="T188" s="238" t="s">
        <v>19496</v>
      </c>
      <c r="U188" s="238" t="s">
        <v>18725</v>
      </c>
      <c r="V188" s="238" t="s">
        <v>18725</v>
      </c>
      <c r="W188" s="238" t="s">
        <v>18725</v>
      </c>
      <c r="X188" s="238" t="s">
        <v>18725</v>
      </c>
      <c r="Y188" s="239" t="str">
        <f>IF('CCUS Projects Database'!$R188&lt;&gt;"",HYPERLINK('CCUS Projects Database'!$R188,"Link 1"),"")</f>
        <v>Link 1</v>
      </c>
      <c r="Z188" s="239" t="str">
        <f>IF('CCUS Projects Database'!$S188&lt;&gt;"",HYPERLINK('CCUS Projects Database'!$S188,"Link 2"),"")</f>
        <v>Link 2</v>
      </c>
      <c r="AA188" s="239" t="str">
        <f>IF('CCUS Projects Database'!$T188&lt;&gt;"",HYPERLINK('CCUS Projects Database'!$T188,"Link 3"),"")</f>
        <v>Link 3</v>
      </c>
      <c r="AB188" s="239" t="str">
        <f>IF('CCUS Projects Database'!$U188&lt;&gt;"",HYPERLINK('CCUS Projects Database'!$U188,"Link 4"),"")</f>
        <v/>
      </c>
      <c r="AC188" s="239" t="str">
        <f>IF('CCUS Projects Database'!$V188&lt;&gt;"",HYPERLINK('CCUS Projects Database'!$V188,"Link 5"),"")</f>
        <v/>
      </c>
      <c r="AD188" s="239" t="str">
        <f>IF('CCUS Projects Database'!$W188&lt;&gt;"",HYPERLINK('CCUS Projects Database'!$W188,"Link 6"),"")</f>
        <v/>
      </c>
      <c r="AE188" s="239" t="str">
        <f>IF('CCUS Projects Database'!$X188&lt;&gt;"",HYPERLINK('CCUS Projects Database'!$X188,"Link 7"),"")</f>
        <v/>
      </c>
    </row>
    <row r="189" ht="14.25" customHeight="1">
      <c r="A189" s="233" t="s">
        <v>19497</v>
      </c>
      <c r="B189" s="234">
        <v>232.0</v>
      </c>
      <c r="C189" s="234" t="s">
        <v>18586</v>
      </c>
      <c r="D189" s="235" t="s">
        <v>19498</v>
      </c>
      <c r="E189" s="234" t="s">
        <v>18618</v>
      </c>
      <c r="F189" s="234">
        <v>2021.0</v>
      </c>
      <c r="G189" s="234" t="s">
        <v>18725</v>
      </c>
      <c r="H189" s="234" t="s">
        <v>18725</v>
      </c>
      <c r="I189" s="234" t="s">
        <v>18725</v>
      </c>
      <c r="J189" s="234" t="s">
        <v>18636</v>
      </c>
      <c r="K189" s="236" t="s">
        <v>18725</v>
      </c>
      <c r="L189" s="236" t="s">
        <v>18725</v>
      </c>
      <c r="M189" s="236" t="s">
        <v>18725</v>
      </c>
      <c r="N189" s="234" t="s">
        <v>18731</v>
      </c>
      <c r="O189" s="237" t="s">
        <v>18683</v>
      </c>
      <c r="P189" s="238" t="s">
        <v>18725</v>
      </c>
      <c r="Q189" s="234" t="s">
        <v>18732</v>
      </c>
      <c r="R189" s="238" t="s">
        <v>19499</v>
      </c>
      <c r="S189" s="238" t="s">
        <v>19500</v>
      </c>
      <c r="T189" s="238" t="s">
        <v>18725</v>
      </c>
      <c r="U189" s="238" t="s">
        <v>18725</v>
      </c>
      <c r="V189" s="238" t="s">
        <v>18725</v>
      </c>
      <c r="W189" s="238" t="s">
        <v>18725</v>
      </c>
      <c r="X189" s="238" t="s">
        <v>18725</v>
      </c>
      <c r="Y189" s="239" t="str">
        <f>IF('CCUS Projects Database'!$R189&lt;&gt;"",HYPERLINK('CCUS Projects Database'!$R189,"Link 1"),"")</f>
        <v>Link 1</v>
      </c>
      <c r="Z189" s="239" t="str">
        <f>IF('CCUS Projects Database'!$S189&lt;&gt;"",HYPERLINK('CCUS Projects Database'!$S189,"Link 2"),"")</f>
        <v>Link 2</v>
      </c>
      <c r="AA189" s="239" t="str">
        <f>IF('CCUS Projects Database'!$T189&lt;&gt;"",HYPERLINK('CCUS Projects Database'!$T189,"Link 3"),"")</f>
        <v/>
      </c>
      <c r="AB189" s="239" t="str">
        <f>IF('CCUS Projects Database'!$U189&lt;&gt;"",HYPERLINK('CCUS Projects Database'!$U189,"Link 4"),"")</f>
        <v/>
      </c>
      <c r="AC189" s="239" t="str">
        <f>IF('CCUS Projects Database'!$V189&lt;&gt;"",HYPERLINK('CCUS Projects Database'!$V189,"Link 5"),"")</f>
        <v/>
      </c>
      <c r="AD189" s="239" t="str">
        <f>IF('CCUS Projects Database'!$W189&lt;&gt;"",HYPERLINK('CCUS Projects Database'!$W189,"Link 6"),"")</f>
        <v/>
      </c>
      <c r="AE189" s="239" t="str">
        <f>IF('CCUS Projects Database'!$X189&lt;&gt;"",HYPERLINK('CCUS Projects Database'!$X189,"Link 7"),"")</f>
        <v/>
      </c>
    </row>
    <row r="190" ht="14.25" customHeight="1">
      <c r="A190" s="233" t="s">
        <v>19501</v>
      </c>
      <c r="B190" s="234">
        <v>233.0</v>
      </c>
      <c r="C190" s="234" t="s">
        <v>18360</v>
      </c>
      <c r="D190" s="235" t="s">
        <v>19502</v>
      </c>
      <c r="E190" s="234" t="s">
        <v>18625</v>
      </c>
      <c r="F190" s="234">
        <v>2021.0</v>
      </c>
      <c r="G190" s="234" t="s">
        <v>18725</v>
      </c>
      <c r="H190" s="234">
        <v>2023.0</v>
      </c>
      <c r="I190" s="234" t="s">
        <v>18725</v>
      </c>
      <c r="J190" s="234" t="s">
        <v>12385</v>
      </c>
      <c r="K190" s="236" t="s">
        <v>18725</v>
      </c>
      <c r="L190" s="236" t="s">
        <v>19503</v>
      </c>
      <c r="M190" s="236">
        <v>0.16</v>
      </c>
      <c r="N190" s="234" t="s">
        <v>677</v>
      </c>
      <c r="O190" s="237" t="s">
        <v>18679</v>
      </c>
      <c r="P190" s="238" t="s">
        <v>18725</v>
      </c>
      <c r="Q190" s="234" t="s">
        <v>18856</v>
      </c>
      <c r="R190" s="238" t="s">
        <v>19504</v>
      </c>
      <c r="S190" s="238" t="s">
        <v>19505</v>
      </c>
      <c r="T190" s="238" t="s">
        <v>18725</v>
      </c>
      <c r="U190" s="238" t="s">
        <v>18725</v>
      </c>
      <c r="V190" s="238" t="s">
        <v>18725</v>
      </c>
      <c r="W190" s="238" t="s">
        <v>18725</v>
      </c>
      <c r="X190" s="238" t="s">
        <v>18725</v>
      </c>
      <c r="Y190" s="239" t="str">
        <f>IF('CCUS Projects Database'!$R190&lt;&gt;"",HYPERLINK('CCUS Projects Database'!$R190,"Link 1"),"")</f>
        <v>Link 1</v>
      </c>
      <c r="Z190" s="239" t="str">
        <f>IF('CCUS Projects Database'!$S190&lt;&gt;"",HYPERLINK('CCUS Projects Database'!$S190,"Link 2"),"")</f>
        <v>Link 2</v>
      </c>
      <c r="AA190" s="239" t="str">
        <f>IF('CCUS Projects Database'!$T190&lt;&gt;"",HYPERLINK('CCUS Projects Database'!$T190,"Link 3"),"")</f>
        <v/>
      </c>
      <c r="AB190" s="239" t="str">
        <f>IF('CCUS Projects Database'!$U190&lt;&gt;"",HYPERLINK('CCUS Projects Database'!$U190,"Link 4"),"")</f>
        <v/>
      </c>
      <c r="AC190" s="239" t="str">
        <f>IF('CCUS Projects Database'!$V190&lt;&gt;"",HYPERLINK('CCUS Projects Database'!$V190,"Link 5"),"")</f>
        <v/>
      </c>
      <c r="AD190" s="239" t="str">
        <f>IF('CCUS Projects Database'!$W190&lt;&gt;"",HYPERLINK('CCUS Projects Database'!$W190,"Link 6"),"")</f>
        <v/>
      </c>
      <c r="AE190" s="239" t="str">
        <f>IF('CCUS Projects Database'!$X190&lt;&gt;"",HYPERLINK('CCUS Projects Database'!$X190,"Link 7"),"")</f>
        <v/>
      </c>
    </row>
    <row r="191" ht="14.25" customHeight="1">
      <c r="A191" s="233" t="s">
        <v>19506</v>
      </c>
      <c r="B191" s="234">
        <v>236.0</v>
      </c>
      <c r="C191" s="234" t="s">
        <v>120</v>
      </c>
      <c r="D191" s="235" t="s">
        <v>19507</v>
      </c>
      <c r="E191" s="234" t="s">
        <v>18618</v>
      </c>
      <c r="F191" s="234">
        <v>2021.0</v>
      </c>
      <c r="G191" s="234" t="s">
        <v>18725</v>
      </c>
      <c r="H191" s="234">
        <v>2028.0</v>
      </c>
      <c r="I191" s="234" t="s">
        <v>18725</v>
      </c>
      <c r="J191" s="234" t="s">
        <v>18636</v>
      </c>
      <c r="K191" s="236" t="s">
        <v>18725</v>
      </c>
      <c r="L191" s="236">
        <v>0.81</v>
      </c>
      <c r="M191" s="236">
        <v>0.81</v>
      </c>
      <c r="N191" s="234" t="s">
        <v>18663</v>
      </c>
      <c r="O191" s="237" t="s">
        <v>18675</v>
      </c>
      <c r="P191" s="238" t="s">
        <v>19508</v>
      </c>
      <c r="Q191" s="234" t="s">
        <v>18726</v>
      </c>
      <c r="R191" s="238" t="s">
        <v>16573</v>
      </c>
      <c r="S191" s="238" t="s">
        <v>19509</v>
      </c>
      <c r="T191" s="238" t="s">
        <v>18725</v>
      </c>
      <c r="U191" s="238" t="s">
        <v>18725</v>
      </c>
      <c r="V191" s="238" t="s">
        <v>18725</v>
      </c>
      <c r="W191" s="238" t="s">
        <v>18725</v>
      </c>
      <c r="X191" s="238" t="s">
        <v>18725</v>
      </c>
      <c r="Y191" s="239" t="str">
        <f>IF('CCUS Projects Database'!$R191&lt;&gt;"",HYPERLINK('CCUS Projects Database'!$R191,"Link 1"),"")</f>
        <v>Link 1</v>
      </c>
      <c r="Z191" s="239" t="str">
        <f>IF('CCUS Projects Database'!$S191&lt;&gt;"",HYPERLINK('CCUS Projects Database'!$S191,"Link 2"),"")</f>
        <v>Link 2</v>
      </c>
      <c r="AA191" s="239" t="str">
        <f>IF('CCUS Projects Database'!$T191&lt;&gt;"",HYPERLINK('CCUS Projects Database'!$T191,"Link 3"),"")</f>
        <v/>
      </c>
      <c r="AB191" s="239" t="str">
        <f>IF('CCUS Projects Database'!$U191&lt;&gt;"",HYPERLINK('CCUS Projects Database'!$U191,"Link 4"),"")</f>
        <v/>
      </c>
      <c r="AC191" s="239" t="str">
        <f>IF('CCUS Projects Database'!$V191&lt;&gt;"",HYPERLINK('CCUS Projects Database'!$V191,"Link 5"),"")</f>
        <v/>
      </c>
      <c r="AD191" s="239" t="str">
        <f>IF('CCUS Projects Database'!$W191&lt;&gt;"",HYPERLINK('CCUS Projects Database'!$W191,"Link 6"),"")</f>
        <v/>
      </c>
      <c r="AE191" s="239" t="str">
        <f>IF('CCUS Projects Database'!$X191&lt;&gt;"",HYPERLINK('CCUS Projects Database'!$X191,"Link 7"),"")</f>
        <v/>
      </c>
    </row>
    <row r="192" ht="14.25" customHeight="1">
      <c r="A192" s="233" t="s">
        <v>19510</v>
      </c>
      <c r="B192" s="234">
        <v>237.0</v>
      </c>
      <c r="C192" s="234" t="s">
        <v>161</v>
      </c>
      <c r="D192" s="235" t="s">
        <v>19511</v>
      </c>
      <c r="E192" s="234" t="s">
        <v>18618</v>
      </c>
      <c r="F192" s="234">
        <v>2021.0</v>
      </c>
      <c r="G192" s="234" t="s">
        <v>18725</v>
      </c>
      <c r="H192" s="234">
        <v>2027.0</v>
      </c>
      <c r="I192" s="234" t="s">
        <v>18725</v>
      </c>
      <c r="J192" s="234" t="s">
        <v>18636</v>
      </c>
      <c r="K192" s="236" t="s">
        <v>18725</v>
      </c>
      <c r="L192" s="236">
        <v>1.42</v>
      </c>
      <c r="M192" s="236">
        <v>1.42</v>
      </c>
      <c r="N192" s="234" t="s">
        <v>677</v>
      </c>
      <c r="O192" s="237" t="s">
        <v>18675</v>
      </c>
      <c r="P192" s="238" t="s">
        <v>18725</v>
      </c>
      <c r="Q192" s="234" t="s">
        <v>18726</v>
      </c>
      <c r="R192" s="238" t="s">
        <v>16573</v>
      </c>
      <c r="S192" s="238" t="s">
        <v>19512</v>
      </c>
      <c r="T192" s="238" t="s">
        <v>19513</v>
      </c>
      <c r="U192" s="238" t="s">
        <v>19514</v>
      </c>
      <c r="V192" s="238" t="s">
        <v>18725</v>
      </c>
      <c r="W192" s="238" t="s">
        <v>18725</v>
      </c>
      <c r="X192" s="238" t="s">
        <v>18725</v>
      </c>
      <c r="Y192" s="239" t="str">
        <f>IF('CCUS Projects Database'!$R192&lt;&gt;"",HYPERLINK('CCUS Projects Database'!$R192,"Link 1"),"")</f>
        <v>Link 1</v>
      </c>
      <c r="Z192" s="239" t="str">
        <f>IF('CCUS Projects Database'!$S192&lt;&gt;"",HYPERLINK('CCUS Projects Database'!$S192,"Link 2"),"")</f>
        <v>Link 2</v>
      </c>
      <c r="AA192" s="239" t="str">
        <f>IF('CCUS Projects Database'!$T192&lt;&gt;"",HYPERLINK('CCUS Projects Database'!$T192,"Link 3"),"")</f>
        <v>Link 3</v>
      </c>
      <c r="AB192" s="239" t="str">
        <f>IF('CCUS Projects Database'!$U192&lt;&gt;"",HYPERLINK('CCUS Projects Database'!$U192,"Link 4"),"")</f>
        <v>Link 4</v>
      </c>
      <c r="AC192" s="239" t="str">
        <f>IF('CCUS Projects Database'!$V192&lt;&gt;"",HYPERLINK('CCUS Projects Database'!$V192,"Link 5"),"")</f>
        <v/>
      </c>
      <c r="AD192" s="239" t="str">
        <f>IF('CCUS Projects Database'!$W192&lt;&gt;"",HYPERLINK('CCUS Projects Database'!$W192,"Link 6"),"")</f>
        <v/>
      </c>
      <c r="AE192" s="239" t="str">
        <f>IF('CCUS Projects Database'!$X192&lt;&gt;"",HYPERLINK('CCUS Projects Database'!$X192,"Link 7"),"")</f>
        <v/>
      </c>
    </row>
    <row r="193" ht="14.25" customHeight="1">
      <c r="A193" s="233" t="s">
        <v>19515</v>
      </c>
      <c r="B193" s="234">
        <v>238.0</v>
      </c>
      <c r="C193" s="234" t="s">
        <v>18360</v>
      </c>
      <c r="D193" s="235" t="s">
        <v>19516</v>
      </c>
      <c r="E193" s="234" t="s">
        <v>18616</v>
      </c>
      <c r="F193" s="234" t="s">
        <v>18725</v>
      </c>
      <c r="G193" s="234" t="s">
        <v>18725</v>
      </c>
      <c r="H193" s="234">
        <v>2015.0</v>
      </c>
      <c r="I193" s="234" t="s">
        <v>18725</v>
      </c>
      <c r="J193" s="234" t="s">
        <v>12385</v>
      </c>
      <c r="K193" s="236" t="s">
        <v>18725</v>
      </c>
      <c r="L193" s="236">
        <v>0.1</v>
      </c>
      <c r="M193" s="236">
        <v>0.1</v>
      </c>
      <c r="N193" s="234" t="s">
        <v>677</v>
      </c>
      <c r="O193" s="237" t="s">
        <v>18677</v>
      </c>
      <c r="P193" s="238" t="s">
        <v>18725</v>
      </c>
      <c r="Q193" s="234" t="s">
        <v>18856</v>
      </c>
      <c r="R193" s="238" t="s">
        <v>19517</v>
      </c>
      <c r="S193" s="238" t="s">
        <v>19518</v>
      </c>
      <c r="T193" s="238" t="s">
        <v>19519</v>
      </c>
      <c r="U193" s="238" t="s">
        <v>19030</v>
      </c>
      <c r="V193" s="238" t="s">
        <v>18725</v>
      </c>
      <c r="W193" s="238" t="s">
        <v>18725</v>
      </c>
      <c r="X193" s="238" t="s">
        <v>18725</v>
      </c>
      <c r="Y193" s="239" t="str">
        <f>IF('CCUS Projects Database'!$R193&lt;&gt;"",HYPERLINK('CCUS Projects Database'!$R193,"Link 1"),"")</f>
        <v>Link 1</v>
      </c>
      <c r="Z193" s="239" t="str">
        <f>IF('CCUS Projects Database'!$S193&lt;&gt;"",HYPERLINK('CCUS Projects Database'!$S193,"Link 2"),"")</f>
        <v>Link 2</v>
      </c>
      <c r="AA193" s="239" t="str">
        <f>IF('CCUS Projects Database'!$T193&lt;&gt;"",HYPERLINK('CCUS Projects Database'!$T193,"Link 3"),"")</f>
        <v>Link 3</v>
      </c>
      <c r="AB193" s="239" t="str">
        <f>IF('CCUS Projects Database'!$U193&lt;&gt;"",HYPERLINK('CCUS Projects Database'!$U193,"Link 4"),"")</f>
        <v>Link 4</v>
      </c>
      <c r="AC193" s="239" t="str">
        <f>IF('CCUS Projects Database'!$V193&lt;&gt;"",HYPERLINK('CCUS Projects Database'!$V193,"Link 5"),"")</f>
        <v/>
      </c>
      <c r="AD193" s="239" t="str">
        <f>IF('CCUS Projects Database'!$W193&lt;&gt;"",HYPERLINK('CCUS Projects Database'!$W193,"Link 6"),"")</f>
        <v/>
      </c>
      <c r="AE193" s="239" t="str">
        <f>IF('CCUS Projects Database'!$X193&lt;&gt;"",HYPERLINK('CCUS Projects Database'!$X193,"Link 7"),"")</f>
        <v/>
      </c>
    </row>
    <row r="194" ht="14.25" customHeight="1">
      <c r="A194" s="233" t="s">
        <v>19520</v>
      </c>
      <c r="B194" s="234">
        <v>239.0</v>
      </c>
      <c r="C194" s="234" t="s">
        <v>83</v>
      </c>
      <c r="D194" s="235" t="s">
        <v>19521</v>
      </c>
      <c r="E194" s="234" t="s">
        <v>18618</v>
      </c>
      <c r="F194" s="234">
        <v>2020.0</v>
      </c>
      <c r="G194" s="234" t="s">
        <v>18725</v>
      </c>
      <c r="H194" s="234">
        <v>2028.0</v>
      </c>
      <c r="I194" s="234" t="s">
        <v>18725</v>
      </c>
      <c r="J194" s="234" t="s">
        <v>18636</v>
      </c>
      <c r="K194" s="236" t="s">
        <v>18725</v>
      </c>
      <c r="L194" s="236">
        <v>1.5</v>
      </c>
      <c r="M194" s="236">
        <v>1.5</v>
      </c>
      <c r="N194" s="234" t="s">
        <v>18654</v>
      </c>
      <c r="O194" s="237" t="s">
        <v>18675</v>
      </c>
      <c r="P194" s="238" t="s">
        <v>19187</v>
      </c>
      <c r="Q194" s="234" t="s">
        <v>18726</v>
      </c>
      <c r="R194" s="238" t="s">
        <v>19522</v>
      </c>
      <c r="S194" s="238" t="s">
        <v>19523</v>
      </c>
      <c r="T194" s="238" t="s">
        <v>19524</v>
      </c>
      <c r="U194" s="238" t="s">
        <v>19525</v>
      </c>
      <c r="V194" s="238" t="s">
        <v>19526</v>
      </c>
      <c r="W194" s="238" t="s">
        <v>18725</v>
      </c>
      <c r="X194" s="238" t="s">
        <v>18725</v>
      </c>
      <c r="Y194" s="239" t="str">
        <f>IF('CCUS Projects Database'!$R194&lt;&gt;"",HYPERLINK('CCUS Projects Database'!$R194,"Link 1"),"")</f>
        <v>Link 1</v>
      </c>
      <c r="Z194" s="239" t="str">
        <f>IF('CCUS Projects Database'!$S194&lt;&gt;"",HYPERLINK('CCUS Projects Database'!$S194,"Link 2"),"")</f>
        <v>Link 2</v>
      </c>
      <c r="AA194" s="239" t="str">
        <f>IF('CCUS Projects Database'!$T194&lt;&gt;"",HYPERLINK('CCUS Projects Database'!$T194,"Link 3"),"")</f>
        <v>Link 3</v>
      </c>
      <c r="AB194" s="239" t="str">
        <f>IF('CCUS Projects Database'!$U194&lt;&gt;"",HYPERLINK('CCUS Projects Database'!$U194,"Link 4"),"")</f>
        <v>Link 4</v>
      </c>
      <c r="AC194" s="239" t="str">
        <f>IF('CCUS Projects Database'!$V194&lt;&gt;"",HYPERLINK('CCUS Projects Database'!$V194,"Link 5"),"")</f>
        <v>Link 5</v>
      </c>
      <c r="AD194" s="239" t="str">
        <f>IF('CCUS Projects Database'!$W194&lt;&gt;"",HYPERLINK('CCUS Projects Database'!$W194,"Link 6"),"")</f>
        <v/>
      </c>
      <c r="AE194" s="239" t="str">
        <f>IF('CCUS Projects Database'!$X194&lt;&gt;"",HYPERLINK('CCUS Projects Database'!$X194,"Link 7"),"")</f>
        <v/>
      </c>
    </row>
    <row r="195" ht="14.25" customHeight="1">
      <c r="A195" s="233" t="s">
        <v>19527</v>
      </c>
      <c r="B195" s="234">
        <v>241.0</v>
      </c>
      <c r="C195" s="234" t="s">
        <v>18586</v>
      </c>
      <c r="D195" s="235" t="s">
        <v>19528</v>
      </c>
      <c r="E195" s="234" t="s">
        <v>18616</v>
      </c>
      <c r="F195" s="234" t="s">
        <v>18725</v>
      </c>
      <c r="G195" s="234">
        <v>2010.0</v>
      </c>
      <c r="H195" s="234">
        <v>2017.0</v>
      </c>
      <c r="I195" s="234">
        <v>2017.0</v>
      </c>
      <c r="J195" s="234" t="s">
        <v>18644</v>
      </c>
      <c r="K195" s="236" t="s">
        <v>18725</v>
      </c>
      <c r="L195" s="236">
        <v>3.0</v>
      </c>
      <c r="M195" s="236">
        <v>3.0</v>
      </c>
      <c r="N195" s="234" t="s">
        <v>18654</v>
      </c>
      <c r="O195" s="237" t="s">
        <v>18677</v>
      </c>
      <c r="P195" s="238" t="s">
        <v>18725</v>
      </c>
      <c r="Q195" s="234" t="s">
        <v>18732</v>
      </c>
      <c r="R195" s="238" t="s">
        <v>19529</v>
      </c>
      <c r="S195" s="238" t="s">
        <v>19530</v>
      </c>
      <c r="T195" s="238" t="s">
        <v>18725</v>
      </c>
      <c r="U195" s="238" t="s">
        <v>18725</v>
      </c>
      <c r="V195" s="238" t="s">
        <v>18725</v>
      </c>
      <c r="W195" s="238" t="s">
        <v>18725</v>
      </c>
      <c r="X195" s="238" t="s">
        <v>18725</v>
      </c>
      <c r="Y195" s="239" t="str">
        <f>IF('CCUS Projects Database'!$R195&lt;&gt;"",HYPERLINK('CCUS Projects Database'!$R195,"Link 1"),"")</f>
        <v>Link 1</v>
      </c>
      <c r="Z195" s="239" t="str">
        <f>IF('CCUS Projects Database'!$S195&lt;&gt;"",HYPERLINK('CCUS Projects Database'!$S195,"Link 2"),"")</f>
        <v>Link 2</v>
      </c>
      <c r="AA195" s="239" t="str">
        <f>IF('CCUS Projects Database'!$T195&lt;&gt;"",HYPERLINK('CCUS Projects Database'!$T195,"Link 3"),"")</f>
        <v/>
      </c>
      <c r="AB195" s="239" t="str">
        <f>IF('CCUS Projects Database'!$U195&lt;&gt;"",HYPERLINK('CCUS Projects Database'!$U195,"Link 4"),"")</f>
        <v/>
      </c>
      <c r="AC195" s="239" t="str">
        <f>IF('CCUS Projects Database'!$V195&lt;&gt;"",HYPERLINK('CCUS Projects Database'!$V195,"Link 5"),"")</f>
        <v/>
      </c>
      <c r="AD195" s="239" t="str">
        <f>IF('CCUS Projects Database'!$W195&lt;&gt;"",HYPERLINK('CCUS Projects Database'!$W195,"Link 6"),"")</f>
        <v/>
      </c>
      <c r="AE195" s="239" t="str">
        <f>IF('CCUS Projects Database'!$X195&lt;&gt;"",HYPERLINK('CCUS Projects Database'!$X195,"Link 7"),"")</f>
        <v/>
      </c>
    </row>
    <row r="196" ht="14.25" customHeight="1">
      <c r="A196" s="233" t="s">
        <v>19531</v>
      </c>
      <c r="B196" s="234">
        <v>242.0</v>
      </c>
      <c r="C196" s="234" t="s">
        <v>18947</v>
      </c>
      <c r="D196" s="235" t="s">
        <v>19532</v>
      </c>
      <c r="E196" s="234" t="s">
        <v>18618</v>
      </c>
      <c r="F196" s="234">
        <v>2021.0</v>
      </c>
      <c r="G196" s="234" t="s">
        <v>18725</v>
      </c>
      <c r="H196" s="234">
        <v>2030.0</v>
      </c>
      <c r="I196" s="234" t="s">
        <v>18725</v>
      </c>
      <c r="J196" s="234" t="s">
        <v>18636</v>
      </c>
      <c r="K196" s="236" t="s">
        <v>18725</v>
      </c>
      <c r="L196" s="236" t="s">
        <v>18725</v>
      </c>
      <c r="M196" s="236" t="s">
        <v>18725</v>
      </c>
      <c r="N196" s="234" t="s">
        <v>18654</v>
      </c>
      <c r="O196" s="237" t="s">
        <v>18683</v>
      </c>
      <c r="P196" s="238" t="s">
        <v>18725</v>
      </c>
      <c r="Q196" s="234" t="s">
        <v>18856</v>
      </c>
      <c r="R196" s="238" t="s">
        <v>19533</v>
      </c>
      <c r="S196" s="238" t="s">
        <v>18725</v>
      </c>
      <c r="T196" s="238" t="s">
        <v>18725</v>
      </c>
      <c r="U196" s="238" t="s">
        <v>18725</v>
      </c>
      <c r="V196" s="238" t="s">
        <v>18725</v>
      </c>
      <c r="W196" s="238" t="s">
        <v>18725</v>
      </c>
      <c r="X196" s="238" t="s">
        <v>18725</v>
      </c>
      <c r="Y196" s="239" t="str">
        <f>IF('CCUS Projects Database'!$R196&lt;&gt;"",HYPERLINK('CCUS Projects Database'!$R196,"Link 1"),"")</f>
        <v>Link 1</v>
      </c>
      <c r="Z196" s="239" t="str">
        <f>IF('CCUS Projects Database'!$S196&lt;&gt;"",HYPERLINK('CCUS Projects Database'!$S196,"Link 2"),"")</f>
        <v/>
      </c>
      <c r="AA196" s="239" t="str">
        <f>IF('CCUS Projects Database'!$T196&lt;&gt;"",HYPERLINK('CCUS Projects Database'!$T196,"Link 3"),"")</f>
        <v/>
      </c>
      <c r="AB196" s="239" t="str">
        <f>IF('CCUS Projects Database'!$U196&lt;&gt;"",HYPERLINK('CCUS Projects Database'!$U196,"Link 4"),"")</f>
        <v/>
      </c>
      <c r="AC196" s="239" t="str">
        <f>IF('CCUS Projects Database'!$V196&lt;&gt;"",HYPERLINK('CCUS Projects Database'!$V196,"Link 5"),"")</f>
        <v/>
      </c>
      <c r="AD196" s="239" t="str">
        <f>IF('CCUS Projects Database'!$W196&lt;&gt;"",HYPERLINK('CCUS Projects Database'!$W196,"Link 6"),"")</f>
        <v/>
      </c>
      <c r="AE196" s="239" t="str">
        <f>IF('CCUS Projects Database'!$X196&lt;&gt;"",HYPERLINK('CCUS Projects Database'!$X196,"Link 7"),"")</f>
        <v/>
      </c>
    </row>
    <row r="197" ht="14.25" customHeight="1">
      <c r="A197" s="233" t="s">
        <v>19534</v>
      </c>
      <c r="B197" s="234">
        <v>243.0</v>
      </c>
      <c r="C197" s="234" t="s">
        <v>18947</v>
      </c>
      <c r="D197" s="235" t="s">
        <v>19532</v>
      </c>
      <c r="E197" s="234" t="s">
        <v>18618</v>
      </c>
      <c r="F197" s="234">
        <v>2021.0</v>
      </c>
      <c r="G197" s="234" t="s">
        <v>18725</v>
      </c>
      <c r="H197" s="234">
        <v>2030.0</v>
      </c>
      <c r="I197" s="234" t="s">
        <v>18725</v>
      </c>
      <c r="J197" s="234" t="s">
        <v>18636</v>
      </c>
      <c r="K197" s="236" t="s">
        <v>18725</v>
      </c>
      <c r="L197" s="236" t="s">
        <v>18725</v>
      </c>
      <c r="M197" s="236" t="s">
        <v>18725</v>
      </c>
      <c r="N197" s="234" t="s">
        <v>18654</v>
      </c>
      <c r="O197" s="237" t="s">
        <v>18683</v>
      </c>
      <c r="P197" s="238" t="s">
        <v>18725</v>
      </c>
      <c r="Q197" s="234" t="s">
        <v>18856</v>
      </c>
      <c r="R197" s="238" t="s">
        <v>19533</v>
      </c>
      <c r="S197" s="238" t="s">
        <v>18725</v>
      </c>
      <c r="T197" s="238" t="s">
        <v>18725</v>
      </c>
      <c r="U197" s="238" t="s">
        <v>18725</v>
      </c>
      <c r="V197" s="238" t="s">
        <v>18725</v>
      </c>
      <c r="W197" s="238" t="s">
        <v>18725</v>
      </c>
      <c r="X197" s="238" t="s">
        <v>18725</v>
      </c>
      <c r="Y197" s="239" t="str">
        <f>IF('CCUS Projects Database'!$R197&lt;&gt;"",HYPERLINK('CCUS Projects Database'!$R197,"Link 1"),"")</f>
        <v>Link 1</v>
      </c>
      <c r="Z197" s="239" t="str">
        <f>IF('CCUS Projects Database'!$S197&lt;&gt;"",HYPERLINK('CCUS Projects Database'!$S197,"Link 2"),"")</f>
        <v/>
      </c>
      <c r="AA197" s="239" t="str">
        <f>IF('CCUS Projects Database'!$T197&lt;&gt;"",HYPERLINK('CCUS Projects Database'!$T197,"Link 3"),"")</f>
        <v/>
      </c>
      <c r="AB197" s="239" t="str">
        <f>IF('CCUS Projects Database'!$U197&lt;&gt;"",HYPERLINK('CCUS Projects Database'!$U197,"Link 4"),"")</f>
        <v/>
      </c>
      <c r="AC197" s="239" t="str">
        <f>IF('CCUS Projects Database'!$V197&lt;&gt;"",HYPERLINK('CCUS Projects Database'!$V197,"Link 5"),"")</f>
        <v/>
      </c>
      <c r="AD197" s="239" t="str">
        <f>IF('CCUS Projects Database'!$W197&lt;&gt;"",HYPERLINK('CCUS Projects Database'!$W197,"Link 6"),"")</f>
        <v/>
      </c>
      <c r="AE197" s="239" t="str">
        <f>IF('CCUS Projects Database'!$X197&lt;&gt;"",HYPERLINK('CCUS Projects Database'!$X197,"Link 7"),"")</f>
        <v/>
      </c>
    </row>
    <row r="198" ht="14.25" customHeight="1">
      <c r="A198" s="233" t="s">
        <v>19535</v>
      </c>
      <c r="B198" s="234">
        <v>244.0</v>
      </c>
      <c r="C198" s="234" t="s">
        <v>18586</v>
      </c>
      <c r="D198" s="235" t="s">
        <v>19536</v>
      </c>
      <c r="E198" s="234" t="s">
        <v>18618</v>
      </c>
      <c r="F198" s="234">
        <v>2022.0</v>
      </c>
      <c r="G198" s="234" t="s">
        <v>18725</v>
      </c>
      <c r="H198" s="234" t="s">
        <v>18725</v>
      </c>
      <c r="I198" s="234" t="s">
        <v>18725</v>
      </c>
      <c r="J198" s="234" t="s">
        <v>18636</v>
      </c>
      <c r="K198" s="236" t="s">
        <v>18725</v>
      </c>
      <c r="L198" s="236" t="s">
        <v>18725</v>
      </c>
      <c r="M198" s="236" t="s">
        <v>18725</v>
      </c>
      <c r="N198" s="234" t="s">
        <v>18654</v>
      </c>
      <c r="O198" s="237" t="s">
        <v>18675</v>
      </c>
      <c r="P198" s="238" t="s">
        <v>18725</v>
      </c>
      <c r="Q198" s="234" t="s">
        <v>18732</v>
      </c>
      <c r="R198" s="238" t="s">
        <v>19537</v>
      </c>
      <c r="S198" s="238" t="s">
        <v>18725</v>
      </c>
      <c r="T198" s="238" t="s">
        <v>18725</v>
      </c>
      <c r="U198" s="238" t="s">
        <v>18725</v>
      </c>
      <c r="V198" s="238" t="s">
        <v>18725</v>
      </c>
      <c r="W198" s="238" t="s">
        <v>18725</v>
      </c>
      <c r="X198" s="238" t="s">
        <v>18725</v>
      </c>
      <c r="Y198" s="239" t="str">
        <f>IF('CCUS Projects Database'!$R198&lt;&gt;"",HYPERLINK('CCUS Projects Database'!$R198,"Link 1"),"")</f>
        <v>Link 1</v>
      </c>
      <c r="Z198" s="239" t="str">
        <f>IF('CCUS Projects Database'!$S198&lt;&gt;"",HYPERLINK('CCUS Projects Database'!$S198,"Link 2"),"")</f>
        <v/>
      </c>
      <c r="AA198" s="239" t="str">
        <f>IF('CCUS Projects Database'!$T198&lt;&gt;"",HYPERLINK('CCUS Projects Database'!$T198,"Link 3"),"")</f>
        <v/>
      </c>
      <c r="AB198" s="239" t="str">
        <f>IF('CCUS Projects Database'!$U198&lt;&gt;"",HYPERLINK('CCUS Projects Database'!$U198,"Link 4"),"")</f>
        <v/>
      </c>
      <c r="AC198" s="239" t="str">
        <f>IF('CCUS Projects Database'!$V198&lt;&gt;"",HYPERLINK('CCUS Projects Database'!$V198,"Link 5"),"")</f>
        <v/>
      </c>
      <c r="AD198" s="239" t="str">
        <f>IF('CCUS Projects Database'!$W198&lt;&gt;"",HYPERLINK('CCUS Projects Database'!$W198,"Link 6"),"")</f>
        <v/>
      </c>
      <c r="AE198" s="239" t="str">
        <f>IF('CCUS Projects Database'!$X198&lt;&gt;"",HYPERLINK('CCUS Projects Database'!$X198,"Link 7"),"")</f>
        <v/>
      </c>
    </row>
    <row r="199" ht="14.25" customHeight="1">
      <c r="A199" s="233" t="s">
        <v>19538</v>
      </c>
      <c r="B199" s="234">
        <v>245.0</v>
      </c>
      <c r="C199" s="234" t="s">
        <v>18586</v>
      </c>
      <c r="D199" s="235" t="s">
        <v>19539</v>
      </c>
      <c r="E199" s="234" t="s">
        <v>18616</v>
      </c>
      <c r="F199" s="234">
        <v>2021.0</v>
      </c>
      <c r="G199" s="234" t="s">
        <v>18725</v>
      </c>
      <c r="H199" s="234">
        <v>2026.0</v>
      </c>
      <c r="I199" s="234" t="s">
        <v>18725</v>
      </c>
      <c r="J199" s="234" t="s">
        <v>18636</v>
      </c>
      <c r="K199" s="236" t="s">
        <v>18725</v>
      </c>
      <c r="L199" s="236">
        <v>0.5</v>
      </c>
      <c r="M199" s="236">
        <v>0.5</v>
      </c>
      <c r="N199" s="234" t="s">
        <v>677</v>
      </c>
      <c r="O199" s="237" t="s">
        <v>18675</v>
      </c>
      <c r="P199" s="238" t="s">
        <v>18725</v>
      </c>
      <c r="Q199" s="234" t="s">
        <v>18732</v>
      </c>
      <c r="R199" s="238" t="s">
        <v>16647</v>
      </c>
      <c r="S199" s="238" t="s">
        <v>19540</v>
      </c>
      <c r="T199" s="238" t="s">
        <v>17684</v>
      </c>
      <c r="U199" s="238" t="s">
        <v>18725</v>
      </c>
      <c r="V199" s="238" t="s">
        <v>18725</v>
      </c>
      <c r="W199" s="238" t="s">
        <v>18725</v>
      </c>
      <c r="X199" s="238" t="s">
        <v>18725</v>
      </c>
      <c r="Y199" s="239" t="str">
        <f>IF('CCUS Projects Database'!$R199&lt;&gt;"",HYPERLINK('CCUS Projects Database'!$R199,"Link 1"),"")</f>
        <v>Link 1</v>
      </c>
      <c r="Z199" s="239" t="str">
        <f>IF('CCUS Projects Database'!$S199&lt;&gt;"",HYPERLINK('CCUS Projects Database'!$S199,"Link 2"),"")</f>
        <v>Link 2</v>
      </c>
      <c r="AA199" s="239" t="str">
        <f>IF('CCUS Projects Database'!$T199&lt;&gt;"",HYPERLINK('CCUS Projects Database'!$T199,"Link 3"),"")</f>
        <v>Link 3</v>
      </c>
      <c r="AB199" s="239" t="str">
        <f>IF('CCUS Projects Database'!$U199&lt;&gt;"",HYPERLINK('CCUS Projects Database'!$U199,"Link 4"),"")</f>
        <v/>
      </c>
      <c r="AC199" s="239" t="str">
        <f>IF('CCUS Projects Database'!$V199&lt;&gt;"",HYPERLINK('CCUS Projects Database'!$V199,"Link 5"),"")</f>
        <v/>
      </c>
      <c r="AD199" s="239" t="str">
        <f>IF('CCUS Projects Database'!$W199&lt;&gt;"",HYPERLINK('CCUS Projects Database'!$W199,"Link 6"),"")</f>
        <v/>
      </c>
      <c r="AE199" s="239" t="str">
        <f>IF('CCUS Projects Database'!$X199&lt;&gt;"",HYPERLINK('CCUS Projects Database'!$X199,"Link 7"),"")</f>
        <v/>
      </c>
    </row>
    <row r="200" ht="14.25" customHeight="1">
      <c r="A200" s="233" t="s">
        <v>19541</v>
      </c>
      <c r="B200" s="234">
        <v>246.0</v>
      </c>
      <c r="C200" s="234" t="s">
        <v>98</v>
      </c>
      <c r="D200" s="235" t="s">
        <v>19542</v>
      </c>
      <c r="E200" s="234" t="s">
        <v>18618</v>
      </c>
      <c r="F200" s="234">
        <v>2021.0</v>
      </c>
      <c r="G200" s="234" t="s">
        <v>18725</v>
      </c>
      <c r="H200" s="234">
        <v>2027.0</v>
      </c>
      <c r="I200" s="234" t="s">
        <v>18725</v>
      </c>
      <c r="J200" s="234" t="s">
        <v>18192</v>
      </c>
      <c r="K200" s="236" t="s">
        <v>18725</v>
      </c>
      <c r="L200" s="236">
        <v>0.5</v>
      </c>
      <c r="M200" s="236">
        <v>0.5</v>
      </c>
      <c r="N200" s="234" t="s">
        <v>18218</v>
      </c>
      <c r="O200" s="237" t="s">
        <v>18675</v>
      </c>
      <c r="P200" s="238" t="s">
        <v>18941</v>
      </c>
      <c r="Q200" s="234" t="s">
        <v>18726</v>
      </c>
      <c r="R200" s="238" t="s">
        <v>19543</v>
      </c>
      <c r="S200" s="238" t="s">
        <v>18725</v>
      </c>
      <c r="T200" s="238" t="s">
        <v>18725</v>
      </c>
      <c r="U200" s="238" t="s">
        <v>18725</v>
      </c>
      <c r="V200" s="238" t="s">
        <v>18725</v>
      </c>
      <c r="W200" s="238" t="s">
        <v>18725</v>
      </c>
      <c r="X200" s="238" t="s">
        <v>18725</v>
      </c>
      <c r="Y200" s="239" t="str">
        <f>IF('CCUS Projects Database'!$R200&lt;&gt;"",HYPERLINK('CCUS Projects Database'!$R200,"Link 1"),"")</f>
        <v>Link 1</v>
      </c>
      <c r="Z200" s="239" t="str">
        <f>IF('CCUS Projects Database'!$S200&lt;&gt;"",HYPERLINK('CCUS Projects Database'!$S200,"Link 2"),"")</f>
        <v/>
      </c>
      <c r="AA200" s="239" t="str">
        <f>IF('CCUS Projects Database'!$T200&lt;&gt;"",HYPERLINK('CCUS Projects Database'!$T200,"Link 3"),"")</f>
        <v/>
      </c>
      <c r="AB200" s="239" t="str">
        <f>IF('CCUS Projects Database'!$U200&lt;&gt;"",HYPERLINK('CCUS Projects Database'!$U200,"Link 4"),"")</f>
        <v/>
      </c>
      <c r="AC200" s="239" t="str">
        <f>IF('CCUS Projects Database'!$V200&lt;&gt;"",HYPERLINK('CCUS Projects Database'!$V200,"Link 5"),"")</f>
        <v/>
      </c>
      <c r="AD200" s="239" t="str">
        <f>IF('CCUS Projects Database'!$W200&lt;&gt;"",HYPERLINK('CCUS Projects Database'!$W200,"Link 6"),"")</f>
        <v/>
      </c>
      <c r="AE200" s="239" t="str">
        <f>IF('CCUS Projects Database'!$X200&lt;&gt;"",HYPERLINK('CCUS Projects Database'!$X200,"Link 7"),"")</f>
        <v/>
      </c>
    </row>
    <row r="201" ht="14.25" customHeight="1">
      <c r="A201" s="233" t="s">
        <v>19544</v>
      </c>
      <c r="B201" s="234">
        <v>247.0</v>
      </c>
      <c r="C201" s="234" t="s">
        <v>18947</v>
      </c>
      <c r="D201" s="235" t="s">
        <v>19545</v>
      </c>
      <c r="E201" s="234" t="s">
        <v>18618</v>
      </c>
      <c r="F201" s="234">
        <v>2010.0</v>
      </c>
      <c r="G201" s="234" t="s">
        <v>18725</v>
      </c>
      <c r="H201" s="234" t="s">
        <v>18725</v>
      </c>
      <c r="I201" s="234">
        <v>2022.0</v>
      </c>
      <c r="J201" s="234" t="s">
        <v>18192</v>
      </c>
      <c r="K201" s="236" t="s">
        <v>18725</v>
      </c>
      <c r="L201" s="236">
        <v>1.0</v>
      </c>
      <c r="M201" s="236">
        <v>1.0</v>
      </c>
      <c r="N201" s="234" t="s">
        <v>18654</v>
      </c>
      <c r="O201" s="237" t="s">
        <v>18683</v>
      </c>
      <c r="P201" s="238" t="s">
        <v>18725</v>
      </c>
      <c r="Q201" s="234" t="s">
        <v>18856</v>
      </c>
      <c r="R201" s="238" t="s">
        <v>18725</v>
      </c>
      <c r="S201" s="238" t="s">
        <v>18725</v>
      </c>
      <c r="T201" s="238" t="s">
        <v>18725</v>
      </c>
      <c r="U201" s="238" t="s">
        <v>18725</v>
      </c>
      <c r="V201" s="238" t="s">
        <v>18725</v>
      </c>
      <c r="W201" s="238" t="s">
        <v>18725</v>
      </c>
      <c r="X201" s="238" t="s">
        <v>18725</v>
      </c>
      <c r="Y201" s="239" t="str">
        <f>IF('CCUS Projects Database'!$R201&lt;&gt;"",HYPERLINK('CCUS Projects Database'!$R201,"Link 1"),"")</f>
        <v/>
      </c>
      <c r="Z201" s="239" t="str">
        <f>IF('CCUS Projects Database'!$S201&lt;&gt;"",HYPERLINK('CCUS Projects Database'!$S201,"Link 2"),"")</f>
        <v/>
      </c>
      <c r="AA201" s="239" t="str">
        <f>IF('CCUS Projects Database'!$T201&lt;&gt;"",HYPERLINK('CCUS Projects Database'!$T201,"Link 3"),"")</f>
        <v/>
      </c>
      <c r="AB201" s="239" t="str">
        <f>IF('CCUS Projects Database'!$U201&lt;&gt;"",HYPERLINK('CCUS Projects Database'!$U201,"Link 4"),"")</f>
        <v/>
      </c>
      <c r="AC201" s="239" t="str">
        <f>IF('CCUS Projects Database'!$V201&lt;&gt;"",HYPERLINK('CCUS Projects Database'!$V201,"Link 5"),"")</f>
        <v/>
      </c>
      <c r="AD201" s="239" t="str">
        <f>IF('CCUS Projects Database'!$W201&lt;&gt;"",HYPERLINK('CCUS Projects Database'!$W201,"Link 6"),"")</f>
        <v/>
      </c>
      <c r="AE201" s="239" t="str">
        <f>IF('CCUS Projects Database'!$X201&lt;&gt;"",HYPERLINK('CCUS Projects Database'!$X201,"Link 7"),"")</f>
        <v/>
      </c>
    </row>
    <row r="202" ht="14.25" customHeight="1">
      <c r="A202" s="233" t="s">
        <v>19546</v>
      </c>
      <c r="B202" s="234">
        <v>249.0</v>
      </c>
      <c r="C202" s="234" t="s">
        <v>164</v>
      </c>
      <c r="D202" s="235" t="s">
        <v>19547</v>
      </c>
      <c r="E202" s="234" t="s">
        <v>18620</v>
      </c>
      <c r="F202" s="234">
        <v>2018.0</v>
      </c>
      <c r="G202" s="234">
        <v>2023.0</v>
      </c>
      <c r="H202" s="234">
        <v>2026.0</v>
      </c>
      <c r="I202" s="234" t="s">
        <v>18725</v>
      </c>
      <c r="J202" s="234" t="s">
        <v>18638</v>
      </c>
      <c r="K202" s="236">
        <v>1.0</v>
      </c>
      <c r="L202" s="236">
        <v>10.0</v>
      </c>
      <c r="M202" s="236">
        <v>10.0</v>
      </c>
      <c r="N202" s="234" t="s">
        <v>18620</v>
      </c>
      <c r="O202" s="237" t="s">
        <v>18675</v>
      </c>
      <c r="P202" s="238" t="s">
        <v>18783</v>
      </c>
      <c r="Q202" s="234" t="s">
        <v>18726</v>
      </c>
      <c r="R202" s="238" t="s">
        <v>19548</v>
      </c>
      <c r="S202" s="238" t="s">
        <v>19549</v>
      </c>
      <c r="T202" s="238" t="s">
        <v>18725</v>
      </c>
      <c r="U202" s="238" t="s">
        <v>18725</v>
      </c>
      <c r="V202" s="238" t="s">
        <v>18725</v>
      </c>
      <c r="W202" s="238" t="s">
        <v>18725</v>
      </c>
      <c r="X202" s="238" t="s">
        <v>18725</v>
      </c>
      <c r="Y202" s="239" t="str">
        <f>IF('CCUS Projects Database'!$R202&lt;&gt;"",HYPERLINK('CCUS Projects Database'!$R202,"Link 1"),"")</f>
        <v>Link 1</v>
      </c>
      <c r="Z202" s="239" t="str">
        <f>IF('CCUS Projects Database'!$S202&lt;&gt;"",HYPERLINK('CCUS Projects Database'!$S202,"Link 2"),"")</f>
        <v>Link 2</v>
      </c>
      <c r="AA202" s="239" t="str">
        <f>IF('CCUS Projects Database'!$T202&lt;&gt;"",HYPERLINK('CCUS Projects Database'!$T202,"Link 3"),"")</f>
        <v/>
      </c>
      <c r="AB202" s="239" t="str">
        <f>IF('CCUS Projects Database'!$U202&lt;&gt;"",HYPERLINK('CCUS Projects Database'!$U202,"Link 4"),"")</f>
        <v/>
      </c>
      <c r="AC202" s="239" t="str">
        <f>IF('CCUS Projects Database'!$V202&lt;&gt;"",HYPERLINK('CCUS Projects Database'!$V202,"Link 5"),"")</f>
        <v/>
      </c>
      <c r="AD202" s="239" t="str">
        <f>IF('CCUS Projects Database'!$W202&lt;&gt;"",HYPERLINK('CCUS Projects Database'!$W202,"Link 6"),"")</f>
        <v/>
      </c>
      <c r="AE202" s="239" t="str">
        <f>IF('CCUS Projects Database'!$X202&lt;&gt;"",HYPERLINK('CCUS Projects Database'!$X202,"Link 7"),"")</f>
        <v/>
      </c>
    </row>
    <row r="203" ht="14.25" customHeight="1">
      <c r="A203" s="233" t="s">
        <v>19550</v>
      </c>
      <c r="B203" s="234">
        <v>250.0</v>
      </c>
      <c r="C203" s="234" t="s">
        <v>18586</v>
      </c>
      <c r="D203" s="235" t="s">
        <v>19551</v>
      </c>
      <c r="E203" s="234" t="s">
        <v>18616</v>
      </c>
      <c r="F203" s="234">
        <v>2021.0</v>
      </c>
      <c r="G203" s="234">
        <v>2022.0</v>
      </c>
      <c r="H203" s="234">
        <v>2025.0</v>
      </c>
      <c r="I203" s="234" t="s">
        <v>18725</v>
      </c>
      <c r="J203" s="234" t="s">
        <v>18638</v>
      </c>
      <c r="K203" s="236" t="s">
        <v>18725</v>
      </c>
      <c r="L203" s="236" t="s">
        <v>19552</v>
      </c>
      <c r="M203" s="236">
        <v>1.0</v>
      </c>
      <c r="N203" s="234" t="s">
        <v>18656</v>
      </c>
      <c r="O203" s="237" t="s">
        <v>18683</v>
      </c>
      <c r="P203" s="238" t="s">
        <v>18725</v>
      </c>
      <c r="Q203" s="234" t="s">
        <v>18732</v>
      </c>
      <c r="R203" s="238" t="s">
        <v>19553</v>
      </c>
      <c r="S203" s="238" t="s">
        <v>19554</v>
      </c>
      <c r="T203" s="238" t="s">
        <v>19231</v>
      </c>
      <c r="U203" s="238" t="s">
        <v>19555</v>
      </c>
      <c r="V203" s="238" t="s">
        <v>18725</v>
      </c>
      <c r="W203" s="238" t="s">
        <v>18725</v>
      </c>
      <c r="X203" s="238" t="s">
        <v>18725</v>
      </c>
      <c r="Y203" s="239" t="str">
        <f>IF('CCUS Projects Database'!$R203&lt;&gt;"",HYPERLINK('CCUS Projects Database'!$R203,"Link 1"),"")</f>
        <v>Link 1</v>
      </c>
      <c r="Z203" s="239" t="str">
        <f>IF('CCUS Projects Database'!$S203&lt;&gt;"",HYPERLINK('CCUS Projects Database'!$S203,"Link 2"),"")</f>
        <v>Link 2</v>
      </c>
      <c r="AA203" s="239" t="str">
        <f>IF('CCUS Projects Database'!$T203&lt;&gt;"",HYPERLINK('CCUS Projects Database'!$T203,"Link 3"),"")</f>
        <v>Link 3</v>
      </c>
      <c r="AB203" s="239" t="str">
        <f>IF('CCUS Projects Database'!$U203&lt;&gt;"",HYPERLINK('CCUS Projects Database'!$U203,"Link 4"),"")</f>
        <v>Link 4</v>
      </c>
      <c r="AC203" s="239" t="str">
        <f>IF('CCUS Projects Database'!$V203&lt;&gt;"",HYPERLINK('CCUS Projects Database'!$V203,"Link 5"),"")</f>
        <v/>
      </c>
      <c r="AD203" s="239" t="str">
        <f>IF('CCUS Projects Database'!$W203&lt;&gt;"",HYPERLINK('CCUS Projects Database'!$W203,"Link 6"),"")</f>
        <v/>
      </c>
      <c r="AE203" s="239" t="str">
        <f>IF('CCUS Projects Database'!$X203&lt;&gt;"",HYPERLINK('CCUS Projects Database'!$X203,"Link 7"),"")</f>
        <v/>
      </c>
    </row>
    <row r="204" ht="14.25" customHeight="1">
      <c r="A204" s="233" t="s">
        <v>19556</v>
      </c>
      <c r="B204" s="234">
        <v>251.0</v>
      </c>
      <c r="C204" s="234" t="s">
        <v>18586</v>
      </c>
      <c r="D204" s="235" t="s">
        <v>19557</v>
      </c>
      <c r="E204" s="234" t="s">
        <v>18616</v>
      </c>
      <c r="F204" s="234">
        <v>2008.0</v>
      </c>
      <c r="G204" s="234">
        <v>2008.0</v>
      </c>
      <c r="H204" s="234">
        <v>2010.0</v>
      </c>
      <c r="I204" s="234" t="s">
        <v>18725</v>
      </c>
      <c r="J204" s="234" t="s">
        <v>12385</v>
      </c>
      <c r="K204" s="236">
        <v>2.0</v>
      </c>
      <c r="L204" s="236">
        <v>3.5</v>
      </c>
      <c r="M204" s="236">
        <v>3.5</v>
      </c>
      <c r="N204" s="234" t="s">
        <v>18656</v>
      </c>
      <c r="O204" s="237" t="s">
        <v>18677</v>
      </c>
      <c r="P204" s="238" t="s">
        <v>18725</v>
      </c>
      <c r="Q204" s="234" t="s">
        <v>18732</v>
      </c>
      <c r="R204" s="238" t="s">
        <v>19558</v>
      </c>
      <c r="S204" s="238" t="s">
        <v>18725</v>
      </c>
      <c r="T204" s="238" t="s">
        <v>18725</v>
      </c>
      <c r="U204" s="238" t="s">
        <v>18725</v>
      </c>
      <c r="V204" s="238" t="s">
        <v>18725</v>
      </c>
      <c r="W204" s="238" t="s">
        <v>18725</v>
      </c>
      <c r="X204" s="238" t="s">
        <v>18725</v>
      </c>
      <c r="Y204" s="239" t="str">
        <f>IF('CCUS Projects Database'!$R204&lt;&gt;"",HYPERLINK('CCUS Projects Database'!$R204,"Link 1"),"")</f>
        <v>Link 1</v>
      </c>
      <c r="Z204" s="239" t="str">
        <f>IF('CCUS Projects Database'!$S204&lt;&gt;"",HYPERLINK('CCUS Projects Database'!$S204,"Link 2"),"")</f>
        <v/>
      </c>
      <c r="AA204" s="239" t="str">
        <f>IF('CCUS Projects Database'!$T204&lt;&gt;"",HYPERLINK('CCUS Projects Database'!$T204,"Link 3"),"")</f>
        <v/>
      </c>
      <c r="AB204" s="239" t="str">
        <f>IF('CCUS Projects Database'!$U204&lt;&gt;"",HYPERLINK('CCUS Projects Database'!$U204,"Link 4"),"")</f>
        <v/>
      </c>
      <c r="AC204" s="239" t="str">
        <f>IF('CCUS Projects Database'!$V204&lt;&gt;"",HYPERLINK('CCUS Projects Database'!$V204,"Link 5"),"")</f>
        <v/>
      </c>
      <c r="AD204" s="239" t="str">
        <f>IF('CCUS Projects Database'!$W204&lt;&gt;"",HYPERLINK('CCUS Projects Database'!$W204,"Link 6"),"")</f>
        <v/>
      </c>
      <c r="AE204" s="239" t="str">
        <f>IF('CCUS Projects Database'!$X204&lt;&gt;"",HYPERLINK('CCUS Projects Database'!$X204,"Link 7"),"")</f>
        <v/>
      </c>
    </row>
    <row r="205" ht="14.25" customHeight="1">
      <c r="A205" s="233" t="s">
        <v>19559</v>
      </c>
      <c r="B205" s="234">
        <v>252.0</v>
      </c>
      <c r="C205" s="234" t="s">
        <v>18586</v>
      </c>
      <c r="D205" s="235" t="s">
        <v>19557</v>
      </c>
      <c r="E205" s="234" t="s">
        <v>18616</v>
      </c>
      <c r="F205" s="234" t="s">
        <v>18725</v>
      </c>
      <c r="G205" s="234">
        <v>1984.0</v>
      </c>
      <c r="H205" s="234">
        <v>1986.0</v>
      </c>
      <c r="I205" s="234" t="s">
        <v>18725</v>
      </c>
      <c r="J205" s="234" t="s">
        <v>12385</v>
      </c>
      <c r="K205" s="236">
        <v>1.0</v>
      </c>
      <c r="L205" s="236">
        <v>3.5</v>
      </c>
      <c r="M205" s="236">
        <v>3.5</v>
      </c>
      <c r="N205" s="234" t="s">
        <v>18656</v>
      </c>
      <c r="O205" s="237" t="s">
        <v>18677</v>
      </c>
      <c r="P205" s="238" t="s">
        <v>18725</v>
      </c>
      <c r="Q205" s="234" t="s">
        <v>18732</v>
      </c>
      <c r="R205" s="238" t="s">
        <v>19554</v>
      </c>
      <c r="S205" s="238" t="s">
        <v>19560</v>
      </c>
      <c r="T205" s="238" t="s">
        <v>19561</v>
      </c>
      <c r="U205" s="238" t="s">
        <v>18725</v>
      </c>
      <c r="V205" s="238" t="s">
        <v>18725</v>
      </c>
      <c r="W205" s="238" t="s">
        <v>18725</v>
      </c>
      <c r="X205" s="238" t="s">
        <v>18725</v>
      </c>
      <c r="Y205" s="239" t="str">
        <f>IF('CCUS Projects Database'!$R205&lt;&gt;"",HYPERLINK('CCUS Projects Database'!$R205,"Link 1"),"")</f>
        <v>Link 1</v>
      </c>
      <c r="Z205" s="239" t="str">
        <f>IF('CCUS Projects Database'!$S205&lt;&gt;"",HYPERLINK('CCUS Projects Database'!$S205,"Link 2"),"")</f>
        <v>Link 2</v>
      </c>
      <c r="AA205" s="239" t="str">
        <f>IF('CCUS Projects Database'!$T205&lt;&gt;"",HYPERLINK('CCUS Projects Database'!$T205,"Link 3"),"")</f>
        <v>Link 3</v>
      </c>
      <c r="AB205" s="239" t="str">
        <f>IF('CCUS Projects Database'!$U205&lt;&gt;"",HYPERLINK('CCUS Projects Database'!$U205,"Link 4"),"")</f>
        <v/>
      </c>
      <c r="AC205" s="239" t="str">
        <f>IF('CCUS Projects Database'!$V205&lt;&gt;"",HYPERLINK('CCUS Projects Database'!$V205,"Link 5"),"")</f>
        <v/>
      </c>
      <c r="AD205" s="239" t="str">
        <f>IF('CCUS Projects Database'!$W205&lt;&gt;"",HYPERLINK('CCUS Projects Database'!$W205,"Link 6"),"")</f>
        <v/>
      </c>
      <c r="AE205" s="239" t="str">
        <f>IF('CCUS Projects Database'!$X205&lt;&gt;"",HYPERLINK('CCUS Projects Database'!$X205,"Link 7"),"")</f>
        <v/>
      </c>
    </row>
    <row r="206" ht="14.25" customHeight="1">
      <c r="A206" s="233" t="s">
        <v>19562</v>
      </c>
      <c r="B206" s="234">
        <v>253.0</v>
      </c>
      <c r="C206" s="234" t="s">
        <v>18586</v>
      </c>
      <c r="D206" s="235" t="s">
        <v>19563</v>
      </c>
      <c r="E206" s="234" t="s">
        <v>18618</v>
      </c>
      <c r="F206" s="234">
        <v>2020.0</v>
      </c>
      <c r="G206" s="234" t="s">
        <v>18725</v>
      </c>
      <c r="H206" s="234">
        <v>2032.0</v>
      </c>
      <c r="I206" s="234" t="s">
        <v>18725</v>
      </c>
      <c r="J206" s="234" t="s">
        <v>18636</v>
      </c>
      <c r="K206" s="236" t="s">
        <v>18725</v>
      </c>
      <c r="L206" s="236">
        <v>1.3</v>
      </c>
      <c r="M206" s="236">
        <v>1.3</v>
      </c>
      <c r="N206" s="234" t="s">
        <v>18663</v>
      </c>
      <c r="O206" s="237" t="s">
        <v>18675</v>
      </c>
      <c r="P206" s="238" t="s">
        <v>18725</v>
      </c>
      <c r="Q206" s="234" t="s">
        <v>18732</v>
      </c>
      <c r="R206" s="238" t="s">
        <v>19564</v>
      </c>
      <c r="S206" s="238" t="s">
        <v>19565</v>
      </c>
      <c r="T206" s="238" t="s">
        <v>19566</v>
      </c>
      <c r="U206" s="238" t="s">
        <v>19567</v>
      </c>
      <c r="V206" s="238" t="s">
        <v>19568</v>
      </c>
      <c r="W206" s="238" t="s">
        <v>18725</v>
      </c>
      <c r="X206" s="238" t="s">
        <v>18725</v>
      </c>
      <c r="Y206" s="239" t="str">
        <f>IF('CCUS Projects Database'!$R206&lt;&gt;"",HYPERLINK('CCUS Projects Database'!$R206,"Link 1"),"")</f>
        <v>Link 1</v>
      </c>
      <c r="Z206" s="239" t="str">
        <f>IF('CCUS Projects Database'!$S206&lt;&gt;"",HYPERLINK('CCUS Projects Database'!$S206,"Link 2"),"")</f>
        <v>Link 2</v>
      </c>
      <c r="AA206" s="239" t="str">
        <f>IF('CCUS Projects Database'!$T206&lt;&gt;"",HYPERLINK('CCUS Projects Database'!$T206,"Link 3"),"")</f>
        <v>Link 3</v>
      </c>
      <c r="AB206" s="239" t="str">
        <f>IF('CCUS Projects Database'!$U206&lt;&gt;"",HYPERLINK('CCUS Projects Database'!$U206,"Link 4"),"")</f>
        <v>Link 4</v>
      </c>
      <c r="AC206" s="239" t="str">
        <f>IF('CCUS Projects Database'!$V206&lt;&gt;"",HYPERLINK('CCUS Projects Database'!$V206,"Link 5"),"")</f>
        <v>Link 5</v>
      </c>
      <c r="AD206" s="239" t="str">
        <f>IF('CCUS Projects Database'!$W206&lt;&gt;"",HYPERLINK('CCUS Projects Database'!$W206,"Link 6"),"")</f>
        <v/>
      </c>
      <c r="AE206" s="239" t="str">
        <f>IF('CCUS Projects Database'!$X206&lt;&gt;"",HYPERLINK('CCUS Projects Database'!$X206,"Link 7"),"")</f>
        <v/>
      </c>
    </row>
    <row r="207" ht="14.25" customHeight="1">
      <c r="A207" s="233" t="s">
        <v>19569</v>
      </c>
      <c r="B207" s="234">
        <v>254.0</v>
      </c>
      <c r="C207" s="234" t="s">
        <v>18586</v>
      </c>
      <c r="D207" s="235" t="s">
        <v>19570</v>
      </c>
      <c r="E207" s="234" t="s">
        <v>18618</v>
      </c>
      <c r="F207" s="234">
        <v>2021.0</v>
      </c>
      <c r="G207" s="234" t="s">
        <v>18725</v>
      </c>
      <c r="H207" s="234">
        <v>2029.0</v>
      </c>
      <c r="I207" s="234" t="s">
        <v>18725</v>
      </c>
      <c r="J207" s="234" t="s">
        <v>18636</v>
      </c>
      <c r="K207" s="236" t="s">
        <v>18725</v>
      </c>
      <c r="L207" s="236">
        <v>2.75</v>
      </c>
      <c r="M207" s="236">
        <v>2.75</v>
      </c>
      <c r="N207" s="234" t="s">
        <v>18663</v>
      </c>
      <c r="O207" s="237" t="s">
        <v>18675</v>
      </c>
      <c r="P207" s="238" t="s">
        <v>18725</v>
      </c>
      <c r="Q207" s="234" t="s">
        <v>18732</v>
      </c>
      <c r="R207" s="238" t="s">
        <v>19571</v>
      </c>
      <c r="S207" s="238" t="s">
        <v>19572</v>
      </c>
      <c r="T207" s="238" t="s">
        <v>19573</v>
      </c>
      <c r="U207" s="238" t="s">
        <v>18725</v>
      </c>
      <c r="V207" s="238" t="s">
        <v>18725</v>
      </c>
      <c r="W207" s="238" t="s">
        <v>18725</v>
      </c>
      <c r="X207" s="238" t="s">
        <v>18725</v>
      </c>
      <c r="Y207" s="239" t="str">
        <f>IF('CCUS Projects Database'!$R207&lt;&gt;"",HYPERLINK('CCUS Projects Database'!$R207,"Link 1"),"")</f>
        <v>Link 1</v>
      </c>
      <c r="Z207" s="239" t="str">
        <f>IF('CCUS Projects Database'!$S207&lt;&gt;"",HYPERLINK('CCUS Projects Database'!$S207,"Link 2"),"")</f>
        <v>Link 2</v>
      </c>
      <c r="AA207" s="239" t="str">
        <f>IF('CCUS Projects Database'!$T207&lt;&gt;"",HYPERLINK('CCUS Projects Database'!$T207,"Link 3"),"")</f>
        <v>Link 3</v>
      </c>
      <c r="AB207" s="239" t="str">
        <f>IF('CCUS Projects Database'!$U207&lt;&gt;"",HYPERLINK('CCUS Projects Database'!$U207,"Link 4"),"")</f>
        <v/>
      </c>
      <c r="AC207" s="239" t="str">
        <f>IF('CCUS Projects Database'!$V207&lt;&gt;"",HYPERLINK('CCUS Projects Database'!$V207,"Link 5"),"")</f>
        <v/>
      </c>
      <c r="AD207" s="239" t="str">
        <f>IF('CCUS Projects Database'!$W207&lt;&gt;"",HYPERLINK('CCUS Projects Database'!$W207,"Link 6"),"")</f>
        <v/>
      </c>
      <c r="AE207" s="239" t="str">
        <f>IF('CCUS Projects Database'!$X207&lt;&gt;"",HYPERLINK('CCUS Projects Database'!$X207,"Link 7"),"")</f>
        <v/>
      </c>
    </row>
    <row r="208" ht="14.25" customHeight="1">
      <c r="A208" s="233" t="s">
        <v>19574</v>
      </c>
      <c r="B208" s="234">
        <v>255.0</v>
      </c>
      <c r="C208" s="234" t="s">
        <v>18586</v>
      </c>
      <c r="D208" s="235" t="s">
        <v>19575</v>
      </c>
      <c r="E208" s="234" t="s">
        <v>18618</v>
      </c>
      <c r="F208" s="234">
        <v>2009.0</v>
      </c>
      <c r="G208" s="234">
        <v>2025.0</v>
      </c>
      <c r="H208" s="234">
        <v>2027.0</v>
      </c>
      <c r="I208" s="234" t="s">
        <v>18725</v>
      </c>
      <c r="J208" s="234" t="s">
        <v>18636</v>
      </c>
      <c r="K208" s="236" t="s">
        <v>18725</v>
      </c>
      <c r="L208" s="236" t="s">
        <v>19576</v>
      </c>
      <c r="M208" s="236">
        <v>4.2</v>
      </c>
      <c r="N208" s="234" t="s">
        <v>677</v>
      </c>
      <c r="O208" s="237" t="s">
        <v>18890</v>
      </c>
      <c r="P208" s="238" t="s">
        <v>18725</v>
      </c>
      <c r="Q208" s="234" t="s">
        <v>18732</v>
      </c>
      <c r="R208" s="238" t="s">
        <v>15754</v>
      </c>
      <c r="S208" s="238" t="s">
        <v>19577</v>
      </c>
      <c r="T208" s="238" t="s">
        <v>18725</v>
      </c>
      <c r="U208" s="238" t="s">
        <v>18725</v>
      </c>
      <c r="V208" s="238" t="s">
        <v>18725</v>
      </c>
      <c r="W208" s="238" t="s">
        <v>18725</v>
      </c>
      <c r="X208" s="238" t="s">
        <v>18725</v>
      </c>
      <c r="Y208" s="239" t="str">
        <f>IF('CCUS Projects Database'!$R208&lt;&gt;"",HYPERLINK('CCUS Projects Database'!$R208,"Link 1"),"")</f>
        <v>Link 1</v>
      </c>
      <c r="Z208" s="239" t="str">
        <f>IF('CCUS Projects Database'!$S208&lt;&gt;"",HYPERLINK('CCUS Projects Database'!$S208,"Link 2"),"")</f>
        <v>Link 2</v>
      </c>
      <c r="AA208" s="239" t="str">
        <f>IF('CCUS Projects Database'!$T208&lt;&gt;"",HYPERLINK('CCUS Projects Database'!$T208,"Link 3"),"")</f>
        <v/>
      </c>
      <c r="AB208" s="239" t="str">
        <f>IF('CCUS Projects Database'!$U208&lt;&gt;"",HYPERLINK('CCUS Projects Database'!$U208,"Link 4"),"")</f>
        <v/>
      </c>
      <c r="AC208" s="239" t="str">
        <f>IF('CCUS Projects Database'!$V208&lt;&gt;"",HYPERLINK('CCUS Projects Database'!$V208,"Link 5"),"")</f>
        <v/>
      </c>
      <c r="AD208" s="239" t="str">
        <f>IF('CCUS Projects Database'!$W208&lt;&gt;"",HYPERLINK('CCUS Projects Database'!$W208,"Link 6"),"")</f>
        <v/>
      </c>
      <c r="AE208" s="239" t="str">
        <f>IF('CCUS Projects Database'!$X208&lt;&gt;"",HYPERLINK('CCUS Projects Database'!$X208,"Link 7"),"")</f>
        <v/>
      </c>
    </row>
    <row r="209" ht="14.25" customHeight="1">
      <c r="A209" s="233" t="s">
        <v>9167</v>
      </c>
      <c r="B209" s="234">
        <v>257.0</v>
      </c>
      <c r="C209" s="234" t="s">
        <v>18586</v>
      </c>
      <c r="D209" s="235" t="s">
        <v>19578</v>
      </c>
      <c r="E209" s="234" t="s">
        <v>18616</v>
      </c>
      <c r="F209" s="234">
        <v>2022.0</v>
      </c>
      <c r="G209" s="234" t="s">
        <v>18725</v>
      </c>
      <c r="H209" s="234">
        <v>2026.0</v>
      </c>
      <c r="I209" s="234" t="s">
        <v>18725</v>
      </c>
      <c r="J209" s="234" t="s">
        <v>18636</v>
      </c>
      <c r="K209" s="236" t="s">
        <v>18725</v>
      </c>
      <c r="L209" s="236">
        <v>0.45</v>
      </c>
      <c r="M209" s="236">
        <v>0.45</v>
      </c>
      <c r="N209" s="234" t="s">
        <v>18731</v>
      </c>
      <c r="O209" s="237" t="s">
        <v>18675</v>
      </c>
      <c r="P209" s="238" t="s">
        <v>18725</v>
      </c>
      <c r="Q209" s="234" t="s">
        <v>18732</v>
      </c>
      <c r="R209" s="238" t="s">
        <v>16858</v>
      </c>
      <c r="S209" s="238" t="s">
        <v>18725</v>
      </c>
      <c r="T209" s="238" t="s">
        <v>18725</v>
      </c>
      <c r="U209" s="238" t="s">
        <v>18725</v>
      </c>
      <c r="V209" s="238" t="s">
        <v>18725</v>
      </c>
      <c r="W209" s="238" t="s">
        <v>18725</v>
      </c>
      <c r="X209" s="238" t="s">
        <v>18725</v>
      </c>
      <c r="Y209" s="239" t="str">
        <f>IF('CCUS Projects Database'!$R209&lt;&gt;"",HYPERLINK('CCUS Projects Database'!$R209,"Link 1"),"")</f>
        <v>Link 1</v>
      </c>
      <c r="Z209" s="239" t="str">
        <f>IF('CCUS Projects Database'!$S209&lt;&gt;"",HYPERLINK('CCUS Projects Database'!$S209,"Link 2"),"")</f>
        <v/>
      </c>
      <c r="AA209" s="239" t="str">
        <f>IF('CCUS Projects Database'!$T209&lt;&gt;"",HYPERLINK('CCUS Projects Database'!$T209,"Link 3"),"")</f>
        <v/>
      </c>
      <c r="AB209" s="239" t="str">
        <f>IF('CCUS Projects Database'!$U209&lt;&gt;"",HYPERLINK('CCUS Projects Database'!$U209,"Link 4"),"")</f>
        <v/>
      </c>
      <c r="AC209" s="239" t="str">
        <f>IF('CCUS Projects Database'!$V209&lt;&gt;"",HYPERLINK('CCUS Projects Database'!$V209,"Link 5"),"")</f>
        <v/>
      </c>
      <c r="AD209" s="239" t="str">
        <f>IF('CCUS Projects Database'!$W209&lt;&gt;"",HYPERLINK('CCUS Projects Database'!$W209,"Link 6"),"")</f>
        <v/>
      </c>
      <c r="AE209" s="239" t="str">
        <f>IF('CCUS Projects Database'!$X209&lt;&gt;"",HYPERLINK('CCUS Projects Database'!$X209,"Link 7"),"")</f>
        <v/>
      </c>
    </row>
    <row r="210" ht="14.25" customHeight="1">
      <c r="A210" s="233" t="s">
        <v>19579</v>
      </c>
      <c r="B210" s="234">
        <v>258.0</v>
      </c>
      <c r="C210" s="234" t="s">
        <v>18264</v>
      </c>
      <c r="D210" s="235" t="s">
        <v>19580</v>
      </c>
      <c r="E210" s="234" t="s">
        <v>18618</v>
      </c>
      <c r="F210" s="234">
        <v>2019.0</v>
      </c>
      <c r="G210" s="234">
        <v>2025.0</v>
      </c>
      <c r="H210" s="234">
        <v>2027.0</v>
      </c>
      <c r="I210" s="234" t="s">
        <v>18725</v>
      </c>
      <c r="J210" s="234" t="s">
        <v>18636</v>
      </c>
      <c r="K210" s="236">
        <v>1.0</v>
      </c>
      <c r="L210" s="236" t="s">
        <v>19552</v>
      </c>
      <c r="M210" s="236">
        <v>1.0</v>
      </c>
      <c r="N210" s="234" t="s">
        <v>18663</v>
      </c>
      <c r="O210" s="237" t="s">
        <v>18675</v>
      </c>
      <c r="P210" s="238" t="s">
        <v>19293</v>
      </c>
      <c r="Q210" s="234" t="s">
        <v>18732</v>
      </c>
      <c r="R210" s="238" t="s">
        <v>19581</v>
      </c>
      <c r="S210" s="238" t="s">
        <v>19582</v>
      </c>
      <c r="T210" s="238" t="s">
        <v>19583</v>
      </c>
      <c r="U210" s="238" t="s">
        <v>19584</v>
      </c>
      <c r="V210" s="238" t="s">
        <v>19585</v>
      </c>
      <c r="W210" s="238" t="s">
        <v>19586</v>
      </c>
      <c r="X210" s="238" t="s">
        <v>19587</v>
      </c>
      <c r="Y210" s="239" t="str">
        <f>IF('CCUS Projects Database'!$R210&lt;&gt;"",HYPERLINK('CCUS Projects Database'!$R210,"Link 1"),"")</f>
        <v>Link 1</v>
      </c>
      <c r="Z210" s="239" t="str">
        <f>IF('CCUS Projects Database'!$S210&lt;&gt;"",HYPERLINK('CCUS Projects Database'!$S210,"Link 2"),"")</f>
        <v>Link 2</v>
      </c>
      <c r="AA210" s="239" t="str">
        <f>IF('CCUS Projects Database'!$T210&lt;&gt;"",HYPERLINK('CCUS Projects Database'!$T210,"Link 3"),"")</f>
        <v>Link 3</v>
      </c>
      <c r="AB210" s="239" t="str">
        <f>IF('CCUS Projects Database'!$U210&lt;&gt;"",HYPERLINK('CCUS Projects Database'!$U210,"Link 4"),"")</f>
        <v>Link 4</v>
      </c>
      <c r="AC210" s="239" t="str">
        <f>IF('CCUS Projects Database'!$V210&lt;&gt;"",HYPERLINK('CCUS Projects Database'!$V210,"Link 5"),"")</f>
        <v>Link 5</v>
      </c>
      <c r="AD210" s="239" t="str">
        <f>IF('CCUS Projects Database'!$W210&lt;&gt;"",HYPERLINK('CCUS Projects Database'!$W210,"Link 6"),"")</f>
        <v>Link 6</v>
      </c>
      <c r="AE210" s="239" t="str">
        <f>IF('CCUS Projects Database'!$X210&lt;&gt;"",HYPERLINK('CCUS Projects Database'!$X210,"Link 7"),"")</f>
        <v>Link 7</v>
      </c>
    </row>
    <row r="211" ht="14.25" customHeight="1">
      <c r="A211" s="233" t="s">
        <v>19588</v>
      </c>
      <c r="B211" s="234">
        <v>259.0</v>
      </c>
      <c r="C211" s="234" t="s">
        <v>120</v>
      </c>
      <c r="D211" s="235" t="s">
        <v>19589</v>
      </c>
      <c r="E211" s="234" t="s">
        <v>18618</v>
      </c>
      <c r="F211" s="234">
        <v>2022.0</v>
      </c>
      <c r="G211" s="234" t="s">
        <v>18725</v>
      </c>
      <c r="H211" s="234">
        <v>2028.0</v>
      </c>
      <c r="I211" s="234" t="s">
        <v>18725</v>
      </c>
      <c r="J211" s="234" t="s">
        <v>18636</v>
      </c>
      <c r="K211" s="236" t="s">
        <v>18725</v>
      </c>
      <c r="L211" s="236">
        <v>0.6</v>
      </c>
      <c r="M211" s="236">
        <v>0.6</v>
      </c>
      <c r="N211" s="234" t="s">
        <v>18663</v>
      </c>
      <c r="O211" s="237" t="s">
        <v>18675</v>
      </c>
      <c r="P211" s="238" t="s">
        <v>19508</v>
      </c>
      <c r="Q211" s="234" t="s">
        <v>18726</v>
      </c>
      <c r="R211" s="238" t="s">
        <v>19590</v>
      </c>
      <c r="S211" s="238" t="s">
        <v>19591</v>
      </c>
      <c r="T211" s="238" t="s">
        <v>18725</v>
      </c>
      <c r="U211" s="238" t="s">
        <v>18725</v>
      </c>
      <c r="V211" s="238" t="s">
        <v>18725</v>
      </c>
      <c r="W211" s="238" t="s">
        <v>18725</v>
      </c>
      <c r="X211" s="238" t="s">
        <v>18725</v>
      </c>
      <c r="Y211" s="239" t="str">
        <f>IF('CCUS Projects Database'!$R211&lt;&gt;"",HYPERLINK('CCUS Projects Database'!$R211,"Link 1"),"")</f>
        <v>Link 1</v>
      </c>
      <c r="Z211" s="239" t="str">
        <f>IF('CCUS Projects Database'!$S211&lt;&gt;"",HYPERLINK('CCUS Projects Database'!$S211,"Link 2"),"")</f>
        <v>Link 2</v>
      </c>
      <c r="AA211" s="239" t="str">
        <f>IF('CCUS Projects Database'!$T211&lt;&gt;"",HYPERLINK('CCUS Projects Database'!$T211,"Link 3"),"")</f>
        <v/>
      </c>
      <c r="AB211" s="239" t="str">
        <f>IF('CCUS Projects Database'!$U211&lt;&gt;"",HYPERLINK('CCUS Projects Database'!$U211,"Link 4"),"")</f>
        <v/>
      </c>
      <c r="AC211" s="239" t="str">
        <f>IF('CCUS Projects Database'!$V211&lt;&gt;"",HYPERLINK('CCUS Projects Database'!$V211,"Link 5"),"")</f>
        <v/>
      </c>
      <c r="AD211" s="239" t="str">
        <f>IF('CCUS Projects Database'!$W211&lt;&gt;"",HYPERLINK('CCUS Projects Database'!$W211,"Link 6"),"")</f>
        <v/>
      </c>
      <c r="AE211" s="239" t="str">
        <f>IF('CCUS Projects Database'!$X211&lt;&gt;"",HYPERLINK('CCUS Projects Database'!$X211,"Link 7"),"")</f>
        <v/>
      </c>
    </row>
    <row r="212" ht="14.25" customHeight="1">
      <c r="A212" s="233" t="s">
        <v>19592</v>
      </c>
      <c r="B212" s="234">
        <v>260.0</v>
      </c>
      <c r="C212" s="234" t="s">
        <v>18586</v>
      </c>
      <c r="D212" s="235" t="s">
        <v>19593</v>
      </c>
      <c r="E212" s="234" t="s">
        <v>18618</v>
      </c>
      <c r="F212" s="234">
        <v>2021.0</v>
      </c>
      <c r="G212" s="234">
        <v>2026.0</v>
      </c>
      <c r="H212" s="234">
        <v>2028.0</v>
      </c>
      <c r="I212" s="234" t="s">
        <v>18725</v>
      </c>
      <c r="J212" s="234" t="s">
        <v>18636</v>
      </c>
      <c r="K212" s="236" t="s">
        <v>18725</v>
      </c>
      <c r="L212" s="236" t="s">
        <v>19146</v>
      </c>
      <c r="M212" s="236">
        <v>0.257</v>
      </c>
      <c r="N212" s="234" t="s">
        <v>12270</v>
      </c>
      <c r="O212" s="237" t="s">
        <v>18675</v>
      </c>
      <c r="P212" s="238" t="s">
        <v>18966</v>
      </c>
      <c r="Q212" s="234" t="s">
        <v>18732</v>
      </c>
      <c r="R212" s="238" t="s">
        <v>19109</v>
      </c>
      <c r="S212" s="238" t="s">
        <v>19110</v>
      </c>
      <c r="T212" s="238" t="s">
        <v>19111</v>
      </c>
      <c r="U212" s="238" t="s">
        <v>18725</v>
      </c>
      <c r="V212" s="238" t="s">
        <v>18725</v>
      </c>
      <c r="W212" s="238" t="s">
        <v>18725</v>
      </c>
      <c r="X212" s="238" t="s">
        <v>18725</v>
      </c>
      <c r="Y212" s="239" t="str">
        <f>IF('CCUS Projects Database'!$R212&lt;&gt;"",HYPERLINK('CCUS Projects Database'!$R212,"Link 1"),"")</f>
        <v>Link 1</v>
      </c>
      <c r="Z212" s="239" t="str">
        <f>IF('CCUS Projects Database'!$S212&lt;&gt;"",HYPERLINK('CCUS Projects Database'!$S212,"Link 2"),"")</f>
        <v>Link 2</v>
      </c>
      <c r="AA212" s="239" t="str">
        <f>IF('CCUS Projects Database'!$T212&lt;&gt;"",HYPERLINK('CCUS Projects Database'!$T212,"Link 3"),"")</f>
        <v>Link 3</v>
      </c>
      <c r="AB212" s="239" t="str">
        <f>IF('CCUS Projects Database'!$U212&lt;&gt;"",HYPERLINK('CCUS Projects Database'!$U212,"Link 4"),"")</f>
        <v/>
      </c>
      <c r="AC212" s="239" t="str">
        <f>IF('CCUS Projects Database'!$V212&lt;&gt;"",HYPERLINK('CCUS Projects Database'!$V212,"Link 5"),"")</f>
        <v/>
      </c>
      <c r="AD212" s="239" t="str">
        <f>IF('CCUS Projects Database'!$W212&lt;&gt;"",HYPERLINK('CCUS Projects Database'!$W212,"Link 6"),"")</f>
        <v/>
      </c>
      <c r="AE212" s="239" t="str">
        <f>IF('CCUS Projects Database'!$X212&lt;&gt;"",HYPERLINK('CCUS Projects Database'!$X212,"Link 7"),"")</f>
        <v/>
      </c>
    </row>
    <row r="213" ht="14.25" customHeight="1">
      <c r="A213" s="233" t="s">
        <v>9141</v>
      </c>
      <c r="B213" s="234">
        <v>261.0</v>
      </c>
      <c r="C213" s="234" t="s">
        <v>18586</v>
      </c>
      <c r="D213" s="235" t="s">
        <v>19594</v>
      </c>
      <c r="E213" s="234" t="s">
        <v>18618</v>
      </c>
      <c r="F213" s="234">
        <v>2021.0</v>
      </c>
      <c r="G213" s="234" t="s">
        <v>18725</v>
      </c>
      <c r="H213" s="234">
        <v>2026.0</v>
      </c>
      <c r="I213" s="234" t="s">
        <v>18725</v>
      </c>
      <c r="J213" s="234" t="s">
        <v>18636</v>
      </c>
      <c r="K213" s="236" t="s">
        <v>18725</v>
      </c>
      <c r="L213" s="236">
        <v>1.1</v>
      </c>
      <c r="M213" s="236">
        <v>1.1</v>
      </c>
      <c r="N213" s="234" t="s">
        <v>18731</v>
      </c>
      <c r="O213" s="237" t="s">
        <v>18675</v>
      </c>
      <c r="P213" s="238" t="s">
        <v>18725</v>
      </c>
      <c r="Q213" s="234" t="s">
        <v>18732</v>
      </c>
      <c r="R213" s="238" t="s">
        <v>16835</v>
      </c>
      <c r="S213" s="238" t="s">
        <v>19595</v>
      </c>
      <c r="T213" s="238" t="s">
        <v>18725</v>
      </c>
      <c r="U213" s="238" t="s">
        <v>18725</v>
      </c>
      <c r="V213" s="238" t="s">
        <v>18725</v>
      </c>
      <c r="W213" s="238" t="s">
        <v>18725</v>
      </c>
      <c r="X213" s="238" t="s">
        <v>18725</v>
      </c>
      <c r="Y213" s="239" t="str">
        <f>IF('CCUS Projects Database'!$R213&lt;&gt;"",HYPERLINK('CCUS Projects Database'!$R213,"Link 1"),"")</f>
        <v>Link 1</v>
      </c>
      <c r="Z213" s="239" t="str">
        <f>IF('CCUS Projects Database'!$S213&lt;&gt;"",HYPERLINK('CCUS Projects Database'!$S213,"Link 2"),"")</f>
        <v>Link 2</v>
      </c>
      <c r="AA213" s="239" t="str">
        <f>IF('CCUS Projects Database'!$T213&lt;&gt;"",HYPERLINK('CCUS Projects Database'!$T213,"Link 3"),"")</f>
        <v/>
      </c>
      <c r="AB213" s="239" t="str">
        <f>IF('CCUS Projects Database'!$U213&lt;&gt;"",HYPERLINK('CCUS Projects Database'!$U213,"Link 4"),"")</f>
        <v/>
      </c>
      <c r="AC213" s="239" t="str">
        <f>IF('CCUS Projects Database'!$V213&lt;&gt;"",HYPERLINK('CCUS Projects Database'!$V213,"Link 5"),"")</f>
        <v/>
      </c>
      <c r="AD213" s="239" t="str">
        <f>IF('CCUS Projects Database'!$W213&lt;&gt;"",HYPERLINK('CCUS Projects Database'!$W213,"Link 6"),"")</f>
        <v/>
      </c>
      <c r="AE213" s="239" t="str">
        <f>IF('CCUS Projects Database'!$X213&lt;&gt;"",HYPERLINK('CCUS Projects Database'!$X213,"Link 7"),"")</f>
        <v/>
      </c>
    </row>
    <row r="214" ht="14.25" customHeight="1">
      <c r="A214" s="233" t="s">
        <v>19596</v>
      </c>
      <c r="B214" s="234">
        <v>262.0</v>
      </c>
      <c r="C214" s="234" t="s">
        <v>18586</v>
      </c>
      <c r="D214" s="235" t="s">
        <v>19597</v>
      </c>
      <c r="E214" s="234" t="s">
        <v>18623</v>
      </c>
      <c r="F214" s="234">
        <v>2022.0</v>
      </c>
      <c r="G214" s="234" t="s">
        <v>18725</v>
      </c>
      <c r="H214" s="234">
        <v>2026.0</v>
      </c>
      <c r="I214" s="234" t="s">
        <v>18725</v>
      </c>
      <c r="J214" s="234" t="s">
        <v>18636</v>
      </c>
      <c r="K214" s="236" t="s">
        <v>18725</v>
      </c>
      <c r="L214" s="236">
        <v>15.0</v>
      </c>
      <c r="M214" s="236">
        <v>15.0</v>
      </c>
      <c r="N214" s="234" t="s">
        <v>18623</v>
      </c>
      <c r="O214" s="237" t="s">
        <v>18675</v>
      </c>
      <c r="P214" s="238" t="s">
        <v>19596</v>
      </c>
      <c r="Q214" s="234" t="s">
        <v>18732</v>
      </c>
      <c r="R214" s="238" t="s">
        <v>16835</v>
      </c>
      <c r="S214" s="238" t="s">
        <v>18725</v>
      </c>
      <c r="T214" s="238" t="s">
        <v>18725</v>
      </c>
      <c r="U214" s="238" t="s">
        <v>18725</v>
      </c>
      <c r="V214" s="238" t="s">
        <v>18725</v>
      </c>
      <c r="W214" s="238" t="s">
        <v>18725</v>
      </c>
      <c r="X214" s="238" t="s">
        <v>18725</v>
      </c>
      <c r="Y214" s="239" t="str">
        <f>IF('CCUS Projects Database'!$R214&lt;&gt;"",HYPERLINK('CCUS Projects Database'!$R214,"Link 1"),"")</f>
        <v>Link 1</v>
      </c>
      <c r="Z214" s="239" t="str">
        <f>IF('CCUS Projects Database'!$S214&lt;&gt;"",HYPERLINK('CCUS Projects Database'!$S214,"Link 2"),"")</f>
        <v/>
      </c>
      <c r="AA214" s="239" t="str">
        <f>IF('CCUS Projects Database'!$T214&lt;&gt;"",HYPERLINK('CCUS Projects Database'!$T214,"Link 3"),"")</f>
        <v/>
      </c>
      <c r="AB214" s="239" t="str">
        <f>IF('CCUS Projects Database'!$U214&lt;&gt;"",HYPERLINK('CCUS Projects Database'!$U214,"Link 4"),"")</f>
        <v/>
      </c>
      <c r="AC214" s="239" t="str">
        <f>IF('CCUS Projects Database'!$V214&lt;&gt;"",HYPERLINK('CCUS Projects Database'!$V214,"Link 5"),"")</f>
        <v/>
      </c>
      <c r="AD214" s="239" t="str">
        <f>IF('CCUS Projects Database'!$W214&lt;&gt;"",HYPERLINK('CCUS Projects Database'!$W214,"Link 6"),"")</f>
        <v/>
      </c>
      <c r="AE214" s="239" t="str">
        <f>IF('CCUS Projects Database'!$X214&lt;&gt;"",HYPERLINK('CCUS Projects Database'!$X214,"Link 7"),"")</f>
        <v/>
      </c>
    </row>
    <row r="215" ht="14.25" customHeight="1">
      <c r="A215" s="233" t="s">
        <v>19598</v>
      </c>
      <c r="B215" s="234">
        <v>263.0</v>
      </c>
      <c r="C215" s="234" t="s">
        <v>339</v>
      </c>
      <c r="D215" s="235" t="s">
        <v>19599</v>
      </c>
      <c r="E215" s="234" t="s">
        <v>18625</v>
      </c>
      <c r="F215" s="234">
        <v>2022.0</v>
      </c>
      <c r="G215" s="234" t="s">
        <v>18725</v>
      </c>
      <c r="H215" s="234" t="s">
        <v>18725</v>
      </c>
      <c r="I215" s="234" t="s">
        <v>18725</v>
      </c>
      <c r="J215" s="234" t="s">
        <v>18636</v>
      </c>
      <c r="K215" s="236" t="s">
        <v>18725</v>
      </c>
      <c r="L215" s="236">
        <v>0.1</v>
      </c>
      <c r="M215" s="236">
        <v>0.1</v>
      </c>
      <c r="N215" s="234" t="s">
        <v>18654</v>
      </c>
      <c r="O215" s="237" t="s">
        <v>18679</v>
      </c>
      <c r="P215" s="238" t="s">
        <v>18725</v>
      </c>
      <c r="Q215" s="234" t="s">
        <v>18726</v>
      </c>
      <c r="R215" s="238" t="s">
        <v>19600</v>
      </c>
      <c r="S215" s="238" t="s">
        <v>18725</v>
      </c>
      <c r="T215" s="238" t="s">
        <v>18725</v>
      </c>
      <c r="U215" s="238" t="s">
        <v>18725</v>
      </c>
      <c r="V215" s="238" t="s">
        <v>18725</v>
      </c>
      <c r="W215" s="238" t="s">
        <v>18725</v>
      </c>
      <c r="X215" s="238" t="s">
        <v>18725</v>
      </c>
      <c r="Y215" s="239" t="str">
        <f>IF('CCUS Projects Database'!$R215&lt;&gt;"",HYPERLINK('CCUS Projects Database'!$R215,"Link 1"),"")</f>
        <v>Link 1</v>
      </c>
      <c r="Z215" s="239" t="str">
        <f>IF('CCUS Projects Database'!$S215&lt;&gt;"",HYPERLINK('CCUS Projects Database'!$S215,"Link 2"),"")</f>
        <v/>
      </c>
      <c r="AA215" s="239" t="str">
        <f>IF('CCUS Projects Database'!$T215&lt;&gt;"",HYPERLINK('CCUS Projects Database'!$T215,"Link 3"),"")</f>
        <v/>
      </c>
      <c r="AB215" s="239" t="str">
        <f>IF('CCUS Projects Database'!$U215&lt;&gt;"",HYPERLINK('CCUS Projects Database'!$U215,"Link 4"),"")</f>
        <v/>
      </c>
      <c r="AC215" s="239" t="str">
        <f>IF('CCUS Projects Database'!$V215&lt;&gt;"",HYPERLINK('CCUS Projects Database'!$V215,"Link 5"),"")</f>
        <v/>
      </c>
      <c r="AD215" s="239" t="str">
        <f>IF('CCUS Projects Database'!$W215&lt;&gt;"",HYPERLINK('CCUS Projects Database'!$W215,"Link 6"),"")</f>
        <v/>
      </c>
      <c r="AE215" s="239" t="str">
        <f>IF('CCUS Projects Database'!$X215&lt;&gt;"",HYPERLINK('CCUS Projects Database'!$X215,"Link 7"),"")</f>
        <v/>
      </c>
    </row>
    <row r="216" ht="14.25" customHeight="1">
      <c r="A216" s="233" t="s">
        <v>19601</v>
      </c>
      <c r="B216" s="234">
        <v>264.0</v>
      </c>
      <c r="C216" s="234" t="s">
        <v>18586</v>
      </c>
      <c r="D216" s="235" t="s">
        <v>19602</v>
      </c>
      <c r="E216" s="234" t="s">
        <v>18618</v>
      </c>
      <c r="F216" s="234">
        <v>2021.0</v>
      </c>
      <c r="G216" s="234">
        <v>2026.0</v>
      </c>
      <c r="H216" s="234">
        <v>2028.0</v>
      </c>
      <c r="I216" s="234" t="s">
        <v>18725</v>
      </c>
      <c r="J216" s="234" t="s">
        <v>18636</v>
      </c>
      <c r="K216" s="236" t="s">
        <v>18725</v>
      </c>
      <c r="L216" s="236" t="s">
        <v>19603</v>
      </c>
      <c r="M216" s="236">
        <v>0.458</v>
      </c>
      <c r="N216" s="234" t="s">
        <v>12270</v>
      </c>
      <c r="O216" s="237" t="s">
        <v>18675</v>
      </c>
      <c r="P216" s="238" t="s">
        <v>18966</v>
      </c>
      <c r="Q216" s="234" t="s">
        <v>18732</v>
      </c>
      <c r="R216" s="238" t="s">
        <v>19109</v>
      </c>
      <c r="S216" s="238" t="s">
        <v>19110</v>
      </c>
      <c r="T216" s="238" t="s">
        <v>19111</v>
      </c>
      <c r="U216" s="238" t="s">
        <v>18725</v>
      </c>
      <c r="V216" s="238" t="s">
        <v>18725</v>
      </c>
      <c r="W216" s="238" t="s">
        <v>18725</v>
      </c>
      <c r="X216" s="238" t="s">
        <v>18725</v>
      </c>
      <c r="Y216" s="239" t="str">
        <f>IF('CCUS Projects Database'!$R216&lt;&gt;"",HYPERLINK('CCUS Projects Database'!$R216,"Link 1"),"")</f>
        <v>Link 1</v>
      </c>
      <c r="Z216" s="239" t="str">
        <f>IF('CCUS Projects Database'!$S216&lt;&gt;"",HYPERLINK('CCUS Projects Database'!$S216,"Link 2"),"")</f>
        <v>Link 2</v>
      </c>
      <c r="AA216" s="239" t="str">
        <f>IF('CCUS Projects Database'!$T216&lt;&gt;"",HYPERLINK('CCUS Projects Database'!$T216,"Link 3"),"")</f>
        <v>Link 3</v>
      </c>
      <c r="AB216" s="239" t="str">
        <f>IF('CCUS Projects Database'!$U216&lt;&gt;"",HYPERLINK('CCUS Projects Database'!$U216,"Link 4"),"")</f>
        <v/>
      </c>
      <c r="AC216" s="239" t="str">
        <f>IF('CCUS Projects Database'!$V216&lt;&gt;"",HYPERLINK('CCUS Projects Database'!$V216,"Link 5"),"")</f>
        <v/>
      </c>
      <c r="AD216" s="239" t="str">
        <f>IF('CCUS Projects Database'!$W216&lt;&gt;"",HYPERLINK('CCUS Projects Database'!$W216,"Link 6"),"")</f>
        <v/>
      </c>
      <c r="AE216" s="239" t="str">
        <f>IF('CCUS Projects Database'!$X216&lt;&gt;"",HYPERLINK('CCUS Projects Database'!$X216,"Link 7"),"")</f>
        <v/>
      </c>
    </row>
    <row r="217" ht="14.25" customHeight="1">
      <c r="A217" s="233" t="s">
        <v>19604</v>
      </c>
      <c r="B217" s="234">
        <v>265.0</v>
      </c>
      <c r="C217" s="234" t="s">
        <v>83</v>
      </c>
      <c r="D217" s="235" t="s">
        <v>19605</v>
      </c>
      <c r="E217" s="234" t="s">
        <v>18623</v>
      </c>
      <c r="F217" s="234">
        <v>2020.0</v>
      </c>
      <c r="G217" s="234">
        <v>2025.0</v>
      </c>
      <c r="H217" s="234">
        <v>2028.0</v>
      </c>
      <c r="I217" s="234" t="s">
        <v>18725</v>
      </c>
      <c r="J217" s="234" t="s">
        <v>18636</v>
      </c>
      <c r="K217" s="236">
        <v>1.0</v>
      </c>
      <c r="L217" s="236">
        <v>4.5</v>
      </c>
      <c r="M217" s="236">
        <v>4.5</v>
      </c>
      <c r="N217" s="234" t="s">
        <v>18623</v>
      </c>
      <c r="O217" s="237" t="s">
        <v>18675</v>
      </c>
      <c r="P217" s="238" t="s">
        <v>19606</v>
      </c>
      <c r="Q217" s="234" t="s">
        <v>18726</v>
      </c>
      <c r="R217" s="238" t="s">
        <v>19376</v>
      </c>
      <c r="S217" s="238" t="s">
        <v>19607</v>
      </c>
      <c r="T217" s="238" t="s">
        <v>18725</v>
      </c>
      <c r="U217" s="238" t="s">
        <v>19608</v>
      </c>
      <c r="V217" s="238" t="s">
        <v>18725</v>
      </c>
      <c r="W217" s="238" t="s">
        <v>18725</v>
      </c>
      <c r="X217" s="238" t="s">
        <v>18725</v>
      </c>
      <c r="Y217" s="239" t="str">
        <f>IF('CCUS Projects Database'!$R217&lt;&gt;"",HYPERLINK('CCUS Projects Database'!$R217,"Link 1"),"")</f>
        <v>Link 1</v>
      </c>
      <c r="Z217" s="239" t="str">
        <f>IF('CCUS Projects Database'!$S217&lt;&gt;"",HYPERLINK('CCUS Projects Database'!$S217,"Link 2"),"")</f>
        <v>Link 2</v>
      </c>
      <c r="AA217" s="239" t="str">
        <f>IF('CCUS Projects Database'!$T217&lt;&gt;"",HYPERLINK('CCUS Projects Database'!$T217,"Link 3"),"")</f>
        <v/>
      </c>
      <c r="AB217" s="239" t="str">
        <f>IF('CCUS Projects Database'!$U217&lt;&gt;"",HYPERLINK('CCUS Projects Database'!$U217,"Link 4"),"")</f>
        <v>Link 4</v>
      </c>
      <c r="AC217" s="239" t="str">
        <f>IF('CCUS Projects Database'!$V217&lt;&gt;"",HYPERLINK('CCUS Projects Database'!$V217,"Link 5"),"")</f>
        <v/>
      </c>
      <c r="AD217" s="239" t="str">
        <f>IF('CCUS Projects Database'!$W217&lt;&gt;"",HYPERLINK('CCUS Projects Database'!$W217,"Link 6"),"")</f>
        <v/>
      </c>
      <c r="AE217" s="239" t="str">
        <f>IF('CCUS Projects Database'!$X217&lt;&gt;"",HYPERLINK('CCUS Projects Database'!$X217,"Link 7"),"")</f>
        <v/>
      </c>
    </row>
    <row r="218" ht="14.25" customHeight="1">
      <c r="A218" s="233" t="s">
        <v>19609</v>
      </c>
      <c r="B218" s="234">
        <v>266.0</v>
      </c>
      <c r="C218" s="234" t="s">
        <v>83</v>
      </c>
      <c r="D218" s="235" t="s">
        <v>19605</v>
      </c>
      <c r="E218" s="234" t="s">
        <v>18623</v>
      </c>
      <c r="F218" s="234">
        <v>2020.0</v>
      </c>
      <c r="G218" s="234" t="s">
        <v>18725</v>
      </c>
      <c r="H218" s="234">
        <v>2030.0</v>
      </c>
      <c r="I218" s="234" t="s">
        <v>18725</v>
      </c>
      <c r="J218" s="234" t="s">
        <v>18636</v>
      </c>
      <c r="K218" s="236">
        <v>2.0</v>
      </c>
      <c r="L218" s="236">
        <v>5.5</v>
      </c>
      <c r="M218" s="236">
        <v>5.5</v>
      </c>
      <c r="N218" s="234" t="s">
        <v>18623</v>
      </c>
      <c r="O218" s="237" t="s">
        <v>18675</v>
      </c>
      <c r="P218" s="238" t="s">
        <v>19606</v>
      </c>
      <c r="Q218" s="234" t="s">
        <v>18726</v>
      </c>
      <c r="R218" s="238" t="s">
        <v>19376</v>
      </c>
      <c r="S218" s="238" t="s">
        <v>19607</v>
      </c>
      <c r="T218" s="238" t="s">
        <v>18725</v>
      </c>
      <c r="U218" s="238" t="s">
        <v>19608</v>
      </c>
      <c r="V218" s="238" t="s">
        <v>18725</v>
      </c>
      <c r="W218" s="238" t="s">
        <v>18725</v>
      </c>
      <c r="X218" s="238" t="s">
        <v>18725</v>
      </c>
      <c r="Y218" s="239" t="str">
        <f>IF('CCUS Projects Database'!$R218&lt;&gt;"",HYPERLINK('CCUS Projects Database'!$R218,"Link 1"),"")</f>
        <v>Link 1</v>
      </c>
      <c r="Z218" s="239" t="str">
        <f>IF('CCUS Projects Database'!$S218&lt;&gt;"",HYPERLINK('CCUS Projects Database'!$S218,"Link 2"),"")</f>
        <v>Link 2</v>
      </c>
      <c r="AA218" s="239" t="str">
        <f>IF('CCUS Projects Database'!$T218&lt;&gt;"",HYPERLINK('CCUS Projects Database'!$T218,"Link 3"),"")</f>
        <v/>
      </c>
      <c r="AB218" s="239" t="str">
        <f>IF('CCUS Projects Database'!$U218&lt;&gt;"",HYPERLINK('CCUS Projects Database'!$U218,"Link 4"),"")</f>
        <v>Link 4</v>
      </c>
      <c r="AC218" s="239" t="str">
        <f>IF('CCUS Projects Database'!$V218&lt;&gt;"",HYPERLINK('CCUS Projects Database'!$V218,"Link 5"),"")</f>
        <v/>
      </c>
      <c r="AD218" s="239" t="str">
        <f>IF('CCUS Projects Database'!$W218&lt;&gt;"",HYPERLINK('CCUS Projects Database'!$W218,"Link 6"),"")</f>
        <v/>
      </c>
      <c r="AE218" s="239" t="str">
        <f>IF('CCUS Projects Database'!$X218&lt;&gt;"",HYPERLINK('CCUS Projects Database'!$X218,"Link 7"),"")</f>
        <v/>
      </c>
    </row>
    <row r="219" ht="14.25" customHeight="1">
      <c r="A219" s="233" t="s">
        <v>19610</v>
      </c>
      <c r="B219" s="234">
        <v>267.0</v>
      </c>
      <c r="C219" s="234" t="s">
        <v>18586</v>
      </c>
      <c r="D219" s="235" t="s">
        <v>19611</v>
      </c>
      <c r="E219" s="234" t="s">
        <v>18616</v>
      </c>
      <c r="F219" s="234">
        <v>2010.0</v>
      </c>
      <c r="G219" s="234">
        <v>2011.0</v>
      </c>
      <c r="H219" s="234">
        <v>2013.0</v>
      </c>
      <c r="I219" s="234" t="s">
        <v>18725</v>
      </c>
      <c r="J219" s="234" t="s">
        <v>12385</v>
      </c>
      <c r="K219" s="236" t="s">
        <v>18725</v>
      </c>
      <c r="L219" s="236">
        <v>0.9</v>
      </c>
      <c r="M219" s="236">
        <v>0.9</v>
      </c>
      <c r="N219" s="234" t="s">
        <v>18656</v>
      </c>
      <c r="O219" s="237" t="s">
        <v>18677</v>
      </c>
      <c r="P219" s="238" t="s">
        <v>18725</v>
      </c>
      <c r="Q219" s="234" t="s">
        <v>18732</v>
      </c>
      <c r="R219" s="238" t="s">
        <v>19612</v>
      </c>
      <c r="S219" s="238" t="s">
        <v>19613</v>
      </c>
      <c r="T219" s="238" t="s">
        <v>19614</v>
      </c>
      <c r="U219" s="238" t="s">
        <v>18725</v>
      </c>
      <c r="V219" s="238" t="s">
        <v>18725</v>
      </c>
      <c r="W219" s="238" t="s">
        <v>18725</v>
      </c>
      <c r="X219" s="238" t="s">
        <v>18725</v>
      </c>
      <c r="Y219" s="239" t="str">
        <f>IF('CCUS Projects Database'!$R219&lt;&gt;"",HYPERLINK('CCUS Projects Database'!$R219,"Link 1"),"")</f>
        <v>Link 1</v>
      </c>
      <c r="Z219" s="239" t="str">
        <f>IF('CCUS Projects Database'!$S219&lt;&gt;"",HYPERLINK('CCUS Projects Database'!$S219,"Link 2"),"")</f>
        <v>Link 2</v>
      </c>
      <c r="AA219" s="239" t="str">
        <f>IF('CCUS Projects Database'!$T219&lt;&gt;"",HYPERLINK('CCUS Projects Database'!$T219,"Link 3"),"")</f>
        <v>Link 3</v>
      </c>
      <c r="AB219" s="239" t="str">
        <f>IF('CCUS Projects Database'!$U219&lt;&gt;"",HYPERLINK('CCUS Projects Database'!$U219,"Link 4"),"")</f>
        <v/>
      </c>
      <c r="AC219" s="239" t="str">
        <f>IF('CCUS Projects Database'!$V219&lt;&gt;"",HYPERLINK('CCUS Projects Database'!$V219,"Link 5"),"")</f>
        <v/>
      </c>
      <c r="AD219" s="239" t="str">
        <f>IF('CCUS Projects Database'!$W219&lt;&gt;"",HYPERLINK('CCUS Projects Database'!$W219,"Link 6"),"")</f>
        <v/>
      </c>
      <c r="AE219" s="239" t="str">
        <f>IF('CCUS Projects Database'!$X219&lt;&gt;"",HYPERLINK('CCUS Projects Database'!$X219,"Link 7"),"")</f>
        <v/>
      </c>
    </row>
    <row r="220" ht="14.25" customHeight="1">
      <c r="A220" s="233" t="s">
        <v>19615</v>
      </c>
      <c r="B220" s="234">
        <v>268.0</v>
      </c>
      <c r="C220" s="234" t="s">
        <v>18586</v>
      </c>
      <c r="D220" s="235" t="s">
        <v>19616</v>
      </c>
      <c r="E220" s="234" t="s">
        <v>18618</v>
      </c>
      <c r="F220" s="234">
        <v>2021.0</v>
      </c>
      <c r="G220" s="234">
        <v>2026.0</v>
      </c>
      <c r="H220" s="234">
        <v>2028.0</v>
      </c>
      <c r="I220" s="234" t="s">
        <v>18725</v>
      </c>
      <c r="J220" s="234" t="s">
        <v>18636</v>
      </c>
      <c r="K220" s="236" t="s">
        <v>18725</v>
      </c>
      <c r="L220" s="236" t="s">
        <v>19316</v>
      </c>
      <c r="M220" s="236">
        <v>0.343</v>
      </c>
      <c r="N220" s="234" t="s">
        <v>12270</v>
      </c>
      <c r="O220" s="237" t="s">
        <v>18675</v>
      </c>
      <c r="P220" s="238" t="s">
        <v>18966</v>
      </c>
      <c r="Q220" s="234" t="s">
        <v>18732</v>
      </c>
      <c r="R220" s="238" t="s">
        <v>19109</v>
      </c>
      <c r="S220" s="238" t="s">
        <v>19110</v>
      </c>
      <c r="T220" s="238" t="s">
        <v>19111</v>
      </c>
      <c r="U220" s="238" t="s">
        <v>18725</v>
      </c>
      <c r="V220" s="238" t="s">
        <v>18725</v>
      </c>
      <c r="W220" s="238" t="s">
        <v>18725</v>
      </c>
      <c r="X220" s="238" t="s">
        <v>18725</v>
      </c>
      <c r="Y220" s="239" t="str">
        <f>IF('CCUS Projects Database'!$R220&lt;&gt;"",HYPERLINK('CCUS Projects Database'!$R220,"Link 1"),"")</f>
        <v>Link 1</v>
      </c>
      <c r="Z220" s="239" t="str">
        <f>IF('CCUS Projects Database'!$S220&lt;&gt;"",HYPERLINK('CCUS Projects Database'!$S220,"Link 2"),"")</f>
        <v>Link 2</v>
      </c>
      <c r="AA220" s="239" t="str">
        <f>IF('CCUS Projects Database'!$T220&lt;&gt;"",HYPERLINK('CCUS Projects Database'!$T220,"Link 3"),"")</f>
        <v>Link 3</v>
      </c>
      <c r="AB220" s="239" t="str">
        <f>IF('CCUS Projects Database'!$U220&lt;&gt;"",HYPERLINK('CCUS Projects Database'!$U220,"Link 4"),"")</f>
        <v/>
      </c>
      <c r="AC220" s="239" t="str">
        <f>IF('CCUS Projects Database'!$V220&lt;&gt;"",HYPERLINK('CCUS Projects Database'!$V220,"Link 5"),"")</f>
        <v/>
      </c>
      <c r="AD220" s="239" t="str">
        <f>IF('CCUS Projects Database'!$W220&lt;&gt;"",HYPERLINK('CCUS Projects Database'!$W220,"Link 6"),"")</f>
        <v/>
      </c>
      <c r="AE220" s="239" t="str">
        <f>IF('CCUS Projects Database'!$X220&lt;&gt;"",HYPERLINK('CCUS Projects Database'!$X220,"Link 7"),"")</f>
        <v/>
      </c>
    </row>
    <row r="221" ht="14.25" customHeight="1">
      <c r="A221" s="233" t="s">
        <v>19617</v>
      </c>
      <c r="B221" s="234">
        <v>269.0</v>
      </c>
      <c r="C221" s="234" t="s">
        <v>18586</v>
      </c>
      <c r="D221" s="235" t="s">
        <v>19618</v>
      </c>
      <c r="E221" s="234" t="s">
        <v>18618</v>
      </c>
      <c r="F221" s="234">
        <v>2021.0</v>
      </c>
      <c r="G221" s="234">
        <v>2026.0</v>
      </c>
      <c r="H221" s="234">
        <v>2028.0</v>
      </c>
      <c r="I221" s="234" t="s">
        <v>18725</v>
      </c>
      <c r="J221" s="234" t="s">
        <v>18636</v>
      </c>
      <c r="K221" s="236" t="s">
        <v>18725</v>
      </c>
      <c r="L221" s="236" t="s">
        <v>19619</v>
      </c>
      <c r="M221" s="236">
        <v>0.152</v>
      </c>
      <c r="N221" s="234" t="s">
        <v>12270</v>
      </c>
      <c r="O221" s="237" t="s">
        <v>18675</v>
      </c>
      <c r="P221" s="238" t="s">
        <v>18966</v>
      </c>
      <c r="Q221" s="234" t="s">
        <v>18732</v>
      </c>
      <c r="R221" s="238" t="s">
        <v>19109</v>
      </c>
      <c r="S221" s="238" t="s">
        <v>19110</v>
      </c>
      <c r="T221" s="238" t="s">
        <v>19111</v>
      </c>
      <c r="U221" s="238" t="s">
        <v>18725</v>
      </c>
      <c r="V221" s="238" t="s">
        <v>18725</v>
      </c>
      <c r="W221" s="238" t="s">
        <v>18725</v>
      </c>
      <c r="X221" s="238" t="s">
        <v>18725</v>
      </c>
      <c r="Y221" s="239" t="str">
        <f>IF('CCUS Projects Database'!$R221&lt;&gt;"",HYPERLINK('CCUS Projects Database'!$R221,"Link 1"),"")</f>
        <v>Link 1</v>
      </c>
      <c r="Z221" s="239" t="str">
        <f>IF('CCUS Projects Database'!$S221&lt;&gt;"",HYPERLINK('CCUS Projects Database'!$S221,"Link 2"),"")</f>
        <v>Link 2</v>
      </c>
      <c r="AA221" s="239" t="str">
        <f>IF('CCUS Projects Database'!$T221&lt;&gt;"",HYPERLINK('CCUS Projects Database'!$T221,"Link 3"),"")</f>
        <v>Link 3</v>
      </c>
      <c r="AB221" s="239" t="str">
        <f>IF('CCUS Projects Database'!$U221&lt;&gt;"",HYPERLINK('CCUS Projects Database'!$U221,"Link 4"),"")</f>
        <v/>
      </c>
      <c r="AC221" s="239" t="str">
        <f>IF('CCUS Projects Database'!$V221&lt;&gt;"",HYPERLINK('CCUS Projects Database'!$V221,"Link 5"),"")</f>
        <v/>
      </c>
      <c r="AD221" s="239" t="str">
        <f>IF('CCUS Projects Database'!$W221&lt;&gt;"",HYPERLINK('CCUS Projects Database'!$W221,"Link 6"),"")</f>
        <v/>
      </c>
      <c r="AE221" s="239" t="str">
        <f>IF('CCUS Projects Database'!$X221&lt;&gt;"",HYPERLINK('CCUS Projects Database'!$X221,"Link 7"),"")</f>
        <v/>
      </c>
    </row>
    <row r="222" ht="14.25" customHeight="1">
      <c r="A222" s="233" t="s">
        <v>19620</v>
      </c>
      <c r="B222" s="234">
        <v>270.0</v>
      </c>
      <c r="C222" s="234" t="s">
        <v>18586</v>
      </c>
      <c r="D222" s="235" t="s">
        <v>19621</v>
      </c>
      <c r="E222" s="234" t="s">
        <v>18616</v>
      </c>
      <c r="F222" s="234">
        <v>2021.0</v>
      </c>
      <c r="G222" s="234">
        <v>2025.0</v>
      </c>
      <c r="H222" s="234">
        <v>2027.0</v>
      </c>
      <c r="I222" s="234" t="s">
        <v>18725</v>
      </c>
      <c r="J222" s="234" t="s">
        <v>18636</v>
      </c>
      <c r="K222" s="236" t="s">
        <v>18725</v>
      </c>
      <c r="L222" s="236">
        <v>1.36</v>
      </c>
      <c r="M222" s="236">
        <v>1.36</v>
      </c>
      <c r="N222" s="234" t="s">
        <v>12270</v>
      </c>
      <c r="O222" s="237" t="s">
        <v>18675</v>
      </c>
      <c r="P222" s="238" t="s">
        <v>18725</v>
      </c>
      <c r="Q222" s="234" t="s">
        <v>18732</v>
      </c>
      <c r="R222" s="238" t="s">
        <v>19622</v>
      </c>
      <c r="S222" s="238" t="s">
        <v>19623</v>
      </c>
      <c r="T222" s="238" t="s">
        <v>19624</v>
      </c>
      <c r="U222" s="238" t="s">
        <v>19625</v>
      </c>
      <c r="V222" s="238" t="s">
        <v>19626</v>
      </c>
      <c r="W222" s="238" t="s">
        <v>19627</v>
      </c>
      <c r="X222" s="238" t="s">
        <v>19628</v>
      </c>
      <c r="Y222" s="239" t="str">
        <f>IF('CCUS Projects Database'!$R222&lt;&gt;"",HYPERLINK('CCUS Projects Database'!$R222,"Link 1"),"")</f>
        <v>Link 1</v>
      </c>
      <c r="Z222" s="239" t="str">
        <f>IF('CCUS Projects Database'!$S222&lt;&gt;"",HYPERLINK('CCUS Projects Database'!$S222,"Link 2"),"")</f>
        <v>Link 2</v>
      </c>
      <c r="AA222" s="239" t="str">
        <f>IF('CCUS Projects Database'!$T222&lt;&gt;"",HYPERLINK('CCUS Projects Database'!$T222,"Link 3"),"")</f>
        <v>Link 3</v>
      </c>
      <c r="AB222" s="239" t="str">
        <f>IF('CCUS Projects Database'!$U222&lt;&gt;"",HYPERLINK('CCUS Projects Database'!$U222,"Link 4"),"")</f>
        <v>Link 4</v>
      </c>
      <c r="AC222" s="239" t="str">
        <f>IF('CCUS Projects Database'!$V222&lt;&gt;"",HYPERLINK('CCUS Projects Database'!$V222,"Link 5"),"")</f>
        <v>Link 5</v>
      </c>
      <c r="AD222" s="239" t="str">
        <f>IF('CCUS Projects Database'!$W222&lt;&gt;"",HYPERLINK('CCUS Projects Database'!$W222,"Link 6"),"")</f>
        <v>Link 6</v>
      </c>
      <c r="AE222" s="239" t="str">
        <f>IF('CCUS Projects Database'!$X222&lt;&gt;"",HYPERLINK('CCUS Projects Database'!$X222,"Link 7"),"")</f>
        <v>Link 7</v>
      </c>
    </row>
    <row r="223" ht="14.25" customHeight="1">
      <c r="A223" s="233" t="s">
        <v>19629</v>
      </c>
      <c r="B223" s="234">
        <v>271.0</v>
      </c>
      <c r="C223" s="234" t="s">
        <v>98</v>
      </c>
      <c r="D223" s="235" t="s">
        <v>19630</v>
      </c>
      <c r="E223" s="234" t="s">
        <v>18618</v>
      </c>
      <c r="F223" s="234">
        <v>2021.0</v>
      </c>
      <c r="G223" s="234" t="s">
        <v>18725</v>
      </c>
      <c r="H223" s="234">
        <v>2026.0</v>
      </c>
      <c r="I223" s="234" t="s">
        <v>18725</v>
      </c>
      <c r="J223" s="234" t="s">
        <v>18636</v>
      </c>
      <c r="K223" s="236" t="s">
        <v>18725</v>
      </c>
      <c r="L223" s="236">
        <v>0.1</v>
      </c>
      <c r="M223" s="236">
        <v>0.1</v>
      </c>
      <c r="N223" s="234" t="s">
        <v>18654</v>
      </c>
      <c r="O223" s="237" t="s">
        <v>18675</v>
      </c>
      <c r="P223" s="238" t="s">
        <v>18725</v>
      </c>
      <c r="Q223" s="234" t="s">
        <v>18726</v>
      </c>
      <c r="R223" s="238" t="s">
        <v>19631</v>
      </c>
      <c r="S223" s="238" t="s">
        <v>19632</v>
      </c>
      <c r="T223" s="238" t="s">
        <v>18725</v>
      </c>
      <c r="U223" s="238" t="s">
        <v>18725</v>
      </c>
      <c r="V223" s="238" t="s">
        <v>18725</v>
      </c>
      <c r="W223" s="238" t="s">
        <v>18725</v>
      </c>
      <c r="X223" s="238" t="s">
        <v>18725</v>
      </c>
      <c r="Y223" s="239" t="str">
        <f>IF('CCUS Projects Database'!$R223&lt;&gt;"",HYPERLINK('CCUS Projects Database'!$R223,"Link 1"),"")</f>
        <v>Link 1</v>
      </c>
      <c r="Z223" s="239" t="str">
        <f>IF('CCUS Projects Database'!$S223&lt;&gt;"",HYPERLINK('CCUS Projects Database'!$S223,"Link 2"),"")</f>
        <v>Link 2</v>
      </c>
      <c r="AA223" s="239" t="str">
        <f>IF('CCUS Projects Database'!$T223&lt;&gt;"",HYPERLINK('CCUS Projects Database'!$T223,"Link 3"),"")</f>
        <v/>
      </c>
      <c r="AB223" s="239" t="str">
        <f>IF('CCUS Projects Database'!$U223&lt;&gt;"",HYPERLINK('CCUS Projects Database'!$U223,"Link 4"),"")</f>
        <v/>
      </c>
      <c r="AC223" s="239" t="str">
        <f>IF('CCUS Projects Database'!$V223&lt;&gt;"",HYPERLINK('CCUS Projects Database'!$V223,"Link 5"),"")</f>
        <v/>
      </c>
      <c r="AD223" s="239" t="str">
        <f>IF('CCUS Projects Database'!$W223&lt;&gt;"",HYPERLINK('CCUS Projects Database'!$W223,"Link 6"),"")</f>
        <v/>
      </c>
      <c r="AE223" s="239" t="str">
        <f>IF('CCUS Projects Database'!$X223&lt;&gt;"",HYPERLINK('CCUS Projects Database'!$X223,"Link 7"),"")</f>
        <v/>
      </c>
    </row>
    <row r="224" ht="14.25" customHeight="1">
      <c r="A224" s="233" t="s">
        <v>19633</v>
      </c>
      <c r="B224" s="234">
        <v>273.0</v>
      </c>
      <c r="C224" s="234" t="s">
        <v>18264</v>
      </c>
      <c r="D224" s="235" t="s">
        <v>19634</v>
      </c>
      <c r="E224" s="234" t="s">
        <v>18623</v>
      </c>
      <c r="F224" s="234">
        <v>2022.0</v>
      </c>
      <c r="G224" s="234">
        <v>2025.0</v>
      </c>
      <c r="H224" s="234">
        <v>2026.0</v>
      </c>
      <c r="I224" s="234" t="s">
        <v>18725</v>
      </c>
      <c r="J224" s="234" t="s">
        <v>18636</v>
      </c>
      <c r="K224" s="236" t="s">
        <v>18725</v>
      </c>
      <c r="L224" s="236">
        <v>3.0</v>
      </c>
      <c r="M224" s="236">
        <v>3.0</v>
      </c>
      <c r="N224" s="234" t="s">
        <v>18623</v>
      </c>
      <c r="O224" s="237" t="s">
        <v>18675</v>
      </c>
      <c r="P224" s="238" t="s">
        <v>19633</v>
      </c>
      <c r="Q224" s="234" t="s">
        <v>18732</v>
      </c>
      <c r="R224" s="238" t="s">
        <v>19635</v>
      </c>
      <c r="S224" s="238" t="s">
        <v>19636</v>
      </c>
      <c r="T224" s="238" t="s">
        <v>19637</v>
      </c>
      <c r="U224" s="238" t="s">
        <v>18725</v>
      </c>
      <c r="V224" s="238" t="s">
        <v>18725</v>
      </c>
      <c r="W224" s="238" t="s">
        <v>18725</v>
      </c>
      <c r="X224" s="238" t="s">
        <v>18725</v>
      </c>
      <c r="Y224" s="239" t="str">
        <f>IF('CCUS Projects Database'!$R224&lt;&gt;"",HYPERLINK('CCUS Projects Database'!$R224,"Link 1"),"")</f>
        <v>Link 1</v>
      </c>
      <c r="Z224" s="239" t="str">
        <f>IF('CCUS Projects Database'!$S224&lt;&gt;"",HYPERLINK('CCUS Projects Database'!$S224,"Link 2"),"")</f>
        <v>Link 2</v>
      </c>
      <c r="AA224" s="239" t="str">
        <f>IF('CCUS Projects Database'!$T224&lt;&gt;"",HYPERLINK('CCUS Projects Database'!$T224,"Link 3"),"")</f>
        <v>Link 3</v>
      </c>
      <c r="AB224" s="239" t="str">
        <f>IF('CCUS Projects Database'!$U224&lt;&gt;"",HYPERLINK('CCUS Projects Database'!$U224,"Link 4"),"")</f>
        <v/>
      </c>
      <c r="AC224" s="239" t="str">
        <f>IF('CCUS Projects Database'!$V224&lt;&gt;"",HYPERLINK('CCUS Projects Database'!$V224,"Link 5"),"")</f>
        <v/>
      </c>
      <c r="AD224" s="239" t="str">
        <f>IF('CCUS Projects Database'!$W224&lt;&gt;"",HYPERLINK('CCUS Projects Database'!$W224,"Link 6"),"")</f>
        <v/>
      </c>
      <c r="AE224" s="239" t="str">
        <f>IF('CCUS Projects Database'!$X224&lt;&gt;"",HYPERLINK('CCUS Projects Database'!$X224,"Link 7"),"")</f>
        <v/>
      </c>
    </row>
    <row r="225" ht="14.25" customHeight="1">
      <c r="A225" s="233" t="s">
        <v>19638</v>
      </c>
      <c r="B225" s="234">
        <v>274.0</v>
      </c>
      <c r="C225" s="234" t="s">
        <v>18586</v>
      </c>
      <c r="D225" s="235" t="s">
        <v>19639</v>
      </c>
      <c r="E225" s="234" t="s">
        <v>18616</v>
      </c>
      <c r="F225" s="234">
        <v>2021.0</v>
      </c>
      <c r="G225" s="234">
        <v>2025.0</v>
      </c>
      <c r="H225" s="234">
        <v>2025.0</v>
      </c>
      <c r="I225" s="234">
        <v>2023.0</v>
      </c>
      <c r="J225" s="234" t="s">
        <v>18192</v>
      </c>
      <c r="K225" s="236" t="s">
        <v>18725</v>
      </c>
      <c r="L225" s="236">
        <v>0.3</v>
      </c>
      <c r="M225" s="236">
        <v>0.3</v>
      </c>
      <c r="N225" s="234" t="s">
        <v>18654</v>
      </c>
      <c r="O225" s="237" t="s">
        <v>18675</v>
      </c>
      <c r="P225" s="238" t="s">
        <v>18725</v>
      </c>
      <c r="Q225" s="234" t="s">
        <v>18732</v>
      </c>
      <c r="R225" s="238" t="s">
        <v>19640</v>
      </c>
      <c r="S225" s="238" t="s">
        <v>19641</v>
      </c>
      <c r="T225" s="238" t="s">
        <v>19642</v>
      </c>
      <c r="U225" s="238" t="s">
        <v>18725</v>
      </c>
      <c r="V225" s="238" t="s">
        <v>18725</v>
      </c>
      <c r="W225" s="238" t="s">
        <v>18725</v>
      </c>
      <c r="X225" s="238" t="s">
        <v>18725</v>
      </c>
      <c r="Y225" s="239" t="str">
        <f>IF('CCUS Projects Database'!$R225&lt;&gt;"",HYPERLINK('CCUS Projects Database'!$R225,"Link 1"),"")</f>
        <v>Link 1</v>
      </c>
      <c r="Z225" s="239" t="str">
        <f>IF('CCUS Projects Database'!$S225&lt;&gt;"",HYPERLINK('CCUS Projects Database'!$S225,"Link 2"),"")</f>
        <v>Link 2</v>
      </c>
      <c r="AA225" s="239" t="str">
        <f>IF('CCUS Projects Database'!$T225&lt;&gt;"",HYPERLINK('CCUS Projects Database'!$T225,"Link 3"),"")</f>
        <v>Link 3</v>
      </c>
      <c r="AB225" s="239" t="str">
        <f>IF('CCUS Projects Database'!$U225&lt;&gt;"",HYPERLINK('CCUS Projects Database'!$U225,"Link 4"),"")</f>
        <v/>
      </c>
      <c r="AC225" s="239" t="str">
        <f>IF('CCUS Projects Database'!$V225&lt;&gt;"",HYPERLINK('CCUS Projects Database'!$V225,"Link 5"),"")</f>
        <v/>
      </c>
      <c r="AD225" s="239" t="str">
        <f>IF('CCUS Projects Database'!$W225&lt;&gt;"",HYPERLINK('CCUS Projects Database'!$W225,"Link 6"),"")</f>
        <v/>
      </c>
      <c r="AE225" s="239" t="str">
        <f>IF('CCUS Projects Database'!$X225&lt;&gt;"",HYPERLINK('CCUS Projects Database'!$X225,"Link 7"),"")</f>
        <v/>
      </c>
    </row>
    <row r="226" ht="14.25" customHeight="1">
      <c r="A226" s="233" t="s">
        <v>9309</v>
      </c>
      <c r="B226" s="234">
        <v>275.0</v>
      </c>
      <c r="C226" s="234" t="s">
        <v>18329</v>
      </c>
      <c r="D226" s="235" t="s">
        <v>19643</v>
      </c>
      <c r="E226" s="234" t="s">
        <v>18618</v>
      </c>
      <c r="F226" s="234">
        <v>2021.0</v>
      </c>
      <c r="G226" s="234" t="s">
        <v>18725</v>
      </c>
      <c r="H226" s="234">
        <v>2028.0</v>
      </c>
      <c r="I226" s="234" t="s">
        <v>18725</v>
      </c>
      <c r="J226" s="234" t="s">
        <v>18636</v>
      </c>
      <c r="K226" s="236" t="s">
        <v>18725</v>
      </c>
      <c r="L226" s="236" t="s">
        <v>18725</v>
      </c>
      <c r="M226" s="236" t="s">
        <v>18725</v>
      </c>
      <c r="N226" s="234" t="s">
        <v>18731</v>
      </c>
      <c r="O226" s="237" t="s">
        <v>18675</v>
      </c>
      <c r="P226" s="238" t="s">
        <v>19644</v>
      </c>
      <c r="Q226" s="234" t="s">
        <v>18762</v>
      </c>
      <c r="R226" s="238" t="s">
        <v>19645</v>
      </c>
      <c r="S226" s="238" t="s">
        <v>19646</v>
      </c>
      <c r="T226" s="238" t="s">
        <v>18725</v>
      </c>
      <c r="U226" s="238" t="s">
        <v>18725</v>
      </c>
      <c r="V226" s="238" t="s">
        <v>18725</v>
      </c>
      <c r="W226" s="238" t="s">
        <v>18725</v>
      </c>
      <c r="X226" s="238" t="s">
        <v>18725</v>
      </c>
      <c r="Y226" s="239" t="str">
        <f>IF('CCUS Projects Database'!$R226&lt;&gt;"",HYPERLINK('CCUS Projects Database'!$R226,"Link 1"),"")</f>
        <v>Link 1</v>
      </c>
      <c r="Z226" s="239" t="str">
        <f>IF('CCUS Projects Database'!$S226&lt;&gt;"",HYPERLINK('CCUS Projects Database'!$S226,"Link 2"),"")</f>
        <v>Link 2</v>
      </c>
      <c r="AA226" s="239" t="str">
        <f>IF('CCUS Projects Database'!$T226&lt;&gt;"",HYPERLINK('CCUS Projects Database'!$T226,"Link 3"),"")</f>
        <v/>
      </c>
      <c r="AB226" s="239" t="str">
        <f>IF('CCUS Projects Database'!$U226&lt;&gt;"",HYPERLINK('CCUS Projects Database'!$U226,"Link 4"),"")</f>
        <v/>
      </c>
      <c r="AC226" s="239" t="str">
        <f>IF('CCUS Projects Database'!$V226&lt;&gt;"",HYPERLINK('CCUS Projects Database'!$V226,"Link 5"),"")</f>
        <v/>
      </c>
      <c r="AD226" s="239" t="str">
        <f>IF('CCUS Projects Database'!$W226&lt;&gt;"",HYPERLINK('CCUS Projects Database'!$W226,"Link 6"),"")</f>
        <v/>
      </c>
      <c r="AE226" s="239" t="str">
        <f>IF('CCUS Projects Database'!$X226&lt;&gt;"",HYPERLINK('CCUS Projects Database'!$X226,"Link 7"),"")</f>
        <v/>
      </c>
    </row>
    <row r="227" ht="14.25" customHeight="1">
      <c r="A227" s="233" t="s">
        <v>19647</v>
      </c>
      <c r="B227" s="234">
        <v>276.0</v>
      </c>
      <c r="C227" s="234" t="s">
        <v>18329</v>
      </c>
      <c r="D227" s="235" t="s">
        <v>19648</v>
      </c>
      <c r="E227" s="234" t="s">
        <v>18616</v>
      </c>
      <c r="F227" s="234">
        <v>2021.0</v>
      </c>
      <c r="G227" s="234" t="s">
        <v>18725</v>
      </c>
      <c r="H227" s="234">
        <v>2026.0</v>
      </c>
      <c r="I227" s="234" t="s">
        <v>18725</v>
      </c>
      <c r="J227" s="234" t="s">
        <v>18636</v>
      </c>
      <c r="K227" s="236" t="s">
        <v>18725</v>
      </c>
      <c r="L227" s="236">
        <v>1.0</v>
      </c>
      <c r="M227" s="236">
        <v>1.0</v>
      </c>
      <c r="N227" s="234" t="s">
        <v>18731</v>
      </c>
      <c r="O227" s="237" t="s">
        <v>18675</v>
      </c>
      <c r="P227" s="238" t="s">
        <v>19649</v>
      </c>
      <c r="Q227" s="234" t="s">
        <v>18762</v>
      </c>
      <c r="R227" s="238" t="s">
        <v>16639</v>
      </c>
      <c r="S227" s="238" t="s">
        <v>19650</v>
      </c>
      <c r="T227" s="238" t="s">
        <v>19651</v>
      </c>
      <c r="U227" s="238" t="s">
        <v>19652</v>
      </c>
      <c r="V227" s="238" t="s">
        <v>19653</v>
      </c>
      <c r="W227" s="238" t="s">
        <v>18725</v>
      </c>
      <c r="X227" s="238" t="s">
        <v>18725</v>
      </c>
      <c r="Y227" s="239" t="str">
        <f>IF('CCUS Projects Database'!$R227&lt;&gt;"",HYPERLINK('CCUS Projects Database'!$R227,"Link 1"),"")</f>
        <v>Link 1</v>
      </c>
      <c r="Z227" s="239" t="str">
        <f>IF('CCUS Projects Database'!$S227&lt;&gt;"",HYPERLINK('CCUS Projects Database'!$S227,"Link 2"),"")</f>
        <v>Link 2</v>
      </c>
      <c r="AA227" s="239" t="str">
        <f>IF('CCUS Projects Database'!$T227&lt;&gt;"",HYPERLINK('CCUS Projects Database'!$T227,"Link 3"),"")</f>
        <v>Link 3</v>
      </c>
      <c r="AB227" s="239" t="str">
        <f>IF('CCUS Projects Database'!$U227&lt;&gt;"",HYPERLINK('CCUS Projects Database'!$U227,"Link 4"),"")</f>
        <v>Link 4</v>
      </c>
      <c r="AC227" s="239" t="str">
        <f>IF('CCUS Projects Database'!$V227&lt;&gt;"",HYPERLINK('CCUS Projects Database'!$V227,"Link 5"),"")</f>
        <v>Link 5</v>
      </c>
      <c r="AD227" s="239" t="str">
        <f>IF('CCUS Projects Database'!$W227&lt;&gt;"",HYPERLINK('CCUS Projects Database'!$W227,"Link 6"),"")</f>
        <v/>
      </c>
      <c r="AE227" s="239" t="str">
        <f>IF('CCUS Projects Database'!$X227&lt;&gt;"",HYPERLINK('CCUS Projects Database'!$X227,"Link 7"),"")</f>
        <v/>
      </c>
    </row>
    <row r="228" ht="14.25" customHeight="1">
      <c r="A228" s="233" t="s">
        <v>19654</v>
      </c>
      <c r="B228" s="234">
        <v>277.0</v>
      </c>
      <c r="C228" s="234" t="s">
        <v>18586</v>
      </c>
      <c r="D228" s="235" t="s">
        <v>19655</v>
      </c>
      <c r="E228" s="234" t="s">
        <v>18616</v>
      </c>
      <c r="F228" s="234">
        <v>2020.0</v>
      </c>
      <c r="G228" s="234" t="s">
        <v>18725</v>
      </c>
      <c r="H228" s="234">
        <v>2023.0</v>
      </c>
      <c r="I228" s="234" t="s">
        <v>18725</v>
      </c>
      <c r="J228" s="234" t="s">
        <v>12385</v>
      </c>
      <c r="K228" s="236" t="s">
        <v>18725</v>
      </c>
      <c r="L228" s="236">
        <v>0.2</v>
      </c>
      <c r="M228" s="236">
        <v>0.2</v>
      </c>
      <c r="N228" s="234" t="s">
        <v>12270</v>
      </c>
      <c r="O228" s="237" t="s">
        <v>18675</v>
      </c>
      <c r="P228" s="238" t="s">
        <v>18725</v>
      </c>
      <c r="Q228" s="234" t="s">
        <v>18732</v>
      </c>
      <c r="R228" s="238" t="s">
        <v>19656</v>
      </c>
      <c r="S228" s="238" t="s">
        <v>19657</v>
      </c>
      <c r="T228" s="238" t="s">
        <v>19658</v>
      </c>
      <c r="U228" s="238" t="s">
        <v>19659</v>
      </c>
      <c r="V228" s="238" t="s">
        <v>18725</v>
      </c>
      <c r="W228" s="238" t="s">
        <v>18725</v>
      </c>
      <c r="X228" s="238" t="s">
        <v>18725</v>
      </c>
      <c r="Y228" s="239" t="str">
        <f>IF('CCUS Projects Database'!$R228&lt;&gt;"",HYPERLINK('CCUS Projects Database'!$R228,"Link 1"),"")</f>
        <v>Link 1</v>
      </c>
      <c r="Z228" s="239" t="str">
        <f>IF('CCUS Projects Database'!$S228&lt;&gt;"",HYPERLINK('CCUS Projects Database'!$S228,"Link 2"),"")</f>
        <v>Link 2</v>
      </c>
      <c r="AA228" s="239" t="str">
        <f>IF('CCUS Projects Database'!$T228&lt;&gt;"",HYPERLINK('CCUS Projects Database'!$T228,"Link 3"),"")</f>
        <v>Link 3</v>
      </c>
      <c r="AB228" s="239" t="str">
        <f>IF('CCUS Projects Database'!$U228&lt;&gt;"",HYPERLINK('CCUS Projects Database'!$U228,"Link 4"),"")</f>
        <v>Link 4</v>
      </c>
      <c r="AC228" s="239" t="str">
        <f>IF('CCUS Projects Database'!$V228&lt;&gt;"",HYPERLINK('CCUS Projects Database'!$V228,"Link 5"),"")</f>
        <v/>
      </c>
      <c r="AD228" s="239" t="str">
        <f>IF('CCUS Projects Database'!$W228&lt;&gt;"",HYPERLINK('CCUS Projects Database'!$W228,"Link 6"),"")</f>
        <v/>
      </c>
      <c r="AE228" s="239" t="str">
        <f>IF('CCUS Projects Database'!$X228&lt;&gt;"",HYPERLINK('CCUS Projects Database'!$X228,"Link 7"),"")</f>
        <v/>
      </c>
    </row>
    <row r="229" ht="14.25" customHeight="1">
      <c r="A229" s="233" t="s">
        <v>19660</v>
      </c>
      <c r="B229" s="234">
        <v>278.0</v>
      </c>
      <c r="C229" s="234" t="s">
        <v>18586</v>
      </c>
      <c r="D229" s="235" t="s">
        <v>19661</v>
      </c>
      <c r="E229" s="234" t="s">
        <v>18623</v>
      </c>
      <c r="F229" s="234">
        <v>2021.0</v>
      </c>
      <c r="G229" s="234">
        <v>2026.0</v>
      </c>
      <c r="H229" s="234">
        <v>2028.0</v>
      </c>
      <c r="I229" s="234" t="s">
        <v>18725</v>
      </c>
      <c r="J229" s="234" t="s">
        <v>18636</v>
      </c>
      <c r="K229" s="236" t="s">
        <v>18725</v>
      </c>
      <c r="L229" s="236">
        <v>12.0</v>
      </c>
      <c r="M229" s="236">
        <v>12.0</v>
      </c>
      <c r="N229" s="234" t="s">
        <v>18623</v>
      </c>
      <c r="O229" s="237" t="s">
        <v>18675</v>
      </c>
      <c r="P229" s="238" t="s">
        <v>18966</v>
      </c>
      <c r="Q229" s="234" t="s">
        <v>18732</v>
      </c>
      <c r="R229" s="238" t="s">
        <v>19110</v>
      </c>
      <c r="S229" s="238" t="s">
        <v>19111</v>
      </c>
      <c r="T229" s="238" t="s">
        <v>19662</v>
      </c>
      <c r="U229" s="238" t="s">
        <v>19663</v>
      </c>
      <c r="V229" s="238" t="s">
        <v>18725</v>
      </c>
      <c r="W229" s="238" t="s">
        <v>18725</v>
      </c>
      <c r="X229" s="238" t="s">
        <v>18725</v>
      </c>
      <c r="Y229" s="239" t="str">
        <f>IF('CCUS Projects Database'!$R229&lt;&gt;"",HYPERLINK('CCUS Projects Database'!$R229,"Link 1"),"")</f>
        <v>Link 1</v>
      </c>
      <c r="Z229" s="239" t="str">
        <f>IF('CCUS Projects Database'!$S229&lt;&gt;"",HYPERLINK('CCUS Projects Database'!$S229,"Link 2"),"")</f>
        <v>Link 2</v>
      </c>
      <c r="AA229" s="239" t="str">
        <f>IF('CCUS Projects Database'!$T229&lt;&gt;"",HYPERLINK('CCUS Projects Database'!$T229,"Link 3"),"")</f>
        <v>Link 3</v>
      </c>
      <c r="AB229" s="239" t="str">
        <f>IF('CCUS Projects Database'!$U229&lt;&gt;"",HYPERLINK('CCUS Projects Database'!$U229,"Link 4"),"")</f>
        <v>Link 4</v>
      </c>
      <c r="AC229" s="239" t="str">
        <f>IF('CCUS Projects Database'!$V229&lt;&gt;"",HYPERLINK('CCUS Projects Database'!$V229,"Link 5"),"")</f>
        <v/>
      </c>
      <c r="AD229" s="239" t="str">
        <f>IF('CCUS Projects Database'!$W229&lt;&gt;"",HYPERLINK('CCUS Projects Database'!$W229,"Link 6"),"")</f>
        <v/>
      </c>
      <c r="AE229" s="239" t="str">
        <f>IF('CCUS Projects Database'!$X229&lt;&gt;"",HYPERLINK('CCUS Projects Database'!$X229,"Link 7"),"")</f>
        <v/>
      </c>
    </row>
    <row r="230" ht="14.25" customHeight="1">
      <c r="A230" s="233" t="s">
        <v>19664</v>
      </c>
      <c r="B230" s="234">
        <v>279.0</v>
      </c>
      <c r="C230" s="234" t="s">
        <v>18290</v>
      </c>
      <c r="D230" s="235" t="s">
        <v>19665</v>
      </c>
      <c r="E230" s="234" t="s">
        <v>18618</v>
      </c>
      <c r="F230" s="234">
        <v>2016.0</v>
      </c>
      <c r="G230" s="234">
        <v>2017.0</v>
      </c>
      <c r="H230" s="234">
        <v>2020.0</v>
      </c>
      <c r="I230" s="234" t="s">
        <v>18725</v>
      </c>
      <c r="J230" s="234" t="s">
        <v>12385</v>
      </c>
      <c r="K230" s="236" t="s">
        <v>18725</v>
      </c>
      <c r="L230" s="236">
        <v>0.18</v>
      </c>
      <c r="M230" s="236">
        <v>0.18</v>
      </c>
      <c r="N230" s="234" t="s">
        <v>18654</v>
      </c>
      <c r="O230" s="237" t="s">
        <v>18679</v>
      </c>
      <c r="P230" s="238" t="s">
        <v>18725</v>
      </c>
      <c r="Q230" s="234" t="s">
        <v>18856</v>
      </c>
      <c r="R230" s="238" t="s">
        <v>19666</v>
      </c>
      <c r="S230" s="238" t="s">
        <v>19667</v>
      </c>
      <c r="T230" s="238" t="s">
        <v>19668</v>
      </c>
      <c r="U230" s="238" t="s">
        <v>19669</v>
      </c>
      <c r="V230" s="238" t="s">
        <v>18725</v>
      </c>
      <c r="W230" s="238" t="s">
        <v>18725</v>
      </c>
      <c r="X230" s="238" t="s">
        <v>18725</v>
      </c>
      <c r="Y230" s="239" t="str">
        <f>IF('CCUS Projects Database'!$R230&lt;&gt;"",HYPERLINK('CCUS Projects Database'!$R230,"Link 1"),"")</f>
        <v>Link 1</v>
      </c>
      <c r="Z230" s="239" t="str">
        <f>IF('CCUS Projects Database'!$S230&lt;&gt;"",HYPERLINK('CCUS Projects Database'!$S230,"Link 2"),"")</f>
        <v>Link 2</v>
      </c>
      <c r="AA230" s="239" t="str">
        <f>IF('CCUS Projects Database'!$T230&lt;&gt;"",HYPERLINK('CCUS Projects Database'!$T230,"Link 3"),"")</f>
        <v>Link 3</v>
      </c>
      <c r="AB230" s="239" t="str">
        <f>IF('CCUS Projects Database'!$U230&lt;&gt;"",HYPERLINK('CCUS Projects Database'!$U230,"Link 4"),"")</f>
        <v>Link 4</v>
      </c>
      <c r="AC230" s="239" t="str">
        <f>IF('CCUS Projects Database'!$V230&lt;&gt;"",HYPERLINK('CCUS Projects Database'!$V230,"Link 5"),"")</f>
        <v/>
      </c>
      <c r="AD230" s="239" t="str">
        <f>IF('CCUS Projects Database'!$W230&lt;&gt;"",HYPERLINK('CCUS Projects Database'!$W230,"Link 6"),"")</f>
        <v/>
      </c>
      <c r="AE230" s="239" t="str">
        <f>IF('CCUS Projects Database'!$X230&lt;&gt;"",HYPERLINK('CCUS Projects Database'!$X230,"Link 7"),"")</f>
        <v/>
      </c>
    </row>
    <row r="231" ht="14.25" customHeight="1">
      <c r="A231" s="233" t="s">
        <v>19670</v>
      </c>
      <c r="B231" s="234">
        <v>280.0</v>
      </c>
      <c r="C231" s="234" t="s">
        <v>18586</v>
      </c>
      <c r="D231" s="235" t="s">
        <v>19671</v>
      </c>
      <c r="E231" s="234" t="s">
        <v>18618</v>
      </c>
      <c r="F231" s="234">
        <v>2021.0</v>
      </c>
      <c r="G231" s="234" t="s">
        <v>18725</v>
      </c>
      <c r="H231" s="234">
        <v>2026.0</v>
      </c>
      <c r="I231" s="234" t="s">
        <v>18725</v>
      </c>
      <c r="J231" s="234" t="s">
        <v>18636</v>
      </c>
      <c r="K231" s="236" t="s">
        <v>18725</v>
      </c>
      <c r="L231" s="236">
        <v>0.14</v>
      </c>
      <c r="M231" s="236">
        <v>0.14</v>
      </c>
      <c r="N231" s="234" t="s">
        <v>18731</v>
      </c>
      <c r="O231" s="237" t="s">
        <v>18679</v>
      </c>
      <c r="P231" s="238" t="s">
        <v>18725</v>
      </c>
      <c r="Q231" s="234" t="s">
        <v>18732</v>
      </c>
      <c r="R231" s="238" t="s">
        <v>19672</v>
      </c>
      <c r="S231" s="238" t="s">
        <v>19673</v>
      </c>
      <c r="T231" s="238" t="s">
        <v>18725</v>
      </c>
      <c r="U231" s="238" t="s">
        <v>18725</v>
      </c>
      <c r="V231" s="238" t="s">
        <v>18725</v>
      </c>
      <c r="W231" s="238" t="s">
        <v>18725</v>
      </c>
      <c r="X231" s="238" t="s">
        <v>18725</v>
      </c>
      <c r="Y231" s="239" t="str">
        <f>IF('CCUS Projects Database'!$R231&lt;&gt;"",HYPERLINK('CCUS Projects Database'!$R231,"Link 1"),"")</f>
        <v>Link 1</v>
      </c>
      <c r="Z231" s="239" t="str">
        <f>IF('CCUS Projects Database'!$S231&lt;&gt;"",HYPERLINK('CCUS Projects Database'!$S231,"Link 2"),"")</f>
        <v>Link 2</v>
      </c>
      <c r="AA231" s="239" t="str">
        <f>IF('CCUS Projects Database'!$T231&lt;&gt;"",HYPERLINK('CCUS Projects Database'!$T231,"Link 3"),"")</f>
        <v/>
      </c>
      <c r="AB231" s="239" t="str">
        <f>IF('CCUS Projects Database'!$U231&lt;&gt;"",HYPERLINK('CCUS Projects Database'!$U231,"Link 4"),"")</f>
        <v/>
      </c>
      <c r="AC231" s="239" t="str">
        <f>IF('CCUS Projects Database'!$V231&lt;&gt;"",HYPERLINK('CCUS Projects Database'!$V231,"Link 5"),"")</f>
        <v/>
      </c>
      <c r="AD231" s="239" t="str">
        <f>IF('CCUS Projects Database'!$W231&lt;&gt;"",HYPERLINK('CCUS Projects Database'!$W231,"Link 6"),"")</f>
        <v/>
      </c>
      <c r="AE231" s="239" t="str">
        <f>IF('CCUS Projects Database'!$X231&lt;&gt;"",HYPERLINK('CCUS Projects Database'!$X231,"Link 7"),"")</f>
        <v/>
      </c>
    </row>
    <row r="232" ht="14.25" customHeight="1">
      <c r="A232" s="233" t="s">
        <v>19674</v>
      </c>
      <c r="B232" s="234">
        <v>282.0</v>
      </c>
      <c r="C232" s="234" t="s">
        <v>18329</v>
      </c>
      <c r="D232" s="235" t="s">
        <v>19675</v>
      </c>
      <c r="E232" s="234" t="s">
        <v>18623</v>
      </c>
      <c r="F232" s="234">
        <v>2022.0</v>
      </c>
      <c r="G232" s="234" t="s">
        <v>18725</v>
      </c>
      <c r="H232" s="234" t="s">
        <v>18725</v>
      </c>
      <c r="I232" s="234" t="s">
        <v>18725</v>
      </c>
      <c r="J232" s="234" t="s">
        <v>18636</v>
      </c>
      <c r="K232" s="236" t="s">
        <v>18725</v>
      </c>
      <c r="L232" s="236">
        <v>5.0</v>
      </c>
      <c r="M232" s="236">
        <v>5.0</v>
      </c>
      <c r="N232" s="234" t="s">
        <v>18623</v>
      </c>
      <c r="O232" s="237" t="s">
        <v>18675</v>
      </c>
      <c r="P232" s="238" t="s">
        <v>19674</v>
      </c>
      <c r="Q232" s="234" t="s">
        <v>18762</v>
      </c>
      <c r="R232" s="238" t="s">
        <v>19645</v>
      </c>
      <c r="S232" s="238" t="s">
        <v>19676</v>
      </c>
      <c r="T232" s="238" t="s">
        <v>19677</v>
      </c>
      <c r="U232" s="238" t="s">
        <v>18725</v>
      </c>
      <c r="V232" s="238" t="s">
        <v>18725</v>
      </c>
      <c r="W232" s="238" t="s">
        <v>18725</v>
      </c>
      <c r="X232" s="238" t="s">
        <v>18725</v>
      </c>
      <c r="Y232" s="239" t="str">
        <f>IF('CCUS Projects Database'!$R232&lt;&gt;"",HYPERLINK('CCUS Projects Database'!$R232,"Link 1"),"")</f>
        <v>Link 1</v>
      </c>
      <c r="Z232" s="239" t="str">
        <f>IF('CCUS Projects Database'!$S232&lt;&gt;"",HYPERLINK('CCUS Projects Database'!$S232,"Link 2"),"")</f>
        <v>Link 2</v>
      </c>
      <c r="AA232" s="239" t="str">
        <f>IF('CCUS Projects Database'!$T232&lt;&gt;"",HYPERLINK('CCUS Projects Database'!$T232,"Link 3"),"")</f>
        <v>Link 3</v>
      </c>
      <c r="AB232" s="239" t="str">
        <f>IF('CCUS Projects Database'!$U232&lt;&gt;"",HYPERLINK('CCUS Projects Database'!$U232,"Link 4"),"")</f>
        <v/>
      </c>
      <c r="AC232" s="239" t="str">
        <f>IF('CCUS Projects Database'!$V232&lt;&gt;"",HYPERLINK('CCUS Projects Database'!$V232,"Link 5"),"")</f>
        <v/>
      </c>
      <c r="AD232" s="239" t="str">
        <f>IF('CCUS Projects Database'!$W232&lt;&gt;"",HYPERLINK('CCUS Projects Database'!$W232,"Link 6"),"")</f>
        <v/>
      </c>
      <c r="AE232" s="239" t="str">
        <f>IF('CCUS Projects Database'!$X232&lt;&gt;"",HYPERLINK('CCUS Projects Database'!$X232,"Link 7"),"")</f>
        <v/>
      </c>
    </row>
    <row r="233" ht="14.25" customHeight="1">
      <c r="A233" s="233" t="s">
        <v>19678</v>
      </c>
      <c r="B233" s="234">
        <v>283.0</v>
      </c>
      <c r="C233" s="234" t="s">
        <v>18586</v>
      </c>
      <c r="D233" s="235" t="s">
        <v>19679</v>
      </c>
      <c r="E233" s="234" t="s">
        <v>18616</v>
      </c>
      <c r="F233" s="234">
        <v>2019.0</v>
      </c>
      <c r="G233" s="234" t="s">
        <v>18725</v>
      </c>
      <c r="H233" s="234">
        <v>2026.0</v>
      </c>
      <c r="I233" s="234" t="s">
        <v>18725</v>
      </c>
      <c r="J233" s="234" t="s">
        <v>18636</v>
      </c>
      <c r="K233" s="236" t="s">
        <v>18725</v>
      </c>
      <c r="L233" s="236">
        <v>1.5</v>
      </c>
      <c r="M233" s="236">
        <v>1.5</v>
      </c>
      <c r="N233" s="234" t="s">
        <v>18654</v>
      </c>
      <c r="O233" s="237" t="s">
        <v>18675</v>
      </c>
      <c r="P233" s="238" t="s">
        <v>18725</v>
      </c>
      <c r="Q233" s="234" t="s">
        <v>18732</v>
      </c>
      <c r="R233" s="238" t="s">
        <v>19680</v>
      </c>
      <c r="S233" s="238" t="s">
        <v>18725</v>
      </c>
      <c r="T233" s="238" t="s">
        <v>18725</v>
      </c>
      <c r="U233" s="238" t="s">
        <v>18725</v>
      </c>
      <c r="V233" s="238" t="s">
        <v>18725</v>
      </c>
      <c r="W233" s="238" t="s">
        <v>18725</v>
      </c>
      <c r="X233" s="238" t="s">
        <v>18725</v>
      </c>
      <c r="Y233" s="239" t="str">
        <f>IF('CCUS Projects Database'!$R233&lt;&gt;"",HYPERLINK('CCUS Projects Database'!$R233,"Link 1"),"")</f>
        <v>Link 1</v>
      </c>
      <c r="Z233" s="239" t="str">
        <f>IF('CCUS Projects Database'!$S233&lt;&gt;"",HYPERLINK('CCUS Projects Database'!$S233,"Link 2"),"")</f>
        <v/>
      </c>
      <c r="AA233" s="239" t="str">
        <f>IF('CCUS Projects Database'!$T233&lt;&gt;"",HYPERLINK('CCUS Projects Database'!$T233,"Link 3"),"")</f>
        <v/>
      </c>
      <c r="AB233" s="239" t="str">
        <f>IF('CCUS Projects Database'!$U233&lt;&gt;"",HYPERLINK('CCUS Projects Database'!$U233,"Link 4"),"")</f>
        <v/>
      </c>
      <c r="AC233" s="239" t="str">
        <f>IF('CCUS Projects Database'!$V233&lt;&gt;"",HYPERLINK('CCUS Projects Database'!$V233,"Link 5"),"")</f>
        <v/>
      </c>
      <c r="AD233" s="239" t="str">
        <f>IF('CCUS Projects Database'!$W233&lt;&gt;"",HYPERLINK('CCUS Projects Database'!$W233,"Link 6"),"")</f>
        <v/>
      </c>
      <c r="AE233" s="239" t="str">
        <f>IF('CCUS Projects Database'!$X233&lt;&gt;"",HYPERLINK('CCUS Projects Database'!$X233,"Link 7"),"")</f>
        <v/>
      </c>
    </row>
    <row r="234" ht="14.25" customHeight="1">
      <c r="A234" s="233" t="s">
        <v>19681</v>
      </c>
      <c r="B234" s="234">
        <v>284.0</v>
      </c>
      <c r="C234" s="234" t="s">
        <v>18264</v>
      </c>
      <c r="D234" s="235" t="s">
        <v>19682</v>
      </c>
      <c r="E234" s="234" t="s">
        <v>18618</v>
      </c>
      <c r="F234" s="234">
        <v>2021.0</v>
      </c>
      <c r="G234" s="234" t="s">
        <v>18725</v>
      </c>
      <c r="H234" s="234">
        <v>2025.0</v>
      </c>
      <c r="I234" s="234">
        <v>2023.0</v>
      </c>
      <c r="J234" s="234" t="s">
        <v>18192</v>
      </c>
      <c r="K234" s="236" t="s">
        <v>18725</v>
      </c>
      <c r="L234" s="236" t="s">
        <v>19683</v>
      </c>
      <c r="M234" s="236">
        <v>0.9</v>
      </c>
      <c r="N234" s="234" t="s">
        <v>677</v>
      </c>
      <c r="O234" s="237" t="s">
        <v>18675</v>
      </c>
      <c r="P234" s="238" t="s">
        <v>18797</v>
      </c>
      <c r="Q234" s="234" t="s">
        <v>18732</v>
      </c>
      <c r="R234" s="238" t="s">
        <v>19684</v>
      </c>
      <c r="S234" s="238" t="s">
        <v>19685</v>
      </c>
      <c r="T234" s="238" t="s">
        <v>18725</v>
      </c>
      <c r="U234" s="238" t="s">
        <v>18725</v>
      </c>
      <c r="V234" s="238" t="s">
        <v>18725</v>
      </c>
      <c r="W234" s="238" t="s">
        <v>18725</v>
      </c>
      <c r="X234" s="238" t="s">
        <v>18725</v>
      </c>
      <c r="Y234" s="239" t="str">
        <f>IF('CCUS Projects Database'!$R234&lt;&gt;"",HYPERLINK('CCUS Projects Database'!$R234,"Link 1"),"")</f>
        <v>Link 1</v>
      </c>
      <c r="Z234" s="239" t="str">
        <f>IF('CCUS Projects Database'!$S234&lt;&gt;"",HYPERLINK('CCUS Projects Database'!$S234,"Link 2"),"")</f>
        <v>Link 2</v>
      </c>
      <c r="AA234" s="239" t="str">
        <f>IF('CCUS Projects Database'!$T234&lt;&gt;"",HYPERLINK('CCUS Projects Database'!$T234,"Link 3"),"")</f>
        <v/>
      </c>
      <c r="AB234" s="239" t="str">
        <f>IF('CCUS Projects Database'!$U234&lt;&gt;"",HYPERLINK('CCUS Projects Database'!$U234,"Link 4"),"")</f>
        <v/>
      </c>
      <c r="AC234" s="239" t="str">
        <f>IF('CCUS Projects Database'!$V234&lt;&gt;"",HYPERLINK('CCUS Projects Database'!$V234,"Link 5"),"")</f>
        <v/>
      </c>
      <c r="AD234" s="239" t="str">
        <f>IF('CCUS Projects Database'!$W234&lt;&gt;"",HYPERLINK('CCUS Projects Database'!$W234,"Link 6"),"")</f>
        <v/>
      </c>
      <c r="AE234" s="239" t="str">
        <f>IF('CCUS Projects Database'!$X234&lt;&gt;"",HYPERLINK('CCUS Projects Database'!$X234,"Link 7"),"")</f>
        <v/>
      </c>
    </row>
    <row r="235" ht="14.25" customHeight="1">
      <c r="A235" s="233" t="s">
        <v>19686</v>
      </c>
      <c r="B235" s="234">
        <v>285.0</v>
      </c>
      <c r="C235" s="234" t="s">
        <v>164</v>
      </c>
      <c r="D235" s="235" t="s">
        <v>19687</v>
      </c>
      <c r="E235" s="234" t="s">
        <v>18623</v>
      </c>
      <c r="F235" s="234">
        <v>2020.0</v>
      </c>
      <c r="G235" s="234">
        <v>2026.0</v>
      </c>
      <c r="H235" s="234">
        <v>2029.0</v>
      </c>
      <c r="I235" s="234" t="s">
        <v>18725</v>
      </c>
      <c r="J235" s="234" t="s">
        <v>18636</v>
      </c>
      <c r="K235" s="236">
        <v>1.0</v>
      </c>
      <c r="L235" s="236">
        <v>5.0</v>
      </c>
      <c r="M235" s="236">
        <v>5.0</v>
      </c>
      <c r="N235" s="234" t="s">
        <v>18623</v>
      </c>
      <c r="O235" s="237" t="s">
        <v>18675</v>
      </c>
      <c r="P235" s="238" t="s">
        <v>19688</v>
      </c>
      <c r="Q235" s="234" t="s">
        <v>18726</v>
      </c>
      <c r="R235" s="238" t="s">
        <v>19689</v>
      </c>
      <c r="S235" s="238" t="s">
        <v>19690</v>
      </c>
      <c r="T235" s="238" t="s">
        <v>19690</v>
      </c>
      <c r="U235" s="238" t="s">
        <v>19691</v>
      </c>
      <c r="V235" s="238" t="s">
        <v>18725</v>
      </c>
      <c r="W235" s="238" t="s">
        <v>18725</v>
      </c>
      <c r="X235" s="238" t="s">
        <v>18725</v>
      </c>
      <c r="Y235" s="239" t="str">
        <f>IF('CCUS Projects Database'!$R235&lt;&gt;"",HYPERLINK('CCUS Projects Database'!$R235,"Link 1"),"")</f>
        <v>Link 1</v>
      </c>
      <c r="Z235" s="239" t="str">
        <f>IF('CCUS Projects Database'!$S235&lt;&gt;"",HYPERLINK('CCUS Projects Database'!$S235,"Link 2"),"")</f>
        <v>Link 2</v>
      </c>
      <c r="AA235" s="239" t="str">
        <f>IF('CCUS Projects Database'!$T235&lt;&gt;"",HYPERLINK('CCUS Projects Database'!$T235,"Link 3"),"")</f>
        <v>Link 3</v>
      </c>
      <c r="AB235" s="239" t="str">
        <f>IF('CCUS Projects Database'!$U235&lt;&gt;"",HYPERLINK('CCUS Projects Database'!$U235,"Link 4"),"")</f>
        <v>Link 4</v>
      </c>
      <c r="AC235" s="239" t="str">
        <f>IF('CCUS Projects Database'!$V235&lt;&gt;"",HYPERLINK('CCUS Projects Database'!$V235,"Link 5"),"")</f>
        <v/>
      </c>
      <c r="AD235" s="239" t="str">
        <f>IF('CCUS Projects Database'!$W235&lt;&gt;"",HYPERLINK('CCUS Projects Database'!$W235,"Link 6"),"")</f>
        <v/>
      </c>
      <c r="AE235" s="239" t="str">
        <f>IF('CCUS Projects Database'!$X235&lt;&gt;"",HYPERLINK('CCUS Projects Database'!$X235,"Link 7"),"")</f>
        <v/>
      </c>
    </row>
    <row r="236" ht="14.25" customHeight="1">
      <c r="A236" s="233" t="s">
        <v>19692</v>
      </c>
      <c r="B236" s="234">
        <v>286.0</v>
      </c>
      <c r="C236" s="234" t="s">
        <v>164</v>
      </c>
      <c r="D236" s="235" t="s">
        <v>19693</v>
      </c>
      <c r="E236" s="234" t="s">
        <v>3</v>
      </c>
      <c r="F236" s="234">
        <v>2021.0</v>
      </c>
      <c r="G236" s="234" t="s">
        <v>18725</v>
      </c>
      <c r="H236" s="234" t="s">
        <v>18725</v>
      </c>
      <c r="I236" s="234" t="s">
        <v>18725</v>
      </c>
      <c r="J236" s="234" t="s">
        <v>18192</v>
      </c>
      <c r="K236" s="236">
        <v>2.0</v>
      </c>
      <c r="L236" s="236">
        <v>3.0</v>
      </c>
      <c r="M236" s="236">
        <v>3.0</v>
      </c>
      <c r="N236" s="234" t="s">
        <v>3</v>
      </c>
      <c r="O236" s="237" t="s">
        <v>18675</v>
      </c>
      <c r="P236" s="238" t="s">
        <v>19688</v>
      </c>
      <c r="Q236" s="234" t="s">
        <v>18726</v>
      </c>
      <c r="R236" s="238" t="s">
        <v>19689</v>
      </c>
      <c r="S236" s="238" t="s">
        <v>19690</v>
      </c>
      <c r="T236" s="238" t="s">
        <v>19690</v>
      </c>
      <c r="U236" s="238" t="s">
        <v>18725</v>
      </c>
      <c r="V236" s="238" t="s">
        <v>18725</v>
      </c>
      <c r="W236" s="238" t="s">
        <v>18725</v>
      </c>
      <c r="X236" s="238" t="s">
        <v>18725</v>
      </c>
      <c r="Y236" s="239" t="str">
        <f>IF('CCUS Projects Database'!$R236&lt;&gt;"",HYPERLINK('CCUS Projects Database'!$R236,"Link 1"),"")</f>
        <v>Link 1</v>
      </c>
      <c r="Z236" s="239" t="str">
        <f>IF('CCUS Projects Database'!$S236&lt;&gt;"",HYPERLINK('CCUS Projects Database'!$S236,"Link 2"),"")</f>
        <v>Link 2</v>
      </c>
      <c r="AA236" s="239" t="str">
        <f>IF('CCUS Projects Database'!$T236&lt;&gt;"",HYPERLINK('CCUS Projects Database'!$T236,"Link 3"),"")</f>
        <v>Link 3</v>
      </c>
      <c r="AB236" s="239" t="str">
        <f>IF('CCUS Projects Database'!$U236&lt;&gt;"",HYPERLINK('CCUS Projects Database'!$U236,"Link 4"),"")</f>
        <v/>
      </c>
      <c r="AC236" s="239" t="str">
        <f>IF('CCUS Projects Database'!$V236&lt;&gt;"",HYPERLINK('CCUS Projects Database'!$V236,"Link 5"),"")</f>
        <v/>
      </c>
      <c r="AD236" s="239" t="str">
        <f>IF('CCUS Projects Database'!$W236&lt;&gt;"",HYPERLINK('CCUS Projects Database'!$W236,"Link 6"),"")</f>
        <v/>
      </c>
      <c r="AE236" s="239" t="str">
        <f>IF('CCUS Projects Database'!$X236&lt;&gt;"",HYPERLINK('CCUS Projects Database'!$X236,"Link 7"),"")</f>
        <v/>
      </c>
    </row>
    <row r="237" ht="14.25" customHeight="1">
      <c r="A237" s="233" t="s">
        <v>19694</v>
      </c>
      <c r="B237" s="234">
        <v>287.0</v>
      </c>
      <c r="C237" s="234" t="s">
        <v>83</v>
      </c>
      <c r="D237" s="235" t="s">
        <v>19695</v>
      </c>
      <c r="E237" s="234" t="s">
        <v>18618</v>
      </c>
      <c r="F237" s="234">
        <v>2018.0</v>
      </c>
      <c r="G237" s="234">
        <v>2024.0</v>
      </c>
      <c r="H237" s="234">
        <v>2028.0</v>
      </c>
      <c r="I237" s="234" t="s">
        <v>18725</v>
      </c>
      <c r="J237" s="234" t="s">
        <v>18638</v>
      </c>
      <c r="K237" s="236" t="s">
        <v>18725</v>
      </c>
      <c r="L237" s="236">
        <v>2.0</v>
      </c>
      <c r="M237" s="236">
        <v>2.0</v>
      </c>
      <c r="N237" s="234" t="s">
        <v>18654</v>
      </c>
      <c r="O237" s="237" t="s">
        <v>18675</v>
      </c>
      <c r="P237" s="238" t="s">
        <v>19187</v>
      </c>
      <c r="Q237" s="234" t="s">
        <v>18726</v>
      </c>
      <c r="R237" s="238" t="s">
        <v>19696</v>
      </c>
      <c r="S237" s="238" t="s">
        <v>19369</v>
      </c>
      <c r="T237" s="238" t="s">
        <v>19697</v>
      </c>
      <c r="U237" s="238" t="s">
        <v>19698</v>
      </c>
      <c r="V237" s="238" t="s">
        <v>19699</v>
      </c>
      <c r="W237" s="238" t="s">
        <v>18725</v>
      </c>
      <c r="X237" s="238" t="s">
        <v>18725</v>
      </c>
      <c r="Y237" s="239" t="str">
        <f>IF('CCUS Projects Database'!$R237&lt;&gt;"",HYPERLINK('CCUS Projects Database'!$R237,"Link 1"),"")</f>
        <v>Link 1</v>
      </c>
      <c r="Z237" s="239" t="str">
        <f>IF('CCUS Projects Database'!$S237&lt;&gt;"",HYPERLINK('CCUS Projects Database'!$S237,"Link 2"),"")</f>
        <v>Link 2</v>
      </c>
      <c r="AA237" s="239" t="str">
        <f>IF('CCUS Projects Database'!$T237&lt;&gt;"",HYPERLINK('CCUS Projects Database'!$T237,"Link 3"),"")</f>
        <v>Link 3</v>
      </c>
      <c r="AB237" s="239" t="str">
        <f>IF('CCUS Projects Database'!$U237&lt;&gt;"",HYPERLINK('CCUS Projects Database'!$U237,"Link 4"),"")</f>
        <v>Link 4</v>
      </c>
      <c r="AC237" s="239" t="str">
        <f>IF('CCUS Projects Database'!$V237&lt;&gt;"",HYPERLINK('CCUS Projects Database'!$V237,"Link 5"),"")</f>
        <v>Link 5</v>
      </c>
      <c r="AD237" s="239" t="str">
        <f>IF('CCUS Projects Database'!$W237&lt;&gt;"",HYPERLINK('CCUS Projects Database'!$W237,"Link 6"),"")</f>
        <v/>
      </c>
      <c r="AE237" s="239" t="str">
        <f>IF('CCUS Projects Database'!$X237&lt;&gt;"",HYPERLINK('CCUS Projects Database'!$X237,"Link 7"),"")</f>
        <v/>
      </c>
    </row>
    <row r="238" ht="14.25" customHeight="1">
      <c r="A238" s="233" t="s">
        <v>19700</v>
      </c>
      <c r="B238" s="234">
        <v>288.0</v>
      </c>
      <c r="C238" s="234" t="s">
        <v>18586</v>
      </c>
      <c r="D238" s="235" t="s">
        <v>19701</v>
      </c>
      <c r="E238" s="234" t="s">
        <v>18618</v>
      </c>
      <c r="F238" s="234">
        <v>2021.0</v>
      </c>
      <c r="G238" s="234">
        <v>2025.0</v>
      </c>
      <c r="H238" s="234">
        <v>2026.0</v>
      </c>
      <c r="I238" s="234" t="s">
        <v>18725</v>
      </c>
      <c r="J238" s="234" t="s">
        <v>18636</v>
      </c>
      <c r="K238" s="236" t="s">
        <v>18725</v>
      </c>
      <c r="L238" s="236">
        <v>5.0</v>
      </c>
      <c r="M238" s="236">
        <v>5.0</v>
      </c>
      <c r="N238" s="234" t="s">
        <v>18656</v>
      </c>
      <c r="O238" s="237" t="s">
        <v>18683</v>
      </c>
      <c r="P238" s="238" t="s">
        <v>19702</v>
      </c>
      <c r="Q238" s="234" t="s">
        <v>18732</v>
      </c>
      <c r="R238" s="238" t="s">
        <v>19703</v>
      </c>
      <c r="S238" s="238" t="s">
        <v>19704</v>
      </c>
      <c r="T238" s="238" t="s">
        <v>18725</v>
      </c>
      <c r="U238" s="238" t="s">
        <v>18725</v>
      </c>
      <c r="V238" s="238" t="s">
        <v>18725</v>
      </c>
      <c r="W238" s="238" t="s">
        <v>18725</v>
      </c>
      <c r="X238" s="238" t="s">
        <v>18725</v>
      </c>
      <c r="Y238" s="239" t="str">
        <f>IF('CCUS Projects Database'!$R238&lt;&gt;"",HYPERLINK('CCUS Projects Database'!$R238,"Link 1"),"")</f>
        <v>Link 1</v>
      </c>
      <c r="Z238" s="239" t="str">
        <f>IF('CCUS Projects Database'!$S238&lt;&gt;"",HYPERLINK('CCUS Projects Database'!$S238,"Link 2"),"")</f>
        <v>Link 2</v>
      </c>
      <c r="AA238" s="239" t="str">
        <f>IF('CCUS Projects Database'!$T238&lt;&gt;"",HYPERLINK('CCUS Projects Database'!$T238,"Link 3"),"")</f>
        <v/>
      </c>
      <c r="AB238" s="239" t="str">
        <f>IF('CCUS Projects Database'!$U238&lt;&gt;"",HYPERLINK('CCUS Projects Database'!$U238,"Link 4"),"")</f>
        <v/>
      </c>
      <c r="AC238" s="239" t="str">
        <f>IF('CCUS Projects Database'!$V238&lt;&gt;"",HYPERLINK('CCUS Projects Database'!$V238,"Link 5"),"")</f>
        <v/>
      </c>
      <c r="AD238" s="239" t="str">
        <f>IF('CCUS Projects Database'!$W238&lt;&gt;"",HYPERLINK('CCUS Projects Database'!$W238,"Link 6"),"")</f>
        <v/>
      </c>
      <c r="AE238" s="239" t="str">
        <f>IF('CCUS Projects Database'!$X238&lt;&gt;"",HYPERLINK('CCUS Projects Database'!$X238,"Link 7"),"")</f>
        <v/>
      </c>
    </row>
    <row r="239" ht="14.25" customHeight="1">
      <c r="A239" s="233" t="s">
        <v>19705</v>
      </c>
      <c r="B239" s="234">
        <v>289.0</v>
      </c>
      <c r="C239" s="234" t="s">
        <v>18290</v>
      </c>
      <c r="D239" s="235" t="s">
        <v>19706</v>
      </c>
      <c r="E239" s="234" t="s">
        <v>18623</v>
      </c>
      <c r="F239" s="234">
        <v>2023.0</v>
      </c>
      <c r="G239" s="234" t="s">
        <v>18725</v>
      </c>
      <c r="H239" s="234">
        <v>2030.0</v>
      </c>
      <c r="I239" s="234" t="s">
        <v>18725</v>
      </c>
      <c r="J239" s="234" t="s">
        <v>18636</v>
      </c>
      <c r="K239" s="236" t="s">
        <v>18725</v>
      </c>
      <c r="L239" s="236">
        <v>1.5</v>
      </c>
      <c r="M239" s="236">
        <v>1.5</v>
      </c>
      <c r="N239" s="234" t="s">
        <v>18623</v>
      </c>
      <c r="O239" s="237" t="s">
        <v>18675</v>
      </c>
      <c r="P239" s="238" t="s">
        <v>19707</v>
      </c>
      <c r="Q239" s="234" t="s">
        <v>18856</v>
      </c>
      <c r="R239" s="238" t="s">
        <v>19708</v>
      </c>
      <c r="S239" s="238" t="s">
        <v>19709</v>
      </c>
      <c r="T239" s="238" t="s">
        <v>18725</v>
      </c>
      <c r="U239" s="238" t="s">
        <v>18725</v>
      </c>
      <c r="V239" s="238" t="s">
        <v>18725</v>
      </c>
      <c r="W239" s="238" t="s">
        <v>18725</v>
      </c>
      <c r="X239" s="238" t="s">
        <v>18725</v>
      </c>
      <c r="Y239" s="239" t="str">
        <f>IF('CCUS Projects Database'!$R239&lt;&gt;"",HYPERLINK('CCUS Projects Database'!$R239,"Link 1"),"")</f>
        <v>Link 1</v>
      </c>
      <c r="Z239" s="239" t="str">
        <f>IF('CCUS Projects Database'!$S239&lt;&gt;"",HYPERLINK('CCUS Projects Database'!$S239,"Link 2"),"")</f>
        <v>Link 2</v>
      </c>
      <c r="AA239" s="239" t="str">
        <f>IF('CCUS Projects Database'!$T239&lt;&gt;"",HYPERLINK('CCUS Projects Database'!$T239,"Link 3"),"")</f>
        <v/>
      </c>
      <c r="AB239" s="239" t="str">
        <f>IF('CCUS Projects Database'!$U239&lt;&gt;"",HYPERLINK('CCUS Projects Database'!$U239,"Link 4"),"")</f>
        <v/>
      </c>
      <c r="AC239" s="239" t="str">
        <f>IF('CCUS Projects Database'!$V239&lt;&gt;"",HYPERLINK('CCUS Projects Database'!$V239,"Link 5"),"")</f>
        <v/>
      </c>
      <c r="AD239" s="239" t="str">
        <f>IF('CCUS Projects Database'!$W239&lt;&gt;"",HYPERLINK('CCUS Projects Database'!$W239,"Link 6"),"")</f>
        <v/>
      </c>
      <c r="AE239" s="239" t="str">
        <f>IF('CCUS Projects Database'!$X239&lt;&gt;"",HYPERLINK('CCUS Projects Database'!$X239,"Link 7"),"")</f>
        <v/>
      </c>
    </row>
    <row r="240" ht="14.25" customHeight="1">
      <c r="A240" s="233" t="s">
        <v>19710</v>
      </c>
      <c r="B240" s="234">
        <v>290.0</v>
      </c>
      <c r="C240" s="234" t="s">
        <v>98</v>
      </c>
      <c r="D240" s="235" t="s">
        <v>19711</v>
      </c>
      <c r="E240" s="234" t="s">
        <v>18618</v>
      </c>
      <c r="F240" s="234">
        <v>2019.0</v>
      </c>
      <c r="G240" s="234" t="s">
        <v>18725</v>
      </c>
      <c r="H240" s="234">
        <v>2035.0</v>
      </c>
      <c r="I240" s="234" t="s">
        <v>18725</v>
      </c>
      <c r="J240" s="234" t="s">
        <v>18636</v>
      </c>
      <c r="K240" s="236" t="s">
        <v>18725</v>
      </c>
      <c r="L240" s="236">
        <v>0.15</v>
      </c>
      <c r="M240" s="236">
        <v>0.15</v>
      </c>
      <c r="N240" s="234" t="s">
        <v>103</v>
      </c>
      <c r="O240" s="237" t="s">
        <v>18675</v>
      </c>
      <c r="P240" s="238" t="s">
        <v>18941</v>
      </c>
      <c r="Q240" s="234" t="s">
        <v>18726</v>
      </c>
      <c r="R240" s="238" t="s">
        <v>18942</v>
      </c>
      <c r="S240" s="238" t="s">
        <v>18943</v>
      </c>
      <c r="T240" s="238" t="s">
        <v>18944</v>
      </c>
      <c r="U240" s="238" t="s">
        <v>18725</v>
      </c>
      <c r="V240" s="238" t="s">
        <v>18725</v>
      </c>
      <c r="W240" s="238" t="s">
        <v>18725</v>
      </c>
      <c r="X240" s="238" t="s">
        <v>18725</v>
      </c>
      <c r="Y240" s="239" t="str">
        <f>IF('CCUS Projects Database'!$R240&lt;&gt;"",HYPERLINK('CCUS Projects Database'!$R240,"Link 1"),"")</f>
        <v>Link 1</v>
      </c>
      <c r="Z240" s="239" t="str">
        <f>IF('CCUS Projects Database'!$S240&lt;&gt;"",HYPERLINK('CCUS Projects Database'!$S240,"Link 2"),"")</f>
        <v>Link 2</v>
      </c>
      <c r="AA240" s="239" t="str">
        <f>IF('CCUS Projects Database'!$T240&lt;&gt;"",HYPERLINK('CCUS Projects Database'!$T240,"Link 3"),"")</f>
        <v>Link 3</v>
      </c>
      <c r="AB240" s="239" t="str">
        <f>IF('CCUS Projects Database'!$U240&lt;&gt;"",HYPERLINK('CCUS Projects Database'!$U240,"Link 4"),"")</f>
        <v/>
      </c>
      <c r="AC240" s="239" t="str">
        <f>IF('CCUS Projects Database'!$V240&lt;&gt;"",HYPERLINK('CCUS Projects Database'!$V240,"Link 5"),"")</f>
        <v/>
      </c>
      <c r="AD240" s="239" t="str">
        <f>IF('CCUS Projects Database'!$W240&lt;&gt;"",HYPERLINK('CCUS Projects Database'!$W240,"Link 6"),"")</f>
        <v/>
      </c>
      <c r="AE240" s="239" t="str">
        <f>IF('CCUS Projects Database'!$X240&lt;&gt;"",HYPERLINK('CCUS Projects Database'!$X240,"Link 7"),"")</f>
        <v/>
      </c>
    </row>
    <row r="241" ht="14.25" customHeight="1">
      <c r="A241" s="233" t="s">
        <v>19712</v>
      </c>
      <c r="B241" s="234">
        <v>293.0</v>
      </c>
      <c r="C241" s="234" t="s">
        <v>18264</v>
      </c>
      <c r="D241" s="235" t="s">
        <v>19713</v>
      </c>
      <c r="E241" s="234" t="s">
        <v>18618</v>
      </c>
      <c r="F241" s="234">
        <v>2011.0</v>
      </c>
      <c r="G241" s="234">
        <v>2014.0</v>
      </c>
      <c r="H241" s="234">
        <v>2020.0</v>
      </c>
      <c r="I241" s="234" t="s">
        <v>18725</v>
      </c>
      <c r="J241" s="234" t="s">
        <v>12385</v>
      </c>
      <c r="K241" s="236" t="s">
        <v>18725</v>
      </c>
      <c r="L241" s="236">
        <v>1.3</v>
      </c>
      <c r="M241" s="236">
        <v>1.3</v>
      </c>
      <c r="N241" s="234" t="s">
        <v>18661</v>
      </c>
      <c r="O241" s="237" t="s">
        <v>18677</v>
      </c>
      <c r="P241" s="238" t="s">
        <v>19062</v>
      </c>
      <c r="Q241" s="234" t="s">
        <v>18732</v>
      </c>
      <c r="R241" s="238" t="s">
        <v>19714</v>
      </c>
      <c r="S241" s="238" t="s">
        <v>19715</v>
      </c>
      <c r="T241" s="238" t="s">
        <v>19716</v>
      </c>
      <c r="U241" s="238" t="s">
        <v>18725</v>
      </c>
      <c r="V241" s="238" t="s">
        <v>18725</v>
      </c>
      <c r="W241" s="238" t="s">
        <v>18725</v>
      </c>
      <c r="X241" s="238" t="s">
        <v>18725</v>
      </c>
      <c r="Y241" s="239" t="str">
        <f>IF('CCUS Projects Database'!$R241&lt;&gt;"",HYPERLINK('CCUS Projects Database'!$R241,"Link 1"),"")</f>
        <v>Link 1</v>
      </c>
      <c r="Z241" s="239" t="str">
        <f>IF('CCUS Projects Database'!$S241&lt;&gt;"",HYPERLINK('CCUS Projects Database'!$S241,"Link 2"),"")</f>
        <v>Link 2</v>
      </c>
      <c r="AA241" s="239" t="str">
        <f>IF('CCUS Projects Database'!$T241&lt;&gt;"",HYPERLINK('CCUS Projects Database'!$T241,"Link 3"),"")</f>
        <v>Link 3</v>
      </c>
      <c r="AB241" s="239" t="str">
        <f>IF('CCUS Projects Database'!$U241&lt;&gt;"",HYPERLINK('CCUS Projects Database'!$U241,"Link 4"),"")</f>
        <v/>
      </c>
      <c r="AC241" s="239" t="str">
        <f>IF('CCUS Projects Database'!$V241&lt;&gt;"",HYPERLINK('CCUS Projects Database'!$V241,"Link 5"),"")</f>
        <v/>
      </c>
      <c r="AD241" s="239" t="str">
        <f>IF('CCUS Projects Database'!$W241&lt;&gt;"",HYPERLINK('CCUS Projects Database'!$W241,"Link 6"),"")</f>
        <v/>
      </c>
      <c r="AE241" s="239" t="str">
        <f>IF('CCUS Projects Database'!$X241&lt;&gt;"",HYPERLINK('CCUS Projects Database'!$X241,"Link 7"),"")</f>
        <v/>
      </c>
    </row>
    <row r="242" ht="14.25" customHeight="1">
      <c r="A242" s="233" t="s">
        <v>19717</v>
      </c>
      <c r="B242" s="234">
        <v>294.0</v>
      </c>
      <c r="C242" s="234" t="s">
        <v>83</v>
      </c>
      <c r="D242" s="235" t="s">
        <v>19718</v>
      </c>
      <c r="E242" s="234" t="s">
        <v>18623</v>
      </c>
      <c r="F242" s="234">
        <v>2018.0</v>
      </c>
      <c r="G242" s="234">
        <v>2024.0</v>
      </c>
      <c r="H242" s="234">
        <v>2028.0</v>
      </c>
      <c r="I242" s="234" t="s">
        <v>18725</v>
      </c>
      <c r="J242" s="234" t="s">
        <v>18638</v>
      </c>
      <c r="K242" s="236">
        <v>1.0</v>
      </c>
      <c r="L242" s="236">
        <v>4.0</v>
      </c>
      <c r="M242" s="236">
        <v>4.0</v>
      </c>
      <c r="N242" s="234" t="s">
        <v>18623</v>
      </c>
      <c r="O242" s="237" t="s">
        <v>18675</v>
      </c>
      <c r="P242" s="238" t="s">
        <v>19187</v>
      </c>
      <c r="Q242" s="234" t="s">
        <v>18726</v>
      </c>
      <c r="R242" s="238" t="s">
        <v>19719</v>
      </c>
      <c r="S242" s="238" t="s">
        <v>18747</v>
      </c>
      <c r="T242" s="238" t="s">
        <v>19720</v>
      </c>
      <c r="U242" s="238" t="s">
        <v>19721</v>
      </c>
      <c r="V242" s="238" t="s">
        <v>19376</v>
      </c>
      <c r="W242" s="238" t="s">
        <v>19722</v>
      </c>
      <c r="X242" s="238" t="s">
        <v>19698</v>
      </c>
      <c r="Y242" s="239" t="str">
        <f>IF('CCUS Projects Database'!$R242&lt;&gt;"",HYPERLINK('CCUS Projects Database'!$R242,"Link 1"),"")</f>
        <v>Link 1</v>
      </c>
      <c r="Z242" s="239" t="str">
        <f>IF('CCUS Projects Database'!$S242&lt;&gt;"",HYPERLINK('CCUS Projects Database'!$S242,"Link 2"),"")</f>
        <v>Link 2</v>
      </c>
      <c r="AA242" s="239" t="str">
        <f>IF('CCUS Projects Database'!$T242&lt;&gt;"",HYPERLINK('CCUS Projects Database'!$T242,"Link 3"),"")</f>
        <v>Link 3</v>
      </c>
      <c r="AB242" s="239" t="str">
        <f>IF('CCUS Projects Database'!$U242&lt;&gt;"",HYPERLINK('CCUS Projects Database'!$U242,"Link 4"),"")</f>
        <v>Link 4</v>
      </c>
      <c r="AC242" s="239" t="str">
        <f>IF('CCUS Projects Database'!$V242&lt;&gt;"",HYPERLINK('CCUS Projects Database'!$V242,"Link 5"),"")</f>
        <v>Link 5</v>
      </c>
      <c r="AD242" s="239" t="str">
        <f>IF('CCUS Projects Database'!$W242&lt;&gt;"",HYPERLINK('CCUS Projects Database'!$W242,"Link 6"),"")</f>
        <v>Link 6</v>
      </c>
      <c r="AE242" s="239" t="str">
        <f>IF('CCUS Projects Database'!$X242&lt;&gt;"",HYPERLINK('CCUS Projects Database'!$X242,"Link 7"),"")</f>
        <v>Link 7</v>
      </c>
    </row>
    <row r="243" ht="14.25" customHeight="1">
      <c r="A243" s="233" t="s">
        <v>19723</v>
      </c>
      <c r="B243" s="234">
        <v>295.0</v>
      </c>
      <c r="C243" s="234" t="s">
        <v>98</v>
      </c>
      <c r="D243" s="235" t="s">
        <v>19724</v>
      </c>
      <c r="E243" s="234" t="s">
        <v>18623</v>
      </c>
      <c r="F243" s="234">
        <v>2017.0</v>
      </c>
      <c r="G243" s="234">
        <v>2020.0</v>
      </c>
      <c r="H243" s="234">
        <v>2025.0</v>
      </c>
      <c r="I243" s="234" t="s">
        <v>18725</v>
      </c>
      <c r="J243" s="234" t="s">
        <v>18638</v>
      </c>
      <c r="K243" s="236">
        <v>1.0</v>
      </c>
      <c r="L243" s="236">
        <v>1.5</v>
      </c>
      <c r="M243" s="236">
        <v>1.5</v>
      </c>
      <c r="N243" s="234" t="s">
        <v>18623</v>
      </c>
      <c r="O243" s="237" t="s">
        <v>18675</v>
      </c>
      <c r="P243" s="238" t="s">
        <v>18941</v>
      </c>
      <c r="Q243" s="234" t="s">
        <v>18726</v>
      </c>
      <c r="R243" s="238" t="s">
        <v>19402</v>
      </c>
      <c r="S243" s="238" t="s">
        <v>18792</v>
      </c>
      <c r="T243" s="238" t="s">
        <v>19725</v>
      </c>
      <c r="U243" s="238" t="s">
        <v>19726</v>
      </c>
      <c r="V243" s="238" t="s">
        <v>19727</v>
      </c>
      <c r="W243" s="238" t="s">
        <v>19728</v>
      </c>
      <c r="X243" s="238" t="s">
        <v>18794</v>
      </c>
      <c r="Y243" s="239" t="str">
        <f>IF('CCUS Projects Database'!$R243&lt;&gt;"",HYPERLINK('CCUS Projects Database'!$R243,"Link 1"),"")</f>
        <v>Link 1</v>
      </c>
      <c r="Z243" s="239" t="str">
        <f>IF('CCUS Projects Database'!$S243&lt;&gt;"",HYPERLINK('CCUS Projects Database'!$S243,"Link 2"),"")</f>
        <v>Link 2</v>
      </c>
      <c r="AA243" s="239" t="str">
        <f>IF('CCUS Projects Database'!$T243&lt;&gt;"",HYPERLINK('CCUS Projects Database'!$T243,"Link 3"),"")</f>
        <v>Link 3</v>
      </c>
      <c r="AB243" s="239" t="str">
        <f>IF('CCUS Projects Database'!$U243&lt;&gt;"",HYPERLINK('CCUS Projects Database'!$U243,"Link 4"),"")</f>
        <v>Link 4</v>
      </c>
      <c r="AC243" s="239" t="str">
        <f>IF('CCUS Projects Database'!$V243&lt;&gt;"",HYPERLINK('CCUS Projects Database'!$V243,"Link 5"),"")</f>
        <v>Link 5</v>
      </c>
      <c r="AD243" s="239" t="str">
        <f>IF('CCUS Projects Database'!$W243&lt;&gt;"",HYPERLINK('CCUS Projects Database'!$W243,"Link 6"),"")</f>
        <v>Link 6</v>
      </c>
      <c r="AE243" s="239" t="str">
        <f>IF('CCUS Projects Database'!$X243&lt;&gt;"",HYPERLINK('CCUS Projects Database'!$X243,"Link 7"),"")</f>
        <v>Link 7</v>
      </c>
    </row>
    <row r="244" ht="14.25" customHeight="1">
      <c r="A244" s="233" t="s">
        <v>19729</v>
      </c>
      <c r="B244" s="234">
        <v>296.0</v>
      </c>
      <c r="C244" s="234" t="s">
        <v>98</v>
      </c>
      <c r="D244" s="235" t="s">
        <v>19724</v>
      </c>
      <c r="E244" s="234" t="s">
        <v>18623</v>
      </c>
      <c r="F244" s="234">
        <v>2017.0</v>
      </c>
      <c r="G244" s="234">
        <v>2025.0</v>
      </c>
      <c r="H244" s="234">
        <v>2028.0</v>
      </c>
      <c r="I244" s="234" t="s">
        <v>18725</v>
      </c>
      <c r="J244" s="234" t="s">
        <v>18638</v>
      </c>
      <c r="K244" s="236">
        <v>2.0</v>
      </c>
      <c r="L244" s="236">
        <v>3.7</v>
      </c>
      <c r="M244" s="236">
        <v>3.7</v>
      </c>
      <c r="N244" s="234" t="s">
        <v>18623</v>
      </c>
      <c r="O244" s="237" t="s">
        <v>18675</v>
      </c>
      <c r="P244" s="238" t="s">
        <v>18941</v>
      </c>
      <c r="Q244" s="234" t="s">
        <v>18726</v>
      </c>
      <c r="R244" s="238" t="s">
        <v>19402</v>
      </c>
      <c r="S244" s="238" t="s">
        <v>19730</v>
      </c>
      <c r="T244" s="238" t="s">
        <v>18792</v>
      </c>
      <c r="U244" s="238" t="s">
        <v>19725</v>
      </c>
      <c r="V244" s="238" t="s">
        <v>19726</v>
      </c>
      <c r="W244" s="238" t="s">
        <v>18794</v>
      </c>
      <c r="X244" s="238" t="s">
        <v>19731</v>
      </c>
      <c r="Y244" s="239" t="str">
        <f>IF('CCUS Projects Database'!$R244&lt;&gt;"",HYPERLINK('CCUS Projects Database'!$R244,"Link 1"),"")</f>
        <v>Link 1</v>
      </c>
      <c r="Z244" s="239" t="str">
        <f>IF('CCUS Projects Database'!$S244&lt;&gt;"",HYPERLINK('CCUS Projects Database'!$S244,"Link 2"),"")</f>
        <v>Link 2</v>
      </c>
      <c r="AA244" s="239" t="str">
        <f>IF('CCUS Projects Database'!$T244&lt;&gt;"",HYPERLINK('CCUS Projects Database'!$T244,"Link 3"),"")</f>
        <v>Link 3</v>
      </c>
      <c r="AB244" s="239" t="str">
        <f>IF('CCUS Projects Database'!$U244&lt;&gt;"",HYPERLINK('CCUS Projects Database'!$U244,"Link 4"),"")</f>
        <v>Link 4</v>
      </c>
      <c r="AC244" s="239" t="str">
        <f>IF('CCUS Projects Database'!$V244&lt;&gt;"",HYPERLINK('CCUS Projects Database'!$V244,"Link 5"),"")</f>
        <v>Link 5</v>
      </c>
      <c r="AD244" s="239" t="str">
        <f>IF('CCUS Projects Database'!$W244&lt;&gt;"",HYPERLINK('CCUS Projects Database'!$W244,"Link 6"),"")</f>
        <v>Link 6</v>
      </c>
      <c r="AE244" s="239" t="str">
        <f>IF('CCUS Projects Database'!$X244&lt;&gt;"",HYPERLINK('CCUS Projects Database'!$X244,"Link 7"),"")</f>
        <v>Link 7</v>
      </c>
    </row>
    <row r="245" ht="14.25" customHeight="1">
      <c r="A245" s="233" t="s">
        <v>9457</v>
      </c>
      <c r="B245" s="234">
        <v>297.0</v>
      </c>
      <c r="C245" s="234" t="s">
        <v>18586</v>
      </c>
      <c r="D245" s="235" t="s">
        <v>19732</v>
      </c>
      <c r="E245" s="234" t="s">
        <v>18618</v>
      </c>
      <c r="F245" s="234">
        <v>2013.0</v>
      </c>
      <c r="G245" s="234" t="s">
        <v>18725</v>
      </c>
      <c r="H245" s="234" t="s">
        <v>18725</v>
      </c>
      <c r="I245" s="234" t="s">
        <v>18725</v>
      </c>
      <c r="J245" s="234" t="s">
        <v>18636</v>
      </c>
      <c r="K245" s="236" t="s">
        <v>18725</v>
      </c>
      <c r="L245" s="236">
        <v>0.5</v>
      </c>
      <c r="M245" s="236">
        <v>0.5</v>
      </c>
      <c r="N245" s="234" t="s">
        <v>677</v>
      </c>
      <c r="O245" s="237" t="s">
        <v>18675</v>
      </c>
      <c r="P245" s="238" t="s">
        <v>18966</v>
      </c>
      <c r="Q245" s="234" t="s">
        <v>18732</v>
      </c>
      <c r="R245" s="238" t="s">
        <v>17249</v>
      </c>
      <c r="S245" s="238" t="s">
        <v>19733</v>
      </c>
      <c r="T245" s="238" t="s">
        <v>19734</v>
      </c>
      <c r="U245" s="238" t="s">
        <v>18725</v>
      </c>
      <c r="V245" s="238" t="s">
        <v>18725</v>
      </c>
      <c r="W245" s="238" t="s">
        <v>18725</v>
      </c>
      <c r="X245" s="238" t="s">
        <v>18725</v>
      </c>
      <c r="Y245" s="239" t="str">
        <f>IF('CCUS Projects Database'!$R245&lt;&gt;"",HYPERLINK('CCUS Projects Database'!$R245,"Link 1"),"")</f>
        <v>Link 1</v>
      </c>
      <c r="Z245" s="239" t="str">
        <f>IF('CCUS Projects Database'!$S245&lt;&gt;"",HYPERLINK('CCUS Projects Database'!$S245,"Link 2"),"")</f>
        <v>Link 2</v>
      </c>
      <c r="AA245" s="239" t="str">
        <f>IF('CCUS Projects Database'!$T245&lt;&gt;"",HYPERLINK('CCUS Projects Database'!$T245,"Link 3"),"")</f>
        <v>Link 3</v>
      </c>
      <c r="AB245" s="239" t="str">
        <f>IF('CCUS Projects Database'!$U245&lt;&gt;"",HYPERLINK('CCUS Projects Database'!$U245,"Link 4"),"")</f>
        <v/>
      </c>
      <c r="AC245" s="239" t="str">
        <f>IF('CCUS Projects Database'!$V245&lt;&gt;"",HYPERLINK('CCUS Projects Database'!$V245,"Link 5"),"")</f>
        <v/>
      </c>
      <c r="AD245" s="239" t="str">
        <f>IF('CCUS Projects Database'!$W245&lt;&gt;"",HYPERLINK('CCUS Projects Database'!$W245,"Link 6"),"")</f>
        <v/>
      </c>
      <c r="AE245" s="239" t="str">
        <f>IF('CCUS Projects Database'!$X245&lt;&gt;"",HYPERLINK('CCUS Projects Database'!$X245,"Link 7"),"")</f>
        <v/>
      </c>
    </row>
    <row r="246" ht="14.25" customHeight="1">
      <c r="A246" s="233" t="s">
        <v>19735</v>
      </c>
      <c r="B246" s="234">
        <v>299.0</v>
      </c>
      <c r="C246" s="234" t="s">
        <v>18586</v>
      </c>
      <c r="D246" s="235" t="s">
        <v>19736</v>
      </c>
      <c r="E246" s="234" t="s">
        <v>18618</v>
      </c>
      <c r="F246" s="234">
        <v>2020.0</v>
      </c>
      <c r="G246" s="234">
        <v>2025.0</v>
      </c>
      <c r="H246" s="234">
        <v>2026.0</v>
      </c>
      <c r="I246" s="234" t="s">
        <v>18725</v>
      </c>
      <c r="J246" s="234" t="s">
        <v>18636</v>
      </c>
      <c r="K246" s="236" t="s">
        <v>18725</v>
      </c>
      <c r="L246" s="236">
        <v>0.45</v>
      </c>
      <c r="M246" s="236">
        <v>0.45</v>
      </c>
      <c r="N246" s="234" t="s">
        <v>12270</v>
      </c>
      <c r="O246" s="237" t="s">
        <v>18675</v>
      </c>
      <c r="P246" s="238" t="s">
        <v>19737</v>
      </c>
      <c r="Q246" s="234" t="s">
        <v>18732</v>
      </c>
      <c r="R246" s="238" t="s">
        <v>19738</v>
      </c>
      <c r="S246" s="238" t="s">
        <v>19202</v>
      </c>
      <c r="T246" s="238" t="s">
        <v>19739</v>
      </c>
      <c r="U246" s="238" t="s">
        <v>19740</v>
      </c>
      <c r="V246" s="238" t="s">
        <v>19741</v>
      </c>
      <c r="W246" s="238" t="s">
        <v>18725</v>
      </c>
      <c r="X246" s="238" t="s">
        <v>18725</v>
      </c>
      <c r="Y246" s="239" t="str">
        <f>IF('CCUS Projects Database'!$R246&lt;&gt;"",HYPERLINK('CCUS Projects Database'!$R246,"Link 1"),"")</f>
        <v>Link 1</v>
      </c>
      <c r="Z246" s="239" t="str">
        <f>IF('CCUS Projects Database'!$S246&lt;&gt;"",HYPERLINK('CCUS Projects Database'!$S246,"Link 2"),"")</f>
        <v>Link 2</v>
      </c>
      <c r="AA246" s="239" t="str">
        <f>IF('CCUS Projects Database'!$T246&lt;&gt;"",HYPERLINK('CCUS Projects Database'!$T246,"Link 3"),"")</f>
        <v>Link 3</v>
      </c>
      <c r="AB246" s="239" t="str">
        <f>IF('CCUS Projects Database'!$U246&lt;&gt;"",HYPERLINK('CCUS Projects Database'!$U246,"Link 4"),"")</f>
        <v>Link 4</v>
      </c>
      <c r="AC246" s="239" t="str">
        <f>IF('CCUS Projects Database'!$V246&lt;&gt;"",HYPERLINK('CCUS Projects Database'!$V246,"Link 5"),"")</f>
        <v>Link 5</v>
      </c>
      <c r="AD246" s="239" t="str">
        <f>IF('CCUS Projects Database'!$W246&lt;&gt;"",HYPERLINK('CCUS Projects Database'!$W246,"Link 6"),"")</f>
        <v/>
      </c>
      <c r="AE246" s="239" t="str">
        <f>IF('CCUS Projects Database'!$X246&lt;&gt;"",HYPERLINK('CCUS Projects Database'!$X246,"Link 7"),"")</f>
        <v/>
      </c>
    </row>
    <row r="247" ht="14.25" customHeight="1">
      <c r="A247" s="233" t="s">
        <v>19293</v>
      </c>
      <c r="B247" s="234">
        <v>300.0</v>
      </c>
      <c r="C247" s="234" t="s">
        <v>18264</v>
      </c>
      <c r="D247" s="235" t="s">
        <v>19742</v>
      </c>
      <c r="E247" s="234" t="s">
        <v>18623</v>
      </c>
      <c r="F247" s="234">
        <v>2022.0</v>
      </c>
      <c r="G247" s="234" t="s">
        <v>18725</v>
      </c>
      <c r="H247" s="234">
        <v>2026.0</v>
      </c>
      <c r="I247" s="234" t="s">
        <v>18725</v>
      </c>
      <c r="J247" s="234" t="s">
        <v>18636</v>
      </c>
      <c r="K247" s="236" t="s">
        <v>18725</v>
      </c>
      <c r="L247" s="236">
        <v>4.0</v>
      </c>
      <c r="M247" s="236">
        <v>4.0</v>
      </c>
      <c r="N247" s="234" t="s">
        <v>18623</v>
      </c>
      <c r="O247" s="237" t="s">
        <v>18675</v>
      </c>
      <c r="P247" s="238" t="s">
        <v>19293</v>
      </c>
      <c r="Q247" s="234" t="s">
        <v>18732</v>
      </c>
      <c r="R247" s="238" t="s">
        <v>19294</v>
      </c>
      <c r="S247" s="238" t="s">
        <v>19582</v>
      </c>
      <c r="T247" s="238" t="s">
        <v>19743</v>
      </c>
      <c r="U247" s="238" t="s">
        <v>19744</v>
      </c>
      <c r="V247" s="238" t="s">
        <v>19745</v>
      </c>
      <c r="W247" s="238" t="s">
        <v>18725</v>
      </c>
      <c r="X247" s="238" t="s">
        <v>18725</v>
      </c>
      <c r="Y247" s="239" t="str">
        <f>IF('CCUS Projects Database'!$R247&lt;&gt;"",HYPERLINK('CCUS Projects Database'!$R247,"Link 1"),"")</f>
        <v>Link 1</v>
      </c>
      <c r="Z247" s="239" t="str">
        <f>IF('CCUS Projects Database'!$S247&lt;&gt;"",HYPERLINK('CCUS Projects Database'!$S247,"Link 2"),"")</f>
        <v>Link 2</v>
      </c>
      <c r="AA247" s="239" t="str">
        <f>IF('CCUS Projects Database'!$T247&lt;&gt;"",HYPERLINK('CCUS Projects Database'!$T247,"Link 3"),"")</f>
        <v>Link 3</v>
      </c>
      <c r="AB247" s="239" t="str">
        <f>IF('CCUS Projects Database'!$U247&lt;&gt;"",HYPERLINK('CCUS Projects Database'!$U247,"Link 4"),"")</f>
        <v>Link 4</v>
      </c>
      <c r="AC247" s="239" t="str">
        <f>IF('CCUS Projects Database'!$V247&lt;&gt;"",HYPERLINK('CCUS Projects Database'!$V247,"Link 5"),"")</f>
        <v>Link 5</v>
      </c>
      <c r="AD247" s="239" t="str">
        <f>IF('CCUS Projects Database'!$W247&lt;&gt;"",HYPERLINK('CCUS Projects Database'!$W247,"Link 6"),"")</f>
        <v/>
      </c>
      <c r="AE247" s="239" t="str">
        <f>IF('CCUS Projects Database'!$X247&lt;&gt;"",HYPERLINK('CCUS Projects Database'!$X247,"Link 7"),"")</f>
        <v/>
      </c>
    </row>
    <row r="248" ht="14.25" customHeight="1">
      <c r="A248" s="233" t="s">
        <v>19746</v>
      </c>
      <c r="B248" s="234">
        <v>301.0</v>
      </c>
      <c r="C248" s="234" t="s">
        <v>18264</v>
      </c>
      <c r="D248" s="235" t="s">
        <v>19061</v>
      </c>
      <c r="E248" s="234" t="s">
        <v>18623</v>
      </c>
      <c r="F248" s="234">
        <v>2022.0</v>
      </c>
      <c r="G248" s="234" t="s">
        <v>18725</v>
      </c>
      <c r="H248" s="234">
        <v>2030.0</v>
      </c>
      <c r="I248" s="234" t="s">
        <v>18725</v>
      </c>
      <c r="J248" s="234" t="s">
        <v>18636</v>
      </c>
      <c r="K248" s="236" t="s">
        <v>18725</v>
      </c>
      <c r="L248" s="236">
        <v>20.0</v>
      </c>
      <c r="M248" s="236">
        <v>20.0</v>
      </c>
      <c r="N248" s="234" t="s">
        <v>18623</v>
      </c>
      <c r="O248" s="237" t="s">
        <v>18675</v>
      </c>
      <c r="P248" s="238" t="s">
        <v>19746</v>
      </c>
      <c r="Q248" s="234" t="s">
        <v>18732</v>
      </c>
      <c r="R248" s="238" t="s">
        <v>19747</v>
      </c>
      <c r="S248" s="238" t="s">
        <v>19748</v>
      </c>
      <c r="T248" s="238" t="s">
        <v>19747</v>
      </c>
      <c r="U248" s="238" t="s">
        <v>18725</v>
      </c>
      <c r="V248" s="238" t="s">
        <v>18725</v>
      </c>
      <c r="W248" s="238" t="s">
        <v>18725</v>
      </c>
      <c r="X248" s="238" t="s">
        <v>18725</v>
      </c>
      <c r="Y248" s="239" t="str">
        <f>IF('CCUS Projects Database'!$R248&lt;&gt;"",HYPERLINK('CCUS Projects Database'!$R248,"Link 1"),"")</f>
        <v>Link 1</v>
      </c>
      <c r="Z248" s="239" t="str">
        <f>IF('CCUS Projects Database'!$S248&lt;&gt;"",HYPERLINK('CCUS Projects Database'!$S248,"Link 2"),"")</f>
        <v>Link 2</v>
      </c>
      <c r="AA248" s="239" t="str">
        <f>IF('CCUS Projects Database'!$T248&lt;&gt;"",HYPERLINK('CCUS Projects Database'!$T248,"Link 3"),"")</f>
        <v>Link 3</v>
      </c>
      <c r="AB248" s="239" t="str">
        <f>IF('CCUS Projects Database'!$U248&lt;&gt;"",HYPERLINK('CCUS Projects Database'!$U248,"Link 4"),"")</f>
        <v/>
      </c>
      <c r="AC248" s="239" t="str">
        <f>IF('CCUS Projects Database'!$V248&lt;&gt;"",HYPERLINK('CCUS Projects Database'!$V248,"Link 5"),"")</f>
        <v/>
      </c>
      <c r="AD248" s="239" t="str">
        <f>IF('CCUS Projects Database'!$W248&lt;&gt;"",HYPERLINK('CCUS Projects Database'!$W248,"Link 6"),"")</f>
        <v/>
      </c>
      <c r="AE248" s="239" t="str">
        <f>IF('CCUS Projects Database'!$X248&lt;&gt;"",HYPERLINK('CCUS Projects Database'!$X248,"Link 7"),"")</f>
        <v/>
      </c>
    </row>
    <row r="249" ht="14.25" customHeight="1">
      <c r="A249" s="233" t="s">
        <v>19749</v>
      </c>
      <c r="B249" s="234">
        <v>302.0</v>
      </c>
      <c r="C249" s="234" t="s">
        <v>98</v>
      </c>
      <c r="D249" s="235" t="s">
        <v>19750</v>
      </c>
      <c r="E249" s="234" t="s">
        <v>18618</v>
      </c>
      <c r="F249" s="234">
        <v>2016.0</v>
      </c>
      <c r="G249" s="234">
        <v>2025.0</v>
      </c>
      <c r="H249" s="234">
        <v>2029.0</v>
      </c>
      <c r="I249" s="234" t="s">
        <v>18725</v>
      </c>
      <c r="J249" s="234" t="s">
        <v>18638</v>
      </c>
      <c r="K249" s="236" t="s">
        <v>18725</v>
      </c>
      <c r="L249" s="236">
        <v>0.35</v>
      </c>
      <c r="M249" s="236">
        <v>0.35</v>
      </c>
      <c r="N249" s="234" t="s">
        <v>18654</v>
      </c>
      <c r="O249" s="237" t="s">
        <v>18675</v>
      </c>
      <c r="P249" s="238" t="s">
        <v>18941</v>
      </c>
      <c r="Q249" s="234" t="s">
        <v>18726</v>
      </c>
      <c r="R249" s="238" t="s">
        <v>19399</v>
      </c>
      <c r="S249" s="238" t="s">
        <v>19751</v>
      </c>
      <c r="T249" s="238" t="s">
        <v>19752</v>
      </c>
      <c r="U249" s="238" t="s">
        <v>19753</v>
      </c>
      <c r="V249" s="238" t="s">
        <v>19754</v>
      </c>
      <c r="W249" s="238" t="s">
        <v>19755</v>
      </c>
      <c r="X249" s="238" t="s">
        <v>19756</v>
      </c>
      <c r="Y249" s="239" t="str">
        <f>IF('CCUS Projects Database'!$R249&lt;&gt;"",HYPERLINK('CCUS Projects Database'!$R249,"Link 1"),"")</f>
        <v>Link 1</v>
      </c>
      <c r="Z249" s="239" t="str">
        <f>IF('CCUS Projects Database'!$S249&lt;&gt;"",HYPERLINK('CCUS Projects Database'!$S249,"Link 2"),"")</f>
        <v>Link 2</v>
      </c>
      <c r="AA249" s="239" t="str">
        <f>IF('CCUS Projects Database'!$T249&lt;&gt;"",HYPERLINK('CCUS Projects Database'!$T249,"Link 3"),"")</f>
        <v>Link 3</v>
      </c>
      <c r="AB249" s="239" t="str">
        <f>IF('CCUS Projects Database'!$U249&lt;&gt;"",HYPERLINK('CCUS Projects Database'!$U249,"Link 4"),"")</f>
        <v>Link 4</v>
      </c>
      <c r="AC249" s="239" t="str">
        <f>IF('CCUS Projects Database'!$V249&lt;&gt;"",HYPERLINK('CCUS Projects Database'!$V249,"Link 5"),"")</f>
        <v>Link 5</v>
      </c>
      <c r="AD249" s="239" t="str">
        <f>IF('CCUS Projects Database'!$W249&lt;&gt;"",HYPERLINK('CCUS Projects Database'!$W249,"Link 6"),"")</f>
        <v>Link 6</v>
      </c>
      <c r="AE249" s="239" t="str">
        <f>IF('CCUS Projects Database'!$X249&lt;&gt;"",HYPERLINK('CCUS Projects Database'!$X249,"Link 7"),"")</f>
        <v>Link 7</v>
      </c>
    </row>
    <row r="250" ht="14.25" customHeight="1">
      <c r="A250" s="233" t="s">
        <v>19757</v>
      </c>
      <c r="B250" s="234">
        <v>303.0</v>
      </c>
      <c r="C250" s="234" t="s">
        <v>83</v>
      </c>
      <c r="D250" s="235" t="s">
        <v>19758</v>
      </c>
      <c r="E250" s="234" t="s">
        <v>18618</v>
      </c>
      <c r="F250" s="234">
        <v>2021.0</v>
      </c>
      <c r="G250" s="234">
        <v>2025.0</v>
      </c>
      <c r="H250" s="234">
        <v>2028.0</v>
      </c>
      <c r="I250" s="234" t="s">
        <v>18725</v>
      </c>
      <c r="J250" s="234" t="s">
        <v>18636</v>
      </c>
      <c r="K250" s="236" t="s">
        <v>18725</v>
      </c>
      <c r="L250" s="236">
        <v>0.8</v>
      </c>
      <c r="M250" s="236">
        <v>0.8</v>
      </c>
      <c r="N250" s="234" t="s">
        <v>18663</v>
      </c>
      <c r="O250" s="237" t="s">
        <v>18675</v>
      </c>
      <c r="P250" s="238" t="s">
        <v>18985</v>
      </c>
      <c r="Q250" s="234" t="s">
        <v>18726</v>
      </c>
      <c r="R250" s="238" t="s">
        <v>19759</v>
      </c>
      <c r="S250" s="238" t="s">
        <v>19760</v>
      </c>
      <c r="T250" s="238" t="s">
        <v>19369</v>
      </c>
      <c r="U250" s="238" t="s">
        <v>19761</v>
      </c>
      <c r="V250" s="238" t="s">
        <v>18725</v>
      </c>
      <c r="W250" s="238" t="s">
        <v>18725</v>
      </c>
      <c r="X250" s="238" t="s">
        <v>18725</v>
      </c>
      <c r="Y250" s="239" t="str">
        <f>IF('CCUS Projects Database'!$R250&lt;&gt;"",HYPERLINK('CCUS Projects Database'!$R250,"Link 1"),"")</f>
        <v>Link 1</v>
      </c>
      <c r="Z250" s="239" t="str">
        <f>IF('CCUS Projects Database'!$S250&lt;&gt;"",HYPERLINK('CCUS Projects Database'!$S250,"Link 2"),"")</f>
        <v>Link 2</v>
      </c>
      <c r="AA250" s="239" t="str">
        <f>IF('CCUS Projects Database'!$T250&lt;&gt;"",HYPERLINK('CCUS Projects Database'!$T250,"Link 3"),"")</f>
        <v>Link 3</v>
      </c>
      <c r="AB250" s="239" t="str">
        <f>IF('CCUS Projects Database'!$U250&lt;&gt;"",HYPERLINK('CCUS Projects Database'!$U250,"Link 4"),"")</f>
        <v>Link 4</v>
      </c>
      <c r="AC250" s="239" t="str">
        <f>IF('CCUS Projects Database'!$V250&lt;&gt;"",HYPERLINK('CCUS Projects Database'!$V250,"Link 5"),"")</f>
        <v/>
      </c>
      <c r="AD250" s="239" t="str">
        <f>IF('CCUS Projects Database'!$W250&lt;&gt;"",HYPERLINK('CCUS Projects Database'!$W250,"Link 6"),"")</f>
        <v/>
      </c>
      <c r="AE250" s="239" t="str">
        <f>IF('CCUS Projects Database'!$X250&lt;&gt;"",HYPERLINK('CCUS Projects Database'!$X250,"Link 7"),"")</f>
        <v/>
      </c>
    </row>
    <row r="251" ht="14.25" customHeight="1">
      <c r="A251" s="233" t="s">
        <v>19762</v>
      </c>
      <c r="B251" s="234">
        <v>304.0</v>
      </c>
      <c r="C251" s="234" t="s">
        <v>18586</v>
      </c>
      <c r="D251" s="235" t="s">
        <v>19763</v>
      </c>
      <c r="E251" s="234" t="s">
        <v>18618</v>
      </c>
      <c r="F251" s="234">
        <v>2022.0</v>
      </c>
      <c r="G251" s="234">
        <v>2025.0</v>
      </c>
      <c r="H251" s="234">
        <v>2027.0</v>
      </c>
      <c r="I251" s="234">
        <v>2023.0</v>
      </c>
      <c r="J251" s="234" t="s">
        <v>18192</v>
      </c>
      <c r="K251" s="236" t="s">
        <v>18725</v>
      </c>
      <c r="L251" s="236" t="s">
        <v>19764</v>
      </c>
      <c r="M251" s="236">
        <v>1.8</v>
      </c>
      <c r="N251" s="234" t="s">
        <v>18731</v>
      </c>
      <c r="O251" s="237" t="s">
        <v>18675</v>
      </c>
      <c r="P251" s="238" t="s">
        <v>19765</v>
      </c>
      <c r="Q251" s="234" t="s">
        <v>18732</v>
      </c>
      <c r="R251" s="238" t="s">
        <v>19766</v>
      </c>
      <c r="S251" s="238" t="s">
        <v>19767</v>
      </c>
      <c r="T251" s="238" t="s">
        <v>18725</v>
      </c>
      <c r="U251" s="238" t="s">
        <v>18725</v>
      </c>
      <c r="V251" s="238" t="s">
        <v>18725</v>
      </c>
      <c r="W251" s="238" t="s">
        <v>18725</v>
      </c>
      <c r="X251" s="238" t="s">
        <v>18725</v>
      </c>
      <c r="Y251" s="239" t="str">
        <f>IF('CCUS Projects Database'!$R251&lt;&gt;"",HYPERLINK('CCUS Projects Database'!$R251,"Link 1"),"")</f>
        <v>Link 1</v>
      </c>
      <c r="Z251" s="239" t="str">
        <f>IF('CCUS Projects Database'!$S251&lt;&gt;"",HYPERLINK('CCUS Projects Database'!$S251,"Link 2"),"")</f>
        <v>Link 2</v>
      </c>
      <c r="AA251" s="239" t="str">
        <f>IF('CCUS Projects Database'!$T251&lt;&gt;"",HYPERLINK('CCUS Projects Database'!$T251,"Link 3"),"")</f>
        <v/>
      </c>
      <c r="AB251" s="239" t="str">
        <f>IF('CCUS Projects Database'!$U251&lt;&gt;"",HYPERLINK('CCUS Projects Database'!$U251,"Link 4"),"")</f>
        <v/>
      </c>
      <c r="AC251" s="239" t="str">
        <f>IF('CCUS Projects Database'!$V251&lt;&gt;"",HYPERLINK('CCUS Projects Database'!$V251,"Link 5"),"")</f>
        <v/>
      </c>
      <c r="AD251" s="239" t="str">
        <f>IF('CCUS Projects Database'!$W251&lt;&gt;"",HYPERLINK('CCUS Projects Database'!$W251,"Link 6"),"")</f>
        <v/>
      </c>
      <c r="AE251" s="239" t="str">
        <f>IF('CCUS Projects Database'!$X251&lt;&gt;"",HYPERLINK('CCUS Projects Database'!$X251,"Link 7"),"")</f>
        <v/>
      </c>
    </row>
    <row r="252" ht="14.25" customHeight="1">
      <c r="A252" s="233" t="s">
        <v>8351</v>
      </c>
      <c r="B252" s="234">
        <v>305.0</v>
      </c>
      <c r="C252" s="234" t="s">
        <v>18586</v>
      </c>
      <c r="D252" s="235" t="s">
        <v>19763</v>
      </c>
      <c r="E252" s="234" t="s">
        <v>18616</v>
      </c>
      <c r="F252" s="234">
        <v>2011.0</v>
      </c>
      <c r="G252" s="234">
        <v>2011.0</v>
      </c>
      <c r="H252" s="234">
        <v>2013.0</v>
      </c>
      <c r="I252" s="234" t="s">
        <v>18725</v>
      </c>
      <c r="J252" s="234" t="s">
        <v>12385</v>
      </c>
      <c r="K252" s="236" t="s">
        <v>18725</v>
      </c>
      <c r="L252" s="236" t="s">
        <v>19768</v>
      </c>
      <c r="M252" s="236">
        <v>0.3</v>
      </c>
      <c r="N252" s="234" t="s">
        <v>677</v>
      </c>
      <c r="O252" s="237" t="s">
        <v>18677</v>
      </c>
      <c r="P252" s="238" t="s">
        <v>18725</v>
      </c>
      <c r="Q252" s="234" t="s">
        <v>18732</v>
      </c>
      <c r="R252" s="238" t="s">
        <v>19769</v>
      </c>
      <c r="S252" s="238" t="s">
        <v>19770</v>
      </c>
      <c r="T252" s="238" t="s">
        <v>19771</v>
      </c>
      <c r="U252" s="238" t="s">
        <v>19772</v>
      </c>
      <c r="V252" s="238" t="s">
        <v>18725</v>
      </c>
      <c r="W252" s="238" t="s">
        <v>18725</v>
      </c>
      <c r="X252" s="238" t="s">
        <v>18725</v>
      </c>
      <c r="Y252" s="239" t="str">
        <f>IF('CCUS Projects Database'!$R252&lt;&gt;"",HYPERLINK('CCUS Projects Database'!$R252,"Link 1"),"")</f>
        <v>Link 1</v>
      </c>
      <c r="Z252" s="239" t="str">
        <f>IF('CCUS Projects Database'!$S252&lt;&gt;"",HYPERLINK('CCUS Projects Database'!$S252,"Link 2"),"")</f>
        <v>Link 2</v>
      </c>
      <c r="AA252" s="239" t="str">
        <f>IF('CCUS Projects Database'!$T252&lt;&gt;"",HYPERLINK('CCUS Projects Database'!$T252,"Link 3"),"")</f>
        <v>Link 3</v>
      </c>
      <c r="AB252" s="239" t="str">
        <f>IF('CCUS Projects Database'!$U252&lt;&gt;"",HYPERLINK('CCUS Projects Database'!$U252,"Link 4"),"")</f>
        <v>Link 4</v>
      </c>
      <c r="AC252" s="239" t="str">
        <f>IF('CCUS Projects Database'!$V252&lt;&gt;"",HYPERLINK('CCUS Projects Database'!$V252,"Link 5"),"")</f>
        <v/>
      </c>
      <c r="AD252" s="239" t="str">
        <f>IF('CCUS Projects Database'!$W252&lt;&gt;"",HYPERLINK('CCUS Projects Database'!$W252,"Link 6"),"")</f>
        <v/>
      </c>
      <c r="AE252" s="239" t="str">
        <f>IF('CCUS Projects Database'!$X252&lt;&gt;"",HYPERLINK('CCUS Projects Database'!$X252,"Link 7"),"")</f>
        <v/>
      </c>
    </row>
    <row r="253" ht="14.25" customHeight="1">
      <c r="A253" s="233" t="s">
        <v>19773</v>
      </c>
      <c r="B253" s="234">
        <v>307.0</v>
      </c>
      <c r="C253" s="234" t="s">
        <v>83</v>
      </c>
      <c r="D253" s="235" t="s">
        <v>19774</v>
      </c>
      <c r="E253" s="234" t="s">
        <v>18618</v>
      </c>
      <c r="F253" s="234">
        <v>2021.0</v>
      </c>
      <c r="G253" s="234">
        <v>2025.0</v>
      </c>
      <c r="H253" s="234">
        <v>2030.0</v>
      </c>
      <c r="I253" s="234" t="s">
        <v>18725</v>
      </c>
      <c r="J253" s="234" t="s">
        <v>18636</v>
      </c>
      <c r="K253" s="236" t="s">
        <v>18725</v>
      </c>
      <c r="L253" s="236">
        <v>1.5</v>
      </c>
      <c r="M253" s="236">
        <v>1.5</v>
      </c>
      <c r="N253" s="234" t="s">
        <v>18654</v>
      </c>
      <c r="O253" s="237" t="s">
        <v>18675</v>
      </c>
      <c r="P253" s="238" t="s">
        <v>18746</v>
      </c>
      <c r="Q253" s="234" t="s">
        <v>18726</v>
      </c>
      <c r="R253" s="238" t="s">
        <v>19775</v>
      </c>
      <c r="S253" s="238" t="s">
        <v>19776</v>
      </c>
      <c r="T253" s="238" t="s">
        <v>19777</v>
      </c>
      <c r="U253" s="238" t="s">
        <v>18725</v>
      </c>
      <c r="V253" s="238" t="s">
        <v>18725</v>
      </c>
      <c r="W253" s="238" t="s">
        <v>18725</v>
      </c>
      <c r="X253" s="238" t="s">
        <v>18725</v>
      </c>
      <c r="Y253" s="239" t="str">
        <f>IF('CCUS Projects Database'!$R253&lt;&gt;"",HYPERLINK('CCUS Projects Database'!$R253,"Link 1"),"")</f>
        <v>Link 1</v>
      </c>
      <c r="Z253" s="239" t="str">
        <f>IF('CCUS Projects Database'!$S253&lt;&gt;"",HYPERLINK('CCUS Projects Database'!$S253,"Link 2"),"")</f>
        <v>Link 2</v>
      </c>
      <c r="AA253" s="239" t="str">
        <f>IF('CCUS Projects Database'!$T253&lt;&gt;"",HYPERLINK('CCUS Projects Database'!$T253,"Link 3"),"")</f>
        <v>Link 3</v>
      </c>
      <c r="AB253" s="239" t="str">
        <f>IF('CCUS Projects Database'!$U253&lt;&gt;"",HYPERLINK('CCUS Projects Database'!$U253,"Link 4"),"")</f>
        <v/>
      </c>
      <c r="AC253" s="239" t="str">
        <f>IF('CCUS Projects Database'!$V253&lt;&gt;"",HYPERLINK('CCUS Projects Database'!$V253,"Link 5"),"")</f>
        <v/>
      </c>
      <c r="AD253" s="239" t="str">
        <f>IF('CCUS Projects Database'!$W253&lt;&gt;"",HYPERLINK('CCUS Projects Database'!$W253,"Link 6"),"")</f>
        <v/>
      </c>
      <c r="AE253" s="239" t="str">
        <f>IF('CCUS Projects Database'!$X253&lt;&gt;"",HYPERLINK('CCUS Projects Database'!$X253,"Link 7"),"")</f>
        <v/>
      </c>
    </row>
    <row r="254" ht="14.25" customHeight="1">
      <c r="A254" s="233" t="s">
        <v>19778</v>
      </c>
      <c r="B254" s="234">
        <v>308.0</v>
      </c>
      <c r="C254" s="234" t="s">
        <v>83</v>
      </c>
      <c r="D254" s="235" t="s">
        <v>19779</v>
      </c>
      <c r="E254" s="234" t="s">
        <v>18616</v>
      </c>
      <c r="F254" s="234">
        <v>2011.0</v>
      </c>
      <c r="G254" s="234" t="s">
        <v>18725</v>
      </c>
      <c r="H254" s="234">
        <v>2020.0</v>
      </c>
      <c r="I254" s="234">
        <v>2015.0</v>
      </c>
      <c r="J254" s="234" t="s">
        <v>18192</v>
      </c>
      <c r="K254" s="236" t="s">
        <v>18725</v>
      </c>
      <c r="L254" s="236" t="s">
        <v>19780</v>
      </c>
      <c r="M254" s="236">
        <v>1.5</v>
      </c>
      <c r="N254" s="234" t="s">
        <v>18654</v>
      </c>
      <c r="O254" s="237" t="s">
        <v>18675</v>
      </c>
      <c r="P254" s="238" t="s">
        <v>18725</v>
      </c>
      <c r="Q254" s="234" t="s">
        <v>18726</v>
      </c>
      <c r="R254" s="238" t="s">
        <v>19781</v>
      </c>
      <c r="S254" s="238" t="s">
        <v>19782</v>
      </c>
      <c r="T254" s="238" t="s">
        <v>18725</v>
      </c>
      <c r="U254" s="238" t="s">
        <v>18725</v>
      </c>
      <c r="V254" s="238" t="s">
        <v>18725</v>
      </c>
      <c r="W254" s="238" t="s">
        <v>18725</v>
      </c>
      <c r="X254" s="238" t="s">
        <v>18725</v>
      </c>
      <c r="Y254" s="239" t="str">
        <f>IF('CCUS Projects Database'!$R254&lt;&gt;"",HYPERLINK('CCUS Projects Database'!$R254,"Link 1"),"")</f>
        <v>Link 1</v>
      </c>
      <c r="Z254" s="239" t="str">
        <f>IF('CCUS Projects Database'!$S254&lt;&gt;"",HYPERLINK('CCUS Projects Database'!$S254,"Link 2"),"")</f>
        <v>Link 2</v>
      </c>
      <c r="AA254" s="239" t="str">
        <f>IF('CCUS Projects Database'!$T254&lt;&gt;"",HYPERLINK('CCUS Projects Database'!$T254,"Link 3"),"")</f>
        <v/>
      </c>
      <c r="AB254" s="239" t="str">
        <f>IF('CCUS Projects Database'!$U254&lt;&gt;"",HYPERLINK('CCUS Projects Database'!$U254,"Link 4"),"")</f>
        <v/>
      </c>
      <c r="AC254" s="239" t="str">
        <f>IF('CCUS Projects Database'!$V254&lt;&gt;"",HYPERLINK('CCUS Projects Database'!$V254,"Link 5"),"")</f>
        <v/>
      </c>
      <c r="AD254" s="239" t="str">
        <f>IF('CCUS Projects Database'!$W254&lt;&gt;"",HYPERLINK('CCUS Projects Database'!$W254,"Link 6"),"")</f>
        <v/>
      </c>
      <c r="AE254" s="239" t="str">
        <f>IF('CCUS Projects Database'!$X254&lt;&gt;"",HYPERLINK('CCUS Projects Database'!$X254,"Link 7"),"")</f>
        <v/>
      </c>
    </row>
    <row r="255" ht="14.25" customHeight="1">
      <c r="A255" s="233" t="s">
        <v>19783</v>
      </c>
      <c r="B255" s="234">
        <v>309.0</v>
      </c>
      <c r="C255" s="234" t="s">
        <v>18586</v>
      </c>
      <c r="D255" s="235" t="s">
        <v>19784</v>
      </c>
      <c r="E255" s="234" t="s">
        <v>18616</v>
      </c>
      <c r="F255" s="234">
        <v>2009.0</v>
      </c>
      <c r="G255" s="234">
        <v>2014.0</v>
      </c>
      <c r="H255" s="234">
        <v>2016.0</v>
      </c>
      <c r="I255" s="234">
        <v>2020.0</v>
      </c>
      <c r="J255" s="234" t="s">
        <v>12385</v>
      </c>
      <c r="K255" s="236" t="s">
        <v>18725</v>
      </c>
      <c r="L255" s="236">
        <v>1.4</v>
      </c>
      <c r="M255" s="236">
        <v>1.4</v>
      </c>
      <c r="N255" s="234" t="s">
        <v>18654</v>
      </c>
      <c r="O255" s="237" t="s">
        <v>18677</v>
      </c>
      <c r="P255" s="238" t="s">
        <v>18725</v>
      </c>
      <c r="Q255" s="234" t="s">
        <v>18732</v>
      </c>
      <c r="R255" s="238" t="s">
        <v>19785</v>
      </c>
      <c r="S255" s="238" t="s">
        <v>19786</v>
      </c>
      <c r="T255" s="238" t="s">
        <v>19787</v>
      </c>
      <c r="U255" s="238" t="s">
        <v>18725</v>
      </c>
      <c r="V255" s="238" t="s">
        <v>18725</v>
      </c>
      <c r="W255" s="238" t="s">
        <v>18725</v>
      </c>
      <c r="X255" s="238" t="s">
        <v>18725</v>
      </c>
      <c r="Y255" s="239" t="str">
        <f>IF('CCUS Projects Database'!$R255&lt;&gt;"",HYPERLINK('CCUS Projects Database'!$R255,"Link 1"),"")</f>
        <v>Link 1</v>
      </c>
      <c r="Z255" s="239" t="str">
        <f>IF('CCUS Projects Database'!$S255&lt;&gt;"",HYPERLINK('CCUS Projects Database'!$S255,"Link 2"),"")</f>
        <v>Link 2</v>
      </c>
      <c r="AA255" s="239" t="str">
        <f>IF('CCUS Projects Database'!$T255&lt;&gt;"",HYPERLINK('CCUS Projects Database'!$T255,"Link 3"),"")</f>
        <v>Link 3</v>
      </c>
      <c r="AB255" s="239" t="str">
        <f>IF('CCUS Projects Database'!$U255&lt;&gt;"",HYPERLINK('CCUS Projects Database'!$U255,"Link 4"),"")</f>
        <v/>
      </c>
      <c r="AC255" s="239" t="str">
        <f>IF('CCUS Projects Database'!$V255&lt;&gt;"",HYPERLINK('CCUS Projects Database'!$V255,"Link 5"),"")</f>
        <v/>
      </c>
      <c r="AD255" s="239" t="str">
        <f>IF('CCUS Projects Database'!$W255&lt;&gt;"",HYPERLINK('CCUS Projects Database'!$W255,"Link 6"),"")</f>
        <v/>
      </c>
      <c r="AE255" s="239" t="str">
        <f>IF('CCUS Projects Database'!$X255&lt;&gt;"",HYPERLINK('CCUS Projects Database'!$X255,"Link 7"),"")</f>
        <v/>
      </c>
    </row>
    <row r="256" ht="14.25" customHeight="1">
      <c r="A256" s="233" t="s">
        <v>19788</v>
      </c>
      <c r="B256" s="234">
        <v>310.0</v>
      </c>
      <c r="C256" s="234" t="s">
        <v>18253</v>
      </c>
      <c r="D256" s="235" t="s">
        <v>19789</v>
      </c>
      <c r="E256" s="234" t="s">
        <v>18616</v>
      </c>
      <c r="F256" s="234">
        <v>2011.0</v>
      </c>
      <c r="G256" s="234" t="s">
        <v>18725</v>
      </c>
      <c r="H256" s="234">
        <v>2013.0</v>
      </c>
      <c r="I256" s="234" t="s">
        <v>18725</v>
      </c>
      <c r="J256" s="234" t="s">
        <v>12385</v>
      </c>
      <c r="K256" s="236">
        <v>1.0</v>
      </c>
      <c r="L256" s="236" t="s">
        <v>19790</v>
      </c>
      <c r="M256" s="236">
        <v>10.6</v>
      </c>
      <c r="N256" s="234" t="s">
        <v>18656</v>
      </c>
      <c r="O256" s="237" t="s">
        <v>18677</v>
      </c>
      <c r="P256" s="238" t="s">
        <v>18725</v>
      </c>
      <c r="Q256" s="234" t="s">
        <v>19269</v>
      </c>
      <c r="R256" s="238" t="s">
        <v>19791</v>
      </c>
      <c r="S256" s="238" t="s">
        <v>19792</v>
      </c>
      <c r="T256" s="238" t="s">
        <v>19793</v>
      </c>
      <c r="U256" s="238" t="s">
        <v>19794</v>
      </c>
      <c r="V256" s="238" t="s">
        <v>18725</v>
      </c>
      <c r="W256" s="238" t="s">
        <v>18725</v>
      </c>
      <c r="X256" s="238" t="s">
        <v>18725</v>
      </c>
      <c r="Y256" s="239" t="str">
        <f>IF('CCUS Projects Database'!$R256&lt;&gt;"",HYPERLINK('CCUS Projects Database'!$R256,"Link 1"),"")</f>
        <v>Link 1</v>
      </c>
      <c r="Z256" s="239" t="str">
        <f>IF('CCUS Projects Database'!$S256&lt;&gt;"",HYPERLINK('CCUS Projects Database'!$S256,"Link 2"),"")</f>
        <v>Link 2</v>
      </c>
      <c r="AA256" s="239" t="str">
        <f>IF('CCUS Projects Database'!$T256&lt;&gt;"",HYPERLINK('CCUS Projects Database'!$T256,"Link 3"),"")</f>
        <v>Link 3</v>
      </c>
      <c r="AB256" s="239" t="str">
        <f>IF('CCUS Projects Database'!$U256&lt;&gt;"",HYPERLINK('CCUS Projects Database'!$U256,"Link 4"),"")</f>
        <v>Link 4</v>
      </c>
      <c r="AC256" s="239" t="str">
        <f>IF('CCUS Projects Database'!$V256&lt;&gt;"",HYPERLINK('CCUS Projects Database'!$V256,"Link 5"),"")</f>
        <v/>
      </c>
      <c r="AD256" s="239" t="str">
        <f>IF('CCUS Projects Database'!$W256&lt;&gt;"",HYPERLINK('CCUS Projects Database'!$W256,"Link 6"),"")</f>
        <v/>
      </c>
      <c r="AE256" s="239" t="str">
        <f>IF('CCUS Projects Database'!$X256&lt;&gt;"",HYPERLINK('CCUS Projects Database'!$X256,"Link 7"),"")</f>
        <v/>
      </c>
    </row>
    <row r="257" ht="14.25" customHeight="1">
      <c r="A257" s="233" t="s">
        <v>19795</v>
      </c>
      <c r="B257" s="234">
        <v>311.0</v>
      </c>
      <c r="C257" s="234" t="s">
        <v>18496</v>
      </c>
      <c r="D257" s="235" t="s">
        <v>19796</v>
      </c>
      <c r="E257" s="234" t="s">
        <v>18616</v>
      </c>
      <c r="F257" s="234">
        <v>2020.0</v>
      </c>
      <c r="G257" s="234">
        <v>2022.0</v>
      </c>
      <c r="H257" s="234">
        <v>2025.0</v>
      </c>
      <c r="I257" s="234" t="s">
        <v>18725</v>
      </c>
      <c r="J257" s="234" t="s">
        <v>18638</v>
      </c>
      <c r="K257" s="236">
        <v>2.0</v>
      </c>
      <c r="L257" s="236">
        <v>3.3</v>
      </c>
      <c r="M257" s="236">
        <v>3.3</v>
      </c>
      <c r="N257" s="234" t="s">
        <v>18656</v>
      </c>
      <c r="O257" s="237" t="s">
        <v>18675</v>
      </c>
      <c r="P257" s="238" t="s">
        <v>18725</v>
      </c>
      <c r="Q257" s="234" t="s">
        <v>18856</v>
      </c>
      <c r="R257" s="238" t="s">
        <v>19797</v>
      </c>
      <c r="S257" s="238" t="s">
        <v>19798</v>
      </c>
      <c r="T257" s="238" t="s">
        <v>19799</v>
      </c>
      <c r="U257" s="238" t="s">
        <v>19800</v>
      </c>
      <c r="V257" s="238" t="s">
        <v>19801</v>
      </c>
      <c r="W257" s="238" t="s">
        <v>19802</v>
      </c>
      <c r="X257" s="238" t="s">
        <v>19803</v>
      </c>
      <c r="Y257" s="239" t="str">
        <f>IF('CCUS Projects Database'!$R257&lt;&gt;"",HYPERLINK('CCUS Projects Database'!$R257,"Link 1"),"")</f>
        <v>Link 1</v>
      </c>
      <c r="Z257" s="239" t="str">
        <f>IF('CCUS Projects Database'!$S257&lt;&gt;"",HYPERLINK('CCUS Projects Database'!$S257,"Link 2"),"")</f>
        <v>Link 2</v>
      </c>
      <c r="AA257" s="239" t="str">
        <f>IF('CCUS Projects Database'!$T257&lt;&gt;"",HYPERLINK('CCUS Projects Database'!$T257,"Link 3"),"")</f>
        <v>Link 3</v>
      </c>
      <c r="AB257" s="239" t="str">
        <f>IF('CCUS Projects Database'!$U257&lt;&gt;"",HYPERLINK('CCUS Projects Database'!$U257,"Link 4"),"")</f>
        <v>Link 4</v>
      </c>
      <c r="AC257" s="239" t="str">
        <f>IF('CCUS Projects Database'!$V257&lt;&gt;"",HYPERLINK('CCUS Projects Database'!$V257,"Link 5"),"")</f>
        <v>Link 5</v>
      </c>
      <c r="AD257" s="239" t="str">
        <f>IF('CCUS Projects Database'!$W257&lt;&gt;"",HYPERLINK('CCUS Projects Database'!$W257,"Link 6"),"")</f>
        <v>Link 6</v>
      </c>
      <c r="AE257" s="239" t="str">
        <f>IF('CCUS Projects Database'!$X257&lt;&gt;"",HYPERLINK('CCUS Projects Database'!$X257,"Link 7"),"")</f>
        <v>Link 7</v>
      </c>
    </row>
    <row r="258" ht="14.25" customHeight="1">
      <c r="A258" s="233" t="s">
        <v>19804</v>
      </c>
      <c r="B258" s="234">
        <v>312.0</v>
      </c>
      <c r="C258" s="234" t="s">
        <v>83</v>
      </c>
      <c r="D258" s="235" t="s">
        <v>19805</v>
      </c>
      <c r="E258" s="234" t="s">
        <v>18618</v>
      </c>
      <c r="F258" s="234">
        <v>2021.0</v>
      </c>
      <c r="G258" s="234" t="s">
        <v>18725</v>
      </c>
      <c r="H258" s="234">
        <v>2028.0</v>
      </c>
      <c r="I258" s="234" t="s">
        <v>18725</v>
      </c>
      <c r="J258" s="234" t="s">
        <v>18636</v>
      </c>
      <c r="K258" s="236" t="s">
        <v>18725</v>
      </c>
      <c r="L258" s="236">
        <v>0.5</v>
      </c>
      <c r="M258" s="236">
        <v>0.5</v>
      </c>
      <c r="N258" s="234" t="s">
        <v>18661</v>
      </c>
      <c r="O258" s="237" t="s">
        <v>18675</v>
      </c>
      <c r="P258" s="238" t="s">
        <v>19115</v>
      </c>
      <c r="Q258" s="234" t="s">
        <v>18726</v>
      </c>
      <c r="R258" s="238" t="s">
        <v>19806</v>
      </c>
      <c r="S258" s="238" t="s">
        <v>19807</v>
      </c>
      <c r="T258" s="238" t="s">
        <v>19808</v>
      </c>
      <c r="U258" s="238" t="s">
        <v>19809</v>
      </c>
      <c r="V258" s="238" t="s">
        <v>19810</v>
      </c>
      <c r="W258" s="238" t="s">
        <v>19811</v>
      </c>
      <c r="X258" s="238" t="s">
        <v>18725</v>
      </c>
      <c r="Y258" s="239" t="str">
        <f>IF('CCUS Projects Database'!$R258&lt;&gt;"",HYPERLINK('CCUS Projects Database'!$R258,"Link 1"),"")</f>
        <v>Link 1</v>
      </c>
      <c r="Z258" s="239" t="str">
        <f>IF('CCUS Projects Database'!$S258&lt;&gt;"",HYPERLINK('CCUS Projects Database'!$S258,"Link 2"),"")</f>
        <v>Link 2</v>
      </c>
      <c r="AA258" s="239" t="str">
        <f>IF('CCUS Projects Database'!$T258&lt;&gt;"",HYPERLINK('CCUS Projects Database'!$T258,"Link 3"),"")</f>
        <v>Link 3</v>
      </c>
      <c r="AB258" s="239" t="str">
        <f>IF('CCUS Projects Database'!$U258&lt;&gt;"",HYPERLINK('CCUS Projects Database'!$U258,"Link 4"),"")</f>
        <v>Link 4</v>
      </c>
      <c r="AC258" s="239" t="str">
        <f>IF('CCUS Projects Database'!$V258&lt;&gt;"",HYPERLINK('CCUS Projects Database'!$V258,"Link 5"),"")</f>
        <v>Link 5</v>
      </c>
      <c r="AD258" s="239" t="str">
        <f>IF('CCUS Projects Database'!$W258&lt;&gt;"",HYPERLINK('CCUS Projects Database'!$W258,"Link 6"),"")</f>
        <v>Link 6</v>
      </c>
      <c r="AE258" s="239" t="str">
        <f>IF('CCUS Projects Database'!$X258&lt;&gt;"",HYPERLINK('CCUS Projects Database'!$X258,"Link 7"),"")</f>
        <v/>
      </c>
    </row>
    <row r="259" ht="14.25" customHeight="1">
      <c r="A259" s="233" t="s">
        <v>19812</v>
      </c>
      <c r="B259" s="234">
        <v>313.0</v>
      </c>
      <c r="C259" s="234" t="s">
        <v>18264</v>
      </c>
      <c r="D259" s="235" t="s">
        <v>19813</v>
      </c>
      <c r="E259" s="234" t="s">
        <v>18616</v>
      </c>
      <c r="F259" s="234">
        <v>2021.0</v>
      </c>
      <c r="G259" s="234" t="s">
        <v>18725</v>
      </c>
      <c r="H259" s="234" t="s">
        <v>18725</v>
      </c>
      <c r="I259" s="234" t="s">
        <v>18725</v>
      </c>
      <c r="J259" s="234" t="s">
        <v>18636</v>
      </c>
      <c r="K259" s="236">
        <v>1.0</v>
      </c>
      <c r="L259" s="236">
        <v>1.0</v>
      </c>
      <c r="M259" s="236">
        <v>1.0</v>
      </c>
      <c r="N259" s="234" t="s">
        <v>18654</v>
      </c>
      <c r="O259" s="237" t="s">
        <v>18675</v>
      </c>
      <c r="P259" s="238" t="s">
        <v>18725</v>
      </c>
      <c r="Q259" s="234" t="s">
        <v>18732</v>
      </c>
      <c r="R259" s="238" t="s">
        <v>19814</v>
      </c>
      <c r="S259" s="238" t="s">
        <v>19815</v>
      </c>
      <c r="T259" s="238" t="s">
        <v>18725</v>
      </c>
      <c r="U259" s="238" t="s">
        <v>18725</v>
      </c>
      <c r="V259" s="238" t="s">
        <v>18725</v>
      </c>
      <c r="W259" s="238" t="s">
        <v>18725</v>
      </c>
      <c r="X259" s="238" t="s">
        <v>18725</v>
      </c>
      <c r="Y259" s="239" t="str">
        <f>IF('CCUS Projects Database'!$R259&lt;&gt;"",HYPERLINK('CCUS Projects Database'!$R259,"Link 1"),"")</f>
        <v>Link 1</v>
      </c>
      <c r="Z259" s="239" t="str">
        <f>IF('CCUS Projects Database'!$S259&lt;&gt;"",HYPERLINK('CCUS Projects Database'!$S259,"Link 2"),"")</f>
        <v>Link 2</v>
      </c>
      <c r="AA259" s="239" t="str">
        <f>IF('CCUS Projects Database'!$T259&lt;&gt;"",HYPERLINK('CCUS Projects Database'!$T259,"Link 3"),"")</f>
        <v/>
      </c>
      <c r="AB259" s="239" t="str">
        <f>IF('CCUS Projects Database'!$U259&lt;&gt;"",HYPERLINK('CCUS Projects Database'!$U259,"Link 4"),"")</f>
        <v/>
      </c>
      <c r="AC259" s="239" t="str">
        <f>IF('CCUS Projects Database'!$V259&lt;&gt;"",HYPERLINK('CCUS Projects Database'!$V259,"Link 5"),"")</f>
        <v/>
      </c>
      <c r="AD259" s="239" t="str">
        <f>IF('CCUS Projects Database'!$W259&lt;&gt;"",HYPERLINK('CCUS Projects Database'!$W259,"Link 6"),"")</f>
        <v/>
      </c>
      <c r="AE259" s="239" t="str">
        <f>IF('CCUS Projects Database'!$X259&lt;&gt;"",HYPERLINK('CCUS Projects Database'!$X259,"Link 7"),"")</f>
        <v/>
      </c>
    </row>
    <row r="260" ht="14.25" customHeight="1">
      <c r="A260" s="233" t="s">
        <v>19816</v>
      </c>
      <c r="B260" s="234">
        <v>314.0</v>
      </c>
      <c r="C260" s="234" t="s">
        <v>18264</v>
      </c>
      <c r="D260" s="235" t="s">
        <v>19813</v>
      </c>
      <c r="E260" s="234" t="s">
        <v>18616</v>
      </c>
      <c r="F260" s="234">
        <v>2021.0</v>
      </c>
      <c r="G260" s="234" t="s">
        <v>18725</v>
      </c>
      <c r="H260" s="234" t="s">
        <v>18725</v>
      </c>
      <c r="I260" s="234" t="s">
        <v>18725</v>
      </c>
      <c r="J260" s="234" t="s">
        <v>18636</v>
      </c>
      <c r="K260" s="236">
        <v>2.0</v>
      </c>
      <c r="L260" s="236">
        <v>2.0</v>
      </c>
      <c r="M260" s="236">
        <v>2.0</v>
      </c>
      <c r="N260" s="234" t="s">
        <v>18654</v>
      </c>
      <c r="O260" s="237" t="s">
        <v>18675</v>
      </c>
      <c r="P260" s="238" t="s">
        <v>18725</v>
      </c>
      <c r="Q260" s="234" t="s">
        <v>18732</v>
      </c>
      <c r="R260" s="238" t="s">
        <v>19814</v>
      </c>
      <c r="S260" s="238" t="s">
        <v>19815</v>
      </c>
      <c r="T260" s="238" t="s">
        <v>18725</v>
      </c>
      <c r="U260" s="238" t="s">
        <v>18725</v>
      </c>
      <c r="V260" s="238" t="s">
        <v>18725</v>
      </c>
      <c r="W260" s="238" t="s">
        <v>18725</v>
      </c>
      <c r="X260" s="238" t="s">
        <v>18725</v>
      </c>
      <c r="Y260" s="239" t="str">
        <f>IF('CCUS Projects Database'!$R260&lt;&gt;"",HYPERLINK('CCUS Projects Database'!$R260,"Link 1"),"")</f>
        <v>Link 1</v>
      </c>
      <c r="Z260" s="239" t="str">
        <f>IF('CCUS Projects Database'!$S260&lt;&gt;"",HYPERLINK('CCUS Projects Database'!$S260,"Link 2"),"")</f>
        <v>Link 2</v>
      </c>
      <c r="AA260" s="239" t="str">
        <f>IF('CCUS Projects Database'!$T260&lt;&gt;"",HYPERLINK('CCUS Projects Database'!$T260,"Link 3"),"")</f>
        <v/>
      </c>
      <c r="AB260" s="239" t="str">
        <f>IF('CCUS Projects Database'!$U260&lt;&gt;"",HYPERLINK('CCUS Projects Database'!$U260,"Link 4"),"")</f>
        <v/>
      </c>
      <c r="AC260" s="239" t="str">
        <f>IF('CCUS Projects Database'!$V260&lt;&gt;"",HYPERLINK('CCUS Projects Database'!$V260,"Link 5"),"")</f>
        <v/>
      </c>
      <c r="AD260" s="239" t="str">
        <f>IF('CCUS Projects Database'!$W260&lt;&gt;"",HYPERLINK('CCUS Projects Database'!$W260,"Link 6"),"")</f>
        <v/>
      </c>
      <c r="AE260" s="239" t="str">
        <f>IF('CCUS Projects Database'!$X260&lt;&gt;"",HYPERLINK('CCUS Projects Database'!$X260,"Link 7"),"")</f>
        <v/>
      </c>
    </row>
    <row r="261" ht="14.25" customHeight="1">
      <c r="A261" s="233" t="s">
        <v>19817</v>
      </c>
      <c r="B261" s="234">
        <v>315.0</v>
      </c>
      <c r="C261" s="234" t="s">
        <v>18586</v>
      </c>
      <c r="D261" s="235" t="s">
        <v>19818</v>
      </c>
      <c r="E261" s="234" t="s">
        <v>18618</v>
      </c>
      <c r="F261" s="234">
        <v>2021.0</v>
      </c>
      <c r="G261" s="234">
        <v>2026.0</v>
      </c>
      <c r="H261" s="234">
        <v>2028.0</v>
      </c>
      <c r="I261" s="234" t="s">
        <v>18725</v>
      </c>
      <c r="J261" s="234" t="s">
        <v>18636</v>
      </c>
      <c r="K261" s="236" t="s">
        <v>18725</v>
      </c>
      <c r="L261" s="236" t="s">
        <v>19819</v>
      </c>
      <c r="M261" s="236">
        <v>0.229</v>
      </c>
      <c r="N261" s="234" t="s">
        <v>12270</v>
      </c>
      <c r="O261" s="237" t="s">
        <v>18675</v>
      </c>
      <c r="P261" s="238" t="s">
        <v>18966</v>
      </c>
      <c r="Q261" s="234" t="s">
        <v>18732</v>
      </c>
      <c r="R261" s="238" t="s">
        <v>19109</v>
      </c>
      <c r="S261" s="238" t="s">
        <v>19110</v>
      </c>
      <c r="T261" s="238" t="s">
        <v>19111</v>
      </c>
      <c r="U261" s="238" t="s">
        <v>18725</v>
      </c>
      <c r="V261" s="238" t="s">
        <v>18725</v>
      </c>
      <c r="W261" s="238" t="s">
        <v>18725</v>
      </c>
      <c r="X261" s="238" t="s">
        <v>18725</v>
      </c>
      <c r="Y261" s="239" t="str">
        <f>IF('CCUS Projects Database'!$R261&lt;&gt;"",HYPERLINK('CCUS Projects Database'!$R261,"Link 1"),"")</f>
        <v>Link 1</v>
      </c>
      <c r="Z261" s="239" t="str">
        <f>IF('CCUS Projects Database'!$S261&lt;&gt;"",HYPERLINK('CCUS Projects Database'!$S261,"Link 2"),"")</f>
        <v>Link 2</v>
      </c>
      <c r="AA261" s="239" t="str">
        <f>IF('CCUS Projects Database'!$T261&lt;&gt;"",HYPERLINK('CCUS Projects Database'!$T261,"Link 3"),"")</f>
        <v>Link 3</v>
      </c>
      <c r="AB261" s="239" t="str">
        <f>IF('CCUS Projects Database'!$U261&lt;&gt;"",HYPERLINK('CCUS Projects Database'!$U261,"Link 4"),"")</f>
        <v/>
      </c>
      <c r="AC261" s="239" t="str">
        <f>IF('CCUS Projects Database'!$V261&lt;&gt;"",HYPERLINK('CCUS Projects Database'!$V261,"Link 5"),"")</f>
        <v/>
      </c>
      <c r="AD261" s="239" t="str">
        <f>IF('CCUS Projects Database'!$W261&lt;&gt;"",HYPERLINK('CCUS Projects Database'!$W261,"Link 6"),"")</f>
        <v/>
      </c>
      <c r="AE261" s="239" t="str">
        <f>IF('CCUS Projects Database'!$X261&lt;&gt;"",HYPERLINK('CCUS Projects Database'!$X261,"Link 7"),"")</f>
        <v/>
      </c>
    </row>
    <row r="262" ht="14.25" customHeight="1">
      <c r="A262" s="233" t="s">
        <v>19820</v>
      </c>
      <c r="B262" s="234">
        <v>316.0</v>
      </c>
      <c r="C262" s="234" t="s">
        <v>18586</v>
      </c>
      <c r="D262" s="235" t="s">
        <v>19821</v>
      </c>
      <c r="E262" s="234" t="s">
        <v>18618</v>
      </c>
      <c r="F262" s="234">
        <v>2019.0</v>
      </c>
      <c r="G262" s="234" t="s">
        <v>18725</v>
      </c>
      <c r="H262" s="234">
        <v>2026.0</v>
      </c>
      <c r="I262" s="234" t="s">
        <v>18725</v>
      </c>
      <c r="J262" s="234" t="s">
        <v>18636</v>
      </c>
      <c r="K262" s="236" t="s">
        <v>18725</v>
      </c>
      <c r="L262" s="236">
        <v>1.8</v>
      </c>
      <c r="M262" s="236">
        <v>1.8</v>
      </c>
      <c r="N262" s="234" t="s">
        <v>18654</v>
      </c>
      <c r="O262" s="237" t="s">
        <v>18675</v>
      </c>
      <c r="P262" s="238" t="s">
        <v>19822</v>
      </c>
      <c r="Q262" s="234" t="s">
        <v>18732</v>
      </c>
      <c r="R262" s="238" t="s">
        <v>19680</v>
      </c>
      <c r="S262" s="238" t="s">
        <v>19823</v>
      </c>
      <c r="T262" s="238" t="s">
        <v>18725</v>
      </c>
      <c r="U262" s="238" t="s">
        <v>18725</v>
      </c>
      <c r="V262" s="238" t="s">
        <v>18725</v>
      </c>
      <c r="W262" s="238" t="s">
        <v>18725</v>
      </c>
      <c r="X262" s="238" t="s">
        <v>18725</v>
      </c>
      <c r="Y262" s="239" t="str">
        <f>IF('CCUS Projects Database'!$R262&lt;&gt;"",HYPERLINK('CCUS Projects Database'!$R262,"Link 1"),"")</f>
        <v>Link 1</v>
      </c>
      <c r="Z262" s="239" t="str">
        <f>IF('CCUS Projects Database'!$S262&lt;&gt;"",HYPERLINK('CCUS Projects Database'!$S262,"Link 2"),"")</f>
        <v>Link 2</v>
      </c>
      <c r="AA262" s="239" t="str">
        <f>IF('CCUS Projects Database'!$T262&lt;&gt;"",HYPERLINK('CCUS Projects Database'!$T262,"Link 3"),"")</f>
        <v/>
      </c>
      <c r="AB262" s="239" t="str">
        <f>IF('CCUS Projects Database'!$U262&lt;&gt;"",HYPERLINK('CCUS Projects Database'!$U262,"Link 4"),"")</f>
        <v/>
      </c>
      <c r="AC262" s="239" t="str">
        <f>IF('CCUS Projects Database'!$V262&lt;&gt;"",HYPERLINK('CCUS Projects Database'!$V262,"Link 5"),"")</f>
        <v/>
      </c>
      <c r="AD262" s="239" t="str">
        <f>IF('CCUS Projects Database'!$W262&lt;&gt;"",HYPERLINK('CCUS Projects Database'!$W262,"Link 6"),"")</f>
        <v/>
      </c>
      <c r="AE262" s="239" t="str">
        <f>IF('CCUS Projects Database'!$X262&lt;&gt;"",HYPERLINK('CCUS Projects Database'!$X262,"Link 7"),"")</f>
        <v/>
      </c>
    </row>
    <row r="263" ht="14.25" customHeight="1">
      <c r="A263" s="233" t="s">
        <v>19824</v>
      </c>
      <c r="B263" s="234">
        <v>317.0</v>
      </c>
      <c r="C263" s="234" t="s">
        <v>18586</v>
      </c>
      <c r="D263" s="235" t="s">
        <v>19825</v>
      </c>
      <c r="E263" s="234" t="s">
        <v>18618</v>
      </c>
      <c r="F263" s="234">
        <v>2021.0</v>
      </c>
      <c r="G263" s="234">
        <v>2026.0</v>
      </c>
      <c r="H263" s="234">
        <v>2028.0</v>
      </c>
      <c r="I263" s="234" t="s">
        <v>18725</v>
      </c>
      <c r="J263" s="234" t="s">
        <v>18636</v>
      </c>
      <c r="K263" s="236" t="s">
        <v>18725</v>
      </c>
      <c r="L263" s="236" t="s">
        <v>19418</v>
      </c>
      <c r="M263" s="236">
        <v>0.157</v>
      </c>
      <c r="N263" s="234" t="s">
        <v>12270</v>
      </c>
      <c r="O263" s="237" t="s">
        <v>18675</v>
      </c>
      <c r="P263" s="238" t="s">
        <v>18966</v>
      </c>
      <c r="Q263" s="234" t="s">
        <v>18732</v>
      </c>
      <c r="R263" s="238" t="s">
        <v>19109</v>
      </c>
      <c r="S263" s="238" t="s">
        <v>19110</v>
      </c>
      <c r="T263" s="238" t="s">
        <v>19111</v>
      </c>
      <c r="U263" s="238" t="s">
        <v>18725</v>
      </c>
      <c r="V263" s="238" t="s">
        <v>18725</v>
      </c>
      <c r="W263" s="238" t="s">
        <v>18725</v>
      </c>
      <c r="X263" s="238" t="s">
        <v>18725</v>
      </c>
      <c r="Y263" s="239" t="str">
        <f>IF('CCUS Projects Database'!$R263&lt;&gt;"",HYPERLINK('CCUS Projects Database'!$R263,"Link 1"),"")</f>
        <v>Link 1</v>
      </c>
      <c r="Z263" s="239" t="str">
        <f>IF('CCUS Projects Database'!$S263&lt;&gt;"",HYPERLINK('CCUS Projects Database'!$S263,"Link 2"),"")</f>
        <v>Link 2</v>
      </c>
      <c r="AA263" s="239" t="str">
        <f>IF('CCUS Projects Database'!$T263&lt;&gt;"",HYPERLINK('CCUS Projects Database'!$T263,"Link 3"),"")</f>
        <v>Link 3</v>
      </c>
      <c r="AB263" s="239" t="str">
        <f>IF('CCUS Projects Database'!$U263&lt;&gt;"",HYPERLINK('CCUS Projects Database'!$U263,"Link 4"),"")</f>
        <v/>
      </c>
      <c r="AC263" s="239" t="str">
        <f>IF('CCUS Projects Database'!$V263&lt;&gt;"",HYPERLINK('CCUS Projects Database'!$V263,"Link 5"),"")</f>
        <v/>
      </c>
      <c r="AD263" s="239" t="str">
        <f>IF('CCUS Projects Database'!$W263&lt;&gt;"",HYPERLINK('CCUS Projects Database'!$W263,"Link 6"),"")</f>
        <v/>
      </c>
      <c r="AE263" s="239" t="str">
        <f>IF('CCUS Projects Database'!$X263&lt;&gt;"",HYPERLINK('CCUS Projects Database'!$X263,"Link 7"),"")</f>
        <v/>
      </c>
    </row>
    <row r="264" ht="14.25" customHeight="1">
      <c r="A264" s="233" t="s">
        <v>19826</v>
      </c>
      <c r="B264" s="234">
        <v>318.0</v>
      </c>
      <c r="C264" s="234" t="s">
        <v>18586</v>
      </c>
      <c r="D264" s="235" t="s">
        <v>19827</v>
      </c>
      <c r="E264" s="234" t="s">
        <v>18618</v>
      </c>
      <c r="F264" s="234">
        <v>2021.0</v>
      </c>
      <c r="G264" s="234" t="s">
        <v>18725</v>
      </c>
      <c r="H264" s="234">
        <v>2026.0</v>
      </c>
      <c r="I264" s="234" t="s">
        <v>18725</v>
      </c>
      <c r="J264" s="234" t="s">
        <v>18636</v>
      </c>
      <c r="K264" s="236" t="s">
        <v>18725</v>
      </c>
      <c r="L264" s="236">
        <v>5.0</v>
      </c>
      <c r="M264" s="236">
        <v>5.0</v>
      </c>
      <c r="N264" s="234" t="s">
        <v>12270</v>
      </c>
      <c r="O264" s="237" t="s">
        <v>18675</v>
      </c>
      <c r="P264" s="238" t="s">
        <v>18966</v>
      </c>
      <c r="Q264" s="234" t="s">
        <v>18732</v>
      </c>
      <c r="R264" s="238" t="s">
        <v>19394</v>
      </c>
      <c r="S264" s="238" t="s">
        <v>19828</v>
      </c>
      <c r="T264" s="238" t="s">
        <v>18725</v>
      </c>
      <c r="U264" s="238" t="s">
        <v>18725</v>
      </c>
      <c r="V264" s="238" t="s">
        <v>18725</v>
      </c>
      <c r="W264" s="238" t="s">
        <v>18725</v>
      </c>
      <c r="X264" s="238" t="s">
        <v>18725</v>
      </c>
      <c r="Y264" s="239" t="str">
        <f>IF('CCUS Projects Database'!$R264&lt;&gt;"",HYPERLINK('CCUS Projects Database'!$R264,"Link 1"),"")</f>
        <v>Link 1</v>
      </c>
      <c r="Z264" s="239" t="str">
        <f>IF('CCUS Projects Database'!$S264&lt;&gt;"",HYPERLINK('CCUS Projects Database'!$S264,"Link 2"),"")</f>
        <v>Link 2</v>
      </c>
      <c r="AA264" s="239" t="str">
        <f>IF('CCUS Projects Database'!$T264&lt;&gt;"",HYPERLINK('CCUS Projects Database'!$T264,"Link 3"),"")</f>
        <v/>
      </c>
      <c r="AB264" s="239" t="str">
        <f>IF('CCUS Projects Database'!$U264&lt;&gt;"",HYPERLINK('CCUS Projects Database'!$U264,"Link 4"),"")</f>
        <v/>
      </c>
      <c r="AC264" s="239" t="str">
        <f>IF('CCUS Projects Database'!$V264&lt;&gt;"",HYPERLINK('CCUS Projects Database'!$V264,"Link 5"),"")</f>
        <v/>
      </c>
      <c r="AD264" s="239" t="str">
        <f>IF('CCUS Projects Database'!$W264&lt;&gt;"",HYPERLINK('CCUS Projects Database'!$W264,"Link 6"),"")</f>
        <v/>
      </c>
      <c r="AE264" s="239" t="str">
        <f>IF('CCUS Projects Database'!$X264&lt;&gt;"",HYPERLINK('CCUS Projects Database'!$X264,"Link 7"),"")</f>
        <v/>
      </c>
    </row>
    <row r="265" ht="14.25" customHeight="1">
      <c r="A265" s="233" t="s">
        <v>19829</v>
      </c>
      <c r="B265" s="234">
        <v>319.0</v>
      </c>
      <c r="C265" s="234" t="s">
        <v>19830</v>
      </c>
      <c r="D265" s="235" t="s">
        <v>19831</v>
      </c>
      <c r="E265" s="234" t="s">
        <v>18620</v>
      </c>
      <c r="F265" s="234">
        <v>2021.0</v>
      </c>
      <c r="G265" s="234" t="s">
        <v>18725</v>
      </c>
      <c r="H265" s="234">
        <v>2027.0</v>
      </c>
      <c r="I265" s="234" t="s">
        <v>18725</v>
      </c>
      <c r="J265" s="234" t="s">
        <v>18636</v>
      </c>
      <c r="K265" s="236">
        <v>1.0</v>
      </c>
      <c r="L265" s="236" t="s">
        <v>19832</v>
      </c>
      <c r="M265" s="236">
        <v>2.5</v>
      </c>
      <c r="N265" s="234" t="s">
        <v>18620</v>
      </c>
      <c r="O265" s="237" t="s">
        <v>18675</v>
      </c>
      <c r="P265" s="238" t="s">
        <v>19833</v>
      </c>
      <c r="Q265" s="234" t="s">
        <v>18726</v>
      </c>
      <c r="R265" s="238" t="s">
        <v>16573</v>
      </c>
      <c r="S265" s="238" t="s">
        <v>19834</v>
      </c>
      <c r="T265" s="238" t="s">
        <v>19835</v>
      </c>
      <c r="U265" s="238" t="s">
        <v>18794</v>
      </c>
      <c r="V265" s="238" t="s">
        <v>19836</v>
      </c>
      <c r="W265" s="238" t="s">
        <v>18725</v>
      </c>
      <c r="X265" s="238" t="s">
        <v>18725</v>
      </c>
      <c r="Y265" s="239" t="str">
        <f>IF('CCUS Projects Database'!$R265&lt;&gt;"",HYPERLINK('CCUS Projects Database'!$R265,"Link 1"),"")</f>
        <v>Link 1</v>
      </c>
      <c r="Z265" s="239" t="str">
        <f>IF('CCUS Projects Database'!$S265&lt;&gt;"",HYPERLINK('CCUS Projects Database'!$S265,"Link 2"),"")</f>
        <v>Link 2</v>
      </c>
      <c r="AA265" s="239" t="str">
        <f>IF('CCUS Projects Database'!$T265&lt;&gt;"",HYPERLINK('CCUS Projects Database'!$T265,"Link 3"),"")</f>
        <v>Link 3</v>
      </c>
      <c r="AB265" s="239" t="str">
        <f>IF('CCUS Projects Database'!$U265&lt;&gt;"",HYPERLINK('CCUS Projects Database'!$U265,"Link 4"),"")</f>
        <v>Link 4</v>
      </c>
      <c r="AC265" s="239" t="str">
        <f>IF('CCUS Projects Database'!$V265&lt;&gt;"",HYPERLINK('CCUS Projects Database'!$V265,"Link 5"),"")</f>
        <v>Link 5</v>
      </c>
      <c r="AD265" s="239" t="str">
        <f>IF('CCUS Projects Database'!$W265&lt;&gt;"",HYPERLINK('CCUS Projects Database'!$W265,"Link 6"),"")</f>
        <v/>
      </c>
      <c r="AE265" s="239" t="str">
        <f>IF('CCUS Projects Database'!$X265&lt;&gt;"",HYPERLINK('CCUS Projects Database'!$X265,"Link 7"),"")</f>
        <v/>
      </c>
    </row>
    <row r="266" ht="14.25" customHeight="1">
      <c r="A266" s="233" t="s">
        <v>19837</v>
      </c>
      <c r="B266" s="234">
        <v>320.0</v>
      </c>
      <c r="C266" s="234" t="s">
        <v>19830</v>
      </c>
      <c r="D266" s="235" t="s">
        <v>19831</v>
      </c>
      <c r="E266" s="234" t="s">
        <v>18620</v>
      </c>
      <c r="F266" s="234">
        <v>2021.0</v>
      </c>
      <c r="G266" s="234" t="s">
        <v>18725</v>
      </c>
      <c r="H266" s="234">
        <v>2031.0</v>
      </c>
      <c r="I266" s="234" t="s">
        <v>18725</v>
      </c>
      <c r="J266" s="234" t="s">
        <v>18636</v>
      </c>
      <c r="K266" s="236">
        <v>2.0</v>
      </c>
      <c r="L266" s="236">
        <v>6.5</v>
      </c>
      <c r="M266" s="236">
        <v>6.5</v>
      </c>
      <c r="N266" s="234" t="s">
        <v>18620</v>
      </c>
      <c r="O266" s="237" t="s">
        <v>18675</v>
      </c>
      <c r="P266" s="238" t="s">
        <v>19838</v>
      </c>
      <c r="Q266" s="234" t="s">
        <v>18726</v>
      </c>
      <c r="R266" s="238" t="s">
        <v>16573</v>
      </c>
      <c r="S266" s="238" t="s">
        <v>19834</v>
      </c>
      <c r="T266" s="238" t="s">
        <v>19835</v>
      </c>
      <c r="U266" s="238" t="s">
        <v>18794</v>
      </c>
      <c r="V266" s="238" t="s">
        <v>18725</v>
      </c>
      <c r="W266" s="238" t="s">
        <v>18725</v>
      </c>
      <c r="X266" s="238" t="s">
        <v>18725</v>
      </c>
      <c r="Y266" s="239" t="str">
        <f>IF('CCUS Projects Database'!$R266&lt;&gt;"",HYPERLINK('CCUS Projects Database'!$R266,"Link 1"),"")</f>
        <v>Link 1</v>
      </c>
      <c r="Z266" s="239" t="str">
        <f>IF('CCUS Projects Database'!$S266&lt;&gt;"",HYPERLINK('CCUS Projects Database'!$S266,"Link 2"),"")</f>
        <v>Link 2</v>
      </c>
      <c r="AA266" s="239" t="str">
        <f>IF('CCUS Projects Database'!$T266&lt;&gt;"",HYPERLINK('CCUS Projects Database'!$T266,"Link 3"),"")</f>
        <v>Link 3</v>
      </c>
      <c r="AB266" s="239" t="str">
        <f>IF('CCUS Projects Database'!$U266&lt;&gt;"",HYPERLINK('CCUS Projects Database'!$U266,"Link 4"),"")</f>
        <v>Link 4</v>
      </c>
      <c r="AC266" s="239" t="str">
        <f>IF('CCUS Projects Database'!$V266&lt;&gt;"",HYPERLINK('CCUS Projects Database'!$V266,"Link 5"),"")</f>
        <v/>
      </c>
      <c r="AD266" s="239" t="str">
        <f>IF('CCUS Projects Database'!$W266&lt;&gt;"",HYPERLINK('CCUS Projects Database'!$W266,"Link 6"),"")</f>
        <v/>
      </c>
      <c r="AE266" s="239" t="str">
        <f>IF('CCUS Projects Database'!$X266&lt;&gt;"",HYPERLINK('CCUS Projects Database'!$X266,"Link 7"),"")</f>
        <v/>
      </c>
    </row>
    <row r="267" ht="14.25" customHeight="1">
      <c r="A267" s="233" t="s">
        <v>19839</v>
      </c>
      <c r="B267" s="234">
        <v>321.0</v>
      </c>
      <c r="C267" s="234" t="s">
        <v>18264</v>
      </c>
      <c r="D267" s="235" t="s">
        <v>19840</v>
      </c>
      <c r="E267" s="234" t="s">
        <v>18618</v>
      </c>
      <c r="F267" s="234">
        <v>2021.0</v>
      </c>
      <c r="G267" s="234">
        <v>2024.0</v>
      </c>
      <c r="H267" s="234">
        <v>2028.0</v>
      </c>
      <c r="I267" s="234" t="s">
        <v>18725</v>
      </c>
      <c r="J267" s="234" t="s">
        <v>18638</v>
      </c>
      <c r="K267" s="236">
        <v>1.0</v>
      </c>
      <c r="L267" s="236">
        <v>0.65</v>
      </c>
      <c r="M267" s="236">
        <v>0.65</v>
      </c>
      <c r="N267" s="234" t="s">
        <v>18661</v>
      </c>
      <c r="O267" s="237" t="s">
        <v>18675</v>
      </c>
      <c r="P267" s="238" t="s">
        <v>18870</v>
      </c>
      <c r="Q267" s="234" t="s">
        <v>18732</v>
      </c>
      <c r="R267" s="238" t="s">
        <v>18874</v>
      </c>
      <c r="S267" s="238" t="s">
        <v>18875</v>
      </c>
      <c r="T267" s="238" t="s">
        <v>18876</v>
      </c>
      <c r="U267" s="238" t="s">
        <v>18725</v>
      </c>
      <c r="V267" s="238" t="s">
        <v>18725</v>
      </c>
      <c r="W267" s="238" t="s">
        <v>18725</v>
      </c>
      <c r="X267" s="238" t="s">
        <v>18725</v>
      </c>
      <c r="Y267" s="239" t="str">
        <f>IF('CCUS Projects Database'!$R267&lt;&gt;"",HYPERLINK('CCUS Projects Database'!$R267,"Link 1"),"")</f>
        <v>Link 1</v>
      </c>
      <c r="Z267" s="239" t="str">
        <f>IF('CCUS Projects Database'!$S267&lt;&gt;"",HYPERLINK('CCUS Projects Database'!$S267,"Link 2"),"")</f>
        <v>Link 2</v>
      </c>
      <c r="AA267" s="239" t="str">
        <f>IF('CCUS Projects Database'!$T267&lt;&gt;"",HYPERLINK('CCUS Projects Database'!$T267,"Link 3"),"")</f>
        <v>Link 3</v>
      </c>
      <c r="AB267" s="239" t="str">
        <f>IF('CCUS Projects Database'!$U267&lt;&gt;"",HYPERLINK('CCUS Projects Database'!$U267,"Link 4"),"")</f>
        <v/>
      </c>
      <c r="AC267" s="239" t="str">
        <f>IF('CCUS Projects Database'!$V267&lt;&gt;"",HYPERLINK('CCUS Projects Database'!$V267,"Link 5"),"")</f>
        <v/>
      </c>
      <c r="AD267" s="239" t="str">
        <f>IF('CCUS Projects Database'!$W267&lt;&gt;"",HYPERLINK('CCUS Projects Database'!$W267,"Link 6"),"")</f>
        <v/>
      </c>
      <c r="AE267" s="239" t="str">
        <f>IF('CCUS Projects Database'!$X267&lt;&gt;"",HYPERLINK('CCUS Projects Database'!$X267,"Link 7"),"")</f>
        <v/>
      </c>
    </row>
    <row r="268" ht="14.25" customHeight="1">
      <c r="A268" s="233" t="s">
        <v>19841</v>
      </c>
      <c r="B268" s="234">
        <v>322.0</v>
      </c>
      <c r="C268" s="234" t="s">
        <v>98</v>
      </c>
      <c r="D268" s="235" t="s">
        <v>19842</v>
      </c>
      <c r="E268" s="234" t="s">
        <v>3</v>
      </c>
      <c r="F268" s="234">
        <v>2021.0</v>
      </c>
      <c r="G268" s="234">
        <v>2025.0</v>
      </c>
      <c r="H268" s="234">
        <v>2028.0</v>
      </c>
      <c r="I268" s="234" t="s">
        <v>18725</v>
      </c>
      <c r="J268" s="234" t="s">
        <v>18636</v>
      </c>
      <c r="K268" s="236" t="s">
        <v>18725</v>
      </c>
      <c r="L268" s="236" t="s">
        <v>19843</v>
      </c>
      <c r="M268" s="236">
        <v>8.0</v>
      </c>
      <c r="N268" s="234" t="s">
        <v>3</v>
      </c>
      <c r="O268" s="237" t="s">
        <v>18675</v>
      </c>
      <c r="P268" s="238" t="s">
        <v>19841</v>
      </c>
      <c r="Q268" s="234" t="s">
        <v>18726</v>
      </c>
      <c r="R268" s="238" t="s">
        <v>19844</v>
      </c>
      <c r="S268" s="238" t="s">
        <v>19845</v>
      </c>
      <c r="T268" s="238" t="s">
        <v>19846</v>
      </c>
      <c r="U268" s="238" t="s">
        <v>19847</v>
      </c>
      <c r="V268" s="238" t="s">
        <v>19848</v>
      </c>
      <c r="W268" s="238" t="s">
        <v>18725</v>
      </c>
      <c r="X268" s="238" t="s">
        <v>18725</v>
      </c>
      <c r="Y268" s="239" t="str">
        <f>IF('CCUS Projects Database'!$R268&lt;&gt;"",HYPERLINK('CCUS Projects Database'!$R268,"Link 1"),"")</f>
        <v>Link 1</v>
      </c>
      <c r="Z268" s="239" t="str">
        <f>IF('CCUS Projects Database'!$S268&lt;&gt;"",HYPERLINK('CCUS Projects Database'!$S268,"Link 2"),"")</f>
        <v>Link 2</v>
      </c>
      <c r="AA268" s="239" t="str">
        <f>IF('CCUS Projects Database'!$T268&lt;&gt;"",HYPERLINK('CCUS Projects Database'!$T268,"Link 3"),"")</f>
        <v>Link 3</v>
      </c>
      <c r="AB268" s="239" t="str">
        <f>IF('CCUS Projects Database'!$U268&lt;&gt;"",HYPERLINK('CCUS Projects Database'!$U268,"Link 4"),"")</f>
        <v>Link 4</v>
      </c>
      <c r="AC268" s="239" t="str">
        <f>IF('CCUS Projects Database'!$V268&lt;&gt;"",HYPERLINK('CCUS Projects Database'!$V268,"Link 5"),"")</f>
        <v>Link 5</v>
      </c>
      <c r="AD268" s="239" t="str">
        <f>IF('CCUS Projects Database'!$W268&lt;&gt;"",HYPERLINK('CCUS Projects Database'!$W268,"Link 6"),"")</f>
        <v/>
      </c>
      <c r="AE268" s="239" t="str">
        <f>IF('CCUS Projects Database'!$X268&lt;&gt;"",HYPERLINK('CCUS Projects Database'!$X268,"Link 7"),"")</f>
        <v/>
      </c>
    </row>
    <row r="269" ht="14.25" customHeight="1">
      <c r="A269" s="233" t="s">
        <v>19849</v>
      </c>
      <c r="B269" s="234">
        <v>323.0</v>
      </c>
      <c r="C269" s="234" t="s">
        <v>18586</v>
      </c>
      <c r="D269" s="235" t="s">
        <v>19850</v>
      </c>
      <c r="E269" s="234" t="s">
        <v>18616</v>
      </c>
      <c r="F269" s="234">
        <v>2009.0</v>
      </c>
      <c r="G269" s="234">
        <v>2011.0</v>
      </c>
      <c r="H269" s="234">
        <v>2013.0</v>
      </c>
      <c r="I269" s="234" t="s">
        <v>18725</v>
      </c>
      <c r="J269" s="234" t="s">
        <v>12385</v>
      </c>
      <c r="K269" s="236" t="s">
        <v>18725</v>
      </c>
      <c r="L269" s="236">
        <v>0.9</v>
      </c>
      <c r="M269" s="236">
        <v>0.9</v>
      </c>
      <c r="N269" s="234" t="s">
        <v>18661</v>
      </c>
      <c r="O269" s="237" t="s">
        <v>18677</v>
      </c>
      <c r="P269" s="238" t="s">
        <v>18725</v>
      </c>
      <c r="Q269" s="234" t="s">
        <v>18732</v>
      </c>
      <c r="R269" s="238" t="s">
        <v>19851</v>
      </c>
      <c r="S269" s="238" t="s">
        <v>19769</v>
      </c>
      <c r="T269" s="238" t="s">
        <v>19852</v>
      </c>
      <c r="U269" s="238" t="s">
        <v>18725</v>
      </c>
      <c r="V269" s="238" t="s">
        <v>19853</v>
      </c>
      <c r="W269" s="238" t="s">
        <v>19854</v>
      </c>
      <c r="X269" s="238" t="s">
        <v>18725</v>
      </c>
      <c r="Y269" s="239" t="str">
        <f>IF('CCUS Projects Database'!$R269&lt;&gt;"",HYPERLINK('CCUS Projects Database'!$R269,"Link 1"),"")</f>
        <v>Link 1</v>
      </c>
      <c r="Z269" s="239" t="str">
        <f>IF('CCUS Projects Database'!$S269&lt;&gt;"",HYPERLINK('CCUS Projects Database'!$S269,"Link 2"),"")</f>
        <v>Link 2</v>
      </c>
      <c r="AA269" s="239" t="str">
        <f>IF('CCUS Projects Database'!$T269&lt;&gt;"",HYPERLINK('CCUS Projects Database'!$T269,"Link 3"),"")</f>
        <v>Link 3</v>
      </c>
      <c r="AB269" s="239" t="str">
        <f>IF('CCUS Projects Database'!$U269&lt;&gt;"",HYPERLINK('CCUS Projects Database'!$U269,"Link 4"),"")</f>
        <v/>
      </c>
      <c r="AC269" s="239" t="str">
        <f>IF('CCUS Projects Database'!$V269&lt;&gt;"",HYPERLINK('CCUS Projects Database'!$V269,"Link 5"),"")</f>
        <v>Link 5</v>
      </c>
      <c r="AD269" s="239" t="str">
        <f>IF('CCUS Projects Database'!$W269&lt;&gt;"",HYPERLINK('CCUS Projects Database'!$W269,"Link 6"),"")</f>
        <v>Link 6</v>
      </c>
      <c r="AE269" s="239" t="str">
        <f>IF('CCUS Projects Database'!$X269&lt;&gt;"",HYPERLINK('CCUS Projects Database'!$X269,"Link 7"),"")</f>
        <v/>
      </c>
    </row>
    <row r="270" ht="14.25" customHeight="1">
      <c r="A270" s="233" t="s">
        <v>19855</v>
      </c>
      <c r="B270" s="234">
        <v>325.0</v>
      </c>
      <c r="C270" s="234" t="s">
        <v>164</v>
      </c>
      <c r="D270" s="235" t="s">
        <v>19547</v>
      </c>
      <c r="E270" s="234" t="s">
        <v>18623</v>
      </c>
      <c r="F270" s="234">
        <v>2018.0</v>
      </c>
      <c r="G270" s="234">
        <v>2023.0</v>
      </c>
      <c r="H270" s="234">
        <v>2026.0</v>
      </c>
      <c r="I270" s="234" t="s">
        <v>18725</v>
      </c>
      <c r="J270" s="234" t="s">
        <v>18638</v>
      </c>
      <c r="K270" s="236">
        <v>1.0</v>
      </c>
      <c r="L270" s="236">
        <v>2.5</v>
      </c>
      <c r="M270" s="236">
        <v>2.5</v>
      </c>
      <c r="N270" s="234" t="s">
        <v>18623</v>
      </c>
      <c r="O270" s="237" t="s">
        <v>18675</v>
      </c>
      <c r="P270" s="238" t="s">
        <v>18783</v>
      </c>
      <c r="Q270" s="234" t="s">
        <v>18726</v>
      </c>
      <c r="R270" s="238" t="s">
        <v>19548</v>
      </c>
      <c r="S270" s="238" t="s">
        <v>19549</v>
      </c>
      <c r="T270" s="238" t="s">
        <v>18725</v>
      </c>
      <c r="U270" s="238" t="s">
        <v>18725</v>
      </c>
      <c r="V270" s="238" t="s">
        <v>18725</v>
      </c>
      <c r="W270" s="238" t="s">
        <v>18725</v>
      </c>
      <c r="X270" s="238" t="s">
        <v>18725</v>
      </c>
      <c r="Y270" s="239" t="str">
        <f>IF('CCUS Projects Database'!$R270&lt;&gt;"",HYPERLINK('CCUS Projects Database'!$R270,"Link 1"),"")</f>
        <v>Link 1</v>
      </c>
      <c r="Z270" s="239" t="str">
        <f>IF('CCUS Projects Database'!$S270&lt;&gt;"",HYPERLINK('CCUS Projects Database'!$S270,"Link 2"),"")</f>
        <v>Link 2</v>
      </c>
      <c r="AA270" s="239" t="str">
        <f>IF('CCUS Projects Database'!$T270&lt;&gt;"",HYPERLINK('CCUS Projects Database'!$T270,"Link 3"),"")</f>
        <v/>
      </c>
      <c r="AB270" s="239" t="str">
        <f>IF('CCUS Projects Database'!$U270&lt;&gt;"",HYPERLINK('CCUS Projects Database'!$U270,"Link 4"),"")</f>
        <v/>
      </c>
      <c r="AC270" s="239" t="str">
        <f>IF('CCUS Projects Database'!$V270&lt;&gt;"",HYPERLINK('CCUS Projects Database'!$V270,"Link 5"),"")</f>
        <v/>
      </c>
      <c r="AD270" s="239" t="str">
        <f>IF('CCUS Projects Database'!$W270&lt;&gt;"",HYPERLINK('CCUS Projects Database'!$W270,"Link 6"),"")</f>
        <v/>
      </c>
      <c r="AE270" s="239" t="str">
        <f>IF('CCUS Projects Database'!$X270&lt;&gt;"",HYPERLINK('CCUS Projects Database'!$X270,"Link 7"),"")</f>
        <v/>
      </c>
    </row>
    <row r="271" ht="14.25" customHeight="1">
      <c r="A271" s="233" t="s">
        <v>19856</v>
      </c>
      <c r="B271" s="234">
        <v>327.0</v>
      </c>
      <c r="C271" s="234" t="s">
        <v>18586</v>
      </c>
      <c r="D271" s="235" t="s">
        <v>19857</v>
      </c>
      <c r="E271" s="234" t="s">
        <v>18618</v>
      </c>
      <c r="F271" s="234">
        <v>2019.0</v>
      </c>
      <c r="G271" s="234" t="s">
        <v>18725</v>
      </c>
      <c r="H271" s="234">
        <v>2026.0</v>
      </c>
      <c r="I271" s="234" t="s">
        <v>18725</v>
      </c>
      <c r="J271" s="234" t="s">
        <v>18636</v>
      </c>
      <c r="K271" s="236" t="s">
        <v>18725</v>
      </c>
      <c r="L271" s="236" t="s">
        <v>19858</v>
      </c>
      <c r="M271" s="236">
        <v>6.05</v>
      </c>
      <c r="N271" s="234" t="s">
        <v>18654</v>
      </c>
      <c r="O271" s="237" t="s">
        <v>18675</v>
      </c>
      <c r="P271" s="238" t="s">
        <v>19737</v>
      </c>
      <c r="Q271" s="234" t="s">
        <v>18732</v>
      </c>
      <c r="R271" s="238" t="s">
        <v>19859</v>
      </c>
      <c r="S271" s="238" t="s">
        <v>19860</v>
      </c>
      <c r="T271" s="238" t="s">
        <v>19861</v>
      </c>
      <c r="U271" s="238" t="s">
        <v>18725</v>
      </c>
      <c r="V271" s="238" t="s">
        <v>18725</v>
      </c>
      <c r="W271" s="238" t="s">
        <v>18725</v>
      </c>
      <c r="X271" s="238" t="s">
        <v>18725</v>
      </c>
      <c r="Y271" s="239" t="str">
        <f>IF('CCUS Projects Database'!$R271&lt;&gt;"",HYPERLINK('CCUS Projects Database'!$R271,"Link 1"),"")</f>
        <v>Link 1</v>
      </c>
      <c r="Z271" s="239" t="str">
        <f>IF('CCUS Projects Database'!$S271&lt;&gt;"",HYPERLINK('CCUS Projects Database'!$S271,"Link 2"),"")</f>
        <v>Link 2</v>
      </c>
      <c r="AA271" s="239" t="str">
        <f>IF('CCUS Projects Database'!$T271&lt;&gt;"",HYPERLINK('CCUS Projects Database'!$T271,"Link 3"),"")</f>
        <v>Link 3</v>
      </c>
      <c r="AB271" s="239" t="str">
        <f>IF('CCUS Projects Database'!$U271&lt;&gt;"",HYPERLINK('CCUS Projects Database'!$U271,"Link 4"),"")</f>
        <v/>
      </c>
      <c r="AC271" s="239" t="str">
        <f>IF('CCUS Projects Database'!$V271&lt;&gt;"",HYPERLINK('CCUS Projects Database'!$V271,"Link 5"),"")</f>
        <v/>
      </c>
      <c r="AD271" s="239" t="str">
        <f>IF('CCUS Projects Database'!$W271&lt;&gt;"",HYPERLINK('CCUS Projects Database'!$W271,"Link 6"),"")</f>
        <v/>
      </c>
      <c r="AE271" s="239" t="str">
        <f>IF('CCUS Projects Database'!$X271&lt;&gt;"",HYPERLINK('CCUS Projects Database'!$X271,"Link 7"),"")</f>
        <v/>
      </c>
    </row>
    <row r="272" ht="14.25" customHeight="1">
      <c r="A272" s="233" t="s">
        <v>8851</v>
      </c>
      <c r="B272" s="234">
        <v>328.0</v>
      </c>
      <c r="C272" s="234" t="s">
        <v>83</v>
      </c>
      <c r="D272" s="235" t="s">
        <v>19862</v>
      </c>
      <c r="E272" s="234" t="s">
        <v>18618</v>
      </c>
      <c r="F272" s="234">
        <v>2021.0</v>
      </c>
      <c r="G272" s="234" t="s">
        <v>18725</v>
      </c>
      <c r="H272" s="234">
        <v>2028.0</v>
      </c>
      <c r="I272" s="234" t="s">
        <v>18725</v>
      </c>
      <c r="J272" s="234" t="s">
        <v>18636</v>
      </c>
      <c r="K272" s="236">
        <v>1.0</v>
      </c>
      <c r="L272" s="236">
        <v>0.55</v>
      </c>
      <c r="M272" s="236">
        <v>0.55</v>
      </c>
      <c r="N272" s="234" t="s">
        <v>18661</v>
      </c>
      <c r="O272" s="237" t="s">
        <v>18675</v>
      </c>
      <c r="P272" s="238" t="s">
        <v>19115</v>
      </c>
      <c r="Q272" s="234" t="s">
        <v>18726</v>
      </c>
      <c r="R272" s="238" t="s">
        <v>17032</v>
      </c>
      <c r="S272" s="238" t="s">
        <v>18725</v>
      </c>
      <c r="T272" s="238" t="s">
        <v>18725</v>
      </c>
      <c r="U272" s="238" t="s">
        <v>18725</v>
      </c>
      <c r="V272" s="238" t="s">
        <v>18725</v>
      </c>
      <c r="W272" s="238" t="s">
        <v>18725</v>
      </c>
      <c r="X272" s="238" t="s">
        <v>18725</v>
      </c>
      <c r="Y272" s="239" t="str">
        <f>IF('CCUS Projects Database'!$R272&lt;&gt;"",HYPERLINK('CCUS Projects Database'!$R272,"Link 1"),"")</f>
        <v>Link 1</v>
      </c>
      <c r="Z272" s="239" t="str">
        <f>IF('CCUS Projects Database'!$S272&lt;&gt;"",HYPERLINK('CCUS Projects Database'!$S272,"Link 2"),"")</f>
        <v/>
      </c>
      <c r="AA272" s="239" t="str">
        <f>IF('CCUS Projects Database'!$T272&lt;&gt;"",HYPERLINK('CCUS Projects Database'!$T272,"Link 3"),"")</f>
        <v/>
      </c>
      <c r="AB272" s="239" t="str">
        <f>IF('CCUS Projects Database'!$U272&lt;&gt;"",HYPERLINK('CCUS Projects Database'!$U272,"Link 4"),"")</f>
        <v/>
      </c>
      <c r="AC272" s="239" t="str">
        <f>IF('CCUS Projects Database'!$V272&lt;&gt;"",HYPERLINK('CCUS Projects Database'!$V272,"Link 5"),"")</f>
        <v/>
      </c>
      <c r="AD272" s="239" t="str">
        <f>IF('CCUS Projects Database'!$W272&lt;&gt;"",HYPERLINK('CCUS Projects Database'!$W272,"Link 6"),"")</f>
        <v/>
      </c>
      <c r="AE272" s="239" t="str">
        <f>IF('CCUS Projects Database'!$X272&lt;&gt;"",HYPERLINK('CCUS Projects Database'!$X272,"Link 7"),"")</f>
        <v/>
      </c>
    </row>
    <row r="273" ht="14.25" customHeight="1">
      <c r="A273" s="233" t="s">
        <v>9447</v>
      </c>
      <c r="B273" s="234">
        <v>329.0</v>
      </c>
      <c r="C273" s="234" t="s">
        <v>83</v>
      </c>
      <c r="D273" s="235" t="s">
        <v>19862</v>
      </c>
      <c r="E273" s="234" t="s">
        <v>18618</v>
      </c>
      <c r="F273" s="234">
        <v>2021.0</v>
      </c>
      <c r="G273" s="234" t="s">
        <v>18725</v>
      </c>
      <c r="H273" s="234">
        <v>2030.0</v>
      </c>
      <c r="I273" s="234" t="s">
        <v>18725</v>
      </c>
      <c r="J273" s="234" t="s">
        <v>18636</v>
      </c>
      <c r="K273" s="236">
        <v>2.0</v>
      </c>
      <c r="L273" s="236">
        <v>0.55</v>
      </c>
      <c r="M273" s="236">
        <v>0.55</v>
      </c>
      <c r="N273" s="234" t="s">
        <v>18661</v>
      </c>
      <c r="O273" s="237" t="s">
        <v>18675</v>
      </c>
      <c r="P273" s="238" t="s">
        <v>19115</v>
      </c>
      <c r="Q273" s="234" t="s">
        <v>18726</v>
      </c>
      <c r="R273" s="238" t="s">
        <v>17032</v>
      </c>
      <c r="S273" s="238" t="s">
        <v>18725</v>
      </c>
      <c r="T273" s="238" t="s">
        <v>18725</v>
      </c>
      <c r="U273" s="238" t="s">
        <v>18725</v>
      </c>
      <c r="V273" s="238" t="s">
        <v>18725</v>
      </c>
      <c r="W273" s="238" t="s">
        <v>18725</v>
      </c>
      <c r="X273" s="238" t="s">
        <v>18725</v>
      </c>
      <c r="Y273" s="239" t="str">
        <f>IF('CCUS Projects Database'!$R273&lt;&gt;"",HYPERLINK('CCUS Projects Database'!$R273,"Link 1"),"")</f>
        <v>Link 1</v>
      </c>
      <c r="Z273" s="239" t="str">
        <f>IF('CCUS Projects Database'!$S273&lt;&gt;"",HYPERLINK('CCUS Projects Database'!$S273,"Link 2"),"")</f>
        <v/>
      </c>
      <c r="AA273" s="239" t="str">
        <f>IF('CCUS Projects Database'!$T273&lt;&gt;"",HYPERLINK('CCUS Projects Database'!$T273,"Link 3"),"")</f>
        <v/>
      </c>
      <c r="AB273" s="239" t="str">
        <f>IF('CCUS Projects Database'!$U273&lt;&gt;"",HYPERLINK('CCUS Projects Database'!$U273,"Link 4"),"")</f>
        <v/>
      </c>
      <c r="AC273" s="239" t="str">
        <f>IF('CCUS Projects Database'!$V273&lt;&gt;"",HYPERLINK('CCUS Projects Database'!$V273,"Link 5"),"")</f>
        <v/>
      </c>
      <c r="AD273" s="239" t="str">
        <f>IF('CCUS Projects Database'!$W273&lt;&gt;"",HYPERLINK('CCUS Projects Database'!$W273,"Link 6"),"")</f>
        <v/>
      </c>
      <c r="AE273" s="239" t="str">
        <f>IF('CCUS Projects Database'!$X273&lt;&gt;"",HYPERLINK('CCUS Projects Database'!$X273,"Link 7"),"")</f>
        <v/>
      </c>
    </row>
    <row r="274" ht="14.25" customHeight="1">
      <c r="A274" s="233" t="s">
        <v>8429</v>
      </c>
      <c r="B274" s="234">
        <v>330.0</v>
      </c>
      <c r="C274" s="234" t="s">
        <v>51</v>
      </c>
      <c r="D274" s="235" t="s">
        <v>19863</v>
      </c>
      <c r="E274" s="234" t="s">
        <v>18618</v>
      </c>
      <c r="F274" s="234">
        <v>2018.0</v>
      </c>
      <c r="G274" s="234" t="s">
        <v>18725</v>
      </c>
      <c r="H274" s="234">
        <v>2026.0</v>
      </c>
      <c r="I274" s="234" t="s">
        <v>18725</v>
      </c>
      <c r="J274" s="234" t="s">
        <v>18636</v>
      </c>
      <c r="K274" s="236" t="s">
        <v>18725</v>
      </c>
      <c r="L274" s="236">
        <v>0.5</v>
      </c>
      <c r="M274" s="236">
        <v>0.5</v>
      </c>
      <c r="N274" s="234" t="s">
        <v>18661</v>
      </c>
      <c r="O274" s="237" t="s">
        <v>18675</v>
      </c>
      <c r="P274" s="238" t="s">
        <v>18941</v>
      </c>
      <c r="Q274" s="234" t="s">
        <v>18726</v>
      </c>
      <c r="R274" s="238" t="s">
        <v>19864</v>
      </c>
      <c r="S274" s="238" t="s">
        <v>18725</v>
      </c>
      <c r="T274" s="238" t="s">
        <v>18725</v>
      </c>
      <c r="U274" s="238" t="s">
        <v>18725</v>
      </c>
      <c r="V274" s="238" t="s">
        <v>18725</v>
      </c>
      <c r="W274" s="238" t="s">
        <v>18725</v>
      </c>
      <c r="X274" s="238" t="s">
        <v>18725</v>
      </c>
      <c r="Y274" s="239" t="str">
        <f>IF('CCUS Projects Database'!$R274&lt;&gt;"",HYPERLINK('CCUS Projects Database'!$R274,"Link 1"),"")</f>
        <v>Link 1</v>
      </c>
      <c r="Z274" s="239" t="str">
        <f>IF('CCUS Projects Database'!$S274&lt;&gt;"",HYPERLINK('CCUS Projects Database'!$S274,"Link 2"),"")</f>
        <v/>
      </c>
      <c r="AA274" s="239" t="str">
        <f>IF('CCUS Projects Database'!$T274&lt;&gt;"",HYPERLINK('CCUS Projects Database'!$T274,"Link 3"),"")</f>
        <v/>
      </c>
      <c r="AB274" s="239" t="str">
        <f>IF('CCUS Projects Database'!$U274&lt;&gt;"",HYPERLINK('CCUS Projects Database'!$U274,"Link 4"),"")</f>
        <v/>
      </c>
      <c r="AC274" s="239" t="str">
        <f>IF('CCUS Projects Database'!$V274&lt;&gt;"",HYPERLINK('CCUS Projects Database'!$V274,"Link 5"),"")</f>
        <v/>
      </c>
      <c r="AD274" s="239" t="str">
        <f>IF('CCUS Projects Database'!$W274&lt;&gt;"",HYPERLINK('CCUS Projects Database'!$W274,"Link 6"),"")</f>
        <v/>
      </c>
      <c r="AE274" s="239" t="str">
        <f>IF('CCUS Projects Database'!$X274&lt;&gt;"",HYPERLINK('CCUS Projects Database'!$X274,"Link 7"),"")</f>
        <v/>
      </c>
    </row>
    <row r="275" ht="14.25" customHeight="1">
      <c r="A275" s="233" t="s">
        <v>19865</v>
      </c>
      <c r="B275" s="234">
        <v>331.0</v>
      </c>
      <c r="C275" s="234" t="s">
        <v>86</v>
      </c>
      <c r="D275" s="235" t="s">
        <v>19866</v>
      </c>
      <c r="E275" s="234" t="s">
        <v>18623</v>
      </c>
      <c r="F275" s="234">
        <v>2021.0</v>
      </c>
      <c r="G275" s="234">
        <v>2027.0</v>
      </c>
      <c r="H275" s="234">
        <v>2030.0</v>
      </c>
      <c r="I275" s="234" t="s">
        <v>18725</v>
      </c>
      <c r="J275" s="234" t="s">
        <v>18636</v>
      </c>
      <c r="K275" s="236">
        <v>1.0</v>
      </c>
      <c r="L275" s="236" t="s">
        <v>19867</v>
      </c>
      <c r="M275" s="236">
        <v>3.0</v>
      </c>
      <c r="N275" s="234" t="s">
        <v>18623</v>
      </c>
      <c r="O275" s="237" t="s">
        <v>18675</v>
      </c>
      <c r="P275" s="234" t="s">
        <v>19868</v>
      </c>
      <c r="Q275" s="234" t="s">
        <v>18726</v>
      </c>
      <c r="R275" s="238" t="s">
        <v>19869</v>
      </c>
      <c r="S275" s="238" t="s">
        <v>19870</v>
      </c>
      <c r="T275" s="238" t="s">
        <v>19871</v>
      </c>
      <c r="U275" s="238" t="s">
        <v>19872</v>
      </c>
      <c r="V275" s="238" t="s">
        <v>19873</v>
      </c>
      <c r="W275" s="238" t="s">
        <v>18725</v>
      </c>
      <c r="X275" s="238" t="s">
        <v>18725</v>
      </c>
      <c r="Y275" s="240" t="str">
        <f>IF('CCUS Projects Database'!$R275&lt;&gt;"",HYPERLINK('CCUS Projects Database'!$R275,"Link 1"),"")</f>
        <v>Link 1</v>
      </c>
      <c r="Z275" s="240" t="str">
        <f>IF('CCUS Projects Database'!$S275&lt;&gt;"",HYPERLINK('CCUS Projects Database'!$S275,"Link 2"),"")</f>
        <v>Link 2</v>
      </c>
      <c r="AA275" s="240" t="str">
        <f>IF('CCUS Projects Database'!$T275&lt;&gt;"",HYPERLINK('CCUS Projects Database'!$T275,"Link 3"),"")</f>
        <v>Link 3</v>
      </c>
      <c r="AB275" s="240" t="str">
        <f>IF('CCUS Projects Database'!$U275&lt;&gt;"",HYPERLINK('CCUS Projects Database'!$U275,"Link 4"),"")</f>
        <v>Link 4</v>
      </c>
      <c r="AC275" s="240" t="str">
        <f>IF('CCUS Projects Database'!$V275&lt;&gt;"",HYPERLINK('CCUS Projects Database'!$V275,"Link 5"),"")</f>
        <v>Link 5</v>
      </c>
      <c r="AD275" s="238" t="str">
        <f>IF('CCUS Projects Database'!$W275&lt;&gt;"",HYPERLINK('CCUS Projects Database'!$W275,"Link 6"),"")</f>
        <v/>
      </c>
      <c r="AE275" s="239" t="str">
        <f>IF('CCUS Projects Database'!$X275&lt;&gt;"",HYPERLINK('CCUS Projects Database'!$X275,"Link 7"),"")</f>
        <v/>
      </c>
    </row>
    <row r="276" ht="14.25" customHeight="1">
      <c r="A276" s="233" t="s">
        <v>19874</v>
      </c>
      <c r="B276" s="234">
        <v>332.0</v>
      </c>
      <c r="C276" s="234" t="s">
        <v>83</v>
      </c>
      <c r="D276" s="235" t="s">
        <v>19875</v>
      </c>
      <c r="E276" s="234" t="s">
        <v>18618</v>
      </c>
      <c r="F276" s="234">
        <v>2021.0</v>
      </c>
      <c r="G276" s="234">
        <v>2025.0</v>
      </c>
      <c r="H276" s="234">
        <v>2026.0</v>
      </c>
      <c r="I276" s="234" t="s">
        <v>18725</v>
      </c>
      <c r="J276" s="234" t="s">
        <v>18192</v>
      </c>
      <c r="K276" s="236">
        <v>1.0</v>
      </c>
      <c r="L276" s="236">
        <v>1.2</v>
      </c>
      <c r="M276" s="236">
        <v>1.2</v>
      </c>
      <c r="N276" s="234" t="s">
        <v>18731</v>
      </c>
      <c r="O276" s="237" t="s">
        <v>18675</v>
      </c>
      <c r="P276" s="238" t="s">
        <v>18746</v>
      </c>
      <c r="Q276" s="234" t="s">
        <v>18726</v>
      </c>
      <c r="R276" s="238" t="s">
        <v>17039</v>
      </c>
      <c r="S276" s="238" t="s">
        <v>19876</v>
      </c>
      <c r="T276" s="238" t="s">
        <v>18725</v>
      </c>
      <c r="U276" s="238" t="s">
        <v>18725</v>
      </c>
      <c r="V276" s="238" t="s">
        <v>18725</v>
      </c>
      <c r="W276" s="238" t="s">
        <v>18725</v>
      </c>
      <c r="X276" s="238" t="s">
        <v>18725</v>
      </c>
      <c r="Y276" s="239" t="str">
        <f>IF('CCUS Projects Database'!$R276&lt;&gt;"",HYPERLINK('CCUS Projects Database'!$R276,"Link 1"),"")</f>
        <v>Link 1</v>
      </c>
      <c r="Z276" s="239" t="str">
        <f>IF('CCUS Projects Database'!$S276&lt;&gt;"",HYPERLINK('CCUS Projects Database'!$S276,"Link 2"),"")</f>
        <v>Link 2</v>
      </c>
      <c r="AA276" s="239" t="str">
        <f>IF('CCUS Projects Database'!$T276&lt;&gt;"",HYPERLINK('CCUS Projects Database'!$T276,"Link 3"),"")</f>
        <v/>
      </c>
      <c r="AB276" s="239" t="str">
        <f>IF('CCUS Projects Database'!$U276&lt;&gt;"",HYPERLINK('CCUS Projects Database'!$U276,"Link 4"),"")</f>
        <v/>
      </c>
      <c r="AC276" s="239" t="str">
        <f>IF('CCUS Projects Database'!$V276&lt;&gt;"",HYPERLINK('CCUS Projects Database'!$V276,"Link 5"),"")</f>
        <v/>
      </c>
      <c r="AD276" s="239" t="str">
        <f>IF('CCUS Projects Database'!$W276&lt;&gt;"",HYPERLINK('CCUS Projects Database'!$W276,"Link 6"),"")</f>
        <v/>
      </c>
      <c r="AE276" s="239" t="str">
        <f>IF('CCUS Projects Database'!$X276&lt;&gt;"",HYPERLINK('CCUS Projects Database'!$X276,"Link 7"),"")</f>
        <v/>
      </c>
    </row>
    <row r="277" ht="14.25" customHeight="1">
      <c r="A277" s="233" t="s">
        <v>19877</v>
      </c>
      <c r="B277" s="234">
        <v>333.0</v>
      </c>
      <c r="C277" s="234" t="s">
        <v>83</v>
      </c>
      <c r="D277" s="235" t="s">
        <v>19875</v>
      </c>
      <c r="E277" s="234" t="s">
        <v>18618</v>
      </c>
      <c r="F277" s="234">
        <v>2021.0</v>
      </c>
      <c r="G277" s="234">
        <v>2025.0</v>
      </c>
      <c r="H277" s="234">
        <v>2026.0</v>
      </c>
      <c r="I277" s="234" t="s">
        <v>18725</v>
      </c>
      <c r="J277" s="234" t="s">
        <v>18192</v>
      </c>
      <c r="K277" s="236">
        <v>2.0</v>
      </c>
      <c r="L277" s="236">
        <v>1.8</v>
      </c>
      <c r="M277" s="236">
        <v>1.8</v>
      </c>
      <c r="N277" s="234" t="s">
        <v>18731</v>
      </c>
      <c r="O277" s="237" t="s">
        <v>18675</v>
      </c>
      <c r="P277" s="238" t="s">
        <v>18746</v>
      </c>
      <c r="Q277" s="234" t="s">
        <v>18726</v>
      </c>
      <c r="R277" s="238" t="s">
        <v>17039</v>
      </c>
      <c r="S277" s="238" t="s">
        <v>19876</v>
      </c>
      <c r="T277" s="238" t="s">
        <v>18725</v>
      </c>
      <c r="U277" s="238" t="s">
        <v>18725</v>
      </c>
      <c r="V277" s="238" t="s">
        <v>18725</v>
      </c>
      <c r="W277" s="238" t="s">
        <v>18725</v>
      </c>
      <c r="X277" s="238" t="s">
        <v>18725</v>
      </c>
      <c r="Y277" s="239" t="str">
        <f>IF('CCUS Projects Database'!$R277&lt;&gt;"",HYPERLINK('CCUS Projects Database'!$R277,"Link 1"),"")</f>
        <v>Link 1</v>
      </c>
      <c r="Z277" s="239" t="str">
        <f>IF('CCUS Projects Database'!$S277&lt;&gt;"",HYPERLINK('CCUS Projects Database'!$S277,"Link 2"),"")</f>
        <v>Link 2</v>
      </c>
      <c r="AA277" s="239" t="str">
        <f>IF('CCUS Projects Database'!$T277&lt;&gt;"",HYPERLINK('CCUS Projects Database'!$T277,"Link 3"),"")</f>
        <v/>
      </c>
      <c r="AB277" s="239" t="str">
        <f>IF('CCUS Projects Database'!$U277&lt;&gt;"",HYPERLINK('CCUS Projects Database'!$U277,"Link 4"),"")</f>
        <v/>
      </c>
      <c r="AC277" s="239" t="str">
        <f>IF('CCUS Projects Database'!$V277&lt;&gt;"",HYPERLINK('CCUS Projects Database'!$V277,"Link 5"),"")</f>
        <v/>
      </c>
      <c r="AD277" s="239" t="str">
        <f>IF('CCUS Projects Database'!$W277&lt;&gt;"",HYPERLINK('CCUS Projects Database'!$W277,"Link 6"),"")</f>
        <v/>
      </c>
      <c r="AE277" s="239" t="str">
        <f>IF('CCUS Projects Database'!$X277&lt;&gt;"",HYPERLINK('CCUS Projects Database'!$X277,"Link 7"),"")</f>
        <v/>
      </c>
    </row>
    <row r="278" ht="14.25" customHeight="1">
      <c r="A278" s="233" t="s">
        <v>19878</v>
      </c>
      <c r="B278" s="234">
        <v>334.0</v>
      </c>
      <c r="C278" s="234" t="s">
        <v>18586</v>
      </c>
      <c r="D278" s="235" t="s">
        <v>19879</v>
      </c>
      <c r="E278" s="234" t="s">
        <v>18623</v>
      </c>
      <c r="F278" s="234">
        <v>2017.0</v>
      </c>
      <c r="G278" s="234" t="s">
        <v>18725</v>
      </c>
      <c r="H278" s="234" t="s">
        <v>18725</v>
      </c>
      <c r="I278" s="234" t="s">
        <v>18725</v>
      </c>
      <c r="J278" s="234" t="s">
        <v>18636</v>
      </c>
      <c r="K278" s="236" t="s">
        <v>18725</v>
      </c>
      <c r="L278" s="236">
        <v>3.0</v>
      </c>
      <c r="M278" s="236">
        <v>3.0</v>
      </c>
      <c r="N278" s="234" t="s">
        <v>18623</v>
      </c>
      <c r="O278" s="237" t="s">
        <v>18675</v>
      </c>
      <c r="P278" s="238" t="s">
        <v>19822</v>
      </c>
      <c r="Q278" s="234" t="s">
        <v>18732</v>
      </c>
      <c r="R278" s="238" t="s">
        <v>19202</v>
      </c>
      <c r="S278" s="238" t="s">
        <v>18725</v>
      </c>
      <c r="T278" s="238" t="s">
        <v>18725</v>
      </c>
      <c r="U278" s="238" t="s">
        <v>18725</v>
      </c>
      <c r="V278" s="238" t="s">
        <v>18725</v>
      </c>
      <c r="W278" s="238" t="s">
        <v>18725</v>
      </c>
      <c r="X278" s="238" t="s">
        <v>18725</v>
      </c>
      <c r="Y278" s="239" t="str">
        <f>IF('CCUS Projects Database'!$R278&lt;&gt;"",HYPERLINK('CCUS Projects Database'!$R278,"Link 1"),"")</f>
        <v>Link 1</v>
      </c>
      <c r="Z278" s="239" t="str">
        <f>IF('CCUS Projects Database'!$S278&lt;&gt;"",HYPERLINK('CCUS Projects Database'!$S278,"Link 2"),"")</f>
        <v/>
      </c>
      <c r="AA278" s="239" t="str">
        <f>IF('CCUS Projects Database'!$T278&lt;&gt;"",HYPERLINK('CCUS Projects Database'!$T278,"Link 3"),"")</f>
        <v/>
      </c>
      <c r="AB278" s="239" t="str">
        <f>IF('CCUS Projects Database'!$U278&lt;&gt;"",HYPERLINK('CCUS Projects Database'!$U278,"Link 4"),"")</f>
        <v/>
      </c>
      <c r="AC278" s="239" t="str">
        <f>IF('CCUS Projects Database'!$V278&lt;&gt;"",HYPERLINK('CCUS Projects Database'!$V278,"Link 5"),"")</f>
        <v/>
      </c>
      <c r="AD278" s="239" t="str">
        <f>IF('CCUS Projects Database'!$W278&lt;&gt;"",HYPERLINK('CCUS Projects Database'!$W278,"Link 6"),"")</f>
        <v/>
      </c>
      <c r="AE278" s="239" t="str">
        <f>IF('CCUS Projects Database'!$X278&lt;&gt;"",HYPERLINK('CCUS Projects Database'!$X278,"Link 7"),"")</f>
        <v/>
      </c>
    </row>
    <row r="279" ht="14.25" customHeight="1">
      <c r="A279" s="233" t="s">
        <v>19880</v>
      </c>
      <c r="B279" s="234">
        <v>335.0</v>
      </c>
      <c r="C279" s="234" t="s">
        <v>86</v>
      </c>
      <c r="D279" s="235" t="s">
        <v>19881</v>
      </c>
      <c r="E279" s="234" t="s">
        <v>18623</v>
      </c>
      <c r="F279" s="234">
        <v>2020.0</v>
      </c>
      <c r="G279" s="234">
        <v>2024.0</v>
      </c>
      <c r="H279" s="234">
        <v>2026.0</v>
      </c>
      <c r="I279" s="234" t="s">
        <v>18725</v>
      </c>
      <c r="J279" s="234" t="s">
        <v>18638</v>
      </c>
      <c r="K279" s="236">
        <v>1.0</v>
      </c>
      <c r="L279" s="236">
        <v>0.4</v>
      </c>
      <c r="M279" s="236">
        <v>0.4</v>
      </c>
      <c r="N279" s="234" t="s">
        <v>18623</v>
      </c>
      <c r="O279" s="237" t="s">
        <v>18675</v>
      </c>
      <c r="P279" s="238" t="s">
        <v>19882</v>
      </c>
      <c r="Q279" s="234" t="s">
        <v>18726</v>
      </c>
      <c r="R279" s="238" t="s">
        <v>19883</v>
      </c>
      <c r="S279" s="238" t="s">
        <v>19884</v>
      </c>
      <c r="T279" s="238" t="s">
        <v>19885</v>
      </c>
      <c r="U279" s="238" t="s">
        <v>19871</v>
      </c>
      <c r="V279" s="238" t="s">
        <v>19886</v>
      </c>
      <c r="W279" s="238" t="s">
        <v>19887</v>
      </c>
      <c r="X279" s="238" t="s">
        <v>19888</v>
      </c>
      <c r="Y279" s="239" t="str">
        <f>IF('CCUS Projects Database'!$R279&lt;&gt;"",HYPERLINK('CCUS Projects Database'!$R279,"Link 1"),"")</f>
        <v>Link 1</v>
      </c>
      <c r="Z279" s="239" t="str">
        <f>IF('CCUS Projects Database'!$S279&lt;&gt;"",HYPERLINK('CCUS Projects Database'!$S279,"Link 2"),"")</f>
        <v>Link 2</v>
      </c>
      <c r="AA279" s="239" t="str">
        <f>IF('CCUS Projects Database'!$T279&lt;&gt;"",HYPERLINK('CCUS Projects Database'!$T279,"Link 3"),"")</f>
        <v>Link 3</v>
      </c>
      <c r="AB279" s="239" t="str">
        <f>IF('CCUS Projects Database'!$U279&lt;&gt;"",HYPERLINK('CCUS Projects Database'!$U279,"Link 4"),"")</f>
        <v>Link 4</v>
      </c>
      <c r="AC279" s="239" t="str">
        <f>IF('CCUS Projects Database'!$V279&lt;&gt;"",HYPERLINK('CCUS Projects Database'!$V279,"Link 5"),"")</f>
        <v>Link 5</v>
      </c>
      <c r="AD279" s="239" t="str">
        <f>IF('CCUS Projects Database'!$W279&lt;&gt;"",HYPERLINK('CCUS Projects Database'!$W279,"Link 6"),"")</f>
        <v>Link 6</v>
      </c>
      <c r="AE279" s="239" t="str">
        <f>IF('CCUS Projects Database'!$X279&lt;&gt;"",HYPERLINK('CCUS Projects Database'!$X279,"Link 7"),"")</f>
        <v>Link 7</v>
      </c>
    </row>
    <row r="280" ht="14.25" customHeight="1">
      <c r="A280" s="233" t="s">
        <v>19889</v>
      </c>
      <c r="B280" s="234">
        <v>336.0</v>
      </c>
      <c r="C280" s="234" t="s">
        <v>86</v>
      </c>
      <c r="D280" s="235" t="s">
        <v>19890</v>
      </c>
      <c r="E280" s="234" t="s">
        <v>18623</v>
      </c>
      <c r="F280" s="234">
        <v>2020.0</v>
      </c>
      <c r="G280" s="234" t="s">
        <v>18725</v>
      </c>
      <c r="H280" s="234">
        <v>2030.0</v>
      </c>
      <c r="I280" s="234" t="s">
        <v>18725</v>
      </c>
      <c r="J280" s="234" t="s">
        <v>18636</v>
      </c>
      <c r="K280" s="236">
        <v>2.0</v>
      </c>
      <c r="L280" s="236">
        <v>7.6</v>
      </c>
      <c r="M280" s="236">
        <v>7.6</v>
      </c>
      <c r="N280" s="234" t="s">
        <v>18623</v>
      </c>
      <c r="O280" s="237" t="s">
        <v>18675</v>
      </c>
      <c r="P280" s="238" t="s">
        <v>19882</v>
      </c>
      <c r="Q280" s="234" t="s">
        <v>18726</v>
      </c>
      <c r="R280" s="238" t="s">
        <v>19883</v>
      </c>
      <c r="S280" s="238" t="s">
        <v>19884</v>
      </c>
      <c r="T280" s="238" t="s">
        <v>19885</v>
      </c>
      <c r="U280" s="238" t="s">
        <v>19871</v>
      </c>
      <c r="V280" s="238" t="s">
        <v>19886</v>
      </c>
      <c r="W280" s="238" t="s">
        <v>19887</v>
      </c>
      <c r="X280" s="238" t="s">
        <v>19888</v>
      </c>
      <c r="Y280" s="239" t="str">
        <f>IF('CCUS Projects Database'!$R280&lt;&gt;"",HYPERLINK('CCUS Projects Database'!$R280,"Link 1"),"")</f>
        <v>Link 1</v>
      </c>
      <c r="Z280" s="239" t="str">
        <f>IF('CCUS Projects Database'!$S280&lt;&gt;"",HYPERLINK('CCUS Projects Database'!$S280,"Link 2"),"")</f>
        <v>Link 2</v>
      </c>
      <c r="AA280" s="239" t="str">
        <f>IF('CCUS Projects Database'!$T280&lt;&gt;"",HYPERLINK('CCUS Projects Database'!$T280,"Link 3"),"")</f>
        <v>Link 3</v>
      </c>
      <c r="AB280" s="239" t="str">
        <f>IF('CCUS Projects Database'!$U280&lt;&gt;"",HYPERLINK('CCUS Projects Database'!$U280,"Link 4"),"")</f>
        <v>Link 4</v>
      </c>
      <c r="AC280" s="239" t="str">
        <f>IF('CCUS Projects Database'!$V280&lt;&gt;"",HYPERLINK('CCUS Projects Database'!$V280,"Link 5"),"")</f>
        <v>Link 5</v>
      </c>
      <c r="AD280" s="239" t="str">
        <f>IF('CCUS Projects Database'!$W280&lt;&gt;"",HYPERLINK('CCUS Projects Database'!$W280,"Link 6"),"")</f>
        <v>Link 6</v>
      </c>
      <c r="AE280" s="239" t="str">
        <f>IF('CCUS Projects Database'!$X280&lt;&gt;"",HYPERLINK('CCUS Projects Database'!$X280,"Link 7"),"")</f>
        <v>Link 7</v>
      </c>
    </row>
    <row r="281" ht="14.25" customHeight="1">
      <c r="A281" s="233" t="s">
        <v>19891</v>
      </c>
      <c r="B281" s="234">
        <v>337.0</v>
      </c>
      <c r="C281" s="234" t="s">
        <v>18586</v>
      </c>
      <c r="D281" s="235" t="s">
        <v>19892</v>
      </c>
      <c r="E281" s="234" t="s">
        <v>18616</v>
      </c>
      <c r="F281" s="234">
        <v>2018.0</v>
      </c>
      <c r="G281" s="234" t="s">
        <v>18725</v>
      </c>
      <c r="H281" s="234">
        <v>2026.0</v>
      </c>
      <c r="I281" s="234" t="s">
        <v>18725</v>
      </c>
      <c r="J281" s="234" t="s">
        <v>18636</v>
      </c>
      <c r="K281" s="236" t="s">
        <v>18725</v>
      </c>
      <c r="L281" s="236">
        <v>0.35</v>
      </c>
      <c r="M281" s="236">
        <v>0.35</v>
      </c>
      <c r="N281" s="234" t="s">
        <v>12270</v>
      </c>
      <c r="O281" s="237" t="s">
        <v>18675</v>
      </c>
      <c r="P281" s="238" t="s">
        <v>18725</v>
      </c>
      <c r="Q281" s="234" t="s">
        <v>18732</v>
      </c>
      <c r="R281" s="238" t="s">
        <v>19893</v>
      </c>
      <c r="S281" s="238" t="s">
        <v>18725</v>
      </c>
      <c r="T281" s="238" t="s">
        <v>18725</v>
      </c>
      <c r="U281" s="238" t="s">
        <v>18725</v>
      </c>
      <c r="V281" s="238" t="s">
        <v>18725</v>
      </c>
      <c r="W281" s="238" t="s">
        <v>18725</v>
      </c>
      <c r="X281" s="238" t="s">
        <v>18725</v>
      </c>
      <c r="Y281" s="239" t="str">
        <f>IF('CCUS Projects Database'!$R281&lt;&gt;"",HYPERLINK('CCUS Projects Database'!$R281,"Link 1"),"")</f>
        <v>Link 1</v>
      </c>
      <c r="Z281" s="239" t="str">
        <f>IF('CCUS Projects Database'!$S281&lt;&gt;"",HYPERLINK('CCUS Projects Database'!$S281,"Link 2"),"")</f>
        <v/>
      </c>
      <c r="AA281" s="239" t="str">
        <f>IF('CCUS Projects Database'!$T281&lt;&gt;"",HYPERLINK('CCUS Projects Database'!$T281,"Link 3"),"")</f>
        <v/>
      </c>
      <c r="AB281" s="239" t="str">
        <f>IF('CCUS Projects Database'!$U281&lt;&gt;"",HYPERLINK('CCUS Projects Database'!$U281,"Link 4"),"")</f>
        <v/>
      </c>
      <c r="AC281" s="239" t="str">
        <f>IF('CCUS Projects Database'!$V281&lt;&gt;"",HYPERLINK('CCUS Projects Database'!$V281,"Link 5"),"")</f>
        <v/>
      </c>
      <c r="AD281" s="239" t="str">
        <f>IF('CCUS Projects Database'!$W281&lt;&gt;"",HYPERLINK('CCUS Projects Database'!$W281,"Link 6"),"")</f>
        <v/>
      </c>
      <c r="AE281" s="239" t="str">
        <f>IF('CCUS Projects Database'!$X281&lt;&gt;"",HYPERLINK('CCUS Projects Database'!$X281,"Link 7"),"")</f>
        <v/>
      </c>
    </row>
    <row r="282" ht="14.25" customHeight="1">
      <c r="A282" s="233" t="s">
        <v>19894</v>
      </c>
      <c r="B282" s="234">
        <v>338.0</v>
      </c>
      <c r="C282" s="234" t="s">
        <v>18586</v>
      </c>
      <c r="D282" s="235" t="s">
        <v>19895</v>
      </c>
      <c r="E282" s="234" t="s">
        <v>18616</v>
      </c>
      <c r="F282" s="234">
        <v>2018.0</v>
      </c>
      <c r="G282" s="234" t="s">
        <v>18725</v>
      </c>
      <c r="H282" s="234">
        <v>2026.0</v>
      </c>
      <c r="I282" s="234" t="s">
        <v>18725</v>
      </c>
      <c r="J282" s="234" t="s">
        <v>18636</v>
      </c>
      <c r="K282" s="236" t="s">
        <v>18725</v>
      </c>
      <c r="L282" s="236">
        <v>0.35</v>
      </c>
      <c r="M282" s="236">
        <v>0.35</v>
      </c>
      <c r="N282" s="234" t="s">
        <v>12270</v>
      </c>
      <c r="O282" s="237" t="s">
        <v>18677</v>
      </c>
      <c r="P282" s="238" t="s">
        <v>18725</v>
      </c>
      <c r="Q282" s="234" t="s">
        <v>18732</v>
      </c>
      <c r="R282" s="238" t="s">
        <v>19893</v>
      </c>
      <c r="S282" s="238" t="s">
        <v>18725</v>
      </c>
      <c r="T282" s="238" t="s">
        <v>18725</v>
      </c>
      <c r="U282" s="238" t="s">
        <v>18725</v>
      </c>
      <c r="V282" s="238" t="s">
        <v>18725</v>
      </c>
      <c r="W282" s="238" t="s">
        <v>18725</v>
      </c>
      <c r="X282" s="238" t="s">
        <v>18725</v>
      </c>
      <c r="Y282" s="239" t="str">
        <f>IF('CCUS Projects Database'!$R282&lt;&gt;"",HYPERLINK('CCUS Projects Database'!$R282,"Link 1"),"")</f>
        <v>Link 1</v>
      </c>
      <c r="Z282" s="239" t="str">
        <f>IF('CCUS Projects Database'!$S282&lt;&gt;"",HYPERLINK('CCUS Projects Database'!$S282,"Link 2"),"")</f>
        <v/>
      </c>
      <c r="AA282" s="239" t="str">
        <f>IF('CCUS Projects Database'!$T282&lt;&gt;"",HYPERLINK('CCUS Projects Database'!$T282,"Link 3"),"")</f>
        <v/>
      </c>
      <c r="AB282" s="239" t="str">
        <f>IF('CCUS Projects Database'!$U282&lt;&gt;"",HYPERLINK('CCUS Projects Database'!$U282,"Link 4"),"")</f>
        <v/>
      </c>
      <c r="AC282" s="239" t="str">
        <f>IF('CCUS Projects Database'!$V282&lt;&gt;"",HYPERLINK('CCUS Projects Database'!$V282,"Link 5"),"")</f>
        <v/>
      </c>
      <c r="AD282" s="239" t="str">
        <f>IF('CCUS Projects Database'!$W282&lt;&gt;"",HYPERLINK('CCUS Projects Database'!$W282,"Link 6"),"")</f>
        <v/>
      </c>
      <c r="AE282" s="239" t="str">
        <f>IF('CCUS Projects Database'!$X282&lt;&gt;"",HYPERLINK('CCUS Projects Database'!$X282,"Link 7"),"")</f>
        <v/>
      </c>
    </row>
    <row r="283" ht="14.25" customHeight="1">
      <c r="A283" s="233" t="s">
        <v>19896</v>
      </c>
      <c r="B283" s="234">
        <v>339.0</v>
      </c>
      <c r="C283" s="234" t="s">
        <v>18586</v>
      </c>
      <c r="D283" s="235" t="s">
        <v>19897</v>
      </c>
      <c r="E283" s="234" t="s">
        <v>18616</v>
      </c>
      <c r="F283" s="234">
        <v>2022.0</v>
      </c>
      <c r="G283" s="234" t="s">
        <v>18725</v>
      </c>
      <c r="H283" s="234" t="s">
        <v>18725</v>
      </c>
      <c r="I283" s="234" t="s">
        <v>18725</v>
      </c>
      <c r="J283" s="234" t="s">
        <v>18636</v>
      </c>
      <c r="K283" s="236" t="s">
        <v>18725</v>
      </c>
      <c r="L283" s="236" t="s">
        <v>18725</v>
      </c>
      <c r="M283" s="236" t="s">
        <v>18725</v>
      </c>
      <c r="N283" s="234" t="s">
        <v>18731</v>
      </c>
      <c r="O283" s="237" t="s">
        <v>18683</v>
      </c>
      <c r="P283" s="238" t="s">
        <v>18725</v>
      </c>
      <c r="Q283" s="234" t="s">
        <v>18732</v>
      </c>
      <c r="R283" s="238" t="s">
        <v>18725</v>
      </c>
      <c r="S283" s="238" t="s">
        <v>18725</v>
      </c>
      <c r="T283" s="238" t="s">
        <v>18725</v>
      </c>
      <c r="U283" s="238" t="s">
        <v>18725</v>
      </c>
      <c r="V283" s="238" t="s">
        <v>18725</v>
      </c>
      <c r="W283" s="238" t="s">
        <v>18725</v>
      </c>
      <c r="X283" s="238" t="s">
        <v>18725</v>
      </c>
      <c r="Y283" s="239" t="str">
        <f>IF('CCUS Projects Database'!$R283&lt;&gt;"",HYPERLINK('CCUS Projects Database'!$R283,"Link 1"),"")</f>
        <v/>
      </c>
      <c r="Z283" s="239" t="str">
        <f>IF('CCUS Projects Database'!$S283&lt;&gt;"",HYPERLINK('CCUS Projects Database'!$S283,"Link 2"),"")</f>
        <v/>
      </c>
      <c r="AA283" s="239" t="str">
        <f>IF('CCUS Projects Database'!$T283&lt;&gt;"",HYPERLINK('CCUS Projects Database'!$T283,"Link 3"),"")</f>
        <v/>
      </c>
      <c r="AB283" s="239" t="str">
        <f>IF('CCUS Projects Database'!$U283&lt;&gt;"",HYPERLINK('CCUS Projects Database'!$U283,"Link 4"),"")</f>
        <v/>
      </c>
      <c r="AC283" s="239" t="str">
        <f>IF('CCUS Projects Database'!$V283&lt;&gt;"",HYPERLINK('CCUS Projects Database'!$V283,"Link 5"),"")</f>
        <v/>
      </c>
      <c r="AD283" s="239" t="str">
        <f>IF('CCUS Projects Database'!$W283&lt;&gt;"",HYPERLINK('CCUS Projects Database'!$W283,"Link 6"),"")</f>
        <v/>
      </c>
      <c r="AE283" s="239" t="str">
        <f>IF('CCUS Projects Database'!$X283&lt;&gt;"",HYPERLINK('CCUS Projects Database'!$X283,"Link 7"),"")</f>
        <v/>
      </c>
    </row>
    <row r="284" ht="14.25" customHeight="1">
      <c r="A284" s="233" t="s">
        <v>19898</v>
      </c>
      <c r="B284" s="234">
        <v>340.0</v>
      </c>
      <c r="C284" s="234" t="s">
        <v>18507</v>
      </c>
      <c r="D284" s="235" t="s">
        <v>19899</v>
      </c>
      <c r="E284" s="234" t="s">
        <v>18616</v>
      </c>
      <c r="F284" s="234">
        <v>2018.0</v>
      </c>
      <c r="G284" s="234" t="s">
        <v>18725</v>
      </c>
      <c r="H284" s="234" t="s">
        <v>18725</v>
      </c>
      <c r="I284" s="234" t="s">
        <v>18725</v>
      </c>
      <c r="J284" s="234" t="s">
        <v>18636</v>
      </c>
      <c r="K284" s="236" t="s">
        <v>18725</v>
      </c>
      <c r="L284" s="236">
        <v>1.0</v>
      </c>
      <c r="M284" s="236">
        <v>1.0</v>
      </c>
      <c r="N284" s="234" t="s">
        <v>18731</v>
      </c>
      <c r="O284" s="237" t="s">
        <v>18683</v>
      </c>
      <c r="P284" s="238" t="s">
        <v>18725</v>
      </c>
      <c r="Q284" s="234" t="s">
        <v>18762</v>
      </c>
      <c r="R284" s="238" t="s">
        <v>19900</v>
      </c>
      <c r="S284" s="238" t="s">
        <v>16463</v>
      </c>
      <c r="T284" s="238" t="s">
        <v>18725</v>
      </c>
      <c r="U284" s="238" t="s">
        <v>18725</v>
      </c>
      <c r="V284" s="238" t="s">
        <v>18725</v>
      </c>
      <c r="W284" s="238" t="s">
        <v>18725</v>
      </c>
      <c r="X284" s="238" t="s">
        <v>18725</v>
      </c>
      <c r="Y284" s="239" t="str">
        <f>IF('CCUS Projects Database'!$R284&lt;&gt;"",HYPERLINK('CCUS Projects Database'!$R284,"Link 1"),"")</f>
        <v>Link 1</v>
      </c>
      <c r="Z284" s="239" t="str">
        <f>IF('CCUS Projects Database'!$S284&lt;&gt;"",HYPERLINK('CCUS Projects Database'!$S284,"Link 2"),"")</f>
        <v>Link 2</v>
      </c>
      <c r="AA284" s="239" t="str">
        <f>IF('CCUS Projects Database'!$T284&lt;&gt;"",HYPERLINK('CCUS Projects Database'!$T284,"Link 3"),"")</f>
        <v/>
      </c>
      <c r="AB284" s="239" t="str">
        <f>IF('CCUS Projects Database'!$U284&lt;&gt;"",HYPERLINK('CCUS Projects Database'!$U284,"Link 4"),"")</f>
        <v/>
      </c>
      <c r="AC284" s="239" t="str">
        <f>IF('CCUS Projects Database'!$V284&lt;&gt;"",HYPERLINK('CCUS Projects Database'!$V284,"Link 5"),"")</f>
        <v/>
      </c>
      <c r="AD284" s="239" t="str">
        <f>IF('CCUS Projects Database'!$W284&lt;&gt;"",HYPERLINK('CCUS Projects Database'!$W284,"Link 6"),"")</f>
        <v/>
      </c>
      <c r="AE284" s="239" t="str">
        <f>IF('CCUS Projects Database'!$X284&lt;&gt;"",HYPERLINK('CCUS Projects Database'!$X284,"Link 7"),"")</f>
        <v/>
      </c>
    </row>
    <row r="285" ht="14.25" customHeight="1">
      <c r="A285" s="233" t="s">
        <v>19901</v>
      </c>
      <c r="B285" s="234">
        <v>341.0</v>
      </c>
      <c r="C285" s="234" t="s">
        <v>18586</v>
      </c>
      <c r="D285" s="235" t="s">
        <v>19902</v>
      </c>
      <c r="E285" s="234" t="s">
        <v>18618</v>
      </c>
      <c r="F285" s="234">
        <v>2018.0</v>
      </c>
      <c r="G285" s="234">
        <v>2025.0</v>
      </c>
      <c r="H285" s="234">
        <v>2028.0</v>
      </c>
      <c r="I285" s="234" t="s">
        <v>18725</v>
      </c>
      <c r="J285" s="234" t="s">
        <v>18636</v>
      </c>
      <c r="K285" s="236" t="s">
        <v>18725</v>
      </c>
      <c r="L285" s="236" t="s">
        <v>19903</v>
      </c>
      <c r="M285" s="236">
        <v>4.0</v>
      </c>
      <c r="N285" s="234" t="s">
        <v>18654</v>
      </c>
      <c r="O285" s="237" t="s">
        <v>18675</v>
      </c>
      <c r="P285" s="238" t="s">
        <v>19904</v>
      </c>
      <c r="Q285" s="234" t="s">
        <v>18732</v>
      </c>
      <c r="R285" s="238" t="s">
        <v>19905</v>
      </c>
      <c r="S285" s="238" t="s">
        <v>19906</v>
      </c>
      <c r="T285" s="238" t="s">
        <v>19907</v>
      </c>
      <c r="U285" s="238" t="s">
        <v>19908</v>
      </c>
      <c r="V285" s="238" t="s">
        <v>19909</v>
      </c>
      <c r="W285" s="238" t="s">
        <v>19910</v>
      </c>
      <c r="X285" s="238" t="s">
        <v>18725</v>
      </c>
      <c r="Y285" s="239" t="str">
        <f>IF('CCUS Projects Database'!$R285&lt;&gt;"",HYPERLINK('CCUS Projects Database'!$R285,"Link 1"),"")</f>
        <v>Link 1</v>
      </c>
      <c r="Z285" s="239" t="str">
        <f>IF('CCUS Projects Database'!$S285&lt;&gt;"",HYPERLINK('CCUS Projects Database'!$S285,"Link 2"),"")</f>
        <v>Link 2</v>
      </c>
      <c r="AA285" s="239" t="str">
        <f>IF('CCUS Projects Database'!$T285&lt;&gt;"",HYPERLINK('CCUS Projects Database'!$T285,"Link 3"),"")</f>
        <v>Link 3</v>
      </c>
      <c r="AB285" s="239" t="str">
        <f>IF('CCUS Projects Database'!$U285&lt;&gt;"",HYPERLINK('CCUS Projects Database'!$U285,"Link 4"),"")</f>
        <v>Link 4</v>
      </c>
      <c r="AC285" s="239" t="str">
        <f>IF('CCUS Projects Database'!$V285&lt;&gt;"",HYPERLINK('CCUS Projects Database'!$V285,"Link 5"),"")</f>
        <v>Link 5</v>
      </c>
      <c r="AD285" s="239" t="str">
        <f>IF('CCUS Projects Database'!$W285&lt;&gt;"",HYPERLINK('CCUS Projects Database'!$W285,"Link 6"),"")</f>
        <v>Link 6</v>
      </c>
      <c r="AE285" s="239" t="str">
        <f>IF('CCUS Projects Database'!$X285&lt;&gt;"",HYPERLINK('CCUS Projects Database'!$X285,"Link 7"),"")</f>
        <v/>
      </c>
    </row>
    <row r="286" ht="14.25" customHeight="1">
      <c r="A286" s="233" t="s">
        <v>19911</v>
      </c>
      <c r="B286" s="234">
        <v>342.0</v>
      </c>
      <c r="C286" s="234" t="s">
        <v>18287</v>
      </c>
      <c r="D286" s="235" t="s">
        <v>19912</v>
      </c>
      <c r="E286" s="234" t="s">
        <v>18616</v>
      </c>
      <c r="F286" s="234">
        <v>2021.0</v>
      </c>
      <c r="G286" s="234" t="s">
        <v>18725</v>
      </c>
      <c r="H286" s="234">
        <v>2028.0</v>
      </c>
      <c r="I286" s="234" t="s">
        <v>18725</v>
      </c>
      <c r="J286" s="234" t="s">
        <v>18636</v>
      </c>
      <c r="K286" s="236" t="s">
        <v>18725</v>
      </c>
      <c r="L286" s="236" t="s">
        <v>18725</v>
      </c>
      <c r="M286" s="236" t="s">
        <v>18725</v>
      </c>
      <c r="N286" s="234" t="s">
        <v>18731</v>
      </c>
      <c r="O286" s="237" t="s">
        <v>18683</v>
      </c>
      <c r="P286" s="238" t="s">
        <v>18725</v>
      </c>
      <c r="Q286" s="234" t="s">
        <v>18856</v>
      </c>
      <c r="R286" s="238" t="s">
        <v>16263</v>
      </c>
      <c r="S286" s="238" t="s">
        <v>18864</v>
      </c>
      <c r="T286" s="238" t="s">
        <v>18725</v>
      </c>
      <c r="U286" s="238" t="s">
        <v>18725</v>
      </c>
      <c r="V286" s="238" t="s">
        <v>18725</v>
      </c>
      <c r="W286" s="238" t="s">
        <v>18725</v>
      </c>
      <c r="X286" s="238" t="s">
        <v>18725</v>
      </c>
      <c r="Y286" s="239" t="str">
        <f>IF('CCUS Projects Database'!$R286&lt;&gt;"",HYPERLINK('CCUS Projects Database'!$R286,"Link 1"),"")</f>
        <v>Link 1</v>
      </c>
      <c r="Z286" s="239" t="str">
        <f>IF('CCUS Projects Database'!$S286&lt;&gt;"",HYPERLINK('CCUS Projects Database'!$S286,"Link 2"),"")</f>
        <v>Link 2</v>
      </c>
      <c r="AA286" s="239" t="str">
        <f>IF('CCUS Projects Database'!$T286&lt;&gt;"",HYPERLINK('CCUS Projects Database'!$T286,"Link 3"),"")</f>
        <v/>
      </c>
      <c r="AB286" s="239" t="str">
        <f>IF('CCUS Projects Database'!$U286&lt;&gt;"",HYPERLINK('CCUS Projects Database'!$U286,"Link 4"),"")</f>
        <v/>
      </c>
      <c r="AC286" s="239" t="str">
        <f>IF('CCUS Projects Database'!$V286&lt;&gt;"",HYPERLINK('CCUS Projects Database'!$V286,"Link 5"),"")</f>
        <v/>
      </c>
      <c r="AD286" s="239" t="str">
        <f>IF('CCUS Projects Database'!$W286&lt;&gt;"",HYPERLINK('CCUS Projects Database'!$W286,"Link 6"),"")</f>
        <v/>
      </c>
      <c r="AE286" s="239" t="str">
        <f>IF('CCUS Projects Database'!$X286&lt;&gt;"",HYPERLINK('CCUS Projects Database'!$X286,"Link 7"),"")</f>
        <v/>
      </c>
    </row>
    <row r="287" ht="14.25" customHeight="1">
      <c r="A287" s="233" t="s">
        <v>19913</v>
      </c>
      <c r="B287" s="234">
        <v>343.0</v>
      </c>
      <c r="C287" s="234" t="s">
        <v>120</v>
      </c>
      <c r="D287" s="235" t="s">
        <v>19914</v>
      </c>
      <c r="E287" s="234" t="s">
        <v>18623</v>
      </c>
      <c r="F287" s="234">
        <v>2021.0</v>
      </c>
      <c r="G287" s="234">
        <v>2025.0</v>
      </c>
      <c r="H287" s="234">
        <v>2030.0</v>
      </c>
      <c r="I287" s="234" t="s">
        <v>18725</v>
      </c>
      <c r="J287" s="234" t="s">
        <v>18636</v>
      </c>
      <c r="K287" s="236">
        <v>1.0</v>
      </c>
      <c r="L287" s="236">
        <v>1.0</v>
      </c>
      <c r="M287" s="236">
        <v>1.0</v>
      </c>
      <c r="N287" s="234" t="s">
        <v>18623</v>
      </c>
      <c r="O287" s="237" t="s">
        <v>18675</v>
      </c>
      <c r="P287" s="238" t="s">
        <v>19915</v>
      </c>
      <c r="Q287" s="234" t="s">
        <v>18726</v>
      </c>
      <c r="R287" s="238" t="s">
        <v>19916</v>
      </c>
      <c r="S287" s="238" t="s">
        <v>18725</v>
      </c>
      <c r="T287" s="238" t="s">
        <v>18725</v>
      </c>
      <c r="U287" s="238" t="s">
        <v>18725</v>
      </c>
      <c r="V287" s="238" t="s">
        <v>18725</v>
      </c>
      <c r="W287" s="238" t="s">
        <v>18725</v>
      </c>
      <c r="X287" s="238" t="s">
        <v>18725</v>
      </c>
      <c r="Y287" s="239" t="str">
        <f>IF('CCUS Projects Database'!$R287&lt;&gt;"",HYPERLINK('CCUS Projects Database'!$R287,"Link 1"),"")</f>
        <v>Link 1</v>
      </c>
      <c r="Z287" s="239" t="str">
        <f>IF('CCUS Projects Database'!$S287&lt;&gt;"",HYPERLINK('CCUS Projects Database'!$S287,"Link 2"),"")</f>
        <v/>
      </c>
      <c r="AA287" s="239" t="str">
        <f>IF('CCUS Projects Database'!$T287&lt;&gt;"",HYPERLINK('CCUS Projects Database'!$T287,"Link 3"),"")</f>
        <v/>
      </c>
      <c r="AB287" s="239" t="str">
        <f>IF('CCUS Projects Database'!$U287&lt;&gt;"",HYPERLINK('CCUS Projects Database'!$U287,"Link 4"),"")</f>
        <v/>
      </c>
      <c r="AC287" s="239" t="str">
        <f>IF('CCUS Projects Database'!$V287&lt;&gt;"",HYPERLINK('CCUS Projects Database'!$V287,"Link 5"),"")</f>
        <v/>
      </c>
      <c r="AD287" s="239" t="str">
        <f>IF('CCUS Projects Database'!$W287&lt;&gt;"",HYPERLINK('CCUS Projects Database'!$W287,"Link 6"),"")</f>
        <v/>
      </c>
      <c r="AE287" s="239" t="str">
        <f>IF('CCUS Projects Database'!$X287&lt;&gt;"",HYPERLINK('CCUS Projects Database'!$X287,"Link 7"),"")</f>
        <v/>
      </c>
    </row>
    <row r="288" ht="14.25" customHeight="1">
      <c r="A288" s="233" t="s">
        <v>19917</v>
      </c>
      <c r="B288" s="234">
        <v>344.0</v>
      </c>
      <c r="C288" s="234" t="s">
        <v>18524</v>
      </c>
      <c r="D288" s="235" t="s">
        <v>19918</v>
      </c>
      <c r="E288" s="234" t="s">
        <v>18616</v>
      </c>
      <c r="F288" s="234">
        <v>2019.0</v>
      </c>
      <c r="G288" s="234" t="s">
        <v>18725</v>
      </c>
      <c r="H288" s="234">
        <v>2019.0</v>
      </c>
      <c r="I288" s="234" t="s">
        <v>18725</v>
      </c>
      <c r="J288" s="234" t="s">
        <v>12385</v>
      </c>
      <c r="K288" s="236" t="s">
        <v>18725</v>
      </c>
      <c r="L288" s="236" t="s">
        <v>19919</v>
      </c>
      <c r="M288" s="236">
        <v>2.1</v>
      </c>
      <c r="N288" s="234" t="s">
        <v>18656</v>
      </c>
      <c r="O288" s="237" t="s">
        <v>18675</v>
      </c>
      <c r="P288" s="238" t="s">
        <v>18725</v>
      </c>
      <c r="Q288" s="234" t="s">
        <v>18293</v>
      </c>
      <c r="R288" s="238" t="s">
        <v>19920</v>
      </c>
      <c r="S288" s="238" t="s">
        <v>19921</v>
      </c>
      <c r="T288" s="238" t="s">
        <v>18725</v>
      </c>
      <c r="U288" s="238" t="s">
        <v>18725</v>
      </c>
      <c r="V288" s="238" t="s">
        <v>18725</v>
      </c>
      <c r="W288" s="238" t="s">
        <v>18725</v>
      </c>
      <c r="X288" s="238" t="s">
        <v>18725</v>
      </c>
      <c r="Y288" s="239" t="str">
        <f>IF('CCUS Projects Database'!$R288&lt;&gt;"",HYPERLINK('CCUS Projects Database'!$R288,"Link 1"),"")</f>
        <v>Link 1</v>
      </c>
      <c r="Z288" s="239" t="str">
        <f>IF('CCUS Projects Database'!$S288&lt;&gt;"",HYPERLINK('CCUS Projects Database'!$S288,"Link 2"),"")</f>
        <v>Link 2</v>
      </c>
      <c r="AA288" s="239" t="str">
        <f>IF('CCUS Projects Database'!$T288&lt;&gt;"",HYPERLINK('CCUS Projects Database'!$T288,"Link 3"),"")</f>
        <v/>
      </c>
      <c r="AB288" s="239" t="str">
        <f>IF('CCUS Projects Database'!$U288&lt;&gt;"",HYPERLINK('CCUS Projects Database'!$U288,"Link 4"),"")</f>
        <v/>
      </c>
      <c r="AC288" s="239" t="str">
        <f>IF('CCUS Projects Database'!$V288&lt;&gt;"",HYPERLINK('CCUS Projects Database'!$V288,"Link 5"),"")</f>
        <v/>
      </c>
      <c r="AD288" s="239" t="str">
        <f>IF('CCUS Projects Database'!$W288&lt;&gt;"",HYPERLINK('CCUS Projects Database'!$W288,"Link 6"),"")</f>
        <v/>
      </c>
      <c r="AE288" s="239" t="str">
        <f>IF('CCUS Projects Database'!$X288&lt;&gt;"",HYPERLINK('CCUS Projects Database'!$X288,"Link 7"),"")</f>
        <v/>
      </c>
    </row>
    <row r="289" ht="14.25" customHeight="1">
      <c r="A289" s="233" t="s">
        <v>19922</v>
      </c>
      <c r="B289" s="234">
        <v>345.0</v>
      </c>
      <c r="C289" s="234" t="s">
        <v>18524</v>
      </c>
      <c r="D289" s="235" t="s">
        <v>19923</v>
      </c>
      <c r="E289" s="234" t="s">
        <v>18616</v>
      </c>
      <c r="F289" s="234">
        <v>2018.0</v>
      </c>
      <c r="G289" s="234">
        <v>2021.0</v>
      </c>
      <c r="H289" s="234">
        <v>2025.0</v>
      </c>
      <c r="I289" s="234" t="s">
        <v>18725</v>
      </c>
      <c r="J289" s="234" t="s">
        <v>18638</v>
      </c>
      <c r="K289" s="236" t="s">
        <v>18725</v>
      </c>
      <c r="L289" s="236" t="s">
        <v>19924</v>
      </c>
      <c r="M289" s="236">
        <v>4.3</v>
      </c>
      <c r="N289" s="234" t="s">
        <v>18656</v>
      </c>
      <c r="O289" s="237" t="s">
        <v>18675</v>
      </c>
      <c r="P289" s="238" t="s">
        <v>18725</v>
      </c>
      <c r="Q289" s="234" t="s">
        <v>18293</v>
      </c>
      <c r="R289" s="238" t="s">
        <v>19925</v>
      </c>
      <c r="S289" s="238" t="s">
        <v>19926</v>
      </c>
      <c r="T289" s="238" t="s">
        <v>19927</v>
      </c>
      <c r="U289" s="238" t="s">
        <v>19928</v>
      </c>
      <c r="V289" s="238" t="s">
        <v>18725</v>
      </c>
      <c r="W289" s="238" t="s">
        <v>18725</v>
      </c>
      <c r="X289" s="238" t="s">
        <v>18725</v>
      </c>
      <c r="Y289" s="239" t="str">
        <f>IF('CCUS Projects Database'!$R289&lt;&gt;"",HYPERLINK('CCUS Projects Database'!$R289,"Link 1"),"")</f>
        <v>Link 1</v>
      </c>
      <c r="Z289" s="239" t="str">
        <f>IF('CCUS Projects Database'!$S289&lt;&gt;"",HYPERLINK('CCUS Projects Database'!$S289,"Link 2"),"")</f>
        <v>Link 2</v>
      </c>
      <c r="AA289" s="239" t="str">
        <f>IF('CCUS Projects Database'!$T289&lt;&gt;"",HYPERLINK('CCUS Projects Database'!$T289,"Link 3"),"")</f>
        <v>Link 3</v>
      </c>
      <c r="AB289" s="239" t="str">
        <f>IF('CCUS Projects Database'!$U289&lt;&gt;"",HYPERLINK('CCUS Projects Database'!$U289,"Link 4"),"")</f>
        <v>Link 4</v>
      </c>
      <c r="AC289" s="239" t="str">
        <f>IF('CCUS Projects Database'!$V289&lt;&gt;"",HYPERLINK('CCUS Projects Database'!$V289,"Link 5"),"")</f>
        <v/>
      </c>
      <c r="AD289" s="239" t="str">
        <f>IF('CCUS Projects Database'!$W289&lt;&gt;"",HYPERLINK('CCUS Projects Database'!$W289,"Link 6"),"")</f>
        <v/>
      </c>
      <c r="AE289" s="239" t="str">
        <f>IF('CCUS Projects Database'!$X289&lt;&gt;"",HYPERLINK('CCUS Projects Database'!$X289,"Link 7"),"")</f>
        <v/>
      </c>
    </row>
    <row r="290" ht="14.25" customHeight="1">
      <c r="A290" s="233" t="s">
        <v>19929</v>
      </c>
      <c r="B290" s="234">
        <v>346.0</v>
      </c>
      <c r="C290" s="234" t="s">
        <v>18586</v>
      </c>
      <c r="D290" s="235" t="s">
        <v>19930</v>
      </c>
      <c r="E290" s="234" t="s">
        <v>18618</v>
      </c>
      <c r="F290" s="234">
        <v>2021.0</v>
      </c>
      <c r="G290" s="234">
        <v>2026.0</v>
      </c>
      <c r="H290" s="234">
        <v>2028.0</v>
      </c>
      <c r="I290" s="234" t="s">
        <v>18725</v>
      </c>
      <c r="J290" s="234" t="s">
        <v>18636</v>
      </c>
      <c r="K290" s="236" t="s">
        <v>18725</v>
      </c>
      <c r="L290" s="236" t="s">
        <v>19931</v>
      </c>
      <c r="M290" s="236">
        <v>0.109</v>
      </c>
      <c r="N290" s="234" t="s">
        <v>12270</v>
      </c>
      <c r="O290" s="237" t="s">
        <v>18675</v>
      </c>
      <c r="P290" s="238" t="s">
        <v>18966</v>
      </c>
      <c r="Q290" s="234" t="s">
        <v>18732</v>
      </c>
      <c r="R290" s="238" t="s">
        <v>19109</v>
      </c>
      <c r="S290" s="238" t="s">
        <v>19110</v>
      </c>
      <c r="T290" s="238" t="s">
        <v>19111</v>
      </c>
      <c r="U290" s="238" t="s">
        <v>18725</v>
      </c>
      <c r="V290" s="238" t="s">
        <v>18725</v>
      </c>
      <c r="W290" s="238" t="s">
        <v>18725</v>
      </c>
      <c r="X290" s="238" t="s">
        <v>18725</v>
      </c>
      <c r="Y290" s="239" t="str">
        <f>IF('CCUS Projects Database'!$R290&lt;&gt;"",HYPERLINK('CCUS Projects Database'!$R290,"Link 1"),"")</f>
        <v>Link 1</v>
      </c>
      <c r="Z290" s="239" t="str">
        <f>IF('CCUS Projects Database'!$S290&lt;&gt;"",HYPERLINK('CCUS Projects Database'!$S290,"Link 2"),"")</f>
        <v>Link 2</v>
      </c>
      <c r="AA290" s="239" t="str">
        <f>IF('CCUS Projects Database'!$T290&lt;&gt;"",HYPERLINK('CCUS Projects Database'!$T290,"Link 3"),"")</f>
        <v>Link 3</v>
      </c>
      <c r="AB290" s="239" t="str">
        <f>IF('CCUS Projects Database'!$U290&lt;&gt;"",HYPERLINK('CCUS Projects Database'!$U290,"Link 4"),"")</f>
        <v/>
      </c>
      <c r="AC290" s="239" t="str">
        <f>IF('CCUS Projects Database'!$V290&lt;&gt;"",HYPERLINK('CCUS Projects Database'!$V290,"Link 5"),"")</f>
        <v/>
      </c>
      <c r="AD290" s="239" t="str">
        <f>IF('CCUS Projects Database'!$W290&lt;&gt;"",HYPERLINK('CCUS Projects Database'!$W290,"Link 6"),"")</f>
        <v/>
      </c>
      <c r="AE290" s="239" t="str">
        <f>IF('CCUS Projects Database'!$X290&lt;&gt;"",HYPERLINK('CCUS Projects Database'!$X290,"Link 7"),"")</f>
        <v/>
      </c>
    </row>
    <row r="291" ht="14.25" customHeight="1">
      <c r="A291" s="233" t="s">
        <v>19932</v>
      </c>
      <c r="B291" s="234">
        <v>347.0</v>
      </c>
      <c r="C291" s="234" t="s">
        <v>18264</v>
      </c>
      <c r="D291" s="235" t="s">
        <v>19933</v>
      </c>
      <c r="E291" s="234" t="s">
        <v>18616</v>
      </c>
      <c r="F291" s="234">
        <v>2009.0</v>
      </c>
      <c r="G291" s="234">
        <v>2012.0</v>
      </c>
      <c r="H291" s="234">
        <v>2015.0</v>
      </c>
      <c r="I291" s="234" t="s">
        <v>18725</v>
      </c>
      <c r="J291" s="234" t="s">
        <v>12385</v>
      </c>
      <c r="K291" s="236" t="s">
        <v>18725</v>
      </c>
      <c r="L291" s="236" t="s">
        <v>19552</v>
      </c>
      <c r="M291" s="236">
        <v>1.1</v>
      </c>
      <c r="N291" s="234" t="s">
        <v>18661</v>
      </c>
      <c r="O291" s="237" t="s">
        <v>18675</v>
      </c>
      <c r="P291" s="238" t="s">
        <v>18725</v>
      </c>
      <c r="Q291" s="234" t="s">
        <v>18732</v>
      </c>
      <c r="R291" s="238" t="s">
        <v>19934</v>
      </c>
      <c r="S291" s="238" t="s">
        <v>19935</v>
      </c>
      <c r="T291" s="238" t="s">
        <v>19936</v>
      </c>
      <c r="U291" s="238" t="s">
        <v>18725</v>
      </c>
      <c r="V291" s="238" t="s">
        <v>18725</v>
      </c>
      <c r="W291" s="238" t="s">
        <v>18725</v>
      </c>
      <c r="X291" s="238" t="s">
        <v>18725</v>
      </c>
      <c r="Y291" s="239" t="str">
        <f>IF('CCUS Projects Database'!$R291&lt;&gt;"",HYPERLINK('CCUS Projects Database'!$R291,"Link 1"),"")</f>
        <v>Link 1</v>
      </c>
      <c r="Z291" s="239" t="str">
        <f>IF('CCUS Projects Database'!$S291&lt;&gt;"",HYPERLINK('CCUS Projects Database'!$S291,"Link 2"),"")</f>
        <v>Link 2</v>
      </c>
      <c r="AA291" s="239" t="str">
        <f>IF('CCUS Projects Database'!$T291&lt;&gt;"",HYPERLINK('CCUS Projects Database'!$T291,"Link 3"),"")</f>
        <v>Link 3</v>
      </c>
      <c r="AB291" s="239" t="str">
        <f>IF('CCUS Projects Database'!$U291&lt;&gt;"",HYPERLINK('CCUS Projects Database'!$U291,"Link 4"),"")</f>
        <v/>
      </c>
      <c r="AC291" s="239" t="str">
        <f>IF('CCUS Projects Database'!$V291&lt;&gt;"",HYPERLINK('CCUS Projects Database'!$V291,"Link 5"),"")</f>
        <v/>
      </c>
      <c r="AD291" s="239" t="str">
        <f>IF('CCUS Projects Database'!$W291&lt;&gt;"",HYPERLINK('CCUS Projects Database'!$W291,"Link 6"),"")</f>
        <v/>
      </c>
      <c r="AE291" s="239" t="str">
        <f>IF('CCUS Projects Database'!$X291&lt;&gt;"",HYPERLINK('CCUS Projects Database'!$X291,"Link 7"),"")</f>
        <v/>
      </c>
    </row>
    <row r="292" ht="14.25" customHeight="1">
      <c r="A292" s="233" t="s">
        <v>19937</v>
      </c>
      <c r="B292" s="234">
        <v>349.0</v>
      </c>
      <c r="C292" s="234" t="s">
        <v>78</v>
      </c>
      <c r="D292" s="235" t="s">
        <v>19938</v>
      </c>
      <c r="E292" s="234" t="s">
        <v>18623</v>
      </c>
      <c r="F292" s="234">
        <v>2020.0</v>
      </c>
      <c r="G292" s="234">
        <v>2025.0</v>
      </c>
      <c r="H292" s="234">
        <v>2028.0</v>
      </c>
      <c r="I292" s="234" t="s">
        <v>18725</v>
      </c>
      <c r="J292" s="234" t="s">
        <v>18636</v>
      </c>
      <c r="K292" s="236">
        <v>1.0</v>
      </c>
      <c r="L292" s="236">
        <v>4.0</v>
      </c>
      <c r="M292" s="236">
        <v>4.0</v>
      </c>
      <c r="N292" s="234" t="s">
        <v>18623</v>
      </c>
      <c r="O292" s="237" t="s">
        <v>18675</v>
      </c>
      <c r="P292" s="238" t="s">
        <v>19227</v>
      </c>
      <c r="Q292" s="234" t="s">
        <v>18726</v>
      </c>
      <c r="R292" s="238" t="s">
        <v>17245</v>
      </c>
      <c r="S292" s="238" t="s">
        <v>18725</v>
      </c>
      <c r="T292" s="238" t="s">
        <v>18725</v>
      </c>
      <c r="U292" s="238" t="s">
        <v>18725</v>
      </c>
      <c r="V292" s="238" t="s">
        <v>18725</v>
      </c>
      <c r="W292" s="238" t="s">
        <v>18725</v>
      </c>
      <c r="X292" s="238" t="s">
        <v>18725</v>
      </c>
      <c r="Y292" s="239" t="str">
        <f>IF('CCUS Projects Database'!$R292&lt;&gt;"",HYPERLINK('CCUS Projects Database'!$R292,"Link 1"),"")</f>
        <v>Link 1</v>
      </c>
      <c r="Z292" s="239" t="str">
        <f>IF('CCUS Projects Database'!$S292&lt;&gt;"",HYPERLINK('CCUS Projects Database'!$S292,"Link 2"),"")</f>
        <v/>
      </c>
      <c r="AA292" s="239" t="str">
        <f>IF('CCUS Projects Database'!$T292&lt;&gt;"",HYPERLINK('CCUS Projects Database'!$T292,"Link 3"),"")</f>
        <v/>
      </c>
      <c r="AB292" s="239" t="str">
        <f>IF('CCUS Projects Database'!$U292&lt;&gt;"",HYPERLINK('CCUS Projects Database'!$U292,"Link 4"),"")</f>
        <v/>
      </c>
      <c r="AC292" s="239" t="str">
        <f>IF('CCUS Projects Database'!$V292&lt;&gt;"",HYPERLINK('CCUS Projects Database'!$V292,"Link 5"),"")</f>
        <v/>
      </c>
      <c r="AD292" s="239" t="str">
        <f>IF('CCUS Projects Database'!$W292&lt;&gt;"",HYPERLINK('CCUS Projects Database'!$W292,"Link 6"),"")</f>
        <v/>
      </c>
      <c r="AE292" s="239" t="str">
        <f>IF('CCUS Projects Database'!$X292&lt;&gt;"",HYPERLINK('CCUS Projects Database'!$X292,"Link 7"),"")</f>
        <v/>
      </c>
    </row>
    <row r="293" ht="14.25" customHeight="1">
      <c r="A293" s="233" t="s">
        <v>19939</v>
      </c>
      <c r="B293" s="234">
        <v>350.0</v>
      </c>
      <c r="C293" s="234" t="s">
        <v>18586</v>
      </c>
      <c r="D293" s="235" t="s">
        <v>19940</v>
      </c>
      <c r="E293" s="234" t="s">
        <v>18616</v>
      </c>
      <c r="F293" s="234">
        <v>2016.0</v>
      </c>
      <c r="G293" s="234">
        <v>2021.0</v>
      </c>
      <c r="H293" s="234">
        <v>2022.0</v>
      </c>
      <c r="I293" s="234" t="s">
        <v>18725</v>
      </c>
      <c r="J293" s="234" t="s">
        <v>12385</v>
      </c>
      <c r="K293" s="236" t="s">
        <v>18725</v>
      </c>
      <c r="L293" s="236">
        <v>0.18</v>
      </c>
      <c r="M293" s="236">
        <v>0.18</v>
      </c>
      <c r="N293" s="234" t="s">
        <v>12270</v>
      </c>
      <c r="O293" s="237" t="s">
        <v>18675</v>
      </c>
      <c r="P293" s="238" t="s">
        <v>18725</v>
      </c>
      <c r="Q293" s="234" t="s">
        <v>18732</v>
      </c>
      <c r="R293" s="238" t="s">
        <v>19941</v>
      </c>
      <c r="S293" s="238" t="s">
        <v>19942</v>
      </c>
      <c r="T293" s="238" t="s">
        <v>18725</v>
      </c>
      <c r="U293" s="238" t="s">
        <v>18725</v>
      </c>
      <c r="V293" s="238" t="s">
        <v>18725</v>
      </c>
      <c r="W293" s="238" t="s">
        <v>18725</v>
      </c>
      <c r="X293" s="238" t="s">
        <v>18725</v>
      </c>
      <c r="Y293" s="239" t="str">
        <f>IF('CCUS Projects Database'!$R293&lt;&gt;"",HYPERLINK('CCUS Projects Database'!$R293,"Link 1"),"")</f>
        <v>Link 1</v>
      </c>
      <c r="Z293" s="239" t="str">
        <f>IF('CCUS Projects Database'!$S293&lt;&gt;"",HYPERLINK('CCUS Projects Database'!$S293,"Link 2"),"")</f>
        <v>Link 2</v>
      </c>
      <c r="AA293" s="239" t="str">
        <f>IF('CCUS Projects Database'!$T293&lt;&gt;"",HYPERLINK('CCUS Projects Database'!$T293,"Link 3"),"")</f>
        <v/>
      </c>
      <c r="AB293" s="239" t="str">
        <f>IF('CCUS Projects Database'!$U293&lt;&gt;"",HYPERLINK('CCUS Projects Database'!$U293,"Link 4"),"")</f>
        <v/>
      </c>
      <c r="AC293" s="239" t="str">
        <f>IF('CCUS Projects Database'!$V293&lt;&gt;"",HYPERLINK('CCUS Projects Database'!$V293,"Link 5"),"")</f>
        <v/>
      </c>
      <c r="AD293" s="239" t="str">
        <f>IF('CCUS Projects Database'!$W293&lt;&gt;"",HYPERLINK('CCUS Projects Database'!$W293,"Link 6"),"")</f>
        <v/>
      </c>
      <c r="AE293" s="239" t="str">
        <f>IF('CCUS Projects Database'!$X293&lt;&gt;"",HYPERLINK('CCUS Projects Database'!$X293,"Link 7"),"")</f>
        <v/>
      </c>
    </row>
    <row r="294" ht="14.25" customHeight="1">
      <c r="A294" s="233" t="s">
        <v>19943</v>
      </c>
      <c r="B294" s="234">
        <v>351.0</v>
      </c>
      <c r="C294" s="234" t="s">
        <v>83</v>
      </c>
      <c r="D294" s="235" t="s">
        <v>19944</v>
      </c>
      <c r="E294" s="234" t="s">
        <v>18618</v>
      </c>
      <c r="F294" s="234">
        <v>2021.0</v>
      </c>
      <c r="G294" s="234">
        <v>2025.0</v>
      </c>
      <c r="H294" s="234">
        <v>2026.0</v>
      </c>
      <c r="I294" s="234" t="s">
        <v>18725</v>
      </c>
      <c r="J294" s="234" t="s">
        <v>18636</v>
      </c>
      <c r="K294" s="236" t="s">
        <v>18725</v>
      </c>
      <c r="L294" s="236">
        <v>0.4</v>
      </c>
      <c r="M294" s="236">
        <v>0.4</v>
      </c>
      <c r="N294" s="234" t="s">
        <v>18654</v>
      </c>
      <c r="O294" s="237" t="s">
        <v>18675</v>
      </c>
      <c r="P294" s="238" t="s">
        <v>19187</v>
      </c>
      <c r="Q294" s="234" t="s">
        <v>18726</v>
      </c>
      <c r="R294" s="238" t="s">
        <v>19945</v>
      </c>
      <c r="S294" s="238" t="s">
        <v>18725</v>
      </c>
      <c r="T294" s="238" t="s">
        <v>18725</v>
      </c>
      <c r="U294" s="238" t="s">
        <v>18725</v>
      </c>
      <c r="V294" s="238" t="s">
        <v>18725</v>
      </c>
      <c r="W294" s="238" t="s">
        <v>18725</v>
      </c>
      <c r="X294" s="238" t="s">
        <v>18725</v>
      </c>
      <c r="Y294" s="239" t="str">
        <f>IF('CCUS Projects Database'!$R294&lt;&gt;"",HYPERLINK('CCUS Projects Database'!$R294,"Link 1"),"")</f>
        <v>Link 1</v>
      </c>
      <c r="Z294" s="239" t="str">
        <f>IF('CCUS Projects Database'!$S294&lt;&gt;"",HYPERLINK('CCUS Projects Database'!$S294,"Link 2"),"")</f>
        <v/>
      </c>
      <c r="AA294" s="239" t="str">
        <f>IF('CCUS Projects Database'!$T294&lt;&gt;"",HYPERLINK('CCUS Projects Database'!$T294,"Link 3"),"")</f>
        <v/>
      </c>
      <c r="AB294" s="239" t="str">
        <f>IF('CCUS Projects Database'!$U294&lt;&gt;"",HYPERLINK('CCUS Projects Database'!$U294,"Link 4"),"")</f>
        <v/>
      </c>
      <c r="AC294" s="239" t="str">
        <f>IF('CCUS Projects Database'!$V294&lt;&gt;"",HYPERLINK('CCUS Projects Database'!$V294,"Link 5"),"")</f>
        <v/>
      </c>
      <c r="AD294" s="239" t="str">
        <f>IF('CCUS Projects Database'!$W294&lt;&gt;"",HYPERLINK('CCUS Projects Database'!$W294,"Link 6"),"")</f>
        <v/>
      </c>
      <c r="AE294" s="239" t="str">
        <f>IF('CCUS Projects Database'!$X294&lt;&gt;"",HYPERLINK('CCUS Projects Database'!$X294,"Link 7"),"")</f>
        <v/>
      </c>
    </row>
    <row r="295" ht="14.25" customHeight="1">
      <c r="A295" s="233" t="s">
        <v>19946</v>
      </c>
      <c r="B295" s="234">
        <v>352.0</v>
      </c>
      <c r="C295" s="234" t="s">
        <v>18586</v>
      </c>
      <c r="D295" s="235" t="s">
        <v>19947</v>
      </c>
      <c r="E295" s="234" t="s">
        <v>18618</v>
      </c>
      <c r="F295" s="234">
        <v>2021.0</v>
      </c>
      <c r="G295" s="234">
        <v>2026.0</v>
      </c>
      <c r="H295" s="234">
        <v>2028.0</v>
      </c>
      <c r="I295" s="234" t="s">
        <v>18725</v>
      </c>
      <c r="J295" s="234" t="s">
        <v>18636</v>
      </c>
      <c r="K295" s="236" t="s">
        <v>18725</v>
      </c>
      <c r="L295" s="236" t="s">
        <v>19350</v>
      </c>
      <c r="M295" s="236">
        <v>0.172</v>
      </c>
      <c r="N295" s="234" t="s">
        <v>12270</v>
      </c>
      <c r="O295" s="237" t="s">
        <v>18675</v>
      </c>
      <c r="P295" s="238" t="s">
        <v>18966</v>
      </c>
      <c r="Q295" s="234" t="s">
        <v>18732</v>
      </c>
      <c r="R295" s="238" t="s">
        <v>19109</v>
      </c>
      <c r="S295" s="238" t="s">
        <v>19110</v>
      </c>
      <c r="T295" s="238" t="s">
        <v>19111</v>
      </c>
      <c r="U295" s="238" t="s">
        <v>18725</v>
      </c>
      <c r="V295" s="238" t="s">
        <v>18725</v>
      </c>
      <c r="W295" s="238" t="s">
        <v>18725</v>
      </c>
      <c r="X295" s="238" t="s">
        <v>18725</v>
      </c>
      <c r="Y295" s="239" t="str">
        <f>IF('CCUS Projects Database'!$R295&lt;&gt;"",HYPERLINK('CCUS Projects Database'!$R295,"Link 1"),"")</f>
        <v>Link 1</v>
      </c>
      <c r="Z295" s="239" t="str">
        <f>IF('CCUS Projects Database'!$S295&lt;&gt;"",HYPERLINK('CCUS Projects Database'!$S295,"Link 2"),"")</f>
        <v>Link 2</v>
      </c>
      <c r="AA295" s="239" t="str">
        <f>IF('CCUS Projects Database'!$T295&lt;&gt;"",HYPERLINK('CCUS Projects Database'!$T295,"Link 3"),"")</f>
        <v>Link 3</v>
      </c>
      <c r="AB295" s="239" t="str">
        <f>IF('CCUS Projects Database'!$U295&lt;&gt;"",HYPERLINK('CCUS Projects Database'!$U295,"Link 4"),"")</f>
        <v/>
      </c>
      <c r="AC295" s="239" t="str">
        <f>IF('CCUS Projects Database'!$V295&lt;&gt;"",HYPERLINK('CCUS Projects Database'!$V295,"Link 5"),"")</f>
        <v/>
      </c>
      <c r="AD295" s="239" t="str">
        <f>IF('CCUS Projects Database'!$W295&lt;&gt;"",HYPERLINK('CCUS Projects Database'!$W295,"Link 6"),"")</f>
        <v/>
      </c>
      <c r="AE295" s="239" t="str">
        <f>IF('CCUS Projects Database'!$X295&lt;&gt;"",HYPERLINK('CCUS Projects Database'!$X295,"Link 7"),"")</f>
        <v/>
      </c>
    </row>
    <row r="296" ht="14.25" customHeight="1">
      <c r="A296" s="233" t="s">
        <v>19948</v>
      </c>
      <c r="B296" s="234">
        <v>353.0</v>
      </c>
      <c r="C296" s="234" t="s">
        <v>18287</v>
      </c>
      <c r="D296" s="235" t="s">
        <v>19949</v>
      </c>
      <c r="E296" s="234" t="s">
        <v>18616</v>
      </c>
      <c r="F296" s="234">
        <v>2021.0</v>
      </c>
      <c r="G296" s="234">
        <v>2025.0</v>
      </c>
      <c r="H296" s="234">
        <v>2028.0</v>
      </c>
      <c r="I296" s="234" t="s">
        <v>18725</v>
      </c>
      <c r="J296" s="234" t="s">
        <v>18636</v>
      </c>
      <c r="K296" s="236" t="s">
        <v>18725</v>
      </c>
      <c r="L296" s="236">
        <v>0.5</v>
      </c>
      <c r="M296" s="236">
        <v>0.5</v>
      </c>
      <c r="N296" s="234" t="s">
        <v>18656</v>
      </c>
      <c r="O296" s="237" t="s">
        <v>18675</v>
      </c>
      <c r="P296" s="238" t="s">
        <v>18725</v>
      </c>
      <c r="Q296" s="234" t="s">
        <v>18856</v>
      </c>
      <c r="R296" s="238" t="s">
        <v>19950</v>
      </c>
      <c r="S296" s="238" t="s">
        <v>19951</v>
      </c>
      <c r="T296" s="238" t="s">
        <v>19952</v>
      </c>
      <c r="U296" s="238" t="s">
        <v>19953</v>
      </c>
      <c r="V296" s="238" t="s">
        <v>18864</v>
      </c>
      <c r="W296" s="238" t="s">
        <v>18725</v>
      </c>
      <c r="X296" s="238" t="s">
        <v>18725</v>
      </c>
      <c r="Y296" s="239" t="str">
        <f>IF('CCUS Projects Database'!$R296&lt;&gt;"",HYPERLINK('CCUS Projects Database'!$R296,"Link 1"),"")</f>
        <v>Link 1</v>
      </c>
      <c r="Z296" s="239" t="str">
        <f>IF('CCUS Projects Database'!$S296&lt;&gt;"",HYPERLINK('CCUS Projects Database'!$S296,"Link 2"),"")</f>
        <v>Link 2</v>
      </c>
      <c r="AA296" s="239" t="str">
        <f>IF('CCUS Projects Database'!$T296&lt;&gt;"",HYPERLINK('CCUS Projects Database'!$T296,"Link 3"),"")</f>
        <v>Link 3</v>
      </c>
      <c r="AB296" s="239" t="str">
        <f>IF('CCUS Projects Database'!$U296&lt;&gt;"",HYPERLINK('CCUS Projects Database'!$U296,"Link 4"),"")</f>
        <v>Link 4</v>
      </c>
      <c r="AC296" s="239" t="str">
        <f>IF('CCUS Projects Database'!$V296&lt;&gt;"",HYPERLINK('CCUS Projects Database'!$V296,"Link 5"),"")</f>
        <v>Link 5</v>
      </c>
      <c r="AD296" s="239" t="str">
        <f>IF('CCUS Projects Database'!$W296&lt;&gt;"",HYPERLINK('CCUS Projects Database'!$W296,"Link 6"),"")</f>
        <v/>
      </c>
      <c r="AE296" s="239" t="str">
        <f>IF('CCUS Projects Database'!$X296&lt;&gt;"",HYPERLINK('CCUS Projects Database'!$X296,"Link 7"),"")</f>
        <v/>
      </c>
    </row>
    <row r="297" ht="14.25" customHeight="1">
      <c r="A297" s="233" t="s">
        <v>19954</v>
      </c>
      <c r="B297" s="234">
        <v>355.0</v>
      </c>
      <c r="C297" s="234" t="s">
        <v>18586</v>
      </c>
      <c r="D297" s="235" t="s">
        <v>19955</v>
      </c>
      <c r="E297" s="234" t="s">
        <v>18618</v>
      </c>
      <c r="F297" s="234">
        <v>2021.0</v>
      </c>
      <c r="G297" s="234">
        <v>2026.0</v>
      </c>
      <c r="H297" s="234">
        <v>2028.0</v>
      </c>
      <c r="I297" s="234" t="s">
        <v>18725</v>
      </c>
      <c r="J297" s="234" t="s">
        <v>18636</v>
      </c>
      <c r="K297" s="236" t="s">
        <v>18725</v>
      </c>
      <c r="L297" s="236" t="s">
        <v>19819</v>
      </c>
      <c r="M297" s="236">
        <v>0.229</v>
      </c>
      <c r="N297" s="234" t="s">
        <v>12270</v>
      </c>
      <c r="O297" s="237" t="s">
        <v>18675</v>
      </c>
      <c r="P297" s="238" t="s">
        <v>18966</v>
      </c>
      <c r="Q297" s="234" t="s">
        <v>18732</v>
      </c>
      <c r="R297" s="238" t="s">
        <v>19109</v>
      </c>
      <c r="S297" s="238" t="s">
        <v>19110</v>
      </c>
      <c r="T297" s="238" t="s">
        <v>19111</v>
      </c>
      <c r="U297" s="238" t="s">
        <v>18725</v>
      </c>
      <c r="V297" s="238" t="s">
        <v>18725</v>
      </c>
      <c r="W297" s="238" t="s">
        <v>18725</v>
      </c>
      <c r="X297" s="238" t="s">
        <v>18725</v>
      </c>
      <c r="Y297" s="239" t="str">
        <f>IF('CCUS Projects Database'!$R297&lt;&gt;"",HYPERLINK('CCUS Projects Database'!$R297,"Link 1"),"")</f>
        <v>Link 1</v>
      </c>
      <c r="Z297" s="239" t="str">
        <f>IF('CCUS Projects Database'!$S297&lt;&gt;"",HYPERLINK('CCUS Projects Database'!$S297,"Link 2"),"")</f>
        <v>Link 2</v>
      </c>
      <c r="AA297" s="239" t="str">
        <f>IF('CCUS Projects Database'!$T297&lt;&gt;"",HYPERLINK('CCUS Projects Database'!$T297,"Link 3"),"")</f>
        <v>Link 3</v>
      </c>
      <c r="AB297" s="239" t="str">
        <f>IF('CCUS Projects Database'!$U297&lt;&gt;"",HYPERLINK('CCUS Projects Database'!$U297,"Link 4"),"")</f>
        <v/>
      </c>
      <c r="AC297" s="239" t="str">
        <f>IF('CCUS Projects Database'!$V297&lt;&gt;"",HYPERLINK('CCUS Projects Database'!$V297,"Link 5"),"")</f>
        <v/>
      </c>
      <c r="AD297" s="239" t="str">
        <f>IF('CCUS Projects Database'!$W297&lt;&gt;"",HYPERLINK('CCUS Projects Database'!$W297,"Link 6"),"")</f>
        <v/>
      </c>
      <c r="AE297" s="239" t="str">
        <f>IF('CCUS Projects Database'!$X297&lt;&gt;"",HYPERLINK('CCUS Projects Database'!$X297,"Link 7"),"")</f>
        <v/>
      </c>
    </row>
    <row r="298" ht="14.25" customHeight="1">
      <c r="A298" s="233" t="s">
        <v>19956</v>
      </c>
      <c r="B298" s="234">
        <v>357.0</v>
      </c>
      <c r="C298" s="234" t="s">
        <v>18586</v>
      </c>
      <c r="D298" s="235" t="s">
        <v>19957</v>
      </c>
      <c r="E298" s="234" t="s">
        <v>18618</v>
      </c>
      <c r="F298" s="234">
        <v>2019.0</v>
      </c>
      <c r="G298" s="234" t="s">
        <v>18725</v>
      </c>
      <c r="H298" s="234">
        <v>2025.0</v>
      </c>
      <c r="I298" s="234">
        <v>2022.0</v>
      </c>
      <c r="J298" s="234" t="s">
        <v>18192</v>
      </c>
      <c r="K298" s="236" t="s">
        <v>18725</v>
      </c>
      <c r="L298" s="236">
        <v>6.0</v>
      </c>
      <c r="M298" s="236">
        <v>6.0</v>
      </c>
      <c r="N298" s="234" t="s">
        <v>18654</v>
      </c>
      <c r="O298" s="237" t="s">
        <v>18675</v>
      </c>
      <c r="P298" s="238" t="s">
        <v>18725</v>
      </c>
      <c r="Q298" s="234" t="s">
        <v>18732</v>
      </c>
      <c r="R298" s="238" t="s">
        <v>19202</v>
      </c>
      <c r="S298" s="238" t="s">
        <v>19958</v>
      </c>
      <c r="T298" s="238" t="s">
        <v>18725</v>
      </c>
      <c r="U298" s="238" t="s">
        <v>18725</v>
      </c>
      <c r="V298" s="238" t="s">
        <v>18725</v>
      </c>
      <c r="W298" s="238" t="s">
        <v>18725</v>
      </c>
      <c r="X298" s="238" t="s">
        <v>18725</v>
      </c>
      <c r="Y298" s="239" t="str">
        <f>IF('CCUS Projects Database'!$R298&lt;&gt;"",HYPERLINK('CCUS Projects Database'!$R298,"Link 1"),"")</f>
        <v>Link 1</v>
      </c>
      <c r="Z298" s="239" t="str">
        <f>IF('CCUS Projects Database'!$S298&lt;&gt;"",HYPERLINK('CCUS Projects Database'!$S298,"Link 2"),"")</f>
        <v>Link 2</v>
      </c>
      <c r="AA298" s="239" t="str">
        <f>IF('CCUS Projects Database'!$T298&lt;&gt;"",HYPERLINK('CCUS Projects Database'!$T298,"Link 3"),"")</f>
        <v/>
      </c>
      <c r="AB298" s="239" t="str">
        <f>IF('CCUS Projects Database'!$U298&lt;&gt;"",HYPERLINK('CCUS Projects Database'!$U298,"Link 4"),"")</f>
        <v/>
      </c>
      <c r="AC298" s="239" t="str">
        <f>IF('CCUS Projects Database'!$V298&lt;&gt;"",HYPERLINK('CCUS Projects Database'!$V298,"Link 5"),"")</f>
        <v/>
      </c>
      <c r="AD298" s="239" t="str">
        <f>IF('CCUS Projects Database'!$W298&lt;&gt;"",HYPERLINK('CCUS Projects Database'!$W298,"Link 6"),"")</f>
        <v/>
      </c>
      <c r="AE298" s="239" t="str">
        <f>IF('CCUS Projects Database'!$X298&lt;&gt;"",HYPERLINK('CCUS Projects Database'!$X298,"Link 7"),"")</f>
        <v/>
      </c>
    </row>
    <row r="299" ht="14.25" customHeight="1">
      <c r="A299" s="233" t="s">
        <v>19959</v>
      </c>
      <c r="B299" s="234">
        <v>358.0</v>
      </c>
      <c r="C299" s="234" t="s">
        <v>18329</v>
      </c>
      <c r="D299" s="235" t="s">
        <v>19960</v>
      </c>
      <c r="E299" s="234" t="s">
        <v>18616</v>
      </c>
      <c r="F299" s="234">
        <v>2019.0</v>
      </c>
      <c r="G299" s="234">
        <v>2021.0</v>
      </c>
      <c r="H299" s="234">
        <v>2024.0</v>
      </c>
      <c r="I299" s="234" t="s">
        <v>18725</v>
      </c>
      <c r="J299" s="234" t="s">
        <v>12385</v>
      </c>
      <c r="K299" s="236">
        <v>1.0</v>
      </c>
      <c r="L299" s="236">
        <v>1.7</v>
      </c>
      <c r="M299" s="236">
        <v>1.7</v>
      </c>
      <c r="N299" s="234" t="s">
        <v>18656</v>
      </c>
      <c r="O299" s="237" t="s">
        <v>18675</v>
      </c>
      <c r="P299" s="238" t="s">
        <v>19961</v>
      </c>
      <c r="Q299" s="234" t="s">
        <v>18762</v>
      </c>
      <c r="R299" s="238" t="s">
        <v>19962</v>
      </c>
      <c r="S299" s="238" t="s">
        <v>19963</v>
      </c>
      <c r="T299" s="238" t="s">
        <v>18904</v>
      </c>
      <c r="U299" s="238" t="s">
        <v>19808</v>
      </c>
      <c r="V299" s="238" t="s">
        <v>19964</v>
      </c>
      <c r="W299" s="238" t="s">
        <v>19965</v>
      </c>
      <c r="X299" s="238" t="s">
        <v>19966</v>
      </c>
      <c r="Y299" s="239" t="str">
        <f>IF('CCUS Projects Database'!$R299&lt;&gt;"",HYPERLINK('CCUS Projects Database'!$R299,"Link 1"),"")</f>
        <v>Link 1</v>
      </c>
      <c r="Z299" s="239" t="str">
        <f>IF('CCUS Projects Database'!$S299&lt;&gt;"",HYPERLINK('CCUS Projects Database'!$S299,"Link 2"),"")</f>
        <v>Link 2</v>
      </c>
      <c r="AA299" s="239" t="str">
        <f>IF('CCUS Projects Database'!$T299&lt;&gt;"",HYPERLINK('CCUS Projects Database'!$T299,"Link 3"),"")</f>
        <v>Link 3</v>
      </c>
      <c r="AB299" s="239" t="str">
        <f>IF('CCUS Projects Database'!$U299&lt;&gt;"",HYPERLINK('CCUS Projects Database'!$U299,"Link 4"),"")</f>
        <v>Link 4</v>
      </c>
      <c r="AC299" s="239" t="str">
        <f>IF('CCUS Projects Database'!$V299&lt;&gt;"",HYPERLINK('CCUS Projects Database'!$V299,"Link 5"),"")</f>
        <v>Link 5</v>
      </c>
      <c r="AD299" s="239" t="str">
        <f>IF('CCUS Projects Database'!$W299&lt;&gt;"",HYPERLINK('CCUS Projects Database'!$W299,"Link 6"),"")</f>
        <v>Link 6</v>
      </c>
      <c r="AE299" s="239" t="str">
        <f>IF('CCUS Projects Database'!$X299&lt;&gt;"",HYPERLINK('CCUS Projects Database'!$X299,"Link 7"),"")</f>
        <v>Link 7</v>
      </c>
    </row>
    <row r="300" ht="14.25" customHeight="1">
      <c r="A300" s="233" t="s">
        <v>19967</v>
      </c>
      <c r="B300" s="234">
        <v>359.0</v>
      </c>
      <c r="C300" s="234" t="s">
        <v>19968</v>
      </c>
      <c r="D300" s="235" t="s">
        <v>19969</v>
      </c>
      <c r="E300" s="234" t="s">
        <v>18623</v>
      </c>
      <c r="F300" s="234">
        <v>2023.0</v>
      </c>
      <c r="G300" s="234" t="s">
        <v>18725</v>
      </c>
      <c r="H300" s="234">
        <v>2030.0</v>
      </c>
      <c r="I300" s="234" t="s">
        <v>18725</v>
      </c>
      <c r="J300" s="234" t="s">
        <v>18636</v>
      </c>
      <c r="K300" s="236">
        <v>1.0</v>
      </c>
      <c r="L300" s="236">
        <v>3.3</v>
      </c>
      <c r="M300" s="236">
        <v>3.3</v>
      </c>
      <c r="N300" s="234" t="s">
        <v>18623</v>
      </c>
      <c r="O300" s="237" t="s">
        <v>18675</v>
      </c>
      <c r="P300" s="238" t="s">
        <v>19961</v>
      </c>
      <c r="Q300" s="234" t="s">
        <v>18762</v>
      </c>
      <c r="R300" s="238" t="s">
        <v>19808</v>
      </c>
      <c r="S300" s="238" t="s">
        <v>19970</v>
      </c>
      <c r="T300" s="238" t="s">
        <v>19971</v>
      </c>
      <c r="U300" s="238" t="s">
        <v>18725</v>
      </c>
      <c r="V300" s="238" t="s">
        <v>18725</v>
      </c>
      <c r="W300" s="238" t="s">
        <v>18725</v>
      </c>
      <c r="X300" s="238" t="s">
        <v>18725</v>
      </c>
      <c r="Y300" s="239" t="str">
        <f>IF('CCUS Projects Database'!$R300&lt;&gt;"",HYPERLINK('CCUS Projects Database'!$R300,"Link 1"),"")</f>
        <v>Link 1</v>
      </c>
      <c r="Z300" s="239" t="str">
        <f>IF('CCUS Projects Database'!$S300&lt;&gt;"",HYPERLINK('CCUS Projects Database'!$S300,"Link 2"),"")</f>
        <v>Link 2</v>
      </c>
      <c r="AA300" s="239" t="str">
        <f>IF('CCUS Projects Database'!$T300&lt;&gt;"",HYPERLINK('CCUS Projects Database'!$T300,"Link 3"),"")</f>
        <v>Link 3</v>
      </c>
      <c r="AB300" s="239" t="str">
        <f>IF('CCUS Projects Database'!$U300&lt;&gt;"",HYPERLINK('CCUS Projects Database'!$U300,"Link 4"),"")</f>
        <v/>
      </c>
      <c r="AC300" s="239" t="str">
        <f>IF('CCUS Projects Database'!$V300&lt;&gt;"",HYPERLINK('CCUS Projects Database'!$V300,"Link 5"),"")</f>
        <v/>
      </c>
      <c r="AD300" s="239" t="str">
        <f>IF('CCUS Projects Database'!$W300&lt;&gt;"",HYPERLINK('CCUS Projects Database'!$W300,"Link 6"),"")</f>
        <v/>
      </c>
      <c r="AE300" s="239" t="str">
        <f>IF('CCUS Projects Database'!$X300&lt;&gt;"",HYPERLINK('CCUS Projects Database'!$X300,"Link 7"),"")</f>
        <v/>
      </c>
    </row>
    <row r="301" ht="14.25" customHeight="1">
      <c r="A301" s="233" t="s">
        <v>19972</v>
      </c>
      <c r="B301" s="234">
        <v>362.0</v>
      </c>
      <c r="C301" s="234" t="s">
        <v>75</v>
      </c>
      <c r="D301" s="235" t="s">
        <v>19973</v>
      </c>
      <c r="E301" s="234" t="s">
        <v>18618</v>
      </c>
      <c r="F301" s="234">
        <v>2021.0</v>
      </c>
      <c r="G301" s="234" t="s">
        <v>18725</v>
      </c>
      <c r="H301" s="234">
        <v>2025.0</v>
      </c>
      <c r="I301" s="234" t="s">
        <v>18725</v>
      </c>
      <c r="J301" s="234" t="s">
        <v>18192</v>
      </c>
      <c r="K301" s="236" t="s">
        <v>18725</v>
      </c>
      <c r="L301" s="236" t="s">
        <v>18725</v>
      </c>
      <c r="M301" s="236" t="s">
        <v>18725</v>
      </c>
      <c r="N301" s="234" t="s">
        <v>18661</v>
      </c>
      <c r="O301" s="237" t="s">
        <v>18675</v>
      </c>
      <c r="P301" s="238" t="s">
        <v>18941</v>
      </c>
      <c r="Q301" s="234" t="s">
        <v>18726</v>
      </c>
      <c r="R301" s="238" t="s">
        <v>16573</v>
      </c>
      <c r="S301" s="238" t="s">
        <v>18725</v>
      </c>
      <c r="T301" s="238" t="s">
        <v>18725</v>
      </c>
      <c r="U301" s="238" t="s">
        <v>18725</v>
      </c>
      <c r="V301" s="238" t="s">
        <v>18725</v>
      </c>
      <c r="W301" s="238" t="s">
        <v>18725</v>
      </c>
      <c r="X301" s="238" t="s">
        <v>18725</v>
      </c>
      <c r="Y301" s="239" t="str">
        <f>IF('CCUS Projects Database'!$R301&lt;&gt;"",HYPERLINK('CCUS Projects Database'!$R301,"Link 1"),"")</f>
        <v>Link 1</v>
      </c>
      <c r="Z301" s="239" t="str">
        <f>IF('CCUS Projects Database'!$S301&lt;&gt;"",HYPERLINK('CCUS Projects Database'!$S301,"Link 2"),"")</f>
        <v/>
      </c>
      <c r="AA301" s="239" t="str">
        <f>IF('CCUS Projects Database'!$T301&lt;&gt;"",HYPERLINK('CCUS Projects Database'!$T301,"Link 3"),"")</f>
        <v/>
      </c>
      <c r="AB301" s="239" t="str">
        <f>IF('CCUS Projects Database'!$U301&lt;&gt;"",HYPERLINK('CCUS Projects Database'!$U301,"Link 4"),"")</f>
        <v/>
      </c>
      <c r="AC301" s="239" t="str">
        <f>IF('CCUS Projects Database'!$V301&lt;&gt;"",HYPERLINK('CCUS Projects Database'!$V301,"Link 5"),"")</f>
        <v/>
      </c>
      <c r="AD301" s="239" t="str">
        <f>IF('CCUS Projects Database'!$W301&lt;&gt;"",HYPERLINK('CCUS Projects Database'!$W301,"Link 6"),"")</f>
        <v/>
      </c>
      <c r="AE301" s="239" t="str">
        <f>IF('CCUS Projects Database'!$X301&lt;&gt;"",HYPERLINK('CCUS Projects Database'!$X301,"Link 7"),"")</f>
        <v/>
      </c>
    </row>
    <row r="302" ht="14.25" customHeight="1">
      <c r="A302" s="233" t="s">
        <v>19974</v>
      </c>
      <c r="B302" s="234">
        <v>363.0</v>
      </c>
      <c r="C302" s="234" t="s">
        <v>18586</v>
      </c>
      <c r="D302" s="235" t="s">
        <v>19975</v>
      </c>
      <c r="E302" s="234" t="s">
        <v>18618</v>
      </c>
      <c r="F302" s="234">
        <v>2021.0</v>
      </c>
      <c r="G302" s="234" t="s">
        <v>18725</v>
      </c>
      <c r="H302" s="234" t="s">
        <v>18725</v>
      </c>
      <c r="I302" s="234" t="s">
        <v>18725</v>
      </c>
      <c r="J302" s="234" t="s">
        <v>18636</v>
      </c>
      <c r="K302" s="236" t="s">
        <v>18725</v>
      </c>
      <c r="L302" s="236">
        <v>5.6</v>
      </c>
      <c r="M302" s="236">
        <v>5.6</v>
      </c>
      <c r="N302" s="234" t="s">
        <v>18654</v>
      </c>
      <c r="O302" s="237" t="s">
        <v>18675</v>
      </c>
      <c r="P302" s="238" t="s">
        <v>18725</v>
      </c>
      <c r="Q302" s="234" t="s">
        <v>18732</v>
      </c>
      <c r="R302" s="238" t="s">
        <v>19976</v>
      </c>
      <c r="S302" s="238" t="s">
        <v>19977</v>
      </c>
      <c r="T302" s="238" t="s">
        <v>19978</v>
      </c>
      <c r="U302" s="238" t="s">
        <v>18725</v>
      </c>
      <c r="V302" s="238" t="s">
        <v>18725</v>
      </c>
      <c r="W302" s="238" t="s">
        <v>18725</v>
      </c>
      <c r="X302" s="238" t="s">
        <v>18725</v>
      </c>
      <c r="Y302" s="239" t="str">
        <f>IF('CCUS Projects Database'!$R302&lt;&gt;"",HYPERLINK('CCUS Projects Database'!$R302,"Link 1"),"")</f>
        <v>Link 1</v>
      </c>
      <c r="Z302" s="239" t="str">
        <f>IF('CCUS Projects Database'!$S302&lt;&gt;"",HYPERLINK('CCUS Projects Database'!$S302,"Link 2"),"")</f>
        <v>Link 2</v>
      </c>
      <c r="AA302" s="239" t="str">
        <f>IF('CCUS Projects Database'!$T302&lt;&gt;"",HYPERLINK('CCUS Projects Database'!$T302,"Link 3"),"")</f>
        <v>Link 3</v>
      </c>
      <c r="AB302" s="239" t="str">
        <f>IF('CCUS Projects Database'!$U302&lt;&gt;"",HYPERLINK('CCUS Projects Database'!$U302,"Link 4"),"")</f>
        <v/>
      </c>
      <c r="AC302" s="239" t="str">
        <f>IF('CCUS Projects Database'!$V302&lt;&gt;"",HYPERLINK('CCUS Projects Database'!$V302,"Link 5"),"")</f>
        <v/>
      </c>
      <c r="AD302" s="239" t="str">
        <f>IF('CCUS Projects Database'!$W302&lt;&gt;"",HYPERLINK('CCUS Projects Database'!$W302,"Link 6"),"")</f>
        <v/>
      </c>
      <c r="AE302" s="239" t="str">
        <f>IF('CCUS Projects Database'!$X302&lt;&gt;"",HYPERLINK('CCUS Projects Database'!$X302,"Link 7"),"")</f>
        <v/>
      </c>
    </row>
    <row r="303" ht="14.25" customHeight="1">
      <c r="A303" s="233" t="s">
        <v>19979</v>
      </c>
      <c r="B303" s="234">
        <v>364.0</v>
      </c>
      <c r="C303" s="234" t="s">
        <v>164</v>
      </c>
      <c r="D303" s="235" t="s">
        <v>19980</v>
      </c>
      <c r="E303" s="234" t="s">
        <v>18618</v>
      </c>
      <c r="F303" s="234">
        <v>2021.0</v>
      </c>
      <c r="G303" s="234">
        <v>2021.0</v>
      </c>
      <c r="H303" s="234">
        <v>2026.0</v>
      </c>
      <c r="I303" s="234" t="s">
        <v>18725</v>
      </c>
      <c r="J303" s="234" t="s">
        <v>18192</v>
      </c>
      <c r="K303" s="236" t="s">
        <v>18725</v>
      </c>
      <c r="L303" s="236">
        <v>0.38</v>
      </c>
      <c r="M303" s="236">
        <v>0.38</v>
      </c>
      <c r="N303" s="234" t="s">
        <v>12270</v>
      </c>
      <c r="O303" s="237" t="s">
        <v>18675</v>
      </c>
      <c r="P303" s="238" t="s">
        <v>18783</v>
      </c>
      <c r="Q303" s="234" t="s">
        <v>18726</v>
      </c>
      <c r="R303" s="238" t="s">
        <v>19981</v>
      </c>
      <c r="S303" s="238" t="s">
        <v>18725</v>
      </c>
      <c r="T303" s="238" t="s">
        <v>18725</v>
      </c>
      <c r="U303" s="238" t="s">
        <v>18725</v>
      </c>
      <c r="V303" s="238" t="s">
        <v>18725</v>
      </c>
      <c r="W303" s="238" t="s">
        <v>18725</v>
      </c>
      <c r="X303" s="238" t="s">
        <v>18725</v>
      </c>
      <c r="Y303" s="239" t="str">
        <f>IF('CCUS Projects Database'!$R303&lt;&gt;"",HYPERLINK('CCUS Projects Database'!$R303,"Link 1"),"")</f>
        <v>Link 1</v>
      </c>
      <c r="Z303" s="239" t="str">
        <f>IF('CCUS Projects Database'!$S303&lt;&gt;"",HYPERLINK('CCUS Projects Database'!$S303,"Link 2"),"")</f>
        <v/>
      </c>
      <c r="AA303" s="239" t="str">
        <f>IF('CCUS Projects Database'!$T303&lt;&gt;"",HYPERLINK('CCUS Projects Database'!$T303,"Link 3"),"")</f>
        <v/>
      </c>
      <c r="AB303" s="239" t="str">
        <f>IF('CCUS Projects Database'!$U303&lt;&gt;"",HYPERLINK('CCUS Projects Database'!$U303,"Link 4"),"")</f>
        <v/>
      </c>
      <c r="AC303" s="239" t="str">
        <f>IF('CCUS Projects Database'!$V303&lt;&gt;"",HYPERLINK('CCUS Projects Database'!$V303,"Link 5"),"")</f>
        <v/>
      </c>
      <c r="AD303" s="239" t="str">
        <f>IF('CCUS Projects Database'!$W303&lt;&gt;"",HYPERLINK('CCUS Projects Database'!$W303,"Link 6"),"")</f>
        <v/>
      </c>
      <c r="AE303" s="239" t="str">
        <f>IF('CCUS Projects Database'!$X303&lt;&gt;"",HYPERLINK('CCUS Projects Database'!$X303,"Link 7"),"")</f>
        <v/>
      </c>
    </row>
    <row r="304" ht="14.25" customHeight="1">
      <c r="A304" s="233" t="s">
        <v>19982</v>
      </c>
      <c r="B304" s="234">
        <v>365.0</v>
      </c>
      <c r="C304" s="234" t="s">
        <v>164</v>
      </c>
      <c r="D304" s="235" t="s">
        <v>19980</v>
      </c>
      <c r="E304" s="234" t="s">
        <v>18625</v>
      </c>
      <c r="F304" s="234" t="s">
        <v>18725</v>
      </c>
      <c r="G304" s="234" t="s">
        <v>18725</v>
      </c>
      <c r="H304" s="234">
        <v>1997.0</v>
      </c>
      <c r="I304" s="234">
        <v>2026.0</v>
      </c>
      <c r="J304" s="234" t="s">
        <v>12385</v>
      </c>
      <c r="K304" s="236" t="s">
        <v>18725</v>
      </c>
      <c r="L304" s="236">
        <v>0.75</v>
      </c>
      <c r="M304" s="236">
        <v>0.75</v>
      </c>
      <c r="N304" s="234" t="s">
        <v>18661</v>
      </c>
      <c r="O304" s="237" t="s">
        <v>18679</v>
      </c>
      <c r="P304" s="238" t="s">
        <v>18725</v>
      </c>
      <c r="Q304" s="234" t="s">
        <v>18726</v>
      </c>
      <c r="R304" s="238" t="s">
        <v>19983</v>
      </c>
      <c r="S304" s="238" t="s">
        <v>18725</v>
      </c>
      <c r="T304" s="238" t="s">
        <v>18725</v>
      </c>
      <c r="U304" s="238" t="s">
        <v>18725</v>
      </c>
      <c r="V304" s="238" t="s">
        <v>18725</v>
      </c>
      <c r="W304" s="238" t="s">
        <v>18725</v>
      </c>
      <c r="X304" s="238" t="s">
        <v>18725</v>
      </c>
      <c r="Y304" s="239" t="str">
        <f>IF('CCUS Projects Database'!$R304&lt;&gt;"",HYPERLINK('CCUS Projects Database'!$R304,"Link 1"),"")</f>
        <v>Link 1</v>
      </c>
      <c r="Z304" s="239" t="str">
        <f>IF('CCUS Projects Database'!$S304&lt;&gt;"",HYPERLINK('CCUS Projects Database'!$S304,"Link 2"),"")</f>
        <v/>
      </c>
      <c r="AA304" s="239" t="str">
        <f>IF('CCUS Projects Database'!$T304&lt;&gt;"",HYPERLINK('CCUS Projects Database'!$T304,"Link 3"),"")</f>
        <v/>
      </c>
      <c r="AB304" s="239" t="str">
        <f>IF('CCUS Projects Database'!$U304&lt;&gt;"",HYPERLINK('CCUS Projects Database'!$U304,"Link 4"),"")</f>
        <v/>
      </c>
      <c r="AC304" s="239" t="str">
        <f>IF('CCUS Projects Database'!$V304&lt;&gt;"",HYPERLINK('CCUS Projects Database'!$V304,"Link 5"),"")</f>
        <v/>
      </c>
      <c r="AD304" s="239" t="str">
        <f>IF('CCUS Projects Database'!$W304&lt;&gt;"",HYPERLINK('CCUS Projects Database'!$W304,"Link 6"),"")</f>
        <v/>
      </c>
      <c r="AE304" s="239" t="str">
        <f>IF('CCUS Projects Database'!$X304&lt;&gt;"",HYPERLINK('CCUS Projects Database'!$X304,"Link 7"),"")</f>
        <v/>
      </c>
    </row>
    <row r="305" ht="14.25" customHeight="1">
      <c r="A305" s="233" t="s">
        <v>9106</v>
      </c>
      <c r="B305" s="234">
        <v>366.0</v>
      </c>
      <c r="C305" s="234" t="s">
        <v>83</v>
      </c>
      <c r="D305" s="235" t="s">
        <v>19984</v>
      </c>
      <c r="E305" s="234" t="s">
        <v>18618</v>
      </c>
      <c r="F305" s="234">
        <v>2022.0</v>
      </c>
      <c r="G305" s="234">
        <v>2025.0</v>
      </c>
      <c r="H305" s="234">
        <v>2027.0</v>
      </c>
      <c r="I305" s="234" t="s">
        <v>18725</v>
      </c>
      <c r="J305" s="234" t="s">
        <v>18636</v>
      </c>
      <c r="K305" s="236" t="s">
        <v>18725</v>
      </c>
      <c r="L305" s="236">
        <v>1.6</v>
      </c>
      <c r="M305" s="236">
        <v>1.6</v>
      </c>
      <c r="N305" s="234" t="s">
        <v>18731</v>
      </c>
      <c r="O305" s="237" t="s">
        <v>18675</v>
      </c>
      <c r="P305" s="238" t="s">
        <v>19187</v>
      </c>
      <c r="Q305" s="234" t="s">
        <v>18726</v>
      </c>
      <c r="R305" s="238" t="s">
        <v>16803</v>
      </c>
      <c r="S305" s="238" t="s">
        <v>18725</v>
      </c>
      <c r="T305" s="238" t="s">
        <v>18725</v>
      </c>
      <c r="U305" s="238" t="s">
        <v>18725</v>
      </c>
      <c r="V305" s="238" t="s">
        <v>18725</v>
      </c>
      <c r="W305" s="238" t="s">
        <v>18725</v>
      </c>
      <c r="X305" s="238" t="s">
        <v>18725</v>
      </c>
      <c r="Y305" s="239" t="str">
        <f>IF('CCUS Projects Database'!$R305&lt;&gt;"",HYPERLINK('CCUS Projects Database'!$R305,"Link 1"),"")</f>
        <v>Link 1</v>
      </c>
      <c r="Z305" s="239" t="str">
        <f>IF('CCUS Projects Database'!$S305&lt;&gt;"",HYPERLINK('CCUS Projects Database'!$S305,"Link 2"),"")</f>
        <v/>
      </c>
      <c r="AA305" s="239" t="str">
        <f>IF('CCUS Projects Database'!$T305&lt;&gt;"",HYPERLINK('CCUS Projects Database'!$T305,"Link 3"),"")</f>
        <v/>
      </c>
      <c r="AB305" s="239" t="str">
        <f>IF('CCUS Projects Database'!$U305&lt;&gt;"",HYPERLINK('CCUS Projects Database'!$U305,"Link 4"),"")</f>
        <v/>
      </c>
      <c r="AC305" s="239" t="str">
        <f>IF('CCUS Projects Database'!$V305&lt;&gt;"",HYPERLINK('CCUS Projects Database'!$V305,"Link 5"),"")</f>
        <v/>
      </c>
      <c r="AD305" s="239" t="str">
        <f>IF('CCUS Projects Database'!$W305&lt;&gt;"",HYPERLINK('CCUS Projects Database'!$W305,"Link 6"),"")</f>
        <v/>
      </c>
      <c r="AE305" s="239" t="str">
        <f>IF('CCUS Projects Database'!$X305&lt;&gt;"",HYPERLINK('CCUS Projects Database'!$X305,"Link 7"),"")</f>
        <v/>
      </c>
    </row>
    <row r="306" ht="14.25" customHeight="1">
      <c r="A306" s="233" t="s">
        <v>19985</v>
      </c>
      <c r="B306" s="234">
        <v>369.0</v>
      </c>
      <c r="C306" s="234" t="s">
        <v>18360</v>
      </c>
      <c r="D306" s="235" t="s">
        <v>19986</v>
      </c>
      <c r="E306" s="234" t="s">
        <v>18616</v>
      </c>
      <c r="F306" s="234">
        <v>2015.0</v>
      </c>
      <c r="G306" s="234" t="s">
        <v>18725</v>
      </c>
      <c r="H306" s="234">
        <v>2021.0</v>
      </c>
      <c r="I306" s="234" t="s">
        <v>18725</v>
      </c>
      <c r="J306" s="234" t="s">
        <v>12385</v>
      </c>
      <c r="K306" s="236" t="s">
        <v>18725</v>
      </c>
      <c r="L306" s="236">
        <v>0.2</v>
      </c>
      <c r="M306" s="236">
        <v>0.2</v>
      </c>
      <c r="N306" s="234" t="s">
        <v>18661</v>
      </c>
      <c r="O306" s="237" t="s">
        <v>18677</v>
      </c>
      <c r="P306" s="238" t="s">
        <v>19987</v>
      </c>
      <c r="Q306" s="234" t="s">
        <v>18856</v>
      </c>
      <c r="R306" s="238" t="s">
        <v>19988</v>
      </c>
      <c r="S306" s="238" t="s">
        <v>19989</v>
      </c>
      <c r="T306" s="238" t="s">
        <v>18725</v>
      </c>
      <c r="U306" s="238" t="s">
        <v>18725</v>
      </c>
      <c r="V306" s="238" t="s">
        <v>18725</v>
      </c>
      <c r="W306" s="238" t="s">
        <v>18725</v>
      </c>
      <c r="X306" s="238" t="s">
        <v>18725</v>
      </c>
      <c r="Y306" s="239" t="str">
        <f>IF('CCUS Projects Database'!$R306&lt;&gt;"",HYPERLINK('CCUS Projects Database'!$R306,"Link 1"),"")</f>
        <v>Link 1</v>
      </c>
      <c r="Z306" s="239" t="str">
        <f>IF('CCUS Projects Database'!$S306&lt;&gt;"",HYPERLINK('CCUS Projects Database'!$S306,"Link 2"),"")</f>
        <v>Link 2</v>
      </c>
      <c r="AA306" s="239" t="str">
        <f>IF('CCUS Projects Database'!$T306&lt;&gt;"",HYPERLINK('CCUS Projects Database'!$T306,"Link 3"),"")</f>
        <v/>
      </c>
      <c r="AB306" s="239" t="str">
        <f>IF('CCUS Projects Database'!$U306&lt;&gt;"",HYPERLINK('CCUS Projects Database'!$U306,"Link 4"),"")</f>
        <v/>
      </c>
      <c r="AC306" s="239" t="str">
        <f>IF('CCUS Projects Database'!$V306&lt;&gt;"",HYPERLINK('CCUS Projects Database'!$V306,"Link 5"),"")</f>
        <v/>
      </c>
      <c r="AD306" s="239" t="str">
        <f>IF('CCUS Projects Database'!$W306&lt;&gt;"",HYPERLINK('CCUS Projects Database'!$W306,"Link 6"),"")</f>
        <v/>
      </c>
      <c r="AE306" s="239" t="str">
        <f>IF('CCUS Projects Database'!$X306&lt;&gt;"",HYPERLINK('CCUS Projects Database'!$X306,"Link 7"),"")</f>
        <v/>
      </c>
    </row>
    <row r="307" ht="14.25" customHeight="1">
      <c r="A307" s="233" t="s">
        <v>19990</v>
      </c>
      <c r="B307" s="234">
        <v>370.0</v>
      </c>
      <c r="C307" s="234" t="s">
        <v>18360</v>
      </c>
      <c r="D307" s="235" t="s">
        <v>19991</v>
      </c>
      <c r="E307" s="234" t="s">
        <v>18616</v>
      </c>
      <c r="F307" s="234">
        <v>2012.0</v>
      </c>
      <c r="G307" s="234">
        <v>2021.0</v>
      </c>
      <c r="H307" s="234">
        <v>2022.0</v>
      </c>
      <c r="I307" s="234" t="s">
        <v>18725</v>
      </c>
      <c r="J307" s="234" t="s">
        <v>12385</v>
      </c>
      <c r="K307" s="236" t="s">
        <v>18725</v>
      </c>
      <c r="L307" s="236" t="s">
        <v>19992</v>
      </c>
      <c r="M307" s="236">
        <v>1.0</v>
      </c>
      <c r="N307" s="234" t="s">
        <v>677</v>
      </c>
      <c r="O307" s="237" t="s">
        <v>18677</v>
      </c>
      <c r="P307" s="238" t="s">
        <v>19993</v>
      </c>
      <c r="Q307" s="234" t="s">
        <v>18856</v>
      </c>
      <c r="R307" s="238" t="s">
        <v>19028</v>
      </c>
      <c r="S307" s="238" t="s">
        <v>16420</v>
      </c>
      <c r="T307" s="238" t="s">
        <v>19988</v>
      </c>
      <c r="U307" s="238" t="s">
        <v>19994</v>
      </c>
      <c r="V307" s="238" t="s">
        <v>19995</v>
      </c>
      <c r="W307" s="238" t="s">
        <v>19996</v>
      </c>
      <c r="X307" s="238" t="s">
        <v>18725</v>
      </c>
      <c r="Y307" s="239" t="str">
        <f>IF('CCUS Projects Database'!$R307&lt;&gt;"",HYPERLINK('CCUS Projects Database'!$R307,"Link 1"),"")</f>
        <v>Link 1</v>
      </c>
      <c r="Z307" s="239" t="str">
        <f>IF('CCUS Projects Database'!$S307&lt;&gt;"",HYPERLINK('CCUS Projects Database'!$S307,"Link 2"),"")</f>
        <v>Link 2</v>
      </c>
      <c r="AA307" s="239" t="str">
        <f>IF('CCUS Projects Database'!$T307&lt;&gt;"",HYPERLINK('CCUS Projects Database'!$T307,"Link 3"),"")</f>
        <v>Link 3</v>
      </c>
      <c r="AB307" s="239" t="str">
        <f>IF('CCUS Projects Database'!$U307&lt;&gt;"",HYPERLINK('CCUS Projects Database'!$U307,"Link 4"),"")</f>
        <v>Link 4</v>
      </c>
      <c r="AC307" s="239" t="str">
        <f>IF('CCUS Projects Database'!$V307&lt;&gt;"",HYPERLINK('CCUS Projects Database'!$V307,"Link 5"),"")</f>
        <v>Link 5</v>
      </c>
      <c r="AD307" s="239" t="str">
        <f>IF('CCUS Projects Database'!$W307&lt;&gt;"",HYPERLINK('CCUS Projects Database'!$W307,"Link 6"),"")</f>
        <v>Link 6</v>
      </c>
      <c r="AE307" s="239" t="str">
        <f>IF('CCUS Projects Database'!$X307&lt;&gt;"",HYPERLINK('CCUS Projects Database'!$X307,"Link 7"),"")</f>
        <v/>
      </c>
    </row>
    <row r="308" ht="14.25" customHeight="1">
      <c r="A308" s="233" t="s">
        <v>19997</v>
      </c>
      <c r="B308" s="234">
        <v>371.0</v>
      </c>
      <c r="C308" s="234" t="s">
        <v>18360</v>
      </c>
      <c r="D308" s="235" t="s">
        <v>19986</v>
      </c>
      <c r="E308" s="234" t="s">
        <v>18616</v>
      </c>
      <c r="F308" s="234">
        <v>2011.0</v>
      </c>
      <c r="G308" s="234" t="s">
        <v>18725</v>
      </c>
      <c r="H308" s="234">
        <v>2030.0</v>
      </c>
      <c r="I308" s="234" t="s">
        <v>18725</v>
      </c>
      <c r="J308" s="234" t="s">
        <v>18636</v>
      </c>
      <c r="K308" s="236" t="s">
        <v>18725</v>
      </c>
      <c r="L308" s="236" t="s">
        <v>19998</v>
      </c>
      <c r="M308" s="236">
        <v>2.0</v>
      </c>
      <c r="N308" s="234" t="s">
        <v>18654</v>
      </c>
      <c r="O308" s="237" t="s">
        <v>18677</v>
      </c>
      <c r="P308" s="238" t="s">
        <v>19993</v>
      </c>
      <c r="Q308" s="234" t="s">
        <v>18856</v>
      </c>
      <c r="R308" s="238" t="s">
        <v>19999</v>
      </c>
      <c r="S308" s="238" t="s">
        <v>18725</v>
      </c>
      <c r="T308" s="238" t="s">
        <v>18725</v>
      </c>
      <c r="U308" s="238" t="s">
        <v>18725</v>
      </c>
      <c r="V308" s="238" t="s">
        <v>18725</v>
      </c>
      <c r="W308" s="238" t="s">
        <v>18725</v>
      </c>
      <c r="X308" s="238" t="s">
        <v>18725</v>
      </c>
      <c r="Y308" s="239" t="str">
        <f>IF('CCUS Projects Database'!$R308&lt;&gt;"",HYPERLINK('CCUS Projects Database'!$R308,"Link 1"),"")</f>
        <v>Link 1</v>
      </c>
      <c r="Z308" s="239" t="str">
        <f>IF('CCUS Projects Database'!$S308&lt;&gt;"",HYPERLINK('CCUS Projects Database'!$S308,"Link 2"),"")</f>
        <v/>
      </c>
      <c r="AA308" s="239" t="str">
        <f>IF('CCUS Projects Database'!$T308&lt;&gt;"",HYPERLINK('CCUS Projects Database'!$T308,"Link 3"),"")</f>
        <v/>
      </c>
      <c r="AB308" s="239" t="str">
        <f>IF('CCUS Projects Database'!$U308&lt;&gt;"",HYPERLINK('CCUS Projects Database'!$U308,"Link 4"),"")</f>
        <v/>
      </c>
      <c r="AC308" s="239" t="str">
        <f>IF('CCUS Projects Database'!$V308&lt;&gt;"",HYPERLINK('CCUS Projects Database'!$V308,"Link 5"),"")</f>
        <v/>
      </c>
      <c r="AD308" s="239" t="str">
        <f>IF('CCUS Projects Database'!$W308&lt;&gt;"",HYPERLINK('CCUS Projects Database'!$W308,"Link 6"),"")</f>
        <v/>
      </c>
      <c r="AE308" s="239" t="str">
        <f>IF('CCUS Projects Database'!$X308&lt;&gt;"",HYPERLINK('CCUS Projects Database'!$X308,"Link 7"),"")</f>
        <v/>
      </c>
    </row>
    <row r="309" ht="14.25" customHeight="1">
      <c r="A309" s="233" t="s">
        <v>20000</v>
      </c>
      <c r="B309" s="234">
        <v>372.0</v>
      </c>
      <c r="C309" s="234" t="s">
        <v>18586</v>
      </c>
      <c r="D309" s="235" t="s">
        <v>20001</v>
      </c>
      <c r="E309" s="234" t="s">
        <v>18618</v>
      </c>
      <c r="F309" s="234">
        <v>2021.0</v>
      </c>
      <c r="G309" s="234">
        <v>2026.0</v>
      </c>
      <c r="H309" s="234">
        <v>2028.0</v>
      </c>
      <c r="I309" s="234" t="s">
        <v>18725</v>
      </c>
      <c r="J309" s="234" t="s">
        <v>18636</v>
      </c>
      <c r="K309" s="236" t="s">
        <v>18725</v>
      </c>
      <c r="L309" s="236" t="s">
        <v>19410</v>
      </c>
      <c r="M309" s="236">
        <v>0.186</v>
      </c>
      <c r="N309" s="234" t="s">
        <v>12270</v>
      </c>
      <c r="O309" s="237" t="s">
        <v>18675</v>
      </c>
      <c r="P309" s="238" t="s">
        <v>18966</v>
      </c>
      <c r="Q309" s="234" t="s">
        <v>18732</v>
      </c>
      <c r="R309" s="238" t="s">
        <v>19109</v>
      </c>
      <c r="S309" s="238" t="s">
        <v>19110</v>
      </c>
      <c r="T309" s="238" t="s">
        <v>19111</v>
      </c>
      <c r="U309" s="238" t="s">
        <v>18725</v>
      </c>
      <c r="V309" s="238" t="s">
        <v>18725</v>
      </c>
      <c r="W309" s="238" t="s">
        <v>18725</v>
      </c>
      <c r="X309" s="238" t="s">
        <v>18725</v>
      </c>
      <c r="Y309" s="239" t="str">
        <f>IF('CCUS Projects Database'!$R309&lt;&gt;"",HYPERLINK('CCUS Projects Database'!$R309,"Link 1"),"")</f>
        <v>Link 1</v>
      </c>
      <c r="Z309" s="239" t="str">
        <f>IF('CCUS Projects Database'!$S309&lt;&gt;"",HYPERLINK('CCUS Projects Database'!$S309,"Link 2"),"")</f>
        <v>Link 2</v>
      </c>
      <c r="AA309" s="239" t="str">
        <f>IF('CCUS Projects Database'!$T309&lt;&gt;"",HYPERLINK('CCUS Projects Database'!$T309,"Link 3"),"")</f>
        <v>Link 3</v>
      </c>
      <c r="AB309" s="239" t="str">
        <f>IF('CCUS Projects Database'!$U309&lt;&gt;"",HYPERLINK('CCUS Projects Database'!$U309,"Link 4"),"")</f>
        <v/>
      </c>
      <c r="AC309" s="239" t="str">
        <f>IF('CCUS Projects Database'!$V309&lt;&gt;"",HYPERLINK('CCUS Projects Database'!$V309,"Link 5"),"")</f>
        <v/>
      </c>
      <c r="AD309" s="239" t="str">
        <f>IF('CCUS Projects Database'!$W309&lt;&gt;"",HYPERLINK('CCUS Projects Database'!$W309,"Link 6"),"")</f>
        <v/>
      </c>
      <c r="AE309" s="239" t="str">
        <f>IF('CCUS Projects Database'!$X309&lt;&gt;"",HYPERLINK('CCUS Projects Database'!$X309,"Link 7"),"")</f>
        <v/>
      </c>
    </row>
    <row r="310" ht="14.25" customHeight="1">
      <c r="A310" s="233" t="s">
        <v>20002</v>
      </c>
      <c r="B310" s="234">
        <v>373.0</v>
      </c>
      <c r="C310" s="234" t="s">
        <v>18947</v>
      </c>
      <c r="D310" s="235" t="s">
        <v>20003</v>
      </c>
      <c r="E310" s="234" t="s">
        <v>18623</v>
      </c>
      <c r="F310" s="234">
        <v>2022.0</v>
      </c>
      <c r="G310" s="234">
        <v>2025.0</v>
      </c>
      <c r="H310" s="234">
        <v>2026.0</v>
      </c>
      <c r="I310" s="234" t="s">
        <v>18725</v>
      </c>
      <c r="J310" s="234" t="s">
        <v>18636</v>
      </c>
      <c r="K310" s="236" t="s">
        <v>18725</v>
      </c>
      <c r="L310" s="236">
        <v>1.2</v>
      </c>
      <c r="M310" s="236">
        <v>1.2</v>
      </c>
      <c r="N310" s="234" t="s">
        <v>18623</v>
      </c>
      <c r="O310" s="237" t="s">
        <v>18675</v>
      </c>
      <c r="P310" s="238" t="s">
        <v>18725</v>
      </c>
      <c r="Q310" s="234" t="s">
        <v>18856</v>
      </c>
      <c r="R310" s="238" t="s">
        <v>16576</v>
      </c>
      <c r="S310" s="238" t="s">
        <v>20004</v>
      </c>
      <c r="T310" s="238" t="s">
        <v>20005</v>
      </c>
      <c r="U310" s="238" t="s">
        <v>20006</v>
      </c>
      <c r="V310" s="238" t="s">
        <v>20007</v>
      </c>
      <c r="W310" s="238" t="s">
        <v>20008</v>
      </c>
      <c r="X310" s="238" t="s">
        <v>20009</v>
      </c>
      <c r="Y310" s="239" t="str">
        <f>IF('CCUS Projects Database'!$R310&lt;&gt;"",HYPERLINK('CCUS Projects Database'!$R310,"Link 1"),"")</f>
        <v>Link 1</v>
      </c>
      <c r="Z310" s="239" t="str">
        <f>IF('CCUS Projects Database'!$S310&lt;&gt;"",HYPERLINK('CCUS Projects Database'!$S310,"Link 2"),"")</f>
        <v>Link 2</v>
      </c>
      <c r="AA310" s="239" t="str">
        <f>IF('CCUS Projects Database'!$T310&lt;&gt;"",HYPERLINK('CCUS Projects Database'!$T310,"Link 3"),"")</f>
        <v>Link 3</v>
      </c>
      <c r="AB310" s="239" t="str">
        <f>IF('CCUS Projects Database'!$U310&lt;&gt;"",HYPERLINK('CCUS Projects Database'!$U310,"Link 4"),"")</f>
        <v>Link 4</v>
      </c>
      <c r="AC310" s="239" t="str">
        <f>IF('CCUS Projects Database'!$V310&lt;&gt;"",HYPERLINK('CCUS Projects Database'!$V310,"Link 5"),"")</f>
        <v>Link 5</v>
      </c>
      <c r="AD310" s="239" t="str">
        <f>IF('CCUS Projects Database'!$W310&lt;&gt;"",HYPERLINK('CCUS Projects Database'!$W310,"Link 6"),"")</f>
        <v>Link 6</v>
      </c>
      <c r="AE310" s="239" t="str">
        <f>IF('CCUS Projects Database'!$X310&lt;&gt;"",HYPERLINK('CCUS Projects Database'!$X310,"Link 7"),"")</f>
        <v>Link 7</v>
      </c>
    </row>
    <row r="311" ht="14.25" customHeight="1">
      <c r="A311" s="233" t="s">
        <v>20010</v>
      </c>
      <c r="B311" s="234">
        <v>374.0</v>
      </c>
      <c r="C311" s="234" t="s">
        <v>98</v>
      </c>
      <c r="D311" s="235" t="s">
        <v>20011</v>
      </c>
      <c r="E311" s="234" t="s">
        <v>18616</v>
      </c>
      <c r="F311" s="234">
        <v>1991.0</v>
      </c>
      <c r="G311" s="234" t="s">
        <v>18725</v>
      </c>
      <c r="H311" s="234">
        <v>1996.0</v>
      </c>
      <c r="I311" s="234" t="s">
        <v>18725</v>
      </c>
      <c r="J311" s="234" t="s">
        <v>12385</v>
      </c>
      <c r="K311" s="236" t="s">
        <v>18725</v>
      </c>
      <c r="L311" s="236">
        <v>1.0</v>
      </c>
      <c r="M311" s="236">
        <v>1.0</v>
      </c>
      <c r="N311" s="234" t="s">
        <v>18656</v>
      </c>
      <c r="O311" s="237" t="s">
        <v>18675</v>
      </c>
      <c r="P311" s="238" t="s">
        <v>18725</v>
      </c>
      <c r="Q311" s="234" t="s">
        <v>18726</v>
      </c>
      <c r="R311" s="238" t="s">
        <v>20012</v>
      </c>
      <c r="S311" s="238" t="s">
        <v>20013</v>
      </c>
      <c r="T311" s="238" t="s">
        <v>18725</v>
      </c>
      <c r="U311" s="238" t="s">
        <v>18725</v>
      </c>
      <c r="V311" s="238" t="s">
        <v>18725</v>
      </c>
      <c r="W311" s="238" t="s">
        <v>18725</v>
      </c>
      <c r="X311" s="238" t="s">
        <v>18725</v>
      </c>
      <c r="Y311" s="239" t="str">
        <f>IF('CCUS Projects Database'!$R311&lt;&gt;"",HYPERLINK('CCUS Projects Database'!$R311,"Link 1"),"")</f>
        <v>Link 1</v>
      </c>
      <c r="Z311" s="239" t="str">
        <f>IF('CCUS Projects Database'!$S311&lt;&gt;"",HYPERLINK('CCUS Projects Database'!$S311,"Link 2"),"")</f>
        <v>Link 2</v>
      </c>
      <c r="AA311" s="239" t="str">
        <f>IF('CCUS Projects Database'!$T311&lt;&gt;"",HYPERLINK('CCUS Projects Database'!$T311,"Link 3"),"")</f>
        <v/>
      </c>
      <c r="AB311" s="239" t="str">
        <f>IF('CCUS Projects Database'!$U311&lt;&gt;"",HYPERLINK('CCUS Projects Database'!$U311,"Link 4"),"")</f>
        <v/>
      </c>
      <c r="AC311" s="239" t="str">
        <f>IF('CCUS Projects Database'!$V311&lt;&gt;"",HYPERLINK('CCUS Projects Database'!$V311,"Link 5"),"")</f>
        <v/>
      </c>
      <c r="AD311" s="239" t="str">
        <f>IF('CCUS Projects Database'!$W311&lt;&gt;"",HYPERLINK('CCUS Projects Database'!$W311,"Link 6"),"")</f>
        <v/>
      </c>
      <c r="AE311" s="239" t="str">
        <f>IF('CCUS Projects Database'!$X311&lt;&gt;"",HYPERLINK('CCUS Projects Database'!$X311,"Link 7"),"")</f>
        <v/>
      </c>
    </row>
    <row r="312" ht="14.25" customHeight="1">
      <c r="A312" s="233" t="s">
        <v>20014</v>
      </c>
      <c r="B312" s="234">
        <v>375.0</v>
      </c>
      <c r="C312" s="234" t="s">
        <v>98</v>
      </c>
      <c r="D312" s="235" t="s">
        <v>20015</v>
      </c>
      <c r="E312" s="234" t="s">
        <v>18616</v>
      </c>
      <c r="F312" s="234">
        <v>2002.0</v>
      </c>
      <c r="G312" s="234">
        <v>2002.0</v>
      </c>
      <c r="H312" s="234">
        <v>2008.0</v>
      </c>
      <c r="I312" s="234" t="s">
        <v>18725</v>
      </c>
      <c r="J312" s="234" t="s">
        <v>12385</v>
      </c>
      <c r="K312" s="236" t="s">
        <v>18725</v>
      </c>
      <c r="L312" s="236">
        <v>0.7</v>
      </c>
      <c r="M312" s="236">
        <v>0.7</v>
      </c>
      <c r="N312" s="234" t="s">
        <v>18656</v>
      </c>
      <c r="O312" s="237" t="s">
        <v>18675</v>
      </c>
      <c r="P312" s="238" t="s">
        <v>18725</v>
      </c>
      <c r="Q312" s="234" t="s">
        <v>18726</v>
      </c>
      <c r="R312" s="238" t="s">
        <v>20016</v>
      </c>
      <c r="S312" s="238" t="s">
        <v>20017</v>
      </c>
      <c r="T312" s="238" t="s">
        <v>20013</v>
      </c>
      <c r="U312" s="238" t="s">
        <v>18725</v>
      </c>
      <c r="V312" s="238" t="s">
        <v>18725</v>
      </c>
      <c r="W312" s="238" t="s">
        <v>18725</v>
      </c>
      <c r="X312" s="238" t="s">
        <v>18725</v>
      </c>
      <c r="Y312" s="239" t="str">
        <f>IF('CCUS Projects Database'!$R312&lt;&gt;"",HYPERLINK('CCUS Projects Database'!$R312,"Link 1"),"")</f>
        <v>Link 1</v>
      </c>
      <c r="Z312" s="239" t="str">
        <f>IF('CCUS Projects Database'!$S312&lt;&gt;"",HYPERLINK('CCUS Projects Database'!$S312,"Link 2"),"")</f>
        <v>Link 2</v>
      </c>
      <c r="AA312" s="239" t="str">
        <f>IF('CCUS Projects Database'!$T312&lt;&gt;"",HYPERLINK('CCUS Projects Database'!$T312,"Link 3"),"")</f>
        <v>Link 3</v>
      </c>
      <c r="AB312" s="239" t="str">
        <f>IF('CCUS Projects Database'!$U312&lt;&gt;"",HYPERLINK('CCUS Projects Database'!$U312,"Link 4"),"")</f>
        <v/>
      </c>
      <c r="AC312" s="239" t="str">
        <f>IF('CCUS Projects Database'!$V312&lt;&gt;"",HYPERLINK('CCUS Projects Database'!$V312,"Link 5"),"")</f>
        <v/>
      </c>
      <c r="AD312" s="239" t="str">
        <f>IF('CCUS Projects Database'!$W312&lt;&gt;"",HYPERLINK('CCUS Projects Database'!$W312,"Link 6"),"")</f>
        <v/>
      </c>
      <c r="AE312" s="239" t="str">
        <f>IF('CCUS Projects Database'!$X312&lt;&gt;"",HYPERLINK('CCUS Projects Database'!$X312,"Link 7"),"")</f>
        <v/>
      </c>
    </row>
    <row r="313" ht="14.25" customHeight="1">
      <c r="A313" s="233" t="s">
        <v>20018</v>
      </c>
      <c r="B313" s="234">
        <v>376.0</v>
      </c>
      <c r="C313" s="234" t="s">
        <v>18329</v>
      </c>
      <c r="D313" s="235" t="s">
        <v>20019</v>
      </c>
      <c r="E313" s="234" t="s">
        <v>18623</v>
      </c>
      <c r="F313" s="234">
        <v>2022.0</v>
      </c>
      <c r="G313" s="234" t="s">
        <v>18725</v>
      </c>
      <c r="H313" s="234">
        <v>2026.0</v>
      </c>
      <c r="I313" s="234" t="s">
        <v>18725</v>
      </c>
      <c r="J313" s="234" t="s">
        <v>18636</v>
      </c>
      <c r="K313" s="236" t="s">
        <v>18725</v>
      </c>
      <c r="L313" s="236" t="s">
        <v>20020</v>
      </c>
      <c r="M313" s="236">
        <v>2.0</v>
      </c>
      <c r="N313" s="234" t="s">
        <v>18623</v>
      </c>
      <c r="O313" s="237" t="s">
        <v>18675</v>
      </c>
      <c r="P313" s="238" t="s">
        <v>20021</v>
      </c>
      <c r="Q313" s="234" t="s">
        <v>18762</v>
      </c>
      <c r="R313" s="238" t="s">
        <v>20022</v>
      </c>
      <c r="S313" s="238" t="s">
        <v>20023</v>
      </c>
      <c r="T313" s="238" t="s">
        <v>20024</v>
      </c>
      <c r="U313" s="238" t="s">
        <v>18725</v>
      </c>
      <c r="V313" s="238" t="s">
        <v>18725</v>
      </c>
      <c r="W313" s="238" t="s">
        <v>18725</v>
      </c>
      <c r="X313" s="238" t="s">
        <v>18725</v>
      </c>
      <c r="Y313" s="239" t="str">
        <f>IF('CCUS Projects Database'!$R313&lt;&gt;"",HYPERLINK('CCUS Projects Database'!$R313,"Link 1"),"")</f>
        <v>Link 1</v>
      </c>
      <c r="Z313" s="239" t="str">
        <f>IF('CCUS Projects Database'!$S313&lt;&gt;"",HYPERLINK('CCUS Projects Database'!$S313,"Link 2"),"")</f>
        <v>Link 2</v>
      </c>
      <c r="AA313" s="239" t="str">
        <f>IF('CCUS Projects Database'!$T313&lt;&gt;"",HYPERLINK('CCUS Projects Database'!$T313,"Link 3"),"")</f>
        <v>Link 3</v>
      </c>
      <c r="AB313" s="239" t="str">
        <f>IF('CCUS Projects Database'!$U313&lt;&gt;"",HYPERLINK('CCUS Projects Database'!$U313,"Link 4"),"")</f>
        <v/>
      </c>
      <c r="AC313" s="239" t="str">
        <f>IF('CCUS Projects Database'!$V313&lt;&gt;"",HYPERLINK('CCUS Projects Database'!$V313,"Link 5"),"")</f>
        <v/>
      </c>
      <c r="AD313" s="239" t="str">
        <f>IF('CCUS Projects Database'!$W313&lt;&gt;"",HYPERLINK('CCUS Projects Database'!$W313,"Link 6"),"")</f>
        <v/>
      </c>
      <c r="AE313" s="239" t="str">
        <f>IF('CCUS Projects Database'!$X313&lt;&gt;"",HYPERLINK('CCUS Projects Database'!$X313,"Link 7"),"")</f>
        <v/>
      </c>
    </row>
    <row r="314" ht="14.25" customHeight="1">
      <c r="A314" s="233" t="s">
        <v>20025</v>
      </c>
      <c r="B314" s="234">
        <v>377.0</v>
      </c>
      <c r="C314" s="234" t="s">
        <v>18329</v>
      </c>
      <c r="D314" s="235" t="s">
        <v>19648</v>
      </c>
      <c r="E314" s="234" t="s">
        <v>18618</v>
      </c>
      <c r="F314" s="234">
        <v>2023.0</v>
      </c>
      <c r="G314" s="234" t="s">
        <v>18725</v>
      </c>
      <c r="H314" s="234" t="s">
        <v>18725</v>
      </c>
      <c r="I314" s="234" t="s">
        <v>18725</v>
      </c>
      <c r="J314" s="234" t="s">
        <v>18636</v>
      </c>
      <c r="K314" s="236" t="s">
        <v>18725</v>
      </c>
      <c r="L314" s="236" t="s">
        <v>18725</v>
      </c>
      <c r="M314" s="236" t="s">
        <v>18725</v>
      </c>
      <c r="N314" s="234" t="s">
        <v>18731</v>
      </c>
      <c r="O314" s="237" t="s">
        <v>18675</v>
      </c>
      <c r="P314" s="238" t="s">
        <v>19649</v>
      </c>
      <c r="Q314" s="234" t="s">
        <v>18762</v>
      </c>
      <c r="R314" s="238" t="s">
        <v>20026</v>
      </c>
      <c r="S314" s="238" t="s">
        <v>19651</v>
      </c>
      <c r="T314" s="238" t="s">
        <v>20027</v>
      </c>
      <c r="U314" s="238" t="s">
        <v>18725</v>
      </c>
      <c r="V314" s="238" t="s">
        <v>18725</v>
      </c>
      <c r="W314" s="238" t="s">
        <v>18725</v>
      </c>
      <c r="X314" s="238" t="s">
        <v>18725</v>
      </c>
      <c r="Y314" s="239" t="str">
        <f>IF('CCUS Projects Database'!$R314&lt;&gt;"",HYPERLINK('CCUS Projects Database'!$R314,"Link 1"),"")</f>
        <v>Link 1</v>
      </c>
      <c r="Z314" s="239" t="str">
        <f>IF('CCUS Projects Database'!$S314&lt;&gt;"",HYPERLINK('CCUS Projects Database'!$S314,"Link 2"),"")</f>
        <v>Link 2</v>
      </c>
      <c r="AA314" s="239" t="str">
        <f>IF('CCUS Projects Database'!$T314&lt;&gt;"",HYPERLINK('CCUS Projects Database'!$T314,"Link 3"),"")</f>
        <v>Link 3</v>
      </c>
      <c r="AB314" s="239" t="str">
        <f>IF('CCUS Projects Database'!$U314&lt;&gt;"",HYPERLINK('CCUS Projects Database'!$U314,"Link 4"),"")</f>
        <v/>
      </c>
      <c r="AC314" s="239" t="str">
        <f>IF('CCUS Projects Database'!$V314&lt;&gt;"",HYPERLINK('CCUS Projects Database'!$V314,"Link 5"),"")</f>
        <v/>
      </c>
      <c r="AD314" s="239" t="str">
        <f>IF('CCUS Projects Database'!$W314&lt;&gt;"",HYPERLINK('CCUS Projects Database'!$W314,"Link 6"),"")</f>
        <v/>
      </c>
      <c r="AE314" s="239" t="str">
        <f>IF('CCUS Projects Database'!$X314&lt;&gt;"",HYPERLINK('CCUS Projects Database'!$X314,"Link 7"),"")</f>
        <v/>
      </c>
    </row>
    <row r="315" ht="14.25" customHeight="1">
      <c r="A315" s="233" t="s">
        <v>18761</v>
      </c>
      <c r="B315" s="234">
        <v>378.0</v>
      </c>
      <c r="C315" s="234" t="s">
        <v>18329</v>
      </c>
      <c r="D315" s="235" t="s">
        <v>20028</v>
      </c>
      <c r="E315" s="234" t="s">
        <v>3</v>
      </c>
      <c r="F315" s="234">
        <v>2010.0</v>
      </c>
      <c r="G315" s="234" t="s">
        <v>18725</v>
      </c>
      <c r="H315" s="234" t="s">
        <v>18725</v>
      </c>
      <c r="I315" s="234" t="s">
        <v>18725</v>
      </c>
      <c r="J315" s="234" t="s">
        <v>18636</v>
      </c>
      <c r="K315" s="236" t="s">
        <v>18725</v>
      </c>
      <c r="L315" s="236">
        <v>0.8</v>
      </c>
      <c r="M315" s="236">
        <v>0.8</v>
      </c>
      <c r="N315" s="234" t="s">
        <v>3</v>
      </c>
      <c r="O315" s="237" t="s">
        <v>18675</v>
      </c>
      <c r="P315" s="238" t="s">
        <v>18761</v>
      </c>
      <c r="Q315" s="234" t="s">
        <v>18762</v>
      </c>
      <c r="R315" s="238" t="s">
        <v>20029</v>
      </c>
      <c r="S315" s="238" t="s">
        <v>20029</v>
      </c>
      <c r="T315" s="238" t="s">
        <v>18725</v>
      </c>
      <c r="U315" s="238" t="s">
        <v>18725</v>
      </c>
      <c r="V315" s="238" t="s">
        <v>18725</v>
      </c>
      <c r="W315" s="238" t="s">
        <v>18725</v>
      </c>
      <c r="X315" s="238" t="s">
        <v>18725</v>
      </c>
      <c r="Y315" s="239" t="str">
        <f>IF('CCUS Projects Database'!$R315&lt;&gt;"",HYPERLINK('CCUS Projects Database'!$R315,"Link 1"),"")</f>
        <v>Link 1</v>
      </c>
      <c r="Z315" s="239" t="str">
        <f>IF('CCUS Projects Database'!$S315&lt;&gt;"",HYPERLINK('CCUS Projects Database'!$S315,"Link 2"),"")</f>
        <v>Link 2</v>
      </c>
      <c r="AA315" s="239" t="str">
        <f>IF('CCUS Projects Database'!$T315&lt;&gt;"",HYPERLINK('CCUS Projects Database'!$T315,"Link 3"),"")</f>
        <v/>
      </c>
      <c r="AB315" s="239" t="str">
        <f>IF('CCUS Projects Database'!$U315&lt;&gt;"",HYPERLINK('CCUS Projects Database'!$U315,"Link 4"),"")</f>
        <v/>
      </c>
      <c r="AC315" s="239" t="str">
        <f>IF('CCUS Projects Database'!$V315&lt;&gt;"",HYPERLINK('CCUS Projects Database'!$V315,"Link 5"),"")</f>
        <v/>
      </c>
      <c r="AD315" s="239" t="str">
        <f>IF('CCUS Projects Database'!$W315&lt;&gt;"",HYPERLINK('CCUS Projects Database'!$W315,"Link 6"),"")</f>
        <v/>
      </c>
      <c r="AE315" s="239" t="str">
        <f>IF('CCUS Projects Database'!$X315&lt;&gt;"",HYPERLINK('CCUS Projects Database'!$X315,"Link 7"),"")</f>
        <v/>
      </c>
    </row>
    <row r="316" ht="14.25" customHeight="1">
      <c r="A316" s="233" t="s">
        <v>20030</v>
      </c>
      <c r="B316" s="234">
        <v>379.0</v>
      </c>
      <c r="C316" s="234" t="s">
        <v>83</v>
      </c>
      <c r="D316" s="235" t="s">
        <v>20031</v>
      </c>
      <c r="E316" s="234" t="s">
        <v>18618</v>
      </c>
      <c r="F316" s="234">
        <v>2019.0</v>
      </c>
      <c r="G316" s="234">
        <v>2025.0</v>
      </c>
      <c r="H316" s="234">
        <v>2027.0</v>
      </c>
      <c r="I316" s="234" t="s">
        <v>18725</v>
      </c>
      <c r="J316" s="234" t="s">
        <v>18636</v>
      </c>
      <c r="K316" s="236">
        <v>1.0</v>
      </c>
      <c r="L316" s="236">
        <v>0.65</v>
      </c>
      <c r="M316" s="236">
        <v>0.65</v>
      </c>
      <c r="N316" s="234" t="s">
        <v>18731</v>
      </c>
      <c r="O316" s="237" t="s">
        <v>18675</v>
      </c>
      <c r="P316" s="238" t="s">
        <v>18985</v>
      </c>
      <c r="Q316" s="234" t="s">
        <v>18726</v>
      </c>
      <c r="R316" s="238" t="s">
        <v>20032</v>
      </c>
      <c r="S316" s="238" t="s">
        <v>20033</v>
      </c>
      <c r="T316" s="238" t="s">
        <v>20034</v>
      </c>
      <c r="U316" s="238" t="s">
        <v>20035</v>
      </c>
      <c r="V316" s="238" t="s">
        <v>20036</v>
      </c>
      <c r="W316" s="238" t="s">
        <v>20037</v>
      </c>
      <c r="X316" s="238" t="s">
        <v>20038</v>
      </c>
      <c r="Y316" s="239" t="str">
        <f>IF('CCUS Projects Database'!$R316&lt;&gt;"",HYPERLINK('CCUS Projects Database'!$R316,"Link 1"),"")</f>
        <v>Link 1</v>
      </c>
      <c r="Z316" s="239" t="str">
        <f>IF('CCUS Projects Database'!$S316&lt;&gt;"",HYPERLINK('CCUS Projects Database'!$S316,"Link 2"),"")</f>
        <v>Link 2</v>
      </c>
      <c r="AA316" s="239" t="str">
        <f>IF('CCUS Projects Database'!$T316&lt;&gt;"",HYPERLINK('CCUS Projects Database'!$T316,"Link 3"),"")</f>
        <v>Link 3</v>
      </c>
      <c r="AB316" s="239" t="str">
        <f>IF('CCUS Projects Database'!$U316&lt;&gt;"",HYPERLINK('CCUS Projects Database'!$U316,"Link 4"),"")</f>
        <v>Link 4</v>
      </c>
      <c r="AC316" s="239" t="str">
        <f>IF('CCUS Projects Database'!$V316&lt;&gt;"",HYPERLINK('CCUS Projects Database'!$V316,"Link 5"),"")</f>
        <v>Link 5</v>
      </c>
      <c r="AD316" s="239" t="str">
        <f>IF('CCUS Projects Database'!$W316&lt;&gt;"",HYPERLINK('CCUS Projects Database'!$W316,"Link 6"),"")</f>
        <v>Link 6</v>
      </c>
      <c r="AE316" s="239" t="str">
        <f>IF('CCUS Projects Database'!$X316&lt;&gt;"",HYPERLINK('CCUS Projects Database'!$X316,"Link 7"),"")</f>
        <v>Link 7</v>
      </c>
    </row>
    <row r="317" ht="14.25" customHeight="1">
      <c r="A317" s="233" t="s">
        <v>20039</v>
      </c>
      <c r="B317" s="234">
        <v>380.0</v>
      </c>
      <c r="C317" s="234" t="s">
        <v>51</v>
      </c>
      <c r="D317" s="235" t="s">
        <v>20040</v>
      </c>
      <c r="E317" s="234" t="s">
        <v>18618</v>
      </c>
      <c r="F317" s="234">
        <v>2021.0</v>
      </c>
      <c r="G317" s="234">
        <v>2025.0</v>
      </c>
      <c r="H317" s="234">
        <v>2026.0</v>
      </c>
      <c r="I317" s="234" t="s">
        <v>18725</v>
      </c>
      <c r="J317" s="234" t="s">
        <v>18638</v>
      </c>
      <c r="K317" s="236" t="s">
        <v>18725</v>
      </c>
      <c r="L317" s="236">
        <v>0.8</v>
      </c>
      <c r="M317" s="236">
        <v>0.8</v>
      </c>
      <c r="N317" s="234" t="s">
        <v>18654</v>
      </c>
      <c r="O317" s="237" t="s">
        <v>18675</v>
      </c>
      <c r="P317" s="234" t="s">
        <v>18941</v>
      </c>
      <c r="Q317" s="234" t="s">
        <v>18726</v>
      </c>
      <c r="R317" s="238" t="s">
        <v>20041</v>
      </c>
      <c r="S317" s="238" t="s">
        <v>20042</v>
      </c>
      <c r="T317" s="238" t="s">
        <v>16573</v>
      </c>
      <c r="U317" s="238" t="s">
        <v>20043</v>
      </c>
      <c r="V317" s="238" t="s">
        <v>20044</v>
      </c>
      <c r="W317" s="238" t="s">
        <v>20045</v>
      </c>
      <c r="X317" s="238" t="s">
        <v>20046</v>
      </c>
      <c r="Y317" s="239" t="str">
        <f>IF('CCUS Projects Database'!$R317&lt;&gt;"",HYPERLINK('CCUS Projects Database'!$R317,"Link 1"),"")</f>
        <v>Link 1</v>
      </c>
      <c r="Z317" s="239" t="str">
        <f>IF('CCUS Projects Database'!$S317&lt;&gt;"",HYPERLINK('CCUS Projects Database'!$S317,"Link 2"),"")</f>
        <v>Link 2</v>
      </c>
      <c r="AA317" s="239" t="str">
        <f>IF('CCUS Projects Database'!$T317&lt;&gt;"",HYPERLINK('CCUS Projects Database'!$T317,"Link 3"),"")</f>
        <v>Link 3</v>
      </c>
      <c r="AB317" s="239" t="str">
        <f>IF('CCUS Projects Database'!$U317&lt;&gt;"",HYPERLINK('CCUS Projects Database'!$U317,"Link 4"),"")</f>
        <v>Link 4</v>
      </c>
      <c r="AC317" s="239" t="str">
        <f>IF('CCUS Projects Database'!$V317&lt;&gt;"",HYPERLINK('CCUS Projects Database'!$V317,"Link 5"),"")</f>
        <v>Link 5</v>
      </c>
      <c r="AD317" s="239" t="str">
        <f>IF('CCUS Projects Database'!$W317&lt;&gt;"",HYPERLINK('CCUS Projects Database'!$W317,"Link 6"),"")</f>
        <v>Link 6</v>
      </c>
      <c r="AE317" s="239" t="str">
        <f>IF('CCUS Projects Database'!$X317&lt;&gt;"",HYPERLINK('CCUS Projects Database'!$X317,"Link 7"),"")</f>
        <v>Link 7</v>
      </c>
    </row>
    <row r="318" ht="14.25" customHeight="1">
      <c r="A318" s="233" t="s">
        <v>20047</v>
      </c>
      <c r="B318" s="234">
        <v>381.0</v>
      </c>
      <c r="C318" s="234" t="s">
        <v>83</v>
      </c>
      <c r="D318" s="235" t="s">
        <v>20048</v>
      </c>
      <c r="E318" s="234" t="s">
        <v>18618</v>
      </c>
      <c r="F318" s="234">
        <v>2021.0</v>
      </c>
      <c r="G318" s="234" t="s">
        <v>18725</v>
      </c>
      <c r="H318" s="234">
        <v>2026.0</v>
      </c>
      <c r="I318" s="234" t="s">
        <v>18725</v>
      </c>
      <c r="J318" s="234" t="s">
        <v>18192</v>
      </c>
      <c r="K318" s="236" t="s">
        <v>18725</v>
      </c>
      <c r="L318" s="236" t="s">
        <v>20049</v>
      </c>
      <c r="M318" s="236">
        <v>1.0</v>
      </c>
      <c r="N318" s="234" t="s">
        <v>18218</v>
      </c>
      <c r="O318" s="237" t="s">
        <v>18675</v>
      </c>
      <c r="P318" s="238" t="s">
        <v>18746</v>
      </c>
      <c r="Q318" s="234" t="s">
        <v>18726</v>
      </c>
      <c r="R318" s="238" t="s">
        <v>20050</v>
      </c>
      <c r="S318" s="238" t="s">
        <v>18725</v>
      </c>
      <c r="T318" s="238" t="s">
        <v>18725</v>
      </c>
      <c r="U318" s="238" t="s">
        <v>18725</v>
      </c>
      <c r="V318" s="238" t="s">
        <v>18725</v>
      </c>
      <c r="W318" s="238" t="s">
        <v>18725</v>
      </c>
      <c r="X318" s="238" t="s">
        <v>18725</v>
      </c>
      <c r="Y318" s="239" t="str">
        <f>IF('CCUS Projects Database'!$R318&lt;&gt;"",HYPERLINK('CCUS Projects Database'!$R318,"Link 1"),"")</f>
        <v>Link 1</v>
      </c>
      <c r="Z318" s="239" t="str">
        <f>IF('CCUS Projects Database'!$S318&lt;&gt;"",HYPERLINK('CCUS Projects Database'!$S318,"Link 2"),"")</f>
        <v/>
      </c>
      <c r="AA318" s="239" t="str">
        <f>IF('CCUS Projects Database'!$T318&lt;&gt;"",HYPERLINK('CCUS Projects Database'!$T318,"Link 3"),"")</f>
        <v/>
      </c>
      <c r="AB318" s="239" t="str">
        <f>IF('CCUS Projects Database'!$U318&lt;&gt;"",HYPERLINK('CCUS Projects Database'!$U318,"Link 4"),"")</f>
        <v/>
      </c>
      <c r="AC318" s="239" t="str">
        <f>IF('CCUS Projects Database'!$V318&lt;&gt;"",HYPERLINK('CCUS Projects Database'!$V318,"Link 5"),"")</f>
        <v/>
      </c>
      <c r="AD318" s="239" t="str">
        <f>IF('CCUS Projects Database'!$W318&lt;&gt;"",HYPERLINK('CCUS Projects Database'!$W318,"Link 6"),"")</f>
        <v/>
      </c>
      <c r="AE318" s="239" t="str">
        <f>IF('CCUS Projects Database'!$X318&lt;&gt;"",HYPERLINK('CCUS Projects Database'!$X318,"Link 7"),"")</f>
        <v/>
      </c>
    </row>
    <row r="319" ht="14.25" customHeight="1">
      <c r="A319" s="233" t="s">
        <v>20051</v>
      </c>
      <c r="B319" s="234">
        <v>384.0</v>
      </c>
      <c r="C319" s="234" t="s">
        <v>83</v>
      </c>
      <c r="D319" s="235" t="s">
        <v>20052</v>
      </c>
      <c r="E319" s="234" t="s">
        <v>18618</v>
      </c>
      <c r="F319" s="234">
        <v>2020.0</v>
      </c>
      <c r="G319" s="234">
        <v>2025.0</v>
      </c>
      <c r="H319" s="234">
        <v>2027.0</v>
      </c>
      <c r="I319" s="234" t="s">
        <v>18725</v>
      </c>
      <c r="J319" s="234" t="s">
        <v>18636</v>
      </c>
      <c r="K319" s="236" t="s">
        <v>18725</v>
      </c>
      <c r="L319" s="236">
        <v>0.24</v>
      </c>
      <c r="M319" s="236">
        <v>0.24</v>
      </c>
      <c r="N319" s="234" t="s">
        <v>18654</v>
      </c>
      <c r="O319" s="237" t="s">
        <v>18675</v>
      </c>
      <c r="P319" s="238" t="s">
        <v>19187</v>
      </c>
      <c r="Q319" s="234" t="s">
        <v>18726</v>
      </c>
      <c r="R319" s="238" t="s">
        <v>20053</v>
      </c>
      <c r="S319" s="238" t="s">
        <v>20054</v>
      </c>
      <c r="T319" s="238" t="s">
        <v>18725</v>
      </c>
      <c r="U319" s="238" t="s">
        <v>18725</v>
      </c>
      <c r="V319" s="238" t="s">
        <v>18725</v>
      </c>
      <c r="W319" s="238" t="s">
        <v>18725</v>
      </c>
      <c r="X319" s="238" t="s">
        <v>18725</v>
      </c>
      <c r="Y319" s="239" t="str">
        <f>IF('CCUS Projects Database'!$R319&lt;&gt;"",HYPERLINK('CCUS Projects Database'!$R319,"Link 1"),"")</f>
        <v>Link 1</v>
      </c>
      <c r="Z319" s="239" t="str">
        <f>IF('CCUS Projects Database'!$S319&lt;&gt;"",HYPERLINK('CCUS Projects Database'!$S319,"Link 2"),"")</f>
        <v>Link 2</v>
      </c>
      <c r="AA319" s="239" t="str">
        <f>IF('CCUS Projects Database'!$T319&lt;&gt;"",HYPERLINK('CCUS Projects Database'!$T319,"Link 3"),"")</f>
        <v/>
      </c>
      <c r="AB319" s="239" t="str">
        <f>IF('CCUS Projects Database'!$U319&lt;&gt;"",HYPERLINK('CCUS Projects Database'!$U319,"Link 4"),"")</f>
        <v/>
      </c>
      <c r="AC319" s="239" t="str">
        <f>IF('CCUS Projects Database'!$V319&lt;&gt;"",HYPERLINK('CCUS Projects Database'!$V319,"Link 5"),"")</f>
        <v/>
      </c>
      <c r="AD319" s="239" t="str">
        <f>IF('CCUS Projects Database'!$W319&lt;&gt;"",HYPERLINK('CCUS Projects Database'!$W319,"Link 6"),"")</f>
        <v/>
      </c>
      <c r="AE319" s="239" t="str">
        <f>IF('CCUS Projects Database'!$X319&lt;&gt;"",HYPERLINK('CCUS Projects Database'!$X319,"Link 7"),"")</f>
        <v/>
      </c>
    </row>
    <row r="320" ht="14.25" customHeight="1">
      <c r="A320" s="233" t="s">
        <v>20055</v>
      </c>
      <c r="B320" s="234">
        <v>385.0</v>
      </c>
      <c r="C320" s="234" t="s">
        <v>18264</v>
      </c>
      <c r="D320" s="235" t="s">
        <v>20056</v>
      </c>
      <c r="E320" s="234" t="s">
        <v>18618</v>
      </c>
      <c r="F320" s="234">
        <v>2021.0</v>
      </c>
      <c r="G320" s="234">
        <v>2025.0</v>
      </c>
      <c r="H320" s="234">
        <v>2028.0</v>
      </c>
      <c r="I320" s="234" t="s">
        <v>18725</v>
      </c>
      <c r="J320" s="234" t="s">
        <v>18636</v>
      </c>
      <c r="K320" s="236" t="s">
        <v>18725</v>
      </c>
      <c r="L320" s="236">
        <v>2.0</v>
      </c>
      <c r="M320" s="236">
        <v>2.0</v>
      </c>
      <c r="N320" s="234" t="s">
        <v>18661</v>
      </c>
      <c r="O320" s="237" t="s">
        <v>18675</v>
      </c>
      <c r="P320" s="238" t="s">
        <v>20057</v>
      </c>
      <c r="Q320" s="234" t="s">
        <v>18732</v>
      </c>
      <c r="R320" s="238" t="s">
        <v>16369</v>
      </c>
      <c r="S320" s="238" t="s">
        <v>18877</v>
      </c>
      <c r="T320" s="238" t="s">
        <v>18725</v>
      </c>
      <c r="U320" s="238" t="s">
        <v>18725</v>
      </c>
      <c r="V320" s="238" t="s">
        <v>18725</v>
      </c>
      <c r="W320" s="238" t="s">
        <v>18725</v>
      </c>
      <c r="X320" s="238" t="s">
        <v>18725</v>
      </c>
      <c r="Y320" s="239" t="str">
        <f>IF('CCUS Projects Database'!$R320&lt;&gt;"",HYPERLINK('CCUS Projects Database'!$R320,"Link 1"),"")</f>
        <v>Link 1</v>
      </c>
      <c r="Z320" s="239" t="str">
        <f>IF('CCUS Projects Database'!$S320&lt;&gt;"",HYPERLINK('CCUS Projects Database'!$S320,"Link 2"),"")</f>
        <v>Link 2</v>
      </c>
      <c r="AA320" s="239" t="str">
        <f>IF('CCUS Projects Database'!$T320&lt;&gt;"",HYPERLINK('CCUS Projects Database'!$T320,"Link 3"),"")</f>
        <v/>
      </c>
      <c r="AB320" s="239" t="str">
        <f>IF('CCUS Projects Database'!$U320&lt;&gt;"",HYPERLINK('CCUS Projects Database'!$U320,"Link 4"),"")</f>
        <v/>
      </c>
      <c r="AC320" s="239" t="str">
        <f>IF('CCUS Projects Database'!$V320&lt;&gt;"",HYPERLINK('CCUS Projects Database'!$V320,"Link 5"),"")</f>
        <v/>
      </c>
      <c r="AD320" s="239" t="str">
        <f>IF('CCUS Projects Database'!$W320&lt;&gt;"",HYPERLINK('CCUS Projects Database'!$W320,"Link 6"),"")</f>
        <v/>
      </c>
      <c r="AE320" s="239" t="str">
        <f>IF('CCUS Projects Database'!$X320&lt;&gt;"",HYPERLINK('CCUS Projects Database'!$X320,"Link 7"),"")</f>
        <v/>
      </c>
    </row>
    <row r="321" ht="14.25" customHeight="1">
      <c r="A321" s="233" t="s">
        <v>20058</v>
      </c>
      <c r="B321" s="234">
        <v>386.0</v>
      </c>
      <c r="C321" s="234" t="s">
        <v>18264</v>
      </c>
      <c r="D321" s="235" t="s">
        <v>20059</v>
      </c>
      <c r="E321" s="234" t="s">
        <v>3</v>
      </c>
      <c r="F321" s="234">
        <v>2021.0</v>
      </c>
      <c r="G321" s="234" t="s">
        <v>18725</v>
      </c>
      <c r="H321" s="234" t="s">
        <v>18725</v>
      </c>
      <c r="I321" s="234" t="s">
        <v>18725</v>
      </c>
      <c r="J321" s="234" t="s">
        <v>18192</v>
      </c>
      <c r="K321" s="236" t="s">
        <v>18725</v>
      </c>
      <c r="L321" s="236" t="s">
        <v>18725</v>
      </c>
      <c r="M321" s="236" t="s">
        <v>18725</v>
      </c>
      <c r="N321" s="234" t="s">
        <v>3</v>
      </c>
      <c r="O321" s="237" t="s">
        <v>18675</v>
      </c>
      <c r="P321" s="238" t="s">
        <v>20060</v>
      </c>
      <c r="Q321" s="234" t="s">
        <v>18732</v>
      </c>
      <c r="R321" s="238" t="s">
        <v>20061</v>
      </c>
      <c r="S321" s="238" t="s">
        <v>18725</v>
      </c>
      <c r="T321" s="238" t="s">
        <v>18725</v>
      </c>
      <c r="U321" s="238" t="s">
        <v>18725</v>
      </c>
      <c r="V321" s="238" t="s">
        <v>18725</v>
      </c>
      <c r="W321" s="238" t="s">
        <v>18725</v>
      </c>
      <c r="X321" s="238" t="s">
        <v>18725</v>
      </c>
      <c r="Y321" s="239" t="str">
        <f>IF('CCUS Projects Database'!$R321&lt;&gt;"",HYPERLINK('CCUS Projects Database'!$R321,"Link 1"),"")</f>
        <v>Link 1</v>
      </c>
      <c r="Z321" s="239" t="str">
        <f>IF('CCUS Projects Database'!$S321&lt;&gt;"",HYPERLINK('CCUS Projects Database'!$S321,"Link 2"),"")</f>
        <v/>
      </c>
      <c r="AA321" s="239" t="str">
        <f>IF('CCUS Projects Database'!$T321&lt;&gt;"",HYPERLINK('CCUS Projects Database'!$T321,"Link 3"),"")</f>
        <v/>
      </c>
      <c r="AB321" s="239" t="str">
        <f>IF('CCUS Projects Database'!$U321&lt;&gt;"",HYPERLINK('CCUS Projects Database'!$U321,"Link 4"),"")</f>
        <v/>
      </c>
      <c r="AC321" s="239" t="str">
        <f>IF('CCUS Projects Database'!$V321&lt;&gt;"",HYPERLINK('CCUS Projects Database'!$V321,"Link 5"),"")</f>
        <v/>
      </c>
      <c r="AD321" s="239" t="str">
        <f>IF('CCUS Projects Database'!$W321&lt;&gt;"",HYPERLINK('CCUS Projects Database'!$W321,"Link 6"),"")</f>
        <v/>
      </c>
      <c r="AE321" s="239" t="str">
        <f>IF('CCUS Projects Database'!$X321&lt;&gt;"",HYPERLINK('CCUS Projects Database'!$X321,"Link 7"),"")</f>
        <v/>
      </c>
    </row>
    <row r="322" ht="14.25" customHeight="1">
      <c r="A322" s="233" t="s">
        <v>8743</v>
      </c>
      <c r="B322" s="234">
        <v>387.0</v>
      </c>
      <c r="C322" s="234" t="s">
        <v>18321</v>
      </c>
      <c r="D322" s="235" t="s">
        <v>20062</v>
      </c>
      <c r="E322" s="234" t="s">
        <v>18616</v>
      </c>
      <c r="F322" s="234">
        <v>2020.0</v>
      </c>
      <c r="G322" s="234">
        <v>2025.0</v>
      </c>
      <c r="H322" s="234">
        <v>2030.0</v>
      </c>
      <c r="I322" s="234" t="s">
        <v>18725</v>
      </c>
      <c r="J322" s="234" t="s">
        <v>18636</v>
      </c>
      <c r="K322" s="236" t="s">
        <v>18725</v>
      </c>
      <c r="L322" s="236" t="s">
        <v>18725</v>
      </c>
      <c r="M322" s="236">
        <v>1.575</v>
      </c>
      <c r="N322" s="234" t="s">
        <v>18731</v>
      </c>
      <c r="O322" s="237" t="s">
        <v>18683</v>
      </c>
      <c r="P322" s="238" t="s">
        <v>18725</v>
      </c>
      <c r="Q322" s="234" t="s">
        <v>18293</v>
      </c>
      <c r="R322" s="238" t="s">
        <v>16431</v>
      </c>
      <c r="S322" s="238" t="s">
        <v>20063</v>
      </c>
      <c r="T322" s="238" t="s">
        <v>20064</v>
      </c>
      <c r="U322" s="238" t="s">
        <v>20065</v>
      </c>
      <c r="V322" s="238" t="s">
        <v>20066</v>
      </c>
      <c r="W322" s="238" t="s">
        <v>18725</v>
      </c>
      <c r="X322" s="238" t="s">
        <v>18725</v>
      </c>
      <c r="Y322" s="239" t="str">
        <f>IF('CCUS Projects Database'!$R322&lt;&gt;"",HYPERLINK('CCUS Projects Database'!$R322,"Link 1"),"")</f>
        <v>Link 1</v>
      </c>
      <c r="Z322" s="239" t="str">
        <f>IF('CCUS Projects Database'!$S322&lt;&gt;"",HYPERLINK('CCUS Projects Database'!$S322,"Link 2"),"")</f>
        <v>Link 2</v>
      </c>
      <c r="AA322" s="239" t="str">
        <f>IF('CCUS Projects Database'!$T322&lt;&gt;"",HYPERLINK('CCUS Projects Database'!$T322,"Link 3"),"")</f>
        <v>Link 3</v>
      </c>
      <c r="AB322" s="239" t="str">
        <f>IF('CCUS Projects Database'!$U322&lt;&gt;"",HYPERLINK('CCUS Projects Database'!$U322,"Link 4"),"")</f>
        <v>Link 4</v>
      </c>
      <c r="AC322" s="239" t="str">
        <f>IF('CCUS Projects Database'!$V322&lt;&gt;"",HYPERLINK('CCUS Projects Database'!$V322,"Link 5"),"")</f>
        <v>Link 5</v>
      </c>
      <c r="AD322" s="239" t="str">
        <f>IF('CCUS Projects Database'!$W322&lt;&gt;"",HYPERLINK('CCUS Projects Database'!$W322,"Link 6"),"")</f>
        <v/>
      </c>
      <c r="AE322" s="239" t="str">
        <f>IF('CCUS Projects Database'!$X322&lt;&gt;"",HYPERLINK('CCUS Projects Database'!$X322,"Link 7"),"")</f>
        <v/>
      </c>
    </row>
    <row r="323" ht="14.25" customHeight="1">
      <c r="A323" s="233" t="s">
        <v>20067</v>
      </c>
      <c r="B323" s="234">
        <v>388.0</v>
      </c>
      <c r="C323" s="234" t="s">
        <v>18287</v>
      </c>
      <c r="D323" s="235" t="s">
        <v>20068</v>
      </c>
      <c r="E323" s="234" t="s">
        <v>18616</v>
      </c>
      <c r="F323" s="234">
        <v>2021.0</v>
      </c>
      <c r="G323" s="234">
        <v>2024.0</v>
      </c>
      <c r="H323" s="234">
        <v>2028.0</v>
      </c>
      <c r="I323" s="234" t="s">
        <v>18725</v>
      </c>
      <c r="J323" s="234" t="s">
        <v>18638</v>
      </c>
      <c r="K323" s="236">
        <v>1.0</v>
      </c>
      <c r="L323" s="236" t="s">
        <v>20069</v>
      </c>
      <c r="M323" s="236">
        <v>3.3</v>
      </c>
      <c r="N323" s="234" t="s">
        <v>18656</v>
      </c>
      <c r="O323" s="237" t="s">
        <v>18677</v>
      </c>
      <c r="P323" s="238" t="s">
        <v>20070</v>
      </c>
      <c r="Q323" s="234" t="s">
        <v>18856</v>
      </c>
      <c r="R323" s="238" t="s">
        <v>20071</v>
      </c>
      <c r="S323" s="238" t="s">
        <v>19490</v>
      </c>
      <c r="T323" s="238" t="s">
        <v>20072</v>
      </c>
      <c r="U323" s="238" t="s">
        <v>18864</v>
      </c>
      <c r="V323" s="238" t="s">
        <v>20073</v>
      </c>
      <c r="W323" s="238" t="s">
        <v>20074</v>
      </c>
      <c r="X323" s="238" t="s">
        <v>18725</v>
      </c>
      <c r="Y323" s="239" t="str">
        <f>IF('CCUS Projects Database'!$R323&lt;&gt;"",HYPERLINK('CCUS Projects Database'!$R323,"Link 1"),"")</f>
        <v>Link 1</v>
      </c>
      <c r="Z323" s="239" t="str">
        <f>IF('CCUS Projects Database'!$S323&lt;&gt;"",HYPERLINK('CCUS Projects Database'!$S323,"Link 2"),"")</f>
        <v>Link 2</v>
      </c>
      <c r="AA323" s="239" t="str">
        <f>IF('CCUS Projects Database'!$T323&lt;&gt;"",HYPERLINK('CCUS Projects Database'!$T323,"Link 3"),"")</f>
        <v>Link 3</v>
      </c>
      <c r="AB323" s="239" t="str">
        <f>IF('CCUS Projects Database'!$U323&lt;&gt;"",HYPERLINK('CCUS Projects Database'!$U323,"Link 4"),"")</f>
        <v>Link 4</v>
      </c>
      <c r="AC323" s="239" t="str">
        <f>IF('CCUS Projects Database'!$V323&lt;&gt;"",HYPERLINK('CCUS Projects Database'!$V323,"Link 5"),"")</f>
        <v>Link 5</v>
      </c>
      <c r="AD323" s="239" t="str">
        <f>IF('CCUS Projects Database'!$W323&lt;&gt;"",HYPERLINK('CCUS Projects Database'!$W323,"Link 6"),"")</f>
        <v>Link 6</v>
      </c>
      <c r="AE323" s="239" t="str">
        <f>IF('CCUS Projects Database'!$X323&lt;&gt;"",HYPERLINK('CCUS Projects Database'!$X323,"Link 7"),"")</f>
        <v/>
      </c>
    </row>
    <row r="324" ht="14.25" customHeight="1">
      <c r="A324" s="233" t="s">
        <v>20075</v>
      </c>
      <c r="B324" s="234">
        <v>389.0</v>
      </c>
      <c r="C324" s="234" t="s">
        <v>18586</v>
      </c>
      <c r="D324" s="235" t="s">
        <v>20076</v>
      </c>
      <c r="E324" s="234" t="s">
        <v>18616</v>
      </c>
      <c r="F324" s="234" t="s">
        <v>18725</v>
      </c>
      <c r="G324" s="234" t="s">
        <v>18725</v>
      </c>
      <c r="H324" s="234">
        <v>1972.0</v>
      </c>
      <c r="I324" s="234" t="s">
        <v>18725</v>
      </c>
      <c r="J324" s="234" t="s">
        <v>12385</v>
      </c>
      <c r="K324" s="236" t="s">
        <v>18725</v>
      </c>
      <c r="L324" s="236" t="s">
        <v>20077</v>
      </c>
      <c r="M324" s="236">
        <v>0.5</v>
      </c>
      <c r="N324" s="234" t="s">
        <v>18656</v>
      </c>
      <c r="O324" s="237" t="s">
        <v>18677</v>
      </c>
      <c r="P324" s="238" t="s">
        <v>18725</v>
      </c>
      <c r="Q324" s="234" t="s">
        <v>18732</v>
      </c>
      <c r="R324" s="238" t="s">
        <v>20078</v>
      </c>
      <c r="S324" s="238" t="s">
        <v>20079</v>
      </c>
      <c r="T324" s="238" t="s">
        <v>20080</v>
      </c>
      <c r="U324" s="238" t="s">
        <v>18725</v>
      </c>
      <c r="V324" s="238" t="s">
        <v>18725</v>
      </c>
      <c r="W324" s="238" t="s">
        <v>18725</v>
      </c>
      <c r="X324" s="238" t="s">
        <v>18725</v>
      </c>
      <c r="Y324" s="239" t="str">
        <f>IF('CCUS Projects Database'!$R324&lt;&gt;"",HYPERLINK('CCUS Projects Database'!$R324,"Link 1"),"")</f>
        <v>Link 1</v>
      </c>
      <c r="Z324" s="239" t="str">
        <f>IF('CCUS Projects Database'!$S324&lt;&gt;"",HYPERLINK('CCUS Projects Database'!$S324,"Link 2"),"")</f>
        <v>Link 2</v>
      </c>
      <c r="AA324" s="239" t="str">
        <f>IF('CCUS Projects Database'!$T324&lt;&gt;"",HYPERLINK('CCUS Projects Database'!$T324,"Link 3"),"")</f>
        <v>Link 3</v>
      </c>
      <c r="AB324" s="239" t="str">
        <f>IF('CCUS Projects Database'!$U324&lt;&gt;"",HYPERLINK('CCUS Projects Database'!$U324,"Link 4"),"")</f>
        <v/>
      </c>
      <c r="AC324" s="239" t="str">
        <f>IF('CCUS Projects Database'!$V324&lt;&gt;"",HYPERLINK('CCUS Projects Database'!$V324,"Link 5"),"")</f>
        <v/>
      </c>
      <c r="AD324" s="239" t="str">
        <f>IF('CCUS Projects Database'!$W324&lt;&gt;"",HYPERLINK('CCUS Projects Database'!$W324,"Link 6"),"")</f>
        <v/>
      </c>
      <c r="AE324" s="239" t="str">
        <f>IF('CCUS Projects Database'!$X324&lt;&gt;"",HYPERLINK('CCUS Projects Database'!$X324,"Link 7"),"")</f>
        <v/>
      </c>
    </row>
    <row r="325" ht="14.25" customHeight="1">
      <c r="A325" s="233" t="s">
        <v>20081</v>
      </c>
      <c r="B325" s="234">
        <v>390.0</v>
      </c>
      <c r="C325" s="234" t="s">
        <v>18586</v>
      </c>
      <c r="D325" s="235" t="s">
        <v>20082</v>
      </c>
      <c r="E325" s="234" t="s">
        <v>18618</v>
      </c>
      <c r="F325" s="234">
        <v>2021.0</v>
      </c>
      <c r="G325" s="234">
        <v>2026.0</v>
      </c>
      <c r="H325" s="234">
        <v>2028.0</v>
      </c>
      <c r="I325" s="234" t="s">
        <v>18725</v>
      </c>
      <c r="J325" s="234" t="s">
        <v>18636</v>
      </c>
      <c r="K325" s="236" t="s">
        <v>18725</v>
      </c>
      <c r="L325" s="236" t="s">
        <v>20083</v>
      </c>
      <c r="M325" s="236">
        <v>0.501</v>
      </c>
      <c r="N325" s="234" t="s">
        <v>12270</v>
      </c>
      <c r="O325" s="237" t="s">
        <v>18675</v>
      </c>
      <c r="P325" s="238" t="s">
        <v>18966</v>
      </c>
      <c r="Q325" s="234" t="s">
        <v>18732</v>
      </c>
      <c r="R325" s="238" t="s">
        <v>19109</v>
      </c>
      <c r="S325" s="238" t="s">
        <v>19110</v>
      </c>
      <c r="T325" s="238" t="s">
        <v>19111</v>
      </c>
      <c r="U325" s="238" t="s">
        <v>18725</v>
      </c>
      <c r="V325" s="238" t="s">
        <v>18725</v>
      </c>
      <c r="W325" s="238" t="s">
        <v>18725</v>
      </c>
      <c r="X325" s="238" t="s">
        <v>18725</v>
      </c>
      <c r="Y325" s="239" t="str">
        <f>IF('CCUS Projects Database'!$R325&lt;&gt;"",HYPERLINK('CCUS Projects Database'!$R325,"Link 1"),"")</f>
        <v>Link 1</v>
      </c>
      <c r="Z325" s="239" t="str">
        <f>IF('CCUS Projects Database'!$S325&lt;&gt;"",HYPERLINK('CCUS Projects Database'!$S325,"Link 2"),"")</f>
        <v>Link 2</v>
      </c>
      <c r="AA325" s="239" t="str">
        <f>IF('CCUS Projects Database'!$T325&lt;&gt;"",HYPERLINK('CCUS Projects Database'!$T325,"Link 3"),"")</f>
        <v>Link 3</v>
      </c>
      <c r="AB325" s="239" t="str">
        <f>IF('CCUS Projects Database'!$U325&lt;&gt;"",HYPERLINK('CCUS Projects Database'!$U325,"Link 4"),"")</f>
        <v/>
      </c>
      <c r="AC325" s="239" t="str">
        <f>IF('CCUS Projects Database'!$V325&lt;&gt;"",HYPERLINK('CCUS Projects Database'!$V325,"Link 5"),"")</f>
        <v/>
      </c>
      <c r="AD325" s="239" t="str">
        <f>IF('CCUS Projects Database'!$W325&lt;&gt;"",HYPERLINK('CCUS Projects Database'!$W325,"Link 6"),"")</f>
        <v/>
      </c>
      <c r="AE325" s="239" t="str">
        <f>IF('CCUS Projects Database'!$X325&lt;&gt;"",HYPERLINK('CCUS Projects Database'!$X325,"Link 7"),"")</f>
        <v/>
      </c>
    </row>
    <row r="326" ht="14.25" customHeight="1">
      <c r="A326" s="233" t="s">
        <v>20084</v>
      </c>
      <c r="B326" s="234">
        <v>391.0</v>
      </c>
      <c r="C326" s="234" t="s">
        <v>18586</v>
      </c>
      <c r="D326" s="235" t="s">
        <v>20085</v>
      </c>
      <c r="E326" s="234" t="s">
        <v>18618</v>
      </c>
      <c r="F326" s="234">
        <v>2019.0</v>
      </c>
      <c r="G326" s="234" t="s">
        <v>18725</v>
      </c>
      <c r="H326" s="234">
        <v>2026.0</v>
      </c>
      <c r="I326" s="234" t="s">
        <v>18725</v>
      </c>
      <c r="J326" s="234" t="s">
        <v>18636</v>
      </c>
      <c r="K326" s="236" t="s">
        <v>18725</v>
      </c>
      <c r="L326" s="236">
        <v>1.5</v>
      </c>
      <c r="M326" s="236">
        <v>1.5</v>
      </c>
      <c r="N326" s="234" t="s">
        <v>18654</v>
      </c>
      <c r="O326" s="237" t="s">
        <v>18677</v>
      </c>
      <c r="P326" s="238" t="s">
        <v>18725</v>
      </c>
      <c r="Q326" s="234" t="s">
        <v>18732</v>
      </c>
      <c r="R326" s="238" t="s">
        <v>20086</v>
      </c>
      <c r="S326" s="238" t="s">
        <v>20087</v>
      </c>
      <c r="T326" s="238" t="s">
        <v>18725</v>
      </c>
      <c r="U326" s="238" t="s">
        <v>18725</v>
      </c>
      <c r="V326" s="238" t="s">
        <v>18725</v>
      </c>
      <c r="W326" s="238" t="s">
        <v>18725</v>
      </c>
      <c r="X326" s="238" t="s">
        <v>18725</v>
      </c>
      <c r="Y326" s="239" t="str">
        <f>IF('CCUS Projects Database'!$R326&lt;&gt;"",HYPERLINK('CCUS Projects Database'!$R326,"Link 1"),"")</f>
        <v>Link 1</v>
      </c>
      <c r="Z326" s="239" t="str">
        <f>IF('CCUS Projects Database'!$S326&lt;&gt;"",HYPERLINK('CCUS Projects Database'!$S326,"Link 2"),"")</f>
        <v>Link 2</v>
      </c>
      <c r="AA326" s="239" t="str">
        <f>IF('CCUS Projects Database'!$T326&lt;&gt;"",HYPERLINK('CCUS Projects Database'!$T326,"Link 3"),"")</f>
        <v/>
      </c>
      <c r="AB326" s="239" t="str">
        <f>IF('CCUS Projects Database'!$U326&lt;&gt;"",HYPERLINK('CCUS Projects Database'!$U326,"Link 4"),"")</f>
        <v/>
      </c>
      <c r="AC326" s="239" t="str">
        <f>IF('CCUS Projects Database'!$V326&lt;&gt;"",HYPERLINK('CCUS Projects Database'!$V326,"Link 5"),"")</f>
        <v/>
      </c>
      <c r="AD326" s="239" t="str">
        <f>IF('CCUS Projects Database'!$W326&lt;&gt;"",HYPERLINK('CCUS Projects Database'!$W326,"Link 6"),"")</f>
        <v/>
      </c>
      <c r="AE326" s="239" t="str">
        <f>IF('CCUS Projects Database'!$X326&lt;&gt;"",HYPERLINK('CCUS Projects Database'!$X326,"Link 7"),"")</f>
        <v/>
      </c>
    </row>
    <row r="327" ht="14.25" customHeight="1">
      <c r="A327" s="233" t="s">
        <v>8856</v>
      </c>
      <c r="B327" s="234">
        <v>392.0</v>
      </c>
      <c r="C327" s="234" t="s">
        <v>120</v>
      </c>
      <c r="D327" s="235" t="s">
        <v>20088</v>
      </c>
      <c r="E327" s="234" t="s">
        <v>18618</v>
      </c>
      <c r="F327" s="234">
        <v>2021.0</v>
      </c>
      <c r="G327" s="234" t="s">
        <v>18725</v>
      </c>
      <c r="H327" s="234">
        <v>2030.0</v>
      </c>
      <c r="I327" s="234" t="s">
        <v>18725</v>
      </c>
      <c r="J327" s="234" t="s">
        <v>18636</v>
      </c>
      <c r="K327" s="236" t="s">
        <v>18725</v>
      </c>
      <c r="L327" s="236">
        <v>0.5</v>
      </c>
      <c r="M327" s="236">
        <v>0.5</v>
      </c>
      <c r="N327" s="234" t="s">
        <v>18661</v>
      </c>
      <c r="O327" s="237" t="s">
        <v>18683</v>
      </c>
      <c r="P327" s="238" t="s">
        <v>18725</v>
      </c>
      <c r="Q327" s="234" t="s">
        <v>18726</v>
      </c>
      <c r="R327" s="238" t="s">
        <v>20089</v>
      </c>
      <c r="S327" s="238" t="s">
        <v>20090</v>
      </c>
      <c r="T327" s="238" t="s">
        <v>20091</v>
      </c>
      <c r="U327" s="238" t="s">
        <v>18725</v>
      </c>
      <c r="V327" s="238" t="s">
        <v>18725</v>
      </c>
      <c r="W327" s="238" t="s">
        <v>18725</v>
      </c>
      <c r="X327" s="238" t="s">
        <v>18725</v>
      </c>
      <c r="Y327" s="239" t="str">
        <f>IF('CCUS Projects Database'!$R327&lt;&gt;"",HYPERLINK('CCUS Projects Database'!$R327,"Link 1"),"")</f>
        <v>Link 1</v>
      </c>
      <c r="Z327" s="239" t="str">
        <f>IF('CCUS Projects Database'!$S327&lt;&gt;"",HYPERLINK('CCUS Projects Database'!$S327,"Link 2"),"")</f>
        <v>Link 2</v>
      </c>
      <c r="AA327" s="239" t="str">
        <f>IF('CCUS Projects Database'!$T327&lt;&gt;"",HYPERLINK('CCUS Projects Database'!$T327,"Link 3"),"")</f>
        <v>Link 3</v>
      </c>
      <c r="AB327" s="239" t="str">
        <f>IF('CCUS Projects Database'!$U327&lt;&gt;"",HYPERLINK('CCUS Projects Database'!$U327,"Link 4"),"")</f>
        <v/>
      </c>
      <c r="AC327" s="239" t="str">
        <f>IF('CCUS Projects Database'!$V327&lt;&gt;"",HYPERLINK('CCUS Projects Database'!$V327,"Link 5"),"")</f>
        <v/>
      </c>
      <c r="AD327" s="239" t="str">
        <f>IF('CCUS Projects Database'!$W327&lt;&gt;"",HYPERLINK('CCUS Projects Database'!$W327,"Link 6"),"")</f>
        <v/>
      </c>
      <c r="AE327" s="239" t="str">
        <f>IF('CCUS Projects Database'!$X327&lt;&gt;"",HYPERLINK('CCUS Projects Database'!$X327,"Link 7"),"")</f>
        <v/>
      </c>
    </row>
    <row r="328" ht="14.25" customHeight="1">
      <c r="A328" s="233" t="s">
        <v>20092</v>
      </c>
      <c r="B328" s="234">
        <v>394.0</v>
      </c>
      <c r="C328" s="234" t="s">
        <v>164</v>
      </c>
      <c r="D328" s="235" t="s">
        <v>20093</v>
      </c>
      <c r="E328" s="234" t="s">
        <v>18625</v>
      </c>
      <c r="F328" s="234">
        <v>2019.0</v>
      </c>
      <c r="G328" s="234">
        <v>2021.0</v>
      </c>
      <c r="H328" s="234">
        <v>2025.0</v>
      </c>
      <c r="I328" s="234" t="s">
        <v>18725</v>
      </c>
      <c r="J328" s="234" t="s">
        <v>12385</v>
      </c>
      <c r="K328" s="236" t="s">
        <v>18725</v>
      </c>
      <c r="L328" s="236">
        <v>0.1</v>
      </c>
      <c r="M328" s="236">
        <v>0.1</v>
      </c>
      <c r="N328" s="234" t="s">
        <v>18654</v>
      </c>
      <c r="O328" s="237" t="s">
        <v>18679</v>
      </c>
      <c r="P328" s="238" t="s">
        <v>18725</v>
      </c>
      <c r="Q328" s="234" t="s">
        <v>18726</v>
      </c>
      <c r="R328" s="238" t="s">
        <v>20094</v>
      </c>
      <c r="S328" s="238" t="s">
        <v>20095</v>
      </c>
      <c r="T328" s="238" t="s">
        <v>20096</v>
      </c>
      <c r="U328" s="238" t="s">
        <v>18725</v>
      </c>
      <c r="V328" s="238" t="s">
        <v>18725</v>
      </c>
      <c r="W328" s="238" t="s">
        <v>18725</v>
      </c>
      <c r="X328" s="238" t="s">
        <v>18725</v>
      </c>
      <c r="Y328" s="239" t="str">
        <f>IF('CCUS Projects Database'!$R328&lt;&gt;"",HYPERLINK('CCUS Projects Database'!$R328,"Link 1"),"")</f>
        <v>Link 1</v>
      </c>
      <c r="Z328" s="239" t="str">
        <f>IF('CCUS Projects Database'!$S328&lt;&gt;"",HYPERLINK('CCUS Projects Database'!$S328,"Link 2"),"")</f>
        <v>Link 2</v>
      </c>
      <c r="AA328" s="239" t="str">
        <f>IF('CCUS Projects Database'!$T328&lt;&gt;"",HYPERLINK('CCUS Projects Database'!$T328,"Link 3"),"")</f>
        <v>Link 3</v>
      </c>
      <c r="AB328" s="239" t="str">
        <f>IF('CCUS Projects Database'!$U328&lt;&gt;"",HYPERLINK('CCUS Projects Database'!$U328,"Link 4"),"")</f>
        <v/>
      </c>
      <c r="AC328" s="239" t="str">
        <f>IF('CCUS Projects Database'!$V328&lt;&gt;"",HYPERLINK('CCUS Projects Database'!$V328,"Link 5"),"")</f>
        <v/>
      </c>
      <c r="AD328" s="239" t="str">
        <f>IF('CCUS Projects Database'!$W328&lt;&gt;"",HYPERLINK('CCUS Projects Database'!$W328,"Link 6"),"")</f>
        <v/>
      </c>
      <c r="AE328" s="239" t="str">
        <f>IF('CCUS Projects Database'!$X328&lt;&gt;"",HYPERLINK('CCUS Projects Database'!$X328,"Link 7"),"")</f>
        <v/>
      </c>
    </row>
    <row r="329" ht="14.25" customHeight="1">
      <c r="A329" s="233" t="s">
        <v>20097</v>
      </c>
      <c r="B329" s="234">
        <v>395.0</v>
      </c>
      <c r="C329" s="234" t="s">
        <v>18530</v>
      </c>
      <c r="D329" s="235" t="s">
        <v>20098</v>
      </c>
      <c r="E329" s="234" t="s">
        <v>18616</v>
      </c>
      <c r="F329" s="234">
        <v>2013.0</v>
      </c>
      <c r="G329" s="234">
        <v>2013.0</v>
      </c>
      <c r="H329" s="234">
        <v>2015.0</v>
      </c>
      <c r="I329" s="234" t="s">
        <v>18725</v>
      </c>
      <c r="J329" s="234" t="s">
        <v>12385</v>
      </c>
      <c r="K329" s="236" t="s">
        <v>18725</v>
      </c>
      <c r="L329" s="236">
        <v>0.8</v>
      </c>
      <c r="M329" s="236">
        <v>0.8</v>
      </c>
      <c r="N329" s="234" t="s">
        <v>18656</v>
      </c>
      <c r="O329" s="237" t="s">
        <v>19033</v>
      </c>
      <c r="P329" s="238" t="s">
        <v>18725</v>
      </c>
      <c r="Q329" s="234" t="s">
        <v>18293</v>
      </c>
      <c r="R329" s="238" t="s">
        <v>20099</v>
      </c>
      <c r="S329" s="238" t="s">
        <v>20100</v>
      </c>
      <c r="T329" s="238" t="s">
        <v>20101</v>
      </c>
      <c r="U329" s="238" t="s">
        <v>18725</v>
      </c>
      <c r="V329" s="238" t="s">
        <v>18725</v>
      </c>
      <c r="W329" s="238" t="s">
        <v>18725</v>
      </c>
      <c r="X329" s="238" t="s">
        <v>18725</v>
      </c>
      <c r="Y329" s="239" t="str">
        <f>IF('CCUS Projects Database'!$R329&lt;&gt;"",HYPERLINK('CCUS Projects Database'!$R329,"Link 1"),"")</f>
        <v>Link 1</v>
      </c>
      <c r="Z329" s="239" t="str">
        <f>IF('CCUS Projects Database'!$S329&lt;&gt;"",HYPERLINK('CCUS Projects Database'!$S329,"Link 2"),"")</f>
        <v>Link 2</v>
      </c>
      <c r="AA329" s="239" t="str">
        <f>IF('CCUS Projects Database'!$T329&lt;&gt;"",HYPERLINK('CCUS Projects Database'!$T329,"Link 3"),"")</f>
        <v>Link 3</v>
      </c>
      <c r="AB329" s="239" t="str">
        <f>IF('CCUS Projects Database'!$U329&lt;&gt;"",HYPERLINK('CCUS Projects Database'!$U329,"Link 4"),"")</f>
        <v/>
      </c>
      <c r="AC329" s="239" t="str">
        <f>IF('CCUS Projects Database'!$V329&lt;&gt;"",HYPERLINK('CCUS Projects Database'!$V329,"Link 5"),"")</f>
        <v/>
      </c>
      <c r="AD329" s="239" t="str">
        <f>IF('CCUS Projects Database'!$W329&lt;&gt;"",HYPERLINK('CCUS Projects Database'!$W329,"Link 6"),"")</f>
        <v/>
      </c>
      <c r="AE329" s="239" t="str">
        <f>IF('CCUS Projects Database'!$X329&lt;&gt;"",HYPERLINK('CCUS Projects Database'!$X329,"Link 7"),"")</f>
        <v/>
      </c>
    </row>
    <row r="330" ht="14.25" customHeight="1">
      <c r="A330" s="233" t="s">
        <v>20102</v>
      </c>
      <c r="B330" s="234">
        <v>396.0</v>
      </c>
      <c r="C330" s="234" t="s">
        <v>51</v>
      </c>
      <c r="D330" s="235" t="s">
        <v>20103</v>
      </c>
      <c r="E330" s="234" t="s">
        <v>18618</v>
      </c>
      <c r="F330" s="234">
        <v>2021.0</v>
      </c>
      <c r="G330" s="234" t="s">
        <v>18725</v>
      </c>
      <c r="H330" s="234">
        <v>2028.0</v>
      </c>
      <c r="I330" s="234" t="s">
        <v>18725</v>
      </c>
      <c r="J330" s="234" t="s">
        <v>18636</v>
      </c>
      <c r="K330" s="236" t="s">
        <v>18725</v>
      </c>
      <c r="L330" s="236">
        <v>0.26</v>
      </c>
      <c r="M330" s="236">
        <v>0.26</v>
      </c>
      <c r="N330" s="234" t="s">
        <v>18654</v>
      </c>
      <c r="O330" s="237" t="s">
        <v>18675</v>
      </c>
      <c r="P330" s="238" t="s">
        <v>18725</v>
      </c>
      <c r="Q330" s="234" t="s">
        <v>18726</v>
      </c>
      <c r="R330" s="238" t="s">
        <v>20104</v>
      </c>
      <c r="S330" s="238" t="s">
        <v>20105</v>
      </c>
      <c r="T330" s="238" t="s">
        <v>18725</v>
      </c>
      <c r="U330" s="238" t="s">
        <v>18725</v>
      </c>
      <c r="V330" s="238" t="s">
        <v>18725</v>
      </c>
      <c r="W330" s="238" t="s">
        <v>18725</v>
      </c>
      <c r="X330" s="238" t="s">
        <v>18725</v>
      </c>
      <c r="Y330" s="239" t="str">
        <f>IF('CCUS Projects Database'!$R330&lt;&gt;"",HYPERLINK('CCUS Projects Database'!$R330,"Link 1"),"")</f>
        <v>Link 1</v>
      </c>
      <c r="Z330" s="239" t="str">
        <f>IF('CCUS Projects Database'!$S330&lt;&gt;"",HYPERLINK('CCUS Projects Database'!$S330,"Link 2"),"")</f>
        <v>Link 2</v>
      </c>
      <c r="AA330" s="239" t="str">
        <f>IF('CCUS Projects Database'!$T330&lt;&gt;"",HYPERLINK('CCUS Projects Database'!$T330,"Link 3"),"")</f>
        <v/>
      </c>
      <c r="AB330" s="239" t="str">
        <f>IF('CCUS Projects Database'!$U330&lt;&gt;"",HYPERLINK('CCUS Projects Database'!$U330,"Link 4"),"")</f>
        <v/>
      </c>
      <c r="AC330" s="239" t="str">
        <f>IF('CCUS Projects Database'!$V330&lt;&gt;"",HYPERLINK('CCUS Projects Database'!$V330,"Link 5"),"")</f>
        <v/>
      </c>
      <c r="AD330" s="239" t="str">
        <f>IF('CCUS Projects Database'!$W330&lt;&gt;"",HYPERLINK('CCUS Projects Database'!$W330,"Link 6"),"")</f>
        <v/>
      </c>
      <c r="AE330" s="239" t="str">
        <f>IF('CCUS Projects Database'!$X330&lt;&gt;"",HYPERLINK('CCUS Projects Database'!$X330,"Link 7"),"")</f>
        <v/>
      </c>
    </row>
    <row r="331" ht="14.25" customHeight="1">
      <c r="A331" s="233" t="s">
        <v>20106</v>
      </c>
      <c r="B331" s="234">
        <v>397.0</v>
      </c>
      <c r="C331" s="234" t="s">
        <v>18586</v>
      </c>
      <c r="D331" s="235" t="s">
        <v>20107</v>
      </c>
      <c r="E331" s="234" t="s">
        <v>18618</v>
      </c>
      <c r="F331" s="234">
        <v>2019.0</v>
      </c>
      <c r="G331" s="234" t="s">
        <v>18725</v>
      </c>
      <c r="H331" s="234">
        <v>2026.0</v>
      </c>
      <c r="I331" s="234" t="s">
        <v>18725</v>
      </c>
      <c r="J331" s="234" t="s">
        <v>18636</v>
      </c>
      <c r="K331" s="236" t="s">
        <v>18725</v>
      </c>
      <c r="L331" s="236" t="s">
        <v>20108</v>
      </c>
      <c r="M331" s="236">
        <v>0.5</v>
      </c>
      <c r="N331" s="234" t="s">
        <v>12270</v>
      </c>
      <c r="O331" s="237" t="s">
        <v>18677</v>
      </c>
      <c r="P331" s="238" t="s">
        <v>20109</v>
      </c>
      <c r="Q331" s="234" t="s">
        <v>18732</v>
      </c>
      <c r="R331" s="238" t="s">
        <v>20110</v>
      </c>
      <c r="S331" s="238" t="s">
        <v>18725</v>
      </c>
      <c r="T331" s="238" t="s">
        <v>18725</v>
      </c>
      <c r="U331" s="238" t="s">
        <v>18725</v>
      </c>
      <c r="V331" s="238" t="s">
        <v>18725</v>
      </c>
      <c r="W331" s="238" t="s">
        <v>18725</v>
      </c>
      <c r="X331" s="238" t="s">
        <v>18725</v>
      </c>
      <c r="Y331" s="239" t="str">
        <f>IF('CCUS Projects Database'!$R331&lt;&gt;"",HYPERLINK('CCUS Projects Database'!$R331,"Link 1"),"")</f>
        <v>Link 1</v>
      </c>
      <c r="Z331" s="239" t="str">
        <f>IF('CCUS Projects Database'!$S331&lt;&gt;"",HYPERLINK('CCUS Projects Database'!$S331,"Link 2"),"")</f>
        <v/>
      </c>
      <c r="AA331" s="239" t="str">
        <f>IF('CCUS Projects Database'!$T331&lt;&gt;"",HYPERLINK('CCUS Projects Database'!$T331,"Link 3"),"")</f>
        <v/>
      </c>
      <c r="AB331" s="239" t="str">
        <f>IF('CCUS Projects Database'!$U331&lt;&gt;"",HYPERLINK('CCUS Projects Database'!$U331,"Link 4"),"")</f>
        <v/>
      </c>
      <c r="AC331" s="239" t="str">
        <f>IF('CCUS Projects Database'!$V331&lt;&gt;"",HYPERLINK('CCUS Projects Database'!$V331,"Link 5"),"")</f>
        <v/>
      </c>
      <c r="AD331" s="239" t="str">
        <f>IF('CCUS Projects Database'!$W331&lt;&gt;"",HYPERLINK('CCUS Projects Database'!$W331,"Link 6"),"")</f>
        <v/>
      </c>
      <c r="AE331" s="239" t="str">
        <f>IF('CCUS Projects Database'!$X331&lt;&gt;"",HYPERLINK('CCUS Projects Database'!$X331,"Link 7"),"")</f>
        <v/>
      </c>
    </row>
    <row r="332" ht="14.25" customHeight="1">
      <c r="A332" s="233" t="s">
        <v>20111</v>
      </c>
      <c r="B332" s="234">
        <v>398.0</v>
      </c>
      <c r="C332" s="234" t="s">
        <v>18586</v>
      </c>
      <c r="D332" s="235" t="s">
        <v>20112</v>
      </c>
      <c r="E332" s="234" t="s">
        <v>18618</v>
      </c>
      <c r="F332" s="234">
        <v>2021.0</v>
      </c>
      <c r="G332" s="234" t="s">
        <v>18725</v>
      </c>
      <c r="H332" s="234" t="s">
        <v>18725</v>
      </c>
      <c r="I332" s="234" t="s">
        <v>18725</v>
      </c>
      <c r="J332" s="234" t="s">
        <v>18636</v>
      </c>
      <c r="K332" s="236" t="s">
        <v>18725</v>
      </c>
      <c r="L332" s="236">
        <v>0.5</v>
      </c>
      <c r="M332" s="236">
        <v>0.5</v>
      </c>
      <c r="N332" s="234" t="s">
        <v>18656</v>
      </c>
      <c r="O332" s="237" t="s">
        <v>18683</v>
      </c>
      <c r="P332" s="238" t="s">
        <v>20113</v>
      </c>
      <c r="Q332" s="234" t="s">
        <v>18732</v>
      </c>
      <c r="R332" s="238" t="s">
        <v>20114</v>
      </c>
      <c r="S332" s="238" t="s">
        <v>20115</v>
      </c>
      <c r="T332" s="238" t="s">
        <v>18725</v>
      </c>
      <c r="U332" s="238" t="s">
        <v>18725</v>
      </c>
      <c r="V332" s="238" t="s">
        <v>18725</v>
      </c>
      <c r="W332" s="238" t="s">
        <v>18725</v>
      </c>
      <c r="X332" s="238" t="s">
        <v>18725</v>
      </c>
      <c r="Y332" s="239" t="str">
        <f>IF('CCUS Projects Database'!$R332&lt;&gt;"",HYPERLINK('CCUS Projects Database'!$R332,"Link 1"),"")</f>
        <v>Link 1</v>
      </c>
      <c r="Z332" s="239" t="str">
        <f>IF('CCUS Projects Database'!$S332&lt;&gt;"",HYPERLINK('CCUS Projects Database'!$S332,"Link 2"),"")</f>
        <v>Link 2</v>
      </c>
      <c r="AA332" s="239" t="str">
        <f>IF('CCUS Projects Database'!$T332&lt;&gt;"",HYPERLINK('CCUS Projects Database'!$T332,"Link 3"),"")</f>
        <v/>
      </c>
      <c r="AB332" s="239" t="str">
        <f>IF('CCUS Projects Database'!$U332&lt;&gt;"",HYPERLINK('CCUS Projects Database'!$U332,"Link 4"),"")</f>
        <v/>
      </c>
      <c r="AC332" s="239" t="str">
        <f>IF('CCUS Projects Database'!$V332&lt;&gt;"",HYPERLINK('CCUS Projects Database'!$V332,"Link 5"),"")</f>
        <v/>
      </c>
      <c r="AD332" s="239" t="str">
        <f>IF('CCUS Projects Database'!$W332&lt;&gt;"",HYPERLINK('CCUS Projects Database'!$W332,"Link 6"),"")</f>
        <v/>
      </c>
      <c r="AE332" s="239" t="str">
        <f>IF('CCUS Projects Database'!$X332&lt;&gt;"",HYPERLINK('CCUS Projects Database'!$X332,"Link 7"),"")</f>
        <v/>
      </c>
    </row>
    <row r="333" ht="14.25" customHeight="1">
      <c r="A333" s="233" t="s">
        <v>20116</v>
      </c>
      <c r="B333" s="234">
        <v>399.0</v>
      </c>
      <c r="C333" s="234" t="s">
        <v>18586</v>
      </c>
      <c r="D333" s="235" t="s">
        <v>20112</v>
      </c>
      <c r="E333" s="234" t="s">
        <v>18618</v>
      </c>
      <c r="F333" s="234">
        <v>2021.0</v>
      </c>
      <c r="G333" s="234" t="s">
        <v>18725</v>
      </c>
      <c r="H333" s="234" t="s">
        <v>18725</v>
      </c>
      <c r="I333" s="234" t="s">
        <v>18725</v>
      </c>
      <c r="J333" s="234" t="s">
        <v>18636</v>
      </c>
      <c r="K333" s="236" t="s">
        <v>18725</v>
      </c>
      <c r="L333" s="236">
        <v>0.5</v>
      </c>
      <c r="M333" s="236">
        <v>0.5</v>
      </c>
      <c r="N333" s="234" t="s">
        <v>18656</v>
      </c>
      <c r="O333" s="237" t="s">
        <v>18675</v>
      </c>
      <c r="P333" s="238" t="s">
        <v>20113</v>
      </c>
      <c r="Q333" s="234" t="s">
        <v>18732</v>
      </c>
      <c r="R333" s="238" t="s">
        <v>20114</v>
      </c>
      <c r="S333" s="238" t="s">
        <v>20117</v>
      </c>
      <c r="T333" s="238" t="s">
        <v>18725</v>
      </c>
      <c r="U333" s="238" t="s">
        <v>18725</v>
      </c>
      <c r="V333" s="238" t="s">
        <v>18725</v>
      </c>
      <c r="W333" s="238" t="s">
        <v>18725</v>
      </c>
      <c r="X333" s="238" t="s">
        <v>18725</v>
      </c>
      <c r="Y333" s="239" t="str">
        <f>IF('CCUS Projects Database'!$R333&lt;&gt;"",HYPERLINK('CCUS Projects Database'!$R333,"Link 1"),"")</f>
        <v>Link 1</v>
      </c>
      <c r="Z333" s="239" t="str">
        <f>IF('CCUS Projects Database'!$S333&lt;&gt;"",HYPERLINK('CCUS Projects Database'!$S333,"Link 2"),"")</f>
        <v>Link 2</v>
      </c>
      <c r="AA333" s="239" t="str">
        <f>IF('CCUS Projects Database'!$T333&lt;&gt;"",HYPERLINK('CCUS Projects Database'!$T333,"Link 3"),"")</f>
        <v/>
      </c>
      <c r="AB333" s="239" t="str">
        <f>IF('CCUS Projects Database'!$U333&lt;&gt;"",HYPERLINK('CCUS Projects Database'!$U333,"Link 4"),"")</f>
        <v/>
      </c>
      <c r="AC333" s="239" t="str">
        <f>IF('CCUS Projects Database'!$V333&lt;&gt;"",HYPERLINK('CCUS Projects Database'!$V333,"Link 5"),"")</f>
        <v/>
      </c>
      <c r="AD333" s="239" t="str">
        <f>IF('CCUS Projects Database'!$W333&lt;&gt;"",HYPERLINK('CCUS Projects Database'!$W333,"Link 6"),"")</f>
        <v/>
      </c>
      <c r="AE333" s="239" t="str">
        <f>IF('CCUS Projects Database'!$X333&lt;&gt;"",HYPERLINK('CCUS Projects Database'!$X333,"Link 7"),"")</f>
        <v/>
      </c>
    </row>
    <row r="334" ht="14.25" customHeight="1">
      <c r="A334" s="233" t="s">
        <v>20118</v>
      </c>
      <c r="B334" s="234">
        <v>400.0</v>
      </c>
      <c r="C334" s="234" t="s">
        <v>18586</v>
      </c>
      <c r="D334" s="235" t="s">
        <v>20112</v>
      </c>
      <c r="E334" s="234" t="s">
        <v>18618</v>
      </c>
      <c r="F334" s="234">
        <v>2021.0</v>
      </c>
      <c r="G334" s="234" t="s">
        <v>18725</v>
      </c>
      <c r="H334" s="234" t="s">
        <v>18725</v>
      </c>
      <c r="I334" s="234" t="s">
        <v>18725</v>
      </c>
      <c r="J334" s="234" t="s">
        <v>18636</v>
      </c>
      <c r="K334" s="236" t="s">
        <v>18725</v>
      </c>
      <c r="L334" s="236" t="s">
        <v>18725</v>
      </c>
      <c r="M334" s="236" t="s">
        <v>18725</v>
      </c>
      <c r="N334" s="234" t="s">
        <v>18656</v>
      </c>
      <c r="O334" s="237" t="s">
        <v>18683</v>
      </c>
      <c r="P334" s="238" t="s">
        <v>20113</v>
      </c>
      <c r="Q334" s="234" t="s">
        <v>18732</v>
      </c>
      <c r="R334" s="238" t="s">
        <v>20114</v>
      </c>
      <c r="S334" s="238" t="s">
        <v>20115</v>
      </c>
      <c r="T334" s="238" t="s">
        <v>18725</v>
      </c>
      <c r="U334" s="238" t="s">
        <v>18725</v>
      </c>
      <c r="V334" s="238" t="s">
        <v>18725</v>
      </c>
      <c r="W334" s="238" t="s">
        <v>18725</v>
      </c>
      <c r="X334" s="238" t="s">
        <v>18725</v>
      </c>
      <c r="Y334" s="239" t="str">
        <f>IF('CCUS Projects Database'!$R334&lt;&gt;"",HYPERLINK('CCUS Projects Database'!$R334,"Link 1"),"")</f>
        <v>Link 1</v>
      </c>
      <c r="Z334" s="239" t="str">
        <f>IF('CCUS Projects Database'!$S334&lt;&gt;"",HYPERLINK('CCUS Projects Database'!$S334,"Link 2"),"")</f>
        <v>Link 2</v>
      </c>
      <c r="AA334" s="239" t="str">
        <f>IF('CCUS Projects Database'!$T334&lt;&gt;"",HYPERLINK('CCUS Projects Database'!$T334,"Link 3"),"")</f>
        <v/>
      </c>
      <c r="AB334" s="239" t="str">
        <f>IF('CCUS Projects Database'!$U334&lt;&gt;"",HYPERLINK('CCUS Projects Database'!$U334,"Link 4"),"")</f>
        <v/>
      </c>
      <c r="AC334" s="239" t="str">
        <f>IF('CCUS Projects Database'!$V334&lt;&gt;"",HYPERLINK('CCUS Projects Database'!$V334,"Link 5"),"")</f>
        <v/>
      </c>
      <c r="AD334" s="239" t="str">
        <f>IF('CCUS Projects Database'!$W334&lt;&gt;"",HYPERLINK('CCUS Projects Database'!$W334,"Link 6"),"")</f>
        <v/>
      </c>
      <c r="AE334" s="239" t="str">
        <f>IF('CCUS Projects Database'!$X334&lt;&gt;"",HYPERLINK('CCUS Projects Database'!$X334,"Link 7"),"")</f>
        <v/>
      </c>
    </row>
    <row r="335" ht="14.25" customHeight="1">
      <c r="A335" s="233" t="s">
        <v>20119</v>
      </c>
      <c r="B335" s="234">
        <v>401.0</v>
      </c>
      <c r="C335" s="234" t="s">
        <v>86</v>
      </c>
      <c r="D335" s="235" t="s">
        <v>20120</v>
      </c>
      <c r="E335" s="234" t="s">
        <v>18618</v>
      </c>
      <c r="F335" s="234">
        <v>2019.0</v>
      </c>
      <c r="G335" s="234" t="s">
        <v>18725</v>
      </c>
      <c r="H335" s="234">
        <v>2026.0</v>
      </c>
      <c r="I335" s="234" t="s">
        <v>18725</v>
      </c>
      <c r="J335" s="234" t="s">
        <v>18636</v>
      </c>
      <c r="K335" s="236" t="s">
        <v>18725</v>
      </c>
      <c r="L335" s="236">
        <v>0.5</v>
      </c>
      <c r="M335" s="236">
        <v>0.5</v>
      </c>
      <c r="N335" s="234" t="s">
        <v>18654</v>
      </c>
      <c r="O335" s="237" t="s">
        <v>18675</v>
      </c>
      <c r="P335" s="238" t="s">
        <v>18725</v>
      </c>
      <c r="Q335" s="234" t="s">
        <v>18726</v>
      </c>
      <c r="R335" s="238" t="s">
        <v>20121</v>
      </c>
      <c r="S335" s="238" t="s">
        <v>20122</v>
      </c>
      <c r="T335" s="238" t="s">
        <v>20123</v>
      </c>
      <c r="U335" s="238" t="s">
        <v>20124</v>
      </c>
      <c r="V335" s="238" t="s">
        <v>20125</v>
      </c>
      <c r="W335" s="238" t="s">
        <v>20126</v>
      </c>
      <c r="X335" s="238" t="s">
        <v>20127</v>
      </c>
      <c r="Y335" s="239" t="str">
        <f>IF('CCUS Projects Database'!$R335&lt;&gt;"",HYPERLINK('CCUS Projects Database'!$R335,"Link 1"),"")</f>
        <v>Link 1</v>
      </c>
      <c r="Z335" s="239" t="str">
        <f>IF('CCUS Projects Database'!$S335&lt;&gt;"",HYPERLINK('CCUS Projects Database'!$S335,"Link 2"),"")</f>
        <v>Link 2</v>
      </c>
      <c r="AA335" s="239" t="str">
        <f>IF('CCUS Projects Database'!$T335&lt;&gt;"",HYPERLINK('CCUS Projects Database'!$T335,"Link 3"),"")</f>
        <v>Link 3</v>
      </c>
      <c r="AB335" s="239" t="str">
        <f>IF('CCUS Projects Database'!$U335&lt;&gt;"",HYPERLINK('CCUS Projects Database'!$U335,"Link 4"),"")</f>
        <v>Link 4</v>
      </c>
      <c r="AC335" s="239" t="str">
        <f>IF('CCUS Projects Database'!$V335&lt;&gt;"",HYPERLINK('CCUS Projects Database'!$V335,"Link 5"),"")</f>
        <v>Link 5</v>
      </c>
      <c r="AD335" s="239" t="str">
        <f>IF('CCUS Projects Database'!$W335&lt;&gt;"",HYPERLINK('CCUS Projects Database'!$W335,"Link 6"),"")</f>
        <v>Link 6</v>
      </c>
      <c r="AE335" s="239" t="str">
        <f>IF('CCUS Projects Database'!$X335&lt;&gt;"",HYPERLINK('CCUS Projects Database'!$X335,"Link 7"),"")</f>
        <v>Link 7</v>
      </c>
    </row>
    <row r="336" ht="14.25" customHeight="1">
      <c r="A336" s="233" t="s">
        <v>20128</v>
      </c>
      <c r="B336" s="234">
        <v>402.0</v>
      </c>
      <c r="C336" s="234" t="s">
        <v>83</v>
      </c>
      <c r="D336" s="235" t="s">
        <v>20129</v>
      </c>
      <c r="E336" s="234" t="s">
        <v>18618</v>
      </c>
      <c r="F336" s="234">
        <v>2021.0</v>
      </c>
      <c r="G336" s="234">
        <v>2025.0</v>
      </c>
      <c r="H336" s="234">
        <v>2026.0</v>
      </c>
      <c r="I336" s="234" t="s">
        <v>18725</v>
      </c>
      <c r="J336" s="234" t="s">
        <v>18636</v>
      </c>
      <c r="K336" s="236" t="s">
        <v>18725</v>
      </c>
      <c r="L336" s="236">
        <v>0.9</v>
      </c>
      <c r="M336" s="236">
        <v>0.9</v>
      </c>
      <c r="N336" s="234" t="s">
        <v>18654</v>
      </c>
      <c r="O336" s="237" t="s">
        <v>18675</v>
      </c>
      <c r="P336" s="238" t="s">
        <v>18985</v>
      </c>
      <c r="Q336" s="234" t="s">
        <v>18726</v>
      </c>
      <c r="R336" s="238" t="s">
        <v>20130</v>
      </c>
      <c r="S336" s="238" t="s">
        <v>20131</v>
      </c>
      <c r="T336" s="238" t="s">
        <v>20132</v>
      </c>
      <c r="U336" s="238" t="s">
        <v>19369</v>
      </c>
      <c r="V336" s="238" t="s">
        <v>20133</v>
      </c>
      <c r="W336" s="238" t="s">
        <v>18725</v>
      </c>
      <c r="X336" s="238" t="s">
        <v>18725</v>
      </c>
      <c r="Y336" s="239" t="str">
        <f>IF('CCUS Projects Database'!$R336&lt;&gt;"",HYPERLINK('CCUS Projects Database'!$R336,"Link 1"),"")</f>
        <v>Link 1</v>
      </c>
      <c r="Z336" s="239" t="str">
        <f>IF('CCUS Projects Database'!$S336&lt;&gt;"",HYPERLINK('CCUS Projects Database'!$S336,"Link 2"),"")</f>
        <v>Link 2</v>
      </c>
      <c r="AA336" s="239" t="str">
        <f>IF('CCUS Projects Database'!$T336&lt;&gt;"",HYPERLINK('CCUS Projects Database'!$T336,"Link 3"),"")</f>
        <v>Link 3</v>
      </c>
      <c r="AB336" s="239" t="str">
        <f>IF('CCUS Projects Database'!$U336&lt;&gt;"",HYPERLINK('CCUS Projects Database'!$U336,"Link 4"),"")</f>
        <v>Link 4</v>
      </c>
      <c r="AC336" s="239" t="str">
        <f>IF('CCUS Projects Database'!$V336&lt;&gt;"",HYPERLINK('CCUS Projects Database'!$V336,"Link 5"),"")</f>
        <v>Link 5</v>
      </c>
      <c r="AD336" s="239" t="str">
        <f>IF('CCUS Projects Database'!$W336&lt;&gt;"",HYPERLINK('CCUS Projects Database'!$W336,"Link 6"),"")</f>
        <v/>
      </c>
      <c r="AE336" s="239" t="str">
        <f>IF('CCUS Projects Database'!$X336&lt;&gt;"",HYPERLINK('CCUS Projects Database'!$X336,"Link 7"),"")</f>
        <v/>
      </c>
    </row>
    <row r="337" ht="14.25" customHeight="1">
      <c r="A337" s="233" t="s">
        <v>20134</v>
      </c>
      <c r="B337" s="234">
        <v>403.0</v>
      </c>
      <c r="C337" s="234" t="s">
        <v>83</v>
      </c>
      <c r="D337" s="235" t="s">
        <v>20135</v>
      </c>
      <c r="E337" s="234" t="s">
        <v>18623</v>
      </c>
      <c r="F337" s="234">
        <v>2020.0</v>
      </c>
      <c r="G337" s="234">
        <v>2025.0</v>
      </c>
      <c r="H337" s="234">
        <v>2027.0</v>
      </c>
      <c r="I337" s="234" t="s">
        <v>18725</v>
      </c>
      <c r="J337" s="234" t="s">
        <v>18636</v>
      </c>
      <c r="K337" s="236">
        <v>1.0</v>
      </c>
      <c r="L337" s="236">
        <v>3.6</v>
      </c>
      <c r="M337" s="236">
        <v>3.6</v>
      </c>
      <c r="N337" s="234" t="s">
        <v>18623</v>
      </c>
      <c r="O337" s="237" t="s">
        <v>18675</v>
      </c>
      <c r="P337" s="238" t="s">
        <v>19115</v>
      </c>
      <c r="Q337" s="234" t="s">
        <v>18726</v>
      </c>
      <c r="R337" s="238" t="s">
        <v>18747</v>
      </c>
      <c r="S337" s="238" t="s">
        <v>20136</v>
      </c>
      <c r="T337" s="238" t="s">
        <v>20137</v>
      </c>
      <c r="U337" s="238" t="s">
        <v>20138</v>
      </c>
      <c r="V337" s="238" t="s">
        <v>20139</v>
      </c>
      <c r="W337" s="238" t="s">
        <v>20140</v>
      </c>
      <c r="X337" s="238" t="s">
        <v>20141</v>
      </c>
      <c r="Y337" s="239" t="str">
        <f>IF('CCUS Projects Database'!$R337&lt;&gt;"",HYPERLINK('CCUS Projects Database'!$R337,"Link 1"),"")</f>
        <v>Link 1</v>
      </c>
      <c r="Z337" s="239" t="str">
        <f>IF('CCUS Projects Database'!$S337&lt;&gt;"",HYPERLINK('CCUS Projects Database'!$S337,"Link 2"),"")</f>
        <v>Link 2</v>
      </c>
      <c r="AA337" s="239" t="str">
        <f>IF('CCUS Projects Database'!$T337&lt;&gt;"",HYPERLINK('CCUS Projects Database'!$T337,"Link 3"),"")</f>
        <v>Link 3</v>
      </c>
      <c r="AB337" s="239" t="str">
        <f>IF('CCUS Projects Database'!$U337&lt;&gt;"",HYPERLINK('CCUS Projects Database'!$U337,"Link 4"),"")</f>
        <v>Link 4</v>
      </c>
      <c r="AC337" s="239" t="str">
        <f>IF('CCUS Projects Database'!$V337&lt;&gt;"",HYPERLINK('CCUS Projects Database'!$V337,"Link 5"),"")</f>
        <v>Link 5</v>
      </c>
      <c r="AD337" s="239" t="str">
        <f>IF('CCUS Projects Database'!$W337&lt;&gt;"",HYPERLINK('CCUS Projects Database'!$W337,"Link 6"),"")</f>
        <v>Link 6</v>
      </c>
      <c r="AE337" s="239" t="str">
        <f>IF('CCUS Projects Database'!$X337&lt;&gt;"",HYPERLINK('CCUS Projects Database'!$X337,"Link 7"),"")</f>
        <v>Link 7</v>
      </c>
    </row>
    <row r="338" ht="14.25" customHeight="1">
      <c r="A338" s="233" t="s">
        <v>20142</v>
      </c>
      <c r="B338" s="234">
        <v>404.0</v>
      </c>
      <c r="C338" s="234" t="s">
        <v>83</v>
      </c>
      <c r="D338" s="235" t="s">
        <v>20143</v>
      </c>
      <c r="E338" s="234" t="s">
        <v>18623</v>
      </c>
      <c r="F338" s="234">
        <v>2020.0</v>
      </c>
      <c r="G338" s="234" t="s">
        <v>18725</v>
      </c>
      <c r="H338" s="234">
        <v>2030.0</v>
      </c>
      <c r="I338" s="234" t="s">
        <v>18725</v>
      </c>
      <c r="J338" s="234" t="s">
        <v>18636</v>
      </c>
      <c r="K338" s="236">
        <v>2.0</v>
      </c>
      <c r="L338" s="236">
        <v>6.4</v>
      </c>
      <c r="M338" s="236">
        <v>6.4</v>
      </c>
      <c r="N338" s="234" t="s">
        <v>18623</v>
      </c>
      <c r="O338" s="237" t="s">
        <v>18675</v>
      </c>
      <c r="P338" s="238" t="s">
        <v>19115</v>
      </c>
      <c r="Q338" s="234" t="s">
        <v>18726</v>
      </c>
      <c r="R338" s="238" t="s">
        <v>18747</v>
      </c>
      <c r="S338" s="238" t="s">
        <v>20136</v>
      </c>
      <c r="T338" s="238" t="s">
        <v>20137</v>
      </c>
      <c r="U338" s="238" t="s">
        <v>20139</v>
      </c>
      <c r="V338" s="238" t="s">
        <v>20140</v>
      </c>
      <c r="W338" s="238" t="s">
        <v>18725</v>
      </c>
      <c r="X338" s="238" t="s">
        <v>18725</v>
      </c>
      <c r="Y338" s="239" t="str">
        <f>IF('CCUS Projects Database'!$R338&lt;&gt;"",HYPERLINK('CCUS Projects Database'!$R338,"Link 1"),"")</f>
        <v>Link 1</v>
      </c>
      <c r="Z338" s="239" t="str">
        <f>IF('CCUS Projects Database'!$S338&lt;&gt;"",HYPERLINK('CCUS Projects Database'!$S338,"Link 2"),"")</f>
        <v>Link 2</v>
      </c>
      <c r="AA338" s="239" t="str">
        <f>IF('CCUS Projects Database'!$T338&lt;&gt;"",HYPERLINK('CCUS Projects Database'!$T338,"Link 3"),"")</f>
        <v>Link 3</v>
      </c>
      <c r="AB338" s="239" t="str">
        <f>IF('CCUS Projects Database'!$U338&lt;&gt;"",HYPERLINK('CCUS Projects Database'!$U338,"Link 4"),"")</f>
        <v>Link 4</v>
      </c>
      <c r="AC338" s="239" t="str">
        <f>IF('CCUS Projects Database'!$V338&lt;&gt;"",HYPERLINK('CCUS Projects Database'!$V338,"Link 5"),"")</f>
        <v>Link 5</v>
      </c>
      <c r="AD338" s="239" t="str">
        <f>IF('CCUS Projects Database'!$W338&lt;&gt;"",HYPERLINK('CCUS Projects Database'!$W338,"Link 6"),"")</f>
        <v/>
      </c>
      <c r="AE338" s="239" t="str">
        <f>IF('CCUS Projects Database'!$X338&lt;&gt;"",HYPERLINK('CCUS Projects Database'!$X338,"Link 7"),"")</f>
        <v/>
      </c>
    </row>
    <row r="339" ht="14.25" customHeight="1">
      <c r="A339" s="233" t="s">
        <v>20144</v>
      </c>
      <c r="B339" s="234">
        <v>405.0</v>
      </c>
      <c r="C339" s="234" t="s">
        <v>83</v>
      </c>
      <c r="D339" s="235" t="s">
        <v>20145</v>
      </c>
      <c r="E339" s="234" t="s">
        <v>18618</v>
      </c>
      <c r="F339" s="234">
        <v>2019.0</v>
      </c>
      <c r="G339" s="234" t="s">
        <v>18725</v>
      </c>
      <c r="H339" s="234">
        <v>2027.0</v>
      </c>
      <c r="I339" s="234" t="s">
        <v>18725</v>
      </c>
      <c r="J339" s="234" t="s">
        <v>18636</v>
      </c>
      <c r="K339" s="236" t="s">
        <v>18725</v>
      </c>
      <c r="L339" s="236">
        <v>3.3</v>
      </c>
      <c r="M339" s="236">
        <v>3.3</v>
      </c>
      <c r="N339" s="234" t="s">
        <v>18654</v>
      </c>
      <c r="O339" s="237" t="s">
        <v>18675</v>
      </c>
      <c r="P339" s="238" t="s">
        <v>19115</v>
      </c>
      <c r="Q339" s="234" t="s">
        <v>18726</v>
      </c>
      <c r="R339" s="238" t="s">
        <v>19806</v>
      </c>
      <c r="S339" s="238" t="s">
        <v>19807</v>
      </c>
      <c r="T339" s="238" t="s">
        <v>20146</v>
      </c>
      <c r="U339" s="238" t="s">
        <v>18725</v>
      </c>
      <c r="V339" s="238" t="s">
        <v>18725</v>
      </c>
      <c r="W339" s="238" t="s">
        <v>18725</v>
      </c>
      <c r="X339" s="238" t="s">
        <v>18725</v>
      </c>
      <c r="Y339" s="239" t="str">
        <f>IF('CCUS Projects Database'!$R339&lt;&gt;"",HYPERLINK('CCUS Projects Database'!$R339,"Link 1"),"")</f>
        <v>Link 1</v>
      </c>
      <c r="Z339" s="239" t="str">
        <f>IF('CCUS Projects Database'!$S339&lt;&gt;"",HYPERLINK('CCUS Projects Database'!$S339,"Link 2"),"")</f>
        <v>Link 2</v>
      </c>
      <c r="AA339" s="239" t="str">
        <f>IF('CCUS Projects Database'!$T339&lt;&gt;"",HYPERLINK('CCUS Projects Database'!$T339,"Link 3"),"")</f>
        <v>Link 3</v>
      </c>
      <c r="AB339" s="239" t="str">
        <f>IF('CCUS Projects Database'!$U339&lt;&gt;"",HYPERLINK('CCUS Projects Database'!$U339,"Link 4"),"")</f>
        <v/>
      </c>
      <c r="AC339" s="239" t="str">
        <f>IF('CCUS Projects Database'!$V339&lt;&gt;"",HYPERLINK('CCUS Projects Database'!$V339,"Link 5"),"")</f>
        <v/>
      </c>
      <c r="AD339" s="239" t="str">
        <f>IF('CCUS Projects Database'!$W339&lt;&gt;"",HYPERLINK('CCUS Projects Database'!$W339,"Link 6"),"")</f>
        <v/>
      </c>
      <c r="AE339" s="239" t="str">
        <f>IF('CCUS Projects Database'!$X339&lt;&gt;"",HYPERLINK('CCUS Projects Database'!$X339,"Link 7"),"")</f>
        <v/>
      </c>
    </row>
    <row r="340" ht="14.25" customHeight="1">
      <c r="A340" s="233" t="s">
        <v>20147</v>
      </c>
      <c r="B340" s="234">
        <v>406.0</v>
      </c>
      <c r="C340" s="234" t="s">
        <v>18586</v>
      </c>
      <c r="D340" s="235" t="s">
        <v>20148</v>
      </c>
      <c r="E340" s="234" t="s">
        <v>18616</v>
      </c>
      <c r="F340" s="234">
        <v>2016.0</v>
      </c>
      <c r="G340" s="234" t="s">
        <v>18725</v>
      </c>
      <c r="H340" s="234">
        <v>2026.0</v>
      </c>
      <c r="I340" s="234" t="s">
        <v>18725</v>
      </c>
      <c r="J340" s="234" t="s">
        <v>18636</v>
      </c>
      <c r="K340" s="236" t="s">
        <v>18725</v>
      </c>
      <c r="L340" s="236">
        <v>1.65</v>
      </c>
      <c r="M340" s="236">
        <v>1.65</v>
      </c>
      <c r="N340" s="234" t="s">
        <v>677</v>
      </c>
      <c r="O340" s="237" t="s">
        <v>18675</v>
      </c>
      <c r="P340" s="238" t="s">
        <v>20149</v>
      </c>
      <c r="Q340" s="234" t="s">
        <v>18732</v>
      </c>
      <c r="R340" s="238" t="s">
        <v>20150</v>
      </c>
      <c r="S340" s="238" t="s">
        <v>15758</v>
      </c>
      <c r="T340" s="238" t="s">
        <v>20151</v>
      </c>
      <c r="U340" s="238" t="s">
        <v>20152</v>
      </c>
      <c r="V340" s="238" t="s">
        <v>18725</v>
      </c>
      <c r="W340" s="238" t="s">
        <v>18725</v>
      </c>
      <c r="X340" s="238" t="s">
        <v>18725</v>
      </c>
      <c r="Y340" s="239" t="str">
        <f>IF('CCUS Projects Database'!$R340&lt;&gt;"",HYPERLINK('CCUS Projects Database'!$R340,"Link 1"),"")</f>
        <v>Link 1</v>
      </c>
      <c r="Z340" s="239" t="str">
        <f>IF('CCUS Projects Database'!$S340&lt;&gt;"",HYPERLINK('CCUS Projects Database'!$S340,"Link 2"),"")</f>
        <v>Link 2</v>
      </c>
      <c r="AA340" s="239" t="str">
        <f>IF('CCUS Projects Database'!$T340&lt;&gt;"",HYPERLINK('CCUS Projects Database'!$T340,"Link 3"),"")</f>
        <v>Link 3</v>
      </c>
      <c r="AB340" s="239" t="str">
        <f>IF('CCUS Projects Database'!$U340&lt;&gt;"",HYPERLINK('CCUS Projects Database'!$U340,"Link 4"),"")</f>
        <v>Link 4</v>
      </c>
      <c r="AC340" s="239" t="str">
        <f>IF('CCUS Projects Database'!$V340&lt;&gt;"",HYPERLINK('CCUS Projects Database'!$V340,"Link 5"),"")</f>
        <v/>
      </c>
      <c r="AD340" s="239" t="str">
        <f>IF('CCUS Projects Database'!$W340&lt;&gt;"",HYPERLINK('CCUS Projects Database'!$W340,"Link 6"),"")</f>
        <v/>
      </c>
      <c r="AE340" s="239" t="str">
        <f>IF('CCUS Projects Database'!$X340&lt;&gt;"",HYPERLINK('CCUS Projects Database'!$X340,"Link 7"),"")</f>
        <v/>
      </c>
    </row>
    <row r="341" ht="14.25" customHeight="1">
      <c r="A341" s="233" t="s">
        <v>20153</v>
      </c>
      <c r="B341" s="234">
        <v>407.0</v>
      </c>
      <c r="C341" s="234" t="s">
        <v>18264</v>
      </c>
      <c r="D341" s="235" t="s">
        <v>20154</v>
      </c>
      <c r="E341" s="234" t="s">
        <v>18618</v>
      </c>
      <c r="F341" s="234">
        <v>2011.0</v>
      </c>
      <c r="G341" s="234">
        <v>2018.0</v>
      </c>
      <c r="H341" s="234">
        <v>2020.0</v>
      </c>
      <c r="I341" s="234" t="s">
        <v>18725</v>
      </c>
      <c r="J341" s="234" t="s">
        <v>12385</v>
      </c>
      <c r="K341" s="236">
        <v>1.0</v>
      </c>
      <c r="L341" s="236">
        <v>0.3</v>
      </c>
      <c r="M341" s="236">
        <v>0.3</v>
      </c>
      <c r="N341" s="234" t="s">
        <v>677</v>
      </c>
      <c r="O341" s="237" t="s">
        <v>18677</v>
      </c>
      <c r="P341" s="238" t="s">
        <v>19062</v>
      </c>
      <c r="Q341" s="234" t="s">
        <v>18732</v>
      </c>
      <c r="R341" s="238" t="s">
        <v>18725</v>
      </c>
      <c r="S341" s="238" t="s">
        <v>18725</v>
      </c>
      <c r="T341" s="238" t="s">
        <v>18725</v>
      </c>
      <c r="U341" s="238" t="s">
        <v>18725</v>
      </c>
      <c r="V341" s="238" t="s">
        <v>18725</v>
      </c>
      <c r="W341" s="238" t="s">
        <v>18725</v>
      </c>
      <c r="X341" s="238" t="s">
        <v>18725</v>
      </c>
      <c r="Y341" s="239" t="str">
        <f>IF('CCUS Projects Database'!$R341&lt;&gt;"",HYPERLINK('CCUS Projects Database'!$R341,"Link 1"),"")</f>
        <v/>
      </c>
      <c r="Z341" s="239" t="str">
        <f>IF('CCUS Projects Database'!$S341&lt;&gt;"",HYPERLINK('CCUS Projects Database'!$S341,"Link 2"),"")</f>
        <v/>
      </c>
      <c r="AA341" s="239" t="str">
        <f>IF('CCUS Projects Database'!$T341&lt;&gt;"",HYPERLINK('CCUS Projects Database'!$T341,"Link 3"),"")</f>
        <v/>
      </c>
      <c r="AB341" s="239" t="str">
        <f>IF('CCUS Projects Database'!$U341&lt;&gt;"",HYPERLINK('CCUS Projects Database'!$U341,"Link 4"),"")</f>
        <v/>
      </c>
      <c r="AC341" s="239" t="str">
        <f>IF('CCUS Projects Database'!$V341&lt;&gt;"",HYPERLINK('CCUS Projects Database'!$V341,"Link 5"),"")</f>
        <v/>
      </c>
      <c r="AD341" s="239" t="str">
        <f>IF('CCUS Projects Database'!$W341&lt;&gt;"",HYPERLINK('CCUS Projects Database'!$W341,"Link 6"),"")</f>
        <v/>
      </c>
      <c r="AE341" s="239" t="str">
        <f>IF('CCUS Projects Database'!$X341&lt;&gt;"",HYPERLINK('CCUS Projects Database'!$X341,"Link 7"),"")</f>
        <v/>
      </c>
    </row>
    <row r="342" ht="14.25" customHeight="1">
      <c r="A342" s="233" t="s">
        <v>20155</v>
      </c>
      <c r="B342" s="234">
        <v>408.0</v>
      </c>
      <c r="C342" s="234" t="s">
        <v>83</v>
      </c>
      <c r="D342" s="235" t="s">
        <v>20156</v>
      </c>
      <c r="E342" s="234" t="s">
        <v>18618</v>
      </c>
      <c r="F342" s="234">
        <v>2021.0</v>
      </c>
      <c r="G342" s="234">
        <v>2025.0</v>
      </c>
      <c r="H342" s="234">
        <v>2025.0</v>
      </c>
      <c r="I342" s="234">
        <v>2023.0</v>
      </c>
      <c r="J342" s="234" t="s">
        <v>18192</v>
      </c>
      <c r="K342" s="236" t="s">
        <v>18725</v>
      </c>
      <c r="L342" s="236">
        <v>0.8</v>
      </c>
      <c r="M342" s="236">
        <v>0.8</v>
      </c>
      <c r="N342" s="234" t="s">
        <v>18654</v>
      </c>
      <c r="O342" s="237" t="s">
        <v>18675</v>
      </c>
      <c r="P342" s="238" t="s">
        <v>19187</v>
      </c>
      <c r="Q342" s="234" t="s">
        <v>18726</v>
      </c>
      <c r="R342" s="238" t="s">
        <v>20157</v>
      </c>
      <c r="S342" s="238" t="s">
        <v>20158</v>
      </c>
      <c r="T342" s="238" t="s">
        <v>18725</v>
      </c>
      <c r="U342" s="238" t="s">
        <v>18725</v>
      </c>
      <c r="V342" s="238" t="s">
        <v>18725</v>
      </c>
      <c r="W342" s="238" t="s">
        <v>18725</v>
      </c>
      <c r="X342" s="238" t="s">
        <v>18725</v>
      </c>
      <c r="Y342" s="239" t="str">
        <f>IF('CCUS Projects Database'!$R342&lt;&gt;"",HYPERLINK('CCUS Projects Database'!$R342,"Link 1"),"")</f>
        <v>Link 1</v>
      </c>
      <c r="Z342" s="239" t="str">
        <f>IF('CCUS Projects Database'!$S342&lt;&gt;"",HYPERLINK('CCUS Projects Database'!$S342,"Link 2"),"")</f>
        <v>Link 2</v>
      </c>
      <c r="AA342" s="239" t="str">
        <f>IF('CCUS Projects Database'!$T342&lt;&gt;"",HYPERLINK('CCUS Projects Database'!$T342,"Link 3"),"")</f>
        <v/>
      </c>
      <c r="AB342" s="239" t="str">
        <f>IF('CCUS Projects Database'!$U342&lt;&gt;"",HYPERLINK('CCUS Projects Database'!$U342,"Link 4"),"")</f>
        <v/>
      </c>
      <c r="AC342" s="239" t="str">
        <f>IF('CCUS Projects Database'!$V342&lt;&gt;"",HYPERLINK('CCUS Projects Database'!$V342,"Link 5"),"")</f>
        <v/>
      </c>
      <c r="AD342" s="239" t="str">
        <f>IF('CCUS Projects Database'!$W342&lt;&gt;"",HYPERLINK('CCUS Projects Database'!$W342,"Link 6"),"")</f>
        <v/>
      </c>
      <c r="AE342" s="239" t="str">
        <f>IF('CCUS Projects Database'!$X342&lt;&gt;"",HYPERLINK('CCUS Projects Database'!$X342,"Link 7"),"")</f>
        <v/>
      </c>
    </row>
    <row r="343" ht="14.25" customHeight="1">
      <c r="A343" s="233" t="s">
        <v>20159</v>
      </c>
      <c r="B343" s="234">
        <v>409.0</v>
      </c>
      <c r="C343" s="234" t="s">
        <v>57</v>
      </c>
      <c r="D343" s="235" t="s">
        <v>20160</v>
      </c>
      <c r="E343" s="234" t="s">
        <v>18618</v>
      </c>
      <c r="F343" s="234">
        <v>2022.0</v>
      </c>
      <c r="G343" s="234" t="s">
        <v>18725</v>
      </c>
      <c r="H343" s="234">
        <v>2026.0</v>
      </c>
      <c r="I343" s="234" t="s">
        <v>18725</v>
      </c>
      <c r="J343" s="234" t="s">
        <v>18636</v>
      </c>
      <c r="K343" s="236" t="s">
        <v>18725</v>
      </c>
      <c r="L343" s="236">
        <v>1.3</v>
      </c>
      <c r="M343" s="236">
        <v>1.3</v>
      </c>
      <c r="N343" s="234" t="s">
        <v>18731</v>
      </c>
      <c r="O343" s="237" t="s">
        <v>18675</v>
      </c>
      <c r="P343" s="238" t="s">
        <v>20161</v>
      </c>
      <c r="Q343" s="234" t="s">
        <v>18726</v>
      </c>
      <c r="R343" s="238" t="s">
        <v>16804</v>
      </c>
      <c r="S343" s="238" t="s">
        <v>18725</v>
      </c>
      <c r="T343" s="238" t="s">
        <v>18725</v>
      </c>
      <c r="U343" s="238" t="s">
        <v>18725</v>
      </c>
      <c r="V343" s="238" t="s">
        <v>18725</v>
      </c>
      <c r="W343" s="238" t="s">
        <v>18725</v>
      </c>
      <c r="X343" s="238" t="s">
        <v>18725</v>
      </c>
      <c r="Y343" s="239" t="str">
        <f>IF('CCUS Projects Database'!$R343&lt;&gt;"",HYPERLINK('CCUS Projects Database'!$R343,"Link 1"),"")</f>
        <v>Link 1</v>
      </c>
      <c r="Z343" s="239" t="str">
        <f>IF('CCUS Projects Database'!$S343&lt;&gt;"",HYPERLINK('CCUS Projects Database'!$S343,"Link 2"),"")</f>
        <v/>
      </c>
      <c r="AA343" s="239" t="str">
        <f>IF('CCUS Projects Database'!$T343&lt;&gt;"",HYPERLINK('CCUS Projects Database'!$T343,"Link 3"),"")</f>
        <v/>
      </c>
      <c r="AB343" s="239" t="str">
        <f>IF('CCUS Projects Database'!$U343&lt;&gt;"",HYPERLINK('CCUS Projects Database'!$U343,"Link 4"),"")</f>
        <v/>
      </c>
      <c r="AC343" s="239" t="str">
        <f>IF('CCUS Projects Database'!$V343&lt;&gt;"",HYPERLINK('CCUS Projects Database'!$V343,"Link 5"),"")</f>
        <v/>
      </c>
      <c r="AD343" s="239" t="str">
        <f>IF('CCUS Projects Database'!$W343&lt;&gt;"",HYPERLINK('CCUS Projects Database'!$W343,"Link 6"),"")</f>
        <v/>
      </c>
      <c r="AE343" s="239" t="str">
        <f>IF('CCUS Projects Database'!$X343&lt;&gt;"",HYPERLINK('CCUS Projects Database'!$X343,"Link 7"),"")</f>
        <v/>
      </c>
    </row>
    <row r="344" ht="14.25" customHeight="1">
      <c r="A344" s="233" t="s">
        <v>20162</v>
      </c>
      <c r="B344" s="234">
        <v>410.0</v>
      </c>
      <c r="C344" s="234" t="s">
        <v>18309</v>
      </c>
      <c r="D344" s="235" t="s">
        <v>20163</v>
      </c>
      <c r="E344" s="234" t="s">
        <v>18616</v>
      </c>
      <c r="F344" s="234" t="s">
        <v>18725</v>
      </c>
      <c r="G344" s="234" t="s">
        <v>18725</v>
      </c>
      <c r="H344" s="234" t="s">
        <v>18725</v>
      </c>
      <c r="I344" s="234" t="s">
        <v>18725</v>
      </c>
      <c r="J344" s="234" t="s">
        <v>18636</v>
      </c>
      <c r="K344" s="236" t="s">
        <v>18725</v>
      </c>
      <c r="L344" s="236" t="s">
        <v>18725</v>
      </c>
      <c r="M344" s="236" t="s">
        <v>18725</v>
      </c>
      <c r="N344" s="234" t="s">
        <v>18656</v>
      </c>
      <c r="O344" s="237" t="s">
        <v>18683</v>
      </c>
      <c r="P344" s="238" t="s">
        <v>18725</v>
      </c>
      <c r="Q344" s="234" t="s">
        <v>20164</v>
      </c>
      <c r="R344" s="238" t="s">
        <v>16645</v>
      </c>
      <c r="S344" s="238" t="s">
        <v>19376</v>
      </c>
      <c r="T344" s="238" t="s">
        <v>18725</v>
      </c>
      <c r="U344" s="238" t="s">
        <v>18725</v>
      </c>
      <c r="V344" s="238" t="s">
        <v>18725</v>
      </c>
      <c r="W344" s="238" t="s">
        <v>18725</v>
      </c>
      <c r="X344" s="238" t="s">
        <v>18725</v>
      </c>
      <c r="Y344" s="239" t="str">
        <f>IF('CCUS Projects Database'!$R344&lt;&gt;"",HYPERLINK('CCUS Projects Database'!$R344,"Link 1"),"")</f>
        <v>Link 1</v>
      </c>
      <c r="Z344" s="239" t="str">
        <f>IF('CCUS Projects Database'!$S344&lt;&gt;"",HYPERLINK('CCUS Projects Database'!$S344,"Link 2"),"")</f>
        <v>Link 2</v>
      </c>
      <c r="AA344" s="239" t="str">
        <f>IF('CCUS Projects Database'!$T344&lt;&gt;"",HYPERLINK('CCUS Projects Database'!$T344,"Link 3"),"")</f>
        <v/>
      </c>
      <c r="AB344" s="239" t="str">
        <f>IF('CCUS Projects Database'!$U344&lt;&gt;"",HYPERLINK('CCUS Projects Database'!$U344,"Link 4"),"")</f>
        <v/>
      </c>
      <c r="AC344" s="239" t="str">
        <f>IF('CCUS Projects Database'!$V344&lt;&gt;"",HYPERLINK('CCUS Projects Database'!$V344,"Link 5"),"")</f>
        <v/>
      </c>
      <c r="AD344" s="239" t="str">
        <f>IF('CCUS Projects Database'!$W344&lt;&gt;"",HYPERLINK('CCUS Projects Database'!$W344,"Link 6"),"")</f>
        <v/>
      </c>
      <c r="AE344" s="239" t="str">
        <f>IF('CCUS Projects Database'!$X344&lt;&gt;"",HYPERLINK('CCUS Projects Database'!$X344,"Link 7"),"")</f>
        <v/>
      </c>
    </row>
    <row r="345" ht="14.25" customHeight="1">
      <c r="A345" s="233" t="s">
        <v>20165</v>
      </c>
      <c r="B345" s="234">
        <v>411.0</v>
      </c>
      <c r="C345" s="234" t="s">
        <v>18360</v>
      </c>
      <c r="D345" s="235" t="s">
        <v>20166</v>
      </c>
      <c r="E345" s="234" t="s">
        <v>18616</v>
      </c>
      <c r="F345" s="234">
        <v>2015.0</v>
      </c>
      <c r="G345" s="234" t="s">
        <v>18725</v>
      </c>
      <c r="H345" s="234">
        <v>2022.0</v>
      </c>
      <c r="I345" s="234" t="s">
        <v>18725</v>
      </c>
      <c r="J345" s="234" t="s">
        <v>12385</v>
      </c>
      <c r="K345" s="236">
        <v>1.0</v>
      </c>
      <c r="L345" s="236">
        <v>0.3</v>
      </c>
      <c r="M345" s="236">
        <v>0.3</v>
      </c>
      <c r="N345" s="234" t="s">
        <v>18661</v>
      </c>
      <c r="O345" s="237" t="s">
        <v>18677</v>
      </c>
      <c r="P345" s="238" t="s">
        <v>20167</v>
      </c>
      <c r="Q345" s="234" t="s">
        <v>18856</v>
      </c>
      <c r="R345" s="238" t="s">
        <v>19034</v>
      </c>
      <c r="S345" s="238" t="s">
        <v>20168</v>
      </c>
      <c r="T345" s="238" t="s">
        <v>20169</v>
      </c>
      <c r="U345" s="238" t="s">
        <v>17886</v>
      </c>
      <c r="V345" s="238" t="s">
        <v>18725</v>
      </c>
      <c r="W345" s="238" t="s">
        <v>18725</v>
      </c>
      <c r="X345" s="238" t="s">
        <v>18725</v>
      </c>
      <c r="Y345" s="239" t="str">
        <f>IF('CCUS Projects Database'!$R345&lt;&gt;"",HYPERLINK('CCUS Projects Database'!$R345,"Link 1"),"")</f>
        <v>Link 1</v>
      </c>
      <c r="Z345" s="239" t="str">
        <f>IF('CCUS Projects Database'!$S345&lt;&gt;"",HYPERLINK('CCUS Projects Database'!$S345,"Link 2"),"")</f>
        <v>Link 2</v>
      </c>
      <c r="AA345" s="239" t="str">
        <f>IF('CCUS Projects Database'!$T345&lt;&gt;"",HYPERLINK('CCUS Projects Database'!$T345,"Link 3"),"")</f>
        <v>Link 3</v>
      </c>
      <c r="AB345" s="239" t="str">
        <f>IF('CCUS Projects Database'!$U345&lt;&gt;"",HYPERLINK('CCUS Projects Database'!$U345,"Link 4"),"")</f>
        <v>Link 4</v>
      </c>
      <c r="AC345" s="239" t="str">
        <f>IF('CCUS Projects Database'!$V345&lt;&gt;"",HYPERLINK('CCUS Projects Database'!$V345,"Link 5"),"")</f>
        <v/>
      </c>
      <c r="AD345" s="239" t="str">
        <f>IF('CCUS Projects Database'!$W345&lt;&gt;"",HYPERLINK('CCUS Projects Database'!$W345,"Link 6"),"")</f>
        <v/>
      </c>
      <c r="AE345" s="239" t="str">
        <f>IF('CCUS Projects Database'!$X345&lt;&gt;"",HYPERLINK('CCUS Projects Database'!$X345,"Link 7"),"")</f>
        <v/>
      </c>
    </row>
    <row r="346" ht="14.25" customHeight="1">
      <c r="A346" s="233" t="s">
        <v>20170</v>
      </c>
      <c r="B346" s="234">
        <v>412.0</v>
      </c>
      <c r="C346" s="234" t="s">
        <v>164</v>
      </c>
      <c r="D346" s="235" t="s">
        <v>20171</v>
      </c>
      <c r="E346" s="234" t="s">
        <v>18618</v>
      </c>
      <c r="F346" s="234">
        <v>2021.0</v>
      </c>
      <c r="G346" s="234" t="s">
        <v>18725</v>
      </c>
      <c r="H346" s="234" t="s">
        <v>18725</v>
      </c>
      <c r="I346" s="234">
        <v>2023.0</v>
      </c>
      <c r="J346" s="234" t="s">
        <v>18192</v>
      </c>
      <c r="K346" s="236" t="s">
        <v>18725</v>
      </c>
      <c r="L346" s="236">
        <v>0.8</v>
      </c>
      <c r="M346" s="236">
        <v>0.8</v>
      </c>
      <c r="N346" s="234" t="s">
        <v>18661</v>
      </c>
      <c r="O346" s="237" t="s">
        <v>18675</v>
      </c>
      <c r="P346" s="238" t="s">
        <v>18725</v>
      </c>
      <c r="Q346" s="234" t="s">
        <v>18726</v>
      </c>
      <c r="R346" s="238" t="s">
        <v>16641</v>
      </c>
      <c r="S346" s="238" t="s">
        <v>18725</v>
      </c>
      <c r="T346" s="238" t="s">
        <v>18725</v>
      </c>
      <c r="U346" s="238" t="s">
        <v>18725</v>
      </c>
      <c r="V346" s="238" t="s">
        <v>18725</v>
      </c>
      <c r="W346" s="238" t="s">
        <v>18725</v>
      </c>
      <c r="X346" s="238" t="s">
        <v>18725</v>
      </c>
      <c r="Y346" s="239" t="str">
        <f>IF('CCUS Projects Database'!$R346&lt;&gt;"",HYPERLINK('CCUS Projects Database'!$R346,"Link 1"),"")</f>
        <v>Link 1</v>
      </c>
      <c r="Z346" s="239" t="str">
        <f>IF('CCUS Projects Database'!$S346&lt;&gt;"",HYPERLINK('CCUS Projects Database'!$S346,"Link 2"),"")</f>
        <v/>
      </c>
      <c r="AA346" s="239" t="str">
        <f>IF('CCUS Projects Database'!$T346&lt;&gt;"",HYPERLINK('CCUS Projects Database'!$T346,"Link 3"),"")</f>
        <v/>
      </c>
      <c r="AB346" s="239" t="str">
        <f>IF('CCUS Projects Database'!$U346&lt;&gt;"",HYPERLINK('CCUS Projects Database'!$U346,"Link 4"),"")</f>
        <v/>
      </c>
      <c r="AC346" s="239" t="str">
        <f>IF('CCUS Projects Database'!$V346&lt;&gt;"",HYPERLINK('CCUS Projects Database'!$V346,"Link 5"),"")</f>
        <v/>
      </c>
      <c r="AD346" s="239" t="str">
        <f>IF('CCUS Projects Database'!$W346&lt;&gt;"",HYPERLINK('CCUS Projects Database'!$W346,"Link 6"),"")</f>
        <v/>
      </c>
      <c r="AE346" s="239" t="str">
        <f>IF('CCUS Projects Database'!$X346&lt;&gt;"",HYPERLINK('CCUS Projects Database'!$X346,"Link 7"),"")</f>
        <v/>
      </c>
    </row>
    <row r="347" ht="14.25" customHeight="1">
      <c r="A347" s="233" t="s">
        <v>20172</v>
      </c>
      <c r="B347" s="234">
        <v>414.0</v>
      </c>
      <c r="C347" s="234" t="s">
        <v>18586</v>
      </c>
      <c r="D347" s="235" t="s">
        <v>20173</v>
      </c>
      <c r="E347" s="234" t="s">
        <v>18618</v>
      </c>
      <c r="F347" s="234">
        <v>2022.0</v>
      </c>
      <c r="G347" s="234">
        <v>2023.0</v>
      </c>
      <c r="H347" s="234">
        <v>2026.0</v>
      </c>
      <c r="I347" s="234" t="s">
        <v>18725</v>
      </c>
      <c r="J347" s="234" t="s">
        <v>18638</v>
      </c>
      <c r="K347" s="236" t="s">
        <v>18725</v>
      </c>
      <c r="L347" s="236" t="s">
        <v>20174</v>
      </c>
      <c r="M347" s="236">
        <v>2.2</v>
      </c>
      <c r="N347" s="234" t="s">
        <v>18731</v>
      </c>
      <c r="O347" s="237" t="s">
        <v>18675</v>
      </c>
      <c r="P347" s="238" t="s">
        <v>20175</v>
      </c>
      <c r="Q347" s="234" t="s">
        <v>18732</v>
      </c>
      <c r="R347" s="238" t="s">
        <v>16895</v>
      </c>
      <c r="S347" s="238" t="s">
        <v>17250</v>
      </c>
      <c r="T347" s="238" t="s">
        <v>20176</v>
      </c>
      <c r="U347" s="238" t="s">
        <v>20177</v>
      </c>
      <c r="V347" s="238" t="s">
        <v>20178</v>
      </c>
      <c r="W347" s="238" t="s">
        <v>18725</v>
      </c>
      <c r="X347" s="238" t="s">
        <v>18725</v>
      </c>
      <c r="Y347" s="239" t="str">
        <f>IF('CCUS Projects Database'!$R347&lt;&gt;"",HYPERLINK('CCUS Projects Database'!$R347,"Link 1"),"")</f>
        <v>Link 1</v>
      </c>
      <c r="Z347" s="239" t="str">
        <f>IF('CCUS Projects Database'!$S347&lt;&gt;"",HYPERLINK('CCUS Projects Database'!$S347,"Link 2"),"")</f>
        <v>Link 2</v>
      </c>
      <c r="AA347" s="239" t="str">
        <f>IF('CCUS Projects Database'!$T347&lt;&gt;"",HYPERLINK('CCUS Projects Database'!$T347,"Link 3"),"")</f>
        <v>Link 3</v>
      </c>
      <c r="AB347" s="239" t="str">
        <f>IF('CCUS Projects Database'!$U347&lt;&gt;"",HYPERLINK('CCUS Projects Database'!$U347,"Link 4"),"")</f>
        <v>Link 4</v>
      </c>
      <c r="AC347" s="239" t="str">
        <f>IF('CCUS Projects Database'!$V347&lt;&gt;"",HYPERLINK('CCUS Projects Database'!$V347,"Link 5"),"")</f>
        <v>Link 5</v>
      </c>
      <c r="AD347" s="239" t="str">
        <f>IF('CCUS Projects Database'!$W347&lt;&gt;"",HYPERLINK('CCUS Projects Database'!$W347,"Link 6"),"")</f>
        <v/>
      </c>
      <c r="AE347" s="239" t="str">
        <f>IF('CCUS Projects Database'!$X347&lt;&gt;"",HYPERLINK('CCUS Projects Database'!$X347,"Link 7"),"")</f>
        <v/>
      </c>
    </row>
    <row r="348" ht="14.25" customHeight="1">
      <c r="A348" s="233" t="s">
        <v>20179</v>
      </c>
      <c r="B348" s="234">
        <v>415.0</v>
      </c>
      <c r="C348" s="234" t="s">
        <v>18384</v>
      </c>
      <c r="D348" s="235" t="s">
        <v>20180</v>
      </c>
      <c r="E348" s="234" t="s">
        <v>18616</v>
      </c>
      <c r="F348" s="234" t="s">
        <v>18725</v>
      </c>
      <c r="G348" s="234" t="s">
        <v>18725</v>
      </c>
      <c r="H348" s="234">
        <v>2004.0</v>
      </c>
      <c r="I348" s="234">
        <v>2011.0</v>
      </c>
      <c r="J348" s="234" t="s">
        <v>18644</v>
      </c>
      <c r="K348" s="236" t="s">
        <v>18725</v>
      </c>
      <c r="L348" s="236">
        <v>0.5</v>
      </c>
      <c r="M348" s="236">
        <v>0.5</v>
      </c>
      <c r="N348" s="234" t="s">
        <v>18656</v>
      </c>
      <c r="O348" s="237" t="s">
        <v>18675</v>
      </c>
      <c r="P348" s="238" t="s">
        <v>18725</v>
      </c>
      <c r="Q348" s="234" t="s">
        <v>20181</v>
      </c>
      <c r="R348" s="238" t="s">
        <v>20182</v>
      </c>
      <c r="S348" s="238" t="s">
        <v>20183</v>
      </c>
      <c r="T348" s="238" t="s">
        <v>18725</v>
      </c>
      <c r="U348" s="238" t="s">
        <v>18725</v>
      </c>
      <c r="V348" s="238" t="s">
        <v>18725</v>
      </c>
      <c r="W348" s="238" t="s">
        <v>18725</v>
      </c>
      <c r="X348" s="238" t="s">
        <v>18725</v>
      </c>
      <c r="Y348" s="239" t="str">
        <f>IF('CCUS Projects Database'!$R348&lt;&gt;"",HYPERLINK('CCUS Projects Database'!$R348,"Link 1"),"")</f>
        <v>Link 1</v>
      </c>
      <c r="Z348" s="239" t="str">
        <f>IF('CCUS Projects Database'!$S348&lt;&gt;"",HYPERLINK('CCUS Projects Database'!$S348,"Link 2"),"")</f>
        <v>Link 2</v>
      </c>
      <c r="AA348" s="239" t="str">
        <f>IF('CCUS Projects Database'!$T348&lt;&gt;"",HYPERLINK('CCUS Projects Database'!$T348,"Link 3"),"")</f>
        <v/>
      </c>
      <c r="AB348" s="239" t="str">
        <f>IF('CCUS Projects Database'!$U348&lt;&gt;"",HYPERLINK('CCUS Projects Database'!$U348,"Link 4"),"")</f>
        <v/>
      </c>
      <c r="AC348" s="239" t="str">
        <f>IF('CCUS Projects Database'!$V348&lt;&gt;"",HYPERLINK('CCUS Projects Database'!$V348,"Link 5"),"")</f>
        <v/>
      </c>
      <c r="AD348" s="239" t="str">
        <f>IF('CCUS Projects Database'!$W348&lt;&gt;"",HYPERLINK('CCUS Projects Database'!$W348,"Link 6"),"")</f>
        <v/>
      </c>
      <c r="AE348" s="239" t="str">
        <f>IF('CCUS Projects Database'!$X348&lt;&gt;"",HYPERLINK('CCUS Projects Database'!$X348,"Link 7"),"")</f>
        <v/>
      </c>
    </row>
    <row r="349" ht="14.25" customHeight="1">
      <c r="A349" s="233" t="s">
        <v>20184</v>
      </c>
      <c r="B349" s="234">
        <v>434.0</v>
      </c>
      <c r="C349" s="234" t="s">
        <v>63</v>
      </c>
      <c r="D349" s="235" t="s">
        <v>20185</v>
      </c>
      <c r="E349" s="234" t="s">
        <v>18616</v>
      </c>
      <c r="F349" s="234">
        <v>2018.0</v>
      </c>
      <c r="G349" s="234">
        <v>2020.0</v>
      </c>
      <c r="H349" s="234">
        <v>2021.0</v>
      </c>
      <c r="I349" s="234" t="s">
        <v>18725</v>
      </c>
      <c r="J349" s="234" t="s">
        <v>12385</v>
      </c>
      <c r="K349" s="236" t="s">
        <v>18725</v>
      </c>
      <c r="L349" s="236">
        <v>0.004</v>
      </c>
      <c r="M349" s="236">
        <v>0.004</v>
      </c>
      <c r="N349" s="234" t="s">
        <v>18218</v>
      </c>
      <c r="O349" s="237" t="s">
        <v>18675</v>
      </c>
      <c r="P349" s="238" t="s">
        <v>18725</v>
      </c>
      <c r="Q349" s="234" t="s">
        <v>18726</v>
      </c>
      <c r="R349" s="238" t="s">
        <v>20186</v>
      </c>
      <c r="S349" s="238" t="s">
        <v>20187</v>
      </c>
      <c r="T349" s="238" t="s">
        <v>18725</v>
      </c>
      <c r="U349" s="238" t="s">
        <v>18725</v>
      </c>
      <c r="V349" s="238" t="s">
        <v>18725</v>
      </c>
      <c r="W349" s="238" t="s">
        <v>18725</v>
      </c>
      <c r="X349" s="238" t="s">
        <v>18725</v>
      </c>
      <c r="Y349" s="239" t="str">
        <f>IF('CCUS Projects Database'!$R349&lt;&gt;"",HYPERLINK('CCUS Projects Database'!$R349,"Link 1"),"")</f>
        <v>Link 1</v>
      </c>
      <c r="Z349" s="239" t="str">
        <f>IF('CCUS Projects Database'!$S349&lt;&gt;"",HYPERLINK('CCUS Projects Database'!$S349,"Link 2"),"")</f>
        <v>Link 2</v>
      </c>
      <c r="AA349" s="239" t="str">
        <f>IF('CCUS Projects Database'!$T349&lt;&gt;"",HYPERLINK('CCUS Projects Database'!$T349,"Link 3"),"")</f>
        <v/>
      </c>
      <c r="AB349" s="239" t="str">
        <f>IF('CCUS Projects Database'!$U349&lt;&gt;"",HYPERLINK('CCUS Projects Database'!$U349,"Link 4"),"")</f>
        <v/>
      </c>
      <c r="AC349" s="239" t="str">
        <f>IF('CCUS Projects Database'!$V349&lt;&gt;"",HYPERLINK('CCUS Projects Database'!$V349,"Link 5"),"")</f>
        <v/>
      </c>
      <c r="AD349" s="239" t="str">
        <f>IF('CCUS Projects Database'!$W349&lt;&gt;"",HYPERLINK('CCUS Projects Database'!$W349,"Link 6"),"")</f>
        <v/>
      </c>
      <c r="AE349" s="239" t="str">
        <f>IF('CCUS Projects Database'!$X349&lt;&gt;"",HYPERLINK('CCUS Projects Database'!$X349,"Link 7"),"")</f>
        <v/>
      </c>
    </row>
    <row r="350" ht="14.25" customHeight="1">
      <c r="A350" s="233" t="s">
        <v>20188</v>
      </c>
      <c r="B350" s="234">
        <v>437.0</v>
      </c>
      <c r="C350" s="234" t="s">
        <v>18586</v>
      </c>
      <c r="D350" s="235" t="s">
        <v>20189</v>
      </c>
      <c r="E350" s="234" t="s">
        <v>18618</v>
      </c>
      <c r="F350" s="234">
        <v>2023.0</v>
      </c>
      <c r="G350" s="234" t="s">
        <v>18725</v>
      </c>
      <c r="H350" s="234">
        <v>2023.0</v>
      </c>
      <c r="I350" s="234" t="s">
        <v>18725</v>
      </c>
      <c r="J350" s="234" t="s">
        <v>12385</v>
      </c>
      <c r="K350" s="236" t="s">
        <v>18725</v>
      </c>
      <c r="L350" s="236">
        <v>0.001</v>
      </c>
      <c r="M350" s="236">
        <v>0.001</v>
      </c>
      <c r="N350" s="234" t="s">
        <v>18218</v>
      </c>
      <c r="O350" s="237" t="s">
        <v>18681</v>
      </c>
      <c r="P350" s="238" t="s">
        <v>18725</v>
      </c>
      <c r="Q350" s="234" t="s">
        <v>18732</v>
      </c>
      <c r="R350" s="238" t="s">
        <v>20190</v>
      </c>
      <c r="S350" s="238" t="s">
        <v>20191</v>
      </c>
      <c r="T350" s="238" t="s">
        <v>18725</v>
      </c>
      <c r="U350" s="238" t="s">
        <v>18725</v>
      </c>
      <c r="V350" s="238" t="s">
        <v>18725</v>
      </c>
      <c r="W350" s="238" t="s">
        <v>18725</v>
      </c>
      <c r="X350" s="238" t="s">
        <v>18725</v>
      </c>
      <c r="Y350" s="239" t="str">
        <f>IF('CCUS Projects Database'!$R350&lt;&gt;"",HYPERLINK('CCUS Projects Database'!$R350,"Link 1"),"")</f>
        <v>Link 1</v>
      </c>
      <c r="Z350" s="239" t="str">
        <f>IF('CCUS Projects Database'!$S350&lt;&gt;"",HYPERLINK('CCUS Projects Database'!$S350,"Link 2"),"")</f>
        <v>Link 2</v>
      </c>
      <c r="AA350" s="239" t="str">
        <f>IF('CCUS Projects Database'!$T350&lt;&gt;"",HYPERLINK('CCUS Projects Database'!$T350,"Link 3"),"")</f>
        <v/>
      </c>
      <c r="AB350" s="239" t="str">
        <f>IF('CCUS Projects Database'!$U350&lt;&gt;"",HYPERLINK('CCUS Projects Database'!$U350,"Link 4"),"")</f>
        <v/>
      </c>
      <c r="AC350" s="239" t="str">
        <f>IF('CCUS Projects Database'!$V350&lt;&gt;"",HYPERLINK('CCUS Projects Database'!$V350,"Link 5"),"")</f>
        <v/>
      </c>
      <c r="AD350" s="239" t="str">
        <f>IF('CCUS Projects Database'!$W350&lt;&gt;"",HYPERLINK('CCUS Projects Database'!$W350,"Link 6"),"")</f>
        <v/>
      </c>
      <c r="AE350" s="239" t="str">
        <f>IF('CCUS Projects Database'!$X350&lt;&gt;"",HYPERLINK('CCUS Projects Database'!$X350,"Link 7"),"")</f>
        <v/>
      </c>
    </row>
    <row r="351" ht="14.25" customHeight="1">
      <c r="A351" s="233" t="s">
        <v>20192</v>
      </c>
      <c r="B351" s="234">
        <v>440.0</v>
      </c>
      <c r="C351" s="234" t="s">
        <v>83</v>
      </c>
      <c r="D351" s="235" t="s">
        <v>20193</v>
      </c>
      <c r="E351" s="234" t="s">
        <v>18618</v>
      </c>
      <c r="F351" s="234">
        <v>2022.0</v>
      </c>
      <c r="G351" s="234" t="s">
        <v>18725</v>
      </c>
      <c r="H351" s="234">
        <v>2030.0</v>
      </c>
      <c r="I351" s="234" t="s">
        <v>18725</v>
      </c>
      <c r="J351" s="234" t="s">
        <v>18636</v>
      </c>
      <c r="K351" s="236">
        <v>1.0</v>
      </c>
      <c r="L351" s="236">
        <v>0.05</v>
      </c>
      <c r="M351" s="236">
        <v>0.05</v>
      </c>
      <c r="N351" s="234" t="s">
        <v>18218</v>
      </c>
      <c r="O351" s="237" t="s">
        <v>18675</v>
      </c>
      <c r="P351" s="238" t="s">
        <v>18725</v>
      </c>
      <c r="Q351" s="234" t="s">
        <v>18726</v>
      </c>
      <c r="R351" s="238" t="s">
        <v>20194</v>
      </c>
      <c r="S351" s="238" t="s">
        <v>20186</v>
      </c>
      <c r="T351" s="238" t="s">
        <v>18725</v>
      </c>
      <c r="U351" s="238" t="s">
        <v>18725</v>
      </c>
      <c r="V351" s="238" t="s">
        <v>18725</v>
      </c>
      <c r="W351" s="238" t="s">
        <v>18725</v>
      </c>
      <c r="X351" s="238" t="s">
        <v>18725</v>
      </c>
      <c r="Y351" s="239" t="str">
        <f>IF('CCUS Projects Database'!$R351&lt;&gt;"",HYPERLINK('CCUS Projects Database'!$R351,"Link 1"),"")</f>
        <v>Link 1</v>
      </c>
      <c r="Z351" s="239" t="str">
        <f>IF('CCUS Projects Database'!$S351&lt;&gt;"",HYPERLINK('CCUS Projects Database'!$S351,"Link 2"),"")</f>
        <v>Link 2</v>
      </c>
      <c r="AA351" s="239" t="str">
        <f>IF('CCUS Projects Database'!$T351&lt;&gt;"",HYPERLINK('CCUS Projects Database'!$T351,"Link 3"),"")</f>
        <v/>
      </c>
      <c r="AB351" s="239" t="str">
        <f>IF('CCUS Projects Database'!$U351&lt;&gt;"",HYPERLINK('CCUS Projects Database'!$U351,"Link 4"),"")</f>
        <v/>
      </c>
      <c r="AC351" s="239" t="str">
        <f>IF('CCUS Projects Database'!$V351&lt;&gt;"",HYPERLINK('CCUS Projects Database'!$V351,"Link 5"),"")</f>
        <v/>
      </c>
      <c r="AD351" s="239" t="str">
        <f>IF('CCUS Projects Database'!$W351&lt;&gt;"",HYPERLINK('CCUS Projects Database'!$W351,"Link 6"),"")</f>
        <v/>
      </c>
      <c r="AE351" s="239" t="str">
        <f>IF('CCUS Projects Database'!$X351&lt;&gt;"",HYPERLINK('CCUS Projects Database'!$X351,"Link 7"),"")</f>
        <v/>
      </c>
    </row>
    <row r="352" ht="14.25" customHeight="1">
      <c r="A352" s="233" t="s">
        <v>20195</v>
      </c>
      <c r="B352" s="234">
        <v>441.0</v>
      </c>
      <c r="C352" s="234" t="s">
        <v>63</v>
      </c>
      <c r="D352" s="235" t="s">
        <v>20196</v>
      </c>
      <c r="E352" s="234" t="s">
        <v>18616</v>
      </c>
      <c r="F352" s="234">
        <v>2022.0</v>
      </c>
      <c r="G352" s="234">
        <v>2022.0</v>
      </c>
      <c r="H352" s="234">
        <v>2024.0</v>
      </c>
      <c r="I352" s="234" t="s">
        <v>18725</v>
      </c>
      <c r="J352" s="234" t="s">
        <v>12385</v>
      </c>
      <c r="K352" s="236">
        <v>1.0</v>
      </c>
      <c r="L352" s="236">
        <v>0.006</v>
      </c>
      <c r="M352" s="236">
        <v>0.006</v>
      </c>
      <c r="N352" s="234" t="s">
        <v>18218</v>
      </c>
      <c r="O352" s="237" t="s">
        <v>18675</v>
      </c>
      <c r="P352" s="238" t="s">
        <v>18725</v>
      </c>
      <c r="Q352" s="234" t="s">
        <v>18726</v>
      </c>
      <c r="R352" s="238" t="s">
        <v>20197</v>
      </c>
      <c r="S352" s="238" t="s">
        <v>20198</v>
      </c>
      <c r="T352" s="238" t="s">
        <v>18725</v>
      </c>
      <c r="U352" s="238" t="s">
        <v>18725</v>
      </c>
      <c r="V352" s="238" t="s">
        <v>18725</v>
      </c>
      <c r="W352" s="238" t="s">
        <v>18725</v>
      </c>
      <c r="X352" s="238" t="s">
        <v>18725</v>
      </c>
      <c r="Y352" s="239" t="str">
        <f>IF('CCUS Projects Database'!$R352&lt;&gt;"",HYPERLINK('CCUS Projects Database'!$R352,"Link 1"),"")</f>
        <v>Link 1</v>
      </c>
      <c r="Z352" s="239" t="str">
        <f>IF('CCUS Projects Database'!$S352&lt;&gt;"",HYPERLINK('CCUS Projects Database'!$S352,"Link 2"),"")</f>
        <v>Link 2</v>
      </c>
      <c r="AA352" s="239" t="str">
        <f>IF('CCUS Projects Database'!$T352&lt;&gt;"",HYPERLINK('CCUS Projects Database'!$T352,"Link 3"),"")</f>
        <v/>
      </c>
      <c r="AB352" s="239" t="str">
        <f>IF('CCUS Projects Database'!$U352&lt;&gt;"",HYPERLINK('CCUS Projects Database'!$U352,"Link 4"),"")</f>
        <v/>
      </c>
      <c r="AC352" s="239" t="str">
        <f>IF('CCUS Projects Database'!$V352&lt;&gt;"",HYPERLINK('CCUS Projects Database'!$V352,"Link 5"),"")</f>
        <v/>
      </c>
      <c r="AD352" s="239" t="str">
        <f>IF('CCUS Projects Database'!$W352&lt;&gt;"",HYPERLINK('CCUS Projects Database'!$W352,"Link 6"),"")</f>
        <v/>
      </c>
      <c r="AE352" s="239" t="str">
        <f>IF('CCUS Projects Database'!$X352&lt;&gt;"",HYPERLINK('CCUS Projects Database'!$X352,"Link 7"),"")</f>
        <v/>
      </c>
    </row>
    <row r="353" ht="14.25" customHeight="1">
      <c r="A353" s="233" t="s">
        <v>20199</v>
      </c>
      <c r="B353" s="234">
        <v>442.0</v>
      </c>
      <c r="C353" s="234" t="s">
        <v>18360</v>
      </c>
      <c r="D353" s="235" t="s">
        <v>20200</v>
      </c>
      <c r="E353" s="234" t="s">
        <v>18623</v>
      </c>
      <c r="F353" s="234">
        <v>2022.0</v>
      </c>
      <c r="G353" s="234" t="s">
        <v>18725</v>
      </c>
      <c r="H353" s="234" t="s">
        <v>18725</v>
      </c>
      <c r="I353" s="234" t="s">
        <v>18725</v>
      </c>
      <c r="J353" s="234" t="s">
        <v>18636</v>
      </c>
      <c r="K353" s="236">
        <v>1.0</v>
      </c>
      <c r="L353" s="236">
        <v>2.0</v>
      </c>
      <c r="M353" s="236">
        <v>2.0</v>
      </c>
      <c r="N353" s="234" t="s">
        <v>18623</v>
      </c>
      <c r="O353" s="237" t="s">
        <v>18675</v>
      </c>
      <c r="P353" s="238" t="s">
        <v>20201</v>
      </c>
      <c r="Q353" s="234" t="s">
        <v>18856</v>
      </c>
      <c r="R353" s="238" t="s">
        <v>20202</v>
      </c>
      <c r="S353" s="238" t="s">
        <v>20203</v>
      </c>
      <c r="T353" s="238" t="s">
        <v>20204</v>
      </c>
      <c r="U353" s="238" t="s">
        <v>18725</v>
      </c>
      <c r="V353" s="238" t="s">
        <v>18725</v>
      </c>
      <c r="W353" s="238" t="s">
        <v>18725</v>
      </c>
      <c r="X353" s="238" t="s">
        <v>18725</v>
      </c>
      <c r="Y353" s="239" t="str">
        <f>IF('CCUS Projects Database'!$R353&lt;&gt;"",HYPERLINK('CCUS Projects Database'!$R353,"Link 1"),"")</f>
        <v>Link 1</v>
      </c>
      <c r="Z353" s="239" t="str">
        <f>IF('CCUS Projects Database'!$S353&lt;&gt;"",HYPERLINK('CCUS Projects Database'!$S353,"Link 2"),"")</f>
        <v>Link 2</v>
      </c>
      <c r="AA353" s="239" t="str">
        <f>IF('CCUS Projects Database'!$T353&lt;&gt;"",HYPERLINK('CCUS Projects Database'!$T353,"Link 3"),"")</f>
        <v>Link 3</v>
      </c>
      <c r="AB353" s="239" t="str">
        <f>IF('CCUS Projects Database'!$U353&lt;&gt;"",HYPERLINK('CCUS Projects Database'!$U353,"Link 4"),"")</f>
        <v/>
      </c>
      <c r="AC353" s="239" t="str">
        <f>IF('CCUS Projects Database'!$V353&lt;&gt;"",HYPERLINK('CCUS Projects Database'!$V353,"Link 5"),"")</f>
        <v/>
      </c>
      <c r="AD353" s="239" t="str">
        <f>IF('CCUS Projects Database'!$W353&lt;&gt;"",HYPERLINK('CCUS Projects Database'!$W353,"Link 6"),"")</f>
        <v/>
      </c>
      <c r="AE353" s="239" t="str">
        <f>IF('CCUS Projects Database'!$X353&lt;&gt;"",HYPERLINK('CCUS Projects Database'!$X353,"Link 7"),"")</f>
        <v/>
      </c>
    </row>
    <row r="354" ht="14.25" customHeight="1">
      <c r="A354" s="233" t="s">
        <v>20205</v>
      </c>
      <c r="B354" s="234">
        <v>443.0</v>
      </c>
      <c r="C354" s="234" t="s">
        <v>18360</v>
      </c>
      <c r="D354" s="235" t="s">
        <v>19980</v>
      </c>
      <c r="E354" s="234" t="s">
        <v>18618</v>
      </c>
      <c r="F354" s="234">
        <v>2022.0</v>
      </c>
      <c r="G354" s="234" t="s">
        <v>18725</v>
      </c>
      <c r="H354" s="234" t="s">
        <v>18725</v>
      </c>
      <c r="I354" s="234" t="s">
        <v>18725</v>
      </c>
      <c r="J354" s="234" t="s">
        <v>18636</v>
      </c>
      <c r="K354" s="236" t="s">
        <v>18725</v>
      </c>
      <c r="L354" s="236" t="s">
        <v>18725</v>
      </c>
      <c r="M354" s="236" t="s">
        <v>18725</v>
      </c>
      <c r="N354" s="234" t="s">
        <v>677</v>
      </c>
      <c r="O354" s="237" t="s">
        <v>18675</v>
      </c>
      <c r="P354" s="238" t="s">
        <v>20206</v>
      </c>
      <c r="Q354" s="234" t="s">
        <v>18856</v>
      </c>
      <c r="R354" s="238" t="s">
        <v>20202</v>
      </c>
      <c r="S354" s="238" t="s">
        <v>20204</v>
      </c>
      <c r="T354" s="238" t="s">
        <v>18725</v>
      </c>
      <c r="U354" s="238" t="s">
        <v>18725</v>
      </c>
      <c r="V354" s="238" t="s">
        <v>18725</v>
      </c>
      <c r="W354" s="238" t="s">
        <v>18725</v>
      </c>
      <c r="X354" s="238" t="s">
        <v>18725</v>
      </c>
      <c r="Y354" s="239" t="str">
        <f>IF('CCUS Projects Database'!$R354&lt;&gt;"",HYPERLINK('CCUS Projects Database'!$R354,"Link 1"),"")</f>
        <v>Link 1</v>
      </c>
      <c r="Z354" s="239" t="str">
        <f>IF('CCUS Projects Database'!$S354&lt;&gt;"",HYPERLINK('CCUS Projects Database'!$S354,"Link 2"),"")</f>
        <v>Link 2</v>
      </c>
      <c r="AA354" s="239" t="str">
        <f>IF('CCUS Projects Database'!$T354&lt;&gt;"",HYPERLINK('CCUS Projects Database'!$T354,"Link 3"),"")</f>
        <v/>
      </c>
      <c r="AB354" s="239" t="str">
        <f>IF('CCUS Projects Database'!$U354&lt;&gt;"",HYPERLINK('CCUS Projects Database'!$U354,"Link 4"),"")</f>
        <v/>
      </c>
      <c r="AC354" s="239" t="str">
        <f>IF('CCUS Projects Database'!$V354&lt;&gt;"",HYPERLINK('CCUS Projects Database'!$V354,"Link 5"),"")</f>
        <v/>
      </c>
      <c r="AD354" s="239" t="str">
        <f>IF('CCUS Projects Database'!$W354&lt;&gt;"",HYPERLINK('CCUS Projects Database'!$W354,"Link 6"),"")</f>
        <v/>
      </c>
      <c r="AE354" s="239" t="str">
        <f>IF('CCUS Projects Database'!$X354&lt;&gt;"",HYPERLINK('CCUS Projects Database'!$X354,"Link 7"),"")</f>
        <v/>
      </c>
    </row>
    <row r="355" ht="14.25" customHeight="1">
      <c r="A355" s="233" t="s">
        <v>20207</v>
      </c>
      <c r="B355" s="234">
        <v>444.0</v>
      </c>
      <c r="C355" s="234" t="s">
        <v>18360</v>
      </c>
      <c r="D355" s="235" t="s">
        <v>20208</v>
      </c>
      <c r="E355" s="234" t="s">
        <v>18623</v>
      </c>
      <c r="F355" s="234">
        <v>2022.0</v>
      </c>
      <c r="G355" s="234" t="s">
        <v>18725</v>
      </c>
      <c r="H355" s="234" t="s">
        <v>18725</v>
      </c>
      <c r="I355" s="234" t="s">
        <v>18725</v>
      </c>
      <c r="J355" s="234" t="s">
        <v>18636</v>
      </c>
      <c r="K355" s="236">
        <v>2.0</v>
      </c>
      <c r="L355" s="236">
        <v>8.0</v>
      </c>
      <c r="M355" s="236">
        <v>8.0</v>
      </c>
      <c r="N355" s="234" t="s">
        <v>18623</v>
      </c>
      <c r="O355" s="237" t="s">
        <v>18675</v>
      </c>
      <c r="P355" s="238" t="s">
        <v>20206</v>
      </c>
      <c r="Q355" s="234" t="s">
        <v>18856</v>
      </c>
      <c r="R355" s="238" t="s">
        <v>20202</v>
      </c>
      <c r="S355" s="238" t="s">
        <v>20204</v>
      </c>
      <c r="T355" s="238" t="s">
        <v>18725</v>
      </c>
      <c r="U355" s="238" t="s">
        <v>18725</v>
      </c>
      <c r="V355" s="238" t="s">
        <v>18725</v>
      </c>
      <c r="W355" s="238" t="s">
        <v>18725</v>
      </c>
      <c r="X355" s="238" t="s">
        <v>18725</v>
      </c>
      <c r="Y355" s="239" t="str">
        <f>IF('CCUS Projects Database'!$R355&lt;&gt;"",HYPERLINK('CCUS Projects Database'!$R355,"Link 1"),"")</f>
        <v>Link 1</v>
      </c>
      <c r="Z355" s="239" t="str">
        <f>IF('CCUS Projects Database'!$S355&lt;&gt;"",HYPERLINK('CCUS Projects Database'!$S355,"Link 2"),"")</f>
        <v>Link 2</v>
      </c>
      <c r="AA355" s="239" t="str">
        <f>IF('CCUS Projects Database'!$T355&lt;&gt;"",HYPERLINK('CCUS Projects Database'!$T355,"Link 3"),"")</f>
        <v/>
      </c>
      <c r="AB355" s="239" t="str">
        <f>IF('CCUS Projects Database'!$U355&lt;&gt;"",HYPERLINK('CCUS Projects Database'!$U355,"Link 4"),"")</f>
        <v/>
      </c>
      <c r="AC355" s="239" t="str">
        <f>IF('CCUS Projects Database'!$V355&lt;&gt;"",HYPERLINK('CCUS Projects Database'!$V355,"Link 5"),"")</f>
        <v/>
      </c>
      <c r="AD355" s="239" t="str">
        <f>IF('CCUS Projects Database'!$W355&lt;&gt;"",HYPERLINK('CCUS Projects Database'!$W355,"Link 6"),"")</f>
        <v/>
      </c>
      <c r="AE355" s="239" t="str">
        <f>IF('CCUS Projects Database'!$X355&lt;&gt;"",HYPERLINK('CCUS Projects Database'!$X355,"Link 7"),"")</f>
        <v/>
      </c>
    </row>
    <row r="356" ht="14.25" customHeight="1">
      <c r="A356" s="233" t="s">
        <v>20209</v>
      </c>
      <c r="B356" s="234">
        <v>446.0</v>
      </c>
      <c r="C356" s="234" t="s">
        <v>83</v>
      </c>
      <c r="D356" s="235" t="s">
        <v>20210</v>
      </c>
      <c r="E356" s="234" t="s">
        <v>18618</v>
      </c>
      <c r="F356" s="234">
        <v>2019.0</v>
      </c>
      <c r="G356" s="234" t="s">
        <v>18725</v>
      </c>
      <c r="H356" s="234">
        <v>2030.0</v>
      </c>
      <c r="I356" s="234" t="s">
        <v>18725</v>
      </c>
      <c r="J356" s="234" t="s">
        <v>18636</v>
      </c>
      <c r="K356" s="236">
        <v>3.0</v>
      </c>
      <c r="L356" s="236">
        <v>8.1</v>
      </c>
      <c r="M356" s="236">
        <v>8.1</v>
      </c>
      <c r="N356" s="234" t="s">
        <v>18731</v>
      </c>
      <c r="O356" s="237" t="s">
        <v>18675</v>
      </c>
      <c r="P356" s="238" t="s">
        <v>18985</v>
      </c>
      <c r="Q356" s="234" t="s">
        <v>18726</v>
      </c>
      <c r="R356" s="238" t="s">
        <v>18725</v>
      </c>
      <c r="S356" s="238" t="s">
        <v>18725</v>
      </c>
      <c r="T356" s="238" t="s">
        <v>18725</v>
      </c>
      <c r="U356" s="238" t="s">
        <v>18725</v>
      </c>
      <c r="V356" s="238" t="s">
        <v>18725</v>
      </c>
      <c r="W356" s="238" t="s">
        <v>18725</v>
      </c>
      <c r="X356" s="238" t="s">
        <v>18725</v>
      </c>
      <c r="Y356" s="239" t="str">
        <f>IF('CCUS Projects Database'!$R356&lt;&gt;"",HYPERLINK('CCUS Projects Database'!$R356,"Link 1"),"")</f>
        <v/>
      </c>
      <c r="Z356" s="239" t="str">
        <f>IF('CCUS Projects Database'!$S356&lt;&gt;"",HYPERLINK('CCUS Projects Database'!$S356,"Link 2"),"")</f>
        <v/>
      </c>
      <c r="AA356" s="239" t="str">
        <f>IF('CCUS Projects Database'!$T356&lt;&gt;"",HYPERLINK('CCUS Projects Database'!$T356,"Link 3"),"")</f>
        <v/>
      </c>
      <c r="AB356" s="239" t="str">
        <f>IF('CCUS Projects Database'!$U356&lt;&gt;"",HYPERLINK('CCUS Projects Database'!$U356,"Link 4"),"")</f>
        <v/>
      </c>
      <c r="AC356" s="239" t="str">
        <f>IF('CCUS Projects Database'!$V356&lt;&gt;"",HYPERLINK('CCUS Projects Database'!$V356,"Link 5"),"")</f>
        <v/>
      </c>
      <c r="AD356" s="239" t="str">
        <f>IF('CCUS Projects Database'!$W356&lt;&gt;"",HYPERLINK('CCUS Projects Database'!$W356,"Link 6"),"")</f>
        <v/>
      </c>
      <c r="AE356" s="239" t="str">
        <f>IF('CCUS Projects Database'!$X356&lt;&gt;"",HYPERLINK('CCUS Projects Database'!$X356,"Link 7"),"")</f>
        <v/>
      </c>
    </row>
    <row r="357" ht="14.25" customHeight="1">
      <c r="A357" s="233" t="s">
        <v>20211</v>
      </c>
      <c r="B357" s="234">
        <v>447.0</v>
      </c>
      <c r="C357" s="234" t="s">
        <v>20212</v>
      </c>
      <c r="D357" s="235" t="s">
        <v>20213</v>
      </c>
      <c r="E357" s="234" t="s">
        <v>18620</v>
      </c>
      <c r="F357" s="234">
        <v>2022.0</v>
      </c>
      <c r="G357" s="234">
        <v>2025.0</v>
      </c>
      <c r="H357" s="234">
        <v>2030.0</v>
      </c>
      <c r="I357" s="234" t="s">
        <v>18725</v>
      </c>
      <c r="J357" s="234" t="s">
        <v>18192</v>
      </c>
      <c r="K357" s="236" t="s">
        <v>18725</v>
      </c>
      <c r="L357" s="236" t="s">
        <v>20214</v>
      </c>
      <c r="M357" s="236">
        <v>40.0</v>
      </c>
      <c r="N357" s="234" t="s">
        <v>18620</v>
      </c>
      <c r="O357" s="237" t="s">
        <v>18675</v>
      </c>
      <c r="P357" s="238" t="s">
        <v>20215</v>
      </c>
      <c r="Q357" s="234" t="s">
        <v>18726</v>
      </c>
      <c r="R357" s="238" t="s">
        <v>20216</v>
      </c>
      <c r="S357" s="238" t="s">
        <v>20217</v>
      </c>
      <c r="T357" s="238" t="s">
        <v>18725</v>
      </c>
      <c r="U357" s="238" t="s">
        <v>18725</v>
      </c>
      <c r="V357" s="238" t="s">
        <v>18725</v>
      </c>
      <c r="W357" s="238" t="s">
        <v>18725</v>
      </c>
      <c r="X357" s="238" t="s">
        <v>18725</v>
      </c>
      <c r="Y357" s="239" t="str">
        <f>IF('CCUS Projects Database'!$R357&lt;&gt;"",HYPERLINK('CCUS Projects Database'!$R357,"Link 1"),"")</f>
        <v>Link 1</v>
      </c>
      <c r="Z357" s="239" t="str">
        <f>IF('CCUS Projects Database'!$S357&lt;&gt;"",HYPERLINK('CCUS Projects Database'!$S357,"Link 2"),"")</f>
        <v>Link 2</v>
      </c>
      <c r="AA357" s="239" t="str">
        <f>IF('CCUS Projects Database'!$T357&lt;&gt;"",HYPERLINK('CCUS Projects Database'!$T357,"Link 3"),"")</f>
        <v/>
      </c>
      <c r="AB357" s="239" t="str">
        <f>IF('CCUS Projects Database'!$U357&lt;&gt;"",HYPERLINK('CCUS Projects Database'!$U357,"Link 4"),"")</f>
        <v/>
      </c>
      <c r="AC357" s="239" t="str">
        <f>IF('CCUS Projects Database'!$V357&lt;&gt;"",HYPERLINK('CCUS Projects Database'!$V357,"Link 5"),"")</f>
        <v/>
      </c>
      <c r="AD357" s="239" t="str">
        <f>IF('CCUS Projects Database'!$W357&lt;&gt;"",HYPERLINK('CCUS Projects Database'!$W357,"Link 6"),"")</f>
        <v/>
      </c>
      <c r="AE357" s="239" t="str">
        <f>IF('CCUS Projects Database'!$X357&lt;&gt;"",HYPERLINK('CCUS Projects Database'!$X357,"Link 7"),"")</f>
        <v/>
      </c>
    </row>
    <row r="358" ht="14.25" customHeight="1">
      <c r="A358" s="233" t="s">
        <v>8699</v>
      </c>
      <c r="B358" s="234">
        <v>451.0</v>
      </c>
      <c r="C358" s="234" t="s">
        <v>18586</v>
      </c>
      <c r="D358" s="235" t="s">
        <v>20218</v>
      </c>
      <c r="E358" s="234" t="s">
        <v>18618</v>
      </c>
      <c r="F358" s="234">
        <v>2021.0</v>
      </c>
      <c r="G358" s="234" t="s">
        <v>18725</v>
      </c>
      <c r="H358" s="234" t="s">
        <v>18725</v>
      </c>
      <c r="I358" s="234" t="s">
        <v>18725</v>
      </c>
      <c r="J358" s="234" t="s">
        <v>18636</v>
      </c>
      <c r="K358" s="236" t="s">
        <v>18725</v>
      </c>
      <c r="L358" s="236" t="s">
        <v>18725</v>
      </c>
      <c r="M358" s="236" t="s">
        <v>18725</v>
      </c>
      <c r="N358" s="234" t="s">
        <v>18661</v>
      </c>
      <c r="O358" s="237" t="s">
        <v>18677</v>
      </c>
      <c r="P358" s="238" t="s">
        <v>18725</v>
      </c>
      <c r="Q358" s="234" t="s">
        <v>18732</v>
      </c>
      <c r="R358" s="238" t="s">
        <v>20219</v>
      </c>
      <c r="S358" s="238" t="s">
        <v>18725</v>
      </c>
      <c r="T358" s="238" t="s">
        <v>18725</v>
      </c>
      <c r="U358" s="238" t="s">
        <v>18725</v>
      </c>
      <c r="V358" s="238" t="s">
        <v>18725</v>
      </c>
      <c r="W358" s="238" t="s">
        <v>18725</v>
      </c>
      <c r="X358" s="238" t="s">
        <v>18725</v>
      </c>
      <c r="Y358" s="239" t="str">
        <f>IF('CCUS Projects Database'!$R358&lt;&gt;"",HYPERLINK('CCUS Projects Database'!$R358,"Link 1"),"")</f>
        <v>Link 1</v>
      </c>
      <c r="Z358" s="239" t="str">
        <f>IF('CCUS Projects Database'!$S358&lt;&gt;"",HYPERLINK('CCUS Projects Database'!$S358,"Link 2"),"")</f>
        <v/>
      </c>
      <c r="AA358" s="239" t="str">
        <f>IF('CCUS Projects Database'!$T358&lt;&gt;"",HYPERLINK('CCUS Projects Database'!$T358,"Link 3"),"")</f>
        <v/>
      </c>
      <c r="AB358" s="239" t="str">
        <f>IF('CCUS Projects Database'!$U358&lt;&gt;"",HYPERLINK('CCUS Projects Database'!$U358,"Link 4"),"")</f>
        <v/>
      </c>
      <c r="AC358" s="239" t="str">
        <f>IF('CCUS Projects Database'!$V358&lt;&gt;"",HYPERLINK('CCUS Projects Database'!$V358,"Link 5"),"")</f>
        <v/>
      </c>
      <c r="AD358" s="239" t="str">
        <f>IF('CCUS Projects Database'!$W358&lt;&gt;"",HYPERLINK('CCUS Projects Database'!$W358,"Link 6"),"")</f>
        <v/>
      </c>
      <c r="AE358" s="239" t="str">
        <f>IF('CCUS Projects Database'!$X358&lt;&gt;"",HYPERLINK('CCUS Projects Database'!$X358,"Link 7"),"")</f>
        <v/>
      </c>
    </row>
    <row r="359" ht="14.25" customHeight="1">
      <c r="A359" s="233" t="s">
        <v>20220</v>
      </c>
      <c r="B359" s="234">
        <v>452.0</v>
      </c>
      <c r="C359" s="234" t="s">
        <v>83</v>
      </c>
      <c r="D359" s="235" t="s">
        <v>20221</v>
      </c>
      <c r="E359" s="234" t="s">
        <v>18623</v>
      </c>
      <c r="F359" s="234">
        <v>2019.0</v>
      </c>
      <c r="G359" s="234" t="s">
        <v>18725</v>
      </c>
      <c r="H359" s="234" t="s">
        <v>18725</v>
      </c>
      <c r="I359" s="234" t="s">
        <v>18725</v>
      </c>
      <c r="J359" s="234" t="s">
        <v>18636</v>
      </c>
      <c r="K359" s="236">
        <v>2.0</v>
      </c>
      <c r="L359" s="236">
        <v>4.0</v>
      </c>
      <c r="M359" s="236">
        <v>4.0</v>
      </c>
      <c r="N359" s="234" t="s">
        <v>18623</v>
      </c>
      <c r="O359" s="237" t="s">
        <v>18675</v>
      </c>
      <c r="P359" s="238" t="s">
        <v>18725</v>
      </c>
      <c r="Q359" s="234" t="s">
        <v>18726</v>
      </c>
      <c r="R359" s="238" t="s">
        <v>20222</v>
      </c>
      <c r="S359" s="238" t="s">
        <v>18725</v>
      </c>
      <c r="T359" s="238" t="s">
        <v>18725</v>
      </c>
      <c r="U359" s="238" t="s">
        <v>18725</v>
      </c>
      <c r="V359" s="238" t="s">
        <v>18725</v>
      </c>
      <c r="W359" s="238" t="s">
        <v>18725</v>
      </c>
      <c r="X359" s="238" t="s">
        <v>18725</v>
      </c>
      <c r="Y359" s="239" t="str">
        <f>IF('CCUS Projects Database'!$R359&lt;&gt;"",HYPERLINK('CCUS Projects Database'!$R359,"Link 1"),"")</f>
        <v>Link 1</v>
      </c>
      <c r="Z359" s="239" t="str">
        <f>IF('CCUS Projects Database'!$S359&lt;&gt;"",HYPERLINK('CCUS Projects Database'!$S359,"Link 2"),"")</f>
        <v/>
      </c>
      <c r="AA359" s="239" t="str">
        <f>IF('CCUS Projects Database'!$T359&lt;&gt;"",HYPERLINK('CCUS Projects Database'!$T359,"Link 3"),"")</f>
        <v/>
      </c>
      <c r="AB359" s="239" t="str">
        <f>IF('CCUS Projects Database'!$U359&lt;&gt;"",HYPERLINK('CCUS Projects Database'!$U359,"Link 4"),"")</f>
        <v/>
      </c>
      <c r="AC359" s="239" t="str">
        <f>IF('CCUS Projects Database'!$V359&lt;&gt;"",HYPERLINK('CCUS Projects Database'!$V359,"Link 5"),"")</f>
        <v/>
      </c>
      <c r="AD359" s="239" t="str">
        <f>IF('CCUS Projects Database'!$W359&lt;&gt;"",HYPERLINK('CCUS Projects Database'!$W359,"Link 6"),"")</f>
        <v/>
      </c>
      <c r="AE359" s="239" t="str">
        <f>IF('CCUS Projects Database'!$X359&lt;&gt;"",HYPERLINK('CCUS Projects Database'!$X359,"Link 7"),"")</f>
        <v/>
      </c>
    </row>
    <row r="360" ht="14.25" customHeight="1">
      <c r="A360" s="233" t="s">
        <v>8714</v>
      </c>
      <c r="B360" s="234">
        <v>453.0</v>
      </c>
      <c r="C360" s="234" t="s">
        <v>18292</v>
      </c>
      <c r="D360" s="235" t="s">
        <v>20223</v>
      </c>
      <c r="E360" s="234" t="s">
        <v>18618</v>
      </c>
      <c r="F360" s="234" t="s">
        <v>18725</v>
      </c>
      <c r="G360" s="234" t="s">
        <v>18725</v>
      </c>
      <c r="H360" s="234" t="s">
        <v>18725</v>
      </c>
      <c r="I360" s="234" t="s">
        <v>18725</v>
      </c>
      <c r="J360" s="234" t="s">
        <v>18636</v>
      </c>
      <c r="K360" s="236" t="s">
        <v>18725</v>
      </c>
      <c r="L360" s="236" t="s">
        <v>18725</v>
      </c>
      <c r="M360" s="236" t="s">
        <v>18725</v>
      </c>
      <c r="N360" s="234" t="s">
        <v>18661</v>
      </c>
      <c r="O360" s="237" t="s">
        <v>18683</v>
      </c>
      <c r="P360" s="238" t="s">
        <v>18725</v>
      </c>
      <c r="Q360" s="234" t="s">
        <v>18732</v>
      </c>
      <c r="R360" s="238" t="s">
        <v>18725</v>
      </c>
      <c r="S360" s="238" t="s">
        <v>18725</v>
      </c>
      <c r="T360" s="238" t="s">
        <v>18725</v>
      </c>
      <c r="U360" s="238" t="s">
        <v>18725</v>
      </c>
      <c r="V360" s="238" t="s">
        <v>18725</v>
      </c>
      <c r="W360" s="238" t="s">
        <v>18725</v>
      </c>
      <c r="X360" s="238" t="s">
        <v>18725</v>
      </c>
      <c r="Y360" s="239" t="str">
        <f>IF('CCUS Projects Database'!$R360&lt;&gt;"",HYPERLINK('CCUS Projects Database'!$R360,"Link 1"),"")</f>
        <v/>
      </c>
      <c r="Z360" s="239" t="str">
        <f>IF('CCUS Projects Database'!$S360&lt;&gt;"",HYPERLINK('CCUS Projects Database'!$S360,"Link 2"),"")</f>
        <v/>
      </c>
      <c r="AA360" s="239" t="str">
        <f>IF('CCUS Projects Database'!$T360&lt;&gt;"",HYPERLINK('CCUS Projects Database'!$T360,"Link 3"),"")</f>
        <v/>
      </c>
      <c r="AB360" s="239" t="str">
        <f>IF('CCUS Projects Database'!$U360&lt;&gt;"",HYPERLINK('CCUS Projects Database'!$U360,"Link 4"),"")</f>
        <v/>
      </c>
      <c r="AC360" s="239" t="str">
        <f>IF('CCUS Projects Database'!$V360&lt;&gt;"",HYPERLINK('CCUS Projects Database'!$V360,"Link 5"),"")</f>
        <v/>
      </c>
      <c r="AD360" s="239" t="str">
        <f>IF('CCUS Projects Database'!$W360&lt;&gt;"",HYPERLINK('CCUS Projects Database'!$W360,"Link 6"),"")</f>
        <v/>
      </c>
      <c r="AE360" s="239" t="str">
        <f>IF('CCUS Projects Database'!$X360&lt;&gt;"",HYPERLINK('CCUS Projects Database'!$X360,"Link 7"),"")</f>
        <v/>
      </c>
    </row>
    <row r="361" ht="14.25" customHeight="1">
      <c r="A361" s="233" t="s">
        <v>20224</v>
      </c>
      <c r="B361" s="234">
        <v>454.0</v>
      </c>
      <c r="C361" s="234" t="s">
        <v>98</v>
      </c>
      <c r="D361" s="235" t="s">
        <v>20225</v>
      </c>
      <c r="E361" s="234" t="s">
        <v>18618</v>
      </c>
      <c r="F361" s="234">
        <v>2020.0</v>
      </c>
      <c r="G361" s="234">
        <v>2025.0</v>
      </c>
      <c r="H361" s="234" t="s">
        <v>18725</v>
      </c>
      <c r="I361" s="234">
        <v>2022.0</v>
      </c>
      <c r="J361" s="234" t="s">
        <v>18192</v>
      </c>
      <c r="K361" s="236" t="s">
        <v>18725</v>
      </c>
      <c r="L361" s="236">
        <v>0.15</v>
      </c>
      <c r="M361" s="236">
        <v>0.15</v>
      </c>
      <c r="N361" s="234" t="s">
        <v>18731</v>
      </c>
      <c r="O361" s="237" t="s">
        <v>18675</v>
      </c>
      <c r="P361" s="238" t="s">
        <v>18725</v>
      </c>
      <c r="Q361" s="234" t="s">
        <v>18726</v>
      </c>
      <c r="R361" s="238" t="s">
        <v>18725</v>
      </c>
      <c r="S361" s="238" t="s">
        <v>18725</v>
      </c>
      <c r="T361" s="238" t="s">
        <v>18725</v>
      </c>
      <c r="U361" s="238" t="s">
        <v>18725</v>
      </c>
      <c r="V361" s="238" t="s">
        <v>18725</v>
      </c>
      <c r="W361" s="238" t="s">
        <v>18725</v>
      </c>
      <c r="X361" s="238" t="s">
        <v>18725</v>
      </c>
      <c r="Y361" s="239" t="str">
        <f>IF('CCUS Projects Database'!$R361&lt;&gt;"",HYPERLINK('CCUS Projects Database'!$R361,"Link 1"),"")</f>
        <v/>
      </c>
      <c r="Z361" s="239" t="str">
        <f>IF('CCUS Projects Database'!$S361&lt;&gt;"",HYPERLINK('CCUS Projects Database'!$S361,"Link 2"),"")</f>
        <v/>
      </c>
      <c r="AA361" s="239" t="str">
        <f>IF('CCUS Projects Database'!$T361&lt;&gt;"",HYPERLINK('CCUS Projects Database'!$T361,"Link 3"),"")</f>
        <v/>
      </c>
      <c r="AB361" s="239" t="str">
        <f>IF('CCUS Projects Database'!$U361&lt;&gt;"",HYPERLINK('CCUS Projects Database'!$U361,"Link 4"),"")</f>
        <v/>
      </c>
      <c r="AC361" s="239" t="str">
        <f>IF('CCUS Projects Database'!$V361&lt;&gt;"",HYPERLINK('CCUS Projects Database'!$V361,"Link 5"),"")</f>
        <v/>
      </c>
      <c r="AD361" s="239" t="str">
        <f>IF('CCUS Projects Database'!$W361&lt;&gt;"",HYPERLINK('CCUS Projects Database'!$W361,"Link 6"),"")</f>
        <v/>
      </c>
      <c r="AE361" s="239" t="str">
        <f>IF('CCUS Projects Database'!$X361&lt;&gt;"",HYPERLINK('CCUS Projects Database'!$X361,"Link 7"),"")</f>
        <v/>
      </c>
    </row>
    <row r="362" ht="14.25" customHeight="1">
      <c r="A362" s="233" t="s">
        <v>9446</v>
      </c>
      <c r="B362" s="234">
        <v>455.0</v>
      </c>
      <c r="C362" s="234" t="s">
        <v>57</v>
      </c>
      <c r="D362" s="235" t="s">
        <v>20226</v>
      </c>
      <c r="E362" s="234" t="s">
        <v>18618</v>
      </c>
      <c r="F362" s="234">
        <v>2022.0</v>
      </c>
      <c r="G362" s="234" t="s">
        <v>18725</v>
      </c>
      <c r="H362" s="234">
        <v>2029.0</v>
      </c>
      <c r="I362" s="234" t="s">
        <v>18725</v>
      </c>
      <c r="J362" s="234" t="s">
        <v>18636</v>
      </c>
      <c r="K362" s="236" t="s">
        <v>18725</v>
      </c>
      <c r="L362" s="236">
        <v>1.8</v>
      </c>
      <c r="M362" s="236">
        <v>1.8</v>
      </c>
      <c r="N362" s="234" t="s">
        <v>18731</v>
      </c>
      <c r="O362" s="237" t="s">
        <v>18675</v>
      </c>
      <c r="P362" s="238" t="s">
        <v>18941</v>
      </c>
      <c r="Q362" s="234" t="s">
        <v>18726</v>
      </c>
      <c r="R362" s="238" t="s">
        <v>20227</v>
      </c>
      <c r="S362" s="238" t="s">
        <v>18725</v>
      </c>
      <c r="T362" s="238" t="s">
        <v>18725</v>
      </c>
      <c r="U362" s="238" t="s">
        <v>18725</v>
      </c>
      <c r="V362" s="238" t="s">
        <v>18725</v>
      </c>
      <c r="W362" s="238" t="s">
        <v>18725</v>
      </c>
      <c r="X362" s="238" t="s">
        <v>18725</v>
      </c>
      <c r="Y362" s="239" t="str">
        <f>IF('CCUS Projects Database'!$R362&lt;&gt;"",HYPERLINK('CCUS Projects Database'!$R362,"Link 1"),"")</f>
        <v>Link 1</v>
      </c>
      <c r="Z362" s="239" t="str">
        <f>IF('CCUS Projects Database'!$S362&lt;&gt;"",HYPERLINK('CCUS Projects Database'!$S362,"Link 2"),"")</f>
        <v/>
      </c>
      <c r="AA362" s="239" t="str">
        <f>IF('CCUS Projects Database'!$T362&lt;&gt;"",HYPERLINK('CCUS Projects Database'!$T362,"Link 3"),"")</f>
        <v/>
      </c>
      <c r="AB362" s="239" t="str">
        <f>IF('CCUS Projects Database'!$U362&lt;&gt;"",HYPERLINK('CCUS Projects Database'!$U362,"Link 4"),"")</f>
        <v/>
      </c>
      <c r="AC362" s="239" t="str">
        <f>IF('CCUS Projects Database'!$V362&lt;&gt;"",HYPERLINK('CCUS Projects Database'!$V362,"Link 5"),"")</f>
        <v/>
      </c>
      <c r="AD362" s="239" t="str">
        <f>IF('CCUS Projects Database'!$W362&lt;&gt;"",HYPERLINK('CCUS Projects Database'!$W362,"Link 6"),"")</f>
        <v/>
      </c>
      <c r="AE362" s="239" t="str">
        <f>IF('CCUS Projects Database'!$X362&lt;&gt;"",HYPERLINK('CCUS Projects Database'!$X362,"Link 7"),"")</f>
        <v/>
      </c>
    </row>
    <row r="363" ht="14.25" customHeight="1">
      <c r="A363" s="233" t="s">
        <v>20228</v>
      </c>
      <c r="B363" s="234">
        <v>458.0</v>
      </c>
      <c r="C363" s="234" t="s">
        <v>18586</v>
      </c>
      <c r="D363" s="235" t="s">
        <v>20229</v>
      </c>
      <c r="E363" s="234" t="s">
        <v>18618</v>
      </c>
      <c r="F363" s="234">
        <v>2020.0</v>
      </c>
      <c r="G363" s="234">
        <v>2021.0</v>
      </c>
      <c r="H363" s="234">
        <v>2025.0</v>
      </c>
      <c r="I363" s="234" t="s">
        <v>18725</v>
      </c>
      <c r="J363" s="234" t="s">
        <v>18638</v>
      </c>
      <c r="K363" s="236" t="s">
        <v>18725</v>
      </c>
      <c r="L363" s="236">
        <v>2.0</v>
      </c>
      <c r="M363" s="236">
        <v>2.0</v>
      </c>
      <c r="N363" s="234" t="s">
        <v>18731</v>
      </c>
      <c r="O363" s="237" t="s">
        <v>18675</v>
      </c>
      <c r="P363" s="238" t="s">
        <v>20230</v>
      </c>
      <c r="Q363" s="234" t="s">
        <v>18732</v>
      </c>
      <c r="R363" s="238" t="s">
        <v>17251</v>
      </c>
      <c r="S363" s="238" t="s">
        <v>16991</v>
      </c>
      <c r="T363" s="238" t="s">
        <v>20231</v>
      </c>
      <c r="U363" s="238" t="s">
        <v>20232</v>
      </c>
      <c r="V363" s="238" t="s">
        <v>20233</v>
      </c>
      <c r="W363" s="238" t="s">
        <v>18725</v>
      </c>
      <c r="X363" s="238" t="s">
        <v>18725</v>
      </c>
      <c r="Y363" s="239" t="str">
        <f>IF('CCUS Projects Database'!$R363&lt;&gt;"",HYPERLINK('CCUS Projects Database'!$R363,"Link 1"),"")</f>
        <v>Link 1</v>
      </c>
      <c r="Z363" s="239" t="str">
        <f>IF('CCUS Projects Database'!$S363&lt;&gt;"",HYPERLINK('CCUS Projects Database'!$S363,"Link 2"),"")</f>
        <v>Link 2</v>
      </c>
      <c r="AA363" s="239" t="str">
        <f>IF('CCUS Projects Database'!$T363&lt;&gt;"",HYPERLINK('CCUS Projects Database'!$T363,"Link 3"),"")</f>
        <v>Link 3</v>
      </c>
      <c r="AB363" s="239" t="str">
        <f>IF('CCUS Projects Database'!$U363&lt;&gt;"",HYPERLINK('CCUS Projects Database'!$U363,"Link 4"),"")</f>
        <v>Link 4</v>
      </c>
      <c r="AC363" s="239" t="str">
        <f>IF('CCUS Projects Database'!$V363&lt;&gt;"",HYPERLINK('CCUS Projects Database'!$V363,"Link 5"),"")</f>
        <v>Link 5</v>
      </c>
      <c r="AD363" s="239" t="str">
        <f>IF('CCUS Projects Database'!$W363&lt;&gt;"",HYPERLINK('CCUS Projects Database'!$W363,"Link 6"),"")</f>
        <v/>
      </c>
      <c r="AE363" s="239" t="str">
        <f>IF('CCUS Projects Database'!$X363&lt;&gt;"",HYPERLINK('CCUS Projects Database'!$X363,"Link 7"),"")</f>
        <v/>
      </c>
    </row>
    <row r="364" ht="14.25" customHeight="1">
      <c r="A364" s="233" t="s">
        <v>9459</v>
      </c>
      <c r="B364" s="234">
        <v>459.0</v>
      </c>
      <c r="C364" s="234" t="s">
        <v>18586</v>
      </c>
      <c r="D364" s="235" t="s">
        <v>20234</v>
      </c>
      <c r="E364" s="234" t="s">
        <v>18616</v>
      </c>
      <c r="F364" s="234">
        <v>2020.0</v>
      </c>
      <c r="G364" s="234">
        <v>2024.0</v>
      </c>
      <c r="H364" s="234">
        <v>2028.0</v>
      </c>
      <c r="I364" s="234" t="s">
        <v>18725</v>
      </c>
      <c r="J364" s="234" t="s">
        <v>18638</v>
      </c>
      <c r="K364" s="236" t="s">
        <v>18725</v>
      </c>
      <c r="L364" s="236">
        <v>0.5</v>
      </c>
      <c r="M364" s="236">
        <v>0.5</v>
      </c>
      <c r="N364" s="234" t="s">
        <v>18731</v>
      </c>
      <c r="O364" s="237" t="s">
        <v>18675</v>
      </c>
      <c r="P364" s="238" t="s">
        <v>18725</v>
      </c>
      <c r="Q364" s="234" t="s">
        <v>18732</v>
      </c>
      <c r="R364" s="238" t="s">
        <v>17251</v>
      </c>
      <c r="S364" s="238" t="s">
        <v>16991</v>
      </c>
      <c r="T364" s="238" t="s">
        <v>20231</v>
      </c>
      <c r="U364" s="238" t="s">
        <v>20235</v>
      </c>
      <c r="V364" s="238" t="s">
        <v>20236</v>
      </c>
      <c r="W364" s="238" t="s">
        <v>18725</v>
      </c>
      <c r="X364" s="238" t="s">
        <v>18725</v>
      </c>
      <c r="Y364" s="239" t="str">
        <f>IF('CCUS Projects Database'!$R364&lt;&gt;"",HYPERLINK('CCUS Projects Database'!$R364,"Link 1"),"")</f>
        <v>Link 1</v>
      </c>
      <c r="Z364" s="239" t="str">
        <f>IF('CCUS Projects Database'!$S364&lt;&gt;"",HYPERLINK('CCUS Projects Database'!$S364,"Link 2"),"")</f>
        <v>Link 2</v>
      </c>
      <c r="AA364" s="239" t="str">
        <f>IF('CCUS Projects Database'!$T364&lt;&gt;"",HYPERLINK('CCUS Projects Database'!$T364,"Link 3"),"")</f>
        <v>Link 3</v>
      </c>
      <c r="AB364" s="239" t="str">
        <f>IF('CCUS Projects Database'!$U364&lt;&gt;"",HYPERLINK('CCUS Projects Database'!$U364,"Link 4"),"")</f>
        <v>Link 4</v>
      </c>
      <c r="AC364" s="239" t="str">
        <f>IF('CCUS Projects Database'!$V364&lt;&gt;"",HYPERLINK('CCUS Projects Database'!$V364,"Link 5"),"")</f>
        <v>Link 5</v>
      </c>
      <c r="AD364" s="239" t="str">
        <f>IF('CCUS Projects Database'!$W364&lt;&gt;"",HYPERLINK('CCUS Projects Database'!$W364,"Link 6"),"")</f>
        <v/>
      </c>
      <c r="AE364" s="239" t="str">
        <f>IF('CCUS Projects Database'!$X364&lt;&gt;"",HYPERLINK('CCUS Projects Database'!$X364,"Link 7"),"")</f>
        <v/>
      </c>
    </row>
    <row r="365" ht="14.25" customHeight="1">
      <c r="A365" s="233" t="s">
        <v>20237</v>
      </c>
      <c r="B365" s="234">
        <v>460.0</v>
      </c>
      <c r="C365" s="234" t="s">
        <v>83</v>
      </c>
      <c r="D365" s="235" t="s">
        <v>20221</v>
      </c>
      <c r="E365" s="234" t="s">
        <v>18623</v>
      </c>
      <c r="F365" s="234">
        <v>2020.0</v>
      </c>
      <c r="G365" s="234" t="s">
        <v>18725</v>
      </c>
      <c r="H365" s="234" t="s">
        <v>18725</v>
      </c>
      <c r="I365" s="234" t="s">
        <v>18725</v>
      </c>
      <c r="J365" s="234" t="s">
        <v>18636</v>
      </c>
      <c r="K365" s="236">
        <v>3.0</v>
      </c>
      <c r="L365" s="236">
        <v>2.0</v>
      </c>
      <c r="M365" s="236">
        <v>2.0</v>
      </c>
      <c r="N365" s="234" t="s">
        <v>18623</v>
      </c>
      <c r="O365" s="237" t="s">
        <v>18675</v>
      </c>
      <c r="P365" s="238" t="s">
        <v>18725</v>
      </c>
      <c r="Q365" s="234" t="s">
        <v>18726</v>
      </c>
      <c r="R365" s="238" t="s">
        <v>20232</v>
      </c>
      <c r="S365" s="238" t="s">
        <v>18725</v>
      </c>
      <c r="T365" s="238" t="s">
        <v>18725</v>
      </c>
      <c r="U365" s="238" t="s">
        <v>18725</v>
      </c>
      <c r="V365" s="238" t="s">
        <v>18725</v>
      </c>
      <c r="W365" s="238" t="s">
        <v>18725</v>
      </c>
      <c r="X365" s="238" t="s">
        <v>18725</v>
      </c>
      <c r="Y365" s="239" t="str">
        <f>IF('CCUS Projects Database'!$R365&lt;&gt;"",HYPERLINK('CCUS Projects Database'!$R365,"Link 1"),"")</f>
        <v>Link 1</v>
      </c>
      <c r="Z365" s="239" t="str">
        <f>IF('CCUS Projects Database'!$S365&lt;&gt;"",HYPERLINK('CCUS Projects Database'!$S365,"Link 2"),"")</f>
        <v/>
      </c>
      <c r="AA365" s="239" t="str">
        <f>IF('CCUS Projects Database'!$T365&lt;&gt;"",HYPERLINK('CCUS Projects Database'!$T365,"Link 3"),"")</f>
        <v/>
      </c>
      <c r="AB365" s="239" t="str">
        <f>IF('CCUS Projects Database'!$U365&lt;&gt;"",HYPERLINK('CCUS Projects Database'!$U365,"Link 4"),"")</f>
        <v/>
      </c>
      <c r="AC365" s="239" t="str">
        <f>IF('CCUS Projects Database'!$V365&lt;&gt;"",HYPERLINK('CCUS Projects Database'!$V365,"Link 5"),"")</f>
        <v/>
      </c>
      <c r="AD365" s="239" t="str">
        <f>IF('CCUS Projects Database'!$W365&lt;&gt;"",HYPERLINK('CCUS Projects Database'!$W365,"Link 6"),"")</f>
        <v/>
      </c>
      <c r="AE365" s="239" t="str">
        <f>IF('CCUS Projects Database'!$X365&lt;&gt;"",HYPERLINK('CCUS Projects Database'!$X365,"Link 7"),"")</f>
        <v/>
      </c>
    </row>
    <row r="366" ht="14.25" customHeight="1">
      <c r="A366" s="233" t="s">
        <v>20238</v>
      </c>
      <c r="B366" s="234">
        <v>463.0</v>
      </c>
      <c r="C366" s="234" t="s">
        <v>18321</v>
      </c>
      <c r="D366" s="235" t="s">
        <v>20239</v>
      </c>
      <c r="E366" s="234" t="s">
        <v>18618</v>
      </c>
      <c r="F366" s="234">
        <v>2022.0</v>
      </c>
      <c r="G366" s="234" t="s">
        <v>18725</v>
      </c>
      <c r="H366" s="234" t="s">
        <v>18725</v>
      </c>
      <c r="I366" s="234" t="s">
        <v>18725</v>
      </c>
      <c r="J366" s="234" t="s">
        <v>18636</v>
      </c>
      <c r="K366" s="236" t="s">
        <v>18725</v>
      </c>
      <c r="L366" s="236">
        <v>0.46</v>
      </c>
      <c r="M366" s="236">
        <v>0.46</v>
      </c>
      <c r="N366" s="234" t="s">
        <v>677</v>
      </c>
      <c r="O366" s="237" t="s">
        <v>18683</v>
      </c>
      <c r="P366" s="238" t="s">
        <v>18725</v>
      </c>
      <c r="Q366" s="234" t="s">
        <v>18293</v>
      </c>
      <c r="R366" s="238" t="s">
        <v>16995</v>
      </c>
      <c r="S366" s="238" t="s">
        <v>18725</v>
      </c>
      <c r="T366" s="238" t="s">
        <v>18725</v>
      </c>
      <c r="U366" s="238" t="s">
        <v>18725</v>
      </c>
      <c r="V366" s="238" t="s">
        <v>18725</v>
      </c>
      <c r="W366" s="238" t="s">
        <v>18725</v>
      </c>
      <c r="X366" s="238" t="s">
        <v>18725</v>
      </c>
      <c r="Y366" s="239" t="str">
        <f>IF('CCUS Projects Database'!$R366&lt;&gt;"",HYPERLINK('CCUS Projects Database'!$R366,"Link 1"),"")</f>
        <v>Link 1</v>
      </c>
      <c r="Z366" s="239" t="str">
        <f>IF('CCUS Projects Database'!$S366&lt;&gt;"",HYPERLINK('CCUS Projects Database'!$S366,"Link 2"),"")</f>
        <v/>
      </c>
      <c r="AA366" s="239" t="str">
        <f>IF('CCUS Projects Database'!$T366&lt;&gt;"",HYPERLINK('CCUS Projects Database'!$T366,"Link 3"),"")</f>
        <v/>
      </c>
      <c r="AB366" s="239" t="str">
        <f>IF('CCUS Projects Database'!$U366&lt;&gt;"",HYPERLINK('CCUS Projects Database'!$U366,"Link 4"),"")</f>
        <v/>
      </c>
      <c r="AC366" s="239" t="str">
        <f>IF('CCUS Projects Database'!$V366&lt;&gt;"",HYPERLINK('CCUS Projects Database'!$V366,"Link 5"),"")</f>
        <v/>
      </c>
      <c r="AD366" s="239" t="str">
        <f>IF('CCUS Projects Database'!$W366&lt;&gt;"",HYPERLINK('CCUS Projects Database'!$W366,"Link 6"),"")</f>
        <v/>
      </c>
      <c r="AE366" s="239" t="str">
        <f>IF('CCUS Projects Database'!$X366&lt;&gt;"",HYPERLINK('CCUS Projects Database'!$X366,"Link 7"),"")</f>
        <v/>
      </c>
    </row>
    <row r="367" ht="14.25" customHeight="1">
      <c r="A367" s="233" t="s">
        <v>20240</v>
      </c>
      <c r="B367" s="234">
        <v>464.0</v>
      </c>
      <c r="C367" s="234" t="s">
        <v>18329</v>
      </c>
      <c r="D367" s="235" t="s">
        <v>20241</v>
      </c>
      <c r="E367" s="234" t="s">
        <v>18618</v>
      </c>
      <c r="F367" s="234">
        <v>2021.0</v>
      </c>
      <c r="G367" s="234" t="s">
        <v>18725</v>
      </c>
      <c r="H367" s="234" t="s">
        <v>18725</v>
      </c>
      <c r="I367" s="234" t="s">
        <v>18725</v>
      </c>
      <c r="J367" s="234" t="s">
        <v>18636</v>
      </c>
      <c r="K367" s="236" t="s">
        <v>18725</v>
      </c>
      <c r="L367" s="236" t="s">
        <v>18725</v>
      </c>
      <c r="M367" s="236" t="s">
        <v>18725</v>
      </c>
      <c r="N367" s="234" t="s">
        <v>18731</v>
      </c>
      <c r="O367" s="237" t="s">
        <v>18683</v>
      </c>
      <c r="P367" s="238" t="s">
        <v>18725</v>
      </c>
      <c r="Q367" s="234" t="s">
        <v>18762</v>
      </c>
      <c r="R367" s="238" t="s">
        <v>16999</v>
      </c>
      <c r="S367" s="238" t="s">
        <v>18725</v>
      </c>
      <c r="T367" s="238" t="s">
        <v>18725</v>
      </c>
      <c r="U367" s="238" t="s">
        <v>18725</v>
      </c>
      <c r="V367" s="238" t="s">
        <v>18725</v>
      </c>
      <c r="W367" s="238" t="s">
        <v>18725</v>
      </c>
      <c r="X367" s="238" t="s">
        <v>18725</v>
      </c>
      <c r="Y367" s="239" t="str">
        <f>IF('CCUS Projects Database'!$R367&lt;&gt;"",HYPERLINK('CCUS Projects Database'!$R367,"Link 1"),"")</f>
        <v>Link 1</v>
      </c>
      <c r="Z367" s="239" t="str">
        <f>IF('CCUS Projects Database'!$S367&lt;&gt;"",HYPERLINK('CCUS Projects Database'!$S367,"Link 2"),"")</f>
        <v/>
      </c>
      <c r="AA367" s="239" t="str">
        <f>IF('CCUS Projects Database'!$T367&lt;&gt;"",HYPERLINK('CCUS Projects Database'!$T367,"Link 3"),"")</f>
        <v/>
      </c>
      <c r="AB367" s="239" t="str">
        <f>IF('CCUS Projects Database'!$U367&lt;&gt;"",HYPERLINK('CCUS Projects Database'!$U367,"Link 4"),"")</f>
        <v/>
      </c>
      <c r="AC367" s="239" t="str">
        <f>IF('CCUS Projects Database'!$V367&lt;&gt;"",HYPERLINK('CCUS Projects Database'!$V367,"Link 5"),"")</f>
        <v/>
      </c>
      <c r="AD367" s="239" t="str">
        <f>IF('CCUS Projects Database'!$W367&lt;&gt;"",HYPERLINK('CCUS Projects Database'!$W367,"Link 6"),"")</f>
        <v/>
      </c>
      <c r="AE367" s="239" t="str">
        <f>IF('CCUS Projects Database'!$X367&lt;&gt;"",HYPERLINK('CCUS Projects Database'!$X367,"Link 7"),"")</f>
        <v/>
      </c>
    </row>
    <row r="368" ht="14.25" customHeight="1">
      <c r="A368" s="233" t="s">
        <v>9454</v>
      </c>
      <c r="B368" s="234">
        <v>465.0</v>
      </c>
      <c r="C368" s="234" t="s">
        <v>164</v>
      </c>
      <c r="D368" s="235" t="s">
        <v>20242</v>
      </c>
      <c r="E368" s="234" t="s">
        <v>18618</v>
      </c>
      <c r="F368" s="234">
        <v>2022.0</v>
      </c>
      <c r="G368" s="234">
        <v>2023.0</v>
      </c>
      <c r="H368" s="234">
        <v>2026.0</v>
      </c>
      <c r="I368" s="234" t="s">
        <v>18725</v>
      </c>
      <c r="J368" s="234" t="s">
        <v>18638</v>
      </c>
      <c r="K368" s="236" t="s">
        <v>18725</v>
      </c>
      <c r="L368" s="236">
        <v>0.8</v>
      </c>
      <c r="M368" s="236">
        <v>0.8</v>
      </c>
      <c r="N368" s="234" t="s">
        <v>677</v>
      </c>
      <c r="O368" s="237" t="s">
        <v>18675</v>
      </c>
      <c r="P368" s="238" t="s">
        <v>18941</v>
      </c>
      <c r="Q368" s="234" t="s">
        <v>18726</v>
      </c>
      <c r="R368" s="238" t="s">
        <v>17246</v>
      </c>
      <c r="S368" s="238" t="s">
        <v>20243</v>
      </c>
      <c r="T368" s="238" t="s">
        <v>20244</v>
      </c>
      <c r="U368" s="238" t="s">
        <v>18725</v>
      </c>
      <c r="V368" s="238" t="s">
        <v>18725</v>
      </c>
      <c r="W368" s="238" t="s">
        <v>18725</v>
      </c>
      <c r="X368" s="238" t="s">
        <v>18725</v>
      </c>
      <c r="Y368" s="239" t="str">
        <f>IF('CCUS Projects Database'!$R368&lt;&gt;"",HYPERLINK('CCUS Projects Database'!$R368,"Link 1"),"")</f>
        <v>Link 1</v>
      </c>
      <c r="Z368" s="239" t="str">
        <f>IF('CCUS Projects Database'!$S368&lt;&gt;"",HYPERLINK('CCUS Projects Database'!$S368,"Link 2"),"")</f>
        <v>Link 2</v>
      </c>
      <c r="AA368" s="239" t="str">
        <f>IF('CCUS Projects Database'!$T368&lt;&gt;"",HYPERLINK('CCUS Projects Database'!$T368,"Link 3"),"")</f>
        <v>Link 3</v>
      </c>
      <c r="AB368" s="239" t="str">
        <f>IF('CCUS Projects Database'!$U368&lt;&gt;"",HYPERLINK('CCUS Projects Database'!$U368,"Link 4"),"")</f>
        <v/>
      </c>
      <c r="AC368" s="239" t="str">
        <f>IF('CCUS Projects Database'!$V368&lt;&gt;"",HYPERLINK('CCUS Projects Database'!$V368,"Link 5"),"")</f>
        <v/>
      </c>
      <c r="AD368" s="239" t="str">
        <f>IF('CCUS Projects Database'!$W368&lt;&gt;"",HYPERLINK('CCUS Projects Database'!$W368,"Link 6"),"")</f>
        <v/>
      </c>
      <c r="AE368" s="239" t="str">
        <f>IF('CCUS Projects Database'!$X368&lt;&gt;"",HYPERLINK('CCUS Projects Database'!$X368,"Link 7"),"")</f>
        <v/>
      </c>
    </row>
    <row r="369" ht="14.25" customHeight="1">
      <c r="A369" s="233" t="s">
        <v>20245</v>
      </c>
      <c r="B369" s="234">
        <v>470.0</v>
      </c>
      <c r="C369" s="234" t="s">
        <v>18586</v>
      </c>
      <c r="D369" s="235" t="s">
        <v>20246</v>
      </c>
      <c r="E369" s="234" t="s">
        <v>18618</v>
      </c>
      <c r="F369" s="234">
        <v>2022.0</v>
      </c>
      <c r="G369" s="234" t="s">
        <v>18725</v>
      </c>
      <c r="H369" s="234">
        <v>2024.0</v>
      </c>
      <c r="I369" s="234">
        <v>2024.0</v>
      </c>
      <c r="J369" s="234" t="s">
        <v>18192</v>
      </c>
      <c r="K369" s="236">
        <v>1.0</v>
      </c>
      <c r="L369" s="236">
        <v>0.01</v>
      </c>
      <c r="M369" s="236">
        <v>0.01</v>
      </c>
      <c r="N369" s="234" t="s">
        <v>18218</v>
      </c>
      <c r="O369" s="237" t="s">
        <v>18675</v>
      </c>
      <c r="P369" s="238" t="s">
        <v>20247</v>
      </c>
      <c r="Q369" s="234" t="s">
        <v>18732</v>
      </c>
      <c r="R369" s="238" t="s">
        <v>20248</v>
      </c>
      <c r="S369" s="238" t="s">
        <v>18725</v>
      </c>
      <c r="T369" s="238" t="s">
        <v>18725</v>
      </c>
      <c r="U369" s="238" t="s">
        <v>18725</v>
      </c>
      <c r="V369" s="238" t="s">
        <v>18725</v>
      </c>
      <c r="W369" s="238" t="s">
        <v>18725</v>
      </c>
      <c r="X369" s="238" t="s">
        <v>18725</v>
      </c>
      <c r="Y369" s="239" t="str">
        <f>IF('CCUS Projects Database'!$R369&lt;&gt;"",HYPERLINK('CCUS Projects Database'!$R369,"Link 1"),"")</f>
        <v>Link 1</v>
      </c>
      <c r="Z369" s="239" t="str">
        <f>IF('CCUS Projects Database'!$S369&lt;&gt;"",HYPERLINK('CCUS Projects Database'!$S369,"Link 2"),"")</f>
        <v/>
      </c>
      <c r="AA369" s="239" t="str">
        <f>IF('CCUS Projects Database'!$T369&lt;&gt;"",HYPERLINK('CCUS Projects Database'!$T369,"Link 3"),"")</f>
        <v/>
      </c>
      <c r="AB369" s="239" t="str">
        <f>IF('CCUS Projects Database'!$U369&lt;&gt;"",HYPERLINK('CCUS Projects Database'!$U369,"Link 4"),"")</f>
        <v/>
      </c>
      <c r="AC369" s="239" t="str">
        <f>IF('CCUS Projects Database'!$V369&lt;&gt;"",HYPERLINK('CCUS Projects Database'!$V369,"Link 5"),"")</f>
        <v/>
      </c>
      <c r="AD369" s="239" t="str">
        <f>IF('CCUS Projects Database'!$W369&lt;&gt;"",HYPERLINK('CCUS Projects Database'!$W369,"Link 6"),"")</f>
        <v/>
      </c>
      <c r="AE369" s="239" t="str">
        <f>IF('CCUS Projects Database'!$X369&lt;&gt;"",HYPERLINK('CCUS Projects Database'!$X369,"Link 7"),"")</f>
        <v/>
      </c>
    </row>
    <row r="370" ht="14.25" customHeight="1">
      <c r="A370" s="233" t="s">
        <v>20249</v>
      </c>
      <c r="B370" s="234">
        <v>471.0</v>
      </c>
      <c r="C370" s="234" t="s">
        <v>18586</v>
      </c>
      <c r="D370" s="235" t="s">
        <v>20246</v>
      </c>
      <c r="E370" s="234" t="s">
        <v>18618</v>
      </c>
      <c r="F370" s="234">
        <v>2022.0</v>
      </c>
      <c r="G370" s="234" t="s">
        <v>18725</v>
      </c>
      <c r="H370" s="234">
        <v>2026.0</v>
      </c>
      <c r="I370" s="234">
        <v>2024.0</v>
      </c>
      <c r="J370" s="234" t="s">
        <v>18192</v>
      </c>
      <c r="K370" s="236">
        <v>2.0</v>
      </c>
      <c r="L370" s="236">
        <v>0.2</v>
      </c>
      <c r="M370" s="236">
        <v>0.2</v>
      </c>
      <c r="N370" s="234" t="s">
        <v>18218</v>
      </c>
      <c r="O370" s="237" t="s">
        <v>18675</v>
      </c>
      <c r="P370" s="238" t="s">
        <v>20247</v>
      </c>
      <c r="Q370" s="234" t="s">
        <v>18732</v>
      </c>
      <c r="R370" s="238" t="s">
        <v>20248</v>
      </c>
      <c r="S370" s="238" t="s">
        <v>18725</v>
      </c>
      <c r="T370" s="238" t="s">
        <v>18725</v>
      </c>
      <c r="U370" s="238" t="s">
        <v>18725</v>
      </c>
      <c r="V370" s="238" t="s">
        <v>18725</v>
      </c>
      <c r="W370" s="238" t="s">
        <v>18725</v>
      </c>
      <c r="X370" s="238" t="s">
        <v>18725</v>
      </c>
      <c r="Y370" s="239" t="str">
        <f>IF('CCUS Projects Database'!$R370&lt;&gt;"",HYPERLINK('CCUS Projects Database'!$R370,"Link 1"),"")</f>
        <v>Link 1</v>
      </c>
      <c r="Z370" s="239" t="str">
        <f>IF('CCUS Projects Database'!$S370&lt;&gt;"",HYPERLINK('CCUS Projects Database'!$S370,"Link 2"),"")</f>
        <v/>
      </c>
      <c r="AA370" s="239" t="str">
        <f>IF('CCUS Projects Database'!$T370&lt;&gt;"",HYPERLINK('CCUS Projects Database'!$T370,"Link 3"),"")</f>
        <v/>
      </c>
      <c r="AB370" s="239" t="str">
        <f>IF('CCUS Projects Database'!$U370&lt;&gt;"",HYPERLINK('CCUS Projects Database'!$U370,"Link 4"),"")</f>
        <v/>
      </c>
      <c r="AC370" s="239" t="str">
        <f>IF('CCUS Projects Database'!$V370&lt;&gt;"",HYPERLINK('CCUS Projects Database'!$V370,"Link 5"),"")</f>
        <v/>
      </c>
      <c r="AD370" s="239" t="str">
        <f>IF('CCUS Projects Database'!$W370&lt;&gt;"",HYPERLINK('CCUS Projects Database'!$W370,"Link 6"),"")</f>
        <v/>
      </c>
      <c r="AE370" s="239" t="str">
        <f>IF('CCUS Projects Database'!$X370&lt;&gt;"",HYPERLINK('CCUS Projects Database'!$X370,"Link 7"),"")</f>
        <v/>
      </c>
    </row>
    <row r="371" ht="14.25" customHeight="1">
      <c r="A371" s="233" t="s">
        <v>20250</v>
      </c>
      <c r="B371" s="234">
        <v>472.0</v>
      </c>
      <c r="C371" s="234" t="s">
        <v>18586</v>
      </c>
      <c r="D371" s="235" t="s">
        <v>20246</v>
      </c>
      <c r="E371" s="234" t="s">
        <v>18618</v>
      </c>
      <c r="F371" s="234">
        <v>2022.0</v>
      </c>
      <c r="G371" s="234" t="s">
        <v>18725</v>
      </c>
      <c r="H371" s="234">
        <v>2028.0</v>
      </c>
      <c r="I371" s="234">
        <v>2024.0</v>
      </c>
      <c r="J371" s="234" t="s">
        <v>18192</v>
      </c>
      <c r="K371" s="236">
        <v>3.0</v>
      </c>
      <c r="L371" s="236">
        <v>0.8</v>
      </c>
      <c r="M371" s="236">
        <v>0.8</v>
      </c>
      <c r="N371" s="234" t="s">
        <v>18218</v>
      </c>
      <c r="O371" s="237" t="s">
        <v>18675</v>
      </c>
      <c r="P371" s="238" t="s">
        <v>20247</v>
      </c>
      <c r="Q371" s="234" t="s">
        <v>18732</v>
      </c>
      <c r="R371" s="238" t="s">
        <v>20248</v>
      </c>
      <c r="S371" s="238" t="s">
        <v>18725</v>
      </c>
      <c r="T371" s="238" t="s">
        <v>18725</v>
      </c>
      <c r="U371" s="238" t="s">
        <v>18725</v>
      </c>
      <c r="V371" s="238" t="s">
        <v>18725</v>
      </c>
      <c r="W371" s="238" t="s">
        <v>18725</v>
      </c>
      <c r="X371" s="238" t="s">
        <v>18725</v>
      </c>
      <c r="Y371" s="239" t="str">
        <f>IF('CCUS Projects Database'!$R371&lt;&gt;"",HYPERLINK('CCUS Projects Database'!$R371,"Link 1"),"")</f>
        <v>Link 1</v>
      </c>
      <c r="Z371" s="239" t="str">
        <f>IF('CCUS Projects Database'!$S371&lt;&gt;"",HYPERLINK('CCUS Projects Database'!$S371,"Link 2"),"")</f>
        <v/>
      </c>
      <c r="AA371" s="239" t="str">
        <f>IF('CCUS Projects Database'!$T371&lt;&gt;"",HYPERLINK('CCUS Projects Database'!$T371,"Link 3"),"")</f>
        <v/>
      </c>
      <c r="AB371" s="239" t="str">
        <f>IF('CCUS Projects Database'!$U371&lt;&gt;"",HYPERLINK('CCUS Projects Database'!$U371,"Link 4"),"")</f>
        <v/>
      </c>
      <c r="AC371" s="239" t="str">
        <f>IF('CCUS Projects Database'!$V371&lt;&gt;"",HYPERLINK('CCUS Projects Database'!$V371,"Link 5"),"")</f>
        <v/>
      </c>
      <c r="AD371" s="239" t="str">
        <f>IF('CCUS Projects Database'!$W371&lt;&gt;"",HYPERLINK('CCUS Projects Database'!$W371,"Link 6"),"")</f>
        <v/>
      </c>
      <c r="AE371" s="239" t="str">
        <f>IF('CCUS Projects Database'!$X371&lt;&gt;"",HYPERLINK('CCUS Projects Database'!$X371,"Link 7"),"")</f>
        <v/>
      </c>
    </row>
    <row r="372" ht="14.25" customHeight="1">
      <c r="A372" s="233" t="s">
        <v>20251</v>
      </c>
      <c r="B372" s="234">
        <v>473.0</v>
      </c>
      <c r="C372" s="234" t="s">
        <v>18586</v>
      </c>
      <c r="D372" s="235" t="s">
        <v>20246</v>
      </c>
      <c r="E372" s="234" t="s">
        <v>18618</v>
      </c>
      <c r="F372" s="234">
        <v>2022.0</v>
      </c>
      <c r="G372" s="234" t="s">
        <v>18725</v>
      </c>
      <c r="H372" s="234">
        <v>2028.0</v>
      </c>
      <c r="I372" s="234">
        <v>2024.0</v>
      </c>
      <c r="J372" s="234" t="s">
        <v>18192</v>
      </c>
      <c r="K372" s="236">
        <v>4.0</v>
      </c>
      <c r="L372" s="236">
        <v>4.0</v>
      </c>
      <c r="M372" s="236">
        <v>4.0</v>
      </c>
      <c r="N372" s="234" t="s">
        <v>18218</v>
      </c>
      <c r="O372" s="237" t="s">
        <v>18675</v>
      </c>
      <c r="P372" s="238" t="s">
        <v>20247</v>
      </c>
      <c r="Q372" s="234" t="s">
        <v>18732</v>
      </c>
      <c r="R372" s="238" t="s">
        <v>20248</v>
      </c>
      <c r="S372" s="238" t="s">
        <v>18725</v>
      </c>
      <c r="T372" s="238" t="s">
        <v>18725</v>
      </c>
      <c r="U372" s="238" t="s">
        <v>18725</v>
      </c>
      <c r="V372" s="238" t="s">
        <v>18725</v>
      </c>
      <c r="W372" s="238" t="s">
        <v>18725</v>
      </c>
      <c r="X372" s="238" t="s">
        <v>18725</v>
      </c>
      <c r="Y372" s="239" t="str">
        <f>IF('CCUS Projects Database'!$R372&lt;&gt;"",HYPERLINK('CCUS Projects Database'!$R372,"Link 1"),"")</f>
        <v>Link 1</v>
      </c>
      <c r="Z372" s="239" t="str">
        <f>IF('CCUS Projects Database'!$S372&lt;&gt;"",HYPERLINK('CCUS Projects Database'!$S372,"Link 2"),"")</f>
        <v/>
      </c>
      <c r="AA372" s="239" t="str">
        <f>IF('CCUS Projects Database'!$T372&lt;&gt;"",HYPERLINK('CCUS Projects Database'!$T372,"Link 3"),"")</f>
        <v/>
      </c>
      <c r="AB372" s="239" t="str">
        <f>IF('CCUS Projects Database'!$U372&lt;&gt;"",HYPERLINK('CCUS Projects Database'!$U372,"Link 4"),"")</f>
        <v/>
      </c>
      <c r="AC372" s="239" t="str">
        <f>IF('CCUS Projects Database'!$V372&lt;&gt;"",HYPERLINK('CCUS Projects Database'!$V372,"Link 5"),"")</f>
        <v/>
      </c>
      <c r="AD372" s="239" t="str">
        <f>IF('CCUS Projects Database'!$W372&lt;&gt;"",HYPERLINK('CCUS Projects Database'!$W372,"Link 6"),"")</f>
        <v/>
      </c>
      <c r="AE372" s="239" t="str">
        <f>IF('CCUS Projects Database'!$X372&lt;&gt;"",HYPERLINK('CCUS Projects Database'!$X372,"Link 7"),"")</f>
        <v/>
      </c>
    </row>
    <row r="373" ht="14.25" customHeight="1">
      <c r="A373" s="233" t="s">
        <v>20252</v>
      </c>
      <c r="B373" s="234">
        <v>474.0</v>
      </c>
      <c r="C373" s="234" t="s">
        <v>18586</v>
      </c>
      <c r="D373" s="235" t="s">
        <v>20253</v>
      </c>
      <c r="E373" s="234" t="s">
        <v>18616</v>
      </c>
      <c r="F373" s="234">
        <v>2022.0</v>
      </c>
      <c r="G373" s="234" t="s">
        <v>18725</v>
      </c>
      <c r="H373" s="234">
        <v>2030.0</v>
      </c>
      <c r="I373" s="234" t="s">
        <v>18725</v>
      </c>
      <c r="J373" s="234" t="s">
        <v>18636</v>
      </c>
      <c r="K373" s="236">
        <v>1.0</v>
      </c>
      <c r="L373" s="236">
        <v>1.0</v>
      </c>
      <c r="M373" s="236">
        <v>1.0</v>
      </c>
      <c r="N373" s="234" t="s">
        <v>18218</v>
      </c>
      <c r="O373" s="237" t="s">
        <v>18675</v>
      </c>
      <c r="P373" s="238" t="s">
        <v>20254</v>
      </c>
      <c r="Q373" s="234" t="s">
        <v>18732</v>
      </c>
      <c r="R373" s="238" t="s">
        <v>20255</v>
      </c>
      <c r="S373" s="238" t="s">
        <v>20256</v>
      </c>
      <c r="T373" s="238" t="s">
        <v>20257</v>
      </c>
      <c r="U373" s="238" t="s">
        <v>20258</v>
      </c>
      <c r="V373" s="238" t="s">
        <v>18725</v>
      </c>
      <c r="W373" s="238" t="s">
        <v>18725</v>
      </c>
      <c r="X373" s="238" t="s">
        <v>18725</v>
      </c>
      <c r="Y373" s="239" t="str">
        <f>IF('CCUS Projects Database'!$R373&lt;&gt;"",HYPERLINK('CCUS Projects Database'!$R373,"Link 1"),"")</f>
        <v>Link 1</v>
      </c>
      <c r="Z373" s="239" t="str">
        <f>IF('CCUS Projects Database'!$S373&lt;&gt;"",HYPERLINK('CCUS Projects Database'!$S373,"Link 2"),"")</f>
        <v>Link 2</v>
      </c>
      <c r="AA373" s="239" t="str">
        <f>IF('CCUS Projects Database'!$T373&lt;&gt;"",HYPERLINK('CCUS Projects Database'!$T373,"Link 3"),"")</f>
        <v>Link 3</v>
      </c>
      <c r="AB373" s="239" t="str">
        <f>IF('CCUS Projects Database'!$U373&lt;&gt;"",HYPERLINK('CCUS Projects Database'!$U373,"Link 4"),"")</f>
        <v>Link 4</v>
      </c>
      <c r="AC373" s="239" t="str">
        <f>IF('CCUS Projects Database'!$V373&lt;&gt;"",HYPERLINK('CCUS Projects Database'!$V373,"Link 5"),"")</f>
        <v/>
      </c>
      <c r="AD373" s="239" t="str">
        <f>IF('CCUS Projects Database'!$W373&lt;&gt;"",HYPERLINK('CCUS Projects Database'!$W373,"Link 6"),"")</f>
        <v/>
      </c>
      <c r="AE373" s="239" t="str">
        <f>IF('CCUS Projects Database'!$X373&lt;&gt;"",HYPERLINK('CCUS Projects Database'!$X373,"Link 7"),"")</f>
        <v/>
      </c>
    </row>
    <row r="374" ht="14.25" customHeight="1">
      <c r="A374" s="233" t="s">
        <v>20259</v>
      </c>
      <c r="B374" s="234">
        <v>477.0</v>
      </c>
      <c r="C374" s="234" t="s">
        <v>18586</v>
      </c>
      <c r="D374" s="235" t="s">
        <v>20260</v>
      </c>
      <c r="E374" s="234" t="s">
        <v>3</v>
      </c>
      <c r="F374" s="234">
        <v>2022.0</v>
      </c>
      <c r="G374" s="234" t="s">
        <v>18725</v>
      </c>
      <c r="H374" s="234">
        <v>2026.0</v>
      </c>
      <c r="I374" s="234" t="s">
        <v>18725</v>
      </c>
      <c r="J374" s="234" t="s">
        <v>18636</v>
      </c>
      <c r="K374" s="236" t="s">
        <v>18725</v>
      </c>
      <c r="L374" s="236" t="s">
        <v>20261</v>
      </c>
      <c r="M374" s="236">
        <v>10.0</v>
      </c>
      <c r="N374" s="234" t="s">
        <v>3</v>
      </c>
      <c r="O374" s="237" t="s">
        <v>18675</v>
      </c>
      <c r="P374" s="238" t="s">
        <v>20262</v>
      </c>
      <c r="Q374" s="234" t="s">
        <v>18732</v>
      </c>
      <c r="R374" s="238" t="s">
        <v>20263</v>
      </c>
      <c r="S374" s="238" t="s">
        <v>20264</v>
      </c>
      <c r="T374" s="238" t="s">
        <v>20265</v>
      </c>
      <c r="U374" s="238" t="s">
        <v>18725</v>
      </c>
      <c r="V374" s="238" t="s">
        <v>18725</v>
      </c>
      <c r="W374" s="238" t="s">
        <v>18725</v>
      </c>
      <c r="X374" s="238" t="s">
        <v>18725</v>
      </c>
      <c r="Y374" s="239" t="str">
        <f>IF('CCUS Projects Database'!$R374&lt;&gt;"",HYPERLINK('CCUS Projects Database'!$R374,"Link 1"),"")</f>
        <v>Link 1</v>
      </c>
      <c r="Z374" s="239" t="str">
        <f>IF('CCUS Projects Database'!$S374&lt;&gt;"",HYPERLINK('CCUS Projects Database'!$S374,"Link 2"),"")</f>
        <v>Link 2</v>
      </c>
      <c r="AA374" s="239" t="str">
        <f>IF('CCUS Projects Database'!$T374&lt;&gt;"",HYPERLINK('CCUS Projects Database'!$T374,"Link 3"),"")</f>
        <v>Link 3</v>
      </c>
      <c r="AB374" s="239" t="str">
        <f>IF('CCUS Projects Database'!$U374&lt;&gt;"",HYPERLINK('CCUS Projects Database'!$U374,"Link 4"),"")</f>
        <v/>
      </c>
      <c r="AC374" s="239" t="str">
        <f>IF('CCUS Projects Database'!$V374&lt;&gt;"",HYPERLINK('CCUS Projects Database'!$V374,"Link 5"),"")</f>
        <v/>
      </c>
      <c r="AD374" s="239" t="str">
        <f>IF('CCUS Projects Database'!$W374&lt;&gt;"",HYPERLINK('CCUS Projects Database'!$W374,"Link 6"),"")</f>
        <v/>
      </c>
      <c r="AE374" s="239" t="str">
        <f>IF('CCUS Projects Database'!$X374&lt;&gt;"",HYPERLINK('CCUS Projects Database'!$X374,"Link 7"),"")</f>
        <v/>
      </c>
    </row>
    <row r="375" ht="14.25" customHeight="1">
      <c r="A375" s="233" t="s">
        <v>9460</v>
      </c>
      <c r="B375" s="234">
        <v>484.0</v>
      </c>
      <c r="C375" s="234" t="s">
        <v>18586</v>
      </c>
      <c r="D375" s="235" t="s">
        <v>20266</v>
      </c>
      <c r="E375" s="234" t="s">
        <v>18618</v>
      </c>
      <c r="F375" s="234">
        <v>2022.0</v>
      </c>
      <c r="G375" s="234">
        <v>2026.0</v>
      </c>
      <c r="H375" s="234">
        <v>2029.0</v>
      </c>
      <c r="I375" s="234" t="s">
        <v>18725</v>
      </c>
      <c r="J375" s="236" t="s">
        <v>18636</v>
      </c>
      <c r="K375" s="236" t="s">
        <v>18725</v>
      </c>
      <c r="L375" s="236">
        <v>12.0</v>
      </c>
      <c r="M375" s="202">
        <v>12.0</v>
      </c>
      <c r="N375" s="236" t="s">
        <v>18731</v>
      </c>
      <c r="O375" s="237" t="s">
        <v>18675</v>
      </c>
      <c r="P375" s="238" t="s">
        <v>19765</v>
      </c>
      <c r="Q375" s="234" t="s">
        <v>18732</v>
      </c>
      <c r="R375" s="238" t="s">
        <v>17252</v>
      </c>
      <c r="S375" s="238" t="s">
        <v>20267</v>
      </c>
      <c r="T375" s="238" t="s">
        <v>20268</v>
      </c>
      <c r="U375" s="238" t="s">
        <v>18725</v>
      </c>
      <c r="V375" s="238" t="s">
        <v>18725</v>
      </c>
      <c r="W375" s="238" t="s">
        <v>18725</v>
      </c>
      <c r="X375" s="238" t="s">
        <v>18725</v>
      </c>
      <c r="Y375" s="239" t="str">
        <f>IF('CCUS Projects Database'!$R375&lt;&gt;"",HYPERLINK('CCUS Projects Database'!$R375,"Link 1"),"")</f>
        <v>Link 1</v>
      </c>
      <c r="Z375" s="239" t="str">
        <f>IF('CCUS Projects Database'!$S375&lt;&gt;"",HYPERLINK('CCUS Projects Database'!$S375,"Link 2"),"")</f>
        <v>Link 2</v>
      </c>
      <c r="AA375" s="239" t="str">
        <f>IF('CCUS Projects Database'!$T375&lt;&gt;"",HYPERLINK('CCUS Projects Database'!$T375,"Link 3"),"")</f>
        <v>Link 3</v>
      </c>
      <c r="AB375" s="239" t="str">
        <f>IF('CCUS Projects Database'!$U375&lt;&gt;"",HYPERLINK('CCUS Projects Database'!$U375,"Link 4"),"")</f>
        <v/>
      </c>
      <c r="AC375" s="239" t="str">
        <f>IF('CCUS Projects Database'!$V375&lt;&gt;"",HYPERLINK('CCUS Projects Database'!$V375,"Link 5"),"")</f>
        <v/>
      </c>
      <c r="AD375" s="239" t="str">
        <f>IF('CCUS Projects Database'!$W375&lt;&gt;"",HYPERLINK('CCUS Projects Database'!$W375,"Link 6"),"")</f>
        <v/>
      </c>
      <c r="AE375" s="239" t="str">
        <f>IF('CCUS Projects Database'!$X375&lt;&gt;"",HYPERLINK('CCUS Projects Database'!$X375,"Link 7"),"")</f>
        <v/>
      </c>
    </row>
    <row r="376" ht="14.25" customHeight="1">
      <c r="A376" s="233" t="s">
        <v>9449</v>
      </c>
      <c r="B376" s="234">
        <v>486.0</v>
      </c>
      <c r="C376" s="234" t="s">
        <v>83</v>
      </c>
      <c r="D376" s="235" t="s">
        <v>20269</v>
      </c>
      <c r="E376" s="234" t="s">
        <v>18616</v>
      </c>
      <c r="F376" s="234">
        <v>2022.0</v>
      </c>
      <c r="G376" s="234" t="s">
        <v>18725</v>
      </c>
      <c r="H376" s="234" t="s">
        <v>18725</v>
      </c>
      <c r="I376" s="234" t="s">
        <v>18725</v>
      </c>
      <c r="J376" s="234" t="s">
        <v>18636</v>
      </c>
      <c r="K376" s="236" t="s">
        <v>18725</v>
      </c>
      <c r="L376" s="236" t="s">
        <v>18725</v>
      </c>
      <c r="M376" s="236" t="s">
        <v>18725</v>
      </c>
      <c r="N376" s="234" t="s">
        <v>18731</v>
      </c>
      <c r="O376" s="237" t="s">
        <v>18675</v>
      </c>
      <c r="P376" s="238" t="s">
        <v>18725</v>
      </c>
      <c r="Q376" s="234" t="s">
        <v>18726</v>
      </c>
      <c r="R376" s="238" t="s">
        <v>17239</v>
      </c>
      <c r="S376" s="238" t="s">
        <v>18725</v>
      </c>
      <c r="T376" s="238" t="s">
        <v>18725</v>
      </c>
      <c r="U376" s="238" t="s">
        <v>18725</v>
      </c>
      <c r="V376" s="238" t="s">
        <v>18725</v>
      </c>
      <c r="W376" s="238" t="s">
        <v>18725</v>
      </c>
      <c r="X376" s="238" t="s">
        <v>18725</v>
      </c>
      <c r="Y376" s="239" t="str">
        <f>IF('CCUS Projects Database'!$R376&lt;&gt;"",HYPERLINK('CCUS Projects Database'!$R376,"Link 1"),"")</f>
        <v>Link 1</v>
      </c>
      <c r="Z376" s="239" t="str">
        <f>IF('CCUS Projects Database'!$S376&lt;&gt;"",HYPERLINK('CCUS Projects Database'!$S376,"Link 2"),"")</f>
        <v/>
      </c>
      <c r="AA376" s="239" t="str">
        <f>IF('CCUS Projects Database'!$T376&lt;&gt;"",HYPERLINK('CCUS Projects Database'!$T376,"Link 3"),"")</f>
        <v/>
      </c>
      <c r="AB376" s="239" t="str">
        <f>IF('CCUS Projects Database'!$U376&lt;&gt;"",HYPERLINK('CCUS Projects Database'!$U376,"Link 4"),"")</f>
        <v/>
      </c>
      <c r="AC376" s="239" t="str">
        <f>IF('CCUS Projects Database'!$V376&lt;&gt;"",HYPERLINK('CCUS Projects Database'!$V376,"Link 5"),"")</f>
        <v/>
      </c>
      <c r="AD376" s="239" t="str">
        <f>IF('CCUS Projects Database'!$W376&lt;&gt;"",HYPERLINK('CCUS Projects Database'!$W376,"Link 6"),"")</f>
        <v/>
      </c>
      <c r="AE376" s="239" t="str">
        <f>IF('CCUS Projects Database'!$X376&lt;&gt;"",HYPERLINK('CCUS Projects Database'!$X376,"Link 7"),"")</f>
        <v/>
      </c>
    </row>
    <row r="377" ht="14.25" customHeight="1">
      <c r="A377" s="233" t="s">
        <v>20270</v>
      </c>
      <c r="B377" s="234">
        <v>487.0</v>
      </c>
      <c r="C377" s="234" t="s">
        <v>18586</v>
      </c>
      <c r="D377" s="235" t="s">
        <v>20271</v>
      </c>
      <c r="E377" s="234" t="s">
        <v>3</v>
      </c>
      <c r="F377" s="234">
        <v>2022.0</v>
      </c>
      <c r="G377" s="234" t="s">
        <v>18725</v>
      </c>
      <c r="H377" s="234">
        <v>2026.0</v>
      </c>
      <c r="I377" s="234" t="s">
        <v>18725</v>
      </c>
      <c r="J377" s="234" t="s">
        <v>18636</v>
      </c>
      <c r="K377" s="236" t="s">
        <v>18725</v>
      </c>
      <c r="L377" s="236">
        <v>8.0</v>
      </c>
      <c r="M377" s="236">
        <v>8.0</v>
      </c>
      <c r="N377" s="234" t="s">
        <v>3</v>
      </c>
      <c r="O377" s="237" t="s">
        <v>18675</v>
      </c>
      <c r="P377" s="238" t="s">
        <v>20272</v>
      </c>
      <c r="Q377" s="234" t="s">
        <v>18732</v>
      </c>
      <c r="R377" s="238" t="s">
        <v>20273</v>
      </c>
      <c r="S377" s="238" t="s">
        <v>20274</v>
      </c>
      <c r="T377" s="238" t="s">
        <v>18725</v>
      </c>
      <c r="U377" s="238" t="s">
        <v>18725</v>
      </c>
      <c r="V377" s="238" t="s">
        <v>18725</v>
      </c>
      <c r="W377" s="238" t="s">
        <v>18725</v>
      </c>
      <c r="X377" s="238" t="s">
        <v>18725</v>
      </c>
      <c r="Y377" s="239" t="str">
        <f>IF('CCUS Projects Database'!$R377&lt;&gt;"",HYPERLINK('CCUS Projects Database'!$R377,"Link 1"),"")</f>
        <v>Link 1</v>
      </c>
      <c r="Z377" s="239" t="str">
        <f>IF('CCUS Projects Database'!$S377&lt;&gt;"",HYPERLINK('CCUS Projects Database'!$S377,"Link 2"),"")</f>
        <v>Link 2</v>
      </c>
      <c r="AA377" s="239" t="str">
        <f>IF('CCUS Projects Database'!$T377&lt;&gt;"",HYPERLINK('CCUS Projects Database'!$T377,"Link 3"),"")</f>
        <v/>
      </c>
      <c r="AB377" s="239" t="str">
        <f>IF('CCUS Projects Database'!$U377&lt;&gt;"",HYPERLINK('CCUS Projects Database'!$U377,"Link 4"),"")</f>
        <v/>
      </c>
      <c r="AC377" s="239" t="str">
        <f>IF('CCUS Projects Database'!$V377&lt;&gt;"",HYPERLINK('CCUS Projects Database'!$V377,"Link 5"),"")</f>
        <v/>
      </c>
      <c r="AD377" s="239" t="str">
        <f>IF('CCUS Projects Database'!$W377&lt;&gt;"",HYPERLINK('CCUS Projects Database'!$W377,"Link 6"),"")</f>
        <v/>
      </c>
      <c r="AE377" s="239" t="str">
        <f>IF('CCUS Projects Database'!$X377&lt;&gt;"",HYPERLINK('CCUS Projects Database'!$X377,"Link 7"),"")</f>
        <v/>
      </c>
    </row>
    <row r="378" ht="14.25" customHeight="1">
      <c r="A378" s="233" t="s">
        <v>20275</v>
      </c>
      <c r="B378" s="234">
        <v>487.0</v>
      </c>
      <c r="C378" s="234" t="s">
        <v>18586</v>
      </c>
      <c r="D378" s="235" t="s">
        <v>20276</v>
      </c>
      <c r="E378" s="234" t="s">
        <v>18620</v>
      </c>
      <c r="F378" s="234">
        <v>2024.0</v>
      </c>
      <c r="G378" s="234" t="s">
        <v>18725</v>
      </c>
      <c r="H378" s="234" t="s">
        <v>18725</v>
      </c>
      <c r="I378" s="234" t="s">
        <v>18725</v>
      </c>
      <c r="J378" s="234" t="s">
        <v>18636</v>
      </c>
      <c r="K378" s="236" t="s">
        <v>18725</v>
      </c>
      <c r="L378" s="236" t="s">
        <v>18725</v>
      </c>
      <c r="M378" s="236" t="s">
        <v>18725</v>
      </c>
      <c r="N378" s="234" t="s">
        <v>18620</v>
      </c>
      <c r="O378" s="237" t="s">
        <v>18675</v>
      </c>
      <c r="P378" s="238" t="s">
        <v>20272</v>
      </c>
      <c r="Q378" s="234" t="s">
        <v>18732</v>
      </c>
      <c r="R378" s="238" t="s">
        <v>20273</v>
      </c>
      <c r="S378" s="238" t="s">
        <v>20274</v>
      </c>
      <c r="T378" s="238" t="s">
        <v>18725</v>
      </c>
      <c r="U378" s="238" t="s">
        <v>18725</v>
      </c>
      <c r="V378" s="238" t="s">
        <v>18725</v>
      </c>
      <c r="W378" s="238" t="s">
        <v>18725</v>
      </c>
      <c r="X378" s="238" t="s">
        <v>18725</v>
      </c>
      <c r="Y378" s="239" t="str">
        <f>IF('CCUS Projects Database'!$R378&lt;&gt;"",HYPERLINK('CCUS Projects Database'!$R378,"Link 1"),"")</f>
        <v>Link 1</v>
      </c>
      <c r="Z378" s="239" t="str">
        <f>IF('CCUS Projects Database'!$S378&lt;&gt;"",HYPERLINK('CCUS Projects Database'!$S378,"Link 2"),"")</f>
        <v>Link 2</v>
      </c>
      <c r="AA378" s="239" t="str">
        <f>IF('CCUS Projects Database'!$T378&lt;&gt;"",HYPERLINK('CCUS Projects Database'!$T378,"Link 3"),"")</f>
        <v/>
      </c>
      <c r="AB378" s="239" t="str">
        <f>IF('CCUS Projects Database'!$U378&lt;&gt;"",HYPERLINK('CCUS Projects Database'!$U378,"Link 4"),"")</f>
        <v/>
      </c>
      <c r="AC378" s="239" t="str">
        <f>IF('CCUS Projects Database'!$V378&lt;&gt;"",HYPERLINK('CCUS Projects Database'!$V378,"Link 5"),"")</f>
        <v/>
      </c>
      <c r="AD378" s="239" t="str">
        <f>IF('CCUS Projects Database'!$W378&lt;&gt;"",HYPERLINK('CCUS Projects Database'!$W378,"Link 6"),"")</f>
        <v/>
      </c>
      <c r="AE378" s="239" t="str">
        <f>IF('CCUS Projects Database'!$X378&lt;&gt;"",HYPERLINK('CCUS Projects Database'!$X378,"Link 7"),"")</f>
        <v/>
      </c>
    </row>
    <row r="379" ht="14.25" customHeight="1">
      <c r="A379" s="233" t="s">
        <v>20277</v>
      </c>
      <c r="B379" s="234">
        <v>492.0</v>
      </c>
      <c r="C379" s="234" t="s">
        <v>18264</v>
      </c>
      <c r="D379" s="235" t="s">
        <v>18815</v>
      </c>
      <c r="E379" s="234" t="s">
        <v>18623</v>
      </c>
      <c r="F379" s="234">
        <v>2021.0</v>
      </c>
      <c r="G379" s="234" t="s">
        <v>18725</v>
      </c>
      <c r="H379" s="234" t="s">
        <v>18725</v>
      </c>
      <c r="I379" s="234" t="s">
        <v>18725</v>
      </c>
      <c r="J379" s="234" t="s">
        <v>18636</v>
      </c>
      <c r="K379" s="236">
        <v>2.0</v>
      </c>
      <c r="L379" s="236">
        <v>10.0</v>
      </c>
      <c r="M379" s="236">
        <v>10.0</v>
      </c>
      <c r="N379" s="234" t="s">
        <v>18623</v>
      </c>
      <c r="O379" s="237" t="s">
        <v>18675</v>
      </c>
      <c r="P379" s="238" t="s">
        <v>18816</v>
      </c>
      <c r="Q379" s="234" t="s">
        <v>18732</v>
      </c>
      <c r="R379" s="238" t="s">
        <v>18818</v>
      </c>
      <c r="S379" s="238" t="s">
        <v>18725</v>
      </c>
      <c r="T379" s="238" t="s">
        <v>18725</v>
      </c>
      <c r="U379" s="238" t="s">
        <v>18725</v>
      </c>
      <c r="V379" s="238" t="s">
        <v>18725</v>
      </c>
      <c r="W379" s="238" t="s">
        <v>18725</v>
      </c>
      <c r="X379" s="238" t="s">
        <v>18725</v>
      </c>
      <c r="Y379" s="239" t="str">
        <f>IF('CCUS Projects Database'!$R379&lt;&gt;"",HYPERLINK('CCUS Projects Database'!$R379,"Link 1"),"")</f>
        <v>Link 1</v>
      </c>
      <c r="Z379" s="239" t="str">
        <f>IF('CCUS Projects Database'!$S379&lt;&gt;"",HYPERLINK('CCUS Projects Database'!$S379,"Link 2"),"")</f>
        <v/>
      </c>
      <c r="AA379" s="239" t="str">
        <f>IF('CCUS Projects Database'!$T379&lt;&gt;"",HYPERLINK('CCUS Projects Database'!$T379,"Link 3"),"")</f>
        <v/>
      </c>
      <c r="AB379" s="239" t="str">
        <f>IF('CCUS Projects Database'!$U379&lt;&gt;"",HYPERLINK('CCUS Projects Database'!$U379,"Link 4"),"")</f>
        <v/>
      </c>
      <c r="AC379" s="239" t="str">
        <f>IF('CCUS Projects Database'!$V379&lt;&gt;"",HYPERLINK('CCUS Projects Database'!$V379,"Link 5"),"")</f>
        <v/>
      </c>
      <c r="AD379" s="239" t="str">
        <f>IF('CCUS Projects Database'!$W379&lt;&gt;"",HYPERLINK('CCUS Projects Database'!$W379,"Link 6"),"")</f>
        <v/>
      </c>
      <c r="AE379" s="239" t="str">
        <f>IF('CCUS Projects Database'!$X379&lt;&gt;"",HYPERLINK('CCUS Projects Database'!$X379,"Link 7"),"")</f>
        <v/>
      </c>
    </row>
    <row r="380" ht="14.25" customHeight="1">
      <c r="A380" s="233" t="s">
        <v>20278</v>
      </c>
      <c r="B380" s="234">
        <v>494.0</v>
      </c>
      <c r="C380" s="234" t="s">
        <v>18580</v>
      </c>
      <c r="D380" s="235" t="s">
        <v>20279</v>
      </c>
      <c r="E380" s="234" t="s">
        <v>18618</v>
      </c>
      <c r="F380" s="234">
        <v>2019.0</v>
      </c>
      <c r="G380" s="234" t="s">
        <v>18725</v>
      </c>
      <c r="H380" s="234">
        <v>2030.0</v>
      </c>
      <c r="I380" s="234" t="s">
        <v>18725</v>
      </c>
      <c r="J380" s="234" t="s">
        <v>18636</v>
      </c>
      <c r="K380" s="236">
        <v>1.0</v>
      </c>
      <c r="L380" s="236">
        <v>0.1</v>
      </c>
      <c r="M380" s="236">
        <v>0.1</v>
      </c>
      <c r="N380" s="234" t="s">
        <v>18663</v>
      </c>
      <c r="O380" s="237" t="s">
        <v>18679</v>
      </c>
      <c r="P380" s="238" t="s">
        <v>18725</v>
      </c>
      <c r="Q380" s="234" t="s">
        <v>18856</v>
      </c>
      <c r="R380" s="238" t="s">
        <v>20280</v>
      </c>
      <c r="S380" s="238" t="s">
        <v>18725</v>
      </c>
      <c r="T380" s="238" t="s">
        <v>18725</v>
      </c>
      <c r="U380" s="238" t="s">
        <v>18725</v>
      </c>
      <c r="V380" s="238" t="s">
        <v>18725</v>
      </c>
      <c r="W380" s="238" t="s">
        <v>18725</v>
      </c>
      <c r="X380" s="238" t="s">
        <v>18725</v>
      </c>
      <c r="Y380" s="239" t="str">
        <f>IF('CCUS Projects Database'!$R380&lt;&gt;"",HYPERLINK('CCUS Projects Database'!$R380,"Link 1"),"")</f>
        <v>Link 1</v>
      </c>
      <c r="Z380" s="239" t="str">
        <f>IF('CCUS Projects Database'!$S380&lt;&gt;"",HYPERLINK('CCUS Projects Database'!$S380,"Link 2"),"")</f>
        <v/>
      </c>
      <c r="AA380" s="239" t="str">
        <f>IF('CCUS Projects Database'!$T380&lt;&gt;"",HYPERLINK('CCUS Projects Database'!$T380,"Link 3"),"")</f>
        <v/>
      </c>
      <c r="AB380" s="239" t="str">
        <f>IF('CCUS Projects Database'!$U380&lt;&gt;"",HYPERLINK('CCUS Projects Database'!$U380,"Link 4"),"")</f>
        <v/>
      </c>
      <c r="AC380" s="239" t="str">
        <f>IF('CCUS Projects Database'!$V380&lt;&gt;"",HYPERLINK('CCUS Projects Database'!$V380,"Link 5"),"")</f>
        <v/>
      </c>
      <c r="AD380" s="239" t="str">
        <f>IF('CCUS Projects Database'!$W380&lt;&gt;"",HYPERLINK('CCUS Projects Database'!$W380,"Link 6"),"")</f>
        <v/>
      </c>
      <c r="AE380" s="239" t="str">
        <f>IF('CCUS Projects Database'!$X380&lt;&gt;"",HYPERLINK('CCUS Projects Database'!$X380,"Link 7"),"")</f>
        <v/>
      </c>
    </row>
    <row r="381" ht="14.25" customHeight="1">
      <c r="A381" s="233" t="s">
        <v>20281</v>
      </c>
      <c r="B381" s="234">
        <v>495.0</v>
      </c>
      <c r="C381" s="234" t="s">
        <v>18586</v>
      </c>
      <c r="D381" s="235" t="s">
        <v>20282</v>
      </c>
      <c r="E381" s="234" t="s">
        <v>18620</v>
      </c>
      <c r="F381" s="234">
        <v>2022.0</v>
      </c>
      <c r="G381" s="234" t="s">
        <v>18725</v>
      </c>
      <c r="H381" s="234">
        <v>2026.0</v>
      </c>
      <c r="I381" s="234" t="s">
        <v>18725</v>
      </c>
      <c r="J381" s="234" t="s">
        <v>18636</v>
      </c>
      <c r="K381" s="236" t="s">
        <v>18725</v>
      </c>
      <c r="L381" s="236">
        <v>2.0</v>
      </c>
      <c r="M381" s="236">
        <v>2.0</v>
      </c>
      <c r="N381" s="234" t="s">
        <v>18620</v>
      </c>
      <c r="O381" s="237" t="s">
        <v>18675</v>
      </c>
      <c r="P381" s="238" t="s">
        <v>20283</v>
      </c>
      <c r="Q381" s="234" t="s">
        <v>18732</v>
      </c>
      <c r="R381" s="238" t="s">
        <v>20284</v>
      </c>
      <c r="S381" s="238" t="s">
        <v>18725</v>
      </c>
      <c r="T381" s="238" t="s">
        <v>18725</v>
      </c>
      <c r="U381" s="238" t="s">
        <v>18725</v>
      </c>
      <c r="V381" s="238" t="s">
        <v>18725</v>
      </c>
      <c r="W381" s="238" t="s">
        <v>18725</v>
      </c>
      <c r="X381" s="238" t="s">
        <v>18725</v>
      </c>
      <c r="Y381" s="239" t="str">
        <f>IF('CCUS Projects Database'!$R381&lt;&gt;"",HYPERLINK('CCUS Projects Database'!$R381,"Link 1"),"")</f>
        <v>Link 1</v>
      </c>
      <c r="Z381" s="239" t="str">
        <f>IF('CCUS Projects Database'!$S381&lt;&gt;"",HYPERLINK('CCUS Projects Database'!$S381,"Link 2"),"")</f>
        <v/>
      </c>
      <c r="AA381" s="239" t="str">
        <f>IF('CCUS Projects Database'!$T381&lt;&gt;"",HYPERLINK('CCUS Projects Database'!$T381,"Link 3"),"")</f>
        <v/>
      </c>
      <c r="AB381" s="239" t="str">
        <f>IF('CCUS Projects Database'!$U381&lt;&gt;"",HYPERLINK('CCUS Projects Database'!$U381,"Link 4"),"")</f>
        <v/>
      </c>
      <c r="AC381" s="239" t="str">
        <f>IF('CCUS Projects Database'!$V381&lt;&gt;"",HYPERLINK('CCUS Projects Database'!$V381,"Link 5"),"")</f>
        <v/>
      </c>
      <c r="AD381" s="239" t="str">
        <f>IF('CCUS Projects Database'!$W381&lt;&gt;"",HYPERLINK('CCUS Projects Database'!$W381,"Link 6"),"")</f>
        <v/>
      </c>
      <c r="AE381" s="239" t="str">
        <f>IF('CCUS Projects Database'!$X381&lt;&gt;"",HYPERLINK('CCUS Projects Database'!$X381,"Link 7"),"")</f>
        <v/>
      </c>
    </row>
    <row r="382" ht="14.25" customHeight="1">
      <c r="A382" s="233" t="s">
        <v>20285</v>
      </c>
      <c r="B382" s="234">
        <v>496.0</v>
      </c>
      <c r="C382" s="234" t="s">
        <v>18264</v>
      </c>
      <c r="D382" s="235" t="s">
        <v>20286</v>
      </c>
      <c r="E382" s="234" t="s">
        <v>3</v>
      </c>
      <c r="F382" s="234">
        <v>2022.0</v>
      </c>
      <c r="G382" s="234">
        <v>2026.0</v>
      </c>
      <c r="H382" s="234">
        <v>2027.0</v>
      </c>
      <c r="I382" s="234" t="s">
        <v>18725</v>
      </c>
      <c r="J382" s="234" t="s">
        <v>18636</v>
      </c>
      <c r="K382" s="236" t="s">
        <v>18725</v>
      </c>
      <c r="L382" s="236" t="s">
        <v>18725</v>
      </c>
      <c r="M382" s="236" t="s">
        <v>18725</v>
      </c>
      <c r="N382" s="234" t="s">
        <v>3</v>
      </c>
      <c r="O382" s="237" t="s">
        <v>18675</v>
      </c>
      <c r="P382" s="238" t="s">
        <v>20285</v>
      </c>
      <c r="Q382" s="234" t="s">
        <v>18732</v>
      </c>
      <c r="R382" s="238" t="s">
        <v>18725</v>
      </c>
      <c r="S382" s="238" t="s">
        <v>18725</v>
      </c>
      <c r="T382" s="238" t="s">
        <v>18725</v>
      </c>
      <c r="U382" s="238" t="s">
        <v>18725</v>
      </c>
      <c r="V382" s="238" t="s">
        <v>18725</v>
      </c>
      <c r="W382" s="238" t="s">
        <v>18725</v>
      </c>
      <c r="X382" s="238" t="s">
        <v>18725</v>
      </c>
      <c r="Y382" s="239" t="str">
        <f>IF('CCUS Projects Database'!$R382&lt;&gt;"",HYPERLINK('CCUS Projects Database'!$R382,"Link 1"),"")</f>
        <v/>
      </c>
      <c r="Z382" s="239" t="str">
        <f>IF('CCUS Projects Database'!$S382&lt;&gt;"",HYPERLINK('CCUS Projects Database'!$S382,"Link 2"),"")</f>
        <v/>
      </c>
      <c r="AA382" s="239" t="str">
        <f>IF('CCUS Projects Database'!$T382&lt;&gt;"",HYPERLINK('CCUS Projects Database'!$T382,"Link 3"),"")</f>
        <v/>
      </c>
      <c r="AB382" s="239" t="str">
        <f>IF('CCUS Projects Database'!$U382&lt;&gt;"",HYPERLINK('CCUS Projects Database'!$U382,"Link 4"),"")</f>
        <v/>
      </c>
      <c r="AC382" s="239" t="str">
        <f>IF('CCUS Projects Database'!$V382&lt;&gt;"",HYPERLINK('CCUS Projects Database'!$V382,"Link 5"),"")</f>
        <v/>
      </c>
      <c r="AD382" s="239" t="str">
        <f>IF('CCUS Projects Database'!$W382&lt;&gt;"",HYPERLINK('CCUS Projects Database'!$W382,"Link 6"),"")</f>
        <v/>
      </c>
      <c r="AE382" s="239" t="str">
        <f>IF('CCUS Projects Database'!$X382&lt;&gt;"",HYPERLINK('CCUS Projects Database'!$X382,"Link 7"),"")</f>
        <v/>
      </c>
    </row>
    <row r="383" ht="14.25" customHeight="1">
      <c r="A383" s="233" t="s">
        <v>20287</v>
      </c>
      <c r="B383" s="234">
        <v>497.0</v>
      </c>
      <c r="C383" s="234" t="s">
        <v>18264</v>
      </c>
      <c r="D383" s="235" t="s">
        <v>20288</v>
      </c>
      <c r="E383" s="234" t="s">
        <v>18623</v>
      </c>
      <c r="F383" s="234">
        <v>2022.0</v>
      </c>
      <c r="G383" s="234">
        <v>2025.0</v>
      </c>
      <c r="H383" s="234">
        <v>2029.0</v>
      </c>
      <c r="I383" s="234" t="s">
        <v>18725</v>
      </c>
      <c r="J383" s="234" t="s">
        <v>18636</v>
      </c>
      <c r="K383" s="236" t="s">
        <v>18725</v>
      </c>
      <c r="L383" s="236">
        <v>5.0</v>
      </c>
      <c r="M383" s="236">
        <v>5.0</v>
      </c>
      <c r="N383" s="234" t="s">
        <v>18623</v>
      </c>
      <c r="O383" s="237" t="s">
        <v>18675</v>
      </c>
      <c r="P383" s="238" t="s">
        <v>20287</v>
      </c>
      <c r="Q383" s="234" t="s">
        <v>18732</v>
      </c>
      <c r="R383" s="238" t="s">
        <v>20289</v>
      </c>
      <c r="S383" s="238" t="s">
        <v>20290</v>
      </c>
      <c r="T383" s="238" t="s">
        <v>20291</v>
      </c>
      <c r="U383" s="238" t="s">
        <v>18725</v>
      </c>
      <c r="V383" s="238" t="s">
        <v>18725</v>
      </c>
      <c r="W383" s="238" t="s">
        <v>18725</v>
      </c>
      <c r="X383" s="238" t="s">
        <v>18725</v>
      </c>
      <c r="Y383" s="239" t="str">
        <f>IF('CCUS Projects Database'!$R383&lt;&gt;"",HYPERLINK('CCUS Projects Database'!$R383,"Link 1"),"")</f>
        <v>Link 1</v>
      </c>
      <c r="Z383" s="239" t="str">
        <f>IF('CCUS Projects Database'!$S383&lt;&gt;"",HYPERLINK('CCUS Projects Database'!$S383,"Link 2"),"")</f>
        <v>Link 2</v>
      </c>
      <c r="AA383" s="239" t="str">
        <f>IF('CCUS Projects Database'!$T383&lt;&gt;"",HYPERLINK('CCUS Projects Database'!$T383,"Link 3"),"")</f>
        <v>Link 3</v>
      </c>
      <c r="AB383" s="239" t="str">
        <f>IF('CCUS Projects Database'!$U383&lt;&gt;"",HYPERLINK('CCUS Projects Database'!$U383,"Link 4"),"")</f>
        <v/>
      </c>
      <c r="AC383" s="239" t="str">
        <f>IF('CCUS Projects Database'!$V383&lt;&gt;"",HYPERLINK('CCUS Projects Database'!$V383,"Link 5"),"")</f>
        <v/>
      </c>
      <c r="AD383" s="239" t="str">
        <f>IF('CCUS Projects Database'!$W383&lt;&gt;"",HYPERLINK('CCUS Projects Database'!$W383,"Link 6"),"")</f>
        <v/>
      </c>
      <c r="AE383" s="239" t="str">
        <f>IF('CCUS Projects Database'!$X383&lt;&gt;"",HYPERLINK('CCUS Projects Database'!$X383,"Link 7"),"")</f>
        <v/>
      </c>
    </row>
    <row r="384" ht="14.25" customHeight="1">
      <c r="A384" s="233" t="s">
        <v>20292</v>
      </c>
      <c r="B384" s="234">
        <v>498.0</v>
      </c>
      <c r="C384" s="234" t="s">
        <v>18264</v>
      </c>
      <c r="D384" s="235" t="s">
        <v>20293</v>
      </c>
      <c r="E384" s="234" t="s">
        <v>18623</v>
      </c>
      <c r="F384" s="234">
        <v>2022.0</v>
      </c>
      <c r="G384" s="234" t="s">
        <v>18725</v>
      </c>
      <c r="H384" s="234" t="s">
        <v>18725</v>
      </c>
      <c r="I384" s="234" t="s">
        <v>18725</v>
      </c>
      <c r="J384" s="234" t="s">
        <v>18636</v>
      </c>
      <c r="K384" s="236" t="s">
        <v>18725</v>
      </c>
      <c r="L384" s="236">
        <v>5.0</v>
      </c>
      <c r="M384" s="236">
        <v>5.0</v>
      </c>
      <c r="N384" s="234" t="s">
        <v>18623</v>
      </c>
      <c r="O384" s="237" t="s">
        <v>18675</v>
      </c>
      <c r="P384" s="238" t="s">
        <v>20292</v>
      </c>
      <c r="Q384" s="234" t="s">
        <v>18732</v>
      </c>
      <c r="R384" s="238" t="s">
        <v>20289</v>
      </c>
      <c r="S384" s="238" t="s">
        <v>20294</v>
      </c>
      <c r="T384" s="238" t="s">
        <v>20295</v>
      </c>
      <c r="U384" s="238" t="s">
        <v>18725</v>
      </c>
      <c r="V384" s="238" t="s">
        <v>18725</v>
      </c>
      <c r="W384" s="238" t="s">
        <v>18725</v>
      </c>
      <c r="X384" s="238" t="s">
        <v>18725</v>
      </c>
      <c r="Y384" s="239" t="str">
        <f>IF('CCUS Projects Database'!$R384&lt;&gt;"",HYPERLINK('CCUS Projects Database'!$R384,"Link 1"),"")</f>
        <v>Link 1</v>
      </c>
      <c r="Z384" s="239" t="str">
        <f>IF('CCUS Projects Database'!$S384&lt;&gt;"",HYPERLINK('CCUS Projects Database'!$S384,"Link 2"),"")</f>
        <v>Link 2</v>
      </c>
      <c r="AA384" s="239" t="str">
        <f>IF('CCUS Projects Database'!$T384&lt;&gt;"",HYPERLINK('CCUS Projects Database'!$T384,"Link 3"),"")</f>
        <v>Link 3</v>
      </c>
      <c r="AB384" s="239" t="str">
        <f>IF('CCUS Projects Database'!$U384&lt;&gt;"",HYPERLINK('CCUS Projects Database'!$U384,"Link 4"),"")</f>
        <v/>
      </c>
      <c r="AC384" s="239" t="str">
        <f>IF('CCUS Projects Database'!$V384&lt;&gt;"",HYPERLINK('CCUS Projects Database'!$V384,"Link 5"),"")</f>
        <v/>
      </c>
      <c r="AD384" s="239" t="str">
        <f>IF('CCUS Projects Database'!$W384&lt;&gt;"",HYPERLINK('CCUS Projects Database'!$W384,"Link 6"),"")</f>
        <v/>
      </c>
      <c r="AE384" s="239" t="str">
        <f>IF('CCUS Projects Database'!$X384&lt;&gt;"",HYPERLINK('CCUS Projects Database'!$X384,"Link 7"),"")</f>
        <v/>
      </c>
    </row>
    <row r="385" ht="14.25" customHeight="1">
      <c r="A385" s="233" t="s">
        <v>20296</v>
      </c>
      <c r="B385" s="234">
        <v>499.0</v>
      </c>
      <c r="C385" s="234" t="s">
        <v>18264</v>
      </c>
      <c r="D385" s="235" t="s">
        <v>20297</v>
      </c>
      <c r="E385" s="234" t="s">
        <v>18623</v>
      </c>
      <c r="F385" s="234">
        <v>2022.0</v>
      </c>
      <c r="G385" s="234" t="s">
        <v>18725</v>
      </c>
      <c r="H385" s="234" t="s">
        <v>18725</v>
      </c>
      <c r="I385" s="234" t="s">
        <v>18725</v>
      </c>
      <c r="J385" s="234" t="s">
        <v>18636</v>
      </c>
      <c r="K385" s="236" t="s">
        <v>18725</v>
      </c>
      <c r="L385" s="236" t="s">
        <v>18725</v>
      </c>
      <c r="M385" s="236" t="s">
        <v>18725</v>
      </c>
      <c r="N385" s="234" t="s">
        <v>18623</v>
      </c>
      <c r="O385" s="237" t="s">
        <v>18675</v>
      </c>
      <c r="P385" s="238" t="s">
        <v>20296</v>
      </c>
      <c r="Q385" s="234" t="s">
        <v>18732</v>
      </c>
      <c r="R385" s="238" t="s">
        <v>20289</v>
      </c>
      <c r="S385" s="238" t="s">
        <v>18725</v>
      </c>
      <c r="T385" s="238" t="s">
        <v>18725</v>
      </c>
      <c r="U385" s="238" t="s">
        <v>18725</v>
      </c>
      <c r="V385" s="238" t="s">
        <v>18725</v>
      </c>
      <c r="W385" s="238" t="s">
        <v>18725</v>
      </c>
      <c r="X385" s="238" t="s">
        <v>18725</v>
      </c>
      <c r="Y385" s="239" t="str">
        <f>IF('CCUS Projects Database'!$R385&lt;&gt;"",HYPERLINK('CCUS Projects Database'!$R385,"Link 1"),"")</f>
        <v>Link 1</v>
      </c>
      <c r="Z385" s="239" t="str">
        <f>IF('CCUS Projects Database'!$S385&lt;&gt;"",HYPERLINK('CCUS Projects Database'!$S385,"Link 2"),"")</f>
        <v/>
      </c>
      <c r="AA385" s="239" t="str">
        <f>IF('CCUS Projects Database'!$T385&lt;&gt;"",HYPERLINK('CCUS Projects Database'!$T385,"Link 3"),"")</f>
        <v/>
      </c>
      <c r="AB385" s="239" t="str">
        <f>IF('CCUS Projects Database'!$U385&lt;&gt;"",HYPERLINK('CCUS Projects Database'!$U385,"Link 4"),"")</f>
        <v/>
      </c>
      <c r="AC385" s="239" t="str">
        <f>IF('CCUS Projects Database'!$V385&lt;&gt;"",HYPERLINK('CCUS Projects Database'!$V385,"Link 5"),"")</f>
        <v/>
      </c>
      <c r="AD385" s="239" t="str">
        <f>IF('CCUS Projects Database'!$W385&lt;&gt;"",HYPERLINK('CCUS Projects Database'!$W385,"Link 6"),"")</f>
        <v/>
      </c>
      <c r="AE385" s="239" t="str">
        <f>IF('CCUS Projects Database'!$X385&lt;&gt;"",HYPERLINK('CCUS Projects Database'!$X385,"Link 7"),"")</f>
        <v/>
      </c>
    </row>
    <row r="386" ht="14.25" customHeight="1">
      <c r="A386" s="233" t="s">
        <v>20298</v>
      </c>
      <c r="B386" s="234">
        <v>500.0</v>
      </c>
      <c r="C386" s="234" t="s">
        <v>18264</v>
      </c>
      <c r="D386" s="235" t="s">
        <v>20299</v>
      </c>
      <c r="E386" s="234" t="s">
        <v>3</v>
      </c>
      <c r="F386" s="234">
        <v>2022.0</v>
      </c>
      <c r="G386" s="234" t="s">
        <v>18725</v>
      </c>
      <c r="H386" s="234">
        <v>2027.0</v>
      </c>
      <c r="I386" s="234" t="s">
        <v>18725</v>
      </c>
      <c r="J386" s="234" t="s">
        <v>18636</v>
      </c>
      <c r="K386" s="236" t="s">
        <v>18725</v>
      </c>
      <c r="L386" s="236" t="s">
        <v>18725</v>
      </c>
      <c r="M386" s="236" t="s">
        <v>18725</v>
      </c>
      <c r="N386" s="234" t="s">
        <v>3</v>
      </c>
      <c r="O386" s="237" t="s">
        <v>18675</v>
      </c>
      <c r="P386" s="238" t="s">
        <v>20300</v>
      </c>
      <c r="Q386" s="234" t="s">
        <v>18732</v>
      </c>
      <c r="R386" s="238" t="s">
        <v>20289</v>
      </c>
      <c r="S386" s="238" t="s">
        <v>18725</v>
      </c>
      <c r="T386" s="238" t="s">
        <v>18725</v>
      </c>
      <c r="U386" s="238" t="s">
        <v>18725</v>
      </c>
      <c r="V386" s="238" t="s">
        <v>18725</v>
      </c>
      <c r="W386" s="238" t="s">
        <v>18725</v>
      </c>
      <c r="X386" s="238" t="s">
        <v>18725</v>
      </c>
      <c r="Y386" s="239" t="str">
        <f>IF('CCUS Projects Database'!$R386&lt;&gt;"",HYPERLINK('CCUS Projects Database'!$R386,"Link 1"),"")</f>
        <v>Link 1</v>
      </c>
      <c r="Z386" s="239" t="str">
        <f>IF('CCUS Projects Database'!$S386&lt;&gt;"",HYPERLINK('CCUS Projects Database'!$S386,"Link 2"),"")</f>
        <v/>
      </c>
      <c r="AA386" s="239" t="str">
        <f>IF('CCUS Projects Database'!$T386&lt;&gt;"",HYPERLINK('CCUS Projects Database'!$T386,"Link 3"),"")</f>
        <v/>
      </c>
      <c r="AB386" s="239" t="str">
        <f>IF('CCUS Projects Database'!$U386&lt;&gt;"",HYPERLINK('CCUS Projects Database'!$U386,"Link 4"),"")</f>
        <v/>
      </c>
      <c r="AC386" s="239" t="str">
        <f>IF('CCUS Projects Database'!$V386&lt;&gt;"",HYPERLINK('CCUS Projects Database'!$V386,"Link 5"),"")</f>
        <v/>
      </c>
      <c r="AD386" s="239" t="str">
        <f>IF('CCUS Projects Database'!$W386&lt;&gt;"",HYPERLINK('CCUS Projects Database'!$W386,"Link 6"),"")</f>
        <v/>
      </c>
      <c r="AE386" s="239" t="str">
        <f>IF('CCUS Projects Database'!$X386&lt;&gt;"",HYPERLINK('CCUS Projects Database'!$X386,"Link 7"),"")</f>
        <v/>
      </c>
    </row>
    <row r="387" ht="14.25" customHeight="1">
      <c r="A387" s="233" t="s">
        <v>20301</v>
      </c>
      <c r="B387" s="234">
        <v>501.0</v>
      </c>
      <c r="C387" s="234" t="s">
        <v>18264</v>
      </c>
      <c r="D387" s="235" t="s">
        <v>20302</v>
      </c>
      <c r="E387" s="234" t="s">
        <v>3</v>
      </c>
      <c r="F387" s="234">
        <v>2022.0</v>
      </c>
      <c r="G387" s="234" t="s">
        <v>18725</v>
      </c>
      <c r="H387" s="234">
        <v>2026.0</v>
      </c>
      <c r="I387" s="234" t="s">
        <v>18725</v>
      </c>
      <c r="J387" s="234" t="s">
        <v>18636</v>
      </c>
      <c r="K387" s="236" t="s">
        <v>18725</v>
      </c>
      <c r="L387" s="236" t="s">
        <v>20303</v>
      </c>
      <c r="M387" s="236">
        <v>10.0</v>
      </c>
      <c r="N387" s="234" t="s">
        <v>3</v>
      </c>
      <c r="O387" s="237" t="s">
        <v>18675</v>
      </c>
      <c r="P387" s="238" t="s">
        <v>20301</v>
      </c>
      <c r="Q387" s="234" t="s">
        <v>18732</v>
      </c>
      <c r="R387" s="238" t="s">
        <v>20289</v>
      </c>
      <c r="S387" s="238" t="s">
        <v>20304</v>
      </c>
      <c r="T387" s="238" t="s">
        <v>20305</v>
      </c>
      <c r="U387" s="238" t="s">
        <v>20306</v>
      </c>
      <c r="V387" s="238" t="s">
        <v>18725</v>
      </c>
      <c r="W387" s="238" t="s">
        <v>20307</v>
      </c>
      <c r="X387" s="238" t="s">
        <v>18725</v>
      </c>
      <c r="Y387" s="239" t="str">
        <f>IF('CCUS Projects Database'!$R387&lt;&gt;"",HYPERLINK('CCUS Projects Database'!$R387,"Link 1"),"")</f>
        <v>Link 1</v>
      </c>
      <c r="Z387" s="239" t="str">
        <f>IF('CCUS Projects Database'!$S387&lt;&gt;"",HYPERLINK('CCUS Projects Database'!$S387,"Link 2"),"")</f>
        <v>Link 2</v>
      </c>
      <c r="AA387" s="239" t="str">
        <f>IF('CCUS Projects Database'!$T387&lt;&gt;"",HYPERLINK('CCUS Projects Database'!$T387,"Link 3"),"")</f>
        <v>Link 3</v>
      </c>
      <c r="AB387" s="239" t="str">
        <f>IF('CCUS Projects Database'!$U387&lt;&gt;"",HYPERLINK('CCUS Projects Database'!$U387,"Link 4"),"")</f>
        <v>Link 4</v>
      </c>
      <c r="AC387" s="239" t="str">
        <f>IF('CCUS Projects Database'!$V387&lt;&gt;"",HYPERLINK('CCUS Projects Database'!$V387,"Link 5"),"")</f>
        <v/>
      </c>
      <c r="AD387" s="239" t="str">
        <f>IF('CCUS Projects Database'!$W387&lt;&gt;"",HYPERLINK('CCUS Projects Database'!$W387,"Link 6"),"")</f>
        <v>Link 6</v>
      </c>
      <c r="AE387" s="239" t="str">
        <f>IF('CCUS Projects Database'!$X387&lt;&gt;"",HYPERLINK('CCUS Projects Database'!$X387,"Link 7"),"")</f>
        <v/>
      </c>
    </row>
    <row r="388" ht="14.25" customHeight="1">
      <c r="A388" s="233" t="s">
        <v>20308</v>
      </c>
      <c r="B388" s="234">
        <v>502.0</v>
      </c>
      <c r="C388" s="234" t="s">
        <v>18264</v>
      </c>
      <c r="D388" s="235" t="s">
        <v>20309</v>
      </c>
      <c r="E388" s="234" t="s">
        <v>3</v>
      </c>
      <c r="F388" s="234">
        <v>2022.0</v>
      </c>
      <c r="G388" s="234" t="s">
        <v>18725</v>
      </c>
      <c r="H388" s="234" t="s">
        <v>18725</v>
      </c>
      <c r="I388" s="234" t="s">
        <v>18725</v>
      </c>
      <c r="J388" s="234" t="s">
        <v>18636</v>
      </c>
      <c r="K388" s="236" t="s">
        <v>18725</v>
      </c>
      <c r="L388" s="236">
        <v>3.3</v>
      </c>
      <c r="M388" s="236">
        <v>3.3</v>
      </c>
      <c r="N388" s="234" t="s">
        <v>3</v>
      </c>
      <c r="O388" s="237" t="s">
        <v>18675</v>
      </c>
      <c r="P388" s="238" t="s">
        <v>20310</v>
      </c>
      <c r="Q388" s="234" t="s">
        <v>18732</v>
      </c>
      <c r="R388" s="238" t="s">
        <v>20289</v>
      </c>
      <c r="S388" s="238" t="s">
        <v>20295</v>
      </c>
      <c r="T388" s="238" t="s">
        <v>20311</v>
      </c>
      <c r="U388" s="238" t="s">
        <v>18725</v>
      </c>
      <c r="V388" s="238" t="s">
        <v>18725</v>
      </c>
      <c r="W388" s="238" t="s">
        <v>18725</v>
      </c>
      <c r="X388" s="238" t="s">
        <v>18725</v>
      </c>
      <c r="Y388" s="239" t="str">
        <f>IF('CCUS Projects Database'!$R388&lt;&gt;"",HYPERLINK('CCUS Projects Database'!$R388,"Link 1"),"")</f>
        <v>Link 1</v>
      </c>
      <c r="Z388" s="239" t="str">
        <f>IF('CCUS Projects Database'!$S388&lt;&gt;"",HYPERLINK('CCUS Projects Database'!$S388,"Link 2"),"")</f>
        <v>Link 2</v>
      </c>
      <c r="AA388" s="239" t="str">
        <f>IF('CCUS Projects Database'!$T388&lt;&gt;"",HYPERLINK('CCUS Projects Database'!$T388,"Link 3"),"")</f>
        <v>Link 3</v>
      </c>
      <c r="AB388" s="239" t="str">
        <f>IF('CCUS Projects Database'!$U388&lt;&gt;"",HYPERLINK('CCUS Projects Database'!$U388,"Link 4"),"")</f>
        <v/>
      </c>
      <c r="AC388" s="239" t="str">
        <f>IF('CCUS Projects Database'!$V388&lt;&gt;"",HYPERLINK('CCUS Projects Database'!$V388,"Link 5"),"")</f>
        <v/>
      </c>
      <c r="AD388" s="239" t="str">
        <f>IF('CCUS Projects Database'!$W388&lt;&gt;"",HYPERLINK('CCUS Projects Database'!$W388,"Link 6"),"")</f>
        <v/>
      </c>
      <c r="AE388" s="239" t="str">
        <f>IF('CCUS Projects Database'!$X388&lt;&gt;"",HYPERLINK('CCUS Projects Database'!$X388,"Link 7"),"")</f>
        <v/>
      </c>
    </row>
    <row r="389" ht="14.25" customHeight="1">
      <c r="A389" s="233" t="s">
        <v>20312</v>
      </c>
      <c r="B389" s="234">
        <v>503.0</v>
      </c>
      <c r="C389" s="234" t="s">
        <v>18264</v>
      </c>
      <c r="D389" s="235" t="s">
        <v>20313</v>
      </c>
      <c r="E389" s="234" t="s">
        <v>3</v>
      </c>
      <c r="F389" s="234">
        <v>2022.0</v>
      </c>
      <c r="G389" s="234" t="s">
        <v>18725</v>
      </c>
      <c r="H389" s="234" t="s">
        <v>18725</v>
      </c>
      <c r="I389" s="234" t="s">
        <v>18725</v>
      </c>
      <c r="J389" s="234" t="s">
        <v>18636</v>
      </c>
      <c r="K389" s="236" t="s">
        <v>18725</v>
      </c>
      <c r="L389" s="236" t="s">
        <v>18725</v>
      </c>
      <c r="M389" s="236" t="s">
        <v>18725</v>
      </c>
      <c r="N389" s="234" t="s">
        <v>3</v>
      </c>
      <c r="O389" s="237" t="s">
        <v>18675</v>
      </c>
      <c r="P389" s="238" t="s">
        <v>20312</v>
      </c>
      <c r="Q389" s="234" t="s">
        <v>18732</v>
      </c>
      <c r="R389" s="238" t="s">
        <v>20289</v>
      </c>
      <c r="S389" s="238" t="s">
        <v>18725</v>
      </c>
      <c r="T389" s="238" t="s">
        <v>18725</v>
      </c>
      <c r="U389" s="238" t="s">
        <v>18725</v>
      </c>
      <c r="V389" s="238" t="s">
        <v>18725</v>
      </c>
      <c r="W389" s="238" t="s">
        <v>18725</v>
      </c>
      <c r="X389" s="238" t="s">
        <v>18725</v>
      </c>
      <c r="Y389" s="239" t="str">
        <f>IF('CCUS Projects Database'!$R389&lt;&gt;"",HYPERLINK('CCUS Projects Database'!$R389,"Link 1"),"")</f>
        <v>Link 1</v>
      </c>
      <c r="Z389" s="239" t="str">
        <f>IF('CCUS Projects Database'!$S389&lt;&gt;"",HYPERLINK('CCUS Projects Database'!$S389,"Link 2"),"")</f>
        <v/>
      </c>
      <c r="AA389" s="239" t="str">
        <f>IF('CCUS Projects Database'!$T389&lt;&gt;"",HYPERLINK('CCUS Projects Database'!$T389,"Link 3"),"")</f>
        <v/>
      </c>
      <c r="AB389" s="239" t="str">
        <f>IF('CCUS Projects Database'!$U389&lt;&gt;"",HYPERLINK('CCUS Projects Database'!$U389,"Link 4"),"")</f>
        <v/>
      </c>
      <c r="AC389" s="239" t="str">
        <f>IF('CCUS Projects Database'!$V389&lt;&gt;"",HYPERLINK('CCUS Projects Database'!$V389,"Link 5"),"")</f>
        <v/>
      </c>
      <c r="AD389" s="239" t="str">
        <f>IF('CCUS Projects Database'!$W389&lt;&gt;"",HYPERLINK('CCUS Projects Database'!$W389,"Link 6"),"")</f>
        <v/>
      </c>
      <c r="AE389" s="239" t="str">
        <f>IF('CCUS Projects Database'!$X389&lt;&gt;"",HYPERLINK('CCUS Projects Database'!$X389,"Link 7"),"")</f>
        <v/>
      </c>
    </row>
    <row r="390" ht="14.25" customHeight="1">
      <c r="A390" s="233" t="s">
        <v>20314</v>
      </c>
      <c r="B390" s="234">
        <v>504.0</v>
      </c>
      <c r="C390" s="234" t="s">
        <v>18264</v>
      </c>
      <c r="D390" s="235" t="s">
        <v>20315</v>
      </c>
      <c r="E390" s="234" t="s">
        <v>3</v>
      </c>
      <c r="F390" s="234">
        <v>2022.0</v>
      </c>
      <c r="G390" s="234" t="s">
        <v>18725</v>
      </c>
      <c r="H390" s="234" t="s">
        <v>18725</v>
      </c>
      <c r="I390" s="234" t="s">
        <v>18725</v>
      </c>
      <c r="J390" s="234" t="s">
        <v>18636</v>
      </c>
      <c r="K390" s="236" t="s">
        <v>18725</v>
      </c>
      <c r="L390" s="236" t="s">
        <v>18725</v>
      </c>
      <c r="M390" s="236" t="s">
        <v>18725</v>
      </c>
      <c r="N390" s="234" t="s">
        <v>3</v>
      </c>
      <c r="O390" s="237" t="s">
        <v>18675</v>
      </c>
      <c r="P390" s="238" t="s">
        <v>20314</v>
      </c>
      <c r="Q390" s="234" t="s">
        <v>18732</v>
      </c>
      <c r="R390" s="238" t="s">
        <v>20289</v>
      </c>
      <c r="S390" s="238" t="s">
        <v>18725</v>
      </c>
      <c r="T390" s="238" t="s">
        <v>18725</v>
      </c>
      <c r="U390" s="238" t="s">
        <v>18725</v>
      </c>
      <c r="V390" s="238" t="s">
        <v>18725</v>
      </c>
      <c r="W390" s="238" t="s">
        <v>18725</v>
      </c>
      <c r="X390" s="238" t="s">
        <v>18725</v>
      </c>
      <c r="Y390" s="239" t="str">
        <f>IF('CCUS Projects Database'!$R390&lt;&gt;"",HYPERLINK('CCUS Projects Database'!$R390,"Link 1"),"")</f>
        <v>Link 1</v>
      </c>
      <c r="Z390" s="239" t="str">
        <f>IF('CCUS Projects Database'!$S390&lt;&gt;"",HYPERLINK('CCUS Projects Database'!$S390,"Link 2"),"")</f>
        <v/>
      </c>
      <c r="AA390" s="239" t="str">
        <f>IF('CCUS Projects Database'!$T390&lt;&gt;"",HYPERLINK('CCUS Projects Database'!$T390,"Link 3"),"")</f>
        <v/>
      </c>
      <c r="AB390" s="239" t="str">
        <f>IF('CCUS Projects Database'!$U390&lt;&gt;"",HYPERLINK('CCUS Projects Database'!$U390,"Link 4"),"")</f>
        <v/>
      </c>
      <c r="AC390" s="239" t="str">
        <f>IF('CCUS Projects Database'!$V390&lt;&gt;"",HYPERLINK('CCUS Projects Database'!$V390,"Link 5"),"")</f>
        <v/>
      </c>
      <c r="AD390" s="239" t="str">
        <f>IF('CCUS Projects Database'!$W390&lt;&gt;"",HYPERLINK('CCUS Projects Database'!$W390,"Link 6"),"")</f>
        <v/>
      </c>
      <c r="AE390" s="239" t="str">
        <f>IF('CCUS Projects Database'!$X390&lt;&gt;"",HYPERLINK('CCUS Projects Database'!$X390,"Link 7"),"")</f>
        <v/>
      </c>
    </row>
    <row r="391" ht="14.25" customHeight="1">
      <c r="A391" s="233" t="s">
        <v>20316</v>
      </c>
      <c r="B391" s="234">
        <v>505.0</v>
      </c>
      <c r="C391" s="234" t="s">
        <v>18264</v>
      </c>
      <c r="D391" s="235" t="s">
        <v>20317</v>
      </c>
      <c r="E391" s="234" t="s">
        <v>3</v>
      </c>
      <c r="F391" s="234">
        <v>2022.0</v>
      </c>
      <c r="G391" s="234" t="s">
        <v>18725</v>
      </c>
      <c r="H391" s="234" t="s">
        <v>18725</v>
      </c>
      <c r="I391" s="234" t="s">
        <v>18725</v>
      </c>
      <c r="J391" s="234" t="s">
        <v>18636</v>
      </c>
      <c r="K391" s="236" t="s">
        <v>18725</v>
      </c>
      <c r="L391" s="236">
        <v>3.0</v>
      </c>
      <c r="M391" s="236">
        <v>3.0</v>
      </c>
      <c r="N391" s="234" t="s">
        <v>3</v>
      </c>
      <c r="O391" s="237" t="s">
        <v>18675</v>
      </c>
      <c r="P391" s="238" t="s">
        <v>20316</v>
      </c>
      <c r="Q391" s="234" t="s">
        <v>18732</v>
      </c>
      <c r="R391" s="238" t="s">
        <v>20289</v>
      </c>
      <c r="S391" s="238" t="s">
        <v>20318</v>
      </c>
      <c r="T391" s="238" t="s">
        <v>18725</v>
      </c>
      <c r="U391" s="238" t="s">
        <v>18725</v>
      </c>
      <c r="V391" s="238" t="s">
        <v>18725</v>
      </c>
      <c r="W391" s="238" t="s">
        <v>18725</v>
      </c>
      <c r="X391" s="238" t="s">
        <v>18725</v>
      </c>
      <c r="Y391" s="239" t="str">
        <f>IF('CCUS Projects Database'!$R391&lt;&gt;"",HYPERLINK('CCUS Projects Database'!$R391,"Link 1"),"")</f>
        <v>Link 1</v>
      </c>
      <c r="Z391" s="239" t="str">
        <f>IF('CCUS Projects Database'!$S391&lt;&gt;"",HYPERLINK('CCUS Projects Database'!$S391,"Link 2"),"")</f>
        <v>Link 2</v>
      </c>
      <c r="AA391" s="239" t="str">
        <f>IF('CCUS Projects Database'!$T391&lt;&gt;"",HYPERLINK('CCUS Projects Database'!$T391,"Link 3"),"")</f>
        <v/>
      </c>
      <c r="AB391" s="239" t="str">
        <f>IF('CCUS Projects Database'!$U391&lt;&gt;"",HYPERLINK('CCUS Projects Database'!$U391,"Link 4"),"")</f>
        <v/>
      </c>
      <c r="AC391" s="239" t="str">
        <f>IF('CCUS Projects Database'!$V391&lt;&gt;"",HYPERLINK('CCUS Projects Database'!$V391,"Link 5"),"")</f>
        <v/>
      </c>
      <c r="AD391" s="239" t="str">
        <f>IF('CCUS Projects Database'!$W391&lt;&gt;"",HYPERLINK('CCUS Projects Database'!$W391,"Link 6"),"")</f>
        <v/>
      </c>
      <c r="AE391" s="239" t="str">
        <f>IF('CCUS Projects Database'!$X391&lt;&gt;"",HYPERLINK('CCUS Projects Database'!$X391,"Link 7"),"")</f>
        <v/>
      </c>
    </row>
    <row r="392" ht="14.25" customHeight="1">
      <c r="A392" s="233" t="s">
        <v>20319</v>
      </c>
      <c r="B392" s="234">
        <v>506.0</v>
      </c>
      <c r="C392" s="234" t="s">
        <v>18264</v>
      </c>
      <c r="D392" s="235" t="s">
        <v>20320</v>
      </c>
      <c r="E392" s="234" t="s">
        <v>18623</v>
      </c>
      <c r="F392" s="234">
        <v>2022.0</v>
      </c>
      <c r="G392" s="234">
        <v>2025.0</v>
      </c>
      <c r="H392" s="234">
        <v>2030.0</v>
      </c>
      <c r="I392" s="234" t="s">
        <v>18725</v>
      </c>
      <c r="J392" s="234" t="s">
        <v>18636</v>
      </c>
      <c r="K392" s="236" t="s">
        <v>18725</v>
      </c>
      <c r="L392" s="236" t="s">
        <v>20321</v>
      </c>
      <c r="M392" s="236">
        <v>12.0</v>
      </c>
      <c r="N392" s="234" t="s">
        <v>18623</v>
      </c>
      <c r="O392" s="237" t="s">
        <v>18675</v>
      </c>
      <c r="P392" s="238" t="s">
        <v>20322</v>
      </c>
      <c r="Q392" s="234" t="s">
        <v>18732</v>
      </c>
      <c r="R392" s="238" t="s">
        <v>20289</v>
      </c>
      <c r="S392" s="238" t="s">
        <v>20323</v>
      </c>
      <c r="T392" s="238" t="s">
        <v>20324</v>
      </c>
      <c r="U392" s="238" t="s">
        <v>20325</v>
      </c>
      <c r="V392" s="238" t="s">
        <v>20326</v>
      </c>
      <c r="W392" s="238" t="s">
        <v>20327</v>
      </c>
      <c r="X392" s="238" t="s">
        <v>18725</v>
      </c>
      <c r="Y392" s="239" t="str">
        <f>IF('CCUS Projects Database'!$R392&lt;&gt;"",HYPERLINK('CCUS Projects Database'!$R392,"Link 1"),"")</f>
        <v>Link 1</v>
      </c>
      <c r="Z392" s="239" t="str">
        <f>IF('CCUS Projects Database'!$S392&lt;&gt;"",HYPERLINK('CCUS Projects Database'!$S392,"Link 2"),"")</f>
        <v>Link 2</v>
      </c>
      <c r="AA392" s="239" t="str">
        <f>IF('CCUS Projects Database'!$T392&lt;&gt;"",HYPERLINK('CCUS Projects Database'!$T392,"Link 3"),"")</f>
        <v>Link 3</v>
      </c>
      <c r="AB392" s="239" t="str">
        <f>IF('CCUS Projects Database'!$U392&lt;&gt;"",HYPERLINK('CCUS Projects Database'!$U392,"Link 4"),"")</f>
        <v>Link 4</v>
      </c>
      <c r="AC392" s="239" t="str">
        <f>IF('CCUS Projects Database'!$V392&lt;&gt;"",HYPERLINK('CCUS Projects Database'!$V392,"Link 5"),"")</f>
        <v>Link 5</v>
      </c>
      <c r="AD392" s="239" t="str">
        <f>IF('CCUS Projects Database'!$W392&lt;&gt;"",HYPERLINK('CCUS Projects Database'!$W392,"Link 6"),"")</f>
        <v>Link 6</v>
      </c>
      <c r="AE392" s="239" t="str">
        <f>IF('CCUS Projects Database'!$X392&lt;&gt;"",HYPERLINK('CCUS Projects Database'!$X392,"Link 7"),"")</f>
        <v/>
      </c>
    </row>
    <row r="393" ht="14.25" customHeight="1">
      <c r="A393" s="233" t="s">
        <v>20328</v>
      </c>
      <c r="B393" s="234">
        <v>507.0</v>
      </c>
      <c r="C393" s="234" t="s">
        <v>18264</v>
      </c>
      <c r="D393" s="235" t="s">
        <v>20315</v>
      </c>
      <c r="E393" s="234" t="s">
        <v>3</v>
      </c>
      <c r="F393" s="234">
        <v>2022.0</v>
      </c>
      <c r="G393" s="234" t="s">
        <v>18725</v>
      </c>
      <c r="H393" s="234" t="s">
        <v>18725</v>
      </c>
      <c r="I393" s="234" t="s">
        <v>18725</v>
      </c>
      <c r="J393" s="234" t="s">
        <v>18636</v>
      </c>
      <c r="K393" s="236" t="s">
        <v>18725</v>
      </c>
      <c r="L393" s="236" t="s">
        <v>18725</v>
      </c>
      <c r="M393" s="236" t="s">
        <v>18725</v>
      </c>
      <c r="N393" s="234" t="s">
        <v>3</v>
      </c>
      <c r="O393" s="237" t="s">
        <v>18675</v>
      </c>
      <c r="P393" s="238" t="s">
        <v>20328</v>
      </c>
      <c r="Q393" s="234" t="s">
        <v>18732</v>
      </c>
      <c r="R393" s="238" t="s">
        <v>20289</v>
      </c>
      <c r="S393" s="238" t="s">
        <v>18725</v>
      </c>
      <c r="T393" s="238" t="s">
        <v>18725</v>
      </c>
      <c r="U393" s="238" t="s">
        <v>18725</v>
      </c>
      <c r="V393" s="238" t="s">
        <v>18725</v>
      </c>
      <c r="W393" s="238" t="s">
        <v>18725</v>
      </c>
      <c r="X393" s="238" t="s">
        <v>18725</v>
      </c>
      <c r="Y393" s="239" t="str">
        <f>IF('CCUS Projects Database'!$R393&lt;&gt;"",HYPERLINK('CCUS Projects Database'!$R393,"Link 1"),"")</f>
        <v>Link 1</v>
      </c>
      <c r="Z393" s="239" t="str">
        <f>IF('CCUS Projects Database'!$S393&lt;&gt;"",HYPERLINK('CCUS Projects Database'!$S393,"Link 2"),"")</f>
        <v/>
      </c>
      <c r="AA393" s="239" t="str">
        <f>IF('CCUS Projects Database'!$T393&lt;&gt;"",HYPERLINK('CCUS Projects Database'!$T393,"Link 3"),"")</f>
        <v/>
      </c>
      <c r="AB393" s="239" t="str">
        <f>IF('CCUS Projects Database'!$U393&lt;&gt;"",HYPERLINK('CCUS Projects Database'!$U393,"Link 4"),"")</f>
        <v/>
      </c>
      <c r="AC393" s="239" t="str">
        <f>IF('CCUS Projects Database'!$V393&lt;&gt;"",HYPERLINK('CCUS Projects Database'!$V393,"Link 5"),"")</f>
        <v/>
      </c>
      <c r="AD393" s="239" t="str">
        <f>IF('CCUS Projects Database'!$W393&lt;&gt;"",HYPERLINK('CCUS Projects Database'!$W393,"Link 6"),"")</f>
        <v/>
      </c>
      <c r="AE393" s="239" t="str">
        <f>IF('CCUS Projects Database'!$X393&lt;&gt;"",HYPERLINK('CCUS Projects Database'!$X393,"Link 7"),"")</f>
        <v/>
      </c>
    </row>
    <row r="394" ht="14.25" customHeight="1">
      <c r="A394" s="233" t="s">
        <v>20329</v>
      </c>
      <c r="B394" s="234">
        <v>508.0</v>
      </c>
      <c r="C394" s="234" t="s">
        <v>18264</v>
      </c>
      <c r="D394" s="235" t="s">
        <v>20330</v>
      </c>
      <c r="E394" s="234" t="s">
        <v>3</v>
      </c>
      <c r="F394" s="234">
        <v>2022.0</v>
      </c>
      <c r="G394" s="234" t="s">
        <v>18725</v>
      </c>
      <c r="H394" s="234" t="s">
        <v>18725</v>
      </c>
      <c r="I394" s="234" t="s">
        <v>18725</v>
      </c>
      <c r="J394" s="234" t="s">
        <v>18636</v>
      </c>
      <c r="K394" s="236" t="s">
        <v>18725</v>
      </c>
      <c r="L394" s="236">
        <v>2.7</v>
      </c>
      <c r="M394" s="236">
        <v>2.7</v>
      </c>
      <c r="N394" s="234" t="s">
        <v>3</v>
      </c>
      <c r="O394" s="237" t="s">
        <v>18675</v>
      </c>
      <c r="P394" s="238" t="s">
        <v>20329</v>
      </c>
      <c r="Q394" s="234" t="s">
        <v>18732</v>
      </c>
      <c r="R394" s="238" t="s">
        <v>20289</v>
      </c>
      <c r="S394" s="238" t="s">
        <v>20331</v>
      </c>
      <c r="T394" s="238" t="s">
        <v>18725</v>
      </c>
      <c r="U394" s="238" t="s">
        <v>18725</v>
      </c>
      <c r="V394" s="238" t="s">
        <v>18725</v>
      </c>
      <c r="W394" s="238" t="s">
        <v>18725</v>
      </c>
      <c r="X394" s="238" t="s">
        <v>18725</v>
      </c>
      <c r="Y394" s="239" t="str">
        <f>IF('CCUS Projects Database'!$R394&lt;&gt;"",HYPERLINK('CCUS Projects Database'!$R394,"Link 1"),"")</f>
        <v>Link 1</v>
      </c>
      <c r="Z394" s="239" t="str">
        <f>IF('CCUS Projects Database'!$S394&lt;&gt;"",HYPERLINK('CCUS Projects Database'!$S394,"Link 2"),"")</f>
        <v>Link 2</v>
      </c>
      <c r="AA394" s="239" t="str">
        <f>IF('CCUS Projects Database'!$T394&lt;&gt;"",HYPERLINK('CCUS Projects Database'!$T394,"Link 3"),"")</f>
        <v/>
      </c>
      <c r="AB394" s="239" t="str">
        <f>IF('CCUS Projects Database'!$U394&lt;&gt;"",HYPERLINK('CCUS Projects Database'!$U394,"Link 4"),"")</f>
        <v/>
      </c>
      <c r="AC394" s="239" t="str">
        <f>IF('CCUS Projects Database'!$V394&lt;&gt;"",HYPERLINK('CCUS Projects Database'!$V394,"Link 5"),"")</f>
        <v/>
      </c>
      <c r="AD394" s="239" t="str">
        <f>IF('CCUS Projects Database'!$W394&lt;&gt;"",HYPERLINK('CCUS Projects Database'!$W394,"Link 6"),"")</f>
        <v/>
      </c>
      <c r="AE394" s="239" t="str">
        <f>IF('CCUS Projects Database'!$X394&lt;&gt;"",HYPERLINK('CCUS Projects Database'!$X394,"Link 7"),"")</f>
        <v/>
      </c>
    </row>
    <row r="395" ht="14.25" customHeight="1">
      <c r="A395" s="233" t="s">
        <v>20332</v>
      </c>
      <c r="B395" s="234">
        <v>509.0</v>
      </c>
      <c r="C395" s="234" t="s">
        <v>18264</v>
      </c>
      <c r="D395" s="235" t="s">
        <v>20333</v>
      </c>
      <c r="E395" s="234" t="s">
        <v>18616</v>
      </c>
      <c r="F395" s="234">
        <v>2022.0</v>
      </c>
      <c r="G395" s="234" t="s">
        <v>18725</v>
      </c>
      <c r="H395" s="234" t="s">
        <v>18725</v>
      </c>
      <c r="I395" s="234" t="s">
        <v>18725</v>
      </c>
      <c r="J395" s="234" t="s">
        <v>18636</v>
      </c>
      <c r="K395" s="236" t="s">
        <v>18725</v>
      </c>
      <c r="L395" s="236" t="s">
        <v>18725</v>
      </c>
      <c r="M395" s="236" t="s">
        <v>18725</v>
      </c>
      <c r="N395" s="234" t="s">
        <v>18654</v>
      </c>
      <c r="O395" s="237" t="s">
        <v>18675</v>
      </c>
      <c r="P395" s="238" t="s">
        <v>20334</v>
      </c>
      <c r="Q395" s="234" t="s">
        <v>18732</v>
      </c>
      <c r="R395" s="238" t="s">
        <v>20289</v>
      </c>
      <c r="S395" s="238" t="s">
        <v>20335</v>
      </c>
      <c r="T395" s="238" t="s">
        <v>18725</v>
      </c>
      <c r="U395" s="238" t="s">
        <v>18725</v>
      </c>
      <c r="V395" s="238" t="s">
        <v>18725</v>
      </c>
      <c r="W395" s="238" t="s">
        <v>18725</v>
      </c>
      <c r="X395" s="238" t="s">
        <v>18725</v>
      </c>
      <c r="Y395" s="239" t="str">
        <f>IF('CCUS Projects Database'!$R395&lt;&gt;"",HYPERLINK('CCUS Projects Database'!$R395,"Link 1"),"")</f>
        <v>Link 1</v>
      </c>
      <c r="Z395" s="239" t="str">
        <f>IF('CCUS Projects Database'!$S395&lt;&gt;"",HYPERLINK('CCUS Projects Database'!$S395,"Link 2"),"")</f>
        <v>Link 2</v>
      </c>
      <c r="AA395" s="239" t="str">
        <f>IF('CCUS Projects Database'!$T395&lt;&gt;"",HYPERLINK('CCUS Projects Database'!$T395,"Link 3"),"")</f>
        <v/>
      </c>
      <c r="AB395" s="239" t="str">
        <f>IF('CCUS Projects Database'!$U395&lt;&gt;"",HYPERLINK('CCUS Projects Database'!$U395,"Link 4"),"")</f>
        <v/>
      </c>
      <c r="AC395" s="239" t="str">
        <f>IF('CCUS Projects Database'!$V395&lt;&gt;"",HYPERLINK('CCUS Projects Database'!$V395,"Link 5"),"")</f>
        <v/>
      </c>
      <c r="AD395" s="239" t="str">
        <f>IF('CCUS Projects Database'!$W395&lt;&gt;"",HYPERLINK('CCUS Projects Database'!$W395,"Link 6"),"")</f>
        <v/>
      </c>
      <c r="AE395" s="239" t="str">
        <f>IF('CCUS Projects Database'!$X395&lt;&gt;"",HYPERLINK('CCUS Projects Database'!$X395,"Link 7"),"")</f>
        <v/>
      </c>
    </row>
    <row r="396" ht="14.25" customHeight="1">
      <c r="A396" s="233" t="s">
        <v>20336</v>
      </c>
      <c r="B396" s="234">
        <v>510.0</v>
      </c>
      <c r="C396" s="234" t="s">
        <v>18264</v>
      </c>
      <c r="D396" s="235" t="s">
        <v>20337</v>
      </c>
      <c r="E396" s="234" t="s">
        <v>3</v>
      </c>
      <c r="F396" s="234">
        <v>2022.0</v>
      </c>
      <c r="G396" s="234" t="s">
        <v>18725</v>
      </c>
      <c r="H396" s="234" t="s">
        <v>18725</v>
      </c>
      <c r="I396" s="234" t="s">
        <v>18725</v>
      </c>
      <c r="J396" s="234" t="s">
        <v>18636</v>
      </c>
      <c r="K396" s="236" t="s">
        <v>18725</v>
      </c>
      <c r="L396" s="236" t="s">
        <v>18725</v>
      </c>
      <c r="M396" s="236" t="s">
        <v>18725</v>
      </c>
      <c r="N396" s="234" t="s">
        <v>3</v>
      </c>
      <c r="O396" s="237" t="s">
        <v>18675</v>
      </c>
      <c r="P396" s="238" t="s">
        <v>20336</v>
      </c>
      <c r="Q396" s="234" t="s">
        <v>18732</v>
      </c>
      <c r="R396" s="238" t="s">
        <v>20289</v>
      </c>
      <c r="S396" s="238" t="s">
        <v>18725</v>
      </c>
      <c r="T396" s="238" t="s">
        <v>18725</v>
      </c>
      <c r="U396" s="238" t="s">
        <v>18725</v>
      </c>
      <c r="V396" s="238" t="s">
        <v>18725</v>
      </c>
      <c r="W396" s="238" t="s">
        <v>18725</v>
      </c>
      <c r="X396" s="238" t="s">
        <v>18725</v>
      </c>
      <c r="Y396" s="239" t="str">
        <f>IF('CCUS Projects Database'!$R396&lt;&gt;"",HYPERLINK('CCUS Projects Database'!$R396,"Link 1"),"")</f>
        <v>Link 1</v>
      </c>
      <c r="Z396" s="239" t="str">
        <f>IF('CCUS Projects Database'!$S396&lt;&gt;"",HYPERLINK('CCUS Projects Database'!$S396,"Link 2"),"")</f>
        <v/>
      </c>
      <c r="AA396" s="239" t="str">
        <f>IF('CCUS Projects Database'!$T396&lt;&gt;"",HYPERLINK('CCUS Projects Database'!$T396,"Link 3"),"")</f>
        <v/>
      </c>
      <c r="AB396" s="239" t="str">
        <f>IF('CCUS Projects Database'!$U396&lt;&gt;"",HYPERLINK('CCUS Projects Database'!$U396,"Link 4"),"")</f>
        <v/>
      </c>
      <c r="AC396" s="239" t="str">
        <f>IF('CCUS Projects Database'!$V396&lt;&gt;"",HYPERLINK('CCUS Projects Database'!$V396,"Link 5"),"")</f>
        <v/>
      </c>
      <c r="AD396" s="239" t="str">
        <f>IF('CCUS Projects Database'!$W396&lt;&gt;"",HYPERLINK('CCUS Projects Database'!$W396,"Link 6"),"")</f>
        <v/>
      </c>
      <c r="AE396" s="239" t="str">
        <f>IF('CCUS Projects Database'!$X396&lt;&gt;"",HYPERLINK('CCUS Projects Database'!$X396,"Link 7"),"")</f>
        <v/>
      </c>
    </row>
    <row r="397" ht="14.25" customHeight="1">
      <c r="A397" s="233" t="s">
        <v>20338</v>
      </c>
      <c r="B397" s="234">
        <v>511.0</v>
      </c>
      <c r="C397" s="234" t="s">
        <v>18264</v>
      </c>
      <c r="D397" s="235" t="s">
        <v>20339</v>
      </c>
      <c r="E397" s="234" t="s">
        <v>3</v>
      </c>
      <c r="F397" s="234">
        <v>2022.0</v>
      </c>
      <c r="G397" s="234" t="s">
        <v>18725</v>
      </c>
      <c r="H397" s="234">
        <v>2027.0</v>
      </c>
      <c r="I397" s="234" t="s">
        <v>18725</v>
      </c>
      <c r="J397" s="234" t="s">
        <v>18636</v>
      </c>
      <c r="K397" s="236" t="s">
        <v>18725</v>
      </c>
      <c r="L397" s="236" t="s">
        <v>18725</v>
      </c>
      <c r="M397" s="236" t="s">
        <v>18725</v>
      </c>
      <c r="N397" s="234" t="s">
        <v>3</v>
      </c>
      <c r="O397" s="237" t="s">
        <v>18675</v>
      </c>
      <c r="P397" s="238" t="s">
        <v>20338</v>
      </c>
      <c r="Q397" s="234" t="s">
        <v>18732</v>
      </c>
      <c r="R397" s="238" t="s">
        <v>20289</v>
      </c>
      <c r="S397" s="238" t="s">
        <v>18725</v>
      </c>
      <c r="T397" s="238" t="s">
        <v>18725</v>
      </c>
      <c r="U397" s="238" t="s">
        <v>18725</v>
      </c>
      <c r="V397" s="238" t="s">
        <v>18725</v>
      </c>
      <c r="W397" s="238" t="s">
        <v>18725</v>
      </c>
      <c r="X397" s="238" t="s">
        <v>18725</v>
      </c>
      <c r="Y397" s="239" t="str">
        <f>IF('CCUS Projects Database'!$R397&lt;&gt;"",HYPERLINK('CCUS Projects Database'!$R397,"Link 1"),"")</f>
        <v>Link 1</v>
      </c>
      <c r="Z397" s="239" t="str">
        <f>IF('CCUS Projects Database'!$S397&lt;&gt;"",HYPERLINK('CCUS Projects Database'!$S397,"Link 2"),"")</f>
        <v/>
      </c>
      <c r="AA397" s="239" t="str">
        <f>IF('CCUS Projects Database'!$T397&lt;&gt;"",HYPERLINK('CCUS Projects Database'!$T397,"Link 3"),"")</f>
        <v/>
      </c>
      <c r="AB397" s="239" t="str">
        <f>IF('CCUS Projects Database'!$U397&lt;&gt;"",HYPERLINK('CCUS Projects Database'!$U397,"Link 4"),"")</f>
        <v/>
      </c>
      <c r="AC397" s="239" t="str">
        <f>IF('CCUS Projects Database'!$V397&lt;&gt;"",HYPERLINK('CCUS Projects Database'!$V397,"Link 5"),"")</f>
        <v/>
      </c>
      <c r="AD397" s="239" t="str">
        <f>IF('CCUS Projects Database'!$W397&lt;&gt;"",HYPERLINK('CCUS Projects Database'!$W397,"Link 6"),"")</f>
        <v/>
      </c>
      <c r="AE397" s="239" t="str">
        <f>IF('CCUS Projects Database'!$X397&lt;&gt;"",HYPERLINK('CCUS Projects Database'!$X397,"Link 7"),"")</f>
        <v/>
      </c>
    </row>
    <row r="398" ht="14.25" customHeight="1">
      <c r="A398" s="233" t="s">
        <v>20340</v>
      </c>
      <c r="B398" s="234">
        <v>512.0</v>
      </c>
      <c r="C398" s="234" t="s">
        <v>18264</v>
      </c>
      <c r="D398" s="235" t="s">
        <v>20341</v>
      </c>
      <c r="E398" s="234" t="s">
        <v>3</v>
      </c>
      <c r="F398" s="234">
        <v>2022.0</v>
      </c>
      <c r="G398" s="234" t="s">
        <v>18725</v>
      </c>
      <c r="H398" s="234">
        <v>2026.0</v>
      </c>
      <c r="I398" s="234" t="s">
        <v>18725</v>
      </c>
      <c r="J398" s="234" t="s">
        <v>18636</v>
      </c>
      <c r="K398" s="236" t="s">
        <v>18725</v>
      </c>
      <c r="L398" s="236">
        <v>5.0</v>
      </c>
      <c r="M398" s="236">
        <v>5.0</v>
      </c>
      <c r="N398" s="234" t="s">
        <v>3</v>
      </c>
      <c r="O398" s="237" t="s">
        <v>18675</v>
      </c>
      <c r="P398" s="238" t="s">
        <v>20340</v>
      </c>
      <c r="Q398" s="234" t="s">
        <v>18732</v>
      </c>
      <c r="R398" s="238" t="s">
        <v>20289</v>
      </c>
      <c r="S398" s="238" t="s">
        <v>18725</v>
      </c>
      <c r="T398" s="238" t="s">
        <v>18725</v>
      </c>
      <c r="U398" s="238" t="s">
        <v>18725</v>
      </c>
      <c r="V398" s="238" t="s">
        <v>18725</v>
      </c>
      <c r="W398" s="238" t="s">
        <v>18725</v>
      </c>
      <c r="X398" s="238" t="s">
        <v>18725</v>
      </c>
      <c r="Y398" s="239" t="str">
        <f>IF('CCUS Projects Database'!$R398&lt;&gt;"",HYPERLINK('CCUS Projects Database'!$R398,"Link 1"),"")</f>
        <v>Link 1</v>
      </c>
      <c r="Z398" s="239" t="str">
        <f>IF('CCUS Projects Database'!$S398&lt;&gt;"",HYPERLINK('CCUS Projects Database'!$S398,"Link 2"),"")</f>
        <v/>
      </c>
      <c r="AA398" s="239" t="str">
        <f>IF('CCUS Projects Database'!$T398&lt;&gt;"",HYPERLINK('CCUS Projects Database'!$T398,"Link 3"),"")</f>
        <v/>
      </c>
      <c r="AB398" s="239" t="str">
        <f>IF('CCUS Projects Database'!$U398&lt;&gt;"",HYPERLINK('CCUS Projects Database'!$U398,"Link 4"),"")</f>
        <v/>
      </c>
      <c r="AC398" s="239" t="str">
        <f>IF('CCUS Projects Database'!$V398&lt;&gt;"",HYPERLINK('CCUS Projects Database'!$V398,"Link 5"),"")</f>
        <v/>
      </c>
      <c r="AD398" s="239" t="str">
        <f>IF('CCUS Projects Database'!$W398&lt;&gt;"",HYPERLINK('CCUS Projects Database'!$W398,"Link 6"),"")</f>
        <v/>
      </c>
      <c r="AE398" s="239" t="str">
        <f>IF('CCUS Projects Database'!$X398&lt;&gt;"",HYPERLINK('CCUS Projects Database'!$X398,"Link 7"),"")</f>
        <v/>
      </c>
    </row>
    <row r="399" ht="14.25" customHeight="1">
      <c r="A399" s="233" t="s">
        <v>20342</v>
      </c>
      <c r="B399" s="234">
        <v>513.0</v>
      </c>
      <c r="C399" s="234" t="s">
        <v>18264</v>
      </c>
      <c r="D399" s="235" t="s">
        <v>20343</v>
      </c>
      <c r="E399" s="234" t="s">
        <v>3</v>
      </c>
      <c r="F399" s="234">
        <v>2022.0</v>
      </c>
      <c r="G399" s="234" t="s">
        <v>18725</v>
      </c>
      <c r="H399" s="234" t="s">
        <v>18725</v>
      </c>
      <c r="I399" s="234">
        <v>2023.0</v>
      </c>
      <c r="J399" s="234" t="s">
        <v>18192</v>
      </c>
      <c r="K399" s="236" t="s">
        <v>18725</v>
      </c>
      <c r="L399" s="236" t="s">
        <v>18725</v>
      </c>
      <c r="M399" s="236" t="s">
        <v>18725</v>
      </c>
      <c r="N399" s="234" t="s">
        <v>3</v>
      </c>
      <c r="O399" s="237" t="s">
        <v>18675</v>
      </c>
      <c r="P399" s="238" t="s">
        <v>20342</v>
      </c>
      <c r="Q399" s="234" t="s">
        <v>18732</v>
      </c>
      <c r="R399" s="238" t="s">
        <v>20289</v>
      </c>
      <c r="S399" s="238" t="s">
        <v>18725</v>
      </c>
      <c r="T399" s="238" t="s">
        <v>18725</v>
      </c>
      <c r="U399" s="238" t="s">
        <v>18725</v>
      </c>
      <c r="V399" s="238" t="s">
        <v>18725</v>
      </c>
      <c r="W399" s="238" t="s">
        <v>18725</v>
      </c>
      <c r="X399" s="238" t="s">
        <v>18725</v>
      </c>
      <c r="Y399" s="239" t="str">
        <f>IF('CCUS Projects Database'!$R399&lt;&gt;"",HYPERLINK('CCUS Projects Database'!$R399,"Link 1"),"")</f>
        <v>Link 1</v>
      </c>
      <c r="Z399" s="239" t="str">
        <f>IF('CCUS Projects Database'!$S399&lt;&gt;"",HYPERLINK('CCUS Projects Database'!$S399,"Link 2"),"")</f>
        <v/>
      </c>
      <c r="AA399" s="239" t="str">
        <f>IF('CCUS Projects Database'!$T399&lt;&gt;"",HYPERLINK('CCUS Projects Database'!$T399,"Link 3"),"")</f>
        <v/>
      </c>
      <c r="AB399" s="239" t="str">
        <f>IF('CCUS Projects Database'!$U399&lt;&gt;"",HYPERLINK('CCUS Projects Database'!$U399,"Link 4"),"")</f>
        <v/>
      </c>
      <c r="AC399" s="239" t="str">
        <f>IF('CCUS Projects Database'!$V399&lt;&gt;"",HYPERLINK('CCUS Projects Database'!$V399,"Link 5"),"")</f>
        <v/>
      </c>
      <c r="AD399" s="239" t="str">
        <f>IF('CCUS Projects Database'!$W399&lt;&gt;"",HYPERLINK('CCUS Projects Database'!$W399,"Link 6"),"")</f>
        <v/>
      </c>
      <c r="AE399" s="239" t="str">
        <f>IF('CCUS Projects Database'!$X399&lt;&gt;"",HYPERLINK('CCUS Projects Database'!$X399,"Link 7"),"")</f>
        <v/>
      </c>
    </row>
    <row r="400" ht="14.25" customHeight="1">
      <c r="A400" s="233" t="s">
        <v>20344</v>
      </c>
      <c r="B400" s="234">
        <v>514.0</v>
      </c>
      <c r="C400" s="234" t="s">
        <v>18264</v>
      </c>
      <c r="D400" s="235" t="s">
        <v>20345</v>
      </c>
      <c r="E400" s="234" t="s">
        <v>3</v>
      </c>
      <c r="F400" s="234">
        <v>2022.0</v>
      </c>
      <c r="G400" s="234" t="s">
        <v>18725</v>
      </c>
      <c r="H400" s="234" t="s">
        <v>18725</v>
      </c>
      <c r="I400" s="234" t="s">
        <v>18725</v>
      </c>
      <c r="J400" s="234" t="s">
        <v>18636</v>
      </c>
      <c r="K400" s="236" t="s">
        <v>18725</v>
      </c>
      <c r="L400" s="236">
        <v>10.0</v>
      </c>
      <c r="M400" s="236">
        <v>10.0</v>
      </c>
      <c r="N400" s="234" t="s">
        <v>3</v>
      </c>
      <c r="O400" s="237" t="s">
        <v>18675</v>
      </c>
      <c r="P400" s="238" t="s">
        <v>20344</v>
      </c>
      <c r="Q400" s="234" t="s">
        <v>18732</v>
      </c>
      <c r="R400" s="238" t="s">
        <v>20289</v>
      </c>
      <c r="S400" s="238" t="s">
        <v>18725</v>
      </c>
      <c r="T400" s="238" t="s">
        <v>18725</v>
      </c>
      <c r="U400" s="238" t="s">
        <v>18725</v>
      </c>
      <c r="V400" s="238" t="s">
        <v>18725</v>
      </c>
      <c r="W400" s="238" t="s">
        <v>18725</v>
      </c>
      <c r="X400" s="238" t="s">
        <v>18725</v>
      </c>
      <c r="Y400" s="239" t="str">
        <f>IF('CCUS Projects Database'!$R400&lt;&gt;"",HYPERLINK('CCUS Projects Database'!$R400,"Link 1"),"")</f>
        <v>Link 1</v>
      </c>
      <c r="Z400" s="239" t="str">
        <f>IF('CCUS Projects Database'!$S400&lt;&gt;"",HYPERLINK('CCUS Projects Database'!$S400,"Link 2"),"")</f>
        <v/>
      </c>
      <c r="AA400" s="239" t="str">
        <f>IF('CCUS Projects Database'!$T400&lt;&gt;"",HYPERLINK('CCUS Projects Database'!$T400,"Link 3"),"")</f>
        <v/>
      </c>
      <c r="AB400" s="239" t="str">
        <f>IF('CCUS Projects Database'!$U400&lt;&gt;"",HYPERLINK('CCUS Projects Database'!$U400,"Link 4"),"")</f>
        <v/>
      </c>
      <c r="AC400" s="239" t="str">
        <f>IF('CCUS Projects Database'!$V400&lt;&gt;"",HYPERLINK('CCUS Projects Database'!$V400,"Link 5"),"")</f>
        <v/>
      </c>
      <c r="AD400" s="239" t="str">
        <f>IF('CCUS Projects Database'!$W400&lt;&gt;"",HYPERLINK('CCUS Projects Database'!$W400,"Link 6"),"")</f>
        <v/>
      </c>
      <c r="AE400" s="239" t="str">
        <f>IF('CCUS Projects Database'!$X400&lt;&gt;"",HYPERLINK('CCUS Projects Database'!$X400,"Link 7"),"")</f>
        <v/>
      </c>
    </row>
    <row r="401" ht="14.25" customHeight="1">
      <c r="A401" s="233" t="s">
        <v>20346</v>
      </c>
      <c r="B401" s="234">
        <v>515.0</v>
      </c>
      <c r="C401" s="234" t="s">
        <v>83</v>
      </c>
      <c r="D401" s="235" t="s">
        <v>20347</v>
      </c>
      <c r="E401" s="234" t="s">
        <v>18618</v>
      </c>
      <c r="F401" s="234">
        <v>2022.0</v>
      </c>
      <c r="G401" s="234">
        <v>2025.0</v>
      </c>
      <c r="H401" s="234">
        <v>2040.0</v>
      </c>
      <c r="I401" s="234" t="s">
        <v>18725</v>
      </c>
      <c r="J401" s="234" t="s">
        <v>18636</v>
      </c>
      <c r="K401" s="236" t="s">
        <v>18725</v>
      </c>
      <c r="L401" s="236">
        <v>5.149</v>
      </c>
      <c r="M401" s="236">
        <v>5.149</v>
      </c>
      <c r="N401" s="234" t="s">
        <v>18654</v>
      </c>
      <c r="O401" s="237" t="s">
        <v>18675</v>
      </c>
      <c r="P401" s="238" t="s">
        <v>18725</v>
      </c>
      <c r="Q401" s="234" t="s">
        <v>18726</v>
      </c>
      <c r="R401" s="238" t="s">
        <v>20348</v>
      </c>
      <c r="S401" s="238" t="s">
        <v>20349</v>
      </c>
      <c r="T401" s="238" t="s">
        <v>18725</v>
      </c>
      <c r="U401" s="238" t="s">
        <v>18725</v>
      </c>
      <c r="V401" s="238" t="s">
        <v>18725</v>
      </c>
      <c r="W401" s="238" t="s">
        <v>18725</v>
      </c>
      <c r="X401" s="238" t="s">
        <v>18725</v>
      </c>
      <c r="Y401" s="239" t="str">
        <f>IF('CCUS Projects Database'!$R401&lt;&gt;"",HYPERLINK('CCUS Projects Database'!$R401,"Link 1"),"")</f>
        <v>Link 1</v>
      </c>
      <c r="Z401" s="239" t="str">
        <f>IF('CCUS Projects Database'!$S401&lt;&gt;"",HYPERLINK('CCUS Projects Database'!$S401,"Link 2"),"")</f>
        <v>Link 2</v>
      </c>
      <c r="AA401" s="239" t="str">
        <f>IF('CCUS Projects Database'!$T401&lt;&gt;"",HYPERLINK('CCUS Projects Database'!$T401,"Link 3"),"")</f>
        <v/>
      </c>
      <c r="AB401" s="239" t="str">
        <f>IF('CCUS Projects Database'!$U401&lt;&gt;"",HYPERLINK('CCUS Projects Database'!$U401,"Link 4"),"")</f>
        <v/>
      </c>
      <c r="AC401" s="239" t="str">
        <f>IF('CCUS Projects Database'!$V401&lt;&gt;"",HYPERLINK('CCUS Projects Database'!$V401,"Link 5"),"")</f>
        <v/>
      </c>
      <c r="AD401" s="239" t="str">
        <f>IF('CCUS Projects Database'!$W401&lt;&gt;"",HYPERLINK('CCUS Projects Database'!$W401,"Link 6"),"")</f>
        <v/>
      </c>
      <c r="AE401" s="239" t="str">
        <f>IF('CCUS Projects Database'!$X401&lt;&gt;"",HYPERLINK('CCUS Projects Database'!$X401,"Link 7"),"")</f>
        <v/>
      </c>
    </row>
    <row r="402" ht="14.25" customHeight="1">
      <c r="A402" s="233" t="s">
        <v>20350</v>
      </c>
      <c r="B402" s="234">
        <v>518.0</v>
      </c>
      <c r="C402" s="234" t="s">
        <v>18586</v>
      </c>
      <c r="D402" s="235" t="s">
        <v>20351</v>
      </c>
      <c r="E402" s="234" t="s">
        <v>18618</v>
      </c>
      <c r="F402" s="234">
        <v>2021.0</v>
      </c>
      <c r="G402" s="234" t="s">
        <v>18725</v>
      </c>
      <c r="H402" s="234" t="s">
        <v>18725</v>
      </c>
      <c r="I402" s="234" t="s">
        <v>18725</v>
      </c>
      <c r="J402" s="234" t="s">
        <v>18636</v>
      </c>
      <c r="K402" s="236" t="s">
        <v>18725</v>
      </c>
      <c r="L402" s="236" t="s">
        <v>18725</v>
      </c>
      <c r="M402" s="236" t="s">
        <v>18725</v>
      </c>
      <c r="N402" s="234" t="s">
        <v>18654</v>
      </c>
      <c r="O402" s="237" t="s">
        <v>18683</v>
      </c>
      <c r="P402" s="238" t="s">
        <v>18725</v>
      </c>
      <c r="Q402" s="234" t="s">
        <v>18732</v>
      </c>
      <c r="R402" s="238" t="s">
        <v>20352</v>
      </c>
      <c r="S402" s="238" t="s">
        <v>18725</v>
      </c>
      <c r="T402" s="238" t="s">
        <v>18725</v>
      </c>
      <c r="U402" s="238" t="s">
        <v>18725</v>
      </c>
      <c r="V402" s="238" t="s">
        <v>18725</v>
      </c>
      <c r="W402" s="238" t="s">
        <v>18725</v>
      </c>
      <c r="X402" s="238" t="s">
        <v>18725</v>
      </c>
      <c r="Y402" s="239" t="str">
        <f>IF('CCUS Projects Database'!$R402&lt;&gt;"",HYPERLINK('CCUS Projects Database'!$R402,"Link 1"),"")</f>
        <v>Link 1</v>
      </c>
      <c r="Z402" s="239" t="str">
        <f>IF('CCUS Projects Database'!$S402&lt;&gt;"",HYPERLINK('CCUS Projects Database'!$S402,"Link 2"),"")</f>
        <v/>
      </c>
      <c r="AA402" s="239" t="str">
        <f>IF('CCUS Projects Database'!$T402&lt;&gt;"",HYPERLINK('CCUS Projects Database'!$T402,"Link 3"),"")</f>
        <v/>
      </c>
      <c r="AB402" s="239" t="str">
        <f>IF('CCUS Projects Database'!$U402&lt;&gt;"",HYPERLINK('CCUS Projects Database'!$U402,"Link 4"),"")</f>
        <v/>
      </c>
      <c r="AC402" s="239" t="str">
        <f>IF('CCUS Projects Database'!$V402&lt;&gt;"",HYPERLINK('CCUS Projects Database'!$V402,"Link 5"),"")</f>
        <v/>
      </c>
      <c r="AD402" s="239" t="str">
        <f>IF('CCUS Projects Database'!$W402&lt;&gt;"",HYPERLINK('CCUS Projects Database'!$W402,"Link 6"),"")</f>
        <v/>
      </c>
      <c r="AE402" s="239" t="str">
        <f>IF('CCUS Projects Database'!$X402&lt;&gt;"",HYPERLINK('CCUS Projects Database'!$X402,"Link 7"),"")</f>
        <v/>
      </c>
    </row>
    <row r="403" ht="14.25" customHeight="1">
      <c r="A403" s="233" t="s">
        <v>20353</v>
      </c>
      <c r="B403" s="234">
        <v>519.0</v>
      </c>
      <c r="C403" s="234" t="s">
        <v>83</v>
      </c>
      <c r="D403" s="235" t="s">
        <v>19226</v>
      </c>
      <c r="E403" s="234" t="s">
        <v>18623</v>
      </c>
      <c r="F403" s="234">
        <v>2022.0</v>
      </c>
      <c r="G403" s="234">
        <v>2027.0</v>
      </c>
      <c r="H403" s="234">
        <v>2030.0</v>
      </c>
      <c r="I403" s="234" t="s">
        <v>18725</v>
      </c>
      <c r="J403" s="234" t="s">
        <v>18636</v>
      </c>
      <c r="K403" s="236" t="s">
        <v>18725</v>
      </c>
      <c r="L403" s="236" t="s">
        <v>20303</v>
      </c>
      <c r="M403" s="236">
        <v>10.0</v>
      </c>
      <c r="N403" s="234" t="s">
        <v>18623</v>
      </c>
      <c r="O403" s="237" t="s">
        <v>18675</v>
      </c>
      <c r="P403" s="238" t="s">
        <v>20354</v>
      </c>
      <c r="Q403" s="234" t="s">
        <v>18726</v>
      </c>
      <c r="R403" s="238" t="s">
        <v>20355</v>
      </c>
      <c r="S403" s="238" t="s">
        <v>20356</v>
      </c>
      <c r="T403" s="238" t="s">
        <v>20357</v>
      </c>
      <c r="U403" s="238" t="s">
        <v>20358</v>
      </c>
      <c r="V403" s="238" t="s">
        <v>18725</v>
      </c>
      <c r="W403" s="238" t="s">
        <v>18725</v>
      </c>
      <c r="X403" s="238" t="s">
        <v>18725</v>
      </c>
      <c r="Y403" s="239" t="str">
        <f>IF('CCUS Projects Database'!$R403&lt;&gt;"",HYPERLINK('CCUS Projects Database'!$R403,"Link 1"),"")</f>
        <v>Link 1</v>
      </c>
      <c r="Z403" s="239" t="str">
        <f>IF('CCUS Projects Database'!$S403&lt;&gt;"",HYPERLINK('CCUS Projects Database'!$S403,"Link 2"),"")</f>
        <v>Link 2</v>
      </c>
      <c r="AA403" s="239" t="str">
        <f>IF('CCUS Projects Database'!$T403&lt;&gt;"",HYPERLINK('CCUS Projects Database'!$T403,"Link 3"),"")</f>
        <v>Link 3</v>
      </c>
      <c r="AB403" s="239" t="str">
        <f>IF('CCUS Projects Database'!$U403&lt;&gt;"",HYPERLINK('CCUS Projects Database'!$U403,"Link 4"),"")</f>
        <v>Link 4</v>
      </c>
      <c r="AC403" s="239" t="str">
        <f>IF('CCUS Projects Database'!$V403&lt;&gt;"",HYPERLINK('CCUS Projects Database'!$V403,"Link 5"),"")</f>
        <v/>
      </c>
      <c r="AD403" s="239" t="str">
        <f>IF('CCUS Projects Database'!$W403&lt;&gt;"",HYPERLINK('CCUS Projects Database'!$W403,"Link 6"),"")</f>
        <v/>
      </c>
      <c r="AE403" s="239" t="str">
        <f>IF('CCUS Projects Database'!$X403&lt;&gt;"",HYPERLINK('CCUS Projects Database'!$X403,"Link 7"),"")</f>
        <v/>
      </c>
    </row>
    <row r="404" ht="14.25" customHeight="1">
      <c r="A404" s="233" t="s">
        <v>20359</v>
      </c>
      <c r="B404" s="234">
        <v>520.0</v>
      </c>
      <c r="C404" s="234" t="s">
        <v>18329</v>
      </c>
      <c r="D404" s="235" t="s">
        <v>20360</v>
      </c>
      <c r="E404" s="234" t="s">
        <v>18623</v>
      </c>
      <c r="F404" s="234">
        <v>2021.0</v>
      </c>
      <c r="G404" s="234" t="s">
        <v>18725</v>
      </c>
      <c r="H404" s="234" t="s">
        <v>18725</v>
      </c>
      <c r="I404" s="234" t="s">
        <v>18725</v>
      </c>
      <c r="J404" s="234" t="s">
        <v>18636</v>
      </c>
      <c r="K404" s="236" t="s">
        <v>18725</v>
      </c>
      <c r="L404" s="236" t="s">
        <v>20361</v>
      </c>
      <c r="M404" s="236">
        <v>7.5</v>
      </c>
      <c r="N404" s="234" t="s">
        <v>18623</v>
      </c>
      <c r="O404" s="237" t="s">
        <v>18675</v>
      </c>
      <c r="P404" s="238" t="s">
        <v>20359</v>
      </c>
      <c r="Q404" s="234" t="s">
        <v>18762</v>
      </c>
      <c r="R404" s="238" t="s">
        <v>20362</v>
      </c>
      <c r="S404" s="238" t="s">
        <v>20363</v>
      </c>
      <c r="T404" s="238" t="s">
        <v>20364</v>
      </c>
      <c r="U404" s="238" t="s">
        <v>20365</v>
      </c>
      <c r="V404" s="238" t="s">
        <v>18725</v>
      </c>
      <c r="W404" s="238" t="s">
        <v>18725</v>
      </c>
      <c r="X404" s="238" t="s">
        <v>18725</v>
      </c>
      <c r="Y404" s="239" t="str">
        <f>IF('CCUS Projects Database'!$R404&lt;&gt;"",HYPERLINK('CCUS Projects Database'!$R404,"Link 1"),"")</f>
        <v>Link 1</v>
      </c>
      <c r="Z404" s="239" t="str">
        <f>IF('CCUS Projects Database'!$S404&lt;&gt;"",HYPERLINK('CCUS Projects Database'!$S404,"Link 2"),"")</f>
        <v>Link 2</v>
      </c>
      <c r="AA404" s="239" t="str">
        <f>IF('CCUS Projects Database'!$T404&lt;&gt;"",HYPERLINK('CCUS Projects Database'!$T404,"Link 3"),"")</f>
        <v>Link 3</v>
      </c>
      <c r="AB404" s="239" t="str">
        <f>IF('CCUS Projects Database'!$U404&lt;&gt;"",HYPERLINK('CCUS Projects Database'!$U404,"Link 4"),"")</f>
        <v>Link 4</v>
      </c>
      <c r="AC404" s="239" t="str">
        <f>IF('CCUS Projects Database'!$V404&lt;&gt;"",HYPERLINK('CCUS Projects Database'!$V404,"Link 5"),"")</f>
        <v/>
      </c>
      <c r="AD404" s="239" t="str">
        <f>IF('CCUS Projects Database'!$W404&lt;&gt;"",HYPERLINK('CCUS Projects Database'!$W404,"Link 6"),"")</f>
        <v/>
      </c>
      <c r="AE404" s="239" t="str">
        <f>IF('CCUS Projects Database'!$X404&lt;&gt;"",HYPERLINK('CCUS Projects Database'!$X404,"Link 7"),"")</f>
        <v/>
      </c>
    </row>
    <row r="405" ht="14.25" customHeight="1">
      <c r="A405" s="233" t="s">
        <v>9461</v>
      </c>
      <c r="B405" s="234">
        <v>521.0</v>
      </c>
      <c r="C405" s="234" t="s">
        <v>18586</v>
      </c>
      <c r="D405" s="235" t="s">
        <v>20366</v>
      </c>
      <c r="E405" s="234" t="s">
        <v>18618</v>
      </c>
      <c r="F405" s="234">
        <v>2021.0</v>
      </c>
      <c r="G405" s="234">
        <v>2022.0</v>
      </c>
      <c r="H405" s="234">
        <v>2025.0</v>
      </c>
      <c r="I405" s="234" t="s">
        <v>18725</v>
      </c>
      <c r="J405" s="234" t="s">
        <v>18638</v>
      </c>
      <c r="K405" s="236">
        <v>1.0</v>
      </c>
      <c r="L405" s="236">
        <v>0.45</v>
      </c>
      <c r="M405" s="236">
        <v>0.45</v>
      </c>
      <c r="N405" s="234" t="s">
        <v>677</v>
      </c>
      <c r="O405" s="237" t="s">
        <v>18675</v>
      </c>
      <c r="P405" s="238" t="s">
        <v>19390</v>
      </c>
      <c r="Q405" s="234" t="s">
        <v>18732</v>
      </c>
      <c r="R405" s="238" t="s">
        <v>17253</v>
      </c>
      <c r="S405" s="238" t="s">
        <v>18725</v>
      </c>
      <c r="T405" s="238" t="s">
        <v>18725</v>
      </c>
      <c r="U405" s="238" t="s">
        <v>18725</v>
      </c>
      <c r="V405" s="238" t="s">
        <v>18725</v>
      </c>
      <c r="W405" s="238" t="s">
        <v>18725</v>
      </c>
      <c r="X405" s="238" t="s">
        <v>18725</v>
      </c>
      <c r="Y405" s="239" t="str">
        <f>IF('CCUS Projects Database'!$R405&lt;&gt;"",HYPERLINK('CCUS Projects Database'!$R405,"Link 1"),"")</f>
        <v>Link 1</v>
      </c>
      <c r="Z405" s="239" t="str">
        <f>IF('CCUS Projects Database'!$S405&lt;&gt;"",HYPERLINK('CCUS Projects Database'!$S405,"Link 2"),"")</f>
        <v/>
      </c>
      <c r="AA405" s="239" t="str">
        <f>IF('CCUS Projects Database'!$T405&lt;&gt;"",HYPERLINK('CCUS Projects Database'!$T405,"Link 3"),"")</f>
        <v/>
      </c>
      <c r="AB405" s="239" t="str">
        <f>IF('CCUS Projects Database'!$U405&lt;&gt;"",HYPERLINK('CCUS Projects Database'!$U405,"Link 4"),"")</f>
        <v/>
      </c>
      <c r="AC405" s="239" t="str">
        <f>IF('CCUS Projects Database'!$V405&lt;&gt;"",HYPERLINK('CCUS Projects Database'!$V405,"Link 5"),"")</f>
        <v/>
      </c>
      <c r="AD405" s="239" t="str">
        <f>IF('CCUS Projects Database'!$W405&lt;&gt;"",HYPERLINK('CCUS Projects Database'!$W405,"Link 6"),"")</f>
        <v/>
      </c>
      <c r="AE405" s="239" t="str">
        <f>IF('CCUS Projects Database'!$X405&lt;&gt;"",HYPERLINK('CCUS Projects Database'!$X405,"Link 7"),"")</f>
        <v/>
      </c>
    </row>
    <row r="406" ht="14.25" customHeight="1">
      <c r="A406" s="233" t="s">
        <v>9462</v>
      </c>
      <c r="B406" s="234">
        <v>522.0</v>
      </c>
      <c r="C406" s="234" t="s">
        <v>18586</v>
      </c>
      <c r="D406" s="235" t="s">
        <v>20366</v>
      </c>
      <c r="E406" s="234" t="s">
        <v>18618</v>
      </c>
      <c r="F406" s="234">
        <v>2021.0</v>
      </c>
      <c r="G406" s="234" t="s">
        <v>18725</v>
      </c>
      <c r="H406" s="234" t="s">
        <v>18725</v>
      </c>
      <c r="I406" s="234" t="s">
        <v>18725</v>
      </c>
      <c r="J406" s="234" t="s">
        <v>18636</v>
      </c>
      <c r="K406" s="236">
        <v>2.0</v>
      </c>
      <c r="L406" s="236">
        <v>0.25</v>
      </c>
      <c r="M406" s="236">
        <v>0.25</v>
      </c>
      <c r="N406" s="234" t="s">
        <v>677</v>
      </c>
      <c r="O406" s="237" t="s">
        <v>18675</v>
      </c>
      <c r="P406" s="238" t="s">
        <v>19390</v>
      </c>
      <c r="Q406" s="234" t="s">
        <v>18732</v>
      </c>
      <c r="R406" s="238" t="s">
        <v>17253</v>
      </c>
      <c r="S406" s="238" t="s">
        <v>18725</v>
      </c>
      <c r="T406" s="238" t="s">
        <v>18725</v>
      </c>
      <c r="U406" s="238" t="s">
        <v>18725</v>
      </c>
      <c r="V406" s="238" t="s">
        <v>18725</v>
      </c>
      <c r="W406" s="238" t="s">
        <v>18725</v>
      </c>
      <c r="X406" s="238" t="s">
        <v>18725</v>
      </c>
      <c r="Y406" s="239" t="str">
        <f>IF('CCUS Projects Database'!$R406&lt;&gt;"",HYPERLINK('CCUS Projects Database'!$R406,"Link 1"),"")</f>
        <v>Link 1</v>
      </c>
      <c r="Z406" s="239" t="str">
        <f>IF('CCUS Projects Database'!$S406&lt;&gt;"",HYPERLINK('CCUS Projects Database'!$S406,"Link 2"),"")</f>
        <v/>
      </c>
      <c r="AA406" s="239" t="str">
        <f>IF('CCUS Projects Database'!$T406&lt;&gt;"",HYPERLINK('CCUS Projects Database'!$T406,"Link 3"),"")</f>
        <v/>
      </c>
      <c r="AB406" s="239" t="str">
        <f>IF('CCUS Projects Database'!$U406&lt;&gt;"",HYPERLINK('CCUS Projects Database'!$U406,"Link 4"),"")</f>
        <v/>
      </c>
      <c r="AC406" s="239" t="str">
        <f>IF('CCUS Projects Database'!$V406&lt;&gt;"",HYPERLINK('CCUS Projects Database'!$V406,"Link 5"),"")</f>
        <v/>
      </c>
      <c r="AD406" s="239" t="str">
        <f>IF('CCUS Projects Database'!$W406&lt;&gt;"",HYPERLINK('CCUS Projects Database'!$W406,"Link 6"),"")</f>
        <v/>
      </c>
      <c r="AE406" s="239" t="str">
        <f>IF('CCUS Projects Database'!$X406&lt;&gt;"",HYPERLINK('CCUS Projects Database'!$X406,"Link 7"),"")</f>
        <v/>
      </c>
    </row>
    <row r="407" ht="14.25" customHeight="1">
      <c r="A407" s="233" t="s">
        <v>20367</v>
      </c>
      <c r="B407" s="234">
        <v>523.0</v>
      </c>
      <c r="C407" s="234" t="s">
        <v>18329</v>
      </c>
      <c r="D407" s="235" t="s">
        <v>20368</v>
      </c>
      <c r="E407" s="234" t="s">
        <v>3</v>
      </c>
      <c r="F407" s="234">
        <v>2022.0</v>
      </c>
      <c r="G407" s="234">
        <v>2025.0</v>
      </c>
      <c r="H407" s="234">
        <v>2028.0</v>
      </c>
      <c r="I407" s="234" t="s">
        <v>18725</v>
      </c>
      <c r="J407" s="234" t="s">
        <v>18636</v>
      </c>
      <c r="K407" s="236" t="s">
        <v>18725</v>
      </c>
      <c r="L407" s="236">
        <v>5.0</v>
      </c>
      <c r="M407" s="236">
        <v>5.0</v>
      </c>
      <c r="N407" s="234" t="s">
        <v>3</v>
      </c>
      <c r="O407" s="237" t="s">
        <v>18675</v>
      </c>
      <c r="P407" s="238" t="s">
        <v>20369</v>
      </c>
      <c r="Q407" s="234" t="s">
        <v>18762</v>
      </c>
      <c r="R407" s="238" t="s">
        <v>20370</v>
      </c>
      <c r="S407" s="238" t="s">
        <v>20371</v>
      </c>
      <c r="T407" s="238" t="s">
        <v>18725</v>
      </c>
      <c r="U407" s="238" t="s">
        <v>18725</v>
      </c>
      <c r="V407" s="238" t="s">
        <v>18725</v>
      </c>
      <c r="W407" s="238" t="s">
        <v>18725</v>
      </c>
      <c r="X407" s="238" t="s">
        <v>18725</v>
      </c>
      <c r="Y407" s="239" t="str">
        <f>IF('CCUS Projects Database'!$R407&lt;&gt;"",HYPERLINK('CCUS Projects Database'!$R407,"Link 1"),"")</f>
        <v>Link 1</v>
      </c>
      <c r="Z407" s="239" t="str">
        <f>IF('CCUS Projects Database'!$S407&lt;&gt;"",HYPERLINK('CCUS Projects Database'!$S407,"Link 2"),"")</f>
        <v>Link 2</v>
      </c>
      <c r="AA407" s="239" t="str">
        <f>IF('CCUS Projects Database'!$T407&lt;&gt;"",HYPERLINK('CCUS Projects Database'!$T407,"Link 3"),"")</f>
        <v/>
      </c>
      <c r="AB407" s="239" t="str">
        <f>IF('CCUS Projects Database'!$U407&lt;&gt;"",HYPERLINK('CCUS Projects Database'!$U407,"Link 4"),"")</f>
        <v/>
      </c>
      <c r="AC407" s="239" t="str">
        <f>IF('CCUS Projects Database'!$V407&lt;&gt;"",HYPERLINK('CCUS Projects Database'!$V407,"Link 5"),"")</f>
        <v/>
      </c>
      <c r="AD407" s="239" t="str">
        <f>IF('CCUS Projects Database'!$W407&lt;&gt;"",HYPERLINK('CCUS Projects Database'!$W407,"Link 6"),"")</f>
        <v/>
      </c>
      <c r="AE407" s="239" t="str">
        <f>IF('CCUS Projects Database'!$X407&lt;&gt;"",HYPERLINK('CCUS Projects Database'!$X407,"Link 7"),"")</f>
        <v/>
      </c>
    </row>
    <row r="408" ht="14.25" customHeight="1">
      <c r="A408" s="233" t="s">
        <v>20372</v>
      </c>
      <c r="B408" s="234">
        <v>524.0</v>
      </c>
      <c r="C408" s="234" t="s">
        <v>18329</v>
      </c>
      <c r="D408" s="235" t="s">
        <v>20373</v>
      </c>
      <c r="E408" s="234" t="s">
        <v>3</v>
      </c>
      <c r="F408" s="234">
        <v>2022.0</v>
      </c>
      <c r="G408" s="234" t="s">
        <v>18725</v>
      </c>
      <c r="H408" s="234" t="s">
        <v>18725</v>
      </c>
      <c r="I408" s="234" t="s">
        <v>18725</v>
      </c>
      <c r="J408" s="234" t="s">
        <v>18636</v>
      </c>
      <c r="K408" s="236" t="s">
        <v>18725</v>
      </c>
      <c r="L408" s="236" t="s">
        <v>18725</v>
      </c>
      <c r="M408" s="236" t="s">
        <v>18725</v>
      </c>
      <c r="N408" s="234" t="s">
        <v>3</v>
      </c>
      <c r="O408" s="237" t="s">
        <v>18675</v>
      </c>
      <c r="P408" s="238" t="s">
        <v>20372</v>
      </c>
      <c r="Q408" s="234" t="s">
        <v>18762</v>
      </c>
      <c r="R408" s="238" t="s">
        <v>20370</v>
      </c>
      <c r="S408" s="238" t="s">
        <v>20374</v>
      </c>
      <c r="T408" s="238" t="s">
        <v>18725</v>
      </c>
      <c r="U408" s="238" t="s">
        <v>18725</v>
      </c>
      <c r="V408" s="238" t="s">
        <v>18725</v>
      </c>
      <c r="W408" s="238" t="s">
        <v>18725</v>
      </c>
      <c r="X408" s="238" t="s">
        <v>18725</v>
      </c>
      <c r="Y408" s="239" t="str">
        <f>IF('CCUS Projects Database'!$R408&lt;&gt;"",HYPERLINK('CCUS Projects Database'!$R408,"Link 1"),"")</f>
        <v>Link 1</v>
      </c>
      <c r="Z408" s="239" t="str">
        <f>IF('CCUS Projects Database'!$S408&lt;&gt;"",HYPERLINK('CCUS Projects Database'!$S408,"Link 2"),"")</f>
        <v>Link 2</v>
      </c>
      <c r="AA408" s="239" t="str">
        <f>IF('CCUS Projects Database'!$T408&lt;&gt;"",HYPERLINK('CCUS Projects Database'!$T408,"Link 3"),"")</f>
        <v/>
      </c>
      <c r="AB408" s="239" t="str">
        <f>IF('CCUS Projects Database'!$U408&lt;&gt;"",HYPERLINK('CCUS Projects Database'!$U408,"Link 4"),"")</f>
        <v/>
      </c>
      <c r="AC408" s="239" t="str">
        <f>IF('CCUS Projects Database'!$V408&lt;&gt;"",HYPERLINK('CCUS Projects Database'!$V408,"Link 5"),"")</f>
        <v/>
      </c>
      <c r="AD408" s="239" t="str">
        <f>IF('CCUS Projects Database'!$W408&lt;&gt;"",HYPERLINK('CCUS Projects Database'!$W408,"Link 6"),"")</f>
        <v/>
      </c>
      <c r="AE408" s="239" t="str">
        <f>IF('CCUS Projects Database'!$X408&lt;&gt;"",HYPERLINK('CCUS Projects Database'!$X408,"Link 7"),"")</f>
        <v/>
      </c>
    </row>
    <row r="409" ht="14.25" customHeight="1">
      <c r="A409" s="233" t="s">
        <v>20375</v>
      </c>
      <c r="B409" s="234">
        <v>525.0</v>
      </c>
      <c r="C409" s="234" t="s">
        <v>18586</v>
      </c>
      <c r="D409" s="235" t="s">
        <v>20376</v>
      </c>
      <c r="E409" s="234" t="s">
        <v>18618</v>
      </c>
      <c r="F409" s="234">
        <v>2022.0</v>
      </c>
      <c r="G409" s="234" t="s">
        <v>18725</v>
      </c>
      <c r="H409" s="234">
        <v>2030.0</v>
      </c>
      <c r="I409" s="234" t="s">
        <v>18725</v>
      </c>
      <c r="J409" s="234" t="s">
        <v>18636</v>
      </c>
      <c r="K409" s="236" t="s">
        <v>18725</v>
      </c>
      <c r="L409" s="236">
        <v>2.0</v>
      </c>
      <c r="M409" s="236">
        <v>2.0</v>
      </c>
      <c r="N409" s="234" t="s">
        <v>18663</v>
      </c>
      <c r="O409" s="237" t="s">
        <v>18675</v>
      </c>
      <c r="P409" s="238" t="s">
        <v>20377</v>
      </c>
      <c r="Q409" s="234" t="s">
        <v>18732</v>
      </c>
      <c r="R409" s="238" t="s">
        <v>20378</v>
      </c>
      <c r="S409" s="238" t="s">
        <v>20379</v>
      </c>
      <c r="T409" s="238" t="s">
        <v>20380</v>
      </c>
      <c r="U409" s="238" t="s">
        <v>20381</v>
      </c>
      <c r="V409" s="238" t="s">
        <v>20382</v>
      </c>
      <c r="W409" s="238" t="s">
        <v>18725</v>
      </c>
      <c r="X409" s="238" t="s">
        <v>18725</v>
      </c>
      <c r="Y409" s="239" t="str">
        <f>IF('CCUS Projects Database'!$R409&lt;&gt;"",HYPERLINK('CCUS Projects Database'!$R409,"Link 1"),"")</f>
        <v>Link 1</v>
      </c>
      <c r="Z409" s="239" t="str">
        <f>IF('CCUS Projects Database'!$S409&lt;&gt;"",HYPERLINK('CCUS Projects Database'!$S409,"Link 2"),"")</f>
        <v>Link 2</v>
      </c>
      <c r="AA409" s="239" t="str">
        <f>IF('CCUS Projects Database'!$T409&lt;&gt;"",HYPERLINK('CCUS Projects Database'!$T409,"Link 3"),"")</f>
        <v>Link 3</v>
      </c>
      <c r="AB409" s="239" t="str">
        <f>IF('CCUS Projects Database'!$U409&lt;&gt;"",HYPERLINK('CCUS Projects Database'!$U409,"Link 4"),"")</f>
        <v>Link 4</v>
      </c>
      <c r="AC409" s="239" t="str">
        <f>IF('CCUS Projects Database'!$V409&lt;&gt;"",HYPERLINK('CCUS Projects Database'!$V409,"Link 5"),"")</f>
        <v>Link 5</v>
      </c>
      <c r="AD409" s="239" t="str">
        <f>IF('CCUS Projects Database'!$W409&lt;&gt;"",HYPERLINK('CCUS Projects Database'!$W409,"Link 6"),"")</f>
        <v/>
      </c>
      <c r="AE409" s="239" t="str">
        <f>IF('CCUS Projects Database'!$X409&lt;&gt;"",HYPERLINK('CCUS Projects Database'!$X409,"Link 7"),"")</f>
        <v/>
      </c>
    </row>
    <row r="410" ht="14.25" customHeight="1">
      <c r="A410" s="233" t="s">
        <v>20383</v>
      </c>
      <c r="B410" s="234">
        <v>526.0</v>
      </c>
      <c r="C410" s="234" t="s">
        <v>98</v>
      </c>
      <c r="D410" s="235" t="s">
        <v>20384</v>
      </c>
      <c r="E410" s="234" t="s">
        <v>3</v>
      </c>
      <c r="F410" s="234">
        <v>2021.0</v>
      </c>
      <c r="G410" s="234">
        <v>2025.0</v>
      </c>
      <c r="H410" s="234">
        <v>2026.0</v>
      </c>
      <c r="I410" s="234">
        <v>2023.0</v>
      </c>
      <c r="J410" s="234" t="s">
        <v>18192</v>
      </c>
      <c r="K410" s="236" t="s">
        <v>18725</v>
      </c>
      <c r="L410" s="236" t="s">
        <v>19843</v>
      </c>
      <c r="M410" s="236">
        <v>8.0</v>
      </c>
      <c r="N410" s="234" t="s">
        <v>3</v>
      </c>
      <c r="O410" s="237" t="s">
        <v>18675</v>
      </c>
      <c r="P410" s="238" t="s">
        <v>20385</v>
      </c>
      <c r="Q410" s="234" t="s">
        <v>18726</v>
      </c>
      <c r="R410" s="238" t="s">
        <v>20386</v>
      </c>
      <c r="S410" s="238" t="s">
        <v>20387</v>
      </c>
      <c r="T410" s="238" t="s">
        <v>19847</v>
      </c>
      <c r="U410" s="238" t="s">
        <v>18725</v>
      </c>
      <c r="V410" s="238" t="s">
        <v>18725</v>
      </c>
      <c r="W410" s="238" t="s">
        <v>18725</v>
      </c>
      <c r="X410" s="238" t="s">
        <v>18725</v>
      </c>
      <c r="Y410" s="239" t="str">
        <f>IF('CCUS Projects Database'!$R410&lt;&gt;"",HYPERLINK('CCUS Projects Database'!$R410,"Link 1"),"")</f>
        <v>Link 1</v>
      </c>
      <c r="Z410" s="239" t="str">
        <f>IF('CCUS Projects Database'!$S410&lt;&gt;"",HYPERLINK('CCUS Projects Database'!$S410,"Link 2"),"")</f>
        <v>Link 2</v>
      </c>
      <c r="AA410" s="239" t="str">
        <f>IF('CCUS Projects Database'!$T410&lt;&gt;"",HYPERLINK('CCUS Projects Database'!$T410,"Link 3"),"")</f>
        <v>Link 3</v>
      </c>
      <c r="AB410" s="239" t="str">
        <f>IF('CCUS Projects Database'!$U410&lt;&gt;"",HYPERLINK('CCUS Projects Database'!$U410,"Link 4"),"")</f>
        <v/>
      </c>
      <c r="AC410" s="239" t="str">
        <f>IF('CCUS Projects Database'!$V410&lt;&gt;"",HYPERLINK('CCUS Projects Database'!$V410,"Link 5"),"")</f>
        <v/>
      </c>
      <c r="AD410" s="239" t="str">
        <f>IF('CCUS Projects Database'!$W410&lt;&gt;"",HYPERLINK('CCUS Projects Database'!$W410,"Link 6"),"")</f>
        <v/>
      </c>
      <c r="AE410" s="239" t="str">
        <f>IF('CCUS Projects Database'!$X410&lt;&gt;"",HYPERLINK('CCUS Projects Database'!$X410,"Link 7"),"")</f>
        <v/>
      </c>
    </row>
    <row r="411" ht="14.25" customHeight="1">
      <c r="A411" s="233" t="s">
        <v>20388</v>
      </c>
      <c r="B411" s="234">
        <v>527.0</v>
      </c>
      <c r="C411" s="234" t="s">
        <v>164</v>
      </c>
      <c r="D411" s="235" t="s">
        <v>20160</v>
      </c>
      <c r="E411" s="234" t="s">
        <v>18620</v>
      </c>
      <c r="F411" s="234">
        <v>2022.0</v>
      </c>
      <c r="G411" s="234" t="s">
        <v>18725</v>
      </c>
      <c r="H411" s="234">
        <v>2028.0</v>
      </c>
      <c r="I411" s="234" t="s">
        <v>18725</v>
      </c>
      <c r="J411" s="234" t="s">
        <v>18636</v>
      </c>
      <c r="K411" s="236">
        <v>1.0</v>
      </c>
      <c r="L411" s="236">
        <v>10.0</v>
      </c>
      <c r="M411" s="236">
        <v>10.0</v>
      </c>
      <c r="N411" s="234" t="s">
        <v>18620</v>
      </c>
      <c r="O411" s="237" t="s">
        <v>18675</v>
      </c>
      <c r="P411" s="238" t="s">
        <v>20389</v>
      </c>
      <c r="Q411" s="234" t="s">
        <v>18726</v>
      </c>
      <c r="R411" s="238" t="s">
        <v>20390</v>
      </c>
      <c r="S411" s="238" t="s">
        <v>18725</v>
      </c>
      <c r="T411" s="238" t="s">
        <v>18725</v>
      </c>
      <c r="U411" s="238" t="s">
        <v>18725</v>
      </c>
      <c r="V411" s="238" t="s">
        <v>18725</v>
      </c>
      <c r="W411" s="238" t="s">
        <v>18725</v>
      </c>
      <c r="X411" s="238" t="s">
        <v>18725</v>
      </c>
      <c r="Y411" s="239" t="str">
        <f>IF('CCUS Projects Database'!$R411&lt;&gt;"",HYPERLINK('CCUS Projects Database'!$R411,"Link 1"),"")</f>
        <v>Link 1</v>
      </c>
      <c r="Z411" s="239" t="str">
        <f>IF('CCUS Projects Database'!$S411&lt;&gt;"",HYPERLINK('CCUS Projects Database'!$S411,"Link 2"),"")</f>
        <v/>
      </c>
      <c r="AA411" s="239" t="str">
        <f>IF('CCUS Projects Database'!$T411&lt;&gt;"",HYPERLINK('CCUS Projects Database'!$T411,"Link 3"),"")</f>
        <v/>
      </c>
      <c r="AB411" s="239" t="str">
        <f>IF('CCUS Projects Database'!$U411&lt;&gt;"",HYPERLINK('CCUS Projects Database'!$U411,"Link 4"),"")</f>
        <v/>
      </c>
      <c r="AC411" s="239" t="str">
        <f>IF('CCUS Projects Database'!$V411&lt;&gt;"",HYPERLINK('CCUS Projects Database'!$V411,"Link 5"),"")</f>
        <v/>
      </c>
      <c r="AD411" s="239" t="str">
        <f>IF('CCUS Projects Database'!$W411&lt;&gt;"",HYPERLINK('CCUS Projects Database'!$W411,"Link 6"),"")</f>
        <v/>
      </c>
      <c r="AE411" s="239" t="str">
        <f>IF('CCUS Projects Database'!$X411&lt;&gt;"",HYPERLINK('CCUS Projects Database'!$X411,"Link 7"),"")</f>
        <v/>
      </c>
    </row>
    <row r="412" ht="14.25" customHeight="1">
      <c r="A412" s="233" t="s">
        <v>20391</v>
      </c>
      <c r="B412" s="234">
        <v>528.0</v>
      </c>
      <c r="C412" s="234" t="s">
        <v>20392</v>
      </c>
      <c r="D412" s="235" t="s">
        <v>20393</v>
      </c>
      <c r="E412" s="234" t="s">
        <v>18620</v>
      </c>
      <c r="F412" s="234">
        <v>2022.0</v>
      </c>
      <c r="G412" s="234" t="s">
        <v>18725</v>
      </c>
      <c r="H412" s="234">
        <v>2035.0</v>
      </c>
      <c r="I412" s="234" t="s">
        <v>18725</v>
      </c>
      <c r="J412" s="234" t="s">
        <v>18636</v>
      </c>
      <c r="K412" s="236">
        <v>1.0</v>
      </c>
      <c r="L412" s="236">
        <v>20.0</v>
      </c>
      <c r="M412" s="236">
        <v>20.0</v>
      </c>
      <c r="N412" s="234" t="s">
        <v>18620</v>
      </c>
      <c r="O412" s="237" t="s">
        <v>18675</v>
      </c>
      <c r="P412" s="238" t="s">
        <v>20394</v>
      </c>
      <c r="Q412" s="234" t="s">
        <v>18726</v>
      </c>
      <c r="R412" s="238" t="s">
        <v>20395</v>
      </c>
      <c r="S412" s="238" t="s">
        <v>18725</v>
      </c>
      <c r="T412" s="238" t="s">
        <v>18725</v>
      </c>
      <c r="U412" s="238" t="s">
        <v>18725</v>
      </c>
      <c r="V412" s="238" t="s">
        <v>18725</v>
      </c>
      <c r="W412" s="238" t="s">
        <v>18725</v>
      </c>
      <c r="X412" s="238" t="s">
        <v>18725</v>
      </c>
      <c r="Y412" s="239" t="str">
        <f>IF('CCUS Projects Database'!$R412&lt;&gt;"",HYPERLINK('CCUS Projects Database'!$R412,"Link 1"),"")</f>
        <v>Link 1</v>
      </c>
      <c r="Z412" s="239" t="str">
        <f>IF('CCUS Projects Database'!$S412&lt;&gt;"",HYPERLINK('CCUS Projects Database'!$S412,"Link 2"),"")</f>
        <v/>
      </c>
      <c r="AA412" s="239" t="str">
        <f>IF('CCUS Projects Database'!$T412&lt;&gt;"",HYPERLINK('CCUS Projects Database'!$T412,"Link 3"),"")</f>
        <v/>
      </c>
      <c r="AB412" s="239" t="str">
        <f>IF('CCUS Projects Database'!$U412&lt;&gt;"",HYPERLINK('CCUS Projects Database'!$U412,"Link 4"),"")</f>
        <v/>
      </c>
      <c r="AC412" s="239" t="str">
        <f>IF('CCUS Projects Database'!$V412&lt;&gt;"",HYPERLINK('CCUS Projects Database'!$V412,"Link 5"),"")</f>
        <v/>
      </c>
      <c r="AD412" s="239" t="str">
        <f>IF('CCUS Projects Database'!$W412&lt;&gt;"",HYPERLINK('CCUS Projects Database'!$W412,"Link 6"),"")</f>
        <v/>
      </c>
      <c r="AE412" s="239" t="str">
        <f>IF('CCUS Projects Database'!$X412&lt;&gt;"",HYPERLINK('CCUS Projects Database'!$X412,"Link 7"),"")</f>
        <v/>
      </c>
    </row>
    <row r="413" ht="14.25" customHeight="1">
      <c r="A413" s="233" t="s">
        <v>20396</v>
      </c>
      <c r="B413" s="234">
        <v>529.0</v>
      </c>
      <c r="C413" s="234" t="s">
        <v>20392</v>
      </c>
      <c r="D413" s="235" t="s">
        <v>20397</v>
      </c>
      <c r="E413" s="234" t="s">
        <v>18620</v>
      </c>
      <c r="F413" s="234">
        <v>2022.0</v>
      </c>
      <c r="G413" s="234" t="s">
        <v>18725</v>
      </c>
      <c r="H413" s="234">
        <v>2037.0</v>
      </c>
      <c r="I413" s="234" t="s">
        <v>18725</v>
      </c>
      <c r="J413" s="234" t="s">
        <v>18192</v>
      </c>
      <c r="K413" s="236">
        <v>2.0</v>
      </c>
      <c r="L413" s="236">
        <v>20.0</v>
      </c>
      <c r="M413" s="236">
        <v>20.0</v>
      </c>
      <c r="N413" s="234" t="s">
        <v>18620</v>
      </c>
      <c r="O413" s="237" t="s">
        <v>18675</v>
      </c>
      <c r="P413" s="238" t="s">
        <v>20398</v>
      </c>
      <c r="Q413" s="234" t="s">
        <v>18726</v>
      </c>
      <c r="R413" s="238" t="s">
        <v>20395</v>
      </c>
      <c r="S413" s="238" t="s">
        <v>18725</v>
      </c>
      <c r="T413" s="238" t="s">
        <v>18725</v>
      </c>
      <c r="U413" s="238" t="s">
        <v>18725</v>
      </c>
      <c r="V413" s="238" t="s">
        <v>18725</v>
      </c>
      <c r="W413" s="238" t="s">
        <v>18725</v>
      </c>
      <c r="X413" s="238" t="s">
        <v>18725</v>
      </c>
      <c r="Y413" s="239" t="str">
        <f>IF('CCUS Projects Database'!$R413&lt;&gt;"",HYPERLINK('CCUS Projects Database'!$R413,"Link 1"),"")</f>
        <v>Link 1</v>
      </c>
      <c r="Z413" s="239" t="str">
        <f>IF('CCUS Projects Database'!$S413&lt;&gt;"",HYPERLINK('CCUS Projects Database'!$S413,"Link 2"),"")</f>
        <v/>
      </c>
      <c r="AA413" s="239" t="str">
        <f>IF('CCUS Projects Database'!$T413&lt;&gt;"",HYPERLINK('CCUS Projects Database'!$T413,"Link 3"),"")</f>
        <v/>
      </c>
      <c r="AB413" s="239" t="str">
        <f>IF('CCUS Projects Database'!$U413&lt;&gt;"",HYPERLINK('CCUS Projects Database'!$U413,"Link 4"),"")</f>
        <v/>
      </c>
      <c r="AC413" s="239" t="str">
        <f>IF('CCUS Projects Database'!$V413&lt;&gt;"",HYPERLINK('CCUS Projects Database'!$V413,"Link 5"),"")</f>
        <v/>
      </c>
      <c r="AD413" s="239" t="str">
        <f>IF('CCUS Projects Database'!$W413&lt;&gt;"",HYPERLINK('CCUS Projects Database'!$W413,"Link 6"),"")</f>
        <v/>
      </c>
      <c r="AE413" s="239" t="str">
        <f>IF('CCUS Projects Database'!$X413&lt;&gt;"",HYPERLINK('CCUS Projects Database'!$X413,"Link 7"),"")</f>
        <v/>
      </c>
    </row>
    <row r="414" ht="14.25" customHeight="1">
      <c r="A414" s="233" t="s">
        <v>20399</v>
      </c>
      <c r="B414" s="234">
        <v>530.0</v>
      </c>
      <c r="C414" s="234" t="s">
        <v>98</v>
      </c>
      <c r="D414" s="235" t="s">
        <v>20400</v>
      </c>
      <c r="E414" s="234" t="s">
        <v>3</v>
      </c>
      <c r="F414" s="234">
        <v>2022.0</v>
      </c>
      <c r="G414" s="234">
        <v>2025.0</v>
      </c>
      <c r="H414" s="234">
        <v>2030.0</v>
      </c>
      <c r="I414" s="234" t="s">
        <v>18725</v>
      </c>
      <c r="J414" s="234" t="s">
        <v>18636</v>
      </c>
      <c r="K414" s="236" t="s">
        <v>18725</v>
      </c>
      <c r="L414" s="236">
        <v>5.0</v>
      </c>
      <c r="M414" s="236">
        <v>5.0</v>
      </c>
      <c r="N414" s="234" t="s">
        <v>3</v>
      </c>
      <c r="O414" s="237" t="s">
        <v>18675</v>
      </c>
      <c r="P414" s="238" t="s">
        <v>20401</v>
      </c>
      <c r="Q414" s="234" t="s">
        <v>18726</v>
      </c>
      <c r="R414" s="238" t="s">
        <v>20402</v>
      </c>
      <c r="S414" s="238" t="s">
        <v>20403</v>
      </c>
      <c r="T414" s="238" t="s">
        <v>20404</v>
      </c>
      <c r="U414" s="238" t="s">
        <v>18725</v>
      </c>
      <c r="V414" s="238" t="s">
        <v>18725</v>
      </c>
      <c r="W414" s="238" t="s">
        <v>18725</v>
      </c>
      <c r="X414" s="238" t="s">
        <v>18725</v>
      </c>
      <c r="Y414" s="239" t="str">
        <f>IF('CCUS Projects Database'!$R414&lt;&gt;"",HYPERLINK('CCUS Projects Database'!$R414,"Link 1"),"")</f>
        <v>Link 1</v>
      </c>
      <c r="Z414" s="239" t="str">
        <f>IF('CCUS Projects Database'!$S414&lt;&gt;"",HYPERLINK('CCUS Projects Database'!$S414,"Link 2"),"")</f>
        <v>Link 2</v>
      </c>
      <c r="AA414" s="239" t="str">
        <f>IF('CCUS Projects Database'!$T414&lt;&gt;"",HYPERLINK('CCUS Projects Database'!$T414,"Link 3"),"")</f>
        <v>Link 3</v>
      </c>
      <c r="AB414" s="239" t="str">
        <f>IF('CCUS Projects Database'!$U414&lt;&gt;"",HYPERLINK('CCUS Projects Database'!$U414,"Link 4"),"")</f>
        <v/>
      </c>
      <c r="AC414" s="239" t="str">
        <f>IF('CCUS Projects Database'!$V414&lt;&gt;"",HYPERLINK('CCUS Projects Database'!$V414,"Link 5"),"")</f>
        <v/>
      </c>
      <c r="AD414" s="239" t="str">
        <f>IF('CCUS Projects Database'!$W414&lt;&gt;"",HYPERLINK('CCUS Projects Database'!$W414,"Link 6"),"")</f>
        <v/>
      </c>
      <c r="AE414" s="239" t="str">
        <f>IF('CCUS Projects Database'!$X414&lt;&gt;"",HYPERLINK('CCUS Projects Database'!$X414,"Link 7"),"")</f>
        <v/>
      </c>
    </row>
    <row r="415" ht="14.25" customHeight="1">
      <c r="A415" s="233" t="s">
        <v>20405</v>
      </c>
      <c r="B415" s="234">
        <v>531.0</v>
      </c>
      <c r="C415" s="234" t="s">
        <v>18329</v>
      </c>
      <c r="D415" s="235" t="s">
        <v>20406</v>
      </c>
      <c r="E415" s="234" t="s">
        <v>3</v>
      </c>
      <c r="F415" s="234">
        <v>2022.0</v>
      </c>
      <c r="G415" s="234" t="s">
        <v>18725</v>
      </c>
      <c r="H415" s="234">
        <v>2030.0</v>
      </c>
      <c r="I415" s="234" t="s">
        <v>18725</v>
      </c>
      <c r="J415" s="234" t="s">
        <v>18636</v>
      </c>
      <c r="K415" s="236" t="s">
        <v>18725</v>
      </c>
      <c r="L415" s="236">
        <v>2.5</v>
      </c>
      <c r="M415" s="236">
        <v>2.5</v>
      </c>
      <c r="N415" s="234" t="s">
        <v>3</v>
      </c>
      <c r="O415" s="237" t="s">
        <v>18675</v>
      </c>
      <c r="P415" s="238" t="s">
        <v>18725</v>
      </c>
      <c r="Q415" s="234" t="s">
        <v>18762</v>
      </c>
      <c r="R415" s="238" t="s">
        <v>20407</v>
      </c>
      <c r="S415" s="238" t="s">
        <v>20408</v>
      </c>
      <c r="T415" s="238" t="s">
        <v>20409</v>
      </c>
      <c r="U415" s="238" t="s">
        <v>20410</v>
      </c>
      <c r="V415" s="238" t="s">
        <v>18725</v>
      </c>
      <c r="W415" s="238" t="s">
        <v>18725</v>
      </c>
      <c r="X415" s="238" t="s">
        <v>18725</v>
      </c>
      <c r="Y415" s="239" t="str">
        <f>IF('CCUS Projects Database'!$R415&lt;&gt;"",HYPERLINK('CCUS Projects Database'!$R415,"Link 1"),"")</f>
        <v>Link 1</v>
      </c>
      <c r="Z415" s="239" t="str">
        <f>IF('CCUS Projects Database'!$S415&lt;&gt;"",HYPERLINK('CCUS Projects Database'!$S415,"Link 2"),"")</f>
        <v>Link 2</v>
      </c>
      <c r="AA415" s="239" t="str">
        <f>IF('CCUS Projects Database'!$T415&lt;&gt;"",HYPERLINK('CCUS Projects Database'!$T415,"Link 3"),"")</f>
        <v>Link 3</v>
      </c>
      <c r="AB415" s="239" t="str">
        <f>IF('CCUS Projects Database'!$U415&lt;&gt;"",HYPERLINK('CCUS Projects Database'!$U415,"Link 4"),"")</f>
        <v>Link 4</v>
      </c>
      <c r="AC415" s="239" t="str">
        <f>IF('CCUS Projects Database'!$V415&lt;&gt;"",HYPERLINK('CCUS Projects Database'!$V415,"Link 5"),"")</f>
        <v/>
      </c>
      <c r="AD415" s="239" t="str">
        <f>IF('CCUS Projects Database'!$W415&lt;&gt;"",HYPERLINK('CCUS Projects Database'!$W415,"Link 6"),"")</f>
        <v/>
      </c>
      <c r="AE415" s="239" t="str">
        <f>IF('CCUS Projects Database'!$X415&lt;&gt;"",HYPERLINK('CCUS Projects Database'!$X415,"Link 7"),"")</f>
        <v/>
      </c>
    </row>
    <row r="416" ht="14.25" customHeight="1">
      <c r="A416" s="233" t="s">
        <v>20411</v>
      </c>
      <c r="B416" s="234">
        <v>532.0</v>
      </c>
      <c r="C416" s="234" t="s">
        <v>161</v>
      </c>
      <c r="D416" s="235" t="s">
        <v>20412</v>
      </c>
      <c r="E416" s="234" t="s">
        <v>18620</v>
      </c>
      <c r="F416" s="234">
        <v>2022.0</v>
      </c>
      <c r="G416" s="234" t="s">
        <v>18725</v>
      </c>
      <c r="H416" s="234">
        <v>2027.0</v>
      </c>
      <c r="I416" s="234" t="s">
        <v>18725</v>
      </c>
      <c r="J416" s="234" t="s">
        <v>18636</v>
      </c>
      <c r="K416" s="236" t="s">
        <v>18725</v>
      </c>
      <c r="L416" s="236">
        <v>6.0</v>
      </c>
      <c r="M416" s="236">
        <v>6.0</v>
      </c>
      <c r="N416" s="234" t="s">
        <v>18620</v>
      </c>
      <c r="O416" s="237" t="s">
        <v>18675</v>
      </c>
      <c r="P416" s="238" t="s">
        <v>18725</v>
      </c>
      <c r="Q416" s="234" t="s">
        <v>18726</v>
      </c>
      <c r="R416" s="238" t="s">
        <v>20413</v>
      </c>
      <c r="S416" s="238" t="s">
        <v>18837</v>
      </c>
      <c r="T416" s="238" t="s">
        <v>18725</v>
      </c>
      <c r="U416" s="238" t="s">
        <v>18725</v>
      </c>
      <c r="V416" s="238" t="s">
        <v>18725</v>
      </c>
      <c r="W416" s="238" t="s">
        <v>18725</v>
      </c>
      <c r="X416" s="238" t="s">
        <v>18725</v>
      </c>
      <c r="Y416" s="239" t="str">
        <f>IF('CCUS Projects Database'!$R416&lt;&gt;"",HYPERLINK('CCUS Projects Database'!$R416,"Link 1"),"")</f>
        <v>Link 1</v>
      </c>
      <c r="Z416" s="239" t="str">
        <f>IF('CCUS Projects Database'!$S416&lt;&gt;"",HYPERLINK('CCUS Projects Database'!$S416,"Link 2"),"")</f>
        <v>Link 2</v>
      </c>
      <c r="AA416" s="239" t="str">
        <f>IF('CCUS Projects Database'!$T416&lt;&gt;"",HYPERLINK('CCUS Projects Database'!$T416,"Link 3"),"")</f>
        <v/>
      </c>
      <c r="AB416" s="239" t="str">
        <f>IF('CCUS Projects Database'!$U416&lt;&gt;"",HYPERLINK('CCUS Projects Database'!$U416,"Link 4"),"")</f>
        <v/>
      </c>
      <c r="AC416" s="239" t="str">
        <f>IF('CCUS Projects Database'!$V416&lt;&gt;"",HYPERLINK('CCUS Projects Database'!$V416,"Link 5"),"")</f>
        <v/>
      </c>
      <c r="AD416" s="239" t="str">
        <f>IF('CCUS Projects Database'!$W416&lt;&gt;"",HYPERLINK('CCUS Projects Database'!$W416,"Link 6"),"")</f>
        <v/>
      </c>
      <c r="AE416" s="239" t="str">
        <f>IF('CCUS Projects Database'!$X416&lt;&gt;"",HYPERLINK('CCUS Projects Database'!$X416,"Link 7"),"")</f>
        <v/>
      </c>
    </row>
    <row r="417" ht="14.25" customHeight="1">
      <c r="A417" s="233" t="s">
        <v>20414</v>
      </c>
      <c r="B417" s="234">
        <v>536.0</v>
      </c>
      <c r="C417" s="234" t="s">
        <v>63</v>
      </c>
      <c r="D417" s="235" t="s">
        <v>20415</v>
      </c>
      <c r="E417" s="234" t="s">
        <v>18616</v>
      </c>
      <c r="F417" s="234">
        <v>2022.0</v>
      </c>
      <c r="G417" s="234" t="s">
        <v>18725</v>
      </c>
      <c r="H417" s="234">
        <v>2026.0</v>
      </c>
      <c r="I417" s="234" t="s">
        <v>18725</v>
      </c>
      <c r="J417" s="234" t="s">
        <v>18636</v>
      </c>
      <c r="K417" s="236">
        <v>1.0</v>
      </c>
      <c r="L417" s="236">
        <v>0.002</v>
      </c>
      <c r="M417" s="236">
        <v>0.002</v>
      </c>
      <c r="N417" s="234" t="s">
        <v>18218</v>
      </c>
      <c r="O417" s="237" t="s">
        <v>18675</v>
      </c>
      <c r="P417" s="238" t="s">
        <v>18725</v>
      </c>
      <c r="Q417" s="234" t="s">
        <v>18726</v>
      </c>
      <c r="R417" s="238" t="s">
        <v>20416</v>
      </c>
      <c r="S417" s="238" t="s">
        <v>18725</v>
      </c>
      <c r="T417" s="238" t="s">
        <v>18725</v>
      </c>
      <c r="U417" s="238" t="s">
        <v>18725</v>
      </c>
      <c r="V417" s="238" t="s">
        <v>18725</v>
      </c>
      <c r="W417" s="238" t="s">
        <v>18725</v>
      </c>
      <c r="X417" s="238" t="s">
        <v>18725</v>
      </c>
      <c r="Y417" s="239" t="str">
        <f>IF('CCUS Projects Database'!$R417&lt;&gt;"",HYPERLINK('CCUS Projects Database'!$R417,"Link 1"),"")</f>
        <v>Link 1</v>
      </c>
      <c r="Z417" s="239" t="str">
        <f>IF('CCUS Projects Database'!$S417&lt;&gt;"",HYPERLINK('CCUS Projects Database'!$S417,"Link 2"),"")</f>
        <v/>
      </c>
      <c r="AA417" s="239" t="str">
        <f>IF('CCUS Projects Database'!$T417&lt;&gt;"",HYPERLINK('CCUS Projects Database'!$T417,"Link 3"),"")</f>
        <v/>
      </c>
      <c r="AB417" s="239" t="str">
        <f>IF('CCUS Projects Database'!$U417&lt;&gt;"",HYPERLINK('CCUS Projects Database'!$U417,"Link 4"),"")</f>
        <v/>
      </c>
      <c r="AC417" s="239" t="str">
        <f>IF('CCUS Projects Database'!$V417&lt;&gt;"",HYPERLINK('CCUS Projects Database'!$V417,"Link 5"),"")</f>
        <v/>
      </c>
      <c r="AD417" s="239" t="str">
        <f>IF('CCUS Projects Database'!$W417&lt;&gt;"",HYPERLINK('CCUS Projects Database'!$W417,"Link 6"),"")</f>
        <v/>
      </c>
      <c r="AE417" s="239" t="str">
        <f>IF('CCUS Projects Database'!$X417&lt;&gt;"",HYPERLINK('CCUS Projects Database'!$X417,"Link 7"),"")</f>
        <v/>
      </c>
    </row>
    <row r="418" ht="14.25" customHeight="1">
      <c r="A418" s="233" t="s">
        <v>20417</v>
      </c>
      <c r="B418" s="234">
        <v>539.0</v>
      </c>
      <c r="C418" s="234" t="s">
        <v>57</v>
      </c>
      <c r="D418" s="235" t="s">
        <v>20418</v>
      </c>
      <c r="E418" s="234" t="s">
        <v>18625</v>
      </c>
      <c r="F418" s="234">
        <v>2021.0</v>
      </c>
      <c r="G418" s="234" t="s">
        <v>18725</v>
      </c>
      <c r="H418" s="234">
        <v>2026.0</v>
      </c>
      <c r="I418" s="234" t="s">
        <v>18725</v>
      </c>
      <c r="J418" s="234" t="s">
        <v>18636</v>
      </c>
      <c r="K418" s="236">
        <v>1.0</v>
      </c>
      <c r="L418" s="236">
        <v>0.11</v>
      </c>
      <c r="M418" s="236">
        <v>0.11</v>
      </c>
      <c r="N418" s="234" t="s">
        <v>18663</v>
      </c>
      <c r="O418" s="237" t="s">
        <v>18679</v>
      </c>
      <c r="P418" s="238" t="s">
        <v>18725</v>
      </c>
      <c r="Q418" s="234" t="s">
        <v>18726</v>
      </c>
      <c r="R418" s="238" t="s">
        <v>20419</v>
      </c>
      <c r="S418" s="238" t="s">
        <v>20420</v>
      </c>
      <c r="T418" s="238" t="s">
        <v>18725</v>
      </c>
      <c r="U418" s="238" t="s">
        <v>18725</v>
      </c>
      <c r="V418" s="238" t="s">
        <v>18725</v>
      </c>
      <c r="W418" s="238" t="s">
        <v>18725</v>
      </c>
      <c r="X418" s="238" t="s">
        <v>18725</v>
      </c>
      <c r="Y418" s="239" t="str">
        <f>IF('CCUS Projects Database'!$R418&lt;&gt;"",HYPERLINK('CCUS Projects Database'!$R418,"Link 1"),"")</f>
        <v>Link 1</v>
      </c>
      <c r="Z418" s="239" t="str">
        <f>IF('CCUS Projects Database'!$S418&lt;&gt;"",HYPERLINK('CCUS Projects Database'!$S418,"Link 2"),"")</f>
        <v>Link 2</v>
      </c>
      <c r="AA418" s="239" t="str">
        <f>IF('CCUS Projects Database'!$T418&lt;&gt;"",HYPERLINK('CCUS Projects Database'!$T418,"Link 3"),"")</f>
        <v/>
      </c>
      <c r="AB418" s="239" t="str">
        <f>IF('CCUS Projects Database'!$U418&lt;&gt;"",HYPERLINK('CCUS Projects Database'!$U418,"Link 4"),"")</f>
        <v/>
      </c>
      <c r="AC418" s="239" t="str">
        <f>IF('CCUS Projects Database'!$V418&lt;&gt;"",HYPERLINK('CCUS Projects Database'!$V418,"Link 5"),"")</f>
        <v/>
      </c>
      <c r="AD418" s="239" t="str">
        <f>IF('CCUS Projects Database'!$W418&lt;&gt;"",HYPERLINK('CCUS Projects Database'!$W418,"Link 6"),"")</f>
        <v/>
      </c>
      <c r="AE418" s="239" t="str">
        <f>IF('CCUS Projects Database'!$X418&lt;&gt;"",HYPERLINK('CCUS Projects Database'!$X418,"Link 7"),"")</f>
        <v/>
      </c>
    </row>
    <row r="419" ht="14.25" customHeight="1">
      <c r="A419" s="233" t="s">
        <v>20421</v>
      </c>
      <c r="B419" s="234">
        <v>540.0</v>
      </c>
      <c r="C419" s="234" t="s">
        <v>57</v>
      </c>
      <c r="D419" s="235" t="s">
        <v>20422</v>
      </c>
      <c r="E419" s="234" t="s">
        <v>18618</v>
      </c>
      <c r="F419" s="234">
        <v>2024.0</v>
      </c>
      <c r="G419" s="234" t="s">
        <v>18725</v>
      </c>
      <c r="H419" s="234">
        <v>2030.0</v>
      </c>
      <c r="I419" s="234" t="s">
        <v>18725</v>
      </c>
      <c r="J419" s="234" t="s">
        <v>18636</v>
      </c>
      <c r="K419" s="236" t="s">
        <v>18725</v>
      </c>
      <c r="L419" s="236">
        <v>1.3</v>
      </c>
      <c r="M419" s="236">
        <v>1.3</v>
      </c>
      <c r="N419" s="234" t="s">
        <v>18663</v>
      </c>
      <c r="O419" s="237" t="s">
        <v>18675</v>
      </c>
      <c r="P419" s="238" t="s">
        <v>18725</v>
      </c>
      <c r="Q419" s="234" t="s">
        <v>18726</v>
      </c>
      <c r="R419" s="238" t="s">
        <v>20419</v>
      </c>
      <c r="S419" s="238" t="s">
        <v>20420</v>
      </c>
      <c r="T419" s="238" t="s">
        <v>20423</v>
      </c>
      <c r="U419" s="238" t="s">
        <v>18725</v>
      </c>
      <c r="V419" s="238" t="s">
        <v>18725</v>
      </c>
      <c r="W419" s="238" t="s">
        <v>18725</v>
      </c>
      <c r="X419" s="238" t="s">
        <v>18725</v>
      </c>
      <c r="Y419" s="239" t="str">
        <f>IF('CCUS Projects Database'!$R419&lt;&gt;"",HYPERLINK('CCUS Projects Database'!$R419,"Link 1"),"")</f>
        <v>Link 1</v>
      </c>
      <c r="Z419" s="239" t="str">
        <f>IF('CCUS Projects Database'!$S419&lt;&gt;"",HYPERLINK('CCUS Projects Database'!$S419,"Link 2"),"")</f>
        <v>Link 2</v>
      </c>
      <c r="AA419" s="239" t="str">
        <f>IF('CCUS Projects Database'!$T419&lt;&gt;"",HYPERLINK('CCUS Projects Database'!$T419,"Link 3"),"")</f>
        <v>Link 3</v>
      </c>
      <c r="AB419" s="239" t="str">
        <f>IF('CCUS Projects Database'!$U419&lt;&gt;"",HYPERLINK('CCUS Projects Database'!$U419,"Link 4"),"")</f>
        <v/>
      </c>
      <c r="AC419" s="239" t="str">
        <f>IF('CCUS Projects Database'!$V419&lt;&gt;"",HYPERLINK('CCUS Projects Database'!$V419,"Link 5"),"")</f>
        <v/>
      </c>
      <c r="AD419" s="239" t="str">
        <f>IF('CCUS Projects Database'!$W419&lt;&gt;"",HYPERLINK('CCUS Projects Database'!$W419,"Link 6"),"")</f>
        <v/>
      </c>
      <c r="AE419" s="239" t="str">
        <f>IF('CCUS Projects Database'!$X419&lt;&gt;"",HYPERLINK('CCUS Projects Database'!$X419,"Link 7"),"")</f>
        <v/>
      </c>
    </row>
    <row r="420" ht="14.25" customHeight="1">
      <c r="A420" s="233" t="s">
        <v>20424</v>
      </c>
      <c r="B420" s="234">
        <v>541.0</v>
      </c>
      <c r="C420" s="234" t="s">
        <v>18360</v>
      </c>
      <c r="D420" s="235" t="s">
        <v>20425</v>
      </c>
      <c r="E420" s="234" t="s">
        <v>18618</v>
      </c>
      <c r="F420" s="234">
        <v>2022.0</v>
      </c>
      <c r="G420" s="234" t="s">
        <v>18725</v>
      </c>
      <c r="H420" s="234">
        <v>2028.0</v>
      </c>
      <c r="I420" s="234" t="s">
        <v>18725</v>
      </c>
      <c r="J420" s="234" t="s">
        <v>18636</v>
      </c>
      <c r="K420" s="236" t="s">
        <v>18725</v>
      </c>
      <c r="L420" s="236" t="s">
        <v>18725</v>
      </c>
      <c r="M420" s="236" t="s">
        <v>18725</v>
      </c>
      <c r="N420" s="234" t="s">
        <v>18731</v>
      </c>
      <c r="O420" s="237" t="s">
        <v>18683</v>
      </c>
      <c r="P420" s="238" t="s">
        <v>18725</v>
      </c>
      <c r="Q420" s="234" t="s">
        <v>18856</v>
      </c>
      <c r="R420" s="238" t="s">
        <v>17432</v>
      </c>
      <c r="S420" s="238" t="s">
        <v>17687</v>
      </c>
      <c r="T420" s="238" t="s">
        <v>18725</v>
      </c>
      <c r="U420" s="238" t="s">
        <v>18725</v>
      </c>
      <c r="V420" s="238" t="s">
        <v>18725</v>
      </c>
      <c r="W420" s="238" t="s">
        <v>18725</v>
      </c>
      <c r="X420" s="238" t="s">
        <v>18725</v>
      </c>
      <c r="Y420" s="239" t="str">
        <f>IF('CCUS Projects Database'!$R420&lt;&gt;"",HYPERLINK('CCUS Projects Database'!$R420,"Link 1"),"")</f>
        <v>Link 1</v>
      </c>
      <c r="Z420" s="239" t="str">
        <f>IF('CCUS Projects Database'!$S420&lt;&gt;"",HYPERLINK('CCUS Projects Database'!$S420,"Link 2"),"")</f>
        <v>Link 2</v>
      </c>
      <c r="AA420" s="239" t="str">
        <f>IF('CCUS Projects Database'!$T420&lt;&gt;"",HYPERLINK('CCUS Projects Database'!$T420,"Link 3"),"")</f>
        <v/>
      </c>
      <c r="AB420" s="239" t="str">
        <f>IF('CCUS Projects Database'!$U420&lt;&gt;"",HYPERLINK('CCUS Projects Database'!$U420,"Link 4"),"")</f>
        <v/>
      </c>
      <c r="AC420" s="239" t="str">
        <f>IF('CCUS Projects Database'!$V420&lt;&gt;"",HYPERLINK('CCUS Projects Database'!$V420,"Link 5"),"")</f>
        <v/>
      </c>
      <c r="AD420" s="239" t="str">
        <f>IF('CCUS Projects Database'!$W420&lt;&gt;"",HYPERLINK('CCUS Projects Database'!$W420,"Link 6"),"")</f>
        <v/>
      </c>
      <c r="AE420" s="239" t="str">
        <f>IF('CCUS Projects Database'!$X420&lt;&gt;"",HYPERLINK('CCUS Projects Database'!$X420,"Link 7"),"")</f>
        <v/>
      </c>
    </row>
    <row r="421" ht="14.25" customHeight="1">
      <c r="A421" s="233" t="s">
        <v>20426</v>
      </c>
      <c r="B421" s="234">
        <v>543.0</v>
      </c>
      <c r="C421" s="234" t="s">
        <v>18586</v>
      </c>
      <c r="D421" s="235" t="s">
        <v>20427</v>
      </c>
      <c r="E421" s="234" t="s">
        <v>18618</v>
      </c>
      <c r="F421" s="234">
        <v>2022.0</v>
      </c>
      <c r="G421" s="234" t="s">
        <v>18725</v>
      </c>
      <c r="H421" s="234">
        <v>2026.0</v>
      </c>
      <c r="I421" s="234" t="s">
        <v>18725</v>
      </c>
      <c r="J421" s="234" t="s">
        <v>18636</v>
      </c>
      <c r="K421" s="236" t="s">
        <v>18725</v>
      </c>
      <c r="L421" s="236" t="s">
        <v>18725</v>
      </c>
      <c r="M421" s="236" t="s">
        <v>18725</v>
      </c>
      <c r="N421" s="234" t="s">
        <v>18654</v>
      </c>
      <c r="O421" s="237" t="s">
        <v>18675</v>
      </c>
      <c r="P421" s="238" t="s">
        <v>18725</v>
      </c>
      <c r="Q421" s="234" t="s">
        <v>18732</v>
      </c>
      <c r="R421" s="238" t="s">
        <v>20428</v>
      </c>
      <c r="S421" s="238" t="s">
        <v>18725</v>
      </c>
      <c r="T421" s="238" t="s">
        <v>18725</v>
      </c>
      <c r="U421" s="238" t="s">
        <v>18725</v>
      </c>
      <c r="V421" s="238" t="s">
        <v>18725</v>
      </c>
      <c r="W421" s="238" t="s">
        <v>18725</v>
      </c>
      <c r="X421" s="238" t="s">
        <v>18725</v>
      </c>
      <c r="Y421" s="239" t="str">
        <f>IF('CCUS Projects Database'!$R421&lt;&gt;"",HYPERLINK('CCUS Projects Database'!$R421,"Link 1"),"")</f>
        <v>Link 1</v>
      </c>
      <c r="Z421" s="239" t="str">
        <f>IF('CCUS Projects Database'!$S421&lt;&gt;"",HYPERLINK('CCUS Projects Database'!$S421,"Link 2"),"")</f>
        <v/>
      </c>
      <c r="AA421" s="239" t="str">
        <f>IF('CCUS Projects Database'!$T421&lt;&gt;"",HYPERLINK('CCUS Projects Database'!$T421,"Link 3"),"")</f>
        <v/>
      </c>
      <c r="AB421" s="239" t="str">
        <f>IF('CCUS Projects Database'!$U421&lt;&gt;"",HYPERLINK('CCUS Projects Database'!$U421,"Link 4"),"")</f>
        <v/>
      </c>
      <c r="AC421" s="239" t="str">
        <f>IF('CCUS Projects Database'!$V421&lt;&gt;"",HYPERLINK('CCUS Projects Database'!$V421,"Link 5"),"")</f>
        <v/>
      </c>
      <c r="AD421" s="239" t="str">
        <f>IF('CCUS Projects Database'!$W421&lt;&gt;"",HYPERLINK('CCUS Projects Database'!$W421,"Link 6"),"")</f>
        <v/>
      </c>
      <c r="AE421" s="239" t="str">
        <f>IF('CCUS Projects Database'!$X421&lt;&gt;"",HYPERLINK('CCUS Projects Database'!$X421,"Link 7"),"")</f>
        <v/>
      </c>
    </row>
    <row r="422" ht="14.25" customHeight="1">
      <c r="A422" s="233" t="s">
        <v>20429</v>
      </c>
      <c r="B422" s="234">
        <v>545.0</v>
      </c>
      <c r="C422" s="234" t="s">
        <v>83</v>
      </c>
      <c r="D422" s="235" t="s">
        <v>20430</v>
      </c>
      <c r="E422" s="234" t="s">
        <v>18618</v>
      </c>
      <c r="F422" s="234">
        <v>2021.0</v>
      </c>
      <c r="G422" s="234" t="s">
        <v>18725</v>
      </c>
      <c r="H422" s="234">
        <v>2029.0</v>
      </c>
      <c r="I422" s="234" t="s">
        <v>18725</v>
      </c>
      <c r="J422" s="234" t="s">
        <v>18636</v>
      </c>
      <c r="K422" s="236">
        <v>1.0</v>
      </c>
      <c r="L422" s="236">
        <v>0.25</v>
      </c>
      <c r="M422" s="236">
        <v>0.25</v>
      </c>
      <c r="N422" s="234" t="s">
        <v>18654</v>
      </c>
      <c r="O422" s="237" t="s">
        <v>18675</v>
      </c>
      <c r="P422" s="238" t="s">
        <v>20431</v>
      </c>
      <c r="Q422" s="234" t="s">
        <v>18726</v>
      </c>
      <c r="R422" s="238" t="s">
        <v>20432</v>
      </c>
      <c r="S422" s="238" t="s">
        <v>20433</v>
      </c>
      <c r="T422" s="238" t="s">
        <v>20434</v>
      </c>
      <c r="U422" s="238" t="s">
        <v>20435</v>
      </c>
      <c r="V422" s="238" t="s">
        <v>18725</v>
      </c>
      <c r="W422" s="238" t="s">
        <v>18725</v>
      </c>
      <c r="X422" s="238" t="s">
        <v>18725</v>
      </c>
      <c r="Y422" s="239" t="str">
        <f>IF('CCUS Projects Database'!$R422&lt;&gt;"",HYPERLINK('CCUS Projects Database'!$R422,"Link 1"),"")</f>
        <v>Link 1</v>
      </c>
      <c r="Z422" s="239" t="str">
        <f>IF('CCUS Projects Database'!$S422&lt;&gt;"",HYPERLINK('CCUS Projects Database'!$S422,"Link 2"),"")</f>
        <v>Link 2</v>
      </c>
      <c r="AA422" s="239" t="str">
        <f>IF('CCUS Projects Database'!$T422&lt;&gt;"",HYPERLINK('CCUS Projects Database'!$T422,"Link 3"),"")</f>
        <v>Link 3</v>
      </c>
      <c r="AB422" s="239" t="str">
        <f>IF('CCUS Projects Database'!$U422&lt;&gt;"",HYPERLINK('CCUS Projects Database'!$U422,"Link 4"),"")</f>
        <v>Link 4</v>
      </c>
      <c r="AC422" s="239" t="str">
        <f>IF('CCUS Projects Database'!$V422&lt;&gt;"",HYPERLINK('CCUS Projects Database'!$V422,"Link 5"),"")</f>
        <v/>
      </c>
      <c r="AD422" s="239" t="str">
        <f>IF('CCUS Projects Database'!$W422&lt;&gt;"",HYPERLINK('CCUS Projects Database'!$W422,"Link 6"),"")</f>
        <v/>
      </c>
      <c r="AE422" s="239" t="str">
        <f>IF('CCUS Projects Database'!$X422&lt;&gt;"",HYPERLINK('CCUS Projects Database'!$X422,"Link 7"),"")</f>
        <v/>
      </c>
    </row>
    <row r="423" ht="14.25" customHeight="1">
      <c r="A423" s="233" t="s">
        <v>20436</v>
      </c>
      <c r="B423" s="234">
        <v>546.0</v>
      </c>
      <c r="C423" s="234" t="s">
        <v>83</v>
      </c>
      <c r="D423" s="235" t="s">
        <v>20437</v>
      </c>
      <c r="E423" s="234" t="s">
        <v>18620</v>
      </c>
      <c r="F423" s="234">
        <v>2022.0</v>
      </c>
      <c r="G423" s="234" t="s">
        <v>18725</v>
      </c>
      <c r="H423" s="234" t="s">
        <v>18725</v>
      </c>
      <c r="I423" s="234" t="s">
        <v>18725</v>
      </c>
      <c r="J423" s="234" t="s">
        <v>18636</v>
      </c>
      <c r="K423" s="236">
        <v>1.0</v>
      </c>
      <c r="L423" s="236">
        <v>0.8</v>
      </c>
      <c r="M423" s="236">
        <v>0.8</v>
      </c>
      <c r="N423" s="234" t="s">
        <v>18620</v>
      </c>
      <c r="O423" s="237" t="s">
        <v>18675</v>
      </c>
      <c r="P423" s="238" t="s">
        <v>20431</v>
      </c>
      <c r="Q423" s="234" t="s">
        <v>18726</v>
      </c>
      <c r="R423" s="238" t="s">
        <v>20438</v>
      </c>
      <c r="S423" s="238" t="s">
        <v>18725</v>
      </c>
      <c r="T423" s="238" t="s">
        <v>18725</v>
      </c>
      <c r="U423" s="238" t="s">
        <v>18725</v>
      </c>
      <c r="V423" s="238" t="s">
        <v>18725</v>
      </c>
      <c r="W423" s="238" t="s">
        <v>18725</v>
      </c>
      <c r="X423" s="238" t="s">
        <v>18725</v>
      </c>
      <c r="Y423" s="239" t="str">
        <f>IF('CCUS Projects Database'!$R423&lt;&gt;"",HYPERLINK('CCUS Projects Database'!$R423,"Link 1"),"")</f>
        <v>Link 1</v>
      </c>
      <c r="Z423" s="239" t="str">
        <f>IF('CCUS Projects Database'!$S423&lt;&gt;"",HYPERLINK('CCUS Projects Database'!$S423,"Link 2"),"")</f>
        <v/>
      </c>
      <c r="AA423" s="239" t="str">
        <f>IF('CCUS Projects Database'!$T423&lt;&gt;"",HYPERLINK('CCUS Projects Database'!$T423,"Link 3"),"")</f>
        <v/>
      </c>
      <c r="AB423" s="239" t="str">
        <f>IF('CCUS Projects Database'!$U423&lt;&gt;"",HYPERLINK('CCUS Projects Database'!$U423,"Link 4"),"")</f>
        <v/>
      </c>
      <c r="AC423" s="239" t="str">
        <f>IF('CCUS Projects Database'!$V423&lt;&gt;"",HYPERLINK('CCUS Projects Database'!$V423,"Link 5"),"")</f>
        <v/>
      </c>
      <c r="AD423" s="239" t="str">
        <f>IF('CCUS Projects Database'!$W423&lt;&gt;"",HYPERLINK('CCUS Projects Database'!$W423,"Link 6"),"")</f>
        <v/>
      </c>
      <c r="AE423" s="239" t="str">
        <f>IF('CCUS Projects Database'!$X423&lt;&gt;"",HYPERLINK('CCUS Projects Database'!$X423,"Link 7"),"")</f>
        <v/>
      </c>
    </row>
    <row r="424" ht="14.25" customHeight="1">
      <c r="A424" s="233" t="s">
        <v>20439</v>
      </c>
      <c r="B424" s="234">
        <v>547.0</v>
      </c>
      <c r="C424" s="234" t="s">
        <v>83</v>
      </c>
      <c r="D424" s="235" t="s">
        <v>20437</v>
      </c>
      <c r="E424" s="234" t="s">
        <v>18620</v>
      </c>
      <c r="F424" s="234">
        <v>2022.0</v>
      </c>
      <c r="G424" s="234" t="s">
        <v>18725</v>
      </c>
      <c r="H424" s="234" t="s">
        <v>18725</v>
      </c>
      <c r="I424" s="234" t="s">
        <v>18725</v>
      </c>
      <c r="J424" s="234" t="s">
        <v>18636</v>
      </c>
      <c r="K424" s="236">
        <v>2.0</v>
      </c>
      <c r="L424" s="236">
        <v>0.4</v>
      </c>
      <c r="M424" s="236">
        <v>0.4</v>
      </c>
      <c r="N424" s="234" t="s">
        <v>18620</v>
      </c>
      <c r="O424" s="237" t="s">
        <v>18675</v>
      </c>
      <c r="P424" s="238" t="s">
        <v>20431</v>
      </c>
      <c r="Q424" s="234" t="s">
        <v>18726</v>
      </c>
      <c r="R424" s="238" t="s">
        <v>20438</v>
      </c>
      <c r="S424" s="238" t="s">
        <v>18725</v>
      </c>
      <c r="T424" s="238" t="s">
        <v>18725</v>
      </c>
      <c r="U424" s="238" t="s">
        <v>18725</v>
      </c>
      <c r="V424" s="238" t="s">
        <v>18725</v>
      </c>
      <c r="W424" s="238" t="s">
        <v>18725</v>
      </c>
      <c r="X424" s="238" t="s">
        <v>18725</v>
      </c>
      <c r="Y424" s="239" t="str">
        <f>IF('CCUS Projects Database'!$R424&lt;&gt;"",HYPERLINK('CCUS Projects Database'!$R424,"Link 1"),"")</f>
        <v>Link 1</v>
      </c>
      <c r="Z424" s="239" t="str">
        <f>IF('CCUS Projects Database'!$S424&lt;&gt;"",HYPERLINK('CCUS Projects Database'!$S424,"Link 2"),"")</f>
        <v/>
      </c>
      <c r="AA424" s="239" t="str">
        <f>IF('CCUS Projects Database'!$T424&lt;&gt;"",HYPERLINK('CCUS Projects Database'!$T424,"Link 3"),"")</f>
        <v/>
      </c>
      <c r="AB424" s="239" t="str">
        <f>IF('CCUS Projects Database'!$U424&lt;&gt;"",HYPERLINK('CCUS Projects Database'!$U424,"Link 4"),"")</f>
        <v/>
      </c>
      <c r="AC424" s="239" t="str">
        <f>IF('CCUS Projects Database'!$V424&lt;&gt;"",HYPERLINK('CCUS Projects Database'!$V424,"Link 5"),"")</f>
        <v/>
      </c>
      <c r="AD424" s="239" t="str">
        <f>IF('CCUS Projects Database'!$W424&lt;&gt;"",HYPERLINK('CCUS Projects Database'!$W424,"Link 6"),"")</f>
        <v/>
      </c>
      <c r="AE424" s="239" t="str">
        <f>IF('CCUS Projects Database'!$X424&lt;&gt;"",HYPERLINK('CCUS Projects Database'!$X424,"Link 7"),"")</f>
        <v/>
      </c>
    </row>
    <row r="425" ht="14.25" customHeight="1">
      <c r="A425" s="233" t="s">
        <v>20440</v>
      </c>
      <c r="B425" s="234">
        <v>548.0</v>
      </c>
      <c r="C425" s="234" t="s">
        <v>18516</v>
      </c>
      <c r="D425" s="235" t="s">
        <v>20441</v>
      </c>
      <c r="E425" s="234" t="s">
        <v>18616</v>
      </c>
      <c r="F425" s="234">
        <v>2018.0</v>
      </c>
      <c r="G425" s="234">
        <v>2025.0</v>
      </c>
      <c r="H425" s="234">
        <v>2027.0</v>
      </c>
      <c r="I425" s="234" t="s">
        <v>18725</v>
      </c>
      <c r="J425" s="234" t="s">
        <v>18636</v>
      </c>
      <c r="K425" s="236" t="s">
        <v>18725</v>
      </c>
      <c r="L425" s="236">
        <v>1.0</v>
      </c>
      <c r="M425" s="236">
        <v>1.0</v>
      </c>
      <c r="N425" s="234" t="s">
        <v>18656</v>
      </c>
      <c r="O425" s="237" t="s">
        <v>18675</v>
      </c>
      <c r="P425" s="238" t="s">
        <v>18725</v>
      </c>
      <c r="Q425" s="234" t="s">
        <v>18856</v>
      </c>
      <c r="R425" s="238" t="s">
        <v>20442</v>
      </c>
      <c r="S425" s="238" t="s">
        <v>20443</v>
      </c>
      <c r="T425" s="238" t="s">
        <v>20444</v>
      </c>
      <c r="U425" s="238" t="s">
        <v>18725</v>
      </c>
      <c r="V425" s="238" t="s">
        <v>18725</v>
      </c>
      <c r="W425" s="238" t="s">
        <v>18725</v>
      </c>
      <c r="X425" s="238" t="s">
        <v>18725</v>
      </c>
      <c r="Y425" s="239" t="str">
        <f>IF('CCUS Projects Database'!$R425&lt;&gt;"",HYPERLINK('CCUS Projects Database'!$R425,"Link 1"),"")</f>
        <v>Link 1</v>
      </c>
      <c r="Z425" s="239" t="str">
        <f>IF('CCUS Projects Database'!$S425&lt;&gt;"",HYPERLINK('CCUS Projects Database'!$S425,"Link 2"),"")</f>
        <v>Link 2</v>
      </c>
      <c r="AA425" s="239" t="str">
        <f>IF('CCUS Projects Database'!$T425&lt;&gt;"",HYPERLINK('CCUS Projects Database'!$T425,"Link 3"),"")</f>
        <v>Link 3</v>
      </c>
      <c r="AB425" s="239" t="str">
        <f>IF('CCUS Projects Database'!$U425&lt;&gt;"",HYPERLINK('CCUS Projects Database'!$U425,"Link 4"),"")</f>
        <v/>
      </c>
      <c r="AC425" s="239" t="str">
        <f>IF('CCUS Projects Database'!$V425&lt;&gt;"",HYPERLINK('CCUS Projects Database'!$V425,"Link 5"),"")</f>
        <v/>
      </c>
      <c r="AD425" s="239" t="str">
        <f>IF('CCUS Projects Database'!$W425&lt;&gt;"",HYPERLINK('CCUS Projects Database'!$W425,"Link 6"),"")</f>
        <v/>
      </c>
      <c r="AE425" s="239" t="str">
        <f>IF('CCUS Projects Database'!$X425&lt;&gt;"",HYPERLINK('CCUS Projects Database'!$X425,"Link 7"),"")</f>
        <v/>
      </c>
    </row>
    <row r="426" ht="14.25" customHeight="1">
      <c r="A426" s="233" t="s">
        <v>20445</v>
      </c>
      <c r="B426" s="234">
        <v>549.0</v>
      </c>
      <c r="C426" s="234" t="s">
        <v>18586</v>
      </c>
      <c r="D426" s="235" t="s">
        <v>20446</v>
      </c>
      <c r="E426" s="234" t="s">
        <v>18618</v>
      </c>
      <c r="F426" s="234">
        <v>2022.0</v>
      </c>
      <c r="G426" s="234" t="s">
        <v>18725</v>
      </c>
      <c r="H426" s="234" t="s">
        <v>18725</v>
      </c>
      <c r="I426" s="234" t="s">
        <v>18725</v>
      </c>
      <c r="J426" s="234" t="s">
        <v>18636</v>
      </c>
      <c r="K426" s="236" t="s">
        <v>18725</v>
      </c>
      <c r="L426" s="236" t="s">
        <v>18725</v>
      </c>
      <c r="M426" s="236" t="s">
        <v>18725</v>
      </c>
      <c r="N426" s="234" t="s">
        <v>18665</v>
      </c>
      <c r="O426" s="237" t="s">
        <v>18675</v>
      </c>
      <c r="P426" s="238" t="s">
        <v>18725</v>
      </c>
      <c r="Q426" s="234" t="s">
        <v>18732</v>
      </c>
      <c r="R426" s="238" t="s">
        <v>20379</v>
      </c>
      <c r="S426" s="238" t="s">
        <v>18725</v>
      </c>
      <c r="T426" s="238" t="s">
        <v>18725</v>
      </c>
      <c r="U426" s="238" t="s">
        <v>18725</v>
      </c>
      <c r="V426" s="238" t="s">
        <v>18725</v>
      </c>
      <c r="W426" s="238" t="s">
        <v>18725</v>
      </c>
      <c r="X426" s="238" t="s">
        <v>18725</v>
      </c>
      <c r="Y426" s="239" t="str">
        <f>IF('CCUS Projects Database'!$R426&lt;&gt;"",HYPERLINK('CCUS Projects Database'!$R426,"Link 1"),"")</f>
        <v>Link 1</v>
      </c>
      <c r="Z426" s="239" t="str">
        <f>IF('CCUS Projects Database'!$S426&lt;&gt;"",HYPERLINK('CCUS Projects Database'!$S426,"Link 2"),"")</f>
        <v/>
      </c>
      <c r="AA426" s="239" t="str">
        <f>IF('CCUS Projects Database'!$T426&lt;&gt;"",HYPERLINK('CCUS Projects Database'!$T426,"Link 3"),"")</f>
        <v/>
      </c>
      <c r="AB426" s="239" t="str">
        <f>IF('CCUS Projects Database'!$U426&lt;&gt;"",HYPERLINK('CCUS Projects Database'!$U426,"Link 4"),"")</f>
        <v/>
      </c>
      <c r="AC426" s="239" t="str">
        <f>IF('CCUS Projects Database'!$V426&lt;&gt;"",HYPERLINK('CCUS Projects Database'!$V426,"Link 5"),"")</f>
        <v/>
      </c>
      <c r="AD426" s="239" t="str">
        <f>IF('CCUS Projects Database'!$W426&lt;&gt;"",HYPERLINK('CCUS Projects Database'!$W426,"Link 6"),"")</f>
        <v/>
      </c>
      <c r="AE426" s="239" t="str">
        <f>IF('CCUS Projects Database'!$X426&lt;&gt;"",HYPERLINK('CCUS Projects Database'!$X426,"Link 7"),"")</f>
        <v/>
      </c>
    </row>
    <row r="427" ht="14.25" customHeight="1">
      <c r="A427" s="233" t="s">
        <v>20447</v>
      </c>
      <c r="B427" s="234">
        <v>551.0</v>
      </c>
      <c r="C427" s="234" t="s">
        <v>18586</v>
      </c>
      <c r="D427" s="235" t="s">
        <v>20448</v>
      </c>
      <c r="E427" s="234" t="s">
        <v>18618</v>
      </c>
      <c r="F427" s="234">
        <v>2022.0</v>
      </c>
      <c r="G427" s="234" t="s">
        <v>18725</v>
      </c>
      <c r="H427" s="234" t="s">
        <v>18725</v>
      </c>
      <c r="I427" s="234" t="s">
        <v>18725</v>
      </c>
      <c r="J427" s="234" t="s">
        <v>18636</v>
      </c>
      <c r="K427" s="236">
        <v>1.0</v>
      </c>
      <c r="L427" s="236">
        <v>1.7</v>
      </c>
      <c r="M427" s="236">
        <v>1.7</v>
      </c>
      <c r="N427" s="234" t="s">
        <v>18654</v>
      </c>
      <c r="O427" s="237" t="s">
        <v>18683</v>
      </c>
      <c r="P427" s="238" t="s">
        <v>18725</v>
      </c>
      <c r="Q427" s="234" t="s">
        <v>18732</v>
      </c>
      <c r="R427" s="238" t="s">
        <v>20379</v>
      </c>
      <c r="S427" s="238" t="s">
        <v>20449</v>
      </c>
      <c r="T427" s="238" t="s">
        <v>18725</v>
      </c>
      <c r="U427" s="238" t="s">
        <v>18725</v>
      </c>
      <c r="V427" s="238" t="s">
        <v>18725</v>
      </c>
      <c r="W427" s="238" t="s">
        <v>18725</v>
      </c>
      <c r="X427" s="238" t="s">
        <v>18725</v>
      </c>
      <c r="Y427" s="239" t="str">
        <f>IF('CCUS Projects Database'!$R427&lt;&gt;"",HYPERLINK('CCUS Projects Database'!$R427,"Link 1"),"")</f>
        <v>Link 1</v>
      </c>
      <c r="Z427" s="239" t="str">
        <f>IF('CCUS Projects Database'!$S427&lt;&gt;"",HYPERLINK('CCUS Projects Database'!$S427,"Link 2"),"")</f>
        <v>Link 2</v>
      </c>
      <c r="AA427" s="239" t="str">
        <f>IF('CCUS Projects Database'!$T427&lt;&gt;"",HYPERLINK('CCUS Projects Database'!$T427,"Link 3"),"")</f>
        <v/>
      </c>
      <c r="AB427" s="239" t="str">
        <f>IF('CCUS Projects Database'!$U427&lt;&gt;"",HYPERLINK('CCUS Projects Database'!$U427,"Link 4"),"")</f>
        <v/>
      </c>
      <c r="AC427" s="239" t="str">
        <f>IF('CCUS Projects Database'!$V427&lt;&gt;"",HYPERLINK('CCUS Projects Database'!$V427,"Link 5"),"")</f>
        <v/>
      </c>
      <c r="AD427" s="239" t="str">
        <f>IF('CCUS Projects Database'!$W427&lt;&gt;"",HYPERLINK('CCUS Projects Database'!$W427,"Link 6"),"")</f>
        <v/>
      </c>
      <c r="AE427" s="239" t="str">
        <f>IF('CCUS Projects Database'!$X427&lt;&gt;"",HYPERLINK('CCUS Projects Database'!$X427,"Link 7"),"")</f>
        <v/>
      </c>
    </row>
    <row r="428" ht="14.25" customHeight="1">
      <c r="A428" s="233" t="s">
        <v>20450</v>
      </c>
      <c r="B428" s="234">
        <v>552.0</v>
      </c>
      <c r="C428" s="234" t="s">
        <v>18586</v>
      </c>
      <c r="D428" s="235" t="s">
        <v>20451</v>
      </c>
      <c r="E428" s="234" t="s">
        <v>18616</v>
      </c>
      <c r="F428" s="234">
        <v>2022.0</v>
      </c>
      <c r="G428" s="234" t="s">
        <v>18725</v>
      </c>
      <c r="H428" s="234" t="s">
        <v>18725</v>
      </c>
      <c r="I428" s="234" t="s">
        <v>18725</v>
      </c>
      <c r="J428" s="234" t="s">
        <v>18636</v>
      </c>
      <c r="K428" s="236" t="s">
        <v>18725</v>
      </c>
      <c r="L428" s="236">
        <v>3.0</v>
      </c>
      <c r="M428" s="236">
        <v>3.0</v>
      </c>
      <c r="N428" s="234" t="s">
        <v>18654</v>
      </c>
      <c r="O428" s="237" t="s">
        <v>18675</v>
      </c>
      <c r="P428" s="238" t="s">
        <v>18725</v>
      </c>
      <c r="Q428" s="234" t="s">
        <v>18732</v>
      </c>
      <c r="R428" s="238" t="s">
        <v>20379</v>
      </c>
      <c r="S428" s="238" t="s">
        <v>20452</v>
      </c>
      <c r="T428" s="238" t="s">
        <v>20453</v>
      </c>
      <c r="U428" s="238" t="s">
        <v>18725</v>
      </c>
      <c r="V428" s="238" t="s">
        <v>18725</v>
      </c>
      <c r="W428" s="238" t="s">
        <v>18725</v>
      </c>
      <c r="X428" s="238" t="s">
        <v>18725</v>
      </c>
      <c r="Y428" s="239" t="str">
        <f>IF('CCUS Projects Database'!$R428&lt;&gt;"",HYPERLINK('CCUS Projects Database'!$R428,"Link 1"),"")</f>
        <v>Link 1</v>
      </c>
      <c r="Z428" s="239" t="str">
        <f>IF('CCUS Projects Database'!$S428&lt;&gt;"",HYPERLINK('CCUS Projects Database'!$S428,"Link 2"),"")</f>
        <v>Link 2</v>
      </c>
      <c r="AA428" s="239" t="str">
        <f>IF('CCUS Projects Database'!$T428&lt;&gt;"",HYPERLINK('CCUS Projects Database'!$T428,"Link 3"),"")</f>
        <v>Link 3</v>
      </c>
      <c r="AB428" s="239" t="str">
        <f>IF('CCUS Projects Database'!$U428&lt;&gt;"",HYPERLINK('CCUS Projects Database'!$U428,"Link 4"),"")</f>
        <v/>
      </c>
      <c r="AC428" s="239" t="str">
        <f>IF('CCUS Projects Database'!$V428&lt;&gt;"",HYPERLINK('CCUS Projects Database'!$V428,"Link 5"),"")</f>
        <v/>
      </c>
      <c r="AD428" s="239" t="str">
        <f>IF('CCUS Projects Database'!$W428&lt;&gt;"",HYPERLINK('CCUS Projects Database'!$W428,"Link 6"),"")</f>
        <v/>
      </c>
      <c r="AE428" s="239" t="str">
        <f>IF('CCUS Projects Database'!$X428&lt;&gt;"",HYPERLINK('CCUS Projects Database'!$X428,"Link 7"),"")</f>
        <v/>
      </c>
    </row>
    <row r="429" ht="14.25" customHeight="1">
      <c r="A429" s="233" t="s">
        <v>20454</v>
      </c>
      <c r="B429" s="234">
        <v>553.0</v>
      </c>
      <c r="C429" s="234" t="s">
        <v>18586</v>
      </c>
      <c r="D429" s="235" t="s">
        <v>20455</v>
      </c>
      <c r="E429" s="234" t="s">
        <v>18618</v>
      </c>
      <c r="F429" s="234">
        <v>2020.0</v>
      </c>
      <c r="G429" s="234" t="s">
        <v>18725</v>
      </c>
      <c r="H429" s="234" t="s">
        <v>18725</v>
      </c>
      <c r="I429" s="234" t="s">
        <v>18725</v>
      </c>
      <c r="J429" s="234" t="s">
        <v>18636</v>
      </c>
      <c r="K429" s="236" t="s">
        <v>18725</v>
      </c>
      <c r="L429" s="236">
        <v>0.5</v>
      </c>
      <c r="M429" s="236">
        <v>0.5</v>
      </c>
      <c r="N429" s="234" t="s">
        <v>18663</v>
      </c>
      <c r="O429" s="237" t="s">
        <v>18683</v>
      </c>
      <c r="P429" s="238" t="s">
        <v>18725</v>
      </c>
      <c r="Q429" s="234" t="s">
        <v>18732</v>
      </c>
      <c r="R429" s="238" t="s">
        <v>20379</v>
      </c>
      <c r="S429" s="238" t="s">
        <v>20456</v>
      </c>
      <c r="T429" s="238" t="s">
        <v>20457</v>
      </c>
      <c r="U429" s="238" t="s">
        <v>18725</v>
      </c>
      <c r="V429" s="238" t="s">
        <v>18725</v>
      </c>
      <c r="W429" s="238" t="s">
        <v>18725</v>
      </c>
      <c r="X429" s="238" t="s">
        <v>18725</v>
      </c>
      <c r="Y429" s="239" t="str">
        <f>IF('CCUS Projects Database'!$R429&lt;&gt;"",HYPERLINK('CCUS Projects Database'!$R429,"Link 1"),"")</f>
        <v>Link 1</v>
      </c>
      <c r="Z429" s="239" t="str">
        <f>IF('CCUS Projects Database'!$S429&lt;&gt;"",HYPERLINK('CCUS Projects Database'!$S429,"Link 2"),"")</f>
        <v>Link 2</v>
      </c>
      <c r="AA429" s="239" t="str">
        <f>IF('CCUS Projects Database'!$T429&lt;&gt;"",HYPERLINK('CCUS Projects Database'!$T429,"Link 3"),"")</f>
        <v>Link 3</v>
      </c>
      <c r="AB429" s="239" t="str">
        <f>IF('CCUS Projects Database'!$U429&lt;&gt;"",HYPERLINK('CCUS Projects Database'!$U429,"Link 4"),"")</f>
        <v/>
      </c>
      <c r="AC429" s="239" t="str">
        <f>IF('CCUS Projects Database'!$V429&lt;&gt;"",HYPERLINK('CCUS Projects Database'!$V429,"Link 5"),"")</f>
        <v/>
      </c>
      <c r="AD429" s="239" t="str">
        <f>IF('CCUS Projects Database'!$W429&lt;&gt;"",HYPERLINK('CCUS Projects Database'!$W429,"Link 6"),"")</f>
        <v/>
      </c>
      <c r="AE429" s="239" t="str">
        <f>IF('CCUS Projects Database'!$X429&lt;&gt;"",HYPERLINK('CCUS Projects Database'!$X429,"Link 7"),"")</f>
        <v/>
      </c>
    </row>
    <row r="430" ht="14.25" customHeight="1">
      <c r="A430" s="233" t="s">
        <v>20458</v>
      </c>
      <c r="B430" s="234">
        <v>555.0</v>
      </c>
      <c r="C430" s="234" t="s">
        <v>57</v>
      </c>
      <c r="D430" s="235" t="s">
        <v>20459</v>
      </c>
      <c r="E430" s="234" t="s">
        <v>18618</v>
      </c>
      <c r="F430" s="234">
        <v>2021.0</v>
      </c>
      <c r="G430" s="234" t="s">
        <v>18725</v>
      </c>
      <c r="H430" s="234">
        <v>2026.0</v>
      </c>
      <c r="I430" s="234" t="s">
        <v>18725</v>
      </c>
      <c r="J430" s="234" t="s">
        <v>18636</v>
      </c>
      <c r="K430" s="236">
        <v>1.0</v>
      </c>
      <c r="L430" s="236" t="s">
        <v>20460</v>
      </c>
      <c r="M430" s="236">
        <v>0.184</v>
      </c>
      <c r="N430" s="234" t="s">
        <v>18663</v>
      </c>
      <c r="O430" s="237" t="s">
        <v>18683</v>
      </c>
      <c r="P430" s="238" t="s">
        <v>18725</v>
      </c>
      <c r="Q430" s="234" t="s">
        <v>18726</v>
      </c>
      <c r="R430" s="238" t="s">
        <v>20461</v>
      </c>
      <c r="S430" s="238" t="s">
        <v>20462</v>
      </c>
      <c r="T430" s="238" t="s">
        <v>20463</v>
      </c>
      <c r="U430" s="238" t="s">
        <v>18725</v>
      </c>
      <c r="V430" s="238" t="s">
        <v>18725</v>
      </c>
      <c r="W430" s="238" t="s">
        <v>18725</v>
      </c>
      <c r="X430" s="238" t="s">
        <v>18725</v>
      </c>
      <c r="Y430" s="239" t="str">
        <f>IF('CCUS Projects Database'!$R430&lt;&gt;"",HYPERLINK('CCUS Projects Database'!$R430,"Link 1"),"")</f>
        <v>Link 1</v>
      </c>
      <c r="Z430" s="239" t="str">
        <f>IF('CCUS Projects Database'!$S430&lt;&gt;"",HYPERLINK('CCUS Projects Database'!$S430,"Link 2"),"")</f>
        <v>Link 2</v>
      </c>
      <c r="AA430" s="239" t="str">
        <f>IF('CCUS Projects Database'!$T430&lt;&gt;"",HYPERLINK('CCUS Projects Database'!$T430,"Link 3"),"")</f>
        <v>Link 3</v>
      </c>
      <c r="AB430" s="239" t="str">
        <f>IF('CCUS Projects Database'!$U430&lt;&gt;"",HYPERLINK('CCUS Projects Database'!$U430,"Link 4"),"")</f>
        <v/>
      </c>
      <c r="AC430" s="239" t="str">
        <f>IF('CCUS Projects Database'!$V430&lt;&gt;"",HYPERLINK('CCUS Projects Database'!$V430,"Link 5"),"")</f>
        <v/>
      </c>
      <c r="AD430" s="239" t="str">
        <f>IF('CCUS Projects Database'!$W430&lt;&gt;"",HYPERLINK('CCUS Projects Database'!$W430,"Link 6"),"")</f>
        <v/>
      </c>
      <c r="AE430" s="239" t="str">
        <f>IF('CCUS Projects Database'!$X430&lt;&gt;"",HYPERLINK('CCUS Projects Database'!$X430,"Link 7"),"")</f>
        <v/>
      </c>
    </row>
    <row r="431" ht="14.25" customHeight="1">
      <c r="A431" s="233" t="s">
        <v>20464</v>
      </c>
      <c r="B431" s="234">
        <v>556.0</v>
      </c>
      <c r="C431" s="234" t="s">
        <v>57</v>
      </c>
      <c r="D431" s="235" t="s">
        <v>20459</v>
      </c>
      <c r="E431" s="234" t="s">
        <v>18618</v>
      </c>
      <c r="F431" s="234">
        <v>2021.0</v>
      </c>
      <c r="G431" s="234" t="s">
        <v>18725</v>
      </c>
      <c r="H431" s="234">
        <v>2028.0</v>
      </c>
      <c r="I431" s="234" t="s">
        <v>18725</v>
      </c>
      <c r="J431" s="234" t="s">
        <v>18636</v>
      </c>
      <c r="K431" s="236">
        <v>2.0</v>
      </c>
      <c r="L431" s="236">
        <v>0.8</v>
      </c>
      <c r="M431" s="236">
        <v>0.8</v>
      </c>
      <c r="N431" s="234" t="s">
        <v>18663</v>
      </c>
      <c r="O431" s="237" t="s">
        <v>18683</v>
      </c>
      <c r="P431" s="238" t="s">
        <v>18725</v>
      </c>
      <c r="Q431" s="234" t="s">
        <v>18726</v>
      </c>
      <c r="R431" s="238" t="s">
        <v>20461</v>
      </c>
      <c r="S431" s="238" t="s">
        <v>20462</v>
      </c>
      <c r="T431" s="238" t="s">
        <v>20463</v>
      </c>
      <c r="U431" s="238" t="s">
        <v>18725</v>
      </c>
      <c r="V431" s="238" t="s">
        <v>18725</v>
      </c>
      <c r="W431" s="238" t="s">
        <v>18725</v>
      </c>
      <c r="X431" s="238" t="s">
        <v>18725</v>
      </c>
      <c r="Y431" s="239" t="str">
        <f>IF('CCUS Projects Database'!$R431&lt;&gt;"",HYPERLINK('CCUS Projects Database'!$R431,"Link 1"),"")</f>
        <v>Link 1</v>
      </c>
      <c r="Z431" s="239" t="str">
        <f>IF('CCUS Projects Database'!$S431&lt;&gt;"",HYPERLINK('CCUS Projects Database'!$S431,"Link 2"),"")</f>
        <v>Link 2</v>
      </c>
      <c r="AA431" s="239" t="str">
        <f>IF('CCUS Projects Database'!$T431&lt;&gt;"",HYPERLINK('CCUS Projects Database'!$T431,"Link 3"),"")</f>
        <v>Link 3</v>
      </c>
      <c r="AB431" s="239" t="str">
        <f>IF('CCUS Projects Database'!$U431&lt;&gt;"",HYPERLINK('CCUS Projects Database'!$U431,"Link 4"),"")</f>
        <v/>
      </c>
      <c r="AC431" s="239" t="str">
        <f>IF('CCUS Projects Database'!$V431&lt;&gt;"",HYPERLINK('CCUS Projects Database'!$V431,"Link 5"),"")</f>
        <v/>
      </c>
      <c r="AD431" s="239" t="str">
        <f>IF('CCUS Projects Database'!$W431&lt;&gt;"",HYPERLINK('CCUS Projects Database'!$W431,"Link 6"),"")</f>
        <v/>
      </c>
      <c r="AE431" s="239" t="str">
        <f>IF('CCUS Projects Database'!$X431&lt;&gt;"",HYPERLINK('CCUS Projects Database'!$X431,"Link 7"),"")</f>
        <v/>
      </c>
    </row>
    <row r="432" ht="14.25" customHeight="1">
      <c r="A432" s="233" t="s">
        <v>20465</v>
      </c>
      <c r="B432" s="234">
        <v>557.0</v>
      </c>
      <c r="C432" s="234" t="s">
        <v>161</v>
      </c>
      <c r="D432" s="235" t="s">
        <v>20466</v>
      </c>
      <c r="E432" s="234" t="s">
        <v>18618</v>
      </c>
      <c r="F432" s="234">
        <v>2022.0</v>
      </c>
      <c r="G432" s="234" t="s">
        <v>18725</v>
      </c>
      <c r="H432" s="234">
        <v>2028.0</v>
      </c>
      <c r="I432" s="234" t="s">
        <v>18725</v>
      </c>
      <c r="J432" s="234" t="s">
        <v>18636</v>
      </c>
      <c r="K432" s="236" t="s">
        <v>18725</v>
      </c>
      <c r="L432" s="236">
        <v>1.1</v>
      </c>
      <c r="M432" s="236">
        <v>1.1</v>
      </c>
      <c r="N432" s="234" t="s">
        <v>18663</v>
      </c>
      <c r="O432" s="237" t="s">
        <v>18675</v>
      </c>
      <c r="P432" s="238" t="s">
        <v>18834</v>
      </c>
      <c r="Q432" s="234" t="s">
        <v>18726</v>
      </c>
      <c r="R432" s="238" t="s">
        <v>20467</v>
      </c>
      <c r="S432" s="238" t="s">
        <v>20468</v>
      </c>
      <c r="T432" s="238" t="s">
        <v>20469</v>
      </c>
      <c r="U432" s="238" t="s">
        <v>20469</v>
      </c>
      <c r="V432" s="238" t="s">
        <v>18725</v>
      </c>
      <c r="W432" s="238" t="s">
        <v>18725</v>
      </c>
      <c r="X432" s="238" t="s">
        <v>18725</v>
      </c>
      <c r="Y432" s="239" t="str">
        <f>IF('CCUS Projects Database'!$R432&lt;&gt;"",HYPERLINK('CCUS Projects Database'!$R432,"Link 1"),"")</f>
        <v>Link 1</v>
      </c>
      <c r="Z432" s="239" t="str">
        <f>IF('CCUS Projects Database'!$S432&lt;&gt;"",HYPERLINK('CCUS Projects Database'!$S432,"Link 2"),"")</f>
        <v>Link 2</v>
      </c>
      <c r="AA432" s="239" t="str">
        <f>IF('CCUS Projects Database'!$T432&lt;&gt;"",HYPERLINK('CCUS Projects Database'!$T432,"Link 3"),"")</f>
        <v>Link 3</v>
      </c>
      <c r="AB432" s="239" t="str">
        <f>IF('CCUS Projects Database'!$U432&lt;&gt;"",HYPERLINK('CCUS Projects Database'!$U432,"Link 4"),"")</f>
        <v>Link 4</v>
      </c>
      <c r="AC432" s="239" t="str">
        <f>IF('CCUS Projects Database'!$V432&lt;&gt;"",HYPERLINK('CCUS Projects Database'!$V432,"Link 5"),"")</f>
        <v/>
      </c>
      <c r="AD432" s="239" t="str">
        <f>IF('CCUS Projects Database'!$W432&lt;&gt;"",HYPERLINK('CCUS Projects Database'!$W432,"Link 6"),"")</f>
        <v/>
      </c>
      <c r="AE432" s="239" t="str">
        <f>IF('CCUS Projects Database'!$X432&lt;&gt;"",HYPERLINK('CCUS Projects Database'!$X432,"Link 7"),"")</f>
        <v/>
      </c>
    </row>
    <row r="433" ht="14.25" customHeight="1">
      <c r="A433" s="233" t="s">
        <v>20470</v>
      </c>
      <c r="B433" s="234">
        <v>560.0</v>
      </c>
      <c r="C433" s="234" t="s">
        <v>18339</v>
      </c>
      <c r="D433" s="235" t="s">
        <v>20471</v>
      </c>
      <c r="E433" s="234" t="s">
        <v>18616</v>
      </c>
      <c r="F433" s="234">
        <v>2022.0</v>
      </c>
      <c r="G433" s="234" t="s">
        <v>18725</v>
      </c>
      <c r="H433" s="234">
        <v>2028.0</v>
      </c>
      <c r="I433" s="234" t="s">
        <v>18725</v>
      </c>
      <c r="J433" s="234" t="s">
        <v>18636</v>
      </c>
      <c r="K433" s="236">
        <v>1.0</v>
      </c>
      <c r="L433" s="236">
        <v>0.8</v>
      </c>
      <c r="M433" s="236">
        <v>0.8</v>
      </c>
      <c r="N433" s="234" t="s">
        <v>18663</v>
      </c>
      <c r="O433" s="237" t="s">
        <v>18675</v>
      </c>
      <c r="P433" s="238" t="s">
        <v>18725</v>
      </c>
      <c r="Q433" s="234" t="s">
        <v>18726</v>
      </c>
      <c r="R433" s="238" t="s">
        <v>20472</v>
      </c>
      <c r="S433" s="238" t="s">
        <v>20473</v>
      </c>
      <c r="T433" s="238" t="s">
        <v>18725</v>
      </c>
      <c r="U433" s="238" t="s">
        <v>18725</v>
      </c>
      <c r="V433" s="238" t="s">
        <v>18725</v>
      </c>
      <c r="W433" s="238" t="s">
        <v>18725</v>
      </c>
      <c r="X433" s="238" t="s">
        <v>18725</v>
      </c>
      <c r="Y433" s="239" t="str">
        <f>IF('CCUS Projects Database'!$R433&lt;&gt;"",HYPERLINK('CCUS Projects Database'!$R433,"Link 1"),"")</f>
        <v>Link 1</v>
      </c>
      <c r="Z433" s="239" t="str">
        <f>IF('CCUS Projects Database'!$S433&lt;&gt;"",HYPERLINK('CCUS Projects Database'!$S433,"Link 2"),"")</f>
        <v>Link 2</v>
      </c>
      <c r="AA433" s="239" t="str">
        <f>IF('CCUS Projects Database'!$T433&lt;&gt;"",HYPERLINK('CCUS Projects Database'!$T433,"Link 3"),"")</f>
        <v/>
      </c>
      <c r="AB433" s="239" t="str">
        <f>IF('CCUS Projects Database'!$U433&lt;&gt;"",HYPERLINK('CCUS Projects Database'!$U433,"Link 4"),"")</f>
        <v/>
      </c>
      <c r="AC433" s="239" t="str">
        <f>IF('CCUS Projects Database'!$V433&lt;&gt;"",HYPERLINK('CCUS Projects Database'!$V433,"Link 5"),"")</f>
        <v/>
      </c>
      <c r="AD433" s="239" t="str">
        <f>IF('CCUS Projects Database'!$W433&lt;&gt;"",HYPERLINK('CCUS Projects Database'!$W433,"Link 6"),"")</f>
        <v/>
      </c>
      <c r="AE433" s="239" t="str">
        <f>IF('CCUS Projects Database'!$X433&lt;&gt;"",HYPERLINK('CCUS Projects Database'!$X433,"Link 7"),"")</f>
        <v/>
      </c>
    </row>
    <row r="434" ht="14.25" customHeight="1">
      <c r="A434" s="233" t="s">
        <v>20474</v>
      </c>
      <c r="B434" s="234">
        <v>561.0</v>
      </c>
      <c r="C434" s="234" t="s">
        <v>120</v>
      </c>
      <c r="D434" s="235" t="s">
        <v>20475</v>
      </c>
      <c r="E434" s="234" t="s">
        <v>18625</v>
      </c>
      <c r="F434" s="234">
        <v>2021.0</v>
      </c>
      <c r="G434" s="234" t="s">
        <v>18725</v>
      </c>
      <c r="H434" s="234">
        <v>2026.0</v>
      </c>
      <c r="I434" s="234" t="s">
        <v>18725</v>
      </c>
      <c r="J434" s="234" t="s">
        <v>18636</v>
      </c>
      <c r="K434" s="236" t="s">
        <v>18725</v>
      </c>
      <c r="L434" s="236">
        <v>0.5</v>
      </c>
      <c r="M434" s="236">
        <v>0.5</v>
      </c>
      <c r="N434" s="234" t="s">
        <v>18663</v>
      </c>
      <c r="O434" s="237" t="s">
        <v>18679</v>
      </c>
      <c r="P434" s="238" t="s">
        <v>18725</v>
      </c>
      <c r="Q434" s="234" t="s">
        <v>18726</v>
      </c>
      <c r="R434" s="238" t="s">
        <v>20476</v>
      </c>
      <c r="S434" s="238" t="s">
        <v>18725</v>
      </c>
      <c r="T434" s="238" t="s">
        <v>18725</v>
      </c>
      <c r="U434" s="238" t="s">
        <v>18725</v>
      </c>
      <c r="V434" s="238" t="s">
        <v>18725</v>
      </c>
      <c r="W434" s="238" t="s">
        <v>18725</v>
      </c>
      <c r="X434" s="238" t="s">
        <v>18725</v>
      </c>
      <c r="Y434" s="239" t="str">
        <f>IF('CCUS Projects Database'!$R434&lt;&gt;"",HYPERLINK('CCUS Projects Database'!$R434,"Link 1"),"")</f>
        <v>Link 1</v>
      </c>
      <c r="Z434" s="239" t="str">
        <f>IF('CCUS Projects Database'!$S434&lt;&gt;"",HYPERLINK('CCUS Projects Database'!$S434,"Link 2"),"")</f>
        <v/>
      </c>
      <c r="AA434" s="239" t="str">
        <f>IF('CCUS Projects Database'!$T434&lt;&gt;"",HYPERLINK('CCUS Projects Database'!$T434,"Link 3"),"")</f>
        <v/>
      </c>
      <c r="AB434" s="239" t="str">
        <f>IF('CCUS Projects Database'!$U434&lt;&gt;"",HYPERLINK('CCUS Projects Database'!$U434,"Link 4"),"")</f>
        <v/>
      </c>
      <c r="AC434" s="239" t="str">
        <f>IF('CCUS Projects Database'!$V434&lt;&gt;"",HYPERLINK('CCUS Projects Database'!$V434,"Link 5"),"")</f>
        <v/>
      </c>
      <c r="AD434" s="239" t="str">
        <f>IF('CCUS Projects Database'!$W434&lt;&gt;"",HYPERLINK('CCUS Projects Database'!$W434,"Link 6"),"")</f>
        <v/>
      </c>
      <c r="AE434" s="239" t="str">
        <f>IF('CCUS Projects Database'!$X434&lt;&gt;"",HYPERLINK('CCUS Projects Database'!$X434,"Link 7"),"")</f>
        <v/>
      </c>
    </row>
    <row r="435" ht="14.25" customHeight="1">
      <c r="A435" s="233" t="s">
        <v>20477</v>
      </c>
      <c r="B435" s="234">
        <v>563.0</v>
      </c>
      <c r="C435" s="234" t="s">
        <v>51</v>
      </c>
      <c r="D435" s="235" t="s">
        <v>20478</v>
      </c>
      <c r="E435" s="234" t="s">
        <v>18625</v>
      </c>
      <c r="F435" s="234">
        <v>2020.0</v>
      </c>
      <c r="G435" s="234" t="s">
        <v>18725</v>
      </c>
      <c r="H435" s="234">
        <v>2027.0</v>
      </c>
      <c r="I435" s="234" t="s">
        <v>18725</v>
      </c>
      <c r="J435" s="234" t="s">
        <v>18636</v>
      </c>
      <c r="K435" s="236" t="s">
        <v>18725</v>
      </c>
      <c r="L435" s="236">
        <v>0.406</v>
      </c>
      <c r="M435" s="236">
        <v>0.406</v>
      </c>
      <c r="N435" s="234" t="s">
        <v>677</v>
      </c>
      <c r="O435" s="237" t="s">
        <v>18679</v>
      </c>
      <c r="P435" s="238" t="s">
        <v>18725</v>
      </c>
      <c r="Q435" s="234" t="s">
        <v>18726</v>
      </c>
      <c r="R435" s="238" t="s">
        <v>19591</v>
      </c>
      <c r="S435" s="238" t="s">
        <v>20479</v>
      </c>
      <c r="T435" s="238" t="s">
        <v>20480</v>
      </c>
      <c r="U435" s="238" t="s">
        <v>20481</v>
      </c>
      <c r="V435" s="238" t="s">
        <v>20482</v>
      </c>
      <c r="W435" s="238" t="s">
        <v>18725</v>
      </c>
      <c r="X435" s="238" t="s">
        <v>20483</v>
      </c>
      <c r="Y435" s="239" t="str">
        <f>IF('CCUS Projects Database'!$R435&lt;&gt;"",HYPERLINK('CCUS Projects Database'!$R435,"Link 1"),"")</f>
        <v>Link 1</v>
      </c>
      <c r="Z435" s="239" t="str">
        <f>IF('CCUS Projects Database'!$S435&lt;&gt;"",HYPERLINK('CCUS Projects Database'!$S435,"Link 2"),"")</f>
        <v>Link 2</v>
      </c>
      <c r="AA435" s="239" t="str">
        <f>IF('CCUS Projects Database'!$T435&lt;&gt;"",HYPERLINK('CCUS Projects Database'!$T435,"Link 3"),"")</f>
        <v>Link 3</v>
      </c>
      <c r="AB435" s="239" t="str">
        <f>IF('CCUS Projects Database'!$U435&lt;&gt;"",HYPERLINK('CCUS Projects Database'!$U435,"Link 4"),"")</f>
        <v>Link 4</v>
      </c>
      <c r="AC435" s="239" t="str">
        <f>IF('CCUS Projects Database'!$V435&lt;&gt;"",HYPERLINK('CCUS Projects Database'!$V435,"Link 5"),"")</f>
        <v>Link 5</v>
      </c>
      <c r="AD435" s="239" t="str">
        <f>IF('CCUS Projects Database'!$W435&lt;&gt;"",HYPERLINK('CCUS Projects Database'!$W435,"Link 6"),"")</f>
        <v/>
      </c>
      <c r="AE435" s="239" t="str">
        <f>IF('CCUS Projects Database'!$X435&lt;&gt;"",HYPERLINK('CCUS Projects Database'!$X435,"Link 7"),"")</f>
        <v>Link 7</v>
      </c>
    </row>
    <row r="436" ht="14.25" customHeight="1">
      <c r="A436" s="233" t="s">
        <v>20484</v>
      </c>
      <c r="B436" s="234">
        <v>564.0</v>
      </c>
      <c r="C436" s="234" t="s">
        <v>51</v>
      </c>
      <c r="D436" s="235" t="s">
        <v>20485</v>
      </c>
      <c r="E436" s="234" t="s">
        <v>18625</v>
      </c>
      <c r="F436" s="234">
        <v>2021.0</v>
      </c>
      <c r="G436" s="234" t="s">
        <v>18725</v>
      </c>
      <c r="H436" s="234">
        <v>2028.0</v>
      </c>
      <c r="I436" s="234" t="s">
        <v>18725</v>
      </c>
      <c r="J436" s="234" t="s">
        <v>18636</v>
      </c>
      <c r="K436" s="236" t="s">
        <v>18725</v>
      </c>
      <c r="L436" s="236">
        <v>0.207</v>
      </c>
      <c r="M436" s="236">
        <v>0.207</v>
      </c>
      <c r="N436" s="234" t="s">
        <v>18654</v>
      </c>
      <c r="O436" s="237" t="s">
        <v>18679</v>
      </c>
      <c r="P436" s="238" t="s">
        <v>18725</v>
      </c>
      <c r="Q436" s="234" t="s">
        <v>18726</v>
      </c>
      <c r="R436" s="238" t="s">
        <v>20486</v>
      </c>
      <c r="S436" s="238" t="s">
        <v>19591</v>
      </c>
      <c r="T436" s="238" t="s">
        <v>18725</v>
      </c>
      <c r="U436" s="238" t="s">
        <v>18725</v>
      </c>
      <c r="V436" s="238" t="s">
        <v>18725</v>
      </c>
      <c r="W436" s="238" t="s">
        <v>18725</v>
      </c>
      <c r="X436" s="238" t="s">
        <v>18725</v>
      </c>
      <c r="Y436" s="239" t="str">
        <f>IF('CCUS Projects Database'!$R436&lt;&gt;"",HYPERLINK('CCUS Projects Database'!$R436,"Link 1"),"")</f>
        <v>Link 1</v>
      </c>
      <c r="Z436" s="239" t="str">
        <f>IF('CCUS Projects Database'!$S436&lt;&gt;"",HYPERLINK('CCUS Projects Database'!$S436,"Link 2"),"")</f>
        <v>Link 2</v>
      </c>
      <c r="AA436" s="239" t="str">
        <f>IF('CCUS Projects Database'!$T436&lt;&gt;"",HYPERLINK('CCUS Projects Database'!$T436,"Link 3"),"")</f>
        <v/>
      </c>
      <c r="AB436" s="239" t="str">
        <f>IF('CCUS Projects Database'!$U436&lt;&gt;"",HYPERLINK('CCUS Projects Database'!$U436,"Link 4"),"")</f>
        <v/>
      </c>
      <c r="AC436" s="239" t="str">
        <f>IF('CCUS Projects Database'!$V436&lt;&gt;"",HYPERLINK('CCUS Projects Database'!$V436,"Link 5"),"")</f>
        <v/>
      </c>
      <c r="AD436" s="239" t="str">
        <f>IF('CCUS Projects Database'!$W436&lt;&gt;"",HYPERLINK('CCUS Projects Database'!$W436,"Link 6"),"")</f>
        <v/>
      </c>
      <c r="AE436" s="239" t="str">
        <f>IF('CCUS Projects Database'!$X436&lt;&gt;"",HYPERLINK('CCUS Projects Database'!$X436,"Link 7"),"")</f>
        <v/>
      </c>
    </row>
    <row r="437" ht="14.25" customHeight="1">
      <c r="A437" s="233" t="s">
        <v>20487</v>
      </c>
      <c r="B437" s="234">
        <v>565.0</v>
      </c>
      <c r="C437" s="234" t="s">
        <v>292</v>
      </c>
      <c r="D437" s="235" t="s">
        <v>20488</v>
      </c>
      <c r="E437" s="234" t="s">
        <v>18618</v>
      </c>
      <c r="F437" s="234">
        <v>2022.0</v>
      </c>
      <c r="G437" s="234" t="s">
        <v>18725</v>
      </c>
      <c r="H437" s="234">
        <v>2027.0</v>
      </c>
      <c r="I437" s="234" t="s">
        <v>18725</v>
      </c>
      <c r="J437" s="234" t="s">
        <v>18636</v>
      </c>
      <c r="K437" s="236" t="s">
        <v>18725</v>
      </c>
      <c r="L437" s="236">
        <v>1.2</v>
      </c>
      <c r="M437" s="236">
        <v>1.2</v>
      </c>
      <c r="N437" s="234" t="s">
        <v>18663</v>
      </c>
      <c r="O437" s="237" t="s">
        <v>18675</v>
      </c>
      <c r="P437" s="238" t="s">
        <v>19838</v>
      </c>
      <c r="Q437" s="234" t="s">
        <v>18726</v>
      </c>
      <c r="R437" s="238" t="s">
        <v>19591</v>
      </c>
      <c r="S437" s="238" t="s">
        <v>20489</v>
      </c>
      <c r="T437" s="238" t="s">
        <v>20490</v>
      </c>
      <c r="U437" s="238" t="s">
        <v>18725</v>
      </c>
      <c r="V437" s="238" t="s">
        <v>18725</v>
      </c>
      <c r="W437" s="238" t="s">
        <v>18725</v>
      </c>
      <c r="X437" s="238" t="s">
        <v>18725</v>
      </c>
      <c r="Y437" s="239" t="str">
        <f>IF('CCUS Projects Database'!$R437&lt;&gt;"",HYPERLINK('CCUS Projects Database'!$R437,"Link 1"),"")</f>
        <v>Link 1</v>
      </c>
      <c r="Z437" s="239" t="str">
        <f>IF('CCUS Projects Database'!$S437&lt;&gt;"",HYPERLINK('CCUS Projects Database'!$S437,"Link 2"),"")</f>
        <v>Link 2</v>
      </c>
      <c r="AA437" s="239" t="str">
        <f>IF('CCUS Projects Database'!$T437&lt;&gt;"",HYPERLINK('CCUS Projects Database'!$T437,"Link 3"),"")</f>
        <v>Link 3</v>
      </c>
      <c r="AB437" s="239" t="str">
        <f>IF('CCUS Projects Database'!$U437&lt;&gt;"",HYPERLINK('CCUS Projects Database'!$U437,"Link 4"),"")</f>
        <v/>
      </c>
      <c r="AC437" s="239" t="str">
        <f>IF('CCUS Projects Database'!$V437&lt;&gt;"",HYPERLINK('CCUS Projects Database'!$V437,"Link 5"),"")</f>
        <v/>
      </c>
      <c r="AD437" s="239" t="str">
        <f>IF('CCUS Projects Database'!$W437&lt;&gt;"",HYPERLINK('CCUS Projects Database'!$W437,"Link 6"),"")</f>
        <v/>
      </c>
      <c r="AE437" s="239" t="str">
        <f>IF('CCUS Projects Database'!$X437&lt;&gt;"",HYPERLINK('CCUS Projects Database'!$X437,"Link 7"),"")</f>
        <v/>
      </c>
    </row>
    <row r="438" ht="14.25" customHeight="1">
      <c r="A438" s="233" t="s">
        <v>20491</v>
      </c>
      <c r="B438" s="234">
        <v>567.0</v>
      </c>
      <c r="C438" s="234" t="s">
        <v>83</v>
      </c>
      <c r="D438" s="235" t="s">
        <v>20492</v>
      </c>
      <c r="E438" s="234" t="s">
        <v>18618</v>
      </c>
      <c r="F438" s="234">
        <v>2022.0</v>
      </c>
      <c r="G438" s="234" t="s">
        <v>18725</v>
      </c>
      <c r="H438" s="234" t="s">
        <v>18725</v>
      </c>
      <c r="I438" s="234" t="s">
        <v>18725</v>
      </c>
      <c r="J438" s="234" t="s">
        <v>18636</v>
      </c>
      <c r="K438" s="236" t="s">
        <v>18725</v>
      </c>
      <c r="L438" s="236" t="s">
        <v>18725</v>
      </c>
      <c r="M438" s="236" t="s">
        <v>18725</v>
      </c>
      <c r="N438" s="234" t="s">
        <v>18654</v>
      </c>
      <c r="O438" s="237" t="s">
        <v>18675</v>
      </c>
      <c r="P438" s="238" t="s">
        <v>20493</v>
      </c>
      <c r="Q438" s="234" t="s">
        <v>18726</v>
      </c>
      <c r="R438" s="238" t="s">
        <v>20494</v>
      </c>
      <c r="S438" s="238" t="s">
        <v>18725</v>
      </c>
      <c r="T438" s="238" t="s">
        <v>18725</v>
      </c>
      <c r="U438" s="238" t="s">
        <v>18725</v>
      </c>
      <c r="V438" s="238" t="s">
        <v>18725</v>
      </c>
      <c r="W438" s="238" t="s">
        <v>18725</v>
      </c>
      <c r="X438" s="238" t="s">
        <v>18725</v>
      </c>
      <c r="Y438" s="239" t="str">
        <f>IF('CCUS Projects Database'!$R438&lt;&gt;"",HYPERLINK('CCUS Projects Database'!$R438,"Link 1"),"")</f>
        <v>Link 1</v>
      </c>
      <c r="Z438" s="239" t="str">
        <f>IF('CCUS Projects Database'!$S438&lt;&gt;"",HYPERLINK('CCUS Projects Database'!$S438,"Link 2"),"")</f>
        <v/>
      </c>
      <c r="AA438" s="239" t="str">
        <f>IF('CCUS Projects Database'!$T438&lt;&gt;"",HYPERLINK('CCUS Projects Database'!$T438,"Link 3"),"")</f>
        <v/>
      </c>
      <c r="AB438" s="239" t="str">
        <f>IF('CCUS Projects Database'!$U438&lt;&gt;"",HYPERLINK('CCUS Projects Database'!$U438,"Link 4"),"")</f>
        <v/>
      </c>
      <c r="AC438" s="239" t="str">
        <f>IF('CCUS Projects Database'!$V438&lt;&gt;"",HYPERLINK('CCUS Projects Database'!$V438,"Link 5"),"")</f>
        <v/>
      </c>
      <c r="AD438" s="239" t="str">
        <f>IF('CCUS Projects Database'!$W438&lt;&gt;"",HYPERLINK('CCUS Projects Database'!$W438,"Link 6"),"")</f>
        <v/>
      </c>
      <c r="AE438" s="239" t="str">
        <f>IF('CCUS Projects Database'!$X438&lt;&gt;"",HYPERLINK('CCUS Projects Database'!$X438,"Link 7"),"")</f>
        <v/>
      </c>
    </row>
    <row r="439" ht="14.25" customHeight="1">
      <c r="A439" s="233" t="s">
        <v>20495</v>
      </c>
      <c r="B439" s="234">
        <v>568.0</v>
      </c>
      <c r="C439" s="234" t="s">
        <v>83</v>
      </c>
      <c r="D439" s="235" t="s">
        <v>20496</v>
      </c>
      <c r="E439" s="234" t="s">
        <v>18618</v>
      </c>
      <c r="F439" s="234">
        <v>2022.0</v>
      </c>
      <c r="G439" s="234" t="s">
        <v>18725</v>
      </c>
      <c r="H439" s="234">
        <v>2026.0</v>
      </c>
      <c r="I439" s="234" t="s">
        <v>18725</v>
      </c>
      <c r="J439" s="234" t="s">
        <v>18636</v>
      </c>
      <c r="K439" s="236" t="s">
        <v>18725</v>
      </c>
      <c r="L439" s="236">
        <v>2.0</v>
      </c>
      <c r="M439" s="236">
        <v>2.0</v>
      </c>
      <c r="N439" s="234" t="s">
        <v>18654</v>
      </c>
      <c r="O439" s="237" t="s">
        <v>18675</v>
      </c>
      <c r="P439" s="238" t="s">
        <v>20497</v>
      </c>
      <c r="Q439" s="234" t="s">
        <v>18726</v>
      </c>
      <c r="R439" s="238" t="s">
        <v>20494</v>
      </c>
      <c r="S439" s="238" t="s">
        <v>20498</v>
      </c>
      <c r="T439" s="238" t="s">
        <v>20499</v>
      </c>
      <c r="U439" s="238" t="s">
        <v>18725</v>
      </c>
      <c r="V439" s="238" t="s">
        <v>18725</v>
      </c>
      <c r="W439" s="238" t="s">
        <v>18725</v>
      </c>
      <c r="X439" s="238" t="s">
        <v>18725</v>
      </c>
      <c r="Y439" s="239" t="str">
        <f>IF('CCUS Projects Database'!$R439&lt;&gt;"",HYPERLINK('CCUS Projects Database'!$R439,"Link 1"),"")</f>
        <v>Link 1</v>
      </c>
      <c r="Z439" s="239" t="str">
        <f>IF('CCUS Projects Database'!$S439&lt;&gt;"",HYPERLINK('CCUS Projects Database'!$S439,"Link 2"),"")</f>
        <v>Link 2</v>
      </c>
      <c r="AA439" s="239" t="str">
        <f>IF('CCUS Projects Database'!$T439&lt;&gt;"",HYPERLINK('CCUS Projects Database'!$T439,"Link 3"),"")</f>
        <v>Link 3</v>
      </c>
      <c r="AB439" s="239" t="str">
        <f>IF('CCUS Projects Database'!$U439&lt;&gt;"",HYPERLINK('CCUS Projects Database'!$U439,"Link 4"),"")</f>
        <v/>
      </c>
      <c r="AC439" s="239" t="str">
        <f>IF('CCUS Projects Database'!$V439&lt;&gt;"",HYPERLINK('CCUS Projects Database'!$V439,"Link 5"),"")</f>
        <v/>
      </c>
      <c r="AD439" s="239" t="str">
        <f>IF('CCUS Projects Database'!$W439&lt;&gt;"",HYPERLINK('CCUS Projects Database'!$W439,"Link 6"),"")</f>
        <v/>
      </c>
      <c r="AE439" s="239" t="str">
        <f>IF('CCUS Projects Database'!$X439&lt;&gt;"",HYPERLINK('CCUS Projects Database'!$X439,"Link 7"),"")</f>
        <v/>
      </c>
    </row>
    <row r="440" ht="14.25" customHeight="1">
      <c r="A440" s="233" t="s">
        <v>20500</v>
      </c>
      <c r="B440" s="234">
        <v>569.0</v>
      </c>
      <c r="C440" s="234" t="s">
        <v>83</v>
      </c>
      <c r="D440" s="235" t="s">
        <v>20492</v>
      </c>
      <c r="E440" s="234" t="s">
        <v>18618</v>
      </c>
      <c r="F440" s="234">
        <v>2022.0</v>
      </c>
      <c r="G440" s="234" t="s">
        <v>18725</v>
      </c>
      <c r="H440" s="234" t="s">
        <v>18725</v>
      </c>
      <c r="I440" s="234" t="s">
        <v>18725</v>
      </c>
      <c r="J440" s="234" t="s">
        <v>18636</v>
      </c>
      <c r="K440" s="236" t="s">
        <v>18725</v>
      </c>
      <c r="L440" s="236" t="s">
        <v>18725</v>
      </c>
      <c r="M440" s="236" t="s">
        <v>18725</v>
      </c>
      <c r="N440" s="234" t="s">
        <v>18654</v>
      </c>
      <c r="O440" s="237" t="s">
        <v>18675</v>
      </c>
      <c r="P440" s="238" t="s">
        <v>20493</v>
      </c>
      <c r="Q440" s="234" t="s">
        <v>18726</v>
      </c>
      <c r="R440" s="238" t="s">
        <v>20494</v>
      </c>
      <c r="S440" s="238" t="s">
        <v>18725</v>
      </c>
      <c r="T440" s="238" t="s">
        <v>18725</v>
      </c>
      <c r="U440" s="238" t="s">
        <v>18725</v>
      </c>
      <c r="V440" s="238" t="s">
        <v>18725</v>
      </c>
      <c r="W440" s="238" t="s">
        <v>18725</v>
      </c>
      <c r="X440" s="238" t="s">
        <v>18725</v>
      </c>
      <c r="Y440" s="239" t="str">
        <f>IF('CCUS Projects Database'!$R440&lt;&gt;"",HYPERLINK('CCUS Projects Database'!$R440,"Link 1"),"")</f>
        <v>Link 1</v>
      </c>
      <c r="Z440" s="239" t="str">
        <f>IF('CCUS Projects Database'!$S440&lt;&gt;"",HYPERLINK('CCUS Projects Database'!$S440,"Link 2"),"")</f>
        <v/>
      </c>
      <c r="AA440" s="239" t="str">
        <f>IF('CCUS Projects Database'!$T440&lt;&gt;"",HYPERLINK('CCUS Projects Database'!$T440,"Link 3"),"")</f>
        <v/>
      </c>
      <c r="AB440" s="239" t="str">
        <f>IF('CCUS Projects Database'!$U440&lt;&gt;"",HYPERLINK('CCUS Projects Database'!$U440,"Link 4"),"")</f>
        <v/>
      </c>
      <c r="AC440" s="239" t="str">
        <f>IF('CCUS Projects Database'!$V440&lt;&gt;"",HYPERLINK('CCUS Projects Database'!$V440,"Link 5"),"")</f>
        <v/>
      </c>
      <c r="AD440" s="239" t="str">
        <f>IF('CCUS Projects Database'!$W440&lt;&gt;"",HYPERLINK('CCUS Projects Database'!$W440,"Link 6"),"")</f>
        <v/>
      </c>
      <c r="AE440" s="239" t="str">
        <f>IF('CCUS Projects Database'!$X440&lt;&gt;"",HYPERLINK('CCUS Projects Database'!$X440,"Link 7"),"")</f>
        <v/>
      </c>
    </row>
    <row r="441" ht="14.25" customHeight="1">
      <c r="A441" s="233" t="s">
        <v>20493</v>
      </c>
      <c r="B441" s="234">
        <v>570.0</v>
      </c>
      <c r="C441" s="234" t="s">
        <v>83</v>
      </c>
      <c r="D441" s="235" t="s">
        <v>20501</v>
      </c>
      <c r="E441" s="234" t="s">
        <v>18623</v>
      </c>
      <c r="F441" s="234">
        <v>2022.0</v>
      </c>
      <c r="G441" s="234">
        <v>2028.0</v>
      </c>
      <c r="H441" s="234">
        <v>2032.0</v>
      </c>
      <c r="I441" s="234" t="s">
        <v>18725</v>
      </c>
      <c r="J441" s="234" t="s">
        <v>18636</v>
      </c>
      <c r="K441" s="236" t="s">
        <v>18725</v>
      </c>
      <c r="L441" s="236">
        <v>6.0</v>
      </c>
      <c r="M441" s="236">
        <v>6.0</v>
      </c>
      <c r="N441" s="234" t="s">
        <v>18623</v>
      </c>
      <c r="O441" s="237" t="s">
        <v>18675</v>
      </c>
      <c r="P441" s="238" t="s">
        <v>20493</v>
      </c>
      <c r="Q441" s="234" t="s">
        <v>18726</v>
      </c>
      <c r="R441" s="238" t="s">
        <v>20494</v>
      </c>
      <c r="S441" s="238" t="s">
        <v>20502</v>
      </c>
      <c r="T441" s="238" t="s">
        <v>18725</v>
      </c>
      <c r="U441" s="238" t="s">
        <v>18725</v>
      </c>
      <c r="V441" s="238" t="s">
        <v>18725</v>
      </c>
      <c r="W441" s="238" t="s">
        <v>18725</v>
      </c>
      <c r="X441" s="238" t="s">
        <v>18725</v>
      </c>
      <c r="Y441" s="239" t="str">
        <f>IF('CCUS Projects Database'!$R441&lt;&gt;"",HYPERLINK('CCUS Projects Database'!$R441,"Link 1"),"")</f>
        <v>Link 1</v>
      </c>
      <c r="Z441" s="239" t="str">
        <f>IF('CCUS Projects Database'!$S441&lt;&gt;"",HYPERLINK('CCUS Projects Database'!$S441,"Link 2"),"")</f>
        <v>Link 2</v>
      </c>
      <c r="AA441" s="239" t="str">
        <f>IF('CCUS Projects Database'!$T441&lt;&gt;"",HYPERLINK('CCUS Projects Database'!$T441,"Link 3"),"")</f>
        <v/>
      </c>
      <c r="AB441" s="239" t="str">
        <f>IF('CCUS Projects Database'!$U441&lt;&gt;"",HYPERLINK('CCUS Projects Database'!$U441,"Link 4"),"")</f>
        <v/>
      </c>
      <c r="AC441" s="239" t="str">
        <f>IF('CCUS Projects Database'!$V441&lt;&gt;"",HYPERLINK('CCUS Projects Database'!$V441,"Link 5"),"")</f>
        <v/>
      </c>
      <c r="AD441" s="239" t="str">
        <f>IF('CCUS Projects Database'!$W441&lt;&gt;"",HYPERLINK('CCUS Projects Database'!$W441,"Link 6"),"")</f>
        <v/>
      </c>
      <c r="AE441" s="239" t="str">
        <f>IF('CCUS Projects Database'!$X441&lt;&gt;"",HYPERLINK('CCUS Projects Database'!$X441,"Link 7"),"")</f>
        <v/>
      </c>
    </row>
    <row r="442" ht="14.25" customHeight="1">
      <c r="A442" s="233" t="s">
        <v>20503</v>
      </c>
      <c r="B442" s="234">
        <v>571.0</v>
      </c>
      <c r="C442" s="234" t="s">
        <v>18329</v>
      </c>
      <c r="D442" s="235" t="s">
        <v>20504</v>
      </c>
      <c r="E442" s="234" t="s">
        <v>18618</v>
      </c>
      <c r="F442" s="234">
        <v>2022.0</v>
      </c>
      <c r="G442" s="234" t="s">
        <v>18725</v>
      </c>
      <c r="H442" s="234">
        <v>2026.0</v>
      </c>
      <c r="I442" s="234" t="s">
        <v>18725</v>
      </c>
      <c r="J442" s="234" t="s">
        <v>18636</v>
      </c>
      <c r="K442" s="236" t="s">
        <v>18725</v>
      </c>
      <c r="L442" s="236">
        <v>2.0</v>
      </c>
      <c r="M442" s="236">
        <v>2.0</v>
      </c>
      <c r="N442" s="234" t="s">
        <v>18656</v>
      </c>
      <c r="O442" s="237" t="s">
        <v>18675</v>
      </c>
      <c r="P442" s="238" t="s">
        <v>20021</v>
      </c>
      <c r="Q442" s="234" t="s">
        <v>18762</v>
      </c>
      <c r="R442" s="238" t="s">
        <v>18725</v>
      </c>
      <c r="S442" s="238" t="s">
        <v>18725</v>
      </c>
      <c r="T442" s="238" t="s">
        <v>18725</v>
      </c>
      <c r="U442" s="238" t="s">
        <v>18725</v>
      </c>
      <c r="V442" s="238" t="s">
        <v>18725</v>
      </c>
      <c r="W442" s="238" t="s">
        <v>18725</v>
      </c>
      <c r="X442" s="238" t="s">
        <v>18725</v>
      </c>
      <c r="Y442" s="239" t="str">
        <f>IF('CCUS Projects Database'!$R442&lt;&gt;"",HYPERLINK('CCUS Projects Database'!$R442,"Link 1"),"")</f>
        <v/>
      </c>
      <c r="Z442" s="239" t="str">
        <f>IF('CCUS Projects Database'!$S442&lt;&gt;"",HYPERLINK('CCUS Projects Database'!$S442,"Link 2"),"")</f>
        <v/>
      </c>
      <c r="AA442" s="239" t="str">
        <f>IF('CCUS Projects Database'!$T442&lt;&gt;"",HYPERLINK('CCUS Projects Database'!$T442,"Link 3"),"")</f>
        <v/>
      </c>
      <c r="AB442" s="239" t="str">
        <f>IF('CCUS Projects Database'!$U442&lt;&gt;"",HYPERLINK('CCUS Projects Database'!$U442,"Link 4"),"")</f>
        <v/>
      </c>
      <c r="AC442" s="239" t="str">
        <f>IF('CCUS Projects Database'!$V442&lt;&gt;"",HYPERLINK('CCUS Projects Database'!$V442,"Link 5"),"")</f>
        <v/>
      </c>
      <c r="AD442" s="239" t="str">
        <f>IF('CCUS Projects Database'!$W442&lt;&gt;"",HYPERLINK('CCUS Projects Database'!$W442,"Link 6"),"")</f>
        <v/>
      </c>
      <c r="AE442" s="239" t="str">
        <f>IF('CCUS Projects Database'!$X442&lt;&gt;"",HYPERLINK('CCUS Projects Database'!$X442,"Link 7"),"")</f>
        <v/>
      </c>
    </row>
    <row r="443" ht="14.25" customHeight="1">
      <c r="A443" s="233" t="s">
        <v>20505</v>
      </c>
      <c r="B443" s="234">
        <v>572.0</v>
      </c>
      <c r="C443" s="234" t="s">
        <v>18264</v>
      </c>
      <c r="D443" s="235" t="s">
        <v>20506</v>
      </c>
      <c r="E443" s="234" t="s">
        <v>18618</v>
      </c>
      <c r="F443" s="234">
        <v>2021.0</v>
      </c>
      <c r="G443" s="234">
        <v>2025.0</v>
      </c>
      <c r="H443" s="234">
        <v>2027.0</v>
      </c>
      <c r="I443" s="234" t="s">
        <v>18725</v>
      </c>
      <c r="J443" s="234" t="s">
        <v>18636</v>
      </c>
      <c r="K443" s="236" t="s">
        <v>18725</v>
      </c>
      <c r="L443" s="236" t="s">
        <v>18725</v>
      </c>
      <c r="M443" s="236" t="s">
        <v>18725</v>
      </c>
      <c r="N443" s="234" t="s">
        <v>12270</v>
      </c>
      <c r="O443" s="237" t="s">
        <v>18675</v>
      </c>
      <c r="P443" s="238" t="s">
        <v>20507</v>
      </c>
      <c r="Q443" s="234" t="s">
        <v>18732</v>
      </c>
      <c r="R443" s="238" t="s">
        <v>20508</v>
      </c>
      <c r="S443" s="238" t="s">
        <v>20509</v>
      </c>
      <c r="T443" s="238" t="s">
        <v>18725</v>
      </c>
      <c r="U443" s="238" t="s">
        <v>18725</v>
      </c>
      <c r="V443" s="238" t="s">
        <v>18725</v>
      </c>
      <c r="W443" s="238" t="s">
        <v>18725</v>
      </c>
      <c r="X443" s="238" t="s">
        <v>18725</v>
      </c>
      <c r="Y443" s="239" t="str">
        <f>IF('CCUS Projects Database'!$R443&lt;&gt;"",HYPERLINK('CCUS Projects Database'!$R443,"Link 1"),"")</f>
        <v>Link 1</v>
      </c>
      <c r="Z443" s="239" t="str">
        <f>IF('CCUS Projects Database'!$S443&lt;&gt;"",HYPERLINK('CCUS Projects Database'!$S443,"Link 2"),"")</f>
        <v>Link 2</v>
      </c>
      <c r="AA443" s="239" t="str">
        <f>IF('CCUS Projects Database'!$T443&lt;&gt;"",HYPERLINK('CCUS Projects Database'!$T443,"Link 3"),"")</f>
        <v/>
      </c>
      <c r="AB443" s="239" t="str">
        <f>IF('CCUS Projects Database'!$U443&lt;&gt;"",HYPERLINK('CCUS Projects Database'!$U443,"Link 4"),"")</f>
        <v/>
      </c>
      <c r="AC443" s="239" t="str">
        <f>IF('CCUS Projects Database'!$V443&lt;&gt;"",HYPERLINK('CCUS Projects Database'!$V443,"Link 5"),"")</f>
        <v/>
      </c>
      <c r="AD443" s="239" t="str">
        <f>IF('CCUS Projects Database'!$W443&lt;&gt;"",HYPERLINK('CCUS Projects Database'!$W443,"Link 6"),"")</f>
        <v/>
      </c>
      <c r="AE443" s="239" t="str">
        <f>IF('CCUS Projects Database'!$X443&lt;&gt;"",HYPERLINK('CCUS Projects Database'!$X443,"Link 7"),"")</f>
        <v/>
      </c>
    </row>
    <row r="444" ht="14.25" customHeight="1">
      <c r="A444" s="233" t="s">
        <v>20510</v>
      </c>
      <c r="B444" s="234">
        <v>573.0</v>
      </c>
      <c r="C444" s="234" t="s">
        <v>18264</v>
      </c>
      <c r="D444" s="235" t="s">
        <v>20511</v>
      </c>
      <c r="E444" s="234" t="s">
        <v>18618</v>
      </c>
      <c r="F444" s="234">
        <v>2021.0</v>
      </c>
      <c r="G444" s="234" t="s">
        <v>18725</v>
      </c>
      <c r="H444" s="234">
        <v>2026.0</v>
      </c>
      <c r="I444" s="234" t="s">
        <v>18725</v>
      </c>
      <c r="J444" s="234" t="s">
        <v>18636</v>
      </c>
      <c r="K444" s="236" t="s">
        <v>18725</v>
      </c>
      <c r="L444" s="236" t="s">
        <v>18725</v>
      </c>
      <c r="M444" s="236" t="s">
        <v>18725</v>
      </c>
      <c r="N444" s="234" t="s">
        <v>12270</v>
      </c>
      <c r="O444" s="237" t="s">
        <v>18675</v>
      </c>
      <c r="P444" s="238" t="s">
        <v>20507</v>
      </c>
      <c r="Q444" s="234" t="s">
        <v>18732</v>
      </c>
      <c r="R444" s="238" t="s">
        <v>20508</v>
      </c>
      <c r="S444" s="238" t="s">
        <v>20509</v>
      </c>
      <c r="T444" s="238" t="s">
        <v>18725</v>
      </c>
      <c r="U444" s="238" t="s">
        <v>18725</v>
      </c>
      <c r="V444" s="238" t="s">
        <v>18725</v>
      </c>
      <c r="W444" s="238" t="s">
        <v>18725</v>
      </c>
      <c r="X444" s="238" t="s">
        <v>18725</v>
      </c>
      <c r="Y444" s="239" t="str">
        <f>IF('CCUS Projects Database'!$R444&lt;&gt;"",HYPERLINK('CCUS Projects Database'!$R444,"Link 1"),"")</f>
        <v>Link 1</v>
      </c>
      <c r="Z444" s="239" t="str">
        <f>IF('CCUS Projects Database'!$S444&lt;&gt;"",HYPERLINK('CCUS Projects Database'!$S444,"Link 2"),"")</f>
        <v>Link 2</v>
      </c>
      <c r="AA444" s="239" t="str">
        <f>IF('CCUS Projects Database'!$T444&lt;&gt;"",HYPERLINK('CCUS Projects Database'!$T444,"Link 3"),"")</f>
        <v/>
      </c>
      <c r="AB444" s="239" t="str">
        <f>IF('CCUS Projects Database'!$U444&lt;&gt;"",HYPERLINK('CCUS Projects Database'!$U444,"Link 4"),"")</f>
        <v/>
      </c>
      <c r="AC444" s="239" t="str">
        <f>IF('CCUS Projects Database'!$V444&lt;&gt;"",HYPERLINK('CCUS Projects Database'!$V444,"Link 5"),"")</f>
        <v/>
      </c>
      <c r="AD444" s="239" t="str">
        <f>IF('CCUS Projects Database'!$W444&lt;&gt;"",HYPERLINK('CCUS Projects Database'!$W444,"Link 6"),"")</f>
        <v/>
      </c>
      <c r="AE444" s="239" t="str">
        <f>IF('CCUS Projects Database'!$X444&lt;&gt;"",HYPERLINK('CCUS Projects Database'!$X444,"Link 7"),"")</f>
        <v/>
      </c>
    </row>
    <row r="445" ht="14.25" customHeight="1">
      <c r="A445" s="233" t="s">
        <v>20512</v>
      </c>
      <c r="B445" s="234">
        <v>574.0</v>
      </c>
      <c r="C445" s="234" t="s">
        <v>18264</v>
      </c>
      <c r="D445" s="235" t="s">
        <v>20513</v>
      </c>
      <c r="E445" s="234" t="s">
        <v>18623</v>
      </c>
      <c r="F445" s="234">
        <v>2021.0</v>
      </c>
      <c r="G445" s="234">
        <v>2026.0</v>
      </c>
      <c r="H445" s="234">
        <v>2026.0</v>
      </c>
      <c r="I445" s="234" t="s">
        <v>18725</v>
      </c>
      <c r="J445" s="234" t="s">
        <v>18636</v>
      </c>
      <c r="K445" s="236">
        <v>2.0</v>
      </c>
      <c r="L445" s="236" t="s">
        <v>20514</v>
      </c>
      <c r="M445" s="236">
        <v>3.0</v>
      </c>
      <c r="N445" s="234" t="s">
        <v>18623</v>
      </c>
      <c r="O445" s="237" t="s">
        <v>18675</v>
      </c>
      <c r="P445" s="238" t="s">
        <v>20507</v>
      </c>
      <c r="Q445" s="234" t="s">
        <v>18732</v>
      </c>
      <c r="R445" s="238" t="s">
        <v>20508</v>
      </c>
      <c r="S445" s="238" t="s">
        <v>18725</v>
      </c>
      <c r="T445" s="238" t="s">
        <v>18725</v>
      </c>
      <c r="U445" s="238" t="s">
        <v>18725</v>
      </c>
      <c r="V445" s="238" t="s">
        <v>18725</v>
      </c>
      <c r="W445" s="238" t="s">
        <v>18725</v>
      </c>
      <c r="X445" s="238" t="s">
        <v>18725</v>
      </c>
      <c r="Y445" s="239" t="str">
        <f>IF('CCUS Projects Database'!$R445&lt;&gt;"",HYPERLINK('CCUS Projects Database'!$R445,"Link 1"),"")</f>
        <v>Link 1</v>
      </c>
      <c r="Z445" s="239" t="str">
        <f>IF('CCUS Projects Database'!$S445&lt;&gt;"",HYPERLINK('CCUS Projects Database'!$S445,"Link 2"),"")</f>
        <v/>
      </c>
      <c r="AA445" s="239" t="str">
        <f>IF('CCUS Projects Database'!$T445&lt;&gt;"",HYPERLINK('CCUS Projects Database'!$T445,"Link 3"),"")</f>
        <v/>
      </c>
      <c r="AB445" s="239" t="str">
        <f>IF('CCUS Projects Database'!$U445&lt;&gt;"",HYPERLINK('CCUS Projects Database'!$U445,"Link 4"),"")</f>
        <v/>
      </c>
      <c r="AC445" s="239" t="str">
        <f>IF('CCUS Projects Database'!$V445&lt;&gt;"",HYPERLINK('CCUS Projects Database'!$V445,"Link 5"),"")</f>
        <v/>
      </c>
      <c r="AD445" s="239" t="str">
        <f>IF('CCUS Projects Database'!$W445&lt;&gt;"",HYPERLINK('CCUS Projects Database'!$W445,"Link 6"),"")</f>
        <v/>
      </c>
      <c r="AE445" s="239" t="str">
        <f>IF('CCUS Projects Database'!$X445&lt;&gt;"",HYPERLINK('CCUS Projects Database'!$X445,"Link 7"),"")</f>
        <v/>
      </c>
    </row>
    <row r="446" ht="14.25" customHeight="1">
      <c r="A446" s="233" t="s">
        <v>20515</v>
      </c>
      <c r="B446" s="234">
        <v>579.0</v>
      </c>
      <c r="C446" s="234" t="s">
        <v>18586</v>
      </c>
      <c r="D446" s="235" t="s">
        <v>20516</v>
      </c>
      <c r="E446" s="234" t="s">
        <v>3</v>
      </c>
      <c r="F446" s="234">
        <v>2020.0</v>
      </c>
      <c r="G446" s="234" t="s">
        <v>18725</v>
      </c>
      <c r="H446" s="234">
        <v>2030.0</v>
      </c>
      <c r="I446" s="234" t="s">
        <v>18725</v>
      </c>
      <c r="J446" s="234" t="s">
        <v>18636</v>
      </c>
      <c r="K446" s="236" t="s">
        <v>18725</v>
      </c>
      <c r="L446" s="236">
        <v>2.7</v>
      </c>
      <c r="M446" s="236">
        <v>2.7</v>
      </c>
      <c r="N446" s="234" t="s">
        <v>3</v>
      </c>
      <c r="O446" s="237" t="s">
        <v>18675</v>
      </c>
      <c r="P446" s="238" t="s">
        <v>20517</v>
      </c>
      <c r="Q446" s="234" t="s">
        <v>18732</v>
      </c>
      <c r="R446" s="238" t="s">
        <v>20518</v>
      </c>
      <c r="S446" s="238" t="s">
        <v>20519</v>
      </c>
      <c r="T446" s="238" t="s">
        <v>20520</v>
      </c>
      <c r="U446" s="238" t="s">
        <v>18725</v>
      </c>
      <c r="V446" s="238" t="s">
        <v>18725</v>
      </c>
      <c r="W446" s="238" t="s">
        <v>18725</v>
      </c>
      <c r="X446" s="238" t="s">
        <v>18725</v>
      </c>
      <c r="Y446" s="239" t="str">
        <f>IF('CCUS Projects Database'!$R446&lt;&gt;"",HYPERLINK('CCUS Projects Database'!$R446,"Link 1"),"")</f>
        <v>Link 1</v>
      </c>
      <c r="Z446" s="239" t="str">
        <f>IF('CCUS Projects Database'!$S446&lt;&gt;"",HYPERLINK('CCUS Projects Database'!$S446,"Link 2"),"")</f>
        <v>Link 2</v>
      </c>
      <c r="AA446" s="239" t="str">
        <f>IF('CCUS Projects Database'!$T446&lt;&gt;"",HYPERLINK('CCUS Projects Database'!$T446,"Link 3"),"")</f>
        <v>Link 3</v>
      </c>
      <c r="AB446" s="239" t="str">
        <f>IF('CCUS Projects Database'!$U446&lt;&gt;"",HYPERLINK('CCUS Projects Database'!$U446,"Link 4"),"")</f>
        <v/>
      </c>
      <c r="AC446" s="239" t="str">
        <f>IF('CCUS Projects Database'!$V446&lt;&gt;"",HYPERLINK('CCUS Projects Database'!$V446,"Link 5"),"")</f>
        <v/>
      </c>
      <c r="AD446" s="239" t="str">
        <f>IF('CCUS Projects Database'!$W446&lt;&gt;"",HYPERLINK('CCUS Projects Database'!$W446,"Link 6"),"")</f>
        <v/>
      </c>
      <c r="AE446" s="239" t="str">
        <f>IF('CCUS Projects Database'!$X446&lt;&gt;"",HYPERLINK('CCUS Projects Database'!$X446,"Link 7"),"")</f>
        <v/>
      </c>
    </row>
    <row r="447" ht="14.25" customHeight="1">
      <c r="A447" s="233" t="s">
        <v>9341</v>
      </c>
      <c r="B447" s="234">
        <v>581.0</v>
      </c>
      <c r="C447" s="234" t="s">
        <v>120</v>
      </c>
      <c r="D447" s="235" t="s">
        <v>20171</v>
      </c>
      <c r="E447" s="234" t="s">
        <v>18625</v>
      </c>
      <c r="F447" s="234">
        <v>2022.0</v>
      </c>
      <c r="G447" s="234">
        <v>2022.0</v>
      </c>
      <c r="H447" s="234">
        <v>2025.0</v>
      </c>
      <c r="I447" s="234" t="s">
        <v>18725</v>
      </c>
      <c r="J447" s="234" t="s">
        <v>18638</v>
      </c>
      <c r="K447" s="236" t="s">
        <v>18725</v>
      </c>
      <c r="L447" s="236">
        <v>0.11</v>
      </c>
      <c r="M447" s="236">
        <v>0.11</v>
      </c>
      <c r="N447" s="234" t="s">
        <v>18661</v>
      </c>
      <c r="O447" s="237" t="s">
        <v>18679</v>
      </c>
      <c r="P447" s="238" t="s">
        <v>18725</v>
      </c>
      <c r="Q447" s="234" t="s">
        <v>18726</v>
      </c>
      <c r="R447" s="238" t="s">
        <v>17114</v>
      </c>
      <c r="S447" s="238" t="s">
        <v>18725</v>
      </c>
      <c r="T447" s="238" t="s">
        <v>18725</v>
      </c>
      <c r="U447" s="238" t="s">
        <v>18725</v>
      </c>
      <c r="V447" s="238" t="s">
        <v>18725</v>
      </c>
      <c r="W447" s="238" t="s">
        <v>18725</v>
      </c>
      <c r="X447" s="238" t="s">
        <v>18725</v>
      </c>
      <c r="Y447" s="239" t="str">
        <f>IF('CCUS Projects Database'!$R447&lt;&gt;"",HYPERLINK('CCUS Projects Database'!$R447,"Link 1"),"")</f>
        <v>Link 1</v>
      </c>
      <c r="Z447" s="239" t="str">
        <f>IF('CCUS Projects Database'!$S447&lt;&gt;"",HYPERLINK('CCUS Projects Database'!$S447,"Link 2"),"")</f>
        <v/>
      </c>
      <c r="AA447" s="239" t="str">
        <f>IF('CCUS Projects Database'!$T447&lt;&gt;"",HYPERLINK('CCUS Projects Database'!$T447,"Link 3"),"")</f>
        <v/>
      </c>
      <c r="AB447" s="239" t="str">
        <f>IF('CCUS Projects Database'!$U447&lt;&gt;"",HYPERLINK('CCUS Projects Database'!$U447,"Link 4"),"")</f>
        <v/>
      </c>
      <c r="AC447" s="239" t="str">
        <f>IF('CCUS Projects Database'!$V447&lt;&gt;"",HYPERLINK('CCUS Projects Database'!$V447,"Link 5"),"")</f>
        <v/>
      </c>
      <c r="AD447" s="239" t="str">
        <f>IF('CCUS Projects Database'!$W447&lt;&gt;"",HYPERLINK('CCUS Projects Database'!$W447,"Link 6"),"")</f>
        <v/>
      </c>
      <c r="AE447" s="239" t="str">
        <f>IF('CCUS Projects Database'!$X447&lt;&gt;"",HYPERLINK('CCUS Projects Database'!$X447,"Link 7"),"")</f>
        <v/>
      </c>
    </row>
    <row r="448" ht="14.25" customHeight="1">
      <c r="A448" s="233" t="s">
        <v>20521</v>
      </c>
      <c r="B448" s="234">
        <v>582.0</v>
      </c>
      <c r="C448" s="234" t="s">
        <v>120</v>
      </c>
      <c r="D448" s="235">
        <v>0.0</v>
      </c>
      <c r="E448" s="234" t="s">
        <v>18618</v>
      </c>
      <c r="F448" s="234">
        <v>2020.0</v>
      </c>
      <c r="G448" s="234" t="s">
        <v>18725</v>
      </c>
      <c r="H448" s="234" t="s">
        <v>18725</v>
      </c>
      <c r="I448" s="234" t="s">
        <v>18725</v>
      </c>
      <c r="J448" s="234" t="s">
        <v>18636</v>
      </c>
      <c r="K448" s="236">
        <v>2.0</v>
      </c>
      <c r="L448" s="236" t="s">
        <v>20522</v>
      </c>
      <c r="M448" s="236">
        <v>1.0</v>
      </c>
      <c r="N448" s="234" t="s">
        <v>18665</v>
      </c>
      <c r="O448" s="237" t="s">
        <v>18675</v>
      </c>
      <c r="P448" s="238" t="s">
        <v>18725</v>
      </c>
      <c r="Q448" s="234" t="s">
        <v>18726</v>
      </c>
      <c r="R448" s="238" t="s">
        <v>20523</v>
      </c>
      <c r="S448" s="238" t="s">
        <v>18725</v>
      </c>
      <c r="T448" s="238" t="s">
        <v>18725</v>
      </c>
      <c r="U448" s="238" t="s">
        <v>18725</v>
      </c>
      <c r="V448" s="238" t="s">
        <v>18725</v>
      </c>
      <c r="W448" s="238" t="s">
        <v>18725</v>
      </c>
      <c r="X448" s="238" t="s">
        <v>18725</v>
      </c>
      <c r="Y448" s="239" t="str">
        <f>IF('CCUS Projects Database'!$R448&lt;&gt;"",HYPERLINK('CCUS Projects Database'!$R448,"Link 1"),"")</f>
        <v>Link 1</v>
      </c>
      <c r="Z448" s="239" t="str">
        <f>IF('CCUS Projects Database'!$S448&lt;&gt;"",HYPERLINK('CCUS Projects Database'!$S448,"Link 2"),"")</f>
        <v/>
      </c>
      <c r="AA448" s="239" t="str">
        <f>IF('CCUS Projects Database'!$T448&lt;&gt;"",HYPERLINK('CCUS Projects Database'!$T448,"Link 3"),"")</f>
        <v/>
      </c>
      <c r="AB448" s="239" t="str">
        <f>IF('CCUS Projects Database'!$U448&lt;&gt;"",HYPERLINK('CCUS Projects Database'!$U448,"Link 4"),"")</f>
        <v/>
      </c>
      <c r="AC448" s="239" t="str">
        <f>IF('CCUS Projects Database'!$V448&lt;&gt;"",HYPERLINK('CCUS Projects Database'!$V448,"Link 5"),"")</f>
        <v/>
      </c>
      <c r="AD448" s="239" t="str">
        <f>IF('CCUS Projects Database'!$W448&lt;&gt;"",HYPERLINK('CCUS Projects Database'!$W448,"Link 6"),"")</f>
        <v/>
      </c>
      <c r="AE448" s="239" t="str">
        <f>IF('CCUS Projects Database'!$X448&lt;&gt;"",HYPERLINK('CCUS Projects Database'!$X448,"Link 7"),"")</f>
        <v/>
      </c>
    </row>
    <row r="449" ht="14.25" customHeight="1">
      <c r="A449" s="233" t="s">
        <v>20524</v>
      </c>
      <c r="B449" s="234">
        <v>583.0</v>
      </c>
      <c r="C449" s="234" t="s">
        <v>83</v>
      </c>
      <c r="D449" s="235" t="s">
        <v>20525</v>
      </c>
      <c r="E449" s="234" t="s">
        <v>18618</v>
      </c>
      <c r="F449" s="234">
        <v>2020.0</v>
      </c>
      <c r="G449" s="234" t="s">
        <v>18725</v>
      </c>
      <c r="H449" s="234" t="s">
        <v>18725</v>
      </c>
      <c r="I449" s="234" t="s">
        <v>18725</v>
      </c>
      <c r="J449" s="234" t="s">
        <v>18636</v>
      </c>
      <c r="K449" s="236" t="s">
        <v>18725</v>
      </c>
      <c r="L449" s="236" t="s">
        <v>18725</v>
      </c>
      <c r="M449" s="236" t="s">
        <v>18725</v>
      </c>
      <c r="N449" s="234" t="s">
        <v>18654</v>
      </c>
      <c r="O449" s="237" t="s">
        <v>18675</v>
      </c>
      <c r="P449" s="238" t="s">
        <v>20526</v>
      </c>
      <c r="Q449" s="234" t="s">
        <v>18726</v>
      </c>
      <c r="R449" s="238" t="s">
        <v>20527</v>
      </c>
      <c r="S449" s="238" t="s">
        <v>20528</v>
      </c>
      <c r="T449" s="238" t="s">
        <v>20529</v>
      </c>
      <c r="U449" s="238" t="s">
        <v>18725</v>
      </c>
      <c r="V449" s="238" t="s">
        <v>18725</v>
      </c>
      <c r="W449" s="238" t="s">
        <v>18725</v>
      </c>
      <c r="X449" s="238" t="s">
        <v>18725</v>
      </c>
      <c r="Y449" s="239" t="str">
        <f>IF('CCUS Projects Database'!$R449&lt;&gt;"",HYPERLINK('CCUS Projects Database'!$R449,"Link 1"),"")</f>
        <v>Link 1</v>
      </c>
      <c r="Z449" s="239" t="str">
        <f>IF('CCUS Projects Database'!$S449&lt;&gt;"",HYPERLINK('CCUS Projects Database'!$S449,"Link 2"),"")</f>
        <v>Link 2</v>
      </c>
      <c r="AA449" s="239" t="str">
        <f>IF('CCUS Projects Database'!$T449&lt;&gt;"",HYPERLINK('CCUS Projects Database'!$T449,"Link 3"),"")</f>
        <v>Link 3</v>
      </c>
      <c r="AB449" s="239" t="str">
        <f>IF('CCUS Projects Database'!$U449&lt;&gt;"",HYPERLINK('CCUS Projects Database'!$U449,"Link 4"),"")</f>
        <v/>
      </c>
      <c r="AC449" s="239" t="str">
        <f>IF('CCUS Projects Database'!$V449&lt;&gt;"",HYPERLINK('CCUS Projects Database'!$V449,"Link 5"),"")</f>
        <v/>
      </c>
      <c r="AD449" s="239" t="str">
        <f>IF('CCUS Projects Database'!$W449&lt;&gt;"",HYPERLINK('CCUS Projects Database'!$W449,"Link 6"),"")</f>
        <v/>
      </c>
      <c r="AE449" s="239" t="str">
        <f>IF('CCUS Projects Database'!$X449&lt;&gt;"",HYPERLINK('CCUS Projects Database'!$X449,"Link 7"),"")</f>
        <v/>
      </c>
    </row>
    <row r="450" ht="14.25" customHeight="1">
      <c r="A450" s="233" t="s">
        <v>20530</v>
      </c>
      <c r="B450" s="234">
        <v>585.0</v>
      </c>
      <c r="C450" s="234" t="s">
        <v>161</v>
      </c>
      <c r="D450" s="235" t="s">
        <v>18833</v>
      </c>
      <c r="E450" s="234" t="s">
        <v>18620</v>
      </c>
      <c r="F450" s="234">
        <v>2019.0</v>
      </c>
      <c r="G450" s="234">
        <v>2025.0</v>
      </c>
      <c r="H450" s="234">
        <v>2030.0</v>
      </c>
      <c r="I450" s="234" t="s">
        <v>18725</v>
      </c>
      <c r="J450" s="234" t="s">
        <v>18636</v>
      </c>
      <c r="K450" s="236">
        <v>2.0</v>
      </c>
      <c r="L450" s="236">
        <v>7.5</v>
      </c>
      <c r="M450" s="236">
        <v>7.5</v>
      </c>
      <c r="N450" s="234" t="s">
        <v>18620</v>
      </c>
      <c r="O450" s="237" t="s">
        <v>18675</v>
      </c>
      <c r="P450" s="238" t="s">
        <v>18834</v>
      </c>
      <c r="Q450" s="234" t="s">
        <v>18726</v>
      </c>
      <c r="R450" s="238" t="s">
        <v>18725</v>
      </c>
      <c r="S450" s="238" t="s">
        <v>18725</v>
      </c>
      <c r="T450" s="238" t="s">
        <v>18725</v>
      </c>
      <c r="U450" s="238" t="s">
        <v>18725</v>
      </c>
      <c r="V450" s="238" t="s">
        <v>18725</v>
      </c>
      <c r="W450" s="238" t="s">
        <v>18725</v>
      </c>
      <c r="X450" s="238" t="s">
        <v>18725</v>
      </c>
      <c r="Y450" s="239" t="str">
        <f>IF('CCUS Projects Database'!$R450&lt;&gt;"",HYPERLINK('CCUS Projects Database'!$R450,"Link 1"),"")</f>
        <v/>
      </c>
      <c r="Z450" s="239" t="str">
        <f>IF('CCUS Projects Database'!$S450&lt;&gt;"",HYPERLINK('CCUS Projects Database'!$S450,"Link 2"),"")</f>
        <v/>
      </c>
      <c r="AA450" s="239" t="str">
        <f>IF('CCUS Projects Database'!$T450&lt;&gt;"",HYPERLINK('CCUS Projects Database'!$T450,"Link 3"),"")</f>
        <v/>
      </c>
      <c r="AB450" s="239" t="str">
        <f>IF('CCUS Projects Database'!$U450&lt;&gt;"",HYPERLINK('CCUS Projects Database'!$U450,"Link 4"),"")</f>
        <v/>
      </c>
      <c r="AC450" s="239" t="str">
        <f>IF('CCUS Projects Database'!$V450&lt;&gt;"",HYPERLINK('CCUS Projects Database'!$V450,"Link 5"),"")</f>
        <v/>
      </c>
      <c r="AD450" s="239" t="str">
        <f>IF('CCUS Projects Database'!$W450&lt;&gt;"",HYPERLINK('CCUS Projects Database'!$W450,"Link 6"),"")</f>
        <v/>
      </c>
      <c r="AE450" s="239" t="str">
        <f>IF('CCUS Projects Database'!$X450&lt;&gt;"",HYPERLINK('CCUS Projects Database'!$X450,"Link 7"),"")</f>
        <v/>
      </c>
    </row>
    <row r="451" ht="14.25" customHeight="1">
      <c r="A451" s="233" t="s">
        <v>20531</v>
      </c>
      <c r="B451" s="234">
        <v>586.0</v>
      </c>
      <c r="C451" s="234" t="s">
        <v>20532</v>
      </c>
      <c r="D451" s="235" t="s">
        <v>20533</v>
      </c>
      <c r="E451" s="234" t="s">
        <v>18620</v>
      </c>
      <c r="F451" s="234">
        <v>2022.0</v>
      </c>
      <c r="G451" s="234" t="s">
        <v>18725</v>
      </c>
      <c r="H451" s="234" t="s">
        <v>18725</v>
      </c>
      <c r="I451" s="234" t="s">
        <v>18725</v>
      </c>
      <c r="J451" s="234" t="s">
        <v>18636</v>
      </c>
      <c r="K451" s="236" t="s">
        <v>18725</v>
      </c>
      <c r="L451" s="236">
        <v>2.5</v>
      </c>
      <c r="M451" s="236">
        <v>2.5</v>
      </c>
      <c r="N451" s="234" t="s">
        <v>18620</v>
      </c>
      <c r="O451" s="237" t="s">
        <v>18675</v>
      </c>
      <c r="P451" s="238" t="s">
        <v>20531</v>
      </c>
      <c r="Q451" s="234" t="s">
        <v>18856</v>
      </c>
      <c r="R451" s="238" t="s">
        <v>20534</v>
      </c>
      <c r="S451" s="238" t="s">
        <v>18725</v>
      </c>
      <c r="T451" s="238" t="s">
        <v>18725</v>
      </c>
      <c r="U451" s="238" t="s">
        <v>18725</v>
      </c>
      <c r="V451" s="238" t="s">
        <v>18725</v>
      </c>
      <c r="W451" s="238" t="s">
        <v>18725</v>
      </c>
      <c r="X451" s="238" t="s">
        <v>18725</v>
      </c>
      <c r="Y451" s="239" t="str">
        <f>IF('CCUS Projects Database'!$R451&lt;&gt;"",HYPERLINK('CCUS Projects Database'!$R451,"Link 1"),"")</f>
        <v>Link 1</v>
      </c>
      <c r="Z451" s="239" t="str">
        <f>IF('CCUS Projects Database'!$S451&lt;&gt;"",HYPERLINK('CCUS Projects Database'!$S451,"Link 2"),"")</f>
        <v/>
      </c>
      <c r="AA451" s="239" t="str">
        <f>IF('CCUS Projects Database'!$T451&lt;&gt;"",HYPERLINK('CCUS Projects Database'!$T451,"Link 3"),"")</f>
        <v/>
      </c>
      <c r="AB451" s="239" t="str">
        <f>IF('CCUS Projects Database'!$U451&lt;&gt;"",HYPERLINK('CCUS Projects Database'!$U451,"Link 4"),"")</f>
        <v/>
      </c>
      <c r="AC451" s="239" t="str">
        <f>IF('CCUS Projects Database'!$V451&lt;&gt;"",HYPERLINK('CCUS Projects Database'!$V451,"Link 5"),"")</f>
        <v/>
      </c>
      <c r="AD451" s="239" t="str">
        <f>IF('CCUS Projects Database'!$W451&lt;&gt;"",HYPERLINK('CCUS Projects Database'!$W451,"Link 6"),"")</f>
        <v/>
      </c>
      <c r="AE451" s="239" t="str">
        <f>IF('CCUS Projects Database'!$X451&lt;&gt;"",HYPERLINK('CCUS Projects Database'!$X451,"Link 7"),"")</f>
        <v/>
      </c>
    </row>
    <row r="452" ht="14.25" customHeight="1">
      <c r="A452" s="233" t="s">
        <v>20535</v>
      </c>
      <c r="B452" s="234">
        <v>589.0</v>
      </c>
      <c r="C452" s="234" t="s">
        <v>83</v>
      </c>
      <c r="D452" s="235" t="s">
        <v>20536</v>
      </c>
      <c r="E452" s="234" t="s">
        <v>18618</v>
      </c>
      <c r="F452" s="234">
        <v>2019.0</v>
      </c>
      <c r="G452" s="234" t="s">
        <v>18725</v>
      </c>
      <c r="H452" s="234">
        <v>2028.0</v>
      </c>
      <c r="I452" s="234" t="s">
        <v>18725</v>
      </c>
      <c r="J452" s="234" t="s">
        <v>18636</v>
      </c>
      <c r="K452" s="236" t="s">
        <v>18725</v>
      </c>
      <c r="L452" s="236">
        <v>0.86</v>
      </c>
      <c r="M452" s="236">
        <v>0.86</v>
      </c>
      <c r="N452" s="234" t="s">
        <v>18661</v>
      </c>
      <c r="O452" s="237" t="s">
        <v>18675</v>
      </c>
      <c r="P452" s="238" t="s">
        <v>18985</v>
      </c>
      <c r="Q452" s="234" t="s">
        <v>18726</v>
      </c>
      <c r="R452" s="238" t="s">
        <v>20537</v>
      </c>
      <c r="S452" s="238" t="s">
        <v>20538</v>
      </c>
      <c r="T452" s="238" t="s">
        <v>20539</v>
      </c>
      <c r="U452" s="238" t="s">
        <v>18725</v>
      </c>
      <c r="V452" s="238" t="s">
        <v>18725</v>
      </c>
      <c r="W452" s="238" t="s">
        <v>18725</v>
      </c>
      <c r="X452" s="238" t="s">
        <v>18725</v>
      </c>
      <c r="Y452" s="239" t="str">
        <f>IF('CCUS Projects Database'!$R452&lt;&gt;"",HYPERLINK('CCUS Projects Database'!$R452,"Link 1"),"")</f>
        <v>Link 1</v>
      </c>
      <c r="Z452" s="239" t="str">
        <f>IF('CCUS Projects Database'!$S452&lt;&gt;"",HYPERLINK('CCUS Projects Database'!$S452,"Link 2"),"")</f>
        <v>Link 2</v>
      </c>
      <c r="AA452" s="239" t="str">
        <f>IF('CCUS Projects Database'!$T452&lt;&gt;"",HYPERLINK('CCUS Projects Database'!$T452,"Link 3"),"")</f>
        <v>Link 3</v>
      </c>
      <c r="AB452" s="239" t="str">
        <f>IF('CCUS Projects Database'!$U452&lt;&gt;"",HYPERLINK('CCUS Projects Database'!$U452,"Link 4"),"")</f>
        <v/>
      </c>
      <c r="AC452" s="239" t="str">
        <f>IF('CCUS Projects Database'!$V452&lt;&gt;"",HYPERLINK('CCUS Projects Database'!$V452,"Link 5"),"")</f>
        <v/>
      </c>
      <c r="AD452" s="239" t="str">
        <f>IF('CCUS Projects Database'!$W452&lt;&gt;"",HYPERLINK('CCUS Projects Database'!$W452,"Link 6"),"")</f>
        <v/>
      </c>
      <c r="AE452" s="239" t="str">
        <f>IF('CCUS Projects Database'!$X452&lt;&gt;"",HYPERLINK('CCUS Projects Database'!$X452,"Link 7"),"")</f>
        <v/>
      </c>
    </row>
    <row r="453" ht="14.25" customHeight="1">
      <c r="A453" s="233" t="s">
        <v>20540</v>
      </c>
      <c r="B453" s="234">
        <v>593.0</v>
      </c>
      <c r="C453" s="234" t="s">
        <v>18360</v>
      </c>
      <c r="D453" s="235" t="s">
        <v>20541</v>
      </c>
      <c r="E453" s="234" t="s">
        <v>18625</v>
      </c>
      <c r="F453" s="234">
        <v>2021.0</v>
      </c>
      <c r="G453" s="234">
        <v>2022.0</v>
      </c>
      <c r="H453" s="234">
        <v>2025.0</v>
      </c>
      <c r="I453" s="234" t="s">
        <v>18725</v>
      </c>
      <c r="J453" s="234" t="s">
        <v>18638</v>
      </c>
      <c r="K453" s="236" t="s">
        <v>18725</v>
      </c>
      <c r="L453" s="236">
        <v>1.5</v>
      </c>
      <c r="M453" s="236">
        <v>1.5</v>
      </c>
      <c r="N453" s="234" t="s">
        <v>18654</v>
      </c>
      <c r="O453" s="237" t="s">
        <v>18679</v>
      </c>
      <c r="P453" s="238" t="s">
        <v>18725</v>
      </c>
      <c r="Q453" s="234" t="s">
        <v>18856</v>
      </c>
      <c r="R453" s="238" t="s">
        <v>20542</v>
      </c>
      <c r="S453" s="238" t="s">
        <v>20543</v>
      </c>
      <c r="T453" s="238" t="s">
        <v>20544</v>
      </c>
      <c r="U453" s="238" t="s">
        <v>18725</v>
      </c>
      <c r="V453" s="238" t="s">
        <v>18725</v>
      </c>
      <c r="W453" s="238" t="s">
        <v>18725</v>
      </c>
      <c r="X453" s="238" t="s">
        <v>18725</v>
      </c>
      <c r="Y453" s="239" t="str">
        <f>IF('CCUS Projects Database'!$R453&lt;&gt;"",HYPERLINK('CCUS Projects Database'!$R453,"Link 1"),"")</f>
        <v>Link 1</v>
      </c>
      <c r="Z453" s="239" t="str">
        <f>IF('CCUS Projects Database'!$S453&lt;&gt;"",HYPERLINK('CCUS Projects Database'!$S453,"Link 2"),"")</f>
        <v>Link 2</v>
      </c>
      <c r="AA453" s="239" t="str">
        <f>IF('CCUS Projects Database'!$T453&lt;&gt;"",HYPERLINK('CCUS Projects Database'!$T453,"Link 3"),"")</f>
        <v>Link 3</v>
      </c>
      <c r="AB453" s="239" t="str">
        <f>IF('CCUS Projects Database'!$U453&lt;&gt;"",HYPERLINK('CCUS Projects Database'!$U453,"Link 4"),"")</f>
        <v/>
      </c>
      <c r="AC453" s="239" t="str">
        <f>IF('CCUS Projects Database'!$V453&lt;&gt;"",HYPERLINK('CCUS Projects Database'!$V453,"Link 5"),"")</f>
        <v/>
      </c>
      <c r="AD453" s="239" t="str">
        <f>IF('CCUS Projects Database'!$W453&lt;&gt;"",HYPERLINK('CCUS Projects Database'!$W453,"Link 6"),"")</f>
        <v/>
      </c>
      <c r="AE453" s="239" t="str">
        <f>IF('CCUS Projects Database'!$X453&lt;&gt;"",HYPERLINK('CCUS Projects Database'!$X453,"Link 7"),"")</f>
        <v/>
      </c>
    </row>
    <row r="454" ht="14.25" customHeight="1">
      <c r="A454" s="233" t="s">
        <v>20545</v>
      </c>
      <c r="B454" s="234">
        <v>598.0</v>
      </c>
      <c r="C454" s="234" t="s">
        <v>18496</v>
      </c>
      <c r="D454" s="235" t="s">
        <v>20546</v>
      </c>
      <c r="E454" s="234" t="s">
        <v>18616</v>
      </c>
      <c r="F454" s="234">
        <v>2022.0</v>
      </c>
      <c r="G454" s="234" t="s">
        <v>18725</v>
      </c>
      <c r="H454" s="234" t="s">
        <v>18725</v>
      </c>
      <c r="I454" s="234" t="s">
        <v>18725</v>
      </c>
      <c r="J454" s="234" t="s">
        <v>18636</v>
      </c>
      <c r="K454" s="236" t="s">
        <v>18725</v>
      </c>
      <c r="L454" s="236" t="s">
        <v>18725</v>
      </c>
      <c r="M454" s="236" t="s">
        <v>18725</v>
      </c>
      <c r="N454" s="234" t="s">
        <v>18656</v>
      </c>
      <c r="O454" s="237" t="s">
        <v>18675</v>
      </c>
      <c r="P454" s="238" t="s">
        <v>18725</v>
      </c>
      <c r="Q454" s="234" t="s">
        <v>18856</v>
      </c>
      <c r="R454" s="238" t="s">
        <v>20547</v>
      </c>
      <c r="S454" s="238" t="s">
        <v>18725</v>
      </c>
      <c r="T454" s="238" t="s">
        <v>18725</v>
      </c>
      <c r="U454" s="238" t="s">
        <v>18725</v>
      </c>
      <c r="V454" s="238" t="s">
        <v>18725</v>
      </c>
      <c r="W454" s="238" t="s">
        <v>18725</v>
      </c>
      <c r="X454" s="238" t="s">
        <v>18725</v>
      </c>
      <c r="Y454" s="239" t="str">
        <f>IF('CCUS Projects Database'!$R454&lt;&gt;"",HYPERLINK('CCUS Projects Database'!$R454,"Link 1"),"")</f>
        <v>Link 1</v>
      </c>
      <c r="Z454" s="239" t="str">
        <f>IF('CCUS Projects Database'!$S454&lt;&gt;"",HYPERLINK('CCUS Projects Database'!$S454,"Link 2"),"")</f>
        <v/>
      </c>
      <c r="AA454" s="239" t="str">
        <f>IF('CCUS Projects Database'!$T454&lt;&gt;"",HYPERLINK('CCUS Projects Database'!$T454,"Link 3"),"")</f>
        <v/>
      </c>
      <c r="AB454" s="239" t="str">
        <f>IF('CCUS Projects Database'!$U454&lt;&gt;"",HYPERLINK('CCUS Projects Database'!$U454,"Link 4"),"")</f>
        <v/>
      </c>
      <c r="AC454" s="239" t="str">
        <f>IF('CCUS Projects Database'!$V454&lt;&gt;"",HYPERLINK('CCUS Projects Database'!$V454,"Link 5"),"")</f>
        <v/>
      </c>
      <c r="AD454" s="239" t="str">
        <f>IF('CCUS Projects Database'!$W454&lt;&gt;"",HYPERLINK('CCUS Projects Database'!$W454,"Link 6"),"")</f>
        <v/>
      </c>
      <c r="AE454" s="239" t="str">
        <f>IF('CCUS Projects Database'!$X454&lt;&gt;"",HYPERLINK('CCUS Projects Database'!$X454,"Link 7"),"")</f>
        <v/>
      </c>
    </row>
    <row r="455" ht="14.25" customHeight="1">
      <c r="A455" s="233" t="s">
        <v>20548</v>
      </c>
      <c r="B455" s="234">
        <v>599.0</v>
      </c>
      <c r="C455" s="234" t="s">
        <v>18586</v>
      </c>
      <c r="D455" s="235" t="s">
        <v>20549</v>
      </c>
      <c r="E455" s="234" t="s">
        <v>18618</v>
      </c>
      <c r="F455" s="234">
        <v>2022.0</v>
      </c>
      <c r="G455" s="234">
        <v>2025.0</v>
      </c>
      <c r="H455" s="234">
        <v>2026.0</v>
      </c>
      <c r="I455" s="234" t="s">
        <v>18725</v>
      </c>
      <c r="J455" s="234" t="s">
        <v>18636</v>
      </c>
      <c r="K455" s="236" t="s">
        <v>18725</v>
      </c>
      <c r="L455" s="236">
        <v>0.1</v>
      </c>
      <c r="M455" s="236">
        <v>0.1</v>
      </c>
      <c r="N455" s="234" t="s">
        <v>18731</v>
      </c>
      <c r="O455" s="237" t="s">
        <v>18675</v>
      </c>
      <c r="P455" s="238" t="s">
        <v>18971</v>
      </c>
      <c r="Q455" s="234" t="s">
        <v>18732</v>
      </c>
      <c r="R455" s="238" t="s">
        <v>17254</v>
      </c>
      <c r="S455" s="238" t="s">
        <v>18725</v>
      </c>
      <c r="T455" s="238" t="s">
        <v>18725</v>
      </c>
      <c r="U455" s="238" t="s">
        <v>18725</v>
      </c>
      <c r="V455" s="238" t="s">
        <v>18725</v>
      </c>
      <c r="W455" s="238" t="s">
        <v>18725</v>
      </c>
      <c r="X455" s="238" t="s">
        <v>18725</v>
      </c>
      <c r="Y455" s="239" t="str">
        <f>IF('CCUS Projects Database'!$R455&lt;&gt;"",HYPERLINK('CCUS Projects Database'!$R455,"Link 1"),"")</f>
        <v>Link 1</v>
      </c>
      <c r="Z455" s="239" t="str">
        <f>IF('CCUS Projects Database'!$S455&lt;&gt;"",HYPERLINK('CCUS Projects Database'!$S455,"Link 2"),"")</f>
        <v/>
      </c>
      <c r="AA455" s="239" t="str">
        <f>IF('CCUS Projects Database'!$T455&lt;&gt;"",HYPERLINK('CCUS Projects Database'!$T455,"Link 3"),"")</f>
        <v/>
      </c>
      <c r="AB455" s="239" t="str">
        <f>IF('CCUS Projects Database'!$U455&lt;&gt;"",HYPERLINK('CCUS Projects Database'!$U455,"Link 4"),"")</f>
        <v/>
      </c>
      <c r="AC455" s="239" t="str">
        <f>IF('CCUS Projects Database'!$V455&lt;&gt;"",HYPERLINK('CCUS Projects Database'!$V455,"Link 5"),"")</f>
        <v/>
      </c>
      <c r="AD455" s="239" t="str">
        <f>IF('CCUS Projects Database'!$W455&lt;&gt;"",HYPERLINK('CCUS Projects Database'!$W455,"Link 6"),"")</f>
        <v/>
      </c>
      <c r="AE455" s="239" t="str">
        <f>IF('CCUS Projects Database'!$X455&lt;&gt;"",HYPERLINK('CCUS Projects Database'!$X455,"Link 7"),"")</f>
        <v/>
      </c>
    </row>
    <row r="456" ht="14.25" customHeight="1">
      <c r="A456" s="233" t="s">
        <v>20550</v>
      </c>
      <c r="B456" s="234">
        <v>601.0</v>
      </c>
      <c r="C456" s="234" t="s">
        <v>18530</v>
      </c>
      <c r="D456" s="235" t="s">
        <v>20551</v>
      </c>
      <c r="E456" s="234" t="s">
        <v>18623</v>
      </c>
      <c r="F456" s="234">
        <v>2022.0</v>
      </c>
      <c r="G456" s="234">
        <v>2025.0</v>
      </c>
      <c r="H456" s="234">
        <v>2027.0</v>
      </c>
      <c r="I456" s="234" t="s">
        <v>18725</v>
      </c>
      <c r="J456" s="234" t="s">
        <v>18636</v>
      </c>
      <c r="K456" s="236" t="s">
        <v>18725</v>
      </c>
      <c r="L456" s="236">
        <v>9.0</v>
      </c>
      <c r="M456" s="236">
        <v>9.0</v>
      </c>
      <c r="N456" s="234" t="s">
        <v>18623</v>
      </c>
      <c r="O456" s="237" t="s">
        <v>18675</v>
      </c>
      <c r="P456" s="238" t="s">
        <v>20552</v>
      </c>
      <c r="Q456" s="234" t="s">
        <v>18293</v>
      </c>
      <c r="R456" s="238" t="s">
        <v>20553</v>
      </c>
      <c r="S456" s="238" t="s">
        <v>20554</v>
      </c>
      <c r="T456" s="238" t="s">
        <v>20555</v>
      </c>
      <c r="U456" s="238" t="s">
        <v>18725</v>
      </c>
      <c r="V456" s="238" t="s">
        <v>18725</v>
      </c>
      <c r="W456" s="238" t="s">
        <v>18725</v>
      </c>
      <c r="X456" s="238" t="s">
        <v>18725</v>
      </c>
      <c r="Y456" s="239" t="str">
        <f>IF('CCUS Projects Database'!$R456&lt;&gt;"",HYPERLINK('CCUS Projects Database'!$R456,"Link 1"),"")</f>
        <v>Link 1</v>
      </c>
      <c r="Z456" s="239" t="str">
        <f>IF('CCUS Projects Database'!$S456&lt;&gt;"",HYPERLINK('CCUS Projects Database'!$S456,"Link 2"),"")</f>
        <v>Link 2</v>
      </c>
      <c r="AA456" s="239" t="str">
        <f>IF('CCUS Projects Database'!$T456&lt;&gt;"",HYPERLINK('CCUS Projects Database'!$T456,"Link 3"),"")</f>
        <v>Link 3</v>
      </c>
      <c r="AB456" s="239" t="str">
        <f>IF('CCUS Projects Database'!$U456&lt;&gt;"",HYPERLINK('CCUS Projects Database'!$U456,"Link 4"),"")</f>
        <v/>
      </c>
      <c r="AC456" s="239" t="str">
        <f>IF('CCUS Projects Database'!$V456&lt;&gt;"",HYPERLINK('CCUS Projects Database'!$V456,"Link 5"),"")</f>
        <v/>
      </c>
      <c r="AD456" s="239" t="str">
        <f>IF('CCUS Projects Database'!$W456&lt;&gt;"",HYPERLINK('CCUS Projects Database'!$W456,"Link 6"),"")</f>
        <v/>
      </c>
      <c r="AE456" s="239" t="str">
        <f>IF('CCUS Projects Database'!$X456&lt;&gt;"",HYPERLINK('CCUS Projects Database'!$X456,"Link 7"),"")</f>
        <v/>
      </c>
    </row>
    <row r="457" ht="14.25" customHeight="1">
      <c r="A457" s="233" t="s">
        <v>20556</v>
      </c>
      <c r="B457" s="234">
        <v>604.0</v>
      </c>
      <c r="C457" s="234" t="s">
        <v>18264</v>
      </c>
      <c r="D457" s="235" t="s">
        <v>20557</v>
      </c>
      <c r="E457" s="234" t="s">
        <v>18618</v>
      </c>
      <c r="F457" s="234">
        <v>2022.0</v>
      </c>
      <c r="G457" s="234" t="s">
        <v>18725</v>
      </c>
      <c r="H457" s="234" t="s">
        <v>18725</v>
      </c>
      <c r="I457" s="234" t="s">
        <v>18725</v>
      </c>
      <c r="J457" s="234" t="s">
        <v>18636</v>
      </c>
      <c r="K457" s="236" t="s">
        <v>18725</v>
      </c>
      <c r="L457" s="236" t="s">
        <v>18725</v>
      </c>
      <c r="M457" s="236" t="s">
        <v>18725</v>
      </c>
      <c r="N457" s="234" t="s">
        <v>18654</v>
      </c>
      <c r="O457" s="237" t="s">
        <v>18683</v>
      </c>
      <c r="P457" s="238" t="s">
        <v>20287</v>
      </c>
      <c r="Q457" s="234" t="s">
        <v>18732</v>
      </c>
      <c r="R457" s="238" t="s">
        <v>20558</v>
      </c>
      <c r="S457" s="238" t="s">
        <v>18725</v>
      </c>
      <c r="T457" s="238" t="s">
        <v>18725</v>
      </c>
      <c r="U457" s="238" t="s">
        <v>18725</v>
      </c>
      <c r="V457" s="238" t="s">
        <v>18725</v>
      </c>
      <c r="W457" s="238" t="s">
        <v>18725</v>
      </c>
      <c r="X457" s="238" t="s">
        <v>18725</v>
      </c>
      <c r="Y457" s="239" t="str">
        <f>IF('CCUS Projects Database'!$R457&lt;&gt;"",HYPERLINK('CCUS Projects Database'!$R457,"Link 1"),"")</f>
        <v>Link 1</v>
      </c>
      <c r="Z457" s="239" t="str">
        <f>IF('CCUS Projects Database'!$S457&lt;&gt;"",HYPERLINK('CCUS Projects Database'!$S457,"Link 2"),"")</f>
        <v/>
      </c>
      <c r="AA457" s="239" t="str">
        <f>IF('CCUS Projects Database'!$T457&lt;&gt;"",HYPERLINK('CCUS Projects Database'!$T457,"Link 3"),"")</f>
        <v/>
      </c>
      <c r="AB457" s="239" t="str">
        <f>IF('CCUS Projects Database'!$U457&lt;&gt;"",HYPERLINK('CCUS Projects Database'!$U457,"Link 4"),"")</f>
        <v/>
      </c>
      <c r="AC457" s="239" t="str">
        <f>IF('CCUS Projects Database'!$V457&lt;&gt;"",HYPERLINK('CCUS Projects Database'!$V457,"Link 5"),"")</f>
        <v/>
      </c>
      <c r="AD457" s="239" t="str">
        <f>IF('CCUS Projects Database'!$W457&lt;&gt;"",HYPERLINK('CCUS Projects Database'!$W457,"Link 6"),"")</f>
        <v/>
      </c>
      <c r="AE457" s="239" t="str">
        <f>IF('CCUS Projects Database'!$X457&lt;&gt;"",HYPERLINK('CCUS Projects Database'!$X457,"Link 7"),"")</f>
        <v/>
      </c>
    </row>
    <row r="458" ht="14.25" customHeight="1">
      <c r="A458" s="233" t="s">
        <v>20559</v>
      </c>
      <c r="B458" s="234">
        <v>605.0</v>
      </c>
      <c r="C458" s="234" t="s">
        <v>18264</v>
      </c>
      <c r="D458" s="235" t="s">
        <v>20560</v>
      </c>
      <c r="E458" s="234" t="s">
        <v>18618</v>
      </c>
      <c r="F458" s="234">
        <v>2022.0</v>
      </c>
      <c r="G458" s="234">
        <v>2026.0</v>
      </c>
      <c r="H458" s="234">
        <v>2030.0</v>
      </c>
      <c r="I458" s="234" t="s">
        <v>18725</v>
      </c>
      <c r="J458" s="234" t="s">
        <v>18636</v>
      </c>
      <c r="K458" s="236" t="s">
        <v>18725</v>
      </c>
      <c r="L458" s="236">
        <v>1.0</v>
      </c>
      <c r="M458" s="236">
        <v>1.0</v>
      </c>
      <c r="N458" s="234" t="s">
        <v>18663</v>
      </c>
      <c r="O458" s="237" t="s">
        <v>18675</v>
      </c>
      <c r="P458" s="238" t="s">
        <v>18725</v>
      </c>
      <c r="Q458" s="234" t="s">
        <v>18732</v>
      </c>
      <c r="R458" s="238" t="s">
        <v>20561</v>
      </c>
      <c r="S458" s="238" t="s">
        <v>20562</v>
      </c>
      <c r="T458" s="238" t="s">
        <v>18725</v>
      </c>
      <c r="U458" s="238" t="s">
        <v>18725</v>
      </c>
      <c r="V458" s="238" t="s">
        <v>18725</v>
      </c>
      <c r="W458" s="238" t="s">
        <v>18725</v>
      </c>
      <c r="X458" s="238" t="s">
        <v>18725</v>
      </c>
      <c r="Y458" s="239" t="str">
        <f>IF('CCUS Projects Database'!$R458&lt;&gt;"",HYPERLINK('CCUS Projects Database'!$R458,"Link 1"),"")</f>
        <v>Link 1</v>
      </c>
      <c r="Z458" s="239" t="str">
        <f>IF('CCUS Projects Database'!$S458&lt;&gt;"",HYPERLINK('CCUS Projects Database'!$S458,"Link 2"),"")</f>
        <v>Link 2</v>
      </c>
      <c r="AA458" s="239" t="str">
        <f>IF('CCUS Projects Database'!$T458&lt;&gt;"",HYPERLINK('CCUS Projects Database'!$T458,"Link 3"),"")</f>
        <v/>
      </c>
      <c r="AB458" s="239" t="str">
        <f>IF('CCUS Projects Database'!$U458&lt;&gt;"",HYPERLINK('CCUS Projects Database'!$U458,"Link 4"),"")</f>
        <v/>
      </c>
      <c r="AC458" s="239" t="str">
        <f>IF('CCUS Projects Database'!$V458&lt;&gt;"",HYPERLINK('CCUS Projects Database'!$V458,"Link 5"),"")</f>
        <v/>
      </c>
      <c r="AD458" s="239" t="str">
        <f>IF('CCUS Projects Database'!$W458&lt;&gt;"",HYPERLINK('CCUS Projects Database'!$W458,"Link 6"),"")</f>
        <v/>
      </c>
      <c r="AE458" s="239" t="str">
        <f>IF('CCUS Projects Database'!$X458&lt;&gt;"",HYPERLINK('CCUS Projects Database'!$X458,"Link 7"),"")</f>
        <v/>
      </c>
    </row>
    <row r="459" ht="14.25" customHeight="1">
      <c r="A459" s="233" t="s">
        <v>20563</v>
      </c>
      <c r="B459" s="234">
        <v>606.0</v>
      </c>
      <c r="C459" s="234" t="s">
        <v>18264</v>
      </c>
      <c r="D459" s="235" t="s">
        <v>20564</v>
      </c>
      <c r="E459" s="234" t="s">
        <v>18618</v>
      </c>
      <c r="F459" s="234">
        <v>2022.0</v>
      </c>
      <c r="G459" s="234" t="s">
        <v>18725</v>
      </c>
      <c r="H459" s="234" t="s">
        <v>18725</v>
      </c>
      <c r="I459" s="234" t="s">
        <v>18725</v>
      </c>
      <c r="J459" s="234" t="s">
        <v>18192</v>
      </c>
      <c r="K459" s="236" t="s">
        <v>18725</v>
      </c>
      <c r="L459" s="236" t="s">
        <v>18725</v>
      </c>
      <c r="M459" s="236" t="s">
        <v>18725</v>
      </c>
      <c r="N459" s="234" t="s">
        <v>18661</v>
      </c>
      <c r="O459" s="237" t="s">
        <v>18675</v>
      </c>
      <c r="P459" s="238" t="s">
        <v>18725</v>
      </c>
      <c r="Q459" s="234" t="s">
        <v>18732</v>
      </c>
      <c r="R459" s="238" t="s">
        <v>20565</v>
      </c>
      <c r="S459" s="238" t="s">
        <v>18725</v>
      </c>
      <c r="T459" s="238" t="s">
        <v>18725</v>
      </c>
      <c r="U459" s="238" t="s">
        <v>18725</v>
      </c>
      <c r="V459" s="238" t="s">
        <v>18725</v>
      </c>
      <c r="W459" s="238" t="s">
        <v>18725</v>
      </c>
      <c r="X459" s="238" t="s">
        <v>18725</v>
      </c>
      <c r="Y459" s="239" t="str">
        <f>IF('CCUS Projects Database'!$R459&lt;&gt;"",HYPERLINK('CCUS Projects Database'!$R459,"Link 1"),"")</f>
        <v>Link 1</v>
      </c>
      <c r="Z459" s="239" t="str">
        <f>IF('CCUS Projects Database'!$S459&lt;&gt;"",HYPERLINK('CCUS Projects Database'!$S459,"Link 2"),"")</f>
        <v/>
      </c>
      <c r="AA459" s="239" t="str">
        <f>IF('CCUS Projects Database'!$T459&lt;&gt;"",HYPERLINK('CCUS Projects Database'!$T459,"Link 3"),"")</f>
        <v/>
      </c>
      <c r="AB459" s="239" t="str">
        <f>IF('CCUS Projects Database'!$U459&lt;&gt;"",HYPERLINK('CCUS Projects Database'!$U459,"Link 4"),"")</f>
        <v/>
      </c>
      <c r="AC459" s="239" t="str">
        <f>IF('CCUS Projects Database'!$V459&lt;&gt;"",HYPERLINK('CCUS Projects Database'!$V459,"Link 5"),"")</f>
        <v/>
      </c>
      <c r="AD459" s="239" t="str">
        <f>IF('CCUS Projects Database'!$W459&lt;&gt;"",HYPERLINK('CCUS Projects Database'!$W459,"Link 6"),"")</f>
        <v/>
      </c>
      <c r="AE459" s="239" t="str">
        <f>IF('CCUS Projects Database'!$X459&lt;&gt;"",HYPERLINK('CCUS Projects Database'!$X459,"Link 7"),"")</f>
        <v/>
      </c>
    </row>
    <row r="460" ht="14.25" customHeight="1">
      <c r="A460" s="233" t="s">
        <v>20566</v>
      </c>
      <c r="B460" s="234">
        <v>607.0</v>
      </c>
      <c r="C460" s="234" t="s">
        <v>18264</v>
      </c>
      <c r="D460" s="235" t="s">
        <v>20567</v>
      </c>
      <c r="E460" s="234" t="s">
        <v>18616</v>
      </c>
      <c r="F460" s="234">
        <v>2022.0</v>
      </c>
      <c r="G460" s="234" t="s">
        <v>18725</v>
      </c>
      <c r="H460" s="234">
        <v>2026.0</v>
      </c>
      <c r="I460" s="234" t="s">
        <v>18725</v>
      </c>
      <c r="J460" s="234" t="s">
        <v>18636</v>
      </c>
      <c r="K460" s="236" t="s">
        <v>18725</v>
      </c>
      <c r="L460" s="236">
        <v>0.44</v>
      </c>
      <c r="M460" s="236">
        <v>0.44</v>
      </c>
      <c r="N460" s="234" t="s">
        <v>18661</v>
      </c>
      <c r="O460" s="237" t="s">
        <v>18683</v>
      </c>
      <c r="P460" s="238" t="s">
        <v>18725</v>
      </c>
      <c r="Q460" s="234" t="s">
        <v>18732</v>
      </c>
      <c r="R460" s="238" t="s">
        <v>20568</v>
      </c>
      <c r="S460" s="238" t="s">
        <v>20569</v>
      </c>
      <c r="T460" s="238" t="s">
        <v>18725</v>
      </c>
      <c r="U460" s="238" t="s">
        <v>18725</v>
      </c>
      <c r="V460" s="238" t="s">
        <v>18725</v>
      </c>
      <c r="W460" s="238" t="s">
        <v>18725</v>
      </c>
      <c r="X460" s="238" t="s">
        <v>18725</v>
      </c>
      <c r="Y460" s="239" t="str">
        <f>IF('CCUS Projects Database'!$R460&lt;&gt;"",HYPERLINK('CCUS Projects Database'!$R460,"Link 1"),"")</f>
        <v>Link 1</v>
      </c>
      <c r="Z460" s="239" t="str">
        <f>IF('CCUS Projects Database'!$S460&lt;&gt;"",HYPERLINK('CCUS Projects Database'!$S460,"Link 2"),"")</f>
        <v>Link 2</v>
      </c>
      <c r="AA460" s="239" t="str">
        <f>IF('CCUS Projects Database'!$T460&lt;&gt;"",HYPERLINK('CCUS Projects Database'!$T460,"Link 3"),"")</f>
        <v/>
      </c>
      <c r="AB460" s="239" t="str">
        <f>IF('CCUS Projects Database'!$U460&lt;&gt;"",HYPERLINK('CCUS Projects Database'!$U460,"Link 4"),"")</f>
        <v/>
      </c>
      <c r="AC460" s="239" t="str">
        <f>IF('CCUS Projects Database'!$V460&lt;&gt;"",HYPERLINK('CCUS Projects Database'!$V460,"Link 5"),"")</f>
        <v/>
      </c>
      <c r="AD460" s="239" t="str">
        <f>IF('CCUS Projects Database'!$W460&lt;&gt;"",HYPERLINK('CCUS Projects Database'!$W460,"Link 6"),"")</f>
        <v/>
      </c>
      <c r="AE460" s="239" t="str">
        <f>IF('CCUS Projects Database'!$X460&lt;&gt;"",HYPERLINK('CCUS Projects Database'!$X460,"Link 7"),"")</f>
        <v/>
      </c>
    </row>
    <row r="461" ht="14.25" customHeight="1">
      <c r="A461" s="233" t="s">
        <v>20570</v>
      </c>
      <c r="B461" s="234">
        <v>608.0</v>
      </c>
      <c r="C461" s="234" t="s">
        <v>18264</v>
      </c>
      <c r="D461" s="235" t="s">
        <v>20154</v>
      </c>
      <c r="E461" s="234" t="s">
        <v>18618</v>
      </c>
      <c r="F461" s="234">
        <v>2022.0</v>
      </c>
      <c r="G461" s="234" t="s">
        <v>18725</v>
      </c>
      <c r="H461" s="234" t="s">
        <v>18725</v>
      </c>
      <c r="I461" s="234" t="s">
        <v>18725</v>
      </c>
      <c r="J461" s="234" t="s">
        <v>18636</v>
      </c>
      <c r="K461" s="236">
        <v>2.0</v>
      </c>
      <c r="L461" s="236" t="s">
        <v>18725</v>
      </c>
      <c r="M461" s="236" t="s">
        <v>18725</v>
      </c>
      <c r="N461" s="234" t="s">
        <v>677</v>
      </c>
      <c r="O461" s="237" t="s">
        <v>18677</v>
      </c>
      <c r="P461" s="234" t="s">
        <v>18797</v>
      </c>
      <c r="Q461" s="234" t="s">
        <v>18732</v>
      </c>
      <c r="R461" s="238" t="s">
        <v>20571</v>
      </c>
      <c r="S461" s="241" t="s">
        <v>18725</v>
      </c>
      <c r="T461" s="241" t="s">
        <v>18725</v>
      </c>
      <c r="U461" s="241" t="s">
        <v>18725</v>
      </c>
      <c r="V461" s="241" t="s">
        <v>18725</v>
      </c>
      <c r="W461" s="241" t="s">
        <v>18725</v>
      </c>
      <c r="X461" s="241" t="s">
        <v>18725</v>
      </c>
      <c r="Y461" s="239" t="str">
        <f>IF('CCUS Projects Database'!$R461&lt;&gt;"",HYPERLINK('CCUS Projects Database'!$R461,"Link 1"),"")</f>
        <v>Link 1</v>
      </c>
      <c r="Z461" s="239" t="str">
        <f>IF('CCUS Projects Database'!$S461&lt;&gt;"",HYPERLINK('CCUS Projects Database'!$S461,"Link 2"),"")</f>
        <v/>
      </c>
      <c r="AA461" s="239" t="str">
        <f>IF('CCUS Projects Database'!$T461&lt;&gt;"",HYPERLINK('CCUS Projects Database'!$T461,"Link 3"),"")</f>
        <v/>
      </c>
      <c r="AB461" s="239" t="str">
        <f>IF('CCUS Projects Database'!$U461&lt;&gt;"",HYPERLINK('CCUS Projects Database'!$U461,"Link 4"),"")</f>
        <v/>
      </c>
      <c r="AC461" s="239" t="str">
        <f>IF('CCUS Projects Database'!$V461&lt;&gt;"",HYPERLINK('CCUS Projects Database'!$V461,"Link 5"),"")</f>
        <v/>
      </c>
      <c r="AD461" s="239" t="str">
        <f>IF('CCUS Projects Database'!$W461&lt;&gt;"",HYPERLINK('CCUS Projects Database'!$W461,"Link 6"),"")</f>
        <v/>
      </c>
      <c r="AE461" s="239" t="str">
        <f>IF('CCUS Projects Database'!$X461&lt;&gt;"",HYPERLINK('CCUS Projects Database'!$X461,"Link 7"),"")</f>
        <v/>
      </c>
    </row>
    <row r="462" ht="14.25" customHeight="1">
      <c r="A462" s="233" t="s">
        <v>20572</v>
      </c>
      <c r="B462" s="234">
        <v>609.0</v>
      </c>
      <c r="C462" s="234" t="s">
        <v>18264</v>
      </c>
      <c r="D462" s="235" t="s">
        <v>20573</v>
      </c>
      <c r="E462" s="234" t="s">
        <v>18618</v>
      </c>
      <c r="F462" s="234">
        <v>2022.0</v>
      </c>
      <c r="G462" s="234">
        <v>2025.0</v>
      </c>
      <c r="H462" s="234">
        <v>2027.0</v>
      </c>
      <c r="I462" s="234" t="s">
        <v>18725</v>
      </c>
      <c r="J462" s="234" t="s">
        <v>18636</v>
      </c>
      <c r="K462" s="236" t="s">
        <v>18725</v>
      </c>
      <c r="L462" s="236">
        <v>1.26</v>
      </c>
      <c r="M462" s="236">
        <v>1.26</v>
      </c>
      <c r="N462" s="234" t="s">
        <v>103</v>
      </c>
      <c r="O462" s="237" t="s">
        <v>18675</v>
      </c>
      <c r="P462" s="238" t="s">
        <v>20338</v>
      </c>
      <c r="Q462" s="234" t="s">
        <v>18732</v>
      </c>
      <c r="R462" s="238" t="s">
        <v>20574</v>
      </c>
      <c r="S462" s="238" t="s">
        <v>18725</v>
      </c>
      <c r="T462" s="238" t="s">
        <v>18725</v>
      </c>
      <c r="U462" s="238" t="s">
        <v>18725</v>
      </c>
      <c r="V462" s="238" t="s">
        <v>18725</v>
      </c>
      <c r="W462" s="238" t="s">
        <v>18725</v>
      </c>
      <c r="X462" s="238" t="s">
        <v>18725</v>
      </c>
      <c r="Y462" s="239" t="str">
        <f>IF('CCUS Projects Database'!$R462&lt;&gt;"",HYPERLINK('CCUS Projects Database'!$R462,"Link 1"),"")</f>
        <v>Link 1</v>
      </c>
      <c r="Z462" s="239" t="str">
        <f>IF('CCUS Projects Database'!$S462&lt;&gt;"",HYPERLINK('CCUS Projects Database'!$S462,"Link 2"),"")</f>
        <v/>
      </c>
      <c r="AA462" s="239" t="str">
        <f>IF('CCUS Projects Database'!$T462&lt;&gt;"",HYPERLINK('CCUS Projects Database'!$T462,"Link 3"),"")</f>
        <v/>
      </c>
      <c r="AB462" s="239" t="str">
        <f>IF('CCUS Projects Database'!$U462&lt;&gt;"",HYPERLINK('CCUS Projects Database'!$U462,"Link 4"),"")</f>
        <v/>
      </c>
      <c r="AC462" s="239" t="str">
        <f>IF('CCUS Projects Database'!$V462&lt;&gt;"",HYPERLINK('CCUS Projects Database'!$V462,"Link 5"),"")</f>
        <v/>
      </c>
      <c r="AD462" s="239" t="str">
        <f>IF('CCUS Projects Database'!$W462&lt;&gt;"",HYPERLINK('CCUS Projects Database'!$W462,"Link 6"),"")</f>
        <v/>
      </c>
      <c r="AE462" s="239" t="str">
        <f>IF('CCUS Projects Database'!$X462&lt;&gt;"",HYPERLINK('CCUS Projects Database'!$X462,"Link 7"),"")</f>
        <v/>
      </c>
    </row>
    <row r="463" ht="14.25" customHeight="1">
      <c r="A463" s="233" t="s">
        <v>20575</v>
      </c>
      <c r="B463" s="234">
        <v>610.0</v>
      </c>
      <c r="C463" s="234" t="s">
        <v>18264</v>
      </c>
      <c r="D463" s="235" t="s">
        <v>20576</v>
      </c>
      <c r="E463" s="234" t="s">
        <v>18618</v>
      </c>
      <c r="F463" s="234">
        <v>2023.0</v>
      </c>
      <c r="G463" s="234" t="s">
        <v>18725</v>
      </c>
      <c r="H463" s="234" t="s">
        <v>18725</v>
      </c>
      <c r="I463" s="234" t="s">
        <v>18725</v>
      </c>
      <c r="J463" s="234" t="s">
        <v>18636</v>
      </c>
      <c r="K463" s="236" t="s">
        <v>18725</v>
      </c>
      <c r="L463" s="236" t="s">
        <v>18725</v>
      </c>
      <c r="M463" s="236" t="s">
        <v>18725</v>
      </c>
      <c r="N463" s="234" t="s">
        <v>18661</v>
      </c>
      <c r="O463" s="237" t="s">
        <v>18683</v>
      </c>
      <c r="P463" s="238" t="s">
        <v>18725</v>
      </c>
      <c r="Q463" s="234" t="s">
        <v>18732</v>
      </c>
      <c r="R463" s="238" t="s">
        <v>20577</v>
      </c>
      <c r="S463" s="238" t="s">
        <v>18725</v>
      </c>
      <c r="T463" s="238" t="s">
        <v>18725</v>
      </c>
      <c r="U463" s="238" t="s">
        <v>18725</v>
      </c>
      <c r="V463" s="238" t="s">
        <v>18725</v>
      </c>
      <c r="W463" s="238" t="s">
        <v>18725</v>
      </c>
      <c r="X463" s="238" t="s">
        <v>18725</v>
      </c>
      <c r="Y463" s="239" t="str">
        <f>IF('CCUS Projects Database'!$R463&lt;&gt;"",HYPERLINK('CCUS Projects Database'!$R463,"Link 1"),"")</f>
        <v>Link 1</v>
      </c>
      <c r="Z463" s="239" t="str">
        <f>IF('CCUS Projects Database'!$S463&lt;&gt;"",HYPERLINK('CCUS Projects Database'!$S463,"Link 2"),"")</f>
        <v/>
      </c>
      <c r="AA463" s="239" t="str">
        <f>IF('CCUS Projects Database'!$T463&lt;&gt;"",HYPERLINK('CCUS Projects Database'!$T463,"Link 3"),"")</f>
        <v/>
      </c>
      <c r="AB463" s="239" t="str">
        <f>IF('CCUS Projects Database'!$U463&lt;&gt;"",HYPERLINK('CCUS Projects Database'!$U463,"Link 4"),"")</f>
        <v/>
      </c>
      <c r="AC463" s="239" t="str">
        <f>IF('CCUS Projects Database'!$V463&lt;&gt;"",HYPERLINK('CCUS Projects Database'!$V463,"Link 5"),"")</f>
        <v/>
      </c>
      <c r="AD463" s="239" t="str">
        <f>IF('CCUS Projects Database'!$W463&lt;&gt;"",HYPERLINK('CCUS Projects Database'!$W463,"Link 6"),"")</f>
        <v/>
      </c>
      <c r="AE463" s="239" t="str">
        <f>IF('CCUS Projects Database'!$X463&lt;&gt;"",HYPERLINK('CCUS Projects Database'!$X463,"Link 7"),"")</f>
        <v/>
      </c>
    </row>
    <row r="464" ht="14.25" customHeight="1">
      <c r="A464" s="233" t="s">
        <v>20578</v>
      </c>
      <c r="B464" s="234">
        <v>611.0</v>
      </c>
      <c r="C464" s="234" t="s">
        <v>18264</v>
      </c>
      <c r="D464" s="235" t="s">
        <v>20579</v>
      </c>
      <c r="E464" s="234" t="s">
        <v>18618</v>
      </c>
      <c r="F464" s="234">
        <v>2022.0</v>
      </c>
      <c r="G464" s="234" t="s">
        <v>18725</v>
      </c>
      <c r="H464" s="234" t="s">
        <v>18725</v>
      </c>
      <c r="I464" s="234" t="s">
        <v>18725</v>
      </c>
      <c r="J464" s="234" t="s">
        <v>18636</v>
      </c>
      <c r="K464" s="236" t="s">
        <v>18725</v>
      </c>
      <c r="L464" s="236" t="s">
        <v>18725</v>
      </c>
      <c r="M464" s="236" t="s">
        <v>18725</v>
      </c>
      <c r="N464" s="234" t="s">
        <v>18654</v>
      </c>
      <c r="O464" s="237" t="s">
        <v>18683</v>
      </c>
      <c r="P464" s="238" t="s">
        <v>18725</v>
      </c>
      <c r="Q464" s="234" t="s">
        <v>18732</v>
      </c>
      <c r="R464" s="238" t="s">
        <v>20580</v>
      </c>
      <c r="S464" s="238" t="s">
        <v>18725</v>
      </c>
      <c r="T464" s="238" t="s">
        <v>18725</v>
      </c>
      <c r="U464" s="238" t="s">
        <v>18725</v>
      </c>
      <c r="V464" s="238" t="s">
        <v>18725</v>
      </c>
      <c r="W464" s="238" t="s">
        <v>18725</v>
      </c>
      <c r="X464" s="238" t="s">
        <v>18725</v>
      </c>
      <c r="Y464" s="239" t="str">
        <f>IF('CCUS Projects Database'!$R464&lt;&gt;"",HYPERLINK('CCUS Projects Database'!$R464,"Link 1"),"")</f>
        <v>Link 1</v>
      </c>
      <c r="Z464" s="239" t="str">
        <f>IF('CCUS Projects Database'!$S464&lt;&gt;"",HYPERLINK('CCUS Projects Database'!$S464,"Link 2"),"")</f>
        <v/>
      </c>
      <c r="AA464" s="239" t="str">
        <f>IF('CCUS Projects Database'!$T464&lt;&gt;"",HYPERLINK('CCUS Projects Database'!$T464,"Link 3"),"")</f>
        <v/>
      </c>
      <c r="AB464" s="239" t="str">
        <f>IF('CCUS Projects Database'!$U464&lt;&gt;"",HYPERLINK('CCUS Projects Database'!$U464,"Link 4"),"")</f>
        <v/>
      </c>
      <c r="AC464" s="239" t="str">
        <f>IF('CCUS Projects Database'!$V464&lt;&gt;"",HYPERLINK('CCUS Projects Database'!$V464,"Link 5"),"")</f>
        <v/>
      </c>
      <c r="AD464" s="239" t="str">
        <f>IF('CCUS Projects Database'!$W464&lt;&gt;"",HYPERLINK('CCUS Projects Database'!$W464,"Link 6"),"")</f>
        <v/>
      </c>
      <c r="AE464" s="239" t="str">
        <f>IF('CCUS Projects Database'!$X464&lt;&gt;"",HYPERLINK('CCUS Projects Database'!$X464,"Link 7"),"")</f>
        <v/>
      </c>
    </row>
    <row r="465" ht="14.25" customHeight="1">
      <c r="A465" s="233" t="s">
        <v>20581</v>
      </c>
      <c r="B465" s="234">
        <v>615.0</v>
      </c>
      <c r="C465" s="234" t="s">
        <v>83</v>
      </c>
      <c r="D465" s="235" t="s">
        <v>20582</v>
      </c>
      <c r="E465" s="234" t="s">
        <v>18623</v>
      </c>
      <c r="F465" s="234">
        <v>2023.0</v>
      </c>
      <c r="G465" s="234" t="s">
        <v>18725</v>
      </c>
      <c r="H465" s="234">
        <v>2030.0</v>
      </c>
      <c r="I465" s="234" t="s">
        <v>18725</v>
      </c>
      <c r="J465" s="234" t="s">
        <v>18636</v>
      </c>
      <c r="K465" s="236" t="s">
        <v>18725</v>
      </c>
      <c r="L465" s="236">
        <v>5.0</v>
      </c>
      <c r="M465" s="236">
        <v>5.0</v>
      </c>
      <c r="N465" s="234" t="s">
        <v>18623</v>
      </c>
      <c r="O465" s="237" t="s">
        <v>18675</v>
      </c>
      <c r="P465" s="238" t="s">
        <v>20581</v>
      </c>
      <c r="Q465" s="234" t="s">
        <v>18726</v>
      </c>
      <c r="R465" s="238" t="s">
        <v>20583</v>
      </c>
      <c r="S465" s="238" t="s">
        <v>20584</v>
      </c>
      <c r="T465" s="238" t="s">
        <v>20585</v>
      </c>
      <c r="U465" s="238" t="s">
        <v>18725</v>
      </c>
      <c r="V465" s="238" t="s">
        <v>18725</v>
      </c>
      <c r="W465" s="238" t="s">
        <v>18725</v>
      </c>
      <c r="X465" s="238" t="s">
        <v>18725</v>
      </c>
      <c r="Y465" s="239" t="str">
        <f>IF('CCUS Projects Database'!$R465&lt;&gt;"",HYPERLINK('CCUS Projects Database'!$R465,"Link 1"),"")</f>
        <v>Link 1</v>
      </c>
      <c r="Z465" s="239" t="str">
        <f>IF('CCUS Projects Database'!$S465&lt;&gt;"",HYPERLINK('CCUS Projects Database'!$S465,"Link 2"),"")</f>
        <v>Link 2</v>
      </c>
      <c r="AA465" s="239" t="str">
        <f>IF('CCUS Projects Database'!$T465&lt;&gt;"",HYPERLINK('CCUS Projects Database'!$T465,"Link 3"),"")</f>
        <v>Link 3</v>
      </c>
      <c r="AB465" s="239" t="str">
        <f>IF('CCUS Projects Database'!$U465&lt;&gt;"",HYPERLINK('CCUS Projects Database'!$U465,"Link 4"),"")</f>
        <v/>
      </c>
      <c r="AC465" s="239" t="str">
        <f>IF('CCUS Projects Database'!$V465&lt;&gt;"",HYPERLINK('CCUS Projects Database'!$V465,"Link 5"),"")</f>
        <v/>
      </c>
      <c r="AD465" s="239" t="str">
        <f>IF('CCUS Projects Database'!$W465&lt;&gt;"",HYPERLINK('CCUS Projects Database'!$W465,"Link 6"),"")</f>
        <v/>
      </c>
      <c r="AE465" s="239" t="str">
        <f>IF('CCUS Projects Database'!$X465&lt;&gt;"",HYPERLINK('CCUS Projects Database'!$X465,"Link 7"),"")</f>
        <v/>
      </c>
    </row>
    <row r="466" ht="14.25" customHeight="1">
      <c r="A466" s="233" t="s">
        <v>9464</v>
      </c>
      <c r="B466" s="234">
        <v>616.0</v>
      </c>
      <c r="C466" s="234" t="s">
        <v>18586</v>
      </c>
      <c r="D466" s="235" t="s">
        <v>20586</v>
      </c>
      <c r="E466" s="234" t="s">
        <v>18618</v>
      </c>
      <c r="F466" s="234">
        <v>2023.0</v>
      </c>
      <c r="G466" s="234" t="s">
        <v>18725</v>
      </c>
      <c r="H466" s="234">
        <v>2030.0</v>
      </c>
      <c r="I466" s="234" t="s">
        <v>18725</v>
      </c>
      <c r="J466" s="234" t="s">
        <v>18636</v>
      </c>
      <c r="K466" s="236">
        <v>1.0</v>
      </c>
      <c r="L466" s="236" t="s">
        <v>18725</v>
      </c>
      <c r="M466" s="236" t="s">
        <v>18725</v>
      </c>
      <c r="N466" s="234" t="s">
        <v>18731</v>
      </c>
      <c r="O466" s="237" t="s">
        <v>18683</v>
      </c>
      <c r="P466" s="238" t="s">
        <v>18725</v>
      </c>
      <c r="Q466" s="234" t="s">
        <v>18732</v>
      </c>
      <c r="R466" s="238" t="s">
        <v>17255</v>
      </c>
      <c r="S466" s="238" t="s">
        <v>18725</v>
      </c>
      <c r="T466" s="238" t="s">
        <v>18725</v>
      </c>
      <c r="U466" s="238" t="s">
        <v>18725</v>
      </c>
      <c r="V466" s="238" t="s">
        <v>18725</v>
      </c>
      <c r="W466" s="238" t="s">
        <v>18725</v>
      </c>
      <c r="X466" s="238" t="s">
        <v>18725</v>
      </c>
      <c r="Y466" s="239" t="str">
        <f>IF('CCUS Projects Database'!$R466&lt;&gt;"",HYPERLINK('CCUS Projects Database'!$R466,"Link 1"),"")</f>
        <v>Link 1</v>
      </c>
      <c r="Z466" s="239" t="str">
        <f>IF('CCUS Projects Database'!$S466&lt;&gt;"",HYPERLINK('CCUS Projects Database'!$S466,"Link 2"),"")</f>
        <v/>
      </c>
      <c r="AA466" s="239" t="str">
        <f>IF('CCUS Projects Database'!$T466&lt;&gt;"",HYPERLINK('CCUS Projects Database'!$T466,"Link 3"),"")</f>
        <v/>
      </c>
      <c r="AB466" s="239" t="str">
        <f>IF('CCUS Projects Database'!$U466&lt;&gt;"",HYPERLINK('CCUS Projects Database'!$U466,"Link 4"),"")</f>
        <v/>
      </c>
      <c r="AC466" s="239" t="str">
        <f>IF('CCUS Projects Database'!$V466&lt;&gt;"",HYPERLINK('CCUS Projects Database'!$V466,"Link 5"),"")</f>
        <v/>
      </c>
      <c r="AD466" s="239" t="str">
        <f>IF('CCUS Projects Database'!$W466&lt;&gt;"",HYPERLINK('CCUS Projects Database'!$W466,"Link 6"),"")</f>
        <v/>
      </c>
      <c r="AE466" s="239" t="str">
        <f>IF('CCUS Projects Database'!$X466&lt;&gt;"",HYPERLINK('CCUS Projects Database'!$X466,"Link 7"),"")</f>
        <v/>
      </c>
    </row>
    <row r="467" ht="14.25" customHeight="1">
      <c r="A467" s="233" t="s">
        <v>9465</v>
      </c>
      <c r="B467" s="234">
        <v>617.0</v>
      </c>
      <c r="C467" s="234" t="s">
        <v>18586</v>
      </c>
      <c r="D467" s="235" t="s">
        <v>20586</v>
      </c>
      <c r="E467" s="234" t="s">
        <v>18618</v>
      </c>
      <c r="F467" s="234">
        <v>2023.0</v>
      </c>
      <c r="G467" s="234" t="s">
        <v>18725</v>
      </c>
      <c r="H467" s="234" t="s">
        <v>18725</v>
      </c>
      <c r="I467" s="234" t="s">
        <v>18725</v>
      </c>
      <c r="J467" s="234" t="s">
        <v>18636</v>
      </c>
      <c r="K467" s="236">
        <v>2.0</v>
      </c>
      <c r="L467" s="236">
        <v>10.0</v>
      </c>
      <c r="M467" s="236">
        <v>10.0</v>
      </c>
      <c r="N467" s="234" t="s">
        <v>18731</v>
      </c>
      <c r="O467" s="237" t="s">
        <v>18683</v>
      </c>
      <c r="P467" s="238" t="s">
        <v>18725</v>
      </c>
      <c r="Q467" s="234" t="s">
        <v>18732</v>
      </c>
      <c r="R467" s="238" t="s">
        <v>17255</v>
      </c>
      <c r="S467" s="238" t="s">
        <v>18725</v>
      </c>
      <c r="T467" s="238" t="s">
        <v>18725</v>
      </c>
      <c r="U467" s="238" t="s">
        <v>18725</v>
      </c>
      <c r="V467" s="238" t="s">
        <v>18725</v>
      </c>
      <c r="W467" s="238" t="s">
        <v>18725</v>
      </c>
      <c r="X467" s="238" t="s">
        <v>18725</v>
      </c>
      <c r="Y467" s="239" t="str">
        <f>IF('CCUS Projects Database'!$R467&lt;&gt;"",HYPERLINK('CCUS Projects Database'!$R467,"Link 1"),"")</f>
        <v>Link 1</v>
      </c>
      <c r="Z467" s="239" t="str">
        <f>IF('CCUS Projects Database'!$S467&lt;&gt;"",HYPERLINK('CCUS Projects Database'!$S467,"Link 2"),"")</f>
        <v/>
      </c>
      <c r="AA467" s="239" t="str">
        <f>IF('CCUS Projects Database'!$T467&lt;&gt;"",HYPERLINK('CCUS Projects Database'!$T467,"Link 3"),"")</f>
        <v/>
      </c>
      <c r="AB467" s="239" t="str">
        <f>IF('CCUS Projects Database'!$U467&lt;&gt;"",HYPERLINK('CCUS Projects Database'!$U467,"Link 4"),"")</f>
        <v/>
      </c>
      <c r="AC467" s="239" t="str">
        <f>IF('CCUS Projects Database'!$V467&lt;&gt;"",HYPERLINK('CCUS Projects Database'!$V467,"Link 5"),"")</f>
        <v/>
      </c>
      <c r="AD467" s="239" t="str">
        <f>IF('CCUS Projects Database'!$W467&lt;&gt;"",HYPERLINK('CCUS Projects Database'!$W467,"Link 6"),"")</f>
        <v/>
      </c>
      <c r="AE467" s="239" t="str">
        <f>IF('CCUS Projects Database'!$X467&lt;&gt;"",HYPERLINK('CCUS Projects Database'!$X467,"Link 7"),"")</f>
        <v/>
      </c>
    </row>
    <row r="468" ht="14.25" customHeight="1">
      <c r="A468" s="233" t="s">
        <v>9455</v>
      </c>
      <c r="B468" s="234">
        <v>618.0</v>
      </c>
      <c r="C468" s="234" t="s">
        <v>18508</v>
      </c>
      <c r="D468" s="235" t="s">
        <v>20587</v>
      </c>
      <c r="E468" s="234" t="s">
        <v>18618</v>
      </c>
      <c r="F468" s="234">
        <v>2023.0</v>
      </c>
      <c r="G468" s="234" t="s">
        <v>18725</v>
      </c>
      <c r="H468" s="234" t="s">
        <v>18725</v>
      </c>
      <c r="I468" s="234" t="s">
        <v>18725</v>
      </c>
      <c r="J468" s="234" t="s">
        <v>18636</v>
      </c>
      <c r="K468" s="236" t="s">
        <v>18725</v>
      </c>
      <c r="L468" s="236" t="s">
        <v>18725</v>
      </c>
      <c r="M468" s="236" t="s">
        <v>18725</v>
      </c>
      <c r="N468" s="234" t="s">
        <v>18731</v>
      </c>
      <c r="O468" s="237" t="s">
        <v>18683</v>
      </c>
      <c r="P468" s="238" t="s">
        <v>18725</v>
      </c>
      <c r="Q468" s="234" t="s">
        <v>18293</v>
      </c>
      <c r="R468" s="238" t="s">
        <v>17247</v>
      </c>
      <c r="S468" s="238" t="s">
        <v>18725</v>
      </c>
      <c r="T468" s="238" t="s">
        <v>18725</v>
      </c>
      <c r="U468" s="238" t="s">
        <v>18725</v>
      </c>
      <c r="V468" s="238" t="s">
        <v>18725</v>
      </c>
      <c r="W468" s="238" t="s">
        <v>18725</v>
      </c>
      <c r="X468" s="238" t="s">
        <v>18725</v>
      </c>
      <c r="Y468" s="239" t="str">
        <f>IF('CCUS Projects Database'!$R468&lt;&gt;"",HYPERLINK('CCUS Projects Database'!$R468,"Link 1"),"")</f>
        <v>Link 1</v>
      </c>
      <c r="Z468" s="239" t="str">
        <f>IF('CCUS Projects Database'!$S468&lt;&gt;"",HYPERLINK('CCUS Projects Database'!$S468,"Link 2"),"")</f>
        <v/>
      </c>
      <c r="AA468" s="239" t="str">
        <f>IF('CCUS Projects Database'!$T468&lt;&gt;"",HYPERLINK('CCUS Projects Database'!$T468,"Link 3"),"")</f>
        <v/>
      </c>
      <c r="AB468" s="239" t="str">
        <f>IF('CCUS Projects Database'!$U468&lt;&gt;"",HYPERLINK('CCUS Projects Database'!$U468,"Link 4"),"")</f>
        <v/>
      </c>
      <c r="AC468" s="239" t="str">
        <f>IF('CCUS Projects Database'!$V468&lt;&gt;"",HYPERLINK('CCUS Projects Database'!$V468,"Link 5"),"")</f>
        <v/>
      </c>
      <c r="AD468" s="239" t="str">
        <f>IF('CCUS Projects Database'!$W468&lt;&gt;"",HYPERLINK('CCUS Projects Database'!$W468,"Link 6"),"")</f>
        <v/>
      </c>
      <c r="AE468" s="239" t="str">
        <f>IF('CCUS Projects Database'!$X468&lt;&gt;"",HYPERLINK('CCUS Projects Database'!$X468,"Link 7"),"")</f>
        <v/>
      </c>
    </row>
    <row r="469" ht="14.25" customHeight="1">
      <c r="A469" s="233" t="s">
        <v>20588</v>
      </c>
      <c r="B469" s="234">
        <v>622.0</v>
      </c>
      <c r="C469" s="234" t="s">
        <v>20589</v>
      </c>
      <c r="D469" s="235" t="s">
        <v>20590</v>
      </c>
      <c r="E469" s="234" t="s">
        <v>18616</v>
      </c>
      <c r="F469" s="234">
        <v>2023.0</v>
      </c>
      <c r="G469" s="234" t="s">
        <v>18725</v>
      </c>
      <c r="H469" s="234">
        <v>2030.0</v>
      </c>
      <c r="I469" s="234" t="s">
        <v>18725</v>
      </c>
      <c r="J469" s="234" t="s">
        <v>18636</v>
      </c>
      <c r="K469" s="236" t="s">
        <v>18725</v>
      </c>
      <c r="L469" s="236">
        <v>1.6</v>
      </c>
      <c r="M469" s="236">
        <v>1.6</v>
      </c>
      <c r="N469" s="234" t="s">
        <v>18656</v>
      </c>
      <c r="O469" s="237" t="s">
        <v>18675</v>
      </c>
      <c r="P469" s="238" t="s">
        <v>18725</v>
      </c>
      <c r="Q469" s="234" t="s">
        <v>20181</v>
      </c>
      <c r="R469" s="238" t="s">
        <v>20591</v>
      </c>
      <c r="S469" s="238" t="s">
        <v>20592</v>
      </c>
      <c r="T469" s="238" t="s">
        <v>18725</v>
      </c>
      <c r="U469" s="238" t="s">
        <v>18725</v>
      </c>
      <c r="V469" s="238" t="s">
        <v>18725</v>
      </c>
      <c r="W469" s="238" t="s">
        <v>18725</v>
      </c>
      <c r="X469" s="238" t="s">
        <v>18725</v>
      </c>
      <c r="Y469" s="239" t="str">
        <f>IF('CCUS Projects Database'!$R469&lt;&gt;"",HYPERLINK('CCUS Projects Database'!$R469,"Link 1"),"")</f>
        <v>Link 1</v>
      </c>
      <c r="Z469" s="239" t="str">
        <f>IF('CCUS Projects Database'!$S469&lt;&gt;"",HYPERLINK('CCUS Projects Database'!$S469,"Link 2"),"")</f>
        <v>Link 2</v>
      </c>
      <c r="AA469" s="239" t="str">
        <f>IF('CCUS Projects Database'!$T469&lt;&gt;"",HYPERLINK('CCUS Projects Database'!$T469,"Link 3"),"")</f>
        <v/>
      </c>
      <c r="AB469" s="239" t="str">
        <f>IF('CCUS Projects Database'!$U469&lt;&gt;"",HYPERLINK('CCUS Projects Database'!$U469,"Link 4"),"")</f>
        <v/>
      </c>
      <c r="AC469" s="239" t="str">
        <f>IF('CCUS Projects Database'!$V469&lt;&gt;"",HYPERLINK('CCUS Projects Database'!$V469,"Link 5"),"")</f>
        <v/>
      </c>
      <c r="AD469" s="239" t="str">
        <f>IF('CCUS Projects Database'!$W469&lt;&gt;"",HYPERLINK('CCUS Projects Database'!$W469,"Link 6"),"")</f>
        <v/>
      </c>
      <c r="AE469" s="239" t="str">
        <f>IF('CCUS Projects Database'!$X469&lt;&gt;"",HYPERLINK('CCUS Projects Database'!$X469,"Link 7"),"")</f>
        <v/>
      </c>
    </row>
    <row r="470" ht="14.25" customHeight="1">
      <c r="A470" s="233" t="s">
        <v>20593</v>
      </c>
      <c r="B470" s="234">
        <v>624.0</v>
      </c>
      <c r="C470" s="234" t="s">
        <v>57</v>
      </c>
      <c r="D470" s="235" t="s">
        <v>20594</v>
      </c>
      <c r="E470" s="234" t="s">
        <v>18625</v>
      </c>
      <c r="F470" s="234">
        <v>2023.0</v>
      </c>
      <c r="G470" s="234" t="s">
        <v>18725</v>
      </c>
      <c r="H470" s="234" t="s">
        <v>18725</v>
      </c>
      <c r="I470" s="234" t="s">
        <v>18725</v>
      </c>
      <c r="J470" s="234" t="s">
        <v>18636</v>
      </c>
      <c r="K470" s="236" t="s">
        <v>18725</v>
      </c>
      <c r="L470" s="236" t="s">
        <v>20595</v>
      </c>
      <c r="M470" s="236">
        <v>0.5</v>
      </c>
      <c r="N470" s="234" t="s">
        <v>677</v>
      </c>
      <c r="O470" s="237" t="s">
        <v>18679</v>
      </c>
      <c r="P470" s="238" t="s">
        <v>18725</v>
      </c>
      <c r="Q470" s="234" t="s">
        <v>18726</v>
      </c>
      <c r="R470" s="238" t="s">
        <v>20596</v>
      </c>
      <c r="S470" s="238" t="s">
        <v>18725</v>
      </c>
      <c r="T470" s="238" t="s">
        <v>18725</v>
      </c>
      <c r="U470" s="238" t="s">
        <v>18725</v>
      </c>
      <c r="V470" s="238" t="s">
        <v>18725</v>
      </c>
      <c r="W470" s="238" t="s">
        <v>18725</v>
      </c>
      <c r="X470" s="238" t="s">
        <v>18725</v>
      </c>
      <c r="Y470" s="239" t="str">
        <f>IF('CCUS Projects Database'!$R470&lt;&gt;"",HYPERLINK('CCUS Projects Database'!$R470,"Link 1"),"")</f>
        <v>Link 1</v>
      </c>
      <c r="Z470" s="239" t="str">
        <f>IF('CCUS Projects Database'!$S470&lt;&gt;"",HYPERLINK('CCUS Projects Database'!$S470,"Link 2"),"")</f>
        <v/>
      </c>
      <c r="AA470" s="239" t="str">
        <f>IF('CCUS Projects Database'!$T470&lt;&gt;"",HYPERLINK('CCUS Projects Database'!$T470,"Link 3"),"")</f>
        <v/>
      </c>
      <c r="AB470" s="239" t="str">
        <f>IF('CCUS Projects Database'!$U470&lt;&gt;"",HYPERLINK('CCUS Projects Database'!$U470,"Link 4"),"")</f>
        <v/>
      </c>
      <c r="AC470" s="239" t="str">
        <f>IF('CCUS Projects Database'!$V470&lt;&gt;"",HYPERLINK('CCUS Projects Database'!$V470,"Link 5"),"")</f>
        <v/>
      </c>
      <c r="AD470" s="239" t="str">
        <f>IF('CCUS Projects Database'!$W470&lt;&gt;"",HYPERLINK('CCUS Projects Database'!$W470,"Link 6"),"")</f>
        <v/>
      </c>
      <c r="AE470" s="239" t="str">
        <f>IF('CCUS Projects Database'!$X470&lt;&gt;"",HYPERLINK('CCUS Projects Database'!$X470,"Link 7"),"")</f>
        <v/>
      </c>
    </row>
    <row r="471" ht="14.25" customHeight="1">
      <c r="A471" s="233" t="s">
        <v>20597</v>
      </c>
      <c r="B471" s="234">
        <v>626.0</v>
      </c>
      <c r="C471" s="234" t="s">
        <v>18586</v>
      </c>
      <c r="D471" s="235" t="s">
        <v>18980</v>
      </c>
      <c r="E471" s="234" t="s">
        <v>18616</v>
      </c>
      <c r="F471" s="234">
        <v>2022.0</v>
      </c>
      <c r="G471" s="234" t="s">
        <v>18725</v>
      </c>
      <c r="H471" s="234">
        <v>2026.0</v>
      </c>
      <c r="I471" s="234" t="s">
        <v>18725</v>
      </c>
      <c r="J471" s="234" t="s">
        <v>18636</v>
      </c>
      <c r="K471" s="236" t="s">
        <v>18725</v>
      </c>
      <c r="L471" s="236">
        <v>0.175</v>
      </c>
      <c r="M471" s="236">
        <v>0.175</v>
      </c>
      <c r="N471" s="234" t="s">
        <v>12270</v>
      </c>
      <c r="O471" s="237" t="s">
        <v>18675</v>
      </c>
      <c r="P471" s="238" t="s">
        <v>18725</v>
      </c>
      <c r="Q471" s="234" t="s">
        <v>18732</v>
      </c>
      <c r="R471" s="238" t="s">
        <v>19208</v>
      </c>
      <c r="S471" s="238" t="s">
        <v>20598</v>
      </c>
      <c r="T471" s="238" t="s">
        <v>18725</v>
      </c>
      <c r="U471" s="238" t="s">
        <v>18725</v>
      </c>
      <c r="V471" s="238" t="s">
        <v>18725</v>
      </c>
      <c r="W471" s="238" t="s">
        <v>18725</v>
      </c>
      <c r="X471" s="238" t="s">
        <v>18725</v>
      </c>
      <c r="Y471" s="239" t="str">
        <f>IF('CCUS Projects Database'!$R471&lt;&gt;"",HYPERLINK('CCUS Projects Database'!$R471,"Link 1"),"")</f>
        <v>Link 1</v>
      </c>
      <c r="Z471" s="239" t="str">
        <f>IF('CCUS Projects Database'!$S471&lt;&gt;"",HYPERLINK('CCUS Projects Database'!$S471,"Link 2"),"")</f>
        <v>Link 2</v>
      </c>
      <c r="AA471" s="239" t="str">
        <f>IF('CCUS Projects Database'!$T471&lt;&gt;"",HYPERLINK('CCUS Projects Database'!$T471,"Link 3"),"")</f>
        <v/>
      </c>
      <c r="AB471" s="239" t="str">
        <f>IF('CCUS Projects Database'!$U471&lt;&gt;"",HYPERLINK('CCUS Projects Database'!$U471,"Link 4"),"")</f>
        <v/>
      </c>
      <c r="AC471" s="239" t="str">
        <f>IF('CCUS Projects Database'!$V471&lt;&gt;"",HYPERLINK('CCUS Projects Database'!$V471,"Link 5"),"")</f>
        <v/>
      </c>
      <c r="AD471" s="239" t="str">
        <f>IF('CCUS Projects Database'!$W471&lt;&gt;"",HYPERLINK('CCUS Projects Database'!$W471,"Link 6"),"")</f>
        <v/>
      </c>
      <c r="AE471" s="239" t="str">
        <f>IF('CCUS Projects Database'!$X471&lt;&gt;"",HYPERLINK('CCUS Projects Database'!$X471,"Link 7"),"")</f>
        <v/>
      </c>
    </row>
    <row r="472" ht="14.25" customHeight="1">
      <c r="A472" s="233" t="s">
        <v>20599</v>
      </c>
      <c r="B472" s="234">
        <v>627.0</v>
      </c>
      <c r="C472" s="234" t="s">
        <v>18586</v>
      </c>
      <c r="D472" s="235" t="s">
        <v>18772</v>
      </c>
      <c r="E472" s="234" t="s">
        <v>18618</v>
      </c>
      <c r="F472" s="234">
        <v>2022.0</v>
      </c>
      <c r="G472" s="234" t="s">
        <v>18725</v>
      </c>
      <c r="H472" s="234" t="s">
        <v>18725</v>
      </c>
      <c r="I472" s="234" t="s">
        <v>18725</v>
      </c>
      <c r="J472" s="234" t="s">
        <v>18636</v>
      </c>
      <c r="K472" s="236" t="s">
        <v>18725</v>
      </c>
      <c r="L472" s="236" t="s">
        <v>18725</v>
      </c>
      <c r="M472" s="236" t="s">
        <v>18725</v>
      </c>
      <c r="N472" s="234" t="s">
        <v>12270</v>
      </c>
      <c r="O472" s="237" t="s">
        <v>18675</v>
      </c>
      <c r="P472" s="238" t="s">
        <v>19207</v>
      </c>
      <c r="Q472" s="234" t="s">
        <v>18732</v>
      </c>
      <c r="R472" s="238" t="s">
        <v>19208</v>
      </c>
      <c r="S472" s="238" t="s">
        <v>18725</v>
      </c>
      <c r="T472" s="238" t="s">
        <v>18725</v>
      </c>
      <c r="U472" s="238" t="s">
        <v>18725</v>
      </c>
      <c r="V472" s="238" t="s">
        <v>18725</v>
      </c>
      <c r="W472" s="238" t="s">
        <v>18725</v>
      </c>
      <c r="X472" s="238" t="s">
        <v>18725</v>
      </c>
      <c r="Y472" s="239" t="str">
        <f>IF('CCUS Projects Database'!$R472&lt;&gt;"",HYPERLINK('CCUS Projects Database'!$R472,"Link 1"),"")</f>
        <v>Link 1</v>
      </c>
      <c r="Z472" s="239" t="str">
        <f>IF('CCUS Projects Database'!$S472&lt;&gt;"",HYPERLINK('CCUS Projects Database'!$S472,"Link 2"),"")</f>
        <v/>
      </c>
      <c r="AA472" s="239" t="str">
        <f>IF('CCUS Projects Database'!$T472&lt;&gt;"",HYPERLINK('CCUS Projects Database'!$T472,"Link 3"),"")</f>
        <v/>
      </c>
      <c r="AB472" s="239" t="str">
        <f>IF('CCUS Projects Database'!$U472&lt;&gt;"",HYPERLINK('CCUS Projects Database'!$U472,"Link 4"),"")</f>
        <v/>
      </c>
      <c r="AC472" s="239" t="str">
        <f>IF('CCUS Projects Database'!$V472&lt;&gt;"",HYPERLINK('CCUS Projects Database'!$V472,"Link 5"),"")</f>
        <v/>
      </c>
      <c r="AD472" s="239" t="str">
        <f>IF('CCUS Projects Database'!$W472&lt;&gt;"",HYPERLINK('CCUS Projects Database'!$W472,"Link 6"),"")</f>
        <v/>
      </c>
      <c r="AE472" s="239" t="str">
        <f>IF('CCUS Projects Database'!$X472&lt;&gt;"",HYPERLINK('CCUS Projects Database'!$X472,"Link 7"),"")</f>
        <v/>
      </c>
    </row>
    <row r="473" ht="14.25" customHeight="1">
      <c r="A473" s="233" t="s">
        <v>20600</v>
      </c>
      <c r="B473" s="234">
        <v>628.0</v>
      </c>
      <c r="C473" s="234" t="s">
        <v>18920</v>
      </c>
      <c r="D473" s="235" t="s">
        <v>20601</v>
      </c>
      <c r="E473" s="234" t="s">
        <v>18623</v>
      </c>
      <c r="F473" s="234">
        <v>2021.0</v>
      </c>
      <c r="G473" s="234">
        <v>2025.0</v>
      </c>
      <c r="H473" s="234" t="s">
        <v>18725</v>
      </c>
      <c r="I473" s="234" t="s">
        <v>18725</v>
      </c>
      <c r="J473" s="234" t="s">
        <v>18636</v>
      </c>
      <c r="K473" s="236">
        <v>2.0</v>
      </c>
      <c r="L473" s="236">
        <v>10.0</v>
      </c>
      <c r="M473" s="236">
        <v>10.0</v>
      </c>
      <c r="N473" s="234" t="s">
        <v>18623</v>
      </c>
      <c r="O473" s="237" t="s">
        <v>18675</v>
      </c>
      <c r="P473" s="238" t="s">
        <v>18903</v>
      </c>
      <c r="Q473" s="234" t="s">
        <v>18762</v>
      </c>
      <c r="R473" s="238" t="s">
        <v>18922</v>
      </c>
      <c r="S473" s="238" t="s">
        <v>18923</v>
      </c>
      <c r="T473" s="238" t="s">
        <v>18725</v>
      </c>
      <c r="U473" s="238" t="s">
        <v>18725</v>
      </c>
      <c r="V473" s="238" t="s">
        <v>18725</v>
      </c>
      <c r="W473" s="238" t="s">
        <v>18725</v>
      </c>
      <c r="X473" s="238" t="s">
        <v>18725</v>
      </c>
      <c r="Y473" s="239" t="str">
        <f>IF('CCUS Projects Database'!$R473&lt;&gt;"",HYPERLINK('CCUS Projects Database'!$R473,"Link 1"),"")</f>
        <v>Link 1</v>
      </c>
      <c r="Z473" s="239" t="str">
        <f>IF('CCUS Projects Database'!$S473&lt;&gt;"",HYPERLINK('CCUS Projects Database'!$S473,"Link 2"),"")</f>
        <v>Link 2</v>
      </c>
      <c r="AA473" s="239" t="str">
        <f>IF('CCUS Projects Database'!$T473&lt;&gt;"",HYPERLINK('CCUS Projects Database'!$T473,"Link 3"),"")</f>
        <v/>
      </c>
      <c r="AB473" s="239" t="str">
        <f>IF('CCUS Projects Database'!$U473&lt;&gt;"",HYPERLINK('CCUS Projects Database'!$U473,"Link 4"),"")</f>
        <v/>
      </c>
      <c r="AC473" s="239" t="str">
        <f>IF('CCUS Projects Database'!$V473&lt;&gt;"",HYPERLINK('CCUS Projects Database'!$V473,"Link 5"),"")</f>
        <v/>
      </c>
      <c r="AD473" s="239" t="str">
        <f>IF('CCUS Projects Database'!$W473&lt;&gt;"",HYPERLINK('CCUS Projects Database'!$W473,"Link 6"),"")</f>
        <v/>
      </c>
      <c r="AE473" s="239" t="str">
        <f>IF('CCUS Projects Database'!$X473&lt;&gt;"",HYPERLINK('CCUS Projects Database'!$X473,"Link 7"),"")</f>
        <v/>
      </c>
    </row>
    <row r="474" ht="14.25" customHeight="1">
      <c r="A474" s="233" t="s">
        <v>20602</v>
      </c>
      <c r="B474" s="234">
        <v>629.0</v>
      </c>
      <c r="C474" s="234" t="s">
        <v>18329</v>
      </c>
      <c r="D474" s="235" t="s">
        <v>20603</v>
      </c>
      <c r="E474" s="234" t="s">
        <v>18616</v>
      </c>
      <c r="F474" s="234">
        <v>2022.0</v>
      </c>
      <c r="G474" s="234" t="s">
        <v>18725</v>
      </c>
      <c r="H474" s="234" t="s">
        <v>18725</v>
      </c>
      <c r="I474" s="234" t="s">
        <v>18725</v>
      </c>
      <c r="J474" s="234" t="s">
        <v>18636</v>
      </c>
      <c r="K474" s="236" t="s">
        <v>18725</v>
      </c>
      <c r="L474" s="236" t="s">
        <v>18725</v>
      </c>
      <c r="M474" s="236" t="s">
        <v>18725</v>
      </c>
      <c r="N474" s="234" t="s">
        <v>18656</v>
      </c>
      <c r="O474" s="237" t="s">
        <v>18675</v>
      </c>
      <c r="P474" s="238" t="s">
        <v>18725</v>
      </c>
      <c r="Q474" s="234" t="s">
        <v>18762</v>
      </c>
      <c r="R474" s="238" t="s">
        <v>18725</v>
      </c>
      <c r="S474" s="238" t="s">
        <v>18725</v>
      </c>
      <c r="T474" s="238" t="s">
        <v>18725</v>
      </c>
      <c r="U474" s="238" t="s">
        <v>18725</v>
      </c>
      <c r="V474" s="238" t="s">
        <v>18725</v>
      </c>
      <c r="W474" s="238" t="s">
        <v>18725</v>
      </c>
      <c r="X474" s="238" t="s">
        <v>18725</v>
      </c>
      <c r="Y474" s="239" t="str">
        <f>IF('CCUS Projects Database'!$R474&lt;&gt;"",HYPERLINK('CCUS Projects Database'!$R474,"Link 1"),"")</f>
        <v/>
      </c>
      <c r="Z474" s="239" t="str">
        <f>IF('CCUS Projects Database'!$S474&lt;&gt;"",HYPERLINK('CCUS Projects Database'!$S474,"Link 2"),"")</f>
        <v/>
      </c>
      <c r="AA474" s="239" t="str">
        <f>IF('CCUS Projects Database'!$T474&lt;&gt;"",HYPERLINK('CCUS Projects Database'!$T474,"Link 3"),"")</f>
        <v/>
      </c>
      <c r="AB474" s="239" t="str">
        <f>IF('CCUS Projects Database'!$U474&lt;&gt;"",HYPERLINK('CCUS Projects Database'!$U474,"Link 4"),"")</f>
        <v/>
      </c>
      <c r="AC474" s="239" t="str">
        <f>IF('CCUS Projects Database'!$V474&lt;&gt;"",HYPERLINK('CCUS Projects Database'!$V474,"Link 5"),"")</f>
        <v/>
      </c>
      <c r="AD474" s="239" t="str">
        <f>IF('CCUS Projects Database'!$W474&lt;&gt;"",HYPERLINK('CCUS Projects Database'!$W474,"Link 6"),"")</f>
        <v/>
      </c>
      <c r="AE474" s="239" t="str">
        <f>IF('CCUS Projects Database'!$X474&lt;&gt;"",HYPERLINK('CCUS Projects Database'!$X474,"Link 7"),"")</f>
        <v/>
      </c>
    </row>
    <row r="475" ht="14.25" customHeight="1">
      <c r="A475" s="233" t="s">
        <v>20604</v>
      </c>
      <c r="B475" s="234">
        <v>630.0</v>
      </c>
      <c r="C475" s="234" t="s">
        <v>18329</v>
      </c>
      <c r="D475" s="235" t="s">
        <v>20605</v>
      </c>
      <c r="E475" s="234" t="s">
        <v>3</v>
      </c>
      <c r="F475" s="234">
        <v>2022.0</v>
      </c>
      <c r="G475" s="234" t="s">
        <v>18725</v>
      </c>
      <c r="H475" s="234" t="s">
        <v>18725</v>
      </c>
      <c r="I475" s="234" t="s">
        <v>18725</v>
      </c>
      <c r="J475" s="234" t="s">
        <v>18636</v>
      </c>
      <c r="K475" s="236" t="s">
        <v>18725</v>
      </c>
      <c r="L475" s="236" t="s">
        <v>18725</v>
      </c>
      <c r="M475" s="236" t="s">
        <v>18725</v>
      </c>
      <c r="N475" s="234" t="s">
        <v>3</v>
      </c>
      <c r="O475" s="237" t="s">
        <v>18675</v>
      </c>
      <c r="P475" s="238" t="s">
        <v>18725</v>
      </c>
      <c r="Q475" s="234" t="s">
        <v>18762</v>
      </c>
      <c r="R475" s="238" t="s">
        <v>20606</v>
      </c>
      <c r="S475" s="238" t="s">
        <v>18725</v>
      </c>
      <c r="T475" s="238" t="s">
        <v>18725</v>
      </c>
      <c r="U475" s="238" t="s">
        <v>18725</v>
      </c>
      <c r="V475" s="238" t="s">
        <v>18725</v>
      </c>
      <c r="W475" s="238" t="s">
        <v>18725</v>
      </c>
      <c r="X475" s="238" t="s">
        <v>18725</v>
      </c>
      <c r="Y475" s="239" t="str">
        <f>IF('CCUS Projects Database'!$R475&lt;&gt;"",HYPERLINK('CCUS Projects Database'!$R475,"Link 1"),"")</f>
        <v>Link 1</v>
      </c>
      <c r="Z475" s="239" t="str">
        <f>IF('CCUS Projects Database'!$S475&lt;&gt;"",HYPERLINK('CCUS Projects Database'!$S475,"Link 2"),"")</f>
        <v/>
      </c>
      <c r="AA475" s="239" t="str">
        <f>IF('CCUS Projects Database'!$T475&lt;&gt;"",HYPERLINK('CCUS Projects Database'!$T475,"Link 3"),"")</f>
        <v/>
      </c>
      <c r="AB475" s="239" t="str">
        <f>IF('CCUS Projects Database'!$U475&lt;&gt;"",HYPERLINK('CCUS Projects Database'!$U475,"Link 4"),"")</f>
        <v/>
      </c>
      <c r="AC475" s="239" t="str">
        <f>IF('CCUS Projects Database'!$V475&lt;&gt;"",HYPERLINK('CCUS Projects Database'!$V475,"Link 5"),"")</f>
        <v/>
      </c>
      <c r="AD475" s="239" t="str">
        <f>IF('CCUS Projects Database'!$W475&lt;&gt;"",HYPERLINK('CCUS Projects Database'!$W475,"Link 6"),"")</f>
        <v/>
      </c>
      <c r="AE475" s="239" t="str">
        <f>IF('CCUS Projects Database'!$X475&lt;&gt;"",HYPERLINK('CCUS Projects Database'!$X475,"Link 7"),"")</f>
        <v/>
      </c>
    </row>
    <row r="476" ht="14.25" customHeight="1">
      <c r="A476" s="233" t="s">
        <v>20607</v>
      </c>
      <c r="B476" s="234">
        <v>635.0</v>
      </c>
      <c r="C476" s="234" t="s">
        <v>18264</v>
      </c>
      <c r="D476" s="235" t="s">
        <v>20608</v>
      </c>
      <c r="E476" s="234" t="s">
        <v>18623</v>
      </c>
      <c r="F476" s="234">
        <v>2022.0</v>
      </c>
      <c r="G476" s="234" t="s">
        <v>18725</v>
      </c>
      <c r="H476" s="234" t="s">
        <v>18725</v>
      </c>
      <c r="I476" s="234" t="s">
        <v>18725</v>
      </c>
      <c r="J476" s="234" t="s">
        <v>18636</v>
      </c>
      <c r="K476" s="236" t="s">
        <v>18725</v>
      </c>
      <c r="L476" s="236">
        <v>6.0</v>
      </c>
      <c r="M476" s="236">
        <v>6.0</v>
      </c>
      <c r="N476" s="234" t="s">
        <v>18623</v>
      </c>
      <c r="O476" s="237" t="s">
        <v>18675</v>
      </c>
      <c r="P476" s="238" t="s">
        <v>20609</v>
      </c>
      <c r="Q476" s="234" t="s">
        <v>18732</v>
      </c>
      <c r="R476" s="238" t="s">
        <v>20610</v>
      </c>
      <c r="S476" s="238" t="s">
        <v>18725</v>
      </c>
      <c r="T476" s="238" t="s">
        <v>18725</v>
      </c>
      <c r="U476" s="238" t="s">
        <v>18725</v>
      </c>
      <c r="V476" s="238" t="s">
        <v>18725</v>
      </c>
      <c r="W476" s="238" t="s">
        <v>18725</v>
      </c>
      <c r="X476" s="238" t="s">
        <v>18725</v>
      </c>
      <c r="Y476" s="239" t="str">
        <f>IF('CCUS Projects Database'!$R476&lt;&gt;"",HYPERLINK('CCUS Projects Database'!$R476,"Link 1"),"")</f>
        <v>Link 1</v>
      </c>
      <c r="Z476" s="239" t="str">
        <f>IF('CCUS Projects Database'!$S476&lt;&gt;"",HYPERLINK('CCUS Projects Database'!$S476,"Link 2"),"")</f>
        <v/>
      </c>
      <c r="AA476" s="239" t="str">
        <f>IF('CCUS Projects Database'!$T476&lt;&gt;"",HYPERLINK('CCUS Projects Database'!$T476,"Link 3"),"")</f>
        <v/>
      </c>
      <c r="AB476" s="239" t="str">
        <f>IF('CCUS Projects Database'!$U476&lt;&gt;"",HYPERLINK('CCUS Projects Database'!$U476,"Link 4"),"")</f>
        <v/>
      </c>
      <c r="AC476" s="239" t="str">
        <f>IF('CCUS Projects Database'!$V476&lt;&gt;"",HYPERLINK('CCUS Projects Database'!$V476,"Link 5"),"")</f>
        <v/>
      </c>
      <c r="AD476" s="239" t="str">
        <f>IF('CCUS Projects Database'!$W476&lt;&gt;"",HYPERLINK('CCUS Projects Database'!$W476,"Link 6"),"")</f>
        <v/>
      </c>
      <c r="AE476" s="239" t="str">
        <f>IF('CCUS Projects Database'!$X476&lt;&gt;"",HYPERLINK('CCUS Projects Database'!$X476,"Link 7"),"")</f>
        <v/>
      </c>
    </row>
    <row r="477" ht="14.25" customHeight="1">
      <c r="A477" s="233" t="s">
        <v>20611</v>
      </c>
      <c r="B477" s="234">
        <v>636.0</v>
      </c>
      <c r="C477" s="234" t="s">
        <v>83</v>
      </c>
      <c r="D477" s="235" t="s">
        <v>18984</v>
      </c>
      <c r="E477" s="234" t="s">
        <v>18618</v>
      </c>
      <c r="F477" s="234">
        <v>2021.0</v>
      </c>
      <c r="G477" s="234" t="s">
        <v>18725</v>
      </c>
      <c r="H477" s="234" t="s">
        <v>18725</v>
      </c>
      <c r="I477" s="234">
        <v>2022.0</v>
      </c>
      <c r="J477" s="234" t="s">
        <v>18192</v>
      </c>
      <c r="K477" s="236" t="s">
        <v>18725</v>
      </c>
      <c r="L477" s="236" t="s">
        <v>18725</v>
      </c>
      <c r="M477" s="236" t="s">
        <v>18725</v>
      </c>
      <c r="N477" s="234" t="s">
        <v>677</v>
      </c>
      <c r="O477" s="237" t="s">
        <v>18675</v>
      </c>
      <c r="P477" s="238" t="s">
        <v>19187</v>
      </c>
      <c r="Q477" s="234" t="s">
        <v>18726</v>
      </c>
      <c r="R477" s="238" t="s">
        <v>20612</v>
      </c>
      <c r="S477" s="238" t="s">
        <v>17240</v>
      </c>
      <c r="T477" s="238" t="s">
        <v>18725</v>
      </c>
      <c r="U477" s="238" t="s">
        <v>18725</v>
      </c>
      <c r="V477" s="238" t="s">
        <v>18725</v>
      </c>
      <c r="W477" s="238" t="s">
        <v>18725</v>
      </c>
      <c r="X477" s="238" t="s">
        <v>18725</v>
      </c>
      <c r="Y477" s="239" t="str">
        <f>IF('CCUS Projects Database'!$R477&lt;&gt;"",HYPERLINK('CCUS Projects Database'!$R477,"Link 1"),"")</f>
        <v>Link 1</v>
      </c>
      <c r="Z477" s="239" t="str">
        <f>IF('CCUS Projects Database'!$S477&lt;&gt;"",HYPERLINK('CCUS Projects Database'!$S477,"Link 2"),"")</f>
        <v>Link 2</v>
      </c>
      <c r="AA477" s="239" t="str">
        <f>IF('CCUS Projects Database'!$T477&lt;&gt;"",HYPERLINK('CCUS Projects Database'!$T477,"Link 3"),"")</f>
        <v/>
      </c>
      <c r="AB477" s="239" t="str">
        <f>IF('CCUS Projects Database'!$U477&lt;&gt;"",HYPERLINK('CCUS Projects Database'!$U477,"Link 4"),"")</f>
        <v/>
      </c>
      <c r="AC477" s="239" t="str">
        <f>IF('CCUS Projects Database'!$V477&lt;&gt;"",HYPERLINK('CCUS Projects Database'!$V477,"Link 5"),"")</f>
        <v/>
      </c>
      <c r="AD477" s="239" t="str">
        <f>IF('CCUS Projects Database'!$W477&lt;&gt;"",HYPERLINK('CCUS Projects Database'!$W477,"Link 6"),"")</f>
        <v/>
      </c>
      <c r="AE477" s="239" t="str">
        <f>IF('CCUS Projects Database'!$X477&lt;&gt;"",HYPERLINK('CCUS Projects Database'!$X477,"Link 7"),"")</f>
        <v/>
      </c>
    </row>
    <row r="478" ht="14.25" customHeight="1">
      <c r="A478" s="233" t="s">
        <v>20613</v>
      </c>
      <c r="B478" s="234">
        <v>637.0</v>
      </c>
      <c r="C478" s="234" t="s">
        <v>83</v>
      </c>
      <c r="D478" s="235" t="s">
        <v>20614</v>
      </c>
      <c r="E478" s="234" t="s">
        <v>18618</v>
      </c>
      <c r="F478" s="234">
        <v>2022.0</v>
      </c>
      <c r="G478" s="234" t="s">
        <v>18725</v>
      </c>
      <c r="H478" s="234" t="s">
        <v>18725</v>
      </c>
      <c r="I478" s="234" t="s">
        <v>18725</v>
      </c>
      <c r="J478" s="234" t="s">
        <v>18636</v>
      </c>
      <c r="K478" s="236" t="s">
        <v>18725</v>
      </c>
      <c r="L478" s="236">
        <v>0.38</v>
      </c>
      <c r="M478" s="236">
        <v>0.38</v>
      </c>
      <c r="N478" s="234" t="s">
        <v>18654</v>
      </c>
      <c r="O478" s="237" t="s">
        <v>18675</v>
      </c>
      <c r="P478" s="238" t="s">
        <v>18985</v>
      </c>
      <c r="Q478" s="234" t="s">
        <v>18726</v>
      </c>
      <c r="R478" s="238" t="s">
        <v>20615</v>
      </c>
      <c r="S478" s="238" t="s">
        <v>17240</v>
      </c>
      <c r="T478" s="238" t="s">
        <v>20616</v>
      </c>
      <c r="U478" s="238" t="s">
        <v>18725</v>
      </c>
      <c r="V478" s="238" t="s">
        <v>18725</v>
      </c>
      <c r="W478" s="238" t="s">
        <v>18725</v>
      </c>
      <c r="X478" s="238" t="s">
        <v>18725</v>
      </c>
      <c r="Y478" s="239" t="str">
        <f>IF('CCUS Projects Database'!$R478&lt;&gt;"",HYPERLINK('CCUS Projects Database'!$R478,"Link 1"),"")</f>
        <v>Link 1</v>
      </c>
      <c r="Z478" s="239" t="str">
        <f>IF('CCUS Projects Database'!$S478&lt;&gt;"",HYPERLINK('CCUS Projects Database'!$S478,"Link 2"),"")</f>
        <v>Link 2</v>
      </c>
      <c r="AA478" s="239" t="str">
        <f>IF('CCUS Projects Database'!$T478&lt;&gt;"",HYPERLINK('CCUS Projects Database'!$T478,"Link 3"),"")</f>
        <v>Link 3</v>
      </c>
      <c r="AB478" s="239" t="str">
        <f>IF('CCUS Projects Database'!$U478&lt;&gt;"",HYPERLINK('CCUS Projects Database'!$U478,"Link 4"),"")</f>
        <v/>
      </c>
      <c r="AC478" s="239" t="str">
        <f>IF('CCUS Projects Database'!$V478&lt;&gt;"",HYPERLINK('CCUS Projects Database'!$V478,"Link 5"),"")</f>
        <v/>
      </c>
      <c r="AD478" s="239" t="str">
        <f>IF('CCUS Projects Database'!$W478&lt;&gt;"",HYPERLINK('CCUS Projects Database'!$W478,"Link 6"),"")</f>
        <v/>
      </c>
      <c r="AE478" s="239" t="str">
        <f>IF('CCUS Projects Database'!$X478&lt;&gt;"",HYPERLINK('CCUS Projects Database'!$X478,"Link 7"),"")</f>
        <v/>
      </c>
    </row>
    <row r="479" ht="14.25" customHeight="1">
      <c r="A479" s="233" t="s">
        <v>20617</v>
      </c>
      <c r="B479" s="234">
        <v>638.0</v>
      </c>
      <c r="C479" s="234" t="s">
        <v>83</v>
      </c>
      <c r="D479" s="235" t="s">
        <v>20618</v>
      </c>
      <c r="E479" s="234" t="s">
        <v>18618</v>
      </c>
      <c r="F479" s="234">
        <v>2022.0</v>
      </c>
      <c r="G479" s="234" t="s">
        <v>18725</v>
      </c>
      <c r="H479" s="234" t="s">
        <v>18725</v>
      </c>
      <c r="I479" s="234" t="s">
        <v>18725</v>
      </c>
      <c r="J479" s="234" t="s">
        <v>18636</v>
      </c>
      <c r="K479" s="236" t="s">
        <v>18725</v>
      </c>
      <c r="L479" s="236" t="s">
        <v>18725</v>
      </c>
      <c r="M479" s="236" t="s">
        <v>18725</v>
      </c>
      <c r="N479" s="234" t="s">
        <v>18663</v>
      </c>
      <c r="O479" s="237" t="s">
        <v>18675</v>
      </c>
      <c r="P479" s="238" t="s">
        <v>18985</v>
      </c>
      <c r="Q479" s="234" t="s">
        <v>18726</v>
      </c>
      <c r="R479" s="238" t="s">
        <v>17240</v>
      </c>
      <c r="S479" s="238" t="s">
        <v>18725</v>
      </c>
      <c r="T479" s="238" t="s">
        <v>18725</v>
      </c>
      <c r="U479" s="238" t="s">
        <v>18725</v>
      </c>
      <c r="V479" s="238" t="s">
        <v>18725</v>
      </c>
      <c r="W479" s="238" t="s">
        <v>18725</v>
      </c>
      <c r="X479" s="238" t="s">
        <v>18725</v>
      </c>
      <c r="Y479" s="239" t="str">
        <f>IF('CCUS Projects Database'!$R479&lt;&gt;"",HYPERLINK('CCUS Projects Database'!$R479,"Link 1"),"")</f>
        <v>Link 1</v>
      </c>
      <c r="Z479" s="239" t="str">
        <f>IF('CCUS Projects Database'!$S479&lt;&gt;"",HYPERLINK('CCUS Projects Database'!$S479,"Link 2"),"")</f>
        <v/>
      </c>
      <c r="AA479" s="239" t="str">
        <f>IF('CCUS Projects Database'!$T479&lt;&gt;"",HYPERLINK('CCUS Projects Database'!$T479,"Link 3"),"")</f>
        <v/>
      </c>
      <c r="AB479" s="239" t="str">
        <f>IF('CCUS Projects Database'!$U479&lt;&gt;"",HYPERLINK('CCUS Projects Database'!$U479,"Link 4"),"")</f>
        <v/>
      </c>
      <c r="AC479" s="239" t="str">
        <f>IF('CCUS Projects Database'!$V479&lt;&gt;"",HYPERLINK('CCUS Projects Database'!$V479,"Link 5"),"")</f>
        <v/>
      </c>
      <c r="AD479" s="239" t="str">
        <f>IF('CCUS Projects Database'!$W479&lt;&gt;"",HYPERLINK('CCUS Projects Database'!$W479,"Link 6"),"")</f>
        <v/>
      </c>
      <c r="AE479" s="239" t="str">
        <f>IF('CCUS Projects Database'!$X479&lt;&gt;"",HYPERLINK('CCUS Projects Database'!$X479,"Link 7"),"")</f>
        <v/>
      </c>
    </row>
    <row r="480" ht="14.25" customHeight="1">
      <c r="A480" s="233" t="s">
        <v>20619</v>
      </c>
      <c r="B480" s="234">
        <v>639.0</v>
      </c>
      <c r="C480" s="234" t="s">
        <v>83</v>
      </c>
      <c r="D480" s="235" t="s">
        <v>20620</v>
      </c>
      <c r="E480" s="234" t="s">
        <v>18618</v>
      </c>
      <c r="F480" s="234">
        <v>2022.0</v>
      </c>
      <c r="G480" s="234" t="s">
        <v>18725</v>
      </c>
      <c r="H480" s="234">
        <v>2026.0</v>
      </c>
      <c r="I480" s="234" t="s">
        <v>18725</v>
      </c>
      <c r="J480" s="234" t="s">
        <v>18636</v>
      </c>
      <c r="K480" s="236" t="s">
        <v>18725</v>
      </c>
      <c r="L480" s="236" t="s">
        <v>18725</v>
      </c>
      <c r="M480" s="236" t="s">
        <v>18725</v>
      </c>
      <c r="N480" s="234" t="s">
        <v>18654</v>
      </c>
      <c r="O480" s="237" t="s">
        <v>18675</v>
      </c>
      <c r="P480" s="238" t="s">
        <v>19187</v>
      </c>
      <c r="Q480" s="234" t="s">
        <v>18726</v>
      </c>
      <c r="R480" s="238" t="s">
        <v>20621</v>
      </c>
      <c r="S480" s="238" t="s">
        <v>18725</v>
      </c>
      <c r="T480" s="238" t="s">
        <v>18725</v>
      </c>
      <c r="U480" s="238" t="s">
        <v>18725</v>
      </c>
      <c r="V480" s="238" t="s">
        <v>18725</v>
      </c>
      <c r="W480" s="238" t="s">
        <v>18725</v>
      </c>
      <c r="X480" s="238" t="s">
        <v>18725</v>
      </c>
      <c r="Y480" s="239" t="str">
        <f>IF('CCUS Projects Database'!$R480&lt;&gt;"",HYPERLINK('CCUS Projects Database'!$R480,"Link 1"),"")</f>
        <v>Link 1</v>
      </c>
      <c r="Z480" s="239" t="str">
        <f>IF('CCUS Projects Database'!$S480&lt;&gt;"",HYPERLINK('CCUS Projects Database'!$S480,"Link 2"),"")</f>
        <v/>
      </c>
      <c r="AA480" s="239" t="str">
        <f>IF('CCUS Projects Database'!$T480&lt;&gt;"",HYPERLINK('CCUS Projects Database'!$T480,"Link 3"),"")</f>
        <v/>
      </c>
      <c r="AB480" s="239" t="str">
        <f>IF('CCUS Projects Database'!$U480&lt;&gt;"",HYPERLINK('CCUS Projects Database'!$U480,"Link 4"),"")</f>
        <v/>
      </c>
      <c r="AC480" s="239" t="str">
        <f>IF('CCUS Projects Database'!$V480&lt;&gt;"",HYPERLINK('CCUS Projects Database'!$V480,"Link 5"),"")</f>
        <v/>
      </c>
      <c r="AD480" s="239" t="str">
        <f>IF('CCUS Projects Database'!$W480&lt;&gt;"",HYPERLINK('CCUS Projects Database'!$W480,"Link 6"),"")</f>
        <v/>
      </c>
      <c r="AE480" s="239" t="str">
        <f>IF('CCUS Projects Database'!$X480&lt;&gt;"",HYPERLINK('CCUS Projects Database'!$X480,"Link 7"),"")</f>
        <v/>
      </c>
    </row>
    <row r="481" ht="14.25" customHeight="1">
      <c r="A481" s="233" t="s">
        <v>20622</v>
      </c>
      <c r="B481" s="234">
        <v>640.0</v>
      </c>
      <c r="C481" s="234" t="s">
        <v>83</v>
      </c>
      <c r="D481" s="235" t="s">
        <v>20623</v>
      </c>
      <c r="E481" s="234" t="s">
        <v>18618</v>
      </c>
      <c r="F481" s="234">
        <v>2021.0</v>
      </c>
      <c r="G481" s="234" t="s">
        <v>18725</v>
      </c>
      <c r="H481" s="234" t="s">
        <v>18725</v>
      </c>
      <c r="I481" s="234" t="s">
        <v>18725</v>
      </c>
      <c r="J481" s="234" t="s">
        <v>18636</v>
      </c>
      <c r="K481" s="236" t="s">
        <v>18725</v>
      </c>
      <c r="L481" s="236" t="s">
        <v>18725</v>
      </c>
      <c r="M481" s="236" t="s">
        <v>18725</v>
      </c>
      <c r="N481" s="234" t="s">
        <v>18663</v>
      </c>
      <c r="O481" s="237" t="s">
        <v>18675</v>
      </c>
      <c r="P481" s="238" t="s">
        <v>19187</v>
      </c>
      <c r="Q481" s="234" t="s">
        <v>18726</v>
      </c>
      <c r="R481" s="238" t="s">
        <v>20624</v>
      </c>
      <c r="S481" s="238" t="s">
        <v>17240</v>
      </c>
      <c r="T481" s="238" t="s">
        <v>18725</v>
      </c>
      <c r="U481" s="238" t="s">
        <v>18725</v>
      </c>
      <c r="V481" s="238" t="s">
        <v>18725</v>
      </c>
      <c r="W481" s="238" t="s">
        <v>18725</v>
      </c>
      <c r="X481" s="238" t="s">
        <v>18725</v>
      </c>
      <c r="Y481" s="239" t="str">
        <f>IF('CCUS Projects Database'!$R481&lt;&gt;"",HYPERLINK('CCUS Projects Database'!$R481,"Link 1"),"")</f>
        <v>Link 1</v>
      </c>
      <c r="Z481" s="239" t="str">
        <f>IF('CCUS Projects Database'!$S481&lt;&gt;"",HYPERLINK('CCUS Projects Database'!$S481,"Link 2"),"")</f>
        <v>Link 2</v>
      </c>
      <c r="AA481" s="239" t="str">
        <f>IF('CCUS Projects Database'!$T481&lt;&gt;"",HYPERLINK('CCUS Projects Database'!$T481,"Link 3"),"")</f>
        <v/>
      </c>
      <c r="AB481" s="239" t="str">
        <f>IF('CCUS Projects Database'!$U481&lt;&gt;"",HYPERLINK('CCUS Projects Database'!$U481,"Link 4"),"")</f>
        <v/>
      </c>
      <c r="AC481" s="239" t="str">
        <f>IF('CCUS Projects Database'!$V481&lt;&gt;"",HYPERLINK('CCUS Projects Database'!$V481,"Link 5"),"")</f>
        <v/>
      </c>
      <c r="AD481" s="239" t="str">
        <f>IF('CCUS Projects Database'!$W481&lt;&gt;"",HYPERLINK('CCUS Projects Database'!$W481,"Link 6"),"")</f>
        <v/>
      </c>
      <c r="AE481" s="239" t="str">
        <f>IF('CCUS Projects Database'!$X481&lt;&gt;"",HYPERLINK('CCUS Projects Database'!$X481,"Link 7"),"")</f>
        <v/>
      </c>
    </row>
    <row r="482" ht="14.25" customHeight="1">
      <c r="A482" s="233" t="s">
        <v>20625</v>
      </c>
      <c r="B482" s="234">
        <v>642.0</v>
      </c>
      <c r="C482" s="234" t="s">
        <v>18360</v>
      </c>
      <c r="D482" s="235" t="s">
        <v>20626</v>
      </c>
      <c r="E482" s="234" t="s">
        <v>18616</v>
      </c>
      <c r="F482" s="234">
        <v>2021.0</v>
      </c>
      <c r="G482" s="234">
        <v>2022.0</v>
      </c>
      <c r="H482" s="234">
        <v>2023.0</v>
      </c>
      <c r="I482" s="234" t="s">
        <v>18725</v>
      </c>
      <c r="J482" s="234" t="s">
        <v>12385</v>
      </c>
      <c r="K482" s="236" t="s">
        <v>18725</v>
      </c>
      <c r="L482" s="236">
        <v>0.1</v>
      </c>
      <c r="M482" s="236">
        <v>0.1</v>
      </c>
      <c r="N482" s="234" t="s">
        <v>677</v>
      </c>
      <c r="O482" s="237" t="s">
        <v>18677</v>
      </c>
      <c r="P482" s="238" t="s">
        <v>18725</v>
      </c>
      <c r="Q482" s="234" t="s">
        <v>18856</v>
      </c>
      <c r="R482" s="238" t="s">
        <v>20627</v>
      </c>
      <c r="S482" s="238" t="s">
        <v>20628</v>
      </c>
      <c r="T482" s="238" t="s">
        <v>20629</v>
      </c>
      <c r="U482" s="238" t="s">
        <v>18725</v>
      </c>
      <c r="V482" s="238" t="s">
        <v>18725</v>
      </c>
      <c r="W482" s="238" t="s">
        <v>18725</v>
      </c>
      <c r="X482" s="238" t="s">
        <v>18725</v>
      </c>
      <c r="Y482" s="239" t="str">
        <f>IF('CCUS Projects Database'!$R482&lt;&gt;"",HYPERLINK('CCUS Projects Database'!$R482,"Link 1"),"")</f>
        <v>Link 1</v>
      </c>
      <c r="Z482" s="239" t="str">
        <f>IF('CCUS Projects Database'!$S482&lt;&gt;"",HYPERLINK('CCUS Projects Database'!$S482,"Link 2"),"")</f>
        <v>Link 2</v>
      </c>
      <c r="AA482" s="239" t="str">
        <f>IF('CCUS Projects Database'!$T482&lt;&gt;"",HYPERLINK('CCUS Projects Database'!$T482,"Link 3"),"")</f>
        <v>Link 3</v>
      </c>
      <c r="AB482" s="239" t="str">
        <f>IF('CCUS Projects Database'!$U482&lt;&gt;"",HYPERLINK('CCUS Projects Database'!$U482,"Link 4"),"")</f>
        <v/>
      </c>
      <c r="AC482" s="239" t="str">
        <f>IF('CCUS Projects Database'!$V482&lt;&gt;"",HYPERLINK('CCUS Projects Database'!$V482,"Link 5"),"")</f>
        <v/>
      </c>
      <c r="AD482" s="239" t="str">
        <f>IF('CCUS Projects Database'!$W482&lt;&gt;"",HYPERLINK('CCUS Projects Database'!$W482,"Link 6"),"")</f>
        <v/>
      </c>
      <c r="AE482" s="239" t="str">
        <f>IF('CCUS Projects Database'!$X482&lt;&gt;"",HYPERLINK('CCUS Projects Database'!$X482,"Link 7"),"")</f>
        <v/>
      </c>
    </row>
    <row r="483" ht="14.25" customHeight="1">
      <c r="A483" s="233" t="s">
        <v>20630</v>
      </c>
      <c r="B483" s="234">
        <v>643.0</v>
      </c>
      <c r="C483" s="234" t="s">
        <v>18360</v>
      </c>
      <c r="D483" s="235" t="s">
        <v>20631</v>
      </c>
      <c r="E483" s="234" t="s">
        <v>18616</v>
      </c>
      <c r="F483" s="234">
        <v>2021.0</v>
      </c>
      <c r="G483" s="234">
        <v>2022.0</v>
      </c>
      <c r="H483" s="234">
        <v>2023.0</v>
      </c>
      <c r="I483" s="234" t="s">
        <v>18725</v>
      </c>
      <c r="J483" s="234" t="s">
        <v>12385</v>
      </c>
      <c r="K483" s="236">
        <v>1.0</v>
      </c>
      <c r="L483" s="236">
        <v>0.1</v>
      </c>
      <c r="M483" s="236">
        <v>0.1</v>
      </c>
      <c r="N483" s="234" t="s">
        <v>18661</v>
      </c>
      <c r="O483" s="237" t="s">
        <v>18677</v>
      </c>
      <c r="P483" s="238" t="s">
        <v>19987</v>
      </c>
      <c r="Q483" s="234" t="s">
        <v>18856</v>
      </c>
      <c r="R483" s="238" t="s">
        <v>20632</v>
      </c>
      <c r="S483" s="238" t="s">
        <v>18725</v>
      </c>
      <c r="T483" s="238" t="s">
        <v>18725</v>
      </c>
      <c r="U483" s="238" t="s">
        <v>18725</v>
      </c>
      <c r="V483" s="238" t="s">
        <v>18725</v>
      </c>
      <c r="W483" s="238" t="s">
        <v>18725</v>
      </c>
      <c r="X483" s="238" t="s">
        <v>18725</v>
      </c>
      <c r="Y483" s="239" t="str">
        <f>IF('CCUS Projects Database'!$R483&lt;&gt;"",HYPERLINK('CCUS Projects Database'!$R483,"Link 1"),"")</f>
        <v>Link 1</v>
      </c>
      <c r="Z483" s="239" t="str">
        <f>IF('CCUS Projects Database'!$S483&lt;&gt;"",HYPERLINK('CCUS Projects Database'!$S483,"Link 2"),"")</f>
        <v/>
      </c>
      <c r="AA483" s="239" t="str">
        <f>IF('CCUS Projects Database'!$T483&lt;&gt;"",HYPERLINK('CCUS Projects Database'!$T483,"Link 3"),"")</f>
        <v/>
      </c>
      <c r="AB483" s="239" t="str">
        <f>IF('CCUS Projects Database'!$U483&lt;&gt;"",HYPERLINK('CCUS Projects Database'!$U483,"Link 4"),"")</f>
        <v/>
      </c>
      <c r="AC483" s="239" t="str">
        <f>IF('CCUS Projects Database'!$V483&lt;&gt;"",HYPERLINK('CCUS Projects Database'!$V483,"Link 5"),"")</f>
        <v/>
      </c>
      <c r="AD483" s="239" t="str">
        <f>IF('CCUS Projects Database'!$W483&lt;&gt;"",HYPERLINK('CCUS Projects Database'!$W483,"Link 6"),"")</f>
        <v/>
      </c>
      <c r="AE483" s="239" t="str">
        <f>IF('CCUS Projects Database'!$X483&lt;&gt;"",HYPERLINK('CCUS Projects Database'!$X483,"Link 7"),"")</f>
        <v/>
      </c>
    </row>
    <row r="484" ht="14.25" customHeight="1">
      <c r="A484" s="233" t="s">
        <v>20633</v>
      </c>
      <c r="B484" s="234">
        <v>645.0</v>
      </c>
      <c r="C484" s="234" t="s">
        <v>98</v>
      </c>
      <c r="D484" s="235" t="s">
        <v>20634</v>
      </c>
      <c r="E484" s="234" t="s">
        <v>18618</v>
      </c>
      <c r="F484" s="234">
        <v>2021.0</v>
      </c>
      <c r="G484" s="234" t="s">
        <v>18725</v>
      </c>
      <c r="H484" s="234" t="s">
        <v>18725</v>
      </c>
      <c r="I484" s="234" t="s">
        <v>18725</v>
      </c>
      <c r="J484" s="234" t="s">
        <v>18636</v>
      </c>
      <c r="K484" s="236" t="s">
        <v>18725</v>
      </c>
      <c r="L484" s="236">
        <v>0.1</v>
      </c>
      <c r="M484" s="236">
        <v>0.1</v>
      </c>
      <c r="N484" s="234" t="s">
        <v>18654</v>
      </c>
      <c r="O484" s="237" t="s">
        <v>18683</v>
      </c>
      <c r="P484" s="238" t="s">
        <v>18725</v>
      </c>
      <c r="Q484" s="234" t="s">
        <v>18726</v>
      </c>
      <c r="R484" s="238" t="s">
        <v>20635</v>
      </c>
      <c r="S484" s="238" t="s">
        <v>18725</v>
      </c>
      <c r="T484" s="238" t="s">
        <v>18725</v>
      </c>
      <c r="U484" s="238" t="s">
        <v>18725</v>
      </c>
      <c r="V484" s="238" t="s">
        <v>18725</v>
      </c>
      <c r="W484" s="238" t="s">
        <v>18725</v>
      </c>
      <c r="X484" s="238" t="s">
        <v>18725</v>
      </c>
      <c r="Y484" s="239" t="str">
        <f>IF('CCUS Projects Database'!$R484&lt;&gt;"",HYPERLINK('CCUS Projects Database'!$R484,"Link 1"),"")</f>
        <v>Link 1</v>
      </c>
      <c r="Z484" s="239" t="str">
        <f>IF('CCUS Projects Database'!$S484&lt;&gt;"",HYPERLINK('CCUS Projects Database'!$S484,"Link 2"),"")</f>
        <v/>
      </c>
      <c r="AA484" s="239" t="str">
        <f>IF('CCUS Projects Database'!$T484&lt;&gt;"",HYPERLINK('CCUS Projects Database'!$T484,"Link 3"),"")</f>
        <v/>
      </c>
      <c r="AB484" s="239" t="str">
        <f>IF('CCUS Projects Database'!$U484&lt;&gt;"",HYPERLINK('CCUS Projects Database'!$U484,"Link 4"),"")</f>
        <v/>
      </c>
      <c r="AC484" s="239" t="str">
        <f>IF('CCUS Projects Database'!$V484&lt;&gt;"",HYPERLINK('CCUS Projects Database'!$V484,"Link 5"),"")</f>
        <v/>
      </c>
      <c r="AD484" s="239" t="str">
        <f>IF('CCUS Projects Database'!$W484&lt;&gt;"",HYPERLINK('CCUS Projects Database'!$W484,"Link 6"),"")</f>
        <v/>
      </c>
      <c r="AE484" s="239" t="str">
        <f>IF('CCUS Projects Database'!$X484&lt;&gt;"",HYPERLINK('CCUS Projects Database'!$X484,"Link 7"),"")</f>
        <v/>
      </c>
    </row>
    <row r="485" ht="14.25" customHeight="1">
      <c r="A485" s="233" t="s">
        <v>20636</v>
      </c>
      <c r="B485" s="234">
        <v>646.0</v>
      </c>
      <c r="C485" s="234" t="s">
        <v>127</v>
      </c>
      <c r="D485" s="235" t="s">
        <v>20637</v>
      </c>
      <c r="E485" s="234" t="s">
        <v>18618</v>
      </c>
      <c r="F485" s="234">
        <v>2020.0</v>
      </c>
      <c r="G485" s="234" t="s">
        <v>18725</v>
      </c>
      <c r="H485" s="234">
        <v>2026.0</v>
      </c>
      <c r="I485" s="234" t="s">
        <v>18725</v>
      </c>
      <c r="J485" s="234" t="s">
        <v>18636</v>
      </c>
      <c r="K485" s="236" t="s">
        <v>18725</v>
      </c>
      <c r="L485" s="236">
        <v>0.1</v>
      </c>
      <c r="M485" s="236">
        <v>0.1</v>
      </c>
      <c r="N485" s="234" t="s">
        <v>18654</v>
      </c>
      <c r="O485" s="237" t="s">
        <v>18683</v>
      </c>
      <c r="P485" s="238" t="s">
        <v>18725</v>
      </c>
      <c r="Q485" s="234" t="s">
        <v>18726</v>
      </c>
      <c r="R485" s="238" t="s">
        <v>20638</v>
      </c>
      <c r="S485" s="238" t="s">
        <v>20639</v>
      </c>
      <c r="T485" s="238" t="s">
        <v>20045</v>
      </c>
      <c r="U485" s="238" t="s">
        <v>18725</v>
      </c>
      <c r="V485" s="238" t="s">
        <v>18725</v>
      </c>
      <c r="W485" s="238" t="s">
        <v>18725</v>
      </c>
      <c r="X485" s="238" t="s">
        <v>18725</v>
      </c>
      <c r="Y485" s="239" t="str">
        <f>IF('CCUS Projects Database'!$R485&lt;&gt;"",HYPERLINK('CCUS Projects Database'!$R485,"Link 1"),"")</f>
        <v>Link 1</v>
      </c>
      <c r="Z485" s="239" t="str">
        <f>IF('CCUS Projects Database'!$S485&lt;&gt;"",HYPERLINK('CCUS Projects Database'!$S485,"Link 2"),"")</f>
        <v>Link 2</v>
      </c>
      <c r="AA485" s="239" t="str">
        <f>IF('CCUS Projects Database'!$T485&lt;&gt;"",HYPERLINK('CCUS Projects Database'!$T485,"Link 3"),"")</f>
        <v>Link 3</v>
      </c>
      <c r="AB485" s="239" t="str">
        <f>IF('CCUS Projects Database'!$U485&lt;&gt;"",HYPERLINK('CCUS Projects Database'!$U485,"Link 4"),"")</f>
        <v/>
      </c>
      <c r="AC485" s="239" t="str">
        <f>IF('CCUS Projects Database'!$V485&lt;&gt;"",HYPERLINK('CCUS Projects Database'!$V485,"Link 5"),"")</f>
        <v/>
      </c>
      <c r="AD485" s="239" t="str">
        <f>IF('CCUS Projects Database'!$W485&lt;&gt;"",HYPERLINK('CCUS Projects Database'!$W485,"Link 6"),"")</f>
        <v/>
      </c>
      <c r="AE485" s="239" t="str">
        <f>IF('CCUS Projects Database'!$X485&lt;&gt;"",HYPERLINK('CCUS Projects Database'!$X485,"Link 7"),"")</f>
        <v/>
      </c>
    </row>
    <row r="486" ht="14.25" customHeight="1">
      <c r="A486" s="233" t="s">
        <v>20640</v>
      </c>
      <c r="B486" s="234">
        <v>647.0</v>
      </c>
      <c r="C486" s="234" t="s">
        <v>18290</v>
      </c>
      <c r="D486" s="235" t="s">
        <v>20641</v>
      </c>
      <c r="E486" s="234" t="s">
        <v>18623</v>
      </c>
      <c r="F486" s="234">
        <v>2023.0</v>
      </c>
      <c r="G486" s="234" t="s">
        <v>18725</v>
      </c>
      <c r="H486" s="234" t="s">
        <v>18725</v>
      </c>
      <c r="I486" s="234" t="s">
        <v>18725</v>
      </c>
      <c r="J486" s="234" t="s">
        <v>18636</v>
      </c>
      <c r="K486" s="236" t="s">
        <v>18725</v>
      </c>
      <c r="L486" s="236">
        <v>2.0</v>
      </c>
      <c r="M486" s="236">
        <v>2.0</v>
      </c>
      <c r="N486" s="234" t="s">
        <v>18623</v>
      </c>
      <c r="O486" s="237" t="s">
        <v>18675</v>
      </c>
      <c r="P486" s="238" t="s">
        <v>20642</v>
      </c>
      <c r="Q486" s="234" t="s">
        <v>18762</v>
      </c>
      <c r="R486" s="238" t="s">
        <v>20643</v>
      </c>
      <c r="S486" s="238" t="s">
        <v>19219</v>
      </c>
      <c r="T486" s="238" t="s">
        <v>18725</v>
      </c>
      <c r="U486" s="238" t="s">
        <v>18725</v>
      </c>
      <c r="V486" s="238" t="s">
        <v>18725</v>
      </c>
      <c r="W486" s="238" t="s">
        <v>18725</v>
      </c>
      <c r="X486" s="238" t="s">
        <v>18725</v>
      </c>
      <c r="Y486" s="239" t="str">
        <f>IF('CCUS Projects Database'!$R486&lt;&gt;"",HYPERLINK('CCUS Projects Database'!$R486,"Link 1"),"")</f>
        <v>Link 1</v>
      </c>
      <c r="Z486" s="239" t="str">
        <f>IF('CCUS Projects Database'!$S486&lt;&gt;"",HYPERLINK('CCUS Projects Database'!$S486,"Link 2"),"")</f>
        <v>Link 2</v>
      </c>
      <c r="AA486" s="239" t="str">
        <f>IF('CCUS Projects Database'!$T486&lt;&gt;"",HYPERLINK('CCUS Projects Database'!$T486,"Link 3"),"")</f>
        <v/>
      </c>
      <c r="AB486" s="239" t="str">
        <f>IF('CCUS Projects Database'!$U486&lt;&gt;"",HYPERLINK('CCUS Projects Database'!$U486,"Link 4"),"")</f>
        <v/>
      </c>
      <c r="AC486" s="239" t="str">
        <f>IF('CCUS Projects Database'!$V486&lt;&gt;"",HYPERLINK('CCUS Projects Database'!$V486,"Link 5"),"")</f>
        <v/>
      </c>
      <c r="AD486" s="239" t="str">
        <f>IF('CCUS Projects Database'!$W486&lt;&gt;"",HYPERLINK('CCUS Projects Database'!$W486,"Link 6"),"")</f>
        <v/>
      </c>
      <c r="AE486" s="239" t="str">
        <f>IF('CCUS Projects Database'!$X486&lt;&gt;"",HYPERLINK('CCUS Projects Database'!$X486,"Link 7"),"")</f>
        <v/>
      </c>
    </row>
    <row r="487" ht="14.25" customHeight="1">
      <c r="A487" s="233" t="s">
        <v>20644</v>
      </c>
      <c r="B487" s="234">
        <v>648.0</v>
      </c>
      <c r="C487" s="234" t="s">
        <v>19830</v>
      </c>
      <c r="D487" s="235" t="s">
        <v>19831</v>
      </c>
      <c r="E487" s="234" t="s">
        <v>18620</v>
      </c>
      <c r="F487" s="234">
        <v>2021.0</v>
      </c>
      <c r="G487" s="234" t="s">
        <v>18725</v>
      </c>
      <c r="H487" s="234">
        <v>2033.0</v>
      </c>
      <c r="I487" s="234" t="s">
        <v>18725</v>
      </c>
      <c r="J487" s="234" t="s">
        <v>18636</v>
      </c>
      <c r="K487" s="236">
        <v>3.0</v>
      </c>
      <c r="L487" s="236">
        <v>0.3</v>
      </c>
      <c r="M487" s="236">
        <v>0.3</v>
      </c>
      <c r="N487" s="234" t="s">
        <v>18620</v>
      </c>
      <c r="O487" s="237" t="s">
        <v>18675</v>
      </c>
      <c r="P487" s="238" t="s">
        <v>19838</v>
      </c>
      <c r="Q487" s="234" t="s">
        <v>18726</v>
      </c>
      <c r="R487" s="238" t="s">
        <v>18792</v>
      </c>
      <c r="S487" s="238" t="s">
        <v>18725</v>
      </c>
      <c r="T487" s="238" t="s">
        <v>18725</v>
      </c>
      <c r="U487" s="238" t="s">
        <v>18725</v>
      </c>
      <c r="V487" s="238" t="s">
        <v>18725</v>
      </c>
      <c r="W487" s="238" t="s">
        <v>18725</v>
      </c>
      <c r="X487" s="238" t="s">
        <v>18725</v>
      </c>
      <c r="Y487" s="239" t="str">
        <f>IF('CCUS Projects Database'!$R487&lt;&gt;"",HYPERLINK('CCUS Projects Database'!$R487,"Link 1"),"")</f>
        <v>Link 1</v>
      </c>
      <c r="Z487" s="239" t="str">
        <f>IF('CCUS Projects Database'!$S487&lt;&gt;"",HYPERLINK('CCUS Projects Database'!$S487,"Link 2"),"")</f>
        <v/>
      </c>
      <c r="AA487" s="239" t="str">
        <f>IF('CCUS Projects Database'!$T487&lt;&gt;"",HYPERLINK('CCUS Projects Database'!$T487,"Link 3"),"")</f>
        <v/>
      </c>
      <c r="AB487" s="239" t="str">
        <f>IF('CCUS Projects Database'!$U487&lt;&gt;"",HYPERLINK('CCUS Projects Database'!$U487,"Link 4"),"")</f>
        <v/>
      </c>
      <c r="AC487" s="239" t="str">
        <f>IF('CCUS Projects Database'!$V487&lt;&gt;"",HYPERLINK('CCUS Projects Database'!$V487,"Link 5"),"")</f>
        <v/>
      </c>
      <c r="AD487" s="239" t="str">
        <f>IF('CCUS Projects Database'!$W487&lt;&gt;"",HYPERLINK('CCUS Projects Database'!$W487,"Link 6"),"")</f>
        <v/>
      </c>
      <c r="AE487" s="239" t="str">
        <f>IF('CCUS Projects Database'!$X487&lt;&gt;"",HYPERLINK('CCUS Projects Database'!$X487,"Link 7"),"")</f>
        <v/>
      </c>
    </row>
    <row r="488" ht="14.25" customHeight="1">
      <c r="A488" s="233" t="s">
        <v>20645</v>
      </c>
      <c r="B488" s="234">
        <v>649.0</v>
      </c>
      <c r="C488" s="234" t="s">
        <v>120</v>
      </c>
      <c r="D488" s="235" t="s">
        <v>20646</v>
      </c>
      <c r="E488" s="234" t="s">
        <v>18620</v>
      </c>
      <c r="F488" s="234">
        <v>2023.0</v>
      </c>
      <c r="G488" s="234" t="s">
        <v>18725</v>
      </c>
      <c r="H488" s="234">
        <v>2028.0</v>
      </c>
      <c r="I488" s="234" t="s">
        <v>18725</v>
      </c>
      <c r="J488" s="234" t="s">
        <v>18636</v>
      </c>
      <c r="K488" s="236">
        <v>1.0</v>
      </c>
      <c r="L488" s="236">
        <v>1.2</v>
      </c>
      <c r="M488" s="236">
        <v>1.2</v>
      </c>
      <c r="N488" s="234" t="s">
        <v>18620</v>
      </c>
      <c r="O488" s="237" t="s">
        <v>18675</v>
      </c>
      <c r="P488" s="238" t="s">
        <v>20647</v>
      </c>
      <c r="Q488" s="234" t="s">
        <v>18726</v>
      </c>
      <c r="R488" s="238" t="s">
        <v>20648</v>
      </c>
      <c r="S488" s="238" t="s">
        <v>18725</v>
      </c>
      <c r="T488" s="238" t="s">
        <v>18725</v>
      </c>
      <c r="U488" s="238" t="s">
        <v>18725</v>
      </c>
      <c r="V488" s="238" t="s">
        <v>18725</v>
      </c>
      <c r="W488" s="238" t="s">
        <v>18725</v>
      </c>
      <c r="X488" s="238" t="s">
        <v>18725</v>
      </c>
      <c r="Y488" s="239" t="str">
        <f>IF('CCUS Projects Database'!$R488&lt;&gt;"",HYPERLINK('CCUS Projects Database'!$R488,"Link 1"),"")</f>
        <v>Link 1</v>
      </c>
      <c r="Z488" s="239" t="str">
        <f>IF('CCUS Projects Database'!$S488&lt;&gt;"",HYPERLINK('CCUS Projects Database'!$S488,"Link 2"),"")</f>
        <v/>
      </c>
      <c r="AA488" s="239" t="str">
        <f>IF('CCUS Projects Database'!$T488&lt;&gt;"",HYPERLINK('CCUS Projects Database'!$T488,"Link 3"),"")</f>
        <v/>
      </c>
      <c r="AB488" s="239" t="str">
        <f>IF('CCUS Projects Database'!$U488&lt;&gt;"",HYPERLINK('CCUS Projects Database'!$U488,"Link 4"),"")</f>
        <v/>
      </c>
      <c r="AC488" s="239" t="str">
        <f>IF('CCUS Projects Database'!$V488&lt;&gt;"",HYPERLINK('CCUS Projects Database'!$V488,"Link 5"),"")</f>
        <v/>
      </c>
      <c r="AD488" s="239" t="str">
        <f>IF('CCUS Projects Database'!$W488&lt;&gt;"",HYPERLINK('CCUS Projects Database'!$W488,"Link 6"),"")</f>
        <v/>
      </c>
      <c r="AE488" s="239" t="str">
        <f>IF('CCUS Projects Database'!$X488&lt;&gt;"",HYPERLINK('CCUS Projects Database'!$X488,"Link 7"),"")</f>
        <v/>
      </c>
    </row>
    <row r="489" ht="14.25" customHeight="1">
      <c r="A489" s="233" t="s">
        <v>20649</v>
      </c>
      <c r="B489" s="234">
        <v>650.0</v>
      </c>
      <c r="C489" s="234" t="s">
        <v>120</v>
      </c>
      <c r="D489" s="235" t="s">
        <v>20646</v>
      </c>
      <c r="E489" s="234" t="s">
        <v>18620</v>
      </c>
      <c r="F489" s="234">
        <v>2023.0</v>
      </c>
      <c r="G489" s="234" t="s">
        <v>18725</v>
      </c>
      <c r="H489" s="234">
        <v>2031.0</v>
      </c>
      <c r="I489" s="234" t="s">
        <v>18725</v>
      </c>
      <c r="J489" s="234" t="s">
        <v>18636</v>
      </c>
      <c r="K489" s="236">
        <v>2.0</v>
      </c>
      <c r="L489" s="236">
        <v>1.2</v>
      </c>
      <c r="M489" s="236">
        <v>1.2</v>
      </c>
      <c r="N489" s="234" t="s">
        <v>18620</v>
      </c>
      <c r="O489" s="237" t="s">
        <v>18675</v>
      </c>
      <c r="P489" s="238" t="s">
        <v>20647</v>
      </c>
      <c r="Q489" s="234" t="s">
        <v>18726</v>
      </c>
      <c r="R489" s="238" t="s">
        <v>20648</v>
      </c>
      <c r="S489" s="238" t="s">
        <v>18725</v>
      </c>
      <c r="T489" s="238" t="s">
        <v>18725</v>
      </c>
      <c r="U489" s="238" t="s">
        <v>18725</v>
      </c>
      <c r="V489" s="238" t="s">
        <v>18725</v>
      </c>
      <c r="W489" s="238" t="s">
        <v>18725</v>
      </c>
      <c r="X489" s="238" t="s">
        <v>18725</v>
      </c>
      <c r="Y489" s="239" t="str">
        <f>IF('CCUS Projects Database'!$R489&lt;&gt;"",HYPERLINK('CCUS Projects Database'!$R489,"Link 1"),"")</f>
        <v>Link 1</v>
      </c>
      <c r="Z489" s="239" t="str">
        <f>IF('CCUS Projects Database'!$S489&lt;&gt;"",HYPERLINK('CCUS Projects Database'!$S489,"Link 2"),"")</f>
        <v/>
      </c>
      <c r="AA489" s="239" t="str">
        <f>IF('CCUS Projects Database'!$T489&lt;&gt;"",HYPERLINK('CCUS Projects Database'!$T489,"Link 3"),"")</f>
        <v/>
      </c>
      <c r="AB489" s="239" t="str">
        <f>IF('CCUS Projects Database'!$U489&lt;&gt;"",HYPERLINK('CCUS Projects Database'!$U489,"Link 4"),"")</f>
        <v/>
      </c>
      <c r="AC489" s="239" t="str">
        <f>IF('CCUS Projects Database'!$V489&lt;&gt;"",HYPERLINK('CCUS Projects Database'!$V489,"Link 5"),"")</f>
        <v/>
      </c>
      <c r="AD489" s="239" t="str">
        <f>IF('CCUS Projects Database'!$W489&lt;&gt;"",HYPERLINK('CCUS Projects Database'!$W489,"Link 6"),"")</f>
        <v/>
      </c>
      <c r="AE489" s="239" t="str">
        <f>IF('CCUS Projects Database'!$X489&lt;&gt;"",HYPERLINK('CCUS Projects Database'!$X489,"Link 7"),"")</f>
        <v/>
      </c>
    </row>
    <row r="490" ht="14.25" customHeight="1">
      <c r="A490" s="233" t="s">
        <v>20650</v>
      </c>
      <c r="B490" s="234">
        <v>651.0</v>
      </c>
      <c r="C490" s="234" t="s">
        <v>120</v>
      </c>
      <c r="D490" s="235" t="s">
        <v>20646</v>
      </c>
      <c r="E490" s="234" t="s">
        <v>18620</v>
      </c>
      <c r="F490" s="234">
        <v>2023.0</v>
      </c>
      <c r="G490" s="234" t="s">
        <v>18725</v>
      </c>
      <c r="H490" s="234">
        <v>2036.0</v>
      </c>
      <c r="I490" s="234" t="s">
        <v>18725</v>
      </c>
      <c r="J490" s="234" t="s">
        <v>18636</v>
      </c>
      <c r="K490" s="236">
        <v>3.0</v>
      </c>
      <c r="L490" s="236">
        <v>1.2</v>
      </c>
      <c r="M490" s="236">
        <v>1.2</v>
      </c>
      <c r="N490" s="234" t="s">
        <v>18620</v>
      </c>
      <c r="O490" s="237" t="s">
        <v>18675</v>
      </c>
      <c r="P490" s="238" t="s">
        <v>20647</v>
      </c>
      <c r="Q490" s="234" t="s">
        <v>18726</v>
      </c>
      <c r="R490" s="238" t="s">
        <v>20648</v>
      </c>
      <c r="S490" s="238" t="s">
        <v>18725</v>
      </c>
      <c r="T490" s="238" t="s">
        <v>18725</v>
      </c>
      <c r="U490" s="238" t="s">
        <v>18725</v>
      </c>
      <c r="V490" s="238" t="s">
        <v>18725</v>
      </c>
      <c r="W490" s="238" t="s">
        <v>18725</v>
      </c>
      <c r="X490" s="238" t="s">
        <v>18725</v>
      </c>
      <c r="Y490" s="239" t="str">
        <f>IF('CCUS Projects Database'!$R490&lt;&gt;"",HYPERLINK('CCUS Projects Database'!$R490,"Link 1"),"")</f>
        <v>Link 1</v>
      </c>
      <c r="Z490" s="239" t="str">
        <f>IF('CCUS Projects Database'!$S490&lt;&gt;"",HYPERLINK('CCUS Projects Database'!$S490,"Link 2"),"")</f>
        <v/>
      </c>
      <c r="AA490" s="239" t="str">
        <f>IF('CCUS Projects Database'!$T490&lt;&gt;"",HYPERLINK('CCUS Projects Database'!$T490,"Link 3"),"")</f>
        <v/>
      </c>
      <c r="AB490" s="239" t="str">
        <f>IF('CCUS Projects Database'!$U490&lt;&gt;"",HYPERLINK('CCUS Projects Database'!$U490,"Link 4"),"")</f>
        <v/>
      </c>
      <c r="AC490" s="239" t="str">
        <f>IF('CCUS Projects Database'!$V490&lt;&gt;"",HYPERLINK('CCUS Projects Database'!$V490,"Link 5"),"")</f>
        <v/>
      </c>
      <c r="AD490" s="239" t="str">
        <f>IF('CCUS Projects Database'!$W490&lt;&gt;"",HYPERLINK('CCUS Projects Database'!$W490,"Link 6"),"")</f>
        <v/>
      </c>
      <c r="AE490" s="239" t="str">
        <f>IF('CCUS Projects Database'!$X490&lt;&gt;"",HYPERLINK('CCUS Projects Database'!$X490,"Link 7"),"")</f>
        <v/>
      </c>
    </row>
    <row r="491" ht="14.25" customHeight="1">
      <c r="A491" s="233" t="s">
        <v>20651</v>
      </c>
      <c r="B491" s="234">
        <v>652.0</v>
      </c>
      <c r="C491" s="234" t="s">
        <v>20652</v>
      </c>
      <c r="D491" s="235" t="s">
        <v>20653</v>
      </c>
      <c r="E491" s="234" t="s">
        <v>18620</v>
      </c>
      <c r="F491" s="234">
        <v>2023.0</v>
      </c>
      <c r="G491" s="234" t="s">
        <v>18725</v>
      </c>
      <c r="H491" s="234">
        <v>2029.0</v>
      </c>
      <c r="I491" s="234" t="s">
        <v>18725</v>
      </c>
      <c r="J491" s="234" t="s">
        <v>18636</v>
      </c>
      <c r="K491" s="236">
        <v>1.0</v>
      </c>
      <c r="L491" s="236">
        <v>3.6</v>
      </c>
      <c r="M491" s="236">
        <v>3.6</v>
      </c>
      <c r="N491" s="234" t="s">
        <v>18620</v>
      </c>
      <c r="O491" s="237" t="s">
        <v>18675</v>
      </c>
      <c r="P491" s="238" t="s">
        <v>19227</v>
      </c>
      <c r="Q491" s="234" t="s">
        <v>18726</v>
      </c>
      <c r="R491" s="238" t="s">
        <v>18792</v>
      </c>
      <c r="S491" s="238" t="s">
        <v>18725</v>
      </c>
      <c r="T491" s="238" t="s">
        <v>18725</v>
      </c>
      <c r="U491" s="238" t="s">
        <v>18725</v>
      </c>
      <c r="V491" s="238" t="s">
        <v>18725</v>
      </c>
      <c r="W491" s="238" t="s">
        <v>18725</v>
      </c>
      <c r="X491" s="238" t="s">
        <v>18725</v>
      </c>
      <c r="Y491" s="239" t="str">
        <f>IF('CCUS Projects Database'!$R491&lt;&gt;"",HYPERLINK('CCUS Projects Database'!$R491,"Link 1"),"")</f>
        <v>Link 1</v>
      </c>
      <c r="Z491" s="239" t="str">
        <f>IF('CCUS Projects Database'!$S491&lt;&gt;"",HYPERLINK('CCUS Projects Database'!$S491,"Link 2"),"")</f>
        <v/>
      </c>
      <c r="AA491" s="239" t="str">
        <f>IF('CCUS Projects Database'!$T491&lt;&gt;"",HYPERLINK('CCUS Projects Database'!$T491,"Link 3"),"")</f>
        <v/>
      </c>
      <c r="AB491" s="239" t="str">
        <f>IF('CCUS Projects Database'!$U491&lt;&gt;"",HYPERLINK('CCUS Projects Database'!$U491,"Link 4"),"")</f>
        <v/>
      </c>
      <c r="AC491" s="239" t="str">
        <f>IF('CCUS Projects Database'!$V491&lt;&gt;"",HYPERLINK('CCUS Projects Database'!$V491,"Link 5"),"")</f>
        <v/>
      </c>
      <c r="AD491" s="239" t="str">
        <f>IF('CCUS Projects Database'!$W491&lt;&gt;"",HYPERLINK('CCUS Projects Database'!$W491,"Link 6"),"")</f>
        <v/>
      </c>
      <c r="AE491" s="239" t="str">
        <f>IF('CCUS Projects Database'!$X491&lt;&gt;"",HYPERLINK('CCUS Projects Database'!$X491,"Link 7"),"")</f>
        <v/>
      </c>
    </row>
    <row r="492" ht="14.25" customHeight="1">
      <c r="A492" s="233" t="s">
        <v>20654</v>
      </c>
      <c r="B492" s="234">
        <v>653.0</v>
      </c>
      <c r="C492" s="234" t="s">
        <v>20652</v>
      </c>
      <c r="D492" s="235" t="s">
        <v>20653</v>
      </c>
      <c r="E492" s="234" t="s">
        <v>18620</v>
      </c>
      <c r="F492" s="234">
        <v>2023.0</v>
      </c>
      <c r="G492" s="234" t="s">
        <v>18725</v>
      </c>
      <c r="H492" s="234">
        <v>2040.0</v>
      </c>
      <c r="I492" s="234" t="s">
        <v>18725</v>
      </c>
      <c r="J492" s="234" t="s">
        <v>18636</v>
      </c>
      <c r="K492" s="236">
        <v>2.0</v>
      </c>
      <c r="L492" s="236">
        <v>2.8</v>
      </c>
      <c r="M492" s="236">
        <v>2.8</v>
      </c>
      <c r="N492" s="234" t="s">
        <v>18620</v>
      </c>
      <c r="O492" s="237" t="s">
        <v>18675</v>
      </c>
      <c r="P492" s="238" t="s">
        <v>19227</v>
      </c>
      <c r="Q492" s="234" t="s">
        <v>18726</v>
      </c>
      <c r="R492" s="238" t="s">
        <v>18792</v>
      </c>
      <c r="S492" s="238" t="s">
        <v>18725</v>
      </c>
      <c r="T492" s="238" t="s">
        <v>18725</v>
      </c>
      <c r="U492" s="238" t="s">
        <v>18725</v>
      </c>
      <c r="V492" s="238" t="s">
        <v>18725</v>
      </c>
      <c r="W492" s="238" t="s">
        <v>18725</v>
      </c>
      <c r="X492" s="238" t="s">
        <v>18725</v>
      </c>
      <c r="Y492" s="239" t="str">
        <f>IF('CCUS Projects Database'!$R492&lt;&gt;"",HYPERLINK('CCUS Projects Database'!$R492,"Link 1"),"")</f>
        <v>Link 1</v>
      </c>
      <c r="Z492" s="239" t="str">
        <f>IF('CCUS Projects Database'!$S492&lt;&gt;"",HYPERLINK('CCUS Projects Database'!$S492,"Link 2"),"")</f>
        <v/>
      </c>
      <c r="AA492" s="239" t="str">
        <f>IF('CCUS Projects Database'!$T492&lt;&gt;"",HYPERLINK('CCUS Projects Database'!$T492,"Link 3"),"")</f>
        <v/>
      </c>
      <c r="AB492" s="239" t="str">
        <f>IF('CCUS Projects Database'!$U492&lt;&gt;"",HYPERLINK('CCUS Projects Database'!$U492,"Link 4"),"")</f>
        <v/>
      </c>
      <c r="AC492" s="239" t="str">
        <f>IF('CCUS Projects Database'!$V492&lt;&gt;"",HYPERLINK('CCUS Projects Database'!$V492,"Link 5"),"")</f>
        <v/>
      </c>
      <c r="AD492" s="239" t="str">
        <f>IF('CCUS Projects Database'!$W492&lt;&gt;"",HYPERLINK('CCUS Projects Database'!$W492,"Link 6"),"")</f>
        <v/>
      </c>
      <c r="AE492" s="239" t="str">
        <f>IF('CCUS Projects Database'!$X492&lt;&gt;"",HYPERLINK('CCUS Projects Database'!$X492,"Link 7"),"")</f>
        <v/>
      </c>
    </row>
    <row r="493" ht="14.25" customHeight="1">
      <c r="A493" s="233" t="s">
        <v>20655</v>
      </c>
      <c r="B493" s="234">
        <v>654.0</v>
      </c>
      <c r="C493" s="234" t="s">
        <v>19172</v>
      </c>
      <c r="D493" s="235" t="s">
        <v>20656</v>
      </c>
      <c r="E493" s="234" t="s">
        <v>18620</v>
      </c>
      <c r="F493" s="234">
        <v>2023.0</v>
      </c>
      <c r="G493" s="234" t="s">
        <v>18725</v>
      </c>
      <c r="H493" s="234" t="s">
        <v>18725</v>
      </c>
      <c r="I493" s="234" t="s">
        <v>18725</v>
      </c>
      <c r="J493" s="234" t="s">
        <v>18636</v>
      </c>
      <c r="K493" s="236">
        <v>1.0</v>
      </c>
      <c r="L493" s="236">
        <v>1.2</v>
      </c>
      <c r="M493" s="236">
        <v>1.2</v>
      </c>
      <c r="N493" s="234" t="s">
        <v>18620</v>
      </c>
      <c r="O493" s="237" t="s">
        <v>18675</v>
      </c>
      <c r="P493" s="238" t="s">
        <v>20657</v>
      </c>
      <c r="Q493" s="234" t="s">
        <v>18726</v>
      </c>
      <c r="R493" s="238" t="s">
        <v>18792</v>
      </c>
      <c r="S493" s="238" t="s">
        <v>18725</v>
      </c>
      <c r="T493" s="238" t="s">
        <v>18725</v>
      </c>
      <c r="U493" s="238" t="s">
        <v>18725</v>
      </c>
      <c r="V493" s="238" t="s">
        <v>18725</v>
      </c>
      <c r="W493" s="238" t="s">
        <v>18725</v>
      </c>
      <c r="X493" s="238" t="s">
        <v>18725</v>
      </c>
      <c r="Y493" s="239" t="str">
        <f>IF('CCUS Projects Database'!$R493&lt;&gt;"",HYPERLINK('CCUS Projects Database'!$R493,"Link 1"),"")</f>
        <v>Link 1</v>
      </c>
      <c r="Z493" s="239" t="str">
        <f>IF('CCUS Projects Database'!$S493&lt;&gt;"",HYPERLINK('CCUS Projects Database'!$S493,"Link 2"),"")</f>
        <v/>
      </c>
      <c r="AA493" s="239" t="str">
        <f>IF('CCUS Projects Database'!$T493&lt;&gt;"",HYPERLINK('CCUS Projects Database'!$T493,"Link 3"),"")</f>
        <v/>
      </c>
      <c r="AB493" s="239" t="str">
        <f>IF('CCUS Projects Database'!$U493&lt;&gt;"",HYPERLINK('CCUS Projects Database'!$U493,"Link 4"),"")</f>
        <v/>
      </c>
      <c r="AC493" s="239" t="str">
        <f>IF('CCUS Projects Database'!$V493&lt;&gt;"",HYPERLINK('CCUS Projects Database'!$V493,"Link 5"),"")</f>
        <v/>
      </c>
      <c r="AD493" s="239" t="str">
        <f>IF('CCUS Projects Database'!$W493&lt;&gt;"",HYPERLINK('CCUS Projects Database'!$W493,"Link 6"),"")</f>
        <v/>
      </c>
      <c r="AE493" s="239" t="str">
        <f>IF('CCUS Projects Database'!$X493&lt;&gt;"",HYPERLINK('CCUS Projects Database'!$X493,"Link 7"),"")</f>
        <v/>
      </c>
    </row>
    <row r="494" ht="14.25" customHeight="1">
      <c r="A494" s="233" t="s">
        <v>20658</v>
      </c>
      <c r="B494" s="234">
        <v>655.0</v>
      </c>
      <c r="C494" s="234" t="s">
        <v>19172</v>
      </c>
      <c r="D494" s="235" t="s">
        <v>20656</v>
      </c>
      <c r="E494" s="234" t="s">
        <v>18620</v>
      </c>
      <c r="F494" s="234">
        <v>2023.0</v>
      </c>
      <c r="G494" s="234" t="s">
        <v>18725</v>
      </c>
      <c r="H494" s="234" t="s">
        <v>18725</v>
      </c>
      <c r="I494" s="234" t="s">
        <v>18725</v>
      </c>
      <c r="J494" s="234" t="s">
        <v>18636</v>
      </c>
      <c r="K494" s="236">
        <v>2.0</v>
      </c>
      <c r="L494" s="236">
        <v>1.2</v>
      </c>
      <c r="M494" s="236">
        <v>1.2</v>
      </c>
      <c r="N494" s="234" t="s">
        <v>18620</v>
      </c>
      <c r="O494" s="237" t="s">
        <v>18675</v>
      </c>
      <c r="P494" s="238" t="s">
        <v>20657</v>
      </c>
      <c r="Q494" s="234" t="s">
        <v>18726</v>
      </c>
      <c r="R494" s="238" t="s">
        <v>18792</v>
      </c>
      <c r="S494" s="238" t="s">
        <v>18725</v>
      </c>
      <c r="T494" s="238" t="s">
        <v>18725</v>
      </c>
      <c r="U494" s="238" t="s">
        <v>18725</v>
      </c>
      <c r="V494" s="238" t="s">
        <v>18725</v>
      </c>
      <c r="W494" s="238" t="s">
        <v>18725</v>
      </c>
      <c r="X494" s="238" t="s">
        <v>18725</v>
      </c>
      <c r="Y494" s="239" t="str">
        <f>IF('CCUS Projects Database'!$R494&lt;&gt;"",HYPERLINK('CCUS Projects Database'!$R494,"Link 1"),"")</f>
        <v>Link 1</v>
      </c>
      <c r="Z494" s="239" t="str">
        <f>IF('CCUS Projects Database'!$S494&lt;&gt;"",HYPERLINK('CCUS Projects Database'!$S494,"Link 2"),"")</f>
        <v/>
      </c>
      <c r="AA494" s="239" t="str">
        <f>IF('CCUS Projects Database'!$T494&lt;&gt;"",HYPERLINK('CCUS Projects Database'!$T494,"Link 3"),"")</f>
        <v/>
      </c>
      <c r="AB494" s="239" t="str">
        <f>IF('CCUS Projects Database'!$U494&lt;&gt;"",HYPERLINK('CCUS Projects Database'!$U494,"Link 4"),"")</f>
        <v/>
      </c>
      <c r="AC494" s="239" t="str">
        <f>IF('CCUS Projects Database'!$V494&lt;&gt;"",HYPERLINK('CCUS Projects Database'!$V494,"Link 5"),"")</f>
        <v/>
      </c>
      <c r="AD494" s="239" t="str">
        <f>IF('CCUS Projects Database'!$W494&lt;&gt;"",HYPERLINK('CCUS Projects Database'!$W494,"Link 6"),"")</f>
        <v/>
      </c>
      <c r="AE494" s="239" t="str">
        <f>IF('CCUS Projects Database'!$X494&lt;&gt;"",HYPERLINK('CCUS Projects Database'!$X494,"Link 7"),"")</f>
        <v/>
      </c>
    </row>
    <row r="495" ht="14.25" customHeight="1">
      <c r="A495" s="233" t="s">
        <v>20659</v>
      </c>
      <c r="B495" s="234">
        <v>656.0</v>
      </c>
      <c r="C495" s="234" t="s">
        <v>19172</v>
      </c>
      <c r="D495" s="235" t="s">
        <v>20656</v>
      </c>
      <c r="E495" s="234" t="s">
        <v>18620</v>
      </c>
      <c r="F495" s="234">
        <v>2023.0</v>
      </c>
      <c r="G495" s="234" t="s">
        <v>18725</v>
      </c>
      <c r="H495" s="234" t="s">
        <v>18725</v>
      </c>
      <c r="I495" s="234" t="s">
        <v>18725</v>
      </c>
      <c r="J495" s="234" t="s">
        <v>18636</v>
      </c>
      <c r="K495" s="236">
        <v>3.0</v>
      </c>
      <c r="L495" s="236">
        <v>0.3</v>
      </c>
      <c r="M495" s="236">
        <v>0.3</v>
      </c>
      <c r="N495" s="234" t="s">
        <v>18620</v>
      </c>
      <c r="O495" s="237" t="s">
        <v>18675</v>
      </c>
      <c r="P495" s="238" t="s">
        <v>20657</v>
      </c>
      <c r="Q495" s="234" t="s">
        <v>18726</v>
      </c>
      <c r="R495" s="238" t="s">
        <v>18792</v>
      </c>
      <c r="S495" s="238" t="s">
        <v>18725</v>
      </c>
      <c r="T495" s="238" t="s">
        <v>18725</v>
      </c>
      <c r="U495" s="238" t="s">
        <v>18725</v>
      </c>
      <c r="V495" s="238" t="s">
        <v>18725</v>
      </c>
      <c r="W495" s="238" t="s">
        <v>18725</v>
      </c>
      <c r="X495" s="238" t="s">
        <v>18725</v>
      </c>
      <c r="Y495" s="239" t="str">
        <f>IF('CCUS Projects Database'!$R495&lt;&gt;"",HYPERLINK('CCUS Projects Database'!$R495,"Link 1"),"")</f>
        <v>Link 1</v>
      </c>
      <c r="Z495" s="239" t="str">
        <f>IF('CCUS Projects Database'!$S495&lt;&gt;"",HYPERLINK('CCUS Projects Database'!$S495,"Link 2"),"")</f>
        <v/>
      </c>
      <c r="AA495" s="239" t="str">
        <f>IF('CCUS Projects Database'!$T495&lt;&gt;"",HYPERLINK('CCUS Projects Database'!$T495,"Link 3"),"")</f>
        <v/>
      </c>
      <c r="AB495" s="239" t="str">
        <f>IF('CCUS Projects Database'!$U495&lt;&gt;"",HYPERLINK('CCUS Projects Database'!$U495,"Link 4"),"")</f>
        <v/>
      </c>
      <c r="AC495" s="239" t="str">
        <f>IF('CCUS Projects Database'!$V495&lt;&gt;"",HYPERLINK('CCUS Projects Database'!$V495,"Link 5"),"")</f>
        <v/>
      </c>
      <c r="AD495" s="239" t="str">
        <f>IF('CCUS Projects Database'!$W495&lt;&gt;"",HYPERLINK('CCUS Projects Database'!$W495,"Link 6"),"")</f>
        <v/>
      </c>
      <c r="AE495" s="239" t="str">
        <f>IF('CCUS Projects Database'!$X495&lt;&gt;"",HYPERLINK('CCUS Projects Database'!$X495,"Link 7"),"")</f>
        <v/>
      </c>
    </row>
    <row r="496" ht="14.25" customHeight="1">
      <c r="A496" s="233" t="s">
        <v>20660</v>
      </c>
      <c r="B496" s="234">
        <v>657.0</v>
      </c>
      <c r="C496" s="234" t="s">
        <v>197</v>
      </c>
      <c r="D496" s="235" t="s">
        <v>20661</v>
      </c>
      <c r="E496" s="234" t="s">
        <v>18618</v>
      </c>
      <c r="F496" s="234">
        <v>2023.0</v>
      </c>
      <c r="G496" s="234" t="s">
        <v>18725</v>
      </c>
      <c r="H496" s="234">
        <v>2029.0</v>
      </c>
      <c r="I496" s="234" t="s">
        <v>18725</v>
      </c>
      <c r="J496" s="234" t="s">
        <v>18636</v>
      </c>
      <c r="K496" s="236" t="s">
        <v>18725</v>
      </c>
      <c r="L496" s="236">
        <v>1.0</v>
      </c>
      <c r="M496" s="236">
        <v>1.0</v>
      </c>
      <c r="N496" s="234" t="s">
        <v>18663</v>
      </c>
      <c r="O496" s="237" t="s">
        <v>18675</v>
      </c>
      <c r="P496" s="238" t="s">
        <v>19222</v>
      </c>
      <c r="Q496" s="234" t="s">
        <v>18726</v>
      </c>
      <c r="R496" s="238" t="s">
        <v>20662</v>
      </c>
      <c r="S496" s="238" t="s">
        <v>20663</v>
      </c>
      <c r="T496" s="238" t="s">
        <v>18725</v>
      </c>
      <c r="U496" s="238" t="s">
        <v>18725</v>
      </c>
      <c r="V496" s="238" t="s">
        <v>18725</v>
      </c>
      <c r="W496" s="238" t="s">
        <v>18725</v>
      </c>
      <c r="X496" s="238" t="s">
        <v>18725</v>
      </c>
      <c r="Y496" s="239" t="str">
        <f>IF('CCUS Projects Database'!$R496&lt;&gt;"",HYPERLINK('CCUS Projects Database'!$R496,"Link 1"),"")</f>
        <v>Link 1</v>
      </c>
      <c r="Z496" s="239" t="str">
        <f>IF('CCUS Projects Database'!$S496&lt;&gt;"",HYPERLINK('CCUS Projects Database'!$S496,"Link 2"),"")</f>
        <v>Link 2</v>
      </c>
      <c r="AA496" s="239" t="str">
        <f>IF('CCUS Projects Database'!$T496&lt;&gt;"",HYPERLINK('CCUS Projects Database'!$T496,"Link 3"),"")</f>
        <v/>
      </c>
      <c r="AB496" s="239" t="str">
        <f>IF('CCUS Projects Database'!$U496&lt;&gt;"",HYPERLINK('CCUS Projects Database'!$U496,"Link 4"),"")</f>
        <v/>
      </c>
      <c r="AC496" s="239" t="str">
        <f>IF('CCUS Projects Database'!$V496&lt;&gt;"",HYPERLINK('CCUS Projects Database'!$V496,"Link 5"),"")</f>
        <v/>
      </c>
      <c r="AD496" s="239" t="str">
        <f>IF('CCUS Projects Database'!$W496&lt;&gt;"",HYPERLINK('CCUS Projects Database'!$W496,"Link 6"),"")</f>
        <v/>
      </c>
      <c r="AE496" s="239" t="str">
        <f>IF('CCUS Projects Database'!$X496&lt;&gt;"",HYPERLINK('CCUS Projects Database'!$X496,"Link 7"),"")</f>
        <v/>
      </c>
    </row>
    <row r="497" ht="14.25" customHeight="1">
      <c r="A497" s="233" t="s">
        <v>20664</v>
      </c>
      <c r="B497" s="234">
        <v>658.0</v>
      </c>
      <c r="C497" s="234" t="s">
        <v>18426</v>
      </c>
      <c r="D497" s="235" t="s">
        <v>20661</v>
      </c>
      <c r="E497" s="234" t="s">
        <v>18618</v>
      </c>
      <c r="F497" s="234">
        <v>2023.0</v>
      </c>
      <c r="G497" s="234" t="s">
        <v>18725</v>
      </c>
      <c r="H497" s="234">
        <v>2028.0</v>
      </c>
      <c r="I497" s="234" t="s">
        <v>18725</v>
      </c>
      <c r="J497" s="234" t="s">
        <v>18636</v>
      </c>
      <c r="K497" s="236" t="s">
        <v>18725</v>
      </c>
      <c r="L497" s="236">
        <v>0.366</v>
      </c>
      <c r="M497" s="236">
        <v>0.366</v>
      </c>
      <c r="N497" s="234" t="s">
        <v>18663</v>
      </c>
      <c r="O497" s="237" t="s">
        <v>18675</v>
      </c>
      <c r="P497" s="238" t="s">
        <v>18725</v>
      </c>
      <c r="Q497" s="234" t="s">
        <v>18726</v>
      </c>
      <c r="R497" s="238" t="s">
        <v>20662</v>
      </c>
      <c r="S497" s="238" t="s">
        <v>20665</v>
      </c>
      <c r="T497" s="238" t="s">
        <v>18725</v>
      </c>
      <c r="U497" s="238" t="s">
        <v>18725</v>
      </c>
      <c r="V497" s="238" t="s">
        <v>18725</v>
      </c>
      <c r="W497" s="238" t="s">
        <v>18725</v>
      </c>
      <c r="X497" s="238" t="s">
        <v>18725</v>
      </c>
      <c r="Y497" s="239" t="str">
        <f>IF('CCUS Projects Database'!$R497&lt;&gt;"",HYPERLINK('CCUS Projects Database'!$R497,"Link 1"),"")</f>
        <v>Link 1</v>
      </c>
      <c r="Z497" s="239" t="str">
        <f>IF('CCUS Projects Database'!$S497&lt;&gt;"",HYPERLINK('CCUS Projects Database'!$S497,"Link 2"),"")</f>
        <v>Link 2</v>
      </c>
      <c r="AA497" s="239" t="str">
        <f>IF('CCUS Projects Database'!$T497&lt;&gt;"",HYPERLINK('CCUS Projects Database'!$T497,"Link 3"),"")</f>
        <v/>
      </c>
      <c r="AB497" s="239" t="str">
        <f>IF('CCUS Projects Database'!$U497&lt;&gt;"",HYPERLINK('CCUS Projects Database'!$U497,"Link 4"),"")</f>
        <v/>
      </c>
      <c r="AC497" s="239" t="str">
        <f>IF('CCUS Projects Database'!$V497&lt;&gt;"",HYPERLINK('CCUS Projects Database'!$V497,"Link 5"),"")</f>
        <v/>
      </c>
      <c r="AD497" s="239" t="str">
        <f>IF('CCUS Projects Database'!$W497&lt;&gt;"",HYPERLINK('CCUS Projects Database'!$W497,"Link 6"),"")</f>
        <v/>
      </c>
      <c r="AE497" s="239" t="str">
        <f>IF('CCUS Projects Database'!$X497&lt;&gt;"",HYPERLINK('CCUS Projects Database'!$X497,"Link 7"),"")</f>
        <v/>
      </c>
    </row>
    <row r="498" ht="14.25" customHeight="1">
      <c r="A498" s="233" t="s">
        <v>20666</v>
      </c>
      <c r="B498" s="234">
        <v>659.0</v>
      </c>
      <c r="C498" s="234" t="s">
        <v>18264</v>
      </c>
      <c r="D498" s="235" t="s">
        <v>20667</v>
      </c>
      <c r="E498" s="234" t="s">
        <v>3</v>
      </c>
      <c r="F498" s="234" t="s">
        <v>18725</v>
      </c>
      <c r="G498" s="234" t="s">
        <v>18725</v>
      </c>
      <c r="H498" s="234">
        <v>2020.0</v>
      </c>
      <c r="I498" s="234" t="s">
        <v>18725</v>
      </c>
      <c r="J498" s="234" t="s">
        <v>12385</v>
      </c>
      <c r="K498" s="236" t="s">
        <v>18725</v>
      </c>
      <c r="L498" s="236">
        <v>3.0</v>
      </c>
      <c r="M498" s="236">
        <v>3.0</v>
      </c>
      <c r="N498" s="234" t="s">
        <v>3</v>
      </c>
      <c r="O498" s="237" t="s">
        <v>18677</v>
      </c>
      <c r="P498" s="238" t="s">
        <v>18725</v>
      </c>
      <c r="Q498" s="234" t="s">
        <v>18732</v>
      </c>
      <c r="R498" s="238" t="s">
        <v>18725</v>
      </c>
      <c r="S498" s="238" t="s">
        <v>18725</v>
      </c>
      <c r="T498" s="238" t="s">
        <v>18725</v>
      </c>
      <c r="U498" s="238" t="s">
        <v>18725</v>
      </c>
      <c r="V498" s="238" t="s">
        <v>18725</v>
      </c>
      <c r="W498" s="238" t="s">
        <v>18725</v>
      </c>
      <c r="X498" s="238" t="s">
        <v>18725</v>
      </c>
      <c r="Y498" s="239" t="str">
        <f>IF('CCUS Projects Database'!$R498&lt;&gt;"",HYPERLINK('CCUS Projects Database'!$R498,"Link 1"),"")</f>
        <v/>
      </c>
      <c r="Z498" s="239" t="str">
        <f>IF('CCUS Projects Database'!$S498&lt;&gt;"",HYPERLINK('CCUS Projects Database'!$S498,"Link 2"),"")</f>
        <v/>
      </c>
      <c r="AA498" s="239" t="str">
        <f>IF('CCUS Projects Database'!$T498&lt;&gt;"",HYPERLINK('CCUS Projects Database'!$T498,"Link 3"),"")</f>
        <v/>
      </c>
      <c r="AB498" s="239" t="str">
        <f>IF('CCUS Projects Database'!$U498&lt;&gt;"",HYPERLINK('CCUS Projects Database'!$U498,"Link 4"),"")</f>
        <v/>
      </c>
      <c r="AC498" s="239" t="str">
        <f>IF('CCUS Projects Database'!$V498&lt;&gt;"",HYPERLINK('CCUS Projects Database'!$V498,"Link 5"),"")</f>
        <v/>
      </c>
      <c r="AD498" s="239" t="str">
        <f>IF('CCUS Projects Database'!$W498&lt;&gt;"",HYPERLINK('CCUS Projects Database'!$W498,"Link 6"),"")</f>
        <v/>
      </c>
      <c r="AE498" s="239" t="str">
        <f>IF('CCUS Projects Database'!$X498&lt;&gt;"",HYPERLINK('CCUS Projects Database'!$X498,"Link 7"),"")</f>
        <v/>
      </c>
    </row>
    <row r="499" ht="14.25" customHeight="1">
      <c r="A499" s="233" t="s">
        <v>20668</v>
      </c>
      <c r="B499" s="234">
        <v>660.0</v>
      </c>
      <c r="C499" s="234" t="s">
        <v>161</v>
      </c>
      <c r="D499" s="235" t="s">
        <v>20376</v>
      </c>
      <c r="E499" s="234" t="s">
        <v>18618</v>
      </c>
      <c r="F499" s="234">
        <v>2023.0</v>
      </c>
      <c r="G499" s="234" t="s">
        <v>18725</v>
      </c>
      <c r="H499" s="234">
        <v>2030.0</v>
      </c>
      <c r="I499" s="234" t="s">
        <v>18725</v>
      </c>
      <c r="J499" s="234" t="s">
        <v>18636</v>
      </c>
      <c r="K499" s="236" t="s">
        <v>18725</v>
      </c>
      <c r="L499" s="236">
        <v>0.8</v>
      </c>
      <c r="M499" s="236">
        <v>0.8</v>
      </c>
      <c r="N499" s="234" t="s">
        <v>18663</v>
      </c>
      <c r="O499" s="237" t="s">
        <v>18675</v>
      </c>
      <c r="P499" s="238" t="s">
        <v>20669</v>
      </c>
      <c r="Q499" s="234" t="s">
        <v>18726</v>
      </c>
      <c r="R499" s="238" t="s">
        <v>20670</v>
      </c>
      <c r="S499" s="238" t="s">
        <v>18725</v>
      </c>
      <c r="T499" s="238" t="s">
        <v>18725</v>
      </c>
      <c r="U499" s="238" t="s">
        <v>18725</v>
      </c>
      <c r="V499" s="238" t="s">
        <v>18725</v>
      </c>
      <c r="W499" s="238" t="s">
        <v>18725</v>
      </c>
      <c r="X499" s="238" t="s">
        <v>18725</v>
      </c>
      <c r="Y499" s="239" t="str">
        <f>IF('CCUS Projects Database'!$R499&lt;&gt;"",HYPERLINK('CCUS Projects Database'!$R499,"Link 1"),"")</f>
        <v>Link 1</v>
      </c>
      <c r="Z499" s="239" t="str">
        <f>IF('CCUS Projects Database'!$S499&lt;&gt;"",HYPERLINK('CCUS Projects Database'!$S499,"Link 2"),"")</f>
        <v/>
      </c>
      <c r="AA499" s="239" t="str">
        <f>IF('CCUS Projects Database'!$T499&lt;&gt;"",HYPERLINK('CCUS Projects Database'!$T499,"Link 3"),"")</f>
        <v/>
      </c>
      <c r="AB499" s="239" t="str">
        <f>IF('CCUS Projects Database'!$U499&lt;&gt;"",HYPERLINK('CCUS Projects Database'!$U499,"Link 4"),"")</f>
        <v/>
      </c>
      <c r="AC499" s="239" t="str">
        <f>IF('CCUS Projects Database'!$V499&lt;&gt;"",HYPERLINK('CCUS Projects Database'!$V499,"Link 5"),"")</f>
        <v/>
      </c>
      <c r="AD499" s="239" t="str">
        <f>IF('CCUS Projects Database'!$W499&lt;&gt;"",HYPERLINK('CCUS Projects Database'!$W499,"Link 6"),"")</f>
        <v/>
      </c>
      <c r="AE499" s="239" t="str">
        <f>IF('CCUS Projects Database'!$X499&lt;&gt;"",HYPERLINK('CCUS Projects Database'!$X499,"Link 7"),"")</f>
        <v/>
      </c>
    </row>
    <row r="500" ht="14.25" customHeight="1">
      <c r="A500" s="233" t="s">
        <v>20671</v>
      </c>
      <c r="B500" s="234">
        <v>661.0</v>
      </c>
      <c r="C500" s="234" t="s">
        <v>98</v>
      </c>
      <c r="D500" s="235" t="s">
        <v>20672</v>
      </c>
      <c r="E500" s="234" t="s">
        <v>18620</v>
      </c>
      <c r="F500" s="234">
        <v>2022.0</v>
      </c>
      <c r="G500" s="234" t="s">
        <v>18725</v>
      </c>
      <c r="H500" s="234">
        <v>2030.0</v>
      </c>
      <c r="I500" s="234" t="s">
        <v>18725</v>
      </c>
      <c r="J500" s="234" t="s">
        <v>18636</v>
      </c>
      <c r="K500" s="236" t="s">
        <v>18725</v>
      </c>
      <c r="L500" s="236" t="s">
        <v>20673</v>
      </c>
      <c r="M500" s="236">
        <v>20.0</v>
      </c>
      <c r="N500" s="234" t="s">
        <v>18620</v>
      </c>
      <c r="O500" s="237" t="s">
        <v>18675</v>
      </c>
      <c r="P500" s="238" t="s">
        <v>20674</v>
      </c>
      <c r="Q500" s="234" t="s">
        <v>18726</v>
      </c>
      <c r="R500" s="238" t="s">
        <v>20675</v>
      </c>
      <c r="S500" s="238" t="s">
        <v>20676</v>
      </c>
      <c r="T500" s="238" t="s">
        <v>18725</v>
      </c>
      <c r="U500" s="238" t="s">
        <v>18725</v>
      </c>
      <c r="V500" s="238" t="s">
        <v>18725</v>
      </c>
      <c r="W500" s="238" t="s">
        <v>18725</v>
      </c>
      <c r="X500" s="238" t="s">
        <v>18725</v>
      </c>
      <c r="Y500" s="239" t="str">
        <f>IF('CCUS Projects Database'!$R500&lt;&gt;"",HYPERLINK('CCUS Projects Database'!$R500,"Link 1"),"")</f>
        <v>Link 1</v>
      </c>
      <c r="Z500" s="239" t="str">
        <f>IF('CCUS Projects Database'!$S500&lt;&gt;"",HYPERLINK('CCUS Projects Database'!$S500,"Link 2"),"")</f>
        <v>Link 2</v>
      </c>
      <c r="AA500" s="239" t="str">
        <f>IF('CCUS Projects Database'!$T500&lt;&gt;"",HYPERLINK('CCUS Projects Database'!$T500,"Link 3"),"")</f>
        <v/>
      </c>
      <c r="AB500" s="239" t="str">
        <f>IF('CCUS Projects Database'!$U500&lt;&gt;"",HYPERLINK('CCUS Projects Database'!$U500,"Link 4"),"")</f>
        <v/>
      </c>
      <c r="AC500" s="239" t="str">
        <f>IF('CCUS Projects Database'!$V500&lt;&gt;"",HYPERLINK('CCUS Projects Database'!$V500,"Link 5"),"")</f>
        <v/>
      </c>
      <c r="AD500" s="239" t="str">
        <f>IF('CCUS Projects Database'!$W500&lt;&gt;"",HYPERLINK('CCUS Projects Database'!$W500,"Link 6"),"")</f>
        <v/>
      </c>
      <c r="AE500" s="239" t="str">
        <f>IF('CCUS Projects Database'!$X500&lt;&gt;"",HYPERLINK('CCUS Projects Database'!$X500,"Link 7"),"")</f>
        <v/>
      </c>
    </row>
    <row r="501" ht="14.25" customHeight="1">
      <c r="A501" s="233" t="s">
        <v>20677</v>
      </c>
      <c r="B501" s="234">
        <v>662.0</v>
      </c>
      <c r="C501" s="234" t="s">
        <v>18586</v>
      </c>
      <c r="D501" s="235" t="s">
        <v>20678</v>
      </c>
      <c r="E501" s="234" t="s">
        <v>18616</v>
      </c>
      <c r="F501" s="234">
        <v>2022.0</v>
      </c>
      <c r="G501" s="234" t="s">
        <v>18725</v>
      </c>
      <c r="H501" s="234" t="s">
        <v>18725</v>
      </c>
      <c r="I501" s="234" t="s">
        <v>18725</v>
      </c>
      <c r="J501" s="234" t="s">
        <v>18636</v>
      </c>
      <c r="K501" s="236" t="s">
        <v>18725</v>
      </c>
      <c r="L501" s="236">
        <v>1.2</v>
      </c>
      <c r="M501" s="236">
        <v>1.2</v>
      </c>
      <c r="N501" s="234" t="s">
        <v>12270</v>
      </c>
      <c r="O501" s="237" t="s">
        <v>18675</v>
      </c>
      <c r="P501" s="238" t="s">
        <v>18725</v>
      </c>
      <c r="Q501" s="234" t="s">
        <v>18732</v>
      </c>
      <c r="R501" s="238" t="s">
        <v>20679</v>
      </c>
      <c r="S501" s="238" t="s">
        <v>20680</v>
      </c>
      <c r="T501" s="238" t="s">
        <v>18725</v>
      </c>
      <c r="U501" s="238" t="s">
        <v>18725</v>
      </c>
      <c r="V501" s="238" t="s">
        <v>18725</v>
      </c>
      <c r="W501" s="238" t="s">
        <v>18725</v>
      </c>
      <c r="X501" s="238" t="s">
        <v>18725</v>
      </c>
      <c r="Y501" s="239" t="str">
        <f>IF('CCUS Projects Database'!$R501&lt;&gt;"",HYPERLINK('CCUS Projects Database'!$R501,"Link 1"),"")</f>
        <v>Link 1</v>
      </c>
      <c r="Z501" s="239" t="str">
        <f>IF('CCUS Projects Database'!$S501&lt;&gt;"",HYPERLINK('CCUS Projects Database'!$S501,"Link 2"),"")</f>
        <v>Link 2</v>
      </c>
      <c r="AA501" s="239" t="str">
        <f>IF('CCUS Projects Database'!$T501&lt;&gt;"",HYPERLINK('CCUS Projects Database'!$T501,"Link 3"),"")</f>
        <v/>
      </c>
      <c r="AB501" s="239" t="str">
        <f>IF('CCUS Projects Database'!$U501&lt;&gt;"",HYPERLINK('CCUS Projects Database'!$U501,"Link 4"),"")</f>
        <v/>
      </c>
      <c r="AC501" s="239" t="str">
        <f>IF('CCUS Projects Database'!$V501&lt;&gt;"",HYPERLINK('CCUS Projects Database'!$V501,"Link 5"),"")</f>
        <v/>
      </c>
      <c r="AD501" s="239" t="str">
        <f>IF('CCUS Projects Database'!$W501&lt;&gt;"",HYPERLINK('CCUS Projects Database'!$W501,"Link 6"),"")</f>
        <v/>
      </c>
      <c r="AE501" s="239" t="str">
        <f>IF('CCUS Projects Database'!$X501&lt;&gt;"",HYPERLINK('CCUS Projects Database'!$X501,"Link 7"),"")</f>
        <v/>
      </c>
    </row>
    <row r="502" ht="14.25" customHeight="1">
      <c r="A502" s="233" t="s">
        <v>20681</v>
      </c>
      <c r="B502" s="234">
        <v>663.0</v>
      </c>
      <c r="C502" s="234" t="s">
        <v>18586</v>
      </c>
      <c r="D502" s="235" t="s">
        <v>20682</v>
      </c>
      <c r="E502" s="234" t="s">
        <v>18616</v>
      </c>
      <c r="F502" s="234">
        <v>2022.0</v>
      </c>
      <c r="G502" s="234" t="s">
        <v>18725</v>
      </c>
      <c r="H502" s="234" t="s">
        <v>18725</v>
      </c>
      <c r="I502" s="234" t="s">
        <v>18725</v>
      </c>
      <c r="J502" s="234" t="s">
        <v>18636</v>
      </c>
      <c r="K502" s="236" t="s">
        <v>18725</v>
      </c>
      <c r="L502" s="236">
        <v>0.4</v>
      </c>
      <c r="M502" s="236">
        <v>0.4</v>
      </c>
      <c r="N502" s="234" t="s">
        <v>12270</v>
      </c>
      <c r="O502" s="237" t="s">
        <v>18675</v>
      </c>
      <c r="P502" s="238" t="s">
        <v>18725</v>
      </c>
      <c r="Q502" s="234" t="s">
        <v>18732</v>
      </c>
      <c r="R502" s="238" t="s">
        <v>20683</v>
      </c>
      <c r="S502" s="238" t="s">
        <v>20684</v>
      </c>
      <c r="T502" s="238" t="s">
        <v>18725</v>
      </c>
      <c r="U502" s="238" t="s">
        <v>18725</v>
      </c>
      <c r="V502" s="238" t="s">
        <v>18725</v>
      </c>
      <c r="W502" s="238" t="s">
        <v>18725</v>
      </c>
      <c r="X502" s="238" t="s">
        <v>18725</v>
      </c>
      <c r="Y502" s="239" t="str">
        <f>IF('CCUS Projects Database'!$R502&lt;&gt;"",HYPERLINK('CCUS Projects Database'!$R502,"Link 1"),"")</f>
        <v>Link 1</v>
      </c>
      <c r="Z502" s="239" t="str">
        <f>IF('CCUS Projects Database'!$S502&lt;&gt;"",HYPERLINK('CCUS Projects Database'!$S502,"Link 2"),"")</f>
        <v>Link 2</v>
      </c>
      <c r="AA502" s="239" t="str">
        <f>IF('CCUS Projects Database'!$T502&lt;&gt;"",HYPERLINK('CCUS Projects Database'!$T502,"Link 3"),"")</f>
        <v/>
      </c>
      <c r="AB502" s="239" t="str">
        <f>IF('CCUS Projects Database'!$U502&lt;&gt;"",HYPERLINK('CCUS Projects Database'!$U502,"Link 4"),"")</f>
        <v/>
      </c>
      <c r="AC502" s="239" t="str">
        <f>IF('CCUS Projects Database'!$V502&lt;&gt;"",HYPERLINK('CCUS Projects Database'!$V502,"Link 5"),"")</f>
        <v/>
      </c>
      <c r="AD502" s="239" t="str">
        <f>IF('CCUS Projects Database'!$W502&lt;&gt;"",HYPERLINK('CCUS Projects Database'!$W502,"Link 6"),"")</f>
        <v/>
      </c>
      <c r="AE502" s="239" t="str">
        <f>IF('CCUS Projects Database'!$X502&lt;&gt;"",HYPERLINK('CCUS Projects Database'!$X502,"Link 7"),"")</f>
        <v/>
      </c>
    </row>
    <row r="503" ht="14.25" customHeight="1">
      <c r="A503" s="233" t="s">
        <v>20685</v>
      </c>
      <c r="B503" s="234">
        <v>664.0</v>
      </c>
      <c r="C503" s="234" t="s">
        <v>20686</v>
      </c>
      <c r="D503" s="235" t="s">
        <v>20687</v>
      </c>
      <c r="E503" s="234" t="s">
        <v>18620</v>
      </c>
      <c r="F503" s="234">
        <v>2022.0</v>
      </c>
      <c r="G503" s="234" t="s">
        <v>18725</v>
      </c>
      <c r="H503" s="234" t="s">
        <v>18725</v>
      </c>
      <c r="I503" s="234" t="s">
        <v>18725</v>
      </c>
      <c r="J503" s="234" t="s">
        <v>18636</v>
      </c>
      <c r="K503" s="236">
        <v>1.0</v>
      </c>
      <c r="L503" s="236">
        <v>5.0</v>
      </c>
      <c r="M503" s="236">
        <v>5.0</v>
      </c>
      <c r="N503" s="234" t="s">
        <v>18620</v>
      </c>
      <c r="O503" s="237" t="s">
        <v>18675</v>
      </c>
      <c r="P503" s="238" t="s">
        <v>20688</v>
      </c>
      <c r="Q503" s="234" t="s">
        <v>18726</v>
      </c>
      <c r="R503" s="238" t="s">
        <v>18792</v>
      </c>
      <c r="S503" s="238" t="s">
        <v>20689</v>
      </c>
      <c r="T503" s="238" t="s">
        <v>18725</v>
      </c>
      <c r="U503" s="238" t="s">
        <v>18725</v>
      </c>
      <c r="V503" s="238" t="s">
        <v>18725</v>
      </c>
      <c r="W503" s="238" t="s">
        <v>18725</v>
      </c>
      <c r="X503" s="238" t="s">
        <v>18725</v>
      </c>
      <c r="Y503" s="239" t="str">
        <f>IF('CCUS Projects Database'!$R503&lt;&gt;"",HYPERLINK('CCUS Projects Database'!$R503,"Link 1"),"")</f>
        <v>Link 1</v>
      </c>
      <c r="Z503" s="239" t="str">
        <f>IF('CCUS Projects Database'!$S503&lt;&gt;"",HYPERLINK('CCUS Projects Database'!$S503,"Link 2"),"")</f>
        <v>Link 2</v>
      </c>
      <c r="AA503" s="239" t="str">
        <f>IF('CCUS Projects Database'!$T503&lt;&gt;"",HYPERLINK('CCUS Projects Database'!$T503,"Link 3"),"")</f>
        <v/>
      </c>
      <c r="AB503" s="239" t="str">
        <f>IF('CCUS Projects Database'!$U503&lt;&gt;"",HYPERLINK('CCUS Projects Database'!$U503,"Link 4"),"")</f>
        <v/>
      </c>
      <c r="AC503" s="239" t="str">
        <f>IF('CCUS Projects Database'!$V503&lt;&gt;"",HYPERLINK('CCUS Projects Database'!$V503,"Link 5"),"")</f>
        <v/>
      </c>
      <c r="AD503" s="239" t="str">
        <f>IF('CCUS Projects Database'!$W503&lt;&gt;"",HYPERLINK('CCUS Projects Database'!$W503,"Link 6"),"")</f>
        <v/>
      </c>
      <c r="AE503" s="239" t="str">
        <f>IF('CCUS Projects Database'!$X503&lt;&gt;"",HYPERLINK('CCUS Projects Database'!$X503,"Link 7"),"")</f>
        <v/>
      </c>
    </row>
    <row r="504" ht="14.25" customHeight="1">
      <c r="A504" s="233" t="s">
        <v>20690</v>
      </c>
      <c r="B504" s="234">
        <v>666.0</v>
      </c>
      <c r="C504" s="234" t="s">
        <v>18290</v>
      </c>
      <c r="D504" s="235" t="s">
        <v>20691</v>
      </c>
      <c r="E504" s="234" t="s">
        <v>18623</v>
      </c>
      <c r="F504" s="234">
        <v>2023.0</v>
      </c>
      <c r="G504" s="234" t="s">
        <v>18725</v>
      </c>
      <c r="H504" s="234">
        <v>2030.0</v>
      </c>
      <c r="I504" s="234" t="s">
        <v>18725</v>
      </c>
      <c r="J504" s="234" t="s">
        <v>18636</v>
      </c>
      <c r="K504" s="236" t="s">
        <v>18725</v>
      </c>
      <c r="L504" s="236">
        <v>2.0</v>
      </c>
      <c r="M504" s="236">
        <v>2.0</v>
      </c>
      <c r="N504" s="234" t="s">
        <v>18623</v>
      </c>
      <c r="O504" s="237" t="s">
        <v>18675</v>
      </c>
      <c r="P504" s="238" t="s">
        <v>20690</v>
      </c>
      <c r="Q504" s="234" t="s">
        <v>18856</v>
      </c>
      <c r="R504" s="238" t="s">
        <v>20692</v>
      </c>
      <c r="S504" s="238" t="s">
        <v>19219</v>
      </c>
      <c r="T504" s="238" t="s">
        <v>20693</v>
      </c>
      <c r="U504" s="238" t="s">
        <v>18725</v>
      </c>
      <c r="V504" s="238" t="s">
        <v>18725</v>
      </c>
      <c r="W504" s="238" t="s">
        <v>18725</v>
      </c>
      <c r="X504" s="238" t="s">
        <v>18725</v>
      </c>
      <c r="Y504" s="239" t="str">
        <f>IF('CCUS Projects Database'!$R504&lt;&gt;"",HYPERLINK('CCUS Projects Database'!$R504,"Link 1"),"")</f>
        <v>Link 1</v>
      </c>
      <c r="Z504" s="239" t="str">
        <f>IF('CCUS Projects Database'!$S504&lt;&gt;"",HYPERLINK('CCUS Projects Database'!$S504,"Link 2"),"")</f>
        <v>Link 2</v>
      </c>
      <c r="AA504" s="239" t="str">
        <f>IF('CCUS Projects Database'!$T504&lt;&gt;"",HYPERLINK('CCUS Projects Database'!$T504,"Link 3"),"")</f>
        <v>Link 3</v>
      </c>
      <c r="AB504" s="239" t="str">
        <f>IF('CCUS Projects Database'!$U504&lt;&gt;"",HYPERLINK('CCUS Projects Database'!$U504,"Link 4"),"")</f>
        <v/>
      </c>
      <c r="AC504" s="239" t="str">
        <f>IF('CCUS Projects Database'!$V504&lt;&gt;"",HYPERLINK('CCUS Projects Database'!$V504,"Link 5"),"")</f>
        <v/>
      </c>
      <c r="AD504" s="239" t="str">
        <f>IF('CCUS Projects Database'!$W504&lt;&gt;"",HYPERLINK('CCUS Projects Database'!$W504,"Link 6"),"")</f>
        <v/>
      </c>
      <c r="AE504" s="239" t="str">
        <f>IF('CCUS Projects Database'!$X504&lt;&gt;"",HYPERLINK('CCUS Projects Database'!$X504,"Link 7"),"")</f>
        <v/>
      </c>
    </row>
    <row r="505" ht="14.25" customHeight="1">
      <c r="A505" s="233" t="s">
        <v>20694</v>
      </c>
      <c r="B505" s="234">
        <v>667.0</v>
      </c>
      <c r="C505" s="234" t="s">
        <v>18290</v>
      </c>
      <c r="D505" s="235" t="s">
        <v>20695</v>
      </c>
      <c r="E505" s="234" t="s">
        <v>18623</v>
      </c>
      <c r="F505" s="234">
        <v>2023.0</v>
      </c>
      <c r="G505" s="234" t="s">
        <v>18725</v>
      </c>
      <c r="H505" s="234">
        <v>2030.0</v>
      </c>
      <c r="I505" s="234" t="s">
        <v>18725</v>
      </c>
      <c r="J505" s="234" t="s">
        <v>18636</v>
      </c>
      <c r="K505" s="236" t="s">
        <v>18725</v>
      </c>
      <c r="L505" s="236">
        <v>1.5</v>
      </c>
      <c r="M505" s="236">
        <v>1.5</v>
      </c>
      <c r="N505" s="234" t="s">
        <v>18623</v>
      </c>
      <c r="O505" s="237" t="s">
        <v>18675</v>
      </c>
      <c r="P505" s="238" t="s">
        <v>20694</v>
      </c>
      <c r="Q505" s="234" t="s">
        <v>18856</v>
      </c>
      <c r="R505" s="238" t="s">
        <v>20696</v>
      </c>
      <c r="S505" s="238" t="s">
        <v>19219</v>
      </c>
      <c r="T505" s="238" t="s">
        <v>18725</v>
      </c>
      <c r="U505" s="238" t="s">
        <v>18725</v>
      </c>
      <c r="V505" s="238" t="s">
        <v>18725</v>
      </c>
      <c r="W505" s="238" t="s">
        <v>18725</v>
      </c>
      <c r="X505" s="238" t="s">
        <v>18725</v>
      </c>
      <c r="Y505" s="239" t="str">
        <f>IF('CCUS Projects Database'!$R505&lt;&gt;"",HYPERLINK('CCUS Projects Database'!$R505,"Link 1"),"")</f>
        <v>Link 1</v>
      </c>
      <c r="Z505" s="239" t="str">
        <f>IF('CCUS Projects Database'!$S505&lt;&gt;"",HYPERLINK('CCUS Projects Database'!$S505,"Link 2"),"")</f>
        <v>Link 2</v>
      </c>
      <c r="AA505" s="239" t="str">
        <f>IF('CCUS Projects Database'!$T505&lt;&gt;"",HYPERLINK('CCUS Projects Database'!$T505,"Link 3"),"")</f>
        <v/>
      </c>
      <c r="AB505" s="239" t="str">
        <f>IF('CCUS Projects Database'!$U505&lt;&gt;"",HYPERLINK('CCUS Projects Database'!$U505,"Link 4"),"")</f>
        <v/>
      </c>
      <c r="AC505" s="239" t="str">
        <f>IF('CCUS Projects Database'!$V505&lt;&gt;"",HYPERLINK('CCUS Projects Database'!$V505,"Link 5"),"")</f>
        <v/>
      </c>
      <c r="AD505" s="239" t="str">
        <f>IF('CCUS Projects Database'!$W505&lt;&gt;"",HYPERLINK('CCUS Projects Database'!$W505,"Link 6"),"")</f>
        <v/>
      </c>
      <c r="AE505" s="239" t="str">
        <f>IF('CCUS Projects Database'!$X505&lt;&gt;"",HYPERLINK('CCUS Projects Database'!$X505,"Link 7"),"")</f>
        <v/>
      </c>
    </row>
    <row r="506" ht="14.25" customHeight="1">
      <c r="A506" s="233" t="s">
        <v>20697</v>
      </c>
      <c r="B506" s="234">
        <v>669.0</v>
      </c>
      <c r="C506" s="234" t="s">
        <v>234</v>
      </c>
      <c r="D506" s="235" t="s">
        <v>20698</v>
      </c>
      <c r="E506" s="234" t="s">
        <v>18616</v>
      </c>
      <c r="F506" s="234" t="s">
        <v>18725</v>
      </c>
      <c r="G506" s="234" t="s">
        <v>18725</v>
      </c>
      <c r="H506" s="234">
        <v>1992.0</v>
      </c>
      <c r="I506" s="234" t="s">
        <v>18725</v>
      </c>
      <c r="J506" s="234" t="s">
        <v>12385</v>
      </c>
      <c r="K506" s="236" t="s">
        <v>18725</v>
      </c>
      <c r="L506" s="236">
        <v>0.16</v>
      </c>
      <c r="M506" s="236">
        <v>0.16</v>
      </c>
      <c r="N506" s="234" t="s">
        <v>18656</v>
      </c>
      <c r="O506" s="237" t="s">
        <v>18677</v>
      </c>
      <c r="P506" s="238" t="s">
        <v>18725</v>
      </c>
      <c r="Q506" s="234" t="s">
        <v>18726</v>
      </c>
      <c r="R506" s="238" t="s">
        <v>20699</v>
      </c>
      <c r="S506" s="238" t="s">
        <v>18725</v>
      </c>
      <c r="T506" s="238" t="s">
        <v>18725</v>
      </c>
      <c r="U506" s="238" t="s">
        <v>18725</v>
      </c>
      <c r="V506" s="238" t="s">
        <v>18725</v>
      </c>
      <c r="W506" s="238" t="s">
        <v>18725</v>
      </c>
      <c r="X506" s="238" t="s">
        <v>18725</v>
      </c>
      <c r="Y506" s="239" t="str">
        <f>IF('CCUS Projects Database'!$R506&lt;&gt;"",HYPERLINK('CCUS Projects Database'!$R506,"Link 1"),"")</f>
        <v>Link 1</v>
      </c>
      <c r="Z506" s="239" t="str">
        <f>IF('CCUS Projects Database'!$S506&lt;&gt;"",HYPERLINK('CCUS Projects Database'!$S506,"Link 2"),"")</f>
        <v/>
      </c>
      <c r="AA506" s="239" t="str">
        <f>IF('CCUS Projects Database'!$T506&lt;&gt;"",HYPERLINK('CCUS Projects Database'!$T506,"Link 3"),"")</f>
        <v/>
      </c>
      <c r="AB506" s="239" t="str">
        <f>IF('CCUS Projects Database'!$U506&lt;&gt;"",HYPERLINK('CCUS Projects Database'!$U506,"Link 4"),"")</f>
        <v/>
      </c>
      <c r="AC506" s="239" t="str">
        <f>IF('CCUS Projects Database'!$V506&lt;&gt;"",HYPERLINK('CCUS Projects Database'!$V506,"Link 5"),"")</f>
        <v/>
      </c>
      <c r="AD506" s="239" t="str">
        <f>IF('CCUS Projects Database'!$W506&lt;&gt;"",HYPERLINK('CCUS Projects Database'!$W506,"Link 6"),"")</f>
        <v/>
      </c>
      <c r="AE506" s="239" t="str">
        <f>IF('CCUS Projects Database'!$X506&lt;&gt;"",HYPERLINK('CCUS Projects Database'!$X506,"Link 7"),"")</f>
        <v/>
      </c>
    </row>
    <row r="507" ht="14.25" customHeight="1">
      <c r="A507" s="233" t="s">
        <v>20700</v>
      </c>
      <c r="B507" s="234">
        <v>670.0</v>
      </c>
      <c r="C507" s="234" t="s">
        <v>86</v>
      </c>
      <c r="D507" s="235" t="s">
        <v>20701</v>
      </c>
      <c r="E507" s="234" t="s">
        <v>3</v>
      </c>
      <c r="F507" s="234">
        <v>2022.0</v>
      </c>
      <c r="G507" s="234" t="s">
        <v>18725</v>
      </c>
      <c r="H507" s="234">
        <v>2026.0</v>
      </c>
      <c r="I507" s="234" t="s">
        <v>18725</v>
      </c>
      <c r="J507" s="234" t="s">
        <v>18636</v>
      </c>
      <c r="K507" s="236">
        <v>1.0</v>
      </c>
      <c r="L507" s="236">
        <v>2.6</v>
      </c>
      <c r="M507" s="236">
        <v>2.6</v>
      </c>
      <c r="N507" s="234" t="s">
        <v>3</v>
      </c>
      <c r="O507" s="237" t="s">
        <v>18675</v>
      </c>
      <c r="P507" s="238" t="s">
        <v>20702</v>
      </c>
      <c r="Q507" s="234" t="s">
        <v>18726</v>
      </c>
      <c r="R507" s="238" t="s">
        <v>20703</v>
      </c>
      <c r="S507" s="238" t="s">
        <v>20704</v>
      </c>
      <c r="T507" s="238" t="s">
        <v>20705</v>
      </c>
      <c r="U507" s="238" t="s">
        <v>20706</v>
      </c>
      <c r="V507" s="238" t="s">
        <v>20707</v>
      </c>
      <c r="W507" s="238" t="s">
        <v>20708</v>
      </c>
      <c r="X507" s="238" t="s">
        <v>18725</v>
      </c>
      <c r="Y507" s="239" t="str">
        <f>IF('CCUS Projects Database'!$R507&lt;&gt;"",HYPERLINK('CCUS Projects Database'!$R507,"Link 1"),"")</f>
        <v>Link 1</v>
      </c>
      <c r="Z507" s="239" t="str">
        <f>IF('CCUS Projects Database'!$S507&lt;&gt;"",HYPERLINK('CCUS Projects Database'!$S507,"Link 2"),"")</f>
        <v>Link 2</v>
      </c>
      <c r="AA507" s="239" t="str">
        <f>IF('CCUS Projects Database'!$T507&lt;&gt;"",HYPERLINK('CCUS Projects Database'!$T507,"Link 3"),"")</f>
        <v>Link 3</v>
      </c>
      <c r="AB507" s="239" t="str">
        <f>IF('CCUS Projects Database'!$U507&lt;&gt;"",HYPERLINK('CCUS Projects Database'!$U507,"Link 4"),"")</f>
        <v>Link 4</v>
      </c>
      <c r="AC507" s="239" t="str">
        <f>IF('CCUS Projects Database'!$V507&lt;&gt;"",HYPERLINK('CCUS Projects Database'!$V507,"Link 5"),"")</f>
        <v>Link 5</v>
      </c>
      <c r="AD507" s="239" t="str">
        <f>IF('CCUS Projects Database'!$W507&lt;&gt;"",HYPERLINK('CCUS Projects Database'!$W507,"Link 6"),"")</f>
        <v>Link 6</v>
      </c>
      <c r="AE507" s="239" t="str">
        <f>IF('CCUS Projects Database'!$X507&lt;&gt;"",HYPERLINK('CCUS Projects Database'!$X507,"Link 7"),"")</f>
        <v/>
      </c>
    </row>
    <row r="508" ht="14.25" customHeight="1">
      <c r="A508" s="233" t="s">
        <v>20709</v>
      </c>
      <c r="B508" s="234">
        <v>671.0</v>
      </c>
      <c r="C508" s="234" t="s">
        <v>86</v>
      </c>
      <c r="D508" s="235" t="s">
        <v>20701</v>
      </c>
      <c r="E508" s="234" t="s">
        <v>3</v>
      </c>
      <c r="F508" s="234">
        <v>2022.0</v>
      </c>
      <c r="G508" s="234" t="s">
        <v>18725</v>
      </c>
      <c r="H508" s="234">
        <v>2030.0</v>
      </c>
      <c r="I508" s="234" t="s">
        <v>18725</v>
      </c>
      <c r="J508" s="234" t="s">
        <v>18636</v>
      </c>
      <c r="K508" s="236">
        <v>2.0</v>
      </c>
      <c r="L508" s="236">
        <v>16.4</v>
      </c>
      <c r="M508" s="236">
        <v>16.4</v>
      </c>
      <c r="N508" s="234" t="s">
        <v>3</v>
      </c>
      <c r="O508" s="237" t="s">
        <v>18675</v>
      </c>
      <c r="P508" s="238" t="s">
        <v>20702</v>
      </c>
      <c r="Q508" s="234" t="s">
        <v>18726</v>
      </c>
      <c r="R508" s="238" t="s">
        <v>20703</v>
      </c>
      <c r="S508" s="238" t="s">
        <v>20704</v>
      </c>
      <c r="T508" s="238" t="s">
        <v>20705</v>
      </c>
      <c r="U508" s="238" t="s">
        <v>20706</v>
      </c>
      <c r="V508" s="238" t="s">
        <v>18725</v>
      </c>
      <c r="W508" s="238" t="s">
        <v>18725</v>
      </c>
      <c r="X508" s="238" t="s">
        <v>18725</v>
      </c>
      <c r="Y508" s="239" t="str">
        <f>IF('CCUS Projects Database'!$R508&lt;&gt;"",HYPERLINK('CCUS Projects Database'!$R508,"Link 1"),"")</f>
        <v>Link 1</v>
      </c>
      <c r="Z508" s="239" t="str">
        <f>IF('CCUS Projects Database'!$S508&lt;&gt;"",HYPERLINK('CCUS Projects Database'!$S508,"Link 2"),"")</f>
        <v>Link 2</v>
      </c>
      <c r="AA508" s="239" t="str">
        <f>IF('CCUS Projects Database'!$T508&lt;&gt;"",HYPERLINK('CCUS Projects Database'!$T508,"Link 3"),"")</f>
        <v>Link 3</v>
      </c>
      <c r="AB508" s="239" t="str">
        <f>IF('CCUS Projects Database'!$U508&lt;&gt;"",HYPERLINK('CCUS Projects Database'!$U508,"Link 4"),"")</f>
        <v>Link 4</v>
      </c>
      <c r="AC508" s="239" t="str">
        <f>IF('CCUS Projects Database'!$V508&lt;&gt;"",HYPERLINK('CCUS Projects Database'!$V508,"Link 5"),"")</f>
        <v/>
      </c>
      <c r="AD508" s="239" t="str">
        <f>IF('CCUS Projects Database'!$W508&lt;&gt;"",HYPERLINK('CCUS Projects Database'!$W508,"Link 6"),"")</f>
        <v/>
      </c>
      <c r="AE508" s="239" t="str">
        <f>IF('CCUS Projects Database'!$X508&lt;&gt;"",HYPERLINK('CCUS Projects Database'!$X508,"Link 7"),"")</f>
        <v/>
      </c>
    </row>
    <row r="509" ht="14.25" customHeight="1">
      <c r="A509" s="233" t="s">
        <v>20710</v>
      </c>
      <c r="B509" s="234">
        <v>672.0</v>
      </c>
      <c r="C509" s="234" t="s">
        <v>86</v>
      </c>
      <c r="D509" s="235" t="s">
        <v>20711</v>
      </c>
      <c r="E509" s="234" t="s">
        <v>18620</v>
      </c>
      <c r="F509" s="234">
        <v>2022.0</v>
      </c>
      <c r="G509" s="234" t="s">
        <v>18725</v>
      </c>
      <c r="H509" s="234">
        <v>2026.0</v>
      </c>
      <c r="I509" s="234" t="s">
        <v>18725</v>
      </c>
      <c r="J509" s="234" t="s">
        <v>18636</v>
      </c>
      <c r="K509" s="236" t="s">
        <v>18725</v>
      </c>
      <c r="L509" s="236">
        <v>4.0</v>
      </c>
      <c r="M509" s="236">
        <v>4.0</v>
      </c>
      <c r="N509" s="234" t="s">
        <v>18620</v>
      </c>
      <c r="O509" s="237" t="s">
        <v>18675</v>
      </c>
      <c r="P509" s="238" t="s">
        <v>20702</v>
      </c>
      <c r="Q509" s="234" t="s">
        <v>18726</v>
      </c>
      <c r="R509" s="238" t="s">
        <v>20703</v>
      </c>
      <c r="S509" s="238" t="s">
        <v>20704</v>
      </c>
      <c r="T509" s="238" t="s">
        <v>20712</v>
      </c>
      <c r="U509" s="238" t="s">
        <v>20706</v>
      </c>
      <c r="V509" s="238" t="s">
        <v>20713</v>
      </c>
      <c r="W509" s="238" t="s">
        <v>18725</v>
      </c>
      <c r="X509" s="238" t="s">
        <v>18725</v>
      </c>
      <c r="Y509" s="239" t="str">
        <f>IF('CCUS Projects Database'!$R509&lt;&gt;"",HYPERLINK('CCUS Projects Database'!$R509,"Link 1"),"")</f>
        <v>Link 1</v>
      </c>
      <c r="Z509" s="239" t="str">
        <f>IF('CCUS Projects Database'!$S509&lt;&gt;"",HYPERLINK('CCUS Projects Database'!$S509,"Link 2"),"")</f>
        <v>Link 2</v>
      </c>
      <c r="AA509" s="239" t="str">
        <f>IF('CCUS Projects Database'!$T509&lt;&gt;"",HYPERLINK('CCUS Projects Database'!$T509,"Link 3"),"")</f>
        <v>Link 3</v>
      </c>
      <c r="AB509" s="239" t="str">
        <f>IF('CCUS Projects Database'!$U509&lt;&gt;"",HYPERLINK('CCUS Projects Database'!$U509,"Link 4"),"")</f>
        <v>Link 4</v>
      </c>
      <c r="AC509" s="239" t="str">
        <f>IF('CCUS Projects Database'!$V509&lt;&gt;"",HYPERLINK('CCUS Projects Database'!$V509,"Link 5"),"")</f>
        <v>Link 5</v>
      </c>
      <c r="AD509" s="239" t="str">
        <f>IF('CCUS Projects Database'!$W509&lt;&gt;"",HYPERLINK('CCUS Projects Database'!$W509,"Link 6"),"")</f>
        <v/>
      </c>
      <c r="AE509" s="239" t="str">
        <f>IF('CCUS Projects Database'!$X509&lt;&gt;"",HYPERLINK('CCUS Projects Database'!$X509,"Link 7"),"")</f>
        <v/>
      </c>
    </row>
    <row r="510" ht="14.25" customHeight="1">
      <c r="A510" s="233" t="s">
        <v>20714</v>
      </c>
      <c r="B510" s="234">
        <v>673.0</v>
      </c>
      <c r="C510" s="234" t="s">
        <v>86</v>
      </c>
      <c r="D510" s="235" t="s">
        <v>20715</v>
      </c>
      <c r="E510" s="234" t="s">
        <v>18620</v>
      </c>
      <c r="F510" s="234">
        <v>2022.0</v>
      </c>
      <c r="G510" s="234" t="s">
        <v>18725</v>
      </c>
      <c r="H510" s="234">
        <v>2026.0</v>
      </c>
      <c r="I510" s="234" t="s">
        <v>18725</v>
      </c>
      <c r="J510" s="234" t="s">
        <v>18636</v>
      </c>
      <c r="K510" s="236">
        <v>1.0</v>
      </c>
      <c r="L510" s="236">
        <v>4.0</v>
      </c>
      <c r="M510" s="236">
        <v>4.0</v>
      </c>
      <c r="N510" s="234" t="s">
        <v>18620</v>
      </c>
      <c r="O510" s="237" t="s">
        <v>18675</v>
      </c>
      <c r="P510" s="238" t="s">
        <v>20702</v>
      </c>
      <c r="Q510" s="234" t="s">
        <v>18726</v>
      </c>
      <c r="R510" s="238" t="s">
        <v>20703</v>
      </c>
      <c r="S510" s="238" t="s">
        <v>20704</v>
      </c>
      <c r="T510" s="238" t="s">
        <v>20706</v>
      </c>
      <c r="U510" s="238" t="s">
        <v>18725</v>
      </c>
      <c r="V510" s="238" t="s">
        <v>18725</v>
      </c>
      <c r="W510" s="238" t="s">
        <v>18725</v>
      </c>
      <c r="X510" s="238" t="s">
        <v>18725</v>
      </c>
      <c r="Y510" s="239" t="str">
        <f>IF('CCUS Projects Database'!$R510&lt;&gt;"",HYPERLINK('CCUS Projects Database'!$R510,"Link 1"),"")</f>
        <v>Link 1</v>
      </c>
      <c r="Z510" s="239" t="str">
        <f>IF('CCUS Projects Database'!$S510&lt;&gt;"",HYPERLINK('CCUS Projects Database'!$S510,"Link 2"),"")</f>
        <v>Link 2</v>
      </c>
      <c r="AA510" s="239" t="str">
        <f>IF('CCUS Projects Database'!$T510&lt;&gt;"",HYPERLINK('CCUS Projects Database'!$T510,"Link 3"),"")</f>
        <v>Link 3</v>
      </c>
      <c r="AB510" s="239" t="str">
        <f>IF('CCUS Projects Database'!$U510&lt;&gt;"",HYPERLINK('CCUS Projects Database'!$U510,"Link 4"),"")</f>
        <v/>
      </c>
      <c r="AC510" s="239" t="str">
        <f>IF('CCUS Projects Database'!$V510&lt;&gt;"",HYPERLINK('CCUS Projects Database'!$V510,"Link 5"),"")</f>
        <v/>
      </c>
      <c r="AD510" s="239" t="str">
        <f>IF('CCUS Projects Database'!$W510&lt;&gt;"",HYPERLINK('CCUS Projects Database'!$W510,"Link 6"),"")</f>
        <v/>
      </c>
      <c r="AE510" s="239" t="str">
        <f>IF('CCUS Projects Database'!$X510&lt;&gt;"",HYPERLINK('CCUS Projects Database'!$X510,"Link 7"),"")</f>
        <v/>
      </c>
    </row>
    <row r="511" ht="14.25" customHeight="1">
      <c r="A511" s="233" t="s">
        <v>20716</v>
      </c>
      <c r="B511" s="234">
        <v>674.0</v>
      </c>
      <c r="C511" s="234" t="s">
        <v>86</v>
      </c>
      <c r="D511" s="235" t="s">
        <v>20715</v>
      </c>
      <c r="E511" s="234" t="s">
        <v>18620</v>
      </c>
      <c r="F511" s="234">
        <v>2022.0</v>
      </c>
      <c r="G511" s="234" t="s">
        <v>18725</v>
      </c>
      <c r="H511" s="234">
        <v>2030.0</v>
      </c>
      <c r="I511" s="234" t="s">
        <v>18725</v>
      </c>
      <c r="J511" s="234" t="s">
        <v>18636</v>
      </c>
      <c r="K511" s="236">
        <v>2.0</v>
      </c>
      <c r="L511" s="236">
        <v>8.0</v>
      </c>
      <c r="M511" s="236">
        <v>8.0</v>
      </c>
      <c r="N511" s="234" t="s">
        <v>18620</v>
      </c>
      <c r="O511" s="237" t="s">
        <v>18675</v>
      </c>
      <c r="P511" s="238" t="s">
        <v>20702</v>
      </c>
      <c r="Q511" s="234" t="s">
        <v>18726</v>
      </c>
      <c r="R511" s="238" t="s">
        <v>20703</v>
      </c>
      <c r="S511" s="238" t="s">
        <v>20704</v>
      </c>
      <c r="T511" s="238" t="s">
        <v>20706</v>
      </c>
      <c r="U511" s="238" t="s">
        <v>18725</v>
      </c>
      <c r="V511" s="238" t="s">
        <v>18725</v>
      </c>
      <c r="W511" s="238" t="s">
        <v>18725</v>
      </c>
      <c r="X511" s="238" t="s">
        <v>18725</v>
      </c>
      <c r="Y511" s="239" t="str">
        <f>IF('CCUS Projects Database'!$R511&lt;&gt;"",HYPERLINK('CCUS Projects Database'!$R511,"Link 1"),"")</f>
        <v>Link 1</v>
      </c>
      <c r="Z511" s="239" t="str">
        <f>IF('CCUS Projects Database'!$S511&lt;&gt;"",HYPERLINK('CCUS Projects Database'!$S511,"Link 2"),"")</f>
        <v>Link 2</v>
      </c>
      <c r="AA511" s="239" t="str">
        <f>IF('CCUS Projects Database'!$T511&lt;&gt;"",HYPERLINK('CCUS Projects Database'!$T511,"Link 3"),"")</f>
        <v>Link 3</v>
      </c>
      <c r="AB511" s="239" t="str">
        <f>IF('CCUS Projects Database'!$U511&lt;&gt;"",HYPERLINK('CCUS Projects Database'!$U511,"Link 4"),"")</f>
        <v/>
      </c>
      <c r="AC511" s="239" t="str">
        <f>IF('CCUS Projects Database'!$V511&lt;&gt;"",HYPERLINK('CCUS Projects Database'!$V511,"Link 5"),"")</f>
        <v/>
      </c>
      <c r="AD511" s="239" t="str">
        <f>IF('CCUS Projects Database'!$W511&lt;&gt;"",HYPERLINK('CCUS Projects Database'!$W511,"Link 6"),"")</f>
        <v/>
      </c>
      <c r="AE511" s="239" t="str">
        <f>IF('CCUS Projects Database'!$X511&lt;&gt;"",HYPERLINK('CCUS Projects Database'!$X511,"Link 7"),"")</f>
        <v/>
      </c>
    </row>
    <row r="512" ht="14.25" customHeight="1">
      <c r="A512" s="233" t="s">
        <v>20717</v>
      </c>
      <c r="B512" s="234">
        <v>675.0</v>
      </c>
      <c r="C512" s="234" t="s">
        <v>57</v>
      </c>
      <c r="D512" s="235" t="s">
        <v>20718</v>
      </c>
      <c r="E512" s="234" t="s">
        <v>18620</v>
      </c>
      <c r="F512" s="234">
        <v>2022.0</v>
      </c>
      <c r="G512" s="234">
        <v>2025.0</v>
      </c>
      <c r="H512" s="234">
        <v>2028.0</v>
      </c>
      <c r="I512" s="234" t="s">
        <v>18725</v>
      </c>
      <c r="J512" s="234" t="s">
        <v>18636</v>
      </c>
      <c r="K512" s="236" t="s">
        <v>18725</v>
      </c>
      <c r="L512" s="236" t="s">
        <v>20719</v>
      </c>
      <c r="M512" s="236">
        <v>25.8</v>
      </c>
      <c r="N512" s="234" t="s">
        <v>18620</v>
      </c>
      <c r="O512" s="237" t="s">
        <v>18675</v>
      </c>
      <c r="P512" s="238" t="s">
        <v>20720</v>
      </c>
      <c r="Q512" s="234" t="s">
        <v>18726</v>
      </c>
      <c r="R512" s="238" t="s">
        <v>20721</v>
      </c>
      <c r="S512" s="238" t="s">
        <v>18792</v>
      </c>
      <c r="T512" s="238" t="s">
        <v>18725</v>
      </c>
      <c r="U512" s="238" t="s">
        <v>18725</v>
      </c>
      <c r="V512" s="238" t="s">
        <v>18725</v>
      </c>
      <c r="W512" s="238" t="s">
        <v>18725</v>
      </c>
      <c r="X512" s="238" t="s">
        <v>18725</v>
      </c>
      <c r="Y512" s="239" t="str">
        <f>IF('CCUS Projects Database'!$R512&lt;&gt;"",HYPERLINK('CCUS Projects Database'!$R512,"Link 1"),"")</f>
        <v>Link 1</v>
      </c>
      <c r="Z512" s="239" t="str">
        <f>IF('CCUS Projects Database'!$S512&lt;&gt;"",HYPERLINK('CCUS Projects Database'!$S512,"Link 2"),"")</f>
        <v>Link 2</v>
      </c>
      <c r="AA512" s="239" t="str">
        <f>IF('CCUS Projects Database'!$T512&lt;&gt;"",HYPERLINK('CCUS Projects Database'!$T512,"Link 3"),"")</f>
        <v/>
      </c>
      <c r="AB512" s="239" t="str">
        <f>IF('CCUS Projects Database'!$U512&lt;&gt;"",HYPERLINK('CCUS Projects Database'!$U512,"Link 4"),"")</f>
        <v/>
      </c>
      <c r="AC512" s="239" t="str">
        <f>IF('CCUS Projects Database'!$V512&lt;&gt;"",HYPERLINK('CCUS Projects Database'!$V512,"Link 5"),"")</f>
        <v/>
      </c>
      <c r="AD512" s="239" t="str">
        <f>IF('CCUS Projects Database'!$W512&lt;&gt;"",HYPERLINK('CCUS Projects Database'!$W512,"Link 6"),"")</f>
        <v/>
      </c>
      <c r="AE512" s="239" t="str">
        <f>IF('CCUS Projects Database'!$X512&lt;&gt;"",HYPERLINK('CCUS Projects Database'!$X512,"Link 7"),"")</f>
        <v/>
      </c>
    </row>
    <row r="513" ht="14.25" customHeight="1">
      <c r="A513" s="233" t="s">
        <v>20722</v>
      </c>
      <c r="B513" s="234">
        <v>676.0</v>
      </c>
      <c r="C513" s="234" t="s">
        <v>98</v>
      </c>
      <c r="D513" s="235" t="s">
        <v>20225</v>
      </c>
      <c r="E513" s="234" t="s">
        <v>18623</v>
      </c>
      <c r="F513" s="234">
        <v>2022.0</v>
      </c>
      <c r="G513" s="234" t="s">
        <v>18725</v>
      </c>
      <c r="H513" s="234">
        <v>2035.0</v>
      </c>
      <c r="I513" s="234" t="s">
        <v>18725</v>
      </c>
      <c r="J513" s="234" t="s">
        <v>18636</v>
      </c>
      <c r="K513" s="236">
        <v>2.0</v>
      </c>
      <c r="L513" s="236">
        <v>24.0</v>
      </c>
      <c r="M513" s="236">
        <v>24.0</v>
      </c>
      <c r="N513" s="234" t="s">
        <v>18623</v>
      </c>
      <c r="O513" s="237" t="s">
        <v>18675</v>
      </c>
      <c r="P513" s="238" t="s">
        <v>20723</v>
      </c>
      <c r="Q513" s="234" t="s">
        <v>18726</v>
      </c>
      <c r="R513" s="238" t="s">
        <v>20724</v>
      </c>
      <c r="S513" s="238" t="s">
        <v>18725</v>
      </c>
      <c r="T513" s="238" t="s">
        <v>18725</v>
      </c>
      <c r="U513" s="238" t="s">
        <v>18725</v>
      </c>
      <c r="V513" s="238" t="s">
        <v>18725</v>
      </c>
      <c r="W513" s="238" t="s">
        <v>18725</v>
      </c>
      <c r="X513" s="238" t="s">
        <v>18725</v>
      </c>
      <c r="Y513" s="239" t="str">
        <f>IF('CCUS Projects Database'!$R513&lt;&gt;"",HYPERLINK('CCUS Projects Database'!$R513,"Link 1"),"")</f>
        <v>Link 1</v>
      </c>
      <c r="Z513" s="239" t="str">
        <f>IF('CCUS Projects Database'!$S513&lt;&gt;"",HYPERLINK('CCUS Projects Database'!$S513,"Link 2"),"")</f>
        <v/>
      </c>
      <c r="AA513" s="239" t="str">
        <f>IF('CCUS Projects Database'!$T513&lt;&gt;"",HYPERLINK('CCUS Projects Database'!$T513,"Link 3"),"")</f>
        <v/>
      </c>
      <c r="AB513" s="239" t="str">
        <f>IF('CCUS Projects Database'!$U513&lt;&gt;"",HYPERLINK('CCUS Projects Database'!$U513,"Link 4"),"")</f>
        <v/>
      </c>
      <c r="AC513" s="239" t="str">
        <f>IF('CCUS Projects Database'!$V513&lt;&gt;"",HYPERLINK('CCUS Projects Database'!$V513,"Link 5"),"")</f>
        <v/>
      </c>
      <c r="AD513" s="239" t="str">
        <f>IF('CCUS Projects Database'!$W513&lt;&gt;"",HYPERLINK('CCUS Projects Database'!$W513,"Link 6"),"")</f>
        <v/>
      </c>
      <c r="AE513" s="239" t="str">
        <f>IF('CCUS Projects Database'!$X513&lt;&gt;"",HYPERLINK('CCUS Projects Database'!$X513,"Link 7"),"")</f>
        <v/>
      </c>
    </row>
    <row r="514" ht="14.25" customHeight="1">
      <c r="A514" s="233" t="s">
        <v>20725</v>
      </c>
      <c r="B514" s="234">
        <v>677.0</v>
      </c>
      <c r="C514" s="234" t="s">
        <v>20726</v>
      </c>
      <c r="D514" s="235" t="s">
        <v>20727</v>
      </c>
      <c r="E514" s="234" t="s">
        <v>18620</v>
      </c>
      <c r="F514" s="234">
        <v>2023.0</v>
      </c>
      <c r="G514" s="234" t="s">
        <v>18725</v>
      </c>
      <c r="H514" s="234">
        <v>2030.0</v>
      </c>
      <c r="I514" s="234" t="s">
        <v>18725</v>
      </c>
      <c r="J514" s="234" t="s">
        <v>18636</v>
      </c>
      <c r="K514" s="236" t="s">
        <v>18725</v>
      </c>
      <c r="L514" s="236">
        <v>30.0</v>
      </c>
      <c r="M514" s="236">
        <v>30.0</v>
      </c>
      <c r="N514" s="234" t="s">
        <v>18620</v>
      </c>
      <c r="O514" s="237" t="s">
        <v>18675</v>
      </c>
      <c r="P514" s="238" t="s">
        <v>20728</v>
      </c>
      <c r="Q514" s="234" t="s">
        <v>18726</v>
      </c>
      <c r="R514" s="238" t="s">
        <v>20729</v>
      </c>
      <c r="S514" s="238" t="s">
        <v>20730</v>
      </c>
      <c r="T514" s="238" t="s">
        <v>18725</v>
      </c>
      <c r="U514" s="238" t="s">
        <v>18725</v>
      </c>
      <c r="V514" s="238" t="s">
        <v>18725</v>
      </c>
      <c r="W514" s="238" t="s">
        <v>18725</v>
      </c>
      <c r="X514" s="238" t="s">
        <v>18725</v>
      </c>
      <c r="Y514" s="239" t="str">
        <f>IF('CCUS Projects Database'!$R514&lt;&gt;"",HYPERLINK('CCUS Projects Database'!$R514,"Link 1"),"")</f>
        <v>Link 1</v>
      </c>
      <c r="Z514" s="239" t="str">
        <f>IF('CCUS Projects Database'!$S514&lt;&gt;"",HYPERLINK('CCUS Projects Database'!$S514,"Link 2"),"")</f>
        <v>Link 2</v>
      </c>
      <c r="AA514" s="239" t="str">
        <f>IF('CCUS Projects Database'!$T514&lt;&gt;"",HYPERLINK('CCUS Projects Database'!$T514,"Link 3"),"")</f>
        <v/>
      </c>
      <c r="AB514" s="239" t="str">
        <f>IF('CCUS Projects Database'!$U514&lt;&gt;"",HYPERLINK('CCUS Projects Database'!$U514,"Link 4"),"")</f>
        <v/>
      </c>
      <c r="AC514" s="239" t="str">
        <f>IF('CCUS Projects Database'!$V514&lt;&gt;"",HYPERLINK('CCUS Projects Database'!$V514,"Link 5"),"")</f>
        <v/>
      </c>
      <c r="AD514" s="239" t="str">
        <f>IF('CCUS Projects Database'!$W514&lt;&gt;"",HYPERLINK('CCUS Projects Database'!$W514,"Link 6"),"")</f>
        <v/>
      </c>
      <c r="AE514" s="239" t="str">
        <f>IF('CCUS Projects Database'!$X514&lt;&gt;"",HYPERLINK('CCUS Projects Database'!$X514,"Link 7"),"")</f>
        <v/>
      </c>
    </row>
    <row r="515" ht="14.25" customHeight="1">
      <c r="A515" s="233" t="s">
        <v>20731</v>
      </c>
      <c r="B515" s="234">
        <v>678.0</v>
      </c>
      <c r="C515" s="234" t="s">
        <v>20732</v>
      </c>
      <c r="D515" s="235" t="s">
        <v>20733</v>
      </c>
      <c r="E515" s="234" t="s">
        <v>18620</v>
      </c>
      <c r="F515" s="234">
        <v>2022.0</v>
      </c>
      <c r="G515" s="234" t="s">
        <v>18725</v>
      </c>
      <c r="H515" s="234">
        <v>2029.0</v>
      </c>
      <c r="I515" s="234" t="s">
        <v>18725</v>
      </c>
      <c r="J515" s="234" t="s">
        <v>18636</v>
      </c>
      <c r="K515" s="236" t="s">
        <v>18725</v>
      </c>
      <c r="L515" s="236">
        <v>10.0</v>
      </c>
      <c r="M515" s="236">
        <v>10.0</v>
      </c>
      <c r="N515" s="234" t="s">
        <v>18620</v>
      </c>
      <c r="O515" s="237" t="s">
        <v>18675</v>
      </c>
      <c r="P515" s="238" t="s">
        <v>20215</v>
      </c>
      <c r="Q515" s="234" t="s">
        <v>18726</v>
      </c>
      <c r="R515" s="238" t="s">
        <v>20703</v>
      </c>
      <c r="S515" s="238" t="s">
        <v>18725</v>
      </c>
      <c r="T515" s="238" t="s">
        <v>18725</v>
      </c>
      <c r="U515" s="238" t="s">
        <v>18725</v>
      </c>
      <c r="V515" s="238" t="s">
        <v>18725</v>
      </c>
      <c r="W515" s="238" t="s">
        <v>18725</v>
      </c>
      <c r="X515" s="238" t="s">
        <v>18725</v>
      </c>
      <c r="Y515" s="239" t="str">
        <f>IF('CCUS Projects Database'!$R515&lt;&gt;"",HYPERLINK('CCUS Projects Database'!$R515,"Link 1"),"")</f>
        <v>Link 1</v>
      </c>
      <c r="Z515" s="239" t="str">
        <f>IF('CCUS Projects Database'!$S515&lt;&gt;"",HYPERLINK('CCUS Projects Database'!$S515,"Link 2"),"")</f>
        <v/>
      </c>
      <c r="AA515" s="239" t="str">
        <f>IF('CCUS Projects Database'!$T515&lt;&gt;"",HYPERLINK('CCUS Projects Database'!$T515,"Link 3"),"")</f>
        <v/>
      </c>
      <c r="AB515" s="239" t="str">
        <f>IF('CCUS Projects Database'!$U515&lt;&gt;"",HYPERLINK('CCUS Projects Database'!$U515,"Link 4"),"")</f>
        <v/>
      </c>
      <c r="AC515" s="239" t="str">
        <f>IF('CCUS Projects Database'!$V515&lt;&gt;"",HYPERLINK('CCUS Projects Database'!$V515,"Link 5"),"")</f>
        <v/>
      </c>
      <c r="AD515" s="239" t="str">
        <f>IF('CCUS Projects Database'!$W515&lt;&gt;"",HYPERLINK('CCUS Projects Database'!$W515,"Link 6"),"")</f>
        <v/>
      </c>
      <c r="AE515" s="239" t="str">
        <f>IF('CCUS Projects Database'!$X515&lt;&gt;"",HYPERLINK('CCUS Projects Database'!$X515,"Link 7"),"")</f>
        <v/>
      </c>
    </row>
    <row r="516" ht="14.25" customHeight="1">
      <c r="A516" s="233" t="s">
        <v>20734</v>
      </c>
      <c r="B516" s="234">
        <v>679.0</v>
      </c>
      <c r="C516" s="234" t="s">
        <v>164</v>
      </c>
      <c r="D516" s="235" t="s">
        <v>20735</v>
      </c>
      <c r="E516" s="234" t="s">
        <v>18623</v>
      </c>
      <c r="F516" s="234">
        <v>2023.0</v>
      </c>
      <c r="G516" s="234">
        <v>2037.0</v>
      </c>
      <c r="H516" s="234">
        <v>2040.0</v>
      </c>
      <c r="I516" s="234" t="s">
        <v>18725</v>
      </c>
      <c r="J516" s="234" t="s">
        <v>18636</v>
      </c>
      <c r="K516" s="236">
        <v>1.0</v>
      </c>
      <c r="L516" s="236">
        <v>3.0</v>
      </c>
      <c r="M516" s="236">
        <v>3.0</v>
      </c>
      <c r="N516" s="234" t="s">
        <v>18623</v>
      </c>
      <c r="O516" s="237" t="s">
        <v>18675</v>
      </c>
      <c r="P516" s="238" t="s">
        <v>20736</v>
      </c>
      <c r="Q516" s="234" t="s">
        <v>18726</v>
      </c>
      <c r="R516" s="238" t="s">
        <v>20703</v>
      </c>
      <c r="S516" s="238" t="s">
        <v>20737</v>
      </c>
      <c r="T516" s="238" t="s">
        <v>18725</v>
      </c>
      <c r="U516" s="238" t="s">
        <v>18725</v>
      </c>
      <c r="V516" s="238" t="s">
        <v>18725</v>
      </c>
      <c r="W516" s="238" t="s">
        <v>18725</v>
      </c>
      <c r="X516" s="238" t="s">
        <v>18725</v>
      </c>
      <c r="Y516" s="239" t="str">
        <f>IF('CCUS Projects Database'!$R516&lt;&gt;"",HYPERLINK('CCUS Projects Database'!$R516,"Link 1"),"")</f>
        <v>Link 1</v>
      </c>
      <c r="Z516" s="239" t="str">
        <f>IF('CCUS Projects Database'!$S516&lt;&gt;"",HYPERLINK('CCUS Projects Database'!$S516,"Link 2"),"")</f>
        <v>Link 2</v>
      </c>
      <c r="AA516" s="239" t="str">
        <f>IF('CCUS Projects Database'!$T516&lt;&gt;"",HYPERLINK('CCUS Projects Database'!$T516,"Link 3"),"")</f>
        <v/>
      </c>
      <c r="AB516" s="239" t="str">
        <f>IF('CCUS Projects Database'!$U516&lt;&gt;"",HYPERLINK('CCUS Projects Database'!$U516,"Link 4"),"")</f>
        <v/>
      </c>
      <c r="AC516" s="239" t="str">
        <f>IF('CCUS Projects Database'!$V516&lt;&gt;"",HYPERLINK('CCUS Projects Database'!$V516,"Link 5"),"")</f>
        <v/>
      </c>
      <c r="AD516" s="239" t="str">
        <f>IF('CCUS Projects Database'!$W516&lt;&gt;"",HYPERLINK('CCUS Projects Database'!$W516,"Link 6"),"")</f>
        <v/>
      </c>
      <c r="AE516" s="239" t="str">
        <f>IF('CCUS Projects Database'!$X516&lt;&gt;"",HYPERLINK('CCUS Projects Database'!$X516,"Link 7"),"")</f>
        <v/>
      </c>
    </row>
    <row r="517" ht="14.25" customHeight="1">
      <c r="A517" s="233" t="s">
        <v>20738</v>
      </c>
      <c r="B517" s="234">
        <v>680.0</v>
      </c>
      <c r="C517" s="234" t="s">
        <v>164</v>
      </c>
      <c r="D517" s="235" t="s">
        <v>20347</v>
      </c>
      <c r="E517" s="234" t="s">
        <v>18618</v>
      </c>
      <c r="F517" s="234">
        <v>2022.0</v>
      </c>
      <c r="G517" s="234" t="s">
        <v>18725</v>
      </c>
      <c r="H517" s="234">
        <v>2030.0</v>
      </c>
      <c r="I517" s="234" t="s">
        <v>18725</v>
      </c>
      <c r="J517" s="234" t="s">
        <v>18636</v>
      </c>
      <c r="K517" s="236" t="s">
        <v>18725</v>
      </c>
      <c r="L517" s="236" t="s">
        <v>20739</v>
      </c>
      <c r="M517" s="236">
        <v>7.0</v>
      </c>
      <c r="N517" s="234" t="s">
        <v>18654</v>
      </c>
      <c r="O517" s="237" t="s">
        <v>18675</v>
      </c>
      <c r="P517" s="238" t="s">
        <v>20740</v>
      </c>
      <c r="Q517" s="234" t="s">
        <v>18726</v>
      </c>
      <c r="R517" s="238" t="s">
        <v>20703</v>
      </c>
      <c r="S517" s="238" t="s">
        <v>20741</v>
      </c>
      <c r="T517" s="238" t="s">
        <v>18725</v>
      </c>
      <c r="U517" s="238" t="s">
        <v>18725</v>
      </c>
      <c r="V517" s="238" t="s">
        <v>18725</v>
      </c>
      <c r="W517" s="238" t="s">
        <v>18725</v>
      </c>
      <c r="X517" s="238" t="s">
        <v>18725</v>
      </c>
      <c r="Y517" s="239" t="str">
        <f>IF('CCUS Projects Database'!$R517&lt;&gt;"",HYPERLINK('CCUS Projects Database'!$R517,"Link 1"),"")</f>
        <v>Link 1</v>
      </c>
      <c r="Z517" s="239" t="str">
        <f>IF('CCUS Projects Database'!$S517&lt;&gt;"",HYPERLINK('CCUS Projects Database'!$S517,"Link 2"),"")</f>
        <v>Link 2</v>
      </c>
      <c r="AA517" s="239" t="str">
        <f>IF('CCUS Projects Database'!$T517&lt;&gt;"",HYPERLINK('CCUS Projects Database'!$T517,"Link 3"),"")</f>
        <v/>
      </c>
      <c r="AB517" s="239" t="str">
        <f>IF('CCUS Projects Database'!$U517&lt;&gt;"",HYPERLINK('CCUS Projects Database'!$U517,"Link 4"),"")</f>
        <v/>
      </c>
      <c r="AC517" s="239" t="str">
        <f>IF('CCUS Projects Database'!$V517&lt;&gt;"",HYPERLINK('CCUS Projects Database'!$V517,"Link 5"),"")</f>
        <v/>
      </c>
      <c r="AD517" s="239" t="str">
        <f>IF('CCUS Projects Database'!$W517&lt;&gt;"",HYPERLINK('CCUS Projects Database'!$W517,"Link 6"),"")</f>
        <v/>
      </c>
      <c r="AE517" s="239" t="str">
        <f>IF('CCUS Projects Database'!$X517&lt;&gt;"",HYPERLINK('CCUS Projects Database'!$X517,"Link 7"),"")</f>
        <v/>
      </c>
    </row>
    <row r="518" ht="14.25" customHeight="1">
      <c r="A518" s="233" t="s">
        <v>20742</v>
      </c>
      <c r="B518" s="234">
        <v>681.0</v>
      </c>
      <c r="C518" s="234" t="s">
        <v>164</v>
      </c>
      <c r="D518" s="235" t="s">
        <v>20347</v>
      </c>
      <c r="E518" s="234" t="s">
        <v>18618</v>
      </c>
      <c r="F518" s="234">
        <v>2022.0</v>
      </c>
      <c r="G518" s="234" t="s">
        <v>18725</v>
      </c>
      <c r="H518" s="234">
        <v>2032.0</v>
      </c>
      <c r="I518" s="234" t="s">
        <v>18725</v>
      </c>
      <c r="J518" s="234" t="s">
        <v>18636</v>
      </c>
      <c r="K518" s="236" t="s">
        <v>18725</v>
      </c>
      <c r="L518" s="236" t="s">
        <v>20739</v>
      </c>
      <c r="M518" s="236">
        <v>7.0</v>
      </c>
      <c r="N518" s="234" t="s">
        <v>18654</v>
      </c>
      <c r="O518" s="237" t="s">
        <v>18675</v>
      </c>
      <c r="P518" s="238" t="s">
        <v>20740</v>
      </c>
      <c r="Q518" s="234" t="s">
        <v>18726</v>
      </c>
      <c r="R518" s="238" t="s">
        <v>20703</v>
      </c>
      <c r="S518" s="238" t="s">
        <v>20741</v>
      </c>
      <c r="T518" s="238" t="s">
        <v>18725</v>
      </c>
      <c r="U518" s="238" t="s">
        <v>18725</v>
      </c>
      <c r="V518" s="238" t="s">
        <v>18725</v>
      </c>
      <c r="W518" s="238" t="s">
        <v>18725</v>
      </c>
      <c r="X518" s="238" t="s">
        <v>18725</v>
      </c>
      <c r="Y518" s="239" t="str">
        <f>IF('CCUS Projects Database'!$R518&lt;&gt;"",HYPERLINK('CCUS Projects Database'!$R518,"Link 1"),"")</f>
        <v>Link 1</v>
      </c>
      <c r="Z518" s="239" t="str">
        <f>IF('CCUS Projects Database'!$S518&lt;&gt;"",HYPERLINK('CCUS Projects Database'!$S518,"Link 2"),"")</f>
        <v>Link 2</v>
      </c>
      <c r="AA518" s="239" t="str">
        <f>IF('CCUS Projects Database'!$T518&lt;&gt;"",HYPERLINK('CCUS Projects Database'!$T518,"Link 3"),"")</f>
        <v/>
      </c>
      <c r="AB518" s="239" t="str">
        <f>IF('CCUS Projects Database'!$U518&lt;&gt;"",HYPERLINK('CCUS Projects Database'!$U518,"Link 4"),"")</f>
        <v/>
      </c>
      <c r="AC518" s="239" t="str">
        <f>IF('CCUS Projects Database'!$V518&lt;&gt;"",HYPERLINK('CCUS Projects Database'!$V518,"Link 5"),"")</f>
        <v/>
      </c>
      <c r="AD518" s="239" t="str">
        <f>IF('CCUS Projects Database'!$W518&lt;&gt;"",HYPERLINK('CCUS Projects Database'!$W518,"Link 6"),"")</f>
        <v/>
      </c>
      <c r="AE518" s="239" t="str">
        <f>IF('CCUS Projects Database'!$X518&lt;&gt;"",HYPERLINK('CCUS Projects Database'!$X518,"Link 7"),"")</f>
        <v/>
      </c>
    </row>
    <row r="519" ht="14.25" customHeight="1">
      <c r="A519" s="233" t="s">
        <v>20743</v>
      </c>
      <c r="B519" s="234">
        <v>683.0</v>
      </c>
      <c r="C519" s="234" t="s">
        <v>20744</v>
      </c>
      <c r="D519" s="235" t="s">
        <v>20745</v>
      </c>
      <c r="E519" s="234" t="s">
        <v>18620</v>
      </c>
      <c r="F519" s="234">
        <v>2022.0</v>
      </c>
      <c r="G519" s="234">
        <v>2027.0</v>
      </c>
      <c r="H519" s="234">
        <v>2031.0</v>
      </c>
      <c r="I519" s="234" t="s">
        <v>18725</v>
      </c>
      <c r="J519" s="234" t="s">
        <v>18636</v>
      </c>
      <c r="K519" s="236" t="s">
        <v>18725</v>
      </c>
      <c r="L519" s="236">
        <v>4.0</v>
      </c>
      <c r="M519" s="236">
        <v>4.0</v>
      </c>
      <c r="N519" s="234" t="s">
        <v>18620</v>
      </c>
      <c r="O519" s="237" t="s">
        <v>18675</v>
      </c>
      <c r="P519" s="238" t="s">
        <v>20746</v>
      </c>
      <c r="Q519" s="234" t="s">
        <v>18726</v>
      </c>
      <c r="R519" s="238" t="s">
        <v>20703</v>
      </c>
      <c r="S519" s="238" t="s">
        <v>20747</v>
      </c>
      <c r="T519" s="238" t="s">
        <v>18725</v>
      </c>
      <c r="U519" s="238" t="s">
        <v>18725</v>
      </c>
      <c r="V519" s="238" t="s">
        <v>18725</v>
      </c>
      <c r="W519" s="238" t="s">
        <v>18725</v>
      </c>
      <c r="X519" s="238" t="s">
        <v>18725</v>
      </c>
      <c r="Y519" s="239" t="str">
        <f>IF('CCUS Projects Database'!$R519&lt;&gt;"",HYPERLINK('CCUS Projects Database'!$R519,"Link 1"),"")</f>
        <v>Link 1</v>
      </c>
      <c r="Z519" s="239" t="str">
        <f>IF('CCUS Projects Database'!$S519&lt;&gt;"",HYPERLINK('CCUS Projects Database'!$S519,"Link 2"),"")</f>
        <v>Link 2</v>
      </c>
      <c r="AA519" s="239" t="str">
        <f>IF('CCUS Projects Database'!$T519&lt;&gt;"",HYPERLINK('CCUS Projects Database'!$T519,"Link 3"),"")</f>
        <v/>
      </c>
      <c r="AB519" s="239" t="str">
        <f>IF('CCUS Projects Database'!$U519&lt;&gt;"",HYPERLINK('CCUS Projects Database'!$U519,"Link 4"),"")</f>
        <v/>
      </c>
      <c r="AC519" s="239" t="str">
        <f>IF('CCUS Projects Database'!$V519&lt;&gt;"",HYPERLINK('CCUS Projects Database'!$V519,"Link 5"),"")</f>
        <v/>
      </c>
      <c r="AD519" s="239" t="str">
        <f>IF('CCUS Projects Database'!$W519&lt;&gt;"",HYPERLINK('CCUS Projects Database'!$W519,"Link 6"),"")</f>
        <v/>
      </c>
      <c r="AE519" s="239" t="str">
        <f>IF('CCUS Projects Database'!$X519&lt;&gt;"",HYPERLINK('CCUS Projects Database'!$X519,"Link 7"),"")</f>
        <v/>
      </c>
    </row>
    <row r="520" ht="14.25" customHeight="1">
      <c r="A520" s="233" t="s">
        <v>20748</v>
      </c>
      <c r="B520" s="234">
        <v>684.0</v>
      </c>
      <c r="C520" s="234" t="s">
        <v>18426</v>
      </c>
      <c r="D520" s="235" t="s">
        <v>20749</v>
      </c>
      <c r="E520" s="234" t="s">
        <v>18623</v>
      </c>
      <c r="F520" s="234">
        <v>2022.0</v>
      </c>
      <c r="G520" s="234">
        <v>2025.0</v>
      </c>
      <c r="H520" s="234">
        <v>2031.0</v>
      </c>
      <c r="I520" s="234" t="s">
        <v>18725</v>
      </c>
      <c r="J520" s="234" t="s">
        <v>18636</v>
      </c>
      <c r="K520" s="236" t="s">
        <v>18725</v>
      </c>
      <c r="L520" s="236">
        <v>0.63</v>
      </c>
      <c r="M520" s="236">
        <v>0.63</v>
      </c>
      <c r="N520" s="234" t="s">
        <v>18623</v>
      </c>
      <c r="O520" s="237" t="s">
        <v>18675</v>
      </c>
      <c r="P520" s="238" t="s">
        <v>20748</v>
      </c>
      <c r="Q520" s="234" t="s">
        <v>18726</v>
      </c>
      <c r="R520" s="238" t="s">
        <v>20703</v>
      </c>
      <c r="S520" s="238" t="s">
        <v>18725</v>
      </c>
      <c r="T520" s="238" t="s">
        <v>18725</v>
      </c>
      <c r="U520" s="238" t="s">
        <v>18725</v>
      </c>
      <c r="V520" s="238" t="s">
        <v>18725</v>
      </c>
      <c r="W520" s="238" t="s">
        <v>18725</v>
      </c>
      <c r="X520" s="238" t="s">
        <v>18725</v>
      </c>
      <c r="Y520" s="239" t="str">
        <f>IF('CCUS Projects Database'!$R520&lt;&gt;"",HYPERLINK('CCUS Projects Database'!$R520,"Link 1"),"")</f>
        <v>Link 1</v>
      </c>
      <c r="Z520" s="239" t="str">
        <f>IF('CCUS Projects Database'!$S520&lt;&gt;"",HYPERLINK('CCUS Projects Database'!$S520,"Link 2"),"")</f>
        <v/>
      </c>
      <c r="AA520" s="239" t="str">
        <f>IF('CCUS Projects Database'!$T520&lt;&gt;"",HYPERLINK('CCUS Projects Database'!$T520,"Link 3"),"")</f>
        <v/>
      </c>
      <c r="AB520" s="239" t="str">
        <f>IF('CCUS Projects Database'!$U520&lt;&gt;"",HYPERLINK('CCUS Projects Database'!$U520,"Link 4"),"")</f>
        <v/>
      </c>
      <c r="AC520" s="239" t="str">
        <f>IF('CCUS Projects Database'!$V520&lt;&gt;"",HYPERLINK('CCUS Projects Database'!$V520,"Link 5"),"")</f>
        <v/>
      </c>
      <c r="AD520" s="239" t="str">
        <f>IF('CCUS Projects Database'!$W520&lt;&gt;"",HYPERLINK('CCUS Projects Database'!$W520,"Link 6"),"")</f>
        <v/>
      </c>
      <c r="AE520" s="239" t="str">
        <f>IF('CCUS Projects Database'!$X520&lt;&gt;"",HYPERLINK('CCUS Projects Database'!$X520,"Link 7"),"")</f>
        <v/>
      </c>
    </row>
    <row r="521" ht="14.25" customHeight="1">
      <c r="A521" s="233" t="s">
        <v>20750</v>
      </c>
      <c r="B521" s="234">
        <v>685.0</v>
      </c>
      <c r="C521" s="234" t="s">
        <v>20751</v>
      </c>
      <c r="D521" s="235" t="s">
        <v>19914</v>
      </c>
      <c r="E521" s="234" t="s">
        <v>18623</v>
      </c>
      <c r="F521" s="234">
        <v>2021.0</v>
      </c>
      <c r="G521" s="234">
        <v>2025.0</v>
      </c>
      <c r="H521" s="234">
        <v>2035.0</v>
      </c>
      <c r="I521" s="234" t="s">
        <v>18725</v>
      </c>
      <c r="J521" s="234" t="s">
        <v>18636</v>
      </c>
      <c r="K521" s="236">
        <v>2.0</v>
      </c>
      <c r="L521" s="236">
        <v>4.0</v>
      </c>
      <c r="M521" s="236">
        <v>4.0</v>
      </c>
      <c r="N521" s="234" t="s">
        <v>18623</v>
      </c>
      <c r="O521" s="237" t="s">
        <v>18675</v>
      </c>
      <c r="P521" s="238" t="s">
        <v>19915</v>
      </c>
      <c r="Q521" s="234" t="s">
        <v>18726</v>
      </c>
      <c r="R521" s="238" t="s">
        <v>20703</v>
      </c>
      <c r="S521" s="238" t="s">
        <v>18725</v>
      </c>
      <c r="T521" s="238" t="s">
        <v>18725</v>
      </c>
      <c r="U521" s="238" t="s">
        <v>18725</v>
      </c>
      <c r="V521" s="238" t="s">
        <v>18725</v>
      </c>
      <c r="W521" s="238" t="s">
        <v>18725</v>
      </c>
      <c r="X521" s="238" t="s">
        <v>18725</v>
      </c>
      <c r="Y521" s="239" t="str">
        <f>IF('CCUS Projects Database'!$R521&lt;&gt;"",HYPERLINK('CCUS Projects Database'!$R521,"Link 1"),"")</f>
        <v>Link 1</v>
      </c>
      <c r="Z521" s="239" t="str">
        <f>IF('CCUS Projects Database'!$S521&lt;&gt;"",HYPERLINK('CCUS Projects Database'!$S521,"Link 2"),"")</f>
        <v/>
      </c>
      <c r="AA521" s="239" t="str">
        <f>IF('CCUS Projects Database'!$T521&lt;&gt;"",HYPERLINK('CCUS Projects Database'!$T521,"Link 3"),"")</f>
        <v/>
      </c>
      <c r="AB521" s="239" t="str">
        <f>IF('CCUS Projects Database'!$U521&lt;&gt;"",HYPERLINK('CCUS Projects Database'!$U521,"Link 4"),"")</f>
        <v/>
      </c>
      <c r="AC521" s="239" t="str">
        <f>IF('CCUS Projects Database'!$V521&lt;&gt;"",HYPERLINK('CCUS Projects Database'!$V521,"Link 5"),"")</f>
        <v/>
      </c>
      <c r="AD521" s="239" t="str">
        <f>IF('CCUS Projects Database'!$W521&lt;&gt;"",HYPERLINK('CCUS Projects Database'!$W521,"Link 6"),"")</f>
        <v/>
      </c>
      <c r="AE521" s="239" t="str">
        <f>IF('CCUS Projects Database'!$X521&lt;&gt;"",HYPERLINK('CCUS Projects Database'!$X521,"Link 7"),"")</f>
        <v/>
      </c>
    </row>
    <row r="522" ht="14.25" customHeight="1">
      <c r="A522" s="233" t="s">
        <v>20752</v>
      </c>
      <c r="B522" s="234">
        <v>686.0</v>
      </c>
      <c r="C522" s="234" t="s">
        <v>78</v>
      </c>
      <c r="D522" s="235" t="s">
        <v>20753</v>
      </c>
      <c r="E522" s="234" t="s">
        <v>18618</v>
      </c>
      <c r="F522" s="234">
        <v>2022.0</v>
      </c>
      <c r="G522" s="234" t="s">
        <v>18725</v>
      </c>
      <c r="H522" s="234" t="s">
        <v>18725</v>
      </c>
      <c r="I522" s="234" t="s">
        <v>18725</v>
      </c>
      <c r="J522" s="234" t="s">
        <v>18636</v>
      </c>
      <c r="K522" s="236" t="s">
        <v>18725</v>
      </c>
      <c r="L522" s="236">
        <v>0.2</v>
      </c>
      <c r="M522" s="236">
        <v>0.2</v>
      </c>
      <c r="N522" s="234" t="s">
        <v>18663</v>
      </c>
      <c r="O522" s="237" t="s">
        <v>18675</v>
      </c>
      <c r="P522" s="238" t="s">
        <v>20754</v>
      </c>
      <c r="Q522" s="234" t="s">
        <v>18726</v>
      </c>
      <c r="R522" s="238" t="s">
        <v>20703</v>
      </c>
      <c r="S522" s="238" t="s">
        <v>18725</v>
      </c>
      <c r="T522" s="238" t="s">
        <v>18725</v>
      </c>
      <c r="U522" s="238" t="s">
        <v>18725</v>
      </c>
      <c r="V522" s="238" t="s">
        <v>18725</v>
      </c>
      <c r="W522" s="238" t="s">
        <v>18725</v>
      </c>
      <c r="X522" s="238" t="s">
        <v>18725</v>
      </c>
      <c r="Y522" s="239" t="str">
        <f>IF('CCUS Projects Database'!$R522&lt;&gt;"",HYPERLINK('CCUS Projects Database'!$R522,"Link 1"),"")</f>
        <v>Link 1</v>
      </c>
      <c r="Z522" s="239" t="str">
        <f>IF('CCUS Projects Database'!$S522&lt;&gt;"",HYPERLINK('CCUS Projects Database'!$S522,"Link 2"),"")</f>
        <v/>
      </c>
      <c r="AA522" s="239" t="str">
        <f>IF('CCUS Projects Database'!$T522&lt;&gt;"",HYPERLINK('CCUS Projects Database'!$T522,"Link 3"),"")</f>
        <v/>
      </c>
      <c r="AB522" s="239" t="str">
        <f>IF('CCUS Projects Database'!$U522&lt;&gt;"",HYPERLINK('CCUS Projects Database'!$U522,"Link 4"),"")</f>
        <v/>
      </c>
      <c r="AC522" s="239" t="str">
        <f>IF('CCUS Projects Database'!$V522&lt;&gt;"",HYPERLINK('CCUS Projects Database'!$V522,"Link 5"),"")</f>
        <v/>
      </c>
      <c r="AD522" s="239" t="str">
        <f>IF('CCUS Projects Database'!$W522&lt;&gt;"",HYPERLINK('CCUS Projects Database'!$W522,"Link 6"),"")</f>
        <v/>
      </c>
      <c r="AE522" s="239" t="str">
        <f>IF('CCUS Projects Database'!$X522&lt;&gt;"",HYPERLINK('CCUS Projects Database'!$X522,"Link 7"),"")</f>
        <v/>
      </c>
    </row>
    <row r="523" ht="14.25" customHeight="1">
      <c r="A523" s="233" t="s">
        <v>20755</v>
      </c>
      <c r="B523" s="234">
        <v>687.0</v>
      </c>
      <c r="C523" s="234" t="s">
        <v>20756</v>
      </c>
      <c r="D523" s="235" t="s">
        <v>20753</v>
      </c>
      <c r="E523" s="234" t="s">
        <v>18620</v>
      </c>
      <c r="F523" s="234">
        <v>2022.0</v>
      </c>
      <c r="G523" s="234" t="s">
        <v>18725</v>
      </c>
      <c r="H523" s="234">
        <v>2029.0</v>
      </c>
      <c r="I523" s="234" t="s">
        <v>18725</v>
      </c>
      <c r="J523" s="234" t="s">
        <v>18636</v>
      </c>
      <c r="K523" s="236" t="s">
        <v>18725</v>
      </c>
      <c r="L523" s="236">
        <v>0.2</v>
      </c>
      <c r="M523" s="236">
        <v>0.2</v>
      </c>
      <c r="N523" s="234" t="s">
        <v>18620</v>
      </c>
      <c r="O523" s="237" t="s">
        <v>18675</v>
      </c>
      <c r="P523" s="238" t="s">
        <v>20754</v>
      </c>
      <c r="Q523" s="234" t="s">
        <v>18726</v>
      </c>
      <c r="R523" s="238" t="s">
        <v>20703</v>
      </c>
      <c r="S523" s="238" t="s">
        <v>18725</v>
      </c>
      <c r="T523" s="238" t="s">
        <v>18725</v>
      </c>
      <c r="U523" s="238" t="s">
        <v>18725</v>
      </c>
      <c r="V523" s="238" t="s">
        <v>18725</v>
      </c>
      <c r="W523" s="238" t="s">
        <v>18725</v>
      </c>
      <c r="X523" s="238" t="s">
        <v>18725</v>
      </c>
      <c r="Y523" s="239" t="str">
        <f>IF('CCUS Projects Database'!$R523&lt;&gt;"",HYPERLINK('CCUS Projects Database'!$R523,"Link 1"),"")</f>
        <v>Link 1</v>
      </c>
      <c r="Z523" s="239" t="str">
        <f>IF('CCUS Projects Database'!$S523&lt;&gt;"",HYPERLINK('CCUS Projects Database'!$S523,"Link 2"),"")</f>
        <v/>
      </c>
      <c r="AA523" s="239" t="str">
        <f>IF('CCUS Projects Database'!$T523&lt;&gt;"",HYPERLINK('CCUS Projects Database'!$T523,"Link 3"),"")</f>
        <v/>
      </c>
      <c r="AB523" s="239" t="str">
        <f>IF('CCUS Projects Database'!$U523&lt;&gt;"",HYPERLINK('CCUS Projects Database'!$U523,"Link 4"),"")</f>
        <v/>
      </c>
      <c r="AC523" s="239" t="str">
        <f>IF('CCUS Projects Database'!$V523&lt;&gt;"",HYPERLINK('CCUS Projects Database'!$V523,"Link 5"),"")</f>
        <v/>
      </c>
      <c r="AD523" s="239" t="str">
        <f>IF('CCUS Projects Database'!$W523&lt;&gt;"",HYPERLINK('CCUS Projects Database'!$W523,"Link 6"),"")</f>
        <v/>
      </c>
      <c r="AE523" s="239" t="str">
        <f>IF('CCUS Projects Database'!$X523&lt;&gt;"",HYPERLINK('CCUS Projects Database'!$X523,"Link 7"),"")</f>
        <v/>
      </c>
    </row>
    <row r="524" ht="14.25" customHeight="1">
      <c r="A524" s="233" t="s">
        <v>20757</v>
      </c>
      <c r="B524" s="234">
        <v>688.0</v>
      </c>
      <c r="C524" s="234" t="s">
        <v>197</v>
      </c>
      <c r="D524" s="235" t="s">
        <v>20758</v>
      </c>
      <c r="E524" s="234" t="s">
        <v>18623</v>
      </c>
      <c r="F524" s="234">
        <v>2021.0</v>
      </c>
      <c r="G524" s="234" t="s">
        <v>18725</v>
      </c>
      <c r="H524" s="234">
        <v>2026.0</v>
      </c>
      <c r="I524" s="234" t="s">
        <v>18725</v>
      </c>
      <c r="J524" s="234" t="s">
        <v>18636</v>
      </c>
      <c r="K524" s="236">
        <v>1.0</v>
      </c>
      <c r="L524" s="236">
        <v>1.0</v>
      </c>
      <c r="M524" s="236">
        <v>1.0</v>
      </c>
      <c r="N524" s="234" t="s">
        <v>18623</v>
      </c>
      <c r="O524" s="237" t="s">
        <v>18675</v>
      </c>
      <c r="P524" s="238" t="s">
        <v>19222</v>
      </c>
      <c r="Q524" s="234" t="s">
        <v>18726</v>
      </c>
      <c r="R524" s="238" t="s">
        <v>20759</v>
      </c>
      <c r="S524" s="238" t="s">
        <v>19224</v>
      </c>
      <c r="T524" s="238" t="s">
        <v>20703</v>
      </c>
      <c r="U524" s="238" t="s">
        <v>18725</v>
      </c>
      <c r="V524" s="238" t="s">
        <v>18725</v>
      </c>
      <c r="W524" s="238" t="s">
        <v>18725</v>
      </c>
      <c r="X524" s="238" t="s">
        <v>18725</v>
      </c>
      <c r="Y524" s="239" t="str">
        <f>IF('CCUS Projects Database'!$R524&lt;&gt;"",HYPERLINK('CCUS Projects Database'!$R524,"Link 1"),"")</f>
        <v>Link 1</v>
      </c>
      <c r="Z524" s="239" t="str">
        <f>IF('CCUS Projects Database'!$S524&lt;&gt;"",HYPERLINK('CCUS Projects Database'!$S524,"Link 2"),"")</f>
        <v>Link 2</v>
      </c>
      <c r="AA524" s="239" t="str">
        <f>IF('CCUS Projects Database'!$T524&lt;&gt;"",HYPERLINK('CCUS Projects Database'!$T524,"Link 3"),"")</f>
        <v>Link 3</v>
      </c>
      <c r="AB524" s="239" t="str">
        <f>IF('CCUS Projects Database'!$U524&lt;&gt;"",HYPERLINK('CCUS Projects Database'!$U524,"Link 4"),"")</f>
        <v/>
      </c>
      <c r="AC524" s="239" t="str">
        <f>IF('CCUS Projects Database'!$V524&lt;&gt;"",HYPERLINK('CCUS Projects Database'!$V524,"Link 5"),"")</f>
        <v/>
      </c>
      <c r="AD524" s="239" t="str">
        <f>IF('CCUS Projects Database'!$W524&lt;&gt;"",HYPERLINK('CCUS Projects Database'!$W524,"Link 6"),"")</f>
        <v/>
      </c>
      <c r="AE524" s="239" t="str">
        <f>IF('CCUS Projects Database'!$X524&lt;&gt;"",HYPERLINK('CCUS Projects Database'!$X524,"Link 7"),"")</f>
        <v/>
      </c>
    </row>
    <row r="525" ht="14.25" customHeight="1">
      <c r="A525" s="233" t="s">
        <v>20760</v>
      </c>
      <c r="B525" s="234">
        <v>689.0</v>
      </c>
      <c r="C525" s="234" t="s">
        <v>197</v>
      </c>
      <c r="D525" s="235" t="s">
        <v>20758</v>
      </c>
      <c r="E525" s="234" t="s">
        <v>18623</v>
      </c>
      <c r="F525" s="234">
        <v>2021.0</v>
      </c>
      <c r="G525" s="234" t="s">
        <v>18725</v>
      </c>
      <c r="H525" s="234">
        <v>2027.0</v>
      </c>
      <c r="I525" s="234" t="s">
        <v>18725</v>
      </c>
      <c r="J525" s="234" t="s">
        <v>18636</v>
      </c>
      <c r="K525" s="236">
        <v>2.0</v>
      </c>
      <c r="L525" s="236">
        <v>2.5</v>
      </c>
      <c r="M525" s="236">
        <v>2.5</v>
      </c>
      <c r="N525" s="234" t="s">
        <v>18623</v>
      </c>
      <c r="O525" s="237" t="s">
        <v>18675</v>
      </c>
      <c r="P525" s="238" t="s">
        <v>19222</v>
      </c>
      <c r="Q525" s="234" t="s">
        <v>18726</v>
      </c>
      <c r="R525" s="238" t="s">
        <v>20759</v>
      </c>
      <c r="S525" s="238" t="s">
        <v>19224</v>
      </c>
      <c r="T525" s="238" t="s">
        <v>20703</v>
      </c>
      <c r="U525" s="238" t="s">
        <v>20761</v>
      </c>
      <c r="V525" s="238" t="s">
        <v>18725</v>
      </c>
      <c r="W525" s="238" t="s">
        <v>18725</v>
      </c>
      <c r="X525" s="238" t="s">
        <v>18725</v>
      </c>
      <c r="Y525" s="239" t="str">
        <f>IF('CCUS Projects Database'!$R525&lt;&gt;"",HYPERLINK('CCUS Projects Database'!$R525,"Link 1"),"")</f>
        <v>Link 1</v>
      </c>
      <c r="Z525" s="239" t="str">
        <f>IF('CCUS Projects Database'!$S525&lt;&gt;"",HYPERLINK('CCUS Projects Database'!$S525,"Link 2"),"")</f>
        <v>Link 2</v>
      </c>
      <c r="AA525" s="239" t="str">
        <f>IF('CCUS Projects Database'!$T525&lt;&gt;"",HYPERLINK('CCUS Projects Database'!$T525,"Link 3"),"")</f>
        <v>Link 3</v>
      </c>
      <c r="AB525" s="239" t="str">
        <f>IF('CCUS Projects Database'!$U525&lt;&gt;"",HYPERLINK('CCUS Projects Database'!$U525,"Link 4"),"")</f>
        <v>Link 4</v>
      </c>
      <c r="AC525" s="239" t="str">
        <f>IF('CCUS Projects Database'!$V525&lt;&gt;"",HYPERLINK('CCUS Projects Database'!$V525,"Link 5"),"")</f>
        <v/>
      </c>
      <c r="AD525" s="239" t="str">
        <f>IF('CCUS Projects Database'!$W525&lt;&gt;"",HYPERLINK('CCUS Projects Database'!$W525,"Link 6"),"")</f>
        <v/>
      </c>
      <c r="AE525" s="239" t="str">
        <f>IF('CCUS Projects Database'!$X525&lt;&gt;"",HYPERLINK('CCUS Projects Database'!$X525,"Link 7"),"")</f>
        <v/>
      </c>
    </row>
    <row r="526" ht="14.25" customHeight="1">
      <c r="A526" s="233" t="s">
        <v>20762</v>
      </c>
      <c r="B526" s="234">
        <v>690.0</v>
      </c>
      <c r="C526" s="234" t="s">
        <v>197</v>
      </c>
      <c r="D526" s="235" t="s">
        <v>20758</v>
      </c>
      <c r="E526" s="234" t="s">
        <v>18618</v>
      </c>
      <c r="F526" s="234">
        <v>2022.0</v>
      </c>
      <c r="G526" s="234" t="s">
        <v>18725</v>
      </c>
      <c r="H526" s="234">
        <v>2026.0</v>
      </c>
      <c r="I526" s="234" t="s">
        <v>18725</v>
      </c>
      <c r="J526" s="234" t="s">
        <v>18636</v>
      </c>
      <c r="K526" s="236" t="s">
        <v>18725</v>
      </c>
      <c r="L526" s="236">
        <v>1.0</v>
      </c>
      <c r="M526" s="236">
        <v>1.0</v>
      </c>
      <c r="N526" s="234" t="s">
        <v>18656</v>
      </c>
      <c r="O526" s="237" t="s">
        <v>18675</v>
      </c>
      <c r="P526" s="238" t="s">
        <v>19222</v>
      </c>
      <c r="Q526" s="234" t="s">
        <v>18726</v>
      </c>
      <c r="R526" s="238" t="s">
        <v>20703</v>
      </c>
      <c r="S526" s="238" t="s">
        <v>20761</v>
      </c>
      <c r="T526" s="238" t="s">
        <v>18725</v>
      </c>
      <c r="U526" s="238" t="s">
        <v>18725</v>
      </c>
      <c r="V526" s="238" t="s">
        <v>18725</v>
      </c>
      <c r="W526" s="238" t="s">
        <v>18725</v>
      </c>
      <c r="X526" s="238" t="s">
        <v>18725</v>
      </c>
      <c r="Y526" s="239" t="str">
        <f>IF('CCUS Projects Database'!$R526&lt;&gt;"",HYPERLINK('CCUS Projects Database'!$R526,"Link 1"),"")</f>
        <v>Link 1</v>
      </c>
      <c r="Z526" s="239" t="str">
        <f>IF('CCUS Projects Database'!$S526&lt;&gt;"",HYPERLINK('CCUS Projects Database'!$S526,"Link 2"),"")</f>
        <v>Link 2</v>
      </c>
      <c r="AA526" s="239" t="str">
        <f>IF('CCUS Projects Database'!$T526&lt;&gt;"",HYPERLINK('CCUS Projects Database'!$T526,"Link 3"),"")</f>
        <v/>
      </c>
      <c r="AB526" s="239" t="str">
        <f>IF('CCUS Projects Database'!$U526&lt;&gt;"",HYPERLINK('CCUS Projects Database'!$U526,"Link 4"),"")</f>
        <v/>
      </c>
      <c r="AC526" s="239" t="str">
        <f>IF('CCUS Projects Database'!$V526&lt;&gt;"",HYPERLINK('CCUS Projects Database'!$V526,"Link 5"),"")</f>
        <v/>
      </c>
      <c r="AD526" s="239" t="str">
        <f>IF('CCUS Projects Database'!$W526&lt;&gt;"",HYPERLINK('CCUS Projects Database'!$W526,"Link 6"),"")</f>
        <v/>
      </c>
      <c r="AE526" s="239" t="str">
        <f>IF('CCUS Projects Database'!$X526&lt;&gt;"",HYPERLINK('CCUS Projects Database'!$X526,"Link 7"),"")</f>
        <v/>
      </c>
    </row>
    <row r="527" ht="14.25" customHeight="1">
      <c r="A527" s="233" t="s">
        <v>20763</v>
      </c>
      <c r="B527" s="234">
        <v>691.0</v>
      </c>
      <c r="C527" s="234" t="s">
        <v>18586</v>
      </c>
      <c r="D527" s="235" t="s">
        <v>20764</v>
      </c>
      <c r="E527" s="234" t="s">
        <v>18618</v>
      </c>
      <c r="F527" s="234">
        <v>2020.0</v>
      </c>
      <c r="G527" s="234" t="s">
        <v>18725</v>
      </c>
      <c r="H527" s="234" t="s">
        <v>18725</v>
      </c>
      <c r="I527" s="234" t="s">
        <v>18725</v>
      </c>
      <c r="J527" s="234" t="s">
        <v>18636</v>
      </c>
      <c r="K527" s="236" t="s">
        <v>18725</v>
      </c>
      <c r="L527" s="236">
        <v>2.8</v>
      </c>
      <c r="M527" s="236">
        <v>2.8</v>
      </c>
      <c r="N527" s="234" t="s">
        <v>18665</v>
      </c>
      <c r="O527" s="237" t="s">
        <v>18683</v>
      </c>
      <c r="P527" s="238" t="s">
        <v>18725</v>
      </c>
      <c r="Q527" s="234" t="s">
        <v>18732</v>
      </c>
      <c r="R527" s="238" t="s">
        <v>17257</v>
      </c>
      <c r="S527" s="238" t="s">
        <v>20765</v>
      </c>
      <c r="T527" s="238" t="s">
        <v>18725</v>
      </c>
      <c r="U527" s="238" t="s">
        <v>18725</v>
      </c>
      <c r="V527" s="238" t="s">
        <v>18725</v>
      </c>
      <c r="W527" s="238" t="s">
        <v>18725</v>
      </c>
      <c r="X527" s="238" t="s">
        <v>18725</v>
      </c>
      <c r="Y527" s="239" t="str">
        <f>IF('CCUS Projects Database'!$R527&lt;&gt;"",HYPERLINK('CCUS Projects Database'!$R527,"Link 1"),"")</f>
        <v>Link 1</v>
      </c>
      <c r="Z527" s="239" t="str">
        <f>IF('CCUS Projects Database'!$S527&lt;&gt;"",HYPERLINK('CCUS Projects Database'!$S527,"Link 2"),"")</f>
        <v>Link 2</v>
      </c>
      <c r="AA527" s="239" t="str">
        <f>IF('CCUS Projects Database'!$T527&lt;&gt;"",HYPERLINK('CCUS Projects Database'!$T527,"Link 3"),"")</f>
        <v/>
      </c>
      <c r="AB527" s="239" t="str">
        <f>IF('CCUS Projects Database'!$U527&lt;&gt;"",HYPERLINK('CCUS Projects Database'!$U527,"Link 4"),"")</f>
        <v/>
      </c>
      <c r="AC527" s="239" t="str">
        <f>IF('CCUS Projects Database'!$V527&lt;&gt;"",HYPERLINK('CCUS Projects Database'!$V527,"Link 5"),"")</f>
        <v/>
      </c>
      <c r="AD527" s="239" t="str">
        <f>IF('CCUS Projects Database'!$W527&lt;&gt;"",HYPERLINK('CCUS Projects Database'!$W527,"Link 6"),"")</f>
        <v/>
      </c>
      <c r="AE527" s="239" t="str">
        <f>IF('CCUS Projects Database'!$X527&lt;&gt;"",HYPERLINK('CCUS Projects Database'!$X527,"Link 7"),"")</f>
        <v/>
      </c>
    </row>
    <row r="528" ht="14.25" customHeight="1">
      <c r="A528" s="233" t="s">
        <v>9466</v>
      </c>
      <c r="B528" s="234">
        <v>695.0</v>
      </c>
      <c r="C528" s="234" t="s">
        <v>18586</v>
      </c>
      <c r="D528" s="235" t="s">
        <v>20766</v>
      </c>
      <c r="E528" s="234" t="s">
        <v>18618</v>
      </c>
      <c r="F528" s="234">
        <v>2021.0</v>
      </c>
      <c r="G528" s="234" t="s">
        <v>18725</v>
      </c>
      <c r="H528" s="234" t="s">
        <v>18725</v>
      </c>
      <c r="I528" s="234" t="s">
        <v>18725</v>
      </c>
      <c r="J528" s="234" t="s">
        <v>18636</v>
      </c>
      <c r="K528" s="236" t="s">
        <v>18725</v>
      </c>
      <c r="L528" s="236">
        <v>0.19</v>
      </c>
      <c r="M528" s="236">
        <v>0.19</v>
      </c>
      <c r="N528" s="234" t="s">
        <v>18661</v>
      </c>
      <c r="O528" s="237" t="s">
        <v>18683</v>
      </c>
      <c r="P528" s="238" t="s">
        <v>18725</v>
      </c>
      <c r="Q528" s="234" t="s">
        <v>18732</v>
      </c>
      <c r="R528" s="238" t="s">
        <v>17256</v>
      </c>
      <c r="S528" s="238" t="s">
        <v>18725</v>
      </c>
      <c r="T528" s="238" t="s">
        <v>18725</v>
      </c>
      <c r="U528" s="238" t="s">
        <v>18725</v>
      </c>
      <c r="V528" s="238" t="s">
        <v>18725</v>
      </c>
      <c r="W528" s="238" t="s">
        <v>18725</v>
      </c>
      <c r="X528" s="238" t="s">
        <v>18725</v>
      </c>
      <c r="Y528" s="239" t="str">
        <f>IF('CCUS Projects Database'!$R528&lt;&gt;"",HYPERLINK('CCUS Projects Database'!$R528,"Link 1"),"")</f>
        <v>Link 1</v>
      </c>
      <c r="Z528" s="239" t="str">
        <f>IF('CCUS Projects Database'!$S528&lt;&gt;"",HYPERLINK('CCUS Projects Database'!$S528,"Link 2"),"")</f>
        <v/>
      </c>
      <c r="AA528" s="239" t="str">
        <f>IF('CCUS Projects Database'!$T528&lt;&gt;"",HYPERLINK('CCUS Projects Database'!$T528,"Link 3"),"")</f>
        <v/>
      </c>
      <c r="AB528" s="239" t="str">
        <f>IF('CCUS Projects Database'!$U528&lt;&gt;"",HYPERLINK('CCUS Projects Database'!$U528,"Link 4"),"")</f>
        <v/>
      </c>
      <c r="AC528" s="239" t="str">
        <f>IF('CCUS Projects Database'!$V528&lt;&gt;"",HYPERLINK('CCUS Projects Database'!$V528,"Link 5"),"")</f>
        <v/>
      </c>
      <c r="AD528" s="239" t="str">
        <f>IF('CCUS Projects Database'!$W528&lt;&gt;"",HYPERLINK('CCUS Projects Database'!$W528,"Link 6"),"")</f>
        <v/>
      </c>
      <c r="AE528" s="239" t="str">
        <f>IF('CCUS Projects Database'!$X528&lt;&gt;"",HYPERLINK('CCUS Projects Database'!$X528,"Link 7"),"")</f>
        <v/>
      </c>
    </row>
    <row r="529" ht="14.25" customHeight="1">
      <c r="A529" s="233" t="s">
        <v>9467</v>
      </c>
      <c r="B529" s="234">
        <v>696.0</v>
      </c>
      <c r="C529" s="234" t="s">
        <v>18586</v>
      </c>
      <c r="D529" s="235" t="s">
        <v>20767</v>
      </c>
      <c r="E529" s="234" t="s">
        <v>18618</v>
      </c>
      <c r="F529" s="234">
        <v>2020.0</v>
      </c>
      <c r="G529" s="234" t="s">
        <v>18725</v>
      </c>
      <c r="H529" s="234" t="s">
        <v>18725</v>
      </c>
      <c r="I529" s="234" t="s">
        <v>18725</v>
      </c>
      <c r="J529" s="234" t="s">
        <v>18636</v>
      </c>
      <c r="K529" s="236" t="s">
        <v>18725</v>
      </c>
      <c r="L529" s="236">
        <v>1.361</v>
      </c>
      <c r="M529" s="236">
        <v>1.361</v>
      </c>
      <c r="N529" s="234" t="s">
        <v>18731</v>
      </c>
      <c r="O529" s="237" t="s">
        <v>18683</v>
      </c>
      <c r="P529" s="238" t="s">
        <v>18725</v>
      </c>
      <c r="Q529" s="234" t="s">
        <v>18732</v>
      </c>
      <c r="R529" s="238" t="s">
        <v>17257</v>
      </c>
      <c r="S529" s="238" t="s">
        <v>20768</v>
      </c>
      <c r="T529" s="238" t="s">
        <v>18725</v>
      </c>
      <c r="U529" s="238" t="s">
        <v>18725</v>
      </c>
      <c r="V529" s="238" t="s">
        <v>18725</v>
      </c>
      <c r="W529" s="238" t="s">
        <v>18725</v>
      </c>
      <c r="X529" s="238" t="s">
        <v>18725</v>
      </c>
      <c r="Y529" s="239" t="str">
        <f>IF('CCUS Projects Database'!$R529&lt;&gt;"",HYPERLINK('CCUS Projects Database'!$R529,"Link 1"),"")</f>
        <v>Link 1</v>
      </c>
      <c r="Z529" s="239" t="str">
        <f>IF('CCUS Projects Database'!$S529&lt;&gt;"",HYPERLINK('CCUS Projects Database'!$S529,"Link 2"),"")</f>
        <v>Link 2</v>
      </c>
      <c r="AA529" s="239" t="str">
        <f>IF('CCUS Projects Database'!$T529&lt;&gt;"",HYPERLINK('CCUS Projects Database'!$T529,"Link 3"),"")</f>
        <v/>
      </c>
      <c r="AB529" s="239" t="str">
        <f>IF('CCUS Projects Database'!$U529&lt;&gt;"",HYPERLINK('CCUS Projects Database'!$U529,"Link 4"),"")</f>
        <v/>
      </c>
      <c r="AC529" s="239" t="str">
        <f>IF('CCUS Projects Database'!$V529&lt;&gt;"",HYPERLINK('CCUS Projects Database'!$V529,"Link 5"),"")</f>
        <v/>
      </c>
      <c r="AD529" s="239" t="str">
        <f>IF('CCUS Projects Database'!$W529&lt;&gt;"",HYPERLINK('CCUS Projects Database'!$W529,"Link 6"),"")</f>
        <v/>
      </c>
      <c r="AE529" s="239" t="str">
        <f>IF('CCUS Projects Database'!$X529&lt;&gt;"",HYPERLINK('CCUS Projects Database'!$X529,"Link 7"),"")</f>
        <v/>
      </c>
    </row>
    <row r="530" ht="14.25" customHeight="1">
      <c r="A530" s="233" t="s">
        <v>20769</v>
      </c>
      <c r="B530" s="234">
        <v>697.0</v>
      </c>
      <c r="C530" s="234" t="s">
        <v>18586</v>
      </c>
      <c r="D530" s="235" t="s">
        <v>20770</v>
      </c>
      <c r="E530" s="234" t="s">
        <v>18618</v>
      </c>
      <c r="F530" s="234">
        <v>2021.0</v>
      </c>
      <c r="G530" s="234" t="s">
        <v>18725</v>
      </c>
      <c r="H530" s="234" t="s">
        <v>18725</v>
      </c>
      <c r="I530" s="234" t="s">
        <v>18725</v>
      </c>
      <c r="J530" s="234" t="s">
        <v>18636</v>
      </c>
      <c r="K530" s="236" t="s">
        <v>18725</v>
      </c>
      <c r="L530" s="236">
        <v>1.66</v>
      </c>
      <c r="M530" s="236">
        <v>1.66</v>
      </c>
      <c r="N530" s="234" t="s">
        <v>18731</v>
      </c>
      <c r="O530" s="237" t="s">
        <v>18683</v>
      </c>
      <c r="P530" s="238" t="s">
        <v>18725</v>
      </c>
      <c r="Q530" s="234" t="s">
        <v>18732</v>
      </c>
      <c r="R530" s="238" t="s">
        <v>17256</v>
      </c>
      <c r="S530" s="238" t="s">
        <v>20771</v>
      </c>
      <c r="T530" s="238" t="s">
        <v>18725</v>
      </c>
      <c r="U530" s="238" t="s">
        <v>18725</v>
      </c>
      <c r="V530" s="238" t="s">
        <v>18725</v>
      </c>
      <c r="W530" s="238" t="s">
        <v>18725</v>
      </c>
      <c r="X530" s="238" t="s">
        <v>18725</v>
      </c>
      <c r="Y530" s="239" t="str">
        <f>IF('CCUS Projects Database'!$R530&lt;&gt;"",HYPERLINK('CCUS Projects Database'!$R530,"Link 1"),"")</f>
        <v>Link 1</v>
      </c>
      <c r="Z530" s="239" t="str">
        <f>IF('CCUS Projects Database'!$S530&lt;&gt;"",HYPERLINK('CCUS Projects Database'!$S530,"Link 2"),"")</f>
        <v>Link 2</v>
      </c>
      <c r="AA530" s="239" t="str">
        <f>IF('CCUS Projects Database'!$T530&lt;&gt;"",HYPERLINK('CCUS Projects Database'!$T530,"Link 3"),"")</f>
        <v/>
      </c>
      <c r="AB530" s="239" t="str">
        <f>IF('CCUS Projects Database'!$U530&lt;&gt;"",HYPERLINK('CCUS Projects Database'!$U530,"Link 4"),"")</f>
        <v/>
      </c>
      <c r="AC530" s="239" t="str">
        <f>IF('CCUS Projects Database'!$V530&lt;&gt;"",HYPERLINK('CCUS Projects Database'!$V530,"Link 5"),"")</f>
        <v/>
      </c>
      <c r="AD530" s="239" t="str">
        <f>IF('CCUS Projects Database'!$W530&lt;&gt;"",HYPERLINK('CCUS Projects Database'!$W530,"Link 6"),"")</f>
        <v/>
      </c>
      <c r="AE530" s="239" t="str">
        <f>IF('CCUS Projects Database'!$X530&lt;&gt;"",HYPERLINK('CCUS Projects Database'!$X530,"Link 7"),"")</f>
        <v/>
      </c>
    </row>
    <row r="531" ht="14.25" customHeight="1">
      <c r="A531" s="233" t="s">
        <v>20772</v>
      </c>
      <c r="B531" s="234">
        <v>698.0</v>
      </c>
      <c r="C531" s="234" t="s">
        <v>18586</v>
      </c>
      <c r="D531" s="235" t="s">
        <v>20773</v>
      </c>
      <c r="E531" s="234" t="s">
        <v>18618</v>
      </c>
      <c r="F531" s="234">
        <v>2021.0</v>
      </c>
      <c r="G531" s="234" t="s">
        <v>18725</v>
      </c>
      <c r="H531" s="234" t="s">
        <v>18725</v>
      </c>
      <c r="I531" s="234" t="s">
        <v>18725</v>
      </c>
      <c r="J531" s="234" t="s">
        <v>18636</v>
      </c>
      <c r="K531" s="236" t="s">
        <v>18725</v>
      </c>
      <c r="L531" s="236" t="s">
        <v>18725</v>
      </c>
      <c r="M531" s="236" t="s">
        <v>18725</v>
      </c>
      <c r="N531" s="234" t="s">
        <v>18654</v>
      </c>
      <c r="O531" s="237" t="s">
        <v>18675</v>
      </c>
      <c r="P531" s="238" t="s">
        <v>18725</v>
      </c>
      <c r="Q531" s="234" t="s">
        <v>18732</v>
      </c>
      <c r="R531" s="238" t="s">
        <v>20774</v>
      </c>
      <c r="S531" s="238" t="s">
        <v>20775</v>
      </c>
      <c r="T531" s="238" t="s">
        <v>20776</v>
      </c>
      <c r="U531" s="238" t="s">
        <v>18725</v>
      </c>
      <c r="V531" s="238" t="s">
        <v>18725</v>
      </c>
      <c r="W531" s="238" t="s">
        <v>18725</v>
      </c>
      <c r="X531" s="238" t="s">
        <v>18725</v>
      </c>
      <c r="Y531" s="239" t="str">
        <f>IF('CCUS Projects Database'!$R531&lt;&gt;"",HYPERLINK('CCUS Projects Database'!$R531,"Link 1"),"")</f>
        <v>Link 1</v>
      </c>
      <c r="Z531" s="239" t="str">
        <f>IF('CCUS Projects Database'!$S531&lt;&gt;"",HYPERLINK('CCUS Projects Database'!$S531,"Link 2"),"")</f>
        <v>Link 2</v>
      </c>
      <c r="AA531" s="239" t="str">
        <f>IF('CCUS Projects Database'!$T531&lt;&gt;"",HYPERLINK('CCUS Projects Database'!$T531,"Link 3"),"")</f>
        <v>Link 3</v>
      </c>
      <c r="AB531" s="239" t="str">
        <f>IF('CCUS Projects Database'!$U531&lt;&gt;"",HYPERLINK('CCUS Projects Database'!$U531,"Link 4"),"")</f>
        <v/>
      </c>
      <c r="AC531" s="239" t="str">
        <f>IF('CCUS Projects Database'!$V531&lt;&gt;"",HYPERLINK('CCUS Projects Database'!$V531,"Link 5"),"")</f>
        <v/>
      </c>
      <c r="AD531" s="239" t="str">
        <f>IF('CCUS Projects Database'!$W531&lt;&gt;"",HYPERLINK('CCUS Projects Database'!$W531,"Link 6"),"")</f>
        <v/>
      </c>
      <c r="AE531" s="239" t="str">
        <f>IF('CCUS Projects Database'!$X531&lt;&gt;"",HYPERLINK('CCUS Projects Database'!$X531,"Link 7"),"")</f>
        <v/>
      </c>
    </row>
    <row r="532" ht="14.25" customHeight="1">
      <c r="A532" s="233" t="s">
        <v>20777</v>
      </c>
      <c r="B532" s="234">
        <v>699.0</v>
      </c>
      <c r="C532" s="234" t="s">
        <v>18586</v>
      </c>
      <c r="D532" s="235" t="s">
        <v>20778</v>
      </c>
      <c r="E532" s="234" t="s">
        <v>18618</v>
      </c>
      <c r="F532" s="234">
        <v>2019.0</v>
      </c>
      <c r="G532" s="234" t="s">
        <v>18725</v>
      </c>
      <c r="H532" s="234" t="s">
        <v>18725</v>
      </c>
      <c r="I532" s="234" t="s">
        <v>18725</v>
      </c>
      <c r="J532" s="234" t="s">
        <v>18636</v>
      </c>
      <c r="K532" s="236" t="s">
        <v>18725</v>
      </c>
      <c r="L532" s="236" t="s">
        <v>18725</v>
      </c>
      <c r="M532" s="236" t="s">
        <v>18725</v>
      </c>
      <c r="N532" s="234" t="s">
        <v>18654</v>
      </c>
      <c r="O532" s="237" t="s">
        <v>18683</v>
      </c>
      <c r="P532" s="238" t="s">
        <v>18725</v>
      </c>
      <c r="Q532" s="234" t="s">
        <v>18732</v>
      </c>
      <c r="R532" s="238" t="s">
        <v>20779</v>
      </c>
      <c r="S532" s="238" t="s">
        <v>19680</v>
      </c>
      <c r="T532" s="238" t="s">
        <v>20780</v>
      </c>
      <c r="U532" s="238" t="s">
        <v>18725</v>
      </c>
      <c r="V532" s="238" t="s">
        <v>18725</v>
      </c>
      <c r="W532" s="238" t="s">
        <v>18725</v>
      </c>
      <c r="X532" s="238" t="s">
        <v>18725</v>
      </c>
      <c r="Y532" s="239" t="str">
        <f>IF('CCUS Projects Database'!$R532&lt;&gt;"",HYPERLINK('CCUS Projects Database'!$R532,"Link 1"),"")</f>
        <v>Link 1</v>
      </c>
      <c r="Z532" s="239" t="str">
        <f>IF('CCUS Projects Database'!$S532&lt;&gt;"",HYPERLINK('CCUS Projects Database'!$S532,"Link 2"),"")</f>
        <v>Link 2</v>
      </c>
      <c r="AA532" s="239" t="str">
        <f>IF('CCUS Projects Database'!$T532&lt;&gt;"",HYPERLINK('CCUS Projects Database'!$T532,"Link 3"),"")</f>
        <v>Link 3</v>
      </c>
      <c r="AB532" s="239" t="str">
        <f>IF('CCUS Projects Database'!$U532&lt;&gt;"",HYPERLINK('CCUS Projects Database'!$U532,"Link 4"),"")</f>
        <v/>
      </c>
      <c r="AC532" s="239" t="str">
        <f>IF('CCUS Projects Database'!$V532&lt;&gt;"",HYPERLINK('CCUS Projects Database'!$V532,"Link 5"),"")</f>
        <v/>
      </c>
      <c r="AD532" s="239" t="str">
        <f>IF('CCUS Projects Database'!$W532&lt;&gt;"",HYPERLINK('CCUS Projects Database'!$W532,"Link 6"),"")</f>
        <v/>
      </c>
      <c r="AE532" s="239" t="str">
        <f>IF('CCUS Projects Database'!$X532&lt;&gt;"",HYPERLINK('CCUS Projects Database'!$X532,"Link 7"),"")</f>
        <v/>
      </c>
    </row>
    <row r="533" ht="14.25" customHeight="1">
      <c r="A533" s="233" t="s">
        <v>20781</v>
      </c>
      <c r="B533" s="234">
        <v>700.0</v>
      </c>
      <c r="C533" s="234" t="s">
        <v>18586</v>
      </c>
      <c r="D533" s="235" t="s">
        <v>20782</v>
      </c>
      <c r="E533" s="234" t="s">
        <v>18618</v>
      </c>
      <c r="F533" s="234">
        <v>2018.0</v>
      </c>
      <c r="G533" s="234" t="s">
        <v>18725</v>
      </c>
      <c r="H533" s="234" t="s">
        <v>18725</v>
      </c>
      <c r="I533" s="234" t="s">
        <v>18725</v>
      </c>
      <c r="J533" s="234" t="s">
        <v>18636</v>
      </c>
      <c r="K533" s="236" t="s">
        <v>18725</v>
      </c>
      <c r="L533" s="236" t="s">
        <v>18725</v>
      </c>
      <c r="M533" s="236" t="s">
        <v>18725</v>
      </c>
      <c r="N533" s="234" t="s">
        <v>18654</v>
      </c>
      <c r="O533" s="237" t="s">
        <v>18677</v>
      </c>
      <c r="P533" s="238" t="s">
        <v>18725</v>
      </c>
      <c r="Q533" s="234" t="s">
        <v>18732</v>
      </c>
      <c r="R533" s="238" t="s">
        <v>20783</v>
      </c>
      <c r="S533" s="238" t="s">
        <v>18725</v>
      </c>
      <c r="T533" s="238" t="s">
        <v>18725</v>
      </c>
      <c r="U533" s="238" t="s">
        <v>18725</v>
      </c>
      <c r="V533" s="238" t="s">
        <v>18725</v>
      </c>
      <c r="W533" s="238" t="s">
        <v>18725</v>
      </c>
      <c r="X533" s="238" t="s">
        <v>18725</v>
      </c>
      <c r="Y533" s="239" t="str">
        <f>IF('CCUS Projects Database'!$R533&lt;&gt;"",HYPERLINK('CCUS Projects Database'!$R533,"Link 1"),"")</f>
        <v>Link 1</v>
      </c>
      <c r="Z533" s="239" t="str">
        <f>IF('CCUS Projects Database'!$S533&lt;&gt;"",HYPERLINK('CCUS Projects Database'!$S533,"Link 2"),"")</f>
        <v/>
      </c>
      <c r="AA533" s="239" t="str">
        <f>IF('CCUS Projects Database'!$T533&lt;&gt;"",HYPERLINK('CCUS Projects Database'!$T533,"Link 3"),"")</f>
        <v/>
      </c>
      <c r="AB533" s="239" t="str">
        <f>IF('CCUS Projects Database'!$U533&lt;&gt;"",HYPERLINK('CCUS Projects Database'!$U533,"Link 4"),"")</f>
        <v/>
      </c>
      <c r="AC533" s="239" t="str">
        <f>IF('CCUS Projects Database'!$V533&lt;&gt;"",HYPERLINK('CCUS Projects Database'!$V533,"Link 5"),"")</f>
        <v/>
      </c>
      <c r="AD533" s="239" t="str">
        <f>IF('CCUS Projects Database'!$W533&lt;&gt;"",HYPERLINK('CCUS Projects Database'!$W533,"Link 6"),"")</f>
        <v/>
      </c>
      <c r="AE533" s="239" t="str">
        <f>IF('CCUS Projects Database'!$X533&lt;&gt;"",HYPERLINK('CCUS Projects Database'!$X533,"Link 7"),"")</f>
        <v/>
      </c>
    </row>
    <row r="534" ht="14.25" customHeight="1">
      <c r="A534" s="233" t="s">
        <v>20784</v>
      </c>
      <c r="B534" s="234">
        <v>701.0</v>
      </c>
      <c r="C534" s="234" t="s">
        <v>18586</v>
      </c>
      <c r="D534" s="235" t="s">
        <v>20785</v>
      </c>
      <c r="E534" s="234" t="s">
        <v>18618</v>
      </c>
      <c r="F534" s="234">
        <v>2023.0</v>
      </c>
      <c r="G534" s="234" t="s">
        <v>18725</v>
      </c>
      <c r="H534" s="234">
        <v>2028.0</v>
      </c>
      <c r="I534" s="234" t="s">
        <v>18725</v>
      </c>
      <c r="J534" s="234" t="s">
        <v>18636</v>
      </c>
      <c r="K534" s="236" t="s">
        <v>18725</v>
      </c>
      <c r="L534" s="236">
        <v>2.0</v>
      </c>
      <c r="M534" s="236">
        <v>2.0</v>
      </c>
      <c r="N534" s="234" t="s">
        <v>18654</v>
      </c>
      <c r="O534" s="237" t="s">
        <v>18683</v>
      </c>
      <c r="P534" s="238" t="s">
        <v>18725</v>
      </c>
      <c r="Q534" s="234" t="s">
        <v>18732</v>
      </c>
      <c r="R534" s="238" t="s">
        <v>20786</v>
      </c>
      <c r="S534" s="238" t="s">
        <v>20787</v>
      </c>
      <c r="T534" s="238" t="s">
        <v>18725</v>
      </c>
      <c r="U534" s="238" t="s">
        <v>18725</v>
      </c>
      <c r="V534" s="238" t="s">
        <v>18725</v>
      </c>
      <c r="W534" s="238" t="s">
        <v>18725</v>
      </c>
      <c r="X534" s="238" t="s">
        <v>18725</v>
      </c>
      <c r="Y534" s="239" t="str">
        <f>IF('CCUS Projects Database'!$R534&lt;&gt;"",HYPERLINK('CCUS Projects Database'!$R534,"Link 1"),"")</f>
        <v>Link 1</v>
      </c>
      <c r="Z534" s="239" t="str">
        <f>IF('CCUS Projects Database'!$S534&lt;&gt;"",HYPERLINK('CCUS Projects Database'!$S534,"Link 2"),"")</f>
        <v>Link 2</v>
      </c>
      <c r="AA534" s="239" t="str">
        <f>IF('CCUS Projects Database'!$T534&lt;&gt;"",HYPERLINK('CCUS Projects Database'!$T534,"Link 3"),"")</f>
        <v/>
      </c>
      <c r="AB534" s="239" t="str">
        <f>IF('CCUS Projects Database'!$U534&lt;&gt;"",HYPERLINK('CCUS Projects Database'!$U534,"Link 4"),"")</f>
        <v/>
      </c>
      <c r="AC534" s="239" t="str">
        <f>IF('CCUS Projects Database'!$V534&lt;&gt;"",HYPERLINK('CCUS Projects Database'!$V534,"Link 5"),"")</f>
        <v/>
      </c>
      <c r="AD534" s="239" t="str">
        <f>IF('CCUS Projects Database'!$W534&lt;&gt;"",HYPERLINK('CCUS Projects Database'!$W534,"Link 6"),"")</f>
        <v/>
      </c>
      <c r="AE534" s="239" t="str">
        <f>IF('CCUS Projects Database'!$X534&lt;&gt;"",HYPERLINK('CCUS Projects Database'!$X534,"Link 7"),"")</f>
        <v/>
      </c>
    </row>
    <row r="535" ht="14.25" customHeight="1">
      <c r="A535" s="233" t="s">
        <v>20788</v>
      </c>
      <c r="B535" s="234">
        <v>702.0</v>
      </c>
      <c r="C535" s="234" t="s">
        <v>18586</v>
      </c>
      <c r="D535" s="235" t="s">
        <v>20789</v>
      </c>
      <c r="E535" s="234" t="s">
        <v>18618</v>
      </c>
      <c r="F535" s="234">
        <v>2021.0</v>
      </c>
      <c r="G535" s="234" t="s">
        <v>18725</v>
      </c>
      <c r="H535" s="234" t="s">
        <v>18725</v>
      </c>
      <c r="I535" s="234" t="s">
        <v>18725</v>
      </c>
      <c r="J535" s="234" t="s">
        <v>18636</v>
      </c>
      <c r="K535" s="236" t="s">
        <v>18725</v>
      </c>
      <c r="L535" s="236" t="s">
        <v>18725</v>
      </c>
      <c r="M535" s="236" t="s">
        <v>18725</v>
      </c>
      <c r="N535" s="234" t="s">
        <v>677</v>
      </c>
      <c r="O535" s="237" t="s">
        <v>18683</v>
      </c>
      <c r="P535" s="238" t="s">
        <v>18725</v>
      </c>
      <c r="Q535" s="234" t="s">
        <v>18732</v>
      </c>
      <c r="R535" s="238" t="s">
        <v>17257</v>
      </c>
      <c r="S535" s="238" t="s">
        <v>19978</v>
      </c>
      <c r="T535" s="238" t="s">
        <v>18725</v>
      </c>
      <c r="U535" s="238" t="s">
        <v>18725</v>
      </c>
      <c r="V535" s="238" t="s">
        <v>18725</v>
      </c>
      <c r="W535" s="238" t="s">
        <v>18725</v>
      </c>
      <c r="X535" s="238" t="s">
        <v>18725</v>
      </c>
      <c r="Y535" s="239" t="str">
        <f>IF('CCUS Projects Database'!$R535&lt;&gt;"",HYPERLINK('CCUS Projects Database'!$R535,"Link 1"),"")</f>
        <v>Link 1</v>
      </c>
      <c r="Z535" s="239" t="str">
        <f>IF('CCUS Projects Database'!$S535&lt;&gt;"",HYPERLINK('CCUS Projects Database'!$S535,"Link 2"),"")</f>
        <v>Link 2</v>
      </c>
      <c r="AA535" s="239" t="str">
        <f>IF('CCUS Projects Database'!$T535&lt;&gt;"",HYPERLINK('CCUS Projects Database'!$T535,"Link 3"),"")</f>
        <v/>
      </c>
      <c r="AB535" s="239" t="str">
        <f>IF('CCUS Projects Database'!$U535&lt;&gt;"",HYPERLINK('CCUS Projects Database'!$U535,"Link 4"),"")</f>
        <v/>
      </c>
      <c r="AC535" s="239" t="str">
        <f>IF('CCUS Projects Database'!$V535&lt;&gt;"",HYPERLINK('CCUS Projects Database'!$V535,"Link 5"),"")</f>
        <v/>
      </c>
      <c r="AD535" s="239" t="str">
        <f>IF('CCUS Projects Database'!$W535&lt;&gt;"",HYPERLINK('CCUS Projects Database'!$W535,"Link 6"),"")</f>
        <v/>
      </c>
      <c r="AE535" s="239" t="str">
        <f>IF('CCUS Projects Database'!$X535&lt;&gt;"",HYPERLINK('CCUS Projects Database'!$X535,"Link 7"),"")</f>
        <v/>
      </c>
    </row>
    <row r="536" ht="14.25" customHeight="1">
      <c r="A536" s="233" t="s">
        <v>19904</v>
      </c>
      <c r="B536" s="234">
        <v>703.0</v>
      </c>
      <c r="C536" s="234" t="s">
        <v>18586</v>
      </c>
      <c r="D536" s="235" t="s">
        <v>20790</v>
      </c>
      <c r="E536" s="234" t="s">
        <v>3</v>
      </c>
      <c r="F536" s="234">
        <v>2017.0</v>
      </c>
      <c r="G536" s="234" t="s">
        <v>18725</v>
      </c>
      <c r="H536" s="234" t="s">
        <v>18725</v>
      </c>
      <c r="I536" s="234" t="s">
        <v>18725</v>
      </c>
      <c r="J536" s="234" t="s">
        <v>18636</v>
      </c>
      <c r="K536" s="236" t="s">
        <v>18725</v>
      </c>
      <c r="L536" s="236">
        <v>4.99</v>
      </c>
      <c r="M536" s="236">
        <v>4.99</v>
      </c>
      <c r="N536" s="234" t="s">
        <v>3</v>
      </c>
      <c r="O536" s="237" t="s">
        <v>18675</v>
      </c>
      <c r="P536" s="238" t="s">
        <v>19904</v>
      </c>
      <c r="Q536" s="234" t="s">
        <v>18732</v>
      </c>
      <c r="R536" s="238" t="s">
        <v>19907</v>
      </c>
      <c r="S536" s="238" t="s">
        <v>20791</v>
      </c>
      <c r="T536" s="238" t="s">
        <v>20792</v>
      </c>
      <c r="U536" s="238" t="s">
        <v>18725</v>
      </c>
      <c r="V536" s="238" t="s">
        <v>18725</v>
      </c>
      <c r="W536" s="238" t="s">
        <v>18725</v>
      </c>
      <c r="X536" s="238" t="s">
        <v>18725</v>
      </c>
      <c r="Y536" s="239" t="str">
        <f>IF('CCUS Projects Database'!$R536&lt;&gt;"",HYPERLINK('CCUS Projects Database'!$R536,"Link 1"),"")</f>
        <v>Link 1</v>
      </c>
      <c r="Z536" s="239" t="str">
        <f>IF('CCUS Projects Database'!$S536&lt;&gt;"",HYPERLINK('CCUS Projects Database'!$S536,"Link 2"),"")</f>
        <v>Link 2</v>
      </c>
      <c r="AA536" s="239" t="str">
        <f>IF('CCUS Projects Database'!$T536&lt;&gt;"",HYPERLINK('CCUS Projects Database'!$T536,"Link 3"),"")</f>
        <v>Link 3</v>
      </c>
      <c r="AB536" s="239" t="str">
        <f>IF('CCUS Projects Database'!$U536&lt;&gt;"",HYPERLINK('CCUS Projects Database'!$U536,"Link 4"),"")</f>
        <v/>
      </c>
      <c r="AC536" s="239" t="str">
        <f>IF('CCUS Projects Database'!$V536&lt;&gt;"",HYPERLINK('CCUS Projects Database'!$V536,"Link 5"),"")</f>
        <v/>
      </c>
      <c r="AD536" s="239" t="str">
        <f>IF('CCUS Projects Database'!$W536&lt;&gt;"",HYPERLINK('CCUS Projects Database'!$W536,"Link 6"),"")</f>
        <v/>
      </c>
      <c r="AE536" s="239" t="str">
        <f>IF('CCUS Projects Database'!$X536&lt;&gt;"",HYPERLINK('CCUS Projects Database'!$X536,"Link 7"),"")</f>
        <v/>
      </c>
    </row>
    <row r="537" ht="14.25" customHeight="1">
      <c r="A537" s="233" t="s">
        <v>10103</v>
      </c>
      <c r="B537" s="234">
        <v>704.0</v>
      </c>
      <c r="C537" s="234" t="s">
        <v>18329</v>
      </c>
      <c r="D537" s="235" t="s">
        <v>20793</v>
      </c>
      <c r="E537" s="234" t="s">
        <v>18616</v>
      </c>
      <c r="F537" s="234">
        <v>2023.0</v>
      </c>
      <c r="G537" s="234" t="s">
        <v>18725</v>
      </c>
      <c r="H537" s="234" t="s">
        <v>18725</v>
      </c>
      <c r="I537" s="234" t="s">
        <v>18725</v>
      </c>
      <c r="J537" s="234" t="s">
        <v>18636</v>
      </c>
      <c r="K537" s="236" t="s">
        <v>18725</v>
      </c>
      <c r="L537" s="236" t="s">
        <v>18725</v>
      </c>
      <c r="M537" s="236" t="s">
        <v>18725</v>
      </c>
      <c r="N537" s="234" t="s">
        <v>18731</v>
      </c>
      <c r="O537" s="237" t="s">
        <v>18675</v>
      </c>
      <c r="P537" s="238" t="s">
        <v>18725</v>
      </c>
      <c r="Q537" s="234" t="s">
        <v>18762</v>
      </c>
      <c r="R537" s="238" t="s">
        <v>17902</v>
      </c>
      <c r="S537" s="238" t="s">
        <v>18725</v>
      </c>
      <c r="T537" s="238" t="s">
        <v>18725</v>
      </c>
      <c r="U537" s="238" t="s">
        <v>18725</v>
      </c>
      <c r="V537" s="238" t="s">
        <v>18725</v>
      </c>
      <c r="W537" s="238" t="s">
        <v>18725</v>
      </c>
      <c r="X537" s="238" t="s">
        <v>18725</v>
      </c>
      <c r="Y537" s="239" t="str">
        <f>IF('CCUS Projects Database'!$R537&lt;&gt;"",HYPERLINK('CCUS Projects Database'!$R537,"Link 1"),"")</f>
        <v>Link 1</v>
      </c>
      <c r="Z537" s="239" t="str">
        <f>IF('CCUS Projects Database'!$S537&lt;&gt;"",HYPERLINK('CCUS Projects Database'!$S537,"Link 2"),"")</f>
        <v/>
      </c>
      <c r="AA537" s="239" t="str">
        <f>IF('CCUS Projects Database'!$T537&lt;&gt;"",HYPERLINK('CCUS Projects Database'!$T537,"Link 3"),"")</f>
        <v/>
      </c>
      <c r="AB537" s="239" t="str">
        <f>IF('CCUS Projects Database'!$U537&lt;&gt;"",HYPERLINK('CCUS Projects Database'!$U537,"Link 4"),"")</f>
        <v/>
      </c>
      <c r="AC537" s="239" t="str">
        <f>IF('CCUS Projects Database'!$V537&lt;&gt;"",HYPERLINK('CCUS Projects Database'!$V537,"Link 5"),"")</f>
        <v/>
      </c>
      <c r="AD537" s="239" t="str">
        <f>IF('CCUS Projects Database'!$W537&lt;&gt;"",HYPERLINK('CCUS Projects Database'!$W537,"Link 6"),"")</f>
        <v/>
      </c>
      <c r="AE537" s="239" t="str">
        <f>IF('CCUS Projects Database'!$X537&lt;&gt;"",HYPERLINK('CCUS Projects Database'!$X537,"Link 7"),"")</f>
        <v/>
      </c>
    </row>
    <row r="538" ht="14.25" customHeight="1">
      <c r="A538" s="233" t="s">
        <v>20794</v>
      </c>
      <c r="B538" s="234">
        <v>705.0</v>
      </c>
      <c r="C538" s="234" t="s">
        <v>83</v>
      </c>
      <c r="D538" s="235" t="s">
        <v>20143</v>
      </c>
      <c r="E538" s="234" t="s">
        <v>18623</v>
      </c>
      <c r="F538" s="234">
        <v>2020.0</v>
      </c>
      <c r="G538" s="234" t="s">
        <v>18725</v>
      </c>
      <c r="H538" s="234">
        <v>2035.0</v>
      </c>
      <c r="I538" s="234" t="s">
        <v>18725</v>
      </c>
      <c r="J538" s="234" t="s">
        <v>18636</v>
      </c>
      <c r="K538" s="236">
        <v>3.0</v>
      </c>
      <c r="L538" s="236">
        <v>5.0</v>
      </c>
      <c r="M538" s="236">
        <v>5.0</v>
      </c>
      <c r="N538" s="234" t="s">
        <v>18623</v>
      </c>
      <c r="O538" s="237" t="s">
        <v>18675</v>
      </c>
      <c r="P538" s="238" t="s">
        <v>19115</v>
      </c>
      <c r="Q538" s="234" t="s">
        <v>18726</v>
      </c>
      <c r="R538" s="238" t="s">
        <v>20795</v>
      </c>
      <c r="S538" s="238" t="s">
        <v>18725</v>
      </c>
      <c r="T538" s="238" t="s">
        <v>18725</v>
      </c>
      <c r="U538" s="238" t="s">
        <v>18725</v>
      </c>
      <c r="V538" s="238" t="s">
        <v>18725</v>
      </c>
      <c r="W538" s="238" t="s">
        <v>18725</v>
      </c>
      <c r="X538" s="238" t="s">
        <v>18725</v>
      </c>
      <c r="Y538" s="239" t="str">
        <f>IF('CCUS Projects Database'!$R538&lt;&gt;"",HYPERLINK('CCUS Projects Database'!$R538,"Link 1"),"")</f>
        <v>Link 1</v>
      </c>
      <c r="Z538" s="239" t="str">
        <f>IF('CCUS Projects Database'!$S538&lt;&gt;"",HYPERLINK('CCUS Projects Database'!$S538,"Link 2"),"")</f>
        <v/>
      </c>
      <c r="AA538" s="239" t="str">
        <f>IF('CCUS Projects Database'!$T538&lt;&gt;"",HYPERLINK('CCUS Projects Database'!$T538,"Link 3"),"")</f>
        <v/>
      </c>
      <c r="AB538" s="239" t="str">
        <f>IF('CCUS Projects Database'!$U538&lt;&gt;"",HYPERLINK('CCUS Projects Database'!$U538,"Link 4"),"")</f>
        <v/>
      </c>
      <c r="AC538" s="239" t="str">
        <f>IF('CCUS Projects Database'!$V538&lt;&gt;"",HYPERLINK('CCUS Projects Database'!$V538,"Link 5"),"")</f>
        <v/>
      </c>
      <c r="AD538" s="239" t="str">
        <f>IF('CCUS Projects Database'!$W538&lt;&gt;"",HYPERLINK('CCUS Projects Database'!$W538,"Link 6"),"")</f>
        <v/>
      </c>
      <c r="AE538" s="239" t="str">
        <f>IF('CCUS Projects Database'!$X538&lt;&gt;"",HYPERLINK('CCUS Projects Database'!$X538,"Link 7"),"")</f>
        <v/>
      </c>
    </row>
    <row r="539" ht="14.25" customHeight="1">
      <c r="A539" s="233" t="s">
        <v>20796</v>
      </c>
      <c r="B539" s="234">
        <v>706.0</v>
      </c>
      <c r="C539" s="234" t="s">
        <v>83</v>
      </c>
      <c r="D539" s="235" t="s">
        <v>20347</v>
      </c>
      <c r="E539" s="234" t="s">
        <v>18618</v>
      </c>
      <c r="F539" s="234">
        <v>2022.0</v>
      </c>
      <c r="G539" s="234">
        <v>2030.0</v>
      </c>
      <c r="H539" s="234">
        <v>2034.0</v>
      </c>
      <c r="I539" s="234" t="s">
        <v>18725</v>
      </c>
      <c r="J539" s="234" t="s">
        <v>18636</v>
      </c>
      <c r="K539" s="236" t="s">
        <v>18725</v>
      </c>
      <c r="L539" s="236">
        <v>3.7</v>
      </c>
      <c r="M539" s="236">
        <v>3.7</v>
      </c>
      <c r="N539" s="234" t="s">
        <v>18654</v>
      </c>
      <c r="O539" s="237" t="s">
        <v>18675</v>
      </c>
      <c r="P539" s="238" t="s">
        <v>19115</v>
      </c>
      <c r="Q539" s="234" t="s">
        <v>18726</v>
      </c>
      <c r="R539" s="238" t="s">
        <v>20797</v>
      </c>
      <c r="S539" s="238" t="s">
        <v>20349</v>
      </c>
      <c r="T539" s="238" t="s">
        <v>20798</v>
      </c>
      <c r="U539" s="238" t="s">
        <v>18725</v>
      </c>
      <c r="V539" s="238" t="s">
        <v>18725</v>
      </c>
      <c r="W539" s="238" t="s">
        <v>18725</v>
      </c>
      <c r="X539" s="238" t="s">
        <v>18725</v>
      </c>
      <c r="Y539" s="239" t="str">
        <f>IF('CCUS Projects Database'!$R539&lt;&gt;"",HYPERLINK('CCUS Projects Database'!$R539,"Link 1"),"")</f>
        <v>Link 1</v>
      </c>
      <c r="Z539" s="239" t="str">
        <f>IF('CCUS Projects Database'!$S539&lt;&gt;"",HYPERLINK('CCUS Projects Database'!$S539,"Link 2"),"")</f>
        <v>Link 2</v>
      </c>
      <c r="AA539" s="239" t="str">
        <f>IF('CCUS Projects Database'!$T539&lt;&gt;"",HYPERLINK('CCUS Projects Database'!$T539,"Link 3"),"")</f>
        <v>Link 3</v>
      </c>
      <c r="AB539" s="239" t="str">
        <f>IF('CCUS Projects Database'!$U539&lt;&gt;"",HYPERLINK('CCUS Projects Database'!$U539,"Link 4"),"")</f>
        <v/>
      </c>
      <c r="AC539" s="239" t="str">
        <f>IF('CCUS Projects Database'!$V539&lt;&gt;"",HYPERLINK('CCUS Projects Database'!$V539,"Link 5"),"")</f>
        <v/>
      </c>
      <c r="AD539" s="239" t="str">
        <f>IF('CCUS Projects Database'!$W539&lt;&gt;"",HYPERLINK('CCUS Projects Database'!$W539,"Link 6"),"")</f>
        <v/>
      </c>
      <c r="AE539" s="239" t="str">
        <f>IF('CCUS Projects Database'!$X539&lt;&gt;"",HYPERLINK('CCUS Projects Database'!$X539,"Link 7"),"")</f>
        <v/>
      </c>
    </row>
    <row r="540" ht="14.25" customHeight="1">
      <c r="A540" s="233" t="s">
        <v>20799</v>
      </c>
      <c r="B540" s="234">
        <v>708.0</v>
      </c>
      <c r="C540" s="234" t="s">
        <v>18586</v>
      </c>
      <c r="D540" s="235" t="s">
        <v>20800</v>
      </c>
      <c r="E540" s="234" t="s">
        <v>18623</v>
      </c>
      <c r="F540" s="234">
        <v>2022.0</v>
      </c>
      <c r="G540" s="234">
        <v>2023.0</v>
      </c>
      <c r="H540" s="234">
        <v>2025.0</v>
      </c>
      <c r="I540" s="234" t="s">
        <v>18725</v>
      </c>
      <c r="J540" s="234" t="s">
        <v>18638</v>
      </c>
      <c r="K540" s="236">
        <v>1.0</v>
      </c>
      <c r="L540" s="236">
        <v>2.0</v>
      </c>
      <c r="M540" s="236">
        <v>2.0</v>
      </c>
      <c r="N540" s="234" t="s">
        <v>18623</v>
      </c>
      <c r="O540" s="237" t="s">
        <v>18675</v>
      </c>
      <c r="P540" s="238" t="s">
        <v>20801</v>
      </c>
      <c r="Q540" s="234" t="s">
        <v>18732</v>
      </c>
      <c r="R540" s="238" t="s">
        <v>20802</v>
      </c>
      <c r="S540" s="238" t="s">
        <v>18725</v>
      </c>
      <c r="T540" s="238" t="s">
        <v>18725</v>
      </c>
      <c r="U540" s="238" t="s">
        <v>18725</v>
      </c>
      <c r="V540" s="238" t="s">
        <v>18725</v>
      </c>
      <c r="W540" s="238" t="s">
        <v>18725</v>
      </c>
      <c r="X540" s="238" t="s">
        <v>18725</v>
      </c>
      <c r="Y540" s="239" t="str">
        <f>IF('CCUS Projects Database'!$R540&lt;&gt;"",HYPERLINK('CCUS Projects Database'!$R540,"Link 1"),"")</f>
        <v>Link 1</v>
      </c>
      <c r="Z540" s="239" t="str">
        <f>IF('CCUS Projects Database'!$S540&lt;&gt;"",HYPERLINK('CCUS Projects Database'!$S540,"Link 2"),"")</f>
        <v/>
      </c>
      <c r="AA540" s="239" t="str">
        <f>IF('CCUS Projects Database'!$T540&lt;&gt;"",HYPERLINK('CCUS Projects Database'!$T540,"Link 3"),"")</f>
        <v/>
      </c>
      <c r="AB540" s="239" t="str">
        <f>IF('CCUS Projects Database'!$U540&lt;&gt;"",HYPERLINK('CCUS Projects Database'!$U540,"Link 4"),"")</f>
        <v/>
      </c>
      <c r="AC540" s="239" t="str">
        <f>IF('CCUS Projects Database'!$V540&lt;&gt;"",HYPERLINK('CCUS Projects Database'!$V540,"Link 5"),"")</f>
        <v/>
      </c>
      <c r="AD540" s="239" t="str">
        <f>IF('CCUS Projects Database'!$W540&lt;&gt;"",HYPERLINK('CCUS Projects Database'!$W540,"Link 6"),"")</f>
        <v/>
      </c>
      <c r="AE540" s="239" t="str">
        <f>IF('CCUS Projects Database'!$X540&lt;&gt;"",HYPERLINK('CCUS Projects Database'!$X540,"Link 7"),"")</f>
        <v/>
      </c>
    </row>
    <row r="541" ht="14.25" customHeight="1">
      <c r="A541" s="233" t="s">
        <v>20803</v>
      </c>
      <c r="B541" s="234">
        <v>709.0</v>
      </c>
      <c r="C541" s="234" t="s">
        <v>18586</v>
      </c>
      <c r="D541" s="235" t="s">
        <v>20800</v>
      </c>
      <c r="E541" s="234" t="s">
        <v>18618</v>
      </c>
      <c r="F541" s="234">
        <v>2022.0</v>
      </c>
      <c r="G541" s="234">
        <v>2022.0</v>
      </c>
      <c r="H541" s="234">
        <v>2025.0</v>
      </c>
      <c r="I541" s="234" t="s">
        <v>18725</v>
      </c>
      <c r="J541" s="234" t="s">
        <v>18638</v>
      </c>
      <c r="K541" s="236" t="s">
        <v>18725</v>
      </c>
      <c r="L541" s="236">
        <v>2.0</v>
      </c>
      <c r="M541" s="236">
        <v>2.0</v>
      </c>
      <c r="N541" s="234" t="s">
        <v>18656</v>
      </c>
      <c r="O541" s="237" t="s">
        <v>18675</v>
      </c>
      <c r="P541" s="238" t="s">
        <v>20801</v>
      </c>
      <c r="Q541" s="234" t="s">
        <v>18732</v>
      </c>
      <c r="R541" s="238" t="s">
        <v>20804</v>
      </c>
      <c r="S541" s="238" t="s">
        <v>20802</v>
      </c>
      <c r="T541" s="238" t="s">
        <v>20805</v>
      </c>
      <c r="U541" s="238" t="s">
        <v>18725</v>
      </c>
      <c r="V541" s="238" t="s">
        <v>18725</v>
      </c>
      <c r="W541" s="238" t="s">
        <v>18725</v>
      </c>
      <c r="X541" s="238" t="s">
        <v>18725</v>
      </c>
      <c r="Y541" s="239" t="str">
        <f>IF('CCUS Projects Database'!$R541&lt;&gt;"",HYPERLINK('CCUS Projects Database'!$R541,"Link 1"),"")</f>
        <v>Link 1</v>
      </c>
      <c r="Z541" s="239" t="str">
        <f>IF('CCUS Projects Database'!$S541&lt;&gt;"",HYPERLINK('CCUS Projects Database'!$S541,"Link 2"),"")</f>
        <v>Link 2</v>
      </c>
      <c r="AA541" s="239" t="str">
        <f>IF('CCUS Projects Database'!$T541&lt;&gt;"",HYPERLINK('CCUS Projects Database'!$T541,"Link 3"),"")</f>
        <v>Link 3</v>
      </c>
      <c r="AB541" s="239" t="str">
        <f>IF('CCUS Projects Database'!$U541&lt;&gt;"",HYPERLINK('CCUS Projects Database'!$U541,"Link 4"),"")</f>
        <v/>
      </c>
      <c r="AC541" s="239" t="str">
        <f>IF('CCUS Projects Database'!$V541&lt;&gt;"",HYPERLINK('CCUS Projects Database'!$V541,"Link 5"),"")</f>
        <v/>
      </c>
      <c r="AD541" s="239" t="str">
        <f>IF('CCUS Projects Database'!$W541&lt;&gt;"",HYPERLINK('CCUS Projects Database'!$W541,"Link 6"),"")</f>
        <v/>
      </c>
      <c r="AE541" s="239" t="str">
        <f>IF('CCUS Projects Database'!$X541&lt;&gt;"",HYPERLINK('CCUS Projects Database'!$X541,"Link 7"),"")</f>
        <v/>
      </c>
    </row>
    <row r="542" ht="14.25" customHeight="1">
      <c r="A542" s="233" t="s">
        <v>20806</v>
      </c>
      <c r="B542" s="234">
        <v>710.0</v>
      </c>
      <c r="C542" s="234" t="s">
        <v>98</v>
      </c>
      <c r="D542" s="235" t="s">
        <v>20807</v>
      </c>
      <c r="E542" s="234" t="s">
        <v>3</v>
      </c>
      <c r="F542" s="234">
        <v>2023.0</v>
      </c>
      <c r="G542" s="234">
        <v>2027.0</v>
      </c>
      <c r="H542" s="234">
        <v>2029.0</v>
      </c>
      <c r="I542" s="234" t="s">
        <v>18725</v>
      </c>
      <c r="J542" s="234" t="s">
        <v>18636</v>
      </c>
      <c r="K542" s="236" t="s">
        <v>18725</v>
      </c>
      <c r="L542" s="236" t="s">
        <v>20303</v>
      </c>
      <c r="M542" s="236">
        <v>10.0</v>
      </c>
      <c r="N542" s="234" t="s">
        <v>3</v>
      </c>
      <c r="O542" s="237" t="s">
        <v>18675</v>
      </c>
      <c r="P542" s="238" t="s">
        <v>20808</v>
      </c>
      <c r="Q542" s="234" t="s">
        <v>18726</v>
      </c>
      <c r="R542" s="238" t="s">
        <v>20809</v>
      </c>
      <c r="S542" s="238" t="s">
        <v>20810</v>
      </c>
      <c r="T542" s="238" t="s">
        <v>18725</v>
      </c>
      <c r="U542" s="238" t="s">
        <v>18725</v>
      </c>
      <c r="V542" s="238" t="s">
        <v>18725</v>
      </c>
      <c r="W542" s="238" t="s">
        <v>18725</v>
      </c>
      <c r="X542" s="238" t="s">
        <v>18725</v>
      </c>
      <c r="Y542" s="239" t="str">
        <f>IF('CCUS Projects Database'!$R542&lt;&gt;"",HYPERLINK('CCUS Projects Database'!$R542,"Link 1"),"")</f>
        <v>Link 1</v>
      </c>
      <c r="Z542" s="239" t="str">
        <f>IF('CCUS Projects Database'!$S542&lt;&gt;"",HYPERLINK('CCUS Projects Database'!$S542,"Link 2"),"")</f>
        <v>Link 2</v>
      </c>
      <c r="AA542" s="239" t="str">
        <f>IF('CCUS Projects Database'!$T542&lt;&gt;"",HYPERLINK('CCUS Projects Database'!$T542,"Link 3"),"")</f>
        <v/>
      </c>
      <c r="AB542" s="239" t="str">
        <f>IF('CCUS Projects Database'!$U542&lt;&gt;"",HYPERLINK('CCUS Projects Database'!$U542,"Link 4"),"")</f>
        <v/>
      </c>
      <c r="AC542" s="239" t="str">
        <f>IF('CCUS Projects Database'!$V542&lt;&gt;"",HYPERLINK('CCUS Projects Database'!$V542,"Link 5"),"")</f>
        <v/>
      </c>
      <c r="AD542" s="239" t="str">
        <f>IF('CCUS Projects Database'!$W542&lt;&gt;"",HYPERLINK('CCUS Projects Database'!$W542,"Link 6"),"")</f>
        <v/>
      </c>
      <c r="AE542" s="239" t="str">
        <f>IF('CCUS Projects Database'!$X542&lt;&gt;"",HYPERLINK('CCUS Projects Database'!$X542,"Link 7"),"")</f>
        <v/>
      </c>
    </row>
    <row r="543" ht="14.25" customHeight="1">
      <c r="A543" s="233" t="s">
        <v>20811</v>
      </c>
      <c r="B543" s="234">
        <v>711.0</v>
      </c>
      <c r="C543" s="234" t="s">
        <v>18586</v>
      </c>
      <c r="D543" s="235" t="s">
        <v>20812</v>
      </c>
      <c r="E543" s="234" t="s">
        <v>3</v>
      </c>
      <c r="F543" s="234">
        <v>2022.0</v>
      </c>
      <c r="G543" s="234" t="s">
        <v>18725</v>
      </c>
      <c r="H543" s="234" t="s">
        <v>18725</v>
      </c>
      <c r="I543" s="234" t="s">
        <v>18725</v>
      </c>
      <c r="J543" s="234" t="s">
        <v>18636</v>
      </c>
      <c r="K543" s="236" t="s">
        <v>18725</v>
      </c>
      <c r="L543" s="236" t="s">
        <v>19780</v>
      </c>
      <c r="M543" s="236">
        <v>1.5</v>
      </c>
      <c r="N543" s="234" t="s">
        <v>3</v>
      </c>
      <c r="O543" s="237" t="s">
        <v>18675</v>
      </c>
      <c r="P543" s="238" t="s">
        <v>20813</v>
      </c>
      <c r="Q543" s="234" t="s">
        <v>18732</v>
      </c>
      <c r="R543" s="238" t="s">
        <v>20814</v>
      </c>
      <c r="S543" s="238" t="s">
        <v>20815</v>
      </c>
      <c r="T543" s="238" t="s">
        <v>20380</v>
      </c>
      <c r="U543" s="238" t="s">
        <v>20380</v>
      </c>
      <c r="V543" s="238" t="s">
        <v>18725</v>
      </c>
      <c r="W543" s="238" t="s">
        <v>18725</v>
      </c>
      <c r="X543" s="238" t="s">
        <v>18725</v>
      </c>
      <c r="Y543" s="239" t="str">
        <f>IF('CCUS Projects Database'!$R543&lt;&gt;"",HYPERLINK('CCUS Projects Database'!$R543,"Link 1"),"")</f>
        <v>Link 1</v>
      </c>
      <c r="Z543" s="239" t="str">
        <f>IF('CCUS Projects Database'!$S543&lt;&gt;"",HYPERLINK('CCUS Projects Database'!$S543,"Link 2"),"")</f>
        <v>Link 2</v>
      </c>
      <c r="AA543" s="239" t="str">
        <f>IF('CCUS Projects Database'!$T543&lt;&gt;"",HYPERLINK('CCUS Projects Database'!$T543,"Link 3"),"")</f>
        <v>Link 3</v>
      </c>
      <c r="AB543" s="239" t="str">
        <f>IF('CCUS Projects Database'!$U543&lt;&gt;"",HYPERLINK('CCUS Projects Database'!$U543,"Link 4"),"")</f>
        <v>Link 4</v>
      </c>
      <c r="AC543" s="239" t="str">
        <f>IF('CCUS Projects Database'!$V543&lt;&gt;"",HYPERLINK('CCUS Projects Database'!$V543,"Link 5"),"")</f>
        <v/>
      </c>
      <c r="AD543" s="239" t="str">
        <f>IF('CCUS Projects Database'!$W543&lt;&gt;"",HYPERLINK('CCUS Projects Database'!$W543,"Link 6"),"")</f>
        <v/>
      </c>
      <c r="AE543" s="239" t="str">
        <f>IF('CCUS Projects Database'!$X543&lt;&gt;"",HYPERLINK('CCUS Projects Database'!$X543,"Link 7"),"")</f>
        <v/>
      </c>
    </row>
    <row r="544" ht="14.25" customHeight="1">
      <c r="A544" s="233" t="s">
        <v>20816</v>
      </c>
      <c r="B544" s="234">
        <v>712.0</v>
      </c>
      <c r="C544" s="234" t="s">
        <v>18586</v>
      </c>
      <c r="D544" s="235" t="s">
        <v>20817</v>
      </c>
      <c r="E544" s="234" t="s">
        <v>3</v>
      </c>
      <c r="F544" s="234">
        <v>2023.0</v>
      </c>
      <c r="G544" s="234" t="s">
        <v>18725</v>
      </c>
      <c r="H544" s="234" t="s">
        <v>18725</v>
      </c>
      <c r="I544" s="234" t="s">
        <v>18725</v>
      </c>
      <c r="J544" s="234" t="s">
        <v>18636</v>
      </c>
      <c r="K544" s="236" t="s">
        <v>18725</v>
      </c>
      <c r="L544" s="236" t="s">
        <v>18725</v>
      </c>
      <c r="M544" s="236" t="s">
        <v>18725</v>
      </c>
      <c r="N544" s="234" t="s">
        <v>3</v>
      </c>
      <c r="O544" s="237" t="s">
        <v>18675</v>
      </c>
      <c r="P544" s="238" t="s">
        <v>20818</v>
      </c>
      <c r="Q544" s="234" t="s">
        <v>18732</v>
      </c>
      <c r="R544" s="238" t="s">
        <v>20815</v>
      </c>
      <c r="S544" s="238" t="s">
        <v>20380</v>
      </c>
      <c r="T544" s="238" t="s">
        <v>18725</v>
      </c>
      <c r="U544" s="238" t="s">
        <v>18725</v>
      </c>
      <c r="V544" s="238" t="s">
        <v>18725</v>
      </c>
      <c r="W544" s="238" t="s">
        <v>18725</v>
      </c>
      <c r="X544" s="238" t="s">
        <v>18725</v>
      </c>
      <c r="Y544" s="239" t="str">
        <f>IF('CCUS Projects Database'!$R544&lt;&gt;"",HYPERLINK('CCUS Projects Database'!$R544,"Link 1"),"")</f>
        <v>Link 1</v>
      </c>
      <c r="Z544" s="239" t="str">
        <f>IF('CCUS Projects Database'!$S544&lt;&gt;"",HYPERLINK('CCUS Projects Database'!$S544,"Link 2"),"")</f>
        <v>Link 2</v>
      </c>
      <c r="AA544" s="239" t="str">
        <f>IF('CCUS Projects Database'!$T544&lt;&gt;"",HYPERLINK('CCUS Projects Database'!$T544,"Link 3"),"")</f>
        <v/>
      </c>
      <c r="AB544" s="239" t="str">
        <f>IF('CCUS Projects Database'!$U544&lt;&gt;"",HYPERLINK('CCUS Projects Database'!$U544,"Link 4"),"")</f>
        <v/>
      </c>
      <c r="AC544" s="239" t="str">
        <f>IF('CCUS Projects Database'!$V544&lt;&gt;"",HYPERLINK('CCUS Projects Database'!$V544,"Link 5"),"")</f>
        <v/>
      </c>
      <c r="AD544" s="239" t="str">
        <f>IF('CCUS Projects Database'!$W544&lt;&gt;"",HYPERLINK('CCUS Projects Database'!$W544,"Link 6"),"")</f>
        <v/>
      </c>
      <c r="AE544" s="239" t="str">
        <f>IF('CCUS Projects Database'!$X544&lt;&gt;"",HYPERLINK('CCUS Projects Database'!$X544,"Link 7"),"")</f>
        <v/>
      </c>
    </row>
    <row r="545" ht="14.25" customHeight="1">
      <c r="A545" s="233" t="s">
        <v>20819</v>
      </c>
      <c r="B545" s="234">
        <v>713.0</v>
      </c>
      <c r="C545" s="234" t="s">
        <v>18586</v>
      </c>
      <c r="D545" s="235" t="s">
        <v>20820</v>
      </c>
      <c r="E545" s="234" t="s">
        <v>3</v>
      </c>
      <c r="F545" s="234">
        <v>2023.0</v>
      </c>
      <c r="G545" s="234" t="s">
        <v>18725</v>
      </c>
      <c r="H545" s="234">
        <v>2026.0</v>
      </c>
      <c r="I545" s="234"/>
      <c r="J545" s="234" t="s">
        <v>18636</v>
      </c>
      <c r="K545" s="236" t="s">
        <v>18725</v>
      </c>
      <c r="L545" s="236" t="s">
        <v>18725</v>
      </c>
      <c r="M545" s="236">
        <v>2.5</v>
      </c>
      <c r="N545" s="234" t="s">
        <v>3</v>
      </c>
      <c r="O545" s="237" t="s">
        <v>18675</v>
      </c>
      <c r="P545" s="238" t="s">
        <v>20819</v>
      </c>
      <c r="Q545" s="234" t="s">
        <v>18732</v>
      </c>
      <c r="R545" s="238" t="s">
        <v>20380</v>
      </c>
      <c r="S545" s="238" t="s">
        <v>18725</v>
      </c>
      <c r="T545" s="238" t="s">
        <v>18725</v>
      </c>
      <c r="U545" s="238" t="s">
        <v>18725</v>
      </c>
      <c r="V545" s="238" t="s">
        <v>18725</v>
      </c>
      <c r="W545" s="238" t="s">
        <v>18725</v>
      </c>
      <c r="X545" s="238" t="s">
        <v>18725</v>
      </c>
      <c r="Y545" s="239" t="str">
        <f>IF('CCUS Projects Database'!$R545&lt;&gt;"",HYPERLINK('CCUS Projects Database'!$R545,"Link 1"),"")</f>
        <v>Link 1</v>
      </c>
      <c r="Z545" s="239" t="str">
        <f>IF('CCUS Projects Database'!$S545&lt;&gt;"",HYPERLINK('CCUS Projects Database'!$S545,"Link 2"),"")</f>
        <v/>
      </c>
      <c r="AA545" s="239" t="str">
        <f>IF('CCUS Projects Database'!$T545&lt;&gt;"",HYPERLINK('CCUS Projects Database'!$T545,"Link 3"),"")</f>
        <v/>
      </c>
      <c r="AB545" s="239" t="str">
        <f>IF('CCUS Projects Database'!$U545&lt;&gt;"",HYPERLINK('CCUS Projects Database'!$U545,"Link 4"),"")</f>
        <v/>
      </c>
      <c r="AC545" s="239" t="str">
        <f>IF('CCUS Projects Database'!$V545&lt;&gt;"",HYPERLINK('CCUS Projects Database'!$V545,"Link 5"),"")</f>
        <v/>
      </c>
      <c r="AD545" s="239" t="str">
        <f>IF('CCUS Projects Database'!$W545&lt;&gt;"",HYPERLINK('CCUS Projects Database'!$W545,"Link 6"),"")</f>
        <v/>
      </c>
      <c r="AE545" s="239" t="str">
        <f>IF('CCUS Projects Database'!$X545&lt;&gt;"",HYPERLINK('CCUS Projects Database'!$X545,"Link 7"),"")</f>
        <v/>
      </c>
    </row>
    <row r="546" ht="14.25" customHeight="1">
      <c r="A546" s="233" t="s">
        <v>20821</v>
      </c>
      <c r="B546" s="234">
        <v>714.0</v>
      </c>
      <c r="C546" s="234" t="s">
        <v>18586</v>
      </c>
      <c r="D546" s="235" t="s">
        <v>20822</v>
      </c>
      <c r="E546" s="234" t="s">
        <v>3</v>
      </c>
      <c r="F546" s="234">
        <v>2023.0</v>
      </c>
      <c r="G546" s="234" t="s">
        <v>18725</v>
      </c>
      <c r="H546" s="234" t="s">
        <v>18725</v>
      </c>
      <c r="I546" s="234" t="s">
        <v>18725</v>
      </c>
      <c r="J546" s="234" t="s">
        <v>18636</v>
      </c>
      <c r="K546" s="236" t="s">
        <v>18725</v>
      </c>
      <c r="L546" s="236" t="s">
        <v>18725</v>
      </c>
      <c r="M546" s="236">
        <v>2.1</v>
      </c>
      <c r="N546" s="234" t="s">
        <v>3</v>
      </c>
      <c r="O546" s="237" t="s">
        <v>18675</v>
      </c>
      <c r="P546" s="238" t="s">
        <v>20821</v>
      </c>
      <c r="Q546" s="234" t="s">
        <v>18732</v>
      </c>
      <c r="R546" s="238" t="s">
        <v>20380</v>
      </c>
      <c r="S546" s="238" t="s">
        <v>20792</v>
      </c>
      <c r="T546" s="238" t="s">
        <v>18725</v>
      </c>
      <c r="U546" s="238" t="s">
        <v>18725</v>
      </c>
      <c r="V546" s="238" t="s">
        <v>18725</v>
      </c>
      <c r="W546" s="238" t="s">
        <v>18725</v>
      </c>
      <c r="X546" s="238" t="s">
        <v>18725</v>
      </c>
      <c r="Y546" s="239" t="str">
        <f>IF('CCUS Projects Database'!$R546&lt;&gt;"",HYPERLINK('CCUS Projects Database'!$R546,"Link 1"),"")</f>
        <v>Link 1</v>
      </c>
      <c r="Z546" s="239" t="str">
        <f>IF('CCUS Projects Database'!$S546&lt;&gt;"",HYPERLINK('CCUS Projects Database'!$S546,"Link 2"),"")</f>
        <v>Link 2</v>
      </c>
      <c r="AA546" s="239" t="str">
        <f>IF('CCUS Projects Database'!$T546&lt;&gt;"",HYPERLINK('CCUS Projects Database'!$T546,"Link 3"),"")</f>
        <v/>
      </c>
      <c r="AB546" s="239" t="str">
        <f>IF('CCUS Projects Database'!$U546&lt;&gt;"",HYPERLINK('CCUS Projects Database'!$U546,"Link 4"),"")</f>
        <v/>
      </c>
      <c r="AC546" s="239" t="str">
        <f>IF('CCUS Projects Database'!$V546&lt;&gt;"",HYPERLINK('CCUS Projects Database'!$V546,"Link 5"),"")</f>
        <v/>
      </c>
      <c r="AD546" s="239" t="str">
        <f>IF('CCUS Projects Database'!$W546&lt;&gt;"",HYPERLINK('CCUS Projects Database'!$W546,"Link 6"),"")</f>
        <v/>
      </c>
      <c r="AE546" s="239" t="str">
        <f>IF('CCUS Projects Database'!$X546&lt;&gt;"",HYPERLINK('CCUS Projects Database'!$X546,"Link 7"),"")</f>
        <v/>
      </c>
    </row>
    <row r="547" ht="14.25" customHeight="1">
      <c r="A547" s="233" t="s">
        <v>20823</v>
      </c>
      <c r="B547" s="234">
        <v>715.0</v>
      </c>
      <c r="C547" s="234" t="s">
        <v>18586</v>
      </c>
      <c r="D547" s="235" t="s">
        <v>20824</v>
      </c>
      <c r="E547" s="234" t="s">
        <v>3</v>
      </c>
      <c r="F547" s="234">
        <v>2023.0</v>
      </c>
      <c r="G547" s="234" t="s">
        <v>18725</v>
      </c>
      <c r="H547" s="234" t="s">
        <v>18725</v>
      </c>
      <c r="I547" s="234" t="s">
        <v>18725</v>
      </c>
      <c r="J547" s="234" t="s">
        <v>18636</v>
      </c>
      <c r="K547" s="236" t="s">
        <v>18725</v>
      </c>
      <c r="L547" s="236">
        <v>1.667</v>
      </c>
      <c r="M547" s="236">
        <v>1.667</v>
      </c>
      <c r="N547" s="234" t="s">
        <v>3</v>
      </c>
      <c r="O547" s="237" t="s">
        <v>18675</v>
      </c>
      <c r="P547" s="238" t="s">
        <v>20377</v>
      </c>
      <c r="Q547" s="234" t="s">
        <v>18732</v>
      </c>
      <c r="R547" s="238" t="s">
        <v>20380</v>
      </c>
      <c r="S547" s="238" t="s">
        <v>18725</v>
      </c>
      <c r="T547" s="238" t="s">
        <v>18725</v>
      </c>
      <c r="U547" s="238" t="s">
        <v>18725</v>
      </c>
      <c r="V547" s="238" t="s">
        <v>18725</v>
      </c>
      <c r="W547" s="238" t="s">
        <v>18725</v>
      </c>
      <c r="X547" s="238" t="s">
        <v>18725</v>
      </c>
      <c r="Y547" s="239" t="str">
        <f>IF('CCUS Projects Database'!$R547&lt;&gt;"",HYPERLINK('CCUS Projects Database'!$R547,"Link 1"),"")</f>
        <v>Link 1</v>
      </c>
      <c r="Z547" s="239" t="str">
        <f>IF('CCUS Projects Database'!$S547&lt;&gt;"",HYPERLINK('CCUS Projects Database'!$S547,"Link 2"),"")</f>
        <v/>
      </c>
      <c r="AA547" s="239" t="str">
        <f>IF('CCUS Projects Database'!$T547&lt;&gt;"",HYPERLINK('CCUS Projects Database'!$T547,"Link 3"),"")</f>
        <v/>
      </c>
      <c r="AB547" s="239" t="str">
        <f>IF('CCUS Projects Database'!$U547&lt;&gt;"",HYPERLINK('CCUS Projects Database'!$U547,"Link 4"),"")</f>
        <v/>
      </c>
      <c r="AC547" s="239" t="str">
        <f>IF('CCUS Projects Database'!$V547&lt;&gt;"",HYPERLINK('CCUS Projects Database'!$V547,"Link 5"),"")</f>
        <v/>
      </c>
      <c r="AD547" s="239" t="str">
        <f>IF('CCUS Projects Database'!$W547&lt;&gt;"",HYPERLINK('CCUS Projects Database'!$W547,"Link 6"),"")</f>
        <v/>
      </c>
      <c r="AE547" s="239" t="str">
        <f>IF('CCUS Projects Database'!$X547&lt;&gt;"",HYPERLINK('CCUS Projects Database'!$X547,"Link 7"),"")</f>
        <v/>
      </c>
    </row>
    <row r="548" ht="14.25" customHeight="1">
      <c r="A548" s="233" t="s">
        <v>20825</v>
      </c>
      <c r="B548" s="234">
        <v>716.0</v>
      </c>
      <c r="C548" s="234" t="s">
        <v>18586</v>
      </c>
      <c r="D548" s="235" t="s">
        <v>20826</v>
      </c>
      <c r="E548" s="234" t="s">
        <v>18623</v>
      </c>
      <c r="F548" s="234">
        <v>2023.0</v>
      </c>
      <c r="G548" s="234">
        <v>2025.0</v>
      </c>
      <c r="H548" s="234">
        <v>2028.0</v>
      </c>
      <c r="I548" s="234" t="s">
        <v>18725</v>
      </c>
      <c r="J548" s="234" t="s">
        <v>18636</v>
      </c>
      <c r="K548" s="236" t="s">
        <v>18725</v>
      </c>
      <c r="L548" s="236">
        <v>1.8</v>
      </c>
      <c r="M548" s="236">
        <v>1.8</v>
      </c>
      <c r="N548" s="234" t="s">
        <v>18623</v>
      </c>
      <c r="O548" s="237" t="s">
        <v>18675</v>
      </c>
      <c r="P548" s="238" t="s">
        <v>20825</v>
      </c>
      <c r="Q548" s="234" t="s">
        <v>18732</v>
      </c>
      <c r="R548" s="238" t="s">
        <v>20380</v>
      </c>
      <c r="S548" s="238" t="s">
        <v>20827</v>
      </c>
      <c r="T548" s="238" t="s">
        <v>20828</v>
      </c>
      <c r="U548" s="238" t="s">
        <v>18725</v>
      </c>
      <c r="V548" s="238" t="s">
        <v>18725</v>
      </c>
      <c r="W548" s="238" t="s">
        <v>18725</v>
      </c>
      <c r="X548" s="238" t="s">
        <v>18725</v>
      </c>
      <c r="Y548" s="239" t="str">
        <f>IF('CCUS Projects Database'!$R548&lt;&gt;"",HYPERLINK('CCUS Projects Database'!$R548,"Link 1"),"")</f>
        <v>Link 1</v>
      </c>
      <c r="Z548" s="239" t="str">
        <f>IF('CCUS Projects Database'!$S548&lt;&gt;"",HYPERLINK('CCUS Projects Database'!$S548,"Link 2"),"")</f>
        <v>Link 2</v>
      </c>
      <c r="AA548" s="239" t="str">
        <f>IF('CCUS Projects Database'!$T548&lt;&gt;"",HYPERLINK('CCUS Projects Database'!$T548,"Link 3"),"")</f>
        <v>Link 3</v>
      </c>
      <c r="AB548" s="239" t="str">
        <f>IF('CCUS Projects Database'!$U548&lt;&gt;"",HYPERLINK('CCUS Projects Database'!$U548,"Link 4"),"")</f>
        <v/>
      </c>
      <c r="AC548" s="239" t="str">
        <f>IF('CCUS Projects Database'!$V548&lt;&gt;"",HYPERLINK('CCUS Projects Database'!$V548,"Link 5"),"")</f>
        <v/>
      </c>
      <c r="AD548" s="239" t="str">
        <f>IF('CCUS Projects Database'!$W548&lt;&gt;"",HYPERLINK('CCUS Projects Database'!$W548,"Link 6"),"")</f>
        <v/>
      </c>
      <c r="AE548" s="239" t="str">
        <f>IF('CCUS Projects Database'!$X548&lt;&gt;"",HYPERLINK('CCUS Projects Database'!$X548,"Link 7"),"")</f>
        <v/>
      </c>
    </row>
    <row r="549" ht="14.25" customHeight="1">
      <c r="A549" s="233" t="s">
        <v>20829</v>
      </c>
      <c r="B549" s="234">
        <v>717.0</v>
      </c>
      <c r="C549" s="234" t="s">
        <v>18586</v>
      </c>
      <c r="D549" s="235" t="s">
        <v>20830</v>
      </c>
      <c r="E549" s="234" t="s">
        <v>3</v>
      </c>
      <c r="F549" s="234">
        <v>2022.0</v>
      </c>
      <c r="G549" s="234" t="s">
        <v>18725</v>
      </c>
      <c r="H549" s="234" t="s">
        <v>18725</v>
      </c>
      <c r="I549" s="234" t="s">
        <v>18725</v>
      </c>
      <c r="J549" s="234" t="s">
        <v>18636</v>
      </c>
      <c r="K549" s="236" t="s">
        <v>18725</v>
      </c>
      <c r="L549" s="236" t="s">
        <v>18725</v>
      </c>
      <c r="M549" s="236" t="s">
        <v>18725</v>
      </c>
      <c r="N549" s="234" t="s">
        <v>3</v>
      </c>
      <c r="O549" s="237" t="s">
        <v>18675</v>
      </c>
      <c r="P549" s="238" t="s">
        <v>20829</v>
      </c>
      <c r="Q549" s="234" t="s">
        <v>18732</v>
      </c>
      <c r="R549" s="238" t="s">
        <v>20380</v>
      </c>
      <c r="S549" s="238" t="s">
        <v>18725</v>
      </c>
      <c r="T549" s="238" t="s">
        <v>18725</v>
      </c>
      <c r="U549" s="238" t="s">
        <v>18725</v>
      </c>
      <c r="V549" s="238" t="s">
        <v>18725</v>
      </c>
      <c r="W549" s="238" t="s">
        <v>18725</v>
      </c>
      <c r="X549" s="238" t="s">
        <v>18725</v>
      </c>
      <c r="Y549" s="239" t="str">
        <f>IF('CCUS Projects Database'!$R549&lt;&gt;"",HYPERLINK('CCUS Projects Database'!$R549,"Link 1"),"")</f>
        <v>Link 1</v>
      </c>
      <c r="Z549" s="239" t="str">
        <f>IF('CCUS Projects Database'!$S549&lt;&gt;"",HYPERLINK('CCUS Projects Database'!$S549,"Link 2"),"")</f>
        <v/>
      </c>
      <c r="AA549" s="239" t="str">
        <f>IF('CCUS Projects Database'!$T549&lt;&gt;"",HYPERLINK('CCUS Projects Database'!$T549,"Link 3"),"")</f>
        <v/>
      </c>
      <c r="AB549" s="239" t="str">
        <f>IF('CCUS Projects Database'!$U549&lt;&gt;"",HYPERLINK('CCUS Projects Database'!$U549,"Link 4"),"")</f>
        <v/>
      </c>
      <c r="AC549" s="239" t="str">
        <f>IF('CCUS Projects Database'!$V549&lt;&gt;"",HYPERLINK('CCUS Projects Database'!$V549,"Link 5"),"")</f>
        <v/>
      </c>
      <c r="AD549" s="239" t="str">
        <f>IF('CCUS Projects Database'!$W549&lt;&gt;"",HYPERLINK('CCUS Projects Database'!$W549,"Link 6"),"")</f>
        <v/>
      </c>
      <c r="AE549" s="239" t="str">
        <f>IF('CCUS Projects Database'!$X549&lt;&gt;"",HYPERLINK('CCUS Projects Database'!$X549,"Link 7"),"")</f>
        <v/>
      </c>
    </row>
    <row r="550" ht="14.25" customHeight="1">
      <c r="A550" s="233" t="s">
        <v>20831</v>
      </c>
      <c r="B550" s="234">
        <v>718.0</v>
      </c>
      <c r="C550" s="234" t="s">
        <v>18586</v>
      </c>
      <c r="D550" s="235" t="s">
        <v>20832</v>
      </c>
      <c r="E550" s="234" t="s">
        <v>18623</v>
      </c>
      <c r="F550" s="234">
        <v>2022.0</v>
      </c>
      <c r="G550" s="234" t="s">
        <v>18725</v>
      </c>
      <c r="H550" s="234">
        <v>2030.0</v>
      </c>
      <c r="I550" s="234" t="s">
        <v>18725</v>
      </c>
      <c r="J550" s="234" t="s">
        <v>18636</v>
      </c>
      <c r="K550" s="236" t="s">
        <v>18725</v>
      </c>
      <c r="L550" s="236" t="s">
        <v>18725</v>
      </c>
      <c r="M550" s="236" t="s">
        <v>18725</v>
      </c>
      <c r="N550" s="234" t="s">
        <v>18623</v>
      </c>
      <c r="O550" s="237" t="s">
        <v>18675</v>
      </c>
      <c r="P550" s="238" t="s">
        <v>20831</v>
      </c>
      <c r="Q550" s="234" t="s">
        <v>18732</v>
      </c>
      <c r="R550" s="238" t="s">
        <v>20380</v>
      </c>
      <c r="S550" s="238" t="s">
        <v>20833</v>
      </c>
      <c r="T550" s="238" t="s">
        <v>20834</v>
      </c>
      <c r="U550" s="238" t="s">
        <v>20792</v>
      </c>
      <c r="V550" s="238" t="s">
        <v>18725</v>
      </c>
      <c r="W550" s="238" t="s">
        <v>18725</v>
      </c>
      <c r="X550" s="238" t="s">
        <v>18725</v>
      </c>
      <c r="Y550" s="239" t="str">
        <f>IF('CCUS Projects Database'!$R550&lt;&gt;"",HYPERLINK('CCUS Projects Database'!$R550,"Link 1"),"")</f>
        <v>Link 1</v>
      </c>
      <c r="Z550" s="239" t="str">
        <f>IF('CCUS Projects Database'!$S550&lt;&gt;"",HYPERLINK('CCUS Projects Database'!$S550,"Link 2"),"")</f>
        <v>Link 2</v>
      </c>
      <c r="AA550" s="239" t="str">
        <f>IF('CCUS Projects Database'!$T550&lt;&gt;"",HYPERLINK('CCUS Projects Database'!$T550,"Link 3"),"")</f>
        <v>Link 3</v>
      </c>
      <c r="AB550" s="239" t="str">
        <f>IF('CCUS Projects Database'!$U550&lt;&gt;"",HYPERLINK('CCUS Projects Database'!$U550,"Link 4"),"")</f>
        <v>Link 4</v>
      </c>
      <c r="AC550" s="239" t="str">
        <f>IF('CCUS Projects Database'!$V550&lt;&gt;"",HYPERLINK('CCUS Projects Database'!$V550,"Link 5"),"")</f>
        <v/>
      </c>
      <c r="AD550" s="239" t="str">
        <f>IF('CCUS Projects Database'!$W550&lt;&gt;"",HYPERLINK('CCUS Projects Database'!$W550,"Link 6"),"")</f>
        <v/>
      </c>
      <c r="AE550" s="239" t="str">
        <f>IF('CCUS Projects Database'!$X550&lt;&gt;"",HYPERLINK('CCUS Projects Database'!$X550,"Link 7"),"")</f>
        <v/>
      </c>
    </row>
    <row r="551" ht="14.25" customHeight="1">
      <c r="A551" s="233" t="s">
        <v>20835</v>
      </c>
      <c r="B551" s="234">
        <v>719.0</v>
      </c>
      <c r="C551" s="234" t="s">
        <v>18586</v>
      </c>
      <c r="D551" s="235" t="s">
        <v>20836</v>
      </c>
      <c r="E551" s="234" t="s">
        <v>3</v>
      </c>
      <c r="F551" s="234">
        <v>2023.0</v>
      </c>
      <c r="G551" s="234" t="s">
        <v>18725</v>
      </c>
      <c r="H551" s="234" t="s">
        <v>18725</v>
      </c>
      <c r="I551" s="234" t="s">
        <v>18725</v>
      </c>
      <c r="J551" s="234" t="s">
        <v>18636</v>
      </c>
      <c r="K551" s="236" t="s">
        <v>18725</v>
      </c>
      <c r="L551" s="236" t="s">
        <v>18725</v>
      </c>
      <c r="M551" s="236" t="s">
        <v>18725</v>
      </c>
      <c r="N551" s="234" t="s">
        <v>3</v>
      </c>
      <c r="O551" s="237" t="s">
        <v>18675</v>
      </c>
      <c r="P551" s="238" t="s">
        <v>20835</v>
      </c>
      <c r="Q551" s="234" t="s">
        <v>18732</v>
      </c>
      <c r="R551" s="238" t="s">
        <v>20380</v>
      </c>
      <c r="S551" s="238" t="s">
        <v>20792</v>
      </c>
      <c r="T551" s="238" t="s">
        <v>18725</v>
      </c>
      <c r="U551" s="238" t="s">
        <v>18725</v>
      </c>
      <c r="V551" s="238" t="s">
        <v>18725</v>
      </c>
      <c r="W551" s="238" t="s">
        <v>18725</v>
      </c>
      <c r="X551" s="238" t="s">
        <v>18725</v>
      </c>
      <c r="Y551" s="239" t="str">
        <f>IF('CCUS Projects Database'!$R551&lt;&gt;"",HYPERLINK('CCUS Projects Database'!$R551,"Link 1"),"")</f>
        <v>Link 1</v>
      </c>
      <c r="Z551" s="239" t="str">
        <f>IF('CCUS Projects Database'!$S551&lt;&gt;"",HYPERLINK('CCUS Projects Database'!$S551,"Link 2"),"")</f>
        <v>Link 2</v>
      </c>
      <c r="AA551" s="239" t="str">
        <f>IF('CCUS Projects Database'!$T551&lt;&gt;"",HYPERLINK('CCUS Projects Database'!$T551,"Link 3"),"")</f>
        <v/>
      </c>
      <c r="AB551" s="239" t="str">
        <f>IF('CCUS Projects Database'!$U551&lt;&gt;"",HYPERLINK('CCUS Projects Database'!$U551,"Link 4"),"")</f>
        <v/>
      </c>
      <c r="AC551" s="239" t="str">
        <f>IF('CCUS Projects Database'!$V551&lt;&gt;"",HYPERLINK('CCUS Projects Database'!$V551,"Link 5"),"")</f>
        <v/>
      </c>
      <c r="AD551" s="239" t="str">
        <f>IF('CCUS Projects Database'!$W551&lt;&gt;"",HYPERLINK('CCUS Projects Database'!$W551,"Link 6"),"")</f>
        <v/>
      </c>
      <c r="AE551" s="239" t="str">
        <f>IF('CCUS Projects Database'!$X551&lt;&gt;"",HYPERLINK('CCUS Projects Database'!$X551,"Link 7"),"")</f>
        <v/>
      </c>
    </row>
    <row r="552" ht="14.25" customHeight="1">
      <c r="A552" s="233" t="s">
        <v>20837</v>
      </c>
      <c r="B552" s="234">
        <v>720.0</v>
      </c>
      <c r="C552" s="234" t="s">
        <v>18586</v>
      </c>
      <c r="D552" s="235" t="s">
        <v>20838</v>
      </c>
      <c r="E552" s="234" t="s">
        <v>3</v>
      </c>
      <c r="F552" s="234">
        <v>2023.0</v>
      </c>
      <c r="G552" s="234" t="s">
        <v>18725</v>
      </c>
      <c r="H552" s="234" t="s">
        <v>18725</v>
      </c>
      <c r="I552" s="234" t="s">
        <v>18725</v>
      </c>
      <c r="J552" s="234" t="s">
        <v>18636</v>
      </c>
      <c r="K552" s="236" t="s">
        <v>18725</v>
      </c>
      <c r="L552" s="236" t="s">
        <v>18725</v>
      </c>
      <c r="M552" s="236" t="s">
        <v>18725</v>
      </c>
      <c r="N552" s="234" t="s">
        <v>3</v>
      </c>
      <c r="O552" s="237" t="s">
        <v>18675</v>
      </c>
      <c r="P552" s="238" t="s">
        <v>20837</v>
      </c>
      <c r="Q552" s="234" t="s">
        <v>18732</v>
      </c>
      <c r="R552" s="238" t="s">
        <v>20380</v>
      </c>
      <c r="S552" s="238" t="s">
        <v>18725</v>
      </c>
      <c r="T552" s="238" t="s">
        <v>18725</v>
      </c>
      <c r="U552" s="238" t="s">
        <v>18725</v>
      </c>
      <c r="V552" s="238" t="s">
        <v>18725</v>
      </c>
      <c r="W552" s="238" t="s">
        <v>18725</v>
      </c>
      <c r="X552" s="238" t="s">
        <v>18725</v>
      </c>
      <c r="Y552" s="239" t="str">
        <f>IF('CCUS Projects Database'!$R552&lt;&gt;"",HYPERLINK('CCUS Projects Database'!$R552,"Link 1"),"")</f>
        <v>Link 1</v>
      </c>
      <c r="Z552" s="239" t="str">
        <f>IF('CCUS Projects Database'!$S552&lt;&gt;"",HYPERLINK('CCUS Projects Database'!$S552,"Link 2"),"")</f>
        <v/>
      </c>
      <c r="AA552" s="239" t="str">
        <f>IF('CCUS Projects Database'!$T552&lt;&gt;"",HYPERLINK('CCUS Projects Database'!$T552,"Link 3"),"")</f>
        <v/>
      </c>
      <c r="AB552" s="239" t="str">
        <f>IF('CCUS Projects Database'!$U552&lt;&gt;"",HYPERLINK('CCUS Projects Database'!$U552,"Link 4"),"")</f>
        <v/>
      </c>
      <c r="AC552" s="239" t="str">
        <f>IF('CCUS Projects Database'!$V552&lt;&gt;"",HYPERLINK('CCUS Projects Database'!$V552,"Link 5"),"")</f>
        <v/>
      </c>
      <c r="AD552" s="239" t="str">
        <f>IF('CCUS Projects Database'!$W552&lt;&gt;"",HYPERLINK('CCUS Projects Database'!$W552,"Link 6"),"")</f>
        <v/>
      </c>
      <c r="AE552" s="239" t="str">
        <f>IF('CCUS Projects Database'!$X552&lt;&gt;"",HYPERLINK('CCUS Projects Database'!$X552,"Link 7"),"")</f>
        <v/>
      </c>
    </row>
    <row r="553" ht="14.25" customHeight="1">
      <c r="A553" s="233" t="s">
        <v>20839</v>
      </c>
      <c r="B553" s="234">
        <v>721.0</v>
      </c>
      <c r="C553" s="234" t="s">
        <v>18586</v>
      </c>
      <c r="D553" s="235" t="s">
        <v>20840</v>
      </c>
      <c r="E553" s="234" t="s">
        <v>18616</v>
      </c>
      <c r="F553" s="234">
        <v>2023.0</v>
      </c>
      <c r="G553" s="234" t="s">
        <v>18725</v>
      </c>
      <c r="H553" s="234" t="s">
        <v>18725</v>
      </c>
      <c r="I553" s="234" t="s">
        <v>18725</v>
      </c>
      <c r="J553" s="234" t="s">
        <v>18636</v>
      </c>
      <c r="K553" s="236" t="s">
        <v>18725</v>
      </c>
      <c r="L553" s="236">
        <v>1.7</v>
      </c>
      <c r="M553" s="236">
        <v>1.7</v>
      </c>
      <c r="N553" s="234" t="s">
        <v>18654</v>
      </c>
      <c r="O553" s="237" t="s">
        <v>18675</v>
      </c>
      <c r="P553" s="238" t="s">
        <v>18725</v>
      </c>
      <c r="Q553" s="234" t="s">
        <v>18732</v>
      </c>
      <c r="R553" s="238" t="s">
        <v>20380</v>
      </c>
      <c r="S553" s="238" t="s">
        <v>20841</v>
      </c>
      <c r="T553" s="238" t="s">
        <v>20792</v>
      </c>
      <c r="U553" s="238" t="s">
        <v>18725</v>
      </c>
      <c r="V553" s="238" t="s">
        <v>18725</v>
      </c>
      <c r="W553" s="238" t="s">
        <v>18725</v>
      </c>
      <c r="X553" s="238" t="s">
        <v>18725</v>
      </c>
      <c r="Y553" s="239" t="str">
        <f>IF('CCUS Projects Database'!$R553&lt;&gt;"",HYPERLINK('CCUS Projects Database'!$R553,"Link 1"),"")</f>
        <v>Link 1</v>
      </c>
      <c r="Z553" s="239" t="str">
        <f>IF('CCUS Projects Database'!$S553&lt;&gt;"",HYPERLINK('CCUS Projects Database'!$S553,"Link 2"),"")</f>
        <v>Link 2</v>
      </c>
      <c r="AA553" s="239" t="str">
        <f>IF('CCUS Projects Database'!$T553&lt;&gt;"",HYPERLINK('CCUS Projects Database'!$T553,"Link 3"),"")</f>
        <v>Link 3</v>
      </c>
      <c r="AB553" s="239" t="str">
        <f>IF('CCUS Projects Database'!$U553&lt;&gt;"",HYPERLINK('CCUS Projects Database'!$U553,"Link 4"),"")</f>
        <v/>
      </c>
      <c r="AC553" s="239" t="str">
        <f>IF('CCUS Projects Database'!$V553&lt;&gt;"",HYPERLINK('CCUS Projects Database'!$V553,"Link 5"),"")</f>
        <v/>
      </c>
      <c r="AD553" s="239" t="str">
        <f>IF('CCUS Projects Database'!$W553&lt;&gt;"",HYPERLINK('CCUS Projects Database'!$W553,"Link 6"),"")</f>
        <v/>
      </c>
      <c r="AE553" s="239" t="str">
        <f>IF('CCUS Projects Database'!$X553&lt;&gt;"",HYPERLINK('CCUS Projects Database'!$X553,"Link 7"),"")</f>
        <v/>
      </c>
    </row>
    <row r="554" ht="14.25" customHeight="1">
      <c r="A554" s="233" t="s">
        <v>20842</v>
      </c>
      <c r="B554" s="234">
        <v>722.0</v>
      </c>
      <c r="C554" s="234" t="s">
        <v>18264</v>
      </c>
      <c r="D554" s="235" t="s">
        <v>20843</v>
      </c>
      <c r="E554" s="234" t="s">
        <v>18618</v>
      </c>
      <c r="F554" s="234">
        <v>2022.0</v>
      </c>
      <c r="G554" s="234">
        <v>2025.0</v>
      </c>
      <c r="H554" s="234">
        <v>2030.0</v>
      </c>
      <c r="I554" s="234" t="s">
        <v>18725</v>
      </c>
      <c r="J554" s="234" t="s">
        <v>18636</v>
      </c>
      <c r="K554" s="236" t="s">
        <v>18725</v>
      </c>
      <c r="L554" s="236" t="s">
        <v>20321</v>
      </c>
      <c r="M554" s="236">
        <v>12.0</v>
      </c>
      <c r="N554" s="234" t="s">
        <v>18661</v>
      </c>
      <c r="O554" s="237" t="s">
        <v>18675</v>
      </c>
      <c r="P554" s="238" t="s">
        <v>20322</v>
      </c>
      <c r="Q554" s="234" t="s">
        <v>18732</v>
      </c>
      <c r="R554" s="238" t="s">
        <v>20289</v>
      </c>
      <c r="S554" s="238" t="s">
        <v>20323</v>
      </c>
      <c r="T554" s="238" t="s">
        <v>20324</v>
      </c>
      <c r="U554" s="238" t="s">
        <v>20325</v>
      </c>
      <c r="V554" s="238" t="s">
        <v>20326</v>
      </c>
      <c r="W554" s="238" t="s">
        <v>18725</v>
      </c>
      <c r="X554" s="238" t="s">
        <v>18725</v>
      </c>
      <c r="Y554" s="239" t="str">
        <f>IF('CCUS Projects Database'!$R554&lt;&gt;"",HYPERLINK('CCUS Projects Database'!$R554,"Link 1"),"")</f>
        <v>Link 1</v>
      </c>
      <c r="Z554" s="239" t="str">
        <f>IF('CCUS Projects Database'!$S554&lt;&gt;"",HYPERLINK('CCUS Projects Database'!$S554,"Link 2"),"")</f>
        <v>Link 2</v>
      </c>
      <c r="AA554" s="239" t="str">
        <f>IF('CCUS Projects Database'!$T554&lt;&gt;"",HYPERLINK('CCUS Projects Database'!$T554,"Link 3"),"")</f>
        <v>Link 3</v>
      </c>
      <c r="AB554" s="239" t="str">
        <f>IF('CCUS Projects Database'!$U554&lt;&gt;"",HYPERLINK('CCUS Projects Database'!$U554,"Link 4"),"")</f>
        <v>Link 4</v>
      </c>
      <c r="AC554" s="239" t="str">
        <f>IF('CCUS Projects Database'!$V554&lt;&gt;"",HYPERLINK('CCUS Projects Database'!$V554,"Link 5"),"")</f>
        <v>Link 5</v>
      </c>
      <c r="AD554" s="239" t="str">
        <f>IF('CCUS Projects Database'!$W554&lt;&gt;"",HYPERLINK('CCUS Projects Database'!$W554,"Link 6"),"")</f>
        <v/>
      </c>
      <c r="AE554" s="239" t="str">
        <f>IF('CCUS Projects Database'!$X554&lt;&gt;"",HYPERLINK('CCUS Projects Database'!$X554,"Link 7"),"")</f>
        <v/>
      </c>
    </row>
    <row r="555" ht="14.25" customHeight="1">
      <c r="A555" s="233" t="s">
        <v>20844</v>
      </c>
      <c r="B555" s="234">
        <v>725.0</v>
      </c>
      <c r="C555" s="234" t="s">
        <v>18426</v>
      </c>
      <c r="D555" s="235" t="s">
        <v>20845</v>
      </c>
      <c r="E555" s="234" t="s">
        <v>3</v>
      </c>
      <c r="F555" s="234" t="s">
        <v>18725</v>
      </c>
      <c r="G555" s="234" t="s">
        <v>18725</v>
      </c>
      <c r="H555" s="234" t="s">
        <v>18725</v>
      </c>
      <c r="I555" s="234" t="s">
        <v>18725</v>
      </c>
      <c r="J555" s="234" t="s">
        <v>18636</v>
      </c>
      <c r="K555" s="236" t="s">
        <v>18725</v>
      </c>
      <c r="L555" s="236" t="s">
        <v>18725</v>
      </c>
      <c r="M555" s="236" t="s">
        <v>18725</v>
      </c>
      <c r="N555" s="234" t="s">
        <v>3</v>
      </c>
      <c r="O555" s="237" t="s">
        <v>18677</v>
      </c>
      <c r="P555" s="238" t="s">
        <v>18725</v>
      </c>
      <c r="Q555" s="234" t="s">
        <v>18726</v>
      </c>
      <c r="R555" s="238" t="s">
        <v>17892</v>
      </c>
      <c r="S555" s="238" t="s">
        <v>18725</v>
      </c>
      <c r="T555" s="238" t="s">
        <v>18725</v>
      </c>
      <c r="U555" s="238" t="s">
        <v>18725</v>
      </c>
      <c r="V555" s="238" t="s">
        <v>18725</v>
      </c>
      <c r="W555" s="238" t="s">
        <v>18725</v>
      </c>
      <c r="X555" s="238" t="s">
        <v>18725</v>
      </c>
      <c r="Y555" s="239" t="str">
        <f>IF('CCUS Projects Database'!$R555&lt;&gt;"",HYPERLINK('CCUS Projects Database'!$R555,"Link 1"),"")</f>
        <v>Link 1</v>
      </c>
      <c r="Z555" s="239" t="str">
        <f>IF('CCUS Projects Database'!$S555&lt;&gt;"",HYPERLINK('CCUS Projects Database'!$S555,"Link 2"),"")</f>
        <v/>
      </c>
      <c r="AA555" s="239" t="str">
        <f>IF('CCUS Projects Database'!$T555&lt;&gt;"",HYPERLINK('CCUS Projects Database'!$T555,"Link 3"),"")</f>
        <v/>
      </c>
      <c r="AB555" s="239" t="str">
        <f>IF('CCUS Projects Database'!$U555&lt;&gt;"",HYPERLINK('CCUS Projects Database'!$U555,"Link 4"),"")</f>
        <v/>
      </c>
      <c r="AC555" s="239" t="str">
        <f>IF('CCUS Projects Database'!$V555&lt;&gt;"",HYPERLINK('CCUS Projects Database'!$V555,"Link 5"),"")</f>
        <v/>
      </c>
      <c r="AD555" s="239" t="str">
        <f>IF('CCUS Projects Database'!$W555&lt;&gt;"",HYPERLINK('CCUS Projects Database'!$W555,"Link 6"),"")</f>
        <v/>
      </c>
      <c r="AE555" s="239" t="str">
        <f>IF('CCUS Projects Database'!$X555&lt;&gt;"",HYPERLINK('CCUS Projects Database'!$X555,"Link 7"),"")</f>
        <v/>
      </c>
    </row>
    <row r="556" ht="14.25" customHeight="1">
      <c r="A556" s="233" t="s">
        <v>20846</v>
      </c>
      <c r="B556" s="234">
        <v>726.0</v>
      </c>
      <c r="C556" s="234" t="s">
        <v>18426</v>
      </c>
      <c r="D556" s="235" t="s">
        <v>20847</v>
      </c>
      <c r="E556" s="234" t="s">
        <v>18618</v>
      </c>
      <c r="F556" s="234">
        <v>2021.0</v>
      </c>
      <c r="G556" s="234" t="s">
        <v>18725</v>
      </c>
      <c r="H556" s="234">
        <v>2027.0</v>
      </c>
      <c r="I556" s="234" t="s">
        <v>18725</v>
      </c>
      <c r="J556" s="234" t="s">
        <v>18636</v>
      </c>
      <c r="K556" s="236" t="s">
        <v>18725</v>
      </c>
      <c r="L556" s="236">
        <v>0.19</v>
      </c>
      <c r="M556" s="236">
        <v>0.19</v>
      </c>
      <c r="N556" s="234" t="s">
        <v>677</v>
      </c>
      <c r="O556" s="237" t="s">
        <v>18683</v>
      </c>
      <c r="P556" s="238" t="s">
        <v>20844</v>
      </c>
      <c r="Q556" s="234" t="s">
        <v>18726</v>
      </c>
      <c r="R556" s="238" t="s">
        <v>17891</v>
      </c>
      <c r="S556" s="238" t="s">
        <v>17892</v>
      </c>
      <c r="T556" s="238" t="s">
        <v>18725</v>
      </c>
      <c r="U556" s="238" t="s">
        <v>18725</v>
      </c>
      <c r="V556" s="238" t="s">
        <v>18725</v>
      </c>
      <c r="W556" s="238" t="s">
        <v>18725</v>
      </c>
      <c r="X556" s="238" t="s">
        <v>18725</v>
      </c>
      <c r="Y556" s="239" t="str">
        <f>IF('CCUS Projects Database'!$R556&lt;&gt;"",HYPERLINK('CCUS Projects Database'!$R556,"Link 1"),"")</f>
        <v>Link 1</v>
      </c>
      <c r="Z556" s="239" t="str">
        <f>IF('CCUS Projects Database'!$S556&lt;&gt;"",HYPERLINK('CCUS Projects Database'!$S556,"Link 2"),"")</f>
        <v>Link 2</v>
      </c>
      <c r="AA556" s="239" t="str">
        <f>IF('CCUS Projects Database'!$T556&lt;&gt;"",HYPERLINK('CCUS Projects Database'!$T556,"Link 3"),"")</f>
        <v/>
      </c>
      <c r="AB556" s="239" t="str">
        <f>IF('CCUS Projects Database'!$U556&lt;&gt;"",HYPERLINK('CCUS Projects Database'!$U556,"Link 4"),"")</f>
        <v/>
      </c>
      <c r="AC556" s="239" t="str">
        <f>IF('CCUS Projects Database'!$V556&lt;&gt;"",HYPERLINK('CCUS Projects Database'!$V556,"Link 5"),"")</f>
        <v/>
      </c>
      <c r="AD556" s="239" t="str">
        <f>IF('CCUS Projects Database'!$W556&lt;&gt;"",HYPERLINK('CCUS Projects Database'!$W556,"Link 6"),"")</f>
        <v/>
      </c>
      <c r="AE556" s="239" t="str">
        <f>IF('CCUS Projects Database'!$X556&lt;&gt;"",HYPERLINK('CCUS Projects Database'!$X556,"Link 7"),"")</f>
        <v/>
      </c>
    </row>
    <row r="557" ht="14.25" customHeight="1">
      <c r="A557" s="233" t="s">
        <v>20848</v>
      </c>
      <c r="B557" s="234">
        <v>727.0</v>
      </c>
      <c r="C557" s="234" t="s">
        <v>86</v>
      </c>
      <c r="D557" s="235" t="s">
        <v>20849</v>
      </c>
      <c r="E557" s="234" t="s">
        <v>18618</v>
      </c>
      <c r="F557" s="234">
        <v>2021.0</v>
      </c>
      <c r="G557" s="234" t="s">
        <v>18725</v>
      </c>
      <c r="H557" s="234">
        <v>2030.0</v>
      </c>
      <c r="I557" s="234" t="s">
        <v>18725</v>
      </c>
      <c r="J557" s="234" t="s">
        <v>18636</v>
      </c>
      <c r="K557" s="236" t="s">
        <v>18725</v>
      </c>
      <c r="L557" s="236" t="s">
        <v>18725</v>
      </c>
      <c r="M557" s="236" t="s">
        <v>18725</v>
      </c>
      <c r="N557" s="234" t="s">
        <v>18661</v>
      </c>
      <c r="O557" s="237" t="s">
        <v>18683</v>
      </c>
      <c r="P557" s="238" t="s">
        <v>18725</v>
      </c>
      <c r="Q557" s="234" t="s">
        <v>18726</v>
      </c>
      <c r="R557" s="238" t="s">
        <v>20850</v>
      </c>
      <c r="S557" s="238" t="s">
        <v>18886</v>
      </c>
      <c r="T557" s="238" t="s">
        <v>20851</v>
      </c>
      <c r="U557" s="238" t="s">
        <v>18725</v>
      </c>
      <c r="V557" s="238" t="s">
        <v>18725</v>
      </c>
      <c r="W557" s="238" t="s">
        <v>18725</v>
      </c>
      <c r="X557" s="238" t="s">
        <v>18725</v>
      </c>
      <c r="Y557" s="239" t="str">
        <f>IF('CCUS Projects Database'!$R557&lt;&gt;"",HYPERLINK('CCUS Projects Database'!$R557,"Link 1"),"")</f>
        <v>Link 1</v>
      </c>
      <c r="Z557" s="239" t="str">
        <f>IF('CCUS Projects Database'!$S557&lt;&gt;"",HYPERLINK('CCUS Projects Database'!$S557,"Link 2"),"")</f>
        <v>Link 2</v>
      </c>
      <c r="AA557" s="239" t="str">
        <f>IF('CCUS Projects Database'!$T557&lt;&gt;"",HYPERLINK('CCUS Projects Database'!$T557,"Link 3"),"")</f>
        <v>Link 3</v>
      </c>
      <c r="AB557" s="239" t="str">
        <f>IF('CCUS Projects Database'!$U557&lt;&gt;"",HYPERLINK('CCUS Projects Database'!$U557,"Link 4"),"")</f>
        <v/>
      </c>
      <c r="AC557" s="239" t="str">
        <f>IF('CCUS Projects Database'!$V557&lt;&gt;"",HYPERLINK('CCUS Projects Database'!$V557,"Link 5"),"")</f>
        <v/>
      </c>
      <c r="AD557" s="239" t="str">
        <f>IF('CCUS Projects Database'!$W557&lt;&gt;"",HYPERLINK('CCUS Projects Database'!$W557,"Link 6"),"")</f>
        <v/>
      </c>
      <c r="AE557" s="239" t="str">
        <f>IF('CCUS Projects Database'!$X557&lt;&gt;"",HYPERLINK('CCUS Projects Database'!$X557,"Link 7"),"")</f>
        <v/>
      </c>
    </row>
    <row r="558" ht="14.25" customHeight="1">
      <c r="A558" s="233" t="s">
        <v>20852</v>
      </c>
      <c r="B558" s="234">
        <v>728.0</v>
      </c>
      <c r="C558" s="234" t="s">
        <v>86</v>
      </c>
      <c r="D558" s="235" t="s">
        <v>20853</v>
      </c>
      <c r="E558" s="234" t="s">
        <v>18618</v>
      </c>
      <c r="F558" s="234">
        <v>2021.0</v>
      </c>
      <c r="G558" s="234" t="s">
        <v>18725</v>
      </c>
      <c r="H558" s="234">
        <v>2030.0</v>
      </c>
      <c r="I558" s="234" t="s">
        <v>18725</v>
      </c>
      <c r="J558" s="234" t="s">
        <v>18636</v>
      </c>
      <c r="K558" s="236" t="s">
        <v>18725</v>
      </c>
      <c r="L558" s="236">
        <v>1.5</v>
      </c>
      <c r="M558" s="236">
        <v>1.5</v>
      </c>
      <c r="N558" s="234" t="s">
        <v>18663</v>
      </c>
      <c r="O558" s="237" t="s">
        <v>18675</v>
      </c>
      <c r="P558" s="238" t="s">
        <v>20702</v>
      </c>
      <c r="Q558" s="234" t="s">
        <v>18726</v>
      </c>
      <c r="R558" s="238" t="s">
        <v>20850</v>
      </c>
      <c r="S558" s="238" t="s">
        <v>20854</v>
      </c>
      <c r="T558" s="238" t="s">
        <v>20855</v>
      </c>
      <c r="U558" s="238" t="s">
        <v>20856</v>
      </c>
      <c r="V558" s="238" t="s">
        <v>18725</v>
      </c>
      <c r="W558" s="238" t="s">
        <v>18725</v>
      </c>
      <c r="X558" s="238" t="s">
        <v>18725</v>
      </c>
      <c r="Y558" s="239" t="str">
        <f>IF('CCUS Projects Database'!$R558&lt;&gt;"",HYPERLINK('CCUS Projects Database'!$R558,"Link 1"),"")</f>
        <v>Link 1</v>
      </c>
      <c r="Z558" s="239" t="str">
        <f>IF('CCUS Projects Database'!$S558&lt;&gt;"",HYPERLINK('CCUS Projects Database'!$S558,"Link 2"),"")</f>
        <v>Link 2</v>
      </c>
      <c r="AA558" s="239" t="str">
        <f>IF('CCUS Projects Database'!$T558&lt;&gt;"",HYPERLINK('CCUS Projects Database'!$T558,"Link 3"),"")</f>
        <v>Link 3</v>
      </c>
      <c r="AB558" s="239" t="str">
        <f>IF('CCUS Projects Database'!$U558&lt;&gt;"",HYPERLINK('CCUS Projects Database'!$U558,"Link 4"),"")</f>
        <v>Link 4</v>
      </c>
      <c r="AC558" s="239" t="str">
        <f>IF('CCUS Projects Database'!$V558&lt;&gt;"",HYPERLINK('CCUS Projects Database'!$V558,"Link 5"),"")</f>
        <v/>
      </c>
      <c r="AD558" s="239" t="str">
        <f>IF('CCUS Projects Database'!$W558&lt;&gt;"",HYPERLINK('CCUS Projects Database'!$W558,"Link 6"),"")</f>
        <v/>
      </c>
      <c r="AE558" s="239" t="str">
        <f>IF('CCUS Projects Database'!$X558&lt;&gt;"",HYPERLINK('CCUS Projects Database'!$X558,"Link 7"),"")</f>
        <v/>
      </c>
    </row>
    <row r="559" ht="14.25" customHeight="1">
      <c r="A559" s="233" t="s">
        <v>20857</v>
      </c>
      <c r="B559" s="234">
        <v>729.0</v>
      </c>
      <c r="C559" s="234" t="s">
        <v>86</v>
      </c>
      <c r="D559" s="235" t="s">
        <v>20858</v>
      </c>
      <c r="E559" s="234" t="s">
        <v>18618</v>
      </c>
      <c r="F559" s="234">
        <v>2021.0</v>
      </c>
      <c r="G559" s="234" t="s">
        <v>18725</v>
      </c>
      <c r="H559" s="234">
        <v>2030.0</v>
      </c>
      <c r="I559" s="234" t="s">
        <v>18725</v>
      </c>
      <c r="J559" s="234" t="s">
        <v>18636</v>
      </c>
      <c r="K559" s="236" t="s">
        <v>18725</v>
      </c>
      <c r="L559" s="236" t="s">
        <v>18725</v>
      </c>
      <c r="M559" s="236" t="s">
        <v>18725</v>
      </c>
      <c r="N559" s="234" t="s">
        <v>18654</v>
      </c>
      <c r="O559" s="237" t="s">
        <v>18683</v>
      </c>
      <c r="P559" s="238" t="s">
        <v>18725</v>
      </c>
      <c r="Q559" s="234" t="s">
        <v>18726</v>
      </c>
      <c r="R559" s="238" t="s">
        <v>20850</v>
      </c>
      <c r="S559" s="238" t="s">
        <v>18725</v>
      </c>
      <c r="T559" s="238" t="s">
        <v>18725</v>
      </c>
      <c r="U559" s="238" t="s">
        <v>18725</v>
      </c>
      <c r="V559" s="238" t="s">
        <v>18725</v>
      </c>
      <c r="W559" s="238" t="s">
        <v>18725</v>
      </c>
      <c r="X559" s="238" t="s">
        <v>18725</v>
      </c>
      <c r="Y559" s="239" t="str">
        <f>IF('CCUS Projects Database'!$R559&lt;&gt;"",HYPERLINK('CCUS Projects Database'!$R559,"Link 1"),"")</f>
        <v>Link 1</v>
      </c>
      <c r="Z559" s="239" t="str">
        <f>IF('CCUS Projects Database'!$S559&lt;&gt;"",HYPERLINK('CCUS Projects Database'!$S559,"Link 2"),"")</f>
        <v/>
      </c>
      <c r="AA559" s="239" t="str">
        <f>IF('CCUS Projects Database'!$T559&lt;&gt;"",HYPERLINK('CCUS Projects Database'!$T559,"Link 3"),"")</f>
        <v/>
      </c>
      <c r="AB559" s="239" t="str">
        <f>IF('CCUS Projects Database'!$U559&lt;&gt;"",HYPERLINK('CCUS Projects Database'!$U559,"Link 4"),"")</f>
        <v/>
      </c>
      <c r="AC559" s="239" t="str">
        <f>IF('CCUS Projects Database'!$V559&lt;&gt;"",HYPERLINK('CCUS Projects Database'!$V559,"Link 5"),"")</f>
        <v/>
      </c>
      <c r="AD559" s="239" t="str">
        <f>IF('CCUS Projects Database'!$W559&lt;&gt;"",HYPERLINK('CCUS Projects Database'!$W559,"Link 6"),"")</f>
        <v/>
      </c>
      <c r="AE559" s="239" t="str">
        <f>IF('CCUS Projects Database'!$X559&lt;&gt;"",HYPERLINK('CCUS Projects Database'!$X559,"Link 7"),"")</f>
        <v/>
      </c>
    </row>
    <row r="560" ht="14.25" customHeight="1">
      <c r="A560" s="233" t="s">
        <v>20859</v>
      </c>
      <c r="B560" s="234">
        <v>730.0</v>
      </c>
      <c r="C560" s="234" t="s">
        <v>86</v>
      </c>
      <c r="D560" s="235" t="s">
        <v>20860</v>
      </c>
      <c r="E560" s="234" t="s">
        <v>18618</v>
      </c>
      <c r="F560" s="234">
        <v>2021.0</v>
      </c>
      <c r="G560" s="234" t="s">
        <v>18725</v>
      </c>
      <c r="H560" s="234">
        <v>2030.0</v>
      </c>
      <c r="I560" s="234" t="s">
        <v>18725</v>
      </c>
      <c r="J560" s="234" t="s">
        <v>18636</v>
      </c>
      <c r="K560" s="236" t="s">
        <v>18725</v>
      </c>
      <c r="L560" s="236" t="s">
        <v>18725</v>
      </c>
      <c r="M560" s="236" t="s">
        <v>18725</v>
      </c>
      <c r="N560" s="234" t="s">
        <v>18654</v>
      </c>
      <c r="O560" s="237" t="s">
        <v>18683</v>
      </c>
      <c r="P560" s="238" t="s">
        <v>18725</v>
      </c>
      <c r="Q560" s="234" t="s">
        <v>18726</v>
      </c>
      <c r="R560" s="238" t="s">
        <v>18725</v>
      </c>
      <c r="S560" s="238" t="s">
        <v>18725</v>
      </c>
      <c r="T560" s="238" t="s">
        <v>18725</v>
      </c>
      <c r="U560" s="238" t="s">
        <v>18725</v>
      </c>
      <c r="V560" s="238" t="s">
        <v>18725</v>
      </c>
      <c r="W560" s="238" t="s">
        <v>18725</v>
      </c>
      <c r="X560" s="238" t="s">
        <v>18725</v>
      </c>
      <c r="Y560" s="239" t="str">
        <f>IF('CCUS Projects Database'!$R560&lt;&gt;"",HYPERLINK('CCUS Projects Database'!$R560,"Link 1"),"")</f>
        <v/>
      </c>
      <c r="Z560" s="239" t="str">
        <f>IF('CCUS Projects Database'!$S560&lt;&gt;"",HYPERLINK('CCUS Projects Database'!$S560,"Link 2"),"")</f>
        <v/>
      </c>
      <c r="AA560" s="239" t="str">
        <f>IF('CCUS Projects Database'!$T560&lt;&gt;"",HYPERLINK('CCUS Projects Database'!$T560,"Link 3"),"")</f>
        <v/>
      </c>
      <c r="AB560" s="239" t="str">
        <f>IF('CCUS Projects Database'!$U560&lt;&gt;"",HYPERLINK('CCUS Projects Database'!$U560,"Link 4"),"")</f>
        <v/>
      </c>
      <c r="AC560" s="239" t="str">
        <f>IF('CCUS Projects Database'!$V560&lt;&gt;"",HYPERLINK('CCUS Projects Database'!$V560,"Link 5"),"")</f>
        <v/>
      </c>
      <c r="AD560" s="239" t="str">
        <f>IF('CCUS Projects Database'!$W560&lt;&gt;"",HYPERLINK('CCUS Projects Database'!$W560,"Link 6"),"")</f>
        <v/>
      </c>
      <c r="AE560" s="239" t="str">
        <f>IF('CCUS Projects Database'!$X560&lt;&gt;"",HYPERLINK('CCUS Projects Database'!$X560,"Link 7"),"")</f>
        <v/>
      </c>
    </row>
    <row r="561" ht="14.25" customHeight="1">
      <c r="A561" s="233" t="s">
        <v>20861</v>
      </c>
      <c r="B561" s="234">
        <v>732.0</v>
      </c>
      <c r="C561" s="234" t="s">
        <v>78</v>
      </c>
      <c r="D561" s="235" t="s">
        <v>20376</v>
      </c>
      <c r="E561" s="234" t="s">
        <v>18618</v>
      </c>
      <c r="F561" s="234">
        <v>2024.0</v>
      </c>
      <c r="G561" s="234" t="s">
        <v>18725</v>
      </c>
      <c r="H561" s="234">
        <v>2032.0</v>
      </c>
      <c r="I561" s="234" t="s">
        <v>18725</v>
      </c>
      <c r="J561" s="234" t="s">
        <v>18636</v>
      </c>
      <c r="K561" s="236" t="s">
        <v>18725</v>
      </c>
      <c r="L561" s="236" t="s">
        <v>18725</v>
      </c>
      <c r="M561" s="236" t="s">
        <v>18725</v>
      </c>
      <c r="N561" s="234" t="s">
        <v>18663</v>
      </c>
      <c r="O561" s="237" t="s">
        <v>18683</v>
      </c>
      <c r="P561" s="234" t="s">
        <v>18725</v>
      </c>
      <c r="Q561" s="234" t="s">
        <v>18726</v>
      </c>
      <c r="R561" s="238" t="s">
        <v>20862</v>
      </c>
      <c r="S561" s="238" t="s">
        <v>18725</v>
      </c>
      <c r="T561" s="238" t="s">
        <v>18725</v>
      </c>
      <c r="U561" s="238" t="s">
        <v>18725</v>
      </c>
      <c r="V561" s="238" t="s">
        <v>18725</v>
      </c>
      <c r="W561" s="238" t="s">
        <v>18725</v>
      </c>
      <c r="X561" s="238" t="s">
        <v>18725</v>
      </c>
      <c r="Y561" s="239" t="str">
        <f>IF('CCUS Projects Database'!$R561&lt;&gt;"",HYPERLINK('CCUS Projects Database'!$R561,"Link 1"),"")</f>
        <v>Link 1</v>
      </c>
      <c r="Z561" s="239" t="str">
        <f>IF('CCUS Projects Database'!$S561&lt;&gt;"",HYPERLINK('CCUS Projects Database'!$S561,"Link 2"),"")</f>
        <v/>
      </c>
      <c r="AA561" s="239" t="str">
        <f>IF('CCUS Projects Database'!$T561&lt;&gt;"",HYPERLINK('CCUS Projects Database'!$T561,"Link 3"),"")</f>
        <v/>
      </c>
      <c r="AB561" s="239" t="str">
        <f>IF('CCUS Projects Database'!$U561&lt;&gt;"",HYPERLINK('CCUS Projects Database'!$U561,"Link 4"),"")</f>
        <v/>
      </c>
      <c r="AC561" s="239" t="str">
        <f>IF('CCUS Projects Database'!$V561&lt;&gt;"",HYPERLINK('CCUS Projects Database'!$V561,"Link 5"),"")</f>
        <v/>
      </c>
      <c r="AD561" s="239" t="str">
        <f>IF('CCUS Projects Database'!$W561&lt;&gt;"",HYPERLINK('CCUS Projects Database'!$W561,"Link 6"),"")</f>
        <v/>
      </c>
      <c r="AE561" s="239" t="str">
        <f>IF('CCUS Projects Database'!$X561&lt;&gt;"",HYPERLINK('CCUS Projects Database'!$X561,"Link 7"),"")</f>
        <v/>
      </c>
    </row>
    <row r="562" ht="14.25" customHeight="1">
      <c r="A562" s="233" t="s">
        <v>20863</v>
      </c>
      <c r="B562" s="234">
        <v>733.0</v>
      </c>
      <c r="C562" s="234" t="s">
        <v>409</v>
      </c>
      <c r="D562" s="235" t="s">
        <v>20864</v>
      </c>
      <c r="E562" s="234" t="s">
        <v>18618</v>
      </c>
      <c r="F562" s="234">
        <v>2010.0</v>
      </c>
      <c r="G562" s="234" t="s">
        <v>18725</v>
      </c>
      <c r="H562" s="234" t="s">
        <v>18725</v>
      </c>
      <c r="I562" s="234" t="s">
        <v>18725</v>
      </c>
      <c r="J562" s="234" t="s">
        <v>18636</v>
      </c>
      <c r="K562" s="236" t="s">
        <v>18725</v>
      </c>
      <c r="L562" s="236">
        <v>1.3</v>
      </c>
      <c r="M562" s="236">
        <v>1.3</v>
      </c>
      <c r="N562" s="234" t="s">
        <v>18654</v>
      </c>
      <c r="O562" s="237" t="s">
        <v>18675</v>
      </c>
      <c r="P562" s="238" t="s">
        <v>18725</v>
      </c>
      <c r="Q562" s="234" t="s">
        <v>18726</v>
      </c>
      <c r="R562" s="238" t="s">
        <v>20865</v>
      </c>
      <c r="S562" s="238" t="s">
        <v>20866</v>
      </c>
      <c r="T562" s="238" t="s">
        <v>18725</v>
      </c>
      <c r="U562" s="238" t="s">
        <v>18725</v>
      </c>
      <c r="V562" s="238" t="s">
        <v>18725</v>
      </c>
      <c r="W562" s="238" t="s">
        <v>18725</v>
      </c>
      <c r="X562" s="238" t="s">
        <v>18725</v>
      </c>
      <c r="Y562" s="239" t="str">
        <f>IF('CCUS Projects Database'!$R562&lt;&gt;"",HYPERLINK('CCUS Projects Database'!$R562,"Link 1"),"")</f>
        <v>Link 1</v>
      </c>
      <c r="Z562" s="239" t="str">
        <f>IF('CCUS Projects Database'!$S562&lt;&gt;"",HYPERLINK('CCUS Projects Database'!$S562,"Link 2"),"")</f>
        <v>Link 2</v>
      </c>
      <c r="AA562" s="239" t="str">
        <f>IF('CCUS Projects Database'!$T562&lt;&gt;"",HYPERLINK('CCUS Projects Database'!$T562,"Link 3"),"")</f>
        <v/>
      </c>
      <c r="AB562" s="239" t="str">
        <f>IF('CCUS Projects Database'!$U562&lt;&gt;"",HYPERLINK('CCUS Projects Database'!$U562,"Link 4"),"")</f>
        <v/>
      </c>
      <c r="AC562" s="239" t="str">
        <f>IF('CCUS Projects Database'!$V562&lt;&gt;"",HYPERLINK('CCUS Projects Database'!$V562,"Link 5"),"")</f>
        <v/>
      </c>
      <c r="AD562" s="239" t="str">
        <f>IF('CCUS Projects Database'!$W562&lt;&gt;"",HYPERLINK('CCUS Projects Database'!$W562,"Link 6"),"")</f>
        <v/>
      </c>
      <c r="AE562" s="239" t="str">
        <f>IF('CCUS Projects Database'!$X562&lt;&gt;"",HYPERLINK('CCUS Projects Database'!$X562,"Link 7"),"")</f>
        <v/>
      </c>
    </row>
    <row r="563" ht="14.25" customHeight="1">
      <c r="A563" s="233" t="s">
        <v>20867</v>
      </c>
      <c r="B563" s="234">
        <v>736.0</v>
      </c>
      <c r="C563" s="234" t="s">
        <v>18508</v>
      </c>
      <c r="D563" s="235" t="s">
        <v>20868</v>
      </c>
      <c r="E563" s="234" t="s">
        <v>18618</v>
      </c>
      <c r="F563" s="234" t="s">
        <v>18725</v>
      </c>
      <c r="G563" s="234" t="s">
        <v>18725</v>
      </c>
      <c r="H563" s="234">
        <v>2026.0</v>
      </c>
      <c r="I563" s="234" t="s">
        <v>18725</v>
      </c>
      <c r="J563" s="234" t="s">
        <v>18636</v>
      </c>
      <c r="K563" s="236" t="s">
        <v>18725</v>
      </c>
      <c r="L563" s="236" t="s">
        <v>20869</v>
      </c>
      <c r="M563" s="236">
        <v>0.002</v>
      </c>
      <c r="N563" s="234" t="s">
        <v>18218</v>
      </c>
      <c r="O563" s="237" t="s">
        <v>18675</v>
      </c>
      <c r="P563" s="238" t="s">
        <v>18725</v>
      </c>
      <c r="Q563" s="234" t="s">
        <v>18293</v>
      </c>
      <c r="R563" s="238" t="s">
        <v>20870</v>
      </c>
      <c r="S563" s="238" t="s">
        <v>18725</v>
      </c>
      <c r="T563" s="238" t="s">
        <v>18725</v>
      </c>
      <c r="U563" s="238" t="s">
        <v>18725</v>
      </c>
      <c r="V563" s="238" t="s">
        <v>18725</v>
      </c>
      <c r="W563" s="238" t="s">
        <v>18725</v>
      </c>
      <c r="X563" s="238" t="s">
        <v>18725</v>
      </c>
      <c r="Y563" s="239" t="str">
        <f>IF('CCUS Projects Database'!$R563&lt;&gt;"",HYPERLINK('CCUS Projects Database'!$R563,"Link 1"),"")</f>
        <v>Link 1</v>
      </c>
      <c r="Z563" s="239" t="str">
        <f>IF('CCUS Projects Database'!$S563&lt;&gt;"",HYPERLINK('CCUS Projects Database'!$S563,"Link 2"),"")</f>
        <v/>
      </c>
      <c r="AA563" s="239" t="str">
        <f>IF('CCUS Projects Database'!$T563&lt;&gt;"",HYPERLINK('CCUS Projects Database'!$T563,"Link 3"),"")</f>
        <v/>
      </c>
      <c r="AB563" s="239" t="str">
        <f>IF('CCUS Projects Database'!$U563&lt;&gt;"",HYPERLINK('CCUS Projects Database'!$U563,"Link 4"),"")</f>
        <v/>
      </c>
      <c r="AC563" s="239" t="str">
        <f>IF('CCUS Projects Database'!$V563&lt;&gt;"",HYPERLINK('CCUS Projects Database'!$V563,"Link 5"),"")</f>
        <v/>
      </c>
      <c r="AD563" s="239" t="str">
        <f>IF('CCUS Projects Database'!$W563&lt;&gt;"",HYPERLINK('CCUS Projects Database'!$W563,"Link 6"),"")</f>
        <v/>
      </c>
      <c r="AE563" s="239" t="str">
        <f>IF('CCUS Projects Database'!$X563&lt;&gt;"",HYPERLINK('CCUS Projects Database'!$X563,"Link 7"),"")</f>
        <v/>
      </c>
    </row>
    <row r="564" ht="14.25" customHeight="1">
      <c r="A564" s="233" t="s">
        <v>20871</v>
      </c>
      <c r="B564" s="234">
        <v>745.0</v>
      </c>
      <c r="C564" s="234" t="s">
        <v>234</v>
      </c>
      <c r="D564" s="235" t="s">
        <v>20872</v>
      </c>
      <c r="E564" s="234" t="s">
        <v>18616</v>
      </c>
      <c r="F564" s="234" t="s">
        <v>18725</v>
      </c>
      <c r="G564" s="234" t="s">
        <v>18725</v>
      </c>
      <c r="H564" s="234">
        <v>2026.0</v>
      </c>
      <c r="I564" s="234" t="s">
        <v>18725</v>
      </c>
      <c r="J564" s="234" t="s">
        <v>18636</v>
      </c>
      <c r="K564" s="236" t="s">
        <v>18725</v>
      </c>
      <c r="L564" s="236">
        <v>0.5</v>
      </c>
      <c r="M564" s="236">
        <v>0.5</v>
      </c>
      <c r="N564" s="234" t="s">
        <v>12270</v>
      </c>
      <c r="O564" s="237" t="s">
        <v>18675</v>
      </c>
      <c r="P564" s="238" t="s">
        <v>18725</v>
      </c>
      <c r="Q564" s="234" t="s">
        <v>18726</v>
      </c>
      <c r="R564" s="238" t="s">
        <v>20873</v>
      </c>
      <c r="S564" s="238" t="s">
        <v>18725</v>
      </c>
      <c r="T564" s="238" t="s">
        <v>18725</v>
      </c>
      <c r="U564" s="238" t="s">
        <v>18725</v>
      </c>
      <c r="V564" s="238" t="s">
        <v>18725</v>
      </c>
      <c r="W564" s="238" t="s">
        <v>18725</v>
      </c>
      <c r="X564" s="238" t="s">
        <v>18725</v>
      </c>
      <c r="Y564" s="239" t="str">
        <f>IF('CCUS Projects Database'!$R564&lt;&gt;"",HYPERLINK('CCUS Projects Database'!$R564,"Link 1"),"")</f>
        <v>Link 1</v>
      </c>
      <c r="Z564" s="239" t="str">
        <f>IF('CCUS Projects Database'!$S564&lt;&gt;"",HYPERLINK('CCUS Projects Database'!$S564,"Link 2"),"")</f>
        <v/>
      </c>
      <c r="AA564" s="239" t="str">
        <f>IF('CCUS Projects Database'!$T564&lt;&gt;"",HYPERLINK('CCUS Projects Database'!$T564,"Link 3"),"")</f>
        <v/>
      </c>
      <c r="AB564" s="239" t="str">
        <f>IF('CCUS Projects Database'!$U564&lt;&gt;"",HYPERLINK('CCUS Projects Database'!$U564,"Link 4"),"")</f>
        <v/>
      </c>
      <c r="AC564" s="239" t="str">
        <f>IF('CCUS Projects Database'!$V564&lt;&gt;"",HYPERLINK('CCUS Projects Database'!$V564,"Link 5"),"")</f>
        <v/>
      </c>
      <c r="AD564" s="239" t="str">
        <f>IF('CCUS Projects Database'!$W564&lt;&gt;"",HYPERLINK('CCUS Projects Database'!$W564,"Link 6"),"")</f>
        <v/>
      </c>
      <c r="AE564" s="239" t="str">
        <f>IF('CCUS Projects Database'!$X564&lt;&gt;"",HYPERLINK('CCUS Projects Database'!$X564,"Link 7"),"")</f>
        <v/>
      </c>
    </row>
    <row r="565" ht="14.25" customHeight="1">
      <c r="A565" s="233" t="s">
        <v>20874</v>
      </c>
      <c r="B565" s="234">
        <v>746.0</v>
      </c>
      <c r="C565" s="234" t="s">
        <v>51</v>
      </c>
      <c r="D565" s="235" t="s">
        <v>20875</v>
      </c>
      <c r="E565" s="234" t="s">
        <v>18620</v>
      </c>
      <c r="F565" s="234">
        <v>2023.0</v>
      </c>
      <c r="G565" s="234" t="s">
        <v>18725</v>
      </c>
      <c r="H565" s="234" t="s">
        <v>18725</v>
      </c>
      <c r="I565" s="234" t="s">
        <v>18725</v>
      </c>
      <c r="J565" s="234" t="s">
        <v>18636</v>
      </c>
      <c r="K565" s="236" t="s">
        <v>18725</v>
      </c>
      <c r="L565" s="236">
        <v>9.0</v>
      </c>
      <c r="M565" s="236">
        <v>9.0</v>
      </c>
      <c r="N565" s="234" t="s">
        <v>18620</v>
      </c>
      <c r="O565" s="237" t="s">
        <v>18675</v>
      </c>
      <c r="P565" s="238" t="s">
        <v>20874</v>
      </c>
      <c r="Q565" s="234" t="s">
        <v>18726</v>
      </c>
      <c r="R565" s="238" t="s">
        <v>20876</v>
      </c>
      <c r="S565" s="238" t="s">
        <v>20877</v>
      </c>
      <c r="T565" s="238" t="s">
        <v>18725</v>
      </c>
      <c r="U565" s="238" t="s">
        <v>18725</v>
      </c>
      <c r="V565" s="238" t="s">
        <v>18725</v>
      </c>
      <c r="W565" s="238" t="s">
        <v>18725</v>
      </c>
      <c r="X565" s="238" t="s">
        <v>18725</v>
      </c>
      <c r="Y565" s="239" t="str">
        <f>IF('CCUS Projects Database'!$R565&lt;&gt;"",HYPERLINK('CCUS Projects Database'!$R565,"Link 1"),"")</f>
        <v>Link 1</v>
      </c>
      <c r="Z565" s="239" t="str">
        <f>IF('CCUS Projects Database'!$S565&lt;&gt;"",HYPERLINK('CCUS Projects Database'!$S565,"Link 2"),"")</f>
        <v>Link 2</v>
      </c>
      <c r="AA565" s="239" t="str">
        <f>IF('CCUS Projects Database'!$T565&lt;&gt;"",HYPERLINK('CCUS Projects Database'!$T565,"Link 3"),"")</f>
        <v/>
      </c>
      <c r="AB565" s="239" t="str">
        <f>IF('CCUS Projects Database'!$U565&lt;&gt;"",HYPERLINK('CCUS Projects Database'!$U565,"Link 4"),"")</f>
        <v/>
      </c>
      <c r="AC565" s="239" t="str">
        <f>IF('CCUS Projects Database'!$V565&lt;&gt;"",HYPERLINK('CCUS Projects Database'!$V565,"Link 5"),"")</f>
        <v/>
      </c>
      <c r="AD565" s="239" t="str">
        <f>IF('CCUS Projects Database'!$W565&lt;&gt;"",HYPERLINK('CCUS Projects Database'!$W565,"Link 6"),"")</f>
        <v/>
      </c>
      <c r="AE565" s="239" t="str">
        <f>IF('CCUS Projects Database'!$X565&lt;&gt;"",HYPERLINK('CCUS Projects Database'!$X565,"Link 7"),"")</f>
        <v/>
      </c>
    </row>
    <row r="566" ht="14.25" customHeight="1">
      <c r="A566" s="233" t="s">
        <v>20878</v>
      </c>
      <c r="B566" s="234">
        <v>747.0</v>
      </c>
      <c r="C566" s="234" t="s">
        <v>18586</v>
      </c>
      <c r="D566" s="235" t="s">
        <v>20879</v>
      </c>
      <c r="E566" s="234" t="s">
        <v>18618</v>
      </c>
      <c r="F566" s="234">
        <v>2023.0</v>
      </c>
      <c r="G566" s="234" t="s">
        <v>18725</v>
      </c>
      <c r="H566" s="234">
        <v>2027.0</v>
      </c>
      <c r="I566" s="234" t="s">
        <v>18725</v>
      </c>
      <c r="J566" s="234" t="s">
        <v>18636</v>
      </c>
      <c r="K566" s="236" t="s">
        <v>18725</v>
      </c>
      <c r="L566" s="236">
        <v>0.683</v>
      </c>
      <c r="M566" s="236">
        <v>0.683</v>
      </c>
      <c r="N566" s="234" t="s">
        <v>18218</v>
      </c>
      <c r="O566" s="237" t="s">
        <v>18675</v>
      </c>
      <c r="P566" s="238" t="s">
        <v>20801</v>
      </c>
      <c r="Q566" s="234" t="s">
        <v>18732</v>
      </c>
      <c r="R566" s="238" t="s">
        <v>20880</v>
      </c>
      <c r="S566" s="238" t="s">
        <v>20881</v>
      </c>
      <c r="T566" s="238" t="s">
        <v>18725</v>
      </c>
      <c r="U566" s="238" t="s">
        <v>18725</v>
      </c>
      <c r="V566" s="238" t="s">
        <v>18725</v>
      </c>
      <c r="W566" s="238" t="s">
        <v>18725</v>
      </c>
      <c r="X566" s="238" t="s">
        <v>18725</v>
      </c>
      <c r="Y566" s="239" t="str">
        <f>IF('CCUS Projects Database'!$R566&lt;&gt;"",HYPERLINK('CCUS Projects Database'!$R566,"Link 1"),"")</f>
        <v>Link 1</v>
      </c>
      <c r="Z566" s="239" t="str">
        <f>IF('CCUS Projects Database'!$S566&lt;&gt;"",HYPERLINK('CCUS Projects Database'!$S566,"Link 2"),"")</f>
        <v>Link 2</v>
      </c>
      <c r="AA566" s="239" t="str">
        <f>IF('CCUS Projects Database'!$T566&lt;&gt;"",HYPERLINK('CCUS Projects Database'!$T566,"Link 3"),"")</f>
        <v/>
      </c>
      <c r="AB566" s="239" t="str">
        <f>IF('CCUS Projects Database'!$U566&lt;&gt;"",HYPERLINK('CCUS Projects Database'!$U566,"Link 4"),"")</f>
        <v/>
      </c>
      <c r="AC566" s="239" t="str">
        <f>IF('CCUS Projects Database'!$V566&lt;&gt;"",HYPERLINK('CCUS Projects Database'!$V566,"Link 5"),"")</f>
        <v/>
      </c>
      <c r="AD566" s="239" t="str">
        <f>IF('CCUS Projects Database'!$W566&lt;&gt;"",HYPERLINK('CCUS Projects Database'!$W566,"Link 6"),"")</f>
        <v/>
      </c>
      <c r="AE566" s="239" t="str">
        <f>IF('CCUS Projects Database'!$X566&lt;&gt;"",HYPERLINK('CCUS Projects Database'!$X566,"Link 7"),"")</f>
        <v/>
      </c>
    </row>
    <row r="567" ht="14.25" customHeight="1">
      <c r="A567" s="233" t="s">
        <v>9469</v>
      </c>
      <c r="B567" s="234">
        <v>748.0</v>
      </c>
      <c r="C567" s="234" t="s">
        <v>18586</v>
      </c>
      <c r="D567" s="235" t="s">
        <v>20882</v>
      </c>
      <c r="E567" s="234" t="s">
        <v>18618</v>
      </c>
      <c r="F567" s="234">
        <v>2022.0</v>
      </c>
      <c r="G567" s="234" t="s">
        <v>18725</v>
      </c>
      <c r="H567" s="234" t="s">
        <v>18725</v>
      </c>
      <c r="I567" s="234" t="s">
        <v>18725</v>
      </c>
      <c r="J567" s="234" t="s">
        <v>18636</v>
      </c>
      <c r="K567" s="236" t="s">
        <v>18725</v>
      </c>
      <c r="L567" s="236" t="s">
        <v>18725</v>
      </c>
      <c r="M567" s="236" t="s">
        <v>18725</v>
      </c>
      <c r="N567" s="234" t="s">
        <v>18731</v>
      </c>
      <c r="O567" s="237" t="s">
        <v>18683</v>
      </c>
      <c r="P567" s="238" t="s">
        <v>18725</v>
      </c>
      <c r="Q567" s="234" t="s">
        <v>18732</v>
      </c>
      <c r="R567" s="238" t="s">
        <v>17258</v>
      </c>
      <c r="S567" s="238" t="s">
        <v>18725</v>
      </c>
      <c r="T567" s="238" t="s">
        <v>18725</v>
      </c>
      <c r="U567" s="238" t="s">
        <v>18725</v>
      </c>
      <c r="V567" s="238" t="s">
        <v>18725</v>
      </c>
      <c r="W567" s="238" t="s">
        <v>18725</v>
      </c>
      <c r="X567" s="238" t="s">
        <v>18725</v>
      </c>
      <c r="Y567" s="239" t="str">
        <f>IF('CCUS Projects Database'!$R567&lt;&gt;"",HYPERLINK('CCUS Projects Database'!$R567,"Link 1"),"")</f>
        <v>Link 1</v>
      </c>
      <c r="Z567" s="239" t="str">
        <f>IF('CCUS Projects Database'!$S567&lt;&gt;"",HYPERLINK('CCUS Projects Database'!$S567,"Link 2"),"")</f>
        <v/>
      </c>
      <c r="AA567" s="239" t="str">
        <f>IF('CCUS Projects Database'!$T567&lt;&gt;"",HYPERLINK('CCUS Projects Database'!$T567,"Link 3"),"")</f>
        <v/>
      </c>
      <c r="AB567" s="239" t="str">
        <f>IF('CCUS Projects Database'!$U567&lt;&gt;"",HYPERLINK('CCUS Projects Database'!$U567,"Link 4"),"")</f>
        <v/>
      </c>
      <c r="AC567" s="239" t="str">
        <f>IF('CCUS Projects Database'!$V567&lt;&gt;"",HYPERLINK('CCUS Projects Database'!$V567,"Link 5"),"")</f>
        <v/>
      </c>
      <c r="AD567" s="239" t="str">
        <f>IF('CCUS Projects Database'!$W567&lt;&gt;"",HYPERLINK('CCUS Projects Database'!$W567,"Link 6"),"")</f>
        <v/>
      </c>
      <c r="AE567" s="239" t="str">
        <f>IF('CCUS Projects Database'!$X567&lt;&gt;"",HYPERLINK('CCUS Projects Database'!$X567,"Link 7"),"")</f>
        <v/>
      </c>
    </row>
    <row r="568" ht="14.25" customHeight="1">
      <c r="A568" s="233" t="s">
        <v>9470</v>
      </c>
      <c r="B568" s="234">
        <v>749.0</v>
      </c>
      <c r="C568" s="234" t="s">
        <v>18586</v>
      </c>
      <c r="D568" s="235" t="s">
        <v>20883</v>
      </c>
      <c r="E568" s="234" t="s">
        <v>18618</v>
      </c>
      <c r="F568" s="234">
        <v>2022.0</v>
      </c>
      <c r="G568" s="234" t="s">
        <v>18725</v>
      </c>
      <c r="H568" s="234" t="s">
        <v>18725</v>
      </c>
      <c r="I568" s="234" t="s">
        <v>18725</v>
      </c>
      <c r="J568" s="234" t="s">
        <v>18636</v>
      </c>
      <c r="K568" s="236" t="s">
        <v>18725</v>
      </c>
      <c r="L568" s="236" t="s">
        <v>18725</v>
      </c>
      <c r="M568" s="236" t="s">
        <v>18725</v>
      </c>
      <c r="N568" s="234" t="s">
        <v>18731</v>
      </c>
      <c r="O568" s="237" t="s">
        <v>18683</v>
      </c>
      <c r="P568" s="238" t="s">
        <v>18725</v>
      </c>
      <c r="Q568" s="234" t="s">
        <v>18732</v>
      </c>
      <c r="R568" s="238" t="s">
        <v>17258</v>
      </c>
      <c r="S568" s="238" t="s">
        <v>18725</v>
      </c>
      <c r="T568" s="238" t="s">
        <v>18725</v>
      </c>
      <c r="U568" s="238" t="s">
        <v>18725</v>
      </c>
      <c r="V568" s="238" t="s">
        <v>18725</v>
      </c>
      <c r="W568" s="238" t="s">
        <v>18725</v>
      </c>
      <c r="X568" s="238" t="s">
        <v>18725</v>
      </c>
      <c r="Y568" s="239" t="str">
        <f>IF('CCUS Projects Database'!$R568&lt;&gt;"",HYPERLINK('CCUS Projects Database'!$R568,"Link 1"),"")</f>
        <v>Link 1</v>
      </c>
      <c r="Z568" s="239" t="str">
        <f>IF('CCUS Projects Database'!$S568&lt;&gt;"",HYPERLINK('CCUS Projects Database'!$S568,"Link 2"),"")</f>
        <v/>
      </c>
      <c r="AA568" s="239" t="str">
        <f>IF('CCUS Projects Database'!$T568&lt;&gt;"",HYPERLINK('CCUS Projects Database'!$T568,"Link 3"),"")</f>
        <v/>
      </c>
      <c r="AB568" s="239" t="str">
        <f>IF('CCUS Projects Database'!$U568&lt;&gt;"",HYPERLINK('CCUS Projects Database'!$U568,"Link 4"),"")</f>
        <v/>
      </c>
      <c r="AC568" s="239" t="str">
        <f>IF('CCUS Projects Database'!$V568&lt;&gt;"",HYPERLINK('CCUS Projects Database'!$V568,"Link 5"),"")</f>
        <v/>
      </c>
      <c r="AD568" s="239" t="str">
        <f>IF('CCUS Projects Database'!$W568&lt;&gt;"",HYPERLINK('CCUS Projects Database'!$W568,"Link 6"),"")</f>
        <v/>
      </c>
      <c r="AE568" s="239" t="str">
        <f>IF('CCUS Projects Database'!$X568&lt;&gt;"",HYPERLINK('CCUS Projects Database'!$X568,"Link 7"),"")</f>
        <v/>
      </c>
    </row>
    <row r="569" ht="14.25" customHeight="1">
      <c r="A569" s="233" t="s">
        <v>20884</v>
      </c>
      <c r="B569" s="234">
        <v>751.0</v>
      </c>
      <c r="C569" s="234" t="s">
        <v>120</v>
      </c>
      <c r="D569" s="235" t="s">
        <v>20885</v>
      </c>
      <c r="E569" s="234" t="s">
        <v>18625</v>
      </c>
      <c r="F569" s="234">
        <v>2022.0</v>
      </c>
      <c r="G569" s="234">
        <v>2025.0</v>
      </c>
      <c r="H569" s="234">
        <v>2026.0</v>
      </c>
      <c r="I569" s="234" t="s">
        <v>18725</v>
      </c>
      <c r="J569" s="234" t="s">
        <v>18636</v>
      </c>
      <c r="K569" s="236">
        <v>1.0</v>
      </c>
      <c r="L569" s="236">
        <v>0.3</v>
      </c>
      <c r="M569" s="236">
        <v>0.3</v>
      </c>
      <c r="N569" s="234" t="s">
        <v>18665</v>
      </c>
      <c r="O569" s="237" t="s">
        <v>18679</v>
      </c>
      <c r="P569" s="238" t="s">
        <v>18725</v>
      </c>
      <c r="Q569" s="234" t="s">
        <v>18726</v>
      </c>
      <c r="R569" s="238" t="s">
        <v>20886</v>
      </c>
      <c r="S569" s="238" t="s">
        <v>20887</v>
      </c>
      <c r="T569" s="238" t="s">
        <v>18725</v>
      </c>
      <c r="U569" s="238" t="s">
        <v>18725</v>
      </c>
      <c r="V569" s="238" t="s">
        <v>18725</v>
      </c>
      <c r="W569" s="238" t="s">
        <v>18725</v>
      </c>
      <c r="X569" s="238" t="s">
        <v>18725</v>
      </c>
      <c r="Y569" s="239" t="str">
        <f>IF('CCUS Projects Database'!$R569&lt;&gt;"",HYPERLINK('CCUS Projects Database'!$R569,"Link 1"),"")</f>
        <v>Link 1</v>
      </c>
      <c r="Z569" s="239" t="str">
        <f>IF('CCUS Projects Database'!$S569&lt;&gt;"",HYPERLINK('CCUS Projects Database'!$S569,"Link 2"),"")</f>
        <v>Link 2</v>
      </c>
      <c r="AA569" s="239" t="str">
        <f>IF('CCUS Projects Database'!$T569&lt;&gt;"",HYPERLINK('CCUS Projects Database'!$T569,"Link 3"),"")</f>
        <v/>
      </c>
      <c r="AB569" s="239" t="str">
        <f>IF('CCUS Projects Database'!$U569&lt;&gt;"",HYPERLINK('CCUS Projects Database'!$U569,"Link 4"),"")</f>
        <v/>
      </c>
      <c r="AC569" s="239" t="str">
        <f>IF('CCUS Projects Database'!$V569&lt;&gt;"",HYPERLINK('CCUS Projects Database'!$V569,"Link 5"),"")</f>
        <v/>
      </c>
      <c r="AD569" s="239" t="str">
        <f>IF('CCUS Projects Database'!$W569&lt;&gt;"",HYPERLINK('CCUS Projects Database'!$W569,"Link 6"),"")</f>
        <v/>
      </c>
      <c r="AE569" s="239" t="str">
        <f>IF('CCUS Projects Database'!$X569&lt;&gt;"",HYPERLINK('CCUS Projects Database'!$X569,"Link 7"),"")</f>
        <v/>
      </c>
    </row>
    <row r="570" ht="14.25" customHeight="1">
      <c r="A570" s="233" t="s">
        <v>20888</v>
      </c>
      <c r="B570" s="234">
        <v>752.0</v>
      </c>
      <c r="C570" s="234" t="s">
        <v>83</v>
      </c>
      <c r="D570" s="235" t="s">
        <v>20889</v>
      </c>
      <c r="E570" s="234" t="s">
        <v>18625</v>
      </c>
      <c r="F570" s="234">
        <v>2022.0</v>
      </c>
      <c r="G570" s="234" t="s">
        <v>18725</v>
      </c>
      <c r="H570" s="234" t="s">
        <v>18725</v>
      </c>
      <c r="I570" s="234" t="s">
        <v>18725</v>
      </c>
      <c r="J570" s="234" t="s">
        <v>18636</v>
      </c>
      <c r="K570" s="236" t="s">
        <v>18725</v>
      </c>
      <c r="L570" s="236" t="s">
        <v>18725</v>
      </c>
      <c r="M570" s="236" t="s">
        <v>18725</v>
      </c>
      <c r="N570" s="234" t="s">
        <v>12270</v>
      </c>
      <c r="O570" s="237" t="s">
        <v>18679</v>
      </c>
      <c r="P570" s="238" t="s">
        <v>18725</v>
      </c>
      <c r="Q570" s="234" t="s">
        <v>18726</v>
      </c>
      <c r="R570" s="238" t="s">
        <v>20890</v>
      </c>
      <c r="S570" s="238" t="s">
        <v>18725</v>
      </c>
      <c r="T570" s="238" t="s">
        <v>18725</v>
      </c>
      <c r="U570" s="238" t="s">
        <v>18725</v>
      </c>
      <c r="V570" s="238" t="s">
        <v>18725</v>
      </c>
      <c r="W570" s="238" t="s">
        <v>18725</v>
      </c>
      <c r="X570" s="238" t="s">
        <v>18725</v>
      </c>
      <c r="Y570" s="239" t="str">
        <f>IF('CCUS Projects Database'!$R570&lt;&gt;"",HYPERLINK('CCUS Projects Database'!$R570,"Link 1"),"")</f>
        <v>Link 1</v>
      </c>
      <c r="Z570" s="239" t="str">
        <f>IF('CCUS Projects Database'!$S570&lt;&gt;"",HYPERLINK('CCUS Projects Database'!$S570,"Link 2"),"")</f>
        <v/>
      </c>
      <c r="AA570" s="239" t="str">
        <f>IF('CCUS Projects Database'!$T570&lt;&gt;"",HYPERLINK('CCUS Projects Database'!$T570,"Link 3"),"")</f>
        <v/>
      </c>
      <c r="AB570" s="239" t="str">
        <f>IF('CCUS Projects Database'!$U570&lt;&gt;"",HYPERLINK('CCUS Projects Database'!$U570,"Link 4"),"")</f>
        <v/>
      </c>
      <c r="AC570" s="239" t="str">
        <f>IF('CCUS Projects Database'!$V570&lt;&gt;"",HYPERLINK('CCUS Projects Database'!$V570,"Link 5"),"")</f>
        <v/>
      </c>
      <c r="AD570" s="239" t="str">
        <f>IF('CCUS Projects Database'!$W570&lt;&gt;"",HYPERLINK('CCUS Projects Database'!$W570,"Link 6"),"")</f>
        <v/>
      </c>
      <c r="AE570" s="239" t="str">
        <f>IF('CCUS Projects Database'!$X570&lt;&gt;"",HYPERLINK('CCUS Projects Database'!$X570,"Link 7"),"")</f>
        <v/>
      </c>
    </row>
    <row r="571" ht="14.25" customHeight="1">
      <c r="A571" s="233" t="s">
        <v>20891</v>
      </c>
      <c r="B571" s="234">
        <v>753.0</v>
      </c>
      <c r="C571" s="234" t="s">
        <v>18329</v>
      </c>
      <c r="D571" s="235" t="s">
        <v>20892</v>
      </c>
      <c r="E571" s="234" t="s">
        <v>18625</v>
      </c>
      <c r="F571" s="234">
        <v>2022.0</v>
      </c>
      <c r="G571" s="234">
        <v>2025.0</v>
      </c>
      <c r="H571" s="234">
        <v>2028.0</v>
      </c>
      <c r="I571" s="234" t="s">
        <v>18725</v>
      </c>
      <c r="J571" s="234" t="s">
        <v>18636</v>
      </c>
      <c r="K571" s="236" t="s">
        <v>18725</v>
      </c>
      <c r="L571" s="236">
        <v>0.3</v>
      </c>
      <c r="M571" s="236">
        <v>0.3</v>
      </c>
      <c r="N571" s="234" t="s">
        <v>18654</v>
      </c>
      <c r="O571" s="237" t="s">
        <v>18679</v>
      </c>
      <c r="P571" s="238" t="s">
        <v>18725</v>
      </c>
      <c r="Q571" s="234" t="s">
        <v>18762</v>
      </c>
      <c r="R571" s="238" t="s">
        <v>20893</v>
      </c>
      <c r="S571" s="238" t="s">
        <v>20894</v>
      </c>
      <c r="T571" s="238" t="s">
        <v>20895</v>
      </c>
      <c r="U571" s="238" t="s">
        <v>20896</v>
      </c>
      <c r="V571" s="238" t="s">
        <v>18725</v>
      </c>
      <c r="W571" s="238" t="s">
        <v>18725</v>
      </c>
      <c r="X571" s="238" t="s">
        <v>18725</v>
      </c>
      <c r="Y571" s="239" t="str">
        <f>IF('CCUS Projects Database'!$R571&lt;&gt;"",HYPERLINK('CCUS Projects Database'!$R571,"Link 1"),"")</f>
        <v>Link 1</v>
      </c>
      <c r="Z571" s="239" t="str">
        <f>IF('CCUS Projects Database'!$S571&lt;&gt;"",HYPERLINK('CCUS Projects Database'!$S571,"Link 2"),"")</f>
        <v>Link 2</v>
      </c>
      <c r="AA571" s="239" t="str">
        <f>IF('CCUS Projects Database'!$T571&lt;&gt;"",HYPERLINK('CCUS Projects Database'!$T571,"Link 3"),"")</f>
        <v>Link 3</v>
      </c>
      <c r="AB571" s="239" t="str">
        <f>IF('CCUS Projects Database'!$U571&lt;&gt;"",HYPERLINK('CCUS Projects Database'!$U571,"Link 4"),"")</f>
        <v>Link 4</v>
      </c>
      <c r="AC571" s="239" t="str">
        <f>IF('CCUS Projects Database'!$V571&lt;&gt;"",HYPERLINK('CCUS Projects Database'!$V571,"Link 5"),"")</f>
        <v/>
      </c>
      <c r="AD571" s="239" t="str">
        <f>IF('CCUS Projects Database'!$W571&lt;&gt;"",HYPERLINK('CCUS Projects Database'!$W571,"Link 6"),"")</f>
        <v/>
      </c>
      <c r="AE571" s="239" t="str">
        <f>IF('CCUS Projects Database'!$X571&lt;&gt;"",HYPERLINK('CCUS Projects Database'!$X571,"Link 7"),"")</f>
        <v/>
      </c>
    </row>
    <row r="572" ht="14.25" customHeight="1">
      <c r="A572" s="233" t="s">
        <v>20897</v>
      </c>
      <c r="B572" s="234">
        <v>756.0</v>
      </c>
      <c r="C572" s="234" t="s">
        <v>86</v>
      </c>
      <c r="D572" s="235" t="s">
        <v>20898</v>
      </c>
      <c r="E572" s="234" t="s">
        <v>18618</v>
      </c>
      <c r="F572" s="234">
        <v>2022.0</v>
      </c>
      <c r="G572" s="234">
        <v>2023.0</v>
      </c>
      <c r="H572" s="234">
        <v>2026.0</v>
      </c>
      <c r="I572" s="234" t="s">
        <v>18725</v>
      </c>
      <c r="J572" s="234" t="s">
        <v>18638</v>
      </c>
      <c r="K572" s="236" t="s">
        <v>18725</v>
      </c>
      <c r="L572" s="236">
        <v>0.28</v>
      </c>
      <c r="M572" s="236">
        <v>0.28</v>
      </c>
      <c r="N572" s="234" t="s">
        <v>18654</v>
      </c>
      <c r="O572" s="237" t="s">
        <v>18675</v>
      </c>
      <c r="P572" s="238" t="s">
        <v>18884</v>
      </c>
      <c r="Q572" s="234" t="s">
        <v>18726</v>
      </c>
      <c r="R572" s="238" t="s">
        <v>20899</v>
      </c>
      <c r="S572" s="238" t="s">
        <v>20900</v>
      </c>
      <c r="T572" s="238" t="s">
        <v>18888</v>
      </c>
      <c r="U572" s="238" t="s">
        <v>20901</v>
      </c>
      <c r="V572" s="238" t="s">
        <v>18725</v>
      </c>
      <c r="W572" s="238" t="s">
        <v>18725</v>
      </c>
      <c r="X572" s="238" t="s">
        <v>18725</v>
      </c>
      <c r="Y572" s="239" t="str">
        <f>IF('CCUS Projects Database'!$R572&lt;&gt;"",HYPERLINK('CCUS Projects Database'!$R572,"Link 1"),"")</f>
        <v>Link 1</v>
      </c>
      <c r="Z572" s="239" t="str">
        <f>IF('CCUS Projects Database'!$S572&lt;&gt;"",HYPERLINK('CCUS Projects Database'!$S572,"Link 2"),"")</f>
        <v>Link 2</v>
      </c>
      <c r="AA572" s="239" t="str">
        <f>IF('CCUS Projects Database'!$T572&lt;&gt;"",HYPERLINK('CCUS Projects Database'!$T572,"Link 3"),"")</f>
        <v>Link 3</v>
      </c>
      <c r="AB572" s="239" t="str">
        <f>IF('CCUS Projects Database'!$U572&lt;&gt;"",HYPERLINK('CCUS Projects Database'!$U572,"Link 4"),"")</f>
        <v>Link 4</v>
      </c>
      <c r="AC572" s="239" t="str">
        <f>IF('CCUS Projects Database'!$V572&lt;&gt;"",HYPERLINK('CCUS Projects Database'!$V572,"Link 5"),"")</f>
        <v/>
      </c>
      <c r="AD572" s="239" t="str">
        <f>IF('CCUS Projects Database'!$W572&lt;&gt;"",HYPERLINK('CCUS Projects Database'!$W572,"Link 6"),"")</f>
        <v/>
      </c>
      <c r="AE572" s="239" t="str">
        <f>IF('CCUS Projects Database'!$X572&lt;&gt;"",HYPERLINK('CCUS Projects Database'!$X572,"Link 7"),"")</f>
        <v/>
      </c>
    </row>
    <row r="573" ht="14.25" customHeight="1">
      <c r="A573" s="233" t="s">
        <v>20902</v>
      </c>
      <c r="B573" s="234">
        <v>757.0</v>
      </c>
      <c r="C573" s="234" t="s">
        <v>86</v>
      </c>
      <c r="D573" s="235" t="s">
        <v>20903</v>
      </c>
      <c r="E573" s="234" t="s">
        <v>18625</v>
      </c>
      <c r="F573" s="234">
        <v>2021.0</v>
      </c>
      <c r="G573" s="234" t="s">
        <v>18725</v>
      </c>
      <c r="H573" s="234">
        <v>2026.0</v>
      </c>
      <c r="I573" s="234" t="s">
        <v>18725</v>
      </c>
      <c r="J573" s="234" t="s">
        <v>18192</v>
      </c>
      <c r="K573" s="236">
        <v>2.0</v>
      </c>
      <c r="L573" s="236" t="s">
        <v>18725</v>
      </c>
      <c r="M573" s="236" t="s">
        <v>18725</v>
      </c>
      <c r="N573" s="234" t="s">
        <v>18654</v>
      </c>
      <c r="O573" s="237" t="s">
        <v>18679</v>
      </c>
      <c r="P573" s="238" t="s">
        <v>18725</v>
      </c>
      <c r="Q573" s="234" t="s">
        <v>18726</v>
      </c>
      <c r="R573" s="238" t="s">
        <v>20904</v>
      </c>
      <c r="S573" s="238" t="s">
        <v>18885</v>
      </c>
      <c r="T573" s="238" t="s">
        <v>18725</v>
      </c>
      <c r="U573" s="238" t="s">
        <v>18725</v>
      </c>
      <c r="V573" s="238" t="s">
        <v>18725</v>
      </c>
      <c r="W573" s="238" t="s">
        <v>18725</v>
      </c>
      <c r="X573" s="238" t="s">
        <v>18725</v>
      </c>
      <c r="Y573" s="239" t="str">
        <f>IF('CCUS Projects Database'!$R573&lt;&gt;"",HYPERLINK('CCUS Projects Database'!$R573,"Link 1"),"")</f>
        <v>Link 1</v>
      </c>
      <c r="Z573" s="239" t="str">
        <f>IF('CCUS Projects Database'!$S573&lt;&gt;"",HYPERLINK('CCUS Projects Database'!$S573,"Link 2"),"")</f>
        <v>Link 2</v>
      </c>
      <c r="AA573" s="239" t="str">
        <f>IF('CCUS Projects Database'!$T573&lt;&gt;"",HYPERLINK('CCUS Projects Database'!$T573,"Link 3"),"")</f>
        <v/>
      </c>
      <c r="AB573" s="239" t="str">
        <f>IF('CCUS Projects Database'!$U573&lt;&gt;"",HYPERLINK('CCUS Projects Database'!$U573,"Link 4"),"")</f>
        <v/>
      </c>
      <c r="AC573" s="239" t="str">
        <f>IF('CCUS Projects Database'!$V573&lt;&gt;"",HYPERLINK('CCUS Projects Database'!$V573,"Link 5"),"")</f>
        <v/>
      </c>
      <c r="AD573" s="239" t="str">
        <f>IF('CCUS Projects Database'!$W573&lt;&gt;"",HYPERLINK('CCUS Projects Database'!$W573,"Link 6"),"")</f>
        <v/>
      </c>
      <c r="AE573" s="239" t="str">
        <f>IF('CCUS Projects Database'!$X573&lt;&gt;"",HYPERLINK('CCUS Projects Database'!$X573,"Link 7"),"")</f>
        <v/>
      </c>
    </row>
    <row r="574" ht="14.25" customHeight="1">
      <c r="A574" s="233" t="s">
        <v>20905</v>
      </c>
      <c r="B574" s="234">
        <v>760.0</v>
      </c>
      <c r="C574" s="234" t="s">
        <v>18287</v>
      </c>
      <c r="D574" s="235" t="s">
        <v>20906</v>
      </c>
      <c r="E574" s="234" t="s">
        <v>18616</v>
      </c>
      <c r="F574" s="234">
        <v>2022.0</v>
      </c>
      <c r="G574" s="234" t="s">
        <v>18725</v>
      </c>
      <c r="H574" s="234">
        <v>2032.0</v>
      </c>
      <c r="I574" s="234" t="s">
        <v>18725</v>
      </c>
      <c r="J574" s="234" t="s">
        <v>18636</v>
      </c>
      <c r="K574" s="236" t="s">
        <v>18725</v>
      </c>
      <c r="L574" s="236" t="s">
        <v>18725</v>
      </c>
      <c r="M574" s="236" t="s">
        <v>18725</v>
      </c>
      <c r="N574" s="234" t="s">
        <v>18656</v>
      </c>
      <c r="O574" s="237" t="s">
        <v>18677</v>
      </c>
      <c r="P574" s="238" t="s">
        <v>18725</v>
      </c>
      <c r="Q574" s="234" t="s">
        <v>18856</v>
      </c>
      <c r="R574" s="238" t="s">
        <v>18864</v>
      </c>
      <c r="S574" s="238" t="s">
        <v>20907</v>
      </c>
      <c r="T574" s="238" t="s">
        <v>18725</v>
      </c>
      <c r="U574" s="238" t="s">
        <v>18725</v>
      </c>
      <c r="V574" s="238" t="s">
        <v>18725</v>
      </c>
      <c r="W574" s="238" t="s">
        <v>18725</v>
      </c>
      <c r="X574" s="238" t="s">
        <v>18725</v>
      </c>
      <c r="Y574" s="239" t="str">
        <f>IF('CCUS Projects Database'!$R574&lt;&gt;"",HYPERLINK('CCUS Projects Database'!$R574,"Link 1"),"")</f>
        <v>Link 1</v>
      </c>
      <c r="Z574" s="239" t="str">
        <f>IF('CCUS Projects Database'!$S574&lt;&gt;"",HYPERLINK('CCUS Projects Database'!$S574,"Link 2"),"")</f>
        <v>Link 2</v>
      </c>
      <c r="AA574" s="239" t="str">
        <f>IF('CCUS Projects Database'!$T574&lt;&gt;"",HYPERLINK('CCUS Projects Database'!$T574,"Link 3"),"")</f>
        <v/>
      </c>
      <c r="AB574" s="239" t="str">
        <f>IF('CCUS Projects Database'!$U574&lt;&gt;"",HYPERLINK('CCUS Projects Database'!$U574,"Link 4"),"")</f>
        <v/>
      </c>
      <c r="AC574" s="239" t="str">
        <f>IF('CCUS Projects Database'!$V574&lt;&gt;"",HYPERLINK('CCUS Projects Database'!$V574,"Link 5"),"")</f>
        <v/>
      </c>
      <c r="AD574" s="239" t="str">
        <f>IF('CCUS Projects Database'!$W574&lt;&gt;"",HYPERLINK('CCUS Projects Database'!$W574,"Link 6"),"")</f>
        <v/>
      </c>
      <c r="AE574" s="239" t="str">
        <f>IF('CCUS Projects Database'!$X574&lt;&gt;"",HYPERLINK('CCUS Projects Database'!$X574,"Link 7"),"")</f>
        <v/>
      </c>
    </row>
    <row r="575" ht="14.25" customHeight="1">
      <c r="A575" s="233" t="s">
        <v>20908</v>
      </c>
      <c r="B575" s="234">
        <v>761.0</v>
      </c>
      <c r="C575" s="234" t="s">
        <v>18287</v>
      </c>
      <c r="D575" s="235" t="s">
        <v>20909</v>
      </c>
      <c r="E575" s="234" t="s">
        <v>3</v>
      </c>
      <c r="F575" s="234">
        <v>2022.0</v>
      </c>
      <c r="G575" s="234" t="s">
        <v>18725</v>
      </c>
      <c r="H575" s="234">
        <v>2030.0</v>
      </c>
      <c r="I575" s="234" t="s">
        <v>18725</v>
      </c>
      <c r="J575" s="234" t="s">
        <v>18636</v>
      </c>
      <c r="K575" s="236" t="s">
        <v>18725</v>
      </c>
      <c r="L575" s="236" t="s">
        <v>18725</v>
      </c>
      <c r="M575" s="236" t="s">
        <v>18725</v>
      </c>
      <c r="N575" s="234" t="s">
        <v>3</v>
      </c>
      <c r="O575" s="237" t="s">
        <v>18675</v>
      </c>
      <c r="P575" s="238" t="s">
        <v>20908</v>
      </c>
      <c r="Q575" s="234" t="s">
        <v>18856</v>
      </c>
      <c r="R575" s="238" t="s">
        <v>18864</v>
      </c>
      <c r="S575" s="238" t="s">
        <v>20907</v>
      </c>
      <c r="T575" s="238" t="s">
        <v>20910</v>
      </c>
      <c r="U575" s="238" t="s">
        <v>20911</v>
      </c>
      <c r="V575" s="238" t="s">
        <v>18725</v>
      </c>
      <c r="W575" s="238" t="s">
        <v>18725</v>
      </c>
      <c r="X575" s="238" t="s">
        <v>18725</v>
      </c>
      <c r="Y575" s="239" t="str">
        <f>IF('CCUS Projects Database'!$R575&lt;&gt;"",HYPERLINK('CCUS Projects Database'!$R575,"Link 1"),"")</f>
        <v>Link 1</v>
      </c>
      <c r="Z575" s="239" t="str">
        <f>IF('CCUS Projects Database'!$S575&lt;&gt;"",HYPERLINK('CCUS Projects Database'!$S575,"Link 2"),"")</f>
        <v>Link 2</v>
      </c>
      <c r="AA575" s="239" t="str">
        <f>IF('CCUS Projects Database'!$T575&lt;&gt;"",HYPERLINK('CCUS Projects Database'!$T575,"Link 3"),"")</f>
        <v>Link 3</v>
      </c>
      <c r="AB575" s="239" t="str">
        <f>IF('CCUS Projects Database'!$U575&lt;&gt;"",HYPERLINK('CCUS Projects Database'!$U575,"Link 4"),"")</f>
        <v>Link 4</v>
      </c>
      <c r="AC575" s="239" t="str">
        <f>IF('CCUS Projects Database'!$V575&lt;&gt;"",HYPERLINK('CCUS Projects Database'!$V575,"Link 5"),"")</f>
        <v/>
      </c>
      <c r="AD575" s="239" t="str">
        <f>IF('CCUS Projects Database'!$W575&lt;&gt;"",HYPERLINK('CCUS Projects Database'!$W575,"Link 6"),"")</f>
        <v/>
      </c>
      <c r="AE575" s="239" t="str">
        <f>IF('CCUS Projects Database'!$X575&lt;&gt;"",HYPERLINK('CCUS Projects Database'!$X575,"Link 7"),"")</f>
        <v/>
      </c>
    </row>
    <row r="576" ht="14.25" customHeight="1">
      <c r="A576" s="233" t="s">
        <v>20912</v>
      </c>
      <c r="B576" s="234">
        <v>762.0</v>
      </c>
      <c r="C576" s="234" t="s">
        <v>18287</v>
      </c>
      <c r="D576" s="235" t="s">
        <v>20913</v>
      </c>
      <c r="E576" s="234" t="s">
        <v>3</v>
      </c>
      <c r="F576" s="234">
        <v>2022.0</v>
      </c>
      <c r="G576" s="234" t="s">
        <v>18725</v>
      </c>
      <c r="H576" s="234">
        <v>2030.0</v>
      </c>
      <c r="I576" s="234" t="s">
        <v>18725</v>
      </c>
      <c r="J576" s="234" t="s">
        <v>18636</v>
      </c>
      <c r="K576" s="236" t="s">
        <v>18725</v>
      </c>
      <c r="L576" s="236" t="s">
        <v>18725</v>
      </c>
      <c r="M576" s="236" t="s">
        <v>18725</v>
      </c>
      <c r="N576" s="234" t="s">
        <v>3</v>
      </c>
      <c r="O576" s="237" t="s">
        <v>18675</v>
      </c>
      <c r="P576" s="238" t="s">
        <v>20912</v>
      </c>
      <c r="Q576" s="234" t="s">
        <v>18856</v>
      </c>
      <c r="R576" s="238" t="s">
        <v>18864</v>
      </c>
      <c r="S576" s="238" t="s">
        <v>20907</v>
      </c>
      <c r="T576" s="238" t="s">
        <v>20914</v>
      </c>
      <c r="U576" s="238" t="s">
        <v>20915</v>
      </c>
      <c r="V576" s="238" t="s">
        <v>18725</v>
      </c>
      <c r="W576" s="238" t="s">
        <v>18725</v>
      </c>
      <c r="X576" s="238" t="s">
        <v>18725</v>
      </c>
      <c r="Y576" s="239" t="str">
        <f>IF('CCUS Projects Database'!$R576&lt;&gt;"",HYPERLINK('CCUS Projects Database'!$R576,"Link 1"),"")</f>
        <v>Link 1</v>
      </c>
      <c r="Z576" s="239" t="str">
        <f>IF('CCUS Projects Database'!$S576&lt;&gt;"",HYPERLINK('CCUS Projects Database'!$S576,"Link 2"),"")</f>
        <v>Link 2</v>
      </c>
      <c r="AA576" s="239" t="str">
        <f>IF('CCUS Projects Database'!$T576&lt;&gt;"",HYPERLINK('CCUS Projects Database'!$T576,"Link 3"),"")</f>
        <v>Link 3</v>
      </c>
      <c r="AB576" s="239" t="str">
        <f>IF('CCUS Projects Database'!$U576&lt;&gt;"",HYPERLINK('CCUS Projects Database'!$U576,"Link 4"),"")</f>
        <v>Link 4</v>
      </c>
      <c r="AC576" s="239" t="str">
        <f>IF('CCUS Projects Database'!$V576&lt;&gt;"",HYPERLINK('CCUS Projects Database'!$V576,"Link 5"),"")</f>
        <v/>
      </c>
      <c r="AD576" s="239" t="str">
        <f>IF('CCUS Projects Database'!$W576&lt;&gt;"",HYPERLINK('CCUS Projects Database'!$W576,"Link 6"),"")</f>
        <v/>
      </c>
      <c r="AE576" s="239" t="str">
        <f>IF('CCUS Projects Database'!$X576&lt;&gt;"",HYPERLINK('CCUS Projects Database'!$X576,"Link 7"),"")</f>
        <v/>
      </c>
    </row>
    <row r="577" ht="14.25" customHeight="1">
      <c r="A577" s="233" t="s">
        <v>20916</v>
      </c>
      <c r="B577" s="234">
        <v>764.0</v>
      </c>
      <c r="C577" s="234" t="s">
        <v>18287</v>
      </c>
      <c r="D577" s="235" t="s">
        <v>20917</v>
      </c>
      <c r="E577" s="234" t="s">
        <v>3</v>
      </c>
      <c r="F577" s="234">
        <v>2022.0</v>
      </c>
      <c r="G577" s="234">
        <v>2025.0</v>
      </c>
      <c r="H577" s="234">
        <v>2031.0</v>
      </c>
      <c r="I577" s="234" t="s">
        <v>18725</v>
      </c>
      <c r="J577" s="234" t="s">
        <v>18636</v>
      </c>
      <c r="K577" s="236">
        <v>1.0</v>
      </c>
      <c r="L577" s="236" t="s">
        <v>18725</v>
      </c>
      <c r="M577" s="236" t="s">
        <v>18725</v>
      </c>
      <c r="N577" s="234" t="s">
        <v>3</v>
      </c>
      <c r="O577" s="237" t="s">
        <v>18677</v>
      </c>
      <c r="P577" s="238" t="s">
        <v>18725</v>
      </c>
      <c r="Q577" s="234" t="s">
        <v>18856</v>
      </c>
      <c r="R577" s="238" t="s">
        <v>20918</v>
      </c>
      <c r="S577" s="238" t="s">
        <v>20907</v>
      </c>
      <c r="T577" s="238" t="s">
        <v>18725</v>
      </c>
      <c r="U577" s="238" t="s">
        <v>18725</v>
      </c>
      <c r="V577" s="238" t="s">
        <v>18725</v>
      </c>
      <c r="W577" s="238" t="s">
        <v>18725</v>
      </c>
      <c r="X577" s="238" t="s">
        <v>18725</v>
      </c>
      <c r="Y577" s="239" t="str">
        <f>IF('CCUS Projects Database'!$R577&lt;&gt;"",HYPERLINK('CCUS Projects Database'!$R577,"Link 1"),"")</f>
        <v>Link 1</v>
      </c>
      <c r="Z577" s="239" t="str">
        <f>IF('CCUS Projects Database'!$S577&lt;&gt;"",HYPERLINK('CCUS Projects Database'!$S577,"Link 2"),"")</f>
        <v>Link 2</v>
      </c>
      <c r="AA577" s="239" t="str">
        <f>IF('CCUS Projects Database'!$T577&lt;&gt;"",HYPERLINK('CCUS Projects Database'!$T577,"Link 3"),"")</f>
        <v/>
      </c>
      <c r="AB577" s="239" t="str">
        <f>IF('CCUS Projects Database'!$U577&lt;&gt;"",HYPERLINK('CCUS Projects Database'!$U577,"Link 4"),"")</f>
        <v/>
      </c>
      <c r="AC577" s="239" t="str">
        <f>IF('CCUS Projects Database'!$V577&lt;&gt;"",HYPERLINK('CCUS Projects Database'!$V577,"Link 5"),"")</f>
        <v/>
      </c>
      <c r="AD577" s="239" t="str">
        <f>IF('CCUS Projects Database'!$W577&lt;&gt;"",HYPERLINK('CCUS Projects Database'!$W577,"Link 6"),"")</f>
        <v/>
      </c>
      <c r="AE577" s="239" t="str">
        <f>IF('CCUS Projects Database'!$X577&lt;&gt;"",HYPERLINK('CCUS Projects Database'!$X577,"Link 7"),"")</f>
        <v/>
      </c>
    </row>
    <row r="578" ht="14.25" customHeight="1">
      <c r="A578" s="233" t="s">
        <v>18891</v>
      </c>
      <c r="B578" s="234">
        <v>765.0</v>
      </c>
      <c r="C578" s="234" t="s">
        <v>18287</v>
      </c>
      <c r="D578" s="235" t="s">
        <v>20906</v>
      </c>
      <c r="E578" s="234" t="s">
        <v>3</v>
      </c>
      <c r="F578" s="234">
        <v>2022.0</v>
      </c>
      <c r="G578" s="234" t="s">
        <v>18725</v>
      </c>
      <c r="H578" s="234">
        <v>2030.0</v>
      </c>
      <c r="I578" s="234" t="s">
        <v>18725</v>
      </c>
      <c r="J578" s="234" t="s">
        <v>18636</v>
      </c>
      <c r="K578" s="236" t="s">
        <v>18725</v>
      </c>
      <c r="L578" s="236" t="s">
        <v>18725</v>
      </c>
      <c r="M578" s="236" t="s">
        <v>18725</v>
      </c>
      <c r="N578" s="234" t="s">
        <v>3</v>
      </c>
      <c r="O578" s="237" t="s">
        <v>18675</v>
      </c>
      <c r="P578" s="238" t="s">
        <v>18891</v>
      </c>
      <c r="Q578" s="234" t="s">
        <v>18856</v>
      </c>
      <c r="R578" s="238" t="s">
        <v>17241</v>
      </c>
      <c r="S578" s="238" t="s">
        <v>20907</v>
      </c>
      <c r="T578" s="238" t="s">
        <v>18725</v>
      </c>
      <c r="U578" s="238" t="s">
        <v>18725</v>
      </c>
      <c r="V578" s="238" t="s">
        <v>18725</v>
      </c>
      <c r="W578" s="238" t="s">
        <v>18725</v>
      </c>
      <c r="X578" s="238" t="s">
        <v>18725</v>
      </c>
      <c r="Y578" s="239" t="str">
        <f>IF('CCUS Projects Database'!$R578&lt;&gt;"",HYPERLINK('CCUS Projects Database'!$R578,"Link 1"),"")</f>
        <v>Link 1</v>
      </c>
      <c r="Z578" s="239" t="str">
        <f>IF('CCUS Projects Database'!$S578&lt;&gt;"",HYPERLINK('CCUS Projects Database'!$S578,"Link 2"),"")</f>
        <v>Link 2</v>
      </c>
      <c r="AA578" s="239" t="str">
        <f>IF('CCUS Projects Database'!$T578&lt;&gt;"",HYPERLINK('CCUS Projects Database'!$T578,"Link 3"),"")</f>
        <v/>
      </c>
      <c r="AB578" s="239" t="str">
        <f>IF('CCUS Projects Database'!$U578&lt;&gt;"",HYPERLINK('CCUS Projects Database'!$U578,"Link 4"),"")</f>
        <v/>
      </c>
      <c r="AC578" s="239" t="str">
        <f>IF('CCUS Projects Database'!$V578&lt;&gt;"",HYPERLINK('CCUS Projects Database'!$V578,"Link 5"),"")</f>
        <v/>
      </c>
      <c r="AD578" s="239" t="str">
        <f>IF('CCUS Projects Database'!$W578&lt;&gt;"",HYPERLINK('CCUS Projects Database'!$W578,"Link 6"),"")</f>
        <v/>
      </c>
      <c r="AE578" s="239" t="str">
        <f>IF('CCUS Projects Database'!$X578&lt;&gt;"",HYPERLINK('CCUS Projects Database'!$X578,"Link 7"),"")</f>
        <v/>
      </c>
    </row>
    <row r="579" ht="14.25" customHeight="1">
      <c r="A579" s="233" t="s">
        <v>20669</v>
      </c>
      <c r="B579" s="234">
        <v>766.0</v>
      </c>
      <c r="C579" s="234" t="s">
        <v>161</v>
      </c>
      <c r="D579" s="235" t="s">
        <v>20919</v>
      </c>
      <c r="E579" s="234" t="s">
        <v>18620</v>
      </c>
      <c r="F579" s="234">
        <v>2023.0</v>
      </c>
      <c r="G579" s="234" t="s">
        <v>18725</v>
      </c>
      <c r="H579" s="234" t="s">
        <v>18725</v>
      </c>
      <c r="I579" s="234" t="s">
        <v>18725</v>
      </c>
      <c r="J579" s="234" t="s">
        <v>18636</v>
      </c>
      <c r="K579" s="236" t="s">
        <v>18725</v>
      </c>
      <c r="L579" s="236" t="s">
        <v>18725</v>
      </c>
      <c r="M579" s="236" t="s">
        <v>18725</v>
      </c>
      <c r="N579" s="234" t="s">
        <v>18620</v>
      </c>
      <c r="O579" s="237" t="s">
        <v>18675</v>
      </c>
      <c r="P579" s="238" t="s">
        <v>20669</v>
      </c>
      <c r="Q579" s="234" t="s">
        <v>18726</v>
      </c>
      <c r="R579" s="238" t="s">
        <v>20920</v>
      </c>
      <c r="S579" s="238" t="s">
        <v>18725</v>
      </c>
      <c r="T579" s="238" t="s">
        <v>18725</v>
      </c>
      <c r="U579" s="238" t="s">
        <v>18725</v>
      </c>
      <c r="V579" s="238" t="s">
        <v>18725</v>
      </c>
      <c r="W579" s="238" t="s">
        <v>18725</v>
      </c>
      <c r="X579" s="238" t="s">
        <v>18725</v>
      </c>
      <c r="Y579" s="239" t="str">
        <f>IF('CCUS Projects Database'!$R579&lt;&gt;"",HYPERLINK('CCUS Projects Database'!$R579,"Link 1"),"")</f>
        <v>Link 1</v>
      </c>
      <c r="Z579" s="239" t="str">
        <f>IF('CCUS Projects Database'!$S579&lt;&gt;"",HYPERLINK('CCUS Projects Database'!$S579,"Link 2"),"")</f>
        <v/>
      </c>
      <c r="AA579" s="239" t="str">
        <f>IF('CCUS Projects Database'!$T579&lt;&gt;"",HYPERLINK('CCUS Projects Database'!$T579,"Link 3"),"")</f>
        <v/>
      </c>
      <c r="AB579" s="239" t="str">
        <f>IF('CCUS Projects Database'!$U579&lt;&gt;"",HYPERLINK('CCUS Projects Database'!$U579,"Link 4"),"")</f>
        <v/>
      </c>
      <c r="AC579" s="239" t="str">
        <f>IF('CCUS Projects Database'!$V579&lt;&gt;"",HYPERLINK('CCUS Projects Database'!$V579,"Link 5"),"")</f>
        <v/>
      </c>
      <c r="AD579" s="239" t="str">
        <f>IF('CCUS Projects Database'!$W579&lt;&gt;"",HYPERLINK('CCUS Projects Database'!$W579,"Link 6"),"")</f>
        <v/>
      </c>
      <c r="AE579" s="239" t="str">
        <f>IF('CCUS Projects Database'!$X579&lt;&gt;"",HYPERLINK('CCUS Projects Database'!$X579,"Link 7"),"")</f>
        <v/>
      </c>
    </row>
    <row r="580" ht="14.25" customHeight="1">
      <c r="A580" s="233" t="s">
        <v>20921</v>
      </c>
      <c r="B580" s="234">
        <v>768.0</v>
      </c>
      <c r="C580" s="234" t="s">
        <v>83</v>
      </c>
      <c r="D580" s="235" t="s">
        <v>20922</v>
      </c>
      <c r="E580" s="234" t="s">
        <v>18620</v>
      </c>
      <c r="F580" s="234">
        <v>2023.0</v>
      </c>
      <c r="G580" s="234" t="s">
        <v>18725</v>
      </c>
      <c r="H580" s="234">
        <v>2030.0</v>
      </c>
      <c r="I580" s="234" t="s">
        <v>18725</v>
      </c>
      <c r="J580" s="234" t="s">
        <v>18636</v>
      </c>
      <c r="K580" s="236" t="s">
        <v>18725</v>
      </c>
      <c r="L580" s="236">
        <v>3.0</v>
      </c>
      <c r="M580" s="236">
        <v>3.0</v>
      </c>
      <c r="N580" s="234" t="s">
        <v>18620</v>
      </c>
      <c r="O580" s="237" t="s">
        <v>18675</v>
      </c>
      <c r="P580" s="238" t="s">
        <v>20923</v>
      </c>
      <c r="Q580" s="234" t="s">
        <v>18726</v>
      </c>
      <c r="R580" s="238" t="s">
        <v>20924</v>
      </c>
      <c r="S580" s="238" t="s">
        <v>20925</v>
      </c>
      <c r="T580" s="238" t="s">
        <v>18725</v>
      </c>
      <c r="U580" s="238" t="s">
        <v>18725</v>
      </c>
      <c r="V580" s="238" t="s">
        <v>18725</v>
      </c>
      <c r="W580" s="238" t="s">
        <v>18725</v>
      </c>
      <c r="X580" s="238" t="s">
        <v>18725</v>
      </c>
      <c r="Y580" s="239" t="str">
        <f>IF('CCUS Projects Database'!$R580&lt;&gt;"",HYPERLINK('CCUS Projects Database'!$R580,"Link 1"),"")</f>
        <v>Link 1</v>
      </c>
      <c r="Z580" s="239" t="str">
        <f>IF('CCUS Projects Database'!$S580&lt;&gt;"",HYPERLINK('CCUS Projects Database'!$S580,"Link 2"),"")</f>
        <v>Link 2</v>
      </c>
      <c r="AA580" s="239" t="str">
        <f>IF('CCUS Projects Database'!$T580&lt;&gt;"",HYPERLINK('CCUS Projects Database'!$T580,"Link 3"),"")</f>
        <v/>
      </c>
      <c r="AB580" s="239" t="str">
        <f>IF('CCUS Projects Database'!$U580&lt;&gt;"",HYPERLINK('CCUS Projects Database'!$U580,"Link 4"),"")</f>
        <v/>
      </c>
      <c r="AC580" s="239" t="str">
        <f>IF('CCUS Projects Database'!$V580&lt;&gt;"",HYPERLINK('CCUS Projects Database'!$V580,"Link 5"),"")</f>
        <v/>
      </c>
      <c r="AD580" s="239" t="str">
        <f>IF('CCUS Projects Database'!$W580&lt;&gt;"",HYPERLINK('CCUS Projects Database'!$W580,"Link 6"),"")</f>
        <v/>
      </c>
      <c r="AE580" s="239" t="str">
        <f>IF('CCUS Projects Database'!$X580&lt;&gt;"",HYPERLINK('CCUS Projects Database'!$X580,"Link 7"),"")</f>
        <v/>
      </c>
    </row>
    <row r="581" ht="14.25" customHeight="1">
      <c r="A581" s="233" t="s">
        <v>20926</v>
      </c>
      <c r="B581" s="234">
        <v>769.0</v>
      </c>
      <c r="C581" s="234" t="s">
        <v>18586</v>
      </c>
      <c r="D581" s="235" t="s">
        <v>19206</v>
      </c>
      <c r="E581" s="234" t="s">
        <v>18620</v>
      </c>
      <c r="F581" s="234">
        <v>2022.0</v>
      </c>
      <c r="G581" s="234" t="s">
        <v>18725</v>
      </c>
      <c r="H581" s="234" t="s">
        <v>18725</v>
      </c>
      <c r="I581" s="234" t="s">
        <v>18725</v>
      </c>
      <c r="J581" s="234" t="s">
        <v>18636</v>
      </c>
      <c r="K581" s="236" t="s">
        <v>18725</v>
      </c>
      <c r="L581" s="236">
        <v>10.0</v>
      </c>
      <c r="M581" s="236">
        <v>10.0</v>
      </c>
      <c r="N581" s="234" t="s">
        <v>18620</v>
      </c>
      <c r="O581" s="237" t="s">
        <v>18675</v>
      </c>
      <c r="P581" s="238" t="s">
        <v>19207</v>
      </c>
      <c r="Q581" s="234" t="s">
        <v>18732</v>
      </c>
      <c r="R581" s="238" t="s">
        <v>20927</v>
      </c>
      <c r="S581" s="238" t="s">
        <v>18725</v>
      </c>
      <c r="T581" s="238" t="s">
        <v>18725</v>
      </c>
      <c r="U581" s="238" t="s">
        <v>18725</v>
      </c>
      <c r="V581" s="238" t="s">
        <v>18725</v>
      </c>
      <c r="W581" s="238" t="s">
        <v>18725</v>
      </c>
      <c r="X581" s="238" t="s">
        <v>18725</v>
      </c>
      <c r="Y581" s="239" t="str">
        <f>IF('CCUS Projects Database'!$R581&lt;&gt;"",HYPERLINK('CCUS Projects Database'!$R581,"Link 1"),"")</f>
        <v>Link 1</v>
      </c>
      <c r="Z581" s="239" t="str">
        <f>IF('CCUS Projects Database'!$S581&lt;&gt;"",HYPERLINK('CCUS Projects Database'!$S581,"Link 2"),"")</f>
        <v/>
      </c>
      <c r="AA581" s="239" t="str">
        <f>IF('CCUS Projects Database'!$T581&lt;&gt;"",HYPERLINK('CCUS Projects Database'!$T581,"Link 3"),"")</f>
        <v/>
      </c>
      <c r="AB581" s="239" t="str">
        <f>IF('CCUS Projects Database'!$U581&lt;&gt;"",HYPERLINK('CCUS Projects Database'!$U581,"Link 4"),"")</f>
        <v/>
      </c>
      <c r="AC581" s="239" t="str">
        <f>IF('CCUS Projects Database'!$V581&lt;&gt;"",HYPERLINK('CCUS Projects Database'!$V581,"Link 5"),"")</f>
        <v/>
      </c>
      <c r="AD581" s="239" t="str">
        <f>IF('CCUS Projects Database'!$W581&lt;&gt;"",HYPERLINK('CCUS Projects Database'!$W581,"Link 6"),"")</f>
        <v/>
      </c>
      <c r="AE581" s="239" t="str">
        <f>IF('CCUS Projects Database'!$X581&lt;&gt;"",HYPERLINK('CCUS Projects Database'!$X581,"Link 7"),"")</f>
        <v/>
      </c>
    </row>
    <row r="582" ht="14.25" customHeight="1">
      <c r="A582" s="233" t="s">
        <v>20928</v>
      </c>
      <c r="B582" s="234">
        <v>770.0</v>
      </c>
      <c r="C582" s="234" t="s">
        <v>18586</v>
      </c>
      <c r="D582" s="235" t="s">
        <v>20929</v>
      </c>
      <c r="E582" s="234" t="s">
        <v>18618</v>
      </c>
      <c r="F582" s="234">
        <v>2023.0</v>
      </c>
      <c r="G582" s="234">
        <v>2026.0</v>
      </c>
      <c r="H582" s="234">
        <v>2030.0</v>
      </c>
      <c r="I582" s="234" t="s">
        <v>18725</v>
      </c>
      <c r="J582" s="234" t="s">
        <v>18636</v>
      </c>
      <c r="K582" s="236" t="s">
        <v>18725</v>
      </c>
      <c r="L582" s="236">
        <v>3.0</v>
      </c>
      <c r="M582" s="236">
        <v>3.0</v>
      </c>
      <c r="N582" s="234" t="s">
        <v>18654</v>
      </c>
      <c r="O582" s="237" t="s">
        <v>18675</v>
      </c>
      <c r="P582" s="238" t="s">
        <v>18725</v>
      </c>
      <c r="Q582" s="234" t="s">
        <v>18732</v>
      </c>
      <c r="R582" s="238" t="s">
        <v>20930</v>
      </c>
      <c r="S582" s="238" t="s">
        <v>18725</v>
      </c>
      <c r="T582" s="238" t="s">
        <v>18725</v>
      </c>
      <c r="U582" s="238" t="s">
        <v>18725</v>
      </c>
      <c r="V582" s="238" t="s">
        <v>18725</v>
      </c>
      <c r="W582" s="238" t="s">
        <v>18725</v>
      </c>
      <c r="X582" s="238" t="s">
        <v>18725</v>
      </c>
      <c r="Y582" s="239" t="str">
        <f>IF('CCUS Projects Database'!$R582&lt;&gt;"",HYPERLINK('CCUS Projects Database'!$R582,"Link 1"),"")</f>
        <v>Link 1</v>
      </c>
      <c r="Z582" s="239" t="str">
        <f>IF('CCUS Projects Database'!$S582&lt;&gt;"",HYPERLINK('CCUS Projects Database'!$S582,"Link 2"),"")</f>
        <v/>
      </c>
      <c r="AA582" s="239" t="str">
        <f>IF('CCUS Projects Database'!$T582&lt;&gt;"",HYPERLINK('CCUS Projects Database'!$T582,"Link 3"),"")</f>
        <v/>
      </c>
      <c r="AB582" s="239" t="str">
        <f>IF('CCUS Projects Database'!$U582&lt;&gt;"",HYPERLINK('CCUS Projects Database'!$U582,"Link 4"),"")</f>
        <v/>
      </c>
      <c r="AC582" s="239" t="str">
        <f>IF('CCUS Projects Database'!$V582&lt;&gt;"",HYPERLINK('CCUS Projects Database'!$V582,"Link 5"),"")</f>
        <v/>
      </c>
      <c r="AD582" s="239" t="str">
        <f>IF('CCUS Projects Database'!$W582&lt;&gt;"",HYPERLINK('CCUS Projects Database'!$W582,"Link 6"),"")</f>
        <v/>
      </c>
      <c r="AE582" s="239" t="str">
        <f>IF('CCUS Projects Database'!$X582&lt;&gt;"",HYPERLINK('CCUS Projects Database'!$X582,"Link 7"),"")</f>
        <v/>
      </c>
    </row>
    <row r="583" ht="14.25" customHeight="1">
      <c r="A583" s="233" t="s">
        <v>20931</v>
      </c>
      <c r="B583" s="234">
        <v>771.0</v>
      </c>
      <c r="C583" s="234" t="s">
        <v>18586</v>
      </c>
      <c r="D583" s="235" t="s">
        <v>20929</v>
      </c>
      <c r="E583" s="234" t="s">
        <v>18618</v>
      </c>
      <c r="F583" s="234">
        <v>2023.0</v>
      </c>
      <c r="G583" s="234">
        <v>2026.0</v>
      </c>
      <c r="H583" s="234">
        <v>2030.0</v>
      </c>
      <c r="I583" s="234" t="s">
        <v>18725</v>
      </c>
      <c r="J583" s="234" t="s">
        <v>18636</v>
      </c>
      <c r="K583" s="236" t="s">
        <v>18725</v>
      </c>
      <c r="L583" s="236">
        <v>3.0</v>
      </c>
      <c r="M583" s="236">
        <v>3.0</v>
      </c>
      <c r="N583" s="234" t="s">
        <v>18654</v>
      </c>
      <c r="O583" s="237" t="s">
        <v>18675</v>
      </c>
      <c r="P583" s="238" t="s">
        <v>18725</v>
      </c>
      <c r="Q583" s="234" t="s">
        <v>18732</v>
      </c>
      <c r="R583" s="238" t="s">
        <v>20930</v>
      </c>
      <c r="S583" s="238" t="s">
        <v>18725</v>
      </c>
      <c r="T583" s="238" t="s">
        <v>18725</v>
      </c>
      <c r="U583" s="238" t="s">
        <v>18725</v>
      </c>
      <c r="V583" s="238" t="s">
        <v>18725</v>
      </c>
      <c r="W583" s="238" t="s">
        <v>18725</v>
      </c>
      <c r="X583" s="238" t="s">
        <v>18725</v>
      </c>
      <c r="Y583" s="239" t="str">
        <f>IF('CCUS Projects Database'!$R583&lt;&gt;"",HYPERLINK('CCUS Projects Database'!$R583,"Link 1"),"")</f>
        <v>Link 1</v>
      </c>
      <c r="Z583" s="239" t="str">
        <f>IF('CCUS Projects Database'!$S583&lt;&gt;"",HYPERLINK('CCUS Projects Database'!$S583,"Link 2"),"")</f>
        <v/>
      </c>
      <c r="AA583" s="239" t="str">
        <f>IF('CCUS Projects Database'!$T583&lt;&gt;"",HYPERLINK('CCUS Projects Database'!$T583,"Link 3"),"")</f>
        <v/>
      </c>
      <c r="AB583" s="239" t="str">
        <f>IF('CCUS Projects Database'!$U583&lt;&gt;"",HYPERLINK('CCUS Projects Database'!$U583,"Link 4"),"")</f>
        <v/>
      </c>
      <c r="AC583" s="239" t="str">
        <f>IF('CCUS Projects Database'!$V583&lt;&gt;"",HYPERLINK('CCUS Projects Database'!$V583,"Link 5"),"")</f>
        <v/>
      </c>
      <c r="AD583" s="239" t="str">
        <f>IF('CCUS Projects Database'!$W583&lt;&gt;"",HYPERLINK('CCUS Projects Database'!$W583,"Link 6"),"")</f>
        <v/>
      </c>
      <c r="AE583" s="239" t="str">
        <f>IF('CCUS Projects Database'!$X583&lt;&gt;"",HYPERLINK('CCUS Projects Database'!$X583,"Link 7"),"")</f>
        <v/>
      </c>
    </row>
    <row r="584" ht="14.25" customHeight="1">
      <c r="A584" s="233" t="s">
        <v>20932</v>
      </c>
      <c r="B584" s="234">
        <v>772.0</v>
      </c>
      <c r="C584" s="234" t="s">
        <v>98</v>
      </c>
      <c r="D584" s="235" t="s">
        <v>20933</v>
      </c>
      <c r="E584" s="234" t="s">
        <v>18623</v>
      </c>
      <c r="F584" s="234">
        <v>2020.0</v>
      </c>
      <c r="G584" s="234" t="s">
        <v>18725</v>
      </c>
      <c r="H584" s="234" t="s">
        <v>18725</v>
      </c>
      <c r="I584" s="234" t="s">
        <v>18725</v>
      </c>
      <c r="J584" s="234" t="s">
        <v>18636</v>
      </c>
      <c r="K584" s="236">
        <v>1.0</v>
      </c>
      <c r="L584" s="236">
        <v>4.275</v>
      </c>
      <c r="M584" s="236">
        <v>4.275</v>
      </c>
      <c r="N584" s="234" t="s">
        <v>18623</v>
      </c>
      <c r="O584" s="237" t="s">
        <v>18675</v>
      </c>
      <c r="P584" s="238" t="s">
        <v>18825</v>
      </c>
      <c r="Q584" s="234" t="s">
        <v>18726</v>
      </c>
      <c r="R584" s="238" t="s">
        <v>20934</v>
      </c>
      <c r="S584" s="238" t="s">
        <v>20935</v>
      </c>
      <c r="T584" s="238" t="s">
        <v>18725</v>
      </c>
      <c r="U584" s="238" t="s">
        <v>18725</v>
      </c>
      <c r="V584" s="238" t="s">
        <v>18725</v>
      </c>
      <c r="W584" s="238" t="s">
        <v>18725</v>
      </c>
      <c r="X584" s="238" t="s">
        <v>18725</v>
      </c>
      <c r="Y584" s="239" t="str">
        <f>IF('CCUS Projects Database'!$R584&lt;&gt;"",HYPERLINK('CCUS Projects Database'!$R584,"Link 1"),"")</f>
        <v>Link 1</v>
      </c>
      <c r="Z584" s="239" t="str">
        <f>IF('CCUS Projects Database'!$S584&lt;&gt;"",HYPERLINK('CCUS Projects Database'!$S584,"Link 2"),"")</f>
        <v>Link 2</v>
      </c>
      <c r="AA584" s="239" t="str">
        <f>IF('CCUS Projects Database'!$T584&lt;&gt;"",HYPERLINK('CCUS Projects Database'!$T584,"Link 3"),"")</f>
        <v/>
      </c>
      <c r="AB584" s="239" t="str">
        <f>IF('CCUS Projects Database'!$U584&lt;&gt;"",HYPERLINK('CCUS Projects Database'!$U584,"Link 4"),"")</f>
        <v/>
      </c>
      <c r="AC584" s="239" t="str">
        <f>IF('CCUS Projects Database'!$V584&lt;&gt;"",HYPERLINK('CCUS Projects Database'!$V584,"Link 5"),"")</f>
        <v/>
      </c>
      <c r="AD584" s="239" t="str">
        <f>IF('CCUS Projects Database'!$W584&lt;&gt;"",HYPERLINK('CCUS Projects Database'!$W584,"Link 6"),"")</f>
        <v/>
      </c>
      <c r="AE584" s="239" t="str">
        <f>IF('CCUS Projects Database'!$X584&lt;&gt;"",HYPERLINK('CCUS Projects Database'!$X584,"Link 7"),"")</f>
        <v/>
      </c>
    </row>
    <row r="585" ht="14.25" customHeight="1">
      <c r="A585" s="233" t="s">
        <v>20936</v>
      </c>
      <c r="B585" s="234">
        <v>773.0</v>
      </c>
      <c r="C585" s="234" t="s">
        <v>83</v>
      </c>
      <c r="D585" s="235" t="s">
        <v>20937</v>
      </c>
      <c r="E585" s="234" t="s">
        <v>18618</v>
      </c>
      <c r="F585" s="234">
        <v>2023.0</v>
      </c>
      <c r="G585" s="234" t="s">
        <v>18725</v>
      </c>
      <c r="H585" s="234">
        <v>2030.0</v>
      </c>
      <c r="I585" s="234" t="s">
        <v>18725</v>
      </c>
      <c r="J585" s="234" t="s">
        <v>18636</v>
      </c>
      <c r="K585" s="236">
        <v>1.0</v>
      </c>
      <c r="L585" s="236">
        <v>1.2</v>
      </c>
      <c r="M585" s="236">
        <v>1.2</v>
      </c>
      <c r="N585" s="234" t="s">
        <v>18654</v>
      </c>
      <c r="O585" s="237" t="s">
        <v>18675</v>
      </c>
      <c r="P585" s="238" t="s">
        <v>19187</v>
      </c>
      <c r="Q585" s="234" t="s">
        <v>18726</v>
      </c>
      <c r="R585" s="238" t="s">
        <v>20938</v>
      </c>
      <c r="S585" s="238" t="s">
        <v>20939</v>
      </c>
      <c r="T585" s="238" t="s">
        <v>20940</v>
      </c>
      <c r="U585" s="238" t="s">
        <v>18725</v>
      </c>
      <c r="V585" s="238" t="s">
        <v>18725</v>
      </c>
      <c r="W585" s="238" t="s">
        <v>18725</v>
      </c>
      <c r="X585" s="238" t="s">
        <v>18725</v>
      </c>
      <c r="Y585" s="239" t="str">
        <f>IF('CCUS Projects Database'!$R585&lt;&gt;"",HYPERLINK('CCUS Projects Database'!$R585,"Link 1"),"")</f>
        <v>Link 1</v>
      </c>
      <c r="Z585" s="239" t="str">
        <f>IF('CCUS Projects Database'!$S585&lt;&gt;"",HYPERLINK('CCUS Projects Database'!$S585,"Link 2"),"")</f>
        <v>Link 2</v>
      </c>
      <c r="AA585" s="239" t="str">
        <f>IF('CCUS Projects Database'!$T585&lt;&gt;"",HYPERLINK('CCUS Projects Database'!$T585,"Link 3"),"")</f>
        <v>Link 3</v>
      </c>
      <c r="AB585" s="239" t="str">
        <f>IF('CCUS Projects Database'!$U585&lt;&gt;"",HYPERLINK('CCUS Projects Database'!$U585,"Link 4"),"")</f>
        <v/>
      </c>
      <c r="AC585" s="239" t="str">
        <f>IF('CCUS Projects Database'!$V585&lt;&gt;"",HYPERLINK('CCUS Projects Database'!$V585,"Link 5"),"")</f>
        <v/>
      </c>
      <c r="AD585" s="239" t="str">
        <f>IF('CCUS Projects Database'!$W585&lt;&gt;"",HYPERLINK('CCUS Projects Database'!$W585,"Link 6"),"")</f>
        <v/>
      </c>
      <c r="AE585" s="239" t="str">
        <f>IF('CCUS Projects Database'!$X585&lt;&gt;"",HYPERLINK('CCUS Projects Database'!$X585,"Link 7"),"")</f>
        <v/>
      </c>
    </row>
    <row r="586" ht="14.25" customHeight="1">
      <c r="A586" s="233" t="s">
        <v>20941</v>
      </c>
      <c r="B586" s="234">
        <v>774.0</v>
      </c>
      <c r="C586" s="234" t="s">
        <v>83</v>
      </c>
      <c r="D586" s="235" t="s">
        <v>20937</v>
      </c>
      <c r="E586" s="234" t="s">
        <v>18620</v>
      </c>
      <c r="F586" s="234">
        <v>2023.0</v>
      </c>
      <c r="G586" s="234" t="s">
        <v>18725</v>
      </c>
      <c r="H586" s="234" t="s">
        <v>18725</v>
      </c>
      <c r="I586" s="234" t="s">
        <v>18725</v>
      </c>
      <c r="J586" s="234" t="s">
        <v>18636</v>
      </c>
      <c r="K586" s="236" t="s">
        <v>18725</v>
      </c>
      <c r="L586" s="236" t="s">
        <v>18725</v>
      </c>
      <c r="M586" s="236" t="s">
        <v>18725</v>
      </c>
      <c r="N586" s="234" t="s">
        <v>18620</v>
      </c>
      <c r="O586" s="237" t="s">
        <v>18675</v>
      </c>
      <c r="P586" s="238" t="s">
        <v>19187</v>
      </c>
      <c r="Q586" s="234" t="s">
        <v>18726</v>
      </c>
      <c r="R586" s="238" t="s">
        <v>20938</v>
      </c>
      <c r="S586" s="238" t="s">
        <v>18725</v>
      </c>
      <c r="T586" s="238" t="s">
        <v>18725</v>
      </c>
      <c r="U586" s="238" t="s">
        <v>18725</v>
      </c>
      <c r="V586" s="238" t="s">
        <v>18725</v>
      </c>
      <c r="W586" s="238" t="s">
        <v>18725</v>
      </c>
      <c r="X586" s="238" t="s">
        <v>18725</v>
      </c>
      <c r="Y586" s="239" t="str">
        <f>IF('CCUS Projects Database'!$R586&lt;&gt;"",HYPERLINK('CCUS Projects Database'!$R586,"Link 1"),"")</f>
        <v>Link 1</v>
      </c>
      <c r="Z586" s="239" t="str">
        <f>IF('CCUS Projects Database'!$S586&lt;&gt;"",HYPERLINK('CCUS Projects Database'!$S586,"Link 2"),"")</f>
        <v/>
      </c>
      <c r="AA586" s="239" t="str">
        <f>IF('CCUS Projects Database'!$T586&lt;&gt;"",HYPERLINK('CCUS Projects Database'!$T586,"Link 3"),"")</f>
        <v/>
      </c>
      <c r="AB586" s="239" t="str">
        <f>IF('CCUS Projects Database'!$U586&lt;&gt;"",HYPERLINK('CCUS Projects Database'!$U586,"Link 4"),"")</f>
        <v/>
      </c>
      <c r="AC586" s="239" t="str">
        <f>IF('CCUS Projects Database'!$V586&lt;&gt;"",HYPERLINK('CCUS Projects Database'!$V586,"Link 5"),"")</f>
        <v/>
      </c>
      <c r="AD586" s="239" t="str">
        <f>IF('CCUS Projects Database'!$W586&lt;&gt;"",HYPERLINK('CCUS Projects Database'!$W586,"Link 6"),"")</f>
        <v/>
      </c>
      <c r="AE586" s="239" t="str">
        <f>IF('CCUS Projects Database'!$X586&lt;&gt;"",HYPERLINK('CCUS Projects Database'!$X586,"Link 7"),"")</f>
        <v/>
      </c>
    </row>
    <row r="587" ht="14.25" customHeight="1">
      <c r="A587" s="233" t="s">
        <v>20942</v>
      </c>
      <c r="B587" s="234">
        <v>775.0</v>
      </c>
      <c r="C587" s="234" t="s">
        <v>98</v>
      </c>
      <c r="D587" s="235" t="s">
        <v>20943</v>
      </c>
      <c r="E587" s="234" t="s">
        <v>3</v>
      </c>
      <c r="F587" s="234">
        <v>2023.0</v>
      </c>
      <c r="G587" s="234">
        <v>2025.0</v>
      </c>
      <c r="H587" s="234" t="s">
        <v>18725</v>
      </c>
      <c r="I587" s="234" t="s">
        <v>18725</v>
      </c>
      <c r="J587" s="234" t="s">
        <v>18636</v>
      </c>
      <c r="K587" s="236" t="s">
        <v>18725</v>
      </c>
      <c r="L587" s="236">
        <v>5.0</v>
      </c>
      <c r="M587" s="236">
        <v>5.0</v>
      </c>
      <c r="N587" s="234" t="s">
        <v>3</v>
      </c>
      <c r="O587" s="237" t="s">
        <v>18675</v>
      </c>
      <c r="P587" s="238" t="s">
        <v>20942</v>
      </c>
      <c r="Q587" s="234" t="s">
        <v>18726</v>
      </c>
      <c r="R587" s="238" t="s">
        <v>20944</v>
      </c>
      <c r="S587" s="238" t="s">
        <v>20945</v>
      </c>
      <c r="T587" s="238" t="s">
        <v>18881</v>
      </c>
      <c r="U587" s="238" t="s">
        <v>18725</v>
      </c>
      <c r="V587" s="238" t="s">
        <v>18725</v>
      </c>
      <c r="W587" s="238" t="s">
        <v>18725</v>
      </c>
      <c r="X587" s="238" t="s">
        <v>18725</v>
      </c>
      <c r="Y587" s="239" t="str">
        <f>IF('CCUS Projects Database'!$R587&lt;&gt;"",HYPERLINK('CCUS Projects Database'!$R587,"Link 1"),"")</f>
        <v>Link 1</v>
      </c>
      <c r="Z587" s="239" t="str">
        <f>IF('CCUS Projects Database'!$S587&lt;&gt;"",HYPERLINK('CCUS Projects Database'!$S587,"Link 2"),"")</f>
        <v>Link 2</v>
      </c>
      <c r="AA587" s="239" t="str">
        <f>IF('CCUS Projects Database'!$T587&lt;&gt;"",HYPERLINK('CCUS Projects Database'!$T587,"Link 3"),"")</f>
        <v>Link 3</v>
      </c>
      <c r="AB587" s="239" t="str">
        <f>IF('CCUS Projects Database'!$U587&lt;&gt;"",HYPERLINK('CCUS Projects Database'!$U587,"Link 4"),"")</f>
        <v/>
      </c>
      <c r="AC587" s="239" t="str">
        <f>IF('CCUS Projects Database'!$V587&lt;&gt;"",HYPERLINK('CCUS Projects Database'!$V587,"Link 5"),"")</f>
        <v/>
      </c>
      <c r="AD587" s="239" t="str">
        <f>IF('CCUS Projects Database'!$W587&lt;&gt;"",HYPERLINK('CCUS Projects Database'!$W587,"Link 6"),"")</f>
        <v/>
      </c>
      <c r="AE587" s="239" t="str">
        <f>IF('CCUS Projects Database'!$X587&lt;&gt;"",HYPERLINK('CCUS Projects Database'!$X587,"Link 7"),"")</f>
        <v/>
      </c>
    </row>
    <row r="588" ht="14.25" customHeight="1">
      <c r="A588" s="233" t="s">
        <v>20946</v>
      </c>
      <c r="B588" s="234">
        <v>777.0</v>
      </c>
      <c r="C588" s="234" t="s">
        <v>20947</v>
      </c>
      <c r="D588" s="235" t="s">
        <v>20948</v>
      </c>
      <c r="E588" s="234" t="s">
        <v>18618</v>
      </c>
      <c r="F588" s="234">
        <v>2022.0</v>
      </c>
      <c r="G588" s="234" t="s">
        <v>18725</v>
      </c>
      <c r="H588" s="234" t="s">
        <v>18725</v>
      </c>
      <c r="I588" s="234" t="s">
        <v>18725</v>
      </c>
      <c r="J588" s="234" t="s">
        <v>18636</v>
      </c>
      <c r="K588" s="236" t="s">
        <v>18725</v>
      </c>
      <c r="L588" s="236" t="s">
        <v>18725</v>
      </c>
      <c r="M588" s="236" t="s">
        <v>18725</v>
      </c>
      <c r="N588" s="234" t="s">
        <v>18665</v>
      </c>
      <c r="O588" s="237" t="s">
        <v>18675</v>
      </c>
      <c r="P588" s="238" t="s">
        <v>20949</v>
      </c>
      <c r="Q588" s="234" t="s">
        <v>18856</v>
      </c>
      <c r="R588" s="238" t="s">
        <v>19708</v>
      </c>
      <c r="S588" s="238" t="s">
        <v>20950</v>
      </c>
      <c r="T588" s="238" t="s">
        <v>20951</v>
      </c>
      <c r="U588" s="238" t="s">
        <v>20952</v>
      </c>
      <c r="V588" s="238" t="s">
        <v>18725</v>
      </c>
      <c r="W588" s="238" t="s">
        <v>18725</v>
      </c>
      <c r="X588" s="238" t="s">
        <v>18725</v>
      </c>
      <c r="Y588" s="239" t="str">
        <f>IF('CCUS Projects Database'!$R588&lt;&gt;"",HYPERLINK('CCUS Projects Database'!$R588,"Link 1"),"")</f>
        <v>Link 1</v>
      </c>
      <c r="Z588" s="239" t="str">
        <f>IF('CCUS Projects Database'!$S588&lt;&gt;"",HYPERLINK('CCUS Projects Database'!$S588,"Link 2"),"")</f>
        <v>Link 2</v>
      </c>
      <c r="AA588" s="239" t="str">
        <f>IF('CCUS Projects Database'!$T588&lt;&gt;"",HYPERLINK('CCUS Projects Database'!$T588,"Link 3"),"")</f>
        <v>Link 3</v>
      </c>
      <c r="AB588" s="239" t="str">
        <f>IF('CCUS Projects Database'!$U588&lt;&gt;"",HYPERLINK('CCUS Projects Database'!$U588,"Link 4"),"")</f>
        <v>Link 4</v>
      </c>
      <c r="AC588" s="239" t="str">
        <f>IF('CCUS Projects Database'!$V588&lt;&gt;"",HYPERLINK('CCUS Projects Database'!$V588,"Link 5"),"")</f>
        <v/>
      </c>
      <c r="AD588" s="239" t="str">
        <f>IF('CCUS Projects Database'!$W588&lt;&gt;"",HYPERLINK('CCUS Projects Database'!$W588,"Link 6"),"")</f>
        <v/>
      </c>
      <c r="AE588" s="239" t="str">
        <f>IF('CCUS Projects Database'!$X588&lt;&gt;"",HYPERLINK('CCUS Projects Database'!$X588,"Link 7"),"")</f>
        <v/>
      </c>
    </row>
    <row r="589" ht="14.25" customHeight="1">
      <c r="A589" s="233" t="s">
        <v>20953</v>
      </c>
      <c r="B589" s="234">
        <v>779.0</v>
      </c>
      <c r="C589" s="234" t="s">
        <v>86</v>
      </c>
      <c r="D589" s="235" t="s">
        <v>20954</v>
      </c>
      <c r="E589" s="234" t="s">
        <v>18618</v>
      </c>
      <c r="F589" s="234">
        <v>2023.0</v>
      </c>
      <c r="G589" s="234" t="s">
        <v>18725</v>
      </c>
      <c r="H589" s="234" t="s">
        <v>18725</v>
      </c>
      <c r="I589" s="234" t="s">
        <v>18725</v>
      </c>
      <c r="J589" s="234" t="s">
        <v>18636</v>
      </c>
      <c r="K589" s="236" t="s">
        <v>18725</v>
      </c>
      <c r="L589" s="236">
        <v>0.17</v>
      </c>
      <c r="M589" s="236">
        <v>0.17</v>
      </c>
      <c r="N589" s="234" t="s">
        <v>18654</v>
      </c>
      <c r="O589" s="237" t="s">
        <v>18675</v>
      </c>
      <c r="P589" s="238" t="s">
        <v>18725</v>
      </c>
      <c r="Q589" s="234" t="s">
        <v>18726</v>
      </c>
      <c r="R589" s="238" t="s">
        <v>20955</v>
      </c>
      <c r="S589" s="238" t="s">
        <v>18725</v>
      </c>
      <c r="T589" s="238" t="s">
        <v>18725</v>
      </c>
      <c r="U589" s="238" t="s">
        <v>18725</v>
      </c>
      <c r="V589" s="238" t="s">
        <v>18725</v>
      </c>
      <c r="W589" s="238" t="s">
        <v>18725</v>
      </c>
      <c r="X589" s="238" t="s">
        <v>18725</v>
      </c>
      <c r="Y589" s="239" t="str">
        <f>IF('CCUS Projects Database'!$R589&lt;&gt;"",HYPERLINK('CCUS Projects Database'!$R589,"Link 1"),"")</f>
        <v>Link 1</v>
      </c>
      <c r="Z589" s="239" t="str">
        <f>IF('CCUS Projects Database'!$S589&lt;&gt;"",HYPERLINK('CCUS Projects Database'!$S589,"Link 2"),"")</f>
        <v/>
      </c>
      <c r="AA589" s="239" t="str">
        <f>IF('CCUS Projects Database'!$T589&lt;&gt;"",HYPERLINK('CCUS Projects Database'!$T589,"Link 3"),"")</f>
        <v/>
      </c>
      <c r="AB589" s="239" t="str">
        <f>IF('CCUS Projects Database'!$U589&lt;&gt;"",HYPERLINK('CCUS Projects Database'!$U589,"Link 4"),"")</f>
        <v/>
      </c>
      <c r="AC589" s="239" t="str">
        <f>IF('CCUS Projects Database'!$V589&lt;&gt;"",HYPERLINK('CCUS Projects Database'!$V589,"Link 5"),"")</f>
        <v/>
      </c>
      <c r="AD589" s="239" t="str">
        <f>IF('CCUS Projects Database'!$W589&lt;&gt;"",HYPERLINK('CCUS Projects Database'!$W589,"Link 6"),"")</f>
        <v/>
      </c>
      <c r="AE589" s="239" t="str">
        <f>IF('CCUS Projects Database'!$X589&lt;&gt;"",HYPERLINK('CCUS Projects Database'!$X589,"Link 7"),"")</f>
        <v/>
      </c>
    </row>
    <row r="590" ht="14.25" customHeight="1">
      <c r="A590" s="233" t="s">
        <v>20956</v>
      </c>
      <c r="B590" s="234">
        <v>784.0</v>
      </c>
      <c r="C590" s="234" t="s">
        <v>86</v>
      </c>
      <c r="D590" s="235" t="s">
        <v>20957</v>
      </c>
      <c r="E590" s="234" t="s">
        <v>3</v>
      </c>
      <c r="F590" s="234">
        <v>2022.0</v>
      </c>
      <c r="G590" s="234">
        <v>2026.0</v>
      </c>
      <c r="H590" s="234">
        <v>2030.0</v>
      </c>
      <c r="I590" s="234" t="s">
        <v>18725</v>
      </c>
      <c r="J590" s="234" t="s">
        <v>18636</v>
      </c>
      <c r="K590" s="236">
        <v>1.0</v>
      </c>
      <c r="L590" s="236">
        <v>1.0</v>
      </c>
      <c r="M590" s="236">
        <v>1.0</v>
      </c>
      <c r="N590" s="234" t="s">
        <v>3</v>
      </c>
      <c r="O590" s="237" t="s">
        <v>18675</v>
      </c>
      <c r="P590" s="238" t="s">
        <v>18725</v>
      </c>
      <c r="Q590" s="234" t="s">
        <v>18726</v>
      </c>
      <c r="R590" s="238" t="s">
        <v>20958</v>
      </c>
      <c r="S590" s="238" t="s">
        <v>20959</v>
      </c>
      <c r="T590" s="238" t="s">
        <v>18725</v>
      </c>
      <c r="U590" s="238" t="s">
        <v>18725</v>
      </c>
      <c r="V590" s="238" t="s">
        <v>18725</v>
      </c>
      <c r="W590" s="238" t="s">
        <v>18725</v>
      </c>
      <c r="X590" s="238" t="s">
        <v>18725</v>
      </c>
      <c r="Y590" s="239" t="str">
        <f>IF('CCUS Projects Database'!$R590&lt;&gt;"",HYPERLINK('CCUS Projects Database'!$R590,"Link 1"),"")</f>
        <v>Link 1</v>
      </c>
      <c r="Z590" s="239" t="str">
        <f>IF('CCUS Projects Database'!$S590&lt;&gt;"",HYPERLINK('CCUS Projects Database'!$S590,"Link 2"),"")</f>
        <v>Link 2</v>
      </c>
      <c r="AA590" s="239" t="str">
        <f>IF('CCUS Projects Database'!$T590&lt;&gt;"",HYPERLINK('CCUS Projects Database'!$T590,"Link 3"),"")</f>
        <v/>
      </c>
      <c r="AB590" s="239" t="str">
        <f>IF('CCUS Projects Database'!$U590&lt;&gt;"",HYPERLINK('CCUS Projects Database'!$U590,"Link 4"),"")</f>
        <v/>
      </c>
      <c r="AC590" s="239" t="str">
        <f>IF('CCUS Projects Database'!$V590&lt;&gt;"",HYPERLINK('CCUS Projects Database'!$V590,"Link 5"),"")</f>
        <v/>
      </c>
      <c r="AD590" s="239" t="str">
        <f>IF('CCUS Projects Database'!$W590&lt;&gt;"",HYPERLINK('CCUS Projects Database'!$W590,"Link 6"),"")</f>
        <v/>
      </c>
      <c r="AE590" s="239" t="str">
        <f>IF('CCUS Projects Database'!$X590&lt;&gt;"",HYPERLINK('CCUS Projects Database'!$X590,"Link 7"),"")</f>
        <v/>
      </c>
    </row>
    <row r="591" ht="14.25" customHeight="1">
      <c r="A591" s="233" t="s">
        <v>20960</v>
      </c>
      <c r="B591" s="234">
        <v>785.0</v>
      </c>
      <c r="C591" s="234" t="s">
        <v>86</v>
      </c>
      <c r="D591" s="235" t="s">
        <v>20957</v>
      </c>
      <c r="E591" s="234" t="s">
        <v>3</v>
      </c>
      <c r="F591" s="234">
        <v>2022.0</v>
      </c>
      <c r="G591" s="234" t="s">
        <v>18725</v>
      </c>
      <c r="H591" s="234" t="s">
        <v>18725</v>
      </c>
      <c r="I591" s="234" t="s">
        <v>18725</v>
      </c>
      <c r="J591" s="234" t="s">
        <v>18636</v>
      </c>
      <c r="K591" s="236">
        <v>2.0</v>
      </c>
      <c r="L591" s="236" t="s">
        <v>20961</v>
      </c>
      <c r="M591" s="236">
        <v>6.5</v>
      </c>
      <c r="N591" s="234" t="s">
        <v>3</v>
      </c>
      <c r="O591" s="237" t="s">
        <v>18675</v>
      </c>
      <c r="P591" s="238" t="s">
        <v>18725</v>
      </c>
      <c r="Q591" s="234" t="s">
        <v>18726</v>
      </c>
      <c r="R591" s="238" t="s">
        <v>20958</v>
      </c>
      <c r="S591" s="238" t="s">
        <v>20959</v>
      </c>
      <c r="T591" s="238" t="s">
        <v>18725</v>
      </c>
      <c r="U591" s="238" t="s">
        <v>18725</v>
      </c>
      <c r="V591" s="238" t="s">
        <v>18725</v>
      </c>
      <c r="W591" s="238" t="s">
        <v>18725</v>
      </c>
      <c r="X591" s="238" t="s">
        <v>18725</v>
      </c>
      <c r="Y591" s="239" t="str">
        <f>IF('CCUS Projects Database'!$R591&lt;&gt;"",HYPERLINK('CCUS Projects Database'!$R591,"Link 1"),"")</f>
        <v>Link 1</v>
      </c>
      <c r="Z591" s="239" t="str">
        <f>IF('CCUS Projects Database'!$S591&lt;&gt;"",HYPERLINK('CCUS Projects Database'!$S591,"Link 2"),"")</f>
        <v>Link 2</v>
      </c>
      <c r="AA591" s="239" t="str">
        <f>IF('CCUS Projects Database'!$T591&lt;&gt;"",HYPERLINK('CCUS Projects Database'!$T591,"Link 3"),"")</f>
        <v/>
      </c>
      <c r="AB591" s="239" t="str">
        <f>IF('CCUS Projects Database'!$U591&lt;&gt;"",HYPERLINK('CCUS Projects Database'!$U591,"Link 4"),"")</f>
        <v/>
      </c>
      <c r="AC591" s="239" t="str">
        <f>IF('CCUS Projects Database'!$V591&lt;&gt;"",HYPERLINK('CCUS Projects Database'!$V591,"Link 5"),"")</f>
        <v/>
      </c>
      <c r="AD591" s="239" t="str">
        <f>IF('CCUS Projects Database'!$W591&lt;&gt;"",HYPERLINK('CCUS Projects Database'!$W591,"Link 6"),"")</f>
        <v/>
      </c>
      <c r="AE591" s="239" t="str">
        <f>IF('CCUS Projects Database'!$X591&lt;&gt;"",HYPERLINK('CCUS Projects Database'!$X591,"Link 7"),"")</f>
        <v/>
      </c>
    </row>
    <row r="592" ht="14.25" customHeight="1">
      <c r="A592" s="233" t="s">
        <v>20962</v>
      </c>
      <c r="B592" s="234">
        <v>786.0</v>
      </c>
      <c r="C592" s="234" t="s">
        <v>86</v>
      </c>
      <c r="D592" s="235" t="s">
        <v>20963</v>
      </c>
      <c r="E592" s="234" t="s">
        <v>3</v>
      </c>
      <c r="F592" s="234">
        <v>2022.0</v>
      </c>
      <c r="G592" s="234" t="s">
        <v>18725</v>
      </c>
      <c r="H592" s="234">
        <v>2026.0</v>
      </c>
      <c r="I592" s="234" t="s">
        <v>18725</v>
      </c>
      <c r="J592" s="234" t="s">
        <v>18636</v>
      </c>
      <c r="K592" s="236" t="s">
        <v>18725</v>
      </c>
      <c r="L592" s="236">
        <v>0.5</v>
      </c>
      <c r="M592" s="236">
        <v>0.5</v>
      </c>
      <c r="N592" s="234" t="s">
        <v>3</v>
      </c>
      <c r="O592" s="237" t="s">
        <v>18675</v>
      </c>
      <c r="P592" s="238" t="s">
        <v>18725</v>
      </c>
      <c r="Q592" s="234" t="s">
        <v>18726</v>
      </c>
      <c r="R592" s="238" t="s">
        <v>20958</v>
      </c>
      <c r="S592" s="238" t="s">
        <v>20964</v>
      </c>
      <c r="T592" s="238" t="s">
        <v>20965</v>
      </c>
      <c r="U592" s="238" t="s">
        <v>18725</v>
      </c>
      <c r="V592" s="238" t="s">
        <v>18725</v>
      </c>
      <c r="W592" s="238" t="s">
        <v>18725</v>
      </c>
      <c r="X592" s="238" t="s">
        <v>18725</v>
      </c>
      <c r="Y592" s="239" t="str">
        <f>IF('CCUS Projects Database'!$R592&lt;&gt;"",HYPERLINK('CCUS Projects Database'!$R592,"Link 1"),"")</f>
        <v>Link 1</v>
      </c>
      <c r="Z592" s="239" t="str">
        <f>IF('CCUS Projects Database'!$S592&lt;&gt;"",HYPERLINK('CCUS Projects Database'!$S592,"Link 2"),"")</f>
        <v>Link 2</v>
      </c>
      <c r="AA592" s="239" t="str">
        <f>IF('CCUS Projects Database'!$T592&lt;&gt;"",HYPERLINK('CCUS Projects Database'!$T592,"Link 3"),"")</f>
        <v>Link 3</v>
      </c>
      <c r="AB592" s="239" t="str">
        <f>IF('CCUS Projects Database'!$U592&lt;&gt;"",HYPERLINK('CCUS Projects Database'!$U592,"Link 4"),"")</f>
        <v/>
      </c>
      <c r="AC592" s="239" t="str">
        <f>IF('CCUS Projects Database'!$V592&lt;&gt;"",HYPERLINK('CCUS Projects Database'!$V592,"Link 5"),"")</f>
        <v/>
      </c>
      <c r="AD592" s="239" t="str">
        <f>IF('CCUS Projects Database'!$W592&lt;&gt;"",HYPERLINK('CCUS Projects Database'!$W592,"Link 6"),"")</f>
        <v/>
      </c>
      <c r="AE592" s="239" t="str">
        <f>IF('CCUS Projects Database'!$X592&lt;&gt;"",HYPERLINK('CCUS Projects Database'!$X592,"Link 7"),"")</f>
        <v/>
      </c>
    </row>
    <row r="593" ht="14.25" customHeight="1">
      <c r="A593" s="233" t="s">
        <v>10096</v>
      </c>
      <c r="B593" s="234">
        <v>788.0</v>
      </c>
      <c r="C593" s="234" t="s">
        <v>18329</v>
      </c>
      <c r="D593" s="235" t="s">
        <v>20966</v>
      </c>
      <c r="E593" s="234" t="s">
        <v>18618</v>
      </c>
      <c r="F593" s="234">
        <v>2021.0</v>
      </c>
      <c r="G593" s="234" t="s">
        <v>18725</v>
      </c>
      <c r="H593" s="234" t="s">
        <v>18725</v>
      </c>
      <c r="I593" s="234" t="s">
        <v>18725</v>
      </c>
      <c r="J593" s="234" t="s">
        <v>18636</v>
      </c>
      <c r="K593" s="236" t="s">
        <v>18725</v>
      </c>
      <c r="L593" s="236" t="s">
        <v>18725</v>
      </c>
      <c r="M593" s="236" t="s">
        <v>18725</v>
      </c>
      <c r="N593" s="234" t="s">
        <v>18731</v>
      </c>
      <c r="O593" s="237" t="s">
        <v>18675</v>
      </c>
      <c r="P593" s="238" t="s">
        <v>19674</v>
      </c>
      <c r="Q593" s="234" t="s">
        <v>18762</v>
      </c>
      <c r="R593" s="238" t="s">
        <v>17896</v>
      </c>
      <c r="S593" s="238" t="s">
        <v>19677</v>
      </c>
      <c r="T593" s="238" t="s">
        <v>18725</v>
      </c>
      <c r="U593" s="238" t="s">
        <v>18725</v>
      </c>
      <c r="V593" s="238" t="s">
        <v>18725</v>
      </c>
      <c r="W593" s="238" t="s">
        <v>18725</v>
      </c>
      <c r="X593" s="238" t="s">
        <v>18725</v>
      </c>
      <c r="Y593" s="239" t="str">
        <f>IF('CCUS Projects Database'!$R593&lt;&gt;"",HYPERLINK('CCUS Projects Database'!$R593,"Link 1"),"")</f>
        <v>Link 1</v>
      </c>
      <c r="Z593" s="239" t="str">
        <f>IF('CCUS Projects Database'!$S593&lt;&gt;"",HYPERLINK('CCUS Projects Database'!$S593,"Link 2"),"")</f>
        <v>Link 2</v>
      </c>
      <c r="AA593" s="239" t="str">
        <f>IF('CCUS Projects Database'!$T593&lt;&gt;"",HYPERLINK('CCUS Projects Database'!$T593,"Link 3"),"")</f>
        <v/>
      </c>
      <c r="AB593" s="239" t="str">
        <f>IF('CCUS Projects Database'!$U593&lt;&gt;"",HYPERLINK('CCUS Projects Database'!$U593,"Link 4"),"")</f>
        <v/>
      </c>
      <c r="AC593" s="239" t="str">
        <f>IF('CCUS Projects Database'!$V593&lt;&gt;"",HYPERLINK('CCUS Projects Database'!$V593,"Link 5"),"")</f>
        <v/>
      </c>
      <c r="AD593" s="239" t="str">
        <f>IF('CCUS Projects Database'!$W593&lt;&gt;"",HYPERLINK('CCUS Projects Database'!$W593,"Link 6"),"")</f>
        <v/>
      </c>
      <c r="AE593" s="239" t="str">
        <f>IF('CCUS Projects Database'!$X593&lt;&gt;"",HYPERLINK('CCUS Projects Database'!$X593,"Link 7"),"")</f>
        <v/>
      </c>
    </row>
    <row r="594" ht="14.25" customHeight="1">
      <c r="A594" s="233" t="s">
        <v>9419</v>
      </c>
      <c r="B594" s="234">
        <v>789.0</v>
      </c>
      <c r="C594" s="234" t="s">
        <v>18329</v>
      </c>
      <c r="D594" s="235" t="s">
        <v>20967</v>
      </c>
      <c r="E594" s="234" t="s">
        <v>18618</v>
      </c>
      <c r="F594" s="234">
        <v>2022.0</v>
      </c>
      <c r="G594" s="234">
        <v>2025.0</v>
      </c>
      <c r="H594" s="234">
        <v>2028.0</v>
      </c>
      <c r="I594" s="234" t="s">
        <v>18725</v>
      </c>
      <c r="J594" s="234" t="s">
        <v>18636</v>
      </c>
      <c r="K594" s="236">
        <v>1.0</v>
      </c>
      <c r="L594" s="236">
        <v>0.25</v>
      </c>
      <c r="M594" s="236">
        <v>0.25</v>
      </c>
      <c r="N594" s="234" t="s">
        <v>18731</v>
      </c>
      <c r="O594" s="237" t="s">
        <v>18683</v>
      </c>
      <c r="P594" s="238" t="s">
        <v>18725</v>
      </c>
      <c r="Q594" s="234" t="s">
        <v>18762</v>
      </c>
      <c r="R594" s="238" t="s">
        <v>17206</v>
      </c>
      <c r="S594" s="238" t="s">
        <v>20968</v>
      </c>
      <c r="T594" s="238" t="s">
        <v>18725</v>
      </c>
      <c r="U594" s="238" t="s">
        <v>18725</v>
      </c>
      <c r="V594" s="238" t="s">
        <v>18725</v>
      </c>
      <c r="W594" s="238" t="s">
        <v>18725</v>
      </c>
      <c r="X594" s="238" t="s">
        <v>18725</v>
      </c>
      <c r="Y594" s="239" t="str">
        <f>IF('CCUS Projects Database'!$R594&lt;&gt;"",HYPERLINK('CCUS Projects Database'!$R594,"Link 1"),"")</f>
        <v>Link 1</v>
      </c>
      <c r="Z594" s="239" t="str">
        <f>IF('CCUS Projects Database'!$S594&lt;&gt;"",HYPERLINK('CCUS Projects Database'!$S594,"Link 2"),"")</f>
        <v>Link 2</v>
      </c>
      <c r="AA594" s="239" t="str">
        <f>IF('CCUS Projects Database'!$T594&lt;&gt;"",HYPERLINK('CCUS Projects Database'!$T594,"Link 3"),"")</f>
        <v/>
      </c>
      <c r="AB594" s="239" t="str">
        <f>IF('CCUS Projects Database'!$U594&lt;&gt;"",HYPERLINK('CCUS Projects Database'!$U594,"Link 4"),"")</f>
        <v/>
      </c>
      <c r="AC594" s="239" t="str">
        <f>IF('CCUS Projects Database'!$V594&lt;&gt;"",HYPERLINK('CCUS Projects Database'!$V594,"Link 5"),"")</f>
        <v/>
      </c>
      <c r="AD594" s="239" t="str">
        <f>IF('CCUS Projects Database'!$W594&lt;&gt;"",HYPERLINK('CCUS Projects Database'!$W594,"Link 6"),"")</f>
        <v/>
      </c>
      <c r="AE594" s="239" t="str">
        <f>IF('CCUS Projects Database'!$X594&lt;&gt;"",HYPERLINK('CCUS Projects Database'!$X594,"Link 7"),"")</f>
        <v/>
      </c>
    </row>
    <row r="595" ht="14.25" customHeight="1">
      <c r="A595" s="233" t="s">
        <v>9420</v>
      </c>
      <c r="B595" s="234">
        <v>790.0</v>
      </c>
      <c r="C595" s="234" t="s">
        <v>18329</v>
      </c>
      <c r="D595" s="235" t="s">
        <v>20967</v>
      </c>
      <c r="E595" s="234" t="s">
        <v>18618</v>
      </c>
      <c r="F595" s="234">
        <v>2022.0</v>
      </c>
      <c r="G595" s="234" t="s">
        <v>18725</v>
      </c>
      <c r="H595" s="234" t="s">
        <v>18725</v>
      </c>
      <c r="I595" s="234" t="s">
        <v>18725</v>
      </c>
      <c r="J595" s="234" t="s">
        <v>18636</v>
      </c>
      <c r="K595" s="236">
        <v>2.0</v>
      </c>
      <c r="L595" s="236">
        <v>0.55</v>
      </c>
      <c r="M595" s="236">
        <v>0.55</v>
      </c>
      <c r="N595" s="234" t="s">
        <v>18731</v>
      </c>
      <c r="O595" s="237" t="s">
        <v>18683</v>
      </c>
      <c r="P595" s="238" t="s">
        <v>18725</v>
      </c>
      <c r="Q595" s="234" t="s">
        <v>18762</v>
      </c>
      <c r="R595" s="238" t="s">
        <v>17206</v>
      </c>
      <c r="S595" s="238" t="s">
        <v>18725</v>
      </c>
      <c r="T595" s="238" t="s">
        <v>18725</v>
      </c>
      <c r="U595" s="238" t="s">
        <v>18725</v>
      </c>
      <c r="V595" s="238" t="s">
        <v>18725</v>
      </c>
      <c r="W595" s="238" t="s">
        <v>18725</v>
      </c>
      <c r="X595" s="238" t="s">
        <v>18725</v>
      </c>
      <c r="Y595" s="239" t="str">
        <f>IF('CCUS Projects Database'!$R595&lt;&gt;"",HYPERLINK('CCUS Projects Database'!$R595,"Link 1"),"")</f>
        <v>Link 1</v>
      </c>
      <c r="Z595" s="239" t="str">
        <f>IF('CCUS Projects Database'!$S595&lt;&gt;"",HYPERLINK('CCUS Projects Database'!$S595,"Link 2"),"")</f>
        <v/>
      </c>
      <c r="AA595" s="239" t="str">
        <f>IF('CCUS Projects Database'!$T595&lt;&gt;"",HYPERLINK('CCUS Projects Database'!$T595,"Link 3"),"")</f>
        <v/>
      </c>
      <c r="AB595" s="239" t="str">
        <f>IF('CCUS Projects Database'!$U595&lt;&gt;"",HYPERLINK('CCUS Projects Database'!$U595,"Link 4"),"")</f>
        <v/>
      </c>
      <c r="AC595" s="239" t="str">
        <f>IF('CCUS Projects Database'!$V595&lt;&gt;"",HYPERLINK('CCUS Projects Database'!$V595,"Link 5"),"")</f>
        <v/>
      </c>
      <c r="AD595" s="239" t="str">
        <f>IF('CCUS Projects Database'!$W595&lt;&gt;"",HYPERLINK('CCUS Projects Database'!$W595,"Link 6"),"")</f>
        <v/>
      </c>
      <c r="AE595" s="239" t="str">
        <f>IF('CCUS Projects Database'!$X595&lt;&gt;"",HYPERLINK('CCUS Projects Database'!$X595,"Link 7"),"")</f>
        <v/>
      </c>
    </row>
    <row r="596" ht="14.25" customHeight="1">
      <c r="A596" s="233" t="s">
        <v>20969</v>
      </c>
      <c r="B596" s="234">
        <v>791.0</v>
      </c>
      <c r="C596" s="234" t="s">
        <v>18264</v>
      </c>
      <c r="D596" s="235" t="s">
        <v>20970</v>
      </c>
      <c r="E596" s="234" t="s">
        <v>18616</v>
      </c>
      <c r="F596" s="234">
        <v>2023.0</v>
      </c>
      <c r="G596" s="234" t="s">
        <v>18725</v>
      </c>
      <c r="H596" s="234">
        <v>2027.0</v>
      </c>
      <c r="I596" s="234" t="s">
        <v>18725</v>
      </c>
      <c r="J596" s="234" t="s">
        <v>18636</v>
      </c>
      <c r="K596" s="236" t="s">
        <v>18725</v>
      </c>
      <c r="L596" s="236" t="s">
        <v>18725</v>
      </c>
      <c r="M596" s="236">
        <v>1.575</v>
      </c>
      <c r="N596" s="234" t="s">
        <v>18731</v>
      </c>
      <c r="O596" s="237" t="s">
        <v>18675</v>
      </c>
      <c r="P596" s="238" t="s">
        <v>18816</v>
      </c>
      <c r="Q596" s="234" t="s">
        <v>18732</v>
      </c>
      <c r="R596" s="238" t="s">
        <v>17223</v>
      </c>
      <c r="S596" s="238" t="s">
        <v>18725</v>
      </c>
      <c r="T596" s="238" t="s">
        <v>18725</v>
      </c>
      <c r="U596" s="238" t="s">
        <v>18725</v>
      </c>
      <c r="V596" s="238" t="s">
        <v>18725</v>
      </c>
      <c r="W596" s="238" t="s">
        <v>18725</v>
      </c>
      <c r="X596" s="238" t="s">
        <v>18725</v>
      </c>
      <c r="Y596" s="239" t="str">
        <f>IF('CCUS Projects Database'!$R596&lt;&gt;"",HYPERLINK('CCUS Projects Database'!$R596,"Link 1"),"")</f>
        <v>Link 1</v>
      </c>
      <c r="Z596" s="239" t="str">
        <f>IF('CCUS Projects Database'!$S596&lt;&gt;"",HYPERLINK('CCUS Projects Database'!$S596,"Link 2"),"")</f>
        <v/>
      </c>
      <c r="AA596" s="239" t="str">
        <f>IF('CCUS Projects Database'!$T596&lt;&gt;"",HYPERLINK('CCUS Projects Database'!$T596,"Link 3"),"")</f>
        <v/>
      </c>
      <c r="AB596" s="239" t="str">
        <f>IF('CCUS Projects Database'!$U596&lt;&gt;"",HYPERLINK('CCUS Projects Database'!$U596,"Link 4"),"")</f>
        <v/>
      </c>
      <c r="AC596" s="239" t="str">
        <f>IF('CCUS Projects Database'!$V596&lt;&gt;"",HYPERLINK('CCUS Projects Database'!$V596,"Link 5"),"")</f>
        <v/>
      </c>
      <c r="AD596" s="239" t="str">
        <f>IF('CCUS Projects Database'!$W596&lt;&gt;"",HYPERLINK('CCUS Projects Database'!$W596,"Link 6"),"")</f>
        <v/>
      </c>
      <c r="AE596" s="239" t="str">
        <f>IF('CCUS Projects Database'!$X596&lt;&gt;"",HYPERLINK('CCUS Projects Database'!$X596,"Link 7"),"")</f>
        <v/>
      </c>
    </row>
    <row r="597" ht="14.25" customHeight="1">
      <c r="A597" s="233" t="s">
        <v>20971</v>
      </c>
      <c r="B597" s="234">
        <v>792.0</v>
      </c>
      <c r="C597" s="234" t="s">
        <v>18586</v>
      </c>
      <c r="D597" s="235" t="s">
        <v>20972</v>
      </c>
      <c r="E597" s="234" t="s">
        <v>3</v>
      </c>
      <c r="F597" s="234">
        <v>2023.0</v>
      </c>
      <c r="G597" s="234" t="s">
        <v>18725</v>
      </c>
      <c r="H597" s="234" t="s">
        <v>18725</v>
      </c>
      <c r="I597" s="234" t="s">
        <v>18725</v>
      </c>
      <c r="J597" s="234" t="s">
        <v>18636</v>
      </c>
      <c r="K597" s="236" t="s">
        <v>18725</v>
      </c>
      <c r="L597" s="236" t="s">
        <v>18725</v>
      </c>
      <c r="M597" s="236" t="s">
        <v>18725</v>
      </c>
      <c r="N597" s="234" t="s">
        <v>3</v>
      </c>
      <c r="O597" s="237" t="s">
        <v>18675</v>
      </c>
      <c r="P597" s="238" t="s">
        <v>20971</v>
      </c>
      <c r="Q597" s="234" t="s">
        <v>18732</v>
      </c>
      <c r="R597" s="238" t="s">
        <v>20973</v>
      </c>
      <c r="S597" s="238" t="s">
        <v>18725</v>
      </c>
      <c r="T597" s="238" t="s">
        <v>18725</v>
      </c>
      <c r="U597" s="238" t="s">
        <v>18725</v>
      </c>
      <c r="V597" s="238" t="s">
        <v>18725</v>
      </c>
      <c r="W597" s="238" t="s">
        <v>18725</v>
      </c>
      <c r="X597" s="238" t="s">
        <v>18725</v>
      </c>
      <c r="Y597" s="239" t="str">
        <f>IF('CCUS Projects Database'!$R597&lt;&gt;"",HYPERLINK('CCUS Projects Database'!$R597,"Link 1"),"")</f>
        <v>Link 1</v>
      </c>
      <c r="Z597" s="239" t="str">
        <f>IF('CCUS Projects Database'!$S597&lt;&gt;"",HYPERLINK('CCUS Projects Database'!$S597,"Link 2"),"")</f>
        <v/>
      </c>
      <c r="AA597" s="239" t="str">
        <f>IF('CCUS Projects Database'!$T597&lt;&gt;"",HYPERLINK('CCUS Projects Database'!$T597,"Link 3"),"")</f>
        <v/>
      </c>
      <c r="AB597" s="239" t="str">
        <f>IF('CCUS Projects Database'!$U597&lt;&gt;"",HYPERLINK('CCUS Projects Database'!$U597,"Link 4"),"")</f>
        <v/>
      </c>
      <c r="AC597" s="239" t="str">
        <f>IF('CCUS Projects Database'!$V597&lt;&gt;"",HYPERLINK('CCUS Projects Database'!$V597,"Link 5"),"")</f>
        <v/>
      </c>
      <c r="AD597" s="239" t="str">
        <f>IF('CCUS Projects Database'!$W597&lt;&gt;"",HYPERLINK('CCUS Projects Database'!$W597,"Link 6"),"")</f>
        <v/>
      </c>
      <c r="AE597" s="239" t="str">
        <f>IF('CCUS Projects Database'!$X597&lt;&gt;"",HYPERLINK('CCUS Projects Database'!$X597,"Link 7"),"")</f>
        <v/>
      </c>
    </row>
    <row r="598" ht="14.25" customHeight="1">
      <c r="A598" s="233" t="s">
        <v>20974</v>
      </c>
      <c r="B598" s="234">
        <v>793.0</v>
      </c>
      <c r="C598" s="234" t="s">
        <v>18586</v>
      </c>
      <c r="D598" s="235" t="s">
        <v>20975</v>
      </c>
      <c r="E598" s="234" t="s">
        <v>18623</v>
      </c>
      <c r="F598" s="234">
        <v>2020.0</v>
      </c>
      <c r="G598" s="234" t="s">
        <v>18725</v>
      </c>
      <c r="H598" s="234" t="s">
        <v>18725</v>
      </c>
      <c r="I598" s="234" t="s">
        <v>18725</v>
      </c>
      <c r="J598" s="234" t="s">
        <v>18636</v>
      </c>
      <c r="K598" s="236" t="s">
        <v>18725</v>
      </c>
      <c r="L598" s="236">
        <v>4.0</v>
      </c>
      <c r="M598" s="236">
        <v>4.0</v>
      </c>
      <c r="N598" s="234" t="s">
        <v>18623</v>
      </c>
      <c r="O598" s="237" t="s">
        <v>18675</v>
      </c>
      <c r="P598" s="238" t="s">
        <v>20976</v>
      </c>
      <c r="Q598" s="234" t="s">
        <v>18732</v>
      </c>
      <c r="R598" s="238" t="s">
        <v>20973</v>
      </c>
      <c r="S598" s="238" t="s">
        <v>20977</v>
      </c>
      <c r="T598" s="238" t="s">
        <v>20978</v>
      </c>
      <c r="U598" s="238" t="s">
        <v>18725</v>
      </c>
      <c r="V598" s="238" t="s">
        <v>18725</v>
      </c>
      <c r="W598" s="238" t="s">
        <v>18725</v>
      </c>
      <c r="X598" s="238" t="s">
        <v>18725</v>
      </c>
      <c r="Y598" s="239" t="str">
        <f>IF('CCUS Projects Database'!$R598&lt;&gt;"",HYPERLINK('CCUS Projects Database'!$R598,"Link 1"),"")</f>
        <v>Link 1</v>
      </c>
      <c r="Z598" s="239" t="str">
        <f>IF('CCUS Projects Database'!$S598&lt;&gt;"",HYPERLINK('CCUS Projects Database'!$S598,"Link 2"),"")</f>
        <v>Link 2</v>
      </c>
      <c r="AA598" s="239" t="str">
        <f>IF('CCUS Projects Database'!$T598&lt;&gt;"",HYPERLINK('CCUS Projects Database'!$T598,"Link 3"),"")</f>
        <v>Link 3</v>
      </c>
      <c r="AB598" s="239" t="str">
        <f>IF('CCUS Projects Database'!$U598&lt;&gt;"",HYPERLINK('CCUS Projects Database'!$U598,"Link 4"),"")</f>
        <v/>
      </c>
      <c r="AC598" s="239" t="str">
        <f>IF('CCUS Projects Database'!$V598&lt;&gt;"",HYPERLINK('CCUS Projects Database'!$V598,"Link 5"),"")</f>
        <v/>
      </c>
      <c r="AD598" s="239" t="str">
        <f>IF('CCUS Projects Database'!$W598&lt;&gt;"",HYPERLINK('CCUS Projects Database'!$W598,"Link 6"),"")</f>
        <v/>
      </c>
      <c r="AE598" s="239" t="str">
        <f>IF('CCUS Projects Database'!$X598&lt;&gt;"",HYPERLINK('CCUS Projects Database'!$X598,"Link 7"),"")</f>
        <v/>
      </c>
    </row>
    <row r="599" ht="14.25" customHeight="1">
      <c r="A599" s="233" t="s">
        <v>20979</v>
      </c>
      <c r="B599" s="234">
        <v>794.0</v>
      </c>
      <c r="C599" s="234" t="s">
        <v>18586</v>
      </c>
      <c r="D599" s="235" t="s">
        <v>20980</v>
      </c>
      <c r="E599" s="234" t="s">
        <v>3</v>
      </c>
      <c r="F599" s="234">
        <v>2023.0</v>
      </c>
      <c r="G599" s="234">
        <v>2025.0</v>
      </c>
      <c r="H599" s="234">
        <v>2026.0</v>
      </c>
      <c r="I599" s="234" t="s">
        <v>18725</v>
      </c>
      <c r="J599" s="234" t="s">
        <v>18636</v>
      </c>
      <c r="K599" s="236" t="s">
        <v>18725</v>
      </c>
      <c r="L599" s="236">
        <v>2.6</v>
      </c>
      <c r="M599" s="236">
        <v>2.6</v>
      </c>
      <c r="N599" s="234" t="s">
        <v>3</v>
      </c>
      <c r="O599" s="237" t="s">
        <v>18675</v>
      </c>
      <c r="P599" s="238" t="s">
        <v>20979</v>
      </c>
      <c r="Q599" s="234" t="s">
        <v>18732</v>
      </c>
      <c r="R599" s="238" t="s">
        <v>20977</v>
      </c>
      <c r="S599" s="238" t="s">
        <v>20981</v>
      </c>
      <c r="T599" s="238" t="s">
        <v>18725</v>
      </c>
      <c r="U599" s="238" t="s">
        <v>18725</v>
      </c>
      <c r="V599" s="238" t="s">
        <v>18725</v>
      </c>
      <c r="W599" s="238" t="s">
        <v>18725</v>
      </c>
      <c r="X599" s="238" t="s">
        <v>18725</v>
      </c>
      <c r="Y599" s="239" t="str">
        <f>IF('CCUS Projects Database'!$R599&lt;&gt;"",HYPERLINK('CCUS Projects Database'!$R599,"Link 1"),"")</f>
        <v>Link 1</v>
      </c>
      <c r="Z599" s="239" t="str">
        <f>IF('CCUS Projects Database'!$S599&lt;&gt;"",HYPERLINK('CCUS Projects Database'!$S599,"Link 2"),"")</f>
        <v>Link 2</v>
      </c>
      <c r="AA599" s="239" t="str">
        <f>IF('CCUS Projects Database'!$T599&lt;&gt;"",HYPERLINK('CCUS Projects Database'!$T599,"Link 3"),"")</f>
        <v/>
      </c>
      <c r="AB599" s="239" t="str">
        <f>IF('CCUS Projects Database'!$U599&lt;&gt;"",HYPERLINK('CCUS Projects Database'!$U599,"Link 4"),"")</f>
        <v/>
      </c>
      <c r="AC599" s="239" t="str">
        <f>IF('CCUS Projects Database'!$V599&lt;&gt;"",HYPERLINK('CCUS Projects Database'!$V599,"Link 5"),"")</f>
        <v/>
      </c>
      <c r="AD599" s="239" t="str">
        <f>IF('CCUS Projects Database'!$W599&lt;&gt;"",HYPERLINK('CCUS Projects Database'!$W599,"Link 6"),"")</f>
        <v/>
      </c>
      <c r="AE599" s="239" t="str">
        <f>IF('CCUS Projects Database'!$X599&lt;&gt;"",HYPERLINK('CCUS Projects Database'!$X599,"Link 7"),"")</f>
        <v/>
      </c>
    </row>
    <row r="600" ht="14.25" customHeight="1">
      <c r="A600" s="233" t="s">
        <v>20982</v>
      </c>
      <c r="B600" s="234">
        <v>795.0</v>
      </c>
      <c r="C600" s="234" t="s">
        <v>18586</v>
      </c>
      <c r="D600" s="235" t="s">
        <v>20983</v>
      </c>
      <c r="E600" s="234" t="s">
        <v>18616</v>
      </c>
      <c r="F600" s="234">
        <v>2023.0</v>
      </c>
      <c r="G600" s="234" t="s">
        <v>18725</v>
      </c>
      <c r="H600" s="234" t="s">
        <v>18725</v>
      </c>
      <c r="I600" s="234" t="s">
        <v>18725</v>
      </c>
      <c r="J600" s="234" t="s">
        <v>18636</v>
      </c>
      <c r="K600" s="236" t="s">
        <v>18725</v>
      </c>
      <c r="L600" s="236">
        <v>2.0</v>
      </c>
      <c r="M600" s="236">
        <v>2.0</v>
      </c>
      <c r="N600" s="234" t="s">
        <v>103</v>
      </c>
      <c r="O600" s="237" t="s">
        <v>18675</v>
      </c>
      <c r="P600" s="238" t="s">
        <v>20984</v>
      </c>
      <c r="Q600" s="234" t="s">
        <v>18732</v>
      </c>
      <c r="R600" s="238" t="s">
        <v>20977</v>
      </c>
      <c r="S600" s="238" t="s">
        <v>18725</v>
      </c>
      <c r="T600" s="238" t="s">
        <v>18725</v>
      </c>
      <c r="U600" s="238" t="s">
        <v>18725</v>
      </c>
      <c r="V600" s="238" t="s">
        <v>18725</v>
      </c>
      <c r="W600" s="238" t="s">
        <v>18725</v>
      </c>
      <c r="X600" s="238" t="s">
        <v>18725</v>
      </c>
      <c r="Y600" s="239" t="str">
        <f>IF('CCUS Projects Database'!$R600&lt;&gt;"",HYPERLINK('CCUS Projects Database'!$R600,"Link 1"),"")</f>
        <v>Link 1</v>
      </c>
      <c r="Z600" s="239" t="str">
        <f>IF('CCUS Projects Database'!$S600&lt;&gt;"",HYPERLINK('CCUS Projects Database'!$S600,"Link 2"),"")</f>
        <v/>
      </c>
      <c r="AA600" s="239" t="str">
        <f>IF('CCUS Projects Database'!$T600&lt;&gt;"",HYPERLINK('CCUS Projects Database'!$T600,"Link 3"),"")</f>
        <v/>
      </c>
      <c r="AB600" s="239" t="str">
        <f>IF('CCUS Projects Database'!$U600&lt;&gt;"",HYPERLINK('CCUS Projects Database'!$U600,"Link 4"),"")</f>
        <v/>
      </c>
      <c r="AC600" s="239" t="str">
        <f>IF('CCUS Projects Database'!$V600&lt;&gt;"",HYPERLINK('CCUS Projects Database'!$V600,"Link 5"),"")</f>
        <v/>
      </c>
      <c r="AD600" s="239" t="str">
        <f>IF('CCUS Projects Database'!$W600&lt;&gt;"",HYPERLINK('CCUS Projects Database'!$W600,"Link 6"),"")</f>
        <v/>
      </c>
      <c r="AE600" s="239" t="str">
        <f>IF('CCUS Projects Database'!$X600&lt;&gt;"",HYPERLINK('CCUS Projects Database'!$X600,"Link 7"),"")</f>
        <v/>
      </c>
    </row>
    <row r="601" ht="14.25" customHeight="1">
      <c r="A601" s="233" t="s">
        <v>20985</v>
      </c>
      <c r="B601" s="234">
        <v>796.0</v>
      </c>
      <c r="C601" s="234" t="s">
        <v>18586</v>
      </c>
      <c r="D601" s="235" t="s">
        <v>20986</v>
      </c>
      <c r="E601" s="234" t="s">
        <v>3</v>
      </c>
      <c r="F601" s="234">
        <v>2023.0</v>
      </c>
      <c r="G601" s="234" t="s">
        <v>18725</v>
      </c>
      <c r="H601" s="234" t="s">
        <v>18725</v>
      </c>
      <c r="I601" s="234" t="s">
        <v>18725</v>
      </c>
      <c r="J601" s="234" t="s">
        <v>18636</v>
      </c>
      <c r="K601" s="236" t="s">
        <v>18725</v>
      </c>
      <c r="L601" s="236">
        <v>1.67</v>
      </c>
      <c r="M601" s="236">
        <v>1.67</v>
      </c>
      <c r="N601" s="234" t="s">
        <v>3</v>
      </c>
      <c r="O601" s="237" t="s">
        <v>18675</v>
      </c>
      <c r="P601" s="238" t="s">
        <v>20985</v>
      </c>
      <c r="Q601" s="234" t="s">
        <v>18732</v>
      </c>
      <c r="R601" s="238" t="s">
        <v>20977</v>
      </c>
      <c r="S601" s="238" t="s">
        <v>18725</v>
      </c>
      <c r="T601" s="238" t="s">
        <v>18725</v>
      </c>
      <c r="U601" s="238" t="s">
        <v>18725</v>
      </c>
      <c r="V601" s="238" t="s">
        <v>18725</v>
      </c>
      <c r="W601" s="238" t="s">
        <v>18725</v>
      </c>
      <c r="X601" s="238" t="s">
        <v>18725</v>
      </c>
      <c r="Y601" s="239" t="str">
        <f>IF('CCUS Projects Database'!$R601&lt;&gt;"",HYPERLINK('CCUS Projects Database'!$R601,"Link 1"),"")</f>
        <v>Link 1</v>
      </c>
      <c r="Z601" s="239" t="str">
        <f>IF('CCUS Projects Database'!$S601&lt;&gt;"",HYPERLINK('CCUS Projects Database'!$S601,"Link 2"),"")</f>
        <v/>
      </c>
      <c r="AA601" s="239" t="str">
        <f>IF('CCUS Projects Database'!$T601&lt;&gt;"",HYPERLINK('CCUS Projects Database'!$T601,"Link 3"),"")</f>
        <v/>
      </c>
      <c r="AB601" s="239" t="str">
        <f>IF('CCUS Projects Database'!$U601&lt;&gt;"",HYPERLINK('CCUS Projects Database'!$U601,"Link 4"),"")</f>
        <v/>
      </c>
      <c r="AC601" s="239" t="str">
        <f>IF('CCUS Projects Database'!$V601&lt;&gt;"",HYPERLINK('CCUS Projects Database'!$V601,"Link 5"),"")</f>
        <v/>
      </c>
      <c r="AD601" s="239" t="str">
        <f>IF('CCUS Projects Database'!$W601&lt;&gt;"",HYPERLINK('CCUS Projects Database'!$W601,"Link 6"),"")</f>
        <v/>
      </c>
      <c r="AE601" s="239" t="str">
        <f>IF('CCUS Projects Database'!$X601&lt;&gt;"",HYPERLINK('CCUS Projects Database'!$X601,"Link 7"),"")</f>
        <v/>
      </c>
    </row>
    <row r="602" ht="14.25" customHeight="1">
      <c r="A602" s="233" t="s">
        <v>20247</v>
      </c>
      <c r="B602" s="234">
        <v>797.0</v>
      </c>
      <c r="C602" s="234" t="s">
        <v>18586</v>
      </c>
      <c r="D602" s="235" t="s">
        <v>20987</v>
      </c>
      <c r="E602" s="234" t="s">
        <v>3</v>
      </c>
      <c r="F602" s="234">
        <v>2023.0</v>
      </c>
      <c r="G602" s="234" t="s">
        <v>18725</v>
      </c>
      <c r="H602" s="234" t="s">
        <v>18725</v>
      </c>
      <c r="I602" s="234" t="s">
        <v>18725</v>
      </c>
      <c r="J602" s="234" t="s">
        <v>18636</v>
      </c>
      <c r="K602" s="236" t="s">
        <v>18725</v>
      </c>
      <c r="L602" s="236">
        <v>1.27</v>
      </c>
      <c r="M602" s="236">
        <v>1.27</v>
      </c>
      <c r="N602" s="234" t="s">
        <v>3</v>
      </c>
      <c r="O602" s="237" t="s">
        <v>18675</v>
      </c>
      <c r="P602" s="238" t="s">
        <v>20247</v>
      </c>
      <c r="Q602" s="234" t="s">
        <v>18732</v>
      </c>
      <c r="R602" s="238" t="s">
        <v>20977</v>
      </c>
      <c r="S602" s="238" t="s">
        <v>20988</v>
      </c>
      <c r="T602" s="238" t="s">
        <v>18725</v>
      </c>
      <c r="U602" s="238" t="s">
        <v>18725</v>
      </c>
      <c r="V602" s="238" t="s">
        <v>18725</v>
      </c>
      <c r="W602" s="238" t="s">
        <v>18725</v>
      </c>
      <c r="X602" s="238" t="s">
        <v>18725</v>
      </c>
      <c r="Y602" s="239" t="str">
        <f>IF('CCUS Projects Database'!$R602&lt;&gt;"",HYPERLINK('CCUS Projects Database'!$R602,"Link 1"),"")</f>
        <v>Link 1</v>
      </c>
      <c r="Z602" s="239" t="str">
        <f>IF('CCUS Projects Database'!$S602&lt;&gt;"",HYPERLINK('CCUS Projects Database'!$S602,"Link 2"),"")</f>
        <v>Link 2</v>
      </c>
      <c r="AA602" s="239" t="str">
        <f>IF('CCUS Projects Database'!$T602&lt;&gt;"",HYPERLINK('CCUS Projects Database'!$T602,"Link 3"),"")</f>
        <v/>
      </c>
      <c r="AB602" s="239" t="str">
        <f>IF('CCUS Projects Database'!$U602&lt;&gt;"",HYPERLINK('CCUS Projects Database'!$U602,"Link 4"),"")</f>
        <v/>
      </c>
      <c r="AC602" s="239" t="str">
        <f>IF('CCUS Projects Database'!$V602&lt;&gt;"",HYPERLINK('CCUS Projects Database'!$V602,"Link 5"),"")</f>
        <v/>
      </c>
      <c r="AD602" s="239" t="str">
        <f>IF('CCUS Projects Database'!$W602&lt;&gt;"",HYPERLINK('CCUS Projects Database'!$W602,"Link 6"),"")</f>
        <v/>
      </c>
      <c r="AE602" s="239" t="str">
        <f>IF('CCUS Projects Database'!$X602&lt;&gt;"",HYPERLINK('CCUS Projects Database'!$X602,"Link 7"),"")</f>
        <v/>
      </c>
    </row>
    <row r="603" ht="14.25" customHeight="1">
      <c r="A603" s="233" t="s">
        <v>20989</v>
      </c>
      <c r="B603" s="234">
        <v>798.0</v>
      </c>
      <c r="C603" s="234" t="s">
        <v>18586</v>
      </c>
      <c r="D603" s="235" t="s">
        <v>20990</v>
      </c>
      <c r="E603" s="234" t="s">
        <v>18620</v>
      </c>
      <c r="F603" s="234">
        <v>2023.0</v>
      </c>
      <c r="G603" s="234" t="s">
        <v>18725</v>
      </c>
      <c r="H603" s="234" t="s">
        <v>18725</v>
      </c>
      <c r="I603" s="234" t="s">
        <v>18725</v>
      </c>
      <c r="J603" s="234" t="s">
        <v>18636</v>
      </c>
      <c r="K603" s="236" t="s">
        <v>18725</v>
      </c>
      <c r="L603" s="236">
        <v>120.0</v>
      </c>
      <c r="M603" s="236">
        <v>120.0</v>
      </c>
      <c r="N603" s="234" t="s">
        <v>18620</v>
      </c>
      <c r="O603" s="237" t="s">
        <v>18683</v>
      </c>
      <c r="P603" s="238" t="s">
        <v>20991</v>
      </c>
      <c r="Q603" s="234" t="s">
        <v>18732</v>
      </c>
      <c r="R603" s="238" t="s">
        <v>20992</v>
      </c>
      <c r="S603" s="238" t="s">
        <v>18725</v>
      </c>
      <c r="T603" s="238" t="s">
        <v>18725</v>
      </c>
      <c r="U603" s="238" t="s">
        <v>18725</v>
      </c>
      <c r="V603" s="238" t="s">
        <v>18725</v>
      </c>
      <c r="W603" s="238" t="s">
        <v>18725</v>
      </c>
      <c r="X603" s="238" t="s">
        <v>18725</v>
      </c>
      <c r="Y603" s="239" t="str">
        <f>IF('CCUS Projects Database'!$R603&lt;&gt;"",HYPERLINK('CCUS Projects Database'!$R603,"Link 1"),"")</f>
        <v>Link 1</v>
      </c>
      <c r="Z603" s="239" t="str">
        <f>IF('CCUS Projects Database'!$S603&lt;&gt;"",HYPERLINK('CCUS Projects Database'!$S603,"Link 2"),"")</f>
        <v/>
      </c>
      <c r="AA603" s="239" t="str">
        <f>IF('CCUS Projects Database'!$T603&lt;&gt;"",HYPERLINK('CCUS Projects Database'!$T603,"Link 3"),"")</f>
        <v/>
      </c>
      <c r="AB603" s="239" t="str">
        <f>IF('CCUS Projects Database'!$U603&lt;&gt;"",HYPERLINK('CCUS Projects Database'!$U603,"Link 4"),"")</f>
        <v/>
      </c>
      <c r="AC603" s="239" t="str">
        <f>IF('CCUS Projects Database'!$V603&lt;&gt;"",HYPERLINK('CCUS Projects Database'!$V603,"Link 5"),"")</f>
        <v/>
      </c>
      <c r="AD603" s="239" t="str">
        <f>IF('CCUS Projects Database'!$W603&lt;&gt;"",HYPERLINK('CCUS Projects Database'!$W603,"Link 6"),"")</f>
        <v/>
      </c>
      <c r="AE603" s="239" t="str">
        <f>IF('CCUS Projects Database'!$X603&lt;&gt;"",HYPERLINK('CCUS Projects Database'!$X603,"Link 7"),"")</f>
        <v/>
      </c>
    </row>
    <row r="604" ht="14.25" customHeight="1">
      <c r="A604" s="233" t="s">
        <v>20993</v>
      </c>
      <c r="B604" s="234">
        <v>799.0</v>
      </c>
      <c r="C604" s="234" t="s">
        <v>18586</v>
      </c>
      <c r="D604" s="235" t="s">
        <v>20994</v>
      </c>
      <c r="E604" s="234" t="s">
        <v>18620</v>
      </c>
      <c r="F604" s="234">
        <v>2023.0</v>
      </c>
      <c r="G604" s="234" t="s">
        <v>18725</v>
      </c>
      <c r="H604" s="234" t="s">
        <v>18725</v>
      </c>
      <c r="I604" s="234" t="s">
        <v>18725</v>
      </c>
      <c r="J604" s="234" t="s">
        <v>18636</v>
      </c>
      <c r="K604" s="236" t="s">
        <v>18725</v>
      </c>
      <c r="L604" s="236">
        <v>250.0</v>
      </c>
      <c r="M604" s="236">
        <v>250.0</v>
      </c>
      <c r="N604" s="234" t="s">
        <v>18620</v>
      </c>
      <c r="O604" s="237" t="s">
        <v>18683</v>
      </c>
      <c r="P604" s="238" t="s">
        <v>20995</v>
      </c>
      <c r="Q604" s="234" t="s">
        <v>18732</v>
      </c>
      <c r="R604" s="238" t="s">
        <v>18725</v>
      </c>
      <c r="S604" s="238" t="s">
        <v>18725</v>
      </c>
      <c r="T604" s="238" t="s">
        <v>18725</v>
      </c>
      <c r="U604" s="238" t="s">
        <v>18725</v>
      </c>
      <c r="V604" s="238" t="s">
        <v>18725</v>
      </c>
      <c r="W604" s="238" t="s">
        <v>18725</v>
      </c>
      <c r="X604" s="238" t="s">
        <v>18725</v>
      </c>
      <c r="Y604" s="239" t="str">
        <f>IF('CCUS Projects Database'!$R604&lt;&gt;"",HYPERLINK('CCUS Projects Database'!$R604,"Link 1"),"")</f>
        <v/>
      </c>
      <c r="Z604" s="239" t="str">
        <f>IF('CCUS Projects Database'!$S604&lt;&gt;"",HYPERLINK('CCUS Projects Database'!$S604,"Link 2"),"")</f>
        <v/>
      </c>
      <c r="AA604" s="239" t="str">
        <f>IF('CCUS Projects Database'!$T604&lt;&gt;"",HYPERLINK('CCUS Projects Database'!$T604,"Link 3"),"")</f>
        <v/>
      </c>
      <c r="AB604" s="239" t="str">
        <f>IF('CCUS Projects Database'!$U604&lt;&gt;"",HYPERLINK('CCUS Projects Database'!$U604,"Link 4"),"")</f>
        <v/>
      </c>
      <c r="AC604" s="239" t="str">
        <f>IF('CCUS Projects Database'!$V604&lt;&gt;"",HYPERLINK('CCUS Projects Database'!$V604,"Link 5"),"")</f>
        <v/>
      </c>
      <c r="AD604" s="239" t="str">
        <f>IF('CCUS Projects Database'!$W604&lt;&gt;"",HYPERLINK('CCUS Projects Database'!$W604,"Link 6"),"")</f>
        <v/>
      </c>
      <c r="AE604" s="239" t="str">
        <f>IF('CCUS Projects Database'!$X604&lt;&gt;"",HYPERLINK('CCUS Projects Database'!$X604,"Link 7"),"")</f>
        <v/>
      </c>
    </row>
    <row r="605" ht="14.25" customHeight="1">
      <c r="A605" s="233" t="s">
        <v>20996</v>
      </c>
      <c r="B605" s="234">
        <v>800.0</v>
      </c>
      <c r="C605" s="234" t="s">
        <v>18586</v>
      </c>
      <c r="D605" s="235" t="s">
        <v>20830</v>
      </c>
      <c r="E605" s="234" t="s">
        <v>18620</v>
      </c>
      <c r="F605" s="234">
        <v>2023.0</v>
      </c>
      <c r="G605" s="234" t="s">
        <v>18725</v>
      </c>
      <c r="H605" s="234" t="s">
        <v>18725</v>
      </c>
      <c r="I605" s="234" t="s">
        <v>18725</v>
      </c>
      <c r="J605" s="234" t="s">
        <v>18192</v>
      </c>
      <c r="K605" s="236" t="s">
        <v>18725</v>
      </c>
      <c r="L605" s="236">
        <v>8.0</v>
      </c>
      <c r="M605" s="236">
        <v>8.0</v>
      </c>
      <c r="N605" s="234" t="s">
        <v>18620</v>
      </c>
      <c r="O605" s="237" t="s">
        <v>18683</v>
      </c>
      <c r="P605" s="238" t="s">
        <v>20997</v>
      </c>
      <c r="Q605" s="234" t="s">
        <v>18732</v>
      </c>
      <c r="R605" s="238" t="s">
        <v>18725</v>
      </c>
      <c r="S605" s="238" t="s">
        <v>18725</v>
      </c>
      <c r="T605" s="238" t="s">
        <v>18725</v>
      </c>
      <c r="U605" s="238" t="s">
        <v>18725</v>
      </c>
      <c r="V605" s="238" t="s">
        <v>18725</v>
      </c>
      <c r="W605" s="238" t="s">
        <v>18725</v>
      </c>
      <c r="X605" s="238" t="s">
        <v>18725</v>
      </c>
      <c r="Y605" s="239" t="str">
        <f>IF('CCUS Projects Database'!$R605&lt;&gt;"",HYPERLINK('CCUS Projects Database'!$R605,"Link 1"),"")</f>
        <v/>
      </c>
      <c r="Z605" s="239" t="str">
        <f>IF('CCUS Projects Database'!$S605&lt;&gt;"",HYPERLINK('CCUS Projects Database'!$S605,"Link 2"),"")</f>
        <v/>
      </c>
      <c r="AA605" s="239" t="str">
        <f>IF('CCUS Projects Database'!$T605&lt;&gt;"",HYPERLINK('CCUS Projects Database'!$T605,"Link 3"),"")</f>
        <v/>
      </c>
      <c r="AB605" s="239" t="str">
        <f>IF('CCUS Projects Database'!$U605&lt;&gt;"",HYPERLINK('CCUS Projects Database'!$U605,"Link 4"),"")</f>
        <v/>
      </c>
      <c r="AC605" s="239" t="str">
        <f>IF('CCUS Projects Database'!$V605&lt;&gt;"",HYPERLINK('CCUS Projects Database'!$V605,"Link 5"),"")</f>
        <v/>
      </c>
      <c r="AD605" s="239" t="str">
        <f>IF('CCUS Projects Database'!$W605&lt;&gt;"",HYPERLINK('CCUS Projects Database'!$W605,"Link 6"),"")</f>
        <v/>
      </c>
      <c r="AE605" s="239" t="str">
        <f>IF('CCUS Projects Database'!$X605&lt;&gt;"",HYPERLINK('CCUS Projects Database'!$X605,"Link 7"),"")</f>
        <v/>
      </c>
    </row>
    <row r="606" ht="14.25" customHeight="1">
      <c r="A606" s="233" t="s">
        <v>20998</v>
      </c>
      <c r="B606" s="234">
        <v>802.0</v>
      </c>
      <c r="C606" s="234" t="s">
        <v>18290</v>
      </c>
      <c r="D606" s="235" t="s">
        <v>20999</v>
      </c>
      <c r="E606" s="234" t="s">
        <v>18620</v>
      </c>
      <c r="F606" s="234">
        <v>2023.0</v>
      </c>
      <c r="G606" s="234" t="s">
        <v>18725</v>
      </c>
      <c r="H606" s="234">
        <v>2027.0</v>
      </c>
      <c r="I606" s="234" t="s">
        <v>18725</v>
      </c>
      <c r="J606" s="234" t="s">
        <v>18636</v>
      </c>
      <c r="K606" s="236" t="s">
        <v>18725</v>
      </c>
      <c r="L606" s="236" t="s">
        <v>18725</v>
      </c>
      <c r="M606" s="236" t="s">
        <v>18725</v>
      </c>
      <c r="N606" s="234" t="s">
        <v>18620</v>
      </c>
      <c r="O606" s="237" t="s">
        <v>18683</v>
      </c>
      <c r="P606" s="238" t="s">
        <v>18725</v>
      </c>
      <c r="Q606" s="234" t="s">
        <v>18856</v>
      </c>
      <c r="R606" s="238" t="s">
        <v>21000</v>
      </c>
      <c r="S606" s="238" t="s">
        <v>18725</v>
      </c>
      <c r="T606" s="238" t="s">
        <v>18725</v>
      </c>
      <c r="U606" s="238" t="s">
        <v>18725</v>
      </c>
      <c r="V606" s="238" t="s">
        <v>18725</v>
      </c>
      <c r="W606" s="238" t="s">
        <v>18725</v>
      </c>
      <c r="X606" s="238" t="s">
        <v>18725</v>
      </c>
      <c r="Y606" s="239" t="str">
        <f>IF('CCUS Projects Database'!$R606&lt;&gt;"",HYPERLINK('CCUS Projects Database'!$R606,"Link 1"),"")</f>
        <v>Link 1</v>
      </c>
      <c r="Z606" s="239" t="str">
        <f>IF('CCUS Projects Database'!$S606&lt;&gt;"",HYPERLINK('CCUS Projects Database'!$S606,"Link 2"),"")</f>
        <v/>
      </c>
      <c r="AA606" s="239" t="str">
        <f>IF('CCUS Projects Database'!$T606&lt;&gt;"",HYPERLINK('CCUS Projects Database'!$T606,"Link 3"),"")</f>
        <v/>
      </c>
      <c r="AB606" s="239" t="str">
        <f>IF('CCUS Projects Database'!$U606&lt;&gt;"",HYPERLINK('CCUS Projects Database'!$U606,"Link 4"),"")</f>
        <v/>
      </c>
      <c r="AC606" s="239" t="str">
        <f>IF('CCUS Projects Database'!$V606&lt;&gt;"",HYPERLINK('CCUS Projects Database'!$V606,"Link 5"),"")</f>
        <v/>
      </c>
      <c r="AD606" s="239" t="str">
        <f>IF('CCUS Projects Database'!$W606&lt;&gt;"",HYPERLINK('CCUS Projects Database'!$W606,"Link 6"),"")</f>
        <v/>
      </c>
      <c r="AE606" s="239" t="str">
        <f>IF('CCUS Projects Database'!$X606&lt;&gt;"",HYPERLINK('CCUS Projects Database'!$X606,"Link 7"),"")</f>
        <v/>
      </c>
    </row>
    <row r="607" ht="14.25" customHeight="1">
      <c r="A607" s="233" t="s">
        <v>21001</v>
      </c>
      <c r="B607" s="234">
        <v>803.0</v>
      </c>
      <c r="C607" s="234" t="s">
        <v>63</v>
      </c>
      <c r="D607" s="235" t="s">
        <v>20415</v>
      </c>
      <c r="E607" s="234" t="s">
        <v>18616</v>
      </c>
      <c r="F607" s="234">
        <v>2023.0</v>
      </c>
      <c r="G607" s="234" t="s">
        <v>18725</v>
      </c>
      <c r="H607" s="234">
        <v>2028.0</v>
      </c>
      <c r="I607" s="234" t="s">
        <v>18725</v>
      </c>
      <c r="J607" s="234" t="s">
        <v>18636</v>
      </c>
      <c r="K607" s="236">
        <v>2.0</v>
      </c>
      <c r="L607" s="236">
        <v>0.05</v>
      </c>
      <c r="M607" s="236">
        <v>0.05</v>
      </c>
      <c r="N607" s="234" t="s">
        <v>18218</v>
      </c>
      <c r="O607" s="237" t="s">
        <v>18675</v>
      </c>
      <c r="P607" s="238" t="s">
        <v>18725</v>
      </c>
      <c r="Q607" s="234" t="s">
        <v>18726</v>
      </c>
      <c r="R607" s="238" t="s">
        <v>21002</v>
      </c>
      <c r="S607" s="238" t="s">
        <v>18725</v>
      </c>
      <c r="T607" s="238" t="s">
        <v>18725</v>
      </c>
      <c r="U607" s="238" t="s">
        <v>18725</v>
      </c>
      <c r="V607" s="238" t="s">
        <v>18725</v>
      </c>
      <c r="W607" s="238" t="s">
        <v>18725</v>
      </c>
      <c r="X607" s="238" t="s">
        <v>18725</v>
      </c>
      <c r="Y607" s="239" t="str">
        <f>IF('CCUS Projects Database'!$R607&lt;&gt;"",HYPERLINK('CCUS Projects Database'!$R607,"Link 1"),"")</f>
        <v>Link 1</v>
      </c>
      <c r="Z607" s="239" t="str">
        <f>IF('CCUS Projects Database'!$S607&lt;&gt;"",HYPERLINK('CCUS Projects Database'!$S607,"Link 2"),"")</f>
        <v/>
      </c>
      <c r="AA607" s="239" t="str">
        <f>IF('CCUS Projects Database'!$T607&lt;&gt;"",HYPERLINK('CCUS Projects Database'!$T607,"Link 3"),"")</f>
        <v/>
      </c>
      <c r="AB607" s="239" t="str">
        <f>IF('CCUS Projects Database'!$U607&lt;&gt;"",HYPERLINK('CCUS Projects Database'!$U607,"Link 4"),"")</f>
        <v/>
      </c>
      <c r="AC607" s="239" t="str">
        <f>IF('CCUS Projects Database'!$V607&lt;&gt;"",HYPERLINK('CCUS Projects Database'!$V607,"Link 5"),"")</f>
        <v/>
      </c>
      <c r="AD607" s="239" t="str">
        <f>IF('CCUS Projects Database'!$W607&lt;&gt;"",HYPERLINK('CCUS Projects Database'!$W607,"Link 6"),"")</f>
        <v/>
      </c>
      <c r="AE607" s="239" t="str">
        <f>IF('CCUS Projects Database'!$X607&lt;&gt;"",HYPERLINK('CCUS Projects Database'!$X607,"Link 7"),"")</f>
        <v/>
      </c>
    </row>
    <row r="608" ht="14.25" customHeight="1">
      <c r="A608" s="233" t="s">
        <v>21003</v>
      </c>
      <c r="B608" s="234">
        <v>804.0</v>
      </c>
      <c r="C608" s="234" t="s">
        <v>83</v>
      </c>
      <c r="D608" s="235" t="s">
        <v>21004</v>
      </c>
      <c r="E608" s="234" t="s">
        <v>18618</v>
      </c>
      <c r="F608" s="234">
        <v>2023.0</v>
      </c>
      <c r="G608" s="234" t="s">
        <v>18725</v>
      </c>
      <c r="H608" s="234">
        <v>2030.0</v>
      </c>
      <c r="I608" s="234" t="s">
        <v>18725</v>
      </c>
      <c r="J608" s="234" t="s">
        <v>18636</v>
      </c>
      <c r="K608" s="236" t="s">
        <v>18725</v>
      </c>
      <c r="L608" s="236">
        <v>1.87</v>
      </c>
      <c r="M608" s="236">
        <v>1.87</v>
      </c>
      <c r="N608" s="234" t="s">
        <v>18654</v>
      </c>
      <c r="O608" s="237" t="s">
        <v>18675</v>
      </c>
      <c r="P608" s="238" t="s">
        <v>19115</v>
      </c>
      <c r="Q608" s="234" t="s">
        <v>18726</v>
      </c>
      <c r="R608" s="238" t="s">
        <v>20349</v>
      </c>
      <c r="S608" s="238" t="s">
        <v>21005</v>
      </c>
      <c r="T608" s="238" t="s">
        <v>18725</v>
      </c>
      <c r="U608" s="238" t="s">
        <v>18725</v>
      </c>
      <c r="V608" s="238" t="s">
        <v>18725</v>
      </c>
      <c r="W608" s="238" t="s">
        <v>18725</v>
      </c>
      <c r="X608" s="238" t="s">
        <v>18725</v>
      </c>
      <c r="Y608" s="239" t="str">
        <f>IF('CCUS Projects Database'!$R608&lt;&gt;"",HYPERLINK('CCUS Projects Database'!$R608,"Link 1"),"")</f>
        <v>Link 1</v>
      </c>
      <c r="Z608" s="239" t="str">
        <f>IF('CCUS Projects Database'!$S608&lt;&gt;"",HYPERLINK('CCUS Projects Database'!$S608,"Link 2"),"")</f>
        <v>Link 2</v>
      </c>
      <c r="AA608" s="239" t="str">
        <f>IF('CCUS Projects Database'!$T608&lt;&gt;"",HYPERLINK('CCUS Projects Database'!$T608,"Link 3"),"")</f>
        <v/>
      </c>
      <c r="AB608" s="239" t="str">
        <f>IF('CCUS Projects Database'!$U608&lt;&gt;"",HYPERLINK('CCUS Projects Database'!$U608,"Link 4"),"")</f>
        <v/>
      </c>
      <c r="AC608" s="239" t="str">
        <f>IF('CCUS Projects Database'!$V608&lt;&gt;"",HYPERLINK('CCUS Projects Database'!$V608,"Link 5"),"")</f>
        <v/>
      </c>
      <c r="AD608" s="239" t="str">
        <f>IF('CCUS Projects Database'!$W608&lt;&gt;"",HYPERLINK('CCUS Projects Database'!$W608,"Link 6"),"")</f>
        <v/>
      </c>
      <c r="AE608" s="239" t="str">
        <f>IF('CCUS Projects Database'!$X608&lt;&gt;"",HYPERLINK('CCUS Projects Database'!$X608,"Link 7"),"")</f>
        <v/>
      </c>
    </row>
    <row r="609" ht="14.25" customHeight="1">
      <c r="A609" s="233" t="s">
        <v>21006</v>
      </c>
      <c r="B609" s="234">
        <v>805.0</v>
      </c>
      <c r="C609" s="234" t="s">
        <v>18586</v>
      </c>
      <c r="D609" s="235" t="s">
        <v>21007</v>
      </c>
      <c r="E609" s="234" t="s">
        <v>18618</v>
      </c>
      <c r="F609" s="234">
        <v>2023.0</v>
      </c>
      <c r="G609" s="234" t="s">
        <v>18725</v>
      </c>
      <c r="H609" s="234">
        <v>2026.0</v>
      </c>
      <c r="I609" s="234" t="s">
        <v>18725</v>
      </c>
      <c r="J609" s="234" t="s">
        <v>18636</v>
      </c>
      <c r="K609" s="236" t="s">
        <v>18725</v>
      </c>
      <c r="L609" s="236">
        <v>0.8</v>
      </c>
      <c r="M609" s="236">
        <v>0.8</v>
      </c>
      <c r="N609" s="234" t="s">
        <v>18665</v>
      </c>
      <c r="O609" s="237" t="s">
        <v>18675</v>
      </c>
      <c r="P609" s="238" t="s">
        <v>20230</v>
      </c>
      <c r="Q609" s="234" t="s">
        <v>18732</v>
      </c>
      <c r="R609" s="238" t="s">
        <v>21008</v>
      </c>
      <c r="S609" s="238" t="s">
        <v>21009</v>
      </c>
      <c r="T609" s="238" t="s">
        <v>18725</v>
      </c>
      <c r="U609" s="238" t="s">
        <v>18725</v>
      </c>
      <c r="V609" s="238" t="s">
        <v>18725</v>
      </c>
      <c r="W609" s="238" t="s">
        <v>18725</v>
      </c>
      <c r="X609" s="238" t="s">
        <v>18725</v>
      </c>
      <c r="Y609" s="239" t="str">
        <f>IF('CCUS Projects Database'!$R609&lt;&gt;"",HYPERLINK('CCUS Projects Database'!$R609,"Link 1"),"")</f>
        <v>Link 1</v>
      </c>
      <c r="Z609" s="239" t="str">
        <f>IF('CCUS Projects Database'!$S609&lt;&gt;"",HYPERLINK('CCUS Projects Database'!$S609,"Link 2"),"")</f>
        <v>Link 2</v>
      </c>
      <c r="AA609" s="239" t="str">
        <f>IF('CCUS Projects Database'!$T609&lt;&gt;"",HYPERLINK('CCUS Projects Database'!$T609,"Link 3"),"")</f>
        <v/>
      </c>
      <c r="AB609" s="239" t="str">
        <f>IF('CCUS Projects Database'!$U609&lt;&gt;"",HYPERLINK('CCUS Projects Database'!$U609,"Link 4"),"")</f>
        <v/>
      </c>
      <c r="AC609" s="239" t="str">
        <f>IF('CCUS Projects Database'!$V609&lt;&gt;"",HYPERLINK('CCUS Projects Database'!$V609,"Link 5"),"")</f>
        <v/>
      </c>
      <c r="AD609" s="239" t="str">
        <f>IF('CCUS Projects Database'!$W609&lt;&gt;"",HYPERLINK('CCUS Projects Database'!$W609,"Link 6"),"")</f>
        <v/>
      </c>
      <c r="AE609" s="239" t="str">
        <f>IF('CCUS Projects Database'!$X609&lt;&gt;"",HYPERLINK('CCUS Projects Database'!$X609,"Link 7"),"")</f>
        <v/>
      </c>
    </row>
    <row r="610" ht="14.25" customHeight="1">
      <c r="A610" s="233" t="s">
        <v>21010</v>
      </c>
      <c r="B610" s="234">
        <v>806.0</v>
      </c>
      <c r="C610" s="234" t="s">
        <v>18586</v>
      </c>
      <c r="D610" s="235" t="s">
        <v>20504</v>
      </c>
      <c r="E610" s="234" t="s">
        <v>3</v>
      </c>
      <c r="F610" s="234">
        <v>2022.0</v>
      </c>
      <c r="G610" s="234" t="s">
        <v>18725</v>
      </c>
      <c r="H610" s="234">
        <v>2026.0</v>
      </c>
      <c r="I610" s="234" t="s">
        <v>18725</v>
      </c>
      <c r="J610" s="234" t="s">
        <v>18636</v>
      </c>
      <c r="K610" s="236" t="s">
        <v>18725</v>
      </c>
      <c r="L610" s="236">
        <v>5.0</v>
      </c>
      <c r="M610" s="236">
        <v>5.0</v>
      </c>
      <c r="N610" s="234" t="s">
        <v>3</v>
      </c>
      <c r="O610" s="237" t="s">
        <v>18675</v>
      </c>
      <c r="P610" s="238" t="s">
        <v>21010</v>
      </c>
      <c r="Q610" s="234" t="s">
        <v>18732</v>
      </c>
      <c r="R610" s="238" t="s">
        <v>20284</v>
      </c>
      <c r="S610" s="238" t="s">
        <v>21011</v>
      </c>
      <c r="T610" s="238" t="s">
        <v>21008</v>
      </c>
      <c r="U610" s="238" t="s">
        <v>18725</v>
      </c>
      <c r="V610" s="238" t="s">
        <v>18725</v>
      </c>
      <c r="W610" s="238" t="s">
        <v>18725</v>
      </c>
      <c r="X610" s="238" t="s">
        <v>18725</v>
      </c>
      <c r="Y610" s="239" t="str">
        <f>IF('CCUS Projects Database'!$R610&lt;&gt;"",HYPERLINK('CCUS Projects Database'!$R610,"Link 1"),"")</f>
        <v>Link 1</v>
      </c>
      <c r="Z610" s="239" t="str">
        <f>IF('CCUS Projects Database'!$S610&lt;&gt;"",HYPERLINK('CCUS Projects Database'!$S610,"Link 2"),"")</f>
        <v>Link 2</v>
      </c>
      <c r="AA610" s="239" t="str">
        <f>IF('CCUS Projects Database'!$T610&lt;&gt;"",HYPERLINK('CCUS Projects Database'!$T610,"Link 3"),"")</f>
        <v>Link 3</v>
      </c>
      <c r="AB610" s="239" t="str">
        <f>IF('CCUS Projects Database'!$U610&lt;&gt;"",HYPERLINK('CCUS Projects Database'!$U610,"Link 4"),"")</f>
        <v/>
      </c>
      <c r="AC610" s="239" t="str">
        <f>IF('CCUS Projects Database'!$V610&lt;&gt;"",HYPERLINK('CCUS Projects Database'!$V610,"Link 5"),"")</f>
        <v/>
      </c>
      <c r="AD610" s="239" t="str">
        <f>IF('CCUS Projects Database'!$W610&lt;&gt;"",HYPERLINK('CCUS Projects Database'!$W610,"Link 6"),"")</f>
        <v/>
      </c>
      <c r="AE610" s="239" t="str">
        <f>IF('CCUS Projects Database'!$X610&lt;&gt;"",HYPERLINK('CCUS Projects Database'!$X610,"Link 7"),"")</f>
        <v/>
      </c>
    </row>
    <row r="611" ht="14.25" customHeight="1">
      <c r="A611" s="233" t="s">
        <v>21012</v>
      </c>
      <c r="B611" s="234">
        <v>809.0</v>
      </c>
      <c r="C611" s="234" t="s">
        <v>120</v>
      </c>
      <c r="D611" s="235" t="s">
        <v>21013</v>
      </c>
      <c r="E611" s="234" t="s">
        <v>18618</v>
      </c>
      <c r="F611" s="234">
        <v>2021.0</v>
      </c>
      <c r="G611" s="234" t="s">
        <v>18725</v>
      </c>
      <c r="H611" s="234" t="s">
        <v>18725</v>
      </c>
      <c r="I611" s="234" t="s">
        <v>18725</v>
      </c>
      <c r="J611" s="234" t="s">
        <v>18636</v>
      </c>
      <c r="K611" s="236" t="s">
        <v>18725</v>
      </c>
      <c r="L611" s="236">
        <v>0.24</v>
      </c>
      <c r="M611" s="236">
        <v>0.24</v>
      </c>
      <c r="N611" s="234" t="s">
        <v>103</v>
      </c>
      <c r="O611" s="237" t="s">
        <v>18683</v>
      </c>
      <c r="P611" s="238" t="s">
        <v>18725</v>
      </c>
      <c r="Q611" s="234" t="s">
        <v>18726</v>
      </c>
      <c r="R611" s="238" t="s">
        <v>21014</v>
      </c>
      <c r="S611" s="238" t="s">
        <v>21015</v>
      </c>
      <c r="T611" s="238" t="s">
        <v>18725</v>
      </c>
      <c r="U611" s="238" t="s">
        <v>18725</v>
      </c>
      <c r="V611" s="238" t="s">
        <v>18725</v>
      </c>
      <c r="W611" s="238" t="s">
        <v>18725</v>
      </c>
      <c r="X611" s="238" t="s">
        <v>18725</v>
      </c>
      <c r="Y611" s="239" t="str">
        <f>IF('CCUS Projects Database'!$R611&lt;&gt;"",HYPERLINK('CCUS Projects Database'!$R611,"Link 1"),"")</f>
        <v>Link 1</v>
      </c>
      <c r="Z611" s="239" t="str">
        <f>IF('CCUS Projects Database'!$S611&lt;&gt;"",HYPERLINK('CCUS Projects Database'!$S611,"Link 2"),"")</f>
        <v>Link 2</v>
      </c>
      <c r="AA611" s="239" t="str">
        <f>IF('CCUS Projects Database'!$T611&lt;&gt;"",HYPERLINK('CCUS Projects Database'!$T611,"Link 3"),"")</f>
        <v/>
      </c>
      <c r="AB611" s="239" t="str">
        <f>IF('CCUS Projects Database'!$U611&lt;&gt;"",HYPERLINK('CCUS Projects Database'!$U611,"Link 4"),"")</f>
        <v/>
      </c>
      <c r="AC611" s="239" t="str">
        <f>IF('CCUS Projects Database'!$V611&lt;&gt;"",HYPERLINK('CCUS Projects Database'!$V611,"Link 5"),"")</f>
        <v/>
      </c>
      <c r="AD611" s="239" t="str">
        <f>IF('CCUS Projects Database'!$W611&lt;&gt;"",HYPERLINK('CCUS Projects Database'!$W611,"Link 6"),"")</f>
        <v/>
      </c>
      <c r="AE611" s="239" t="str">
        <f>IF('CCUS Projects Database'!$X611&lt;&gt;"",HYPERLINK('CCUS Projects Database'!$X611,"Link 7"),"")</f>
        <v/>
      </c>
    </row>
    <row r="612" ht="14.25" customHeight="1">
      <c r="A612" s="233" t="s">
        <v>21016</v>
      </c>
      <c r="B612" s="234">
        <v>810.0</v>
      </c>
      <c r="C612" s="234" t="s">
        <v>18290</v>
      </c>
      <c r="D612" s="235" t="s">
        <v>21017</v>
      </c>
      <c r="E612" s="234" t="s">
        <v>18623</v>
      </c>
      <c r="F612" s="234">
        <v>2023.0</v>
      </c>
      <c r="G612" s="234" t="s">
        <v>18725</v>
      </c>
      <c r="H612" s="234">
        <v>2030.0</v>
      </c>
      <c r="I612" s="234" t="s">
        <v>18725</v>
      </c>
      <c r="J612" s="234" t="s">
        <v>18636</v>
      </c>
      <c r="K612" s="236" t="s">
        <v>18725</v>
      </c>
      <c r="L612" s="236">
        <v>1.0</v>
      </c>
      <c r="M612" s="236">
        <v>1.0</v>
      </c>
      <c r="N612" s="234" t="s">
        <v>18623</v>
      </c>
      <c r="O612" s="237" t="s">
        <v>18675</v>
      </c>
      <c r="P612" s="238" t="s">
        <v>21018</v>
      </c>
      <c r="Q612" s="234" t="s">
        <v>18856</v>
      </c>
      <c r="R612" s="238" t="s">
        <v>19219</v>
      </c>
      <c r="S612" s="238" t="s">
        <v>19218</v>
      </c>
      <c r="T612" s="238" t="s">
        <v>18725</v>
      </c>
      <c r="U612" s="238" t="s">
        <v>18725</v>
      </c>
      <c r="V612" s="238" t="s">
        <v>18725</v>
      </c>
      <c r="W612" s="238" t="s">
        <v>18725</v>
      </c>
      <c r="X612" s="238" t="s">
        <v>18725</v>
      </c>
      <c r="Y612" s="239" t="str">
        <f>IF('CCUS Projects Database'!$R612&lt;&gt;"",HYPERLINK('CCUS Projects Database'!$R612,"Link 1"),"")</f>
        <v>Link 1</v>
      </c>
      <c r="Z612" s="239" t="str">
        <f>IF('CCUS Projects Database'!$S612&lt;&gt;"",HYPERLINK('CCUS Projects Database'!$S612,"Link 2"),"")</f>
        <v>Link 2</v>
      </c>
      <c r="AA612" s="239" t="str">
        <f>IF('CCUS Projects Database'!$T612&lt;&gt;"",HYPERLINK('CCUS Projects Database'!$T612,"Link 3"),"")</f>
        <v/>
      </c>
      <c r="AB612" s="239" t="str">
        <f>IF('CCUS Projects Database'!$U612&lt;&gt;"",HYPERLINK('CCUS Projects Database'!$U612,"Link 4"),"")</f>
        <v/>
      </c>
      <c r="AC612" s="239" t="str">
        <f>IF('CCUS Projects Database'!$V612&lt;&gt;"",HYPERLINK('CCUS Projects Database'!$V612,"Link 5"),"")</f>
        <v/>
      </c>
      <c r="AD612" s="239" t="str">
        <f>IF('CCUS Projects Database'!$W612&lt;&gt;"",HYPERLINK('CCUS Projects Database'!$W612,"Link 6"),"")</f>
        <v/>
      </c>
      <c r="AE612" s="239" t="str">
        <f>IF('CCUS Projects Database'!$X612&lt;&gt;"",HYPERLINK('CCUS Projects Database'!$X612,"Link 7"),"")</f>
        <v/>
      </c>
    </row>
    <row r="613" ht="14.25" customHeight="1">
      <c r="A613" s="233" t="s">
        <v>21019</v>
      </c>
      <c r="B613" s="234">
        <v>811.0</v>
      </c>
      <c r="C613" s="234" t="s">
        <v>18290</v>
      </c>
      <c r="D613" s="235" t="s">
        <v>21020</v>
      </c>
      <c r="E613" s="234" t="s">
        <v>18623</v>
      </c>
      <c r="F613" s="234">
        <v>2023.0</v>
      </c>
      <c r="G613" s="234" t="s">
        <v>18725</v>
      </c>
      <c r="H613" s="234">
        <v>2030.0</v>
      </c>
      <c r="I613" s="234" t="s">
        <v>18725</v>
      </c>
      <c r="J613" s="234" t="s">
        <v>18636</v>
      </c>
      <c r="K613" s="236" t="s">
        <v>18725</v>
      </c>
      <c r="L613" s="236">
        <v>3.0</v>
      </c>
      <c r="M613" s="236">
        <v>3.0</v>
      </c>
      <c r="N613" s="234" t="s">
        <v>18623</v>
      </c>
      <c r="O613" s="237" t="s">
        <v>18675</v>
      </c>
      <c r="P613" s="238" t="s">
        <v>19216</v>
      </c>
      <c r="Q613" s="234" t="s">
        <v>18856</v>
      </c>
      <c r="R613" s="238" t="s">
        <v>19219</v>
      </c>
      <c r="S613" s="238" t="s">
        <v>18725</v>
      </c>
      <c r="T613" s="238" t="s">
        <v>18725</v>
      </c>
      <c r="U613" s="238" t="s">
        <v>18725</v>
      </c>
      <c r="V613" s="238" t="s">
        <v>18725</v>
      </c>
      <c r="W613" s="238" t="s">
        <v>18725</v>
      </c>
      <c r="X613" s="238" t="s">
        <v>18725</v>
      </c>
      <c r="Y613" s="239" t="str">
        <f>IF('CCUS Projects Database'!$R613&lt;&gt;"",HYPERLINK('CCUS Projects Database'!$R613,"Link 1"),"")</f>
        <v>Link 1</v>
      </c>
      <c r="Z613" s="239" t="str">
        <f>IF('CCUS Projects Database'!$S613&lt;&gt;"",HYPERLINK('CCUS Projects Database'!$S613,"Link 2"),"")</f>
        <v/>
      </c>
      <c r="AA613" s="239" t="str">
        <f>IF('CCUS Projects Database'!$T613&lt;&gt;"",HYPERLINK('CCUS Projects Database'!$T613,"Link 3"),"")</f>
        <v/>
      </c>
      <c r="AB613" s="239" t="str">
        <f>IF('CCUS Projects Database'!$U613&lt;&gt;"",HYPERLINK('CCUS Projects Database'!$U613,"Link 4"),"")</f>
        <v/>
      </c>
      <c r="AC613" s="239" t="str">
        <f>IF('CCUS Projects Database'!$V613&lt;&gt;"",HYPERLINK('CCUS Projects Database'!$V613,"Link 5"),"")</f>
        <v/>
      </c>
      <c r="AD613" s="239" t="str">
        <f>IF('CCUS Projects Database'!$W613&lt;&gt;"",HYPERLINK('CCUS Projects Database'!$W613,"Link 6"),"")</f>
        <v/>
      </c>
      <c r="AE613" s="239" t="str">
        <f>IF('CCUS Projects Database'!$X613&lt;&gt;"",HYPERLINK('CCUS Projects Database'!$X613,"Link 7"),"")</f>
        <v/>
      </c>
    </row>
    <row r="614" ht="14.25" customHeight="1">
      <c r="A614" s="233" t="s">
        <v>21021</v>
      </c>
      <c r="B614" s="234">
        <v>812.0</v>
      </c>
      <c r="C614" s="234" t="s">
        <v>20947</v>
      </c>
      <c r="D614" s="235" t="s">
        <v>21022</v>
      </c>
      <c r="E614" s="234" t="s">
        <v>18623</v>
      </c>
      <c r="F614" s="234">
        <v>2023.0</v>
      </c>
      <c r="G614" s="234" t="s">
        <v>18725</v>
      </c>
      <c r="H614" s="234">
        <v>2030.0</v>
      </c>
      <c r="I614" s="234" t="s">
        <v>18725</v>
      </c>
      <c r="J614" s="234" t="s">
        <v>18636</v>
      </c>
      <c r="K614" s="236" t="s">
        <v>18725</v>
      </c>
      <c r="L614" s="236">
        <v>2.0</v>
      </c>
      <c r="M614" s="236">
        <v>2.0</v>
      </c>
      <c r="N614" s="234" t="s">
        <v>18623</v>
      </c>
      <c r="O614" s="237" t="s">
        <v>18675</v>
      </c>
      <c r="P614" s="238" t="s">
        <v>21023</v>
      </c>
      <c r="Q614" s="234" t="s">
        <v>18856</v>
      </c>
      <c r="R614" s="238" t="s">
        <v>19219</v>
      </c>
      <c r="S614" s="238" t="s">
        <v>21024</v>
      </c>
      <c r="T614" s="238" t="s">
        <v>18725</v>
      </c>
      <c r="U614" s="238" t="s">
        <v>18725</v>
      </c>
      <c r="V614" s="238" t="s">
        <v>18725</v>
      </c>
      <c r="W614" s="238" t="s">
        <v>18725</v>
      </c>
      <c r="X614" s="238" t="s">
        <v>18725</v>
      </c>
      <c r="Y614" s="239" t="str">
        <f>IF('CCUS Projects Database'!$R614&lt;&gt;"",HYPERLINK('CCUS Projects Database'!$R614,"Link 1"),"")</f>
        <v>Link 1</v>
      </c>
      <c r="Z614" s="239" t="str">
        <f>IF('CCUS Projects Database'!$S614&lt;&gt;"",HYPERLINK('CCUS Projects Database'!$S614,"Link 2"),"")</f>
        <v>Link 2</v>
      </c>
      <c r="AA614" s="239" t="str">
        <f>IF('CCUS Projects Database'!$T614&lt;&gt;"",HYPERLINK('CCUS Projects Database'!$T614,"Link 3"),"")</f>
        <v/>
      </c>
      <c r="AB614" s="239" t="str">
        <f>IF('CCUS Projects Database'!$U614&lt;&gt;"",HYPERLINK('CCUS Projects Database'!$U614,"Link 4"),"")</f>
        <v/>
      </c>
      <c r="AC614" s="239" t="str">
        <f>IF('CCUS Projects Database'!$V614&lt;&gt;"",HYPERLINK('CCUS Projects Database'!$V614,"Link 5"),"")</f>
        <v/>
      </c>
      <c r="AD614" s="239" t="str">
        <f>IF('CCUS Projects Database'!$W614&lt;&gt;"",HYPERLINK('CCUS Projects Database'!$W614,"Link 6"),"")</f>
        <v/>
      </c>
      <c r="AE614" s="239" t="str">
        <f>IF('CCUS Projects Database'!$X614&lt;&gt;"",HYPERLINK('CCUS Projects Database'!$X614,"Link 7"),"")</f>
        <v/>
      </c>
    </row>
    <row r="615" ht="14.25" customHeight="1">
      <c r="A615" s="233" t="s">
        <v>21025</v>
      </c>
      <c r="B615" s="234">
        <v>813.0</v>
      </c>
      <c r="C615" s="234" t="s">
        <v>18360</v>
      </c>
      <c r="D615" s="235" t="s">
        <v>21026</v>
      </c>
      <c r="E615" s="234" t="s">
        <v>18616</v>
      </c>
      <c r="F615" s="234">
        <v>2023.0</v>
      </c>
      <c r="G615" s="234">
        <v>2023.0</v>
      </c>
      <c r="H615" s="234">
        <v>2025.0</v>
      </c>
      <c r="I615" s="234" t="s">
        <v>18725</v>
      </c>
      <c r="J615" s="234" t="s">
        <v>18638</v>
      </c>
      <c r="K615" s="236">
        <v>1.0</v>
      </c>
      <c r="L615" s="236">
        <v>0.4</v>
      </c>
      <c r="M615" s="236">
        <v>0.4</v>
      </c>
      <c r="N615" s="234" t="s">
        <v>18661</v>
      </c>
      <c r="O615" s="237" t="s">
        <v>18677</v>
      </c>
      <c r="P615" s="238" t="s">
        <v>18725</v>
      </c>
      <c r="Q615" s="234" t="s">
        <v>18856</v>
      </c>
      <c r="R615" s="238" t="s">
        <v>21027</v>
      </c>
      <c r="S615" s="238" t="s">
        <v>21028</v>
      </c>
      <c r="T615" s="238" t="s">
        <v>18725</v>
      </c>
      <c r="U615" s="238" t="s">
        <v>18725</v>
      </c>
      <c r="V615" s="238" t="s">
        <v>18725</v>
      </c>
      <c r="W615" s="238" t="s">
        <v>18725</v>
      </c>
      <c r="X615" s="238" t="s">
        <v>18725</v>
      </c>
      <c r="Y615" s="239" t="str">
        <f>IF('CCUS Projects Database'!$R615&lt;&gt;"",HYPERLINK('CCUS Projects Database'!$R615,"Link 1"),"")</f>
        <v>Link 1</v>
      </c>
      <c r="Z615" s="239" t="str">
        <f>IF('CCUS Projects Database'!$S615&lt;&gt;"",HYPERLINK('CCUS Projects Database'!$S615,"Link 2"),"")</f>
        <v>Link 2</v>
      </c>
      <c r="AA615" s="239" t="str">
        <f>IF('CCUS Projects Database'!$T615&lt;&gt;"",HYPERLINK('CCUS Projects Database'!$T615,"Link 3"),"")</f>
        <v/>
      </c>
      <c r="AB615" s="239" t="str">
        <f>IF('CCUS Projects Database'!$U615&lt;&gt;"",HYPERLINK('CCUS Projects Database'!$U615,"Link 4"),"")</f>
        <v/>
      </c>
      <c r="AC615" s="239" t="str">
        <f>IF('CCUS Projects Database'!$V615&lt;&gt;"",HYPERLINK('CCUS Projects Database'!$V615,"Link 5"),"")</f>
        <v/>
      </c>
      <c r="AD615" s="239" t="str">
        <f>IF('CCUS Projects Database'!$W615&lt;&gt;"",HYPERLINK('CCUS Projects Database'!$W615,"Link 6"),"")</f>
        <v/>
      </c>
      <c r="AE615" s="239" t="str">
        <f>IF('CCUS Projects Database'!$X615&lt;&gt;"",HYPERLINK('CCUS Projects Database'!$X615,"Link 7"),"")</f>
        <v/>
      </c>
    </row>
    <row r="616" ht="14.25" customHeight="1">
      <c r="A616" s="233" t="s">
        <v>21029</v>
      </c>
      <c r="B616" s="234">
        <v>814.0</v>
      </c>
      <c r="C616" s="234" t="s">
        <v>18586</v>
      </c>
      <c r="D616" s="235" t="s">
        <v>21030</v>
      </c>
      <c r="E616" s="234" t="s">
        <v>3</v>
      </c>
      <c r="F616" s="234">
        <v>2021.0</v>
      </c>
      <c r="G616" s="234" t="s">
        <v>18725</v>
      </c>
      <c r="H616" s="234">
        <v>2026.0</v>
      </c>
      <c r="I616" s="234" t="s">
        <v>18725</v>
      </c>
      <c r="J616" s="234" t="s">
        <v>18636</v>
      </c>
      <c r="K616" s="236" t="s">
        <v>18725</v>
      </c>
      <c r="L616" s="236" t="s">
        <v>21031</v>
      </c>
      <c r="M616" s="236">
        <v>1.4</v>
      </c>
      <c r="N616" s="234" t="s">
        <v>3</v>
      </c>
      <c r="O616" s="237" t="s">
        <v>18675</v>
      </c>
      <c r="P616" s="238" t="s">
        <v>18776</v>
      </c>
      <c r="Q616" s="234" t="s">
        <v>18732</v>
      </c>
      <c r="R616" s="238" t="s">
        <v>18778</v>
      </c>
      <c r="S616" s="238" t="s">
        <v>18779</v>
      </c>
      <c r="T616" s="238" t="s">
        <v>18725</v>
      </c>
      <c r="U616" s="238" t="s">
        <v>18725</v>
      </c>
      <c r="V616" s="238" t="s">
        <v>18725</v>
      </c>
      <c r="W616" s="238" t="s">
        <v>18725</v>
      </c>
      <c r="X616" s="238" t="s">
        <v>18725</v>
      </c>
      <c r="Y616" s="239" t="str">
        <f>IF('CCUS Projects Database'!$R616&lt;&gt;"",HYPERLINK('CCUS Projects Database'!$R616,"Link 1"),"")</f>
        <v>Link 1</v>
      </c>
      <c r="Z616" s="239" t="str">
        <f>IF('CCUS Projects Database'!$S616&lt;&gt;"",HYPERLINK('CCUS Projects Database'!$S616,"Link 2"),"")</f>
        <v>Link 2</v>
      </c>
      <c r="AA616" s="239" t="str">
        <f>IF('CCUS Projects Database'!$T616&lt;&gt;"",HYPERLINK('CCUS Projects Database'!$T616,"Link 3"),"")</f>
        <v/>
      </c>
      <c r="AB616" s="239" t="str">
        <f>IF('CCUS Projects Database'!$U616&lt;&gt;"",HYPERLINK('CCUS Projects Database'!$U616,"Link 4"),"")</f>
        <v/>
      </c>
      <c r="AC616" s="239" t="str">
        <f>IF('CCUS Projects Database'!$V616&lt;&gt;"",HYPERLINK('CCUS Projects Database'!$V616,"Link 5"),"")</f>
        <v/>
      </c>
      <c r="AD616" s="239" t="str">
        <f>IF('CCUS Projects Database'!$W616&lt;&gt;"",HYPERLINK('CCUS Projects Database'!$W616,"Link 6"),"")</f>
        <v/>
      </c>
      <c r="AE616" s="239" t="str">
        <f>IF('CCUS Projects Database'!$X616&lt;&gt;"",HYPERLINK('CCUS Projects Database'!$X616,"Link 7"),"")</f>
        <v/>
      </c>
    </row>
    <row r="617" ht="14.25" customHeight="1">
      <c r="A617" s="233" t="s">
        <v>21032</v>
      </c>
      <c r="B617" s="234">
        <v>815.0</v>
      </c>
      <c r="C617" s="234" t="s">
        <v>18586</v>
      </c>
      <c r="D617" s="235" t="s">
        <v>20975</v>
      </c>
      <c r="E617" s="234" t="s">
        <v>3</v>
      </c>
      <c r="F617" s="234">
        <v>2022.0</v>
      </c>
      <c r="G617" s="234" t="s">
        <v>18725</v>
      </c>
      <c r="H617" s="234">
        <v>2026.0</v>
      </c>
      <c r="I617" s="234" t="s">
        <v>18725</v>
      </c>
      <c r="J617" s="234" t="s">
        <v>18636</v>
      </c>
      <c r="K617" s="236" t="s">
        <v>18725</v>
      </c>
      <c r="L617" s="236">
        <v>6.0</v>
      </c>
      <c r="M617" s="236">
        <v>6.0</v>
      </c>
      <c r="N617" s="234" t="s">
        <v>3</v>
      </c>
      <c r="O617" s="237" t="s">
        <v>18675</v>
      </c>
      <c r="P617" s="238" t="s">
        <v>21033</v>
      </c>
      <c r="Q617" s="234" t="s">
        <v>18732</v>
      </c>
      <c r="R617" s="238" t="s">
        <v>21034</v>
      </c>
      <c r="S617" s="238" t="s">
        <v>21035</v>
      </c>
      <c r="T617" s="238" t="s">
        <v>18725</v>
      </c>
      <c r="U617" s="238" t="s">
        <v>18725</v>
      </c>
      <c r="V617" s="238" t="s">
        <v>18725</v>
      </c>
      <c r="W617" s="238" t="s">
        <v>18725</v>
      </c>
      <c r="X617" s="238" t="s">
        <v>18725</v>
      </c>
      <c r="Y617" s="239" t="str">
        <f>IF('CCUS Projects Database'!$R617&lt;&gt;"",HYPERLINK('CCUS Projects Database'!$R617,"Link 1"),"")</f>
        <v>Link 1</v>
      </c>
      <c r="Z617" s="239" t="str">
        <f>IF('CCUS Projects Database'!$S617&lt;&gt;"",HYPERLINK('CCUS Projects Database'!$S617,"Link 2"),"")</f>
        <v>Link 2</v>
      </c>
      <c r="AA617" s="239" t="str">
        <f>IF('CCUS Projects Database'!$T617&lt;&gt;"",HYPERLINK('CCUS Projects Database'!$T617,"Link 3"),"")</f>
        <v/>
      </c>
      <c r="AB617" s="239" t="str">
        <f>IF('CCUS Projects Database'!$U617&lt;&gt;"",HYPERLINK('CCUS Projects Database'!$U617,"Link 4"),"")</f>
        <v/>
      </c>
      <c r="AC617" s="239" t="str">
        <f>IF('CCUS Projects Database'!$V617&lt;&gt;"",HYPERLINK('CCUS Projects Database'!$V617,"Link 5"),"")</f>
        <v/>
      </c>
      <c r="AD617" s="239" t="str">
        <f>IF('CCUS Projects Database'!$W617&lt;&gt;"",HYPERLINK('CCUS Projects Database'!$W617,"Link 6"),"")</f>
        <v/>
      </c>
      <c r="AE617" s="239" t="str">
        <f>IF('CCUS Projects Database'!$X617&lt;&gt;"",HYPERLINK('CCUS Projects Database'!$X617,"Link 7"),"")</f>
        <v/>
      </c>
    </row>
    <row r="618" ht="14.25" customHeight="1">
      <c r="A618" s="233" t="s">
        <v>18961</v>
      </c>
      <c r="B618" s="234">
        <v>816.0</v>
      </c>
      <c r="C618" s="234" t="s">
        <v>18586</v>
      </c>
      <c r="D618" s="235" t="s">
        <v>18772</v>
      </c>
      <c r="E618" s="234" t="s">
        <v>18623</v>
      </c>
      <c r="F618" s="234">
        <v>2022.0</v>
      </c>
      <c r="G618" s="234" t="s">
        <v>18725</v>
      </c>
      <c r="H618" s="234">
        <v>2028.0</v>
      </c>
      <c r="I618" s="234" t="s">
        <v>18725</v>
      </c>
      <c r="J618" s="234" t="s">
        <v>18636</v>
      </c>
      <c r="K618" s="236">
        <v>2.0</v>
      </c>
      <c r="L618" s="236">
        <v>2.95</v>
      </c>
      <c r="M618" s="236">
        <v>2.95</v>
      </c>
      <c r="N618" s="234" t="s">
        <v>18623</v>
      </c>
      <c r="O618" s="237" t="s">
        <v>18675</v>
      </c>
      <c r="P618" s="238" t="s">
        <v>18961</v>
      </c>
      <c r="Q618" s="234" t="s">
        <v>18732</v>
      </c>
      <c r="R618" s="238" t="s">
        <v>18725</v>
      </c>
      <c r="S618" s="238" t="s">
        <v>18725</v>
      </c>
      <c r="T618" s="238" t="s">
        <v>18725</v>
      </c>
      <c r="U618" s="238" t="s">
        <v>18725</v>
      </c>
      <c r="V618" s="238" t="s">
        <v>18725</v>
      </c>
      <c r="W618" s="238" t="s">
        <v>18725</v>
      </c>
      <c r="X618" s="238" t="s">
        <v>18725</v>
      </c>
      <c r="Y618" s="239" t="str">
        <f>IF('CCUS Projects Database'!$R618&lt;&gt;"",HYPERLINK('CCUS Projects Database'!$R618,"Link 1"),"")</f>
        <v/>
      </c>
      <c r="Z618" s="239" t="str">
        <f>IF('CCUS Projects Database'!$S618&lt;&gt;"",HYPERLINK('CCUS Projects Database'!$S618,"Link 2"),"")</f>
        <v/>
      </c>
      <c r="AA618" s="239" t="str">
        <f>IF('CCUS Projects Database'!$T618&lt;&gt;"",HYPERLINK('CCUS Projects Database'!$T618,"Link 3"),"")</f>
        <v/>
      </c>
      <c r="AB618" s="239" t="str">
        <f>IF('CCUS Projects Database'!$U618&lt;&gt;"",HYPERLINK('CCUS Projects Database'!$U618,"Link 4"),"")</f>
        <v/>
      </c>
      <c r="AC618" s="239" t="str">
        <f>IF('CCUS Projects Database'!$V618&lt;&gt;"",HYPERLINK('CCUS Projects Database'!$V618,"Link 5"),"")</f>
        <v/>
      </c>
      <c r="AD618" s="239" t="str">
        <f>IF('CCUS Projects Database'!$W618&lt;&gt;"",HYPERLINK('CCUS Projects Database'!$W618,"Link 6"),"")</f>
        <v/>
      </c>
      <c r="AE618" s="239" t="str">
        <f>IF('CCUS Projects Database'!$X618&lt;&gt;"",HYPERLINK('CCUS Projects Database'!$X618,"Link 7"),"")</f>
        <v/>
      </c>
    </row>
    <row r="619" ht="14.25" customHeight="1">
      <c r="A619" s="233" t="s">
        <v>21036</v>
      </c>
      <c r="B619" s="234">
        <v>818.0</v>
      </c>
      <c r="C619" s="234" t="s">
        <v>83</v>
      </c>
      <c r="D619" s="235" t="s">
        <v>21037</v>
      </c>
      <c r="E619" s="234" t="s">
        <v>18618</v>
      </c>
      <c r="F619" s="234">
        <v>2020.0</v>
      </c>
      <c r="G619" s="234" t="s">
        <v>18725</v>
      </c>
      <c r="H619" s="234" t="s">
        <v>18725</v>
      </c>
      <c r="I619" s="234" t="s">
        <v>18725</v>
      </c>
      <c r="J619" s="234" t="s">
        <v>18636</v>
      </c>
      <c r="K619" s="236">
        <v>2.0</v>
      </c>
      <c r="L619" s="236">
        <v>1.0</v>
      </c>
      <c r="M619" s="236">
        <v>1.0</v>
      </c>
      <c r="N619" s="234" t="s">
        <v>18731</v>
      </c>
      <c r="O619" s="237" t="s">
        <v>18675</v>
      </c>
      <c r="P619" s="238" t="s">
        <v>19187</v>
      </c>
      <c r="Q619" s="234" t="s">
        <v>18726</v>
      </c>
      <c r="R619" s="238" t="s">
        <v>18725</v>
      </c>
      <c r="S619" s="238" t="s">
        <v>18725</v>
      </c>
      <c r="T619" s="238" t="s">
        <v>18725</v>
      </c>
      <c r="U619" s="238" t="s">
        <v>18725</v>
      </c>
      <c r="V619" s="238" t="s">
        <v>18725</v>
      </c>
      <c r="W619" s="238" t="s">
        <v>18725</v>
      </c>
      <c r="X619" s="238" t="s">
        <v>18725</v>
      </c>
      <c r="Y619" s="239" t="str">
        <f>IF('CCUS Projects Database'!$R619&lt;&gt;"",HYPERLINK('CCUS Projects Database'!$R619,"Link 1"),"")</f>
        <v/>
      </c>
      <c r="Z619" s="239" t="str">
        <f>IF('CCUS Projects Database'!$S619&lt;&gt;"",HYPERLINK('CCUS Projects Database'!$S619,"Link 2"),"")</f>
        <v/>
      </c>
      <c r="AA619" s="239" t="str">
        <f>IF('CCUS Projects Database'!$T619&lt;&gt;"",HYPERLINK('CCUS Projects Database'!$T619,"Link 3"),"")</f>
        <v/>
      </c>
      <c r="AB619" s="239" t="str">
        <f>IF('CCUS Projects Database'!$U619&lt;&gt;"",HYPERLINK('CCUS Projects Database'!$U619,"Link 4"),"")</f>
        <v/>
      </c>
      <c r="AC619" s="239" t="str">
        <f>IF('CCUS Projects Database'!$V619&lt;&gt;"",HYPERLINK('CCUS Projects Database'!$V619,"Link 5"),"")</f>
        <v/>
      </c>
      <c r="AD619" s="239" t="str">
        <f>IF('CCUS Projects Database'!$W619&lt;&gt;"",HYPERLINK('CCUS Projects Database'!$W619,"Link 6"),"")</f>
        <v/>
      </c>
      <c r="AE619" s="239" t="str">
        <f>IF('CCUS Projects Database'!$X619&lt;&gt;"",HYPERLINK('CCUS Projects Database'!$X619,"Link 7"),"")</f>
        <v/>
      </c>
    </row>
    <row r="620" ht="14.25" customHeight="1">
      <c r="A620" s="233" t="s">
        <v>8696</v>
      </c>
      <c r="B620" s="234">
        <v>819.0</v>
      </c>
      <c r="C620" s="234" t="s">
        <v>164</v>
      </c>
      <c r="D620" s="235" t="s">
        <v>21038</v>
      </c>
      <c r="E620" s="234" t="s">
        <v>18616</v>
      </c>
      <c r="F620" s="234">
        <v>2020.0</v>
      </c>
      <c r="G620" s="234" t="s">
        <v>18725</v>
      </c>
      <c r="H620" s="234">
        <v>2030.0</v>
      </c>
      <c r="I620" s="234" t="s">
        <v>18725</v>
      </c>
      <c r="J620" s="234" t="s">
        <v>18636</v>
      </c>
      <c r="K620" s="236" t="s">
        <v>18725</v>
      </c>
      <c r="L620" s="236" t="s">
        <v>18725</v>
      </c>
      <c r="M620" s="236">
        <v>1.8</v>
      </c>
      <c r="N620" s="234" t="s">
        <v>18731</v>
      </c>
      <c r="O620" s="237" t="s">
        <v>18675</v>
      </c>
      <c r="P620" s="238" t="s">
        <v>18725</v>
      </c>
      <c r="Q620" s="234" t="s">
        <v>18726</v>
      </c>
      <c r="R620" s="238" t="s">
        <v>17120</v>
      </c>
      <c r="S620" s="238" t="s">
        <v>21039</v>
      </c>
      <c r="T620" s="238" t="s">
        <v>18725</v>
      </c>
      <c r="U620" s="238" t="s">
        <v>18725</v>
      </c>
      <c r="V620" s="238" t="s">
        <v>18725</v>
      </c>
      <c r="W620" s="238" t="s">
        <v>18725</v>
      </c>
      <c r="X620" s="238" t="s">
        <v>18725</v>
      </c>
      <c r="Y620" s="239" t="str">
        <f>IF('CCUS Projects Database'!$R620&lt;&gt;"",HYPERLINK('CCUS Projects Database'!$R620,"Link 1"),"")</f>
        <v>Link 1</v>
      </c>
      <c r="Z620" s="239" t="str">
        <f>IF('CCUS Projects Database'!$S620&lt;&gt;"",HYPERLINK('CCUS Projects Database'!$S620,"Link 2"),"")</f>
        <v>Link 2</v>
      </c>
      <c r="AA620" s="239" t="str">
        <f>IF('CCUS Projects Database'!$T620&lt;&gt;"",HYPERLINK('CCUS Projects Database'!$T620,"Link 3"),"")</f>
        <v/>
      </c>
      <c r="AB620" s="239" t="str">
        <f>IF('CCUS Projects Database'!$U620&lt;&gt;"",HYPERLINK('CCUS Projects Database'!$U620,"Link 4"),"")</f>
        <v/>
      </c>
      <c r="AC620" s="239" t="str">
        <f>IF('CCUS Projects Database'!$V620&lt;&gt;"",HYPERLINK('CCUS Projects Database'!$V620,"Link 5"),"")</f>
        <v/>
      </c>
      <c r="AD620" s="239" t="str">
        <f>IF('CCUS Projects Database'!$W620&lt;&gt;"",HYPERLINK('CCUS Projects Database'!$W620,"Link 6"),"")</f>
        <v/>
      </c>
      <c r="AE620" s="239" t="str">
        <f>IF('CCUS Projects Database'!$X620&lt;&gt;"",HYPERLINK('CCUS Projects Database'!$X620,"Link 7"),"")</f>
        <v/>
      </c>
    </row>
    <row r="621" ht="14.25" customHeight="1">
      <c r="A621" s="233" t="s">
        <v>9144</v>
      </c>
      <c r="B621" s="234">
        <v>820.0</v>
      </c>
      <c r="C621" s="234" t="s">
        <v>197</v>
      </c>
      <c r="D621" s="235" t="s">
        <v>21040</v>
      </c>
      <c r="E621" s="234" t="s">
        <v>18618</v>
      </c>
      <c r="F621" s="234">
        <v>2021.0</v>
      </c>
      <c r="G621" s="234" t="s">
        <v>18725</v>
      </c>
      <c r="H621" s="234">
        <v>2030.0</v>
      </c>
      <c r="I621" s="234" t="s">
        <v>18725</v>
      </c>
      <c r="J621" s="234" t="s">
        <v>18636</v>
      </c>
      <c r="K621" s="236" t="s">
        <v>18725</v>
      </c>
      <c r="L621" s="236">
        <v>0.6</v>
      </c>
      <c r="M621" s="236">
        <v>0.6</v>
      </c>
      <c r="N621" s="234" t="s">
        <v>18661</v>
      </c>
      <c r="O621" s="237" t="s">
        <v>18683</v>
      </c>
      <c r="P621" s="238" t="s">
        <v>18725</v>
      </c>
      <c r="Q621" s="234" t="s">
        <v>18726</v>
      </c>
      <c r="R621" s="238" t="s">
        <v>21041</v>
      </c>
      <c r="S621" s="238" t="s">
        <v>21042</v>
      </c>
      <c r="T621" s="238" t="s">
        <v>18725</v>
      </c>
      <c r="U621" s="238" t="s">
        <v>18725</v>
      </c>
      <c r="V621" s="238" t="s">
        <v>18725</v>
      </c>
      <c r="W621" s="238" t="s">
        <v>18725</v>
      </c>
      <c r="X621" s="238" t="s">
        <v>18725</v>
      </c>
      <c r="Y621" s="239" t="str">
        <f>IF('CCUS Projects Database'!$R621&lt;&gt;"",HYPERLINK('CCUS Projects Database'!$R621,"Link 1"),"")</f>
        <v>Link 1</v>
      </c>
      <c r="Z621" s="239" t="str">
        <f>IF('CCUS Projects Database'!$S621&lt;&gt;"",HYPERLINK('CCUS Projects Database'!$S621,"Link 2"),"")</f>
        <v>Link 2</v>
      </c>
      <c r="AA621" s="239" t="str">
        <f>IF('CCUS Projects Database'!$T621&lt;&gt;"",HYPERLINK('CCUS Projects Database'!$T621,"Link 3"),"")</f>
        <v/>
      </c>
      <c r="AB621" s="239" t="str">
        <f>IF('CCUS Projects Database'!$U621&lt;&gt;"",HYPERLINK('CCUS Projects Database'!$U621,"Link 4"),"")</f>
        <v/>
      </c>
      <c r="AC621" s="239" t="str">
        <f>IF('CCUS Projects Database'!$V621&lt;&gt;"",HYPERLINK('CCUS Projects Database'!$V621,"Link 5"),"")</f>
        <v/>
      </c>
      <c r="AD621" s="239" t="str">
        <f>IF('CCUS Projects Database'!$W621&lt;&gt;"",HYPERLINK('CCUS Projects Database'!$W621,"Link 6"),"")</f>
        <v/>
      </c>
      <c r="AE621" s="239" t="str">
        <f>IF('CCUS Projects Database'!$X621&lt;&gt;"",HYPERLINK('CCUS Projects Database'!$X621,"Link 7"),"")</f>
        <v/>
      </c>
    </row>
    <row r="622" ht="14.25" customHeight="1">
      <c r="A622" s="233" t="s">
        <v>9531</v>
      </c>
      <c r="B622" s="234">
        <v>826.0</v>
      </c>
      <c r="C622" s="234" t="s">
        <v>18586</v>
      </c>
      <c r="D622" s="235" t="s">
        <v>21043</v>
      </c>
      <c r="E622" s="234" t="s">
        <v>18618</v>
      </c>
      <c r="F622" s="234">
        <v>2023.0</v>
      </c>
      <c r="G622" s="234" t="s">
        <v>18725</v>
      </c>
      <c r="H622" s="234">
        <v>2028.0</v>
      </c>
      <c r="I622" s="234" t="s">
        <v>18725</v>
      </c>
      <c r="J622" s="234" t="s">
        <v>18636</v>
      </c>
      <c r="K622" s="236" t="s">
        <v>18725</v>
      </c>
      <c r="L622" s="236" t="s">
        <v>18725</v>
      </c>
      <c r="M622" s="236">
        <v>2.1</v>
      </c>
      <c r="N622" s="234" t="s">
        <v>18731</v>
      </c>
      <c r="O622" s="237" t="s">
        <v>18683</v>
      </c>
      <c r="P622" s="238" t="s">
        <v>18725</v>
      </c>
      <c r="Q622" s="234" t="s">
        <v>18732</v>
      </c>
      <c r="R622" s="238" t="s">
        <v>21044</v>
      </c>
      <c r="S622" s="238" t="s">
        <v>18725</v>
      </c>
      <c r="T622" s="238" t="s">
        <v>18725</v>
      </c>
      <c r="U622" s="238" t="s">
        <v>18725</v>
      </c>
      <c r="V622" s="238" t="s">
        <v>18725</v>
      </c>
      <c r="W622" s="238" t="s">
        <v>18725</v>
      </c>
      <c r="X622" s="238" t="s">
        <v>18725</v>
      </c>
      <c r="Y622" s="239" t="str">
        <f>IF('CCUS Projects Database'!$R622&lt;&gt;"",HYPERLINK('CCUS Projects Database'!$R622,"Link 1"),"")</f>
        <v>Link 1</v>
      </c>
      <c r="Z622" s="239" t="str">
        <f>IF('CCUS Projects Database'!$S622&lt;&gt;"",HYPERLINK('CCUS Projects Database'!$S622,"Link 2"),"")</f>
        <v/>
      </c>
      <c r="AA622" s="239" t="str">
        <f>IF('CCUS Projects Database'!$T622&lt;&gt;"",HYPERLINK('CCUS Projects Database'!$T622,"Link 3"),"")</f>
        <v/>
      </c>
      <c r="AB622" s="239" t="str">
        <f>IF('CCUS Projects Database'!$U622&lt;&gt;"",HYPERLINK('CCUS Projects Database'!$U622,"Link 4"),"")</f>
        <v/>
      </c>
      <c r="AC622" s="239" t="str">
        <f>IF('CCUS Projects Database'!$V622&lt;&gt;"",HYPERLINK('CCUS Projects Database'!$V622,"Link 5"),"")</f>
        <v/>
      </c>
      <c r="AD622" s="239" t="str">
        <f>IF('CCUS Projects Database'!$W622&lt;&gt;"",HYPERLINK('CCUS Projects Database'!$W622,"Link 6"),"")</f>
        <v/>
      </c>
      <c r="AE622" s="239" t="str">
        <f>IF('CCUS Projects Database'!$X622&lt;&gt;"",HYPERLINK('CCUS Projects Database'!$X622,"Link 7"),"")</f>
        <v/>
      </c>
    </row>
    <row r="623" ht="14.25" customHeight="1">
      <c r="A623" s="233" t="s">
        <v>9792</v>
      </c>
      <c r="B623" s="234">
        <v>829.0</v>
      </c>
      <c r="C623" s="234" t="s">
        <v>18586</v>
      </c>
      <c r="D623" s="235" t="s">
        <v>21045</v>
      </c>
      <c r="E623" s="234" t="s">
        <v>18618</v>
      </c>
      <c r="F623" s="234">
        <v>2023.0</v>
      </c>
      <c r="G623" s="234" t="s">
        <v>18725</v>
      </c>
      <c r="H623" s="234" t="s">
        <v>18725</v>
      </c>
      <c r="I623" s="234" t="s">
        <v>18725</v>
      </c>
      <c r="J623" s="234" t="s">
        <v>18636</v>
      </c>
      <c r="K623" s="236" t="s">
        <v>18725</v>
      </c>
      <c r="L623" s="236">
        <v>0.45</v>
      </c>
      <c r="M623" s="236">
        <v>0.45</v>
      </c>
      <c r="N623" s="234" t="s">
        <v>18731</v>
      </c>
      <c r="O623" s="237" t="s">
        <v>18675</v>
      </c>
      <c r="P623" s="238" t="s">
        <v>18725</v>
      </c>
      <c r="Q623" s="234" t="s">
        <v>18732</v>
      </c>
      <c r="R623" s="238" t="s">
        <v>21046</v>
      </c>
      <c r="S623" s="238" t="s">
        <v>18725</v>
      </c>
      <c r="T623" s="238" t="s">
        <v>18725</v>
      </c>
      <c r="U623" s="238" t="s">
        <v>18725</v>
      </c>
      <c r="V623" s="238" t="s">
        <v>18725</v>
      </c>
      <c r="W623" s="238" t="s">
        <v>18725</v>
      </c>
      <c r="X623" s="238" t="s">
        <v>18725</v>
      </c>
      <c r="Y623" s="239" t="str">
        <f>IF('CCUS Projects Database'!$R623&lt;&gt;"",HYPERLINK('CCUS Projects Database'!$R623,"Link 1"),"")</f>
        <v>Link 1</v>
      </c>
      <c r="Z623" s="239" t="str">
        <f>IF('CCUS Projects Database'!$S623&lt;&gt;"",HYPERLINK('CCUS Projects Database'!$S623,"Link 2"),"")</f>
        <v/>
      </c>
      <c r="AA623" s="239" t="str">
        <f>IF('CCUS Projects Database'!$T623&lt;&gt;"",HYPERLINK('CCUS Projects Database'!$T623,"Link 3"),"")</f>
        <v/>
      </c>
      <c r="AB623" s="239" t="str">
        <f>IF('CCUS Projects Database'!$U623&lt;&gt;"",HYPERLINK('CCUS Projects Database'!$U623,"Link 4"),"")</f>
        <v/>
      </c>
      <c r="AC623" s="239" t="str">
        <f>IF('CCUS Projects Database'!$V623&lt;&gt;"",HYPERLINK('CCUS Projects Database'!$V623,"Link 5"),"")</f>
        <v/>
      </c>
      <c r="AD623" s="239" t="str">
        <f>IF('CCUS Projects Database'!$W623&lt;&gt;"",HYPERLINK('CCUS Projects Database'!$W623,"Link 6"),"")</f>
        <v/>
      </c>
      <c r="AE623" s="239" t="str">
        <f>IF('CCUS Projects Database'!$X623&lt;&gt;"",HYPERLINK('CCUS Projects Database'!$X623,"Link 7"),"")</f>
        <v/>
      </c>
    </row>
    <row r="624" ht="14.25" customHeight="1">
      <c r="A624" s="233" t="s">
        <v>21047</v>
      </c>
      <c r="B624" s="234">
        <v>830.0</v>
      </c>
      <c r="C624" s="234" t="s">
        <v>18586</v>
      </c>
      <c r="D624" s="235" t="s">
        <v>21048</v>
      </c>
      <c r="E624" s="234" t="s">
        <v>18618</v>
      </c>
      <c r="F624" s="234">
        <v>2023.0</v>
      </c>
      <c r="G624" s="234" t="s">
        <v>18725</v>
      </c>
      <c r="H624" s="234">
        <v>2026.0</v>
      </c>
      <c r="I624" s="234" t="s">
        <v>18725</v>
      </c>
      <c r="J624" s="234" t="s">
        <v>18636</v>
      </c>
      <c r="K624" s="236" t="s">
        <v>18725</v>
      </c>
      <c r="L624" s="236" t="s">
        <v>18725</v>
      </c>
      <c r="M624" s="236" t="s">
        <v>18725</v>
      </c>
      <c r="N624" s="234" t="s">
        <v>18731</v>
      </c>
      <c r="O624" s="237" t="s">
        <v>18683</v>
      </c>
      <c r="P624" s="238" t="s">
        <v>18725</v>
      </c>
      <c r="Q624" s="234" t="s">
        <v>18732</v>
      </c>
      <c r="R624" s="238" t="s">
        <v>21049</v>
      </c>
      <c r="S624" s="238" t="s">
        <v>18725</v>
      </c>
      <c r="T624" s="238" t="s">
        <v>18725</v>
      </c>
      <c r="U624" s="238" t="s">
        <v>18725</v>
      </c>
      <c r="V624" s="238" t="s">
        <v>18725</v>
      </c>
      <c r="W624" s="238" t="s">
        <v>18725</v>
      </c>
      <c r="X624" s="238" t="s">
        <v>18725</v>
      </c>
      <c r="Y624" s="239" t="str">
        <f>IF('CCUS Projects Database'!$R624&lt;&gt;"",HYPERLINK('CCUS Projects Database'!$R624,"Link 1"),"")</f>
        <v>Link 1</v>
      </c>
      <c r="Z624" s="239" t="str">
        <f>IF('CCUS Projects Database'!$S624&lt;&gt;"",HYPERLINK('CCUS Projects Database'!$S624,"Link 2"),"")</f>
        <v/>
      </c>
      <c r="AA624" s="239" t="str">
        <f>IF('CCUS Projects Database'!$T624&lt;&gt;"",HYPERLINK('CCUS Projects Database'!$T624,"Link 3"),"")</f>
        <v/>
      </c>
      <c r="AB624" s="239" t="str">
        <f>IF('CCUS Projects Database'!$U624&lt;&gt;"",HYPERLINK('CCUS Projects Database'!$U624,"Link 4"),"")</f>
        <v/>
      </c>
      <c r="AC624" s="239" t="str">
        <f>IF('CCUS Projects Database'!$V624&lt;&gt;"",HYPERLINK('CCUS Projects Database'!$V624,"Link 5"),"")</f>
        <v/>
      </c>
      <c r="AD624" s="239" t="str">
        <f>IF('CCUS Projects Database'!$W624&lt;&gt;"",HYPERLINK('CCUS Projects Database'!$W624,"Link 6"),"")</f>
        <v/>
      </c>
      <c r="AE624" s="239" t="str">
        <f>IF('CCUS Projects Database'!$X624&lt;&gt;"",HYPERLINK('CCUS Projects Database'!$X624,"Link 7"),"")</f>
        <v/>
      </c>
    </row>
    <row r="625" ht="14.25" customHeight="1">
      <c r="A625" s="233" t="s">
        <v>21050</v>
      </c>
      <c r="B625" s="234">
        <v>831.0</v>
      </c>
      <c r="C625" s="234" t="s">
        <v>18264</v>
      </c>
      <c r="D625" s="235" t="s">
        <v>21051</v>
      </c>
      <c r="E625" s="234" t="s">
        <v>18623</v>
      </c>
      <c r="F625" s="234">
        <v>2023.0</v>
      </c>
      <c r="G625" s="234">
        <v>2023.0</v>
      </c>
      <c r="H625" s="234">
        <v>2025.0</v>
      </c>
      <c r="I625" s="234" t="s">
        <v>18725</v>
      </c>
      <c r="J625" s="234" t="s">
        <v>18638</v>
      </c>
      <c r="K625" s="236">
        <v>2.0</v>
      </c>
      <c r="L625" s="236">
        <v>7.0</v>
      </c>
      <c r="M625" s="236">
        <v>7.0</v>
      </c>
      <c r="N625" s="234" t="s">
        <v>18623</v>
      </c>
      <c r="O625" s="237" t="s">
        <v>18675</v>
      </c>
      <c r="P625" s="238" t="s">
        <v>18797</v>
      </c>
      <c r="Q625" s="234" t="s">
        <v>18732</v>
      </c>
      <c r="R625" s="238" t="s">
        <v>21052</v>
      </c>
      <c r="S625" s="238" t="s">
        <v>21053</v>
      </c>
      <c r="T625" s="238" t="s">
        <v>18725</v>
      </c>
      <c r="U625" s="238" t="s">
        <v>18725</v>
      </c>
      <c r="V625" s="238" t="s">
        <v>18725</v>
      </c>
      <c r="W625" s="238" t="s">
        <v>18725</v>
      </c>
      <c r="X625" s="238" t="s">
        <v>18725</v>
      </c>
      <c r="Y625" s="239" t="str">
        <f>IF('CCUS Projects Database'!$R625&lt;&gt;"",HYPERLINK('CCUS Projects Database'!$R625,"Link 1"),"")</f>
        <v>Link 1</v>
      </c>
      <c r="Z625" s="239" t="str">
        <f>IF('CCUS Projects Database'!$S625&lt;&gt;"",HYPERLINK('CCUS Projects Database'!$S625,"Link 2"),"")</f>
        <v>Link 2</v>
      </c>
      <c r="AA625" s="239" t="str">
        <f>IF('CCUS Projects Database'!$T625&lt;&gt;"",HYPERLINK('CCUS Projects Database'!$T625,"Link 3"),"")</f>
        <v/>
      </c>
      <c r="AB625" s="239" t="str">
        <f>IF('CCUS Projects Database'!$U625&lt;&gt;"",HYPERLINK('CCUS Projects Database'!$U625,"Link 4"),"")</f>
        <v/>
      </c>
      <c r="AC625" s="239" t="str">
        <f>IF('CCUS Projects Database'!$V625&lt;&gt;"",HYPERLINK('CCUS Projects Database'!$V625,"Link 5"),"")</f>
        <v/>
      </c>
      <c r="AD625" s="239" t="str">
        <f>IF('CCUS Projects Database'!$W625&lt;&gt;"",HYPERLINK('CCUS Projects Database'!$W625,"Link 6"),"")</f>
        <v/>
      </c>
      <c r="AE625" s="239" t="str">
        <f>IF('CCUS Projects Database'!$X625&lt;&gt;"",HYPERLINK('CCUS Projects Database'!$X625,"Link 7"),"")</f>
        <v/>
      </c>
    </row>
    <row r="626" ht="14.25" customHeight="1">
      <c r="A626" s="233" t="s">
        <v>21054</v>
      </c>
      <c r="B626" s="234">
        <v>835.0</v>
      </c>
      <c r="C626" s="234" t="s">
        <v>18586</v>
      </c>
      <c r="D626" s="235" t="s">
        <v>21055</v>
      </c>
      <c r="E626" s="234" t="s">
        <v>3</v>
      </c>
      <c r="F626" s="234">
        <v>2023.0</v>
      </c>
      <c r="G626" s="234" t="s">
        <v>18725</v>
      </c>
      <c r="H626" s="234">
        <v>2026.0</v>
      </c>
      <c r="I626" s="234" t="s">
        <v>18725</v>
      </c>
      <c r="J626" s="234" t="s">
        <v>18636</v>
      </c>
      <c r="K626" s="236" t="s">
        <v>18725</v>
      </c>
      <c r="L626" s="236" t="s">
        <v>18725</v>
      </c>
      <c r="M626" s="236" t="s">
        <v>18725</v>
      </c>
      <c r="N626" s="234" t="s">
        <v>3</v>
      </c>
      <c r="O626" s="237" t="s">
        <v>18675</v>
      </c>
      <c r="P626" s="238" t="s">
        <v>21056</v>
      </c>
      <c r="Q626" s="234" t="s">
        <v>18732</v>
      </c>
      <c r="R626" s="238" t="s">
        <v>21057</v>
      </c>
      <c r="S626" s="238" t="s">
        <v>18725</v>
      </c>
      <c r="T626" s="238" t="s">
        <v>18725</v>
      </c>
      <c r="U626" s="238" t="s">
        <v>18725</v>
      </c>
      <c r="V626" s="238" t="s">
        <v>18725</v>
      </c>
      <c r="W626" s="238" t="s">
        <v>18725</v>
      </c>
      <c r="X626" s="238" t="s">
        <v>18725</v>
      </c>
      <c r="Y626" s="239" t="str">
        <f>IF('CCUS Projects Database'!$R626&lt;&gt;"",HYPERLINK('CCUS Projects Database'!$R626,"Link 1"),"")</f>
        <v>Link 1</v>
      </c>
      <c r="Z626" s="239" t="str">
        <f>IF('CCUS Projects Database'!$S626&lt;&gt;"",HYPERLINK('CCUS Projects Database'!$S626,"Link 2"),"")</f>
        <v/>
      </c>
      <c r="AA626" s="239" t="str">
        <f>IF('CCUS Projects Database'!$T626&lt;&gt;"",HYPERLINK('CCUS Projects Database'!$T626,"Link 3"),"")</f>
        <v/>
      </c>
      <c r="AB626" s="239" t="str">
        <f>IF('CCUS Projects Database'!$U626&lt;&gt;"",HYPERLINK('CCUS Projects Database'!$U626,"Link 4"),"")</f>
        <v/>
      </c>
      <c r="AC626" s="239" t="str">
        <f>IF('CCUS Projects Database'!$V626&lt;&gt;"",HYPERLINK('CCUS Projects Database'!$V626,"Link 5"),"")</f>
        <v/>
      </c>
      <c r="AD626" s="239" t="str">
        <f>IF('CCUS Projects Database'!$W626&lt;&gt;"",HYPERLINK('CCUS Projects Database'!$W626,"Link 6"),"")</f>
        <v/>
      </c>
      <c r="AE626" s="239" t="str">
        <f>IF('CCUS Projects Database'!$X626&lt;&gt;"",HYPERLINK('CCUS Projects Database'!$X626,"Link 7"),"")</f>
        <v/>
      </c>
    </row>
    <row r="627" ht="14.25" customHeight="1">
      <c r="A627" s="233" t="s">
        <v>21058</v>
      </c>
      <c r="B627" s="234">
        <v>836.0</v>
      </c>
      <c r="C627" s="234" t="s">
        <v>18586</v>
      </c>
      <c r="D627" s="235" t="s">
        <v>21059</v>
      </c>
      <c r="E627" s="234" t="s">
        <v>18616</v>
      </c>
      <c r="F627" s="234">
        <v>2023.0</v>
      </c>
      <c r="G627" s="234">
        <v>2025.0</v>
      </c>
      <c r="H627" s="234">
        <v>2027.0</v>
      </c>
      <c r="I627" s="234" t="s">
        <v>18725</v>
      </c>
      <c r="J627" s="234" t="s">
        <v>18636</v>
      </c>
      <c r="K627" s="236" t="s">
        <v>18725</v>
      </c>
      <c r="L627" s="236" t="s">
        <v>18725</v>
      </c>
      <c r="M627" s="236" t="s">
        <v>18725</v>
      </c>
      <c r="N627" s="234" t="s">
        <v>18731</v>
      </c>
      <c r="O627" s="237" t="s">
        <v>18683</v>
      </c>
      <c r="P627" s="238" t="s">
        <v>18725</v>
      </c>
      <c r="Q627" s="234" t="s">
        <v>18732</v>
      </c>
      <c r="R627" s="238" t="s">
        <v>21060</v>
      </c>
      <c r="S627" s="238" t="s">
        <v>21061</v>
      </c>
      <c r="T627" s="238" t="s">
        <v>18725</v>
      </c>
      <c r="U627" s="238" t="s">
        <v>18725</v>
      </c>
      <c r="V627" s="238" t="s">
        <v>18725</v>
      </c>
      <c r="W627" s="238" t="s">
        <v>18725</v>
      </c>
      <c r="X627" s="238" t="s">
        <v>18725</v>
      </c>
      <c r="Y627" s="239" t="str">
        <f>IF('CCUS Projects Database'!$R627&lt;&gt;"",HYPERLINK('CCUS Projects Database'!$R627,"Link 1"),"")</f>
        <v>Link 1</v>
      </c>
      <c r="Z627" s="239" t="str">
        <f>IF('CCUS Projects Database'!$S627&lt;&gt;"",HYPERLINK('CCUS Projects Database'!$S627,"Link 2"),"")</f>
        <v>Link 2</v>
      </c>
      <c r="AA627" s="239" t="str">
        <f>IF('CCUS Projects Database'!$T627&lt;&gt;"",HYPERLINK('CCUS Projects Database'!$T627,"Link 3"),"")</f>
        <v/>
      </c>
      <c r="AB627" s="239" t="str">
        <f>IF('CCUS Projects Database'!$U627&lt;&gt;"",HYPERLINK('CCUS Projects Database'!$U627,"Link 4"),"")</f>
        <v/>
      </c>
      <c r="AC627" s="239" t="str">
        <f>IF('CCUS Projects Database'!$V627&lt;&gt;"",HYPERLINK('CCUS Projects Database'!$V627,"Link 5"),"")</f>
        <v/>
      </c>
      <c r="AD627" s="239" t="str">
        <f>IF('CCUS Projects Database'!$W627&lt;&gt;"",HYPERLINK('CCUS Projects Database'!$W627,"Link 6"),"")</f>
        <v/>
      </c>
      <c r="AE627" s="239" t="str">
        <f>IF('CCUS Projects Database'!$X627&lt;&gt;"",HYPERLINK('CCUS Projects Database'!$X627,"Link 7"),"")</f>
        <v/>
      </c>
    </row>
    <row r="628" ht="14.25" customHeight="1">
      <c r="A628" s="233" t="s">
        <v>21062</v>
      </c>
      <c r="B628" s="234">
        <v>837.0</v>
      </c>
      <c r="C628" s="234" t="s">
        <v>18253</v>
      </c>
      <c r="D628" s="235" t="s">
        <v>21063</v>
      </c>
      <c r="E628" s="234" t="s">
        <v>3</v>
      </c>
      <c r="F628" s="234">
        <v>2023.0</v>
      </c>
      <c r="G628" s="234" t="s">
        <v>18725</v>
      </c>
      <c r="H628" s="234" t="s">
        <v>18725</v>
      </c>
      <c r="I628" s="234" t="s">
        <v>18725</v>
      </c>
      <c r="J628" s="234" t="s">
        <v>18636</v>
      </c>
      <c r="K628" s="236" t="s">
        <v>18725</v>
      </c>
      <c r="L628" s="236" t="s">
        <v>18725</v>
      </c>
      <c r="M628" s="236" t="s">
        <v>18725</v>
      </c>
      <c r="N628" s="234" t="s">
        <v>3</v>
      </c>
      <c r="O628" s="237" t="s">
        <v>18675</v>
      </c>
      <c r="P628" s="238" t="s">
        <v>18725</v>
      </c>
      <c r="Q628" s="234" t="s">
        <v>19269</v>
      </c>
      <c r="R628" s="238" t="s">
        <v>21064</v>
      </c>
      <c r="S628" s="238" t="s">
        <v>18725</v>
      </c>
      <c r="T628" s="238" t="s">
        <v>18725</v>
      </c>
      <c r="U628" s="238" t="s">
        <v>18725</v>
      </c>
      <c r="V628" s="238" t="s">
        <v>18725</v>
      </c>
      <c r="W628" s="238" t="s">
        <v>18725</v>
      </c>
      <c r="X628" s="238" t="s">
        <v>18725</v>
      </c>
      <c r="Y628" s="239" t="str">
        <f>IF('CCUS Projects Database'!$R628&lt;&gt;"",HYPERLINK('CCUS Projects Database'!$R628,"Link 1"),"")</f>
        <v>Link 1</v>
      </c>
      <c r="Z628" s="239" t="str">
        <f>IF('CCUS Projects Database'!$S628&lt;&gt;"",HYPERLINK('CCUS Projects Database'!$S628,"Link 2"),"")</f>
        <v/>
      </c>
      <c r="AA628" s="239" t="str">
        <f>IF('CCUS Projects Database'!$T628&lt;&gt;"",HYPERLINK('CCUS Projects Database'!$T628,"Link 3"),"")</f>
        <v/>
      </c>
      <c r="AB628" s="239" t="str">
        <f>IF('CCUS Projects Database'!$U628&lt;&gt;"",HYPERLINK('CCUS Projects Database'!$U628,"Link 4"),"")</f>
        <v/>
      </c>
      <c r="AC628" s="239" t="str">
        <f>IF('CCUS Projects Database'!$V628&lt;&gt;"",HYPERLINK('CCUS Projects Database'!$V628,"Link 5"),"")</f>
        <v/>
      </c>
      <c r="AD628" s="239" t="str">
        <f>IF('CCUS Projects Database'!$W628&lt;&gt;"",HYPERLINK('CCUS Projects Database'!$W628,"Link 6"),"")</f>
        <v/>
      </c>
      <c r="AE628" s="239" t="str">
        <f>IF('CCUS Projects Database'!$X628&lt;&gt;"",HYPERLINK('CCUS Projects Database'!$X628,"Link 7"),"")</f>
        <v/>
      </c>
    </row>
    <row r="629" ht="14.25" customHeight="1">
      <c r="A629" s="233" t="s">
        <v>21065</v>
      </c>
      <c r="B629" s="234">
        <v>838.0</v>
      </c>
      <c r="C629" s="234" t="s">
        <v>18437</v>
      </c>
      <c r="D629" s="235" t="s">
        <v>21066</v>
      </c>
      <c r="E629" s="234" t="s">
        <v>18616</v>
      </c>
      <c r="F629" s="234">
        <v>2023.0</v>
      </c>
      <c r="G629" s="234" t="s">
        <v>18725</v>
      </c>
      <c r="H629" s="234">
        <v>2028.0</v>
      </c>
      <c r="I629" s="234" t="s">
        <v>18725</v>
      </c>
      <c r="J629" s="234" t="s">
        <v>18636</v>
      </c>
      <c r="K629" s="236" t="s">
        <v>18725</v>
      </c>
      <c r="L629" s="236">
        <v>1.0</v>
      </c>
      <c r="M629" s="236">
        <v>1.0</v>
      </c>
      <c r="N629" s="234" t="s">
        <v>18218</v>
      </c>
      <c r="O629" s="237" t="s">
        <v>18675</v>
      </c>
      <c r="P629" s="238" t="s">
        <v>18725</v>
      </c>
      <c r="Q629" s="234" t="s">
        <v>20181</v>
      </c>
      <c r="R629" s="238" t="s">
        <v>21067</v>
      </c>
      <c r="S629" s="238" t="s">
        <v>18725</v>
      </c>
      <c r="T629" s="238" t="s">
        <v>18725</v>
      </c>
      <c r="U629" s="238" t="s">
        <v>18725</v>
      </c>
      <c r="V629" s="238" t="s">
        <v>18725</v>
      </c>
      <c r="W629" s="238" t="s">
        <v>18725</v>
      </c>
      <c r="X629" s="238" t="s">
        <v>18725</v>
      </c>
      <c r="Y629" s="239" t="str">
        <f>IF('CCUS Projects Database'!$R629&lt;&gt;"",HYPERLINK('CCUS Projects Database'!$R629,"Link 1"),"")</f>
        <v>Link 1</v>
      </c>
      <c r="Z629" s="239" t="str">
        <f>IF('CCUS Projects Database'!$S629&lt;&gt;"",HYPERLINK('CCUS Projects Database'!$S629,"Link 2"),"")</f>
        <v/>
      </c>
      <c r="AA629" s="239" t="str">
        <f>IF('CCUS Projects Database'!$T629&lt;&gt;"",HYPERLINK('CCUS Projects Database'!$T629,"Link 3"),"")</f>
        <v/>
      </c>
      <c r="AB629" s="239" t="str">
        <f>IF('CCUS Projects Database'!$U629&lt;&gt;"",HYPERLINK('CCUS Projects Database'!$U629,"Link 4"),"")</f>
        <v/>
      </c>
      <c r="AC629" s="239" t="str">
        <f>IF('CCUS Projects Database'!$V629&lt;&gt;"",HYPERLINK('CCUS Projects Database'!$V629,"Link 5"),"")</f>
        <v/>
      </c>
      <c r="AD629" s="239" t="str">
        <f>IF('CCUS Projects Database'!$W629&lt;&gt;"",HYPERLINK('CCUS Projects Database'!$W629,"Link 6"),"")</f>
        <v/>
      </c>
      <c r="AE629" s="239" t="str">
        <f>IF('CCUS Projects Database'!$X629&lt;&gt;"",HYPERLINK('CCUS Projects Database'!$X629,"Link 7"),"")</f>
        <v/>
      </c>
    </row>
    <row r="630" ht="14.25" customHeight="1">
      <c r="A630" s="233" t="s">
        <v>21068</v>
      </c>
      <c r="B630" s="234">
        <v>839.0</v>
      </c>
      <c r="C630" s="234" t="s">
        <v>18586</v>
      </c>
      <c r="D630" s="235" t="s">
        <v>21069</v>
      </c>
      <c r="E630" s="234" t="s">
        <v>3</v>
      </c>
      <c r="F630" s="234">
        <v>2023.0</v>
      </c>
      <c r="G630" s="234" t="s">
        <v>18725</v>
      </c>
      <c r="H630" s="234">
        <v>2027.0</v>
      </c>
      <c r="I630" s="234" t="s">
        <v>18725</v>
      </c>
      <c r="J630" s="234" t="s">
        <v>18636</v>
      </c>
      <c r="K630" s="236" t="s">
        <v>18725</v>
      </c>
      <c r="L630" s="236" t="s">
        <v>20303</v>
      </c>
      <c r="M630" s="236">
        <v>10.0</v>
      </c>
      <c r="N630" s="234" t="s">
        <v>3</v>
      </c>
      <c r="O630" s="237" t="s">
        <v>18683</v>
      </c>
      <c r="P630" s="238" t="s">
        <v>18725</v>
      </c>
      <c r="Q630" s="234" t="s">
        <v>18732</v>
      </c>
      <c r="R630" s="238" t="s">
        <v>21070</v>
      </c>
      <c r="S630" s="238" t="s">
        <v>18725</v>
      </c>
      <c r="T630" s="238" t="s">
        <v>18725</v>
      </c>
      <c r="U630" s="238" t="s">
        <v>18725</v>
      </c>
      <c r="V630" s="238" t="s">
        <v>18725</v>
      </c>
      <c r="W630" s="238" t="s">
        <v>18725</v>
      </c>
      <c r="X630" s="238" t="s">
        <v>18725</v>
      </c>
      <c r="Y630" s="239" t="str">
        <f>IF('CCUS Projects Database'!$R630&lt;&gt;"",HYPERLINK('CCUS Projects Database'!$R630,"Link 1"),"")</f>
        <v>Link 1</v>
      </c>
      <c r="Z630" s="239" t="str">
        <f>IF('CCUS Projects Database'!$S630&lt;&gt;"",HYPERLINK('CCUS Projects Database'!$S630,"Link 2"),"")</f>
        <v/>
      </c>
      <c r="AA630" s="239" t="str">
        <f>IF('CCUS Projects Database'!$T630&lt;&gt;"",HYPERLINK('CCUS Projects Database'!$T630,"Link 3"),"")</f>
        <v/>
      </c>
      <c r="AB630" s="239" t="str">
        <f>IF('CCUS Projects Database'!$U630&lt;&gt;"",HYPERLINK('CCUS Projects Database'!$U630,"Link 4"),"")</f>
        <v/>
      </c>
      <c r="AC630" s="239" t="str">
        <f>IF('CCUS Projects Database'!$V630&lt;&gt;"",HYPERLINK('CCUS Projects Database'!$V630,"Link 5"),"")</f>
        <v/>
      </c>
      <c r="AD630" s="239" t="str">
        <f>IF('CCUS Projects Database'!$W630&lt;&gt;"",HYPERLINK('CCUS Projects Database'!$W630,"Link 6"),"")</f>
        <v/>
      </c>
      <c r="AE630" s="239" t="str">
        <f>IF('CCUS Projects Database'!$X630&lt;&gt;"",HYPERLINK('CCUS Projects Database'!$X630,"Link 7"),"")</f>
        <v/>
      </c>
    </row>
    <row r="631" ht="14.25" customHeight="1">
      <c r="A631" s="233" t="s">
        <v>10104</v>
      </c>
      <c r="B631" s="234">
        <v>840.0</v>
      </c>
      <c r="C631" s="234" t="s">
        <v>18586</v>
      </c>
      <c r="D631" s="235" t="s">
        <v>21071</v>
      </c>
      <c r="E631" s="234" t="s">
        <v>18618</v>
      </c>
      <c r="F631" s="234">
        <v>2023.0</v>
      </c>
      <c r="G631" s="234" t="s">
        <v>18725</v>
      </c>
      <c r="H631" s="234">
        <v>2028.0</v>
      </c>
      <c r="I631" s="234" t="s">
        <v>18725</v>
      </c>
      <c r="J631" s="234" t="s">
        <v>18636</v>
      </c>
      <c r="K631" s="236">
        <v>1.0</v>
      </c>
      <c r="L631" s="236" t="s">
        <v>18725</v>
      </c>
      <c r="M631" s="236">
        <v>1.7</v>
      </c>
      <c r="N631" s="234" t="s">
        <v>18731</v>
      </c>
      <c r="O631" s="237" t="s">
        <v>18675</v>
      </c>
      <c r="P631" s="238" t="s">
        <v>21072</v>
      </c>
      <c r="Q631" s="234" t="s">
        <v>18732</v>
      </c>
      <c r="R631" s="238" t="s">
        <v>17903</v>
      </c>
      <c r="S631" s="238" t="s">
        <v>17904</v>
      </c>
      <c r="T631" s="238" t="s">
        <v>18725</v>
      </c>
      <c r="U631" s="238" t="s">
        <v>18725</v>
      </c>
      <c r="V631" s="238" t="s">
        <v>18725</v>
      </c>
      <c r="W631" s="238" t="s">
        <v>18725</v>
      </c>
      <c r="X631" s="238" t="s">
        <v>18725</v>
      </c>
      <c r="Y631" s="239" t="str">
        <f>IF('CCUS Projects Database'!$R631&lt;&gt;"",HYPERLINK('CCUS Projects Database'!$R631,"Link 1"),"")</f>
        <v>Link 1</v>
      </c>
      <c r="Z631" s="239" t="str">
        <f>IF('CCUS Projects Database'!$S631&lt;&gt;"",HYPERLINK('CCUS Projects Database'!$S631,"Link 2"),"")</f>
        <v>Link 2</v>
      </c>
      <c r="AA631" s="239" t="str">
        <f>IF('CCUS Projects Database'!$T631&lt;&gt;"",HYPERLINK('CCUS Projects Database'!$T631,"Link 3"),"")</f>
        <v/>
      </c>
      <c r="AB631" s="239" t="str">
        <f>IF('CCUS Projects Database'!$U631&lt;&gt;"",HYPERLINK('CCUS Projects Database'!$U631,"Link 4"),"")</f>
        <v/>
      </c>
      <c r="AC631" s="239" t="str">
        <f>IF('CCUS Projects Database'!$V631&lt;&gt;"",HYPERLINK('CCUS Projects Database'!$V631,"Link 5"),"")</f>
        <v/>
      </c>
      <c r="AD631" s="239" t="str">
        <f>IF('CCUS Projects Database'!$W631&lt;&gt;"",HYPERLINK('CCUS Projects Database'!$W631,"Link 6"),"")</f>
        <v/>
      </c>
      <c r="AE631" s="239" t="str">
        <f>IF('CCUS Projects Database'!$X631&lt;&gt;"",HYPERLINK('CCUS Projects Database'!$X631,"Link 7"),"")</f>
        <v/>
      </c>
    </row>
    <row r="632" ht="14.25" customHeight="1">
      <c r="A632" s="233" t="s">
        <v>21073</v>
      </c>
      <c r="B632" s="234">
        <v>841.0</v>
      </c>
      <c r="C632" s="234" t="s">
        <v>98</v>
      </c>
      <c r="D632" s="235" t="s">
        <v>20225</v>
      </c>
      <c r="E632" s="234" t="s">
        <v>18623</v>
      </c>
      <c r="F632" s="234">
        <v>2022.0</v>
      </c>
      <c r="G632" s="234">
        <v>2026.0</v>
      </c>
      <c r="H632" s="234">
        <v>2030.0</v>
      </c>
      <c r="I632" s="234" t="s">
        <v>18725</v>
      </c>
      <c r="J632" s="234" t="s">
        <v>18636</v>
      </c>
      <c r="K632" s="236">
        <v>1.0</v>
      </c>
      <c r="L632" s="236" t="s">
        <v>20303</v>
      </c>
      <c r="M632" s="236">
        <v>5.0</v>
      </c>
      <c r="N632" s="234" t="s">
        <v>18623</v>
      </c>
      <c r="O632" s="237" t="s">
        <v>18675</v>
      </c>
      <c r="P632" s="238" t="s">
        <v>20723</v>
      </c>
      <c r="Q632" s="234" t="s">
        <v>18726</v>
      </c>
      <c r="R632" s="238" t="s">
        <v>20676</v>
      </c>
      <c r="S632" s="238" t="s">
        <v>18725</v>
      </c>
      <c r="T632" s="238" t="s">
        <v>18725</v>
      </c>
      <c r="U632" s="238" t="s">
        <v>18725</v>
      </c>
      <c r="V632" s="238" t="s">
        <v>18725</v>
      </c>
      <c r="W632" s="238" t="s">
        <v>18725</v>
      </c>
      <c r="X632" s="238" t="s">
        <v>18725</v>
      </c>
      <c r="Y632" s="239" t="str">
        <f>IF('CCUS Projects Database'!$R632&lt;&gt;"",HYPERLINK('CCUS Projects Database'!$R632,"Link 1"),"")</f>
        <v>Link 1</v>
      </c>
      <c r="Z632" s="239" t="str">
        <f>IF('CCUS Projects Database'!$S632&lt;&gt;"",HYPERLINK('CCUS Projects Database'!$S632,"Link 2"),"")</f>
        <v/>
      </c>
      <c r="AA632" s="239" t="str">
        <f>IF('CCUS Projects Database'!$T632&lt;&gt;"",HYPERLINK('CCUS Projects Database'!$T632,"Link 3"),"")</f>
        <v/>
      </c>
      <c r="AB632" s="239" t="str">
        <f>IF('CCUS Projects Database'!$U632&lt;&gt;"",HYPERLINK('CCUS Projects Database'!$U632,"Link 4"),"")</f>
        <v/>
      </c>
      <c r="AC632" s="239" t="str">
        <f>IF('CCUS Projects Database'!$V632&lt;&gt;"",HYPERLINK('CCUS Projects Database'!$V632,"Link 5"),"")</f>
        <v/>
      </c>
      <c r="AD632" s="239" t="str">
        <f>IF('CCUS Projects Database'!$W632&lt;&gt;"",HYPERLINK('CCUS Projects Database'!$W632,"Link 6"),"")</f>
        <v/>
      </c>
      <c r="AE632" s="239" t="str">
        <f>IF('CCUS Projects Database'!$X632&lt;&gt;"",HYPERLINK('CCUS Projects Database'!$X632,"Link 7"),"")</f>
        <v/>
      </c>
    </row>
    <row r="633" ht="14.25" customHeight="1">
      <c r="A633" s="233" t="s">
        <v>21074</v>
      </c>
      <c r="B633" s="234">
        <v>845.0</v>
      </c>
      <c r="C633" s="234" t="s">
        <v>83</v>
      </c>
      <c r="D633" s="235" t="s">
        <v>21075</v>
      </c>
      <c r="E633" s="234" t="s">
        <v>3</v>
      </c>
      <c r="F633" s="234">
        <v>2023.0</v>
      </c>
      <c r="G633" s="234">
        <v>2026.0</v>
      </c>
      <c r="H633" s="234">
        <v>2029.0</v>
      </c>
      <c r="I633" s="234" t="s">
        <v>18725</v>
      </c>
      <c r="J633" s="234" t="s">
        <v>18636</v>
      </c>
      <c r="K633" s="236">
        <v>1.0</v>
      </c>
      <c r="L633" s="236">
        <v>1.5</v>
      </c>
      <c r="M633" s="236">
        <v>1.5</v>
      </c>
      <c r="N633" s="234" t="s">
        <v>3</v>
      </c>
      <c r="O633" s="237" t="s">
        <v>18675</v>
      </c>
      <c r="P633" s="238" t="s">
        <v>21076</v>
      </c>
      <c r="Q633" s="234" t="s">
        <v>18726</v>
      </c>
      <c r="R633" s="238" t="s">
        <v>20945</v>
      </c>
      <c r="S633" s="238" t="s">
        <v>21077</v>
      </c>
      <c r="T633" s="238" t="s">
        <v>21078</v>
      </c>
      <c r="U633" s="238" t="s">
        <v>21079</v>
      </c>
      <c r="V633" s="238" t="s">
        <v>18725</v>
      </c>
      <c r="W633" s="238" t="s">
        <v>18725</v>
      </c>
      <c r="X633" s="238" t="s">
        <v>18725</v>
      </c>
      <c r="Y633" s="239" t="str">
        <f>IF('CCUS Projects Database'!$R633&lt;&gt;"",HYPERLINK('CCUS Projects Database'!$R633,"Link 1"),"")</f>
        <v>Link 1</v>
      </c>
      <c r="Z633" s="239" t="str">
        <f>IF('CCUS Projects Database'!$S633&lt;&gt;"",HYPERLINK('CCUS Projects Database'!$S633,"Link 2"),"")</f>
        <v>Link 2</v>
      </c>
      <c r="AA633" s="239" t="str">
        <f>IF('CCUS Projects Database'!$T633&lt;&gt;"",HYPERLINK('CCUS Projects Database'!$T633,"Link 3"),"")</f>
        <v>Link 3</v>
      </c>
      <c r="AB633" s="239" t="str">
        <f>IF('CCUS Projects Database'!$U633&lt;&gt;"",HYPERLINK('CCUS Projects Database'!$U633,"Link 4"),"")</f>
        <v>Link 4</v>
      </c>
      <c r="AC633" s="239" t="str">
        <f>IF('CCUS Projects Database'!$V633&lt;&gt;"",HYPERLINK('CCUS Projects Database'!$V633,"Link 5"),"")</f>
        <v/>
      </c>
      <c r="AD633" s="239" t="str">
        <f>IF('CCUS Projects Database'!$W633&lt;&gt;"",HYPERLINK('CCUS Projects Database'!$W633,"Link 6"),"")</f>
        <v/>
      </c>
      <c r="AE633" s="239" t="str">
        <f>IF('CCUS Projects Database'!$X633&lt;&gt;"",HYPERLINK('CCUS Projects Database'!$X633,"Link 7"),"")</f>
        <v/>
      </c>
    </row>
    <row r="634" ht="14.25" customHeight="1">
      <c r="A634" s="233" t="s">
        <v>21080</v>
      </c>
      <c r="B634" s="234">
        <v>846.0</v>
      </c>
      <c r="C634" s="234" t="s">
        <v>83</v>
      </c>
      <c r="D634" s="235" t="s">
        <v>21075</v>
      </c>
      <c r="E634" s="234" t="s">
        <v>3</v>
      </c>
      <c r="F634" s="234">
        <v>2023.0</v>
      </c>
      <c r="G634" s="234">
        <v>2026.0</v>
      </c>
      <c r="H634" s="234">
        <v>2032.0</v>
      </c>
      <c r="I634" s="234" t="s">
        <v>18725</v>
      </c>
      <c r="J634" s="234" t="s">
        <v>18636</v>
      </c>
      <c r="K634" s="236">
        <v>2.0</v>
      </c>
      <c r="L634" s="236">
        <v>8.5</v>
      </c>
      <c r="M634" s="236">
        <v>8.5</v>
      </c>
      <c r="N634" s="234" t="s">
        <v>3</v>
      </c>
      <c r="O634" s="237" t="s">
        <v>18675</v>
      </c>
      <c r="P634" s="238" t="s">
        <v>21076</v>
      </c>
      <c r="Q634" s="234" t="s">
        <v>18726</v>
      </c>
      <c r="R634" s="238" t="s">
        <v>21081</v>
      </c>
      <c r="S634" s="238" t="s">
        <v>21077</v>
      </c>
      <c r="T634" s="238" t="s">
        <v>21078</v>
      </c>
      <c r="U634" s="238" t="s">
        <v>18725</v>
      </c>
      <c r="V634" s="238" t="s">
        <v>18725</v>
      </c>
      <c r="W634" s="238" t="s">
        <v>18725</v>
      </c>
      <c r="X634" s="238" t="s">
        <v>18725</v>
      </c>
      <c r="Y634" s="239" t="str">
        <f>IF('CCUS Projects Database'!$R634&lt;&gt;"",HYPERLINK('CCUS Projects Database'!$R634,"Link 1"),"")</f>
        <v>Link 1</v>
      </c>
      <c r="Z634" s="239" t="str">
        <f>IF('CCUS Projects Database'!$S634&lt;&gt;"",HYPERLINK('CCUS Projects Database'!$S634,"Link 2"),"")</f>
        <v>Link 2</v>
      </c>
      <c r="AA634" s="239" t="str">
        <f>IF('CCUS Projects Database'!$T634&lt;&gt;"",HYPERLINK('CCUS Projects Database'!$T634,"Link 3"),"")</f>
        <v>Link 3</v>
      </c>
      <c r="AB634" s="239" t="str">
        <f>IF('CCUS Projects Database'!$U634&lt;&gt;"",HYPERLINK('CCUS Projects Database'!$U634,"Link 4"),"")</f>
        <v/>
      </c>
      <c r="AC634" s="239" t="str">
        <f>IF('CCUS Projects Database'!$V634&lt;&gt;"",HYPERLINK('CCUS Projects Database'!$V634,"Link 5"),"")</f>
        <v/>
      </c>
      <c r="AD634" s="239" t="str">
        <f>IF('CCUS Projects Database'!$W634&lt;&gt;"",HYPERLINK('CCUS Projects Database'!$W634,"Link 6"),"")</f>
        <v/>
      </c>
      <c r="AE634" s="239" t="str">
        <f>IF('CCUS Projects Database'!$X634&lt;&gt;"",HYPERLINK('CCUS Projects Database'!$X634,"Link 7"),"")</f>
        <v/>
      </c>
    </row>
    <row r="635" ht="14.25" customHeight="1">
      <c r="A635" s="233" t="s">
        <v>21082</v>
      </c>
      <c r="B635" s="234">
        <v>847.0</v>
      </c>
      <c r="C635" s="234" t="s">
        <v>83</v>
      </c>
      <c r="D635" s="235" t="s">
        <v>21075</v>
      </c>
      <c r="E635" s="234" t="s">
        <v>3</v>
      </c>
      <c r="F635" s="234">
        <v>2023.0</v>
      </c>
      <c r="G635" s="234">
        <v>2026.0</v>
      </c>
      <c r="H635" s="234">
        <v>2035.0</v>
      </c>
      <c r="I635" s="234" t="s">
        <v>18725</v>
      </c>
      <c r="J635" s="234" t="s">
        <v>18636</v>
      </c>
      <c r="K635" s="236">
        <v>3.0</v>
      </c>
      <c r="L635" s="236">
        <v>30.0</v>
      </c>
      <c r="M635" s="236">
        <v>30.0</v>
      </c>
      <c r="N635" s="234" t="s">
        <v>3</v>
      </c>
      <c r="O635" s="237" t="s">
        <v>18675</v>
      </c>
      <c r="P635" s="238" t="s">
        <v>21076</v>
      </c>
      <c r="Q635" s="234" t="s">
        <v>18726</v>
      </c>
      <c r="R635" s="238" t="s">
        <v>20945</v>
      </c>
      <c r="S635" s="238" t="s">
        <v>21077</v>
      </c>
      <c r="T635" s="238" t="s">
        <v>21078</v>
      </c>
      <c r="U635" s="238" t="s">
        <v>18725</v>
      </c>
      <c r="V635" s="238" t="s">
        <v>18725</v>
      </c>
      <c r="W635" s="238" t="s">
        <v>18725</v>
      </c>
      <c r="X635" s="238" t="s">
        <v>18725</v>
      </c>
      <c r="Y635" s="239" t="str">
        <f>IF('CCUS Projects Database'!$R635&lt;&gt;"",HYPERLINK('CCUS Projects Database'!$R635,"Link 1"),"")</f>
        <v>Link 1</v>
      </c>
      <c r="Z635" s="239" t="str">
        <f>IF('CCUS Projects Database'!$S635&lt;&gt;"",HYPERLINK('CCUS Projects Database'!$S635,"Link 2"),"")</f>
        <v>Link 2</v>
      </c>
      <c r="AA635" s="239" t="str">
        <f>IF('CCUS Projects Database'!$T635&lt;&gt;"",HYPERLINK('CCUS Projects Database'!$T635,"Link 3"),"")</f>
        <v>Link 3</v>
      </c>
      <c r="AB635" s="239" t="str">
        <f>IF('CCUS Projects Database'!$U635&lt;&gt;"",HYPERLINK('CCUS Projects Database'!$U635,"Link 4"),"")</f>
        <v/>
      </c>
      <c r="AC635" s="239" t="str">
        <f>IF('CCUS Projects Database'!$V635&lt;&gt;"",HYPERLINK('CCUS Projects Database'!$V635,"Link 5"),"")</f>
        <v/>
      </c>
      <c r="AD635" s="239" t="str">
        <f>IF('CCUS Projects Database'!$W635&lt;&gt;"",HYPERLINK('CCUS Projects Database'!$W635,"Link 6"),"")</f>
        <v/>
      </c>
      <c r="AE635" s="239" t="str">
        <f>IF('CCUS Projects Database'!$X635&lt;&gt;"",HYPERLINK('CCUS Projects Database'!$X635,"Link 7"),"")</f>
        <v/>
      </c>
    </row>
    <row r="636" ht="14.25" customHeight="1">
      <c r="A636" s="233" t="s">
        <v>21083</v>
      </c>
      <c r="B636" s="234">
        <v>849.0</v>
      </c>
      <c r="C636" s="234" t="s">
        <v>83</v>
      </c>
      <c r="D636" s="235" t="s">
        <v>21084</v>
      </c>
      <c r="E636" s="234" t="s">
        <v>3</v>
      </c>
      <c r="F636" s="234">
        <v>2023.0</v>
      </c>
      <c r="G636" s="234" t="s">
        <v>18725</v>
      </c>
      <c r="H636" s="234" t="s">
        <v>18725</v>
      </c>
      <c r="I636" s="234" t="s">
        <v>18725</v>
      </c>
      <c r="J636" s="234" t="s">
        <v>18636</v>
      </c>
      <c r="K636" s="236" t="s">
        <v>18725</v>
      </c>
      <c r="L636" s="236">
        <v>10.0</v>
      </c>
      <c r="M636" s="236">
        <v>10.0</v>
      </c>
      <c r="N636" s="234" t="s">
        <v>3</v>
      </c>
      <c r="O636" s="237" t="s">
        <v>18675</v>
      </c>
      <c r="P636" s="238" t="s">
        <v>18725</v>
      </c>
      <c r="Q636" s="234" t="s">
        <v>18726</v>
      </c>
      <c r="R636" s="238" t="s">
        <v>21085</v>
      </c>
      <c r="S636" s="238" t="s">
        <v>21077</v>
      </c>
      <c r="T636" s="238" t="s">
        <v>18725</v>
      </c>
      <c r="U636" s="238" t="s">
        <v>18725</v>
      </c>
      <c r="V636" s="238" t="s">
        <v>18725</v>
      </c>
      <c r="W636" s="238" t="s">
        <v>18725</v>
      </c>
      <c r="X636" s="238" t="s">
        <v>18725</v>
      </c>
      <c r="Y636" s="239" t="str">
        <f>IF('CCUS Projects Database'!$R636&lt;&gt;"",HYPERLINK('CCUS Projects Database'!$R636,"Link 1"),"")</f>
        <v>Link 1</v>
      </c>
      <c r="Z636" s="239" t="str">
        <f>IF('CCUS Projects Database'!$S636&lt;&gt;"",HYPERLINK('CCUS Projects Database'!$S636,"Link 2"),"")</f>
        <v>Link 2</v>
      </c>
      <c r="AA636" s="239" t="str">
        <f>IF('CCUS Projects Database'!$T636&lt;&gt;"",HYPERLINK('CCUS Projects Database'!$T636,"Link 3"),"")</f>
        <v/>
      </c>
      <c r="AB636" s="239" t="str">
        <f>IF('CCUS Projects Database'!$U636&lt;&gt;"",HYPERLINK('CCUS Projects Database'!$U636,"Link 4"),"")</f>
        <v/>
      </c>
      <c r="AC636" s="239" t="str">
        <f>IF('CCUS Projects Database'!$V636&lt;&gt;"",HYPERLINK('CCUS Projects Database'!$V636,"Link 5"),"")</f>
        <v/>
      </c>
      <c r="AD636" s="239" t="str">
        <f>IF('CCUS Projects Database'!$W636&lt;&gt;"",HYPERLINK('CCUS Projects Database'!$W636,"Link 6"),"")</f>
        <v/>
      </c>
      <c r="AE636" s="239" t="str">
        <f>IF('CCUS Projects Database'!$X636&lt;&gt;"",HYPERLINK('CCUS Projects Database'!$X636,"Link 7"),"")</f>
        <v/>
      </c>
    </row>
    <row r="637" ht="14.25" customHeight="1">
      <c r="A637" s="233" t="s">
        <v>21086</v>
      </c>
      <c r="B637" s="234">
        <v>850.0</v>
      </c>
      <c r="C637" s="234" t="s">
        <v>83</v>
      </c>
      <c r="D637" s="235" t="s">
        <v>21087</v>
      </c>
      <c r="E637" s="234" t="s">
        <v>3</v>
      </c>
      <c r="F637" s="234">
        <v>2023.0</v>
      </c>
      <c r="G637" s="234">
        <v>2029.0</v>
      </c>
      <c r="H637" s="234">
        <v>2031.0</v>
      </c>
      <c r="I637" s="234" t="s">
        <v>18725</v>
      </c>
      <c r="J637" s="234" t="s">
        <v>18636</v>
      </c>
      <c r="K637" s="236">
        <v>1.0</v>
      </c>
      <c r="L637" s="236">
        <v>1.0</v>
      </c>
      <c r="M637" s="236">
        <v>1.0</v>
      </c>
      <c r="N637" s="234" t="s">
        <v>3</v>
      </c>
      <c r="O637" s="237" t="s">
        <v>18675</v>
      </c>
      <c r="P637" s="238" t="s">
        <v>18725</v>
      </c>
      <c r="Q637" s="234" t="s">
        <v>18726</v>
      </c>
      <c r="R637" s="238" t="s">
        <v>21088</v>
      </c>
      <c r="S637" s="238" t="s">
        <v>21089</v>
      </c>
      <c r="T637" s="238" t="s">
        <v>18725</v>
      </c>
      <c r="U637" s="238" t="s">
        <v>18725</v>
      </c>
      <c r="V637" s="238" t="s">
        <v>18725</v>
      </c>
      <c r="W637" s="238" t="s">
        <v>18725</v>
      </c>
      <c r="X637" s="238" t="s">
        <v>18725</v>
      </c>
      <c r="Y637" s="239" t="str">
        <f>IF('CCUS Projects Database'!$R637&lt;&gt;"",HYPERLINK('CCUS Projects Database'!$R637,"Link 1"),"")</f>
        <v>Link 1</v>
      </c>
      <c r="Z637" s="239" t="str">
        <f>IF('CCUS Projects Database'!$S637&lt;&gt;"",HYPERLINK('CCUS Projects Database'!$S637,"Link 2"),"")</f>
        <v>Link 2</v>
      </c>
      <c r="AA637" s="239" t="str">
        <f>IF('CCUS Projects Database'!$T637&lt;&gt;"",HYPERLINK('CCUS Projects Database'!$T637,"Link 3"),"")</f>
        <v/>
      </c>
      <c r="AB637" s="239" t="str">
        <f>IF('CCUS Projects Database'!$U637&lt;&gt;"",HYPERLINK('CCUS Projects Database'!$U637,"Link 4"),"")</f>
        <v/>
      </c>
      <c r="AC637" s="239" t="str">
        <f>IF('CCUS Projects Database'!$V637&lt;&gt;"",HYPERLINK('CCUS Projects Database'!$V637,"Link 5"),"")</f>
        <v/>
      </c>
      <c r="AD637" s="239" t="str">
        <f>IF('CCUS Projects Database'!$W637&lt;&gt;"",HYPERLINK('CCUS Projects Database'!$W637,"Link 6"),"")</f>
        <v/>
      </c>
      <c r="AE637" s="239" t="str">
        <f>IF('CCUS Projects Database'!$X637&lt;&gt;"",HYPERLINK('CCUS Projects Database'!$X637,"Link 7"),"")</f>
        <v/>
      </c>
    </row>
    <row r="638" ht="14.25" customHeight="1">
      <c r="A638" s="233" t="s">
        <v>21090</v>
      </c>
      <c r="B638" s="234">
        <v>851.0</v>
      </c>
      <c r="C638" s="234" t="s">
        <v>83</v>
      </c>
      <c r="D638" s="235" t="s">
        <v>21087</v>
      </c>
      <c r="E638" s="234" t="s">
        <v>3</v>
      </c>
      <c r="F638" s="234">
        <v>2023.0</v>
      </c>
      <c r="G638" s="234">
        <v>2029.0</v>
      </c>
      <c r="H638" s="234" t="s">
        <v>18725</v>
      </c>
      <c r="I638" s="234" t="s">
        <v>18725</v>
      </c>
      <c r="J638" s="234" t="s">
        <v>18636</v>
      </c>
      <c r="K638" s="236">
        <v>2.0</v>
      </c>
      <c r="L638" s="236">
        <v>5.0</v>
      </c>
      <c r="M638" s="236">
        <v>5.0</v>
      </c>
      <c r="N638" s="234" t="s">
        <v>3</v>
      </c>
      <c r="O638" s="237" t="s">
        <v>18675</v>
      </c>
      <c r="P638" s="238" t="s">
        <v>18725</v>
      </c>
      <c r="Q638" s="234" t="s">
        <v>18726</v>
      </c>
      <c r="R638" s="238" t="s">
        <v>21088</v>
      </c>
      <c r="S638" s="238" t="s">
        <v>21089</v>
      </c>
      <c r="T638" s="238" t="s">
        <v>18725</v>
      </c>
      <c r="U638" s="238" t="s">
        <v>18725</v>
      </c>
      <c r="V638" s="238" t="s">
        <v>18725</v>
      </c>
      <c r="W638" s="238" t="s">
        <v>18725</v>
      </c>
      <c r="X638" s="238" t="s">
        <v>18725</v>
      </c>
      <c r="Y638" s="239" t="str">
        <f>IF('CCUS Projects Database'!$R638&lt;&gt;"",HYPERLINK('CCUS Projects Database'!$R638,"Link 1"),"")</f>
        <v>Link 1</v>
      </c>
      <c r="Z638" s="239" t="str">
        <f>IF('CCUS Projects Database'!$S638&lt;&gt;"",HYPERLINK('CCUS Projects Database'!$S638,"Link 2"),"")</f>
        <v>Link 2</v>
      </c>
      <c r="AA638" s="239" t="str">
        <f>IF('CCUS Projects Database'!$T638&lt;&gt;"",HYPERLINK('CCUS Projects Database'!$T638,"Link 3"),"")</f>
        <v/>
      </c>
      <c r="AB638" s="239" t="str">
        <f>IF('CCUS Projects Database'!$U638&lt;&gt;"",HYPERLINK('CCUS Projects Database'!$U638,"Link 4"),"")</f>
        <v/>
      </c>
      <c r="AC638" s="239" t="str">
        <f>IF('CCUS Projects Database'!$V638&lt;&gt;"",HYPERLINK('CCUS Projects Database'!$V638,"Link 5"),"")</f>
        <v/>
      </c>
      <c r="AD638" s="239" t="str">
        <f>IF('CCUS Projects Database'!$W638&lt;&gt;"",HYPERLINK('CCUS Projects Database'!$W638,"Link 6"),"")</f>
        <v/>
      </c>
      <c r="AE638" s="239" t="str">
        <f>IF('CCUS Projects Database'!$X638&lt;&gt;"",HYPERLINK('CCUS Projects Database'!$X638,"Link 7"),"")</f>
        <v/>
      </c>
    </row>
    <row r="639" ht="14.25" customHeight="1">
      <c r="A639" s="233" t="s">
        <v>21091</v>
      </c>
      <c r="B639" s="234">
        <v>853.0</v>
      </c>
      <c r="C639" s="234" t="s">
        <v>83</v>
      </c>
      <c r="D639" s="235" t="s">
        <v>21092</v>
      </c>
      <c r="E639" s="234" t="s">
        <v>3</v>
      </c>
      <c r="F639" s="234">
        <v>2023.0</v>
      </c>
      <c r="G639" s="234">
        <v>2028.0</v>
      </c>
      <c r="H639" s="234">
        <v>2030.0</v>
      </c>
      <c r="I639" s="234" t="s">
        <v>18725</v>
      </c>
      <c r="J639" s="234" t="s">
        <v>18636</v>
      </c>
      <c r="K639" s="236" t="s">
        <v>18725</v>
      </c>
      <c r="L639" s="236" t="s">
        <v>21093</v>
      </c>
      <c r="M639" s="236">
        <v>10.0</v>
      </c>
      <c r="N639" s="234" t="s">
        <v>3</v>
      </c>
      <c r="O639" s="237" t="s">
        <v>18675</v>
      </c>
      <c r="P639" s="238" t="s">
        <v>21094</v>
      </c>
      <c r="Q639" s="234" t="s">
        <v>18726</v>
      </c>
      <c r="R639" s="238" t="s">
        <v>21077</v>
      </c>
      <c r="S639" s="238" t="s">
        <v>18725</v>
      </c>
      <c r="T639" s="238" t="s">
        <v>18725</v>
      </c>
      <c r="U639" s="238" t="s">
        <v>18725</v>
      </c>
      <c r="V639" s="238" t="s">
        <v>18725</v>
      </c>
      <c r="W639" s="238" t="s">
        <v>18725</v>
      </c>
      <c r="X639" s="238" t="s">
        <v>18725</v>
      </c>
      <c r="Y639" s="239" t="str">
        <f>IF('CCUS Projects Database'!$R639&lt;&gt;"",HYPERLINK('CCUS Projects Database'!$R639,"Link 1"),"")</f>
        <v>Link 1</v>
      </c>
      <c r="Z639" s="239" t="str">
        <f>IF('CCUS Projects Database'!$S639&lt;&gt;"",HYPERLINK('CCUS Projects Database'!$S639,"Link 2"),"")</f>
        <v/>
      </c>
      <c r="AA639" s="239" t="str">
        <f>IF('CCUS Projects Database'!$T639&lt;&gt;"",HYPERLINK('CCUS Projects Database'!$T639,"Link 3"),"")</f>
        <v/>
      </c>
      <c r="AB639" s="239" t="str">
        <f>IF('CCUS Projects Database'!$U639&lt;&gt;"",HYPERLINK('CCUS Projects Database'!$U639,"Link 4"),"")</f>
        <v/>
      </c>
      <c r="AC639" s="239" t="str">
        <f>IF('CCUS Projects Database'!$V639&lt;&gt;"",HYPERLINK('CCUS Projects Database'!$V639,"Link 5"),"")</f>
        <v/>
      </c>
      <c r="AD639" s="239" t="str">
        <f>IF('CCUS Projects Database'!$W639&lt;&gt;"",HYPERLINK('CCUS Projects Database'!$W639,"Link 6"),"")</f>
        <v/>
      </c>
      <c r="AE639" s="239" t="str">
        <f>IF('CCUS Projects Database'!$X639&lt;&gt;"",HYPERLINK('CCUS Projects Database'!$X639,"Link 7"),"")</f>
        <v/>
      </c>
    </row>
    <row r="640" ht="14.25" customHeight="1">
      <c r="A640" s="233" t="s">
        <v>21095</v>
      </c>
      <c r="B640" s="234">
        <v>854.0</v>
      </c>
      <c r="C640" s="234" t="s">
        <v>83</v>
      </c>
      <c r="D640" s="235" t="s">
        <v>21096</v>
      </c>
      <c r="E640" s="234" t="s">
        <v>3</v>
      </c>
      <c r="F640" s="234">
        <v>2023.0</v>
      </c>
      <c r="G640" s="234">
        <v>2029.0</v>
      </c>
      <c r="H640" s="234">
        <v>2033.0</v>
      </c>
      <c r="I640" s="234" t="s">
        <v>18725</v>
      </c>
      <c r="J640" s="234" t="s">
        <v>18636</v>
      </c>
      <c r="K640" s="236" t="s">
        <v>18725</v>
      </c>
      <c r="L640" s="236" t="s">
        <v>21097</v>
      </c>
      <c r="M640" s="236">
        <v>6.0</v>
      </c>
      <c r="N640" s="234" t="s">
        <v>3</v>
      </c>
      <c r="O640" s="237" t="s">
        <v>18675</v>
      </c>
      <c r="P640" s="238" t="s">
        <v>21094</v>
      </c>
      <c r="Q640" s="234" t="s">
        <v>18726</v>
      </c>
      <c r="R640" s="238" t="s">
        <v>21077</v>
      </c>
      <c r="S640" s="238" t="s">
        <v>18725</v>
      </c>
      <c r="T640" s="238" t="s">
        <v>18725</v>
      </c>
      <c r="U640" s="238" t="s">
        <v>18725</v>
      </c>
      <c r="V640" s="238" t="s">
        <v>18725</v>
      </c>
      <c r="W640" s="238" t="s">
        <v>18725</v>
      </c>
      <c r="X640" s="238" t="s">
        <v>18725</v>
      </c>
      <c r="Y640" s="239" t="str">
        <f>IF('CCUS Projects Database'!$R640&lt;&gt;"",HYPERLINK('CCUS Projects Database'!$R640,"Link 1"),"")</f>
        <v>Link 1</v>
      </c>
      <c r="Z640" s="239" t="str">
        <f>IF('CCUS Projects Database'!$S640&lt;&gt;"",HYPERLINK('CCUS Projects Database'!$S640,"Link 2"),"")</f>
        <v/>
      </c>
      <c r="AA640" s="239" t="str">
        <f>IF('CCUS Projects Database'!$T640&lt;&gt;"",HYPERLINK('CCUS Projects Database'!$T640,"Link 3"),"")</f>
        <v/>
      </c>
      <c r="AB640" s="239" t="str">
        <f>IF('CCUS Projects Database'!$U640&lt;&gt;"",HYPERLINK('CCUS Projects Database'!$U640,"Link 4"),"")</f>
        <v/>
      </c>
      <c r="AC640" s="239" t="str">
        <f>IF('CCUS Projects Database'!$V640&lt;&gt;"",HYPERLINK('CCUS Projects Database'!$V640,"Link 5"),"")</f>
        <v/>
      </c>
      <c r="AD640" s="239" t="str">
        <f>IF('CCUS Projects Database'!$W640&lt;&gt;"",HYPERLINK('CCUS Projects Database'!$W640,"Link 6"),"")</f>
        <v/>
      </c>
      <c r="AE640" s="239" t="str">
        <f>IF('CCUS Projects Database'!$X640&lt;&gt;"",HYPERLINK('CCUS Projects Database'!$X640,"Link 7"),"")</f>
        <v/>
      </c>
    </row>
    <row r="641" ht="14.25" customHeight="1">
      <c r="A641" s="233" t="s">
        <v>21098</v>
      </c>
      <c r="B641" s="234">
        <v>855.0</v>
      </c>
      <c r="C641" s="234" t="s">
        <v>83</v>
      </c>
      <c r="D641" s="235" t="s">
        <v>21092</v>
      </c>
      <c r="E641" s="234" t="s">
        <v>3</v>
      </c>
      <c r="F641" s="234">
        <v>2023.0</v>
      </c>
      <c r="G641" s="234">
        <v>2029.0</v>
      </c>
      <c r="H641" s="234">
        <v>2033.0</v>
      </c>
      <c r="I641" s="234" t="s">
        <v>18725</v>
      </c>
      <c r="J641" s="234" t="s">
        <v>18636</v>
      </c>
      <c r="K641" s="236" t="s">
        <v>18725</v>
      </c>
      <c r="L641" s="236" t="s">
        <v>21097</v>
      </c>
      <c r="M641" s="236">
        <v>6.0</v>
      </c>
      <c r="N641" s="234" t="s">
        <v>3</v>
      </c>
      <c r="O641" s="237" t="s">
        <v>18675</v>
      </c>
      <c r="P641" s="238" t="s">
        <v>21094</v>
      </c>
      <c r="Q641" s="234" t="s">
        <v>18726</v>
      </c>
      <c r="R641" s="238" t="s">
        <v>21077</v>
      </c>
      <c r="S641" s="238" t="s">
        <v>18725</v>
      </c>
      <c r="T641" s="238" t="s">
        <v>18725</v>
      </c>
      <c r="U641" s="238" t="s">
        <v>18725</v>
      </c>
      <c r="V641" s="238" t="s">
        <v>18725</v>
      </c>
      <c r="W641" s="238" t="s">
        <v>18725</v>
      </c>
      <c r="X641" s="238" t="s">
        <v>18725</v>
      </c>
      <c r="Y641" s="239" t="str">
        <f>IF('CCUS Projects Database'!$R641&lt;&gt;"",HYPERLINK('CCUS Projects Database'!$R641,"Link 1"),"")</f>
        <v>Link 1</v>
      </c>
      <c r="Z641" s="239" t="str">
        <f>IF('CCUS Projects Database'!$S641&lt;&gt;"",HYPERLINK('CCUS Projects Database'!$S641,"Link 2"),"")</f>
        <v/>
      </c>
      <c r="AA641" s="239" t="str">
        <f>IF('CCUS Projects Database'!$T641&lt;&gt;"",HYPERLINK('CCUS Projects Database'!$T641,"Link 3"),"")</f>
        <v/>
      </c>
      <c r="AB641" s="239" t="str">
        <f>IF('CCUS Projects Database'!$U641&lt;&gt;"",HYPERLINK('CCUS Projects Database'!$U641,"Link 4"),"")</f>
        <v/>
      </c>
      <c r="AC641" s="239" t="str">
        <f>IF('CCUS Projects Database'!$V641&lt;&gt;"",HYPERLINK('CCUS Projects Database'!$V641,"Link 5"),"")</f>
        <v/>
      </c>
      <c r="AD641" s="239" t="str">
        <f>IF('CCUS Projects Database'!$W641&lt;&gt;"",HYPERLINK('CCUS Projects Database'!$W641,"Link 6"),"")</f>
        <v/>
      </c>
      <c r="AE641" s="239" t="str">
        <f>IF('CCUS Projects Database'!$X641&lt;&gt;"",HYPERLINK('CCUS Projects Database'!$X641,"Link 7"),"")</f>
        <v/>
      </c>
    </row>
    <row r="642" ht="14.25" customHeight="1">
      <c r="A642" s="233" t="s">
        <v>21099</v>
      </c>
      <c r="B642" s="234">
        <v>856.0</v>
      </c>
      <c r="C642" s="234" t="s">
        <v>83</v>
      </c>
      <c r="D642" s="235" t="s">
        <v>21100</v>
      </c>
      <c r="E642" s="234" t="s">
        <v>3</v>
      </c>
      <c r="F642" s="234">
        <v>2023.0</v>
      </c>
      <c r="G642" s="234" t="s">
        <v>18725</v>
      </c>
      <c r="H642" s="234" t="s">
        <v>18725</v>
      </c>
      <c r="I642" s="234" t="s">
        <v>18725</v>
      </c>
      <c r="J642" s="234" t="s">
        <v>18636</v>
      </c>
      <c r="K642" s="236" t="s">
        <v>18725</v>
      </c>
      <c r="L642" s="236" t="s">
        <v>18725</v>
      </c>
      <c r="M642" s="236" t="s">
        <v>18725</v>
      </c>
      <c r="N642" s="234" t="s">
        <v>3</v>
      </c>
      <c r="O642" s="237" t="s">
        <v>18675</v>
      </c>
      <c r="P642" s="238" t="s">
        <v>18725</v>
      </c>
      <c r="Q642" s="234" t="s">
        <v>18726</v>
      </c>
      <c r="R642" s="238" t="s">
        <v>21077</v>
      </c>
      <c r="S642" s="238" t="s">
        <v>18725</v>
      </c>
      <c r="T642" s="238" t="s">
        <v>18725</v>
      </c>
      <c r="U642" s="238" t="s">
        <v>18725</v>
      </c>
      <c r="V642" s="238" t="s">
        <v>18725</v>
      </c>
      <c r="W642" s="238" t="s">
        <v>18725</v>
      </c>
      <c r="X642" s="238" t="s">
        <v>18725</v>
      </c>
      <c r="Y642" s="239" t="str">
        <f>IF('CCUS Projects Database'!$R642&lt;&gt;"",HYPERLINK('CCUS Projects Database'!$R642,"Link 1"),"")</f>
        <v>Link 1</v>
      </c>
      <c r="Z642" s="239" t="str">
        <f>IF('CCUS Projects Database'!$S642&lt;&gt;"",HYPERLINK('CCUS Projects Database'!$S642,"Link 2"),"")</f>
        <v/>
      </c>
      <c r="AA642" s="239" t="str">
        <f>IF('CCUS Projects Database'!$T642&lt;&gt;"",HYPERLINK('CCUS Projects Database'!$T642,"Link 3"),"")</f>
        <v/>
      </c>
      <c r="AB642" s="239" t="str">
        <f>IF('CCUS Projects Database'!$U642&lt;&gt;"",HYPERLINK('CCUS Projects Database'!$U642,"Link 4"),"")</f>
        <v/>
      </c>
      <c r="AC642" s="239" t="str">
        <f>IF('CCUS Projects Database'!$V642&lt;&gt;"",HYPERLINK('CCUS Projects Database'!$V642,"Link 5"),"")</f>
        <v/>
      </c>
      <c r="AD642" s="239" t="str">
        <f>IF('CCUS Projects Database'!$W642&lt;&gt;"",HYPERLINK('CCUS Projects Database'!$W642,"Link 6"),"")</f>
        <v/>
      </c>
      <c r="AE642" s="239" t="str">
        <f>IF('CCUS Projects Database'!$X642&lt;&gt;"",HYPERLINK('CCUS Projects Database'!$X642,"Link 7"),"")</f>
        <v/>
      </c>
    </row>
    <row r="643" ht="14.25" customHeight="1">
      <c r="A643" s="233" t="s">
        <v>21101</v>
      </c>
      <c r="B643" s="234">
        <v>857.0</v>
      </c>
      <c r="C643" s="234" t="s">
        <v>18287</v>
      </c>
      <c r="D643" s="235" t="s">
        <v>21102</v>
      </c>
      <c r="E643" s="234" t="s">
        <v>18618</v>
      </c>
      <c r="F643" s="234">
        <v>2023.0</v>
      </c>
      <c r="G643" s="234" t="s">
        <v>18725</v>
      </c>
      <c r="H643" s="234" t="s">
        <v>18725</v>
      </c>
      <c r="I643" s="234" t="s">
        <v>18725</v>
      </c>
      <c r="J643" s="234" t="s">
        <v>18636</v>
      </c>
      <c r="K643" s="236" t="s">
        <v>18725</v>
      </c>
      <c r="L643" s="236" t="s">
        <v>18725</v>
      </c>
      <c r="M643" s="236" t="s">
        <v>18725</v>
      </c>
      <c r="N643" s="234" t="s">
        <v>18654</v>
      </c>
      <c r="O643" s="237" t="s">
        <v>18675</v>
      </c>
      <c r="P643" s="238" t="s">
        <v>18725</v>
      </c>
      <c r="Q643" s="234" t="s">
        <v>18856</v>
      </c>
      <c r="R643" s="238" t="s">
        <v>21103</v>
      </c>
      <c r="S643" s="238" t="s">
        <v>18725</v>
      </c>
      <c r="T643" s="238" t="s">
        <v>18725</v>
      </c>
      <c r="U643" s="238" t="s">
        <v>18725</v>
      </c>
      <c r="V643" s="238" t="s">
        <v>18725</v>
      </c>
      <c r="W643" s="238" t="s">
        <v>18725</v>
      </c>
      <c r="X643" s="238" t="s">
        <v>18725</v>
      </c>
      <c r="Y643" s="239" t="str">
        <f>IF('CCUS Projects Database'!$R643&lt;&gt;"",HYPERLINK('CCUS Projects Database'!$R643,"Link 1"),"")</f>
        <v>Link 1</v>
      </c>
      <c r="Z643" s="239" t="str">
        <f>IF('CCUS Projects Database'!$S643&lt;&gt;"",HYPERLINK('CCUS Projects Database'!$S643,"Link 2"),"")</f>
        <v/>
      </c>
      <c r="AA643" s="239" t="str">
        <f>IF('CCUS Projects Database'!$T643&lt;&gt;"",HYPERLINK('CCUS Projects Database'!$T643,"Link 3"),"")</f>
        <v/>
      </c>
      <c r="AB643" s="239" t="str">
        <f>IF('CCUS Projects Database'!$U643&lt;&gt;"",HYPERLINK('CCUS Projects Database'!$U643,"Link 4"),"")</f>
        <v/>
      </c>
      <c r="AC643" s="239" t="str">
        <f>IF('CCUS Projects Database'!$V643&lt;&gt;"",HYPERLINK('CCUS Projects Database'!$V643,"Link 5"),"")</f>
        <v/>
      </c>
      <c r="AD643" s="239" t="str">
        <f>IF('CCUS Projects Database'!$W643&lt;&gt;"",HYPERLINK('CCUS Projects Database'!$W643,"Link 6"),"")</f>
        <v/>
      </c>
      <c r="AE643" s="239" t="str">
        <f>IF('CCUS Projects Database'!$X643&lt;&gt;"",HYPERLINK('CCUS Projects Database'!$X643,"Link 7"),"")</f>
        <v/>
      </c>
    </row>
    <row r="644" ht="14.25" customHeight="1">
      <c r="A644" s="233" t="s">
        <v>21104</v>
      </c>
      <c r="B644" s="234">
        <v>858.0</v>
      </c>
      <c r="C644" s="234" t="s">
        <v>21105</v>
      </c>
      <c r="D644" s="235" t="s">
        <v>21106</v>
      </c>
      <c r="E644" s="234" t="s">
        <v>18623</v>
      </c>
      <c r="F644" s="234">
        <v>2023.0</v>
      </c>
      <c r="G644" s="234" t="s">
        <v>18725</v>
      </c>
      <c r="H644" s="234" t="s">
        <v>18725</v>
      </c>
      <c r="I644" s="234" t="s">
        <v>18725</v>
      </c>
      <c r="J644" s="234" t="s">
        <v>18636</v>
      </c>
      <c r="K644" s="236" t="s">
        <v>18725</v>
      </c>
      <c r="L644" s="236" t="s">
        <v>18725</v>
      </c>
      <c r="M644" s="236" t="s">
        <v>18725</v>
      </c>
      <c r="N644" s="234" t="s">
        <v>18623</v>
      </c>
      <c r="O644" s="237" t="s">
        <v>18683</v>
      </c>
      <c r="P644" s="238" t="s">
        <v>21107</v>
      </c>
      <c r="Q644" s="234" t="s">
        <v>18856</v>
      </c>
      <c r="R644" s="238" t="s">
        <v>21108</v>
      </c>
      <c r="S644" s="238" t="s">
        <v>21109</v>
      </c>
      <c r="T644" s="238" t="s">
        <v>18725</v>
      </c>
      <c r="U644" s="238" t="s">
        <v>18725</v>
      </c>
      <c r="V644" s="238" t="s">
        <v>18725</v>
      </c>
      <c r="W644" s="238" t="s">
        <v>18725</v>
      </c>
      <c r="X644" s="238" t="s">
        <v>18725</v>
      </c>
      <c r="Y644" s="239" t="str">
        <f>IF('CCUS Projects Database'!$R644&lt;&gt;"",HYPERLINK('CCUS Projects Database'!$R644,"Link 1"),"")</f>
        <v>Link 1</v>
      </c>
      <c r="Z644" s="239" t="str">
        <f>IF('CCUS Projects Database'!$S644&lt;&gt;"",HYPERLINK('CCUS Projects Database'!$S644,"Link 2"),"")</f>
        <v>Link 2</v>
      </c>
      <c r="AA644" s="239" t="str">
        <f>IF('CCUS Projects Database'!$T644&lt;&gt;"",HYPERLINK('CCUS Projects Database'!$T644,"Link 3"),"")</f>
        <v/>
      </c>
      <c r="AB644" s="239" t="str">
        <f>IF('CCUS Projects Database'!$U644&lt;&gt;"",HYPERLINK('CCUS Projects Database'!$U644,"Link 4"),"")</f>
        <v/>
      </c>
      <c r="AC644" s="239" t="str">
        <f>IF('CCUS Projects Database'!$V644&lt;&gt;"",HYPERLINK('CCUS Projects Database'!$V644,"Link 5"),"")</f>
        <v/>
      </c>
      <c r="AD644" s="239" t="str">
        <f>IF('CCUS Projects Database'!$W644&lt;&gt;"",HYPERLINK('CCUS Projects Database'!$W644,"Link 6"),"")</f>
        <v/>
      </c>
      <c r="AE644" s="239" t="str">
        <f>IF('CCUS Projects Database'!$X644&lt;&gt;"",HYPERLINK('CCUS Projects Database'!$X644,"Link 7"),"")</f>
        <v/>
      </c>
    </row>
    <row r="645" ht="14.25" customHeight="1">
      <c r="A645" s="233" t="s">
        <v>20070</v>
      </c>
      <c r="B645" s="234">
        <v>860.0</v>
      </c>
      <c r="C645" s="234" t="s">
        <v>18287</v>
      </c>
      <c r="D645" s="235" t="s">
        <v>19594</v>
      </c>
      <c r="E645" s="234" t="s">
        <v>3</v>
      </c>
      <c r="F645" s="234">
        <v>2023.0</v>
      </c>
      <c r="G645" s="234" t="s">
        <v>18725</v>
      </c>
      <c r="H645" s="234" t="s">
        <v>18725</v>
      </c>
      <c r="I645" s="234" t="s">
        <v>18725</v>
      </c>
      <c r="J645" s="234" t="s">
        <v>18636</v>
      </c>
      <c r="K645" s="236">
        <v>2.0</v>
      </c>
      <c r="L645" s="236" t="s">
        <v>18725</v>
      </c>
      <c r="M645" s="236" t="s">
        <v>18725</v>
      </c>
      <c r="N645" s="234" t="s">
        <v>3</v>
      </c>
      <c r="O645" s="237" t="s">
        <v>18675</v>
      </c>
      <c r="P645" s="238" t="s">
        <v>20070</v>
      </c>
      <c r="Q645" s="234" t="s">
        <v>18856</v>
      </c>
      <c r="R645" s="238" t="s">
        <v>21108</v>
      </c>
      <c r="S645" s="238" t="s">
        <v>18725</v>
      </c>
      <c r="T645" s="238" t="s">
        <v>18725</v>
      </c>
      <c r="U645" s="238" t="s">
        <v>18725</v>
      </c>
      <c r="V645" s="238" t="s">
        <v>18725</v>
      </c>
      <c r="W645" s="238" t="s">
        <v>18725</v>
      </c>
      <c r="X645" s="238" t="s">
        <v>18725</v>
      </c>
      <c r="Y645" s="239" t="str">
        <f>IF('CCUS Projects Database'!$R645&lt;&gt;"",HYPERLINK('CCUS Projects Database'!$R645,"Link 1"),"")</f>
        <v>Link 1</v>
      </c>
      <c r="Z645" s="239" t="str">
        <f>IF('CCUS Projects Database'!$S645&lt;&gt;"",HYPERLINK('CCUS Projects Database'!$S645,"Link 2"),"")</f>
        <v/>
      </c>
      <c r="AA645" s="239" t="str">
        <f>IF('CCUS Projects Database'!$T645&lt;&gt;"",HYPERLINK('CCUS Projects Database'!$T645,"Link 3"),"")</f>
        <v/>
      </c>
      <c r="AB645" s="239" t="str">
        <f>IF('CCUS Projects Database'!$U645&lt;&gt;"",HYPERLINK('CCUS Projects Database'!$U645,"Link 4"),"")</f>
        <v/>
      </c>
      <c r="AC645" s="239" t="str">
        <f>IF('CCUS Projects Database'!$V645&lt;&gt;"",HYPERLINK('CCUS Projects Database'!$V645,"Link 5"),"")</f>
        <v/>
      </c>
      <c r="AD645" s="239" t="str">
        <f>IF('CCUS Projects Database'!$W645&lt;&gt;"",HYPERLINK('CCUS Projects Database'!$W645,"Link 6"),"")</f>
        <v/>
      </c>
      <c r="AE645" s="239" t="str">
        <f>IF('CCUS Projects Database'!$X645&lt;&gt;"",HYPERLINK('CCUS Projects Database'!$X645,"Link 7"),"")</f>
        <v/>
      </c>
    </row>
    <row r="646" ht="14.25" customHeight="1">
      <c r="A646" s="233" t="s">
        <v>21110</v>
      </c>
      <c r="B646" s="234">
        <v>863.0</v>
      </c>
      <c r="C646" s="234" t="s">
        <v>18586</v>
      </c>
      <c r="D646" s="235" t="s">
        <v>21111</v>
      </c>
      <c r="E646" s="234" t="s">
        <v>3</v>
      </c>
      <c r="F646" s="234">
        <v>2023.0</v>
      </c>
      <c r="G646" s="234" t="s">
        <v>18725</v>
      </c>
      <c r="H646" s="234" t="s">
        <v>18725</v>
      </c>
      <c r="I646" s="234" t="s">
        <v>18725</v>
      </c>
      <c r="J646" s="234" t="s">
        <v>18636</v>
      </c>
      <c r="K646" s="236" t="s">
        <v>18725</v>
      </c>
      <c r="L646" s="236">
        <v>20.0</v>
      </c>
      <c r="M646" s="236">
        <v>20.0</v>
      </c>
      <c r="N646" s="234" t="s">
        <v>3</v>
      </c>
      <c r="O646" s="237" t="s">
        <v>18675</v>
      </c>
      <c r="P646" s="238" t="s">
        <v>21110</v>
      </c>
      <c r="Q646" s="234" t="s">
        <v>18732</v>
      </c>
      <c r="R646" s="238" t="s">
        <v>18725</v>
      </c>
      <c r="S646" s="238" t="s">
        <v>18725</v>
      </c>
      <c r="T646" s="238" t="s">
        <v>18725</v>
      </c>
      <c r="U646" s="238" t="s">
        <v>18725</v>
      </c>
      <c r="V646" s="238" t="s">
        <v>18725</v>
      </c>
      <c r="W646" s="238" t="s">
        <v>18725</v>
      </c>
      <c r="X646" s="238" t="s">
        <v>18725</v>
      </c>
      <c r="Y646" s="239" t="str">
        <f>IF('CCUS Projects Database'!$R646&lt;&gt;"",HYPERLINK('CCUS Projects Database'!$R646,"Link 1"),"")</f>
        <v/>
      </c>
      <c r="Z646" s="239" t="str">
        <f>IF('CCUS Projects Database'!$S646&lt;&gt;"",HYPERLINK('CCUS Projects Database'!$S646,"Link 2"),"")</f>
        <v/>
      </c>
      <c r="AA646" s="239" t="str">
        <f>IF('CCUS Projects Database'!$T646&lt;&gt;"",HYPERLINK('CCUS Projects Database'!$T646,"Link 3"),"")</f>
        <v/>
      </c>
      <c r="AB646" s="239" t="str">
        <f>IF('CCUS Projects Database'!$U646&lt;&gt;"",HYPERLINK('CCUS Projects Database'!$U646,"Link 4"),"")</f>
        <v/>
      </c>
      <c r="AC646" s="239" t="str">
        <f>IF('CCUS Projects Database'!$V646&lt;&gt;"",HYPERLINK('CCUS Projects Database'!$V646,"Link 5"),"")</f>
        <v/>
      </c>
      <c r="AD646" s="239" t="str">
        <f>IF('CCUS Projects Database'!$W646&lt;&gt;"",HYPERLINK('CCUS Projects Database'!$W646,"Link 6"),"")</f>
        <v/>
      </c>
      <c r="AE646" s="239" t="str">
        <f>IF('CCUS Projects Database'!$X646&lt;&gt;"",HYPERLINK('CCUS Projects Database'!$X646,"Link 7"),"")</f>
        <v/>
      </c>
    </row>
    <row r="647" ht="14.25" customHeight="1">
      <c r="A647" s="233" t="s">
        <v>21112</v>
      </c>
      <c r="B647" s="234">
        <v>863.0</v>
      </c>
      <c r="C647" s="234" t="s">
        <v>18586</v>
      </c>
      <c r="D647" s="235" t="s">
        <v>21113</v>
      </c>
      <c r="E647" s="234" t="s">
        <v>18623</v>
      </c>
      <c r="F647" s="234">
        <v>2022.0</v>
      </c>
      <c r="G647" s="234" t="s">
        <v>18725</v>
      </c>
      <c r="H647" s="234">
        <v>2028.0</v>
      </c>
      <c r="I647" s="234" t="s">
        <v>18725</v>
      </c>
      <c r="J647" s="234" t="s">
        <v>18636</v>
      </c>
      <c r="K647" s="236" t="s">
        <v>18725</v>
      </c>
      <c r="L647" s="236" t="s">
        <v>18725</v>
      </c>
      <c r="M647" s="236" t="s">
        <v>18725</v>
      </c>
      <c r="N647" s="234" t="s">
        <v>18623</v>
      </c>
      <c r="O647" s="237" t="s">
        <v>18683</v>
      </c>
      <c r="P647" s="238" t="s">
        <v>21114</v>
      </c>
      <c r="Q647" s="234" t="s">
        <v>18732</v>
      </c>
      <c r="R647" s="238" t="s">
        <v>18725</v>
      </c>
      <c r="S647" s="238" t="s">
        <v>18725</v>
      </c>
      <c r="T647" s="238" t="s">
        <v>18725</v>
      </c>
      <c r="U647" s="238" t="s">
        <v>18725</v>
      </c>
      <c r="V647" s="238" t="s">
        <v>18725</v>
      </c>
      <c r="W647" s="238" t="s">
        <v>18725</v>
      </c>
      <c r="X647" s="238" t="s">
        <v>18725</v>
      </c>
      <c r="Y647" s="239" t="str">
        <f>IF('CCUS Projects Database'!$R647&lt;&gt;"",HYPERLINK('CCUS Projects Database'!$R647,"Link 1"),"")</f>
        <v/>
      </c>
      <c r="Z647" s="239" t="str">
        <f>IF('CCUS Projects Database'!$S647&lt;&gt;"",HYPERLINK('CCUS Projects Database'!$S647,"Link 2"),"")</f>
        <v/>
      </c>
      <c r="AA647" s="239" t="str">
        <f>IF('CCUS Projects Database'!$T647&lt;&gt;"",HYPERLINK('CCUS Projects Database'!$T647,"Link 3"),"")</f>
        <v/>
      </c>
      <c r="AB647" s="239" t="str">
        <f>IF('CCUS Projects Database'!$U647&lt;&gt;"",HYPERLINK('CCUS Projects Database'!$U647,"Link 4"),"")</f>
        <v/>
      </c>
      <c r="AC647" s="239" t="str">
        <f>IF('CCUS Projects Database'!$V647&lt;&gt;"",HYPERLINK('CCUS Projects Database'!$V647,"Link 5"),"")</f>
        <v/>
      </c>
      <c r="AD647" s="239" t="str">
        <f>IF('CCUS Projects Database'!$W647&lt;&gt;"",HYPERLINK('CCUS Projects Database'!$W647,"Link 6"),"")</f>
        <v/>
      </c>
      <c r="AE647" s="239" t="str">
        <f>IF('CCUS Projects Database'!$X647&lt;&gt;"",HYPERLINK('CCUS Projects Database'!$X647,"Link 7"),"")</f>
        <v/>
      </c>
    </row>
    <row r="648" ht="14.25" customHeight="1">
      <c r="A648" s="233" t="s">
        <v>21115</v>
      </c>
      <c r="B648" s="234">
        <v>864.0</v>
      </c>
      <c r="C648" s="234" t="s">
        <v>18586</v>
      </c>
      <c r="D648" s="235" t="s">
        <v>21116</v>
      </c>
      <c r="E648" s="234" t="s">
        <v>3</v>
      </c>
      <c r="F648" s="234">
        <v>2023.0</v>
      </c>
      <c r="G648" s="234" t="s">
        <v>18725</v>
      </c>
      <c r="H648" s="234">
        <v>2027.0</v>
      </c>
      <c r="I648" s="234" t="s">
        <v>18725</v>
      </c>
      <c r="J648" s="234" t="s">
        <v>18636</v>
      </c>
      <c r="K648" s="236" t="s">
        <v>18725</v>
      </c>
      <c r="L648" s="236" t="s">
        <v>18725</v>
      </c>
      <c r="M648" s="236" t="s">
        <v>18725</v>
      </c>
      <c r="N648" s="234" t="s">
        <v>3</v>
      </c>
      <c r="O648" s="237" t="s">
        <v>18675</v>
      </c>
      <c r="P648" s="238" t="s">
        <v>18725</v>
      </c>
      <c r="Q648" s="234" t="s">
        <v>18732</v>
      </c>
      <c r="R648" s="238" t="s">
        <v>18725</v>
      </c>
      <c r="S648" s="238" t="s">
        <v>18725</v>
      </c>
      <c r="T648" s="238" t="s">
        <v>18725</v>
      </c>
      <c r="U648" s="238" t="s">
        <v>18725</v>
      </c>
      <c r="V648" s="238" t="s">
        <v>18725</v>
      </c>
      <c r="W648" s="238" t="s">
        <v>18725</v>
      </c>
      <c r="X648" s="238" t="s">
        <v>18725</v>
      </c>
      <c r="Y648" s="239" t="str">
        <f>IF('CCUS Projects Database'!$R648&lt;&gt;"",HYPERLINK('CCUS Projects Database'!$R648,"Link 1"),"")</f>
        <v/>
      </c>
      <c r="Z648" s="239" t="str">
        <f>IF('CCUS Projects Database'!$S648&lt;&gt;"",HYPERLINK('CCUS Projects Database'!$S648,"Link 2"),"")</f>
        <v/>
      </c>
      <c r="AA648" s="239" t="str">
        <f>IF('CCUS Projects Database'!$T648&lt;&gt;"",HYPERLINK('CCUS Projects Database'!$T648,"Link 3"),"")</f>
        <v/>
      </c>
      <c r="AB648" s="239" t="str">
        <f>IF('CCUS Projects Database'!$U648&lt;&gt;"",HYPERLINK('CCUS Projects Database'!$U648,"Link 4"),"")</f>
        <v/>
      </c>
      <c r="AC648" s="239" t="str">
        <f>IF('CCUS Projects Database'!$V648&lt;&gt;"",HYPERLINK('CCUS Projects Database'!$V648,"Link 5"),"")</f>
        <v/>
      </c>
      <c r="AD648" s="239" t="str">
        <f>IF('CCUS Projects Database'!$W648&lt;&gt;"",HYPERLINK('CCUS Projects Database'!$W648,"Link 6"),"")</f>
        <v/>
      </c>
      <c r="AE648" s="239" t="str">
        <f>IF('CCUS Projects Database'!$X648&lt;&gt;"",HYPERLINK('CCUS Projects Database'!$X648,"Link 7"),"")</f>
        <v/>
      </c>
    </row>
    <row r="649" ht="14.25" customHeight="1">
      <c r="A649" s="233" t="s">
        <v>21117</v>
      </c>
      <c r="B649" s="234">
        <v>865.0</v>
      </c>
      <c r="C649" s="234" t="s">
        <v>18586</v>
      </c>
      <c r="D649" s="235" t="s">
        <v>20260</v>
      </c>
      <c r="E649" s="234" t="s">
        <v>3</v>
      </c>
      <c r="F649" s="234">
        <v>2022.0</v>
      </c>
      <c r="G649" s="234" t="s">
        <v>18725</v>
      </c>
      <c r="H649" s="234">
        <v>2026.0</v>
      </c>
      <c r="I649" s="234" t="s">
        <v>18725</v>
      </c>
      <c r="J649" s="234" t="s">
        <v>18192</v>
      </c>
      <c r="K649" s="236" t="s">
        <v>18725</v>
      </c>
      <c r="L649" s="236" t="s">
        <v>20261</v>
      </c>
      <c r="M649" s="236">
        <v>20.0</v>
      </c>
      <c r="N649" s="234" t="s">
        <v>3</v>
      </c>
      <c r="O649" s="237" t="s">
        <v>18675</v>
      </c>
      <c r="P649" s="238" t="s">
        <v>18725</v>
      </c>
      <c r="Q649" s="234" t="s">
        <v>18732</v>
      </c>
      <c r="R649" s="238" t="s">
        <v>21118</v>
      </c>
      <c r="S649" s="238" t="s">
        <v>21119</v>
      </c>
      <c r="T649" s="238" t="s">
        <v>21120</v>
      </c>
      <c r="U649" s="238" t="s">
        <v>18725</v>
      </c>
      <c r="V649" s="238" t="s">
        <v>18725</v>
      </c>
      <c r="W649" s="238" t="s">
        <v>18725</v>
      </c>
      <c r="X649" s="238" t="s">
        <v>18725</v>
      </c>
      <c r="Y649" s="239" t="str">
        <f>IF('CCUS Projects Database'!$R649&lt;&gt;"",HYPERLINK('CCUS Projects Database'!$R649,"Link 1"),"")</f>
        <v>Link 1</v>
      </c>
      <c r="Z649" s="239" t="str">
        <f>IF('CCUS Projects Database'!$S649&lt;&gt;"",HYPERLINK('CCUS Projects Database'!$S649,"Link 2"),"")</f>
        <v>Link 2</v>
      </c>
      <c r="AA649" s="239" t="str">
        <f>IF('CCUS Projects Database'!$T649&lt;&gt;"",HYPERLINK('CCUS Projects Database'!$T649,"Link 3"),"")</f>
        <v>Link 3</v>
      </c>
      <c r="AB649" s="239" t="str">
        <f>IF('CCUS Projects Database'!$U649&lt;&gt;"",HYPERLINK('CCUS Projects Database'!$U649,"Link 4"),"")</f>
        <v/>
      </c>
      <c r="AC649" s="239" t="str">
        <f>IF('CCUS Projects Database'!$V649&lt;&gt;"",HYPERLINK('CCUS Projects Database'!$V649,"Link 5"),"")</f>
        <v/>
      </c>
      <c r="AD649" s="239" t="str">
        <f>IF('CCUS Projects Database'!$W649&lt;&gt;"",HYPERLINK('CCUS Projects Database'!$W649,"Link 6"),"")</f>
        <v/>
      </c>
      <c r="AE649" s="239" t="str">
        <f>IF('CCUS Projects Database'!$X649&lt;&gt;"",HYPERLINK('CCUS Projects Database'!$X649,"Link 7"),"")</f>
        <v/>
      </c>
    </row>
    <row r="650" ht="14.25" customHeight="1">
      <c r="A650" s="233" t="s">
        <v>21121</v>
      </c>
      <c r="B650" s="234">
        <v>866.0</v>
      </c>
      <c r="C650" s="234" t="s">
        <v>18586</v>
      </c>
      <c r="D650" s="235" t="s">
        <v>20260</v>
      </c>
      <c r="E650" s="234" t="s">
        <v>3</v>
      </c>
      <c r="F650" s="234">
        <v>2022.0</v>
      </c>
      <c r="G650" s="234" t="s">
        <v>18725</v>
      </c>
      <c r="H650" s="234">
        <v>2026.0</v>
      </c>
      <c r="I650" s="234" t="s">
        <v>18725</v>
      </c>
      <c r="J650" s="234" t="s">
        <v>18636</v>
      </c>
      <c r="K650" s="236" t="s">
        <v>18725</v>
      </c>
      <c r="L650" s="236" t="s">
        <v>20303</v>
      </c>
      <c r="M650" s="236">
        <v>10.0</v>
      </c>
      <c r="N650" s="234" t="s">
        <v>3</v>
      </c>
      <c r="O650" s="237" t="s">
        <v>18675</v>
      </c>
      <c r="P650" s="238" t="s">
        <v>21122</v>
      </c>
      <c r="Q650" s="234" t="s">
        <v>18732</v>
      </c>
      <c r="R650" s="238" t="s">
        <v>21123</v>
      </c>
      <c r="S650" s="238" t="s">
        <v>21124</v>
      </c>
      <c r="T650" s="238" t="s">
        <v>21120</v>
      </c>
      <c r="U650" s="238" t="s">
        <v>18725</v>
      </c>
      <c r="V650" s="238" t="s">
        <v>18725</v>
      </c>
      <c r="W650" s="238" t="s">
        <v>18725</v>
      </c>
      <c r="X650" s="238" t="s">
        <v>18725</v>
      </c>
      <c r="Y650" s="239" t="str">
        <f>IF('CCUS Projects Database'!$R650&lt;&gt;"",HYPERLINK('CCUS Projects Database'!$R650,"Link 1"),"")</f>
        <v>Link 1</v>
      </c>
      <c r="Z650" s="239" t="str">
        <f>IF('CCUS Projects Database'!$S650&lt;&gt;"",HYPERLINK('CCUS Projects Database'!$S650,"Link 2"),"")</f>
        <v>Link 2</v>
      </c>
      <c r="AA650" s="239" t="str">
        <f>IF('CCUS Projects Database'!$T650&lt;&gt;"",HYPERLINK('CCUS Projects Database'!$T650,"Link 3"),"")</f>
        <v>Link 3</v>
      </c>
      <c r="AB650" s="239" t="str">
        <f>IF('CCUS Projects Database'!$U650&lt;&gt;"",HYPERLINK('CCUS Projects Database'!$U650,"Link 4"),"")</f>
        <v/>
      </c>
      <c r="AC650" s="239" t="str">
        <f>IF('CCUS Projects Database'!$V650&lt;&gt;"",HYPERLINK('CCUS Projects Database'!$V650,"Link 5"),"")</f>
        <v/>
      </c>
      <c r="AD650" s="239" t="str">
        <f>IF('CCUS Projects Database'!$W650&lt;&gt;"",HYPERLINK('CCUS Projects Database'!$W650,"Link 6"),"")</f>
        <v/>
      </c>
      <c r="AE650" s="239" t="str">
        <f>IF('CCUS Projects Database'!$X650&lt;&gt;"",HYPERLINK('CCUS Projects Database'!$X650,"Link 7"),"")</f>
        <v/>
      </c>
    </row>
    <row r="651" ht="14.25" customHeight="1">
      <c r="A651" s="233" t="s">
        <v>21125</v>
      </c>
      <c r="B651" s="234">
        <v>867.0</v>
      </c>
      <c r="C651" s="234" t="s">
        <v>18586</v>
      </c>
      <c r="D651" s="235" t="s">
        <v>21126</v>
      </c>
      <c r="E651" s="234" t="s">
        <v>3</v>
      </c>
      <c r="F651" s="234">
        <v>2021.0</v>
      </c>
      <c r="G651" s="234" t="s">
        <v>18725</v>
      </c>
      <c r="H651" s="234" t="s">
        <v>18725</v>
      </c>
      <c r="I651" s="234" t="s">
        <v>18725</v>
      </c>
      <c r="J651" s="234" t="s">
        <v>18636</v>
      </c>
      <c r="K651" s="236" t="s">
        <v>18725</v>
      </c>
      <c r="L651" s="236" t="s">
        <v>18725</v>
      </c>
      <c r="M651" s="236" t="s">
        <v>18725</v>
      </c>
      <c r="N651" s="234" t="s">
        <v>3</v>
      </c>
      <c r="O651" s="237" t="s">
        <v>18675</v>
      </c>
      <c r="P651" s="238" t="s">
        <v>18725</v>
      </c>
      <c r="Q651" s="234" t="s">
        <v>18732</v>
      </c>
      <c r="R651" s="238" t="s">
        <v>21127</v>
      </c>
      <c r="S651" s="238" t="s">
        <v>18725</v>
      </c>
      <c r="T651" s="238" t="s">
        <v>18725</v>
      </c>
      <c r="U651" s="238" t="s">
        <v>18725</v>
      </c>
      <c r="V651" s="238" t="s">
        <v>18725</v>
      </c>
      <c r="W651" s="238" t="s">
        <v>18725</v>
      </c>
      <c r="X651" s="238" t="s">
        <v>18725</v>
      </c>
      <c r="Y651" s="239" t="str">
        <f>IF('CCUS Projects Database'!$R651&lt;&gt;"",HYPERLINK('CCUS Projects Database'!$R651,"Link 1"),"")</f>
        <v>Link 1</v>
      </c>
      <c r="Z651" s="239" t="str">
        <f>IF('CCUS Projects Database'!$S651&lt;&gt;"",HYPERLINK('CCUS Projects Database'!$S651,"Link 2"),"")</f>
        <v/>
      </c>
      <c r="AA651" s="239" t="str">
        <f>IF('CCUS Projects Database'!$T651&lt;&gt;"",HYPERLINK('CCUS Projects Database'!$T651,"Link 3"),"")</f>
        <v/>
      </c>
      <c r="AB651" s="239" t="str">
        <f>IF('CCUS Projects Database'!$U651&lt;&gt;"",HYPERLINK('CCUS Projects Database'!$U651,"Link 4"),"")</f>
        <v/>
      </c>
      <c r="AC651" s="239" t="str">
        <f>IF('CCUS Projects Database'!$V651&lt;&gt;"",HYPERLINK('CCUS Projects Database'!$V651,"Link 5"),"")</f>
        <v/>
      </c>
      <c r="AD651" s="239" t="str">
        <f>IF('CCUS Projects Database'!$W651&lt;&gt;"",HYPERLINK('CCUS Projects Database'!$W651,"Link 6"),"")</f>
        <v/>
      </c>
      <c r="AE651" s="239" t="str">
        <f>IF('CCUS Projects Database'!$X651&lt;&gt;"",HYPERLINK('CCUS Projects Database'!$X651,"Link 7"),"")</f>
        <v/>
      </c>
    </row>
    <row r="652" ht="14.25" customHeight="1">
      <c r="A652" s="233" t="s">
        <v>21128</v>
      </c>
      <c r="B652" s="234">
        <v>868.0</v>
      </c>
      <c r="C652" s="234" t="s">
        <v>18586</v>
      </c>
      <c r="D652" s="235" t="s">
        <v>21129</v>
      </c>
      <c r="E652" s="234" t="s">
        <v>3</v>
      </c>
      <c r="F652" s="234">
        <v>2023.0</v>
      </c>
      <c r="G652" s="234" t="s">
        <v>18725</v>
      </c>
      <c r="H652" s="234" t="s">
        <v>18725</v>
      </c>
      <c r="I652" s="234" t="s">
        <v>18725</v>
      </c>
      <c r="J652" s="234" t="s">
        <v>18636</v>
      </c>
      <c r="K652" s="236" t="s">
        <v>18725</v>
      </c>
      <c r="L652" s="236" t="s">
        <v>18725</v>
      </c>
      <c r="M652" s="236" t="s">
        <v>18725</v>
      </c>
      <c r="N652" s="234" t="s">
        <v>3</v>
      </c>
      <c r="O652" s="237" t="s">
        <v>18683</v>
      </c>
      <c r="P652" s="238" t="s">
        <v>18725</v>
      </c>
      <c r="Q652" s="234" t="s">
        <v>18732</v>
      </c>
      <c r="R652" s="238" t="s">
        <v>21130</v>
      </c>
      <c r="S652" s="238" t="s">
        <v>18725</v>
      </c>
      <c r="T652" s="238" t="s">
        <v>18725</v>
      </c>
      <c r="U652" s="238" t="s">
        <v>18725</v>
      </c>
      <c r="V652" s="238" t="s">
        <v>18725</v>
      </c>
      <c r="W652" s="238" t="s">
        <v>18725</v>
      </c>
      <c r="X652" s="238" t="s">
        <v>18725</v>
      </c>
      <c r="Y652" s="239" t="str">
        <f>IF('CCUS Projects Database'!$R652&lt;&gt;"",HYPERLINK('CCUS Projects Database'!$R652,"Link 1"),"")</f>
        <v>Link 1</v>
      </c>
      <c r="Z652" s="239" t="str">
        <f>IF('CCUS Projects Database'!$S652&lt;&gt;"",HYPERLINK('CCUS Projects Database'!$S652,"Link 2"),"")</f>
        <v/>
      </c>
      <c r="AA652" s="239" t="str">
        <f>IF('CCUS Projects Database'!$T652&lt;&gt;"",HYPERLINK('CCUS Projects Database'!$T652,"Link 3"),"")</f>
        <v/>
      </c>
      <c r="AB652" s="239" t="str">
        <f>IF('CCUS Projects Database'!$U652&lt;&gt;"",HYPERLINK('CCUS Projects Database'!$U652,"Link 4"),"")</f>
        <v/>
      </c>
      <c r="AC652" s="239" t="str">
        <f>IF('CCUS Projects Database'!$V652&lt;&gt;"",HYPERLINK('CCUS Projects Database'!$V652,"Link 5"),"")</f>
        <v/>
      </c>
      <c r="AD652" s="239" t="str">
        <f>IF('CCUS Projects Database'!$W652&lt;&gt;"",HYPERLINK('CCUS Projects Database'!$W652,"Link 6"),"")</f>
        <v/>
      </c>
      <c r="AE652" s="239" t="str">
        <f>IF('CCUS Projects Database'!$X652&lt;&gt;"",HYPERLINK('CCUS Projects Database'!$X652,"Link 7"),"")</f>
        <v/>
      </c>
    </row>
    <row r="653" ht="14.25" customHeight="1">
      <c r="A653" s="233" t="s">
        <v>21131</v>
      </c>
      <c r="B653" s="234">
        <v>869.0</v>
      </c>
      <c r="C653" s="234" t="s">
        <v>18586</v>
      </c>
      <c r="D653" s="235" t="s">
        <v>18772</v>
      </c>
      <c r="E653" s="234" t="s">
        <v>3</v>
      </c>
      <c r="F653" s="234">
        <v>2023.0</v>
      </c>
      <c r="G653" s="234" t="s">
        <v>18725</v>
      </c>
      <c r="H653" s="234">
        <v>2028.0</v>
      </c>
      <c r="I653" s="234" t="s">
        <v>18725</v>
      </c>
      <c r="J653" s="234" t="s">
        <v>18636</v>
      </c>
      <c r="K653" s="236" t="s">
        <v>18725</v>
      </c>
      <c r="L653" s="236">
        <v>3.3</v>
      </c>
      <c r="M653" s="236">
        <v>3.3</v>
      </c>
      <c r="N653" s="234" t="s">
        <v>3</v>
      </c>
      <c r="O653" s="237" t="s">
        <v>18683</v>
      </c>
      <c r="P653" s="238" t="s">
        <v>21132</v>
      </c>
      <c r="Q653" s="234" t="s">
        <v>18732</v>
      </c>
      <c r="R653" s="238" t="s">
        <v>21130</v>
      </c>
      <c r="S653" s="238" t="s">
        <v>18725</v>
      </c>
      <c r="T653" s="238" t="s">
        <v>18725</v>
      </c>
      <c r="U653" s="238" t="s">
        <v>18725</v>
      </c>
      <c r="V653" s="238" t="s">
        <v>18725</v>
      </c>
      <c r="W653" s="238" t="s">
        <v>18725</v>
      </c>
      <c r="X653" s="238" t="s">
        <v>18725</v>
      </c>
      <c r="Y653" s="239" t="str">
        <f>IF('CCUS Projects Database'!$R653&lt;&gt;"",HYPERLINK('CCUS Projects Database'!$R653,"Link 1"),"")</f>
        <v>Link 1</v>
      </c>
      <c r="Z653" s="239" t="str">
        <f>IF('CCUS Projects Database'!$S653&lt;&gt;"",HYPERLINK('CCUS Projects Database'!$S653,"Link 2"),"")</f>
        <v/>
      </c>
      <c r="AA653" s="239" t="str">
        <f>IF('CCUS Projects Database'!$T653&lt;&gt;"",HYPERLINK('CCUS Projects Database'!$T653,"Link 3"),"")</f>
        <v/>
      </c>
      <c r="AB653" s="239" t="str">
        <f>IF('CCUS Projects Database'!$U653&lt;&gt;"",HYPERLINK('CCUS Projects Database'!$U653,"Link 4"),"")</f>
        <v/>
      </c>
      <c r="AC653" s="239" t="str">
        <f>IF('CCUS Projects Database'!$V653&lt;&gt;"",HYPERLINK('CCUS Projects Database'!$V653,"Link 5"),"")</f>
        <v/>
      </c>
      <c r="AD653" s="239" t="str">
        <f>IF('CCUS Projects Database'!$W653&lt;&gt;"",HYPERLINK('CCUS Projects Database'!$W653,"Link 6"),"")</f>
        <v/>
      </c>
      <c r="AE653" s="239" t="str">
        <f>IF('CCUS Projects Database'!$X653&lt;&gt;"",HYPERLINK('CCUS Projects Database'!$X653,"Link 7"),"")</f>
        <v/>
      </c>
    </row>
    <row r="654" ht="14.25" customHeight="1">
      <c r="A654" s="233" t="s">
        <v>21133</v>
      </c>
      <c r="B654" s="234">
        <v>870.0</v>
      </c>
      <c r="C654" s="234" t="s">
        <v>18586</v>
      </c>
      <c r="D654" s="235" t="s">
        <v>21134</v>
      </c>
      <c r="E654" s="234" t="s">
        <v>3</v>
      </c>
      <c r="F654" s="234">
        <v>2022.0</v>
      </c>
      <c r="G654" s="234" t="s">
        <v>18725</v>
      </c>
      <c r="H654" s="234" t="s">
        <v>18725</v>
      </c>
      <c r="I654" s="234" t="s">
        <v>18725</v>
      </c>
      <c r="J654" s="234" t="s">
        <v>18636</v>
      </c>
      <c r="K654" s="236" t="s">
        <v>18725</v>
      </c>
      <c r="L654" s="236" t="s">
        <v>18725</v>
      </c>
      <c r="M654" s="236" t="s">
        <v>18725</v>
      </c>
      <c r="N654" s="234" t="s">
        <v>3</v>
      </c>
      <c r="O654" s="237" t="s">
        <v>18683</v>
      </c>
      <c r="P654" s="238" t="s">
        <v>18725</v>
      </c>
      <c r="Q654" s="234" t="s">
        <v>18732</v>
      </c>
      <c r="R654" s="238" t="s">
        <v>21130</v>
      </c>
      <c r="S654" s="238" t="s">
        <v>18725</v>
      </c>
      <c r="T654" s="238" t="s">
        <v>18725</v>
      </c>
      <c r="U654" s="238" t="s">
        <v>18725</v>
      </c>
      <c r="V654" s="238" t="s">
        <v>18725</v>
      </c>
      <c r="W654" s="238" t="s">
        <v>18725</v>
      </c>
      <c r="X654" s="238" t="s">
        <v>18725</v>
      </c>
      <c r="Y654" s="239" t="str">
        <f>IF('CCUS Projects Database'!$R654&lt;&gt;"",HYPERLINK('CCUS Projects Database'!$R654,"Link 1"),"")</f>
        <v>Link 1</v>
      </c>
      <c r="Z654" s="239" t="str">
        <f>IF('CCUS Projects Database'!$S654&lt;&gt;"",HYPERLINK('CCUS Projects Database'!$S654,"Link 2"),"")</f>
        <v/>
      </c>
      <c r="AA654" s="239" t="str">
        <f>IF('CCUS Projects Database'!$T654&lt;&gt;"",HYPERLINK('CCUS Projects Database'!$T654,"Link 3"),"")</f>
        <v/>
      </c>
      <c r="AB654" s="239" t="str">
        <f>IF('CCUS Projects Database'!$U654&lt;&gt;"",HYPERLINK('CCUS Projects Database'!$U654,"Link 4"),"")</f>
        <v/>
      </c>
      <c r="AC654" s="239" t="str">
        <f>IF('CCUS Projects Database'!$V654&lt;&gt;"",HYPERLINK('CCUS Projects Database'!$V654,"Link 5"),"")</f>
        <v/>
      </c>
      <c r="AD654" s="239" t="str">
        <f>IF('CCUS Projects Database'!$W654&lt;&gt;"",HYPERLINK('CCUS Projects Database'!$W654,"Link 6"),"")</f>
        <v/>
      </c>
      <c r="AE654" s="239" t="str">
        <f>IF('CCUS Projects Database'!$X654&lt;&gt;"",HYPERLINK('CCUS Projects Database'!$X654,"Link 7"),"")</f>
        <v/>
      </c>
    </row>
    <row r="655" ht="14.25" customHeight="1">
      <c r="A655" s="233" t="s">
        <v>21135</v>
      </c>
      <c r="B655" s="234">
        <v>871.0</v>
      </c>
      <c r="C655" s="234" t="s">
        <v>18586</v>
      </c>
      <c r="D655" s="235" t="s">
        <v>21136</v>
      </c>
      <c r="E655" s="234" t="s">
        <v>3</v>
      </c>
      <c r="F655" s="234">
        <v>2023.0</v>
      </c>
      <c r="G655" s="234" t="s">
        <v>18725</v>
      </c>
      <c r="H655" s="234" t="s">
        <v>18725</v>
      </c>
      <c r="I655" s="234" t="s">
        <v>18725</v>
      </c>
      <c r="J655" s="234" t="s">
        <v>18192</v>
      </c>
      <c r="K655" s="236" t="s">
        <v>18725</v>
      </c>
      <c r="L655" s="236" t="s">
        <v>18725</v>
      </c>
      <c r="M655" s="236" t="s">
        <v>18725</v>
      </c>
      <c r="N655" s="234" t="s">
        <v>3</v>
      </c>
      <c r="O655" s="237" t="s">
        <v>18683</v>
      </c>
      <c r="P655" s="238" t="s">
        <v>18725</v>
      </c>
      <c r="Q655" s="234" t="s">
        <v>18732</v>
      </c>
      <c r="R655" s="238" t="s">
        <v>21130</v>
      </c>
      <c r="S655" s="238" t="s">
        <v>18725</v>
      </c>
      <c r="T655" s="238" t="s">
        <v>18725</v>
      </c>
      <c r="U655" s="238" t="s">
        <v>18725</v>
      </c>
      <c r="V655" s="238" t="s">
        <v>18725</v>
      </c>
      <c r="W655" s="238" t="s">
        <v>18725</v>
      </c>
      <c r="X655" s="238" t="s">
        <v>18725</v>
      </c>
      <c r="Y655" s="239" t="str">
        <f>IF('CCUS Projects Database'!$R655&lt;&gt;"",HYPERLINK('CCUS Projects Database'!$R655,"Link 1"),"")</f>
        <v>Link 1</v>
      </c>
      <c r="Z655" s="239" t="str">
        <f>IF('CCUS Projects Database'!$S655&lt;&gt;"",HYPERLINK('CCUS Projects Database'!$S655,"Link 2"),"")</f>
        <v/>
      </c>
      <c r="AA655" s="239" t="str">
        <f>IF('CCUS Projects Database'!$T655&lt;&gt;"",HYPERLINK('CCUS Projects Database'!$T655,"Link 3"),"")</f>
        <v/>
      </c>
      <c r="AB655" s="239" t="str">
        <f>IF('CCUS Projects Database'!$U655&lt;&gt;"",HYPERLINK('CCUS Projects Database'!$U655,"Link 4"),"")</f>
        <v/>
      </c>
      <c r="AC655" s="239" t="str">
        <f>IF('CCUS Projects Database'!$V655&lt;&gt;"",HYPERLINK('CCUS Projects Database'!$V655,"Link 5"),"")</f>
        <v/>
      </c>
      <c r="AD655" s="239" t="str">
        <f>IF('CCUS Projects Database'!$W655&lt;&gt;"",HYPERLINK('CCUS Projects Database'!$W655,"Link 6"),"")</f>
        <v/>
      </c>
      <c r="AE655" s="239" t="str">
        <f>IF('CCUS Projects Database'!$X655&lt;&gt;"",HYPERLINK('CCUS Projects Database'!$X655,"Link 7"),"")</f>
        <v/>
      </c>
    </row>
    <row r="656" ht="14.25" customHeight="1">
      <c r="A656" s="233" t="s">
        <v>21137</v>
      </c>
      <c r="B656" s="234">
        <v>872.0</v>
      </c>
      <c r="C656" s="234" t="s">
        <v>18586</v>
      </c>
      <c r="D656" s="235" t="s">
        <v>21136</v>
      </c>
      <c r="E656" s="234" t="s">
        <v>3</v>
      </c>
      <c r="F656" s="234">
        <v>2023.0</v>
      </c>
      <c r="G656" s="234" t="s">
        <v>18725</v>
      </c>
      <c r="H656" s="234" t="s">
        <v>18725</v>
      </c>
      <c r="I656" s="234" t="s">
        <v>18725</v>
      </c>
      <c r="J656" s="234" t="s">
        <v>18192</v>
      </c>
      <c r="K656" s="236" t="s">
        <v>18725</v>
      </c>
      <c r="L656" s="236" t="s">
        <v>18725</v>
      </c>
      <c r="M656" s="236" t="s">
        <v>18725</v>
      </c>
      <c r="N656" s="234" t="s">
        <v>3</v>
      </c>
      <c r="O656" s="237" t="s">
        <v>18683</v>
      </c>
      <c r="P656" s="238" t="s">
        <v>18725</v>
      </c>
      <c r="Q656" s="234" t="s">
        <v>18732</v>
      </c>
      <c r="R656" s="238" t="s">
        <v>21130</v>
      </c>
      <c r="S656" s="238" t="s">
        <v>18725</v>
      </c>
      <c r="T656" s="238" t="s">
        <v>18725</v>
      </c>
      <c r="U656" s="238" t="s">
        <v>18725</v>
      </c>
      <c r="V656" s="238" t="s">
        <v>18725</v>
      </c>
      <c r="W656" s="238" t="s">
        <v>18725</v>
      </c>
      <c r="X656" s="238" t="s">
        <v>18725</v>
      </c>
      <c r="Y656" s="239" t="str">
        <f>IF('CCUS Projects Database'!$R656&lt;&gt;"",HYPERLINK('CCUS Projects Database'!$R656,"Link 1"),"")</f>
        <v>Link 1</v>
      </c>
      <c r="Z656" s="239" t="str">
        <f>IF('CCUS Projects Database'!$S656&lt;&gt;"",HYPERLINK('CCUS Projects Database'!$S656,"Link 2"),"")</f>
        <v/>
      </c>
      <c r="AA656" s="239" t="str">
        <f>IF('CCUS Projects Database'!$T656&lt;&gt;"",HYPERLINK('CCUS Projects Database'!$T656,"Link 3"),"")</f>
        <v/>
      </c>
      <c r="AB656" s="239" t="str">
        <f>IF('CCUS Projects Database'!$U656&lt;&gt;"",HYPERLINK('CCUS Projects Database'!$U656,"Link 4"),"")</f>
        <v/>
      </c>
      <c r="AC656" s="239" t="str">
        <f>IF('CCUS Projects Database'!$V656&lt;&gt;"",HYPERLINK('CCUS Projects Database'!$V656,"Link 5"),"")</f>
        <v/>
      </c>
      <c r="AD656" s="239" t="str">
        <f>IF('CCUS Projects Database'!$W656&lt;&gt;"",HYPERLINK('CCUS Projects Database'!$W656,"Link 6"),"")</f>
        <v/>
      </c>
      <c r="AE656" s="239" t="str">
        <f>IF('CCUS Projects Database'!$X656&lt;&gt;"",HYPERLINK('CCUS Projects Database'!$X656,"Link 7"),"")</f>
        <v/>
      </c>
    </row>
    <row r="657" ht="14.25" customHeight="1">
      <c r="A657" s="233" t="s">
        <v>21138</v>
      </c>
      <c r="B657" s="234">
        <v>873.0</v>
      </c>
      <c r="C657" s="234" t="s">
        <v>18586</v>
      </c>
      <c r="D657" s="235" t="s">
        <v>20516</v>
      </c>
      <c r="E657" s="234" t="s">
        <v>3</v>
      </c>
      <c r="F657" s="234">
        <v>2022.0</v>
      </c>
      <c r="G657" s="234" t="s">
        <v>18725</v>
      </c>
      <c r="H657" s="234" t="s">
        <v>18725</v>
      </c>
      <c r="I657" s="234" t="s">
        <v>18725</v>
      </c>
      <c r="J657" s="234" t="s">
        <v>18636</v>
      </c>
      <c r="K657" s="236" t="s">
        <v>18725</v>
      </c>
      <c r="L657" s="236" t="s">
        <v>18725</v>
      </c>
      <c r="M657" s="236" t="s">
        <v>18725</v>
      </c>
      <c r="N657" s="234" t="s">
        <v>3</v>
      </c>
      <c r="O657" s="237" t="s">
        <v>18683</v>
      </c>
      <c r="P657" s="238" t="s">
        <v>20517</v>
      </c>
      <c r="Q657" s="234" t="s">
        <v>18732</v>
      </c>
      <c r="R657" s="238" t="s">
        <v>21130</v>
      </c>
      <c r="S657" s="238" t="s">
        <v>18725</v>
      </c>
      <c r="T657" s="238" t="s">
        <v>18725</v>
      </c>
      <c r="U657" s="238" t="s">
        <v>18725</v>
      </c>
      <c r="V657" s="238" t="s">
        <v>18725</v>
      </c>
      <c r="W657" s="238" t="s">
        <v>18725</v>
      </c>
      <c r="X657" s="238" t="s">
        <v>18725</v>
      </c>
      <c r="Y657" s="239" t="str">
        <f>IF('CCUS Projects Database'!$R657&lt;&gt;"",HYPERLINK('CCUS Projects Database'!$R657,"Link 1"),"")</f>
        <v>Link 1</v>
      </c>
      <c r="Z657" s="239" t="str">
        <f>IF('CCUS Projects Database'!$S657&lt;&gt;"",HYPERLINK('CCUS Projects Database'!$S657,"Link 2"),"")</f>
        <v/>
      </c>
      <c r="AA657" s="239" t="str">
        <f>IF('CCUS Projects Database'!$T657&lt;&gt;"",HYPERLINK('CCUS Projects Database'!$T657,"Link 3"),"")</f>
        <v/>
      </c>
      <c r="AB657" s="239" t="str">
        <f>IF('CCUS Projects Database'!$U657&lt;&gt;"",HYPERLINK('CCUS Projects Database'!$U657,"Link 4"),"")</f>
        <v/>
      </c>
      <c r="AC657" s="239" t="str">
        <f>IF('CCUS Projects Database'!$V657&lt;&gt;"",HYPERLINK('CCUS Projects Database'!$V657,"Link 5"),"")</f>
        <v/>
      </c>
      <c r="AD657" s="239" t="str">
        <f>IF('CCUS Projects Database'!$W657&lt;&gt;"",HYPERLINK('CCUS Projects Database'!$W657,"Link 6"),"")</f>
        <v/>
      </c>
      <c r="AE657" s="239" t="str">
        <f>IF('CCUS Projects Database'!$X657&lt;&gt;"",HYPERLINK('CCUS Projects Database'!$X657,"Link 7"),"")</f>
        <v/>
      </c>
    </row>
    <row r="658" ht="14.25" customHeight="1">
      <c r="A658" s="233" t="s">
        <v>21139</v>
      </c>
      <c r="B658" s="234">
        <v>874.0</v>
      </c>
      <c r="C658" s="234" t="s">
        <v>18586</v>
      </c>
      <c r="D658" s="235" t="s">
        <v>20516</v>
      </c>
      <c r="E658" s="234" t="s">
        <v>3</v>
      </c>
      <c r="F658" s="234">
        <v>2022.0</v>
      </c>
      <c r="G658" s="234" t="s">
        <v>18725</v>
      </c>
      <c r="H658" s="234" t="s">
        <v>18725</v>
      </c>
      <c r="I658" s="234" t="s">
        <v>18725</v>
      </c>
      <c r="J658" s="234" t="s">
        <v>18636</v>
      </c>
      <c r="K658" s="236" t="s">
        <v>18725</v>
      </c>
      <c r="L658" s="236" t="s">
        <v>18725</v>
      </c>
      <c r="M658" s="236" t="s">
        <v>18725</v>
      </c>
      <c r="N658" s="234" t="s">
        <v>3</v>
      </c>
      <c r="O658" s="237" t="s">
        <v>18683</v>
      </c>
      <c r="P658" s="238" t="s">
        <v>20517</v>
      </c>
      <c r="Q658" s="234" t="s">
        <v>18732</v>
      </c>
      <c r="R658" s="238" t="s">
        <v>21130</v>
      </c>
      <c r="S658" s="238" t="s">
        <v>18725</v>
      </c>
      <c r="T658" s="238" t="s">
        <v>18725</v>
      </c>
      <c r="U658" s="238" t="s">
        <v>18725</v>
      </c>
      <c r="V658" s="238" t="s">
        <v>18725</v>
      </c>
      <c r="W658" s="238" t="s">
        <v>18725</v>
      </c>
      <c r="X658" s="238" t="s">
        <v>18725</v>
      </c>
      <c r="Y658" s="239" t="str">
        <f>IF('CCUS Projects Database'!$R658&lt;&gt;"",HYPERLINK('CCUS Projects Database'!$R658,"Link 1"),"")</f>
        <v>Link 1</v>
      </c>
      <c r="Z658" s="239" t="str">
        <f>IF('CCUS Projects Database'!$S658&lt;&gt;"",HYPERLINK('CCUS Projects Database'!$S658,"Link 2"),"")</f>
        <v/>
      </c>
      <c r="AA658" s="239" t="str">
        <f>IF('CCUS Projects Database'!$T658&lt;&gt;"",HYPERLINK('CCUS Projects Database'!$T658,"Link 3"),"")</f>
        <v/>
      </c>
      <c r="AB658" s="239" t="str">
        <f>IF('CCUS Projects Database'!$U658&lt;&gt;"",HYPERLINK('CCUS Projects Database'!$U658,"Link 4"),"")</f>
        <v/>
      </c>
      <c r="AC658" s="239" t="str">
        <f>IF('CCUS Projects Database'!$V658&lt;&gt;"",HYPERLINK('CCUS Projects Database'!$V658,"Link 5"),"")</f>
        <v/>
      </c>
      <c r="AD658" s="239" t="str">
        <f>IF('CCUS Projects Database'!$W658&lt;&gt;"",HYPERLINK('CCUS Projects Database'!$W658,"Link 6"),"")</f>
        <v/>
      </c>
      <c r="AE658" s="239" t="str">
        <f>IF('CCUS Projects Database'!$X658&lt;&gt;"",HYPERLINK('CCUS Projects Database'!$X658,"Link 7"),"")</f>
        <v/>
      </c>
    </row>
    <row r="659" ht="14.25" customHeight="1">
      <c r="A659" s="233" t="s">
        <v>21140</v>
      </c>
      <c r="B659" s="234">
        <v>875.0</v>
      </c>
      <c r="C659" s="234" t="s">
        <v>18586</v>
      </c>
      <c r="D659" s="235" t="s">
        <v>21141</v>
      </c>
      <c r="E659" s="234" t="s">
        <v>3</v>
      </c>
      <c r="F659" s="234">
        <v>2022.0</v>
      </c>
      <c r="G659" s="234" t="s">
        <v>18725</v>
      </c>
      <c r="H659" s="234" t="s">
        <v>18725</v>
      </c>
      <c r="I659" s="234" t="s">
        <v>18725</v>
      </c>
      <c r="J659" s="234" t="s">
        <v>18636</v>
      </c>
      <c r="K659" s="236" t="s">
        <v>18725</v>
      </c>
      <c r="L659" s="236">
        <v>1.0</v>
      </c>
      <c r="M659" s="236">
        <v>1.0</v>
      </c>
      <c r="N659" s="234" t="s">
        <v>3</v>
      </c>
      <c r="O659" s="237" t="s">
        <v>18683</v>
      </c>
      <c r="P659" s="238" t="s">
        <v>18725</v>
      </c>
      <c r="Q659" s="234" t="s">
        <v>18732</v>
      </c>
      <c r="R659" s="238" t="s">
        <v>21142</v>
      </c>
      <c r="S659" s="238" t="s">
        <v>18725</v>
      </c>
      <c r="T659" s="238" t="s">
        <v>18725</v>
      </c>
      <c r="U659" s="238" t="s">
        <v>18725</v>
      </c>
      <c r="V659" s="238" t="s">
        <v>18725</v>
      </c>
      <c r="W659" s="238" t="s">
        <v>18725</v>
      </c>
      <c r="X659" s="238" t="s">
        <v>18725</v>
      </c>
      <c r="Y659" s="239" t="str">
        <f>IF('CCUS Projects Database'!$R659&lt;&gt;"",HYPERLINK('CCUS Projects Database'!$R659,"Link 1"),"")</f>
        <v>Link 1</v>
      </c>
      <c r="Z659" s="239" t="str">
        <f>IF('CCUS Projects Database'!$S659&lt;&gt;"",HYPERLINK('CCUS Projects Database'!$S659,"Link 2"),"")</f>
        <v/>
      </c>
      <c r="AA659" s="239" t="str">
        <f>IF('CCUS Projects Database'!$T659&lt;&gt;"",HYPERLINK('CCUS Projects Database'!$T659,"Link 3"),"")</f>
        <v/>
      </c>
      <c r="AB659" s="239" t="str">
        <f>IF('CCUS Projects Database'!$U659&lt;&gt;"",HYPERLINK('CCUS Projects Database'!$U659,"Link 4"),"")</f>
        <v/>
      </c>
      <c r="AC659" s="239" t="str">
        <f>IF('CCUS Projects Database'!$V659&lt;&gt;"",HYPERLINK('CCUS Projects Database'!$V659,"Link 5"),"")</f>
        <v/>
      </c>
      <c r="AD659" s="239" t="str">
        <f>IF('CCUS Projects Database'!$W659&lt;&gt;"",HYPERLINK('CCUS Projects Database'!$W659,"Link 6"),"")</f>
        <v/>
      </c>
      <c r="AE659" s="239" t="str">
        <f>IF('CCUS Projects Database'!$X659&lt;&gt;"",HYPERLINK('CCUS Projects Database'!$X659,"Link 7"),"")</f>
        <v/>
      </c>
    </row>
    <row r="660" ht="14.25" customHeight="1">
      <c r="A660" s="233" t="s">
        <v>21143</v>
      </c>
      <c r="B660" s="234">
        <v>876.0</v>
      </c>
      <c r="C660" s="234" t="s">
        <v>18586</v>
      </c>
      <c r="D660" s="235" t="s">
        <v>21144</v>
      </c>
      <c r="E660" s="234" t="s">
        <v>3</v>
      </c>
      <c r="F660" s="234">
        <v>2022.0</v>
      </c>
      <c r="G660" s="234" t="s">
        <v>18725</v>
      </c>
      <c r="H660" s="234" t="s">
        <v>18725</v>
      </c>
      <c r="I660" s="234" t="s">
        <v>18725</v>
      </c>
      <c r="J660" s="234" t="s">
        <v>18636</v>
      </c>
      <c r="K660" s="236" t="s">
        <v>18725</v>
      </c>
      <c r="L660" s="236">
        <v>1.5</v>
      </c>
      <c r="M660" s="236">
        <v>1.5</v>
      </c>
      <c r="N660" s="234" t="s">
        <v>3</v>
      </c>
      <c r="O660" s="237" t="s">
        <v>18683</v>
      </c>
      <c r="P660" s="238" t="s">
        <v>18725</v>
      </c>
      <c r="Q660" s="234" t="s">
        <v>18732</v>
      </c>
      <c r="R660" s="238" t="s">
        <v>21145</v>
      </c>
      <c r="S660" s="238" t="s">
        <v>18725</v>
      </c>
      <c r="T660" s="238" t="s">
        <v>18725</v>
      </c>
      <c r="U660" s="238" t="s">
        <v>18725</v>
      </c>
      <c r="V660" s="238" t="s">
        <v>18725</v>
      </c>
      <c r="W660" s="238" t="s">
        <v>18725</v>
      </c>
      <c r="X660" s="238" t="s">
        <v>18725</v>
      </c>
      <c r="Y660" s="239" t="str">
        <f>IF('CCUS Projects Database'!$R660&lt;&gt;"",HYPERLINK('CCUS Projects Database'!$R660,"Link 1"),"")</f>
        <v>Link 1</v>
      </c>
      <c r="Z660" s="239" t="str">
        <f>IF('CCUS Projects Database'!$S660&lt;&gt;"",HYPERLINK('CCUS Projects Database'!$S660,"Link 2"),"")</f>
        <v/>
      </c>
      <c r="AA660" s="239" t="str">
        <f>IF('CCUS Projects Database'!$T660&lt;&gt;"",HYPERLINK('CCUS Projects Database'!$T660,"Link 3"),"")</f>
        <v/>
      </c>
      <c r="AB660" s="239" t="str">
        <f>IF('CCUS Projects Database'!$U660&lt;&gt;"",HYPERLINK('CCUS Projects Database'!$U660,"Link 4"),"")</f>
        <v/>
      </c>
      <c r="AC660" s="239" t="str">
        <f>IF('CCUS Projects Database'!$V660&lt;&gt;"",HYPERLINK('CCUS Projects Database'!$V660,"Link 5"),"")</f>
        <v/>
      </c>
      <c r="AD660" s="239" t="str">
        <f>IF('CCUS Projects Database'!$W660&lt;&gt;"",HYPERLINK('CCUS Projects Database'!$W660,"Link 6"),"")</f>
        <v/>
      </c>
      <c r="AE660" s="239" t="str">
        <f>IF('CCUS Projects Database'!$X660&lt;&gt;"",HYPERLINK('CCUS Projects Database'!$X660,"Link 7"),"")</f>
        <v/>
      </c>
    </row>
    <row r="661" ht="14.25" customHeight="1">
      <c r="A661" s="233" t="s">
        <v>21146</v>
      </c>
      <c r="B661" s="234">
        <v>877.0</v>
      </c>
      <c r="C661" s="234" t="s">
        <v>18586</v>
      </c>
      <c r="D661" s="235" t="s">
        <v>21147</v>
      </c>
      <c r="E661" s="234" t="s">
        <v>3</v>
      </c>
      <c r="F661" s="234">
        <v>2022.0</v>
      </c>
      <c r="G661" s="234" t="s">
        <v>18725</v>
      </c>
      <c r="H661" s="234" t="s">
        <v>18725</v>
      </c>
      <c r="I661" s="234" t="s">
        <v>18725</v>
      </c>
      <c r="J661" s="234" t="s">
        <v>18636</v>
      </c>
      <c r="K661" s="236" t="s">
        <v>18725</v>
      </c>
      <c r="L661" s="236">
        <v>1.0</v>
      </c>
      <c r="M661" s="236">
        <v>1.0</v>
      </c>
      <c r="N661" s="234" t="s">
        <v>3</v>
      </c>
      <c r="O661" s="237" t="s">
        <v>18683</v>
      </c>
      <c r="P661" s="238" t="s">
        <v>18725</v>
      </c>
      <c r="Q661" s="234" t="s">
        <v>18732</v>
      </c>
      <c r="R661" s="238" t="s">
        <v>21148</v>
      </c>
      <c r="S661" s="238" t="s">
        <v>18725</v>
      </c>
      <c r="T661" s="238" t="s">
        <v>18725</v>
      </c>
      <c r="U661" s="238" t="s">
        <v>18725</v>
      </c>
      <c r="V661" s="238" t="s">
        <v>18725</v>
      </c>
      <c r="W661" s="238" t="s">
        <v>18725</v>
      </c>
      <c r="X661" s="238" t="s">
        <v>18725</v>
      </c>
      <c r="Y661" s="239" t="str">
        <f>IF('CCUS Projects Database'!$R661&lt;&gt;"",HYPERLINK('CCUS Projects Database'!$R661,"Link 1"),"")</f>
        <v>Link 1</v>
      </c>
      <c r="Z661" s="239" t="str">
        <f>IF('CCUS Projects Database'!$S661&lt;&gt;"",HYPERLINK('CCUS Projects Database'!$S661,"Link 2"),"")</f>
        <v/>
      </c>
      <c r="AA661" s="239" t="str">
        <f>IF('CCUS Projects Database'!$T661&lt;&gt;"",HYPERLINK('CCUS Projects Database'!$T661,"Link 3"),"")</f>
        <v/>
      </c>
      <c r="AB661" s="239" t="str">
        <f>IF('CCUS Projects Database'!$U661&lt;&gt;"",HYPERLINK('CCUS Projects Database'!$U661,"Link 4"),"")</f>
        <v/>
      </c>
      <c r="AC661" s="239" t="str">
        <f>IF('CCUS Projects Database'!$V661&lt;&gt;"",HYPERLINK('CCUS Projects Database'!$V661,"Link 5"),"")</f>
        <v/>
      </c>
      <c r="AD661" s="239" t="str">
        <f>IF('CCUS Projects Database'!$W661&lt;&gt;"",HYPERLINK('CCUS Projects Database'!$W661,"Link 6"),"")</f>
        <v/>
      </c>
      <c r="AE661" s="239" t="str">
        <f>IF('CCUS Projects Database'!$X661&lt;&gt;"",HYPERLINK('CCUS Projects Database'!$X661,"Link 7"),"")</f>
        <v/>
      </c>
    </row>
    <row r="662" ht="14.25" customHeight="1">
      <c r="A662" s="233" t="s">
        <v>21149</v>
      </c>
      <c r="B662" s="234">
        <v>878.0</v>
      </c>
      <c r="C662" s="234" t="s">
        <v>18586</v>
      </c>
      <c r="D662" s="235" t="s">
        <v>21150</v>
      </c>
      <c r="E662" s="234" t="s">
        <v>18623</v>
      </c>
      <c r="F662" s="234">
        <v>2023.0</v>
      </c>
      <c r="G662" s="234" t="s">
        <v>18725</v>
      </c>
      <c r="H662" s="234">
        <v>2026.0</v>
      </c>
      <c r="I662" s="234" t="s">
        <v>18725</v>
      </c>
      <c r="J662" s="234" t="s">
        <v>18636</v>
      </c>
      <c r="K662" s="236" t="s">
        <v>18725</v>
      </c>
      <c r="L662" s="236">
        <v>5.867</v>
      </c>
      <c r="M662" s="236">
        <v>5.867</v>
      </c>
      <c r="N662" s="234" t="s">
        <v>18623</v>
      </c>
      <c r="O662" s="237" t="s">
        <v>18675</v>
      </c>
      <c r="P662" s="238" t="s">
        <v>21151</v>
      </c>
      <c r="Q662" s="234" t="s">
        <v>18732</v>
      </c>
      <c r="R662" s="238" t="s">
        <v>21152</v>
      </c>
      <c r="S662" s="238" t="s">
        <v>21153</v>
      </c>
      <c r="T662" s="238" t="s">
        <v>21153</v>
      </c>
      <c r="U662" s="238" t="s">
        <v>18725</v>
      </c>
      <c r="V662" s="238" t="s">
        <v>18725</v>
      </c>
      <c r="W662" s="238" t="s">
        <v>18725</v>
      </c>
      <c r="X662" s="238" t="s">
        <v>18725</v>
      </c>
      <c r="Y662" s="239" t="str">
        <f>IF('CCUS Projects Database'!$R662&lt;&gt;"",HYPERLINK('CCUS Projects Database'!$R662,"Link 1"),"")</f>
        <v>Link 1</v>
      </c>
      <c r="Z662" s="239" t="str">
        <f>IF('CCUS Projects Database'!$S662&lt;&gt;"",HYPERLINK('CCUS Projects Database'!$S662,"Link 2"),"")</f>
        <v>Link 2</v>
      </c>
      <c r="AA662" s="239" t="str">
        <f>IF('CCUS Projects Database'!$T662&lt;&gt;"",HYPERLINK('CCUS Projects Database'!$T662,"Link 3"),"")</f>
        <v>Link 3</v>
      </c>
      <c r="AB662" s="239" t="str">
        <f>IF('CCUS Projects Database'!$U662&lt;&gt;"",HYPERLINK('CCUS Projects Database'!$U662,"Link 4"),"")</f>
        <v/>
      </c>
      <c r="AC662" s="239" t="str">
        <f>IF('CCUS Projects Database'!$V662&lt;&gt;"",HYPERLINK('CCUS Projects Database'!$V662,"Link 5"),"")</f>
        <v/>
      </c>
      <c r="AD662" s="239" t="str">
        <f>IF('CCUS Projects Database'!$W662&lt;&gt;"",HYPERLINK('CCUS Projects Database'!$W662,"Link 6"),"")</f>
        <v/>
      </c>
      <c r="AE662" s="239" t="str">
        <f>IF('CCUS Projects Database'!$X662&lt;&gt;"",HYPERLINK('CCUS Projects Database'!$X662,"Link 7"),"")</f>
        <v/>
      </c>
    </row>
    <row r="663" ht="14.25" customHeight="1">
      <c r="A663" s="233" t="s">
        <v>21154</v>
      </c>
      <c r="B663" s="234">
        <v>879.0</v>
      </c>
      <c r="C663" s="234" t="s">
        <v>18586</v>
      </c>
      <c r="D663" s="235" t="s">
        <v>21155</v>
      </c>
      <c r="E663" s="234" t="s">
        <v>3</v>
      </c>
      <c r="F663" s="234">
        <v>2023.0</v>
      </c>
      <c r="G663" s="234" t="s">
        <v>18725</v>
      </c>
      <c r="H663" s="234" t="s">
        <v>18725</v>
      </c>
      <c r="I663" s="234" t="s">
        <v>18725</v>
      </c>
      <c r="J663" s="234" t="s">
        <v>18636</v>
      </c>
      <c r="K663" s="236" t="s">
        <v>18725</v>
      </c>
      <c r="L663" s="236">
        <v>3.5</v>
      </c>
      <c r="M663" s="236">
        <v>3.5</v>
      </c>
      <c r="N663" s="234" t="s">
        <v>3</v>
      </c>
      <c r="O663" s="237" t="s">
        <v>18675</v>
      </c>
      <c r="P663" s="238" t="s">
        <v>18725</v>
      </c>
      <c r="Q663" s="234" t="s">
        <v>18732</v>
      </c>
      <c r="R663" s="238" t="s">
        <v>21156</v>
      </c>
      <c r="S663" s="238" t="s">
        <v>18725</v>
      </c>
      <c r="T663" s="238" t="s">
        <v>18725</v>
      </c>
      <c r="U663" s="238" t="s">
        <v>18725</v>
      </c>
      <c r="V663" s="238" t="s">
        <v>18725</v>
      </c>
      <c r="W663" s="238" t="s">
        <v>18725</v>
      </c>
      <c r="X663" s="238" t="s">
        <v>18725</v>
      </c>
      <c r="Y663" s="239" t="str">
        <f>IF('CCUS Projects Database'!$R663&lt;&gt;"",HYPERLINK('CCUS Projects Database'!$R663,"Link 1"),"")</f>
        <v>Link 1</v>
      </c>
      <c r="Z663" s="239" t="str">
        <f>IF('CCUS Projects Database'!$S663&lt;&gt;"",HYPERLINK('CCUS Projects Database'!$S663,"Link 2"),"")</f>
        <v/>
      </c>
      <c r="AA663" s="239" t="str">
        <f>IF('CCUS Projects Database'!$T663&lt;&gt;"",HYPERLINK('CCUS Projects Database'!$T663,"Link 3"),"")</f>
        <v/>
      </c>
      <c r="AB663" s="239" t="str">
        <f>IF('CCUS Projects Database'!$U663&lt;&gt;"",HYPERLINK('CCUS Projects Database'!$U663,"Link 4"),"")</f>
        <v/>
      </c>
      <c r="AC663" s="239" t="str">
        <f>IF('CCUS Projects Database'!$V663&lt;&gt;"",HYPERLINK('CCUS Projects Database'!$V663,"Link 5"),"")</f>
        <v/>
      </c>
      <c r="AD663" s="239" t="str">
        <f>IF('CCUS Projects Database'!$W663&lt;&gt;"",HYPERLINK('CCUS Projects Database'!$W663,"Link 6"),"")</f>
        <v/>
      </c>
      <c r="AE663" s="239" t="str">
        <f>IF('CCUS Projects Database'!$X663&lt;&gt;"",HYPERLINK('CCUS Projects Database'!$X663,"Link 7"),"")</f>
        <v/>
      </c>
    </row>
    <row r="664" ht="14.25" customHeight="1">
      <c r="A664" s="233" t="s">
        <v>21157</v>
      </c>
      <c r="B664" s="234">
        <v>880.0</v>
      </c>
      <c r="C664" s="234" t="s">
        <v>18586</v>
      </c>
      <c r="D664" s="235" t="s">
        <v>20260</v>
      </c>
      <c r="E664" s="234" t="s">
        <v>3</v>
      </c>
      <c r="F664" s="234">
        <v>2022.0</v>
      </c>
      <c r="G664" s="234" t="s">
        <v>18725</v>
      </c>
      <c r="H664" s="234">
        <v>2026.0</v>
      </c>
      <c r="I664" s="234" t="s">
        <v>18725</v>
      </c>
      <c r="J664" s="234" t="s">
        <v>18636</v>
      </c>
      <c r="K664" s="236" t="s">
        <v>18725</v>
      </c>
      <c r="L664" s="236" t="s">
        <v>20303</v>
      </c>
      <c r="M664" s="236">
        <v>5.0</v>
      </c>
      <c r="N664" s="234" t="s">
        <v>3</v>
      </c>
      <c r="O664" s="237" t="s">
        <v>18683</v>
      </c>
      <c r="P664" s="238" t="s">
        <v>18725</v>
      </c>
      <c r="Q664" s="234" t="s">
        <v>18732</v>
      </c>
      <c r="R664" s="238" t="s">
        <v>21158</v>
      </c>
      <c r="S664" s="238" t="s">
        <v>21159</v>
      </c>
      <c r="T664" s="238" t="s">
        <v>21124</v>
      </c>
      <c r="U664" s="238" t="s">
        <v>21160</v>
      </c>
      <c r="V664" s="238" t="s">
        <v>18725</v>
      </c>
      <c r="W664" s="238" t="s">
        <v>18725</v>
      </c>
      <c r="X664" s="238" t="s">
        <v>18725</v>
      </c>
      <c r="Y664" s="239" t="str">
        <f>IF('CCUS Projects Database'!$R664&lt;&gt;"",HYPERLINK('CCUS Projects Database'!$R664,"Link 1"),"")</f>
        <v>Link 1</v>
      </c>
      <c r="Z664" s="239" t="str">
        <f>IF('CCUS Projects Database'!$S664&lt;&gt;"",HYPERLINK('CCUS Projects Database'!$S664,"Link 2"),"")</f>
        <v>Link 2</v>
      </c>
      <c r="AA664" s="239" t="str">
        <f>IF('CCUS Projects Database'!$T664&lt;&gt;"",HYPERLINK('CCUS Projects Database'!$T664,"Link 3"),"")</f>
        <v>Link 3</v>
      </c>
      <c r="AB664" s="239" t="str">
        <f>IF('CCUS Projects Database'!$U664&lt;&gt;"",HYPERLINK('CCUS Projects Database'!$U664,"Link 4"),"")</f>
        <v>Link 4</v>
      </c>
      <c r="AC664" s="239" t="str">
        <f>IF('CCUS Projects Database'!$V664&lt;&gt;"",HYPERLINK('CCUS Projects Database'!$V664,"Link 5"),"")</f>
        <v/>
      </c>
      <c r="AD664" s="239" t="str">
        <f>IF('CCUS Projects Database'!$W664&lt;&gt;"",HYPERLINK('CCUS Projects Database'!$W664,"Link 6"),"")</f>
        <v/>
      </c>
      <c r="AE664" s="239" t="str">
        <f>IF('CCUS Projects Database'!$X664&lt;&gt;"",HYPERLINK('CCUS Projects Database'!$X664,"Link 7"),"")</f>
        <v/>
      </c>
    </row>
    <row r="665" ht="14.25" customHeight="1">
      <c r="A665" s="233" t="s">
        <v>21161</v>
      </c>
      <c r="B665" s="234">
        <v>881.0</v>
      </c>
      <c r="C665" s="234" t="s">
        <v>18586</v>
      </c>
      <c r="D665" s="235" t="s">
        <v>20260</v>
      </c>
      <c r="E665" s="234" t="s">
        <v>3</v>
      </c>
      <c r="F665" s="234">
        <v>2022.0</v>
      </c>
      <c r="G665" s="234" t="s">
        <v>18725</v>
      </c>
      <c r="H665" s="234">
        <v>2026.0</v>
      </c>
      <c r="I665" s="234" t="s">
        <v>18725</v>
      </c>
      <c r="J665" s="234" t="s">
        <v>18636</v>
      </c>
      <c r="K665" s="236" t="s">
        <v>18725</v>
      </c>
      <c r="L665" s="236" t="s">
        <v>20261</v>
      </c>
      <c r="M665" s="236">
        <v>10.0</v>
      </c>
      <c r="N665" s="234" t="s">
        <v>3</v>
      </c>
      <c r="O665" s="237" t="s">
        <v>18683</v>
      </c>
      <c r="P665" s="238" t="s">
        <v>18725</v>
      </c>
      <c r="Q665" s="234" t="s">
        <v>18732</v>
      </c>
      <c r="R665" s="238" t="s">
        <v>21124</v>
      </c>
      <c r="S665" s="238" t="s">
        <v>21160</v>
      </c>
      <c r="T665" s="238" t="s">
        <v>18725</v>
      </c>
      <c r="U665" s="238" t="s">
        <v>18725</v>
      </c>
      <c r="V665" s="238" t="s">
        <v>18725</v>
      </c>
      <c r="W665" s="238" t="s">
        <v>18725</v>
      </c>
      <c r="X665" s="238" t="s">
        <v>18725</v>
      </c>
      <c r="Y665" s="239" t="str">
        <f>IF('CCUS Projects Database'!$R665&lt;&gt;"",HYPERLINK('CCUS Projects Database'!$R665,"Link 1"),"")</f>
        <v>Link 1</v>
      </c>
      <c r="Z665" s="239" t="str">
        <f>IF('CCUS Projects Database'!$S665&lt;&gt;"",HYPERLINK('CCUS Projects Database'!$S665,"Link 2"),"")</f>
        <v>Link 2</v>
      </c>
      <c r="AA665" s="239" t="str">
        <f>IF('CCUS Projects Database'!$T665&lt;&gt;"",HYPERLINK('CCUS Projects Database'!$T665,"Link 3"),"")</f>
        <v/>
      </c>
      <c r="AB665" s="239" t="str">
        <f>IF('CCUS Projects Database'!$U665&lt;&gt;"",HYPERLINK('CCUS Projects Database'!$U665,"Link 4"),"")</f>
        <v/>
      </c>
      <c r="AC665" s="239" t="str">
        <f>IF('CCUS Projects Database'!$V665&lt;&gt;"",HYPERLINK('CCUS Projects Database'!$V665,"Link 5"),"")</f>
        <v/>
      </c>
      <c r="AD665" s="239" t="str">
        <f>IF('CCUS Projects Database'!$W665&lt;&gt;"",HYPERLINK('CCUS Projects Database'!$W665,"Link 6"),"")</f>
        <v/>
      </c>
      <c r="AE665" s="239" t="str">
        <f>IF('CCUS Projects Database'!$X665&lt;&gt;"",HYPERLINK('CCUS Projects Database'!$X665,"Link 7"),"")</f>
        <v/>
      </c>
    </row>
    <row r="666" ht="14.25" customHeight="1">
      <c r="A666" s="233" t="s">
        <v>21162</v>
      </c>
      <c r="B666" s="234">
        <v>883.0</v>
      </c>
      <c r="C666" s="234" t="s">
        <v>18586</v>
      </c>
      <c r="D666" s="235" t="s">
        <v>20260</v>
      </c>
      <c r="E666" s="234" t="s">
        <v>3</v>
      </c>
      <c r="F666" s="234">
        <v>2022.0</v>
      </c>
      <c r="G666" s="234" t="s">
        <v>18725</v>
      </c>
      <c r="H666" s="234">
        <v>2027.0</v>
      </c>
      <c r="I666" s="234" t="s">
        <v>18725</v>
      </c>
      <c r="J666" s="234" t="s">
        <v>18636</v>
      </c>
      <c r="K666" s="236" t="s">
        <v>18725</v>
      </c>
      <c r="L666" s="236" t="s">
        <v>20261</v>
      </c>
      <c r="M666" s="236">
        <v>10.0</v>
      </c>
      <c r="N666" s="234" t="s">
        <v>3</v>
      </c>
      <c r="O666" s="237" t="s">
        <v>18683</v>
      </c>
      <c r="P666" s="238" t="s">
        <v>18725</v>
      </c>
      <c r="Q666" s="234" t="s">
        <v>18732</v>
      </c>
      <c r="R666" s="238" t="s">
        <v>21124</v>
      </c>
      <c r="S666" s="238" t="s">
        <v>21160</v>
      </c>
      <c r="T666" s="238" t="s">
        <v>18725</v>
      </c>
      <c r="U666" s="238" t="s">
        <v>18725</v>
      </c>
      <c r="V666" s="238" t="s">
        <v>18725</v>
      </c>
      <c r="W666" s="238" t="s">
        <v>18725</v>
      </c>
      <c r="X666" s="238" t="s">
        <v>18725</v>
      </c>
      <c r="Y666" s="239" t="str">
        <f>IF('CCUS Projects Database'!$R666&lt;&gt;"",HYPERLINK('CCUS Projects Database'!$R666,"Link 1"),"")</f>
        <v>Link 1</v>
      </c>
      <c r="Z666" s="239" t="str">
        <f>IF('CCUS Projects Database'!$S666&lt;&gt;"",HYPERLINK('CCUS Projects Database'!$S666,"Link 2"),"")</f>
        <v>Link 2</v>
      </c>
      <c r="AA666" s="239" t="str">
        <f>IF('CCUS Projects Database'!$T666&lt;&gt;"",HYPERLINK('CCUS Projects Database'!$T666,"Link 3"),"")</f>
        <v/>
      </c>
      <c r="AB666" s="239" t="str">
        <f>IF('CCUS Projects Database'!$U666&lt;&gt;"",HYPERLINK('CCUS Projects Database'!$U666,"Link 4"),"")</f>
        <v/>
      </c>
      <c r="AC666" s="239" t="str">
        <f>IF('CCUS Projects Database'!$V666&lt;&gt;"",HYPERLINK('CCUS Projects Database'!$V666,"Link 5"),"")</f>
        <v/>
      </c>
      <c r="AD666" s="239" t="str">
        <f>IF('CCUS Projects Database'!$W666&lt;&gt;"",HYPERLINK('CCUS Projects Database'!$W666,"Link 6"),"")</f>
        <v/>
      </c>
      <c r="AE666" s="239" t="str">
        <f>IF('CCUS Projects Database'!$X666&lt;&gt;"",HYPERLINK('CCUS Projects Database'!$X666,"Link 7"),"")</f>
        <v/>
      </c>
    </row>
    <row r="667" ht="14.25" customHeight="1">
      <c r="A667" s="233" t="s">
        <v>21163</v>
      </c>
      <c r="B667" s="234">
        <v>884.0</v>
      </c>
      <c r="C667" s="234" t="s">
        <v>18586</v>
      </c>
      <c r="D667" s="235" t="s">
        <v>21164</v>
      </c>
      <c r="E667" s="234" t="s">
        <v>3</v>
      </c>
      <c r="F667" s="234">
        <v>2022.0</v>
      </c>
      <c r="G667" s="234" t="s">
        <v>18725</v>
      </c>
      <c r="H667" s="234">
        <v>2026.0</v>
      </c>
      <c r="I667" s="234" t="s">
        <v>18725</v>
      </c>
      <c r="J667" s="234" t="s">
        <v>18192</v>
      </c>
      <c r="K667" s="236" t="s">
        <v>18725</v>
      </c>
      <c r="L667" s="236" t="s">
        <v>20303</v>
      </c>
      <c r="M667" s="236">
        <v>5.0</v>
      </c>
      <c r="N667" s="234" t="s">
        <v>3</v>
      </c>
      <c r="O667" s="237" t="s">
        <v>18675</v>
      </c>
      <c r="P667" s="238" t="s">
        <v>21163</v>
      </c>
      <c r="Q667" s="234" t="s">
        <v>18732</v>
      </c>
      <c r="R667" s="238" t="s">
        <v>21124</v>
      </c>
      <c r="S667" s="238" t="s">
        <v>21160</v>
      </c>
      <c r="T667" s="238" t="s">
        <v>18725</v>
      </c>
      <c r="U667" s="238" t="s">
        <v>18725</v>
      </c>
      <c r="V667" s="238" t="s">
        <v>18725</v>
      </c>
      <c r="W667" s="238" t="s">
        <v>18725</v>
      </c>
      <c r="X667" s="238" t="s">
        <v>18725</v>
      </c>
      <c r="Y667" s="239" t="str">
        <f>IF('CCUS Projects Database'!$R667&lt;&gt;"",HYPERLINK('CCUS Projects Database'!$R667,"Link 1"),"")</f>
        <v>Link 1</v>
      </c>
      <c r="Z667" s="239" t="str">
        <f>IF('CCUS Projects Database'!$S667&lt;&gt;"",HYPERLINK('CCUS Projects Database'!$S667,"Link 2"),"")</f>
        <v>Link 2</v>
      </c>
      <c r="AA667" s="239" t="str">
        <f>IF('CCUS Projects Database'!$T667&lt;&gt;"",HYPERLINK('CCUS Projects Database'!$T667,"Link 3"),"")</f>
        <v/>
      </c>
      <c r="AB667" s="239" t="str">
        <f>IF('CCUS Projects Database'!$U667&lt;&gt;"",HYPERLINK('CCUS Projects Database'!$U667,"Link 4"),"")</f>
        <v/>
      </c>
      <c r="AC667" s="239" t="str">
        <f>IF('CCUS Projects Database'!$V667&lt;&gt;"",HYPERLINK('CCUS Projects Database'!$V667,"Link 5"),"")</f>
        <v/>
      </c>
      <c r="AD667" s="239" t="str">
        <f>IF('CCUS Projects Database'!$W667&lt;&gt;"",HYPERLINK('CCUS Projects Database'!$W667,"Link 6"),"")</f>
        <v/>
      </c>
      <c r="AE667" s="239" t="str">
        <f>IF('CCUS Projects Database'!$X667&lt;&gt;"",HYPERLINK('CCUS Projects Database'!$X667,"Link 7"),"")</f>
        <v/>
      </c>
    </row>
    <row r="668" ht="14.25" customHeight="1">
      <c r="A668" s="233" t="s">
        <v>21165</v>
      </c>
      <c r="B668" s="234">
        <v>885.0</v>
      </c>
      <c r="C668" s="234" t="s">
        <v>18586</v>
      </c>
      <c r="D668" s="235" t="s">
        <v>20260</v>
      </c>
      <c r="E668" s="234" t="s">
        <v>3</v>
      </c>
      <c r="F668" s="234">
        <v>2022.0</v>
      </c>
      <c r="G668" s="234" t="s">
        <v>18725</v>
      </c>
      <c r="H668" s="234">
        <v>2026.0</v>
      </c>
      <c r="I668" s="234" t="s">
        <v>18725</v>
      </c>
      <c r="J668" s="234" t="s">
        <v>18636</v>
      </c>
      <c r="K668" s="236" t="s">
        <v>18725</v>
      </c>
      <c r="L668" s="236" t="s">
        <v>20303</v>
      </c>
      <c r="M668" s="236">
        <v>5.0</v>
      </c>
      <c r="N668" s="234" t="s">
        <v>3</v>
      </c>
      <c r="O668" s="237" t="s">
        <v>18683</v>
      </c>
      <c r="P668" s="238" t="s">
        <v>18725</v>
      </c>
      <c r="Q668" s="234" t="s">
        <v>18732</v>
      </c>
      <c r="R668" s="238" t="s">
        <v>21124</v>
      </c>
      <c r="S668" s="238" t="s">
        <v>18725</v>
      </c>
      <c r="T668" s="238" t="s">
        <v>18725</v>
      </c>
      <c r="U668" s="238" t="s">
        <v>18725</v>
      </c>
      <c r="V668" s="238" t="s">
        <v>18725</v>
      </c>
      <c r="W668" s="238" t="s">
        <v>18725</v>
      </c>
      <c r="X668" s="238" t="s">
        <v>18725</v>
      </c>
      <c r="Y668" s="239" t="str">
        <f>IF('CCUS Projects Database'!$R668&lt;&gt;"",HYPERLINK('CCUS Projects Database'!$R668,"Link 1"),"")</f>
        <v>Link 1</v>
      </c>
      <c r="Z668" s="239" t="str">
        <f>IF('CCUS Projects Database'!$S668&lt;&gt;"",HYPERLINK('CCUS Projects Database'!$S668,"Link 2"),"")</f>
        <v/>
      </c>
      <c r="AA668" s="239" t="str">
        <f>IF('CCUS Projects Database'!$T668&lt;&gt;"",HYPERLINK('CCUS Projects Database'!$T668,"Link 3"),"")</f>
        <v/>
      </c>
      <c r="AB668" s="239" t="str">
        <f>IF('CCUS Projects Database'!$U668&lt;&gt;"",HYPERLINK('CCUS Projects Database'!$U668,"Link 4"),"")</f>
        <v/>
      </c>
      <c r="AC668" s="239" t="str">
        <f>IF('CCUS Projects Database'!$V668&lt;&gt;"",HYPERLINK('CCUS Projects Database'!$V668,"Link 5"),"")</f>
        <v/>
      </c>
      <c r="AD668" s="239" t="str">
        <f>IF('CCUS Projects Database'!$W668&lt;&gt;"",HYPERLINK('CCUS Projects Database'!$W668,"Link 6"),"")</f>
        <v/>
      </c>
      <c r="AE668" s="239" t="str">
        <f>IF('CCUS Projects Database'!$X668&lt;&gt;"",HYPERLINK('CCUS Projects Database'!$X668,"Link 7"),"")</f>
        <v/>
      </c>
    </row>
    <row r="669" ht="14.25" customHeight="1">
      <c r="A669" s="233" t="s">
        <v>21166</v>
      </c>
      <c r="B669" s="234">
        <v>886.0</v>
      </c>
      <c r="C669" s="234" t="s">
        <v>18586</v>
      </c>
      <c r="D669" s="235" t="s">
        <v>20260</v>
      </c>
      <c r="E669" s="234" t="s">
        <v>3</v>
      </c>
      <c r="F669" s="234">
        <v>2022.0</v>
      </c>
      <c r="G669" s="234" t="s">
        <v>18725</v>
      </c>
      <c r="H669" s="234">
        <v>2026.0</v>
      </c>
      <c r="I669" s="234" t="s">
        <v>18725</v>
      </c>
      <c r="J669" s="234" t="s">
        <v>18636</v>
      </c>
      <c r="K669" s="236" t="s">
        <v>18725</v>
      </c>
      <c r="L669" s="236" t="s">
        <v>21167</v>
      </c>
      <c r="M669" s="236">
        <v>5.0</v>
      </c>
      <c r="N669" s="234" t="s">
        <v>3</v>
      </c>
      <c r="O669" s="237" t="s">
        <v>18683</v>
      </c>
      <c r="P669" s="238" t="s">
        <v>21168</v>
      </c>
      <c r="Q669" s="234" t="s">
        <v>18732</v>
      </c>
      <c r="R669" s="238" t="s">
        <v>21124</v>
      </c>
      <c r="S669" s="238" t="s">
        <v>18725</v>
      </c>
      <c r="T669" s="238" t="s">
        <v>18725</v>
      </c>
      <c r="U669" s="238" t="s">
        <v>18725</v>
      </c>
      <c r="V669" s="238" t="s">
        <v>18725</v>
      </c>
      <c r="W669" s="238" t="s">
        <v>18725</v>
      </c>
      <c r="X669" s="238" t="s">
        <v>18725</v>
      </c>
      <c r="Y669" s="239" t="str">
        <f>IF('CCUS Projects Database'!$R669&lt;&gt;"",HYPERLINK('CCUS Projects Database'!$R669,"Link 1"),"")</f>
        <v>Link 1</v>
      </c>
      <c r="Z669" s="239" t="str">
        <f>IF('CCUS Projects Database'!$S669&lt;&gt;"",HYPERLINK('CCUS Projects Database'!$S669,"Link 2"),"")</f>
        <v/>
      </c>
      <c r="AA669" s="239" t="str">
        <f>IF('CCUS Projects Database'!$T669&lt;&gt;"",HYPERLINK('CCUS Projects Database'!$T669,"Link 3"),"")</f>
        <v/>
      </c>
      <c r="AB669" s="239" t="str">
        <f>IF('CCUS Projects Database'!$U669&lt;&gt;"",HYPERLINK('CCUS Projects Database'!$U669,"Link 4"),"")</f>
        <v/>
      </c>
      <c r="AC669" s="239" t="str">
        <f>IF('CCUS Projects Database'!$V669&lt;&gt;"",HYPERLINK('CCUS Projects Database'!$V669,"Link 5"),"")</f>
        <v/>
      </c>
      <c r="AD669" s="239" t="str">
        <f>IF('CCUS Projects Database'!$W669&lt;&gt;"",HYPERLINK('CCUS Projects Database'!$W669,"Link 6"),"")</f>
        <v/>
      </c>
      <c r="AE669" s="239" t="str">
        <f>IF('CCUS Projects Database'!$X669&lt;&gt;"",HYPERLINK('CCUS Projects Database'!$X669,"Link 7"),"")</f>
        <v/>
      </c>
    </row>
    <row r="670" ht="14.25" customHeight="1">
      <c r="A670" s="233" t="s">
        <v>21169</v>
      </c>
      <c r="B670" s="234">
        <v>887.0</v>
      </c>
      <c r="C670" s="234" t="s">
        <v>18586</v>
      </c>
      <c r="D670" s="235" t="s">
        <v>20260</v>
      </c>
      <c r="E670" s="234" t="s">
        <v>3</v>
      </c>
      <c r="F670" s="234">
        <v>2022.0</v>
      </c>
      <c r="G670" s="234" t="s">
        <v>18725</v>
      </c>
      <c r="H670" s="234">
        <v>2027.0</v>
      </c>
      <c r="I670" s="234" t="s">
        <v>18725</v>
      </c>
      <c r="J670" s="234" t="s">
        <v>18636</v>
      </c>
      <c r="K670" s="236" t="s">
        <v>18725</v>
      </c>
      <c r="L670" s="236" t="s">
        <v>21167</v>
      </c>
      <c r="M670" s="236">
        <v>5.0</v>
      </c>
      <c r="N670" s="234" t="s">
        <v>3</v>
      </c>
      <c r="O670" s="237" t="s">
        <v>18683</v>
      </c>
      <c r="P670" s="238" t="s">
        <v>21168</v>
      </c>
      <c r="Q670" s="234" t="s">
        <v>18732</v>
      </c>
      <c r="R670" s="238" t="s">
        <v>21124</v>
      </c>
      <c r="S670" s="238" t="s">
        <v>18725</v>
      </c>
      <c r="T670" s="238" t="s">
        <v>18725</v>
      </c>
      <c r="U670" s="238" t="s">
        <v>18725</v>
      </c>
      <c r="V670" s="238" t="s">
        <v>18725</v>
      </c>
      <c r="W670" s="238" t="s">
        <v>18725</v>
      </c>
      <c r="X670" s="238" t="s">
        <v>18725</v>
      </c>
      <c r="Y670" s="239" t="str">
        <f>IF('CCUS Projects Database'!$R670&lt;&gt;"",HYPERLINK('CCUS Projects Database'!$R670,"Link 1"),"")</f>
        <v>Link 1</v>
      </c>
      <c r="Z670" s="239" t="str">
        <f>IF('CCUS Projects Database'!$S670&lt;&gt;"",HYPERLINK('CCUS Projects Database'!$S670,"Link 2"),"")</f>
        <v/>
      </c>
      <c r="AA670" s="239" t="str">
        <f>IF('CCUS Projects Database'!$T670&lt;&gt;"",HYPERLINK('CCUS Projects Database'!$T670,"Link 3"),"")</f>
        <v/>
      </c>
      <c r="AB670" s="239" t="str">
        <f>IF('CCUS Projects Database'!$U670&lt;&gt;"",HYPERLINK('CCUS Projects Database'!$U670,"Link 4"),"")</f>
        <v/>
      </c>
      <c r="AC670" s="239" t="str">
        <f>IF('CCUS Projects Database'!$V670&lt;&gt;"",HYPERLINK('CCUS Projects Database'!$V670,"Link 5"),"")</f>
        <v/>
      </c>
      <c r="AD670" s="239" t="str">
        <f>IF('CCUS Projects Database'!$W670&lt;&gt;"",HYPERLINK('CCUS Projects Database'!$W670,"Link 6"),"")</f>
        <v/>
      </c>
      <c r="AE670" s="239" t="str">
        <f>IF('CCUS Projects Database'!$X670&lt;&gt;"",HYPERLINK('CCUS Projects Database'!$X670,"Link 7"),"")</f>
        <v/>
      </c>
    </row>
    <row r="671" ht="14.25" customHeight="1">
      <c r="A671" s="233" t="s">
        <v>21170</v>
      </c>
      <c r="B671" s="234">
        <v>888.0</v>
      </c>
      <c r="C671" s="234" t="s">
        <v>18586</v>
      </c>
      <c r="D671" s="235" t="s">
        <v>21171</v>
      </c>
      <c r="E671" s="234" t="s">
        <v>3</v>
      </c>
      <c r="F671" s="234">
        <v>2022.0</v>
      </c>
      <c r="G671" s="234" t="s">
        <v>18725</v>
      </c>
      <c r="H671" s="234" t="s">
        <v>18725</v>
      </c>
      <c r="I671" s="234" t="s">
        <v>18725</v>
      </c>
      <c r="J671" s="234" t="s">
        <v>18636</v>
      </c>
      <c r="K671" s="236" t="s">
        <v>18725</v>
      </c>
      <c r="L671" s="236">
        <v>5.0</v>
      </c>
      <c r="M671" s="236">
        <v>5.0</v>
      </c>
      <c r="N671" s="234" t="s">
        <v>3</v>
      </c>
      <c r="O671" s="237" t="s">
        <v>18683</v>
      </c>
      <c r="P671" s="238" t="s">
        <v>21172</v>
      </c>
      <c r="Q671" s="234" t="s">
        <v>18732</v>
      </c>
      <c r="R671" s="238" t="s">
        <v>21173</v>
      </c>
      <c r="S671" s="238" t="s">
        <v>18725</v>
      </c>
      <c r="T671" s="238" t="s">
        <v>18725</v>
      </c>
      <c r="U671" s="238" t="s">
        <v>18725</v>
      </c>
      <c r="V671" s="238" t="s">
        <v>18725</v>
      </c>
      <c r="W671" s="238" t="s">
        <v>18725</v>
      </c>
      <c r="X671" s="238" t="s">
        <v>18725</v>
      </c>
      <c r="Y671" s="239" t="str">
        <f>IF('CCUS Projects Database'!$R671&lt;&gt;"",HYPERLINK('CCUS Projects Database'!$R671,"Link 1"),"")</f>
        <v>Link 1</v>
      </c>
      <c r="Z671" s="239" t="str">
        <f>IF('CCUS Projects Database'!$S671&lt;&gt;"",HYPERLINK('CCUS Projects Database'!$S671,"Link 2"),"")</f>
        <v/>
      </c>
      <c r="AA671" s="239" t="str">
        <f>IF('CCUS Projects Database'!$T671&lt;&gt;"",HYPERLINK('CCUS Projects Database'!$T671,"Link 3"),"")</f>
        <v/>
      </c>
      <c r="AB671" s="239" t="str">
        <f>IF('CCUS Projects Database'!$U671&lt;&gt;"",HYPERLINK('CCUS Projects Database'!$U671,"Link 4"),"")</f>
        <v/>
      </c>
      <c r="AC671" s="239" t="str">
        <f>IF('CCUS Projects Database'!$V671&lt;&gt;"",HYPERLINK('CCUS Projects Database'!$V671,"Link 5"),"")</f>
        <v/>
      </c>
      <c r="AD671" s="239" t="str">
        <f>IF('CCUS Projects Database'!$W671&lt;&gt;"",HYPERLINK('CCUS Projects Database'!$W671,"Link 6"),"")</f>
        <v/>
      </c>
      <c r="AE671" s="239" t="str">
        <f>IF('CCUS Projects Database'!$X671&lt;&gt;"",HYPERLINK('CCUS Projects Database'!$X671,"Link 7"),"")</f>
        <v/>
      </c>
    </row>
    <row r="672" ht="14.25" customHeight="1">
      <c r="A672" s="233" t="s">
        <v>21174</v>
      </c>
      <c r="B672" s="234">
        <v>889.0</v>
      </c>
      <c r="C672" s="234" t="s">
        <v>18586</v>
      </c>
      <c r="D672" s="235" t="s">
        <v>21175</v>
      </c>
      <c r="E672" s="234" t="s">
        <v>3</v>
      </c>
      <c r="F672" s="234">
        <v>2022.0</v>
      </c>
      <c r="G672" s="234" t="s">
        <v>18725</v>
      </c>
      <c r="H672" s="234" t="s">
        <v>18725</v>
      </c>
      <c r="I672" s="234" t="s">
        <v>18725</v>
      </c>
      <c r="J672" s="234" t="s">
        <v>18636</v>
      </c>
      <c r="K672" s="236" t="s">
        <v>18725</v>
      </c>
      <c r="L672" s="236" t="s">
        <v>18725</v>
      </c>
      <c r="M672" s="236" t="s">
        <v>18725</v>
      </c>
      <c r="N672" s="234" t="s">
        <v>3</v>
      </c>
      <c r="O672" s="237" t="s">
        <v>18683</v>
      </c>
      <c r="P672" s="238" t="s">
        <v>21174</v>
      </c>
      <c r="Q672" s="234" t="s">
        <v>18732</v>
      </c>
      <c r="R672" s="238" t="s">
        <v>21176</v>
      </c>
      <c r="S672" s="238" t="s">
        <v>18725</v>
      </c>
      <c r="T672" s="238" t="s">
        <v>18725</v>
      </c>
      <c r="U672" s="238" t="s">
        <v>18725</v>
      </c>
      <c r="V672" s="238" t="s">
        <v>18725</v>
      </c>
      <c r="W672" s="238" t="s">
        <v>18725</v>
      </c>
      <c r="X672" s="238" t="s">
        <v>18725</v>
      </c>
      <c r="Y672" s="239" t="str">
        <f>IF('CCUS Projects Database'!$R672&lt;&gt;"",HYPERLINK('CCUS Projects Database'!$R672,"Link 1"),"")</f>
        <v>Link 1</v>
      </c>
      <c r="Z672" s="239" t="str">
        <f>IF('CCUS Projects Database'!$S672&lt;&gt;"",HYPERLINK('CCUS Projects Database'!$S672,"Link 2"),"")</f>
        <v/>
      </c>
      <c r="AA672" s="239" t="str">
        <f>IF('CCUS Projects Database'!$T672&lt;&gt;"",HYPERLINK('CCUS Projects Database'!$T672,"Link 3"),"")</f>
        <v/>
      </c>
      <c r="AB672" s="239" t="str">
        <f>IF('CCUS Projects Database'!$U672&lt;&gt;"",HYPERLINK('CCUS Projects Database'!$U672,"Link 4"),"")</f>
        <v/>
      </c>
      <c r="AC672" s="239" t="str">
        <f>IF('CCUS Projects Database'!$V672&lt;&gt;"",HYPERLINK('CCUS Projects Database'!$V672,"Link 5"),"")</f>
        <v/>
      </c>
      <c r="AD672" s="239" t="str">
        <f>IF('CCUS Projects Database'!$W672&lt;&gt;"",HYPERLINK('CCUS Projects Database'!$W672,"Link 6"),"")</f>
        <v/>
      </c>
      <c r="AE672" s="239" t="str">
        <f>IF('CCUS Projects Database'!$X672&lt;&gt;"",HYPERLINK('CCUS Projects Database'!$X672,"Link 7"),"")</f>
        <v/>
      </c>
    </row>
    <row r="673" ht="14.25" customHeight="1">
      <c r="A673" s="233" t="s">
        <v>21177</v>
      </c>
      <c r="B673" s="234">
        <v>890.0</v>
      </c>
      <c r="C673" s="234" t="s">
        <v>18586</v>
      </c>
      <c r="D673" s="235" t="s">
        <v>21178</v>
      </c>
      <c r="E673" s="234" t="s">
        <v>3</v>
      </c>
      <c r="F673" s="234">
        <v>2021.0</v>
      </c>
      <c r="G673" s="234">
        <v>2025.0</v>
      </c>
      <c r="H673" s="234" t="s">
        <v>18725</v>
      </c>
      <c r="I673" s="234" t="s">
        <v>18725</v>
      </c>
      <c r="J673" s="234" t="s">
        <v>18636</v>
      </c>
      <c r="K673" s="236" t="s">
        <v>18725</v>
      </c>
      <c r="L673" s="236">
        <v>0.44</v>
      </c>
      <c r="M673" s="236">
        <v>0.44</v>
      </c>
      <c r="N673" s="234" t="s">
        <v>3</v>
      </c>
      <c r="O673" s="237" t="s">
        <v>18675</v>
      </c>
      <c r="P673" s="238" t="s">
        <v>18725</v>
      </c>
      <c r="Q673" s="234" t="s">
        <v>18732</v>
      </c>
      <c r="R673" s="238" t="s">
        <v>21179</v>
      </c>
      <c r="S673" s="238" t="s">
        <v>18725</v>
      </c>
      <c r="T673" s="238" t="s">
        <v>18725</v>
      </c>
      <c r="U673" s="238" t="s">
        <v>18725</v>
      </c>
      <c r="V673" s="238" t="s">
        <v>18725</v>
      </c>
      <c r="W673" s="238" t="s">
        <v>18725</v>
      </c>
      <c r="X673" s="238" t="s">
        <v>18725</v>
      </c>
      <c r="Y673" s="239" t="str">
        <f>IF('CCUS Projects Database'!$R673&lt;&gt;"",HYPERLINK('CCUS Projects Database'!$R673,"Link 1"),"")</f>
        <v>Link 1</v>
      </c>
      <c r="Z673" s="239" t="str">
        <f>IF('CCUS Projects Database'!$S673&lt;&gt;"",HYPERLINK('CCUS Projects Database'!$S673,"Link 2"),"")</f>
        <v/>
      </c>
      <c r="AA673" s="239" t="str">
        <f>IF('CCUS Projects Database'!$T673&lt;&gt;"",HYPERLINK('CCUS Projects Database'!$T673,"Link 3"),"")</f>
        <v/>
      </c>
      <c r="AB673" s="239" t="str">
        <f>IF('CCUS Projects Database'!$U673&lt;&gt;"",HYPERLINK('CCUS Projects Database'!$U673,"Link 4"),"")</f>
        <v/>
      </c>
      <c r="AC673" s="239" t="str">
        <f>IF('CCUS Projects Database'!$V673&lt;&gt;"",HYPERLINK('CCUS Projects Database'!$V673,"Link 5"),"")</f>
        <v/>
      </c>
      <c r="AD673" s="239" t="str">
        <f>IF('CCUS Projects Database'!$W673&lt;&gt;"",HYPERLINK('CCUS Projects Database'!$W673,"Link 6"),"")</f>
        <v/>
      </c>
      <c r="AE673" s="239" t="str">
        <f>IF('CCUS Projects Database'!$X673&lt;&gt;"",HYPERLINK('CCUS Projects Database'!$X673,"Link 7"),"")</f>
        <v/>
      </c>
    </row>
    <row r="674" ht="14.25" customHeight="1">
      <c r="A674" s="233" t="s">
        <v>21180</v>
      </c>
      <c r="B674" s="234">
        <v>892.0</v>
      </c>
      <c r="C674" s="234" t="s">
        <v>18586</v>
      </c>
      <c r="D674" s="235" t="s">
        <v>21181</v>
      </c>
      <c r="E674" s="234" t="s">
        <v>3</v>
      </c>
      <c r="F674" s="234">
        <v>2022.0</v>
      </c>
      <c r="G674" s="234">
        <v>2025.0</v>
      </c>
      <c r="H674" s="234" t="s">
        <v>18725</v>
      </c>
      <c r="I674" s="234" t="s">
        <v>18725</v>
      </c>
      <c r="J674" s="234" t="s">
        <v>18636</v>
      </c>
      <c r="K674" s="236" t="s">
        <v>18725</v>
      </c>
      <c r="L674" s="236" t="s">
        <v>18725</v>
      </c>
      <c r="M674" s="236" t="s">
        <v>18725</v>
      </c>
      <c r="N674" s="234" t="s">
        <v>3</v>
      </c>
      <c r="O674" s="237" t="s">
        <v>18675</v>
      </c>
      <c r="P674" s="238" t="s">
        <v>21182</v>
      </c>
      <c r="Q674" s="234" t="s">
        <v>18732</v>
      </c>
      <c r="R674" s="238" t="s">
        <v>21183</v>
      </c>
      <c r="S674" s="238" t="s">
        <v>18725</v>
      </c>
      <c r="T674" s="238" t="s">
        <v>18725</v>
      </c>
      <c r="U674" s="238" t="s">
        <v>18725</v>
      </c>
      <c r="V674" s="238" t="s">
        <v>18725</v>
      </c>
      <c r="W674" s="238" t="s">
        <v>18725</v>
      </c>
      <c r="X674" s="238" t="s">
        <v>18725</v>
      </c>
      <c r="Y674" s="240" t="str">
        <f>IF('CCUS Projects Database'!$R674&lt;&gt;"",HYPERLINK('CCUS Projects Database'!$R674,"Link 1"),"")</f>
        <v>Link 1</v>
      </c>
      <c r="Z674" s="238" t="str">
        <f>IF('CCUS Projects Database'!$S674&lt;&gt;"",HYPERLINK('CCUS Projects Database'!$S674,"Link 2"),"")</f>
        <v/>
      </c>
      <c r="AA674" s="238" t="str">
        <f>IF('CCUS Projects Database'!$T674&lt;&gt;"",HYPERLINK('CCUS Projects Database'!$T674,"Link 3"),"")</f>
        <v/>
      </c>
      <c r="AB674" s="238" t="str">
        <f>IF('CCUS Projects Database'!$U674&lt;&gt;"",HYPERLINK('CCUS Projects Database'!$U674,"Link 4"),"")</f>
        <v/>
      </c>
      <c r="AC674" s="238" t="str">
        <f>IF('CCUS Projects Database'!$V674&lt;&gt;"",HYPERLINK('CCUS Projects Database'!$V674,"Link 5"),"")</f>
        <v/>
      </c>
      <c r="AD674" s="238" t="str">
        <f>IF('CCUS Projects Database'!$W674&lt;&gt;"",HYPERLINK('CCUS Projects Database'!$W674,"Link 6"),"")</f>
        <v/>
      </c>
      <c r="AE674" s="239" t="str">
        <f>IF('CCUS Projects Database'!$X674&lt;&gt;"",HYPERLINK('CCUS Projects Database'!$X674,"Link 7"),"")</f>
        <v/>
      </c>
    </row>
    <row r="675" ht="14.25" customHeight="1">
      <c r="A675" s="233" t="s">
        <v>21184</v>
      </c>
      <c r="B675" s="234">
        <v>893.0</v>
      </c>
      <c r="C675" s="234" t="s">
        <v>18586</v>
      </c>
      <c r="D675" s="235" t="s">
        <v>21185</v>
      </c>
      <c r="E675" s="234" t="s">
        <v>3</v>
      </c>
      <c r="F675" s="234">
        <v>2022.0</v>
      </c>
      <c r="G675" s="234">
        <v>2025.0</v>
      </c>
      <c r="H675" s="234" t="s">
        <v>18725</v>
      </c>
      <c r="I675" s="234" t="s">
        <v>18725</v>
      </c>
      <c r="J675" s="234" t="s">
        <v>18636</v>
      </c>
      <c r="K675" s="236" t="s">
        <v>18725</v>
      </c>
      <c r="L675" s="236">
        <v>0.37</v>
      </c>
      <c r="M675" s="236">
        <v>0.37</v>
      </c>
      <c r="N675" s="234" t="s">
        <v>3</v>
      </c>
      <c r="O675" s="237" t="s">
        <v>18675</v>
      </c>
      <c r="P675" s="238" t="s">
        <v>21186</v>
      </c>
      <c r="Q675" s="234" t="s">
        <v>18732</v>
      </c>
      <c r="R675" s="238" t="s">
        <v>21183</v>
      </c>
      <c r="S675" s="238" t="s">
        <v>18725</v>
      </c>
      <c r="T675" s="238" t="s">
        <v>18725</v>
      </c>
      <c r="U675" s="238" t="s">
        <v>18725</v>
      </c>
      <c r="V675" s="238" t="s">
        <v>18725</v>
      </c>
      <c r="W675" s="238" t="s">
        <v>18725</v>
      </c>
      <c r="X675" s="238" t="s">
        <v>18725</v>
      </c>
      <c r="Y675" s="239" t="str">
        <f>IF('CCUS Projects Database'!$R675&lt;&gt;"",HYPERLINK('CCUS Projects Database'!$R675,"Link 1"),"")</f>
        <v>Link 1</v>
      </c>
      <c r="Z675" s="239" t="str">
        <f>IF('CCUS Projects Database'!$S675&lt;&gt;"",HYPERLINK('CCUS Projects Database'!$S675,"Link 2"),"")</f>
        <v/>
      </c>
      <c r="AA675" s="239" t="str">
        <f>IF('CCUS Projects Database'!$T675&lt;&gt;"",HYPERLINK('CCUS Projects Database'!$T675,"Link 3"),"")</f>
        <v/>
      </c>
      <c r="AB675" s="239" t="str">
        <f>IF('CCUS Projects Database'!$U675&lt;&gt;"",HYPERLINK('CCUS Projects Database'!$U675,"Link 4"),"")</f>
        <v/>
      </c>
      <c r="AC675" s="239" t="str">
        <f>IF('CCUS Projects Database'!$V675&lt;&gt;"",HYPERLINK('CCUS Projects Database'!$V675,"Link 5"),"")</f>
        <v/>
      </c>
      <c r="AD675" s="239" t="str">
        <f>IF('CCUS Projects Database'!$W675&lt;&gt;"",HYPERLINK('CCUS Projects Database'!$W675,"Link 6"),"")</f>
        <v/>
      </c>
      <c r="AE675" s="239" t="str">
        <f>IF('CCUS Projects Database'!$X675&lt;&gt;"",HYPERLINK('CCUS Projects Database'!$X675,"Link 7"),"")</f>
        <v/>
      </c>
    </row>
    <row r="676" ht="14.25" customHeight="1">
      <c r="A676" s="233" t="s">
        <v>21187</v>
      </c>
      <c r="B676" s="234">
        <v>894.0</v>
      </c>
      <c r="C676" s="234" t="s">
        <v>18586</v>
      </c>
      <c r="D676" s="235" t="s">
        <v>21181</v>
      </c>
      <c r="E676" s="234" t="s">
        <v>3</v>
      </c>
      <c r="F676" s="234">
        <v>2023.0</v>
      </c>
      <c r="G676" s="234">
        <v>2025.0</v>
      </c>
      <c r="H676" s="234" t="s">
        <v>18725</v>
      </c>
      <c r="I676" s="234" t="s">
        <v>18725</v>
      </c>
      <c r="J676" s="234" t="s">
        <v>18636</v>
      </c>
      <c r="K676" s="236" t="s">
        <v>18725</v>
      </c>
      <c r="L676" s="236">
        <v>0.04</v>
      </c>
      <c r="M676" s="236">
        <v>0.04</v>
      </c>
      <c r="N676" s="234" t="s">
        <v>3</v>
      </c>
      <c r="O676" s="237" t="s">
        <v>18675</v>
      </c>
      <c r="P676" s="238" t="s">
        <v>21188</v>
      </c>
      <c r="Q676" s="234" t="s">
        <v>18732</v>
      </c>
      <c r="R676" s="238" t="s">
        <v>21183</v>
      </c>
      <c r="S676" s="238" t="s">
        <v>21189</v>
      </c>
      <c r="T676" s="238" t="s">
        <v>18725</v>
      </c>
      <c r="U676" s="238" t="s">
        <v>18725</v>
      </c>
      <c r="V676" s="238" t="s">
        <v>18725</v>
      </c>
      <c r="W676" s="238" t="s">
        <v>18725</v>
      </c>
      <c r="X676" s="238" t="s">
        <v>18725</v>
      </c>
      <c r="Y676" s="239" t="str">
        <f>IF('CCUS Projects Database'!$R676&lt;&gt;"",HYPERLINK('CCUS Projects Database'!$R676,"Link 1"),"")</f>
        <v>Link 1</v>
      </c>
      <c r="Z676" s="239" t="str">
        <f>IF('CCUS Projects Database'!$S676&lt;&gt;"",HYPERLINK('CCUS Projects Database'!$S676,"Link 2"),"")</f>
        <v>Link 2</v>
      </c>
      <c r="AA676" s="239" t="str">
        <f>IF('CCUS Projects Database'!$T676&lt;&gt;"",HYPERLINK('CCUS Projects Database'!$T676,"Link 3"),"")</f>
        <v/>
      </c>
      <c r="AB676" s="239" t="str">
        <f>IF('CCUS Projects Database'!$U676&lt;&gt;"",HYPERLINK('CCUS Projects Database'!$U676,"Link 4"),"")</f>
        <v/>
      </c>
      <c r="AC676" s="239" t="str">
        <f>IF('CCUS Projects Database'!$V676&lt;&gt;"",HYPERLINK('CCUS Projects Database'!$V676,"Link 5"),"")</f>
        <v/>
      </c>
      <c r="AD676" s="239" t="str">
        <f>IF('CCUS Projects Database'!$W676&lt;&gt;"",HYPERLINK('CCUS Projects Database'!$W676,"Link 6"),"")</f>
        <v/>
      </c>
      <c r="AE676" s="239" t="str">
        <f>IF('CCUS Projects Database'!$X676&lt;&gt;"",HYPERLINK('CCUS Projects Database'!$X676,"Link 7"),"")</f>
        <v/>
      </c>
    </row>
    <row r="677" ht="14.25" customHeight="1">
      <c r="A677" s="233" t="s">
        <v>21190</v>
      </c>
      <c r="B677" s="234">
        <v>895.0</v>
      </c>
      <c r="C677" s="234" t="s">
        <v>18586</v>
      </c>
      <c r="D677" s="235" t="s">
        <v>21181</v>
      </c>
      <c r="E677" s="234" t="s">
        <v>3</v>
      </c>
      <c r="F677" s="234">
        <v>2023.0</v>
      </c>
      <c r="G677" s="234">
        <v>2025.0</v>
      </c>
      <c r="H677" s="234" t="s">
        <v>18725</v>
      </c>
      <c r="I677" s="234" t="s">
        <v>18725</v>
      </c>
      <c r="J677" s="234" t="s">
        <v>18636</v>
      </c>
      <c r="K677" s="236" t="s">
        <v>18725</v>
      </c>
      <c r="L677" s="236">
        <v>1.0</v>
      </c>
      <c r="M677" s="236">
        <v>1.0</v>
      </c>
      <c r="N677" s="234" t="s">
        <v>3</v>
      </c>
      <c r="O677" s="237" t="s">
        <v>18675</v>
      </c>
      <c r="P677" s="238" t="s">
        <v>21191</v>
      </c>
      <c r="Q677" s="234" t="s">
        <v>18732</v>
      </c>
      <c r="R677" s="238" t="s">
        <v>21183</v>
      </c>
      <c r="S677" s="238" t="s">
        <v>18725</v>
      </c>
      <c r="T677" s="238" t="s">
        <v>18725</v>
      </c>
      <c r="U677" s="238" t="s">
        <v>18725</v>
      </c>
      <c r="V677" s="238" t="s">
        <v>18725</v>
      </c>
      <c r="W677" s="238" t="s">
        <v>18725</v>
      </c>
      <c r="X677" s="238" t="s">
        <v>18725</v>
      </c>
      <c r="Y677" s="239" t="str">
        <f>IF('CCUS Projects Database'!$R677&lt;&gt;"",HYPERLINK('CCUS Projects Database'!$R677,"Link 1"),"")</f>
        <v>Link 1</v>
      </c>
      <c r="Z677" s="239" t="str">
        <f>IF('CCUS Projects Database'!$S677&lt;&gt;"",HYPERLINK('CCUS Projects Database'!$S677,"Link 2"),"")</f>
        <v/>
      </c>
      <c r="AA677" s="239" t="str">
        <f>IF('CCUS Projects Database'!$T677&lt;&gt;"",HYPERLINK('CCUS Projects Database'!$T677,"Link 3"),"")</f>
        <v/>
      </c>
      <c r="AB677" s="239" t="str">
        <f>IF('CCUS Projects Database'!$U677&lt;&gt;"",HYPERLINK('CCUS Projects Database'!$U677,"Link 4"),"")</f>
        <v/>
      </c>
      <c r="AC677" s="239" t="str">
        <f>IF('CCUS Projects Database'!$V677&lt;&gt;"",HYPERLINK('CCUS Projects Database'!$V677,"Link 5"),"")</f>
        <v/>
      </c>
      <c r="AD677" s="239" t="str">
        <f>IF('CCUS Projects Database'!$W677&lt;&gt;"",HYPERLINK('CCUS Projects Database'!$W677,"Link 6"),"")</f>
        <v/>
      </c>
      <c r="AE677" s="239" t="str">
        <f>IF('CCUS Projects Database'!$X677&lt;&gt;"",HYPERLINK('CCUS Projects Database'!$X677,"Link 7"),"")</f>
        <v/>
      </c>
    </row>
    <row r="678" ht="14.25" customHeight="1">
      <c r="A678" s="233" t="s">
        <v>21192</v>
      </c>
      <c r="B678" s="234">
        <v>896.0</v>
      </c>
      <c r="C678" s="234" t="s">
        <v>18586</v>
      </c>
      <c r="D678" s="235" t="s">
        <v>21193</v>
      </c>
      <c r="E678" s="234" t="s">
        <v>18616</v>
      </c>
      <c r="F678" s="234">
        <v>2023.0</v>
      </c>
      <c r="G678" s="234" t="s">
        <v>18725</v>
      </c>
      <c r="H678" s="234" t="s">
        <v>18725</v>
      </c>
      <c r="I678" s="234" t="s">
        <v>18725</v>
      </c>
      <c r="J678" s="234" t="s">
        <v>18636</v>
      </c>
      <c r="K678" s="236" t="s">
        <v>18725</v>
      </c>
      <c r="L678" s="236">
        <v>1.6</v>
      </c>
      <c r="M678" s="236">
        <v>1.6</v>
      </c>
      <c r="N678" s="234" t="s">
        <v>18661</v>
      </c>
      <c r="O678" s="237" t="s">
        <v>18675</v>
      </c>
      <c r="P678" s="238" t="s">
        <v>18725</v>
      </c>
      <c r="Q678" s="234" t="s">
        <v>18732</v>
      </c>
      <c r="R678" s="238" t="s">
        <v>21194</v>
      </c>
      <c r="S678" s="238" t="s">
        <v>18725</v>
      </c>
      <c r="T678" s="238" t="s">
        <v>18725</v>
      </c>
      <c r="U678" s="238" t="s">
        <v>18725</v>
      </c>
      <c r="V678" s="238" t="s">
        <v>18725</v>
      </c>
      <c r="W678" s="238" t="s">
        <v>18725</v>
      </c>
      <c r="X678" s="238" t="s">
        <v>18725</v>
      </c>
      <c r="Y678" s="239" t="str">
        <f>IF('CCUS Projects Database'!$R678&lt;&gt;"",HYPERLINK('CCUS Projects Database'!$R678,"Link 1"),"")</f>
        <v>Link 1</v>
      </c>
      <c r="Z678" s="239" t="str">
        <f>IF('CCUS Projects Database'!$S678&lt;&gt;"",HYPERLINK('CCUS Projects Database'!$S678,"Link 2"),"")</f>
        <v/>
      </c>
      <c r="AA678" s="239" t="str">
        <f>IF('CCUS Projects Database'!$T678&lt;&gt;"",HYPERLINK('CCUS Projects Database'!$T678,"Link 3"),"")</f>
        <v/>
      </c>
      <c r="AB678" s="239" t="str">
        <f>IF('CCUS Projects Database'!$U678&lt;&gt;"",HYPERLINK('CCUS Projects Database'!$U678,"Link 4"),"")</f>
        <v/>
      </c>
      <c r="AC678" s="239" t="str">
        <f>IF('CCUS Projects Database'!$V678&lt;&gt;"",HYPERLINK('CCUS Projects Database'!$V678,"Link 5"),"")</f>
        <v/>
      </c>
      <c r="AD678" s="239" t="str">
        <f>IF('CCUS Projects Database'!$W678&lt;&gt;"",HYPERLINK('CCUS Projects Database'!$W678,"Link 6"),"")</f>
        <v/>
      </c>
      <c r="AE678" s="239" t="str">
        <f>IF('CCUS Projects Database'!$X678&lt;&gt;"",HYPERLINK('CCUS Projects Database'!$X678,"Link 7"),"")</f>
        <v/>
      </c>
    </row>
    <row r="679" ht="14.25" customHeight="1">
      <c r="A679" s="233" t="s">
        <v>21195</v>
      </c>
      <c r="B679" s="234">
        <v>897.0</v>
      </c>
      <c r="C679" s="234" t="s">
        <v>18586</v>
      </c>
      <c r="D679" s="235" t="s">
        <v>21196</v>
      </c>
      <c r="E679" s="234" t="s">
        <v>18616</v>
      </c>
      <c r="F679" s="234">
        <v>2020.0</v>
      </c>
      <c r="G679" s="234" t="s">
        <v>18725</v>
      </c>
      <c r="H679" s="234" t="s">
        <v>18725</v>
      </c>
      <c r="I679" s="234" t="s">
        <v>18725</v>
      </c>
      <c r="J679" s="234" t="s">
        <v>18636</v>
      </c>
      <c r="K679" s="236" t="s">
        <v>18725</v>
      </c>
      <c r="L679" s="236">
        <v>1.0</v>
      </c>
      <c r="M679" s="236">
        <v>1.0</v>
      </c>
      <c r="N679" s="234" t="s">
        <v>103</v>
      </c>
      <c r="O679" s="237" t="s">
        <v>18675</v>
      </c>
      <c r="P679" s="238" t="s">
        <v>18725</v>
      </c>
      <c r="Q679" s="234" t="s">
        <v>18732</v>
      </c>
      <c r="R679" s="238" t="s">
        <v>21197</v>
      </c>
      <c r="S679" s="238" t="s">
        <v>18725</v>
      </c>
      <c r="T679" s="238" t="s">
        <v>18725</v>
      </c>
      <c r="U679" s="238" t="s">
        <v>18725</v>
      </c>
      <c r="V679" s="238" t="s">
        <v>18725</v>
      </c>
      <c r="W679" s="238" t="s">
        <v>18725</v>
      </c>
      <c r="X679" s="238" t="s">
        <v>18725</v>
      </c>
      <c r="Y679" s="239" t="str">
        <f>IF('CCUS Projects Database'!$R679&lt;&gt;"",HYPERLINK('CCUS Projects Database'!$R679,"Link 1"),"")</f>
        <v>Link 1</v>
      </c>
      <c r="Z679" s="239" t="str">
        <f>IF('CCUS Projects Database'!$S679&lt;&gt;"",HYPERLINK('CCUS Projects Database'!$S679,"Link 2"),"")</f>
        <v/>
      </c>
      <c r="AA679" s="239" t="str">
        <f>IF('CCUS Projects Database'!$T679&lt;&gt;"",HYPERLINK('CCUS Projects Database'!$T679,"Link 3"),"")</f>
        <v/>
      </c>
      <c r="AB679" s="239" t="str">
        <f>IF('CCUS Projects Database'!$U679&lt;&gt;"",HYPERLINK('CCUS Projects Database'!$U679,"Link 4"),"")</f>
        <v/>
      </c>
      <c r="AC679" s="239" t="str">
        <f>IF('CCUS Projects Database'!$V679&lt;&gt;"",HYPERLINK('CCUS Projects Database'!$V679,"Link 5"),"")</f>
        <v/>
      </c>
      <c r="AD679" s="239" t="str">
        <f>IF('CCUS Projects Database'!$W679&lt;&gt;"",HYPERLINK('CCUS Projects Database'!$W679,"Link 6"),"")</f>
        <v/>
      </c>
      <c r="AE679" s="239" t="str">
        <f>IF('CCUS Projects Database'!$X679&lt;&gt;"",HYPERLINK('CCUS Projects Database'!$X679,"Link 7"),"")</f>
        <v/>
      </c>
    </row>
    <row r="680" ht="14.25" customHeight="1">
      <c r="A680" s="233" t="s">
        <v>21198</v>
      </c>
      <c r="B680" s="234">
        <v>900.0</v>
      </c>
      <c r="C680" s="234" t="s">
        <v>18586</v>
      </c>
      <c r="D680" s="235" t="s">
        <v>21178</v>
      </c>
      <c r="E680" s="234" t="s">
        <v>18616</v>
      </c>
      <c r="F680" s="234">
        <v>2023.0</v>
      </c>
      <c r="G680" s="234" t="s">
        <v>18725</v>
      </c>
      <c r="H680" s="234" t="s">
        <v>18725</v>
      </c>
      <c r="I680" s="234" t="s">
        <v>18725</v>
      </c>
      <c r="J680" s="234" t="s">
        <v>18636</v>
      </c>
      <c r="K680" s="236" t="s">
        <v>18725</v>
      </c>
      <c r="L680" s="236">
        <v>2.0</v>
      </c>
      <c r="M680" s="236">
        <v>2.0</v>
      </c>
      <c r="N680" s="234" t="s">
        <v>12270</v>
      </c>
      <c r="O680" s="237" t="s">
        <v>18675</v>
      </c>
      <c r="P680" s="238" t="s">
        <v>18725</v>
      </c>
      <c r="Q680" s="234" t="s">
        <v>18732</v>
      </c>
      <c r="R680" s="238" t="s">
        <v>21199</v>
      </c>
      <c r="S680" s="238" t="s">
        <v>18725</v>
      </c>
      <c r="T680" s="238" t="s">
        <v>18725</v>
      </c>
      <c r="U680" s="238" t="s">
        <v>18725</v>
      </c>
      <c r="V680" s="238" t="s">
        <v>18725</v>
      </c>
      <c r="W680" s="238" t="s">
        <v>18725</v>
      </c>
      <c r="X680" s="238" t="s">
        <v>18725</v>
      </c>
      <c r="Y680" s="239" t="str">
        <f>IF('CCUS Projects Database'!$R680&lt;&gt;"",HYPERLINK('CCUS Projects Database'!$R680,"Link 1"),"")</f>
        <v>Link 1</v>
      </c>
      <c r="Z680" s="239" t="str">
        <f>IF('CCUS Projects Database'!$S680&lt;&gt;"",HYPERLINK('CCUS Projects Database'!$S680,"Link 2"),"")</f>
        <v/>
      </c>
      <c r="AA680" s="239" t="str">
        <f>IF('CCUS Projects Database'!$T680&lt;&gt;"",HYPERLINK('CCUS Projects Database'!$T680,"Link 3"),"")</f>
        <v/>
      </c>
      <c r="AB680" s="239" t="str">
        <f>IF('CCUS Projects Database'!$U680&lt;&gt;"",HYPERLINK('CCUS Projects Database'!$U680,"Link 4"),"")</f>
        <v/>
      </c>
      <c r="AC680" s="239" t="str">
        <f>IF('CCUS Projects Database'!$V680&lt;&gt;"",HYPERLINK('CCUS Projects Database'!$V680,"Link 5"),"")</f>
        <v/>
      </c>
      <c r="AD680" s="239" t="str">
        <f>IF('CCUS Projects Database'!$W680&lt;&gt;"",HYPERLINK('CCUS Projects Database'!$W680,"Link 6"),"")</f>
        <v/>
      </c>
      <c r="AE680" s="239" t="str">
        <f>IF('CCUS Projects Database'!$X680&lt;&gt;"",HYPERLINK('CCUS Projects Database'!$X680,"Link 7"),"")</f>
        <v/>
      </c>
    </row>
    <row r="681" ht="14.25" customHeight="1">
      <c r="A681" s="233" t="s">
        <v>21200</v>
      </c>
      <c r="B681" s="234">
        <v>901.0</v>
      </c>
      <c r="C681" s="234" t="s">
        <v>18586</v>
      </c>
      <c r="D681" s="235" t="s">
        <v>21201</v>
      </c>
      <c r="E681" s="234" t="s">
        <v>18623</v>
      </c>
      <c r="F681" s="234">
        <v>2023.0</v>
      </c>
      <c r="G681" s="234" t="s">
        <v>18725</v>
      </c>
      <c r="H681" s="234" t="s">
        <v>18725</v>
      </c>
      <c r="I681" s="234" t="s">
        <v>18725</v>
      </c>
      <c r="J681" s="234" t="s">
        <v>18636</v>
      </c>
      <c r="K681" s="236" t="s">
        <v>18725</v>
      </c>
      <c r="L681" s="236">
        <v>1.0</v>
      </c>
      <c r="M681" s="236">
        <v>1.0</v>
      </c>
      <c r="N681" s="234" t="s">
        <v>18623</v>
      </c>
      <c r="O681" s="237" t="s">
        <v>18675</v>
      </c>
      <c r="P681" s="238" t="s">
        <v>18725</v>
      </c>
      <c r="Q681" s="234" t="s">
        <v>18732</v>
      </c>
      <c r="R681" s="238" t="s">
        <v>20828</v>
      </c>
      <c r="S681" s="238" t="s">
        <v>21202</v>
      </c>
      <c r="T681" s="238" t="s">
        <v>18725</v>
      </c>
      <c r="U681" s="238" t="s">
        <v>18725</v>
      </c>
      <c r="V681" s="238" t="s">
        <v>18725</v>
      </c>
      <c r="W681" s="238" t="s">
        <v>18725</v>
      </c>
      <c r="X681" s="238" t="s">
        <v>18725</v>
      </c>
      <c r="Y681" s="239" t="str">
        <f>IF('CCUS Projects Database'!$R681&lt;&gt;"",HYPERLINK('CCUS Projects Database'!$R681,"Link 1"),"")</f>
        <v>Link 1</v>
      </c>
      <c r="Z681" s="239" t="str">
        <f>IF('CCUS Projects Database'!$S681&lt;&gt;"",HYPERLINK('CCUS Projects Database'!$S681,"Link 2"),"")</f>
        <v>Link 2</v>
      </c>
      <c r="AA681" s="239" t="str">
        <f>IF('CCUS Projects Database'!$T681&lt;&gt;"",HYPERLINK('CCUS Projects Database'!$T681,"Link 3"),"")</f>
        <v/>
      </c>
      <c r="AB681" s="239" t="str">
        <f>IF('CCUS Projects Database'!$U681&lt;&gt;"",HYPERLINK('CCUS Projects Database'!$U681,"Link 4"),"")</f>
        <v/>
      </c>
      <c r="AC681" s="239" t="str">
        <f>IF('CCUS Projects Database'!$V681&lt;&gt;"",HYPERLINK('CCUS Projects Database'!$V681,"Link 5"),"")</f>
        <v/>
      </c>
      <c r="AD681" s="239" t="str">
        <f>IF('CCUS Projects Database'!$W681&lt;&gt;"",HYPERLINK('CCUS Projects Database'!$W681,"Link 6"),"")</f>
        <v/>
      </c>
      <c r="AE681" s="239" t="str">
        <f>IF('CCUS Projects Database'!$X681&lt;&gt;"",HYPERLINK('CCUS Projects Database'!$X681,"Link 7"),"")</f>
        <v/>
      </c>
    </row>
    <row r="682" ht="14.25" customHeight="1">
      <c r="A682" s="233" t="s">
        <v>21203</v>
      </c>
      <c r="B682" s="234">
        <v>902.0</v>
      </c>
      <c r="C682" s="234" t="s">
        <v>18586</v>
      </c>
      <c r="D682" s="235" t="s">
        <v>21204</v>
      </c>
      <c r="E682" s="234" t="s">
        <v>18618</v>
      </c>
      <c r="F682" s="234">
        <v>2023.0</v>
      </c>
      <c r="G682" s="234">
        <v>2025.0</v>
      </c>
      <c r="H682" s="234" t="s">
        <v>18725</v>
      </c>
      <c r="I682" s="234" t="s">
        <v>18725</v>
      </c>
      <c r="J682" s="234" t="s">
        <v>18636</v>
      </c>
      <c r="K682" s="236" t="s">
        <v>18725</v>
      </c>
      <c r="L682" s="236">
        <v>0.1</v>
      </c>
      <c r="M682" s="236">
        <v>0.1</v>
      </c>
      <c r="N682" s="234" t="s">
        <v>12270</v>
      </c>
      <c r="O682" s="237" t="s">
        <v>18675</v>
      </c>
      <c r="P682" s="238" t="s">
        <v>18971</v>
      </c>
      <c r="Q682" s="234" t="s">
        <v>18732</v>
      </c>
      <c r="R682" s="238" t="s">
        <v>21205</v>
      </c>
      <c r="S682" s="238" t="s">
        <v>18725</v>
      </c>
      <c r="T682" s="238" t="s">
        <v>18725</v>
      </c>
      <c r="U682" s="238" t="s">
        <v>18725</v>
      </c>
      <c r="V682" s="238" t="s">
        <v>18725</v>
      </c>
      <c r="W682" s="238" t="s">
        <v>18725</v>
      </c>
      <c r="X682" s="238" t="s">
        <v>18725</v>
      </c>
      <c r="Y682" s="239" t="str">
        <f>IF('CCUS Projects Database'!$R682&lt;&gt;"",HYPERLINK('CCUS Projects Database'!$R682,"Link 1"),"")</f>
        <v>Link 1</v>
      </c>
      <c r="Z682" s="239" t="str">
        <f>IF('CCUS Projects Database'!$S682&lt;&gt;"",HYPERLINK('CCUS Projects Database'!$S682,"Link 2"),"")</f>
        <v/>
      </c>
      <c r="AA682" s="239" t="str">
        <f>IF('CCUS Projects Database'!$T682&lt;&gt;"",HYPERLINK('CCUS Projects Database'!$T682,"Link 3"),"")</f>
        <v/>
      </c>
      <c r="AB682" s="239" t="str">
        <f>IF('CCUS Projects Database'!$U682&lt;&gt;"",HYPERLINK('CCUS Projects Database'!$U682,"Link 4"),"")</f>
        <v/>
      </c>
      <c r="AC682" s="239" t="str">
        <f>IF('CCUS Projects Database'!$V682&lt;&gt;"",HYPERLINK('CCUS Projects Database'!$V682,"Link 5"),"")</f>
        <v/>
      </c>
      <c r="AD682" s="239" t="str">
        <f>IF('CCUS Projects Database'!$W682&lt;&gt;"",HYPERLINK('CCUS Projects Database'!$W682,"Link 6"),"")</f>
        <v/>
      </c>
      <c r="AE682" s="239" t="str">
        <f>IF('CCUS Projects Database'!$X682&lt;&gt;"",HYPERLINK('CCUS Projects Database'!$X682,"Link 7"),"")</f>
        <v/>
      </c>
    </row>
    <row r="683" ht="14.25" customHeight="1">
      <c r="A683" s="233" t="s">
        <v>21206</v>
      </c>
      <c r="B683" s="234">
        <v>903.0</v>
      </c>
      <c r="C683" s="234" t="s">
        <v>18586</v>
      </c>
      <c r="D683" s="235" t="s">
        <v>21207</v>
      </c>
      <c r="E683" s="234" t="s">
        <v>18618</v>
      </c>
      <c r="F683" s="234">
        <v>2023.0</v>
      </c>
      <c r="G683" s="234">
        <v>2025.0</v>
      </c>
      <c r="H683" s="234">
        <v>2027.0</v>
      </c>
      <c r="I683" s="234" t="s">
        <v>18725</v>
      </c>
      <c r="J683" s="234" t="s">
        <v>18636</v>
      </c>
      <c r="K683" s="236" t="s">
        <v>18725</v>
      </c>
      <c r="L683" s="236">
        <v>0.1</v>
      </c>
      <c r="M683" s="236">
        <v>0.1</v>
      </c>
      <c r="N683" s="234" t="s">
        <v>677</v>
      </c>
      <c r="O683" s="237" t="s">
        <v>18675</v>
      </c>
      <c r="P683" s="238" t="s">
        <v>18971</v>
      </c>
      <c r="Q683" s="234" t="s">
        <v>18732</v>
      </c>
      <c r="R683" s="238" t="s">
        <v>21205</v>
      </c>
      <c r="S683" s="238" t="s">
        <v>21208</v>
      </c>
      <c r="T683" s="238" t="s">
        <v>18725</v>
      </c>
      <c r="U683" s="238" t="s">
        <v>18725</v>
      </c>
      <c r="V683" s="238" t="s">
        <v>18725</v>
      </c>
      <c r="W683" s="238" t="s">
        <v>18725</v>
      </c>
      <c r="X683" s="238" t="s">
        <v>18725</v>
      </c>
      <c r="Y683" s="239" t="str">
        <f>IF('CCUS Projects Database'!$R683&lt;&gt;"",HYPERLINK('CCUS Projects Database'!$R683,"Link 1"),"")</f>
        <v>Link 1</v>
      </c>
      <c r="Z683" s="239" t="str">
        <f>IF('CCUS Projects Database'!$S683&lt;&gt;"",HYPERLINK('CCUS Projects Database'!$S683,"Link 2"),"")</f>
        <v>Link 2</v>
      </c>
      <c r="AA683" s="239" t="str">
        <f>IF('CCUS Projects Database'!$T683&lt;&gt;"",HYPERLINK('CCUS Projects Database'!$T683,"Link 3"),"")</f>
        <v/>
      </c>
      <c r="AB683" s="239" t="str">
        <f>IF('CCUS Projects Database'!$U683&lt;&gt;"",HYPERLINK('CCUS Projects Database'!$U683,"Link 4"),"")</f>
        <v/>
      </c>
      <c r="AC683" s="239" t="str">
        <f>IF('CCUS Projects Database'!$V683&lt;&gt;"",HYPERLINK('CCUS Projects Database'!$V683,"Link 5"),"")</f>
        <v/>
      </c>
      <c r="AD683" s="239" t="str">
        <f>IF('CCUS Projects Database'!$W683&lt;&gt;"",HYPERLINK('CCUS Projects Database'!$W683,"Link 6"),"")</f>
        <v/>
      </c>
      <c r="AE683" s="239" t="str">
        <f>IF('CCUS Projects Database'!$X683&lt;&gt;"",HYPERLINK('CCUS Projects Database'!$X683,"Link 7"),"")</f>
        <v/>
      </c>
    </row>
    <row r="684" ht="14.25" customHeight="1">
      <c r="A684" s="233" t="s">
        <v>21209</v>
      </c>
      <c r="B684" s="234">
        <v>904.0</v>
      </c>
      <c r="C684" s="234" t="s">
        <v>83</v>
      </c>
      <c r="D684" s="235" t="s">
        <v>21210</v>
      </c>
      <c r="E684" s="234" t="s">
        <v>18620</v>
      </c>
      <c r="F684" s="234">
        <v>2023.0</v>
      </c>
      <c r="G684" s="234" t="s">
        <v>18725</v>
      </c>
      <c r="H684" s="234" t="s">
        <v>18725</v>
      </c>
      <c r="I684" s="234" t="s">
        <v>18725</v>
      </c>
      <c r="J684" s="234" t="s">
        <v>18192</v>
      </c>
      <c r="K684" s="236" t="s">
        <v>18725</v>
      </c>
      <c r="L684" s="236" t="s">
        <v>18725</v>
      </c>
      <c r="M684" s="236" t="s">
        <v>18725</v>
      </c>
      <c r="N684" s="234" t="s">
        <v>18620</v>
      </c>
      <c r="O684" s="237" t="s">
        <v>18675</v>
      </c>
      <c r="P684" s="238" t="s">
        <v>21211</v>
      </c>
      <c r="Q684" s="234" t="s">
        <v>18726</v>
      </c>
      <c r="R684" s="238" t="s">
        <v>21212</v>
      </c>
      <c r="S684" s="238" t="s">
        <v>18725</v>
      </c>
      <c r="T684" s="238" t="s">
        <v>18725</v>
      </c>
      <c r="U684" s="238" t="s">
        <v>18725</v>
      </c>
      <c r="V684" s="238" t="s">
        <v>18725</v>
      </c>
      <c r="W684" s="238" t="s">
        <v>18725</v>
      </c>
      <c r="X684" s="238" t="s">
        <v>18725</v>
      </c>
      <c r="Y684" s="239" t="str">
        <f>IF('CCUS Projects Database'!$R684&lt;&gt;"",HYPERLINK('CCUS Projects Database'!$R684,"Link 1"),"")</f>
        <v>Link 1</v>
      </c>
      <c r="Z684" s="239" t="str">
        <f>IF('CCUS Projects Database'!$S684&lt;&gt;"",HYPERLINK('CCUS Projects Database'!$S684,"Link 2"),"")</f>
        <v/>
      </c>
      <c r="AA684" s="239" t="str">
        <f>IF('CCUS Projects Database'!$T684&lt;&gt;"",HYPERLINK('CCUS Projects Database'!$T684,"Link 3"),"")</f>
        <v/>
      </c>
      <c r="AB684" s="239" t="str">
        <f>IF('CCUS Projects Database'!$U684&lt;&gt;"",HYPERLINK('CCUS Projects Database'!$U684,"Link 4"),"")</f>
        <v/>
      </c>
      <c r="AC684" s="239" t="str">
        <f>IF('CCUS Projects Database'!$V684&lt;&gt;"",HYPERLINK('CCUS Projects Database'!$V684,"Link 5"),"")</f>
        <v/>
      </c>
      <c r="AD684" s="239" t="str">
        <f>IF('CCUS Projects Database'!$W684&lt;&gt;"",HYPERLINK('CCUS Projects Database'!$W684,"Link 6"),"")</f>
        <v/>
      </c>
      <c r="AE684" s="239" t="str">
        <f>IF('CCUS Projects Database'!$X684&lt;&gt;"",HYPERLINK('CCUS Projects Database'!$X684,"Link 7"),"")</f>
        <v/>
      </c>
    </row>
    <row r="685" ht="14.25" customHeight="1">
      <c r="A685" s="233" t="s">
        <v>21213</v>
      </c>
      <c r="B685" s="234">
        <v>905.0</v>
      </c>
      <c r="C685" s="234" t="s">
        <v>83</v>
      </c>
      <c r="D685" s="235" t="s">
        <v>21214</v>
      </c>
      <c r="E685" s="234" t="s">
        <v>18618</v>
      </c>
      <c r="F685" s="234">
        <v>2023.0</v>
      </c>
      <c r="G685" s="234" t="s">
        <v>18725</v>
      </c>
      <c r="H685" s="234" t="s">
        <v>18725</v>
      </c>
      <c r="I685" s="234" t="s">
        <v>18725</v>
      </c>
      <c r="J685" s="234" t="s">
        <v>18636</v>
      </c>
      <c r="K685" s="236" t="s">
        <v>18725</v>
      </c>
      <c r="L685" s="236">
        <v>0.235</v>
      </c>
      <c r="M685" s="236">
        <v>0.235</v>
      </c>
      <c r="N685" s="234" t="s">
        <v>18654</v>
      </c>
      <c r="O685" s="237" t="s">
        <v>18675</v>
      </c>
      <c r="P685" s="238" t="s">
        <v>18725</v>
      </c>
      <c r="Q685" s="234" t="s">
        <v>18726</v>
      </c>
      <c r="R685" s="238" t="s">
        <v>21215</v>
      </c>
      <c r="S685" s="238" t="s">
        <v>21216</v>
      </c>
      <c r="T685" s="238" t="s">
        <v>21217</v>
      </c>
      <c r="U685" s="238" t="s">
        <v>18725</v>
      </c>
      <c r="V685" s="238" t="s">
        <v>18725</v>
      </c>
      <c r="W685" s="238" t="s">
        <v>18725</v>
      </c>
      <c r="X685" s="238" t="s">
        <v>18725</v>
      </c>
      <c r="Y685" s="239" t="str">
        <f>IF('CCUS Projects Database'!$R685&lt;&gt;"",HYPERLINK('CCUS Projects Database'!$R685,"Link 1"),"")</f>
        <v>Link 1</v>
      </c>
      <c r="Z685" s="239" t="str">
        <f>IF('CCUS Projects Database'!$S685&lt;&gt;"",HYPERLINK('CCUS Projects Database'!$S685,"Link 2"),"")</f>
        <v>Link 2</v>
      </c>
      <c r="AA685" s="239" t="str">
        <f>IF('CCUS Projects Database'!$T685&lt;&gt;"",HYPERLINK('CCUS Projects Database'!$T685,"Link 3"),"")</f>
        <v>Link 3</v>
      </c>
      <c r="AB685" s="239" t="str">
        <f>IF('CCUS Projects Database'!$U685&lt;&gt;"",HYPERLINK('CCUS Projects Database'!$U685,"Link 4"),"")</f>
        <v/>
      </c>
      <c r="AC685" s="239" t="str">
        <f>IF('CCUS Projects Database'!$V685&lt;&gt;"",HYPERLINK('CCUS Projects Database'!$V685,"Link 5"),"")</f>
        <v/>
      </c>
      <c r="AD685" s="239" t="str">
        <f>IF('CCUS Projects Database'!$W685&lt;&gt;"",HYPERLINK('CCUS Projects Database'!$W685,"Link 6"),"")</f>
        <v/>
      </c>
      <c r="AE685" s="239" t="str">
        <f>IF('CCUS Projects Database'!$X685&lt;&gt;"",HYPERLINK('CCUS Projects Database'!$X685,"Link 7"),"")</f>
        <v/>
      </c>
    </row>
    <row r="686" ht="14.25" customHeight="1">
      <c r="A686" s="233" t="s">
        <v>21218</v>
      </c>
      <c r="B686" s="234">
        <v>906.0</v>
      </c>
      <c r="C686" s="234" t="s">
        <v>18321</v>
      </c>
      <c r="D686" s="235" t="s">
        <v>21219</v>
      </c>
      <c r="E686" s="234" t="s">
        <v>18623</v>
      </c>
      <c r="F686" s="234">
        <v>2023.0</v>
      </c>
      <c r="G686" s="234" t="s">
        <v>18725</v>
      </c>
      <c r="H686" s="234" t="s">
        <v>18725</v>
      </c>
      <c r="I686" s="234" t="s">
        <v>18725</v>
      </c>
      <c r="J686" s="234" t="s">
        <v>18636</v>
      </c>
      <c r="K686" s="236" t="s">
        <v>18725</v>
      </c>
      <c r="L686" s="236" t="s">
        <v>18725</v>
      </c>
      <c r="M686" s="236" t="s">
        <v>18725</v>
      </c>
      <c r="N686" s="234" t="s">
        <v>18623</v>
      </c>
      <c r="O686" s="237" t="s">
        <v>18675</v>
      </c>
      <c r="P686" s="234" t="s">
        <v>21218</v>
      </c>
      <c r="Q686" s="234" t="s">
        <v>18293</v>
      </c>
      <c r="R686" s="238" t="s">
        <v>21220</v>
      </c>
      <c r="S686" s="241" t="s">
        <v>18725</v>
      </c>
      <c r="T686" s="241" t="s">
        <v>18725</v>
      </c>
      <c r="U686" s="241" t="s">
        <v>18725</v>
      </c>
      <c r="V686" s="241" t="s">
        <v>18725</v>
      </c>
      <c r="W686" s="241" t="s">
        <v>18725</v>
      </c>
      <c r="X686" s="241" t="s">
        <v>18725</v>
      </c>
      <c r="Y686" s="239" t="str">
        <f>IF('CCUS Projects Database'!$R686&lt;&gt;"",HYPERLINK('CCUS Projects Database'!$R686,"Link 1"),"")</f>
        <v>Link 1</v>
      </c>
      <c r="Z686" s="239" t="str">
        <f>IF('CCUS Projects Database'!$S686&lt;&gt;"",HYPERLINK('CCUS Projects Database'!$S686,"Link 2"),"")</f>
        <v/>
      </c>
      <c r="AA686" s="239" t="str">
        <f>IF('CCUS Projects Database'!$T686&lt;&gt;"",HYPERLINK('CCUS Projects Database'!$T686,"Link 3"),"")</f>
        <v/>
      </c>
      <c r="AB686" s="239" t="str">
        <f>IF('CCUS Projects Database'!$U686&lt;&gt;"",HYPERLINK('CCUS Projects Database'!$U686,"Link 4"),"")</f>
        <v/>
      </c>
      <c r="AC686" s="239" t="str">
        <f>IF('CCUS Projects Database'!$V686&lt;&gt;"",HYPERLINK('CCUS Projects Database'!$V686,"Link 5"),"")</f>
        <v/>
      </c>
      <c r="AD686" s="239" t="str">
        <f>IF('CCUS Projects Database'!$W686&lt;&gt;"",HYPERLINK('CCUS Projects Database'!$W686,"Link 6"),"")</f>
        <v/>
      </c>
      <c r="AE686" s="239" t="str">
        <f>IF('CCUS Projects Database'!$X686&lt;&gt;"",HYPERLINK('CCUS Projects Database'!$X686,"Link 7"),"")</f>
        <v/>
      </c>
    </row>
    <row r="687" ht="14.25" customHeight="1">
      <c r="A687" s="233" t="s">
        <v>21221</v>
      </c>
      <c r="B687" s="234">
        <v>907.0</v>
      </c>
      <c r="C687" s="234" t="s">
        <v>83</v>
      </c>
      <c r="D687" s="235" t="s">
        <v>21222</v>
      </c>
      <c r="E687" s="234" t="s">
        <v>18623</v>
      </c>
      <c r="F687" s="234">
        <v>2023.0</v>
      </c>
      <c r="G687" s="234" t="s">
        <v>18725</v>
      </c>
      <c r="H687" s="234" t="s">
        <v>18725</v>
      </c>
      <c r="I687" s="234" t="s">
        <v>18725</v>
      </c>
      <c r="J687" s="234" t="s">
        <v>18636</v>
      </c>
      <c r="K687" s="236" t="s">
        <v>18725</v>
      </c>
      <c r="L687" s="236">
        <v>30.0</v>
      </c>
      <c r="M687" s="236">
        <v>30.0</v>
      </c>
      <c r="N687" s="234" t="s">
        <v>18623</v>
      </c>
      <c r="O687" s="237" t="s">
        <v>18675</v>
      </c>
      <c r="P687" s="238" t="s">
        <v>21221</v>
      </c>
      <c r="Q687" s="234" t="s">
        <v>18726</v>
      </c>
      <c r="R687" s="238" t="s">
        <v>21223</v>
      </c>
      <c r="S687" s="238" t="s">
        <v>18725</v>
      </c>
      <c r="T687" s="238" t="s">
        <v>18725</v>
      </c>
      <c r="U687" s="238" t="s">
        <v>18725</v>
      </c>
      <c r="V687" s="238" t="s">
        <v>18725</v>
      </c>
      <c r="W687" s="238" t="s">
        <v>18725</v>
      </c>
      <c r="X687" s="238" t="s">
        <v>18725</v>
      </c>
      <c r="Y687" s="239" t="str">
        <f>IF('CCUS Projects Database'!$R687&lt;&gt;"",HYPERLINK('CCUS Projects Database'!$R687,"Link 1"),"")</f>
        <v>Link 1</v>
      </c>
      <c r="Z687" s="239" t="str">
        <f>IF('CCUS Projects Database'!$S687&lt;&gt;"",HYPERLINK('CCUS Projects Database'!$S687,"Link 2"),"")</f>
        <v/>
      </c>
      <c r="AA687" s="239" t="str">
        <f>IF('CCUS Projects Database'!$T687&lt;&gt;"",HYPERLINK('CCUS Projects Database'!$T687,"Link 3"),"")</f>
        <v/>
      </c>
      <c r="AB687" s="239" t="str">
        <f>IF('CCUS Projects Database'!$U687&lt;&gt;"",HYPERLINK('CCUS Projects Database'!$U687,"Link 4"),"")</f>
        <v/>
      </c>
      <c r="AC687" s="239" t="str">
        <f>IF('CCUS Projects Database'!$V687&lt;&gt;"",HYPERLINK('CCUS Projects Database'!$V687,"Link 5"),"")</f>
        <v/>
      </c>
      <c r="AD687" s="239" t="str">
        <f>IF('CCUS Projects Database'!$W687&lt;&gt;"",HYPERLINK('CCUS Projects Database'!$W687,"Link 6"),"")</f>
        <v/>
      </c>
      <c r="AE687" s="239" t="str">
        <f>IF('CCUS Projects Database'!$X687&lt;&gt;"",HYPERLINK('CCUS Projects Database'!$X687,"Link 7"),"")</f>
        <v/>
      </c>
    </row>
    <row r="688" ht="14.25" customHeight="1">
      <c r="A688" s="233" t="s">
        <v>21224</v>
      </c>
      <c r="B688" s="234">
        <v>909.0</v>
      </c>
      <c r="C688" s="234" t="s">
        <v>18586</v>
      </c>
      <c r="D688" s="235" t="s">
        <v>21225</v>
      </c>
      <c r="E688" s="234" t="s">
        <v>18616</v>
      </c>
      <c r="F688" s="234">
        <v>2023.0</v>
      </c>
      <c r="G688" s="234" t="s">
        <v>18725</v>
      </c>
      <c r="H688" s="234" t="s">
        <v>18725</v>
      </c>
      <c r="I688" s="234" t="s">
        <v>18725</v>
      </c>
      <c r="J688" s="234" t="s">
        <v>18636</v>
      </c>
      <c r="K688" s="236" t="s">
        <v>18725</v>
      </c>
      <c r="L688" s="236" t="s">
        <v>18725</v>
      </c>
      <c r="M688" s="236" t="s">
        <v>18725</v>
      </c>
      <c r="N688" s="234" t="s">
        <v>18654</v>
      </c>
      <c r="O688" s="237" t="s">
        <v>18683</v>
      </c>
      <c r="P688" s="238" t="s">
        <v>18725</v>
      </c>
      <c r="Q688" s="234" t="s">
        <v>18732</v>
      </c>
      <c r="R688" s="238" t="s">
        <v>21226</v>
      </c>
      <c r="S688" s="238" t="s">
        <v>21227</v>
      </c>
      <c r="T688" s="238" t="s">
        <v>18725</v>
      </c>
      <c r="U688" s="238" t="s">
        <v>18725</v>
      </c>
      <c r="V688" s="238" t="s">
        <v>18725</v>
      </c>
      <c r="W688" s="238" t="s">
        <v>18725</v>
      </c>
      <c r="X688" s="238" t="s">
        <v>18725</v>
      </c>
      <c r="Y688" s="239" t="str">
        <f>IF('CCUS Projects Database'!$R688&lt;&gt;"",HYPERLINK('CCUS Projects Database'!$R688,"Link 1"),"")</f>
        <v>Link 1</v>
      </c>
      <c r="Z688" s="239" t="str">
        <f>IF('CCUS Projects Database'!$S688&lt;&gt;"",HYPERLINK('CCUS Projects Database'!$S688,"Link 2"),"")</f>
        <v>Link 2</v>
      </c>
      <c r="AA688" s="239" t="str">
        <f>IF('CCUS Projects Database'!$T688&lt;&gt;"",HYPERLINK('CCUS Projects Database'!$T688,"Link 3"),"")</f>
        <v/>
      </c>
      <c r="AB688" s="239" t="str">
        <f>IF('CCUS Projects Database'!$U688&lt;&gt;"",HYPERLINK('CCUS Projects Database'!$U688,"Link 4"),"")</f>
        <v/>
      </c>
      <c r="AC688" s="239" t="str">
        <f>IF('CCUS Projects Database'!$V688&lt;&gt;"",HYPERLINK('CCUS Projects Database'!$V688,"Link 5"),"")</f>
        <v/>
      </c>
      <c r="AD688" s="239" t="str">
        <f>IF('CCUS Projects Database'!$W688&lt;&gt;"",HYPERLINK('CCUS Projects Database'!$W688,"Link 6"),"")</f>
        <v/>
      </c>
      <c r="AE688" s="239" t="str">
        <f>IF('CCUS Projects Database'!$X688&lt;&gt;"",HYPERLINK('CCUS Projects Database'!$X688,"Link 7"),"")</f>
        <v/>
      </c>
    </row>
    <row r="689" ht="14.25" customHeight="1">
      <c r="A689" s="233" t="s">
        <v>21228</v>
      </c>
      <c r="B689" s="234">
        <v>916.0</v>
      </c>
      <c r="C689" s="234" t="s">
        <v>83</v>
      </c>
      <c r="D689" s="235" t="s">
        <v>20031</v>
      </c>
      <c r="E689" s="234" t="s">
        <v>18618</v>
      </c>
      <c r="F689" s="234">
        <v>2023.0</v>
      </c>
      <c r="G689" s="234" t="s">
        <v>18725</v>
      </c>
      <c r="H689" s="234">
        <v>2028.0</v>
      </c>
      <c r="I689" s="234" t="s">
        <v>18725</v>
      </c>
      <c r="J689" s="234" t="s">
        <v>18636</v>
      </c>
      <c r="K689" s="236">
        <v>2.0</v>
      </c>
      <c r="L689" s="236">
        <v>1.9</v>
      </c>
      <c r="M689" s="236">
        <v>1.9</v>
      </c>
      <c r="N689" s="234" t="s">
        <v>18731</v>
      </c>
      <c r="O689" s="237" t="s">
        <v>18675</v>
      </c>
      <c r="P689" s="238" t="s">
        <v>18985</v>
      </c>
      <c r="Q689" s="234" t="s">
        <v>18726</v>
      </c>
      <c r="R689" s="238" t="s">
        <v>17622</v>
      </c>
      <c r="S689" s="238" t="s">
        <v>18725</v>
      </c>
      <c r="T689" s="238" t="s">
        <v>18725</v>
      </c>
      <c r="U689" s="238" t="s">
        <v>18725</v>
      </c>
      <c r="V689" s="238" t="s">
        <v>18725</v>
      </c>
      <c r="W689" s="238" t="s">
        <v>18725</v>
      </c>
      <c r="X689" s="238" t="s">
        <v>18725</v>
      </c>
      <c r="Y689" s="239" t="str">
        <f>IF('CCUS Projects Database'!$R689&lt;&gt;"",HYPERLINK('CCUS Projects Database'!$R689,"Link 1"),"")</f>
        <v>Link 1</v>
      </c>
      <c r="Z689" s="239" t="str">
        <f>IF('CCUS Projects Database'!$S689&lt;&gt;"",HYPERLINK('CCUS Projects Database'!$S689,"Link 2"),"")</f>
        <v/>
      </c>
      <c r="AA689" s="239" t="str">
        <f>IF('CCUS Projects Database'!$T689&lt;&gt;"",HYPERLINK('CCUS Projects Database'!$T689,"Link 3"),"")</f>
        <v/>
      </c>
      <c r="AB689" s="239" t="str">
        <f>IF('CCUS Projects Database'!$U689&lt;&gt;"",HYPERLINK('CCUS Projects Database'!$U689,"Link 4"),"")</f>
        <v/>
      </c>
      <c r="AC689" s="239" t="str">
        <f>IF('CCUS Projects Database'!$V689&lt;&gt;"",HYPERLINK('CCUS Projects Database'!$V689,"Link 5"),"")</f>
        <v/>
      </c>
      <c r="AD689" s="239" t="str">
        <f>IF('CCUS Projects Database'!$W689&lt;&gt;"",HYPERLINK('CCUS Projects Database'!$W689,"Link 6"),"")</f>
        <v/>
      </c>
      <c r="AE689" s="239" t="str">
        <f>IF('CCUS Projects Database'!$X689&lt;&gt;"",HYPERLINK('CCUS Projects Database'!$X689,"Link 7"),"")</f>
        <v/>
      </c>
    </row>
    <row r="690" ht="14.25" customHeight="1">
      <c r="A690" s="233" t="s">
        <v>21229</v>
      </c>
      <c r="B690" s="234">
        <v>917.0</v>
      </c>
      <c r="C690" s="234" t="s">
        <v>98</v>
      </c>
      <c r="D690" s="235" t="s">
        <v>21230</v>
      </c>
      <c r="E690" s="234" t="s">
        <v>18620</v>
      </c>
      <c r="F690" s="234">
        <v>2023.0</v>
      </c>
      <c r="G690" s="234" t="s">
        <v>18725</v>
      </c>
      <c r="H690" s="234">
        <v>2028.0</v>
      </c>
      <c r="I690" s="234" t="s">
        <v>18725</v>
      </c>
      <c r="J690" s="234" t="s">
        <v>18636</v>
      </c>
      <c r="K690" s="236" t="s">
        <v>18725</v>
      </c>
      <c r="L690" s="236" t="s">
        <v>21231</v>
      </c>
      <c r="M690" s="236">
        <v>24.0</v>
      </c>
      <c r="N690" s="234" t="s">
        <v>18620</v>
      </c>
      <c r="O690" s="237" t="s">
        <v>18675</v>
      </c>
      <c r="P690" s="238" t="s">
        <v>20385</v>
      </c>
      <c r="Q690" s="234" t="s">
        <v>18726</v>
      </c>
      <c r="R690" s="238" t="s">
        <v>18725</v>
      </c>
      <c r="S690" s="238" t="s">
        <v>18725</v>
      </c>
      <c r="T690" s="238" t="s">
        <v>18725</v>
      </c>
      <c r="U690" s="238" t="s">
        <v>18725</v>
      </c>
      <c r="V690" s="238" t="s">
        <v>18725</v>
      </c>
      <c r="W690" s="238" t="s">
        <v>18725</v>
      </c>
      <c r="X690" s="238" t="s">
        <v>18725</v>
      </c>
      <c r="Y690" s="239" t="str">
        <f>IF('CCUS Projects Database'!$R690&lt;&gt;"",HYPERLINK('CCUS Projects Database'!$R690,"Link 1"),"")</f>
        <v/>
      </c>
      <c r="Z690" s="239" t="str">
        <f>IF('CCUS Projects Database'!$S690&lt;&gt;"",HYPERLINK('CCUS Projects Database'!$S690,"Link 2"),"")</f>
        <v/>
      </c>
      <c r="AA690" s="239" t="str">
        <f>IF('CCUS Projects Database'!$T690&lt;&gt;"",HYPERLINK('CCUS Projects Database'!$T690,"Link 3"),"")</f>
        <v/>
      </c>
      <c r="AB690" s="239" t="str">
        <f>IF('CCUS Projects Database'!$U690&lt;&gt;"",HYPERLINK('CCUS Projects Database'!$U690,"Link 4"),"")</f>
        <v/>
      </c>
      <c r="AC690" s="239" t="str">
        <f>IF('CCUS Projects Database'!$V690&lt;&gt;"",HYPERLINK('CCUS Projects Database'!$V690,"Link 5"),"")</f>
        <v/>
      </c>
      <c r="AD690" s="239" t="str">
        <f>IF('CCUS Projects Database'!$W690&lt;&gt;"",HYPERLINK('CCUS Projects Database'!$W690,"Link 6"),"")</f>
        <v/>
      </c>
      <c r="AE690" s="239" t="str">
        <f>IF('CCUS Projects Database'!$X690&lt;&gt;"",HYPERLINK('CCUS Projects Database'!$X690,"Link 7"),"")</f>
        <v/>
      </c>
    </row>
    <row r="691" ht="14.25" customHeight="1">
      <c r="A691" s="233" t="s">
        <v>21232</v>
      </c>
      <c r="B691" s="234">
        <v>919.0</v>
      </c>
      <c r="C691" s="234" t="s">
        <v>18947</v>
      </c>
      <c r="D691" s="235" t="s">
        <v>21233</v>
      </c>
      <c r="E691" s="234" t="s">
        <v>18618</v>
      </c>
      <c r="F691" s="234">
        <v>2023.0</v>
      </c>
      <c r="G691" s="234" t="s">
        <v>18725</v>
      </c>
      <c r="H691" s="234" t="s">
        <v>18725</v>
      </c>
      <c r="I691" s="234" t="s">
        <v>18725</v>
      </c>
      <c r="J691" s="234" t="s">
        <v>18636</v>
      </c>
      <c r="K691" s="236" t="s">
        <v>18725</v>
      </c>
      <c r="L691" s="236" t="s">
        <v>18725</v>
      </c>
      <c r="M691" s="236" t="s">
        <v>18725</v>
      </c>
      <c r="N691" s="234" t="s">
        <v>18654</v>
      </c>
      <c r="O691" s="237" t="s">
        <v>18683</v>
      </c>
      <c r="P691" s="238" t="s">
        <v>18725</v>
      </c>
      <c r="Q691" s="234" t="s">
        <v>18856</v>
      </c>
      <c r="R691" s="238" t="s">
        <v>21234</v>
      </c>
      <c r="S691" s="238" t="s">
        <v>18725</v>
      </c>
      <c r="T691" s="238" t="s">
        <v>18725</v>
      </c>
      <c r="U691" s="238" t="s">
        <v>18725</v>
      </c>
      <c r="V691" s="238" t="s">
        <v>18725</v>
      </c>
      <c r="W691" s="238" t="s">
        <v>18725</v>
      </c>
      <c r="X691" s="238" t="s">
        <v>18725</v>
      </c>
      <c r="Y691" s="239" t="str">
        <f>IF('CCUS Projects Database'!$R691&lt;&gt;"",HYPERLINK('CCUS Projects Database'!$R691,"Link 1"),"")</f>
        <v>Link 1</v>
      </c>
      <c r="Z691" s="239" t="str">
        <f>IF('CCUS Projects Database'!$S691&lt;&gt;"",HYPERLINK('CCUS Projects Database'!$S691,"Link 2"),"")</f>
        <v/>
      </c>
      <c r="AA691" s="239" t="str">
        <f>IF('CCUS Projects Database'!$T691&lt;&gt;"",HYPERLINK('CCUS Projects Database'!$T691,"Link 3"),"")</f>
        <v/>
      </c>
      <c r="AB691" s="239" t="str">
        <f>IF('CCUS Projects Database'!$U691&lt;&gt;"",HYPERLINK('CCUS Projects Database'!$U691,"Link 4"),"")</f>
        <v/>
      </c>
      <c r="AC691" s="239" t="str">
        <f>IF('CCUS Projects Database'!$V691&lt;&gt;"",HYPERLINK('CCUS Projects Database'!$V691,"Link 5"),"")</f>
        <v/>
      </c>
      <c r="AD691" s="239" t="str">
        <f>IF('CCUS Projects Database'!$W691&lt;&gt;"",HYPERLINK('CCUS Projects Database'!$W691,"Link 6"),"")</f>
        <v/>
      </c>
      <c r="AE691" s="239" t="str">
        <f>IF('CCUS Projects Database'!$X691&lt;&gt;"",HYPERLINK('CCUS Projects Database'!$X691,"Link 7"),"")</f>
        <v/>
      </c>
    </row>
    <row r="692" ht="14.25" customHeight="1">
      <c r="A692" s="233" t="s">
        <v>21235</v>
      </c>
      <c r="B692" s="234">
        <v>920.0</v>
      </c>
      <c r="C692" s="234" t="s">
        <v>18586</v>
      </c>
      <c r="D692" s="235" t="s">
        <v>21236</v>
      </c>
      <c r="E692" s="234" t="s">
        <v>18618</v>
      </c>
      <c r="F692" s="234">
        <v>2023.0</v>
      </c>
      <c r="G692" s="234" t="s">
        <v>18725</v>
      </c>
      <c r="H692" s="234" t="s">
        <v>18725</v>
      </c>
      <c r="I692" s="234" t="s">
        <v>18725</v>
      </c>
      <c r="J692" s="234" t="s">
        <v>18636</v>
      </c>
      <c r="K692" s="236" t="s">
        <v>18725</v>
      </c>
      <c r="L692" s="236">
        <v>1.5</v>
      </c>
      <c r="M692" s="236">
        <v>1.5</v>
      </c>
      <c r="N692" s="234" t="s">
        <v>18663</v>
      </c>
      <c r="O692" s="237" t="s">
        <v>18683</v>
      </c>
      <c r="P692" s="238" t="s">
        <v>18725</v>
      </c>
      <c r="Q692" s="234" t="s">
        <v>18732</v>
      </c>
      <c r="R692" s="238" t="s">
        <v>21237</v>
      </c>
      <c r="S692" s="238" t="s">
        <v>18725</v>
      </c>
      <c r="T692" s="238" t="s">
        <v>18725</v>
      </c>
      <c r="U692" s="238" t="s">
        <v>18725</v>
      </c>
      <c r="V692" s="238" t="s">
        <v>18725</v>
      </c>
      <c r="W692" s="238" t="s">
        <v>18725</v>
      </c>
      <c r="X692" s="238" t="s">
        <v>18725</v>
      </c>
      <c r="Y692" s="239" t="str">
        <f>IF('CCUS Projects Database'!$R692&lt;&gt;"",HYPERLINK('CCUS Projects Database'!$R692,"Link 1"),"")</f>
        <v>Link 1</v>
      </c>
      <c r="Z692" s="239" t="str">
        <f>IF('CCUS Projects Database'!$S692&lt;&gt;"",HYPERLINK('CCUS Projects Database'!$S692,"Link 2"),"")</f>
        <v/>
      </c>
      <c r="AA692" s="239" t="str">
        <f>IF('CCUS Projects Database'!$T692&lt;&gt;"",HYPERLINK('CCUS Projects Database'!$T692,"Link 3"),"")</f>
        <v/>
      </c>
      <c r="AB692" s="239" t="str">
        <f>IF('CCUS Projects Database'!$U692&lt;&gt;"",HYPERLINK('CCUS Projects Database'!$U692,"Link 4"),"")</f>
        <v/>
      </c>
      <c r="AC692" s="239" t="str">
        <f>IF('CCUS Projects Database'!$V692&lt;&gt;"",HYPERLINK('CCUS Projects Database'!$V692,"Link 5"),"")</f>
        <v/>
      </c>
      <c r="AD692" s="239" t="str">
        <f>IF('CCUS Projects Database'!$W692&lt;&gt;"",HYPERLINK('CCUS Projects Database'!$W692,"Link 6"),"")</f>
        <v/>
      </c>
      <c r="AE692" s="239" t="str">
        <f>IF('CCUS Projects Database'!$X692&lt;&gt;"",HYPERLINK('CCUS Projects Database'!$X692,"Link 7"),"")</f>
        <v/>
      </c>
    </row>
    <row r="693" ht="14.25" customHeight="1">
      <c r="A693" s="233" t="s">
        <v>21238</v>
      </c>
      <c r="B693" s="234">
        <v>921.0</v>
      </c>
      <c r="C693" s="234" t="s">
        <v>18321</v>
      </c>
      <c r="D693" s="235" t="s">
        <v>21239</v>
      </c>
      <c r="E693" s="234" t="s">
        <v>18618</v>
      </c>
      <c r="F693" s="234">
        <v>2023.0</v>
      </c>
      <c r="G693" s="234" t="s">
        <v>18725</v>
      </c>
      <c r="H693" s="234" t="s">
        <v>18725</v>
      </c>
      <c r="I693" s="234" t="s">
        <v>18725</v>
      </c>
      <c r="J693" s="234" t="s">
        <v>18636</v>
      </c>
      <c r="K693" s="236" t="s">
        <v>18725</v>
      </c>
      <c r="L693" s="236">
        <v>1.0</v>
      </c>
      <c r="M693" s="236">
        <v>1.0</v>
      </c>
      <c r="N693" s="234" t="s">
        <v>18218</v>
      </c>
      <c r="O693" s="237" t="s">
        <v>18675</v>
      </c>
      <c r="P693" s="238" t="s">
        <v>18725</v>
      </c>
      <c r="Q693" s="234" t="s">
        <v>18293</v>
      </c>
      <c r="R693" s="238" t="s">
        <v>21240</v>
      </c>
      <c r="S693" s="238" t="s">
        <v>18725</v>
      </c>
      <c r="T693" s="238" t="s">
        <v>18725</v>
      </c>
      <c r="U693" s="238" t="s">
        <v>18725</v>
      </c>
      <c r="V693" s="238" t="s">
        <v>18725</v>
      </c>
      <c r="W693" s="238" t="s">
        <v>18725</v>
      </c>
      <c r="X693" s="238" t="s">
        <v>18725</v>
      </c>
      <c r="Y693" s="239" t="str">
        <f>IF('CCUS Projects Database'!$R693&lt;&gt;"",HYPERLINK('CCUS Projects Database'!$R693,"Link 1"),"")</f>
        <v>Link 1</v>
      </c>
      <c r="Z693" s="239" t="str">
        <f>IF('CCUS Projects Database'!$S693&lt;&gt;"",HYPERLINK('CCUS Projects Database'!$S693,"Link 2"),"")</f>
        <v/>
      </c>
      <c r="AA693" s="239" t="str">
        <f>IF('CCUS Projects Database'!$T693&lt;&gt;"",HYPERLINK('CCUS Projects Database'!$T693,"Link 3"),"")</f>
        <v/>
      </c>
      <c r="AB693" s="239" t="str">
        <f>IF('CCUS Projects Database'!$U693&lt;&gt;"",HYPERLINK('CCUS Projects Database'!$U693,"Link 4"),"")</f>
        <v/>
      </c>
      <c r="AC693" s="239" t="str">
        <f>IF('CCUS Projects Database'!$V693&lt;&gt;"",HYPERLINK('CCUS Projects Database'!$V693,"Link 5"),"")</f>
        <v/>
      </c>
      <c r="AD693" s="239" t="str">
        <f>IF('CCUS Projects Database'!$W693&lt;&gt;"",HYPERLINK('CCUS Projects Database'!$W693,"Link 6"),"")</f>
        <v/>
      </c>
      <c r="AE693" s="239" t="str">
        <f>IF('CCUS Projects Database'!$X693&lt;&gt;"",HYPERLINK('CCUS Projects Database'!$X693,"Link 7"),"")</f>
        <v/>
      </c>
    </row>
    <row r="694" ht="14.25" customHeight="1">
      <c r="A694" s="233" t="s">
        <v>10097</v>
      </c>
      <c r="B694" s="234">
        <v>923.0</v>
      </c>
      <c r="C694" s="234" t="s">
        <v>18586</v>
      </c>
      <c r="D694" s="235" t="s">
        <v>21241</v>
      </c>
      <c r="E694" s="234" t="s">
        <v>18618</v>
      </c>
      <c r="F694" s="234">
        <v>2023.0</v>
      </c>
      <c r="G694" s="234" t="s">
        <v>18725</v>
      </c>
      <c r="H694" s="234" t="s">
        <v>18725</v>
      </c>
      <c r="I694" s="234" t="s">
        <v>18725</v>
      </c>
      <c r="J694" s="234" t="s">
        <v>18636</v>
      </c>
      <c r="K694" s="236" t="s">
        <v>18725</v>
      </c>
      <c r="L694" s="236" t="s">
        <v>18725</v>
      </c>
      <c r="M694" s="236" t="s">
        <v>18725</v>
      </c>
      <c r="N694" s="234" t="s">
        <v>18731</v>
      </c>
      <c r="O694" s="237" t="s">
        <v>18675</v>
      </c>
      <c r="P694" s="238" t="s">
        <v>18725</v>
      </c>
      <c r="Q694" s="234" t="s">
        <v>18732</v>
      </c>
      <c r="R694" s="238" t="s">
        <v>17897</v>
      </c>
      <c r="S694" s="238" t="s">
        <v>17898</v>
      </c>
      <c r="T694" s="238" t="s">
        <v>18725</v>
      </c>
      <c r="U694" s="238" t="s">
        <v>18725</v>
      </c>
      <c r="V694" s="238" t="s">
        <v>18725</v>
      </c>
      <c r="W694" s="238" t="s">
        <v>18725</v>
      </c>
      <c r="X694" s="238" t="s">
        <v>18725</v>
      </c>
      <c r="Y694" s="239" t="str">
        <f>IF('CCUS Projects Database'!$R694&lt;&gt;"",HYPERLINK('CCUS Projects Database'!$R694,"Link 1"),"")</f>
        <v>Link 1</v>
      </c>
      <c r="Z694" s="239" t="str">
        <f>IF('CCUS Projects Database'!$S694&lt;&gt;"",HYPERLINK('CCUS Projects Database'!$S694,"Link 2"),"")</f>
        <v>Link 2</v>
      </c>
      <c r="AA694" s="239" t="str">
        <f>IF('CCUS Projects Database'!$T694&lt;&gt;"",HYPERLINK('CCUS Projects Database'!$T694,"Link 3"),"")</f>
        <v/>
      </c>
      <c r="AB694" s="239" t="str">
        <f>IF('CCUS Projects Database'!$U694&lt;&gt;"",HYPERLINK('CCUS Projects Database'!$U694,"Link 4"),"")</f>
        <v/>
      </c>
      <c r="AC694" s="239" t="str">
        <f>IF('CCUS Projects Database'!$V694&lt;&gt;"",HYPERLINK('CCUS Projects Database'!$V694,"Link 5"),"")</f>
        <v/>
      </c>
      <c r="AD694" s="239" t="str">
        <f>IF('CCUS Projects Database'!$W694&lt;&gt;"",HYPERLINK('CCUS Projects Database'!$W694,"Link 6"),"")</f>
        <v/>
      </c>
      <c r="AE694" s="239" t="str">
        <f>IF('CCUS Projects Database'!$X694&lt;&gt;"",HYPERLINK('CCUS Projects Database'!$X694,"Link 7"),"")</f>
        <v/>
      </c>
    </row>
    <row r="695" ht="14.25" customHeight="1">
      <c r="A695" s="233" t="s">
        <v>21242</v>
      </c>
      <c r="B695" s="234">
        <v>924.0</v>
      </c>
      <c r="C695" s="234" t="s">
        <v>18360</v>
      </c>
      <c r="D695" s="235" t="s">
        <v>21026</v>
      </c>
      <c r="E695" s="234" t="s">
        <v>18616</v>
      </c>
      <c r="F695" s="234">
        <v>2023.0</v>
      </c>
      <c r="G695" s="234">
        <v>2023.0</v>
      </c>
      <c r="H695" s="234">
        <v>2025.0</v>
      </c>
      <c r="I695" s="234" t="s">
        <v>18725</v>
      </c>
      <c r="J695" s="234" t="s">
        <v>18638</v>
      </c>
      <c r="K695" s="236">
        <v>2.0</v>
      </c>
      <c r="L695" s="236">
        <v>0.5</v>
      </c>
      <c r="M695" s="236">
        <v>0.5</v>
      </c>
      <c r="N695" s="234" t="s">
        <v>677</v>
      </c>
      <c r="O695" s="237" t="s">
        <v>18677</v>
      </c>
      <c r="P695" s="238" t="s">
        <v>18725</v>
      </c>
      <c r="Q695" s="234" t="s">
        <v>18856</v>
      </c>
      <c r="R695" s="238" t="s">
        <v>21028</v>
      </c>
      <c r="S695" s="238" t="s">
        <v>18725</v>
      </c>
      <c r="T695" s="238" t="s">
        <v>18725</v>
      </c>
      <c r="U695" s="238" t="s">
        <v>18725</v>
      </c>
      <c r="V695" s="238" t="s">
        <v>18725</v>
      </c>
      <c r="W695" s="238" t="s">
        <v>18725</v>
      </c>
      <c r="X695" s="238" t="s">
        <v>18725</v>
      </c>
      <c r="Y695" s="239" t="str">
        <f>IF('CCUS Projects Database'!$R695&lt;&gt;"",HYPERLINK('CCUS Projects Database'!$R695,"Link 1"),"")</f>
        <v>Link 1</v>
      </c>
      <c r="Z695" s="239" t="str">
        <f>IF('CCUS Projects Database'!$S695&lt;&gt;"",HYPERLINK('CCUS Projects Database'!$S695,"Link 2"),"")</f>
        <v/>
      </c>
      <c r="AA695" s="239" t="str">
        <f>IF('CCUS Projects Database'!$T695&lt;&gt;"",HYPERLINK('CCUS Projects Database'!$T695,"Link 3"),"")</f>
        <v/>
      </c>
      <c r="AB695" s="239" t="str">
        <f>IF('CCUS Projects Database'!$U695&lt;&gt;"",HYPERLINK('CCUS Projects Database'!$U695,"Link 4"),"")</f>
        <v/>
      </c>
      <c r="AC695" s="239" t="str">
        <f>IF('CCUS Projects Database'!$V695&lt;&gt;"",HYPERLINK('CCUS Projects Database'!$V695,"Link 5"),"")</f>
        <v/>
      </c>
      <c r="AD695" s="239" t="str">
        <f>IF('CCUS Projects Database'!$W695&lt;&gt;"",HYPERLINK('CCUS Projects Database'!$W695,"Link 6"),"")</f>
        <v/>
      </c>
      <c r="AE695" s="239" t="str">
        <f>IF('CCUS Projects Database'!$X695&lt;&gt;"",HYPERLINK('CCUS Projects Database'!$X695,"Link 7"),"")</f>
        <v/>
      </c>
    </row>
    <row r="696" ht="14.25" customHeight="1">
      <c r="A696" s="233" t="s">
        <v>21243</v>
      </c>
      <c r="B696" s="234">
        <v>925.0</v>
      </c>
      <c r="C696" s="234" t="s">
        <v>18360</v>
      </c>
      <c r="D696" s="235" t="s">
        <v>21026</v>
      </c>
      <c r="E696" s="234" t="s">
        <v>18616</v>
      </c>
      <c r="F696" s="234">
        <v>2023.0</v>
      </c>
      <c r="G696" s="234">
        <v>2026.0</v>
      </c>
      <c r="H696" s="234">
        <v>2027.0</v>
      </c>
      <c r="I696" s="234" t="s">
        <v>18725</v>
      </c>
      <c r="J696" s="234" t="s">
        <v>18636</v>
      </c>
      <c r="K696" s="236">
        <v>3.0</v>
      </c>
      <c r="L696" s="236">
        <v>1.5</v>
      </c>
      <c r="M696" s="236">
        <v>1.5</v>
      </c>
      <c r="N696" s="234" t="s">
        <v>677</v>
      </c>
      <c r="O696" s="237" t="s">
        <v>18677</v>
      </c>
      <c r="P696" s="238" t="s">
        <v>18725</v>
      </c>
      <c r="Q696" s="234" t="s">
        <v>18856</v>
      </c>
      <c r="R696" s="238" t="s">
        <v>21028</v>
      </c>
      <c r="S696" s="238" t="s">
        <v>18725</v>
      </c>
      <c r="T696" s="238" t="s">
        <v>18725</v>
      </c>
      <c r="U696" s="238" t="s">
        <v>18725</v>
      </c>
      <c r="V696" s="238" t="s">
        <v>18725</v>
      </c>
      <c r="W696" s="238" t="s">
        <v>18725</v>
      </c>
      <c r="X696" s="238" t="s">
        <v>18725</v>
      </c>
      <c r="Y696" s="239" t="str">
        <f>IF('CCUS Projects Database'!$R696&lt;&gt;"",HYPERLINK('CCUS Projects Database'!$R696,"Link 1"),"")</f>
        <v>Link 1</v>
      </c>
      <c r="Z696" s="239" t="str">
        <f>IF('CCUS Projects Database'!$S696&lt;&gt;"",HYPERLINK('CCUS Projects Database'!$S696,"Link 2"),"")</f>
        <v/>
      </c>
      <c r="AA696" s="239" t="str">
        <f>IF('CCUS Projects Database'!$T696&lt;&gt;"",HYPERLINK('CCUS Projects Database'!$T696,"Link 3"),"")</f>
        <v/>
      </c>
      <c r="AB696" s="239" t="str">
        <f>IF('CCUS Projects Database'!$U696&lt;&gt;"",HYPERLINK('CCUS Projects Database'!$U696,"Link 4"),"")</f>
        <v/>
      </c>
      <c r="AC696" s="239" t="str">
        <f>IF('CCUS Projects Database'!$V696&lt;&gt;"",HYPERLINK('CCUS Projects Database'!$V696,"Link 5"),"")</f>
        <v/>
      </c>
      <c r="AD696" s="239" t="str">
        <f>IF('CCUS Projects Database'!$W696&lt;&gt;"",HYPERLINK('CCUS Projects Database'!$W696,"Link 6"),"")</f>
        <v/>
      </c>
      <c r="AE696" s="239" t="str">
        <f>IF('CCUS Projects Database'!$X696&lt;&gt;"",HYPERLINK('CCUS Projects Database'!$X696,"Link 7"),"")</f>
        <v/>
      </c>
    </row>
    <row r="697" ht="14.25" customHeight="1">
      <c r="A697" s="233" t="s">
        <v>21244</v>
      </c>
      <c r="B697" s="234">
        <v>926.0</v>
      </c>
      <c r="C697" s="234" t="s">
        <v>18360</v>
      </c>
      <c r="D697" s="235" t="s">
        <v>21026</v>
      </c>
      <c r="E697" s="234" t="s">
        <v>18616</v>
      </c>
      <c r="F697" s="234">
        <v>2023.0</v>
      </c>
      <c r="G697" s="234">
        <v>2026.0</v>
      </c>
      <c r="H697" s="234">
        <v>2027.0</v>
      </c>
      <c r="I697" s="234" t="s">
        <v>18725</v>
      </c>
      <c r="J697" s="234" t="s">
        <v>18636</v>
      </c>
      <c r="K697" s="236">
        <v>3.0</v>
      </c>
      <c r="L697" s="236">
        <v>0.5</v>
      </c>
      <c r="M697" s="236">
        <v>0.5</v>
      </c>
      <c r="N697" s="234" t="s">
        <v>677</v>
      </c>
      <c r="O697" s="237" t="s">
        <v>18675</v>
      </c>
      <c r="P697" s="238" t="s">
        <v>18725</v>
      </c>
      <c r="Q697" s="234" t="s">
        <v>18856</v>
      </c>
      <c r="R697" s="238" t="s">
        <v>21028</v>
      </c>
      <c r="S697" s="238" t="s">
        <v>18725</v>
      </c>
      <c r="T697" s="238" t="s">
        <v>18725</v>
      </c>
      <c r="U697" s="238" t="s">
        <v>18725</v>
      </c>
      <c r="V697" s="238" t="s">
        <v>18725</v>
      </c>
      <c r="W697" s="238" t="s">
        <v>18725</v>
      </c>
      <c r="X697" s="238" t="s">
        <v>18725</v>
      </c>
      <c r="Y697" s="239" t="str">
        <f>IF('CCUS Projects Database'!$R697&lt;&gt;"",HYPERLINK('CCUS Projects Database'!$R697,"Link 1"),"")</f>
        <v>Link 1</v>
      </c>
      <c r="Z697" s="239" t="str">
        <f>IF('CCUS Projects Database'!$S697&lt;&gt;"",HYPERLINK('CCUS Projects Database'!$S697,"Link 2"),"")</f>
        <v/>
      </c>
      <c r="AA697" s="239" t="str">
        <f>IF('CCUS Projects Database'!$T697&lt;&gt;"",HYPERLINK('CCUS Projects Database'!$T697,"Link 3"),"")</f>
        <v/>
      </c>
      <c r="AB697" s="239" t="str">
        <f>IF('CCUS Projects Database'!$U697&lt;&gt;"",HYPERLINK('CCUS Projects Database'!$U697,"Link 4"),"")</f>
        <v/>
      </c>
      <c r="AC697" s="239" t="str">
        <f>IF('CCUS Projects Database'!$V697&lt;&gt;"",HYPERLINK('CCUS Projects Database'!$V697,"Link 5"),"")</f>
        <v/>
      </c>
      <c r="AD697" s="239" t="str">
        <f>IF('CCUS Projects Database'!$W697&lt;&gt;"",HYPERLINK('CCUS Projects Database'!$W697,"Link 6"),"")</f>
        <v/>
      </c>
      <c r="AE697" s="239" t="str">
        <f>IF('CCUS Projects Database'!$X697&lt;&gt;"",HYPERLINK('CCUS Projects Database'!$X697,"Link 7"),"")</f>
        <v/>
      </c>
    </row>
    <row r="698" ht="14.25" customHeight="1">
      <c r="A698" s="233" t="s">
        <v>21245</v>
      </c>
      <c r="B698" s="234">
        <v>928.0</v>
      </c>
      <c r="C698" s="234" t="s">
        <v>18321</v>
      </c>
      <c r="D698" s="235" t="s">
        <v>18743</v>
      </c>
      <c r="E698" s="234" t="s">
        <v>3</v>
      </c>
      <c r="F698" s="234">
        <v>2023.0</v>
      </c>
      <c r="G698" s="234" t="s">
        <v>18725</v>
      </c>
      <c r="H698" s="234">
        <v>2030.0</v>
      </c>
      <c r="I698" s="234" t="s">
        <v>18725</v>
      </c>
      <c r="J698" s="234" t="s">
        <v>18636</v>
      </c>
      <c r="K698" s="236">
        <v>2.0</v>
      </c>
      <c r="L698" s="236">
        <v>5.0</v>
      </c>
      <c r="M698" s="236">
        <v>5.0</v>
      </c>
      <c r="N698" s="234" t="s">
        <v>3</v>
      </c>
      <c r="O698" s="237" t="s">
        <v>18675</v>
      </c>
      <c r="P698" s="238" t="s">
        <v>21246</v>
      </c>
      <c r="Q698" s="234" t="s">
        <v>18293</v>
      </c>
      <c r="R698" s="238" t="s">
        <v>21247</v>
      </c>
      <c r="S698" s="238" t="s">
        <v>21248</v>
      </c>
      <c r="T698" s="238" t="s">
        <v>18725</v>
      </c>
      <c r="U698" s="238" t="s">
        <v>18725</v>
      </c>
      <c r="V698" s="238" t="s">
        <v>18725</v>
      </c>
      <c r="W698" s="238" t="s">
        <v>18725</v>
      </c>
      <c r="X698" s="238" t="s">
        <v>18725</v>
      </c>
      <c r="Y698" s="239" t="str">
        <f>IF('CCUS Projects Database'!$R698&lt;&gt;"",HYPERLINK('CCUS Projects Database'!$R698,"Link 1"),"")</f>
        <v>Link 1</v>
      </c>
      <c r="Z698" s="239" t="str">
        <f>IF('CCUS Projects Database'!$S698&lt;&gt;"",HYPERLINK('CCUS Projects Database'!$S698,"Link 2"),"")</f>
        <v>Link 2</v>
      </c>
      <c r="AA698" s="239" t="str">
        <f>IF('CCUS Projects Database'!$T698&lt;&gt;"",HYPERLINK('CCUS Projects Database'!$T698,"Link 3"),"")</f>
        <v/>
      </c>
      <c r="AB698" s="239" t="str">
        <f>IF('CCUS Projects Database'!$U698&lt;&gt;"",HYPERLINK('CCUS Projects Database'!$U698,"Link 4"),"")</f>
        <v/>
      </c>
      <c r="AC698" s="239" t="str">
        <f>IF('CCUS Projects Database'!$V698&lt;&gt;"",HYPERLINK('CCUS Projects Database'!$V698,"Link 5"),"")</f>
        <v/>
      </c>
      <c r="AD698" s="239" t="str">
        <f>IF('CCUS Projects Database'!$W698&lt;&gt;"",HYPERLINK('CCUS Projects Database'!$W698,"Link 6"),"")</f>
        <v/>
      </c>
      <c r="AE698" s="239" t="str">
        <f>IF('CCUS Projects Database'!$X698&lt;&gt;"",HYPERLINK('CCUS Projects Database'!$X698,"Link 7"),"")</f>
        <v/>
      </c>
    </row>
    <row r="699" ht="14.25" customHeight="1">
      <c r="A699" s="233" t="s">
        <v>21249</v>
      </c>
      <c r="B699" s="234">
        <v>929.0</v>
      </c>
      <c r="C699" s="234" t="s">
        <v>18360</v>
      </c>
      <c r="D699" s="235" t="s">
        <v>20166</v>
      </c>
      <c r="E699" s="234" t="s">
        <v>18616</v>
      </c>
      <c r="F699" s="234">
        <v>2022.0</v>
      </c>
      <c r="G699" s="234" t="s">
        <v>18725</v>
      </c>
      <c r="H699" s="234">
        <v>2030.0</v>
      </c>
      <c r="I699" s="234" t="s">
        <v>18725</v>
      </c>
      <c r="J699" s="234" t="s">
        <v>18636</v>
      </c>
      <c r="K699" s="236" t="s">
        <v>18725</v>
      </c>
      <c r="L699" s="236">
        <v>1.6</v>
      </c>
      <c r="M699" s="236">
        <v>1.6</v>
      </c>
      <c r="N699" s="234" t="s">
        <v>18661</v>
      </c>
      <c r="O699" s="237" t="s">
        <v>18677</v>
      </c>
      <c r="P699" s="238" t="s">
        <v>20167</v>
      </c>
      <c r="Q699" s="234" t="s">
        <v>18856</v>
      </c>
      <c r="R699" s="238" t="s">
        <v>17886</v>
      </c>
      <c r="S699" s="238" t="s">
        <v>17887</v>
      </c>
      <c r="T699" s="238" t="s">
        <v>18725</v>
      </c>
      <c r="U699" s="238" t="s">
        <v>18725</v>
      </c>
      <c r="V699" s="238" t="s">
        <v>18725</v>
      </c>
      <c r="W699" s="238" t="s">
        <v>18725</v>
      </c>
      <c r="X699" s="238" t="s">
        <v>18725</v>
      </c>
      <c r="Y699" s="239" t="str">
        <f>IF('CCUS Projects Database'!$R699&lt;&gt;"",HYPERLINK('CCUS Projects Database'!$R699,"Link 1"),"")</f>
        <v>Link 1</v>
      </c>
      <c r="Z699" s="239" t="str">
        <f>IF('CCUS Projects Database'!$S699&lt;&gt;"",HYPERLINK('CCUS Projects Database'!$S699,"Link 2"),"")</f>
        <v>Link 2</v>
      </c>
      <c r="AA699" s="239" t="str">
        <f>IF('CCUS Projects Database'!$T699&lt;&gt;"",HYPERLINK('CCUS Projects Database'!$T699,"Link 3"),"")</f>
        <v/>
      </c>
      <c r="AB699" s="239" t="str">
        <f>IF('CCUS Projects Database'!$U699&lt;&gt;"",HYPERLINK('CCUS Projects Database'!$U699,"Link 4"),"")</f>
        <v/>
      </c>
      <c r="AC699" s="239" t="str">
        <f>IF('CCUS Projects Database'!$V699&lt;&gt;"",HYPERLINK('CCUS Projects Database'!$V699,"Link 5"),"")</f>
        <v/>
      </c>
      <c r="AD699" s="239" t="str">
        <f>IF('CCUS Projects Database'!$W699&lt;&gt;"",HYPERLINK('CCUS Projects Database'!$W699,"Link 6"),"")</f>
        <v/>
      </c>
      <c r="AE699" s="239" t="str">
        <f>IF('CCUS Projects Database'!$X699&lt;&gt;"",HYPERLINK('CCUS Projects Database'!$X699,"Link 7"),"")</f>
        <v/>
      </c>
    </row>
    <row r="700" ht="14.25" customHeight="1">
      <c r="A700" s="233" t="s">
        <v>21250</v>
      </c>
      <c r="B700" s="234">
        <v>930.0</v>
      </c>
      <c r="C700" s="234" t="s">
        <v>18360</v>
      </c>
      <c r="D700" s="235" t="s">
        <v>20166</v>
      </c>
      <c r="E700" s="234" t="s">
        <v>18616</v>
      </c>
      <c r="F700" s="234">
        <v>2022.0</v>
      </c>
      <c r="G700" s="234" t="s">
        <v>18725</v>
      </c>
      <c r="H700" s="234">
        <v>2050.0</v>
      </c>
      <c r="I700" s="234" t="s">
        <v>18725</v>
      </c>
      <c r="J700" s="234" t="s">
        <v>18636</v>
      </c>
      <c r="K700" s="236">
        <v>2.0</v>
      </c>
      <c r="L700" s="236">
        <v>2.6</v>
      </c>
      <c r="M700" s="236">
        <v>2.6</v>
      </c>
      <c r="N700" s="234" t="s">
        <v>18661</v>
      </c>
      <c r="O700" s="237" t="s">
        <v>18677</v>
      </c>
      <c r="P700" s="238" t="s">
        <v>20167</v>
      </c>
      <c r="Q700" s="234" t="s">
        <v>18856</v>
      </c>
      <c r="R700" s="238" t="s">
        <v>17886</v>
      </c>
      <c r="S700" s="238" t="s">
        <v>17887</v>
      </c>
      <c r="T700" s="238" t="s">
        <v>18725</v>
      </c>
      <c r="U700" s="238" t="s">
        <v>18725</v>
      </c>
      <c r="V700" s="238" t="s">
        <v>18725</v>
      </c>
      <c r="W700" s="238" t="s">
        <v>18725</v>
      </c>
      <c r="X700" s="238" t="s">
        <v>18725</v>
      </c>
      <c r="Y700" s="239" t="str">
        <f>IF('CCUS Projects Database'!$R700&lt;&gt;"",HYPERLINK('CCUS Projects Database'!$R700,"Link 1"),"")</f>
        <v>Link 1</v>
      </c>
      <c r="Z700" s="239" t="str">
        <f>IF('CCUS Projects Database'!$S700&lt;&gt;"",HYPERLINK('CCUS Projects Database'!$S700,"Link 2"),"")</f>
        <v>Link 2</v>
      </c>
      <c r="AA700" s="239" t="str">
        <f>IF('CCUS Projects Database'!$T700&lt;&gt;"",HYPERLINK('CCUS Projects Database'!$T700,"Link 3"),"")</f>
        <v/>
      </c>
      <c r="AB700" s="239" t="str">
        <f>IF('CCUS Projects Database'!$U700&lt;&gt;"",HYPERLINK('CCUS Projects Database'!$U700,"Link 4"),"")</f>
        <v/>
      </c>
      <c r="AC700" s="239" t="str">
        <f>IF('CCUS Projects Database'!$V700&lt;&gt;"",HYPERLINK('CCUS Projects Database'!$V700,"Link 5"),"")</f>
        <v/>
      </c>
      <c r="AD700" s="239" t="str">
        <f>IF('CCUS Projects Database'!$W700&lt;&gt;"",HYPERLINK('CCUS Projects Database'!$W700,"Link 6"),"")</f>
        <v/>
      </c>
      <c r="AE700" s="239" t="str">
        <f>IF('CCUS Projects Database'!$X700&lt;&gt;"",HYPERLINK('CCUS Projects Database'!$X700,"Link 7"),"")</f>
        <v/>
      </c>
    </row>
    <row r="701" ht="14.25" customHeight="1">
      <c r="A701" s="233" t="s">
        <v>21251</v>
      </c>
      <c r="B701" s="234">
        <v>931.0</v>
      </c>
      <c r="C701" s="234" t="s">
        <v>18360</v>
      </c>
      <c r="D701" s="235" t="s">
        <v>21252</v>
      </c>
      <c r="E701" s="234" t="s">
        <v>18616</v>
      </c>
      <c r="F701" s="234">
        <v>2023.0</v>
      </c>
      <c r="G701" s="234">
        <v>2023.0</v>
      </c>
      <c r="H701" s="234">
        <v>2027.0</v>
      </c>
      <c r="I701" s="234" t="s">
        <v>18725</v>
      </c>
      <c r="J701" s="234" t="s">
        <v>18638</v>
      </c>
      <c r="K701" s="236" t="s">
        <v>18725</v>
      </c>
      <c r="L701" s="236">
        <v>2.0</v>
      </c>
      <c r="M701" s="236">
        <v>2.0</v>
      </c>
      <c r="N701" s="234" t="s">
        <v>18654</v>
      </c>
      <c r="O701" s="237" t="s">
        <v>18677</v>
      </c>
      <c r="P701" s="238" t="s">
        <v>19074</v>
      </c>
      <c r="Q701" s="234" t="s">
        <v>18856</v>
      </c>
      <c r="R701" s="238" t="s">
        <v>17887</v>
      </c>
      <c r="S701" s="238" t="s">
        <v>18725</v>
      </c>
      <c r="T701" s="238" t="s">
        <v>18725</v>
      </c>
      <c r="U701" s="238" t="s">
        <v>18725</v>
      </c>
      <c r="V701" s="238" t="s">
        <v>18725</v>
      </c>
      <c r="W701" s="238" t="s">
        <v>18725</v>
      </c>
      <c r="X701" s="238" t="s">
        <v>18725</v>
      </c>
      <c r="Y701" s="239" t="str">
        <f>IF('CCUS Projects Database'!$R701&lt;&gt;"",HYPERLINK('CCUS Projects Database'!$R701,"Link 1"),"")</f>
        <v>Link 1</v>
      </c>
      <c r="Z701" s="239" t="str">
        <f>IF('CCUS Projects Database'!$S701&lt;&gt;"",HYPERLINK('CCUS Projects Database'!$S701,"Link 2"),"")</f>
        <v/>
      </c>
      <c r="AA701" s="239" t="str">
        <f>IF('CCUS Projects Database'!$T701&lt;&gt;"",HYPERLINK('CCUS Projects Database'!$T701,"Link 3"),"")</f>
        <v/>
      </c>
      <c r="AB701" s="239" t="str">
        <f>IF('CCUS Projects Database'!$U701&lt;&gt;"",HYPERLINK('CCUS Projects Database'!$U701,"Link 4"),"")</f>
        <v/>
      </c>
      <c r="AC701" s="239" t="str">
        <f>IF('CCUS Projects Database'!$V701&lt;&gt;"",HYPERLINK('CCUS Projects Database'!$V701,"Link 5"),"")</f>
        <v/>
      </c>
      <c r="AD701" s="239" t="str">
        <f>IF('CCUS Projects Database'!$W701&lt;&gt;"",HYPERLINK('CCUS Projects Database'!$W701,"Link 6"),"")</f>
        <v/>
      </c>
      <c r="AE701" s="239" t="str">
        <f>IF('CCUS Projects Database'!$X701&lt;&gt;"",HYPERLINK('CCUS Projects Database'!$X701,"Link 7"),"")</f>
        <v/>
      </c>
    </row>
    <row r="702" ht="14.25" customHeight="1">
      <c r="A702" s="233" t="s">
        <v>10105</v>
      </c>
      <c r="B702" s="234">
        <v>933.0</v>
      </c>
      <c r="C702" s="234" t="s">
        <v>18586</v>
      </c>
      <c r="D702" s="235" t="s">
        <v>21071</v>
      </c>
      <c r="E702" s="234" t="s">
        <v>18618</v>
      </c>
      <c r="F702" s="234">
        <v>2023.0</v>
      </c>
      <c r="G702" s="234" t="s">
        <v>18725</v>
      </c>
      <c r="H702" s="234" t="s">
        <v>18725</v>
      </c>
      <c r="I702" s="234" t="s">
        <v>18725</v>
      </c>
      <c r="J702" s="234" t="s">
        <v>18636</v>
      </c>
      <c r="K702" s="236">
        <v>2.0</v>
      </c>
      <c r="L702" s="236" t="s">
        <v>18725</v>
      </c>
      <c r="M702" s="236" t="s">
        <v>18725</v>
      </c>
      <c r="N702" s="234" t="s">
        <v>18731</v>
      </c>
      <c r="O702" s="237" t="s">
        <v>18675</v>
      </c>
      <c r="P702" s="238" t="s">
        <v>21072</v>
      </c>
      <c r="Q702" s="234" t="s">
        <v>18732</v>
      </c>
      <c r="R702" s="238" t="s">
        <v>17904</v>
      </c>
      <c r="S702" s="238" t="s">
        <v>18725</v>
      </c>
      <c r="T702" s="238" t="s">
        <v>18725</v>
      </c>
      <c r="U702" s="238" t="s">
        <v>18725</v>
      </c>
      <c r="V702" s="238" t="s">
        <v>18725</v>
      </c>
      <c r="W702" s="238" t="s">
        <v>18725</v>
      </c>
      <c r="X702" s="238" t="s">
        <v>18725</v>
      </c>
      <c r="Y702" s="239" t="str">
        <f>IF('CCUS Projects Database'!$R702&lt;&gt;"",HYPERLINK('CCUS Projects Database'!$R702,"Link 1"),"")</f>
        <v>Link 1</v>
      </c>
      <c r="Z702" s="239" t="str">
        <f>IF('CCUS Projects Database'!$S702&lt;&gt;"",HYPERLINK('CCUS Projects Database'!$S702,"Link 2"),"")</f>
        <v/>
      </c>
      <c r="AA702" s="239" t="str">
        <f>IF('CCUS Projects Database'!$T702&lt;&gt;"",HYPERLINK('CCUS Projects Database'!$T702,"Link 3"),"")</f>
        <v/>
      </c>
      <c r="AB702" s="239" t="str">
        <f>IF('CCUS Projects Database'!$U702&lt;&gt;"",HYPERLINK('CCUS Projects Database'!$U702,"Link 4"),"")</f>
        <v/>
      </c>
      <c r="AC702" s="239" t="str">
        <f>IF('CCUS Projects Database'!$V702&lt;&gt;"",HYPERLINK('CCUS Projects Database'!$V702,"Link 5"),"")</f>
        <v/>
      </c>
      <c r="AD702" s="239" t="str">
        <f>IF('CCUS Projects Database'!$W702&lt;&gt;"",HYPERLINK('CCUS Projects Database'!$W702,"Link 6"),"")</f>
        <v/>
      </c>
      <c r="AE702" s="239" t="str">
        <f>IF('CCUS Projects Database'!$X702&lt;&gt;"",HYPERLINK('CCUS Projects Database'!$X702,"Link 7"),"")</f>
        <v/>
      </c>
    </row>
    <row r="703" ht="14.25" customHeight="1">
      <c r="A703" s="233" t="s">
        <v>10106</v>
      </c>
      <c r="B703" s="234">
        <v>934.0</v>
      </c>
      <c r="C703" s="234" t="s">
        <v>18586</v>
      </c>
      <c r="D703" s="235" t="s">
        <v>21071</v>
      </c>
      <c r="E703" s="234" t="s">
        <v>18618</v>
      </c>
      <c r="F703" s="234">
        <v>2023.0</v>
      </c>
      <c r="G703" s="234" t="s">
        <v>18725</v>
      </c>
      <c r="H703" s="234" t="s">
        <v>18725</v>
      </c>
      <c r="I703" s="234" t="s">
        <v>18725</v>
      </c>
      <c r="J703" s="234" t="s">
        <v>18636</v>
      </c>
      <c r="K703" s="236">
        <v>3.0</v>
      </c>
      <c r="L703" s="236" t="s">
        <v>18725</v>
      </c>
      <c r="M703" s="236" t="s">
        <v>18725</v>
      </c>
      <c r="N703" s="234" t="s">
        <v>18731</v>
      </c>
      <c r="O703" s="237" t="s">
        <v>18675</v>
      </c>
      <c r="P703" s="238" t="s">
        <v>21072</v>
      </c>
      <c r="Q703" s="234" t="s">
        <v>18732</v>
      </c>
      <c r="R703" s="238" t="s">
        <v>17904</v>
      </c>
      <c r="S703" s="238" t="s">
        <v>18725</v>
      </c>
      <c r="T703" s="238" t="s">
        <v>18725</v>
      </c>
      <c r="U703" s="238" t="s">
        <v>18725</v>
      </c>
      <c r="V703" s="238" t="s">
        <v>18725</v>
      </c>
      <c r="W703" s="238" t="s">
        <v>18725</v>
      </c>
      <c r="X703" s="238" t="s">
        <v>18725</v>
      </c>
      <c r="Y703" s="239" t="str">
        <f>IF('CCUS Projects Database'!$R703&lt;&gt;"",HYPERLINK('CCUS Projects Database'!$R703,"Link 1"),"")</f>
        <v>Link 1</v>
      </c>
      <c r="Z703" s="239" t="str">
        <f>IF('CCUS Projects Database'!$S703&lt;&gt;"",HYPERLINK('CCUS Projects Database'!$S703,"Link 2"),"")</f>
        <v/>
      </c>
      <c r="AA703" s="239" t="str">
        <f>IF('CCUS Projects Database'!$T703&lt;&gt;"",HYPERLINK('CCUS Projects Database'!$T703,"Link 3"),"")</f>
        <v/>
      </c>
      <c r="AB703" s="239" t="str">
        <f>IF('CCUS Projects Database'!$U703&lt;&gt;"",HYPERLINK('CCUS Projects Database'!$U703,"Link 4"),"")</f>
        <v/>
      </c>
      <c r="AC703" s="239" t="str">
        <f>IF('CCUS Projects Database'!$V703&lt;&gt;"",HYPERLINK('CCUS Projects Database'!$V703,"Link 5"),"")</f>
        <v/>
      </c>
      <c r="AD703" s="239" t="str">
        <f>IF('CCUS Projects Database'!$W703&lt;&gt;"",HYPERLINK('CCUS Projects Database'!$W703,"Link 6"),"")</f>
        <v/>
      </c>
      <c r="AE703" s="239" t="str">
        <f>IF('CCUS Projects Database'!$X703&lt;&gt;"",HYPERLINK('CCUS Projects Database'!$X703,"Link 7"),"")</f>
        <v/>
      </c>
    </row>
    <row r="704" ht="14.25" customHeight="1">
      <c r="A704" s="233" t="s">
        <v>10107</v>
      </c>
      <c r="B704" s="234">
        <v>935.0</v>
      </c>
      <c r="C704" s="234" t="s">
        <v>18586</v>
      </c>
      <c r="D704" s="235" t="s">
        <v>21071</v>
      </c>
      <c r="E704" s="234" t="s">
        <v>18618</v>
      </c>
      <c r="F704" s="234">
        <v>2023.0</v>
      </c>
      <c r="G704" s="234" t="s">
        <v>18725</v>
      </c>
      <c r="H704" s="234" t="s">
        <v>18725</v>
      </c>
      <c r="I704" s="234" t="s">
        <v>18725</v>
      </c>
      <c r="J704" s="234" t="s">
        <v>18636</v>
      </c>
      <c r="K704" s="236">
        <v>4.0</v>
      </c>
      <c r="L704" s="236" t="s">
        <v>18725</v>
      </c>
      <c r="M704" s="236" t="s">
        <v>18725</v>
      </c>
      <c r="N704" s="234" t="s">
        <v>18731</v>
      </c>
      <c r="O704" s="237" t="s">
        <v>18675</v>
      </c>
      <c r="P704" s="238" t="s">
        <v>21072</v>
      </c>
      <c r="Q704" s="234" t="s">
        <v>18732</v>
      </c>
      <c r="R704" s="238" t="s">
        <v>17904</v>
      </c>
      <c r="S704" s="238" t="s">
        <v>18725</v>
      </c>
      <c r="T704" s="238" t="s">
        <v>18725</v>
      </c>
      <c r="U704" s="238" t="s">
        <v>18725</v>
      </c>
      <c r="V704" s="238" t="s">
        <v>18725</v>
      </c>
      <c r="W704" s="238" t="s">
        <v>18725</v>
      </c>
      <c r="X704" s="238" t="s">
        <v>18725</v>
      </c>
      <c r="Y704" s="239" t="str">
        <f>IF('CCUS Projects Database'!$R704&lt;&gt;"",HYPERLINK('CCUS Projects Database'!$R704,"Link 1"),"")</f>
        <v>Link 1</v>
      </c>
      <c r="Z704" s="239" t="str">
        <f>IF('CCUS Projects Database'!$S704&lt;&gt;"",HYPERLINK('CCUS Projects Database'!$S704,"Link 2"),"")</f>
        <v/>
      </c>
      <c r="AA704" s="239" t="str">
        <f>IF('CCUS Projects Database'!$T704&lt;&gt;"",HYPERLINK('CCUS Projects Database'!$T704,"Link 3"),"")</f>
        <v/>
      </c>
      <c r="AB704" s="239" t="str">
        <f>IF('CCUS Projects Database'!$U704&lt;&gt;"",HYPERLINK('CCUS Projects Database'!$U704,"Link 4"),"")</f>
        <v/>
      </c>
      <c r="AC704" s="239" t="str">
        <f>IF('CCUS Projects Database'!$V704&lt;&gt;"",HYPERLINK('CCUS Projects Database'!$V704,"Link 5"),"")</f>
        <v/>
      </c>
      <c r="AD704" s="239" t="str">
        <f>IF('CCUS Projects Database'!$W704&lt;&gt;"",HYPERLINK('CCUS Projects Database'!$W704,"Link 6"),"")</f>
        <v/>
      </c>
      <c r="AE704" s="239" t="str">
        <f>IF('CCUS Projects Database'!$X704&lt;&gt;"",HYPERLINK('CCUS Projects Database'!$X704,"Link 7"),"")</f>
        <v/>
      </c>
    </row>
    <row r="705" ht="14.25" customHeight="1">
      <c r="A705" s="233" t="s">
        <v>21253</v>
      </c>
      <c r="B705" s="234">
        <v>937.0</v>
      </c>
      <c r="C705" s="234" t="s">
        <v>18290</v>
      </c>
      <c r="D705" s="235" t="s">
        <v>21254</v>
      </c>
      <c r="E705" s="234" t="s">
        <v>18618</v>
      </c>
      <c r="F705" s="234">
        <v>2023.0</v>
      </c>
      <c r="G705" s="234" t="s">
        <v>18725</v>
      </c>
      <c r="H705" s="234">
        <v>2030.0</v>
      </c>
      <c r="I705" s="234" t="s">
        <v>18725</v>
      </c>
      <c r="J705" s="234" t="s">
        <v>18636</v>
      </c>
      <c r="K705" s="236" t="s">
        <v>18725</v>
      </c>
      <c r="L705" s="236" t="s">
        <v>18725</v>
      </c>
      <c r="M705" s="236" t="s">
        <v>18725</v>
      </c>
      <c r="N705" s="234" t="s">
        <v>18665</v>
      </c>
      <c r="O705" s="237" t="s">
        <v>18675</v>
      </c>
      <c r="P705" s="238" t="s">
        <v>20690</v>
      </c>
      <c r="Q705" s="234" t="s">
        <v>18856</v>
      </c>
      <c r="R705" s="238" t="s">
        <v>20693</v>
      </c>
      <c r="S705" s="238" t="s">
        <v>21255</v>
      </c>
      <c r="T705" s="238" t="s">
        <v>18725</v>
      </c>
      <c r="U705" s="238" t="s">
        <v>18725</v>
      </c>
      <c r="V705" s="238" t="s">
        <v>18725</v>
      </c>
      <c r="W705" s="238" t="s">
        <v>18725</v>
      </c>
      <c r="X705" s="238" t="s">
        <v>18725</v>
      </c>
      <c r="Y705" s="239" t="str">
        <f>IF('CCUS Projects Database'!$R705&lt;&gt;"",HYPERLINK('CCUS Projects Database'!$R705,"Link 1"),"")</f>
        <v>Link 1</v>
      </c>
      <c r="Z705" s="239" t="str">
        <f>IF('CCUS Projects Database'!$S705&lt;&gt;"",HYPERLINK('CCUS Projects Database'!$S705,"Link 2"),"")</f>
        <v>Link 2</v>
      </c>
      <c r="AA705" s="239" t="str">
        <f>IF('CCUS Projects Database'!$T705&lt;&gt;"",HYPERLINK('CCUS Projects Database'!$T705,"Link 3"),"")</f>
        <v/>
      </c>
      <c r="AB705" s="239" t="str">
        <f>IF('CCUS Projects Database'!$U705&lt;&gt;"",HYPERLINK('CCUS Projects Database'!$U705,"Link 4"),"")</f>
        <v/>
      </c>
      <c r="AC705" s="239" t="str">
        <f>IF('CCUS Projects Database'!$V705&lt;&gt;"",HYPERLINK('CCUS Projects Database'!$V705,"Link 5"),"")</f>
        <v/>
      </c>
      <c r="AD705" s="239" t="str">
        <f>IF('CCUS Projects Database'!$W705&lt;&gt;"",HYPERLINK('CCUS Projects Database'!$W705,"Link 6"),"")</f>
        <v/>
      </c>
      <c r="AE705" s="239" t="str">
        <f>IF('CCUS Projects Database'!$X705&lt;&gt;"",HYPERLINK('CCUS Projects Database'!$X705,"Link 7"),"")</f>
        <v/>
      </c>
    </row>
    <row r="706" ht="14.25" customHeight="1">
      <c r="A706" s="233" t="s">
        <v>21256</v>
      </c>
      <c r="B706" s="234">
        <v>938.0</v>
      </c>
      <c r="C706" s="234" t="s">
        <v>18290</v>
      </c>
      <c r="D706" s="235" t="s">
        <v>21257</v>
      </c>
      <c r="E706" s="234" t="s">
        <v>18618</v>
      </c>
      <c r="F706" s="234">
        <v>2023.0</v>
      </c>
      <c r="G706" s="234" t="s">
        <v>18725</v>
      </c>
      <c r="H706" s="234">
        <v>2030.0</v>
      </c>
      <c r="I706" s="234" t="s">
        <v>18725</v>
      </c>
      <c r="J706" s="234" t="s">
        <v>18636</v>
      </c>
      <c r="K706" s="236" t="s">
        <v>18725</v>
      </c>
      <c r="L706" s="236" t="s">
        <v>18725</v>
      </c>
      <c r="M706" s="236" t="s">
        <v>18725</v>
      </c>
      <c r="N706" s="234" t="s">
        <v>18663</v>
      </c>
      <c r="O706" s="237" t="s">
        <v>18675</v>
      </c>
      <c r="P706" s="234" t="s">
        <v>20690</v>
      </c>
      <c r="Q706" s="234" t="s">
        <v>18856</v>
      </c>
      <c r="R706" s="238" t="s">
        <v>20693</v>
      </c>
      <c r="S706" s="238" t="s">
        <v>21255</v>
      </c>
      <c r="T706" s="238" t="s">
        <v>18725</v>
      </c>
      <c r="U706" s="238" t="s">
        <v>18725</v>
      </c>
      <c r="V706" s="238" t="s">
        <v>18725</v>
      </c>
      <c r="W706" s="238" t="s">
        <v>18725</v>
      </c>
      <c r="X706" s="238" t="s">
        <v>18725</v>
      </c>
      <c r="Y706" s="239" t="str">
        <f>IF('CCUS Projects Database'!$R706&lt;&gt;"",HYPERLINK('CCUS Projects Database'!$R706,"Link 1"),"")</f>
        <v>Link 1</v>
      </c>
      <c r="Z706" s="239" t="str">
        <f>IF('CCUS Projects Database'!$S706&lt;&gt;"",HYPERLINK('CCUS Projects Database'!$S706,"Link 2"),"")</f>
        <v>Link 2</v>
      </c>
      <c r="AA706" s="239" t="str">
        <f>IF('CCUS Projects Database'!$T706&lt;&gt;"",HYPERLINK('CCUS Projects Database'!$T706,"Link 3"),"")</f>
        <v/>
      </c>
      <c r="AB706" s="239" t="str">
        <f>IF('CCUS Projects Database'!$U706&lt;&gt;"",HYPERLINK('CCUS Projects Database'!$U706,"Link 4"),"")</f>
        <v/>
      </c>
      <c r="AC706" s="239" t="str">
        <f>IF('CCUS Projects Database'!$V706&lt;&gt;"",HYPERLINK('CCUS Projects Database'!$V706,"Link 5"),"")</f>
        <v/>
      </c>
      <c r="AD706" s="239" t="str">
        <f>IF('CCUS Projects Database'!$W706&lt;&gt;"",HYPERLINK('CCUS Projects Database'!$W706,"Link 6"),"")</f>
        <v/>
      </c>
      <c r="AE706" s="239" t="str">
        <f>IF('CCUS Projects Database'!$X706&lt;&gt;"",HYPERLINK('CCUS Projects Database'!$X706,"Link 7"),"")</f>
        <v/>
      </c>
    </row>
    <row r="707" ht="14.25" customHeight="1">
      <c r="A707" s="233" t="s">
        <v>21258</v>
      </c>
      <c r="B707" s="234">
        <v>939.0</v>
      </c>
      <c r="C707" s="234" t="s">
        <v>63</v>
      </c>
      <c r="D707" s="235" t="s">
        <v>21259</v>
      </c>
      <c r="E707" s="234" t="s">
        <v>18618</v>
      </c>
      <c r="F707" s="234">
        <v>2023.0</v>
      </c>
      <c r="G707" s="234" t="s">
        <v>18725</v>
      </c>
      <c r="H707" s="234" t="s">
        <v>18725</v>
      </c>
      <c r="I707" s="234" t="s">
        <v>18725</v>
      </c>
      <c r="J707" s="234" t="s">
        <v>18636</v>
      </c>
      <c r="K707" s="236" t="s">
        <v>18725</v>
      </c>
      <c r="L707" s="236">
        <v>0.1</v>
      </c>
      <c r="M707" s="236">
        <v>0.1</v>
      </c>
      <c r="N707" s="234" t="s">
        <v>18218</v>
      </c>
      <c r="O707" s="237" t="s">
        <v>18675</v>
      </c>
      <c r="P707" s="238" t="s">
        <v>18725</v>
      </c>
      <c r="Q707" s="234" t="s">
        <v>18726</v>
      </c>
      <c r="R707" s="238" t="s">
        <v>21260</v>
      </c>
      <c r="S707" s="238" t="s">
        <v>18725</v>
      </c>
      <c r="T707" s="238" t="s">
        <v>18725</v>
      </c>
      <c r="U707" s="238" t="s">
        <v>18725</v>
      </c>
      <c r="V707" s="238" t="s">
        <v>18725</v>
      </c>
      <c r="W707" s="238" t="s">
        <v>18725</v>
      </c>
      <c r="X707" s="238" t="s">
        <v>18725</v>
      </c>
      <c r="Y707" s="239" t="str">
        <f>IF('CCUS Projects Database'!$R707&lt;&gt;"",HYPERLINK('CCUS Projects Database'!$R707,"Link 1"),"")</f>
        <v>Link 1</v>
      </c>
      <c r="Z707" s="239" t="str">
        <f>IF('CCUS Projects Database'!$S707&lt;&gt;"",HYPERLINK('CCUS Projects Database'!$S707,"Link 2"),"")</f>
        <v/>
      </c>
      <c r="AA707" s="239" t="str">
        <f>IF('CCUS Projects Database'!$T707&lt;&gt;"",HYPERLINK('CCUS Projects Database'!$T707,"Link 3"),"")</f>
        <v/>
      </c>
      <c r="AB707" s="239" t="str">
        <f>IF('CCUS Projects Database'!$U707&lt;&gt;"",HYPERLINK('CCUS Projects Database'!$U707,"Link 4"),"")</f>
        <v/>
      </c>
      <c r="AC707" s="239" t="str">
        <f>IF('CCUS Projects Database'!$V707&lt;&gt;"",HYPERLINK('CCUS Projects Database'!$V707,"Link 5"),"")</f>
        <v/>
      </c>
      <c r="AD707" s="239" t="str">
        <f>IF('CCUS Projects Database'!$W707&lt;&gt;"",HYPERLINK('CCUS Projects Database'!$W707,"Link 6"),"")</f>
        <v/>
      </c>
      <c r="AE707" s="239" t="str">
        <f>IF('CCUS Projects Database'!$X707&lt;&gt;"",HYPERLINK('CCUS Projects Database'!$X707,"Link 7"),"")</f>
        <v/>
      </c>
    </row>
    <row r="708" ht="14.25" customHeight="1">
      <c r="A708" s="233" t="s">
        <v>21261</v>
      </c>
      <c r="B708" s="234">
        <v>940.0</v>
      </c>
      <c r="C708" s="234" t="s">
        <v>120</v>
      </c>
      <c r="D708" s="235" t="s">
        <v>21262</v>
      </c>
      <c r="E708" s="234" t="s">
        <v>18618</v>
      </c>
      <c r="F708" s="234">
        <v>2023.0</v>
      </c>
      <c r="G708" s="234" t="s">
        <v>18725</v>
      </c>
      <c r="H708" s="234" t="s">
        <v>18725</v>
      </c>
      <c r="I708" s="234" t="s">
        <v>18725</v>
      </c>
      <c r="J708" s="234" t="s">
        <v>18636</v>
      </c>
      <c r="K708" s="236" t="s">
        <v>18725</v>
      </c>
      <c r="L708" s="236">
        <v>0.2</v>
      </c>
      <c r="M708" s="236">
        <v>0.2</v>
      </c>
      <c r="N708" s="234" t="s">
        <v>18654</v>
      </c>
      <c r="O708" s="237" t="s">
        <v>18683</v>
      </c>
      <c r="P708" s="238" t="s">
        <v>18725</v>
      </c>
      <c r="Q708" s="234" t="s">
        <v>18726</v>
      </c>
      <c r="R708" s="238" t="s">
        <v>21263</v>
      </c>
      <c r="S708" s="238" t="s">
        <v>18725</v>
      </c>
      <c r="T708" s="238" t="s">
        <v>18725</v>
      </c>
      <c r="U708" s="238" t="s">
        <v>18725</v>
      </c>
      <c r="V708" s="238" t="s">
        <v>18725</v>
      </c>
      <c r="W708" s="238" t="s">
        <v>18725</v>
      </c>
      <c r="X708" s="238" t="s">
        <v>18725</v>
      </c>
      <c r="Y708" s="239" t="str">
        <f>IF('CCUS Projects Database'!$R708&lt;&gt;"",HYPERLINK('CCUS Projects Database'!$R708,"Link 1"),"")</f>
        <v>Link 1</v>
      </c>
      <c r="Z708" s="239" t="str">
        <f>IF('CCUS Projects Database'!$S708&lt;&gt;"",HYPERLINK('CCUS Projects Database'!$S708,"Link 2"),"")</f>
        <v/>
      </c>
      <c r="AA708" s="239" t="str">
        <f>IF('CCUS Projects Database'!$T708&lt;&gt;"",HYPERLINK('CCUS Projects Database'!$T708,"Link 3"),"")</f>
        <v/>
      </c>
      <c r="AB708" s="239" t="str">
        <f>IF('CCUS Projects Database'!$U708&lt;&gt;"",HYPERLINK('CCUS Projects Database'!$U708,"Link 4"),"")</f>
        <v/>
      </c>
      <c r="AC708" s="239" t="str">
        <f>IF('CCUS Projects Database'!$V708&lt;&gt;"",HYPERLINK('CCUS Projects Database'!$V708,"Link 5"),"")</f>
        <v/>
      </c>
      <c r="AD708" s="239" t="str">
        <f>IF('CCUS Projects Database'!$W708&lt;&gt;"",HYPERLINK('CCUS Projects Database'!$W708,"Link 6"),"")</f>
        <v/>
      </c>
      <c r="AE708" s="239" t="str">
        <f>IF('CCUS Projects Database'!$X708&lt;&gt;"",HYPERLINK('CCUS Projects Database'!$X708,"Link 7"),"")</f>
        <v/>
      </c>
    </row>
    <row r="709" ht="14.25" customHeight="1">
      <c r="A709" s="233" t="s">
        <v>21264</v>
      </c>
      <c r="B709" s="234">
        <v>946.0</v>
      </c>
      <c r="C709" s="234" t="s">
        <v>51</v>
      </c>
      <c r="D709" s="235" t="s">
        <v>21265</v>
      </c>
      <c r="E709" s="234" t="s">
        <v>18618</v>
      </c>
      <c r="F709" s="234">
        <v>2023.0</v>
      </c>
      <c r="G709" s="234" t="s">
        <v>18725</v>
      </c>
      <c r="H709" s="234" t="s">
        <v>18725</v>
      </c>
      <c r="I709" s="234" t="s">
        <v>18725</v>
      </c>
      <c r="J709" s="234" t="s">
        <v>18636</v>
      </c>
      <c r="K709" s="236" t="s">
        <v>18725</v>
      </c>
      <c r="L709" s="236">
        <v>0.2</v>
      </c>
      <c r="M709" s="236">
        <v>0.2</v>
      </c>
      <c r="N709" s="234" t="s">
        <v>18654</v>
      </c>
      <c r="O709" s="237" t="s">
        <v>18675</v>
      </c>
      <c r="P709" s="238" t="s">
        <v>18725</v>
      </c>
      <c r="Q709" s="234" t="s">
        <v>18726</v>
      </c>
      <c r="R709" s="238" t="s">
        <v>21266</v>
      </c>
      <c r="S709" s="238" t="s">
        <v>21267</v>
      </c>
      <c r="T709" s="238" t="s">
        <v>18725</v>
      </c>
      <c r="U709" s="238" t="s">
        <v>18725</v>
      </c>
      <c r="V709" s="238" t="s">
        <v>18725</v>
      </c>
      <c r="W709" s="238" t="s">
        <v>18725</v>
      </c>
      <c r="X709" s="238" t="s">
        <v>18725</v>
      </c>
      <c r="Y709" s="239" t="str">
        <f>IF('CCUS Projects Database'!$R709&lt;&gt;"",HYPERLINK('CCUS Projects Database'!$R709,"Link 1"),"")</f>
        <v>Link 1</v>
      </c>
      <c r="Z709" s="239" t="str">
        <f>IF('CCUS Projects Database'!$S709&lt;&gt;"",HYPERLINK('CCUS Projects Database'!$S709,"Link 2"),"")</f>
        <v>Link 2</v>
      </c>
      <c r="AA709" s="239" t="str">
        <f>IF('CCUS Projects Database'!$T709&lt;&gt;"",HYPERLINK('CCUS Projects Database'!$T709,"Link 3"),"")</f>
        <v/>
      </c>
      <c r="AB709" s="239" t="str">
        <f>IF('CCUS Projects Database'!$U709&lt;&gt;"",HYPERLINK('CCUS Projects Database'!$U709,"Link 4"),"")</f>
        <v/>
      </c>
      <c r="AC709" s="239" t="str">
        <f>IF('CCUS Projects Database'!$V709&lt;&gt;"",HYPERLINK('CCUS Projects Database'!$V709,"Link 5"),"")</f>
        <v/>
      </c>
      <c r="AD709" s="239" t="str">
        <f>IF('CCUS Projects Database'!$W709&lt;&gt;"",HYPERLINK('CCUS Projects Database'!$W709,"Link 6"),"")</f>
        <v/>
      </c>
      <c r="AE709" s="239" t="str">
        <f>IF('CCUS Projects Database'!$X709&lt;&gt;"",HYPERLINK('CCUS Projects Database'!$X709,"Link 7"),"")</f>
        <v/>
      </c>
    </row>
    <row r="710" ht="14.25" customHeight="1">
      <c r="A710" s="233" t="s">
        <v>21268</v>
      </c>
      <c r="B710" s="234">
        <v>947.0</v>
      </c>
      <c r="C710" s="234" t="s">
        <v>18287</v>
      </c>
      <c r="D710" s="235" t="s">
        <v>21269</v>
      </c>
      <c r="E710" s="234" t="s">
        <v>3</v>
      </c>
      <c r="F710" s="234">
        <v>2022.0</v>
      </c>
      <c r="G710" s="234" t="s">
        <v>18725</v>
      </c>
      <c r="H710" s="234">
        <v>2030.0</v>
      </c>
      <c r="I710" s="234" t="s">
        <v>18725</v>
      </c>
      <c r="J710" s="234" t="s">
        <v>18636</v>
      </c>
      <c r="K710" s="236" t="s">
        <v>18725</v>
      </c>
      <c r="L710" s="236">
        <v>1.0</v>
      </c>
      <c r="M710" s="236">
        <v>1.0</v>
      </c>
      <c r="N710" s="234" t="s">
        <v>3</v>
      </c>
      <c r="O710" s="237" t="s">
        <v>18675</v>
      </c>
      <c r="P710" s="238" t="s">
        <v>21268</v>
      </c>
      <c r="Q710" s="234" t="s">
        <v>18856</v>
      </c>
      <c r="R710" s="238" t="s">
        <v>18864</v>
      </c>
      <c r="S710" s="238" t="s">
        <v>18725</v>
      </c>
      <c r="T710" s="238" t="s">
        <v>18725</v>
      </c>
      <c r="U710" s="238" t="s">
        <v>18725</v>
      </c>
      <c r="V710" s="238" t="s">
        <v>18725</v>
      </c>
      <c r="W710" s="238" t="s">
        <v>18725</v>
      </c>
      <c r="X710" s="238" t="s">
        <v>18725</v>
      </c>
      <c r="Y710" s="239" t="str">
        <f>IF('CCUS Projects Database'!$R710&lt;&gt;"",HYPERLINK('CCUS Projects Database'!$R710,"Link 1"),"")</f>
        <v>Link 1</v>
      </c>
      <c r="Z710" s="239" t="str">
        <f>IF('CCUS Projects Database'!$S710&lt;&gt;"",HYPERLINK('CCUS Projects Database'!$S710,"Link 2"),"")</f>
        <v/>
      </c>
      <c r="AA710" s="239" t="str">
        <f>IF('CCUS Projects Database'!$T710&lt;&gt;"",HYPERLINK('CCUS Projects Database'!$T710,"Link 3"),"")</f>
        <v/>
      </c>
      <c r="AB710" s="239" t="str">
        <f>IF('CCUS Projects Database'!$U710&lt;&gt;"",HYPERLINK('CCUS Projects Database'!$U710,"Link 4"),"")</f>
        <v/>
      </c>
      <c r="AC710" s="239" t="str">
        <f>IF('CCUS Projects Database'!$V710&lt;&gt;"",HYPERLINK('CCUS Projects Database'!$V710,"Link 5"),"")</f>
        <v/>
      </c>
      <c r="AD710" s="239" t="str">
        <f>IF('CCUS Projects Database'!$W710&lt;&gt;"",HYPERLINK('CCUS Projects Database'!$W710,"Link 6"),"")</f>
        <v/>
      </c>
      <c r="AE710" s="239" t="str">
        <f>IF('CCUS Projects Database'!$X710&lt;&gt;"",HYPERLINK('CCUS Projects Database'!$X710,"Link 7"),"")</f>
        <v/>
      </c>
    </row>
    <row r="711" ht="14.25" customHeight="1">
      <c r="A711" s="233" t="s">
        <v>21270</v>
      </c>
      <c r="B711" s="234">
        <v>948.0</v>
      </c>
      <c r="C711" s="234" t="s">
        <v>18287</v>
      </c>
      <c r="D711" s="235" t="s">
        <v>21271</v>
      </c>
      <c r="E711" s="234" t="s">
        <v>3</v>
      </c>
      <c r="F711" s="234">
        <v>2023.0</v>
      </c>
      <c r="G711" s="234" t="s">
        <v>18725</v>
      </c>
      <c r="H711" s="234" t="s">
        <v>18725</v>
      </c>
      <c r="I711" s="234" t="s">
        <v>18725</v>
      </c>
      <c r="J711" s="234" t="s">
        <v>18636</v>
      </c>
      <c r="K711" s="236" t="s">
        <v>18725</v>
      </c>
      <c r="L711" s="236" t="s">
        <v>18725</v>
      </c>
      <c r="M711" s="236" t="s">
        <v>18725</v>
      </c>
      <c r="N711" s="234" t="s">
        <v>3</v>
      </c>
      <c r="O711" s="237" t="s">
        <v>18683</v>
      </c>
      <c r="P711" s="238" t="s">
        <v>18725</v>
      </c>
      <c r="Q711" s="234" t="s">
        <v>18856</v>
      </c>
      <c r="R711" s="238" t="s">
        <v>21272</v>
      </c>
      <c r="S711" s="238" t="s">
        <v>18725</v>
      </c>
      <c r="T711" s="238" t="s">
        <v>18725</v>
      </c>
      <c r="U711" s="238" t="s">
        <v>18725</v>
      </c>
      <c r="V711" s="238" t="s">
        <v>18725</v>
      </c>
      <c r="W711" s="238" t="s">
        <v>18725</v>
      </c>
      <c r="X711" s="238" t="s">
        <v>18725</v>
      </c>
      <c r="Y711" s="239" t="str">
        <f>IF('CCUS Projects Database'!$R711&lt;&gt;"",HYPERLINK('CCUS Projects Database'!$R711,"Link 1"),"")</f>
        <v>Link 1</v>
      </c>
      <c r="Z711" s="239" t="str">
        <f>IF('CCUS Projects Database'!$S711&lt;&gt;"",HYPERLINK('CCUS Projects Database'!$S711,"Link 2"),"")</f>
        <v/>
      </c>
      <c r="AA711" s="239" t="str">
        <f>IF('CCUS Projects Database'!$T711&lt;&gt;"",HYPERLINK('CCUS Projects Database'!$T711,"Link 3"),"")</f>
        <v/>
      </c>
      <c r="AB711" s="239" t="str">
        <f>IF('CCUS Projects Database'!$U711&lt;&gt;"",HYPERLINK('CCUS Projects Database'!$U711,"Link 4"),"")</f>
        <v/>
      </c>
      <c r="AC711" s="239" t="str">
        <f>IF('CCUS Projects Database'!$V711&lt;&gt;"",HYPERLINK('CCUS Projects Database'!$V711,"Link 5"),"")</f>
        <v/>
      </c>
      <c r="AD711" s="239" t="str">
        <f>IF('CCUS Projects Database'!$W711&lt;&gt;"",HYPERLINK('CCUS Projects Database'!$W711,"Link 6"),"")</f>
        <v/>
      </c>
      <c r="AE711" s="239" t="str">
        <f>IF('CCUS Projects Database'!$X711&lt;&gt;"",HYPERLINK('CCUS Projects Database'!$X711,"Link 7"),"")</f>
        <v/>
      </c>
    </row>
    <row r="712" ht="14.25" customHeight="1">
      <c r="A712" s="233" t="s">
        <v>21273</v>
      </c>
      <c r="B712" s="234">
        <v>949.0</v>
      </c>
      <c r="C712" s="234" t="s">
        <v>18340</v>
      </c>
      <c r="D712" s="235" t="s">
        <v>21274</v>
      </c>
      <c r="E712" s="234" t="s">
        <v>18623</v>
      </c>
      <c r="F712" s="234">
        <v>2023.0</v>
      </c>
      <c r="G712" s="234" t="s">
        <v>18725</v>
      </c>
      <c r="H712" s="234" t="s">
        <v>18725</v>
      </c>
      <c r="I712" s="234" t="s">
        <v>18725</v>
      </c>
      <c r="J712" s="234" t="s">
        <v>18636</v>
      </c>
      <c r="K712" s="236" t="s">
        <v>18725</v>
      </c>
      <c r="L712" s="236" t="s">
        <v>18725</v>
      </c>
      <c r="M712" s="236" t="s">
        <v>18725</v>
      </c>
      <c r="N712" s="234" t="s">
        <v>18623</v>
      </c>
      <c r="O712" s="237" t="s">
        <v>18675</v>
      </c>
      <c r="P712" s="238" t="s">
        <v>18725</v>
      </c>
      <c r="Q712" s="234" t="s">
        <v>18293</v>
      </c>
      <c r="R712" s="238" t="s">
        <v>21275</v>
      </c>
      <c r="S712" s="238" t="s">
        <v>18725</v>
      </c>
      <c r="T712" s="238" t="s">
        <v>18725</v>
      </c>
      <c r="U712" s="238" t="s">
        <v>18725</v>
      </c>
      <c r="V712" s="238" t="s">
        <v>18725</v>
      </c>
      <c r="W712" s="238" t="s">
        <v>18725</v>
      </c>
      <c r="X712" s="238" t="s">
        <v>18725</v>
      </c>
      <c r="Y712" s="239" t="str">
        <f>IF('CCUS Projects Database'!$R712&lt;&gt;"",HYPERLINK('CCUS Projects Database'!$R712,"Link 1"),"")</f>
        <v>Link 1</v>
      </c>
      <c r="Z712" s="239" t="str">
        <f>IF('CCUS Projects Database'!$S712&lt;&gt;"",HYPERLINK('CCUS Projects Database'!$S712,"Link 2"),"")</f>
        <v/>
      </c>
      <c r="AA712" s="239" t="str">
        <f>IF('CCUS Projects Database'!$T712&lt;&gt;"",HYPERLINK('CCUS Projects Database'!$T712,"Link 3"),"")</f>
        <v/>
      </c>
      <c r="AB712" s="239" t="str">
        <f>IF('CCUS Projects Database'!$U712&lt;&gt;"",HYPERLINK('CCUS Projects Database'!$U712,"Link 4"),"")</f>
        <v/>
      </c>
      <c r="AC712" s="239" t="str">
        <f>IF('CCUS Projects Database'!$V712&lt;&gt;"",HYPERLINK('CCUS Projects Database'!$V712,"Link 5"),"")</f>
        <v/>
      </c>
      <c r="AD712" s="239" t="str">
        <f>IF('CCUS Projects Database'!$W712&lt;&gt;"",HYPERLINK('CCUS Projects Database'!$W712,"Link 6"),"")</f>
        <v/>
      </c>
      <c r="AE712" s="239" t="str">
        <f>IF('CCUS Projects Database'!$X712&lt;&gt;"",HYPERLINK('CCUS Projects Database'!$X712,"Link 7"),"")</f>
        <v/>
      </c>
    </row>
    <row r="713" ht="14.25" customHeight="1">
      <c r="A713" s="233" t="s">
        <v>21276</v>
      </c>
      <c r="B713" s="234">
        <v>950.0</v>
      </c>
      <c r="C713" s="234" t="s">
        <v>19172</v>
      </c>
      <c r="D713" s="235" t="s">
        <v>21277</v>
      </c>
      <c r="E713" s="234" t="s">
        <v>18620</v>
      </c>
      <c r="F713" s="234">
        <v>2023.0</v>
      </c>
      <c r="G713" s="234">
        <v>2025.0</v>
      </c>
      <c r="H713" s="234">
        <v>2028.0</v>
      </c>
      <c r="I713" s="234" t="s">
        <v>18725</v>
      </c>
      <c r="J713" s="234" t="s">
        <v>18636</v>
      </c>
      <c r="K713" s="236" t="s">
        <v>18725</v>
      </c>
      <c r="L713" s="236">
        <v>5.4</v>
      </c>
      <c r="M713" s="236">
        <v>5.4</v>
      </c>
      <c r="N713" s="234" t="s">
        <v>18620</v>
      </c>
      <c r="O713" s="237" t="s">
        <v>18675</v>
      </c>
      <c r="P713" s="238" t="s">
        <v>18789</v>
      </c>
      <c r="Q713" s="234" t="s">
        <v>18726</v>
      </c>
      <c r="R713" s="238" t="s">
        <v>21278</v>
      </c>
      <c r="S713" s="238" t="s">
        <v>18725</v>
      </c>
      <c r="T713" s="238" t="s">
        <v>18725</v>
      </c>
      <c r="U713" s="238" t="s">
        <v>18725</v>
      </c>
      <c r="V713" s="238" t="s">
        <v>18725</v>
      </c>
      <c r="W713" s="238" t="s">
        <v>18725</v>
      </c>
      <c r="X713" s="238" t="s">
        <v>18725</v>
      </c>
      <c r="Y713" s="239" t="str">
        <f>IF('CCUS Projects Database'!$R713&lt;&gt;"",HYPERLINK('CCUS Projects Database'!$R713,"Link 1"),"")</f>
        <v>Link 1</v>
      </c>
      <c r="Z713" s="239" t="str">
        <f>IF('CCUS Projects Database'!$S713&lt;&gt;"",HYPERLINK('CCUS Projects Database'!$S713,"Link 2"),"")</f>
        <v/>
      </c>
      <c r="AA713" s="239" t="str">
        <f>IF('CCUS Projects Database'!$T713&lt;&gt;"",HYPERLINK('CCUS Projects Database'!$T713,"Link 3"),"")</f>
        <v/>
      </c>
      <c r="AB713" s="239" t="str">
        <f>IF('CCUS Projects Database'!$U713&lt;&gt;"",HYPERLINK('CCUS Projects Database'!$U713,"Link 4"),"")</f>
        <v/>
      </c>
      <c r="AC713" s="239" t="str">
        <f>IF('CCUS Projects Database'!$V713&lt;&gt;"",HYPERLINK('CCUS Projects Database'!$V713,"Link 5"),"")</f>
        <v/>
      </c>
      <c r="AD713" s="239" t="str">
        <f>IF('CCUS Projects Database'!$W713&lt;&gt;"",HYPERLINK('CCUS Projects Database'!$W713,"Link 6"),"")</f>
        <v/>
      </c>
      <c r="AE713" s="239" t="str">
        <f>IF('CCUS Projects Database'!$X713&lt;&gt;"",HYPERLINK('CCUS Projects Database'!$X713,"Link 7"),"")</f>
        <v/>
      </c>
    </row>
    <row r="714" ht="14.25" customHeight="1">
      <c r="A714" s="233" t="s">
        <v>21279</v>
      </c>
      <c r="B714" s="234">
        <v>951.0</v>
      </c>
      <c r="C714" s="234" t="s">
        <v>19172</v>
      </c>
      <c r="D714" s="235" t="s">
        <v>21277</v>
      </c>
      <c r="E714" s="234" t="s">
        <v>18620</v>
      </c>
      <c r="F714" s="234" t="s">
        <v>18725</v>
      </c>
      <c r="G714" s="234" t="s">
        <v>18725</v>
      </c>
      <c r="H714" s="234" t="s">
        <v>18725</v>
      </c>
      <c r="I714" s="234" t="s">
        <v>18725</v>
      </c>
      <c r="J714" s="234" t="s">
        <v>18636</v>
      </c>
      <c r="K714" s="236">
        <v>2.0</v>
      </c>
      <c r="L714" s="236">
        <v>10.3</v>
      </c>
      <c r="M714" s="236">
        <v>10.3</v>
      </c>
      <c r="N714" s="234" t="s">
        <v>18620</v>
      </c>
      <c r="O714" s="237" t="s">
        <v>18675</v>
      </c>
      <c r="P714" s="238" t="s">
        <v>18789</v>
      </c>
      <c r="Q714" s="234" t="s">
        <v>18726</v>
      </c>
      <c r="R714" s="238" t="s">
        <v>18725</v>
      </c>
      <c r="S714" s="238" t="s">
        <v>18725</v>
      </c>
      <c r="T714" s="238" t="s">
        <v>18725</v>
      </c>
      <c r="U714" s="238" t="s">
        <v>18725</v>
      </c>
      <c r="V714" s="238" t="s">
        <v>18725</v>
      </c>
      <c r="W714" s="238" t="s">
        <v>18725</v>
      </c>
      <c r="X714" s="238" t="s">
        <v>18725</v>
      </c>
      <c r="Y714" s="239" t="str">
        <f>IF('CCUS Projects Database'!$R714&lt;&gt;"",HYPERLINK('CCUS Projects Database'!$R714,"Link 1"),"")</f>
        <v/>
      </c>
      <c r="Z714" s="239" t="str">
        <f>IF('CCUS Projects Database'!$S714&lt;&gt;"",HYPERLINK('CCUS Projects Database'!$S714,"Link 2"),"")</f>
        <v/>
      </c>
      <c r="AA714" s="239" t="str">
        <f>IF('CCUS Projects Database'!$T714&lt;&gt;"",HYPERLINK('CCUS Projects Database'!$T714,"Link 3"),"")</f>
        <v/>
      </c>
      <c r="AB714" s="239" t="str">
        <f>IF('CCUS Projects Database'!$U714&lt;&gt;"",HYPERLINK('CCUS Projects Database'!$U714,"Link 4"),"")</f>
        <v/>
      </c>
      <c r="AC714" s="239" t="str">
        <f>IF('CCUS Projects Database'!$V714&lt;&gt;"",HYPERLINK('CCUS Projects Database'!$V714,"Link 5"),"")</f>
        <v/>
      </c>
      <c r="AD714" s="239" t="str">
        <f>IF('CCUS Projects Database'!$W714&lt;&gt;"",HYPERLINK('CCUS Projects Database'!$W714,"Link 6"),"")</f>
        <v/>
      </c>
      <c r="AE714" s="239" t="str">
        <f>IF('CCUS Projects Database'!$X714&lt;&gt;"",HYPERLINK('CCUS Projects Database'!$X714,"Link 7"),"")</f>
        <v/>
      </c>
    </row>
    <row r="715" ht="14.25" customHeight="1">
      <c r="A715" s="233" t="s">
        <v>21280</v>
      </c>
      <c r="B715" s="234">
        <v>952.0</v>
      </c>
      <c r="C715" s="234" t="s">
        <v>18264</v>
      </c>
      <c r="D715" s="235" t="s">
        <v>21281</v>
      </c>
      <c r="E715" s="234" t="s">
        <v>18618</v>
      </c>
      <c r="F715" s="234">
        <v>2023.0</v>
      </c>
      <c r="G715" s="234">
        <v>2024.0</v>
      </c>
      <c r="H715" s="234">
        <v>2025.0</v>
      </c>
      <c r="I715" s="234" t="s">
        <v>18725</v>
      </c>
      <c r="J715" s="234" t="s">
        <v>18638</v>
      </c>
      <c r="K715" s="236" t="s">
        <v>18725</v>
      </c>
      <c r="L715" s="236">
        <v>0.003</v>
      </c>
      <c r="M715" s="236">
        <v>0.003</v>
      </c>
      <c r="N715" s="234" t="s">
        <v>18218</v>
      </c>
      <c r="O715" s="237" t="s">
        <v>21282</v>
      </c>
      <c r="P715" s="238" t="s">
        <v>21283</v>
      </c>
      <c r="Q715" s="234" t="s">
        <v>18732</v>
      </c>
      <c r="R715" s="238" t="s">
        <v>21284</v>
      </c>
      <c r="S715" s="238" t="s">
        <v>21285</v>
      </c>
      <c r="T715" s="238" t="s">
        <v>18725</v>
      </c>
      <c r="U715" s="238" t="s">
        <v>18725</v>
      </c>
      <c r="V715" s="238" t="s">
        <v>18725</v>
      </c>
      <c r="W715" s="238" t="s">
        <v>18725</v>
      </c>
      <c r="X715" s="238" t="s">
        <v>18725</v>
      </c>
      <c r="Y715" s="239" t="str">
        <f>IF('CCUS Projects Database'!$R715&lt;&gt;"",HYPERLINK('CCUS Projects Database'!$R715,"Link 1"),"")</f>
        <v>Link 1</v>
      </c>
      <c r="Z715" s="239" t="str">
        <f>IF('CCUS Projects Database'!$S715&lt;&gt;"",HYPERLINK('CCUS Projects Database'!$S715,"Link 2"),"")</f>
        <v>Link 2</v>
      </c>
      <c r="AA715" s="239" t="str">
        <f>IF('CCUS Projects Database'!$T715&lt;&gt;"",HYPERLINK('CCUS Projects Database'!$T715,"Link 3"),"")</f>
        <v/>
      </c>
      <c r="AB715" s="239" t="str">
        <f>IF('CCUS Projects Database'!$U715&lt;&gt;"",HYPERLINK('CCUS Projects Database'!$U715,"Link 4"),"")</f>
        <v/>
      </c>
      <c r="AC715" s="239" t="str">
        <f>IF('CCUS Projects Database'!$V715&lt;&gt;"",HYPERLINK('CCUS Projects Database'!$V715,"Link 5"),"")</f>
        <v/>
      </c>
      <c r="AD715" s="239" t="str">
        <f>IF('CCUS Projects Database'!$W715&lt;&gt;"",HYPERLINK('CCUS Projects Database'!$W715,"Link 6"),"")</f>
        <v/>
      </c>
      <c r="AE715" s="239" t="str">
        <f>IF('CCUS Projects Database'!$X715&lt;&gt;"",HYPERLINK('CCUS Projects Database'!$X715,"Link 7"),"")</f>
        <v/>
      </c>
    </row>
    <row r="716" ht="14.25" customHeight="1">
      <c r="A716" s="233" t="s">
        <v>21286</v>
      </c>
      <c r="B716" s="234">
        <v>956.0</v>
      </c>
      <c r="C716" s="234" t="s">
        <v>18586</v>
      </c>
      <c r="D716" s="235" t="s">
        <v>21287</v>
      </c>
      <c r="E716" s="234" t="s">
        <v>18618</v>
      </c>
      <c r="F716" s="234">
        <v>2023.0</v>
      </c>
      <c r="G716" s="234">
        <v>2025.0</v>
      </c>
      <c r="H716" s="234">
        <v>2027.0</v>
      </c>
      <c r="I716" s="234" t="s">
        <v>18725</v>
      </c>
      <c r="J716" s="234" t="s">
        <v>18636</v>
      </c>
      <c r="K716" s="236" t="s">
        <v>18725</v>
      </c>
      <c r="L716" s="236" t="s">
        <v>18725</v>
      </c>
      <c r="M716" s="236" t="s">
        <v>18725</v>
      </c>
      <c r="N716" s="234" t="s">
        <v>18656</v>
      </c>
      <c r="O716" s="237" t="s">
        <v>18675</v>
      </c>
      <c r="P716" s="238" t="s">
        <v>21288</v>
      </c>
      <c r="Q716" s="234" t="s">
        <v>18732</v>
      </c>
      <c r="R716" s="238" t="s">
        <v>21289</v>
      </c>
      <c r="S716" s="238" t="s">
        <v>18725</v>
      </c>
      <c r="T716" s="238" t="s">
        <v>18725</v>
      </c>
      <c r="U716" s="238" t="s">
        <v>18725</v>
      </c>
      <c r="V716" s="238" t="s">
        <v>18725</v>
      </c>
      <c r="W716" s="238" t="s">
        <v>18725</v>
      </c>
      <c r="X716" s="238" t="s">
        <v>18725</v>
      </c>
      <c r="Y716" s="239" t="str">
        <f>IF('CCUS Projects Database'!$R716&lt;&gt;"",HYPERLINK('CCUS Projects Database'!$R716,"Link 1"),"")</f>
        <v>Link 1</v>
      </c>
      <c r="Z716" s="239" t="str">
        <f>IF('CCUS Projects Database'!$S716&lt;&gt;"",HYPERLINK('CCUS Projects Database'!$S716,"Link 2"),"")</f>
        <v/>
      </c>
      <c r="AA716" s="239" t="str">
        <f>IF('CCUS Projects Database'!$T716&lt;&gt;"",HYPERLINK('CCUS Projects Database'!$T716,"Link 3"),"")</f>
        <v/>
      </c>
      <c r="AB716" s="239" t="str">
        <f>IF('CCUS Projects Database'!$U716&lt;&gt;"",HYPERLINK('CCUS Projects Database'!$U716,"Link 4"),"")</f>
        <v/>
      </c>
      <c r="AC716" s="239" t="str">
        <f>IF('CCUS Projects Database'!$V716&lt;&gt;"",HYPERLINK('CCUS Projects Database'!$V716,"Link 5"),"")</f>
        <v/>
      </c>
      <c r="AD716" s="239" t="str">
        <f>IF('CCUS Projects Database'!$W716&lt;&gt;"",HYPERLINK('CCUS Projects Database'!$W716,"Link 6"),"")</f>
        <v/>
      </c>
      <c r="AE716" s="239" t="str">
        <f>IF('CCUS Projects Database'!$X716&lt;&gt;"",HYPERLINK('CCUS Projects Database'!$X716,"Link 7"),"")</f>
        <v/>
      </c>
    </row>
    <row r="717" ht="14.25" customHeight="1">
      <c r="A717" s="233" t="s">
        <v>21290</v>
      </c>
      <c r="B717" s="234">
        <v>957.0</v>
      </c>
      <c r="C717" s="234" t="s">
        <v>20947</v>
      </c>
      <c r="D717" s="235" t="s">
        <v>21291</v>
      </c>
      <c r="E717" s="234" t="s">
        <v>18623</v>
      </c>
      <c r="F717" s="234">
        <v>2022.0</v>
      </c>
      <c r="G717" s="234">
        <v>2025.0</v>
      </c>
      <c r="H717" s="234">
        <v>2028.0</v>
      </c>
      <c r="I717" s="234" t="s">
        <v>18725</v>
      </c>
      <c r="J717" s="234" t="s">
        <v>18636</v>
      </c>
      <c r="K717" s="236">
        <v>1.0</v>
      </c>
      <c r="L717" s="236">
        <v>2.0</v>
      </c>
      <c r="M717" s="236">
        <v>2.0</v>
      </c>
      <c r="N717" s="234" t="s">
        <v>18623</v>
      </c>
      <c r="O717" s="237" t="s">
        <v>18675</v>
      </c>
      <c r="P717" s="238" t="s">
        <v>20949</v>
      </c>
      <c r="Q717" s="234" t="s">
        <v>18856</v>
      </c>
      <c r="R717" s="238" t="s">
        <v>21292</v>
      </c>
      <c r="S717" s="238" t="s">
        <v>21293</v>
      </c>
      <c r="T717" s="238" t="s">
        <v>21294</v>
      </c>
      <c r="U717" s="238" t="s">
        <v>18725</v>
      </c>
      <c r="V717" s="238" t="s">
        <v>18725</v>
      </c>
      <c r="W717" s="238" t="s">
        <v>18725</v>
      </c>
      <c r="X717" s="238" t="s">
        <v>18725</v>
      </c>
      <c r="Y717" s="239" t="str">
        <f>IF('CCUS Projects Database'!$R717&lt;&gt;"",HYPERLINK('CCUS Projects Database'!$R717,"Link 1"),"")</f>
        <v>Link 1</v>
      </c>
      <c r="Z717" s="239" t="str">
        <f>IF('CCUS Projects Database'!$S717&lt;&gt;"",HYPERLINK('CCUS Projects Database'!$S717,"Link 2"),"")</f>
        <v>Link 2</v>
      </c>
      <c r="AA717" s="239" t="str">
        <f>IF('CCUS Projects Database'!$T717&lt;&gt;"",HYPERLINK('CCUS Projects Database'!$T717,"Link 3"),"")</f>
        <v>Link 3</v>
      </c>
      <c r="AB717" s="239" t="str">
        <f>IF('CCUS Projects Database'!$U717&lt;&gt;"",HYPERLINK('CCUS Projects Database'!$U717,"Link 4"),"")</f>
        <v/>
      </c>
      <c r="AC717" s="239" t="str">
        <f>IF('CCUS Projects Database'!$V717&lt;&gt;"",HYPERLINK('CCUS Projects Database'!$V717,"Link 5"),"")</f>
        <v/>
      </c>
      <c r="AD717" s="239" t="str">
        <f>IF('CCUS Projects Database'!$W717&lt;&gt;"",HYPERLINK('CCUS Projects Database'!$W717,"Link 6"),"")</f>
        <v/>
      </c>
      <c r="AE717" s="239" t="str">
        <f>IF('CCUS Projects Database'!$X717&lt;&gt;"",HYPERLINK('CCUS Projects Database'!$X717,"Link 7"),"")</f>
        <v/>
      </c>
    </row>
    <row r="718" ht="14.25" customHeight="1">
      <c r="A718" s="233" t="s">
        <v>21295</v>
      </c>
      <c r="B718" s="234">
        <v>958.0</v>
      </c>
      <c r="C718" s="234" t="s">
        <v>20947</v>
      </c>
      <c r="D718" s="235" t="s">
        <v>21296</v>
      </c>
      <c r="E718" s="234" t="s">
        <v>18623</v>
      </c>
      <c r="F718" s="234">
        <v>2022.0</v>
      </c>
      <c r="G718" s="234" t="s">
        <v>18725</v>
      </c>
      <c r="H718" s="234">
        <v>2030.0</v>
      </c>
      <c r="I718" s="234" t="s">
        <v>18725</v>
      </c>
      <c r="J718" s="234" t="s">
        <v>18636</v>
      </c>
      <c r="K718" s="236">
        <v>2.0</v>
      </c>
      <c r="L718" s="236">
        <v>8.0</v>
      </c>
      <c r="M718" s="236">
        <v>8.0</v>
      </c>
      <c r="N718" s="234" t="s">
        <v>18623</v>
      </c>
      <c r="O718" s="237" t="s">
        <v>18675</v>
      </c>
      <c r="P718" s="238" t="s">
        <v>20949</v>
      </c>
      <c r="Q718" s="234" t="s">
        <v>18856</v>
      </c>
      <c r="R718" s="238" t="s">
        <v>21292</v>
      </c>
      <c r="S718" s="238" t="s">
        <v>21297</v>
      </c>
      <c r="T718" s="238" t="s">
        <v>21294</v>
      </c>
      <c r="U718" s="238" t="s">
        <v>18725</v>
      </c>
      <c r="V718" s="238" t="s">
        <v>18725</v>
      </c>
      <c r="W718" s="238" t="s">
        <v>18725</v>
      </c>
      <c r="X718" s="238" t="s">
        <v>18725</v>
      </c>
      <c r="Y718" s="239" t="str">
        <f>IF('CCUS Projects Database'!$R718&lt;&gt;"",HYPERLINK('CCUS Projects Database'!$R718,"Link 1"),"")</f>
        <v>Link 1</v>
      </c>
      <c r="Z718" s="239" t="str">
        <f>IF('CCUS Projects Database'!$S718&lt;&gt;"",HYPERLINK('CCUS Projects Database'!$S718,"Link 2"),"")</f>
        <v>Link 2</v>
      </c>
      <c r="AA718" s="239" t="str">
        <f>IF('CCUS Projects Database'!$T718&lt;&gt;"",HYPERLINK('CCUS Projects Database'!$T718,"Link 3"),"")</f>
        <v>Link 3</v>
      </c>
      <c r="AB718" s="239" t="str">
        <f>IF('CCUS Projects Database'!$U718&lt;&gt;"",HYPERLINK('CCUS Projects Database'!$U718,"Link 4"),"")</f>
        <v/>
      </c>
      <c r="AC718" s="239" t="str">
        <f>IF('CCUS Projects Database'!$V718&lt;&gt;"",HYPERLINK('CCUS Projects Database'!$V718,"Link 5"),"")</f>
        <v/>
      </c>
      <c r="AD718" s="239" t="str">
        <f>IF('CCUS Projects Database'!$W718&lt;&gt;"",HYPERLINK('CCUS Projects Database'!$W718,"Link 6"),"")</f>
        <v/>
      </c>
      <c r="AE718" s="239" t="str">
        <f>IF('CCUS Projects Database'!$X718&lt;&gt;"",HYPERLINK('CCUS Projects Database'!$X718,"Link 7"),"")</f>
        <v/>
      </c>
    </row>
    <row r="719" ht="14.25" customHeight="1">
      <c r="A719" s="233" t="s">
        <v>21298</v>
      </c>
      <c r="B719" s="234">
        <v>959.0</v>
      </c>
      <c r="C719" s="234" t="s">
        <v>18586</v>
      </c>
      <c r="D719" s="235" t="s">
        <v>21299</v>
      </c>
      <c r="E719" s="234" t="s">
        <v>3</v>
      </c>
      <c r="F719" s="234">
        <v>2023.0</v>
      </c>
      <c r="G719" s="234" t="s">
        <v>18725</v>
      </c>
      <c r="H719" s="234" t="s">
        <v>18725</v>
      </c>
      <c r="I719" s="234" t="s">
        <v>18725</v>
      </c>
      <c r="J719" s="234" t="s">
        <v>18636</v>
      </c>
      <c r="K719" s="236" t="s">
        <v>18725</v>
      </c>
      <c r="L719" s="236" t="s">
        <v>18725</v>
      </c>
      <c r="M719" s="236">
        <v>1.667</v>
      </c>
      <c r="N719" s="234" t="s">
        <v>3</v>
      </c>
      <c r="O719" s="237" t="s">
        <v>18675</v>
      </c>
      <c r="P719" s="238" t="s">
        <v>21298</v>
      </c>
      <c r="Q719" s="234" t="s">
        <v>18732</v>
      </c>
      <c r="R719" s="238" t="s">
        <v>21300</v>
      </c>
      <c r="S719" s="238" t="s">
        <v>21301</v>
      </c>
      <c r="T719" s="238" t="s">
        <v>21302</v>
      </c>
      <c r="U719" s="238" t="s">
        <v>17725</v>
      </c>
      <c r="V719" s="238" t="s">
        <v>18725</v>
      </c>
      <c r="W719" s="238" t="s">
        <v>18725</v>
      </c>
      <c r="X719" s="238" t="s">
        <v>18725</v>
      </c>
      <c r="Y719" s="240" t="str">
        <f>IF('CCUS Projects Database'!$R719&lt;&gt;"",HYPERLINK('CCUS Projects Database'!$R719,"Link 1"),"")</f>
        <v>Link 1</v>
      </c>
      <c r="Z719" s="240" t="str">
        <f>IF('CCUS Projects Database'!$S719&lt;&gt;"",HYPERLINK('CCUS Projects Database'!$S719,"Link 2"),"")</f>
        <v>Link 2</v>
      </c>
      <c r="AA719" s="240" t="str">
        <f>IF('CCUS Projects Database'!$T719&lt;&gt;"",HYPERLINK('CCUS Projects Database'!$T719,"Link 3"),"")</f>
        <v>Link 3</v>
      </c>
      <c r="AB719" s="240" t="str">
        <f>IF('CCUS Projects Database'!$U719&lt;&gt;"",HYPERLINK('CCUS Projects Database'!$U719,"Link 4"),"")</f>
        <v>Link 4</v>
      </c>
      <c r="AC719" s="238" t="str">
        <f>IF('CCUS Projects Database'!$V719&lt;&gt;"",HYPERLINK('CCUS Projects Database'!$V719,"Link 5"),"")</f>
        <v/>
      </c>
      <c r="AD719" s="238" t="str">
        <f>IF('CCUS Projects Database'!$W719&lt;&gt;"",HYPERLINK('CCUS Projects Database'!$W719,"Link 6"),"")</f>
        <v/>
      </c>
      <c r="AE719" s="239" t="str">
        <f>IF('CCUS Projects Database'!$X719&lt;&gt;"",HYPERLINK('CCUS Projects Database'!$X719,"Link 7"),"")</f>
        <v/>
      </c>
    </row>
    <row r="720" ht="14.25" customHeight="1">
      <c r="A720" s="233" t="s">
        <v>21303</v>
      </c>
      <c r="B720" s="234">
        <v>960.0</v>
      </c>
      <c r="C720" s="234" t="s">
        <v>18586</v>
      </c>
      <c r="D720" s="235" t="s">
        <v>21304</v>
      </c>
      <c r="E720" s="234" t="s">
        <v>3</v>
      </c>
      <c r="F720" s="234">
        <v>2023.0</v>
      </c>
      <c r="G720" s="234" t="s">
        <v>18725</v>
      </c>
      <c r="H720" s="234" t="s">
        <v>18725</v>
      </c>
      <c r="I720" s="234" t="s">
        <v>18725</v>
      </c>
      <c r="J720" s="234" t="s">
        <v>18636</v>
      </c>
      <c r="K720" s="236" t="s">
        <v>18725</v>
      </c>
      <c r="L720" s="236" t="s">
        <v>18725</v>
      </c>
      <c r="M720" s="236" t="s">
        <v>18725</v>
      </c>
      <c r="N720" s="234" t="s">
        <v>3</v>
      </c>
      <c r="O720" s="237" t="s">
        <v>18675</v>
      </c>
      <c r="P720" s="238" t="s">
        <v>21303</v>
      </c>
      <c r="Q720" s="234" t="s">
        <v>18732</v>
      </c>
      <c r="R720" s="238" t="s">
        <v>20452</v>
      </c>
      <c r="S720" s="238" t="s">
        <v>18725</v>
      </c>
      <c r="T720" s="238" t="s">
        <v>18725</v>
      </c>
      <c r="U720" s="238" t="s">
        <v>18725</v>
      </c>
      <c r="V720" s="238" t="s">
        <v>18725</v>
      </c>
      <c r="W720" s="238" t="s">
        <v>18725</v>
      </c>
      <c r="X720" s="238" t="s">
        <v>18725</v>
      </c>
      <c r="Y720" s="239" t="str">
        <f>IF('CCUS Projects Database'!$R720&lt;&gt;"",HYPERLINK('CCUS Projects Database'!$R720,"Link 1"),"")</f>
        <v>Link 1</v>
      </c>
      <c r="Z720" s="239" t="str">
        <f>IF('CCUS Projects Database'!$S720&lt;&gt;"",HYPERLINK('CCUS Projects Database'!$S720,"Link 2"),"")</f>
        <v/>
      </c>
      <c r="AA720" s="239" t="str">
        <f>IF('CCUS Projects Database'!$T720&lt;&gt;"",HYPERLINK('CCUS Projects Database'!$T720,"Link 3"),"")</f>
        <v/>
      </c>
      <c r="AB720" s="239" t="str">
        <f>IF('CCUS Projects Database'!$U720&lt;&gt;"",HYPERLINK('CCUS Projects Database'!$U720,"Link 4"),"")</f>
        <v/>
      </c>
      <c r="AC720" s="239" t="str">
        <f>IF('CCUS Projects Database'!$V720&lt;&gt;"",HYPERLINK('CCUS Projects Database'!$V720,"Link 5"),"")</f>
        <v/>
      </c>
      <c r="AD720" s="239" t="str">
        <f>IF('CCUS Projects Database'!$W720&lt;&gt;"",HYPERLINK('CCUS Projects Database'!$W720,"Link 6"),"")</f>
        <v/>
      </c>
      <c r="AE720" s="239" t="str">
        <f>IF('CCUS Projects Database'!$X720&lt;&gt;"",HYPERLINK('CCUS Projects Database'!$X720,"Link 7"),"")</f>
        <v/>
      </c>
    </row>
    <row r="721" ht="14.25" customHeight="1">
      <c r="A721" s="233" t="s">
        <v>19737</v>
      </c>
      <c r="B721" s="234">
        <v>962.0</v>
      </c>
      <c r="C721" s="234" t="s">
        <v>18586</v>
      </c>
      <c r="D721" s="235" t="s">
        <v>21305</v>
      </c>
      <c r="E721" s="234" t="s">
        <v>3</v>
      </c>
      <c r="F721" s="234">
        <v>2019.0</v>
      </c>
      <c r="G721" s="234" t="s">
        <v>18725</v>
      </c>
      <c r="H721" s="234">
        <v>2026.0</v>
      </c>
      <c r="I721" s="234" t="s">
        <v>18725</v>
      </c>
      <c r="J721" s="234" t="s">
        <v>18636</v>
      </c>
      <c r="K721" s="236" t="s">
        <v>18725</v>
      </c>
      <c r="L721" s="236" t="s">
        <v>18725</v>
      </c>
      <c r="M721" s="236">
        <v>2.0</v>
      </c>
      <c r="N721" s="234" t="s">
        <v>3</v>
      </c>
      <c r="O721" s="237" t="s">
        <v>18675</v>
      </c>
      <c r="P721" s="238" t="s">
        <v>19737</v>
      </c>
      <c r="Q721" s="234" t="s">
        <v>18732</v>
      </c>
      <c r="R721" s="238" t="s">
        <v>21306</v>
      </c>
      <c r="S721" s="238" t="s">
        <v>20792</v>
      </c>
      <c r="T721" s="238" t="s">
        <v>18725</v>
      </c>
      <c r="U721" s="238" t="s">
        <v>18725</v>
      </c>
      <c r="V721" s="238" t="s">
        <v>18725</v>
      </c>
      <c r="W721" s="238" t="s">
        <v>18725</v>
      </c>
      <c r="X721" s="238" t="s">
        <v>18725</v>
      </c>
      <c r="Y721" s="239" t="str">
        <f>IF('CCUS Projects Database'!$R721&lt;&gt;"",HYPERLINK('CCUS Projects Database'!$R721,"Link 1"),"")</f>
        <v>Link 1</v>
      </c>
      <c r="Z721" s="239" t="str">
        <f>IF('CCUS Projects Database'!$S721&lt;&gt;"",HYPERLINK('CCUS Projects Database'!$S721,"Link 2"),"")</f>
        <v>Link 2</v>
      </c>
      <c r="AA721" s="239" t="str">
        <f>IF('CCUS Projects Database'!$T721&lt;&gt;"",HYPERLINK('CCUS Projects Database'!$T721,"Link 3"),"")</f>
        <v/>
      </c>
      <c r="AB721" s="239" t="str">
        <f>IF('CCUS Projects Database'!$U721&lt;&gt;"",HYPERLINK('CCUS Projects Database'!$U721,"Link 4"),"")</f>
        <v/>
      </c>
      <c r="AC721" s="239" t="str">
        <f>IF('CCUS Projects Database'!$V721&lt;&gt;"",HYPERLINK('CCUS Projects Database'!$V721,"Link 5"),"")</f>
        <v/>
      </c>
      <c r="AD721" s="239" t="str">
        <f>IF('CCUS Projects Database'!$W721&lt;&gt;"",HYPERLINK('CCUS Projects Database'!$W721,"Link 6"),"")</f>
        <v/>
      </c>
      <c r="AE721" s="239" t="str">
        <f>IF('CCUS Projects Database'!$X721&lt;&gt;"",HYPERLINK('CCUS Projects Database'!$X721,"Link 7"),"")</f>
        <v/>
      </c>
    </row>
    <row r="722" ht="14.25" customHeight="1">
      <c r="A722" s="233" t="s">
        <v>19080</v>
      </c>
      <c r="B722" s="234">
        <v>963.0</v>
      </c>
      <c r="C722" s="234" t="s">
        <v>18586</v>
      </c>
      <c r="D722" s="235" t="s">
        <v>21307</v>
      </c>
      <c r="E722" s="234" t="s">
        <v>3</v>
      </c>
      <c r="F722" s="234">
        <v>2021.0</v>
      </c>
      <c r="G722" s="234">
        <v>2025.0</v>
      </c>
      <c r="H722" s="234" t="s">
        <v>18725</v>
      </c>
      <c r="I722" s="234" t="s">
        <v>18725</v>
      </c>
      <c r="J722" s="234" t="s">
        <v>18636</v>
      </c>
      <c r="K722" s="236" t="s">
        <v>18725</v>
      </c>
      <c r="L722" s="236" t="s">
        <v>18725</v>
      </c>
      <c r="M722" s="236" t="s">
        <v>18725</v>
      </c>
      <c r="N722" s="234" t="s">
        <v>3</v>
      </c>
      <c r="O722" s="237" t="s">
        <v>18675</v>
      </c>
      <c r="P722" s="238" t="s">
        <v>19080</v>
      </c>
      <c r="Q722" s="234" t="s">
        <v>18732</v>
      </c>
      <c r="R722" s="238" t="s">
        <v>20792</v>
      </c>
      <c r="S722" s="238" t="s">
        <v>18725</v>
      </c>
      <c r="T722" s="238" t="s">
        <v>18725</v>
      </c>
      <c r="U722" s="238" t="s">
        <v>18725</v>
      </c>
      <c r="V722" s="238" t="s">
        <v>18725</v>
      </c>
      <c r="W722" s="238" t="s">
        <v>18725</v>
      </c>
      <c r="X722" s="238" t="s">
        <v>18725</v>
      </c>
      <c r="Y722" s="239" t="str">
        <f>IF('CCUS Projects Database'!$R722&lt;&gt;"",HYPERLINK('CCUS Projects Database'!$R722,"Link 1"),"")</f>
        <v>Link 1</v>
      </c>
      <c r="Z722" s="239" t="str">
        <f>IF('CCUS Projects Database'!$S722&lt;&gt;"",HYPERLINK('CCUS Projects Database'!$S722,"Link 2"),"")</f>
        <v/>
      </c>
      <c r="AA722" s="239" t="str">
        <f>IF('CCUS Projects Database'!$T722&lt;&gt;"",HYPERLINK('CCUS Projects Database'!$T722,"Link 3"),"")</f>
        <v/>
      </c>
      <c r="AB722" s="239" t="str">
        <f>IF('CCUS Projects Database'!$U722&lt;&gt;"",HYPERLINK('CCUS Projects Database'!$U722,"Link 4"),"")</f>
        <v/>
      </c>
      <c r="AC722" s="239" t="str">
        <f>IF('CCUS Projects Database'!$V722&lt;&gt;"",HYPERLINK('CCUS Projects Database'!$V722,"Link 5"),"")</f>
        <v/>
      </c>
      <c r="AD722" s="239" t="str">
        <f>IF('CCUS Projects Database'!$W722&lt;&gt;"",HYPERLINK('CCUS Projects Database'!$W722,"Link 6"),"")</f>
        <v/>
      </c>
      <c r="AE722" s="239" t="str">
        <f>IF('CCUS Projects Database'!$X722&lt;&gt;"",HYPERLINK('CCUS Projects Database'!$X722,"Link 7"),"")</f>
        <v/>
      </c>
    </row>
    <row r="723" ht="14.25" customHeight="1">
      <c r="A723" s="233" t="s">
        <v>21308</v>
      </c>
      <c r="B723" s="234">
        <v>964.0</v>
      </c>
      <c r="C723" s="234" t="s">
        <v>18586</v>
      </c>
      <c r="D723" s="235" t="s">
        <v>21309</v>
      </c>
      <c r="E723" s="234" t="s">
        <v>3</v>
      </c>
      <c r="F723" s="234">
        <v>2019.0</v>
      </c>
      <c r="G723" s="234" t="s">
        <v>18725</v>
      </c>
      <c r="H723" s="234">
        <v>2026.0</v>
      </c>
      <c r="I723" s="234" t="s">
        <v>18725</v>
      </c>
      <c r="J723" s="234" t="s">
        <v>18636</v>
      </c>
      <c r="K723" s="236" t="s">
        <v>18725</v>
      </c>
      <c r="L723" s="236" t="s">
        <v>18725</v>
      </c>
      <c r="M723" s="236" t="s">
        <v>18725</v>
      </c>
      <c r="N723" s="234" t="s">
        <v>3</v>
      </c>
      <c r="O723" s="237" t="s">
        <v>18675</v>
      </c>
      <c r="P723" s="238" t="s">
        <v>21308</v>
      </c>
      <c r="Q723" s="234" t="s">
        <v>18732</v>
      </c>
      <c r="R723" s="238" t="s">
        <v>21310</v>
      </c>
      <c r="S723" s="238" t="s">
        <v>20792</v>
      </c>
      <c r="T723" s="238" t="s">
        <v>18725</v>
      </c>
      <c r="U723" s="238" t="s">
        <v>18725</v>
      </c>
      <c r="V723" s="238" t="s">
        <v>18725</v>
      </c>
      <c r="W723" s="238" t="s">
        <v>18725</v>
      </c>
      <c r="X723" s="238" t="s">
        <v>18725</v>
      </c>
      <c r="Y723" s="239" t="str">
        <f>IF('CCUS Projects Database'!$R723&lt;&gt;"",HYPERLINK('CCUS Projects Database'!$R723,"Link 1"),"")</f>
        <v>Link 1</v>
      </c>
      <c r="Z723" s="239" t="str">
        <f>IF('CCUS Projects Database'!$S723&lt;&gt;"",HYPERLINK('CCUS Projects Database'!$S723,"Link 2"),"")</f>
        <v>Link 2</v>
      </c>
      <c r="AA723" s="239" t="str">
        <f>IF('CCUS Projects Database'!$T723&lt;&gt;"",HYPERLINK('CCUS Projects Database'!$T723,"Link 3"),"")</f>
        <v/>
      </c>
      <c r="AB723" s="239" t="str">
        <f>IF('CCUS Projects Database'!$U723&lt;&gt;"",HYPERLINK('CCUS Projects Database'!$U723,"Link 4"),"")</f>
        <v/>
      </c>
      <c r="AC723" s="239" t="str">
        <f>IF('CCUS Projects Database'!$V723&lt;&gt;"",HYPERLINK('CCUS Projects Database'!$V723,"Link 5"),"")</f>
        <v/>
      </c>
      <c r="AD723" s="239" t="str">
        <f>IF('CCUS Projects Database'!$W723&lt;&gt;"",HYPERLINK('CCUS Projects Database'!$W723,"Link 6"),"")</f>
        <v/>
      </c>
      <c r="AE723" s="239" t="str">
        <f>IF('CCUS Projects Database'!$X723&lt;&gt;"",HYPERLINK('CCUS Projects Database'!$X723,"Link 7"),"")</f>
        <v/>
      </c>
    </row>
    <row r="724" ht="14.25" customHeight="1">
      <c r="A724" s="233" t="s">
        <v>21311</v>
      </c>
      <c r="B724" s="234">
        <v>965.0</v>
      </c>
      <c r="C724" s="234" t="s">
        <v>127</v>
      </c>
      <c r="D724" s="235" t="s">
        <v>21312</v>
      </c>
      <c r="E724" s="234" t="s">
        <v>18618</v>
      </c>
      <c r="F724" s="234">
        <v>2023.0</v>
      </c>
      <c r="G724" s="234" t="s">
        <v>18725</v>
      </c>
      <c r="H724" s="234" t="s">
        <v>18725</v>
      </c>
      <c r="I724" s="234" t="s">
        <v>18725</v>
      </c>
      <c r="J724" s="234" t="s">
        <v>18636</v>
      </c>
      <c r="K724" s="236" t="s">
        <v>18725</v>
      </c>
      <c r="L724" s="236" t="s">
        <v>18725</v>
      </c>
      <c r="M724" s="236" t="s">
        <v>18725</v>
      </c>
      <c r="N724" s="234" t="s">
        <v>18654</v>
      </c>
      <c r="O724" s="237" t="s">
        <v>18683</v>
      </c>
      <c r="P724" s="238" t="s">
        <v>18725</v>
      </c>
      <c r="Q724" s="234" t="s">
        <v>18726</v>
      </c>
      <c r="R724" s="238" t="s">
        <v>21313</v>
      </c>
      <c r="S724" s="238" t="s">
        <v>18725</v>
      </c>
      <c r="T724" s="238" t="s">
        <v>18725</v>
      </c>
      <c r="U724" s="238" t="s">
        <v>18725</v>
      </c>
      <c r="V724" s="238" t="s">
        <v>18725</v>
      </c>
      <c r="W724" s="238" t="s">
        <v>18725</v>
      </c>
      <c r="X724" s="238" t="s">
        <v>18725</v>
      </c>
      <c r="Y724" s="239" t="str">
        <f>IF('CCUS Projects Database'!$R724&lt;&gt;"",HYPERLINK('CCUS Projects Database'!$R724,"Link 1"),"")</f>
        <v>Link 1</v>
      </c>
      <c r="Z724" s="239" t="str">
        <f>IF('CCUS Projects Database'!$S724&lt;&gt;"",HYPERLINK('CCUS Projects Database'!$S724,"Link 2"),"")</f>
        <v/>
      </c>
      <c r="AA724" s="239" t="str">
        <f>IF('CCUS Projects Database'!$T724&lt;&gt;"",HYPERLINK('CCUS Projects Database'!$T724,"Link 3"),"")</f>
        <v/>
      </c>
      <c r="AB724" s="239" t="str">
        <f>IF('CCUS Projects Database'!$U724&lt;&gt;"",HYPERLINK('CCUS Projects Database'!$U724,"Link 4"),"")</f>
        <v/>
      </c>
      <c r="AC724" s="239" t="str">
        <f>IF('CCUS Projects Database'!$V724&lt;&gt;"",HYPERLINK('CCUS Projects Database'!$V724,"Link 5"),"")</f>
        <v/>
      </c>
      <c r="AD724" s="239" t="str">
        <f>IF('CCUS Projects Database'!$W724&lt;&gt;"",HYPERLINK('CCUS Projects Database'!$W724,"Link 6"),"")</f>
        <v/>
      </c>
      <c r="AE724" s="239" t="str">
        <f>IF('CCUS Projects Database'!$X724&lt;&gt;"",HYPERLINK('CCUS Projects Database'!$X724,"Link 7"),"")</f>
        <v/>
      </c>
    </row>
    <row r="725" ht="14.25" customHeight="1">
      <c r="A725" s="233" t="s">
        <v>21314</v>
      </c>
      <c r="B725" s="234">
        <v>966.0</v>
      </c>
      <c r="C725" s="234" t="s">
        <v>21315</v>
      </c>
      <c r="D725" s="235" t="s">
        <v>21316</v>
      </c>
      <c r="E725" s="234" t="s">
        <v>18623</v>
      </c>
      <c r="F725" s="234">
        <v>2023.0</v>
      </c>
      <c r="G725" s="234" t="s">
        <v>18725</v>
      </c>
      <c r="H725" s="234">
        <v>2035.0</v>
      </c>
      <c r="I725" s="234" t="s">
        <v>18725</v>
      </c>
      <c r="J725" s="234" t="s">
        <v>18636</v>
      </c>
      <c r="K725" s="236">
        <v>2.0</v>
      </c>
      <c r="L725" s="236">
        <v>5.0</v>
      </c>
      <c r="M725" s="236">
        <v>5.0</v>
      </c>
      <c r="N725" s="234" t="s">
        <v>18623</v>
      </c>
      <c r="O725" s="237" t="s">
        <v>18675</v>
      </c>
      <c r="P725" s="238" t="s">
        <v>19961</v>
      </c>
      <c r="Q725" s="234" t="s">
        <v>18762</v>
      </c>
      <c r="R725" s="238" t="s">
        <v>19971</v>
      </c>
      <c r="S725" s="238" t="s">
        <v>18725</v>
      </c>
      <c r="T725" s="238" t="s">
        <v>18725</v>
      </c>
      <c r="U725" s="238" t="s">
        <v>18725</v>
      </c>
      <c r="V725" s="238" t="s">
        <v>18725</v>
      </c>
      <c r="W725" s="238" t="s">
        <v>18725</v>
      </c>
      <c r="X725" s="238" t="s">
        <v>18725</v>
      </c>
      <c r="Y725" s="239" t="str">
        <f>IF('CCUS Projects Database'!$R725&lt;&gt;"",HYPERLINK('CCUS Projects Database'!$R725,"Link 1"),"")</f>
        <v>Link 1</v>
      </c>
      <c r="Z725" s="239" t="str">
        <f>IF('CCUS Projects Database'!$S725&lt;&gt;"",HYPERLINK('CCUS Projects Database'!$S725,"Link 2"),"")</f>
        <v/>
      </c>
      <c r="AA725" s="239" t="str">
        <f>IF('CCUS Projects Database'!$T725&lt;&gt;"",HYPERLINK('CCUS Projects Database'!$T725,"Link 3"),"")</f>
        <v/>
      </c>
      <c r="AB725" s="239" t="str">
        <f>IF('CCUS Projects Database'!$U725&lt;&gt;"",HYPERLINK('CCUS Projects Database'!$U725,"Link 4"),"")</f>
        <v/>
      </c>
      <c r="AC725" s="239" t="str">
        <f>IF('CCUS Projects Database'!$V725&lt;&gt;"",HYPERLINK('CCUS Projects Database'!$V725,"Link 5"),"")</f>
        <v/>
      </c>
      <c r="AD725" s="239" t="str">
        <f>IF('CCUS Projects Database'!$W725&lt;&gt;"",HYPERLINK('CCUS Projects Database'!$W725,"Link 6"),"")</f>
        <v/>
      </c>
      <c r="AE725" s="239" t="str">
        <f>IF('CCUS Projects Database'!$X725&lt;&gt;"",HYPERLINK('CCUS Projects Database'!$X725,"Link 7"),"")</f>
        <v/>
      </c>
    </row>
    <row r="726" ht="14.25" customHeight="1">
      <c r="A726" s="233" t="s">
        <v>21317</v>
      </c>
      <c r="B726" s="234">
        <v>967.0</v>
      </c>
      <c r="C726" s="234" t="s">
        <v>21315</v>
      </c>
      <c r="D726" s="235" t="s">
        <v>21316</v>
      </c>
      <c r="E726" s="234" t="s">
        <v>18623</v>
      </c>
      <c r="F726" s="234">
        <v>2023.0</v>
      </c>
      <c r="G726" s="234" t="s">
        <v>18725</v>
      </c>
      <c r="H726" s="234">
        <v>2040.0</v>
      </c>
      <c r="I726" s="234" t="s">
        <v>18725</v>
      </c>
      <c r="J726" s="234" t="s">
        <v>18636</v>
      </c>
      <c r="K726" s="236">
        <v>3.0</v>
      </c>
      <c r="L726" s="236">
        <v>10.0</v>
      </c>
      <c r="M726" s="236">
        <v>10.0</v>
      </c>
      <c r="N726" s="234" t="s">
        <v>18623</v>
      </c>
      <c r="O726" s="237" t="s">
        <v>18675</v>
      </c>
      <c r="P726" s="238" t="s">
        <v>19961</v>
      </c>
      <c r="Q726" s="234" t="s">
        <v>18762</v>
      </c>
      <c r="R726" s="238" t="s">
        <v>19971</v>
      </c>
      <c r="S726" s="238" t="s">
        <v>18725</v>
      </c>
      <c r="T726" s="238" t="s">
        <v>18725</v>
      </c>
      <c r="U726" s="238" t="s">
        <v>18725</v>
      </c>
      <c r="V726" s="238" t="s">
        <v>18725</v>
      </c>
      <c r="W726" s="238" t="s">
        <v>18725</v>
      </c>
      <c r="X726" s="238" t="s">
        <v>18725</v>
      </c>
      <c r="Y726" s="239" t="str">
        <f>IF('CCUS Projects Database'!$R726&lt;&gt;"",HYPERLINK('CCUS Projects Database'!$R726,"Link 1"),"")</f>
        <v>Link 1</v>
      </c>
      <c r="Z726" s="239" t="str">
        <f>IF('CCUS Projects Database'!$S726&lt;&gt;"",HYPERLINK('CCUS Projects Database'!$S726,"Link 2"),"")</f>
        <v/>
      </c>
      <c r="AA726" s="239" t="str">
        <f>IF('CCUS Projects Database'!$T726&lt;&gt;"",HYPERLINK('CCUS Projects Database'!$T726,"Link 3"),"")</f>
        <v/>
      </c>
      <c r="AB726" s="239" t="str">
        <f>IF('CCUS Projects Database'!$U726&lt;&gt;"",HYPERLINK('CCUS Projects Database'!$U726,"Link 4"),"")</f>
        <v/>
      </c>
      <c r="AC726" s="239" t="str">
        <f>IF('CCUS Projects Database'!$V726&lt;&gt;"",HYPERLINK('CCUS Projects Database'!$V726,"Link 5"),"")</f>
        <v/>
      </c>
      <c r="AD726" s="239" t="str">
        <f>IF('CCUS Projects Database'!$W726&lt;&gt;"",HYPERLINK('CCUS Projects Database'!$W726,"Link 6"),"")</f>
        <v/>
      </c>
      <c r="AE726" s="239" t="str">
        <f>IF('CCUS Projects Database'!$X726&lt;&gt;"",HYPERLINK('CCUS Projects Database'!$X726,"Link 7"),"")</f>
        <v/>
      </c>
    </row>
    <row r="727" ht="14.25" customHeight="1">
      <c r="A727" s="233" t="s">
        <v>21318</v>
      </c>
      <c r="B727" s="234">
        <v>968.0</v>
      </c>
      <c r="C727" s="234" t="s">
        <v>51</v>
      </c>
      <c r="D727" s="235" t="s">
        <v>21319</v>
      </c>
      <c r="E727" s="234" t="s">
        <v>18618</v>
      </c>
      <c r="F727" s="234">
        <v>2022.0</v>
      </c>
      <c r="G727" s="234">
        <v>2025.0</v>
      </c>
      <c r="H727" s="234">
        <v>2029.0</v>
      </c>
      <c r="I727" s="234" t="s">
        <v>18725</v>
      </c>
      <c r="J727" s="234" t="s">
        <v>18636</v>
      </c>
      <c r="K727" s="236" t="s">
        <v>18725</v>
      </c>
      <c r="L727" s="236">
        <v>0.2</v>
      </c>
      <c r="M727" s="236">
        <v>0.2</v>
      </c>
      <c r="N727" s="234" t="s">
        <v>18654</v>
      </c>
      <c r="O727" s="237" t="s">
        <v>18683</v>
      </c>
      <c r="P727" s="238" t="s">
        <v>18725</v>
      </c>
      <c r="Q727" s="234" t="s">
        <v>18726</v>
      </c>
      <c r="R727" s="238" t="s">
        <v>21320</v>
      </c>
      <c r="S727" s="238" t="s">
        <v>21321</v>
      </c>
      <c r="T727" s="238" t="s">
        <v>21322</v>
      </c>
      <c r="U727" s="238" t="s">
        <v>18725</v>
      </c>
      <c r="V727" s="238" t="s">
        <v>18725</v>
      </c>
      <c r="W727" s="238" t="s">
        <v>18725</v>
      </c>
      <c r="X727" s="238" t="s">
        <v>18725</v>
      </c>
      <c r="Y727" s="239" t="str">
        <f>IF('CCUS Projects Database'!$R727&lt;&gt;"",HYPERLINK('CCUS Projects Database'!$R727,"Link 1"),"")</f>
        <v>Link 1</v>
      </c>
      <c r="Z727" s="239" t="str">
        <f>IF('CCUS Projects Database'!$S727&lt;&gt;"",HYPERLINK('CCUS Projects Database'!$S727,"Link 2"),"")</f>
        <v>Link 2</v>
      </c>
      <c r="AA727" s="239" t="str">
        <f>IF('CCUS Projects Database'!$T727&lt;&gt;"",HYPERLINK('CCUS Projects Database'!$T727,"Link 3"),"")</f>
        <v>Link 3</v>
      </c>
      <c r="AB727" s="239" t="str">
        <f>IF('CCUS Projects Database'!$U727&lt;&gt;"",HYPERLINK('CCUS Projects Database'!$U727,"Link 4"),"")</f>
        <v/>
      </c>
      <c r="AC727" s="239" t="str">
        <f>IF('CCUS Projects Database'!$V727&lt;&gt;"",HYPERLINK('CCUS Projects Database'!$V727,"Link 5"),"")</f>
        <v/>
      </c>
      <c r="AD727" s="239" t="str">
        <f>IF('CCUS Projects Database'!$W727&lt;&gt;"",HYPERLINK('CCUS Projects Database'!$W727,"Link 6"),"")</f>
        <v/>
      </c>
      <c r="AE727" s="239" t="str">
        <f>IF('CCUS Projects Database'!$X727&lt;&gt;"",HYPERLINK('CCUS Projects Database'!$X727,"Link 7"),"")</f>
        <v/>
      </c>
    </row>
    <row r="728" ht="14.25" customHeight="1">
      <c r="A728" s="233" t="s">
        <v>21323</v>
      </c>
      <c r="B728" s="234">
        <v>971.0</v>
      </c>
      <c r="C728" s="234" t="s">
        <v>18586</v>
      </c>
      <c r="D728" s="235" t="s">
        <v>21324</v>
      </c>
      <c r="E728" s="234" t="s">
        <v>3</v>
      </c>
      <c r="F728" s="234">
        <v>2023.0</v>
      </c>
      <c r="G728" s="234" t="s">
        <v>18725</v>
      </c>
      <c r="H728" s="234" t="s">
        <v>18725</v>
      </c>
      <c r="I728" s="234" t="s">
        <v>18725</v>
      </c>
      <c r="J728" s="234" t="s">
        <v>18636</v>
      </c>
      <c r="K728" s="236" t="s">
        <v>18725</v>
      </c>
      <c r="L728" s="236">
        <v>4.0</v>
      </c>
      <c r="M728" s="236">
        <v>4.0</v>
      </c>
      <c r="N728" s="234" t="s">
        <v>3</v>
      </c>
      <c r="O728" s="237" t="s">
        <v>18675</v>
      </c>
      <c r="P728" s="238" t="s">
        <v>21323</v>
      </c>
      <c r="Q728" s="234" t="s">
        <v>18732</v>
      </c>
      <c r="R728" s="238" t="s">
        <v>20452</v>
      </c>
      <c r="S728" s="238" t="s">
        <v>18725</v>
      </c>
      <c r="T728" s="238" t="s">
        <v>18725</v>
      </c>
      <c r="U728" s="238" t="s">
        <v>18725</v>
      </c>
      <c r="V728" s="238" t="s">
        <v>18725</v>
      </c>
      <c r="W728" s="238" t="s">
        <v>18725</v>
      </c>
      <c r="X728" s="238" t="s">
        <v>18725</v>
      </c>
      <c r="Y728" s="239" t="str">
        <f>IF('CCUS Projects Database'!$R728&lt;&gt;"",HYPERLINK('CCUS Projects Database'!$R728,"Link 1"),"")</f>
        <v>Link 1</v>
      </c>
      <c r="Z728" s="239" t="str">
        <f>IF('CCUS Projects Database'!$S728&lt;&gt;"",HYPERLINK('CCUS Projects Database'!$S728,"Link 2"),"")</f>
        <v/>
      </c>
      <c r="AA728" s="239" t="str">
        <f>IF('CCUS Projects Database'!$T728&lt;&gt;"",HYPERLINK('CCUS Projects Database'!$T728,"Link 3"),"")</f>
        <v/>
      </c>
      <c r="AB728" s="239" t="str">
        <f>IF('CCUS Projects Database'!$U728&lt;&gt;"",HYPERLINK('CCUS Projects Database'!$U728,"Link 4"),"")</f>
        <v/>
      </c>
      <c r="AC728" s="239" t="str">
        <f>IF('CCUS Projects Database'!$V728&lt;&gt;"",HYPERLINK('CCUS Projects Database'!$V728,"Link 5"),"")</f>
        <v/>
      </c>
      <c r="AD728" s="239" t="str">
        <f>IF('CCUS Projects Database'!$W728&lt;&gt;"",HYPERLINK('CCUS Projects Database'!$W728,"Link 6"),"")</f>
        <v/>
      </c>
      <c r="AE728" s="239" t="str">
        <f>IF('CCUS Projects Database'!$X728&lt;&gt;"",HYPERLINK('CCUS Projects Database'!$X728,"Link 7"),"")</f>
        <v/>
      </c>
    </row>
    <row r="729" ht="14.25" customHeight="1">
      <c r="A729" s="233" t="s">
        <v>21325</v>
      </c>
      <c r="B729" s="234">
        <v>972.0</v>
      </c>
      <c r="C729" s="234" t="s">
        <v>18586</v>
      </c>
      <c r="D729" s="235" t="s">
        <v>21326</v>
      </c>
      <c r="E729" s="234" t="s">
        <v>3</v>
      </c>
      <c r="F729" s="234">
        <v>2023.0</v>
      </c>
      <c r="G729" s="234" t="s">
        <v>18725</v>
      </c>
      <c r="H729" s="234" t="s">
        <v>18725</v>
      </c>
      <c r="I729" s="234" t="s">
        <v>18725</v>
      </c>
      <c r="J729" s="234" t="s">
        <v>18636</v>
      </c>
      <c r="K729" s="236" t="s">
        <v>18725</v>
      </c>
      <c r="L729" s="236" t="s">
        <v>18725</v>
      </c>
      <c r="M729" s="236" t="s">
        <v>18725</v>
      </c>
      <c r="N729" s="234" t="s">
        <v>3</v>
      </c>
      <c r="O729" s="237" t="s">
        <v>18675</v>
      </c>
      <c r="P729" s="238" t="s">
        <v>21325</v>
      </c>
      <c r="Q729" s="234" t="s">
        <v>18732</v>
      </c>
      <c r="R729" s="238" t="s">
        <v>20452</v>
      </c>
      <c r="S729" s="238" t="s">
        <v>18725</v>
      </c>
      <c r="T729" s="238" t="s">
        <v>18725</v>
      </c>
      <c r="U729" s="238" t="s">
        <v>18725</v>
      </c>
      <c r="V729" s="238" t="s">
        <v>18725</v>
      </c>
      <c r="W729" s="238" t="s">
        <v>18725</v>
      </c>
      <c r="X729" s="238" t="s">
        <v>18725</v>
      </c>
      <c r="Y729" s="239" t="str">
        <f>IF('CCUS Projects Database'!$R729&lt;&gt;"",HYPERLINK('CCUS Projects Database'!$R729,"Link 1"),"")</f>
        <v>Link 1</v>
      </c>
      <c r="Z729" s="239" t="str">
        <f>IF('CCUS Projects Database'!$S729&lt;&gt;"",HYPERLINK('CCUS Projects Database'!$S729,"Link 2"),"")</f>
        <v/>
      </c>
      <c r="AA729" s="239" t="str">
        <f>IF('CCUS Projects Database'!$T729&lt;&gt;"",HYPERLINK('CCUS Projects Database'!$T729,"Link 3"),"")</f>
        <v/>
      </c>
      <c r="AB729" s="239" t="str">
        <f>IF('CCUS Projects Database'!$U729&lt;&gt;"",HYPERLINK('CCUS Projects Database'!$U729,"Link 4"),"")</f>
        <v/>
      </c>
      <c r="AC729" s="239" t="str">
        <f>IF('CCUS Projects Database'!$V729&lt;&gt;"",HYPERLINK('CCUS Projects Database'!$V729,"Link 5"),"")</f>
        <v/>
      </c>
      <c r="AD729" s="239" t="str">
        <f>IF('CCUS Projects Database'!$W729&lt;&gt;"",HYPERLINK('CCUS Projects Database'!$W729,"Link 6"),"")</f>
        <v/>
      </c>
      <c r="AE729" s="239" t="str">
        <f>IF('CCUS Projects Database'!$X729&lt;&gt;"",HYPERLINK('CCUS Projects Database'!$X729,"Link 7"),"")</f>
        <v/>
      </c>
    </row>
    <row r="730" ht="14.25" customHeight="1">
      <c r="A730" s="233" t="s">
        <v>21327</v>
      </c>
      <c r="B730" s="234">
        <v>973.0</v>
      </c>
      <c r="C730" s="234" t="s">
        <v>18586</v>
      </c>
      <c r="D730" s="235" t="s">
        <v>20830</v>
      </c>
      <c r="E730" s="234" t="s">
        <v>3</v>
      </c>
      <c r="F730" s="234">
        <v>2023.0</v>
      </c>
      <c r="G730" s="234" t="s">
        <v>18725</v>
      </c>
      <c r="H730" s="234" t="s">
        <v>18725</v>
      </c>
      <c r="I730" s="234" t="s">
        <v>18725</v>
      </c>
      <c r="J730" s="234" t="s">
        <v>18636</v>
      </c>
      <c r="K730" s="236" t="s">
        <v>18725</v>
      </c>
      <c r="L730" s="236" t="s">
        <v>18725</v>
      </c>
      <c r="M730" s="236" t="s">
        <v>18725</v>
      </c>
      <c r="N730" s="234" t="s">
        <v>3</v>
      </c>
      <c r="O730" s="237" t="s">
        <v>18675</v>
      </c>
      <c r="P730" s="238" t="s">
        <v>21328</v>
      </c>
      <c r="Q730" s="234" t="s">
        <v>18732</v>
      </c>
      <c r="R730" s="238" t="s">
        <v>20452</v>
      </c>
      <c r="S730" s="238" t="s">
        <v>21329</v>
      </c>
      <c r="T730" s="238" t="s">
        <v>18725</v>
      </c>
      <c r="U730" s="238" t="s">
        <v>18725</v>
      </c>
      <c r="V730" s="238" t="s">
        <v>18725</v>
      </c>
      <c r="W730" s="238" t="s">
        <v>18725</v>
      </c>
      <c r="X730" s="238" t="s">
        <v>18725</v>
      </c>
      <c r="Y730" s="239" t="str">
        <f>IF('CCUS Projects Database'!$R730&lt;&gt;"",HYPERLINK('CCUS Projects Database'!$R730,"Link 1"),"")</f>
        <v>Link 1</v>
      </c>
      <c r="Z730" s="239" t="str">
        <f>IF('CCUS Projects Database'!$S730&lt;&gt;"",HYPERLINK('CCUS Projects Database'!$S730,"Link 2"),"")</f>
        <v>Link 2</v>
      </c>
      <c r="AA730" s="239" t="str">
        <f>IF('CCUS Projects Database'!$T730&lt;&gt;"",HYPERLINK('CCUS Projects Database'!$T730,"Link 3"),"")</f>
        <v/>
      </c>
      <c r="AB730" s="239" t="str">
        <f>IF('CCUS Projects Database'!$U730&lt;&gt;"",HYPERLINK('CCUS Projects Database'!$U730,"Link 4"),"")</f>
        <v/>
      </c>
      <c r="AC730" s="239" t="str">
        <f>IF('CCUS Projects Database'!$V730&lt;&gt;"",HYPERLINK('CCUS Projects Database'!$V730,"Link 5"),"")</f>
        <v/>
      </c>
      <c r="AD730" s="239" t="str">
        <f>IF('CCUS Projects Database'!$W730&lt;&gt;"",HYPERLINK('CCUS Projects Database'!$W730,"Link 6"),"")</f>
        <v/>
      </c>
      <c r="AE730" s="239" t="str">
        <f>IF('CCUS Projects Database'!$X730&lt;&gt;"",HYPERLINK('CCUS Projects Database'!$X730,"Link 7"),"")</f>
        <v/>
      </c>
    </row>
    <row r="731" ht="14.25" customHeight="1">
      <c r="A731" s="233" t="s">
        <v>21330</v>
      </c>
      <c r="B731" s="234">
        <v>974.0</v>
      </c>
      <c r="C731" s="234" t="s">
        <v>18586</v>
      </c>
      <c r="D731" s="235" t="s">
        <v>21331</v>
      </c>
      <c r="E731" s="234" t="s">
        <v>3</v>
      </c>
      <c r="F731" s="234">
        <v>2023.0</v>
      </c>
      <c r="G731" s="234" t="s">
        <v>18725</v>
      </c>
      <c r="H731" s="234" t="s">
        <v>18725</v>
      </c>
      <c r="I731" s="234" t="s">
        <v>18725</v>
      </c>
      <c r="J731" s="234" t="s">
        <v>18636</v>
      </c>
      <c r="K731" s="236" t="s">
        <v>18725</v>
      </c>
      <c r="L731" s="236">
        <v>1.8</v>
      </c>
      <c r="M731" s="236">
        <v>1.8</v>
      </c>
      <c r="N731" s="234" t="s">
        <v>3</v>
      </c>
      <c r="O731" s="237" t="s">
        <v>18675</v>
      </c>
      <c r="P731" s="238" t="s">
        <v>21330</v>
      </c>
      <c r="Q731" s="234" t="s">
        <v>18732</v>
      </c>
      <c r="R731" s="238" t="s">
        <v>20452</v>
      </c>
      <c r="S731" s="238" t="s">
        <v>18725</v>
      </c>
      <c r="T731" s="238" t="s">
        <v>18725</v>
      </c>
      <c r="U731" s="238" t="s">
        <v>18725</v>
      </c>
      <c r="V731" s="238" t="s">
        <v>18725</v>
      </c>
      <c r="W731" s="238" t="s">
        <v>18725</v>
      </c>
      <c r="X731" s="238" t="s">
        <v>18725</v>
      </c>
      <c r="Y731" s="239" t="str">
        <f>IF('CCUS Projects Database'!$R731&lt;&gt;"",HYPERLINK('CCUS Projects Database'!$R731,"Link 1"),"")</f>
        <v>Link 1</v>
      </c>
      <c r="Z731" s="239" t="str">
        <f>IF('CCUS Projects Database'!$S731&lt;&gt;"",HYPERLINK('CCUS Projects Database'!$S731,"Link 2"),"")</f>
        <v/>
      </c>
      <c r="AA731" s="239" t="str">
        <f>IF('CCUS Projects Database'!$T731&lt;&gt;"",HYPERLINK('CCUS Projects Database'!$T731,"Link 3"),"")</f>
        <v/>
      </c>
      <c r="AB731" s="239" t="str">
        <f>IF('CCUS Projects Database'!$U731&lt;&gt;"",HYPERLINK('CCUS Projects Database'!$U731,"Link 4"),"")</f>
        <v/>
      </c>
      <c r="AC731" s="239" t="str">
        <f>IF('CCUS Projects Database'!$V731&lt;&gt;"",HYPERLINK('CCUS Projects Database'!$V731,"Link 5"),"")</f>
        <v/>
      </c>
      <c r="AD731" s="239" t="str">
        <f>IF('CCUS Projects Database'!$W731&lt;&gt;"",HYPERLINK('CCUS Projects Database'!$W731,"Link 6"),"")</f>
        <v/>
      </c>
      <c r="AE731" s="239" t="str">
        <f>IF('CCUS Projects Database'!$X731&lt;&gt;"",HYPERLINK('CCUS Projects Database'!$X731,"Link 7"),"")</f>
        <v/>
      </c>
    </row>
    <row r="732" ht="14.25" customHeight="1">
      <c r="A732" s="233" t="s">
        <v>21332</v>
      </c>
      <c r="B732" s="234">
        <v>975.0</v>
      </c>
      <c r="C732" s="234" t="s">
        <v>18586</v>
      </c>
      <c r="D732" s="235" t="s">
        <v>21333</v>
      </c>
      <c r="E732" s="234" t="s">
        <v>18618</v>
      </c>
      <c r="F732" s="234">
        <v>2023.0</v>
      </c>
      <c r="G732" s="234" t="s">
        <v>18725</v>
      </c>
      <c r="H732" s="234" t="s">
        <v>18725</v>
      </c>
      <c r="I732" s="234" t="s">
        <v>18725</v>
      </c>
      <c r="J732" s="234" t="s">
        <v>18636</v>
      </c>
      <c r="K732" s="236" t="s">
        <v>18725</v>
      </c>
      <c r="L732" s="236">
        <v>1.8</v>
      </c>
      <c r="M732" s="236">
        <v>1.8</v>
      </c>
      <c r="N732" s="234" t="s">
        <v>18654</v>
      </c>
      <c r="O732" s="237" t="s">
        <v>18675</v>
      </c>
      <c r="P732" s="238" t="s">
        <v>21330</v>
      </c>
      <c r="Q732" s="234" t="s">
        <v>18732</v>
      </c>
      <c r="R732" s="238" t="s">
        <v>20452</v>
      </c>
      <c r="S732" s="238" t="s">
        <v>18725</v>
      </c>
      <c r="T732" s="238" t="s">
        <v>18725</v>
      </c>
      <c r="U732" s="238" t="s">
        <v>18725</v>
      </c>
      <c r="V732" s="238" t="s">
        <v>18725</v>
      </c>
      <c r="W732" s="238" t="s">
        <v>18725</v>
      </c>
      <c r="X732" s="238" t="s">
        <v>18725</v>
      </c>
      <c r="Y732" s="239" t="str">
        <f>IF('CCUS Projects Database'!$R732&lt;&gt;"",HYPERLINK('CCUS Projects Database'!$R732,"Link 1"),"")</f>
        <v>Link 1</v>
      </c>
      <c r="Z732" s="239" t="str">
        <f>IF('CCUS Projects Database'!$S732&lt;&gt;"",HYPERLINK('CCUS Projects Database'!$S732,"Link 2"),"")</f>
        <v/>
      </c>
      <c r="AA732" s="239" t="str">
        <f>IF('CCUS Projects Database'!$T732&lt;&gt;"",HYPERLINK('CCUS Projects Database'!$T732,"Link 3"),"")</f>
        <v/>
      </c>
      <c r="AB732" s="239" t="str">
        <f>IF('CCUS Projects Database'!$U732&lt;&gt;"",HYPERLINK('CCUS Projects Database'!$U732,"Link 4"),"")</f>
        <v/>
      </c>
      <c r="AC732" s="239" t="str">
        <f>IF('CCUS Projects Database'!$V732&lt;&gt;"",HYPERLINK('CCUS Projects Database'!$V732,"Link 5"),"")</f>
        <v/>
      </c>
      <c r="AD732" s="239" t="str">
        <f>IF('CCUS Projects Database'!$W732&lt;&gt;"",HYPERLINK('CCUS Projects Database'!$W732,"Link 6"),"")</f>
        <v/>
      </c>
      <c r="AE732" s="239" t="str">
        <f>IF('CCUS Projects Database'!$X732&lt;&gt;"",HYPERLINK('CCUS Projects Database'!$X732,"Link 7"),"")</f>
        <v/>
      </c>
    </row>
    <row r="733" ht="14.25" customHeight="1">
      <c r="A733" s="233" t="s">
        <v>21334</v>
      </c>
      <c r="B733" s="234">
        <v>976.0</v>
      </c>
      <c r="C733" s="234" t="s">
        <v>18586</v>
      </c>
      <c r="D733" s="235" t="s">
        <v>21335</v>
      </c>
      <c r="E733" s="234" t="s">
        <v>3</v>
      </c>
      <c r="F733" s="234">
        <v>2023.0</v>
      </c>
      <c r="G733" s="234" t="s">
        <v>18725</v>
      </c>
      <c r="H733" s="234" t="s">
        <v>18725</v>
      </c>
      <c r="I733" s="234" t="s">
        <v>18725</v>
      </c>
      <c r="J733" s="234" t="s">
        <v>18636</v>
      </c>
      <c r="K733" s="236" t="s">
        <v>18725</v>
      </c>
      <c r="L733" s="236" t="s">
        <v>18725</v>
      </c>
      <c r="M733" s="236" t="s">
        <v>18725</v>
      </c>
      <c r="N733" s="234" t="s">
        <v>3</v>
      </c>
      <c r="O733" s="237" t="s">
        <v>18675</v>
      </c>
      <c r="P733" s="238" t="s">
        <v>21334</v>
      </c>
      <c r="Q733" s="234" t="s">
        <v>18732</v>
      </c>
      <c r="R733" s="238" t="s">
        <v>20452</v>
      </c>
      <c r="S733" s="238" t="s">
        <v>18725</v>
      </c>
      <c r="T733" s="238" t="s">
        <v>18725</v>
      </c>
      <c r="U733" s="238" t="s">
        <v>18725</v>
      </c>
      <c r="V733" s="238" t="s">
        <v>18725</v>
      </c>
      <c r="W733" s="238" t="s">
        <v>18725</v>
      </c>
      <c r="X733" s="238" t="s">
        <v>18725</v>
      </c>
      <c r="Y733" s="239" t="str">
        <f>IF('CCUS Projects Database'!$R733&lt;&gt;"",HYPERLINK('CCUS Projects Database'!$R733,"Link 1"),"")</f>
        <v>Link 1</v>
      </c>
      <c r="Z733" s="239" t="str">
        <f>IF('CCUS Projects Database'!$S733&lt;&gt;"",HYPERLINK('CCUS Projects Database'!$S733,"Link 2"),"")</f>
        <v/>
      </c>
      <c r="AA733" s="239" t="str">
        <f>IF('CCUS Projects Database'!$T733&lt;&gt;"",HYPERLINK('CCUS Projects Database'!$T733,"Link 3"),"")</f>
        <v/>
      </c>
      <c r="AB733" s="239" t="str">
        <f>IF('CCUS Projects Database'!$U733&lt;&gt;"",HYPERLINK('CCUS Projects Database'!$U733,"Link 4"),"")</f>
        <v/>
      </c>
      <c r="AC733" s="239" t="str">
        <f>IF('CCUS Projects Database'!$V733&lt;&gt;"",HYPERLINK('CCUS Projects Database'!$V733,"Link 5"),"")</f>
        <v/>
      </c>
      <c r="AD733" s="239" t="str">
        <f>IF('CCUS Projects Database'!$W733&lt;&gt;"",HYPERLINK('CCUS Projects Database'!$W733,"Link 6"),"")</f>
        <v/>
      </c>
      <c r="AE733" s="239" t="str">
        <f>IF('CCUS Projects Database'!$X733&lt;&gt;"",HYPERLINK('CCUS Projects Database'!$X733,"Link 7"),"")</f>
        <v/>
      </c>
    </row>
    <row r="734" ht="14.25" customHeight="1">
      <c r="A734" s="233" t="s">
        <v>21336</v>
      </c>
      <c r="B734" s="234">
        <v>977.0</v>
      </c>
      <c r="C734" s="234" t="s">
        <v>18586</v>
      </c>
      <c r="D734" s="235" t="s">
        <v>21324</v>
      </c>
      <c r="E734" s="234" t="s">
        <v>18618</v>
      </c>
      <c r="F734" s="234">
        <v>2023.0</v>
      </c>
      <c r="G734" s="234" t="s">
        <v>18725</v>
      </c>
      <c r="H734" s="234" t="s">
        <v>18725</v>
      </c>
      <c r="I734" s="234" t="s">
        <v>18725</v>
      </c>
      <c r="J734" s="234" t="s">
        <v>18636</v>
      </c>
      <c r="K734" s="236" t="s">
        <v>18725</v>
      </c>
      <c r="L734" s="236" t="s">
        <v>18725</v>
      </c>
      <c r="M734" s="236" t="s">
        <v>18725</v>
      </c>
      <c r="N734" s="234" t="s">
        <v>18654</v>
      </c>
      <c r="O734" s="237" t="s">
        <v>18675</v>
      </c>
      <c r="P734" s="238" t="s">
        <v>21334</v>
      </c>
      <c r="Q734" s="234" t="s">
        <v>18732</v>
      </c>
      <c r="R734" s="238" t="s">
        <v>20452</v>
      </c>
      <c r="S734" s="238" t="s">
        <v>18725</v>
      </c>
      <c r="T734" s="238" t="s">
        <v>18725</v>
      </c>
      <c r="U734" s="238" t="s">
        <v>18725</v>
      </c>
      <c r="V734" s="238" t="s">
        <v>18725</v>
      </c>
      <c r="W734" s="238" t="s">
        <v>18725</v>
      </c>
      <c r="X734" s="238" t="s">
        <v>18725</v>
      </c>
      <c r="Y734" s="239" t="str">
        <f>IF('CCUS Projects Database'!$R734&lt;&gt;"",HYPERLINK('CCUS Projects Database'!$R734,"Link 1"),"")</f>
        <v>Link 1</v>
      </c>
      <c r="Z734" s="239" t="str">
        <f>IF('CCUS Projects Database'!$S734&lt;&gt;"",HYPERLINK('CCUS Projects Database'!$S734,"Link 2"),"")</f>
        <v/>
      </c>
      <c r="AA734" s="239" t="str">
        <f>IF('CCUS Projects Database'!$T734&lt;&gt;"",HYPERLINK('CCUS Projects Database'!$T734,"Link 3"),"")</f>
        <v/>
      </c>
      <c r="AB734" s="239" t="str">
        <f>IF('CCUS Projects Database'!$U734&lt;&gt;"",HYPERLINK('CCUS Projects Database'!$U734,"Link 4"),"")</f>
        <v/>
      </c>
      <c r="AC734" s="239" t="str">
        <f>IF('CCUS Projects Database'!$V734&lt;&gt;"",HYPERLINK('CCUS Projects Database'!$V734,"Link 5"),"")</f>
        <v/>
      </c>
      <c r="AD734" s="239" t="str">
        <f>IF('CCUS Projects Database'!$W734&lt;&gt;"",HYPERLINK('CCUS Projects Database'!$W734,"Link 6"),"")</f>
        <v/>
      </c>
      <c r="AE734" s="239" t="str">
        <f>IF('CCUS Projects Database'!$X734&lt;&gt;"",HYPERLINK('CCUS Projects Database'!$X734,"Link 7"),"")</f>
        <v/>
      </c>
    </row>
    <row r="735" ht="14.25" customHeight="1">
      <c r="A735" s="233" t="s">
        <v>21337</v>
      </c>
      <c r="B735" s="234">
        <v>978.0</v>
      </c>
      <c r="C735" s="234" t="s">
        <v>18586</v>
      </c>
      <c r="D735" s="235" t="s">
        <v>20820</v>
      </c>
      <c r="E735" s="234" t="s">
        <v>3</v>
      </c>
      <c r="F735" s="234">
        <v>2023.0</v>
      </c>
      <c r="G735" s="234" t="s">
        <v>18725</v>
      </c>
      <c r="H735" s="234" t="s">
        <v>18725</v>
      </c>
      <c r="I735" s="234" t="s">
        <v>18725</v>
      </c>
      <c r="J735" s="234" t="s">
        <v>18636</v>
      </c>
      <c r="K735" s="236" t="s">
        <v>18725</v>
      </c>
      <c r="L735" s="236" t="s">
        <v>18725</v>
      </c>
      <c r="M735" s="236" t="s">
        <v>18725</v>
      </c>
      <c r="N735" s="234" t="s">
        <v>3</v>
      </c>
      <c r="O735" s="237" t="s">
        <v>18675</v>
      </c>
      <c r="P735" s="238" t="s">
        <v>21337</v>
      </c>
      <c r="Q735" s="234" t="s">
        <v>18732</v>
      </c>
      <c r="R735" s="238" t="s">
        <v>20452</v>
      </c>
      <c r="S735" s="238" t="s">
        <v>18725</v>
      </c>
      <c r="T735" s="238" t="s">
        <v>18725</v>
      </c>
      <c r="U735" s="238" t="s">
        <v>18725</v>
      </c>
      <c r="V735" s="238" t="s">
        <v>18725</v>
      </c>
      <c r="W735" s="238" t="s">
        <v>18725</v>
      </c>
      <c r="X735" s="238" t="s">
        <v>18725</v>
      </c>
      <c r="Y735" s="239" t="str">
        <f>IF('CCUS Projects Database'!$R735&lt;&gt;"",HYPERLINK('CCUS Projects Database'!$R735,"Link 1"),"")</f>
        <v>Link 1</v>
      </c>
      <c r="Z735" s="239" t="str">
        <f>IF('CCUS Projects Database'!$S735&lt;&gt;"",HYPERLINK('CCUS Projects Database'!$S735,"Link 2"),"")</f>
        <v/>
      </c>
      <c r="AA735" s="239" t="str">
        <f>IF('CCUS Projects Database'!$T735&lt;&gt;"",HYPERLINK('CCUS Projects Database'!$T735,"Link 3"),"")</f>
        <v/>
      </c>
      <c r="AB735" s="239" t="str">
        <f>IF('CCUS Projects Database'!$U735&lt;&gt;"",HYPERLINK('CCUS Projects Database'!$U735,"Link 4"),"")</f>
        <v/>
      </c>
      <c r="AC735" s="239" t="str">
        <f>IF('CCUS Projects Database'!$V735&lt;&gt;"",HYPERLINK('CCUS Projects Database'!$V735,"Link 5"),"")</f>
        <v/>
      </c>
      <c r="AD735" s="239" t="str">
        <f>IF('CCUS Projects Database'!$W735&lt;&gt;"",HYPERLINK('CCUS Projects Database'!$W735,"Link 6"),"")</f>
        <v/>
      </c>
      <c r="AE735" s="239" t="str">
        <f>IF('CCUS Projects Database'!$X735&lt;&gt;"",HYPERLINK('CCUS Projects Database'!$X735,"Link 7"),"")</f>
        <v/>
      </c>
    </row>
    <row r="736" ht="14.25" customHeight="1">
      <c r="A736" s="233" t="s">
        <v>21338</v>
      </c>
      <c r="B736" s="234">
        <v>979.0</v>
      </c>
      <c r="C736" s="234" t="s">
        <v>18586</v>
      </c>
      <c r="D736" s="235" t="s">
        <v>21339</v>
      </c>
      <c r="E736" s="234" t="s">
        <v>18623</v>
      </c>
      <c r="F736" s="234">
        <v>2023.0</v>
      </c>
      <c r="G736" s="234" t="s">
        <v>18725</v>
      </c>
      <c r="H736" s="234">
        <v>2030.0</v>
      </c>
      <c r="I736" s="234" t="s">
        <v>18725</v>
      </c>
      <c r="J736" s="234" t="s">
        <v>18636</v>
      </c>
      <c r="K736" s="236" t="s">
        <v>18725</v>
      </c>
      <c r="L736" s="236">
        <v>23.0</v>
      </c>
      <c r="M736" s="236">
        <v>23.0</v>
      </c>
      <c r="N736" s="234" t="s">
        <v>18623</v>
      </c>
      <c r="O736" s="237" t="s">
        <v>18675</v>
      </c>
      <c r="P736" s="238" t="s">
        <v>21338</v>
      </c>
      <c r="Q736" s="234" t="s">
        <v>18732</v>
      </c>
      <c r="R736" s="238" t="s">
        <v>20452</v>
      </c>
      <c r="S736" s="238" t="s">
        <v>21340</v>
      </c>
      <c r="T736" s="238" t="s">
        <v>18725</v>
      </c>
      <c r="U736" s="238" t="s">
        <v>18725</v>
      </c>
      <c r="V736" s="238" t="s">
        <v>18725</v>
      </c>
      <c r="W736" s="238" t="s">
        <v>18725</v>
      </c>
      <c r="X736" s="238" t="s">
        <v>18725</v>
      </c>
      <c r="Y736" s="239" t="str">
        <f>IF('CCUS Projects Database'!$R736&lt;&gt;"",HYPERLINK('CCUS Projects Database'!$R736,"Link 1"),"")</f>
        <v>Link 1</v>
      </c>
      <c r="Z736" s="239" t="str">
        <f>IF('CCUS Projects Database'!$S736&lt;&gt;"",HYPERLINK('CCUS Projects Database'!$S736,"Link 2"),"")</f>
        <v>Link 2</v>
      </c>
      <c r="AA736" s="239" t="str">
        <f>IF('CCUS Projects Database'!$T736&lt;&gt;"",HYPERLINK('CCUS Projects Database'!$T736,"Link 3"),"")</f>
        <v/>
      </c>
      <c r="AB736" s="239" t="str">
        <f>IF('CCUS Projects Database'!$U736&lt;&gt;"",HYPERLINK('CCUS Projects Database'!$U736,"Link 4"),"")</f>
        <v/>
      </c>
      <c r="AC736" s="239" t="str">
        <f>IF('CCUS Projects Database'!$V736&lt;&gt;"",HYPERLINK('CCUS Projects Database'!$V736,"Link 5"),"")</f>
        <v/>
      </c>
      <c r="AD736" s="239" t="str">
        <f>IF('CCUS Projects Database'!$W736&lt;&gt;"",HYPERLINK('CCUS Projects Database'!$W736,"Link 6"),"")</f>
        <v/>
      </c>
      <c r="AE736" s="239" t="str">
        <f>IF('CCUS Projects Database'!$X736&lt;&gt;"",HYPERLINK('CCUS Projects Database'!$X736,"Link 7"),"")</f>
        <v/>
      </c>
    </row>
    <row r="737" ht="14.25" customHeight="1">
      <c r="A737" s="233" t="s">
        <v>21341</v>
      </c>
      <c r="B737" s="234">
        <v>980.0</v>
      </c>
      <c r="C737" s="234" t="s">
        <v>18586</v>
      </c>
      <c r="D737" s="235" t="s">
        <v>21339</v>
      </c>
      <c r="E737" s="234" t="s">
        <v>18618</v>
      </c>
      <c r="F737" s="234">
        <v>2023.0</v>
      </c>
      <c r="G737" s="234" t="s">
        <v>18725</v>
      </c>
      <c r="H737" s="234" t="s">
        <v>18725</v>
      </c>
      <c r="I737" s="234" t="s">
        <v>18725</v>
      </c>
      <c r="J737" s="234" t="s">
        <v>18636</v>
      </c>
      <c r="K737" s="236" t="s">
        <v>18725</v>
      </c>
      <c r="L737" s="236" t="s">
        <v>18725</v>
      </c>
      <c r="M737" s="236" t="s">
        <v>18725</v>
      </c>
      <c r="N737" s="234" t="s">
        <v>18661</v>
      </c>
      <c r="O737" s="237" t="s">
        <v>18675</v>
      </c>
      <c r="P737" s="238" t="s">
        <v>21338</v>
      </c>
      <c r="Q737" s="234" t="s">
        <v>18732</v>
      </c>
      <c r="R737" s="238" t="s">
        <v>20452</v>
      </c>
      <c r="S737" s="238" t="s">
        <v>18725</v>
      </c>
      <c r="T737" s="238" t="s">
        <v>18725</v>
      </c>
      <c r="U737" s="238" t="s">
        <v>18725</v>
      </c>
      <c r="V737" s="238" t="s">
        <v>18725</v>
      </c>
      <c r="W737" s="238" t="s">
        <v>18725</v>
      </c>
      <c r="X737" s="238" t="s">
        <v>18725</v>
      </c>
      <c r="Y737" s="239" t="str">
        <f>IF('CCUS Projects Database'!$R737&lt;&gt;"",HYPERLINK('CCUS Projects Database'!$R737,"Link 1"),"")</f>
        <v>Link 1</v>
      </c>
      <c r="Z737" s="239" t="str">
        <f>IF('CCUS Projects Database'!$S737&lt;&gt;"",HYPERLINK('CCUS Projects Database'!$S737,"Link 2"),"")</f>
        <v/>
      </c>
      <c r="AA737" s="239" t="str">
        <f>IF('CCUS Projects Database'!$T737&lt;&gt;"",HYPERLINK('CCUS Projects Database'!$T737,"Link 3"),"")</f>
        <v/>
      </c>
      <c r="AB737" s="239" t="str">
        <f>IF('CCUS Projects Database'!$U737&lt;&gt;"",HYPERLINK('CCUS Projects Database'!$U737,"Link 4"),"")</f>
        <v/>
      </c>
      <c r="AC737" s="239" t="str">
        <f>IF('CCUS Projects Database'!$V737&lt;&gt;"",HYPERLINK('CCUS Projects Database'!$V737,"Link 5"),"")</f>
        <v/>
      </c>
      <c r="AD737" s="239" t="str">
        <f>IF('CCUS Projects Database'!$W737&lt;&gt;"",HYPERLINK('CCUS Projects Database'!$W737,"Link 6"),"")</f>
        <v/>
      </c>
      <c r="AE737" s="239" t="str">
        <f>IF('CCUS Projects Database'!$X737&lt;&gt;"",HYPERLINK('CCUS Projects Database'!$X737,"Link 7"),"")</f>
        <v/>
      </c>
    </row>
    <row r="738" ht="14.25" customHeight="1">
      <c r="A738" s="233" t="s">
        <v>21342</v>
      </c>
      <c r="B738" s="234">
        <v>981.0</v>
      </c>
      <c r="C738" s="234" t="s">
        <v>18586</v>
      </c>
      <c r="D738" s="235" t="s">
        <v>21309</v>
      </c>
      <c r="E738" s="234" t="s">
        <v>3</v>
      </c>
      <c r="F738" s="234">
        <v>2023.0</v>
      </c>
      <c r="G738" s="234" t="s">
        <v>18725</v>
      </c>
      <c r="H738" s="234">
        <v>2030.0</v>
      </c>
      <c r="I738" s="234" t="s">
        <v>18725</v>
      </c>
      <c r="J738" s="234" t="s">
        <v>18636</v>
      </c>
      <c r="K738" s="236" t="s">
        <v>18725</v>
      </c>
      <c r="L738" s="236" t="s">
        <v>18725</v>
      </c>
      <c r="M738" s="236">
        <v>8.0</v>
      </c>
      <c r="N738" s="234" t="s">
        <v>3</v>
      </c>
      <c r="O738" s="237" t="s">
        <v>18675</v>
      </c>
      <c r="P738" s="238" t="s">
        <v>21342</v>
      </c>
      <c r="Q738" s="234" t="s">
        <v>18732</v>
      </c>
      <c r="R738" s="238" t="s">
        <v>20452</v>
      </c>
      <c r="S738" s="238" t="s">
        <v>18725</v>
      </c>
      <c r="T738" s="238" t="s">
        <v>18725</v>
      </c>
      <c r="U738" s="238" t="s">
        <v>18725</v>
      </c>
      <c r="V738" s="238" t="s">
        <v>18725</v>
      </c>
      <c r="W738" s="238" t="s">
        <v>18725</v>
      </c>
      <c r="X738" s="238" t="s">
        <v>18725</v>
      </c>
      <c r="Y738" s="239" t="str">
        <f>IF('CCUS Projects Database'!$R738&lt;&gt;"",HYPERLINK('CCUS Projects Database'!$R738,"Link 1"),"")</f>
        <v>Link 1</v>
      </c>
      <c r="Z738" s="239" t="str">
        <f>IF('CCUS Projects Database'!$S738&lt;&gt;"",HYPERLINK('CCUS Projects Database'!$S738,"Link 2"),"")</f>
        <v/>
      </c>
      <c r="AA738" s="239" t="str">
        <f>IF('CCUS Projects Database'!$T738&lt;&gt;"",HYPERLINK('CCUS Projects Database'!$T738,"Link 3"),"")</f>
        <v/>
      </c>
      <c r="AB738" s="239" t="str">
        <f>IF('CCUS Projects Database'!$U738&lt;&gt;"",HYPERLINK('CCUS Projects Database'!$U738,"Link 4"),"")</f>
        <v/>
      </c>
      <c r="AC738" s="239" t="str">
        <f>IF('CCUS Projects Database'!$V738&lt;&gt;"",HYPERLINK('CCUS Projects Database'!$V738,"Link 5"),"")</f>
        <v/>
      </c>
      <c r="AD738" s="239" t="str">
        <f>IF('CCUS Projects Database'!$W738&lt;&gt;"",HYPERLINK('CCUS Projects Database'!$W738,"Link 6"),"")</f>
        <v/>
      </c>
      <c r="AE738" s="239" t="str">
        <f>IF('CCUS Projects Database'!$X738&lt;&gt;"",HYPERLINK('CCUS Projects Database'!$X738,"Link 7"),"")</f>
        <v/>
      </c>
    </row>
    <row r="739" ht="14.25" customHeight="1">
      <c r="A739" s="233" t="s">
        <v>21343</v>
      </c>
      <c r="B739" s="234">
        <v>982.0</v>
      </c>
      <c r="C739" s="234" t="s">
        <v>18586</v>
      </c>
      <c r="D739" s="235" t="s">
        <v>21344</v>
      </c>
      <c r="E739" s="234" t="s">
        <v>3</v>
      </c>
      <c r="F739" s="234">
        <v>2023.0</v>
      </c>
      <c r="G739" s="234" t="s">
        <v>18725</v>
      </c>
      <c r="H739" s="234" t="s">
        <v>18725</v>
      </c>
      <c r="I739" s="234" t="s">
        <v>18725</v>
      </c>
      <c r="J739" s="234" t="s">
        <v>18636</v>
      </c>
      <c r="K739" s="236" t="s">
        <v>18725</v>
      </c>
      <c r="L739" s="236" t="s">
        <v>18725</v>
      </c>
      <c r="M739" s="236" t="s">
        <v>18725</v>
      </c>
      <c r="N739" s="234" t="s">
        <v>3</v>
      </c>
      <c r="O739" s="237" t="s">
        <v>18675</v>
      </c>
      <c r="P739" s="238" t="s">
        <v>21343</v>
      </c>
      <c r="Q739" s="234" t="s">
        <v>18732</v>
      </c>
      <c r="R739" s="238" t="s">
        <v>20452</v>
      </c>
      <c r="S739" s="238" t="s">
        <v>18725</v>
      </c>
      <c r="T739" s="238" t="s">
        <v>18725</v>
      </c>
      <c r="U739" s="238" t="s">
        <v>18725</v>
      </c>
      <c r="V739" s="238" t="s">
        <v>18725</v>
      </c>
      <c r="W739" s="238" t="s">
        <v>18725</v>
      </c>
      <c r="X739" s="238" t="s">
        <v>18725</v>
      </c>
      <c r="Y739" s="239" t="str">
        <f>IF('CCUS Projects Database'!$R739&lt;&gt;"",HYPERLINK('CCUS Projects Database'!$R739,"Link 1"),"")</f>
        <v>Link 1</v>
      </c>
      <c r="Z739" s="239" t="str">
        <f>IF('CCUS Projects Database'!$S739&lt;&gt;"",HYPERLINK('CCUS Projects Database'!$S739,"Link 2"),"")</f>
        <v/>
      </c>
      <c r="AA739" s="239" t="str">
        <f>IF('CCUS Projects Database'!$T739&lt;&gt;"",HYPERLINK('CCUS Projects Database'!$T739,"Link 3"),"")</f>
        <v/>
      </c>
      <c r="AB739" s="239" t="str">
        <f>IF('CCUS Projects Database'!$U739&lt;&gt;"",HYPERLINK('CCUS Projects Database'!$U739,"Link 4"),"")</f>
        <v/>
      </c>
      <c r="AC739" s="239" t="str">
        <f>IF('CCUS Projects Database'!$V739&lt;&gt;"",HYPERLINK('CCUS Projects Database'!$V739,"Link 5"),"")</f>
        <v/>
      </c>
      <c r="AD739" s="239" t="str">
        <f>IF('CCUS Projects Database'!$W739&lt;&gt;"",HYPERLINK('CCUS Projects Database'!$W739,"Link 6"),"")</f>
        <v/>
      </c>
      <c r="AE739" s="239" t="str">
        <f>IF('CCUS Projects Database'!$X739&lt;&gt;"",HYPERLINK('CCUS Projects Database'!$X739,"Link 7"),"")</f>
        <v/>
      </c>
    </row>
    <row r="740" ht="14.25" customHeight="1">
      <c r="A740" s="233" t="s">
        <v>21345</v>
      </c>
      <c r="B740" s="234">
        <v>983.0</v>
      </c>
      <c r="C740" s="234" t="s">
        <v>18586</v>
      </c>
      <c r="D740" s="235" t="s">
        <v>20980</v>
      </c>
      <c r="E740" s="234" t="s">
        <v>3</v>
      </c>
      <c r="F740" s="234">
        <v>2023.0</v>
      </c>
      <c r="G740" s="234" t="s">
        <v>18725</v>
      </c>
      <c r="H740" s="234">
        <v>2030.0</v>
      </c>
      <c r="I740" s="234" t="s">
        <v>18725</v>
      </c>
      <c r="J740" s="234" t="s">
        <v>18636</v>
      </c>
      <c r="K740" s="236" t="s">
        <v>18725</v>
      </c>
      <c r="L740" s="236" t="s">
        <v>18725</v>
      </c>
      <c r="M740" s="236">
        <v>0.682</v>
      </c>
      <c r="N740" s="234" t="s">
        <v>3</v>
      </c>
      <c r="O740" s="237" t="s">
        <v>18675</v>
      </c>
      <c r="P740" s="238" t="s">
        <v>21345</v>
      </c>
      <c r="Q740" s="234" t="s">
        <v>18732</v>
      </c>
      <c r="R740" s="238" t="s">
        <v>20452</v>
      </c>
      <c r="S740" s="238" t="s">
        <v>21346</v>
      </c>
      <c r="T740" s="238" t="s">
        <v>21347</v>
      </c>
      <c r="U740" s="238" t="s">
        <v>21348</v>
      </c>
      <c r="V740" s="238" t="s">
        <v>18725</v>
      </c>
      <c r="W740" s="238" t="s">
        <v>18725</v>
      </c>
      <c r="X740" s="238" t="s">
        <v>18725</v>
      </c>
      <c r="Y740" s="239" t="str">
        <f>IF('CCUS Projects Database'!$R740&lt;&gt;"",HYPERLINK('CCUS Projects Database'!$R740,"Link 1"),"")</f>
        <v>Link 1</v>
      </c>
      <c r="Z740" s="239" t="str">
        <f>IF('CCUS Projects Database'!$S740&lt;&gt;"",HYPERLINK('CCUS Projects Database'!$S740,"Link 2"),"")</f>
        <v>Link 2</v>
      </c>
      <c r="AA740" s="239" t="str">
        <f>IF('CCUS Projects Database'!$T740&lt;&gt;"",HYPERLINK('CCUS Projects Database'!$T740,"Link 3"),"")</f>
        <v>Link 3</v>
      </c>
      <c r="AB740" s="239" t="str">
        <f>IF('CCUS Projects Database'!$U740&lt;&gt;"",HYPERLINK('CCUS Projects Database'!$U740,"Link 4"),"")</f>
        <v>Link 4</v>
      </c>
      <c r="AC740" s="239" t="str">
        <f>IF('CCUS Projects Database'!$V740&lt;&gt;"",HYPERLINK('CCUS Projects Database'!$V740,"Link 5"),"")</f>
        <v/>
      </c>
      <c r="AD740" s="239" t="str">
        <f>IF('CCUS Projects Database'!$W740&lt;&gt;"",HYPERLINK('CCUS Projects Database'!$W740,"Link 6"),"")</f>
        <v/>
      </c>
      <c r="AE740" s="239" t="str">
        <f>IF('CCUS Projects Database'!$X740&lt;&gt;"",HYPERLINK('CCUS Projects Database'!$X740,"Link 7"),"")</f>
        <v/>
      </c>
    </row>
    <row r="741" ht="14.25" customHeight="1">
      <c r="A741" s="233" t="s">
        <v>21349</v>
      </c>
      <c r="B741" s="234">
        <v>985.0</v>
      </c>
      <c r="C741" s="234" t="s">
        <v>18586</v>
      </c>
      <c r="D741" s="235" t="s">
        <v>21350</v>
      </c>
      <c r="E741" s="234" t="s">
        <v>18625</v>
      </c>
      <c r="F741" s="234">
        <v>2021.0</v>
      </c>
      <c r="G741" s="234" t="s">
        <v>18725</v>
      </c>
      <c r="H741" s="234">
        <v>2023.0</v>
      </c>
      <c r="I741" s="234" t="s">
        <v>18725</v>
      </c>
      <c r="J741" s="234" t="s">
        <v>12385</v>
      </c>
      <c r="K741" s="236" t="s">
        <v>18725</v>
      </c>
      <c r="L741" s="236">
        <v>0.001</v>
      </c>
      <c r="M741" s="236">
        <v>0.001</v>
      </c>
      <c r="N741" s="234" t="s">
        <v>18218</v>
      </c>
      <c r="O741" s="237" t="s">
        <v>18679</v>
      </c>
      <c r="P741" s="238" t="s">
        <v>18725</v>
      </c>
      <c r="Q741" s="234" t="s">
        <v>18732</v>
      </c>
      <c r="R741" s="238" t="s">
        <v>21351</v>
      </c>
      <c r="S741" s="238" t="s">
        <v>18725</v>
      </c>
      <c r="T741" s="238" t="s">
        <v>18725</v>
      </c>
      <c r="U741" s="238" t="s">
        <v>18725</v>
      </c>
      <c r="V741" s="238" t="s">
        <v>18725</v>
      </c>
      <c r="W741" s="238" t="s">
        <v>18725</v>
      </c>
      <c r="X741" s="238" t="s">
        <v>18725</v>
      </c>
      <c r="Y741" s="239" t="str">
        <f>IF('CCUS Projects Database'!$R741&lt;&gt;"",HYPERLINK('CCUS Projects Database'!$R741,"Link 1"),"")</f>
        <v>Link 1</v>
      </c>
      <c r="Z741" s="239" t="str">
        <f>IF('CCUS Projects Database'!$S741&lt;&gt;"",HYPERLINK('CCUS Projects Database'!$S741,"Link 2"),"")</f>
        <v/>
      </c>
      <c r="AA741" s="239" t="str">
        <f>IF('CCUS Projects Database'!$T741&lt;&gt;"",HYPERLINK('CCUS Projects Database'!$T741,"Link 3"),"")</f>
        <v/>
      </c>
      <c r="AB741" s="239" t="str">
        <f>IF('CCUS Projects Database'!$U741&lt;&gt;"",HYPERLINK('CCUS Projects Database'!$U741,"Link 4"),"")</f>
        <v/>
      </c>
      <c r="AC741" s="239" t="str">
        <f>IF('CCUS Projects Database'!$V741&lt;&gt;"",HYPERLINK('CCUS Projects Database'!$V741,"Link 5"),"")</f>
        <v/>
      </c>
      <c r="AD741" s="239" t="str">
        <f>IF('CCUS Projects Database'!$W741&lt;&gt;"",HYPERLINK('CCUS Projects Database'!$W741,"Link 6"),"")</f>
        <v/>
      </c>
      <c r="AE741" s="239" t="str">
        <f>IF('CCUS Projects Database'!$X741&lt;&gt;"",HYPERLINK('CCUS Projects Database'!$X741,"Link 7"),"")</f>
        <v/>
      </c>
    </row>
    <row r="742" ht="14.25" customHeight="1">
      <c r="A742" s="233" t="s">
        <v>21352</v>
      </c>
      <c r="B742" s="234">
        <v>988.0</v>
      </c>
      <c r="C742" s="234" t="s">
        <v>51</v>
      </c>
      <c r="D742" s="235" t="s">
        <v>21353</v>
      </c>
      <c r="E742" s="234" t="s">
        <v>18625</v>
      </c>
      <c r="F742" s="234">
        <v>2023.0</v>
      </c>
      <c r="G742" s="234" t="s">
        <v>18725</v>
      </c>
      <c r="H742" s="234">
        <v>2026.0</v>
      </c>
      <c r="I742" s="234" t="s">
        <v>18725</v>
      </c>
      <c r="J742" s="234" t="s">
        <v>18636</v>
      </c>
      <c r="K742" s="236" t="s">
        <v>18725</v>
      </c>
      <c r="L742" s="236" t="s">
        <v>18725</v>
      </c>
      <c r="M742" s="236">
        <v>0.177</v>
      </c>
      <c r="N742" s="234" t="s">
        <v>18654</v>
      </c>
      <c r="O742" s="237" t="s">
        <v>18679</v>
      </c>
      <c r="P742" s="238" t="s">
        <v>18725</v>
      </c>
      <c r="Q742" s="234" t="s">
        <v>18726</v>
      </c>
      <c r="R742" s="238" t="s">
        <v>21354</v>
      </c>
      <c r="S742" s="238" t="s">
        <v>21355</v>
      </c>
      <c r="T742" s="238" t="s">
        <v>18725</v>
      </c>
      <c r="U742" s="238" t="s">
        <v>18725</v>
      </c>
      <c r="V742" s="238" t="s">
        <v>18725</v>
      </c>
      <c r="W742" s="238" t="s">
        <v>18725</v>
      </c>
      <c r="X742" s="238" t="s">
        <v>18725</v>
      </c>
      <c r="Y742" s="239" t="str">
        <f>IF('CCUS Projects Database'!$R742&lt;&gt;"",HYPERLINK('CCUS Projects Database'!$R742,"Link 1"),"")</f>
        <v>Link 1</v>
      </c>
      <c r="Z742" s="239" t="str">
        <f>IF('CCUS Projects Database'!$S742&lt;&gt;"",HYPERLINK('CCUS Projects Database'!$S742,"Link 2"),"")</f>
        <v>Link 2</v>
      </c>
      <c r="AA742" s="239" t="str">
        <f>IF('CCUS Projects Database'!$T742&lt;&gt;"",HYPERLINK('CCUS Projects Database'!$T742,"Link 3"),"")</f>
        <v/>
      </c>
      <c r="AB742" s="239" t="str">
        <f>IF('CCUS Projects Database'!$U742&lt;&gt;"",HYPERLINK('CCUS Projects Database'!$U742,"Link 4"),"")</f>
        <v/>
      </c>
      <c r="AC742" s="239" t="str">
        <f>IF('CCUS Projects Database'!$V742&lt;&gt;"",HYPERLINK('CCUS Projects Database'!$V742,"Link 5"),"")</f>
        <v/>
      </c>
      <c r="AD742" s="239" t="str">
        <f>IF('CCUS Projects Database'!$W742&lt;&gt;"",HYPERLINK('CCUS Projects Database'!$W742,"Link 6"),"")</f>
        <v/>
      </c>
      <c r="AE742" s="239" t="str">
        <f>IF('CCUS Projects Database'!$X742&lt;&gt;"",HYPERLINK('CCUS Projects Database'!$X742,"Link 7"),"")</f>
        <v/>
      </c>
    </row>
    <row r="743" ht="14.25" customHeight="1">
      <c r="A743" s="233" t="s">
        <v>21356</v>
      </c>
      <c r="B743" s="234">
        <v>989.0</v>
      </c>
      <c r="C743" s="234" t="s">
        <v>51</v>
      </c>
      <c r="D743" s="235" t="s">
        <v>21353</v>
      </c>
      <c r="E743" s="234" t="s">
        <v>18618</v>
      </c>
      <c r="F743" s="234">
        <v>2023.0</v>
      </c>
      <c r="G743" s="234">
        <v>2025.0</v>
      </c>
      <c r="H743" s="234">
        <v>2026.0</v>
      </c>
      <c r="I743" s="234" t="s">
        <v>18725</v>
      </c>
      <c r="J743" s="234" t="s">
        <v>18636</v>
      </c>
      <c r="K743" s="236">
        <v>2.0</v>
      </c>
      <c r="L743" s="236" t="s">
        <v>18725</v>
      </c>
      <c r="M743" s="236">
        <v>0.063</v>
      </c>
      <c r="N743" s="234" t="s">
        <v>18654</v>
      </c>
      <c r="O743" s="237" t="s">
        <v>18675</v>
      </c>
      <c r="P743" s="238" t="s">
        <v>18725</v>
      </c>
      <c r="Q743" s="234" t="s">
        <v>18726</v>
      </c>
      <c r="R743" s="238" t="s">
        <v>21354</v>
      </c>
      <c r="S743" s="238" t="s">
        <v>21355</v>
      </c>
      <c r="T743" s="238" t="s">
        <v>18725</v>
      </c>
      <c r="U743" s="238" t="s">
        <v>18725</v>
      </c>
      <c r="V743" s="238" t="s">
        <v>18725</v>
      </c>
      <c r="W743" s="238" t="s">
        <v>18725</v>
      </c>
      <c r="X743" s="238" t="s">
        <v>18725</v>
      </c>
      <c r="Y743" s="239" t="str">
        <f>IF('CCUS Projects Database'!$R743&lt;&gt;"",HYPERLINK('CCUS Projects Database'!$R743,"Link 1"),"")</f>
        <v>Link 1</v>
      </c>
      <c r="Z743" s="239" t="str">
        <f>IF('CCUS Projects Database'!$S743&lt;&gt;"",HYPERLINK('CCUS Projects Database'!$S743,"Link 2"),"")</f>
        <v>Link 2</v>
      </c>
      <c r="AA743" s="239" t="str">
        <f>IF('CCUS Projects Database'!$T743&lt;&gt;"",HYPERLINK('CCUS Projects Database'!$T743,"Link 3"),"")</f>
        <v/>
      </c>
      <c r="AB743" s="239" t="str">
        <f>IF('CCUS Projects Database'!$U743&lt;&gt;"",HYPERLINK('CCUS Projects Database'!$U743,"Link 4"),"")</f>
        <v/>
      </c>
      <c r="AC743" s="239" t="str">
        <f>IF('CCUS Projects Database'!$V743&lt;&gt;"",HYPERLINK('CCUS Projects Database'!$V743,"Link 5"),"")</f>
        <v/>
      </c>
      <c r="AD743" s="239" t="str">
        <f>IF('CCUS Projects Database'!$W743&lt;&gt;"",HYPERLINK('CCUS Projects Database'!$W743,"Link 6"),"")</f>
        <v/>
      </c>
      <c r="AE743" s="239" t="str">
        <f>IF('CCUS Projects Database'!$X743&lt;&gt;"",HYPERLINK('CCUS Projects Database'!$X743,"Link 7"),"")</f>
        <v/>
      </c>
    </row>
    <row r="744" ht="14.25" customHeight="1">
      <c r="A744" s="233" t="s">
        <v>21357</v>
      </c>
      <c r="B744" s="234">
        <v>990.0</v>
      </c>
      <c r="C744" s="234" t="s">
        <v>51</v>
      </c>
      <c r="D744" s="235" t="s">
        <v>21358</v>
      </c>
      <c r="E744" s="234" t="s">
        <v>18625</v>
      </c>
      <c r="F744" s="234">
        <v>2023.0</v>
      </c>
      <c r="G744" s="234">
        <v>2025.0</v>
      </c>
      <c r="H744" s="234">
        <v>2026.0</v>
      </c>
      <c r="I744" s="234" t="s">
        <v>18725</v>
      </c>
      <c r="J744" s="234" t="s">
        <v>18636</v>
      </c>
      <c r="K744" s="236" t="s">
        <v>18725</v>
      </c>
      <c r="L744" s="236" t="s">
        <v>18725</v>
      </c>
      <c r="M744" s="236">
        <v>0.136</v>
      </c>
      <c r="N744" s="234" t="s">
        <v>18654</v>
      </c>
      <c r="O744" s="237" t="s">
        <v>18679</v>
      </c>
      <c r="P744" s="238" t="s">
        <v>18725</v>
      </c>
      <c r="Q744" s="234" t="s">
        <v>18726</v>
      </c>
      <c r="R744" s="238" t="s">
        <v>21359</v>
      </c>
      <c r="S744" s="238" t="s">
        <v>21355</v>
      </c>
      <c r="T744" s="238" t="s">
        <v>18725</v>
      </c>
      <c r="U744" s="238" t="s">
        <v>18725</v>
      </c>
      <c r="V744" s="238" t="s">
        <v>18725</v>
      </c>
      <c r="W744" s="238" t="s">
        <v>18725</v>
      </c>
      <c r="X744" s="238" t="s">
        <v>18725</v>
      </c>
      <c r="Y744" s="239" t="str">
        <f>IF('CCUS Projects Database'!$R744&lt;&gt;"",HYPERLINK('CCUS Projects Database'!$R744,"Link 1"),"")</f>
        <v>Link 1</v>
      </c>
      <c r="Z744" s="239" t="str">
        <f>IF('CCUS Projects Database'!$S744&lt;&gt;"",HYPERLINK('CCUS Projects Database'!$S744,"Link 2"),"")</f>
        <v>Link 2</v>
      </c>
      <c r="AA744" s="239" t="str">
        <f>IF('CCUS Projects Database'!$T744&lt;&gt;"",HYPERLINK('CCUS Projects Database'!$T744,"Link 3"),"")</f>
        <v/>
      </c>
      <c r="AB744" s="239" t="str">
        <f>IF('CCUS Projects Database'!$U744&lt;&gt;"",HYPERLINK('CCUS Projects Database'!$U744,"Link 4"),"")</f>
        <v/>
      </c>
      <c r="AC744" s="239" t="str">
        <f>IF('CCUS Projects Database'!$V744&lt;&gt;"",HYPERLINK('CCUS Projects Database'!$V744,"Link 5"),"")</f>
        <v/>
      </c>
      <c r="AD744" s="239" t="str">
        <f>IF('CCUS Projects Database'!$W744&lt;&gt;"",HYPERLINK('CCUS Projects Database'!$W744,"Link 6"),"")</f>
        <v/>
      </c>
      <c r="AE744" s="239" t="str">
        <f>IF('CCUS Projects Database'!$X744&lt;&gt;"",HYPERLINK('CCUS Projects Database'!$X744,"Link 7"),"")</f>
        <v/>
      </c>
    </row>
    <row r="745" ht="14.25" customHeight="1">
      <c r="A745" s="233" t="s">
        <v>21360</v>
      </c>
      <c r="B745" s="234">
        <v>991.0</v>
      </c>
      <c r="C745" s="234" t="s">
        <v>51</v>
      </c>
      <c r="D745" s="235" t="s">
        <v>21358</v>
      </c>
      <c r="E745" s="234" t="s">
        <v>18618</v>
      </c>
      <c r="F745" s="234">
        <v>2023.0</v>
      </c>
      <c r="G745" s="234">
        <v>2025.0</v>
      </c>
      <c r="H745" s="234">
        <v>2026.0</v>
      </c>
      <c r="I745" s="234" t="s">
        <v>18725</v>
      </c>
      <c r="J745" s="234" t="s">
        <v>18636</v>
      </c>
      <c r="K745" s="236">
        <v>2.0</v>
      </c>
      <c r="L745" s="236" t="s">
        <v>18725</v>
      </c>
      <c r="M745" s="236">
        <v>0.094</v>
      </c>
      <c r="N745" s="234" t="s">
        <v>18654</v>
      </c>
      <c r="O745" s="237" t="s">
        <v>18675</v>
      </c>
      <c r="P745" s="238" t="s">
        <v>18725</v>
      </c>
      <c r="Q745" s="234" t="s">
        <v>18726</v>
      </c>
      <c r="R745" s="238" t="s">
        <v>21359</v>
      </c>
      <c r="S745" s="238" t="s">
        <v>21355</v>
      </c>
      <c r="T745" s="238" t="s">
        <v>18725</v>
      </c>
      <c r="U745" s="238" t="s">
        <v>18725</v>
      </c>
      <c r="V745" s="238" t="s">
        <v>18725</v>
      </c>
      <c r="W745" s="238" t="s">
        <v>18725</v>
      </c>
      <c r="X745" s="238" t="s">
        <v>18725</v>
      </c>
      <c r="Y745" s="239" t="str">
        <f>IF('CCUS Projects Database'!$R745&lt;&gt;"",HYPERLINK('CCUS Projects Database'!$R745,"Link 1"),"")</f>
        <v>Link 1</v>
      </c>
      <c r="Z745" s="239" t="str">
        <f>IF('CCUS Projects Database'!$S745&lt;&gt;"",HYPERLINK('CCUS Projects Database'!$S745,"Link 2"),"")</f>
        <v>Link 2</v>
      </c>
      <c r="AA745" s="239" t="str">
        <f>IF('CCUS Projects Database'!$T745&lt;&gt;"",HYPERLINK('CCUS Projects Database'!$T745,"Link 3"),"")</f>
        <v/>
      </c>
      <c r="AB745" s="239" t="str">
        <f>IF('CCUS Projects Database'!$U745&lt;&gt;"",HYPERLINK('CCUS Projects Database'!$U745,"Link 4"),"")</f>
        <v/>
      </c>
      <c r="AC745" s="239" t="str">
        <f>IF('CCUS Projects Database'!$V745&lt;&gt;"",HYPERLINK('CCUS Projects Database'!$V745,"Link 5"),"")</f>
        <v/>
      </c>
      <c r="AD745" s="239" t="str">
        <f>IF('CCUS Projects Database'!$W745&lt;&gt;"",HYPERLINK('CCUS Projects Database'!$W745,"Link 6"),"")</f>
        <v/>
      </c>
      <c r="AE745" s="239" t="str">
        <f>IF('CCUS Projects Database'!$X745&lt;&gt;"",HYPERLINK('CCUS Projects Database'!$X745,"Link 7"),"")</f>
        <v/>
      </c>
    </row>
    <row r="746" ht="14.25" customHeight="1">
      <c r="A746" s="233" t="s">
        <v>21361</v>
      </c>
      <c r="B746" s="234">
        <v>994.0</v>
      </c>
      <c r="C746" s="234" t="s">
        <v>57</v>
      </c>
      <c r="D746" s="235" t="s">
        <v>21362</v>
      </c>
      <c r="E746" s="234" t="s">
        <v>18625</v>
      </c>
      <c r="F746" s="234">
        <v>2023.0</v>
      </c>
      <c r="G746" s="234" t="s">
        <v>18725</v>
      </c>
      <c r="H746" s="234" t="s">
        <v>18725</v>
      </c>
      <c r="I746" s="234" t="s">
        <v>18725</v>
      </c>
      <c r="J746" s="234" t="s">
        <v>18636</v>
      </c>
      <c r="K746" s="236" t="s">
        <v>18725</v>
      </c>
      <c r="L746" s="236">
        <v>0.4</v>
      </c>
      <c r="M746" s="236">
        <v>0.4</v>
      </c>
      <c r="N746" s="234" t="s">
        <v>18654</v>
      </c>
      <c r="O746" s="237" t="s">
        <v>18679</v>
      </c>
      <c r="P746" s="238" t="s">
        <v>18725</v>
      </c>
      <c r="Q746" s="234" t="s">
        <v>18726</v>
      </c>
      <c r="R746" s="238" t="s">
        <v>21363</v>
      </c>
      <c r="S746" s="238" t="s">
        <v>18725</v>
      </c>
      <c r="T746" s="238" t="s">
        <v>18725</v>
      </c>
      <c r="U746" s="238" t="s">
        <v>18725</v>
      </c>
      <c r="V746" s="238" t="s">
        <v>18725</v>
      </c>
      <c r="W746" s="238" t="s">
        <v>18725</v>
      </c>
      <c r="X746" s="238" t="s">
        <v>18725</v>
      </c>
      <c r="Y746" s="239" t="str">
        <f>IF('CCUS Projects Database'!$R746&lt;&gt;"",HYPERLINK('CCUS Projects Database'!$R746,"Link 1"),"")</f>
        <v>Link 1</v>
      </c>
      <c r="Z746" s="239" t="str">
        <f>IF('CCUS Projects Database'!$S746&lt;&gt;"",HYPERLINK('CCUS Projects Database'!$S746,"Link 2"),"")</f>
        <v/>
      </c>
      <c r="AA746" s="239" t="str">
        <f>IF('CCUS Projects Database'!$T746&lt;&gt;"",HYPERLINK('CCUS Projects Database'!$T746,"Link 3"),"")</f>
        <v/>
      </c>
      <c r="AB746" s="239" t="str">
        <f>IF('CCUS Projects Database'!$U746&lt;&gt;"",HYPERLINK('CCUS Projects Database'!$U746,"Link 4"),"")</f>
        <v/>
      </c>
      <c r="AC746" s="239" t="str">
        <f>IF('CCUS Projects Database'!$V746&lt;&gt;"",HYPERLINK('CCUS Projects Database'!$V746,"Link 5"),"")</f>
        <v/>
      </c>
      <c r="AD746" s="239" t="str">
        <f>IF('CCUS Projects Database'!$W746&lt;&gt;"",HYPERLINK('CCUS Projects Database'!$W746,"Link 6"),"")</f>
        <v/>
      </c>
      <c r="AE746" s="239" t="str">
        <f>IF('CCUS Projects Database'!$X746&lt;&gt;"",HYPERLINK('CCUS Projects Database'!$X746,"Link 7"),"")</f>
        <v/>
      </c>
    </row>
    <row r="747" ht="14.25" customHeight="1">
      <c r="A747" s="233" t="s">
        <v>21364</v>
      </c>
      <c r="B747" s="234">
        <v>996.0</v>
      </c>
      <c r="C747" s="234" t="s">
        <v>18586</v>
      </c>
      <c r="D747" s="235" t="s">
        <v>21365</v>
      </c>
      <c r="E747" s="234" t="s">
        <v>3</v>
      </c>
      <c r="F747" s="234">
        <v>2023.0</v>
      </c>
      <c r="G747" s="234" t="s">
        <v>18725</v>
      </c>
      <c r="H747" s="234" t="s">
        <v>18725</v>
      </c>
      <c r="I747" s="234" t="s">
        <v>18725</v>
      </c>
      <c r="J747" s="234" t="s">
        <v>18636</v>
      </c>
      <c r="K747" s="236" t="s">
        <v>18725</v>
      </c>
      <c r="L747" s="236">
        <v>2.0</v>
      </c>
      <c r="M747" s="236">
        <v>2.0</v>
      </c>
      <c r="N747" s="234" t="s">
        <v>3</v>
      </c>
      <c r="O747" s="237" t="s">
        <v>18675</v>
      </c>
      <c r="P747" s="238" t="s">
        <v>21366</v>
      </c>
      <c r="Q747" s="234" t="s">
        <v>18732</v>
      </c>
      <c r="R747" s="238" t="s">
        <v>21367</v>
      </c>
      <c r="S747" s="238" t="s">
        <v>18725</v>
      </c>
      <c r="T747" s="238" t="s">
        <v>18725</v>
      </c>
      <c r="U747" s="238" t="s">
        <v>18725</v>
      </c>
      <c r="V747" s="238" t="s">
        <v>18725</v>
      </c>
      <c r="W747" s="238" t="s">
        <v>18725</v>
      </c>
      <c r="X747" s="238" t="s">
        <v>18725</v>
      </c>
      <c r="Y747" s="239" t="str">
        <f>IF('CCUS Projects Database'!$R747&lt;&gt;"",HYPERLINK('CCUS Projects Database'!$R747,"Link 1"),"")</f>
        <v>Link 1</v>
      </c>
      <c r="Z747" s="239" t="str">
        <f>IF('CCUS Projects Database'!$S747&lt;&gt;"",HYPERLINK('CCUS Projects Database'!$S747,"Link 2"),"")</f>
        <v/>
      </c>
      <c r="AA747" s="239" t="str">
        <f>IF('CCUS Projects Database'!$T747&lt;&gt;"",HYPERLINK('CCUS Projects Database'!$T747,"Link 3"),"")</f>
        <v/>
      </c>
      <c r="AB747" s="239" t="str">
        <f>IF('CCUS Projects Database'!$U747&lt;&gt;"",HYPERLINK('CCUS Projects Database'!$U747,"Link 4"),"")</f>
        <v/>
      </c>
      <c r="AC747" s="239" t="str">
        <f>IF('CCUS Projects Database'!$V747&lt;&gt;"",HYPERLINK('CCUS Projects Database'!$V747,"Link 5"),"")</f>
        <v/>
      </c>
      <c r="AD747" s="239" t="str">
        <f>IF('CCUS Projects Database'!$W747&lt;&gt;"",HYPERLINK('CCUS Projects Database'!$W747,"Link 6"),"")</f>
        <v/>
      </c>
      <c r="AE747" s="239" t="str">
        <f>IF('CCUS Projects Database'!$X747&lt;&gt;"",HYPERLINK('CCUS Projects Database'!$X747,"Link 7"),"")</f>
        <v/>
      </c>
    </row>
    <row r="748" ht="14.25" customHeight="1">
      <c r="A748" s="233" t="s">
        <v>21368</v>
      </c>
      <c r="B748" s="234">
        <v>998.0</v>
      </c>
      <c r="C748" s="234" t="s">
        <v>18287</v>
      </c>
      <c r="D748" s="235" t="s">
        <v>21369</v>
      </c>
      <c r="E748" s="234" t="s">
        <v>18616</v>
      </c>
      <c r="F748" s="234">
        <v>2023.0</v>
      </c>
      <c r="G748" s="234" t="s">
        <v>18725</v>
      </c>
      <c r="H748" s="234" t="s">
        <v>18725</v>
      </c>
      <c r="I748" s="234" t="s">
        <v>18725</v>
      </c>
      <c r="J748" s="234" t="s">
        <v>18636</v>
      </c>
      <c r="K748" s="236" t="s">
        <v>18725</v>
      </c>
      <c r="L748" s="236" t="s">
        <v>18725</v>
      </c>
      <c r="M748" s="236" t="s">
        <v>18725</v>
      </c>
      <c r="N748" s="234" t="s">
        <v>18654</v>
      </c>
      <c r="O748" s="237" t="s">
        <v>18683</v>
      </c>
      <c r="P748" s="238" t="s">
        <v>18725</v>
      </c>
      <c r="Q748" s="234" t="s">
        <v>18856</v>
      </c>
      <c r="R748" s="238" t="s">
        <v>21370</v>
      </c>
      <c r="S748" s="238" t="s">
        <v>18725</v>
      </c>
      <c r="T748" s="238" t="s">
        <v>18725</v>
      </c>
      <c r="U748" s="238" t="s">
        <v>18725</v>
      </c>
      <c r="V748" s="238" t="s">
        <v>18725</v>
      </c>
      <c r="W748" s="238" t="s">
        <v>18725</v>
      </c>
      <c r="X748" s="238" t="s">
        <v>18725</v>
      </c>
      <c r="Y748" s="239" t="str">
        <f>IF('CCUS Projects Database'!$R748&lt;&gt;"",HYPERLINK('CCUS Projects Database'!$R748,"Link 1"),"")</f>
        <v>Link 1</v>
      </c>
      <c r="Z748" s="239" t="str">
        <f>IF('CCUS Projects Database'!$S748&lt;&gt;"",HYPERLINK('CCUS Projects Database'!$S748,"Link 2"),"")</f>
        <v/>
      </c>
      <c r="AA748" s="239" t="str">
        <f>IF('CCUS Projects Database'!$T748&lt;&gt;"",HYPERLINK('CCUS Projects Database'!$T748,"Link 3"),"")</f>
        <v/>
      </c>
      <c r="AB748" s="239" t="str">
        <f>IF('CCUS Projects Database'!$U748&lt;&gt;"",HYPERLINK('CCUS Projects Database'!$U748,"Link 4"),"")</f>
        <v/>
      </c>
      <c r="AC748" s="239" t="str">
        <f>IF('CCUS Projects Database'!$V748&lt;&gt;"",HYPERLINK('CCUS Projects Database'!$V748,"Link 5"),"")</f>
        <v/>
      </c>
      <c r="AD748" s="239" t="str">
        <f>IF('CCUS Projects Database'!$W748&lt;&gt;"",HYPERLINK('CCUS Projects Database'!$W748,"Link 6"),"")</f>
        <v/>
      </c>
      <c r="AE748" s="239" t="str">
        <f>IF('CCUS Projects Database'!$X748&lt;&gt;"",HYPERLINK('CCUS Projects Database'!$X748,"Link 7"),"")</f>
        <v/>
      </c>
    </row>
    <row r="749" ht="14.25" customHeight="1">
      <c r="A749" s="233" t="s">
        <v>10095</v>
      </c>
      <c r="B749" s="234">
        <v>999.0</v>
      </c>
      <c r="C749" s="234" t="s">
        <v>18586</v>
      </c>
      <c r="D749" s="235" t="s">
        <v>21371</v>
      </c>
      <c r="E749" s="234" t="s">
        <v>18618</v>
      </c>
      <c r="F749" s="234">
        <v>2023.0</v>
      </c>
      <c r="G749" s="234" t="s">
        <v>18725</v>
      </c>
      <c r="H749" s="234" t="s">
        <v>18725</v>
      </c>
      <c r="I749" s="234" t="s">
        <v>18725</v>
      </c>
      <c r="J749" s="234" t="s">
        <v>18636</v>
      </c>
      <c r="K749" s="236" t="s">
        <v>18725</v>
      </c>
      <c r="L749" s="236" t="s">
        <v>18725</v>
      </c>
      <c r="M749" s="236" t="s">
        <v>18725</v>
      </c>
      <c r="N749" s="234" t="s">
        <v>18731</v>
      </c>
      <c r="O749" s="237" t="s">
        <v>18683</v>
      </c>
      <c r="P749" s="238" t="s">
        <v>18725</v>
      </c>
      <c r="Q749" s="234" t="s">
        <v>18732</v>
      </c>
      <c r="R749" s="238" t="s">
        <v>17895</v>
      </c>
      <c r="S749" s="238" t="s">
        <v>18725</v>
      </c>
      <c r="T749" s="238" t="s">
        <v>18725</v>
      </c>
      <c r="U749" s="238" t="s">
        <v>18725</v>
      </c>
      <c r="V749" s="238" t="s">
        <v>18725</v>
      </c>
      <c r="W749" s="238" t="s">
        <v>18725</v>
      </c>
      <c r="X749" s="238" t="s">
        <v>18725</v>
      </c>
      <c r="Y749" s="239" t="str">
        <f>IF('CCUS Projects Database'!$R749&lt;&gt;"",HYPERLINK('CCUS Projects Database'!$R749,"Link 1"),"")</f>
        <v>Link 1</v>
      </c>
      <c r="Z749" s="239" t="str">
        <f>IF('CCUS Projects Database'!$S749&lt;&gt;"",HYPERLINK('CCUS Projects Database'!$S749,"Link 2"),"")</f>
        <v/>
      </c>
      <c r="AA749" s="239" t="str">
        <f>IF('CCUS Projects Database'!$T749&lt;&gt;"",HYPERLINK('CCUS Projects Database'!$T749,"Link 3"),"")</f>
        <v/>
      </c>
      <c r="AB749" s="239" t="str">
        <f>IF('CCUS Projects Database'!$U749&lt;&gt;"",HYPERLINK('CCUS Projects Database'!$U749,"Link 4"),"")</f>
        <v/>
      </c>
      <c r="AC749" s="239" t="str">
        <f>IF('CCUS Projects Database'!$V749&lt;&gt;"",HYPERLINK('CCUS Projects Database'!$V749,"Link 5"),"")</f>
        <v/>
      </c>
      <c r="AD749" s="239" t="str">
        <f>IF('CCUS Projects Database'!$W749&lt;&gt;"",HYPERLINK('CCUS Projects Database'!$W749,"Link 6"),"")</f>
        <v/>
      </c>
      <c r="AE749" s="239" t="str">
        <f>IF('CCUS Projects Database'!$X749&lt;&gt;"",HYPERLINK('CCUS Projects Database'!$X749,"Link 7"),"")</f>
        <v/>
      </c>
    </row>
    <row r="750" ht="14.25" customHeight="1">
      <c r="A750" s="233" t="s">
        <v>21372</v>
      </c>
      <c r="B750" s="234">
        <v>1000.0</v>
      </c>
      <c r="C750" s="234" t="s">
        <v>18568</v>
      </c>
      <c r="D750" s="235" t="s">
        <v>21373</v>
      </c>
      <c r="E750" s="234" t="s">
        <v>3</v>
      </c>
      <c r="F750" s="234">
        <v>2024.0</v>
      </c>
      <c r="G750" s="234" t="s">
        <v>18725</v>
      </c>
      <c r="H750" s="234" t="s">
        <v>18725</v>
      </c>
      <c r="I750" s="234" t="s">
        <v>18725</v>
      </c>
      <c r="J750" s="234" t="s">
        <v>18636</v>
      </c>
      <c r="K750" s="236" t="s">
        <v>18725</v>
      </c>
      <c r="L750" s="236" t="s">
        <v>18725</v>
      </c>
      <c r="M750" s="236" t="s">
        <v>18725</v>
      </c>
      <c r="N750" s="234" t="s">
        <v>3</v>
      </c>
      <c r="O750" s="237" t="s">
        <v>18675</v>
      </c>
      <c r="P750" s="238" t="s">
        <v>18725</v>
      </c>
      <c r="Q750" s="234" t="s">
        <v>18856</v>
      </c>
      <c r="R750" s="238" t="s">
        <v>21374</v>
      </c>
      <c r="S750" s="238" t="s">
        <v>18725</v>
      </c>
      <c r="T750" s="238" t="s">
        <v>18725</v>
      </c>
      <c r="U750" s="238" t="s">
        <v>18725</v>
      </c>
      <c r="V750" s="238" t="s">
        <v>18725</v>
      </c>
      <c r="W750" s="238" t="s">
        <v>18725</v>
      </c>
      <c r="X750" s="238" t="s">
        <v>18725</v>
      </c>
      <c r="Y750" s="239" t="str">
        <f>IF('CCUS Projects Database'!$R750&lt;&gt;"",HYPERLINK('CCUS Projects Database'!$R750,"Link 1"),"")</f>
        <v>Link 1</v>
      </c>
      <c r="Z750" s="239" t="str">
        <f>IF('CCUS Projects Database'!$S750&lt;&gt;"",HYPERLINK('CCUS Projects Database'!$S750,"Link 2"),"")</f>
        <v/>
      </c>
      <c r="AA750" s="239" t="str">
        <f>IF('CCUS Projects Database'!$T750&lt;&gt;"",HYPERLINK('CCUS Projects Database'!$T750,"Link 3"),"")</f>
        <v/>
      </c>
      <c r="AB750" s="239" t="str">
        <f>IF('CCUS Projects Database'!$U750&lt;&gt;"",HYPERLINK('CCUS Projects Database'!$U750,"Link 4"),"")</f>
        <v/>
      </c>
      <c r="AC750" s="239" t="str">
        <f>IF('CCUS Projects Database'!$V750&lt;&gt;"",HYPERLINK('CCUS Projects Database'!$V750,"Link 5"),"")</f>
        <v/>
      </c>
      <c r="AD750" s="239" t="str">
        <f>IF('CCUS Projects Database'!$W750&lt;&gt;"",HYPERLINK('CCUS Projects Database'!$W750,"Link 6"),"")</f>
        <v/>
      </c>
      <c r="AE750" s="239" t="str">
        <f>IF('CCUS Projects Database'!$X750&lt;&gt;"",HYPERLINK('CCUS Projects Database'!$X750,"Link 7"),"")</f>
        <v/>
      </c>
    </row>
    <row r="751" ht="14.25" customHeight="1">
      <c r="A751" s="233" t="s">
        <v>21375</v>
      </c>
      <c r="B751" s="234">
        <v>1009.0</v>
      </c>
      <c r="C751" s="234" t="s">
        <v>18586</v>
      </c>
      <c r="D751" s="235" t="s">
        <v>21376</v>
      </c>
      <c r="E751" s="234" t="s">
        <v>18620</v>
      </c>
      <c r="F751" s="234">
        <v>2023.0</v>
      </c>
      <c r="G751" s="234" t="s">
        <v>18725</v>
      </c>
      <c r="H751" s="234" t="s">
        <v>18725</v>
      </c>
      <c r="I751" s="234" t="s">
        <v>18725</v>
      </c>
      <c r="J751" s="234" t="s">
        <v>18636</v>
      </c>
      <c r="K751" s="236" t="s">
        <v>18725</v>
      </c>
      <c r="L751" s="236" t="s">
        <v>18725</v>
      </c>
      <c r="M751" s="236" t="s">
        <v>18725</v>
      </c>
      <c r="N751" s="234" t="s">
        <v>18620</v>
      </c>
      <c r="O751" s="237" t="s">
        <v>18683</v>
      </c>
      <c r="P751" s="238" t="s">
        <v>21072</v>
      </c>
      <c r="Q751" s="234" t="s">
        <v>18732</v>
      </c>
      <c r="R751" s="238" t="s">
        <v>21377</v>
      </c>
      <c r="S751" s="238" t="s">
        <v>21378</v>
      </c>
      <c r="T751" s="238" t="s">
        <v>18725</v>
      </c>
      <c r="U751" s="238" t="s">
        <v>18725</v>
      </c>
      <c r="V751" s="238" t="s">
        <v>18725</v>
      </c>
      <c r="W751" s="238" t="s">
        <v>18725</v>
      </c>
      <c r="X751" s="238" t="s">
        <v>18725</v>
      </c>
      <c r="Y751" s="239" t="str">
        <f>IF('CCUS Projects Database'!$R751&lt;&gt;"",HYPERLINK('CCUS Projects Database'!$R751,"Link 1"),"")</f>
        <v>Link 1</v>
      </c>
      <c r="Z751" s="239" t="str">
        <f>IF('CCUS Projects Database'!$S751&lt;&gt;"",HYPERLINK('CCUS Projects Database'!$S751,"Link 2"),"")</f>
        <v>Link 2</v>
      </c>
      <c r="AA751" s="239" t="str">
        <f>IF('CCUS Projects Database'!$T751&lt;&gt;"",HYPERLINK('CCUS Projects Database'!$T751,"Link 3"),"")</f>
        <v/>
      </c>
      <c r="AB751" s="239" t="str">
        <f>IF('CCUS Projects Database'!$U751&lt;&gt;"",HYPERLINK('CCUS Projects Database'!$U751,"Link 4"),"")</f>
        <v/>
      </c>
      <c r="AC751" s="239" t="str">
        <f>IF('CCUS Projects Database'!$V751&lt;&gt;"",HYPERLINK('CCUS Projects Database'!$V751,"Link 5"),"")</f>
        <v/>
      </c>
      <c r="AD751" s="239" t="str">
        <f>IF('CCUS Projects Database'!$W751&lt;&gt;"",HYPERLINK('CCUS Projects Database'!$W751,"Link 6"),"")</f>
        <v/>
      </c>
      <c r="AE751" s="239" t="str">
        <f>IF('CCUS Projects Database'!$X751&lt;&gt;"",HYPERLINK('CCUS Projects Database'!$X751,"Link 7"),"")</f>
        <v/>
      </c>
    </row>
    <row r="752" ht="14.25" customHeight="1">
      <c r="A752" s="233" t="s">
        <v>21379</v>
      </c>
      <c r="B752" s="234">
        <v>1010.0</v>
      </c>
      <c r="C752" s="234" t="s">
        <v>18586</v>
      </c>
      <c r="D752" s="235" t="s">
        <v>21380</v>
      </c>
      <c r="E752" s="234" t="s">
        <v>3</v>
      </c>
      <c r="F752" s="234">
        <v>2022.0</v>
      </c>
      <c r="G752" s="234" t="s">
        <v>18725</v>
      </c>
      <c r="H752" s="234" t="s">
        <v>18725</v>
      </c>
      <c r="I752" s="234" t="s">
        <v>18725</v>
      </c>
      <c r="J752" s="234" t="s">
        <v>18636</v>
      </c>
      <c r="K752" s="236" t="s">
        <v>18725</v>
      </c>
      <c r="L752" s="236" t="s">
        <v>18725</v>
      </c>
      <c r="M752" s="236" t="s">
        <v>18725</v>
      </c>
      <c r="N752" s="234" t="s">
        <v>3</v>
      </c>
      <c r="O752" s="237" t="s">
        <v>18675</v>
      </c>
      <c r="P752" s="238" t="s">
        <v>21072</v>
      </c>
      <c r="Q752" s="234" t="s">
        <v>18732</v>
      </c>
      <c r="R752" s="238" t="s">
        <v>21381</v>
      </c>
      <c r="S752" s="238" t="s">
        <v>21382</v>
      </c>
      <c r="T752" s="238" t="s">
        <v>18725</v>
      </c>
      <c r="U752" s="238" t="s">
        <v>18725</v>
      </c>
      <c r="V752" s="238" t="s">
        <v>18725</v>
      </c>
      <c r="W752" s="238" t="s">
        <v>18725</v>
      </c>
      <c r="X752" s="238" t="s">
        <v>18725</v>
      </c>
      <c r="Y752" s="239" t="str">
        <f>IF('CCUS Projects Database'!$R752&lt;&gt;"",HYPERLINK('CCUS Projects Database'!$R752,"Link 1"),"")</f>
        <v>Link 1</v>
      </c>
      <c r="Z752" s="239" t="str">
        <f>IF('CCUS Projects Database'!$S752&lt;&gt;"",HYPERLINK('CCUS Projects Database'!$S752,"Link 2"),"")</f>
        <v>Link 2</v>
      </c>
      <c r="AA752" s="239" t="str">
        <f>IF('CCUS Projects Database'!$T752&lt;&gt;"",HYPERLINK('CCUS Projects Database'!$T752,"Link 3"),"")</f>
        <v/>
      </c>
      <c r="AB752" s="239" t="str">
        <f>IF('CCUS Projects Database'!$U752&lt;&gt;"",HYPERLINK('CCUS Projects Database'!$U752,"Link 4"),"")</f>
        <v/>
      </c>
      <c r="AC752" s="239" t="str">
        <f>IF('CCUS Projects Database'!$V752&lt;&gt;"",HYPERLINK('CCUS Projects Database'!$V752,"Link 5"),"")</f>
        <v/>
      </c>
      <c r="AD752" s="239" t="str">
        <f>IF('CCUS Projects Database'!$W752&lt;&gt;"",HYPERLINK('CCUS Projects Database'!$W752,"Link 6"),"")</f>
        <v/>
      </c>
      <c r="AE752" s="239" t="str">
        <f>IF('CCUS Projects Database'!$X752&lt;&gt;"",HYPERLINK('CCUS Projects Database'!$X752,"Link 7"),"")</f>
        <v/>
      </c>
    </row>
    <row r="753" ht="14.25" customHeight="1">
      <c r="A753" s="233" t="s">
        <v>21383</v>
      </c>
      <c r="B753" s="234">
        <v>1011.0</v>
      </c>
      <c r="C753" s="234" t="s">
        <v>18586</v>
      </c>
      <c r="D753" s="235" t="s">
        <v>21384</v>
      </c>
      <c r="E753" s="234" t="s">
        <v>18620</v>
      </c>
      <c r="F753" s="234">
        <v>2023.0</v>
      </c>
      <c r="G753" s="234" t="s">
        <v>18725</v>
      </c>
      <c r="H753" s="234" t="s">
        <v>18725</v>
      </c>
      <c r="I753" s="234" t="s">
        <v>18725</v>
      </c>
      <c r="J753" s="234" t="s">
        <v>18636</v>
      </c>
      <c r="K753" s="236" t="s">
        <v>18725</v>
      </c>
      <c r="L753" s="236">
        <v>2.0</v>
      </c>
      <c r="M753" s="236">
        <v>2.0</v>
      </c>
      <c r="N753" s="234" t="s">
        <v>18620</v>
      </c>
      <c r="O753" s="237" t="s">
        <v>18683</v>
      </c>
      <c r="P753" s="238" t="s">
        <v>21383</v>
      </c>
      <c r="Q753" s="234" t="s">
        <v>18732</v>
      </c>
      <c r="R753" s="238" t="s">
        <v>21377</v>
      </c>
      <c r="S753" s="238" t="s">
        <v>21378</v>
      </c>
      <c r="T753" s="238" t="s">
        <v>18725</v>
      </c>
      <c r="U753" s="238" t="s">
        <v>18725</v>
      </c>
      <c r="V753" s="238" t="s">
        <v>18725</v>
      </c>
      <c r="W753" s="238" t="s">
        <v>18725</v>
      </c>
      <c r="X753" s="238" t="s">
        <v>18725</v>
      </c>
      <c r="Y753" s="239" t="str">
        <f>IF('CCUS Projects Database'!$R753&lt;&gt;"",HYPERLINK('CCUS Projects Database'!$R753,"Link 1"),"")</f>
        <v>Link 1</v>
      </c>
      <c r="Z753" s="239" t="str">
        <f>IF('CCUS Projects Database'!$S753&lt;&gt;"",HYPERLINK('CCUS Projects Database'!$S753,"Link 2"),"")</f>
        <v>Link 2</v>
      </c>
      <c r="AA753" s="239" t="str">
        <f>IF('CCUS Projects Database'!$T753&lt;&gt;"",HYPERLINK('CCUS Projects Database'!$T753,"Link 3"),"")</f>
        <v/>
      </c>
      <c r="AB753" s="239" t="str">
        <f>IF('CCUS Projects Database'!$U753&lt;&gt;"",HYPERLINK('CCUS Projects Database'!$U753,"Link 4"),"")</f>
        <v/>
      </c>
      <c r="AC753" s="239" t="str">
        <f>IF('CCUS Projects Database'!$V753&lt;&gt;"",HYPERLINK('CCUS Projects Database'!$V753,"Link 5"),"")</f>
        <v/>
      </c>
      <c r="AD753" s="239" t="str">
        <f>IF('CCUS Projects Database'!$W753&lt;&gt;"",HYPERLINK('CCUS Projects Database'!$W753,"Link 6"),"")</f>
        <v/>
      </c>
      <c r="AE753" s="239" t="str">
        <f>IF('CCUS Projects Database'!$X753&lt;&gt;"",HYPERLINK('CCUS Projects Database'!$X753,"Link 7"),"")</f>
        <v/>
      </c>
    </row>
    <row r="754" ht="14.25" customHeight="1">
      <c r="A754" s="233" t="s">
        <v>21385</v>
      </c>
      <c r="B754" s="234">
        <v>1012.0</v>
      </c>
      <c r="C754" s="234" t="s">
        <v>57</v>
      </c>
      <c r="D754" s="235" t="s">
        <v>21386</v>
      </c>
      <c r="E754" s="234" t="s">
        <v>18618</v>
      </c>
      <c r="F754" s="234">
        <v>2023.0</v>
      </c>
      <c r="G754" s="234">
        <v>2026.0</v>
      </c>
      <c r="H754" s="234">
        <v>2029.0</v>
      </c>
      <c r="I754" s="234" t="s">
        <v>18725</v>
      </c>
      <c r="J754" s="234" t="s">
        <v>18636</v>
      </c>
      <c r="K754" s="236" t="s">
        <v>18725</v>
      </c>
      <c r="L754" s="236">
        <v>0.76</v>
      </c>
      <c r="M754" s="236">
        <v>0.76</v>
      </c>
      <c r="N754" s="234" t="s">
        <v>18663</v>
      </c>
      <c r="O754" s="237" t="s">
        <v>18675</v>
      </c>
      <c r="P754" s="238" t="s">
        <v>20388</v>
      </c>
      <c r="Q754" s="234" t="s">
        <v>18726</v>
      </c>
      <c r="R754" s="238" t="s">
        <v>21387</v>
      </c>
      <c r="S754" s="238" t="s">
        <v>18725</v>
      </c>
      <c r="T754" s="238" t="s">
        <v>18725</v>
      </c>
      <c r="U754" s="238" t="s">
        <v>18725</v>
      </c>
      <c r="V754" s="238" t="s">
        <v>18725</v>
      </c>
      <c r="W754" s="238" t="s">
        <v>18725</v>
      </c>
      <c r="X754" s="238" t="s">
        <v>18725</v>
      </c>
      <c r="Y754" s="239" t="str">
        <f>IF('CCUS Projects Database'!$R754&lt;&gt;"",HYPERLINK('CCUS Projects Database'!$R754,"Link 1"),"")</f>
        <v>Link 1</v>
      </c>
      <c r="Z754" s="239" t="str">
        <f>IF('CCUS Projects Database'!$S754&lt;&gt;"",HYPERLINK('CCUS Projects Database'!$S754,"Link 2"),"")</f>
        <v/>
      </c>
      <c r="AA754" s="239" t="str">
        <f>IF('CCUS Projects Database'!$T754&lt;&gt;"",HYPERLINK('CCUS Projects Database'!$T754,"Link 3"),"")</f>
        <v/>
      </c>
      <c r="AB754" s="239" t="str">
        <f>IF('CCUS Projects Database'!$U754&lt;&gt;"",HYPERLINK('CCUS Projects Database'!$U754,"Link 4"),"")</f>
        <v/>
      </c>
      <c r="AC754" s="239" t="str">
        <f>IF('CCUS Projects Database'!$V754&lt;&gt;"",HYPERLINK('CCUS Projects Database'!$V754,"Link 5"),"")</f>
        <v/>
      </c>
      <c r="AD754" s="239" t="str">
        <f>IF('CCUS Projects Database'!$W754&lt;&gt;"",HYPERLINK('CCUS Projects Database'!$W754,"Link 6"),"")</f>
        <v/>
      </c>
      <c r="AE754" s="239" t="str">
        <f>IF('CCUS Projects Database'!$X754&lt;&gt;"",HYPERLINK('CCUS Projects Database'!$X754,"Link 7"),"")</f>
        <v/>
      </c>
    </row>
    <row r="755" ht="14.25" customHeight="1">
      <c r="A755" s="233" t="s">
        <v>21388</v>
      </c>
      <c r="B755" s="234">
        <v>1014.0</v>
      </c>
      <c r="C755" s="234" t="s">
        <v>19968</v>
      </c>
      <c r="D755" s="235" t="s">
        <v>21389</v>
      </c>
      <c r="E755" s="234" t="s">
        <v>18620</v>
      </c>
      <c r="F755" s="234">
        <v>2023.0</v>
      </c>
      <c r="G755" s="234" t="s">
        <v>18725</v>
      </c>
      <c r="H755" s="234" t="s">
        <v>18725</v>
      </c>
      <c r="I755" s="234" t="s">
        <v>18725</v>
      </c>
      <c r="J755" s="234" t="s">
        <v>18636</v>
      </c>
      <c r="K755" s="236" t="s">
        <v>18725</v>
      </c>
      <c r="L755" s="236" t="s">
        <v>18725</v>
      </c>
      <c r="M755" s="236" t="s">
        <v>18725</v>
      </c>
      <c r="N755" s="234" t="s">
        <v>18620</v>
      </c>
      <c r="O755" s="237" t="s">
        <v>18675</v>
      </c>
      <c r="P755" s="238" t="s">
        <v>18725</v>
      </c>
      <c r="Q755" s="234" t="s">
        <v>18762</v>
      </c>
      <c r="R755" s="238" t="s">
        <v>21390</v>
      </c>
      <c r="S755" s="238" t="s">
        <v>18725</v>
      </c>
      <c r="T755" s="238" t="s">
        <v>18725</v>
      </c>
      <c r="U755" s="238" t="s">
        <v>18725</v>
      </c>
      <c r="V755" s="238" t="s">
        <v>18725</v>
      </c>
      <c r="W755" s="238" t="s">
        <v>18725</v>
      </c>
      <c r="X755" s="238" t="s">
        <v>18725</v>
      </c>
      <c r="Y755" s="239" t="str">
        <f>IF('CCUS Projects Database'!$R755&lt;&gt;"",HYPERLINK('CCUS Projects Database'!$R755,"Link 1"),"")</f>
        <v>Link 1</v>
      </c>
      <c r="Z755" s="239" t="str">
        <f>IF('CCUS Projects Database'!$S755&lt;&gt;"",HYPERLINK('CCUS Projects Database'!$S755,"Link 2"),"")</f>
        <v/>
      </c>
      <c r="AA755" s="239" t="str">
        <f>IF('CCUS Projects Database'!$T755&lt;&gt;"",HYPERLINK('CCUS Projects Database'!$T755,"Link 3"),"")</f>
        <v/>
      </c>
      <c r="AB755" s="239" t="str">
        <f>IF('CCUS Projects Database'!$U755&lt;&gt;"",HYPERLINK('CCUS Projects Database'!$U755,"Link 4"),"")</f>
        <v/>
      </c>
      <c r="AC755" s="239" t="str">
        <f>IF('CCUS Projects Database'!$V755&lt;&gt;"",HYPERLINK('CCUS Projects Database'!$V755,"Link 5"),"")</f>
        <v/>
      </c>
      <c r="AD755" s="239" t="str">
        <f>IF('CCUS Projects Database'!$W755&lt;&gt;"",HYPERLINK('CCUS Projects Database'!$W755,"Link 6"),"")</f>
        <v/>
      </c>
      <c r="AE755" s="239" t="str">
        <f>IF('CCUS Projects Database'!$X755&lt;&gt;"",HYPERLINK('CCUS Projects Database'!$X755,"Link 7"),"")</f>
        <v/>
      </c>
    </row>
    <row r="756" ht="14.25" customHeight="1">
      <c r="A756" s="233" t="s">
        <v>21391</v>
      </c>
      <c r="B756" s="234">
        <v>1015.0</v>
      </c>
      <c r="C756" s="234" t="s">
        <v>18530</v>
      </c>
      <c r="D756" s="235" t="s">
        <v>21392</v>
      </c>
      <c r="E756" s="234" t="s">
        <v>18618</v>
      </c>
      <c r="F756" s="234">
        <v>2024.0</v>
      </c>
      <c r="G756" s="234" t="s">
        <v>18725</v>
      </c>
      <c r="H756" s="234" t="s">
        <v>18725</v>
      </c>
      <c r="I756" s="234" t="s">
        <v>18725</v>
      </c>
      <c r="J756" s="234" t="s">
        <v>18636</v>
      </c>
      <c r="K756" s="236" t="s">
        <v>18725</v>
      </c>
      <c r="L756" s="236" t="s">
        <v>18725</v>
      </c>
      <c r="M756" s="236">
        <v>2.718</v>
      </c>
      <c r="N756" s="234" t="s">
        <v>18654</v>
      </c>
      <c r="O756" s="237" t="s">
        <v>18683</v>
      </c>
      <c r="P756" s="238" t="s">
        <v>18725</v>
      </c>
      <c r="Q756" s="234" t="s">
        <v>18293</v>
      </c>
      <c r="R756" s="238" t="s">
        <v>21393</v>
      </c>
      <c r="S756" s="238" t="s">
        <v>18725</v>
      </c>
      <c r="T756" s="238" t="s">
        <v>18725</v>
      </c>
      <c r="U756" s="238" t="s">
        <v>18725</v>
      </c>
      <c r="V756" s="238" t="s">
        <v>18725</v>
      </c>
      <c r="W756" s="238" t="s">
        <v>18725</v>
      </c>
      <c r="X756" s="238" t="s">
        <v>18725</v>
      </c>
      <c r="Y756" s="239" t="str">
        <f>IF('CCUS Projects Database'!$R756&lt;&gt;"",HYPERLINK('CCUS Projects Database'!$R756,"Link 1"),"")</f>
        <v>Link 1</v>
      </c>
      <c r="Z756" s="239" t="str">
        <f>IF('CCUS Projects Database'!$S756&lt;&gt;"",HYPERLINK('CCUS Projects Database'!$S756,"Link 2"),"")</f>
        <v/>
      </c>
      <c r="AA756" s="239" t="str">
        <f>IF('CCUS Projects Database'!$T756&lt;&gt;"",HYPERLINK('CCUS Projects Database'!$T756,"Link 3"),"")</f>
        <v/>
      </c>
      <c r="AB756" s="239" t="str">
        <f>IF('CCUS Projects Database'!$U756&lt;&gt;"",HYPERLINK('CCUS Projects Database'!$U756,"Link 4"),"")</f>
        <v/>
      </c>
      <c r="AC756" s="239" t="str">
        <f>IF('CCUS Projects Database'!$V756&lt;&gt;"",HYPERLINK('CCUS Projects Database'!$V756,"Link 5"),"")</f>
        <v/>
      </c>
      <c r="AD756" s="239" t="str">
        <f>IF('CCUS Projects Database'!$W756&lt;&gt;"",HYPERLINK('CCUS Projects Database'!$W756,"Link 6"),"")</f>
        <v/>
      </c>
      <c r="AE756" s="239" t="str">
        <f>IF('CCUS Projects Database'!$X756&lt;&gt;"",HYPERLINK('CCUS Projects Database'!$X756,"Link 7"),"")</f>
        <v/>
      </c>
    </row>
    <row r="757" ht="14.25" customHeight="1">
      <c r="A757" s="233" t="s">
        <v>21394</v>
      </c>
      <c r="B757" s="234">
        <v>1016.0</v>
      </c>
      <c r="C757" s="234" t="s">
        <v>18530</v>
      </c>
      <c r="D757" s="235" t="s">
        <v>21392</v>
      </c>
      <c r="E757" s="234" t="s">
        <v>18618</v>
      </c>
      <c r="F757" s="234">
        <v>2024.0</v>
      </c>
      <c r="G757" s="234" t="s">
        <v>18725</v>
      </c>
      <c r="H757" s="234" t="s">
        <v>18725</v>
      </c>
      <c r="I757" s="234" t="s">
        <v>18725</v>
      </c>
      <c r="J757" s="234" t="s">
        <v>18636</v>
      </c>
      <c r="K757" s="236" t="s">
        <v>18725</v>
      </c>
      <c r="L757" s="236" t="s">
        <v>18725</v>
      </c>
      <c r="M757" s="236">
        <v>2.718</v>
      </c>
      <c r="N757" s="234" t="s">
        <v>18654</v>
      </c>
      <c r="O757" s="237" t="s">
        <v>18683</v>
      </c>
      <c r="P757" s="238" t="s">
        <v>18725</v>
      </c>
      <c r="Q757" s="234" t="s">
        <v>18293</v>
      </c>
      <c r="R757" s="238" t="s">
        <v>21393</v>
      </c>
      <c r="S757" s="238" t="s">
        <v>18725</v>
      </c>
      <c r="T757" s="238" t="s">
        <v>18725</v>
      </c>
      <c r="U757" s="238" t="s">
        <v>18725</v>
      </c>
      <c r="V757" s="238" t="s">
        <v>18725</v>
      </c>
      <c r="W757" s="238" t="s">
        <v>18725</v>
      </c>
      <c r="X757" s="238" t="s">
        <v>18725</v>
      </c>
      <c r="Y757" s="239" t="str">
        <f>IF('CCUS Projects Database'!$R757&lt;&gt;"",HYPERLINK('CCUS Projects Database'!$R757,"Link 1"),"")</f>
        <v>Link 1</v>
      </c>
      <c r="Z757" s="239" t="str">
        <f>IF('CCUS Projects Database'!$S757&lt;&gt;"",HYPERLINK('CCUS Projects Database'!$S757,"Link 2"),"")</f>
        <v/>
      </c>
      <c r="AA757" s="239" t="str">
        <f>IF('CCUS Projects Database'!$T757&lt;&gt;"",HYPERLINK('CCUS Projects Database'!$T757,"Link 3"),"")</f>
        <v/>
      </c>
      <c r="AB757" s="239" t="str">
        <f>IF('CCUS Projects Database'!$U757&lt;&gt;"",HYPERLINK('CCUS Projects Database'!$U757,"Link 4"),"")</f>
        <v/>
      </c>
      <c r="AC757" s="239" t="str">
        <f>IF('CCUS Projects Database'!$V757&lt;&gt;"",HYPERLINK('CCUS Projects Database'!$V757,"Link 5"),"")</f>
        <v/>
      </c>
      <c r="AD757" s="239" t="str">
        <f>IF('CCUS Projects Database'!$W757&lt;&gt;"",HYPERLINK('CCUS Projects Database'!$W757,"Link 6"),"")</f>
        <v/>
      </c>
      <c r="AE757" s="239" t="str">
        <f>IF('CCUS Projects Database'!$X757&lt;&gt;"",HYPERLINK('CCUS Projects Database'!$X757,"Link 7"),"")</f>
        <v/>
      </c>
    </row>
    <row r="758" ht="14.25" customHeight="1">
      <c r="A758" s="233" t="s">
        <v>21395</v>
      </c>
      <c r="B758" s="234">
        <v>1017.0</v>
      </c>
      <c r="C758" s="234" t="s">
        <v>83</v>
      </c>
      <c r="D758" s="235" t="s">
        <v>21396</v>
      </c>
      <c r="E758" s="234" t="s">
        <v>18618</v>
      </c>
      <c r="F758" s="234">
        <v>2021.0</v>
      </c>
      <c r="G758" s="234" t="s">
        <v>18725</v>
      </c>
      <c r="H758" s="234" t="s">
        <v>18725</v>
      </c>
      <c r="I758" s="234" t="s">
        <v>18725</v>
      </c>
      <c r="J758" s="234" t="s">
        <v>18636</v>
      </c>
      <c r="K758" s="236" t="s">
        <v>18725</v>
      </c>
      <c r="L758" s="236" t="s">
        <v>18725</v>
      </c>
      <c r="M758" s="236" t="s">
        <v>18725</v>
      </c>
      <c r="N758" s="234" t="s">
        <v>677</v>
      </c>
      <c r="O758" s="237" t="s">
        <v>18675</v>
      </c>
      <c r="P758" s="238" t="s">
        <v>18746</v>
      </c>
      <c r="Q758" s="234" t="s">
        <v>18726</v>
      </c>
      <c r="R758" s="238" t="s">
        <v>21397</v>
      </c>
      <c r="S758" s="238" t="s">
        <v>18725</v>
      </c>
      <c r="T758" s="238" t="s">
        <v>18725</v>
      </c>
      <c r="U758" s="238" t="s">
        <v>18725</v>
      </c>
      <c r="V758" s="238" t="s">
        <v>18725</v>
      </c>
      <c r="W758" s="238" t="s">
        <v>18725</v>
      </c>
      <c r="X758" s="238" t="s">
        <v>18725</v>
      </c>
      <c r="Y758" s="239" t="str">
        <f>IF('CCUS Projects Database'!$R758&lt;&gt;"",HYPERLINK('CCUS Projects Database'!$R758,"Link 1"),"")</f>
        <v>Link 1</v>
      </c>
      <c r="Z758" s="239" t="str">
        <f>IF('CCUS Projects Database'!$S758&lt;&gt;"",HYPERLINK('CCUS Projects Database'!$S758,"Link 2"),"")</f>
        <v/>
      </c>
      <c r="AA758" s="239" t="str">
        <f>IF('CCUS Projects Database'!$T758&lt;&gt;"",HYPERLINK('CCUS Projects Database'!$T758,"Link 3"),"")</f>
        <v/>
      </c>
      <c r="AB758" s="239" t="str">
        <f>IF('CCUS Projects Database'!$U758&lt;&gt;"",HYPERLINK('CCUS Projects Database'!$U758,"Link 4"),"")</f>
        <v/>
      </c>
      <c r="AC758" s="239" t="str">
        <f>IF('CCUS Projects Database'!$V758&lt;&gt;"",HYPERLINK('CCUS Projects Database'!$V758,"Link 5"),"")</f>
        <v/>
      </c>
      <c r="AD758" s="239" t="str">
        <f>IF('CCUS Projects Database'!$W758&lt;&gt;"",HYPERLINK('CCUS Projects Database'!$W758,"Link 6"),"")</f>
        <v/>
      </c>
      <c r="AE758" s="239" t="str">
        <f>IF('CCUS Projects Database'!$X758&lt;&gt;"",HYPERLINK('CCUS Projects Database'!$X758,"Link 7"),"")</f>
        <v/>
      </c>
    </row>
    <row r="759" ht="14.25" customHeight="1">
      <c r="A759" s="233" t="s">
        <v>21398</v>
      </c>
      <c r="B759" s="234">
        <v>1018.0</v>
      </c>
      <c r="C759" s="234" t="s">
        <v>83</v>
      </c>
      <c r="D759" s="235" t="s">
        <v>21399</v>
      </c>
      <c r="E759" s="234" t="s">
        <v>18620</v>
      </c>
      <c r="F759" s="234">
        <v>2023.0</v>
      </c>
      <c r="G759" s="234" t="s">
        <v>18725</v>
      </c>
      <c r="H759" s="234" t="s">
        <v>18725</v>
      </c>
      <c r="I759" s="234" t="s">
        <v>18725</v>
      </c>
      <c r="J759" s="234" t="s">
        <v>18636</v>
      </c>
      <c r="K759" s="236" t="s">
        <v>18725</v>
      </c>
      <c r="L759" s="236">
        <v>2.0</v>
      </c>
      <c r="M759" s="236">
        <v>2.0</v>
      </c>
      <c r="N759" s="234" t="s">
        <v>18620</v>
      </c>
      <c r="O759" s="237" t="s">
        <v>18675</v>
      </c>
      <c r="P759" s="238" t="s">
        <v>18746</v>
      </c>
      <c r="Q759" s="234" t="s">
        <v>18726</v>
      </c>
      <c r="R759" s="238" t="s">
        <v>21400</v>
      </c>
      <c r="S759" s="238" t="s">
        <v>18725</v>
      </c>
      <c r="T759" s="238" t="s">
        <v>18725</v>
      </c>
      <c r="U759" s="238" t="s">
        <v>18725</v>
      </c>
      <c r="V759" s="238" t="s">
        <v>18725</v>
      </c>
      <c r="W759" s="238" t="s">
        <v>18725</v>
      </c>
      <c r="X759" s="238" t="s">
        <v>18725</v>
      </c>
      <c r="Y759" s="239" t="str">
        <f>IF('CCUS Projects Database'!$R759&lt;&gt;"",HYPERLINK('CCUS Projects Database'!$R759,"Link 1"),"")</f>
        <v>Link 1</v>
      </c>
      <c r="Z759" s="239" t="str">
        <f>IF('CCUS Projects Database'!$S759&lt;&gt;"",HYPERLINK('CCUS Projects Database'!$S759,"Link 2"),"")</f>
        <v/>
      </c>
      <c r="AA759" s="239" t="str">
        <f>IF('CCUS Projects Database'!$T759&lt;&gt;"",HYPERLINK('CCUS Projects Database'!$T759,"Link 3"),"")</f>
        <v/>
      </c>
      <c r="AB759" s="239" t="str">
        <f>IF('CCUS Projects Database'!$U759&lt;&gt;"",HYPERLINK('CCUS Projects Database'!$U759,"Link 4"),"")</f>
        <v/>
      </c>
      <c r="AC759" s="239" t="str">
        <f>IF('CCUS Projects Database'!$V759&lt;&gt;"",HYPERLINK('CCUS Projects Database'!$V759,"Link 5"),"")</f>
        <v/>
      </c>
      <c r="AD759" s="239" t="str">
        <f>IF('CCUS Projects Database'!$W759&lt;&gt;"",HYPERLINK('CCUS Projects Database'!$W759,"Link 6"),"")</f>
        <v/>
      </c>
      <c r="AE759" s="239" t="str">
        <f>IF('CCUS Projects Database'!$X759&lt;&gt;"",HYPERLINK('CCUS Projects Database'!$X759,"Link 7"),"")</f>
        <v/>
      </c>
    </row>
    <row r="760" ht="14.25" customHeight="1">
      <c r="A760" s="233" t="s">
        <v>21401</v>
      </c>
      <c r="B760" s="234">
        <v>1020.0</v>
      </c>
      <c r="C760" s="234" t="s">
        <v>18586</v>
      </c>
      <c r="D760" s="235" t="s">
        <v>21402</v>
      </c>
      <c r="E760" s="234" t="s">
        <v>18618</v>
      </c>
      <c r="F760" s="234">
        <v>2024.0</v>
      </c>
      <c r="G760" s="234">
        <v>2025.0</v>
      </c>
      <c r="H760" s="234">
        <v>2027.0</v>
      </c>
      <c r="I760" s="234" t="s">
        <v>18725</v>
      </c>
      <c r="J760" s="234" t="s">
        <v>18636</v>
      </c>
      <c r="K760" s="236" t="s">
        <v>18725</v>
      </c>
      <c r="L760" s="236">
        <v>1.4</v>
      </c>
      <c r="M760" s="236">
        <v>1.4</v>
      </c>
      <c r="N760" s="234" t="s">
        <v>18731</v>
      </c>
      <c r="O760" s="237" t="s">
        <v>18675</v>
      </c>
      <c r="P760" s="238" t="s">
        <v>18725</v>
      </c>
      <c r="Q760" s="234" t="s">
        <v>18732</v>
      </c>
      <c r="R760" s="238" t="s">
        <v>17695</v>
      </c>
      <c r="S760" s="238" t="s">
        <v>21403</v>
      </c>
      <c r="T760" s="238" t="s">
        <v>18725</v>
      </c>
      <c r="U760" s="238" t="s">
        <v>18725</v>
      </c>
      <c r="V760" s="238" t="s">
        <v>18725</v>
      </c>
      <c r="W760" s="238" t="s">
        <v>18725</v>
      </c>
      <c r="X760" s="238" t="s">
        <v>18725</v>
      </c>
      <c r="Y760" s="239" t="str">
        <f>IF('CCUS Projects Database'!$R760&lt;&gt;"",HYPERLINK('CCUS Projects Database'!$R760,"Link 1"),"")</f>
        <v>Link 1</v>
      </c>
      <c r="Z760" s="239" t="str">
        <f>IF('CCUS Projects Database'!$S760&lt;&gt;"",HYPERLINK('CCUS Projects Database'!$S760,"Link 2"),"")</f>
        <v>Link 2</v>
      </c>
      <c r="AA760" s="239" t="str">
        <f>IF('CCUS Projects Database'!$T760&lt;&gt;"",HYPERLINK('CCUS Projects Database'!$T760,"Link 3"),"")</f>
        <v/>
      </c>
      <c r="AB760" s="239" t="str">
        <f>IF('CCUS Projects Database'!$U760&lt;&gt;"",HYPERLINK('CCUS Projects Database'!$U760,"Link 4"),"")</f>
        <v/>
      </c>
      <c r="AC760" s="239" t="str">
        <f>IF('CCUS Projects Database'!$V760&lt;&gt;"",HYPERLINK('CCUS Projects Database'!$V760,"Link 5"),"")</f>
        <v/>
      </c>
      <c r="AD760" s="239" t="str">
        <f>IF('CCUS Projects Database'!$W760&lt;&gt;"",HYPERLINK('CCUS Projects Database'!$W760,"Link 6"),"")</f>
        <v/>
      </c>
      <c r="AE760" s="239" t="str">
        <f>IF('CCUS Projects Database'!$X760&lt;&gt;"",HYPERLINK('CCUS Projects Database'!$X760,"Link 7"),"")</f>
        <v/>
      </c>
    </row>
    <row r="761" ht="14.25" customHeight="1">
      <c r="A761" s="233" t="s">
        <v>21404</v>
      </c>
      <c r="B761" s="234">
        <v>1021.0</v>
      </c>
      <c r="C761" s="234" t="s">
        <v>18586</v>
      </c>
      <c r="D761" s="235" t="s">
        <v>21405</v>
      </c>
      <c r="E761" s="234" t="s">
        <v>3</v>
      </c>
      <c r="F761" s="234">
        <v>2022.0</v>
      </c>
      <c r="G761" s="234" t="s">
        <v>18725</v>
      </c>
      <c r="H761" s="234" t="s">
        <v>18725</v>
      </c>
      <c r="I761" s="234" t="s">
        <v>18725</v>
      </c>
      <c r="J761" s="234" t="s">
        <v>18636</v>
      </c>
      <c r="K761" s="236" t="s">
        <v>18725</v>
      </c>
      <c r="L761" s="236" t="s">
        <v>18725</v>
      </c>
      <c r="M761" s="236" t="s">
        <v>18725</v>
      </c>
      <c r="N761" s="234" t="s">
        <v>3</v>
      </c>
      <c r="O761" s="237" t="s">
        <v>18675</v>
      </c>
      <c r="P761" s="238" t="s">
        <v>21404</v>
      </c>
      <c r="Q761" s="234" t="s">
        <v>18732</v>
      </c>
      <c r="R761" s="238" t="s">
        <v>20273</v>
      </c>
      <c r="S761" s="238" t="s">
        <v>21406</v>
      </c>
      <c r="T761" s="238" t="s">
        <v>18725</v>
      </c>
      <c r="U761" s="238" t="s">
        <v>18725</v>
      </c>
      <c r="V761" s="238" t="s">
        <v>18725</v>
      </c>
      <c r="W761" s="238" t="s">
        <v>18725</v>
      </c>
      <c r="X761" s="238" t="s">
        <v>18725</v>
      </c>
      <c r="Y761" s="239" t="str">
        <f>IF('CCUS Projects Database'!$R761&lt;&gt;"",HYPERLINK('CCUS Projects Database'!$R761,"Link 1"),"")</f>
        <v>Link 1</v>
      </c>
      <c r="Z761" s="239" t="str">
        <f>IF('CCUS Projects Database'!$S761&lt;&gt;"",HYPERLINK('CCUS Projects Database'!$S761,"Link 2"),"")</f>
        <v>Link 2</v>
      </c>
      <c r="AA761" s="239" t="str">
        <f>IF('CCUS Projects Database'!$T761&lt;&gt;"",HYPERLINK('CCUS Projects Database'!$T761,"Link 3"),"")</f>
        <v/>
      </c>
      <c r="AB761" s="239" t="str">
        <f>IF('CCUS Projects Database'!$U761&lt;&gt;"",HYPERLINK('CCUS Projects Database'!$U761,"Link 4"),"")</f>
        <v/>
      </c>
      <c r="AC761" s="239" t="str">
        <f>IF('CCUS Projects Database'!$V761&lt;&gt;"",HYPERLINK('CCUS Projects Database'!$V761,"Link 5"),"")</f>
        <v/>
      </c>
      <c r="AD761" s="239" t="str">
        <f>IF('CCUS Projects Database'!$W761&lt;&gt;"",HYPERLINK('CCUS Projects Database'!$W761,"Link 6"),"")</f>
        <v/>
      </c>
      <c r="AE761" s="239" t="str">
        <f>IF('CCUS Projects Database'!$X761&lt;&gt;"",HYPERLINK('CCUS Projects Database'!$X761,"Link 7"),"")</f>
        <v/>
      </c>
    </row>
    <row r="762" ht="14.25" customHeight="1">
      <c r="A762" s="233" t="s">
        <v>21407</v>
      </c>
      <c r="B762" s="234">
        <v>1022.0</v>
      </c>
      <c r="C762" s="234" t="s">
        <v>18287</v>
      </c>
      <c r="D762" s="235" t="s">
        <v>21408</v>
      </c>
      <c r="E762" s="234" t="s">
        <v>3</v>
      </c>
      <c r="F762" s="234">
        <v>2024.0</v>
      </c>
      <c r="G762" s="234" t="s">
        <v>18725</v>
      </c>
      <c r="H762" s="234" t="s">
        <v>18725</v>
      </c>
      <c r="I762" s="234" t="s">
        <v>18725</v>
      </c>
      <c r="J762" s="234" t="s">
        <v>18636</v>
      </c>
      <c r="K762" s="236" t="s">
        <v>18725</v>
      </c>
      <c r="L762" s="236" t="s">
        <v>18725</v>
      </c>
      <c r="M762" s="236" t="s">
        <v>18725</v>
      </c>
      <c r="N762" s="234" t="s">
        <v>3</v>
      </c>
      <c r="O762" s="237" t="s">
        <v>18675</v>
      </c>
      <c r="P762" s="238" t="s">
        <v>18725</v>
      </c>
      <c r="Q762" s="234" t="s">
        <v>18856</v>
      </c>
      <c r="R762" s="238" t="s">
        <v>21409</v>
      </c>
      <c r="S762" s="238" t="s">
        <v>18725</v>
      </c>
      <c r="T762" s="238" t="s">
        <v>18725</v>
      </c>
      <c r="U762" s="238" t="s">
        <v>18725</v>
      </c>
      <c r="V762" s="238" t="s">
        <v>18725</v>
      </c>
      <c r="W762" s="238" t="s">
        <v>18725</v>
      </c>
      <c r="X762" s="238" t="s">
        <v>18725</v>
      </c>
      <c r="Y762" s="239" t="str">
        <f>IF('CCUS Projects Database'!$R762&lt;&gt;"",HYPERLINK('CCUS Projects Database'!$R762,"Link 1"),"")</f>
        <v>Link 1</v>
      </c>
      <c r="Z762" s="239" t="str">
        <f>IF('CCUS Projects Database'!$S762&lt;&gt;"",HYPERLINK('CCUS Projects Database'!$S762,"Link 2"),"")</f>
        <v/>
      </c>
      <c r="AA762" s="239" t="str">
        <f>IF('CCUS Projects Database'!$T762&lt;&gt;"",HYPERLINK('CCUS Projects Database'!$T762,"Link 3"),"")</f>
        <v/>
      </c>
      <c r="AB762" s="239" t="str">
        <f>IF('CCUS Projects Database'!$U762&lt;&gt;"",HYPERLINK('CCUS Projects Database'!$U762,"Link 4"),"")</f>
        <v/>
      </c>
      <c r="AC762" s="239" t="str">
        <f>IF('CCUS Projects Database'!$V762&lt;&gt;"",HYPERLINK('CCUS Projects Database'!$V762,"Link 5"),"")</f>
        <v/>
      </c>
      <c r="AD762" s="239" t="str">
        <f>IF('CCUS Projects Database'!$W762&lt;&gt;"",HYPERLINK('CCUS Projects Database'!$W762,"Link 6"),"")</f>
        <v/>
      </c>
      <c r="AE762" s="239" t="str">
        <f>IF('CCUS Projects Database'!$X762&lt;&gt;"",HYPERLINK('CCUS Projects Database'!$X762,"Link 7"),"")</f>
        <v/>
      </c>
    </row>
    <row r="763" ht="14.25" customHeight="1">
      <c r="A763" s="233" t="s">
        <v>9957</v>
      </c>
      <c r="B763" s="234">
        <v>1028.0</v>
      </c>
      <c r="C763" s="234" t="s">
        <v>75</v>
      </c>
      <c r="D763" s="235" t="s">
        <v>21410</v>
      </c>
      <c r="E763" s="234" t="s">
        <v>18625</v>
      </c>
      <c r="F763" s="234">
        <v>2021.0</v>
      </c>
      <c r="G763" s="234">
        <v>2025.0</v>
      </c>
      <c r="H763" s="234">
        <v>2026.0</v>
      </c>
      <c r="I763" s="234" t="s">
        <v>18725</v>
      </c>
      <c r="J763" s="234" t="s">
        <v>18636</v>
      </c>
      <c r="K763" s="236" t="s">
        <v>18725</v>
      </c>
      <c r="L763" s="236">
        <v>0.11</v>
      </c>
      <c r="M763" s="236">
        <v>0.11</v>
      </c>
      <c r="N763" s="234" t="s">
        <v>18654</v>
      </c>
      <c r="O763" s="237" t="s">
        <v>18679</v>
      </c>
      <c r="P763" s="238" t="s">
        <v>18725</v>
      </c>
      <c r="Q763" s="234" t="s">
        <v>18726</v>
      </c>
      <c r="R763" s="238" t="s">
        <v>17705</v>
      </c>
      <c r="S763" s="238" t="s">
        <v>18725</v>
      </c>
      <c r="T763" s="238" t="s">
        <v>18725</v>
      </c>
      <c r="U763" s="238" t="s">
        <v>18725</v>
      </c>
      <c r="V763" s="238" t="s">
        <v>18725</v>
      </c>
      <c r="W763" s="238" t="s">
        <v>18725</v>
      </c>
      <c r="X763" s="238" t="s">
        <v>18725</v>
      </c>
      <c r="Y763" s="239" t="str">
        <f>IF('CCUS Projects Database'!$R763&lt;&gt;"",HYPERLINK('CCUS Projects Database'!$R763,"Link 1"),"")</f>
        <v>Link 1</v>
      </c>
      <c r="Z763" s="239" t="str">
        <f>IF('CCUS Projects Database'!$S763&lt;&gt;"",HYPERLINK('CCUS Projects Database'!$S763,"Link 2"),"")</f>
        <v/>
      </c>
      <c r="AA763" s="239" t="str">
        <f>IF('CCUS Projects Database'!$T763&lt;&gt;"",HYPERLINK('CCUS Projects Database'!$T763,"Link 3"),"")</f>
        <v/>
      </c>
      <c r="AB763" s="239" t="str">
        <f>IF('CCUS Projects Database'!$U763&lt;&gt;"",HYPERLINK('CCUS Projects Database'!$U763,"Link 4"),"")</f>
        <v/>
      </c>
      <c r="AC763" s="239" t="str">
        <f>IF('CCUS Projects Database'!$V763&lt;&gt;"",HYPERLINK('CCUS Projects Database'!$V763,"Link 5"),"")</f>
        <v/>
      </c>
      <c r="AD763" s="239" t="str">
        <f>IF('CCUS Projects Database'!$W763&lt;&gt;"",HYPERLINK('CCUS Projects Database'!$W763,"Link 6"),"")</f>
        <v/>
      </c>
      <c r="AE763" s="239" t="str">
        <f>IF('CCUS Projects Database'!$X763&lt;&gt;"",HYPERLINK('CCUS Projects Database'!$X763,"Link 7"),"")</f>
        <v/>
      </c>
    </row>
    <row r="764" ht="14.25" customHeight="1">
      <c r="A764" s="233" t="s">
        <v>9958</v>
      </c>
      <c r="B764" s="234">
        <v>1029.0</v>
      </c>
      <c r="C764" s="234" t="s">
        <v>75</v>
      </c>
      <c r="D764" s="235" t="s">
        <v>21411</v>
      </c>
      <c r="E764" s="234" t="s">
        <v>18625</v>
      </c>
      <c r="F764" s="234">
        <v>2021.0</v>
      </c>
      <c r="G764" s="234">
        <v>2025.0</v>
      </c>
      <c r="H764" s="234">
        <v>2026.0</v>
      </c>
      <c r="I764" s="234" t="s">
        <v>18725</v>
      </c>
      <c r="J764" s="234" t="s">
        <v>18636</v>
      </c>
      <c r="K764" s="236" t="s">
        <v>18725</v>
      </c>
      <c r="L764" s="236">
        <v>0.11</v>
      </c>
      <c r="M764" s="236">
        <v>0.11</v>
      </c>
      <c r="N764" s="234" t="s">
        <v>18654</v>
      </c>
      <c r="O764" s="237" t="s">
        <v>18679</v>
      </c>
      <c r="P764" s="238" t="s">
        <v>18725</v>
      </c>
      <c r="Q764" s="234" t="s">
        <v>18726</v>
      </c>
      <c r="R764" s="238" t="s">
        <v>17706</v>
      </c>
      <c r="S764" s="238" t="s">
        <v>18725</v>
      </c>
      <c r="T764" s="238" t="s">
        <v>18725</v>
      </c>
      <c r="U764" s="238" t="s">
        <v>18725</v>
      </c>
      <c r="V764" s="238" t="s">
        <v>18725</v>
      </c>
      <c r="W764" s="238" t="s">
        <v>18725</v>
      </c>
      <c r="X764" s="238" t="s">
        <v>18725</v>
      </c>
      <c r="Y764" s="239" t="str">
        <f>IF('CCUS Projects Database'!$R764&lt;&gt;"",HYPERLINK('CCUS Projects Database'!$R764,"Link 1"),"")</f>
        <v>Link 1</v>
      </c>
      <c r="Z764" s="239" t="str">
        <f>IF('CCUS Projects Database'!$S764&lt;&gt;"",HYPERLINK('CCUS Projects Database'!$S764,"Link 2"),"")</f>
        <v/>
      </c>
      <c r="AA764" s="239" t="str">
        <f>IF('CCUS Projects Database'!$T764&lt;&gt;"",HYPERLINK('CCUS Projects Database'!$T764,"Link 3"),"")</f>
        <v/>
      </c>
      <c r="AB764" s="239" t="str">
        <f>IF('CCUS Projects Database'!$U764&lt;&gt;"",HYPERLINK('CCUS Projects Database'!$U764,"Link 4"),"")</f>
        <v/>
      </c>
      <c r="AC764" s="239" t="str">
        <f>IF('CCUS Projects Database'!$V764&lt;&gt;"",HYPERLINK('CCUS Projects Database'!$V764,"Link 5"),"")</f>
        <v/>
      </c>
      <c r="AD764" s="239" t="str">
        <f>IF('CCUS Projects Database'!$W764&lt;&gt;"",HYPERLINK('CCUS Projects Database'!$W764,"Link 6"),"")</f>
        <v/>
      </c>
      <c r="AE764" s="239" t="str">
        <f>IF('CCUS Projects Database'!$X764&lt;&gt;"",HYPERLINK('CCUS Projects Database'!$X764,"Link 7"),"")</f>
        <v/>
      </c>
    </row>
    <row r="765" ht="14.25" customHeight="1">
      <c r="A765" s="233" t="s">
        <v>9959</v>
      </c>
      <c r="B765" s="234">
        <v>1030.0</v>
      </c>
      <c r="C765" s="234" t="s">
        <v>75</v>
      </c>
      <c r="D765" s="235" t="s">
        <v>21412</v>
      </c>
      <c r="E765" s="234" t="s">
        <v>18625</v>
      </c>
      <c r="F765" s="234">
        <v>2021.0</v>
      </c>
      <c r="G765" s="234">
        <v>2025.0</v>
      </c>
      <c r="H765" s="234">
        <v>2026.0</v>
      </c>
      <c r="I765" s="234" t="s">
        <v>18725</v>
      </c>
      <c r="J765" s="234" t="s">
        <v>18636</v>
      </c>
      <c r="K765" s="236" t="s">
        <v>18725</v>
      </c>
      <c r="L765" s="236">
        <v>0.11</v>
      </c>
      <c r="M765" s="236">
        <v>0.11</v>
      </c>
      <c r="N765" s="234" t="s">
        <v>18654</v>
      </c>
      <c r="O765" s="237" t="s">
        <v>18679</v>
      </c>
      <c r="P765" s="238" t="s">
        <v>18725</v>
      </c>
      <c r="Q765" s="234" t="s">
        <v>18726</v>
      </c>
      <c r="R765" s="238" t="s">
        <v>17707</v>
      </c>
      <c r="S765" s="238" t="s">
        <v>18725</v>
      </c>
      <c r="T765" s="238" t="s">
        <v>18725</v>
      </c>
      <c r="U765" s="238" t="s">
        <v>18725</v>
      </c>
      <c r="V765" s="238" t="s">
        <v>18725</v>
      </c>
      <c r="W765" s="238" t="s">
        <v>18725</v>
      </c>
      <c r="X765" s="238" t="s">
        <v>18725</v>
      </c>
      <c r="Y765" s="239" t="str">
        <f>IF('CCUS Projects Database'!$R765&lt;&gt;"",HYPERLINK('CCUS Projects Database'!$R765,"Link 1"),"")</f>
        <v>Link 1</v>
      </c>
      <c r="Z765" s="239" t="str">
        <f>IF('CCUS Projects Database'!$S765&lt;&gt;"",HYPERLINK('CCUS Projects Database'!$S765,"Link 2"),"")</f>
        <v/>
      </c>
      <c r="AA765" s="239" t="str">
        <f>IF('CCUS Projects Database'!$T765&lt;&gt;"",HYPERLINK('CCUS Projects Database'!$T765,"Link 3"),"")</f>
        <v/>
      </c>
      <c r="AB765" s="239" t="str">
        <f>IF('CCUS Projects Database'!$U765&lt;&gt;"",HYPERLINK('CCUS Projects Database'!$U765,"Link 4"),"")</f>
        <v/>
      </c>
      <c r="AC765" s="239" t="str">
        <f>IF('CCUS Projects Database'!$V765&lt;&gt;"",HYPERLINK('CCUS Projects Database'!$V765,"Link 5"),"")</f>
        <v/>
      </c>
      <c r="AD765" s="239" t="str">
        <f>IF('CCUS Projects Database'!$W765&lt;&gt;"",HYPERLINK('CCUS Projects Database'!$W765,"Link 6"),"")</f>
        <v/>
      </c>
      <c r="AE765" s="239" t="str">
        <f>IF('CCUS Projects Database'!$X765&lt;&gt;"",HYPERLINK('CCUS Projects Database'!$X765,"Link 7"),"")</f>
        <v/>
      </c>
    </row>
    <row r="766" ht="14.25" customHeight="1">
      <c r="A766" s="233" t="s">
        <v>9961</v>
      </c>
      <c r="B766" s="234">
        <v>1032.0</v>
      </c>
      <c r="C766" s="234" t="s">
        <v>75</v>
      </c>
      <c r="D766" s="235" t="s">
        <v>21413</v>
      </c>
      <c r="E766" s="234" t="s">
        <v>18625</v>
      </c>
      <c r="F766" s="234">
        <v>2022.0</v>
      </c>
      <c r="G766" s="234">
        <v>2025.0</v>
      </c>
      <c r="H766" s="234">
        <v>2027.0</v>
      </c>
      <c r="I766" s="234" t="s">
        <v>18725</v>
      </c>
      <c r="J766" s="234" t="s">
        <v>18636</v>
      </c>
      <c r="K766" s="236" t="s">
        <v>18725</v>
      </c>
      <c r="L766" s="236">
        <v>0.1</v>
      </c>
      <c r="M766" s="236">
        <v>0.1</v>
      </c>
      <c r="N766" s="234" t="s">
        <v>18654</v>
      </c>
      <c r="O766" s="237" t="s">
        <v>18679</v>
      </c>
      <c r="P766" s="238" t="s">
        <v>18725</v>
      </c>
      <c r="Q766" s="234" t="s">
        <v>18726</v>
      </c>
      <c r="R766" s="238" t="s">
        <v>17709</v>
      </c>
      <c r="S766" s="238" t="s">
        <v>18725</v>
      </c>
      <c r="T766" s="238" t="s">
        <v>18725</v>
      </c>
      <c r="U766" s="238" t="s">
        <v>18725</v>
      </c>
      <c r="V766" s="238" t="s">
        <v>18725</v>
      </c>
      <c r="W766" s="238" t="s">
        <v>18725</v>
      </c>
      <c r="X766" s="238" t="s">
        <v>18725</v>
      </c>
      <c r="Y766" s="239" t="str">
        <f>IF('CCUS Projects Database'!$R766&lt;&gt;"",HYPERLINK('CCUS Projects Database'!$R766,"Link 1"),"")</f>
        <v>Link 1</v>
      </c>
      <c r="Z766" s="239" t="str">
        <f>IF('CCUS Projects Database'!$S766&lt;&gt;"",HYPERLINK('CCUS Projects Database'!$S766,"Link 2"),"")</f>
        <v/>
      </c>
      <c r="AA766" s="239" t="str">
        <f>IF('CCUS Projects Database'!$T766&lt;&gt;"",HYPERLINK('CCUS Projects Database'!$T766,"Link 3"),"")</f>
        <v/>
      </c>
      <c r="AB766" s="239" t="str">
        <f>IF('CCUS Projects Database'!$U766&lt;&gt;"",HYPERLINK('CCUS Projects Database'!$U766,"Link 4"),"")</f>
        <v/>
      </c>
      <c r="AC766" s="239" t="str">
        <f>IF('CCUS Projects Database'!$V766&lt;&gt;"",HYPERLINK('CCUS Projects Database'!$V766,"Link 5"),"")</f>
        <v/>
      </c>
      <c r="AD766" s="239" t="str">
        <f>IF('CCUS Projects Database'!$W766&lt;&gt;"",HYPERLINK('CCUS Projects Database'!$W766,"Link 6"),"")</f>
        <v/>
      </c>
      <c r="AE766" s="239" t="str">
        <f>IF('CCUS Projects Database'!$X766&lt;&gt;"",HYPERLINK('CCUS Projects Database'!$X766,"Link 7"),"")</f>
        <v/>
      </c>
    </row>
    <row r="767" ht="14.25" customHeight="1">
      <c r="A767" s="233" t="s">
        <v>21414</v>
      </c>
      <c r="B767" s="234">
        <v>1033.0</v>
      </c>
      <c r="C767" s="234" t="s">
        <v>18586</v>
      </c>
      <c r="D767" s="235" t="s">
        <v>21415</v>
      </c>
      <c r="E767" s="234" t="s">
        <v>18618</v>
      </c>
      <c r="F767" s="234">
        <v>2022.0</v>
      </c>
      <c r="G767" s="234">
        <v>2025.0</v>
      </c>
      <c r="H767" s="234">
        <v>2027.0</v>
      </c>
      <c r="I767" s="234" t="s">
        <v>18725</v>
      </c>
      <c r="J767" s="234" t="s">
        <v>18636</v>
      </c>
      <c r="K767" s="236" t="s">
        <v>18725</v>
      </c>
      <c r="L767" s="236" t="s">
        <v>18725</v>
      </c>
      <c r="M767" s="236">
        <v>3.402</v>
      </c>
      <c r="N767" s="234" t="s">
        <v>18731</v>
      </c>
      <c r="O767" s="237" t="s">
        <v>18683</v>
      </c>
      <c r="P767" s="238" t="s">
        <v>18725</v>
      </c>
      <c r="Q767" s="234" t="s">
        <v>18732</v>
      </c>
      <c r="R767" s="238" t="s">
        <v>17366</v>
      </c>
      <c r="S767" s="238" t="s">
        <v>21416</v>
      </c>
      <c r="T767" s="238" t="s">
        <v>21417</v>
      </c>
      <c r="U767" s="238" t="s">
        <v>18725</v>
      </c>
      <c r="V767" s="238" t="s">
        <v>18725</v>
      </c>
      <c r="W767" s="238" t="s">
        <v>18725</v>
      </c>
      <c r="X767" s="238" t="s">
        <v>18725</v>
      </c>
      <c r="Y767" s="239" t="str">
        <f>IF('CCUS Projects Database'!$R767&lt;&gt;"",HYPERLINK('CCUS Projects Database'!$R767,"Link 1"),"")</f>
        <v>Link 1</v>
      </c>
      <c r="Z767" s="239" t="str">
        <f>IF('CCUS Projects Database'!$S767&lt;&gt;"",HYPERLINK('CCUS Projects Database'!$S767,"Link 2"),"")</f>
        <v>Link 2</v>
      </c>
      <c r="AA767" s="239" t="str">
        <f>IF('CCUS Projects Database'!$T767&lt;&gt;"",HYPERLINK('CCUS Projects Database'!$T767,"Link 3"),"")</f>
        <v>Link 3</v>
      </c>
      <c r="AB767" s="239" t="str">
        <f>IF('CCUS Projects Database'!$U767&lt;&gt;"",HYPERLINK('CCUS Projects Database'!$U767,"Link 4"),"")</f>
        <v/>
      </c>
      <c r="AC767" s="239" t="str">
        <f>IF('CCUS Projects Database'!$V767&lt;&gt;"",HYPERLINK('CCUS Projects Database'!$V767,"Link 5"),"")</f>
        <v/>
      </c>
      <c r="AD767" s="239" t="str">
        <f>IF('CCUS Projects Database'!$W767&lt;&gt;"",HYPERLINK('CCUS Projects Database'!$W767,"Link 6"),"")</f>
        <v/>
      </c>
      <c r="AE767" s="239" t="str">
        <f>IF('CCUS Projects Database'!$X767&lt;&gt;"",HYPERLINK('CCUS Projects Database'!$X767,"Link 7"),"")</f>
        <v/>
      </c>
    </row>
    <row r="768" ht="14.25" customHeight="1">
      <c r="A768" s="233" t="s">
        <v>21418</v>
      </c>
      <c r="B768" s="234">
        <v>1034.0</v>
      </c>
      <c r="C768" s="234" t="s">
        <v>292</v>
      </c>
      <c r="D768" s="235" t="s">
        <v>21419</v>
      </c>
      <c r="E768" s="234" t="s">
        <v>18618</v>
      </c>
      <c r="F768" s="234">
        <v>2023.0</v>
      </c>
      <c r="G768" s="234" t="s">
        <v>18725</v>
      </c>
      <c r="H768" s="234">
        <v>2027.0</v>
      </c>
      <c r="I768" s="234" t="s">
        <v>18725</v>
      </c>
      <c r="J768" s="234" t="s">
        <v>18636</v>
      </c>
      <c r="K768" s="236" t="s">
        <v>18725</v>
      </c>
      <c r="L768" s="236">
        <v>1.0</v>
      </c>
      <c r="M768" s="236">
        <v>1.0</v>
      </c>
      <c r="N768" s="234" t="s">
        <v>677</v>
      </c>
      <c r="O768" s="237" t="s">
        <v>18675</v>
      </c>
      <c r="P768" s="238" t="s">
        <v>19838</v>
      </c>
      <c r="Q768" s="234" t="s">
        <v>18726</v>
      </c>
      <c r="R768" s="238" t="s">
        <v>19836</v>
      </c>
      <c r="S768" s="238" t="s">
        <v>18725</v>
      </c>
      <c r="T768" s="238" t="s">
        <v>18725</v>
      </c>
      <c r="U768" s="238" t="s">
        <v>18725</v>
      </c>
      <c r="V768" s="238" t="s">
        <v>18725</v>
      </c>
      <c r="W768" s="238" t="s">
        <v>18725</v>
      </c>
      <c r="X768" s="238" t="s">
        <v>18725</v>
      </c>
      <c r="Y768" s="239" t="str">
        <f>IF('CCUS Projects Database'!$R768&lt;&gt;"",HYPERLINK('CCUS Projects Database'!$R768,"Link 1"),"")</f>
        <v>Link 1</v>
      </c>
      <c r="Z768" s="239" t="str">
        <f>IF('CCUS Projects Database'!$S768&lt;&gt;"",HYPERLINK('CCUS Projects Database'!$S768,"Link 2"),"")</f>
        <v/>
      </c>
      <c r="AA768" s="239" t="str">
        <f>IF('CCUS Projects Database'!$T768&lt;&gt;"",HYPERLINK('CCUS Projects Database'!$T768,"Link 3"),"")</f>
        <v/>
      </c>
      <c r="AB768" s="239" t="str">
        <f>IF('CCUS Projects Database'!$U768&lt;&gt;"",HYPERLINK('CCUS Projects Database'!$U768,"Link 4"),"")</f>
        <v/>
      </c>
      <c r="AC768" s="239" t="str">
        <f>IF('CCUS Projects Database'!$V768&lt;&gt;"",HYPERLINK('CCUS Projects Database'!$V768,"Link 5"),"")</f>
        <v/>
      </c>
      <c r="AD768" s="239" t="str">
        <f>IF('CCUS Projects Database'!$W768&lt;&gt;"",HYPERLINK('CCUS Projects Database'!$W768,"Link 6"),"")</f>
        <v/>
      </c>
      <c r="AE768" s="239" t="str">
        <f>IF('CCUS Projects Database'!$X768&lt;&gt;"",HYPERLINK('CCUS Projects Database'!$X768,"Link 7"),"")</f>
        <v/>
      </c>
    </row>
    <row r="769" ht="14.25" customHeight="1">
      <c r="A769" s="233" t="s">
        <v>21420</v>
      </c>
      <c r="B769" s="234">
        <v>1036.0</v>
      </c>
      <c r="C769" s="234" t="s">
        <v>18264</v>
      </c>
      <c r="D769" s="235" t="s">
        <v>21421</v>
      </c>
      <c r="E769" s="234" t="s">
        <v>18625</v>
      </c>
      <c r="F769" s="234">
        <v>2015.0</v>
      </c>
      <c r="G769" s="234" t="s">
        <v>18725</v>
      </c>
      <c r="H769" s="234">
        <v>2028.0</v>
      </c>
      <c r="I769" s="234" t="s">
        <v>18725</v>
      </c>
      <c r="J769" s="234" t="s">
        <v>18636</v>
      </c>
      <c r="K769" s="236" t="s">
        <v>18725</v>
      </c>
      <c r="L769" s="236" t="s">
        <v>18725</v>
      </c>
      <c r="M769" s="236">
        <v>0.233</v>
      </c>
      <c r="N769" s="234" t="s">
        <v>103</v>
      </c>
      <c r="O769" s="237" t="s">
        <v>18679</v>
      </c>
      <c r="P769" s="238" t="s">
        <v>18725</v>
      </c>
      <c r="Q769" s="234" t="s">
        <v>18732</v>
      </c>
      <c r="R769" s="238" t="s">
        <v>21422</v>
      </c>
      <c r="S769" s="238" t="s">
        <v>18725</v>
      </c>
      <c r="T769" s="238" t="s">
        <v>18725</v>
      </c>
      <c r="U769" s="238" t="s">
        <v>18725</v>
      </c>
      <c r="V769" s="238" t="s">
        <v>18725</v>
      </c>
      <c r="W769" s="238" t="s">
        <v>18725</v>
      </c>
      <c r="X769" s="238" t="s">
        <v>18725</v>
      </c>
      <c r="Y769" s="239" t="str">
        <f>IF('CCUS Projects Database'!$R769&lt;&gt;"",HYPERLINK('CCUS Projects Database'!$R769,"Link 1"),"")</f>
        <v>Link 1</v>
      </c>
      <c r="Z769" s="239" t="str">
        <f>IF('CCUS Projects Database'!$S769&lt;&gt;"",HYPERLINK('CCUS Projects Database'!$S769,"Link 2"),"")</f>
        <v/>
      </c>
      <c r="AA769" s="239" t="str">
        <f>IF('CCUS Projects Database'!$T769&lt;&gt;"",HYPERLINK('CCUS Projects Database'!$T769,"Link 3"),"")</f>
        <v/>
      </c>
      <c r="AB769" s="239" t="str">
        <f>IF('CCUS Projects Database'!$U769&lt;&gt;"",HYPERLINK('CCUS Projects Database'!$U769,"Link 4"),"")</f>
        <v/>
      </c>
      <c r="AC769" s="239" t="str">
        <f>IF('CCUS Projects Database'!$V769&lt;&gt;"",HYPERLINK('CCUS Projects Database'!$V769,"Link 5"),"")</f>
        <v/>
      </c>
      <c r="AD769" s="239" t="str">
        <f>IF('CCUS Projects Database'!$W769&lt;&gt;"",HYPERLINK('CCUS Projects Database'!$W769,"Link 6"),"")</f>
        <v/>
      </c>
      <c r="AE769" s="239" t="str">
        <f>IF('CCUS Projects Database'!$X769&lt;&gt;"",HYPERLINK('CCUS Projects Database'!$X769,"Link 7"),"")</f>
        <v/>
      </c>
    </row>
    <row r="770" ht="14.25" customHeight="1">
      <c r="A770" s="233" t="s">
        <v>21423</v>
      </c>
      <c r="B770" s="234">
        <v>1037.0</v>
      </c>
      <c r="C770" s="234" t="s">
        <v>18264</v>
      </c>
      <c r="D770" s="235" t="s">
        <v>21421</v>
      </c>
      <c r="E770" s="234" t="s">
        <v>18618</v>
      </c>
      <c r="F770" s="234">
        <v>2015.0</v>
      </c>
      <c r="G770" s="234" t="s">
        <v>18725</v>
      </c>
      <c r="H770" s="234">
        <v>2028.0</v>
      </c>
      <c r="I770" s="234" t="s">
        <v>18725</v>
      </c>
      <c r="J770" s="234" t="s">
        <v>18192</v>
      </c>
      <c r="K770" s="236" t="s">
        <v>18725</v>
      </c>
      <c r="L770" s="236" t="s">
        <v>18725</v>
      </c>
      <c r="M770" s="236" t="s">
        <v>18725</v>
      </c>
      <c r="N770" s="234" t="s">
        <v>18731</v>
      </c>
      <c r="O770" s="237" t="s">
        <v>18675</v>
      </c>
      <c r="P770" s="238" t="s">
        <v>18725</v>
      </c>
      <c r="Q770" s="234" t="s">
        <v>18732</v>
      </c>
      <c r="R770" s="238" t="s">
        <v>18725</v>
      </c>
      <c r="S770" s="238" t="s">
        <v>18725</v>
      </c>
      <c r="T770" s="238" t="s">
        <v>18725</v>
      </c>
      <c r="U770" s="238" t="s">
        <v>18725</v>
      </c>
      <c r="V770" s="238" t="s">
        <v>18725</v>
      </c>
      <c r="W770" s="238" t="s">
        <v>18725</v>
      </c>
      <c r="X770" s="238" t="s">
        <v>18725</v>
      </c>
      <c r="Y770" s="239" t="str">
        <f>IF('CCUS Projects Database'!$R770&lt;&gt;"",HYPERLINK('CCUS Projects Database'!$R770,"Link 1"),"")</f>
        <v/>
      </c>
      <c r="Z770" s="239" t="str">
        <f>IF('CCUS Projects Database'!$S770&lt;&gt;"",HYPERLINK('CCUS Projects Database'!$S770,"Link 2"),"")</f>
        <v/>
      </c>
      <c r="AA770" s="239" t="str">
        <f>IF('CCUS Projects Database'!$T770&lt;&gt;"",HYPERLINK('CCUS Projects Database'!$T770,"Link 3"),"")</f>
        <v/>
      </c>
      <c r="AB770" s="239" t="str">
        <f>IF('CCUS Projects Database'!$U770&lt;&gt;"",HYPERLINK('CCUS Projects Database'!$U770,"Link 4"),"")</f>
        <v/>
      </c>
      <c r="AC770" s="239" t="str">
        <f>IF('CCUS Projects Database'!$V770&lt;&gt;"",HYPERLINK('CCUS Projects Database'!$V770,"Link 5"),"")</f>
        <v/>
      </c>
      <c r="AD770" s="239" t="str">
        <f>IF('CCUS Projects Database'!$W770&lt;&gt;"",HYPERLINK('CCUS Projects Database'!$W770,"Link 6"),"")</f>
        <v/>
      </c>
      <c r="AE770" s="239" t="str">
        <f>IF('CCUS Projects Database'!$X770&lt;&gt;"",HYPERLINK('CCUS Projects Database'!$X770,"Link 7"),"")</f>
        <v/>
      </c>
    </row>
    <row r="771" ht="14.25" customHeight="1">
      <c r="A771" s="233" t="s">
        <v>21424</v>
      </c>
      <c r="B771" s="234">
        <v>1038.0</v>
      </c>
      <c r="C771" s="234" t="s">
        <v>18269</v>
      </c>
      <c r="D771" s="235" t="s">
        <v>21425</v>
      </c>
      <c r="E771" s="234" t="s">
        <v>18625</v>
      </c>
      <c r="F771" s="234">
        <v>2021.0</v>
      </c>
      <c r="G771" s="234" t="s">
        <v>18725</v>
      </c>
      <c r="H771" s="234" t="s">
        <v>18725</v>
      </c>
      <c r="I771" s="234" t="s">
        <v>18725</v>
      </c>
      <c r="J771" s="234" t="s">
        <v>18636</v>
      </c>
      <c r="K771" s="236" t="s">
        <v>18725</v>
      </c>
      <c r="L771" s="236">
        <v>0.23</v>
      </c>
      <c r="M771" s="236">
        <v>0.23</v>
      </c>
      <c r="N771" s="234" t="s">
        <v>12270</v>
      </c>
      <c r="O771" s="237" t="s">
        <v>18679</v>
      </c>
      <c r="P771" s="238" t="s">
        <v>18725</v>
      </c>
      <c r="Q771" s="234" t="s">
        <v>19269</v>
      </c>
      <c r="R771" s="238" t="s">
        <v>21426</v>
      </c>
      <c r="S771" s="238" t="s">
        <v>21427</v>
      </c>
      <c r="T771" s="238" t="s">
        <v>18725</v>
      </c>
      <c r="U771" s="238" t="s">
        <v>18725</v>
      </c>
      <c r="V771" s="238" t="s">
        <v>18725</v>
      </c>
      <c r="W771" s="238" t="s">
        <v>18725</v>
      </c>
      <c r="X771" s="238" t="s">
        <v>18725</v>
      </c>
      <c r="Y771" s="239" t="str">
        <f>IF('CCUS Projects Database'!$R771&lt;&gt;"",HYPERLINK('CCUS Projects Database'!$R771,"Link 1"),"")</f>
        <v>Link 1</v>
      </c>
      <c r="Z771" s="239" t="str">
        <f>IF('CCUS Projects Database'!$S771&lt;&gt;"",HYPERLINK('CCUS Projects Database'!$S771,"Link 2"),"")</f>
        <v>Link 2</v>
      </c>
      <c r="AA771" s="239" t="str">
        <f>IF('CCUS Projects Database'!$T771&lt;&gt;"",HYPERLINK('CCUS Projects Database'!$T771,"Link 3"),"")</f>
        <v/>
      </c>
      <c r="AB771" s="239" t="str">
        <f>IF('CCUS Projects Database'!$U771&lt;&gt;"",HYPERLINK('CCUS Projects Database'!$U771,"Link 4"),"")</f>
        <v/>
      </c>
      <c r="AC771" s="239" t="str">
        <f>IF('CCUS Projects Database'!$V771&lt;&gt;"",HYPERLINK('CCUS Projects Database'!$V771,"Link 5"),"")</f>
        <v/>
      </c>
      <c r="AD771" s="239" t="str">
        <f>IF('CCUS Projects Database'!$W771&lt;&gt;"",HYPERLINK('CCUS Projects Database'!$W771,"Link 6"),"")</f>
        <v/>
      </c>
      <c r="AE771" s="239" t="str">
        <f>IF('CCUS Projects Database'!$X771&lt;&gt;"",HYPERLINK('CCUS Projects Database'!$X771,"Link 7"),"")</f>
        <v/>
      </c>
    </row>
    <row r="772" ht="14.25" customHeight="1">
      <c r="A772" s="233" t="s">
        <v>21428</v>
      </c>
      <c r="B772" s="234">
        <v>1039.0</v>
      </c>
      <c r="C772" s="234" t="s">
        <v>18585</v>
      </c>
      <c r="D772" s="235" t="s">
        <v>21429</v>
      </c>
      <c r="E772" s="234" t="s">
        <v>18625</v>
      </c>
      <c r="F772" s="234">
        <v>2023.0</v>
      </c>
      <c r="G772" s="234" t="s">
        <v>18725</v>
      </c>
      <c r="H772" s="234">
        <v>2026.0</v>
      </c>
      <c r="I772" s="234" t="s">
        <v>18725</v>
      </c>
      <c r="J772" s="234" t="s">
        <v>18636</v>
      </c>
      <c r="K772" s="236" t="s">
        <v>18725</v>
      </c>
      <c r="L772" s="236">
        <v>0.15</v>
      </c>
      <c r="M772" s="236">
        <v>0.15</v>
      </c>
      <c r="N772" s="234" t="s">
        <v>12270</v>
      </c>
      <c r="O772" s="237" t="s">
        <v>18679</v>
      </c>
      <c r="P772" s="238" t="s">
        <v>18725</v>
      </c>
      <c r="Q772" s="234" t="s">
        <v>19269</v>
      </c>
      <c r="R772" s="238" t="s">
        <v>21430</v>
      </c>
      <c r="S772" s="238" t="s">
        <v>21431</v>
      </c>
      <c r="T772" s="238" t="s">
        <v>18725</v>
      </c>
      <c r="U772" s="238" t="s">
        <v>18725</v>
      </c>
      <c r="V772" s="238" t="s">
        <v>18725</v>
      </c>
      <c r="W772" s="238" t="s">
        <v>18725</v>
      </c>
      <c r="X772" s="238" t="s">
        <v>18725</v>
      </c>
      <c r="Y772" s="239" t="str">
        <f>IF('CCUS Projects Database'!$R772&lt;&gt;"",HYPERLINK('CCUS Projects Database'!$R772,"Link 1"),"")</f>
        <v>Link 1</v>
      </c>
      <c r="Z772" s="239" t="str">
        <f>IF('CCUS Projects Database'!$S772&lt;&gt;"",HYPERLINK('CCUS Projects Database'!$S772,"Link 2"),"")</f>
        <v>Link 2</v>
      </c>
      <c r="AA772" s="239" t="str">
        <f>IF('CCUS Projects Database'!$T772&lt;&gt;"",HYPERLINK('CCUS Projects Database'!$T772,"Link 3"),"")</f>
        <v/>
      </c>
      <c r="AB772" s="239" t="str">
        <f>IF('CCUS Projects Database'!$U772&lt;&gt;"",HYPERLINK('CCUS Projects Database'!$U772,"Link 4"),"")</f>
        <v/>
      </c>
      <c r="AC772" s="239" t="str">
        <f>IF('CCUS Projects Database'!$V772&lt;&gt;"",HYPERLINK('CCUS Projects Database'!$V772,"Link 5"),"")</f>
        <v/>
      </c>
      <c r="AD772" s="239" t="str">
        <f>IF('CCUS Projects Database'!$W772&lt;&gt;"",HYPERLINK('CCUS Projects Database'!$W772,"Link 6"),"")</f>
        <v/>
      </c>
      <c r="AE772" s="239" t="str">
        <f>IF('CCUS Projects Database'!$X772&lt;&gt;"",HYPERLINK('CCUS Projects Database'!$X772,"Link 7"),"")</f>
        <v/>
      </c>
    </row>
    <row r="773" ht="14.25" customHeight="1">
      <c r="A773" s="233" t="s">
        <v>21432</v>
      </c>
      <c r="B773" s="234">
        <v>1042.0</v>
      </c>
      <c r="C773" s="234" t="s">
        <v>18461</v>
      </c>
      <c r="D773" s="235" t="s">
        <v>21433</v>
      </c>
      <c r="E773" s="234" t="s">
        <v>18618</v>
      </c>
      <c r="F773" s="234">
        <v>2024.0</v>
      </c>
      <c r="G773" s="234" t="s">
        <v>18725</v>
      </c>
      <c r="H773" s="234">
        <v>2030.0</v>
      </c>
      <c r="I773" s="234" t="s">
        <v>18725</v>
      </c>
      <c r="J773" s="234" t="s">
        <v>18636</v>
      </c>
      <c r="K773" s="236" t="s">
        <v>18725</v>
      </c>
      <c r="L773" s="236" t="s">
        <v>21434</v>
      </c>
      <c r="M773" s="236">
        <v>0.8</v>
      </c>
      <c r="N773" s="234" t="s">
        <v>18663</v>
      </c>
      <c r="O773" s="237" t="s">
        <v>18675</v>
      </c>
      <c r="P773" s="238" t="s">
        <v>20743</v>
      </c>
      <c r="Q773" s="234" t="s">
        <v>18726</v>
      </c>
      <c r="R773" s="238" t="s">
        <v>21435</v>
      </c>
      <c r="S773" s="238" t="s">
        <v>21436</v>
      </c>
      <c r="T773" s="238" t="s">
        <v>18725</v>
      </c>
      <c r="U773" s="238" t="s">
        <v>18725</v>
      </c>
      <c r="V773" s="238" t="s">
        <v>18725</v>
      </c>
      <c r="W773" s="238" t="s">
        <v>18725</v>
      </c>
      <c r="X773" s="238" t="s">
        <v>18725</v>
      </c>
      <c r="Y773" s="239" t="str">
        <f>IF('CCUS Projects Database'!$R773&lt;&gt;"",HYPERLINK('CCUS Projects Database'!$R773,"Link 1"),"")</f>
        <v>Link 1</v>
      </c>
      <c r="Z773" s="239" t="str">
        <f>IF('CCUS Projects Database'!$S773&lt;&gt;"",HYPERLINK('CCUS Projects Database'!$S773,"Link 2"),"")</f>
        <v>Link 2</v>
      </c>
      <c r="AA773" s="239" t="str">
        <f>IF('CCUS Projects Database'!$T773&lt;&gt;"",HYPERLINK('CCUS Projects Database'!$T773,"Link 3"),"")</f>
        <v/>
      </c>
      <c r="AB773" s="239" t="str">
        <f>IF('CCUS Projects Database'!$U773&lt;&gt;"",HYPERLINK('CCUS Projects Database'!$U773,"Link 4"),"")</f>
        <v/>
      </c>
      <c r="AC773" s="239" t="str">
        <f>IF('CCUS Projects Database'!$V773&lt;&gt;"",HYPERLINK('CCUS Projects Database'!$V773,"Link 5"),"")</f>
        <v/>
      </c>
      <c r="AD773" s="239" t="str">
        <f>IF('CCUS Projects Database'!$W773&lt;&gt;"",HYPERLINK('CCUS Projects Database'!$W773,"Link 6"),"")</f>
        <v/>
      </c>
      <c r="AE773" s="239" t="str">
        <f>IF('CCUS Projects Database'!$X773&lt;&gt;"",HYPERLINK('CCUS Projects Database'!$X773,"Link 7"),"")</f>
        <v/>
      </c>
    </row>
    <row r="774" ht="14.25" customHeight="1">
      <c r="A774" s="233" t="s">
        <v>21437</v>
      </c>
      <c r="B774" s="234">
        <v>1043.0</v>
      </c>
      <c r="C774" s="234" t="s">
        <v>18586</v>
      </c>
      <c r="D774" s="235" t="s">
        <v>21438</v>
      </c>
      <c r="E774" s="234" t="s">
        <v>18625</v>
      </c>
      <c r="F774" s="234">
        <v>2022.0</v>
      </c>
      <c r="G774" s="234" t="s">
        <v>18725</v>
      </c>
      <c r="H774" s="234">
        <v>2023.0</v>
      </c>
      <c r="I774" s="234" t="s">
        <v>18725</v>
      </c>
      <c r="J774" s="234" t="s">
        <v>12385</v>
      </c>
      <c r="K774" s="236" t="s">
        <v>18725</v>
      </c>
      <c r="L774" s="236">
        <v>0.18</v>
      </c>
      <c r="M774" s="236">
        <v>0.18</v>
      </c>
      <c r="N774" s="234" t="s">
        <v>677</v>
      </c>
      <c r="O774" s="237" t="s">
        <v>18679</v>
      </c>
      <c r="P774" s="238" t="s">
        <v>18725</v>
      </c>
      <c r="Q774" s="234" t="s">
        <v>18732</v>
      </c>
      <c r="R774" s="238" t="s">
        <v>21439</v>
      </c>
      <c r="S774" s="238" t="s">
        <v>21440</v>
      </c>
      <c r="T774" s="238" t="s">
        <v>18725</v>
      </c>
      <c r="U774" s="238" t="s">
        <v>18725</v>
      </c>
      <c r="V774" s="238" t="s">
        <v>18725</v>
      </c>
      <c r="W774" s="238" t="s">
        <v>18725</v>
      </c>
      <c r="X774" s="238" t="s">
        <v>18725</v>
      </c>
      <c r="Y774" s="239" t="str">
        <f>IF('CCUS Projects Database'!$R774&lt;&gt;"",HYPERLINK('CCUS Projects Database'!$R774,"Link 1"),"")</f>
        <v>Link 1</v>
      </c>
      <c r="Z774" s="239" t="str">
        <f>IF('CCUS Projects Database'!$S774&lt;&gt;"",HYPERLINK('CCUS Projects Database'!$S774,"Link 2"),"")</f>
        <v>Link 2</v>
      </c>
      <c r="AA774" s="239" t="str">
        <f>IF('CCUS Projects Database'!$T774&lt;&gt;"",HYPERLINK('CCUS Projects Database'!$T774,"Link 3"),"")</f>
        <v/>
      </c>
      <c r="AB774" s="239" t="str">
        <f>IF('CCUS Projects Database'!$U774&lt;&gt;"",HYPERLINK('CCUS Projects Database'!$U774,"Link 4"),"")</f>
        <v/>
      </c>
      <c r="AC774" s="239" t="str">
        <f>IF('CCUS Projects Database'!$V774&lt;&gt;"",HYPERLINK('CCUS Projects Database'!$V774,"Link 5"),"")</f>
        <v/>
      </c>
      <c r="AD774" s="239" t="str">
        <f>IF('CCUS Projects Database'!$W774&lt;&gt;"",HYPERLINK('CCUS Projects Database'!$W774,"Link 6"),"")</f>
        <v/>
      </c>
      <c r="AE774" s="239" t="str">
        <f>IF('CCUS Projects Database'!$X774&lt;&gt;"",HYPERLINK('CCUS Projects Database'!$X774,"Link 7"),"")</f>
        <v/>
      </c>
    </row>
    <row r="775" ht="14.25" customHeight="1">
      <c r="A775" s="233" t="s">
        <v>21441</v>
      </c>
      <c r="B775" s="234">
        <v>1044.0</v>
      </c>
      <c r="C775" s="234" t="s">
        <v>18329</v>
      </c>
      <c r="D775" s="235" t="s">
        <v>21442</v>
      </c>
      <c r="E775" s="234" t="s">
        <v>18625</v>
      </c>
      <c r="F775" s="234">
        <v>2020.0</v>
      </c>
      <c r="G775" s="234" t="s">
        <v>18725</v>
      </c>
      <c r="H775" s="234">
        <v>2027.0</v>
      </c>
      <c r="I775" s="234" t="s">
        <v>18725</v>
      </c>
      <c r="J775" s="234" t="s">
        <v>18636</v>
      </c>
      <c r="K775" s="236" t="s">
        <v>18725</v>
      </c>
      <c r="L775" s="236" t="s">
        <v>18725</v>
      </c>
      <c r="M775" s="236">
        <v>0.411</v>
      </c>
      <c r="N775" s="234" t="s">
        <v>18654</v>
      </c>
      <c r="O775" s="237" t="s">
        <v>18679</v>
      </c>
      <c r="P775" s="238" t="s">
        <v>18725</v>
      </c>
      <c r="Q775" s="234" t="s">
        <v>18762</v>
      </c>
      <c r="R775" s="238" t="s">
        <v>16505</v>
      </c>
      <c r="S775" s="238" t="s">
        <v>18725</v>
      </c>
      <c r="T775" s="238" t="s">
        <v>18725</v>
      </c>
      <c r="U775" s="238" t="s">
        <v>18725</v>
      </c>
      <c r="V775" s="238" t="s">
        <v>18725</v>
      </c>
      <c r="W775" s="238" t="s">
        <v>18725</v>
      </c>
      <c r="X775" s="238" t="s">
        <v>18725</v>
      </c>
      <c r="Y775" s="239" t="str">
        <f>IF('CCUS Projects Database'!$R775&lt;&gt;"",HYPERLINK('CCUS Projects Database'!$R775,"Link 1"),"")</f>
        <v>Link 1</v>
      </c>
      <c r="Z775" s="239" t="str">
        <f>IF('CCUS Projects Database'!$S775&lt;&gt;"",HYPERLINK('CCUS Projects Database'!$S775,"Link 2"),"")</f>
        <v/>
      </c>
      <c r="AA775" s="239" t="str">
        <f>IF('CCUS Projects Database'!$T775&lt;&gt;"",HYPERLINK('CCUS Projects Database'!$T775,"Link 3"),"")</f>
        <v/>
      </c>
      <c r="AB775" s="239" t="str">
        <f>IF('CCUS Projects Database'!$U775&lt;&gt;"",HYPERLINK('CCUS Projects Database'!$U775,"Link 4"),"")</f>
        <v/>
      </c>
      <c r="AC775" s="239" t="str">
        <f>IF('CCUS Projects Database'!$V775&lt;&gt;"",HYPERLINK('CCUS Projects Database'!$V775,"Link 5"),"")</f>
        <v/>
      </c>
      <c r="AD775" s="239" t="str">
        <f>IF('CCUS Projects Database'!$W775&lt;&gt;"",HYPERLINK('CCUS Projects Database'!$W775,"Link 6"),"")</f>
        <v/>
      </c>
      <c r="AE775" s="239" t="str">
        <f>IF('CCUS Projects Database'!$X775&lt;&gt;"",HYPERLINK('CCUS Projects Database'!$X775,"Link 7"),"")</f>
        <v/>
      </c>
    </row>
    <row r="776" ht="14.25" customHeight="1">
      <c r="A776" s="233" t="s">
        <v>21443</v>
      </c>
      <c r="B776" s="234">
        <v>1045.0</v>
      </c>
      <c r="C776" s="234" t="s">
        <v>57</v>
      </c>
      <c r="D776" s="235" t="s">
        <v>21444</v>
      </c>
      <c r="E776" s="234" t="s">
        <v>18625</v>
      </c>
      <c r="F776" s="234">
        <v>2019.0</v>
      </c>
      <c r="G776" s="234" t="s">
        <v>18725</v>
      </c>
      <c r="H776" s="234" t="s">
        <v>18725</v>
      </c>
      <c r="I776" s="234" t="s">
        <v>18725</v>
      </c>
      <c r="J776" s="234" t="s">
        <v>18192</v>
      </c>
      <c r="K776" s="236" t="s">
        <v>18725</v>
      </c>
      <c r="L776" s="236" t="s">
        <v>18725</v>
      </c>
      <c r="M776" s="236">
        <v>0.274</v>
      </c>
      <c r="N776" s="234" t="s">
        <v>677</v>
      </c>
      <c r="O776" s="237" t="s">
        <v>18679</v>
      </c>
      <c r="P776" s="238" t="s">
        <v>18725</v>
      </c>
      <c r="Q776" s="234" t="s">
        <v>18726</v>
      </c>
      <c r="R776" s="238" t="s">
        <v>17336</v>
      </c>
      <c r="S776" s="238" t="s">
        <v>21445</v>
      </c>
      <c r="T776" s="238" t="s">
        <v>18725</v>
      </c>
      <c r="U776" s="238" t="s">
        <v>18725</v>
      </c>
      <c r="V776" s="238" t="s">
        <v>18725</v>
      </c>
      <c r="W776" s="238" t="s">
        <v>18725</v>
      </c>
      <c r="X776" s="238" t="s">
        <v>18725</v>
      </c>
      <c r="Y776" s="239" t="str">
        <f>IF('CCUS Projects Database'!$R776&lt;&gt;"",HYPERLINK('CCUS Projects Database'!$R776,"Link 1"),"")</f>
        <v>Link 1</v>
      </c>
      <c r="Z776" s="239" t="str">
        <f>IF('CCUS Projects Database'!$S776&lt;&gt;"",HYPERLINK('CCUS Projects Database'!$S776,"Link 2"),"")</f>
        <v>Link 2</v>
      </c>
      <c r="AA776" s="239" t="str">
        <f>IF('CCUS Projects Database'!$T776&lt;&gt;"",HYPERLINK('CCUS Projects Database'!$T776,"Link 3"),"")</f>
        <v/>
      </c>
      <c r="AB776" s="239" t="str">
        <f>IF('CCUS Projects Database'!$U776&lt;&gt;"",HYPERLINK('CCUS Projects Database'!$U776,"Link 4"),"")</f>
        <v/>
      </c>
      <c r="AC776" s="239" t="str">
        <f>IF('CCUS Projects Database'!$V776&lt;&gt;"",HYPERLINK('CCUS Projects Database'!$V776,"Link 5"),"")</f>
        <v/>
      </c>
      <c r="AD776" s="239" t="str">
        <f>IF('CCUS Projects Database'!$W776&lt;&gt;"",HYPERLINK('CCUS Projects Database'!$W776,"Link 6"),"")</f>
        <v/>
      </c>
      <c r="AE776" s="239" t="str">
        <f>IF('CCUS Projects Database'!$X776&lt;&gt;"",HYPERLINK('CCUS Projects Database'!$X776,"Link 7"),"")</f>
        <v/>
      </c>
    </row>
    <row r="777" ht="14.25" customHeight="1">
      <c r="A777" s="233" t="s">
        <v>21446</v>
      </c>
      <c r="B777" s="234">
        <v>1047.0</v>
      </c>
      <c r="C777" s="234" t="s">
        <v>120</v>
      </c>
      <c r="D777" s="235" t="s">
        <v>21447</v>
      </c>
      <c r="E777" s="234" t="s">
        <v>18625</v>
      </c>
      <c r="F777" s="234">
        <v>2023.0</v>
      </c>
      <c r="G777" s="234">
        <v>2025.0</v>
      </c>
      <c r="H777" s="234">
        <v>2028.0</v>
      </c>
      <c r="I777" s="234" t="s">
        <v>18725</v>
      </c>
      <c r="J777" s="234" t="s">
        <v>18636</v>
      </c>
      <c r="K777" s="236" t="s">
        <v>18725</v>
      </c>
      <c r="L777" s="236" t="s">
        <v>18725</v>
      </c>
      <c r="M777" s="236">
        <v>0.123</v>
      </c>
      <c r="N777" s="234" t="s">
        <v>18654</v>
      </c>
      <c r="O777" s="237" t="s">
        <v>18679</v>
      </c>
      <c r="P777" s="238" t="s">
        <v>18725</v>
      </c>
      <c r="Q777" s="234" t="s">
        <v>18726</v>
      </c>
      <c r="R777" s="238" t="s">
        <v>21448</v>
      </c>
      <c r="S777" s="238" t="s">
        <v>21449</v>
      </c>
      <c r="T777" s="238" t="s">
        <v>18725</v>
      </c>
      <c r="U777" s="238" t="s">
        <v>18725</v>
      </c>
      <c r="V777" s="238" t="s">
        <v>18725</v>
      </c>
      <c r="W777" s="238" t="s">
        <v>18725</v>
      </c>
      <c r="X777" s="238" t="s">
        <v>18725</v>
      </c>
      <c r="Y777" s="239" t="str">
        <f>IF('CCUS Projects Database'!$R777&lt;&gt;"",HYPERLINK('CCUS Projects Database'!$R777,"Link 1"),"")</f>
        <v>Link 1</v>
      </c>
      <c r="Z777" s="239" t="str">
        <f>IF('CCUS Projects Database'!$S777&lt;&gt;"",HYPERLINK('CCUS Projects Database'!$S777,"Link 2"),"")</f>
        <v>Link 2</v>
      </c>
      <c r="AA777" s="239" t="str">
        <f>IF('CCUS Projects Database'!$T777&lt;&gt;"",HYPERLINK('CCUS Projects Database'!$T777,"Link 3"),"")</f>
        <v/>
      </c>
      <c r="AB777" s="239" t="str">
        <f>IF('CCUS Projects Database'!$U777&lt;&gt;"",HYPERLINK('CCUS Projects Database'!$U777,"Link 4"),"")</f>
        <v/>
      </c>
      <c r="AC777" s="239" t="str">
        <f>IF('CCUS Projects Database'!$V777&lt;&gt;"",HYPERLINK('CCUS Projects Database'!$V777,"Link 5"),"")</f>
        <v/>
      </c>
      <c r="AD777" s="239" t="str">
        <f>IF('CCUS Projects Database'!$W777&lt;&gt;"",HYPERLINK('CCUS Projects Database'!$W777,"Link 6"),"")</f>
        <v/>
      </c>
      <c r="AE777" s="239" t="str">
        <f>IF('CCUS Projects Database'!$X777&lt;&gt;"",HYPERLINK('CCUS Projects Database'!$X777,"Link 7"),"")</f>
        <v/>
      </c>
    </row>
    <row r="778" ht="14.25" customHeight="1">
      <c r="A778" s="233" t="s">
        <v>20113</v>
      </c>
      <c r="B778" s="234">
        <v>1048.0</v>
      </c>
      <c r="C778" s="234" t="s">
        <v>18586</v>
      </c>
      <c r="D778" s="235" t="s">
        <v>20112</v>
      </c>
      <c r="E778" s="234" t="s">
        <v>18623</v>
      </c>
      <c r="F778" s="234">
        <v>2021.0</v>
      </c>
      <c r="G778" s="234" t="s">
        <v>18725</v>
      </c>
      <c r="H778" s="234" t="s">
        <v>18725</v>
      </c>
      <c r="I778" s="234" t="s">
        <v>18725</v>
      </c>
      <c r="J778" s="234" t="s">
        <v>18636</v>
      </c>
      <c r="K778" s="236" t="s">
        <v>18725</v>
      </c>
      <c r="L778" s="236">
        <v>1.0</v>
      </c>
      <c r="M778" s="236">
        <v>1.0</v>
      </c>
      <c r="N778" s="234" t="s">
        <v>18623</v>
      </c>
      <c r="O778" s="237" t="s">
        <v>18675</v>
      </c>
      <c r="P778" s="238" t="s">
        <v>20113</v>
      </c>
      <c r="Q778" s="234" t="s">
        <v>18732</v>
      </c>
      <c r="R778" s="238" t="s">
        <v>21130</v>
      </c>
      <c r="S778" s="238" t="s">
        <v>18725</v>
      </c>
      <c r="T778" s="238" t="s">
        <v>18725</v>
      </c>
      <c r="U778" s="238" t="s">
        <v>18725</v>
      </c>
      <c r="V778" s="238" t="s">
        <v>18725</v>
      </c>
      <c r="W778" s="238" t="s">
        <v>18725</v>
      </c>
      <c r="X778" s="238" t="s">
        <v>18725</v>
      </c>
      <c r="Y778" s="239" t="str">
        <f>IF('CCUS Projects Database'!$R778&lt;&gt;"",HYPERLINK('CCUS Projects Database'!$R778,"Link 1"),"")</f>
        <v>Link 1</v>
      </c>
      <c r="Z778" s="239" t="str">
        <f>IF('CCUS Projects Database'!$S778&lt;&gt;"",HYPERLINK('CCUS Projects Database'!$S778,"Link 2"),"")</f>
        <v/>
      </c>
      <c r="AA778" s="239" t="str">
        <f>IF('CCUS Projects Database'!$T778&lt;&gt;"",HYPERLINK('CCUS Projects Database'!$T778,"Link 3"),"")</f>
        <v/>
      </c>
      <c r="AB778" s="239" t="str">
        <f>IF('CCUS Projects Database'!$U778&lt;&gt;"",HYPERLINK('CCUS Projects Database'!$U778,"Link 4"),"")</f>
        <v/>
      </c>
      <c r="AC778" s="239" t="str">
        <f>IF('CCUS Projects Database'!$V778&lt;&gt;"",HYPERLINK('CCUS Projects Database'!$V778,"Link 5"),"")</f>
        <v/>
      </c>
      <c r="AD778" s="239" t="str">
        <f>IF('CCUS Projects Database'!$W778&lt;&gt;"",HYPERLINK('CCUS Projects Database'!$W778,"Link 6"),"")</f>
        <v/>
      </c>
      <c r="AE778" s="239" t="str">
        <f>IF('CCUS Projects Database'!$X778&lt;&gt;"",HYPERLINK('CCUS Projects Database'!$X778,"Link 7"),"")</f>
        <v/>
      </c>
    </row>
    <row r="779" ht="14.25" customHeight="1">
      <c r="A779" s="233" t="s">
        <v>21450</v>
      </c>
      <c r="B779" s="234">
        <v>1049.0</v>
      </c>
      <c r="C779" s="234" t="s">
        <v>18586</v>
      </c>
      <c r="D779" s="235" t="s">
        <v>21451</v>
      </c>
      <c r="E779" s="234" t="s">
        <v>3</v>
      </c>
      <c r="F779" s="234">
        <v>2023.0</v>
      </c>
      <c r="G779" s="234" t="s">
        <v>18725</v>
      </c>
      <c r="H779" s="234" t="s">
        <v>18725</v>
      </c>
      <c r="I779" s="234" t="s">
        <v>18725</v>
      </c>
      <c r="J779" s="234" t="s">
        <v>18636</v>
      </c>
      <c r="K779" s="236" t="s">
        <v>18725</v>
      </c>
      <c r="L779" s="236" t="s">
        <v>18725</v>
      </c>
      <c r="M779" s="236" t="s">
        <v>18725</v>
      </c>
      <c r="N779" s="234" t="s">
        <v>3</v>
      </c>
      <c r="O779" s="237" t="s">
        <v>18675</v>
      </c>
      <c r="P779" s="238" t="s">
        <v>21450</v>
      </c>
      <c r="Q779" s="234" t="s">
        <v>18732</v>
      </c>
      <c r="R779" s="238" t="s">
        <v>21130</v>
      </c>
      <c r="S779" s="238" t="s">
        <v>18725</v>
      </c>
      <c r="T779" s="238" t="s">
        <v>18725</v>
      </c>
      <c r="U779" s="238" t="s">
        <v>18725</v>
      </c>
      <c r="V779" s="238" t="s">
        <v>18725</v>
      </c>
      <c r="W779" s="238" t="s">
        <v>18725</v>
      </c>
      <c r="X779" s="238" t="s">
        <v>18725</v>
      </c>
      <c r="Y779" s="239" t="str">
        <f>IF('CCUS Projects Database'!$R779&lt;&gt;"",HYPERLINK('CCUS Projects Database'!$R779,"Link 1"),"")</f>
        <v>Link 1</v>
      </c>
      <c r="Z779" s="239" t="str">
        <f>IF('CCUS Projects Database'!$S779&lt;&gt;"",HYPERLINK('CCUS Projects Database'!$S779,"Link 2"),"")</f>
        <v/>
      </c>
      <c r="AA779" s="239" t="str">
        <f>IF('CCUS Projects Database'!$T779&lt;&gt;"",HYPERLINK('CCUS Projects Database'!$T779,"Link 3"),"")</f>
        <v/>
      </c>
      <c r="AB779" s="239" t="str">
        <f>IF('CCUS Projects Database'!$U779&lt;&gt;"",HYPERLINK('CCUS Projects Database'!$U779,"Link 4"),"")</f>
        <v/>
      </c>
      <c r="AC779" s="239" t="str">
        <f>IF('CCUS Projects Database'!$V779&lt;&gt;"",HYPERLINK('CCUS Projects Database'!$V779,"Link 5"),"")</f>
        <v/>
      </c>
      <c r="AD779" s="239" t="str">
        <f>IF('CCUS Projects Database'!$W779&lt;&gt;"",HYPERLINK('CCUS Projects Database'!$W779,"Link 6"),"")</f>
        <v/>
      </c>
      <c r="AE779" s="239" t="str">
        <f>IF('CCUS Projects Database'!$X779&lt;&gt;"",HYPERLINK('CCUS Projects Database'!$X779,"Link 7"),"")</f>
        <v/>
      </c>
    </row>
    <row r="780" ht="14.25" customHeight="1">
      <c r="A780" s="233" t="s">
        <v>21452</v>
      </c>
      <c r="B780" s="234">
        <v>1050.0</v>
      </c>
      <c r="C780" s="234" t="s">
        <v>18586</v>
      </c>
      <c r="D780" s="235" t="s">
        <v>21453</v>
      </c>
      <c r="E780" s="234" t="s">
        <v>3</v>
      </c>
      <c r="F780" s="234">
        <v>2023.0</v>
      </c>
      <c r="G780" s="234" t="s">
        <v>18725</v>
      </c>
      <c r="H780" s="234" t="s">
        <v>18725</v>
      </c>
      <c r="I780" s="234" t="s">
        <v>18725</v>
      </c>
      <c r="J780" s="234" t="s">
        <v>18636</v>
      </c>
      <c r="K780" s="236" t="s">
        <v>18725</v>
      </c>
      <c r="L780" s="236" t="s">
        <v>18725</v>
      </c>
      <c r="M780" s="236" t="s">
        <v>18725</v>
      </c>
      <c r="N780" s="234" t="s">
        <v>3</v>
      </c>
      <c r="O780" s="237" t="s">
        <v>18675</v>
      </c>
      <c r="P780" s="238" t="s">
        <v>21452</v>
      </c>
      <c r="Q780" s="234" t="s">
        <v>18732</v>
      </c>
      <c r="R780" s="238" t="s">
        <v>21130</v>
      </c>
      <c r="S780" s="238" t="s">
        <v>18725</v>
      </c>
      <c r="T780" s="238" t="s">
        <v>18725</v>
      </c>
      <c r="U780" s="238" t="s">
        <v>18725</v>
      </c>
      <c r="V780" s="238" t="s">
        <v>18725</v>
      </c>
      <c r="W780" s="238" t="s">
        <v>18725</v>
      </c>
      <c r="X780" s="238" t="s">
        <v>18725</v>
      </c>
      <c r="Y780" s="239" t="str">
        <f>IF('CCUS Projects Database'!$R780&lt;&gt;"",HYPERLINK('CCUS Projects Database'!$R780,"Link 1"),"")</f>
        <v>Link 1</v>
      </c>
      <c r="Z780" s="239" t="str">
        <f>IF('CCUS Projects Database'!$S780&lt;&gt;"",HYPERLINK('CCUS Projects Database'!$S780,"Link 2"),"")</f>
        <v/>
      </c>
      <c r="AA780" s="239" t="str">
        <f>IF('CCUS Projects Database'!$T780&lt;&gt;"",HYPERLINK('CCUS Projects Database'!$T780,"Link 3"),"")</f>
        <v/>
      </c>
      <c r="AB780" s="239" t="str">
        <f>IF('CCUS Projects Database'!$U780&lt;&gt;"",HYPERLINK('CCUS Projects Database'!$U780,"Link 4"),"")</f>
        <v/>
      </c>
      <c r="AC780" s="239" t="str">
        <f>IF('CCUS Projects Database'!$V780&lt;&gt;"",HYPERLINK('CCUS Projects Database'!$V780,"Link 5"),"")</f>
        <v/>
      </c>
      <c r="AD780" s="239" t="str">
        <f>IF('CCUS Projects Database'!$W780&lt;&gt;"",HYPERLINK('CCUS Projects Database'!$W780,"Link 6"),"")</f>
        <v/>
      </c>
      <c r="AE780" s="239" t="str">
        <f>IF('CCUS Projects Database'!$X780&lt;&gt;"",HYPERLINK('CCUS Projects Database'!$X780,"Link 7"),"")</f>
        <v/>
      </c>
    </row>
    <row r="781" ht="14.25" customHeight="1">
      <c r="A781" s="233" t="s">
        <v>21454</v>
      </c>
      <c r="B781" s="234">
        <v>1053.0</v>
      </c>
      <c r="C781" s="234" t="s">
        <v>18360</v>
      </c>
      <c r="D781" s="235" t="s">
        <v>21455</v>
      </c>
      <c r="E781" s="234" t="s">
        <v>18616</v>
      </c>
      <c r="F781" s="234">
        <v>2022.0</v>
      </c>
      <c r="G781" s="234">
        <v>2022.0</v>
      </c>
      <c r="H781" s="234">
        <v>2025.0</v>
      </c>
      <c r="I781" s="234" t="s">
        <v>18725</v>
      </c>
      <c r="J781" s="234" t="s">
        <v>18638</v>
      </c>
      <c r="K781" s="236">
        <v>1.0</v>
      </c>
      <c r="L781" s="236">
        <v>0.5</v>
      </c>
      <c r="M781" s="236">
        <v>0.5</v>
      </c>
      <c r="N781" s="234" t="s">
        <v>18665</v>
      </c>
      <c r="O781" s="237" t="s">
        <v>18683</v>
      </c>
      <c r="P781" s="238" t="s">
        <v>18725</v>
      </c>
      <c r="Q781" s="234" t="s">
        <v>18856</v>
      </c>
      <c r="R781" s="238" t="s">
        <v>21456</v>
      </c>
      <c r="S781" s="238" t="s">
        <v>21457</v>
      </c>
      <c r="T781" s="238" t="s">
        <v>18725</v>
      </c>
      <c r="U781" s="238" t="s">
        <v>18725</v>
      </c>
      <c r="V781" s="238" t="s">
        <v>18725</v>
      </c>
      <c r="W781" s="238" t="s">
        <v>18725</v>
      </c>
      <c r="X781" s="238" t="s">
        <v>18725</v>
      </c>
      <c r="Y781" s="239" t="str">
        <f>IF('CCUS Projects Database'!$R781&lt;&gt;"",HYPERLINK('CCUS Projects Database'!$R781,"Link 1"),"")</f>
        <v>Link 1</v>
      </c>
      <c r="Z781" s="239" t="str">
        <f>IF('CCUS Projects Database'!$S781&lt;&gt;"",HYPERLINK('CCUS Projects Database'!$S781,"Link 2"),"")</f>
        <v>Link 2</v>
      </c>
      <c r="AA781" s="239" t="str">
        <f>IF('CCUS Projects Database'!$T781&lt;&gt;"",HYPERLINK('CCUS Projects Database'!$T781,"Link 3"),"")</f>
        <v/>
      </c>
      <c r="AB781" s="239" t="str">
        <f>IF('CCUS Projects Database'!$U781&lt;&gt;"",HYPERLINK('CCUS Projects Database'!$U781,"Link 4"),"")</f>
        <v/>
      </c>
      <c r="AC781" s="239" t="str">
        <f>IF('CCUS Projects Database'!$V781&lt;&gt;"",HYPERLINK('CCUS Projects Database'!$V781,"Link 5"),"")</f>
        <v/>
      </c>
      <c r="AD781" s="239" t="str">
        <f>IF('CCUS Projects Database'!$W781&lt;&gt;"",HYPERLINK('CCUS Projects Database'!$W781,"Link 6"),"")</f>
        <v/>
      </c>
      <c r="AE781" s="239" t="str">
        <f>IF('CCUS Projects Database'!$X781&lt;&gt;"",HYPERLINK('CCUS Projects Database'!$X781,"Link 7"),"")</f>
        <v/>
      </c>
    </row>
    <row r="782" ht="14.25" customHeight="1">
      <c r="A782" s="233" t="s">
        <v>21458</v>
      </c>
      <c r="B782" s="234">
        <v>1054.0</v>
      </c>
      <c r="C782" s="234" t="s">
        <v>18360</v>
      </c>
      <c r="D782" s="235" t="s">
        <v>21455</v>
      </c>
      <c r="E782" s="234" t="s">
        <v>18616</v>
      </c>
      <c r="F782" s="234">
        <v>2022.0</v>
      </c>
      <c r="G782" s="234">
        <v>2022.0</v>
      </c>
      <c r="H782" s="234">
        <v>2026.0</v>
      </c>
      <c r="I782" s="234" t="s">
        <v>18725</v>
      </c>
      <c r="J782" s="234" t="s">
        <v>18638</v>
      </c>
      <c r="K782" s="236">
        <v>2.0</v>
      </c>
      <c r="L782" s="236">
        <v>1.5</v>
      </c>
      <c r="M782" s="236">
        <v>1.5</v>
      </c>
      <c r="N782" s="234" t="s">
        <v>18665</v>
      </c>
      <c r="O782" s="237" t="s">
        <v>18683</v>
      </c>
      <c r="P782" s="238" t="s">
        <v>18725</v>
      </c>
      <c r="Q782" s="234" t="s">
        <v>18856</v>
      </c>
      <c r="R782" s="238" t="s">
        <v>21456</v>
      </c>
      <c r="S782" s="238" t="s">
        <v>21457</v>
      </c>
      <c r="T782" s="238" t="s">
        <v>18725</v>
      </c>
      <c r="U782" s="238" t="s">
        <v>18725</v>
      </c>
      <c r="V782" s="238" t="s">
        <v>18725</v>
      </c>
      <c r="W782" s="238" t="s">
        <v>18725</v>
      </c>
      <c r="X782" s="238" t="s">
        <v>18725</v>
      </c>
      <c r="Y782" s="239" t="str">
        <f>IF('CCUS Projects Database'!$R782&lt;&gt;"",HYPERLINK('CCUS Projects Database'!$R782,"Link 1"),"")</f>
        <v>Link 1</v>
      </c>
      <c r="Z782" s="239" t="str">
        <f>IF('CCUS Projects Database'!$S782&lt;&gt;"",HYPERLINK('CCUS Projects Database'!$S782,"Link 2"),"")</f>
        <v>Link 2</v>
      </c>
      <c r="AA782" s="239" t="str">
        <f>IF('CCUS Projects Database'!$T782&lt;&gt;"",HYPERLINK('CCUS Projects Database'!$T782,"Link 3"),"")</f>
        <v/>
      </c>
      <c r="AB782" s="239" t="str">
        <f>IF('CCUS Projects Database'!$U782&lt;&gt;"",HYPERLINK('CCUS Projects Database'!$U782,"Link 4"),"")</f>
        <v/>
      </c>
      <c r="AC782" s="239" t="str">
        <f>IF('CCUS Projects Database'!$V782&lt;&gt;"",HYPERLINK('CCUS Projects Database'!$V782,"Link 5"),"")</f>
        <v/>
      </c>
      <c r="AD782" s="239" t="str">
        <f>IF('CCUS Projects Database'!$W782&lt;&gt;"",HYPERLINK('CCUS Projects Database'!$W782,"Link 6"),"")</f>
        <v/>
      </c>
      <c r="AE782" s="239" t="str">
        <f>IF('CCUS Projects Database'!$X782&lt;&gt;"",HYPERLINK('CCUS Projects Database'!$X782,"Link 7"),"")</f>
        <v/>
      </c>
    </row>
    <row r="783" ht="14.25" customHeight="1">
      <c r="A783" s="233" t="s">
        <v>21459</v>
      </c>
      <c r="B783" s="234">
        <v>1055.0</v>
      </c>
      <c r="C783" s="234" t="s">
        <v>18524</v>
      </c>
      <c r="D783" s="235" t="s">
        <v>21460</v>
      </c>
      <c r="E783" s="234" t="s">
        <v>18616</v>
      </c>
      <c r="F783" s="234">
        <v>2022.0</v>
      </c>
      <c r="G783" s="234">
        <v>2022.0</v>
      </c>
      <c r="H783" s="234">
        <v>2026.0</v>
      </c>
      <c r="I783" s="234" t="s">
        <v>18725</v>
      </c>
      <c r="J783" s="234" t="s">
        <v>18638</v>
      </c>
      <c r="K783" s="236" t="s">
        <v>18725</v>
      </c>
      <c r="L783" s="236">
        <v>1.5</v>
      </c>
      <c r="M783" s="236">
        <v>1.5</v>
      </c>
      <c r="N783" s="234" t="s">
        <v>18731</v>
      </c>
      <c r="O783" s="237" t="s">
        <v>18683</v>
      </c>
      <c r="P783" s="238" t="s">
        <v>18725</v>
      </c>
      <c r="Q783" s="234" t="s">
        <v>18293</v>
      </c>
      <c r="R783" s="238" t="s">
        <v>21461</v>
      </c>
      <c r="S783" s="238" t="s">
        <v>21462</v>
      </c>
      <c r="T783" s="238" t="s">
        <v>21463</v>
      </c>
      <c r="U783" s="238" t="s">
        <v>18725</v>
      </c>
      <c r="V783" s="238" t="s">
        <v>18725</v>
      </c>
      <c r="W783" s="238" t="s">
        <v>18725</v>
      </c>
      <c r="X783" s="238" t="s">
        <v>18725</v>
      </c>
      <c r="Y783" s="239" t="str">
        <f>IF('CCUS Projects Database'!$R783&lt;&gt;"",HYPERLINK('CCUS Projects Database'!$R783,"Link 1"),"")</f>
        <v>Link 1</v>
      </c>
      <c r="Z783" s="239" t="str">
        <f>IF('CCUS Projects Database'!$S783&lt;&gt;"",HYPERLINK('CCUS Projects Database'!$S783,"Link 2"),"")</f>
        <v>Link 2</v>
      </c>
      <c r="AA783" s="239" t="str">
        <f>IF('CCUS Projects Database'!$T783&lt;&gt;"",HYPERLINK('CCUS Projects Database'!$T783,"Link 3"),"")</f>
        <v>Link 3</v>
      </c>
      <c r="AB783" s="239" t="str">
        <f>IF('CCUS Projects Database'!$U783&lt;&gt;"",HYPERLINK('CCUS Projects Database'!$U783,"Link 4"),"")</f>
        <v/>
      </c>
      <c r="AC783" s="239" t="str">
        <f>IF('CCUS Projects Database'!$V783&lt;&gt;"",HYPERLINK('CCUS Projects Database'!$V783,"Link 5"),"")</f>
        <v/>
      </c>
      <c r="AD783" s="239" t="str">
        <f>IF('CCUS Projects Database'!$W783&lt;&gt;"",HYPERLINK('CCUS Projects Database'!$W783,"Link 6"),"")</f>
        <v/>
      </c>
      <c r="AE783" s="239" t="str">
        <f>IF('CCUS Projects Database'!$X783&lt;&gt;"",HYPERLINK('CCUS Projects Database'!$X783,"Link 7"),"")</f>
        <v/>
      </c>
    </row>
    <row r="784" ht="14.25" customHeight="1">
      <c r="A784" s="233" t="s">
        <v>10089</v>
      </c>
      <c r="B784" s="234">
        <v>1058.0</v>
      </c>
      <c r="C784" s="234" t="s">
        <v>18586</v>
      </c>
      <c r="D784" s="235" t="s">
        <v>21464</v>
      </c>
      <c r="E784" s="234" t="s">
        <v>18616</v>
      </c>
      <c r="F784" s="234">
        <v>2021.0</v>
      </c>
      <c r="G784" s="234" t="s">
        <v>18725</v>
      </c>
      <c r="H784" s="234" t="s">
        <v>18725</v>
      </c>
      <c r="I784" s="234" t="s">
        <v>18725</v>
      </c>
      <c r="J784" s="234" t="s">
        <v>18636</v>
      </c>
      <c r="K784" s="236">
        <v>2.0</v>
      </c>
      <c r="L784" s="236" t="s">
        <v>21465</v>
      </c>
      <c r="M784" s="236">
        <v>1.5</v>
      </c>
      <c r="N784" s="234" t="s">
        <v>18661</v>
      </c>
      <c r="O784" s="237" t="s">
        <v>18675</v>
      </c>
      <c r="P784" s="238" t="s">
        <v>18725</v>
      </c>
      <c r="Q784" s="234" t="s">
        <v>18732</v>
      </c>
      <c r="R784" s="238" t="s">
        <v>17884</v>
      </c>
      <c r="S784" s="238" t="s">
        <v>17885</v>
      </c>
      <c r="T784" s="238" t="s">
        <v>18725</v>
      </c>
      <c r="U784" s="238" t="s">
        <v>18725</v>
      </c>
      <c r="V784" s="238" t="s">
        <v>18725</v>
      </c>
      <c r="W784" s="238" t="s">
        <v>18725</v>
      </c>
      <c r="X784" s="238" t="s">
        <v>18725</v>
      </c>
      <c r="Y784" s="239" t="str">
        <f>IF('CCUS Projects Database'!$R784&lt;&gt;"",HYPERLINK('CCUS Projects Database'!$R784,"Link 1"),"")</f>
        <v>Link 1</v>
      </c>
      <c r="Z784" s="239" t="str">
        <f>IF('CCUS Projects Database'!$S784&lt;&gt;"",HYPERLINK('CCUS Projects Database'!$S784,"Link 2"),"")</f>
        <v>Link 2</v>
      </c>
      <c r="AA784" s="239" t="str">
        <f>IF('CCUS Projects Database'!$T784&lt;&gt;"",HYPERLINK('CCUS Projects Database'!$T784,"Link 3"),"")</f>
        <v/>
      </c>
      <c r="AB784" s="239" t="str">
        <f>IF('CCUS Projects Database'!$U784&lt;&gt;"",HYPERLINK('CCUS Projects Database'!$U784,"Link 4"),"")</f>
        <v/>
      </c>
      <c r="AC784" s="239" t="str">
        <f>IF('CCUS Projects Database'!$V784&lt;&gt;"",HYPERLINK('CCUS Projects Database'!$V784,"Link 5"),"")</f>
        <v/>
      </c>
      <c r="AD784" s="239" t="str">
        <f>IF('CCUS Projects Database'!$W784&lt;&gt;"",HYPERLINK('CCUS Projects Database'!$W784,"Link 6"),"")</f>
        <v/>
      </c>
      <c r="AE784" s="239" t="str">
        <f>IF('CCUS Projects Database'!$X784&lt;&gt;"",HYPERLINK('CCUS Projects Database'!$X784,"Link 7"),"")</f>
        <v/>
      </c>
    </row>
    <row r="785" ht="14.25" customHeight="1">
      <c r="A785" s="233" t="s">
        <v>21466</v>
      </c>
      <c r="B785" s="234">
        <v>1059.0</v>
      </c>
      <c r="C785" s="234" t="s">
        <v>18586</v>
      </c>
      <c r="D785" s="235" t="s">
        <v>20800</v>
      </c>
      <c r="E785" s="234" t="s">
        <v>18623</v>
      </c>
      <c r="F785" s="234">
        <v>2022.0</v>
      </c>
      <c r="G785" s="234" t="s">
        <v>18725</v>
      </c>
      <c r="H785" s="234">
        <v>2027.0</v>
      </c>
      <c r="I785" s="234" t="s">
        <v>18725</v>
      </c>
      <c r="J785" s="234" t="s">
        <v>18636</v>
      </c>
      <c r="K785" s="236">
        <v>2.0</v>
      </c>
      <c r="L785" s="236">
        <v>3.0</v>
      </c>
      <c r="M785" s="236">
        <v>3.0</v>
      </c>
      <c r="N785" s="234" t="s">
        <v>18623</v>
      </c>
      <c r="O785" s="237" t="s">
        <v>18675</v>
      </c>
      <c r="P785" s="238" t="s">
        <v>20801</v>
      </c>
      <c r="Q785" s="234" t="s">
        <v>18732</v>
      </c>
      <c r="R785" s="238" t="s">
        <v>21467</v>
      </c>
      <c r="S785" s="238" t="s">
        <v>18725</v>
      </c>
      <c r="T785" s="238" t="s">
        <v>18725</v>
      </c>
      <c r="U785" s="238" t="s">
        <v>18725</v>
      </c>
      <c r="V785" s="238" t="s">
        <v>18725</v>
      </c>
      <c r="W785" s="238" t="s">
        <v>18725</v>
      </c>
      <c r="X785" s="238" t="s">
        <v>18725</v>
      </c>
      <c r="Y785" s="239" t="str">
        <f>IF('CCUS Projects Database'!$R785&lt;&gt;"",HYPERLINK('CCUS Projects Database'!$R785,"Link 1"),"")</f>
        <v>Link 1</v>
      </c>
      <c r="Z785" s="239" t="str">
        <f>IF('CCUS Projects Database'!$S785&lt;&gt;"",HYPERLINK('CCUS Projects Database'!$S785,"Link 2"),"")</f>
        <v/>
      </c>
      <c r="AA785" s="239" t="str">
        <f>IF('CCUS Projects Database'!$T785&lt;&gt;"",HYPERLINK('CCUS Projects Database'!$T785,"Link 3"),"")</f>
        <v/>
      </c>
      <c r="AB785" s="239" t="str">
        <f>IF('CCUS Projects Database'!$U785&lt;&gt;"",HYPERLINK('CCUS Projects Database'!$U785,"Link 4"),"")</f>
        <v/>
      </c>
      <c r="AC785" s="239" t="str">
        <f>IF('CCUS Projects Database'!$V785&lt;&gt;"",HYPERLINK('CCUS Projects Database'!$V785,"Link 5"),"")</f>
        <v/>
      </c>
      <c r="AD785" s="239" t="str">
        <f>IF('CCUS Projects Database'!$W785&lt;&gt;"",HYPERLINK('CCUS Projects Database'!$W785,"Link 6"),"")</f>
        <v/>
      </c>
      <c r="AE785" s="239" t="str">
        <f>IF('CCUS Projects Database'!$X785&lt;&gt;"",HYPERLINK('CCUS Projects Database'!$X785,"Link 7"),"")</f>
        <v/>
      </c>
    </row>
    <row r="786" ht="14.25" customHeight="1">
      <c r="A786" s="233" t="s">
        <v>21468</v>
      </c>
      <c r="B786" s="234">
        <v>1060.0</v>
      </c>
      <c r="C786" s="234" t="s">
        <v>18586</v>
      </c>
      <c r="D786" s="235" t="s">
        <v>20800</v>
      </c>
      <c r="E786" s="234" t="s">
        <v>18623</v>
      </c>
      <c r="F786" s="234">
        <v>2022.0</v>
      </c>
      <c r="G786" s="234" t="s">
        <v>18725</v>
      </c>
      <c r="H786" s="234">
        <v>2029.0</v>
      </c>
      <c r="I786" s="234" t="s">
        <v>18725</v>
      </c>
      <c r="J786" s="234" t="s">
        <v>18636</v>
      </c>
      <c r="K786" s="236">
        <v>3.0</v>
      </c>
      <c r="L786" s="236" t="s">
        <v>21469</v>
      </c>
      <c r="M786" s="236">
        <v>2.0</v>
      </c>
      <c r="N786" s="234" t="s">
        <v>18623</v>
      </c>
      <c r="O786" s="237" t="s">
        <v>18675</v>
      </c>
      <c r="P786" s="238" t="s">
        <v>20801</v>
      </c>
      <c r="Q786" s="234" t="s">
        <v>18732</v>
      </c>
      <c r="R786" s="238" t="s">
        <v>21467</v>
      </c>
      <c r="S786" s="238" t="s">
        <v>18725</v>
      </c>
      <c r="T786" s="238" t="s">
        <v>18725</v>
      </c>
      <c r="U786" s="238" t="s">
        <v>18725</v>
      </c>
      <c r="V786" s="238" t="s">
        <v>18725</v>
      </c>
      <c r="W786" s="238" t="s">
        <v>18725</v>
      </c>
      <c r="X786" s="238" t="s">
        <v>18725</v>
      </c>
      <c r="Y786" s="239" t="str">
        <f>IF('CCUS Projects Database'!$R786&lt;&gt;"",HYPERLINK('CCUS Projects Database'!$R786,"Link 1"),"")</f>
        <v>Link 1</v>
      </c>
      <c r="Z786" s="239" t="str">
        <f>IF('CCUS Projects Database'!$S786&lt;&gt;"",HYPERLINK('CCUS Projects Database'!$S786,"Link 2"),"")</f>
        <v/>
      </c>
      <c r="AA786" s="239" t="str">
        <f>IF('CCUS Projects Database'!$T786&lt;&gt;"",HYPERLINK('CCUS Projects Database'!$T786,"Link 3"),"")</f>
        <v/>
      </c>
      <c r="AB786" s="239" t="str">
        <f>IF('CCUS Projects Database'!$U786&lt;&gt;"",HYPERLINK('CCUS Projects Database'!$U786,"Link 4"),"")</f>
        <v/>
      </c>
      <c r="AC786" s="239" t="str">
        <f>IF('CCUS Projects Database'!$V786&lt;&gt;"",HYPERLINK('CCUS Projects Database'!$V786,"Link 5"),"")</f>
        <v/>
      </c>
      <c r="AD786" s="239" t="str">
        <f>IF('CCUS Projects Database'!$W786&lt;&gt;"",HYPERLINK('CCUS Projects Database'!$W786,"Link 6"),"")</f>
        <v/>
      </c>
      <c r="AE786" s="239" t="str">
        <f>IF('CCUS Projects Database'!$X786&lt;&gt;"",HYPERLINK('CCUS Projects Database'!$X786,"Link 7"),"")</f>
        <v/>
      </c>
    </row>
    <row r="787" ht="14.25" customHeight="1">
      <c r="A787" s="233" t="s">
        <v>21470</v>
      </c>
      <c r="B787" s="234">
        <v>1065.0</v>
      </c>
      <c r="C787" s="234" t="s">
        <v>83</v>
      </c>
      <c r="D787" s="235" t="s">
        <v>21471</v>
      </c>
      <c r="E787" s="234" t="s">
        <v>18618</v>
      </c>
      <c r="F787" s="234">
        <v>2024.0</v>
      </c>
      <c r="G787" s="234" t="s">
        <v>18725</v>
      </c>
      <c r="H787" s="234">
        <v>2030.0</v>
      </c>
      <c r="I787" s="234" t="s">
        <v>18725</v>
      </c>
      <c r="J787" s="234" t="s">
        <v>18636</v>
      </c>
      <c r="K787" s="236" t="s">
        <v>18725</v>
      </c>
      <c r="L787" s="236" t="s">
        <v>18725</v>
      </c>
      <c r="M787" s="236">
        <v>0.54</v>
      </c>
      <c r="N787" s="234" t="s">
        <v>18663</v>
      </c>
      <c r="O787" s="237" t="s">
        <v>18675</v>
      </c>
      <c r="P787" s="238" t="s">
        <v>20923</v>
      </c>
      <c r="Q787" s="234" t="s">
        <v>18726</v>
      </c>
      <c r="R787" s="238" t="s">
        <v>21472</v>
      </c>
      <c r="S787" s="238" t="s">
        <v>21473</v>
      </c>
      <c r="T787" s="238" t="s">
        <v>21474</v>
      </c>
      <c r="U787" s="238" t="s">
        <v>18725</v>
      </c>
      <c r="V787" s="238" t="s">
        <v>18725</v>
      </c>
      <c r="W787" s="238" t="s">
        <v>18725</v>
      </c>
      <c r="X787" s="238" t="s">
        <v>18725</v>
      </c>
      <c r="Y787" s="239" t="str">
        <f>IF('CCUS Projects Database'!$R787&lt;&gt;"",HYPERLINK('CCUS Projects Database'!$R787,"Link 1"),"")</f>
        <v>Link 1</v>
      </c>
      <c r="Z787" s="239" t="str">
        <f>IF('CCUS Projects Database'!$S787&lt;&gt;"",HYPERLINK('CCUS Projects Database'!$S787,"Link 2"),"")</f>
        <v>Link 2</v>
      </c>
      <c r="AA787" s="239" t="str">
        <f>IF('CCUS Projects Database'!$T787&lt;&gt;"",HYPERLINK('CCUS Projects Database'!$T787,"Link 3"),"")</f>
        <v>Link 3</v>
      </c>
      <c r="AB787" s="239" t="str">
        <f>IF('CCUS Projects Database'!$U787&lt;&gt;"",HYPERLINK('CCUS Projects Database'!$U787,"Link 4"),"")</f>
        <v/>
      </c>
      <c r="AC787" s="239" t="str">
        <f>IF('CCUS Projects Database'!$V787&lt;&gt;"",HYPERLINK('CCUS Projects Database'!$V787,"Link 5"),"")</f>
        <v/>
      </c>
      <c r="AD787" s="239" t="str">
        <f>IF('CCUS Projects Database'!$W787&lt;&gt;"",HYPERLINK('CCUS Projects Database'!$W787,"Link 6"),"")</f>
        <v/>
      </c>
      <c r="AE787" s="239" t="str">
        <f>IF('CCUS Projects Database'!$X787&lt;&gt;"",HYPERLINK('CCUS Projects Database'!$X787,"Link 7"),"")</f>
        <v/>
      </c>
    </row>
    <row r="788" ht="14.25" customHeight="1">
      <c r="A788" s="233" t="s">
        <v>10098</v>
      </c>
      <c r="B788" s="234">
        <v>1066.0</v>
      </c>
      <c r="C788" s="234" t="s">
        <v>18947</v>
      </c>
      <c r="D788" s="235" t="s">
        <v>21475</v>
      </c>
      <c r="E788" s="234" t="s">
        <v>18618</v>
      </c>
      <c r="F788" s="234">
        <v>2024.0</v>
      </c>
      <c r="G788" s="234" t="s">
        <v>18725</v>
      </c>
      <c r="H788" s="234">
        <v>2029.0</v>
      </c>
      <c r="I788" s="234" t="s">
        <v>18725</v>
      </c>
      <c r="J788" s="234" t="s">
        <v>18636</v>
      </c>
      <c r="K788" s="236" t="s">
        <v>18725</v>
      </c>
      <c r="L788" s="236" t="s">
        <v>18725</v>
      </c>
      <c r="M788" s="236" t="s">
        <v>18725</v>
      </c>
      <c r="N788" s="234" t="s">
        <v>18731</v>
      </c>
      <c r="O788" s="237" t="s">
        <v>18683</v>
      </c>
      <c r="P788" s="238" t="s">
        <v>18725</v>
      </c>
      <c r="Q788" s="234" t="s">
        <v>18856</v>
      </c>
      <c r="R788" s="238" t="s">
        <v>17899</v>
      </c>
      <c r="S788" s="238" t="s">
        <v>18725</v>
      </c>
      <c r="T788" s="238" t="s">
        <v>18725</v>
      </c>
      <c r="U788" s="238" t="s">
        <v>18725</v>
      </c>
      <c r="V788" s="238" t="s">
        <v>18725</v>
      </c>
      <c r="W788" s="238" t="s">
        <v>18725</v>
      </c>
      <c r="X788" s="238" t="s">
        <v>18725</v>
      </c>
      <c r="Y788" s="239" t="str">
        <f>IF('CCUS Projects Database'!$R788&lt;&gt;"",HYPERLINK('CCUS Projects Database'!$R788,"Link 1"),"")</f>
        <v>Link 1</v>
      </c>
      <c r="Z788" s="239" t="str">
        <f>IF('CCUS Projects Database'!$S788&lt;&gt;"",HYPERLINK('CCUS Projects Database'!$S788,"Link 2"),"")</f>
        <v/>
      </c>
      <c r="AA788" s="239" t="str">
        <f>IF('CCUS Projects Database'!$T788&lt;&gt;"",HYPERLINK('CCUS Projects Database'!$T788,"Link 3"),"")</f>
        <v/>
      </c>
      <c r="AB788" s="239" t="str">
        <f>IF('CCUS Projects Database'!$U788&lt;&gt;"",HYPERLINK('CCUS Projects Database'!$U788,"Link 4"),"")</f>
        <v/>
      </c>
      <c r="AC788" s="239" t="str">
        <f>IF('CCUS Projects Database'!$V788&lt;&gt;"",HYPERLINK('CCUS Projects Database'!$V788,"Link 5"),"")</f>
        <v/>
      </c>
      <c r="AD788" s="239" t="str">
        <f>IF('CCUS Projects Database'!$W788&lt;&gt;"",HYPERLINK('CCUS Projects Database'!$W788,"Link 6"),"")</f>
        <v/>
      </c>
      <c r="AE788" s="239" t="str">
        <f>IF('CCUS Projects Database'!$X788&lt;&gt;"",HYPERLINK('CCUS Projects Database'!$X788,"Link 7"),"")</f>
        <v/>
      </c>
    </row>
    <row r="789" ht="14.25" customHeight="1">
      <c r="A789" s="233" t="s">
        <v>21476</v>
      </c>
      <c r="B789" s="234">
        <v>1067.0</v>
      </c>
      <c r="C789" s="234" t="s">
        <v>18586</v>
      </c>
      <c r="D789" s="235" t="s">
        <v>21477</v>
      </c>
      <c r="E789" s="234" t="s">
        <v>18618</v>
      </c>
      <c r="F789" s="234">
        <v>2023.0</v>
      </c>
      <c r="G789" s="234" t="s">
        <v>18725</v>
      </c>
      <c r="H789" s="234" t="s">
        <v>18725</v>
      </c>
      <c r="I789" s="234" t="s">
        <v>18725</v>
      </c>
      <c r="J789" s="234" t="s">
        <v>18636</v>
      </c>
      <c r="K789" s="236">
        <v>1.0</v>
      </c>
      <c r="L789" s="236">
        <v>0.05</v>
      </c>
      <c r="M789" s="236">
        <v>0.05</v>
      </c>
      <c r="N789" s="234" t="s">
        <v>18218</v>
      </c>
      <c r="O789" s="237" t="s">
        <v>18675</v>
      </c>
      <c r="P789" s="238" t="s">
        <v>18725</v>
      </c>
      <c r="Q789" s="234" t="s">
        <v>18732</v>
      </c>
      <c r="R789" s="238" t="s">
        <v>21478</v>
      </c>
      <c r="S789" s="238" t="s">
        <v>21479</v>
      </c>
      <c r="T789" s="238" t="s">
        <v>18725</v>
      </c>
      <c r="U789" s="238" t="s">
        <v>18725</v>
      </c>
      <c r="V789" s="238" t="s">
        <v>18725</v>
      </c>
      <c r="W789" s="238" t="s">
        <v>18725</v>
      </c>
      <c r="X789" s="238" t="s">
        <v>18725</v>
      </c>
      <c r="Y789" s="239" t="str">
        <f>IF('CCUS Projects Database'!$R789&lt;&gt;"",HYPERLINK('CCUS Projects Database'!$R789,"Link 1"),"")</f>
        <v>Link 1</v>
      </c>
      <c r="Z789" s="239" t="str">
        <f>IF('CCUS Projects Database'!$S789&lt;&gt;"",HYPERLINK('CCUS Projects Database'!$S789,"Link 2"),"")</f>
        <v>Link 2</v>
      </c>
      <c r="AA789" s="239" t="str">
        <f>IF('CCUS Projects Database'!$T789&lt;&gt;"",HYPERLINK('CCUS Projects Database'!$T789,"Link 3"),"")</f>
        <v/>
      </c>
      <c r="AB789" s="239" t="str">
        <f>IF('CCUS Projects Database'!$U789&lt;&gt;"",HYPERLINK('CCUS Projects Database'!$U789,"Link 4"),"")</f>
        <v/>
      </c>
      <c r="AC789" s="239" t="str">
        <f>IF('CCUS Projects Database'!$V789&lt;&gt;"",HYPERLINK('CCUS Projects Database'!$V789,"Link 5"),"")</f>
        <v/>
      </c>
      <c r="AD789" s="239" t="str">
        <f>IF('CCUS Projects Database'!$W789&lt;&gt;"",HYPERLINK('CCUS Projects Database'!$W789,"Link 6"),"")</f>
        <v/>
      </c>
      <c r="AE789" s="239" t="str">
        <f>IF('CCUS Projects Database'!$X789&lt;&gt;"",HYPERLINK('CCUS Projects Database'!$X789,"Link 7"),"")</f>
        <v/>
      </c>
    </row>
    <row r="790" ht="14.25" customHeight="1">
      <c r="A790" s="233" t="s">
        <v>21480</v>
      </c>
      <c r="B790" s="234">
        <v>1068.0</v>
      </c>
      <c r="C790" s="234" t="s">
        <v>18586</v>
      </c>
      <c r="D790" s="235" t="s">
        <v>21477</v>
      </c>
      <c r="E790" s="234" t="s">
        <v>18618</v>
      </c>
      <c r="F790" s="234">
        <v>2023.0</v>
      </c>
      <c r="G790" s="234" t="s">
        <v>18725</v>
      </c>
      <c r="H790" s="234" t="s">
        <v>18725</v>
      </c>
      <c r="I790" s="234" t="s">
        <v>18725</v>
      </c>
      <c r="J790" s="234" t="s">
        <v>18636</v>
      </c>
      <c r="K790" s="236">
        <v>2.0</v>
      </c>
      <c r="L790" s="236">
        <v>0.45</v>
      </c>
      <c r="M790" s="236">
        <v>0.45</v>
      </c>
      <c r="N790" s="234" t="s">
        <v>18218</v>
      </c>
      <c r="O790" s="237" t="s">
        <v>18675</v>
      </c>
      <c r="P790" s="238" t="s">
        <v>18725</v>
      </c>
      <c r="Q790" s="234" t="s">
        <v>18732</v>
      </c>
      <c r="R790" s="238" t="s">
        <v>21478</v>
      </c>
      <c r="S790" s="238" t="s">
        <v>21479</v>
      </c>
      <c r="T790" s="238" t="s">
        <v>18725</v>
      </c>
      <c r="U790" s="238" t="s">
        <v>18725</v>
      </c>
      <c r="V790" s="238" t="s">
        <v>18725</v>
      </c>
      <c r="W790" s="238" t="s">
        <v>18725</v>
      </c>
      <c r="X790" s="238" t="s">
        <v>18725</v>
      </c>
      <c r="Y790" s="239" t="str">
        <f>IF('CCUS Projects Database'!$R790&lt;&gt;"",HYPERLINK('CCUS Projects Database'!$R790,"Link 1"),"")</f>
        <v>Link 1</v>
      </c>
      <c r="Z790" s="239" t="str">
        <f>IF('CCUS Projects Database'!$S790&lt;&gt;"",HYPERLINK('CCUS Projects Database'!$S790,"Link 2"),"")</f>
        <v>Link 2</v>
      </c>
      <c r="AA790" s="239" t="str">
        <f>IF('CCUS Projects Database'!$T790&lt;&gt;"",HYPERLINK('CCUS Projects Database'!$T790,"Link 3"),"")</f>
        <v/>
      </c>
      <c r="AB790" s="239" t="str">
        <f>IF('CCUS Projects Database'!$U790&lt;&gt;"",HYPERLINK('CCUS Projects Database'!$U790,"Link 4"),"")</f>
        <v/>
      </c>
      <c r="AC790" s="239" t="str">
        <f>IF('CCUS Projects Database'!$V790&lt;&gt;"",HYPERLINK('CCUS Projects Database'!$V790,"Link 5"),"")</f>
        <v/>
      </c>
      <c r="AD790" s="239" t="str">
        <f>IF('CCUS Projects Database'!$W790&lt;&gt;"",HYPERLINK('CCUS Projects Database'!$W790,"Link 6"),"")</f>
        <v/>
      </c>
      <c r="AE790" s="239" t="str">
        <f>IF('CCUS Projects Database'!$X790&lt;&gt;"",HYPERLINK('CCUS Projects Database'!$X790,"Link 7"),"")</f>
        <v/>
      </c>
    </row>
    <row r="791" ht="14.25" customHeight="1">
      <c r="A791" s="233" t="s">
        <v>21481</v>
      </c>
      <c r="B791" s="234">
        <v>1069.0</v>
      </c>
      <c r="C791" s="234" t="s">
        <v>86</v>
      </c>
      <c r="D791" s="235" t="s">
        <v>21482</v>
      </c>
      <c r="E791" s="234" t="s">
        <v>3</v>
      </c>
      <c r="F791" s="234">
        <v>2022.0</v>
      </c>
      <c r="G791" s="234" t="s">
        <v>18725</v>
      </c>
      <c r="H791" s="234" t="s">
        <v>18725</v>
      </c>
      <c r="I791" s="234" t="s">
        <v>18725</v>
      </c>
      <c r="J791" s="234" t="s">
        <v>18636</v>
      </c>
      <c r="K791" s="236" t="s">
        <v>18725</v>
      </c>
      <c r="L791" s="236" t="s">
        <v>18725</v>
      </c>
      <c r="M791" s="236" t="s">
        <v>18725</v>
      </c>
      <c r="N791" s="234" t="s">
        <v>3</v>
      </c>
      <c r="O791" s="237" t="s">
        <v>18675</v>
      </c>
      <c r="P791" s="238" t="s">
        <v>18725</v>
      </c>
      <c r="Q791" s="234" t="s">
        <v>18726</v>
      </c>
      <c r="R791" s="238" t="s">
        <v>21483</v>
      </c>
      <c r="S791" s="238" t="s">
        <v>18725</v>
      </c>
      <c r="T791" s="238" t="s">
        <v>18725</v>
      </c>
      <c r="U791" s="238" t="s">
        <v>18725</v>
      </c>
      <c r="V791" s="238" t="s">
        <v>18725</v>
      </c>
      <c r="W791" s="238" t="s">
        <v>18725</v>
      </c>
      <c r="X791" s="238" t="s">
        <v>18725</v>
      </c>
      <c r="Y791" s="239" t="str">
        <f>IF('CCUS Projects Database'!$R791&lt;&gt;"",HYPERLINK('CCUS Projects Database'!$R791,"Link 1"),"")</f>
        <v>Link 1</v>
      </c>
      <c r="Z791" s="239" t="str">
        <f>IF('CCUS Projects Database'!$S791&lt;&gt;"",HYPERLINK('CCUS Projects Database'!$S791,"Link 2"),"")</f>
        <v/>
      </c>
      <c r="AA791" s="239" t="str">
        <f>IF('CCUS Projects Database'!$T791&lt;&gt;"",HYPERLINK('CCUS Projects Database'!$T791,"Link 3"),"")</f>
        <v/>
      </c>
      <c r="AB791" s="239" t="str">
        <f>IF('CCUS Projects Database'!$U791&lt;&gt;"",HYPERLINK('CCUS Projects Database'!$U791,"Link 4"),"")</f>
        <v/>
      </c>
      <c r="AC791" s="239" t="str">
        <f>IF('CCUS Projects Database'!$V791&lt;&gt;"",HYPERLINK('CCUS Projects Database'!$V791,"Link 5"),"")</f>
        <v/>
      </c>
      <c r="AD791" s="239" t="str">
        <f>IF('CCUS Projects Database'!$W791&lt;&gt;"",HYPERLINK('CCUS Projects Database'!$W791,"Link 6"),"")</f>
        <v/>
      </c>
      <c r="AE791" s="239" t="str">
        <f>IF('CCUS Projects Database'!$X791&lt;&gt;"",HYPERLINK('CCUS Projects Database'!$X791,"Link 7"),"")</f>
        <v/>
      </c>
    </row>
    <row r="792" ht="14.25" customHeight="1">
      <c r="A792" s="233" t="s">
        <v>21484</v>
      </c>
      <c r="B792" s="234">
        <v>1070.0</v>
      </c>
      <c r="C792" s="234" t="s">
        <v>19968</v>
      </c>
      <c r="D792" s="235" t="s">
        <v>21020</v>
      </c>
      <c r="E792" s="234" t="s">
        <v>18623</v>
      </c>
      <c r="F792" s="234">
        <v>2023.0</v>
      </c>
      <c r="G792" s="234" t="s">
        <v>18725</v>
      </c>
      <c r="H792" s="234">
        <v>2030.0</v>
      </c>
      <c r="I792" s="234" t="s">
        <v>18725</v>
      </c>
      <c r="J792" s="234" t="s">
        <v>18636</v>
      </c>
      <c r="K792" s="236" t="s">
        <v>18725</v>
      </c>
      <c r="L792" s="236" t="s">
        <v>18725</v>
      </c>
      <c r="M792" s="236" t="s">
        <v>18725</v>
      </c>
      <c r="N792" s="234" t="s">
        <v>18623</v>
      </c>
      <c r="O792" s="237" t="s">
        <v>18675</v>
      </c>
      <c r="P792" s="238" t="s">
        <v>19216</v>
      </c>
      <c r="Q792" s="234" t="s">
        <v>18856</v>
      </c>
      <c r="R792" s="238" t="s">
        <v>21485</v>
      </c>
      <c r="S792" s="238" t="s">
        <v>18725</v>
      </c>
      <c r="T792" s="238" t="s">
        <v>18725</v>
      </c>
      <c r="U792" s="238" t="s">
        <v>18725</v>
      </c>
      <c r="V792" s="238" t="s">
        <v>18725</v>
      </c>
      <c r="W792" s="238" t="s">
        <v>18725</v>
      </c>
      <c r="X792" s="238" t="s">
        <v>18725</v>
      </c>
      <c r="Y792" s="239" t="str">
        <f>IF('CCUS Projects Database'!$R792&lt;&gt;"",HYPERLINK('CCUS Projects Database'!$R792,"Link 1"),"")</f>
        <v>Link 1</v>
      </c>
      <c r="Z792" s="239" t="str">
        <f>IF('CCUS Projects Database'!$S792&lt;&gt;"",HYPERLINK('CCUS Projects Database'!$S792,"Link 2"),"")</f>
        <v/>
      </c>
      <c r="AA792" s="239" t="str">
        <f>IF('CCUS Projects Database'!$T792&lt;&gt;"",HYPERLINK('CCUS Projects Database'!$T792,"Link 3"),"")</f>
        <v/>
      </c>
      <c r="AB792" s="239" t="str">
        <f>IF('CCUS Projects Database'!$U792&lt;&gt;"",HYPERLINK('CCUS Projects Database'!$U792,"Link 4"),"")</f>
        <v/>
      </c>
      <c r="AC792" s="239" t="str">
        <f>IF('CCUS Projects Database'!$V792&lt;&gt;"",HYPERLINK('CCUS Projects Database'!$V792,"Link 5"),"")</f>
        <v/>
      </c>
      <c r="AD792" s="239" t="str">
        <f>IF('CCUS Projects Database'!$W792&lt;&gt;"",HYPERLINK('CCUS Projects Database'!$W792,"Link 6"),"")</f>
        <v/>
      </c>
      <c r="AE792" s="239" t="str">
        <f>IF('CCUS Projects Database'!$X792&lt;&gt;"",HYPERLINK('CCUS Projects Database'!$X792,"Link 7"),"")</f>
        <v/>
      </c>
    </row>
    <row r="793" ht="14.25" customHeight="1">
      <c r="A793" s="233" t="s">
        <v>21486</v>
      </c>
      <c r="B793" s="234">
        <v>1072.0</v>
      </c>
      <c r="C793" s="234" t="s">
        <v>18586</v>
      </c>
      <c r="D793" s="235" t="s">
        <v>21487</v>
      </c>
      <c r="E793" s="234" t="s">
        <v>18618</v>
      </c>
      <c r="F793" s="234">
        <v>2024.0</v>
      </c>
      <c r="G793" s="234" t="s">
        <v>18725</v>
      </c>
      <c r="H793" s="234">
        <v>2028.0</v>
      </c>
      <c r="I793" s="234" t="s">
        <v>18725</v>
      </c>
      <c r="J793" s="234" t="s">
        <v>18636</v>
      </c>
      <c r="K793" s="236" t="s">
        <v>18725</v>
      </c>
      <c r="L793" s="236">
        <v>0.145</v>
      </c>
      <c r="M793" s="236">
        <v>0.145</v>
      </c>
      <c r="N793" s="234" t="s">
        <v>18661</v>
      </c>
      <c r="O793" s="237" t="s">
        <v>18683</v>
      </c>
      <c r="P793" s="238" t="s">
        <v>18725</v>
      </c>
      <c r="Q793" s="234" t="s">
        <v>18732</v>
      </c>
      <c r="R793" s="238" t="s">
        <v>21488</v>
      </c>
      <c r="S793" s="238" t="s">
        <v>21489</v>
      </c>
      <c r="T793" s="238" t="s">
        <v>18725</v>
      </c>
      <c r="U793" s="238" t="s">
        <v>18725</v>
      </c>
      <c r="V793" s="238" t="s">
        <v>18725</v>
      </c>
      <c r="W793" s="238" t="s">
        <v>18725</v>
      </c>
      <c r="X793" s="238" t="s">
        <v>18725</v>
      </c>
      <c r="Y793" s="239" t="str">
        <f>IF('CCUS Projects Database'!$R793&lt;&gt;"",HYPERLINK('CCUS Projects Database'!$R793,"Link 1"),"")</f>
        <v>Link 1</v>
      </c>
      <c r="Z793" s="239" t="str">
        <f>IF('CCUS Projects Database'!$S793&lt;&gt;"",HYPERLINK('CCUS Projects Database'!$S793,"Link 2"),"")</f>
        <v>Link 2</v>
      </c>
      <c r="AA793" s="239" t="str">
        <f>IF('CCUS Projects Database'!$T793&lt;&gt;"",HYPERLINK('CCUS Projects Database'!$T793,"Link 3"),"")</f>
        <v/>
      </c>
      <c r="AB793" s="239" t="str">
        <f>IF('CCUS Projects Database'!$U793&lt;&gt;"",HYPERLINK('CCUS Projects Database'!$U793,"Link 4"),"")</f>
        <v/>
      </c>
      <c r="AC793" s="239" t="str">
        <f>IF('CCUS Projects Database'!$V793&lt;&gt;"",HYPERLINK('CCUS Projects Database'!$V793,"Link 5"),"")</f>
        <v/>
      </c>
      <c r="AD793" s="239" t="str">
        <f>IF('CCUS Projects Database'!$W793&lt;&gt;"",HYPERLINK('CCUS Projects Database'!$W793,"Link 6"),"")</f>
        <v/>
      </c>
      <c r="AE793" s="239" t="str">
        <f>IF('CCUS Projects Database'!$X793&lt;&gt;"",HYPERLINK('CCUS Projects Database'!$X793,"Link 7"),"")</f>
        <v/>
      </c>
    </row>
    <row r="794" ht="14.25" customHeight="1">
      <c r="A794" s="233" t="s">
        <v>21490</v>
      </c>
      <c r="B794" s="234">
        <v>1073.0</v>
      </c>
      <c r="C794" s="234" t="s">
        <v>18586</v>
      </c>
      <c r="D794" s="235" t="s">
        <v>21491</v>
      </c>
      <c r="E794" s="234" t="s">
        <v>18618</v>
      </c>
      <c r="F794" s="234">
        <v>2024.0</v>
      </c>
      <c r="G794" s="234" t="s">
        <v>18725</v>
      </c>
      <c r="H794" s="234" t="s">
        <v>18725</v>
      </c>
      <c r="I794" s="234" t="s">
        <v>18725</v>
      </c>
      <c r="J794" s="234" t="s">
        <v>18636</v>
      </c>
      <c r="K794" s="236" t="s">
        <v>18725</v>
      </c>
      <c r="L794" s="236">
        <v>0.12</v>
      </c>
      <c r="M794" s="236">
        <v>0.12</v>
      </c>
      <c r="N794" s="234" t="s">
        <v>103</v>
      </c>
      <c r="O794" s="237" t="s">
        <v>18683</v>
      </c>
      <c r="P794" s="238" t="s">
        <v>18725</v>
      </c>
      <c r="Q794" s="234" t="s">
        <v>18732</v>
      </c>
      <c r="R794" s="238" t="s">
        <v>21488</v>
      </c>
      <c r="S794" s="238" t="s">
        <v>18725</v>
      </c>
      <c r="T794" s="238" t="s">
        <v>18725</v>
      </c>
      <c r="U794" s="238" t="s">
        <v>18725</v>
      </c>
      <c r="V794" s="238" t="s">
        <v>18725</v>
      </c>
      <c r="W794" s="238" t="s">
        <v>18725</v>
      </c>
      <c r="X794" s="238" t="s">
        <v>18725</v>
      </c>
      <c r="Y794" s="239" t="str">
        <f>IF('CCUS Projects Database'!$R794&lt;&gt;"",HYPERLINK('CCUS Projects Database'!$R794,"Link 1"),"")</f>
        <v>Link 1</v>
      </c>
      <c r="Z794" s="239" t="str">
        <f>IF('CCUS Projects Database'!$S794&lt;&gt;"",HYPERLINK('CCUS Projects Database'!$S794,"Link 2"),"")</f>
        <v/>
      </c>
      <c r="AA794" s="239" t="str">
        <f>IF('CCUS Projects Database'!$T794&lt;&gt;"",HYPERLINK('CCUS Projects Database'!$T794,"Link 3"),"")</f>
        <v/>
      </c>
      <c r="AB794" s="239" t="str">
        <f>IF('CCUS Projects Database'!$U794&lt;&gt;"",HYPERLINK('CCUS Projects Database'!$U794,"Link 4"),"")</f>
        <v/>
      </c>
      <c r="AC794" s="239" t="str">
        <f>IF('CCUS Projects Database'!$V794&lt;&gt;"",HYPERLINK('CCUS Projects Database'!$V794,"Link 5"),"")</f>
        <v/>
      </c>
      <c r="AD794" s="239" t="str">
        <f>IF('CCUS Projects Database'!$W794&lt;&gt;"",HYPERLINK('CCUS Projects Database'!$W794,"Link 6"),"")</f>
        <v/>
      </c>
      <c r="AE794" s="239" t="str">
        <f>IF('CCUS Projects Database'!$X794&lt;&gt;"",HYPERLINK('CCUS Projects Database'!$X794,"Link 7"),"")</f>
        <v/>
      </c>
    </row>
    <row r="795" ht="14.25" customHeight="1">
      <c r="A795" s="233" t="s">
        <v>21492</v>
      </c>
      <c r="B795" s="234">
        <v>1075.0</v>
      </c>
      <c r="C795" s="234" t="s">
        <v>18264</v>
      </c>
      <c r="D795" s="235" t="s">
        <v>21493</v>
      </c>
      <c r="E795" s="234" t="s">
        <v>18618</v>
      </c>
      <c r="F795" s="234">
        <v>2024.0</v>
      </c>
      <c r="G795" s="234" t="s">
        <v>18725</v>
      </c>
      <c r="H795" s="234">
        <v>2027.0</v>
      </c>
      <c r="I795" s="234" t="s">
        <v>18725</v>
      </c>
      <c r="J795" s="234" t="s">
        <v>18636</v>
      </c>
      <c r="K795" s="236" t="s">
        <v>18725</v>
      </c>
      <c r="L795" s="236">
        <v>0.185</v>
      </c>
      <c r="M795" s="236">
        <v>0.185</v>
      </c>
      <c r="N795" s="234" t="s">
        <v>18654</v>
      </c>
      <c r="O795" s="237" t="s">
        <v>18683</v>
      </c>
      <c r="P795" s="238" t="s">
        <v>18725</v>
      </c>
      <c r="Q795" s="234" t="s">
        <v>18732</v>
      </c>
      <c r="R795" s="238" t="s">
        <v>21494</v>
      </c>
      <c r="S795" s="238" t="s">
        <v>21495</v>
      </c>
      <c r="T795" s="238" t="s">
        <v>18725</v>
      </c>
      <c r="U795" s="238" t="s">
        <v>18725</v>
      </c>
      <c r="V795" s="238" t="s">
        <v>18725</v>
      </c>
      <c r="W795" s="238" t="s">
        <v>18725</v>
      </c>
      <c r="X795" s="238" t="s">
        <v>18725</v>
      </c>
      <c r="Y795" s="239" t="str">
        <f>IF('CCUS Projects Database'!$R795&lt;&gt;"",HYPERLINK('CCUS Projects Database'!$R795,"Link 1"),"")</f>
        <v>Link 1</v>
      </c>
      <c r="Z795" s="239" t="str">
        <f>IF('CCUS Projects Database'!$S795&lt;&gt;"",HYPERLINK('CCUS Projects Database'!$S795,"Link 2"),"")</f>
        <v>Link 2</v>
      </c>
      <c r="AA795" s="239" t="str">
        <f>IF('CCUS Projects Database'!$T795&lt;&gt;"",HYPERLINK('CCUS Projects Database'!$T795,"Link 3"),"")</f>
        <v/>
      </c>
      <c r="AB795" s="239" t="str">
        <f>IF('CCUS Projects Database'!$U795&lt;&gt;"",HYPERLINK('CCUS Projects Database'!$U795,"Link 4"),"")</f>
        <v/>
      </c>
      <c r="AC795" s="239" t="str">
        <f>IF('CCUS Projects Database'!$V795&lt;&gt;"",HYPERLINK('CCUS Projects Database'!$V795,"Link 5"),"")</f>
        <v/>
      </c>
      <c r="AD795" s="239" t="str">
        <f>IF('CCUS Projects Database'!$W795&lt;&gt;"",HYPERLINK('CCUS Projects Database'!$W795,"Link 6"),"")</f>
        <v/>
      </c>
      <c r="AE795" s="239" t="str">
        <f>IF('CCUS Projects Database'!$X795&lt;&gt;"",HYPERLINK('CCUS Projects Database'!$X795,"Link 7"),"")</f>
        <v/>
      </c>
    </row>
    <row r="796" ht="14.25" customHeight="1">
      <c r="A796" s="233" t="s">
        <v>21496</v>
      </c>
      <c r="B796" s="234">
        <v>1076.0</v>
      </c>
      <c r="C796" s="234" t="s">
        <v>18580</v>
      </c>
      <c r="D796" s="235" t="s">
        <v>21497</v>
      </c>
      <c r="E796" s="234" t="s">
        <v>18618</v>
      </c>
      <c r="F796" s="234">
        <v>2024.0</v>
      </c>
      <c r="G796" s="234" t="s">
        <v>18725</v>
      </c>
      <c r="H796" s="234">
        <v>2026.0</v>
      </c>
      <c r="I796" s="234" t="s">
        <v>18725</v>
      </c>
      <c r="J796" s="234" t="s">
        <v>18636</v>
      </c>
      <c r="K796" s="236" t="s">
        <v>18725</v>
      </c>
      <c r="L796" s="236">
        <v>0.1</v>
      </c>
      <c r="M796" s="236">
        <v>0.1</v>
      </c>
      <c r="N796" s="234" t="s">
        <v>18663</v>
      </c>
      <c r="O796" s="237" t="s">
        <v>18683</v>
      </c>
      <c r="P796" s="238" t="s">
        <v>18725</v>
      </c>
      <c r="Q796" s="234" t="s">
        <v>18856</v>
      </c>
      <c r="R796" s="238" t="s">
        <v>21498</v>
      </c>
      <c r="S796" s="238" t="s">
        <v>18725</v>
      </c>
      <c r="T796" s="238" t="s">
        <v>18725</v>
      </c>
      <c r="U796" s="238" t="s">
        <v>18725</v>
      </c>
      <c r="V796" s="238" t="s">
        <v>18725</v>
      </c>
      <c r="W796" s="238" t="s">
        <v>18725</v>
      </c>
      <c r="X796" s="238" t="s">
        <v>18725</v>
      </c>
      <c r="Y796" s="239" t="str">
        <f>IF('CCUS Projects Database'!$R796&lt;&gt;"",HYPERLINK('CCUS Projects Database'!$R796,"Link 1"),"")</f>
        <v>Link 1</v>
      </c>
      <c r="Z796" s="239" t="str">
        <f>IF('CCUS Projects Database'!$S796&lt;&gt;"",HYPERLINK('CCUS Projects Database'!$S796,"Link 2"),"")</f>
        <v/>
      </c>
      <c r="AA796" s="239" t="str">
        <f>IF('CCUS Projects Database'!$T796&lt;&gt;"",HYPERLINK('CCUS Projects Database'!$T796,"Link 3"),"")</f>
        <v/>
      </c>
      <c r="AB796" s="239" t="str">
        <f>IF('CCUS Projects Database'!$U796&lt;&gt;"",HYPERLINK('CCUS Projects Database'!$U796,"Link 4"),"")</f>
        <v/>
      </c>
      <c r="AC796" s="239" t="str">
        <f>IF('CCUS Projects Database'!$V796&lt;&gt;"",HYPERLINK('CCUS Projects Database'!$V796,"Link 5"),"")</f>
        <v/>
      </c>
      <c r="AD796" s="239" t="str">
        <f>IF('CCUS Projects Database'!$W796&lt;&gt;"",HYPERLINK('CCUS Projects Database'!$W796,"Link 6"),"")</f>
        <v/>
      </c>
      <c r="AE796" s="239" t="str">
        <f>IF('CCUS Projects Database'!$X796&lt;&gt;"",HYPERLINK('CCUS Projects Database'!$X796,"Link 7"),"")</f>
        <v/>
      </c>
    </row>
    <row r="797" ht="14.25" customHeight="1">
      <c r="A797" s="233" t="s">
        <v>21499</v>
      </c>
      <c r="B797" s="234">
        <v>1077.0</v>
      </c>
      <c r="C797" s="234" t="s">
        <v>18437</v>
      </c>
      <c r="D797" s="235" t="s">
        <v>21500</v>
      </c>
      <c r="E797" s="234" t="s">
        <v>18616</v>
      </c>
      <c r="F797" s="234" t="s">
        <v>18725</v>
      </c>
      <c r="G797" s="234">
        <v>2024.0</v>
      </c>
      <c r="H797" s="234">
        <v>2025.0</v>
      </c>
      <c r="I797" s="234" t="s">
        <v>18725</v>
      </c>
      <c r="J797" s="234" t="s">
        <v>18638</v>
      </c>
      <c r="K797" s="236">
        <v>1.0</v>
      </c>
      <c r="L797" s="236">
        <v>0.001</v>
      </c>
      <c r="M797" s="236">
        <v>0.001</v>
      </c>
      <c r="N797" s="234" t="s">
        <v>18218</v>
      </c>
      <c r="O797" s="237" t="s">
        <v>18675</v>
      </c>
      <c r="P797" s="238" t="s">
        <v>18725</v>
      </c>
      <c r="Q797" s="234" t="s">
        <v>20181</v>
      </c>
      <c r="R797" s="238" t="s">
        <v>21501</v>
      </c>
      <c r="S797" s="238" t="s">
        <v>21502</v>
      </c>
      <c r="T797" s="238" t="s">
        <v>18725</v>
      </c>
      <c r="U797" s="238" t="s">
        <v>18725</v>
      </c>
      <c r="V797" s="238" t="s">
        <v>18725</v>
      </c>
      <c r="W797" s="238" t="s">
        <v>18725</v>
      </c>
      <c r="X797" s="238" t="s">
        <v>18725</v>
      </c>
      <c r="Y797" s="239" t="str">
        <f>IF('CCUS Projects Database'!$R797&lt;&gt;"",HYPERLINK('CCUS Projects Database'!$R797,"Link 1"),"")</f>
        <v>Link 1</v>
      </c>
      <c r="Z797" s="239" t="str">
        <f>IF('CCUS Projects Database'!$S797&lt;&gt;"",HYPERLINK('CCUS Projects Database'!$S797,"Link 2"),"")</f>
        <v>Link 2</v>
      </c>
      <c r="AA797" s="239" t="str">
        <f>IF('CCUS Projects Database'!$T797&lt;&gt;"",HYPERLINK('CCUS Projects Database'!$T797,"Link 3"),"")</f>
        <v/>
      </c>
      <c r="AB797" s="239" t="str">
        <f>IF('CCUS Projects Database'!$U797&lt;&gt;"",HYPERLINK('CCUS Projects Database'!$U797,"Link 4"),"")</f>
        <v/>
      </c>
      <c r="AC797" s="239" t="str">
        <f>IF('CCUS Projects Database'!$V797&lt;&gt;"",HYPERLINK('CCUS Projects Database'!$V797,"Link 5"),"")</f>
        <v/>
      </c>
      <c r="AD797" s="239" t="str">
        <f>IF('CCUS Projects Database'!$W797&lt;&gt;"",HYPERLINK('CCUS Projects Database'!$W797,"Link 6"),"")</f>
        <v/>
      </c>
      <c r="AE797" s="239" t="str">
        <f>IF('CCUS Projects Database'!$X797&lt;&gt;"",HYPERLINK('CCUS Projects Database'!$X797,"Link 7"),"")</f>
        <v/>
      </c>
    </row>
    <row r="798" ht="14.25" customHeight="1">
      <c r="A798" s="233" t="s">
        <v>21503</v>
      </c>
      <c r="B798" s="234">
        <v>1079.0</v>
      </c>
      <c r="C798" s="234" t="s">
        <v>86</v>
      </c>
      <c r="D798" s="235" t="s">
        <v>21504</v>
      </c>
      <c r="E798" s="234" t="s">
        <v>18618</v>
      </c>
      <c r="F798" s="234">
        <v>2023.0</v>
      </c>
      <c r="G798" s="234" t="s">
        <v>18725</v>
      </c>
      <c r="H798" s="234">
        <v>2030.0</v>
      </c>
      <c r="I798" s="234" t="s">
        <v>18725</v>
      </c>
      <c r="J798" s="234" t="s">
        <v>18636</v>
      </c>
      <c r="K798" s="236" t="s">
        <v>18725</v>
      </c>
      <c r="L798" s="236">
        <v>0.36</v>
      </c>
      <c r="M798" s="236">
        <v>0.36</v>
      </c>
      <c r="N798" s="234" t="s">
        <v>18654</v>
      </c>
      <c r="O798" s="237" t="s">
        <v>18675</v>
      </c>
      <c r="P798" s="238" t="s">
        <v>18725</v>
      </c>
      <c r="Q798" s="234" t="s">
        <v>18726</v>
      </c>
      <c r="R798" s="238" t="s">
        <v>21505</v>
      </c>
      <c r="S798" s="238" t="s">
        <v>18725</v>
      </c>
      <c r="T798" s="238" t="s">
        <v>18725</v>
      </c>
      <c r="U798" s="238" t="s">
        <v>18725</v>
      </c>
      <c r="V798" s="238" t="s">
        <v>18725</v>
      </c>
      <c r="W798" s="238" t="s">
        <v>18725</v>
      </c>
      <c r="X798" s="238" t="s">
        <v>18725</v>
      </c>
      <c r="Y798" s="239" t="str">
        <f>IF('CCUS Projects Database'!$R798&lt;&gt;"",HYPERLINK('CCUS Projects Database'!$R798,"Link 1"),"")</f>
        <v>Link 1</v>
      </c>
      <c r="Z798" s="239" t="str">
        <f>IF('CCUS Projects Database'!$S798&lt;&gt;"",HYPERLINK('CCUS Projects Database'!$S798,"Link 2"),"")</f>
        <v/>
      </c>
      <c r="AA798" s="239" t="str">
        <f>IF('CCUS Projects Database'!$T798&lt;&gt;"",HYPERLINK('CCUS Projects Database'!$T798,"Link 3"),"")</f>
        <v/>
      </c>
      <c r="AB798" s="239" t="str">
        <f>IF('CCUS Projects Database'!$U798&lt;&gt;"",HYPERLINK('CCUS Projects Database'!$U798,"Link 4"),"")</f>
        <v/>
      </c>
      <c r="AC798" s="239" t="str">
        <f>IF('CCUS Projects Database'!$V798&lt;&gt;"",HYPERLINK('CCUS Projects Database'!$V798,"Link 5"),"")</f>
        <v/>
      </c>
      <c r="AD798" s="239" t="str">
        <f>IF('CCUS Projects Database'!$W798&lt;&gt;"",HYPERLINK('CCUS Projects Database'!$W798,"Link 6"),"")</f>
        <v/>
      </c>
      <c r="AE798" s="239" t="str">
        <f>IF('CCUS Projects Database'!$X798&lt;&gt;"",HYPERLINK('CCUS Projects Database'!$X798,"Link 7"),"")</f>
        <v/>
      </c>
    </row>
    <row r="799" ht="14.25" customHeight="1">
      <c r="A799" s="233" t="s">
        <v>21506</v>
      </c>
      <c r="B799" s="234">
        <v>1080.0</v>
      </c>
      <c r="C799" s="234" t="s">
        <v>86</v>
      </c>
      <c r="D799" s="235" t="s">
        <v>21507</v>
      </c>
      <c r="E799" s="234" t="s">
        <v>18618</v>
      </c>
      <c r="F799" s="234">
        <v>2021.0</v>
      </c>
      <c r="G799" s="234" t="s">
        <v>18725</v>
      </c>
      <c r="H799" s="234">
        <v>2030.0</v>
      </c>
      <c r="I799" s="234" t="s">
        <v>18725</v>
      </c>
      <c r="J799" s="234" t="s">
        <v>18636</v>
      </c>
      <c r="K799" s="236" t="s">
        <v>18725</v>
      </c>
      <c r="L799" s="236">
        <v>0.9</v>
      </c>
      <c r="M799" s="236">
        <v>0.9</v>
      </c>
      <c r="N799" s="234" t="s">
        <v>18654</v>
      </c>
      <c r="O799" s="237" t="s">
        <v>18683</v>
      </c>
      <c r="P799" s="238" t="s">
        <v>18725</v>
      </c>
      <c r="Q799" s="234" t="s">
        <v>18726</v>
      </c>
      <c r="R799" s="238" t="s">
        <v>21508</v>
      </c>
      <c r="S799" s="238" t="s">
        <v>18725</v>
      </c>
      <c r="T799" s="238" t="s">
        <v>18725</v>
      </c>
      <c r="U799" s="238" t="s">
        <v>18725</v>
      </c>
      <c r="V799" s="238" t="s">
        <v>18725</v>
      </c>
      <c r="W799" s="238" t="s">
        <v>18725</v>
      </c>
      <c r="X799" s="238" t="s">
        <v>18725</v>
      </c>
      <c r="Y799" s="239" t="str">
        <f>IF('CCUS Projects Database'!$R799&lt;&gt;"",HYPERLINK('CCUS Projects Database'!$R799,"Link 1"),"")</f>
        <v>Link 1</v>
      </c>
      <c r="Z799" s="239" t="str">
        <f>IF('CCUS Projects Database'!$S799&lt;&gt;"",HYPERLINK('CCUS Projects Database'!$S799,"Link 2"),"")</f>
        <v/>
      </c>
      <c r="AA799" s="239" t="str">
        <f>IF('CCUS Projects Database'!$T799&lt;&gt;"",HYPERLINK('CCUS Projects Database'!$T799,"Link 3"),"")</f>
        <v/>
      </c>
      <c r="AB799" s="239" t="str">
        <f>IF('CCUS Projects Database'!$U799&lt;&gt;"",HYPERLINK('CCUS Projects Database'!$U799,"Link 4"),"")</f>
        <v/>
      </c>
      <c r="AC799" s="239" t="str">
        <f>IF('CCUS Projects Database'!$V799&lt;&gt;"",HYPERLINK('CCUS Projects Database'!$V799,"Link 5"),"")</f>
        <v/>
      </c>
      <c r="AD799" s="239" t="str">
        <f>IF('CCUS Projects Database'!$W799&lt;&gt;"",HYPERLINK('CCUS Projects Database'!$W799,"Link 6"),"")</f>
        <v/>
      </c>
      <c r="AE799" s="239" t="str">
        <f>IF('CCUS Projects Database'!$X799&lt;&gt;"",HYPERLINK('CCUS Projects Database'!$X799,"Link 7"),"")</f>
        <v/>
      </c>
    </row>
    <row r="800" ht="14.25" customHeight="1">
      <c r="A800" s="233" t="s">
        <v>10109</v>
      </c>
      <c r="B800" s="234">
        <v>1082.0</v>
      </c>
      <c r="C800" s="234" t="s">
        <v>98</v>
      </c>
      <c r="D800" s="235" t="s">
        <v>21509</v>
      </c>
      <c r="E800" s="234" t="s">
        <v>18618</v>
      </c>
      <c r="F800" s="234">
        <v>2024.0</v>
      </c>
      <c r="G800" s="234" t="s">
        <v>18725</v>
      </c>
      <c r="H800" s="234" t="s">
        <v>18725</v>
      </c>
      <c r="I800" s="234" t="s">
        <v>18725</v>
      </c>
      <c r="J800" s="234" t="s">
        <v>18636</v>
      </c>
      <c r="K800" s="236" t="s">
        <v>18725</v>
      </c>
      <c r="L800" s="236" t="s">
        <v>18725</v>
      </c>
      <c r="M800" s="236" t="s">
        <v>18725</v>
      </c>
      <c r="N800" s="234" t="s">
        <v>18661</v>
      </c>
      <c r="O800" s="237" t="s">
        <v>18675</v>
      </c>
      <c r="P800" s="238" t="s">
        <v>18725</v>
      </c>
      <c r="Q800" s="234" t="s">
        <v>18726</v>
      </c>
      <c r="R800" s="238" t="s">
        <v>17908</v>
      </c>
      <c r="S800" s="238" t="s">
        <v>18725</v>
      </c>
      <c r="T800" s="238" t="s">
        <v>18725</v>
      </c>
      <c r="U800" s="238" t="s">
        <v>18725</v>
      </c>
      <c r="V800" s="238" t="s">
        <v>18725</v>
      </c>
      <c r="W800" s="238" t="s">
        <v>18725</v>
      </c>
      <c r="X800" s="238" t="s">
        <v>18725</v>
      </c>
      <c r="Y800" s="239" t="str">
        <f>IF('CCUS Projects Database'!$R800&lt;&gt;"",HYPERLINK('CCUS Projects Database'!$R800,"Link 1"),"")</f>
        <v>Link 1</v>
      </c>
      <c r="Z800" s="239" t="str">
        <f>IF('CCUS Projects Database'!$S800&lt;&gt;"",HYPERLINK('CCUS Projects Database'!$S800,"Link 2"),"")</f>
        <v/>
      </c>
      <c r="AA800" s="239" t="str">
        <f>IF('CCUS Projects Database'!$T800&lt;&gt;"",HYPERLINK('CCUS Projects Database'!$T800,"Link 3"),"")</f>
        <v/>
      </c>
      <c r="AB800" s="239" t="str">
        <f>IF('CCUS Projects Database'!$U800&lt;&gt;"",HYPERLINK('CCUS Projects Database'!$U800,"Link 4"),"")</f>
        <v/>
      </c>
      <c r="AC800" s="239" t="str">
        <f>IF('CCUS Projects Database'!$V800&lt;&gt;"",HYPERLINK('CCUS Projects Database'!$V800,"Link 5"),"")</f>
        <v/>
      </c>
      <c r="AD800" s="239" t="str">
        <f>IF('CCUS Projects Database'!$W800&lt;&gt;"",HYPERLINK('CCUS Projects Database'!$W800,"Link 6"),"")</f>
        <v/>
      </c>
      <c r="AE800" s="239" t="str">
        <f>IF('CCUS Projects Database'!$X800&lt;&gt;"",HYPERLINK('CCUS Projects Database'!$X800,"Link 7"),"")</f>
        <v/>
      </c>
    </row>
    <row r="801" ht="14.25" customHeight="1">
      <c r="A801" s="233" t="s">
        <v>21510</v>
      </c>
      <c r="B801" s="234">
        <v>1084.0</v>
      </c>
      <c r="C801" s="234" t="s">
        <v>18586</v>
      </c>
      <c r="D801" s="235" t="s">
        <v>21511</v>
      </c>
      <c r="E801" s="234" t="s">
        <v>18623</v>
      </c>
      <c r="F801" s="234">
        <v>2023.0</v>
      </c>
      <c r="G801" s="234" t="s">
        <v>18725</v>
      </c>
      <c r="H801" s="234" t="s">
        <v>18725</v>
      </c>
      <c r="I801" s="234" t="s">
        <v>18725</v>
      </c>
      <c r="J801" s="234" t="s">
        <v>18636</v>
      </c>
      <c r="K801" s="236" t="s">
        <v>18725</v>
      </c>
      <c r="L801" s="236">
        <v>2.0</v>
      </c>
      <c r="M801" s="236">
        <v>2.0</v>
      </c>
      <c r="N801" s="234" t="s">
        <v>18623</v>
      </c>
      <c r="O801" s="237" t="s">
        <v>18683</v>
      </c>
      <c r="P801" s="238" t="s">
        <v>21510</v>
      </c>
      <c r="Q801" s="234" t="s">
        <v>18732</v>
      </c>
      <c r="R801" s="238" t="s">
        <v>21329</v>
      </c>
      <c r="S801" s="238" t="s">
        <v>21512</v>
      </c>
      <c r="T801" s="238" t="s">
        <v>18725</v>
      </c>
      <c r="U801" s="238" t="s">
        <v>18725</v>
      </c>
      <c r="V801" s="238" t="s">
        <v>18725</v>
      </c>
      <c r="W801" s="238" t="s">
        <v>18725</v>
      </c>
      <c r="X801" s="238" t="s">
        <v>18725</v>
      </c>
      <c r="Y801" s="239" t="str">
        <f>IF('CCUS Projects Database'!$R801&lt;&gt;"",HYPERLINK('CCUS Projects Database'!$R801,"Link 1"),"")</f>
        <v>Link 1</v>
      </c>
      <c r="Z801" s="239" t="str">
        <f>IF('CCUS Projects Database'!$S801&lt;&gt;"",HYPERLINK('CCUS Projects Database'!$S801,"Link 2"),"")</f>
        <v>Link 2</v>
      </c>
      <c r="AA801" s="239" t="str">
        <f>IF('CCUS Projects Database'!$T801&lt;&gt;"",HYPERLINK('CCUS Projects Database'!$T801,"Link 3"),"")</f>
        <v/>
      </c>
      <c r="AB801" s="239" t="str">
        <f>IF('CCUS Projects Database'!$U801&lt;&gt;"",HYPERLINK('CCUS Projects Database'!$U801,"Link 4"),"")</f>
        <v/>
      </c>
      <c r="AC801" s="239" t="str">
        <f>IF('CCUS Projects Database'!$V801&lt;&gt;"",HYPERLINK('CCUS Projects Database'!$V801,"Link 5"),"")</f>
        <v/>
      </c>
      <c r="AD801" s="239" t="str">
        <f>IF('CCUS Projects Database'!$W801&lt;&gt;"",HYPERLINK('CCUS Projects Database'!$W801,"Link 6"),"")</f>
        <v/>
      </c>
      <c r="AE801" s="239" t="str">
        <f>IF('CCUS Projects Database'!$X801&lt;&gt;"",HYPERLINK('CCUS Projects Database'!$X801,"Link 7"),"")</f>
        <v/>
      </c>
    </row>
    <row r="802" ht="14.25" customHeight="1">
      <c r="A802" s="233" t="s">
        <v>21513</v>
      </c>
      <c r="B802" s="234">
        <v>1085.0</v>
      </c>
      <c r="C802" s="234" t="s">
        <v>18586</v>
      </c>
      <c r="D802" s="235" t="s">
        <v>21514</v>
      </c>
      <c r="E802" s="234" t="s">
        <v>18625</v>
      </c>
      <c r="F802" s="234">
        <v>2023.0</v>
      </c>
      <c r="G802" s="234" t="s">
        <v>18725</v>
      </c>
      <c r="H802" s="234" t="s">
        <v>18725</v>
      </c>
      <c r="I802" s="234" t="s">
        <v>18725</v>
      </c>
      <c r="J802" s="234" t="s">
        <v>18636</v>
      </c>
      <c r="K802" s="236" t="s">
        <v>18725</v>
      </c>
      <c r="L802" s="236">
        <v>0.14</v>
      </c>
      <c r="M802" s="236">
        <v>0.14</v>
      </c>
      <c r="N802" s="234" t="s">
        <v>12270</v>
      </c>
      <c r="O802" s="237" t="s">
        <v>18679</v>
      </c>
      <c r="P802" s="238" t="s">
        <v>18725</v>
      </c>
      <c r="Q802" s="234" t="s">
        <v>18732</v>
      </c>
      <c r="R802" s="238" t="s">
        <v>21515</v>
      </c>
      <c r="S802" s="238" t="s">
        <v>21516</v>
      </c>
      <c r="T802" s="238" t="s">
        <v>18725</v>
      </c>
      <c r="U802" s="238" t="s">
        <v>18725</v>
      </c>
      <c r="V802" s="238" t="s">
        <v>18725</v>
      </c>
      <c r="W802" s="238" t="s">
        <v>18725</v>
      </c>
      <c r="X802" s="238" t="s">
        <v>18725</v>
      </c>
      <c r="Y802" s="239" t="str">
        <f>IF('CCUS Projects Database'!$R802&lt;&gt;"",HYPERLINK('CCUS Projects Database'!$R802,"Link 1"),"")</f>
        <v>Link 1</v>
      </c>
      <c r="Z802" s="239" t="str">
        <f>IF('CCUS Projects Database'!$S802&lt;&gt;"",HYPERLINK('CCUS Projects Database'!$S802,"Link 2"),"")</f>
        <v>Link 2</v>
      </c>
      <c r="AA802" s="239" t="str">
        <f>IF('CCUS Projects Database'!$T802&lt;&gt;"",HYPERLINK('CCUS Projects Database'!$T802,"Link 3"),"")</f>
        <v/>
      </c>
      <c r="AB802" s="239" t="str">
        <f>IF('CCUS Projects Database'!$U802&lt;&gt;"",HYPERLINK('CCUS Projects Database'!$U802,"Link 4"),"")</f>
        <v/>
      </c>
      <c r="AC802" s="239" t="str">
        <f>IF('CCUS Projects Database'!$V802&lt;&gt;"",HYPERLINK('CCUS Projects Database'!$V802,"Link 5"),"")</f>
        <v/>
      </c>
      <c r="AD802" s="239" t="str">
        <f>IF('CCUS Projects Database'!$W802&lt;&gt;"",HYPERLINK('CCUS Projects Database'!$W802,"Link 6"),"")</f>
        <v/>
      </c>
      <c r="AE802" s="239" t="str">
        <f>IF('CCUS Projects Database'!$X802&lt;&gt;"",HYPERLINK('CCUS Projects Database'!$X802,"Link 7"),"")</f>
        <v/>
      </c>
    </row>
    <row r="803" ht="14.25" customHeight="1">
      <c r="A803" s="233" t="s">
        <v>21517</v>
      </c>
      <c r="B803" s="234">
        <v>1087.0</v>
      </c>
      <c r="C803" s="234" t="s">
        <v>51</v>
      </c>
      <c r="D803" s="235" t="s">
        <v>21518</v>
      </c>
      <c r="E803" s="234" t="s">
        <v>18618</v>
      </c>
      <c r="F803" s="234">
        <v>2024.0</v>
      </c>
      <c r="G803" s="234" t="s">
        <v>18725</v>
      </c>
      <c r="H803" s="234" t="s">
        <v>18725</v>
      </c>
      <c r="I803" s="234" t="s">
        <v>18725</v>
      </c>
      <c r="J803" s="234" t="s">
        <v>18636</v>
      </c>
      <c r="K803" s="236" t="s">
        <v>18725</v>
      </c>
      <c r="L803" s="236">
        <v>0.25</v>
      </c>
      <c r="M803" s="236">
        <v>0.25</v>
      </c>
      <c r="N803" s="234" t="s">
        <v>18654</v>
      </c>
      <c r="O803" s="237" t="s">
        <v>18683</v>
      </c>
      <c r="P803" s="238" t="s">
        <v>18725</v>
      </c>
      <c r="Q803" s="234" t="s">
        <v>18726</v>
      </c>
      <c r="R803" s="238" t="s">
        <v>21519</v>
      </c>
      <c r="S803" s="238" t="s">
        <v>18725</v>
      </c>
      <c r="T803" s="238" t="s">
        <v>18725</v>
      </c>
      <c r="U803" s="238" t="s">
        <v>18725</v>
      </c>
      <c r="V803" s="238" t="s">
        <v>18725</v>
      </c>
      <c r="W803" s="238" t="s">
        <v>18725</v>
      </c>
      <c r="X803" s="238" t="s">
        <v>18725</v>
      </c>
      <c r="Y803" s="239" t="str">
        <f>IF('CCUS Projects Database'!$R803&lt;&gt;"",HYPERLINK('CCUS Projects Database'!$R803,"Link 1"),"")</f>
        <v>Link 1</v>
      </c>
      <c r="Z803" s="239" t="str">
        <f>IF('CCUS Projects Database'!$S803&lt;&gt;"",HYPERLINK('CCUS Projects Database'!$S803,"Link 2"),"")</f>
        <v/>
      </c>
      <c r="AA803" s="239" t="str">
        <f>IF('CCUS Projects Database'!$T803&lt;&gt;"",HYPERLINK('CCUS Projects Database'!$T803,"Link 3"),"")</f>
        <v/>
      </c>
      <c r="AB803" s="239" t="str">
        <f>IF('CCUS Projects Database'!$U803&lt;&gt;"",HYPERLINK('CCUS Projects Database'!$U803,"Link 4"),"")</f>
        <v/>
      </c>
      <c r="AC803" s="239" t="str">
        <f>IF('CCUS Projects Database'!$V803&lt;&gt;"",HYPERLINK('CCUS Projects Database'!$V803,"Link 5"),"")</f>
        <v/>
      </c>
      <c r="AD803" s="239" t="str">
        <f>IF('CCUS Projects Database'!$W803&lt;&gt;"",HYPERLINK('CCUS Projects Database'!$W803,"Link 6"),"")</f>
        <v/>
      </c>
      <c r="AE803" s="239" t="str">
        <f>IF('CCUS Projects Database'!$X803&lt;&gt;"",HYPERLINK('CCUS Projects Database'!$X803,"Link 7"),"")</f>
        <v/>
      </c>
    </row>
    <row r="804" ht="14.25" customHeight="1">
      <c r="A804" s="233" t="s">
        <v>21520</v>
      </c>
      <c r="B804" s="234">
        <v>1088.0</v>
      </c>
      <c r="C804" s="234" t="s">
        <v>98</v>
      </c>
      <c r="D804" s="235" t="s">
        <v>21521</v>
      </c>
      <c r="E804" s="234" t="s">
        <v>18620</v>
      </c>
      <c r="F804" s="234">
        <v>2016.0</v>
      </c>
      <c r="G804" s="234" t="s">
        <v>18725</v>
      </c>
      <c r="H804" s="234">
        <v>2029.0</v>
      </c>
      <c r="I804" s="234" t="s">
        <v>18725</v>
      </c>
      <c r="J804" s="234" t="s">
        <v>18636</v>
      </c>
      <c r="K804" s="236" t="s">
        <v>18725</v>
      </c>
      <c r="L804" s="236">
        <v>0.4</v>
      </c>
      <c r="M804" s="236">
        <v>0.4</v>
      </c>
      <c r="N804" s="234" t="s">
        <v>18620</v>
      </c>
      <c r="O804" s="237" t="s">
        <v>18675</v>
      </c>
      <c r="P804" s="238" t="s">
        <v>18941</v>
      </c>
      <c r="Q804" s="234" t="s">
        <v>18726</v>
      </c>
      <c r="R804" s="238" t="s">
        <v>21522</v>
      </c>
      <c r="S804" s="238" t="s">
        <v>18725</v>
      </c>
      <c r="T804" s="238" t="s">
        <v>18725</v>
      </c>
      <c r="U804" s="238" t="s">
        <v>18725</v>
      </c>
      <c r="V804" s="238" t="s">
        <v>18725</v>
      </c>
      <c r="W804" s="238" t="s">
        <v>18725</v>
      </c>
      <c r="X804" s="238" t="s">
        <v>18725</v>
      </c>
      <c r="Y804" s="239" t="str">
        <f>IF('CCUS Projects Database'!$R804&lt;&gt;"",HYPERLINK('CCUS Projects Database'!$R804,"Link 1"),"")</f>
        <v>Link 1</v>
      </c>
      <c r="Z804" s="239" t="str">
        <f>IF('CCUS Projects Database'!$S804&lt;&gt;"",HYPERLINK('CCUS Projects Database'!$S804,"Link 2"),"")</f>
        <v/>
      </c>
      <c r="AA804" s="239" t="str">
        <f>IF('CCUS Projects Database'!$T804&lt;&gt;"",HYPERLINK('CCUS Projects Database'!$T804,"Link 3"),"")</f>
        <v/>
      </c>
      <c r="AB804" s="239" t="str">
        <f>IF('CCUS Projects Database'!$U804&lt;&gt;"",HYPERLINK('CCUS Projects Database'!$U804,"Link 4"),"")</f>
        <v/>
      </c>
      <c r="AC804" s="239" t="str">
        <f>IF('CCUS Projects Database'!$V804&lt;&gt;"",HYPERLINK('CCUS Projects Database'!$V804,"Link 5"),"")</f>
        <v/>
      </c>
      <c r="AD804" s="239" t="str">
        <f>IF('CCUS Projects Database'!$W804&lt;&gt;"",HYPERLINK('CCUS Projects Database'!$W804,"Link 6"),"")</f>
        <v/>
      </c>
      <c r="AE804" s="239" t="str">
        <f>IF('CCUS Projects Database'!$X804&lt;&gt;"",HYPERLINK('CCUS Projects Database'!$X804,"Link 7"),"")</f>
        <v/>
      </c>
    </row>
    <row r="805" ht="14.25" customHeight="1">
      <c r="A805" s="233" t="s">
        <v>21523</v>
      </c>
      <c r="B805" s="234">
        <v>1090.0</v>
      </c>
      <c r="C805" s="234" t="s">
        <v>83</v>
      </c>
      <c r="D805" s="235" t="s">
        <v>21524</v>
      </c>
      <c r="E805" s="234" t="s">
        <v>18625</v>
      </c>
      <c r="F805" s="234">
        <v>2024.0</v>
      </c>
      <c r="G805" s="234" t="s">
        <v>18725</v>
      </c>
      <c r="H805" s="234">
        <v>2030.0</v>
      </c>
      <c r="I805" s="234" t="s">
        <v>18725</v>
      </c>
      <c r="J805" s="234" t="s">
        <v>18636</v>
      </c>
      <c r="K805" s="236" t="s">
        <v>18725</v>
      </c>
      <c r="L805" s="236" t="s">
        <v>18725</v>
      </c>
      <c r="M805" s="236" t="s">
        <v>18725</v>
      </c>
      <c r="N805" s="234" t="s">
        <v>18654</v>
      </c>
      <c r="O805" s="237" t="s">
        <v>18679</v>
      </c>
      <c r="P805" s="238" t="s">
        <v>18725</v>
      </c>
      <c r="Q805" s="234" t="s">
        <v>18726</v>
      </c>
      <c r="R805" s="238" t="s">
        <v>21525</v>
      </c>
      <c r="S805" s="238" t="s">
        <v>18725</v>
      </c>
      <c r="T805" s="238" t="s">
        <v>18725</v>
      </c>
      <c r="U805" s="238" t="s">
        <v>18725</v>
      </c>
      <c r="V805" s="238" t="s">
        <v>18725</v>
      </c>
      <c r="W805" s="238" t="s">
        <v>18725</v>
      </c>
      <c r="X805" s="238" t="s">
        <v>18725</v>
      </c>
      <c r="Y805" s="239" t="str">
        <f>IF('CCUS Projects Database'!$R805&lt;&gt;"",HYPERLINK('CCUS Projects Database'!$R805,"Link 1"),"")</f>
        <v>Link 1</v>
      </c>
      <c r="Z805" s="239" t="str">
        <f>IF('CCUS Projects Database'!$S805&lt;&gt;"",HYPERLINK('CCUS Projects Database'!$S805,"Link 2"),"")</f>
        <v/>
      </c>
      <c r="AA805" s="239" t="str">
        <f>IF('CCUS Projects Database'!$T805&lt;&gt;"",HYPERLINK('CCUS Projects Database'!$T805,"Link 3"),"")</f>
        <v/>
      </c>
      <c r="AB805" s="239" t="str">
        <f>IF('CCUS Projects Database'!$U805&lt;&gt;"",HYPERLINK('CCUS Projects Database'!$U805,"Link 4"),"")</f>
        <v/>
      </c>
      <c r="AC805" s="239" t="str">
        <f>IF('CCUS Projects Database'!$V805&lt;&gt;"",HYPERLINK('CCUS Projects Database'!$V805,"Link 5"),"")</f>
        <v/>
      </c>
      <c r="AD805" s="239" t="str">
        <f>IF('CCUS Projects Database'!$W805&lt;&gt;"",HYPERLINK('CCUS Projects Database'!$W805,"Link 6"),"")</f>
        <v/>
      </c>
      <c r="AE805" s="239" t="str">
        <f>IF('CCUS Projects Database'!$X805&lt;&gt;"",HYPERLINK('CCUS Projects Database'!$X805,"Link 7"),"")</f>
        <v/>
      </c>
    </row>
    <row r="806" ht="14.25" customHeight="1">
      <c r="A806" s="233" t="s">
        <v>21526</v>
      </c>
      <c r="B806" s="234">
        <v>1091.0</v>
      </c>
      <c r="C806" s="234" t="s">
        <v>18290</v>
      </c>
      <c r="D806" s="235" t="s">
        <v>21527</v>
      </c>
      <c r="E806" s="234" t="s">
        <v>18618</v>
      </c>
      <c r="F806" s="234">
        <v>2023.0</v>
      </c>
      <c r="G806" s="234" t="s">
        <v>18725</v>
      </c>
      <c r="H806" s="234">
        <v>2030.0</v>
      </c>
      <c r="I806" s="234" t="s">
        <v>18725</v>
      </c>
      <c r="J806" s="234" t="s">
        <v>18636</v>
      </c>
      <c r="K806" s="236" t="s">
        <v>18725</v>
      </c>
      <c r="L806" s="236" t="s">
        <v>18725</v>
      </c>
      <c r="M806" s="236" t="s">
        <v>18725</v>
      </c>
      <c r="N806" s="234" t="s">
        <v>18654</v>
      </c>
      <c r="O806" s="237" t="s">
        <v>18675</v>
      </c>
      <c r="P806" s="238" t="s">
        <v>20694</v>
      </c>
      <c r="Q806" s="234" t="s">
        <v>18856</v>
      </c>
      <c r="R806" s="238" t="s">
        <v>19219</v>
      </c>
      <c r="S806" s="238" t="s">
        <v>18725</v>
      </c>
      <c r="T806" s="238" t="s">
        <v>18725</v>
      </c>
      <c r="U806" s="238" t="s">
        <v>18725</v>
      </c>
      <c r="V806" s="238" t="s">
        <v>18725</v>
      </c>
      <c r="W806" s="238" t="s">
        <v>18725</v>
      </c>
      <c r="X806" s="238" t="s">
        <v>18725</v>
      </c>
      <c r="Y806" s="239" t="str">
        <f>IF('CCUS Projects Database'!$R806&lt;&gt;"",HYPERLINK('CCUS Projects Database'!$R806,"Link 1"),"")</f>
        <v>Link 1</v>
      </c>
      <c r="Z806" s="239" t="str">
        <f>IF('CCUS Projects Database'!$S806&lt;&gt;"",HYPERLINK('CCUS Projects Database'!$S806,"Link 2"),"")</f>
        <v/>
      </c>
      <c r="AA806" s="239" t="str">
        <f>IF('CCUS Projects Database'!$T806&lt;&gt;"",HYPERLINK('CCUS Projects Database'!$T806,"Link 3"),"")</f>
        <v/>
      </c>
      <c r="AB806" s="239" t="str">
        <f>IF('CCUS Projects Database'!$U806&lt;&gt;"",HYPERLINK('CCUS Projects Database'!$U806,"Link 4"),"")</f>
        <v/>
      </c>
      <c r="AC806" s="239" t="str">
        <f>IF('CCUS Projects Database'!$V806&lt;&gt;"",HYPERLINK('CCUS Projects Database'!$V806,"Link 5"),"")</f>
        <v/>
      </c>
      <c r="AD806" s="239" t="str">
        <f>IF('CCUS Projects Database'!$W806&lt;&gt;"",HYPERLINK('CCUS Projects Database'!$W806,"Link 6"),"")</f>
        <v/>
      </c>
      <c r="AE806" s="239" t="str">
        <f>IF('CCUS Projects Database'!$X806&lt;&gt;"",HYPERLINK('CCUS Projects Database'!$X806,"Link 7"),"")</f>
        <v/>
      </c>
    </row>
    <row r="807" ht="14.25" customHeight="1">
      <c r="A807" s="233" t="s">
        <v>21528</v>
      </c>
      <c r="B807" s="234">
        <v>1092.0</v>
      </c>
      <c r="C807" s="234" t="s">
        <v>18290</v>
      </c>
      <c r="D807" s="235" t="s">
        <v>21529</v>
      </c>
      <c r="E807" s="234" t="s">
        <v>18618</v>
      </c>
      <c r="F807" s="234">
        <v>2023.0</v>
      </c>
      <c r="G807" s="234" t="s">
        <v>18725</v>
      </c>
      <c r="H807" s="234">
        <v>2030.0</v>
      </c>
      <c r="I807" s="234" t="s">
        <v>18725</v>
      </c>
      <c r="J807" s="234" t="s">
        <v>18636</v>
      </c>
      <c r="K807" s="236" t="s">
        <v>18725</v>
      </c>
      <c r="L807" s="236" t="s">
        <v>18725</v>
      </c>
      <c r="M807" s="236" t="s">
        <v>18725</v>
      </c>
      <c r="N807" s="234" t="s">
        <v>18661</v>
      </c>
      <c r="O807" s="237" t="s">
        <v>18675</v>
      </c>
      <c r="P807" s="238" t="s">
        <v>20694</v>
      </c>
      <c r="Q807" s="234" t="s">
        <v>18856</v>
      </c>
      <c r="R807" s="238" t="s">
        <v>19219</v>
      </c>
      <c r="S807" s="238" t="s">
        <v>18725</v>
      </c>
      <c r="T807" s="238" t="s">
        <v>18725</v>
      </c>
      <c r="U807" s="238" t="s">
        <v>18725</v>
      </c>
      <c r="V807" s="238" t="s">
        <v>18725</v>
      </c>
      <c r="W807" s="238" t="s">
        <v>18725</v>
      </c>
      <c r="X807" s="238" t="s">
        <v>18725</v>
      </c>
      <c r="Y807" s="239" t="str">
        <f>IF('CCUS Projects Database'!$R807&lt;&gt;"",HYPERLINK('CCUS Projects Database'!$R807,"Link 1"),"")</f>
        <v>Link 1</v>
      </c>
      <c r="Z807" s="239" t="str">
        <f>IF('CCUS Projects Database'!$S807&lt;&gt;"",HYPERLINK('CCUS Projects Database'!$S807,"Link 2"),"")</f>
        <v/>
      </c>
      <c r="AA807" s="239" t="str">
        <f>IF('CCUS Projects Database'!$T807&lt;&gt;"",HYPERLINK('CCUS Projects Database'!$T807,"Link 3"),"")</f>
        <v/>
      </c>
      <c r="AB807" s="239" t="str">
        <f>IF('CCUS Projects Database'!$U807&lt;&gt;"",HYPERLINK('CCUS Projects Database'!$U807,"Link 4"),"")</f>
        <v/>
      </c>
      <c r="AC807" s="239" t="str">
        <f>IF('CCUS Projects Database'!$V807&lt;&gt;"",HYPERLINK('CCUS Projects Database'!$V807,"Link 5"),"")</f>
        <v/>
      </c>
      <c r="AD807" s="239" t="str">
        <f>IF('CCUS Projects Database'!$W807&lt;&gt;"",HYPERLINK('CCUS Projects Database'!$W807,"Link 6"),"")</f>
        <v/>
      </c>
      <c r="AE807" s="239" t="str">
        <f>IF('CCUS Projects Database'!$X807&lt;&gt;"",HYPERLINK('CCUS Projects Database'!$X807,"Link 7"),"")</f>
        <v/>
      </c>
    </row>
    <row r="808" ht="14.25" customHeight="1">
      <c r="A808" s="233" t="s">
        <v>21530</v>
      </c>
      <c r="B808" s="234">
        <v>1093.0</v>
      </c>
      <c r="C808" s="234" t="s">
        <v>57</v>
      </c>
      <c r="D808" s="235" t="s">
        <v>21531</v>
      </c>
      <c r="E808" s="234" t="s">
        <v>18618</v>
      </c>
      <c r="F808" s="234">
        <v>2023.0</v>
      </c>
      <c r="G808" s="234" t="s">
        <v>18725</v>
      </c>
      <c r="H808" s="234">
        <v>2029.0</v>
      </c>
      <c r="I808" s="234" t="s">
        <v>18725</v>
      </c>
      <c r="J808" s="234" t="s">
        <v>18636</v>
      </c>
      <c r="K808" s="236" t="s">
        <v>18725</v>
      </c>
      <c r="L808" s="236">
        <v>1.0</v>
      </c>
      <c r="M808" s="236">
        <v>1.0</v>
      </c>
      <c r="N808" s="234" t="s">
        <v>18663</v>
      </c>
      <c r="O808" s="237" t="s">
        <v>18675</v>
      </c>
      <c r="P808" s="238" t="s">
        <v>18725</v>
      </c>
      <c r="Q808" s="234" t="s">
        <v>18726</v>
      </c>
      <c r="R808" s="238" t="s">
        <v>21532</v>
      </c>
      <c r="S808" s="238" t="s">
        <v>21533</v>
      </c>
      <c r="T808" s="238" t="s">
        <v>18725</v>
      </c>
      <c r="U808" s="238" t="s">
        <v>18725</v>
      </c>
      <c r="V808" s="238" t="s">
        <v>18725</v>
      </c>
      <c r="W808" s="238" t="s">
        <v>18725</v>
      </c>
      <c r="X808" s="238" t="s">
        <v>18725</v>
      </c>
      <c r="Y808" s="239" t="str">
        <f>IF('CCUS Projects Database'!$R808&lt;&gt;"",HYPERLINK('CCUS Projects Database'!$R808,"Link 1"),"")</f>
        <v>Link 1</v>
      </c>
      <c r="Z808" s="239" t="str">
        <f>IF('CCUS Projects Database'!$S808&lt;&gt;"",HYPERLINK('CCUS Projects Database'!$S808,"Link 2"),"")</f>
        <v>Link 2</v>
      </c>
      <c r="AA808" s="239" t="str">
        <f>IF('CCUS Projects Database'!$T808&lt;&gt;"",HYPERLINK('CCUS Projects Database'!$T808,"Link 3"),"")</f>
        <v/>
      </c>
      <c r="AB808" s="239" t="str">
        <f>IF('CCUS Projects Database'!$U808&lt;&gt;"",HYPERLINK('CCUS Projects Database'!$U808,"Link 4"),"")</f>
        <v/>
      </c>
      <c r="AC808" s="239" t="str">
        <f>IF('CCUS Projects Database'!$V808&lt;&gt;"",HYPERLINK('CCUS Projects Database'!$V808,"Link 5"),"")</f>
        <v/>
      </c>
      <c r="AD808" s="239" t="str">
        <f>IF('CCUS Projects Database'!$W808&lt;&gt;"",HYPERLINK('CCUS Projects Database'!$W808,"Link 6"),"")</f>
        <v/>
      </c>
      <c r="AE808" s="239" t="str">
        <f>IF('CCUS Projects Database'!$X808&lt;&gt;"",HYPERLINK('CCUS Projects Database'!$X808,"Link 7"),"")</f>
        <v/>
      </c>
    </row>
    <row r="809" ht="14.25" customHeight="1">
      <c r="A809" s="233" t="s">
        <v>21534</v>
      </c>
      <c r="B809" s="234">
        <v>1094.0</v>
      </c>
      <c r="C809" s="234" t="s">
        <v>120</v>
      </c>
      <c r="D809" s="235" t="s">
        <v>21535</v>
      </c>
      <c r="E809" s="234" t="s">
        <v>18625</v>
      </c>
      <c r="F809" s="234">
        <v>2023.0</v>
      </c>
      <c r="G809" s="234" t="s">
        <v>18725</v>
      </c>
      <c r="H809" s="234">
        <v>2028.0</v>
      </c>
      <c r="I809" s="234" t="s">
        <v>18725</v>
      </c>
      <c r="J809" s="234" t="s">
        <v>18636</v>
      </c>
      <c r="K809" s="236" t="s">
        <v>18725</v>
      </c>
      <c r="L809" s="236">
        <v>0.2</v>
      </c>
      <c r="M809" s="236">
        <v>0.2</v>
      </c>
      <c r="N809" s="234" t="s">
        <v>18663</v>
      </c>
      <c r="O809" s="237" t="s">
        <v>18679</v>
      </c>
      <c r="P809" s="238" t="s">
        <v>18725</v>
      </c>
      <c r="Q809" s="234" t="s">
        <v>18726</v>
      </c>
      <c r="R809" s="238" t="s">
        <v>21536</v>
      </c>
      <c r="S809" s="238" t="s">
        <v>18725</v>
      </c>
      <c r="T809" s="238" t="s">
        <v>18725</v>
      </c>
      <c r="U809" s="238" t="s">
        <v>18725</v>
      </c>
      <c r="V809" s="238" t="s">
        <v>18725</v>
      </c>
      <c r="W809" s="238" t="s">
        <v>18725</v>
      </c>
      <c r="X809" s="238" t="s">
        <v>18725</v>
      </c>
      <c r="Y809" s="239" t="str">
        <f>IF('CCUS Projects Database'!$R809&lt;&gt;"",HYPERLINK('CCUS Projects Database'!$R809,"Link 1"),"")</f>
        <v>Link 1</v>
      </c>
      <c r="Z809" s="239" t="str">
        <f>IF('CCUS Projects Database'!$S809&lt;&gt;"",HYPERLINK('CCUS Projects Database'!$S809,"Link 2"),"")</f>
        <v/>
      </c>
      <c r="AA809" s="239" t="str">
        <f>IF('CCUS Projects Database'!$T809&lt;&gt;"",HYPERLINK('CCUS Projects Database'!$T809,"Link 3"),"")</f>
        <v/>
      </c>
      <c r="AB809" s="239" t="str">
        <f>IF('CCUS Projects Database'!$U809&lt;&gt;"",HYPERLINK('CCUS Projects Database'!$U809,"Link 4"),"")</f>
        <v/>
      </c>
      <c r="AC809" s="239" t="str">
        <f>IF('CCUS Projects Database'!$V809&lt;&gt;"",HYPERLINK('CCUS Projects Database'!$V809,"Link 5"),"")</f>
        <v/>
      </c>
      <c r="AD809" s="239" t="str">
        <f>IF('CCUS Projects Database'!$W809&lt;&gt;"",HYPERLINK('CCUS Projects Database'!$W809,"Link 6"),"")</f>
        <v/>
      </c>
      <c r="AE809" s="239" t="str">
        <f>IF('CCUS Projects Database'!$X809&lt;&gt;"",HYPERLINK('CCUS Projects Database'!$X809,"Link 7"),"")</f>
        <v/>
      </c>
    </row>
    <row r="810" ht="14.25" customHeight="1">
      <c r="A810" s="233" t="s">
        <v>21537</v>
      </c>
      <c r="B810" s="234">
        <v>1096.0</v>
      </c>
      <c r="C810" s="234" t="s">
        <v>164</v>
      </c>
      <c r="D810" s="235" t="s">
        <v>21538</v>
      </c>
      <c r="E810" s="234" t="s">
        <v>18620</v>
      </c>
      <c r="F810" s="234">
        <v>2005.0</v>
      </c>
      <c r="G810" s="234" t="s">
        <v>18725</v>
      </c>
      <c r="H810" s="234">
        <v>2005.0</v>
      </c>
      <c r="I810" s="234" t="s">
        <v>18725</v>
      </c>
      <c r="J810" s="234" t="s">
        <v>12385</v>
      </c>
      <c r="K810" s="236" t="s">
        <v>18725</v>
      </c>
      <c r="L810" s="236">
        <v>0.5</v>
      </c>
      <c r="M810" s="236">
        <v>0.5</v>
      </c>
      <c r="N810" s="234" t="s">
        <v>18620</v>
      </c>
      <c r="O810" s="237" t="s">
        <v>18679</v>
      </c>
      <c r="P810" s="238" t="s">
        <v>18725</v>
      </c>
      <c r="Q810" s="234" t="s">
        <v>18726</v>
      </c>
      <c r="R810" s="238" t="s">
        <v>18725</v>
      </c>
      <c r="S810" s="238" t="s">
        <v>18725</v>
      </c>
      <c r="T810" s="238" t="s">
        <v>18725</v>
      </c>
      <c r="U810" s="238" t="s">
        <v>18725</v>
      </c>
      <c r="V810" s="238" t="s">
        <v>18725</v>
      </c>
      <c r="W810" s="238" t="s">
        <v>18725</v>
      </c>
      <c r="X810" s="238" t="s">
        <v>18725</v>
      </c>
      <c r="Y810" s="239" t="str">
        <f>IF('CCUS Projects Database'!$R810&lt;&gt;"",HYPERLINK('CCUS Projects Database'!$R810,"Link 1"),"")</f>
        <v/>
      </c>
      <c r="Z810" s="239" t="str">
        <f>IF('CCUS Projects Database'!$S810&lt;&gt;"",HYPERLINK('CCUS Projects Database'!$S810,"Link 2"),"")</f>
        <v/>
      </c>
      <c r="AA810" s="239" t="str">
        <f>IF('CCUS Projects Database'!$T810&lt;&gt;"",HYPERLINK('CCUS Projects Database'!$T810,"Link 3"),"")</f>
        <v/>
      </c>
      <c r="AB810" s="239" t="str">
        <f>IF('CCUS Projects Database'!$U810&lt;&gt;"",HYPERLINK('CCUS Projects Database'!$U810,"Link 4"),"")</f>
        <v/>
      </c>
      <c r="AC810" s="239" t="str">
        <f>IF('CCUS Projects Database'!$V810&lt;&gt;"",HYPERLINK('CCUS Projects Database'!$V810,"Link 5"),"")</f>
        <v/>
      </c>
      <c r="AD810" s="239" t="str">
        <f>IF('CCUS Projects Database'!$W810&lt;&gt;"",HYPERLINK('CCUS Projects Database'!$W810,"Link 6"),"")</f>
        <v/>
      </c>
      <c r="AE810" s="239" t="str">
        <f>IF('CCUS Projects Database'!$X810&lt;&gt;"",HYPERLINK('CCUS Projects Database'!$X810,"Link 7"),"")</f>
        <v/>
      </c>
    </row>
    <row r="811" ht="14.25" customHeight="1">
      <c r="A811" s="233" t="s">
        <v>21539</v>
      </c>
      <c r="B811" s="234">
        <v>1097.0</v>
      </c>
      <c r="C811" s="234" t="s">
        <v>12296</v>
      </c>
      <c r="D811" s="235" t="s">
        <v>21236</v>
      </c>
      <c r="E811" s="234" t="s">
        <v>18618</v>
      </c>
      <c r="F811" s="234">
        <v>2023.0</v>
      </c>
      <c r="G811" s="234" t="s">
        <v>18725</v>
      </c>
      <c r="H811" s="234" t="s">
        <v>18725</v>
      </c>
      <c r="I811" s="234" t="s">
        <v>18725</v>
      </c>
      <c r="J811" s="234" t="s">
        <v>18636</v>
      </c>
      <c r="K811" s="236" t="s">
        <v>18725</v>
      </c>
      <c r="L811" s="236">
        <v>14.0</v>
      </c>
      <c r="M811" s="236">
        <v>14.0</v>
      </c>
      <c r="N811" s="234" t="s">
        <v>18654</v>
      </c>
      <c r="O811" s="237" t="s">
        <v>18683</v>
      </c>
      <c r="P811" s="238" t="s">
        <v>18725</v>
      </c>
      <c r="Q811" s="234" t="s">
        <v>12296</v>
      </c>
      <c r="R811" s="238" t="s">
        <v>21540</v>
      </c>
      <c r="S811" s="238" t="s">
        <v>18725</v>
      </c>
      <c r="T811" s="238" t="s">
        <v>18725</v>
      </c>
      <c r="U811" s="238" t="s">
        <v>18725</v>
      </c>
      <c r="V811" s="238" t="s">
        <v>18725</v>
      </c>
      <c r="W811" s="238" t="s">
        <v>18725</v>
      </c>
      <c r="X811" s="238" t="s">
        <v>18725</v>
      </c>
      <c r="Y811" s="239" t="str">
        <f>IF('CCUS Projects Database'!$R811&lt;&gt;"",HYPERLINK('CCUS Projects Database'!$R811,"Link 1"),"")</f>
        <v>Link 1</v>
      </c>
      <c r="Z811" s="239" t="str">
        <f>IF('CCUS Projects Database'!$S811&lt;&gt;"",HYPERLINK('CCUS Projects Database'!$S811,"Link 2"),"")</f>
        <v/>
      </c>
      <c r="AA811" s="239" t="str">
        <f>IF('CCUS Projects Database'!$T811&lt;&gt;"",HYPERLINK('CCUS Projects Database'!$T811,"Link 3"),"")</f>
        <v/>
      </c>
      <c r="AB811" s="239" t="str">
        <f>IF('CCUS Projects Database'!$U811&lt;&gt;"",HYPERLINK('CCUS Projects Database'!$U811,"Link 4"),"")</f>
        <v/>
      </c>
      <c r="AC811" s="239" t="str">
        <f>IF('CCUS Projects Database'!$V811&lt;&gt;"",HYPERLINK('CCUS Projects Database'!$V811,"Link 5"),"")</f>
        <v/>
      </c>
      <c r="AD811" s="239" t="str">
        <f>IF('CCUS Projects Database'!$W811&lt;&gt;"",HYPERLINK('CCUS Projects Database'!$W811,"Link 6"),"")</f>
        <v/>
      </c>
      <c r="AE811" s="239" t="str">
        <f>IF('CCUS Projects Database'!$X811&lt;&gt;"",HYPERLINK('CCUS Projects Database'!$X811,"Link 7"),"")</f>
        <v/>
      </c>
    </row>
    <row r="812" ht="14.25" customHeight="1">
      <c r="A812" s="233" t="s">
        <v>21541</v>
      </c>
      <c r="B812" s="234">
        <v>1098.0</v>
      </c>
      <c r="C812" s="234" t="s">
        <v>75</v>
      </c>
      <c r="D812" s="235" t="s">
        <v>21236</v>
      </c>
      <c r="E812" s="234" t="s">
        <v>18625</v>
      </c>
      <c r="F812" s="234">
        <v>2023.0</v>
      </c>
      <c r="G812" s="234" t="s">
        <v>18725</v>
      </c>
      <c r="H812" s="234" t="s">
        <v>18725</v>
      </c>
      <c r="I812" s="234" t="s">
        <v>18725</v>
      </c>
      <c r="J812" s="234" t="s">
        <v>18636</v>
      </c>
      <c r="K812" s="236" t="s">
        <v>18725</v>
      </c>
      <c r="L812" s="236">
        <v>0.1</v>
      </c>
      <c r="M812" s="236">
        <v>0.1</v>
      </c>
      <c r="N812" s="234" t="s">
        <v>18654</v>
      </c>
      <c r="O812" s="237" t="s">
        <v>18679</v>
      </c>
      <c r="P812" s="238" t="s">
        <v>18725</v>
      </c>
      <c r="Q812" s="234" t="s">
        <v>18726</v>
      </c>
      <c r="R812" s="238" t="s">
        <v>21542</v>
      </c>
      <c r="S812" s="238" t="s">
        <v>18725</v>
      </c>
      <c r="T812" s="238" t="s">
        <v>18725</v>
      </c>
      <c r="U812" s="238" t="s">
        <v>18725</v>
      </c>
      <c r="V812" s="238" t="s">
        <v>18725</v>
      </c>
      <c r="W812" s="238" t="s">
        <v>18725</v>
      </c>
      <c r="X812" s="238" t="s">
        <v>18725</v>
      </c>
      <c r="Y812" s="239" t="str">
        <f>IF('CCUS Projects Database'!$R812&lt;&gt;"",HYPERLINK('CCUS Projects Database'!$R812,"Link 1"),"")</f>
        <v>Link 1</v>
      </c>
      <c r="Z812" s="239" t="str">
        <f>IF('CCUS Projects Database'!$S812&lt;&gt;"",HYPERLINK('CCUS Projects Database'!$S812,"Link 2"),"")</f>
        <v/>
      </c>
      <c r="AA812" s="239" t="str">
        <f>IF('CCUS Projects Database'!$T812&lt;&gt;"",HYPERLINK('CCUS Projects Database'!$T812,"Link 3"),"")</f>
        <v/>
      </c>
      <c r="AB812" s="239" t="str">
        <f>IF('CCUS Projects Database'!$U812&lt;&gt;"",HYPERLINK('CCUS Projects Database'!$U812,"Link 4"),"")</f>
        <v/>
      </c>
      <c r="AC812" s="239" t="str">
        <f>IF('CCUS Projects Database'!$V812&lt;&gt;"",HYPERLINK('CCUS Projects Database'!$V812,"Link 5"),"")</f>
        <v/>
      </c>
      <c r="AD812" s="239" t="str">
        <f>IF('CCUS Projects Database'!$W812&lt;&gt;"",HYPERLINK('CCUS Projects Database'!$W812,"Link 6"),"")</f>
        <v/>
      </c>
      <c r="AE812" s="239" t="str">
        <f>IF('CCUS Projects Database'!$X812&lt;&gt;"",HYPERLINK('CCUS Projects Database'!$X812,"Link 7"),"")</f>
        <v/>
      </c>
    </row>
    <row r="813" ht="14.25" customHeight="1">
      <c r="A813" s="233" t="s">
        <v>21543</v>
      </c>
      <c r="B813" s="234">
        <v>1099.0</v>
      </c>
      <c r="C813" s="234" t="s">
        <v>57</v>
      </c>
      <c r="D813" s="235" t="s">
        <v>21236</v>
      </c>
      <c r="E813" s="234" t="s">
        <v>18618</v>
      </c>
      <c r="F813" s="234">
        <v>2023.0</v>
      </c>
      <c r="G813" s="234" t="s">
        <v>18725</v>
      </c>
      <c r="H813" s="234" t="s">
        <v>18725</v>
      </c>
      <c r="I813" s="234" t="s">
        <v>18725</v>
      </c>
      <c r="J813" s="234" t="s">
        <v>18636</v>
      </c>
      <c r="K813" s="236" t="s">
        <v>18725</v>
      </c>
      <c r="L813" s="236">
        <v>0.25</v>
      </c>
      <c r="M813" s="236">
        <v>0.25</v>
      </c>
      <c r="N813" s="234" t="s">
        <v>18654</v>
      </c>
      <c r="O813" s="237" t="s">
        <v>18683</v>
      </c>
      <c r="P813" s="238" t="s">
        <v>18725</v>
      </c>
      <c r="Q813" s="234" t="s">
        <v>18726</v>
      </c>
      <c r="R813" s="238" t="s">
        <v>21544</v>
      </c>
      <c r="S813" s="238" t="s">
        <v>18725</v>
      </c>
      <c r="T813" s="238" t="s">
        <v>18725</v>
      </c>
      <c r="U813" s="238" t="s">
        <v>18725</v>
      </c>
      <c r="V813" s="238" t="s">
        <v>18725</v>
      </c>
      <c r="W813" s="238" t="s">
        <v>18725</v>
      </c>
      <c r="X813" s="238" t="s">
        <v>18725</v>
      </c>
      <c r="Y813" s="239" t="str">
        <f>IF('CCUS Projects Database'!$R813&lt;&gt;"",HYPERLINK('CCUS Projects Database'!$R813,"Link 1"),"")</f>
        <v>Link 1</v>
      </c>
      <c r="Z813" s="239" t="str">
        <f>IF('CCUS Projects Database'!$S813&lt;&gt;"",HYPERLINK('CCUS Projects Database'!$S813,"Link 2"),"")</f>
        <v/>
      </c>
      <c r="AA813" s="239" t="str">
        <f>IF('CCUS Projects Database'!$T813&lt;&gt;"",HYPERLINK('CCUS Projects Database'!$T813,"Link 3"),"")</f>
        <v/>
      </c>
      <c r="AB813" s="239" t="str">
        <f>IF('CCUS Projects Database'!$U813&lt;&gt;"",HYPERLINK('CCUS Projects Database'!$U813,"Link 4"),"")</f>
        <v/>
      </c>
      <c r="AC813" s="239" t="str">
        <f>IF('CCUS Projects Database'!$V813&lt;&gt;"",HYPERLINK('CCUS Projects Database'!$V813,"Link 5"),"")</f>
        <v/>
      </c>
      <c r="AD813" s="239" t="str">
        <f>IF('CCUS Projects Database'!$W813&lt;&gt;"",HYPERLINK('CCUS Projects Database'!$W813,"Link 6"),"")</f>
        <v/>
      </c>
      <c r="AE813" s="239" t="str">
        <f>IF('CCUS Projects Database'!$X813&lt;&gt;"",HYPERLINK('CCUS Projects Database'!$X813,"Link 7"),"")</f>
        <v/>
      </c>
    </row>
    <row r="814" ht="14.25" customHeight="1">
      <c r="A814" s="233" t="s">
        <v>21545</v>
      </c>
      <c r="B814" s="234">
        <v>1100.0</v>
      </c>
      <c r="C814" s="234" t="s">
        <v>51</v>
      </c>
      <c r="D814" s="235" t="s">
        <v>21236</v>
      </c>
      <c r="E814" s="234" t="s">
        <v>18618</v>
      </c>
      <c r="F814" s="234">
        <v>2023.0</v>
      </c>
      <c r="G814" s="234" t="s">
        <v>18725</v>
      </c>
      <c r="H814" s="234" t="s">
        <v>18725</v>
      </c>
      <c r="I814" s="234" t="s">
        <v>18725</v>
      </c>
      <c r="J814" s="234" t="s">
        <v>18636</v>
      </c>
      <c r="K814" s="236" t="s">
        <v>18725</v>
      </c>
      <c r="L814" s="236">
        <v>0.2</v>
      </c>
      <c r="M814" s="236">
        <v>0.2</v>
      </c>
      <c r="N814" s="234" t="s">
        <v>18654</v>
      </c>
      <c r="O814" s="237" t="s">
        <v>18683</v>
      </c>
      <c r="P814" s="238" t="s">
        <v>18725</v>
      </c>
      <c r="Q814" s="234" t="s">
        <v>18726</v>
      </c>
      <c r="R814" s="238" t="s">
        <v>18725</v>
      </c>
      <c r="S814" s="238" t="s">
        <v>18725</v>
      </c>
      <c r="T814" s="238" t="s">
        <v>18725</v>
      </c>
      <c r="U814" s="238" t="s">
        <v>18725</v>
      </c>
      <c r="V814" s="238" t="s">
        <v>18725</v>
      </c>
      <c r="W814" s="238" t="s">
        <v>18725</v>
      </c>
      <c r="X814" s="238" t="s">
        <v>18725</v>
      </c>
      <c r="Y814" s="239" t="str">
        <f>IF('CCUS Projects Database'!$R814&lt;&gt;"",HYPERLINK('CCUS Projects Database'!$R814,"Link 1"),"")</f>
        <v/>
      </c>
      <c r="Z814" s="239" t="str">
        <f>IF('CCUS Projects Database'!$S814&lt;&gt;"",HYPERLINK('CCUS Projects Database'!$S814,"Link 2"),"")</f>
        <v/>
      </c>
      <c r="AA814" s="239" t="str">
        <f>IF('CCUS Projects Database'!$T814&lt;&gt;"",HYPERLINK('CCUS Projects Database'!$T814,"Link 3"),"")</f>
        <v/>
      </c>
      <c r="AB814" s="239" t="str">
        <f>IF('CCUS Projects Database'!$U814&lt;&gt;"",HYPERLINK('CCUS Projects Database'!$U814,"Link 4"),"")</f>
        <v/>
      </c>
      <c r="AC814" s="239" t="str">
        <f>IF('CCUS Projects Database'!$V814&lt;&gt;"",HYPERLINK('CCUS Projects Database'!$V814,"Link 5"),"")</f>
        <v/>
      </c>
      <c r="AD814" s="239" t="str">
        <f>IF('CCUS Projects Database'!$W814&lt;&gt;"",HYPERLINK('CCUS Projects Database'!$W814,"Link 6"),"")</f>
        <v/>
      </c>
      <c r="AE814" s="239" t="str">
        <f>IF('CCUS Projects Database'!$X814&lt;&gt;"",HYPERLINK('CCUS Projects Database'!$X814,"Link 7"),"")</f>
        <v/>
      </c>
    </row>
    <row r="815" ht="14.25" customHeight="1">
      <c r="A815" s="233" t="s">
        <v>21546</v>
      </c>
      <c r="B815" s="234">
        <v>1101.0</v>
      </c>
      <c r="C815" s="234" t="s">
        <v>51</v>
      </c>
      <c r="D815" s="235" t="s">
        <v>21547</v>
      </c>
      <c r="E815" s="234" t="s">
        <v>18618</v>
      </c>
      <c r="F815" s="234">
        <v>2023.0</v>
      </c>
      <c r="G815" s="234" t="s">
        <v>18725</v>
      </c>
      <c r="H815" s="234" t="s">
        <v>18725</v>
      </c>
      <c r="I815" s="234" t="s">
        <v>18725</v>
      </c>
      <c r="J815" s="234" t="s">
        <v>18192</v>
      </c>
      <c r="K815" s="236" t="s">
        <v>18725</v>
      </c>
      <c r="L815" s="236">
        <v>0.4</v>
      </c>
      <c r="M815" s="236">
        <v>0.4</v>
      </c>
      <c r="N815" s="234" t="s">
        <v>18654</v>
      </c>
      <c r="O815" s="237" t="s">
        <v>18683</v>
      </c>
      <c r="P815" s="238" t="s">
        <v>18725</v>
      </c>
      <c r="Q815" s="234" t="s">
        <v>18726</v>
      </c>
      <c r="R815" s="238" t="s">
        <v>21548</v>
      </c>
      <c r="S815" s="238" t="s">
        <v>18725</v>
      </c>
      <c r="T815" s="238" t="s">
        <v>18725</v>
      </c>
      <c r="U815" s="238" t="s">
        <v>18725</v>
      </c>
      <c r="V815" s="238" t="s">
        <v>18725</v>
      </c>
      <c r="W815" s="238" t="s">
        <v>18725</v>
      </c>
      <c r="X815" s="238" t="s">
        <v>18725</v>
      </c>
      <c r="Y815" s="239" t="str">
        <f>IF('CCUS Projects Database'!$R815&lt;&gt;"",HYPERLINK('CCUS Projects Database'!$R815,"Link 1"),"")</f>
        <v>Link 1</v>
      </c>
      <c r="Z815" s="239" t="str">
        <f>IF('CCUS Projects Database'!$S815&lt;&gt;"",HYPERLINK('CCUS Projects Database'!$S815,"Link 2"),"")</f>
        <v/>
      </c>
      <c r="AA815" s="239" t="str">
        <f>IF('CCUS Projects Database'!$T815&lt;&gt;"",HYPERLINK('CCUS Projects Database'!$T815,"Link 3"),"")</f>
        <v/>
      </c>
      <c r="AB815" s="239" t="str">
        <f>IF('CCUS Projects Database'!$U815&lt;&gt;"",HYPERLINK('CCUS Projects Database'!$U815,"Link 4"),"")</f>
        <v/>
      </c>
      <c r="AC815" s="239" t="str">
        <f>IF('CCUS Projects Database'!$V815&lt;&gt;"",HYPERLINK('CCUS Projects Database'!$V815,"Link 5"),"")</f>
        <v/>
      </c>
      <c r="AD815" s="239" t="str">
        <f>IF('CCUS Projects Database'!$W815&lt;&gt;"",HYPERLINK('CCUS Projects Database'!$W815,"Link 6"),"")</f>
        <v/>
      </c>
      <c r="AE815" s="239" t="str">
        <f>IF('CCUS Projects Database'!$X815&lt;&gt;"",HYPERLINK('CCUS Projects Database'!$X815,"Link 7"),"")</f>
        <v/>
      </c>
    </row>
    <row r="816" ht="14.25" customHeight="1">
      <c r="A816" s="233" t="s">
        <v>21549</v>
      </c>
      <c r="B816" s="234">
        <v>1102.0</v>
      </c>
      <c r="C816" s="234" t="s">
        <v>12296</v>
      </c>
      <c r="D816" s="235" t="s">
        <v>21236</v>
      </c>
      <c r="E816" s="234" t="s">
        <v>18618</v>
      </c>
      <c r="F816" s="234">
        <v>2024.0</v>
      </c>
      <c r="G816" s="234" t="s">
        <v>18725</v>
      </c>
      <c r="H816" s="234" t="s">
        <v>18725</v>
      </c>
      <c r="I816" s="234" t="s">
        <v>18725</v>
      </c>
      <c r="J816" s="234" t="s">
        <v>18636</v>
      </c>
      <c r="K816" s="236" t="s">
        <v>18725</v>
      </c>
      <c r="L816" s="236" t="s">
        <v>18725</v>
      </c>
      <c r="M816" s="236" t="s">
        <v>18725</v>
      </c>
      <c r="N816" s="234" t="s">
        <v>18654</v>
      </c>
      <c r="O816" s="237" t="s">
        <v>18683</v>
      </c>
      <c r="P816" s="238" t="s">
        <v>18725</v>
      </c>
      <c r="Q816" s="234" t="s">
        <v>18726</v>
      </c>
      <c r="R816" s="238" t="s">
        <v>21550</v>
      </c>
      <c r="S816" s="238" t="s">
        <v>18725</v>
      </c>
      <c r="T816" s="238" t="s">
        <v>18725</v>
      </c>
      <c r="U816" s="238" t="s">
        <v>18725</v>
      </c>
      <c r="V816" s="238" t="s">
        <v>18725</v>
      </c>
      <c r="W816" s="238" t="s">
        <v>18725</v>
      </c>
      <c r="X816" s="238" t="s">
        <v>18725</v>
      </c>
      <c r="Y816" s="239" t="str">
        <f>IF('CCUS Projects Database'!$R816&lt;&gt;"",HYPERLINK('CCUS Projects Database'!$R816,"Link 1"),"")</f>
        <v>Link 1</v>
      </c>
      <c r="Z816" s="239" t="str">
        <f>IF('CCUS Projects Database'!$S816&lt;&gt;"",HYPERLINK('CCUS Projects Database'!$S816,"Link 2"),"")</f>
        <v/>
      </c>
      <c r="AA816" s="239" t="str">
        <f>IF('CCUS Projects Database'!$T816&lt;&gt;"",HYPERLINK('CCUS Projects Database'!$T816,"Link 3"),"")</f>
        <v/>
      </c>
      <c r="AB816" s="239" t="str">
        <f>IF('CCUS Projects Database'!$U816&lt;&gt;"",HYPERLINK('CCUS Projects Database'!$U816,"Link 4"),"")</f>
        <v/>
      </c>
      <c r="AC816" s="239" t="str">
        <f>IF('CCUS Projects Database'!$V816&lt;&gt;"",HYPERLINK('CCUS Projects Database'!$V816,"Link 5"),"")</f>
        <v/>
      </c>
      <c r="AD816" s="239" t="str">
        <f>IF('CCUS Projects Database'!$W816&lt;&gt;"",HYPERLINK('CCUS Projects Database'!$W816,"Link 6"),"")</f>
        <v/>
      </c>
      <c r="AE816" s="239" t="str">
        <f>IF('CCUS Projects Database'!$X816&lt;&gt;"",HYPERLINK('CCUS Projects Database'!$X816,"Link 7"),"")</f>
        <v/>
      </c>
    </row>
    <row r="817" ht="14.25" customHeight="1">
      <c r="A817" s="233" t="s">
        <v>19649</v>
      </c>
      <c r="B817" s="234">
        <v>1103.0</v>
      </c>
      <c r="C817" s="234" t="s">
        <v>18329</v>
      </c>
      <c r="D817" s="235" t="s">
        <v>21551</v>
      </c>
      <c r="E817" s="234" t="s">
        <v>3</v>
      </c>
      <c r="F817" s="234">
        <v>2021.0</v>
      </c>
      <c r="G817" s="234" t="s">
        <v>18725</v>
      </c>
      <c r="H817" s="234">
        <v>2026.0</v>
      </c>
      <c r="I817" s="234" t="s">
        <v>18725</v>
      </c>
      <c r="J817" s="234" t="s">
        <v>18636</v>
      </c>
      <c r="K817" s="236" t="s">
        <v>18725</v>
      </c>
      <c r="L817" s="236">
        <v>1.0</v>
      </c>
      <c r="M817" s="236">
        <v>1.0</v>
      </c>
      <c r="N817" s="234" t="s">
        <v>3</v>
      </c>
      <c r="O817" s="237" t="s">
        <v>18675</v>
      </c>
      <c r="P817" s="238" t="s">
        <v>19649</v>
      </c>
      <c r="Q817" s="234" t="s">
        <v>18762</v>
      </c>
      <c r="R817" s="238" t="s">
        <v>18725</v>
      </c>
      <c r="S817" s="238" t="s">
        <v>18725</v>
      </c>
      <c r="T817" s="238" t="s">
        <v>18725</v>
      </c>
      <c r="U817" s="238" t="s">
        <v>18725</v>
      </c>
      <c r="V817" s="238" t="s">
        <v>18725</v>
      </c>
      <c r="W817" s="238" t="s">
        <v>18725</v>
      </c>
      <c r="X817" s="238" t="s">
        <v>18725</v>
      </c>
      <c r="Y817" s="239" t="str">
        <f>IF('CCUS Projects Database'!$R817&lt;&gt;"",HYPERLINK('CCUS Projects Database'!$R817,"Link 1"),"")</f>
        <v/>
      </c>
      <c r="Z817" s="239" t="str">
        <f>IF('CCUS Projects Database'!$S817&lt;&gt;"",HYPERLINK('CCUS Projects Database'!$S817,"Link 2"),"")</f>
        <v/>
      </c>
      <c r="AA817" s="239" t="str">
        <f>IF('CCUS Projects Database'!$T817&lt;&gt;"",HYPERLINK('CCUS Projects Database'!$T817,"Link 3"),"")</f>
        <v/>
      </c>
      <c r="AB817" s="239" t="str">
        <f>IF('CCUS Projects Database'!$U817&lt;&gt;"",HYPERLINK('CCUS Projects Database'!$U817,"Link 4"),"")</f>
        <v/>
      </c>
      <c r="AC817" s="239" t="str">
        <f>IF('CCUS Projects Database'!$V817&lt;&gt;"",HYPERLINK('CCUS Projects Database'!$V817,"Link 5"),"")</f>
        <v/>
      </c>
      <c r="AD817" s="239" t="str">
        <f>IF('CCUS Projects Database'!$W817&lt;&gt;"",HYPERLINK('CCUS Projects Database'!$W817,"Link 6"),"")</f>
        <v/>
      </c>
      <c r="AE817" s="239" t="str">
        <f>IF('CCUS Projects Database'!$X817&lt;&gt;"",HYPERLINK('CCUS Projects Database'!$X817,"Link 7"),"")</f>
        <v/>
      </c>
    </row>
    <row r="818" ht="14.25" customHeight="1">
      <c r="A818" s="233" t="s">
        <v>21552</v>
      </c>
      <c r="B818" s="234">
        <v>1103.0</v>
      </c>
      <c r="C818" s="234" t="s">
        <v>18586</v>
      </c>
      <c r="D818" s="235" t="s">
        <v>21236</v>
      </c>
      <c r="E818" s="234" t="s">
        <v>18618</v>
      </c>
      <c r="F818" s="234">
        <v>2023.0</v>
      </c>
      <c r="G818" s="234" t="s">
        <v>18725</v>
      </c>
      <c r="H818" s="234" t="s">
        <v>18725</v>
      </c>
      <c r="I818" s="234" t="s">
        <v>18725</v>
      </c>
      <c r="J818" s="234" t="s">
        <v>18636</v>
      </c>
      <c r="K818" s="236" t="s">
        <v>18725</v>
      </c>
      <c r="L818" s="236">
        <v>1.2</v>
      </c>
      <c r="M818" s="236">
        <v>1.2</v>
      </c>
      <c r="N818" s="234" t="s">
        <v>18661</v>
      </c>
      <c r="O818" s="237" t="s">
        <v>18683</v>
      </c>
      <c r="P818" s="238" t="s">
        <v>18725</v>
      </c>
      <c r="Q818" s="234" t="s">
        <v>18732</v>
      </c>
      <c r="R818" s="238" t="s">
        <v>18725</v>
      </c>
      <c r="S818" s="238" t="s">
        <v>18725</v>
      </c>
      <c r="T818" s="238" t="s">
        <v>18725</v>
      </c>
      <c r="U818" s="238" t="s">
        <v>18725</v>
      </c>
      <c r="V818" s="238" t="s">
        <v>18725</v>
      </c>
      <c r="W818" s="238" t="s">
        <v>18725</v>
      </c>
      <c r="X818" s="238" t="s">
        <v>18725</v>
      </c>
      <c r="Y818" s="239" t="str">
        <f>IF('CCUS Projects Database'!$R818&lt;&gt;"",HYPERLINK('CCUS Projects Database'!$R818,"Link 1"),"")</f>
        <v/>
      </c>
      <c r="Z818" s="239" t="str">
        <f>IF('CCUS Projects Database'!$S818&lt;&gt;"",HYPERLINK('CCUS Projects Database'!$S818,"Link 2"),"")</f>
        <v/>
      </c>
      <c r="AA818" s="239" t="str">
        <f>IF('CCUS Projects Database'!$T818&lt;&gt;"",HYPERLINK('CCUS Projects Database'!$T818,"Link 3"),"")</f>
        <v/>
      </c>
      <c r="AB818" s="239" t="str">
        <f>IF('CCUS Projects Database'!$U818&lt;&gt;"",HYPERLINK('CCUS Projects Database'!$U818,"Link 4"),"")</f>
        <v/>
      </c>
      <c r="AC818" s="239" t="str">
        <f>IF('CCUS Projects Database'!$V818&lt;&gt;"",HYPERLINK('CCUS Projects Database'!$V818,"Link 5"),"")</f>
        <v/>
      </c>
      <c r="AD818" s="239" t="str">
        <f>IF('CCUS Projects Database'!$W818&lt;&gt;"",HYPERLINK('CCUS Projects Database'!$W818,"Link 6"),"")</f>
        <v/>
      </c>
      <c r="AE818" s="239" t="str">
        <f>IF('CCUS Projects Database'!$X818&lt;&gt;"",HYPERLINK('CCUS Projects Database'!$X818,"Link 7"),"")</f>
        <v/>
      </c>
    </row>
    <row r="819" ht="14.25" customHeight="1">
      <c r="A819" s="233" t="s">
        <v>21553</v>
      </c>
      <c r="B819" s="234">
        <v>1104.0</v>
      </c>
      <c r="C819" s="234" t="s">
        <v>83</v>
      </c>
      <c r="D819" s="235" t="s">
        <v>21554</v>
      </c>
      <c r="E819" s="234" t="s">
        <v>18618</v>
      </c>
      <c r="F819" s="234">
        <v>2021.0</v>
      </c>
      <c r="G819" s="234" t="s">
        <v>18725</v>
      </c>
      <c r="H819" s="234">
        <v>2028.0</v>
      </c>
      <c r="I819" s="234" t="s">
        <v>18725</v>
      </c>
      <c r="J819" s="234" t="s">
        <v>18636</v>
      </c>
      <c r="K819" s="236" t="s">
        <v>18725</v>
      </c>
      <c r="L819" s="236" t="s">
        <v>18725</v>
      </c>
      <c r="M819" s="236" t="s">
        <v>18725</v>
      </c>
      <c r="N819" s="234" t="s">
        <v>12270</v>
      </c>
      <c r="O819" s="237" t="s">
        <v>18675</v>
      </c>
      <c r="P819" s="238" t="s">
        <v>19187</v>
      </c>
      <c r="Q819" s="234" t="s">
        <v>18726</v>
      </c>
      <c r="R819" s="238" t="s">
        <v>21555</v>
      </c>
      <c r="S819" s="238" t="s">
        <v>18725</v>
      </c>
      <c r="T819" s="238" t="s">
        <v>18725</v>
      </c>
      <c r="U819" s="238" t="s">
        <v>18725</v>
      </c>
      <c r="V819" s="238" t="s">
        <v>18725</v>
      </c>
      <c r="W819" s="238" t="s">
        <v>18725</v>
      </c>
      <c r="X819" s="238" t="s">
        <v>18725</v>
      </c>
      <c r="Y819" s="239" t="str">
        <f>IF('CCUS Projects Database'!$R819&lt;&gt;"",HYPERLINK('CCUS Projects Database'!$R819,"Link 1"),"")</f>
        <v>Link 1</v>
      </c>
      <c r="Z819" s="239" t="str">
        <f>IF('CCUS Projects Database'!$S819&lt;&gt;"",HYPERLINK('CCUS Projects Database'!$S819,"Link 2"),"")</f>
        <v/>
      </c>
      <c r="AA819" s="239" t="str">
        <f>IF('CCUS Projects Database'!$T819&lt;&gt;"",HYPERLINK('CCUS Projects Database'!$T819,"Link 3"),"")</f>
        <v/>
      </c>
      <c r="AB819" s="239" t="str">
        <f>IF('CCUS Projects Database'!$U819&lt;&gt;"",HYPERLINK('CCUS Projects Database'!$U819,"Link 4"),"")</f>
        <v/>
      </c>
      <c r="AC819" s="239" t="str">
        <f>IF('CCUS Projects Database'!$V819&lt;&gt;"",HYPERLINK('CCUS Projects Database'!$V819,"Link 5"),"")</f>
        <v/>
      </c>
      <c r="AD819" s="239" t="str">
        <f>IF('CCUS Projects Database'!$W819&lt;&gt;"",HYPERLINK('CCUS Projects Database'!$W819,"Link 6"),"")</f>
        <v/>
      </c>
      <c r="AE819" s="239" t="str">
        <f>IF('CCUS Projects Database'!$X819&lt;&gt;"",HYPERLINK('CCUS Projects Database'!$X819,"Link 7"),"")</f>
        <v/>
      </c>
    </row>
    <row r="820" ht="14.25" customHeight="1">
      <c r="A820" s="233" t="s">
        <v>21556</v>
      </c>
      <c r="B820" s="234">
        <v>1105.0</v>
      </c>
      <c r="C820" s="234" t="s">
        <v>83</v>
      </c>
      <c r="D820" s="235" t="s">
        <v>21557</v>
      </c>
      <c r="E820" s="234" t="s">
        <v>18618</v>
      </c>
      <c r="F820" s="234">
        <v>2021.0</v>
      </c>
      <c r="G820" s="234" t="s">
        <v>18725</v>
      </c>
      <c r="H820" s="234" t="s">
        <v>18725</v>
      </c>
      <c r="I820" s="234" t="s">
        <v>18725</v>
      </c>
      <c r="J820" s="234" t="s">
        <v>18636</v>
      </c>
      <c r="K820" s="236" t="s">
        <v>18725</v>
      </c>
      <c r="L820" s="236" t="s">
        <v>18725</v>
      </c>
      <c r="M820" s="236" t="s">
        <v>18725</v>
      </c>
      <c r="N820" s="234" t="s">
        <v>18654</v>
      </c>
      <c r="O820" s="237" t="s">
        <v>18675</v>
      </c>
      <c r="P820" s="238" t="s">
        <v>18985</v>
      </c>
      <c r="Q820" s="234" t="s">
        <v>18726</v>
      </c>
      <c r="R820" s="238" t="s">
        <v>21558</v>
      </c>
      <c r="S820" s="238" t="s">
        <v>18725</v>
      </c>
      <c r="T820" s="238" t="s">
        <v>18725</v>
      </c>
      <c r="U820" s="238" t="s">
        <v>18725</v>
      </c>
      <c r="V820" s="238" t="s">
        <v>18725</v>
      </c>
      <c r="W820" s="238" t="s">
        <v>18725</v>
      </c>
      <c r="X820" s="238" t="s">
        <v>18725</v>
      </c>
      <c r="Y820" s="239" t="str">
        <f>IF('CCUS Projects Database'!$R820&lt;&gt;"",HYPERLINK('CCUS Projects Database'!$R820,"Link 1"),"")</f>
        <v>Link 1</v>
      </c>
      <c r="Z820" s="239" t="str">
        <f>IF('CCUS Projects Database'!$S820&lt;&gt;"",HYPERLINK('CCUS Projects Database'!$S820,"Link 2"),"")</f>
        <v/>
      </c>
      <c r="AA820" s="239" t="str">
        <f>IF('CCUS Projects Database'!$T820&lt;&gt;"",HYPERLINK('CCUS Projects Database'!$T820,"Link 3"),"")</f>
        <v/>
      </c>
      <c r="AB820" s="239" t="str">
        <f>IF('CCUS Projects Database'!$U820&lt;&gt;"",HYPERLINK('CCUS Projects Database'!$U820,"Link 4"),"")</f>
        <v/>
      </c>
      <c r="AC820" s="239" t="str">
        <f>IF('CCUS Projects Database'!$V820&lt;&gt;"",HYPERLINK('CCUS Projects Database'!$V820,"Link 5"),"")</f>
        <v/>
      </c>
      <c r="AD820" s="239" t="str">
        <f>IF('CCUS Projects Database'!$W820&lt;&gt;"",HYPERLINK('CCUS Projects Database'!$W820,"Link 6"),"")</f>
        <v/>
      </c>
      <c r="AE820" s="239" t="str">
        <f>IF('CCUS Projects Database'!$X820&lt;&gt;"",HYPERLINK('CCUS Projects Database'!$X820,"Link 7"),"")</f>
        <v/>
      </c>
    </row>
    <row r="821" ht="14.25" customHeight="1">
      <c r="A821" s="233" t="s">
        <v>21559</v>
      </c>
      <c r="B821" s="234">
        <v>1106.0</v>
      </c>
      <c r="C821" s="234" t="s">
        <v>83</v>
      </c>
      <c r="D821" s="235" t="s">
        <v>21560</v>
      </c>
      <c r="E821" s="234" t="s">
        <v>18618</v>
      </c>
      <c r="F821" s="234">
        <v>2021.0</v>
      </c>
      <c r="G821" s="234" t="s">
        <v>18725</v>
      </c>
      <c r="H821" s="234" t="s">
        <v>18725</v>
      </c>
      <c r="I821" s="234" t="s">
        <v>18725</v>
      </c>
      <c r="J821" s="234" t="s">
        <v>18636</v>
      </c>
      <c r="K821" s="236" t="s">
        <v>18725</v>
      </c>
      <c r="L821" s="236" t="s">
        <v>18725</v>
      </c>
      <c r="M821" s="236" t="s">
        <v>18725</v>
      </c>
      <c r="N821" s="234" t="s">
        <v>18654</v>
      </c>
      <c r="O821" s="237" t="s">
        <v>18675</v>
      </c>
      <c r="P821" s="238" t="s">
        <v>19187</v>
      </c>
      <c r="Q821" s="234" t="s">
        <v>18726</v>
      </c>
      <c r="R821" s="238" t="s">
        <v>21561</v>
      </c>
      <c r="S821" s="238" t="s">
        <v>18725</v>
      </c>
      <c r="T821" s="238" t="s">
        <v>18725</v>
      </c>
      <c r="U821" s="238" t="s">
        <v>18725</v>
      </c>
      <c r="V821" s="238" t="s">
        <v>18725</v>
      </c>
      <c r="W821" s="238" t="s">
        <v>18725</v>
      </c>
      <c r="X821" s="238" t="s">
        <v>18725</v>
      </c>
      <c r="Y821" s="239" t="str">
        <f>IF('CCUS Projects Database'!$R821&lt;&gt;"",HYPERLINK('CCUS Projects Database'!$R821,"Link 1"),"")</f>
        <v>Link 1</v>
      </c>
      <c r="Z821" s="239" t="str">
        <f>IF('CCUS Projects Database'!$S821&lt;&gt;"",HYPERLINK('CCUS Projects Database'!$S821,"Link 2"),"")</f>
        <v/>
      </c>
      <c r="AA821" s="239" t="str">
        <f>IF('CCUS Projects Database'!$T821&lt;&gt;"",HYPERLINK('CCUS Projects Database'!$T821,"Link 3"),"")</f>
        <v/>
      </c>
      <c r="AB821" s="239" t="str">
        <f>IF('CCUS Projects Database'!$U821&lt;&gt;"",HYPERLINK('CCUS Projects Database'!$U821,"Link 4"),"")</f>
        <v/>
      </c>
      <c r="AC821" s="239" t="str">
        <f>IF('CCUS Projects Database'!$V821&lt;&gt;"",HYPERLINK('CCUS Projects Database'!$V821,"Link 5"),"")</f>
        <v/>
      </c>
      <c r="AD821" s="239" t="str">
        <f>IF('CCUS Projects Database'!$W821&lt;&gt;"",HYPERLINK('CCUS Projects Database'!$W821,"Link 6"),"")</f>
        <v/>
      </c>
      <c r="AE821" s="239" t="str">
        <f>IF('CCUS Projects Database'!$X821&lt;&gt;"",HYPERLINK('CCUS Projects Database'!$X821,"Link 7"),"")</f>
        <v/>
      </c>
    </row>
    <row r="822" ht="14.25" customHeight="1">
      <c r="A822" s="233" t="s">
        <v>21562</v>
      </c>
      <c r="B822" s="234">
        <v>1107.0</v>
      </c>
      <c r="C822" s="234" t="s">
        <v>83</v>
      </c>
      <c r="D822" s="235" t="s">
        <v>21563</v>
      </c>
      <c r="E822" s="234" t="s">
        <v>18618</v>
      </c>
      <c r="F822" s="234">
        <v>2021.0</v>
      </c>
      <c r="G822" s="234" t="s">
        <v>18725</v>
      </c>
      <c r="H822" s="234" t="s">
        <v>18725</v>
      </c>
      <c r="I822" s="234" t="s">
        <v>18725</v>
      </c>
      <c r="J822" s="234" t="s">
        <v>18636</v>
      </c>
      <c r="K822" s="236" t="s">
        <v>18725</v>
      </c>
      <c r="L822" s="236" t="s">
        <v>18725</v>
      </c>
      <c r="M822" s="236" t="s">
        <v>18725</v>
      </c>
      <c r="N822" s="234" t="s">
        <v>12270</v>
      </c>
      <c r="O822" s="237" t="s">
        <v>18675</v>
      </c>
      <c r="P822" s="238" t="s">
        <v>19187</v>
      </c>
      <c r="Q822" s="234" t="s">
        <v>18726</v>
      </c>
      <c r="R822" s="238" t="s">
        <v>21564</v>
      </c>
      <c r="S822" s="238" t="s">
        <v>18725</v>
      </c>
      <c r="T822" s="238" t="s">
        <v>18725</v>
      </c>
      <c r="U822" s="238" t="s">
        <v>18725</v>
      </c>
      <c r="V822" s="238" t="s">
        <v>18725</v>
      </c>
      <c r="W822" s="238" t="s">
        <v>18725</v>
      </c>
      <c r="X822" s="238" t="s">
        <v>18725</v>
      </c>
      <c r="Y822" s="239" t="str">
        <f>IF('CCUS Projects Database'!$R822&lt;&gt;"",HYPERLINK('CCUS Projects Database'!$R822,"Link 1"),"")</f>
        <v>Link 1</v>
      </c>
      <c r="Z822" s="239" t="str">
        <f>IF('CCUS Projects Database'!$S822&lt;&gt;"",HYPERLINK('CCUS Projects Database'!$S822,"Link 2"),"")</f>
        <v/>
      </c>
      <c r="AA822" s="239" t="str">
        <f>IF('CCUS Projects Database'!$T822&lt;&gt;"",HYPERLINK('CCUS Projects Database'!$T822,"Link 3"),"")</f>
        <v/>
      </c>
      <c r="AB822" s="239" t="str">
        <f>IF('CCUS Projects Database'!$U822&lt;&gt;"",HYPERLINK('CCUS Projects Database'!$U822,"Link 4"),"")</f>
        <v/>
      </c>
      <c r="AC822" s="239" t="str">
        <f>IF('CCUS Projects Database'!$V822&lt;&gt;"",HYPERLINK('CCUS Projects Database'!$V822,"Link 5"),"")</f>
        <v/>
      </c>
      <c r="AD822" s="239" t="str">
        <f>IF('CCUS Projects Database'!$W822&lt;&gt;"",HYPERLINK('CCUS Projects Database'!$W822,"Link 6"),"")</f>
        <v/>
      </c>
      <c r="AE822" s="239" t="str">
        <f>IF('CCUS Projects Database'!$X822&lt;&gt;"",HYPERLINK('CCUS Projects Database'!$X822,"Link 7"),"")</f>
        <v/>
      </c>
    </row>
    <row r="823" ht="14.25" customHeight="1">
      <c r="A823" s="233" t="s">
        <v>21565</v>
      </c>
      <c r="B823" s="234">
        <v>1108.0</v>
      </c>
      <c r="C823" s="234" t="s">
        <v>83</v>
      </c>
      <c r="D823" s="235" t="s">
        <v>21566</v>
      </c>
      <c r="E823" s="234" t="s">
        <v>18618</v>
      </c>
      <c r="F823" s="234">
        <v>2021.0</v>
      </c>
      <c r="G823" s="234" t="s">
        <v>18725</v>
      </c>
      <c r="H823" s="234" t="s">
        <v>18725</v>
      </c>
      <c r="I823" s="234" t="s">
        <v>18725</v>
      </c>
      <c r="J823" s="234" t="s">
        <v>18636</v>
      </c>
      <c r="K823" s="236" t="s">
        <v>18725</v>
      </c>
      <c r="L823" s="236" t="s">
        <v>18725</v>
      </c>
      <c r="M823" s="236" t="s">
        <v>18725</v>
      </c>
      <c r="N823" s="234" t="s">
        <v>18654</v>
      </c>
      <c r="O823" s="237" t="s">
        <v>18675</v>
      </c>
      <c r="P823" s="238" t="s">
        <v>19187</v>
      </c>
      <c r="Q823" s="234" t="s">
        <v>18726</v>
      </c>
      <c r="R823" s="238" t="s">
        <v>18725</v>
      </c>
      <c r="S823" s="238" t="s">
        <v>18725</v>
      </c>
      <c r="T823" s="238" t="s">
        <v>18725</v>
      </c>
      <c r="U823" s="238" t="s">
        <v>18725</v>
      </c>
      <c r="V823" s="238" t="s">
        <v>18725</v>
      </c>
      <c r="W823" s="238" t="s">
        <v>18725</v>
      </c>
      <c r="X823" s="238" t="s">
        <v>18725</v>
      </c>
      <c r="Y823" s="239" t="str">
        <f>IF('CCUS Projects Database'!$R823&lt;&gt;"",HYPERLINK('CCUS Projects Database'!$R823,"Link 1"),"")</f>
        <v/>
      </c>
      <c r="Z823" s="239" t="str">
        <f>IF('CCUS Projects Database'!$S823&lt;&gt;"",HYPERLINK('CCUS Projects Database'!$S823,"Link 2"),"")</f>
        <v/>
      </c>
      <c r="AA823" s="239" t="str">
        <f>IF('CCUS Projects Database'!$T823&lt;&gt;"",HYPERLINK('CCUS Projects Database'!$T823,"Link 3"),"")</f>
        <v/>
      </c>
      <c r="AB823" s="239" t="str">
        <f>IF('CCUS Projects Database'!$U823&lt;&gt;"",HYPERLINK('CCUS Projects Database'!$U823,"Link 4"),"")</f>
        <v/>
      </c>
      <c r="AC823" s="239" t="str">
        <f>IF('CCUS Projects Database'!$V823&lt;&gt;"",HYPERLINK('CCUS Projects Database'!$V823,"Link 5"),"")</f>
        <v/>
      </c>
      <c r="AD823" s="239" t="str">
        <f>IF('CCUS Projects Database'!$W823&lt;&gt;"",HYPERLINK('CCUS Projects Database'!$W823,"Link 6"),"")</f>
        <v/>
      </c>
      <c r="AE823" s="239" t="str">
        <f>IF('CCUS Projects Database'!$X823&lt;&gt;"",HYPERLINK('CCUS Projects Database'!$X823,"Link 7"),"")</f>
        <v/>
      </c>
    </row>
    <row r="824" ht="14.25" customHeight="1">
      <c r="A824" s="233" t="s">
        <v>21567</v>
      </c>
      <c r="B824" s="234">
        <v>1109.0</v>
      </c>
      <c r="C824" s="234" t="s">
        <v>83</v>
      </c>
      <c r="D824" s="235" t="s">
        <v>21568</v>
      </c>
      <c r="E824" s="234" t="s">
        <v>18618</v>
      </c>
      <c r="F824" s="234">
        <v>2021.0</v>
      </c>
      <c r="G824" s="234" t="s">
        <v>18725</v>
      </c>
      <c r="H824" s="234" t="s">
        <v>18725</v>
      </c>
      <c r="I824" s="234" t="s">
        <v>18725</v>
      </c>
      <c r="J824" s="234" t="s">
        <v>18636</v>
      </c>
      <c r="K824" s="236" t="s">
        <v>18725</v>
      </c>
      <c r="L824" s="236" t="s">
        <v>18725</v>
      </c>
      <c r="M824" s="236" t="s">
        <v>18725</v>
      </c>
      <c r="N824" s="234" t="s">
        <v>103</v>
      </c>
      <c r="O824" s="237" t="s">
        <v>18675</v>
      </c>
      <c r="P824" s="238" t="s">
        <v>19187</v>
      </c>
      <c r="Q824" s="234" t="s">
        <v>18726</v>
      </c>
      <c r="R824" s="238" t="s">
        <v>18725</v>
      </c>
      <c r="S824" s="238" t="s">
        <v>18725</v>
      </c>
      <c r="T824" s="238" t="s">
        <v>18725</v>
      </c>
      <c r="U824" s="238" t="s">
        <v>18725</v>
      </c>
      <c r="V824" s="238" t="s">
        <v>18725</v>
      </c>
      <c r="W824" s="238" t="s">
        <v>18725</v>
      </c>
      <c r="X824" s="238" t="s">
        <v>18725</v>
      </c>
      <c r="Y824" s="239" t="str">
        <f>IF('CCUS Projects Database'!$R824&lt;&gt;"",HYPERLINK('CCUS Projects Database'!$R824,"Link 1"),"")</f>
        <v/>
      </c>
      <c r="Z824" s="239" t="str">
        <f>IF('CCUS Projects Database'!$S824&lt;&gt;"",HYPERLINK('CCUS Projects Database'!$S824,"Link 2"),"")</f>
        <v/>
      </c>
      <c r="AA824" s="239" t="str">
        <f>IF('CCUS Projects Database'!$T824&lt;&gt;"",HYPERLINK('CCUS Projects Database'!$T824,"Link 3"),"")</f>
        <v/>
      </c>
      <c r="AB824" s="239" t="str">
        <f>IF('CCUS Projects Database'!$U824&lt;&gt;"",HYPERLINK('CCUS Projects Database'!$U824,"Link 4"),"")</f>
        <v/>
      </c>
      <c r="AC824" s="239" t="str">
        <f>IF('CCUS Projects Database'!$V824&lt;&gt;"",HYPERLINK('CCUS Projects Database'!$V824,"Link 5"),"")</f>
        <v/>
      </c>
      <c r="AD824" s="239" t="str">
        <f>IF('CCUS Projects Database'!$W824&lt;&gt;"",HYPERLINK('CCUS Projects Database'!$W824,"Link 6"),"")</f>
        <v/>
      </c>
      <c r="AE824" s="239" t="str">
        <f>IF('CCUS Projects Database'!$X824&lt;&gt;"",HYPERLINK('CCUS Projects Database'!$X824,"Link 7"),"")</f>
        <v/>
      </c>
    </row>
    <row r="825" ht="14.25" customHeight="1">
      <c r="A825" s="233" t="s">
        <v>21569</v>
      </c>
      <c r="B825" s="234">
        <v>1110.0</v>
      </c>
      <c r="C825" s="234" t="s">
        <v>83</v>
      </c>
      <c r="D825" s="235" t="s">
        <v>21570</v>
      </c>
      <c r="E825" s="234" t="s">
        <v>18618</v>
      </c>
      <c r="F825" s="234">
        <v>2021.0</v>
      </c>
      <c r="G825" s="234" t="s">
        <v>18725</v>
      </c>
      <c r="H825" s="234">
        <v>2030.0</v>
      </c>
      <c r="I825" s="234" t="s">
        <v>18725</v>
      </c>
      <c r="J825" s="234" t="s">
        <v>18636</v>
      </c>
      <c r="K825" s="236">
        <v>1.0</v>
      </c>
      <c r="L825" s="236">
        <v>1.2</v>
      </c>
      <c r="M825" s="236">
        <v>1.2</v>
      </c>
      <c r="N825" s="234" t="s">
        <v>18654</v>
      </c>
      <c r="O825" s="237" t="s">
        <v>18675</v>
      </c>
      <c r="P825" s="238" t="s">
        <v>18985</v>
      </c>
      <c r="Q825" s="234" t="s">
        <v>18726</v>
      </c>
      <c r="R825" s="238" t="s">
        <v>21571</v>
      </c>
      <c r="S825" s="238" t="s">
        <v>21572</v>
      </c>
      <c r="T825" s="238" t="s">
        <v>18725</v>
      </c>
      <c r="U825" s="238" t="s">
        <v>18725</v>
      </c>
      <c r="V825" s="238" t="s">
        <v>18725</v>
      </c>
      <c r="W825" s="238" t="s">
        <v>18725</v>
      </c>
      <c r="X825" s="238" t="s">
        <v>18725</v>
      </c>
      <c r="Y825" s="239" t="str">
        <f>IF('CCUS Projects Database'!$R825&lt;&gt;"",HYPERLINK('CCUS Projects Database'!$R825,"Link 1"),"")</f>
        <v>Link 1</v>
      </c>
      <c r="Z825" s="239" t="str">
        <f>IF('CCUS Projects Database'!$S825&lt;&gt;"",HYPERLINK('CCUS Projects Database'!$S825,"Link 2"),"")</f>
        <v>Link 2</v>
      </c>
      <c r="AA825" s="239" t="str">
        <f>IF('CCUS Projects Database'!$T825&lt;&gt;"",HYPERLINK('CCUS Projects Database'!$T825,"Link 3"),"")</f>
        <v/>
      </c>
      <c r="AB825" s="239" t="str">
        <f>IF('CCUS Projects Database'!$U825&lt;&gt;"",HYPERLINK('CCUS Projects Database'!$U825,"Link 4"),"")</f>
        <v/>
      </c>
      <c r="AC825" s="239" t="str">
        <f>IF('CCUS Projects Database'!$V825&lt;&gt;"",HYPERLINK('CCUS Projects Database'!$V825,"Link 5"),"")</f>
        <v/>
      </c>
      <c r="AD825" s="239" t="str">
        <f>IF('CCUS Projects Database'!$W825&lt;&gt;"",HYPERLINK('CCUS Projects Database'!$W825,"Link 6"),"")</f>
        <v/>
      </c>
      <c r="AE825" s="239" t="str">
        <f>IF('CCUS Projects Database'!$X825&lt;&gt;"",HYPERLINK('CCUS Projects Database'!$X825,"Link 7"),"")</f>
        <v/>
      </c>
    </row>
    <row r="826" ht="14.25" customHeight="1">
      <c r="A826" s="233" t="s">
        <v>21573</v>
      </c>
      <c r="B826" s="234">
        <v>1111.0</v>
      </c>
      <c r="C826" s="234" t="s">
        <v>98</v>
      </c>
      <c r="D826" s="235" t="s">
        <v>21574</v>
      </c>
      <c r="E826" s="234" t="s">
        <v>18618</v>
      </c>
      <c r="F826" s="234">
        <v>2023.0</v>
      </c>
      <c r="G826" s="234" t="s">
        <v>18725</v>
      </c>
      <c r="H826" s="234">
        <v>2030.0</v>
      </c>
      <c r="I826" s="234" t="s">
        <v>18725</v>
      </c>
      <c r="J826" s="234" t="s">
        <v>18636</v>
      </c>
      <c r="K826" s="236" t="s">
        <v>18725</v>
      </c>
      <c r="L826" s="236">
        <v>0.26</v>
      </c>
      <c r="M826" s="236">
        <v>0.26</v>
      </c>
      <c r="N826" s="234" t="s">
        <v>18665</v>
      </c>
      <c r="O826" s="237" t="s">
        <v>18675</v>
      </c>
      <c r="P826" s="238" t="s">
        <v>18725</v>
      </c>
      <c r="Q826" s="234" t="s">
        <v>18726</v>
      </c>
      <c r="R826" s="238" t="s">
        <v>21575</v>
      </c>
      <c r="S826" s="238" t="s">
        <v>18725</v>
      </c>
      <c r="T826" s="238" t="s">
        <v>18725</v>
      </c>
      <c r="U826" s="238" t="s">
        <v>18725</v>
      </c>
      <c r="V826" s="238" t="s">
        <v>18725</v>
      </c>
      <c r="W826" s="238" t="s">
        <v>18725</v>
      </c>
      <c r="X826" s="238" t="s">
        <v>18725</v>
      </c>
      <c r="Y826" s="239" t="str">
        <f>IF('CCUS Projects Database'!$R826&lt;&gt;"",HYPERLINK('CCUS Projects Database'!$R826,"Link 1"),"")</f>
        <v>Link 1</v>
      </c>
      <c r="Z826" s="239" t="str">
        <f>IF('CCUS Projects Database'!$S826&lt;&gt;"",HYPERLINK('CCUS Projects Database'!$S826,"Link 2"),"")</f>
        <v/>
      </c>
      <c r="AA826" s="239" t="str">
        <f>IF('CCUS Projects Database'!$T826&lt;&gt;"",HYPERLINK('CCUS Projects Database'!$T826,"Link 3"),"")</f>
        <v/>
      </c>
      <c r="AB826" s="239" t="str">
        <f>IF('CCUS Projects Database'!$U826&lt;&gt;"",HYPERLINK('CCUS Projects Database'!$U826,"Link 4"),"")</f>
        <v/>
      </c>
      <c r="AC826" s="239" t="str">
        <f>IF('CCUS Projects Database'!$V826&lt;&gt;"",HYPERLINK('CCUS Projects Database'!$V826,"Link 5"),"")</f>
        <v/>
      </c>
      <c r="AD826" s="239" t="str">
        <f>IF('CCUS Projects Database'!$W826&lt;&gt;"",HYPERLINK('CCUS Projects Database'!$W826,"Link 6"),"")</f>
        <v/>
      </c>
      <c r="AE826" s="239" t="str">
        <f>IF('CCUS Projects Database'!$X826&lt;&gt;"",HYPERLINK('CCUS Projects Database'!$X826,"Link 7"),"")</f>
        <v/>
      </c>
    </row>
    <row r="827" ht="14.25" customHeight="1">
      <c r="A827" s="233" t="s">
        <v>21576</v>
      </c>
      <c r="B827" s="234">
        <v>1112.0</v>
      </c>
      <c r="C827" s="234" t="s">
        <v>98</v>
      </c>
      <c r="D827" s="235" t="s">
        <v>21577</v>
      </c>
      <c r="E827" s="234" t="s">
        <v>18618</v>
      </c>
      <c r="F827" s="234">
        <v>2023.0</v>
      </c>
      <c r="G827" s="234" t="s">
        <v>18725</v>
      </c>
      <c r="H827" s="234">
        <v>2030.0</v>
      </c>
      <c r="I827" s="234" t="s">
        <v>18725</v>
      </c>
      <c r="J827" s="234" t="s">
        <v>18636</v>
      </c>
      <c r="K827" s="236" t="s">
        <v>18725</v>
      </c>
      <c r="L827" s="236">
        <v>0.22</v>
      </c>
      <c r="M827" s="236">
        <v>0.22</v>
      </c>
      <c r="N827" s="234" t="s">
        <v>18654</v>
      </c>
      <c r="O827" s="237" t="s">
        <v>18675</v>
      </c>
      <c r="P827" s="234" t="s">
        <v>18941</v>
      </c>
      <c r="Q827" s="234" t="s">
        <v>18726</v>
      </c>
      <c r="R827" s="238" t="s">
        <v>21578</v>
      </c>
      <c r="S827" s="238" t="s">
        <v>21579</v>
      </c>
      <c r="T827" s="238" t="s">
        <v>18725</v>
      </c>
      <c r="U827" s="238" t="s">
        <v>18725</v>
      </c>
      <c r="V827" s="238" t="s">
        <v>18725</v>
      </c>
      <c r="W827" s="238" t="s">
        <v>18725</v>
      </c>
      <c r="X827" s="238" t="s">
        <v>18725</v>
      </c>
      <c r="Y827" s="239" t="str">
        <f>IF('CCUS Projects Database'!$R827&lt;&gt;"",HYPERLINK('CCUS Projects Database'!$R827,"Link 1"),"")</f>
        <v>Link 1</v>
      </c>
      <c r="Z827" s="239" t="str">
        <f>IF('CCUS Projects Database'!$S827&lt;&gt;"",HYPERLINK('CCUS Projects Database'!$S827,"Link 2"),"")</f>
        <v>Link 2</v>
      </c>
      <c r="AA827" s="239" t="str">
        <f>IF('CCUS Projects Database'!$T827&lt;&gt;"",HYPERLINK('CCUS Projects Database'!$T827,"Link 3"),"")</f>
        <v/>
      </c>
      <c r="AB827" s="239" t="str">
        <f>IF('CCUS Projects Database'!$U827&lt;&gt;"",HYPERLINK('CCUS Projects Database'!$U827,"Link 4"),"")</f>
        <v/>
      </c>
      <c r="AC827" s="239" t="str">
        <f>IF('CCUS Projects Database'!$V827&lt;&gt;"",HYPERLINK('CCUS Projects Database'!$V827,"Link 5"),"")</f>
        <v/>
      </c>
      <c r="AD827" s="239" t="str">
        <f>IF('CCUS Projects Database'!$W827&lt;&gt;"",HYPERLINK('CCUS Projects Database'!$W827,"Link 6"),"")</f>
        <v/>
      </c>
      <c r="AE827" s="239" t="str">
        <f>IF('CCUS Projects Database'!$X827&lt;&gt;"",HYPERLINK('CCUS Projects Database'!$X827,"Link 7"),"")</f>
        <v/>
      </c>
    </row>
    <row r="828" ht="14.25" customHeight="1">
      <c r="A828" s="233" t="s">
        <v>21580</v>
      </c>
      <c r="B828" s="234">
        <v>1113.0</v>
      </c>
      <c r="C828" s="234" t="s">
        <v>98</v>
      </c>
      <c r="D828" s="235" t="s">
        <v>21581</v>
      </c>
      <c r="E828" s="234" t="s">
        <v>18618</v>
      </c>
      <c r="F828" s="234">
        <v>2023.0</v>
      </c>
      <c r="G828" s="234" t="s">
        <v>18725</v>
      </c>
      <c r="H828" s="234">
        <v>2030.0</v>
      </c>
      <c r="I828" s="234" t="s">
        <v>18725</v>
      </c>
      <c r="J828" s="234" t="s">
        <v>18636</v>
      </c>
      <c r="K828" s="236" t="s">
        <v>18725</v>
      </c>
      <c r="L828" s="236">
        <v>0.13</v>
      </c>
      <c r="M828" s="236">
        <v>0.13</v>
      </c>
      <c r="N828" s="234" t="s">
        <v>18654</v>
      </c>
      <c r="O828" s="237" t="s">
        <v>18675</v>
      </c>
      <c r="P828" s="238" t="s">
        <v>18725</v>
      </c>
      <c r="Q828" s="234" t="s">
        <v>18726</v>
      </c>
      <c r="R828" s="238" t="s">
        <v>18725</v>
      </c>
      <c r="S828" s="238" t="s">
        <v>18725</v>
      </c>
      <c r="T828" s="238" t="s">
        <v>18725</v>
      </c>
      <c r="U828" s="238" t="s">
        <v>18725</v>
      </c>
      <c r="V828" s="238" t="s">
        <v>18725</v>
      </c>
      <c r="W828" s="238" t="s">
        <v>18725</v>
      </c>
      <c r="X828" s="238" t="s">
        <v>18725</v>
      </c>
      <c r="Y828" s="239" t="str">
        <f>IF('CCUS Projects Database'!$R828&lt;&gt;"",HYPERLINK('CCUS Projects Database'!$R828,"Link 1"),"")</f>
        <v/>
      </c>
      <c r="Z828" s="239" t="str">
        <f>IF('CCUS Projects Database'!$S828&lt;&gt;"",HYPERLINK('CCUS Projects Database'!$S828,"Link 2"),"")</f>
        <v/>
      </c>
      <c r="AA828" s="239" t="str">
        <f>IF('CCUS Projects Database'!$T828&lt;&gt;"",HYPERLINK('CCUS Projects Database'!$T828,"Link 3"),"")</f>
        <v/>
      </c>
      <c r="AB828" s="239" t="str">
        <f>IF('CCUS Projects Database'!$U828&lt;&gt;"",HYPERLINK('CCUS Projects Database'!$U828,"Link 4"),"")</f>
        <v/>
      </c>
      <c r="AC828" s="239" t="str">
        <f>IF('CCUS Projects Database'!$V828&lt;&gt;"",HYPERLINK('CCUS Projects Database'!$V828,"Link 5"),"")</f>
        <v/>
      </c>
      <c r="AD828" s="239" t="str">
        <f>IF('CCUS Projects Database'!$W828&lt;&gt;"",HYPERLINK('CCUS Projects Database'!$W828,"Link 6"),"")</f>
        <v/>
      </c>
      <c r="AE828" s="239" t="str">
        <f>IF('CCUS Projects Database'!$X828&lt;&gt;"",HYPERLINK('CCUS Projects Database'!$X828,"Link 7"),"")</f>
        <v/>
      </c>
    </row>
    <row r="829" ht="14.25" customHeight="1">
      <c r="A829" s="233" t="s">
        <v>21582</v>
      </c>
      <c r="B829" s="234">
        <v>1114.0</v>
      </c>
      <c r="C829" s="234" t="s">
        <v>120</v>
      </c>
      <c r="D829" s="235" t="s">
        <v>21583</v>
      </c>
      <c r="E829" s="234" t="s">
        <v>18620</v>
      </c>
      <c r="F829" s="234">
        <v>2023.0</v>
      </c>
      <c r="G829" s="234">
        <v>2027.0</v>
      </c>
      <c r="H829" s="234">
        <v>2030.0</v>
      </c>
      <c r="I829" s="234" t="s">
        <v>18725</v>
      </c>
      <c r="J829" s="234" t="s">
        <v>18636</v>
      </c>
      <c r="K829" s="236" t="s">
        <v>18725</v>
      </c>
      <c r="L829" s="236">
        <v>2.6</v>
      </c>
      <c r="M829" s="236">
        <v>2.6</v>
      </c>
      <c r="N829" s="234" t="s">
        <v>18620</v>
      </c>
      <c r="O829" s="237" t="s">
        <v>18675</v>
      </c>
      <c r="P829" s="238" t="s">
        <v>21584</v>
      </c>
      <c r="Q829" s="234" t="s">
        <v>18726</v>
      </c>
      <c r="R829" s="238" t="s">
        <v>21585</v>
      </c>
      <c r="S829" s="238" t="s">
        <v>21586</v>
      </c>
      <c r="T829" s="238" t="s">
        <v>18725</v>
      </c>
      <c r="U829" s="238" t="s">
        <v>18725</v>
      </c>
      <c r="V829" s="238" t="s">
        <v>18725</v>
      </c>
      <c r="W829" s="238" t="s">
        <v>18725</v>
      </c>
      <c r="X829" s="238" t="s">
        <v>18725</v>
      </c>
      <c r="Y829" s="239" t="str">
        <f>IF('CCUS Projects Database'!$R829&lt;&gt;"",HYPERLINK('CCUS Projects Database'!$R829,"Link 1"),"")</f>
        <v>Link 1</v>
      </c>
      <c r="Z829" s="239" t="str">
        <f>IF('CCUS Projects Database'!$S829&lt;&gt;"",HYPERLINK('CCUS Projects Database'!$S829,"Link 2"),"")</f>
        <v>Link 2</v>
      </c>
      <c r="AA829" s="239" t="str">
        <f>IF('CCUS Projects Database'!$T829&lt;&gt;"",HYPERLINK('CCUS Projects Database'!$T829,"Link 3"),"")</f>
        <v/>
      </c>
      <c r="AB829" s="239" t="str">
        <f>IF('CCUS Projects Database'!$U829&lt;&gt;"",HYPERLINK('CCUS Projects Database'!$U829,"Link 4"),"")</f>
        <v/>
      </c>
      <c r="AC829" s="239" t="str">
        <f>IF('CCUS Projects Database'!$V829&lt;&gt;"",HYPERLINK('CCUS Projects Database'!$V829,"Link 5"),"")</f>
        <v/>
      </c>
      <c r="AD829" s="239" t="str">
        <f>IF('CCUS Projects Database'!$W829&lt;&gt;"",HYPERLINK('CCUS Projects Database'!$W829,"Link 6"),"")</f>
        <v/>
      </c>
      <c r="AE829" s="239" t="str">
        <f>IF('CCUS Projects Database'!$X829&lt;&gt;"",HYPERLINK('CCUS Projects Database'!$X829,"Link 7"),"")</f>
        <v/>
      </c>
    </row>
    <row r="830" ht="14.25" customHeight="1">
      <c r="A830" s="233" t="s">
        <v>21587</v>
      </c>
      <c r="B830" s="234">
        <v>1115.0</v>
      </c>
      <c r="C830" s="234" t="s">
        <v>120</v>
      </c>
      <c r="D830" s="235" t="s">
        <v>21588</v>
      </c>
      <c r="E830" s="234" t="s">
        <v>18618</v>
      </c>
      <c r="F830" s="234">
        <v>2023.0</v>
      </c>
      <c r="G830" s="234">
        <v>2027.0</v>
      </c>
      <c r="H830" s="234">
        <v>2030.0</v>
      </c>
      <c r="I830" s="234" t="s">
        <v>18725</v>
      </c>
      <c r="J830" s="234" t="s">
        <v>18636</v>
      </c>
      <c r="K830" s="236" t="s">
        <v>18725</v>
      </c>
      <c r="L830" s="236" t="s">
        <v>18725</v>
      </c>
      <c r="M830" s="236">
        <v>1.6</v>
      </c>
      <c r="N830" s="234" t="s">
        <v>18663</v>
      </c>
      <c r="O830" s="237" t="s">
        <v>18675</v>
      </c>
      <c r="P830" s="238" t="s">
        <v>21584</v>
      </c>
      <c r="Q830" s="234" t="s">
        <v>18726</v>
      </c>
      <c r="R830" s="238" t="s">
        <v>21586</v>
      </c>
      <c r="S830" s="238" t="s">
        <v>18725</v>
      </c>
      <c r="T830" s="238" t="s">
        <v>18725</v>
      </c>
      <c r="U830" s="238" t="s">
        <v>18725</v>
      </c>
      <c r="V830" s="238" t="s">
        <v>18725</v>
      </c>
      <c r="W830" s="238" t="s">
        <v>18725</v>
      </c>
      <c r="X830" s="238" t="s">
        <v>18725</v>
      </c>
      <c r="Y830" s="239" t="str">
        <f>IF('CCUS Projects Database'!$R830&lt;&gt;"",HYPERLINK('CCUS Projects Database'!$R830,"Link 1"),"")</f>
        <v>Link 1</v>
      </c>
      <c r="Z830" s="239" t="str">
        <f>IF('CCUS Projects Database'!$S830&lt;&gt;"",HYPERLINK('CCUS Projects Database'!$S830,"Link 2"),"")</f>
        <v/>
      </c>
      <c r="AA830" s="239" t="str">
        <f>IF('CCUS Projects Database'!$T830&lt;&gt;"",HYPERLINK('CCUS Projects Database'!$T830,"Link 3"),"")</f>
        <v/>
      </c>
      <c r="AB830" s="239" t="str">
        <f>IF('CCUS Projects Database'!$U830&lt;&gt;"",HYPERLINK('CCUS Projects Database'!$U830,"Link 4"),"")</f>
        <v/>
      </c>
      <c r="AC830" s="239" t="str">
        <f>IF('CCUS Projects Database'!$V830&lt;&gt;"",HYPERLINK('CCUS Projects Database'!$V830,"Link 5"),"")</f>
        <v/>
      </c>
      <c r="AD830" s="239" t="str">
        <f>IF('CCUS Projects Database'!$W830&lt;&gt;"",HYPERLINK('CCUS Projects Database'!$W830,"Link 6"),"")</f>
        <v/>
      </c>
      <c r="AE830" s="239" t="str">
        <f>IF('CCUS Projects Database'!$X830&lt;&gt;"",HYPERLINK('CCUS Projects Database'!$X830,"Link 7"),"")</f>
        <v/>
      </c>
    </row>
    <row r="831" ht="14.25" customHeight="1">
      <c r="A831" s="233" t="s">
        <v>21589</v>
      </c>
      <c r="B831" s="234">
        <v>1116.0</v>
      </c>
      <c r="C831" s="234" t="s">
        <v>120</v>
      </c>
      <c r="D831" s="235" t="s">
        <v>21590</v>
      </c>
      <c r="E831" s="234" t="s">
        <v>18618</v>
      </c>
      <c r="F831" s="234">
        <v>2023.0</v>
      </c>
      <c r="G831" s="234">
        <v>2027.0</v>
      </c>
      <c r="H831" s="234">
        <v>2030.0</v>
      </c>
      <c r="I831" s="234" t="s">
        <v>18725</v>
      </c>
      <c r="J831" s="234" t="s">
        <v>18636</v>
      </c>
      <c r="K831" s="236" t="s">
        <v>18725</v>
      </c>
      <c r="L831" s="236">
        <v>1.0</v>
      </c>
      <c r="M831" s="236">
        <v>1.0</v>
      </c>
      <c r="N831" s="234" t="s">
        <v>18663</v>
      </c>
      <c r="O831" s="237" t="s">
        <v>18675</v>
      </c>
      <c r="P831" s="234" t="s">
        <v>21584</v>
      </c>
      <c r="Q831" s="234" t="s">
        <v>18726</v>
      </c>
      <c r="R831" s="238" t="s">
        <v>21586</v>
      </c>
      <c r="S831" s="238" t="s">
        <v>18725</v>
      </c>
      <c r="T831" s="238" t="s">
        <v>18725</v>
      </c>
      <c r="U831" s="238" t="s">
        <v>18725</v>
      </c>
      <c r="V831" s="238" t="s">
        <v>18725</v>
      </c>
      <c r="W831" s="238" t="s">
        <v>18725</v>
      </c>
      <c r="X831" s="238" t="s">
        <v>18725</v>
      </c>
      <c r="Y831" s="239" t="str">
        <f>IF('CCUS Projects Database'!$R831&lt;&gt;"",HYPERLINK('CCUS Projects Database'!$R831,"Link 1"),"")</f>
        <v>Link 1</v>
      </c>
      <c r="Z831" s="239" t="str">
        <f>IF('CCUS Projects Database'!$S831&lt;&gt;"",HYPERLINK('CCUS Projects Database'!$S831,"Link 2"),"")</f>
        <v/>
      </c>
      <c r="AA831" s="239" t="str">
        <f>IF('CCUS Projects Database'!$T831&lt;&gt;"",HYPERLINK('CCUS Projects Database'!$T831,"Link 3"),"")</f>
        <v/>
      </c>
      <c r="AB831" s="239" t="str">
        <f>IF('CCUS Projects Database'!$U831&lt;&gt;"",HYPERLINK('CCUS Projects Database'!$U831,"Link 4"),"")</f>
        <v/>
      </c>
      <c r="AC831" s="239" t="str">
        <f>IF('CCUS Projects Database'!$V831&lt;&gt;"",HYPERLINK('CCUS Projects Database'!$V831,"Link 5"),"")</f>
        <v/>
      </c>
      <c r="AD831" s="239" t="str">
        <f>IF('CCUS Projects Database'!$W831&lt;&gt;"",HYPERLINK('CCUS Projects Database'!$W831,"Link 6"),"")</f>
        <v/>
      </c>
      <c r="AE831" s="239" t="str">
        <f>IF('CCUS Projects Database'!$X831&lt;&gt;"",HYPERLINK('CCUS Projects Database'!$X831,"Link 7"),"")</f>
        <v/>
      </c>
    </row>
    <row r="832" ht="14.25" customHeight="1">
      <c r="A832" s="233" t="s">
        <v>21591</v>
      </c>
      <c r="B832" s="234">
        <v>1117.0</v>
      </c>
      <c r="C832" s="234" t="s">
        <v>18264</v>
      </c>
      <c r="D832" s="235" t="s">
        <v>18953</v>
      </c>
      <c r="E832" s="234" t="s">
        <v>18618</v>
      </c>
      <c r="F832" s="234">
        <v>2018.0</v>
      </c>
      <c r="G832" s="234" t="s">
        <v>18725</v>
      </c>
      <c r="H832" s="234" t="s">
        <v>18725</v>
      </c>
      <c r="I832" s="234" t="s">
        <v>18725</v>
      </c>
      <c r="J832" s="234" t="s">
        <v>18636</v>
      </c>
      <c r="K832" s="236" t="s">
        <v>18725</v>
      </c>
      <c r="L832" s="236">
        <v>2.0</v>
      </c>
      <c r="M832" s="236">
        <v>2.0</v>
      </c>
      <c r="N832" s="234" t="s">
        <v>18654</v>
      </c>
      <c r="O832" s="237" t="s">
        <v>18677</v>
      </c>
      <c r="P832" s="234" t="s">
        <v>18725</v>
      </c>
      <c r="Q832" s="234" t="s">
        <v>18732</v>
      </c>
      <c r="R832" s="238" t="s">
        <v>21592</v>
      </c>
      <c r="S832" s="238" t="s">
        <v>21593</v>
      </c>
      <c r="T832" s="238" t="s">
        <v>18725</v>
      </c>
      <c r="U832" s="238" t="s">
        <v>18725</v>
      </c>
      <c r="V832" s="238" t="s">
        <v>18725</v>
      </c>
      <c r="W832" s="238" t="s">
        <v>18725</v>
      </c>
      <c r="X832" s="238" t="s">
        <v>18725</v>
      </c>
      <c r="Y832" s="239" t="str">
        <f>IF('CCUS Projects Database'!$R832&lt;&gt;"",HYPERLINK('CCUS Projects Database'!$R832,"Link 1"),"")</f>
        <v>Link 1</v>
      </c>
      <c r="Z832" s="239" t="str">
        <f>IF('CCUS Projects Database'!$S832&lt;&gt;"",HYPERLINK('CCUS Projects Database'!$S832,"Link 2"),"")</f>
        <v>Link 2</v>
      </c>
      <c r="AA832" s="239" t="str">
        <f>IF('CCUS Projects Database'!$T832&lt;&gt;"",HYPERLINK('CCUS Projects Database'!$T832,"Link 3"),"")</f>
        <v/>
      </c>
      <c r="AB832" s="239" t="str">
        <f>IF('CCUS Projects Database'!$U832&lt;&gt;"",HYPERLINK('CCUS Projects Database'!$U832,"Link 4"),"")</f>
        <v/>
      </c>
      <c r="AC832" s="239" t="str">
        <f>IF('CCUS Projects Database'!$V832&lt;&gt;"",HYPERLINK('CCUS Projects Database'!$V832,"Link 5"),"")</f>
        <v/>
      </c>
      <c r="AD832" s="239" t="str">
        <f>IF('CCUS Projects Database'!$W832&lt;&gt;"",HYPERLINK('CCUS Projects Database'!$W832,"Link 6"),"")</f>
        <v/>
      </c>
      <c r="AE832" s="239" t="str">
        <f>IF('CCUS Projects Database'!$X832&lt;&gt;"",HYPERLINK('CCUS Projects Database'!$X832,"Link 7"),"")</f>
        <v/>
      </c>
    </row>
    <row r="833" ht="14.25" customHeight="1">
      <c r="A833" s="233" t="s">
        <v>21594</v>
      </c>
      <c r="B833" s="234">
        <v>1118.0</v>
      </c>
      <c r="C833" s="234" t="s">
        <v>18264</v>
      </c>
      <c r="D833" s="235" t="s">
        <v>21595</v>
      </c>
      <c r="E833" s="234" t="s">
        <v>18618</v>
      </c>
      <c r="F833" s="234">
        <v>2021.0</v>
      </c>
      <c r="G833" s="234" t="s">
        <v>18725</v>
      </c>
      <c r="H833" s="234" t="s">
        <v>18725</v>
      </c>
      <c r="I833" s="234" t="s">
        <v>18725</v>
      </c>
      <c r="J833" s="234" t="s">
        <v>18636</v>
      </c>
      <c r="K833" s="236" t="s">
        <v>18725</v>
      </c>
      <c r="L833" s="236" t="s">
        <v>18725</v>
      </c>
      <c r="M833" s="236" t="s">
        <v>18725</v>
      </c>
      <c r="N833" s="234" t="s">
        <v>18654</v>
      </c>
      <c r="O833" s="237" t="s">
        <v>18683</v>
      </c>
      <c r="P833" s="234" t="s">
        <v>18725</v>
      </c>
      <c r="Q833" s="234" t="s">
        <v>18732</v>
      </c>
      <c r="R833" s="238" t="s">
        <v>21596</v>
      </c>
      <c r="S833" s="238" t="s">
        <v>18725</v>
      </c>
      <c r="T833" s="238" t="s">
        <v>18725</v>
      </c>
      <c r="U833" s="238" t="s">
        <v>18725</v>
      </c>
      <c r="V833" s="238" t="s">
        <v>18725</v>
      </c>
      <c r="W833" s="238" t="s">
        <v>18725</v>
      </c>
      <c r="X833" s="238" t="s">
        <v>18725</v>
      </c>
      <c r="Y833" s="239" t="str">
        <f>IF('CCUS Projects Database'!$R833&lt;&gt;"",HYPERLINK('CCUS Projects Database'!$R833,"Link 1"),"")</f>
        <v>Link 1</v>
      </c>
      <c r="Z833" s="239" t="str">
        <f>IF('CCUS Projects Database'!$S833&lt;&gt;"",HYPERLINK('CCUS Projects Database'!$S833,"Link 2"),"")</f>
        <v/>
      </c>
      <c r="AA833" s="239" t="str">
        <f>IF('CCUS Projects Database'!$T833&lt;&gt;"",HYPERLINK('CCUS Projects Database'!$T833,"Link 3"),"")</f>
        <v/>
      </c>
      <c r="AB833" s="239" t="str">
        <f>IF('CCUS Projects Database'!$U833&lt;&gt;"",HYPERLINK('CCUS Projects Database'!$U833,"Link 4"),"")</f>
        <v/>
      </c>
      <c r="AC833" s="239" t="str">
        <f>IF('CCUS Projects Database'!$V833&lt;&gt;"",HYPERLINK('CCUS Projects Database'!$V833,"Link 5"),"")</f>
        <v/>
      </c>
      <c r="AD833" s="239" t="str">
        <f>IF('CCUS Projects Database'!$W833&lt;&gt;"",HYPERLINK('CCUS Projects Database'!$W833,"Link 6"),"")</f>
        <v/>
      </c>
      <c r="AE833" s="239" t="str">
        <f>IF('CCUS Projects Database'!$X833&lt;&gt;"",HYPERLINK('CCUS Projects Database'!$X833,"Link 7"),"")</f>
        <v/>
      </c>
    </row>
    <row r="834" ht="14.25" customHeight="1">
      <c r="A834" s="233" t="s">
        <v>21597</v>
      </c>
      <c r="B834" s="234">
        <v>1119.0</v>
      </c>
      <c r="C834" s="234" t="s">
        <v>18264</v>
      </c>
      <c r="D834" s="235" t="s">
        <v>21598</v>
      </c>
      <c r="E834" s="234" t="s">
        <v>18616</v>
      </c>
      <c r="F834" s="234">
        <v>2023.0</v>
      </c>
      <c r="G834" s="234">
        <v>2025.0</v>
      </c>
      <c r="H834" s="234" t="s">
        <v>18725</v>
      </c>
      <c r="I834" s="234" t="s">
        <v>18725</v>
      </c>
      <c r="J834" s="234" t="s">
        <v>18636</v>
      </c>
      <c r="K834" s="236" t="s">
        <v>18725</v>
      </c>
      <c r="L834" s="236">
        <v>1.5</v>
      </c>
      <c r="M834" s="236">
        <v>1.5</v>
      </c>
      <c r="N834" s="234" t="s">
        <v>103</v>
      </c>
      <c r="O834" s="237" t="s">
        <v>18679</v>
      </c>
      <c r="P834" s="234" t="s">
        <v>18725</v>
      </c>
      <c r="Q834" s="234" t="s">
        <v>18732</v>
      </c>
      <c r="R834" s="238" t="s">
        <v>21599</v>
      </c>
      <c r="S834" s="238" t="s">
        <v>21600</v>
      </c>
      <c r="T834" s="238" t="s">
        <v>18725</v>
      </c>
      <c r="U834" s="238" t="s">
        <v>18725</v>
      </c>
      <c r="V834" s="238" t="s">
        <v>18725</v>
      </c>
      <c r="W834" s="238" t="s">
        <v>18725</v>
      </c>
      <c r="X834" s="238" t="s">
        <v>18725</v>
      </c>
      <c r="Y834" s="239" t="str">
        <f>IF('CCUS Projects Database'!$R834&lt;&gt;"",HYPERLINK('CCUS Projects Database'!$R834,"Link 1"),"")</f>
        <v>Link 1</v>
      </c>
      <c r="Z834" s="239" t="str">
        <f>IF('CCUS Projects Database'!$S834&lt;&gt;"",HYPERLINK('CCUS Projects Database'!$S834,"Link 2"),"")</f>
        <v>Link 2</v>
      </c>
      <c r="AA834" s="239" t="str">
        <f>IF('CCUS Projects Database'!$T834&lt;&gt;"",HYPERLINK('CCUS Projects Database'!$T834,"Link 3"),"")</f>
        <v/>
      </c>
      <c r="AB834" s="239" t="str">
        <f>IF('CCUS Projects Database'!$U834&lt;&gt;"",HYPERLINK('CCUS Projects Database'!$U834,"Link 4"),"")</f>
        <v/>
      </c>
      <c r="AC834" s="239" t="str">
        <f>IF('CCUS Projects Database'!$V834&lt;&gt;"",HYPERLINK('CCUS Projects Database'!$V834,"Link 5"),"")</f>
        <v/>
      </c>
      <c r="AD834" s="239" t="str">
        <f>IF('CCUS Projects Database'!$W834&lt;&gt;"",HYPERLINK('CCUS Projects Database'!$W834,"Link 6"),"")</f>
        <v/>
      </c>
      <c r="AE834" s="239" t="str">
        <f>IF('CCUS Projects Database'!$X834&lt;&gt;"",HYPERLINK('CCUS Projects Database'!$X834,"Link 7"),"")</f>
        <v/>
      </c>
    </row>
    <row r="835" ht="14.25" customHeight="1">
      <c r="A835" s="233" t="s">
        <v>21601</v>
      </c>
      <c r="B835" s="234">
        <v>1120.0</v>
      </c>
      <c r="C835" s="234" t="s">
        <v>18264</v>
      </c>
      <c r="D835" s="235" t="s">
        <v>21602</v>
      </c>
      <c r="E835" s="234" t="s">
        <v>18618</v>
      </c>
      <c r="F835" s="234">
        <v>2023.0</v>
      </c>
      <c r="G835" s="234" t="s">
        <v>18725</v>
      </c>
      <c r="H835" s="234" t="s">
        <v>18725</v>
      </c>
      <c r="I835" s="234" t="s">
        <v>18725</v>
      </c>
      <c r="J835" s="234" t="s">
        <v>18636</v>
      </c>
      <c r="K835" s="236" t="s">
        <v>18725</v>
      </c>
      <c r="L835" s="236" t="s">
        <v>18725</v>
      </c>
      <c r="M835" s="236" t="s">
        <v>18725</v>
      </c>
      <c r="N835" s="234" t="s">
        <v>18656</v>
      </c>
      <c r="O835" s="237" t="s">
        <v>18683</v>
      </c>
      <c r="P835" s="234" t="s">
        <v>18725</v>
      </c>
      <c r="Q835" s="234" t="s">
        <v>18732</v>
      </c>
      <c r="R835" s="238" t="s">
        <v>21603</v>
      </c>
      <c r="S835" s="238" t="s">
        <v>21604</v>
      </c>
      <c r="T835" s="238" t="s">
        <v>18725</v>
      </c>
      <c r="U835" s="238" t="s">
        <v>18725</v>
      </c>
      <c r="V835" s="238" t="s">
        <v>18725</v>
      </c>
      <c r="W835" s="238" t="s">
        <v>18725</v>
      </c>
      <c r="X835" s="238" t="s">
        <v>18725</v>
      </c>
      <c r="Y835" s="239" t="str">
        <f>IF('CCUS Projects Database'!$R835&lt;&gt;"",HYPERLINK('CCUS Projects Database'!$R835,"Link 1"),"")</f>
        <v>Link 1</v>
      </c>
      <c r="Z835" s="239" t="str">
        <f>IF('CCUS Projects Database'!$S835&lt;&gt;"",HYPERLINK('CCUS Projects Database'!$S835,"Link 2"),"")</f>
        <v>Link 2</v>
      </c>
      <c r="AA835" s="239" t="str">
        <f>IF('CCUS Projects Database'!$T835&lt;&gt;"",HYPERLINK('CCUS Projects Database'!$T835,"Link 3"),"")</f>
        <v/>
      </c>
      <c r="AB835" s="239" t="str">
        <f>IF('CCUS Projects Database'!$U835&lt;&gt;"",HYPERLINK('CCUS Projects Database'!$U835,"Link 4"),"")</f>
        <v/>
      </c>
      <c r="AC835" s="239" t="str">
        <f>IF('CCUS Projects Database'!$V835&lt;&gt;"",HYPERLINK('CCUS Projects Database'!$V835,"Link 5"),"")</f>
        <v/>
      </c>
      <c r="AD835" s="239" t="str">
        <f>IF('CCUS Projects Database'!$W835&lt;&gt;"",HYPERLINK('CCUS Projects Database'!$W835,"Link 6"),"")</f>
        <v/>
      </c>
      <c r="AE835" s="239" t="str">
        <f>IF('CCUS Projects Database'!$X835&lt;&gt;"",HYPERLINK('CCUS Projects Database'!$X835,"Link 7"),"")</f>
        <v/>
      </c>
    </row>
    <row r="836" ht="14.25" customHeight="1">
      <c r="A836" s="233" t="s">
        <v>21605</v>
      </c>
      <c r="B836" s="234">
        <v>1121.0</v>
      </c>
      <c r="C836" s="234" t="s">
        <v>18264</v>
      </c>
      <c r="D836" s="235" t="s">
        <v>21606</v>
      </c>
      <c r="E836" s="234" t="s">
        <v>18618</v>
      </c>
      <c r="F836" s="234">
        <v>2023.0</v>
      </c>
      <c r="G836" s="234" t="s">
        <v>18725</v>
      </c>
      <c r="H836" s="234" t="s">
        <v>18725</v>
      </c>
      <c r="I836" s="234" t="s">
        <v>18725</v>
      </c>
      <c r="J836" s="234" t="s">
        <v>18636</v>
      </c>
      <c r="K836" s="236" t="s">
        <v>18725</v>
      </c>
      <c r="L836" s="236" t="s">
        <v>18725</v>
      </c>
      <c r="M836" s="236" t="s">
        <v>18725</v>
      </c>
      <c r="N836" s="234" t="s">
        <v>677</v>
      </c>
      <c r="O836" s="237" t="s">
        <v>18675</v>
      </c>
      <c r="P836" s="234" t="s">
        <v>20507</v>
      </c>
      <c r="Q836" s="234" t="s">
        <v>18732</v>
      </c>
      <c r="R836" s="238" t="s">
        <v>17888</v>
      </c>
      <c r="S836" s="238" t="s">
        <v>17889</v>
      </c>
      <c r="T836" s="238" t="s">
        <v>17890</v>
      </c>
      <c r="U836" s="238" t="s">
        <v>18725</v>
      </c>
      <c r="V836" s="238" t="s">
        <v>18725</v>
      </c>
      <c r="W836" s="238" t="s">
        <v>18725</v>
      </c>
      <c r="X836" s="238" t="s">
        <v>18725</v>
      </c>
      <c r="Y836" s="239" t="str">
        <f>IF('CCUS Projects Database'!$R836&lt;&gt;"",HYPERLINK('CCUS Projects Database'!$R836,"Link 1"),"")</f>
        <v>Link 1</v>
      </c>
      <c r="Z836" s="239" t="str">
        <f>IF('CCUS Projects Database'!$S836&lt;&gt;"",HYPERLINK('CCUS Projects Database'!$S836,"Link 2"),"")</f>
        <v>Link 2</v>
      </c>
      <c r="AA836" s="239" t="str">
        <f>IF('CCUS Projects Database'!$T836&lt;&gt;"",HYPERLINK('CCUS Projects Database'!$T836,"Link 3"),"")</f>
        <v>Link 3</v>
      </c>
      <c r="AB836" s="239" t="str">
        <f>IF('CCUS Projects Database'!$U836&lt;&gt;"",HYPERLINK('CCUS Projects Database'!$U836,"Link 4"),"")</f>
        <v/>
      </c>
      <c r="AC836" s="239" t="str">
        <f>IF('CCUS Projects Database'!$V836&lt;&gt;"",HYPERLINK('CCUS Projects Database'!$V836,"Link 5"),"")</f>
        <v/>
      </c>
      <c r="AD836" s="239" t="str">
        <f>IF('CCUS Projects Database'!$W836&lt;&gt;"",HYPERLINK('CCUS Projects Database'!$W836,"Link 6"),"")</f>
        <v/>
      </c>
      <c r="AE836" s="239" t="str">
        <f>IF('CCUS Projects Database'!$X836&lt;&gt;"",HYPERLINK('CCUS Projects Database'!$X836,"Link 7"),"")</f>
        <v/>
      </c>
    </row>
    <row r="837" ht="14.25" customHeight="1">
      <c r="A837" s="233" t="s">
        <v>21607</v>
      </c>
      <c r="B837" s="234">
        <v>1122.0</v>
      </c>
      <c r="C837" s="234" t="s">
        <v>18264</v>
      </c>
      <c r="D837" s="235" t="s">
        <v>21608</v>
      </c>
      <c r="E837" s="234" t="s">
        <v>3</v>
      </c>
      <c r="F837" s="234">
        <v>2023.0</v>
      </c>
      <c r="G837" s="234">
        <v>2025.0</v>
      </c>
      <c r="H837" s="234">
        <v>2026.0</v>
      </c>
      <c r="I837" s="234" t="s">
        <v>18725</v>
      </c>
      <c r="J837" s="234" t="s">
        <v>18636</v>
      </c>
      <c r="K837" s="236" t="s">
        <v>18725</v>
      </c>
      <c r="L837" s="236" t="s">
        <v>19867</v>
      </c>
      <c r="M837" s="236">
        <v>3.0</v>
      </c>
      <c r="N837" s="234" t="s">
        <v>3</v>
      </c>
      <c r="O837" s="237" t="s">
        <v>18675</v>
      </c>
      <c r="P837" s="234" t="s">
        <v>21609</v>
      </c>
      <c r="Q837" s="234" t="s">
        <v>18732</v>
      </c>
      <c r="R837" s="238" t="s">
        <v>21610</v>
      </c>
      <c r="S837" s="238" t="s">
        <v>18725</v>
      </c>
      <c r="T837" s="238" t="s">
        <v>18725</v>
      </c>
      <c r="U837" s="238" t="s">
        <v>18725</v>
      </c>
      <c r="V837" s="238" t="s">
        <v>18725</v>
      </c>
      <c r="W837" s="238" t="s">
        <v>18725</v>
      </c>
      <c r="X837" s="238" t="s">
        <v>18725</v>
      </c>
      <c r="Y837" s="239" t="str">
        <f>IF('CCUS Projects Database'!$R837&lt;&gt;"",HYPERLINK('CCUS Projects Database'!$R837,"Link 1"),"")</f>
        <v>Link 1</v>
      </c>
      <c r="Z837" s="239" t="str">
        <f>IF('CCUS Projects Database'!$S837&lt;&gt;"",HYPERLINK('CCUS Projects Database'!$S837,"Link 2"),"")</f>
        <v/>
      </c>
      <c r="AA837" s="239" t="str">
        <f>IF('CCUS Projects Database'!$T837&lt;&gt;"",HYPERLINK('CCUS Projects Database'!$T837,"Link 3"),"")</f>
        <v/>
      </c>
      <c r="AB837" s="239" t="str">
        <f>IF('CCUS Projects Database'!$U837&lt;&gt;"",HYPERLINK('CCUS Projects Database'!$U837,"Link 4"),"")</f>
        <v/>
      </c>
      <c r="AC837" s="239" t="str">
        <f>IF('CCUS Projects Database'!$V837&lt;&gt;"",HYPERLINK('CCUS Projects Database'!$V837,"Link 5"),"")</f>
        <v/>
      </c>
      <c r="AD837" s="239" t="str">
        <f>IF('CCUS Projects Database'!$W837&lt;&gt;"",HYPERLINK('CCUS Projects Database'!$W837,"Link 6"),"")</f>
        <v/>
      </c>
      <c r="AE837" s="239" t="str">
        <f>IF('CCUS Projects Database'!$X837&lt;&gt;"",HYPERLINK('CCUS Projects Database'!$X837,"Link 7"),"")</f>
        <v/>
      </c>
    </row>
    <row r="838" ht="14.25" customHeight="1">
      <c r="A838" s="233" t="s">
        <v>21611</v>
      </c>
      <c r="B838" s="234">
        <v>1123.0</v>
      </c>
      <c r="C838" s="234" t="s">
        <v>18264</v>
      </c>
      <c r="D838" s="235" t="s">
        <v>21602</v>
      </c>
      <c r="E838" s="234" t="s">
        <v>18618</v>
      </c>
      <c r="F838" s="234">
        <v>2023.0</v>
      </c>
      <c r="G838" s="234" t="s">
        <v>18725</v>
      </c>
      <c r="H838" s="234" t="s">
        <v>18725</v>
      </c>
      <c r="I838" s="234" t="s">
        <v>18725</v>
      </c>
      <c r="J838" s="234" t="s">
        <v>18636</v>
      </c>
      <c r="K838" s="236" t="s">
        <v>18725</v>
      </c>
      <c r="L838" s="236" t="s">
        <v>18725</v>
      </c>
      <c r="M838" s="236" t="s">
        <v>18725</v>
      </c>
      <c r="N838" s="234" t="s">
        <v>18661</v>
      </c>
      <c r="O838" s="237" t="s">
        <v>18683</v>
      </c>
      <c r="P838" s="234" t="s">
        <v>18725</v>
      </c>
      <c r="Q838" s="234" t="s">
        <v>18732</v>
      </c>
      <c r="R838" s="238" t="s">
        <v>21603</v>
      </c>
      <c r="S838" s="238" t="s">
        <v>21604</v>
      </c>
      <c r="T838" s="238" t="s">
        <v>18725</v>
      </c>
      <c r="U838" s="238" t="s">
        <v>18725</v>
      </c>
      <c r="V838" s="238" t="s">
        <v>18725</v>
      </c>
      <c r="W838" s="238" t="s">
        <v>18725</v>
      </c>
      <c r="X838" s="238" t="s">
        <v>18725</v>
      </c>
      <c r="Y838" s="239" t="str">
        <f>IF('CCUS Projects Database'!$R838&lt;&gt;"",HYPERLINK('CCUS Projects Database'!$R838,"Link 1"),"")</f>
        <v>Link 1</v>
      </c>
      <c r="Z838" s="239" t="str">
        <f>IF('CCUS Projects Database'!$S838&lt;&gt;"",HYPERLINK('CCUS Projects Database'!$S838,"Link 2"),"")</f>
        <v>Link 2</v>
      </c>
      <c r="AA838" s="239" t="str">
        <f>IF('CCUS Projects Database'!$T838&lt;&gt;"",HYPERLINK('CCUS Projects Database'!$T838,"Link 3"),"")</f>
        <v/>
      </c>
      <c r="AB838" s="239" t="str">
        <f>IF('CCUS Projects Database'!$U838&lt;&gt;"",HYPERLINK('CCUS Projects Database'!$U838,"Link 4"),"")</f>
        <v/>
      </c>
      <c r="AC838" s="239" t="str">
        <f>IF('CCUS Projects Database'!$V838&lt;&gt;"",HYPERLINK('CCUS Projects Database'!$V838,"Link 5"),"")</f>
        <v/>
      </c>
      <c r="AD838" s="239" t="str">
        <f>IF('CCUS Projects Database'!$W838&lt;&gt;"",HYPERLINK('CCUS Projects Database'!$W838,"Link 6"),"")</f>
        <v/>
      </c>
      <c r="AE838" s="239" t="str">
        <f>IF('CCUS Projects Database'!$X838&lt;&gt;"",HYPERLINK('CCUS Projects Database'!$X838,"Link 7"),"")</f>
        <v/>
      </c>
    </row>
    <row r="839" ht="14.25" customHeight="1">
      <c r="A839" s="233" t="s">
        <v>21612</v>
      </c>
      <c r="B839" s="234">
        <v>1124.0</v>
      </c>
      <c r="C839" s="234" t="s">
        <v>18264</v>
      </c>
      <c r="D839" s="235" t="s">
        <v>21602</v>
      </c>
      <c r="E839" s="234" t="s">
        <v>18616</v>
      </c>
      <c r="F839" s="234">
        <v>2022.0</v>
      </c>
      <c r="G839" s="234" t="s">
        <v>18725</v>
      </c>
      <c r="H839" s="234" t="s">
        <v>18725</v>
      </c>
      <c r="I839" s="234" t="s">
        <v>18725</v>
      </c>
      <c r="J839" s="234" t="s">
        <v>18636</v>
      </c>
      <c r="K839" s="236" t="s">
        <v>18725</v>
      </c>
      <c r="L839" s="236" t="s">
        <v>18725</v>
      </c>
      <c r="M839" s="236" t="s">
        <v>18725</v>
      </c>
      <c r="N839" s="234" t="s">
        <v>12270</v>
      </c>
      <c r="O839" s="237" t="s">
        <v>18683</v>
      </c>
      <c r="P839" s="234" t="s">
        <v>18725</v>
      </c>
      <c r="Q839" s="234" t="s">
        <v>18732</v>
      </c>
      <c r="R839" s="238" t="s">
        <v>21613</v>
      </c>
      <c r="S839" s="238" t="s">
        <v>18725</v>
      </c>
      <c r="T839" s="238" t="s">
        <v>18725</v>
      </c>
      <c r="U839" s="238" t="s">
        <v>18725</v>
      </c>
      <c r="V839" s="238" t="s">
        <v>18725</v>
      </c>
      <c r="W839" s="238" t="s">
        <v>18725</v>
      </c>
      <c r="X839" s="238" t="s">
        <v>18725</v>
      </c>
      <c r="Y839" s="239" t="str">
        <f>IF('CCUS Projects Database'!$R839&lt;&gt;"",HYPERLINK('CCUS Projects Database'!$R839,"Link 1"),"")</f>
        <v>Link 1</v>
      </c>
      <c r="Z839" s="239" t="str">
        <f>IF('CCUS Projects Database'!$S839&lt;&gt;"",HYPERLINK('CCUS Projects Database'!$S839,"Link 2"),"")</f>
        <v/>
      </c>
      <c r="AA839" s="239" t="str">
        <f>IF('CCUS Projects Database'!$T839&lt;&gt;"",HYPERLINK('CCUS Projects Database'!$T839,"Link 3"),"")</f>
        <v/>
      </c>
      <c r="AB839" s="239" t="str">
        <f>IF('CCUS Projects Database'!$U839&lt;&gt;"",HYPERLINK('CCUS Projects Database'!$U839,"Link 4"),"")</f>
        <v/>
      </c>
      <c r="AC839" s="239" t="str">
        <f>IF('CCUS Projects Database'!$V839&lt;&gt;"",HYPERLINK('CCUS Projects Database'!$V839,"Link 5"),"")</f>
        <v/>
      </c>
      <c r="AD839" s="239" t="str">
        <f>IF('CCUS Projects Database'!$W839&lt;&gt;"",HYPERLINK('CCUS Projects Database'!$W839,"Link 6"),"")</f>
        <v/>
      </c>
      <c r="AE839" s="239" t="str">
        <f>IF('CCUS Projects Database'!$X839&lt;&gt;"",HYPERLINK('CCUS Projects Database'!$X839,"Link 7"),"")</f>
        <v/>
      </c>
    </row>
    <row r="840" ht="14.25" customHeight="1">
      <c r="A840" s="233" t="s">
        <v>21614</v>
      </c>
      <c r="B840" s="234">
        <v>1125.0</v>
      </c>
      <c r="C840" s="234" t="s">
        <v>18264</v>
      </c>
      <c r="D840" s="235" t="s">
        <v>21615</v>
      </c>
      <c r="E840" s="234" t="s">
        <v>18618</v>
      </c>
      <c r="F840" s="234">
        <v>2022.0</v>
      </c>
      <c r="G840" s="234">
        <v>2025.0</v>
      </c>
      <c r="H840" s="234">
        <v>2027.0</v>
      </c>
      <c r="I840" s="234" t="s">
        <v>18725</v>
      </c>
      <c r="J840" s="234" t="s">
        <v>18636</v>
      </c>
      <c r="K840" s="236" t="s">
        <v>18725</v>
      </c>
      <c r="L840" s="236" t="s">
        <v>18725</v>
      </c>
      <c r="M840" s="236" t="s">
        <v>18725</v>
      </c>
      <c r="N840" s="234" t="s">
        <v>18654</v>
      </c>
      <c r="O840" s="237" t="s">
        <v>18675</v>
      </c>
      <c r="P840" s="234" t="s">
        <v>20285</v>
      </c>
      <c r="Q840" s="234" t="s">
        <v>18732</v>
      </c>
      <c r="R840" s="238" t="s">
        <v>21616</v>
      </c>
      <c r="S840" s="238" t="s">
        <v>21617</v>
      </c>
      <c r="T840" s="238" t="s">
        <v>18725</v>
      </c>
      <c r="U840" s="238" t="s">
        <v>18725</v>
      </c>
      <c r="V840" s="238" t="s">
        <v>18725</v>
      </c>
      <c r="W840" s="238" t="s">
        <v>18725</v>
      </c>
      <c r="X840" s="238" t="s">
        <v>18725</v>
      </c>
      <c r="Y840" s="239" t="str">
        <f>IF('CCUS Projects Database'!$R840&lt;&gt;"",HYPERLINK('CCUS Projects Database'!$R840,"Link 1"),"")</f>
        <v>Link 1</v>
      </c>
      <c r="Z840" s="239" t="str">
        <f>IF('CCUS Projects Database'!$S840&lt;&gt;"",HYPERLINK('CCUS Projects Database'!$S840,"Link 2"),"")</f>
        <v>Link 2</v>
      </c>
      <c r="AA840" s="239" t="str">
        <f>IF('CCUS Projects Database'!$T840&lt;&gt;"",HYPERLINK('CCUS Projects Database'!$T840,"Link 3"),"")</f>
        <v/>
      </c>
      <c r="AB840" s="239" t="str">
        <f>IF('CCUS Projects Database'!$U840&lt;&gt;"",HYPERLINK('CCUS Projects Database'!$U840,"Link 4"),"")</f>
        <v/>
      </c>
      <c r="AC840" s="239" t="str">
        <f>IF('CCUS Projects Database'!$V840&lt;&gt;"",HYPERLINK('CCUS Projects Database'!$V840,"Link 5"),"")</f>
        <v/>
      </c>
      <c r="AD840" s="239" t="str">
        <f>IF('CCUS Projects Database'!$W840&lt;&gt;"",HYPERLINK('CCUS Projects Database'!$W840,"Link 6"),"")</f>
        <v/>
      </c>
      <c r="AE840" s="239" t="str">
        <f>IF('CCUS Projects Database'!$X840&lt;&gt;"",HYPERLINK('CCUS Projects Database'!$X840,"Link 7"),"")</f>
        <v/>
      </c>
    </row>
    <row r="841" ht="14.25" customHeight="1">
      <c r="A841" s="233" t="s">
        <v>20334</v>
      </c>
      <c r="B841" s="234">
        <v>1126.0</v>
      </c>
      <c r="C841" s="234" t="s">
        <v>18264</v>
      </c>
      <c r="D841" s="235" t="s">
        <v>21618</v>
      </c>
      <c r="E841" s="234" t="s">
        <v>18623</v>
      </c>
      <c r="F841" s="234">
        <v>2022.0</v>
      </c>
      <c r="G841" s="234" t="s">
        <v>18725</v>
      </c>
      <c r="H841" s="234" t="s">
        <v>18725</v>
      </c>
      <c r="I841" s="234" t="s">
        <v>18725</v>
      </c>
      <c r="J841" s="234" t="s">
        <v>18192</v>
      </c>
      <c r="K841" s="236" t="s">
        <v>18725</v>
      </c>
      <c r="L841" s="236">
        <v>3.0</v>
      </c>
      <c r="M841" s="236">
        <v>3.0</v>
      </c>
      <c r="N841" s="234" t="s">
        <v>18623</v>
      </c>
      <c r="O841" s="237" t="s">
        <v>18675</v>
      </c>
      <c r="P841" s="234" t="s">
        <v>20334</v>
      </c>
      <c r="Q841" s="234" t="s">
        <v>18732</v>
      </c>
      <c r="R841" s="238" t="s">
        <v>21619</v>
      </c>
      <c r="S841" s="238" t="s">
        <v>20335</v>
      </c>
      <c r="T841" s="238" t="s">
        <v>18725</v>
      </c>
      <c r="U841" s="238" t="s">
        <v>18725</v>
      </c>
      <c r="V841" s="238" t="s">
        <v>18725</v>
      </c>
      <c r="W841" s="238" t="s">
        <v>18725</v>
      </c>
      <c r="X841" s="238" t="s">
        <v>18725</v>
      </c>
      <c r="Y841" s="239" t="str">
        <f>IF('CCUS Projects Database'!$R841&lt;&gt;"",HYPERLINK('CCUS Projects Database'!$R841,"Link 1"),"")</f>
        <v>Link 1</v>
      </c>
      <c r="Z841" s="239" t="str">
        <f>IF('CCUS Projects Database'!$S841&lt;&gt;"",HYPERLINK('CCUS Projects Database'!$S841,"Link 2"),"")</f>
        <v>Link 2</v>
      </c>
      <c r="AA841" s="239" t="str">
        <f>IF('CCUS Projects Database'!$T841&lt;&gt;"",HYPERLINK('CCUS Projects Database'!$T841,"Link 3"),"")</f>
        <v/>
      </c>
      <c r="AB841" s="239" t="str">
        <f>IF('CCUS Projects Database'!$U841&lt;&gt;"",HYPERLINK('CCUS Projects Database'!$U841,"Link 4"),"")</f>
        <v/>
      </c>
      <c r="AC841" s="239" t="str">
        <f>IF('CCUS Projects Database'!$V841&lt;&gt;"",HYPERLINK('CCUS Projects Database'!$V841,"Link 5"),"")</f>
        <v/>
      </c>
      <c r="AD841" s="239" t="str">
        <f>IF('CCUS Projects Database'!$W841&lt;&gt;"",HYPERLINK('CCUS Projects Database'!$W841,"Link 6"),"")</f>
        <v/>
      </c>
      <c r="AE841" s="239" t="str">
        <f>IF('CCUS Projects Database'!$X841&lt;&gt;"",HYPERLINK('CCUS Projects Database'!$X841,"Link 7"),"")</f>
        <v/>
      </c>
    </row>
    <row r="842" ht="14.25" customHeight="1">
      <c r="A842" s="233" t="s">
        <v>21620</v>
      </c>
      <c r="B842" s="234">
        <v>1127.0</v>
      </c>
      <c r="C842" s="234" t="s">
        <v>18586</v>
      </c>
      <c r="D842" s="235" t="s">
        <v>21621</v>
      </c>
      <c r="E842" s="234" t="s">
        <v>18618</v>
      </c>
      <c r="F842" s="234">
        <v>2023.0</v>
      </c>
      <c r="G842" s="234" t="s">
        <v>18725</v>
      </c>
      <c r="H842" s="234" t="s">
        <v>18725</v>
      </c>
      <c r="I842" s="234" t="s">
        <v>18725</v>
      </c>
      <c r="J842" s="234" t="s">
        <v>18636</v>
      </c>
      <c r="K842" s="236" t="s">
        <v>18725</v>
      </c>
      <c r="L842" s="236">
        <v>3.6</v>
      </c>
      <c r="M842" s="236">
        <v>3.6</v>
      </c>
      <c r="N842" s="234" t="s">
        <v>18654</v>
      </c>
      <c r="O842" s="237" t="s">
        <v>18675</v>
      </c>
      <c r="P842" s="234" t="s">
        <v>18725</v>
      </c>
      <c r="Q842" s="234" t="s">
        <v>18732</v>
      </c>
      <c r="R842" s="238" t="s">
        <v>21622</v>
      </c>
      <c r="S842" s="238" t="s">
        <v>18725</v>
      </c>
      <c r="T842" s="238" t="s">
        <v>18725</v>
      </c>
      <c r="U842" s="238" t="s">
        <v>18725</v>
      </c>
      <c r="V842" s="238" t="s">
        <v>18725</v>
      </c>
      <c r="W842" s="238" t="s">
        <v>18725</v>
      </c>
      <c r="X842" s="238" t="s">
        <v>18725</v>
      </c>
      <c r="Y842" s="239" t="str">
        <f>IF('CCUS Projects Database'!$R842&lt;&gt;"",HYPERLINK('CCUS Projects Database'!$R842,"Link 1"),"")</f>
        <v>Link 1</v>
      </c>
      <c r="Z842" s="239" t="str">
        <f>IF('CCUS Projects Database'!$S842&lt;&gt;"",HYPERLINK('CCUS Projects Database'!$S842,"Link 2"),"")</f>
        <v/>
      </c>
      <c r="AA842" s="239" t="str">
        <f>IF('CCUS Projects Database'!$T842&lt;&gt;"",HYPERLINK('CCUS Projects Database'!$T842,"Link 3"),"")</f>
        <v/>
      </c>
      <c r="AB842" s="239" t="str">
        <f>IF('CCUS Projects Database'!$U842&lt;&gt;"",HYPERLINK('CCUS Projects Database'!$U842,"Link 4"),"")</f>
        <v/>
      </c>
      <c r="AC842" s="239" t="str">
        <f>IF('CCUS Projects Database'!$V842&lt;&gt;"",HYPERLINK('CCUS Projects Database'!$V842,"Link 5"),"")</f>
        <v/>
      </c>
      <c r="AD842" s="239" t="str">
        <f>IF('CCUS Projects Database'!$W842&lt;&gt;"",HYPERLINK('CCUS Projects Database'!$W842,"Link 6"),"")</f>
        <v/>
      </c>
      <c r="AE842" s="239" t="str">
        <f>IF('CCUS Projects Database'!$X842&lt;&gt;"",HYPERLINK('CCUS Projects Database'!$X842,"Link 7"),"")</f>
        <v/>
      </c>
    </row>
    <row r="843" ht="14.25" customHeight="1">
      <c r="A843" s="233" t="s">
        <v>21623</v>
      </c>
      <c r="B843" s="234">
        <v>1128.0</v>
      </c>
      <c r="C843" s="234" t="s">
        <v>18586</v>
      </c>
      <c r="D843" s="235" t="s">
        <v>21624</v>
      </c>
      <c r="E843" s="234" t="s">
        <v>18618</v>
      </c>
      <c r="F843" s="234">
        <v>2023.0</v>
      </c>
      <c r="G843" s="234" t="s">
        <v>18725</v>
      </c>
      <c r="H843" s="234" t="s">
        <v>18725</v>
      </c>
      <c r="I843" s="234" t="s">
        <v>18725</v>
      </c>
      <c r="J843" s="234" t="s">
        <v>18192</v>
      </c>
      <c r="K843" s="236" t="s">
        <v>18725</v>
      </c>
      <c r="L843" s="236">
        <v>2.6</v>
      </c>
      <c r="M843" s="236">
        <v>2.6</v>
      </c>
      <c r="N843" s="234" t="s">
        <v>18654</v>
      </c>
      <c r="O843" s="237" t="s">
        <v>18675</v>
      </c>
      <c r="P843" s="234" t="s">
        <v>18725</v>
      </c>
      <c r="Q843" s="234" t="s">
        <v>18732</v>
      </c>
      <c r="R843" s="238" t="s">
        <v>21622</v>
      </c>
      <c r="S843" s="238" t="s">
        <v>21625</v>
      </c>
      <c r="T843" s="238" t="s">
        <v>18725</v>
      </c>
      <c r="U843" s="238" t="s">
        <v>18725</v>
      </c>
      <c r="V843" s="238" t="s">
        <v>18725</v>
      </c>
      <c r="W843" s="238" t="s">
        <v>18725</v>
      </c>
      <c r="X843" s="238" t="s">
        <v>18725</v>
      </c>
      <c r="Y843" s="239" t="str">
        <f>IF('CCUS Projects Database'!$R843&lt;&gt;"",HYPERLINK('CCUS Projects Database'!$R843,"Link 1"),"")</f>
        <v>Link 1</v>
      </c>
      <c r="Z843" s="239" t="str">
        <f>IF('CCUS Projects Database'!$S843&lt;&gt;"",HYPERLINK('CCUS Projects Database'!$S843,"Link 2"),"")</f>
        <v>Link 2</v>
      </c>
      <c r="AA843" s="239" t="str">
        <f>IF('CCUS Projects Database'!$T843&lt;&gt;"",HYPERLINK('CCUS Projects Database'!$T843,"Link 3"),"")</f>
        <v/>
      </c>
      <c r="AB843" s="239" t="str">
        <f>IF('CCUS Projects Database'!$U843&lt;&gt;"",HYPERLINK('CCUS Projects Database'!$U843,"Link 4"),"")</f>
        <v/>
      </c>
      <c r="AC843" s="239" t="str">
        <f>IF('CCUS Projects Database'!$V843&lt;&gt;"",HYPERLINK('CCUS Projects Database'!$V843,"Link 5"),"")</f>
        <v/>
      </c>
      <c r="AD843" s="239" t="str">
        <f>IF('CCUS Projects Database'!$W843&lt;&gt;"",HYPERLINK('CCUS Projects Database'!$W843,"Link 6"),"")</f>
        <v/>
      </c>
      <c r="AE843" s="239" t="str">
        <f>IF('CCUS Projects Database'!$X843&lt;&gt;"",HYPERLINK('CCUS Projects Database'!$X843,"Link 7"),"")</f>
        <v/>
      </c>
    </row>
    <row r="844" ht="14.25" customHeight="1">
      <c r="A844" s="233" t="s">
        <v>21626</v>
      </c>
      <c r="B844" s="234">
        <v>1129.0</v>
      </c>
      <c r="C844" s="234" t="s">
        <v>18586</v>
      </c>
      <c r="D844" s="235" t="s">
        <v>21627</v>
      </c>
      <c r="E844" s="234" t="s">
        <v>18616</v>
      </c>
      <c r="F844" s="234">
        <v>2023.0</v>
      </c>
      <c r="G844" s="234" t="s">
        <v>18725</v>
      </c>
      <c r="H844" s="234">
        <v>2030.0</v>
      </c>
      <c r="I844" s="234" t="s">
        <v>18725</v>
      </c>
      <c r="J844" s="234" t="s">
        <v>18636</v>
      </c>
      <c r="K844" s="236" t="s">
        <v>18725</v>
      </c>
      <c r="L844" s="236">
        <v>1.4</v>
      </c>
      <c r="M844" s="236">
        <v>1.4</v>
      </c>
      <c r="N844" s="234" t="s">
        <v>18663</v>
      </c>
      <c r="O844" s="237" t="s">
        <v>18675</v>
      </c>
      <c r="P844" s="238" t="s">
        <v>18725</v>
      </c>
      <c r="Q844" s="234" t="s">
        <v>18732</v>
      </c>
      <c r="R844" s="238" t="s">
        <v>21622</v>
      </c>
      <c r="S844" s="238" t="s">
        <v>21628</v>
      </c>
      <c r="T844" s="238" t="s">
        <v>21629</v>
      </c>
      <c r="U844" s="238" t="s">
        <v>18725</v>
      </c>
      <c r="V844" s="238" t="s">
        <v>18725</v>
      </c>
      <c r="W844" s="238" t="s">
        <v>18725</v>
      </c>
      <c r="X844" s="238" t="s">
        <v>18725</v>
      </c>
      <c r="Y844" s="239" t="str">
        <f>IF('CCUS Projects Database'!$R844&lt;&gt;"",HYPERLINK('CCUS Projects Database'!$R844,"Link 1"),"")</f>
        <v>Link 1</v>
      </c>
      <c r="Z844" s="239" t="str">
        <f>IF('CCUS Projects Database'!$S844&lt;&gt;"",HYPERLINK('CCUS Projects Database'!$S844,"Link 2"),"")</f>
        <v>Link 2</v>
      </c>
      <c r="AA844" s="239" t="str">
        <f>IF('CCUS Projects Database'!$T844&lt;&gt;"",HYPERLINK('CCUS Projects Database'!$T844,"Link 3"),"")</f>
        <v>Link 3</v>
      </c>
      <c r="AB844" s="239" t="str">
        <f>IF('CCUS Projects Database'!$U844&lt;&gt;"",HYPERLINK('CCUS Projects Database'!$U844,"Link 4"),"")</f>
        <v/>
      </c>
      <c r="AC844" s="239" t="str">
        <f>IF('CCUS Projects Database'!$V844&lt;&gt;"",HYPERLINK('CCUS Projects Database'!$V844,"Link 5"),"")</f>
        <v/>
      </c>
      <c r="AD844" s="239" t="str">
        <f>IF('CCUS Projects Database'!$W844&lt;&gt;"",HYPERLINK('CCUS Projects Database'!$W844,"Link 6"),"")</f>
        <v/>
      </c>
      <c r="AE844" s="239" t="str">
        <f>IF('CCUS Projects Database'!$X844&lt;&gt;"",HYPERLINK('CCUS Projects Database'!$X844,"Link 7"),"")</f>
        <v/>
      </c>
    </row>
    <row r="845" ht="14.25" customHeight="1">
      <c r="A845" s="233" t="s">
        <v>21630</v>
      </c>
      <c r="B845" s="234">
        <v>1130.0</v>
      </c>
      <c r="C845" s="234" t="s">
        <v>18586</v>
      </c>
      <c r="D845" s="235" t="s">
        <v>21631</v>
      </c>
      <c r="E845" s="234" t="s">
        <v>18616</v>
      </c>
      <c r="F845" s="234">
        <v>2023.0</v>
      </c>
      <c r="G845" s="234" t="s">
        <v>18725</v>
      </c>
      <c r="H845" s="234">
        <v>2028.0</v>
      </c>
      <c r="I845" s="234" t="s">
        <v>18725</v>
      </c>
      <c r="J845" s="234" t="s">
        <v>18636</v>
      </c>
      <c r="K845" s="236" t="s">
        <v>18725</v>
      </c>
      <c r="L845" s="236">
        <v>2.5</v>
      </c>
      <c r="M845" s="236">
        <v>2.5</v>
      </c>
      <c r="N845" s="234" t="s">
        <v>18654</v>
      </c>
      <c r="O845" s="237" t="s">
        <v>18675</v>
      </c>
      <c r="P845" s="234" t="s">
        <v>18725</v>
      </c>
      <c r="Q845" s="234" t="s">
        <v>18732</v>
      </c>
      <c r="R845" s="238" t="s">
        <v>21622</v>
      </c>
      <c r="S845" s="238" t="s">
        <v>21632</v>
      </c>
      <c r="T845" s="238" t="s">
        <v>21633</v>
      </c>
      <c r="U845" s="238" t="s">
        <v>18725</v>
      </c>
      <c r="V845" s="238" t="s">
        <v>18725</v>
      </c>
      <c r="W845" s="238" t="s">
        <v>18725</v>
      </c>
      <c r="X845" s="238" t="s">
        <v>18725</v>
      </c>
      <c r="Y845" s="239" t="str">
        <f>IF('CCUS Projects Database'!$R845&lt;&gt;"",HYPERLINK('CCUS Projects Database'!$R845,"Link 1"),"")</f>
        <v>Link 1</v>
      </c>
      <c r="Z845" s="239" t="str">
        <f>IF('CCUS Projects Database'!$S845&lt;&gt;"",HYPERLINK('CCUS Projects Database'!$S845,"Link 2"),"")</f>
        <v>Link 2</v>
      </c>
      <c r="AA845" s="239" t="str">
        <f>IF('CCUS Projects Database'!$T845&lt;&gt;"",HYPERLINK('CCUS Projects Database'!$T845,"Link 3"),"")</f>
        <v>Link 3</v>
      </c>
      <c r="AB845" s="239" t="str">
        <f>IF('CCUS Projects Database'!$U845&lt;&gt;"",HYPERLINK('CCUS Projects Database'!$U845,"Link 4"),"")</f>
        <v/>
      </c>
      <c r="AC845" s="239" t="str">
        <f>IF('CCUS Projects Database'!$V845&lt;&gt;"",HYPERLINK('CCUS Projects Database'!$V845,"Link 5"),"")</f>
        <v/>
      </c>
      <c r="AD845" s="239" t="str">
        <f>IF('CCUS Projects Database'!$W845&lt;&gt;"",HYPERLINK('CCUS Projects Database'!$W845,"Link 6"),"")</f>
        <v/>
      </c>
      <c r="AE845" s="239" t="str">
        <f>IF('CCUS Projects Database'!$X845&lt;&gt;"",HYPERLINK('CCUS Projects Database'!$X845,"Link 7"),"")</f>
        <v/>
      </c>
    </row>
    <row r="846" ht="14.25" customHeight="1">
      <c r="A846" s="233" t="s">
        <v>21634</v>
      </c>
      <c r="B846" s="234">
        <v>1131.0</v>
      </c>
      <c r="C846" s="234" t="s">
        <v>18586</v>
      </c>
      <c r="D846" s="235" t="s">
        <v>21635</v>
      </c>
      <c r="E846" s="234" t="s">
        <v>18616</v>
      </c>
      <c r="F846" s="234">
        <v>2023.0</v>
      </c>
      <c r="G846" s="234" t="s">
        <v>18725</v>
      </c>
      <c r="H846" s="234" t="s">
        <v>18725</v>
      </c>
      <c r="I846" s="234" t="s">
        <v>18725</v>
      </c>
      <c r="J846" s="234" t="s">
        <v>18636</v>
      </c>
      <c r="K846" s="236" t="s">
        <v>18725</v>
      </c>
      <c r="L846" s="236">
        <v>10.0</v>
      </c>
      <c r="M846" s="236">
        <v>10.0</v>
      </c>
      <c r="N846" s="234" t="s">
        <v>18654</v>
      </c>
      <c r="O846" s="237" t="s">
        <v>18675</v>
      </c>
      <c r="P846" s="234" t="s">
        <v>18725</v>
      </c>
      <c r="Q846" s="234" t="s">
        <v>18732</v>
      </c>
      <c r="R846" s="238" t="s">
        <v>21622</v>
      </c>
      <c r="S846" s="238" t="s">
        <v>21636</v>
      </c>
      <c r="T846" s="238" t="s">
        <v>21637</v>
      </c>
      <c r="U846" s="238" t="s">
        <v>18725</v>
      </c>
      <c r="V846" s="238" t="s">
        <v>18725</v>
      </c>
      <c r="W846" s="238" t="s">
        <v>18725</v>
      </c>
      <c r="X846" s="238" t="s">
        <v>18725</v>
      </c>
      <c r="Y846" s="239" t="str">
        <f>IF('CCUS Projects Database'!$R846&lt;&gt;"",HYPERLINK('CCUS Projects Database'!$R846,"Link 1"),"")</f>
        <v>Link 1</v>
      </c>
      <c r="Z846" s="239" t="str">
        <f>IF('CCUS Projects Database'!$S846&lt;&gt;"",HYPERLINK('CCUS Projects Database'!$S846,"Link 2"),"")</f>
        <v>Link 2</v>
      </c>
      <c r="AA846" s="239" t="str">
        <f>IF('CCUS Projects Database'!$T846&lt;&gt;"",HYPERLINK('CCUS Projects Database'!$T846,"Link 3"),"")</f>
        <v>Link 3</v>
      </c>
      <c r="AB846" s="239" t="str">
        <f>IF('CCUS Projects Database'!$U846&lt;&gt;"",HYPERLINK('CCUS Projects Database'!$U846,"Link 4"),"")</f>
        <v/>
      </c>
      <c r="AC846" s="239" t="str">
        <f>IF('CCUS Projects Database'!$V846&lt;&gt;"",HYPERLINK('CCUS Projects Database'!$V846,"Link 5"),"")</f>
        <v/>
      </c>
      <c r="AD846" s="239" t="str">
        <f>IF('CCUS Projects Database'!$W846&lt;&gt;"",HYPERLINK('CCUS Projects Database'!$W846,"Link 6"),"")</f>
        <v/>
      </c>
      <c r="AE846" s="239" t="str">
        <f>IF('CCUS Projects Database'!$X846&lt;&gt;"",HYPERLINK('CCUS Projects Database'!$X846,"Link 7"),"")</f>
        <v/>
      </c>
    </row>
    <row r="847" ht="14.25" customHeight="1">
      <c r="A847" s="233" t="s">
        <v>21638</v>
      </c>
      <c r="B847" s="234">
        <v>1132.0</v>
      </c>
      <c r="C847" s="234" t="s">
        <v>18290</v>
      </c>
      <c r="D847" s="235" t="s">
        <v>21639</v>
      </c>
      <c r="E847" s="234" t="s">
        <v>18618</v>
      </c>
      <c r="F847" s="234">
        <v>2023.0</v>
      </c>
      <c r="G847" s="234" t="s">
        <v>18725</v>
      </c>
      <c r="H847" s="234">
        <v>2030.0</v>
      </c>
      <c r="I847" s="234" t="s">
        <v>18725</v>
      </c>
      <c r="J847" s="234" t="s">
        <v>18636</v>
      </c>
      <c r="K847" s="236" t="s">
        <v>18725</v>
      </c>
      <c r="L847" s="236" t="s">
        <v>18725</v>
      </c>
      <c r="M847" s="236" t="s">
        <v>18725</v>
      </c>
      <c r="N847" s="234" t="s">
        <v>18654</v>
      </c>
      <c r="O847" s="237" t="s">
        <v>18675</v>
      </c>
      <c r="P847" s="234" t="s">
        <v>19707</v>
      </c>
      <c r="Q847" s="234" t="s">
        <v>18856</v>
      </c>
      <c r="R847" s="238" t="s">
        <v>21622</v>
      </c>
      <c r="S847" s="238" t="s">
        <v>18725</v>
      </c>
      <c r="T847" s="238" t="s">
        <v>18725</v>
      </c>
      <c r="U847" s="238" t="s">
        <v>18725</v>
      </c>
      <c r="V847" s="238" t="s">
        <v>18725</v>
      </c>
      <c r="W847" s="238" t="s">
        <v>18725</v>
      </c>
      <c r="X847" s="238" t="s">
        <v>18725</v>
      </c>
      <c r="Y847" s="239" t="str">
        <f>IF('CCUS Projects Database'!$R847&lt;&gt;"",HYPERLINK('CCUS Projects Database'!$R847,"Link 1"),"")</f>
        <v>Link 1</v>
      </c>
      <c r="Z847" s="239" t="str">
        <f>IF('CCUS Projects Database'!$S847&lt;&gt;"",HYPERLINK('CCUS Projects Database'!$S847,"Link 2"),"")</f>
        <v/>
      </c>
      <c r="AA847" s="239" t="str">
        <f>IF('CCUS Projects Database'!$T847&lt;&gt;"",HYPERLINK('CCUS Projects Database'!$T847,"Link 3"),"")</f>
        <v/>
      </c>
      <c r="AB847" s="239" t="str">
        <f>IF('CCUS Projects Database'!$U847&lt;&gt;"",HYPERLINK('CCUS Projects Database'!$U847,"Link 4"),"")</f>
        <v/>
      </c>
      <c r="AC847" s="239" t="str">
        <f>IF('CCUS Projects Database'!$V847&lt;&gt;"",HYPERLINK('CCUS Projects Database'!$V847,"Link 5"),"")</f>
        <v/>
      </c>
      <c r="AD847" s="239" t="str">
        <f>IF('CCUS Projects Database'!$W847&lt;&gt;"",HYPERLINK('CCUS Projects Database'!$W847,"Link 6"),"")</f>
        <v/>
      </c>
      <c r="AE847" s="239" t="str">
        <f>IF('CCUS Projects Database'!$X847&lt;&gt;"",HYPERLINK('CCUS Projects Database'!$X847,"Link 7"),"")</f>
        <v/>
      </c>
    </row>
    <row r="848" ht="14.25" customHeight="1">
      <c r="A848" s="233" t="s">
        <v>21640</v>
      </c>
      <c r="B848" s="234">
        <v>1133.0</v>
      </c>
      <c r="C848" s="234" t="s">
        <v>18290</v>
      </c>
      <c r="D848" s="235" t="s">
        <v>21641</v>
      </c>
      <c r="E848" s="234" t="s">
        <v>18618</v>
      </c>
      <c r="F848" s="234">
        <v>2023.0</v>
      </c>
      <c r="G848" s="234" t="s">
        <v>18725</v>
      </c>
      <c r="H848" s="234">
        <v>2030.0</v>
      </c>
      <c r="I848" s="234" t="s">
        <v>18725</v>
      </c>
      <c r="J848" s="234" t="s">
        <v>18636</v>
      </c>
      <c r="K848" s="236" t="s">
        <v>18725</v>
      </c>
      <c r="L848" s="236" t="s">
        <v>18725</v>
      </c>
      <c r="M848" s="236" t="s">
        <v>18725</v>
      </c>
      <c r="N848" s="234" t="s">
        <v>677</v>
      </c>
      <c r="O848" s="237" t="s">
        <v>18675</v>
      </c>
      <c r="P848" s="234" t="s">
        <v>19707</v>
      </c>
      <c r="Q848" s="234" t="s">
        <v>18856</v>
      </c>
      <c r="R848" s="238" t="s">
        <v>19219</v>
      </c>
      <c r="S848" s="238" t="s">
        <v>18725</v>
      </c>
      <c r="T848" s="238" t="s">
        <v>18725</v>
      </c>
      <c r="U848" s="238" t="s">
        <v>18725</v>
      </c>
      <c r="V848" s="238" t="s">
        <v>18725</v>
      </c>
      <c r="W848" s="238" t="s">
        <v>18725</v>
      </c>
      <c r="X848" s="238" t="s">
        <v>18725</v>
      </c>
      <c r="Y848" s="239" t="str">
        <f>IF('CCUS Projects Database'!$R848&lt;&gt;"",HYPERLINK('CCUS Projects Database'!$R848,"Link 1"),"")</f>
        <v>Link 1</v>
      </c>
      <c r="Z848" s="239" t="str">
        <f>IF('CCUS Projects Database'!$S848&lt;&gt;"",HYPERLINK('CCUS Projects Database'!$S848,"Link 2"),"")</f>
        <v/>
      </c>
      <c r="AA848" s="239" t="str">
        <f>IF('CCUS Projects Database'!$T848&lt;&gt;"",HYPERLINK('CCUS Projects Database'!$T848,"Link 3"),"")</f>
        <v/>
      </c>
      <c r="AB848" s="239" t="str">
        <f>IF('CCUS Projects Database'!$U848&lt;&gt;"",HYPERLINK('CCUS Projects Database'!$U848,"Link 4"),"")</f>
        <v/>
      </c>
      <c r="AC848" s="239" t="str">
        <f>IF('CCUS Projects Database'!$V848&lt;&gt;"",HYPERLINK('CCUS Projects Database'!$V848,"Link 5"),"")</f>
        <v/>
      </c>
      <c r="AD848" s="239" t="str">
        <f>IF('CCUS Projects Database'!$W848&lt;&gt;"",HYPERLINK('CCUS Projects Database'!$W848,"Link 6"),"")</f>
        <v/>
      </c>
      <c r="AE848" s="239" t="str">
        <f>IF('CCUS Projects Database'!$X848&lt;&gt;"",HYPERLINK('CCUS Projects Database'!$X848,"Link 7"),"")</f>
        <v/>
      </c>
    </row>
    <row r="849" ht="14.25" customHeight="1">
      <c r="A849" s="233" t="s">
        <v>21642</v>
      </c>
      <c r="B849" s="234">
        <v>1134.0</v>
      </c>
      <c r="C849" s="234" t="s">
        <v>18290</v>
      </c>
      <c r="D849" s="235" t="s">
        <v>21643</v>
      </c>
      <c r="E849" s="234" t="s">
        <v>18618</v>
      </c>
      <c r="F849" s="234">
        <v>2023.0</v>
      </c>
      <c r="G849" s="234" t="s">
        <v>18725</v>
      </c>
      <c r="H849" s="234">
        <v>2030.0</v>
      </c>
      <c r="I849" s="234" t="s">
        <v>18725</v>
      </c>
      <c r="J849" s="234" t="s">
        <v>18636</v>
      </c>
      <c r="K849" s="236" t="s">
        <v>18725</v>
      </c>
      <c r="L849" s="236" t="s">
        <v>18725</v>
      </c>
      <c r="M849" s="236" t="s">
        <v>18725</v>
      </c>
      <c r="N849" s="234" t="s">
        <v>103</v>
      </c>
      <c r="O849" s="237" t="s">
        <v>18675</v>
      </c>
      <c r="P849" s="234" t="s">
        <v>19707</v>
      </c>
      <c r="Q849" s="234" t="s">
        <v>18856</v>
      </c>
      <c r="R849" s="238" t="s">
        <v>19219</v>
      </c>
      <c r="S849" s="238" t="s">
        <v>18725</v>
      </c>
      <c r="T849" s="238" t="s">
        <v>18725</v>
      </c>
      <c r="U849" s="238" t="s">
        <v>18725</v>
      </c>
      <c r="V849" s="238" t="s">
        <v>18725</v>
      </c>
      <c r="W849" s="238" t="s">
        <v>18725</v>
      </c>
      <c r="X849" s="238" t="s">
        <v>18725</v>
      </c>
      <c r="Y849" s="239" t="str">
        <f>IF('CCUS Projects Database'!$R849&lt;&gt;"",HYPERLINK('CCUS Projects Database'!$R849,"Link 1"),"")</f>
        <v>Link 1</v>
      </c>
      <c r="Z849" s="239" t="str">
        <f>IF('CCUS Projects Database'!$S849&lt;&gt;"",HYPERLINK('CCUS Projects Database'!$S849,"Link 2"),"")</f>
        <v/>
      </c>
      <c r="AA849" s="239" t="str">
        <f>IF('CCUS Projects Database'!$T849&lt;&gt;"",HYPERLINK('CCUS Projects Database'!$T849,"Link 3"),"")</f>
        <v/>
      </c>
      <c r="AB849" s="239" t="str">
        <f>IF('CCUS Projects Database'!$U849&lt;&gt;"",HYPERLINK('CCUS Projects Database'!$U849,"Link 4"),"")</f>
        <v/>
      </c>
      <c r="AC849" s="239" t="str">
        <f>IF('CCUS Projects Database'!$V849&lt;&gt;"",HYPERLINK('CCUS Projects Database'!$V849,"Link 5"),"")</f>
        <v/>
      </c>
      <c r="AD849" s="239" t="str">
        <f>IF('CCUS Projects Database'!$W849&lt;&gt;"",HYPERLINK('CCUS Projects Database'!$W849,"Link 6"),"")</f>
        <v/>
      </c>
      <c r="AE849" s="239" t="str">
        <f>IF('CCUS Projects Database'!$X849&lt;&gt;"",HYPERLINK('CCUS Projects Database'!$X849,"Link 7"),"")</f>
        <v/>
      </c>
    </row>
    <row r="850" ht="14.25" customHeight="1">
      <c r="A850" s="233" t="s">
        <v>21644</v>
      </c>
      <c r="B850" s="234">
        <v>1135.0</v>
      </c>
      <c r="C850" s="234" t="s">
        <v>18290</v>
      </c>
      <c r="D850" s="235" t="s">
        <v>21017</v>
      </c>
      <c r="E850" s="234" t="s">
        <v>18618</v>
      </c>
      <c r="F850" s="234">
        <v>2023.0</v>
      </c>
      <c r="G850" s="234" t="s">
        <v>18725</v>
      </c>
      <c r="H850" s="234">
        <v>2030.0</v>
      </c>
      <c r="I850" s="234" t="s">
        <v>18725</v>
      </c>
      <c r="J850" s="234" t="s">
        <v>18636</v>
      </c>
      <c r="K850" s="236" t="s">
        <v>18725</v>
      </c>
      <c r="L850" s="236" t="s">
        <v>18725</v>
      </c>
      <c r="M850" s="236" t="s">
        <v>18725</v>
      </c>
      <c r="N850" s="234" t="s">
        <v>18665</v>
      </c>
      <c r="O850" s="237" t="s">
        <v>18675</v>
      </c>
      <c r="P850" s="234" t="s">
        <v>21018</v>
      </c>
      <c r="Q850" s="234" t="s">
        <v>18856</v>
      </c>
      <c r="R850" s="238" t="s">
        <v>19219</v>
      </c>
      <c r="S850" s="238" t="s">
        <v>18725</v>
      </c>
      <c r="T850" s="238" t="s">
        <v>18725</v>
      </c>
      <c r="U850" s="238" t="s">
        <v>18725</v>
      </c>
      <c r="V850" s="238" t="s">
        <v>18725</v>
      </c>
      <c r="W850" s="238" t="s">
        <v>18725</v>
      </c>
      <c r="X850" s="238" t="s">
        <v>18725</v>
      </c>
      <c r="Y850" s="239" t="str">
        <f>IF('CCUS Projects Database'!$R850&lt;&gt;"",HYPERLINK('CCUS Projects Database'!$R850,"Link 1"),"")</f>
        <v>Link 1</v>
      </c>
      <c r="Z850" s="239" t="str">
        <f>IF('CCUS Projects Database'!$S850&lt;&gt;"",HYPERLINK('CCUS Projects Database'!$S850,"Link 2"),"")</f>
        <v/>
      </c>
      <c r="AA850" s="239" t="str">
        <f>IF('CCUS Projects Database'!$T850&lt;&gt;"",HYPERLINK('CCUS Projects Database'!$T850,"Link 3"),"")</f>
        <v/>
      </c>
      <c r="AB850" s="239" t="str">
        <f>IF('CCUS Projects Database'!$U850&lt;&gt;"",HYPERLINK('CCUS Projects Database'!$U850,"Link 4"),"")</f>
        <v/>
      </c>
      <c r="AC850" s="239" t="str">
        <f>IF('CCUS Projects Database'!$V850&lt;&gt;"",HYPERLINK('CCUS Projects Database'!$V850,"Link 5"),"")</f>
        <v/>
      </c>
      <c r="AD850" s="239" t="str">
        <f>IF('CCUS Projects Database'!$W850&lt;&gt;"",HYPERLINK('CCUS Projects Database'!$W850,"Link 6"),"")</f>
        <v/>
      </c>
      <c r="AE850" s="239" t="str">
        <f>IF('CCUS Projects Database'!$X850&lt;&gt;"",HYPERLINK('CCUS Projects Database'!$X850,"Link 7"),"")</f>
        <v/>
      </c>
    </row>
    <row r="851" ht="14.25" customHeight="1">
      <c r="A851" s="233" t="s">
        <v>21645</v>
      </c>
      <c r="B851" s="234">
        <v>1136.0</v>
      </c>
      <c r="C851" s="234" t="s">
        <v>18290</v>
      </c>
      <c r="D851" s="235" t="s">
        <v>21646</v>
      </c>
      <c r="E851" s="234" t="s">
        <v>18616</v>
      </c>
      <c r="F851" s="234">
        <v>2022.0</v>
      </c>
      <c r="G851" s="234">
        <v>2026.0</v>
      </c>
      <c r="H851" s="234">
        <v>2030.0</v>
      </c>
      <c r="I851" s="234" t="s">
        <v>18725</v>
      </c>
      <c r="J851" s="234" t="s">
        <v>18636</v>
      </c>
      <c r="K851" s="236" t="s">
        <v>18725</v>
      </c>
      <c r="L851" s="236" t="s">
        <v>18725</v>
      </c>
      <c r="M851" s="236" t="s">
        <v>18725</v>
      </c>
      <c r="N851" s="234" t="s">
        <v>18661</v>
      </c>
      <c r="O851" s="237" t="s">
        <v>18675</v>
      </c>
      <c r="P851" s="234" t="s">
        <v>19216</v>
      </c>
      <c r="Q851" s="234" t="s">
        <v>18856</v>
      </c>
      <c r="R851" s="238" t="s">
        <v>19219</v>
      </c>
      <c r="S851" s="238" t="s">
        <v>18725</v>
      </c>
      <c r="T851" s="238" t="s">
        <v>18725</v>
      </c>
      <c r="U851" s="238" t="s">
        <v>18725</v>
      </c>
      <c r="V851" s="238" t="s">
        <v>18725</v>
      </c>
      <c r="W851" s="238" t="s">
        <v>18725</v>
      </c>
      <c r="X851" s="238" t="s">
        <v>18725</v>
      </c>
      <c r="Y851" s="239" t="str">
        <f>IF('CCUS Projects Database'!$R851&lt;&gt;"",HYPERLINK('CCUS Projects Database'!$R851,"Link 1"),"")</f>
        <v>Link 1</v>
      </c>
      <c r="Z851" s="239" t="str">
        <f>IF('CCUS Projects Database'!$S851&lt;&gt;"",HYPERLINK('CCUS Projects Database'!$S851,"Link 2"),"")</f>
        <v/>
      </c>
      <c r="AA851" s="239" t="str">
        <f>IF('CCUS Projects Database'!$T851&lt;&gt;"",HYPERLINK('CCUS Projects Database'!$T851,"Link 3"),"")</f>
        <v/>
      </c>
      <c r="AB851" s="239" t="str">
        <f>IF('CCUS Projects Database'!$U851&lt;&gt;"",HYPERLINK('CCUS Projects Database'!$U851,"Link 4"),"")</f>
        <v/>
      </c>
      <c r="AC851" s="239" t="str">
        <f>IF('CCUS Projects Database'!$V851&lt;&gt;"",HYPERLINK('CCUS Projects Database'!$V851,"Link 5"),"")</f>
        <v/>
      </c>
      <c r="AD851" s="239" t="str">
        <f>IF('CCUS Projects Database'!$W851&lt;&gt;"",HYPERLINK('CCUS Projects Database'!$W851,"Link 6"),"")</f>
        <v/>
      </c>
      <c r="AE851" s="239" t="str">
        <f>IF('CCUS Projects Database'!$X851&lt;&gt;"",HYPERLINK('CCUS Projects Database'!$X851,"Link 7"),"")</f>
        <v/>
      </c>
    </row>
    <row r="852" ht="14.25" customHeight="1">
      <c r="A852" s="233" t="s">
        <v>21647</v>
      </c>
      <c r="B852" s="234">
        <v>1138.0</v>
      </c>
      <c r="C852" s="234" t="s">
        <v>18426</v>
      </c>
      <c r="D852" s="235" t="s">
        <v>21648</v>
      </c>
      <c r="E852" s="234" t="s">
        <v>18618</v>
      </c>
      <c r="F852" s="234">
        <v>2023.0</v>
      </c>
      <c r="G852" s="234">
        <v>2026.0</v>
      </c>
      <c r="H852" s="234">
        <v>2028.0</v>
      </c>
      <c r="I852" s="234" t="s">
        <v>18725</v>
      </c>
      <c r="J852" s="234" t="s">
        <v>18636</v>
      </c>
      <c r="K852" s="236" t="s">
        <v>18725</v>
      </c>
      <c r="L852" s="236">
        <v>0.7</v>
      </c>
      <c r="M852" s="236">
        <v>0.7</v>
      </c>
      <c r="N852" s="234" t="s">
        <v>18663</v>
      </c>
      <c r="O852" s="237" t="s">
        <v>18675</v>
      </c>
      <c r="P852" s="238" t="s">
        <v>20748</v>
      </c>
      <c r="Q852" s="234" t="s">
        <v>18726</v>
      </c>
      <c r="R852" s="238" t="s">
        <v>21649</v>
      </c>
      <c r="S852" s="238" t="s">
        <v>18725</v>
      </c>
      <c r="T852" s="238" t="s">
        <v>18725</v>
      </c>
      <c r="U852" s="238" t="s">
        <v>18725</v>
      </c>
      <c r="V852" s="238" t="s">
        <v>18725</v>
      </c>
      <c r="W852" s="238" t="s">
        <v>18725</v>
      </c>
      <c r="X852" s="238" t="s">
        <v>18725</v>
      </c>
      <c r="Y852" s="239" t="str">
        <f>IF('CCUS Projects Database'!$R852&lt;&gt;"",HYPERLINK('CCUS Projects Database'!$R852,"Link 1"),"")</f>
        <v>Link 1</v>
      </c>
      <c r="Z852" s="239" t="str">
        <f>IF('CCUS Projects Database'!$S852&lt;&gt;"",HYPERLINK('CCUS Projects Database'!$S852,"Link 2"),"")</f>
        <v/>
      </c>
      <c r="AA852" s="239" t="str">
        <f>IF('CCUS Projects Database'!$T852&lt;&gt;"",HYPERLINK('CCUS Projects Database'!$T852,"Link 3"),"")</f>
        <v/>
      </c>
      <c r="AB852" s="239" t="str">
        <f>IF('CCUS Projects Database'!$U852&lt;&gt;"",HYPERLINK('CCUS Projects Database'!$U852,"Link 4"),"")</f>
        <v/>
      </c>
      <c r="AC852" s="239" t="str">
        <f>IF('CCUS Projects Database'!$V852&lt;&gt;"",HYPERLINK('CCUS Projects Database'!$V852,"Link 5"),"")</f>
        <v/>
      </c>
      <c r="AD852" s="239" t="str">
        <f>IF('CCUS Projects Database'!$W852&lt;&gt;"",HYPERLINK('CCUS Projects Database'!$W852,"Link 6"),"")</f>
        <v/>
      </c>
      <c r="AE852" s="239" t="str">
        <f>IF('CCUS Projects Database'!$X852&lt;&gt;"",HYPERLINK('CCUS Projects Database'!$X852,"Link 7"),"")</f>
        <v/>
      </c>
    </row>
    <row r="853" ht="14.25" customHeight="1">
      <c r="A853" s="233" t="s">
        <v>21650</v>
      </c>
      <c r="B853" s="234">
        <v>1139.0</v>
      </c>
      <c r="C853" s="234" t="s">
        <v>120</v>
      </c>
      <c r="D853" s="235" t="s">
        <v>21651</v>
      </c>
      <c r="E853" s="234" t="s">
        <v>18620</v>
      </c>
      <c r="F853" s="234">
        <v>2023.0</v>
      </c>
      <c r="G853" s="234" t="s">
        <v>18725</v>
      </c>
      <c r="H853" s="234">
        <v>2028.0</v>
      </c>
      <c r="I853" s="234" t="s">
        <v>18725</v>
      </c>
      <c r="J853" s="234" t="s">
        <v>18636</v>
      </c>
      <c r="K853" s="236" t="s">
        <v>18725</v>
      </c>
      <c r="L853" s="236">
        <v>5.0</v>
      </c>
      <c r="M853" s="236">
        <v>5.0</v>
      </c>
      <c r="N853" s="234" t="s">
        <v>18620</v>
      </c>
      <c r="O853" s="237" t="s">
        <v>18675</v>
      </c>
      <c r="P853" s="234" t="s">
        <v>18725</v>
      </c>
      <c r="Q853" s="234" t="s">
        <v>18726</v>
      </c>
      <c r="R853" s="238" t="s">
        <v>21652</v>
      </c>
      <c r="S853" s="238" t="s">
        <v>18725</v>
      </c>
      <c r="T853" s="238" t="s">
        <v>18725</v>
      </c>
      <c r="U853" s="238" t="s">
        <v>18725</v>
      </c>
      <c r="V853" s="238" t="s">
        <v>18725</v>
      </c>
      <c r="W853" s="238" t="s">
        <v>18725</v>
      </c>
      <c r="X853" s="238" t="s">
        <v>18725</v>
      </c>
      <c r="Y853" s="239" t="str">
        <f>IF('CCUS Projects Database'!$R853&lt;&gt;"",HYPERLINK('CCUS Projects Database'!$R853,"Link 1"),"")</f>
        <v>Link 1</v>
      </c>
      <c r="Z853" s="239" t="str">
        <f>IF('CCUS Projects Database'!$S853&lt;&gt;"",HYPERLINK('CCUS Projects Database'!$S853,"Link 2"),"")</f>
        <v/>
      </c>
      <c r="AA853" s="239" t="str">
        <f>IF('CCUS Projects Database'!$T853&lt;&gt;"",HYPERLINK('CCUS Projects Database'!$T853,"Link 3"),"")</f>
        <v/>
      </c>
      <c r="AB853" s="239" t="str">
        <f>IF('CCUS Projects Database'!$U853&lt;&gt;"",HYPERLINK('CCUS Projects Database'!$U853,"Link 4"),"")</f>
        <v/>
      </c>
      <c r="AC853" s="239" t="str">
        <f>IF('CCUS Projects Database'!$V853&lt;&gt;"",HYPERLINK('CCUS Projects Database'!$V853,"Link 5"),"")</f>
        <v/>
      </c>
      <c r="AD853" s="239" t="str">
        <f>IF('CCUS Projects Database'!$W853&lt;&gt;"",HYPERLINK('CCUS Projects Database'!$W853,"Link 6"),"")</f>
        <v/>
      </c>
      <c r="AE853" s="239" t="str">
        <f>IF('CCUS Projects Database'!$X853&lt;&gt;"",HYPERLINK('CCUS Projects Database'!$X853,"Link 7"),"")</f>
        <v/>
      </c>
    </row>
    <row r="854" ht="14.25" customHeight="1">
      <c r="A854" s="233" t="s">
        <v>21653</v>
      </c>
      <c r="B854" s="234">
        <v>1140.0</v>
      </c>
      <c r="C854" s="234" t="s">
        <v>197</v>
      </c>
      <c r="D854" s="235" t="s">
        <v>21654</v>
      </c>
      <c r="E854" s="234" t="s">
        <v>18618</v>
      </c>
      <c r="F854" s="234">
        <v>2023.0</v>
      </c>
      <c r="G854" s="234" t="s">
        <v>18725</v>
      </c>
      <c r="H854" s="234">
        <v>2029.0</v>
      </c>
      <c r="I854" s="234" t="s">
        <v>18725</v>
      </c>
      <c r="J854" s="234" t="s">
        <v>18636</v>
      </c>
      <c r="K854" s="236" t="s">
        <v>18725</v>
      </c>
      <c r="L854" s="236">
        <v>0.858</v>
      </c>
      <c r="M854" s="236">
        <v>0.858</v>
      </c>
      <c r="N854" s="234" t="s">
        <v>18731</v>
      </c>
      <c r="O854" s="237" t="s">
        <v>18675</v>
      </c>
      <c r="P854" s="234" t="s">
        <v>18725</v>
      </c>
      <c r="Q854" s="234" t="s">
        <v>18726</v>
      </c>
      <c r="R854" s="238" t="s">
        <v>21655</v>
      </c>
      <c r="S854" s="238" t="s">
        <v>21656</v>
      </c>
      <c r="T854" s="238" t="s">
        <v>21657</v>
      </c>
      <c r="U854" s="238" t="s">
        <v>18725</v>
      </c>
      <c r="V854" s="238" t="s">
        <v>18725</v>
      </c>
      <c r="W854" s="238" t="s">
        <v>18725</v>
      </c>
      <c r="X854" s="238" t="s">
        <v>18725</v>
      </c>
      <c r="Y854" s="239" t="str">
        <f>IF('CCUS Projects Database'!$R854&lt;&gt;"",HYPERLINK('CCUS Projects Database'!$R854,"Link 1"),"")</f>
        <v>Link 1</v>
      </c>
      <c r="Z854" s="239" t="str">
        <f>IF('CCUS Projects Database'!$S854&lt;&gt;"",HYPERLINK('CCUS Projects Database'!$S854,"Link 2"),"")</f>
        <v>Link 2</v>
      </c>
      <c r="AA854" s="239" t="str">
        <f>IF('CCUS Projects Database'!$T854&lt;&gt;"",HYPERLINK('CCUS Projects Database'!$T854,"Link 3"),"")</f>
        <v>Link 3</v>
      </c>
      <c r="AB854" s="239" t="str">
        <f>IF('CCUS Projects Database'!$U854&lt;&gt;"",HYPERLINK('CCUS Projects Database'!$U854,"Link 4"),"")</f>
        <v/>
      </c>
      <c r="AC854" s="239" t="str">
        <f>IF('CCUS Projects Database'!$V854&lt;&gt;"",HYPERLINK('CCUS Projects Database'!$V854,"Link 5"),"")</f>
        <v/>
      </c>
      <c r="AD854" s="239" t="str">
        <f>IF('CCUS Projects Database'!$W854&lt;&gt;"",HYPERLINK('CCUS Projects Database'!$W854,"Link 6"),"")</f>
        <v/>
      </c>
      <c r="AE854" s="239" t="str">
        <f>IF('CCUS Projects Database'!$X854&lt;&gt;"",HYPERLINK('CCUS Projects Database'!$X854,"Link 7"),"")</f>
        <v/>
      </c>
    </row>
    <row r="855" ht="14.25" customHeight="1">
      <c r="A855" s="233" t="s">
        <v>21658</v>
      </c>
      <c r="B855" s="234">
        <v>1141.0</v>
      </c>
      <c r="C855" s="234" t="s">
        <v>197</v>
      </c>
      <c r="D855" s="235" t="s">
        <v>21659</v>
      </c>
      <c r="E855" s="234" t="s">
        <v>18618</v>
      </c>
      <c r="F855" s="234">
        <v>2023.0</v>
      </c>
      <c r="G855" s="234">
        <v>2026.0</v>
      </c>
      <c r="H855" s="234">
        <v>2029.0</v>
      </c>
      <c r="I855" s="234" t="s">
        <v>18725</v>
      </c>
      <c r="J855" s="234" t="s">
        <v>18636</v>
      </c>
      <c r="K855" s="236" t="s">
        <v>18725</v>
      </c>
      <c r="L855" s="236">
        <v>1.9</v>
      </c>
      <c r="M855" s="236">
        <v>1.9</v>
      </c>
      <c r="N855" s="234" t="s">
        <v>18663</v>
      </c>
      <c r="O855" s="237" t="s">
        <v>18675</v>
      </c>
      <c r="P855" s="238" t="s">
        <v>18725</v>
      </c>
      <c r="Q855" s="234" t="s">
        <v>18726</v>
      </c>
      <c r="R855" s="238" t="s">
        <v>21660</v>
      </c>
      <c r="S855" s="238" t="s">
        <v>21661</v>
      </c>
      <c r="T855" s="238" t="s">
        <v>21662</v>
      </c>
      <c r="U855" s="238" t="s">
        <v>18725</v>
      </c>
      <c r="V855" s="238" t="s">
        <v>18725</v>
      </c>
      <c r="W855" s="238" t="s">
        <v>18725</v>
      </c>
      <c r="X855" s="238" t="s">
        <v>18725</v>
      </c>
      <c r="Y855" s="239" t="str">
        <f>IF('CCUS Projects Database'!$R855&lt;&gt;"",HYPERLINK('CCUS Projects Database'!$R855,"Link 1"),"")</f>
        <v>Link 1</v>
      </c>
      <c r="Z855" s="239" t="str">
        <f>IF('CCUS Projects Database'!$S855&lt;&gt;"",HYPERLINK('CCUS Projects Database'!$S855,"Link 2"),"")</f>
        <v>Link 2</v>
      </c>
      <c r="AA855" s="239" t="str">
        <f>IF('CCUS Projects Database'!$T855&lt;&gt;"",HYPERLINK('CCUS Projects Database'!$T855,"Link 3"),"")</f>
        <v>Link 3</v>
      </c>
      <c r="AB855" s="239" t="str">
        <f>IF('CCUS Projects Database'!$U855&lt;&gt;"",HYPERLINK('CCUS Projects Database'!$U855,"Link 4"),"")</f>
        <v/>
      </c>
      <c r="AC855" s="239" t="str">
        <f>IF('CCUS Projects Database'!$V855&lt;&gt;"",HYPERLINK('CCUS Projects Database'!$V855,"Link 5"),"")</f>
        <v/>
      </c>
      <c r="AD855" s="239" t="str">
        <f>IF('CCUS Projects Database'!$W855&lt;&gt;"",HYPERLINK('CCUS Projects Database'!$W855,"Link 6"),"")</f>
        <v/>
      </c>
      <c r="AE855" s="239" t="str">
        <f>IF('CCUS Projects Database'!$X855&lt;&gt;"",HYPERLINK('CCUS Projects Database'!$X855,"Link 7"),"")</f>
        <v/>
      </c>
    </row>
    <row r="856" ht="14.25" customHeight="1">
      <c r="A856" s="233" t="s">
        <v>21663</v>
      </c>
      <c r="B856" s="234">
        <v>1142.0</v>
      </c>
      <c r="C856" s="234" t="s">
        <v>234</v>
      </c>
      <c r="D856" s="235" t="s">
        <v>21664</v>
      </c>
      <c r="E856" s="234" t="s">
        <v>18618</v>
      </c>
      <c r="F856" s="234">
        <v>2023.0</v>
      </c>
      <c r="G856" s="234" t="s">
        <v>18725</v>
      </c>
      <c r="H856" s="234">
        <v>2032.0</v>
      </c>
      <c r="I856" s="234" t="s">
        <v>18725</v>
      </c>
      <c r="J856" s="234" t="s">
        <v>18636</v>
      </c>
      <c r="K856" s="236" t="s">
        <v>18725</v>
      </c>
      <c r="L856" s="236">
        <v>0.315</v>
      </c>
      <c r="M856" s="236">
        <v>0.315</v>
      </c>
      <c r="N856" s="234" t="s">
        <v>18663</v>
      </c>
      <c r="O856" s="237" t="s">
        <v>18675</v>
      </c>
      <c r="P856" s="238" t="s">
        <v>18725</v>
      </c>
      <c r="Q856" s="234" t="s">
        <v>18726</v>
      </c>
      <c r="R856" s="238" t="s">
        <v>20703</v>
      </c>
      <c r="S856" s="238" t="s">
        <v>21665</v>
      </c>
      <c r="T856" s="238" t="s">
        <v>18725</v>
      </c>
      <c r="U856" s="238" t="s">
        <v>18725</v>
      </c>
      <c r="V856" s="238" t="s">
        <v>18725</v>
      </c>
      <c r="W856" s="238" t="s">
        <v>18725</v>
      </c>
      <c r="X856" s="238" t="s">
        <v>18725</v>
      </c>
      <c r="Y856" s="239" t="str">
        <f>IF('CCUS Projects Database'!$R856&lt;&gt;"",HYPERLINK('CCUS Projects Database'!$R856,"Link 1"),"")</f>
        <v>Link 1</v>
      </c>
      <c r="Z856" s="239" t="str">
        <f>IF('CCUS Projects Database'!$S856&lt;&gt;"",HYPERLINK('CCUS Projects Database'!$S856,"Link 2"),"")</f>
        <v>Link 2</v>
      </c>
      <c r="AA856" s="239" t="str">
        <f>IF('CCUS Projects Database'!$T856&lt;&gt;"",HYPERLINK('CCUS Projects Database'!$T856,"Link 3"),"")</f>
        <v/>
      </c>
      <c r="AB856" s="239" t="str">
        <f>IF('CCUS Projects Database'!$U856&lt;&gt;"",HYPERLINK('CCUS Projects Database'!$U856,"Link 4"),"")</f>
        <v/>
      </c>
      <c r="AC856" s="239" t="str">
        <f>IF('CCUS Projects Database'!$V856&lt;&gt;"",HYPERLINK('CCUS Projects Database'!$V856,"Link 5"),"")</f>
        <v/>
      </c>
      <c r="AD856" s="239" t="str">
        <f>IF('CCUS Projects Database'!$W856&lt;&gt;"",HYPERLINK('CCUS Projects Database'!$W856,"Link 6"),"")</f>
        <v/>
      </c>
      <c r="AE856" s="239" t="str">
        <f>IF('CCUS Projects Database'!$X856&lt;&gt;"",HYPERLINK('CCUS Projects Database'!$X856,"Link 7"),"")</f>
        <v/>
      </c>
    </row>
    <row r="857" ht="14.25" customHeight="1">
      <c r="A857" s="233" t="s">
        <v>21666</v>
      </c>
      <c r="B857" s="234">
        <v>1143.0</v>
      </c>
      <c r="C857" s="234" t="s">
        <v>461</v>
      </c>
      <c r="D857" s="235" t="s">
        <v>21666</v>
      </c>
      <c r="E857" s="234" t="s">
        <v>18618</v>
      </c>
      <c r="F857" s="234">
        <v>2022.0</v>
      </c>
      <c r="G857" s="234" t="s">
        <v>18725</v>
      </c>
      <c r="H857" s="234">
        <v>2030.0</v>
      </c>
      <c r="I857" s="234" t="s">
        <v>18725</v>
      </c>
      <c r="J857" s="234" t="s">
        <v>18636</v>
      </c>
      <c r="K857" s="236" t="s">
        <v>18725</v>
      </c>
      <c r="L857" s="236">
        <v>0.3</v>
      </c>
      <c r="M857" s="236">
        <v>0.3</v>
      </c>
      <c r="N857" s="234" t="s">
        <v>18661</v>
      </c>
      <c r="O857" s="237" t="s">
        <v>18675</v>
      </c>
      <c r="P857" s="234" t="s">
        <v>20743</v>
      </c>
      <c r="Q857" s="234" t="s">
        <v>18726</v>
      </c>
      <c r="R857" s="238" t="s">
        <v>21667</v>
      </c>
      <c r="S857" s="238" t="s">
        <v>18725</v>
      </c>
      <c r="T857" s="238" t="s">
        <v>18725</v>
      </c>
      <c r="U857" s="238" t="s">
        <v>18725</v>
      </c>
      <c r="V857" s="238" t="s">
        <v>18725</v>
      </c>
      <c r="W857" s="238" t="s">
        <v>18725</v>
      </c>
      <c r="X857" s="238" t="s">
        <v>18725</v>
      </c>
      <c r="Y857" s="239" t="str">
        <f>IF('CCUS Projects Database'!$R857&lt;&gt;"",HYPERLINK('CCUS Projects Database'!$R857,"Link 1"),"")</f>
        <v>Link 1</v>
      </c>
      <c r="Z857" s="239" t="str">
        <f>IF('CCUS Projects Database'!$S857&lt;&gt;"",HYPERLINK('CCUS Projects Database'!$S857,"Link 2"),"")</f>
        <v/>
      </c>
      <c r="AA857" s="239" t="str">
        <f>IF('CCUS Projects Database'!$T857&lt;&gt;"",HYPERLINK('CCUS Projects Database'!$T857,"Link 3"),"")</f>
        <v/>
      </c>
      <c r="AB857" s="239" t="str">
        <f>IF('CCUS Projects Database'!$U857&lt;&gt;"",HYPERLINK('CCUS Projects Database'!$U857,"Link 4"),"")</f>
        <v/>
      </c>
      <c r="AC857" s="239" t="str">
        <f>IF('CCUS Projects Database'!$V857&lt;&gt;"",HYPERLINK('CCUS Projects Database'!$V857,"Link 5"),"")</f>
        <v/>
      </c>
      <c r="AD857" s="239" t="str">
        <f>IF('CCUS Projects Database'!$W857&lt;&gt;"",HYPERLINK('CCUS Projects Database'!$W857,"Link 6"),"")</f>
        <v/>
      </c>
      <c r="AE857" s="239" t="str">
        <f>IF('CCUS Projects Database'!$X857&lt;&gt;"",HYPERLINK('CCUS Projects Database'!$X857,"Link 7"),"")</f>
        <v/>
      </c>
    </row>
    <row r="858" ht="14.25" customHeight="1">
      <c r="A858" s="233" t="s">
        <v>21668</v>
      </c>
      <c r="B858" s="234">
        <v>1144.0</v>
      </c>
      <c r="C858" s="234" t="s">
        <v>164</v>
      </c>
      <c r="D858" s="235" t="s">
        <v>21668</v>
      </c>
      <c r="E858" s="234" t="s">
        <v>18616</v>
      </c>
      <c r="F858" s="234">
        <v>2021.0</v>
      </c>
      <c r="G858" s="234" t="s">
        <v>18725</v>
      </c>
      <c r="H858" s="234">
        <v>2028.0</v>
      </c>
      <c r="I858" s="234" t="s">
        <v>18725</v>
      </c>
      <c r="J858" s="234" t="s">
        <v>18636</v>
      </c>
      <c r="K858" s="236" t="s">
        <v>18725</v>
      </c>
      <c r="L858" s="236">
        <v>0.44</v>
      </c>
      <c r="M858" s="236">
        <v>0.44</v>
      </c>
      <c r="N858" s="234" t="s">
        <v>18654</v>
      </c>
      <c r="O858" s="237" t="s">
        <v>18675</v>
      </c>
      <c r="P858" s="234" t="s">
        <v>18725</v>
      </c>
      <c r="Q858" s="234" t="s">
        <v>18726</v>
      </c>
      <c r="R858" s="238" t="s">
        <v>21667</v>
      </c>
      <c r="S858" s="238" t="s">
        <v>21669</v>
      </c>
      <c r="T858" s="238" t="s">
        <v>18725</v>
      </c>
      <c r="U858" s="238" t="s">
        <v>18725</v>
      </c>
      <c r="V858" s="238" t="s">
        <v>18725</v>
      </c>
      <c r="W858" s="238" t="s">
        <v>18725</v>
      </c>
      <c r="X858" s="238" t="s">
        <v>18725</v>
      </c>
      <c r="Y858" s="239" t="str">
        <f>IF('CCUS Projects Database'!$R858&lt;&gt;"",HYPERLINK('CCUS Projects Database'!$R858,"Link 1"),"")</f>
        <v>Link 1</v>
      </c>
      <c r="Z858" s="239" t="str">
        <f>IF('CCUS Projects Database'!$S858&lt;&gt;"",HYPERLINK('CCUS Projects Database'!$S858,"Link 2"),"")</f>
        <v>Link 2</v>
      </c>
      <c r="AA858" s="239" t="str">
        <f>IF('CCUS Projects Database'!$T858&lt;&gt;"",HYPERLINK('CCUS Projects Database'!$T858,"Link 3"),"")</f>
        <v/>
      </c>
      <c r="AB858" s="239" t="str">
        <f>IF('CCUS Projects Database'!$U858&lt;&gt;"",HYPERLINK('CCUS Projects Database'!$U858,"Link 4"),"")</f>
        <v/>
      </c>
      <c r="AC858" s="239" t="str">
        <f>IF('CCUS Projects Database'!$V858&lt;&gt;"",HYPERLINK('CCUS Projects Database'!$V858,"Link 5"),"")</f>
        <v/>
      </c>
      <c r="AD858" s="239" t="str">
        <f>IF('CCUS Projects Database'!$W858&lt;&gt;"",HYPERLINK('CCUS Projects Database'!$W858,"Link 6"),"")</f>
        <v/>
      </c>
      <c r="AE858" s="239" t="str">
        <f>IF('CCUS Projects Database'!$X858&lt;&gt;"",HYPERLINK('CCUS Projects Database'!$X858,"Link 7"),"")</f>
        <v/>
      </c>
    </row>
    <row r="859" ht="14.25" customHeight="1">
      <c r="A859" s="233" t="s">
        <v>21670</v>
      </c>
      <c r="B859" s="234">
        <v>1146.0</v>
      </c>
      <c r="C859" s="234" t="s">
        <v>173</v>
      </c>
      <c r="D859" s="235" t="s">
        <v>21671</v>
      </c>
      <c r="E859" s="234" t="s">
        <v>18625</v>
      </c>
      <c r="F859" s="234">
        <v>2021.0</v>
      </c>
      <c r="G859" s="234" t="s">
        <v>18725</v>
      </c>
      <c r="H859" s="234">
        <v>2027.0</v>
      </c>
      <c r="I859" s="234" t="s">
        <v>18725</v>
      </c>
      <c r="J859" s="234" t="s">
        <v>18636</v>
      </c>
      <c r="K859" s="236" t="s">
        <v>18725</v>
      </c>
      <c r="L859" s="236">
        <v>0.34</v>
      </c>
      <c r="M859" s="236">
        <v>0.34</v>
      </c>
      <c r="N859" s="234" t="s">
        <v>18654</v>
      </c>
      <c r="O859" s="237" t="s">
        <v>18679</v>
      </c>
      <c r="P859" s="234" t="s">
        <v>18725</v>
      </c>
      <c r="Q859" s="234" t="s">
        <v>18726</v>
      </c>
      <c r="R859" s="238" t="s">
        <v>21672</v>
      </c>
      <c r="S859" s="238" t="s">
        <v>18725</v>
      </c>
      <c r="T859" s="238" t="s">
        <v>18725</v>
      </c>
      <c r="U859" s="238" t="s">
        <v>18725</v>
      </c>
      <c r="V859" s="238" t="s">
        <v>18725</v>
      </c>
      <c r="W859" s="238" t="s">
        <v>18725</v>
      </c>
      <c r="X859" s="238" t="s">
        <v>18725</v>
      </c>
      <c r="Y859" s="239" t="str">
        <f>IF('CCUS Projects Database'!$R859&lt;&gt;"",HYPERLINK('CCUS Projects Database'!$R859,"Link 1"),"")</f>
        <v>Link 1</v>
      </c>
      <c r="Z859" s="239" t="str">
        <f>IF('CCUS Projects Database'!$S859&lt;&gt;"",HYPERLINK('CCUS Projects Database'!$S859,"Link 2"),"")</f>
        <v/>
      </c>
      <c r="AA859" s="239" t="str">
        <f>IF('CCUS Projects Database'!$T859&lt;&gt;"",HYPERLINK('CCUS Projects Database'!$T859,"Link 3"),"")</f>
        <v/>
      </c>
      <c r="AB859" s="239" t="str">
        <f>IF('CCUS Projects Database'!$U859&lt;&gt;"",HYPERLINK('CCUS Projects Database'!$U859,"Link 4"),"")</f>
        <v/>
      </c>
      <c r="AC859" s="239" t="str">
        <f>IF('CCUS Projects Database'!$V859&lt;&gt;"",HYPERLINK('CCUS Projects Database'!$V859,"Link 5"),"")</f>
        <v/>
      </c>
      <c r="AD859" s="239" t="str">
        <f>IF('CCUS Projects Database'!$W859&lt;&gt;"",HYPERLINK('CCUS Projects Database'!$W859,"Link 6"),"")</f>
        <v/>
      </c>
      <c r="AE859" s="239" t="str">
        <f>IF('CCUS Projects Database'!$X859&lt;&gt;"",HYPERLINK('CCUS Projects Database'!$X859,"Link 7"),"")</f>
        <v/>
      </c>
    </row>
    <row r="860" ht="14.25" customHeight="1">
      <c r="A860" s="233" t="s">
        <v>21003</v>
      </c>
      <c r="B860" s="234">
        <v>1147.0</v>
      </c>
      <c r="C860" s="234" t="s">
        <v>83</v>
      </c>
      <c r="D860" s="235" t="s">
        <v>20347</v>
      </c>
      <c r="E860" s="234" t="s">
        <v>18618</v>
      </c>
      <c r="F860" s="234">
        <v>2024.0</v>
      </c>
      <c r="G860" s="234" t="s">
        <v>18725</v>
      </c>
      <c r="H860" s="234" t="s">
        <v>18725</v>
      </c>
      <c r="I860" s="234" t="s">
        <v>18725</v>
      </c>
      <c r="J860" s="234" t="s">
        <v>18636</v>
      </c>
      <c r="K860" s="236" t="s">
        <v>18725</v>
      </c>
      <c r="L860" s="236">
        <v>0.6</v>
      </c>
      <c r="M860" s="236">
        <v>0.6</v>
      </c>
      <c r="N860" s="234" t="s">
        <v>18654</v>
      </c>
      <c r="O860" s="237" t="s">
        <v>18675</v>
      </c>
      <c r="P860" s="234" t="s">
        <v>18725</v>
      </c>
      <c r="Q860" s="234" t="s">
        <v>18726</v>
      </c>
      <c r="R860" s="238" t="s">
        <v>21673</v>
      </c>
      <c r="S860" s="238" t="s">
        <v>18725</v>
      </c>
      <c r="T860" s="238" t="s">
        <v>18725</v>
      </c>
      <c r="U860" s="238" t="s">
        <v>18725</v>
      </c>
      <c r="V860" s="238" t="s">
        <v>18725</v>
      </c>
      <c r="W860" s="238" t="s">
        <v>18725</v>
      </c>
      <c r="X860" s="238" t="s">
        <v>18725</v>
      </c>
      <c r="Y860" s="239" t="str">
        <f>IF('CCUS Projects Database'!$R860&lt;&gt;"",HYPERLINK('CCUS Projects Database'!$R860,"Link 1"),"")</f>
        <v>Link 1</v>
      </c>
      <c r="Z860" s="239" t="str">
        <f>IF('CCUS Projects Database'!$S860&lt;&gt;"",HYPERLINK('CCUS Projects Database'!$S860,"Link 2"),"")</f>
        <v/>
      </c>
      <c r="AA860" s="239" t="str">
        <f>IF('CCUS Projects Database'!$T860&lt;&gt;"",HYPERLINK('CCUS Projects Database'!$T860,"Link 3"),"")</f>
        <v/>
      </c>
      <c r="AB860" s="239" t="str">
        <f>IF('CCUS Projects Database'!$U860&lt;&gt;"",HYPERLINK('CCUS Projects Database'!$U860,"Link 4"),"")</f>
        <v/>
      </c>
      <c r="AC860" s="239" t="str">
        <f>IF('CCUS Projects Database'!$V860&lt;&gt;"",HYPERLINK('CCUS Projects Database'!$V860,"Link 5"),"")</f>
        <v/>
      </c>
      <c r="AD860" s="239" t="str">
        <f>IF('CCUS Projects Database'!$W860&lt;&gt;"",HYPERLINK('CCUS Projects Database'!$W860,"Link 6"),"")</f>
        <v/>
      </c>
      <c r="AE860" s="239" t="str">
        <f>IF('CCUS Projects Database'!$X860&lt;&gt;"",HYPERLINK('CCUS Projects Database'!$X860,"Link 7"),"")</f>
        <v/>
      </c>
    </row>
    <row r="861" ht="14.25" customHeight="1">
      <c r="A861" s="233" t="s">
        <v>21674</v>
      </c>
      <c r="B861" s="234">
        <v>1148.0</v>
      </c>
      <c r="C861" s="234" t="s">
        <v>18535</v>
      </c>
      <c r="D861" s="235" t="s">
        <v>21675</v>
      </c>
      <c r="E861" s="234" t="s">
        <v>18623</v>
      </c>
      <c r="F861" s="234">
        <v>2024.0</v>
      </c>
      <c r="G861" s="234" t="s">
        <v>18725</v>
      </c>
      <c r="H861" s="234" t="s">
        <v>18725</v>
      </c>
      <c r="I861" s="234" t="s">
        <v>18725</v>
      </c>
      <c r="J861" s="234" t="s">
        <v>18636</v>
      </c>
      <c r="K861" s="236" t="s">
        <v>18725</v>
      </c>
      <c r="L861" s="236">
        <v>2.5</v>
      </c>
      <c r="M861" s="236">
        <v>2.5</v>
      </c>
      <c r="N861" s="234" t="s">
        <v>18623</v>
      </c>
      <c r="O861" s="237" t="s">
        <v>18675</v>
      </c>
      <c r="P861" s="234" t="s">
        <v>18725</v>
      </c>
      <c r="Q861" s="234" t="s">
        <v>18856</v>
      </c>
      <c r="R861" s="238" t="s">
        <v>21676</v>
      </c>
      <c r="S861" s="238" t="s">
        <v>18725</v>
      </c>
      <c r="T861" s="238" t="s">
        <v>18725</v>
      </c>
      <c r="U861" s="238" t="s">
        <v>18725</v>
      </c>
      <c r="V861" s="238" t="s">
        <v>18725</v>
      </c>
      <c r="W861" s="238" t="s">
        <v>18725</v>
      </c>
      <c r="X861" s="238" t="s">
        <v>18725</v>
      </c>
      <c r="Y861" s="239" t="str">
        <f>IF('CCUS Projects Database'!$R861&lt;&gt;"",HYPERLINK('CCUS Projects Database'!$R861,"Link 1"),"")</f>
        <v>Link 1</v>
      </c>
      <c r="Z861" s="239" t="str">
        <f>IF('CCUS Projects Database'!$S861&lt;&gt;"",HYPERLINK('CCUS Projects Database'!$S861,"Link 2"),"")</f>
        <v/>
      </c>
      <c r="AA861" s="239" t="str">
        <f>IF('CCUS Projects Database'!$T861&lt;&gt;"",HYPERLINK('CCUS Projects Database'!$T861,"Link 3"),"")</f>
        <v/>
      </c>
      <c r="AB861" s="239" t="str">
        <f>IF('CCUS Projects Database'!$U861&lt;&gt;"",HYPERLINK('CCUS Projects Database'!$U861,"Link 4"),"")</f>
        <v/>
      </c>
      <c r="AC861" s="239" t="str">
        <f>IF('CCUS Projects Database'!$V861&lt;&gt;"",HYPERLINK('CCUS Projects Database'!$V861,"Link 5"),"")</f>
        <v/>
      </c>
      <c r="AD861" s="239" t="str">
        <f>IF('CCUS Projects Database'!$W861&lt;&gt;"",HYPERLINK('CCUS Projects Database'!$W861,"Link 6"),"")</f>
        <v/>
      </c>
      <c r="AE861" s="239" t="str">
        <f>IF('CCUS Projects Database'!$X861&lt;&gt;"",HYPERLINK('CCUS Projects Database'!$X861,"Link 7"),"")</f>
        <v/>
      </c>
    </row>
    <row r="862" ht="14.25" customHeight="1">
      <c r="A862" s="233" t="s">
        <v>21677</v>
      </c>
      <c r="B862" s="234">
        <v>1150.0</v>
      </c>
      <c r="C862" s="234" t="s">
        <v>18586</v>
      </c>
      <c r="D862" s="235" t="s">
        <v>21678</v>
      </c>
      <c r="E862" s="234" t="s">
        <v>18618</v>
      </c>
      <c r="F862" s="234">
        <v>2024.0</v>
      </c>
      <c r="G862" s="234" t="s">
        <v>18725</v>
      </c>
      <c r="H862" s="234">
        <v>2030.0</v>
      </c>
      <c r="I862" s="234" t="s">
        <v>18725</v>
      </c>
      <c r="J862" s="234" t="s">
        <v>18636</v>
      </c>
      <c r="K862" s="236" t="s">
        <v>18725</v>
      </c>
      <c r="L862" s="236">
        <v>3.1</v>
      </c>
      <c r="M862" s="236">
        <v>3.1</v>
      </c>
      <c r="N862" s="234" t="s">
        <v>12270</v>
      </c>
      <c r="O862" s="237" t="s">
        <v>18675</v>
      </c>
      <c r="P862" s="234" t="s">
        <v>18966</v>
      </c>
      <c r="Q862" s="234" t="s">
        <v>18732</v>
      </c>
      <c r="R862" s="238" t="s">
        <v>21679</v>
      </c>
      <c r="S862" s="238" t="s">
        <v>18725</v>
      </c>
      <c r="T862" s="238" t="s">
        <v>18725</v>
      </c>
      <c r="U862" s="238" t="s">
        <v>18725</v>
      </c>
      <c r="V862" s="238" t="s">
        <v>18725</v>
      </c>
      <c r="W862" s="238" t="s">
        <v>18725</v>
      </c>
      <c r="X862" s="238" t="s">
        <v>18725</v>
      </c>
      <c r="Y862" s="239" t="str">
        <f>IF('CCUS Projects Database'!$R862&lt;&gt;"",HYPERLINK('CCUS Projects Database'!$R862,"Link 1"),"")</f>
        <v>Link 1</v>
      </c>
      <c r="Z862" s="239" t="str">
        <f>IF('CCUS Projects Database'!$S862&lt;&gt;"",HYPERLINK('CCUS Projects Database'!$S862,"Link 2"),"")</f>
        <v/>
      </c>
      <c r="AA862" s="239" t="str">
        <f>IF('CCUS Projects Database'!$T862&lt;&gt;"",HYPERLINK('CCUS Projects Database'!$T862,"Link 3"),"")</f>
        <v/>
      </c>
      <c r="AB862" s="239" t="str">
        <f>IF('CCUS Projects Database'!$U862&lt;&gt;"",HYPERLINK('CCUS Projects Database'!$U862,"Link 4"),"")</f>
        <v/>
      </c>
      <c r="AC862" s="239" t="str">
        <f>IF('CCUS Projects Database'!$V862&lt;&gt;"",HYPERLINK('CCUS Projects Database'!$V862,"Link 5"),"")</f>
        <v/>
      </c>
      <c r="AD862" s="239" t="str">
        <f>IF('CCUS Projects Database'!$W862&lt;&gt;"",HYPERLINK('CCUS Projects Database'!$W862,"Link 6"),"")</f>
        <v/>
      </c>
      <c r="AE862" s="239" t="str">
        <f>IF('CCUS Projects Database'!$X862&lt;&gt;"",HYPERLINK('CCUS Projects Database'!$X862,"Link 7"),"")</f>
        <v/>
      </c>
    </row>
    <row r="863" ht="14.25" customHeight="1">
      <c r="A863" s="233" t="s">
        <v>21680</v>
      </c>
      <c r="B863" s="234">
        <v>1151.0</v>
      </c>
      <c r="C863" s="234" t="s">
        <v>18586</v>
      </c>
      <c r="D863" s="235" t="s">
        <v>21681</v>
      </c>
      <c r="E863" s="234" t="s">
        <v>3</v>
      </c>
      <c r="F863" s="234">
        <v>2024.0</v>
      </c>
      <c r="G863" s="234" t="s">
        <v>18725</v>
      </c>
      <c r="H863" s="234" t="s">
        <v>18725</v>
      </c>
      <c r="I863" s="234" t="s">
        <v>18725</v>
      </c>
      <c r="J863" s="234" t="s">
        <v>18636</v>
      </c>
      <c r="K863" s="236" t="s">
        <v>18725</v>
      </c>
      <c r="L863" s="236" t="s">
        <v>18725</v>
      </c>
      <c r="M863" s="236" t="s">
        <v>18725</v>
      </c>
      <c r="N863" s="234" t="s">
        <v>3</v>
      </c>
      <c r="O863" s="237" t="s">
        <v>18675</v>
      </c>
      <c r="P863" s="234" t="s">
        <v>18725</v>
      </c>
      <c r="Q863" s="234" t="s">
        <v>18732</v>
      </c>
      <c r="R863" s="238" t="s">
        <v>21682</v>
      </c>
      <c r="S863" s="238" t="s">
        <v>18725</v>
      </c>
      <c r="T863" s="238" t="s">
        <v>18725</v>
      </c>
      <c r="U863" s="238" t="s">
        <v>18725</v>
      </c>
      <c r="V863" s="238" t="s">
        <v>18725</v>
      </c>
      <c r="W863" s="238" t="s">
        <v>18725</v>
      </c>
      <c r="X863" s="238" t="s">
        <v>18725</v>
      </c>
      <c r="Y863" s="239" t="str">
        <f>IF('CCUS Projects Database'!$R863&lt;&gt;"",HYPERLINK('CCUS Projects Database'!$R863,"Link 1"),"")</f>
        <v>Link 1</v>
      </c>
      <c r="Z863" s="239" t="str">
        <f>IF('CCUS Projects Database'!$S863&lt;&gt;"",HYPERLINK('CCUS Projects Database'!$S863,"Link 2"),"")</f>
        <v/>
      </c>
      <c r="AA863" s="239" t="str">
        <f>IF('CCUS Projects Database'!$T863&lt;&gt;"",HYPERLINK('CCUS Projects Database'!$T863,"Link 3"),"")</f>
        <v/>
      </c>
      <c r="AB863" s="239" t="str">
        <f>IF('CCUS Projects Database'!$U863&lt;&gt;"",HYPERLINK('CCUS Projects Database'!$U863,"Link 4"),"")</f>
        <v/>
      </c>
      <c r="AC863" s="239" t="str">
        <f>IF('CCUS Projects Database'!$V863&lt;&gt;"",HYPERLINK('CCUS Projects Database'!$V863,"Link 5"),"")</f>
        <v/>
      </c>
      <c r="AD863" s="239" t="str">
        <f>IF('CCUS Projects Database'!$W863&lt;&gt;"",HYPERLINK('CCUS Projects Database'!$W863,"Link 6"),"")</f>
        <v/>
      </c>
      <c r="AE863" s="239" t="str">
        <f>IF('CCUS Projects Database'!$X863&lt;&gt;"",HYPERLINK('CCUS Projects Database'!$X863,"Link 7"),"")</f>
        <v/>
      </c>
    </row>
    <row r="864" ht="14.25" customHeight="1">
      <c r="A864" s="233" t="s">
        <v>21683</v>
      </c>
      <c r="B864" s="234">
        <v>1152.0</v>
      </c>
      <c r="C864" s="234" t="s">
        <v>18586</v>
      </c>
      <c r="D864" s="235" t="s">
        <v>21684</v>
      </c>
      <c r="E864" s="234" t="s">
        <v>18618</v>
      </c>
      <c r="F864" s="234">
        <v>2024.0</v>
      </c>
      <c r="G864" s="234" t="s">
        <v>18725</v>
      </c>
      <c r="H864" s="234">
        <v>2030.0</v>
      </c>
      <c r="I864" s="234" t="s">
        <v>18725</v>
      </c>
      <c r="J864" s="234" t="s">
        <v>18636</v>
      </c>
      <c r="K864" s="236" t="s">
        <v>18725</v>
      </c>
      <c r="L864" s="236">
        <v>0.8</v>
      </c>
      <c r="M864" s="236">
        <v>0.8</v>
      </c>
      <c r="N864" s="234" t="s">
        <v>103</v>
      </c>
      <c r="O864" s="237" t="s">
        <v>18675</v>
      </c>
      <c r="P864" s="234" t="s">
        <v>18725</v>
      </c>
      <c r="Q864" s="234" t="s">
        <v>18732</v>
      </c>
      <c r="R864" s="238" t="s">
        <v>21685</v>
      </c>
      <c r="S864" s="238" t="s">
        <v>18725</v>
      </c>
      <c r="T864" s="238" t="s">
        <v>18725</v>
      </c>
      <c r="U864" s="238" t="s">
        <v>18725</v>
      </c>
      <c r="V864" s="238" t="s">
        <v>18725</v>
      </c>
      <c r="W864" s="238" t="s">
        <v>18725</v>
      </c>
      <c r="X864" s="238" t="s">
        <v>18725</v>
      </c>
      <c r="Y864" s="239" t="str">
        <f>IF('CCUS Projects Database'!$R864&lt;&gt;"",HYPERLINK('CCUS Projects Database'!$R864,"Link 1"),"")</f>
        <v>Link 1</v>
      </c>
      <c r="Z864" s="239" t="str">
        <f>IF('CCUS Projects Database'!$S864&lt;&gt;"",HYPERLINK('CCUS Projects Database'!$S864,"Link 2"),"")</f>
        <v/>
      </c>
      <c r="AA864" s="239" t="str">
        <f>IF('CCUS Projects Database'!$T864&lt;&gt;"",HYPERLINK('CCUS Projects Database'!$T864,"Link 3"),"")</f>
        <v/>
      </c>
      <c r="AB864" s="239" t="str">
        <f>IF('CCUS Projects Database'!$U864&lt;&gt;"",HYPERLINK('CCUS Projects Database'!$U864,"Link 4"),"")</f>
        <v/>
      </c>
      <c r="AC864" s="239" t="str">
        <f>IF('CCUS Projects Database'!$V864&lt;&gt;"",HYPERLINK('CCUS Projects Database'!$V864,"Link 5"),"")</f>
        <v/>
      </c>
      <c r="AD864" s="239" t="str">
        <f>IF('CCUS Projects Database'!$W864&lt;&gt;"",HYPERLINK('CCUS Projects Database'!$W864,"Link 6"),"")</f>
        <v/>
      </c>
      <c r="AE864" s="239" t="str">
        <f>IF('CCUS Projects Database'!$X864&lt;&gt;"",HYPERLINK('CCUS Projects Database'!$X864,"Link 7"),"")</f>
        <v/>
      </c>
    </row>
    <row r="865" ht="14.25" customHeight="1">
      <c r="A865" s="233" t="s">
        <v>21686</v>
      </c>
      <c r="B865" s="234">
        <v>1153.0</v>
      </c>
      <c r="C865" s="234" t="s">
        <v>86</v>
      </c>
      <c r="D865" s="235" t="s">
        <v>21687</v>
      </c>
      <c r="E865" s="234" t="s">
        <v>18618</v>
      </c>
      <c r="F865" s="234">
        <v>2024.0</v>
      </c>
      <c r="G865" s="234" t="s">
        <v>18725</v>
      </c>
      <c r="H865" s="234">
        <v>2026.0</v>
      </c>
      <c r="I865" s="234" t="s">
        <v>18725</v>
      </c>
      <c r="J865" s="234" t="s">
        <v>18636</v>
      </c>
      <c r="K865" s="236" t="s">
        <v>18725</v>
      </c>
      <c r="L865" s="236">
        <v>0.131</v>
      </c>
      <c r="M865" s="236">
        <v>0.131</v>
      </c>
      <c r="N865" s="234" t="s">
        <v>12270</v>
      </c>
      <c r="O865" s="237" t="s">
        <v>18675</v>
      </c>
      <c r="P865" s="234" t="s">
        <v>20962</v>
      </c>
      <c r="Q865" s="234" t="s">
        <v>18726</v>
      </c>
      <c r="R865" s="238" t="s">
        <v>21688</v>
      </c>
      <c r="S865" s="238" t="s">
        <v>21689</v>
      </c>
      <c r="T865" s="238" t="s">
        <v>18725</v>
      </c>
      <c r="U865" s="238" t="s">
        <v>18725</v>
      </c>
      <c r="V865" s="238" t="s">
        <v>18725</v>
      </c>
      <c r="W865" s="238" t="s">
        <v>18725</v>
      </c>
      <c r="X865" s="238" t="s">
        <v>18725</v>
      </c>
      <c r="Y865" s="239" t="str">
        <f>IF('CCUS Projects Database'!$R865&lt;&gt;"",HYPERLINK('CCUS Projects Database'!$R865,"Link 1"),"")</f>
        <v>Link 1</v>
      </c>
      <c r="Z865" s="239" t="str">
        <f>IF('CCUS Projects Database'!$S865&lt;&gt;"",HYPERLINK('CCUS Projects Database'!$S865,"Link 2"),"")</f>
        <v>Link 2</v>
      </c>
      <c r="AA865" s="239" t="str">
        <f>IF('CCUS Projects Database'!$T865&lt;&gt;"",HYPERLINK('CCUS Projects Database'!$T865,"Link 3"),"")</f>
        <v/>
      </c>
      <c r="AB865" s="239" t="str">
        <f>IF('CCUS Projects Database'!$U865&lt;&gt;"",HYPERLINK('CCUS Projects Database'!$U865,"Link 4"),"")</f>
        <v/>
      </c>
      <c r="AC865" s="239" t="str">
        <f>IF('CCUS Projects Database'!$V865&lt;&gt;"",HYPERLINK('CCUS Projects Database'!$V865,"Link 5"),"")</f>
        <v/>
      </c>
      <c r="AD865" s="239" t="str">
        <f>IF('CCUS Projects Database'!$W865&lt;&gt;"",HYPERLINK('CCUS Projects Database'!$W865,"Link 6"),"")</f>
        <v/>
      </c>
      <c r="AE865" s="239" t="str">
        <f>IF('CCUS Projects Database'!$X865&lt;&gt;"",HYPERLINK('CCUS Projects Database'!$X865,"Link 7"),"")</f>
        <v/>
      </c>
    </row>
    <row r="866" ht="14.25" customHeight="1">
      <c r="A866" s="233" t="s">
        <v>21690</v>
      </c>
      <c r="B866" s="234">
        <v>1154.0</v>
      </c>
      <c r="C866" s="234" t="s">
        <v>57</v>
      </c>
      <c r="D866" s="235" t="s">
        <v>21691</v>
      </c>
      <c r="E866" s="234" t="s">
        <v>18618</v>
      </c>
      <c r="F866" s="234">
        <v>2024.0</v>
      </c>
      <c r="G866" s="234" t="s">
        <v>18725</v>
      </c>
      <c r="H866" s="234" t="s">
        <v>18725</v>
      </c>
      <c r="I866" s="234" t="s">
        <v>18725</v>
      </c>
      <c r="J866" s="234" t="s">
        <v>18636</v>
      </c>
      <c r="K866" s="236" t="s">
        <v>18725</v>
      </c>
      <c r="L866" s="236">
        <v>0.18</v>
      </c>
      <c r="M866" s="236">
        <v>0.18</v>
      </c>
      <c r="N866" s="234" t="s">
        <v>18654</v>
      </c>
      <c r="O866" s="237" t="s">
        <v>18683</v>
      </c>
      <c r="P866" s="234" t="s">
        <v>18725</v>
      </c>
      <c r="Q866" s="234" t="s">
        <v>18726</v>
      </c>
      <c r="R866" s="238" t="s">
        <v>21692</v>
      </c>
      <c r="S866" s="238" t="s">
        <v>21693</v>
      </c>
      <c r="T866" s="238" t="s">
        <v>18725</v>
      </c>
      <c r="U866" s="238" t="s">
        <v>18725</v>
      </c>
      <c r="V866" s="238" t="s">
        <v>18725</v>
      </c>
      <c r="W866" s="238" t="s">
        <v>18725</v>
      </c>
      <c r="X866" s="238" t="s">
        <v>18725</v>
      </c>
      <c r="Y866" s="239" t="str">
        <f>IF('CCUS Projects Database'!$R866&lt;&gt;"",HYPERLINK('CCUS Projects Database'!$R866,"Link 1"),"")</f>
        <v>Link 1</v>
      </c>
      <c r="Z866" s="239" t="str">
        <f>IF('CCUS Projects Database'!$S866&lt;&gt;"",HYPERLINK('CCUS Projects Database'!$S866,"Link 2"),"")</f>
        <v>Link 2</v>
      </c>
      <c r="AA866" s="239" t="str">
        <f>IF('CCUS Projects Database'!$T866&lt;&gt;"",HYPERLINK('CCUS Projects Database'!$T866,"Link 3"),"")</f>
        <v/>
      </c>
      <c r="AB866" s="239" t="str">
        <f>IF('CCUS Projects Database'!$U866&lt;&gt;"",HYPERLINK('CCUS Projects Database'!$U866,"Link 4"),"")</f>
        <v/>
      </c>
      <c r="AC866" s="239" t="str">
        <f>IF('CCUS Projects Database'!$V866&lt;&gt;"",HYPERLINK('CCUS Projects Database'!$V866,"Link 5"),"")</f>
        <v/>
      </c>
      <c r="AD866" s="239" t="str">
        <f>IF('CCUS Projects Database'!$W866&lt;&gt;"",HYPERLINK('CCUS Projects Database'!$W866,"Link 6"),"")</f>
        <v/>
      </c>
      <c r="AE866" s="239" t="str">
        <f>IF('CCUS Projects Database'!$X866&lt;&gt;"",HYPERLINK('CCUS Projects Database'!$X866,"Link 7"),"")</f>
        <v/>
      </c>
    </row>
    <row r="867" ht="14.25" customHeight="1">
      <c r="A867" s="233" t="s">
        <v>21470</v>
      </c>
      <c r="B867" s="234">
        <v>1155.0</v>
      </c>
      <c r="C867" s="234" t="s">
        <v>83</v>
      </c>
      <c r="D867" s="235" t="s">
        <v>21694</v>
      </c>
      <c r="E867" s="234" t="s">
        <v>18618</v>
      </c>
      <c r="F867" s="234">
        <v>2024.0</v>
      </c>
      <c r="G867" s="234" t="s">
        <v>18725</v>
      </c>
      <c r="H867" s="234">
        <v>2030.0</v>
      </c>
      <c r="I867" s="234" t="s">
        <v>18725</v>
      </c>
      <c r="J867" s="234" t="s">
        <v>18192</v>
      </c>
      <c r="K867" s="236" t="s">
        <v>18725</v>
      </c>
      <c r="L867" s="236">
        <v>0.6</v>
      </c>
      <c r="M867" s="236">
        <v>0.6</v>
      </c>
      <c r="N867" s="234" t="s">
        <v>18663</v>
      </c>
      <c r="O867" s="237" t="s">
        <v>18675</v>
      </c>
      <c r="P867" s="238" t="s">
        <v>21695</v>
      </c>
      <c r="Q867" s="234" t="s">
        <v>18726</v>
      </c>
      <c r="R867" s="238" t="s">
        <v>21472</v>
      </c>
      <c r="S867" s="238" t="s">
        <v>21473</v>
      </c>
      <c r="T867" s="238" t="s">
        <v>21474</v>
      </c>
      <c r="U867" s="238" t="s">
        <v>18725</v>
      </c>
      <c r="V867" s="238" t="s">
        <v>18725</v>
      </c>
      <c r="W867" s="238" t="s">
        <v>18725</v>
      </c>
      <c r="X867" s="238" t="s">
        <v>18725</v>
      </c>
      <c r="Y867" s="239" t="str">
        <f>IF('CCUS Projects Database'!$R867&lt;&gt;"",HYPERLINK('CCUS Projects Database'!$R867,"Link 1"),"")</f>
        <v>Link 1</v>
      </c>
      <c r="Z867" s="239" t="str">
        <f>IF('CCUS Projects Database'!$S867&lt;&gt;"",HYPERLINK('CCUS Projects Database'!$S867,"Link 2"),"")</f>
        <v>Link 2</v>
      </c>
      <c r="AA867" s="239" t="str">
        <f>IF('CCUS Projects Database'!$T867&lt;&gt;"",HYPERLINK('CCUS Projects Database'!$T867,"Link 3"),"")</f>
        <v>Link 3</v>
      </c>
      <c r="AB867" s="239" t="str">
        <f>IF('CCUS Projects Database'!$U867&lt;&gt;"",HYPERLINK('CCUS Projects Database'!$U867,"Link 4"),"")</f>
        <v/>
      </c>
      <c r="AC867" s="239" t="str">
        <f>IF('CCUS Projects Database'!$V867&lt;&gt;"",HYPERLINK('CCUS Projects Database'!$V867,"Link 5"),"")</f>
        <v/>
      </c>
      <c r="AD867" s="239" t="str">
        <f>IF('CCUS Projects Database'!$W867&lt;&gt;"",HYPERLINK('CCUS Projects Database'!$W867,"Link 6"),"")</f>
        <v/>
      </c>
      <c r="AE867" s="239" t="str">
        <f>IF('CCUS Projects Database'!$X867&lt;&gt;"",HYPERLINK('CCUS Projects Database'!$X867,"Link 7"),"")</f>
        <v/>
      </c>
    </row>
    <row r="868" ht="14.25" customHeight="1">
      <c r="A868" s="233" t="s">
        <v>21696</v>
      </c>
      <c r="B868" s="234">
        <v>1156.0</v>
      </c>
      <c r="C868" s="234" t="s">
        <v>98</v>
      </c>
      <c r="D868" s="235" t="s">
        <v>21697</v>
      </c>
      <c r="E868" s="234" t="s">
        <v>18618</v>
      </c>
      <c r="F868" s="234">
        <v>2024.0</v>
      </c>
      <c r="G868" s="234" t="s">
        <v>18725</v>
      </c>
      <c r="H868" s="234" t="s">
        <v>18725</v>
      </c>
      <c r="I868" s="234" t="s">
        <v>18725</v>
      </c>
      <c r="J868" s="234" t="s">
        <v>18636</v>
      </c>
      <c r="K868" s="236" t="s">
        <v>18725</v>
      </c>
      <c r="L868" s="236" t="s">
        <v>18725</v>
      </c>
      <c r="M868" s="236" t="s">
        <v>18725</v>
      </c>
      <c r="N868" s="234" t="s">
        <v>18218</v>
      </c>
      <c r="O868" s="237" t="s">
        <v>18675</v>
      </c>
      <c r="P868" s="234" t="s">
        <v>18725</v>
      </c>
      <c r="Q868" s="234" t="s">
        <v>18726</v>
      </c>
      <c r="R868" s="238" t="s">
        <v>21698</v>
      </c>
      <c r="S868" s="238" t="s">
        <v>18725</v>
      </c>
      <c r="T868" s="238" t="s">
        <v>18725</v>
      </c>
      <c r="U868" s="238" t="s">
        <v>18725</v>
      </c>
      <c r="V868" s="238" t="s">
        <v>18725</v>
      </c>
      <c r="W868" s="238" t="s">
        <v>18725</v>
      </c>
      <c r="X868" s="238" t="s">
        <v>18725</v>
      </c>
      <c r="Y868" s="239" t="str">
        <f>IF('CCUS Projects Database'!$R868&lt;&gt;"",HYPERLINK('CCUS Projects Database'!$R868,"Link 1"),"")</f>
        <v>Link 1</v>
      </c>
      <c r="Z868" s="239" t="str">
        <f>IF('CCUS Projects Database'!$S868&lt;&gt;"",HYPERLINK('CCUS Projects Database'!$S868,"Link 2"),"")</f>
        <v/>
      </c>
      <c r="AA868" s="239" t="str">
        <f>IF('CCUS Projects Database'!$T868&lt;&gt;"",HYPERLINK('CCUS Projects Database'!$T868,"Link 3"),"")</f>
        <v/>
      </c>
      <c r="AB868" s="239" t="str">
        <f>IF('CCUS Projects Database'!$U868&lt;&gt;"",HYPERLINK('CCUS Projects Database'!$U868,"Link 4"),"")</f>
        <v/>
      </c>
      <c r="AC868" s="239" t="str">
        <f>IF('CCUS Projects Database'!$V868&lt;&gt;"",HYPERLINK('CCUS Projects Database'!$V868,"Link 5"),"")</f>
        <v/>
      </c>
      <c r="AD868" s="239" t="str">
        <f>IF('CCUS Projects Database'!$W868&lt;&gt;"",HYPERLINK('CCUS Projects Database'!$W868,"Link 6"),"")</f>
        <v/>
      </c>
      <c r="AE868" s="239" t="str">
        <f>IF('CCUS Projects Database'!$X868&lt;&gt;"",HYPERLINK('CCUS Projects Database'!$X868,"Link 7"),"")</f>
        <v/>
      </c>
    </row>
    <row r="869" ht="14.25" customHeight="1">
      <c r="A869" s="233" t="s">
        <v>21699</v>
      </c>
      <c r="B869" s="234">
        <v>1160.0</v>
      </c>
      <c r="C869" s="234" t="s">
        <v>18586</v>
      </c>
      <c r="D869" s="235" t="s">
        <v>21700</v>
      </c>
      <c r="E869" s="234" t="s">
        <v>18618</v>
      </c>
      <c r="F869" s="234">
        <v>2024.0</v>
      </c>
      <c r="G869" s="234" t="s">
        <v>18725</v>
      </c>
      <c r="H869" s="234">
        <v>2030.0</v>
      </c>
      <c r="I869" s="234" t="s">
        <v>18725</v>
      </c>
      <c r="J869" s="234" t="s">
        <v>18636</v>
      </c>
      <c r="K869" s="236" t="s">
        <v>18725</v>
      </c>
      <c r="L869" s="236">
        <v>0.95</v>
      </c>
      <c r="M869" s="236">
        <v>0.95</v>
      </c>
      <c r="N869" s="234" t="s">
        <v>18663</v>
      </c>
      <c r="O869" s="237" t="s">
        <v>18675</v>
      </c>
      <c r="P869" s="238" t="s">
        <v>18725</v>
      </c>
      <c r="Q869" s="234" t="s">
        <v>18732</v>
      </c>
      <c r="R869" s="238" t="s">
        <v>20381</v>
      </c>
      <c r="S869" s="238" t="s">
        <v>21701</v>
      </c>
      <c r="T869" s="238" t="s">
        <v>21702</v>
      </c>
      <c r="U869" s="238" t="s">
        <v>18725</v>
      </c>
      <c r="V869" s="238" t="s">
        <v>18725</v>
      </c>
      <c r="W869" s="238" t="s">
        <v>18725</v>
      </c>
      <c r="X869" s="238" t="s">
        <v>18725</v>
      </c>
      <c r="Y869" s="239" t="str">
        <f>IF('CCUS Projects Database'!$R869&lt;&gt;"",HYPERLINK('CCUS Projects Database'!$R869,"Link 1"),"")</f>
        <v>Link 1</v>
      </c>
      <c r="Z869" s="239" t="str">
        <f>IF('CCUS Projects Database'!$S869&lt;&gt;"",HYPERLINK('CCUS Projects Database'!$S869,"Link 2"),"")</f>
        <v>Link 2</v>
      </c>
      <c r="AA869" s="239" t="str">
        <f>IF('CCUS Projects Database'!$T869&lt;&gt;"",HYPERLINK('CCUS Projects Database'!$T869,"Link 3"),"")</f>
        <v>Link 3</v>
      </c>
      <c r="AB869" s="239" t="str">
        <f>IF('CCUS Projects Database'!$U869&lt;&gt;"",HYPERLINK('CCUS Projects Database'!$U869,"Link 4"),"")</f>
        <v/>
      </c>
      <c r="AC869" s="239" t="str">
        <f>IF('CCUS Projects Database'!$V869&lt;&gt;"",HYPERLINK('CCUS Projects Database'!$V869,"Link 5"),"")</f>
        <v/>
      </c>
      <c r="AD869" s="239" t="str">
        <f>IF('CCUS Projects Database'!$W869&lt;&gt;"",HYPERLINK('CCUS Projects Database'!$W869,"Link 6"),"")</f>
        <v/>
      </c>
      <c r="AE869" s="239" t="str">
        <f>IF('CCUS Projects Database'!$X869&lt;&gt;"",HYPERLINK('CCUS Projects Database'!$X869,"Link 7"),"")</f>
        <v/>
      </c>
    </row>
    <row r="870" ht="14.25" customHeight="1">
      <c r="A870" s="233" t="s">
        <v>21703</v>
      </c>
      <c r="B870" s="234">
        <v>1162.0</v>
      </c>
      <c r="C870" s="234" t="s">
        <v>18586</v>
      </c>
      <c r="D870" s="235" t="s">
        <v>21704</v>
      </c>
      <c r="E870" s="234" t="s">
        <v>18625</v>
      </c>
      <c r="F870" s="234">
        <v>2024.0</v>
      </c>
      <c r="G870" s="234" t="s">
        <v>18725</v>
      </c>
      <c r="H870" s="234" t="s">
        <v>18725</v>
      </c>
      <c r="I870" s="234" t="s">
        <v>18725</v>
      </c>
      <c r="J870" s="234" t="s">
        <v>18636</v>
      </c>
      <c r="K870" s="236" t="s">
        <v>18725</v>
      </c>
      <c r="L870" s="236" t="s">
        <v>18725</v>
      </c>
      <c r="M870" s="236">
        <v>0.411</v>
      </c>
      <c r="N870" s="234" t="s">
        <v>677</v>
      </c>
      <c r="O870" s="237" t="s">
        <v>18679</v>
      </c>
      <c r="P870" s="234" t="s">
        <v>18725</v>
      </c>
      <c r="Q870" s="234" t="s">
        <v>18732</v>
      </c>
      <c r="R870" s="238" t="s">
        <v>21705</v>
      </c>
      <c r="S870" s="238" t="s">
        <v>18725</v>
      </c>
      <c r="T870" s="238" t="s">
        <v>18725</v>
      </c>
      <c r="U870" s="238" t="s">
        <v>18725</v>
      </c>
      <c r="V870" s="238" t="s">
        <v>18725</v>
      </c>
      <c r="W870" s="238" t="s">
        <v>18725</v>
      </c>
      <c r="X870" s="238" t="s">
        <v>18725</v>
      </c>
      <c r="Y870" s="239" t="str">
        <f>IF('CCUS Projects Database'!$R870&lt;&gt;"",HYPERLINK('CCUS Projects Database'!$R870,"Link 1"),"")</f>
        <v>Link 1</v>
      </c>
      <c r="Z870" s="239" t="str">
        <f>IF('CCUS Projects Database'!$S870&lt;&gt;"",HYPERLINK('CCUS Projects Database'!$S870,"Link 2"),"")</f>
        <v/>
      </c>
      <c r="AA870" s="239" t="str">
        <f>IF('CCUS Projects Database'!$T870&lt;&gt;"",HYPERLINK('CCUS Projects Database'!$T870,"Link 3"),"")</f>
        <v/>
      </c>
      <c r="AB870" s="239" t="str">
        <f>IF('CCUS Projects Database'!$U870&lt;&gt;"",HYPERLINK('CCUS Projects Database'!$U870,"Link 4"),"")</f>
        <v/>
      </c>
      <c r="AC870" s="239" t="str">
        <f>IF('CCUS Projects Database'!$V870&lt;&gt;"",HYPERLINK('CCUS Projects Database'!$V870,"Link 5"),"")</f>
        <v/>
      </c>
      <c r="AD870" s="239" t="str">
        <f>IF('CCUS Projects Database'!$W870&lt;&gt;"",HYPERLINK('CCUS Projects Database'!$W870,"Link 6"),"")</f>
        <v/>
      </c>
      <c r="AE870" s="239" t="str">
        <f>IF('CCUS Projects Database'!$X870&lt;&gt;"",HYPERLINK('CCUS Projects Database'!$X870,"Link 7"),"")</f>
        <v/>
      </c>
    </row>
    <row r="871" ht="14.25" customHeight="1">
      <c r="A871" s="233" t="s">
        <v>21706</v>
      </c>
      <c r="B871" s="234">
        <v>1166.0</v>
      </c>
      <c r="C871" s="234" t="s">
        <v>98</v>
      </c>
      <c r="D871" s="235" t="s">
        <v>21707</v>
      </c>
      <c r="E871" s="234" t="s">
        <v>18618</v>
      </c>
      <c r="F871" s="234">
        <v>2024.0</v>
      </c>
      <c r="G871" s="234" t="s">
        <v>18725</v>
      </c>
      <c r="H871" s="234" t="s">
        <v>18725</v>
      </c>
      <c r="I871" s="234" t="s">
        <v>18725</v>
      </c>
      <c r="J871" s="234" t="s">
        <v>18636</v>
      </c>
      <c r="K871" s="236">
        <v>1.0</v>
      </c>
      <c r="L871" s="236">
        <v>1.5</v>
      </c>
      <c r="M871" s="236">
        <v>1.5</v>
      </c>
      <c r="N871" s="234" t="s">
        <v>18665</v>
      </c>
      <c r="O871" s="237" t="s">
        <v>18675</v>
      </c>
      <c r="P871" s="234" t="s">
        <v>21708</v>
      </c>
      <c r="Q871" s="234" t="s">
        <v>18726</v>
      </c>
      <c r="R871" s="238" t="s">
        <v>21709</v>
      </c>
      <c r="S871" s="238" t="s">
        <v>18725</v>
      </c>
      <c r="T871" s="238" t="s">
        <v>18725</v>
      </c>
      <c r="U871" s="238" t="s">
        <v>18725</v>
      </c>
      <c r="V871" s="238" t="s">
        <v>18725</v>
      </c>
      <c r="W871" s="238" t="s">
        <v>18725</v>
      </c>
      <c r="X871" s="238" t="s">
        <v>18725</v>
      </c>
      <c r="Y871" s="239" t="str">
        <f>IF('CCUS Projects Database'!$R871&lt;&gt;"",HYPERLINK('CCUS Projects Database'!$R871,"Link 1"),"")</f>
        <v>Link 1</v>
      </c>
      <c r="Z871" s="239" t="str">
        <f>IF('CCUS Projects Database'!$S871&lt;&gt;"",HYPERLINK('CCUS Projects Database'!$S871,"Link 2"),"")</f>
        <v/>
      </c>
      <c r="AA871" s="239" t="str">
        <f>IF('CCUS Projects Database'!$T871&lt;&gt;"",HYPERLINK('CCUS Projects Database'!$T871,"Link 3"),"")</f>
        <v/>
      </c>
      <c r="AB871" s="239" t="str">
        <f>IF('CCUS Projects Database'!$U871&lt;&gt;"",HYPERLINK('CCUS Projects Database'!$U871,"Link 4"),"")</f>
        <v/>
      </c>
      <c r="AC871" s="239" t="str">
        <f>IF('CCUS Projects Database'!$V871&lt;&gt;"",HYPERLINK('CCUS Projects Database'!$V871,"Link 5"),"")</f>
        <v/>
      </c>
      <c r="AD871" s="239" t="str">
        <f>IF('CCUS Projects Database'!$W871&lt;&gt;"",HYPERLINK('CCUS Projects Database'!$W871,"Link 6"),"")</f>
        <v/>
      </c>
      <c r="AE871" s="239" t="str">
        <f>IF('CCUS Projects Database'!$X871&lt;&gt;"",HYPERLINK('CCUS Projects Database'!$X871,"Link 7"),"")</f>
        <v/>
      </c>
    </row>
    <row r="872" ht="14.25" customHeight="1">
      <c r="A872" s="233" t="s">
        <v>21710</v>
      </c>
      <c r="B872" s="234">
        <v>1167.0</v>
      </c>
      <c r="C872" s="234" t="s">
        <v>98</v>
      </c>
      <c r="D872" s="235" t="s">
        <v>21711</v>
      </c>
      <c r="E872" s="234" t="s">
        <v>18618</v>
      </c>
      <c r="F872" s="234">
        <v>2024.0</v>
      </c>
      <c r="G872" s="234" t="s">
        <v>18725</v>
      </c>
      <c r="H872" s="234" t="s">
        <v>18725</v>
      </c>
      <c r="I872" s="234" t="s">
        <v>18725</v>
      </c>
      <c r="J872" s="234" t="s">
        <v>18636</v>
      </c>
      <c r="K872" s="236">
        <v>1.0</v>
      </c>
      <c r="L872" s="236">
        <v>3.7</v>
      </c>
      <c r="M872" s="236">
        <v>3.7</v>
      </c>
      <c r="N872" s="234" t="s">
        <v>18665</v>
      </c>
      <c r="O872" s="237" t="s">
        <v>18675</v>
      </c>
      <c r="P872" s="234" t="s">
        <v>21708</v>
      </c>
      <c r="Q872" s="234" t="s">
        <v>18726</v>
      </c>
      <c r="R872" s="238" t="s">
        <v>21709</v>
      </c>
      <c r="S872" s="238" t="s">
        <v>18725</v>
      </c>
      <c r="T872" s="238" t="s">
        <v>18725</v>
      </c>
      <c r="U872" s="238" t="s">
        <v>18725</v>
      </c>
      <c r="V872" s="238" t="s">
        <v>18725</v>
      </c>
      <c r="W872" s="238" t="s">
        <v>18725</v>
      </c>
      <c r="X872" s="238" t="s">
        <v>18725</v>
      </c>
      <c r="Y872" s="239" t="str">
        <f>IF('CCUS Projects Database'!$R872&lt;&gt;"",HYPERLINK('CCUS Projects Database'!$R872,"Link 1"),"")</f>
        <v>Link 1</v>
      </c>
      <c r="Z872" s="239" t="str">
        <f>IF('CCUS Projects Database'!$S872&lt;&gt;"",HYPERLINK('CCUS Projects Database'!$S872,"Link 2"),"")</f>
        <v/>
      </c>
      <c r="AA872" s="239" t="str">
        <f>IF('CCUS Projects Database'!$T872&lt;&gt;"",HYPERLINK('CCUS Projects Database'!$T872,"Link 3"),"")</f>
        <v/>
      </c>
      <c r="AB872" s="239" t="str">
        <f>IF('CCUS Projects Database'!$U872&lt;&gt;"",HYPERLINK('CCUS Projects Database'!$U872,"Link 4"),"")</f>
        <v/>
      </c>
      <c r="AC872" s="239" t="str">
        <f>IF('CCUS Projects Database'!$V872&lt;&gt;"",HYPERLINK('CCUS Projects Database'!$V872,"Link 5"),"")</f>
        <v/>
      </c>
      <c r="AD872" s="239" t="str">
        <f>IF('CCUS Projects Database'!$W872&lt;&gt;"",HYPERLINK('CCUS Projects Database'!$W872,"Link 6"),"")</f>
        <v/>
      </c>
      <c r="AE872" s="239" t="str">
        <f>IF('CCUS Projects Database'!$X872&lt;&gt;"",HYPERLINK('CCUS Projects Database'!$X872,"Link 7"),"")</f>
        <v/>
      </c>
    </row>
    <row r="873" ht="14.25" customHeight="1">
      <c r="A873" s="233" t="s">
        <v>21712</v>
      </c>
      <c r="B873" s="234">
        <v>1169.0</v>
      </c>
      <c r="C873" s="234" t="s">
        <v>86</v>
      </c>
      <c r="D873" s="235" t="s">
        <v>21713</v>
      </c>
      <c r="E873" s="234" t="s">
        <v>18618</v>
      </c>
      <c r="F873" s="234">
        <v>2024.0</v>
      </c>
      <c r="G873" s="234" t="s">
        <v>18725</v>
      </c>
      <c r="H873" s="234" t="s">
        <v>18725</v>
      </c>
      <c r="I873" s="234" t="s">
        <v>18725</v>
      </c>
      <c r="J873" s="234" t="s">
        <v>18636</v>
      </c>
      <c r="K873" s="236" t="s">
        <v>18725</v>
      </c>
      <c r="L873" s="236" t="s">
        <v>18725</v>
      </c>
      <c r="M873" s="236" t="s">
        <v>18725</v>
      </c>
      <c r="N873" s="234" t="s">
        <v>12270</v>
      </c>
      <c r="O873" s="237" t="s">
        <v>18683</v>
      </c>
      <c r="P873" s="234" t="s">
        <v>18725</v>
      </c>
      <c r="Q873" s="234" t="s">
        <v>18726</v>
      </c>
      <c r="R873" s="238" t="s">
        <v>21714</v>
      </c>
      <c r="S873" s="238" t="s">
        <v>18725</v>
      </c>
      <c r="T873" s="238" t="s">
        <v>18725</v>
      </c>
      <c r="U873" s="238" t="s">
        <v>18725</v>
      </c>
      <c r="V873" s="238" t="s">
        <v>18725</v>
      </c>
      <c r="W873" s="238" t="s">
        <v>18725</v>
      </c>
      <c r="X873" s="238" t="s">
        <v>18725</v>
      </c>
      <c r="Y873" s="239" t="str">
        <f>IF('CCUS Projects Database'!$R873&lt;&gt;"",HYPERLINK('CCUS Projects Database'!$R873,"Link 1"),"")</f>
        <v>Link 1</v>
      </c>
      <c r="Z873" s="239" t="str">
        <f>IF('CCUS Projects Database'!$S873&lt;&gt;"",HYPERLINK('CCUS Projects Database'!$S873,"Link 2"),"")</f>
        <v/>
      </c>
      <c r="AA873" s="239" t="str">
        <f>IF('CCUS Projects Database'!$T873&lt;&gt;"",HYPERLINK('CCUS Projects Database'!$T873,"Link 3"),"")</f>
        <v/>
      </c>
      <c r="AB873" s="239" t="str">
        <f>IF('CCUS Projects Database'!$U873&lt;&gt;"",HYPERLINK('CCUS Projects Database'!$U873,"Link 4"),"")</f>
        <v/>
      </c>
      <c r="AC873" s="239" t="str">
        <f>IF('CCUS Projects Database'!$V873&lt;&gt;"",HYPERLINK('CCUS Projects Database'!$V873,"Link 5"),"")</f>
        <v/>
      </c>
      <c r="AD873" s="239" t="str">
        <f>IF('CCUS Projects Database'!$W873&lt;&gt;"",HYPERLINK('CCUS Projects Database'!$W873,"Link 6"),"")</f>
        <v/>
      </c>
      <c r="AE873" s="239" t="str">
        <f>IF('CCUS Projects Database'!$X873&lt;&gt;"",HYPERLINK('CCUS Projects Database'!$X873,"Link 7"),"")</f>
        <v/>
      </c>
    </row>
    <row r="874" ht="14.25" customHeight="1">
      <c r="A874" s="233" t="s">
        <v>21715</v>
      </c>
      <c r="B874" s="234">
        <v>1170.0</v>
      </c>
      <c r="C874" s="234" t="s">
        <v>18253</v>
      </c>
      <c r="D874" s="235" t="s">
        <v>21716</v>
      </c>
      <c r="E874" s="234" t="s">
        <v>3</v>
      </c>
      <c r="F874" s="234">
        <v>2024.0</v>
      </c>
      <c r="G874" s="234" t="s">
        <v>18725</v>
      </c>
      <c r="H874" s="234" t="s">
        <v>18725</v>
      </c>
      <c r="I874" s="234" t="s">
        <v>18725</v>
      </c>
      <c r="J874" s="234" t="s">
        <v>18636</v>
      </c>
      <c r="K874" s="236">
        <v>2.0</v>
      </c>
      <c r="L874" s="236" t="s">
        <v>18725</v>
      </c>
      <c r="M874" s="236" t="s">
        <v>18725</v>
      </c>
      <c r="N874" s="234" t="s">
        <v>3</v>
      </c>
      <c r="O874" s="237" t="s">
        <v>18683</v>
      </c>
      <c r="P874" s="234" t="s">
        <v>18725</v>
      </c>
      <c r="Q874" s="234" t="s">
        <v>19269</v>
      </c>
      <c r="R874" s="238" t="s">
        <v>21717</v>
      </c>
      <c r="S874" s="238" t="s">
        <v>18725</v>
      </c>
      <c r="T874" s="238" t="s">
        <v>18725</v>
      </c>
      <c r="U874" s="238" t="s">
        <v>18725</v>
      </c>
      <c r="V874" s="238" t="s">
        <v>18725</v>
      </c>
      <c r="W874" s="238" t="s">
        <v>18725</v>
      </c>
      <c r="X874" s="238" t="s">
        <v>18725</v>
      </c>
      <c r="Y874" s="239" t="str">
        <f>IF('CCUS Projects Database'!$R874&lt;&gt;"",HYPERLINK('CCUS Projects Database'!$R874,"Link 1"),"")</f>
        <v>Link 1</v>
      </c>
      <c r="Z874" s="239" t="str">
        <f>IF('CCUS Projects Database'!$S874&lt;&gt;"",HYPERLINK('CCUS Projects Database'!$S874,"Link 2"),"")</f>
        <v/>
      </c>
      <c r="AA874" s="239" t="str">
        <f>IF('CCUS Projects Database'!$T874&lt;&gt;"",HYPERLINK('CCUS Projects Database'!$T874,"Link 3"),"")</f>
        <v/>
      </c>
      <c r="AB874" s="239" t="str">
        <f>IF('CCUS Projects Database'!$U874&lt;&gt;"",HYPERLINK('CCUS Projects Database'!$U874,"Link 4"),"")</f>
        <v/>
      </c>
      <c r="AC874" s="239" t="str">
        <f>IF('CCUS Projects Database'!$V874&lt;&gt;"",HYPERLINK('CCUS Projects Database'!$V874,"Link 5"),"")</f>
        <v/>
      </c>
      <c r="AD874" s="239" t="str">
        <f>IF('CCUS Projects Database'!$W874&lt;&gt;"",HYPERLINK('CCUS Projects Database'!$W874,"Link 6"),"")</f>
        <v/>
      </c>
      <c r="AE874" s="239" t="str">
        <f>IF('CCUS Projects Database'!$X874&lt;&gt;"",HYPERLINK('CCUS Projects Database'!$X874,"Link 7"),"")</f>
        <v/>
      </c>
    </row>
    <row r="875" ht="14.25" customHeight="1">
      <c r="A875" s="233" t="s">
        <v>21718</v>
      </c>
      <c r="B875" s="234">
        <v>1172.0</v>
      </c>
      <c r="C875" s="234" t="s">
        <v>63</v>
      </c>
      <c r="D875" s="235" t="s">
        <v>20196</v>
      </c>
      <c r="E875" s="234" t="s">
        <v>18616</v>
      </c>
      <c r="F875" s="234">
        <v>2022.0</v>
      </c>
      <c r="G875" s="234">
        <v>2022.0</v>
      </c>
      <c r="H875" s="234">
        <v>2025.0</v>
      </c>
      <c r="I875" s="234" t="s">
        <v>18725</v>
      </c>
      <c r="J875" s="234" t="s">
        <v>18638</v>
      </c>
      <c r="K875" s="236">
        <v>2.0</v>
      </c>
      <c r="L875" s="236">
        <v>0.03</v>
      </c>
      <c r="M875" s="236">
        <v>0.03</v>
      </c>
      <c r="N875" s="234" t="s">
        <v>18218</v>
      </c>
      <c r="O875" s="237" t="s">
        <v>18675</v>
      </c>
      <c r="P875" s="234" t="s">
        <v>18725</v>
      </c>
      <c r="Q875" s="234" t="s">
        <v>18726</v>
      </c>
      <c r="R875" s="238" t="s">
        <v>21719</v>
      </c>
      <c r="S875" s="238" t="s">
        <v>18725</v>
      </c>
      <c r="T875" s="238" t="s">
        <v>18725</v>
      </c>
      <c r="U875" s="238" t="s">
        <v>18725</v>
      </c>
      <c r="V875" s="238" t="s">
        <v>18725</v>
      </c>
      <c r="W875" s="238" t="s">
        <v>18725</v>
      </c>
      <c r="X875" s="238" t="s">
        <v>18725</v>
      </c>
      <c r="Y875" s="240" t="str">
        <f>IF('CCUS Projects Database'!$R875&lt;&gt;"",HYPERLINK('CCUS Projects Database'!$R875,"Link 1"),"")</f>
        <v>Link 1</v>
      </c>
      <c r="Z875" s="238" t="str">
        <f>IF('CCUS Projects Database'!$S875&lt;&gt;"",HYPERLINK('CCUS Projects Database'!$S875,"Link 2"),"")</f>
        <v/>
      </c>
      <c r="AA875" s="238" t="str">
        <f>IF('CCUS Projects Database'!$T875&lt;&gt;"",HYPERLINK('CCUS Projects Database'!$T875,"Link 3"),"")</f>
        <v/>
      </c>
      <c r="AB875" s="238" t="str">
        <f>IF('CCUS Projects Database'!$U875&lt;&gt;"",HYPERLINK('CCUS Projects Database'!$U875,"Link 4"),"")</f>
        <v/>
      </c>
      <c r="AC875" s="238" t="str">
        <f>IF('CCUS Projects Database'!$V875&lt;&gt;"",HYPERLINK('CCUS Projects Database'!$V875,"Link 5"),"")</f>
        <v/>
      </c>
      <c r="AD875" s="238" t="str">
        <f>IF('CCUS Projects Database'!$W875&lt;&gt;"",HYPERLINK('CCUS Projects Database'!$W875,"Link 6"),"")</f>
        <v/>
      </c>
      <c r="AE875" s="239" t="str">
        <f>IF('CCUS Projects Database'!$X875&lt;&gt;"",HYPERLINK('CCUS Projects Database'!$X875,"Link 7"),"")</f>
        <v/>
      </c>
    </row>
    <row r="876" ht="14.25" customHeight="1">
      <c r="A876" s="233" t="s">
        <v>21720</v>
      </c>
      <c r="B876" s="234">
        <v>1173.0</v>
      </c>
      <c r="C876" s="234" t="s">
        <v>164</v>
      </c>
      <c r="D876" s="235" t="s">
        <v>19980</v>
      </c>
      <c r="E876" s="234" t="s">
        <v>18616</v>
      </c>
      <c r="F876" s="234">
        <v>2021.0</v>
      </c>
      <c r="G876" s="234" t="s">
        <v>18725</v>
      </c>
      <c r="H876" s="234">
        <v>2026.0</v>
      </c>
      <c r="I876" s="234" t="s">
        <v>18725</v>
      </c>
      <c r="J876" s="234" t="s">
        <v>18638</v>
      </c>
      <c r="K876" s="236" t="s">
        <v>18725</v>
      </c>
      <c r="L876" s="236">
        <v>0.75</v>
      </c>
      <c r="M876" s="236">
        <v>0.75</v>
      </c>
      <c r="N876" s="234" t="s">
        <v>18661</v>
      </c>
      <c r="O876" s="237" t="s">
        <v>18675</v>
      </c>
      <c r="P876" s="238" t="s">
        <v>18783</v>
      </c>
      <c r="Q876" s="234" t="s">
        <v>18726</v>
      </c>
      <c r="R876" s="238" t="s">
        <v>21721</v>
      </c>
      <c r="S876" s="238" t="s">
        <v>18725</v>
      </c>
      <c r="T876" s="238" t="s">
        <v>18725</v>
      </c>
      <c r="U876" s="238" t="s">
        <v>18725</v>
      </c>
      <c r="V876" s="238" t="s">
        <v>18725</v>
      </c>
      <c r="W876" s="238" t="s">
        <v>18725</v>
      </c>
      <c r="X876" s="238" t="s">
        <v>18725</v>
      </c>
      <c r="Y876" s="239" t="str">
        <f>IF('CCUS Projects Database'!$R876&lt;&gt;"",HYPERLINK('CCUS Projects Database'!$R876,"Link 1"),"")</f>
        <v>Link 1</v>
      </c>
      <c r="Z876" s="239" t="str">
        <f>IF('CCUS Projects Database'!$S876&lt;&gt;"",HYPERLINK('CCUS Projects Database'!$S876,"Link 2"),"")</f>
        <v/>
      </c>
      <c r="AA876" s="239" t="str">
        <f>IF('CCUS Projects Database'!$T876&lt;&gt;"",HYPERLINK('CCUS Projects Database'!$T876,"Link 3"),"")</f>
        <v/>
      </c>
      <c r="AB876" s="239" t="str">
        <f>IF('CCUS Projects Database'!$U876&lt;&gt;"",HYPERLINK('CCUS Projects Database'!$U876,"Link 4"),"")</f>
        <v/>
      </c>
      <c r="AC876" s="239" t="str">
        <f>IF('CCUS Projects Database'!$V876&lt;&gt;"",HYPERLINK('CCUS Projects Database'!$V876,"Link 5"),"")</f>
        <v/>
      </c>
      <c r="AD876" s="239" t="str">
        <f>IF('CCUS Projects Database'!$W876&lt;&gt;"",HYPERLINK('CCUS Projects Database'!$W876,"Link 6"),"")</f>
        <v/>
      </c>
      <c r="AE876" s="239" t="str">
        <f>IF('CCUS Projects Database'!$X876&lt;&gt;"",HYPERLINK('CCUS Projects Database'!$X876,"Link 7"),"")</f>
        <v/>
      </c>
    </row>
    <row r="877" ht="14.25" customHeight="1">
      <c r="A877" s="233" t="s">
        <v>21722</v>
      </c>
      <c r="B877" s="234">
        <v>1176.0</v>
      </c>
      <c r="C877" s="234" t="s">
        <v>18586</v>
      </c>
      <c r="D877" s="235" t="s">
        <v>21723</v>
      </c>
      <c r="E877" s="234" t="s">
        <v>18620</v>
      </c>
      <c r="F877" s="234">
        <v>2024.0</v>
      </c>
      <c r="G877" s="234" t="s">
        <v>18725</v>
      </c>
      <c r="H877" s="234" t="s">
        <v>18725</v>
      </c>
      <c r="I877" s="234" t="s">
        <v>18725</v>
      </c>
      <c r="J877" s="234" t="s">
        <v>18636</v>
      </c>
      <c r="K877" s="236" t="s">
        <v>18725</v>
      </c>
      <c r="L877" s="236">
        <v>0.8</v>
      </c>
      <c r="M877" s="236">
        <v>0.8</v>
      </c>
      <c r="N877" s="234" t="s">
        <v>18620</v>
      </c>
      <c r="O877" s="237" t="s">
        <v>18683</v>
      </c>
      <c r="P877" s="234" t="s">
        <v>18725</v>
      </c>
      <c r="Q877" s="234" t="s">
        <v>18732</v>
      </c>
      <c r="R877" s="238" t="s">
        <v>21724</v>
      </c>
      <c r="S877" s="238" t="s">
        <v>18725</v>
      </c>
      <c r="T877" s="238" t="s">
        <v>18725</v>
      </c>
      <c r="U877" s="238" t="s">
        <v>18725</v>
      </c>
      <c r="V877" s="238" t="s">
        <v>18725</v>
      </c>
      <c r="W877" s="238" t="s">
        <v>18725</v>
      </c>
      <c r="X877" s="238" t="s">
        <v>18725</v>
      </c>
      <c r="Y877" s="239" t="str">
        <f>IF('CCUS Projects Database'!$R877&lt;&gt;"",HYPERLINK('CCUS Projects Database'!$R877,"Link 1"),"")</f>
        <v>Link 1</v>
      </c>
      <c r="Z877" s="239" t="str">
        <f>IF('CCUS Projects Database'!$S877&lt;&gt;"",HYPERLINK('CCUS Projects Database'!$S877,"Link 2"),"")</f>
        <v/>
      </c>
      <c r="AA877" s="239" t="str">
        <f>IF('CCUS Projects Database'!$T877&lt;&gt;"",HYPERLINK('CCUS Projects Database'!$T877,"Link 3"),"")</f>
        <v/>
      </c>
      <c r="AB877" s="239" t="str">
        <f>IF('CCUS Projects Database'!$U877&lt;&gt;"",HYPERLINK('CCUS Projects Database'!$U877,"Link 4"),"")</f>
        <v/>
      </c>
      <c r="AC877" s="239" t="str">
        <f>IF('CCUS Projects Database'!$V877&lt;&gt;"",HYPERLINK('CCUS Projects Database'!$V877,"Link 5"),"")</f>
        <v/>
      </c>
      <c r="AD877" s="239" t="str">
        <f>IF('CCUS Projects Database'!$W877&lt;&gt;"",HYPERLINK('CCUS Projects Database'!$W877,"Link 6"),"")</f>
        <v/>
      </c>
      <c r="AE877" s="239" t="str">
        <f>IF('CCUS Projects Database'!$X877&lt;&gt;"",HYPERLINK('CCUS Projects Database'!$X877,"Link 7"),"")</f>
        <v/>
      </c>
    </row>
    <row r="878" ht="14.25" customHeight="1">
      <c r="A878" s="233" t="s">
        <v>21725</v>
      </c>
      <c r="B878" s="234">
        <v>1178.0</v>
      </c>
      <c r="C878" s="234" t="s">
        <v>12296</v>
      </c>
      <c r="D878" s="235" t="s">
        <v>21726</v>
      </c>
      <c r="E878" s="234" t="s">
        <v>18620</v>
      </c>
      <c r="F878" s="234">
        <v>2024.0</v>
      </c>
      <c r="G878" s="234" t="s">
        <v>18725</v>
      </c>
      <c r="H878" s="234">
        <v>2026.0</v>
      </c>
      <c r="I878" s="234" t="s">
        <v>18725</v>
      </c>
      <c r="J878" s="234" t="s">
        <v>18636</v>
      </c>
      <c r="K878" s="236" t="s">
        <v>18725</v>
      </c>
      <c r="L878" s="236" t="s">
        <v>18725</v>
      </c>
      <c r="M878" s="236" t="s">
        <v>18725</v>
      </c>
      <c r="N878" s="234" t="s">
        <v>18620</v>
      </c>
      <c r="O878" s="237" t="s">
        <v>18683</v>
      </c>
      <c r="P878" s="234" t="s">
        <v>18725</v>
      </c>
      <c r="Q878" s="234" t="s">
        <v>12296</v>
      </c>
      <c r="R878" s="238" t="s">
        <v>21727</v>
      </c>
      <c r="S878" s="238" t="s">
        <v>18725</v>
      </c>
      <c r="T878" s="238" t="s">
        <v>18725</v>
      </c>
      <c r="U878" s="238" t="s">
        <v>18725</v>
      </c>
      <c r="V878" s="238" t="s">
        <v>18725</v>
      </c>
      <c r="W878" s="238" t="s">
        <v>18725</v>
      </c>
      <c r="X878" s="238" t="s">
        <v>18725</v>
      </c>
      <c r="Y878" s="239" t="str">
        <f>IF('CCUS Projects Database'!$R878&lt;&gt;"",HYPERLINK('CCUS Projects Database'!$R878,"Link 1"),"")</f>
        <v>Link 1</v>
      </c>
      <c r="Z878" s="239" t="str">
        <f>IF('CCUS Projects Database'!$S878&lt;&gt;"",HYPERLINK('CCUS Projects Database'!$S878,"Link 2"),"")</f>
        <v/>
      </c>
      <c r="AA878" s="239" t="str">
        <f>IF('CCUS Projects Database'!$T878&lt;&gt;"",HYPERLINK('CCUS Projects Database'!$T878,"Link 3"),"")</f>
        <v/>
      </c>
      <c r="AB878" s="239" t="str">
        <f>IF('CCUS Projects Database'!$U878&lt;&gt;"",HYPERLINK('CCUS Projects Database'!$U878,"Link 4"),"")</f>
        <v/>
      </c>
      <c r="AC878" s="239" t="str">
        <f>IF('CCUS Projects Database'!$V878&lt;&gt;"",HYPERLINK('CCUS Projects Database'!$V878,"Link 5"),"")</f>
        <v/>
      </c>
      <c r="AD878" s="239" t="str">
        <f>IF('CCUS Projects Database'!$W878&lt;&gt;"",HYPERLINK('CCUS Projects Database'!$W878,"Link 6"),"")</f>
        <v/>
      </c>
      <c r="AE878" s="239" t="str">
        <f>IF('CCUS Projects Database'!$X878&lt;&gt;"",HYPERLINK('CCUS Projects Database'!$X878,"Link 7"),"")</f>
        <v/>
      </c>
    </row>
    <row r="879" ht="14.25" customHeight="1">
      <c r="A879" s="233" t="s">
        <v>21728</v>
      </c>
      <c r="B879" s="234">
        <v>1179.0</v>
      </c>
      <c r="C879" s="234" t="s">
        <v>21729</v>
      </c>
      <c r="D879" s="235" t="s">
        <v>21730</v>
      </c>
      <c r="E879" s="234" t="s">
        <v>18620</v>
      </c>
      <c r="F879" s="234">
        <v>2024.0</v>
      </c>
      <c r="G879" s="234">
        <v>2026.0</v>
      </c>
      <c r="H879" s="234" t="s">
        <v>18725</v>
      </c>
      <c r="I879" s="234" t="s">
        <v>18725</v>
      </c>
      <c r="J879" s="234" t="s">
        <v>18636</v>
      </c>
      <c r="K879" s="236" t="s">
        <v>18725</v>
      </c>
      <c r="L879" s="236" t="s">
        <v>21731</v>
      </c>
      <c r="M879" s="236">
        <v>18.0</v>
      </c>
      <c r="N879" s="234" t="s">
        <v>18620</v>
      </c>
      <c r="O879" s="237" t="s">
        <v>18675</v>
      </c>
      <c r="P879" s="234" t="s">
        <v>18725</v>
      </c>
      <c r="Q879" s="234" t="s">
        <v>18726</v>
      </c>
      <c r="R879" s="238" t="s">
        <v>21732</v>
      </c>
      <c r="S879" s="238" t="s">
        <v>21733</v>
      </c>
      <c r="T879" s="238" t="s">
        <v>18725</v>
      </c>
      <c r="U879" s="238" t="s">
        <v>18725</v>
      </c>
      <c r="V879" s="238" t="s">
        <v>18725</v>
      </c>
      <c r="W879" s="238" t="s">
        <v>18725</v>
      </c>
      <c r="X879" s="238" t="s">
        <v>18725</v>
      </c>
      <c r="Y879" s="239" t="str">
        <f>IF('CCUS Projects Database'!$R879&lt;&gt;"",HYPERLINK('CCUS Projects Database'!$R879,"Link 1"),"")</f>
        <v>Link 1</v>
      </c>
      <c r="Z879" s="239" t="str">
        <f>IF('CCUS Projects Database'!$S879&lt;&gt;"",HYPERLINK('CCUS Projects Database'!$S879,"Link 2"),"")</f>
        <v>Link 2</v>
      </c>
      <c r="AA879" s="239" t="str">
        <f>IF('CCUS Projects Database'!$T879&lt;&gt;"",HYPERLINK('CCUS Projects Database'!$T879,"Link 3"),"")</f>
        <v/>
      </c>
      <c r="AB879" s="239" t="str">
        <f>IF('CCUS Projects Database'!$U879&lt;&gt;"",HYPERLINK('CCUS Projects Database'!$U879,"Link 4"),"")</f>
        <v/>
      </c>
      <c r="AC879" s="239" t="str">
        <f>IF('CCUS Projects Database'!$V879&lt;&gt;"",HYPERLINK('CCUS Projects Database'!$V879,"Link 5"),"")</f>
        <v/>
      </c>
      <c r="AD879" s="239" t="str">
        <f>IF('CCUS Projects Database'!$W879&lt;&gt;"",HYPERLINK('CCUS Projects Database'!$W879,"Link 6"),"")</f>
        <v/>
      </c>
      <c r="AE879" s="239" t="str">
        <f>IF('CCUS Projects Database'!$X879&lt;&gt;"",HYPERLINK('CCUS Projects Database'!$X879,"Link 7"),"")</f>
        <v/>
      </c>
    </row>
    <row r="880" ht="14.25" customHeight="1">
      <c r="A880" s="233" t="s">
        <v>21734</v>
      </c>
      <c r="B880" s="234">
        <v>1180.0</v>
      </c>
      <c r="C880" s="234" t="s">
        <v>197</v>
      </c>
      <c r="D880" s="235" t="s">
        <v>21735</v>
      </c>
      <c r="E880" s="234" t="s">
        <v>18618</v>
      </c>
      <c r="F880" s="234">
        <v>2024.0</v>
      </c>
      <c r="G880" s="234" t="s">
        <v>18725</v>
      </c>
      <c r="H880" s="234">
        <v>2028.0</v>
      </c>
      <c r="I880" s="234" t="s">
        <v>18725</v>
      </c>
      <c r="J880" s="234" t="s">
        <v>18636</v>
      </c>
      <c r="K880" s="236" t="s">
        <v>18725</v>
      </c>
      <c r="L880" s="236" t="s">
        <v>18725</v>
      </c>
      <c r="M880" s="236" t="s">
        <v>18725</v>
      </c>
      <c r="N880" s="234" t="s">
        <v>18218</v>
      </c>
      <c r="O880" s="237" t="s">
        <v>18675</v>
      </c>
      <c r="P880" s="234" t="s">
        <v>19222</v>
      </c>
      <c r="Q880" s="234" t="s">
        <v>18726</v>
      </c>
      <c r="R880" s="238" t="s">
        <v>21736</v>
      </c>
      <c r="S880" s="238" t="s">
        <v>18725</v>
      </c>
      <c r="T880" s="238" t="s">
        <v>18725</v>
      </c>
      <c r="U880" s="238" t="s">
        <v>18725</v>
      </c>
      <c r="V880" s="238" t="s">
        <v>18725</v>
      </c>
      <c r="W880" s="238" t="s">
        <v>18725</v>
      </c>
      <c r="X880" s="238" t="s">
        <v>18725</v>
      </c>
      <c r="Y880" s="239" t="str">
        <f>IF('CCUS Projects Database'!$R880&lt;&gt;"",HYPERLINK('CCUS Projects Database'!$R880,"Link 1"),"")</f>
        <v>Link 1</v>
      </c>
      <c r="Z880" s="239" t="str">
        <f>IF('CCUS Projects Database'!$S880&lt;&gt;"",HYPERLINK('CCUS Projects Database'!$S880,"Link 2"),"")</f>
        <v/>
      </c>
      <c r="AA880" s="239" t="str">
        <f>IF('CCUS Projects Database'!$T880&lt;&gt;"",HYPERLINK('CCUS Projects Database'!$T880,"Link 3"),"")</f>
        <v/>
      </c>
      <c r="AB880" s="239" t="str">
        <f>IF('CCUS Projects Database'!$U880&lt;&gt;"",HYPERLINK('CCUS Projects Database'!$U880,"Link 4"),"")</f>
        <v/>
      </c>
      <c r="AC880" s="239" t="str">
        <f>IF('CCUS Projects Database'!$V880&lt;&gt;"",HYPERLINK('CCUS Projects Database'!$V880,"Link 5"),"")</f>
        <v/>
      </c>
      <c r="AD880" s="239" t="str">
        <f>IF('CCUS Projects Database'!$W880&lt;&gt;"",HYPERLINK('CCUS Projects Database'!$W880,"Link 6"),"")</f>
        <v/>
      </c>
      <c r="AE880" s="239" t="str">
        <f>IF('CCUS Projects Database'!$X880&lt;&gt;"",HYPERLINK('CCUS Projects Database'!$X880,"Link 7"),"")</f>
        <v/>
      </c>
    </row>
    <row r="881" ht="14.25" customHeight="1">
      <c r="A881" s="233" t="s">
        <v>21737</v>
      </c>
      <c r="B881" s="234">
        <v>1181.0</v>
      </c>
      <c r="C881" s="234" t="s">
        <v>18264</v>
      </c>
      <c r="D881" s="235" t="s">
        <v>21738</v>
      </c>
      <c r="E881" s="234" t="s">
        <v>18618</v>
      </c>
      <c r="F881" s="234">
        <v>2024.0</v>
      </c>
      <c r="G881" s="234">
        <v>2025.0</v>
      </c>
      <c r="H881" s="234">
        <v>2027.0</v>
      </c>
      <c r="I881" s="234" t="s">
        <v>18725</v>
      </c>
      <c r="J881" s="234" t="s">
        <v>18192</v>
      </c>
      <c r="K881" s="236" t="s">
        <v>18725</v>
      </c>
      <c r="L881" s="236">
        <v>0.1</v>
      </c>
      <c r="M881" s="236">
        <v>0.1</v>
      </c>
      <c r="N881" s="234" t="s">
        <v>18654</v>
      </c>
      <c r="O881" s="237" t="s">
        <v>18683</v>
      </c>
      <c r="P881" s="234" t="s">
        <v>18725</v>
      </c>
      <c r="Q881" s="234" t="s">
        <v>18732</v>
      </c>
      <c r="R881" s="238" t="s">
        <v>21739</v>
      </c>
      <c r="S881" s="238" t="s">
        <v>18725</v>
      </c>
      <c r="T881" s="238" t="s">
        <v>18725</v>
      </c>
      <c r="U881" s="238" t="s">
        <v>18725</v>
      </c>
      <c r="V881" s="238" t="s">
        <v>18725</v>
      </c>
      <c r="W881" s="238" t="s">
        <v>18725</v>
      </c>
      <c r="X881" s="238" t="s">
        <v>18725</v>
      </c>
      <c r="Y881" s="239" t="str">
        <f>IF('CCUS Projects Database'!$R881&lt;&gt;"",HYPERLINK('CCUS Projects Database'!$R881,"Link 1"),"")</f>
        <v>Link 1</v>
      </c>
      <c r="Z881" s="239" t="str">
        <f>IF('CCUS Projects Database'!$S881&lt;&gt;"",HYPERLINK('CCUS Projects Database'!$S881,"Link 2"),"")</f>
        <v/>
      </c>
      <c r="AA881" s="239" t="str">
        <f>IF('CCUS Projects Database'!$T881&lt;&gt;"",HYPERLINK('CCUS Projects Database'!$T881,"Link 3"),"")</f>
        <v/>
      </c>
      <c r="AB881" s="239" t="str">
        <f>IF('CCUS Projects Database'!$U881&lt;&gt;"",HYPERLINK('CCUS Projects Database'!$U881,"Link 4"),"")</f>
        <v/>
      </c>
      <c r="AC881" s="239" t="str">
        <f>IF('CCUS Projects Database'!$V881&lt;&gt;"",HYPERLINK('CCUS Projects Database'!$V881,"Link 5"),"")</f>
        <v/>
      </c>
      <c r="AD881" s="239" t="str">
        <f>IF('CCUS Projects Database'!$W881&lt;&gt;"",HYPERLINK('CCUS Projects Database'!$W881,"Link 6"),"")</f>
        <v/>
      </c>
      <c r="AE881" s="239" t="str">
        <f>IF('CCUS Projects Database'!$X881&lt;&gt;"",HYPERLINK('CCUS Projects Database'!$X881,"Link 7"),"")</f>
        <v/>
      </c>
    </row>
    <row r="882" ht="14.25" customHeight="1">
      <c r="A882" s="233" t="s">
        <v>21740</v>
      </c>
      <c r="B882" s="234">
        <v>1182.0</v>
      </c>
      <c r="C882" s="234" t="s">
        <v>75</v>
      </c>
      <c r="D882" s="235" t="s">
        <v>21741</v>
      </c>
      <c r="E882" s="234" t="s">
        <v>18618</v>
      </c>
      <c r="F882" s="234">
        <v>2024.0</v>
      </c>
      <c r="G882" s="234" t="s">
        <v>18725</v>
      </c>
      <c r="H882" s="234" t="s">
        <v>18725</v>
      </c>
      <c r="I882" s="234" t="s">
        <v>18725</v>
      </c>
      <c r="J882" s="234" t="s">
        <v>18636</v>
      </c>
      <c r="K882" s="236" t="s">
        <v>18725</v>
      </c>
      <c r="L882" s="236">
        <v>4.0</v>
      </c>
      <c r="M882" s="236">
        <v>4.0</v>
      </c>
      <c r="N882" s="234" t="s">
        <v>103</v>
      </c>
      <c r="O882" s="237" t="s">
        <v>18683</v>
      </c>
      <c r="P882" s="234" t="s">
        <v>18725</v>
      </c>
      <c r="Q882" s="234" t="s">
        <v>18726</v>
      </c>
      <c r="R882" s="238" t="s">
        <v>21742</v>
      </c>
      <c r="S882" s="238" t="s">
        <v>21743</v>
      </c>
      <c r="T882" s="238" t="s">
        <v>18725</v>
      </c>
      <c r="U882" s="238" t="s">
        <v>18725</v>
      </c>
      <c r="V882" s="238" t="s">
        <v>18725</v>
      </c>
      <c r="W882" s="238" t="s">
        <v>18725</v>
      </c>
      <c r="X882" s="238" t="s">
        <v>18725</v>
      </c>
      <c r="Y882" s="239" t="str">
        <f>IF('CCUS Projects Database'!$R882&lt;&gt;"",HYPERLINK('CCUS Projects Database'!$R882,"Link 1"),"")</f>
        <v>Link 1</v>
      </c>
      <c r="Z882" s="239" t="str">
        <f>IF('CCUS Projects Database'!$S882&lt;&gt;"",HYPERLINK('CCUS Projects Database'!$S882,"Link 2"),"")</f>
        <v>Link 2</v>
      </c>
      <c r="AA882" s="239" t="str">
        <f>IF('CCUS Projects Database'!$T882&lt;&gt;"",HYPERLINK('CCUS Projects Database'!$T882,"Link 3"),"")</f>
        <v/>
      </c>
      <c r="AB882" s="239" t="str">
        <f>IF('CCUS Projects Database'!$U882&lt;&gt;"",HYPERLINK('CCUS Projects Database'!$U882,"Link 4"),"")</f>
        <v/>
      </c>
      <c r="AC882" s="239" t="str">
        <f>IF('CCUS Projects Database'!$V882&lt;&gt;"",HYPERLINK('CCUS Projects Database'!$V882,"Link 5"),"")</f>
        <v/>
      </c>
      <c r="AD882" s="239" t="str">
        <f>IF('CCUS Projects Database'!$W882&lt;&gt;"",HYPERLINK('CCUS Projects Database'!$W882,"Link 6"),"")</f>
        <v/>
      </c>
      <c r="AE882" s="239" t="str">
        <f>IF('CCUS Projects Database'!$X882&lt;&gt;"",HYPERLINK('CCUS Projects Database'!$X882,"Link 7"),"")</f>
        <v/>
      </c>
    </row>
    <row r="883" ht="14.25" customHeight="1">
      <c r="A883" s="233" t="s">
        <v>21744</v>
      </c>
      <c r="B883" s="234">
        <v>1184.0</v>
      </c>
      <c r="C883" s="234" t="s">
        <v>18264</v>
      </c>
      <c r="D883" s="235" t="s">
        <v>21745</v>
      </c>
      <c r="E883" s="234" t="s">
        <v>18616</v>
      </c>
      <c r="F883" s="234">
        <v>2024.0</v>
      </c>
      <c r="G883" s="234" t="s">
        <v>18725</v>
      </c>
      <c r="H883" s="234" t="s">
        <v>18725</v>
      </c>
      <c r="I883" s="234" t="s">
        <v>18725</v>
      </c>
      <c r="J883" s="234" t="s">
        <v>18636</v>
      </c>
      <c r="K883" s="236">
        <v>2.0</v>
      </c>
      <c r="L883" s="236">
        <v>2.0</v>
      </c>
      <c r="M883" s="236">
        <v>2.0</v>
      </c>
      <c r="N883" s="234" t="s">
        <v>18661</v>
      </c>
      <c r="O883" s="237" t="s">
        <v>18675</v>
      </c>
      <c r="P883" s="234" t="s">
        <v>18725</v>
      </c>
      <c r="Q883" s="234" t="s">
        <v>18732</v>
      </c>
      <c r="R883" s="238" t="s">
        <v>21746</v>
      </c>
      <c r="S883" s="238" t="s">
        <v>18725</v>
      </c>
      <c r="T883" s="238" t="s">
        <v>18725</v>
      </c>
      <c r="U883" s="238" t="s">
        <v>18725</v>
      </c>
      <c r="V883" s="238" t="s">
        <v>18725</v>
      </c>
      <c r="W883" s="238" t="s">
        <v>18725</v>
      </c>
      <c r="X883" s="238" t="s">
        <v>18725</v>
      </c>
      <c r="Y883" s="239" t="str">
        <f>IF('CCUS Projects Database'!$R883&lt;&gt;"",HYPERLINK('CCUS Projects Database'!$R883,"Link 1"),"")</f>
        <v>Link 1</v>
      </c>
      <c r="Z883" s="239" t="str">
        <f>IF('CCUS Projects Database'!$S883&lt;&gt;"",HYPERLINK('CCUS Projects Database'!$S883,"Link 2"),"")</f>
        <v/>
      </c>
      <c r="AA883" s="239" t="str">
        <f>IF('CCUS Projects Database'!$T883&lt;&gt;"",HYPERLINK('CCUS Projects Database'!$T883,"Link 3"),"")</f>
        <v/>
      </c>
      <c r="AB883" s="239" t="str">
        <f>IF('CCUS Projects Database'!$U883&lt;&gt;"",HYPERLINK('CCUS Projects Database'!$U883,"Link 4"),"")</f>
        <v/>
      </c>
      <c r="AC883" s="239" t="str">
        <f>IF('CCUS Projects Database'!$V883&lt;&gt;"",HYPERLINK('CCUS Projects Database'!$V883,"Link 5"),"")</f>
        <v/>
      </c>
      <c r="AD883" s="239" t="str">
        <f>IF('CCUS Projects Database'!$W883&lt;&gt;"",HYPERLINK('CCUS Projects Database'!$W883,"Link 6"),"")</f>
        <v/>
      </c>
      <c r="AE883" s="239" t="str">
        <f>IF('CCUS Projects Database'!$X883&lt;&gt;"",HYPERLINK('CCUS Projects Database'!$X883,"Link 7"),"")</f>
        <v/>
      </c>
    </row>
    <row r="884" ht="14.25" customHeight="1">
      <c r="A884" s="233" t="s">
        <v>21747</v>
      </c>
      <c r="B884" s="234">
        <v>1185.0</v>
      </c>
      <c r="C884" s="234" t="s">
        <v>18264</v>
      </c>
      <c r="D884" s="235" t="s">
        <v>21748</v>
      </c>
      <c r="E884" s="234" t="s">
        <v>18616</v>
      </c>
      <c r="F884" s="234">
        <v>2024.0</v>
      </c>
      <c r="G884" s="234" t="s">
        <v>18725</v>
      </c>
      <c r="H884" s="234" t="s">
        <v>18725</v>
      </c>
      <c r="I884" s="234" t="s">
        <v>18725</v>
      </c>
      <c r="J884" s="234" t="s">
        <v>18636</v>
      </c>
      <c r="K884" s="236" t="s">
        <v>18725</v>
      </c>
      <c r="L884" s="236">
        <v>0.146</v>
      </c>
      <c r="M884" s="236">
        <v>0.146</v>
      </c>
      <c r="N884" s="234" t="s">
        <v>677</v>
      </c>
      <c r="O884" s="237" t="s">
        <v>19033</v>
      </c>
      <c r="P884" s="234" t="s">
        <v>18725</v>
      </c>
      <c r="Q884" s="234" t="s">
        <v>18732</v>
      </c>
      <c r="R884" s="238" t="s">
        <v>21749</v>
      </c>
      <c r="S884" s="238" t="s">
        <v>18725</v>
      </c>
      <c r="T884" s="238" t="s">
        <v>18725</v>
      </c>
      <c r="U884" s="238" t="s">
        <v>18725</v>
      </c>
      <c r="V884" s="238" t="s">
        <v>18725</v>
      </c>
      <c r="W884" s="238" t="s">
        <v>18725</v>
      </c>
      <c r="X884" s="238" t="s">
        <v>18725</v>
      </c>
      <c r="Y884" s="239" t="str">
        <f>IF('CCUS Projects Database'!$R884&lt;&gt;"",HYPERLINK('CCUS Projects Database'!$R884,"Link 1"),"")</f>
        <v>Link 1</v>
      </c>
      <c r="Z884" s="239" t="str">
        <f>IF('CCUS Projects Database'!$S884&lt;&gt;"",HYPERLINK('CCUS Projects Database'!$S884,"Link 2"),"")</f>
        <v/>
      </c>
      <c r="AA884" s="239" t="str">
        <f>IF('CCUS Projects Database'!$T884&lt;&gt;"",HYPERLINK('CCUS Projects Database'!$T884,"Link 3"),"")</f>
        <v/>
      </c>
      <c r="AB884" s="239" t="str">
        <f>IF('CCUS Projects Database'!$U884&lt;&gt;"",HYPERLINK('CCUS Projects Database'!$U884,"Link 4"),"")</f>
        <v/>
      </c>
      <c r="AC884" s="239" t="str">
        <f>IF('CCUS Projects Database'!$V884&lt;&gt;"",HYPERLINK('CCUS Projects Database'!$V884,"Link 5"),"")</f>
        <v/>
      </c>
      <c r="AD884" s="239" t="str">
        <f>IF('CCUS Projects Database'!$W884&lt;&gt;"",HYPERLINK('CCUS Projects Database'!$W884,"Link 6"),"")</f>
        <v/>
      </c>
      <c r="AE884" s="239" t="str">
        <f>IF('CCUS Projects Database'!$X884&lt;&gt;"",HYPERLINK('CCUS Projects Database'!$X884,"Link 7"),"")</f>
        <v/>
      </c>
    </row>
    <row r="885" ht="14.25" customHeight="1">
      <c r="A885" s="233" t="s">
        <v>21750</v>
      </c>
      <c r="B885" s="234">
        <v>1186.0</v>
      </c>
      <c r="C885" s="234" t="s">
        <v>75</v>
      </c>
      <c r="D885" s="235" t="s">
        <v>21751</v>
      </c>
      <c r="E885" s="234" t="s">
        <v>18625</v>
      </c>
      <c r="F885" s="234">
        <v>2024.0</v>
      </c>
      <c r="G885" s="234" t="s">
        <v>18725</v>
      </c>
      <c r="H885" s="234" t="s">
        <v>18725</v>
      </c>
      <c r="I885" s="234" t="s">
        <v>18725</v>
      </c>
      <c r="J885" s="234" t="s">
        <v>18636</v>
      </c>
      <c r="K885" s="236" t="s">
        <v>18725</v>
      </c>
      <c r="L885" s="236" t="s">
        <v>18725</v>
      </c>
      <c r="M885" s="236" t="s">
        <v>18725</v>
      </c>
      <c r="N885" s="234" t="s">
        <v>18654</v>
      </c>
      <c r="O885" s="237" t="s">
        <v>18679</v>
      </c>
      <c r="P885" s="234" t="s">
        <v>18725</v>
      </c>
      <c r="Q885" s="234" t="s">
        <v>18726</v>
      </c>
      <c r="R885" s="238" t="s">
        <v>21752</v>
      </c>
      <c r="S885" s="238" t="s">
        <v>18725</v>
      </c>
      <c r="T885" s="238" t="s">
        <v>18725</v>
      </c>
      <c r="U885" s="238" t="s">
        <v>18725</v>
      </c>
      <c r="V885" s="238" t="s">
        <v>18725</v>
      </c>
      <c r="W885" s="238" t="s">
        <v>18725</v>
      </c>
      <c r="X885" s="238" t="s">
        <v>18725</v>
      </c>
      <c r="Y885" s="239" t="str">
        <f>IF('CCUS Projects Database'!$R885&lt;&gt;"",HYPERLINK('CCUS Projects Database'!$R885,"Link 1"),"")</f>
        <v>Link 1</v>
      </c>
      <c r="Z885" s="239" t="str">
        <f>IF('CCUS Projects Database'!$S885&lt;&gt;"",HYPERLINK('CCUS Projects Database'!$S885,"Link 2"),"")</f>
        <v/>
      </c>
      <c r="AA885" s="239" t="str">
        <f>IF('CCUS Projects Database'!$T885&lt;&gt;"",HYPERLINK('CCUS Projects Database'!$T885,"Link 3"),"")</f>
        <v/>
      </c>
      <c r="AB885" s="239" t="str">
        <f>IF('CCUS Projects Database'!$U885&lt;&gt;"",HYPERLINK('CCUS Projects Database'!$U885,"Link 4"),"")</f>
        <v/>
      </c>
      <c r="AC885" s="239" t="str">
        <f>IF('CCUS Projects Database'!$V885&lt;&gt;"",HYPERLINK('CCUS Projects Database'!$V885,"Link 5"),"")</f>
        <v/>
      </c>
      <c r="AD885" s="239" t="str">
        <f>IF('CCUS Projects Database'!$W885&lt;&gt;"",HYPERLINK('CCUS Projects Database'!$W885,"Link 6"),"")</f>
        <v/>
      </c>
      <c r="AE885" s="239" t="str">
        <f>IF('CCUS Projects Database'!$X885&lt;&gt;"",HYPERLINK('CCUS Projects Database'!$X885,"Link 7"),"")</f>
        <v/>
      </c>
    </row>
    <row r="886" ht="14.25" customHeight="1">
      <c r="A886" s="233" t="s">
        <v>21753</v>
      </c>
      <c r="B886" s="234">
        <v>1187.0</v>
      </c>
      <c r="C886" s="234" t="s">
        <v>83</v>
      </c>
      <c r="D886" s="235" t="s">
        <v>21754</v>
      </c>
      <c r="E886" s="234" t="s">
        <v>18620</v>
      </c>
      <c r="F886" s="234">
        <v>2024.0</v>
      </c>
      <c r="G886" s="234" t="s">
        <v>18725</v>
      </c>
      <c r="H886" s="234" t="s">
        <v>18725</v>
      </c>
      <c r="I886" s="234" t="s">
        <v>18725</v>
      </c>
      <c r="J886" s="234" t="s">
        <v>18636</v>
      </c>
      <c r="K886" s="236" t="s">
        <v>18725</v>
      </c>
      <c r="L886" s="236" t="s">
        <v>18725</v>
      </c>
      <c r="M886" s="236" t="s">
        <v>18725</v>
      </c>
      <c r="N886" s="234" t="s">
        <v>18620</v>
      </c>
      <c r="O886" s="237" t="s">
        <v>18675</v>
      </c>
      <c r="P886" s="234" t="s">
        <v>18725</v>
      </c>
      <c r="Q886" s="234" t="s">
        <v>18726</v>
      </c>
      <c r="R886" s="238" t="s">
        <v>21755</v>
      </c>
      <c r="S886" s="238" t="s">
        <v>18725</v>
      </c>
      <c r="T886" s="238" t="s">
        <v>18725</v>
      </c>
      <c r="U886" s="238" t="s">
        <v>18725</v>
      </c>
      <c r="V886" s="238" t="s">
        <v>18725</v>
      </c>
      <c r="W886" s="238" t="s">
        <v>18725</v>
      </c>
      <c r="X886" s="238" t="s">
        <v>18725</v>
      </c>
      <c r="Y886" s="239" t="str">
        <f>IF('CCUS Projects Database'!$R886&lt;&gt;"",HYPERLINK('CCUS Projects Database'!$R886,"Link 1"),"")</f>
        <v>Link 1</v>
      </c>
      <c r="Z886" s="239" t="str">
        <f>IF('CCUS Projects Database'!$S886&lt;&gt;"",HYPERLINK('CCUS Projects Database'!$S886,"Link 2"),"")</f>
        <v/>
      </c>
      <c r="AA886" s="239" t="str">
        <f>IF('CCUS Projects Database'!$T886&lt;&gt;"",HYPERLINK('CCUS Projects Database'!$T886,"Link 3"),"")</f>
        <v/>
      </c>
      <c r="AB886" s="239" t="str">
        <f>IF('CCUS Projects Database'!$U886&lt;&gt;"",HYPERLINK('CCUS Projects Database'!$U886,"Link 4"),"")</f>
        <v/>
      </c>
      <c r="AC886" s="239" t="str">
        <f>IF('CCUS Projects Database'!$V886&lt;&gt;"",HYPERLINK('CCUS Projects Database'!$V886,"Link 5"),"")</f>
        <v/>
      </c>
      <c r="AD886" s="239" t="str">
        <f>IF('CCUS Projects Database'!$W886&lt;&gt;"",HYPERLINK('CCUS Projects Database'!$W886,"Link 6"),"")</f>
        <v/>
      </c>
      <c r="AE886" s="239" t="str">
        <f>IF('CCUS Projects Database'!$X886&lt;&gt;"",HYPERLINK('CCUS Projects Database'!$X886,"Link 7"),"")</f>
        <v/>
      </c>
    </row>
    <row r="887" ht="14.25" customHeight="1">
      <c r="A887" s="233" t="s">
        <v>21756</v>
      </c>
      <c r="B887" s="234">
        <v>1188.0</v>
      </c>
      <c r="C887" s="234" t="s">
        <v>18329</v>
      </c>
      <c r="D887" s="235" t="s">
        <v>21757</v>
      </c>
      <c r="E887" s="234" t="s">
        <v>18620</v>
      </c>
      <c r="F887" s="234">
        <v>2024.0</v>
      </c>
      <c r="G887" s="234" t="s">
        <v>18725</v>
      </c>
      <c r="H887" s="234" t="s">
        <v>18725</v>
      </c>
      <c r="I887" s="234" t="s">
        <v>18725</v>
      </c>
      <c r="J887" s="234" t="s">
        <v>18636</v>
      </c>
      <c r="K887" s="236" t="s">
        <v>18725</v>
      </c>
      <c r="L887" s="236" t="s">
        <v>18725</v>
      </c>
      <c r="M887" s="236" t="s">
        <v>18725</v>
      </c>
      <c r="N887" s="234" t="s">
        <v>18620</v>
      </c>
      <c r="O887" s="237" t="s">
        <v>18683</v>
      </c>
      <c r="P887" s="234" t="s">
        <v>18725</v>
      </c>
      <c r="Q887" s="234" t="s">
        <v>18762</v>
      </c>
      <c r="R887" s="238" t="s">
        <v>21758</v>
      </c>
      <c r="S887" s="238" t="s">
        <v>18725</v>
      </c>
      <c r="T887" s="238" t="s">
        <v>18725</v>
      </c>
      <c r="U887" s="238" t="s">
        <v>18725</v>
      </c>
      <c r="V887" s="238" t="s">
        <v>18725</v>
      </c>
      <c r="W887" s="238" t="s">
        <v>18725</v>
      </c>
      <c r="X887" s="238" t="s">
        <v>18725</v>
      </c>
      <c r="Y887" s="239" t="str">
        <f>IF('CCUS Projects Database'!$R887&lt;&gt;"",HYPERLINK('CCUS Projects Database'!$R887,"Link 1"),"")</f>
        <v>Link 1</v>
      </c>
      <c r="Z887" s="239" t="str">
        <f>IF('CCUS Projects Database'!$S887&lt;&gt;"",HYPERLINK('CCUS Projects Database'!$S887,"Link 2"),"")</f>
        <v/>
      </c>
      <c r="AA887" s="239" t="str">
        <f>IF('CCUS Projects Database'!$T887&lt;&gt;"",HYPERLINK('CCUS Projects Database'!$T887,"Link 3"),"")</f>
        <v/>
      </c>
      <c r="AB887" s="239" t="str">
        <f>IF('CCUS Projects Database'!$U887&lt;&gt;"",HYPERLINK('CCUS Projects Database'!$U887,"Link 4"),"")</f>
        <v/>
      </c>
      <c r="AC887" s="239" t="str">
        <f>IF('CCUS Projects Database'!$V887&lt;&gt;"",HYPERLINK('CCUS Projects Database'!$V887,"Link 5"),"")</f>
        <v/>
      </c>
      <c r="AD887" s="239" t="str">
        <f>IF('CCUS Projects Database'!$W887&lt;&gt;"",HYPERLINK('CCUS Projects Database'!$W887,"Link 6"),"")</f>
        <v/>
      </c>
      <c r="AE887" s="239" t="str">
        <f>IF('CCUS Projects Database'!$X887&lt;&gt;"",HYPERLINK('CCUS Projects Database'!$X887,"Link 7"),"")</f>
        <v/>
      </c>
    </row>
    <row r="888" ht="14.25" customHeight="1">
      <c r="A888" s="233" t="s">
        <v>21759</v>
      </c>
      <c r="B888" s="234">
        <v>1190.0</v>
      </c>
      <c r="C888" s="234" t="s">
        <v>18508</v>
      </c>
      <c r="D888" s="235" t="s">
        <v>21760</v>
      </c>
      <c r="E888" s="234" t="s">
        <v>18616</v>
      </c>
      <c r="F888" s="234">
        <v>2024.0</v>
      </c>
      <c r="G888" s="234" t="s">
        <v>18725</v>
      </c>
      <c r="H888" s="234" t="s">
        <v>18725</v>
      </c>
      <c r="I888" s="234" t="s">
        <v>18725</v>
      </c>
      <c r="J888" s="234" t="s">
        <v>18636</v>
      </c>
      <c r="K888" s="236" t="s">
        <v>18725</v>
      </c>
      <c r="L888" s="236" t="s">
        <v>18725</v>
      </c>
      <c r="M888" s="236" t="s">
        <v>18725</v>
      </c>
      <c r="N888" s="234" t="s">
        <v>18731</v>
      </c>
      <c r="O888" s="237" t="s">
        <v>18675</v>
      </c>
      <c r="P888" s="234" t="s">
        <v>18725</v>
      </c>
      <c r="Q888" s="234" t="s">
        <v>18293</v>
      </c>
      <c r="R888" s="238" t="s">
        <v>21761</v>
      </c>
      <c r="S888" s="238" t="s">
        <v>21762</v>
      </c>
      <c r="T888" s="238" t="s">
        <v>18725</v>
      </c>
      <c r="U888" s="238" t="s">
        <v>18725</v>
      </c>
      <c r="V888" s="238" t="s">
        <v>18725</v>
      </c>
      <c r="W888" s="238" t="s">
        <v>18725</v>
      </c>
      <c r="X888" s="238" t="s">
        <v>18725</v>
      </c>
      <c r="Y888" s="239" t="str">
        <f>IF('CCUS Projects Database'!$R888&lt;&gt;"",HYPERLINK('CCUS Projects Database'!$R888,"Link 1"),"")</f>
        <v>Link 1</v>
      </c>
      <c r="Z888" s="239" t="str">
        <f>IF('CCUS Projects Database'!$S888&lt;&gt;"",HYPERLINK('CCUS Projects Database'!$S888,"Link 2"),"")</f>
        <v>Link 2</v>
      </c>
      <c r="AA888" s="239" t="str">
        <f>IF('CCUS Projects Database'!$T888&lt;&gt;"",HYPERLINK('CCUS Projects Database'!$T888,"Link 3"),"")</f>
        <v/>
      </c>
      <c r="AB888" s="239" t="str">
        <f>IF('CCUS Projects Database'!$U888&lt;&gt;"",HYPERLINK('CCUS Projects Database'!$U888,"Link 4"),"")</f>
        <v/>
      </c>
      <c r="AC888" s="239" t="str">
        <f>IF('CCUS Projects Database'!$V888&lt;&gt;"",HYPERLINK('CCUS Projects Database'!$V888,"Link 5"),"")</f>
        <v/>
      </c>
      <c r="AD888" s="239" t="str">
        <f>IF('CCUS Projects Database'!$W888&lt;&gt;"",HYPERLINK('CCUS Projects Database'!$W888,"Link 6"),"")</f>
        <v/>
      </c>
      <c r="AE888" s="239" t="str">
        <f>IF('CCUS Projects Database'!$X888&lt;&gt;"",HYPERLINK('CCUS Projects Database'!$X888,"Link 7"),"")</f>
        <v/>
      </c>
    </row>
    <row r="889" ht="14.25" customHeight="1">
      <c r="A889" s="233" t="s">
        <v>21763</v>
      </c>
      <c r="B889" s="234">
        <v>1191.0</v>
      </c>
      <c r="C889" s="234" t="s">
        <v>120</v>
      </c>
      <c r="D889" s="235" t="s">
        <v>21764</v>
      </c>
      <c r="E889" s="234" t="s">
        <v>18616</v>
      </c>
      <c r="F889" s="234">
        <v>2024.0</v>
      </c>
      <c r="G889" s="234" t="s">
        <v>18725</v>
      </c>
      <c r="H889" s="234">
        <v>2030.0</v>
      </c>
      <c r="I889" s="234" t="s">
        <v>18725</v>
      </c>
      <c r="J889" s="234" t="s">
        <v>18636</v>
      </c>
      <c r="K889" s="236" t="s">
        <v>18725</v>
      </c>
      <c r="L889" s="236">
        <v>0.1</v>
      </c>
      <c r="M889" s="236">
        <v>0.1</v>
      </c>
      <c r="N889" s="234" t="s">
        <v>18218</v>
      </c>
      <c r="O889" s="237" t="s">
        <v>18675</v>
      </c>
      <c r="P889" s="234" t="s">
        <v>18725</v>
      </c>
      <c r="Q889" s="234" t="s">
        <v>18726</v>
      </c>
      <c r="R889" s="238" t="s">
        <v>21765</v>
      </c>
      <c r="S889" s="238" t="s">
        <v>18725</v>
      </c>
      <c r="T889" s="238" t="s">
        <v>18725</v>
      </c>
      <c r="U889" s="238" t="s">
        <v>18725</v>
      </c>
      <c r="V889" s="238" t="s">
        <v>18725</v>
      </c>
      <c r="W889" s="238" t="s">
        <v>18725</v>
      </c>
      <c r="X889" s="238" t="s">
        <v>18725</v>
      </c>
      <c r="Y889" s="239" t="str">
        <f>IF('CCUS Projects Database'!$R889&lt;&gt;"",HYPERLINK('CCUS Projects Database'!$R889,"Link 1"),"")</f>
        <v>Link 1</v>
      </c>
      <c r="Z889" s="239" t="str">
        <f>IF('CCUS Projects Database'!$S889&lt;&gt;"",HYPERLINK('CCUS Projects Database'!$S889,"Link 2"),"")</f>
        <v/>
      </c>
      <c r="AA889" s="239" t="str">
        <f>IF('CCUS Projects Database'!$T889&lt;&gt;"",HYPERLINK('CCUS Projects Database'!$T889,"Link 3"),"")</f>
        <v/>
      </c>
      <c r="AB889" s="239" t="str">
        <f>IF('CCUS Projects Database'!$U889&lt;&gt;"",HYPERLINK('CCUS Projects Database'!$U889,"Link 4"),"")</f>
        <v/>
      </c>
      <c r="AC889" s="239" t="str">
        <f>IF('CCUS Projects Database'!$V889&lt;&gt;"",HYPERLINK('CCUS Projects Database'!$V889,"Link 5"),"")</f>
        <v/>
      </c>
      <c r="AD889" s="239" t="str">
        <f>IF('CCUS Projects Database'!$W889&lt;&gt;"",HYPERLINK('CCUS Projects Database'!$W889,"Link 6"),"")</f>
        <v/>
      </c>
      <c r="AE889" s="239" t="str">
        <f>IF('CCUS Projects Database'!$X889&lt;&gt;"",HYPERLINK('CCUS Projects Database'!$X889,"Link 7"),"")</f>
        <v/>
      </c>
    </row>
    <row r="890" ht="14.25" customHeight="1">
      <c r="A890" s="233" t="s">
        <v>21766</v>
      </c>
      <c r="B890" s="234">
        <v>1192.0</v>
      </c>
      <c r="C890" s="234" t="s">
        <v>18360</v>
      </c>
      <c r="D890" s="235" t="s">
        <v>21767</v>
      </c>
      <c r="E890" s="234" t="s">
        <v>3</v>
      </c>
      <c r="F890" s="234">
        <v>2023.0</v>
      </c>
      <c r="G890" s="234" t="s">
        <v>18725</v>
      </c>
      <c r="H890" s="234" t="s">
        <v>18725</v>
      </c>
      <c r="I890" s="234" t="s">
        <v>18725</v>
      </c>
      <c r="J890" s="234" t="s">
        <v>18636</v>
      </c>
      <c r="K890" s="236" t="s">
        <v>18725</v>
      </c>
      <c r="L890" s="236">
        <v>0.1</v>
      </c>
      <c r="M890" s="236">
        <v>0.1</v>
      </c>
      <c r="N890" s="234" t="s">
        <v>3</v>
      </c>
      <c r="O890" s="237" t="s">
        <v>18675</v>
      </c>
      <c r="P890" s="234" t="s">
        <v>18725</v>
      </c>
      <c r="Q890" s="234" t="s">
        <v>18856</v>
      </c>
      <c r="R890" s="238" t="s">
        <v>18725</v>
      </c>
      <c r="S890" s="238" t="s">
        <v>18725</v>
      </c>
      <c r="T890" s="238" t="s">
        <v>18725</v>
      </c>
      <c r="U890" s="238" t="s">
        <v>18725</v>
      </c>
      <c r="V890" s="238" t="s">
        <v>18725</v>
      </c>
      <c r="W890" s="238" t="s">
        <v>18725</v>
      </c>
      <c r="X890" s="238" t="s">
        <v>18725</v>
      </c>
      <c r="Y890" s="239" t="str">
        <f>IF('CCUS Projects Database'!$R890&lt;&gt;"",HYPERLINK('CCUS Projects Database'!$R890,"Link 1"),"")</f>
        <v/>
      </c>
      <c r="Z890" s="239" t="str">
        <f>IF('CCUS Projects Database'!$S890&lt;&gt;"",HYPERLINK('CCUS Projects Database'!$S890,"Link 2"),"")</f>
        <v/>
      </c>
      <c r="AA890" s="239" t="str">
        <f>IF('CCUS Projects Database'!$T890&lt;&gt;"",HYPERLINK('CCUS Projects Database'!$T890,"Link 3"),"")</f>
        <v/>
      </c>
      <c r="AB890" s="239" t="str">
        <f>IF('CCUS Projects Database'!$U890&lt;&gt;"",HYPERLINK('CCUS Projects Database'!$U890,"Link 4"),"")</f>
        <v/>
      </c>
      <c r="AC890" s="239" t="str">
        <f>IF('CCUS Projects Database'!$V890&lt;&gt;"",HYPERLINK('CCUS Projects Database'!$V890,"Link 5"),"")</f>
        <v/>
      </c>
      <c r="AD890" s="239" t="str">
        <f>IF('CCUS Projects Database'!$W890&lt;&gt;"",HYPERLINK('CCUS Projects Database'!$W890,"Link 6"),"")</f>
        <v/>
      </c>
      <c r="AE890" s="239" t="str">
        <f>IF('CCUS Projects Database'!$X890&lt;&gt;"",HYPERLINK('CCUS Projects Database'!$X890,"Link 7"),"")</f>
        <v/>
      </c>
    </row>
    <row r="891" ht="14.25" customHeight="1">
      <c r="A891" s="233" t="s">
        <v>21768</v>
      </c>
      <c r="B891" s="234">
        <v>1194.0</v>
      </c>
      <c r="C891" s="234" t="s">
        <v>21769</v>
      </c>
      <c r="D891" s="235" t="s">
        <v>21770</v>
      </c>
      <c r="E891" s="234" t="s">
        <v>18623</v>
      </c>
      <c r="F891" s="234">
        <v>2024.0</v>
      </c>
      <c r="G891" s="234" t="s">
        <v>18725</v>
      </c>
      <c r="H891" s="234" t="s">
        <v>18725</v>
      </c>
      <c r="I891" s="234" t="s">
        <v>18725</v>
      </c>
      <c r="J891" s="234" t="s">
        <v>18636</v>
      </c>
      <c r="K891" s="236" t="s">
        <v>18725</v>
      </c>
      <c r="L891" s="236" t="s">
        <v>18725</v>
      </c>
      <c r="M891" s="236" t="s">
        <v>18725</v>
      </c>
      <c r="N891" s="234" t="s">
        <v>18623</v>
      </c>
      <c r="O891" s="237" t="s">
        <v>18683</v>
      </c>
      <c r="P891" s="234" t="s">
        <v>18725</v>
      </c>
      <c r="Q891" s="234" t="s">
        <v>18856</v>
      </c>
      <c r="R891" s="238" t="s">
        <v>21771</v>
      </c>
      <c r="S891" s="238" t="s">
        <v>18725</v>
      </c>
      <c r="T891" s="238" t="s">
        <v>18725</v>
      </c>
      <c r="U891" s="238" t="s">
        <v>18725</v>
      </c>
      <c r="V891" s="238" t="s">
        <v>18725</v>
      </c>
      <c r="W891" s="238" t="s">
        <v>18725</v>
      </c>
      <c r="X891" s="238" t="s">
        <v>18725</v>
      </c>
      <c r="Y891" s="239" t="str">
        <f>IF('CCUS Projects Database'!$R891&lt;&gt;"",HYPERLINK('CCUS Projects Database'!$R891,"Link 1"),"")</f>
        <v>Link 1</v>
      </c>
      <c r="Z891" s="239" t="str">
        <f>IF('CCUS Projects Database'!$S891&lt;&gt;"",HYPERLINK('CCUS Projects Database'!$S891,"Link 2"),"")</f>
        <v/>
      </c>
      <c r="AA891" s="239" t="str">
        <f>IF('CCUS Projects Database'!$T891&lt;&gt;"",HYPERLINK('CCUS Projects Database'!$T891,"Link 3"),"")</f>
        <v/>
      </c>
      <c r="AB891" s="239" t="str">
        <f>IF('CCUS Projects Database'!$U891&lt;&gt;"",HYPERLINK('CCUS Projects Database'!$U891,"Link 4"),"")</f>
        <v/>
      </c>
      <c r="AC891" s="239" t="str">
        <f>IF('CCUS Projects Database'!$V891&lt;&gt;"",HYPERLINK('CCUS Projects Database'!$V891,"Link 5"),"")</f>
        <v/>
      </c>
      <c r="AD891" s="239" t="str">
        <f>IF('CCUS Projects Database'!$W891&lt;&gt;"",HYPERLINK('CCUS Projects Database'!$W891,"Link 6"),"")</f>
        <v/>
      </c>
      <c r="AE891" s="239" t="str">
        <f>IF('CCUS Projects Database'!$X891&lt;&gt;"",HYPERLINK('CCUS Projects Database'!$X891,"Link 7"),"")</f>
        <v/>
      </c>
    </row>
    <row r="892" ht="14.25" customHeight="1">
      <c r="A892" s="233" t="s">
        <v>21772</v>
      </c>
      <c r="B892" s="234">
        <v>1195.0</v>
      </c>
      <c r="C892" s="234" t="s">
        <v>18285</v>
      </c>
      <c r="D892" s="235" t="s">
        <v>21773</v>
      </c>
      <c r="E892" s="234" t="s">
        <v>18618</v>
      </c>
      <c r="F892" s="234">
        <v>2024.0</v>
      </c>
      <c r="G892" s="234" t="s">
        <v>18725</v>
      </c>
      <c r="H892" s="234">
        <v>2030.0</v>
      </c>
      <c r="I892" s="234" t="s">
        <v>18725</v>
      </c>
      <c r="J892" s="234" t="s">
        <v>18636</v>
      </c>
      <c r="K892" s="236" t="s">
        <v>18725</v>
      </c>
      <c r="L892" s="236">
        <v>0.1</v>
      </c>
      <c r="M892" s="236">
        <v>0.1</v>
      </c>
      <c r="N892" s="234" t="s">
        <v>18665</v>
      </c>
      <c r="O892" s="237" t="s">
        <v>18683</v>
      </c>
      <c r="P892" s="234" t="s">
        <v>18725</v>
      </c>
      <c r="Q892" s="234" t="s">
        <v>18856</v>
      </c>
      <c r="R892" s="238" t="s">
        <v>21774</v>
      </c>
      <c r="S892" s="238" t="s">
        <v>18725</v>
      </c>
      <c r="T892" s="238" t="s">
        <v>18725</v>
      </c>
      <c r="U892" s="238" t="s">
        <v>18725</v>
      </c>
      <c r="V892" s="238" t="s">
        <v>18725</v>
      </c>
      <c r="W892" s="238" t="s">
        <v>18725</v>
      </c>
      <c r="X892" s="238" t="s">
        <v>18725</v>
      </c>
      <c r="Y892" s="239" t="str">
        <f>IF('CCUS Projects Database'!$R892&lt;&gt;"",HYPERLINK('CCUS Projects Database'!$R892,"Link 1"),"")</f>
        <v>Link 1</v>
      </c>
      <c r="Z892" s="239" t="str">
        <f>IF('CCUS Projects Database'!$S892&lt;&gt;"",HYPERLINK('CCUS Projects Database'!$S892,"Link 2"),"")</f>
        <v/>
      </c>
      <c r="AA892" s="239" t="str">
        <f>IF('CCUS Projects Database'!$T892&lt;&gt;"",HYPERLINK('CCUS Projects Database'!$T892,"Link 3"),"")</f>
        <v/>
      </c>
      <c r="AB892" s="239" t="str">
        <f>IF('CCUS Projects Database'!$U892&lt;&gt;"",HYPERLINK('CCUS Projects Database'!$U892,"Link 4"),"")</f>
        <v/>
      </c>
      <c r="AC892" s="239" t="str">
        <f>IF('CCUS Projects Database'!$V892&lt;&gt;"",HYPERLINK('CCUS Projects Database'!$V892,"Link 5"),"")</f>
        <v/>
      </c>
      <c r="AD892" s="239" t="str">
        <f>IF('CCUS Projects Database'!$W892&lt;&gt;"",HYPERLINK('CCUS Projects Database'!$W892,"Link 6"),"")</f>
        <v/>
      </c>
      <c r="AE892" s="239" t="str">
        <f>IF('CCUS Projects Database'!$X892&lt;&gt;"",HYPERLINK('CCUS Projects Database'!$X892,"Link 7"),"")</f>
        <v/>
      </c>
    </row>
    <row r="893" ht="14.25" customHeight="1">
      <c r="A893" s="233" t="s">
        <v>21775</v>
      </c>
      <c r="B893" s="234">
        <v>1198.0</v>
      </c>
      <c r="C893" s="234" t="s">
        <v>18530</v>
      </c>
      <c r="D893" s="235" t="s">
        <v>21776</v>
      </c>
      <c r="E893" s="234" t="s">
        <v>18618</v>
      </c>
      <c r="F893" s="234">
        <v>2024.0</v>
      </c>
      <c r="G893" s="234" t="s">
        <v>18725</v>
      </c>
      <c r="H893" s="234" t="s">
        <v>18725</v>
      </c>
      <c r="I893" s="234" t="s">
        <v>18725</v>
      </c>
      <c r="J893" s="234" t="s">
        <v>18636</v>
      </c>
      <c r="K893" s="236" t="s">
        <v>18725</v>
      </c>
      <c r="L893" s="236" t="s">
        <v>18725</v>
      </c>
      <c r="M893" s="236" t="s">
        <v>18725</v>
      </c>
      <c r="N893" s="234" t="s">
        <v>18654</v>
      </c>
      <c r="O893" s="237" t="s">
        <v>18683</v>
      </c>
      <c r="P893" s="234" t="s">
        <v>18725</v>
      </c>
      <c r="Q893" s="234" t="s">
        <v>18293</v>
      </c>
      <c r="R893" s="238" t="s">
        <v>21777</v>
      </c>
      <c r="S893" s="238" t="s">
        <v>18725</v>
      </c>
      <c r="T893" s="238" t="s">
        <v>18725</v>
      </c>
      <c r="U893" s="238" t="s">
        <v>18725</v>
      </c>
      <c r="V893" s="238" t="s">
        <v>18725</v>
      </c>
      <c r="W893" s="238" t="s">
        <v>18725</v>
      </c>
      <c r="X893" s="238" t="s">
        <v>18725</v>
      </c>
      <c r="Y893" s="239" t="str">
        <f>IF('CCUS Projects Database'!$R893&lt;&gt;"",HYPERLINK('CCUS Projects Database'!$R893,"Link 1"),"")</f>
        <v>Link 1</v>
      </c>
      <c r="Z893" s="239" t="str">
        <f>IF('CCUS Projects Database'!$S893&lt;&gt;"",HYPERLINK('CCUS Projects Database'!$S893,"Link 2"),"")</f>
        <v/>
      </c>
      <c r="AA893" s="239" t="str">
        <f>IF('CCUS Projects Database'!$T893&lt;&gt;"",HYPERLINK('CCUS Projects Database'!$T893,"Link 3"),"")</f>
        <v/>
      </c>
      <c r="AB893" s="239" t="str">
        <f>IF('CCUS Projects Database'!$U893&lt;&gt;"",HYPERLINK('CCUS Projects Database'!$U893,"Link 4"),"")</f>
        <v/>
      </c>
      <c r="AC893" s="239" t="str">
        <f>IF('CCUS Projects Database'!$V893&lt;&gt;"",HYPERLINK('CCUS Projects Database'!$V893,"Link 5"),"")</f>
        <v/>
      </c>
      <c r="AD893" s="239" t="str">
        <f>IF('CCUS Projects Database'!$W893&lt;&gt;"",HYPERLINK('CCUS Projects Database'!$W893,"Link 6"),"")</f>
        <v/>
      </c>
      <c r="AE893" s="239" t="str">
        <f>IF('CCUS Projects Database'!$X893&lt;&gt;"",HYPERLINK('CCUS Projects Database'!$X893,"Link 7"),"")</f>
        <v/>
      </c>
    </row>
    <row r="894" ht="14.25" customHeight="1">
      <c r="A894" s="233" t="s">
        <v>21778</v>
      </c>
      <c r="B894" s="234">
        <v>1199.0</v>
      </c>
      <c r="C894" s="234" t="s">
        <v>63</v>
      </c>
      <c r="D894" s="235" t="s">
        <v>21779</v>
      </c>
      <c r="E894" s="234" t="s">
        <v>18625</v>
      </c>
      <c r="F894" s="234">
        <v>2024.0</v>
      </c>
      <c r="G894" s="234" t="s">
        <v>18725</v>
      </c>
      <c r="H894" s="234" t="s">
        <v>18725</v>
      </c>
      <c r="I894" s="234" t="s">
        <v>18725</v>
      </c>
      <c r="J894" s="234" t="s">
        <v>18636</v>
      </c>
      <c r="K894" s="236" t="s">
        <v>18725</v>
      </c>
      <c r="L894" s="236">
        <v>1.0</v>
      </c>
      <c r="M894" s="236">
        <v>1.0</v>
      </c>
      <c r="N894" s="234" t="s">
        <v>103</v>
      </c>
      <c r="O894" s="237" t="s">
        <v>18679</v>
      </c>
      <c r="P894" s="234" t="s">
        <v>18725</v>
      </c>
      <c r="Q894" s="234" t="s">
        <v>18726</v>
      </c>
      <c r="R894" s="238" t="s">
        <v>21780</v>
      </c>
      <c r="S894" s="238" t="s">
        <v>18725</v>
      </c>
      <c r="T894" s="238" t="s">
        <v>18725</v>
      </c>
      <c r="U894" s="238" t="s">
        <v>18725</v>
      </c>
      <c r="V894" s="238" t="s">
        <v>18725</v>
      </c>
      <c r="W894" s="238" t="s">
        <v>18725</v>
      </c>
      <c r="X894" s="238" t="s">
        <v>18725</v>
      </c>
      <c r="Y894" s="239" t="str">
        <f>IF('CCUS Projects Database'!$R894&lt;&gt;"",HYPERLINK('CCUS Projects Database'!$R894,"Link 1"),"")</f>
        <v>Link 1</v>
      </c>
      <c r="Z894" s="239" t="str">
        <f>IF('CCUS Projects Database'!$S894&lt;&gt;"",HYPERLINK('CCUS Projects Database'!$S894,"Link 2"),"")</f>
        <v/>
      </c>
      <c r="AA894" s="239" t="str">
        <f>IF('CCUS Projects Database'!$T894&lt;&gt;"",HYPERLINK('CCUS Projects Database'!$T894,"Link 3"),"")</f>
        <v/>
      </c>
      <c r="AB894" s="239" t="str">
        <f>IF('CCUS Projects Database'!$U894&lt;&gt;"",HYPERLINK('CCUS Projects Database'!$U894,"Link 4"),"")</f>
        <v/>
      </c>
      <c r="AC894" s="239" t="str">
        <f>IF('CCUS Projects Database'!$V894&lt;&gt;"",HYPERLINK('CCUS Projects Database'!$V894,"Link 5"),"")</f>
        <v/>
      </c>
      <c r="AD894" s="239" t="str">
        <f>IF('CCUS Projects Database'!$W894&lt;&gt;"",HYPERLINK('CCUS Projects Database'!$W894,"Link 6"),"")</f>
        <v/>
      </c>
      <c r="AE894" s="239" t="str">
        <f>IF('CCUS Projects Database'!$X894&lt;&gt;"",HYPERLINK('CCUS Projects Database'!$X894,"Link 7"),"")</f>
        <v/>
      </c>
    </row>
    <row r="895" ht="14.25" customHeight="1">
      <c r="A895" s="233" t="s">
        <v>21781</v>
      </c>
      <c r="B895" s="234">
        <v>1201.0</v>
      </c>
      <c r="C895" s="234" t="s">
        <v>98</v>
      </c>
      <c r="D895" s="235" t="s">
        <v>21782</v>
      </c>
      <c r="E895" s="234" t="s">
        <v>18616</v>
      </c>
      <c r="F895" s="234">
        <v>2024.0</v>
      </c>
      <c r="G895" s="234" t="s">
        <v>18725</v>
      </c>
      <c r="H895" s="234" t="s">
        <v>18725</v>
      </c>
      <c r="I895" s="234" t="s">
        <v>18725</v>
      </c>
      <c r="J895" s="234" t="s">
        <v>18636</v>
      </c>
      <c r="K895" s="236">
        <v>2.0</v>
      </c>
      <c r="L895" s="236" t="s">
        <v>18725</v>
      </c>
      <c r="M895" s="236" t="s">
        <v>18725</v>
      </c>
      <c r="N895" s="234" t="s">
        <v>103</v>
      </c>
      <c r="O895" s="237" t="s">
        <v>18675</v>
      </c>
      <c r="P895" s="234" t="s">
        <v>18725</v>
      </c>
      <c r="Q895" s="234" t="s">
        <v>18726</v>
      </c>
      <c r="R895" s="238" t="s">
        <v>21783</v>
      </c>
      <c r="S895" s="238" t="s">
        <v>18725</v>
      </c>
      <c r="T895" s="238" t="s">
        <v>18725</v>
      </c>
      <c r="U895" s="238" t="s">
        <v>18725</v>
      </c>
      <c r="V895" s="238" t="s">
        <v>18725</v>
      </c>
      <c r="W895" s="238" t="s">
        <v>18725</v>
      </c>
      <c r="X895" s="238" t="s">
        <v>18725</v>
      </c>
      <c r="Y895" s="239" t="str">
        <f>IF('CCUS Projects Database'!$R895&lt;&gt;"",HYPERLINK('CCUS Projects Database'!$R895,"Link 1"),"")</f>
        <v>Link 1</v>
      </c>
      <c r="Z895" s="239" t="str">
        <f>IF('CCUS Projects Database'!$S895&lt;&gt;"",HYPERLINK('CCUS Projects Database'!$S895,"Link 2"),"")</f>
        <v/>
      </c>
      <c r="AA895" s="239" t="str">
        <f>IF('CCUS Projects Database'!$T895&lt;&gt;"",HYPERLINK('CCUS Projects Database'!$T895,"Link 3"),"")</f>
        <v/>
      </c>
      <c r="AB895" s="239" t="str">
        <f>IF('CCUS Projects Database'!$U895&lt;&gt;"",HYPERLINK('CCUS Projects Database'!$U895,"Link 4"),"")</f>
        <v/>
      </c>
      <c r="AC895" s="239" t="str">
        <f>IF('CCUS Projects Database'!$V895&lt;&gt;"",HYPERLINK('CCUS Projects Database'!$V895,"Link 5"),"")</f>
        <v/>
      </c>
      <c r="AD895" s="239" t="str">
        <f>IF('CCUS Projects Database'!$W895&lt;&gt;"",HYPERLINK('CCUS Projects Database'!$W895,"Link 6"),"")</f>
        <v/>
      </c>
      <c r="AE895" s="239" t="str">
        <f>IF('CCUS Projects Database'!$X895&lt;&gt;"",HYPERLINK('CCUS Projects Database'!$X895,"Link 7"),"")</f>
        <v/>
      </c>
    </row>
    <row r="896" ht="14.25" customHeight="1">
      <c r="A896" s="233" t="s">
        <v>21784</v>
      </c>
      <c r="B896" s="234">
        <v>1203.0</v>
      </c>
      <c r="C896" s="234" t="s">
        <v>173</v>
      </c>
      <c r="D896" s="235" t="s">
        <v>21111</v>
      </c>
      <c r="E896" s="234" t="s">
        <v>3</v>
      </c>
      <c r="F896" s="234">
        <v>2022.0</v>
      </c>
      <c r="G896" s="234" t="s">
        <v>18725</v>
      </c>
      <c r="H896" s="234" t="s">
        <v>18725</v>
      </c>
      <c r="I896" s="234" t="s">
        <v>18725</v>
      </c>
      <c r="J896" s="234" t="s">
        <v>18636</v>
      </c>
      <c r="K896" s="236" t="s">
        <v>18725</v>
      </c>
      <c r="L896" s="236" t="s">
        <v>18725</v>
      </c>
      <c r="M896" s="236" t="s">
        <v>18725</v>
      </c>
      <c r="N896" s="234" t="s">
        <v>3</v>
      </c>
      <c r="O896" s="237" t="s">
        <v>18675</v>
      </c>
      <c r="P896" s="234" t="s">
        <v>21784</v>
      </c>
      <c r="Q896" s="234" t="s">
        <v>18726</v>
      </c>
      <c r="R896" s="238" t="s">
        <v>21785</v>
      </c>
      <c r="S896" s="238" t="s">
        <v>18725</v>
      </c>
      <c r="T896" s="238" t="s">
        <v>18725</v>
      </c>
      <c r="U896" s="238" t="s">
        <v>18725</v>
      </c>
      <c r="V896" s="238" t="s">
        <v>18725</v>
      </c>
      <c r="W896" s="238" t="s">
        <v>18725</v>
      </c>
      <c r="X896" s="238" t="s">
        <v>18725</v>
      </c>
      <c r="Y896" s="239" t="str">
        <f>IF('CCUS Projects Database'!$R896&lt;&gt;"",HYPERLINK('CCUS Projects Database'!$R896,"Link 1"),"")</f>
        <v>Link 1</v>
      </c>
      <c r="Z896" s="239" t="str">
        <f>IF('CCUS Projects Database'!$S896&lt;&gt;"",HYPERLINK('CCUS Projects Database'!$S896,"Link 2"),"")</f>
        <v/>
      </c>
      <c r="AA896" s="239" t="str">
        <f>IF('CCUS Projects Database'!$T896&lt;&gt;"",HYPERLINK('CCUS Projects Database'!$T896,"Link 3"),"")</f>
        <v/>
      </c>
      <c r="AB896" s="239" t="str">
        <f>IF('CCUS Projects Database'!$U896&lt;&gt;"",HYPERLINK('CCUS Projects Database'!$U896,"Link 4"),"")</f>
        <v/>
      </c>
      <c r="AC896" s="239" t="str">
        <f>IF('CCUS Projects Database'!$V896&lt;&gt;"",HYPERLINK('CCUS Projects Database'!$V896,"Link 5"),"")</f>
        <v/>
      </c>
      <c r="AD896" s="239" t="str">
        <f>IF('CCUS Projects Database'!$W896&lt;&gt;"",HYPERLINK('CCUS Projects Database'!$W896,"Link 6"),"")</f>
        <v/>
      </c>
      <c r="AE896" s="239" t="str">
        <f>IF('CCUS Projects Database'!$X896&lt;&gt;"",HYPERLINK('CCUS Projects Database'!$X896,"Link 7"),"")</f>
        <v/>
      </c>
    </row>
    <row r="897" ht="14.25" customHeight="1">
      <c r="A897" s="233" t="s">
        <v>21786</v>
      </c>
      <c r="B897" s="234">
        <v>1204.0</v>
      </c>
      <c r="C897" s="234" t="s">
        <v>120</v>
      </c>
      <c r="D897" s="235" t="s">
        <v>21590</v>
      </c>
      <c r="E897" s="234" t="s">
        <v>18618</v>
      </c>
      <c r="F897" s="234">
        <v>2024.0</v>
      </c>
      <c r="G897" s="234" t="s">
        <v>18725</v>
      </c>
      <c r="H897" s="234">
        <v>2031.0</v>
      </c>
      <c r="I897" s="234" t="s">
        <v>18725</v>
      </c>
      <c r="J897" s="234" t="s">
        <v>18636</v>
      </c>
      <c r="K897" s="236" t="s">
        <v>18725</v>
      </c>
      <c r="L897" s="236">
        <v>0.7</v>
      </c>
      <c r="M897" s="236">
        <v>0.7</v>
      </c>
      <c r="N897" s="234" t="s">
        <v>18663</v>
      </c>
      <c r="O897" s="237" t="s">
        <v>18675</v>
      </c>
      <c r="P897" s="238" t="s">
        <v>18725</v>
      </c>
      <c r="Q897" s="234" t="s">
        <v>18726</v>
      </c>
      <c r="R897" s="238" t="s">
        <v>21787</v>
      </c>
      <c r="S897" s="238" t="s">
        <v>18725</v>
      </c>
      <c r="T897" s="238" t="s">
        <v>18725</v>
      </c>
      <c r="U897" s="238" t="s">
        <v>18725</v>
      </c>
      <c r="V897" s="238" t="s">
        <v>18725</v>
      </c>
      <c r="W897" s="238" t="s">
        <v>18725</v>
      </c>
      <c r="X897" s="238" t="s">
        <v>18725</v>
      </c>
      <c r="Y897" s="239" t="str">
        <f>IF('CCUS Projects Database'!$R897&lt;&gt;"",HYPERLINK('CCUS Projects Database'!$R897,"Link 1"),"")</f>
        <v>Link 1</v>
      </c>
      <c r="Z897" s="239" t="str">
        <f>IF('CCUS Projects Database'!$S897&lt;&gt;"",HYPERLINK('CCUS Projects Database'!$S897,"Link 2"),"")</f>
        <v/>
      </c>
      <c r="AA897" s="239" t="str">
        <f>IF('CCUS Projects Database'!$T897&lt;&gt;"",HYPERLINK('CCUS Projects Database'!$T897,"Link 3"),"")</f>
        <v/>
      </c>
      <c r="AB897" s="239" t="str">
        <f>IF('CCUS Projects Database'!$U897&lt;&gt;"",HYPERLINK('CCUS Projects Database'!$U897,"Link 4"),"")</f>
        <v/>
      </c>
      <c r="AC897" s="239" t="str">
        <f>IF('CCUS Projects Database'!$V897&lt;&gt;"",HYPERLINK('CCUS Projects Database'!$V897,"Link 5"),"")</f>
        <v/>
      </c>
      <c r="AD897" s="239" t="str">
        <f>IF('CCUS Projects Database'!$W897&lt;&gt;"",HYPERLINK('CCUS Projects Database'!$W897,"Link 6"),"")</f>
        <v/>
      </c>
      <c r="AE897" s="239" t="str">
        <f>IF('CCUS Projects Database'!$X897&lt;&gt;"",HYPERLINK('CCUS Projects Database'!$X897,"Link 7"),"")</f>
        <v/>
      </c>
    </row>
    <row r="898" ht="14.25" customHeight="1">
      <c r="A898" s="233" t="s">
        <v>21788</v>
      </c>
      <c r="B898" s="234">
        <v>1205.0</v>
      </c>
      <c r="C898" s="234" t="s">
        <v>78</v>
      </c>
      <c r="D898" s="235">
        <v>0.0</v>
      </c>
      <c r="E898" s="234" t="s">
        <v>18618</v>
      </c>
      <c r="F898" s="234">
        <v>2024.0</v>
      </c>
      <c r="G898" s="234" t="s">
        <v>18725</v>
      </c>
      <c r="H898" s="234" t="s">
        <v>18725</v>
      </c>
      <c r="I898" s="234" t="s">
        <v>18725</v>
      </c>
      <c r="J898" s="234" t="s">
        <v>18636</v>
      </c>
      <c r="K898" s="236" t="s">
        <v>18725</v>
      </c>
      <c r="L898" s="236">
        <v>0.1</v>
      </c>
      <c r="M898" s="236">
        <v>0.1</v>
      </c>
      <c r="N898" s="234" t="s">
        <v>18665</v>
      </c>
      <c r="O898" s="237" t="s">
        <v>18675</v>
      </c>
      <c r="P898" s="234" t="s">
        <v>18725</v>
      </c>
      <c r="Q898" s="234" t="s">
        <v>18726</v>
      </c>
      <c r="R898" s="238" t="s">
        <v>21789</v>
      </c>
      <c r="S898" s="238" t="s">
        <v>21790</v>
      </c>
      <c r="T898" s="238" t="s">
        <v>21791</v>
      </c>
      <c r="U898" s="238" t="s">
        <v>18725</v>
      </c>
      <c r="V898" s="238" t="s">
        <v>18725</v>
      </c>
      <c r="W898" s="238" t="s">
        <v>18725</v>
      </c>
      <c r="X898" s="238" t="s">
        <v>18725</v>
      </c>
      <c r="Y898" s="239" t="str">
        <f>IF('CCUS Projects Database'!$R898&lt;&gt;"",HYPERLINK('CCUS Projects Database'!$R898,"Link 1"),"")</f>
        <v>Link 1</v>
      </c>
      <c r="Z898" s="239" t="str">
        <f>IF('CCUS Projects Database'!$S898&lt;&gt;"",HYPERLINK('CCUS Projects Database'!$S898,"Link 2"),"")</f>
        <v>Link 2</v>
      </c>
      <c r="AA898" s="239" t="str">
        <f>IF('CCUS Projects Database'!$T898&lt;&gt;"",HYPERLINK('CCUS Projects Database'!$T898,"Link 3"),"")</f>
        <v>Link 3</v>
      </c>
      <c r="AB898" s="239" t="str">
        <f>IF('CCUS Projects Database'!$U898&lt;&gt;"",HYPERLINK('CCUS Projects Database'!$U898,"Link 4"),"")</f>
        <v/>
      </c>
      <c r="AC898" s="239" t="str">
        <f>IF('CCUS Projects Database'!$V898&lt;&gt;"",HYPERLINK('CCUS Projects Database'!$V898,"Link 5"),"")</f>
        <v/>
      </c>
      <c r="AD898" s="239" t="str">
        <f>IF('CCUS Projects Database'!$W898&lt;&gt;"",HYPERLINK('CCUS Projects Database'!$W898,"Link 6"),"")</f>
        <v/>
      </c>
      <c r="AE898" s="239" t="str">
        <f>IF('CCUS Projects Database'!$X898&lt;&gt;"",HYPERLINK('CCUS Projects Database'!$X898,"Link 7"),"")</f>
        <v/>
      </c>
    </row>
    <row r="899" ht="14.25" customHeight="1">
      <c r="A899" s="233" t="s">
        <v>21792</v>
      </c>
      <c r="B899" s="234">
        <v>1206.0</v>
      </c>
      <c r="C899" s="234" t="s">
        <v>18586</v>
      </c>
      <c r="D899" s="235" t="s">
        <v>21793</v>
      </c>
      <c r="E899" s="234" t="s">
        <v>18618</v>
      </c>
      <c r="F899" s="234">
        <v>2024.0</v>
      </c>
      <c r="G899" s="234" t="s">
        <v>18725</v>
      </c>
      <c r="H899" s="234" t="s">
        <v>18725</v>
      </c>
      <c r="I899" s="234" t="s">
        <v>18725</v>
      </c>
      <c r="J899" s="234" t="s">
        <v>18636</v>
      </c>
      <c r="K899" s="236" t="s">
        <v>18725</v>
      </c>
      <c r="L899" s="236">
        <v>0.6</v>
      </c>
      <c r="M899" s="236">
        <v>0.6</v>
      </c>
      <c r="N899" s="234" t="s">
        <v>12270</v>
      </c>
      <c r="O899" s="237" t="s">
        <v>18675</v>
      </c>
      <c r="P899" s="234" t="s">
        <v>18725</v>
      </c>
      <c r="Q899" s="234" t="s">
        <v>18732</v>
      </c>
      <c r="R899" s="238" t="s">
        <v>21794</v>
      </c>
      <c r="S899" s="238" t="s">
        <v>18725</v>
      </c>
      <c r="T899" s="238" t="s">
        <v>18725</v>
      </c>
      <c r="U899" s="238" t="s">
        <v>18725</v>
      </c>
      <c r="V899" s="238" t="s">
        <v>18725</v>
      </c>
      <c r="W899" s="238" t="s">
        <v>18725</v>
      </c>
      <c r="X899" s="238" t="s">
        <v>18725</v>
      </c>
      <c r="Y899" s="239" t="str">
        <f>IF('CCUS Projects Database'!$R899&lt;&gt;"",HYPERLINK('CCUS Projects Database'!$R899,"Link 1"),"")</f>
        <v>Link 1</v>
      </c>
      <c r="Z899" s="239" t="str">
        <f>IF('CCUS Projects Database'!$S899&lt;&gt;"",HYPERLINK('CCUS Projects Database'!$S899,"Link 2"),"")</f>
        <v/>
      </c>
      <c r="AA899" s="239" t="str">
        <f>IF('CCUS Projects Database'!$T899&lt;&gt;"",HYPERLINK('CCUS Projects Database'!$T899,"Link 3"),"")</f>
        <v/>
      </c>
      <c r="AB899" s="239" t="str">
        <f>IF('CCUS Projects Database'!$U899&lt;&gt;"",HYPERLINK('CCUS Projects Database'!$U899,"Link 4"),"")</f>
        <v/>
      </c>
      <c r="AC899" s="239" t="str">
        <f>IF('CCUS Projects Database'!$V899&lt;&gt;"",HYPERLINK('CCUS Projects Database'!$V899,"Link 5"),"")</f>
        <v/>
      </c>
      <c r="AD899" s="239" t="str">
        <f>IF('CCUS Projects Database'!$W899&lt;&gt;"",HYPERLINK('CCUS Projects Database'!$W899,"Link 6"),"")</f>
        <v/>
      </c>
      <c r="AE899" s="239" t="str">
        <f>IF('CCUS Projects Database'!$X899&lt;&gt;"",HYPERLINK('CCUS Projects Database'!$X899,"Link 7"),"")</f>
        <v/>
      </c>
    </row>
    <row r="900" ht="14.25" customHeight="1">
      <c r="A900" s="233" t="s">
        <v>21795</v>
      </c>
      <c r="B900" s="234">
        <v>1207.0</v>
      </c>
      <c r="C900" s="234" t="s">
        <v>18586</v>
      </c>
      <c r="D900" s="235" t="s">
        <v>21796</v>
      </c>
      <c r="E900" s="234" t="s">
        <v>18618</v>
      </c>
      <c r="F900" s="234">
        <v>2023.0</v>
      </c>
      <c r="G900" s="234">
        <v>2026.0</v>
      </c>
      <c r="H900" s="234">
        <v>2029.0</v>
      </c>
      <c r="I900" s="234" t="s">
        <v>18725</v>
      </c>
      <c r="J900" s="234" t="s">
        <v>18636</v>
      </c>
      <c r="K900" s="236" t="s">
        <v>18725</v>
      </c>
      <c r="L900" s="236">
        <v>1.6</v>
      </c>
      <c r="M900" s="236">
        <v>1.6</v>
      </c>
      <c r="N900" s="234" t="s">
        <v>18731</v>
      </c>
      <c r="O900" s="237" t="s">
        <v>18675</v>
      </c>
      <c r="P900" s="234" t="s">
        <v>18725</v>
      </c>
      <c r="Q900" s="234" t="s">
        <v>18732</v>
      </c>
      <c r="R900" s="238" t="s">
        <v>21797</v>
      </c>
      <c r="S900" s="238" t="s">
        <v>21798</v>
      </c>
      <c r="T900" s="238" t="s">
        <v>21799</v>
      </c>
      <c r="U900" s="238" t="s">
        <v>18725</v>
      </c>
      <c r="V900" s="238" t="s">
        <v>18725</v>
      </c>
      <c r="W900" s="238" t="s">
        <v>18725</v>
      </c>
      <c r="X900" s="238" t="s">
        <v>18725</v>
      </c>
      <c r="Y900" s="239" t="str">
        <f>IF('CCUS Projects Database'!$R900&lt;&gt;"",HYPERLINK('CCUS Projects Database'!$R900,"Link 1"),"")</f>
        <v>Link 1</v>
      </c>
      <c r="Z900" s="239" t="str">
        <f>IF('CCUS Projects Database'!$S900&lt;&gt;"",HYPERLINK('CCUS Projects Database'!$S900,"Link 2"),"")</f>
        <v>Link 2</v>
      </c>
      <c r="AA900" s="239" t="str">
        <f>IF('CCUS Projects Database'!$T900&lt;&gt;"",HYPERLINK('CCUS Projects Database'!$T900,"Link 3"),"")</f>
        <v>Link 3</v>
      </c>
      <c r="AB900" s="239" t="str">
        <f>IF('CCUS Projects Database'!$U900&lt;&gt;"",HYPERLINK('CCUS Projects Database'!$U900,"Link 4"),"")</f>
        <v/>
      </c>
      <c r="AC900" s="239" t="str">
        <f>IF('CCUS Projects Database'!$V900&lt;&gt;"",HYPERLINK('CCUS Projects Database'!$V900,"Link 5"),"")</f>
        <v/>
      </c>
      <c r="AD900" s="239" t="str">
        <f>IF('CCUS Projects Database'!$W900&lt;&gt;"",HYPERLINK('CCUS Projects Database'!$W900,"Link 6"),"")</f>
        <v/>
      </c>
      <c r="AE900" s="239" t="str">
        <f>IF('CCUS Projects Database'!$X900&lt;&gt;"",HYPERLINK('CCUS Projects Database'!$X900,"Link 7"),"")</f>
        <v/>
      </c>
    </row>
    <row r="901" ht="14.25" customHeight="1">
      <c r="A901" s="233" t="s">
        <v>21800</v>
      </c>
      <c r="B901" s="234">
        <v>1208.0</v>
      </c>
      <c r="C901" s="234" t="s">
        <v>18360</v>
      </c>
      <c r="D901" s="235" t="s">
        <v>21801</v>
      </c>
      <c r="E901" s="234" t="s">
        <v>18625</v>
      </c>
      <c r="F901" s="234">
        <v>2022.0</v>
      </c>
      <c r="G901" s="234">
        <v>2023.0</v>
      </c>
      <c r="H901" s="234">
        <v>2024.0</v>
      </c>
      <c r="I901" s="234" t="s">
        <v>18725</v>
      </c>
      <c r="J901" s="234" t="s">
        <v>12385</v>
      </c>
      <c r="K901" s="236" t="s">
        <v>18725</v>
      </c>
      <c r="L901" s="236">
        <v>0.2</v>
      </c>
      <c r="M901" s="236">
        <v>0.2</v>
      </c>
      <c r="N901" s="234" t="s">
        <v>18663</v>
      </c>
      <c r="O901" s="237" t="s">
        <v>18683</v>
      </c>
      <c r="P901" s="238" t="s">
        <v>18725</v>
      </c>
      <c r="Q901" s="234" t="s">
        <v>18856</v>
      </c>
      <c r="R901" s="238" t="s">
        <v>21802</v>
      </c>
      <c r="S901" s="238" t="s">
        <v>21803</v>
      </c>
      <c r="T901" s="238" t="s">
        <v>21804</v>
      </c>
      <c r="U901" s="238" t="s">
        <v>18725</v>
      </c>
      <c r="V901" s="238" t="s">
        <v>18725</v>
      </c>
      <c r="W901" s="238" t="s">
        <v>18725</v>
      </c>
      <c r="X901" s="238" t="s">
        <v>18725</v>
      </c>
      <c r="Y901" s="239" t="str">
        <f>IF('CCUS Projects Database'!$R901&lt;&gt;"",HYPERLINK('CCUS Projects Database'!$R901,"Link 1"),"")</f>
        <v>Link 1</v>
      </c>
      <c r="Z901" s="239" t="str">
        <f>IF('CCUS Projects Database'!$S901&lt;&gt;"",HYPERLINK('CCUS Projects Database'!$S901,"Link 2"),"")</f>
        <v>Link 2</v>
      </c>
      <c r="AA901" s="239" t="str">
        <f>IF('CCUS Projects Database'!$T901&lt;&gt;"",HYPERLINK('CCUS Projects Database'!$T901,"Link 3"),"")</f>
        <v>Link 3</v>
      </c>
      <c r="AB901" s="239" t="str">
        <f>IF('CCUS Projects Database'!$U901&lt;&gt;"",HYPERLINK('CCUS Projects Database'!$U901,"Link 4"),"")</f>
        <v/>
      </c>
      <c r="AC901" s="239" t="str">
        <f>IF('CCUS Projects Database'!$V901&lt;&gt;"",HYPERLINK('CCUS Projects Database'!$V901,"Link 5"),"")</f>
        <v/>
      </c>
      <c r="AD901" s="239" t="str">
        <f>IF('CCUS Projects Database'!$W901&lt;&gt;"",HYPERLINK('CCUS Projects Database'!$W901,"Link 6"),"")</f>
        <v/>
      </c>
      <c r="AE901" s="239" t="str">
        <f>IF('CCUS Projects Database'!$X901&lt;&gt;"",HYPERLINK('CCUS Projects Database'!$X901,"Link 7"),"")</f>
        <v/>
      </c>
    </row>
    <row r="902" ht="14.25" customHeight="1">
      <c r="A902" s="233" t="s">
        <v>21805</v>
      </c>
      <c r="B902" s="234">
        <v>1209.0</v>
      </c>
      <c r="C902" s="234" t="s">
        <v>18360</v>
      </c>
      <c r="D902" s="235" t="s">
        <v>21252</v>
      </c>
      <c r="E902" s="234" t="s">
        <v>18616</v>
      </c>
      <c r="F902" s="234">
        <v>2023.0</v>
      </c>
      <c r="G902" s="234" t="s">
        <v>18725</v>
      </c>
      <c r="H902" s="234">
        <v>2026.0</v>
      </c>
      <c r="I902" s="234" t="s">
        <v>18725</v>
      </c>
      <c r="J902" s="234" t="s">
        <v>18636</v>
      </c>
      <c r="K902" s="236" t="s">
        <v>18725</v>
      </c>
      <c r="L902" s="236">
        <v>3.0</v>
      </c>
      <c r="M902" s="236">
        <v>3.0</v>
      </c>
      <c r="N902" s="234" t="s">
        <v>18654</v>
      </c>
      <c r="O902" s="237" t="s">
        <v>18683</v>
      </c>
      <c r="P902" s="234" t="s">
        <v>18725</v>
      </c>
      <c r="Q902" s="234" t="s">
        <v>18856</v>
      </c>
      <c r="R902" s="238" t="s">
        <v>21806</v>
      </c>
      <c r="S902" s="238" t="s">
        <v>21807</v>
      </c>
      <c r="T902" s="238" t="s">
        <v>18725</v>
      </c>
      <c r="U902" s="238" t="s">
        <v>18725</v>
      </c>
      <c r="V902" s="238" t="s">
        <v>18725</v>
      </c>
      <c r="W902" s="238" t="s">
        <v>18725</v>
      </c>
      <c r="X902" s="238" t="s">
        <v>18725</v>
      </c>
      <c r="Y902" s="239" t="str">
        <f>IF('CCUS Projects Database'!$R902&lt;&gt;"",HYPERLINK('CCUS Projects Database'!$R902,"Link 1"),"")</f>
        <v>Link 1</v>
      </c>
      <c r="Z902" s="239" t="str">
        <f>IF('CCUS Projects Database'!$S902&lt;&gt;"",HYPERLINK('CCUS Projects Database'!$S902,"Link 2"),"")</f>
        <v>Link 2</v>
      </c>
      <c r="AA902" s="239" t="str">
        <f>IF('CCUS Projects Database'!$T902&lt;&gt;"",HYPERLINK('CCUS Projects Database'!$T902,"Link 3"),"")</f>
        <v/>
      </c>
      <c r="AB902" s="239" t="str">
        <f>IF('CCUS Projects Database'!$U902&lt;&gt;"",HYPERLINK('CCUS Projects Database'!$U902,"Link 4"),"")</f>
        <v/>
      </c>
      <c r="AC902" s="239" t="str">
        <f>IF('CCUS Projects Database'!$V902&lt;&gt;"",HYPERLINK('CCUS Projects Database'!$V902,"Link 5"),"")</f>
        <v/>
      </c>
      <c r="AD902" s="239" t="str">
        <f>IF('CCUS Projects Database'!$W902&lt;&gt;"",HYPERLINK('CCUS Projects Database'!$W902,"Link 6"),"")</f>
        <v/>
      </c>
      <c r="AE902" s="239" t="str">
        <f>IF('CCUS Projects Database'!$X902&lt;&gt;"",HYPERLINK('CCUS Projects Database'!$X902,"Link 7"),"")</f>
        <v/>
      </c>
    </row>
    <row r="903" ht="14.25" customHeight="1">
      <c r="A903" s="233" t="s">
        <v>21808</v>
      </c>
      <c r="B903" s="234">
        <v>1210.0</v>
      </c>
      <c r="C903" s="234" t="s">
        <v>57</v>
      </c>
      <c r="D903" s="235" t="s">
        <v>21691</v>
      </c>
      <c r="E903" s="234" t="s">
        <v>18618</v>
      </c>
      <c r="F903" s="234">
        <v>2024.0</v>
      </c>
      <c r="G903" s="234" t="s">
        <v>18725</v>
      </c>
      <c r="H903" s="234" t="s">
        <v>18725</v>
      </c>
      <c r="I903" s="234" t="s">
        <v>18725</v>
      </c>
      <c r="J903" s="234" t="s">
        <v>18636</v>
      </c>
      <c r="K903" s="236" t="s">
        <v>18725</v>
      </c>
      <c r="L903" s="236">
        <v>0.4</v>
      </c>
      <c r="M903" s="236">
        <v>0.4</v>
      </c>
      <c r="N903" s="234" t="s">
        <v>18663</v>
      </c>
      <c r="O903" s="237" t="s">
        <v>18675</v>
      </c>
      <c r="P903" s="238" t="s">
        <v>18725</v>
      </c>
      <c r="Q903" s="234" t="s">
        <v>18726</v>
      </c>
      <c r="R903" s="238" t="s">
        <v>21809</v>
      </c>
      <c r="S903" s="238" t="s">
        <v>18725</v>
      </c>
      <c r="T903" s="238" t="s">
        <v>18725</v>
      </c>
      <c r="U903" s="238" t="s">
        <v>18725</v>
      </c>
      <c r="V903" s="238" t="s">
        <v>18725</v>
      </c>
      <c r="W903" s="238" t="s">
        <v>18725</v>
      </c>
      <c r="X903" s="238" t="s">
        <v>18725</v>
      </c>
      <c r="Y903" s="239" t="str">
        <f>IF('CCUS Projects Database'!$R903&lt;&gt;"",HYPERLINK('CCUS Projects Database'!$R903,"Link 1"),"")</f>
        <v>Link 1</v>
      </c>
      <c r="Z903" s="239" t="str">
        <f>IF('CCUS Projects Database'!$S903&lt;&gt;"",HYPERLINK('CCUS Projects Database'!$S903,"Link 2"),"")</f>
        <v/>
      </c>
      <c r="AA903" s="239" t="str">
        <f>IF('CCUS Projects Database'!$T903&lt;&gt;"",HYPERLINK('CCUS Projects Database'!$T903,"Link 3"),"")</f>
        <v/>
      </c>
      <c r="AB903" s="239" t="str">
        <f>IF('CCUS Projects Database'!$U903&lt;&gt;"",HYPERLINK('CCUS Projects Database'!$U903,"Link 4"),"")</f>
        <v/>
      </c>
      <c r="AC903" s="239" t="str">
        <f>IF('CCUS Projects Database'!$V903&lt;&gt;"",HYPERLINK('CCUS Projects Database'!$V903,"Link 5"),"")</f>
        <v/>
      </c>
      <c r="AD903" s="239" t="str">
        <f>IF('CCUS Projects Database'!$W903&lt;&gt;"",HYPERLINK('CCUS Projects Database'!$W903,"Link 6"),"")</f>
        <v/>
      </c>
      <c r="AE903" s="239" t="str">
        <f>IF('CCUS Projects Database'!$X903&lt;&gt;"",HYPERLINK('CCUS Projects Database'!$X903,"Link 7"),"")</f>
        <v/>
      </c>
    </row>
    <row r="904" ht="14.25" customHeight="1">
      <c r="A904" s="233" t="s">
        <v>21810</v>
      </c>
      <c r="B904" s="234">
        <v>1211.0</v>
      </c>
      <c r="C904" s="234" t="s">
        <v>51</v>
      </c>
      <c r="D904" s="235" t="s">
        <v>21811</v>
      </c>
      <c r="E904" s="234" t="s">
        <v>18618</v>
      </c>
      <c r="F904" s="234">
        <v>2024.0</v>
      </c>
      <c r="G904" s="234" t="s">
        <v>18725</v>
      </c>
      <c r="H904" s="234" t="s">
        <v>18725</v>
      </c>
      <c r="I904" s="234" t="s">
        <v>18725</v>
      </c>
      <c r="J904" s="234" t="s">
        <v>18636</v>
      </c>
      <c r="K904" s="236" t="s">
        <v>18725</v>
      </c>
      <c r="L904" s="236">
        <v>0.4</v>
      </c>
      <c r="M904" s="236">
        <v>0.4</v>
      </c>
      <c r="N904" s="234" t="s">
        <v>18654</v>
      </c>
      <c r="O904" s="237" t="s">
        <v>18683</v>
      </c>
      <c r="P904" s="234" t="s">
        <v>18725</v>
      </c>
      <c r="Q904" s="234" t="s">
        <v>18726</v>
      </c>
      <c r="R904" s="238" t="s">
        <v>21812</v>
      </c>
      <c r="S904" s="238" t="s">
        <v>21813</v>
      </c>
      <c r="T904" s="238" t="s">
        <v>18725</v>
      </c>
      <c r="U904" s="238" t="s">
        <v>18725</v>
      </c>
      <c r="V904" s="238" t="s">
        <v>18725</v>
      </c>
      <c r="W904" s="238" t="s">
        <v>18725</v>
      </c>
      <c r="X904" s="238" t="s">
        <v>18725</v>
      </c>
      <c r="Y904" s="239" t="str">
        <f>IF('CCUS Projects Database'!$R904&lt;&gt;"",HYPERLINK('CCUS Projects Database'!$R904,"Link 1"),"")</f>
        <v>Link 1</v>
      </c>
      <c r="Z904" s="239" t="str">
        <f>IF('CCUS Projects Database'!$S904&lt;&gt;"",HYPERLINK('CCUS Projects Database'!$S904,"Link 2"),"")</f>
        <v>Link 2</v>
      </c>
      <c r="AA904" s="239" t="str">
        <f>IF('CCUS Projects Database'!$T904&lt;&gt;"",HYPERLINK('CCUS Projects Database'!$T904,"Link 3"),"")</f>
        <v/>
      </c>
      <c r="AB904" s="239" t="str">
        <f>IF('CCUS Projects Database'!$U904&lt;&gt;"",HYPERLINK('CCUS Projects Database'!$U904,"Link 4"),"")</f>
        <v/>
      </c>
      <c r="AC904" s="239" t="str">
        <f>IF('CCUS Projects Database'!$V904&lt;&gt;"",HYPERLINK('CCUS Projects Database'!$V904,"Link 5"),"")</f>
        <v/>
      </c>
      <c r="AD904" s="239" t="str">
        <f>IF('CCUS Projects Database'!$W904&lt;&gt;"",HYPERLINK('CCUS Projects Database'!$W904,"Link 6"),"")</f>
        <v/>
      </c>
      <c r="AE904" s="239" t="str">
        <f>IF('CCUS Projects Database'!$X904&lt;&gt;"",HYPERLINK('CCUS Projects Database'!$X904,"Link 7"),"")</f>
        <v/>
      </c>
    </row>
    <row r="905" ht="14.25" customHeight="1">
      <c r="A905" s="233" t="s">
        <v>21814</v>
      </c>
      <c r="B905" s="234">
        <v>1214.0</v>
      </c>
      <c r="C905" s="234" t="s">
        <v>18586</v>
      </c>
      <c r="D905" s="235" t="s">
        <v>21815</v>
      </c>
      <c r="E905" s="234" t="s">
        <v>18623</v>
      </c>
      <c r="F905" s="234">
        <v>2024.0</v>
      </c>
      <c r="G905" s="234" t="s">
        <v>18725</v>
      </c>
      <c r="H905" s="234">
        <v>2028.0</v>
      </c>
      <c r="I905" s="234" t="s">
        <v>18725</v>
      </c>
      <c r="J905" s="234" t="s">
        <v>18636</v>
      </c>
      <c r="K905" s="236" t="s">
        <v>18725</v>
      </c>
      <c r="L905" s="236">
        <v>9.0</v>
      </c>
      <c r="M905" s="236">
        <v>9.0</v>
      </c>
      <c r="N905" s="234" t="s">
        <v>18623</v>
      </c>
      <c r="O905" s="237" t="s">
        <v>18675</v>
      </c>
      <c r="P905" s="234" t="s">
        <v>21814</v>
      </c>
      <c r="Q905" s="234" t="s">
        <v>18732</v>
      </c>
      <c r="R905" s="238" t="s">
        <v>21816</v>
      </c>
      <c r="S905" s="238" t="s">
        <v>18725</v>
      </c>
      <c r="T905" s="238" t="s">
        <v>21817</v>
      </c>
      <c r="U905" s="238" t="s">
        <v>18725</v>
      </c>
      <c r="V905" s="238" t="s">
        <v>18725</v>
      </c>
      <c r="W905" s="238" t="s">
        <v>18725</v>
      </c>
      <c r="X905" s="238" t="s">
        <v>18725</v>
      </c>
      <c r="Y905" s="239" t="str">
        <f>IF('CCUS Projects Database'!$R905&lt;&gt;"",HYPERLINK('CCUS Projects Database'!$R905,"Link 1"),"")</f>
        <v>Link 1</v>
      </c>
      <c r="Z905" s="239" t="str">
        <f>IF('CCUS Projects Database'!$S905&lt;&gt;"",HYPERLINK('CCUS Projects Database'!$S905,"Link 2"),"")</f>
        <v/>
      </c>
      <c r="AA905" s="239" t="str">
        <f>IF('CCUS Projects Database'!$T905&lt;&gt;"",HYPERLINK('CCUS Projects Database'!$T905,"Link 3"),"")</f>
        <v>Link 3</v>
      </c>
      <c r="AB905" s="239" t="str">
        <f>IF('CCUS Projects Database'!$U905&lt;&gt;"",HYPERLINK('CCUS Projects Database'!$U905,"Link 4"),"")</f>
        <v/>
      </c>
      <c r="AC905" s="239" t="str">
        <f>IF('CCUS Projects Database'!$V905&lt;&gt;"",HYPERLINK('CCUS Projects Database'!$V905,"Link 5"),"")</f>
        <v/>
      </c>
      <c r="AD905" s="239" t="str">
        <f>IF('CCUS Projects Database'!$W905&lt;&gt;"",HYPERLINK('CCUS Projects Database'!$W905,"Link 6"),"")</f>
        <v/>
      </c>
      <c r="AE905" s="239" t="str">
        <f>IF('CCUS Projects Database'!$X905&lt;&gt;"",HYPERLINK('CCUS Projects Database'!$X905,"Link 7"),"")</f>
        <v/>
      </c>
    </row>
    <row r="906" ht="14.25" customHeight="1">
      <c r="A906" s="233" t="s">
        <v>21818</v>
      </c>
      <c r="B906" s="234">
        <v>1215.0</v>
      </c>
      <c r="C906" s="234" t="s">
        <v>18586</v>
      </c>
      <c r="D906" s="235" t="s">
        <v>21815</v>
      </c>
      <c r="E906" s="234" t="s">
        <v>18623</v>
      </c>
      <c r="F906" s="234">
        <v>2024.0</v>
      </c>
      <c r="G906" s="234" t="s">
        <v>18725</v>
      </c>
      <c r="H906" s="234" t="s">
        <v>18725</v>
      </c>
      <c r="I906" s="234" t="s">
        <v>18725</v>
      </c>
      <c r="J906" s="234" t="s">
        <v>18636</v>
      </c>
      <c r="K906" s="236" t="s">
        <v>18725</v>
      </c>
      <c r="L906" s="236" t="s">
        <v>18725</v>
      </c>
      <c r="M906" s="236" t="s">
        <v>18725</v>
      </c>
      <c r="N906" s="234" t="s">
        <v>18623</v>
      </c>
      <c r="O906" s="237" t="s">
        <v>18675</v>
      </c>
      <c r="P906" s="234" t="s">
        <v>21818</v>
      </c>
      <c r="Q906" s="234" t="s">
        <v>18732</v>
      </c>
      <c r="R906" s="238" t="s">
        <v>21819</v>
      </c>
      <c r="S906" s="238" t="s">
        <v>18725</v>
      </c>
      <c r="T906" s="238" t="s">
        <v>18725</v>
      </c>
      <c r="U906" s="238" t="s">
        <v>18725</v>
      </c>
      <c r="V906" s="238" t="s">
        <v>18725</v>
      </c>
      <c r="W906" s="238" t="s">
        <v>18725</v>
      </c>
      <c r="X906" s="238" t="s">
        <v>18725</v>
      </c>
      <c r="Y906" s="239" t="str">
        <f>IF('CCUS Projects Database'!$R906&lt;&gt;"",HYPERLINK('CCUS Projects Database'!$R906,"Link 1"),"")</f>
        <v>Link 1</v>
      </c>
      <c r="Z906" s="239" t="str">
        <f>IF('CCUS Projects Database'!$S906&lt;&gt;"",HYPERLINK('CCUS Projects Database'!$S906,"Link 2"),"")</f>
        <v/>
      </c>
      <c r="AA906" s="239" t="str">
        <f>IF('CCUS Projects Database'!$T906&lt;&gt;"",HYPERLINK('CCUS Projects Database'!$T906,"Link 3"),"")</f>
        <v/>
      </c>
      <c r="AB906" s="239" t="str">
        <f>IF('CCUS Projects Database'!$U906&lt;&gt;"",HYPERLINK('CCUS Projects Database'!$U906,"Link 4"),"")</f>
        <v/>
      </c>
      <c r="AC906" s="239" t="str">
        <f>IF('CCUS Projects Database'!$V906&lt;&gt;"",HYPERLINK('CCUS Projects Database'!$V906,"Link 5"),"")</f>
        <v/>
      </c>
      <c r="AD906" s="239" t="str">
        <f>IF('CCUS Projects Database'!$W906&lt;&gt;"",HYPERLINK('CCUS Projects Database'!$W906,"Link 6"),"")</f>
        <v/>
      </c>
      <c r="AE906" s="239" t="str">
        <f>IF('CCUS Projects Database'!$X906&lt;&gt;"",HYPERLINK('CCUS Projects Database'!$X906,"Link 7"),"")</f>
        <v/>
      </c>
    </row>
    <row r="907" ht="14.25" customHeight="1">
      <c r="A907" s="233" t="s">
        <v>21820</v>
      </c>
      <c r="B907" s="234">
        <v>1216.0</v>
      </c>
      <c r="C907" s="234" t="s">
        <v>18586</v>
      </c>
      <c r="D907" s="235" t="s">
        <v>21821</v>
      </c>
      <c r="E907" s="234" t="s">
        <v>18623</v>
      </c>
      <c r="F907" s="234">
        <v>2024.0</v>
      </c>
      <c r="G907" s="234" t="s">
        <v>18725</v>
      </c>
      <c r="H907" s="234" t="s">
        <v>18725</v>
      </c>
      <c r="I907" s="234" t="s">
        <v>18725</v>
      </c>
      <c r="J907" s="234" t="s">
        <v>18636</v>
      </c>
      <c r="K907" s="236" t="s">
        <v>18725</v>
      </c>
      <c r="L907" s="236">
        <v>0.5</v>
      </c>
      <c r="M907" s="236">
        <v>0.5</v>
      </c>
      <c r="N907" s="234" t="s">
        <v>18623</v>
      </c>
      <c r="O907" s="237" t="s">
        <v>18675</v>
      </c>
      <c r="P907" s="234" t="s">
        <v>18725</v>
      </c>
      <c r="Q907" s="234" t="s">
        <v>18732</v>
      </c>
      <c r="R907" s="238" t="s">
        <v>18725</v>
      </c>
      <c r="S907" s="238" t="s">
        <v>18725</v>
      </c>
      <c r="T907" s="238" t="s">
        <v>18725</v>
      </c>
      <c r="U907" s="238" t="s">
        <v>18725</v>
      </c>
      <c r="V907" s="238" t="s">
        <v>18725</v>
      </c>
      <c r="W907" s="238" t="s">
        <v>18725</v>
      </c>
      <c r="X907" s="238" t="s">
        <v>18725</v>
      </c>
      <c r="Y907" s="239" t="str">
        <f>IF('CCUS Projects Database'!$R907&lt;&gt;"",HYPERLINK('CCUS Projects Database'!$R907,"Link 1"),"")</f>
        <v/>
      </c>
      <c r="Z907" s="239" t="str">
        <f>IF('CCUS Projects Database'!$S907&lt;&gt;"",HYPERLINK('CCUS Projects Database'!$S907,"Link 2"),"")</f>
        <v/>
      </c>
      <c r="AA907" s="239" t="str">
        <f>IF('CCUS Projects Database'!$T907&lt;&gt;"",HYPERLINK('CCUS Projects Database'!$T907,"Link 3"),"")</f>
        <v/>
      </c>
      <c r="AB907" s="239" t="str">
        <f>IF('CCUS Projects Database'!$U907&lt;&gt;"",HYPERLINK('CCUS Projects Database'!$U907,"Link 4"),"")</f>
        <v/>
      </c>
      <c r="AC907" s="239" t="str">
        <f>IF('CCUS Projects Database'!$V907&lt;&gt;"",HYPERLINK('CCUS Projects Database'!$V907,"Link 5"),"")</f>
        <v/>
      </c>
      <c r="AD907" s="239" t="str">
        <f>IF('CCUS Projects Database'!$W907&lt;&gt;"",HYPERLINK('CCUS Projects Database'!$W907,"Link 6"),"")</f>
        <v/>
      </c>
      <c r="AE907" s="239" t="str">
        <f>IF('CCUS Projects Database'!$X907&lt;&gt;"",HYPERLINK('CCUS Projects Database'!$X907,"Link 7"),"")</f>
        <v/>
      </c>
    </row>
    <row r="908" ht="14.25" customHeight="1">
      <c r="A908" s="233" t="s">
        <v>21822</v>
      </c>
      <c r="B908" s="234">
        <v>1217.0</v>
      </c>
      <c r="C908" s="234" t="s">
        <v>18586</v>
      </c>
      <c r="D908" s="235" t="s">
        <v>21823</v>
      </c>
      <c r="E908" s="234" t="s">
        <v>18616</v>
      </c>
      <c r="F908" s="234">
        <v>2023.0</v>
      </c>
      <c r="G908" s="234" t="s">
        <v>18725</v>
      </c>
      <c r="H908" s="234" t="s">
        <v>18725</v>
      </c>
      <c r="I908" s="234" t="s">
        <v>18725</v>
      </c>
      <c r="J908" s="234" t="s">
        <v>18636</v>
      </c>
      <c r="K908" s="236" t="s">
        <v>18725</v>
      </c>
      <c r="L908" s="236" t="s">
        <v>18725</v>
      </c>
      <c r="M908" s="236" t="s">
        <v>18725</v>
      </c>
      <c r="N908" s="234" t="s">
        <v>18656</v>
      </c>
      <c r="O908" s="237" t="s">
        <v>18675</v>
      </c>
      <c r="P908" s="234" t="s">
        <v>21824</v>
      </c>
      <c r="Q908" s="234" t="s">
        <v>18732</v>
      </c>
      <c r="R908" s="238" t="s">
        <v>18725</v>
      </c>
      <c r="S908" s="238" t="s">
        <v>18725</v>
      </c>
      <c r="T908" s="238" t="s">
        <v>18725</v>
      </c>
      <c r="U908" s="238" t="s">
        <v>18725</v>
      </c>
      <c r="V908" s="238" t="s">
        <v>18725</v>
      </c>
      <c r="W908" s="238" t="s">
        <v>18725</v>
      </c>
      <c r="X908" s="238" t="s">
        <v>18725</v>
      </c>
      <c r="Y908" s="239" t="str">
        <f>IF('CCUS Projects Database'!$R908&lt;&gt;"",HYPERLINK('CCUS Projects Database'!$R908,"Link 1"),"")</f>
        <v/>
      </c>
      <c r="Z908" s="239" t="str">
        <f>IF('CCUS Projects Database'!$S908&lt;&gt;"",HYPERLINK('CCUS Projects Database'!$S908,"Link 2"),"")</f>
        <v/>
      </c>
      <c r="AA908" s="239" t="str">
        <f>IF('CCUS Projects Database'!$T908&lt;&gt;"",HYPERLINK('CCUS Projects Database'!$T908,"Link 3"),"")</f>
        <v/>
      </c>
      <c r="AB908" s="239" t="str">
        <f>IF('CCUS Projects Database'!$U908&lt;&gt;"",HYPERLINK('CCUS Projects Database'!$U908,"Link 4"),"")</f>
        <v/>
      </c>
      <c r="AC908" s="239" t="str">
        <f>IF('CCUS Projects Database'!$V908&lt;&gt;"",HYPERLINK('CCUS Projects Database'!$V908,"Link 5"),"")</f>
        <v/>
      </c>
      <c r="AD908" s="239" t="str">
        <f>IF('CCUS Projects Database'!$W908&lt;&gt;"",HYPERLINK('CCUS Projects Database'!$W908,"Link 6"),"")</f>
        <v/>
      </c>
      <c r="AE908" s="239" t="str">
        <f>IF('CCUS Projects Database'!$X908&lt;&gt;"",HYPERLINK('CCUS Projects Database'!$X908,"Link 7"),"")</f>
        <v/>
      </c>
    </row>
    <row r="909" ht="14.25" customHeight="1">
      <c r="A909" s="233" t="s">
        <v>21825</v>
      </c>
      <c r="B909" s="234">
        <v>1218.0</v>
      </c>
      <c r="C909" s="234" t="s">
        <v>18586</v>
      </c>
      <c r="D909" s="235" t="s">
        <v>20504</v>
      </c>
      <c r="E909" s="234" t="s">
        <v>18623</v>
      </c>
      <c r="F909" s="234">
        <v>2024.0</v>
      </c>
      <c r="G909" s="234" t="s">
        <v>18725</v>
      </c>
      <c r="H909" s="234">
        <v>2026.0</v>
      </c>
      <c r="I909" s="234" t="s">
        <v>18725</v>
      </c>
      <c r="J909" s="234" t="s">
        <v>18636</v>
      </c>
      <c r="K909" s="236" t="s">
        <v>18725</v>
      </c>
      <c r="L909" s="236">
        <v>2.2</v>
      </c>
      <c r="M909" s="236">
        <v>2.2</v>
      </c>
      <c r="N909" s="234" t="s">
        <v>18623</v>
      </c>
      <c r="O909" s="237" t="s">
        <v>18675</v>
      </c>
      <c r="P909" s="234" t="s">
        <v>21825</v>
      </c>
      <c r="Q909" s="234" t="s">
        <v>18732</v>
      </c>
      <c r="R909" s="238" t="s">
        <v>21826</v>
      </c>
      <c r="S909" s="238" t="s">
        <v>18725</v>
      </c>
      <c r="T909" s="238" t="s">
        <v>18725</v>
      </c>
      <c r="U909" s="238" t="s">
        <v>18725</v>
      </c>
      <c r="V909" s="238" t="s">
        <v>18725</v>
      </c>
      <c r="W909" s="238" t="s">
        <v>18725</v>
      </c>
      <c r="X909" s="238" t="s">
        <v>18725</v>
      </c>
      <c r="Y909" s="239" t="str">
        <f>IF('CCUS Projects Database'!$R909&lt;&gt;"",HYPERLINK('CCUS Projects Database'!$R909,"Link 1"),"")</f>
        <v>Link 1</v>
      </c>
      <c r="Z909" s="239" t="str">
        <f>IF('CCUS Projects Database'!$S909&lt;&gt;"",HYPERLINK('CCUS Projects Database'!$S909,"Link 2"),"")</f>
        <v/>
      </c>
      <c r="AA909" s="239" t="str">
        <f>IF('CCUS Projects Database'!$T909&lt;&gt;"",HYPERLINK('CCUS Projects Database'!$T909,"Link 3"),"")</f>
        <v/>
      </c>
      <c r="AB909" s="239" t="str">
        <f>IF('CCUS Projects Database'!$U909&lt;&gt;"",HYPERLINK('CCUS Projects Database'!$U909,"Link 4"),"")</f>
        <v/>
      </c>
      <c r="AC909" s="239" t="str">
        <f>IF('CCUS Projects Database'!$V909&lt;&gt;"",HYPERLINK('CCUS Projects Database'!$V909,"Link 5"),"")</f>
        <v/>
      </c>
      <c r="AD909" s="239" t="str">
        <f>IF('CCUS Projects Database'!$W909&lt;&gt;"",HYPERLINK('CCUS Projects Database'!$W909,"Link 6"),"")</f>
        <v/>
      </c>
      <c r="AE909" s="239" t="str">
        <f>IF('CCUS Projects Database'!$X909&lt;&gt;"",HYPERLINK('CCUS Projects Database'!$X909,"Link 7"),"")</f>
        <v/>
      </c>
    </row>
    <row r="910" ht="14.25" customHeight="1">
      <c r="A910" s="233" t="s">
        <v>21827</v>
      </c>
      <c r="B910" s="234">
        <v>1219.0</v>
      </c>
      <c r="C910" s="234" t="s">
        <v>18586</v>
      </c>
      <c r="D910" s="235" t="s">
        <v>21828</v>
      </c>
      <c r="E910" s="234" t="s">
        <v>18618</v>
      </c>
      <c r="F910" s="234">
        <v>2023.0</v>
      </c>
      <c r="G910" s="234" t="s">
        <v>18725</v>
      </c>
      <c r="H910" s="234" t="s">
        <v>18725</v>
      </c>
      <c r="I910" s="234" t="s">
        <v>18725</v>
      </c>
      <c r="J910" s="234" t="s">
        <v>18636</v>
      </c>
      <c r="K910" s="236" t="s">
        <v>18725</v>
      </c>
      <c r="L910" s="236">
        <v>0.05</v>
      </c>
      <c r="M910" s="236">
        <v>0.05</v>
      </c>
      <c r="N910" s="234" t="s">
        <v>18218</v>
      </c>
      <c r="O910" s="237" t="s">
        <v>18675</v>
      </c>
      <c r="P910" s="234" t="s">
        <v>18725</v>
      </c>
      <c r="Q910" s="234" t="s">
        <v>18732</v>
      </c>
      <c r="R910" s="238" t="s">
        <v>21829</v>
      </c>
      <c r="S910" s="238" t="s">
        <v>21830</v>
      </c>
      <c r="T910" s="238" t="s">
        <v>18725</v>
      </c>
      <c r="U910" s="238" t="s">
        <v>18725</v>
      </c>
      <c r="V910" s="238" t="s">
        <v>18725</v>
      </c>
      <c r="W910" s="238" t="s">
        <v>18725</v>
      </c>
      <c r="X910" s="238" t="s">
        <v>18725</v>
      </c>
      <c r="Y910" s="239" t="str">
        <f>IF('CCUS Projects Database'!$R910&lt;&gt;"",HYPERLINK('CCUS Projects Database'!$R910,"Link 1"),"")</f>
        <v>Link 1</v>
      </c>
      <c r="Z910" s="239" t="str">
        <f>IF('CCUS Projects Database'!$S910&lt;&gt;"",HYPERLINK('CCUS Projects Database'!$S910,"Link 2"),"")</f>
        <v>Link 2</v>
      </c>
      <c r="AA910" s="239" t="str">
        <f>IF('CCUS Projects Database'!$T910&lt;&gt;"",HYPERLINK('CCUS Projects Database'!$T910,"Link 3"),"")</f>
        <v/>
      </c>
      <c r="AB910" s="239" t="str">
        <f>IF('CCUS Projects Database'!$U910&lt;&gt;"",HYPERLINK('CCUS Projects Database'!$U910,"Link 4"),"")</f>
        <v/>
      </c>
      <c r="AC910" s="239" t="str">
        <f>IF('CCUS Projects Database'!$V910&lt;&gt;"",HYPERLINK('CCUS Projects Database'!$V910,"Link 5"),"")</f>
        <v/>
      </c>
      <c r="AD910" s="239" t="str">
        <f>IF('CCUS Projects Database'!$W910&lt;&gt;"",HYPERLINK('CCUS Projects Database'!$W910,"Link 6"),"")</f>
        <v/>
      </c>
      <c r="AE910" s="239" t="str">
        <f>IF('CCUS Projects Database'!$X910&lt;&gt;"",HYPERLINK('CCUS Projects Database'!$X910,"Link 7"),"")</f>
        <v/>
      </c>
    </row>
    <row r="911" ht="14.25" customHeight="1">
      <c r="A911" s="233" t="s">
        <v>21831</v>
      </c>
      <c r="B911" s="234">
        <v>1220.0</v>
      </c>
      <c r="C911" s="234" t="s">
        <v>18586</v>
      </c>
      <c r="D911" s="235" t="s">
        <v>21828</v>
      </c>
      <c r="E911" s="234" t="s">
        <v>18618</v>
      </c>
      <c r="F911" s="234">
        <v>2023.0</v>
      </c>
      <c r="G911" s="234" t="s">
        <v>18725</v>
      </c>
      <c r="H911" s="234" t="s">
        <v>18725</v>
      </c>
      <c r="I911" s="234" t="s">
        <v>18725</v>
      </c>
      <c r="J911" s="234" t="s">
        <v>18636</v>
      </c>
      <c r="K911" s="236" t="s">
        <v>18725</v>
      </c>
      <c r="L911" s="236">
        <v>0.05</v>
      </c>
      <c r="M911" s="236">
        <v>0.05</v>
      </c>
      <c r="N911" s="234" t="s">
        <v>18218</v>
      </c>
      <c r="O911" s="237" t="s">
        <v>18675</v>
      </c>
      <c r="P911" s="234" t="s">
        <v>18725</v>
      </c>
      <c r="Q911" s="234" t="s">
        <v>18732</v>
      </c>
      <c r="R911" s="238" t="s">
        <v>21832</v>
      </c>
      <c r="S911" s="238" t="s">
        <v>21830</v>
      </c>
      <c r="T911" s="238" t="s">
        <v>18725</v>
      </c>
      <c r="U911" s="238" t="s">
        <v>18725</v>
      </c>
      <c r="V911" s="238" t="s">
        <v>18725</v>
      </c>
      <c r="W911" s="238" t="s">
        <v>18725</v>
      </c>
      <c r="X911" s="238" t="s">
        <v>18725</v>
      </c>
      <c r="Y911" s="239" t="str">
        <f>IF('CCUS Projects Database'!$R911&lt;&gt;"",HYPERLINK('CCUS Projects Database'!$R911,"Link 1"),"")</f>
        <v>Link 1</v>
      </c>
      <c r="Z911" s="239" t="str">
        <f>IF('CCUS Projects Database'!$S911&lt;&gt;"",HYPERLINK('CCUS Projects Database'!$S911,"Link 2"),"")</f>
        <v>Link 2</v>
      </c>
      <c r="AA911" s="239" t="str">
        <f>IF('CCUS Projects Database'!$T911&lt;&gt;"",HYPERLINK('CCUS Projects Database'!$T911,"Link 3"),"")</f>
        <v/>
      </c>
      <c r="AB911" s="239" t="str">
        <f>IF('CCUS Projects Database'!$U911&lt;&gt;"",HYPERLINK('CCUS Projects Database'!$U911,"Link 4"),"")</f>
        <v/>
      </c>
      <c r="AC911" s="239" t="str">
        <f>IF('CCUS Projects Database'!$V911&lt;&gt;"",HYPERLINK('CCUS Projects Database'!$V911,"Link 5"),"")</f>
        <v/>
      </c>
      <c r="AD911" s="239" t="str">
        <f>IF('CCUS Projects Database'!$W911&lt;&gt;"",HYPERLINK('CCUS Projects Database'!$W911,"Link 6"),"")</f>
        <v/>
      </c>
      <c r="AE911" s="239" t="str">
        <f>IF('CCUS Projects Database'!$X911&lt;&gt;"",HYPERLINK('CCUS Projects Database'!$X911,"Link 7"),"")</f>
        <v/>
      </c>
    </row>
    <row r="912" ht="14.25" customHeight="1">
      <c r="A912" s="233" t="s">
        <v>21833</v>
      </c>
      <c r="B912" s="234">
        <v>1221.0</v>
      </c>
      <c r="C912" s="234" t="s">
        <v>18586</v>
      </c>
      <c r="D912" s="235" t="s">
        <v>20980</v>
      </c>
      <c r="E912" s="234" t="s">
        <v>3</v>
      </c>
      <c r="F912" s="234">
        <v>2023.0</v>
      </c>
      <c r="G912" s="234" t="s">
        <v>18725</v>
      </c>
      <c r="H912" s="234">
        <v>2030.0</v>
      </c>
      <c r="I912" s="234" t="s">
        <v>18725</v>
      </c>
      <c r="J912" s="234" t="s">
        <v>18636</v>
      </c>
      <c r="K912" s="236" t="s">
        <v>18725</v>
      </c>
      <c r="L912" s="236" t="s">
        <v>18725</v>
      </c>
      <c r="M912" s="236">
        <v>1.591</v>
      </c>
      <c r="N912" s="234" t="s">
        <v>3</v>
      </c>
      <c r="O912" s="237" t="s">
        <v>18675</v>
      </c>
      <c r="P912" s="234" t="s">
        <v>21834</v>
      </c>
      <c r="Q912" s="234" t="s">
        <v>18732</v>
      </c>
      <c r="R912" s="238" t="s">
        <v>21346</v>
      </c>
      <c r="S912" s="238" t="s">
        <v>21835</v>
      </c>
      <c r="T912" s="238" t="s">
        <v>21348</v>
      </c>
      <c r="U912" s="238" t="s">
        <v>18725</v>
      </c>
      <c r="V912" s="238" t="s">
        <v>18725</v>
      </c>
      <c r="W912" s="238" t="s">
        <v>18725</v>
      </c>
      <c r="X912" s="238" t="s">
        <v>18725</v>
      </c>
      <c r="Y912" s="239" t="str">
        <f>IF('CCUS Projects Database'!$R912&lt;&gt;"",HYPERLINK('CCUS Projects Database'!$R912,"Link 1"),"")</f>
        <v>Link 1</v>
      </c>
      <c r="Z912" s="239" t="str">
        <f>IF('CCUS Projects Database'!$S912&lt;&gt;"",HYPERLINK('CCUS Projects Database'!$S912,"Link 2"),"")</f>
        <v>Link 2</v>
      </c>
      <c r="AA912" s="239" t="str">
        <f>IF('CCUS Projects Database'!$T912&lt;&gt;"",HYPERLINK('CCUS Projects Database'!$T912,"Link 3"),"")</f>
        <v>Link 3</v>
      </c>
      <c r="AB912" s="239" t="str">
        <f>IF('CCUS Projects Database'!$U912&lt;&gt;"",HYPERLINK('CCUS Projects Database'!$U912,"Link 4"),"")</f>
        <v/>
      </c>
      <c r="AC912" s="239" t="str">
        <f>IF('CCUS Projects Database'!$V912&lt;&gt;"",HYPERLINK('CCUS Projects Database'!$V912,"Link 5"),"")</f>
        <v/>
      </c>
      <c r="AD912" s="239" t="str">
        <f>IF('CCUS Projects Database'!$W912&lt;&gt;"",HYPERLINK('CCUS Projects Database'!$W912,"Link 6"),"")</f>
        <v/>
      </c>
      <c r="AE912" s="239" t="str">
        <f>IF('CCUS Projects Database'!$X912&lt;&gt;"",HYPERLINK('CCUS Projects Database'!$X912,"Link 7"),"")</f>
        <v/>
      </c>
    </row>
    <row r="913" ht="14.25" customHeight="1">
      <c r="A913" s="233" t="s">
        <v>21836</v>
      </c>
      <c r="B913" s="234">
        <v>1222.0</v>
      </c>
      <c r="C913" s="234" t="s">
        <v>18586</v>
      </c>
      <c r="D913" s="235" t="s">
        <v>20980</v>
      </c>
      <c r="E913" s="234" t="s">
        <v>3</v>
      </c>
      <c r="F913" s="234">
        <v>2023.0</v>
      </c>
      <c r="G913" s="234" t="s">
        <v>18725</v>
      </c>
      <c r="H913" s="234">
        <v>2030.0</v>
      </c>
      <c r="I913" s="234" t="s">
        <v>18725</v>
      </c>
      <c r="J913" s="234" t="s">
        <v>18636</v>
      </c>
      <c r="K913" s="236" t="s">
        <v>18725</v>
      </c>
      <c r="L913" s="236" t="s">
        <v>18725</v>
      </c>
      <c r="M913" s="236">
        <v>2.727</v>
      </c>
      <c r="N913" s="234" t="s">
        <v>3</v>
      </c>
      <c r="O913" s="237" t="s">
        <v>18675</v>
      </c>
      <c r="P913" s="234" t="s">
        <v>21836</v>
      </c>
      <c r="Q913" s="234" t="s">
        <v>18732</v>
      </c>
      <c r="R913" s="238" t="s">
        <v>21346</v>
      </c>
      <c r="S913" s="238" t="s">
        <v>21837</v>
      </c>
      <c r="T913" s="238" t="s">
        <v>21348</v>
      </c>
      <c r="U913" s="238" t="s">
        <v>18725</v>
      </c>
      <c r="V913" s="238" t="s">
        <v>18725</v>
      </c>
      <c r="W913" s="238" t="s">
        <v>18725</v>
      </c>
      <c r="X913" s="238" t="s">
        <v>18725</v>
      </c>
      <c r="Y913" s="239" t="str">
        <f>IF('CCUS Projects Database'!$R913&lt;&gt;"",HYPERLINK('CCUS Projects Database'!$R913,"Link 1"),"")</f>
        <v>Link 1</v>
      </c>
      <c r="Z913" s="239" t="str">
        <f>IF('CCUS Projects Database'!$S913&lt;&gt;"",HYPERLINK('CCUS Projects Database'!$S913,"Link 2"),"")</f>
        <v>Link 2</v>
      </c>
      <c r="AA913" s="239" t="str">
        <f>IF('CCUS Projects Database'!$T913&lt;&gt;"",HYPERLINK('CCUS Projects Database'!$T913,"Link 3"),"")</f>
        <v>Link 3</v>
      </c>
      <c r="AB913" s="239" t="str">
        <f>IF('CCUS Projects Database'!$U913&lt;&gt;"",HYPERLINK('CCUS Projects Database'!$U913,"Link 4"),"")</f>
        <v/>
      </c>
      <c r="AC913" s="239" t="str">
        <f>IF('CCUS Projects Database'!$V913&lt;&gt;"",HYPERLINK('CCUS Projects Database'!$V913,"Link 5"),"")</f>
        <v/>
      </c>
      <c r="AD913" s="239" t="str">
        <f>IF('CCUS Projects Database'!$W913&lt;&gt;"",HYPERLINK('CCUS Projects Database'!$W913,"Link 6"),"")</f>
        <v/>
      </c>
      <c r="AE913" s="239" t="str">
        <f>IF('CCUS Projects Database'!$X913&lt;&gt;"",HYPERLINK('CCUS Projects Database'!$X913,"Link 7"),"")</f>
        <v/>
      </c>
    </row>
    <row r="914" ht="14.25" customHeight="1">
      <c r="A914" s="233" t="s">
        <v>21838</v>
      </c>
      <c r="B914" s="234">
        <v>1223.0</v>
      </c>
      <c r="C914" s="234" t="s">
        <v>18586</v>
      </c>
      <c r="D914" s="235" t="s">
        <v>21839</v>
      </c>
      <c r="E914" s="234" t="s">
        <v>3</v>
      </c>
      <c r="F914" s="234">
        <v>2023.0</v>
      </c>
      <c r="G914" s="234" t="s">
        <v>18725</v>
      </c>
      <c r="H914" s="234" t="s">
        <v>18725</v>
      </c>
      <c r="I914" s="234" t="s">
        <v>18725</v>
      </c>
      <c r="J914" s="234" t="s">
        <v>18636</v>
      </c>
      <c r="K914" s="236" t="s">
        <v>18725</v>
      </c>
      <c r="L914" s="236">
        <v>0.25</v>
      </c>
      <c r="M914" s="236">
        <v>0.25</v>
      </c>
      <c r="N914" s="234" t="s">
        <v>3</v>
      </c>
      <c r="O914" s="237" t="s">
        <v>18675</v>
      </c>
      <c r="P914" s="234" t="s">
        <v>18725</v>
      </c>
      <c r="Q914" s="234" t="s">
        <v>18732</v>
      </c>
      <c r="R914" s="238" t="s">
        <v>21840</v>
      </c>
      <c r="S914" s="238" t="s">
        <v>18725</v>
      </c>
      <c r="T914" s="238" t="s">
        <v>18725</v>
      </c>
      <c r="U914" s="238" t="s">
        <v>18725</v>
      </c>
      <c r="V914" s="238" t="s">
        <v>18725</v>
      </c>
      <c r="W914" s="238" t="s">
        <v>18725</v>
      </c>
      <c r="X914" s="238" t="s">
        <v>18725</v>
      </c>
      <c r="Y914" s="239" t="str">
        <f>IF('CCUS Projects Database'!$R914&lt;&gt;"",HYPERLINK('CCUS Projects Database'!$R914,"Link 1"),"")</f>
        <v>Link 1</v>
      </c>
      <c r="Z914" s="239" t="str">
        <f>IF('CCUS Projects Database'!$S914&lt;&gt;"",HYPERLINK('CCUS Projects Database'!$S914,"Link 2"),"")</f>
        <v/>
      </c>
      <c r="AA914" s="239" t="str">
        <f>IF('CCUS Projects Database'!$T914&lt;&gt;"",HYPERLINK('CCUS Projects Database'!$T914,"Link 3"),"")</f>
        <v/>
      </c>
      <c r="AB914" s="239" t="str">
        <f>IF('CCUS Projects Database'!$U914&lt;&gt;"",HYPERLINK('CCUS Projects Database'!$U914,"Link 4"),"")</f>
        <v/>
      </c>
      <c r="AC914" s="239" t="str">
        <f>IF('CCUS Projects Database'!$V914&lt;&gt;"",HYPERLINK('CCUS Projects Database'!$V914,"Link 5"),"")</f>
        <v/>
      </c>
      <c r="AD914" s="239" t="str">
        <f>IF('CCUS Projects Database'!$W914&lt;&gt;"",HYPERLINK('CCUS Projects Database'!$W914,"Link 6"),"")</f>
        <v/>
      </c>
      <c r="AE914" s="239" t="str">
        <f>IF('CCUS Projects Database'!$X914&lt;&gt;"",HYPERLINK('CCUS Projects Database'!$X914,"Link 7"),"")</f>
        <v/>
      </c>
    </row>
    <row r="915" ht="14.25" customHeight="1">
      <c r="A915" s="233" t="s">
        <v>21841</v>
      </c>
      <c r="B915" s="234">
        <v>1224.0</v>
      </c>
      <c r="C915" s="234" t="s">
        <v>18586</v>
      </c>
      <c r="D915" s="235" t="s">
        <v>21842</v>
      </c>
      <c r="E915" s="234" t="s">
        <v>3</v>
      </c>
      <c r="F915" s="234">
        <v>2023.0</v>
      </c>
      <c r="G915" s="234" t="s">
        <v>18725</v>
      </c>
      <c r="H915" s="234" t="s">
        <v>18725</v>
      </c>
      <c r="I915" s="234" t="s">
        <v>18725</v>
      </c>
      <c r="J915" s="234" t="s">
        <v>18636</v>
      </c>
      <c r="K915" s="236" t="s">
        <v>18725</v>
      </c>
      <c r="L915" s="236" t="s">
        <v>18725</v>
      </c>
      <c r="M915" s="236" t="s">
        <v>18725</v>
      </c>
      <c r="N915" s="234" t="s">
        <v>3</v>
      </c>
      <c r="O915" s="237" t="s">
        <v>18675</v>
      </c>
      <c r="P915" s="234" t="s">
        <v>18725</v>
      </c>
      <c r="Q915" s="234" t="s">
        <v>18732</v>
      </c>
      <c r="R915" s="238" t="s">
        <v>21843</v>
      </c>
      <c r="S915" s="238" t="s">
        <v>18725</v>
      </c>
      <c r="T915" s="238" t="s">
        <v>18725</v>
      </c>
      <c r="U915" s="238" t="s">
        <v>18725</v>
      </c>
      <c r="V915" s="238" t="s">
        <v>18725</v>
      </c>
      <c r="W915" s="238" t="s">
        <v>18725</v>
      </c>
      <c r="X915" s="238" t="s">
        <v>18725</v>
      </c>
      <c r="Y915" s="239" t="str">
        <f>IF('CCUS Projects Database'!$R915&lt;&gt;"",HYPERLINK('CCUS Projects Database'!$R915,"Link 1"),"")</f>
        <v>Link 1</v>
      </c>
      <c r="Z915" s="239" t="str">
        <f>IF('CCUS Projects Database'!$S915&lt;&gt;"",HYPERLINK('CCUS Projects Database'!$S915,"Link 2"),"")</f>
        <v/>
      </c>
      <c r="AA915" s="239" t="str">
        <f>IF('CCUS Projects Database'!$T915&lt;&gt;"",HYPERLINK('CCUS Projects Database'!$T915,"Link 3"),"")</f>
        <v/>
      </c>
      <c r="AB915" s="239" t="str">
        <f>IF('CCUS Projects Database'!$U915&lt;&gt;"",HYPERLINK('CCUS Projects Database'!$U915,"Link 4"),"")</f>
        <v/>
      </c>
      <c r="AC915" s="239" t="str">
        <f>IF('CCUS Projects Database'!$V915&lt;&gt;"",HYPERLINK('CCUS Projects Database'!$V915,"Link 5"),"")</f>
        <v/>
      </c>
      <c r="AD915" s="239" t="str">
        <f>IF('CCUS Projects Database'!$W915&lt;&gt;"",HYPERLINK('CCUS Projects Database'!$W915,"Link 6"),"")</f>
        <v/>
      </c>
      <c r="AE915" s="239" t="str">
        <f>IF('CCUS Projects Database'!$X915&lt;&gt;"",HYPERLINK('CCUS Projects Database'!$X915,"Link 7"),"")</f>
        <v/>
      </c>
    </row>
    <row r="916" ht="14.25" customHeight="1">
      <c r="A916" s="233" t="s">
        <v>21844</v>
      </c>
      <c r="B916" s="234">
        <v>1225.0</v>
      </c>
      <c r="C916" s="234" t="s">
        <v>18586</v>
      </c>
      <c r="D916" s="235" t="s">
        <v>21845</v>
      </c>
      <c r="E916" s="234" t="s">
        <v>18616</v>
      </c>
      <c r="F916" s="234">
        <v>2022.0</v>
      </c>
      <c r="G916" s="234" t="s">
        <v>18725</v>
      </c>
      <c r="H916" s="234" t="s">
        <v>18725</v>
      </c>
      <c r="I916" s="234" t="s">
        <v>18725</v>
      </c>
      <c r="J916" s="234" t="s">
        <v>18636</v>
      </c>
      <c r="K916" s="236" t="s">
        <v>18725</v>
      </c>
      <c r="L916" s="236">
        <v>0.128</v>
      </c>
      <c r="M916" s="236">
        <v>0.128</v>
      </c>
      <c r="N916" s="234" t="s">
        <v>12270</v>
      </c>
      <c r="O916" s="237" t="s">
        <v>18675</v>
      </c>
      <c r="P916" s="234" t="s">
        <v>18725</v>
      </c>
      <c r="Q916" s="234" t="s">
        <v>18732</v>
      </c>
      <c r="R916" s="238" t="s">
        <v>21846</v>
      </c>
      <c r="S916" s="238" t="s">
        <v>18725</v>
      </c>
      <c r="T916" s="238" t="s">
        <v>18725</v>
      </c>
      <c r="U916" s="238" t="s">
        <v>18725</v>
      </c>
      <c r="V916" s="238" t="s">
        <v>18725</v>
      </c>
      <c r="W916" s="238" t="s">
        <v>18725</v>
      </c>
      <c r="X916" s="238" t="s">
        <v>18725</v>
      </c>
      <c r="Y916" s="239" t="str">
        <f>IF('CCUS Projects Database'!$R916&lt;&gt;"",HYPERLINK('CCUS Projects Database'!$R916,"Link 1"),"")</f>
        <v>Link 1</v>
      </c>
      <c r="Z916" s="239" t="str">
        <f>IF('CCUS Projects Database'!$S916&lt;&gt;"",HYPERLINK('CCUS Projects Database'!$S916,"Link 2"),"")</f>
        <v/>
      </c>
      <c r="AA916" s="239" t="str">
        <f>IF('CCUS Projects Database'!$T916&lt;&gt;"",HYPERLINK('CCUS Projects Database'!$T916,"Link 3"),"")</f>
        <v/>
      </c>
      <c r="AB916" s="239" t="str">
        <f>IF('CCUS Projects Database'!$U916&lt;&gt;"",HYPERLINK('CCUS Projects Database'!$U916,"Link 4"),"")</f>
        <v/>
      </c>
      <c r="AC916" s="239" t="str">
        <f>IF('CCUS Projects Database'!$V916&lt;&gt;"",HYPERLINK('CCUS Projects Database'!$V916,"Link 5"),"")</f>
        <v/>
      </c>
      <c r="AD916" s="239" t="str">
        <f>IF('CCUS Projects Database'!$W916&lt;&gt;"",HYPERLINK('CCUS Projects Database'!$W916,"Link 6"),"")</f>
        <v/>
      </c>
      <c r="AE916" s="239" t="str">
        <f>IF('CCUS Projects Database'!$X916&lt;&gt;"",HYPERLINK('CCUS Projects Database'!$X916,"Link 7"),"")</f>
        <v/>
      </c>
    </row>
    <row r="917" ht="14.25" customHeight="1">
      <c r="A917" s="233" t="s">
        <v>21847</v>
      </c>
      <c r="B917" s="234">
        <v>1226.0</v>
      </c>
      <c r="C917" s="234" t="s">
        <v>18586</v>
      </c>
      <c r="D917" s="235" t="s">
        <v>21848</v>
      </c>
      <c r="E917" s="234" t="s">
        <v>3</v>
      </c>
      <c r="F917" s="234">
        <v>2024.0</v>
      </c>
      <c r="G917" s="234" t="s">
        <v>18725</v>
      </c>
      <c r="H917" s="234" t="s">
        <v>18725</v>
      </c>
      <c r="I917" s="234" t="s">
        <v>18725</v>
      </c>
      <c r="J917" s="234" t="s">
        <v>18636</v>
      </c>
      <c r="K917" s="236" t="s">
        <v>18725</v>
      </c>
      <c r="L917" s="236" t="s">
        <v>18725</v>
      </c>
      <c r="M917" s="236" t="s">
        <v>18725</v>
      </c>
      <c r="N917" s="234" t="s">
        <v>3</v>
      </c>
      <c r="O917" s="237" t="s">
        <v>18675</v>
      </c>
      <c r="P917" s="234" t="s">
        <v>21847</v>
      </c>
      <c r="Q917" s="234" t="s">
        <v>18732</v>
      </c>
      <c r="R917" s="238" t="s">
        <v>18725</v>
      </c>
      <c r="S917" s="238" t="s">
        <v>18725</v>
      </c>
      <c r="T917" s="238" t="s">
        <v>18725</v>
      </c>
      <c r="U917" s="238" t="s">
        <v>18725</v>
      </c>
      <c r="V917" s="238" t="s">
        <v>18725</v>
      </c>
      <c r="W917" s="238" t="s">
        <v>18725</v>
      </c>
      <c r="X917" s="238" t="s">
        <v>18725</v>
      </c>
      <c r="Y917" s="239" t="str">
        <f>IF('CCUS Projects Database'!$R917&lt;&gt;"",HYPERLINK('CCUS Projects Database'!$R917,"Link 1"),"")</f>
        <v/>
      </c>
      <c r="Z917" s="239" t="str">
        <f>IF('CCUS Projects Database'!$S917&lt;&gt;"",HYPERLINK('CCUS Projects Database'!$S917,"Link 2"),"")</f>
        <v/>
      </c>
      <c r="AA917" s="239" t="str">
        <f>IF('CCUS Projects Database'!$T917&lt;&gt;"",HYPERLINK('CCUS Projects Database'!$T917,"Link 3"),"")</f>
        <v/>
      </c>
      <c r="AB917" s="239" t="str">
        <f>IF('CCUS Projects Database'!$U917&lt;&gt;"",HYPERLINK('CCUS Projects Database'!$U917,"Link 4"),"")</f>
        <v/>
      </c>
      <c r="AC917" s="239" t="str">
        <f>IF('CCUS Projects Database'!$V917&lt;&gt;"",HYPERLINK('CCUS Projects Database'!$V917,"Link 5"),"")</f>
        <v/>
      </c>
      <c r="AD917" s="239" t="str">
        <f>IF('CCUS Projects Database'!$W917&lt;&gt;"",HYPERLINK('CCUS Projects Database'!$W917,"Link 6"),"")</f>
        <v/>
      </c>
      <c r="AE917" s="239" t="str">
        <f>IF('CCUS Projects Database'!$X917&lt;&gt;"",HYPERLINK('CCUS Projects Database'!$X917,"Link 7"),"")</f>
        <v/>
      </c>
    </row>
    <row r="918" ht="14.25" customHeight="1">
      <c r="A918" s="233" t="s">
        <v>21849</v>
      </c>
      <c r="B918" s="234">
        <v>1227.0</v>
      </c>
      <c r="C918" s="234" t="s">
        <v>18586</v>
      </c>
      <c r="D918" s="235" t="s">
        <v>21850</v>
      </c>
      <c r="E918" s="234" t="s">
        <v>3</v>
      </c>
      <c r="F918" s="234">
        <v>2024.0</v>
      </c>
      <c r="G918" s="234" t="s">
        <v>18725</v>
      </c>
      <c r="H918" s="234" t="s">
        <v>18725</v>
      </c>
      <c r="I918" s="234" t="s">
        <v>18725</v>
      </c>
      <c r="J918" s="234" t="s">
        <v>18636</v>
      </c>
      <c r="K918" s="236" t="s">
        <v>18725</v>
      </c>
      <c r="L918" s="236" t="s">
        <v>18725</v>
      </c>
      <c r="M918" s="236" t="s">
        <v>18725</v>
      </c>
      <c r="N918" s="234" t="s">
        <v>3</v>
      </c>
      <c r="O918" s="237" t="s">
        <v>18675</v>
      </c>
      <c r="P918" s="234" t="s">
        <v>18725</v>
      </c>
      <c r="Q918" s="234" t="s">
        <v>18732</v>
      </c>
      <c r="R918" s="238" t="s">
        <v>18725</v>
      </c>
      <c r="S918" s="238" t="s">
        <v>18725</v>
      </c>
      <c r="T918" s="238" t="s">
        <v>18725</v>
      </c>
      <c r="U918" s="238" t="s">
        <v>18725</v>
      </c>
      <c r="V918" s="238" t="s">
        <v>18725</v>
      </c>
      <c r="W918" s="238" t="s">
        <v>18725</v>
      </c>
      <c r="X918" s="238" t="s">
        <v>18725</v>
      </c>
      <c r="Y918" s="239" t="str">
        <f>IF('CCUS Projects Database'!$R918&lt;&gt;"",HYPERLINK('CCUS Projects Database'!$R918,"Link 1"),"")</f>
        <v/>
      </c>
      <c r="Z918" s="239" t="str">
        <f>IF('CCUS Projects Database'!$S918&lt;&gt;"",HYPERLINK('CCUS Projects Database'!$S918,"Link 2"),"")</f>
        <v/>
      </c>
      <c r="AA918" s="239" t="str">
        <f>IF('CCUS Projects Database'!$T918&lt;&gt;"",HYPERLINK('CCUS Projects Database'!$T918,"Link 3"),"")</f>
        <v/>
      </c>
      <c r="AB918" s="239" t="str">
        <f>IF('CCUS Projects Database'!$U918&lt;&gt;"",HYPERLINK('CCUS Projects Database'!$U918,"Link 4"),"")</f>
        <v/>
      </c>
      <c r="AC918" s="239" t="str">
        <f>IF('CCUS Projects Database'!$V918&lt;&gt;"",HYPERLINK('CCUS Projects Database'!$V918,"Link 5"),"")</f>
        <v/>
      </c>
      <c r="AD918" s="239" t="str">
        <f>IF('CCUS Projects Database'!$W918&lt;&gt;"",HYPERLINK('CCUS Projects Database'!$W918,"Link 6"),"")</f>
        <v/>
      </c>
      <c r="AE918" s="239" t="str">
        <f>IF('CCUS Projects Database'!$X918&lt;&gt;"",HYPERLINK('CCUS Projects Database'!$X918,"Link 7"),"")</f>
        <v/>
      </c>
    </row>
    <row r="919" ht="14.25" customHeight="1">
      <c r="A919" s="233" t="s">
        <v>21851</v>
      </c>
      <c r="B919" s="234">
        <v>1228.0</v>
      </c>
      <c r="C919" s="234" t="s">
        <v>18586</v>
      </c>
      <c r="D919" s="235" t="s">
        <v>21852</v>
      </c>
      <c r="E919" s="234" t="s">
        <v>18616</v>
      </c>
      <c r="F919" s="234">
        <v>2024.0</v>
      </c>
      <c r="G919" s="234" t="s">
        <v>18725</v>
      </c>
      <c r="H919" s="234" t="s">
        <v>18725</v>
      </c>
      <c r="I919" s="234" t="s">
        <v>18725</v>
      </c>
      <c r="J919" s="234" t="s">
        <v>18636</v>
      </c>
      <c r="K919" s="236" t="s">
        <v>18725</v>
      </c>
      <c r="L919" s="236">
        <v>0.7</v>
      </c>
      <c r="M919" s="236">
        <v>0.7</v>
      </c>
      <c r="N919" s="234" t="s">
        <v>12270</v>
      </c>
      <c r="O919" s="237" t="s">
        <v>18675</v>
      </c>
      <c r="P919" s="234" t="s">
        <v>18725</v>
      </c>
      <c r="Q919" s="234" t="s">
        <v>18732</v>
      </c>
      <c r="R919" s="238" t="s">
        <v>18725</v>
      </c>
      <c r="S919" s="238" t="s">
        <v>18725</v>
      </c>
      <c r="T919" s="238" t="s">
        <v>18725</v>
      </c>
      <c r="U919" s="238" t="s">
        <v>18725</v>
      </c>
      <c r="V919" s="238" t="s">
        <v>18725</v>
      </c>
      <c r="W919" s="238" t="s">
        <v>18725</v>
      </c>
      <c r="X919" s="238" t="s">
        <v>18725</v>
      </c>
      <c r="Y919" s="239" t="str">
        <f>IF('CCUS Projects Database'!$R919&lt;&gt;"",HYPERLINK('CCUS Projects Database'!$R919,"Link 1"),"")</f>
        <v/>
      </c>
      <c r="Z919" s="239" t="str">
        <f>IF('CCUS Projects Database'!$S919&lt;&gt;"",HYPERLINK('CCUS Projects Database'!$S919,"Link 2"),"")</f>
        <v/>
      </c>
      <c r="AA919" s="239" t="str">
        <f>IF('CCUS Projects Database'!$T919&lt;&gt;"",HYPERLINK('CCUS Projects Database'!$T919,"Link 3"),"")</f>
        <v/>
      </c>
      <c r="AB919" s="239" t="str">
        <f>IF('CCUS Projects Database'!$U919&lt;&gt;"",HYPERLINK('CCUS Projects Database'!$U919,"Link 4"),"")</f>
        <v/>
      </c>
      <c r="AC919" s="239" t="str">
        <f>IF('CCUS Projects Database'!$V919&lt;&gt;"",HYPERLINK('CCUS Projects Database'!$V919,"Link 5"),"")</f>
        <v/>
      </c>
      <c r="AD919" s="239" t="str">
        <f>IF('CCUS Projects Database'!$W919&lt;&gt;"",HYPERLINK('CCUS Projects Database'!$W919,"Link 6"),"")</f>
        <v/>
      </c>
      <c r="AE919" s="239" t="str">
        <f>IF('CCUS Projects Database'!$X919&lt;&gt;"",HYPERLINK('CCUS Projects Database'!$X919,"Link 7"),"")</f>
        <v/>
      </c>
    </row>
    <row r="920" ht="14.25" customHeight="1">
      <c r="A920" s="233" t="s">
        <v>21853</v>
      </c>
      <c r="B920" s="234">
        <v>1229.0</v>
      </c>
      <c r="C920" s="234" t="s">
        <v>18586</v>
      </c>
      <c r="D920" s="235" t="s">
        <v>21181</v>
      </c>
      <c r="E920" s="234" t="s">
        <v>3</v>
      </c>
      <c r="F920" s="234">
        <v>2024.0</v>
      </c>
      <c r="G920" s="234" t="s">
        <v>18725</v>
      </c>
      <c r="H920" s="234">
        <v>2027.0</v>
      </c>
      <c r="I920" s="234" t="s">
        <v>18725</v>
      </c>
      <c r="J920" s="234" t="s">
        <v>18636</v>
      </c>
      <c r="K920" s="236" t="s">
        <v>18725</v>
      </c>
      <c r="L920" s="236">
        <v>2.5</v>
      </c>
      <c r="M920" s="236">
        <v>2.5</v>
      </c>
      <c r="N920" s="234" t="s">
        <v>3</v>
      </c>
      <c r="O920" s="237" t="s">
        <v>18675</v>
      </c>
      <c r="P920" s="234" t="s">
        <v>21854</v>
      </c>
      <c r="Q920" s="234" t="s">
        <v>18732</v>
      </c>
      <c r="R920" s="238" t="s">
        <v>21855</v>
      </c>
      <c r="S920" s="238" t="s">
        <v>18725</v>
      </c>
      <c r="T920" s="238" t="s">
        <v>18725</v>
      </c>
      <c r="U920" s="238" t="s">
        <v>18725</v>
      </c>
      <c r="V920" s="238" t="s">
        <v>18725</v>
      </c>
      <c r="W920" s="238" t="s">
        <v>18725</v>
      </c>
      <c r="X920" s="238" t="s">
        <v>18725</v>
      </c>
      <c r="Y920" s="239" t="str">
        <f>IF('CCUS Projects Database'!$R920&lt;&gt;"",HYPERLINK('CCUS Projects Database'!$R920,"Link 1"),"")</f>
        <v>Link 1</v>
      </c>
      <c r="Z920" s="239" t="str">
        <f>IF('CCUS Projects Database'!$S920&lt;&gt;"",HYPERLINK('CCUS Projects Database'!$S920,"Link 2"),"")</f>
        <v/>
      </c>
      <c r="AA920" s="239" t="str">
        <f>IF('CCUS Projects Database'!$T920&lt;&gt;"",HYPERLINK('CCUS Projects Database'!$T920,"Link 3"),"")</f>
        <v/>
      </c>
      <c r="AB920" s="239" t="str">
        <f>IF('CCUS Projects Database'!$U920&lt;&gt;"",HYPERLINK('CCUS Projects Database'!$U920,"Link 4"),"")</f>
        <v/>
      </c>
      <c r="AC920" s="239" t="str">
        <f>IF('CCUS Projects Database'!$V920&lt;&gt;"",HYPERLINK('CCUS Projects Database'!$V920,"Link 5"),"")</f>
        <v/>
      </c>
      <c r="AD920" s="239" t="str">
        <f>IF('CCUS Projects Database'!$W920&lt;&gt;"",HYPERLINK('CCUS Projects Database'!$W920,"Link 6"),"")</f>
        <v/>
      </c>
      <c r="AE920" s="239" t="str">
        <f>IF('CCUS Projects Database'!$X920&lt;&gt;"",HYPERLINK('CCUS Projects Database'!$X920,"Link 7"),"")</f>
        <v/>
      </c>
    </row>
    <row r="921" ht="14.25" customHeight="1">
      <c r="A921" s="233" t="s">
        <v>21856</v>
      </c>
      <c r="B921" s="234">
        <v>1230.0</v>
      </c>
      <c r="C921" s="234" t="s">
        <v>18586</v>
      </c>
      <c r="D921" s="235" t="s">
        <v>21857</v>
      </c>
      <c r="E921" s="234" t="s">
        <v>3</v>
      </c>
      <c r="F921" s="234">
        <v>2024.0</v>
      </c>
      <c r="G921" s="234" t="s">
        <v>18725</v>
      </c>
      <c r="H921" s="234" t="s">
        <v>18725</v>
      </c>
      <c r="I921" s="234" t="s">
        <v>18725</v>
      </c>
      <c r="J921" s="234" t="s">
        <v>18636</v>
      </c>
      <c r="K921" s="236" t="s">
        <v>18725</v>
      </c>
      <c r="L921" s="236" t="s">
        <v>18725</v>
      </c>
      <c r="M921" s="236">
        <v>1.0</v>
      </c>
      <c r="N921" s="234" t="s">
        <v>3</v>
      </c>
      <c r="O921" s="237" t="s">
        <v>18675</v>
      </c>
      <c r="P921" s="234" t="s">
        <v>18725</v>
      </c>
      <c r="Q921" s="234" t="s">
        <v>18732</v>
      </c>
      <c r="R921" s="238" t="s">
        <v>18725</v>
      </c>
      <c r="S921" s="238" t="s">
        <v>18725</v>
      </c>
      <c r="T921" s="238" t="s">
        <v>18725</v>
      </c>
      <c r="U921" s="238" t="s">
        <v>18725</v>
      </c>
      <c r="V921" s="238" t="s">
        <v>18725</v>
      </c>
      <c r="W921" s="238" t="s">
        <v>18725</v>
      </c>
      <c r="X921" s="238" t="s">
        <v>18725</v>
      </c>
      <c r="Y921" s="239" t="str">
        <f>IF('CCUS Projects Database'!$R921&lt;&gt;"",HYPERLINK('CCUS Projects Database'!$R921,"Link 1"),"")</f>
        <v/>
      </c>
      <c r="Z921" s="239" t="str">
        <f>IF('CCUS Projects Database'!$S921&lt;&gt;"",HYPERLINK('CCUS Projects Database'!$S921,"Link 2"),"")</f>
        <v/>
      </c>
      <c r="AA921" s="239" t="str">
        <f>IF('CCUS Projects Database'!$T921&lt;&gt;"",HYPERLINK('CCUS Projects Database'!$T921,"Link 3"),"")</f>
        <v/>
      </c>
      <c r="AB921" s="239" t="str">
        <f>IF('CCUS Projects Database'!$U921&lt;&gt;"",HYPERLINK('CCUS Projects Database'!$U921,"Link 4"),"")</f>
        <v/>
      </c>
      <c r="AC921" s="239" t="str">
        <f>IF('CCUS Projects Database'!$V921&lt;&gt;"",HYPERLINK('CCUS Projects Database'!$V921,"Link 5"),"")</f>
        <v/>
      </c>
      <c r="AD921" s="239" t="str">
        <f>IF('CCUS Projects Database'!$W921&lt;&gt;"",HYPERLINK('CCUS Projects Database'!$W921,"Link 6"),"")</f>
        <v/>
      </c>
      <c r="AE921" s="239" t="str">
        <f>IF('CCUS Projects Database'!$X921&lt;&gt;"",HYPERLINK('CCUS Projects Database'!$X921,"Link 7"),"")</f>
        <v/>
      </c>
    </row>
    <row r="922" ht="14.25" customHeight="1">
      <c r="A922" s="233" t="s">
        <v>21858</v>
      </c>
      <c r="B922" s="234">
        <v>1231.0</v>
      </c>
      <c r="C922" s="234" t="s">
        <v>18586</v>
      </c>
      <c r="D922" s="235" t="s">
        <v>19206</v>
      </c>
      <c r="E922" s="234" t="s">
        <v>3</v>
      </c>
      <c r="F922" s="234">
        <v>2024.0</v>
      </c>
      <c r="G922" s="234" t="s">
        <v>18725</v>
      </c>
      <c r="H922" s="234" t="s">
        <v>18725</v>
      </c>
      <c r="I922" s="234" t="s">
        <v>18725</v>
      </c>
      <c r="J922" s="234" t="s">
        <v>18636</v>
      </c>
      <c r="K922" s="236" t="s">
        <v>18725</v>
      </c>
      <c r="L922" s="236" t="s">
        <v>18725</v>
      </c>
      <c r="M922" s="236" t="s">
        <v>18725</v>
      </c>
      <c r="N922" s="234" t="s">
        <v>3</v>
      </c>
      <c r="O922" s="237" t="s">
        <v>18675</v>
      </c>
      <c r="P922" s="234" t="s">
        <v>21858</v>
      </c>
      <c r="Q922" s="234" t="s">
        <v>18732</v>
      </c>
      <c r="R922" s="238" t="s">
        <v>18725</v>
      </c>
      <c r="S922" s="238" t="s">
        <v>18725</v>
      </c>
      <c r="T922" s="238" t="s">
        <v>18725</v>
      </c>
      <c r="U922" s="238" t="s">
        <v>18725</v>
      </c>
      <c r="V922" s="238" t="s">
        <v>18725</v>
      </c>
      <c r="W922" s="238" t="s">
        <v>18725</v>
      </c>
      <c r="X922" s="238" t="s">
        <v>18725</v>
      </c>
      <c r="Y922" s="239" t="str">
        <f>IF('CCUS Projects Database'!$R922&lt;&gt;"",HYPERLINK('CCUS Projects Database'!$R922,"Link 1"),"")</f>
        <v/>
      </c>
      <c r="Z922" s="239" t="str">
        <f>IF('CCUS Projects Database'!$S922&lt;&gt;"",HYPERLINK('CCUS Projects Database'!$S922,"Link 2"),"")</f>
        <v/>
      </c>
      <c r="AA922" s="239" t="str">
        <f>IF('CCUS Projects Database'!$T922&lt;&gt;"",HYPERLINK('CCUS Projects Database'!$T922,"Link 3"),"")</f>
        <v/>
      </c>
      <c r="AB922" s="239" t="str">
        <f>IF('CCUS Projects Database'!$U922&lt;&gt;"",HYPERLINK('CCUS Projects Database'!$U922,"Link 4"),"")</f>
        <v/>
      </c>
      <c r="AC922" s="239" t="str">
        <f>IF('CCUS Projects Database'!$V922&lt;&gt;"",HYPERLINK('CCUS Projects Database'!$V922,"Link 5"),"")</f>
        <v/>
      </c>
      <c r="AD922" s="239" t="str">
        <f>IF('CCUS Projects Database'!$W922&lt;&gt;"",HYPERLINK('CCUS Projects Database'!$W922,"Link 6"),"")</f>
        <v/>
      </c>
      <c r="AE922" s="239" t="str">
        <f>IF('CCUS Projects Database'!$X922&lt;&gt;"",HYPERLINK('CCUS Projects Database'!$X922,"Link 7"),"")</f>
        <v/>
      </c>
    </row>
    <row r="923" ht="14.25" customHeight="1">
      <c r="A923" s="233" t="s">
        <v>21859</v>
      </c>
      <c r="B923" s="234">
        <v>1232.0</v>
      </c>
      <c r="C923" s="234" t="s">
        <v>18398</v>
      </c>
      <c r="D923" s="235" t="s">
        <v>21860</v>
      </c>
      <c r="E923" s="234" t="s">
        <v>3</v>
      </c>
      <c r="F923" s="234">
        <v>2024.0</v>
      </c>
      <c r="G923" s="234" t="s">
        <v>18725</v>
      </c>
      <c r="H923" s="234" t="s">
        <v>18725</v>
      </c>
      <c r="I923" s="234" t="s">
        <v>18725</v>
      </c>
      <c r="J923" s="234" t="s">
        <v>18636</v>
      </c>
      <c r="K923" s="236" t="s">
        <v>18725</v>
      </c>
      <c r="L923" s="236" t="s">
        <v>18725</v>
      </c>
      <c r="M923" s="236" t="s">
        <v>18725</v>
      </c>
      <c r="N923" s="234" t="s">
        <v>3</v>
      </c>
      <c r="O923" s="237" t="s">
        <v>18675</v>
      </c>
      <c r="P923" s="234" t="s">
        <v>18725</v>
      </c>
      <c r="Q923" s="234" t="s">
        <v>20164</v>
      </c>
      <c r="R923" s="238" t="s">
        <v>21861</v>
      </c>
      <c r="S923" s="238" t="s">
        <v>21862</v>
      </c>
      <c r="T923" s="238" t="s">
        <v>18725</v>
      </c>
      <c r="U923" s="238" t="s">
        <v>18725</v>
      </c>
      <c r="V923" s="238" t="s">
        <v>18725</v>
      </c>
      <c r="W923" s="238" t="s">
        <v>18725</v>
      </c>
      <c r="X923" s="238" t="s">
        <v>18725</v>
      </c>
      <c r="Y923" s="239" t="str">
        <f>IF('CCUS Projects Database'!$R923&lt;&gt;"",HYPERLINK('CCUS Projects Database'!$R923,"Link 1"),"")</f>
        <v>Link 1</v>
      </c>
      <c r="Z923" s="239" t="str">
        <f>IF('CCUS Projects Database'!$S923&lt;&gt;"",HYPERLINK('CCUS Projects Database'!$S923,"Link 2"),"")</f>
        <v>Link 2</v>
      </c>
      <c r="AA923" s="239" t="str">
        <f>IF('CCUS Projects Database'!$T923&lt;&gt;"",HYPERLINK('CCUS Projects Database'!$T923,"Link 3"),"")</f>
        <v/>
      </c>
      <c r="AB923" s="239" t="str">
        <f>IF('CCUS Projects Database'!$U923&lt;&gt;"",HYPERLINK('CCUS Projects Database'!$U923,"Link 4"),"")</f>
        <v/>
      </c>
      <c r="AC923" s="239" t="str">
        <f>IF('CCUS Projects Database'!$V923&lt;&gt;"",HYPERLINK('CCUS Projects Database'!$V923,"Link 5"),"")</f>
        <v/>
      </c>
      <c r="AD923" s="239" t="str">
        <f>IF('CCUS Projects Database'!$W923&lt;&gt;"",HYPERLINK('CCUS Projects Database'!$W923,"Link 6"),"")</f>
        <v/>
      </c>
      <c r="AE923" s="239" t="str">
        <f>IF('CCUS Projects Database'!$X923&lt;&gt;"",HYPERLINK('CCUS Projects Database'!$X923,"Link 7"),"")</f>
        <v/>
      </c>
    </row>
    <row r="924" ht="14.25" customHeight="1">
      <c r="A924" s="233" t="s">
        <v>21863</v>
      </c>
      <c r="B924" s="234">
        <v>1233.0</v>
      </c>
      <c r="C924" s="234" t="s">
        <v>83</v>
      </c>
      <c r="D924" s="235" t="s">
        <v>21864</v>
      </c>
      <c r="E924" s="234" t="s">
        <v>18623</v>
      </c>
      <c r="F924" s="234">
        <v>2023.0</v>
      </c>
      <c r="G924" s="234" t="s">
        <v>18725</v>
      </c>
      <c r="H924" s="234">
        <v>2029.0</v>
      </c>
      <c r="I924" s="234" t="s">
        <v>18725</v>
      </c>
      <c r="J924" s="234" t="s">
        <v>18636</v>
      </c>
      <c r="K924" s="236" t="s">
        <v>18725</v>
      </c>
      <c r="L924" s="236">
        <v>10.0</v>
      </c>
      <c r="M924" s="236">
        <v>10.0</v>
      </c>
      <c r="N924" s="234" t="s">
        <v>18623</v>
      </c>
      <c r="O924" s="237" t="s">
        <v>18675</v>
      </c>
      <c r="P924" s="234" t="s">
        <v>21863</v>
      </c>
      <c r="Q924" s="234" t="s">
        <v>18726</v>
      </c>
      <c r="R924" s="238" t="s">
        <v>21865</v>
      </c>
      <c r="S924" s="238" t="s">
        <v>21866</v>
      </c>
      <c r="T924" s="238" t="s">
        <v>18725</v>
      </c>
      <c r="U924" s="238" t="s">
        <v>18725</v>
      </c>
      <c r="V924" s="238" t="s">
        <v>18725</v>
      </c>
      <c r="W924" s="238" t="s">
        <v>18725</v>
      </c>
      <c r="X924" s="238" t="s">
        <v>18725</v>
      </c>
      <c r="Y924" s="239" t="str">
        <f>IF('CCUS Projects Database'!$R924&lt;&gt;"",HYPERLINK('CCUS Projects Database'!$R924,"Link 1"),"")</f>
        <v>Link 1</v>
      </c>
      <c r="Z924" s="239" t="str">
        <f>IF('CCUS Projects Database'!$S924&lt;&gt;"",HYPERLINK('CCUS Projects Database'!$S924,"Link 2"),"")</f>
        <v>Link 2</v>
      </c>
      <c r="AA924" s="239" t="str">
        <f>IF('CCUS Projects Database'!$T924&lt;&gt;"",HYPERLINK('CCUS Projects Database'!$T924,"Link 3"),"")</f>
        <v/>
      </c>
      <c r="AB924" s="239" t="str">
        <f>IF('CCUS Projects Database'!$U924&lt;&gt;"",HYPERLINK('CCUS Projects Database'!$U924,"Link 4"),"")</f>
        <v/>
      </c>
      <c r="AC924" s="239" t="str">
        <f>IF('CCUS Projects Database'!$V924&lt;&gt;"",HYPERLINK('CCUS Projects Database'!$V924,"Link 5"),"")</f>
        <v/>
      </c>
      <c r="AD924" s="239" t="str">
        <f>IF('CCUS Projects Database'!$W924&lt;&gt;"",HYPERLINK('CCUS Projects Database'!$W924,"Link 6"),"")</f>
        <v/>
      </c>
      <c r="AE924" s="239" t="str">
        <f>IF('CCUS Projects Database'!$X924&lt;&gt;"",HYPERLINK('CCUS Projects Database'!$X924,"Link 7"),"")</f>
        <v/>
      </c>
    </row>
    <row r="925" ht="14.25" customHeight="1">
      <c r="A925" s="233" t="s">
        <v>21867</v>
      </c>
      <c r="B925" s="234">
        <v>1234.0</v>
      </c>
      <c r="C925" s="234" t="s">
        <v>83</v>
      </c>
      <c r="D925" s="235" t="s">
        <v>21868</v>
      </c>
      <c r="E925" s="234" t="s">
        <v>18618</v>
      </c>
      <c r="F925" s="234">
        <v>2024.0</v>
      </c>
      <c r="G925" s="234" t="s">
        <v>18725</v>
      </c>
      <c r="H925" s="234">
        <v>2029.0</v>
      </c>
      <c r="I925" s="234" t="s">
        <v>18725</v>
      </c>
      <c r="J925" s="234" t="s">
        <v>18636</v>
      </c>
      <c r="K925" s="236" t="s">
        <v>18725</v>
      </c>
      <c r="L925" s="236">
        <v>1.0</v>
      </c>
      <c r="M925" s="236">
        <v>1.0</v>
      </c>
      <c r="N925" s="234" t="s">
        <v>18654</v>
      </c>
      <c r="O925" s="237" t="s">
        <v>18675</v>
      </c>
      <c r="P925" s="234" t="s">
        <v>21863</v>
      </c>
      <c r="Q925" s="234" t="s">
        <v>18726</v>
      </c>
      <c r="R925" s="238" t="s">
        <v>21865</v>
      </c>
      <c r="S925" s="238" t="s">
        <v>18725</v>
      </c>
      <c r="T925" s="238" t="s">
        <v>18725</v>
      </c>
      <c r="U925" s="238" t="s">
        <v>18725</v>
      </c>
      <c r="V925" s="238" t="s">
        <v>18725</v>
      </c>
      <c r="W925" s="238" t="s">
        <v>18725</v>
      </c>
      <c r="X925" s="238" t="s">
        <v>18725</v>
      </c>
      <c r="Y925" s="239" t="str">
        <f>IF('CCUS Projects Database'!$R925&lt;&gt;"",HYPERLINK('CCUS Projects Database'!$R925,"Link 1"),"")</f>
        <v>Link 1</v>
      </c>
      <c r="Z925" s="239" t="str">
        <f>IF('CCUS Projects Database'!$S925&lt;&gt;"",HYPERLINK('CCUS Projects Database'!$S925,"Link 2"),"")</f>
        <v/>
      </c>
      <c r="AA925" s="239" t="str">
        <f>IF('CCUS Projects Database'!$T925&lt;&gt;"",HYPERLINK('CCUS Projects Database'!$T925,"Link 3"),"")</f>
        <v/>
      </c>
      <c r="AB925" s="239" t="str">
        <f>IF('CCUS Projects Database'!$U925&lt;&gt;"",HYPERLINK('CCUS Projects Database'!$U925,"Link 4"),"")</f>
        <v/>
      </c>
      <c r="AC925" s="239" t="str">
        <f>IF('CCUS Projects Database'!$V925&lt;&gt;"",HYPERLINK('CCUS Projects Database'!$V925,"Link 5"),"")</f>
        <v/>
      </c>
      <c r="AD925" s="239" t="str">
        <f>IF('CCUS Projects Database'!$W925&lt;&gt;"",HYPERLINK('CCUS Projects Database'!$W925,"Link 6"),"")</f>
        <v/>
      </c>
      <c r="AE925" s="239" t="str">
        <f>IF('CCUS Projects Database'!$X925&lt;&gt;"",HYPERLINK('CCUS Projects Database'!$X925,"Link 7"),"")</f>
        <v/>
      </c>
    </row>
    <row r="926" ht="14.25" customHeight="1">
      <c r="A926" s="233" t="s">
        <v>21869</v>
      </c>
      <c r="B926" s="234">
        <v>1235.0</v>
      </c>
      <c r="C926" s="234" t="s">
        <v>18586</v>
      </c>
      <c r="D926" s="235" t="s">
        <v>21821</v>
      </c>
      <c r="E926" s="234" t="s">
        <v>18623</v>
      </c>
      <c r="F926" s="234">
        <v>2024.0</v>
      </c>
      <c r="G926" s="234" t="s">
        <v>18725</v>
      </c>
      <c r="H926" s="234" t="s">
        <v>18725</v>
      </c>
      <c r="I926" s="234" t="s">
        <v>18725</v>
      </c>
      <c r="J926" s="234" t="s">
        <v>18636</v>
      </c>
      <c r="K926" s="236" t="s">
        <v>18725</v>
      </c>
      <c r="L926" s="236" t="s">
        <v>18725</v>
      </c>
      <c r="M926" s="236" t="s">
        <v>18725</v>
      </c>
      <c r="N926" s="234" t="s">
        <v>18623</v>
      </c>
      <c r="O926" s="237" t="s">
        <v>18675</v>
      </c>
      <c r="P926" s="234" t="s">
        <v>18725</v>
      </c>
      <c r="Q926" s="234" t="s">
        <v>18732</v>
      </c>
      <c r="R926" s="238" t="s">
        <v>18725</v>
      </c>
      <c r="S926" s="238" t="s">
        <v>18725</v>
      </c>
      <c r="T926" s="238" t="s">
        <v>18725</v>
      </c>
      <c r="U926" s="238" t="s">
        <v>18725</v>
      </c>
      <c r="V926" s="238" t="s">
        <v>18725</v>
      </c>
      <c r="W926" s="238" t="s">
        <v>18725</v>
      </c>
      <c r="X926" s="238" t="s">
        <v>18725</v>
      </c>
      <c r="Y926" s="239" t="str">
        <f>IF('CCUS Projects Database'!$R926&lt;&gt;"",HYPERLINK('CCUS Projects Database'!$R926,"Link 1"),"")</f>
        <v/>
      </c>
      <c r="Z926" s="239" t="str">
        <f>IF('CCUS Projects Database'!$S926&lt;&gt;"",HYPERLINK('CCUS Projects Database'!$S926,"Link 2"),"")</f>
        <v/>
      </c>
      <c r="AA926" s="239" t="str">
        <f>IF('CCUS Projects Database'!$T926&lt;&gt;"",HYPERLINK('CCUS Projects Database'!$T926,"Link 3"),"")</f>
        <v/>
      </c>
      <c r="AB926" s="239" t="str">
        <f>IF('CCUS Projects Database'!$U926&lt;&gt;"",HYPERLINK('CCUS Projects Database'!$U926,"Link 4"),"")</f>
        <v/>
      </c>
      <c r="AC926" s="239" t="str">
        <f>IF('CCUS Projects Database'!$V926&lt;&gt;"",HYPERLINK('CCUS Projects Database'!$V926,"Link 5"),"")</f>
        <v/>
      </c>
      <c r="AD926" s="239" t="str">
        <f>IF('CCUS Projects Database'!$W926&lt;&gt;"",HYPERLINK('CCUS Projects Database'!$W926,"Link 6"),"")</f>
        <v/>
      </c>
      <c r="AE926" s="239" t="str">
        <f>IF('CCUS Projects Database'!$X926&lt;&gt;"",HYPERLINK('CCUS Projects Database'!$X926,"Link 7"),"")</f>
        <v/>
      </c>
    </row>
    <row r="927" ht="14.25" customHeight="1">
      <c r="A927" s="233" t="s">
        <v>21870</v>
      </c>
      <c r="B927" s="234">
        <v>1236.0</v>
      </c>
      <c r="C927" s="234" t="s">
        <v>18586</v>
      </c>
      <c r="D927" s="235" t="s">
        <v>21871</v>
      </c>
      <c r="E927" s="234" t="s">
        <v>18623</v>
      </c>
      <c r="F927" s="234">
        <v>2024.0</v>
      </c>
      <c r="G927" s="234" t="s">
        <v>18725</v>
      </c>
      <c r="H927" s="234" t="s">
        <v>18725</v>
      </c>
      <c r="I927" s="234" t="s">
        <v>18725</v>
      </c>
      <c r="J927" s="234" t="s">
        <v>18636</v>
      </c>
      <c r="K927" s="236" t="s">
        <v>18725</v>
      </c>
      <c r="L927" s="236" t="s">
        <v>18725</v>
      </c>
      <c r="M927" s="236" t="s">
        <v>18725</v>
      </c>
      <c r="N927" s="234" t="s">
        <v>18623</v>
      </c>
      <c r="O927" s="237" t="s">
        <v>18675</v>
      </c>
      <c r="P927" s="234" t="s">
        <v>18725</v>
      </c>
      <c r="Q927" s="234" t="s">
        <v>18732</v>
      </c>
      <c r="R927" s="238" t="s">
        <v>18725</v>
      </c>
      <c r="S927" s="238" t="s">
        <v>18725</v>
      </c>
      <c r="T927" s="238" t="s">
        <v>18725</v>
      </c>
      <c r="U927" s="238" t="s">
        <v>18725</v>
      </c>
      <c r="V927" s="238" t="s">
        <v>18725</v>
      </c>
      <c r="W927" s="238" t="s">
        <v>18725</v>
      </c>
      <c r="X927" s="238" t="s">
        <v>18725</v>
      </c>
      <c r="Y927" s="239" t="str">
        <f>IF('CCUS Projects Database'!$R927&lt;&gt;"",HYPERLINK('CCUS Projects Database'!$R927,"Link 1"),"")</f>
        <v/>
      </c>
      <c r="Z927" s="239" t="str">
        <f>IF('CCUS Projects Database'!$S927&lt;&gt;"",HYPERLINK('CCUS Projects Database'!$S927,"Link 2"),"")</f>
        <v/>
      </c>
      <c r="AA927" s="239" t="str">
        <f>IF('CCUS Projects Database'!$T927&lt;&gt;"",HYPERLINK('CCUS Projects Database'!$T927,"Link 3"),"")</f>
        <v/>
      </c>
      <c r="AB927" s="239" t="str">
        <f>IF('CCUS Projects Database'!$U927&lt;&gt;"",HYPERLINK('CCUS Projects Database'!$U927,"Link 4"),"")</f>
        <v/>
      </c>
      <c r="AC927" s="239" t="str">
        <f>IF('CCUS Projects Database'!$V927&lt;&gt;"",HYPERLINK('CCUS Projects Database'!$V927,"Link 5"),"")</f>
        <v/>
      </c>
      <c r="AD927" s="239" t="str">
        <f>IF('CCUS Projects Database'!$W927&lt;&gt;"",HYPERLINK('CCUS Projects Database'!$W927,"Link 6"),"")</f>
        <v/>
      </c>
      <c r="AE927" s="239" t="str">
        <f>IF('CCUS Projects Database'!$X927&lt;&gt;"",HYPERLINK('CCUS Projects Database'!$X927,"Link 7"),"")</f>
        <v/>
      </c>
    </row>
    <row r="928" ht="14.25" customHeight="1">
      <c r="A928" s="233" t="s">
        <v>21872</v>
      </c>
      <c r="B928" s="234">
        <v>1237.0</v>
      </c>
      <c r="C928" s="234" t="s">
        <v>18586</v>
      </c>
      <c r="D928" s="235" t="s">
        <v>21873</v>
      </c>
      <c r="E928" s="234" t="s">
        <v>18618</v>
      </c>
      <c r="F928" s="234">
        <v>2024.0</v>
      </c>
      <c r="G928" s="234" t="s">
        <v>18725</v>
      </c>
      <c r="H928" s="234">
        <v>2026.0</v>
      </c>
      <c r="I928" s="234" t="s">
        <v>18725</v>
      </c>
      <c r="J928" s="234" t="s">
        <v>18636</v>
      </c>
      <c r="K928" s="236" t="s">
        <v>18725</v>
      </c>
      <c r="L928" s="236">
        <v>2.0</v>
      </c>
      <c r="M928" s="236">
        <v>2.0</v>
      </c>
      <c r="N928" s="234" t="s">
        <v>18218</v>
      </c>
      <c r="O928" s="237" t="s">
        <v>18675</v>
      </c>
      <c r="P928" s="234" t="s">
        <v>18725</v>
      </c>
      <c r="Q928" s="234" t="s">
        <v>18732</v>
      </c>
      <c r="R928" s="238" t="s">
        <v>21874</v>
      </c>
      <c r="S928" s="238" t="s">
        <v>21874</v>
      </c>
      <c r="T928" s="238" t="s">
        <v>18725</v>
      </c>
      <c r="U928" s="238" t="s">
        <v>18725</v>
      </c>
      <c r="V928" s="238" t="s">
        <v>18725</v>
      </c>
      <c r="W928" s="238" t="s">
        <v>18725</v>
      </c>
      <c r="X928" s="238" t="s">
        <v>18725</v>
      </c>
      <c r="Y928" s="239" t="str">
        <f>IF('CCUS Projects Database'!$R928&lt;&gt;"",HYPERLINK('CCUS Projects Database'!$R928,"Link 1"),"")</f>
        <v>Link 1</v>
      </c>
      <c r="Z928" s="239" t="str">
        <f>IF('CCUS Projects Database'!$S928&lt;&gt;"",HYPERLINK('CCUS Projects Database'!$S928,"Link 2"),"")</f>
        <v>Link 2</v>
      </c>
      <c r="AA928" s="239" t="str">
        <f>IF('CCUS Projects Database'!$T928&lt;&gt;"",HYPERLINK('CCUS Projects Database'!$T928,"Link 3"),"")</f>
        <v/>
      </c>
      <c r="AB928" s="239" t="str">
        <f>IF('CCUS Projects Database'!$U928&lt;&gt;"",HYPERLINK('CCUS Projects Database'!$U928,"Link 4"),"")</f>
        <v/>
      </c>
      <c r="AC928" s="239" t="str">
        <f>IF('CCUS Projects Database'!$V928&lt;&gt;"",HYPERLINK('CCUS Projects Database'!$V928,"Link 5"),"")</f>
        <v/>
      </c>
      <c r="AD928" s="239" t="str">
        <f>IF('CCUS Projects Database'!$W928&lt;&gt;"",HYPERLINK('CCUS Projects Database'!$W928,"Link 6"),"")</f>
        <v/>
      </c>
      <c r="AE928" s="239" t="str">
        <f>IF('CCUS Projects Database'!$X928&lt;&gt;"",HYPERLINK('CCUS Projects Database'!$X928,"Link 7"),"")</f>
        <v/>
      </c>
    </row>
    <row r="929" ht="14.25" customHeight="1">
      <c r="A929" s="233" t="s">
        <v>21875</v>
      </c>
      <c r="B929" s="234">
        <v>1238.0</v>
      </c>
      <c r="C929" s="234" t="s">
        <v>18586</v>
      </c>
      <c r="D929" s="235" t="s">
        <v>21873</v>
      </c>
      <c r="E929" s="234" t="s">
        <v>3</v>
      </c>
      <c r="F929" s="234">
        <v>2024.0</v>
      </c>
      <c r="G929" s="234" t="s">
        <v>18725</v>
      </c>
      <c r="H929" s="234">
        <v>2026.0</v>
      </c>
      <c r="I929" s="234" t="s">
        <v>18725</v>
      </c>
      <c r="J929" s="234" t="s">
        <v>18636</v>
      </c>
      <c r="K929" s="236" t="s">
        <v>18725</v>
      </c>
      <c r="L929" s="236">
        <v>2.0</v>
      </c>
      <c r="M929" s="236">
        <v>2.0</v>
      </c>
      <c r="N929" s="234" t="s">
        <v>3</v>
      </c>
      <c r="O929" s="237" t="s">
        <v>18675</v>
      </c>
      <c r="P929" s="234" t="s">
        <v>18725</v>
      </c>
      <c r="Q929" s="234" t="s">
        <v>18732</v>
      </c>
      <c r="R929" s="238" t="s">
        <v>21874</v>
      </c>
      <c r="S929" s="238" t="s">
        <v>18725</v>
      </c>
      <c r="T929" s="238" t="s">
        <v>18725</v>
      </c>
      <c r="U929" s="238" t="s">
        <v>18725</v>
      </c>
      <c r="V929" s="238" t="s">
        <v>18725</v>
      </c>
      <c r="W929" s="238" t="s">
        <v>18725</v>
      </c>
      <c r="X929" s="238" t="s">
        <v>18725</v>
      </c>
      <c r="Y929" s="239" t="str">
        <f>IF('CCUS Projects Database'!$R929&lt;&gt;"",HYPERLINK('CCUS Projects Database'!$R929,"Link 1"),"")</f>
        <v>Link 1</v>
      </c>
      <c r="Z929" s="239" t="str">
        <f>IF('CCUS Projects Database'!$S929&lt;&gt;"",HYPERLINK('CCUS Projects Database'!$S929,"Link 2"),"")</f>
        <v/>
      </c>
      <c r="AA929" s="239" t="str">
        <f>IF('CCUS Projects Database'!$T929&lt;&gt;"",HYPERLINK('CCUS Projects Database'!$T929,"Link 3"),"")</f>
        <v/>
      </c>
      <c r="AB929" s="239" t="str">
        <f>IF('CCUS Projects Database'!$U929&lt;&gt;"",HYPERLINK('CCUS Projects Database'!$U929,"Link 4"),"")</f>
        <v/>
      </c>
      <c r="AC929" s="239" t="str">
        <f>IF('CCUS Projects Database'!$V929&lt;&gt;"",HYPERLINK('CCUS Projects Database'!$V929,"Link 5"),"")</f>
        <v/>
      </c>
      <c r="AD929" s="239" t="str">
        <f>IF('CCUS Projects Database'!$W929&lt;&gt;"",HYPERLINK('CCUS Projects Database'!$W929,"Link 6"),"")</f>
        <v/>
      </c>
      <c r="AE929" s="239" t="str">
        <f>IF('CCUS Projects Database'!$X929&lt;&gt;"",HYPERLINK('CCUS Projects Database'!$X929,"Link 7"),"")</f>
        <v/>
      </c>
    </row>
    <row r="930" ht="14.25" customHeight="1">
      <c r="A930" s="233" t="s">
        <v>21876</v>
      </c>
      <c r="B930" s="234">
        <v>1240.0</v>
      </c>
      <c r="C930" s="234" t="s">
        <v>18530</v>
      </c>
      <c r="D930" s="235" t="s">
        <v>20098</v>
      </c>
      <c r="E930" s="234" t="s">
        <v>18618</v>
      </c>
      <c r="F930" s="234">
        <v>2022.0</v>
      </c>
      <c r="G930" s="234" t="s">
        <v>18725</v>
      </c>
      <c r="H930" s="234">
        <v>2027.0</v>
      </c>
      <c r="I930" s="234" t="s">
        <v>18725</v>
      </c>
      <c r="J930" s="234" t="s">
        <v>18636</v>
      </c>
      <c r="K930" s="236" t="s">
        <v>18725</v>
      </c>
      <c r="L930" s="236">
        <v>6.0</v>
      </c>
      <c r="M930" s="236">
        <v>6.0</v>
      </c>
      <c r="N930" s="234" t="s">
        <v>18656</v>
      </c>
      <c r="O930" s="237" t="s">
        <v>18675</v>
      </c>
      <c r="P930" s="234" t="s">
        <v>20552</v>
      </c>
      <c r="Q930" s="234" t="s">
        <v>18293</v>
      </c>
      <c r="R930" s="238" t="s">
        <v>21877</v>
      </c>
      <c r="S930" s="238" t="s">
        <v>18725</v>
      </c>
      <c r="T930" s="238" t="s">
        <v>18725</v>
      </c>
      <c r="U930" s="238" t="s">
        <v>18725</v>
      </c>
      <c r="V930" s="238" t="s">
        <v>18725</v>
      </c>
      <c r="W930" s="238" t="s">
        <v>18725</v>
      </c>
      <c r="X930" s="238" t="s">
        <v>18725</v>
      </c>
      <c r="Y930" s="239" t="str">
        <f>IF('CCUS Projects Database'!$R930&lt;&gt;"",HYPERLINK('CCUS Projects Database'!$R930,"Link 1"),"")</f>
        <v>Link 1</v>
      </c>
      <c r="Z930" s="239" t="str">
        <f>IF('CCUS Projects Database'!$S930&lt;&gt;"",HYPERLINK('CCUS Projects Database'!$S930,"Link 2"),"")</f>
        <v/>
      </c>
      <c r="AA930" s="239" t="str">
        <f>IF('CCUS Projects Database'!$T930&lt;&gt;"",HYPERLINK('CCUS Projects Database'!$T930,"Link 3"),"")</f>
        <v/>
      </c>
      <c r="AB930" s="239" t="str">
        <f>IF('CCUS Projects Database'!$U930&lt;&gt;"",HYPERLINK('CCUS Projects Database'!$U930,"Link 4"),"")</f>
        <v/>
      </c>
      <c r="AC930" s="239" t="str">
        <f>IF('CCUS Projects Database'!$V930&lt;&gt;"",HYPERLINK('CCUS Projects Database'!$V930,"Link 5"),"")</f>
        <v/>
      </c>
      <c r="AD930" s="239" t="str">
        <f>IF('CCUS Projects Database'!$W930&lt;&gt;"",HYPERLINK('CCUS Projects Database'!$W930,"Link 6"),"")</f>
        <v/>
      </c>
      <c r="AE930" s="239" t="str">
        <f>IF('CCUS Projects Database'!$X930&lt;&gt;"",HYPERLINK('CCUS Projects Database'!$X930,"Link 7"),"")</f>
        <v/>
      </c>
    </row>
    <row r="931" ht="14.25" customHeight="1">
      <c r="A931" s="233" t="s">
        <v>21878</v>
      </c>
      <c r="B931" s="234">
        <v>1241.0</v>
      </c>
      <c r="C931" s="234" t="s">
        <v>18586</v>
      </c>
      <c r="D931" s="235" t="s">
        <v>20830</v>
      </c>
      <c r="E931" s="234" t="s">
        <v>18620</v>
      </c>
      <c r="F931" s="234">
        <v>2024.0</v>
      </c>
      <c r="G931" s="234" t="s">
        <v>18725</v>
      </c>
      <c r="H931" s="234" t="s">
        <v>18725</v>
      </c>
      <c r="I931" s="234" t="s">
        <v>18725</v>
      </c>
      <c r="J931" s="234" t="s">
        <v>18636</v>
      </c>
      <c r="K931" s="236" t="s">
        <v>18725</v>
      </c>
      <c r="L931" s="236" t="s">
        <v>18725</v>
      </c>
      <c r="M931" s="236" t="s">
        <v>18725</v>
      </c>
      <c r="N931" s="234" t="s">
        <v>18620</v>
      </c>
      <c r="O931" s="237" t="s">
        <v>18675</v>
      </c>
      <c r="P931" s="234" t="s">
        <v>18725</v>
      </c>
      <c r="Q931" s="234" t="s">
        <v>18732</v>
      </c>
      <c r="R931" s="238" t="s">
        <v>21879</v>
      </c>
      <c r="S931" s="238" t="s">
        <v>18725</v>
      </c>
      <c r="T931" s="238" t="s">
        <v>18725</v>
      </c>
      <c r="U931" s="238" t="s">
        <v>18725</v>
      </c>
      <c r="V931" s="238" t="s">
        <v>18725</v>
      </c>
      <c r="W931" s="238" t="s">
        <v>18725</v>
      </c>
      <c r="X931" s="238" t="s">
        <v>18725</v>
      </c>
      <c r="Y931" s="239" t="str">
        <f>IF('CCUS Projects Database'!$R931&lt;&gt;"",HYPERLINK('CCUS Projects Database'!$R931,"Link 1"),"")</f>
        <v>Link 1</v>
      </c>
      <c r="Z931" s="239" t="str">
        <f>IF('CCUS Projects Database'!$S931&lt;&gt;"",HYPERLINK('CCUS Projects Database'!$S931,"Link 2"),"")</f>
        <v/>
      </c>
      <c r="AA931" s="239" t="str">
        <f>IF('CCUS Projects Database'!$T931&lt;&gt;"",HYPERLINK('CCUS Projects Database'!$T931,"Link 3"),"")</f>
        <v/>
      </c>
      <c r="AB931" s="239" t="str">
        <f>IF('CCUS Projects Database'!$U931&lt;&gt;"",HYPERLINK('CCUS Projects Database'!$U931,"Link 4"),"")</f>
        <v/>
      </c>
      <c r="AC931" s="239" t="str">
        <f>IF('CCUS Projects Database'!$V931&lt;&gt;"",HYPERLINK('CCUS Projects Database'!$V931,"Link 5"),"")</f>
        <v/>
      </c>
      <c r="AD931" s="239" t="str">
        <f>IF('CCUS Projects Database'!$W931&lt;&gt;"",HYPERLINK('CCUS Projects Database'!$W931,"Link 6"),"")</f>
        <v/>
      </c>
      <c r="AE931" s="239" t="str">
        <f>IF('CCUS Projects Database'!$X931&lt;&gt;"",HYPERLINK('CCUS Projects Database'!$X931,"Link 7"),"")</f>
        <v/>
      </c>
    </row>
    <row r="932" ht="14.25" customHeight="1">
      <c r="A932" s="233" t="s">
        <v>21880</v>
      </c>
      <c r="B932" s="234">
        <v>1242.0</v>
      </c>
      <c r="C932" s="234" t="s">
        <v>18496</v>
      </c>
      <c r="D932" s="235" t="s">
        <v>21881</v>
      </c>
      <c r="E932" s="234" t="s">
        <v>18623</v>
      </c>
      <c r="F932" s="234">
        <v>2024.0</v>
      </c>
      <c r="G932" s="234" t="s">
        <v>18725</v>
      </c>
      <c r="H932" s="234">
        <v>2029.0</v>
      </c>
      <c r="I932" s="234" t="s">
        <v>18725</v>
      </c>
      <c r="J932" s="234" t="s">
        <v>18636</v>
      </c>
      <c r="K932" s="236" t="s">
        <v>18725</v>
      </c>
      <c r="L932" s="236" t="s">
        <v>18725</v>
      </c>
      <c r="M932" s="236" t="s">
        <v>18725</v>
      </c>
      <c r="N932" s="234" t="s">
        <v>18623</v>
      </c>
      <c r="O932" s="237" t="s">
        <v>18683</v>
      </c>
      <c r="P932" s="234" t="s">
        <v>21880</v>
      </c>
      <c r="Q932" s="234" t="s">
        <v>18856</v>
      </c>
      <c r="R932" s="238" t="s">
        <v>21882</v>
      </c>
      <c r="S932" s="238" t="s">
        <v>18725</v>
      </c>
      <c r="T932" s="238" t="s">
        <v>18725</v>
      </c>
      <c r="U932" s="238" t="s">
        <v>18725</v>
      </c>
      <c r="V932" s="238" t="s">
        <v>18725</v>
      </c>
      <c r="W932" s="238" t="s">
        <v>18725</v>
      </c>
      <c r="X932" s="238" t="s">
        <v>18725</v>
      </c>
      <c r="Y932" s="239" t="str">
        <f>IF('CCUS Projects Database'!$R932&lt;&gt;"",HYPERLINK('CCUS Projects Database'!$R932,"Link 1"),"")</f>
        <v>Link 1</v>
      </c>
      <c r="Z932" s="239" t="str">
        <f>IF('CCUS Projects Database'!$S932&lt;&gt;"",HYPERLINK('CCUS Projects Database'!$S932,"Link 2"),"")</f>
        <v/>
      </c>
      <c r="AA932" s="239" t="str">
        <f>IF('CCUS Projects Database'!$T932&lt;&gt;"",HYPERLINK('CCUS Projects Database'!$T932,"Link 3"),"")</f>
        <v/>
      </c>
      <c r="AB932" s="239" t="str">
        <f>IF('CCUS Projects Database'!$U932&lt;&gt;"",HYPERLINK('CCUS Projects Database'!$U932,"Link 4"),"")</f>
        <v/>
      </c>
      <c r="AC932" s="239" t="str">
        <f>IF('CCUS Projects Database'!$V932&lt;&gt;"",HYPERLINK('CCUS Projects Database'!$V932,"Link 5"),"")</f>
        <v/>
      </c>
      <c r="AD932" s="239" t="str">
        <f>IF('CCUS Projects Database'!$W932&lt;&gt;"",HYPERLINK('CCUS Projects Database'!$W932,"Link 6"),"")</f>
        <v/>
      </c>
      <c r="AE932" s="239" t="str">
        <f>IF('CCUS Projects Database'!$X932&lt;&gt;"",HYPERLINK('CCUS Projects Database'!$X932,"Link 7"),"")</f>
        <v/>
      </c>
    </row>
    <row r="933" ht="14.25" customHeight="1">
      <c r="A933" s="233" t="s">
        <v>21883</v>
      </c>
      <c r="B933" s="234">
        <v>1243.0</v>
      </c>
      <c r="C933" s="234" t="s">
        <v>18496</v>
      </c>
      <c r="D933" s="235" t="s">
        <v>21884</v>
      </c>
      <c r="E933" s="234" t="s">
        <v>18623</v>
      </c>
      <c r="F933" s="234">
        <v>2024.0</v>
      </c>
      <c r="G933" s="234" t="s">
        <v>18725</v>
      </c>
      <c r="H933" s="234">
        <v>2030.0</v>
      </c>
      <c r="I933" s="234" t="s">
        <v>18725</v>
      </c>
      <c r="J933" s="234" t="s">
        <v>18636</v>
      </c>
      <c r="K933" s="236" t="s">
        <v>18725</v>
      </c>
      <c r="L933" s="236">
        <v>5.0</v>
      </c>
      <c r="M933" s="236">
        <v>5.0</v>
      </c>
      <c r="N933" s="234" t="s">
        <v>18623</v>
      </c>
      <c r="O933" s="237" t="s">
        <v>18683</v>
      </c>
      <c r="P933" s="234" t="s">
        <v>21883</v>
      </c>
      <c r="Q933" s="234" t="s">
        <v>18856</v>
      </c>
      <c r="R933" s="238" t="s">
        <v>21885</v>
      </c>
      <c r="S933" s="238" t="s">
        <v>18725</v>
      </c>
      <c r="T933" s="238" t="s">
        <v>18725</v>
      </c>
      <c r="U933" s="238" t="s">
        <v>18725</v>
      </c>
      <c r="V933" s="238" t="s">
        <v>18725</v>
      </c>
      <c r="W933" s="238" t="s">
        <v>18725</v>
      </c>
      <c r="X933" s="238" t="s">
        <v>18725</v>
      </c>
      <c r="Y933" s="239" t="str">
        <f>IF('CCUS Projects Database'!$R933&lt;&gt;"",HYPERLINK('CCUS Projects Database'!$R933,"Link 1"),"")</f>
        <v>Link 1</v>
      </c>
      <c r="Z933" s="239" t="str">
        <f>IF('CCUS Projects Database'!$S933&lt;&gt;"",HYPERLINK('CCUS Projects Database'!$S933,"Link 2"),"")</f>
        <v/>
      </c>
      <c r="AA933" s="239" t="str">
        <f>IF('CCUS Projects Database'!$T933&lt;&gt;"",HYPERLINK('CCUS Projects Database'!$T933,"Link 3"),"")</f>
        <v/>
      </c>
      <c r="AB933" s="239" t="str">
        <f>IF('CCUS Projects Database'!$U933&lt;&gt;"",HYPERLINK('CCUS Projects Database'!$U933,"Link 4"),"")</f>
        <v/>
      </c>
      <c r="AC933" s="239" t="str">
        <f>IF('CCUS Projects Database'!$V933&lt;&gt;"",HYPERLINK('CCUS Projects Database'!$V933,"Link 5"),"")</f>
        <v/>
      </c>
      <c r="AD933" s="239" t="str">
        <f>IF('CCUS Projects Database'!$W933&lt;&gt;"",HYPERLINK('CCUS Projects Database'!$W933,"Link 6"),"")</f>
        <v/>
      </c>
      <c r="AE933" s="239" t="str">
        <f>IF('CCUS Projects Database'!$X933&lt;&gt;"",HYPERLINK('CCUS Projects Database'!$X933,"Link 7"),"")</f>
        <v/>
      </c>
    </row>
    <row r="934" ht="14.25" customHeight="1">
      <c r="A934" s="233" t="s">
        <v>21886</v>
      </c>
      <c r="B934" s="234">
        <v>1245.0</v>
      </c>
      <c r="C934" s="234" t="s">
        <v>120</v>
      </c>
      <c r="D934" s="235" t="s">
        <v>21887</v>
      </c>
      <c r="E934" s="234" t="s">
        <v>18625</v>
      </c>
      <c r="F934" s="234">
        <v>2024.0</v>
      </c>
      <c r="G934" s="234" t="s">
        <v>18725</v>
      </c>
      <c r="H934" s="234">
        <v>2029.0</v>
      </c>
      <c r="I934" s="234" t="s">
        <v>18725</v>
      </c>
      <c r="J934" s="234" t="s">
        <v>18636</v>
      </c>
      <c r="K934" s="236" t="s">
        <v>18725</v>
      </c>
      <c r="L934" s="236">
        <v>0.3</v>
      </c>
      <c r="M934" s="236">
        <v>0.3</v>
      </c>
      <c r="N934" s="234" t="s">
        <v>18654</v>
      </c>
      <c r="O934" s="237" t="s">
        <v>18679</v>
      </c>
      <c r="P934" s="234" t="s">
        <v>18725</v>
      </c>
      <c r="Q934" s="234" t="s">
        <v>18726</v>
      </c>
      <c r="R934" s="238" t="s">
        <v>21888</v>
      </c>
      <c r="S934" s="238" t="s">
        <v>18725</v>
      </c>
      <c r="T934" s="238" t="s">
        <v>18725</v>
      </c>
      <c r="U934" s="238" t="s">
        <v>18725</v>
      </c>
      <c r="V934" s="238" t="s">
        <v>18725</v>
      </c>
      <c r="W934" s="238" t="s">
        <v>18725</v>
      </c>
      <c r="X934" s="238" t="s">
        <v>18725</v>
      </c>
      <c r="Y934" s="239" t="str">
        <f>IF('CCUS Projects Database'!$R934&lt;&gt;"",HYPERLINK('CCUS Projects Database'!$R934,"Link 1"),"")</f>
        <v>Link 1</v>
      </c>
      <c r="Z934" s="239" t="str">
        <f>IF('CCUS Projects Database'!$S934&lt;&gt;"",HYPERLINK('CCUS Projects Database'!$S934,"Link 2"),"")</f>
        <v/>
      </c>
      <c r="AA934" s="239" t="str">
        <f>IF('CCUS Projects Database'!$T934&lt;&gt;"",HYPERLINK('CCUS Projects Database'!$T934,"Link 3"),"")</f>
        <v/>
      </c>
      <c r="AB934" s="239" t="str">
        <f>IF('CCUS Projects Database'!$U934&lt;&gt;"",HYPERLINK('CCUS Projects Database'!$U934,"Link 4"),"")</f>
        <v/>
      </c>
      <c r="AC934" s="239" t="str">
        <f>IF('CCUS Projects Database'!$V934&lt;&gt;"",HYPERLINK('CCUS Projects Database'!$V934,"Link 5"),"")</f>
        <v/>
      </c>
      <c r="AD934" s="239" t="str">
        <f>IF('CCUS Projects Database'!$W934&lt;&gt;"",HYPERLINK('CCUS Projects Database'!$W934,"Link 6"),"")</f>
        <v/>
      </c>
      <c r="AE934" s="239" t="str">
        <f>IF('CCUS Projects Database'!$X934&lt;&gt;"",HYPERLINK('CCUS Projects Database'!$X934,"Link 7"),"")</f>
        <v/>
      </c>
    </row>
    <row r="935" ht="14.25" customHeight="1">
      <c r="A935" s="233" t="s">
        <v>21889</v>
      </c>
      <c r="B935" s="234">
        <v>1246.0</v>
      </c>
      <c r="C935" s="234" t="s">
        <v>120</v>
      </c>
      <c r="D935" s="235" t="s">
        <v>21890</v>
      </c>
      <c r="E935" s="234" t="s">
        <v>18625</v>
      </c>
      <c r="F935" s="234">
        <v>2024.0</v>
      </c>
      <c r="G935" s="234" t="s">
        <v>18725</v>
      </c>
      <c r="H935" s="234">
        <v>2029.0</v>
      </c>
      <c r="I935" s="234" t="s">
        <v>18725</v>
      </c>
      <c r="J935" s="234" t="s">
        <v>18636</v>
      </c>
      <c r="K935" s="236" t="s">
        <v>18725</v>
      </c>
      <c r="L935" s="236" t="s">
        <v>18725</v>
      </c>
      <c r="M935" s="236" t="s">
        <v>18725</v>
      </c>
      <c r="N935" s="234" t="s">
        <v>103</v>
      </c>
      <c r="O935" s="237" t="s">
        <v>18679</v>
      </c>
      <c r="P935" s="234" t="s">
        <v>18725</v>
      </c>
      <c r="Q935" s="234" t="s">
        <v>18726</v>
      </c>
      <c r="R935" s="238" t="s">
        <v>21891</v>
      </c>
      <c r="S935" s="238" t="s">
        <v>18725</v>
      </c>
      <c r="T935" s="238" t="s">
        <v>18725</v>
      </c>
      <c r="U935" s="238" t="s">
        <v>18725</v>
      </c>
      <c r="V935" s="238" t="s">
        <v>18725</v>
      </c>
      <c r="W935" s="238" t="s">
        <v>18725</v>
      </c>
      <c r="X935" s="238" t="s">
        <v>18725</v>
      </c>
      <c r="Y935" s="239" t="str">
        <f>IF('CCUS Projects Database'!$R935&lt;&gt;"",HYPERLINK('CCUS Projects Database'!$R935,"Link 1"),"")</f>
        <v>Link 1</v>
      </c>
      <c r="Z935" s="239" t="str">
        <f>IF('CCUS Projects Database'!$S935&lt;&gt;"",HYPERLINK('CCUS Projects Database'!$S935,"Link 2"),"")</f>
        <v/>
      </c>
      <c r="AA935" s="239" t="str">
        <f>IF('CCUS Projects Database'!$T935&lt;&gt;"",HYPERLINK('CCUS Projects Database'!$T935,"Link 3"),"")</f>
        <v/>
      </c>
      <c r="AB935" s="239" t="str">
        <f>IF('CCUS Projects Database'!$U935&lt;&gt;"",HYPERLINK('CCUS Projects Database'!$U935,"Link 4"),"")</f>
        <v/>
      </c>
      <c r="AC935" s="239" t="str">
        <f>IF('CCUS Projects Database'!$V935&lt;&gt;"",HYPERLINK('CCUS Projects Database'!$V935,"Link 5"),"")</f>
        <v/>
      </c>
      <c r="AD935" s="239" t="str">
        <f>IF('CCUS Projects Database'!$W935&lt;&gt;"",HYPERLINK('CCUS Projects Database'!$W935,"Link 6"),"")</f>
        <v/>
      </c>
      <c r="AE935" s="239" t="str">
        <f>IF('CCUS Projects Database'!$X935&lt;&gt;"",HYPERLINK('CCUS Projects Database'!$X935,"Link 7"),"")</f>
        <v/>
      </c>
    </row>
    <row r="936" ht="14.25" customHeight="1">
      <c r="A936" s="233" t="s">
        <v>21892</v>
      </c>
      <c r="B936" s="234">
        <v>1247.0</v>
      </c>
      <c r="C936" s="234" t="s">
        <v>120</v>
      </c>
      <c r="D936" s="235" t="s">
        <v>21893</v>
      </c>
      <c r="E936" s="234" t="s">
        <v>18625</v>
      </c>
      <c r="F936" s="234">
        <v>2024.0</v>
      </c>
      <c r="G936" s="234" t="s">
        <v>18725</v>
      </c>
      <c r="H936" s="234">
        <v>2029.0</v>
      </c>
      <c r="I936" s="234" t="s">
        <v>18725</v>
      </c>
      <c r="J936" s="234" t="s">
        <v>18636</v>
      </c>
      <c r="K936" s="236" t="s">
        <v>18725</v>
      </c>
      <c r="L936" s="236" t="s">
        <v>18725</v>
      </c>
      <c r="M936" s="236" t="s">
        <v>18725</v>
      </c>
      <c r="N936" s="234" t="s">
        <v>103</v>
      </c>
      <c r="O936" s="237" t="s">
        <v>18679</v>
      </c>
      <c r="P936" s="234" t="s">
        <v>18725</v>
      </c>
      <c r="Q936" s="234" t="s">
        <v>18726</v>
      </c>
      <c r="R936" s="238" t="s">
        <v>21894</v>
      </c>
      <c r="S936" s="238" t="s">
        <v>18725</v>
      </c>
      <c r="T936" s="238" t="s">
        <v>18725</v>
      </c>
      <c r="U936" s="238" t="s">
        <v>18725</v>
      </c>
      <c r="V936" s="238" t="s">
        <v>18725</v>
      </c>
      <c r="W936" s="238" t="s">
        <v>18725</v>
      </c>
      <c r="X936" s="238" t="s">
        <v>18725</v>
      </c>
      <c r="Y936" s="239" t="str">
        <f>IF('CCUS Projects Database'!$R936&lt;&gt;"",HYPERLINK('CCUS Projects Database'!$R936,"Link 1"),"")</f>
        <v>Link 1</v>
      </c>
      <c r="Z936" s="239" t="str">
        <f>IF('CCUS Projects Database'!$S936&lt;&gt;"",HYPERLINK('CCUS Projects Database'!$S936,"Link 2"),"")</f>
        <v/>
      </c>
      <c r="AA936" s="239" t="str">
        <f>IF('CCUS Projects Database'!$T936&lt;&gt;"",HYPERLINK('CCUS Projects Database'!$T936,"Link 3"),"")</f>
        <v/>
      </c>
      <c r="AB936" s="239" t="str">
        <f>IF('CCUS Projects Database'!$U936&lt;&gt;"",HYPERLINK('CCUS Projects Database'!$U936,"Link 4"),"")</f>
        <v/>
      </c>
      <c r="AC936" s="239" t="str">
        <f>IF('CCUS Projects Database'!$V936&lt;&gt;"",HYPERLINK('CCUS Projects Database'!$V936,"Link 5"),"")</f>
        <v/>
      </c>
      <c r="AD936" s="239" t="str">
        <f>IF('CCUS Projects Database'!$W936&lt;&gt;"",HYPERLINK('CCUS Projects Database'!$W936,"Link 6"),"")</f>
        <v/>
      </c>
      <c r="AE936" s="239" t="str">
        <f>IF('CCUS Projects Database'!$X936&lt;&gt;"",HYPERLINK('CCUS Projects Database'!$X936,"Link 7"),"")</f>
        <v/>
      </c>
    </row>
    <row r="937" ht="14.25" customHeight="1">
      <c r="A937" s="233" t="s">
        <v>21895</v>
      </c>
      <c r="B937" s="234">
        <v>1248.0</v>
      </c>
      <c r="C937" s="234" t="s">
        <v>18586</v>
      </c>
      <c r="D937" s="235" t="s">
        <v>21896</v>
      </c>
      <c r="E937" s="234" t="s">
        <v>3</v>
      </c>
      <c r="F937" s="234">
        <v>2024.0</v>
      </c>
      <c r="G937" s="234" t="s">
        <v>18725</v>
      </c>
      <c r="H937" s="234" t="s">
        <v>18725</v>
      </c>
      <c r="I937" s="234" t="s">
        <v>18725</v>
      </c>
      <c r="J937" s="234" t="s">
        <v>18636</v>
      </c>
      <c r="K937" s="236" t="s">
        <v>18725</v>
      </c>
      <c r="L937" s="236" t="s">
        <v>18725</v>
      </c>
      <c r="M937" s="236" t="s">
        <v>18725</v>
      </c>
      <c r="N937" s="234" t="s">
        <v>3</v>
      </c>
      <c r="O937" s="237" t="s">
        <v>18675</v>
      </c>
      <c r="P937" s="234" t="s">
        <v>18725</v>
      </c>
      <c r="Q937" s="234" t="s">
        <v>18732</v>
      </c>
      <c r="R937" s="238" t="s">
        <v>18725</v>
      </c>
      <c r="S937" s="238" t="s">
        <v>18725</v>
      </c>
      <c r="T937" s="238" t="s">
        <v>18725</v>
      </c>
      <c r="U937" s="238" t="s">
        <v>18725</v>
      </c>
      <c r="V937" s="238" t="s">
        <v>18725</v>
      </c>
      <c r="W937" s="238" t="s">
        <v>18725</v>
      </c>
      <c r="X937" s="238" t="s">
        <v>18725</v>
      </c>
      <c r="Y937" s="239" t="str">
        <f>IF('CCUS Projects Database'!$R937&lt;&gt;"",HYPERLINK('CCUS Projects Database'!$R937,"Link 1"),"")</f>
        <v/>
      </c>
      <c r="Z937" s="239" t="str">
        <f>IF('CCUS Projects Database'!$S937&lt;&gt;"",HYPERLINK('CCUS Projects Database'!$S937,"Link 2"),"")</f>
        <v/>
      </c>
      <c r="AA937" s="239" t="str">
        <f>IF('CCUS Projects Database'!$T937&lt;&gt;"",HYPERLINK('CCUS Projects Database'!$T937,"Link 3"),"")</f>
        <v/>
      </c>
      <c r="AB937" s="239" t="str">
        <f>IF('CCUS Projects Database'!$U937&lt;&gt;"",HYPERLINK('CCUS Projects Database'!$U937,"Link 4"),"")</f>
        <v/>
      </c>
      <c r="AC937" s="239" t="str">
        <f>IF('CCUS Projects Database'!$V937&lt;&gt;"",HYPERLINK('CCUS Projects Database'!$V937,"Link 5"),"")</f>
        <v/>
      </c>
      <c r="AD937" s="239" t="str">
        <f>IF('CCUS Projects Database'!$W937&lt;&gt;"",HYPERLINK('CCUS Projects Database'!$W937,"Link 6"),"")</f>
        <v/>
      </c>
      <c r="AE937" s="239" t="str">
        <f>IF('CCUS Projects Database'!$X937&lt;&gt;"",HYPERLINK('CCUS Projects Database'!$X937,"Link 7"),"")</f>
        <v/>
      </c>
    </row>
    <row r="938" ht="14.25" customHeight="1">
      <c r="A938" s="233" t="s">
        <v>21897</v>
      </c>
      <c r="B938" s="234">
        <v>1249.0</v>
      </c>
      <c r="C938" s="234" t="s">
        <v>18586</v>
      </c>
      <c r="D938" s="235" t="s">
        <v>21898</v>
      </c>
      <c r="E938" s="234" t="s">
        <v>3</v>
      </c>
      <c r="F938" s="234">
        <v>2022.0</v>
      </c>
      <c r="G938" s="234">
        <v>2025.0</v>
      </c>
      <c r="H938" s="234">
        <v>2026.0</v>
      </c>
      <c r="I938" s="234" t="s">
        <v>18725</v>
      </c>
      <c r="J938" s="234" t="s">
        <v>18636</v>
      </c>
      <c r="K938" s="236" t="s">
        <v>18725</v>
      </c>
      <c r="L938" s="236">
        <v>1.5</v>
      </c>
      <c r="M938" s="236">
        <v>1.5</v>
      </c>
      <c r="N938" s="234" t="s">
        <v>3</v>
      </c>
      <c r="O938" s="237" t="s">
        <v>18675</v>
      </c>
      <c r="P938" s="234" t="s">
        <v>18971</v>
      </c>
      <c r="Q938" s="234" t="s">
        <v>18732</v>
      </c>
      <c r="R938" s="238" t="s">
        <v>21899</v>
      </c>
      <c r="S938" s="238" t="s">
        <v>18725</v>
      </c>
      <c r="T938" s="238" t="s">
        <v>18725</v>
      </c>
      <c r="U938" s="238" t="s">
        <v>18725</v>
      </c>
      <c r="V938" s="238" t="s">
        <v>18725</v>
      </c>
      <c r="W938" s="238" t="s">
        <v>18725</v>
      </c>
      <c r="X938" s="238" t="s">
        <v>18725</v>
      </c>
      <c r="Y938" s="239" t="str">
        <f>IF('CCUS Projects Database'!$R938&lt;&gt;"",HYPERLINK('CCUS Projects Database'!$R938,"Link 1"),"")</f>
        <v>Link 1</v>
      </c>
      <c r="Z938" s="239" t="str">
        <f>IF('CCUS Projects Database'!$S938&lt;&gt;"",HYPERLINK('CCUS Projects Database'!$S938,"Link 2"),"")</f>
        <v/>
      </c>
      <c r="AA938" s="239" t="str">
        <f>IF('CCUS Projects Database'!$T938&lt;&gt;"",HYPERLINK('CCUS Projects Database'!$T938,"Link 3"),"")</f>
        <v/>
      </c>
      <c r="AB938" s="239" t="str">
        <f>IF('CCUS Projects Database'!$U938&lt;&gt;"",HYPERLINK('CCUS Projects Database'!$U938,"Link 4"),"")</f>
        <v/>
      </c>
      <c r="AC938" s="239" t="str">
        <f>IF('CCUS Projects Database'!$V938&lt;&gt;"",HYPERLINK('CCUS Projects Database'!$V938,"Link 5"),"")</f>
        <v/>
      </c>
      <c r="AD938" s="239" t="str">
        <f>IF('CCUS Projects Database'!$W938&lt;&gt;"",HYPERLINK('CCUS Projects Database'!$W938,"Link 6"),"")</f>
        <v/>
      </c>
      <c r="AE938" s="239" t="str">
        <f>IF('CCUS Projects Database'!$X938&lt;&gt;"",HYPERLINK('CCUS Projects Database'!$X938,"Link 7"),"")</f>
        <v/>
      </c>
    </row>
    <row r="939" ht="14.25" customHeight="1">
      <c r="A939" s="233" t="s">
        <v>21900</v>
      </c>
      <c r="B939" s="234">
        <v>1250.0</v>
      </c>
      <c r="C939" s="234" t="s">
        <v>18586</v>
      </c>
      <c r="D939" s="235" t="s">
        <v>21901</v>
      </c>
      <c r="E939" s="234" t="s">
        <v>18616</v>
      </c>
      <c r="F939" s="234">
        <v>2024.0</v>
      </c>
      <c r="G939" s="234" t="s">
        <v>18725</v>
      </c>
      <c r="H939" s="234">
        <v>2030.0</v>
      </c>
      <c r="I939" s="234" t="s">
        <v>18725</v>
      </c>
      <c r="J939" s="234" t="s">
        <v>18636</v>
      </c>
      <c r="K939" s="236">
        <v>1.0</v>
      </c>
      <c r="L939" s="236">
        <v>0.05</v>
      </c>
      <c r="M939" s="236">
        <v>0.05</v>
      </c>
      <c r="N939" s="234" t="s">
        <v>18218</v>
      </c>
      <c r="O939" s="237" t="s">
        <v>18675</v>
      </c>
      <c r="P939" s="234" t="s">
        <v>18725</v>
      </c>
      <c r="Q939" s="234" t="s">
        <v>18732</v>
      </c>
      <c r="R939" s="238" t="s">
        <v>21902</v>
      </c>
      <c r="S939" s="238" t="s">
        <v>18725</v>
      </c>
      <c r="T939" s="238" t="s">
        <v>18725</v>
      </c>
      <c r="U939" s="238" t="s">
        <v>18725</v>
      </c>
      <c r="V939" s="238" t="s">
        <v>18725</v>
      </c>
      <c r="W939" s="238" t="s">
        <v>18725</v>
      </c>
      <c r="X939" s="238" t="s">
        <v>18725</v>
      </c>
      <c r="Y939" s="239" t="str">
        <f>IF('CCUS Projects Database'!$R939&lt;&gt;"",HYPERLINK('CCUS Projects Database'!$R939,"Link 1"),"")</f>
        <v>Link 1</v>
      </c>
      <c r="Z939" s="239" t="str">
        <f>IF('CCUS Projects Database'!$S939&lt;&gt;"",HYPERLINK('CCUS Projects Database'!$S939,"Link 2"),"")</f>
        <v/>
      </c>
      <c r="AA939" s="239" t="str">
        <f>IF('CCUS Projects Database'!$T939&lt;&gt;"",HYPERLINK('CCUS Projects Database'!$T939,"Link 3"),"")</f>
        <v/>
      </c>
      <c r="AB939" s="239" t="str">
        <f>IF('CCUS Projects Database'!$U939&lt;&gt;"",HYPERLINK('CCUS Projects Database'!$U939,"Link 4"),"")</f>
        <v/>
      </c>
      <c r="AC939" s="239" t="str">
        <f>IF('CCUS Projects Database'!$V939&lt;&gt;"",HYPERLINK('CCUS Projects Database'!$V939,"Link 5"),"")</f>
        <v/>
      </c>
      <c r="AD939" s="239" t="str">
        <f>IF('CCUS Projects Database'!$W939&lt;&gt;"",HYPERLINK('CCUS Projects Database'!$W939,"Link 6"),"")</f>
        <v/>
      </c>
      <c r="AE939" s="239" t="str">
        <f>IF('CCUS Projects Database'!$X939&lt;&gt;"",HYPERLINK('CCUS Projects Database'!$X939,"Link 7"),"")</f>
        <v/>
      </c>
    </row>
    <row r="940" ht="14.25" customHeight="1">
      <c r="A940" s="233" t="s">
        <v>21903</v>
      </c>
      <c r="B940" s="234">
        <v>1251.0</v>
      </c>
      <c r="C940" s="234" t="s">
        <v>18586</v>
      </c>
      <c r="D940" s="235" t="s">
        <v>21901</v>
      </c>
      <c r="E940" s="234" t="s">
        <v>18616</v>
      </c>
      <c r="F940" s="234">
        <v>2024.0</v>
      </c>
      <c r="G940" s="234" t="s">
        <v>18725</v>
      </c>
      <c r="H940" s="234" t="s">
        <v>18725</v>
      </c>
      <c r="I940" s="234" t="s">
        <v>18725</v>
      </c>
      <c r="J940" s="234" t="s">
        <v>18636</v>
      </c>
      <c r="K940" s="236">
        <v>2.0</v>
      </c>
      <c r="L940" s="236">
        <v>0.45</v>
      </c>
      <c r="M940" s="236">
        <v>0.45</v>
      </c>
      <c r="N940" s="234" t="s">
        <v>18218</v>
      </c>
      <c r="O940" s="237" t="s">
        <v>18675</v>
      </c>
      <c r="P940" s="234" t="s">
        <v>18725</v>
      </c>
      <c r="Q940" s="234" t="s">
        <v>18732</v>
      </c>
      <c r="R940" s="238" t="s">
        <v>21902</v>
      </c>
      <c r="S940" s="238" t="s">
        <v>18725</v>
      </c>
      <c r="T940" s="238" t="s">
        <v>18725</v>
      </c>
      <c r="U940" s="238" t="s">
        <v>18725</v>
      </c>
      <c r="V940" s="238" t="s">
        <v>18725</v>
      </c>
      <c r="W940" s="238" t="s">
        <v>18725</v>
      </c>
      <c r="X940" s="238" t="s">
        <v>18725</v>
      </c>
      <c r="Y940" s="239" t="str">
        <f>IF('CCUS Projects Database'!$R940&lt;&gt;"",HYPERLINK('CCUS Projects Database'!$R940,"Link 1"),"")</f>
        <v>Link 1</v>
      </c>
      <c r="Z940" s="239" t="str">
        <f>IF('CCUS Projects Database'!$S940&lt;&gt;"",HYPERLINK('CCUS Projects Database'!$S940,"Link 2"),"")</f>
        <v/>
      </c>
      <c r="AA940" s="239" t="str">
        <f>IF('CCUS Projects Database'!$T940&lt;&gt;"",HYPERLINK('CCUS Projects Database'!$T940,"Link 3"),"")</f>
        <v/>
      </c>
      <c r="AB940" s="239" t="str">
        <f>IF('CCUS Projects Database'!$U940&lt;&gt;"",HYPERLINK('CCUS Projects Database'!$U940,"Link 4"),"")</f>
        <v/>
      </c>
      <c r="AC940" s="239" t="str">
        <f>IF('CCUS Projects Database'!$V940&lt;&gt;"",HYPERLINK('CCUS Projects Database'!$V940,"Link 5"),"")</f>
        <v/>
      </c>
      <c r="AD940" s="239" t="str">
        <f>IF('CCUS Projects Database'!$W940&lt;&gt;"",HYPERLINK('CCUS Projects Database'!$W940,"Link 6"),"")</f>
        <v/>
      </c>
      <c r="AE940" s="239" t="str">
        <f>IF('CCUS Projects Database'!$X940&lt;&gt;"",HYPERLINK('CCUS Projects Database'!$X940,"Link 7"),"")</f>
        <v/>
      </c>
    </row>
    <row r="941" ht="14.25" customHeight="1">
      <c r="A941" s="233" t="s">
        <v>21904</v>
      </c>
      <c r="B941" s="234">
        <v>1252.0</v>
      </c>
      <c r="C941" s="234" t="s">
        <v>18586</v>
      </c>
      <c r="D941" s="235" t="s">
        <v>21905</v>
      </c>
      <c r="E941" s="234" t="s">
        <v>18616</v>
      </c>
      <c r="F941" s="234">
        <v>2023.0</v>
      </c>
      <c r="G941" s="234" t="s">
        <v>18725</v>
      </c>
      <c r="H941" s="234">
        <v>2030.0</v>
      </c>
      <c r="I941" s="234" t="s">
        <v>18725</v>
      </c>
      <c r="J941" s="234" t="s">
        <v>18636</v>
      </c>
      <c r="K941" s="236" t="s">
        <v>18725</v>
      </c>
      <c r="L941" s="236" t="s">
        <v>18725</v>
      </c>
      <c r="M941" s="236" t="s">
        <v>18725</v>
      </c>
      <c r="N941" s="234" t="s">
        <v>18218</v>
      </c>
      <c r="O941" s="237" t="s">
        <v>18675</v>
      </c>
      <c r="P941" s="234" t="s">
        <v>18725</v>
      </c>
      <c r="Q941" s="234" t="s">
        <v>18732</v>
      </c>
      <c r="R941" s="238" t="s">
        <v>21906</v>
      </c>
      <c r="S941" s="238" t="s">
        <v>21907</v>
      </c>
      <c r="T941" s="238" t="s">
        <v>18725</v>
      </c>
      <c r="U941" s="238" t="s">
        <v>18725</v>
      </c>
      <c r="V941" s="238" t="s">
        <v>18725</v>
      </c>
      <c r="W941" s="238" t="s">
        <v>18725</v>
      </c>
      <c r="X941" s="238" t="s">
        <v>18725</v>
      </c>
      <c r="Y941" s="239" t="str">
        <f>IF('CCUS Projects Database'!$R941&lt;&gt;"",HYPERLINK('CCUS Projects Database'!$R941,"Link 1"),"")</f>
        <v>Link 1</v>
      </c>
      <c r="Z941" s="239" t="str">
        <f>IF('CCUS Projects Database'!$S941&lt;&gt;"",HYPERLINK('CCUS Projects Database'!$S941,"Link 2"),"")</f>
        <v>Link 2</v>
      </c>
      <c r="AA941" s="239" t="str">
        <f>IF('CCUS Projects Database'!$T941&lt;&gt;"",HYPERLINK('CCUS Projects Database'!$T941,"Link 3"),"")</f>
        <v/>
      </c>
      <c r="AB941" s="239" t="str">
        <f>IF('CCUS Projects Database'!$U941&lt;&gt;"",HYPERLINK('CCUS Projects Database'!$U941,"Link 4"),"")</f>
        <v/>
      </c>
      <c r="AC941" s="239" t="str">
        <f>IF('CCUS Projects Database'!$V941&lt;&gt;"",HYPERLINK('CCUS Projects Database'!$V941,"Link 5"),"")</f>
        <v/>
      </c>
      <c r="AD941" s="239" t="str">
        <f>IF('CCUS Projects Database'!$W941&lt;&gt;"",HYPERLINK('CCUS Projects Database'!$W941,"Link 6"),"")</f>
        <v/>
      </c>
      <c r="AE941" s="239" t="str">
        <f>IF('CCUS Projects Database'!$X941&lt;&gt;"",HYPERLINK('CCUS Projects Database'!$X941,"Link 7"),"")</f>
        <v/>
      </c>
    </row>
    <row r="942" ht="14.25" customHeight="1">
      <c r="A942" s="233" t="s">
        <v>21908</v>
      </c>
      <c r="B942" s="234">
        <v>1253.0</v>
      </c>
      <c r="C942" s="234" t="s">
        <v>18586</v>
      </c>
      <c r="D942" s="235" t="s">
        <v>21909</v>
      </c>
      <c r="E942" s="234" t="s">
        <v>18616</v>
      </c>
      <c r="F942" s="234">
        <v>2023.0</v>
      </c>
      <c r="G942" s="234" t="s">
        <v>18725</v>
      </c>
      <c r="H942" s="234">
        <v>2030.0</v>
      </c>
      <c r="I942" s="234" t="s">
        <v>18725</v>
      </c>
      <c r="J942" s="234" t="s">
        <v>18636</v>
      </c>
      <c r="K942" s="236" t="s">
        <v>18725</v>
      </c>
      <c r="L942" s="236">
        <v>1.0</v>
      </c>
      <c r="M942" s="236">
        <v>1.0</v>
      </c>
      <c r="N942" s="234" t="s">
        <v>18218</v>
      </c>
      <c r="O942" s="237" t="s">
        <v>18675</v>
      </c>
      <c r="P942" s="234" t="s">
        <v>21910</v>
      </c>
      <c r="Q942" s="234" t="s">
        <v>18732</v>
      </c>
      <c r="R942" s="238" t="s">
        <v>21906</v>
      </c>
      <c r="S942" s="238" t="s">
        <v>21911</v>
      </c>
      <c r="T942" s="238" t="s">
        <v>18725</v>
      </c>
      <c r="U942" s="238" t="s">
        <v>18725</v>
      </c>
      <c r="V942" s="238" t="s">
        <v>18725</v>
      </c>
      <c r="W942" s="238" t="s">
        <v>18725</v>
      </c>
      <c r="X942" s="238" t="s">
        <v>18725</v>
      </c>
      <c r="Y942" s="239" t="str">
        <f>IF('CCUS Projects Database'!$R942&lt;&gt;"",HYPERLINK('CCUS Projects Database'!$R942,"Link 1"),"")</f>
        <v>Link 1</v>
      </c>
      <c r="Z942" s="239" t="str">
        <f>IF('CCUS Projects Database'!$S942&lt;&gt;"",HYPERLINK('CCUS Projects Database'!$S942,"Link 2"),"")</f>
        <v>Link 2</v>
      </c>
      <c r="AA942" s="239" t="str">
        <f>IF('CCUS Projects Database'!$T942&lt;&gt;"",HYPERLINK('CCUS Projects Database'!$T942,"Link 3"),"")</f>
        <v/>
      </c>
      <c r="AB942" s="239" t="str">
        <f>IF('CCUS Projects Database'!$U942&lt;&gt;"",HYPERLINK('CCUS Projects Database'!$U942,"Link 4"),"")</f>
        <v/>
      </c>
      <c r="AC942" s="239" t="str">
        <f>IF('CCUS Projects Database'!$V942&lt;&gt;"",HYPERLINK('CCUS Projects Database'!$V942,"Link 5"),"")</f>
        <v/>
      </c>
      <c r="AD942" s="239" t="str">
        <f>IF('CCUS Projects Database'!$W942&lt;&gt;"",HYPERLINK('CCUS Projects Database'!$W942,"Link 6"),"")</f>
        <v/>
      </c>
      <c r="AE942" s="239" t="str">
        <f>IF('CCUS Projects Database'!$X942&lt;&gt;"",HYPERLINK('CCUS Projects Database'!$X942,"Link 7"),"")</f>
        <v/>
      </c>
    </row>
    <row r="943" ht="14.25" customHeight="1">
      <c r="A943" s="233" t="s">
        <v>21912</v>
      </c>
      <c r="B943" s="234">
        <v>1255.0</v>
      </c>
      <c r="C943" s="234" t="s">
        <v>18586</v>
      </c>
      <c r="D943" s="235" t="s">
        <v>21913</v>
      </c>
      <c r="E943" s="234" t="s">
        <v>18618</v>
      </c>
      <c r="F943" s="234">
        <v>2021.0</v>
      </c>
      <c r="G943" s="234" t="s">
        <v>18725</v>
      </c>
      <c r="H943" s="234">
        <v>2026.0</v>
      </c>
      <c r="I943" s="234" t="s">
        <v>18725</v>
      </c>
      <c r="J943" s="234" t="s">
        <v>18636</v>
      </c>
      <c r="K943" s="236" t="s">
        <v>18725</v>
      </c>
      <c r="L943" s="236">
        <v>0.29</v>
      </c>
      <c r="M943" s="236">
        <v>0.29</v>
      </c>
      <c r="N943" s="234" t="s">
        <v>12270</v>
      </c>
      <c r="O943" s="237" t="s">
        <v>18675</v>
      </c>
      <c r="P943" s="234" t="s">
        <v>18725</v>
      </c>
      <c r="Q943" s="234" t="s">
        <v>18732</v>
      </c>
      <c r="R943" s="238" t="s">
        <v>17801</v>
      </c>
      <c r="S943" s="238" t="s">
        <v>21914</v>
      </c>
      <c r="T943" s="238" t="s">
        <v>21915</v>
      </c>
      <c r="U943" s="238" t="s">
        <v>18725</v>
      </c>
      <c r="V943" s="238" t="s">
        <v>18725</v>
      </c>
      <c r="W943" s="238" t="s">
        <v>18725</v>
      </c>
      <c r="X943" s="238" t="s">
        <v>18725</v>
      </c>
      <c r="Y943" s="239" t="str">
        <f>IF('CCUS Projects Database'!$R943&lt;&gt;"",HYPERLINK('CCUS Projects Database'!$R943,"Link 1"),"")</f>
        <v>Link 1</v>
      </c>
      <c r="Z943" s="239" t="str">
        <f>IF('CCUS Projects Database'!$S943&lt;&gt;"",HYPERLINK('CCUS Projects Database'!$S943,"Link 2"),"")</f>
        <v>Link 2</v>
      </c>
      <c r="AA943" s="239" t="str">
        <f>IF('CCUS Projects Database'!$T943&lt;&gt;"",HYPERLINK('CCUS Projects Database'!$T943,"Link 3"),"")</f>
        <v>Link 3</v>
      </c>
      <c r="AB943" s="239" t="str">
        <f>IF('CCUS Projects Database'!$U943&lt;&gt;"",HYPERLINK('CCUS Projects Database'!$U943,"Link 4"),"")</f>
        <v/>
      </c>
      <c r="AC943" s="239" t="str">
        <f>IF('CCUS Projects Database'!$V943&lt;&gt;"",HYPERLINK('CCUS Projects Database'!$V943,"Link 5"),"")</f>
        <v/>
      </c>
      <c r="AD943" s="239" t="str">
        <f>IF('CCUS Projects Database'!$W943&lt;&gt;"",HYPERLINK('CCUS Projects Database'!$W943,"Link 6"),"")</f>
        <v/>
      </c>
      <c r="AE943" s="239" t="str">
        <f>IF('CCUS Projects Database'!$X943&lt;&gt;"",HYPERLINK('CCUS Projects Database'!$X943,"Link 7"),"")</f>
        <v/>
      </c>
    </row>
    <row r="944" ht="14.25" customHeight="1">
      <c r="A944" s="233" t="s">
        <v>21916</v>
      </c>
      <c r="B944" s="234">
        <v>1257.0</v>
      </c>
      <c r="C944" s="234" t="s">
        <v>18586</v>
      </c>
      <c r="D944" s="235" t="s">
        <v>18911</v>
      </c>
      <c r="E944" s="234" t="s">
        <v>3</v>
      </c>
      <c r="F944" s="234">
        <v>2023.0</v>
      </c>
      <c r="G944" s="234">
        <v>2027.0</v>
      </c>
      <c r="H944" s="234">
        <v>2030.0</v>
      </c>
      <c r="I944" s="234" t="s">
        <v>18725</v>
      </c>
      <c r="J944" s="234" t="s">
        <v>18636</v>
      </c>
      <c r="K944" s="236" t="s">
        <v>18725</v>
      </c>
      <c r="L944" s="236" t="s">
        <v>18725</v>
      </c>
      <c r="M944" s="236" t="s">
        <v>18725</v>
      </c>
      <c r="N944" s="234" t="s">
        <v>3</v>
      </c>
      <c r="O944" s="237" t="s">
        <v>18675</v>
      </c>
      <c r="P944" s="234" t="s">
        <v>21917</v>
      </c>
      <c r="Q944" s="234" t="s">
        <v>18732</v>
      </c>
      <c r="R944" s="238" t="s">
        <v>21918</v>
      </c>
      <c r="S944" s="238" t="s">
        <v>18917</v>
      </c>
      <c r="T944" s="238" t="s">
        <v>21919</v>
      </c>
      <c r="U944" s="238" t="s">
        <v>18725</v>
      </c>
      <c r="V944" s="238" t="s">
        <v>18725</v>
      </c>
      <c r="W944" s="238" t="s">
        <v>18725</v>
      </c>
      <c r="X944" s="238" t="s">
        <v>18725</v>
      </c>
      <c r="Y944" s="239" t="str">
        <f>IF('CCUS Projects Database'!$R944&lt;&gt;"",HYPERLINK('CCUS Projects Database'!$R944,"Link 1"),"")</f>
        <v>Link 1</v>
      </c>
      <c r="Z944" s="239" t="str">
        <f>IF('CCUS Projects Database'!$S944&lt;&gt;"",HYPERLINK('CCUS Projects Database'!$S944,"Link 2"),"")</f>
        <v>Link 2</v>
      </c>
      <c r="AA944" s="239" t="str">
        <f>IF('CCUS Projects Database'!$T944&lt;&gt;"",HYPERLINK('CCUS Projects Database'!$T944,"Link 3"),"")</f>
        <v>Link 3</v>
      </c>
      <c r="AB944" s="239" t="str">
        <f>IF('CCUS Projects Database'!$U944&lt;&gt;"",HYPERLINK('CCUS Projects Database'!$U944,"Link 4"),"")</f>
        <v/>
      </c>
      <c r="AC944" s="239" t="str">
        <f>IF('CCUS Projects Database'!$V944&lt;&gt;"",HYPERLINK('CCUS Projects Database'!$V944,"Link 5"),"")</f>
        <v/>
      </c>
      <c r="AD944" s="239" t="str">
        <f>IF('CCUS Projects Database'!$W944&lt;&gt;"",HYPERLINK('CCUS Projects Database'!$W944,"Link 6"),"")</f>
        <v/>
      </c>
      <c r="AE944" s="239" t="str">
        <f>IF('CCUS Projects Database'!$X944&lt;&gt;"",HYPERLINK('CCUS Projects Database'!$X944,"Link 7"),"")</f>
        <v/>
      </c>
    </row>
    <row r="945" ht="14.25" customHeight="1">
      <c r="A945" s="233" t="s">
        <v>21920</v>
      </c>
      <c r="B945" s="234">
        <v>1258.0</v>
      </c>
      <c r="C945" s="234" t="s">
        <v>161</v>
      </c>
      <c r="D945" s="235" t="s">
        <v>21921</v>
      </c>
      <c r="E945" s="234" t="s">
        <v>18618</v>
      </c>
      <c r="F945" s="234">
        <v>2024.0</v>
      </c>
      <c r="G945" s="234" t="s">
        <v>18725</v>
      </c>
      <c r="H945" s="234" t="s">
        <v>18725</v>
      </c>
      <c r="I945" s="234" t="s">
        <v>18725</v>
      </c>
      <c r="J945" s="234" t="s">
        <v>18636</v>
      </c>
      <c r="K945" s="236">
        <v>1.0</v>
      </c>
      <c r="L945" s="236">
        <v>0.74</v>
      </c>
      <c r="M945" s="236">
        <v>0.74</v>
      </c>
      <c r="N945" s="234" t="s">
        <v>18661</v>
      </c>
      <c r="O945" s="237" t="s">
        <v>18675</v>
      </c>
      <c r="P945" s="234" t="s">
        <v>18725</v>
      </c>
      <c r="Q945" s="234" t="s">
        <v>18726</v>
      </c>
      <c r="R945" s="238" t="s">
        <v>21922</v>
      </c>
      <c r="S945" s="238" t="s">
        <v>21923</v>
      </c>
      <c r="T945" s="238" t="s">
        <v>18725</v>
      </c>
      <c r="U945" s="238" t="s">
        <v>18725</v>
      </c>
      <c r="V945" s="238" t="s">
        <v>18725</v>
      </c>
      <c r="W945" s="238" t="s">
        <v>18725</v>
      </c>
      <c r="X945" s="238" t="s">
        <v>18725</v>
      </c>
      <c r="Y945" s="239" t="str">
        <f>IF('CCUS Projects Database'!$R945&lt;&gt;"",HYPERLINK('CCUS Projects Database'!$R945,"Link 1"),"")</f>
        <v>Link 1</v>
      </c>
      <c r="Z945" s="239" t="str">
        <f>IF('CCUS Projects Database'!$S945&lt;&gt;"",HYPERLINK('CCUS Projects Database'!$S945,"Link 2"),"")</f>
        <v>Link 2</v>
      </c>
      <c r="AA945" s="239" t="str">
        <f>IF('CCUS Projects Database'!$T945&lt;&gt;"",HYPERLINK('CCUS Projects Database'!$T945,"Link 3"),"")</f>
        <v/>
      </c>
      <c r="AB945" s="239" t="str">
        <f>IF('CCUS Projects Database'!$U945&lt;&gt;"",HYPERLINK('CCUS Projects Database'!$U945,"Link 4"),"")</f>
        <v/>
      </c>
      <c r="AC945" s="239" t="str">
        <f>IF('CCUS Projects Database'!$V945&lt;&gt;"",HYPERLINK('CCUS Projects Database'!$V945,"Link 5"),"")</f>
        <v/>
      </c>
      <c r="AD945" s="239" t="str">
        <f>IF('CCUS Projects Database'!$W945&lt;&gt;"",HYPERLINK('CCUS Projects Database'!$W945,"Link 6"),"")</f>
        <v/>
      </c>
      <c r="AE945" s="239" t="str">
        <f>IF('CCUS Projects Database'!$X945&lt;&gt;"",HYPERLINK('CCUS Projects Database'!$X945,"Link 7"),"")</f>
        <v/>
      </c>
    </row>
    <row r="946" ht="14.25" customHeight="1">
      <c r="A946" s="233" t="s">
        <v>21924</v>
      </c>
      <c r="B946" s="234">
        <v>1260.0</v>
      </c>
      <c r="C946" s="234" t="s">
        <v>18586</v>
      </c>
      <c r="D946" s="235" t="s">
        <v>21925</v>
      </c>
      <c r="E946" s="234" t="s">
        <v>21926</v>
      </c>
      <c r="F946" s="234">
        <v>2025.0</v>
      </c>
      <c r="G946" s="234" t="s">
        <v>18725</v>
      </c>
      <c r="H946" s="234" t="s">
        <v>18725</v>
      </c>
      <c r="I946" s="234" t="s">
        <v>18725</v>
      </c>
      <c r="J946" s="234" t="s">
        <v>18636</v>
      </c>
      <c r="K946" s="236" t="s">
        <v>18725</v>
      </c>
      <c r="L946" s="236">
        <v>0.55</v>
      </c>
      <c r="M946" s="236">
        <v>0.55</v>
      </c>
      <c r="N946" s="234" t="s">
        <v>18663</v>
      </c>
      <c r="O946" s="237" t="s">
        <v>21282</v>
      </c>
      <c r="P946" s="238" t="s">
        <v>18725</v>
      </c>
      <c r="Q946" s="234" t="s">
        <v>18732</v>
      </c>
      <c r="R946" s="238" t="s">
        <v>21927</v>
      </c>
      <c r="S946" s="238" t="s">
        <v>21928</v>
      </c>
      <c r="T946" s="238" t="s">
        <v>21929</v>
      </c>
      <c r="U946" s="238" t="s">
        <v>18725</v>
      </c>
      <c r="V946" s="238" t="s">
        <v>18725</v>
      </c>
      <c r="W946" s="238" t="s">
        <v>18725</v>
      </c>
      <c r="X946" s="238" t="s">
        <v>18725</v>
      </c>
      <c r="Y946" s="239" t="str">
        <f>IF('CCUS Projects Database'!$R946&lt;&gt;"",HYPERLINK('CCUS Projects Database'!$R946,"Link 1"),"")</f>
        <v>Link 1</v>
      </c>
      <c r="Z946" s="239" t="str">
        <f>IF('CCUS Projects Database'!$S946&lt;&gt;"",HYPERLINK('CCUS Projects Database'!$S946,"Link 2"),"")</f>
        <v>Link 2</v>
      </c>
      <c r="AA946" s="239" t="str">
        <f>IF('CCUS Projects Database'!$T946&lt;&gt;"",HYPERLINK('CCUS Projects Database'!$T946,"Link 3"),"")</f>
        <v>Link 3</v>
      </c>
      <c r="AB946" s="239" t="str">
        <f>IF('CCUS Projects Database'!$U946&lt;&gt;"",HYPERLINK('CCUS Projects Database'!$U946,"Link 4"),"")</f>
        <v/>
      </c>
      <c r="AC946" s="239" t="str">
        <f>IF('CCUS Projects Database'!$V946&lt;&gt;"",HYPERLINK('CCUS Projects Database'!$V946,"Link 5"),"")</f>
        <v/>
      </c>
      <c r="AD946" s="239" t="str">
        <f>IF('CCUS Projects Database'!$W946&lt;&gt;"",HYPERLINK('CCUS Projects Database'!$W946,"Link 6"),"")</f>
        <v/>
      </c>
      <c r="AE946" s="239" t="str">
        <f>IF('CCUS Projects Database'!$X946&lt;&gt;"",HYPERLINK('CCUS Projects Database'!$X946,"Link 7"),"")</f>
        <v/>
      </c>
    </row>
    <row r="947" ht="14.25" customHeight="1">
      <c r="A947" s="233" t="s">
        <v>21930</v>
      </c>
      <c r="B947" s="234">
        <v>1261.0</v>
      </c>
      <c r="C947" s="234" t="s">
        <v>18586</v>
      </c>
      <c r="D947" s="235" t="s">
        <v>21931</v>
      </c>
      <c r="E947" s="234" t="s">
        <v>21926</v>
      </c>
      <c r="F947" s="234">
        <v>2025.0</v>
      </c>
      <c r="G947" s="234" t="s">
        <v>18725</v>
      </c>
      <c r="H947" s="234" t="s">
        <v>18725</v>
      </c>
      <c r="I947" s="234" t="s">
        <v>18725</v>
      </c>
      <c r="J947" s="234" t="s">
        <v>18636</v>
      </c>
      <c r="K947" s="236" t="s">
        <v>18725</v>
      </c>
      <c r="L947" s="236">
        <v>0.15</v>
      </c>
      <c r="M947" s="236">
        <v>0.15</v>
      </c>
      <c r="N947" s="234" t="s">
        <v>18663</v>
      </c>
      <c r="O947" s="237" t="s">
        <v>21282</v>
      </c>
      <c r="P947" s="234" t="s">
        <v>18725</v>
      </c>
      <c r="Q947" s="234" t="s">
        <v>18732</v>
      </c>
      <c r="R947" s="238" t="s">
        <v>21927</v>
      </c>
      <c r="S947" s="238" t="s">
        <v>21928</v>
      </c>
      <c r="T947" s="238" t="s">
        <v>18725</v>
      </c>
      <c r="U947" s="238" t="s">
        <v>18725</v>
      </c>
      <c r="V947" s="238" t="s">
        <v>18725</v>
      </c>
      <c r="W947" s="238" t="s">
        <v>18725</v>
      </c>
      <c r="X947" s="238" t="s">
        <v>18725</v>
      </c>
      <c r="Y947" s="239" t="str">
        <f>IF('CCUS Projects Database'!$R947&lt;&gt;"",HYPERLINK('CCUS Projects Database'!$R947,"Link 1"),"")</f>
        <v>Link 1</v>
      </c>
      <c r="Z947" s="239" t="str">
        <f>IF('CCUS Projects Database'!$S947&lt;&gt;"",HYPERLINK('CCUS Projects Database'!$S947,"Link 2"),"")</f>
        <v>Link 2</v>
      </c>
      <c r="AA947" s="239" t="str">
        <f>IF('CCUS Projects Database'!$T947&lt;&gt;"",HYPERLINK('CCUS Projects Database'!$T947,"Link 3"),"")</f>
        <v/>
      </c>
      <c r="AB947" s="239" t="str">
        <f>IF('CCUS Projects Database'!$U947&lt;&gt;"",HYPERLINK('CCUS Projects Database'!$U947,"Link 4"),"")</f>
        <v/>
      </c>
      <c r="AC947" s="239" t="str">
        <f>IF('CCUS Projects Database'!$V947&lt;&gt;"",HYPERLINK('CCUS Projects Database'!$V947,"Link 5"),"")</f>
        <v/>
      </c>
      <c r="AD947" s="239" t="str">
        <f>IF('CCUS Projects Database'!$W947&lt;&gt;"",HYPERLINK('CCUS Projects Database'!$W947,"Link 6"),"")</f>
        <v/>
      </c>
      <c r="AE947" s="239" t="str">
        <f>IF('CCUS Projects Database'!$X947&lt;&gt;"",HYPERLINK('CCUS Projects Database'!$X947,"Link 7"),"")</f>
        <v/>
      </c>
    </row>
    <row r="948" ht="14.25" customHeight="1">
      <c r="A948" s="233" t="s">
        <v>21932</v>
      </c>
      <c r="B948" s="234">
        <v>1262.0</v>
      </c>
      <c r="C948" s="234" t="s">
        <v>18586</v>
      </c>
      <c r="D948" s="235" t="s">
        <v>21933</v>
      </c>
      <c r="E948" s="234" t="s">
        <v>18618</v>
      </c>
      <c r="F948" s="234">
        <v>2023.0</v>
      </c>
      <c r="G948" s="234" t="s">
        <v>18725</v>
      </c>
      <c r="H948" s="234">
        <v>2026.0</v>
      </c>
      <c r="I948" s="234" t="s">
        <v>18725</v>
      </c>
      <c r="J948" s="234" t="s">
        <v>18636</v>
      </c>
      <c r="K948" s="236">
        <v>1.0</v>
      </c>
      <c r="L948" s="236">
        <v>0.017</v>
      </c>
      <c r="M948" s="236">
        <v>0.017</v>
      </c>
      <c r="N948" s="234" t="s">
        <v>18218</v>
      </c>
      <c r="O948" s="237" t="s">
        <v>21282</v>
      </c>
      <c r="P948" s="234" t="s">
        <v>20801</v>
      </c>
      <c r="Q948" s="234" t="s">
        <v>18732</v>
      </c>
      <c r="R948" s="238" t="s">
        <v>21934</v>
      </c>
      <c r="S948" s="238" t="s">
        <v>21935</v>
      </c>
      <c r="T948" s="238" t="s">
        <v>21936</v>
      </c>
      <c r="U948" s="238" t="s">
        <v>18725</v>
      </c>
      <c r="V948" s="238" t="s">
        <v>18725</v>
      </c>
      <c r="W948" s="238" t="s">
        <v>18725</v>
      </c>
      <c r="X948" s="238" t="s">
        <v>18725</v>
      </c>
      <c r="Y948" s="239" t="str">
        <f>IF('CCUS Projects Database'!$R948&lt;&gt;"",HYPERLINK('CCUS Projects Database'!$R948,"Link 1"),"")</f>
        <v>Link 1</v>
      </c>
      <c r="Z948" s="239" t="str">
        <f>IF('CCUS Projects Database'!$S948&lt;&gt;"",HYPERLINK('CCUS Projects Database'!$S948,"Link 2"),"")</f>
        <v>Link 2</v>
      </c>
      <c r="AA948" s="239" t="str">
        <f>IF('CCUS Projects Database'!$T948&lt;&gt;"",HYPERLINK('CCUS Projects Database'!$T948,"Link 3"),"")</f>
        <v>Link 3</v>
      </c>
      <c r="AB948" s="239" t="str">
        <f>IF('CCUS Projects Database'!$U948&lt;&gt;"",HYPERLINK('CCUS Projects Database'!$U948,"Link 4"),"")</f>
        <v/>
      </c>
      <c r="AC948" s="239" t="str">
        <f>IF('CCUS Projects Database'!$V948&lt;&gt;"",HYPERLINK('CCUS Projects Database'!$V948,"Link 5"),"")</f>
        <v/>
      </c>
      <c r="AD948" s="239" t="str">
        <f>IF('CCUS Projects Database'!$W948&lt;&gt;"",HYPERLINK('CCUS Projects Database'!$W948,"Link 6"),"")</f>
        <v/>
      </c>
      <c r="AE948" s="239" t="str">
        <f>IF('CCUS Projects Database'!$X948&lt;&gt;"",HYPERLINK('CCUS Projects Database'!$X948,"Link 7"),"")</f>
        <v/>
      </c>
    </row>
    <row r="949" ht="14.25" customHeight="1">
      <c r="A949" s="233" t="s">
        <v>21937</v>
      </c>
      <c r="B949" s="234">
        <v>1264.0</v>
      </c>
      <c r="C949" s="234" t="s">
        <v>18426</v>
      </c>
      <c r="D949" s="235" t="s">
        <v>21938</v>
      </c>
      <c r="E949" s="234" t="s">
        <v>18618</v>
      </c>
      <c r="F949" s="234">
        <v>2021.0</v>
      </c>
      <c r="G949" s="234" t="s">
        <v>18725</v>
      </c>
      <c r="H949" s="234">
        <v>2026.0</v>
      </c>
      <c r="I949" s="234" t="s">
        <v>18725</v>
      </c>
      <c r="J949" s="234" t="s">
        <v>18636</v>
      </c>
      <c r="K949" s="236" t="s">
        <v>18725</v>
      </c>
      <c r="L949" s="236" t="s">
        <v>21939</v>
      </c>
      <c r="M949" s="236">
        <v>0.46</v>
      </c>
      <c r="N949" s="234" t="s">
        <v>12270</v>
      </c>
      <c r="O949" s="237" t="s">
        <v>18675</v>
      </c>
      <c r="P949" s="234" t="s">
        <v>18725</v>
      </c>
      <c r="Q949" s="234" t="s">
        <v>18726</v>
      </c>
      <c r="R949" s="238" t="s">
        <v>21940</v>
      </c>
      <c r="S949" s="238" t="s">
        <v>21941</v>
      </c>
      <c r="T949" s="238" t="s">
        <v>21942</v>
      </c>
      <c r="U949" s="238" t="s">
        <v>21943</v>
      </c>
      <c r="V949" s="238" t="s">
        <v>18725</v>
      </c>
      <c r="W949" s="238" t="s">
        <v>18725</v>
      </c>
      <c r="X949" s="238" t="s">
        <v>18725</v>
      </c>
      <c r="Y949" s="239" t="str">
        <f>IF('CCUS Projects Database'!$R949&lt;&gt;"",HYPERLINK('CCUS Projects Database'!$R949,"Link 1"),"")</f>
        <v>Link 1</v>
      </c>
      <c r="Z949" s="239" t="str">
        <f>IF('CCUS Projects Database'!$S949&lt;&gt;"",HYPERLINK('CCUS Projects Database'!$S949,"Link 2"),"")</f>
        <v>Link 2</v>
      </c>
      <c r="AA949" s="239" t="str">
        <f>IF('CCUS Projects Database'!$T949&lt;&gt;"",HYPERLINK('CCUS Projects Database'!$T949,"Link 3"),"")</f>
        <v>Link 3</v>
      </c>
      <c r="AB949" s="239" t="str">
        <f>IF('CCUS Projects Database'!$U949&lt;&gt;"",HYPERLINK('CCUS Projects Database'!$U949,"Link 4"),"")</f>
        <v>Link 4</v>
      </c>
      <c r="AC949" s="239" t="str">
        <f>IF('CCUS Projects Database'!$V949&lt;&gt;"",HYPERLINK('CCUS Projects Database'!$V949,"Link 5"),"")</f>
        <v/>
      </c>
      <c r="AD949" s="239" t="str">
        <f>IF('CCUS Projects Database'!$W949&lt;&gt;"",HYPERLINK('CCUS Projects Database'!$W949,"Link 6"),"")</f>
        <v/>
      </c>
      <c r="AE949" s="239" t="str">
        <f>IF('CCUS Projects Database'!$X949&lt;&gt;"",HYPERLINK('CCUS Projects Database'!$X949,"Link 7"),"")</f>
        <v/>
      </c>
    </row>
    <row r="950" ht="14.25" customHeight="1">
      <c r="A950" s="233" t="s">
        <v>21944</v>
      </c>
      <c r="B950" s="234">
        <v>1265.0</v>
      </c>
      <c r="C950" s="234" t="s">
        <v>120</v>
      </c>
      <c r="D950" s="235" t="s">
        <v>21945</v>
      </c>
      <c r="E950" s="234" t="s">
        <v>18618</v>
      </c>
      <c r="F950" s="234">
        <v>2024.0</v>
      </c>
      <c r="G950" s="234" t="s">
        <v>18725</v>
      </c>
      <c r="H950" s="234">
        <v>2030.0</v>
      </c>
      <c r="I950" s="234" t="s">
        <v>18725</v>
      </c>
      <c r="J950" s="234" t="s">
        <v>18636</v>
      </c>
      <c r="K950" s="236" t="s">
        <v>18725</v>
      </c>
      <c r="L950" s="236">
        <v>1.0</v>
      </c>
      <c r="M950" s="236">
        <v>1.0</v>
      </c>
      <c r="N950" s="234" t="s">
        <v>18663</v>
      </c>
      <c r="O950" s="237" t="s">
        <v>18675</v>
      </c>
      <c r="P950" s="238" t="s">
        <v>21584</v>
      </c>
      <c r="Q950" s="234" t="s">
        <v>18726</v>
      </c>
      <c r="R950" s="238" t="s">
        <v>21946</v>
      </c>
      <c r="S950" s="238" t="s">
        <v>21947</v>
      </c>
      <c r="T950" s="238" t="s">
        <v>18725</v>
      </c>
      <c r="U950" s="238" t="s">
        <v>18725</v>
      </c>
      <c r="V950" s="238" t="s">
        <v>18725</v>
      </c>
      <c r="W950" s="238" t="s">
        <v>18725</v>
      </c>
      <c r="X950" s="238" t="s">
        <v>18725</v>
      </c>
      <c r="Y950" s="239" t="str">
        <f>IF('CCUS Projects Database'!$R950&lt;&gt;"",HYPERLINK('CCUS Projects Database'!$R950,"Link 1"),"")</f>
        <v>Link 1</v>
      </c>
      <c r="Z950" s="239" t="str">
        <f>IF('CCUS Projects Database'!$S950&lt;&gt;"",HYPERLINK('CCUS Projects Database'!$S950,"Link 2"),"")</f>
        <v>Link 2</v>
      </c>
      <c r="AA950" s="239" t="str">
        <f>IF('CCUS Projects Database'!$T950&lt;&gt;"",HYPERLINK('CCUS Projects Database'!$T950,"Link 3"),"")</f>
        <v/>
      </c>
      <c r="AB950" s="239" t="str">
        <f>IF('CCUS Projects Database'!$U950&lt;&gt;"",HYPERLINK('CCUS Projects Database'!$U950,"Link 4"),"")</f>
        <v/>
      </c>
      <c r="AC950" s="239" t="str">
        <f>IF('CCUS Projects Database'!$V950&lt;&gt;"",HYPERLINK('CCUS Projects Database'!$V950,"Link 5"),"")</f>
        <v/>
      </c>
      <c r="AD950" s="239" t="str">
        <f>IF('CCUS Projects Database'!$W950&lt;&gt;"",HYPERLINK('CCUS Projects Database'!$W950,"Link 6"),"")</f>
        <v/>
      </c>
      <c r="AE950" s="239" t="str">
        <f>IF('CCUS Projects Database'!$X950&lt;&gt;"",HYPERLINK('CCUS Projects Database'!$X950,"Link 7"),"")</f>
        <v/>
      </c>
    </row>
    <row r="951" ht="14.25" customHeight="1">
      <c r="A951" s="233" t="s">
        <v>21948</v>
      </c>
      <c r="B951" s="234">
        <v>1267.0</v>
      </c>
      <c r="C951" s="234" t="s">
        <v>21949</v>
      </c>
      <c r="D951" s="235" t="s">
        <v>21950</v>
      </c>
      <c r="E951" s="234" t="s">
        <v>18623</v>
      </c>
      <c r="F951" s="234">
        <v>2020.0</v>
      </c>
      <c r="G951" s="234" t="s">
        <v>18725</v>
      </c>
      <c r="H951" s="234">
        <v>2026.0</v>
      </c>
      <c r="I951" s="234" t="s">
        <v>18725</v>
      </c>
      <c r="J951" s="234" t="s">
        <v>18636</v>
      </c>
      <c r="K951" s="236" t="s">
        <v>18725</v>
      </c>
      <c r="L951" s="236" t="s">
        <v>21951</v>
      </c>
      <c r="M951" s="236">
        <v>6.5</v>
      </c>
      <c r="N951" s="234" t="s">
        <v>18623</v>
      </c>
      <c r="O951" s="237" t="s">
        <v>18675</v>
      </c>
      <c r="P951" s="234" t="s">
        <v>21952</v>
      </c>
      <c r="Q951" s="234" t="s">
        <v>18726</v>
      </c>
      <c r="R951" s="238" t="s">
        <v>21953</v>
      </c>
      <c r="S951" s="238" t="s">
        <v>21954</v>
      </c>
      <c r="T951" s="238" t="s">
        <v>21955</v>
      </c>
      <c r="U951" s="238" t="s">
        <v>18725</v>
      </c>
      <c r="V951" s="238" t="s">
        <v>18725</v>
      </c>
      <c r="W951" s="238" t="s">
        <v>18725</v>
      </c>
      <c r="X951" s="238" t="s">
        <v>18725</v>
      </c>
      <c r="Y951" s="239" t="str">
        <f>IF('CCUS Projects Database'!$R951&lt;&gt;"",HYPERLINK('CCUS Projects Database'!$R951,"Link 1"),"")</f>
        <v>Link 1</v>
      </c>
      <c r="Z951" s="239" t="str">
        <f>IF('CCUS Projects Database'!$S951&lt;&gt;"",HYPERLINK('CCUS Projects Database'!$S951,"Link 2"),"")</f>
        <v>Link 2</v>
      </c>
      <c r="AA951" s="239" t="str">
        <f>IF('CCUS Projects Database'!$T951&lt;&gt;"",HYPERLINK('CCUS Projects Database'!$T951,"Link 3"),"")</f>
        <v>Link 3</v>
      </c>
      <c r="AB951" s="239" t="str">
        <f>IF('CCUS Projects Database'!$U951&lt;&gt;"",HYPERLINK('CCUS Projects Database'!$U951,"Link 4"),"")</f>
        <v/>
      </c>
      <c r="AC951" s="239" t="str">
        <f>IF('CCUS Projects Database'!$V951&lt;&gt;"",HYPERLINK('CCUS Projects Database'!$V951,"Link 5"),"")</f>
        <v/>
      </c>
      <c r="AD951" s="239" t="str">
        <f>IF('CCUS Projects Database'!$W951&lt;&gt;"",HYPERLINK('CCUS Projects Database'!$W951,"Link 6"),"")</f>
        <v/>
      </c>
      <c r="AE951" s="239" t="str">
        <f>IF('CCUS Projects Database'!$X951&lt;&gt;"",HYPERLINK('CCUS Projects Database'!$X951,"Link 7"),"")</f>
        <v/>
      </c>
    </row>
    <row r="952" ht="14.25" customHeight="1">
      <c r="A952" s="233" t="s">
        <v>21956</v>
      </c>
      <c r="B952" s="234">
        <v>1269.0</v>
      </c>
      <c r="C952" s="234" t="s">
        <v>98</v>
      </c>
      <c r="D952" s="235" t="s">
        <v>21957</v>
      </c>
      <c r="E952" s="234" t="s">
        <v>3</v>
      </c>
      <c r="F952" s="234">
        <v>2024.0</v>
      </c>
      <c r="G952" s="234" t="s">
        <v>18725</v>
      </c>
      <c r="H952" s="234" t="s">
        <v>18725</v>
      </c>
      <c r="I952" s="234" t="s">
        <v>18725</v>
      </c>
      <c r="J952" s="234" t="s">
        <v>18636</v>
      </c>
      <c r="K952" s="236" t="s">
        <v>18725</v>
      </c>
      <c r="L952" s="236">
        <v>7.5</v>
      </c>
      <c r="M952" s="236">
        <v>7.5</v>
      </c>
      <c r="N952" s="234" t="s">
        <v>3</v>
      </c>
      <c r="O952" s="237" t="s">
        <v>18675</v>
      </c>
      <c r="P952" s="234" t="s">
        <v>18725</v>
      </c>
      <c r="Q952" s="234" t="s">
        <v>18726</v>
      </c>
      <c r="R952" s="238" t="s">
        <v>21958</v>
      </c>
      <c r="S952" s="238" t="s">
        <v>21959</v>
      </c>
      <c r="T952" s="238" t="s">
        <v>21960</v>
      </c>
      <c r="U952" s="238" t="s">
        <v>18725</v>
      </c>
      <c r="V952" s="238" t="s">
        <v>18725</v>
      </c>
      <c r="W952" s="238" t="s">
        <v>18725</v>
      </c>
      <c r="X952" s="238" t="s">
        <v>18725</v>
      </c>
      <c r="Y952" s="239" t="str">
        <f>IF('CCUS Projects Database'!$R952&lt;&gt;"",HYPERLINK('CCUS Projects Database'!$R952,"Link 1"),"")</f>
        <v>Link 1</v>
      </c>
      <c r="Z952" s="239" t="str">
        <f>IF('CCUS Projects Database'!$S952&lt;&gt;"",HYPERLINK('CCUS Projects Database'!$S952,"Link 2"),"")</f>
        <v>Link 2</v>
      </c>
      <c r="AA952" s="239" t="str">
        <f>IF('CCUS Projects Database'!$T952&lt;&gt;"",HYPERLINK('CCUS Projects Database'!$T952,"Link 3"),"")</f>
        <v>Link 3</v>
      </c>
      <c r="AB952" s="239" t="str">
        <f>IF('CCUS Projects Database'!$U952&lt;&gt;"",HYPERLINK('CCUS Projects Database'!$U952,"Link 4"),"")</f>
        <v/>
      </c>
      <c r="AC952" s="239" t="str">
        <f>IF('CCUS Projects Database'!$V952&lt;&gt;"",HYPERLINK('CCUS Projects Database'!$V952,"Link 5"),"")</f>
        <v/>
      </c>
      <c r="AD952" s="239" t="str">
        <f>IF('CCUS Projects Database'!$W952&lt;&gt;"",HYPERLINK('CCUS Projects Database'!$W952,"Link 6"),"")</f>
        <v/>
      </c>
      <c r="AE952" s="239" t="str">
        <f>IF('CCUS Projects Database'!$X952&lt;&gt;"",HYPERLINK('CCUS Projects Database'!$X952,"Link 7"),"")</f>
        <v/>
      </c>
    </row>
    <row r="953" ht="14.25" customHeight="1">
      <c r="A953" s="233" t="s">
        <v>21961</v>
      </c>
      <c r="B953" s="234">
        <v>1270.0</v>
      </c>
      <c r="C953" s="234" t="s">
        <v>98</v>
      </c>
      <c r="D953" s="235" t="s">
        <v>20225</v>
      </c>
      <c r="E953" s="234" t="s">
        <v>3</v>
      </c>
      <c r="F953" s="234">
        <v>2024.0</v>
      </c>
      <c r="G953" s="234" t="s">
        <v>18725</v>
      </c>
      <c r="H953" s="234" t="s">
        <v>18725</v>
      </c>
      <c r="I953" s="234" t="s">
        <v>18725</v>
      </c>
      <c r="J953" s="234" t="s">
        <v>18636</v>
      </c>
      <c r="K953" s="236" t="s">
        <v>18725</v>
      </c>
      <c r="L953" s="236">
        <v>5.0</v>
      </c>
      <c r="M953" s="236">
        <v>5.0</v>
      </c>
      <c r="N953" s="234" t="s">
        <v>3</v>
      </c>
      <c r="O953" s="237" t="s">
        <v>18675</v>
      </c>
      <c r="P953" s="234" t="s">
        <v>18725</v>
      </c>
      <c r="Q953" s="234" t="s">
        <v>18726</v>
      </c>
      <c r="R953" s="238" t="s">
        <v>21962</v>
      </c>
      <c r="S953" s="238" t="s">
        <v>21960</v>
      </c>
      <c r="T953" s="238" t="s">
        <v>18725</v>
      </c>
      <c r="U953" s="238" t="s">
        <v>18725</v>
      </c>
      <c r="V953" s="238" t="s">
        <v>18725</v>
      </c>
      <c r="W953" s="238" t="s">
        <v>18725</v>
      </c>
      <c r="X953" s="238" t="s">
        <v>18725</v>
      </c>
      <c r="Y953" s="239" t="str">
        <f>IF('CCUS Projects Database'!$R953&lt;&gt;"",HYPERLINK('CCUS Projects Database'!$R953,"Link 1"),"")</f>
        <v>Link 1</v>
      </c>
      <c r="Z953" s="239" t="str">
        <f>IF('CCUS Projects Database'!$S953&lt;&gt;"",HYPERLINK('CCUS Projects Database'!$S953,"Link 2"),"")</f>
        <v>Link 2</v>
      </c>
      <c r="AA953" s="239" t="str">
        <f>IF('CCUS Projects Database'!$T953&lt;&gt;"",HYPERLINK('CCUS Projects Database'!$T953,"Link 3"),"")</f>
        <v/>
      </c>
      <c r="AB953" s="239" t="str">
        <f>IF('CCUS Projects Database'!$U953&lt;&gt;"",HYPERLINK('CCUS Projects Database'!$U953,"Link 4"),"")</f>
        <v/>
      </c>
      <c r="AC953" s="239" t="str">
        <f>IF('CCUS Projects Database'!$V953&lt;&gt;"",HYPERLINK('CCUS Projects Database'!$V953,"Link 5"),"")</f>
        <v/>
      </c>
      <c r="AD953" s="239" t="str">
        <f>IF('CCUS Projects Database'!$W953&lt;&gt;"",HYPERLINK('CCUS Projects Database'!$W953,"Link 6"),"")</f>
        <v/>
      </c>
      <c r="AE953" s="239" t="str">
        <f>IF('CCUS Projects Database'!$X953&lt;&gt;"",HYPERLINK('CCUS Projects Database'!$X953,"Link 7"),"")</f>
        <v/>
      </c>
    </row>
    <row r="954" ht="14.25" customHeight="1">
      <c r="A954" s="233" t="s">
        <v>21963</v>
      </c>
      <c r="B954" s="234">
        <v>1271.0</v>
      </c>
      <c r="C954" s="234" t="s">
        <v>98</v>
      </c>
      <c r="D954" s="235" t="s">
        <v>20225</v>
      </c>
      <c r="E954" s="234" t="s">
        <v>3</v>
      </c>
      <c r="F954" s="234">
        <v>2024.0</v>
      </c>
      <c r="G954" s="234" t="s">
        <v>18725</v>
      </c>
      <c r="H954" s="234" t="s">
        <v>18725</v>
      </c>
      <c r="I954" s="234" t="s">
        <v>18725</v>
      </c>
      <c r="J954" s="234" t="s">
        <v>18636</v>
      </c>
      <c r="K954" s="236" t="s">
        <v>18725</v>
      </c>
      <c r="L954" s="236">
        <v>5.0</v>
      </c>
      <c r="M954" s="236">
        <v>5.0</v>
      </c>
      <c r="N954" s="234" t="s">
        <v>3</v>
      </c>
      <c r="O954" s="237" t="s">
        <v>18675</v>
      </c>
      <c r="P954" s="234" t="s">
        <v>18725</v>
      </c>
      <c r="Q954" s="234" t="s">
        <v>18726</v>
      </c>
      <c r="R954" s="238" t="s">
        <v>21962</v>
      </c>
      <c r="S954" s="238" t="s">
        <v>21960</v>
      </c>
      <c r="T954" s="238" t="s">
        <v>18725</v>
      </c>
      <c r="U954" s="238" t="s">
        <v>18725</v>
      </c>
      <c r="V954" s="238" t="s">
        <v>18725</v>
      </c>
      <c r="W954" s="238" t="s">
        <v>18725</v>
      </c>
      <c r="X954" s="238" t="s">
        <v>18725</v>
      </c>
      <c r="Y954" s="239" t="str">
        <f>IF('CCUS Projects Database'!$R954&lt;&gt;"",HYPERLINK('CCUS Projects Database'!$R954,"Link 1"),"")</f>
        <v>Link 1</v>
      </c>
      <c r="Z954" s="239" t="str">
        <f>IF('CCUS Projects Database'!$S954&lt;&gt;"",HYPERLINK('CCUS Projects Database'!$S954,"Link 2"),"")</f>
        <v>Link 2</v>
      </c>
      <c r="AA954" s="239" t="str">
        <f>IF('CCUS Projects Database'!$T954&lt;&gt;"",HYPERLINK('CCUS Projects Database'!$T954,"Link 3"),"")</f>
        <v/>
      </c>
      <c r="AB954" s="239" t="str">
        <f>IF('CCUS Projects Database'!$U954&lt;&gt;"",HYPERLINK('CCUS Projects Database'!$U954,"Link 4"),"")</f>
        <v/>
      </c>
      <c r="AC954" s="239" t="str">
        <f>IF('CCUS Projects Database'!$V954&lt;&gt;"",HYPERLINK('CCUS Projects Database'!$V954,"Link 5"),"")</f>
        <v/>
      </c>
      <c r="AD954" s="239" t="str">
        <f>IF('CCUS Projects Database'!$W954&lt;&gt;"",HYPERLINK('CCUS Projects Database'!$W954,"Link 6"),"")</f>
        <v/>
      </c>
      <c r="AE954" s="239" t="str">
        <f>IF('CCUS Projects Database'!$X954&lt;&gt;"",HYPERLINK('CCUS Projects Database'!$X954,"Link 7"),"")</f>
        <v/>
      </c>
    </row>
    <row r="955" ht="14.25" customHeight="1">
      <c r="A955" s="233" t="s">
        <v>21964</v>
      </c>
      <c r="B955" s="234">
        <v>1272.0</v>
      </c>
      <c r="C955" s="234" t="s">
        <v>98</v>
      </c>
      <c r="D955" s="235" t="s">
        <v>21965</v>
      </c>
      <c r="E955" s="234" t="s">
        <v>3</v>
      </c>
      <c r="F955" s="234">
        <v>2024.0</v>
      </c>
      <c r="G955" s="234" t="s">
        <v>18725</v>
      </c>
      <c r="H955" s="234" t="s">
        <v>18725</v>
      </c>
      <c r="I955" s="234" t="s">
        <v>18725</v>
      </c>
      <c r="J955" s="234" t="s">
        <v>18636</v>
      </c>
      <c r="K955" s="236" t="s">
        <v>18725</v>
      </c>
      <c r="L955" s="236" t="s">
        <v>18725</v>
      </c>
      <c r="M955" s="236" t="s">
        <v>18725</v>
      </c>
      <c r="N955" s="234" t="s">
        <v>3</v>
      </c>
      <c r="O955" s="237" t="s">
        <v>18675</v>
      </c>
      <c r="P955" s="234" t="s">
        <v>18725</v>
      </c>
      <c r="Q955" s="234" t="s">
        <v>18726</v>
      </c>
      <c r="R955" s="238" t="s">
        <v>21966</v>
      </c>
      <c r="S955" s="238" t="s">
        <v>21960</v>
      </c>
      <c r="T955" s="238" t="s">
        <v>18725</v>
      </c>
      <c r="U955" s="238" t="s">
        <v>18725</v>
      </c>
      <c r="V955" s="238" t="s">
        <v>18725</v>
      </c>
      <c r="W955" s="238" t="s">
        <v>18725</v>
      </c>
      <c r="X955" s="238" t="s">
        <v>18725</v>
      </c>
      <c r="Y955" s="239" t="str">
        <f>IF('CCUS Projects Database'!$R955&lt;&gt;"",HYPERLINK('CCUS Projects Database'!$R955,"Link 1"),"")</f>
        <v>Link 1</v>
      </c>
      <c r="Z955" s="239" t="str">
        <f>IF('CCUS Projects Database'!$S955&lt;&gt;"",HYPERLINK('CCUS Projects Database'!$S955,"Link 2"),"")</f>
        <v>Link 2</v>
      </c>
      <c r="AA955" s="239" t="str">
        <f>IF('CCUS Projects Database'!$T955&lt;&gt;"",HYPERLINK('CCUS Projects Database'!$T955,"Link 3"),"")</f>
        <v/>
      </c>
      <c r="AB955" s="239" t="str">
        <f>IF('CCUS Projects Database'!$U955&lt;&gt;"",HYPERLINK('CCUS Projects Database'!$U955,"Link 4"),"")</f>
        <v/>
      </c>
      <c r="AC955" s="239" t="str">
        <f>IF('CCUS Projects Database'!$V955&lt;&gt;"",HYPERLINK('CCUS Projects Database'!$V955,"Link 5"),"")</f>
        <v/>
      </c>
      <c r="AD955" s="239" t="str">
        <f>IF('CCUS Projects Database'!$W955&lt;&gt;"",HYPERLINK('CCUS Projects Database'!$W955,"Link 6"),"")</f>
        <v/>
      </c>
      <c r="AE955" s="239" t="str">
        <f>IF('CCUS Projects Database'!$X955&lt;&gt;"",HYPERLINK('CCUS Projects Database'!$X955,"Link 7"),"")</f>
        <v/>
      </c>
    </row>
    <row r="956" ht="14.25" customHeight="1">
      <c r="A956" s="233" t="s">
        <v>21967</v>
      </c>
      <c r="B956" s="234">
        <v>1275.0</v>
      </c>
      <c r="C956" s="234" t="s">
        <v>18947</v>
      </c>
      <c r="D956" s="235" t="s">
        <v>19532</v>
      </c>
      <c r="E956" s="234" t="s">
        <v>18618</v>
      </c>
      <c r="F956" s="234">
        <v>2021.0</v>
      </c>
      <c r="G956" s="234" t="s">
        <v>18725</v>
      </c>
      <c r="H956" s="234">
        <v>2030.0</v>
      </c>
      <c r="I956" s="234" t="s">
        <v>18725</v>
      </c>
      <c r="J956" s="234" t="s">
        <v>18636</v>
      </c>
      <c r="K956" s="236" t="s">
        <v>18725</v>
      </c>
      <c r="L956" s="236" t="s">
        <v>18725</v>
      </c>
      <c r="M956" s="236" t="s">
        <v>18725</v>
      </c>
      <c r="N956" s="234" t="s">
        <v>18654</v>
      </c>
      <c r="O956" s="237" t="s">
        <v>18683</v>
      </c>
      <c r="P956" s="234" t="s">
        <v>18725</v>
      </c>
      <c r="Q956" s="234" t="s">
        <v>18856</v>
      </c>
      <c r="R956" s="238" t="s">
        <v>21968</v>
      </c>
      <c r="S956" s="238" t="s">
        <v>18725</v>
      </c>
      <c r="T956" s="238" t="s">
        <v>18725</v>
      </c>
      <c r="U956" s="238" t="s">
        <v>18725</v>
      </c>
      <c r="V956" s="238" t="s">
        <v>18725</v>
      </c>
      <c r="W956" s="238" t="s">
        <v>18725</v>
      </c>
      <c r="X956" s="238" t="s">
        <v>18725</v>
      </c>
      <c r="Y956" s="239" t="str">
        <f>IF('CCUS Projects Database'!$R956&lt;&gt;"",HYPERLINK('CCUS Projects Database'!$R956,"Link 1"),"")</f>
        <v>Link 1</v>
      </c>
      <c r="Z956" s="239" t="str">
        <f>IF('CCUS Projects Database'!$S956&lt;&gt;"",HYPERLINK('CCUS Projects Database'!$S956,"Link 2"),"")</f>
        <v/>
      </c>
      <c r="AA956" s="239" t="str">
        <f>IF('CCUS Projects Database'!$T956&lt;&gt;"",HYPERLINK('CCUS Projects Database'!$T956,"Link 3"),"")</f>
        <v/>
      </c>
      <c r="AB956" s="239" t="str">
        <f>IF('CCUS Projects Database'!$U956&lt;&gt;"",HYPERLINK('CCUS Projects Database'!$U956,"Link 4"),"")</f>
        <v/>
      </c>
      <c r="AC956" s="239" t="str">
        <f>IF('CCUS Projects Database'!$V956&lt;&gt;"",HYPERLINK('CCUS Projects Database'!$V956,"Link 5"),"")</f>
        <v/>
      </c>
      <c r="AD956" s="239" t="str">
        <f>IF('CCUS Projects Database'!$W956&lt;&gt;"",HYPERLINK('CCUS Projects Database'!$W956,"Link 6"),"")</f>
        <v/>
      </c>
      <c r="AE956" s="239" t="str">
        <f>IF('CCUS Projects Database'!$X956&lt;&gt;"",HYPERLINK('CCUS Projects Database'!$X956,"Link 7"),"")</f>
        <v/>
      </c>
    </row>
    <row r="957" ht="14.25" customHeight="1">
      <c r="A957" s="233" t="s">
        <v>21969</v>
      </c>
      <c r="B957" s="234">
        <v>1277.0</v>
      </c>
      <c r="C957" s="234" t="s">
        <v>173</v>
      </c>
      <c r="D957" s="235" t="s">
        <v>21970</v>
      </c>
      <c r="E957" s="234" t="s">
        <v>18616</v>
      </c>
      <c r="F957" s="234">
        <v>2023.0</v>
      </c>
      <c r="G957" s="234" t="s">
        <v>18725</v>
      </c>
      <c r="H957" s="234">
        <v>2030.0</v>
      </c>
      <c r="I957" s="234" t="s">
        <v>18725</v>
      </c>
      <c r="J957" s="234" t="s">
        <v>18636</v>
      </c>
      <c r="K957" s="236" t="s">
        <v>18725</v>
      </c>
      <c r="L957" s="236">
        <v>1.1</v>
      </c>
      <c r="M957" s="236">
        <v>1.1</v>
      </c>
      <c r="N957" s="234" t="s">
        <v>18663</v>
      </c>
      <c r="O957" s="237" t="s">
        <v>18675</v>
      </c>
      <c r="P957" s="238" t="s">
        <v>18725</v>
      </c>
      <c r="Q957" s="234" t="s">
        <v>18726</v>
      </c>
      <c r="R957" s="238" t="s">
        <v>21971</v>
      </c>
      <c r="S957" s="238" t="s">
        <v>18725</v>
      </c>
      <c r="T957" s="238" t="s">
        <v>18725</v>
      </c>
      <c r="U957" s="238" t="s">
        <v>18725</v>
      </c>
      <c r="V957" s="238" t="s">
        <v>18725</v>
      </c>
      <c r="W957" s="238" t="s">
        <v>18725</v>
      </c>
      <c r="X957" s="238" t="s">
        <v>18725</v>
      </c>
      <c r="Y957" s="239" t="str">
        <f>IF('CCUS Projects Database'!$R957&lt;&gt;"",HYPERLINK('CCUS Projects Database'!$R957,"Link 1"),"")</f>
        <v>Link 1</v>
      </c>
      <c r="Z957" s="239" t="str">
        <f>IF('CCUS Projects Database'!$S957&lt;&gt;"",HYPERLINK('CCUS Projects Database'!$S957,"Link 2"),"")</f>
        <v/>
      </c>
      <c r="AA957" s="239" t="str">
        <f>IF('CCUS Projects Database'!$T957&lt;&gt;"",HYPERLINK('CCUS Projects Database'!$T957,"Link 3"),"")</f>
        <v/>
      </c>
      <c r="AB957" s="239" t="str">
        <f>IF('CCUS Projects Database'!$U957&lt;&gt;"",HYPERLINK('CCUS Projects Database'!$U957,"Link 4"),"")</f>
        <v/>
      </c>
      <c r="AC957" s="239" t="str">
        <f>IF('CCUS Projects Database'!$V957&lt;&gt;"",HYPERLINK('CCUS Projects Database'!$V957,"Link 5"),"")</f>
        <v/>
      </c>
      <c r="AD957" s="239" t="str">
        <f>IF('CCUS Projects Database'!$W957&lt;&gt;"",HYPERLINK('CCUS Projects Database'!$W957,"Link 6"),"")</f>
        <v/>
      </c>
      <c r="AE957" s="239" t="str">
        <f>IF('CCUS Projects Database'!$X957&lt;&gt;"",HYPERLINK('CCUS Projects Database'!$X957,"Link 7"),"")</f>
        <v/>
      </c>
    </row>
    <row r="958" ht="14.25" customHeight="1">
      <c r="A958" s="233" t="s">
        <v>21972</v>
      </c>
      <c r="B958" s="234">
        <v>1278.0</v>
      </c>
      <c r="C958" s="234" t="s">
        <v>292</v>
      </c>
      <c r="D958" s="235" t="s">
        <v>21973</v>
      </c>
      <c r="E958" s="234" t="s">
        <v>3</v>
      </c>
      <c r="F958" s="234">
        <v>2023.0</v>
      </c>
      <c r="G958" s="234" t="s">
        <v>18725</v>
      </c>
      <c r="H958" s="234">
        <v>2030.0</v>
      </c>
      <c r="I958" s="234" t="s">
        <v>18725</v>
      </c>
      <c r="J958" s="234" t="s">
        <v>18636</v>
      </c>
      <c r="K958" s="236" t="s">
        <v>18725</v>
      </c>
      <c r="L958" s="236" t="s">
        <v>18725</v>
      </c>
      <c r="M958" s="236" t="s">
        <v>18725</v>
      </c>
      <c r="N958" s="234" t="s">
        <v>3</v>
      </c>
      <c r="O958" s="237" t="s">
        <v>18675</v>
      </c>
      <c r="P958" s="234" t="s">
        <v>18725</v>
      </c>
      <c r="Q958" s="234" t="s">
        <v>18726</v>
      </c>
      <c r="R958" s="238" t="s">
        <v>21971</v>
      </c>
      <c r="S958" s="238" t="s">
        <v>18725</v>
      </c>
      <c r="T958" s="238" t="s">
        <v>18725</v>
      </c>
      <c r="U958" s="238" t="s">
        <v>18725</v>
      </c>
      <c r="V958" s="238" t="s">
        <v>18725</v>
      </c>
      <c r="W958" s="238" t="s">
        <v>18725</v>
      </c>
      <c r="X958" s="238" t="s">
        <v>18725</v>
      </c>
      <c r="Y958" s="239" t="str">
        <f>IF('CCUS Projects Database'!$R958&lt;&gt;"",HYPERLINK('CCUS Projects Database'!$R958,"Link 1"),"")</f>
        <v>Link 1</v>
      </c>
      <c r="Z958" s="239" t="str">
        <f>IF('CCUS Projects Database'!$S958&lt;&gt;"",HYPERLINK('CCUS Projects Database'!$S958,"Link 2"),"")</f>
        <v/>
      </c>
      <c r="AA958" s="239" t="str">
        <f>IF('CCUS Projects Database'!$T958&lt;&gt;"",HYPERLINK('CCUS Projects Database'!$T958,"Link 3"),"")</f>
        <v/>
      </c>
      <c r="AB958" s="239" t="str">
        <f>IF('CCUS Projects Database'!$U958&lt;&gt;"",HYPERLINK('CCUS Projects Database'!$U958,"Link 4"),"")</f>
        <v/>
      </c>
      <c r="AC958" s="239" t="str">
        <f>IF('CCUS Projects Database'!$V958&lt;&gt;"",HYPERLINK('CCUS Projects Database'!$V958,"Link 5"),"")</f>
        <v/>
      </c>
      <c r="AD958" s="239" t="str">
        <f>IF('CCUS Projects Database'!$W958&lt;&gt;"",HYPERLINK('CCUS Projects Database'!$W958,"Link 6"),"")</f>
        <v/>
      </c>
      <c r="AE958" s="239" t="str">
        <f>IF('CCUS Projects Database'!$X958&lt;&gt;"",HYPERLINK('CCUS Projects Database'!$X958,"Link 7"),"")</f>
        <v/>
      </c>
    </row>
    <row r="959" ht="14.25" customHeight="1">
      <c r="A959" s="233" t="s">
        <v>21974</v>
      </c>
      <c r="B959" s="234">
        <v>1279.0</v>
      </c>
      <c r="C959" s="234" t="s">
        <v>18329</v>
      </c>
      <c r="D959" s="235" t="s">
        <v>21975</v>
      </c>
      <c r="E959" s="234" t="s">
        <v>3</v>
      </c>
      <c r="F959" s="234">
        <v>2022.0</v>
      </c>
      <c r="G959" s="234" t="s">
        <v>18725</v>
      </c>
      <c r="H959" s="234" t="s">
        <v>18725</v>
      </c>
      <c r="I959" s="234" t="s">
        <v>18725</v>
      </c>
      <c r="J959" s="234" t="s">
        <v>18636</v>
      </c>
      <c r="K959" s="236" t="s">
        <v>18725</v>
      </c>
      <c r="L959" s="236" t="s">
        <v>18725</v>
      </c>
      <c r="M959" s="236" t="s">
        <v>18725</v>
      </c>
      <c r="N959" s="234" t="s">
        <v>3</v>
      </c>
      <c r="O959" s="237" t="s">
        <v>18675</v>
      </c>
      <c r="P959" s="234" t="s">
        <v>18725</v>
      </c>
      <c r="Q959" s="234" t="s">
        <v>18762</v>
      </c>
      <c r="R959" s="238" t="s">
        <v>21976</v>
      </c>
      <c r="S959" s="238" t="s">
        <v>21977</v>
      </c>
      <c r="T959" s="238" t="s">
        <v>18725</v>
      </c>
      <c r="U959" s="238" t="s">
        <v>18725</v>
      </c>
      <c r="V959" s="238" t="s">
        <v>18725</v>
      </c>
      <c r="W959" s="238" t="s">
        <v>18725</v>
      </c>
      <c r="X959" s="238" t="s">
        <v>18725</v>
      </c>
      <c r="Y959" s="239" t="str">
        <f>IF('CCUS Projects Database'!$R959&lt;&gt;"",HYPERLINK('CCUS Projects Database'!$R959,"Link 1"),"")</f>
        <v>Link 1</v>
      </c>
      <c r="Z959" s="239" t="str">
        <f>IF('CCUS Projects Database'!$S959&lt;&gt;"",HYPERLINK('CCUS Projects Database'!$S959,"Link 2"),"")</f>
        <v>Link 2</v>
      </c>
      <c r="AA959" s="239" t="str">
        <f>IF('CCUS Projects Database'!$T959&lt;&gt;"",HYPERLINK('CCUS Projects Database'!$T959,"Link 3"),"")</f>
        <v/>
      </c>
      <c r="AB959" s="239" t="str">
        <f>IF('CCUS Projects Database'!$U959&lt;&gt;"",HYPERLINK('CCUS Projects Database'!$U959,"Link 4"),"")</f>
        <v/>
      </c>
      <c r="AC959" s="239" t="str">
        <f>IF('CCUS Projects Database'!$V959&lt;&gt;"",HYPERLINK('CCUS Projects Database'!$V959,"Link 5"),"")</f>
        <v/>
      </c>
      <c r="AD959" s="239" t="str">
        <f>IF('CCUS Projects Database'!$W959&lt;&gt;"",HYPERLINK('CCUS Projects Database'!$W959,"Link 6"),"")</f>
        <v/>
      </c>
      <c r="AE959" s="239" t="str">
        <f>IF('CCUS Projects Database'!$X959&lt;&gt;"",HYPERLINK('CCUS Projects Database'!$X959,"Link 7"),"")</f>
        <v/>
      </c>
    </row>
    <row r="960" ht="14.25" customHeight="1">
      <c r="A960" s="233" t="s">
        <v>21978</v>
      </c>
      <c r="B960" s="234">
        <v>1280.0</v>
      </c>
      <c r="C960" s="234" t="s">
        <v>18329</v>
      </c>
      <c r="D960" s="235" t="s">
        <v>21979</v>
      </c>
      <c r="E960" s="234" t="s">
        <v>3</v>
      </c>
      <c r="F960" s="234">
        <v>2022.0</v>
      </c>
      <c r="G960" s="234" t="s">
        <v>18725</v>
      </c>
      <c r="H960" s="234" t="s">
        <v>18725</v>
      </c>
      <c r="I960" s="234" t="s">
        <v>18725</v>
      </c>
      <c r="J960" s="234" t="s">
        <v>18636</v>
      </c>
      <c r="K960" s="236" t="s">
        <v>18725</v>
      </c>
      <c r="L960" s="236" t="s">
        <v>21980</v>
      </c>
      <c r="M960" s="236">
        <v>0.2</v>
      </c>
      <c r="N960" s="234" t="s">
        <v>3</v>
      </c>
      <c r="O960" s="237" t="s">
        <v>18675</v>
      </c>
      <c r="P960" s="234" t="s">
        <v>18725</v>
      </c>
      <c r="Q960" s="234" t="s">
        <v>18762</v>
      </c>
      <c r="R960" s="238" t="s">
        <v>21981</v>
      </c>
      <c r="S960" s="238" t="s">
        <v>18725</v>
      </c>
      <c r="T960" s="238" t="s">
        <v>18725</v>
      </c>
      <c r="U960" s="238" t="s">
        <v>18725</v>
      </c>
      <c r="V960" s="238" t="s">
        <v>18725</v>
      </c>
      <c r="W960" s="238" t="s">
        <v>18725</v>
      </c>
      <c r="X960" s="238" t="s">
        <v>18725</v>
      </c>
      <c r="Y960" s="239" t="str">
        <f>IF('CCUS Projects Database'!$R960&lt;&gt;"",HYPERLINK('CCUS Projects Database'!$R960,"Link 1"),"")</f>
        <v>Link 1</v>
      </c>
      <c r="Z960" s="239" t="str">
        <f>IF('CCUS Projects Database'!$S960&lt;&gt;"",HYPERLINK('CCUS Projects Database'!$S960,"Link 2"),"")</f>
        <v/>
      </c>
      <c r="AA960" s="239" t="str">
        <f>IF('CCUS Projects Database'!$T960&lt;&gt;"",HYPERLINK('CCUS Projects Database'!$T960,"Link 3"),"")</f>
        <v/>
      </c>
      <c r="AB960" s="239" t="str">
        <f>IF('CCUS Projects Database'!$U960&lt;&gt;"",HYPERLINK('CCUS Projects Database'!$U960,"Link 4"),"")</f>
        <v/>
      </c>
      <c r="AC960" s="239" t="str">
        <f>IF('CCUS Projects Database'!$V960&lt;&gt;"",HYPERLINK('CCUS Projects Database'!$V960,"Link 5"),"")</f>
        <v/>
      </c>
      <c r="AD960" s="239" t="str">
        <f>IF('CCUS Projects Database'!$W960&lt;&gt;"",HYPERLINK('CCUS Projects Database'!$W960,"Link 6"),"")</f>
        <v/>
      </c>
      <c r="AE960" s="239" t="str">
        <f>IF('CCUS Projects Database'!$X960&lt;&gt;"",HYPERLINK('CCUS Projects Database'!$X960,"Link 7"),"")</f>
        <v/>
      </c>
    </row>
    <row r="961" ht="14.25" customHeight="1">
      <c r="A961" s="233" t="s">
        <v>21982</v>
      </c>
      <c r="B961" s="234">
        <v>1281.0</v>
      </c>
      <c r="C961" s="234" t="s">
        <v>18329</v>
      </c>
      <c r="D961" s="235" t="s">
        <v>21983</v>
      </c>
      <c r="E961" s="234" t="s">
        <v>3</v>
      </c>
      <c r="F961" s="234">
        <v>2024.0</v>
      </c>
      <c r="G961" s="234" t="s">
        <v>18725</v>
      </c>
      <c r="H961" s="234" t="s">
        <v>18725</v>
      </c>
      <c r="I961" s="234" t="s">
        <v>18725</v>
      </c>
      <c r="J961" s="234" t="s">
        <v>18636</v>
      </c>
      <c r="K961" s="236">
        <v>1.0</v>
      </c>
      <c r="L961" s="236">
        <v>0.5</v>
      </c>
      <c r="M961" s="236">
        <v>0.5</v>
      </c>
      <c r="N961" s="234" t="s">
        <v>3</v>
      </c>
      <c r="O961" s="237" t="s">
        <v>18675</v>
      </c>
      <c r="P961" s="234" t="s">
        <v>21984</v>
      </c>
      <c r="Q961" s="234" t="s">
        <v>18762</v>
      </c>
      <c r="R961" s="238" t="s">
        <v>21985</v>
      </c>
      <c r="S961" s="238" t="s">
        <v>21986</v>
      </c>
      <c r="T961" s="238" t="s">
        <v>21987</v>
      </c>
      <c r="U961" s="238" t="s">
        <v>18725</v>
      </c>
      <c r="V961" s="238" t="s">
        <v>18725</v>
      </c>
      <c r="W961" s="238" t="s">
        <v>18725</v>
      </c>
      <c r="X961" s="238" t="s">
        <v>18725</v>
      </c>
      <c r="Y961" s="239" t="str">
        <f>IF('CCUS Projects Database'!$R961&lt;&gt;"",HYPERLINK('CCUS Projects Database'!$R961,"Link 1"),"")</f>
        <v>Link 1</v>
      </c>
      <c r="Z961" s="239" t="str">
        <f>IF('CCUS Projects Database'!$S961&lt;&gt;"",HYPERLINK('CCUS Projects Database'!$S961,"Link 2"),"")</f>
        <v>Link 2</v>
      </c>
      <c r="AA961" s="239" t="str">
        <f>IF('CCUS Projects Database'!$T961&lt;&gt;"",HYPERLINK('CCUS Projects Database'!$T961,"Link 3"),"")</f>
        <v>Link 3</v>
      </c>
      <c r="AB961" s="239" t="str">
        <f>IF('CCUS Projects Database'!$U961&lt;&gt;"",HYPERLINK('CCUS Projects Database'!$U961,"Link 4"),"")</f>
        <v/>
      </c>
      <c r="AC961" s="239" t="str">
        <f>IF('CCUS Projects Database'!$V961&lt;&gt;"",HYPERLINK('CCUS Projects Database'!$V961,"Link 5"),"")</f>
        <v/>
      </c>
      <c r="AD961" s="239" t="str">
        <f>IF('CCUS Projects Database'!$W961&lt;&gt;"",HYPERLINK('CCUS Projects Database'!$W961,"Link 6"),"")</f>
        <v/>
      </c>
      <c r="AE961" s="239" t="str">
        <f>IF('CCUS Projects Database'!$X961&lt;&gt;"",HYPERLINK('CCUS Projects Database'!$X961,"Link 7"),"")</f>
        <v/>
      </c>
    </row>
    <row r="962" ht="14.25" customHeight="1">
      <c r="A962" s="233" t="s">
        <v>21988</v>
      </c>
      <c r="B962" s="234">
        <v>1282.0</v>
      </c>
      <c r="C962" s="234" t="s">
        <v>18329</v>
      </c>
      <c r="D962" s="235" t="s">
        <v>21983</v>
      </c>
      <c r="E962" s="234" t="s">
        <v>3</v>
      </c>
      <c r="F962" s="234">
        <v>2023.0</v>
      </c>
      <c r="G962" s="234" t="s">
        <v>18725</v>
      </c>
      <c r="H962" s="234" t="s">
        <v>18725</v>
      </c>
      <c r="I962" s="234" t="s">
        <v>18725</v>
      </c>
      <c r="J962" s="234" t="s">
        <v>18636</v>
      </c>
      <c r="K962" s="236">
        <v>2.0</v>
      </c>
      <c r="L962" s="236">
        <v>0.5</v>
      </c>
      <c r="M962" s="236">
        <v>0.5</v>
      </c>
      <c r="N962" s="234" t="s">
        <v>3</v>
      </c>
      <c r="O962" s="237" t="s">
        <v>18675</v>
      </c>
      <c r="P962" s="234" t="s">
        <v>21984</v>
      </c>
      <c r="Q962" s="234" t="s">
        <v>18762</v>
      </c>
      <c r="R962" s="238" t="s">
        <v>21985</v>
      </c>
      <c r="S962" s="238" t="s">
        <v>21986</v>
      </c>
      <c r="T962" s="238" t="s">
        <v>21987</v>
      </c>
      <c r="U962" s="238" t="s">
        <v>18725</v>
      </c>
      <c r="V962" s="238" t="s">
        <v>18725</v>
      </c>
      <c r="W962" s="238" t="s">
        <v>18725</v>
      </c>
      <c r="X962" s="238" t="s">
        <v>18725</v>
      </c>
      <c r="Y962" s="239" t="str">
        <f>IF('CCUS Projects Database'!$R962&lt;&gt;"",HYPERLINK('CCUS Projects Database'!$R962,"Link 1"),"")</f>
        <v>Link 1</v>
      </c>
      <c r="Z962" s="239" t="str">
        <f>IF('CCUS Projects Database'!$S962&lt;&gt;"",HYPERLINK('CCUS Projects Database'!$S962,"Link 2"),"")</f>
        <v>Link 2</v>
      </c>
      <c r="AA962" s="239" t="str">
        <f>IF('CCUS Projects Database'!$T962&lt;&gt;"",HYPERLINK('CCUS Projects Database'!$T962,"Link 3"),"")</f>
        <v>Link 3</v>
      </c>
      <c r="AB962" s="239" t="str">
        <f>IF('CCUS Projects Database'!$U962&lt;&gt;"",HYPERLINK('CCUS Projects Database'!$U962,"Link 4"),"")</f>
        <v/>
      </c>
      <c r="AC962" s="239" t="str">
        <f>IF('CCUS Projects Database'!$V962&lt;&gt;"",HYPERLINK('CCUS Projects Database'!$V962,"Link 5"),"")</f>
        <v/>
      </c>
      <c r="AD962" s="239" t="str">
        <f>IF('CCUS Projects Database'!$W962&lt;&gt;"",HYPERLINK('CCUS Projects Database'!$W962,"Link 6"),"")</f>
        <v/>
      </c>
      <c r="AE962" s="239" t="str">
        <f>IF('CCUS Projects Database'!$X962&lt;&gt;"",HYPERLINK('CCUS Projects Database'!$X962,"Link 7"),"")</f>
        <v/>
      </c>
    </row>
    <row r="963" ht="14.25" customHeight="1">
      <c r="A963" s="233" t="s">
        <v>21989</v>
      </c>
      <c r="B963" s="234">
        <v>1283.0</v>
      </c>
      <c r="C963" s="234" t="s">
        <v>18329</v>
      </c>
      <c r="D963" s="235" t="s">
        <v>21990</v>
      </c>
      <c r="E963" s="234" t="s">
        <v>3</v>
      </c>
      <c r="F963" s="234">
        <v>2024.0</v>
      </c>
      <c r="G963" s="234" t="s">
        <v>18725</v>
      </c>
      <c r="H963" s="234">
        <v>2030.0</v>
      </c>
      <c r="I963" s="234" t="s">
        <v>18725</v>
      </c>
      <c r="J963" s="234" t="s">
        <v>18636</v>
      </c>
      <c r="K963" s="236" t="s">
        <v>18725</v>
      </c>
      <c r="L963" s="236" t="s">
        <v>18725</v>
      </c>
      <c r="M963" s="236" t="s">
        <v>18725</v>
      </c>
      <c r="N963" s="234" t="s">
        <v>3</v>
      </c>
      <c r="O963" s="237" t="s">
        <v>18675</v>
      </c>
      <c r="P963" s="234" t="s">
        <v>18725</v>
      </c>
      <c r="Q963" s="234" t="s">
        <v>18762</v>
      </c>
      <c r="R963" s="238" t="s">
        <v>21991</v>
      </c>
      <c r="S963" s="238" t="s">
        <v>21992</v>
      </c>
      <c r="T963" s="238" t="s">
        <v>18725</v>
      </c>
      <c r="U963" s="238" t="s">
        <v>18725</v>
      </c>
      <c r="V963" s="238" t="s">
        <v>18725</v>
      </c>
      <c r="W963" s="238" t="s">
        <v>18725</v>
      </c>
      <c r="X963" s="238" t="s">
        <v>18725</v>
      </c>
      <c r="Y963" s="239" t="str">
        <f>IF('CCUS Projects Database'!$R963&lt;&gt;"",HYPERLINK('CCUS Projects Database'!$R963,"Link 1"),"")</f>
        <v>Link 1</v>
      </c>
      <c r="Z963" s="239" t="str">
        <f>IF('CCUS Projects Database'!$S963&lt;&gt;"",HYPERLINK('CCUS Projects Database'!$S963,"Link 2"),"")</f>
        <v>Link 2</v>
      </c>
      <c r="AA963" s="239" t="str">
        <f>IF('CCUS Projects Database'!$T963&lt;&gt;"",HYPERLINK('CCUS Projects Database'!$T963,"Link 3"),"")</f>
        <v/>
      </c>
      <c r="AB963" s="239" t="str">
        <f>IF('CCUS Projects Database'!$U963&lt;&gt;"",HYPERLINK('CCUS Projects Database'!$U963,"Link 4"),"")</f>
        <v/>
      </c>
      <c r="AC963" s="239" t="str">
        <f>IF('CCUS Projects Database'!$V963&lt;&gt;"",HYPERLINK('CCUS Projects Database'!$V963,"Link 5"),"")</f>
        <v/>
      </c>
      <c r="AD963" s="239" t="str">
        <f>IF('CCUS Projects Database'!$W963&lt;&gt;"",HYPERLINK('CCUS Projects Database'!$W963,"Link 6"),"")</f>
        <v/>
      </c>
      <c r="AE963" s="239" t="str">
        <f>IF('CCUS Projects Database'!$X963&lt;&gt;"",HYPERLINK('CCUS Projects Database'!$X963,"Link 7"),"")</f>
        <v/>
      </c>
    </row>
    <row r="964" ht="14.25" customHeight="1">
      <c r="A964" s="233" t="s">
        <v>21993</v>
      </c>
      <c r="B964" s="234">
        <v>1284.0</v>
      </c>
      <c r="C964" s="234" t="s">
        <v>18329</v>
      </c>
      <c r="D964" s="235" t="s">
        <v>21994</v>
      </c>
      <c r="E964" s="234" t="s">
        <v>3</v>
      </c>
      <c r="F964" s="234">
        <v>2024.0</v>
      </c>
      <c r="G964" s="234" t="s">
        <v>18725</v>
      </c>
      <c r="H964" s="234" t="s">
        <v>18725</v>
      </c>
      <c r="I964" s="234" t="s">
        <v>18725</v>
      </c>
      <c r="J964" s="234" t="s">
        <v>18636</v>
      </c>
      <c r="K964" s="236" t="s">
        <v>18725</v>
      </c>
      <c r="L964" s="236" t="s">
        <v>18725</v>
      </c>
      <c r="M964" s="236" t="s">
        <v>18725</v>
      </c>
      <c r="N964" s="234" t="s">
        <v>3</v>
      </c>
      <c r="O964" s="237" t="s">
        <v>18675</v>
      </c>
      <c r="P964" s="234" t="s">
        <v>18725</v>
      </c>
      <c r="Q964" s="234" t="s">
        <v>18762</v>
      </c>
      <c r="R964" s="238" t="s">
        <v>21995</v>
      </c>
      <c r="S964" s="238" t="s">
        <v>21992</v>
      </c>
      <c r="T964" s="238" t="s">
        <v>18725</v>
      </c>
      <c r="U964" s="238" t="s">
        <v>18725</v>
      </c>
      <c r="V964" s="238" t="s">
        <v>18725</v>
      </c>
      <c r="W964" s="238" t="s">
        <v>18725</v>
      </c>
      <c r="X964" s="238" t="s">
        <v>18725</v>
      </c>
      <c r="Y964" s="239" t="str">
        <f>IF('CCUS Projects Database'!$R964&lt;&gt;"",HYPERLINK('CCUS Projects Database'!$R964,"Link 1"),"")</f>
        <v>Link 1</v>
      </c>
      <c r="Z964" s="239" t="str">
        <f>IF('CCUS Projects Database'!$S964&lt;&gt;"",HYPERLINK('CCUS Projects Database'!$S964,"Link 2"),"")</f>
        <v>Link 2</v>
      </c>
      <c r="AA964" s="239" t="str">
        <f>IF('CCUS Projects Database'!$T964&lt;&gt;"",HYPERLINK('CCUS Projects Database'!$T964,"Link 3"),"")</f>
        <v/>
      </c>
      <c r="AB964" s="239" t="str">
        <f>IF('CCUS Projects Database'!$U964&lt;&gt;"",HYPERLINK('CCUS Projects Database'!$U964,"Link 4"),"")</f>
        <v/>
      </c>
      <c r="AC964" s="239" t="str">
        <f>IF('CCUS Projects Database'!$V964&lt;&gt;"",HYPERLINK('CCUS Projects Database'!$V964,"Link 5"),"")</f>
        <v/>
      </c>
      <c r="AD964" s="239" t="str">
        <f>IF('CCUS Projects Database'!$W964&lt;&gt;"",HYPERLINK('CCUS Projects Database'!$W964,"Link 6"),"")</f>
        <v/>
      </c>
      <c r="AE964" s="239" t="str">
        <f>IF('CCUS Projects Database'!$X964&lt;&gt;"",HYPERLINK('CCUS Projects Database'!$X964,"Link 7"),"")</f>
        <v/>
      </c>
    </row>
    <row r="965" ht="14.25" customHeight="1">
      <c r="A965" s="233" t="s">
        <v>21996</v>
      </c>
      <c r="B965" s="234">
        <v>1285.0</v>
      </c>
      <c r="C965" s="234" t="s">
        <v>18329</v>
      </c>
      <c r="D965" s="235" t="s">
        <v>21997</v>
      </c>
      <c r="E965" s="234" t="s">
        <v>3</v>
      </c>
      <c r="F965" s="234">
        <v>2024.0</v>
      </c>
      <c r="G965" s="234" t="s">
        <v>18725</v>
      </c>
      <c r="H965" s="234" t="s">
        <v>18725</v>
      </c>
      <c r="I965" s="234" t="s">
        <v>18725</v>
      </c>
      <c r="J965" s="234" t="s">
        <v>18636</v>
      </c>
      <c r="K965" s="236" t="s">
        <v>18725</v>
      </c>
      <c r="L965" s="236" t="s">
        <v>18725</v>
      </c>
      <c r="M965" s="236" t="s">
        <v>18725</v>
      </c>
      <c r="N965" s="234" t="s">
        <v>3</v>
      </c>
      <c r="O965" s="237" t="s">
        <v>18675</v>
      </c>
      <c r="P965" s="234" t="s">
        <v>18725</v>
      </c>
      <c r="Q965" s="234" t="s">
        <v>18762</v>
      </c>
      <c r="R965" s="238" t="s">
        <v>21998</v>
      </c>
      <c r="S965" s="238" t="s">
        <v>21992</v>
      </c>
      <c r="T965" s="238" t="s">
        <v>18725</v>
      </c>
      <c r="U965" s="238" t="s">
        <v>18725</v>
      </c>
      <c r="V965" s="238" t="s">
        <v>18725</v>
      </c>
      <c r="W965" s="238" t="s">
        <v>18725</v>
      </c>
      <c r="X965" s="238" t="s">
        <v>18725</v>
      </c>
      <c r="Y965" s="239" t="str">
        <f>IF('CCUS Projects Database'!$R965&lt;&gt;"",HYPERLINK('CCUS Projects Database'!$R965,"Link 1"),"")</f>
        <v>Link 1</v>
      </c>
      <c r="Z965" s="239" t="str">
        <f>IF('CCUS Projects Database'!$S965&lt;&gt;"",HYPERLINK('CCUS Projects Database'!$S965,"Link 2"),"")</f>
        <v>Link 2</v>
      </c>
      <c r="AA965" s="239" t="str">
        <f>IF('CCUS Projects Database'!$T965&lt;&gt;"",HYPERLINK('CCUS Projects Database'!$T965,"Link 3"),"")</f>
        <v/>
      </c>
      <c r="AB965" s="239" t="str">
        <f>IF('CCUS Projects Database'!$U965&lt;&gt;"",HYPERLINK('CCUS Projects Database'!$U965,"Link 4"),"")</f>
        <v/>
      </c>
      <c r="AC965" s="239" t="str">
        <f>IF('CCUS Projects Database'!$V965&lt;&gt;"",HYPERLINK('CCUS Projects Database'!$V965,"Link 5"),"")</f>
        <v/>
      </c>
      <c r="AD965" s="239" t="str">
        <f>IF('CCUS Projects Database'!$W965&lt;&gt;"",HYPERLINK('CCUS Projects Database'!$W965,"Link 6"),"")</f>
        <v/>
      </c>
      <c r="AE965" s="239" t="str">
        <f>IF('CCUS Projects Database'!$X965&lt;&gt;"",HYPERLINK('CCUS Projects Database'!$X965,"Link 7"),"")</f>
        <v/>
      </c>
    </row>
    <row r="966" ht="14.25" customHeight="1">
      <c r="A966" s="233" t="s">
        <v>21999</v>
      </c>
      <c r="B966" s="234">
        <v>1288.0</v>
      </c>
      <c r="C966" s="234" t="s">
        <v>86</v>
      </c>
      <c r="D966" s="235" t="s">
        <v>22000</v>
      </c>
      <c r="E966" s="234" t="s">
        <v>18618</v>
      </c>
      <c r="F966" s="234">
        <v>2024.0</v>
      </c>
      <c r="G966" s="234" t="s">
        <v>18725</v>
      </c>
      <c r="H966" s="234">
        <v>2029.0</v>
      </c>
      <c r="I966" s="234" t="s">
        <v>18725</v>
      </c>
      <c r="J966" s="234" t="s">
        <v>18636</v>
      </c>
      <c r="K966" s="236" t="s">
        <v>18725</v>
      </c>
      <c r="L966" s="236">
        <v>0.28</v>
      </c>
      <c r="M966" s="236">
        <v>0.28</v>
      </c>
      <c r="N966" s="234" t="s">
        <v>18654</v>
      </c>
      <c r="O966" s="237" t="s">
        <v>18683</v>
      </c>
      <c r="P966" s="234" t="s">
        <v>18725</v>
      </c>
      <c r="Q966" s="234" t="s">
        <v>18726</v>
      </c>
      <c r="R966" s="238" t="s">
        <v>22001</v>
      </c>
      <c r="S966" s="238" t="s">
        <v>22002</v>
      </c>
      <c r="T966" s="238" t="s">
        <v>18725</v>
      </c>
      <c r="U966" s="238" t="s">
        <v>18725</v>
      </c>
      <c r="V966" s="238" t="s">
        <v>18725</v>
      </c>
      <c r="W966" s="238" t="s">
        <v>18725</v>
      </c>
      <c r="X966" s="238" t="s">
        <v>18725</v>
      </c>
      <c r="Y966" s="239" t="str">
        <f>IF('CCUS Projects Database'!$R966&lt;&gt;"",HYPERLINK('CCUS Projects Database'!$R966,"Link 1"),"")</f>
        <v>Link 1</v>
      </c>
      <c r="Z966" s="239" t="str">
        <f>IF('CCUS Projects Database'!$S966&lt;&gt;"",HYPERLINK('CCUS Projects Database'!$S966,"Link 2"),"")</f>
        <v>Link 2</v>
      </c>
      <c r="AA966" s="239" t="str">
        <f>IF('CCUS Projects Database'!$T966&lt;&gt;"",HYPERLINK('CCUS Projects Database'!$T966,"Link 3"),"")</f>
        <v/>
      </c>
      <c r="AB966" s="239" t="str">
        <f>IF('CCUS Projects Database'!$U966&lt;&gt;"",HYPERLINK('CCUS Projects Database'!$U966,"Link 4"),"")</f>
        <v/>
      </c>
      <c r="AC966" s="239" t="str">
        <f>IF('CCUS Projects Database'!$V966&lt;&gt;"",HYPERLINK('CCUS Projects Database'!$V966,"Link 5"),"")</f>
        <v/>
      </c>
      <c r="AD966" s="239" t="str">
        <f>IF('CCUS Projects Database'!$W966&lt;&gt;"",HYPERLINK('CCUS Projects Database'!$W966,"Link 6"),"")</f>
        <v/>
      </c>
      <c r="AE966" s="239" t="str">
        <f>IF('CCUS Projects Database'!$X966&lt;&gt;"",HYPERLINK('CCUS Projects Database'!$X966,"Link 7"),"")</f>
        <v/>
      </c>
    </row>
    <row r="967" ht="14.25" customHeight="1">
      <c r="A967" s="233" t="s">
        <v>22003</v>
      </c>
      <c r="B967" s="234">
        <v>1291.0</v>
      </c>
      <c r="C967" s="234" t="s">
        <v>86</v>
      </c>
      <c r="D967" s="235" t="s">
        <v>22004</v>
      </c>
      <c r="E967" s="234" t="s">
        <v>18625</v>
      </c>
      <c r="F967" s="234">
        <v>2024.0</v>
      </c>
      <c r="G967" s="234" t="s">
        <v>18725</v>
      </c>
      <c r="H967" s="234">
        <v>2030.0</v>
      </c>
      <c r="I967" s="234" t="s">
        <v>18725</v>
      </c>
      <c r="J967" s="234" t="s">
        <v>18636</v>
      </c>
      <c r="K967" s="236" t="s">
        <v>18725</v>
      </c>
      <c r="L967" s="236">
        <v>0.33</v>
      </c>
      <c r="M967" s="236">
        <v>0.33</v>
      </c>
      <c r="N967" s="234" t="s">
        <v>18654</v>
      </c>
      <c r="O967" s="237" t="s">
        <v>18679</v>
      </c>
      <c r="P967" s="234" t="s">
        <v>18725</v>
      </c>
      <c r="Q967" s="234" t="s">
        <v>18726</v>
      </c>
      <c r="R967" s="238" t="s">
        <v>22005</v>
      </c>
      <c r="S967" s="238" t="s">
        <v>22006</v>
      </c>
      <c r="T967" s="238" t="s">
        <v>18725</v>
      </c>
      <c r="U967" s="238" t="s">
        <v>18725</v>
      </c>
      <c r="V967" s="238" t="s">
        <v>18725</v>
      </c>
      <c r="W967" s="238" t="s">
        <v>18725</v>
      </c>
      <c r="X967" s="238" t="s">
        <v>18725</v>
      </c>
      <c r="Y967" s="239" t="str">
        <f>IF('CCUS Projects Database'!$R967&lt;&gt;"",HYPERLINK('CCUS Projects Database'!$R967,"Link 1"),"")</f>
        <v>Link 1</v>
      </c>
      <c r="Z967" s="239" t="str">
        <f>IF('CCUS Projects Database'!$S967&lt;&gt;"",HYPERLINK('CCUS Projects Database'!$S967,"Link 2"),"")</f>
        <v>Link 2</v>
      </c>
      <c r="AA967" s="239" t="str">
        <f>IF('CCUS Projects Database'!$T967&lt;&gt;"",HYPERLINK('CCUS Projects Database'!$T967,"Link 3"),"")</f>
        <v/>
      </c>
      <c r="AB967" s="239" t="str">
        <f>IF('CCUS Projects Database'!$U967&lt;&gt;"",HYPERLINK('CCUS Projects Database'!$U967,"Link 4"),"")</f>
        <v/>
      </c>
      <c r="AC967" s="239" t="str">
        <f>IF('CCUS Projects Database'!$V967&lt;&gt;"",HYPERLINK('CCUS Projects Database'!$V967,"Link 5"),"")</f>
        <v/>
      </c>
      <c r="AD967" s="239" t="str">
        <f>IF('CCUS Projects Database'!$W967&lt;&gt;"",HYPERLINK('CCUS Projects Database'!$W967,"Link 6"),"")</f>
        <v/>
      </c>
      <c r="AE967" s="239" t="str">
        <f>IF('CCUS Projects Database'!$X967&lt;&gt;"",HYPERLINK('CCUS Projects Database'!$X967,"Link 7"),"")</f>
        <v/>
      </c>
    </row>
    <row r="968" ht="14.25" customHeight="1">
      <c r="A968" s="233" t="s">
        <v>22007</v>
      </c>
      <c r="B968" s="234">
        <v>1294.0</v>
      </c>
      <c r="C968" s="234" t="s">
        <v>86</v>
      </c>
      <c r="D968" s="235" t="s">
        <v>22008</v>
      </c>
      <c r="E968" s="234" t="s">
        <v>18625</v>
      </c>
      <c r="F968" s="234" t="s">
        <v>18725</v>
      </c>
      <c r="G968" s="234" t="s">
        <v>18725</v>
      </c>
      <c r="H968" s="234">
        <v>2027.0</v>
      </c>
      <c r="I968" s="234" t="s">
        <v>18725</v>
      </c>
      <c r="J968" s="234" t="s">
        <v>18636</v>
      </c>
      <c r="K968" s="236" t="s">
        <v>18725</v>
      </c>
      <c r="L968" s="236" t="s">
        <v>18725</v>
      </c>
      <c r="M968" s="236" t="s">
        <v>18725</v>
      </c>
      <c r="N968" s="234" t="s">
        <v>22009</v>
      </c>
      <c r="O968" s="237" t="s">
        <v>18679</v>
      </c>
      <c r="P968" s="234" t="s">
        <v>18725</v>
      </c>
      <c r="Q968" s="234" t="s">
        <v>18726</v>
      </c>
      <c r="R968" s="238" t="s">
        <v>22010</v>
      </c>
      <c r="S968" s="238" t="s">
        <v>22011</v>
      </c>
      <c r="T968" s="238" t="s">
        <v>18725</v>
      </c>
      <c r="U968" s="238" t="s">
        <v>18725</v>
      </c>
      <c r="V968" s="238" t="s">
        <v>18725</v>
      </c>
      <c r="W968" s="238" t="s">
        <v>18725</v>
      </c>
      <c r="X968" s="238" t="s">
        <v>18725</v>
      </c>
      <c r="Y968" s="239" t="str">
        <f>IF('CCUS Projects Database'!$R968&lt;&gt;"",HYPERLINK('CCUS Projects Database'!$R968,"Link 1"),"")</f>
        <v>Link 1</v>
      </c>
      <c r="Z968" s="239" t="str">
        <f>IF('CCUS Projects Database'!$S968&lt;&gt;"",HYPERLINK('CCUS Projects Database'!$S968,"Link 2"),"")</f>
        <v>Link 2</v>
      </c>
      <c r="AA968" s="239" t="str">
        <f>IF('CCUS Projects Database'!$T968&lt;&gt;"",HYPERLINK('CCUS Projects Database'!$T968,"Link 3"),"")</f>
        <v/>
      </c>
      <c r="AB968" s="239" t="str">
        <f>IF('CCUS Projects Database'!$U968&lt;&gt;"",HYPERLINK('CCUS Projects Database'!$U968,"Link 4"),"")</f>
        <v/>
      </c>
      <c r="AC968" s="239" t="str">
        <f>IF('CCUS Projects Database'!$V968&lt;&gt;"",HYPERLINK('CCUS Projects Database'!$V968,"Link 5"),"")</f>
        <v/>
      </c>
      <c r="AD968" s="239" t="str">
        <f>IF('CCUS Projects Database'!$W968&lt;&gt;"",HYPERLINK('CCUS Projects Database'!$W968,"Link 6"),"")</f>
        <v/>
      </c>
      <c r="AE968" s="239" t="str">
        <f>IF('CCUS Projects Database'!$X968&lt;&gt;"",HYPERLINK('CCUS Projects Database'!$X968,"Link 7"),"")</f>
        <v/>
      </c>
    </row>
    <row r="969" ht="14.25" customHeight="1">
      <c r="A969" s="233" t="s">
        <v>22012</v>
      </c>
      <c r="B969" s="234">
        <v>1298.0</v>
      </c>
      <c r="C969" s="234" t="s">
        <v>18360</v>
      </c>
      <c r="D969" s="235" t="s">
        <v>22013</v>
      </c>
      <c r="E969" s="234" t="s">
        <v>18616</v>
      </c>
      <c r="F969" s="234">
        <v>2022.0</v>
      </c>
      <c r="G969" s="234" t="s">
        <v>18725</v>
      </c>
      <c r="H969" s="234">
        <v>2023.0</v>
      </c>
      <c r="I969" s="234" t="s">
        <v>18725</v>
      </c>
      <c r="J969" s="234" t="s">
        <v>12385</v>
      </c>
      <c r="K969" s="236" t="s">
        <v>18725</v>
      </c>
      <c r="L969" s="236">
        <v>0.1</v>
      </c>
      <c r="M969" s="236">
        <v>0.1</v>
      </c>
      <c r="N969" s="234" t="s">
        <v>677</v>
      </c>
      <c r="O969" s="237" t="s">
        <v>19136</v>
      </c>
      <c r="P969" s="238" t="s">
        <v>18725</v>
      </c>
      <c r="Q969" s="234" t="s">
        <v>18856</v>
      </c>
      <c r="R969" s="238" t="s">
        <v>22014</v>
      </c>
      <c r="S969" s="238" t="s">
        <v>18725</v>
      </c>
      <c r="T969" s="238" t="s">
        <v>18725</v>
      </c>
      <c r="U969" s="238" t="s">
        <v>18725</v>
      </c>
      <c r="V969" s="238" t="s">
        <v>18725</v>
      </c>
      <c r="W969" s="238" t="s">
        <v>18725</v>
      </c>
      <c r="X969" s="238" t="s">
        <v>18725</v>
      </c>
      <c r="Y969" s="239" t="str">
        <f>IF('CCUS Projects Database'!$R969&lt;&gt;"",HYPERLINK('CCUS Projects Database'!$R969,"Link 1"),"")</f>
        <v>Link 1</v>
      </c>
      <c r="Z969" s="239" t="str">
        <f>IF('CCUS Projects Database'!$S969&lt;&gt;"",HYPERLINK('CCUS Projects Database'!$S969,"Link 2"),"")</f>
        <v/>
      </c>
      <c r="AA969" s="239" t="str">
        <f>IF('CCUS Projects Database'!$T969&lt;&gt;"",HYPERLINK('CCUS Projects Database'!$T969,"Link 3"),"")</f>
        <v/>
      </c>
      <c r="AB969" s="239" t="str">
        <f>IF('CCUS Projects Database'!$U969&lt;&gt;"",HYPERLINK('CCUS Projects Database'!$U969,"Link 4"),"")</f>
        <v/>
      </c>
      <c r="AC969" s="239" t="str">
        <f>IF('CCUS Projects Database'!$V969&lt;&gt;"",HYPERLINK('CCUS Projects Database'!$V969,"Link 5"),"")</f>
        <v/>
      </c>
      <c r="AD969" s="239" t="str">
        <f>IF('CCUS Projects Database'!$W969&lt;&gt;"",HYPERLINK('CCUS Projects Database'!$W969,"Link 6"),"")</f>
        <v/>
      </c>
      <c r="AE969" s="239" t="str">
        <f>IF('CCUS Projects Database'!$X969&lt;&gt;"",HYPERLINK('CCUS Projects Database'!$X969,"Link 7"),"")</f>
        <v/>
      </c>
    </row>
    <row r="970" ht="14.25" customHeight="1">
      <c r="A970" s="233" t="s">
        <v>22015</v>
      </c>
      <c r="B970" s="234">
        <v>1299.0</v>
      </c>
      <c r="C970" s="234" t="s">
        <v>18360</v>
      </c>
      <c r="D970" s="235" t="s">
        <v>19516</v>
      </c>
      <c r="E970" s="234" t="s">
        <v>18616</v>
      </c>
      <c r="F970" s="234" t="s">
        <v>18725</v>
      </c>
      <c r="G970" s="234" t="s">
        <v>18725</v>
      </c>
      <c r="H970" s="234">
        <v>2024.0</v>
      </c>
      <c r="I970" s="234" t="s">
        <v>18725</v>
      </c>
      <c r="J970" s="234" t="s">
        <v>12385</v>
      </c>
      <c r="K970" s="236" t="s">
        <v>18725</v>
      </c>
      <c r="L970" s="236">
        <v>0.15</v>
      </c>
      <c r="M970" s="236">
        <v>0.15</v>
      </c>
      <c r="N970" s="234" t="s">
        <v>677</v>
      </c>
      <c r="O970" s="237" t="s">
        <v>18677</v>
      </c>
      <c r="P970" s="238" t="s">
        <v>18725</v>
      </c>
      <c r="Q970" s="234" t="s">
        <v>18856</v>
      </c>
      <c r="R970" s="238" t="s">
        <v>22016</v>
      </c>
      <c r="S970" s="238" t="s">
        <v>18725</v>
      </c>
      <c r="T970" s="238" t="s">
        <v>18725</v>
      </c>
      <c r="U970" s="238" t="s">
        <v>18725</v>
      </c>
      <c r="V970" s="238" t="s">
        <v>18725</v>
      </c>
      <c r="W970" s="238" t="s">
        <v>18725</v>
      </c>
      <c r="X970" s="238" t="s">
        <v>18725</v>
      </c>
      <c r="Y970" s="239" t="str">
        <f>IF('CCUS Projects Database'!$R970&lt;&gt;"",HYPERLINK('CCUS Projects Database'!$R970,"Link 1"),"")</f>
        <v>Link 1</v>
      </c>
      <c r="Z970" s="239" t="str">
        <f>IF('CCUS Projects Database'!$S970&lt;&gt;"",HYPERLINK('CCUS Projects Database'!$S970,"Link 2"),"")</f>
        <v/>
      </c>
      <c r="AA970" s="239" t="str">
        <f>IF('CCUS Projects Database'!$T970&lt;&gt;"",HYPERLINK('CCUS Projects Database'!$T970,"Link 3"),"")</f>
        <v/>
      </c>
      <c r="AB970" s="239" t="str">
        <f>IF('CCUS Projects Database'!$U970&lt;&gt;"",HYPERLINK('CCUS Projects Database'!$U970,"Link 4"),"")</f>
        <v/>
      </c>
      <c r="AC970" s="239" t="str">
        <f>IF('CCUS Projects Database'!$V970&lt;&gt;"",HYPERLINK('CCUS Projects Database'!$V970,"Link 5"),"")</f>
        <v/>
      </c>
      <c r="AD970" s="239" t="str">
        <f>IF('CCUS Projects Database'!$W970&lt;&gt;"",HYPERLINK('CCUS Projects Database'!$W970,"Link 6"),"")</f>
        <v/>
      </c>
      <c r="AE970" s="239" t="str">
        <f>IF('CCUS Projects Database'!$X970&lt;&gt;"",HYPERLINK('CCUS Projects Database'!$X970,"Link 7"),"")</f>
        <v/>
      </c>
    </row>
    <row r="971" ht="14.25" customHeight="1">
      <c r="A971" s="233" t="s">
        <v>22017</v>
      </c>
      <c r="B971" s="234">
        <v>1301.0</v>
      </c>
      <c r="C971" s="234" t="s">
        <v>18360</v>
      </c>
      <c r="D971" s="235" t="s">
        <v>22018</v>
      </c>
      <c r="E971" s="234" t="s">
        <v>18618</v>
      </c>
      <c r="F971" s="234">
        <v>2017.0</v>
      </c>
      <c r="G971" s="234" t="s">
        <v>18725</v>
      </c>
      <c r="H971" s="234">
        <v>2025.0</v>
      </c>
      <c r="I971" s="234" t="s">
        <v>18725</v>
      </c>
      <c r="J971" s="234" t="s">
        <v>18638</v>
      </c>
      <c r="K971" s="236" t="s">
        <v>18725</v>
      </c>
      <c r="L971" s="236" t="s">
        <v>18725</v>
      </c>
      <c r="M971" s="236" t="s">
        <v>18725</v>
      </c>
      <c r="N971" s="234" t="s">
        <v>18654</v>
      </c>
      <c r="O971" s="237" t="s">
        <v>18683</v>
      </c>
      <c r="P971" s="234" t="s">
        <v>18725</v>
      </c>
      <c r="Q971" s="234" t="s">
        <v>18856</v>
      </c>
      <c r="R971" s="238" t="s">
        <v>22019</v>
      </c>
      <c r="S971" s="238" t="s">
        <v>22020</v>
      </c>
      <c r="T971" s="238" t="s">
        <v>22021</v>
      </c>
      <c r="U971" s="238" t="s">
        <v>18725</v>
      </c>
      <c r="V971" s="238" t="s">
        <v>18725</v>
      </c>
      <c r="W971" s="238" t="s">
        <v>18725</v>
      </c>
      <c r="X971" s="238" t="s">
        <v>18725</v>
      </c>
      <c r="Y971" s="239" t="str">
        <f>IF('CCUS Projects Database'!$R971&lt;&gt;"",HYPERLINK('CCUS Projects Database'!$R971,"Link 1"),"")</f>
        <v>Link 1</v>
      </c>
      <c r="Z971" s="239" t="str">
        <f>IF('CCUS Projects Database'!$S971&lt;&gt;"",HYPERLINK('CCUS Projects Database'!$S971,"Link 2"),"")</f>
        <v>Link 2</v>
      </c>
      <c r="AA971" s="239" t="str">
        <f>IF('CCUS Projects Database'!$T971&lt;&gt;"",HYPERLINK('CCUS Projects Database'!$T971,"Link 3"),"")</f>
        <v>Link 3</v>
      </c>
      <c r="AB971" s="239" t="str">
        <f>IF('CCUS Projects Database'!$U971&lt;&gt;"",HYPERLINK('CCUS Projects Database'!$U971,"Link 4"),"")</f>
        <v/>
      </c>
      <c r="AC971" s="239" t="str">
        <f>IF('CCUS Projects Database'!$V971&lt;&gt;"",HYPERLINK('CCUS Projects Database'!$V971,"Link 5"),"")</f>
        <v/>
      </c>
      <c r="AD971" s="239" t="str">
        <f>IF('CCUS Projects Database'!$W971&lt;&gt;"",HYPERLINK('CCUS Projects Database'!$W971,"Link 6"),"")</f>
        <v/>
      </c>
      <c r="AE971" s="239" t="str">
        <f>IF('CCUS Projects Database'!$X971&lt;&gt;"",HYPERLINK('CCUS Projects Database'!$X971,"Link 7"),"")</f>
        <v/>
      </c>
    </row>
    <row r="972" ht="14.25" customHeight="1">
      <c r="A972" s="233" t="s">
        <v>22022</v>
      </c>
      <c r="B972" s="234">
        <v>1305.0</v>
      </c>
      <c r="C972" s="234" t="s">
        <v>86</v>
      </c>
      <c r="D972" s="235" t="s">
        <v>22023</v>
      </c>
      <c r="E972" s="234" t="s">
        <v>21926</v>
      </c>
      <c r="F972" s="234">
        <v>2022.0</v>
      </c>
      <c r="G972" s="234" t="s">
        <v>18725</v>
      </c>
      <c r="H972" s="234">
        <v>2026.0</v>
      </c>
      <c r="I972" s="234" t="s">
        <v>18725</v>
      </c>
      <c r="J972" s="234" t="s">
        <v>18636</v>
      </c>
      <c r="K972" s="236" t="s">
        <v>18725</v>
      </c>
      <c r="L972" s="236">
        <v>0.23</v>
      </c>
      <c r="M972" s="236">
        <v>0.23</v>
      </c>
      <c r="N972" s="234" t="s">
        <v>18654</v>
      </c>
      <c r="O972" s="237" t="s">
        <v>18675</v>
      </c>
      <c r="P972" s="234" t="s">
        <v>18725</v>
      </c>
      <c r="Q972" s="234" t="s">
        <v>18726</v>
      </c>
      <c r="R972" s="238" t="s">
        <v>22024</v>
      </c>
      <c r="S972" s="238" t="s">
        <v>22025</v>
      </c>
      <c r="T972" s="238" t="s">
        <v>22026</v>
      </c>
      <c r="U972" s="238" t="s">
        <v>22027</v>
      </c>
      <c r="V972" s="238" t="s">
        <v>22028</v>
      </c>
      <c r="W972" s="238" t="s">
        <v>18725</v>
      </c>
      <c r="X972" s="238" t="s">
        <v>18725</v>
      </c>
      <c r="Y972" s="239" t="str">
        <f>IF('CCUS Projects Database'!$R972&lt;&gt;"",HYPERLINK('CCUS Projects Database'!$R972,"Link 1"),"")</f>
        <v>Link 1</v>
      </c>
      <c r="Z972" s="239" t="str">
        <f>IF('CCUS Projects Database'!$S972&lt;&gt;"",HYPERLINK('CCUS Projects Database'!$S972,"Link 2"),"")</f>
        <v>Link 2</v>
      </c>
      <c r="AA972" s="239" t="str">
        <f>IF('CCUS Projects Database'!$T972&lt;&gt;"",HYPERLINK('CCUS Projects Database'!$T972,"Link 3"),"")</f>
        <v>Link 3</v>
      </c>
      <c r="AB972" s="239" t="str">
        <f>IF('CCUS Projects Database'!$U972&lt;&gt;"",HYPERLINK('CCUS Projects Database'!$U972,"Link 4"),"")</f>
        <v>Link 4</v>
      </c>
      <c r="AC972" s="239" t="str">
        <f>IF('CCUS Projects Database'!$V972&lt;&gt;"",HYPERLINK('CCUS Projects Database'!$V972,"Link 5"),"")</f>
        <v>Link 5</v>
      </c>
      <c r="AD972" s="239" t="str">
        <f>IF('CCUS Projects Database'!$W972&lt;&gt;"",HYPERLINK('CCUS Projects Database'!$W972,"Link 6"),"")</f>
        <v/>
      </c>
      <c r="AE972" s="239" t="str">
        <f>IF('CCUS Projects Database'!$X972&lt;&gt;"",HYPERLINK('CCUS Projects Database'!$X972,"Link 7"),"")</f>
        <v/>
      </c>
    </row>
    <row r="973" ht="14.25" customHeight="1">
      <c r="A973" s="233" t="s">
        <v>22029</v>
      </c>
      <c r="B973" s="234">
        <v>1306.0</v>
      </c>
      <c r="C973" s="234" t="s">
        <v>86</v>
      </c>
      <c r="D973" s="235" t="s">
        <v>22030</v>
      </c>
      <c r="E973" s="234" t="s">
        <v>18625</v>
      </c>
      <c r="F973" s="234">
        <v>2023.0</v>
      </c>
      <c r="G973" s="234" t="s">
        <v>18725</v>
      </c>
      <c r="H973" s="234">
        <v>2030.0</v>
      </c>
      <c r="I973" s="234" t="s">
        <v>18725</v>
      </c>
      <c r="J973" s="234" t="s">
        <v>18636</v>
      </c>
      <c r="K973" s="236" t="s">
        <v>18725</v>
      </c>
      <c r="L973" s="236">
        <v>0.15</v>
      </c>
      <c r="M973" s="236">
        <v>0.15</v>
      </c>
      <c r="N973" s="234" t="s">
        <v>12270</v>
      </c>
      <c r="O973" s="237" t="s">
        <v>18679</v>
      </c>
      <c r="P973" s="234" t="s">
        <v>18725</v>
      </c>
      <c r="Q973" s="234" t="s">
        <v>18726</v>
      </c>
      <c r="R973" s="238" t="s">
        <v>22031</v>
      </c>
      <c r="S973" s="238" t="s">
        <v>18725</v>
      </c>
      <c r="T973" s="238" t="s">
        <v>18725</v>
      </c>
      <c r="U973" s="238" t="s">
        <v>18725</v>
      </c>
      <c r="V973" s="238" t="s">
        <v>18725</v>
      </c>
      <c r="W973" s="238" t="s">
        <v>18725</v>
      </c>
      <c r="X973" s="238" t="s">
        <v>18725</v>
      </c>
      <c r="Y973" s="239" t="str">
        <f>IF('CCUS Projects Database'!$R973&lt;&gt;"",HYPERLINK('CCUS Projects Database'!$R973,"Link 1"),"")</f>
        <v>Link 1</v>
      </c>
      <c r="Z973" s="239" t="str">
        <f>IF('CCUS Projects Database'!$S973&lt;&gt;"",HYPERLINK('CCUS Projects Database'!$S973,"Link 2"),"")</f>
        <v/>
      </c>
      <c r="AA973" s="239" t="str">
        <f>IF('CCUS Projects Database'!$T973&lt;&gt;"",HYPERLINK('CCUS Projects Database'!$T973,"Link 3"),"")</f>
        <v/>
      </c>
      <c r="AB973" s="239" t="str">
        <f>IF('CCUS Projects Database'!$U973&lt;&gt;"",HYPERLINK('CCUS Projects Database'!$U973,"Link 4"),"")</f>
        <v/>
      </c>
      <c r="AC973" s="239" t="str">
        <f>IF('CCUS Projects Database'!$V973&lt;&gt;"",HYPERLINK('CCUS Projects Database'!$V973,"Link 5"),"")</f>
        <v/>
      </c>
      <c r="AD973" s="239" t="str">
        <f>IF('CCUS Projects Database'!$W973&lt;&gt;"",HYPERLINK('CCUS Projects Database'!$W973,"Link 6"),"")</f>
        <v/>
      </c>
      <c r="AE973" s="239" t="str">
        <f>IF('CCUS Projects Database'!$X973&lt;&gt;"",HYPERLINK('CCUS Projects Database'!$X973,"Link 7"),"")</f>
        <v/>
      </c>
    </row>
    <row r="974" ht="14.25" customHeight="1">
      <c r="A974" s="233" t="s">
        <v>22032</v>
      </c>
      <c r="B974" s="234">
        <v>1307.0</v>
      </c>
      <c r="C974" s="234" t="s">
        <v>18586</v>
      </c>
      <c r="D974" s="235" t="s">
        <v>22033</v>
      </c>
      <c r="E974" s="234" t="s">
        <v>18616</v>
      </c>
      <c r="F974" s="234" t="s">
        <v>18725</v>
      </c>
      <c r="G974" s="234" t="s">
        <v>18725</v>
      </c>
      <c r="H974" s="234">
        <v>2024.0</v>
      </c>
      <c r="I974" s="234" t="s">
        <v>18725</v>
      </c>
      <c r="J974" s="234" t="s">
        <v>12385</v>
      </c>
      <c r="K974" s="236" t="s">
        <v>18725</v>
      </c>
      <c r="L974" s="236">
        <v>0.005</v>
      </c>
      <c r="M974" s="236">
        <v>0.005</v>
      </c>
      <c r="N974" s="234" t="s">
        <v>18218</v>
      </c>
      <c r="O974" s="237" t="s">
        <v>18677</v>
      </c>
      <c r="P974" s="234" t="s">
        <v>22034</v>
      </c>
      <c r="Q974" s="234" t="s">
        <v>18732</v>
      </c>
      <c r="R974" s="238" t="s">
        <v>22035</v>
      </c>
      <c r="S974" s="238" t="s">
        <v>22036</v>
      </c>
      <c r="T974" s="238" t="s">
        <v>18725</v>
      </c>
      <c r="U974" s="238" t="s">
        <v>18725</v>
      </c>
      <c r="V974" s="238" t="s">
        <v>18725</v>
      </c>
      <c r="W974" s="238" t="s">
        <v>18725</v>
      </c>
      <c r="X974" s="238" t="s">
        <v>18725</v>
      </c>
      <c r="Y974" s="239" t="str">
        <f>IF('CCUS Projects Database'!$R974&lt;&gt;"",HYPERLINK('CCUS Projects Database'!$R974,"Link 1"),"")</f>
        <v>Link 1</v>
      </c>
      <c r="Z974" s="239" t="str">
        <f>IF('CCUS Projects Database'!$S974&lt;&gt;"",HYPERLINK('CCUS Projects Database'!$S974,"Link 2"),"")</f>
        <v>Link 2</v>
      </c>
      <c r="AA974" s="239" t="str">
        <f>IF('CCUS Projects Database'!$T974&lt;&gt;"",HYPERLINK('CCUS Projects Database'!$T974,"Link 3"),"")</f>
        <v/>
      </c>
      <c r="AB974" s="239" t="str">
        <f>IF('CCUS Projects Database'!$U974&lt;&gt;"",HYPERLINK('CCUS Projects Database'!$U974,"Link 4"),"")</f>
        <v/>
      </c>
      <c r="AC974" s="239" t="str">
        <f>IF('CCUS Projects Database'!$V974&lt;&gt;"",HYPERLINK('CCUS Projects Database'!$V974,"Link 5"),"")</f>
        <v/>
      </c>
      <c r="AD974" s="239" t="str">
        <f>IF('CCUS Projects Database'!$W974&lt;&gt;"",HYPERLINK('CCUS Projects Database'!$W974,"Link 6"),"")</f>
        <v/>
      </c>
      <c r="AE974" s="239" t="str">
        <f>IF('CCUS Projects Database'!$X974&lt;&gt;"",HYPERLINK('CCUS Projects Database'!$X974,"Link 7"),"")</f>
        <v/>
      </c>
    </row>
    <row r="975" ht="14.25" customHeight="1">
      <c r="A975" s="233" t="s">
        <v>22037</v>
      </c>
      <c r="B975" s="234">
        <v>1308.0</v>
      </c>
      <c r="C975" s="234" t="s">
        <v>18586</v>
      </c>
      <c r="D975" s="235" t="s">
        <v>22038</v>
      </c>
      <c r="E975" s="234" t="s">
        <v>21926</v>
      </c>
      <c r="F975" s="234">
        <v>2018.0</v>
      </c>
      <c r="G975" s="234" t="s">
        <v>18725</v>
      </c>
      <c r="H975" s="234">
        <v>2024.0</v>
      </c>
      <c r="I975" s="234" t="s">
        <v>18725</v>
      </c>
      <c r="J975" s="234" t="s">
        <v>12385</v>
      </c>
      <c r="K975" s="236" t="s">
        <v>18725</v>
      </c>
      <c r="L975" s="236" t="s">
        <v>22039</v>
      </c>
      <c r="M975" s="236">
        <v>0.12</v>
      </c>
      <c r="N975" s="234" t="s">
        <v>18661</v>
      </c>
      <c r="O975" s="237" t="s">
        <v>18675</v>
      </c>
      <c r="P975" s="234" t="s">
        <v>18725</v>
      </c>
      <c r="Q975" s="234" t="s">
        <v>18732</v>
      </c>
      <c r="R975" s="238" t="s">
        <v>22040</v>
      </c>
      <c r="S975" s="238" t="s">
        <v>22041</v>
      </c>
      <c r="T975" s="238" t="s">
        <v>18725</v>
      </c>
      <c r="U975" s="238" t="s">
        <v>18725</v>
      </c>
      <c r="V975" s="238" t="s">
        <v>18725</v>
      </c>
      <c r="W975" s="238" t="s">
        <v>18725</v>
      </c>
      <c r="X975" s="238" t="s">
        <v>18725</v>
      </c>
      <c r="Y975" s="239" t="str">
        <f>IF('CCUS Projects Database'!$R975&lt;&gt;"",HYPERLINK('CCUS Projects Database'!$R975,"Link 1"),"")</f>
        <v>Link 1</v>
      </c>
      <c r="Z975" s="239" t="str">
        <f>IF('CCUS Projects Database'!$S975&lt;&gt;"",HYPERLINK('CCUS Projects Database'!$S975,"Link 2"),"")</f>
        <v>Link 2</v>
      </c>
      <c r="AA975" s="239" t="str">
        <f>IF('CCUS Projects Database'!$T975&lt;&gt;"",HYPERLINK('CCUS Projects Database'!$T975,"Link 3"),"")</f>
        <v/>
      </c>
      <c r="AB975" s="239" t="str">
        <f>IF('CCUS Projects Database'!$U975&lt;&gt;"",HYPERLINK('CCUS Projects Database'!$U975,"Link 4"),"")</f>
        <v/>
      </c>
      <c r="AC975" s="239" t="str">
        <f>IF('CCUS Projects Database'!$V975&lt;&gt;"",HYPERLINK('CCUS Projects Database'!$V975,"Link 5"),"")</f>
        <v/>
      </c>
      <c r="AD975" s="239" t="str">
        <f>IF('CCUS Projects Database'!$W975&lt;&gt;"",HYPERLINK('CCUS Projects Database'!$W975,"Link 6"),"")</f>
        <v/>
      </c>
      <c r="AE975" s="239" t="str">
        <f>IF('CCUS Projects Database'!$X975&lt;&gt;"",HYPERLINK('CCUS Projects Database'!$X975,"Link 7"),"")</f>
        <v/>
      </c>
    </row>
    <row r="976" ht="14.25" customHeight="1">
      <c r="A976" s="233" t="s">
        <v>22042</v>
      </c>
      <c r="B976" s="234">
        <v>1309.0</v>
      </c>
      <c r="C976" s="234" t="s">
        <v>18360</v>
      </c>
      <c r="D976" s="235" t="s">
        <v>22043</v>
      </c>
      <c r="E976" s="234" t="s">
        <v>18625</v>
      </c>
      <c r="F976" s="234" t="s">
        <v>18725</v>
      </c>
      <c r="G976" s="234" t="s">
        <v>18725</v>
      </c>
      <c r="H976" s="234">
        <v>2024.0</v>
      </c>
      <c r="I976" s="234" t="s">
        <v>18725</v>
      </c>
      <c r="J976" s="234" t="s">
        <v>12385</v>
      </c>
      <c r="K976" s="236">
        <v>1.0</v>
      </c>
      <c r="L976" s="236">
        <v>0.1</v>
      </c>
      <c r="M976" s="236">
        <v>0.1</v>
      </c>
      <c r="N976" s="234" t="s">
        <v>677</v>
      </c>
      <c r="O976" s="237" t="s">
        <v>18677</v>
      </c>
      <c r="P976" s="238" t="s">
        <v>18725</v>
      </c>
      <c r="Q976" s="234" t="s">
        <v>18856</v>
      </c>
      <c r="R976" s="238" t="s">
        <v>22044</v>
      </c>
      <c r="S976" s="238" t="s">
        <v>18725</v>
      </c>
      <c r="T976" s="238" t="s">
        <v>18725</v>
      </c>
      <c r="U976" s="238" t="s">
        <v>18725</v>
      </c>
      <c r="V976" s="238" t="s">
        <v>18725</v>
      </c>
      <c r="W976" s="238" t="s">
        <v>18725</v>
      </c>
      <c r="X976" s="238" t="s">
        <v>18725</v>
      </c>
      <c r="Y976" s="239" t="str">
        <f>IF('CCUS Projects Database'!$R976&lt;&gt;"",HYPERLINK('CCUS Projects Database'!$R976,"Link 1"),"")</f>
        <v>Link 1</v>
      </c>
      <c r="Z976" s="239" t="str">
        <f>IF('CCUS Projects Database'!$S976&lt;&gt;"",HYPERLINK('CCUS Projects Database'!$S976,"Link 2"),"")</f>
        <v/>
      </c>
      <c r="AA976" s="239" t="str">
        <f>IF('CCUS Projects Database'!$T976&lt;&gt;"",HYPERLINK('CCUS Projects Database'!$T976,"Link 3"),"")</f>
        <v/>
      </c>
      <c r="AB976" s="239" t="str">
        <f>IF('CCUS Projects Database'!$U976&lt;&gt;"",HYPERLINK('CCUS Projects Database'!$U976,"Link 4"),"")</f>
        <v/>
      </c>
      <c r="AC976" s="239" t="str">
        <f>IF('CCUS Projects Database'!$V976&lt;&gt;"",HYPERLINK('CCUS Projects Database'!$V976,"Link 5"),"")</f>
        <v/>
      </c>
      <c r="AD976" s="239" t="str">
        <f>IF('CCUS Projects Database'!$W976&lt;&gt;"",HYPERLINK('CCUS Projects Database'!$W976,"Link 6"),"")</f>
        <v/>
      </c>
      <c r="AE976" s="239" t="str">
        <f>IF('CCUS Projects Database'!$X976&lt;&gt;"",HYPERLINK('CCUS Projects Database'!$X976,"Link 7"),"")</f>
        <v/>
      </c>
    </row>
    <row r="977" ht="14.25" customHeight="1">
      <c r="A977" s="233" t="s">
        <v>22045</v>
      </c>
      <c r="B977" s="234">
        <v>1310.0</v>
      </c>
      <c r="C977" s="234" t="s">
        <v>18360</v>
      </c>
      <c r="D977" s="235" t="s">
        <v>22043</v>
      </c>
      <c r="E977" s="234" t="s">
        <v>18625</v>
      </c>
      <c r="F977" s="234" t="s">
        <v>18725</v>
      </c>
      <c r="G977" s="234" t="s">
        <v>18725</v>
      </c>
      <c r="H977" s="234" t="s">
        <v>18725</v>
      </c>
      <c r="I977" s="234" t="s">
        <v>18725</v>
      </c>
      <c r="J977" s="234" t="s">
        <v>18636</v>
      </c>
      <c r="K977" s="236">
        <v>2.0</v>
      </c>
      <c r="L977" s="236">
        <v>0.2</v>
      </c>
      <c r="M977" s="236">
        <v>0.2</v>
      </c>
      <c r="N977" s="234" t="s">
        <v>677</v>
      </c>
      <c r="O977" s="237" t="s">
        <v>18677</v>
      </c>
      <c r="P977" s="234" t="s">
        <v>18725</v>
      </c>
      <c r="Q977" s="234" t="s">
        <v>18856</v>
      </c>
      <c r="R977" s="238" t="s">
        <v>22044</v>
      </c>
      <c r="S977" s="238" t="s">
        <v>18725</v>
      </c>
      <c r="T977" s="238" t="s">
        <v>18725</v>
      </c>
      <c r="U977" s="238" t="s">
        <v>18725</v>
      </c>
      <c r="V977" s="238" t="s">
        <v>18725</v>
      </c>
      <c r="W977" s="238" t="s">
        <v>18725</v>
      </c>
      <c r="X977" s="238" t="s">
        <v>18725</v>
      </c>
      <c r="Y977" s="239" t="str">
        <f>IF('CCUS Projects Database'!$R977&lt;&gt;"",HYPERLINK('CCUS Projects Database'!$R977,"Link 1"),"")</f>
        <v>Link 1</v>
      </c>
      <c r="Z977" s="239" t="str">
        <f>IF('CCUS Projects Database'!$S977&lt;&gt;"",HYPERLINK('CCUS Projects Database'!$S977,"Link 2"),"")</f>
        <v/>
      </c>
      <c r="AA977" s="239" t="str">
        <f>IF('CCUS Projects Database'!$T977&lt;&gt;"",HYPERLINK('CCUS Projects Database'!$T977,"Link 3"),"")</f>
        <v/>
      </c>
      <c r="AB977" s="239" t="str">
        <f>IF('CCUS Projects Database'!$U977&lt;&gt;"",HYPERLINK('CCUS Projects Database'!$U977,"Link 4"),"")</f>
        <v/>
      </c>
      <c r="AC977" s="239" t="str">
        <f>IF('CCUS Projects Database'!$V977&lt;&gt;"",HYPERLINK('CCUS Projects Database'!$V977,"Link 5"),"")</f>
        <v/>
      </c>
      <c r="AD977" s="239" t="str">
        <f>IF('CCUS Projects Database'!$W977&lt;&gt;"",HYPERLINK('CCUS Projects Database'!$W977,"Link 6"),"")</f>
        <v/>
      </c>
      <c r="AE977" s="239" t="str">
        <f>IF('CCUS Projects Database'!$X977&lt;&gt;"",HYPERLINK('CCUS Projects Database'!$X977,"Link 7"),"")</f>
        <v/>
      </c>
    </row>
    <row r="978" ht="14.25" customHeight="1">
      <c r="A978" s="233" t="s">
        <v>22046</v>
      </c>
      <c r="B978" s="234">
        <v>1311.0</v>
      </c>
      <c r="C978" s="234" t="s">
        <v>18586</v>
      </c>
      <c r="D978" s="235" t="s">
        <v>22047</v>
      </c>
      <c r="E978" s="234" t="s">
        <v>18616</v>
      </c>
      <c r="F978" s="234">
        <v>2020.0</v>
      </c>
      <c r="G978" s="234" t="s">
        <v>18725</v>
      </c>
      <c r="H978" s="234">
        <v>2024.0</v>
      </c>
      <c r="I978" s="234" t="s">
        <v>18725</v>
      </c>
      <c r="J978" s="234" t="s">
        <v>12385</v>
      </c>
      <c r="K978" s="236" t="s">
        <v>18725</v>
      </c>
      <c r="L978" s="236" t="s">
        <v>22048</v>
      </c>
      <c r="M978" s="236">
        <v>0.19</v>
      </c>
      <c r="N978" s="234" t="s">
        <v>18656</v>
      </c>
      <c r="O978" s="237" t="s">
        <v>18675</v>
      </c>
      <c r="P978" s="234" t="s">
        <v>18725</v>
      </c>
      <c r="Q978" s="234" t="s">
        <v>18732</v>
      </c>
      <c r="R978" s="238" t="s">
        <v>22049</v>
      </c>
      <c r="S978" s="238" t="s">
        <v>22050</v>
      </c>
      <c r="T978" s="238" t="s">
        <v>18725</v>
      </c>
      <c r="U978" s="238" t="s">
        <v>18725</v>
      </c>
      <c r="V978" s="238" t="s">
        <v>18725</v>
      </c>
      <c r="W978" s="238" t="s">
        <v>18725</v>
      </c>
      <c r="X978" s="238" t="s">
        <v>18725</v>
      </c>
      <c r="Y978" s="239" t="str">
        <f>IF('CCUS Projects Database'!$R978&lt;&gt;"",HYPERLINK('CCUS Projects Database'!$R978,"Link 1"),"")</f>
        <v>Link 1</v>
      </c>
      <c r="Z978" s="239" t="str">
        <f>IF('CCUS Projects Database'!$S978&lt;&gt;"",HYPERLINK('CCUS Projects Database'!$S978,"Link 2"),"")</f>
        <v>Link 2</v>
      </c>
      <c r="AA978" s="239" t="str">
        <f>IF('CCUS Projects Database'!$T978&lt;&gt;"",HYPERLINK('CCUS Projects Database'!$T978,"Link 3"),"")</f>
        <v/>
      </c>
      <c r="AB978" s="239" t="str">
        <f>IF('CCUS Projects Database'!$U978&lt;&gt;"",HYPERLINK('CCUS Projects Database'!$U978,"Link 4"),"")</f>
        <v/>
      </c>
      <c r="AC978" s="239" t="str">
        <f>IF('CCUS Projects Database'!$V978&lt;&gt;"",HYPERLINK('CCUS Projects Database'!$V978,"Link 5"),"")</f>
        <v/>
      </c>
      <c r="AD978" s="239" t="str">
        <f>IF('CCUS Projects Database'!$W978&lt;&gt;"",HYPERLINK('CCUS Projects Database'!$W978,"Link 6"),"")</f>
        <v/>
      </c>
      <c r="AE978" s="239" t="str">
        <f>IF('CCUS Projects Database'!$X978&lt;&gt;"",HYPERLINK('CCUS Projects Database'!$X978,"Link 7"),"")</f>
        <v/>
      </c>
    </row>
    <row r="979" ht="14.25" customHeight="1">
      <c r="A979" s="233" t="s">
        <v>22051</v>
      </c>
      <c r="B979" s="234">
        <v>1312.0</v>
      </c>
      <c r="C979" s="234" t="s">
        <v>18586</v>
      </c>
      <c r="D979" s="235" t="s">
        <v>22052</v>
      </c>
      <c r="E979" s="234" t="s">
        <v>18618</v>
      </c>
      <c r="F979" s="234" t="s">
        <v>18725</v>
      </c>
      <c r="G979" s="234">
        <v>2022.0</v>
      </c>
      <c r="H979" s="234">
        <v>2025.0</v>
      </c>
      <c r="I979" s="234" t="s">
        <v>18725</v>
      </c>
      <c r="J979" s="234" t="s">
        <v>18638</v>
      </c>
      <c r="K979" s="236" t="s">
        <v>18725</v>
      </c>
      <c r="L979" s="236">
        <v>1.2</v>
      </c>
      <c r="M979" s="236">
        <v>1.2</v>
      </c>
      <c r="N979" s="234" t="s">
        <v>18656</v>
      </c>
      <c r="O979" s="237" t="s">
        <v>18675</v>
      </c>
      <c r="P979" s="234" t="s">
        <v>18725</v>
      </c>
      <c r="Q979" s="234" t="s">
        <v>18732</v>
      </c>
      <c r="R979" s="238" t="s">
        <v>20805</v>
      </c>
      <c r="S979" s="238" t="s">
        <v>22053</v>
      </c>
      <c r="T979" s="238" t="s">
        <v>22054</v>
      </c>
      <c r="U979" s="238" t="s">
        <v>18725</v>
      </c>
      <c r="V979" s="238" t="s">
        <v>18725</v>
      </c>
      <c r="W979" s="238" t="s">
        <v>18725</v>
      </c>
      <c r="X979" s="238" t="s">
        <v>18725</v>
      </c>
      <c r="Y979" s="239" t="str">
        <f>IF('CCUS Projects Database'!$R979&lt;&gt;"",HYPERLINK('CCUS Projects Database'!$R979,"Link 1"),"")</f>
        <v>Link 1</v>
      </c>
      <c r="Z979" s="239" t="str">
        <f>IF('CCUS Projects Database'!$S979&lt;&gt;"",HYPERLINK('CCUS Projects Database'!$S979,"Link 2"),"")</f>
        <v>Link 2</v>
      </c>
      <c r="AA979" s="239" t="str">
        <f>IF('CCUS Projects Database'!$T979&lt;&gt;"",HYPERLINK('CCUS Projects Database'!$T979,"Link 3"),"")</f>
        <v>Link 3</v>
      </c>
      <c r="AB979" s="239" t="str">
        <f>IF('CCUS Projects Database'!$U979&lt;&gt;"",HYPERLINK('CCUS Projects Database'!$U979,"Link 4"),"")</f>
        <v/>
      </c>
      <c r="AC979" s="239" t="str">
        <f>IF('CCUS Projects Database'!$V979&lt;&gt;"",HYPERLINK('CCUS Projects Database'!$V979,"Link 5"),"")</f>
        <v/>
      </c>
      <c r="AD979" s="239" t="str">
        <f>IF('CCUS Projects Database'!$W979&lt;&gt;"",HYPERLINK('CCUS Projects Database'!$W979,"Link 6"),"")</f>
        <v/>
      </c>
      <c r="AE979" s="239" t="str">
        <f>IF('CCUS Projects Database'!$X979&lt;&gt;"",HYPERLINK('CCUS Projects Database'!$X979,"Link 7"),"")</f>
        <v/>
      </c>
    </row>
    <row r="980" ht="14.25" customHeight="1">
      <c r="A980" s="233" t="s">
        <v>22055</v>
      </c>
      <c r="B980" s="234">
        <v>1313.0</v>
      </c>
      <c r="C980" s="234" t="s">
        <v>18360</v>
      </c>
      <c r="D980" s="235" t="s">
        <v>22056</v>
      </c>
      <c r="E980" s="234" t="s">
        <v>18616</v>
      </c>
      <c r="F980" s="234" t="s">
        <v>18725</v>
      </c>
      <c r="G980" s="234">
        <v>2023.0</v>
      </c>
      <c r="H980" s="234">
        <v>2026.0</v>
      </c>
      <c r="I980" s="234" t="s">
        <v>18725</v>
      </c>
      <c r="J980" s="234" t="s">
        <v>18638</v>
      </c>
      <c r="K980" s="236">
        <v>1.0</v>
      </c>
      <c r="L980" s="236">
        <v>0.4</v>
      </c>
      <c r="M980" s="236">
        <v>0.4</v>
      </c>
      <c r="N980" s="234" t="s">
        <v>18661</v>
      </c>
      <c r="O980" s="237" t="s">
        <v>18675</v>
      </c>
      <c r="P980" s="238" t="s">
        <v>20167</v>
      </c>
      <c r="Q980" s="234" t="s">
        <v>18856</v>
      </c>
      <c r="R980" s="238" t="s">
        <v>22057</v>
      </c>
      <c r="S980" s="238" t="s">
        <v>18725</v>
      </c>
      <c r="T980" s="238" t="s">
        <v>18725</v>
      </c>
      <c r="U980" s="238" t="s">
        <v>18725</v>
      </c>
      <c r="V980" s="238" t="s">
        <v>18725</v>
      </c>
      <c r="W980" s="238" t="s">
        <v>18725</v>
      </c>
      <c r="X980" s="238" t="s">
        <v>18725</v>
      </c>
      <c r="Y980" s="239" t="str">
        <f>IF('CCUS Projects Database'!$R980&lt;&gt;"",HYPERLINK('CCUS Projects Database'!$R980,"Link 1"),"")</f>
        <v>Link 1</v>
      </c>
      <c r="Z980" s="239" t="str">
        <f>IF('CCUS Projects Database'!$S980&lt;&gt;"",HYPERLINK('CCUS Projects Database'!$S980,"Link 2"),"")</f>
        <v/>
      </c>
      <c r="AA980" s="239" t="str">
        <f>IF('CCUS Projects Database'!$T980&lt;&gt;"",HYPERLINK('CCUS Projects Database'!$T980,"Link 3"),"")</f>
        <v/>
      </c>
      <c r="AB980" s="239" t="str">
        <f>IF('CCUS Projects Database'!$U980&lt;&gt;"",HYPERLINK('CCUS Projects Database'!$U980,"Link 4"),"")</f>
        <v/>
      </c>
      <c r="AC980" s="239" t="str">
        <f>IF('CCUS Projects Database'!$V980&lt;&gt;"",HYPERLINK('CCUS Projects Database'!$V980,"Link 5"),"")</f>
        <v/>
      </c>
      <c r="AD980" s="239" t="str">
        <f>IF('CCUS Projects Database'!$W980&lt;&gt;"",HYPERLINK('CCUS Projects Database'!$W980,"Link 6"),"")</f>
        <v/>
      </c>
      <c r="AE980" s="239" t="str">
        <f>IF('CCUS Projects Database'!$X980&lt;&gt;"",HYPERLINK('CCUS Projects Database'!$X980,"Link 7"),"")</f>
        <v/>
      </c>
    </row>
    <row r="981" ht="14.25" customHeight="1">
      <c r="A981" s="233" t="s">
        <v>22058</v>
      </c>
      <c r="B981" s="234">
        <v>1314.0</v>
      </c>
      <c r="C981" s="234" t="s">
        <v>18360</v>
      </c>
      <c r="D981" s="235" t="s">
        <v>22056</v>
      </c>
      <c r="E981" s="234" t="s">
        <v>18616</v>
      </c>
      <c r="F981" s="234">
        <v>2023.0</v>
      </c>
      <c r="G981" s="234" t="s">
        <v>18725</v>
      </c>
      <c r="H981" s="234">
        <v>2029.0</v>
      </c>
      <c r="I981" s="234" t="s">
        <v>18725</v>
      </c>
      <c r="J981" s="234" t="s">
        <v>18636</v>
      </c>
      <c r="K981" s="236">
        <v>2.0</v>
      </c>
      <c r="L981" s="236">
        <v>0.6</v>
      </c>
      <c r="M981" s="236">
        <v>0.6</v>
      </c>
      <c r="N981" s="234" t="s">
        <v>18661</v>
      </c>
      <c r="O981" s="237" t="s">
        <v>18675</v>
      </c>
      <c r="P981" s="234" t="s">
        <v>18725</v>
      </c>
      <c r="Q981" s="234" t="s">
        <v>18856</v>
      </c>
      <c r="R981" s="238" t="s">
        <v>22057</v>
      </c>
      <c r="S981" s="238" t="s">
        <v>18725</v>
      </c>
      <c r="T981" s="238" t="s">
        <v>18725</v>
      </c>
      <c r="U981" s="238" t="s">
        <v>18725</v>
      </c>
      <c r="V981" s="238" t="s">
        <v>18725</v>
      </c>
      <c r="W981" s="238" t="s">
        <v>18725</v>
      </c>
      <c r="X981" s="238" t="s">
        <v>18725</v>
      </c>
      <c r="Y981" s="239" t="str">
        <f>IF('CCUS Projects Database'!$R981&lt;&gt;"",HYPERLINK('CCUS Projects Database'!$R981,"Link 1"),"")</f>
        <v>Link 1</v>
      </c>
      <c r="Z981" s="239" t="str">
        <f>IF('CCUS Projects Database'!$S981&lt;&gt;"",HYPERLINK('CCUS Projects Database'!$S981,"Link 2"),"")</f>
        <v/>
      </c>
      <c r="AA981" s="239" t="str">
        <f>IF('CCUS Projects Database'!$T981&lt;&gt;"",HYPERLINK('CCUS Projects Database'!$T981,"Link 3"),"")</f>
        <v/>
      </c>
      <c r="AB981" s="239" t="str">
        <f>IF('CCUS Projects Database'!$U981&lt;&gt;"",HYPERLINK('CCUS Projects Database'!$U981,"Link 4"),"")</f>
        <v/>
      </c>
      <c r="AC981" s="239" t="str">
        <f>IF('CCUS Projects Database'!$V981&lt;&gt;"",HYPERLINK('CCUS Projects Database'!$V981,"Link 5"),"")</f>
        <v/>
      </c>
      <c r="AD981" s="239" t="str">
        <f>IF('CCUS Projects Database'!$W981&lt;&gt;"",HYPERLINK('CCUS Projects Database'!$W981,"Link 6"),"")</f>
        <v/>
      </c>
      <c r="AE981" s="239" t="str">
        <f>IF('CCUS Projects Database'!$X981&lt;&gt;"",HYPERLINK('CCUS Projects Database'!$X981,"Link 7"),"")</f>
        <v/>
      </c>
    </row>
    <row r="982" ht="14.25" customHeight="1">
      <c r="A982" s="233" t="s">
        <v>22059</v>
      </c>
      <c r="B982" s="234">
        <v>1315.0</v>
      </c>
      <c r="C982" s="234" t="s">
        <v>18360</v>
      </c>
      <c r="D982" s="235" t="s">
        <v>22056</v>
      </c>
      <c r="E982" s="234" t="s">
        <v>18616</v>
      </c>
      <c r="F982" s="234">
        <v>2023.0</v>
      </c>
      <c r="G982" s="234" t="s">
        <v>18725</v>
      </c>
      <c r="H982" s="234">
        <v>2033.0</v>
      </c>
      <c r="I982" s="234" t="s">
        <v>18725</v>
      </c>
      <c r="J982" s="234" t="s">
        <v>18636</v>
      </c>
      <c r="K982" s="236">
        <v>3.0</v>
      </c>
      <c r="L982" s="236">
        <v>3.0</v>
      </c>
      <c r="M982" s="236">
        <v>3.0</v>
      </c>
      <c r="N982" s="234" t="s">
        <v>18661</v>
      </c>
      <c r="O982" s="237" t="s">
        <v>18675</v>
      </c>
      <c r="P982" s="234" t="s">
        <v>18725</v>
      </c>
      <c r="Q982" s="234" t="s">
        <v>18856</v>
      </c>
      <c r="R982" s="238" t="s">
        <v>22057</v>
      </c>
      <c r="S982" s="238" t="s">
        <v>18725</v>
      </c>
      <c r="T982" s="238" t="s">
        <v>18725</v>
      </c>
      <c r="U982" s="238" t="s">
        <v>18725</v>
      </c>
      <c r="V982" s="238" t="s">
        <v>18725</v>
      </c>
      <c r="W982" s="238" t="s">
        <v>18725</v>
      </c>
      <c r="X982" s="238" t="s">
        <v>18725</v>
      </c>
      <c r="Y982" s="239" t="str">
        <f>IF('CCUS Projects Database'!$R982&lt;&gt;"",HYPERLINK('CCUS Projects Database'!$R982,"Link 1"),"")</f>
        <v>Link 1</v>
      </c>
      <c r="Z982" s="239" t="str">
        <f>IF('CCUS Projects Database'!$S982&lt;&gt;"",HYPERLINK('CCUS Projects Database'!$S982,"Link 2"),"")</f>
        <v/>
      </c>
      <c r="AA982" s="239" t="str">
        <f>IF('CCUS Projects Database'!$T982&lt;&gt;"",HYPERLINK('CCUS Projects Database'!$T982,"Link 3"),"")</f>
        <v/>
      </c>
      <c r="AB982" s="239" t="str">
        <f>IF('CCUS Projects Database'!$U982&lt;&gt;"",HYPERLINK('CCUS Projects Database'!$U982,"Link 4"),"")</f>
        <v/>
      </c>
      <c r="AC982" s="239" t="str">
        <f>IF('CCUS Projects Database'!$V982&lt;&gt;"",HYPERLINK('CCUS Projects Database'!$V982,"Link 5"),"")</f>
        <v/>
      </c>
      <c r="AD982" s="239" t="str">
        <f>IF('CCUS Projects Database'!$W982&lt;&gt;"",HYPERLINK('CCUS Projects Database'!$W982,"Link 6"),"")</f>
        <v/>
      </c>
      <c r="AE982" s="239" t="str">
        <f>IF('CCUS Projects Database'!$X982&lt;&gt;"",HYPERLINK('CCUS Projects Database'!$X982,"Link 7"),"")</f>
        <v/>
      </c>
    </row>
    <row r="983" ht="14.25" customHeight="1">
      <c r="A983" s="233" t="s">
        <v>9082</v>
      </c>
      <c r="B983" s="234">
        <v>1317.0</v>
      </c>
      <c r="C983" s="234" t="s">
        <v>173</v>
      </c>
      <c r="D983" s="235" t="s">
        <v>22060</v>
      </c>
      <c r="E983" s="234" t="s">
        <v>18618</v>
      </c>
      <c r="F983" s="234" t="s">
        <v>18725</v>
      </c>
      <c r="G983" s="234" t="s">
        <v>18725</v>
      </c>
      <c r="H983" s="234" t="s">
        <v>18725</v>
      </c>
      <c r="I983" s="234" t="s">
        <v>18725</v>
      </c>
      <c r="J983" s="234" t="s">
        <v>18636</v>
      </c>
      <c r="K983" s="236" t="s">
        <v>18725</v>
      </c>
      <c r="L983" s="236" t="s">
        <v>18725</v>
      </c>
      <c r="M983" s="236" t="s">
        <v>18725</v>
      </c>
      <c r="N983" s="234" t="s">
        <v>18731</v>
      </c>
      <c r="O983" s="237" t="s">
        <v>18683</v>
      </c>
      <c r="P983" s="234" t="s">
        <v>18725</v>
      </c>
      <c r="Q983" s="234" t="s">
        <v>18726</v>
      </c>
      <c r="R983" s="238" t="s">
        <v>22061</v>
      </c>
      <c r="S983" s="238" t="s">
        <v>22062</v>
      </c>
      <c r="T983" s="238" t="s">
        <v>18725</v>
      </c>
      <c r="U983" s="238" t="s">
        <v>18725</v>
      </c>
      <c r="V983" s="238" t="s">
        <v>18725</v>
      </c>
      <c r="W983" s="238" t="s">
        <v>18725</v>
      </c>
      <c r="X983" s="238" t="s">
        <v>18725</v>
      </c>
      <c r="Y983" s="239" t="str">
        <f>IF('CCUS Projects Database'!$R983&lt;&gt;"",HYPERLINK('CCUS Projects Database'!$R983,"Link 1"),"")</f>
        <v>Link 1</v>
      </c>
      <c r="Z983" s="239" t="str">
        <f>IF('CCUS Projects Database'!$S983&lt;&gt;"",HYPERLINK('CCUS Projects Database'!$S983,"Link 2"),"")</f>
        <v>Link 2</v>
      </c>
      <c r="AA983" s="239" t="str">
        <f>IF('CCUS Projects Database'!$T983&lt;&gt;"",HYPERLINK('CCUS Projects Database'!$T983,"Link 3"),"")</f>
        <v/>
      </c>
      <c r="AB983" s="239" t="str">
        <f>IF('CCUS Projects Database'!$U983&lt;&gt;"",HYPERLINK('CCUS Projects Database'!$U983,"Link 4"),"")</f>
        <v/>
      </c>
      <c r="AC983" s="239" t="str">
        <f>IF('CCUS Projects Database'!$V983&lt;&gt;"",HYPERLINK('CCUS Projects Database'!$V983,"Link 5"),"")</f>
        <v/>
      </c>
      <c r="AD983" s="239" t="str">
        <f>IF('CCUS Projects Database'!$W983&lt;&gt;"",HYPERLINK('CCUS Projects Database'!$W983,"Link 6"),"")</f>
        <v/>
      </c>
      <c r="AE983" s="239" t="str">
        <f>IF('CCUS Projects Database'!$X983&lt;&gt;"",HYPERLINK('CCUS Projects Database'!$X983,"Link 7"),"")</f>
        <v/>
      </c>
    </row>
    <row r="984" ht="14.25" customHeight="1">
      <c r="A984" s="233" t="s">
        <v>9120</v>
      </c>
      <c r="B984" s="234">
        <v>1320.0</v>
      </c>
      <c r="C984" s="234" t="s">
        <v>57</v>
      </c>
      <c r="D984" s="235" t="s">
        <v>22060</v>
      </c>
      <c r="E984" s="234" t="s">
        <v>18618</v>
      </c>
      <c r="F984" s="234" t="s">
        <v>18725</v>
      </c>
      <c r="G984" s="234" t="s">
        <v>18725</v>
      </c>
      <c r="H984" s="234" t="s">
        <v>18725</v>
      </c>
      <c r="I984" s="234" t="s">
        <v>18725</v>
      </c>
      <c r="J984" s="234" t="s">
        <v>18636</v>
      </c>
      <c r="K984" s="236" t="s">
        <v>18725</v>
      </c>
      <c r="L984" s="236" t="s">
        <v>18725</v>
      </c>
      <c r="M984" s="236" t="s">
        <v>18725</v>
      </c>
      <c r="N984" s="234" t="s">
        <v>18731</v>
      </c>
      <c r="O984" s="237" t="s">
        <v>18683</v>
      </c>
      <c r="P984" s="234" t="s">
        <v>18725</v>
      </c>
      <c r="Q984" s="234" t="s">
        <v>18726</v>
      </c>
      <c r="R984" s="238" t="s">
        <v>22061</v>
      </c>
      <c r="S984" s="238" t="s">
        <v>22062</v>
      </c>
      <c r="T984" s="238" t="s">
        <v>18725</v>
      </c>
      <c r="U984" s="238" t="s">
        <v>18725</v>
      </c>
      <c r="V984" s="238" t="s">
        <v>18725</v>
      </c>
      <c r="W984" s="238" t="s">
        <v>18725</v>
      </c>
      <c r="X984" s="238" t="s">
        <v>18725</v>
      </c>
      <c r="Y984" s="239" t="str">
        <f>IF('CCUS Projects Database'!$R984&lt;&gt;"",HYPERLINK('CCUS Projects Database'!$R984,"Link 1"),"")</f>
        <v>Link 1</v>
      </c>
      <c r="Z984" s="239" t="str">
        <f>IF('CCUS Projects Database'!$S984&lt;&gt;"",HYPERLINK('CCUS Projects Database'!$S984,"Link 2"),"")</f>
        <v>Link 2</v>
      </c>
      <c r="AA984" s="239" t="str">
        <f>IF('CCUS Projects Database'!$T984&lt;&gt;"",HYPERLINK('CCUS Projects Database'!$T984,"Link 3"),"")</f>
        <v/>
      </c>
      <c r="AB984" s="239" t="str">
        <f>IF('CCUS Projects Database'!$U984&lt;&gt;"",HYPERLINK('CCUS Projects Database'!$U984,"Link 4"),"")</f>
        <v/>
      </c>
      <c r="AC984" s="239" t="str">
        <f>IF('CCUS Projects Database'!$V984&lt;&gt;"",HYPERLINK('CCUS Projects Database'!$V984,"Link 5"),"")</f>
        <v/>
      </c>
      <c r="AD984" s="239" t="str">
        <f>IF('CCUS Projects Database'!$W984&lt;&gt;"",HYPERLINK('CCUS Projects Database'!$W984,"Link 6"),"")</f>
        <v/>
      </c>
      <c r="AE984" s="239" t="str">
        <f>IF('CCUS Projects Database'!$X984&lt;&gt;"",HYPERLINK('CCUS Projects Database'!$X984,"Link 7"),"")</f>
        <v/>
      </c>
    </row>
    <row r="985" ht="14.25" customHeight="1">
      <c r="A985" s="233" t="s">
        <v>9149</v>
      </c>
      <c r="B985" s="234">
        <v>1324.0</v>
      </c>
      <c r="C985" s="234" t="s">
        <v>18460</v>
      </c>
      <c r="D985" s="235" t="s">
        <v>22060</v>
      </c>
      <c r="E985" s="234" t="s">
        <v>18618</v>
      </c>
      <c r="F985" s="234" t="s">
        <v>18725</v>
      </c>
      <c r="G985" s="234" t="s">
        <v>18725</v>
      </c>
      <c r="H985" s="234" t="s">
        <v>18725</v>
      </c>
      <c r="I985" s="234" t="s">
        <v>18725</v>
      </c>
      <c r="J985" s="234" t="s">
        <v>18636</v>
      </c>
      <c r="K985" s="236" t="s">
        <v>18725</v>
      </c>
      <c r="L985" s="236" t="s">
        <v>18725</v>
      </c>
      <c r="M985" s="236" t="s">
        <v>18725</v>
      </c>
      <c r="N985" s="234" t="s">
        <v>18731</v>
      </c>
      <c r="O985" s="237" t="s">
        <v>18683</v>
      </c>
      <c r="P985" s="234" t="s">
        <v>18725</v>
      </c>
      <c r="Q985" s="234" t="s">
        <v>18726</v>
      </c>
      <c r="R985" s="238" t="s">
        <v>22061</v>
      </c>
      <c r="S985" s="238" t="s">
        <v>22062</v>
      </c>
      <c r="T985" s="238" t="s">
        <v>18725</v>
      </c>
      <c r="U985" s="238" t="s">
        <v>18725</v>
      </c>
      <c r="V985" s="238" t="s">
        <v>18725</v>
      </c>
      <c r="W985" s="238" t="s">
        <v>18725</v>
      </c>
      <c r="X985" s="238" t="s">
        <v>18725</v>
      </c>
      <c r="Y985" s="239" t="str">
        <f>IF('CCUS Projects Database'!$R985&lt;&gt;"",HYPERLINK('CCUS Projects Database'!$R985,"Link 1"),"")</f>
        <v>Link 1</v>
      </c>
      <c r="Z985" s="239" t="str">
        <f>IF('CCUS Projects Database'!$S985&lt;&gt;"",HYPERLINK('CCUS Projects Database'!$S985,"Link 2"),"")</f>
        <v>Link 2</v>
      </c>
      <c r="AA985" s="239" t="str">
        <f>IF('CCUS Projects Database'!$T985&lt;&gt;"",HYPERLINK('CCUS Projects Database'!$T985,"Link 3"),"")</f>
        <v/>
      </c>
      <c r="AB985" s="239" t="str">
        <f>IF('CCUS Projects Database'!$U985&lt;&gt;"",HYPERLINK('CCUS Projects Database'!$U985,"Link 4"),"")</f>
        <v/>
      </c>
      <c r="AC985" s="239" t="str">
        <f>IF('CCUS Projects Database'!$V985&lt;&gt;"",HYPERLINK('CCUS Projects Database'!$V985,"Link 5"),"")</f>
        <v/>
      </c>
      <c r="AD985" s="239" t="str">
        <f>IF('CCUS Projects Database'!$W985&lt;&gt;"",HYPERLINK('CCUS Projects Database'!$W985,"Link 6"),"")</f>
        <v/>
      </c>
      <c r="AE985" s="239" t="str">
        <f>IF('CCUS Projects Database'!$X985&lt;&gt;"",HYPERLINK('CCUS Projects Database'!$X985,"Link 7"),"")</f>
        <v/>
      </c>
    </row>
    <row r="986" ht="14.25" customHeight="1">
      <c r="A986" s="233" t="s">
        <v>22063</v>
      </c>
      <c r="B986" s="234">
        <v>1325.0</v>
      </c>
      <c r="C986" s="234" t="s">
        <v>18947</v>
      </c>
      <c r="D986" s="235" t="s">
        <v>22064</v>
      </c>
      <c r="E986" s="234" t="s">
        <v>18618</v>
      </c>
      <c r="F986" s="234" t="s">
        <v>18725</v>
      </c>
      <c r="G986" s="234" t="s">
        <v>18725</v>
      </c>
      <c r="H986" s="234">
        <v>2030.0</v>
      </c>
      <c r="I986" s="234" t="s">
        <v>18725</v>
      </c>
      <c r="J986" s="234" t="s">
        <v>18636</v>
      </c>
      <c r="K986" s="236" t="s">
        <v>18725</v>
      </c>
      <c r="L986" s="236">
        <v>0.43</v>
      </c>
      <c r="M986" s="236">
        <v>0.43</v>
      </c>
      <c r="N986" s="234" t="s">
        <v>18731</v>
      </c>
      <c r="O986" s="237" t="s">
        <v>18675</v>
      </c>
      <c r="P986" s="234" t="s">
        <v>18725</v>
      </c>
      <c r="Q986" s="234" t="s">
        <v>18856</v>
      </c>
      <c r="R986" s="238" t="s">
        <v>22065</v>
      </c>
      <c r="S986" s="238" t="s">
        <v>22066</v>
      </c>
      <c r="T986" s="238" t="s">
        <v>22067</v>
      </c>
      <c r="U986" s="238" t="s">
        <v>22068</v>
      </c>
      <c r="V986" s="238" t="s">
        <v>18725</v>
      </c>
      <c r="W986" s="238" t="s">
        <v>18725</v>
      </c>
      <c r="X986" s="238" t="s">
        <v>18725</v>
      </c>
      <c r="Y986" s="239" t="str">
        <f>IF('CCUS Projects Database'!$R986&lt;&gt;"",HYPERLINK('CCUS Projects Database'!$R986,"Link 1"),"")</f>
        <v>Link 1</v>
      </c>
      <c r="Z986" s="239" t="str">
        <f>IF('CCUS Projects Database'!$S986&lt;&gt;"",HYPERLINK('CCUS Projects Database'!$S986,"Link 2"),"")</f>
        <v>Link 2</v>
      </c>
      <c r="AA986" s="239" t="str">
        <f>IF('CCUS Projects Database'!$T986&lt;&gt;"",HYPERLINK('CCUS Projects Database'!$T986,"Link 3"),"")</f>
        <v>Link 3</v>
      </c>
      <c r="AB986" s="239" t="str">
        <f>IF('CCUS Projects Database'!$U986&lt;&gt;"",HYPERLINK('CCUS Projects Database'!$U986,"Link 4"),"")</f>
        <v>Link 4</v>
      </c>
      <c r="AC986" s="239" t="str">
        <f>IF('CCUS Projects Database'!$V986&lt;&gt;"",HYPERLINK('CCUS Projects Database'!$V986,"Link 5"),"")</f>
        <v/>
      </c>
      <c r="AD986" s="239" t="str">
        <f>IF('CCUS Projects Database'!$W986&lt;&gt;"",HYPERLINK('CCUS Projects Database'!$W986,"Link 6"),"")</f>
        <v/>
      </c>
      <c r="AE986" s="239" t="str">
        <f>IF('CCUS Projects Database'!$X986&lt;&gt;"",HYPERLINK('CCUS Projects Database'!$X986,"Link 7"),"")</f>
        <v/>
      </c>
    </row>
    <row r="987" ht="14.25" customHeight="1">
      <c r="A987" s="233" t="s">
        <v>8883</v>
      </c>
      <c r="B987" s="234">
        <v>1326.0</v>
      </c>
      <c r="C987" s="234" t="s">
        <v>18947</v>
      </c>
      <c r="D987" s="235" t="s">
        <v>22069</v>
      </c>
      <c r="E987" s="234" t="s">
        <v>18618</v>
      </c>
      <c r="F987" s="234" t="s">
        <v>18725</v>
      </c>
      <c r="G987" s="234" t="s">
        <v>18725</v>
      </c>
      <c r="H987" s="234">
        <v>2026.0</v>
      </c>
      <c r="I987" s="234" t="s">
        <v>18725</v>
      </c>
      <c r="J987" s="234" t="s">
        <v>18636</v>
      </c>
      <c r="K987" s="236" t="s">
        <v>18725</v>
      </c>
      <c r="L987" s="236">
        <v>0.4</v>
      </c>
      <c r="M987" s="236">
        <v>0.4</v>
      </c>
      <c r="N987" s="234" t="s">
        <v>18731</v>
      </c>
      <c r="O987" s="237" t="s">
        <v>18675</v>
      </c>
      <c r="P987" s="234" t="s">
        <v>18725</v>
      </c>
      <c r="Q987" s="234" t="s">
        <v>18856</v>
      </c>
      <c r="R987" s="238" t="s">
        <v>22070</v>
      </c>
      <c r="S987" s="238" t="s">
        <v>18725</v>
      </c>
      <c r="T987" s="238" t="s">
        <v>18725</v>
      </c>
      <c r="U987" s="238" t="s">
        <v>18725</v>
      </c>
      <c r="V987" s="238" t="s">
        <v>18725</v>
      </c>
      <c r="W987" s="238" t="s">
        <v>18725</v>
      </c>
      <c r="X987" s="238" t="s">
        <v>18725</v>
      </c>
      <c r="Y987" s="239" t="str">
        <f>IF('CCUS Projects Database'!$R987&lt;&gt;"",HYPERLINK('CCUS Projects Database'!$R987,"Link 1"),"")</f>
        <v>Link 1</v>
      </c>
      <c r="Z987" s="239" t="str">
        <f>IF('CCUS Projects Database'!$S987&lt;&gt;"",HYPERLINK('CCUS Projects Database'!$S987,"Link 2"),"")</f>
        <v/>
      </c>
      <c r="AA987" s="239" t="str">
        <f>IF('CCUS Projects Database'!$T987&lt;&gt;"",HYPERLINK('CCUS Projects Database'!$T987,"Link 3"),"")</f>
        <v/>
      </c>
      <c r="AB987" s="239" t="str">
        <f>IF('CCUS Projects Database'!$U987&lt;&gt;"",HYPERLINK('CCUS Projects Database'!$U987,"Link 4"),"")</f>
        <v/>
      </c>
      <c r="AC987" s="239" t="str">
        <f>IF('CCUS Projects Database'!$V987&lt;&gt;"",HYPERLINK('CCUS Projects Database'!$V987,"Link 5"),"")</f>
        <v/>
      </c>
      <c r="AD987" s="239" t="str">
        <f>IF('CCUS Projects Database'!$W987&lt;&gt;"",HYPERLINK('CCUS Projects Database'!$W987,"Link 6"),"")</f>
        <v/>
      </c>
      <c r="AE987" s="239" t="str">
        <f>IF('CCUS Projects Database'!$X987&lt;&gt;"",HYPERLINK('CCUS Projects Database'!$X987,"Link 7"),"")</f>
        <v/>
      </c>
    </row>
    <row r="988" ht="14.25" customHeight="1">
      <c r="A988" s="233" t="s">
        <v>9588</v>
      </c>
      <c r="B988" s="234">
        <v>1327.0</v>
      </c>
      <c r="C988" s="234" t="s">
        <v>164</v>
      </c>
      <c r="D988" s="235" t="s">
        <v>22071</v>
      </c>
      <c r="E988" s="234" t="s">
        <v>18618</v>
      </c>
      <c r="F988" s="234">
        <v>2023.0</v>
      </c>
      <c r="G988" s="234" t="s">
        <v>18725</v>
      </c>
      <c r="H988" s="234">
        <v>2028.0</v>
      </c>
      <c r="I988" s="234" t="s">
        <v>18725</v>
      </c>
      <c r="J988" s="234" t="s">
        <v>18636</v>
      </c>
      <c r="K988" s="236" t="s">
        <v>18725</v>
      </c>
      <c r="L988" s="236">
        <v>2.5</v>
      </c>
      <c r="M988" s="236">
        <v>2.5</v>
      </c>
      <c r="N988" s="234" t="s">
        <v>18731</v>
      </c>
      <c r="O988" s="237" t="s">
        <v>18675</v>
      </c>
      <c r="P988" s="234" t="s">
        <v>18725</v>
      </c>
      <c r="Q988" s="234" t="s">
        <v>18726</v>
      </c>
      <c r="R988" s="238" t="s">
        <v>17363</v>
      </c>
      <c r="S988" s="238" t="s">
        <v>18725</v>
      </c>
      <c r="T988" s="238" t="s">
        <v>18725</v>
      </c>
      <c r="U988" s="238" t="s">
        <v>18725</v>
      </c>
      <c r="V988" s="238" t="s">
        <v>18725</v>
      </c>
      <c r="W988" s="238" t="s">
        <v>18725</v>
      </c>
      <c r="X988" s="238" t="s">
        <v>18725</v>
      </c>
      <c r="Y988" s="239" t="str">
        <f>IF('CCUS Projects Database'!$R988&lt;&gt;"",HYPERLINK('CCUS Projects Database'!$R988,"Link 1"),"")</f>
        <v>Link 1</v>
      </c>
      <c r="Z988" s="239" t="str">
        <f>IF('CCUS Projects Database'!$S988&lt;&gt;"",HYPERLINK('CCUS Projects Database'!$S988,"Link 2"),"")</f>
        <v/>
      </c>
      <c r="AA988" s="239" t="str">
        <f>IF('CCUS Projects Database'!$T988&lt;&gt;"",HYPERLINK('CCUS Projects Database'!$T988,"Link 3"),"")</f>
        <v/>
      </c>
      <c r="AB988" s="239" t="str">
        <f>IF('CCUS Projects Database'!$U988&lt;&gt;"",HYPERLINK('CCUS Projects Database'!$U988,"Link 4"),"")</f>
        <v/>
      </c>
      <c r="AC988" s="239" t="str">
        <f>IF('CCUS Projects Database'!$V988&lt;&gt;"",HYPERLINK('CCUS Projects Database'!$V988,"Link 5"),"")</f>
        <v/>
      </c>
      <c r="AD988" s="239" t="str">
        <f>IF('CCUS Projects Database'!$W988&lt;&gt;"",HYPERLINK('CCUS Projects Database'!$W988,"Link 6"),"")</f>
        <v/>
      </c>
      <c r="AE988" s="239" t="str">
        <f>IF('CCUS Projects Database'!$X988&lt;&gt;"",HYPERLINK('CCUS Projects Database'!$X988,"Link 7"),"")</f>
        <v/>
      </c>
    </row>
    <row r="989" ht="14.25" customHeight="1">
      <c r="A989" s="233" t="s">
        <v>9611</v>
      </c>
      <c r="B989" s="234">
        <v>1328.0</v>
      </c>
      <c r="C989" s="234" t="s">
        <v>51</v>
      </c>
      <c r="D989" s="235" t="s">
        <v>22072</v>
      </c>
      <c r="E989" s="234" t="s">
        <v>18618</v>
      </c>
      <c r="F989" s="234">
        <v>2024.0</v>
      </c>
      <c r="G989" s="234" t="s">
        <v>18725</v>
      </c>
      <c r="H989" s="234" t="s">
        <v>18725</v>
      </c>
      <c r="I989" s="234" t="s">
        <v>18725</v>
      </c>
      <c r="J989" s="234" t="s">
        <v>18636</v>
      </c>
      <c r="K989" s="236" t="s">
        <v>18725</v>
      </c>
      <c r="L989" s="236">
        <v>0.175</v>
      </c>
      <c r="M989" s="236">
        <v>0.175</v>
      </c>
      <c r="N989" s="234" t="s">
        <v>18731</v>
      </c>
      <c r="O989" s="237" t="s">
        <v>18683</v>
      </c>
      <c r="P989" s="234" t="s">
        <v>18725</v>
      </c>
      <c r="Q989" s="234" t="s">
        <v>18726</v>
      </c>
      <c r="R989" s="238" t="s">
        <v>22073</v>
      </c>
      <c r="S989" s="238" t="s">
        <v>22074</v>
      </c>
      <c r="T989" s="238" t="s">
        <v>22075</v>
      </c>
      <c r="U989" s="238" t="s">
        <v>18725</v>
      </c>
      <c r="V989" s="238" t="s">
        <v>18725</v>
      </c>
      <c r="W989" s="238" t="s">
        <v>18725</v>
      </c>
      <c r="X989" s="238" t="s">
        <v>18725</v>
      </c>
      <c r="Y989" s="239" t="str">
        <f>IF('CCUS Projects Database'!$R989&lt;&gt;"",HYPERLINK('CCUS Projects Database'!$R989,"Link 1"),"")</f>
        <v>Link 1</v>
      </c>
      <c r="Z989" s="239" t="str">
        <f>IF('CCUS Projects Database'!$S989&lt;&gt;"",HYPERLINK('CCUS Projects Database'!$S989,"Link 2"),"")</f>
        <v>Link 2</v>
      </c>
      <c r="AA989" s="239" t="str">
        <f>IF('CCUS Projects Database'!$T989&lt;&gt;"",HYPERLINK('CCUS Projects Database'!$T989,"Link 3"),"")</f>
        <v>Link 3</v>
      </c>
      <c r="AB989" s="239" t="str">
        <f>IF('CCUS Projects Database'!$U989&lt;&gt;"",HYPERLINK('CCUS Projects Database'!$U989,"Link 4"),"")</f>
        <v/>
      </c>
      <c r="AC989" s="239" t="str">
        <f>IF('CCUS Projects Database'!$V989&lt;&gt;"",HYPERLINK('CCUS Projects Database'!$V989,"Link 5"),"")</f>
        <v/>
      </c>
      <c r="AD989" s="239" t="str">
        <f>IF('CCUS Projects Database'!$W989&lt;&gt;"",HYPERLINK('CCUS Projects Database'!$W989,"Link 6"),"")</f>
        <v/>
      </c>
      <c r="AE989" s="239" t="str">
        <f>IF('CCUS Projects Database'!$X989&lt;&gt;"",HYPERLINK('CCUS Projects Database'!$X989,"Link 7"),"")</f>
        <v/>
      </c>
    </row>
    <row r="990" ht="14.25" customHeight="1">
      <c r="A990" s="233" t="s">
        <v>22076</v>
      </c>
      <c r="B990" s="234">
        <v>1329.0</v>
      </c>
      <c r="C990" s="234" t="s">
        <v>18287</v>
      </c>
      <c r="D990" s="235" t="s">
        <v>22077</v>
      </c>
      <c r="E990" s="234" t="s">
        <v>18618</v>
      </c>
      <c r="F990" s="234" t="s">
        <v>18725</v>
      </c>
      <c r="G990" s="234" t="s">
        <v>18725</v>
      </c>
      <c r="H990" s="234" t="s">
        <v>18725</v>
      </c>
      <c r="I990" s="234" t="s">
        <v>18725</v>
      </c>
      <c r="J990" s="234" t="s">
        <v>18636</v>
      </c>
      <c r="K990" s="236" t="s">
        <v>18725</v>
      </c>
      <c r="L990" s="236" t="s">
        <v>18725</v>
      </c>
      <c r="M990" s="236" t="s">
        <v>18725</v>
      </c>
      <c r="N990" s="234" t="s">
        <v>677</v>
      </c>
      <c r="O990" s="237" t="s">
        <v>18675</v>
      </c>
      <c r="P990" s="234" t="s">
        <v>18725</v>
      </c>
      <c r="Q990" s="234" t="s">
        <v>18856</v>
      </c>
      <c r="R990" s="238" t="s">
        <v>17972</v>
      </c>
      <c r="S990" s="238" t="s">
        <v>18725</v>
      </c>
      <c r="T990" s="238" t="s">
        <v>18725</v>
      </c>
      <c r="U990" s="238" t="s">
        <v>18725</v>
      </c>
      <c r="V990" s="238" t="s">
        <v>18725</v>
      </c>
      <c r="W990" s="238" t="s">
        <v>18725</v>
      </c>
      <c r="X990" s="238" t="s">
        <v>18725</v>
      </c>
      <c r="Y990" s="239" t="str">
        <f>IF('CCUS Projects Database'!$R990&lt;&gt;"",HYPERLINK('CCUS Projects Database'!$R990,"Link 1"),"")</f>
        <v>Link 1</v>
      </c>
      <c r="Z990" s="239" t="str">
        <f>IF('CCUS Projects Database'!$S990&lt;&gt;"",HYPERLINK('CCUS Projects Database'!$S990,"Link 2"),"")</f>
        <v/>
      </c>
      <c r="AA990" s="239" t="str">
        <f>IF('CCUS Projects Database'!$T990&lt;&gt;"",HYPERLINK('CCUS Projects Database'!$T990,"Link 3"),"")</f>
        <v/>
      </c>
      <c r="AB990" s="239" t="str">
        <f>IF('CCUS Projects Database'!$U990&lt;&gt;"",HYPERLINK('CCUS Projects Database'!$U990,"Link 4"),"")</f>
        <v/>
      </c>
      <c r="AC990" s="239" t="str">
        <f>IF('CCUS Projects Database'!$V990&lt;&gt;"",HYPERLINK('CCUS Projects Database'!$V990,"Link 5"),"")</f>
        <v/>
      </c>
      <c r="AD990" s="239" t="str">
        <f>IF('CCUS Projects Database'!$W990&lt;&gt;"",HYPERLINK('CCUS Projects Database'!$W990,"Link 6"),"")</f>
        <v/>
      </c>
      <c r="AE990" s="239" t="str">
        <f>IF('CCUS Projects Database'!$X990&lt;&gt;"",HYPERLINK('CCUS Projects Database'!$X990,"Link 7"),"")</f>
        <v/>
      </c>
    </row>
    <row r="991" ht="14.25" customHeight="1">
      <c r="A991" s="233" t="s">
        <v>10427</v>
      </c>
      <c r="B991" s="234">
        <v>1330.0</v>
      </c>
      <c r="C991" s="234" t="s">
        <v>164</v>
      </c>
      <c r="D991" s="235" t="s">
        <v>22078</v>
      </c>
      <c r="E991" s="234" t="s">
        <v>18618</v>
      </c>
      <c r="F991" s="234">
        <v>2024.0</v>
      </c>
      <c r="G991" s="234" t="s">
        <v>18725</v>
      </c>
      <c r="H991" s="234">
        <v>2030.0</v>
      </c>
      <c r="I991" s="234" t="s">
        <v>18725</v>
      </c>
      <c r="J991" s="234" t="s">
        <v>18636</v>
      </c>
      <c r="K991" s="236" t="s">
        <v>18725</v>
      </c>
      <c r="L991" s="236" t="s">
        <v>18725</v>
      </c>
      <c r="M991" s="236">
        <v>1.837</v>
      </c>
      <c r="N991" s="234" t="s">
        <v>18731</v>
      </c>
      <c r="O991" s="237" t="s">
        <v>18675</v>
      </c>
      <c r="P991" s="234" t="s">
        <v>18725</v>
      </c>
      <c r="Q991" s="234" t="s">
        <v>18726</v>
      </c>
      <c r="R991" s="238" t="s">
        <v>22079</v>
      </c>
      <c r="S991" s="238" t="s">
        <v>22080</v>
      </c>
      <c r="T991" s="238" t="s">
        <v>18725</v>
      </c>
      <c r="U991" s="238" t="s">
        <v>18725</v>
      </c>
      <c r="V991" s="238" t="s">
        <v>18725</v>
      </c>
      <c r="W991" s="238" t="s">
        <v>18725</v>
      </c>
      <c r="X991" s="238" t="s">
        <v>18725</v>
      </c>
      <c r="Y991" s="239" t="str">
        <f>IF('CCUS Projects Database'!$R991&lt;&gt;"",HYPERLINK('CCUS Projects Database'!$R991,"Link 1"),"")</f>
        <v>Link 1</v>
      </c>
      <c r="Z991" s="239" t="str">
        <f>IF('CCUS Projects Database'!$S991&lt;&gt;"",HYPERLINK('CCUS Projects Database'!$S991,"Link 2"),"")</f>
        <v>Link 2</v>
      </c>
      <c r="AA991" s="239" t="str">
        <f>IF('CCUS Projects Database'!$T991&lt;&gt;"",HYPERLINK('CCUS Projects Database'!$T991,"Link 3"),"")</f>
        <v/>
      </c>
      <c r="AB991" s="239" t="str">
        <f>IF('CCUS Projects Database'!$U991&lt;&gt;"",HYPERLINK('CCUS Projects Database'!$U991,"Link 4"),"")</f>
        <v/>
      </c>
      <c r="AC991" s="239" t="str">
        <f>IF('CCUS Projects Database'!$V991&lt;&gt;"",HYPERLINK('CCUS Projects Database'!$V991,"Link 5"),"")</f>
        <v/>
      </c>
      <c r="AD991" s="239" t="str">
        <f>IF('CCUS Projects Database'!$W991&lt;&gt;"",HYPERLINK('CCUS Projects Database'!$W991,"Link 6"),"")</f>
        <v/>
      </c>
      <c r="AE991" s="239" t="str">
        <f>IF('CCUS Projects Database'!$X991&lt;&gt;"",HYPERLINK('CCUS Projects Database'!$X991,"Link 7"),"")</f>
        <v/>
      </c>
    </row>
    <row r="992" ht="14.25" customHeight="1">
      <c r="A992" s="233" t="s">
        <v>22081</v>
      </c>
      <c r="B992" s="234">
        <v>1331.0</v>
      </c>
      <c r="C992" s="234" t="s">
        <v>18586</v>
      </c>
      <c r="D992" s="235" t="s">
        <v>22082</v>
      </c>
      <c r="E992" s="234" t="s">
        <v>18618</v>
      </c>
      <c r="F992" s="234">
        <v>2024.0</v>
      </c>
      <c r="G992" s="234" t="s">
        <v>18725</v>
      </c>
      <c r="H992" s="234">
        <v>2031.0</v>
      </c>
      <c r="I992" s="234" t="s">
        <v>18725</v>
      </c>
      <c r="J992" s="234" t="s">
        <v>18636</v>
      </c>
      <c r="K992" s="236" t="s">
        <v>18725</v>
      </c>
      <c r="L992" s="236" t="s">
        <v>18725</v>
      </c>
      <c r="M992" s="236">
        <v>1.924</v>
      </c>
      <c r="N992" s="234" t="s">
        <v>18731</v>
      </c>
      <c r="O992" s="237" t="s">
        <v>18683</v>
      </c>
      <c r="P992" s="234" t="s">
        <v>18725</v>
      </c>
      <c r="Q992" s="234" t="s">
        <v>18732</v>
      </c>
      <c r="R992" s="238" t="s">
        <v>22083</v>
      </c>
      <c r="S992" s="238" t="s">
        <v>22084</v>
      </c>
      <c r="T992" s="238" t="s">
        <v>22085</v>
      </c>
      <c r="U992" s="238" t="s">
        <v>18725</v>
      </c>
      <c r="V992" s="238" t="s">
        <v>18725</v>
      </c>
      <c r="W992" s="238" t="s">
        <v>18725</v>
      </c>
      <c r="X992" s="238" t="s">
        <v>18725</v>
      </c>
      <c r="Y992" s="239" t="str">
        <f>IF('CCUS Projects Database'!$R992&lt;&gt;"",HYPERLINK('CCUS Projects Database'!$R992,"Link 1"),"")</f>
        <v>Link 1</v>
      </c>
      <c r="Z992" s="239" t="str">
        <f>IF('CCUS Projects Database'!$S992&lt;&gt;"",HYPERLINK('CCUS Projects Database'!$S992,"Link 2"),"")</f>
        <v>Link 2</v>
      </c>
      <c r="AA992" s="239" t="str">
        <f>IF('CCUS Projects Database'!$T992&lt;&gt;"",HYPERLINK('CCUS Projects Database'!$T992,"Link 3"),"")</f>
        <v>Link 3</v>
      </c>
      <c r="AB992" s="239" t="str">
        <f>IF('CCUS Projects Database'!$U992&lt;&gt;"",HYPERLINK('CCUS Projects Database'!$U992,"Link 4"),"")</f>
        <v/>
      </c>
      <c r="AC992" s="239" t="str">
        <f>IF('CCUS Projects Database'!$V992&lt;&gt;"",HYPERLINK('CCUS Projects Database'!$V992,"Link 5"),"")</f>
        <v/>
      </c>
      <c r="AD992" s="239" t="str">
        <f>IF('CCUS Projects Database'!$W992&lt;&gt;"",HYPERLINK('CCUS Projects Database'!$W992,"Link 6"),"")</f>
        <v/>
      </c>
      <c r="AE992" s="239" t="str">
        <f>IF('CCUS Projects Database'!$X992&lt;&gt;"",HYPERLINK('CCUS Projects Database'!$X992,"Link 7"),"")</f>
        <v/>
      </c>
    </row>
    <row r="993" ht="14.25" customHeight="1">
      <c r="A993" s="233" t="s">
        <v>22086</v>
      </c>
      <c r="B993" s="234">
        <v>1332.0</v>
      </c>
      <c r="C993" s="234" t="s">
        <v>18586</v>
      </c>
      <c r="D993" s="235" t="s">
        <v>22087</v>
      </c>
      <c r="E993" s="234" t="s">
        <v>18616</v>
      </c>
      <c r="F993" s="234">
        <v>2024.0</v>
      </c>
      <c r="G993" s="234" t="s">
        <v>18725</v>
      </c>
      <c r="H993" s="234" t="s">
        <v>18725</v>
      </c>
      <c r="I993" s="234" t="s">
        <v>18725</v>
      </c>
      <c r="J993" s="234" t="s">
        <v>18636</v>
      </c>
      <c r="K993" s="236" t="s">
        <v>18725</v>
      </c>
      <c r="L993" s="236">
        <v>1.5</v>
      </c>
      <c r="M993" s="236">
        <v>1.5</v>
      </c>
      <c r="N993" s="234" t="s">
        <v>103</v>
      </c>
      <c r="O993" s="237" t="s">
        <v>18675</v>
      </c>
      <c r="P993" s="234" t="s">
        <v>18725</v>
      </c>
      <c r="Q993" s="234" t="s">
        <v>18732</v>
      </c>
      <c r="R993" s="238" t="s">
        <v>22088</v>
      </c>
      <c r="S993" s="238" t="s">
        <v>22089</v>
      </c>
      <c r="T993" s="238" t="s">
        <v>22090</v>
      </c>
      <c r="U993" s="238" t="s">
        <v>18725</v>
      </c>
      <c r="V993" s="238" t="s">
        <v>18725</v>
      </c>
      <c r="W993" s="238" t="s">
        <v>18725</v>
      </c>
      <c r="X993" s="238" t="s">
        <v>18725</v>
      </c>
      <c r="Y993" s="239" t="str">
        <f>IF('CCUS Projects Database'!$R993&lt;&gt;"",HYPERLINK('CCUS Projects Database'!$R993,"Link 1"),"")</f>
        <v>Link 1</v>
      </c>
      <c r="Z993" s="239" t="str">
        <f>IF('CCUS Projects Database'!$S993&lt;&gt;"",HYPERLINK('CCUS Projects Database'!$S993,"Link 2"),"")</f>
        <v>Link 2</v>
      </c>
      <c r="AA993" s="239" t="str">
        <f>IF('CCUS Projects Database'!$T993&lt;&gt;"",HYPERLINK('CCUS Projects Database'!$T993,"Link 3"),"")</f>
        <v>Link 3</v>
      </c>
      <c r="AB993" s="239" t="str">
        <f>IF('CCUS Projects Database'!$U993&lt;&gt;"",HYPERLINK('CCUS Projects Database'!$U993,"Link 4"),"")</f>
        <v/>
      </c>
      <c r="AC993" s="239" t="str">
        <f>IF('CCUS Projects Database'!$V993&lt;&gt;"",HYPERLINK('CCUS Projects Database'!$V993,"Link 5"),"")</f>
        <v/>
      </c>
      <c r="AD993" s="239" t="str">
        <f>IF('CCUS Projects Database'!$W993&lt;&gt;"",HYPERLINK('CCUS Projects Database'!$W993,"Link 6"),"")</f>
        <v/>
      </c>
      <c r="AE993" s="239" t="str">
        <f>IF('CCUS Projects Database'!$X993&lt;&gt;"",HYPERLINK('CCUS Projects Database'!$X993,"Link 7"),"")</f>
        <v/>
      </c>
    </row>
    <row r="994" ht="14.25" customHeight="1">
      <c r="A994" s="233" t="s">
        <v>22091</v>
      </c>
      <c r="B994" s="234">
        <v>1334.0</v>
      </c>
      <c r="C994" s="234" t="s">
        <v>18586</v>
      </c>
      <c r="D994" s="235" t="s">
        <v>22092</v>
      </c>
      <c r="E994" s="234" t="s">
        <v>18618</v>
      </c>
      <c r="F994" s="234">
        <v>2024.0</v>
      </c>
      <c r="G994" s="234" t="s">
        <v>18725</v>
      </c>
      <c r="H994" s="234">
        <v>2030.0</v>
      </c>
      <c r="I994" s="234" t="s">
        <v>18725</v>
      </c>
      <c r="J994" s="234" t="s">
        <v>18636</v>
      </c>
      <c r="K994" s="236" t="s">
        <v>18725</v>
      </c>
      <c r="L994" s="236">
        <v>0.05</v>
      </c>
      <c r="M994" s="236">
        <v>0.05</v>
      </c>
      <c r="N994" s="234" t="s">
        <v>18218</v>
      </c>
      <c r="O994" s="237" t="s">
        <v>18675</v>
      </c>
      <c r="P994" s="234" t="s">
        <v>22093</v>
      </c>
      <c r="Q994" s="234" t="s">
        <v>18732</v>
      </c>
      <c r="R994" s="238" t="s">
        <v>22094</v>
      </c>
      <c r="S994" s="238" t="s">
        <v>22095</v>
      </c>
      <c r="T994" s="238" t="s">
        <v>18725</v>
      </c>
      <c r="U994" s="238" t="s">
        <v>18725</v>
      </c>
      <c r="V994" s="238" t="s">
        <v>18725</v>
      </c>
      <c r="W994" s="238" t="s">
        <v>18725</v>
      </c>
      <c r="X994" s="238" t="s">
        <v>18725</v>
      </c>
      <c r="Y994" s="239" t="str">
        <f>IF('CCUS Projects Database'!$R994&lt;&gt;"",HYPERLINK('CCUS Projects Database'!$R994,"Link 1"),"")</f>
        <v>Link 1</v>
      </c>
      <c r="Z994" s="239" t="str">
        <f>IF('CCUS Projects Database'!$S994&lt;&gt;"",HYPERLINK('CCUS Projects Database'!$S994,"Link 2"),"")</f>
        <v>Link 2</v>
      </c>
      <c r="AA994" s="239" t="str">
        <f>IF('CCUS Projects Database'!$T994&lt;&gt;"",HYPERLINK('CCUS Projects Database'!$T994,"Link 3"),"")</f>
        <v/>
      </c>
      <c r="AB994" s="239" t="str">
        <f>IF('CCUS Projects Database'!$U994&lt;&gt;"",HYPERLINK('CCUS Projects Database'!$U994,"Link 4"),"")</f>
        <v/>
      </c>
      <c r="AC994" s="239" t="str">
        <f>IF('CCUS Projects Database'!$V994&lt;&gt;"",HYPERLINK('CCUS Projects Database'!$V994,"Link 5"),"")</f>
        <v/>
      </c>
      <c r="AD994" s="239" t="str">
        <f>IF('CCUS Projects Database'!$W994&lt;&gt;"",HYPERLINK('CCUS Projects Database'!$W994,"Link 6"),"")</f>
        <v/>
      </c>
      <c r="AE994" s="239" t="str">
        <f>IF('CCUS Projects Database'!$X994&lt;&gt;"",HYPERLINK('CCUS Projects Database'!$X994,"Link 7"),"")</f>
        <v/>
      </c>
    </row>
    <row r="995" ht="14.25" customHeight="1">
      <c r="A995" s="233" t="s">
        <v>22096</v>
      </c>
      <c r="B995" s="234">
        <v>1335.0</v>
      </c>
      <c r="C995" s="234" t="s">
        <v>83</v>
      </c>
      <c r="D995" s="235" t="s">
        <v>21570</v>
      </c>
      <c r="E995" s="234" t="s">
        <v>18618</v>
      </c>
      <c r="F995" s="234">
        <v>2021.0</v>
      </c>
      <c r="G995" s="234" t="s">
        <v>18725</v>
      </c>
      <c r="H995" s="234" t="s">
        <v>18725</v>
      </c>
      <c r="I995" s="234" t="s">
        <v>18725</v>
      </c>
      <c r="J995" s="234" t="s">
        <v>18636</v>
      </c>
      <c r="K995" s="236">
        <v>2.0</v>
      </c>
      <c r="L995" s="236">
        <v>1.2</v>
      </c>
      <c r="M995" s="236">
        <v>1.2</v>
      </c>
      <c r="N995" s="234" t="s">
        <v>18654</v>
      </c>
      <c r="O995" s="237" t="s">
        <v>18675</v>
      </c>
      <c r="P995" s="234" t="s">
        <v>18985</v>
      </c>
      <c r="Q995" s="234" t="s">
        <v>18726</v>
      </c>
      <c r="R995" s="238" t="s">
        <v>21571</v>
      </c>
      <c r="S995" s="238" t="s">
        <v>21572</v>
      </c>
      <c r="T995" s="238" t="s">
        <v>18725</v>
      </c>
      <c r="U995" s="238" t="s">
        <v>18725</v>
      </c>
      <c r="V995" s="238" t="s">
        <v>18725</v>
      </c>
      <c r="W995" s="238" t="s">
        <v>18725</v>
      </c>
      <c r="X995" s="238" t="s">
        <v>18725</v>
      </c>
      <c r="Y995" s="239" t="str">
        <f>IF('CCUS Projects Database'!$R995&lt;&gt;"",HYPERLINK('CCUS Projects Database'!$R995,"Link 1"),"")</f>
        <v>Link 1</v>
      </c>
      <c r="Z995" s="239" t="str">
        <f>IF('CCUS Projects Database'!$S995&lt;&gt;"",HYPERLINK('CCUS Projects Database'!$S995,"Link 2"),"")</f>
        <v>Link 2</v>
      </c>
      <c r="AA995" s="239" t="str">
        <f>IF('CCUS Projects Database'!$T995&lt;&gt;"",HYPERLINK('CCUS Projects Database'!$T995,"Link 3"),"")</f>
        <v/>
      </c>
      <c r="AB995" s="239" t="str">
        <f>IF('CCUS Projects Database'!$U995&lt;&gt;"",HYPERLINK('CCUS Projects Database'!$U995,"Link 4"),"")</f>
        <v/>
      </c>
      <c r="AC995" s="239" t="str">
        <f>IF('CCUS Projects Database'!$V995&lt;&gt;"",HYPERLINK('CCUS Projects Database'!$V995,"Link 5"),"")</f>
        <v/>
      </c>
      <c r="AD995" s="239" t="str">
        <f>IF('CCUS Projects Database'!$W995&lt;&gt;"",HYPERLINK('CCUS Projects Database'!$W995,"Link 6"),"")</f>
        <v/>
      </c>
      <c r="AE995" s="239" t="str">
        <f>IF('CCUS Projects Database'!$X995&lt;&gt;"",HYPERLINK('CCUS Projects Database'!$X995,"Link 7"),"")</f>
        <v/>
      </c>
    </row>
    <row r="996" ht="14.25" customHeight="1">
      <c r="A996" s="233" t="s">
        <v>22097</v>
      </c>
      <c r="B996" s="234">
        <v>1336.0</v>
      </c>
      <c r="C996" s="234" t="s">
        <v>18586</v>
      </c>
      <c r="D996" s="235" t="s">
        <v>22098</v>
      </c>
      <c r="E996" s="234" t="s">
        <v>18618</v>
      </c>
      <c r="F996" s="234">
        <v>2025.0</v>
      </c>
      <c r="G996" s="234" t="s">
        <v>18725</v>
      </c>
      <c r="H996" s="234" t="s">
        <v>18725</v>
      </c>
      <c r="I996" s="234" t="s">
        <v>18725</v>
      </c>
      <c r="J996" s="234" t="s">
        <v>18636</v>
      </c>
      <c r="K996" s="236" t="s">
        <v>18725</v>
      </c>
      <c r="L996" s="236" t="s">
        <v>18725</v>
      </c>
      <c r="M996" s="236" t="s">
        <v>18725</v>
      </c>
      <c r="N996" s="234" t="s">
        <v>18218</v>
      </c>
      <c r="O996" s="237" t="s">
        <v>18675</v>
      </c>
      <c r="P996" s="234" t="s">
        <v>22093</v>
      </c>
      <c r="Q996" s="234" t="s">
        <v>18732</v>
      </c>
      <c r="R996" s="238" t="s">
        <v>22099</v>
      </c>
      <c r="S996" s="238" t="s">
        <v>22100</v>
      </c>
      <c r="T996" s="238" t="s">
        <v>18725</v>
      </c>
      <c r="U996" s="238" t="s">
        <v>18725</v>
      </c>
      <c r="V996" s="238" t="s">
        <v>18725</v>
      </c>
      <c r="W996" s="238" t="s">
        <v>18725</v>
      </c>
      <c r="X996" s="238" t="s">
        <v>18725</v>
      </c>
      <c r="Y996" s="239" t="str">
        <f>IF('CCUS Projects Database'!$R996&lt;&gt;"",HYPERLINK('CCUS Projects Database'!$R996,"Link 1"),"")</f>
        <v>Link 1</v>
      </c>
      <c r="Z996" s="239" t="str">
        <f>IF('CCUS Projects Database'!$S996&lt;&gt;"",HYPERLINK('CCUS Projects Database'!$S996,"Link 2"),"")</f>
        <v>Link 2</v>
      </c>
      <c r="AA996" s="239" t="str">
        <f>IF('CCUS Projects Database'!$T996&lt;&gt;"",HYPERLINK('CCUS Projects Database'!$T996,"Link 3"),"")</f>
        <v/>
      </c>
      <c r="AB996" s="239" t="str">
        <f>IF('CCUS Projects Database'!$U996&lt;&gt;"",HYPERLINK('CCUS Projects Database'!$U996,"Link 4"),"")</f>
        <v/>
      </c>
      <c r="AC996" s="239" t="str">
        <f>IF('CCUS Projects Database'!$V996&lt;&gt;"",HYPERLINK('CCUS Projects Database'!$V996,"Link 5"),"")</f>
        <v/>
      </c>
      <c r="AD996" s="239" t="str">
        <f>IF('CCUS Projects Database'!$W996&lt;&gt;"",HYPERLINK('CCUS Projects Database'!$W996,"Link 6"),"")</f>
        <v/>
      </c>
      <c r="AE996" s="239" t="str">
        <f>IF('CCUS Projects Database'!$X996&lt;&gt;"",HYPERLINK('CCUS Projects Database'!$X996,"Link 7"),"")</f>
        <v/>
      </c>
    </row>
    <row r="997" ht="14.25" customHeight="1">
      <c r="A997" s="233" t="s">
        <v>22101</v>
      </c>
      <c r="B997" s="234">
        <v>1337.0</v>
      </c>
      <c r="C997" s="234" t="s">
        <v>18586</v>
      </c>
      <c r="D997" s="235" t="s">
        <v>22102</v>
      </c>
      <c r="E997" s="234" t="s">
        <v>18618</v>
      </c>
      <c r="F997" s="234">
        <v>2024.0</v>
      </c>
      <c r="G997" s="234" t="s">
        <v>18725</v>
      </c>
      <c r="H997" s="234">
        <v>2026.0</v>
      </c>
      <c r="I997" s="234" t="s">
        <v>18725</v>
      </c>
      <c r="J997" s="234" t="s">
        <v>18636</v>
      </c>
      <c r="K997" s="236" t="s">
        <v>18725</v>
      </c>
      <c r="L997" s="236">
        <v>0.001</v>
      </c>
      <c r="M997" s="236">
        <v>0.001</v>
      </c>
      <c r="N997" s="234" t="s">
        <v>18218</v>
      </c>
      <c r="O997" s="237" t="s">
        <v>18675</v>
      </c>
      <c r="P997" s="234" t="s">
        <v>18725</v>
      </c>
      <c r="Q997" s="234" t="s">
        <v>18732</v>
      </c>
      <c r="R997" s="238" t="s">
        <v>22095</v>
      </c>
      <c r="S997" s="238" t="s">
        <v>22103</v>
      </c>
      <c r="T997" s="238" t="s">
        <v>18725</v>
      </c>
      <c r="U997" s="238" t="s">
        <v>18725</v>
      </c>
      <c r="V997" s="238" t="s">
        <v>18725</v>
      </c>
      <c r="W997" s="238" t="s">
        <v>18725</v>
      </c>
      <c r="X997" s="238" t="s">
        <v>18725</v>
      </c>
      <c r="Y997" s="239" t="str">
        <f>IF('CCUS Projects Database'!$R997&lt;&gt;"",HYPERLINK('CCUS Projects Database'!$R997,"Link 1"),"")</f>
        <v>Link 1</v>
      </c>
      <c r="Z997" s="239" t="str">
        <f>IF('CCUS Projects Database'!$S997&lt;&gt;"",HYPERLINK('CCUS Projects Database'!$S997,"Link 2"),"")</f>
        <v>Link 2</v>
      </c>
      <c r="AA997" s="239" t="str">
        <f>IF('CCUS Projects Database'!$T997&lt;&gt;"",HYPERLINK('CCUS Projects Database'!$T997,"Link 3"),"")</f>
        <v/>
      </c>
      <c r="AB997" s="239" t="str">
        <f>IF('CCUS Projects Database'!$U997&lt;&gt;"",HYPERLINK('CCUS Projects Database'!$U997,"Link 4"),"")</f>
        <v/>
      </c>
      <c r="AC997" s="239" t="str">
        <f>IF('CCUS Projects Database'!$V997&lt;&gt;"",HYPERLINK('CCUS Projects Database'!$V997,"Link 5"),"")</f>
        <v/>
      </c>
      <c r="AD997" s="239" t="str">
        <f>IF('CCUS Projects Database'!$W997&lt;&gt;"",HYPERLINK('CCUS Projects Database'!$W997,"Link 6"),"")</f>
        <v/>
      </c>
      <c r="AE997" s="239" t="str">
        <f>IF('CCUS Projects Database'!$X997&lt;&gt;"",HYPERLINK('CCUS Projects Database'!$X997,"Link 7"),"")</f>
        <v/>
      </c>
    </row>
    <row r="998" ht="14.25" customHeight="1">
      <c r="A998" s="233" t="s">
        <v>22104</v>
      </c>
      <c r="B998" s="234">
        <v>1338.0</v>
      </c>
      <c r="C998" s="234" t="s">
        <v>18586</v>
      </c>
      <c r="D998" s="235" t="s">
        <v>22105</v>
      </c>
      <c r="E998" s="234" t="s">
        <v>18618</v>
      </c>
      <c r="F998" s="234">
        <v>2023.0</v>
      </c>
      <c r="G998" s="234" t="s">
        <v>18725</v>
      </c>
      <c r="H998" s="234">
        <v>2030.0</v>
      </c>
      <c r="I998" s="234" t="s">
        <v>18725</v>
      </c>
      <c r="J998" s="234" t="s">
        <v>18636</v>
      </c>
      <c r="K998" s="236" t="s">
        <v>18725</v>
      </c>
      <c r="L998" s="236">
        <v>0.05</v>
      </c>
      <c r="M998" s="236">
        <v>0.05</v>
      </c>
      <c r="N998" s="234" t="s">
        <v>18218</v>
      </c>
      <c r="O998" s="237" t="s">
        <v>18675</v>
      </c>
      <c r="P998" s="234" t="s">
        <v>22106</v>
      </c>
      <c r="Q998" s="234" t="s">
        <v>18732</v>
      </c>
      <c r="R998" s="238" t="s">
        <v>22095</v>
      </c>
      <c r="S998" s="238" t="s">
        <v>22107</v>
      </c>
      <c r="T998" s="238" t="s">
        <v>22108</v>
      </c>
      <c r="U998" s="238" t="s">
        <v>18725</v>
      </c>
      <c r="V998" s="238" t="s">
        <v>18725</v>
      </c>
      <c r="W998" s="238" t="s">
        <v>18725</v>
      </c>
      <c r="X998" s="238" t="s">
        <v>18725</v>
      </c>
      <c r="Y998" s="239" t="str">
        <f>IF('CCUS Projects Database'!$R998&lt;&gt;"",HYPERLINK('CCUS Projects Database'!$R998,"Link 1"),"")</f>
        <v>Link 1</v>
      </c>
      <c r="Z998" s="239" t="str">
        <f>IF('CCUS Projects Database'!$S998&lt;&gt;"",HYPERLINK('CCUS Projects Database'!$S998,"Link 2"),"")</f>
        <v>Link 2</v>
      </c>
      <c r="AA998" s="239" t="str">
        <f>IF('CCUS Projects Database'!$T998&lt;&gt;"",HYPERLINK('CCUS Projects Database'!$T998,"Link 3"),"")</f>
        <v>Link 3</v>
      </c>
      <c r="AB998" s="239" t="str">
        <f>IF('CCUS Projects Database'!$U998&lt;&gt;"",HYPERLINK('CCUS Projects Database'!$U998,"Link 4"),"")</f>
        <v/>
      </c>
      <c r="AC998" s="239" t="str">
        <f>IF('CCUS Projects Database'!$V998&lt;&gt;"",HYPERLINK('CCUS Projects Database'!$V998,"Link 5"),"")</f>
        <v/>
      </c>
      <c r="AD998" s="239" t="str">
        <f>IF('CCUS Projects Database'!$W998&lt;&gt;"",HYPERLINK('CCUS Projects Database'!$W998,"Link 6"),"")</f>
        <v/>
      </c>
      <c r="AE998" s="239" t="str">
        <f>IF('CCUS Projects Database'!$X998&lt;&gt;"",HYPERLINK('CCUS Projects Database'!$X998,"Link 7"),"")</f>
        <v/>
      </c>
    </row>
    <row r="999" ht="14.25" customHeight="1">
      <c r="A999" s="233" t="s">
        <v>22109</v>
      </c>
      <c r="B999" s="234">
        <v>1339.0</v>
      </c>
      <c r="C999" s="234" t="s">
        <v>197</v>
      </c>
      <c r="D999" s="235" t="s">
        <v>22110</v>
      </c>
      <c r="E999" s="234" t="s">
        <v>18618</v>
      </c>
      <c r="F999" s="234">
        <v>2024.0</v>
      </c>
      <c r="G999" s="234" t="s">
        <v>18725</v>
      </c>
      <c r="H999" s="234">
        <v>2026.0</v>
      </c>
      <c r="I999" s="234" t="s">
        <v>18725</v>
      </c>
      <c r="J999" s="234" t="s">
        <v>18636</v>
      </c>
      <c r="K999" s="236">
        <v>1.0</v>
      </c>
      <c r="L999" s="236">
        <v>0.001</v>
      </c>
      <c r="M999" s="236">
        <v>0.001</v>
      </c>
      <c r="N999" s="234" t="s">
        <v>18218</v>
      </c>
      <c r="O999" s="237" t="s">
        <v>18675</v>
      </c>
      <c r="P999" s="234" t="s">
        <v>19222</v>
      </c>
      <c r="Q999" s="234" t="s">
        <v>18726</v>
      </c>
      <c r="R999" s="238" t="s">
        <v>21736</v>
      </c>
      <c r="S999" s="238" t="s">
        <v>22111</v>
      </c>
      <c r="T999" s="238" t="s">
        <v>18725</v>
      </c>
      <c r="U999" s="238" t="s">
        <v>18725</v>
      </c>
      <c r="V999" s="238" t="s">
        <v>18725</v>
      </c>
      <c r="W999" s="238" t="s">
        <v>18725</v>
      </c>
      <c r="X999" s="238" t="s">
        <v>18725</v>
      </c>
      <c r="Y999" s="239" t="str">
        <f>IF('CCUS Projects Database'!$R999&lt;&gt;"",HYPERLINK('CCUS Projects Database'!$R999,"Link 1"),"")</f>
        <v>Link 1</v>
      </c>
      <c r="Z999" s="239" t="str">
        <f>IF('CCUS Projects Database'!$S999&lt;&gt;"",HYPERLINK('CCUS Projects Database'!$S999,"Link 2"),"")</f>
        <v>Link 2</v>
      </c>
      <c r="AA999" s="239" t="str">
        <f>IF('CCUS Projects Database'!$T999&lt;&gt;"",HYPERLINK('CCUS Projects Database'!$T999,"Link 3"),"")</f>
        <v/>
      </c>
      <c r="AB999" s="239" t="str">
        <f>IF('CCUS Projects Database'!$U999&lt;&gt;"",HYPERLINK('CCUS Projects Database'!$U999,"Link 4"),"")</f>
        <v/>
      </c>
      <c r="AC999" s="239" t="str">
        <f>IF('CCUS Projects Database'!$V999&lt;&gt;"",HYPERLINK('CCUS Projects Database'!$V999,"Link 5"),"")</f>
        <v/>
      </c>
      <c r="AD999" s="239" t="str">
        <f>IF('CCUS Projects Database'!$W999&lt;&gt;"",HYPERLINK('CCUS Projects Database'!$W999,"Link 6"),"")</f>
        <v/>
      </c>
      <c r="AE999" s="239" t="str">
        <f>IF('CCUS Projects Database'!$X999&lt;&gt;"",HYPERLINK('CCUS Projects Database'!$X999,"Link 7"),"")</f>
        <v/>
      </c>
    </row>
    <row r="1000" ht="14.25" customHeight="1">
      <c r="A1000" s="233" t="s">
        <v>22112</v>
      </c>
      <c r="B1000" s="234">
        <v>1340.0</v>
      </c>
      <c r="C1000" s="234" t="s">
        <v>197</v>
      </c>
      <c r="D1000" s="235" t="s">
        <v>22110</v>
      </c>
      <c r="E1000" s="234" t="s">
        <v>18618</v>
      </c>
      <c r="F1000" s="234">
        <v>2024.0</v>
      </c>
      <c r="G1000" s="234" t="s">
        <v>18725</v>
      </c>
      <c r="H1000" s="234" t="s">
        <v>18725</v>
      </c>
      <c r="I1000" s="234" t="s">
        <v>18725</v>
      </c>
      <c r="J1000" s="234" t="s">
        <v>18636</v>
      </c>
      <c r="K1000" s="236">
        <v>2.0</v>
      </c>
      <c r="L1000" s="236">
        <v>0.029</v>
      </c>
      <c r="M1000" s="236">
        <v>0.029</v>
      </c>
      <c r="N1000" s="234" t="s">
        <v>18218</v>
      </c>
      <c r="O1000" s="237" t="s">
        <v>18675</v>
      </c>
      <c r="P1000" s="234" t="s">
        <v>19222</v>
      </c>
      <c r="Q1000" s="234" t="s">
        <v>18726</v>
      </c>
      <c r="R1000" s="238" t="s">
        <v>21736</v>
      </c>
      <c r="S1000" s="238" t="s">
        <v>22111</v>
      </c>
      <c r="T1000" s="238" t="s">
        <v>18725</v>
      </c>
      <c r="U1000" s="238" t="s">
        <v>18725</v>
      </c>
      <c r="V1000" s="238" t="s">
        <v>18725</v>
      </c>
      <c r="W1000" s="238" t="s">
        <v>18725</v>
      </c>
      <c r="X1000" s="238" t="s">
        <v>18725</v>
      </c>
      <c r="Y1000" s="239" t="str">
        <f>IF('CCUS Projects Database'!$R1000&lt;&gt;"",HYPERLINK('CCUS Projects Database'!$R1000,"Link 1"),"")</f>
        <v>Link 1</v>
      </c>
      <c r="Z1000" s="239" t="str">
        <f>IF('CCUS Projects Database'!$S1000&lt;&gt;"",HYPERLINK('CCUS Projects Database'!$S1000,"Link 2"),"")</f>
        <v>Link 2</v>
      </c>
      <c r="AA1000" s="239" t="str">
        <f>IF('CCUS Projects Database'!$T1000&lt;&gt;"",HYPERLINK('CCUS Projects Database'!$T1000,"Link 3"),"")</f>
        <v/>
      </c>
      <c r="AB1000" s="239" t="str">
        <f>IF('CCUS Projects Database'!$U1000&lt;&gt;"",HYPERLINK('CCUS Projects Database'!$U1000,"Link 4"),"")</f>
        <v/>
      </c>
      <c r="AC1000" s="239" t="str">
        <f>IF('CCUS Projects Database'!$V1000&lt;&gt;"",HYPERLINK('CCUS Projects Database'!$V1000,"Link 5"),"")</f>
        <v/>
      </c>
      <c r="AD1000" s="239" t="str">
        <f>IF('CCUS Projects Database'!$W1000&lt;&gt;"",HYPERLINK('CCUS Projects Database'!$W1000,"Link 6"),"")</f>
        <v/>
      </c>
      <c r="AE1000" s="239" t="str">
        <f>IF('CCUS Projects Database'!$X1000&lt;&gt;"",HYPERLINK('CCUS Projects Database'!$X1000,"Link 7"),"")</f>
        <v/>
      </c>
    </row>
    <row r="1001" ht="14.25" customHeight="1">
      <c r="A1001" s="233" t="s">
        <v>22113</v>
      </c>
      <c r="B1001" s="234">
        <v>1341.0</v>
      </c>
      <c r="C1001" s="234" t="s">
        <v>197</v>
      </c>
      <c r="D1001" s="235" t="s">
        <v>22110</v>
      </c>
      <c r="E1001" s="234" t="s">
        <v>18618</v>
      </c>
      <c r="F1001" s="234">
        <v>2024.0</v>
      </c>
      <c r="G1001" s="234" t="s">
        <v>18725</v>
      </c>
      <c r="H1001" s="234" t="s">
        <v>18725</v>
      </c>
      <c r="I1001" s="234" t="s">
        <v>18725</v>
      </c>
      <c r="J1001" s="234" t="s">
        <v>18636</v>
      </c>
      <c r="K1001" s="236">
        <v>3.0</v>
      </c>
      <c r="L1001" s="236">
        <v>0.07</v>
      </c>
      <c r="M1001" s="236">
        <v>0.07</v>
      </c>
      <c r="N1001" s="234" t="s">
        <v>18218</v>
      </c>
      <c r="O1001" s="237" t="s">
        <v>18675</v>
      </c>
      <c r="P1001" s="234" t="s">
        <v>19222</v>
      </c>
      <c r="Q1001" s="234" t="s">
        <v>18726</v>
      </c>
      <c r="R1001" s="238" t="s">
        <v>21736</v>
      </c>
      <c r="S1001" s="238" t="s">
        <v>22111</v>
      </c>
      <c r="T1001" s="238" t="s">
        <v>18725</v>
      </c>
      <c r="U1001" s="238" t="s">
        <v>18725</v>
      </c>
      <c r="V1001" s="238" t="s">
        <v>18725</v>
      </c>
      <c r="W1001" s="238" t="s">
        <v>18725</v>
      </c>
      <c r="X1001" s="238" t="s">
        <v>18725</v>
      </c>
      <c r="Y1001" s="239" t="str">
        <f>IF('CCUS Projects Database'!$R1001&lt;&gt;"",HYPERLINK('CCUS Projects Database'!$R1001,"Link 1"),"")</f>
        <v>Link 1</v>
      </c>
      <c r="Z1001" s="239" t="str">
        <f>IF('CCUS Projects Database'!$S1001&lt;&gt;"",HYPERLINK('CCUS Projects Database'!$S1001,"Link 2"),"")</f>
        <v>Link 2</v>
      </c>
      <c r="AA1001" s="239" t="str">
        <f>IF('CCUS Projects Database'!$T1001&lt;&gt;"",HYPERLINK('CCUS Projects Database'!$T1001,"Link 3"),"")</f>
        <v/>
      </c>
      <c r="AB1001" s="239" t="str">
        <f>IF('CCUS Projects Database'!$U1001&lt;&gt;"",HYPERLINK('CCUS Projects Database'!$U1001,"Link 4"),"")</f>
        <v/>
      </c>
      <c r="AC1001" s="239" t="str">
        <f>IF('CCUS Projects Database'!$V1001&lt;&gt;"",HYPERLINK('CCUS Projects Database'!$V1001,"Link 5"),"")</f>
        <v/>
      </c>
      <c r="AD1001" s="239" t="str">
        <f>IF('CCUS Projects Database'!$W1001&lt;&gt;"",HYPERLINK('CCUS Projects Database'!$W1001,"Link 6"),"")</f>
        <v/>
      </c>
      <c r="AE1001" s="239" t="str">
        <f>IF('CCUS Projects Database'!$X1001&lt;&gt;"",HYPERLINK('CCUS Projects Database'!$X1001,"Link 7"),"")</f>
        <v/>
      </c>
    </row>
    <row r="1002" ht="14.25" customHeight="1">
      <c r="A1002" s="233" t="s">
        <v>22114</v>
      </c>
      <c r="B1002" s="234">
        <v>1342.0</v>
      </c>
      <c r="C1002" s="234" t="s">
        <v>120</v>
      </c>
      <c r="D1002" s="235" t="s">
        <v>22115</v>
      </c>
      <c r="E1002" s="234" t="s">
        <v>18618</v>
      </c>
      <c r="F1002" s="234">
        <v>2024.0</v>
      </c>
      <c r="G1002" s="234" t="s">
        <v>18725</v>
      </c>
      <c r="H1002" s="234">
        <v>2026.0</v>
      </c>
      <c r="I1002" s="234" t="s">
        <v>18725</v>
      </c>
      <c r="J1002" s="234" t="s">
        <v>18636</v>
      </c>
      <c r="K1002" s="236">
        <v>1.0</v>
      </c>
      <c r="L1002" s="236">
        <v>0.03</v>
      </c>
      <c r="M1002" s="236">
        <v>0.03</v>
      </c>
      <c r="N1002" s="234" t="s">
        <v>18218</v>
      </c>
      <c r="O1002" s="237" t="s">
        <v>18675</v>
      </c>
      <c r="P1002" s="234" t="s">
        <v>18725</v>
      </c>
      <c r="Q1002" s="234" t="s">
        <v>18726</v>
      </c>
      <c r="R1002" s="238" t="s">
        <v>22111</v>
      </c>
      <c r="S1002" s="238" t="s">
        <v>22116</v>
      </c>
      <c r="T1002" s="238" t="s">
        <v>18725</v>
      </c>
      <c r="U1002" s="238" t="s">
        <v>18725</v>
      </c>
      <c r="V1002" s="238" t="s">
        <v>18725</v>
      </c>
      <c r="W1002" s="238" t="s">
        <v>18725</v>
      </c>
      <c r="X1002" s="238" t="s">
        <v>18725</v>
      </c>
      <c r="Y1002" s="239" t="str">
        <f>IF('CCUS Projects Database'!$R1002&lt;&gt;"",HYPERLINK('CCUS Projects Database'!$R1002,"Link 1"),"")</f>
        <v>Link 1</v>
      </c>
      <c r="Z1002" s="239" t="str">
        <f>IF('CCUS Projects Database'!$S1002&lt;&gt;"",HYPERLINK('CCUS Projects Database'!$S1002,"Link 2"),"")</f>
        <v>Link 2</v>
      </c>
      <c r="AA1002" s="239" t="str">
        <f>IF('CCUS Projects Database'!$T1002&lt;&gt;"",HYPERLINK('CCUS Projects Database'!$T1002,"Link 3"),"")</f>
        <v/>
      </c>
      <c r="AB1002" s="239" t="str">
        <f>IF('CCUS Projects Database'!$U1002&lt;&gt;"",HYPERLINK('CCUS Projects Database'!$U1002,"Link 4"),"")</f>
        <v/>
      </c>
      <c r="AC1002" s="239" t="str">
        <f>IF('CCUS Projects Database'!$V1002&lt;&gt;"",HYPERLINK('CCUS Projects Database'!$V1002,"Link 5"),"")</f>
        <v/>
      </c>
      <c r="AD1002" s="239" t="str">
        <f>IF('CCUS Projects Database'!$W1002&lt;&gt;"",HYPERLINK('CCUS Projects Database'!$W1002,"Link 6"),"")</f>
        <v/>
      </c>
      <c r="AE1002" s="239" t="str">
        <f>IF('CCUS Projects Database'!$X1002&lt;&gt;"",HYPERLINK('CCUS Projects Database'!$X1002,"Link 7"),"")</f>
        <v/>
      </c>
    </row>
    <row r="1003" ht="14.25" customHeight="1">
      <c r="A1003" s="233" t="s">
        <v>22117</v>
      </c>
      <c r="B1003" s="234">
        <v>1343.0</v>
      </c>
      <c r="C1003" s="234" t="s">
        <v>120</v>
      </c>
      <c r="D1003" s="235" t="s">
        <v>22115</v>
      </c>
      <c r="E1003" s="234" t="s">
        <v>18618</v>
      </c>
      <c r="F1003" s="234">
        <v>2024.0</v>
      </c>
      <c r="G1003" s="234" t="s">
        <v>18725</v>
      </c>
      <c r="H1003" s="234">
        <v>2030.0</v>
      </c>
      <c r="I1003" s="234" t="s">
        <v>18725</v>
      </c>
      <c r="J1003" s="234" t="s">
        <v>18636</v>
      </c>
      <c r="K1003" s="236">
        <v>2.0</v>
      </c>
      <c r="L1003" s="236">
        <v>0.07</v>
      </c>
      <c r="M1003" s="236">
        <v>0.07</v>
      </c>
      <c r="N1003" s="234" t="s">
        <v>18218</v>
      </c>
      <c r="O1003" s="237" t="s">
        <v>18675</v>
      </c>
      <c r="P1003" s="234" t="s">
        <v>18725</v>
      </c>
      <c r="Q1003" s="234" t="s">
        <v>18726</v>
      </c>
      <c r="R1003" s="238" t="s">
        <v>22111</v>
      </c>
      <c r="S1003" s="238" t="s">
        <v>22116</v>
      </c>
      <c r="T1003" s="238" t="s">
        <v>18725</v>
      </c>
      <c r="U1003" s="238" t="s">
        <v>18725</v>
      </c>
      <c r="V1003" s="238" t="s">
        <v>18725</v>
      </c>
      <c r="W1003" s="238" t="s">
        <v>18725</v>
      </c>
      <c r="X1003" s="238" t="s">
        <v>18725</v>
      </c>
      <c r="Y1003" s="239" t="str">
        <f>IF('CCUS Projects Database'!$R1003&lt;&gt;"",HYPERLINK('CCUS Projects Database'!$R1003,"Link 1"),"")</f>
        <v>Link 1</v>
      </c>
      <c r="Z1003" s="239" t="str">
        <f>IF('CCUS Projects Database'!$S1003&lt;&gt;"",HYPERLINK('CCUS Projects Database'!$S1003,"Link 2"),"")</f>
        <v>Link 2</v>
      </c>
      <c r="AA1003" s="239" t="str">
        <f>IF('CCUS Projects Database'!$T1003&lt;&gt;"",HYPERLINK('CCUS Projects Database'!$T1003,"Link 3"),"")</f>
        <v/>
      </c>
      <c r="AB1003" s="239" t="str">
        <f>IF('CCUS Projects Database'!$U1003&lt;&gt;"",HYPERLINK('CCUS Projects Database'!$U1003,"Link 4"),"")</f>
        <v/>
      </c>
      <c r="AC1003" s="239" t="str">
        <f>IF('CCUS Projects Database'!$V1003&lt;&gt;"",HYPERLINK('CCUS Projects Database'!$V1003,"Link 5"),"")</f>
        <v/>
      </c>
      <c r="AD1003" s="239" t="str">
        <f>IF('CCUS Projects Database'!$W1003&lt;&gt;"",HYPERLINK('CCUS Projects Database'!$W1003,"Link 6"),"")</f>
        <v/>
      </c>
      <c r="AE1003" s="239" t="str">
        <f>IF('CCUS Projects Database'!$X1003&lt;&gt;"",HYPERLINK('CCUS Projects Database'!$X1003,"Link 7"),"")</f>
        <v/>
      </c>
    </row>
    <row r="1004" ht="14.25" customHeight="1">
      <c r="A1004" s="233" t="s">
        <v>22118</v>
      </c>
      <c r="B1004" s="234">
        <v>1344.0</v>
      </c>
      <c r="C1004" s="234" t="s">
        <v>18437</v>
      </c>
      <c r="D1004" s="235" t="s">
        <v>22119</v>
      </c>
      <c r="E1004" s="234" t="s">
        <v>18618</v>
      </c>
      <c r="F1004" s="234">
        <v>2024.0</v>
      </c>
      <c r="G1004" s="234" t="s">
        <v>18725</v>
      </c>
      <c r="H1004" s="234" t="s">
        <v>18725</v>
      </c>
      <c r="I1004" s="234" t="s">
        <v>18725</v>
      </c>
      <c r="J1004" s="234" t="s">
        <v>18636</v>
      </c>
      <c r="K1004" s="236">
        <v>1.0</v>
      </c>
      <c r="L1004" s="236">
        <v>0.001</v>
      </c>
      <c r="M1004" s="236">
        <v>0.001</v>
      </c>
      <c r="N1004" s="234" t="s">
        <v>18218</v>
      </c>
      <c r="O1004" s="237" t="s">
        <v>18675</v>
      </c>
      <c r="P1004" s="234" t="s">
        <v>18725</v>
      </c>
      <c r="Q1004" s="234" t="s">
        <v>20181</v>
      </c>
      <c r="R1004" s="238" t="s">
        <v>22111</v>
      </c>
      <c r="S1004" s="238" t="s">
        <v>22120</v>
      </c>
      <c r="T1004" s="238" t="s">
        <v>18725</v>
      </c>
      <c r="U1004" s="238" t="s">
        <v>18725</v>
      </c>
      <c r="V1004" s="238" t="s">
        <v>18725</v>
      </c>
      <c r="W1004" s="238" t="s">
        <v>18725</v>
      </c>
      <c r="X1004" s="238" t="s">
        <v>18725</v>
      </c>
      <c r="Y1004" s="239" t="str">
        <f>IF('CCUS Projects Database'!$R1004&lt;&gt;"",HYPERLINK('CCUS Projects Database'!$R1004,"Link 1"),"")</f>
        <v>Link 1</v>
      </c>
      <c r="Z1004" s="239" t="str">
        <f>IF('CCUS Projects Database'!$S1004&lt;&gt;"",HYPERLINK('CCUS Projects Database'!$S1004,"Link 2"),"")</f>
        <v>Link 2</v>
      </c>
      <c r="AA1004" s="239" t="str">
        <f>IF('CCUS Projects Database'!$T1004&lt;&gt;"",HYPERLINK('CCUS Projects Database'!$T1004,"Link 3"),"")</f>
        <v/>
      </c>
      <c r="AB1004" s="239" t="str">
        <f>IF('CCUS Projects Database'!$U1004&lt;&gt;"",HYPERLINK('CCUS Projects Database'!$U1004,"Link 4"),"")</f>
        <v/>
      </c>
      <c r="AC1004" s="239" t="str">
        <f>IF('CCUS Projects Database'!$V1004&lt;&gt;"",HYPERLINK('CCUS Projects Database'!$V1004,"Link 5"),"")</f>
        <v/>
      </c>
      <c r="AD1004" s="239" t="str">
        <f>IF('CCUS Projects Database'!$W1004&lt;&gt;"",HYPERLINK('CCUS Projects Database'!$W1004,"Link 6"),"")</f>
        <v/>
      </c>
      <c r="AE1004" s="239" t="str">
        <f>IF('CCUS Projects Database'!$X1004&lt;&gt;"",HYPERLINK('CCUS Projects Database'!$X1004,"Link 7"),"")</f>
        <v/>
      </c>
    </row>
    <row r="1005" ht="14.25" customHeight="1">
      <c r="A1005" s="233" t="s">
        <v>22121</v>
      </c>
      <c r="B1005" s="234">
        <v>1345.0</v>
      </c>
      <c r="C1005" s="234" t="s">
        <v>18437</v>
      </c>
      <c r="D1005" s="235" t="s">
        <v>22119</v>
      </c>
      <c r="E1005" s="234" t="s">
        <v>18618</v>
      </c>
      <c r="F1005" s="234">
        <v>2024.0</v>
      </c>
      <c r="G1005" s="234" t="s">
        <v>18725</v>
      </c>
      <c r="H1005" s="234" t="s">
        <v>18725</v>
      </c>
      <c r="I1005" s="234" t="s">
        <v>18725</v>
      </c>
      <c r="J1005" s="234" t="s">
        <v>18636</v>
      </c>
      <c r="K1005" s="236">
        <v>2.0</v>
      </c>
      <c r="L1005" s="236">
        <v>0.019</v>
      </c>
      <c r="M1005" s="236">
        <v>0.019</v>
      </c>
      <c r="N1005" s="234" t="s">
        <v>18218</v>
      </c>
      <c r="O1005" s="237" t="s">
        <v>18675</v>
      </c>
      <c r="P1005" s="234" t="s">
        <v>18725</v>
      </c>
      <c r="Q1005" s="234" t="s">
        <v>20181</v>
      </c>
      <c r="R1005" s="238" t="s">
        <v>22111</v>
      </c>
      <c r="S1005" s="238" t="s">
        <v>22120</v>
      </c>
      <c r="T1005" s="238" t="s">
        <v>18725</v>
      </c>
      <c r="U1005" s="238" t="s">
        <v>18725</v>
      </c>
      <c r="V1005" s="238" t="s">
        <v>18725</v>
      </c>
      <c r="W1005" s="238" t="s">
        <v>18725</v>
      </c>
      <c r="X1005" s="238" t="s">
        <v>18725</v>
      </c>
      <c r="Y1005" s="239" t="str">
        <f>IF('CCUS Projects Database'!$R1005&lt;&gt;"",HYPERLINK('CCUS Projects Database'!$R1005,"Link 1"),"")</f>
        <v>Link 1</v>
      </c>
      <c r="Z1005" s="239" t="str">
        <f>IF('CCUS Projects Database'!$S1005&lt;&gt;"",HYPERLINK('CCUS Projects Database'!$S1005,"Link 2"),"")</f>
        <v>Link 2</v>
      </c>
      <c r="AA1005" s="239" t="str">
        <f>IF('CCUS Projects Database'!$T1005&lt;&gt;"",HYPERLINK('CCUS Projects Database'!$T1005,"Link 3"),"")</f>
        <v/>
      </c>
      <c r="AB1005" s="239" t="str">
        <f>IF('CCUS Projects Database'!$U1005&lt;&gt;"",HYPERLINK('CCUS Projects Database'!$U1005,"Link 4"),"")</f>
        <v/>
      </c>
      <c r="AC1005" s="239" t="str">
        <f>IF('CCUS Projects Database'!$V1005&lt;&gt;"",HYPERLINK('CCUS Projects Database'!$V1005,"Link 5"),"")</f>
        <v/>
      </c>
      <c r="AD1005" s="239" t="str">
        <f>IF('CCUS Projects Database'!$W1005&lt;&gt;"",HYPERLINK('CCUS Projects Database'!$W1005,"Link 6"),"")</f>
        <v/>
      </c>
      <c r="AE1005" s="239" t="str">
        <f>IF('CCUS Projects Database'!$X1005&lt;&gt;"",HYPERLINK('CCUS Projects Database'!$X1005,"Link 7"),"")</f>
        <v/>
      </c>
    </row>
    <row r="1006" ht="14.25" customHeight="1">
      <c r="A1006" s="233" t="s">
        <v>22122</v>
      </c>
      <c r="B1006" s="234">
        <v>1346.0</v>
      </c>
      <c r="C1006" s="234" t="s">
        <v>18437</v>
      </c>
      <c r="D1006" s="235" t="s">
        <v>22119</v>
      </c>
      <c r="E1006" s="234" t="s">
        <v>18618</v>
      </c>
      <c r="F1006" s="234">
        <v>2024.0</v>
      </c>
      <c r="G1006" s="234" t="s">
        <v>18725</v>
      </c>
      <c r="H1006" s="234" t="s">
        <v>18725</v>
      </c>
      <c r="I1006" s="234" t="s">
        <v>18725</v>
      </c>
      <c r="J1006" s="234" t="s">
        <v>18636</v>
      </c>
      <c r="K1006" s="236">
        <v>3.0</v>
      </c>
      <c r="L1006" s="236">
        <v>0.03</v>
      </c>
      <c r="M1006" s="236">
        <v>0.03</v>
      </c>
      <c r="N1006" s="234" t="s">
        <v>18218</v>
      </c>
      <c r="O1006" s="237" t="s">
        <v>18675</v>
      </c>
      <c r="P1006" s="234" t="s">
        <v>18725</v>
      </c>
      <c r="Q1006" s="234" t="s">
        <v>20181</v>
      </c>
      <c r="R1006" s="238" t="s">
        <v>22111</v>
      </c>
      <c r="S1006" s="238" t="s">
        <v>22120</v>
      </c>
      <c r="T1006" s="238" t="s">
        <v>18725</v>
      </c>
      <c r="U1006" s="238" t="s">
        <v>18725</v>
      </c>
      <c r="V1006" s="238" t="s">
        <v>18725</v>
      </c>
      <c r="W1006" s="238" t="s">
        <v>18725</v>
      </c>
      <c r="X1006" s="238" t="s">
        <v>18725</v>
      </c>
      <c r="Y1006" s="239" t="str">
        <f>IF('CCUS Projects Database'!$R1006&lt;&gt;"",HYPERLINK('CCUS Projects Database'!$R1006,"Link 1"),"")</f>
        <v>Link 1</v>
      </c>
      <c r="Z1006" s="239" t="str">
        <f>IF('CCUS Projects Database'!$S1006&lt;&gt;"",HYPERLINK('CCUS Projects Database'!$S1006,"Link 2"),"")</f>
        <v>Link 2</v>
      </c>
      <c r="AA1006" s="239" t="str">
        <f>IF('CCUS Projects Database'!$T1006&lt;&gt;"",HYPERLINK('CCUS Projects Database'!$T1006,"Link 3"),"")</f>
        <v/>
      </c>
      <c r="AB1006" s="239" t="str">
        <f>IF('CCUS Projects Database'!$U1006&lt;&gt;"",HYPERLINK('CCUS Projects Database'!$U1006,"Link 4"),"")</f>
        <v/>
      </c>
      <c r="AC1006" s="239" t="str">
        <f>IF('CCUS Projects Database'!$V1006&lt;&gt;"",HYPERLINK('CCUS Projects Database'!$V1006,"Link 5"),"")</f>
        <v/>
      </c>
      <c r="AD1006" s="239" t="str">
        <f>IF('CCUS Projects Database'!$W1006&lt;&gt;"",HYPERLINK('CCUS Projects Database'!$W1006,"Link 6"),"")</f>
        <v/>
      </c>
      <c r="AE1006" s="239" t="str">
        <f>IF('CCUS Projects Database'!$X1006&lt;&gt;"",HYPERLINK('CCUS Projects Database'!$X1006,"Link 7"),"")</f>
        <v/>
      </c>
    </row>
    <row r="1007" ht="14.25" customHeight="1">
      <c r="A1007" s="233" t="s">
        <v>22123</v>
      </c>
      <c r="B1007" s="234">
        <v>1348.0</v>
      </c>
      <c r="C1007" s="234" t="s">
        <v>83</v>
      </c>
      <c r="D1007" s="235" t="s">
        <v>22124</v>
      </c>
      <c r="E1007" s="234" t="s">
        <v>18616</v>
      </c>
      <c r="F1007" s="234">
        <v>2025.0</v>
      </c>
      <c r="G1007" s="234" t="s">
        <v>18725</v>
      </c>
      <c r="H1007" s="234">
        <v>2031.0</v>
      </c>
      <c r="I1007" s="234" t="s">
        <v>18725</v>
      </c>
      <c r="J1007" s="234" t="s">
        <v>18636</v>
      </c>
      <c r="K1007" s="236" t="s">
        <v>18725</v>
      </c>
      <c r="L1007" s="236" t="s">
        <v>18725</v>
      </c>
      <c r="M1007" s="236" t="s">
        <v>18725</v>
      </c>
      <c r="N1007" s="234" t="s">
        <v>18654</v>
      </c>
      <c r="O1007" s="237" t="s">
        <v>18675</v>
      </c>
      <c r="P1007" s="234" t="s">
        <v>18725</v>
      </c>
      <c r="Q1007" s="234" t="s">
        <v>18726</v>
      </c>
      <c r="R1007" s="238" t="s">
        <v>22125</v>
      </c>
      <c r="S1007" s="238" t="s">
        <v>22126</v>
      </c>
      <c r="T1007" s="238" t="s">
        <v>18725</v>
      </c>
      <c r="U1007" s="238" t="s">
        <v>18725</v>
      </c>
      <c r="V1007" s="238" t="s">
        <v>18725</v>
      </c>
      <c r="W1007" s="238" t="s">
        <v>18725</v>
      </c>
      <c r="X1007" s="238" t="s">
        <v>18725</v>
      </c>
      <c r="Y1007" s="239" t="str">
        <f>IF('CCUS Projects Database'!$R1007&lt;&gt;"",HYPERLINK('CCUS Projects Database'!$R1007,"Link 1"),"")</f>
        <v>Link 1</v>
      </c>
      <c r="Z1007" s="239" t="str">
        <f>IF('CCUS Projects Database'!$S1007&lt;&gt;"",HYPERLINK('CCUS Projects Database'!$S1007,"Link 2"),"")</f>
        <v>Link 2</v>
      </c>
      <c r="AA1007" s="239" t="str">
        <f>IF('CCUS Projects Database'!$T1007&lt;&gt;"",HYPERLINK('CCUS Projects Database'!$T1007,"Link 3"),"")</f>
        <v/>
      </c>
      <c r="AB1007" s="239" t="str">
        <f>IF('CCUS Projects Database'!$U1007&lt;&gt;"",HYPERLINK('CCUS Projects Database'!$U1007,"Link 4"),"")</f>
        <v/>
      </c>
      <c r="AC1007" s="239" t="str">
        <f>IF('CCUS Projects Database'!$V1007&lt;&gt;"",HYPERLINK('CCUS Projects Database'!$V1007,"Link 5"),"")</f>
        <v/>
      </c>
      <c r="AD1007" s="239" t="str">
        <f>IF('CCUS Projects Database'!$W1007&lt;&gt;"",HYPERLINK('CCUS Projects Database'!$W1007,"Link 6"),"")</f>
        <v/>
      </c>
      <c r="AE1007" s="239" t="str">
        <f>IF('CCUS Projects Database'!$X1007&lt;&gt;"",HYPERLINK('CCUS Projects Database'!$X1007,"Link 7"),"")</f>
        <v/>
      </c>
    </row>
    <row r="1008" ht="14.25" customHeight="1">
      <c r="A1008" s="233" t="s">
        <v>22127</v>
      </c>
      <c r="B1008" s="234">
        <v>1349.0</v>
      </c>
      <c r="C1008" s="234" t="s">
        <v>98</v>
      </c>
      <c r="D1008" s="235" t="s">
        <v>22128</v>
      </c>
      <c r="E1008" s="234" t="s">
        <v>3</v>
      </c>
      <c r="F1008" s="234">
        <v>2024.0</v>
      </c>
      <c r="G1008" s="234" t="s">
        <v>18725</v>
      </c>
      <c r="H1008" s="234" t="s">
        <v>18725</v>
      </c>
      <c r="I1008" s="234" t="s">
        <v>18725</v>
      </c>
      <c r="J1008" s="234" t="s">
        <v>18636</v>
      </c>
      <c r="K1008" s="236" t="s">
        <v>18725</v>
      </c>
      <c r="L1008" s="236" t="s">
        <v>18725</v>
      </c>
      <c r="M1008" s="236" t="s">
        <v>18725</v>
      </c>
      <c r="N1008" s="234" t="s">
        <v>3</v>
      </c>
      <c r="O1008" s="237" t="s">
        <v>18675</v>
      </c>
      <c r="P1008" s="234" t="s">
        <v>18725</v>
      </c>
      <c r="Q1008" s="234" t="s">
        <v>18726</v>
      </c>
      <c r="R1008" s="238" t="s">
        <v>22129</v>
      </c>
      <c r="S1008" s="238" t="s">
        <v>22130</v>
      </c>
      <c r="T1008" s="238" t="s">
        <v>22131</v>
      </c>
      <c r="U1008" s="238" t="s">
        <v>18725</v>
      </c>
      <c r="V1008" s="238" t="s">
        <v>18725</v>
      </c>
      <c r="W1008" s="238" t="s">
        <v>18725</v>
      </c>
      <c r="X1008" s="238" t="s">
        <v>18725</v>
      </c>
      <c r="Y1008" s="239" t="str">
        <f>IF('CCUS Projects Database'!$R1008&lt;&gt;"",HYPERLINK('CCUS Projects Database'!$R1008,"Link 1"),"")</f>
        <v>Link 1</v>
      </c>
      <c r="Z1008" s="239" t="str">
        <f>IF('CCUS Projects Database'!$S1008&lt;&gt;"",HYPERLINK('CCUS Projects Database'!$S1008,"Link 2"),"")</f>
        <v>Link 2</v>
      </c>
      <c r="AA1008" s="239" t="str">
        <f>IF('CCUS Projects Database'!$T1008&lt;&gt;"",HYPERLINK('CCUS Projects Database'!$T1008,"Link 3"),"")</f>
        <v>Link 3</v>
      </c>
      <c r="AB1008" s="239" t="str">
        <f>IF('CCUS Projects Database'!$U1008&lt;&gt;"",HYPERLINK('CCUS Projects Database'!$U1008,"Link 4"),"")</f>
        <v/>
      </c>
      <c r="AC1008" s="239" t="str">
        <f>IF('CCUS Projects Database'!$V1008&lt;&gt;"",HYPERLINK('CCUS Projects Database'!$V1008,"Link 5"),"")</f>
        <v/>
      </c>
      <c r="AD1008" s="239" t="str">
        <f>IF('CCUS Projects Database'!$W1008&lt;&gt;"",HYPERLINK('CCUS Projects Database'!$W1008,"Link 6"),"")</f>
        <v/>
      </c>
      <c r="AE1008" s="239" t="str">
        <f>IF('CCUS Projects Database'!$X1008&lt;&gt;"",HYPERLINK('CCUS Projects Database'!$X1008,"Link 7"),"")</f>
        <v/>
      </c>
    </row>
    <row r="1009" ht="14.25" customHeight="1">
      <c r="A1009" s="233" t="s">
        <v>22132</v>
      </c>
      <c r="B1009" s="234">
        <v>1350.0</v>
      </c>
      <c r="C1009" s="234" t="s">
        <v>98</v>
      </c>
      <c r="D1009" s="235" t="s">
        <v>22133</v>
      </c>
      <c r="E1009" s="234" t="s">
        <v>3</v>
      </c>
      <c r="F1009" s="234">
        <v>2024.0</v>
      </c>
      <c r="G1009" s="234" t="s">
        <v>18725</v>
      </c>
      <c r="H1009" s="234" t="s">
        <v>18725</v>
      </c>
      <c r="I1009" s="234" t="s">
        <v>18725</v>
      </c>
      <c r="J1009" s="234" t="s">
        <v>18636</v>
      </c>
      <c r="K1009" s="236" t="s">
        <v>18725</v>
      </c>
      <c r="L1009" s="236" t="s">
        <v>18725</v>
      </c>
      <c r="M1009" s="236" t="s">
        <v>18725</v>
      </c>
      <c r="N1009" s="234" t="s">
        <v>3</v>
      </c>
      <c r="O1009" s="237" t="s">
        <v>18675</v>
      </c>
      <c r="P1009" s="234" t="s">
        <v>18725</v>
      </c>
      <c r="Q1009" s="234" t="s">
        <v>18726</v>
      </c>
      <c r="R1009" s="238" t="s">
        <v>22129</v>
      </c>
      <c r="S1009" s="238" t="s">
        <v>22130</v>
      </c>
      <c r="T1009" s="238" t="s">
        <v>22131</v>
      </c>
      <c r="U1009" s="238" t="s">
        <v>18725</v>
      </c>
      <c r="V1009" s="238" t="s">
        <v>18725</v>
      </c>
      <c r="W1009" s="238" t="s">
        <v>18725</v>
      </c>
      <c r="X1009" s="238" t="s">
        <v>18725</v>
      </c>
      <c r="Y1009" s="239" t="str">
        <f>IF('CCUS Projects Database'!$R1009&lt;&gt;"",HYPERLINK('CCUS Projects Database'!$R1009,"Link 1"),"")</f>
        <v>Link 1</v>
      </c>
      <c r="Z1009" s="239" t="str">
        <f>IF('CCUS Projects Database'!$S1009&lt;&gt;"",HYPERLINK('CCUS Projects Database'!$S1009,"Link 2"),"")</f>
        <v>Link 2</v>
      </c>
      <c r="AA1009" s="239" t="str">
        <f>IF('CCUS Projects Database'!$T1009&lt;&gt;"",HYPERLINK('CCUS Projects Database'!$T1009,"Link 3"),"")</f>
        <v>Link 3</v>
      </c>
      <c r="AB1009" s="239" t="str">
        <f>IF('CCUS Projects Database'!$U1009&lt;&gt;"",HYPERLINK('CCUS Projects Database'!$U1009,"Link 4"),"")</f>
        <v/>
      </c>
      <c r="AC1009" s="239" t="str">
        <f>IF('CCUS Projects Database'!$V1009&lt;&gt;"",HYPERLINK('CCUS Projects Database'!$V1009,"Link 5"),"")</f>
        <v/>
      </c>
      <c r="AD1009" s="239" t="str">
        <f>IF('CCUS Projects Database'!$W1009&lt;&gt;"",HYPERLINK('CCUS Projects Database'!$W1009,"Link 6"),"")</f>
        <v/>
      </c>
      <c r="AE1009" s="239" t="str">
        <f>IF('CCUS Projects Database'!$X1009&lt;&gt;"",HYPERLINK('CCUS Projects Database'!$X1009,"Link 7"),"")</f>
        <v/>
      </c>
    </row>
    <row r="1010" ht="14.25" customHeight="1">
      <c r="A1010" s="233" t="s">
        <v>22134</v>
      </c>
      <c r="B1010" s="234">
        <v>1352.0</v>
      </c>
      <c r="C1010" s="234" t="s">
        <v>18530</v>
      </c>
      <c r="D1010" s="235" t="s">
        <v>680</v>
      </c>
      <c r="E1010" s="234" t="s">
        <v>18618</v>
      </c>
      <c r="F1010" s="234">
        <v>2025.0</v>
      </c>
      <c r="G1010" s="234" t="s">
        <v>18725</v>
      </c>
      <c r="H1010" s="234" t="s">
        <v>18725</v>
      </c>
      <c r="I1010" s="234" t="s">
        <v>18725</v>
      </c>
      <c r="J1010" s="234" t="s">
        <v>18636</v>
      </c>
      <c r="K1010" s="236" t="s">
        <v>18725</v>
      </c>
      <c r="L1010" s="236" t="s">
        <v>18725</v>
      </c>
      <c r="M1010" s="236" t="s">
        <v>18725</v>
      </c>
      <c r="N1010" s="234" t="s">
        <v>18731</v>
      </c>
      <c r="O1010" s="237" t="s">
        <v>18675</v>
      </c>
      <c r="P1010" s="234" t="s">
        <v>20552</v>
      </c>
      <c r="Q1010" s="234" t="s">
        <v>18293</v>
      </c>
      <c r="R1010" s="238" t="s">
        <v>22135</v>
      </c>
      <c r="S1010" s="238" t="s">
        <v>18725</v>
      </c>
      <c r="T1010" s="238" t="s">
        <v>18725</v>
      </c>
      <c r="U1010" s="238" t="s">
        <v>18725</v>
      </c>
      <c r="V1010" s="238" t="s">
        <v>18725</v>
      </c>
      <c r="W1010" s="238" t="s">
        <v>18725</v>
      </c>
      <c r="X1010" s="238" t="s">
        <v>18725</v>
      </c>
      <c r="Y1010" s="239" t="str">
        <f>IF('CCUS Projects Database'!$R1010&lt;&gt;"",HYPERLINK('CCUS Projects Database'!$R1010,"Link 1"),"")</f>
        <v>Link 1</v>
      </c>
      <c r="Z1010" s="239" t="str">
        <f>IF('CCUS Projects Database'!$S1010&lt;&gt;"",HYPERLINK('CCUS Projects Database'!$S1010,"Link 2"),"")</f>
        <v/>
      </c>
      <c r="AA1010" s="239" t="str">
        <f>IF('CCUS Projects Database'!$T1010&lt;&gt;"",HYPERLINK('CCUS Projects Database'!$T1010,"Link 3"),"")</f>
        <v/>
      </c>
      <c r="AB1010" s="239" t="str">
        <f>IF('CCUS Projects Database'!$U1010&lt;&gt;"",HYPERLINK('CCUS Projects Database'!$U1010,"Link 4"),"")</f>
        <v/>
      </c>
      <c r="AC1010" s="239" t="str">
        <f>IF('CCUS Projects Database'!$V1010&lt;&gt;"",HYPERLINK('CCUS Projects Database'!$V1010,"Link 5"),"")</f>
        <v/>
      </c>
      <c r="AD1010" s="239" t="str">
        <f>IF('CCUS Projects Database'!$W1010&lt;&gt;"",HYPERLINK('CCUS Projects Database'!$W1010,"Link 6"),"")</f>
        <v/>
      </c>
      <c r="AE1010" s="239" t="str">
        <f>IF('CCUS Projects Database'!$X1010&lt;&gt;"",HYPERLINK('CCUS Projects Database'!$X1010,"Link 7"),"")</f>
        <v/>
      </c>
    </row>
    <row r="1011" ht="14.25" customHeight="1">
      <c r="A1011" s="233" t="s">
        <v>22136</v>
      </c>
      <c r="B1011" s="234">
        <v>1353.0</v>
      </c>
      <c r="C1011" s="234" t="s">
        <v>18586</v>
      </c>
      <c r="D1011" s="235" t="s">
        <v>21933</v>
      </c>
      <c r="E1011" s="234" t="s">
        <v>18618</v>
      </c>
      <c r="F1011" s="234">
        <v>2023.0</v>
      </c>
      <c r="G1011" s="234" t="s">
        <v>18725</v>
      </c>
      <c r="H1011" s="234">
        <v>2027.0</v>
      </c>
      <c r="I1011" s="234" t="s">
        <v>18725</v>
      </c>
      <c r="J1011" s="234" t="s">
        <v>18636</v>
      </c>
      <c r="K1011" s="236">
        <v>2.0</v>
      </c>
      <c r="L1011" s="236">
        <v>0.1</v>
      </c>
      <c r="M1011" s="236">
        <v>0.1</v>
      </c>
      <c r="N1011" s="234" t="s">
        <v>18218</v>
      </c>
      <c r="O1011" s="237" t="s">
        <v>21282</v>
      </c>
      <c r="P1011" s="234" t="s">
        <v>20801</v>
      </c>
      <c r="Q1011" s="234" t="s">
        <v>18732</v>
      </c>
      <c r="R1011" s="238" t="s">
        <v>21934</v>
      </c>
      <c r="S1011" s="238" t="s">
        <v>21935</v>
      </c>
      <c r="T1011" s="238" t="s">
        <v>21936</v>
      </c>
      <c r="U1011" s="238" t="s">
        <v>18725</v>
      </c>
      <c r="V1011" s="238" t="s">
        <v>18725</v>
      </c>
      <c r="W1011" s="238" t="s">
        <v>18725</v>
      </c>
      <c r="X1011" s="238" t="s">
        <v>18725</v>
      </c>
      <c r="Y1011" s="239" t="str">
        <f>IF('CCUS Projects Database'!$R1011&lt;&gt;"",HYPERLINK('CCUS Projects Database'!$R1011,"Link 1"),"")</f>
        <v>Link 1</v>
      </c>
      <c r="Z1011" s="239" t="str">
        <f>IF('CCUS Projects Database'!$S1011&lt;&gt;"",HYPERLINK('CCUS Projects Database'!$S1011,"Link 2"),"")</f>
        <v>Link 2</v>
      </c>
      <c r="AA1011" s="239" t="str">
        <f>IF('CCUS Projects Database'!$T1011&lt;&gt;"",HYPERLINK('CCUS Projects Database'!$T1011,"Link 3"),"")</f>
        <v>Link 3</v>
      </c>
      <c r="AB1011" s="239" t="str">
        <f>IF('CCUS Projects Database'!$U1011&lt;&gt;"",HYPERLINK('CCUS Projects Database'!$U1011,"Link 4"),"")</f>
        <v/>
      </c>
      <c r="AC1011" s="239" t="str">
        <f>IF('CCUS Projects Database'!$V1011&lt;&gt;"",HYPERLINK('CCUS Projects Database'!$V1011,"Link 5"),"")</f>
        <v/>
      </c>
      <c r="AD1011" s="239" t="str">
        <f>IF('CCUS Projects Database'!$W1011&lt;&gt;"",HYPERLINK('CCUS Projects Database'!$W1011,"Link 6"),"")</f>
        <v/>
      </c>
      <c r="AE1011" s="239" t="str">
        <f>IF('CCUS Projects Database'!$X1011&lt;&gt;"",HYPERLINK('CCUS Projects Database'!$X1011,"Link 7"),"")</f>
        <v/>
      </c>
    </row>
    <row r="1012" ht="14.25" customHeight="1">
      <c r="A1012" s="233" t="s">
        <v>22137</v>
      </c>
      <c r="B1012" s="234">
        <v>1354.0</v>
      </c>
      <c r="C1012" s="234" t="s">
        <v>18586</v>
      </c>
      <c r="D1012" s="235" t="s">
        <v>21933</v>
      </c>
      <c r="E1012" s="234" t="s">
        <v>18618</v>
      </c>
      <c r="F1012" s="234">
        <v>2023.0</v>
      </c>
      <c r="G1012" s="234" t="s">
        <v>18725</v>
      </c>
      <c r="H1012" s="234">
        <v>2030.0</v>
      </c>
      <c r="I1012" s="234" t="s">
        <v>18725</v>
      </c>
      <c r="J1012" s="234" t="s">
        <v>18636</v>
      </c>
      <c r="K1012" s="236">
        <v>3.0</v>
      </c>
      <c r="L1012" s="236">
        <v>0.2</v>
      </c>
      <c r="M1012" s="236">
        <v>0.2</v>
      </c>
      <c r="N1012" s="234" t="s">
        <v>18218</v>
      </c>
      <c r="O1012" s="237" t="s">
        <v>21282</v>
      </c>
      <c r="P1012" s="234" t="s">
        <v>20801</v>
      </c>
      <c r="Q1012" s="234" t="s">
        <v>18732</v>
      </c>
      <c r="R1012" s="238" t="s">
        <v>21934</v>
      </c>
      <c r="S1012" s="238" t="s">
        <v>21935</v>
      </c>
      <c r="T1012" s="238" t="s">
        <v>21936</v>
      </c>
      <c r="U1012" s="238" t="s">
        <v>18725</v>
      </c>
      <c r="V1012" s="238" t="s">
        <v>18725</v>
      </c>
      <c r="W1012" s="238" t="s">
        <v>18725</v>
      </c>
      <c r="X1012" s="238" t="s">
        <v>18725</v>
      </c>
      <c r="Y1012" s="239" t="str">
        <f>IF('CCUS Projects Database'!$R1012&lt;&gt;"",HYPERLINK('CCUS Projects Database'!$R1012,"Link 1"),"")</f>
        <v>Link 1</v>
      </c>
      <c r="Z1012" s="239" t="str">
        <f>IF('CCUS Projects Database'!$S1012&lt;&gt;"",HYPERLINK('CCUS Projects Database'!$S1012,"Link 2"),"")</f>
        <v>Link 2</v>
      </c>
      <c r="AA1012" s="239" t="str">
        <f>IF('CCUS Projects Database'!$T1012&lt;&gt;"",HYPERLINK('CCUS Projects Database'!$T1012,"Link 3"),"")</f>
        <v>Link 3</v>
      </c>
      <c r="AB1012" s="239" t="str">
        <f>IF('CCUS Projects Database'!$U1012&lt;&gt;"",HYPERLINK('CCUS Projects Database'!$U1012,"Link 4"),"")</f>
        <v/>
      </c>
      <c r="AC1012" s="239" t="str">
        <f>IF('CCUS Projects Database'!$V1012&lt;&gt;"",HYPERLINK('CCUS Projects Database'!$V1012,"Link 5"),"")</f>
        <v/>
      </c>
      <c r="AD1012" s="239" t="str">
        <f>IF('CCUS Projects Database'!$W1012&lt;&gt;"",HYPERLINK('CCUS Projects Database'!$W1012,"Link 6"),"")</f>
        <v/>
      </c>
      <c r="AE1012" s="239" t="str">
        <f>IF('CCUS Projects Database'!$X1012&lt;&gt;"",HYPERLINK('CCUS Projects Database'!$X1012,"Link 7"),"")</f>
        <v/>
      </c>
    </row>
    <row r="1013" ht="14.25" customHeight="1">
      <c r="A1013" s="233" t="s">
        <v>22138</v>
      </c>
      <c r="B1013" s="234">
        <v>1356.0</v>
      </c>
      <c r="C1013" s="234" t="s">
        <v>120</v>
      </c>
      <c r="D1013" s="235" t="s">
        <v>22139</v>
      </c>
      <c r="E1013" s="234" t="s">
        <v>18618</v>
      </c>
      <c r="F1013" s="234">
        <v>2022.0</v>
      </c>
      <c r="G1013" s="234" t="s">
        <v>18725</v>
      </c>
      <c r="H1013" s="234">
        <v>2028.0</v>
      </c>
      <c r="I1013" s="234" t="s">
        <v>18725</v>
      </c>
      <c r="J1013" s="234" t="s">
        <v>18636</v>
      </c>
      <c r="K1013" s="236" t="s">
        <v>18725</v>
      </c>
      <c r="L1013" s="236">
        <v>0.6</v>
      </c>
      <c r="M1013" s="236">
        <v>0.6</v>
      </c>
      <c r="N1013" s="234" t="s">
        <v>18663</v>
      </c>
      <c r="O1013" s="237" t="s">
        <v>18675</v>
      </c>
      <c r="P1013" s="234" t="s">
        <v>18725</v>
      </c>
      <c r="Q1013" s="234" t="s">
        <v>18726</v>
      </c>
      <c r="R1013" s="238" t="s">
        <v>22140</v>
      </c>
      <c r="S1013" s="238" t="s">
        <v>22141</v>
      </c>
      <c r="T1013" s="238" t="s">
        <v>18725</v>
      </c>
      <c r="U1013" s="238" t="s">
        <v>18725</v>
      </c>
      <c r="V1013" s="238" t="s">
        <v>18725</v>
      </c>
      <c r="W1013" s="238" t="s">
        <v>18725</v>
      </c>
      <c r="X1013" s="238" t="s">
        <v>18725</v>
      </c>
      <c r="Y1013" s="239" t="str">
        <f>IF('CCUS Projects Database'!$R1013&lt;&gt;"",HYPERLINK('CCUS Projects Database'!$R1013,"Link 1"),"")</f>
        <v>Link 1</v>
      </c>
      <c r="Z1013" s="239" t="str">
        <f>IF('CCUS Projects Database'!$S1013&lt;&gt;"",HYPERLINK('CCUS Projects Database'!$S1013,"Link 2"),"")</f>
        <v>Link 2</v>
      </c>
      <c r="AA1013" s="239" t="str">
        <f>IF('CCUS Projects Database'!$T1013&lt;&gt;"",HYPERLINK('CCUS Projects Database'!$T1013,"Link 3"),"")</f>
        <v/>
      </c>
      <c r="AB1013" s="239" t="str">
        <f>IF('CCUS Projects Database'!$U1013&lt;&gt;"",HYPERLINK('CCUS Projects Database'!$U1013,"Link 4"),"")</f>
        <v/>
      </c>
      <c r="AC1013" s="239" t="str">
        <f>IF('CCUS Projects Database'!$V1013&lt;&gt;"",HYPERLINK('CCUS Projects Database'!$V1013,"Link 5"),"")</f>
        <v/>
      </c>
      <c r="AD1013" s="239" t="str">
        <f>IF('CCUS Projects Database'!$W1013&lt;&gt;"",HYPERLINK('CCUS Projects Database'!$W1013,"Link 6"),"")</f>
        <v/>
      </c>
      <c r="AE1013" s="239" t="str">
        <f>IF('CCUS Projects Database'!$X1013&lt;&gt;"",HYPERLINK('CCUS Projects Database'!$X1013,"Link 7"),"")</f>
        <v/>
      </c>
    </row>
    <row r="1014" ht="14.25" customHeight="1">
      <c r="A1014" s="233" t="s">
        <v>22142</v>
      </c>
      <c r="B1014" s="234">
        <v>1357.0</v>
      </c>
      <c r="C1014" s="234" t="s">
        <v>161</v>
      </c>
      <c r="D1014" s="235" t="s">
        <v>21588</v>
      </c>
      <c r="E1014" s="234" t="s">
        <v>18618</v>
      </c>
      <c r="F1014" s="234">
        <v>2024.0</v>
      </c>
      <c r="G1014" s="234" t="s">
        <v>18725</v>
      </c>
      <c r="H1014" s="234">
        <v>2031.0</v>
      </c>
      <c r="I1014" s="234" t="s">
        <v>18725</v>
      </c>
      <c r="J1014" s="234" t="s">
        <v>18636</v>
      </c>
      <c r="K1014" s="236" t="s">
        <v>18725</v>
      </c>
      <c r="L1014" s="236" t="s">
        <v>18725</v>
      </c>
      <c r="M1014" s="236" t="s">
        <v>18725</v>
      </c>
      <c r="N1014" s="234" t="s">
        <v>18663</v>
      </c>
      <c r="O1014" s="237" t="s">
        <v>18675</v>
      </c>
      <c r="P1014" s="234" t="s">
        <v>18725</v>
      </c>
      <c r="Q1014" s="234" t="s">
        <v>18726</v>
      </c>
      <c r="R1014" s="238" t="s">
        <v>22143</v>
      </c>
      <c r="S1014" s="238" t="s">
        <v>22144</v>
      </c>
      <c r="T1014" s="238" t="s">
        <v>18725</v>
      </c>
      <c r="U1014" s="238" t="s">
        <v>18725</v>
      </c>
      <c r="V1014" s="238" t="s">
        <v>18725</v>
      </c>
      <c r="W1014" s="238" t="s">
        <v>18725</v>
      </c>
      <c r="X1014" s="238" t="s">
        <v>18725</v>
      </c>
      <c r="Y1014" s="239" t="str">
        <f>IF('CCUS Projects Database'!$R1014&lt;&gt;"",HYPERLINK('CCUS Projects Database'!$R1014,"Link 1"),"")</f>
        <v>Link 1</v>
      </c>
      <c r="Z1014" s="239" t="str">
        <f>IF('CCUS Projects Database'!$S1014&lt;&gt;"",HYPERLINK('CCUS Projects Database'!$S1014,"Link 2"),"")</f>
        <v>Link 2</v>
      </c>
      <c r="AA1014" s="239" t="str">
        <f>IF('CCUS Projects Database'!$T1014&lt;&gt;"",HYPERLINK('CCUS Projects Database'!$T1014,"Link 3"),"")</f>
        <v/>
      </c>
      <c r="AB1014" s="239" t="str">
        <f>IF('CCUS Projects Database'!$U1014&lt;&gt;"",HYPERLINK('CCUS Projects Database'!$U1014,"Link 4"),"")</f>
        <v/>
      </c>
      <c r="AC1014" s="239" t="str">
        <f>IF('CCUS Projects Database'!$V1014&lt;&gt;"",HYPERLINK('CCUS Projects Database'!$V1014,"Link 5"),"")</f>
        <v/>
      </c>
      <c r="AD1014" s="239" t="str">
        <f>IF('CCUS Projects Database'!$W1014&lt;&gt;"",HYPERLINK('CCUS Projects Database'!$W1014,"Link 6"),"")</f>
        <v/>
      </c>
      <c r="AE1014" s="239" t="str">
        <f>IF('CCUS Projects Database'!$X1014&lt;&gt;"",HYPERLINK('CCUS Projects Database'!$X1014,"Link 7"),"")</f>
        <v/>
      </c>
    </row>
    <row r="1015" ht="14.25" customHeight="1">
      <c r="A1015" s="233" t="s">
        <v>22145</v>
      </c>
      <c r="B1015" s="234">
        <v>1360.0</v>
      </c>
      <c r="C1015" s="234" t="s">
        <v>83</v>
      </c>
      <c r="D1015" s="235" t="s">
        <v>22146</v>
      </c>
      <c r="E1015" s="234" t="s">
        <v>18618</v>
      </c>
      <c r="F1015" s="234">
        <v>2022.0</v>
      </c>
      <c r="G1015" s="234" t="s">
        <v>18725</v>
      </c>
      <c r="H1015" s="234">
        <v>2030.0</v>
      </c>
      <c r="I1015" s="234" t="s">
        <v>18725</v>
      </c>
      <c r="J1015" s="234" t="s">
        <v>18636</v>
      </c>
      <c r="K1015" s="236" t="s">
        <v>18725</v>
      </c>
      <c r="L1015" s="236">
        <v>2.3</v>
      </c>
      <c r="M1015" s="236">
        <v>2.3</v>
      </c>
      <c r="N1015" s="234" t="s">
        <v>18654</v>
      </c>
      <c r="O1015" s="237" t="s">
        <v>18675</v>
      </c>
      <c r="P1015" s="234" t="s">
        <v>18725</v>
      </c>
      <c r="Q1015" s="234" t="s">
        <v>18726</v>
      </c>
      <c r="R1015" s="238" t="s">
        <v>22147</v>
      </c>
      <c r="S1015" s="238" t="s">
        <v>18725</v>
      </c>
      <c r="T1015" s="238" t="s">
        <v>18725</v>
      </c>
      <c r="U1015" s="238" t="s">
        <v>18725</v>
      </c>
      <c r="V1015" s="238" t="s">
        <v>18725</v>
      </c>
      <c r="W1015" s="238" t="s">
        <v>18725</v>
      </c>
      <c r="X1015" s="238" t="s">
        <v>18725</v>
      </c>
      <c r="Y1015" s="239" t="str">
        <f>IF('CCUS Projects Database'!$R1015&lt;&gt;"",HYPERLINK('CCUS Projects Database'!$R1015,"Link 1"),"")</f>
        <v>Link 1</v>
      </c>
      <c r="Z1015" s="239" t="str">
        <f>IF('CCUS Projects Database'!$S1015&lt;&gt;"",HYPERLINK('CCUS Projects Database'!$S1015,"Link 2"),"")</f>
        <v/>
      </c>
      <c r="AA1015" s="239" t="str">
        <f>IF('CCUS Projects Database'!$T1015&lt;&gt;"",HYPERLINK('CCUS Projects Database'!$T1015,"Link 3"),"")</f>
        <v/>
      </c>
      <c r="AB1015" s="239" t="str">
        <f>IF('CCUS Projects Database'!$U1015&lt;&gt;"",HYPERLINK('CCUS Projects Database'!$U1015,"Link 4"),"")</f>
        <v/>
      </c>
      <c r="AC1015" s="239" t="str">
        <f>IF('CCUS Projects Database'!$V1015&lt;&gt;"",HYPERLINK('CCUS Projects Database'!$V1015,"Link 5"),"")</f>
        <v/>
      </c>
      <c r="AD1015" s="239" t="str">
        <f>IF('CCUS Projects Database'!$W1015&lt;&gt;"",HYPERLINK('CCUS Projects Database'!$W1015,"Link 6"),"")</f>
        <v/>
      </c>
      <c r="AE1015" s="239" t="str">
        <f>IF('CCUS Projects Database'!$X1015&lt;&gt;"",HYPERLINK('CCUS Projects Database'!$X1015,"Link 7"),"")</f>
        <v/>
      </c>
    </row>
    <row r="1016" ht="14.25" customHeight="1">
      <c r="A1016" s="233" t="s">
        <v>22148</v>
      </c>
      <c r="B1016" s="234">
        <v>1361.0</v>
      </c>
      <c r="C1016" s="234" t="s">
        <v>164</v>
      </c>
      <c r="D1016" s="235" t="s">
        <v>20735</v>
      </c>
      <c r="E1016" s="234" t="s">
        <v>18623</v>
      </c>
      <c r="F1016" s="234">
        <v>2023.0</v>
      </c>
      <c r="G1016" s="234">
        <v>2043.0</v>
      </c>
      <c r="H1016" s="234">
        <v>2046.0</v>
      </c>
      <c r="I1016" s="234" t="s">
        <v>18725</v>
      </c>
      <c r="J1016" s="234" t="s">
        <v>18636</v>
      </c>
      <c r="K1016" s="236">
        <v>2.0</v>
      </c>
      <c r="L1016" s="236" t="s">
        <v>22149</v>
      </c>
      <c r="M1016" s="236">
        <v>5.0</v>
      </c>
      <c r="N1016" s="234" t="s">
        <v>18623</v>
      </c>
      <c r="O1016" s="237" t="s">
        <v>18675</v>
      </c>
      <c r="P1016" s="234" t="s">
        <v>20736</v>
      </c>
      <c r="Q1016" s="234" t="s">
        <v>18726</v>
      </c>
      <c r="R1016" s="238" t="s">
        <v>20703</v>
      </c>
      <c r="S1016" s="238" t="s">
        <v>20737</v>
      </c>
      <c r="T1016" s="238" t="s">
        <v>18725</v>
      </c>
      <c r="U1016" s="238" t="s">
        <v>18725</v>
      </c>
      <c r="V1016" s="238" t="s">
        <v>18725</v>
      </c>
      <c r="W1016" s="238" t="s">
        <v>18725</v>
      </c>
      <c r="X1016" s="238" t="s">
        <v>18725</v>
      </c>
      <c r="Y1016" s="239" t="str">
        <f>IF('CCUS Projects Database'!$R1016&lt;&gt;"",HYPERLINK('CCUS Projects Database'!$R1016,"Link 1"),"")</f>
        <v>Link 1</v>
      </c>
      <c r="Z1016" s="239" t="str">
        <f>IF('CCUS Projects Database'!$S1016&lt;&gt;"",HYPERLINK('CCUS Projects Database'!$S1016,"Link 2"),"")</f>
        <v>Link 2</v>
      </c>
      <c r="AA1016" s="239" t="str">
        <f>IF('CCUS Projects Database'!$T1016&lt;&gt;"",HYPERLINK('CCUS Projects Database'!$T1016,"Link 3"),"")</f>
        <v/>
      </c>
      <c r="AB1016" s="239" t="str">
        <f>IF('CCUS Projects Database'!$U1016&lt;&gt;"",HYPERLINK('CCUS Projects Database'!$U1016,"Link 4"),"")</f>
        <v/>
      </c>
      <c r="AC1016" s="239" t="str">
        <f>IF('CCUS Projects Database'!$V1016&lt;&gt;"",HYPERLINK('CCUS Projects Database'!$V1016,"Link 5"),"")</f>
        <v/>
      </c>
      <c r="AD1016" s="239" t="str">
        <f>IF('CCUS Projects Database'!$W1016&lt;&gt;"",HYPERLINK('CCUS Projects Database'!$W1016,"Link 6"),"")</f>
        <v/>
      </c>
      <c r="AE1016" s="239" t="str">
        <f>IF('CCUS Projects Database'!$X1016&lt;&gt;"",HYPERLINK('CCUS Projects Database'!$X1016,"Link 7"),"")</f>
        <v/>
      </c>
    </row>
    <row r="1017" ht="14.25" customHeight="1">
      <c r="A1017" s="233" t="s">
        <v>22150</v>
      </c>
      <c r="B1017" s="234">
        <v>1363.0</v>
      </c>
      <c r="C1017" s="234" t="s">
        <v>18360</v>
      </c>
      <c r="D1017" s="235" t="s">
        <v>20166</v>
      </c>
      <c r="E1017" s="234" t="s">
        <v>18616</v>
      </c>
      <c r="F1017" s="234">
        <v>2022.0</v>
      </c>
      <c r="G1017" s="234" t="s">
        <v>18725</v>
      </c>
      <c r="H1017" s="234">
        <v>2030.0</v>
      </c>
      <c r="I1017" s="234" t="s">
        <v>18725</v>
      </c>
      <c r="J1017" s="234" t="s">
        <v>18636</v>
      </c>
      <c r="K1017" s="236" t="s">
        <v>18725</v>
      </c>
      <c r="L1017" s="236">
        <v>0.8</v>
      </c>
      <c r="M1017" s="236">
        <v>0.8</v>
      </c>
      <c r="N1017" s="234" t="s">
        <v>18661</v>
      </c>
      <c r="O1017" s="237" t="s">
        <v>18677</v>
      </c>
      <c r="P1017" s="234" t="s">
        <v>20167</v>
      </c>
      <c r="Q1017" s="234" t="s">
        <v>18856</v>
      </c>
      <c r="R1017" s="238" t="s">
        <v>22151</v>
      </c>
      <c r="S1017" s="238" t="s">
        <v>18725</v>
      </c>
      <c r="T1017" s="238" t="s">
        <v>18725</v>
      </c>
      <c r="U1017" s="238" t="s">
        <v>18725</v>
      </c>
      <c r="V1017" s="238" t="s">
        <v>18725</v>
      </c>
      <c r="W1017" s="238" t="s">
        <v>18725</v>
      </c>
      <c r="X1017" s="238" t="s">
        <v>18725</v>
      </c>
      <c r="Y1017" s="239" t="str">
        <f>IF('CCUS Projects Database'!$R1017&lt;&gt;"",HYPERLINK('CCUS Projects Database'!$R1017,"Link 1"),"")</f>
        <v>Link 1</v>
      </c>
      <c r="Z1017" s="239" t="str">
        <f>IF('CCUS Projects Database'!$S1017&lt;&gt;"",HYPERLINK('CCUS Projects Database'!$S1017,"Link 2"),"")</f>
        <v/>
      </c>
      <c r="AA1017" s="239" t="str">
        <f>IF('CCUS Projects Database'!$T1017&lt;&gt;"",HYPERLINK('CCUS Projects Database'!$T1017,"Link 3"),"")</f>
        <v/>
      </c>
      <c r="AB1017" s="239" t="str">
        <f>IF('CCUS Projects Database'!$U1017&lt;&gt;"",HYPERLINK('CCUS Projects Database'!$U1017,"Link 4"),"")</f>
        <v/>
      </c>
      <c r="AC1017" s="239" t="str">
        <f>IF('CCUS Projects Database'!$V1017&lt;&gt;"",HYPERLINK('CCUS Projects Database'!$V1017,"Link 5"),"")</f>
        <v/>
      </c>
      <c r="AD1017" s="239" t="str">
        <f>IF('CCUS Projects Database'!$W1017&lt;&gt;"",HYPERLINK('CCUS Projects Database'!$W1017,"Link 6"),"")</f>
        <v/>
      </c>
      <c r="AE1017" s="239" t="str">
        <f>IF('CCUS Projects Database'!$X1017&lt;&gt;"",HYPERLINK('CCUS Projects Database'!$X1017,"Link 7"),"")</f>
        <v/>
      </c>
    </row>
    <row r="1018" ht="14.25" customHeight="1">
      <c r="A1018" s="233" t="s">
        <v>22152</v>
      </c>
      <c r="B1018" s="234">
        <v>1366.0</v>
      </c>
      <c r="C1018" s="234" t="s">
        <v>18290</v>
      </c>
      <c r="D1018" s="235" t="s">
        <v>22153</v>
      </c>
      <c r="E1018" s="234" t="s">
        <v>18618</v>
      </c>
      <c r="F1018" s="234">
        <v>2023.0</v>
      </c>
      <c r="G1018" s="234" t="s">
        <v>18725</v>
      </c>
      <c r="H1018" s="234">
        <v>2030.0</v>
      </c>
      <c r="I1018" s="234" t="s">
        <v>18725</v>
      </c>
      <c r="J1018" s="234" t="s">
        <v>18636</v>
      </c>
      <c r="K1018" s="236" t="s">
        <v>18725</v>
      </c>
      <c r="L1018" s="236" t="s">
        <v>18725</v>
      </c>
      <c r="M1018" s="236" t="s">
        <v>18725</v>
      </c>
      <c r="N1018" s="234" t="s">
        <v>18731</v>
      </c>
      <c r="O1018" s="237" t="s">
        <v>18683</v>
      </c>
      <c r="P1018" s="234" t="s">
        <v>18725</v>
      </c>
      <c r="Q1018" s="234" t="s">
        <v>18856</v>
      </c>
      <c r="R1018" s="238" t="s">
        <v>22154</v>
      </c>
      <c r="S1018" s="238" t="s">
        <v>18725</v>
      </c>
      <c r="T1018" s="238" t="s">
        <v>18725</v>
      </c>
      <c r="U1018" s="238" t="s">
        <v>18725</v>
      </c>
      <c r="V1018" s="238" t="s">
        <v>18725</v>
      </c>
      <c r="W1018" s="238" t="s">
        <v>18725</v>
      </c>
      <c r="X1018" s="238" t="s">
        <v>18725</v>
      </c>
      <c r="Y1018" s="239" t="str">
        <f>IF('CCUS Projects Database'!$R1018&lt;&gt;"",HYPERLINK('CCUS Projects Database'!$R1018,"Link 1"),"")</f>
        <v>Link 1</v>
      </c>
      <c r="Z1018" s="239" t="str">
        <f>IF('CCUS Projects Database'!$S1018&lt;&gt;"",HYPERLINK('CCUS Projects Database'!$S1018,"Link 2"),"")</f>
        <v/>
      </c>
      <c r="AA1018" s="239" t="str">
        <f>IF('CCUS Projects Database'!$T1018&lt;&gt;"",HYPERLINK('CCUS Projects Database'!$T1018,"Link 3"),"")</f>
        <v/>
      </c>
      <c r="AB1018" s="239" t="str">
        <f>IF('CCUS Projects Database'!$U1018&lt;&gt;"",HYPERLINK('CCUS Projects Database'!$U1018,"Link 4"),"")</f>
        <v/>
      </c>
      <c r="AC1018" s="239" t="str">
        <f>IF('CCUS Projects Database'!$V1018&lt;&gt;"",HYPERLINK('CCUS Projects Database'!$V1018,"Link 5"),"")</f>
        <v/>
      </c>
      <c r="AD1018" s="239" t="str">
        <f>IF('CCUS Projects Database'!$W1018&lt;&gt;"",HYPERLINK('CCUS Projects Database'!$W1018,"Link 6"),"")</f>
        <v/>
      </c>
      <c r="AE1018" s="239" t="str">
        <f>IF('CCUS Projects Database'!$X1018&lt;&gt;"",HYPERLINK('CCUS Projects Database'!$X1018,"Link 7"),"")</f>
        <v/>
      </c>
    </row>
    <row r="1019" ht="14.25" customHeight="1">
      <c r="A1019" s="242"/>
      <c r="B1019" s="243"/>
      <c r="P1019" s="244"/>
      <c r="R1019" s="245"/>
      <c r="S1019" s="245"/>
      <c r="T1019" s="245"/>
      <c r="U1019" s="245"/>
      <c r="V1019" s="245"/>
      <c r="W1019" s="245"/>
      <c r="X1019" s="245"/>
      <c r="Y1019" s="246"/>
      <c r="Z1019" s="246"/>
      <c r="AA1019" s="246"/>
      <c r="AB1019" s="246"/>
      <c r="AC1019" s="246"/>
      <c r="AD1019" s="246"/>
      <c r="AE1019" s="246"/>
    </row>
    <row r="1020" ht="14.25" customHeight="1">
      <c r="A1020" s="242"/>
      <c r="B1020" s="243"/>
      <c r="P1020" s="244"/>
      <c r="R1020" s="245"/>
      <c r="S1020" s="245"/>
      <c r="T1020" s="245"/>
      <c r="U1020" s="245"/>
      <c r="V1020" s="245"/>
      <c r="W1020" s="245"/>
      <c r="X1020" s="245"/>
      <c r="Y1020" s="246"/>
      <c r="Z1020" s="246"/>
      <c r="AA1020" s="246"/>
      <c r="AB1020" s="246"/>
      <c r="AC1020" s="246"/>
      <c r="AD1020" s="246"/>
      <c r="AE1020" s="246"/>
    </row>
    <row r="1021" ht="14.25" customHeight="1">
      <c r="A1021" s="242"/>
      <c r="B1021" s="243"/>
      <c r="P1021" s="244"/>
      <c r="R1021" s="245"/>
      <c r="S1021" s="245"/>
      <c r="T1021" s="245"/>
      <c r="U1021" s="245"/>
      <c r="V1021" s="245"/>
      <c r="W1021" s="245"/>
      <c r="X1021" s="245"/>
      <c r="Y1021" s="246"/>
      <c r="Z1021" s="246"/>
      <c r="AA1021" s="246"/>
      <c r="AB1021" s="246"/>
      <c r="AC1021" s="246"/>
      <c r="AD1021" s="246"/>
      <c r="AE1021" s="246"/>
    </row>
    <row r="1022" ht="14.25" customHeight="1">
      <c r="A1022" s="242"/>
      <c r="B1022" s="243"/>
      <c r="P1022" s="244"/>
      <c r="R1022" s="245"/>
      <c r="S1022" s="245"/>
      <c r="T1022" s="245"/>
      <c r="U1022" s="245"/>
      <c r="V1022" s="245"/>
      <c r="W1022" s="245"/>
      <c r="X1022" s="245"/>
      <c r="Y1022" s="246"/>
      <c r="Z1022" s="246"/>
      <c r="AA1022" s="246"/>
      <c r="AB1022" s="246"/>
      <c r="AC1022" s="246"/>
      <c r="AD1022" s="246"/>
      <c r="AE1022" s="246"/>
    </row>
    <row r="1023" ht="14.25" customHeight="1">
      <c r="A1023" s="242"/>
      <c r="B1023" s="243"/>
      <c r="P1023" s="244"/>
      <c r="R1023" s="245"/>
      <c r="S1023" s="245"/>
      <c r="T1023" s="245"/>
      <c r="U1023" s="245"/>
      <c r="V1023" s="245"/>
      <c r="W1023" s="245"/>
      <c r="X1023" s="245"/>
      <c r="Y1023" s="246"/>
      <c r="Z1023" s="246"/>
      <c r="AA1023" s="246"/>
      <c r="AB1023" s="246"/>
      <c r="AC1023" s="246"/>
      <c r="AD1023" s="246"/>
      <c r="AE1023" s="246"/>
    </row>
    <row r="1024" ht="14.25" customHeight="1">
      <c r="A1024" s="242"/>
      <c r="B1024" s="243"/>
      <c r="P1024" s="244"/>
      <c r="R1024" s="245"/>
      <c r="S1024" s="245"/>
      <c r="T1024" s="245"/>
      <c r="U1024" s="245"/>
      <c r="V1024" s="245"/>
      <c r="W1024" s="245"/>
      <c r="X1024" s="245"/>
      <c r="Y1024" s="246"/>
      <c r="Z1024" s="246"/>
      <c r="AA1024" s="246"/>
      <c r="AB1024" s="246"/>
      <c r="AC1024" s="246"/>
      <c r="AD1024" s="246"/>
      <c r="AE1024" s="246"/>
    </row>
    <row r="1025" ht="14.25" customHeight="1">
      <c r="A1025" s="242"/>
      <c r="B1025" s="243"/>
      <c r="P1025" s="244"/>
      <c r="R1025" s="245"/>
      <c r="S1025" s="245"/>
      <c r="T1025" s="245"/>
      <c r="U1025" s="245"/>
      <c r="V1025" s="245"/>
      <c r="W1025" s="245"/>
      <c r="X1025" s="245"/>
      <c r="Y1025" s="246"/>
      <c r="Z1025" s="246"/>
      <c r="AA1025" s="246"/>
      <c r="AB1025" s="246"/>
      <c r="AC1025" s="246"/>
      <c r="AD1025" s="246"/>
      <c r="AE1025" s="246"/>
    </row>
    <row r="1026" ht="14.25" customHeight="1">
      <c r="A1026" s="242"/>
      <c r="B1026" s="243"/>
      <c r="P1026" s="244"/>
      <c r="R1026" s="245"/>
      <c r="S1026" s="245"/>
      <c r="T1026" s="245"/>
      <c r="U1026" s="245"/>
      <c r="V1026" s="245"/>
      <c r="W1026" s="245"/>
      <c r="X1026" s="245"/>
      <c r="Y1026" s="246"/>
      <c r="Z1026" s="246"/>
      <c r="AA1026" s="246"/>
      <c r="AB1026" s="246"/>
      <c r="AC1026" s="246"/>
      <c r="AD1026" s="246"/>
      <c r="AE1026" s="246"/>
    </row>
    <row r="1027" ht="14.25" customHeight="1">
      <c r="A1027" s="242"/>
      <c r="B1027" s="243"/>
      <c r="P1027" s="244"/>
      <c r="R1027" s="245"/>
      <c r="S1027" s="245"/>
      <c r="T1027" s="245"/>
      <c r="U1027" s="245"/>
      <c r="V1027" s="245"/>
      <c r="W1027" s="245"/>
      <c r="X1027" s="245"/>
      <c r="Y1027" s="246"/>
      <c r="Z1027" s="246"/>
      <c r="AA1027" s="246"/>
      <c r="AB1027" s="246"/>
      <c r="AC1027" s="246"/>
      <c r="AD1027" s="246"/>
      <c r="AE1027" s="246"/>
    </row>
    <row r="1028" ht="14.25" customHeight="1">
      <c r="A1028" s="242"/>
      <c r="B1028" s="243"/>
      <c r="P1028" s="244"/>
      <c r="R1028" s="245"/>
      <c r="S1028" s="245"/>
      <c r="T1028" s="245"/>
      <c r="U1028" s="245"/>
      <c r="V1028" s="245"/>
      <c r="W1028" s="245"/>
      <c r="X1028" s="245"/>
      <c r="Y1028" s="246"/>
      <c r="Z1028" s="246"/>
      <c r="AA1028" s="246"/>
      <c r="AB1028" s="246"/>
      <c r="AC1028" s="246"/>
      <c r="AD1028" s="246"/>
      <c r="AE1028" s="246"/>
    </row>
    <row r="1029" ht="14.25" customHeight="1">
      <c r="A1029" s="242"/>
      <c r="B1029" s="243"/>
      <c r="P1029" s="244"/>
      <c r="R1029" s="245"/>
      <c r="S1029" s="245"/>
      <c r="T1029" s="245"/>
      <c r="U1029" s="245"/>
      <c r="V1029" s="245"/>
      <c r="W1029" s="245"/>
      <c r="X1029" s="245"/>
      <c r="Y1029" s="246"/>
      <c r="Z1029" s="246"/>
      <c r="AA1029" s="246"/>
      <c r="AB1029" s="246"/>
      <c r="AC1029" s="246"/>
      <c r="AD1029" s="246"/>
      <c r="AE1029" s="246"/>
    </row>
    <row r="1030" ht="14.25" customHeight="1">
      <c r="A1030" s="242"/>
      <c r="B1030" s="243"/>
      <c r="P1030" s="244"/>
      <c r="R1030" s="245"/>
      <c r="S1030" s="245"/>
      <c r="T1030" s="245"/>
      <c r="U1030" s="245"/>
      <c r="V1030" s="245"/>
      <c r="W1030" s="245"/>
      <c r="X1030" s="245"/>
      <c r="Y1030" s="246"/>
      <c r="Z1030" s="246"/>
      <c r="AA1030" s="246"/>
      <c r="AB1030" s="246"/>
      <c r="AC1030" s="246"/>
      <c r="AD1030" s="246"/>
      <c r="AE1030" s="246"/>
    </row>
    <row r="1031" ht="14.25" customHeight="1">
      <c r="A1031" s="242"/>
      <c r="B1031" s="243"/>
      <c r="P1031" s="244"/>
      <c r="R1031" s="245"/>
      <c r="S1031" s="245"/>
      <c r="T1031" s="245"/>
      <c r="U1031" s="245"/>
      <c r="V1031" s="245"/>
      <c r="W1031" s="245"/>
      <c r="X1031" s="245"/>
      <c r="Y1031" s="246"/>
      <c r="Z1031" s="246"/>
      <c r="AA1031" s="246"/>
      <c r="AB1031" s="246"/>
      <c r="AC1031" s="246"/>
      <c r="AD1031" s="246"/>
      <c r="AE1031" s="246"/>
    </row>
    <row r="1032" ht="14.25" customHeight="1">
      <c r="A1032" s="242"/>
      <c r="B1032" s="243"/>
      <c r="P1032" s="244"/>
      <c r="R1032" s="245"/>
      <c r="S1032" s="245"/>
      <c r="T1032" s="245"/>
      <c r="U1032" s="245"/>
      <c r="V1032" s="245"/>
      <c r="W1032" s="245"/>
      <c r="X1032" s="245"/>
      <c r="Y1032" s="246"/>
      <c r="Z1032" s="246"/>
      <c r="AA1032" s="246"/>
      <c r="AB1032" s="246"/>
      <c r="AC1032" s="246"/>
      <c r="AD1032" s="246"/>
      <c r="AE1032" s="246"/>
    </row>
    <row r="1033" ht="14.25" customHeight="1">
      <c r="A1033" s="242"/>
      <c r="B1033" s="243"/>
      <c r="P1033" s="244"/>
      <c r="R1033" s="245"/>
      <c r="S1033" s="245"/>
      <c r="T1033" s="245"/>
      <c r="U1033" s="245"/>
      <c r="V1033" s="245"/>
      <c r="W1033" s="245"/>
      <c r="X1033" s="245"/>
      <c r="Y1033" s="246"/>
      <c r="Z1033" s="246"/>
      <c r="AA1033" s="246"/>
      <c r="AB1033" s="246"/>
      <c r="AC1033" s="246"/>
      <c r="AD1033" s="246"/>
      <c r="AE1033" s="246"/>
    </row>
    <row r="1034" ht="14.25" customHeight="1">
      <c r="A1034" s="242"/>
      <c r="B1034" s="243"/>
      <c r="P1034" s="244"/>
      <c r="R1034" s="245"/>
      <c r="S1034" s="245"/>
      <c r="T1034" s="245"/>
      <c r="U1034" s="245"/>
      <c r="V1034" s="245"/>
      <c r="W1034" s="245"/>
      <c r="X1034" s="245"/>
      <c r="Y1034" s="246"/>
      <c r="Z1034" s="246"/>
      <c r="AA1034" s="246"/>
      <c r="AB1034" s="246"/>
      <c r="AC1034" s="246"/>
      <c r="AD1034" s="246"/>
      <c r="AE1034" s="246"/>
    </row>
    <row r="1035" ht="14.25" customHeight="1">
      <c r="A1035" s="242"/>
      <c r="B1035" s="243"/>
      <c r="P1035" s="244"/>
      <c r="R1035" s="245"/>
      <c r="S1035" s="245"/>
      <c r="T1035" s="245"/>
      <c r="U1035" s="245"/>
      <c r="V1035" s="245"/>
      <c r="W1035" s="245"/>
      <c r="X1035" s="245"/>
      <c r="Y1035" s="246"/>
      <c r="Z1035" s="246"/>
      <c r="AA1035" s="246"/>
      <c r="AB1035" s="246"/>
      <c r="AC1035" s="246"/>
      <c r="AD1035" s="246"/>
      <c r="AE1035" s="246"/>
    </row>
    <row r="1036" ht="14.25" customHeight="1">
      <c r="A1036" s="242"/>
      <c r="B1036" s="243"/>
      <c r="P1036" s="244"/>
      <c r="R1036" s="245"/>
      <c r="S1036" s="245"/>
      <c r="T1036" s="245"/>
      <c r="U1036" s="245"/>
      <c r="V1036" s="245"/>
      <c r="W1036" s="245"/>
      <c r="X1036" s="245"/>
      <c r="Y1036" s="246"/>
      <c r="Z1036" s="246"/>
      <c r="AA1036" s="246"/>
      <c r="AB1036" s="246"/>
      <c r="AC1036" s="246"/>
      <c r="AD1036" s="246"/>
      <c r="AE1036" s="246"/>
    </row>
    <row r="1037" ht="14.25" customHeight="1">
      <c r="A1037" s="242"/>
      <c r="B1037" s="243"/>
      <c r="P1037" s="244"/>
      <c r="R1037" s="245"/>
      <c r="S1037" s="245"/>
      <c r="T1037" s="245"/>
      <c r="U1037" s="245"/>
      <c r="V1037" s="245"/>
      <c r="W1037" s="245"/>
      <c r="X1037" s="245"/>
      <c r="Y1037" s="246"/>
      <c r="Z1037" s="246"/>
      <c r="AA1037" s="246"/>
      <c r="AB1037" s="246"/>
      <c r="AC1037" s="246"/>
      <c r="AD1037" s="246"/>
      <c r="AE1037" s="246"/>
    </row>
    <row r="1038" ht="14.25" customHeight="1">
      <c r="A1038" s="242"/>
      <c r="B1038" s="243"/>
      <c r="P1038" s="244"/>
      <c r="R1038" s="245"/>
      <c r="S1038" s="245"/>
      <c r="T1038" s="245"/>
      <c r="U1038" s="245"/>
      <c r="V1038" s="245"/>
      <c r="W1038" s="245"/>
      <c r="X1038" s="245"/>
      <c r="Y1038" s="246"/>
      <c r="Z1038" s="246"/>
      <c r="AA1038" s="246"/>
      <c r="AB1038" s="246"/>
      <c r="AC1038" s="246"/>
      <c r="AD1038" s="246"/>
      <c r="AE1038" s="246"/>
    </row>
    <row r="1039" ht="14.25" customHeight="1">
      <c r="A1039" s="242"/>
      <c r="B1039" s="243"/>
      <c r="P1039" s="244"/>
      <c r="R1039" s="245"/>
      <c r="S1039" s="245"/>
      <c r="T1039" s="245"/>
      <c r="U1039" s="245"/>
      <c r="V1039" s="245"/>
      <c r="W1039" s="245"/>
      <c r="X1039" s="245"/>
      <c r="Y1039" s="246"/>
      <c r="Z1039" s="246"/>
      <c r="AA1039" s="246"/>
      <c r="AB1039" s="246"/>
      <c r="AC1039" s="246"/>
      <c r="AD1039" s="246"/>
      <c r="AE1039" s="246"/>
    </row>
    <row r="1040" ht="14.25" customHeight="1">
      <c r="A1040" s="242"/>
      <c r="B1040" s="243"/>
      <c r="P1040" s="244"/>
      <c r="R1040" s="245"/>
      <c r="S1040" s="245"/>
      <c r="T1040" s="245"/>
      <c r="U1040" s="245"/>
      <c r="V1040" s="245"/>
      <c r="W1040" s="245"/>
      <c r="X1040" s="245"/>
      <c r="Y1040" s="246"/>
      <c r="Z1040" s="246"/>
      <c r="AA1040" s="246"/>
      <c r="AB1040" s="246"/>
      <c r="AC1040" s="246"/>
      <c r="AD1040" s="246"/>
      <c r="AE1040" s="246"/>
    </row>
    <row r="1041" ht="14.25" customHeight="1">
      <c r="A1041" s="242"/>
      <c r="B1041" s="243"/>
      <c r="P1041" s="244"/>
      <c r="R1041" s="245"/>
      <c r="S1041" s="245"/>
      <c r="T1041" s="245"/>
      <c r="U1041" s="245"/>
      <c r="V1041" s="245"/>
      <c r="W1041" s="245"/>
      <c r="X1041" s="245"/>
      <c r="Y1041" s="246"/>
      <c r="Z1041" s="246"/>
      <c r="AA1041" s="246"/>
      <c r="AB1041" s="246"/>
      <c r="AC1041" s="246"/>
      <c r="AD1041" s="246"/>
      <c r="AE1041" s="246"/>
    </row>
    <row r="1042" ht="14.25" customHeight="1">
      <c r="A1042" s="242"/>
      <c r="B1042" s="243"/>
      <c r="P1042" s="244"/>
      <c r="R1042" s="245"/>
      <c r="S1042" s="245"/>
      <c r="T1042" s="245"/>
      <c r="U1042" s="245"/>
      <c r="V1042" s="245"/>
      <c r="W1042" s="245"/>
      <c r="X1042" s="245"/>
      <c r="Y1042" s="246"/>
      <c r="Z1042" s="246"/>
      <c r="AA1042" s="246"/>
      <c r="AB1042" s="246"/>
      <c r="AC1042" s="246"/>
      <c r="AD1042" s="246"/>
      <c r="AE1042" s="246"/>
    </row>
    <row r="1043" ht="14.25" customHeight="1">
      <c r="A1043" s="242"/>
      <c r="B1043" s="243"/>
      <c r="P1043" s="244"/>
      <c r="R1043" s="245"/>
      <c r="S1043" s="245"/>
      <c r="T1043" s="245"/>
      <c r="U1043" s="245"/>
      <c r="V1043" s="245"/>
      <c r="W1043" s="245"/>
      <c r="X1043" s="245"/>
      <c r="Y1043" s="246"/>
      <c r="Z1043" s="246"/>
      <c r="AA1043" s="246"/>
      <c r="AB1043" s="246"/>
      <c r="AC1043" s="246"/>
      <c r="AD1043" s="246"/>
      <c r="AE1043" s="246"/>
    </row>
    <row r="1044" ht="14.25" customHeight="1">
      <c r="A1044" s="242"/>
      <c r="B1044" s="243"/>
      <c r="P1044" s="244"/>
      <c r="R1044" s="245"/>
      <c r="S1044" s="245"/>
      <c r="T1044" s="245"/>
      <c r="U1044" s="245"/>
      <c r="V1044" s="245"/>
      <c r="W1044" s="245"/>
      <c r="X1044" s="245"/>
      <c r="Y1044" s="246"/>
      <c r="Z1044" s="246"/>
      <c r="AA1044" s="246"/>
      <c r="AB1044" s="246"/>
      <c r="AC1044" s="246"/>
      <c r="AD1044" s="246"/>
      <c r="AE1044" s="246"/>
    </row>
    <row r="1045" ht="14.25" customHeight="1">
      <c r="A1045" s="242"/>
      <c r="B1045" s="243"/>
      <c r="P1045" s="244"/>
      <c r="R1045" s="245"/>
      <c r="S1045" s="245"/>
      <c r="T1045" s="245"/>
      <c r="U1045" s="245"/>
      <c r="V1045" s="245"/>
      <c r="W1045" s="245"/>
      <c r="X1045" s="245"/>
      <c r="Y1045" s="246"/>
      <c r="Z1045" s="246"/>
      <c r="AA1045" s="246"/>
      <c r="AB1045" s="246"/>
      <c r="AC1045" s="246"/>
      <c r="AD1045" s="246"/>
      <c r="AE1045" s="246"/>
    </row>
    <row r="1046" ht="14.25" customHeight="1">
      <c r="A1046" s="242"/>
      <c r="B1046" s="243"/>
      <c r="P1046" s="244"/>
      <c r="R1046" s="245"/>
      <c r="S1046" s="245"/>
      <c r="T1046" s="245"/>
      <c r="U1046" s="245"/>
      <c r="V1046" s="245"/>
      <c r="W1046" s="245"/>
      <c r="X1046" s="245"/>
      <c r="Y1046" s="246"/>
      <c r="Z1046" s="246"/>
      <c r="AA1046" s="246"/>
      <c r="AB1046" s="246"/>
      <c r="AC1046" s="246"/>
      <c r="AD1046" s="246"/>
      <c r="AE1046" s="246"/>
    </row>
    <row r="1047" ht="14.25" customHeight="1">
      <c r="A1047" s="242"/>
      <c r="B1047" s="243"/>
      <c r="P1047" s="244"/>
      <c r="R1047" s="245"/>
      <c r="S1047" s="245"/>
      <c r="T1047" s="245"/>
      <c r="U1047" s="245"/>
      <c r="V1047" s="245"/>
      <c r="W1047" s="245"/>
      <c r="X1047" s="245"/>
      <c r="Y1047" s="246"/>
      <c r="Z1047" s="246"/>
      <c r="AA1047" s="246"/>
      <c r="AB1047" s="246"/>
      <c r="AC1047" s="246"/>
      <c r="AD1047" s="246"/>
      <c r="AE1047" s="246"/>
    </row>
    <row r="1048" ht="14.25" customHeight="1">
      <c r="A1048" s="242"/>
      <c r="B1048" s="243"/>
      <c r="P1048" s="244"/>
      <c r="R1048" s="245"/>
      <c r="S1048" s="245"/>
      <c r="T1048" s="245"/>
      <c r="U1048" s="245"/>
      <c r="V1048" s="245"/>
      <c r="W1048" s="245"/>
      <c r="X1048" s="245"/>
      <c r="Y1048" s="246"/>
      <c r="Z1048" s="246"/>
      <c r="AA1048" s="246"/>
      <c r="AB1048" s="246"/>
      <c r="AC1048" s="246"/>
      <c r="AD1048" s="246"/>
      <c r="AE1048" s="246"/>
    </row>
    <row r="1049" ht="14.25" customHeight="1">
      <c r="A1049" s="242"/>
      <c r="B1049" s="243"/>
      <c r="P1049" s="244"/>
      <c r="R1049" s="245"/>
      <c r="S1049" s="245"/>
      <c r="T1049" s="245"/>
      <c r="U1049" s="245"/>
      <c r="V1049" s="245"/>
      <c r="W1049" s="245"/>
      <c r="X1049" s="245"/>
      <c r="Y1049" s="246"/>
      <c r="Z1049" s="246"/>
      <c r="AA1049" s="246"/>
      <c r="AB1049" s="246"/>
      <c r="AC1049" s="246"/>
      <c r="AD1049" s="246"/>
      <c r="AE1049" s="246"/>
    </row>
    <row r="1050" ht="14.25" customHeight="1">
      <c r="A1050" s="242"/>
      <c r="B1050" s="243"/>
      <c r="P1050" s="244"/>
      <c r="R1050" s="245"/>
      <c r="S1050" s="245"/>
      <c r="T1050" s="245"/>
      <c r="U1050" s="245"/>
      <c r="V1050" s="245"/>
      <c r="W1050" s="245"/>
      <c r="X1050" s="245"/>
      <c r="Y1050" s="246"/>
      <c r="Z1050" s="246"/>
      <c r="AA1050" s="246"/>
      <c r="AB1050" s="246"/>
      <c r="AC1050" s="246"/>
      <c r="AD1050" s="246"/>
      <c r="AE1050" s="246"/>
    </row>
    <row r="1051" ht="14.25" customHeight="1">
      <c r="A1051" s="242"/>
      <c r="B1051" s="243"/>
      <c r="P1051" s="244"/>
      <c r="R1051" s="245"/>
      <c r="S1051" s="245"/>
      <c r="T1051" s="245"/>
      <c r="U1051" s="245"/>
      <c r="V1051" s="245"/>
      <c r="W1051" s="245"/>
      <c r="X1051" s="245"/>
      <c r="Y1051" s="246"/>
      <c r="Z1051" s="246"/>
      <c r="AA1051" s="246"/>
      <c r="AB1051" s="246"/>
      <c r="AC1051" s="246"/>
      <c r="AD1051" s="246"/>
      <c r="AE1051" s="246"/>
    </row>
    <row r="1052" ht="14.25" customHeight="1">
      <c r="A1052" s="242"/>
      <c r="B1052" s="243"/>
      <c r="P1052" s="244"/>
      <c r="R1052" s="245"/>
      <c r="S1052" s="245"/>
      <c r="T1052" s="245"/>
      <c r="U1052" s="245"/>
      <c r="V1052" s="245"/>
      <c r="W1052" s="245"/>
      <c r="X1052" s="245"/>
      <c r="Y1052" s="246"/>
      <c r="Z1052" s="246"/>
      <c r="AA1052" s="246"/>
      <c r="AB1052" s="246"/>
      <c r="AC1052" s="246"/>
      <c r="AD1052" s="246"/>
      <c r="AE1052" s="246"/>
    </row>
    <row r="1053" ht="14.25" customHeight="1">
      <c r="A1053" s="242"/>
      <c r="B1053" s="243"/>
      <c r="P1053" s="244"/>
      <c r="R1053" s="245"/>
      <c r="S1053" s="245"/>
      <c r="T1053" s="245"/>
      <c r="U1053" s="245"/>
      <c r="V1053" s="245"/>
      <c r="W1053" s="245"/>
      <c r="X1053" s="245"/>
      <c r="Y1053" s="246"/>
      <c r="Z1053" s="246"/>
      <c r="AA1053" s="246"/>
      <c r="AB1053" s="246"/>
      <c r="AC1053" s="246"/>
      <c r="AD1053" s="246"/>
      <c r="AE1053" s="246"/>
    </row>
    <row r="1054" ht="14.25" customHeight="1">
      <c r="A1054" s="242"/>
      <c r="B1054" s="243"/>
      <c r="P1054" s="244"/>
      <c r="R1054" s="245"/>
      <c r="S1054" s="245"/>
      <c r="T1054" s="245"/>
      <c r="U1054" s="245"/>
      <c r="V1054" s="245"/>
      <c r="W1054" s="245"/>
      <c r="X1054" s="245"/>
      <c r="Y1054" s="246"/>
      <c r="Z1054" s="246"/>
      <c r="AA1054" s="246"/>
      <c r="AB1054" s="246"/>
      <c r="AC1054" s="246"/>
      <c r="AD1054" s="246"/>
      <c r="AE1054" s="246"/>
    </row>
    <row r="1055" ht="14.25" customHeight="1">
      <c r="A1055" s="242"/>
      <c r="B1055" s="243"/>
      <c r="P1055" s="244"/>
      <c r="R1055" s="245"/>
      <c r="S1055" s="245"/>
      <c r="T1055" s="245"/>
      <c r="U1055" s="245"/>
      <c r="V1055" s="245"/>
      <c r="W1055" s="245"/>
      <c r="X1055" s="245"/>
      <c r="Y1055" s="246"/>
      <c r="Z1055" s="246"/>
      <c r="AA1055" s="246"/>
      <c r="AB1055" s="246"/>
      <c r="AC1055" s="246"/>
      <c r="AD1055" s="246"/>
      <c r="AE1055" s="246"/>
    </row>
    <row r="1056" ht="14.25" customHeight="1">
      <c r="A1056" s="242"/>
      <c r="B1056" s="243"/>
      <c r="P1056" s="244"/>
      <c r="R1056" s="245"/>
      <c r="S1056" s="245"/>
      <c r="T1056" s="245"/>
      <c r="U1056" s="245"/>
      <c r="V1056" s="245"/>
      <c r="W1056" s="245"/>
      <c r="X1056" s="245"/>
      <c r="Y1056" s="246"/>
      <c r="Z1056" s="246"/>
      <c r="AA1056" s="246"/>
      <c r="AB1056" s="246"/>
      <c r="AC1056" s="246"/>
      <c r="AD1056" s="246"/>
      <c r="AE1056" s="246"/>
    </row>
    <row r="1057" ht="14.25" customHeight="1">
      <c r="A1057" s="242"/>
      <c r="B1057" s="243"/>
      <c r="P1057" s="244"/>
      <c r="R1057" s="245"/>
      <c r="S1057" s="245"/>
      <c r="T1057" s="245"/>
      <c r="U1057" s="245"/>
      <c r="V1057" s="245"/>
      <c r="W1057" s="245"/>
      <c r="X1057" s="245"/>
      <c r="Y1057" s="246"/>
      <c r="Z1057" s="246"/>
      <c r="AA1057" s="246"/>
      <c r="AB1057" s="246"/>
      <c r="AC1057" s="246"/>
      <c r="AD1057" s="246"/>
      <c r="AE1057" s="246"/>
    </row>
    <row r="1058" ht="14.25" customHeight="1">
      <c r="A1058" s="242"/>
      <c r="B1058" s="243"/>
      <c r="P1058" s="244"/>
      <c r="R1058" s="245"/>
      <c r="S1058" s="245"/>
      <c r="T1058" s="245"/>
      <c r="U1058" s="245"/>
      <c r="V1058" s="245"/>
      <c r="W1058" s="245"/>
      <c r="X1058" s="245"/>
      <c r="Y1058" s="246"/>
      <c r="Z1058" s="246"/>
      <c r="AA1058" s="246"/>
      <c r="AB1058" s="246"/>
      <c r="AC1058" s="246"/>
      <c r="AD1058" s="246"/>
      <c r="AE1058" s="246"/>
    </row>
    <row r="1059" ht="14.25" customHeight="1">
      <c r="A1059" s="242"/>
      <c r="B1059" s="243"/>
      <c r="P1059" s="244"/>
      <c r="R1059" s="245"/>
      <c r="S1059" s="245"/>
      <c r="T1059" s="245"/>
      <c r="U1059" s="245"/>
      <c r="V1059" s="245"/>
      <c r="W1059" s="245"/>
      <c r="X1059" s="245"/>
      <c r="Y1059" s="246"/>
      <c r="Z1059" s="246"/>
      <c r="AA1059" s="246"/>
      <c r="AB1059" s="246"/>
      <c r="AC1059" s="246"/>
      <c r="AD1059" s="246"/>
      <c r="AE1059" s="246"/>
    </row>
    <row r="1060" ht="14.25" customHeight="1">
      <c r="A1060" s="242"/>
      <c r="B1060" s="243"/>
      <c r="P1060" s="244"/>
      <c r="R1060" s="245"/>
      <c r="S1060" s="245"/>
      <c r="T1060" s="245"/>
      <c r="U1060" s="245"/>
      <c r="V1060" s="245"/>
      <c r="W1060" s="245"/>
      <c r="X1060" s="245"/>
      <c r="Y1060" s="246"/>
      <c r="Z1060" s="246"/>
      <c r="AA1060" s="246"/>
      <c r="AB1060" s="246"/>
      <c r="AC1060" s="246"/>
      <c r="AD1060" s="246"/>
      <c r="AE1060" s="246"/>
    </row>
    <row r="1061" ht="14.25" customHeight="1">
      <c r="A1061" s="242"/>
      <c r="B1061" s="243"/>
      <c r="P1061" s="244"/>
      <c r="R1061" s="245"/>
      <c r="S1061" s="245"/>
      <c r="T1061" s="245"/>
      <c r="U1061" s="245"/>
      <c r="V1061" s="245"/>
      <c r="W1061" s="245"/>
      <c r="X1061" s="245"/>
      <c r="Y1061" s="246"/>
      <c r="Z1061" s="246"/>
      <c r="AA1061" s="246"/>
      <c r="AB1061" s="246"/>
      <c r="AC1061" s="246"/>
      <c r="AD1061" s="246"/>
      <c r="AE1061" s="246"/>
    </row>
    <row r="1062" ht="14.25" customHeight="1">
      <c r="A1062" s="242"/>
      <c r="B1062" s="243"/>
      <c r="P1062" s="244"/>
      <c r="R1062" s="245"/>
      <c r="S1062" s="245"/>
      <c r="T1062" s="245"/>
      <c r="U1062" s="245"/>
      <c r="V1062" s="245"/>
      <c r="W1062" s="245"/>
      <c r="X1062" s="245"/>
      <c r="Y1062" s="246"/>
      <c r="Z1062" s="246"/>
      <c r="AA1062" s="246"/>
      <c r="AB1062" s="246"/>
      <c r="AC1062" s="246"/>
      <c r="AD1062" s="246"/>
      <c r="AE1062" s="246"/>
    </row>
    <row r="1063" ht="14.25" customHeight="1">
      <c r="A1063" s="242"/>
      <c r="B1063" s="243"/>
      <c r="P1063" s="244"/>
      <c r="R1063" s="245"/>
      <c r="S1063" s="245"/>
      <c r="T1063" s="245"/>
      <c r="U1063" s="245"/>
      <c r="V1063" s="245"/>
      <c r="W1063" s="245"/>
      <c r="X1063" s="245"/>
      <c r="Y1063" s="246"/>
      <c r="Z1063" s="246"/>
      <c r="AA1063" s="246"/>
      <c r="AB1063" s="246"/>
      <c r="AC1063" s="246"/>
      <c r="AD1063" s="246"/>
      <c r="AE1063" s="246"/>
    </row>
    <row r="1064" ht="14.25" customHeight="1">
      <c r="A1064" s="242"/>
      <c r="B1064" s="243"/>
      <c r="P1064" s="244"/>
      <c r="R1064" s="245"/>
      <c r="S1064" s="245"/>
      <c r="T1064" s="245"/>
      <c r="U1064" s="245"/>
      <c r="V1064" s="245"/>
      <c r="W1064" s="245"/>
      <c r="X1064" s="245"/>
      <c r="Y1064" s="246"/>
      <c r="Z1064" s="246"/>
      <c r="AA1064" s="246"/>
      <c r="AB1064" s="246"/>
      <c r="AC1064" s="246"/>
      <c r="AD1064" s="246"/>
      <c r="AE1064" s="246"/>
    </row>
    <row r="1065" ht="14.25" customHeight="1">
      <c r="A1065" s="242"/>
      <c r="B1065" s="243"/>
      <c r="P1065" s="244"/>
      <c r="R1065" s="245"/>
      <c r="S1065" s="245"/>
      <c r="T1065" s="245"/>
      <c r="U1065" s="245"/>
      <c r="V1065" s="245"/>
      <c r="W1065" s="245"/>
      <c r="X1065" s="245"/>
      <c r="Y1065" s="246"/>
      <c r="Z1065" s="246"/>
      <c r="AA1065" s="246"/>
      <c r="AB1065" s="246"/>
      <c r="AC1065" s="246"/>
      <c r="AD1065" s="246"/>
      <c r="AE1065" s="246"/>
    </row>
    <row r="1066" ht="14.25" customHeight="1">
      <c r="A1066" s="242"/>
      <c r="B1066" s="243"/>
      <c r="P1066" s="244"/>
      <c r="R1066" s="245"/>
      <c r="S1066" s="245"/>
      <c r="T1066" s="245"/>
      <c r="U1066" s="245"/>
      <c r="V1066" s="245"/>
      <c r="W1066" s="245"/>
      <c r="X1066" s="245"/>
      <c r="Y1066" s="246"/>
      <c r="Z1066" s="246"/>
      <c r="AA1066" s="246"/>
      <c r="AB1066" s="246"/>
      <c r="AC1066" s="246"/>
      <c r="AD1066" s="246"/>
      <c r="AE1066" s="246"/>
    </row>
    <row r="1067" ht="14.25" customHeight="1">
      <c r="A1067" s="242"/>
      <c r="B1067" s="243"/>
      <c r="P1067" s="244"/>
      <c r="R1067" s="245"/>
      <c r="S1067" s="245"/>
      <c r="T1067" s="245"/>
      <c r="U1067" s="245"/>
      <c r="V1067" s="245"/>
      <c r="W1067" s="245"/>
      <c r="X1067" s="245"/>
      <c r="Y1067" s="246"/>
      <c r="Z1067" s="246"/>
      <c r="AA1067" s="246"/>
      <c r="AB1067" s="246"/>
      <c r="AC1067" s="246"/>
      <c r="AD1067" s="246"/>
      <c r="AE1067" s="246"/>
    </row>
    <row r="1068" ht="14.25" customHeight="1">
      <c r="A1068" s="242"/>
      <c r="B1068" s="243"/>
      <c r="P1068" s="244"/>
      <c r="R1068" s="245"/>
      <c r="S1068" s="245"/>
      <c r="T1068" s="245"/>
      <c r="U1068" s="245"/>
      <c r="V1068" s="245"/>
      <c r="W1068" s="245"/>
      <c r="X1068" s="245"/>
      <c r="Y1068" s="246"/>
      <c r="Z1068" s="246"/>
      <c r="AA1068" s="246"/>
      <c r="AB1068" s="246"/>
      <c r="AC1068" s="246"/>
      <c r="AD1068" s="246"/>
      <c r="AE1068" s="246"/>
    </row>
    <row r="1069" ht="14.25" customHeight="1">
      <c r="A1069" s="242"/>
      <c r="B1069" s="243"/>
      <c r="P1069" s="244"/>
      <c r="R1069" s="245"/>
      <c r="S1069" s="245"/>
      <c r="T1069" s="245"/>
      <c r="U1069" s="245"/>
      <c r="V1069" s="245"/>
      <c r="W1069" s="245"/>
      <c r="X1069" s="245"/>
      <c r="Y1069" s="246"/>
      <c r="Z1069" s="246"/>
      <c r="AA1069" s="246"/>
      <c r="AB1069" s="246"/>
      <c r="AC1069" s="246"/>
      <c r="AD1069" s="246"/>
      <c r="AE1069" s="246"/>
    </row>
    <row r="1070" ht="14.25" customHeight="1">
      <c r="A1070" s="242"/>
      <c r="B1070" s="243"/>
      <c r="P1070" s="244"/>
      <c r="R1070" s="245"/>
      <c r="S1070" s="245"/>
      <c r="T1070" s="245"/>
      <c r="U1070" s="245"/>
      <c r="V1070" s="245"/>
      <c r="W1070" s="245"/>
      <c r="X1070" s="245"/>
      <c r="Y1070" s="246"/>
      <c r="Z1070" s="246"/>
      <c r="AA1070" s="246"/>
      <c r="AB1070" s="246"/>
      <c r="AC1070" s="246"/>
      <c r="AD1070" s="246"/>
      <c r="AE1070" s="246"/>
    </row>
    <row r="1071" ht="14.25" customHeight="1">
      <c r="A1071" s="242"/>
      <c r="B1071" s="243"/>
      <c r="P1071" s="244"/>
      <c r="R1071" s="245"/>
      <c r="S1071" s="245"/>
      <c r="T1071" s="245"/>
      <c r="U1071" s="245"/>
      <c r="V1071" s="245"/>
      <c r="W1071" s="245"/>
      <c r="X1071" s="245"/>
      <c r="Y1071" s="246"/>
      <c r="Z1071" s="246"/>
      <c r="AA1071" s="246"/>
      <c r="AB1071" s="246"/>
      <c r="AC1071" s="246"/>
      <c r="AD1071" s="246"/>
      <c r="AE1071" s="246"/>
    </row>
    <row r="1072" ht="14.25" customHeight="1">
      <c r="A1072" s="242"/>
      <c r="B1072" s="243"/>
      <c r="P1072" s="244"/>
      <c r="R1072" s="245"/>
      <c r="S1072" s="245"/>
      <c r="T1072" s="245"/>
      <c r="U1072" s="245"/>
      <c r="V1072" s="245"/>
      <c r="W1072" s="245"/>
      <c r="X1072" s="245"/>
      <c r="Y1072" s="246"/>
      <c r="Z1072" s="246"/>
      <c r="AA1072" s="246"/>
      <c r="AB1072" s="246"/>
      <c r="AC1072" s="246"/>
      <c r="AD1072" s="246"/>
      <c r="AE1072" s="246"/>
    </row>
    <row r="1073" ht="14.25" customHeight="1">
      <c r="A1073" s="242"/>
      <c r="B1073" s="243"/>
      <c r="P1073" s="244"/>
      <c r="R1073" s="245"/>
      <c r="S1073" s="245"/>
      <c r="T1073" s="245"/>
      <c r="U1073" s="245"/>
      <c r="V1073" s="245"/>
      <c r="W1073" s="245"/>
      <c r="X1073" s="245"/>
      <c r="Y1073" s="246"/>
      <c r="Z1073" s="246"/>
      <c r="AA1073" s="246"/>
      <c r="AB1073" s="246"/>
      <c r="AC1073" s="246"/>
      <c r="AD1073" s="246"/>
      <c r="AE1073" s="246"/>
    </row>
    <row r="1074" ht="14.25" customHeight="1">
      <c r="A1074" s="242"/>
      <c r="B1074" s="243"/>
      <c r="P1074" s="244"/>
      <c r="R1074" s="245"/>
      <c r="S1074" s="245"/>
      <c r="T1074" s="245"/>
      <c r="U1074" s="245"/>
      <c r="V1074" s="245"/>
      <c r="W1074" s="245"/>
      <c r="X1074" s="245"/>
      <c r="Y1074" s="246"/>
      <c r="Z1074" s="246"/>
      <c r="AA1074" s="246"/>
      <c r="AB1074" s="246"/>
      <c r="AC1074" s="246"/>
      <c r="AD1074" s="246"/>
      <c r="AE1074" s="246"/>
    </row>
    <row r="1075" ht="14.25" customHeight="1">
      <c r="A1075" s="242"/>
      <c r="B1075" s="243"/>
      <c r="P1075" s="244"/>
      <c r="R1075" s="245"/>
      <c r="S1075" s="245"/>
      <c r="T1075" s="245"/>
      <c r="U1075" s="245"/>
      <c r="V1075" s="245"/>
      <c r="W1075" s="245"/>
      <c r="X1075" s="245"/>
      <c r="Y1075" s="246"/>
      <c r="Z1075" s="246"/>
      <c r="AA1075" s="246"/>
      <c r="AB1075" s="246"/>
      <c r="AC1075" s="246"/>
      <c r="AD1075" s="246"/>
      <c r="AE1075" s="246"/>
    </row>
    <row r="1076" ht="14.25" customHeight="1">
      <c r="A1076" s="242"/>
      <c r="B1076" s="243"/>
      <c r="P1076" s="244"/>
      <c r="R1076" s="245"/>
      <c r="S1076" s="245"/>
      <c r="T1076" s="245"/>
      <c r="U1076" s="245"/>
      <c r="V1076" s="245"/>
      <c r="W1076" s="245"/>
      <c r="X1076" s="245"/>
      <c r="Y1076" s="246"/>
      <c r="Z1076" s="246"/>
      <c r="AA1076" s="246"/>
      <c r="AB1076" s="246"/>
      <c r="AC1076" s="246"/>
      <c r="AD1076" s="246"/>
      <c r="AE1076" s="246"/>
    </row>
    <row r="1077" ht="14.25" customHeight="1">
      <c r="A1077" s="242"/>
      <c r="B1077" s="243"/>
      <c r="P1077" s="244"/>
      <c r="R1077" s="245"/>
      <c r="S1077" s="245"/>
      <c r="T1077" s="245"/>
      <c r="U1077" s="245"/>
      <c r="V1077" s="245"/>
      <c r="W1077" s="245"/>
      <c r="X1077" s="245"/>
      <c r="Y1077" s="246"/>
      <c r="Z1077" s="246"/>
      <c r="AA1077" s="246"/>
      <c r="AB1077" s="246"/>
      <c r="AC1077" s="246"/>
      <c r="AD1077" s="246"/>
      <c r="AE1077" s="246"/>
    </row>
    <row r="1078" ht="14.25" customHeight="1">
      <c r="A1078" s="242"/>
      <c r="B1078" s="243"/>
      <c r="P1078" s="244"/>
      <c r="R1078" s="245"/>
      <c r="S1078" s="245"/>
      <c r="T1078" s="245"/>
      <c r="U1078" s="245"/>
      <c r="V1078" s="245"/>
      <c r="W1078" s="245"/>
      <c r="X1078" s="245"/>
      <c r="Y1078" s="246"/>
      <c r="Z1078" s="246"/>
      <c r="AA1078" s="246"/>
      <c r="AB1078" s="246"/>
      <c r="AC1078" s="246"/>
      <c r="AD1078" s="246"/>
      <c r="AE1078" s="246"/>
    </row>
    <row r="1079" ht="14.25" customHeight="1">
      <c r="A1079" s="242"/>
      <c r="B1079" s="243"/>
      <c r="P1079" s="244"/>
      <c r="R1079" s="245"/>
      <c r="S1079" s="245"/>
      <c r="T1079" s="245"/>
      <c r="U1079" s="245"/>
      <c r="V1079" s="245"/>
      <c r="W1079" s="245"/>
      <c r="X1079" s="245"/>
      <c r="Y1079" s="246"/>
      <c r="Z1079" s="246"/>
      <c r="AA1079" s="246"/>
      <c r="AB1079" s="246"/>
      <c r="AC1079" s="246"/>
      <c r="AD1079" s="246"/>
      <c r="AE1079" s="246"/>
    </row>
    <row r="1080" ht="14.25" customHeight="1">
      <c r="A1080" s="242"/>
      <c r="B1080" s="243"/>
      <c r="P1080" s="244"/>
      <c r="R1080" s="245"/>
      <c r="S1080" s="245"/>
      <c r="T1080" s="245"/>
      <c r="U1080" s="245"/>
      <c r="V1080" s="245"/>
      <c r="W1080" s="245"/>
      <c r="X1080" s="245"/>
      <c r="Y1080" s="246"/>
      <c r="Z1080" s="246"/>
      <c r="AA1080" s="246"/>
      <c r="AB1080" s="246"/>
      <c r="AC1080" s="246"/>
      <c r="AD1080" s="246"/>
      <c r="AE1080" s="246"/>
    </row>
    <row r="1081" ht="14.25" customHeight="1">
      <c r="A1081" s="242"/>
      <c r="B1081" s="243"/>
      <c r="P1081" s="244"/>
      <c r="R1081" s="245"/>
      <c r="S1081" s="245"/>
      <c r="T1081" s="245"/>
      <c r="U1081" s="245"/>
      <c r="V1081" s="245"/>
      <c r="W1081" s="245"/>
      <c r="X1081" s="245"/>
      <c r="Y1081" s="246"/>
      <c r="Z1081" s="246"/>
      <c r="AA1081" s="246"/>
      <c r="AB1081" s="246"/>
      <c r="AC1081" s="246"/>
      <c r="AD1081" s="246"/>
      <c r="AE1081" s="246"/>
    </row>
    <row r="1082" ht="14.25" customHeight="1">
      <c r="A1082" s="242"/>
      <c r="B1082" s="243"/>
      <c r="P1082" s="244"/>
      <c r="R1082" s="245"/>
      <c r="S1082" s="245"/>
      <c r="T1082" s="245"/>
      <c r="U1082" s="245"/>
      <c r="V1082" s="245"/>
      <c r="W1082" s="245"/>
      <c r="X1082" s="245"/>
      <c r="Y1082" s="246"/>
      <c r="Z1082" s="246"/>
      <c r="AA1082" s="246"/>
      <c r="AB1082" s="246"/>
      <c r="AC1082" s="246"/>
      <c r="AD1082" s="246"/>
      <c r="AE1082" s="246"/>
    </row>
    <row r="1083" ht="14.25" customHeight="1">
      <c r="A1083" s="242"/>
      <c r="B1083" s="243"/>
      <c r="P1083" s="244"/>
      <c r="R1083" s="245"/>
      <c r="S1083" s="245"/>
      <c r="T1083" s="245"/>
      <c r="U1083" s="245"/>
      <c r="V1083" s="245"/>
      <c r="W1083" s="245"/>
      <c r="X1083" s="245"/>
      <c r="Y1083" s="246"/>
      <c r="Z1083" s="246"/>
      <c r="AA1083" s="246"/>
      <c r="AB1083" s="246"/>
      <c r="AC1083" s="246"/>
      <c r="AD1083" s="246"/>
      <c r="AE1083" s="246"/>
    </row>
    <row r="1084" ht="14.25" customHeight="1">
      <c r="A1084" s="242"/>
      <c r="B1084" s="243"/>
      <c r="P1084" s="244"/>
      <c r="R1084" s="245"/>
      <c r="S1084" s="245"/>
      <c r="T1084" s="245"/>
      <c r="U1084" s="245"/>
      <c r="V1084" s="245"/>
      <c r="W1084" s="245"/>
      <c r="X1084" s="245"/>
      <c r="Y1084" s="246"/>
      <c r="Z1084" s="246"/>
      <c r="AA1084" s="246"/>
      <c r="AB1084" s="246"/>
      <c r="AC1084" s="246"/>
      <c r="AD1084" s="246"/>
      <c r="AE1084" s="246"/>
    </row>
    <row r="1085" ht="14.25" customHeight="1">
      <c r="A1085" s="242"/>
      <c r="B1085" s="243"/>
      <c r="P1085" s="244"/>
      <c r="R1085" s="245"/>
      <c r="S1085" s="245"/>
      <c r="T1085" s="245"/>
      <c r="U1085" s="245"/>
      <c r="V1085" s="245"/>
      <c r="W1085" s="245"/>
      <c r="X1085" s="245"/>
      <c r="Y1085" s="246"/>
      <c r="Z1085" s="246"/>
      <c r="AA1085" s="246"/>
      <c r="AB1085" s="246"/>
      <c r="AC1085" s="246"/>
      <c r="AD1085" s="246"/>
      <c r="AE1085" s="246"/>
    </row>
    <row r="1086" ht="14.25" customHeight="1">
      <c r="A1086" s="242"/>
      <c r="B1086" s="243"/>
      <c r="P1086" s="244"/>
      <c r="R1086" s="245"/>
      <c r="S1086" s="245"/>
      <c r="T1086" s="245"/>
      <c r="U1086" s="245"/>
      <c r="V1086" s="245"/>
      <c r="W1086" s="245"/>
      <c r="X1086" s="245"/>
      <c r="Y1086" s="246"/>
      <c r="Z1086" s="246"/>
      <c r="AA1086" s="246"/>
      <c r="AB1086" s="246"/>
      <c r="AC1086" s="246"/>
      <c r="AD1086" s="246"/>
      <c r="AE1086" s="246"/>
    </row>
    <row r="1087" ht="14.25" customHeight="1">
      <c r="A1087" s="242"/>
      <c r="B1087" s="243"/>
      <c r="P1087" s="244"/>
      <c r="R1087" s="245"/>
      <c r="S1087" s="245"/>
      <c r="T1087" s="245"/>
      <c r="U1087" s="245"/>
      <c r="V1087" s="245"/>
      <c r="W1087" s="245"/>
      <c r="X1087" s="245"/>
      <c r="Y1087" s="246"/>
      <c r="Z1087" s="246"/>
      <c r="AA1087" s="246"/>
      <c r="AB1087" s="246"/>
      <c r="AC1087" s="246"/>
      <c r="AD1087" s="246"/>
      <c r="AE1087" s="246"/>
    </row>
    <row r="1088" ht="14.25" customHeight="1">
      <c r="A1088" s="242"/>
      <c r="B1088" s="243"/>
      <c r="P1088" s="244"/>
      <c r="R1088" s="245"/>
      <c r="S1088" s="245"/>
      <c r="T1088" s="245"/>
      <c r="U1088" s="245"/>
      <c r="V1088" s="245"/>
      <c r="W1088" s="245"/>
      <c r="X1088" s="245"/>
      <c r="Y1088" s="246"/>
      <c r="Z1088" s="246"/>
      <c r="AA1088" s="246"/>
      <c r="AB1088" s="246"/>
      <c r="AC1088" s="246"/>
      <c r="AD1088" s="246"/>
      <c r="AE1088" s="246"/>
    </row>
    <row r="1089" ht="14.25" customHeight="1">
      <c r="A1089" s="242"/>
      <c r="B1089" s="243"/>
      <c r="P1089" s="244"/>
      <c r="R1089" s="245"/>
      <c r="S1089" s="245"/>
      <c r="T1089" s="245"/>
      <c r="U1089" s="245"/>
      <c r="V1089" s="245"/>
      <c r="W1089" s="245"/>
      <c r="X1089" s="245"/>
      <c r="Y1089" s="246"/>
      <c r="Z1089" s="246"/>
      <c r="AA1089" s="246"/>
      <c r="AB1089" s="246"/>
      <c r="AC1089" s="246"/>
      <c r="AD1089" s="246"/>
      <c r="AE1089" s="246"/>
    </row>
    <row r="1090" ht="14.25" customHeight="1">
      <c r="A1090" s="242"/>
      <c r="B1090" s="243"/>
      <c r="P1090" s="244"/>
      <c r="R1090" s="245"/>
      <c r="S1090" s="245"/>
      <c r="T1090" s="245"/>
      <c r="U1090" s="245"/>
      <c r="V1090" s="245"/>
      <c r="W1090" s="245"/>
      <c r="X1090" s="245"/>
      <c r="Y1090" s="246"/>
      <c r="Z1090" s="246"/>
      <c r="AA1090" s="246"/>
      <c r="AB1090" s="246"/>
      <c r="AC1090" s="246"/>
      <c r="AD1090" s="246"/>
      <c r="AE1090" s="246"/>
    </row>
    <row r="1091" ht="14.25" customHeight="1">
      <c r="A1091" s="242"/>
      <c r="B1091" s="243"/>
      <c r="P1091" s="244"/>
      <c r="R1091" s="245"/>
      <c r="S1091" s="245"/>
      <c r="T1091" s="245"/>
      <c r="U1091" s="245"/>
      <c r="V1091" s="245"/>
      <c r="W1091" s="245"/>
      <c r="X1091" s="245"/>
      <c r="Y1091" s="246"/>
      <c r="Z1091" s="246"/>
      <c r="AA1091" s="246"/>
      <c r="AB1091" s="246"/>
      <c r="AC1091" s="246"/>
      <c r="AD1091" s="246"/>
      <c r="AE1091" s="246"/>
    </row>
    <row r="1092" ht="14.25" customHeight="1">
      <c r="A1092" s="242"/>
      <c r="B1092" s="243"/>
      <c r="P1092" s="244"/>
      <c r="R1092" s="245"/>
      <c r="S1092" s="245"/>
      <c r="T1092" s="245"/>
      <c r="U1092" s="245"/>
      <c r="V1092" s="245"/>
      <c r="W1092" s="245"/>
      <c r="X1092" s="245"/>
      <c r="Y1092" s="246"/>
      <c r="Z1092" s="246"/>
      <c r="AA1092" s="246"/>
      <c r="AB1092" s="246"/>
      <c r="AC1092" s="246"/>
      <c r="AD1092" s="246"/>
      <c r="AE1092" s="246"/>
    </row>
    <row r="1093" ht="14.25" customHeight="1">
      <c r="A1093" s="242"/>
      <c r="B1093" s="243"/>
      <c r="P1093" s="244"/>
      <c r="R1093" s="245"/>
      <c r="S1093" s="245"/>
      <c r="T1093" s="245"/>
      <c r="U1093" s="245"/>
      <c r="V1093" s="245"/>
      <c r="W1093" s="245"/>
      <c r="X1093" s="245"/>
      <c r="Y1093" s="246"/>
      <c r="Z1093" s="246"/>
      <c r="AA1093" s="246"/>
      <c r="AB1093" s="246"/>
      <c r="AC1093" s="246"/>
      <c r="AD1093" s="246"/>
      <c r="AE1093" s="246"/>
    </row>
    <row r="1094" ht="14.25" customHeight="1">
      <c r="A1094" s="242"/>
      <c r="B1094" s="243"/>
      <c r="P1094" s="244"/>
      <c r="R1094" s="245"/>
      <c r="S1094" s="245"/>
      <c r="T1094" s="245"/>
      <c r="U1094" s="245"/>
      <c r="V1094" s="245"/>
      <c r="W1094" s="245"/>
      <c r="X1094" s="245"/>
      <c r="Y1094" s="246"/>
      <c r="Z1094" s="246"/>
      <c r="AA1094" s="246"/>
      <c r="AB1094" s="246"/>
      <c r="AC1094" s="246"/>
      <c r="AD1094" s="246"/>
      <c r="AE1094" s="246"/>
    </row>
    <row r="1095" ht="14.25" customHeight="1">
      <c r="A1095" s="242"/>
      <c r="B1095" s="243"/>
      <c r="P1095" s="244"/>
      <c r="R1095" s="245"/>
      <c r="S1095" s="245"/>
      <c r="T1095" s="245"/>
      <c r="U1095" s="245"/>
      <c r="V1095" s="245"/>
      <c r="W1095" s="245"/>
      <c r="X1095" s="245"/>
      <c r="Y1095" s="246"/>
      <c r="Z1095" s="246"/>
      <c r="AA1095" s="246"/>
      <c r="AB1095" s="246"/>
      <c r="AC1095" s="246"/>
      <c r="AD1095" s="246"/>
      <c r="AE1095" s="246"/>
    </row>
    <row r="1096" ht="14.25" customHeight="1">
      <c r="A1096" s="242"/>
      <c r="B1096" s="243"/>
      <c r="P1096" s="244"/>
      <c r="R1096" s="245"/>
      <c r="S1096" s="245"/>
      <c r="T1096" s="245"/>
      <c r="U1096" s="245"/>
      <c r="V1096" s="245"/>
      <c r="W1096" s="245"/>
      <c r="X1096" s="245"/>
      <c r="Y1096" s="246"/>
      <c r="Z1096" s="246"/>
      <c r="AA1096" s="246"/>
      <c r="AB1096" s="246"/>
      <c r="AC1096" s="246"/>
      <c r="AD1096" s="246"/>
      <c r="AE1096" s="246"/>
    </row>
    <row r="1097" ht="14.25" customHeight="1">
      <c r="A1097" s="242"/>
      <c r="B1097" s="243"/>
      <c r="P1097" s="244"/>
      <c r="R1097" s="245"/>
      <c r="S1097" s="245"/>
      <c r="T1097" s="245"/>
      <c r="U1097" s="245"/>
      <c r="V1097" s="245"/>
      <c r="W1097" s="245"/>
      <c r="X1097" s="245"/>
      <c r="Y1097" s="246"/>
      <c r="Z1097" s="246"/>
      <c r="AA1097" s="246"/>
      <c r="AB1097" s="246"/>
      <c r="AC1097" s="246"/>
      <c r="AD1097" s="246"/>
      <c r="AE1097" s="246"/>
    </row>
    <row r="1098" ht="14.25" customHeight="1">
      <c r="A1098" s="242"/>
      <c r="B1098" s="243"/>
      <c r="P1098" s="244"/>
      <c r="R1098" s="245"/>
      <c r="S1098" s="245"/>
      <c r="T1098" s="245"/>
      <c r="U1098" s="245"/>
      <c r="V1098" s="245"/>
      <c r="W1098" s="245"/>
      <c r="X1098" s="245"/>
      <c r="Y1098" s="246"/>
      <c r="Z1098" s="246"/>
      <c r="AA1098" s="246"/>
      <c r="AB1098" s="246"/>
      <c r="AC1098" s="246"/>
      <c r="AD1098" s="246"/>
      <c r="AE1098" s="246"/>
    </row>
    <row r="1099" ht="14.25" customHeight="1">
      <c r="A1099" s="242"/>
      <c r="B1099" s="243"/>
      <c r="P1099" s="244"/>
      <c r="R1099" s="245"/>
      <c r="S1099" s="245"/>
      <c r="T1099" s="245"/>
      <c r="U1099" s="245"/>
      <c r="V1099" s="245"/>
      <c r="W1099" s="245"/>
      <c r="X1099" s="245"/>
      <c r="Y1099" s="246"/>
      <c r="Z1099" s="246"/>
      <c r="AA1099" s="246"/>
      <c r="AB1099" s="246"/>
      <c r="AC1099" s="246"/>
      <c r="AD1099" s="246"/>
      <c r="AE1099" s="246"/>
    </row>
    <row r="1100" ht="14.25" customHeight="1">
      <c r="A1100" s="242"/>
      <c r="B1100" s="243"/>
      <c r="P1100" s="244"/>
      <c r="R1100" s="245"/>
      <c r="S1100" s="245"/>
      <c r="T1100" s="245"/>
      <c r="U1100" s="245"/>
      <c r="V1100" s="245"/>
      <c r="W1100" s="245"/>
      <c r="X1100" s="245"/>
      <c r="Y1100" s="246"/>
      <c r="Z1100" s="246"/>
      <c r="AA1100" s="246"/>
      <c r="AB1100" s="246"/>
      <c r="AC1100" s="246"/>
      <c r="AD1100" s="246"/>
      <c r="AE1100" s="246"/>
    </row>
    <row r="1101" ht="14.25" customHeight="1">
      <c r="A1101" s="242"/>
      <c r="B1101" s="243"/>
      <c r="P1101" s="244"/>
      <c r="R1101" s="245"/>
      <c r="S1101" s="245"/>
      <c r="T1101" s="245"/>
      <c r="U1101" s="245"/>
      <c r="V1101" s="245"/>
      <c r="W1101" s="245"/>
      <c r="X1101" s="245"/>
      <c r="Y1101" s="246"/>
      <c r="Z1101" s="246"/>
      <c r="AA1101" s="246"/>
      <c r="AB1101" s="246"/>
      <c r="AC1101" s="246"/>
      <c r="AD1101" s="246"/>
      <c r="AE1101" s="246"/>
    </row>
    <row r="1102" ht="14.25" customHeight="1">
      <c r="A1102" s="242"/>
      <c r="B1102" s="243"/>
      <c r="P1102" s="244"/>
      <c r="R1102" s="245"/>
      <c r="S1102" s="245"/>
      <c r="T1102" s="245"/>
      <c r="U1102" s="245"/>
      <c r="V1102" s="245"/>
      <c r="W1102" s="245"/>
      <c r="X1102" s="245"/>
      <c r="Y1102" s="246"/>
      <c r="Z1102" s="246"/>
      <c r="AA1102" s="246"/>
      <c r="AB1102" s="246"/>
      <c r="AC1102" s="246"/>
      <c r="AD1102" s="246"/>
      <c r="AE1102" s="246"/>
    </row>
    <row r="1103" ht="14.25" customHeight="1">
      <c r="A1103" s="242"/>
      <c r="B1103" s="243"/>
      <c r="P1103" s="244"/>
      <c r="R1103" s="245"/>
      <c r="S1103" s="245"/>
      <c r="T1103" s="245"/>
      <c r="U1103" s="245"/>
      <c r="V1103" s="245"/>
      <c r="W1103" s="245"/>
      <c r="X1103" s="245"/>
      <c r="Y1103" s="246"/>
      <c r="Z1103" s="246"/>
      <c r="AA1103" s="246"/>
      <c r="AB1103" s="246"/>
      <c r="AC1103" s="246"/>
      <c r="AD1103" s="246"/>
      <c r="AE1103" s="246"/>
    </row>
    <row r="1104" ht="14.25" customHeight="1">
      <c r="A1104" s="242"/>
      <c r="B1104" s="243"/>
      <c r="P1104" s="244"/>
      <c r="R1104" s="245"/>
      <c r="S1104" s="245"/>
      <c r="T1104" s="245"/>
      <c r="U1104" s="245"/>
      <c r="V1104" s="245"/>
      <c r="W1104" s="245"/>
      <c r="X1104" s="245"/>
      <c r="Y1104" s="246"/>
      <c r="Z1104" s="246"/>
      <c r="AA1104" s="246"/>
      <c r="AB1104" s="246"/>
      <c r="AC1104" s="246"/>
      <c r="AD1104" s="246"/>
      <c r="AE1104" s="246"/>
    </row>
    <row r="1105" ht="14.25" customHeight="1">
      <c r="A1105" s="242"/>
      <c r="B1105" s="243"/>
      <c r="P1105" s="244"/>
      <c r="R1105" s="245"/>
      <c r="S1105" s="245"/>
      <c r="T1105" s="245"/>
      <c r="U1105" s="245"/>
      <c r="V1105" s="245"/>
      <c r="W1105" s="245"/>
      <c r="X1105" s="245"/>
      <c r="Y1105" s="246"/>
      <c r="Z1105" s="246"/>
      <c r="AA1105" s="246"/>
      <c r="AB1105" s="246"/>
      <c r="AC1105" s="246"/>
      <c r="AD1105" s="246"/>
      <c r="AE1105" s="246"/>
    </row>
    <row r="1106" ht="14.25" customHeight="1">
      <c r="A1106" s="242"/>
      <c r="B1106" s="243"/>
      <c r="P1106" s="244"/>
      <c r="R1106" s="245"/>
      <c r="S1106" s="245"/>
      <c r="T1106" s="245"/>
      <c r="U1106" s="245"/>
      <c r="V1106" s="245"/>
      <c r="W1106" s="245"/>
      <c r="X1106" s="245"/>
      <c r="Y1106" s="246"/>
      <c r="Z1106" s="246"/>
      <c r="AA1106" s="246"/>
      <c r="AB1106" s="246"/>
      <c r="AC1106" s="246"/>
      <c r="AD1106" s="246"/>
      <c r="AE1106" s="246"/>
    </row>
    <row r="1107" ht="14.25" customHeight="1">
      <c r="A1107" s="242"/>
      <c r="B1107" s="243"/>
      <c r="P1107" s="244"/>
      <c r="R1107" s="245"/>
      <c r="S1107" s="245"/>
      <c r="T1107" s="245"/>
      <c r="U1107" s="245"/>
      <c r="V1107" s="245"/>
      <c r="W1107" s="245"/>
      <c r="X1107" s="245"/>
      <c r="Y1107" s="246"/>
      <c r="Z1107" s="246"/>
      <c r="AA1107" s="246"/>
      <c r="AB1107" s="246"/>
      <c r="AC1107" s="246"/>
      <c r="AD1107" s="246"/>
      <c r="AE1107" s="246"/>
    </row>
    <row r="1108" ht="14.25" customHeight="1">
      <c r="A1108" s="242"/>
      <c r="B1108" s="243"/>
      <c r="P1108" s="244"/>
      <c r="R1108" s="245"/>
      <c r="S1108" s="245"/>
      <c r="T1108" s="245"/>
      <c r="U1108" s="245"/>
      <c r="V1108" s="245"/>
      <c r="W1108" s="245"/>
      <c r="X1108" s="245"/>
      <c r="Y1108" s="246"/>
      <c r="Z1108" s="246"/>
      <c r="AA1108" s="246"/>
      <c r="AB1108" s="246"/>
      <c r="AC1108" s="246"/>
      <c r="AD1108" s="246"/>
      <c r="AE1108" s="246"/>
    </row>
    <row r="1109" ht="14.25" customHeight="1">
      <c r="A1109" s="242"/>
      <c r="B1109" s="243"/>
      <c r="P1109" s="244"/>
      <c r="R1109" s="245"/>
      <c r="S1109" s="245"/>
      <c r="T1109" s="245"/>
      <c r="U1109" s="245"/>
      <c r="V1109" s="245"/>
      <c r="W1109" s="245"/>
      <c r="X1109" s="245"/>
      <c r="Y1109" s="246"/>
      <c r="Z1109" s="246"/>
      <c r="AA1109" s="246"/>
      <c r="AB1109" s="246"/>
      <c r="AC1109" s="246"/>
      <c r="AD1109" s="246"/>
      <c r="AE1109" s="246"/>
    </row>
    <row r="1110" ht="14.25" customHeight="1">
      <c r="A1110" s="242"/>
      <c r="B1110" s="243"/>
      <c r="P1110" s="244"/>
      <c r="R1110" s="245"/>
      <c r="S1110" s="245"/>
      <c r="T1110" s="245"/>
      <c r="U1110" s="245"/>
      <c r="V1110" s="245"/>
      <c r="W1110" s="245"/>
      <c r="X1110" s="245"/>
      <c r="Y1110" s="246"/>
      <c r="Z1110" s="246"/>
      <c r="AA1110" s="246"/>
      <c r="AB1110" s="246"/>
      <c r="AC1110" s="246"/>
      <c r="AD1110" s="246"/>
      <c r="AE1110" s="246"/>
    </row>
    <row r="1111" ht="14.25" customHeight="1">
      <c r="A1111" s="242"/>
      <c r="B1111" s="243"/>
      <c r="P1111" s="244"/>
      <c r="R1111" s="245"/>
      <c r="S1111" s="245"/>
      <c r="T1111" s="245"/>
      <c r="U1111" s="245"/>
      <c r="V1111" s="245"/>
      <c r="W1111" s="245"/>
      <c r="X1111" s="245"/>
      <c r="Y1111" s="245"/>
      <c r="Z1111" s="245"/>
      <c r="AA1111" s="245"/>
      <c r="AB1111" s="245"/>
      <c r="AC1111" s="245"/>
      <c r="AD1111" s="245"/>
      <c r="AE1111" s="246"/>
    </row>
    <row r="1112" ht="14.25" customHeight="1">
      <c r="A1112" s="242"/>
      <c r="B1112" s="243"/>
      <c r="P1112" s="244"/>
      <c r="R1112" s="245"/>
      <c r="S1112" s="245"/>
      <c r="T1112" s="245"/>
      <c r="U1112" s="245"/>
      <c r="V1112" s="245"/>
      <c r="W1112" s="245"/>
      <c r="X1112" s="245"/>
      <c r="Y1112" s="246"/>
      <c r="Z1112" s="246"/>
      <c r="AA1112" s="246"/>
      <c r="AB1112" s="246"/>
      <c r="AC1112" s="246"/>
      <c r="AD1112" s="246"/>
      <c r="AE1112" s="246"/>
    </row>
    <row r="1113" ht="14.25" customHeight="1">
      <c r="A1113" s="242"/>
      <c r="B1113" s="243"/>
      <c r="P1113" s="244"/>
      <c r="R1113" s="245"/>
      <c r="S1113" s="245"/>
      <c r="T1113" s="245"/>
      <c r="U1113" s="245"/>
      <c r="V1113" s="245"/>
      <c r="W1113" s="245"/>
      <c r="X1113" s="245"/>
      <c r="Y1113" s="246"/>
      <c r="Z1113" s="246"/>
      <c r="AA1113" s="246"/>
      <c r="AB1113" s="246"/>
      <c r="AC1113" s="246"/>
      <c r="AD1113" s="246"/>
      <c r="AE1113" s="246"/>
    </row>
    <row r="1114" ht="14.25" customHeight="1">
      <c r="A1114" s="242"/>
      <c r="B1114" s="243"/>
      <c r="P1114" s="244"/>
      <c r="R1114" s="245"/>
      <c r="S1114" s="245"/>
      <c r="T1114" s="245"/>
      <c r="U1114" s="245"/>
      <c r="V1114" s="245"/>
      <c r="W1114" s="245"/>
      <c r="X1114" s="245"/>
      <c r="Y1114" s="246"/>
      <c r="Z1114" s="246"/>
      <c r="AA1114" s="246"/>
      <c r="AB1114" s="246"/>
      <c r="AC1114" s="246"/>
      <c r="AD1114" s="246"/>
      <c r="AE1114" s="246"/>
    </row>
    <row r="1115" ht="14.25" customHeight="1">
      <c r="A1115" s="242"/>
      <c r="B1115" s="243"/>
      <c r="P1115" s="244"/>
      <c r="R1115" s="245"/>
      <c r="S1115" s="245"/>
      <c r="T1115" s="245"/>
      <c r="U1115" s="245"/>
      <c r="V1115" s="245"/>
      <c r="W1115" s="245"/>
      <c r="X1115" s="245"/>
      <c r="Y1115" s="246"/>
      <c r="Z1115" s="246"/>
      <c r="AA1115" s="246"/>
      <c r="AB1115" s="246"/>
      <c r="AC1115" s="246"/>
      <c r="AD1115" s="246"/>
      <c r="AE1115" s="246"/>
    </row>
    <row r="1116" ht="14.25" customHeight="1">
      <c r="A1116" s="242"/>
      <c r="B1116" s="243"/>
      <c r="P1116" s="244"/>
      <c r="R1116" s="245"/>
      <c r="S1116" s="245"/>
      <c r="T1116" s="245"/>
      <c r="U1116" s="245"/>
      <c r="V1116" s="245"/>
      <c r="W1116" s="245"/>
      <c r="X1116" s="245"/>
      <c r="Y1116" s="246"/>
      <c r="Z1116" s="246"/>
      <c r="AA1116" s="246"/>
      <c r="AB1116" s="246"/>
      <c r="AC1116" s="246"/>
      <c r="AD1116" s="246"/>
      <c r="AE1116" s="246"/>
    </row>
    <row r="1117" ht="14.25" customHeight="1">
      <c r="A1117" s="242"/>
      <c r="B1117" s="243"/>
      <c r="P1117" s="244"/>
      <c r="R1117" s="245"/>
      <c r="S1117" s="245"/>
      <c r="T1117" s="245"/>
      <c r="U1117" s="245"/>
      <c r="V1117" s="245"/>
      <c r="W1117" s="245"/>
      <c r="X1117" s="245"/>
      <c r="Y1117" s="246"/>
      <c r="Z1117" s="246"/>
      <c r="AA1117" s="246"/>
      <c r="AB1117" s="246"/>
      <c r="AC1117" s="246"/>
      <c r="AD1117" s="246"/>
      <c r="AE1117" s="246"/>
    </row>
    <row r="1118" ht="14.25" customHeight="1">
      <c r="A1118" s="242"/>
      <c r="B1118" s="243"/>
      <c r="P1118" s="244"/>
      <c r="R1118" s="245"/>
      <c r="S1118" s="245"/>
      <c r="T1118" s="245"/>
      <c r="U1118" s="245"/>
      <c r="V1118" s="245"/>
      <c r="W1118" s="245"/>
      <c r="X1118" s="245"/>
      <c r="Y1118" s="246"/>
      <c r="Z1118" s="246"/>
      <c r="AA1118" s="246"/>
      <c r="AB1118" s="246"/>
      <c r="AC1118" s="246"/>
      <c r="AD1118" s="246"/>
      <c r="AE1118" s="246"/>
    </row>
    <row r="1119" ht="14.25" customHeight="1">
      <c r="A1119" s="242"/>
      <c r="B1119" s="243"/>
      <c r="P1119" s="244"/>
      <c r="R1119" s="245"/>
      <c r="S1119" s="245"/>
      <c r="T1119" s="245"/>
      <c r="U1119" s="245"/>
      <c r="V1119" s="245"/>
      <c r="W1119" s="245"/>
      <c r="X1119" s="245"/>
      <c r="Y1119" s="246"/>
      <c r="Z1119" s="246"/>
      <c r="AA1119" s="246"/>
      <c r="AB1119" s="246"/>
      <c r="AC1119" s="246"/>
      <c r="AD1119" s="246"/>
      <c r="AE1119" s="246"/>
    </row>
    <row r="1120" ht="14.25" customHeight="1">
      <c r="A1120" s="242"/>
      <c r="B1120" s="243"/>
      <c r="P1120" s="244"/>
      <c r="R1120" s="247"/>
      <c r="S1120" s="247"/>
      <c r="T1120" s="247"/>
      <c r="U1120" s="247"/>
      <c r="V1120" s="247"/>
      <c r="W1120" s="247"/>
      <c r="X1120" s="247"/>
      <c r="Y1120" s="246"/>
      <c r="Z1120" s="246"/>
      <c r="AA1120" s="246"/>
      <c r="AB1120" s="246"/>
      <c r="AC1120" s="246"/>
      <c r="AD1120" s="246"/>
      <c r="AE1120" s="246"/>
    </row>
    <row r="1121" ht="14.25" customHeight="1">
      <c r="A1121" s="242"/>
      <c r="B1121" s="243"/>
      <c r="P1121" s="244"/>
      <c r="R1121" s="245"/>
      <c r="S1121" s="245"/>
      <c r="T1121" s="245"/>
      <c r="U1121" s="245"/>
      <c r="V1121" s="245"/>
      <c r="W1121" s="245"/>
      <c r="X1121" s="245"/>
      <c r="Y1121" s="246"/>
      <c r="Z1121" s="246"/>
      <c r="AA1121" s="246"/>
      <c r="AB1121" s="246"/>
      <c r="AC1121" s="246"/>
      <c r="AD1121" s="246"/>
      <c r="AE1121" s="246"/>
    </row>
    <row r="1122" ht="14.25" customHeight="1">
      <c r="A1122" s="242"/>
      <c r="B1122" s="243"/>
      <c r="P1122" s="244"/>
      <c r="R1122" s="245"/>
      <c r="S1122" s="245"/>
      <c r="T1122" s="245"/>
      <c r="U1122" s="245"/>
      <c r="V1122" s="245"/>
      <c r="W1122" s="245"/>
      <c r="X1122" s="245"/>
      <c r="Y1122" s="246"/>
      <c r="Z1122" s="246"/>
      <c r="AA1122" s="246"/>
      <c r="AB1122" s="246"/>
      <c r="AC1122" s="246"/>
      <c r="AD1122" s="246"/>
      <c r="AE1122" s="246"/>
    </row>
    <row r="1123" ht="14.25" customHeight="1">
      <c r="A1123" s="242"/>
      <c r="B1123" s="243"/>
      <c r="P1123" s="244"/>
      <c r="R1123" s="245"/>
      <c r="S1123" s="245"/>
      <c r="T1123" s="245"/>
      <c r="U1123" s="245"/>
      <c r="V1123" s="245"/>
      <c r="W1123" s="245"/>
      <c r="X1123" s="245"/>
      <c r="Y1123" s="246"/>
      <c r="Z1123" s="246"/>
      <c r="AA1123" s="246"/>
      <c r="AB1123" s="246"/>
      <c r="AC1123" s="246"/>
      <c r="AD1123" s="246"/>
      <c r="AE1123" s="246"/>
    </row>
    <row r="1124" ht="14.25" customHeight="1">
      <c r="A1124" s="242"/>
      <c r="B1124" s="243"/>
      <c r="P1124" s="244"/>
      <c r="R1124" s="245"/>
      <c r="S1124" s="245"/>
      <c r="T1124" s="245"/>
      <c r="U1124" s="245"/>
      <c r="V1124" s="245"/>
      <c r="W1124" s="245"/>
      <c r="X1124" s="245"/>
      <c r="Y1124" s="246"/>
      <c r="Z1124" s="246"/>
      <c r="AA1124" s="246"/>
      <c r="AB1124" s="246"/>
      <c r="AC1124" s="246"/>
      <c r="AD1124" s="246"/>
      <c r="AE1124" s="246"/>
    </row>
    <row r="1125" ht="14.25" customHeight="1">
      <c r="A1125" s="242"/>
      <c r="B1125" s="243"/>
      <c r="P1125" s="244"/>
      <c r="R1125" s="245"/>
      <c r="S1125" s="245"/>
      <c r="T1125" s="245"/>
      <c r="U1125" s="245"/>
      <c r="V1125" s="245"/>
      <c r="W1125" s="245"/>
      <c r="X1125" s="245"/>
      <c r="Y1125" s="246"/>
      <c r="Z1125" s="246"/>
      <c r="AA1125" s="246"/>
      <c r="AB1125" s="246"/>
      <c r="AC1125" s="246"/>
      <c r="AD1125" s="246"/>
      <c r="AE1125" s="246"/>
    </row>
    <row r="1126" ht="14.25" customHeight="1">
      <c r="A1126" s="242"/>
      <c r="B1126" s="243"/>
      <c r="P1126" s="244"/>
      <c r="R1126" s="245"/>
      <c r="S1126" s="245"/>
      <c r="T1126" s="245"/>
      <c r="U1126" s="245"/>
      <c r="V1126" s="245"/>
      <c r="W1126" s="245"/>
      <c r="X1126" s="245"/>
      <c r="Y1126" s="246"/>
      <c r="Z1126" s="246"/>
      <c r="AA1126" s="246"/>
      <c r="AB1126" s="246"/>
      <c r="AC1126" s="246"/>
      <c r="AD1126" s="246"/>
      <c r="AE1126" s="246"/>
    </row>
    <row r="1127" ht="14.25" customHeight="1">
      <c r="A1127" s="242"/>
      <c r="B1127" s="243"/>
      <c r="P1127" s="244"/>
      <c r="R1127" s="245"/>
      <c r="S1127" s="245"/>
      <c r="T1127" s="245"/>
      <c r="U1127" s="245"/>
      <c r="V1127" s="245"/>
      <c r="W1127" s="245"/>
      <c r="X1127" s="245"/>
      <c r="Y1127" s="246"/>
      <c r="Z1127" s="246"/>
      <c r="AA1127" s="246"/>
      <c r="AB1127" s="246"/>
      <c r="AC1127" s="246"/>
      <c r="AD1127" s="246"/>
      <c r="AE1127" s="246"/>
    </row>
    <row r="1128" ht="14.25" customHeight="1">
      <c r="A1128" s="242"/>
      <c r="B1128" s="243"/>
      <c r="P1128" s="244"/>
      <c r="R1128" s="245"/>
      <c r="S1128" s="245"/>
      <c r="T1128" s="245"/>
      <c r="U1128" s="245"/>
      <c r="V1128" s="245"/>
      <c r="W1128" s="245"/>
      <c r="X1128" s="245"/>
      <c r="Y1128" s="246"/>
      <c r="Z1128" s="246"/>
      <c r="AA1128" s="246"/>
      <c r="AB1128" s="246"/>
      <c r="AC1128" s="246"/>
      <c r="AD1128" s="246"/>
      <c r="AE1128" s="246"/>
    </row>
    <row r="1129" ht="14.25" customHeight="1">
      <c r="A1129" s="242"/>
      <c r="B1129" s="243"/>
      <c r="P1129" s="244"/>
      <c r="R1129" s="245"/>
      <c r="S1129" s="245"/>
      <c r="T1129" s="245"/>
      <c r="U1129" s="245"/>
      <c r="V1129" s="245"/>
      <c r="W1129" s="245"/>
      <c r="X1129" s="245"/>
      <c r="Y1129" s="246"/>
      <c r="Z1129" s="246"/>
      <c r="AA1129" s="246"/>
      <c r="AB1129" s="246"/>
      <c r="AC1129" s="246"/>
      <c r="AD1129" s="246"/>
      <c r="AE1129" s="246"/>
    </row>
    <row r="1130" ht="14.25" customHeight="1">
      <c r="A1130" s="242"/>
      <c r="B1130" s="243"/>
      <c r="P1130" s="244"/>
      <c r="R1130" s="245"/>
      <c r="S1130" s="245"/>
      <c r="T1130" s="245"/>
      <c r="U1130" s="245"/>
      <c r="V1130" s="245"/>
      <c r="W1130" s="245"/>
      <c r="X1130" s="245"/>
      <c r="Y1130" s="246"/>
      <c r="Z1130" s="246"/>
      <c r="AA1130" s="246"/>
      <c r="AB1130" s="246"/>
      <c r="AC1130" s="246"/>
      <c r="AD1130" s="246"/>
      <c r="AE1130" s="246"/>
    </row>
    <row r="1131" ht="14.25" customHeight="1">
      <c r="A1131" s="242"/>
      <c r="B1131" s="243"/>
      <c r="P1131" s="244"/>
      <c r="R1131" s="245"/>
      <c r="S1131" s="245"/>
      <c r="T1131" s="245"/>
      <c r="U1131" s="245"/>
      <c r="V1131" s="245"/>
      <c r="W1131" s="245"/>
      <c r="X1131" s="245"/>
      <c r="Y1131" s="246"/>
      <c r="Z1131" s="246"/>
      <c r="AA1131" s="246"/>
      <c r="AB1131" s="246"/>
      <c r="AC1131" s="246"/>
      <c r="AD1131" s="246"/>
      <c r="AE1131" s="246"/>
    </row>
    <row r="1132" ht="14.25" customHeight="1">
      <c r="A1132" s="242"/>
      <c r="B1132" s="243"/>
      <c r="P1132" s="244"/>
      <c r="R1132" s="245"/>
      <c r="S1132" s="245"/>
      <c r="T1132" s="245"/>
      <c r="U1132" s="245"/>
      <c r="V1132" s="245"/>
      <c r="W1132" s="245"/>
      <c r="X1132" s="245"/>
      <c r="Y1132" s="246"/>
      <c r="Z1132" s="246"/>
      <c r="AA1132" s="246"/>
      <c r="AB1132" s="246"/>
      <c r="AC1132" s="246"/>
      <c r="AD1132" s="246"/>
      <c r="AE1132" s="246"/>
    </row>
    <row r="1133" ht="14.25" customHeight="1">
      <c r="A1133" s="242"/>
      <c r="B1133" s="243"/>
      <c r="P1133" s="244"/>
      <c r="R1133" s="245"/>
      <c r="S1133" s="245"/>
      <c r="T1133" s="245"/>
      <c r="U1133" s="245"/>
      <c r="V1133" s="245"/>
      <c r="W1133" s="245"/>
      <c r="X1133" s="245"/>
      <c r="Y1133" s="246"/>
      <c r="Z1133" s="246"/>
      <c r="AA1133" s="246"/>
      <c r="AB1133" s="246"/>
      <c r="AC1133" s="246"/>
      <c r="AD1133" s="246"/>
      <c r="AE1133" s="246"/>
    </row>
    <row r="1134" ht="14.25" customHeight="1">
      <c r="A1134" s="242"/>
      <c r="B1134" s="243"/>
      <c r="P1134" s="244"/>
      <c r="R1134" s="245"/>
      <c r="S1134" s="245"/>
      <c r="T1134" s="245"/>
      <c r="U1134" s="245"/>
      <c r="V1134" s="245"/>
      <c r="W1134" s="245"/>
      <c r="X1134" s="245"/>
      <c r="Y1134" s="246"/>
      <c r="Z1134" s="246"/>
      <c r="AA1134" s="246"/>
      <c r="AB1134" s="246"/>
      <c r="AC1134" s="246"/>
      <c r="AD1134" s="246"/>
      <c r="AE1134" s="246"/>
    </row>
    <row r="1135" ht="14.25" customHeight="1">
      <c r="A1135" s="242"/>
      <c r="B1135" s="243"/>
      <c r="P1135" s="244"/>
      <c r="R1135" s="245"/>
      <c r="S1135" s="245"/>
      <c r="T1135" s="245"/>
      <c r="U1135" s="245"/>
      <c r="V1135" s="245"/>
      <c r="W1135" s="245"/>
      <c r="X1135" s="245"/>
      <c r="Y1135" s="246"/>
      <c r="Z1135" s="246"/>
      <c r="AA1135" s="246"/>
      <c r="AB1135" s="246"/>
      <c r="AC1135" s="246"/>
      <c r="AD1135" s="246"/>
      <c r="AE1135" s="246"/>
    </row>
    <row r="1136" ht="14.25" customHeight="1">
      <c r="A1136" s="242"/>
      <c r="B1136" s="243"/>
      <c r="P1136" s="244"/>
      <c r="R1136" s="245"/>
      <c r="S1136" s="245"/>
      <c r="T1136" s="245"/>
      <c r="U1136" s="245"/>
      <c r="V1136" s="245"/>
      <c r="W1136" s="245"/>
      <c r="X1136" s="245"/>
      <c r="Y1136" s="246"/>
      <c r="Z1136" s="246"/>
      <c r="AA1136" s="246"/>
      <c r="AB1136" s="246"/>
      <c r="AC1136" s="246"/>
      <c r="AD1136" s="246"/>
      <c r="AE1136" s="246"/>
    </row>
    <row r="1137" ht="14.25" customHeight="1">
      <c r="A1137" s="242"/>
      <c r="B1137" s="243"/>
      <c r="P1137" s="244"/>
      <c r="R1137" s="245"/>
      <c r="S1137" s="245"/>
      <c r="T1137" s="245"/>
      <c r="U1137" s="245"/>
      <c r="V1137" s="245"/>
      <c r="W1137" s="245"/>
      <c r="X1137" s="245"/>
      <c r="Y1137" s="246"/>
      <c r="Z1137" s="246"/>
      <c r="AA1137" s="246"/>
      <c r="AB1137" s="246"/>
      <c r="AC1137" s="246"/>
      <c r="AD1137" s="246"/>
      <c r="AE1137" s="246"/>
    </row>
    <row r="1138" ht="14.25" customHeight="1">
      <c r="A1138" s="242"/>
      <c r="B1138" s="243"/>
      <c r="P1138" s="244"/>
      <c r="R1138" s="245"/>
      <c r="S1138" s="245"/>
      <c r="T1138" s="245"/>
      <c r="U1138" s="245"/>
      <c r="V1138" s="245"/>
      <c r="W1138" s="245"/>
      <c r="X1138" s="245"/>
      <c r="Y1138" s="246"/>
      <c r="Z1138" s="246"/>
      <c r="AA1138" s="246"/>
      <c r="AB1138" s="246"/>
      <c r="AC1138" s="246"/>
      <c r="AD1138" s="246"/>
      <c r="AE1138" s="246"/>
    </row>
    <row r="1139" ht="14.25" customHeight="1">
      <c r="A1139" s="242"/>
      <c r="B1139" s="243"/>
      <c r="P1139" s="244"/>
      <c r="R1139" s="245"/>
      <c r="S1139" s="245"/>
      <c r="T1139" s="245"/>
      <c r="U1139" s="245"/>
      <c r="V1139" s="245"/>
      <c r="W1139" s="245"/>
      <c r="X1139" s="245"/>
      <c r="Y1139" s="246"/>
      <c r="Z1139" s="246"/>
      <c r="AA1139" s="246"/>
      <c r="AB1139" s="246"/>
      <c r="AC1139" s="246"/>
      <c r="AD1139" s="246"/>
      <c r="AE1139" s="246"/>
    </row>
    <row r="1140" ht="14.25" customHeight="1">
      <c r="A1140" s="242"/>
      <c r="B1140" s="243"/>
      <c r="P1140" s="244"/>
      <c r="R1140" s="245"/>
      <c r="S1140" s="245"/>
      <c r="T1140" s="245"/>
      <c r="U1140" s="245"/>
      <c r="V1140" s="245"/>
      <c r="W1140" s="245"/>
      <c r="X1140" s="245"/>
      <c r="Y1140" s="246"/>
      <c r="Z1140" s="246"/>
      <c r="AA1140" s="246"/>
      <c r="AB1140" s="246"/>
      <c r="AC1140" s="246"/>
      <c r="AD1140" s="246"/>
      <c r="AE1140" s="246"/>
    </row>
    <row r="1141" ht="14.25" customHeight="1">
      <c r="A1141" s="242"/>
      <c r="B1141" s="243"/>
      <c r="P1141" s="244"/>
      <c r="R1141" s="245"/>
      <c r="S1141" s="245"/>
      <c r="T1141" s="245"/>
      <c r="U1141" s="245"/>
      <c r="V1141" s="245"/>
      <c r="W1141" s="245"/>
      <c r="X1141" s="245"/>
      <c r="Y1141" s="246"/>
      <c r="Z1141" s="246"/>
      <c r="AA1141" s="246"/>
      <c r="AB1141" s="246"/>
      <c r="AC1141" s="246"/>
      <c r="AD1141" s="246"/>
      <c r="AE1141" s="246"/>
    </row>
    <row r="1142" ht="14.25" customHeight="1">
      <c r="A1142" s="242"/>
      <c r="B1142" s="243"/>
      <c r="P1142" s="244"/>
      <c r="R1142" s="245"/>
      <c r="S1142" s="245"/>
      <c r="T1142" s="245"/>
      <c r="U1142" s="245"/>
      <c r="V1142" s="245"/>
      <c r="W1142" s="245"/>
      <c r="X1142" s="245"/>
      <c r="Y1142" s="246"/>
      <c r="Z1142" s="246"/>
      <c r="AA1142" s="246"/>
      <c r="AB1142" s="246"/>
      <c r="AC1142" s="246"/>
      <c r="AD1142" s="246"/>
      <c r="AE1142" s="246"/>
    </row>
    <row r="1143" ht="14.25" customHeight="1">
      <c r="A1143" s="242"/>
      <c r="B1143" s="243"/>
      <c r="P1143" s="244"/>
      <c r="R1143" s="245"/>
      <c r="S1143" s="245"/>
      <c r="T1143" s="245"/>
      <c r="U1143" s="245"/>
      <c r="V1143" s="245"/>
      <c r="W1143" s="245"/>
      <c r="X1143" s="245"/>
      <c r="Y1143" s="246"/>
      <c r="Z1143" s="246"/>
      <c r="AA1143" s="246"/>
      <c r="AB1143" s="246"/>
      <c r="AC1143" s="246"/>
      <c r="AD1143" s="246"/>
      <c r="AE1143" s="246"/>
    </row>
    <row r="1144" ht="14.25" customHeight="1">
      <c r="A1144" s="242"/>
      <c r="B1144" s="243"/>
      <c r="P1144" s="244"/>
      <c r="R1144" s="245"/>
      <c r="S1144" s="245"/>
      <c r="T1144" s="245"/>
      <c r="U1144" s="245"/>
      <c r="V1144" s="245"/>
      <c r="W1144" s="245"/>
      <c r="X1144" s="245"/>
      <c r="Y1144" s="246"/>
      <c r="Z1144" s="246"/>
      <c r="AA1144" s="246"/>
      <c r="AB1144" s="246"/>
      <c r="AC1144" s="246"/>
      <c r="AD1144" s="246"/>
      <c r="AE1144" s="246"/>
    </row>
    <row r="1145" ht="14.25" customHeight="1">
      <c r="A1145" s="242"/>
      <c r="B1145" s="243"/>
      <c r="P1145" s="244"/>
      <c r="R1145" s="245"/>
      <c r="S1145" s="245"/>
      <c r="T1145" s="245"/>
      <c r="U1145" s="245"/>
      <c r="V1145" s="245"/>
      <c r="W1145" s="245"/>
      <c r="X1145" s="245"/>
      <c r="Y1145" s="246"/>
      <c r="Z1145" s="246"/>
      <c r="AA1145" s="246"/>
      <c r="AB1145" s="246"/>
      <c r="AC1145" s="246"/>
      <c r="AD1145" s="246"/>
      <c r="AE1145" s="246"/>
    </row>
    <row r="1146" ht="14.25" customHeight="1">
      <c r="A1146" s="242"/>
      <c r="B1146" s="243"/>
      <c r="P1146" s="244"/>
      <c r="R1146" s="245"/>
      <c r="S1146" s="245"/>
      <c r="T1146" s="245"/>
      <c r="U1146" s="245"/>
      <c r="V1146" s="245"/>
      <c r="W1146" s="245"/>
      <c r="X1146" s="245"/>
      <c r="Y1146" s="246"/>
      <c r="Z1146" s="246"/>
      <c r="AA1146" s="246"/>
      <c r="AB1146" s="246"/>
      <c r="AC1146" s="246"/>
      <c r="AD1146" s="246"/>
      <c r="AE1146" s="246"/>
    </row>
    <row r="1147" ht="14.25" customHeight="1">
      <c r="A1147" s="242"/>
      <c r="B1147" s="243"/>
      <c r="P1147" s="244"/>
      <c r="R1147" s="245"/>
      <c r="S1147" s="245"/>
      <c r="T1147" s="245"/>
      <c r="U1147" s="245"/>
      <c r="V1147" s="245"/>
      <c r="W1147" s="245"/>
      <c r="X1147" s="245"/>
      <c r="Y1147" s="246"/>
      <c r="Z1147" s="246"/>
      <c r="AA1147" s="246"/>
      <c r="AB1147" s="246"/>
      <c r="AC1147" s="246"/>
      <c r="AD1147" s="246"/>
      <c r="AE1147" s="246"/>
    </row>
    <row r="1148" ht="14.25" customHeight="1">
      <c r="A1148" s="242"/>
      <c r="B1148" s="243"/>
      <c r="P1148" s="244"/>
      <c r="R1148" s="245"/>
      <c r="S1148" s="245"/>
      <c r="T1148" s="245"/>
      <c r="U1148" s="245"/>
      <c r="V1148" s="245"/>
      <c r="W1148" s="245"/>
      <c r="X1148" s="245"/>
      <c r="Y1148" s="246"/>
      <c r="Z1148" s="246"/>
      <c r="AA1148" s="246"/>
      <c r="AB1148" s="246"/>
      <c r="AC1148" s="246"/>
      <c r="AD1148" s="246"/>
      <c r="AE1148" s="246"/>
    </row>
    <row r="1149" ht="14.25" customHeight="1">
      <c r="A1149" s="242"/>
      <c r="B1149" s="243"/>
      <c r="P1149" s="244"/>
      <c r="R1149" s="245"/>
      <c r="S1149" s="245"/>
      <c r="T1149" s="245"/>
      <c r="U1149" s="245"/>
      <c r="V1149" s="245"/>
      <c r="W1149" s="245"/>
      <c r="X1149" s="245"/>
      <c r="Y1149" s="246"/>
      <c r="Z1149" s="246"/>
      <c r="AA1149" s="246"/>
      <c r="AB1149" s="246"/>
      <c r="AC1149" s="246"/>
      <c r="AD1149" s="246"/>
      <c r="AE1149" s="246"/>
    </row>
    <row r="1150" ht="14.25" customHeight="1">
      <c r="A1150" s="242"/>
      <c r="B1150" s="243"/>
      <c r="P1150" s="244"/>
      <c r="R1150" s="245"/>
      <c r="S1150" s="245"/>
      <c r="T1150" s="245"/>
      <c r="U1150" s="245"/>
      <c r="V1150" s="245"/>
      <c r="W1150" s="245"/>
      <c r="X1150" s="245"/>
      <c r="Y1150" s="246"/>
      <c r="Z1150" s="246"/>
      <c r="AA1150" s="246"/>
      <c r="AB1150" s="246"/>
      <c r="AC1150" s="246"/>
      <c r="AD1150" s="246"/>
      <c r="AE1150" s="246"/>
    </row>
    <row r="1151" ht="14.25" customHeight="1">
      <c r="A1151" s="242"/>
      <c r="B1151" s="243"/>
      <c r="P1151" s="244"/>
      <c r="R1151" s="245"/>
      <c r="S1151" s="245"/>
      <c r="T1151" s="245"/>
      <c r="U1151" s="245"/>
      <c r="V1151" s="245"/>
      <c r="W1151" s="245"/>
      <c r="X1151" s="245"/>
      <c r="Y1151" s="246"/>
      <c r="Z1151" s="246"/>
      <c r="AA1151" s="246"/>
      <c r="AB1151" s="246"/>
      <c r="AC1151" s="246"/>
      <c r="AD1151" s="246"/>
      <c r="AE1151" s="246"/>
    </row>
    <row r="1152" ht="14.25" customHeight="1">
      <c r="A1152" s="242"/>
      <c r="B1152" s="243"/>
      <c r="P1152" s="244"/>
      <c r="R1152" s="245"/>
      <c r="S1152" s="245"/>
      <c r="T1152" s="245"/>
      <c r="U1152" s="245"/>
      <c r="V1152" s="245"/>
      <c r="W1152" s="245"/>
      <c r="X1152" s="245"/>
      <c r="Y1152" s="246"/>
      <c r="Z1152" s="246"/>
      <c r="AA1152" s="246"/>
      <c r="AB1152" s="246"/>
      <c r="AC1152" s="246"/>
      <c r="AD1152" s="246"/>
      <c r="AE1152" s="246"/>
    </row>
    <row r="1153" ht="14.25" customHeight="1">
      <c r="A1153" s="242"/>
      <c r="B1153" s="243"/>
      <c r="P1153" s="244"/>
      <c r="R1153" s="245"/>
      <c r="S1153" s="245"/>
      <c r="T1153" s="245"/>
      <c r="U1153" s="245"/>
      <c r="V1153" s="245"/>
      <c r="W1153" s="245"/>
      <c r="X1153" s="245"/>
      <c r="Y1153" s="246"/>
      <c r="Z1153" s="246"/>
      <c r="AA1153" s="246"/>
      <c r="AB1153" s="246"/>
      <c r="AC1153" s="246"/>
      <c r="AD1153" s="246"/>
      <c r="AE1153" s="246"/>
    </row>
    <row r="1154" ht="14.25" customHeight="1">
      <c r="A1154" s="242"/>
      <c r="B1154" s="243"/>
      <c r="P1154" s="244"/>
      <c r="R1154" s="245"/>
      <c r="S1154" s="245"/>
      <c r="T1154" s="245"/>
      <c r="U1154" s="245"/>
      <c r="V1154" s="245"/>
      <c r="W1154" s="245"/>
      <c r="X1154" s="245"/>
      <c r="Y1154" s="245"/>
      <c r="Z1154" s="245"/>
      <c r="AA1154" s="245"/>
      <c r="AB1154" s="245"/>
      <c r="AC1154" s="245"/>
      <c r="AD1154" s="245"/>
      <c r="AE1154" s="246"/>
    </row>
    <row r="1155" ht="14.25" customHeight="1">
      <c r="A1155" s="242"/>
      <c r="B1155" s="243"/>
      <c r="P1155" s="244"/>
      <c r="R1155" s="245"/>
      <c r="S1155" s="245"/>
      <c r="T1155" s="245"/>
      <c r="U1155" s="245"/>
      <c r="V1155" s="245"/>
      <c r="W1155" s="245"/>
      <c r="X1155" s="245"/>
      <c r="Y1155" s="246"/>
      <c r="Z1155" s="246"/>
      <c r="AA1155" s="246"/>
      <c r="AB1155" s="246"/>
      <c r="AC1155" s="246"/>
      <c r="AD1155" s="246"/>
      <c r="AE1155" s="246"/>
    </row>
    <row r="1156" ht="14.25" customHeight="1">
      <c r="A1156" s="242"/>
      <c r="B1156" s="243"/>
      <c r="P1156" s="244"/>
      <c r="R1156" s="245"/>
      <c r="S1156" s="245"/>
      <c r="T1156" s="245"/>
      <c r="U1156" s="245"/>
      <c r="V1156" s="245"/>
      <c r="W1156" s="245"/>
      <c r="X1156" s="245"/>
      <c r="Y1156" s="246"/>
      <c r="Z1156" s="246"/>
      <c r="AA1156" s="246"/>
      <c r="AB1156" s="246"/>
      <c r="AC1156" s="246"/>
      <c r="AD1156" s="246"/>
      <c r="AE1156" s="246"/>
    </row>
    <row r="1157" ht="14.25" customHeight="1">
      <c r="A1157" s="242"/>
      <c r="B1157" s="243"/>
      <c r="P1157" s="244"/>
      <c r="R1157" s="245"/>
      <c r="S1157" s="245"/>
      <c r="T1157" s="245"/>
      <c r="U1157" s="245"/>
      <c r="V1157" s="245"/>
      <c r="W1157" s="245"/>
      <c r="X1157" s="245"/>
      <c r="Y1157" s="246"/>
      <c r="Z1157" s="246"/>
      <c r="AA1157" s="246"/>
      <c r="AB1157" s="246"/>
      <c r="AC1157" s="246"/>
      <c r="AD1157" s="246"/>
      <c r="AE1157" s="246"/>
    </row>
    <row r="1158" ht="14.25" customHeight="1">
      <c r="A1158" s="242"/>
      <c r="B1158" s="243"/>
      <c r="P1158" s="244"/>
      <c r="R1158" s="245"/>
      <c r="S1158" s="245"/>
      <c r="T1158" s="245"/>
      <c r="U1158" s="245"/>
      <c r="V1158" s="245"/>
      <c r="W1158" s="245"/>
      <c r="X1158" s="245"/>
      <c r="Y1158" s="246"/>
      <c r="Z1158" s="246"/>
      <c r="AA1158" s="246"/>
      <c r="AB1158" s="246"/>
      <c r="AC1158" s="246"/>
      <c r="AD1158" s="246"/>
      <c r="AE1158" s="246"/>
    </row>
    <row r="1159" ht="14.25" customHeight="1">
      <c r="A1159" s="242"/>
      <c r="B1159" s="243"/>
      <c r="P1159" s="244"/>
      <c r="R1159" s="245"/>
      <c r="S1159" s="245"/>
      <c r="T1159" s="245"/>
      <c r="U1159" s="245"/>
      <c r="V1159" s="245"/>
      <c r="W1159" s="245"/>
      <c r="X1159" s="245"/>
      <c r="Y1159" s="246"/>
      <c r="Z1159" s="246"/>
      <c r="AA1159" s="246"/>
      <c r="AB1159" s="246"/>
      <c r="AC1159" s="246"/>
      <c r="AD1159" s="246"/>
      <c r="AE1159" s="246"/>
    </row>
    <row r="1160" ht="14.25" customHeight="1">
      <c r="A1160" s="242"/>
      <c r="B1160" s="243"/>
      <c r="P1160" s="244"/>
      <c r="R1160" s="245"/>
      <c r="S1160" s="245"/>
      <c r="T1160" s="245"/>
      <c r="U1160" s="245"/>
      <c r="V1160" s="245"/>
      <c r="W1160" s="245"/>
      <c r="X1160" s="245"/>
      <c r="Y1160" s="246"/>
      <c r="Z1160" s="246"/>
      <c r="AA1160" s="246"/>
      <c r="AB1160" s="246"/>
      <c r="AC1160" s="246"/>
      <c r="AD1160" s="246"/>
      <c r="AE1160" s="246"/>
    </row>
    <row r="1161" ht="14.25" customHeight="1">
      <c r="A1161" s="242"/>
      <c r="B1161" s="243"/>
      <c r="P1161" s="244"/>
      <c r="R1161" s="245"/>
      <c r="S1161" s="245"/>
      <c r="T1161" s="245"/>
      <c r="U1161" s="245"/>
      <c r="V1161" s="245"/>
      <c r="W1161" s="245"/>
      <c r="X1161" s="245"/>
      <c r="Y1161" s="246"/>
      <c r="Z1161" s="246"/>
      <c r="AA1161" s="246"/>
      <c r="AB1161" s="246"/>
      <c r="AC1161" s="246"/>
      <c r="AD1161" s="246"/>
      <c r="AE1161" s="246"/>
    </row>
    <row r="1162" ht="14.25" customHeight="1">
      <c r="A1162" s="242"/>
      <c r="B1162" s="243"/>
      <c r="P1162" s="244"/>
      <c r="R1162" s="245"/>
      <c r="S1162" s="245"/>
      <c r="T1162" s="245"/>
      <c r="U1162" s="245"/>
      <c r="V1162" s="245"/>
      <c r="W1162" s="245"/>
      <c r="X1162" s="245"/>
      <c r="Y1162" s="246"/>
      <c r="Z1162" s="246"/>
      <c r="AA1162" s="246"/>
      <c r="AB1162" s="246"/>
      <c r="AC1162" s="246"/>
      <c r="AD1162" s="246"/>
      <c r="AE1162" s="246"/>
    </row>
    <row r="1163" ht="14.25" customHeight="1">
      <c r="A1163" s="242"/>
      <c r="B1163" s="243"/>
      <c r="P1163" s="244"/>
      <c r="R1163" s="247"/>
      <c r="S1163" s="247"/>
      <c r="T1163" s="247"/>
      <c r="U1163" s="247"/>
      <c r="V1163" s="247"/>
      <c r="W1163" s="247"/>
      <c r="X1163" s="247"/>
      <c r="Y1163" s="246"/>
      <c r="Z1163" s="246"/>
      <c r="AA1163" s="246"/>
      <c r="AB1163" s="246"/>
      <c r="AC1163" s="246"/>
      <c r="AD1163" s="246"/>
      <c r="AE1163" s="246"/>
    </row>
    <row r="1164" ht="14.25" customHeight="1">
      <c r="A1164" s="242"/>
      <c r="B1164" s="243"/>
      <c r="P1164" s="244"/>
      <c r="R1164" s="245"/>
      <c r="S1164" s="245"/>
      <c r="T1164" s="245"/>
      <c r="U1164" s="245"/>
      <c r="V1164" s="245"/>
      <c r="W1164" s="245"/>
      <c r="X1164" s="245"/>
      <c r="Y1164" s="246"/>
      <c r="Z1164" s="246"/>
      <c r="AA1164" s="246"/>
      <c r="AB1164" s="246"/>
      <c r="AC1164" s="246"/>
      <c r="AD1164" s="246"/>
      <c r="AE1164" s="246"/>
    </row>
    <row r="1165" ht="14.25" customHeight="1">
      <c r="A1165" s="242"/>
      <c r="B1165" s="243"/>
      <c r="P1165" s="244"/>
      <c r="R1165" s="245"/>
      <c r="S1165" s="245"/>
      <c r="T1165" s="245"/>
      <c r="U1165" s="245"/>
      <c r="V1165" s="245"/>
      <c r="W1165" s="245"/>
      <c r="X1165" s="245"/>
      <c r="Y1165" s="246"/>
      <c r="Z1165" s="246"/>
      <c r="AA1165" s="246"/>
      <c r="AB1165" s="246"/>
      <c r="AC1165" s="246"/>
      <c r="AD1165" s="246"/>
      <c r="AE1165" s="246"/>
    </row>
    <row r="1166" ht="14.25" customHeight="1">
      <c r="A1166" s="242"/>
      <c r="B1166" s="243"/>
      <c r="P1166" s="244"/>
      <c r="R1166" s="245"/>
      <c r="S1166" s="245"/>
      <c r="T1166" s="245"/>
      <c r="U1166" s="245"/>
      <c r="V1166" s="245"/>
      <c r="W1166" s="245"/>
      <c r="X1166" s="245"/>
      <c r="Y1166" s="246"/>
      <c r="Z1166" s="246"/>
      <c r="AA1166" s="246"/>
      <c r="AB1166" s="246"/>
      <c r="AC1166" s="246"/>
      <c r="AD1166" s="246"/>
      <c r="AE1166" s="246"/>
    </row>
    <row r="1167" ht="14.25" customHeight="1">
      <c r="A1167" s="242"/>
      <c r="B1167" s="243"/>
      <c r="P1167" s="244"/>
      <c r="R1167" s="245"/>
      <c r="S1167" s="245"/>
      <c r="T1167" s="245"/>
      <c r="U1167" s="245"/>
      <c r="V1167" s="245"/>
      <c r="W1167" s="245"/>
      <c r="X1167" s="245"/>
      <c r="Y1167" s="246"/>
      <c r="Z1167" s="246"/>
      <c r="AA1167" s="246"/>
      <c r="AB1167" s="246"/>
      <c r="AC1167" s="246"/>
      <c r="AD1167" s="246"/>
      <c r="AE1167" s="246"/>
    </row>
    <row r="1168" ht="14.25" customHeight="1">
      <c r="A1168" s="242"/>
      <c r="B1168" s="243"/>
      <c r="P1168" s="244"/>
      <c r="R1168" s="245"/>
      <c r="S1168" s="245"/>
      <c r="T1168" s="245"/>
      <c r="U1168" s="245"/>
      <c r="V1168" s="245"/>
      <c r="W1168" s="245"/>
      <c r="X1168" s="245"/>
      <c r="Y1168" s="246"/>
      <c r="Z1168" s="246"/>
      <c r="AA1168" s="246"/>
      <c r="AB1168" s="246"/>
      <c r="AC1168" s="246"/>
      <c r="AD1168" s="246"/>
      <c r="AE1168" s="246"/>
    </row>
    <row r="1169" ht="14.25" customHeight="1">
      <c r="A1169" s="242"/>
      <c r="B1169" s="243"/>
      <c r="P1169" s="244"/>
      <c r="R1169" s="245"/>
      <c r="S1169" s="245"/>
      <c r="T1169" s="245"/>
      <c r="U1169" s="245"/>
      <c r="V1169" s="245"/>
      <c r="W1169" s="245"/>
      <c r="X1169" s="245"/>
      <c r="Y1169" s="246"/>
      <c r="Z1169" s="246"/>
      <c r="AA1169" s="246"/>
      <c r="AB1169" s="246"/>
      <c r="AC1169" s="246"/>
      <c r="AD1169" s="246"/>
      <c r="AE1169" s="246"/>
    </row>
    <row r="1170" ht="14.25" customHeight="1">
      <c r="A1170" s="242"/>
      <c r="B1170" s="243"/>
      <c r="P1170" s="244"/>
      <c r="R1170" s="245"/>
      <c r="S1170" s="245"/>
      <c r="T1170" s="245"/>
      <c r="U1170" s="245"/>
      <c r="V1170" s="245"/>
      <c r="W1170" s="245"/>
      <c r="X1170" s="245"/>
      <c r="Y1170" s="246"/>
      <c r="Z1170" s="246"/>
      <c r="AA1170" s="246"/>
      <c r="AB1170" s="246"/>
      <c r="AC1170" s="246"/>
      <c r="AD1170" s="246"/>
      <c r="AE1170" s="246"/>
    </row>
    <row r="1171" ht="14.25" customHeight="1">
      <c r="A1171" s="242"/>
      <c r="B1171" s="243"/>
      <c r="P1171" s="244"/>
      <c r="R1171" s="245"/>
      <c r="S1171" s="245"/>
      <c r="T1171" s="245"/>
      <c r="U1171" s="245"/>
      <c r="V1171" s="245"/>
      <c r="W1171" s="245"/>
      <c r="X1171" s="245"/>
      <c r="Y1171" s="246"/>
      <c r="Z1171" s="246"/>
      <c r="AA1171" s="246"/>
      <c r="AB1171" s="246"/>
      <c r="AC1171" s="246"/>
      <c r="AD1171" s="246"/>
      <c r="AE1171" s="246"/>
    </row>
    <row r="1172" ht="14.25" customHeight="1">
      <c r="A1172" s="242"/>
      <c r="B1172" s="243"/>
      <c r="P1172" s="244"/>
      <c r="R1172" s="245"/>
      <c r="S1172" s="245"/>
      <c r="T1172" s="245"/>
      <c r="U1172" s="245"/>
      <c r="V1172" s="245"/>
      <c r="W1172" s="245"/>
      <c r="X1172" s="245"/>
      <c r="Y1172" s="246"/>
      <c r="Z1172" s="246"/>
      <c r="AA1172" s="246"/>
      <c r="AB1172" s="246"/>
      <c r="AC1172" s="246"/>
      <c r="AD1172" s="246"/>
      <c r="AE1172" s="246"/>
    </row>
    <row r="1173" ht="14.25" customHeight="1">
      <c r="A1173" s="242"/>
      <c r="B1173" s="243"/>
      <c r="P1173" s="244"/>
      <c r="R1173" s="245"/>
      <c r="S1173" s="245"/>
      <c r="T1173" s="245"/>
      <c r="U1173" s="245"/>
      <c r="V1173" s="245"/>
      <c r="W1173" s="245"/>
      <c r="X1173" s="245"/>
      <c r="Y1173" s="246"/>
      <c r="Z1173" s="246"/>
      <c r="AA1173" s="246"/>
      <c r="AB1173" s="246"/>
      <c r="AC1173" s="246"/>
      <c r="AD1173" s="246"/>
      <c r="AE1173" s="246"/>
    </row>
    <row r="1174" ht="14.25" customHeight="1">
      <c r="A1174" s="242"/>
      <c r="B1174" s="243"/>
      <c r="P1174" s="244"/>
      <c r="R1174" s="245"/>
      <c r="S1174" s="245"/>
      <c r="T1174" s="245"/>
      <c r="U1174" s="245"/>
      <c r="V1174" s="245"/>
      <c r="W1174" s="245"/>
      <c r="X1174" s="245"/>
      <c r="Y1174" s="246"/>
      <c r="Z1174" s="246"/>
      <c r="AA1174" s="246"/>
      <c r="AB1174" s="246"/>
      <c r="AC1174" s="246"/>
      <c r="AD1174" s="246"/>
      <c r="AE1174" s="246"/>
    </row>
    <row r="1175" ht="14.25" customHeight="1">
      <c r="A1175" s="242"/>
      <c r="B1175" s="243"/>
      <c r="P1175" s="244"/>
      <c r="R1175" s="245"/>
      <c r="S1175" s="245"/>
      <c r="T1175" s="245"/>
      <c r="U1175" s="245"/>
      <c r="V1175" s="245"/>
      <c r="W1175" s="245"/>
      <c r="X1175" s="245"/>
      <c r="Y1175" s="246"/>
      <c r="Z1175" s="246"/>
      <c r="AA1175" s="246"/>
      <c r="AB1175" s="246"/>
      <c r="AC1175" s="246"/>
      <c r="AD1175" s="246"/>
      <c r="AE1175" s="246"/>
    </row>
    <row r="1176" ht="14.25" customHeight="1">
      <c r="A1176" s="242"/>
      <c r="B1176" s="243"/>
      <c r="P1176" s="244"/>
      <c r="R1176" s="245"/>
      <c r="S1176" s="245"/>
      <c r="T1176" s="245"/>
      <c r="U1176" s="245"/>
      <c r="V1176" s="245"/>
      <c r="W1176" s="245"/>
      <c r="X1176" s="245"/>
      <c r="Y1176" s="246"/>
      <c r="Z1176" s="246"/>
      <c r="AA1176" s="246"/>
      <c r="AB1176" s="246"/>
      <c r="AC1176" s="246"/>
      <c r="AD1176" s="246"/>
      <c r="AE1176" s="246"/>
    </row>
    <row r="1177" ht="14.25" customHeight="1">
      <c r="A1177" s="242"/>
      <c r="B1177" s="243"/>
      <c r="P1177" s="244"/>
      <c r="R1177" s="245"/>
      <c r="S1177" s="245"/>
      <c r="T1177" s="245"/>
      <c r="U1177" s="245"/>
      <c r="V1177" s="245"/>
      <c r="W1177" s="245"/>
      <c r="X1177" s="245"/>
      <c r="Y1177" s="246"/>
      <c r="Z1177" s="246"/>
      <c r="AA1177" s="246"/>
      <c r="AB1177" s="246"/>
      <c r="AC1177" s="246"/>
      <c r="AD1177" s="246"/>
      <c r="AE1177" s="246"/>
    </row>
    <row r="1178" ht="14.25" customHeight="1">
      <c r="A1178" s="242"/>
      <c r="B1178" s="243"/>
      <c r="P1178" s="244"/>
      <c r="R1178" s="245"/>
      <c r="S1178" s="245"/>
      <c r="T1178" s="245"/>
      <c r="U1178" s="245"/>
      <c r="V1178" s="245"/>
      <c r="W1178" s="245"/>
      <c r="X1178" s="245"/>
      <c r="Y1178" s="246"/>
      <c r="Z1178" s="246"/>
      <c r="AA1178" s="246"/>
      <c r="AB1178" s="246"/>
      <c r="AC1178" s="246"/>
      <c r="AD1178" s="246"/>
      <c r="AE1178" s="246"/>
    </row>
    <row r="1179" ht="14.25" customHeight="1">
      <c r="A1179" s="242"/>
      <c r="B1179" s="243"/>
      <c r="P1179" s="244"/>
      <c r="R1179" s="245"/>
      <c r="S1179" s="245"/>
      <c r="T1179" s="245"/>
      <c r="U1179" s="245"/>
      <c r="V1179" s="245"/>
      <c r="W1179" s="245"/>
      <c r="X1179" s="245"/>
      <c r="Y1179" s="246"/>
      <c r="Z1179" s="246"/>
      <c r="AA1179" s="246"/>
      <c r="AB1179" s="246"/>
      <c r="AC1179" s="246"/>
      <c r="AD1179" s="246"/>
      <c r="AE1179" s="246"/>
    </row>
    <row r="1180" ht="14.25" customHeight="1">
      <c r="A1180" s="242"/>
      <c r="B1180" s="243"/>
      <c r="P1180" s="244"/>
      <c r="R1180" s="245"/>
      <c r="S1180" s="245"/>
      <c r="T1180" s="245"/>
      <c r="U1180" s="245"/>
      <c r="V1180" s="245"/>
      <c r="W1180" s="245"/>
      <c r="X1180" s="245"/>
      <c r="Y1180" s="246"/>
      <c r="Z1180" s="246"/>
      <c r="AA1180" s="246"/>
      <c r="AB1180" s="246"/>
      <c r="AC1180" s="246"/>
      <c r="AD1180" s="246"/>
      <c r="AE1180" s="246"/>
    </row>
    <row r="1181" ht="14.25" customHeight="1">
      <c r="A1181" s="242"/>
      <c r="B1181" s="243"/>
      <c r="P1181" s="244"/>
      <c r="R1181" s="245"/>
      <c r="S1181" s="245"/>
      <c r="T1181" s="245"/>
      <c r="U1181" s="245"/>
      <c r="V1181" s="245"/>
      <c r="W1181" s="245"/>
      <c r="X1181" s="245"/>
      <c r="Y1181" s="246"/>
      <c r="Z1181" s="246"/>
      <c r="AA1181" s="246"/>
      <c r="AB1181" s="246"/>
      <c r="AC1181" s="246"/>
      <c r="AD1181" s="246"/>
      <c r="AE1181" s="246"/>
    </row>
    <row r="1182" ht="14.25" customHeight="1">
      <c r="A1182" s="242"/>
      <c r="B1182" s="243"/>
      <c r="P1182" s="244"/>
      <c r="R1182" s="245"/>
      <c r="S1182" s="245"/>
      <c r="T1182" s="245"/>
      <c r="U1182" s="245"/>
      <c r="V1182" s="245"/>
      <c r="W1182" s="245"/>
      <c r="X1182" s="245"/>
      <c r="Y1182" s="246"/>
      <c r="Z1182" s="246"/>
      <c r="AA1182" s="246"/>
      <c r="AB1182" s="246"/>
      <c r="AC1182" s="246"/>
      <c r="AD1182" s="246"/>
      <c r="AE1182" s="246"/>
    </row>
    <row r="1183" ht="14.25" customHeight="1">
      <c r="A1183" s="242"/>
      <c r="B1183" s="243"/>
      <c r="P1183" s="244"/>
      <c r="R1183" s="245"/>
      <c r="S1183" s="245"/>
      <c r="T1183" s="245"/>
      <c r="U1183" s="245"/>
      <c r="V1183" s="245"/>
      <c r="W1183" s="245"/>
      <c r="X1183" s="245"/>
      <c r="Y1183" s="246"/>
      <c r="Z1183" s="246"/>
      <c r="AA1183" s="246"/>
      <c r="AB1183" s="246"/>
      <c r="AC1183" s="246"/>
      <c r="AD1183" s="246"/>
      <c r="AE1183" s="246"/>
    </row>
    <row r="1184" ht="14.25" customHeight="1">
      <c r="A1184" s="242"/>
      <c r="B1184" s="243"/>
      <c r="P1184" s="244"/>
      <c r="R1184" s="245"/>
      <c r="S1184" s="245"/>
      <c r="T1184" s="245"/>
      <c r="U1184" s="245"/>
      <c r="V1184" s="245"/>
      <c r="W1184" s="245"/>
      <c r="X1184" s="245"/>
      <c r="Y1184" s="246"/>
      <c r="Z1184" s="246"/>
      <c r="AA1184" s="246"/>
      <c r="AB1184" s="246"/>
      <c r="AC1184" s="246"/>
      <c r="AD1184" s="246"/>
      <c r="AE1184" s="246"/>
    </row>
    <row r="1185" ht="14.25" customHeight="1">
      <c r="A1185" s="242"/>
      <c r="B1185" s="243"/>
      <c r="P1185" s="244"/>
      <c r="R1185" s="245"/>
      <c r="S1185" s="245"/>
      <c r="T1185" s="245"/>
      <c r="U1185" s="245"/>
      <c r="V1185" s="245"/>
      <c r="W1185" s="245"/>
      <c r="X1185" s="245"/>
      <c r="Y1185" s="246"/>
      <c r="Z1185" s="246"/>
      <c r="AA1185" s="246"/>
      <c r="AB1185" s="246"/>
      <c r="AC1185" s="246"/>
      <c r="AD1185" s="246"/>
      <c r="AE1185" s="246"/>
    </row>
    <row r="1186" ht="14.25" customHeight="1">
      <c r="A1186" s="242"/>
      <c r="B1186" s="243"/>
      <c r="P1186" s="244"/>
      <c r="R1186" s="245"/>
      <c r="S1186" s="245"/>
      <c r="T1186" s="245"/>
      <c r="U1186" s="245"/>
      <c r="V1186" s="245"/>
      <c r="W1186" s="245"/>
      <c r="X1186" s="245"/>
      <c r="Y1186" s="246"/>
      <c r="Z1186" s="246"/>
      <c r="AA1186" s="246"/>
      <c r="AB1186" s="246"/>
      <c r="AC1186" s="246"/>
      <c r="AD1186" s="246"/>
      <c r="AE1186" s="246"/>
    </row>
    <row r="1187" ht="14.25" customHeight="1">
      <c r="A1187" s="242"/>
      <c r="B1187" s="243"/>
      <c r="P1187" s="244"/>
      <c r="R1187" s="245"/>
      <c r="S1187" s="245"/>
      <c r="T1187" s="245"/>
      <c r="U1187" s="245"/>
      <c r="V1187" s="245"/>
      <c r="W1187" s="245"/>
      <c r="X1187" s="245"/>
      <c r="Y1187" s="246"/>
      <c r="Z1187" s="246"/>
      <c r="AA1187" s="246"/>
      <c r="AB1187" s="246"/>
      <c r="AC1187" s="246"/>
      <c r="AD1187" s="246"/>
      <c r="AE1187" s="246"/>
    </row>
    <row r="1188" ht="14.25" customHeight="1">
      <c r="A1188" s="242"/>
      <c r="B1188" s="243"/>
      <c r="P1188" s="244"/>
      <c r="R1188" s="245"/>
      <c r="S1188" s="245"/>
      <c r="T1188" s="245"/>
      <c r="U1188" s="245"/>
      <c r="V1188" s="245"/>
      <c r="W1188" s="245"/>
      <c r="X1188" s="245"/>
      <c r="Y1188" s="246"/>
      <c r="Z1188" s="246"/>
      <c r="AA1188" s="246"/>
      <c r="AB1188" s="246"/>
      <c r="AC1188" s="246"/>
      <c r="AD1188" s="246"/>
      <c r="AE1188" s="246"/>
    </row>
    <row r="1189" ht="14.25" customHeight="1">
      <c r="A1189" s="242"/>
      <c r="B1189" s="243"/>
      <c r="P1189" s="244"/>
      <c r="R1189" s="245"/>
      <c r="S1189" s="245"/>
      <c r="T1189" s="245"/>
      <c r="U1189" s="245"/>
      <c r="V1189" s="245"/>
      <c r="W1189" s="245"/>
      <c r="X1189" s="245"/>
      <c r="Y1189" s="246"/>
      <c r="Z1189" s="246"/>
      <c r="AA1189" s="246"/>
      <c r="AB1189" s="246"/>
      <c r="AC1189" s="246"/>
      <c r="AD1189" s="246"/>
      <c r="AE1189" s="246"/>
    </row>
    <row r="1190" ht="14.25" customHeight="1">
      <c r="A1190" s="242"/>
      <c r="B1190" s="243"/>
      <c r="P1190" s="244"/>
      <c r="R1190" s="245"/>
      <c r="S1190" s="245"/>
      <c r="T1190" s="245"/>
      <c r="U1190" s="245"/>
      <c r="V1190" s="245"/>
      <c r="W1190" s="245"/>
      <c r="X1190" s="245"/>
      <c r="Y1190" s="246"/>
      <c r="Z1190" s="246"/>
      <c r="AA1190" s="246"/>
      <c r="AB1190" s="246"/>
      <c r="AC1190" s="246"/>
      <c r="AD1190" s="246"/>
      <c r="AE1190" s="246"/>
    </row>
    <row r="1191" ht="14.25" customHeight="1">
      <c r="A1191" s="242"/>
      <c r="B1191" s="243"/>
      <c r="P1191" s="244"/>
      <c r="R1191" s="245"/>
      <c r="S1191" s="245"/>
      <c r="T1191" s="245"/>
      <c r="U1191" s="245"/>
      <c r="V1191" s="245"/>
      <c r="W1191" s="245"/>
      <c r="X1191" s="245"/>
      <c r="Y1191" s="246"/>
      <c r="Z1191" s="246"/>
      <c r="AA1191" s="246"/>
      <c r="AB1191" s="246"/>
      <c r="AC1191" s="246"/>
      <c r="AD1191" s="246"/>
      <c r="AE1191" s="246"/>
    </row>
    <row r="1192" ht="14.25" customHeight="1">
      <c r="A1192" s="242"/>
      <c r="B1192" s="243"/>
      <c r="P1192" s="244"/>
      <c r="R1192" s="245"/>
      <c r="S1192" s="245"/>
      <c r="T1192" s="245"/>
      <c r="U1192" s="245"/>
      <c r="V1192" s="245"/>
      <c r="W1192" s="245"/>
      <c r="X1192" s="245"/>
      <c r="Y1192" s="246"/>
      <c r="Z1192" s="246"/>
      <c r="AA1192" s="246"/>
      <c r="AB1192" s="246"/>
      <c r="AC1192" s="246"/>
      <c r="AD1192" s="246"/>
      <c r="AE1192" s="246"/>
    </row>
    <row r="1193" ht="14.25" customHeight="1">
      <c r="A1193" s="242"/>
      <c r="B1193" s="243"/>
      <c r="P1193" s="244"/>
      <c r="R1193" s="245"/>
      <c r="S1193" s="245"/>
      <c r="T1193" s="245"/>
      <c r="U1193" s="245"/>
      <c r="V1193" s="245"/>
      <c r="W1193" s="245"/>
      <c r="X1193" s="245"/>
      <c r="Y1193" s="246"/>
      <c r="Z1193" s="246"/>
      <c r="AA1193" s="246"/>
      <c r="AB1193" s="246"/>
      <c r="AC1193" s="246"/>
      <c r="AD1193" s="246"/>
      <c r="AE1193" s="246"/>
    </row>
    <row r="1194" ht="14.25" customHeight="1">
      <c r="A1194" s="242"/>
      <c r="B1194" s="243"/>
      <c r="P1194" s="244"/>
      <c r="R1194" s="245"/>
      <c r="S1194" s="245"/>
      <c r="T1194" s="245"/>
      <c r="U1194" s="245"/>
      <c r="V1194" s="245"/>
      <c r="W1194" s="245"/>
      <c r="X1194" s="245"/>
      <c r="Y1194" s="246"/>
      <c r="Z1194" s="246"/>
      <c r="AA1194" s="246"/>
      <c r="AB1194" s="246"/>
      <c r="AC1194" s="246"/>
      <c r="AD1194" s="246"/>
      <c r="AE1194" s="246"/>
    </row>
    <row r="1195" ht="14.25" customHeight="1">
      <c r="A1195" s="242"/>
      <c r="B1195" s="243"/>
      <c r="P1195" s="244"/>
      <c r="R1195" s="245"/>
      <c r="S1195" s="245"/>
      <c r="T1195" s="245"/>
      <c r="U1195" s="245"/>
      <c r="V1195" s="245"/>
      <c r="W1195" s="245"/>
      <c r="X1195" s="245"/>
      <c r="Y1195" s="246"/>
      <c r="Z1195" s="246"/>
      <c r="AA1195" s="246"/>
      <c r="AB1195" s="246"/>
      <c r="AC1195" s="246"/>
      <c r="AD1195" s="246"/>
      <c r="AE1195" s="246"/>
    </row>
    <row r="1196" ht="14.25" customHeight="1">
      <c r="A1196" s="242"/>
      <c r="B1196" s="243"/>
      <c r="P1196" s="244"/>
      <c r="R1196" s="245"/>
      <c r="S1196" s="245"/>
      <c r="T1196" s="245"/>
      <c r="U1196" s="245"/>
      <c r="V1196" s="245"/>
      <c r="W1196" s="245"/>
      <c r="X1196" s="245"/>
      <c r="Y1196" s="246"/>
      <c r="Z1196" s="246"/>
      <c r="AA1196" s="246"/>
      <c r="AB1196" s="246"/>
      <c r="AC1196" s="246"/>
      <c r="AD1196" s="246"/>
      <c r="AE1196" s="246"/>
    </row>
    <row r="1197" ht="14.25" customHeight="1">
      <c r="A1197" s="242"/>
      <c r="B1197" s="243"/>
      <c r="P1197" s="244"/>
      <c r="R1197" s="245"/>
      <c r="S1197" s="245"/>
      <c r="T1197" s="245"/>
      <c r="U1197" s="245"/>
      <c r="V1197" s="245"/>
      <c r="W1197" s="245"/>
      <c r="X1197" s="245"/>
      <c r="Y1197" s="246"/>
      <c r="Z1197" s="246"/>
      <c r="AA1197" s="246"/>
      <c r="AB1197" s="246"/>
      <c r="AC1197" s="246"/>
      <c r="AD1197" s="246"/>
      <c r="AE1197" s="246"/>
    </row>
    <row r="1198" ht="14.25" customHeight="1">
      <c r="A1198" s="242"/>
      <c r="B1198" s="243"/>
      <c r="P1198" s="244"/>
      <c r="R1198" s="245"/>
      <c r="S1198" s="245"/>
      <c r="T1198" s="245"/>
      <c r="U1198" s="245"/>
      <c r="V1198" s="245"/>
      <c r="W1198" s="245"/>
      <c r="X1198" s="245"/>
      <c r="Y1198" s="246"/>
      <c r="Z1198" s="246"/>
      <c r="AA1198" s="246"/>
      <c r="AB1198" s="246"/>
      <c r="AC1198" s="246"/>
      <c r="AD1198" s="246"/>
      <c r="AE1198" s="246"/>
    </row>
    <row r="1199" ht="14.25" customHeight="1">
      <c r="A1199" s="242"/>
      <c r="B1199" s="243"/>
      <c r="P1199" s="244"/>
      <c r="R1199" s="245"/>
      <c r="S1199" s="245"/>
      <c r="T1199" s="245"/>
      <c r="U1199" s="245"/>
      <c r="V1199" s="245"/>
      <c r="W1199" s="245"/>
      <c r="X1199" s="245"/>
      <c r="Y1199" s="246"/>
      <c r="Z1199" s="246"/>
      <c r="AA1199" s="246"/>
      <c r="AB1199" s="246"/>
      <c r="AC1199" s="246"/>
      <c r="AD1199" s="246"/>
      <c r="AE1199" s="246"/>
    </row>
    <row r="1200" ht="14.25" customHeight="1">
      <c r="A1200" s="242"/>
      <c r="B1200" s="243"/>
      <c r="P1200" s="244"/>
      <c r="R1200" s="245"/>
      <c r="S1200" s="245"/>
      <c r="T1200" s="245"/>
      <c r="U1200" s="245"/>
      <c r="V1200" s="245"/>
      <c r="W1200" s="245"/>
      <c r="X1200" s="245"/>
      <c r="Y1200" s="246"/>
      <c r="Z1200" s="246"/>
      <c r="AA1200" s="246"/>
      <c r="AB1200" s="246"/>
      <c r="AC1200" s="246"/>
      <c r="AD1200" s="246"/>
      <c r="AE1200" s="246"/>
    </row>
    <row r="1201" ht="14.25" customHeight="1">
      <c r="A1201" s="242"/>
      <c r="B1201" s="243"/>
      <c r="P1201" s="244"/>
      <c r="R1201" s="245"/>
      <c r="S1201" s="245"/>
      <c r="T1201" s="245"/>
      <c r="U1201" s="245"/>
      <c r="V1201" s="245"/>
      <c r="W1201" s="245"/>
      <c r="X1201" s="245"/>
      <c r="Y1201" s="246"/>
      <c r="Z1201" s="246"/>
      <c r="AA1201" s="246"/>
      <c r="AB1201" s="246"/>
      <c r="AC1201" s="246"/>
      <c r="AD1201" s="246"/>
      <c r="AE1201" s="246"/>
    </row>
    <row r="1202" ht="14.25" customHeight="1">
      <c r="A1202" s="242"/>
      <c r="B1202" s="243"/>
      <c r="P1202" s="244"/>
      <c r="R1202" s="245"/>
      <c r="S1202" s="245"/>
      <c r="T1202" s="245"/>
      <c r="U1202" s="245"/>
      <c r="V1202" s="245"/>
      <c r="W1202" s="245"/>
      <c r="X1202" s="245"/>
      <c r="Y1202" s="246"/>
      <c r="Z1202" s="246"/>
      <c r="AA1202" s="246"/>
      <c r="AB1202" s="246"/>
      <c r="AC1202" s="246"/>
      <c r="AD1202" s="246"/>
      <c r="AE1202" s="246"/>
    </row>
    <row r="1203" ht="14.25" customHeight="1">
      <c r="A1203" s="242"/>
      <c r="B1203" s="243"/>
      <c r="P1203" s="244"/>
      <c r="R1203" s="245"/>
      <c r="S1203" s="245"/>
      <c r="T1203" s="245"/>
      <c r="U1203" s="245"/>
      <c r="V1203" s="245"/>
      <c r="W1203" s="245"/>
      <c r="X1203" s="245"/>
      <c r="Y1203" s="246"/>
      <c r="Z1203" s="246"/>
      <c r="AA1203" s="246"/>
      <c r="AB1203" s="246"/>
      <c r="AC1203" s="246"/>
      <c r="AD1203" s="246"/>
      <c r="AE1203" s="246"/>
    </row>
    <row r="1204" ht="14.25" customHeight="1">
      <c r="A1204" s="242"/>
      <c r="B1204" s="243"/>
      <c r="P1204" s="244"/>
      <c r="R1204" s="245"/>
      <c r="S1204" s="245"/>
      <c r="T1204" s="245"/>
      <c r="U1204" s="245"/>
      <c r="V1204" s="245"/>
      <c r="W1204" s="245"/>
      <c r="X1204" s="245"/>
      <c r="Y1204" s="246"/>
      <c r="Z1204" s="246"/>
      <c r="AA1204" s="246"/>
      <c r="AB1204" s="246"/>
      <c r="AC1204" s="246"/>
      <c r="AD1204" s="246"/>
      <c r="AE1204" s="246"/>
    </row>
    <row r="1205" ht="14.25" customHeight="1">
      <c r="A1205" s="242"/>
      <c r="B1205" s="243"/>
      <c r="P1205" s="244"/>
      <c r="R1205" s="245"/>
      <c r="S1205" s="245"/>
      <c r="T1205" s="245"/>
      <c r="U1205" s="245"/>
      <c r="V1205" s="245"/>
      <c r="W1205" s="245"/>
      <c r="X1205" s="245"/>
      <c r="Y1205" s="246"/>
      <c r="Z1205" s="246"/>
      <c r="AA1205" s="246"/>
      <c r="AB1205" s="246"/>
      <c r="AC1205" s="246"/>
      <c r="AD1205" s="246"/>
      <c r="AE1205" s="246"/>
    </row>
    <row r="1206" ht="14.25" customHeight="1">
      <c r="A1206" s="242"/>
      <c r="B1206" s="243"/>
      <c r="P1206" s="244"/>
      <c r="R1206" s="245"/>
      <c r="S1206" s="245"/>
      <c r="T1206" s="245"/>
      <c r="U1206" s="245"/>
      <c r="V1206" s="245"/>
      <c r="W1206" s="245"/>
      <c r="X1206" s="245"/>
      <c r="Y1206" s="246"/>
      <c r="Z1206" s="246"/>
      <c r="AA1206" s="246"/>
      <c r="AB1206" s="246"/>
      <c r="AC1206" s="246"/>
      <c r="AD1206" s="246"/>
      <c r="AE1206" s="246"/>
    </row>
    <row r="1207" ht="14.25" customHeight="1">
      <c r="A1207" s="242"/>
      <c r="B1207" s="243"/>
      <c r="P1207" s="244"/>
      <c r="R1207" s="245"/>
      <c r="S1207" s="245"/>
      <c r="T1207" s="245"/>
      <c r="U1207" s="245"/>
      <c r="V1207" s="245"/>
      <c r="W1207" s="245"/>
      <c r="X1207" s="245"/>
      <c r="Y1207" s="246"/>
      <c r="Z1207" s="246"/>
      <c r="AA1207" s="246"/>
      <c r="AB1207" s="246"/>
      <c r="AC1207" s="246"/>
      <c r="AD1207" s="246"/>
      <c r="AE1207" s="246"/>
    </row>
    <row r="1208" ht="14.25" customHeight="1">
      <c r="A1208" s="242"/>
      <c r="B1208" s="243"/>
      <c r="P1208" s="244"/>
      <c r="R1208" s="245"/>
      <c r="S1208" s="245"/>
      <c r="T1208" s="245"/>
      <c r="U1208" s="245"/>
      <c r="V1208" s="245"/>
      <c r="W1208" s="245"/>
      <c r="X1208" s="245"/>
      <c r="Y1208" s="246"/>
      <c r="Z1208" s="246"/>
      <c r="AA1208" s="246"/>
      <c r="AB1208" s="246"/>
      <c r="AC1208" s="246"/>
      <c r="AD1208" s="246"/>
      <c r="AE1208" s="246"/>
    </row>
    <row r="1209" ht="14.25" customHeight="1">
      <c r="A1209" s="242"/>
      <c r="B1209" s="243"/>
      <c r="P1209" s="244"/>
      <c r="R1209" s="245"/>
      <c r="S1209" s="245"/>
      <c r="T1209" s="245"/>
      <c r="U1209" s="245"/>
      <c r="V1209" s="245"/>
      <c r="W1209" s="245"/>
      <c r="X1209" s="245"/>
      <c r="Y1209" s="246"/>
      <c r="Z1209" s="246"/>
      <c r="AA1209" s="246"/>
      <c r="AB1209" s="246"/>
      <c r="AC1209" s="246"/>
      <c r="AD1209" s="246"/>
      <c r="AE1209" s="246"/>
    </row>
    <row r="1210" ht="14.25" customHeight="1">
      <c r="A1210" s="242"/>
      <c r="B1210" s="243"/>
      <c r="P1210" s="244"/>
      <c r="R1210" s="245"/>
      <c r="S1210" s="245"/>
      <c r="T1210" s="245"/>
      <c r="U1210" s="245"/>
      <c r="V1210" s="245"/>
      <c r="W1210" s="245"/>
      <c r="X1210" s="245"/>
      <c r="Y1210" s="246"/>
      <c r="Z1210" s="246"/>
      <c r="AA1210" s="246"/>
      <c r="AB1210" s="246"/>
      <c r="AC1210" s="246"/>
      <c r="AD1210" s="246"/>
      <c r="AE1210" s="246"/>
    </row>
    <row r="1211" ht="14.25" customHeight="1">
      <c r="A1211" s="242"/>
      <c r="B1211" s="243"/>
      <c r="P1211" s="244"/>
      <c r="R1211" s="245"/>
      <c r="S1211" s="245"/>
      <c r="T1211" s="245"/>
      <c r="U1211" s="245"/>
      <c r="V1211" s="245"/>
      <c r="W1211" s="245"/>
      <c r="X1211" s="245"/>
      <c r="Y1211" s="246"/>
      <c r="Z1211" s="246"/>
      <c r="AA1211" s="246"/>
      <c r="AB1211" s="246"/>
      <c r="AC1211" s="246"/>
      <c r="AD1211" s="246"/>
      <c r="AE1211" s="246"/>
    </row>
    <row r="1212" ht="14.25" customHeight="1">
      <c r="A1212" s="242"/>
      <c r="B1212" s="243"/>
      <c r="P1212" s="244"/>
      <c r="R1212" s="245"/>
      <c r="S1212" s="245"/>
      <c r="T1212" s="245"/>
      <c r="U1212" s="245"/>
      <c r="V1212" s="245"/>
      <c r="W1212" s="245"/>
      <c r="X1212" s="245"/>
      <c r="Y1212" s="246"/>
      <c r="Z1212" s="246"/>
      <c r="AA1212" s="246"/>
      <c r="AB1212" s="246"/>
      <c r="AC1212" s="246"/>
      <c r="AD1212" s="246"/>
      <c r="AE1212" s="246"/>
    </row>
    <row r="1213" ht="14.25" customHeight="1">
      <c r="A1213" s="242"/>
      <c r="B1213" s="243"/>
      <c r="P1213" s="244"/>
      <c r="R1213" s="245"/>
      <c r="S1213" s="245"/>
      <c r="T1213" s="245"/>
      <c r="U1213" s="245"/>
      <c r="V1213" s="245"/>
      <c r="W1213" s="245"/>
      <c r="X1213" s="245"/>
      <c r="Y1213" s="246"/>
      <c r="Z1213" s="246"/>
      <c r="AA1213" s="246"/>
      <c r="AB1213" s="246"/>
      <c r="AC1213" s="246"/>
      <c r="AD1213" s="246"/>
      <c r="AE1213" s="246"/>
    </row>
    <row r="1214" ht="14.25" customHeight="1">
      <c r="A1214" s="242"/>
      <c r="B1214" s="243"/>
      <c r="P1214" s="244"/>
      <c r="R1214" s="245"/>
      <c r="S1214" s="245"/>
      <c r="T1214" s="245"/>
      <c r="U1214" s="245"/>
      <c r="V1214" s="245"/>
      <c r="W1214" s="245"/>
      <c r="X1214" s="245"/>
      <c r="Y1214" s="246"/>
      <c r="Z1214" s="246"/>
      <c r="AA1214" s="246"/>
      <c r="AB1214" s="246"/>
      <c r="AC1214" s="246"/>
      <c r="AD1214" s="246"/>
      <c r="AE1214" s="246"/>
    </row>
    <row r="1215" ht="14.25" customHeight="1">
      <c r="A1215" s="242"/>
      <c r="B1215" s="243"/>
      <c r="P1215" s="244"/>
      <c r="R1215" s="245"/>
      <c r="S1215" s="245"/>
      <c r="T1215" s="245"/>
      <c r="U1215" s="245"/>
      <c r="V1215" s="245"/>
      <c r="W1215" s="245"/>
      <c r="X1215" s="245"/>
      <c r="Y1215" s="246"/>
      <c r="Z1215" s="246"/>
      <c r="AA1215" s="246"/>
      <c r="AB1215" s="246"/>
      <c r="AC1215" s="246"/>
      <c r="AD1215" s="246"/>
      <c r="AE1215" s="246"/>
    </row>
    <row r="1216" ht="14.25" customHeight="1">
      <c r="A1216" s="242"/>
      <c r="B1216" s="243"/>
      <c r="P1216" s="244"/>
      <c r="R1216" s="245"/>
      <c r="S1216" s="245"/>
      <c r="T1216" s="245"/>
      <c r="U1216" s="245"/>
      <c r="V1216" s="245"/>
      <c r="W1216" s="245"/>
      <c r="X1216" s="245"/>
      <c r="Y1216" s="246"/>
      <c r="Z1216" s="246"/>
      <c r="AA1216" s="246"/>
      <c r="AB1216" s="246"/>
      <c r="AC1216" s="246"/>
      <c r="AD1216" s="246"/>
      <c r="AE1216" s="246"/>
    </row>
    <row r="1217" ht="14.25" customHeight="1">
      <c r="A1217" s="242"/>
      <c r="B1217" s="243"/>
      <c r="P1217" s="244"/>
      <c r="R1217" s="245"/>
      <c r="S1217" s="245"/>
      <c r="T1217" s="245"/>
      <c r="U1217" s="245"/>
      <c r="V1217" s="245"/>
      <c r="W1217" s="245"/>
      <c r="X1217" s="245"/>
      <c r="Y1217" s="246"/>
      <c r="Z1217" s="246"/>
      <c r="AA1217" s="246"/>
      <c r="AB1217" s="246"/>
      <c r="AC1217" s="246"/>
      <c r="AD1217" s="246"/>
      <c r="AE1217" s="246"/>
    </row>
    <row r="1218" ht="14.25" customHeight="1">
      <c r="A1218" s="242"/>
      <c r="B1218" s="243"/>
      <c r="P1218" s="244"/>
      <c r="R1218" s="245"/>
      <c r="S1218" s="245"/>
      <c r="T1218" s="245"/>
      <c r="U1218" s="245"/>
      <c r="V1218" s="245"/>
      <c r="W1218" s="245"/>
      <c r="X1218" s="245"/>
      <c r="Y1218" s="246"/>
      <c r="Z1218" s="246"/>
      <c r="AA1218" s="246"/>
      <c r="AB1218" s="246"/>
      <c r="AC1218" s="246"/>
      <c r="AD1218" s="246"/>
      <c r="AE1218" s="246"/>
    </row>
  </sheetData>
  <conditionalFormatting sqref="A2:H1018 J2:O1018 Q2:X840 Q841:Q1018 R841:X1218 AE2:AE1218">
    <cfRule type="expression" dxfId="5" priority="1">
      <formula>#REF!="Yes"</formula>
    </cfRule>
  </conditionalFormatting>
  <conditionalFormatting sqref="F2:F1018">
    <cfRule type="expression" dxfId="6" priority="2">
      <formula>YEAR($F2)=YEAR(TODAY())</formula>
    </cfRule>
  </conditionalFormatting>
  <conditionalFormatting sqref="F2:F1018">
    <cfRule type="expression" dxfId="7" priority="3">
      <formula>YEAR($F2)&gt;YEAR(TODAY())</formula>
    </cfRule>
  </conditionalFormatting>
  <conditionalFormatting sqref="G2:G1018">
    <cfRule type="expression" dxfId="6" priority="4">
      <formula>YEAR($G2)=YEAR(TODAY())</formula>
    </cfRule>
  </conditionalFormatting>
  <conditionalFormatting sqref="G2:G1018">
    <cfRule type="expression" dxfId="7" priority="5">
      <formula>YEAR($G2)&gt;YEAR(TODAY())</formula>
    </cfRule>
  </conditionalFormatting>
  <conditionalFormatting sqref="I2">
    <cfRule type="expression" dxfId="5" priority="6">
      <formula>#REF!="Yes"</formula>
    </cfRule>
  </conditionalFormatting>
  <conditionalFormatting sqref="I2">
    <cfRule type="expression" dxfId="8" priority="7">
      <formula>ISNUMBER(SEARCH("Low",#REF!))</formula>
    </cfRule>
  </conditionalFormatting>
  <conditionalFormatting sqref="O2:O1018">
    <cfRule type="expression" dxfId="9" priority="8">
      <formula>OR(#REF!="Need data",#REF!="Manual entry")</formula>
    </cfRule>
  </conditionalFormatting>
  <conditionalFormatting sqref="A2:H1018 J2:O1018 Q2:X840 Q841:Q1018 R841:X1218 AE2:AE1218">
    <cfRule type="expression" dxfId="8" priority="9">
      <formula>ISNUMBER(SEARCH("Low",#REF!))</formula>
    </cfRule>
  </conditionalFormatting>
  <printOptions/>
  <pageMargins bottom="0.75" footer="0.0" header="0.0" left="0.7" right="0.7" top="0.75"/>
  <pageSetup paperSize="9" orientation="portrait"/>
  <drawing r:id="rId2"/>
  <legacyDrawing r:id="rId3"/>
  <tableParts count="1">
    <tablePart r:id="rId5"/>
  </tableParts>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5E0B3"/>
    <pageSetUpPr/>
  </sheetPr>
  <sheetViews>
    <sheetView workbookViewId="0"/>
  </sheetViews>
  <sheetFormatPr customHeight="1" defaultColWidth="14.43" defaultRowHeight="15.75"/>
  <cols>
    <col customWidth="1" min="1" max="21" width="9.43"/>
  </cols>
  <sheetData>
    <row r="1">
      <c r="A1" s="35"/>
      <c r="B1" s="35"/>
      <c r="C1" s="35"/>
      <c r="D1" s="35"/>
      <c r="E1" s="35"/>
      <c r="F1" s="35"/>
      <c r="G1" s="35"/>
      <c r="H1" s="35"/>
      <c r="I1" s="35"/>
      <c r="J1" s="35"/>
      <c r="K1" s="35"/>
      <c r="L1" s="35"/>
      <c r="M1" s="35"/>
      <c r="N1" s="35"/>
      <c r="O1" s="35"/>
      <c r="P1" s="35"/>
      <c r="Q1" s="35"/>
      <c r="R1" s="35"/>
      <c r="S1" s="35"/>
      <c r="T1" s="35"/>
      <c r="U1" s="35"/>
      <c r="V1" s="35"/>
      <c r="W1" s="35"/>
      <c r="X1" s="35"/>
      <c r="Y1" s="35"/>
      <c r="Z1" s="35"/>
    </row>
    <row r="2">
      <c r="A2" s="35"/>
      <c r="B2" s="35"/>
      <c r="C2" s="35"/>
      <c r="D2" s="35"/>
      <c r="E2" s="35"/>
      <c r="F2" s="35"/>
      <c r="G2" s="35"/>
      <c r="H2" s="35"/>
      <c r="I2" s="35"/>
      <c r="J2" s="35"/>
      <c r="K2" s="35"/>
      <c r="L2" s="35"/>
      <c r="M2" s="35"/>
      <c r="N2" s="35"/>
      <c r="O2" s="35"/>
      <c r="P2" s="35"/>
      <c r="Q2" s="35"/>
      <c r="R2" s="35"/>
      <c r="S2" s="35"/>
      <c r="T2" s="35"/>
      <c r="U2" s="35"/>
      <c r="V2" s="35"/>
      <c r="W2" s="35"/>
      <c r="X2" s="35"/>
      <c r="Y2" s="35"/>
      <c r="Z2" s="35"/>
    </row>
    <row r="3">
      <c r="A3" s="35"/>
      <c r="B3" s="35"/>
      <c r="C3" s="35"/>
      <c r="D3" s="35"/>
      <c r="E3" s="35"/>
      <c r="F3" s="35"/>
      <c r="G3" s="35"/>
      <c r="H3" s="35"/>
      <c r="I3" s="35"/>
      <c r="J3" s="35"/>
      <c r="K3" s="35"/>
      <c r="L3" s="35"/>
      <c r="M3" s="35"/>
      <c r="N3" s="35"/>
      <c r="O3" s="35"/>
      <c r="P3" s="35"/>
      <c r="Q3" s="35"/>
      <c r="R3" s="35"/>
      <c r="S3" s="35"/>
      <c r="T3" s="35"/>
      <c r="U3" s="35"/>
      <c r="V3" s="35"/>
      <c r="W3" s="35"/>
      <c r="X3" s="35"/>
      <c r="Y3" s="35"/>
      <c r="Z3" s="35"/>
    </row>
    <row r="4">
      <c r="A4" s="36"/>
      <c r="B4" s="36"/>
      <c r="C4" s="36"/>
      <c r="D4" s="36"/>
      <c r="E4" s="36"/>
      <c r="F4" s="36"/>
      <c r="G4" s="36"/>
      <c r="H4" s="36"/>
      <c r="I4" s="36"/>
      <c r="J4" s="36"/>
      <c r="K4" s="36"/>
      <c r="L4" s="36"/>
      <c r="M4" s="36"/>
      <c r="N4" s="36"/>
      <c r="O4" s="36"/>
      <c r="P4" s="36"/>
      <c r="Q4" s="36"/>
      <c r="R4" s="36"/>
      <c r="S4" s="36"/>
      <c r="T4" s="36"/>
      <c r="U4" s="36"/>
      <c r="V4" s="36"/>
      <c r="W4" s="36"/>
      <c r="X4" s="36"/>
      <c r="Y4" s="36"/>
      <c r="Z4" s="36"/>
    </row>
    <row r="5">
      <c r="A5" s="36"/>
      <c r="B5" s="35"/>
      <c r="C5" s="35"/>
      <c r="D5" s="35"/>
      <c r="E5" s="35"/>
      <c r="F5" s="35"/>
      <c r="G5" s="35"/>
      <c r="H5" s="35"/>
      <c r="I5" s="35"/>
      <c r="J5" s="35"/>
      <c r="K5" s="35"/>
      <c r="L5" s="35"/>
      <c r="M5" s="35"/>
      <c r="N5" s="35"/>
      <c r="O5" s="35"/>
      <c r="P5" s="35"/>
      <c r="Q5" s="36"/>
      <c r="R5" s="36"/>
      <c r="S5" s="36"/>
      <c r="T5" s="36"/>
      <c r="U5" s="36"/>
      <c r="V5" s="36"/>
      <c r="W5" s="36"/>
      <c r="X5" s="36"/>
      <c r="Y5" s="36"/>
      <c r="Z5" s="36"/>
    </row>
    <row r="6">
      <c r="A6" s="36"/>
      <c r="B6" s="37"/>
      <c r="C6" s="37"/>
      <c r="D6" s="37"/>
      <c r="E6" s="37"/>
      <c r="F6" s="37"/>
      <c r="G6" s="37"/>
      <c r="H6" s="37"/>
      <c r="I6" s="37"/>
      <c r="J6" s="37"/>
      <c r="K6" s="37"/>
      <c r="L6" s="37"/>
      <c r="M6" s="37"/>
      <c r="N6" s="37"/>
      <c r="O6" s="37"/>
      <c r="P6" s="37"/>
      <c r="Q6" s="36"/>
      <c r="R6" s="36"/>
      <c r="S6" s="36"/>
      <c r="T6" s="36"/>
      <c r="U6" s="36"/>
      <c r="V6" s="36"/>
      <c r="W6" s="36"/>
      <c r="X6" s="36"/>
      <c r="Y6" s="36"/>
      <c r="Z6" s="36"/>
    </row>
    <row r="7">
      <c r="A7" s="36"/>
      <c r="B7" s="38"/>
      <c r="C7" s="38"/>
      <c r="D7" s="38"/>
      <c r="E7" s="38"/>
      <c r="F7" s="38"/>
      <c r="G7" s="38"/>
      <c r="H7" s="38"/>
      <c r="I7" s="38"/>
      <c r="J7" s="38"/>
      <c r="K7" s="38"/>
      <c r="L7" s="38"/>
      <c r="M7" s="38"/>
      <c r="N7" s="38"/>
      <c r="O7" s="38"/>
      <c r="P7" s="38"/>
      <c r="Q7" s="36"/>
      <c r="R7" s="36"/>
      <c r="S7" s="36"/>
      <c r="T7" s="36"/>
      <c r="U7" s="36"/>
      <c r="V7" s="36"/>
      <c r="W7" s="36"/>
      <c r="X7" s="36"/>
      <c r="Y7" s="36"/>
      <c r="Z7" s="36"/>
    </row>
    <row r="8">
      <c r="A8" s="36"/>
      <c r="B8" s="38"/>
      <c r="C8" s="38"/>
      <c r="D8" s="38"/>
      <c r="E8" s="38"/>
      <c r="F8" s="38"/>
      <c r="G8" s="38"/>
      <c r="H8" s="38"/>
      <c r="I8" s="38"/>
      <c r="J8" s="38"/>
      <c r="K8" s="38"/>
      <c r="L8" s="38"/>
      <c r="M8" s="38"/>
      <c r="N8" s="38"/>
      <c r="O8" s="38"/>
      <c r="P8" s="38"/>
      <c r="Q8" s="36"/>
      <c r="R8" s="36"/>
      <c r="S8" s="36"/>
      <c r="T8" s="36"/>
      <c r="U8" s="36"/>
      <c r="V8" s="36"/>
      <c r="W8" s="36"/>
      <c r="X8" s="36"/>
      <c r="Y8" s="36"/>
      <c r="Z8" s="36"/>
    </row>
    <row r="9">
      <c r="A9" s="36"/>
      <c r="B9" s="38"/>
      <c r="C9" s="38"/>
      <c r="D9" s="38"/>
      <c r="E9" s="38"/>
      <c r="F9" s="38"/>
      <c r="G9" s="38"/>
      <c r="H9" s="38"/>
      <c r="I9" s="38"/>
      <c r="J9" s="38"/>
      <c r="K9" s="38"/>
      <c r="L9" s="38"/>
      <c r="M9" s="38"/>
      <c r="N9" s="38"/>
      <c r="O9" s="38"/>
      <c r="P9" s="38"/>
      <c r="Q9" s="36"/>
      <c r="R9" s="36"/>
      <c r="S9" s="36"/>
      <c r="T9" s="36"/>
      <c r="U9" s="36"/>
      <c r="V9" s="36"/>
      <c r="W9" s="36"/>
      <c r="X9" s="36"/>
      <c r="Y9" s="36"/>
      <c r="Z9" s="36"/>
    </row>
    <row r="10">
      <c r="A10" s="36"/>
      <c r="B10" s="37"/>
      <c r="C10" s="37"/>
      <c r="D10" s="37"/>
      <c r="E10" s="37"/>
      <c r="F10" s="37"/>
      <c r="G10" s="37"/>
      <c r="H10" s="37"/>
      <c r="I10" s="37"/>
      <c r="J10" s="37"/>
      <c r="K10" s="37"/>
      <c r="L10" s="37"/>
      <c r="M10" s="37"/>
      <c r="N10" s="37"/>
      <c r="O10" s="37"/>
      <c r="P10" s="37"/>
      <c r="Q10" s="36"/>
      <c r="R10" s="36"/>
      <c r="S10" s="36"/>
      <c r="T10" s="36"/>
      <c r="U10" s="36"/>
      <c r="V10" s="36"/>
      <c r="W10" s="36"/>
      <c r="X10" s="36"/>
      <c r="Y10" s="36"/>
      <c r="Z10" s="36"/>
    </row>
    <row r="11">
      <c r="A11" s="36"/>
      <c r="B11" s="37"/>
      <c r="C11" s="37"/>
      <c r="D11" s="37"/>
      <c r="E11" s="37"/>
      <c r="F11" s="37"/>
      <c r="G11" s="37"/>
      <c r="H11" s="37"/>
      <c r="I11" s="37"/>
      <c r="J11" s="37"/>
      <c r="K11" s="37"/>
      <c r="L11" s="37"/>
      <c r="M11" s="37"/>
      <c r="N11" s="37"/>
      <c r="O11" s="37"/>
      <c r="P11" s="37"/>
      <c r="Q11" s="36"/>
      <c r="R11" s="36"/>
      <c r="S11" s="36"/>
      <c r="T11" s="36"/>
      <c r="U11" s="36"/>
      <c r="V11" s="36"/>
      <c r="W11" s="36"/>
      <c r="X11" s="36"/>
      <c r="Y11" s="36"/>
      <c r="Z11" s="36"/>
    </row>
    <row r="12">
      <c r="A12" s="36"/>
      <c r="B12" s="37"/>
      <c r="C12" s="37"/>
      <c r="D12" s="37"/>
      <c r="E12" s="37"/>
      <c r="F12" s="37"/>
      <c r="G12" s="37"/>
      <c r="H12" s="37"/>
      <c r="I12" s="37"/>
      <c r="J12" s="37"/>
      <c r="K12" s="37"/>
      <c r="L12" s="37"/>
      <c r="M12" s="37"/>
      <c r="N12" s="37"/>
      <c r="O12" s="37"/>
      <c r="P12" s="37"/>
      <c r="Q12" s="36"/>
      <c r="R12" s="36"/>
      <c r="S12" s="36"/>
      <c r="T12" s="36"/>
      <c r="U12" s="36"/>
      <c r="V12" s="36"/>
      <c r="W12" s="36"/>
      <c r="X12" s="36"/>
      <c r="Y12" s="36"/>
      <c r="Z12" s="36"/>
    </row>
    <row r="13">
      <c r="A13" s="36"/>
      <c r="B13" s="37"/>
      <c r="C13" s="37"/>
      <c r="D13" s="37"/>
      <c r="E13" s="37"/>
      <c r="F13" s="37"/>
      <c r="G13" s="37"/>
      <c r="H13" s="37"/>
      <c r="I13" s="37"/>
      <c r="J13" s="37"/>
      <c r="K13" s="37"/>
      <c r="L13" s="37"/>
      <c r="M13" s="37"/>
      <c r="N13" s="37"/>
      <c r="O13" s="37"/>
      <c r="P13" s="37"/>
      <c r="Q13" s="36"/>
      <c r="R13" s="36"/>
      <c r="S13" s="36"/>
      <c r="T13" s="36"/>
      <c r="U13" s="36"/>
      <c r="V13" s="36"/>
      <c r="W13" s="36"/>
      <c r="X13" s="36"/>
      <c r="Y13" s="36"/>
      <c r="Z13" s="36"/>
    </row>
    <row r="14">
      <c r="A14" s="36"/>
      <c r="B14" s="35"/>
      <c r="C14" s="35"/>
      <c r="D14" s="35"/>
      <c r="E14" s="35"/>
      <c r="F14" s="35"/>
      <c r="G14" s="35"/>
      <c r="H14" s="35"/>
      <c r="I14" s="35"/>
      <c r="J14" s="35"/>
      <c r="K14" s="35"/>
      <c r="L14" s="35"/>
      <c r="M14" s="35"/>
      <c r="N14" s="35"/>
      <c r="O14" s="35"/>
      <c r="P14" s="35"/>
      <c r="Q14" s="36"/>
      <c r="R14" s="36"/>
      <c r="S14" s="36"/>
      <c r="T14" s="36"/>
      <c r="U14" s="36"/>
      <c r="V14" s="36"/>
      <c r="W14" s="36"/>
      <c r="X14" s="36"/>
      <c r="Y14" s="36"/>
      <c r="Z14" s="36"/>
    </row>
    <row r="15">
      <c r="A15" s="36"/>
      <c r="B15" s="35"/>
      <c r="C15" s="36"/>
      <c r="D15" s="39"/>
      <c r="E15" s="39"/>
      <c r="F15" s="39"/>
      <c r="G15" s="39"/>
      <c r="H15" s="39"/>
      <c r="I15" s="39"/>
      <c r="J15" s="39"/>
      <c r="K15" s="39"/>
      <c r="L15" s="39"/>
      <c r="M15" s="39"/>
      <c r="N15" s="39"/>
      <c r="O15" s="39"/>
      <c r="P15" s="39"/>
      <c r="Q15" s="36"/>
      <c r="R15" s="36"/>
      <c r="S15" s="36"/>
      <c r="T15" s="36"/>
      <c r="U15" s="36"/>
      <c r="V15" s="36"/>
      <c r="W15" s="36"/>
      <c r="X15" s="36"/>
      <c r="Y15" s="36"/>
      <c r="Z15" s="36"/>
    </row>
    <row r="16">
      <c r="A16" s="36"/>
      <c r="B16" s="37"/>
      <c r="C16" s="36"/>
      <c r="D16" s="39"/>
      <c r="E16" s="39"/>
      <c r="F16" s="39"/>
      <c r="G16" s="39"/>
      <c r="H16" s="39"/>
      <c r="I16" s="39"/>
      <c r="J16" s="39"/>
      <c r="K16" s="39"/>
      <c r="L16" s="39"/>
      <c r="M16" s="39"/>
      <c r="N16" s="39"/>
      <c r="O16" s="39"/>
      <c r="P16" s="39"/>
      <c r="Q16" s="36"/>
      <c r="R16" s="36"/>
      <c r="S16" s="36"/>
      <c r="T16" s="36"/>
      <c r="U16" s="36"/>
      <c r="V16" s="36"/>
      <c r="W16" s="36"/>
      <c r="X16" s="36"/>
      <c r="Y16" s="36"/>
      <c r="Z16" s="36"/>
    </row>
    <row r="17">
      <c r="A17" s="36"/>
      <c r="B17" s="37"/>
      <c r="C17" s="36"/>
      <c r="D17" s="39"/>
      <c r="E17" s="39"/>
      <c r="F17" s="39"/>
      <c r="G17" s="39"/>
      <c r="H17" s="39"/>
      <c r="I17" s="39"/>
      <c r="J17" s="39"/>
      <c r="K17" s="39"/>
      <c r="L17" s="39"/>
      <c r="M17" s="39"/>
      <c r="N17" s="39"/>
      <c r="O17" s="39"/>
      <c r="P17" s="39"/>
      <c r="Q17" s="36"/>
      <c r="R17" s="36"/>
      <c r="S17" s="36"/>
      <c r="T17" s="36"/>
      <c r="U17" s="36"/>
      <c r="V17" s="36"/>
      <c r="W17" s="36"/>
      <c r="X17" s="36"/>
      <c r="Y17" s="36"/>
      <c r="Z17" s="36"/>
    </row>
    <row r="18">
      <c r="A18" s="36"/>
      <c r="B18" s="37"/>
      <c r="C18" s="36"/>
      <c r="D18" s="39"/>
      <c r="E18" s="39"/>
      <c r="F18" s="39"/>
      <c r="G18" s="39"/>
      <c r="H18" s="39"/>
      <c r="I18" s="39"/>
      <c r="J18" s="39"/>
      <c r="K18" s="39"/>
      <c r="L18" s="39"/>
      <c r="M18" s="39"/>
      <c r="N18" s="39"/>
      <c r="O18" s="39"/>
      <c r="P18" s="39"/>
      <c r="Q18" s="36"/>
      <c r="R18" s="36"/>
      <c r="S18" s="36"/>
      <c r="T18" s="36"/>
      <c r="U18" s="36"/>
      <c r="V18" s="36"/>
      <c r="W18" s="36"/>
      <c r="X18" s="36"/>
      <c r="Y18" s="36"/>
      <c r="Z18" s="36"/>
    </row>
    <row r="19">
      <c r="A19" s="36"/>
      <c r="B19" s="37"/>
      <c r="C19" s="36"/>
      <c r="D19" s="39"/>
      <c r="E19" s="39"/>
      <c r="F19" s="39"/>
      <c r="G19" s="39"/>
      <c r="H19" s="39"/>
      <c r="I19" s="39"/>
      <c r="J19" s="39"/>
      <c r="K19" s="39"/>
      <c r="L19" s="39"/>
      <c r="M19" s="39"/>
      <c r="N19" s="39"/>
      <c r="O19" s="39"/>
      <c r="P19" s="39"/>
      <c r="Q19" s="36"/>
      <c r="R19" s="36"/>
      <c r="S19" s="36"/>
      <c r="T19" s="36"/>
      <c r="U19" s="36"/>
      <c r="V19" s="36"/>
      <c r="W19" s="36"/>
      <c r="X19" s="36"/>
      <c r="Y19" s="36"/>
      <c r="Z19" s="36"/>
    </row>
    <row r="20">
      <c r="A20" s="36"/>
      <c r="B20" s="37"/>
      <c r="C20" s="37"/>
      <c r="D20" s="37"/>
      <c r="E20" s="37"/>
      <c r="F20" s="37"/>
      <c r="G20" s="37"/>
      <c r="H20" s="37"/>
      <c r="I20" s="37"/>
      <c r="J20" s="37"/>
      <c r="K20" s="37"/>
      <c r="L20" s="37"/>
      <c r="M20" s="37"/>
      <c r="N20" s="37"/>
      <c r="O20" s="37"/>
      <c r="P20" s="37"/>
      <c r="Q20" s="36"/>
      <c r="R20" s="36"/>
      <c r="S20" s="36"/>
      <c r="T20" s="36"/>
      <c r="U20" s="36"/>
      <c r="V20" s="36"/>
      <c r="W20" s="36"/>
      <c r="X20" s="36"/>
      <c r="Y20" s="36"/>
      <c r="Z20" s="36"/>
    </row>
    <row r="21" ht="15.75" customHeight="1">
      <c r="A21" s="36"/>
      <c r="B21" s="37"/>
      <c r="C21" s="37"/>
      <c r="D21" s="37"/>
      <c r="E21" s="37"/>
      <c r="F21" s="37"/>
      <c r="G21" s="37"/>
      <c r="H21" s="37"/>
      <c r="I21" s="37"/>
      <c r="J21" s="37"/>
      <c r="K21" s="37"/>
      <c r="L21" s="37"/>
      <c r="M21" s="37"/>
      <c r="N21" s="37"/>
      <c r="O21" s="37"/>
      <c r="P21" s="37"/>
      <c r="Q21" s="36"/>
      <c r="R21" s="36"/>
      <c r="S21" s="36"/>
      <c r="T21" s="36"/>
      <c r="U21" s="36"/>
      <c r="V21" s="36"/>
      <c r="W21" s="36"/>
      <c r="X21" s="36"/>
      <c r="Y21" s="36"/>
      <c r="Z21" s="36"/>
    </row>
    <row r="22" ht="15.75" customHeight="1">
      <c r="A22" s="36"/>
      <c r="B22" s="40"/>
      <c r="C22" s="36"/>
      <c r="D22" s="36"/>
      <c r="E22" s="36"/>
      <c r="F22" s="35"/>
      <c r="G22" s="35"/>
      <c r="H22" s="35"/>
      <c r="I22" s="35"/>
      <c r="J22" s="35"/>
      <c r="K22" s="35"/>
      <c r="L22" s="35"/>
      <c r="M22" s="35"/>
      <c r="N22" s="35"/>
      <c r="O22" s="35"/>
      <c r="P22" s="35"/>
      <c r="Q22" s="36"/>
      <c r="R22" s="36"/>
      <c r="S22" s="36"/>
      <c r="T22" s="36"/>
      <c r="U22" s="36"/>
      <c r="V22" s="36"/>
      <c r="W22" s="36"/>
      <c r="X22" s="36"/>
      <c r="Y22" s="36"/>
      <c r="Z22" s="36"/>
    </row>
    <row r="23" ht="15.75" customHeight="1">
      <c r="A23" s="36"/>
      <c r="B23" s="40"/>
      <c r="C23" s="41"/>
      <c r="D23" s="41"/>
      <c r="E23" s="41"/>
      <c r="F23" s="41"/>
      <c r="G23" s="35"/>
      <c r="H23" s="35"/>
      <c r="I23" s="35"/>
      <c r="J23" s="42"/>
      <c r="K23" s="42"/>
      <c r="L23" s="42"/>
      <c r="M23" s="42"/>
      <c r="N23" s="42"/>
      <c r="O23" s="42"/>
      <c r="P23" s="42"/>
      <c r="Q23" s="36"/>
      <c r="R23" s="36"/>
      <c r="S23" s="36"/>
      <c r="T23" s="36"/>
      <c r="U23" s="36"/>
      <c r="V23" s="36"/>
      <c r="W23" s="36"/>
      <c r="X23" s="36"/>
      <c r="Y23" s="36"/>
      <c r="Z23" s="36"/>
    </row>
    <row r="24" ht="15.75" customHeight="1">
      <c r="A24" s="36"/>
      <c r="B24" s="35"/>
      <c r="C24" s="35"/>
      <c r="D24" s="35"/>
      <c r="E24" s="35"/>
      <c r="F24" s="35"/>
      <c r="G24" s="35"/>
      <c r="H24" s="35"/>
      <c r="I24" s="35"/>
      <c r="J24" s="35"/>
      <c r="K24" s="35"/>
      <c r="L24" s="35"/>
      <c r="M24" s="35"/>
      <c r="N24" s="35"/>
      <c r="O24" s="35"/>
      <c r="P24" s="35"/>
      <c r="Q24" s="36"/>
      <c r="R24" s="36"/>
      <c r="S24" s="36"/>
      <c r="T24" s="36"/>
      <c r="U24" s="36"/>
      <c r="V24" s="36"/>
      <c r="W24" s="36"/>
      <c r="X24" s="36"/>
      <c r="Y24" s="36"/>
      <c r="Z24" s="36"/>
    </row>
    <row r="25" ht="15.75" customHeight="1">
      <c r="A25" s="36"/>
      <c r="B25" s="35"/>
      <c r="C25" s="35"/>
      <c r="D25" s="35"/>
      <c r="E25" s="35"/>
      <c r="F25" s="35"/>
      <c r="G25" s="35"/>
      <c r="H25" s="35"/>
      <c r="I25" s="35"/>
      <c r="J25" s="35"/>
      <c r="K25" s="35"/>
      <c r="L25" s="35"/>
      <c r="M25" s="35"/>
      <c r="N25" s="35"/>
      <c r="O25" s="35"/>
      <c r="P25" s="35"/>
      <c r="Q25" s="36"/>
      <c r="R25" s="36"/>
      <c r="S25" s="36"/>
      <c r="T25" s="36"/>
      <c r="U25" s="36"/>
      <c r="V25" s="36"/>
      <c r="W25" s="36"/>
      <c r="X25" s="36"/>
      <c r="Y25" s="36"/>
      <c r="Z25" s="36"/>
    </row>
    <row r="26" ht="15.75" customHeight="1">
      <c r="A26" s="35"/>
      <c r="B26" s="35"/>
      <c r="C26" s="35"/>
      <c r="D26" s="35"/>
      <c r="E26" s="35"/>
      <c r="F26" s="35"/>
      <c r="G26" s="35"/>
      <c r="H26" s="35"/>
      <c r="I26" s="35"/>
      <c r="J26" s="35"/>
      <c r="K26" s="35"/>
      <c r="L26" s="35"/>
      <c r="M26" s="35"/>
      <c r="N26" s="35"/>
      <c r="O26" s="35"/>
      <c r="P26" s="35"/>
      <c r="Q26" s="35"/>
      <c r="R26" s="35"/>
      <c r="S26" s="35"/>
      <c r="T26" s="35"/>
      <c r="U26" s="35"/>
      <c r="V26" s="35"/>
      <c r="W26" s="35"/>
      <c r="X26" s="35"/>
      <c r="Y26" s="35"/>
      <c r="Z26" s="35"/>
    </row>
    <row r="27" ht="15.75" customHeight="1">
      <c r="A27" s="35"/>
      <c r="B27" s="35"/>
      <c r="C27" s="35"/>
      <c r="D27" s="35"/>
      <c r="E27" s="35"/>
      <c r="F27" s="35"/>
      <c r="G27" s="35"/>
      <c r="H27" s="35"/>
      <c r="I27" s="35"/>
      <c r="J27" s="35"/>
      <c r="K27" s="35"/>
      <c r="L27" s="35"/>
      <c r="M27" s="35"/>
      <c r="N27" s="35"/>
      <c r="O27" s="35"/>
      <c r="P27" s="35"/>
      <c r="Q27" s="35"/>
      <c r="R27" s="35"/>
      <c r="S27" s="35"/>
      <c r="T27" s="35"/>
      <c r="U27" s="35"/>
      <c r="V27" s="35"/>
      <c r="W27" s="35"/>
      <c r="X27" s="35"/>
      <c r="Y27" s="35"/>
      <c r="Z27" s="35"/>
    </row>
    <row r="28" ht="15.75" customHeight="1">
      <c r="A28" s="35"/>
      <c r="B28" s="35"/>
      <c r="C28" s="35"/>
      <c r="D28" s="35"/>
      <c r="E28" s="35"/>
      <c r="F28" s="35"/>
      <c r="G28" s="35"/>
      <c r="H28" s="35"/>
      <c r="I28" s="35"/>
      <c r="J28" s="35"/>
      <c r="K28" s="35"/>
      <c r="L28" s="35"/>
      <c r="M28" s="35"/>
      <c r="N28" s="35"/>
      <c r="O28" s="35"/>
      <c r="P28" s="35"/>
      <c r="Q28" s="35"/>
      <c r="R28" s="35"/>
      <c r="S28" s="35"/>
      <c r="T28" s="35"/>
      <c r="U28" s="35"/>
      <c r="V28" s="35"/>
      <c r="W28" s="35"/>
      <c r="X28" s="35"/>
      <c r="Y28" s="35"/>
      <c r="Z28" s="35"/>
    </row>
    <row r="29" ht="15.75" customHeight="1">
      <c r="A29" s="35"/>
      <c r="B29" s="35"/>
      <c r="C29" s="35"/>
      <c r="D29" s="35"/>
      <c r="E29" s="35"/>
      <c r="F29" s="35"/>
      <c r="G29" s="35"/>
      <c r="H29" s="35"/>
      <c r="I29" s="35"/>
      <c r="J29" s="35"/>
      <c r="K29" s="35"/>
      <c r="L29" s="35"/>
      <c r="M29" s="35"/>
      <c r="N29" s="35"/>
      <c r="O29" s="35"/>
      <c r="P29" s="35"/>
      <c r="Q29" s="35"/>
      <c r="R29" s="35"/>
      <c r="S29" s="35"/>
      <c r="T29" s="35"/>
      <c r="U29" s="35"/>
      <c r="V29" s="35"/>
      <c r="W29" s="35"/>
      <c r="X29" s="35"/>
      <c r="Y29" s="35"/>
      <c r="Z29" s="35"/>
    </row>
    <row r="30" ht="15.75" customHeight="1">
      <c r="A30" s="35"/>
      <c r="B30" s="35"/>
      <c r="C30" s="35"/>
      <c r="D30" s="35"/>
      <c r="E30" s="35"/>
      <c r="F30" s="35"/>
      <c r="G30" s="35"/>
      <c r="H30" s="35"/>
      <c r="I30" s="35"/>
      <c r="J30" s="35"/>
      <c r="K30" s="35"/>
      <c r="L30" s="35"/>
      <c r="M30" s="35"/>
      <c r="N30" s="35"/>
      <c r="O30" s="35"/>
      <c r="P30" s="35"/>
      <c r="Q30" s="35"/>
      <c r="R30" s="35"/>
      <c r="S30" s="35"/>
      <c r="T30" s="35"/>
      <c r="U30" s="35"/>
      <c r="V30" s="35"/>
      <c r="W30" s="35"/>
      <c r="X30" s="35"/>
      <c r="Y30" s="35"/>
      <c r="Z30" s="35"/>
    </row>
    <row r="31" ht="15.75" customHeight="1">
      <c r="A31" s="35"/>
      <c r="B31" s="35"/>
      <c r="C31" s="35"/>
      <c r="D31" s="35"/>
      <c r="E31" s="35"/>
      <c r="F31" s="35"/>
      <c r="G31" s="35"/>
      <c r="H31" s="35"/>
      <c r="I31" s="35"/>
      <c r="J31" s="35"/>
      <c r="K31" s="35"/>
      <c r="L31" s="35"/>
      <c r="M31" s="35"/>
      <c r="N31" s="35"/>
      <c r="O31" s="35"/>
      <c r="P31" s="35"/>
      <c r="Q31" s="35"/>
      <c r="R31" s="35"/>
      <c r="S31" s="35"/>
      <c r="T31" s="35"/>
      <c r="U31" s="35"/>
      <c r="V31" s="35"/>
      <c r="W31" s="35"/>
      <c r="X31" s="35"/>
      <c r="Y31" s="35"/>
      <c r="Z31" s="35"/>
    </row>
    <row r="32" ht="15.75" customHeight="1">
      <c r="A32" s="35"/>
      <c r="B32" s="35"/>
      <c r="C32" s="35"/>
      <c r="D32" s="35"/>
      <c r="E32" s="35"/>
      <c r="F32" s="35"/>
      <c r="G32" s="35"/>
      <c r="H32" s="35"/>
      <c r="I32" s="35"/>
      <c r="J32" s="35"/>
      <c r="K32" s="35"/>
      <c r="L32" s="35"/>
      <c r="M32" s="35"/>
      <c r="N32" s="35"/>
      <c r="O32" s="35"/>
      <c r="P32" s="35"/>
      <c r="Q32" s="35"/>
      <c r="R32" s="35"/>
      <c r="S32" s="35"/>
      <c r="T32" s="35"/>
      <c r="U32" s="35"/>
      <c r="V32" s="35"/>
      <c r="W32" s="35"/>
      <c r="X32" s="35"/>
      <c r="Y32" s="35"/>
      <c r="Z32" s="35"/>
    </row>
    <row r="33" ht="15.75" customHeight="1">
      <c r="A33" s="35"/>
      <c r="B33" s="35"/>
      <c r="C33" s="35"/>
      <c r="D33" s="35"/>
      <c r="E33" s="35"/>
      <c r="F33" s="35"/>
      <c r="G33" s="35"/>
      <c r="H33" s="35"/>
      <c r="I33" s="35"/>
      <c r="J33" s="35"/>
      <c r="K33" s="35"/>
      <c r="L33" s="35"/>
      <c r="M33" s="35"/>
      <c r="N33" s="35"/>
      <c r="O33" s="35"/>
      <c r="P33" s="35"/>
      <c r="Q33" s="35"/>
      <c r="R33" s="35"/>
      <c r="S33" s="35"/>
      <c r="T33" s="35"/>
      <c r="U33" s="35"/>
      <c r="V33" s="35"/>
      <c r="W33" s="35"/>
      <c r="X33" s="35"/>
      <c r="Y33" s="35"/>
      <c r="Z33" s="35"/>
    </row>
    <row r="34" ht="15.75" customHeight="1">
      <c r="A34" s="35"/>
      <c r="B34" s="35"/>
      <c r="C34" s="35"/>
      <c r="D34" s="35"/>
      <c r="E34" s="35"/>
      <c r="F34" s="35"/>
      <c r="G34" s="35"/>
      <c r="H34" s="35"/>
      <c r="I34" s="35"/>
      <c r="J34" s="35"/>
      <c r="K34" s="35"/>
      <c r="L34" s="35"/>
      <c r="M34" s="35"/>
      <c r="N34" s="35"/>
      <c r="O34" s="35"/>
      <c r="P34" s="35"/>
      <c r="Q34" s="35"/>
      <c r="R34" s="35"/>
      <c r="S34" s="35"/>
      <c r="T34" s="35"/>
      <c r="U34" s="35"/>
      <c r="V34" s="35"/>
      <c r="W34" s="35"/>
      <c r="X34" s="35"/>
      <c r="Y34" s="35"/>
      <c r="Z34" s="35"/>
    </row>
    <row r="35" ht="15.75" customHeight="1">
      <c r="A35" s="35"/>
      <c r="B35" s="35"/>
      <c r="C35" s="35"/>
      <c r="D35" s="35"/>
      <c r="E35" s="35"/>
      <c r="F35" s="35"/>
      <c r="G35" s="35"/>
      <c r="H35" s="35"/>
      <c r="I35" s="35"/>
      <c r="J35" s="35"/>
      <c r="K35" s="35"/>
      <c r="L35" s="35"/>
      <c r="M35" s="35"/>
      <c r="N35" s="35"/>
      <c r="O35" s="35"/>
      <c r="P35" s="35"/>
      <c r="Q35" s="35"/>
      <c r="R35" s="35"/>
      <c r="S35" s="35"/>
      <c r="T35" s="35"/>
      <c r="U35" s="35"/>
      <c r="V35" s="35"/>
      <c r="W35" s="35"/>
      <c r="X35" s="35"/>
      <c r="Y35" s="35"/>
      <c r="Z35" s="35"/>
    </row>
    <row r="36" ht="15.75" customHeight="1">
      <c r="A36" s="35"/>
      <c r="B36" s="35"/>
      <c r="C36" s="35"/>
      <c r="D36" s="35"/>
      <c r="E36" s="35"/>
      <c r="F36" s="35"/>
      <c r="G36" s="35"/>
      <c r="H36" s="35"/>
      <c r="I36" s="35"/>
      <c r="J36" s="35"/>
      <c r="K36" s="35"/>
      <c r="L36" s="35"/>
      <c r="M36" s="35"/>
      <c r="N36" s="35"/>
      <c r="O36" s="35"/>
      <c r="P36" s="35"/>
      <c r="Q36" s="35"/>
      <c r="R36" s="35"/>
      <c r="S36" s="35"/>
      <c r="T36" s="35"/>
      <c r="U36" s="35"/>
      <c r="V36" s="35"/>
      <c r="W36" s="35"/>
      <c r="X36" s="35"/>
      <c r="Y36" s="35"/>
      <c r="Z36" s="35"/>
    </row>
    <row r="37" ht="15.75" customHeight="1">
      <c r="A37" s="35"/>
      <c r="B37" s="35"/>
      <c r="C37" s="35"/>
      <c r="D37" s="35"/>
      <c r="E37" s="35"/>
      <c r="F37" s="35"/>
      <c r="G37" s="35"/>
      <c r="H37" s="35"/>
      <c r="I37" s="35"/>
      <c r="J37" s="35"/>
      <c r="K37" s="35"/>
      <c r="L37" s="35"/>
      <c r="M37" s="35"/>
      <c r="N37" s="35"/>
      <c r="O37" s="35"/>
      <c r="P37" s="35"/>
      <c r="Q37" s="35"/>
      <c r="R37" s="35"/>
      <c r="S37" s="35"/>
      <c r="T37" s="35"/>
      <c r="U37" s="35"/>
      <c r="V37" s="35"/>
      <c r="W37" s="35"/>
      <c r="X37" s="35"/>
      <c r="Y37" s="35"/>
      <c r="Z37" s="35"/>
    </row>
    <row r="38" ht="15.75" customHeight="1">
      <c r="A38" s="35"/>
      <c r="B38" s="35"/>
      <c r="C38" s="35"/>
      <c r="D38" s="35"/>
      <c r="E38" s="35"/>
      <c r="F38" s="35"/>
      <c r="G38" s="35"/>
      <c r="H38" s="35"/>
      <c r="I38" s="35"/>
      <c r="J38" s="35"/>
      <c r="K38" s="35"/>
      <c r="L38" s="35"/>
      <c r="M38" s="35"/>
      <c r="N38" s="35"/>
      <c r="O38" s="35"/>
      <c r="P38" s="35"/>
      <c r="Q38" s="35"/>
      <c r="R38" s="35"/>
      <c r="S38" s="35"/>
      <c r="T38" s="35"/>
      <c r="U38" s="35"/>
      <c r="V38" s="35"/>
      <c r="W38" s="35"/>
      <c r="X38" s="35"/>
      <c r="Y38" s="35"/>
      <c r="Z38" s="35"/>
    </row>
    <row r="39" ht="15.75" customHeight="1">
      <c r="A39" s="35"/>
      <c r="B39" s="35"/>
      <c r="C39" s="35"/>
      <c r="D39" s="35"/>
      <c r="E39" s="35"/>
      <c r="F39" s="35"/>
      <c r="G39" s="35"/>
      <c r="H39" s="35"/>
      <c r="I39" s="35"/>
      <c r="J39" s="35"/>
      <c r="K39" s="35"/>
      <c r="L39" s="35"/>
      <c r="M39" s="35"/>
      <c r="N39" s="35"/>
      <c r="O39" s="35"/>
      <c r="P39" s="35"/>
      <c r="Q39" s="35"/>
      <c r="R39" s="35"/>
      <c r="S39" s="35"/>
      <c r="T39" s="35"/>
      <c r="U39" s="35"/>
      <c r="V39" s="35"/>
      <c r="W39" s="35"/>
      <c r="X39" s="35"/>
      <c r="Y39" s="35"/>
      <c r="Z39" s="35"/>
    </row>
    <row r="40" ht="15.75" customHeight="1">
      <c r="A40" s="35"/>
      <c r="B40" s="35"/>
      <c r="C40" s="35"/>
      <c r="D40" s="35"/>
      <c r="E40" s="35"/>
      <c r="F40" s="35"/>
      <c r="G40" s="35"/>
      <c r="H40" s="35"/>
      <c r="I40" s="35"/>
      <c r="J40" s="35"/>
      <c r="K40" s="35"/>
      <c r="L40" s="35"/>
      <c r="M40" s="35"/>
      <c r="N40" s="35"/>
      <c r="O40" s="35"/>
      <c r="P40" s="35"/>
      <c r="Q40" s="35"/>
      <c r="R40" s="35"/>
      <c r="S40" s="35"/>
      <c r="T40" s="35"/>
      <c r="U40" s="35"/>
      <c r="V40" s="35"/>
      <c r="W40" s="35"/>
      <c r="X40" s="35"/>
      <c r="Y40" s="35"/>
      <c r="Z40" s="35"/>
    </row>
    <row r="41" ht="15.75" customHeight="1">
      <c r="A41" s="35"/>
      <c r="B41" s="35"/>
      <c r="C41" s="35"/>
      <c r="D41" s="35"/>
      <c r="E41" s="35"/>
      <c r="F41" s="35"/>
      <c r="G41" s="35"/>
      <c r="H41" s="35"/>
      <c r="I41" s="35"/>
      <c r="J41" s="35"/>
      <c r="K41" s="35"/>
      <c r="L41" s="35"/>
      <c r="M41" s="35"/>
      <c r="N41" s="35"/>
      <c r="O41" s="35"/>
      <c r="P41" s="35"/>
      <c r="Q41" s="35"/>
      <c r="R41" s="35"/>
      <c r="S41" s="35"/>
      <c r="T41" s="35"/>
      <c r="U41" s="35"/>
      <c r="V41" s="35"/>
      <c r="W41" s="35"/>
      <c r="X41" s="35"/>
      <c r="Y41" s="35"/>
      <c r="Z41" s="35"/>
    </row>
    <row r="42" ht="15.75" customHeight="1">
      <c r="A42" s="35"/>
      <c r="B42" s="35"/>
      <c r="C42" s="35"/>
      <c r="D42" s="35"/>
      <c r="E42" s="35"/>
      <c r="F42" s="35"/>
      <c r="G42" s="35"/>
      <c r="H42" s="35"/>
      <c r="I42" s="35"/>
      <c r="J42" s="35"/>
      <c r="K42" s="35"/>
      <c r="L42" s="35"/>
      <c r="M42" s="35"/>
      <c r="N42" s="35"/>
      <c r="O42" s="35"/>
      <c r="P42" s="35"/>
      <c r="Q42" s="35"/>
      <c r="R42" s="35"/>
      <c r="S42" s="35"/>
      <c r="T42" s="35"/>
      <c r="U42" s="35"/>
      <c r="V42" s="35"/>
      <c r="W42" s="35"/>
      <c r="X42" s="35"/>
      <c r="Y42" s="35"/>
      <c r="Z42" s="35"/>
    </row>
    <row r="43" ht="15.75" customHeight="1">
      <c r="A43" s="35"/>
      <c r="B43" s="35"/>
      <c r="C43" s="35"/>
      <c r="D43" s="35"/>
      <c r="E43" s="35"/>
      <c r="F43" s="35"/>
      <c r="G43" s="35"/>
      <c r="H43" s="35"/>
      <c r="I43" s="35"/>
      <c r="J43" s="35"/>
      <c r="K43" s="35"/>
      <c r="L43" s="35"/>
      <c r="M43" s="35"/>
      <c r="N43" s="35"/>
      <c r="O43" s="35"/>
      <c r="P43" s="35"/>
      <c r="Q43" s="35"/>
      <c r="R43" s="35"/>
      <c r="S43" s="35"/>
      <c r="T43" s="35"/>
      <c r="U43" s="35"/>
      <c r="V43" s="35"/>
      <c r="W43" s="35"/>
      <c r="X43" s="35"/>
      <c r="Y43" s="35"/>
      <c r="Z43" s="35"/>
    </row>
    <row r="44" ht="15.75" customHeight="1">
      <c r="A44" s="35"/>
      <c r="B44" s="35"/>
      <c r="C44" s="35"/>
      <c r="D44" s="35"/>
      <c r="E44" s="35"/>
      <c r="F44" s="35"/>
      <c r="G44" s="35"/>
      <c r="H44" s="35"/>
      <c r="I44" s="35"/>
      <c r="J44" s="35"/>
      <c r="K44" s="35"/>
      <c r="L44" s="35"/>
      <c r="M44" s="35"/>
      <c r="N44" s="35"/>
      <c r="O44" s="35"/>
      <c r="P44" s="35"/>
      <c r="Q44" s="35"/>
      <c r="R44" s="35"/>
      <c r="S44" s="35"/>
      <c r="T44" s="35"/>
      <c r="U44" s="35"/>
      <c r="V44" s="35"/>
      <c r="W44" s="35"/>
      <c r="X44" s="35"/>
      <c r="Y44" s="35"/>
      <c r="Z44" s="35"/>
    </row>
    <row r="45" ht="15.75" customHeight="1">
      <c r="A45" s="35"/>
      <c r="B45" s="35"/>
      <c r="C45" s="35"/>
      <c r="D45" s="35"/>
      <c r="E45" s="35"/>
      <c r="F45" s="35"/>
      <c r="G45" s="35"/>
      <c r="H45" s="35"/>
      <c r="I45" s="35"/>
      <c r="J45" s="35"/>
      <c r="K45" s="35"/>
      <c r="L45" s="35"/>
      <c r="M45" s="35"/>
      <c r="N45" s="35"/>
      <c r="O45" s="35"/>
      <c r="P45" s="35"/>
      <c r="Q45" s="35"/>
      <c r="R45" s="35"/>
      <c r="S45" s="35"/>
      <c r="T45" s="35"/>
      <c r="U45" s="35"/>
      <c r="V45" s="35"/>
      <c r="W45" s="35"/>
      <c r="X45" s="35"/>
      <c r="Y45" s="35"/>
      <c r="Z45" s="35"/>
    </row>
    <row r="46" ht="15.75" customHeight="1">
      <c r="A46" s="35"/>
      <c r="B46" s="35"/>
      <c r="C46" s="35"/>
      <c r="D46" s="35"/>
      <c r="E46" s="35"/>
      <c r="F46" s="35"/>
      <c r="G46" s="35"/>
      <c r="H46" s="35"/>
      <c r="I46" s="35"/>
      <c r="J46" s="35"/>
      <c r="K46" s="35"/>
      <c r="L46" s="35"/>
      <c r="M46" s="35"/>
      <c r="N46" s="35"/>
      <c r="O46" s="35"/>
      <c r="P46" s="35"/>
      <c r="Q46" s="35"/>
      <c r="R46" s="35"/>
      <c r="S46" s="35"/>
      <c r="T46" s="35"/>
      <c r="U46" s="35"/>
      <c r="V46" s="35"/>
      <c r="W46" s="35"/>
      <c r="X46" s="35"/>
      <c r="Y46" s="35"/>
      <c r="Z46" s="35"/>
    </row>
    <row r="47" ht="15.75" customHeight="1">
      <c r="A47" s="35"/>
      <c r="B47" s="35"/>
      <c r="C47" s="35"/>
      <c r="D47" s="35"/>
      <c r="E47" s="35"/>
      <c r="F47" s="35"/>
      <c r="G47" s="35"/>
      <c r="H47" s="35"/>
      <c r="I47" s="35"/>
      <c r="J47" s="35"/>
      <c r="K47" s="35"/>
      <c r="L47" s="35"/>
      <c r="M47" s="35"/>
      <c r="N47" s="35"/>
      <c r="O47" s="35"/>
      <c r="P47" s="35"/>
      <c r="Q47" s="35"/>
      <c r="R47" s="35"/>
      <c r="S47" s="35"/>
      <c r="T47" s="35"/>
      <c r="U47" s="35"/>
      <c r="V47" s="35"/>
      <c r="W47" s="35"/>
      <c r="X47" s="35"/>
      <c r="Y47" s="35"/>
      <c r="Z47" s="35"/>
    </row>
    <row r="48" ht="15.75" customHeight="1">
      <c r="A48" s="35"/>
      <c r="B48" s="35"/>
      <c r="C48" s="35"/>
      <c r="D48" s="35"/>
      <c r="E48" s="35"/>
      <c r="F48" s="35"/>
      <c r="G48" s="35"/>
      <c r="H48" s="35"/>
      <c r="I48" s="35"/>
      <c r="J48" s="35"/>
      <c r="K48" s="35"/>
      <c r="L48" s="35"/>
      <c r="M48" s="35"/>
      <c r="N48" s="35"/>
      <c r="O48" s="35"/>
      <c r="P48" s="35"/>
      <c r="Q48" s="35"/>
      <c r="R48" s="35"/>
      <c r="S48" s="35"/>
      <c r="T48" s="35"/>
      <c r="U48" s="35"/>
      <c r="V48" s="35"/>
      <c r="W48" s="35"/>
      <c r="X48" s="35"/>
      <c r="Y48" s="35"/>
      <c r="Z48" s="35"/>
    </row>
    <row r="49" ht="15.75" customHeight="1">
      <c r="A49" s="35"/>
      <c r="B49" s="35"/>
      <c r="C49" s="35"/>
      <c r="D49" s="35"/>
      <c r="E49" s="35"/>
      <c r="F49" s="35"/>
      <c r="G49" s="35"/>
      <c r="H49" s="35"/>
      <c r="I49" s="35"/>
      <c r="J49" s="35"/>
      <c r="K49" s="35"/>
      <c r="L49" s="35"/>
      <c r="M49" s="35"/>
      <c r="N49" s="35"/>
      <c r="O49" s="35"/>
      <c r="P49" s="35"/>
      <c r="Q49" s="35"/>
      <c r="R49" s="35"/>
      <c r="S49" s="35"/>
      <c r="T49" s="35"/>
      <c r="U49" s="35"/>
      <c r="V49" s="35"/>
      <c r="W49" s="35"/>
      <c r="X49" s="35"/>
      <c r="Y49" s="35"/>
      <c r="Z49" s="35"/>
    </row>
    <row r="50" ht="15.75" customHeight="1">
      <c r="A50" s="35"/>
      <c r="B50" s="35"/>
      <c r="C50" s="35"/>
      <c r="D50" s="35"/>
      <c r="E50" s="35"/>
      <c r="F50" s="35"/>
      <c r="G50" s="35"/>
      <c r="H50" s="35"/>
      <c r="I50" s="35"/>
      <c r="J50" s="35"/>
      <c r="K50" s="35"/>
      <c r="L50" s="35"/>
      <c r="M50" s="35"/>
      <c r="N50" s="35"/>
      <c r="O50" s="35"/>
      <c r="P50" s="35"/>
      <c r="Q50" s="35"/>
      <c r="R50" s="35"/>
      <c r="S50" s="35"/>
      <c r="T50" s="35"/>
      <c r="U50" s="35"/>
      <c r="V50" s="35"/>
      <c r="W50" s="35"/>
      <c r="X50" s="35"/>
      <c r="Y50" s="35"/>
      <c r="Z50" s="35"/>
    </row>
    <row r="51" ht="15.75" customHeight="1">
      <c r="A51" s="35"/>
      <c r="B51" s="35"/>
      <c r="C51" s="35"/>
      <c r="D51" s="35"/>
      <c r="E51" s="35"/>
      <c r="F51" s="35"/>
      <c r="G51" s="35"/>
      <c r="H51" s="35"/>
      <c r="I51" s="35"/>
      <c r="J51" s="35"/>
      <c r="K51" s="35"/>
      <c r="L51" s="35"/>
      <c r="M51" s="35"/>
      <c r="N51" s="35"/>
      <c r="O51" s="35"/>
      <c r="P51" s="35"/>
      <c r="Q51" s="35"/>
      <c r="R51" s="35"/>
      <c r="S51" s="35"/>
      <c r="T51" s="35"/>
      <c r="U51" s="35"/>
      <c r="V51" s="35"/>
      <c r="W51" s="35"/>
      <c r="X51" s="35"/>
      <c r="Y51" s="35"/>
      <c r="Z51" s="35"/>
    </row>
    <row r="52" ht="15.75" customHeight="1">
      <c r="A52" s="35"/>
      <c r="B52" s="35"/>
      <c r="C52" s="35"/>
      <c r="D52" s="35"/>
      <c r="E52" s="35"/>
      <c r="F52" s="35"/>
      <c r="G52" s="35"/>
      <c r="H52" s="35"/>
      <c r="I52" s="35"/>
      <c r="J52" s="35"/>
      <c r="K52" s="35"/>
      <c r="L52" s="35"/>
      <c r="M52" s="35"/>
      <c r="N52" s="35"/>
      <c r="O52" s="35"/>
      <c r="P52" s="35"/>
      <c r="Q52" s="35"/>
      <c r="R52" s="35"/>
      <c r="S52" s="35"/>
      <c r="T52" s="35"/>
      <c r="U52" s="35"/>
      <c r="V52" s="35"/>
      <c r="W52" s="35"/>
      <c r="X52" s="35"/>
      <c r="Y52" s="35"/>
      <c r="Z52" s="35"/>
    </row>
    <row r="53" ht="15.75" customHeight="1">
      <c r="A53" s="35"/>
      <c r="B53" s="35"/>
      <c r="C53" s="35"/>
      <c r="D53" s="35"/>
      <c r="E53" s="35"/>
      <c r="F53" s="35"/>
      <c r="G53" s="35"/>
      <c r="H53" s="35"/>
      <c r="I53" s="35"/>
      <c r="J53" s="35"/>
      <c r="K53" s="35"/>
      <c r="L53" s="35"/>
      <c r="M53" s="35"/>
      <c r="N53" s="35"/>
      <c r="O53" s="35"/>
      <c r="P53" s="35"/>
      <c r="Q53" s="35"/>
      <c r="R53" s="35"/>
      <c r="S53" s="35"/>
      <c r="T53" s="35"/>
      <c r="U53" s="35"/>
      <c r="V53" s="35"/>
      <c r="W53" s="35"/>
      <c r="X53" s="35"/>
      <c r="Y53" s="35"/>
      <c r="Z53" s="35"/>
    </row>
    <row r="54" ht="15.75" customHeight="1">
      <c r="A54" s="35"/>
      <c r="B54" s="35"/>
      <c r="C54" s="35"/>
      <c r="D54" s="35"/>
      <c r="E54" s="35"/>
      <c r="F54" s="35"/>
      <c r="G54" s="35"/>
      <c r="H54" s="35"/>
      <c r="I54" s="35"/>
      <c r="J54" s="35"/>
      <c r="K54" s="35"/>
      <c r="L54" s="35"/>
      <c r="M54" s="35"/>
      <c r="N54" s="35"/>
      <c r="O54" s="35"/>
      <c r="P54" s="35"/>
      <c r="Q54" s="35"/>
      <c r="R54" s="35"/>
      <c r="S54" s="35"/>
      <c r="T54" s="35"/>
      <c r="U54" s="35"/>
      <c r="V54" s="35"/>
      <c r="W54" s="35"/>
      <c r="X54" s="35"/>
      <c r="Y54" s="35"/>
      <c r="Z54" s="35"/>
    </row>
    <row r="55" ht="15.75" customHeight="1">
      <c r="A55" s="35"/>
      <c r="B55" s="35"/>
      <c r="C55" s="35"/>
      <c r="D55" s="35"/>
      <c r="E55" s="35"/>
      <c r="F55" s="35"/>
      <c r="G55" s="35"/>
      <c r="H55" s="35"/>
      <c r="I55" s="35"/>
      <c r="J55" s="35"/>
      <c r="K55" s="35"/>
      <c r="L55" s="35"/>
      <c r="M55" s="35"/>
      <c r="N55" s="35"/>
      <c r="O55" s="35"/>
      <c r="P55" s="35"/>
      <c r="Q55" s="35"/>
      <c r="R55" s="35"/>
      <c r="S55" s="35"/>
      <c r="T55" s="35"/>
      <c r="U55" s="35"/>
      <c r="V55" s="35"/>
      <c r="W55" s="35"/>
      <c r="X55" s="35"/>
      <c r="Y55" s="35"/>
      <c r="Z55" s="35"/>
    </row>
    <row r="56" ht="15.75" customHeight="1">
      <c r="A56" s="35"/>
      <c r="B56" s="35"/>
      <c r="C56" s="35"/>
      <c r="D56" s="35"/>
      <c r="E56" s="35"/>
      <c r="F56" s="35"/>
      <c r="G56" s="35"/>
      <c r="H56" s="35"/>
      <c r="I56" s="35"/>
      <c r="J56" s="35"/>
      <c r="K56" s="35"/>
      <c r="L56" s="35"/>
      <c r="M56" s="35"/>
      <c r="N56" s="35"/>
      <c r="O56" s="35"/>
      <c r="P56" s="35"/>
      <c r="Q56" s="35"/>
      <c r="R56" s="35"/>
      <c r="S56" s="35"/>
      <c r="T56" s="35"/>
      <c r="U56" s="35"/>
      <c r="V56" s="35"/>
      <c r="W56" s="35"/>
      <c r="X56" s="35"/>
      <c r="Y56" s="35"/>
      <c r="Z56" s="35"/>
    </row>
    <row r="57" ht="15.75" customHeight="1">
      <c r="A57" s="35"/>
      <c r="B57" s="35"/>
      <c r="C57" s="35"/>
      <c r="D57" s="35"/>
      <c r="E57" s="35"/>
      <c r="F57" s="35"/>
      <c r="G57" s="35"/>
      <c r="H57" s="35"/>
      <c r="I57" s="35"/>
      <c r="J57" s="35"/>
      <c r="K57" s="35"/>
      <c r="L57" s="35"/>
      <c r="M57" s="35"/>
      <c r="N57" s="35"/>
      <c r="O57" s="35"/>
      <c r="P57" s="35"/>
      <c r="Q57" s="35"/>
      <c r="R57" s="35"/>
      <c r="S57" s="35"/>
      <c r="T57" s="35"/>
      <c r="U57" s="35"/>
      <c r="V57" s="35"/>
      <c r="W57" s="35"/>
      <c r="X57" s="35"/>
      <c r="Y57" s="35"/>
      <c r="Z57" s="35"/>
    </row>
    <row r="58" ht="15.75" customHeight="1">
      <c r="A58" s="35"/>
      <c r="B58" s="35"/>
      <c r="C58" s="35"/>
      <c r="D58" s="35"/>
      <c r="E58" s="35"/>
      <c r="F58" s="35"/>
      <c r="G58" s="35"/>
      <c r="H58" s="35"/>
      <c r="I58" s="35"/>
      <c r="J58" s="35"/>
      <c r="K58" s="35"/>
      <c r="L58" s="35"/>
      <c r="M58" s="35"/>
      <c r="N58" s="35"/>
      <c r="O58" s="35"/>
      <c r="P58" s="35"/>
      <c r="Q58" s="35"/>
      <c r="R58" s="35"/>
      <c r="S58" s="35"/>
      <c r="T58" s="35"/>
      <c r="U58" s="35"/>
      <c r="V58" s="35"/>
      <c r="W58" s="35"/>
      <c r="X58" s="35"/>
      <c r="Y58" s="35"/>
      <c r="Z58" s="35"/>
    </row>
    <row r="59" ht="15.75" customHeight="1">
      <c r="A59" s="35"/>
      <c r="B59" s="35"/>
      <c r="C59" s="35"/>
      <c r="D59" s="35"/>
      <c r="E59" s="35"/>
      <c r="F59" s="35"/>
      <c r="G59" s="35"/>
      <c r="H59" s="35"/>
      <c r="I59" s="35"/>
      <c r="J59" s="35"/>
      <c r="K59" s="35"/>
      <c r="L59" s="35"/>
      <c r="M59" s="35"/>
      <c r="N59" s="35"/>
      <c r="O59" s="35"/>
      <c r="P59" s="35"/>
      <c r="Q59" s="35"/>
      <c r="R59" s="35"/>
      <c r="S59" s="35"/>
      <c r="T59" s="35"/>
      <c r="U59" s="35"/>
      <c r="V59" s="35"/>
      <c r="W59" s="35"/>
      <c r="X59" s="35"/>
      <c r="Y59" s="35"/>
      <c r="Z59" s="35"/>
    </row>
    <row r="60" ht="15.75" customHeight="1">
      <c r="A60" s="35"/>
      <c r="B60" s="35"/>
      <c r="C60" s="35"/>
      <c r="D60" s="35"/>
      <c r="E60" s="35"/>
      <c r="F60" s="35"/>
      <c r="G60" s="35"/>
      <c r="H60" s="35"/>
      <c r="I60" s="35"/>
      <c r="J60" s="35"/>
      <c r="K60" s="35"/>
      <c r="L60" s="35"/>
      <c r="M60" s="35"/>
      <c r="N60" s="35"/>
      <c r="O60" s="35"/>
      <c r="P60" s="35"/>
      <c r="Q60" s="35"/>
      <c r="R60" s="35"/>
      <c r="S60" s="35"/>
      <c r="T60" s="35"/>
      <c r="U60" s="35"/>
      <c r="V60" s="35"/>
      <c r="W60" s="35"/>
      <c r="X60" s="35"/>
      <c r="Y60" s="35"/>
      <c r="Z60" s="35"/>
    </row>
    <row r="61" ht="15.75" customHeight="1">
      <c r="A61" s="35"/>
      <c r="B61" s="35"/>
      <c r="C61" s="35"/>
      <c r="D61" s="35"/>
      <c r="E61" s="35"/>
      <c r="F61" s="35"/>
      <c r="G61" s="35"/>
      <c r="H61" s="35"/>
      <c r="I61" s="35"/>
      <c r="J61" s="35"/>
      <c r="K61" s="35"/>
      <c r="L61" s="35"/>
      <c r="M61" s="35"/>
      <c r="N61" s="35"/>
      <c r="O61" s="35"/>
      <c r="P61" s="35"/>
      <c r="Q61" s="35"/>
      <c r="R61" s="35"/>
      <c r="S61" s="35"/>
      <c r="T61" s="35"/>
      <c r="U61" s="35"/>
      <c r="V61" s="35"/>
      <c r="W61" s="35"/>
      <c r="X61" s="35"/>
      <c r="Y61" s="35"/>
      <c r="Z61" s="35"/>
    </row>
    <row r="62" ht="15.75" customHeight="1">
      <c r="A62" s="35"/>
      <c r="B62" s="35"/>
      <c r="C62" s="35"/>
      <c r="D62" s="35"/>
      <c r="E62" s="35"/>
      <c r="F62" s="35"/>
      <c r="G62" s="35"/>
      <c r="H62" s="35"/>
      <c r="I62" s="35"/>
      <c r="J62" s="35"/>
      <c r="K62" s="35"/>
      <c r="L62" s="35"/>
      <c r="M62" s="35"/>
      <c r="N62" s="35"/>
      <c r="O62" s="35"/>
      <c r="P62" s="35"/>
      <c r="Q62" s="35"/>
      <c r="R62" s="35"/>
      <c r="S62" s="35"/>
      <c r="T62" s="35"/>
      <c r="U62" s="35"/>
      <c r="V62" s="35"/>
      <c r="W62" s="35"/>
      <c r="X62" s="35"/>
      <c r="Y62" s="35"/>
      <c r="Z62" s="35"/>
    </row>
    <row r="63" ht="15.75" customHeight="1">
      <c r="A63" s="35"/>
      <c r="B63" s="35"/>
      <c r="C63" s="35"/>
      <c r="D63" s="35"/>
      <c r="E63" s="35"/>
      <c r="F63" s="35"/>
      <c r="G63" s="35"/>
      <c r="H63" s="35"/>
      <c r="I63" s="35"/>
      <c r="J63" s="35"/>
      <c r="K63" s="35"/>
      <c r="L63" s="35"/>
      <c r="M63" s="35"/>
      <c r="N63" s="35"/>
      <c r="O63" s="35"/>
      <c r="P63" s="35"/>
      <c r="Q63" s="35"/>
      <c r="R63" s="35"/>
      <c r="S63" s="35"/>
      <c r="T63" s="35"/>
      <c r="U63" s="35"/>
      <c r="V63" s="35"/>
      <c r="W63" s="35"/>
      <c r="X63" s="35"/>
      <c r="Y63" s="35"/>
      <c r="Z63" s="35"/>
    </row>
    <row r="64" ht="15.75" customHeight="1">
      <c r="A64" s="35"/>
      <c r="B64" s="35"/>
      <c r="C64" s="35"/>
      <c r="D64" s="35"/>
      <c r="E64" s="35"/>
      <c r="F64" s="35"/>
      <c r="G64" s="35"/>
      <c r="H64" s="35"/>
      <c r="I64" s="35"/>
      <c r="J64" s="35"/>
      <c r="K64" s="35"/>
      <c r="L64" s="35"/>
      <c r="M64" s="35"/>
      <c r="N64" s="35"/>
      <c r="O64" s="35"/>
      <c r="P64" s="35"/>
      <c r="Q64" s="35"/>
      <c r="R64" s="35"/>
      <c r="S64" s="35"/>
      <c r="T64" s="35"/>
      <c r="U64" s="35"/>
      <c r="V64" s="35"/>
      <c r="W64" s="35"/>
      <c r="X64" s="35"/>
      <c r="Y64" s="35"/>
      <c r="Z64" s="35"/>
    </row>
    <row r="65" ht="15.75" customHeight="1">
      <c r="A65" s="35"/>
      <c r="B65" s="35"/>
      <c r="C65" s="35"/>
      <c r="D65" s="35"/>
      <c r="E65" s="35"/>
      <c r="F65" s="35"/>
      <c r="G65" s="35"/>
      <c r="H65" s="35"/>
      <c r="I65" s="35"/>
      <c r="J65" s="35"/>
      <c r="K65" s="35"/>
      <c r="L65" s="35"/>
      <c r="M65" s="35"/>
      <c r="N65" s="35"/>
      <c r="O65" s="35"/>
      <c r="P65" s="35"/>
      <c r="Q65" s="35"/>
      <c r="R65" s="35"/>
      <c r="S65" s="35"/>
      <c r="T65" s="35"/>
      <c r="U65" s="35"/>
      <c r="V65" s="35"/>
      <c r="W65" s="35"/>
      <c r="X65" s="35"/>
      <c r="Y65" s="35"/>
      <c r="Z65" s="35"/>
    </row>
    <row r="66" ht="15.75" customHeight="1">
      <c r="A66" s="35"/>
      <c r="B66" s="35"/>
      <c r="C66" s="35"/>
      <c r="D66" s="35"/>
      <c r="E66" s="35"/>
      <c r="F66" s="35"/>
      <c r="G66" s="35"/>
      <c r="H66" s="35"/>
      <c r="I66" s="35"/>
      <c r="J66" s="35"/>
      <c r="K66" s="35"/>
      <c r="L66" s="35"/>
      <c r="M66" s="35"/>
      <c r="N66" s="35"/>
      <c r="O66" s="35"/>
      <c r="P66" s="35"/>
      <c r="Q66" s="35"/>
      <c r="R66" s="35"/>
      <c r="S66" s="35"/>
      <c r="T66" s="35"/>
      <c r="U66" s="35"/>
      <c r="V66" s="35"/>
      <c r="W66" s="35"/>
      <c r="X66" s="35"/>
      <c r="Y66" s="35"/>
      <c r="Z66" s="35"/>
    </row>
    <row r="67" ht="15.75" customHeight="1">
      <c r="A67" s="35"/>
      <c r="B67" s="35"/>
      <c r="C67" s="35"/>
      <c r="D67" s="35"/>
      <c r="E67" s="35"/>
      <c r="F67" s="35"/>
      <c r="G67" s="35"/>
      <c r="H67" s="35"/>
      <c r="I67" s="35"/>
      <c r="J67" s="35"/>
      <c r="K67" s="35"/>
      <c r="L67" s="35"/>
      <c r="M67" s="35"/>
      <c r="N67" s="35"/>
      <c r="O67" s="35"/>
      <c r="P67" s="35"/>
      <c r="Q67" s="35"/>
      <c r="R67" s="35"/>
      <c r="S67" s="35"/>
      <c r="T67" s="35"/>
      <c r="U67" s="35"/>
      <c r="V67" s="35"/>
      <c r="W67" s="35"/>
      <c r="X67" s="35"/>
      <c r="Y67" s="35"/>
      <c r="Z67" s="35"/>
    </row>
    <row r="68" ht="15.75" customHeight="1">
      <c r="A68" s="35"/>
      <c r="B68" s="35"/>
      <c r="C68" s="35"/>
      <c r="D68" s="35"/>
      <c r="E68" s="35"/>
      <c r="F68" s="35"/>
      <c r="G68" s="35"/>
      <c r="H68" s="35"/>
      <c r="I68" s="35"/>
      <c r="J68" s="35"/>
      <c r="K68" s="35"/>
      <c r="L68" s="35"/>
      <c r="M68" s="35"/>
      <c r="N68" s="35"/>
      <c r="O68" s="35"/>
      <c r="P68" s="35"/>
      <c r="Q68" s="35"/>
      <c r="R68" s="35"/>
      <c r="S68" s="35"/>
      <c r="T68" s="35"/>
      <c r="U68" s="35"/>
      <c r="V68" s="35"/>
      <c r="W68" s="35"/>
      <c r="X68" s="35"/>
      <c r="Y68" s="35"/>
      <c r="Z68" s="35"/>
    </row>
    <row r="69" ht="15.75" customHeight="1">
      <c r="A69" s="35"/>
      <c r="B69" s="35"/>
      <c r="C69" s="35"/>
      <c r="D69" s="35"/>
      <c r="E69" s="35"/>
      <c r="F69" s="35"/>
      <c r="G69" s="35"/>
      <c r="H69" s="35"/>
      <c r="I69" s="35"/>
      <c r="J69" s="35"/>
      <c r="K69" s="35"/>
      <c r="L69" s="35"/>
      <c r="M69" s="35"/>
      <c r="N69" s="35"/>
      <c r="O69" s="35"/>
      <c r="P69" s="35"/>
      <c r="Q69" s="35"/>
      <c r="R69" s="35"/>
      <c r="S69" s="35"/>
      <c r="T69" s="35"/>
      <c r="U69" s="35"/>
      <c r="V69" s="35"/>
      <c r="W69" s="35"/>
      <c r="X69" s="35"/>
      <c r="Y69" s="35"/>
      <c r="Z69" s="35"/>
    </row>
    <row r="70" ht="15.75" customHeight="1">
      <c r="A70" s="35"/>
      <c r="B70" s="35"/>
      <c r="C70" s="35"/>
      <c r="D70" s="35"/>
      <c r="E70" s="35"/>
      <c r="F70" s="35"/>
      <c r="G70" s="35"/>
      <c r="H70" s="35"/>
      <c r="I70" s="35"/>
      <c r="J70" s="35"/>
      <c r="K70" s="35"/>
      <c r="L70" s="35"/>
      <c r="M70" s="35"/>
      <c r="N70" s="35"/>
      <c r="O70" s="35"/>
      <c r="P70" s="35"/>
      <c r="Q70" s="35"/>
      <c r="R70" s="35"/>
      <c r="S70" s="35"/>
      <c r="T70" s="35"/>
      <c r="U70" s="35"/>
      <c r="V70" s="35"/>
      <c r="W70" s="35"/>
      <c r="X70" s="35"/>
      <c r="Y70" s="35"/>
      <c r="Z70" s="35"/>
    </row>
    <row r="71" ht="15.75" customHeight="1">
      <c r="A71" s="35"/>
      <c r="B71" s="35"/>
      <c r="C71" s="35"/>
      <c r="D71" s="35"/>
      <c r="E71" s="35"/>
      <c r="F71" s="35"/>
      <c r="G71" s="35"/>
      <c r="H71" s="35"/>
      <c r="I71" s="35"/>
      <c r="J71" s="35"/>
      <c r="K71" s="35"/>
      <c r="L71" s="35"/>
      <c r="M71" s="35"/>
      <c r="N71" s="35"/>
      <c r="O71" s="35"/>
      <c r="P71" s="35"/>
      <c r="Q71" s="35"/>
      <c r="R71" s="35"/>
      <c r="S71" s="35"/>
      <c r="T71" s="35"/>
      <c r="U71" s="35"/>
      <c r="V71" s="35"/>
      <c r="W71" s="35"/>
      <c r="X71" s="35"/>
      <c r="Y71" s="35"/>
      <c r="Z71" s="35"/>
    </row>
    <row r="72" ht="15.75" customHeight="1">
      <c r="A72" s="35"/>
      <c r="B72" s="35"/>
      <c r="C72" s="35"/>
      <c r="D72" s="35"/>
      <c r="E72" s="35"/>
      <c r="F72" s="35"/>
      <c r="G72" s="35"/>
      <c r="H72" s="35"/>
      <c r="I72" s="35"/>
      <c r="J72" s="35"/>
      <c r="K72" s="35"/>
      <c r="L72" s="35"/>
      <c r="M72" s="35"/>
      <c r="N72" s="35"/>
      <c r="O72" s="35"/>
      <c r="P72" s="35"/>
      <c r="Q72" s="35"/>
      <c r="R72" s="35"/>
      <c r="S72" s="35"/>
      <c r="T72" s="35"/>
      <c r="U72" s="35"/>
      <c r="V72" s="35"/>
      <c r="W72" s="35"/>
      <c r="X72" s="35"/>
      <c r="Y72" s="35"/>
      <c r="Z72" s="35"/>
    </row>
    <row r="73" ht="15.75" customHeight="1">
      <c r="A73" s="35"/>
      <c r="B73" s="35"/>
      <c r="C73" s="35"/>
      <c r="D73" s="35"/>
      <c r="E73" s="35"/>
      <c r="F73" s="35"/>
      <c r="G73" s="35"/>
      <c r="H73" s="35"/>
      <c r="I73" s="35"/>
      <c r="J73" s="35"/>
      <c r="K73" s="35"/>
      <c r="L73" s="35"/>
      <c r="M73" s="35"/>
      <c r="N73" s="35"/>
      <c r="O73" s="35"/>
      <c r="P73" s="35"/>
      <c r="Q73" s="35"/>
      <c r="R73" s="35"/>
      <c r="S73" s="35"/>
      <c r="T73" s="35"/>
      <c r="U73" s="35"/>
      <c r="V73" s="35"/>
      <c r="W73" s="35"/>
      <c r="X73" s="35"/>
      <c r="Y73" s="35"/>
      <c r="Z73" s="35"/>
    </row>
    <row r="74" ht="15.75" customHeight="1">
      <c r="A74" s="35"/>
      <c r="B74" s="35"/>
      <c r="C74" s="35"/>
      <c r="D74" s="35"/>
      <c r="E74" s="35"/>
      <c r="F74" s="35"/>
      <c r="G74" s="35"/>
      <c r="H74" s="35"/>
      <c r="I74" s="35"/>
      <c r="J74" s="35"/>
      <c r="K74" s="35"/>
      <c r="L74" s="35"/>
      <c r="M74" s="35"/>
      <c r="N74" s="35"/>
      <c r="O74" s="35"/>
      <c r="P74" s="35"/>
      <c r="Q74" s="35"/>
      <c r="R74" s="35"/>
      <c r="S74" s="35"/>
      <c r="T74" s="35"/>
      <c r="U74" s="35"/>
      <c r="V74" s="35"/>
      <c r="W74" s="35"/>
      <c r="X74" s="35"/>
      <c r="Y74" s="35"/>
      <c r="Z74" s="35"/>
    </row>
    <row r="75" ht="15.75" customHeight="1">
      <c r="A75" s="35"/>
      <c r="B75" s="35"/>
      <c r="C75" s="35"/>
      <c r="D75" s="35"/>
      <c r="E75" s="35"/>
      <c r="F75" s="35"/>
      <c r="G75" s="35"/>
      <c r="H75" s="35"/>
      <c r="I75" s="35"/>
      <c r="J75" s="35"/>
      <c r="K75" s="35"/>
      <c r="L75" s="35"/>
      <c r="M75" s="35"/>
      <c r="N75" s="35"/>
      <c r="O75" s="35"/>
      <c r="P75" s="35"/>
      <c r="Q75" s="35"/>
      <c r="R75" s="35"/>
      <c r="S75" s="35"/>
      <c r="T75" s="35"/>
      <c r="U75" s="35"/>
      <c r="V75" s="35"/>
      <c r="W75" s="35"/>
      <c r="X75" s="35"/>
      <c r="Y75" s="35"/>
      <c r="Z75" s="35"/>
    </row>
    <row r="76" ht="15.75" customHeight="1">
      <c r="A76" s="35"/>
      <c r="B76" s="35"/>
      <c r="C76" s="35"/>
      <c r="D76" s="35"/>
      <c r="E76" s="35"/>
      <c r="F76" s="35"/>
      <c r="G76" s="35"/>
      <c r="H76" s="35"/>
      <c r="I76" s="35"/>
      <c r="J76" s="35"/>
      <c r="K76" s="35"/>
      <c r="L76" s="35"/>
      <c r="M76" s="35"/>
      <c r="N76" s="35"/>
      <c r="O76" s="35"/>
      <c r="P76" s="35"/>
      <c r="Q76" s="35"/>
      <c r="R76" s="35"/>
      <c r="S76" s="35"/>
      <c r="T76" s="35"/>
      <c r="U76" s="35"/>
      <c r="V76" s="35"/>
      <c r="W76" s="35"/>
      <c r="X76" s="35"/>
      <c r="Y76" s="35"/>
      <c r="Z76" s="35"/>
    </row>
    <row r="77" ht="15.75" customHeight="1">
      <c r="A77" s="35"/>
      <c r="B77" s="35"/>
      <c r="C77" s="35"/>
      <c r="D77" s="35"/>
      <c r="E77" s="35"/>
      <c r="F77" s="35"/>
      <c r="G77" s="35"/>
      <c r="H77" s="35"/>
      <c r="I77" s="35"/>
      <c r="J77" s="35"/>
      <c r="K77" s="35"/>
      <c r="L77" s="35"/>
      <c r="M77" s="35"/>
      <c r="N77" s="35"/>
      <c r="O77" s="35"/>
      <c r="P77" s="35"/>
      <c r="Q77" s="35"/>
      <c r="R77" s="35"/>
      <c r="S77" s="35"/>
      <c r="T77" s="35"/>
      <c r="U77" s="35"/>
      <c r="V77" s="35"/>
      <c r="W77" s="35"/>
      <c r="X77" s="35"/>
      <c r="Y77" s="35"/>
      <c r="Z77" s="35"/>
    </row>
    <row r="78" ht="15.75" customHeight="1">
      <c r="A78" s="35"/>
      <c r="B78" s="35"/>
      <c r="C78" s="35"/>
      <c r="D78" s="35"/>
      <c r="E78" s="35"/>
      <c r="F78" s="35"/>
      <c r="G78" s="35"/>
      <c r="H78" s="35"/>
      <c r="I78" s="35"/>
      <c r="J78" s="35"/>
      <c r="K78" s="35"/>
      <c r="L78" s="35"/>
      <c r="M78" s="35"/>
      <c r="N78" s="35"/>
      <c r="O78" s="35"/>
      <c r="P78" s="35"/>
      <c r="Q78" s="35"/>
      <c r="R78" s="35"/>
      <c r="S78" s="35"/>
      <c r="T78" s="35"/>
      <c r="U78" s="35"/>
      <c r="V78" s="35"/>
      <c r="W78" s="35"/>
      <c r="X78" s="35"/>
      <c r="Y78" s="35"/>
      <c r="Z78" s="35"/>
    </row>
    <row r="79" ht="15.75" customHeight="1">
      <c r="A79" s="35"/>
      <c r="B79" s="35"/>
      <c r="C79" s="35"/>
      <c r="D79" s="35"/>
      <c r="E79" s="35"/>
      <c r="F79" s="35"/>
      <c r="G79" s="35"/>
      <c r="H79" s="35"/>
      <c r="I79" s="35"/>
      <c r="J79" s="35"/>
      <c r="K79" s="35"/>
      <c r="L79" s="35"/>
      <c r="M79" s="35"/>
      <c r="N79" s="35"/>
      <c r="O79" s="35"/>
      <c r="P79" s="35"/>
      <c r="Q79" s="35"/>
      <c r="R79" s="35"/>
      <c r="S79" s="35"/>
      <c r="T79" s="35"/>
      <c r="U79" s="35"/>
      <c r="V79" s="35"/>
      <c r="W79" s="35"/>
      <c r="X79" s="35"/>
      <c r="Y79" s="35"/>
      <c r="Z79" s="35"/>
    </row>
    <row r="80" ht="15.75" customHeight="1">
      <c r="A80" s="35"/>
      <c r="B80" s="35"/>
      <c r="C80" s="35"/>
      <c r="D80" s="35"/>
      <c r="E80" s="35"/>
      <c r="F80" s="35"/>
      <c r="G80" s="35"/>
      <c r="H80" s="35"/>
      <c r="I80" s="35"/>
      <c r="J80" s="35"/>
      <c r="K80" s="35"/>
      <c r="L80" s="35"/>
      <c r="M80" s="35"/>
      <c r="N80" s="35"/>
      <c r="O80" s="35"/>
      <c r="P80" s="35"/>
      <c r="Q80" s="35"/>
      <c r="R80" s="35"/>
      <c r="S80" s="35"/>
      <c r="T80" s="35"/>
      <c r="U80" s="35"/>
      <c r="V80" s="35"/>
      <c r="W80" s="35"/>
      <c r="X80" s="35"/>
      <c r="Y80" s="35"/>
      <c r="Z80" s="35"/>
    </row>
    <row r="81" ht="15.75" customHeight="1">
      <c r="A81" s="35"/>
      <c r="B81" s="35"/>
      <c r="C81" s="35"/>
      <c r="D81" s="35"/>
      <c r="E81" s="35"/>
      <c r="F81" s="35"/>
      <c r="G81" s="35"/>
      <c r="H81" s="35"/>
      <c r="I81" s="35"/>
      <c r="J81" s="35"/>
      <c r="K81" s="35"/>
      <c r="L81" s="35"/>
      <c r="M81" s="35"/>
      <c r="N81" s="35"/>
      <c r="O81" s="35"/>
      <c r="P81" s="35"/>
      <c r="Q81" s="35"/>
      <c r="R81" s="35"/>
      <c r="S81" s="35"/>
      <c r="T81" s="35"/>
      <c r="U81" s="35"/>
      <c r="V81" s="35"/>
      <c r="W81" s="35"/>
      <c r="X81" s="35"/>
      <c r="Y81" s="35"/>
      <c r="Z81" s="35"/>
    </row>
    <row r="82" ht="15.75" customHeight="1">
      <c r="A82" s="35"/>
      <c r="B82" s="35"/>
      <c r="C82" s="35"/>
      <c r="D82" s="35"/>
      <c r="E82" s="35"/>
      <c r="F82" s="35"/>
      <c r="G82" s="35"/>
      <c r="H82" s="35"/>
      <c r="I82" s="35"/>
      <c r="J82" s="35"/>
      <c r="K82" s="35"/>
      <c r="L82" s="35"/>
      <c r="M82" s="35"/>
      <c r="N82" s="35"/>
      <c r="O82" s="35"/>
      <c r="P82" s="35"/>
      <c r="Q82" s="35"/>
      <c r="R82" s="35"/>
      <c r="S82" s="35"/>
      <c r="T82" s="35"/>
      <c r="U82" s="35"/>
      <c r="V82" s="35"/>
      <c r="W82" s="35"/>
      <c r="X82" s="35"/>
      <c r="Y82" s="35"/>
      <c r="Z82" s="35"/>
    </row>
    <row r="83" ht="15.75" customHeight="1">
      <c r="A83" s="35"/>
      <c r="B83" s="35"/>
      <c r="C83" s="35"/>
      <c r="D83" s="35"/>
      <c r="E83" s="35"/>
      <c r="F83" s="35"/>
      <c r="G83" s="35"/>
      <c r="H83" s="35"/>
      <c r="I83" s="35"/>
      <c r="J83" s="35"/>
      <c r="K83" s="35"/>
      <c r="L83" s="35"/>
      <c r="M83" s="35"/>
      <c r="N83" s="35"/>
      <c r="O83" s="35"/>
      <c r="P83" s="35"/>
      <c r="Q83" s="35"/>
      <c r="R83" s="35"/>
      <c r="S83" s="35"/>
      <c r="T83" s="35"/>
      <c r="U83" s="35"/>
      <c r="V83" s="35"/>
      <c r="W83" s="35"/>
      <c r="X83" s="35"/>
      <c r="Y83" s="35"/>
      <c r="Z83" s="35"/>
    </row>
    <row r="84" ht="15.75" customHeight="1">
      <c r="A84" s="35"/>
      <c r="B84" s="35"/>
      <c r="C84" s="35"/>
      <c r="D84" s="35"/>
      <c r="E84" s="35"/>
      <c r="F84" s="35"/>
      <c r="G84" s="35"/>
      <c r="H84" s="35"/>
      <c r="I84" s="35"/>
      <c r="J84" s="35"/>
      <c r="K84" s="35"/>
      <c r="L84" s="35"/>
      <c r="M84" s="35"/>
      <c r="N84" s="35"/>
      <c r="O84" s="35"/>
      <c r="P84" s="35"/>
      <c r="Q84" s="35"/>
      <c r="R84" s="35"/>
      <c r="S84" s="35"/>
      <c r="T84" s="35"/>
      <c r="U84" s="35"/>
      <c r="V84" s="35"/>
      <c r="W84" s="35"/>
      <c r="X84" s="35"/>
      <c r="Y84" s="35"/>
      <c r="Z84" s="35"/>
    </row>
    <row r="85" ht="15.75" customHeight="1">
      <c r="A85" s="35"/>
      <c r="B85" s="35"/>
      <c r="C85" s="35"/>
      <c r="D85" s="35"/>
      <c r="E85" s="35"/>
      <c r="F85" s="35"/>
      <c r="G85" s="35"/>
      <c r="H85" s="35"/>
      <c r="I85" s="35"/>
      <c r="J85" s="35"/>
      <c r="K85" s="35"/>
      <c r="L85" s="35"/>
      <c r="M85" s="35"/>
      <c r="N85" s="35"/>
      <c r="O85" s="35"/>
      <c r="P85" s="35"/>
      <c r="Q85" s="35"/>
      <c r="R85" s="35"/>
      <c r="S85" s="35"/>
      <c r="T85" s="35"/>
      <c r="U85" s="35"/>
      <c r="V85" s="35"/>
      <c r="W85" s="35"/>
      <c r="X85" s="35"/>
      <c r="Y85" s="35"/>
      <c r="Z85" s="35"/>
    </row>
    <row r="86" ht="15.75" customHeight="1">
      <c r="A86" s="35"/>
      <c r="B86" s="35"/>
      <c r="C86" s="35"/>
      <c r="D86" s="35"/>
      <c r="E86" s="35"/>
      <c r="F86" s="35"/>
      <c r="G86" s="35"/>
      <c r="H86" s="35"/>
      <c r="I86" s="35"/>
      <c r="J86" s="35"/>
      <c r="K86" s="35"/>
      <c r="L86" s="35"/>
      <c r="M86" s="35"/>
      <c r="N86" s="35"/>
      <c r="O86" s="35"/>
      <c r="P86" s="35"/>
      <c r="Q86" s="35"/>
      <c r="R86" s="35"/>
      <c r="S86" s="35"/>
      <c r="T86" s="35"/>
      <c r="U86" s="35"/>
      <c r="V86" s="35"/>
      <c r="W86" s="35"/>
      <c r="X86" s="35"/>
      <c r="Y86" s="35"/>
      <c r="Z86" s="35"/>
    </row>
    <row r="87" ht="15.75" customHeight="1">
      <c r="A87" s="35"/>
      <c r="B87" s="35"/>
      <c r="C87" s="35"/>
      <c r="D87" s="35"/>
      <c r="E87" s="35"/>
      <c r="F87" s="35"/>
      <c r="G87" s="35"/>
      <c r="H87" s="35"/>
      <c r="I87" s="35"/>
      <c r="J87" s="35"/>
      <c r="K87" s="35"/>
      <c r="L87" s="35"/>
      <c r="M87" s="35"/>
      <c r="N87" s="35"/>
      <c r="O87" s="35"/>
      <c r="P87" s="35"/>
      <c r="Q87" s="35"/>
      <c r="R87" s="35"/>
      <c r="S87" s="35"/>
      <c r="T87" s="35"/>
      <c r="U87" s="35"/>
      <c r="V87" s="35"/>
      <c r="W87" s="35"/>
      <c r="X87" s="35"/>
      <c r="Y87" s="35"/>
      <c r="Z87" s="35"/>
    </row>
    <row r="88" ht="15.75" customHeight="1">
      <c r="A88" s="35"/>
      <c r="B88" s="35"/>
      <c r="C88" s="35"/>
      <c r="D88" s="35"/>
      <c r="E88" s="35"/>
      <c r="F88" s="35"/>
      <c r="G88" s="35"/>
      <c r="H88" s="35"/>
      <c r="I88" s="35"/>
      <c r="J88" s="35"/>
      <c r="K88" s="35"/>
      <c r="L88" s="35"/>
      <c r="M88" s="35"/>
      <c r="N88" s="35"/>
      <c r="O88" s="35"/>
      <c r="P88" s="35"/>
      <c r="Q88" s="35"/>
      <c r="R88" s="35"/>
      <c r="S88" s="35"/>
      <c r="T88" s="35"/>
      <c r="U88" s="35"/>
      <c r="V88" s="35"/>
      <c r="W88" s="35"/>
      <c r="X88" s="35"/>
      <c r="Y88" s="35"/>
      <c r="Z88" s="35"/>
    </row>
    <row r="89" ht="15.75" customHeight="1">
      <c r="A89" s="35"/>
      <c r="B89" s="35"/>
      <c r="C89" s="35"/>
      <c r="D89" s="35"/>
      <c r="E89" s="35"/>
      <c r="F89" s="35"/>
      <c r="G89" s="35"/>
      <c r="H89" s="35"/>
      <c r="I89" s="35"/>
      <c r="J89" s="35"/>
      <c r="K89" s="35"/>
      <c r="L89" s="35"/>
      <c r="M89" s="35"/>
      <c r="N89" s="35"/>
      <c r="O89" s="35"/>
      <c r="P89" s="35"/>
      <c r="Q89" s="35"/>
      <c r="R89" s="35"/>
      <c r="S89" s="35"/>
      <c r="T89" s="35"/>
      <c r="U89" s="35"/>
      <c r="V89" s="35"/>
      <c r="W89" s="35"/>
      <c r="X89" s="35"/>
      <c r="Y89" s="35"/>
      <c r="Z89" s="35"/>
    </row>
    <row r="90" ht="15.75" customHeight="1">
      <c r="A90" s="35"/>
      <c r="B90" s="35"/>
      <c r="C90" s="35"/>
      <c r="D90" s="35"/>
      <c r="E90" s="35"/>
      <c r="F90" s="35"/>
      <c r="G90" s="35"/>
      <c r="H90" s="35"/>
      <c r="I90" s="35"/>
      <c r="J90" s="35"/>
      <c r="K90" s="35"/>
      <c r="L90" s="35"/>
      <c r="M90" s="35"/>
      <c r="N90" s="35"/>
      <c r="O90" s="35"/>
      <c r="P90" s="35"/>
      <c r="Q90" s="35"/>
      <c r="R90" s="35"/>
      <c r="S90" s="35"/>
      <c r="T90" s="35"/>
      <c r="U90" s="35"/>
      <c r="V90" s="35"/>
      <c r="W90" s="35"/>
      <c r="X90" s="35"/>
      <c r="Y90" s="35"/>
      <c r="Z90" s="35"/>
    </row>
    <row r="91" ht="15.75" customHeight="1">
      <c r="A91" s="35"/>
      <c r="B91" s="35"/>
      <c r="C91" s="35"/>
      <c r="D91" s="35"/>
      <c r="E91" s="35"/>
      <c r="F91" s="35"/>
      <c r="G91" s="35"/>
      <c r="H91" s="35"/>
      <c r="I91" s="35"/>
      <c r="J91" s="35"/>
      <c r="K91" s="35"/>
      <c r="L91" s="35"/>
      <c r="M91" s="35"/>
      <c r="N91" s="35"/>
      <c r="O91" s="35"/>
      <c r="P91" s="35"/>
      <c r="Q91" s="35"/>
      <c r="R91" s="35"/>
      <c r="S91" s="35"/>
      <c r="T91" s="35"/>
      <c r="U91" s="35"/>
      <c r="V91" s="35"/>
      <c r="W91" s="35"/>
      <c r="X91" s="35"/>
      <c r="Y91" s="35"/>
      <c r="Z91" s="35"/>
    </row>
    <row r="92" ht="15.75" customHeight="1">
      <c r="A92" s="35"/>
      <c r="B92" s="35"/>
      <c r="C92" s="35"/>
      <c r="D92" s="35"/>
      <c r="E92" s="35"/>
      <c r="F92" s="35"/>
      <c r="G92" s="35"/>
      <c r="H92" s="35"/>
      <c r="I92" s="35"/>
      <c r="J92" s="35"/>
      <c r="K92" s="35"/>
      <c r="L92" s="35"/>
      <c r="M92" s="35"/>
      <c r="N92" s="35"/>
      <c r="O92" s="35"/>
      <c r="P92" s="35"/>
      <c r="Q92" s="35"/>
      <c r="R92" s="35"/>
      <c r="S92" s="35"/>
      <c r="T92" s="35"/>
      <c r="U92" s="35"/>
      <c r="V92" s="35"/>
      <c r="W92" s="35"/>
      <c r="X92" s="35"/>
      <c r="Y92" s="35"/>
      <c r="Z92" s="35"/>
    </row>
    <row r="93" ht="15.75" customHeight="1">
      <c r="A93" s="35"/>
      <c r="B93" s="35"/>
      <c r="C93" s="35"/>
      <c r="D93" s="35"/>
      <c r="E93" s="35"/>
      <c r="F93" s="35"/>
      <c r="G93" s="35"/>
      <c r="H93" s="35"/>
      <c r="I93" s="35"/>
      <c r="J93" s="35"/>
      <c r="K93" s="35"/>
      <c r="L93" s="35"/>
      <c r="M93" s="35"/>
      <c r="N93" s="35"/>
      <c r="O93" s="35"/>
      <c r="P93" s="35"/>
      <c r="Q93" s="35"/>
      <c r="R93" s="35"/>
      <c r="S93" s="35"/>
      <c r="T93" s="35"/>
      <c r="U93" s="35"/>
      <c r="V93" s="35"/>
      <c r="W93" s="35"/>
      <c r="X93" s="35"/>
      <c r="Y93" s="35"/>
      <c r="Z93" s="35"/>
    </row>
    <row r="94" ht="15.75" customHeight="1">
      <c r="A94" s="35"/>
      <c r="B94" s="35"/>
      <c r="C94" s="35"/>
      <c r="D94" s="35"/>
      <c r="E94" s="35"/>
      <c r="F94" s="35"/>
      <c r="G94" s="35"/>
      <c r="H94" s="35"/>
      <c r="I94" s="35"/>
      <c r="J94" s="35"/>
      <c r="K94" s="35"/>
      <c r="L94" s="35"/>
      <c r="M94" s="35"/>
      <c r="N94" s="35"/>
      <c r="O94" s="35"/>
      <c r="P94" s="35"/>
      <c r="Q94" s="35"/>
      <c r="R94" s="35"/>
      <c r="S94" s="35"/>
      <c r="T94" s="35"/>
      <c r="U94" s="35"/>
      <c r="V94" s="35"/>
      <c r="W94" s="35"/>
      <c r="X94" s="35"/>
      <c r="Y94" s="35"/>
      <c r="Z94" s="35"/>
    </row>
    <row r="95" ht="15.75" customHeight="1">
      <c r="A95" s="35"/>
      <c r="B95" s="35"/>
      <c r="C95" s="35"/>
      <c r="D95" s="35"/>
      <c r="E95" s="35"/>
      <c r="F95" s="35"/>
      <c r="G95" s="35"/>
      <c r="H95" s="35"/>
      <c r="I95" s="35"/>
      <c r="J95" s="35"/>
      <c r="K95" s="35"/>
      <c r="L95" s="35"/>
      <c r="M95" s="35"/>
      <c r="N95" s="35"/>
      <c r="O95" s="35"/>
      <c r="P95" s="35"/>
      <c r="Q95" s="35"/>
      <c r="R95" s="35"/>
      <c r="S95" s="35"/>
      <c r="T95" s="35"/>
      <c r="U95" s="35"/>
      <c r="V95" s="35"/>
      <c r="W95" s="35"/>
      <c r="X95" s="35"/>
      <c r="Y95" s="35"/>
      <c r="Z95" s="35"/>
    </row>
    <row r="96" ht="15.75" customHeight="1">
      <c r="A96" s="35"/>
      <c r="B96" s="35"/>
      <c r="C96" s="35"/>
      <c r="D96" s="35"/>
      <c r="E96" s="35"/>
      <c r="F96" s="35"/>
      <c r="G96" s="35"/>
      <c r="H96" s="35"/>
      <c r="I96" s="35"/>
      <c r="J96" s="35"/>
      <c r="K96" s="35"/>
      <c r="L96" s="35"/>
      <c r="M96" s="35"/>
      <c r="N96" s="35"/>
      <c r="O96" s="35"/>
      <c r="P96" s="35"/>
      <c r="Q96" s="35"/>
      <c r="R96" s="35"/>
      <c r="S96" s="35"/>
      <c r="T96" s="35"/>
      <c r="U96" s="35"/>
      <c r="V96" s="35"/>
      <c r="W96" s="35"/>
      <c r="X96" s="35"/>
      <c r="Y96" s="35"/>
      <c r="Z96" s="35"/>
    </row>
    <row r="97" ht="15.75" customHeight="1">
      <c r="A97" s="35"/>
      <c r="B97" s="35"/>
      <c r="C97" s="35"/>
      <c r="D97" s="35"/>
      <c r="E97" s="35"/>
      <c r="F97" s="35"/>
      <c r="G97" s="35"/>
      <c r="H97" s="35"/>
      <c r="I97" s="35"/>
      <c r="J97" s="35"/>
      <c r="K97" s="35"/>
      <c r="L97" s="35"/>
      <c r="M97" s="35"/>
      <c r="N97" s="35"/>
      <c r="O97" s="35"/>
      <c r="P97" s="35"/>
      <c r="Q97" s="35"/>
      <c r="R97" s="35"/>
      <c r="S97" s="35"/>
      <c r="T97" s="35"/>
      <c r="U97" s="35"/>
      <c r="V97" s="35"/>
      <c r="W97" s="35"/>
      <c r="X97" s="35"/>
      <c r="Y97" s="35"/>
      <c r="Z97" s="35"/>
    </row>
    <row r="98" ht="15.75" customHeight="1">
      <c r="A98" s="35"/>
      <c r="B98" s="35"/>
      <c r="C98" s="35"/>
      <c r="D98" s="35"/>
      <c r="E98" s="35"/>
      <c r="F98" s="35"/>
      <c r="G98" s="35"/>
      <c r="H98" s="35"/>
      <c r="I98" s="35"/>
      <c r="J98" s="35"/>
      <c r="K98" s="35"/>
      <c r="L98" s="35"/>
      <c r="M98" s="35"/>
      <c r="N98" s="35"/>
      <c r="O98" s="35"/>
      <c r="P98" s="35"/>
      <c r="Q98" s="35"/>
      <c r="R98" s="35"/>
      <c r="S98" s="35"/>
      <c r="T98" s="35"/>
      <c r="U98" s="35"/>
      <c r="V98" s="35"/>
      <c r="W98" s="35"/>
      <c r="X98" s="35"/>
      <c r="Y98" s="35"/>
      <c r="Z98" s="35"/>
    </row>
    <row r="99" ht="15.75" customHeight="1">
      <c r="A99" s="35"/>
      <c r="B99" s="35"/>
      <c r="C99" s="35"/>
      <c r="D99" s="35"/>
      <c r="E99" s="35"/>
      <c r="F99" s="35"/>
      <c r="G99" s="35"/>
      <c r="H99" s="35"/>
      <c r="I99" s="35"/>
      <c r="J99" s="35"/>
      <c r="K99" s="35"/>
      <c r="L99" s="35"/>
      <c r="M99" s="35"/>
      <c r="N99" s="35"/>
      <c r="O99" s="35"/>
      <c r="P99" s="35"/>
      <c r="Q99" s="35"/>
      <c r="R99" s="35"/>
      <c r="S99" s="35"/>
      <c r="T99" s="35"/>
      <c r="U99" s="35"/>
      <c r="V99" s="35"/>
      <c r="W99" s="35"/>
      <c r="X99" s="35"/>
      <c r="Y99" s="35"/>
      <c r="Z99" s="35"/>
    </row>
    <row r="100" ht="15.75" customHeight="1">
      <c r="A100" s="35"/>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row>
    <row r="101" ht="15.75" customHeight="1">
      <c r="A101" s="35"/>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row>
    <row r="102" ht="15.75" customHeight="1">
      <c r="A102" s="35"/>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row>
    <row r="103" ht="15.75" customHeight="1">
      <c r="A103" s="35"/>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row>
    <row r="104" ht="15.75" customHeight="1">
      <c r="A104" s="35"/>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row>
    <row r="105" ht="15.75" customHeight="1">
      <c r="A105" s="35"/>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row>
    <row r="106" ht="15.75" customHeight="1">
      <c r="A106" s="35"/>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row>
    <row r="107" ht="15.75" customHeight="1">
      <c r="A107" s="35"/>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row>
    <row r="108" ht="15.75" customHeight="1">
      <c r="A108" s="35"/>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row>
    <row r="109" ht="15.75" customHeight="1">
      <c r="A109" s="35"/>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row>
    <row r="110" ht="15.75" customHeight="1">
      <c r="A110" s="35"/>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row>
    <row r="111" ht="15.75" customHeight="1">
      <c r="A111" s="35"/>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row>
    <row r="112" ht="15.75" customHeight="1">
      <c r="A112" s="35"/>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row>
    <row r="113" ht="15.75" customHeight="1">
      <c r="A113" s="35"/>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row>
    <row r="114" ht="15.75" customHeight="1">
      <c r="A114" s="35"/>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row>
    <row r="115" ht="15.75" customHeight="1">
      <c r="A115" s="35"/>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row>
    <row r="116" ht="15.75" customHeight="1">
      <c r="A116" s="35"/>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row>
    <row r="117" ht="15.75" customHeight="1">
      <c r="A117" s="35"/>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row>
    <row r="118" ht="15.75" customHeight="1">
      <c r="A118" s="35"/>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row>
    <row r="119" ht="15.75" customHeight="1">
      <c r="A119" s="35"/>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row>
    <row r="120" ht="15.75" customHeight="1">
      <c r="A120" s="35"/>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row>
    <row r="121" ht="15.75" customHeight="1">
      <c r="A121" s="35"/>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row>
    <row r="122" ht="15.75" customHeight="1">
      <c r="A122" s="35"/>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row>
    <row r="123" ht="15.75" customHeight="1">
      <c r="A123" s="35"/>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row>
    <row r="124" ht="15.75" customHeight="1">
      <c r="A124" s="35"/>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row>
    <row r="125" ht="15.75" customHeight="1">
      <c r="A125" s="35"/>
      <c r="B125" s="35"/>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row>
    <row r="126" ht="15.75" customHeight="1">
      <c r="A126" s="35"/>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row>
    <row r="127" ht="15.75" customHeight="1">
      <c r="A127" s="35"/>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row>
    <row r="128" ht="15.75" customHeight="1">
      <c r="A128" s="35"/>
      <c r="B128" s="35"/>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row>
    <row r="129" ht="15.75" customHeight="1">
      <c r="A129" s="35"/>
      <c r="B129" s="35"/>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row>
    <row r="130" ht="15.75" customHeight="1">
      <c r="A130" s="35"/>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row>
    <row r="131" ht="15.75" customHeight="1">
      <c r="A131" s="35"/>
      <c r="B131" s="35"/>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row>
    <row r="132" ht="15.75" customHeight="1">
      <c r="A132" s="35"/>
      <c r="B132" s="35"/>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row>
    <row r="133" ht="15.75" customHeight="1">
      <c r="A133" s="35"/>
      <c r="B133" s="35"/>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row>
    <row r="134" ht="15.75" customHeight="1">
      <c r="A134" s="35"/>
      <c r="B134" s="35"/>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row>
    <row r="135" ht="15.75" customHeight="1">
      <c r="A135" s="35"/>
      <c r="B135" s="35"/>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row>
    <row r="136" ht="15.75" customHeight="1">
      <c r="A136" s="35"/>
      <c r="B136" s="35"/>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row>
    <row r="137" ht="15.75" customHeight="1">
      <c r="A137" s="35"/>
      <c r="B137" s="35"/>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35"/>
    </row>
    <row r="138" ht="15.75" customHeight="1">
      <c r="A138" s="35"/>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row>
    <row r="139" ht="15.75" customHeight="1">
      <c r="A139" s="35"/>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row>
    <row r="140" ht="15.75" customHeight="1">
      <c r="A140" s="35"/>
      <c r="B140" s="35"/>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row>
    <row r="141" ht="15.75" customHeight="1">
      <c r="A141" s="35"/>
      <c r="B141" s="35"/>
      <c r="C141" s="35"/>
      <c r="D141" s="35"/>
      <c r="E141" s="35"/>
      <c r="F141" s="35"/>
      <c r="G141" s="35"/>
      <c r="H141" s="35"/>
      <c r="I141" s="35"/>
      <c r="J141" s="35"/>
      <c r="K141" s="35"/>
      <c r="L141" s="35"/>
      <c r="M141" s="35"/>
      <c r="N141" s="35"/>
      <c r="O141" s="35"/>
      <c r="P141" s="35"/>
      <c r="Q141" s="35"/>
      <c r="R141" s="35"/>
      <c r="S141" s="35"/>
      <c r="T141" s="35"/>
      <c r="U141" s="35"/>
      <c r="V141" s="35"/>
      <c r="W141" s="35"/>
      <c r="X141" s="35"/>
      <c r="Y141" s="35"/>
      <c r="Z141" s="35"/>
    </row>
    <row r="142" ht="15.75" customHeight="1">
      <c r="A142" s="35"/>
      <c r="B142" s="35"/>
      <c r="C142" s="35"/>
      <c r="D142" s="35"/>
      <c r="E142" s="35"/>
      <c r="F142" s="35"/>
      <c r="G142" s="35"/>
      <c r="H142" s="35"/>
      <c r="I142" s="35"/>
      <c r="J142" s="35"/>
      <c r="K142" s="35"/>
      <c r="L142" s="35"/>
      <c r="M142" s="35"/>
      <c r="N142" s="35"/>
      <c r="O142" s="35"/>
      <c r="P142" s="35"/>
      <c r="Q142" s="35"/>
      <c r="R142" s="35"/>
      <c r="S142" s="35"/>
      <c r="T142" s="35"/>
      <c r="U142" s="35"/>
      <c r="V142" s="35"/>
      <c r="W142" s="35"/>
      <c r="X142" s="35"/>
      <c r="Y142" s="35"/>
      <c r="Z142" s="35"/>
    </row>
    <row r="143" ht="15.75" customHeight="1">
      <c r="A143" s="35"/>
      <c r="B143" s="35"/>
      <c r="C143" s="35"/>
      <c r="D143" s="35"/>
      <c r="E143" s="35"/>
      <c r="F143" s="35"/>
      <c r="G143" s="35"/>
      <c r="H143" s="35"/>
      <c r="I143" s="35"/>
      <c r="J143" s="35"/>
      <c r="K143" s="35"/>
      <c r="L143" s="35"/>
      <c r="M143" s="35"/>
      <c r="N143" s="35"/>
      <c r="O143" s="35"/>
      <c r="P143" s="35"/>
      <c r="Q143" s="35"/>
      <c r="R143" s="35"/>
      <c r="S143" s="35"/>
      <c r="T143" s="35"/>
      <c r="U143" s="35"/>
      <c r="V143" s="35"/>
      <c r="W143" s="35"/>
      <c r="X143" s="35"/>
      <c r="Y143" s="35"/>
      <c r="Z143" s="35"/>
    </row>
    <row r="144" ht="15.75" customHeight="1">
      <c r="A144" s="35"/>
      <c r="B144" s="35"/>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row>
    <row r="145" ht="15.75" customHeight="1">
      <c r="A145" s="35"/>
      <c r="B145" s="35"/>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row>
    <row r="146" ht="15.75" customHeight="1">
      <c r="A146" s="35"/>
      <c r="B146" s="35"/>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row>
    <row r="147" ht="15.75" customHeight="1">
      <c r="A147" s="35"/>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row>
    <row r="148" ht="15.75" customHeight="1">
      <c r="A148" s="35"/>
      <c r="B148" s="35"/>
      <c r="C148" s="35"/>
      <c r="D148" s="35"/>
      <c r="E148" s="35"/>
      <c r="F148" s="35"/>
      <c r="G148" s="35"/>
      <c r="H148" s="35"/>
      <c r="I148" s="35"/>
      <c r="J148" s="35"/>
      <c r="K148" s="35"/>
      <c r="L148" s="35"/>
      <c r="M148" s="35"/>
      <c r="N148" s="35"/>
      <c r="O148" s="35"/>
      <c r="P148" s="35"/>
      <c r="Q148" s="35"/>
      <c r="R148" s="35"/>
      <c r="S148" s="35"/>
      <c r="T148" s="35"/>
      <c r="U148" s="35"/>
      <c r="V148" s="35"/>
      <c r="W148" s="35"/>
      <c r="X148" s="35"/>
      <c r="Y148" s="35"/>
      <c r="Z148" s="35"/>
    </row>
    <row r="149" ht="15.75" customHeight="1">
      <c r="A149" s="35"/>
      <c r="B149" s="35"/>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row>
    <row r="150" ht="15.75" customHeight="1">
      <c r="A150" s="35"/>
      <c r="B150" s="35"/>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row>
    <row r="151" ht="15.75" customHeight="1">
      <c r="A151" s="35"/>
      <c r="B151" s="35"/>
      <c r="C151" s="35"/>
      <c r="D151" s="35"/>
      <c r="E151" s="35"/>
      <c r="F151" s="35"/>
      <c r="G151" s="35"/>
      <c r="H151" s="35"/>
      <c r="I151" s="35"/>
      <c r="J151" s="35"/>
      <c r="K151" s="35"/>
      <c r="L151" s="35"/>
      <c r="M151" s="35"/>
      <c r="N151" s="35"/>
      <c r="O151" s="35"/>
      <c r="P151" s="35"/>
      <c r="Q151" s="35"/>
      <c r="R151" s="35"/>
      <c r="S151" s="35"/>
      <c r="T151" s="35"/>
      <c r="U151" s="35"/>
      <c r="V151" s="35"/>
      <c r="W151" s="35"/>
      <c r="X151" s="35"/>
      <c r="Y151" s="35"/>
      <c r="Z151" s="35"/>
    </row>
    <row r="152" ht="15.75" customHeight="1">
      <c r="A152" s="35"/>
      <c r="B152" s="35"/>
      <c r="C152" s="35"/>
      <c r="D152" s="35"/>
      <c r="E152" s="35"/>
      <c r="F152" s="35"/>
      <c r="G152" s="35"/>
      <c r="H152" s="35"/>
      <c r="I152" s="35"/>
      <c r="J152" s="35"/>
      <c r="K152" s="35"/>
      <c r="L152" s="35"/>
      <c r="M152" s="35"/>
      <c r="N152" s="35"/>
      <c r="O152" s="35"/>
      <c r="P152" s="35"/>
      <c r="Q152" s="35"/>
      <c r="R152" s="35"/>
      <c r="S152" s="35"/>
      <c r="T152" s="35"/>
      <c r="U152" s="35"/>
      <c r="V152" s="35"/>
      <c r="W152" s="35"/>
      <c r="X152" s="35"/>
      <c r="Y152" s="35"/>
      <c r="Z152" s="35"/>
    </row>
    <row r="153" ht="15.75" customHeight="1">
      <c r="A153" s="35"/>
      <c r="B153" s="35"/>
      <c r="C153" s="35"/>
      <c r="D153" s="35"/>
      <c r="E153" s="35"/>
      <c r="F153" s="35"/>
      <c r="G153" s="35"/>
      <c r="H153" s="35"/>
      <c r="I153" s="35"/>
      <c r="J153" s="35"/>
      <c r="K153" s="35"/>
      <c r="L153" s="35"/>
      <c r="M153" s="35"/>
      <c r="N153" s="35"/>
      <c r="O153" s="35"/>
      <c r="P153" s="35"/>
      <c r="Q153" s="35"/>
      <c r="R153" s="35"/>
      <c r="S153" s="35"/>
      <c r="T153" s="35"/>
      <c r="U153" s="35"/>
      <c r="V153" s="35"/>
      <c r="W153" s="35"/>
      <c r="X153" s="35"/>
      <c r="Y153" s="35"/>
      <c r="Z153" s="35"/>
    </row>
    <row r="154" ht="15.75" customHeight="1">
      <c r="A154" s="35"/>
      <c r="B154" s="35"/>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35"/>
    </row>
    <row r="155" ht="15.75" customHeight="1">
      <c r="A155" s="35"/>
      <c r="B155" s="35"/>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row>
    <row r="156" ht="15.75" customHeight="1">
      <c r="A156" s="35"/>
      <c r="B156" s="35"/>
      <c r="C156" s="35"/>
      <c r="D156" s="35"/>
      <c r="E156" s="35"/>
      <c r="F156" s="35"/>
      <c r="G156" s="35"/>
      <c r="H156" s="35"/>
      <c r="I156" s="35"/>
      <c r="J156" s="35"/>
      <c r="K156" s="35"/>
      <c r="L156" s="35"/>
      <c r="M156" s="35"/>
      <c r="N156" s="35"/>
      <c r="O156" s="35"/>
      <c r="P156" s="35"/>
      <c r="Q156" s="35"/>
      <c r="R156" s="35"/>
      <c r="S156" s="35"/>
      <c r="T156" s="35"/>
      <c r="U156" s="35"/>
      <c r="V156" s="35"/>
      <c r="W156" s="35"/>
      <c r="X156" s="35"/>
      <c r="Y156" s="35"/>
      <c r="Z156" s="35"/>
    </row>
    <row r="157" ht="15.75" customHeight="1">
      <c r="A157" s="35"/>
      <c r="B157" s="35"/>
      <c r="C157" s="35"/>
      <c r="D157" s="35"/>
      <c r="E157" s="35"/>
      <c r="F157" s="35"/>
      <c r="G157" s="35"/>
      <c r="H157" s="35"/>
      <c r="I157" s="35"/>
      <c r="J157" s="35"/>
      <c r="K157" s="35"/>
      <c r="L157" s="35"/>
      <c r="M157" s="35"/>
      <c r="N157" s="35"/>
      <c r="O157" s="35"/>
      <c r="P157" s="35"/>
      <c r="Q157" s="35"/>
      <c r="R157" s="35"/>
      <c r="S157" s="35"/>
      <c r="T157" s="35"/>
      <c r="U157" s="35"/>
      <c r="V157" s="35"/>
      <c r="W157" s="35"/>
      <c r="X157" s="35"/>
      <c r="Y157" s="35"/>
      <c r="Z157" s="35"/>
    </row>
    <row r="158" ht="15.75" customHeight="1">
      <c r="A158" s="35"/>
      <c r="B158" s="35"/>
      <c r="C158" s="35"/>
      <c r="D158" s="35"/>
      <c r="E158" s="35"/>
      <c r="F158" s="35"/>
      <c r="G158" s="35"/>
      <c r="H158" s="35"/>
      <c r="I158" s="35"/>
      <c r="J158" s="35"/>
      <c r="K158" s="35"/>
      <c r="L158" s="35"/>
      <c r="M158" s="35"/>
      <c r="N158" s="35"/>
      <c r="O158" s="35"/>
      <c r="P158" s="35"/>
      <c r="Q158" s="35"/>
      <c r="R158" s="35"/>
      <c r="S158" s="35"/>
      <c r="T158" s="35"/>
      <c r="U158" s="35"/>
      <c r="V158" s="35"/>
      <c r="W158" s="35"/>
      <c r="X158" s="35"/>
      <c r="Y158" s="35"/>
      <c r="Z158" s="35"/>
    </row>
    <row r="159" ht="15.75" customHeight="1">
      <c r="A159" s="35"/>
      <c r="B159" s="35"/>
      <c r="C159" s="35"/>
      <c r="D159" s="35"/>
      <c r="E159" s="35"/>
      <c r="F159" s="35"/>
      <c r="G159" s="35"/>
      <c r="H159" s="35"/>
      <c r="I159" s="35"/>
      <c r="J159" s="35"/>
      <c r="K159" s="35"/>
      <c r="L159" s="35"/>
      <c r="M159" s="35"/>
      <c r="N159" s="35"/>
      <c r="O159" s="35"/>
      <c r="P159" s="35"/>
      <c r="Q159" s="35"/>
      <c r="R159" s="35"/>
      <c r="S159" s="35"/>
      <c r="T159" s="35"/>
      <c r="U159" s="35"/>
      <c r="V159" s="35"/>
      <c r="W159" s="35"/>
      <c r="X159" s="35"/>
      <c r="Y159" s="35"/>
      <c r="Z159" s="35"/>
    </row>
    <row r="160" ht="15.75" customHeight="1">
      <c r="A160" s="35"/>
      <c r="B160" s="35"/>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35"/>
    </row>
    <row r="161" ht="15.75" customHeight="1">
      <c r="A161" s="35"/>
      <c r="B161" s="35"/>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35"/>
    </row>
    <row r="162" ht="15.75" customHeight="1">
      <c r="A162" s="35"/>
      <c r="B162" s="35"/>
      <c r="C162" s="35"/>
      <c r="D162" s="35"/>
      <c r="E162" s="35"/>
      <c r="F162" s="35"/>
      <c r="G162" s="35"/>
      <c r="H162" s="35"/>
      <c r="I162" s="35"/>
      <c r="J162" s="35"/>
      <c r="K162" s="35"/>
      <c r="L162" s="35"/>
      <c r="M162" s="35"/>
      <c r="N162" s="35"/>
      <c r="O162" s="35"/>
      <c r="P162" s="35"/>
      <c r="Q162" s="35"/>
      <c r="R162" s="35"/>
      <c r="S162" s="35"/>
      <c r="T162" s="35"/>
      <c r="U162" s="35"/>
      <c r="V162" s="35"/>
      <c r="W162" s="35"/>
      <c r="X162" s="35"/>
      <c r="Y162" s="35"/>
      <c r="Z162" s="35"/>
    </row>
    <row r="163" ht="15.75" customHeight="1">
      <c r="A163" s="35"/>
      <c r="B163" s="35"/>
      <c r="C163" s="35"/>
      <c r="D163" s="35"/>
      <c r="E163" s="35"/>
      <c r="F163" s="35"/>
      <c r="G163" s="35"/>
      <c r="H163" s="35"/>
      <c r="I163" s="35"/>
      <c r="J163" s="35"/>
      <c r="K163" s="35"/>
      <c r="L163" s="35"/>
      <c r="M163" s="35"/>
      <c r="N163" s="35"/>
      <c r="O163" s="35"/>
      <c r="P163" s="35"/>
      <c r="Q163" s="35"/>
      <c r="R163" s="35"/>
      <c r="S163" s="35"/>
      <c r="T163" s="35"/>
      <c r="U163" s="35"/>
      <c r="V163" s="35"/>
      <c r="W163" s="35"/>
      <c r="X163" s="35"/>
      <c r="Y163" s="35"/>
      <c r="Z163" s="35"/>
    </row>
    <row r="164" ht="15.75" customHeight="1">
      <c r="A164" s="35"/>
      <c r="B164" s="35"/>
      <c r="C164" s="35"/>
      <c r="D164" s="35"/>
      <c r="E164" s="35"/>
      <c r="F164" s="35"/>
      <c r="G164" s="35"/>
      <c r="H164" s="35"/>
      <c r="I164" s="35"/>
      <c r="J164" s="35"/>
      <c r="K164" s="35"/>
      <c r="L164" s="35"/>
      <c r="M164" s="35"/>
      <c r="N164" s="35"/>
      <c r="O164" s="35"/>
      <c r="P164" s="35"/>
      <c r="Q164" s="35"/>
      <c r="R164" s="35"/>
      <c r="S164" s="35"/>
      <c r="T164" s="35"/>
      <c r="U164" s="35"/>
      <c r="V164" s="35"/>
      <c r="W164" s="35"/>
      <c r="X164" s="35"/>
      <c r="Y164" s="35"/>
      <c r="Z164" s="35"/>
    </row>
    <row r="165" ht="15.75" customHeight="1">
      <c r="A165" s="35"/>
      <c r="B165" s="35"/>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35"/>
    </row>
    <row r="166" ht="15.75" customHeight="1">
      <c r="A166" s="35"/>
      <c r="B166" s="35"/>
      <c r="C166" s="35"/>
      <c r="D166" s="35"/>
      <c r="E166" s="35"/>
      <c r="F166" s="35"/>
      <c r="G166" s="35"/>
      <c r="H166" s="35"/>
      <c r="I166" s="35"/>
      <c r="J166" s="35"/>
      <c r="K166" s="35"/>
      <c r="L166" s="35"/>
      <c r="M166" s="35"/>
      <c r="N166" s="35"/>
      <c r="O166" s="35"/>
      <c r="P166" s="35"/>
      <c r="Q166" s="35"/>
      <c r="R166" s="35"/>
      <c r="S166" s="35"/>
      <c r="T166" s="35"/>
      <c r="U166" s="35"/>
      <c r="V166" s="35"/>
      <c r="W166" s="35"/>
      <c r="X166" s="35"/>
      <c r="Y166" s="35"/>
      <c r="Z166" s="35"/>
    </row>
    <row r="167" ht="15.75" customHeight="1">
      <c r="A167" s="35"/>
      <c r="B167" s="35"/>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35"/>
    </row>
    <row r="168" ht="15.75" customHeight="1">
      <c r="A168" s="35"/>
      <c r="B168" s="35"/>
      <c r="C168" s="35"/>
      <c r="D168" s="35"/>
      <c r="E168" s="35"/>
      <c r="F168" s="35"/>
      <c r="G168" s="35"/>
      <c r="H168" s="35"/>
      <c r="I168" s="35"/>
      <c r="J168" s="35"/>
      <c r="K168" s="35"/>
      <c r="L168" s="35"/>
      <c r="M168" s="35"/>
      <c r="N168" s="35"/>
      <c r="O168" s="35"/>
      <c r="P168" s="35"/>
      <c r="Q168" s="35"/>
      <c r="R168" s="35"/>
      <c r="S168" s="35"/>
      <c r="T168" s="35"/>
      <c r="U168" s="35"/>
      <c r="V168" s="35"/>
      <c r="W168" s="35"/>
      <c r="X168" s="35"/>
      <c r="Y168" s="35"/>
      <c r="Z168" s="35"/>
    </row>
    <row r="169" ht="15.75" customHeight="1">
      <c r="A169" s="35"/>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row>
    <row r="170" ht="15.75" customHeight="1">
      <c r="A170" s="35"/>
      <c r="B170" s="35"/>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35"/>
    </row>
    <row r="171" ht="15.75" customHeight="1">
      <c r="A171" s="35"/>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row>
    <row r="172" ht="15.75" customHeight="1">
      <c r="A172" s="35"/>
      <c r="B172" s="35"/>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35"/>
    </row>
    <row r="173" ht="15.75" customHeight="1">
      <c r="A173" s="35"/>
      <c r="B173" s="35"/>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row>
    <row r="174" ht="15.75" customHeight="1">
      <c r="A174" s="35"/>
      <c r="B174" s="35"/>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row>
    <row r="175" ht="15.75" customHeight="1">
      <c r="A175" s="35"/>
      <c r="B175" s="35"/>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row>
    <row r="176" ht="15.75" customHeight="1">
      <c r="A176" s="35"/>
      <c r="B176" s="35"/>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row>
    <row r="177" ht="15.75" customHeight="1">
      <c r="A177" s="35"/>
      <c r="B177" s="35"/>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row>
    <row r="178" ht="15.75" customHeight="1">
      <c r="A178" s="35"/>
      <c r="B178" s="35"/>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row>
    <row r="179" ht="15.75" customHeight="1">
      <c r="A179" s="35"/>
      <c r="B179" s="35"/>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row>
    <row r="180" ht="15.75" customHeight="1">
      <c r="A180" s="35"/>
      <c r="B180" s="35"/>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row>
    <row r="181" ht="15.75" customHeight="1">
      <c r="A181" s="35"/>
      <c r="B181" s="35"/>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row>
    <row r="182" ht="15.75" customHeight="1">
      <c r="A182" s="35"/>
      <c r="B182" s="35"/>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row>
    <row r="183" ht="15.75" customHeight="1">
      <c r="A183" s="35"/>
      <c r="B183" s="35"/>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row>
    <row r="184" ht="15.75" customHeight="1">
      <c r="A184" s="35"/>
      <c r="B184" s="35"/>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row>
    <row r="185" ht="15.75" customHeight="1">
      <c r="A185" s="35"/>
      <c r="B185" s="35"/>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row>
    <row r="186" ht="15.75" customHeight="1">
      <c r="A186" s="35"/>
      <c r="B186" s="35"/>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row>
    <row r="187" ht="15.75" customHeight="1">
      <c r="A187" s="35"/>
      <c r="B187" s="35"/>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row>
    <row r="188" ht="15.75" customHeight="1">
      <c r="A188" s="35"/>
      <c r="B188" s="35"/>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row>
    <row r="189" ht="15.75" customHeight="1">
      <c r="A189" s="35"/>
      <c r="B189" s="35"/>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row>
    <row r="190" ht="15.75" customHeight="1">
      <c r="A190" s="35"/>
      <c r="B190" s="35"/>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row>
    <row r="191" ht="15.75" customHeight="1">
      <c r="A191" s="35"/>
      <c r="B191" s="35"/>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row>
    <row r="192" ht="15.75" customHeight="1">
      <c r="A192" s="35"/>
      <c r="B192" s="35"/>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row>
    <row r="193" ht="15.75" customHeight="1">
      <c r="A193" s="35"/>
      <c r="B193" s="35"/>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row>
    <row r="194" ht="15.75" customHeight="1">
      <c r="A194" s="35"/>
      <c r="B194" s="35"/>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row>
    <row r="195" ht="15.75" customHeight="1">
      <c r="A195" s="35"/>
      <c r="B195" s="35"/>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row>
    <row r="196" ht="15.75" customHeight="1">
      <c r="A196" s="35"/>
      <c r="B196" s="35"/>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row>
    <row r="197" ht="15.75" customHeight="1">
      <c r="A197" s="35"/>
      <c r="B197" s="35"/>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row>
    <row r="198" ht="15.75" customHeight="1">
      <c r="A198" s="35"/>
      <c r="B198" s="35"/>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row>
    <row r="199" ht="15.75" customHeight="1">
      <c r="A199" s="35"/>
      <c r="B199" s="35"/>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row>
    <row r="200" ht="15.75" customHeight="1">
      <c r="A200" s="35"/>
      <c r="B200" s="35"/>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row>
    <row r="201" ht="15.75" customHeight="1">
      <c r="A201" s="35"/>
      <c r="B201" s="35"/>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row>
    <row r="202" ht="15.75" customHeight="1">
      <c r="A202" s="35"/>
      <c r="B202" s="35"/>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row>
    <row r="203" ht="15.75" customHeight="1">
      <c r="A203" s="35"/>
      <c r="B203" s="35"/>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row>
    <row r="204" ht="15.75" customHeight="1">
      <c r="A204" s="35"/>
      <c r="B204" s="35"/>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row>
    <row r="205" ht="15.75" customHeight="1">
      <c r="A205" s="35"/>
      <c r="B205" s="35"/>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row>
    <row r="206" ht="15.75" customHeight="1">
      <c r="A206" s="35"/>
      <c r="B206" s="35"/>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row>
    <row r="207" ht="15.75" customHeight="1">
      <c r="A207" s="35"/>
      <c r="B207" s="35"/>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row>
    <row r="208" ht="15.75" customHeight="1">
      <c r="A208" s="35"/>
      <c r="B208" s="35"/>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row>
    <row r="209" ht="15.75" customHeight="1">
      <c r="A209" s="35"/>
      <c r="B209" s="35"/>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row>
    <row r="210" ht="15.75" customHeight="1">
      <c r="A210" s="35"/>
      <c r="B210" s="35"/>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row>
    <row r="211" ht="15.75" customHeight="1">
      <c r="A211" s="35"/>
      <c r="B211" s="35"/>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row>
    <row r="212" ht="15.75" customHeight="1">
      <c r="A212" s="35"/>
      <c r="B212" s="35"/>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row>
    <row r="213" ht="15.75" customHeight="1">
      <c r="A213" s="35"/>
      <c r="B213" s="35"/>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row>
    <row r="214" ht="15.75" customHeight="1">
      <c r="A214" s="35"/>
      <c r="B214" s="35"/>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row>
    <row r="215" ht="15.75" customHeight="1">
      <c r="A215" s="35"/>
      <c r="B215" s="35"/>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row>
    <row r="216" ht="15.75" customHeight="1">
      <c r="A216" s="35"/>
      <c r="B216" s="35"/>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row>
    <row r="217" ht="15.75" customHeight="1">
      <c r="A217" s="35"/>
      <c r="B217" s="35"/>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row>
    <row r="218" ht="15.75" customHeight="1">
      <c r="A218" s="35"/>
      <c r="B218" s="35"/>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row>
    <row r="219" ht="15.75" customHeight="1">
      <c r="A219" s="35"/>
      <c r="B219" s="35"/>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row>
    <row r="220" ht="15.75" customHeight="1">
      <c r="A220" s="35"/>
      <c r="B220" s="35"/>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row>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printOptions/>
  <pageMargins bottom="0.75" footer="0.0" header="0.0" left="0.7" right="0.7" top="0.75"/>
  <pageSetup paperSize="9"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8D08D"/>
    <pageSetUpPr/>
  </sheetPr>
  <sheetViews>
    <sheetView workbookViewId="0"/>
  </sheetViews>
  <sheetFormatPr customHeight="1" defaultColWidth="14.43" defaultRowHeight="15.75"/>
  <cols>
    <col customWidth="1" min="1" max="21" width="9.14"/>
  </cols>
  <sheetData>
    <row r="1">
      <c r="A1" s="35"/>
      <c r="B1" s="35"/>
      <c r="E1" s="35"/>
      <c r="F1" s="35"/>
      <c r="G1" s="35"/>
      <c r="H1" s="35"/>
      <c r="I1" s="35"/>
      <c r="J1" s="35"/>
      <c r="K1" s="35"/>
      <c r="L1" s="35"/>
      <c r="M1" s="35"/>
      <c r="N1" s="35"/>
      <c r="O1" s="35"/>
      <c r="P1" s="35"/>
      <c r="Q1" s="35"/>
      <c r="R1" s="35"/>
      <c r="S1" s="35"/>
      <c r="T1" s="35"/>
      <c r="U1" s="35"/>
      <c r="V1" s="35"/>
      <c r="W1" s="35"/>
      <c r="X1" s="35"/>
      <c r="Y1" s="35"/>
      <c r="Z1" s="35"/>
    </row>
    <row r="2">
      <c r="A2" s="35"/>
      <c r="B2" s="35"/>
      <c r="C2" s="35"/>
      <c r="D2" s="35"/>
      <c r="E2" s="35"/>
      <c r="F2" s="35"/>
      <c r="G2" s="35"/>
      <c r="H2" s="35"/>
      <c r="I2" s="35"/>
      <c r="J2" s="35"/>
      <c r="K2" s="35"/>
      <c r="L2" s="35"/>
      <c r="M2" s="35"/>
      <c r="N2" s="35"/>
      <c r="O2" s="35"/>
      <c r="P2" s="35"/>
      <c r="Q2" s="35"/>
      <c r="R2" s="35"/>
      <c r="S2" s="35"/>
      <c r="T2" s="35"/>
      <c r="U2" s="35"/>
      <c r="V2" s="35"/>
      <c r="W2" s="35"/>
      <c r="X2" s="35"/>
      <c r="Y2" s="35"/>
      <c r="Z2" s="35"/>
    </row>
    <row r="3">
      <c r="A3" s="35"/>
      <c r="B3" s="35"/>
      <c r="C3" s="35"/>
      <c r="D3" s="35"/>
      <c r="E3" s="35"/>
      <c r="F3" s="35"/>
      <c r="G3" s="35"/>
      <c r="H3" s="35"/>
      <c r="I3" s="35"/>
      <c r="J3" s="35"/>
      <c r="K3" s="35"/>
      <c r="L3" s="35"/>
      <c r="M3" s="35"/>
      <c r="N3" s="35"/>
      <c r="O3" s="35"/>
      <c r="P3" s="35"/>
      <c r="Q3" s="35"/>
      <c r="R3" s="35"/>
      <c r="S3" s="35"/>
      <c r="T3" s="35"/>
      <c r="U3" s="35"/>
      <c r="V3" s="35"/>
      <c r="W3" s="35"/>
      <c r="X3" s="35"/>
      <c r="Y3" s="35"/>
      <c r="Z3" s="35"/>
    </row>
    <row r="4">
      <c r="A4" s="36"/>
      <c r="B4" s="36"/>
      <c r="C4" s="36"/>
      <c r="D4" s="36"/>
      <c r="E4" s="36"/>
      <c r="F4" s="36"/>
      <c r="G4" s="36"/>
      <c r="H4" s="36"/>
      <c r="I4" s="36"/>
      <c r="J4" s="36"/>
      <c r="K4" s="36"/>
      <c r="L4" s="36"/>
      <c r="M4" s="36"/>
      <c r="N4" s="36"/>
      <c r="O4" s="36"/>
      <c r="P4" s="36"/>
      <c r="Q4" s="36"/>
      <c r="R4" s="36"/>
      <c r="S4" s="36"/>
      <c r="T4" s="36"/>
      <c r="U4" s="36"/>
      <c r="V4" s="36"/>
      <c r="W4" s="36"/>
      <c r="X4" s="36"/>
      <c r="Y4" s="36"/>
      <c r="Z4" s="36"/>
    </row>
    <row r="5">
      <c r="A5" s="36"/>
      <c r="B5" s="35"/>
      <c r="C5" s="35"/>
      <c r="D5" s="35"/>
      <c r="E5" s="35"/>
      <c r="F5" s="35"/>
      <c r="G5" s="35"/>
      <c r="H5" s="35"/>
      <c r="I5" s="35"/>
      <c r="J5" s="35"/>
      <c r="K5" s="35"/>
      <c r="L5" s="35"/>
      <c r="M5" s="35"/>
      <c r="N5" s="35"/>
      <c r="O5" s="35"/>
      <c r="P5" s="35"/>
      <c r="Q5" s="36"/>
      <c r="R5" s="36"/>
      <c r="S5" s="36"/>
      <c r="T5" s="36"/>
      <c r="U5" s="36"/>
      <c r="V5" s="36"/>
      <c r="W5" s="36"/>
      <c r="X5" s="36"/>
      <c r="Y5" s="36"/>
      <c r="Z5" s="36"/>
    </row>
    <row r="6">
      <c r="A6" s="36"/>
      <c r="B6" s="37"/>
      <c r="C6" s="37"/>
      <c r="D6" s="37"/>
      <c r="E6" s="37"/>
      <c r="F6" s="37"/>
      <c r="G6" s="37"/>
      <c r="H6" s="37"/>
      <c r="I6" s="37"/>
      <c r="J6" s="37"/>
      <c r="K6" s="37"/>
      <c r="L6" s="37"/>
      <c r="M6" s="37"/>
      <c r="N6" s="37"/>
      <c r="O6" s="37"/>
      <c r="P6" s="37"/>
      <c r="Q6" s="36"/>
      <c r="R6" s="36"/>
      <c r="S6" s="36"/>
      <c r="T6" s="36"/>
      <c r="U6" s="36"/>
      <c r="V6" s="36"/>
      <c r="W6" s="36"/>
      <c r="X6" s="36"/>
      <c r="Y6" s="36"/>
      <c r="Z6" s="36"/>
    </row>
    <row r="7">
      <c r="A7" s="36"/>
      <c r="B7" s="38"/>
      <c r="C7" s="38"/>
      <c r="D7" s="38"/>
      <c r="E7" s="38"/>
      <c r="F7" s="38"/>
      <c r="G7" s="38"/>
      <c r="H7" s="38"/>
      <c r="I7" s="38"/>
      <c r="J7" s="38"/>
      <c r="K7" s="38"/>
      <c r="L7" s="38"/>
      <c r="M7" s="38"/>
      <c r="N7" s="38"/>
      <c r="O7" s="38"/>
      <c r="P7" s="38"/>
      <c r="Q7" s="36"/>
      <c r="R7" s="36"/>
      <c r="S7" s="36"/>
      <c r="T7" s="36"/>
      <c r="U7" s="36"/>
      <c r="V7" s="36"/>
      <c r="W7" s="36"/>
      <c r="X7" s="36"/>
      <c r="Y7" s="36"/>
      <c r="Z7" s="36"/>
    </row>
    <row r="8">
      <c r="A8" s="36"/>
      <c r="B8" s="38"/>
      <c r="C8" s="38"/>
      <c r="D8" s="38"/>
      <c r="E8" s="38"/>
      <c r="F8" s="38"/>
      <c r="G8" s="38"/>
      <c r="H8" s="38"/>
      <c r="I8" s="38"/>
      <c r="J8" s="38"/>
      <c r="K8" s="38"/>
      <c r="L8" s="38"/>
      <c r="M8" s="38"/>
      <c r="N8" s="38"/>
      <c r="O8" s="38"/>
      <c r="P8" s="38"/>
      <c r="Q8" s="36"/>
      <c r="R8" s="36"/>
      <c r="S8" s="36"/>
      <c r="T8" s="36"/>
      <c r="U8" s="36"/>
      <c r="V8" s="36"/>
      <c r="W8" s="36"/>
      <c r="X8" s="36"/>
      <c r="Y8" s="36"/>
      <c r="Z8" s="36"/>
    </row>
    <row r="9">
      <c r="A9" s="36"/>
      <c r="B9" s="38"/>
      <c r="C9" s="38"/>
      <c r="D9" s="38"/>
      <c r="E9" s="38"/>
      <c r="F9" s="38"/>
      <c r="G9" s="38"/>
      <c r="H9" s="38"/>
      <c r="I9" s="38"/>
      <c r="J9" s="38"/>
      <c r="K9" s="38"/>
      <c r="L9" s="38"/>
      <c r="M9" s="38"/>
      <c r="N9" s="38"/>
      <c r="O9" s="38"/>
      <c r="P9" s="38"/>
      <c r="Q9" s="36"/>
      <c r="R9" s="36"/>
      <c r="S9" s="36"/>
      <c r="T9" s="36"/>
      <c r="U9" s="36"/>
      <c r="V9" s="36"/>
      <c r="W9" s="36"/>
      <c r="X9" s="36"/>
      <c r="Y9" s="36"/>
      <c r="Z9" s="36"/>
    </row>
    <row r="10">
      <c r="A10" s="36"/>
      <c r="B10" s="37"/>
      <c r="C10" s="37"/>
      <c r="D10" s="37"/>
      <c r="E10" s="37"/>
      <c r="F10" s="37"/>
      <c r="G10" s="37"/>
      <c r="H10" s="37"/>
      <c r="I10" s="37"/>
      <c r="J10" s="37"/>
      <c r="K10" s="37"/>
      <c r="L10" s="37"/>
      <c r="M10" s="37"/>
      <c r="N10" s="37"/>
      <c r="O10" s="37"/>
      <c r="P10" s="37"/>
      <c r="Q10" s="36"/>
      <c r="R10" s="36"/>
      <c r="S10" s="36"/>
      <c r="T10" s="36"/>
      <c r="U10" s="36"/>
      <c r="V10" s="36"/>
      <c r="W10" s="36"/>
      <c r="X10" s="36"/>
      <c r="Y10" s="36"/>
      <c r="Z10" s="36"/>
    </row>
    <row r="11">
      <c r="A11" s="36"/>
      <c r="B11" s="37"/>
      <c r="C11" s="37"/>
      <c r="D11" s="37"/>
      <c r="E11" s="37"/>
      <c r="F11" s="37"/>
      <c r="G11" s="37"/>
      <c r="H11" s="37"/>
      <c r="I11" s="37"/>
      <c r="J11" s="37"/>
      <c r="K11" s="37"/>
      <c r="L11" s="37"/>
      <c r="M11" s="37"/>
      <c r="N11" s="37"/>
      <c r="O11" s="37"/>
      <c r="P11" s="37"/>
      <c r="Q11" s="36"/>
      <c r="R11" s="36"/>
      <c r="S11" s="36"/>
      <c r="T11" s="36"/>
      <c r="U11" s="36"/>
      <c r="V11" s="36"/>
      <c r="W11" s="36"/>
      <c r="X11" s="36"/>
      <c r="Y11" s="36"/>
      <c r="Z11" s="36"/>
    </row>
    <row r="12">
      <c r="A12" s="36"/>
      <c r="B12" s="37"/>
      <c r="C12" s="37"/>
      <c r="D12" s="37"/>
      <c r="E12" s="37"/>
      <c r="F12" s="37"/>
      <c r="G12" s="37"/>
      <c r="H12" s="37"/>
      <c r="I12" s="37"/>
      <c r="J12" s="37"/>
      <c r="K12" s="37"/>
      <c r="L12" s="37"/>
      <c r="M12" s="37"/>
      <c r="N12" s="37"/>
      <c r="O12" s="37"/>
      <c r="P12" s="37"/>
      <c r="Q12" s="36"/>
      <c r="R12" s="36"/>
      <c r="S12" s="36"/>
      <c r="T12" s="36"/>
      <c r="U12" s="36"/>
      <c r="V12" s="36"/>
      <c r="W12" s="36"/>
      <c r="X12" s="36"/>
      <c r="Y12" s="36"/>
      <c r="Z12" s="36"/>
    </row>
    <row r="13">
      <c r="A13" s="36"/>
      <c r="B13" s="37"/>
      <c r="C13" s="37"/>
      <c r="D13" s="37"/>
      <c r="E13" s="37"/>
      <c r="F13" s="37"/>
      <c r="G13" s="37"/>
      <c r="H13" s="37"/>
      <c r="I13" s="37"/>
      <c r="J13" s="37"/>
      <c r="K13" s="37"/>
      <c r="L13" s="37"/>
      <c r="M13" s="37"/>
      <c r="N13" s="37"/>
      <c r="O13" s="37"/>
      <c r="P13" s="37"/>
      <c r="Q13" s="36"/>
      <c r="R13" s="36"/>
      <c r="S13" s="36"/>
      <c r="T13" s="36"/>
      <c r="U13" s="36"/>
      <c r="V13" s="36"/>
      <c r="W13" s="36"/>
      <c r="X13" s="36"/>
      <c r="Y13" s="36"/>
      <c r="Z13" s="36"/>
    </row>
    <row r="14">
      <c r="A14" s="36"/>
      <c r="B14" s="35"/>
      <c r="C14" s="35"/>
      <c r="D14" s="35"/>
      <c r="E14" s="35"/>
      <c r="F14" s="35"/>
      <c r="G14" s="35"/>
      <c r="H14" s="35"/>
      <c r="I14" s="35"/>
      <c r="J14" s="35"/>
      <c r="K14" s="35"/>
      <c r="L14" s="35"/>
      <c r="M14" s="35"/>
      <c r="N14" s="35"/>
      <c r="O14" s="35"/>
      <c r="P14" s="35"/>
      <c r="Q14" s="36"/>
      <c r="R14" s="36"/>
      <c r="S14" s="36"/>
      <c r="T14" s="36"/>
      <c r="U14" s="36"/>
      <c r="V14" s="36"/>
      <c r="W14" s="36"/>
      <c r="X14" s="36"/>
      <c r="Y14" s="36"/>
      <c r="Z14" s="36"/>
    </row>
    <row r="15">
      <c r="A15" s="36"/>
      <c r="B15" s="35"/>
      <c r="C15" s="36"/>
      <c r="D15" s="39"/>
      <c r="E15" s="39"/>
      <c r="F15" s="39"/>
      <c r="G15" s="39"/>
      <c r="H15" s="39"/>
      <c r="I15" s="39"/>
      <c r="J15" s="39"/>
      <c r="K15" s="39"/>
      <c r="L15" s="39"/>
      <c r="M15" s="39"/>
      <c r="N15" s="39"/>
      <c r="O15" s="39"/>
      <c r="P15" s="39"/>
      <c r="Q15" s="36"/>
      <c r="R15" s="36"/>
      <c r="S15" s="36"/>
      <c r="T15" s="36"/>
      <c r="U15" s="36"/>
      <c r="V15" s="36"/>
      <c r="W15" s="36"/>
      <c r="X15" s="36"/>
      <c r="Y15" s="36"/>
      <c r="Z15" s="36"/>
    </row>
    <row r="16">
      <c r="A16" s="36"/>
      <c r="B16" s="37"/>
      <c r="C16" s="36"/>
      <c r="D16" s="39"/>
      <c r="E16" s="39"/>
      <c r="F16" s="39"/>
      <c r="G16" s="39"/>
      <c r="H16" s="39"/>
      <c r="I16" s="39"/>
      <c r="J16" s="39"/>
      <c r="K16" s="39"/>
      <c r="L16" s="39"/>
      <c r="M16" s="39"/>
      <c r="N16" s="39"/>
      <c r="O16" s="39"/>
      <c r="P16" s="39"/>
      <c r="Q16" s="36"/>
      <c r="R16" s="36"/>
      <c r="S16" s="36"/>
      <c r="T16" s="36"/>
      <c r="U16" s="36"/>
      <c r="V16" s="36"/>
      <c r="W16" s="36"/>
      <c r="X16" s="36"/>
      <c r="Y16" s="36"/>
      <c r="Z16" s="36"/>
    </row>
    <row r="17">
      <c r="A17" s="36"/>
      <c r="B17" s="37"/>
      <c r="C17" s="36"/>
      <c r="D17" s="39"/>
      <c r="E17" s="39"/>
      <c r="F17" s="39"/>
      <c r="G17" s="39"/>
      <c r="H17" s="39"/>
      <c r="I17" s="39"/>
      <c r="J17" s="39"/>
      <c r="K17" s="39"/>
      <c r="L17" s="39"/>
      <c r="M17" s="39"/>
      <c r="N17" s="39"/>
      <c r="O17" s="39"/>
      <c r="P17" s="39"/>
      <c r="Q17" s="36"/>
      <c r="R17" s="36"/>
      <c r="S17" s="36"/>
      <c r="T17" s="36"/>
      <c r="U17" s="36"/>
      <c r="V17" s="36"/>
      <c r="W17" s="36"/>
      <c r="X17" s="36"/>
      <c r="Y17" s="36"/>
      <c r="Z17" s="36"/>
    </row>
    <row r="18">
      <c r="A18" s="36"/>
      <c r="B18" s="37"/>
      <c r="C18" s="36"/>
      <c r="D18" s="39"/>
      <c r="E18" s="39"/>
      <c r="F18" s="39"/>
      <c r="G18" s="39"/>
      <c r="H18" s="39"/>
      <c r="I18" s="39"/>
      <c r="J18" s="39"/>
      <c r="K18" s="39"/>
      <c r="L18" s="39"/>
      <c r="M18" s="39"/>
      <c r="N18" s="39"/>
      <c r="O18" s="39"/>
      <c r="P18" s="39"/>
      <c r="Q18" s="36"/>
      <c r="R18" s="36"/>
      <c r="S18" s="36"/>
      <c r="T18" s="36"/>
      <c r="U18" s="36"/>
      <c r="V18" s="36"/>
      <c r="W18" s="36"/>
      <c r="X18" s="36"/>
      <c r="Y18" s="36"/>
      <c r="Z18" s="36"/>
    </row>
    <row r="19">
      <c r="A19" s="36"/>
      <c r="B19" s="37"/>
      <c r="C19" s="36"/>
      <c r="D19" s="39"/>
      <c r="E19" s="39"/>
      <c r="F19" s="39"/>
      <c r="G19" s="39"/>
      <c r="H19" s="39"/>
      <c r="I19" s="39"/>
      <c r="J19" s="39"/>
      <c r="K19" s="39"/>
      <c r="L19" s="39"/>
      <c r="M19" s="39"/>
      <c r="N19" s="39"/>
      <c r="O19" s="39"/>
      <c r="P19" s="39"/>
      <c r="Q19" s="36"/>
      <c r="R19" s="36"/>
      <c r="S19" s="36"/>
      <c r="T19" s="36"/>
      <c r="U19" s="36"/>
      <c r="V19" s="36"/>
      <c r="W19" s="36"/>
      <c r="X19" s="36"/>
      <c r="Y19" s="36"/>
      <c r="Z19" s="36"/>
    </row>
    <row r="20">
      <c r="A20" s="36"/>
      <c r="B20" s="37"/>
      <c r="C20" s="37"/>
      <c r="D20" s="37"/>
      <c r="E20" s="37"/>
      <c r="F20" s="37"/>
      <c r="G20" s="37"/>
      <c r="H20" s="37"/>
      <c r="I20" s="37"/>
      <c r="J20" s="37"/>
      <c r="K20" s="37"/>
      <c r="L20" s="37"/>
      <c r="M20" s="37"/>
      <c r="N20" s="37"/>
      <c r="O20" s="37"/>
      <c r="P20" s="37"/>
      <c r="Q20" s="36"/>
      <c r="R20" s="36"/>
      <c r="S20" s="36"/>
      <c r="T20" s="36"/>
      <c r="U20" s="36"/>
      <c r="V20" s="36"/>
      <c r="W20" s="36"/>
      <c r="X20" s="36"/>
      <c r="Y20" s="36"/>
      <c r="Z20" s="36"/>
    </row>
    <row r="21" ht="15.75" customHeight="1">
      <c r="A21" s="36"/>
      <c r="B21" s="37"/>
      <c r="C21" s="37"/>
      <c r="D21" s="37"/>
      <c r="E21" s="37"/>
      <c r="F21" s="37"/>
      <c r="G21" s="37"/>
      <c r="H21" s="37"/>
      <c r="I21" s="37"/>
      <c r="J21" s="37"/>
      <c r="K21" s="37"/>
      <c r="L21" s="37"/>
      <c r="M21" s="37"/>
      <c r="N21" s="37"/>
      <c r="O21" s="37"/>
      <c r="P21" s="37"/>
      <c r="Q21" s="36"/>
      <c r="R21" s="36"/>
      <c r="S21" s="36"/>
      <c r="T21" s="36"/>
      <c r="U21" s="36"/>
      <c r="V21" s="36"/>
      <c r="W21" s="36"/>
      <c r="X21" s="36"/>
      <c r="Y21" s="36"/>
      <c r="Z21" s="36"/>
    </row>
    <row r="22" ht="15.75" customHeight="1">
      <c r="A22" s="36"/>
      <c r="B22" s="40"/>
      <c r="C22" s="36"/>
      <c r="D22" s="36"/>
      <c r="E22" s="36"/>
      <c r="F22" s="35"/>
      <c r="G22" s="35"/>
      <c r="H22" s="35"/>
      <c r="I22" s="35"/>
      <c r="J22" s="35"/>
      <c r="K22" s="35"/>
      <c r="L22" s="35"/>
      <c r="M22" s="35"/>
      <c r="N22" s="35"/>
      <c r="O22" s="35"/>
      <c r="P22" s="35"/>
      <c r="Q22" s="36"/>
      <c r="R22" s="36"/>
      <c r="S22" s="36"/>
      <c r="T22" s="36"/>
      <c r="U22" s="36"/>
      <c r="V22" s="36"/>
      <c r="W22" s="36"/>
      <c r="X22" s="36"/>
      <c r="Y22" s="36"/>
      <c r="Z22" s="36"/>
    </row>
    <row r="23" ht="15.75" customHeight="1">
      <c r="A23" s="36"/>
      <c r="B23" s="40"/>
      <c r="C23" s="41"/>
      <c r="D23" s="41"/>
      <c r="E23" s="41"/>
      <c r="F23" s="41"/>
      <c r="G23" s="35"/>
      <c r="H23" s="35"/>
      <c r="I23" s="35"/>
      <c r="J23" s="42"/>
      <c r="K23" s="42"/>
      <c r="L23" s="42"/>
      <c r="M23" s="42"/>
      <c r="N23" s="42"/>
      <c r="O23" s="42"/>
      <c r="P23" s="42"/>
      <c r="Q23" s="36"/>
      <c r="R23" s="36"/>
      <c r="S23" s="36"/>
      <c r="T23" s="36"/>
      <c r="U23" s="36"/>
      <c r="V23" s="36"/>
      <c r="W23" s="36"/>
      <c r="X23" s="36"/>
      <c r="Y23" s="36"/>
      <c r="Z23" s="36"/>
    </row>
    <row r="24" ht="15.75" customHeight="1">
      <c r="A24" s="36"/>
      <c r="B24" s="35"/>
      <c r="C24" s="35"/>
      <c r="D24" s="35"/>
      <c r="E24" s="35"/>
      <c r="F24" s="35"/>
      <c r="G24" s="35"/>
      <c r="H24" s="35"/>
      <c r="I24" s="35"/>
      <c r="J24" s="35"/>
      <c r="K24" s="35"/>
      <c r="L24" s="35"/>
      <c r="M24" s="35"/>
      <c r="N24" s="35"/>
      <c r="O24" s="35"/>
      <c r="P24" s="35"/>
      <c r="Q24" s="36"/>
      <c r="R24" s="36"/>
      <c r="S24" s="36"/>
      <c r="T24" s="36"/>
      <c r="U24" s="36"/>
      <c r="V24" s="36"/>
      <c r="W24" s="36"/>
      <c r="X24" s="36"/>
      <c r="Y24" s="36"/>
      <c r="Z24" s="36"/>
    </row>
    <row r="25" ht="15.75" customHeight="1">
      <c r="A25" s="36"/>
      <c r="B25" s="35"/>
      <c r="C25" s="35"/>
      <c r="D25" s="35"/>
      <c r="E25" s="35"/>
      <c r="F25" s="35"/>
      <c r="G25" s="35"/>
      <c r="H25" s="35"/>
      <c r="I25" s="35"/>
      <c r="J25" s="35"/>
      <c r="K25" s="35"/>
      <c r="L25" s="35"/>
      <c r="M25" s="35"/>
      <c r="N25" s="35"/>
      <c r="O25" s="35"/>
      <c r="P25" s="35"/>
      <c r="Q25" s="36"/>
      <c r="R25" s="36"/>
      <c r="S25" s="36"/>
      <c r="T25" s="36"/>
      <c r="U25" s="36"/>
      <c r="V25" s="36"/>
      <c r="W25" s="36"/>
      <c r="X25" s="36"/>
      <c r="Y25" s="36"/>
      <c r="Z25" s="36"/>
    </row>
    <row r="26" ht="15.75" customHeight="1">
      <c r="A26" s="35"/>
      <c r="B26" s="35"/>
      <c r="C26" s="35"/>
      <c r="D26" s="35"/>
      <c r="E26" s="35"/>
      <c r="F26" s="35"/>
      <c r="G26" s="35"/>
      <c r="H26" s="35"/>
      <c r="I26" s="35"/>
      <c r="J26" s="35"/>
      <c r="K26" s="35"/>
      <c r="L26" s="35"/>
      <c r="M26" s="35"/>
      <c r="N26" s="35"/>
      <c r="O26" s="35"/>
      <c r="P26" s="35"/>
      <c r="Q26" s="35"/>
      <c r="R26" s="35"/>
      <c r="S26" s="35"/>
      <c r="T26" s="35"/>
      <c r="U26" s="35"/>
      <c r="V26" s="35"/>
      <c r="W26" s="35"/>
      <c r="X26" s="35"/>
      <c r="Y26" s="35"/>
      <c r="Z26" s="35"/>
    </row>
    <row r="27" ht="15.75" customHeight="1">
      <c r="A27" s="35"/>
      <c r="B27" s="35"/>
      <c r="C27" s="35"/>
      <c r="D27" s="35"/>
      <c r="E27" s="35"/>
      <c r="F27" s="35"/>
      <c r="G27" s="35"/>
      <c r="H27" s="35"/>
      <c r="I27" s="35"/>
      <c r="J27" s="35"/>
      <c r="K27" s="35"/>
      <c r="L27" s="35"/>
      <c r="M27" s="35"/>
      <c r="N27" s="35"/>
      <c r="O27" s="35"/>
      <c r="P27" s="35"/>
      <c r="Q27" s="35"/>
      <c r="R27" s="35"/>
      <c r="S27" s="35"/>
      <c r="T27" s="35"/>
      <c r="U27" s="35"/>
      <c r="V27" s="35"/>
      <c r="W27" s="35"/>
      <c r="X27" s="35"/>
      <c r="Y27" s="35"/>
      <c r="Z27" s="35"/>
    </row>
    <row r="28" ht="15.75" customHeight="1">
      <c r="A28" s="35"/>
      <c r="B28" s="35"/>
      <c r="C28" s="35"/>
      <c r="D28" s="35"/>
      <c r="E28" s="35"/>
      <c r="F28" s="35"/>
      <c r="G28" s="35"/>
      <c r="H28" s="35"/>
      <c r="I28" s="35"/>
      <c r="J28" s="35"/>
      <c r="K28" s="35"/>
      <c r="L28" s="35"/>
      <c r="M28" s="35"/>
      <c r="N28" s="35"/>
      <c r="O28" s="35"/>
      <c r="P28" s="35"/>
      <c r="Q28" s="35"/>
      <c r="R28" s="35"/>
      <c r="S28" s="35"/>
      <c r="T28" s="35"/>
      <c r="U28" s="35"/>
      <c r="V28" s="35"/>
      <c r="W28" s="35"/>
      <c r="X28" s="35"/>
      <c r="Y28" s="35"/>
      <c r="Z28" s="35"/>
    </row>
    <row r="29" ht="15.75" customHeight="1">
      <c r="A29" s="35"/>
      <c r="B29" s="35"/>
      <c r="C29" s="35"/>
      <c r="D29" s="35"/>
      <c r="E29" s="35"/>
      <c r="F29" s="35"/>
      <c r="G29" s="35"/>
      <c r="H29" s="35"/>
      <c r="I29" s="35"/>
      <c r="J29" s="35"/>
      <c r="K29" s="35"/>
      <c r="L29" s="35"/>
      <c r="M29" s="35"/>
      <c r="N29" s="35"/>
      <c r="O29" s="35"/>
      <c r="P29" s="35"/>
      <c r="Q29" s="35"/>
      <c r="R29" s="35"/>
      <c r="S29" s="35"/>
      <c r="T29" s="35"/>
      <c r="U29" s="35"/>
      <c r="V29" s="35"/>
      <c r="W29" s="35"/>
      <c r="X29" s="35"/>
      <c r="Y29" s="35"/>
      <c r="Z29" s="35"/>
    </row>
    <row r="30" ht="15.75" customHeight="1">
      <c r="A30" s="35"/>
      <c r="B30" s="35"/>
      <c r="C30" s="35"/>
      <c r="D30" s="35"/>
      <c r="E30" s="35"/>
      <c r="F30" s="35"/>
      <c r="G30" s="35"/>
      <c r="H30" s="35"/>
      <c r="I30" s="35"/>
      <c r="J30" s="35"/>
      <c r="K30" s="35"/>
      <c r="L30" s="35"/>
      <c r="M30" s="35"/>
      <c r="N30" s="35"/>
      <c r="O30" s="35"/>
      <c r="P30" s="35"/>
      <c r="Q30" s="35"/>
      <c r="R30" s="35"/>
      <c r="S30" s="35"/>
      <c r="T30" s="35"/>
      <c r="U30" s="35"/>
      <c r="V30" s="35"/>
      <c r="W30" s="35"/>
      <c r="X30" s="35"/>
      <c r="Y30" s="35"/>
      <c r="Z30" s="35"/>
    </row>
    <row r="31" ht="15.75" customHeight="1">
      <c r="A31" s="35"/>
      <c r="B31" s="35"/>
      <c r="C31" s="35"/>
      <c r="D31" s="35"/>
      <c r="E31" s="35"/>
      <c r="F31" s="35"/>
      <c r="G31" s="35"/>
      <c r="H31" s="35"/>
      <c r="I31" s="35"/>
      <c r="J31" s="35"/>
      <c r="K31" s="35"/>
      <c r="L31" s="35"/>
      <c r="M31" s="35"/>
      <c r="N31" s="35"/>
      <c r="O31" s="35"/>
      <c r="P31" s="35"/>
      <c r="Q31" s="35"/>
      <c r="R31" s="35"/>
      <c r="S31" s="35"/>
      <c r="T31" s="35"/>
      <c r="U31" s="35"/>
      <c r="V31" s="35"/>
      <c r="W31" s="35"/>
      <c r="X31" s="35"/>
      <c r="Y31" s="35"/>
      <c r="Z31" s="35"/>
    </row>
    <row r="32" ht="15.75" customHeight="1">
      <c r="A32" s="35"/>
      <c r="B32" s="35"/>
      <c r="C32" s="35"/>
      <c r="D32" s="35"/>
      <c r="E32" s="35"/>
      <c r="F32" s="35"/>
      <c r="G32" s="35"/>
      <c r="H32" s="35"/>
      <c r="I32" s="35"/>
      <c r="J32" s="35"/>
      <c r="K32" s="35"/>
      <c r="L32" s="35"/>
      <c r="M32" s="35"/>
      <c r="N32" s="35"/>
      <c r="O32" s="35"/>
      <c r="P32" s="35"/>
      <c r="Q32" s="35"/>
      <c r="R32" s="35"/>
      <c r="S32" s="35"/>
      <c r="T32" s="35"/>
      <c r="U32" s="35"/>
      <c r="V32" s="35"/>
      <c r="W32" s="35"/>
      <c r="X32" s="35"/>
      <c r="Y32" s="35"/>
      <c r="Z32" s="35"/>
    </row>
    <row r="33" ht="15.75" customHeight="1">
      <c r="A33" s="35"/>
      <c r="B33" s="35"/>
      <c r="C33" s="35"/>
      <c r="D33" s="35"/>
      <c r="E33" s="35"/>
      <c r="F33" s="35"/>
      <c r="G33" s="35"/>
      <c r="H33" s="35"/>
      <c r="I33" s="35"/>
      <c r="J33" s="35"/>
      <c r="K33" s="35"/>
      <c r="L33" s="35"/>
      <c r="M33" s="35"/>
      <c r="N33" s="35"/>
      <c r="O33" s="35"/>
      <c r="P33" s="35"/>
      <c r="Q33" s="35"/>
      <c r="R33" s="35"/>
      <c r="S33" s="35"/>
      <c r="T33" s="35"/>
      <c r="U33" s="35"/>
      <c r="V33" s="35"/>
      <c r="W33" s="35"/>
      <c r="X33" s="35"/>
      <c r="Y33" s="35"/>
      <c r="Z33" s="35"/>
    </row>
    <row r="34" ht="15.75" customHeight="1">
      <c r="A34" s="35"/>
      <c r="B34" s="35"/>
      <c r="C34" s="35"/>
      <c r="D34" s="35"/>
      <c r="E34" s="35"/>
      <c r="F34" s="35"/>
      <c r="G34" s="35"/>
      <c r="H34" s="35"/>
      <c r="I34" s="35"/>
      <c r="J34" s="35"/>
      <c r="K34" s="35"/>
      <c r="L34" s="35"/>
      <c r="M34" s="35"/>
      <c r="N34" s="35"/>
      <c r="O34" s="35"/>
      <c r="P34" s="35"/>
      <c r="Q34" s="35"/>
      <c r="R34" s="35"/>
      <c r="S34" s="35"/>
      <c r="T34" s="35"/>
      <c r="U34" s="35"/>
      <c r="V34" s="35"/>
      <c r="W34" s="35"/>
      <c r="X34" s="35"/>
      <c r="Y34" s="35"/>
      <c r="Z34" s="35"/>
    </row>
    <row r="35" ht="15.75" customHeight="1">
      <c r="A35" s="35"/>
      <c r="B35" s="35"/>
      <c r="C35" s="35"/>
      <c r="D35" s="35"/>
      <c r="E35" s="35"/>
      <c r="F35" s="35"/>
      <c r="G35" s="35"/>
      <c r="H35" s="35"/>
      <c r="I35" s="35"/>
      <c r="J35" s="35"/>
      <c r="K35" s="35"/>
      <c r="L35" s="35"/>
      <c r="M35" s="35"/>
      <c r="N35" s="35"/>
      <c r="O35" s="35"/>
      <c r="P35" s="35"/>
      <c r="Q35" s="35"/>
      <c r="R35" s="35"/>
      <c r="S35" s="35"/>
      <c r="T35" s="35"/>
      <c r="U35" s="35"/>
      <c r="V35" s="35"/>
      <c r="W35" s="35"/>
      <c r="X35" s="35"/>
      <c r="Y35" s="35"/>
      <c r="Z35" s="35"/>
    </row>
    <row r="36" ht="15.75" customHeight="1">
      <c r="A36" s="35"/>
      <c r="B36" s="35"/>
      <c r="C36" s="35"/>
      <c r="D36" s="35"/>
      <c r="E36" s="35"/>
      <c r="F36" s="35"/>
      <c r="G36" s="35"/>
      <c r="H36" s="35"/>
      <c r="I36" s="35"/>
      <c r="J36" s="35"/>
      <c r="K36" s="35"/>
      <c r="L36" s="35"/>
      <c r="M36" s="35"/>
      <c r="N36" s="35"/>
      <c r="O36" s="35"/>
      <c r="P36" s="35"/>
      <c r="Q36" s="35"/>
      <c r="R36" s="35"/>
      <c r="S36" s="35"/>
      <c r="T36" s="35"/>
      <c r="U36" s="35"/>
      <c r="V36" s="35"/>
      <c r="W36" s="35"/>
      <c r="X36" s="35"/>
      <c r="Y36" s="35"/>
      <c r="Z36" s="35"/>
    </row>
    <row r="37" ht="15.75" customHeight="1">
      <c r="A37" s="35"/>
      <c r="B37" s="35"/>
      <c r="C37" s="35"/>
      <c r="D37" s="35"/>
      <c r="E37" s="35"/>
      <c r="F37" s="35"/>
      <c r="G37" s="35"/>
      <c r="H37" s="35"/>
      <c r="I37" s="35"/>
      <c r="J37" s="35"/>
      <c r="K37" s="35"/>
      <c r="L37" s="35"/>
      <c r="M37" s="35"/>
      <c r="N37" s="35"/>
      <c r="O37" s="35"/>
      <c r="P37" s="35"/>
      <c r="Q37" s="35"/>
      <c r="R37" s="35"/>
      <c r="S37" s="35"/>
      <c r="T37" s="35"/>
      <c r="U37" s="35"/>
      <c r="V37" s="35"/>
      <c r="W37" s="35"/>
      <c r="X37" s="35"/>
      <c r="Y37" s="35"/>
      <c r="Z37" s="35"/>
    </row>
    <row r="38" ht="15.75" customHeight="1">
      <c r="A38" s="35"/>
      <c r="B38" s="35"/>
      <c r="C38" s="35"/>
      <c r="D38" s="35"/>
      <c r="E38" s="35"/>
      <c r="F38" s="35"/>
      <c r="G38" s="35"/>
      <c r="H38" s="35"/>
      <c r="I38" s="35"/>
      <c r="J38" s="35"/>
      <c r="K38" s="35"/>
      <c r="L38" s="35"/>
      <c r="M38" s="35"/>
      <c r="N38" s="35"/>
      <c r="O38" s="35"/>
      <c r="P38" s="35"/>
      <c r="Q38" s="35"/>
      <c r="R38" s="35"/>
      <c r="S38" s="35"/>
      <c r="T38" s="35"/>
      <c r="U38" s="35"/>
      <c r="V38" s="35"/>
      <c r="W38" s="35"/>
      <c r="X38" s="35"/>
      <c r="Y38" s="35"/>
      <c r="Z38" s="35"/>
    </row>
    <row r="39" ht="15.75" customHeight="1">
      <c r="A39" s="35"/>
      <c r="B39" s="35"/>
      <c r="C39" s="35"/>
      <c r="D39" s="35"/>
      <c r="E39" s="35"/>
      <c r="F39" s="35"/>
      <c r="G39" s="35"/>
      <c r="H39" s="35"/>
      <c r="I39" s="35"/>
      <c r="J39" s="35"/>
      <c r="K39" s="35"/>
      <c r="L39" s="35"/>
      <c r="M39" s="35"/>
      <c r="N39" s="35"/>
      <c r="O39" s="35"/>
      <c r="P39" s="35"/>
      <c r="Q39" s="35"/>
      <c r="R39" s="35"/>
      <c r="S39" s="35"/>
      <c r="T39" s="35"/>
      <c r="U39" s="35"/>
      <c r="V39" s="35"/>
      <c r="W39" s="35"/>
      <c r="X39" s="35"/>
      <c r="Y39" s="35"/>
      <c r="Z39" s="35"/>
    </row>
    <row r="40" ht="15.75" customHeight="1">
      <c r="A40" s="35"/>
      <c r="B40" s="35"/>
      <c r="C40" s="35"/>
      <c r="D40" s="35"/>
      <c r="E40" s="35"/>
      <c r="F40" s="35"/>
      <c r="G40" s="35"/>
      <c r="H40" s="35"/>
      <c r="I40" s="35"/>
      <c r="J40" s="35"/>
      <c r="K40" s="35"/>
      <c r="L40" s="35"/>
      <c r="M40" s="35"/>
      <c r="N40" s="35"/>
      <c r="O40" s="35"/>
      <c r="P40" s="35"/>
      <c r="Q40" s="35"/>
      <c r="R40" s="35"/>
      <c r="S40" s="35"/>
      <c r="T40" s="35"/>
      <c r="U40" s="35"/>
      <c r="V40" s="35"/>
      <c r="W40" s="35"/>
      <c r="X40" s="35"/>
      <c r="Y40" s="35"/>
      <c r="Z40" s="35"/>
    </row>
    <row r="41" ht="15.75" customHeight="1">
      <c r="A41" s="35"/>
      <c r="B41" s="35"/>
      <c r="C41" s="35"/>
      <c r="D41" s="35"/>
      <c r="E41" s="35"/>
      <c r="F41" s="35"/>
      <c r="G41" s="35"/>
      <c r="H41" s="35"/>
      <c r="I41" s="35"/>
      <c r="J41" s="35"/>
      <c r="K41" s="35"/>
      <c r="L41" s="35"/>
      <c r="M41" s="35"/>
      <c r="N41" s="35"/>
      <c r="O41" s="35"/>
      <c r="P41" s="35"/>
      <c r="Q41" s="35"/>
      <c r="R41" s="35"/>
      <c r="S41" s="35"/>
      <c r="T41" s="35"/>
      <c r="U41" s="35"/>
      <c r="V41" s="35"/>
      <c r="W41" s="35"/>
      <c r="X41" s="35"/>
      <c r="Y41" s="35"/>
      <c r="Z41" s="35"/>
    </row>
    <row r="42" ht="15.75" customHeight="1">
      <c r="A42" s="35"/>
      <c r="B42" s="35"/>
      <c r="C42" s="35"/>
      <c r="D42" s="35"/>
      <c r="E42" s="35"/>
      <c r="F42" s="35"/>
      <c r="G42" s="35"/>
      <c r="H42" s="35"/>
      <c r="I42" s="35"/>
      <c r="J42" s="35"/>
      <c r="K42" s="35"/>
      <c r="L42" s="35"/>
      <c r="M42" s="35"/>
      <c r="N42" s="35"/>
      <c r="O42" s="35"/>
      <c r="P42" s="35"/>
      <c r="Q42" s="35"/>
      <c r="R42" s="35"/>
      <c r="S42" s="35"/>
      <c r="T42" s="35"/>
      <c r="U42" s="35"/>
      <c r="V42" s="35"/>
      <c r="W42" s="35"/>
      <c r="X42" s="35"/>
      <c r="Y42" s="35"/>
      <c r="Z42" s="35"/>
    </row>
    <row r="43" ht="15.75" customHeight="1">
      <c r="A43" s="35"/>
      <c r="B43" s="35"/>
      <c r="C43" s="35"/>
      <c r="D43" s="35"/>
      <c r="E43" s="35"/>
      <c r="F43" s="35"/>
      <c r="G43" s="35"/>
      <c r="H43" s="35"/>
      <c r="I43" s="35"/>
      <c r="J43" s="35"/>
      <c r="K43" s="35"/>
      <c r="L43" s="35"/>
      <c r="M43" s="35"/>
      <c r="N43" s="35"/>
      <c r="O43" s="35"/>
      <c r="P43" s="35"/>
      <c r="Q43" s="35"/>
      <c r="R43" s="35"/>
      <c r="S43" s="35"/>
      <c r="T43" s="35"/>
      <c r="U43" s="35"/>
      <c r="V43" s="35"/>
      <c r="W43" s="35"/>
      <c r="X43" s="35"/>
      <c r="Y43" s="35"/>
      <c r="Z43" s="35"/>
    </row>
    <row r="44" ht="15.75" customHeight="1">
      <c r="A44" s="35"/>
      <c r="B44" s="35"/>
      <c r="C44" s="35"/>
      <c r="D44" s="35"/>
      <c r="E44" s="35"/>
      <c r="F44" s="35"/>
      <c r="G44" s="35"/>
      <c r="H44" s="35"/>
      <c r="I44" s="35"/>
      <c r="J44" s="35"/>
      <c r="K44" s="35"/>
      <c r="L44" s="35"/>
      <c r="M44" s="35"/>
      <c r="N44" s="35"/>
      <c r="O44" s="35"/>
      <c r="P44" s="35"/>
      <c r="Q44" s="35"/>
      <c r="R44" s="35"/>
      <c r="S44" s="35"/>
      <c r="T44" s="35"/>
      <c r="U44" s="35"/>
      <c r="V44" s="35"/>
      <c r="W44" s="35"/>
      <c r="X44" s="35"/>
      <c r="Y44" s="35"/>
      <c r="Z44" s="35"/>
    </row>
    <row r="45" ht="15.75" customHeight="1">
      <c r="A45" s="35"/>
      <c r="B45" s="35"/>
      <c r="C45" s="35"/>
      <c r="D45" s="35"/>
      <c r="E45" s="35"/>
      <c r="F45" s="35"/>
      <c r="G45" s="35"/>
      <c r="H45" s="35"/>
      <c r="I45" s="35"/>
      <c r="J45" s="35"/>
      <c r="K45" s="35"/>
      <c r="L45" s="35"/>
      <c r="M45" s="35"/>
      <c r="N45" s="35"/>
      <c r="O45" s="35"/>
      <c r="P45" s="35"/>
      <c r="Q45" s="35"/>
      <c r="R45" s="35"/>
      <c r="S45" s="35"/>
      <c r="T45" s="35"/>
      <c r="U45" s="35"/>
      <c r="V45" s="35"/>
      <c r="W45" s="35"/>
      <c r="X45" s="35"/>
      <c r="Y45" s="35"/>
      <c r="Z45" s="35"/>
    </row>
    <row r="46" ht="15.75" customHeight="1">
      <c r="A46" s="35"/>
      <c r="B46" s="35"/>
      <c r="C46" s="35"/>
      <c r="D46" s="35"/>
      <c r="E46" s="35"/>
      <c r="F46" s="35"/>
      <c r="G46" s="35"/>
      <c r="H46" s="35"/>
      <c r="I46" s="35"/>
      <c r="J46" s="35"/>
      <c r="K46" s="35"/>
      <c r="L46" s="35"/>
      <c r="M46" s="35"/>
      <c r="N46" s="35"/>
      <c r="O46" s="35"/>
      <c r="P46" s="35"/>
      <c r="Q46" s="35"/>
      <c r="R46" s="35"/>
      <c r="S46" s="35"/>
      <c r="T46" s="35"/>
      <c r="U46" s="35"/>
      <c r="V46" s="35"/>
      <c r="W46" s="35"/>
      <c r="X46" s="35"/>
      <c r="Y46" s="35"/>
      <c r="Z46" s="35"/>
    </row>
    <row r="47" ht="15.75" customHeight="1">
      <c r="A47" s="35"/>
      <c r="B47" s="35"/>
      <c r="C47" s="35"/>
      <c r="D47" s="35"/>
      <c r="E47" s="35"/>
      <c r="F47" s="35"/>
      <c r="G47" s="35"/>
      <c r="H47" s="35"/>
      <c r="I47" s="35"/>
      <c r="J47" s="35"/>
      <c r="K47" s="35"/>
      <c r="L47" s="35"/>
      <c r="M47" s="35"/>
      <c r="N47" s="35"/>
      <c r="O47" s="35"/>
      <c r="P47" s="35"/>
      <c r="Q47" s="35"/>
      <c r="R47" s="35"/>
      <c r="S47" s="35"/>
      <c r="T47" s="35"/>
      <c r="U47" s="35"/>
      <c r="V47" s="35"/>
      <c r="W47" s="35"/>
      <c r="X47" s="35"/>
      <c r="Y47" s="35"/>
      <c r="Z47" s="35"/>
    </row>
    <row r="48" ht="15.75" customHeight="1">
      <c r="A48" s="35"/>
      <c r="B48" s="35"/>
      <c r="C48" s="35"/>
      <c r="D48" s="35"/>
      <c r="E48" s="35"/>
      <c r="F48" s="35"/>
      <c r="G48" s="35"/>
      <c r="H48" s="35"/>
      <c r="I48" s="35"/>
      <c r="J48" s="35"/>
      <c r="K48" s="35"/>
      <c r="L48" s="35"/>
      <c r="M48" s="35"/>
      <c r="N48" s="35"/>
      <c r="O48" s="35"/>
      <c r="P48" s="35"/>
      <c r="Q48" s="35"/>
      <c r="R48" s="35"/>
      <c r="S48" s="35"/>
      <c r="T48" s="35"/>
      <c r="U48" s="35"/>
      <c r="V48" s="35"/>
      <c r="W48" s="35"/>
      <c r="X48" s="35"/>
      <c r="Y48" s="35"/>
      <c r="Z48" s="35"/>
    </row>
    <row r="49" ht="15.75" customHeight="1">
      <c r="A49" s="35"/>
      <c r="B49" s="35"/>
      <c r="C49" s="35"/>
      <c r="D49" s="35"/>
      <c r="E49" s="35"/>
      <c r="F49" s="35"/>
      <c r="G49" s="35"/>
      <c r="H49" s="35"/>
      <c r="I49" s="35"/>
      <c r="J49" s="35"/>
      <c r="K49" s="35"/>
      <c r="L49" s="35"/>
      <c r="M49" s="35"/>
      <c r="N49" s="35"/>
      <c r="O49" s="35"/>
      <c r="P49" s="35"/>
      <c r="Q49" s="35"/>
      <c r="R49" s="35"/>
      <c r="S49" s="35"/>
      <c r="T49" s="35"/>
      <c r="U49" s="35"/>
      <c r="V49" s="35"/>
      <c r="W49" s="35"/>
      <c r="X49" s="35"/>
      <c r="Y49" s="35"/>
      <c r="Z49" s="35"/>
    </row>
    <row r="50" ht="15.75" customHeight="1">
      <c r="A50" s="35"/>
      <c r="B50" s="35"/>
      <c r="C50" s="35"/>
      <c r="D50" s="35"/>
      <c r="E50" s="35"/>
      <c r="F50" s="35"/>
      <c r="G50" s="35"/>
      <c r="H50" s="35"/>
      <c r="I50" s="35"/>
      <c r="J50" s="35"/>
      <c r="K50" s="35"/>
      <c r="L50" s="35"/>
      <c r="M50" s="35"/>
      <c r="N50" s="35"/>
      <c r="O50" s="35"/>
      <c r="P50" s="35"/>
      <c r="Q50" s="35"/>
      <c r="R50" s="35"/>
      <c r="S50" s="35"/>
      <c r="T50" s="35"/>
      <c r="U50" s="35"/>
      <c r="V50" s="35"/>
      <c r="W50" s="35"/>
      <c r="X50" s="35"/>
      <c r="Y50" s="35"/>
      <c r="Z50" s="35"/>
    </row>
    <row r="51" ht="15.75" customHeight="1">
      <c r="A51" s="35"/>
      <c r="B51" s="35"/>
      <c r="C51" s="35"/>
      <c r="D51" s="35"/>
      <c r="E51" s="35"/>
      <c r="F51" s="35"/>
      <c r="G51" s="35"/>
      <c r="H51" s="35"/>
      <c r="I51" s="35"/>
      <c r="J51" s="35"/>
      <c r="K51" s="35"/>
      <c r="L51" s="35"/>
      <c r="M51" s="35"/>
      <c r="N51" s="35"/>
      <c r="O51" s="35"/>
      <c r="P51" s="35"/>
      <c r="Q51" s="35"/>
      <c r="R51" s="35"/>
      <c r="S51" s="35"/>
      <c r="T51" s="35"/>
      <c r="U51" s="35"/>
      <c r="V51" s="35"/>
      <c r="W51" s="35"/>
      <c r="X51" s="35"/>
      <c r="Y51" s="35"/>
      <c r="Z51" s="35"/>
    </row>
    <row r="52" ht="15.75" customHeight="1">
      <c r="A52" s="35"/>
      <c r="B52" s="35"/>
      <c r="C52" s="35"/>
      <c r="D52" s="35"/>
      <c r="E52" s="35"/>
      <c r="F52" s="35"/>
      <c r="G52" s="35"/>
      <c r="H52" s="35"/>
      <c r="I52" s="35"/>
      <c r="J52" s="35"/>
      <c r="K52" s="35"/>
      <c r="L52" s="35"/>
      <c r="M52" s="35"/>
      <c r="N52" s="35"/>
      <c r="O52" s="35"/>
      <c r="P52" s="35"/>
      <c r="Q52" s="35"/>
      <c r="R52" s="35"/>
      <c r="S52" s="35"/>
      <c r="T52" s="35"/>
      <c r="U52" s="35"/>
      <c r="V52" s="35"/>
      <c r="W52" s="35"/>
      <c r="X52" s="35"/>
      <c r="Y52" s="35"/>
      <c r="Z52" s="35"/>
    </row>
    <row r="53" ht="15.75" customHeight="1">
      <c r="A53" s="35"/>
      <c r="B53" s="35"/>
      <c r="C53" s="35"/>
      <c r="D53" s="35"/>
      <c r="E53" s="35"/>
      <c r="F53" s="35"/>
      <c r="G53" s="35"/>
      <c r="H53" s="35"/>
      <c r="I53" s="35"/>
      <c r="J53" s="35"/>
      <c r="K53" s="35"/>
      <c r="L53" s="35"/>
      <c r="M53" s="35"/>
      <c r="N53" s="35"/>
      <c r="O53" s="35"/>
      <c r="P53" s="35"/>
      <c r="Q53" s="35"/>
      <c r="R53" s="35"/>
      <c r="S53" s="35"/>
      <c r="T53" s="35"/>
      <c r="U53" s="35"/>
      <c r="V53" s="35"/>
      <c r="W53" s="35"/>
      <c r="X53" s="35"/>
      <c r="Y53" s="35"/>
      <c r="Z53" s="35"/>
    </row>
    <row r="54" ht="15.75" customHeight="1">
      <c r="A54" s="35"/>
      <c r="B54" s="35"/>
      <c r="C54" s="35"/>
      <c r="D54" s="35"/>
      <c r="E54" s="35"/>
      <c r="F54" s="35"/>
      <c r="G54" s="35"/>
      <c r="H54" s="35"/>
      <c r="I54" s="35"/>
      <c r="J54" s="35"/>
      <c r="K54" s="35"/>
      <c r="L54" s="35"/>
      <c r="M54" s="35"/>
      <c r="N54" s="35"/>
      <c r="O54" s="35"/>
      <c r="P54" s="35"/>
      <c r="Q54" s="35"/>
      <c r="R54" s="35"/>
      <c r="S54" s="35"/>
      <c r="T54" s="35"/>
      <c r="U54" s="35"/>
      <c r="V54" s="35"/>
      <c r="W54" s="35"/>
      <c r="X54" s="35"/>
      <c r="Y54" s="35"/>
      <c r="Z54" s="35"/>
    </row>
    <row r="55" ht="15.75" customHeight="1">
      <c r="A55" s="35"/>
      <c r="B55" s="35"/>
      <c r="C55" s="35"/>
      <c r="D55" s="35"/>
      <c r="E55" s="35"/>
      <c r="F55" s="35"/>
      <c r="G55" s="35"/>
      <c r="H55" s="35"/>
      <c r="I55" s="35"/>
      <c r="J55" s="35"/>
      <c r="K55" s="35"/>
      <c r="L55" s="35"/>
      <c r="M55" s="35"/>
      <c r="N55" s="35"/>
      <c r="O55" s="35"/>
      <c r="P55" s="35"/>
      <c r="Q55" s="35"/>
      <c r="R55" s="35"/>
      <c r="S55" s="35"/>
      <c r="T55" s="35"/>
      <c r="U55" s="35"/>
      <c r="V55" s="35"/>
      <c r="W55" s="35"/>
      <c r="X55" s="35"/>
      <c r="Y55" s="35"/>
      <c r="Z55" s="35"/>
    </row>
    <row r="56" ht="15.75" customHeight="1">
      <c r="A56" s="35"/>
      <c r="B56" s="35"/>
      <c r="C56" s="35"/>
      <c r="D56" s="35"/>
      <c r="E56" s="35"/>
      <c r="F56" s="35"/>
      <c r="G56" s="35"/>
      <c r="H56" s="35"/>
      <c r="I56" s="35"/>
      <c r="J56" s="35"/>
      <c r="K56" s="35"/>
      <c r="L56" s="35"/>
      <c r="M56" s="35"/>
      <c r="N56" s="35"/>
      <c r="O56" s="35"/>
      <c r="P56" s="35"/>
      <c r="Q56" s="35"/>
      <c r="R56" s="35"/>
      <c r="S56" s="35"/>
      <c r="T56" s="35"/>
      <c r="U56" s="35"/>
      <c r="V56" s="35"/>
      <c r="W56" s="35"/>
      <c r="X56" s="35"/>
      <c r="Y56" s="35"/>
      <c r="Z56" s="35"/>
    </row>
    <row r="57" ht="15.75" customHeight="1">
      <c r="A57" s="35"/>
      <c r="B57" s="35"/>
      <c r="C57" s="35"/>
      <c r="D57" s="35"/>
      <c r="E57" s="35"/>
      <c r="F57" s="35"/>
      <c r="G57" s="35"/>
      <c r="H57" s="35"/>
      <c r="I57" s="35"/>
      <c r="J57" s="35"/>
      <c r="K57" s="35"/>
      <c r="L57" s="35"/>
      <c r="M57" s="35"/>
      <c r="N57" s="35"/>
      <c r="O57" s="35"/>
      <c r="P57" s="35"/>
      <c r="Q57" s="35"/>
      <c r="R57" s="35"/>
      <c r="S57" s="35"/>
      <c r="T57" s="35"/>
      <c r="U57" s="35"/>
      <c r="V57" s="35"/>
      <c r="W57" s="35"/>
      <c r="X57" s="35"/>
      <c r="Y57" s="35"/>
      <c r="Z57" s="35"/>
    </row>
    <row r="58" ht="15.75" customHeight="1">
      <c r="A58" s="35"/>
      <c r="B58" s="35"/>
      <c r="C58" s="35"/>
      <c r="D58" s="35"/>
      <c r="E58" s="35"/>
      <c r="F58" s="35"/>
      <c r="G58" s="35"/>
      <c r="H58" s="35"/>
      <c r="I58" s="35"/>
      <c r="J58" s="35"/>
      <c r="K58" s="35"/>
      <c r="L58" s="35"/>
      <c r="M58" s="35"/>
      <c r="N58" s="35"/>
      <c r="O58" s="35"/>
      <c r="P58" s="35"/>
      <c r="Q58" s="35"/>
      <c r="R58" s="35"/>
      <c r="S58" s="35"/>
      <c r="T58" s="35"/>
      <c r="U58" s="35"/>
      <c r="V58" s="35"/>
      <c r="W58" s="35"/>
      <c r="X58" s="35"/>
      <c r="Y58" s="35"/>
      <c r="Z58" s="35"/>
    </row>
    <row r="59" ht="15.75" customHeight="1">
      <c r="A59" s="35"/>
      <c r="B59" s="35"/>
      <c r="C59" s="35"/>
      <c r="D59" s="35"/>
      <c r="E59" s="35"/>
      <c r="F59" s="35"/>
      <c r="G59" s="35"/>
      <c r="H59" s="35"/>
      <c r="I59" s="35"/>
      <c r="J59" s="35"/>
      <c r="K59" s="35"/>
      <c r="L59" s="35"/>
      <c r="M59" s="35"/>
      <c r="N59" s="35"/>
      <c r="O59" s="35"/>
      <c r="P59" s="35"/>
      <c r="Q59" s="35"/>
      <c r="R59" s="35"/>
      <c r="S59" s="35"/>
      <c r="T59" s="35"/>
      <c r="U59" s="35"/>
      <c r="V59" s="35"/>
      <c r="W59" s="35"/>
      <c r="X59" s="35"/>
      <c r="Y59" s="35"/>
      <c r="Z59" s="35"/>
    </row>
    <row r="60" ht="15.75" customHeight="1">
      <c r="A60" s="35"/>
      <c r="B60" s="35"/>
      <c r="C60" s="35"/>
      <c r="D60" s="35"/>
      <c r="E60" s="35"/>
      <c r="F60" s="35"/>
      <c r="G60" s="35"/>
      <c r="H60" s="35"/>
      <c r="I60" s="35"/>
      <c r="J60" s="35"/>
      <c r="K60" s="35"/>
      <c r="L60" s="35"/>
      <c r="M60" s="35"/>
      <c r="N60" s="35"/>
      <c r="O60" s="35"/>
      <c r="P60" s="35"/>
      <c r="Q60" s="35"/>
      <c r="R60" s="35"/>
      <c r="S60" s="35"/>
      <c r="T60" s="35"/>
      <c r="U60" s="35"/>
      <c r="V60" s="35"/>
      <c r="W60" s="35"/>
      <c r="X60" s="35"/>
      <c r="Y60" s="35"/>
      <c r="Z60" s="35"/>
    </row>
    <row r="61" ht="15.75" customHeight="1">
      <c r="A61" s="35"/>
      <c r="B61" s="35"/>
      <c r="C61" s="35"/>
      <c r="D61" s="35"/>
      <c r="E61" s="35"/>
      <c r="F61" s="35"/>
      <c r="G61" s="35"/>
      <c r="H61" s="35"/>
      <c r="I61" s="35"/>
      <c r="J61" s="35"/>
      <c r="K61" s="35"/>
      <c r="L61" s="35"/>
      <c r="M61" s="35"/>
      <c r="N61" s="35"/>
      <c r="O61" s="35"/>
      <c r="P61" s="35"/>
      <c r="Q61" s="35"/>
      <c r="R61" s="35"/>
      <c r="S61" s="35"/>
      <c r="T61" s="35"/>
      <c r="U61" s="35"/>
      <c r="V61" s="35"/>
      <c r="W61" s="35"/>
      <c r="X61" s="35"/>
      <c r="Y61" s="35"/>
      <c r="Z61" s="35"/>
    </row>
    <row r="62" ht="15.75" customHeight="1">
      <c r="A62" s="35"/>
      <c r="B62" s="35"/>
      <c r="C62" s="35"/>
      <c r="D62" s="35"/>
      <c r="E62" s="35"/>
      <c r="F62" s="35"/>
      <c r="G62" s="35"/>
      <c r="H62" s="35"/>
      <c r="I62" s="35"/>
      <c r="J62" s="35"/>
      <c r="K62" s="35"/>
      <c r="L62" s="35"/>
      <c r="M62" s="35"/>
      <c r="N62" s="35"/>
      <c r="O62" s="35"/>
      <c r="P62" s="35"/>
      <c r="Q62" s="35"/>
      <c r="R62" s="35"/>
      <c r="S62" s="35"/>
      <c r="T62" s="35"/>
      <c r="U62" s="35"/>
      <c r="V62" s="35"/>
      <c r="W62" s="35"/>
      <c r="X62" s="35"/>
      <c r="Y62" s="35"/>
      <c r="Z62" s="35"/>
    </row>
    <row r="63" ht="15.75" customHeight="1">
      <c r="A63" s="35"/>
      <c r="B63" s="35"/>
      <c r="C63" s="35"/>
      <c r="D63" s="35"/>
      <c r="E63" s="35"/>
      <c r="F63" s="35"/>
      <c r="G63" s="35"/>
      <c r="H63" s="35"/>
      <c r="I63" s="35"/>
      <c r="J63" s="35"/>
      <c r="K63" s="35"/>
      <c r="L63" s="35"/>
      <c r="M63" s="35"/>
      <c r="N63" s="35"/>
      <c r="O63" s="35"/>
      <c r="P63" s="35"/>
      <c r="Q63" s="35"/>
      <c r="R63" s="35"/>
      <c r="S63" s="35"/>
      <c r="T63" s="35"/>
      <c r="U63" s="35"/>
      <c r="V63" s="35"/>
      <c r="W63" s="35"/>
      <c r="X63" s="35"/>
      <c r="Y63" s="35"/>
      <c r="Z63" s="35"/>
    </row>
    <row r="64" ht="15.75" customHeight="1">
      <c r="A64" s="35"/>
      <c r="B64" s="35"/>
      <c r="C64" s="35"/>
      <c r="D64" s="35"/>
      <c r="E64" s="35"/>
      <c r="F64" s="35"/>
      <c r="G64" s="35"/>
      <c r="H64" s="35"/>
      <c r="I64" s="35"/>
      <c r="J64" s="35"/>
      <c r="K64" s="35"/>
      <c r="L64" s="35"/>
      <c r="M64" s="35"/>
      <c r="N64" s="35"/>
      <c r="O64" s="35"/>
      <c r="P64" s="35"/>
      <c r="Q64" s="35"/>
      <c r="R64" s="35"/>
      <c r="S64" s="35"/>
      <c r="T64" s="35"/>
      <c r="U64" s="35"/>
      <c r="V64" s="35"/>
      <c r="W64" s="35"/>
      <c r="X64" s="35"/>
      <c r="Y64" s="35"/>
      <c r="Z64" s="35"/>
    </row>
    <row r="65" ht="15.75" customHeight="1">
      <c r="A65" s="35"/>
      <c r="B65" s="35"/>
      <c r="C65" s="35"/>
      <c r="D65" s="35"/>
      <c r="E65" s="35"/>
      <c r="F65" s="35"/>
      <c r="G65" s="35"/>
      <c r="H65" s="35"/>
      <c r="I65" s="35"/>
      <c r="J65" s="35"/>
      <c r="K65" s="35"/>
      <c r="L65" s="35"/>
      <c r="M65" s="35"/>
      <c r="N65" s="35"/>
      <c r="O65" s="35"/>
      <c r="P65" s="35"/>
      <c r="Q65" s="35"/>
      <c r="R65" s="35"/>
      <c r="S65" s="35"/>
      <c r="T65" s="35"/>
      <c r="U65" s="35"/>
      <c r="V65" s="35"/>
      <c r="W65" s="35"/>
      <c r="X65" s="35"/>
      <c r="Y65" s="35"/>
      <c r="Z65" s="35"/>
    </row>
    <row r="66" ht="15.75" customHeight="1">
      <c r="A66" s="35"/>
      <c r="B66" s="35"/>
      <c r="C66" s="35"/>
      <c r="D66" s="35"/>
      <c r="E66" s="35"/>
      <c r="F66" s="35"/>
      <c r="G66" s="35"/>
      <c r="H66" s="35"/>
      <c r="I66" s="35"/>
      <c r="J66" s="35"/>
      <c r="K66" s="35"/>
      <c r="L66" s="35"/>
      <c r="M66" s="35"/>
      <c r="N66" s="35"/>
      <c r="O66" s="35"/>
      <c r="P66" s="35"/>
      <c r="Q66" s="35"/>
      <c r="R66" s="35"/>
      <c r="S66" s="35"/>
      <c r="T66" s="35"/>
      <c r="U66" s="35"/>
      <c r="V66" s="35"/>
      <c r="W66" s="35"/>
      <c r="X66" s="35"/>
      <c r="Y66" s="35"/>
      <c r="Z66" s="35"/>
    </row>
    <row r="67" ht="15.75" customHeight="1">
      <c r="A67" s="35"/>
      <c r="B67" s="35"/>
      <c r="C67" s="35"/>
      <c r="D67" s="35"/>
      <c r="E67" s="35"/>
      <c r="F67" s="35"/>
      <c r="G67" s="35"/>
      <c r="H67" s="35"/>
      <c r="I67" s="35"/>
      <c r="J67" s="35"/>
      <c r="K67" s="35"/>
      <c r="L67" s="35"/>
      <c r="M67" s="35"/>
      <c r="N67" s="35"/>
      <c r="O67" s="35"/>
      <c r="P67" s="35"/>
      <c r="Q67" s="35"/>
      <c r="R67" s="35"/>
      <c r="S67" s="35"/>
      <c r="T67" s="35"/>
      <c r="U67" s="35"/>
      <c r="V67" s="35"/>
      <c r="W67" s="35"/>
      <c r="X67" s="35"/>
      <c r="Y67" s="35"/>
      <c r="Z67" s="35"/>
    </row>
    <row r="68" ht="15.75" customHeight="1">
      <c r="A68" s="35"/>
      <c r="B68" s="35"/>
      <c r="C68" s="35"/>
      <c r="D68" s="35"/>
      <c r="E68" s="35"/>
      <c r="F68" s="35"/>
      <c r="G68" s="35"/>
      <c r="H68" s="35"/>
      <c r="I68" s="35"/>
      <c r="J68" s="35"/>
      <c r="K68" s="35"/>
      <c r="L68" s="35"/>
      <c r="M68" s="35"/>
      <c r="N68" s="35"/>
      <c r="O68" s="35"/>
      <c r="P68" s="35"/>
      <c r="Q68" s="35"/>
      <c r="R68" s="35"/>
      <c r="S68" s="35"/>
      <c r="T68" s="35"/>
      <c r="U68" s="35"/>
      <c r="V68" s="35"/>
      <c r="W68" s="35"/>
      <c r="X68" s="35"/>
      <c r="Y68" s="35"/>
      <c r="Z68" s="35"/>
    </row>
    <row r="69" ht="15.75" customHeight="1">
      <c r="A69" s="35"/>
      <c r="B69" s="35"/>
      <c r="C69" s="35"/>
      <c r="D69" s="35"/>
      <c r="E69" s="35"/>
      <c r="F69" s="35"/>
      <c r="G69" s="35"/>
      <c r="H69" s="35"/>
      <c r="I69" s="35"/>
      <c r="J69" s="35"/>
      <c r="K69" s="35"/>
      <c r="L69" s="35"/>
      <c r="M69" s="35"/>
      <c r="N69" s="35"/>
      <c r="O69" s="35"/>
      <c r="P69" s="35"/>
      <c r="Q69" s="35"/>
      <c r="R69" s="35"/>
      <c r="S69" s="35"/>
      <c r="T69" s="35"/>
      <c r="U69" s="35"/>
      <c r="V69" s="35"/>
      <c r="W69" s="35"/>
      <c r="X69" s="35"/>
      <c r="Y69" s="35"/>
      <c r="Z69" s="35"/>
    </row>
    <row r="70" ht="15.75" customHeight="1">
      <c r="A70" s="35"/>
      <c r="B70" s="35"/>
      <c r="C70" s="35"/>
      <c r="D70" s="35"/>
      <c r="E70" s="35"/>
      <c r="F70" s="35"/>
      <c r="G70" s="35"/>
      <c r="H70" s="35"/>
      <c r="I70" s="35"/>
      <c r="J70" s="35"/>
      <c r="K70" s="35"/>
      <c r="L70" s="35"/>
      <c r="M70" s="35"/>
      <c r="N70" s="35"/>
      <c r="O70" s="35"/>
      <c r="P70" s="35"/>
      <c r="Q70" s="35"/>
      <c r="R70" s="35"/>
      <c r="S70" s="35"/>
      <c r="T70" s="35"/>
      <c r="U70" s="35"/>
      <c r="V70" s="35"/>
      <c r="W70" s="35"/>
      <c r="X70" s="35"/>
      <c r="Y70" s="35"/>
      <c r="Z70" s="35"/>
    </row>
    <row r="71" ht="15.75" customHeight="1">
      <c r="A71" s="35"/>
      <c r="B71" s="35"/>
      <c r="C71" s="35"/>
      <c r="D71" s="35"/>
      <c r="E71" s="35"/>
      <c r="F71" s="35"/>
      <c r="G71" s="35"/>
      <c r="H71" s="35"/>
      <c r="I71" s="35"/>
      <c r="J71" s="35"/>
      <c r="K71" s="35"/>
      <c r="L71" s="35"/>
      <c r="M71" s="35"/>
      <c r="N71" s="35"/>
      <c r="O71" s="35"/>
      <c r="P71" s="35"/>
      <c r="Q71" s="35"/>
      <c r="R71" s="35"/>
      <c r="S71" s="35"/>
      <c r="T71" s="35"/>
      <c r="U71" s="35"/>
      <c r="V71" s="35"/>
      <c r="W71" s="35"/>
      <c r="X71" s="35"/>
      <c r="Y71" s="35"/>
      <c r="Z71" s="35"/>
    </row>
    <row r="72" ht="15.75" customHeight="1">
      <c r="A72" s="35"/>
      <c r="B72" s="35"/>
      <c r="C72" s="35"/>
      <c r="D72" s="35"/>
      <c r="E72" s="35"/>
      <c r="F72" s="35"/>
      <c r="G72" s="35"/>
      <c r="H72" s="35"/>
      <c r="I72" s="35"/>
      <c r="J72" s="35"/>
      <c r="K72" s="35"/>
      <c r="L72" s="35"/>
      <c r="M72" s="35"/>
      <c r="N72" s="35"/>
      <c r="O72" s="35"/>
      <c r="P72" s="35"/>
      <c r="Q72" s="35"/>
      <c r="R72" s="35"/>
      <c r="S72" s="35"/>
      <c r="T72" s="35"/>
      <c r="U72" s="35"/>
      <c r="V72" s="35"/>
      <c r="W72" s="35"/>
      <c r="X72" s="35"/>
      <c r="Y72" s="35"/>
      <c r="Z72" s="35"/>
    </row>
    <row r="73" ht="15.75" customHeight="1">
      <c r="A73" s="35"/>
      <c r="B73" s="35"/>
      <c r="C73" s="35"/>
      <c r="D73" s="35"/>
      <c r="E73" s="35"/>
      <c r="F73" s="35"/>
      <c r="G73" s="35"/>
      <c r="H73" s="35"/>
      <c r="I73" s="35"/>
      <c r="J73" s="35"/>
      <c r="K73" s="35"/>
      <c r="L73" s="35"/>
      <c r="M73" s="35"/>
      <c r="N73" s="35"/>
      <c r="O73" s="35"/>
      <c r="P73" s="35"/>
      <c r="Q73" s="35"/>
      <c r="R73" s="35"/>
      <c r="S73" s="35"/>
      <c r="T73" s="35"/>
      <c r="U73" s="35"/>
      <c r="V73" s="35"/>
      <c r="W73" s="35"/>
      <c r="X73" s="35"/>
      <c r="Y73" s="35"/>
      <c r="Z73" s="35"/>
    </row>
    <row r="74" ht="15.75" customHeight="1">
      <c r="A74" s="35"/>
      <c r="B74" s="35"/>
      <c r="C74" s="35"/>
      <c r="D74" s="35"/>
      <c r="E74" s="35"/>
      <c r="F74" s="35"/>
      <c r="G74" s="35"/>
      <c r="H74" s="35"/>
      <c r="I74" s="35"/>
      <c r="J74" s="35"/>
      <c r="K74" s="35"/>
      <c r="L74" s="35"/>
      <c r="M74" s="35"/>
      <c r="N74" s="35"/>
      <c r="O74" s="35"/>
      <c r="P74" s="35"/>
      <c r="Q74" s="35"/>
      <c r="R74" s="35"/>
      <c r="S74" s="35"/>
      <c r="T74" s="35"/>
      <c r="U74" s="35"/>
      <c r="V74" s="35"/>
      <c r="W74" s="35"/>
      <c r="X74" s="35"/>
      <c r="Y74" s="35"/>
      <c r="Z74" s="35"/>
    </row>
    <row r="75" ht="15.75" customHeight="1">
      <c r="A75" s="35"/>
      <c r="B75" s="35"/>
      <c r="C75" s="35"/>
      <c r="D75" s="35"/>
      <c r="E75" s="35"/>
      <c r="F75" s="35"/>
      <c r="G75" s="35"/>
      <c r="H75" s="35"/>
      <c r="I75" s="35"/>
      <c r="J75" s="35"/>
      <c r="K75" s="35"/>
      <c r="L75" s="35"/>
      <c r="M75" s="35"/>
      <c r="N75" s="35"/>
      <c r="O75" s="35"/>
      <c r="P75" s="35"/>
      <c r="Q75" s="35"/>
      <c r="R75" s="35"/>
      <c r="S75" s="35"/>
      <c r="T75" s="35"/>
      <c r="U75" s="35"/>
      <c r="V75" s="35"/>
      <c r="W75" s="35"/>
      <c r="X75" s="35"/>
      <c r="Y75" s="35"/>
      <c r="Z75" s="35"/>
    </row>
    <row r="76" ht="15.75" customHeight="1">
      <c r="A76" s="35"/>
      <c r="B76" s="35"/>
      <c r="C76" s="35"/>
      <c r="D76" s="35"/>
      <c r="E76" s="35"/>
      <c r="F76" s="35"/>
      <c r="G76" s="35"/>
      <c r="H76" s="35"/>
      <c r="I76" s="35"/>
      <c r="J76" s="35"/>
      <c r="K76" s="35"/>
      <c r="L76" s="35"/>
      <c r="M76" s="35"/>
      <c r="N76" s="35"/>
      <c r="O76" s="35"/>
      <c r="P76" s="35"/>
      <c r="Q76" s="35"/>
      <c r="R76" s="35"/>
      <c r="S76" s="35"/>
      <c r="T76" s="35"/>
      <c r="U76" s="35"/>
      <c r="V76" s="35"/>
      <c r="W76" s="35"/>
      <c r="X76" s="35"/>
      <c r="Y76" s="35"/>
      <c r="Z76" s="35"/>
    </row>
    <row r="77" ht="15.75" customHeight="1">
      <c r="A77" s="35"/>
      <c r="B77" s="35"/>
      <c r="C77" s="35"/>
      <c r="D77" s="35"/>
      <c r="E77" s="35"/>
      <c r="F77" s="35"/>
      <c r="G77" s="35"/>
      <c r="H77" s="35"/>
      <c r="I77" s="35"/>
      <c r="J77" s="35"/>
      <c r="K77" s="35"/>
      <c r="L77" s="35"/>
      <c r="M77" s="35"/>
      <c r="N77" s="35"/>
      <c r="O77" s="35"/>
      <c r="P77" s="35"/>
      <c r="Q77" s="35"/>
      <c r="R77" s="35"/>
      <c r="S77" s="35"/>
      <c r="T77" s="35"/>
      <c r="U77" s="35"/>
      <c r="V77" s="35"/>
      <c r="W77" s="35"/>
      <c r="X77" s="35"/>
      <c r="Y77" s="35"/>
      <c r="Z77" s="35"/>
    </row>
    <row r="78" ht="15.75" customHeight="1">
      <c r="A78" s="35"/>
      <c r="B78" s="35"/>
      <c r="C78" s="35"/>
      <c r="D78" s="35"/>
      <c r="E78" s="35"/>
      <c r="F78" s="35"/>
      <c r="G78" s="35"/>
      <c r="H78" s="35"/>
      <c r="I78" s="35"/>
      <c r="J78" s="35"/>
      <c r="K78" s="35"/>
      <c r="L78" s="35"/>
      <c r="M78" s="35"/>
      <c r="N78" s="35"/>
      <c r="O78" s="35"/>
      <c r="P78" s="35"/>
      <c r="Q78" s="35"/>
      <c r="R78" s="35"/>
      <c r="S78" s="35"/>
      <c r="T78" s="35"/>
      <c r="U78" s="35"/>
      <c r="V78" s="35"/>
      <c r="W78" s="35"/>
      <c r="X78" s="35"/>
      <c r="Y78" s="35"/>
      <c r="Z78" s="35"/>
    </row>
    <row r="79" ht="15.75" customHeight="1">
      <c r="A79" s="35"/>
      <c r="B79" s="35"/>
      <c r="C79" s="35"/>
      <c r="D79" s="35"/>
      <c r="E79" s="35"/>
      <c r="F79" s="35"/>
      <c r="G79" s="35"/>
      <c r="H79" s="35"/>
      <c r="I79" s="35"/>
      <c r="J79" s="35"/>
      <c r="K79" s="35"/>
      <c r="L79" s="35"/>
      <c r="M79" s="35"/>
      <c r="N79" s="35"/>
      <c r="O79" s="35"/>
      <c r="P79" s="35"/>
      <c r="Q79" s="35"/>
      <c r="R79" s="35"/>
      <c r="S79" s="35"/>
      <c r="T79" s="35"/>
      <c r="U79" s="35"/>
      <c r="V79" s="35"/>
      <c r="W79" s="35"/>
      <c r="X79" s="35"/>
      <c r="Y79" s="35"/>
      <c r="Z79" s="35"/>
    </row>
    <row r="80" ht="15.75" customHeight="1">
      <c r="A80" s="35"/>
      <c r="B80" s="35"/>
      <c r="C80" s="35"/>
      <c r="D80" s="35"/>
      <c r="E80" s="35"/>
      <c r="F80" s="35"/>
      <c r="G80" s="35"/>
      <c r="H80" s="35"/>
      <c r="I80" s="35"/>
      <c r="J80" s="35"/>
      <c r="K80" s="35"/>
      <c r="L80" s="35"/>
      <c r="M80" s="35"/>
      <c r="N80" s="35"/>
      <c r="O80" s="35"/>
      <c r="P80" s="35"/>
      <c r="Q80" s="35"/>
      <c r="R80" s="35"/>
      <c r="S80" s="35"/>
      <c r="T80" s="35"/>
      <c r="U80" s="35"/>
      <c r="V80" s="35"/>
      <c r="W80" s="35"/>
      <c r="X80" s="35"/>
      <c r="Y80" s="35"/>
      <c r="Z80" s="35"/>
    </row>
    <row r="81" ht="15.75" customHeight="1">
      <c r="A81" s="35"/>
      <c r="B81" s="35"/>
      <c r="C81" s="35"/>
      <c r="D81" s="35"/>
      <c r="E81" s="35"/>
      <c r="F81" s="35"/>
      <c r="G81" s="35"/>
      <c r="H81" s="35"/>
      <c r="I81" s="35"/>
      <c r="J81" s="35"/>
      <c r="K81" s="35"/>
      <c r="L81" s="35"/>
      <c r="M81" s="35"/>
      <c r="N81" s="35"/>
      <c r="O81" s="35"/>
      <c r="P81" s="35"/>
      <c r="Q81" s="35"/>
      <c r="R81" s="35"/>
      <c r="S81" s="35"/>
      <c r="T81" s="35"/>
      <c r="U81" s="35"/>
      <c r="V81" s="35"/>
      <c r="W81" s="35"/>
      <c r="X81" s="35"/>
      <c r="Y81" s="35"/>
      <c r="Z81" s="35"/>
    </row>
    <row r="82" ht="15.75" customHeight="1">
      <c r="A82" s="35"/>
      <c r="B82" s="35"/>
      <c r="C82" s="35"/>
      <c r="D82" s="35"/>
      <c r="E82" s="35"/>
      <c r="F82" s="35"/>
      <c r="G82" s="35"/>
      <c r="H82" s="35"/>
      <c r="I82" s="35"/>
      <c r="J82" s="35"/>
      <c r="K82" s="35"/>
      <c r="L82" s="35"/>
      <c r="M82" s="35"/>
      <c r="N82" s="35"/>
      <c r="O82" s="35"/>
      <c r="P82" s="35"/>
      <c r="Q82" s="35"/>
      <c r="R82" s="35"/>
      <c r="S82" s="35"/>
      <c r="T82" s="35"/>
      <c r="U82" s="35"/>
      <c r="V82" s="248"/>
      <c r="W82" s="35"/>
      <c r="X82" s="35"/>
      <c r="Y82" s="35"/>
      <c r="Z82" s="35"/>
    </row>
    <row r="83" ht="15.75" customHeight="1">
      <c r="A83" s="35"/>
      <c r="B83" s="35"/>
      <c r="C83" s="35"/>
      <c r="D83" s="35"/>
      <c r="E83" s="35"/>
      <c r="F83" s="35"/>
      <c r="G83" s="35"/>
      <c r="H83" s="35"/>
      <c r="I83" s="35"/>
      <c r="J83" s="35"/>
      <c r="K83" s="35"/>
      <c r="L83" s="35"/>
      <c r="M83" s="35"/>
      <c r="N83" s="35"/>
      <c r="O83" s="35"/>
      <c r="P83" s="35"/>
      <c r="Q83" s="35"/>
      <c r="R83" s="35"/>
      <c r="S83" s="35"/>
      <c r="T83" s="35"/>
      <c r="U83" s="35"/>
      <c r="V83" s="249"/>
      <c r="W83" s="35"/>
      <c r="X83" s="35"/>
      <c r="Y83" s="35"/>
      <c r="Z83" s="35"/>
    </row>
    <row r="84" ht="15.75" customHeight="1">
      <c r="A84" s="35"/>
      <c r="B84" s="35"/>
      <c r="C84" s="35"/>
      <c r="D84" s="35"/>
      <c r="E84" s="35"/>
      <c r="F84" s="35"/>
      <c r="G84" s="35"/>
      <c r="H84" s="35"/>
      <c r="I84" s="35"/>
      <c r="J84" s="35"/>
      <c r="K84" s="35"/>
      <c r="L84" s="35"/>
      <c r="M84" s="35"/>
      <c r="N84" s="35"/>
      <c r="O84" s="35"/>
      <c r="P84" s="35"/>
      <c r="Q84" s="35"/>
      <c r="R84" s="35"/>
      <c r="S84" s="35"/>
      <c r="T84" s="35"/>
      <c r="U84" s="35"/>
      <c r="V84" s="35"/>
      <c r="W84" s="35"/>
      <c r="X84" s="35"/>
      <c r="Y84" s="35"/>
      <c r="Z84" s="35"/>
    </row>
    <row r="85" ht="15.75" customHeight="1">
      <c r="A85" s="35"/>
      <c r="B85" s="35"/>
      <c r="C85" s="35"/>
      <c r="D85" s="35"/>
      <c r="E85" s="35"/>
      <c r="F85" s="35"/>
      <c r="G85" s="35"/>
      <c r="H85" s="35"/>
      <c r="I85" s="35"/>
      <c r="J85" s="35"/>
      <c r="K85" s="35"/>
      <c r="L85" s="35"/>
      <c r="M85" s="35"/>
      <c r="N85" s="35"/>
      <c r="O85" s="35"/>
      <c r="P85" s="35"/>
      <c r="Q85" s="35"/>
      <c r="R85" s="35"/>
      <c r="S85" s="35"/>
      <c r="T85" s="35"/>
      <c r="U85" s="35"/>
      <c r="V85" s="35"/>
      <c r="W85" s="35"/>
      <c r="X85" s="35"/>
      <c r="Y85" s="35"/>
      <c r="Z85" s="35"/>
    </row>
    <row r="86" ht="15.75" customHeight="1">
      <c r="A86" s="35"/>
      <c r="B86" s="35"/>
      <c r="C86" s="35"/>
      <c r="D86" s="35"/>
      <c r="E86" s="35"/>
      <c r="F86" s="35"/>
      <c r="G86" s="35"/>
      <c r="H86" s="35"/>
      <c r="I86" s="35"/>
      <c r="J86" s="35"/>
      <c r="K86" s="35"/>
      <c r="L86" s="35"/>
      <c r="M86" s="35"/>
      <c r="N86" s="35"/>
      <c r="O86" s="35"/>
      <c r="P86" s="35"/>
      <c r="Q86" s="35"/>
      <c r="R86" s="35"/>
      <c r="S86" s="35"/>
      <c r="T86" s="35"/>
      <c r="U86" s="35"/>
      <c r="V86" s="35"/>
      <c r="W86" s="35"/>
      <c r="X86" s="35"/>
      <c r="Y86" s="35"/>
      <c r="Z86" s="35"/>
    </row>
    <row r="87" ht="15.75" customHeight="1">
      <c r="A87" s="35"/>
      <c r="B87" s="35"/>
      <c r="C87" s="35"/>
      <c r="D87" s="35"/>
      <c r="E87" s="35"/>
      <c r="F87" s="35"/>
      <c r="G87" s="35"/>
      <c r="H87" s="35"/>
      <c r="I87" s="35"/>
      <c r="J87" s="35"/>
      <c r="K87" s="35"/>
      <c r="L87" s="35"/>
      <c r="M87" s="35"/>
      <c r="N87" s="35"/>
      <c r="O87" s="35"/>
      <c r="P87" s="35"/>
      <c r="Q87" s="35"/>
      <c r="R87" s="35"/>
      <c r="S87" s="35"/>
      <c r="T87" s="35"/>
      <c r="U87" s="35"/>
      <c r="V87" s="35"/>
      <c r="W87" s="35"/>
      <c r="X87" s="35"/>
      <c r="Y87" s="35"/>
      <c r="Z87" s="35"/>
    </row>
    <row r="88" ht="15.75" customHeight="1">
      <c r="A88" s="35"/>
      <c r="B88" s="35"/>
      <c r="C88" s="35"/>
      <c r="D88" s="35"/>
      <c r="E88" s="35"/>
      <c r="F88" s="35"/>
      <c r="G88" s="35"/>
      <c r="H88" s="35"/>
      <c r="I88" s="35"/>
      <c r="J88" s="35"/>
      <c r="K88" s="35"/>
      <c r="L88" s="35"/>
      <c r="M88" s="35"/>
      <c r="N88" s="35"/>
      <c r="O88" s="35"/>
      <c r="P88" s="35"/>
      <c r="Q88" s="35"/>
      <c r="R88" s="35"/>
      <c r="S88" s="35"/>
      <c r="T88" s="35"/>
      <c r="U88" s="35"/>
      <c r="V88" s="35"/>
      <c r="W88" s="35"/>
      <c r="X88" s="35"/>
      <c r="Y88" s="35"/>
      <c r="Z88" s="35"/>
    </row>
    <row r="89" ht="15.75" customHeight="1">
      <c r="A89" s="35"/>
      <c r="B89" s="35"/>
      <c r="C89" s="35"/>
      <c r="D89" s="35"/>
      <c r="E89" s="35"/>
      <c r="F89" s="35"/>
      <c r="G89" s="35"/>
      <c r="H89" s="35"/>
      <c r="I89" s="35"/>
      <c r="J89" s="35"/>
      <c r="K89" s="35"/>
      <c r="L89" s="35"/>
      <c r="M89" s="35"/>
      <c r="N89" s="35"/>
      <c r="O89" s="35"/>
      <c r="P89" s="35"/>
      <c r="Q89" s="35"/>
      <c r="R89" s="35"/>
      <c r="S89" s="35"/>
      <c r="T89" s="35"/>
      <c r="U89" s="35"/>
      <c r="V89" s="35"/>
      <c r="W89" s="35"/>
      <c r="X89" s="35"/>
      <c r="Y89" s="35"/>
      <c r="Z89" s="35"/>
    </row>
    <row r="90" ht="15.75" customHeight="1">
      <c r="A90" s="35"/>
      <c r="B90" s="35"/>
      <c r="C90" s="35"/>
      <c r="D90" s="35"/>
      <c r="E90" s="35"/>
      <c r="F90" s="35"/>
      <c r="G90" s="35"/>
      <c r="H90" s="35"/>
      <c r="I90" s="35"/>
      <c r="J90" s="35"/>
      <c r="K90" s="35"/>
      <c r="L90" s="35"/>
      <c r="M90" s="35"/>
      <c r="N90" s="35"/>
      <c r="O90" s="35"/>
      <c r="P90" s="35"/>
      <c r="Q90" s="35"/>
      <c r="R90" s="35"/>
      <c r="S90" s="35"/>
      <c r="T90" s="35"/>
      <c r="U90" s="35"/>
      <c r="V90" s="35"/>
      <c r="W90" s="35"/>
      <c r="X90" s="35"/>
      <c r="Y90" s="35"/>
      <c r="Z90" s="35"/>
    </row>
    <row r="91" ht="15.75" customHeight="1">
      <c r="A91" s="35"/>
      <c r="B91" s="35"/>
      <c r="C91" s="35"/>
      <c r="D91" s="35"/>
      <c r="E91" s="35"/>
      <c r="F91" s="35"/>
      <c r="G91" s="35"/>
      <c r="H91" s="35"/>
      <c r="I91" s="35"/>
      <c r="J91" s="35"/>
      <c r="K91" s="35"/>
      <c r="L91" s="35"/>
      <c r="M91" s="35"/>
      <c r="N91" s="35"/>
      <c r="O91" s="35"/>
      <c r="P91" s="35"/>
      <c r="Q91" s="35"/>
      <c r="R91" s="35"/>
      <c r="S91" s="35"/>
      <c r="T91" s="35"/>
      <c r="U91" s="35"/>
      <c r="V91" s="35"/>
      <c r="W91" s="35"/>
      <c r="X91" s="35"/>
      <c r="Y91" s="35"/>
      <c r="Z91" s="35"/>
    </row>
    <row r="92" ht="15.75" customHeight="1">
      <c r="A92" s="35"/>
      <c r="B92" s="35"/>
      <c r="C92" s="35"/>
      <c r="D92" s="35"/>
      <c r="E92" s="35"/>
      <c r="F92" s="35"/>
      <c r="G92" s="35"/>
      <c r="H92" s="35"/>
      <c r="I92" s="35"/>
      <c r="J92" s="35"/>
      <c r="K92" s="35"/>
      <c r="L92" s="35"/>
      <c r="M92" s="35"/>
      <c r="N92" s="35"/>
      <c r="O92" s="35"/>
      <c r="P92" s="35"/>
      <c r="Q92" s="35"/>
      <c r="R92" s="35"/>
      <c r="S92" s="35"/>
      <c r="T92" s="35"/>
      <c r="U92" s="35"/>
      <c r="V92" s="35"/>
      <c r="W92" s="35"/>
      <c r="X92" s="35"/>
      <c r="Y92" s="35"/>
      <c r="Z92" s="35"/>
    </row>
    <row r="93" ht="15.75" customHeight="1">
      <c r="A93" s="35"/>
      <c r="B93" s="35"/>
      <c r="C93" s="35"/>
      <c r="D93" s="35"/>
      <c r="E93" s="35"/>
      <c r="F93" s="35"/>
      <c r="G93" s="35"/>
      <c r="H93" s="35"/>
      <c r="I93" s="35"/>
      <c r="J93" s="35"/>
      <c r="K93" s="35"/>
      <c r="L93" s="35"/>
      <c r="M93" s="35"/>
      <c r="N93" s="35"/>
      <c r="O93" s="35"/>
      <c r="P93" s="35"/>
      <c r="Q93" s="35"/>
      <c r="R93" s="35"/>
      <c r="S93" s="35"/>
      <c r="T93" s="35"/>
      <c r="U93" s="35"/>
      <c r="V93" s="35"/>
      <c r="W93" s="35"/>
      <c r="X93" s="35"/>
      <c r="Y93" s="35"/>
      <c r="Z93" s="35"/>
    </row>
    <row r="94" ht="15.75" customHeight="1">
      <c r="A94" s="35"/>
      <c r="B94" s="35"/>
      <c r="C94" s="35"/>
      <c r="D94" s="35"/>
      <c r="E94" s="35"/>
      <c r="F94" s="35"/>
      <c r="G94" s="35"/>
      <c r="H94" s="35"/>
      <c r="I94" s="35"/>
      <c r="J94" s="35"/>
      <c r="K94" s="35"/>
      <c r="L94" s="35"/>
      <c r="M94" s="35"/>
      <c r="N94" s="35"/>
      <c r="O94" s="35"/>
      <c r="P94" s="35"/>
      <c r="Q94" s="35"/>
      <c r="R94" s="35"/>
      <c r="S94" s="35"/>
      <c r="T94" s="35"/>
      <c r="U94" s="35"/>
      <c r="V94" s="35"/>
      <c r="W94" s="35"/>
      <c r="X94" s="35"/>
      <c r="Y94" s="35"/>
      <c r="Z94" s="35"/>
    </row>
    <row r="95" ht="15.75" customHeight="1">
      <c r="A95" s="35"/>
      <c r="B95" s="35"/>
      <c r="C95" s="35"/>
      <c r="D95" s="35"/>
      <c r="E95" s="35"/>
      <c r="F95" s="35"/>
      <c r="G95" s="35"/>
      <c r="H95" s="35"/>
      <c r="I95" s="35"/>
      <c r="J95" s="35"/>
      <c r="K95" s="35"/>
      <c r="L95" s="35"/>
      <c r="M95" s="35"/>
      <c r="N95" s="35"/>
      <c r="O95" s="35"/>
      <c r="P95" s="35"/>
      <c r="Q95" s="35"/>
      <c r="R95" s="35"/>
      <c r="S95" s="35"/>
      <c r="T95" s="35"/>
      <c r="U95" s="35"/>
      <c r="V95" s="35"/>
      <c r="W95" s="35"/>
      <c r="X95" s="35"/>
      <c r="Y95" s="35"/>
      <c r="Z95" s="35"/>
    </row>
    <row r="96" ht="15.75" customHeight="1">
      <c r="A96" s="35"/>
      <c r="B96" s="35"/>
      <c r="C96" s="35"/>
      <c r="D96" s="35"/>
      <c r="E96" s="35"/>
      <c r="F96" s="35"/>
      <c r="G96" s="35"/>
      <c r="H96" s="35"/>
      <c r="I96" s="35"/>
      <c r="J96" s="35"/>
      <c r="K96" s="35"/>
      <c r="L96" s="35"/>
      <c r="M96" s="35"/>
      <c r="N96" s="35"/>
      <c r="O96" s="35"/>
      <c r="P96" s="35"/>
      <c r="Q96" s="35"/>
      <c r="R96" s="35"/>
      <c r="S96" s="35"/>
      <c r="T96" s="35"/>
      <c r="U96" s="35"/>
      <c r="V96" s="35"/>
      <c r="W96" s="35"/>
      <c r="X96" s="35"/>
      <c r="Y96" s="35"/>
      <c r="Z96" s="35"/>
    </row>
    <row r="97" ht="15.75" customHeight="1">
      <c r="A97" s="35"/>
      <c r="B97" s="35"/>
      <c r="C97" s="35"/>
      <c r="D97" s="35"/>
      <c r="E97" s="35"/>
      <c r="F97" s="35"/>
      <c r="G97" s="35"/>
      <c r="H97" s="35"/>
      <c r="I97" s="35"/>
      <c r="J97" s="35"/>
      <c r="K97" s="35"/>
      <c r="L97" s="35"/>
      <c r="M97" s="35"/>
      <c r="N97" s="35"/>
      <c r="O97" s="35"/>
      <c r="P97" s="35"/>
      <c r="Q97" s="35"/>
      <c r="R97" s="35"/>
      <c r="S97" s="35"/>
      <c r="T97" s="35"/>
      <c r="U97" s="35"/>
      <c r="V97" s="35"/>
      <c r="W97" s="35"/>
      <c r="X97" s="35"/>
      <c r="Y97" s="35"/>
      <c r="Z97" s="35"/>
    </row>
    <row r="98" ht="15.75" customHeight="1">
      <c r="A98" s="35"/>
      <c r="B98" s="35"/>
      <c r="C98" s="35"/>
      <c r="D98" s="35"/>
      <c r="E98" s="35"/>
      <c r="F98" s="35"/>
      <c r="G98" s="35"/>
      <c r="H98" s="35"/>
      <c r="I98" s="35"/>
      <c r="J98" s="35"/>
      <c r="K98" s="35"/>
      <c r="L98" s="35"/>
      <c r="M98" s="35"/>
      <c r="N98" s="35"/>
      <c r="O98" s="35"/>
      <c r="P98" s="35"/>
      <c r="Q98" s="35"/>
      <c r="R98" s="35"/>
      <c r="S98" s="35"/>
      <c r="T98" s="35"/>
      <c r="U98" s="35"/>
      <c r="V98" s="35"/>
      <c r="W98" s="35"/>
      <c r="X98" s="35"/>
      <c r="Y98" s="35"/>
      <c r="Z98" s="35"/>
    </row>
    <row r="99" ht="15.75" customHeight="1">
      <c r="A99" s="35"/>
      <c r="B99" s="35"/>
      <c r="C99" s="35"/>
      <c r="D99" s="35"/>
      <c r="E99" s="35"/>
      <c r="F99" s="35"/>
      <c r="G99" s="35"/>
      <c r="H99" s="35"/>
      <c r="I99" s="35"/>
      <c r="J99" s="35"/>
      <c r="K99" s="35"/>
      <c r="L99" s="35"/>
      <c r="M99" s="35"/>
      <c r="N99" s="35"/>
      <c r="O99" s="35"/>
      <c r="P99" s="35"/>
      <c r="Q99" s="35"/>
      <c r="R99" s="35"/>
      <c r="S99" s="35"/>
      <c r="T99" s="35"/>
      <c r="U99" s="35"/>
      <c r="V99" s="35"/>
      <c r="W99" s="35"/>
      <c r="X99" s="35"/>
      <c r="Y99" s="35"/>
      <c r="Z99" s="35"/>
    </row>
    <row r="100" ht="15.75" customHeight="1">
      <c r="A100" s="35"/>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row>
    <row r="101" ht="15.75" customHeight="1">
      <c r="A101" s="35"/>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row>
    <row r="102" ht="15.75" customHeight="1">
      <c r="A102" s="35"/>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row>
    <row r="103" ht="15.75" customHeight="1">
      <c r="A103" s="35"/>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row>
    <row r="104" ht="15.75" customHeight="1">
      <c r="A104" s="35"/>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row>
    <row r="105" ht="15.75" customHeight="1">
      <c r="A105" s="35"/>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row>
    <row r="106" ht="15.75" customHeight="1">
      <c r="A106" s="35"/>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row>
    <row r="107" ht="15.75" customHeight="1">
      <c r="A107" s="35"/>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row>
    <row r="108" ht="15.75" customHeight="1">
      <c r="A108" s="35"/>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row>
    <row r="109" ht="15.75" customHeight="1">
      <c r="A109" s="35"/>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row>
    <row r="110" ht="15.75" customHeight="1">
      <c r="A110" s="35"/>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row>
    <row r="111" ht="15.75" customHeight="1">
      <c r="A111" s="35"/>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row>
    <row r="112" ht="15.75" customHeight="1">
      <c r="A112" s="35"/>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row>
    <row r="113" ht="15.75" customHeight="1">
      <c r="A113" s="35"/>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row>
    <row r="114" ht="15.75" customHeight="1">
      <c r="A114" s="35"/>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row>
    <row r="115" ht="15.75" customHeight="1">
      <c r="A115" s="35"/>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row>
    <row r="116" ht="15.75" customHeight="1">
      <c r="A116" s="35"/>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row>
    <row r="117" ht="15.75" customHeight="1">
      <c r="A117" s="35"/>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row>
    <row r="118" ht="15.75" customHeight="1">
      <c r="A118" s="35"/>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row>
    <row r="119" ht="15.75" customHeight="1">
      <c r="A119" s="35"/>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row>
    <row r="120" ht="15.75" customHeight="1">
      <c r="A120" s="35"/>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row>
    <row r="121" ht="15.75" customHeight="1">
      <c r="A121" s="35"/>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row>
    <row r="122" ht="15.75" customHeight="1">
      <c r="A122" s="35"/>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row>
    <row r="123" ht="15.75" customHeight="1">
      <c r="A123" s="35"/>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row>
    <row r="124" ht="15.75" customHeight="1">
      <c r="A124" s="35"/>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row>
    <row r="125" ht="15.75" customHeight="1">
      <c r="A125" s="35"/>
      <c r="B125" s="35"/>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row>
    <row r="126" ht="15.75" customHeight="1">
      <c r="A126" s="35"/>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row>
    <row r="127" ht="15.75" customHeight="1">
      <c r="A127" s="35"/>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row>
    <row r="128" ht="15.75" customHeight="1">
      <c r="A128" s="35"/>
      <c r="B128" s="35"/>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row>
    <row r="129" ht="15.75" customHeight="1">
      <c r="A129" s="35"/>
      <c r="B129" s="35"/>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row>
    <row r="130" ht="15.75" customHeight="1">
      <c r="A130" s="35"/>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row>
    <row r="131" ht="15.75" customHeight="1">
      <c r="A131" s="35"/>
      <c r="B131" s="35"/>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row>
    <row r="132" ht="15.75" customHeight="1">
      <c r="A132" s="35"/>
      <c r="B132" s="35"/>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row>
    <row r="133" ht="15.75" customHeight="1">
      <c r="A133" s="35"/>
      <c r="B133" s="35"/>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row>
    <row r="134" ht="15.75" customHeight="1">
      <c r="A134" s="35"/>
      <c r="B134" s="35"/>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row>
    <row r="135" ht="15.75" customHeight="1">
      <c r="A135" s="35"/>
      <c r="B135" s="35"/>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row>
    <row r="136" ht="15.75" customHeight="1">
      <c r="A136" s="35"/>
      <c r="B136" s="35"/>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row>
    <row r="137" ht="15.75" customHeight="1">
      <c r="A137" s="35"/>
      <c r="B137" s="35"/>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35"/>
    </row>
    <row r="138" ht="15.75" customHeight="1">
      <c r="A138" s="35"/>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row>
    <row r="139" ht="15.75" customHeight="1">
      <c r="A139" s="35"/>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row>
    <row r="140" ht="15.75" customHeight="1">
      <c r="A140" s="35"/>
      <c r="B140" s="35"/>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row>
    <row r="141" ht="15.75" customHeight="1">
      <c r="A141" s="35"/>
      <c r="B141" s="35"/>
      <c r="C141" s="35"/>
      <c r="D141" s="35"/>
      <c r="E141" s="35"/>
      <c r="F141" s="35"/>
      <c r="G141" s="35"/>
      <c r="H141" s="35"/>
      <c r="I141" s="35"/>
      <c r="J141" s="35"/>
      <c r="K141" s="35"/>
      <c r="L141" s="35"/>
      <c r="M141" s="35"/>
      <c r="N141" s="35"/>
      <c r="O141" s="35"/>
      <c r="P141" s="35"/>
      <c r="Q141" s="35"/>
      <c r="R141" s="35"/>
      <c r="S141" s="35"/>
      <c r="T141" s="35"/>
      <c r="U141" s="35"/>
      <c r="V141" s="35"/>
      <c r="W141" s="35"/>
      <c r="X141" s="35"/>
      <c r="Y141" s="35"/>
      <c r="Z141" s="35"/>
    </row>
    <row r="142" ht="15.75" customHeight="1">
      <c r="A142" s="35"/>
      <c r="B142" s="35"/>
      <c r="C142" s="35"/>
      <c r="D142" s="35"/>
      <c r="E142" s="35"/>
      <c r="F142" s="35"/>
      <c r="G142" s="35"/>
      <c r="H142" s="35"/>
      <c r="I142" s="35"/>
      <c r="J142" s="35"/>
      <c r="K142" s="35"/>
      <c r="L142" s="35"/>
      <c r="M142" s="35"/>
      <c r="N142" s="35"/>
      <c r="O142" s="35"/>
      <c r="P142" s="35"/>
      <c r="Q142" s="35"/>
      <c r="R142" s="35"/>
      <c r="S142" s="35"/>
      <c r="T142" s="35"/>
      <c r="U142" s="35"/>
      <c r="V142" s="35"/>
      <c r="W142" s="35"/>
      <c r="X142" s="35"/>
      <c r="Y142" s="35"/>
      <c r="Z142" s="35"/>
    </row>
    <row r="143" ht="15.75" customHeight="1">
      <c r="A143" s="35"/>
      <c r="B143" s="35"/>
      <c r="C143" s="35"/>
      <c r="D143" s="35"/>
      <c r="E143" s="35"/>
      <c r="F143" s="35"/>
      <c r="G143" s="35"/>
      <c r="H143" s="35"/>
      <c r="I143" s="35"/>
      <c r="J143" s="35"/>
      <c r="K143" s="35"/>
      <c r="L143" s="35"/>
      <c r="M143" s="35"/>
      <c r="N143" s="35"/>
      <c r="O143" s="35"/>
      <c r="P143" s="35"/>
      <c r="Q143" s="35"/>
      <c r="R143" s="35"/>
      <c r="S143" s="35"/>
      <c r="T143" s="35"/>
      <c r="U143" s="35"/>
      <c r="V143" s="35"/>
      <c r="W143" s="35"/>
      <c r="X143" s="35"/>
      <c r="Y143" s="35"/>
      <c r="Z143" s="35"/>
    </row>
    <row r="144" ht="15.75" customHeight="1">
      <c r="A144" s="35"/>
      <c r="B144" s="35"/>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row>
    <row r="145" ht="15.75" customHeight="1">
      <c r="A145" s="35"/>
      <c r="B145" s="35"/>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row>
    <row r="146" ht="15.75" customHeight="1">
      <c r="A146" s="35"/>
      <c r="B146" s="35"/>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row>
    <row r="147" ht="15.75" customHeight="1">
      <c r="A147" s="35"/>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row>
    <row r="148" ht="15.75" customHeight="1">
      <c r="A148" s="35"/>
      <c r="B148" s="35"/>
      <c r="C148" s="35"/>
      <c r="D148" s="35"/>
      <c r="E148" s="35"/>
      <c r="F148" s="35"/>
      <c r="G148" s="35"/>
      <c r="H148" s="35"/>
      <c r="I148" s="35"/>
      <c r="J148" s="35"/>
      <c r="K148" s="35"/>
      <c r="L148" s="35"/>
      <c r="M148" s="35"/>
      <c r="N148" s="35"/>
      <c r="O148" s="35"/>
      <c r="P148" s="35"/>
      <c r="Q148" s="35"/>
      <c r="R148" s="35"/>
      <c r="S148" s="35"/>
      <c r="T148" s="35"/>
      <c r="U148" s="35"/>
      <c r="V148" s="35"/>
      <c r="W148" s="35"/>
      <c r="X148" s="35"/>
      <c r="Y148" s="35"/>
      <c r="Z148" s="35"/>
    </row>
    <row r="149" ht="15.75" customHeight="1">
      <c r="A149" s="35"/>
      <c r="B149" s="35"/>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row>
    <row r="150" ht="15.75" customHeight="1">
      <c r="A150" s="35"/>
      <c r="B150" s="35"/>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row>
    <row r="151" ht="15.75" customHeight="1">
      <c r="A151" s="35"/>
      <c r="B151" s="35"/>
      <c r="C151" s="35"/>
      <c r="D151" s="35"/>
      <c r="E151" s="35"/>
      <c r="F151" s="35"/>
      <c r="G151" s="35"/>
      <c r="H151" s="35"/>
      <c r="I151" s="35"/>
      <c r="J151" s="35"/>
      <c r="K151" s="35"/>
      <c r="L151" s="35"/>
      <c r="M151" s="35"/>
      <c r="N151" s="35"/>
      <c r="O151" s="35"/>
      <c r="P151" s="35"/>
      <c r="Q151" s="35"/>
      <c r="R151" s="35"/>
      <c r="S151" s="35"/>
      <c r="T151" s="35"/>
      <c r="U151" s="35"/>
      <c r="V151" s="35"/>
      <c r="W151" s="35"/>
      <c r="X151" s="35"/>
      <c r="Y151" s="35"/>
      <c r="Z151" s="35"/>
    </row>
    <row r="152" ht="15.75" customHeight="1">
      <c r="A152" s="35"/>
      <c r="B152" s="35"/>
      <c r="C152" s="35"/>
      <c r="D152" s="35"/>
      <c r="E152" s="35"/>
      <c r="F152" s="35"/>
      <c r="G152" s="35"/>
      <c r="H152" s="35"/>
      <c r="I152" s="35"/>
      <c r="J152" s="35"/>
      <c r="K152" s="35"/>
      <c r="L152" s="35"/>
      <c r="M152" s="35"/>
      <c r="N152" s="35"/>
      <c r="O152" s="35"/>
      <c r="P152" s="35"/>
      <c r="Q152" s="35"/>
      <c r="R152" s="35"/>
      <c r="S152" s="35"/>
      <c r="T152" s="35"/>
      <c r="U152" s="35"/>
      <c r="V152" s="35"/>
      <c r="W152" s="35"/>
      <c r="X152" s="35"/>
      <c r="Y152" s="35"/>
      <c r="Z152" s="35"/>
    </row>
    <row r="153" ht="15.75" customHeight="1">
      <c r="A153" s="35"/>
      <c r="B153" s="35"/>
      <c r="C153" s="35"/>
      <c r="D153" s="35"/>
      <c r="E153" s="35"/>
      <c r="F153" s="35"/>
      <c r="G153" s="35"/>
      <c r="H153" s="35"/>
      <c r="I153" s="35"/>
      <c r="J153" s="35"/>
      <c r="K153" s="35"/>
      <c r="L153" s="35"/>
      <c r="M153" s="35"/>
      <c r="N153" s="35"/>
      <c r="O153" s="35"/>
      <c r="P153" s="35"/>
      <c r="Q153" s="35"/>
      <c r="R153" s="35"/>
      <c r="S153" s="35"/>
      <c r="T153" s="35"/>
      <c r="U153" s="35"/>
      <c r="V153" s="35"/>
      <c r="W153" s="35"/>
      <c r="X153" s="35"/>
      <c r="Y153" s="35"/>
      <c r="Z153" s="35"/>
    </row>
    <row r="154" ht="15.75" customHeight="1">
      <c r="A154" s="35"/>
      <c r="B154" s="35"/>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35"/>
    </row>
    <row r="155" ht="15.75" customHeight="1">
      <c r="A155" s="35"/>
      <c r="B155" s="35"/>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row>
    <row r="156" ht="15.75" customHeight="1">
      <c r="A156" s="35"/>
      <c r="B156" s="35"/>
      <c r="C156" s="35"/>
      <c r="D156" s="35"/>
      <c r="E156" s="35"/>
      <c r="F156" s="35"/>
      <c r="G156" s="35"/>
      <c r="H156" s="35"/>
      <c r="I156" s="35"/>
      <c r="J156" s="35"/>
      <c r="K156" s="35"/>
      <c r="L156" s="35"/>
      <c r="M156" s="35"/>
      <c r="N156" s="35"/>
      <c r="O156" s="35"/>
      <c r="P156" s="35"/>
      <c r="Q156" s="35"/>
      <c r="R156" s="35"/>
      <c r="S156" s="35"/>
      <c r="T156" s="35"/>
      <c r="U156" s="35"/>
      <c r="V156" s="35"/>
      <c r="W156" s="35"/>
      <c r="X156" s="35"/>
      <c r="Y156" s="35"/>
      <c r="Z156" s="35"/>
    </row>
    <row r="157" ht="15.75" customHeight="1">
      <c r="A157" s="35"/>
      <c r="B157" s="35"/>
      <c r="C157" s="35"/>
      <c r="D157" s="35"/>
      <c r="E157" s="35"/>
      <c r="F157" s="35"/>
      <c r="G157" s="35"/>
      <c r="H157" s="35"/>
      <c r="I157" s="35"/>
      <c r="J157" s="35"/>
      <c r="K157" s="35"/>
      <c r="L157" s="35"/>
      <c r="M157" s="35"/>
      <c r="N157" s="35"/>
      <c r="O157" s="35"/>
      <c r="P157" s="35"/>
      <c r="Q157" s="35"/>
      <c r="R157" s="35"/>
      <c r="S157" s="35"/>
      <c r="T157" s="35"/>
      <c r="U157" s="35"/>
      <c r="V157" s="35"/>
      <c r="W157" s="35"/>
      <c r="X157" s="35"/>
      <c r="Y157" s="35"/>
      <c r="Z157" s="35"/>
    </row>
    <row r="158" ht="15.75" customHeight="1">
      <c r="A158" s="35"/>
      <c r="B158" s="35"/>
      <c r="C158" s="35"/>
      <c r="D158" s="35"/>
      <c r="E158" s="35"/>
      <c r="F158" s="35"/>
      <c r="G158" s="35"/>
      <c r="H158" s="35"/>
      <c r="I158" s="35"/>
      <c r="J158" s="35"/>
      <c r="K158" s="35"/>
      <c r="L158" s="35"/>
      <c r="M158" s="35"/>
      <c r="N158" s="35"/>
      <c r="O158" s="35"/>
      <c r="P158" s="35"/>
      <c r="Q158" s="35"/>
      <c r="R158" s="35"/>
      <c r="S158" s="35"/>
      <c r="T158" s="35"/>
      <c r="U158" s="35"/>
      <c r="V158" s="35"/>
      <c r="W158" s="35"/>
      <c r="X158" s="35"/>
      <c r="Y158" s="35"/>
      <c r="Z158" s="35"/>
    </row>
    <row r="159" ht="15.75" customHeight="1">
      <c r="A159" s="35"/>
      <c r="B159" s="35"/>
      <c r="C159" s="35"/>
      <c r="D159" s="35"/>
      <c r="E159" s="35"/>
      <c r="F159" s="35"/>
      <c r="G159" s="35"/>
      <c r="H159" s="35"/>
      <c r="I159" s="35"/>
      <c r="J159" s="35"/>
      <c r="K159" s="35"/>
      <c r="L159" s="35"/>
      <c r="M159" s="35"/>
      <c r="N159" s="35"/>
      <c r="O159" s="35"/>
      <c r="P159" s="35"/>
      <c r="Q159" s="35"/>
      <c r="R159" s="35"/>
      <c r="S159" s="35"/>
      <c r="T159" s="35"/>
      <c r="U159" s="35"/>
      <c r="V159" s="35"/>
      <c r="W159" s="35"/>
      <c r="X159" s="35"/>
      <c r="Y159" s="35"/>
      <c r="Z159" s="35"/>
    </row>
    <row r="160" ht="15.75" customHeight="1">
      <c r="A160" s="35"/>
      <c r="B160" s="35"/>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35"/>
    </row>
    <row r="161" ht="15.75" customHeight="1">
      <c r="A161" s="35"/>
      <c r="B161" s="35"/>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35"/>
    </row>
    <row r="162" ht="15.75" customHeight="1">
      <c r="A162" s="35"/>
      <c r="B162" s="35"/>
      <c r="C162" s="35"/>
      <c r="D162" s="35"/>
      <c r="E162" s="35"/>
      <c r="F162" s="35"/>
      <c r="G162" s="35"/>
      <c r="H162" s="35"/>
      <c r="I162" s="35"/>
      <c r="J162" s="35"/>
      <c r="K162" s="35"/>
      <c r="L162" s="35"/>
      <c r="M162" s="35"/>
      <c r="N162" s="35"/>
      <c r="O162" s="35"/>
      <c r="P162" s="35"/>
      <c r="Q162" s="35"/>
      <c r="R162" s="35"/>
      <c r="S162" s="35"/>
      <c r="T162" s="35"/>
      <c r="U162" s="35"/>
      <c r="V162" s="35"/>
      <c r="W162" s="35"/>
      <c r="X162" s="35"/>
      <c r="Y162" s="35"/>
      <c r="Z162" s="35"/>
    </row>
    <row r="163" ht="15.75" customHeight="1">
      <c r="A163" s="35"/>
      <c r="B163" s="35"/>
      <c r="C163" s="35"/>
      <c r="D163" s="35"/>
      <c r="E163" s="35"/>
      <c r="F163" s="35"/>
      <c r="G163" s="35"/>
      <c r="H163" s="35"/>
      <c r="I163" s="35"/>
      <c r="J163" s="35"/>
      <c r="K163" s="35"/>
      <c r="L163" s="35"/>
      <c r="M163" s="35"/>
      <c r="N163" s="35"/>
      <c r="O163" s="35"/>
      <c r="P163" s="35"/>
      <c r="Q163" s="35"/>
      <c r="R163" s="35"/>
      <c r="S163" s="35"/>
      <c r="T163" s="35"/>
      <c r="U163" s="35"/>
      <c r="V163" s="35"/>
      <c r="W163" s="35"/>
      <c r="X163" s="35"/>
      <c r="Y163" s="35"/>
      <c r="Z163" s="35"/>
    </row>
    <row r="164" ht="15.75" customHeight="1">
      <c r="A164" s="35"/>
      <c r="B164" s="35"/>
      <c r="C164" s="35"/>
      <c r="D164" s="35"/>
      <c r="E164" s="35"/>
      <c r="F164" s="35"/>
      <c r="G164" s="35"/>
      <c r="H164" s="35"/>
      <c r="I164" s="35"/>
      <c r="J164" s="35"/>
      <c r="K164" s="35"/>
      <c r="L164" s="35"/>
      <c r="M164" s="35"/>
      <c r="N164" s="35"/>
      <c r="O164" s="35"/>
      <c r="P164" s="35"/>
      <c r="Q164" s="35"/>
      <c r="R164" s="35"/>
      <c r="S164" s="35"/>
      <c r="T164" s="35"/>
      <c r="U164" s="35"/>
      <c r="V164" s="35"/>
      <c r="W164" s="35"/>
      <c r="X164" s="35"/>
      <c r="Y164" s="35"/>
      <c r="Z164" s="35"/>
    </row>
    <row r="165" ht="15.75" customHeight="1">
      <c r="A165" s="35"/>
      <c r="B165" s="35"/>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35"/>
    </row>
    <row r="166" ht="15.75" customHeight="1">
      <c r="A166" s="35"/>
      <c r="B166" s="35"/>
      <c r="C166" s="35"/>
      <c r="D166" s="35"/>
      <c r="E166" s="35"/>
      <c r="F166" s="35"/>
      <c r="G166" s="35"/>
      <c r="H166" s="35"/>
      <c r="I166" s="35"/>
      <c r="J166" s="35"/>
      <c r="K166" s="35"/>
      <c r="L166" s="35"/>
      <c r="M166" s="35"/>
      <c r="N166" s="35"/>
      <c r="O166" s="35"/>
      <c r="P166" s="35"/>
      <c r="Q166" s="35"/>
      <c r="R166" s="35"/>
      <c r="S166" s="35"/>
      <c r="T166" s="35"/>
      <c r="U166" s="35"/>
      <c r="V166" s="35"/>
      <c r="W166" s="35"/>
      <c r="X166" s="35"/>
      <c r="Y166" s="35"/>
      <c r="Z166" s="35"/>
    </row>
    <row r="167" ht="15.75" customHeight="1">
      <c r="A167" s="35"/>
      <c r="B167" s="35"/>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35"/>
    </row>
    <row r="168" ht="15.75" customHeight="1">
      <c r="A168" s="35"/>
      <c r="B168" s="35"/>
      <c r="C168" s="35"/>
      <c r="D168" s="35"/>
      <c r="E168" s="35"/>
      <c r="F168" s="35"/>
      <c r="G168" s="35"/>
      <c r="H168" s="35"/>
      <c r="I168" s="35"/>
      <c r="J168" s="35"/>
      <c r="K168" s="35"/>
      <c r="L168" s="35"/>
      <c r="M168" s="35"/>
      <c r="N168" s="35"/>
      <c r="O168" s="35"/>
      <c r="P168" s="35"/>
      <c r="Q168" s="35"/>
      <c r="R168" s="35"/>
      <c r="S168" s="35"/>
      <c r="T168" s="35"/>
      <c r="U168" s="35"/>
      <c r="V168" s="35"/>
      <c r="W168" s="35"/>
      <c r="X168" s="35"/>
      <c r="Y168" s="35"/>
      <c r="Z168" s="35"/>
    </row>
    <row r="169" ht="15.75" customHeight="1">
      <c r="A169" s="35"/>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row>
    <row r="170" ht="15.75" customHeight="1">
      <c r="A170" s="35"/>
      <c r="B170" s="35"/>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35"/>
    </row>
    <row r="171" ht="15.75" customHeight="1">
      <c r="A171" s="35"/>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row>
    <row r="172" ht="15.75" customHeight="1">
      <c r="A172" s="35"/>
      <c r="B172" s="35"/>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35"/>
    </row>
    <row r="173" ht="15.75" customHeight="1">
      <c r="A173" s="35"/>
      <c r="B173" s="35"/>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row>
    <row r="174" ht="15.75" customHeight="1">
      <c r="A174" s="35"/>
      <c r="B174" s="35"/>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row>
    <row r="175" ht="15.75" customHeight="1">
      <c r="A175" s="35"/>
      <c r="B175" s="35"/>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row>
    <row r="176" ht="15.75" customHeight="1">
      <c r="A176" s="35"/>
      <c r="B176" s="35"/>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row>
    <row r="177" ht="15.75" customHeight="1">
      <c r="A177" s="35"/>
      <c r="B177" s="35"/>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row>
    <row r="178" ht="15.75" customHeight="1">
      <c r="A178" s="35"/>
      <c r="B178" s="35"/>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row>
    <row r="179" ht="15.75" customHeight="1">
      <c r="A179" s="35"/>
      <c r="B179" s="35"/>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row>
    <row r="180" ht="15.75" customHeight="1">
      <c r="A180" s="35"/>
      <c r="B180" s="35"/>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row>
    <row r="181" ht="15.75" customHeight="1">
      <c r="A181" s="35"/>
      <c r="B181" s="35"/>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row>
    <row r="182" ht="15.75" customHeight="1">
      <c r="A182" s="35"/>
      <c r="B182" s="35"/>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row>
    <row r="183" ht="15.75" customHeight="1">
      <c r="A183" s="35"/>
      <c r="B183" s="35"/>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row>
    <row r="184" ht="15.75" customHeight="1">
      <c r="A184" s="35"/>
      <c r="B184" s="35"/>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row>
    <row r="185" ht="15.75" customHeight="1">
      <c r="A185" s="35"/>
      <c r="B185" s="35"/>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row>
    <row r="186" ht="15.75" customHeight="1">
      <c r="A186" s="35"/>
      <c r="B186" s="35"/>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row>
    <row r="187" ht="15.75" customHeight="1">
      <c r="A187" s="35"/>
      <c r="B187" s="35"/>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row>
    <row r="188" ht="15.75" customHeight="1">
      <c r="A188" s="35"/>
      <c r="B188" s="35"/>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row>
    <row r="189" ht="15.75" customHeight="1">
      <c r="A189" s="35"/>
      <c r="B189" s="35"/>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row>
    <row r="190" ht="15.75" customHeight="1">
      <c r="A190" s="35"/>
      <c r="B190" s="35"/>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row>
    <row r="191" ht="15.75" customHeight="1">
      <c r="A191" s="35"/>
      <c r="B191" s="35"/>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row>
    <row r="192" ht="15.75" customHeight="1">
      <c r="A192" s="35"/>
      <c r="B192" s="35"/>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row>
    <row r="193" ht="15.75" customHeight="1">
      <c r="A193" s="35"/>
      <c r="B193" s="35"/>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row>
    <row r="194" ht="15.75" customHeight="1">
      <c r="A194" s="35"/>
      <c r="B194" s="35"/>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row>
    <row r="195" ht="15.75" customHeight="1">
      <c r="A195" s="35"/>
      <c r="B195" s="35"/>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row>
    <row r="196" ht="15.75" customHeight="1">
      <c r="A196" s="35"/>
      <c r="B196" s="35"/>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row>
    <row r="197" ht="15.75" customHeight="1">
      <c r="A197" s="35"/>
      <c r="B197" s="35"/>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row>
    <row r="198" ht="15.75" customHeight="1">
      <c r="A198" s="35"/>
      <c r="B198" s="35"/>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row>
    <row r="199" ht="15.75" customHeight="1">
      <c r="A199" s="35"/>
      <c r="B199" s="35"/>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row>
    <row r="200" ht="15.75" customHeight="1">
      <c r="A200" s="35"/>
      <c r="B200" s="35"/>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row>
    <row r="201" ht="15.75" customHeight="1">
      <c r="A201" s="35"/>
      <c r="B201" s="35"/>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row>
    <row r="202" ht="15.75" customHeight="1">
      <c r="A202" s="35"/>
      <c r="B202" s="35"/>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row>
    <row r="203" ht="15.75" customHeight="1">
      <c r="A203" s="35"/>
      <c r="B203" s="35"/>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row>
    <row r="204" ht="15.75" customHeight="1">
      <c r="A204" s="35"/>
      <c r="B204" s="35"/>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row>
    <row r="205" ht="15.75" customHeight="1">
      <c r="A205" s="35"/>
      <c r="B205" s="35"/>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row>
    <row r="206" ht="15.75" customHeight="1">
      <c r="A206" s="35"/>
      <c r="B206" s="35"/>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row>
    <row r="207" ht="15.75" customHeight="1">
      <c r="A207" s="35"/>
      <c r="B207" s="35"/>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row>
    <row r="208" ht="15.75" customHeight="1">
      <c r="A208" s="35"/>
      <c r="B208" s="35"/>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row>
    <row r="209" ht="15.75" customHeight="1">
      <c r="A209" s="35"/>
      <c r="B209" s="35"/>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row>
    <row r="210" ht="15.75" customHeight="1">
      <c r="A210" s="35"/>
      <c r="B210" s="35"/>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row>
    <row r="211" ht="15.75" customHeight="1">
      <c r="A211" s="35"/>
      <c r="B211" s="35"/>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row>
    <row r="212" ht="15.75" customHeight="1">
      <c r="A212" s="35"/>
      <c r="B212" s="35"/>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row>
    <row r="213" ht="15.75" customHeight="1">
      <c r="A213" s="35"/>
      <c r="B213" s="35"/>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row>
    <row r="214" ht="15.75" customHeight="1">
      <c r="A214" s="35"/>
      <c r="B214" s="35"/>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row>
    <row r="215" ht="15.75" customHeight="1">
      <c r="A215" s="35"/>
      <c r="B215" s="35"/>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row>
    <row r="216" ht="15.75" customHeight="1">
      <c r="A216" s="35"/>
      <c r="B216" s="35"/>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row>
    <row r="217" ht="15.75" customHeight="1">
      <c r="A217" s="35"/>
      <c r="B217" s="35"/>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row>
    <row r="218" ht="15.75" customHeight="1">
      <c r="A218" s="35"/>
      <c r="B218" s="35"/>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row>
    <row r="219" ht="15.75" customHeight="1">
      <c r="A219" s="35"/>
      <c r="B219" s="35"/>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row>
    <row r="220" ht="15.75" customHeight="1">
      <c r="A220" s="35"/>
      <c r="B220" s="35"/>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row>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printOptions/>
  <pageMargins bottom="0.75" footer="0.0" header="0.0" left="0.7" right="0.7" top="0.75"/>
  <pageSetup paperSize="9" orientation="portrait"/>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2EFD9"/>
    <pageSetUpPr/>
  </sheetPr>
  <sheetViews>
    <sheetView workbookViewId="0"/>
  </sheetViews>
  <sheetFormatPr customHeight="1" defaultColWidth="14.43" defaultRowHeight="15.75"/>
  <cols>
    <col customWidth="1" min="1" max="1" width="15.86"/>
    <col customWidth="1" min="2" max="2" width="30.14"/>
    <col customWidth="1" min="3" max="22" width="8.71"/>
  </cols>
  <sheetData>
    <row r="1">
      <c r="A1" s="250" t="s">
        <v>18314</v>
      </c>
      <c r="B1" s="250" t="s">
        <v>40</v>
      </c>
      <c r="C1" s="35"/>
      <c r="D1" s="35"/>
      <c r="E1" s="35"/>
      <c r="F1" s="35"/>
      <c r="G1" s="35"/>
      <c r="H1" s="35"/>
      <c r="I1" s="35"/>
      <c r="J1" s="35"/>
      <c r="K1" s="35"/>
      <c r="L1" s="35"/>
      <c r="M1" s="35"/>
      <c r="N1" s="35"/>
      <c r="O1" s="35"/>
      <c r="P1" s="35"/>
      <c r="Q1" s="35"/>
      <c r="R1" s="35"/>
      <c r="S1" s="35"/>
      <c r="T1" s="35"/>
      <c r="U1" s="35"/>
      <c r="V1" s="35"/>
      <c r="W1" s="35"/>
      <c r="X1" s="35"/>
      <c r="Y1" s="35"/>
      <c r="Z1" s="35"/>
    </row>
    <row r="2">
      <c r="A2" s="251" t="s">
        <v>18315</v>
      </c>
      <c r="B2" s="251" t="s">
        <v>18316</v>
      </c>
      <c r="C2" s="35"/>
      <c r="D2" s="35"/>
      <c r="E2" s="35"/>
      <c r="F2" s="35"/>
      <c r="G2" s="35"/>
      <c r="H2" s="35"/>
      <c r="I2" s="35"/>
      <c r="J2" s="35"/>
      <c r="K2" s="35"/>
      <c r="L2" s="35"/>
      <c r="M2" s="35"/>
      <c r="N2" s="35"/>
      <c r="O2" s="35"/>
      <c r="P2" s="35"/>
      <c r="Q2" s="35"/>
      <c r="R2" s="35"/>
      <c r="S2" s="35"/>
      <c r="T2" s="35"/>
      <c r="U2" s="35"/>
      <c r="V2" s="35"/>
      <c r="W2" s="35"/>
      <c r="X2" s="35"/>
      <c r="Y2" s="35"/>
      <c r="Z2" s="35"/>
    </row>
    <row r="3">
      <c r="A3" s="251" t="s">
        <v>18317</v>
      </c>
      <c r="B3" s="251" t="s">
        <v>18318</v>
      </c>
      <c r="C3" s="35"/>
      <c r="D3" s="35"/>
      <c r="E3" s="35"/>
      <c r="F3" s="35"/>
      <c r="G3" s="35"/>
      <c r="H3" s="35"/>
      <c r="I3" s="35"/>
      <c r="J3" s="35"/>
      <c r="K3" s="35"/>
      <c r="L3" s="35"/>
      <c r="M3" s="35"/>
      <c r="N3" s="35"/>
      <c r="O3" s="35"/>
      <c r="P3" s="35"/>
      <c r="Q3" s="35"/>
      <c r="R3" s="35"/>
      <c r="S3" s="35"/>
      <c r="T3" s="35"/>
      <c r="U3" s="35"/>
      <c r="V3" s="35"/>
      <c r="W3" s="35"/>
      <c r="X3" s="35"/>
      <c r="Y3" s="35"/>
      <c r="Z3" s="35"/>
    </row>
    <row r="4">
      <c r="A4" s="251" t="s">
        <v>9069</v>
      </c>
      <c r="B4" s="251" t="s">
        <v>18319</v>
      </c>
      <c r="C4" s="35"/>
      <c r="D4" s="35"/>
      <c r="E4" s="35"/>
      <c r="F4" s="35"/>
      <c r="G4" s="35"/>
      <c r="H4" s="35"/>
      <c r="I4" s="35"/>
      <c r="J4" s="35"/>
      <c r="K4" s="35"/>
      <c r="L4" s="35"/>
      <c r="M4" s="35"/>
      <c r="N4" s="35"/>
      <c r="O4" s="35"/>
      <c r="P4" s="35"/>
      <c r="Q4" s="35"/>
      <c r="R4" s="35"/>
      <c r="S4" s="35"/>
      <c r="T4" s="35"/>
      <c r="U4" s="35"/>
      <c r="V4" s="35"/>
      <c r="W4" s="35"/>
      <c r="X4" s="35"/>
      <c r="Y4" s="35"/>
      <c r="Z4" s="35"/>
    </row>
    <row r="5">
      <c r="A5" s="251" t="s">
        <v>8563</v>
      </c>
      <c r="B5" s="251" t="s">
        <v>18320</v>
      </c>
      <c r="C5" s="35"/>
      <c r="D5" s="35"/>
      <c r="E5" s="35"/>
      <c r="F5" s="35"/>
      <c r="G5" s="35"/>
      <c r="H5" s="35"/>
      <c r="I5" s="35"/>
      <c r="J5" s="35"/>
      <c r="K5" s="35"/>
      <c r="L5" s="35"/>
      <c r="M5" s="35"/>
      <c r="N5" s="35"/>
      <c r="O5" s="35"/>
      <c r="P5" s="35"/>
      <c r="Q5" s="35"/>
      <c r="R5" s="35"/>
      <c r="S5" s="35"/>
      <c r="T5" s="35"/>
      <c r="U5" s="35"/>
      <c r="V5" s="35"/>
      <c r="W5" s="35"/>
      <c r="X5" s="35"/>
      <c r="Y5" s="35"/>
      <c r="Z5" s="35"/>
    </row>
    <row r="6">
      <c r="A6" s="251" t="s">
        <v>8371</v>
      </c>
      <c r="B6" s="251" t="s">
        <v>18321</v>
      </c>
      <c r="C6" s="35"/>
      <c r="D6" s="35"/>
      <c r="E6" s="35"/>
      <c r="F6" s="35"/>
      <c r="G6" s="35"/>
      <c r="H6" s="35"/>
      <c r="I6" s="35"/>
      <c r="J6" s="35"/>
      <c r="K6" s="35"/>
      <c r="L6" s="35"/>
      <c r="M6" s="35"/>
      <c r="N6" s="35"/>
      <c r="O6" s="35"/>
      <c r="P6" s="35"/>
      <c r="Q6" s="35"/>
      <c r="R6" s="35"/>
      <c r="S6" s="35"/>
      <c r="T6" s="35"/>
      <c r="U6" s="35"/>
      <c r="V6" s="35"/>
      <c r="W6" s="35"/>
      <c r="X6" s="35"/>
      <c r="Y6" s="35"/>
      <c r="Z6" s="35"/>
    </row>
    <row r="7">
      <c r="A7" s="251" t="s">
        <v>8138</v>
      </c>
      <c r="B7" s="251" t="s">
        <v>18322</v>
      </c>
      <c r="C7" s="35"/>
      <c r="D7" s="35"/>
      <c r="E7" s="35"/>
      <c r="F7" s="35"/>
      <c r="G7" s="35"/>
      <c r="H7" s="35"/>
      <c r="I7" s="35"/>
      <c r="J7" s="35"/>
      <c r="K7" s="35"/>
      <c r="L7" s="35"/>
      <c r="M7" s="35"/>
      <c r="N7" s="35"/>
      <c r="O7" s="35"/>
      <c r="P7" s="35"/>
      <c r="Q7" s="35"/>
      <c r="R7" s="35"/>
      <c r="S7" s="35"/>
      <c r="T7" s="35"/>
      <c r="U7" s="35"/>
      <c r="V7" s="35"/>
      <c r="W7" s="35"/>
      <c r="X7" s="35"/>
      <c r="Y7" s="35"/>
      <c r="Z7" s="35"/>
    </row>
    <row r="8">
      <c r="A8" s="251" t="s">
        <v>18323</v>
      </c>
      <c r="B8" s="251" t="s">
        <v>18324</v>
      </c>
      <c r="C8" s="35"/>
      <c r="D8" s="35"/>
      <c r="E8" s="35"/>
      <c r="F8" s="35"/>
      <c r="G8" s="35"/>
      <c r="H8" s="35"/>
      <c r="I8" s="35"/>
      <c r="J8" s="35"/>
      <c r="K8" s="35"/>
      <c r="L8" s="35"/>
      <c r="M8" s="35"/>
      <c r="N8" s="35"/>
      <c r="O8" s="35"/>
      <c r="P8" s="35"/>
      <c r="Q8" s="35"/>
      <c r="R8" s="35"/>
      <c r="S8" s="35"/>
      <c r="T8" s="35"/>
      <c r="U8" s="35"/>
      <c r="V8" s="35"/>
      <c r="W8" s="35"/>
      <c r="X8" s="35"/>
      <c r="Y8" s="35"/>
      <c r="Z8" s="35"/>
    </row>
    <row r="9">
      <c r="A9" s="251" t="s">
        <v>18325</v>
      </c>
      <c r="B9" s="251" t="s">
        <v>18326</v>
      </c>
      <c r="C9" s="35"/>
      <c r="D9" s="35"/>
      <c r="E9" s="35"/>
      <c r="F9" s="35"/>
      <c r="G9" s="35"/>
      <c r="H9" s="35"/>
      <c r="I9" s="35"/>
      <c r="J9" s="35"/>
      <c r="K9" s="35"/>
      <c r="L9" s="35"/>
      <c r="M9" s="35"/>
      <c r="N9" s="35"/>
      <c r="O9" s="35"/>
      <c r="P9" s="35"/>
      <c r="Q9" s="35"/>
      <c r="R9" s="35"/>
      <c r="S9" s="35"/>
      <c r="T9" s="35"/>
      <c r="U9" s="35"/>
      <c r="V9" s="35"/>
      <c r="W9" s="35"/>
      <c r="X9" s="35"/>
      <c r="Y9" s="35"/>
      <c r="Z9" s="35"/>
    </row>
    <row r="10">
      <c r="A10" s="251" t="s">
        <v>18327</v>
      </c>
      <c r="B10" s="251" t="s">
        <v>18328</v>
      </c>
      <c r="C10" s="35"/>
      <c r="D10" s="35"/>
      <c r="E10" s="35"/>
      <c r="F10" s="35"/>
      <c r="G10" s="35"/>
      <c r="H10" s="35"/>
      <c r="I10" s="35"/>
      <c r="J10" s="35"/>
      <c r="K10" s="35"/>
      <c r="L10" s="35"/>
      <c r="M10" s="35"/>
      <c r="N10" s="35"/>
      <c r="O10" s="35"/>
      <c r="P10" s="35"/>
      <c r="Q10" s="35"/>
      <c r="R10" s="35"/>
      <c r="S10" s="35"/>
      <c r="T10" s="35"/>
      <c r="U10" s="35"/>
      <c r="V10" s="35"/>
      <c r="W10" s="35"/>
      <c r="X10" s="35"/>
      <c r="Y10" s="35"/>
      <c r="Z10" s="35"/>
    </row>
    <row r="11">
      <c r="A11" s="251" t="s">
        <v>8021</v>
      </c>
      <c r="B11" s="251" t="s">
        <v>18329</v>
      </c>
      <c r="C11" s="35"/>
      <c r="D11" s="35"/>
      <c r="E11" s="35"/>
      <c r="F11" s="35"/>
      <c r="G11" s="35"/>
      <c r="H11" s="35"/>
      <c r="I11" s="35"/>
      <c r="J11" s="35"/>
      <c r="K11" s="35"/>
      <c r="L11" s="35"/>
      <c r="M11" s="35"/>
      <c r="N11" s="35"/>
      <c r="O11" s="35"/>
      <c r="P11" s="35"/>
      <c r="Q11" s="35"/>
      <c r="R11" s="35"/>
      <c r="S11" s="35"/>
      <c r="T11" s="35"/>
      <c r="U11" s="35"/>
      <c r="V11" s="35"/>
      <c r="W11" s="35"/>
      <c r="X11" s="35"/>
      <c r="Y11" s="35"/>
      <c r="Z11" s="35"/>
    </row>
    <row r="12">
      <c r="A12" s="251" t="s">
        <v>7999</v>
      </c>
      <c r="B12" s="251" t="s">
        <v>108</v>
      </c>
      <c r="C12" s="35"/>
      <c r="D12" s="35"/>
      <c r="E12" s="35"/>
      <c r="F12" s="35"/>
      <c r="G12" s="35"/>
      <c r="H12" s="35"/>
      <c r="I12" s="35"/>
      <c r="J12" s="35"/>
      <c r="K12" s="35"/>
      <c r="L12" s="35"/>
      <c r="M12" s="35"/>
      <c r="N12" s="35"/>
      <c r="O12" s="35"/>
      <c r="P12" s="35"/>
      <c r="Q12" s="35"/>
      <c r="R12" s="35"/>
      <c r="S12" s="35"/>
      <c r="T12" s="35"/>
      <c r="U12" s="35"/>
      <c r="V12" s="35"/>
      <c r="W12" s="35"/>
      <c r="X12" s="35"/>
      <c r="Y12" s="35"/>
      <c r="Z12" s="35"/>
    </row>
    <row r="13">
      <c r="A13" s="251" t="s">
        <v>18330</v>
      </c>
      <c r="B13" s="251" t="s">
        <v>18331</v>
      </c>
      <c r="C13" s="35"/>
      <c r="D13" s="35"/>
      <c r="E13" s="35"/>
      <c r="F13" s="35"/>
      <c r="G13" s="35"/>
      <c r="H13" s="35"/>
      <c r="I13" s="35"/>
      <c r="J13" s="35"/>
      <c r="K13" s="35"/>
      <c r="L13" s="35"/>
      <c r="M13" s="35"/>
      <c r="N13" s="35"/>
      <c r="O13" s="35"/>
      <c r="P13" s="35"/>
      <c r="Q13" s="35"/>
      <c r="R13" s="35"/>
      <c r="S13" s="35"/>
      <c r="T13" s="35"/>
      <c r="U13" s="35"/>
      <c r="V13" s="35"/>
      <c r="W13" s="35"/>
      <c r="X13" s="35"/>
      <c r="Y13" s="35"/>
      <c r="Z13" s="35"/>
    </row>
    <row r="14">
      <c r="A14" s="251" t="s">
        <v>18332</v>
      </c>
      <c r="B14" s="251" t="s">
        <v>18333</v>
      </c>
      <c r="C14" s="35"/>
      <c r="D14" s="35"/>
      <c r="E14" s="35"/>
      <c r="F14" s="35"/>
      <c r="G14" s="35"/>
      <c r="H14" s="35"/>
      <c r="I14" s="35"/>
      <c r="J14" s="35"/>
      <c r="K14" s="35"/>
      <c r="L14" s="35"/>
      <c r="M14" s="35"/>
      <c r="N14" s="35"/>
      <c r="O14" s="35"/>
      <c r="P14" s="35"/>
      <c r="Q14" s="35"/>
      <c r="R14" s="35"/>
      <c r="S14" s="35"/>
      <c r="T14" s="35"/>
      <c r="U14" s="35"/>
      <c r="V14" s="35"/>
      <c r="W14" s="35"/>
      <c r="X14" s="35"/>
      <c r="Y14" s="35"/>
      <c r="Z14" s="35"/>
    </row>
    <row r="15">
      <c r="A15" s="251" t="s">
        <v>8087</v>
      </c>
      <c r="B15" s="251" t="s">
        <v>161</v>
      </c>
      <c r="C15" s="35"/>
      <c r="D15" s="35"/>
      <c r="E15" s="35"/>
      <c r="F15" s="35"/>
      <c r="G15" s="35"/>
      <c r="H15" s="35"/>
      <c r="I15" s="35"/>
      <c r="J15" s="35"/>
      <c r="K15" s="35"/>
      <c r="L15" s="35"/>
      <c r="M15" s="35"/>
      <c r="N15" s="35"/>
      <c r="O15" s="35"/>
      <c r="P15" s="35"/>
      <c r="Q15" s="35"/>
      <c r="R15" s="35"/>
      <c r="S15" s="35"/>
      <c r="T15" s="35"/>
      <c r="U15" s="35"/>
      <c r="V15" s="35"/>
      <c r="W15" s="35"/>
      <c r="X15" s="35"/>
      <c r="Y15" s="35"/>
      <c r="Z15" s="35"/>
    </row>
    <row r="16">
      <c r="A16" s="251" t="s">
        <v>18334</v>
      </c>
      <c r="B16" s="251" t="s">
        <v>18335</v>
      </c>
      <c r="C16" s="35"/>
      <c r="D16" s="35"/>
      <c r="E16" s="35"/>
      <c r="F16" s="35"/>
      <c r="G16" s="35"/>
      <c r="H16" s="35"/>
      <c r="I16" s="35"/>
      <c r="J16" s="35"/>
      <c r="K16" s="35"/>
      <c r="L16" s="35"/>
      <c r="M16" s="35"/>
      <c r="N16" s="35"/>
      <c r="O16" s="35"/>
      <c r="P16" s="35"/>
      <c r="Q16" s="35"/>
      <c r="R16" s="35"/>
      <c r="S16" s="35"/>
      <c r="T16" s="35"/>
      <c r="U16" s="35"/>
      <c r="V16" s="35"/>
      <c r="W16" s="35"/>
      <c r="X16" s="35"/>
      <c r="Y16" s="35"/>
      <c r="Z16" s="35"/>
    </row>
    <row r="17">
      <c r="A17" s="251" t="s">
        <v>18336</v>
      </c>
      <c r="B17" s="251" t="s">
        <v>18337</v>
      </c>
      <c r="C17" s="35"/>
      <c r="D17" s="35"/>
      <c r="E17" s="35"/>
      <c r="F17" s="35"/>
      <c r="G17" s="35"/>
      <c r="H17" s="35"/>
      <c r="I17" s="35"/>
      <c r="J17" s="35"/>
      <c r="K17" s="35"/>
      <c r="L17" s="35"/>
      <c r="M17" s="35"/>
      <c r="N17" s="35"/>
      <c r="O17" s="35"/>
      <c r="P17" s="35"/>
      <c r="Q17" s="35"/>
      <c r="R17" s="35"/>
      <c r="S17" s="35"/>
      <c r="T17" s="35"/>
      <c r="U17" s="35"/>
      <c r="V17" s="35"/>
      <c r="W17" s="35"/>
      <c r="X17" s="35"/>
      <c r="Y17" s="35"/>
      <c r="Z17" s="35"/>
    </row>
    <row r="18">
      <c r="A18" s="251" t="s">
        <v>8588</v>
      </c>
      <c r="B18" s="251" t="s">
        <v>18338</v>
      </c>
      <c r="C18" s="35"/>
      <c r="D18" s="35"/>
      <c r="E18" s="35"/>
      <c r="F18" s="35"/>
      <c r="G18" s="35"/>
      <c r="H18" s="35"/>
      <c r="I18" s="35"/>
      <c r="J18" s="35"/>
      <c r="K18" s="35"/>
      <c r="L18" s="35"/>
      <c r="M18" s="35"/>
      <c r="N18" s="35"/>
      <c r="O18" s="35"/>
      <c r="P18" s="35"/>
      <c r="Q18" s="35"/>
      <c r="R18" s="35"/>
      <c r="S18" s="35"/>
      <c r="T18" s="35"/>
      <c r="U18" s="35"/>
      <c r="V18" s="35"/>
      <c r="W18" s="35"/>
      <c r="X18" s="35"/>
      <c r="Y18" s="35"/>
      <c r="Z18" s="35"/>
    </row>
    <row r="19">
      <c r="A19" s="251" t="s">
        <v>9089</v>
      </c>
      <c r="B19" s="251" t="s">
        <v>18339</v>
      </c>
      <c r="C19" s="35"/>
      <c r="D19" s="35"/>
      <c r="E19" s="35"/>
      <c r="F19" s="35"/>
      <c r="G19" s="35"/>
      <c r="H19" s="35"/>
      <c r="I19" s="35"/>
      <c r="J19" s="35"/>
      <c r="K19" s="35"/>
      <c r="L19" s="35"/>
      <c r="M19" s="35"/>
      <c r="N19" s="35"/>
      <c r="O19" s="35"/>
      <c r="P19" s="35"/>
      <c r="Q19" s="35"/>
      <c r="R19" s="35"/>
      <c r="S19" s="35"/>
      <c r="T19" s="35"/>
      <c r="U19" s="35"/>
      <c r="V19" s="35"/>
      <c r="W19" s="35"/>
      <c r="X19" s="35"/>
      <c r="Y19" s="35"/>
      <c r="Z19" s="35"/>
    </row>
    <row r="20">
      <c r="A20" s="251" t="s">
        <v>10237</v>
      </c>
      <c r="B20" s="251" t="s">
        <v>18340</v>
      </c>
      <c r="C20" s="35"/>
      <c r="D20" s="35"/>
      <c r="E20" s="35"/>
      <c r="F20" s="35"/>
      <c r="G20" s="35"/>
      <c r="H20" s="35"/>
      <c r="I20" s="35"/>
      <c r="J20" s="35"/>
      <c r="K20" s="35"/>
      <c r="L20" s="35"/>
      <c r="M20" s="35"/>
      <c r="N20" s="35"/>
      <c r="O20" s="35"/>
      <c r="P20" s="35"/>
      <c r="Q20" s="35"/>
      <c r="R20" s="35"/>
      <c r="S20" s="35"/>
      <c r="T20" s="35"/>
      <c r="U20" s="35"/>
      <c r="V20" s="35"/>
      <c r="W20" s="35"/>
      <c r="X20" s="35"/>
      <c r="Y20" s="35"/>
      <c r="Z20" s="35"/>
    </row>
    <row r="21" ht="15.75" customHeight="1">
      <c r="A21" s="251" t="s">
        <v>18341</v>
      </c>
      <c r="B21" s="251" t="s">
        <v>18342</v>
      </c>
      <c r="C21" s="35"/>
      <c r="D21" s="35"/>
      <c r="E21" s="35"/>
      <c r="F21" s="35"/>
      <c r="G21" s="35"/>
      <c r="H21" s="35"/>
      <c r="I21" s="35"/>
      <c r="J21" s="35"/>
      <c r="K21" s="35"/>
      <c r="L21" s="35"/>
      <c r="M21" s="35"/>
      <c r="N21" s="35"/>
      <c r="O21" s="35"/>
      <c r="P21" s="35"/>
      <c r="Q21" s="35"/>
      <c r="R21" s="35"/>
      <c r="S21" s="35"/>
      <c r="T21" s="35"/>
      <c r="U21" s="35"/>
      <c r="V21" s="35"/>
      <c r="W21" s="35"/>
      <c r="X21" s="35"/>
      <c r="Y21" s="35"/>
      <c r="Z21" s="35"/>
    </row>
    <row r="22" ht="15.75" customHeight="1">
      <c r="A22" s="251" t="s">
        <v>18343</v>
      </c>
      <c r="B22" s="251" t="s">
        <v>18344</v>
      </c>
      <c r="C22" s="35"/>
      <c r="D22" s="35"/>
      <c r="E22" s="35"/>
      <c r="F22" s="35"/>
      <c r="G22" s="35"/>
      <c r="H22" s="35"/>
      <c r="I22" s="35"/>
      <c r="J22" s="35"/>
      <c r="K22" s="35"/>
      <c r="L22" s="35"/>
      <c r="M22" s="35"/>
      <c r="N22" s="35"/>
      <c r="O22" s="35"/>
      <c r="P22" s="35"/>
      <c r="Q22" s="35"/>
      <c r="R22" s="35"/>
      <c r="S22" s="35"/>
      <c r="T22" s="35"/>
      <c r="U22" s="35"/>
      <c r="V22" s="35"/>
      <c r="W22" s="35"/>
      <c r="X22" s="35"/>
      <c r="Y22" s="35"/>
      <c r="Z22" s="35"/>
    </row>
    <row r="23" ht="15.75" customHeight="1">
      <c r="A23" s="251" t="s">
        <v>18345</v>
      </c>
      <c r="B23" s="251" t="s">
        <v>18346</v>
      </c>
      <c r="C23" s="35"/>
      <c r="D23" s="35"/>
      <c r="E23" s="35"/>
      <c r="F23" s="35"/>
      <c r="G23" s="35"/>
      <c r="H23" s="35"/>
      <c r="I23" s="35"/>
      <c r="J23" s="35"/>
      <c r="K23" s="35"/>
      <c r="L23" s="35"/>
      <c r="M23" s="35"/>
      <c r="N23" s="35"/>
      <c r="O23" s="35"/>
      <c r="P23" s="35"/>
      <c r="Q23" s="35"/>
      <c r="R23" s="35"/>
      <c r="S23" s="35"/>
      <c r="T23" s="35"/>
      <c r="U23" s="35"/>
      <c r="V23" s="35"/>
      <c r="W23" s="35"/>
      <c r="X23" s="35"/>
      <c r="Y23" s="35"/>
      <c r="Z23" s="35"/>
    </row>
    <row r="24" ht="15.75" customHeight="1">
      <c r="A24" s="251" t="s">
        <v>18347</v>
      </c>
      <c r="B24" s="251" t="s">
        <v>18348</v>
      </c>
      <c r="C24" s="35"/>
      <c r="D24" s="35"/>
      <c r="E24" s="35"/>
      <c r="F24" s="35"/>
      <c r="G24" s="35"/>
      <c r="H24" s="35"/>
      <c r="I24" s="35"/>
      <c r="J24" s="35"/>
      <c r="K24" s="35"/>
      <c r="L24" s="35"/>
      <c r="M24" s="35"/>
      <c r="N24" s="35"/>
      <c r="O24" s="35"/>
      <c r="P24" s="35"/>
      <c r="Q24" s="35"/>
      <c r="R24" s="35"/>
      <c r="S24" s="35"/>
      <c r="T24" s="35"/>
      <c r="U24" s="35"/>
      <c r="V24" s="35"/>
      <c r="W24" s="35"/>
      <c r="X24" s="35"/>
      <c r="Y24" s="35"/>
      <c r="Z24" s="35"/>
    </row>
    <row r="25" ht="15.75" customHeight="1">
      <c r="A25" s="251" t="s">
        <v>18349</v>
      </c>
      <c r="B25" s="251" t="s">
        <v>18350</v>
      </c>
      <c r="C25" s="35"/>
      <c r="D25" s="35"/>
      <c r="E25" s="35"/>
      <c r="F25" s="35"/>
      <c r="G25" s="35"/>
      <c r="H25" s="35"/>
      <c r="I25" s="35"/>
      <c r="J25" s="35"/>
      <c r="K25" s="35"/>
      <c r="L25" s="35"/>
      <c r="M25" s="35"/>
      <c r="N25" s="35"/>
      <c r="O25" s="35"/>
      <c r="P25" s="35"/>
      <c r="Q25" s="35"/>
      <c r="R25" s="35"/>
      <c r="S25" s="35"/>
      <c r="T25" s="35"/>
      <c r="U25" s="35"/>
      <c r="V25" s="35"/>
      <c r="W25" s="35"/>
      <c r="X25" s="35"/>
      <c r="Y25" s="35"/>
      <c r="Z25" s="35"/>
    </row>
    <row r="26" ht="15.75" customHeight="1">
      <c r="A26" s="251" t="s">
        <v>18351</v>
      </c>
      <c r="B26" s="251" t="s">
        <v>18352</v>
      </c>
      <c r="C26" s="35"/>
      <c r="D26" s="35"/>
      <c r="E26" s="35"/>
      <c r="F26" s="35"/>
      <c r="G26" s="35"/>
      <c r="H26" s="35"/>
      <c r="I26" s="35"/>
      <c r="J26" s="35"/>
      <c r="K26" s="35"/>
      <c r="L26" s="35"/>
      <c r="M26" s="35"/>
      <c r="N26" s="35"/>
      <c r="O26" s="35"/>
      <c r="P26" s="35"/>
      <c r="Q26" s="35"/>
      <c r="R26" s="35"/>
      <c r="S26" s="35"/>
      <c r="T26" s="35"/>
      <c r="U26" s="35"/>
      <c r="V26" s="35"/>
      <c r="W26" s="35"/>
      <c r="X26" s="35"/>
      <c r="Y26" s="35"/>
      <c r="Z26" s="35"/>
    </row>
    <row r="27" ht="15.75" customHeight="1">
      <c r="A27" s="251" t="s">
        <v>8590</v>
      </c>
      <c r="B27" s="251" t="s">
        <v>18253</v>
      </c>
      <c r="C27" s="35"/>
      <c r="D27" s="35"/>
      <c r="E27" s="35"/>
      <c r="F27" s="35"/>
      <c r="G27" s="35"/>
      <c r="H27" s="35"/>
      <c r="I27" s="35"/>
      <c r="J27" s="35"/>
      <c r="K27" s="35"/>
      <c r="L27" s="35"/>
      <c r="M27" s="35"/>
      <c r="N27" s="35"/>
      <c r="O27" s="35"/>
      <c r="P27" s="35"/>
      <c r="Q27" s="35"/>
      <c r="R27" s="35"/>
      <c r="S27" s="35"/>
      <c r="T27" s="35"/>
      <c r="U27" s="35"/>
      <c r="V27" s="35"/>
      <c r="W27" s="35"/>
      <c r="X27" s="35"/>
      <c r="Y27" s="35"/>
      <c r="Z27" s="35"/>
    </row>
    <row r="28" ht="15.75" customHeight="1">
      <c r="A28" s="251" t="s">
        <v>8582</v>
      </c>
      <c r="B28" s="251" t="s">
        <v>22155</v>
      </c>
      <c r="C28" s="35"/>
      <c r="D28" s="35"/>
      <c r="E28" s="35"/>
      <c r="F28" s="35"/>
      <c r="G28" s="35"/>
      <c r="H28" s="35"/>
      <c r="I28" s="35"/>
      <c r="J28" s="35"/>
      <c r="K28" s="35"/>
      <c r="L28" s="35"/>
      <c r="M28" s="35"/>
      <c r="N28" s="35"/>
      <c r="O28" s="35"/>
      <c r="P28" s="35"/>
      <c r="Q28" s="35"/>
      <c r="R28" s="35"/>
      <c r="S28" s="35"/>
      <c r="T28" s="35"/>
      <c r="U28" s="35"/>
      <c r="V28" s="35"/>
      <c r="W28" s="35"/>
      <c r="X28" s="35"/>
      <c r="Y28" s="35"/>
      <c r="Z28" s="35"/>
    </row>
    <row r="29" ht="15.75" customHeight="1">
      <c r="A29" s="251" t="s">
        <v>18353</v>
      </c>
      <c r="B29" s="251" t="s">
        <v>18354</v>
      </c>
      <c r="C29" s="35"/>
      <c r="D29" s="35"/>
      <c r="E29" s="35"/>
      <c r="F29" s="35"/>
      <c r="G29" s="35"/>
      <c r="H29" s="35"/>
      <c r="I29" s="35"/>
      <c r="J29" s="35"/>
      <c r="K29" s="35"/>
      <c r="L29" s="35"/>
      <c r="M29" s="35"/>
      <c r="N29" s="35"/>
      <c r="O29" s="35"/>
      <c r="P29" s="35"/>
      <c r="Q29" s="35"/>
      <c r="R29" s="35"/>
      <c r="S29" s="35"/>
      <c r="T29" s="35"/>
      <c r="U29" s="35"/>
      <c r="V29" s="35"/>
      <c r="W29" s="35"/>
      <c r="X29" s="35"/>
      <c r="Y29" s="35"/>
      <c r="Z29" s="35"/>
    </row>
    <row r="30" ht="15.75" customHeight="1">
      <c r="A30" s="251" t="s">
        <v>18355</v>
      </c>
      <c r="B30" s="251" t="s">
        <v>18356</v>
      </c>
      <c r="C30" s="35"/>
      <c r="D30" s="35"/>
      <c r="E30" s="35"/>
      <c r="F30" s="35"/>
      <c r="G30" s="35"/>
      <c r="H30" s="35"/>
      <c r="I30" s="35"/>
      <c r="J30" s="35"/>
      <c r="K30" s="35"/>
      <c r="L30" s="35"/>
      <c r="M30" s="35"/>
      <c r="N30" s="35"/>
      <c r="O30" s="35"/>
      <c r="P30" s="35"/>
      <c r="Q30" s="35"/>
      <c r="R30" s="35"/>
      <c r="S30" s="35"/>
      <c r="T30" s="35"/>
      <c r="U30" s="35"/>
      <c r="V30" s="35"/>
      <c r="W30" s="35"/>
      <c r="X30" s="35"/>
      <c r="Y30" s="35"/>
      <c r="Z30" s="35"/>
    </row>
    <row r="31" ht="15.75" customHeight="1">
      <c r="A31" s="251" t="s">
        <v>8899</v>
      </c>
      <c r="B31" s="251" t="s">
        <v>18357</v>
      </c>
      <c r="C31" s="35"/>
      <c r="D31" s="35"/>
      <c r="E31" s="35"/>
      <c r="F31" s="35"/>
      <c r="G31" s="35"/>
      <c r="H31" s="35"/>
      <c r="I31" s="35"/>
      <c r="J31" s="35"/>
      <c r="K31" s="35"/>
      <c r="L31" s="35"/>
      <c r="M31" s="35"/>
      <c r="N31" s="35"/>
      <c r="O31" s="35"/>
      <c r="P31" s="35"/>
      <c r="Q31" s="35"/>
      <c r="R31" s="35"/>
      <c r="S31" s="35"/>
      <c r="T31" s="35"/>
      <c r="U31" s="35"/>
      <c r="V31" s="35"/>
      <c r="W31" s="35"/>
      <c r="X31" s="35"/>
      <c r="Y31" s="35"/>
      <c r="Z31" s="35"/>
    </row>
    <row r="32" ht="15.75" customHeight="1">
      <c r="A32" s="251" t="s">
        <v>18358</v>
      </c>
      <c r="B32" s="251" t="s">
        <v>18359</v>
      </c>
      <c r="C32" s="35"/>
      <c r="D32" s="35"/>
      <c r="E32" s="35"/>
      <c r="F32" s="35"/>
      <c r="G32" s="35"/>
      <c r="H32" s="35"/>
      <c r="I32" s="35"/>
      <c r="J32" s="35"/>
      <c r="K32" s="35"/>
      <c r="L32" s="35"/>
      <c r="M32" s="35"/>
      <c r="N32" s="35"/>
      <c r="O32" s="35"/>
      <c r="P32" s="35"/>
      <c r="Q32" s="35"/>
      <c r="R32" s="35"/>
      <c r="S32" s="35"/>
      <c r="T32" s="35"/>
      <c r="U32" s="35"/>
      <c r="V32" s="35"/>
      <c r="W32" s="35"/>
      <c r="X32" s="35"/>
      <c r="Y32" s="35"/>
      <c r="Z32" s="35"/>
    </row>
    <row r="33" ht="15.75" customHeight="1">
      <c r="A33" s="251" t="s">
        <v>8003</v>
      </c>
      <c r="B33" s="251" t="s">
        <v>18264</v>
      </c>
      <c r="C33" s="35"/>
      <c r="D33" s="35"/>
      <c r="E33" s="35"/>
      <c r="F33" s="35"/>
      <c r="G33" s="35"/>
      <c r="H33" s="35"/>
      <c r="I33" s="35"/>
      <c r="J33" s="35"/>
      <c r="K33" s="35"/>
      <c r="L33" s="35"/>
      <c r="M33" s="35"/>
      <c r="N33" s="35"/>
      <c r="O33" s="35"/>
      <c r="P33" s="35"/>
      <c r="Q33" s="35"/>
      <c r="R33" s="35"/>
      <c r="S33" s="35"/>
      <c r="T33" s="35"/>
      <c r="U33" s="35"/>
      <c r="V33" s="35"/>
      <c r="W33" s="35"/>
      <c r="X33" s="35"/>
      <c r="Y33" s="35"/>
      <c r="Z33" s="35"/>
    </row>
    <row r="34" ht="15.75" customHeight="1">
      <c r="A34" s="251" t="s">
        <v>7985</v>
      </c>
      <c r="B34" s="251" t="s">
        <v>127</v>
      </c>
      <c r="C34" s="35"/>
      <c r="D34" s="35"/>
      <c r="E34" s="35"/>
      <c r="F34" s="35"/>
      <c r="G34" s="35"/>
      <c r="H34" s="35"/>
      <c r="I34" s="35"/>
      <c r="J34" s="35"/>
      <c r="K34" s="35"/>
      <c r="L34" s="35"/>
      <c r="M34" s="35"/>
      <c r="N34" s="35"/>
      <c r="O34" s="35"/>
      <c r="P34" s="35"/>
      <c r="Q34" s="35"/>
      <c r="R34" s="35"/>
      <c r="S34" s="35"/>
      <c r="T34" s="35"/>
      <c r="U34" s="35"/>
      <c r="V34" s="35"/>
      <c r="W34" s="35"/>
      <c r="X34" s="35"/>
      <c r="Y34" s="35"/>
      <c r="Z34" s="35"/>
    </row>
    <row r="35" ht="15.75" customHeight="1">
      <c r="A35" s="251" t="s">
        <v>8071</v>
      </c>
      <c r="B35" s="251" t="s">
        <v>18269</v>
      </c>
      <c r="C35" s="35"/>
      <c r="D35" s="35"/>
      <c r="E35" s="35"/>
      <c r="F35" s="35"/>
      <c r="G35" s="35"/>
      <c r="H35" s="35"/>
      <c r="I35" s="35"/>
      <c r="J35" s="35"/>
      <c r="K35" s="35"/>
      <c r="L35" s="35"/>
      <c r="M35" s="35"/>
      <c r="N35" s="35"/>
      <c r="O35" s="35"/>
      <c r="P35" s="35"/>
      <c r="Q35" s="35"/>
      <c r="R35" s="35"/>
      <c r="S35" s="35"/>
      <c r="T35" s="35"/>
      <c r="U35" s="35"/>
      <c r="V35" s="35"/>
      <c r="W35" s="35"/>
      <c r="X35" s="35"/>
      <c r="Y35" s="35"/>
      <c r="Z35" s="35"/>
    </row>
    <row r="36" ht="15.75" customHeight="1">
      <c r="A36" s="251" t="s">
        <v>8001</v>
      </c>
      <c r="B36" s="251" t="s">
        <v>18360</v>
      </c>
      <c r="C36" s="35"/>
      <c r="D36" s="35"/>
      <c r="E36" s="35"/>
      <c r="F36" s="35"/>
      <c r="G36" s="35"/>
      <c r="H36" s="35"/>
      <c r="I36" s="35"/>
      <c r="J36" s="35"/>
      <c r="K36" s="35"/>
      <c r="L36" s="35"/>
      <c r="M36" s="35"/>
      <c r="N36" s="35"/>
      <c r="O36" s="35"/>
      <c r="P36" s="35"/>
      <c r="Q36" s="35"/>
      <c r="R36" s="35"/>
      <c r="S36" s="35"/>
      <c r="T36" s="35"/>
      <c r="U36" s="35"/>
      <c r="V36" s="35"/>
      <c r="W36" s="35"/>
      <c r="X36" s="35"/>
      <c r="Y36" s="35"/>
      <c r="Z36" s="35"/>
    </row>
    <row r="37" ht="15.75" customHeight="1">
      <c r="A37" s="251" t="s">
        <v>18361</v>
      </c>
      <c r="B37" s="251" t="s">
        <v>18362</v>
      </c>
      <c r="C37" s="35"/>
      <c r="D37" s="35"/>
      <c r="E37" s="35"/>
      <c r="F37" s="35"/>
      <c r="G37" s="35"/>
      <c r="H37" s="35"/>
      <c r="I37" s="35"/>
      <c r="J37" s="35"/>
      <c r="K37" s="35"/>
      <c r="L37" s="35"/>
      <c r="M37" s="35"/>
      <c r="N37" s="35"/>
      <c r="O37" s="35"/>
      <c r="P37" s="35"/>
      <c r="Q37" s="35"/>
      <c r="R37" s="35"/>
      <c r="S37" s="35"/>
      <c r="T37" s="35"/>
      <c r="U37" s="35"/>
      <c r="V37" s="35"/>
      <c r="W37" s="35"/>
      <c r="X37" s="35"/>
      <c r="Y37" s="35"/>
      <c r="Z37" s="35"/>
    </row>
    <row r="38" ht="15.75" customHeight="1">
      <c r="A38" s="251" t="s">
        <v>18363</v>
      </c>
      <c r="B38" s="251" t="s">
        <v>18364</v>
      </c>
      <c r="C38" s="35"/>
      <c r="D38" s="35"/>
      <c r="E38" s="35"/>
      <c r="F38" s="35"/>
      <c r="G38" s="35"/>
      <c r="H38" s="35"/>
      <c r="I38" s="35"/>
      <c r="J38" s="35"/>
      <c r="K38" s="35"/>
      <c r="L38" s="35"/>
      <c r="M38" s="35"/>
      <c r="N38" s="35"/>
      <c r="O38" s="35"/>
      <c r="P38" s="35"/>
      <c r="Q38" s="35"/>
      <c r="R38" s="35"/>
      <c r="S38" s="35"/>
      <c r="T38" s="35"/>
      <c r="U38" s="35"/>
      <c r="V38" s="35"/>
      <c r="W38" s="35"/>
      <c r="X38" s="35"/>
      <c r="Y38" s="35"/>
      <c r="Z38" s="35"/>
    </row>
    <row r="39" ht="15.75" customHeight="1">
      <c r="A39" s="251" t="s">
        <v>8980</v>
      </c>
      <c r="B39" s="251" t="s">
        <v>18365</v>
      </c>
      <c r="C39" s="35"/>
      <c r="D39" s="35"/>
      <c r="E39" s="35"/>
      <c r="F39" s="35"/>
      <c r="G39" s="35"/>
      <c r="H39" s="35"/>
      <c r="I39" s="35"/>
      <c r="J39" s="35"/>
      <c r="K39" s="35"/>
      <c r="L39" s="35"/>
      <c r="M39" s="35"/>
      <c r="N39" s="35"/>
      <c r="O39" s="35"/>
      <c r="P39" s="35"/>
      <c r="Q39" s="35"/>
      <c r="R39" s="35"/>
      <c r="S39" s="35"/>
      <c r="T39" s="35"/>
      <c r="U39" s="35"/>
      <c r="V39" s="35"/>
      <c r="W39" s="35"/>
      <c r="X39" s="35"/>
      <c r="Y39" s="35"/>
      <c r="Z39" s="35"/>
    </row>
    <row r="40" ht="15.75" customHeight="1">
      <c r="A40" s="251" t="s">
        <v>18366</v>
      </c>
      <c r="B40" s="251" t="s">
        <v>18367</v>
      </c>
      <c r="C40" s="35"/>
      <c r="D40" s="35"/>
      <c r="E40" s="35"/>
      <c r="F40" s="35"/>
      <c r="G40" s="35"/>
      <c r="H40" s="35"/>
      <c r="I40" s="35"/>
      <c r="J40" s="35"/>
      <c r="K40" s="35"/>
      <c r="L40" s="35"/>
      <c r="M40" s="35"/>
      <c r="N40" s="35"/>
      <c r="O40" s="35"/>
      <c r="P40" s="35"/>
      <c r="Q40" s="35"/>
      <c r="R40" s="35"/>
      <c r="S40" s="35"/>
      <c r="T40" s="35"/>
      <c r="U40" s="35"/>
      <c r="V40" s="35"/>
      <c r="W40" s="35"/>
      <c r="X40" s="35"/>
      <c r="Y40" s="35"/>
      <c r="Z40" s="35"/>
    </row>
    <row r="41" ht="15.75" customHeight="1">
      <c r="A41" s="251" t="s">
        <v>8276</v>
      </c>
      <c r="B41" s="251" t="s">
        <v>18368</v>
      </c>
      <c r="C41" s="35"/>
      <c r="D41" s="35"/>
      <c r="E41" s="35"/>
      <c r="F41" s="35"/>
      <c r="G41" s="35"/>
      <c r="H41" s="35"/>
      <c r="I41" s="35"/>
      <c r="J41" s="35"/>
      <c r="K41" s="35"/>
      <c r="L41" s="35"/>
      <c r="M41" s="35"/>
      <c r="N41" s="35"/>
      <c r="O41" s="35"/>
      <c r="P41" s="35"/>
      <c r="Q41" s="35"/>
      <c r="R41" s="35"/>
      <c r="S41" s="35"/>
      <c r="T41" s="35"/>
      <c r="U41" s="35"/>
      <c r="V41" s="35"/>
      <c r="W41" s="35"/>
      <c r="X41" s="35"/>
      <c r="Y41" s="35"/>
      <c r="Z41" s="35"/>
    </row>
    <row r="42" ht="15.75" customHeight="1">
      <c r="A42" s="251" t="s">
        <v>8737</v>
      </c>
      <c r="B42" s="251" t="s">
        <v>18275</v>
      </c>
      <c r="C42" s="35"/>
      <c r="D42" s="35"/>
      <c r="E42" s="35"/>
      <c r="F42" s="35"/>
      <c r="G42" s="35"/>
      <c r="H42" s="35"/>
      <c r="I42" s="35"/>
      <c r="J42" s="35"/>
      <c r="K42" s="35"/>
      <c r="L42" s="35"/>
      <c r="M42" s="35"/>
      <c r="N42" s="35"/>
      <c r="O42" s="35"/>
      <c r="P42" s="35"/>
      <c r="Q42" s="35"/>
      <c r="R42" s="35"/>
      <c r="S42" s="35"/>
      <c r="T42" s="35"/>
      <c r="U42" s="35"/>
      <c r="V42" s="35"/>
      <c r="W42" s="35"/>
      <c r="X42" s="35"/>
      <c r="Y42" s="35"/>
      <c r="Z42" s="35"/>
    </row>
    <row r="43" ht="15.75" customHeight="1">
      <c r="A43" s="251" t="s">
        <v>18369</v>
      </c>
      <c r="B43" s="251" t="s">
        <v>18370</v>
      </c>
      <c r="C43" s="35"/>
      <c r="D43" s="35"/>
      <c r="E43" s="35"/>
      <c r="F43" s="35"/>
      <c r="G43" s="35"/>
      <c r="H43" s="35"/>
      <c r="I43" s="35"/>
      <c r="J43" s="35"/>
      <c r="K43" s="35"/>
      <c r="L43" s="35"/>
      <c r="M43" s="35"/>
      <c r="N43" s="35"/>
      <c r="O43" s="35"/>
      <c r="P43" s="35"/>
      <c r="Q43" s="35"/>
      <c r="R43" s="35"/>
      <c r="S43" s="35"/>
      <c r="T43" s="35"/>
      <c r="U43" s="35"/>
      <c r="V43" s="35"/>
      <c r="W43" s="35"/>
      <c r="X43" s="35"/>
      <c r="Y43" s="35"/>
      <c r="Z43" s="35"/>
    </row>
    <row r="44" ht="15.75" customHeight="1">
      <c r="A44" s="251" t="s">
        <v>18371</v>
      </c>
      <c r="B44" s="251" t="s">
        <v>18372</v>
      </c>
      <c r="C44" s="35"/>
      <c r="D44" s="35"/>
      <c r="E44" s="35"/>
      <c r="F44" s="35"/>
      <c r="G44" s="35"/>
      <c r="H44" s="35"/>
      <c r="I44" s="35"/>
      <c r="J44" s="35"/>
      <c r="K44" s="35"/>
      <c r="L44" s="35"/>
      <c r="M44" s="35"/>
      <c r="N44" s="35"/>
      <c r="O44" s="35"/>
      <c r="P44" s="35"/>
      <c r="Q44" s="35"/>
      <c r="R44" s="35"/>
      <c r="S44" s="35"/>
      <c r="T44" s="35"/>
      <c r="U44" s="35"/>
      <c r="V44" s="35"/>
      <c r="W44" s="35"/>
      <c r="X44" s="35"/>
      <c r="Y44" s="35"/>
      <c r="Z44" s="35"/>
    </row>
    <row r="45" ht="15.75" customHeight="1">
      <c r="A45" s="251" t="s">
        <v>8069</v>
      </c>
      <c r="B45" s="251" t="s">
        <v>18373</v>
      </c>
      <c r="C45" s="35"/>
      <c r="D45" s="35"/>
      <c r="E45" s="35"/>
      <c r="F45" s="35"/>
      <c r="G45" s="35"/>
      <c r="H45" s="35"/>
      <c r="I45" s="35"/>
      <c r="J45" s="35"/>
      <c r="K45" s="35"/>
      <c r="L45" s="35"/>
      <c r="M45" s="35"/>
      <c r="N45" s="35"/>
      <c r="O45" s="35"/>
      <c r="P45" s="35"/>
      <c r="Q45" s="35"/>
      <c r="R45" s="35"/>
      <c r="S45" s="35"/>
      <c r="T45" s="35"/>
      <c r="U45" s="35"/>
      <c r="V45" s="35"/>
      <c r="W45" s="35"/>
      <c r="X45" s="35"/>
      <c r="Y45" s="35"/>
      <c r="Z45" s="35"/>
    </row>
    <row r="46" ht="15.75" customHeight="1">
      <c r="A46" s="251" t="s">
        <v>18374</v>
      </c>
      <c r="B46" s="251" t="s">
        <v>18375</v>
      </c>
      <c r="C46" s="35"/>
      <c r="D46" s="35"/>
      <c r="E46" s="35"/>
      <c r="F46" s="35"/>
      <c r="G46" s="35"/>
      <c r="H46" s="35"/>
      <c r="I46" s="35"/>
      <c r="J46" s="35"/>
      <c r="K46" s="35"/>
      <c r="L46" s="35"/>
      <c r="M46" s="35"/>
      <c r="N46" s="35"/>
      <c r="O46" s="35"/>
      <c r="P46" s="35"/>
      <c r="Q46" s="35"/>
      <c r="R46" s="35"/>
      <c r="S46" s="35"/>
      <c r="T46" s="35"/>
      <c r="U46" s="35"/>
      <c r="V46" s="35"/>
      <c r="W46" s="35"/>
      <c r="X46" s="35"/>
      <c r="Y46" s="35"/>
      <c r="Z46" s="35"/>
    </row>
    <row r="47" ht="15.75" customHeight="1">
      <c r="A47" s="251" t="s">
        <v>18376</v>
      </c>
      <c r="B47" s="251" t="s">
        <v>18377</v>
      </c>
      <c r="C47" s="35"/>
      <c r="D47" s="35"/>
      <c r="E47" s="35"/>
      <c r="F47" s="35"/>
      <c r="G47" s="35"/>
      <c r="H47" s="35"/>
      <c r="I47" s="35"/>
      <c r="J47" s="35"/>
      <c r="K47" s="35"/>
      <c r="L47" s="35"/>
      <c r="M47" s="35"/>
      <c r="N47" s="35"/>
      <c r="O47" s="35"/>
      <c r="P47" s="35"/>
      <c r="Q47" s="35"/>
      <c r="R47" s="35"/>
      <c r="S47" s="35"/>
      <c r="T47" s="35"/>
      <c r="U47" s="35"/>
      <c r="V47" s="35"/>
      <c r="W47" s="35"/>
      <c r="X47" s="35"/>
      <c r="Y47" s="35"/>
      <c r="Z47" s="35"/>
    </row>
    <row r="48" ht="15.75" customHeight="1">
      <c r="A48" s="251" t="s">
        <v>18378</v>
      </c>
      <c r="B48" s="251" t="s">
        <v>18379</v>
      </c>
      <c r="C48" s="35"/>
      <c r="D48" s="35"/>
      <c r="E48" s="35"/>
      <c r="F48" s="35"/>
      <c r="G48" s="35"/>
      <c r="H48" s="35"/>
      <c r="I48" s="35"/>
      <c r="J48" s="35"/>
      <c r="K48" s="35"/>
      <c r="L48" s="35"/>
      <c r="M48" s="35"/>
      <c r="N48" s="35"/>
      <c r="O48" s="35"/>
      <c r="P48" s="35"/>
      <c r="Q48" s="35"/>
      <c r="R48" s="35"/>
      <c r="S48" s="35"/>
      <c r="T48" s="35"/>
      <c r="U48" s="35"/>
      <c r="V48" s="35"/>
      <c r="W48" s="35"/>
      <c r="X48" s="35"/>
      <c r="Y48" s="35"/>
      <c r="Z48" s="35"/>
    </row>
    <row r="49" ht="15.75" customHeight="1">
      <c r="A49" s="251" t="s">
        <v>10056</v>
      </c>
      <c r="B49" s="251" t="s">
        <v>18380</v>
      </c>
      <c r="C49" s="35"/>
      <c r="D49" s="35"/>
      <c r="E49" s="35"/>
      <c r="F49" s="35"/>
      <c r="G49" s="35"/>
      <c r="H49" s="35"/>
      <c r="I49" s="35"/>
      <c r="J49" s="35"/>
      <c r="K49" s="35"/>
      <c r="L49" s="35"/>
      <c r="M49" s="35"/>
      <c r="N49" s="35"/>
      <c r="O49" s="35"/>
      <c r="P49" s="35"/>
      <c r="Q49" s="35"/>
      <c r="R49" s="35"/>
      <c r="S49" s="35"/>
      <c r="T49" s="35"/>
      <c r="U49" s="35"/>
      <c r="V49" s="35"/>
      <c r="W49" s="35"/>
      <c r="X49" s="35"/>
      <c r="Y49" s="35"/>
      <c r="Z49" s="35"/>
    </row>
    <row r="50" ht="15.75" customHeight="1">
      <c r="A50" s="251" t="s">
        <v>8620</v>
      </c>
      <c r="B50" s="251" t="s">
        <v>435</v>
      </c>
      <c r="C50" s="35"/>
      <c r="D50" s="35"/>
      <c r="E50" s="35"/>
      <c r="F50" s="35"/>
      <c r="G50" s="35"/>
      <c r="H50" s="35"/>
      <c r="I50" s="35"/>
      <c r="J50" s="35"/>
      <c r="K50" s="35"/>
      <c r="L50" s="35"/>
      <c r="M50" s="35"/>
      <c r="N50" s="35"/>
      <c r="O50" s="35"/>
      <c r="P50" s="35"/>
      <c r="Q50" s="35"/>
      <c r="R50" s="35"/>
      <c r="S50" s="35"/>
      <c r="T50" s="35"/>
      <c r="U50" s="35"/>
      <c r="V50" s="35"/>
      <c r="W50" s="35"/>
      <c r="X50" s="35"/>
      <c r="Y50" s="35"/>
      <c r="Z50" s="35"/>
    </row>
    <row r="51" ht="15.75" customHeight="1">
      <c r="A51" s="251" t="s">
        <v>7987</v>
      </c>
      <c r="B51" s="251" t="s">
        <v>57</v>
      </c>
      <c r="C51" s="35"/>
      <c r="D51" s="35"/>
      <c r="E51" s="35"/>
      <c r="F51" s="35"/>
      <c r="G51" s="35"/>
      <c r="H51" s="35"/>
      <c r="I51" s="35"/>
      <c r="J51" s="35"/>
      <c r="K51" s="35"/>
      <c r="L51" s="35"/>
      <c r="M51" s="35"/>
      <c r="N51" s="35"/>
      <c r="O51" s="35"/>
      <c r="P51" s="35"/>
      <c r="Q51" s="35"/>
      <c r="R51" s="35"/>
      <c r="S51" s="35"/>
      <c r="T51" s="35"/>
      <c r="U51" s="35"/>
      <c r="V51" s="35"/>
      <c r="W51" s="35"/>
      <c r="X51" s="35"/>
      <c r="Y51" s="35"/>
      <c r="Z51" s="35"/>
    </row>
    <row r="52" ht="15.75" customHeight="1">
      <c r="A52" s="251" t="s">
        <v>9296</v>
      </c>
      <c r="B52" s="251" t="s">
        <v>18381</v>
      </c>
      <c r="C52" s="35"/>
      <c r="D52" s="35"/>
      <c r="E52" s="35"/>
      <c r="F52" s="35"/>
      <c r="G52" s="35"/>
      <c r="H52" s="35"/>
      <c r="I52" s="35"/>
      <c r="J52" s="35"/>
      <c r="K52" s="35"/>
      <c r="L52" s="35"/>
      <c r="M52" s="35"/>
      <c r="N52" s="35"/>
      <c r="O52" s="35"/>
      <c r="P52" s="35"/>
      <c r="Q52" s="35"/>
      <c r="R52" s="35"/>
      <c r="S52" s="35"/>
      <c r="T52" s="35"/>
      <c r="U52" s="35"/>
      <c r="V52" s="35"/>
      <c r="W52" s="35"/>
      <c r="X52" s="35"/>
      <c r="Y52" s="35"/>
      <c r="Z52" s="35"/>
    </row>
    <row r="53" ht="15.75" customHeight="1">
      <c r="A53" s="251" t="s">
        <v>9601</v>
      </c>
      <c r="B53" s="251" t="s">
        <v>18382</v>
      </c>
      <c r="C53" s="35"/>
      <c r="D53" s="35"/>
      <c r="E53" s="35"/>
      <c r="F53" s="35"/>
      <c r="G53" s="35"/>
      <c r="H53" s="35"/>
      <c r="I53" s="35"/>
      <c r="J53" s="35"/>
      <c r="K53" s="35"/>
      <c r="L53" s="35"/>
      <c r="M53" s="35"/>
      <c r="N53" s="35"/>
      <c r="O53" s="35"/>
      <c r="P53" s="35"/>
      <c r="Q53" s="35"/>
      <c r="R53" s="35"/>
      <c r="S53" s="35"/>
      <c r="T53" s="35"/>
      <c r="U53" s="35"/>
      <c r="V53" s="35"/>
      <c r="W53" s="35"/>
      <c r="X53" s="35"/>
      <c r="Y53" s="35"/>
      <c r="Z53" s="35"/>
    </row>
    <row r="54" ht="15.75" customHeight="1">
      <c r="A54" s="251" t="s">
        <v>7994</v>
      </c>
      <c r="B54" s="251" t="s">
        <v>86</v>
      </c>
      <c r="C54" s="35"/>
      <c r="D54" s="35"/>
      <c r="E54" s="35"/>
      <c r="F54" s="35"/>
      <c r="G54" s="35"/>
      <c r="H54" s="35"/>
      <c r="I54" s="35"/>
      <c r="J54" s="35"/>
      <c r="K54" s="35"/>
      <c r="L54" s="35"/>
      <c r="M54" s="35"/>
      <c r="N54" s="35"/>
      <c r="O54" s="35"/>
      <c r="P54" s="35"/>
      <c r="Q54" s="35"/>
      <c r="R54" s="35"/>
      <c r="S54" s="35"/>
      <c r="T54" s="35"/>
      <c r="U54" s="35"/>
      <c r="V54" s="35"/>
      <c r="W54" s="35"/>
      <c r="X54" s="35"/>
      <c r="Y54" s="35"/>
      <c r="Z54" s="35"/>
    </row>
    <row r="55" ht="15.75" customHeight="1">
      <c r="A55" s="251" t="s">
        <v>9949</v>
      </c>
      <c r="B55" s="251" t="s">
        <v>18383</v>
      </c>
      <c r="C55" s="35"/>
      <c r="D55" s="35"/>
      <c r="E55" s="35"/>
      <c r="F55" s="35"/>
      <c r="G55" s="35"/>
      <c r="H55" s="35"/>
      <c r="I55" s="35"/>
      <c r="J55" s="35"/>
      <c r="K55" s="35"/>
      <c r="L55" s="35"/>
      <c r="M55" s="35"/>
      <c r="N55" s="35"/>
      <c r="O55" s="35"/>
      <c r="P55" s="35"/>
      <c r="Q55" s="35"/>
      <c r="R55" s="35"/>
      <c r="S55" s="35"/>
      <c r="T55" s="35"/>
      <c r="U55" s="35"/>
      <c r="V55" s="35"/>
      <c r="W55" s="35"/>
      <c r="X55" s="35"/>
      <c r="Y55" s="35"/>
      <c r="Z55" s="35"/>
    </row>
    <row r="56" ht="15.75" customHeight="1">
      <c r="A56" s="251" t="s">
        <v>10152</v>
      </c>
      <c r="B56" s="251" t="s">
        <v>18384</v>
      </c>
      <c r="C56" s="35"/>
      <c r="D56" s="35"/>
      <c r="E56" s="35"/>
      <c r="F56" s="35"/>
      <c r="G56" s="35"/>
      <c r="H56" s="35"/>
      <c r="I56" s="35"/>
      <c r="J56" s="35"/>
      <c r="K56" s="35"/>
      <c r="L56" s="35"/>
      <c r="M56" s="35"/>
      <c r="N56" s="35"/>
      <c r="O56" s="35"/>
      <c r="P56" s="35"/>
      <c r="Q56" s="35"/>
      <c r="R56" s="35"/>
      <c r="S56" s="35"/>
      <c r="T56" s="35"/>
      <c r="U56" s="35"/>
      <c r="V56" s="35"/>
      <c r="W56" s="35"/>
      <c r="X56" s="35"/>
      <c r="Y56" s="35"/>
      <c r="Z56" s="35"/>
    </row>
    <row r="57" ht="15.75" customHeight="1">
      <c r="A57" s="251" t="s">
        <v>18385</v>
      </c>
      <c r="B57" s="251" t="s">
        <v>18386</v>
      </c>
      <c r="C57" s="35"/>
      <c r="D57" s="35"/>
      <c r="E57" s="35"/>
      <c r="F57" s="35"/>
      <c r="G57" s="35"/>
      <c r="H57" s="35"/>
      <c r="I57" s="35"/>
      <c r="J57" s="35"/>
      <c r="K57" s="35"/>
      <c r="L57" s="35"/>
      <c r="M57" s="35"/>
      <c r="N57" s="35"/>
      <c r="O57" s="35"/>
      <c r="P57" s="35"/>
      <c r="Q57" s="35"/>
      <c r="R57" s="35"/>
      <c r="S57" s="35"/>
      <c r="T57" s="35"/>
      <c r="U57" s="35"/>
      <c r="V57" s="35"/>
      <c r="W57" s="35"/>
      <c r="X57" s="35"/>
      <c r="Y57" s="35"/>
      <c r="Z57" s="35"/>
    </row>
    <row r="58" ht="15.75" customHeight="1">
      <c r="A58" s="251" t="s">
        <v>8785</v>
      </c>
      <c r="B58" s="251" t="s">
        <v>18387</v>
      </c>
      <c r="C58" s="35"/>
      <c r="D58" s="35"/>
      <c r="E58" s="35"/>
      <c r="F58" s="35"/>
      <c r="G58" s="35"/>
      <c r="H58" s="35"/>
      <c r="I58" s="35"/>
      <c r="J58" s="35"/>
      <c r="K58" s="35"/>
      <c r="L58" s="35"/>
      <c r="M58" s="35"/>
      <c r="N58" s="35"/>
      <c r="O58" s="35"/>
      <c r="P58" s="35"/>
      <c r="Q58" s="35"/>
      <c r="R58" s="35"/>
      <c r="S58" s="35"/>
      <c r="T58" s="35"/>
      <c r="U58" s="35"/>
      <c r="V58" s="35"/>
      <c r="W58" s="35"/>
      <c r="X58" s="35"/>
      <c r="Y58" s="35"/>
      <c r="Z58" s="35"/>
    </row>
    <row r="59" ht="15.75" customHeight="1">
      <c r="A59" s="251" t="s">
        <v>18388</v>
      </c>
      <c r="B59" s="251" t="s">
        <v>18389</v>
      </c>
      <c r="C59" s="35"/>
      <c r="D59" s="35"/>
      <c r="E59" s="35"/>
      <c r="F59" s="35"/>
      <c r="G59" s="35"/>
      <c r="H59" s="35"/>
      <c r="I59" s="35"/>
      <c r="J59" s="35"/>
      <c r="K59" s="35"/>
      <c r="L59" s="35"/>
      <c r="M59" s="35"/>
      <c r="N59" s="35"/>
      <c r="O59" s="35"/>
      <c r="P59" s="35"/>
      <c r="Q59" s="35"/>
      <c r="R59" s="35"/>
      <c r="S59" s="35"/>
      <c r="T59" s="35"/>
      <c r="U59" s="35"/>
      <c r="V59" s="35"/>
      <c r="W59" s="35"/>
      <c r="X59" s="35"/>
      <c r="Y59" s="35"/>
      <c r="Z59" s="35"/>
    </row>
    <row r="60" ht="15.75" customHeight="1">
      <c r="A60" s="251" t="s">
        <v>7977</v>
      </c>
      <c r="B60" s="251" t="s">
        <v>173</v>
      </c>
      <c r="C60" s="35"/>
      <c r="D60" s="35"/>
      <c r="E60" s="35"/>
      <c r="F60" s="35"/>
      <c r="G60" s="35"/>
      <c r="H60" s="35"/>
      <c r="I60" s="35"/>
      <c r="J60" s="35"/>
      <c r="K60" s="35"/>
      <c r="L60" s="35"/>
      <c r="M60" s="35"/>
      <c r="N60" s="35"/>
      <c r="O60" s="35"/>
      <c r="P60" s="35"/>
      <c r="Q60" s="35"/>
      <c r="R60" s="35"/>
      <c r="S60" s="35"/>
      <c r="T60" s="35"/>
      <c r="U60" s="35"/>
      <c r="V60" s="35"/>
      <c r="W60" s="35"/>
      <c r="X60" s="35"/>
      <c r="Y60" s="35"/>
      <c r="Z60" s="35"/>
    </row>
    <row r="61" ht="15.75" customHeight="1">
      <c r="A61" s="251" t="s">
        <v>8008</v>
      </c>
      <c r="B61" s="251" t="s">
        <v>356</v>
      </c>
      <c r="C61" s="35"/>
      <c r="D61" s="35"/>
      <c r="E61" s="35"/>
      <c r="F61" s="35"/>
      <c r="G61" s="35"/>
      <c r="H61" s="35"/>
      <c r="I61" s="35"/>
      <c r="J61" s="35"/>
      <c r="K61" s="35"/>
      <c r="L61" s="35"/>
      <c r="M61" s="35"/>
      <c r="N61" s="35"/>
      <c r="O61" s="35"/>
      <c r="P61" s="35"/>
      <c r="Q61" s="35"/>
      <c r="R61" s="35"/>
      <c r="S61" s="35"/>
      <c r="T61" s="35"/>
      <c r="U61" s="35"/>
      <c r="V61" s="35"/>
      <c r="W61" s="35"/>
      <c r="X61" s="35"/>
      <c r="Y61" s="35"/>
      <c r="Z61" s="35"/>
    </row>
    <row r="62" ht="15.75" customHeight="1">
      <c r="A62" s="251" t="s">
        <v>18390</v>
      </c>
      <c r="B62" s="251" t="s">
        <v>18391</v>
      </c>
      <c r="C62" s="35"/>
      <c r="D62" s="35"/>
      <c r="E62" s="35"/>
      <c r="F62" s="35"/>
      <c r="G62" s="35"/>
      <c r="H62" s="35"/>
      <c r="I62" s="35"/>
      <c r="J62" s="35"/>
      <c r="K62" s="35"/>
      <c r="L62" s="35"/>
      <c r="M62" s="35"/>
      <c r="N62" s="35"/>
      <c r="O62" s="35"/>
      <c r="P62" s="35"/>
      <c r="Q62" s="35"/>
      <c r="R62" s="35"/>
      <c r="S62" s="35"/>
      <c r="T62" s="35"/>
      <c r="U62" s="35"/>
      <c r="V62" s="35"/>
      <c r="W62" s="35"/>
      <c r="X62" s="35"/>
      <c r="Y62" s="35"/>
      <c r="Z62" s="35"/>
    </row>
    <row r="63" ht="15.75" customHeight="1">
      <c r="A63" s="251" t="s">
        <v>8026</v>
      </c>
      <c r="B63" s="251" t="s">
        <v>75</v>
      </c>
      <c r="C63" s="35"/>
      <c r="D63" s="35"/>
      <c r="E63" s="35"/>
      <c r="F63" s="35"/>
      <c r="G63" s="35"/>
      <c r="H63" s="35"/>
      <c r="I63" s="35"/>
      <c r="J63" s="35"/>
      <c r="K63" s="35"/>
      <c r="L63" s="35"/>
      <c r="M63" s="35"/>
      <c r="N63" s="35"/>
      <c r="O63" s="35"/>
      <c r="P63" s="35"/>
      <c r="Q63" s="35"/>
      <c r="R63" s="35"/>
      <c r="S63" s="35"/>
      <c r="T63" s="35"/>
      <c r="U63" s="35"/>
      <c r="V63" s="35"/>
      <c r="W63" s="35"/>
      <c r="X63" s="35"/>
      <c r="Y63" s="35"/>
      <c r="Z63" s="35"/>
    </row>
    <row r="64" ht="15.75" customHeight="1">
      <c r="A64" s="251" t="s">
        <v>10025</v>
      </c>
      <c r="B64" s="251" t="s">
        <v>18392</v>
      </c>
      <c r="C64" s="35"/>
      <c r="D64" s="35"/>
      <c r="E64" s="35"/>
      <c r="F64" s="35"/>
      <c r="G64" s="35"/>
      <c r="H64" s="35"/>
      <c r="I64" s="35"/>
      <c r="J64" s="35"/>
      <c r="K64" s="35"/>
      <c r="L64" s="35"/>
      <c r="M64" s="35"/>
      <c r="N64" s="35"/>
      <c r="O64" s="35"/>
      <c r="P64" s="35"/>
      <c r="Q64" s="35"/>
      <c r="R64" s="35"/>
      <c r="S64" s="35"/>
      <c r="T64" s="35"/>
      <c r="U64" s="35"/>
      <c r="V64" s="35"/>
      <c r="W64" s="35"/>
      <c r="X64" s="35"/>
      <c r="Y64" s="35"/>
      <c r="Z64" s="35"/>
    </row>
    <row r="65" ht="15.75" customHeight="1">
      <c r="A65" s="251" t="s">
        <v>18393</v>
      </c>
      <c r="B65" s="251" t="s">
        <v>18394</v>
      </c>
      <c r="C65" s="35"/>
      <c r="D65" s="35"/>
      <c r="E65" s="35"/>
      <c r="F65" s="35"/>
      <c r="G65" s="35"/>
      <c r="H65" s="35"/>
      <c r="I65" s="35"/>
      <c r="J65" s="35"/>
      <c r="K65" s="35"/>
      <c r="L65" s="35"/>
      <c r="M65" s="35"/>
      <c r="N65" s="35"/>
      <c r="O65" s="35"/>
      <c r="P65" s="35"/>
      <c r="Q65" s="35"/>
      <c r="R65" s="35"/>
      <c r="S65" s="35"/>
      <c r="T65" s="35"/>
      <c r="U65" s="35"/>
      <c r="V65" s="35"/>
      <c r="W65" s="35"/>
      <c r="X65" s="35"/>
      <c r="Y65" s="35"/>
      <c r="Z65" s="35"/>
    </row>
    <row r="66" ht="15.75" customHeight="1">
      <c r="A66" s="251" t="s">
        <v>8011</v>
      </c>
      <c r="B66" s="251" t="s">
        <v>120</v>
      </c>
      <c r="C66" s="35"/>
      <c r="D66" s="35"/>
      <c r="E66" s="35"/>
      <c r="F66" s="35"/>
      <c r="G66" s="35"/>
      <c r="H66" s="35"/>
      <c r="I66" s="35"/>
      <c r="J66" s="35"/>
      <c r="K66" s="35"/>
      <c r="L66" s="35"/>
      <c r="M66" s="35"/>
      <c r="N66" s="35"/>
      <c r="O66" s="35"/>
      <c r="P66" s="35"/>
      <c r="Q66" s="35"/>
      <c r="R66" s="35"/>
      <c r="S66" s="35"/>
      <c r="T66" s="35"/>
      <c r="U66" s="35"/>
      <c r="V66" s="35"/>
      <c r="W66" s="35"/>
      <c r="X66" s="35"/>
      <c r="Y66" s="35"/>
      <c r="Z66" s="35"/>
    </row>
    <row r="67" ht="15.75" customHeight="1">
      <c r="A67" s="251" t="s">
        <v>18395</v>
      </c>
      <c r="B67" s="251" t="s">
        <v>18396</v>
      </c>
      <c r="C67" s="35"/>
      <c r="D67" s="35"/>
      <c r="E67" s="35"/>
      <c r="F67" s="35"/>
      <c r="G67" s="35"/>
      <c r="H67" s="35"/>
      <c r="I67" s="35"/>
      <c r="J67" s="35"/>
      <c r="K67" s="35"/>
      <c r="L67" s="35"/>
      <c r="M67" s="35"/>
      <c r="N67" s="35"/>
      <c r="O67" s="35"/>
      <c r="P67" s="35"/>
      <c r="Q67" s="35"/>
      <c r="R67" s="35"/>
      <c r="S67" s="35"/>
      <c r="T67" s="35"/>
      <c r="U67" s="35"/>
      <c r="V67" s="35"/>
      <c r="W67" s="35"/>
      <c r="X67" s="35"/>
      <c r="Y67" s="35"/>
      <c r="Z67" s="35"/>
    </row>
    <row r="68" ht="15.75" customHeight="1">
      <c r="A68" s="251" t="s">
        <v>7991</v>
      </c>
      <c r="B68" s="251" t="s">
        <v>83</v>
      </c>
      <c r="C68" s="35"/>
      <c r="D68" s="35"/>
      <c r="E68" s="35"/>
      <c r="F68" s="35"/>
      <c r="G68" s="35"/>
      <c r="H68" s="35"/>
      <c r="I68" s="35"/>
      <c r="J68" s="35"/>
      <c r="K68" s="35"/>
      <c r="L68" s="35"/>
      <c r="M68" s="35"/>
      <c r="N68" s="35"/>
      <c r="O68" s="35"/>
      <c r="P68" s="35"/>
      <c r="Q68" s="35"/>
      <c r="R68" s="35"/>
      <c r="S68" s="35"/>
      <c r="T68" s="35"/>
      <c r="U68" s="35"/>
      <c r="V68" s="35"/>
      <c r="W68" s="35"/>
      <c r="X68" s="35"/>
      <c r="Y68" s="35"/>
      <c r="Z68" s="35"/>
    </row>
    <row r="69" ht="15.75" customHeight="1">
      <c r="A69" s="251" t="s">
        <v>18397</v>
      </c>
      <c r="B69" s="251" t="s">
        <v>18398</v>
      </c>
      <c r="C69" s="35"/>
      <c r="D69" s="35"/>
      <c r="E69" s="35"/>
      <c r="F69" s="35"/>
      <c r="G69" s="35"/>
      <c r="H69" s="35"/>
      <c r="I69" s="35"/>
      <c r="J69" s="35"/>
      <c r="K69" s="35"/>
      <c r="L69" s="35"/>
      <c r="M69" s="35"/>
      <c r="N69" s="35"/>
      <c r="O69" s="35"/>
      <c r="P69" s="35"/>
      <c r="Q69" s="35"/>
      <c r="R69" s="35"/>
      <c r="S69" s="35"/>
      <c r="T69" s="35"/>
      <c r="U69" s="35"/>
      <c r="V69" s="35"/>
      <c r="W69" s="35"/>
      <c r="X69" s="35"/>
      <c r="Y69" s="35"/>
      <c r="Z69" s="35"/>
    </row>
    <row r="70" ht="15.75" customHeight="1">
      <c r="A70" s="251" t="s">
        <v>18399</v>
      </c>
      <c r="B70" s="251" t="s">
        <v>18400</v>
      </c>
      <c r="C70" s="35"/>
      <c r="D70" s="35"/>
      <c r="E70" s="35"/>
      <c r="F70" s="35"/>
      <c r="G70" s="35"/>
      <c r="H70" s="35"/>
      <c r="I70" s="35"/>
      <c r="J70" s="35"/>
      <c r="K70" s="35"/>
      <c r="L70" s="35"/>
      <c r="M70" s="35"/>
      <c r="N70" s="35"/>
      <c r="O70" s="35"/>
      <c r="P70" s="35"/>
      <c r="Q70" s="35"/>
      <c r="R70" s="35"/>
      <c r="S70" s="35"/>
      <c r="T70" s="35"/>
      <c r="U70" s="35"/>
      <c r="V70" s="35"/>
      <c r="W70" s="35"/>
      <c r="X70" s="35"/>
      <c r="Y70" s="35"/>
      <c r="Z70" s="35"/>
    </row>
    <row r="71" ht="15.75" customHeight="1">
      <c r="A71" s="251" t="s">
        <v>18401</v>
      </c>
      <c r="B71" s="251" t="s">
        <v>18402</v>
      </c>
      <c r="C71" s="35"/>
      <c r="D71" s="35"/>
      <c r="E71" s="35"/>
      <c r="F71" s="35"/>
      <c r="G71" s="35"/>
      <c r="H71" s="35"/>
      <c r="I71" s="35"/>
      <c r="J71" s="35"/>
      <c r="K71" s="35"/>
      <c r="L71" s="35"/>
      <c r="M71" s="35"/>
      <c r="N71" s="35"/>
      <c r="O71" s="35"/>
      <c r="P71" s="35"/>
      <c r="Q71" s="35"/>
      <c r="R71" s="35"/>
      <c r="S71" s="35"/>
      <c r="T71" s="35"/>
      <c r="U71" s="35"/>
      <c r="V71" s="35"/>
      <c r="W71" s="35"/>
      <c r="X71" s="35"/>
      <c r="Y71" s="35"/>
      <c r="Z71" s="35"/>
    </row>
    <row r="72" ht="15.75" customHeight="1">
      <c r="A72" s="251" t="s">
        <v>18403</v>
      </c>
      <c r="B72" s="251" t="s">
        <v>18404</v>
      </c>
      <c r="C72" s="35"/>
      <c r="D72" s="35"/>
      <c r="E72" s="35"/>
      <c r="F72" s="35"/>
      <c r="G72" s="35"/>
      <c r="H72" s="35"/>
      <c r="I72" s="35"/>
      <c r="J72" s="35"/>
      <c r="K72" s="35"/>
      <c r="L72" s="35"/>
      <c r="M72" s="35"/>
      <c r="N72" s="35"/>
      <c r="O72" s="35"/>
      <c r="P72" s="35"/>
      <c r="Q72" s="35"/>
      <c r="R72" s="35"/>
      <c r="S72" s="35"/>
      <c r="T72" s="35"/>
      <c r="U72" s="35"/>
      <c r="V72" s="35"/>
      <c r="W72" s="35"/>
      <c r="X72" s="35"/>
      <c r="Y72" s="35"/>
      <c r="Z72" s="35"/>
    </row>
    <row r="73" ht="15.75" customHeight="1">
      <c r="A73" s="251" t="s">
        <v>18405</v>
      </c>
      <c r="B73" s="251" t="s">
        <v>18406</v>
      </c>
      <c r="C73" s="35"/>
      <c r="D73" s="35"/>
      <c r="E73" s="35"/>
      <c r="F73" s="35"/>
      <c r="G73" s="35"/>
      <c r="H73" s="35"/>
      <c r="I73" s="35"/>
      <c r="J73" s="35"/>
      <c r="K73" s="35"/>
      <c r="L73" s="35"/>
      <c r="M73" s="35"/>
      <c r="N73" s="35"/>
      <c r="O73" s="35"/>
      <c r="P73" s="35"/>
      <c r="Q73" s="35"/>
      <c r="R73" s="35"/>
      <c r="S73" s="35"/>
      <c r="T73" s="35"/>
      <c r="U73" s="35"/>
      <c r="V73" s="35"/>
      <c r="W73" s="35"/>
      <c r="X73" s="35"/>
      <c r="Y73" s="35"/>
      <c r="Z73" s="35"/>
    </row>
    <row r="74" ht="15.75" customHeight="1">
      <c r="A74" s="251" t="s">
        <v>18407</v>
      </c>
      <c r="B74" s="251" t="s">
        <v>18408</v>
      </c>
      <c r="C74" s="35"/>
      <c r="D74" s="35"/>
      <c r="E74" s="35"/>
      <c r="F74" s="35"/>
      <c r="G74" s="35"/>
      <c r="H74" s="35"/>
      <c r="I74" s="35"/>
      <c r="J74" s="35"/>
      <c r="K74" s="35"/>
      <c r="L74" s="35"/>
      <c r="M74" s="35"/>
      <c r="N74" s="35"/>
      <c r="O74" s="35"/>
      <c r="P74" s="35"/>
      <c r="Q74" s="35"/>
      <c r="R74" s="35"/>
      <c r="S74" s="35"/>
      <c r="T74" s="35"/>
      <c r="U74" s="35"/>
      <c r="V74" s="35"/>
      <c r="W74" s="35"/>
      <c r="X74" s="35"/>
      <c r="Y74" s="35"/>
      <c r="Z74" s="35"/>
    </row>
    <row r="75" ht="15.75" customHeight="1">
      <c r="A75" s="251" t="s">
        <v>18409</v>
      </c>
      <c r="B75" s="251" t="s">
        <v>18410</v>
      </c>
      <c r="C75" s="35"/>
      <c r="D75" s="35"/>
      <c r="E75" s="35"/>
      <c r="F75" s="35"/>
      <c r="G75" s="35"/>
      <c r="H75" s="35"/>
      <c r="I75" s="35"/>
      <c r="J75" s="35"/>
      <c r="K75" s="35"/>
      <c r="L75" s="35"/>
      <c r="M75" s="35"/>
      <c r="N75" s="35"/>
      <c r="O75" s="35"/>
      <c r="P75" s="35"/>
      <c r="Q75" s="35"/>
      <c r="R75" s="35"/>
      <c r="S75" s="35"/>
      <c r="T75" s="35"/>
      <c r="U75" s="35"/>
      <c r="V75" s="35"/>
      <c r="W75" s="35"/>
      <c r="X75" s="35"/>
      <c r="Y75" s="35"/>
      <c r="Z75" s="35"/>
    </row>
    <row r="76" ht="15.75" customHeight="1">
      <c r="A76" s="251" t="s">
        <v>18411</v>
      </c>
      <c r="B76" s="251" t="s">
        <v>18412</v>
      </c>
      <c r="C76" s="35"/>
      <c r="D76" s="35"/>
      <c r="E76" s="35"/>
      <c r="F76" s="35"/>
      <c r="G76" s="35"/>
      <c r="H76" s="35"/>
      <c r="I76" s="35"/>
      <c r="J76" s="35"/>
      <c r="K76" s="35"/>
      <c r="L76" s="35"/>
      <c r="M76" s="35"/>
      <c r="N76" s="35"/>
      <c r="O76" s="35"/>
      <c r="P76" s="35"/>
      <c r="Q76" s="35"/>
      <c r="R76" s="35"/>
      <c r="S76" s="35"/>
      <c r="T76" s="35"/>
      <c r="U76" s="35"/>
      <c r="V76" s="35"/>
      <c r="W76" s="35"/>
      <c r="X76" s="35"/>
      <c r="Y76" s="35"/>
      <c r="Z76" s="35"/>
    </row>
    <row r="77" ht="15.75" customHeight="1">
      <c r="A77" s="251" t="s">
        <v>8117</v>
      </c>
      <c r="B77" s="251" t="s">
        <v>197</v>
      </c>
      <c r="C77" s="35"/>
      <c r="D77" s="35"/>
      <c r="E77" s="35"/>
      <c r="F77" s="35"/>
      <c r="G77" s="35"/>
      <c r="H77" s="35"/>
      <c r="I77" s="35"/>
      <c r="J77" s="35"/>
      <c r="K77" s="35"/>
      <c r="L77" s="35"/>
      <c r="M77" s="35"/>
      <c r="N77" s="35"/>
      <c r="O77" s="35"/>
      <c r="P77" s="35"/>
      <c r="Q77" s="35"/>
      <c r="R77" s="35"/>
      <c r="S77" s="35"/>
      <c r="T77" s="35"/>
      <c r="U77" s="35"/>
      <c r="V77" s="35"/>
      <c r="W77" s="35"/>
      <c r="X77" s="35"/>
      <c r="Y77" s="35"/>
      <c r="Z77" s="35"/>
    </row>
    <row r="78" ht="15.75" customHeight="1">
      <c r="A78" s="251" t="s">
        <v>18413</v>
      </c>
      <c r="B78" s="251" t="s">
        <v>18414</v>
      </c>
      <c r="C78" s="35"/>
      <c r="D78" s="35"/>
      <c r="E78" s="35"/>
      <c r="F78" s="35"/>
      <c r="G78" s="35"/>
      <c r="H78" s="35"/>
      <c r="I78" s="35"/>
      <c r="J78" s="35"/>
      <c r="K78" s="35"/>
      <c r="L78" s="35"/>
      <c r="M78" s="35"/>
      <c r="N78" s="35"/>
      <c r="O78" s="35"/>
      <c r="P78" s="35"/>
      <c r="Q78" s="35"/>
      <c r="R78" s="35"/>
      <c r="S78" s="35"/>
      <c r="T78" s="35"/>
      <c r="U78" s="35"/>
      <c r="V78" s="35"/>
      <c r="W78" s="35"/>
      <c r="X78" s="35"/>
      <c r="Y78" s="35"/>
      <c r="Z78" s="35"/>
    </row>
    <row r="79" ht="15.75" customHeight="1">
      <c r="A79" s="251" t="s">
        <v>18415</v>
      </c>
      <c r="B79" s="251" t="s">
        <v>18416</v>
      </c>
      <c r="C79" s="35"/>
      <c r="D79" s="35"/>
      <c r="E79" s="35"/>
      <c r="F79" s="35"/>
      <c r="G79" s="35"/>
      <c r="H79" s="35"/>
      <c r="I79" s="35"/>
      <c r="J79" s="35"/>
      <c r="K79" s="35"/>
      <c r="L79" s="35"/>
      <c r="M79" s="35"/>
      <c r="N79" s="35"/>
      <c r="O79" s="35"/>
      <c r="P79" s="35"/>
      <c r="Q79" s="35"/>
      <c r="R79" s="35"/>
      <c r="S79" s="35"/>
      <c r="T79" s="35"/>
      <c r="U79" s="35"/>
      <c r="V79" s="35"/>
      <c r="W79" s="35"/>
      <c r="X79" s="35"/>
      <c r="Y79" s="35"/>
      <c r="Z79" s="35"/>
    </row>
    <row r="80" ht="15.75" customHeight="1">
      <c r="A80" s="251" t="s">
        <v>18417</v>
      </c>
      <c r="B80" s="251" t="s">
        <v>455</v>
      </c>
      <c r="C80" s="35"/>
      <c r="D80" s="35"/>
      <c r="E80" s="35"/>
      <c r="F80" s="35"/>
      <c r="G80" s="35"/>
      <c r="H80" s="35"/>
      <c r="I80" s="35"/>
      <c r="J80" s="35"/>
      <c r="K80" s="35"/>
      <c r="L80" s="35"/>
      <c r="M80" s="35"/>
      <c r="N80" s="35"/>
      <c r="O80" s="35"/>
      <c r="P80" s="35"/>
      <c r="Q80" s="35"/>
      <c r="R80" s="35"/>
      <c r="S80" s="35"/>
      <c r="T80" s="35"/>
      <c r="U80" s="35"/>
      <c r="V80" s="35"/>
      <c r="W80" s="35"/>
      <c r="X80" s="35"/>
      <c r="Y80" s="35"/>
      <c r="Z80" s="35"/>
    </row>
    <row r="81" ht="15.75" customHeight="1">
      <c r="A81" s="251" t="s">
        <v>18418</v>
      </c>
      <c r="B81" s="251" t="s">
        <v>18419</v>
      </c>
      <c r="C81" s="35"/>
      <c r="D81" s="35"/>
      <c r="E81" s="35"/>
      <c r="F81" s="35"/>
      <c r="G81" s="35"/>
      <c r="H81" s="35"/>
      <c r="I81" s="35"/>
      <c r="J81" s="35"/>
      <c r="K81" s="35"/>
      <c r="L81" s="35"/>
      <c r="M81" s="35"/>
      <c r="N81" s="35"/>
      <c r="O81" s="35"/>
      <c r="P81" s="35"/>
      <c r="Q81" s="35"/>
      <c r="R81" s="35"/>
      <c r="S81" s="35"/>
      <c r="T81" s="35"/>
      <c r="U81" s="35"/>
      <c r="V81" s="35"/>
      <c r="W81" s="35"/>
      <c r="X81" s="35"/>
      <c r="Y81" s="35"/>
      <c r="Z81" s="35"/>
    </row>
    <row r="82" ht="15.75" customHeight="1">
      <c r="A82" s="251" t="s">
        <v>18420</v>
      </c>
      <c r="B82" s="251" t="s">
        <v>18421</v>
      </c>
      <c r="C82" s="35"/>
      <c r="D82" s="35"/>
      <c r="E82" s="35"/>
      <c r="F82" s="35"/>
      <c r="G82" s="35"/>
      <c r="H82" s="35"/>
      <c r="I82" s="35"/>
      <c r="J82" s="35"/>
      <c r="K82" s="35"/>
      <c r="L82" s="35"/>
      <c r="M82" s="35"/>
      <c r="N82" s="35"/>
      <c r="O82" s="35"/>
      <c r="P82" s="35"/>
      <c r="Q82" s="35"/>
      <c r="R82" s="35"/>
      <c r="S82" s="35"/>
      <c r="T82" s="35"/>
      <c r="U82" s="35"/>
      <c r="V82" s="35"/>
      <c r="W82" s="35"/>
      <c r="X82" s="35"/>
      <c r="Y82" s="35"/>
      <c r="Z82" s="35"/>
    </row>
    <row r="83" ht="15.75" customHeight="1">
      <c r="A83" s="251" t="s">
        <v>18422</v>
      </c>
      <c r="B83" s="251" t="s">
        <v>18423</v>
      </c>
      <c r="C83" s="35"/>
      <c r="D83" s="35"/>
      <c r="E83" s="35"/>
      <c r="F83" s="35"/>
      <c r="G83" s="35"/>
      <c r="H83" s="35"/>
      <c r="I83" s="35"/>
      <c r="J83" s="35"/>
      <c r="K83" s="35"/>
      <c r="L83" s="35"/>
      <c r="M83" s="35"/>
      <c r="N83" s="35"/>
      <c r="O83" s="35"/>
      <c r="P83" s="35"/>
      <c r="Q83" s="35"/>
      <c r="R83" s="35"/>
      <c r="S83" s="35"/>
      <c r="T83" s="35"/>
      <c r="U83" s="35"/>
      <c r="V83" s="35"/>
      <c r="W83" s="35"/>
      <c r="X83" s="35"/>
      <c r="Y83" s="35"/>
      <c r="Z83" s="35"/>
    </row>
    <row r="84" ht="15.75" customHeight="1">
      <c r="A84" s="251" t="s">
        <v>18424</v>
      </c>
      <c r="B84" s="251" t="s">
        <v>18425</v>
      </c>
      <c r="C84" s="35"/>
      <c r="D84" s="35"/>
      <c r="E84" s="35"/>
      <c r="F84" s="35"/>
      <c r="G84" s="35"/>
      <c r="H84" s="35"/>
      <c r="I84" s="35"/>
      <c r="J84" s="35"/>
      <c r="K84" s="35"/>
      <c r="L84" s="35"/>
      <c r="M84" s="35"/>
      <c r="N84" s="35"/>
      <c r="O84" s="35"/>
      <c r="P84" s="35"/>
      <c r="Q84" s="35"/>
      <c r="R84" s="35"/>
      <c r="S84" s="35"/>
      <c r="T84" s="35"/>
      <c r="U84" s="35"/>
      <c r="V84" s="35"/>
      <c r="W84" s="35"/>
      <c r="X84" s="35"/>
      <c r="Y84" s="35"/>
      <c r="Z84" s="35"/>
    </row>
    <row r="85" ht="15.75" customHeight="1">
      <c r="A85" s="251" t="s">
        <v>10072</v>
      </c>
      <c r="B85" s="251" t="s">
        <v>18426</v>
      </c>
      <c r="C85" s="35"/>
      <c r="D85" s="35"/>
      <c r="E85" s="35"/>
      <c r="F85" s="35"/>
      <c r="G85" s="35"/>
      <c r="H85" s="35"/>
      <c r="I85" s="35"/>
      <c r="J85" s="35"/>
      <c r="K85" s="35"/>
      <c r="L85" s="35"/>
      <c r="M85" s="35"/>
      <c r="N85" s="35"/>
      <c r="O85" s="35"/>
      <c r="P85" s="35"/>
      <c r="Q85" s="35"/>
      <c r="R85" s="35"/>
      <c r="S85" s="35"/>
      <c r="T85" s="35"/>
      <c r="U85" s="35"/>
      <c r="V85" s="35"/>
      <c r="W85" s="35"/>
      <c r="X85" s="35"/>
      <c r="Y85" s="35"/>
      <c r="Z85" s="35"/>
    </row>
    <row r="86" ht="15.75" customHeight="1">
      <c r="A86" s="251" t="s">
        <v>18427</v>
      </c>
      <c r="B86" s="251" t="s">
        <v>18428</v>
      </c>
      <c r="C86" s="35"/>
      <c r="D86" s="35"/>
      <c r="E86" s="35"/>
      <c r="F86" s="35"/>
      <c r="G86" s="35"/>
      <c r="H86" s="35"/>
      <c r="I86" s="35"/>
      <c r="J86" s="35"/>
      <c r="K86" s="35"/>
      <c r="L86" s="35"/>
      <c r="M86" s="35"/>
      <c r="N86" s="35"/>
      <c r="O86" s="35"/>
      <c r="P86" s="35"/>
      <c r="Q86" s="35"/>
      <c r="R86" s="35"/>
      <c r="S86" s="35"/>
      <c r="T86" s="35"/>
      <c r="U86" s="35"/>
      <c r="V86" s="35"/>
      <c r="W86" s="35"/>
      <c r="X86" s="35"/>
      <c r="Y86" s="35"/>
      <c r="Z86" s="35"/>
    </row>
    <row r="87" ht="15.75" customHeight="1">
      <c r="A87" s="251" t="s">
        <v>8591</v>
      </c>
      <c r="B87" s="251" t="s">
        <v>234</v>
      </c>
      <c r="C87" s="35"/>
      <c r="D87" s="35"/>
      <c r="E87" s="35"/>
      <c r="F87" s="35"/>
      <c r="G87" s="35"/>
      <c r="H87" s="35"/>
      <c r="I87" s="35"/>
      <c r="J87" s="35"/>
      <c r="K87" s="35"/>
      <c r="L87" s="35"/>
      <c r="M87" s="35"/>
      <c r="N87" s="35"/>
      <c r="O87" s="35"/>
      <c r="P87" s="35"/>
      <c r="Q87" s="35"/>
      <c r="R87" s="35"/>
      <c r="S87" s="35"/>
      <c r="T87" s="35"/>
      <c r="U87" s="35"/>
      <c r="V87" s="35"/>
      <c r="W87" s="35"/>
      <c r="X87" s="35"/>
      <c r="Y87" s="35"/>
      <c r="Z87" s="35"/>
    </row>
    <row r="88" ht="15.75" customHeight="1">
      <c r="A88" s="251" t="s">
        <v>8578</v>
      </c>
      <c r="B88" s="251" t="s">
        <v>18287</v>
      </c>
      <c r="C88" s="35"/>
      <c r="D88" s="35"/>
      <c r="E88" s="35"/>
      <c r="F88" s="35"/>
      <c r="G88" s="35"/>
      <c r="H88" s="35"/>
      <c r="I88" s="35"/>
      <c r="J88" s="35"/>
      <c r="K88" s="35"/>
      <c r="L88" s="35"/>
      <c r="M88" s="35"/>
      <c r="N88" s="35"/>
      <c r="O88" s="35"/>
      <c r="P88" s="35"/>
      <c r="Q88" s="35"/>
      <c r="R88" s="35"/>
      <c r="S88" s="35"/>
      <c r="T88" s="35"/>
      <c r="U88" s="35"/>
      <c r="V88" s="35"/>
      <c r="W88" s="35"/>
      <c r="X88" s="35"/>
      <c r="Y88" s="35"/>
      <c r="Z88" s="35"/>
    </row>
    <row r="89" ht="15.75" customHeight="1">
      <c r="A89" s="251" t="s">
        <v>8108</v>
      </c>
      <c r="B89" s="251" t="s">
        <v>18285</v>
      </c>
      <c r="C89" s="35"/>
      <c r="D89" s="35"/>
      <c r="E89" s="35"/>
      <c r="F89" s="35"/>
      <c r="G89" s="35"/>
      <c r="H89" s="35"/>
      <c r="I89" s="35"/>
      <c r="J89" s="35"/>
      <c r="K89" s="35"/>
      <c r="L89" s="35"/>
      <c r="M89" s="35"/>
      <c r="N89" s="35"/>
      <c r="O89" s="35"/>
      <c r="P89" s="35"/>
      <c r="Q89" s="35"/>
      <c r="R89" s="35"/>
      <c r="S89" s="35"/>
      <c r="T89" s="35"/>
      <c r="U89" s="35"/>
      <c r="V89" s="35"/>
      <c r="W89" s="35"/>
      <c r="X89" s="35"/>
      <c r="Y89" s="35"/>
      <c r="Z89" s="35"/>
    </row>
    <row r="90" ht="15.75" customHeight="1">
      <c r="A90" s="251" t="s">
        <v>8702</v>
      </c>
      <c r="B90" s="251" t="s">
        <v>18429</v>
      </c>
      <c r="C90" s="35"/>
      <c r="D90" s="35"/>
      <c r="E90" s="35"/>
      <c r="F90" s="35"/>
      <c r="G90" s="35"/>
      <c r="H90" s="35"/>
      <c r="I90" s="35"/>
      <c r="J90" s="35"/>
      <c r="K90" s="35"/>
      <c r="L90" s="35"/>
      <c r="M90" s="35"/>
      <c r="N90" s="35"/>
      <c r="O90" s="35"/>
      <c r="P90" s="35"/>
      <c r="Q90" s="35"/>
      <c r="R90" s="35"/>
      <c r="S90" s="35"/>
      <c r="T90" s="35"/>
      <c r="U90" s="35"/>
      <c r="V90" s="35"/>
      <c r="W90" s="35"/>
      <c r="X90" s="35"/>
      <c r="Y90" s="35"/>
      <c r="Z90" s="35"/>
    </row>
    <row r="91" ht="15.75" customHeight="1">
      <c r="A91" s="251" t="s">
        <v>8140</v>
      </c>
      <c r="B91" s="251" t="s">
        <v>18430</v>
      </c>
      <c r="C91" s="35"/>
      <c r="D91" s="35"/>
      <c r="E91" s="35"/>
      <c r="F91" s="35"/>
      <c r="G91" s="35"/>
      <c r="H91" s="35"/>
      <c r="I91" s="35"/>
      <c r="J91" s="35"/>
      <c r="K91" s="35"/>
      <c r="L91" s="35"/>
      <c r="M91" s="35"/>
      <c r="N91" s="35"/>
      <c r="O91" s="35"/>
      <c r="P91" s="35"/>
      <c r="Q91" s="35"/>
      <c r="R91" s="35"/>
      <c r="S91" s="35"/>
      <c r="T91" s="35"/>
      <c r="U91" s="35"/>
      <c r="V91" s="35"/>
      <c r="W91" s="35"/>
      <c r="X91" s="35"/>
      <c r="Y91" s="35"/>
      <c r="Z91" s="35"/>
    </row>
    <row r="92" ht="15.75" customHeight="1">
      <c r="A92" s="251" t="s">
        <v>18431</v>
      </c>
      <c r="B92" s="251" t="s">
        <v>18432</v>
      </c>
      <c r="C92" s="35"/>
      <c r="D92" s="35"/>
      <c r="E92" s="35"/>
      <c r="F92" s="35"/>
      <c r="G92" s="35"/>
      <c r="H92" s="35"/>
      <c r="I92" s="35"/>
      <c r="J92" s="35"/>
      <c r="K92" s="35"/>
      <c r="L92" s="35"/>
      <c r="M92" s="35"/>
      <c r="N92" s="35"/>
      <c r="O92" s="35"/>
      <c r="P92" s="35"/>
      <c r="Q92" s="35"/>
      <c r="R92" s="35"/>
      <c r="S92" s="35"/>
      <c r="T92" s="35"/>
      <c r="U92" s="35"/>
      <c r="V92" s="35"/>
      <c r="W92" s="35"/>
      <c r="X92" s="35"/>
      <c r="Y92" s="35"/>
      <c r="Z92" s="35"/>
    </row>
    <row r="93" ht="15.75" customHeight="1">
      <c r="A93" s="251" t="s">
        <v>8122</v>
      </c>
      <c r="B93" s="251" t="s">
        <v>63</v>
      </c>
      <c r="C93" s="35"/>
      <c r="D93" s="35"/>
      <c r="E93" s="35"/>
      <c r="F93" s="35"/>
      <c r="G93" s="35"/>
      <c r="H93" s="35"/>
      <c r="I93" s="35"/>
      <c r="J93" s="35"/>
      <c r="K93" s="35"/>
      <c r="L93" s="35"/>
      <c r="M93" s="35"/>
      <c r="N93" s="35"/>
      <c r="O93" s="35"/>
      <c r="P93" s="35"/>
      <c r="Q93" s="35"/>
      <c r="R93" s="35"/>
      <c r="S93" s="35"/>
      <c r="T93" s="35"/>
      <c r="U93" s="35"/>
      <c r="V93" s="35"/>
      <c r="W93" s="35"/>
      <c r="X93" s="35"/>
      <c r="Y93" s="35"/>
      <c r="Z93" s="35"/>
    </row>
    <row r="94" ht="15.75" customHeight="1">
      <c r="A94" s="251" t="s">
        <v>10311</v>
      </c>
      <c r="B94" s="251" t="s">
        <v>18289</v>
      </c>
      <c r="C94" s="35"/>
      <c r="D94" s="35"/>
      <c r="E94" s="35"/>
      <c r="F94" s="35"/>
      <c r="G94" s="35"/>
      <c r="H94" s="35"/>
      <c r="I94" s="35"/>
      <c r="J94" s="35"/>
      <c r="K94" s="35"/>
      <c r="L94" s="35"/>
      <c r="M94" s="35"/>
      <c r="N94" s="35"/>
      <c r="O94" s="35"/>
      <c r="P94" s="35"/>
      <c r="Q94" s="35"/>
      <c r="R94" s="35"/>
      <c r="S94" s="35"/>
      <c r="T94" s="35"/>
      <c r="U94" s="35"/>
      <c r="V94" s="35"/>
      <c r="W94" s="35"/>
      <c r="X94" s="35"/>
      <c r="Y94" s="35"/>
      <c r="Z94" s="35"/>
    </row>
    <row r="95" ht="15.75" customHeight="1">
      <c r="A95" s="251" t="s">
        <v>8047</v>
      </c>
      <c r="B95" s="251" t="s">
        <v>78</v>
      </c>
      <c r="C95" s="35"/>
      <c r="D95" s="35"/>
      <c r="E95" s="35"/>
      <c r="F95" s="35"/>
      <c r="G95" s="35"/>
      <c r="H95" s="35"/>
      <c r="I95" s="35"/>
      <c r="J95" s="35"/>
      <c r="K95" s="35"/>
      <c r="L95" s="35"/>
      <c r="M95" s="35"/>
      <c r="N95" s="35"/>
      <c r="O95" s="35"/>
      <c r="P95" s="35"/>
      <c r="Q95" s="35"/>
      <c r="R95" s="35"/>
      <c r="S95" s="35"/>
      <c r="T95" s="35"/>
      <c r="U95" s="35"/>
      <c r="V95" s="35"/>
      <c r="W95" s="35"/>
      <c r="X95" s="35"/>
      <c r="Y95" s="35"/>
      <c r="Z95" s="35"/>
    </row>
    <row r="96" ht="15.75" customHeight="1">
      <c r="A96" s="251" t="s">
        <v>18433</v>
      </c>
      <c r="B96" s="251" t="s">
        <v>18434</v>
      </c>
      <c r="C96" s="35"/>
      <c r="D96" s="35"/>
      <c r="E96" s="35"/>
      <c r="F96" s="35"/>
      <c r="G96" s="35"/>
      <c r="H96" s="35"/>
      <c r="I96" s="35"/>
      <c r="J96" s="35"/>
      <c r="K96" s="35"/>
      <c r="L96" s="35"/>
      <c r="M96" s="35"/>
      <c r="N96" s="35"/>
      <c r="O96" s="35"/>
      <c r="P96" s="35"/>
      <c r="Q96" s="35"/>
      <c r="R96" s="35"/>
      <c r="S96" s="35"/>
      <c r="T96" s="35"/>
      <c r="U96" s="35"/>
      <c r="V96" s="35"/>
      <c r="W96" s="35"/>
      <c r="X96" s="35"/>
      <c r="Y96" s="35"/>
      <c r="Z96" s="35"/>
    </row>
    <row r="97" ht="15.75" customHeight="1">
      <c r="A97" s="251" t="s">
        <v>9649</v>
      </c>
      <c r="B97" s="251" t="s">
        <v>18435</v>
      </c>
      <c r="C97" s="35"/>
      <c r="D97" s="35"/>
      <c r="E97" s="35"/>
      <c r="F97" s="35"/>
      <c r="G97" s="35"/>
      <c r="H97" s="35"/>
      <c r="I97" s="35"/>
      <c r="J97" s="35"/>
      <c r="K97" s="35"/>
      <c r="L97" s="35"/>
      <c r="M97" s="35"/>
      <c r="N97" s="35"/>
      <c r="O97" s="35"/>
      <c r="P97" s="35"/>
      <c r="Q97" s="35"/>
      <c r="R97" s="35"/>
      <c r="S97" s="35"/>
      <c r="T97" s="35"/>
      <c r="U97" s="35"/>
      <c r="V97" s="35"/>
      <c r="W97" s="35"/>
      <c r="X97" s="35"/>
      <c r="Y97" s="35"/>
      <c r="Z97" s="35"/>
    </row>
    <row r="98" ht="15.75" customHeight="1">
      <c r="A98" s="251" t="s">
        <v>7983</v>
      </c>
      <c r="B98" s="251" t="s">
        <v>18290</v>
      </c>
      <c r="C98" s="35"/>
      <c r="D98" s="35"/>
      <c r="E98" s="35"/>
      <c r="F98" s="35"/>
      <c r="G98" s="35"/>
      <c r="H98" s="35"/>
      <c r="I98" s="35"/>
      <c r="J98" s="35"/>
      <c r="K98" s="35"/>
      <c r="L98" s="35"/>
      <c r="M98" s="35"/>
      <c r="N98" s="35"/>
      <c r="O98" s="35"/>
      <c r="P98" s="35"/>
      <c r="Q98" s="35"/>
      <c r="R98" s="35"/>
      <c r="S98" s="35"/>
      <c r="T98" s="35"/>
      <c r="U98" s="35"/>
      <c r="V98" s="35"/>
      <c r="W98" s="35"/>
      <c r="X98" s="35"/>
      <c r="Y98" s="35"/>
      <c r="Z98" s="35"/>
    </row>
    <row r="99" ht="15.75" customHeight="1">
      <c r="A99" s="251" t="s">
        <v>8753</v>
      </c>
      <c r="B99" s="251" t="s">
        <v>18436</v>
      </c>
      <c r="C99" s="35"/>
      <c r="D99" s="35"/>
      <c r="E99" s="35"/>
      <c r="F99" s="35"/>
      <c r="G99" s="35"/>
      <c r="H99" s="35"/>
      <c r="I99" s="35"/>
      <c r="J99" s="35"/>
      <c r="K99" s="35"/>
      <c r="L99" s="35"/>
      <c r="M99" s="35"/>
      <c r="N99" s="35"/>
      <c r="O99" s="35"/>
      <c r="P99" s="35"/>
      <c r="Q99" s="35"/>
      <c r="R99" s="35"/>
      <c r="S99" s="35"/>
      <c r="T99" s="35"/>
      <c r="U99" s="35"/>
      <c r="V99" s="35"/>
      <c r="W99" s="35"/>
      <c r="X99" s="35"/>
      <c r="Y99" s="35"/>
      <c r="Z99" s="35"/>
    </row>
    <row r="100" ht="15.75" customHeight="1">
      <c r="A100" s="251" t="s">
        <v>8891</v>
      </c>
      <c r="B100" s="251" t="s">
        <v>18437</v>
      </c>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row>
    <row r="101" ht="15.75" customHeight="1">
      <c r="A101" s="251" t="s">
        <v>18438</v>
      </c>
      <c r="B101" s="251" t="s">
        <v>18439</v>
      </c>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row>
    <row r="102" ht="15.75" customHeight="1">
      <c r="A102" s="251" t="s">
        <v>18440</v>
      </c>
      <c r="B102" s="251" t="s">
        <v>18441</v>
      </c>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row>
    <row r="103" ht="15.75" customHeight="1">
      <c r="A103" s="251" t="s">
        <v>18442</v>
      </c>
      <c r="B103" s="251" t="s">
        <v>18443</v>
      </c>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row>
    <row r="104" ht="15.75" customHeight="1">
      <c r="A104" s="251" t="s">
        <v>18444</v>
      </c>
      <c r="B104" s="251" t="s">
        <v>18445</v>
      </c>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row>
    <row r="105" ht="15.75" customHeight="1">
      <c r="A105" s="251" t="s">
        <v>8539</v>
      </c>
      <c r="B105" s="251" t="s">
        <v>18291</v>
      </c>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row>
    <row r="106" ht="15.75" customHeight="1">
      <c r="A106" s="251" t="s">
        <v>18446</v>
      </c>
      <c r="B106" s="251" t="s">
        <v>18447</v>
      </c>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row>
    <row r="107" ht="15.75" customHeight="1">
      <c r="A107" s="251" t="s">
        <v>18448</v>
      </c>
      <c r="B107" s="251" t="s">
        <v>18449</v>
      </c>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row>
    <row r="108" ht="15.75" customHeight="1">
      <c r="A108" s="251" t="s">
        <v>8169</v>
      </c>
      <c r="B108" s="251" t="s">
        <v>18450</v>
      </c>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row>
    <row r="109" ht="15.75" customHeight="1">
      <c r="A109" s="251" t="s">
        <v>18451</v>
      </c>
      <c r="B109" s="251" t="s">
        <v>18452</v>
      </c>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row>
    <row r="110" ht="15.75" customHeight="1">
      <c r="A110" s="251" t="s">
        <v>18453</v>
      </c>
      <c r="B110" s="251" t="s">
        <v>18454</v>
      </c>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row>
    <row r="111" ht="15.75" customHeight="1">
      <c r="A111" s="251" t="s">
        <v>18455</v>
      </c>
      <c r="B111" s="251" t="s">
        <v>18456</v>
      </c>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row>
    <row r="112" ht="15.75" customHeight="1">
      <c r="A112" s="251" t="s">
        <v>9243</v>
      </c>
      <c r="B112" s="251" t="s">
        <v>18457</v>
      </c>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row>
    <row r="113" ht="15.75" customHeight="1">
      <c r="A113" s="251" t="s">
        <v>18458</v>
      </c>
      <c r="B113" s="251" t="s">
        <v>18459</v>
      </c>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row>
    <row r="114" ht="15.75" customHeight="1">
      <c r="A114" s="251" t="s">
        <v>8647</v>
      </c>
      <c r="B114" s="251" t="s">
        <v>461</v>
      </c>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row>
    <row r="115" ht="15.75" customHeight="1">
      <c r="A115" s="251" t="s">
        <v>9150</v>
      </c>
      <c r="B115" s="251" t="s">
        <v>18460</v>
      </c>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row>
    <row r="116" ht="15.75" customHeight="1">
      <c r="A116" s="251" t="s">
        <v>8649</v>
      </c>
      <c r="B116" s="251" t="s">
        <v>18461</v>
      </c>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row>
    <row r="117" ht="15.75" customHeight="1">
      <c r="A117" s="251" t="s">
        <v>18462</v>
      </c>
      <c r="B117" s="251" t="s">
        <v>18463</v>
      </c>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row>
    <row r="118" ht="15.75" customHeight="1">
      <c r="A118" s="251" t="s">
        <v>8562</v>
      </c>
      <c r="B118" s="251" t="s">
        <v>18464</v>
      </c>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row>
    <row r="119" ht="15.75" customHeight="1">
      <c r="A119" s="251" t="s">
        <v>18465</v>
      </c>
      <c r="B119" s="251" t="s">
        <v>18466</v>
      </c>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row>
    <row r="120" ht="15.75" customHeight="1">
      <c r="A120" s="251" t="s">
        <v>18467</v>
      </c>
      <c r="B120" s="251" t="s">
        <v>18468</v>
      </c>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row>
    <row r="121" ht="15.75" customHeight="1">
      <c r="A121" s="251" t="s">
        <v>18469</v>
      </c>
      <c r="B121" s="251" t="s">
        <v>18470</v>
      </c>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row>
    <row r="122" ht="15.75" customHeight="1">
      <c r="A122" s="251" t="s">
        <v>18471</v>
      </c>
      <c r="B122" s="251" t="s">
        <v>18472</v>
      </c>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row>
    <row r="123" ht="15.75" customHeight="1">
      <c r="A123" s="251" t="s">
        <v>8600</v>
      </c>
      <c r="B123" s="251" t="s">
        <v>18292</v>
      </c>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row>
    <row r="124" ht="15.75" customHeight="1">
      <c r="A124" s="251" t="s">
        <v>18473</v>
      </c>
      <c r="B124" s="251" t="s">
        <v>18474</v>
      </c>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row>
    <row r="125" ht="15.75" customHeight="1">
      <c r="A125" s="251" t="s">
        <v>18475</v>
      </c>
      <c r="B125" s="251" t="s">
        <v>18476</v>
      </c>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row>
    <row r="126" ht="15.75" customHeight="1">
      <c r="A126" s="251" t="s">
        <v>18477</v>
      </c>
      <c r="B126" s="251" t="s">
        <v>18478</v>
      </c>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row>
    <row r="127" ht="15.75" customHeight="1">
      <c r="A127" s="251" t="s">
        <v>18479</v>
      </c>
      <c r="B127" s="251" t="s">
        <v>18480</v>
      </c>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row>
    <row r="128" ht="15.75" customHeight="1">
      <c r="A128" s="251" t="s">
        <v>18481</v>
      </c>
      <c r="B128" s="251" t="s">
        <v>18482</v>
      </c>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row>
    <row r="129" ht="15.75" customHeight="1">
      <c r="A129" s="251" t="s">
        <v>9570</v>
      </c>
      <c r="B129" s="251" t="s">
        <v>18483</v>
      </c>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row>
    <row r="130" ht="15.75" customHeight="1">
      <c r="A130" s="251" t="s">
        <v>18484</v>
      </c>
      <c r="B130" s="251" t="s">
        <v>18485</v>
      </c>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row>
    <row r="131" ht="15.75" customHeight="1">
      <c r="A131" s="251" t="s">
        <v>9863</v>
      </c>
      <c r="B131" s="251" t="s">
        <v>18486</v>
      </c>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row>
    <row r="132" ht="15.75" customHeight="1">
      <c r="A132" s="251" t="s">
        <v>8177</v>
      </c>
      <c r="B132" s="251" t="s">
        <v>18487</v>
      </c>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row>
    <row r="133" ht="15.75" customHeight="1">
      <c r="A133" s="251" t="s">
        <v>18488</v>
      </c>
      <c r="B133" s="251" t="s">
        <v>18489</v>
      </c>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row>
    <row r="134" ht="15.75" customHeight="1">
      <c r="A134" s="251" t="s">
        <v>18490</v>
      </c>
      <c r="B134" s="251" t="s">
        <v>18491</v>
      </c>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row>
    <row r="135" ht="15.75" customHeight="1">
      <c r="A135" s="251" t="s">
        <v>18492</v>
      </c>
      <c r="B135" s="251" t="s">
        <v>18493</v>
      </c>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row>
    <row r="136" ht="15.75" customHeight="1">
      <c r="A136" s="251" t="s">
        <v>18494</v>
      </c>
      <c r="B136" s="251" t="s">
        <v>18495</v>
      </c>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row>
    <row r="137" ht="15.75" customHeight="1">
      <c r="A137" s="251" t="s">
        <v>8016</v>
      </c>
      <c r="B137" s="251" t="s">
        <v>18496</v>
      </c>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35"/>
    </row>
    <row r="138" ht="15.75" customHeight="1">
      <c r="A138" s="251" t="s">
        <v>8873</v>
      </c>
      <c r="B138" s="251" t="s">
        <v>18497</v>
      </c>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row>
    <row r="139" ht="15.75" customHeight="1">
      <c r="A139" s="251" t="s">
        <v>18498</v>
      </c>
      <c r="B139" s="251" t="s">
        <v>18499</v>
      </c>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row>
    <row r="140" ht="15.75" customHeight="1">
      <c r="A140" s="251" t="s">
        <v>9252</v>
      </c>
      <c r="B140" s="251" t="s">
        <v>18500</v>
      </c>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row>
    <row r="141" ht="15.75" customHeight="1">
      <c r="A141" s="251" t="s">
        <v>18501</v>
      </c>
      <c r="B141" s="251" t="s">
        <v>18502</v>
      </c>
      <c r="C141" s="35"/>
      <c r="D141" s="35"/>
      <c r="E141" s="35"/>
      <c r="F141" s="35"/>
      <c r="G141" s="35"/>
      <c r="H141" s="35"/>
      <c r="I141" s="35"/>
      <c r="J141" s="35"/>
      <c r="K141" s="35"/>
      <c r="L141" s="35"/>
      <c r="M141" s="35"/>
      <c r="N141" s="35"/>
      <c r="O141" s="35"/>
      <c r="P141" s="35"/>
      <c r="Q141" s="35"/>
      <c r="R141" s="35"/>
      <c r="S141" s="35"/>
      <c r="T141" s="35"/>
      <c r="U141" s="35"/>
      <c r="V141" s="35"/>
      <c r="W141" s="35"/>
      <c r="X141" s="35"/>
      <c r="Y141" s="35"/>
      <c r="Z141" s="35"/>
    </row>
    <row r="142" ht="15.75" customHeight="1">
      <c r="A142" s="251" t="s">
        <v>18503</v>
      </c>
      <c r="B142" s="251" t="s">
        <v>18504</v>
      </c>
      <c r="C142" s="35"/>
      <c r="D142" s="35"/>
      <c r="E142" s="35"/>
      <c r="F142" s="35"/>
      <c r="G142" s="35"/>
      <c r="H142" s="35"/>
      <c r="I142" s="35"/>
      <c r="J142" s="35"/>
      <c r="K142" s="35"/>
      <c r="L142" s="35"/>
      <c r="M142" s="35"/>
      <c r="N142" s="35"/>
      <c r="O142" s="35"/>
      <c r="P142" s="35"/>
      <c r="Q142" s="35"/>
      <c r="R142" s="35"/>
      <c r="S142" s="35"/>
      <c r="T142" s="35"/>
      <c r="U142" s="35"/>
      <c r="V142" s="35"/>
      <c r="W142" s="35"/>
      <c r="X142" s="35"/>
      <c r="Y142" s="35"/>
      <c r="Z142" s="35"/>
    </row>
    <row r="143" ht="15.75" customHeight="1">
      <c r="A143" s="251" t="s">
        <v>7967</v>
      </c>
      <c r="B143" s="251" t="s">
        <v>164</v>
      </c>
      <c r="C143" s="35"/>
      <c r="D143" s="35"/>
      <c r="E143" s="35"/>
      <c r="F143" s="35"/>
      <c r="G143" s="35"/>
      <c r="H143" s="35"/>
      <c r="I143" s="35"/>
      <c r="J143" s="35"/>
      <c r="K143" s="35"/>
      <c r="L143" s="35"/>
      <c r="M143" s="35"/>
      <c r="N143" s="35"/>
      <c r="O143" s="35"/>
      <c r="P143" s="35"/>
      <c r="Q143" s="35"/>
      <c r="R143" s="35"/>
      <c r="S143" s="35"/>
      <c r="T143" s="35"/>
      <c r="U143" s="35"/>
      <c r="V143" s="35"/>
      <c r="W143" s="35"/>
      <c r="X143" s="35"/>
      <c r="Y143" s="35"/>
      <c r="Z143" s="35"/>
    </row>
    <row r="144" ht="15.75" customHeight="1">
      <c r="A144" s="251" t="s">
        <v>7971</v>
      </c>
      <c r="B144" s="251" t="s">
        <v>98</v>
      </c>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row>
    <row r="145" ht="15.75" customHeight="1">
      <c r="A145" s="251" t="s">
        <v>18505</v>
      </c>
      <c r="B145" s="251" t="s">
        <v>18506</v>
      </c>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row>
    <row r="146" ht="15.75" customHeight="1">
      <c r="A146" s="251" t="s">
        <v>8147</v>
      </c>
      <c r="B146" s="251" t="s">
        <v>18507</v>
      </c>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row>
    <row r="147" ht="15.75" customHeight="1">
      <c r="A147" s="251" t="s">
        <v>8388</v>
      </c>
      <c r="B147" s="251" t="s">
        <v>18508</v>
      </c>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row>
    <row r="148" ht="15.75" customHeight="1">
      <c r="A148" s="251" t="s">
        <v>8914</v>
      </c>
      <c r="B148" s="251" t="s">
        <v>18509</v>
      </c>
      <c r="C148" s="35"/>
      <c r="D148" s="35"/>
      <c r="E148" s="35"/>
      <c r="F148" s="35"/>
      <c r="G148" s="35"/>
      <c r="H148" s="35"/>
      <c r="I148" s="35"/>
      <c r="J148" s="35"/>
      <c r="K148" s="35"/>
      <c r="L148" s="35"/>
      <c r="M148" s="35"/>
      <c r="N148" s="35"/>
      <c r="O148" s="35"/>
      <c r="P148" s="35"/>
      <c r="Q148" s="35"/>
      <c r="R148" s="35"/>
      <c r="S148" s="35"/>
      <c r="T148" s="35"/>
      <c r="U148" s="35"/>
      <c r="V148" s="35"/>
      <c r="W148" s="35"/>
      <c r="X148" s="35"/>
      <c r="Y148" s="35"/>
      <c r="Z148" s="35"/>
    </row>
    <row r="149" ht="15.75" customHeight="1">
      <c r="A149" s="251" t="s">
        <v>9492</v>
      </c>
      <c r="B149" s="251" t="s">
        <v>18510</v>
      </c>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row>
    <row r="150" ht="15.75" customHeight="1">
      <c r="A150" s="251" t="s">
        <v>8713</v>
      </c>
      <c r="B150" s="251" t="s">
        <v>18511</v>
      </c>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row>
    <row r="151" ht="15.75" customHeight="1">
      <c r="A151" s="251" t="s">
        <v>10023</v>
      </c>
      <c r="B151" s="251" t="s">
        <v>18512</v>
      </c>
      <c r="C151" s="35"/>
      <c r="D151" s="35"/>
      <c r="E151" s="35"/>
      <c r="F151" s="35"/>
      <c r="G151" s="35"/>
      <c r="H151" s="35"/>
      <c r="I151" s="35"/>
      <c r="J151" s="35"/>
      <c r="K151" s="35"/>
      <c r="L151" s="35"/>
      <c r="M151" s="35"/>
      <c r="N151" s="35"/>
      <c r="O151" s="35"/>
      <c r="P151" s="35"/>
      <c r="Q151" s="35"/>
      <c r="R151" s="35"/>
      <c r="S151" s="35"/>
      <c r="T151" s="35"/>
      <c r="U151" s="35"/>
      <c r="V151" s="35"/>
      <c r="W151" s="35"/>
      <c r="X151" s="35"/>
      <c r="Y151" s="35"/>
      <c r="Z151" s="35"/>
    </row>
    <row r="152" ht="15.75" customHeight="1">
      <c r="A152" s="251" t="s">
        <v>18513</v>
      </c>
      <c r="B152" s="251" t="s">
        <v>18514</v>
      </c>
      <c r="C152" s="35"/>
      <c r="D152" s="35"/>
      <c r="E152" s="35"/>
      <c r="F152" s="35"/>
      <c r="G152" s="35"/>
      <c r="H152" s="35"/>
      <c r="I152" s="35"/>
      <c r="J152" s="35"/>
      <c r="K152" s="35"/>
      <c r="L152" s="35"/>
      <c r="M152" s="35"/>
      <c r="N152" s="35"/>
      <c r="O152" s="35"/>
      <c r="P152" s="35"/>
      <c r="Q152" s="35"/>
      <c r="R152" s="35"/>
      <c r="S152" s="35"/>
      <c r="T152" s="35"/>
      <c r="U152" s="35"/>
      <c r="V152" s="35"/>
      <c r="W152" s="35"/>
      <c r="X152" s="35"/>
      <c r="Y152" s="35"/>
      <c r="Z152" s="35"/>
    </row>
    <row r="153" ht="15.75" customHeight="1">
      <c r="A153" s="251" t="s">
        <v>18515</v>
      </c>
      <c r="B153" s="251" t="s">
        <v>18516</v>
      </c>
      <c r="C153" s="35"/>
      <c r="D153" s="35"/>
      <c r="E153" s="35"/>
      <c r="F153" s="35"/>
      <c r="G153" s="35"/>
      <c r="H153" s="35"/>
      <c r="I153" s="35"/>
      <c r="J153" s="35"/>
      <c r="K153" s="35"/>
      <c r="L153" s="35"/>
      <c r="M153" s="35"/>
      <c r="N153" s="35"/>
      <c r="O153" s="35"/>
      <c r="P153" s="35"/>
      <c r="Q153" s="35"/>
      <c r="R153" s="35"/>
      <c r="S153" s="35"/>
      <c r="T153" s="35"/>
      <c r="U153" s="35"/>
      <c r="V153" s="35"/>
      <c r="W153" s="35"/>
      <c r="X153" s="35"/>
      <c r="Y153" s="35"/>
      <c r="Z153" s="35"/>
    </row>
    <row r="154" ht="15.75" customHeight="1">
      <c r="A154" s="251" t="s">
        <v>8023</v>
      </c>
      <c r="B154" s="251" t="s">
        <v>292</v>
      </c>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35"/>
    </row>
    <row r="155" ht="15.75" customHeight="1">
      <c r="A155" s="251" t="s">
        <v>18517</v>
      </c>
      <c r="B155" s="251" t="s">
        <v>18518</v>
      </c>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row>
    <row r="156" ht="15.75" customHeight="1">
      <c r="A156" s="251" t="s">
        <v>18519</v>
      </c>
      <c r="B156" s="251" t="s">
        <v>18520</v>
      </c>
      <c r="C156" s="35"/>
      <c r="D156" s="35"/>
      <c r="E156" s="35"/>
      <c r="F156" s="35"/>
      <c r="G156" s="35"/>
      <c r="H156" s="35"/>
      <c r="I156" s="35"/>
      <c r="J156" s="35"/>
      <c r="K156" s="35"/>
      <c r="L156" s="35"/>
      <c r="M156" s="35"/>
      <c r="N156" s="35"/>
      <c r="O156" s="35"/>
      <c r="P156" s="35"/>
      <c r="Q156" s="35"/>
      <c r="R156" s="35"/>
      <c r="S156" s="35"/>
      <c r="T156" s="35"/>
      <c r="U156" s="35"/>
      <c r="V156" s="35"/>
      <c r="W156" s="35"/>
      <c r="X156" s="35"/>
      <c r="Y156" s="35"/>
      <c r="Z156" s="35"/>
    </row>
    <row r="157" ht="15.75" customHeight="1">
      <c r="A157" s="251" t="s">
        <v>8161</v>
      </c>
      <c r="B157" s="251" t="s">
        <v>339</v>
      </c>
      <c r="C157" s="35"/>
      <c r="D157" s="35"/>
      <c r="E157" s="35"/>
      <c r="F157" s="35"/>
      <c r="G157" s="35"/>
      <c r="H157" s="35"/>
      <c r="I157" s="35"/>
      <c r="J157" s="35"/>
      <c r="K157" s="35"/>
      <c r="L157" s="35"/>
      <c r="M157" s="35"/>
      <c r="N157" s="35"/>
      <c r="O157" s="35"/>
      <c r="P157" s="35"/>
      <c r="Q157" s="35"/>
      <c r="R157" s="35"/>
      <c r="S157" s="35"/>
      <c r="T157" s="35"/>
      <c r="U157" s="35"/>
      <c r="V157" s="35"/>
      <c r="W157" s="35"/>
      <c r="X157" s="35"/>
      <c r="Y157" s="35"/>
      <c r="Z157" s="35"/>
    </row>
    <row r="158" ht="15.75" customHeight="1">
      <c r="A158" s="251" t="s">
        <v>8437</v>
      </c>
      <c r="B158" s="251" t="s">
        <v>18521</v>
      </c>
      <c r="C158" s="35"/>
      <c r="D158" s="35"/>
      <c r="E158" s="35"/>
      <c r="F158" s="35"/>
      <c r="G158" s="35"/>
      <c r="H158" s="35"/>
      <c r="I158" s="35"/>
      <c r="J158" s="35"/>
      <c r="K158" s="35"/>
      <c r="L158" s="35"/>
      <c r="M158" s="35"/>
      <c r="N158" s="35"/>
      <c r="O158" s="35"/>
      <c r="P158" s="35"/>
      <c r="Q158" s="35"/>
      <c r="R158" s="35"/>
      <c r="S158" s="35"/>
      <c r="T158" s="35"/>
      <c r="U158" s="35"/>
      <c r="V158" s="35"/>
      <c r="W158" s="35"/>
      <c r="X158" s="35"/>
      <c r="Y158" s="35"/>
      <c r="Z158" s="35"/>
    </row>
    <row r="159" ht="15.75" customHeight="1">
      <c r="A159" s="251" t="s">
        <v>18522</v>
      </c>
      <c r="B159" s="251" t="s">
        <v>18523</v>
      </c>
      <c r="C159" s="35"/>
      <c r="D159" s="35"/>
      <c r="E159" s="35"/>
      <c r="F159" s="35"/>
      <c r="G159" s="35"/>
      <c r="H159" s="35"/>
      <c r="I159" s="35"/>
      <c r="J159" s="35"/>
      <c r="K159" s="35"/>
      <c r="L159" s="35"/>
      <c r="M159" s="35"/>
      <c r="N159" s="35"/>
      <c r="O159" s="35"/>
      <c r="P159" s="35"/>
      <c r="Q159" s="35"/>
      <c r="R159" s="35"/>
      <c r="S159" s="35"/>
      <c r="T159" s="35"/>
      <c r="U159" s="35"/>
      <c r="V159" s="35"/>
      <c r="W159" s="35"/>
      <c r="X159" s="35"/>
      <c r="Y159" s="35"/>
      <c r="Z159" s="35"/>
    </row>
    <row r="160" ht="15.75" customHeight="1">
      <c r="A160" s="251" t="s">
        <v>9951</v>
      </c>
      <c r="B160" s="251" t="s">
        <v>18524</v>
      </c>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35"/>
    </row>
    <row r="161" ht="15.75" customHeight="1">
      <c r="A161" s="251" t="s">
        <v>18525</v>
      </c>
      <c r="B161" s="251" t="s">
        <v>18526</v>
      </c>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35"/>
    </row>
    <row r="162" ht="15.75" customHeight="1">
      <c r="A162" s="251" t="s">
        <v>9176</v>
      </c>
      <c r="B162" s="251" t="s">
        <v>409</v>
      </c>
      <c r="C162" s="35"/>
      <c r="D162" s="35"/>
      <c r="E162" s="35"/>
      <c r="F162" s="35"/>
      <c r="G162" s="35"/>
      <c r="H162" s="35"/>
      <c r="I162" s="35"/>
      <c r="J162" s="35"/>
      <c r="K162" s="35"/>
      <c r="L162" s="35"/>
      <c r="M162" s="35"/>
      <c r="N162" s="35"/>
      <c r="O162" s="35"/>
      <c r="P162" s="35"/>
      <c r="Q162" s="35"/>
      <c r="R162" s="35"/>
      <c r="S162" s="35"/>
      <c r="T162" s="35"/>
      <c r="U162" s="35"/>
      <c r="V162" s="35"/>
      <c r="W162" s="35"/>
      <c r="X162" s="35"/>
      <c r="Y162" s="35"/>
      <c r="Z162" s="35"/>
    </row>
    <row r="163" ht="15.75" customHeight="1">
      <c r="A163" s="251" t="s">
        <v>8723</v>
      </c>
      <c r="B163" s="251" t="s">
        <v>18527</v>
      </c>
      <c r="C163" s="35"/>
      <c r="D163" s="35"/>
      <c r="E163" s="35"/>
      <c r="F163" s="35"/>
      <c r="G163" s="35"/>
      <c r="H163" s="35"/>
      <c r="I163" s="35"/>
      <c r="J163" s="35"/>
      <c r="K163" s="35"/>
      <c r="L163" s="35"/>
      <c r="M163" s="35"/>
      <c r="N163" s="35"/>
      <c r="O163" s="35"/>
      <c r="P163" s="35"/>
      <c r="Q163" s="35"/>
      <c r="R163" s="35"/>
      <c r="S163" s="35"/>
      <c r="T163" s="35"/>
      <c r="U163" s="35"/>
      <c r="V163" s="35"/>
      <c r="W163" s="35"/>
      <c r="X163" s="35"/>
      <c r="Y163" s="35"/>
      <c r="Z163" s="35"/>
    </row>
    <row r="164" ht="15.75" customHeight="1">
      <c r="A164" s="251" t="s">
        <v>18528</v>
      </c>
      <c r="B164" s="251" t="s">
        <v>18529</v>
      </c>
      <c r="C164" s="35"/>
      <c r="D164" s="35"/>
      <c r="E164" s="35"/>
      <c r="F164" s="35"/>
      <c r="G164" s="35"/>
      <c r="H164" s="35"/>
      <c r="I164" s="35"/>
      <c r="J164" s="35"/>
      <c r="K164" s="35"/>
      <c r="L164" s="35"/>
      <c r="M164" s="35"/>
      <c r="N164" s="35"/>
      <c r="O164" s="35"/>
      <c r="P164" s="35"/>
      <c r="Q164" s="35"/>
      <c r="R164" s="35"/>
      <c r="S164" s="35"/>
      <c r="T164" s="35"/>
      <c r="U164" s="35"/>
      <c r="V164" s="35"/>
      <c r="W164" s="35"/>
      <c r="X164" s="35"/>
      <c r="Y164" s="35"/>
      <c r="Z164" s="35"/>
    </row>
    <row r="165" ht="15.75" customHeight="1">
      <c r="A165" s="251" t="s">
        <v>8240</v>
      </c>
      <c r="B165" s="251" t="s">
        <v>18530</v>
      </c>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35"/>
    </row>
    <row r="166" ht="15.75" customHeight="1">
      <c r="A166" s="251" t="s">
        <v>18531</v>
      </c>
      <c r="B166" s="251" t="s">
        <v>18532</v>
      </c>
      <c r="C166" s="35"/>
      <c r="D166" s="35"/>
      <c r="E166" s="35"/>
      <c r="F166" s="35"/>
      <c r="G166" s="35"/>
      <c r="H166" s="35"/>
      <c r="I166" s="35"/>
      <c r="J166" s="35"/>
      <c r="K166" s="35"/>
      <c r="L166" s="35"/>
      <c r="M166" s="35"/>
      <c r="N166" s="35"/>
      <c r="O166" s="35"/>
      <c r="P166" s="35"/>
      <c r="Q166" s="35"/>
      <c r="R166" s="35"/>
      <c r="S166" s="35"/>
      <c r="T166" s="35"/>
      <c r="U166" s="35"/>
      <c r="V166" s="35"/>
      <c r="W166" s="35"/>
      <c r="X166" s="35"/>
      <c r="Y166" s="35"/>
      <c r="Z166" s="35"/>
    </row>
    <row r="167" ht="15.75" customHeight="1">
      <c r="A167" s="251" t="s">
        <v>18533</v>
      </c>
      <c r="B167" s="251" t="s">
        <v>18534</v>
      </c>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35"/>
    </row>
    <row r="168" ht="15.75" customHeight="1">
      <c r="A168" s="251" t="s">
        <v>8031</v>
      </c>
      <c r="B168" s="251" t="s">
        <v>18535</v>
      </c>
      <c r="C168" s="35"/>
      <c r="D168" s="35"/>
      <c r="E168" s="35"/>
      <c r="F168" s="35"/>
      <c r="G168" s="35"/>
      <c r="H168" s="35"/>
      <c r="I168" s="35"/>
      <c r="J168" s="35"/>
      <c r="K168" s="35"/>
      <c r="L168" s="35"/>
      <c r="M168" s="35"/>
      <c r="N168" s="35"/>
      <c r="O168" s="35"/>
      <c r="P168" s="35"/>
      <c r="Q168" s="35"/>
      <c r="R168" s="35"/>
      <c r="S168" s="35"/>
      <c r="T168" s="35"/>
      <c r="U168" s="35"/>
      <c r="V168" s="35"/>
      <c r="W168" s="35"/>
      <c r="X168" s="35"/>
      <c r="Y168" s="35"/>
      <c r="Z168" s="35"/>
    </row>
    <row r="169" ht="15.75" customHeight="1">
      <c r="A169" s="251" t="s">
        <v>18536</v>
      </c>
      <c r="B169" s="251" t="s">
        <v>18537</v>
      </c>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row>
    <row r="170" ht="15.75" customHeight="1">
      <c r="A170" s="251" t="s">
        <v>18538</v>
      </c>
      <c r="B170" s="251" t="s">
        <v>18539</v>
      </c>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35"/>
    </row>
    <row r="171" ht="15.75" customHeight="1">
      <c r="A171" s="251" t="s">
        <v>18540</v>
      </c>
      <c r="B171" s="251" t="s">
        <v>18541</v>
      </c>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row>
    <row r="172" ht="15.75" customHeight="1">
      <c r="A172" s="251" t="s">
        <v>18542</v>
      </c>
      <c r="B172" s="251" t="s">
        <v>18543</v>
      </c>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35"/>
    </row>
    <row r="173" ht="15.75" customHeight="1">
      <c r="A173" s="251" t="s">
        <v>18544</v>
      </c>
      <c r="B173" s="251" t="s">
        <v>18545</v>
      </c>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row>
    <row r="174" ht="15.75" customHeight="1">
      <c r="A174" s="251" t="s">
        <v>18546</v>
      </c>
      <c r="B174" s="251" t="s">
        <v>18547</v>
      </c>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row>
    <row r="175" ht="15.75" customHeight="1">
      <c r="A175" s="251" t="s">
        <v>9984</v>
      </c>
      <c r="B175" s="251" t="s">
        <v>18548</v>
      </c>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row>
    <row r="176" ht="15.75" customHeight="1">
      <c r="A176" s="251" t="s">
        <v>18549</v>
      </c>
      <c r="B176" s="251" t="s">
        <v>18550</v>
      </c>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row>
    <row r="177" ht="15.75" customHeight="1">
      <c r="A177" s="251" t="s">
        <v>18551</v>
      </c>
      <c r="B177" s="251" t="s">
        <v>18552</v>
      </c>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row>
    <row r="178" ht="15.75" customHeight="1">
      <c r="A178" s="251" t="s">
        <v>18553</v>
      </c>
      <c r="B178" s="251" t="s">
        <v>18554</v>
      </c>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row>
    <row r="179" ht="15.75" customHeight="1">
      <c r="A179" s="251" t="s">
        <v>8632</v>
      </c>
      <c r="B179" s="251" t="s">
        <v>18555</v>
      </c>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row>
    <row r="180" ht="15.75" customHeight="1">
      <c r="A180" s="251" t="s">
        <v>8618</v>
      </c>
      <c r="B180" s="251" t="s">
        <v>464</v>
      </c>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row>
    <row r="181" ht="15.75" customHeight="1">
      <c r="A181" s="251" t="s">
        <v>7974</v>
      </c>
      <c r="B181" s="251" t="s">
        <v>51</v>
      </c>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row>
    <row r="182" ht="15.75" customHeight="1">
      <c r="A182" s="251" t="s">
        <v>18556</v>
      </c>
      <c r="B182" s="251" t="s">
        <v>18557</v>
      </c>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row>
    <row r="183" ht="15.75" customHeight="1">
      <c r="A183" s="251" t="s">
        <v>18558</v>
      </c>
      <c r="B183" s="251" t="s">
        <v>18559</v>
      </c>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row>
    <row r="184" ht="15.75" customHeight="1">
      <c r="A184" s="251" t="s">
        <v>18560</v>
      </c>
      <c r="B184" s="251" t="s">
        <v>18561</v>
      </c>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row>
    <row r="185" ht="15.75" customHeight="1">
      <c r="A185" s="251" t="s">
        <v>18562</v>
      </c>
      <c r="B185" s="251" t="s">
        <v>18563</v>
      </c>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row>
    <row r="186" ht="15.75" customHeight="1">
      <c r="A186" s="251" t="s">
        <v>18564</v>
      </c>
      <c r="B186" s="251" t="s">
        <v>18565</v>
      </c>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row>
    <row r="187" ht="15.75" customHeight="1">
      <c r="A187" s="251" t="s">
        <v>18566</v>
      </c>
      <c r="B187" s="251" t="s">
        <v>18567</v>
      </c>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row>
    <row r="188" ht="15.75" customHeight="1">
      <c r="A188" s="251" t="s">
        <v>8041</v>
      </c>
      <c r="B188" s="251" t="s">
        <v>18568</v>
      </c>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row>
    <row r="189" ht="15.75" customHeight="1">
      <c r="A189" s="251" t="s">
        <v>18569</v>
      </c>
      <c r="B189" s="251" t="s">
        <v>18570</v>
      </c>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row>
    <row r="190" ht="15.75" customHeight="1">
      <c r="A190" s="251" t="s">
        <v>18571</v>
      </c>
      <c r="B190" s="251" t="s">
        <v>18572</v>
      </c>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row>
    <row r="191" ht="15.75" customHeight="1">
      <c r="A191" s="251" t="s">
        <v>18573</v>
      </c>
      <c r="B191" s="251" t="s">
        <v>18574</v>
      </c>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row>
    <row r="192" ht="15.75" customHeight="1">
      <c r="A192" s="251" t="s">
        <v>18575</v>
      </c>
      <c r="B192" s="251" t="s">
        <v>18576</v>
      </c>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row>
    <row r="193" ht="15.75" customHeight="1">
      <c r="A193" s="251" t="s">
        <v>8585</v>
      </c>
      <c r="B193" s="251" t="s">
        <v>18577</v>
      </c>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row>
    <row r="194" ht="15.75" customHeight="1">
      <c r="A194" s="251" t="s">
        <v>10100</v>
      </c>
      <c r="B194" s="251" t="s">
        <v>18578</v>
      </c>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row>
    <row r="195" ht="15.75" customHeight="1">
      <c r="A195" s="251" t="s">
        <v>8128</v>
      </c>
      <c r="B195" s="251" t="s">
        <v>18579</v>
      </c>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row>
    <row r="196" ht="15.75" customHeight="1">
      <c r="A196" s="251" t="s">
        <v>8594</v>
      </c>
      <c r="B196" s="251" t="s">
        <v>18580</v>
      </c>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row>
    <row r="197" ht="15.75" customHeight="1">
      <c r="A197" s="251" t="s">
        <v>18581</v>
      </c>
      <c r="B197" s="251" t="s">
        <v>18582</v>
      </c>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row>
    <row r="198" ht="15.75" customHeight="1">
      <c r="A198" s="251" t="s">
        <v>10028</v>
      </c>
      <c r="B198" s="251" t="s">
        <v>18583</v>
      </c>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row>
    <row r="199" ht="15.75" customHeight="1">
      <c r="A199" s="251" t="s">
        <v>9084</v>
      </c>
      <c r="B199" s="251" t="s">
        <v>18584</v>
      </c>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row>
    <row r="200" ht="15.75" customHeight="1">
      <c r="A200" s="251" t="s">
        <v>8413</v>
      </c>
      <c r="B200" s="251" t="s">
        <v>18585</v>
      </c>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row>
    <row r="201" ht="15.75" customHeight="1">
      <c r="A201" s="251" t="s">
        <v>7981</v>
      </c>
      <c r="B201" s="251" t="s">
        <v>18586</v>
      </c>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row>
    <row r="202" ht="15.75" customHeight="1">
      <c r="A202" s="251" t="s">
        <v>9386</v>
      </c>
      <c r="B202" s="251" t="s">
        <v>18587</v>
      </c>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row>
    <row r="203" ht="15.75" customHeight="1">
      <c r="A203" s="251" t="s">
        <v>18588</v>
      </c>
      <c r="B203" s="251" t="s">
        <v>18589</v>
      </c>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row>
    <row r="204" ht="15.75" customHeight="1">
      <c r="A204" s="251" t="s">
        <v>18590</v>
      </c>
      <c r="B204" s="251" t="s">
        <v>18591</v>
      </c>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row>
    <row r="205" ht="15.75" customHeight="1">
      <c r="A205" s="251" t="s">
        <v>18592</v>
      </c>
      <c r="B205" s="251" t="s">
        <v>18593</v>
      </c>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row>
    <row r="206" ht="15.75" customHeight="1">
      <c r="A206" s="251" t="s">
        <v>18594</v>
      </c>
      <c r="B206" s="251" t="s">
        <v>18595</v>
      </c>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row>
    <row r="207" ht="15.75" customHeight="1">
      <c r="A207" s="251" t="s">
        <v>18596</v>
      </c>
      <c r="B207" s="251" t="s">
        <v>18597</v>
      </c>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row>
    <row r="208" ht="15.75" customHeight="1">
      <c r="A208" s="251" t="s">
        <v>8602</v>
      </c>
      <c r="B208" s="251" t="s">
        <v>18598</v>
      </c>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row>
    <row r="209" ht="15.75" customHeight="1">
      <c r="A209" s="251" t="s">
        <v>18599</v>
      </c>
      <c r="B209" s="251" t="s">
        <v>18600</v>
      </c>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row>
    <row r="210" ht="15.75" customHeight="1">
      <c r="A210" s="251" t="s">
        <v>18601</v>
      </c>
      <c r="B210" s="251" t="s">
        <v>18602</v>
      </c>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row>
    <row r="211" ht="15.75" customHeight="1">
      <c r="A211" s="251" t="s">
        <v>18603</v>
      </c>
      <c r="B211" s="251" t="s">
        <v>18604</v>
      </c>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row>
    <row r="212" ht="15.75" customHeight="1">
      <c r="A212" s="251" t="s">
        <v>18605</v>
      </c>
      <c r="B212" s="251" t="s">
        <v>18606</v>
      </c>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row>
    <row r="213" ht="15.75" customHeight="1">
      <c r="A213" s="251" t="s">
        <v>8365</v>
      </c>
      <c r="B213" s="251" t="s">
        <v>18310</v>
      </c>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row>
    <row r="214" ht="15.75" customHeight="1">
      <c r="A214" s="251" t="s">
        <v>18607</v>
      </c>
      <c r="B214" s="251" t="s">
        <v>18608</v>
      </c>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row>
    <row r="215" ht="15.75" customHeight="1">
      <c r="A215" s="251" t="s">
        <v>8787</v>
      </c>
      <c r="B215" s="251" t="s">
        <v>18609</v>
      </c>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row>
    <row r="216" ht="15.75" customHeight="1">
      <c r="A216" s="35"/>
      <c r="B216" s="35"/>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row>
    <row r="217" ht="15.75" customHeight="1">
      <c r="A217" s="35"/>
      <c r="B217" s="35"/>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row>
    <row r="218" ht="15.75" customHeight="1">
      <c r="A218" s="35"/>
      <c r="B218" s="35"/>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row>
    <row r="219" ht="15.75" customHeight="1">
      <c r="A219" s="35"/>
      <c r="B219" s="35"/>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row>
    <row r="220" ht="15.75" customHeight="1">
      <c r="A220" s="35"/>
      <c r="B220" s="35"/>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row>
    <row r="221" ht="15.75" customHeight="1">
      <c r="A221" s="35"/>
      <c r="B221" s="35"/>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row>
    <row r="222" ht="15.75" customHeight="1">
      <c r="A222" s="35"/>
      <c r="B222" s="35"/>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row>
    <row r="223" ht="15.75" customHeight="1">
      <c r="A223" s="35"/>
      <c r="B223" s="35"/>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row>
    <row r="224" ht="15.75" customHeight="1">
      <c r="A224" s="35"/>
      <c r="B224" s="35"/>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row>
    <row r="225" ht="15.75" customHeight="1">
      <c r="A225" s="35"/>
      <c r="B225" s="35"/>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row>
    <row r="226" ht="15.75" customHeight="1">
      <c r="A226" s="35"/>
      <c r="B226" s="35"/>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row>
    <row r="227" ht="15.75" customHeight="1">
      <c r="A227" s="35"/>
      <c r="B227" s="35"/>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row>
    <row r="228" ht="15.75" customHeight="1">
      <c r="A228" s="35"/>
      <c r="B228" s="35"/>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row>
    <row r="229" ht="15.75" customHeight="1">
      <c r="A229" s="35"/>
      <c r="B229" s="35"/>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35"/>
    </row>
    <row r="230" ht="15.75" customHeight="1">
      <c r="A230" s="35"/>
      <c r="B230" s="35"/>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row>
    <row r="231" ht="15.75" customHeight="1">
      <c r="A231" s="35"/>
      <c r="B231" s="35"/>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row>
    <row r="232" ht="15.75" customHeight="1">
      <c r="A232" s="35"/>
      <c r="B232" s="35"/>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row>
    <row r="233" ht="15.75" customHeight="1">
      <c r="A233" s="35"/>
      <c r="B233" s="35"/>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row>
    <row r="234" ht="15.75" customHeight="1">
      <c r="A234" s="35"/>
      <c r="B234" s="35"/>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row>
    <row r="235" ht="15.75" customHeight="1">
      <c r="A235" s="35"/>
      <c r="B235" s="35"/>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row>
    <row r="236" ht="15.75" customHeight="1">
      <c r="A236" s="35"/>
      <c r="B236" s="35"/>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row>
    <row r="237" ht="15.75" customHeight="1">
      <c r="A237" s="35"/>
      <c r="B237" s="35"/>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row>
    <row r="238" ht="15.75" customHeight="1">
      <c r="A238" s="35"/>
      <c r="B238" s="35"/>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row>
    <row r="239" ht="15.75" customHeight="1">
      <c r="A239" s="35"/>
      <c r="B239" s="35"/>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35"/>
    </row>
    <row r="240" ht="15.75" customHeight="1">
      <c r="A240" s="35"/>
      <c r="B240" s="35"/>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row>
    <row r="241" ht="15.75" customHeight="1">
      <c r="A241" s="35"/>
      <c r="B241" s="35"/>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row>
    <row r="242" ht="15.75" customHeight="1">
      <c r="A242" s="35"/>
      <c r="B242" s="35"/>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row>
    <row r="243" ht="15.75" customHeight="1">
      <c r="A243" s="35"/>
      <c r="B243" s="35"/>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row>
    <row r="244" ht="15.75" customHeight="1">
      <c r="A244" s="35"/>
      <c r="B244" s="35"/>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row>
    <row r="245" ht="15.75" customHeight="1">
      <c r="A245" s="35"/>
      <c r="B245" s="35"/>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row>
    <row r="246" ht="15.75" customHeight="1">
      <c r="A246" s="35"/>
      <c r="B246" s="35"/>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row>
    <row r="247" ht="15.75" customHeight="1">
      <c r="A247" s="35"/>
      <c r="B247" s="35"/>
      <c r="C247" s="35"/>
      <c r="D247" s="35"/>
      <c r="E247" s="35"/>
      <c r="F247" s="35"/>
      <c r="G247" s="35"/>
      <c r="H247" s="35"/>
      <c r="I247" s="35"/>
      <c r="J247" s="35"/>
      <c r="K247" s="35"/>
      <c r="L247" s="35"/>
      <c r="M247" s="35"/>
      <c r="N247" s="35"/>
      <c r="O247" s="35"/>
      <c r="P247" s="35"/>
      <c r="Q247" s="35"/>
      <c r="R247" s="35"/>
      <c r="S247" s="35"/>
      <c r="T247" s="35"/>
      <c r="U247" s="35"/>
      <c r="V247" s="35"/>
      <c r="W247" s="35"/>
      <c r="X247" s="35"/>
      <c r="Y247" s="35"/>
      <c r="Z247" s="35"/>
    </row>
    <row r="248" ht="15.75" customHeight="1">
      <c r="A248" s="35"/>
      <c r="B248" s="35"/>
      <c r="C248" s="35"/>
      <c r="D248" s="35"/>
      <c r="E248" s="35"/>
      <c r="F248" s="35"/>
      <c r="G248" s="35"/>
      <c r="H248" s="35"/>
      <c r="I248" s="35"/>
      <c r="J248" s="35"/>
      <c r="K248" s="35"/>
      <c r="L248" s="35"/>
      <c r="M248" s="35"/>
      <c r="N248" s="35"/>
      <c r="O248" s="35"/>
      <c r="P248" s="35"/>
      <c r="Q248" s="35"/>
      <c r="R248" s="35"/>
      <c r="S248" s="35"/>
      <c r="T248" s="35"/>
      <c r="U248" s="35"/>
      <c r="V248" s="35"/>
      <c r="W248" s="35"/>
      <c r="X248" s="35"/>
      <c r="Y248" s="35"/>
      <c r="Z248" s="35"/>
    </row>
    <row r="249" ht="15.75" customHeight="1">
      <c r="A249" s="35"/>
      <c r="B249" s="35"/>
      <c r="C249" s="35"/>
      <c r="D249" s="35"/>
      <c r="E249" s="35"/>
      <c r="F249" s="35"/>
      <c r="G249" s="35"/>
      <c r="H249" s="35"/>
      <c r="I249" s="35"/>
      <c r="J249" s="35"/>
      <c r="K249" s="35"/>
      <c r="L249" s="35"/>
      <c r="M249" s="35"/>
      <c r="N249" s="35"/>
      <c r="O249" s="35"/>
      <c r="P249" s="35"/>
      <c r="Q249" s="35"/>
      <c r="R249" s="35"/>
      <c r="S249" s="35"/>
      <c r="T249" s="35"/>
      <c r="U249" s="35"/>
      <c r="V249" s="35"/>
      <c r="W249" s="35"/>
      <c r="X249" s="35"/>
      <c r="Y249" s="35"/>
      <c r="Z249" s="35"/>
    </row>
    <row r="250" ht="15.75" customHeight="1">
      <c r="A250" s="35"/>
      <c r="B250" s="35"/>
      <c r="C250" s="35"/>
      <c r="D250" s="35"/>
      <c r="E250" s="35"/>
      <c r="F250" s="35"/>
      <c r="G250" s="35"/>
      <c r="H250" s="35"/>
      <c r="I250" s="35"/>
      <c r="J250" s="35"/>
      <c r="K250" s="35"/>
      <c r="L250" s="35"/>
      <c r="M250" s="35"/>
      <c r="N250" s="35"/>
      <c r="O250" s="35"/>
      <c r="P250" s="35"/>
      <c r="Q250" s="35"/>
      <c r="R250" s="35"/>
      <c r="S250" s="35"/>
      <c r="T250" s="35"/>
      <c r="U250" s="35"/>
      <c r="V250" s="35"/>
      <c r="W250" s="35"/>
      <c r="X250" s="35"/>
      <c r="Y250" s="35"/>
      <c r="Z250" s="35"/>
    </row>
    <row r="251" ht="15.75" customHeight="1">
      <c r="A251" s="35"/>
      <c r="B251" s="35"/>
      <c r="C251" s="35"/>
      <c r="D251" s="35"/>
      <c r="E251" s="35"/>
      <c r="F251" s="35"/>
      <c r="G251" s="35"/>
      <c r="H251" s="35"/>
      <c r="I251" s="35"/>
      <c r="J251" s="35"/>
      <c r="K251" s="35"/>
      <c r="L251" s="35"/>
      <c r="M251" s="35"/>
      <c r="N251" s="35"/>
      <c r="O251" s="35"/>
      <c r="P251" s="35"/>
      <c r="Q251" s="35"/>
      <c r="R251" s="35"/>
      <c r="S251" s="35"/>
      <c r="T251" s="35"/>
      <c r="U251" s="35"/>
      <c r="V251" s="35"/>
      <c r="W251" s="35"/>
      <c r="X251" s="35"/>
      <c r="Y251" s="35"/>
      <c r="Z251" s="35"/>
    </row>
    <row r="252" ht="15.75" customHeight="1">
      <c r="A252" s="35"/>
      <c r="B252" s="35"/>
      <c r="C252" s="35"/>
      <c r="D252" s="35"/>
      <c r="E252" s="35"/>
      <c r="F252" s="35"/>
      <c r="G252" s="35"/>
      <c r="H252" s="35"/>
      <c r="I252" s="35"/>
      <c r="J252" s="35"/>
      <c r="K252" s="35"/>
      <c r="L252" s="35"/>
      <c r="M252" s="35"/>
      <c r="N252" s="35"/>
      <c r="O252" s="35"/>
      <c r="P252" s="35"/>
      <c r="Q252" s="35"/>
      <c r="R252" s="35"/>
      <c r="S252" s="35"/>
      <c r="T252" s="35"/>
      <c r="U252" s="35"/>
      <c r="V252" s="35"/>
      <c r="W252" s="35"/>
      <c r="X252" s="35"/>
      <c r="Y252" s="35"/>
      <c r="Z252" s="35"/>
    </row>
    <row r="253" ht="15.75" customHeight="1">
      <c r="A253" s="35"/>
      <c r="B253" s="35"/>
      <c r="C253" s="35"/>
      <c r="D253" s="35"/>
      <c r="E253" s="35"/>
      <c r="F253" s="35"/>
      <c r="G253" s="35"/>
      <c r="H253" s="35"/>
      <c r="I253" s="35"/>
      <c r="J253" s="35"/>
      <c r="K253" s="35"/>
      <c r="L253" s="35"/>
      <c r="M253" s="35"/>
      <c r="N253" s="35"/>
      <c r="O253" s="35"/>
      <c r="P253" s="35"/>
      <c r="Q253" s="35"/>
      <c r="R253" s="35"/>
      <c r="S253" s="35"/>
      <c r="T253" s="35"/>
      <c r="U253" s="35"/>
      <c r="V253" s="35"/>
      <c r="W253" s="35"/>
      <c r="X253" s="35"/>
      <c r="Y253" s="35"/>
      <c r="Z253" s="35"/>
    </row>
    <row r="254" ht="15.75" customHeight="1">
      <c r="A254" s="35"/>
      <c r="B254" s="35"/>
      <c r="C254" s="35"/>
      <c r="D254" s="35"/>
      <c r="E254" s="35"/>
      <c r="F254" s="35"/>
      <c r="G254" s="35"/>
      <c r="H254" s="35"/>
      <c r="I254" s="35"/>
      <c r="J254" s="35"/>
      <c r="K254" s="35"/>
      <c r="L254" s="35"/>
      <c r="M254" s="35"/>
      <c r="N254" s="35"/>
      <c r="O254" s="35"/>
      <c r="P254" s="35"/>
      <c r="Q254" s="35"/>
      <c r="R254" s="35"/>
      <c r="S254" s="35"/>
      <c r="T254" s="35"/>
      <c r="U254" s="35"/>
      <c r="V254" s="35"/>
      <c r="W254" s="35"/>
      <c r="X254" s="35"/>
      <c r="Y254" s="35"/>
      <c r="Z254" s="35"/>
    </row>
    <row r="255" ht="15.75" customHeight="1">
      <c r="A255" s="35"/>
      <c r="B255" s="35"/>
      <c r="C255" s="35"/>
      <c r="D255" s="35"/>
      <c r="E255" s="35"/>
      <c r="F255" s="35"/>
      <c r="G255" s="35"/>
      <c r="H255" s="35"/>
      <c r="I255" s="35"/>
      <c r="J255" s="35"/>
      <c r="K255" s="35"/>
      <c r="L255" s="35"/>
      <c r="M255" s="35"/>
      <c r="N255" s="35"/>
      <c r="O255" s="35"/>
      <c r="P255" s="35"/>
      <c r="Q255" s="35"/>
      <c r="R255" s="35"/>
      <c r="S255" s="35"/>
      <c r="T255" s="35"/>
      <c r="U255" s="35"/>
      <c r="V255" s="35"/>
      <c r="W255" s="35"/>
      <c r="X255" s="35"/>
      <c r="Y255" s="35"/>
      <c r="Z255" s="35"/>
    </row>
    <row r="256" ht="15.75" customHeight="1">
      <c r="A256" s="35"/>
      <c r="B256" s="35"/>
      <c r="C256" s="35"/>
      <c r="D256" s="35"/>
      <c r="E256" s="35"/>
      <c r="F256" s="35"/>
      <c r="G256" s="35"/>
      <c r="H256" s="35"/>
      <c r="I256" s="35"/>
      <c r="J256" s="35"/>
      <c r="K256" s="35"/>
      <c r="L256" s="35"/>
      <c r="M256" s="35"/>
      <c r="N256" s="35"/>
      <c r="O256" s="35"/>
      <c r="P256" s="35"/>
      <c r="Q256" s="35"/>
      <c r="R256" s="35"/>
      <c r="S256" s="35"/>
      <c r="T256" s="35"/>
      <c r="U256" s="35"/>
      <c r="V256" s="35"/>
      <c r="W256" s="35"/>
      <c r="X256" s="35"/>
      <c r="Y256" s="35"/>
      <c r="Z256" s="35"/>
    </row>
    <row r="257" ht="15.75" customHeight="1">
      <c r="A257" s="35"/>
      <c r="B257" s="35"/>
      <c r="C257" s="35"/>
      <c r="D257" s="35"/>
      <c r="E257" s="35"/>
      <c r="F257" s="35"/>
      <c r="G257" s="35"/>
      <c r="H257" s="35"/>
      <c r="I257" s="35"/>
      <c r="J257" s="35"/>
      <c r="K257" s="35"/>
      <c r="L257" s="35"/>
      <c r="M257" s="35"/>
      <c r="N257" s="35"/>
      <c r="O257" s="35"/>
      <c r="P257" s="35"/>
      <c r="Q257" s="35"/>
      <c r="R257" s="35"/>
      <c r="S257" s="35"/>
      <c r="T257" s="35"/>
      <c r="U257" s="35"/>
      <c r="V257" s="35"/>
      <c r="W257" s="35"/>
      <c r="X257" s="35"/>
      <c r="Y257" s="35"/>
      <c r="Z257" s="35"/>
    </row>
    <row r="258" ht="15.75" customHeight="1">
      <c r="A258" s="35"/>
      <c r="B258" s="35"/>
      <c r="C258" s="35"/>
      <c r="D258" s="35"/>
      <c r="E258" s="35"/>
      <c r="F258" s="35"/>
      <c r="G258" s="35"/>
      <c r="H258" s="35"/>
      <c r="I258" s="35"/>
      <c r="J258" s="35"/>
      <c r="K258" s="35"/>
      <c r="L258" s="35"/>
      <c r="M258" s="35"/>
      <c r="N258" s="35"/>
      <c r="O258" s="35"/>
      <c r="P258" s="35"/>
      <c r="Q258" s="35"/>
      <c r="R258" s="35"/>
      <c r="S258" s="35"/>
      <c r="T258" s="35"/>
      <c r="U258" s="35"/>
      <c r="V258" s="35"/>
      <c r="W258" s="35"/>
      <c r="X258" s="35"/>
      <c r="Y258" s="35"/>
      <c r="Z258" s="35"/>
    </row>
    <row r="259" ht="15.75" customHeight="1">
      <c r="A259" s="35"/>
      <c r="B259" s="35"/>
      <c r="C259" s="35"/>
      <c r="D259" s="35"/>
      <c r="E259" s="35"/>
      <c r="F259" s="35"/>
      <c r="G259" s="35"/>
      <c r="H259" s="35"/>
      <c r="I259" s="35"/>
      <c r="J259" s="35"/>
      <c r="K259" s="35"/>
      <c r="L259" s="35"/>
      <c r="M259" s="35"/>
      <c r="N259" s="35"/>
      <c r="O259" s="35"/>
      <c r="P259" s="35"/>
      <c r="Q259" s="35"/>
      <c r="R259" s="35"/>
      <c r="S259" s="35"/>
      <c r="T259" s="35"/>
      <c r="U259" s="35"/>
      <c r="V259" s="35"/>
      <c r="W259" s="35"/>
      <c r="X259" s="35"/>
      <c r="Y259" s="35"/>
      <c r="Z259" s="35"/>
    </row>
    <row r="260" ht="15.75" customHeight="1">
      <c r="A260" s="35"/>
      <c r="B260" s="35"/>
      <c r="C260" s="35"/>
      <c r="D260" s="35"/>
      <c r="E260" s="35"/>
      <c r="F260" s="35"/>
      <c r="G260" s="35"/>
      <c r="H260" s="35"/>
      <c r="I260" s="35"/>
      <c r="J260" s="35"/>
      <c r="K260" s="35"/>
      <c r="L260" s="35"/>
      <c r="M260" s="35"/>
      <c r="N260" s="35"/>
      <c r="O260" s="35"/>
      <c r="P260" s="35"/>
      <c r="Q260" s="35"/>
      <c r="R260" s="35"/>
      <c r="S260" s="35"/>
      <c r="T260" s="35"/>
      <c r="U260" s="35"/>
      <c r="V260" s="35"/>
      <c r="W260" s="35"/>
      <c r="X260" s="35"/>
      <c r="Y260" s="35"/>
      <c r="Z260" s="35"/>
    </row>
    <row r="261" ht="15.75" customHeight="1">
      <c r="A261" s="35"/>
      <c r="B261" s="35"/>
      <c r="C261" s="35"/>
      <c r="D261" s="35"/>
      <c r="E261" s="35"/>
      <c r="F261" s="35"/>
      <c r="G261" s="35"/>
      <c r="H261" s="35"/>
      <c r="I261" s="35"/>
      <c r="J261" s="35"/>
      <c r="K261" s="35"/>
      <c r="L261" s="35"/>
      <c r="M261" s="35"/>
      <c r="N261" s="35"/>
      <c r="O261" s="35"/>
      <c r="P261" s="35"/>
      <c r="Q261" s="35"/>
      <c r="R261" s="35"/>
      <c r="S261" s="35"/>
      <c r="T261" s="35"/>
      <c r="U261" s="35"/>
      <c r="V261" s="35"/>
      <c r="W261" s="35"/>
      <c r="X261" s="35"/>
      <c r="Y261" s="35"/>
      <c r="Z261" s="35"/>
    </row>
    <row r="262" ht="15.75" customHeight="1">
      <c r="A262" s="35"/>
      <c r="B262" s="35"/>
      <c r="C262" s="35"/>
      <c r="D262" s="35"/>
      <c r="E262" s="35"/>
      <c r="F262" s="35"/>
      <c r="G262" s="35"/>
      <c r="H262" s="35"/>
      <c r="I262" s="35"/>
      <c r="J262" s="35"/>
      <c r="K262" s="35"/>
      <c r="L262" s="35"/>
      <c r="M262" s="35"/>
      <c r="N262" s="35"/>
      <c r="O262" s="35"/>
      <c r="P262" s="35"/>
      <c r="Q262" s="35"/>
      <c r="R262" s="35"/>
      <c r="S262" s="35"/>
      <c r="T262" s="35"/>
      <c r="U262" s="35"/>
      <c r="V262" s="35"/>
      <c r="W262" s="35"/>
      <c r="X262" s="35"/>
      <c r="Y262" s="35"/>
      <c r="Z262" s="35"/>
    </row>
    <row r="263" ht="15.75" customHeight="1">
      <c r="A263" s="35"/>
      <c r="B263" s="35"/>
      <c r="C263" s="35"/>
      <c r="D263" s="35"/>
      <c r="E263" s="35"/>
      <c r="F263" s="35"/>
      <c r="G263" s="35"/>
      <c r="H263" s="35"/>
      <c r="I263" s="35"/>
      <c r="J263" s="35"/>
      <c r="K263" s="35"/>
      <c r="L263" s="35"/>
      <c r="M263" s="35"/>
      <c r="N263" s="35"/>
      <c r="O263" s="35"/>
      <c r="P263" s="35"/>
      <c r="Q263" s="35"/>
      <c r="R263" s="35"/>
      <c r="S263" s="35"/>
      <c r="T263" s="35"/>
      <c r="U263" s="35"/>
      <c r="V263" s="35"/>
      <c r="W263" s="35"/>
      <c r="X263" s="35"/>
      <c r="Y263" s="35"/>
      <c r="Z263" s="35"/>
    </row>
    <row r="264" ht="15.75" customHeight="1">
      <c r="A264" s="35"/>
      <c r="B264" s="35"/>
      <c r="C264" s="35"/>
      <c r="D264" s="35"/>
      <c r="E264" s="35"/>
      <c r="F264" s="35"/>
      <c r="G264" s="35"/>
      <c r="H264" s="35"/>
      <c r="I264" s="35"/>
      <c r="J264" s="35"/>
      <c r="K264" s="35"/>
      <c r="L264" s="35"/>
      <c r="M264" s="35"/>
      <c r="N264" s="35"/>
      <c r="O264" s="35"/>
      <c r="P264" s="35"/>
      <c r="Q264" s="35"/>
      <c r="R264" s="35"/>
      <c r="S264" s="35"/>
      <c r="T264" s="35"/>
      <c r="U264" s="35"/>
      <c r="V264" s="35"/>
      <c r="W264" s="35"/>
      <c r="X264" s="35"/>
      <c r="Y264" s="35"/>
      <c r="Z264" s="35"/>
    </row>
    <row r="265" ht="15.75" customHeight="1">
      <c r="A265" s="35"/>
      <c r="B265" s="35"/>
      <c r="C265" s="35"/>
      <c r="D265" s="35"/>
      <c r="E265" s="35"/>
      <c r="F265" s="35"/>
      <c r="G265" s="35"/>
      <c r="H265" s="35"/>
      <c r="I265" s="35"/>
      <c r="J265" s="35"/>
      <c r="K265" s="35"/>
      <c r="L265" s="35"/>
      <c r="M265" s="35"/>
      <c r="N265" s="35"/>
      <c r="O265" s="35"/>
      <c r="P265" s="35"/>
      <c r="Q265" s="35"/>
      <c r="R265" s="35"/>
      <c r="S265" s="35"/>
      <c r="T265" s="35"/>
      <c r="U265" s="35"/>
      <c r="V265" s="35"/>
      <c r="W265" s="35"/>
      <c r="X265" s="35"/>
      <c r="Y265" s="35"/>
      <c r="Z265" s="35"/>
    </row>
    <row r="266" ht="15.75" customHeight="1">
      <c r="A266" s="35"/>
      <c r="B266" s="35"/>
      <c r="C266" s="35"/>
      <c r="D266" s="35"/>
      <c r="E266" s="35"/>
      <c r="F266" s="35"/>
      <c r="G266" s="35"/>
      <c r="H266" s="35"/>
      <c r="I266" s="35"/>
      <c r="J266" s="35"/>
      <c r="K266" s="35"/>
      <c r="L266" s="35"/>
      <c r="M266" s="35"/>
      <c r="N266" s="35"/>
      <c r="O266" s="35"/>
      <c r="P266" s="35"/>
      <c r="Q266" s="35"/>
      <c r="R266" s="35"/>
      <c r="S266" s="35"/>
      <c r="T266" s="35"/>
      <c r="U266" s="35"/>
      <c r="V266" s="35"/>
      <c r="W266" s="35"/>
      <c r="X266" s="35"/>
      <c r="Y266" s="35"/>
      <c r="Z266" s="35"/>
    </row>
    <row r="267" ht="15.75" customHeight="1">
      <c r="A267" s="35"/>
      <c r="B267" s="35"/>
      <c r="C267" s="35"/>
      <c r="D267" s="35"/>
      <c r="E267" s="35"/>
      <c r="F267" s="35"/>
      <c r="G267" s="35"/>
      <c r="H267" s="35"/>
      <c r="I267" s="35"/>
      <c r="J267" s="35"/>
      <c r="K267" s="35"/>
      <c r="L267" s="35"/>
      <c r="M267" s="35"/>
      <c r="N267" s="35"/>
      <c r="O267" s="35"/>
      <c r="P267" s="35"/>
      <c r="Q267" s="35"/>
      <c r="R267" s="35"/>
      <c r="S267" s="35"/>
      <c r="T267" s="35"/>
      <c r="U267" s="35"/>
      <c r="V267" s="35"/>
      <c r="W267" s="35"/>
      <c r="X267" s="35"/>
      <c r="Y267" s="35"/>
      <c r="Z267" s="35"/>
    </row>
    <row r="268" ht="15.75" customHeight="1">
      <c r="A268" s="35"/>
      <c r="B268" s="35"/>
      <c r="C268" s="35"/>
      <c r="D268" s="35"/>
      <c r="E268" s="35"/>
      <c r="F268" s="35"/>
      <c r="G268" s="35"/>
      <c r="H268" s="35"/>
      <c r="I268" s="35"/>
      <c r="J268" s="35"/>
      <c r="K268" s="35"/>
      <c r="L268" s="35"/>
      <c r="M268" s="35"/>
      <c r="N268" s="35"/>
      <c r="O268" s="35"/>
      <c r="P268" s="35"/>
      <c r="Q268" s="35"/>
      <c r="R268" s="35"/>
      <c r="S268" s="35"/>
      <c r="T268" s="35"/>
      <c r="U268" s="35"/>
      <c r="V268" s="35"/>
      <c r="W268" s="35"/>
      <c r="X268" s="35"/>
      <c r="Y268" s="35"/>
      <c r="Z268" s="35"/>
    </row>
    <row r="269" ht="15.75" customHeight="1">
      <c r="A269" s="35"/>
      <c r="B269" s="35"/>
      <c r="C269" s="35"/>
      <c r="D269" s="35"/>
      <c r="E269" s="35"/>
      <c r="F269" s="35"/>
      <c r="G269" s="35"/>
      <c r="H269" s="35"/>
      <c r="I269" s="35"/>
      <c r="J269" s="35"/>
      <c r="K269" s="35"/>
      <c r="L269" s="35"/>
      <c r="M269" s="35"/>
      <c r="N269" s="35"/>
      <c r="O269" s="35"/>
      <c r="P269" s="35"/>
      <c r="Q269" s="35"/>
      <c r="R269" s="35"/>
      <c r="S269" s="35"/>
      <c r="T269" s="35"/>
      <c r="U269" s="35"/>
      <c r="V269" s="35"/>
      <c r="W269" s="35"/>
      <c r="X269" s="35"/>
      <c r="Y269" s="35"/>
      <c r="Z269" s="35"/>
    </row>
    <row r="270" ht="15.75" customHeight="1">
      <c r="A270" s="35"/>
      <c r="B270" s="35"/>
      <c r="C270" s="35"/>
      <c r="D270" s="35"/>
      <c r="E270" s="35"/>
      <c r="F270" s="35"/>
      <c r="G270" s="35"/>
      <c r="H270" s="35"/>
      <c r="I270" s="35"/>
      <c r="J270" s="35"/>
      <c r="K270" s="35"/>
      <c r="L270" s="35"/>
      <c r="M270" s="35"/>
      <c r="N270" s="35"/>
      <c r="O270" s="35"/>
      <c r="P270" s="35"/>
      <c r="Q270" s="35"/>
      <c r="R270" s="35"/>
      <c r="S270" s="35"/>
      <c r="T270" s="35"/>
      <c r="U270" s="35"/>
      <c r="V270" s="35"/>
      <c r="W270" s="35"/>
      <c r="X270" s="35"/>
      <c r="Y270" s="35"/>
      <c r="Z270" s="35"/>
    </row>
    <row r="271" ht="15.75" customHeight="1">
      <c r="A271" s="35"/>
      <c r="B271" s="35"/>
      <c r="C271" s="35"/>
      <c r="D271" s="35"/>
      <c r="E271" s="35"/>
      <c r="F271" s="35"/>
      <c r="G271" s="35"/>
      <c r="H271" s="35"/>
      <c r="I271" s="35"/>
      <c r="J271" s="35"/>
      <c r="K271" s="35"/>
      <c r="L271" s="35"/>
      <c r="M271" s="35"/>
      <c r="N271" s="35"/>
      <c r="O271" s="35"/>
      <c r="P271" s="35"/>
      <c r="Q271" s="35"/>
      <c r="R271" s="35"/>
      <c r="S271" s="35"/>
      <c r="T271" s="35"/>
      <c r="U271" s="35"/>
      <c r="V271" s="35"/>
      <c r="W271" s="35"/>
      <c r="X271" s="35"/>
      <c r="Y271" s="35"/>
      <c r="Z271" s="35"/>
    </row>
    <row r="272" ht="15.75" customHeight="1">
      <c r="A272" s="35"/>
      <c r="B272" s="35"/>
      <c r="C272" s="35"/>
      <c r="D272" s="35"/>
      <c r="E272" s="35"/>
      <c r="F272" s="35"/>
      <c r="G272" s="35"/>
      <c r="H272" s="35"/>
      <c r="I272" s="35"/>
      <c r="J272" s="35"/>
      <c r="K272" s="35"/>
      <c r="L272" s="35"/>
      <c r="M272" s="35"/>
      <c r="N272" s="35"/>
      <c r="O272" s="35"/>
      <c r="P272" s="35"/>
      <c r="Q272" s="35"/>
      <c r="R272" s="35"/>
      <c r="S272" s="35"/>
      <c r="T272" s="35"/>
      <c r="U272" s="35"/>
      <c r="V272" s="35"/>
      <c r="W272" s="35"/>
      <c r="X272" s="35"/>
      <c r="Y272" s="35"/>
      <c r="Z272" s="35"/>
    </row>
    <row r="273" ht="15.75" customHeight="1">
      <c r="A273" s="35"/>
      <c r="B273" s="35"/>
      <c r="C273" s="35"/>
      <c r="D273" s="35"/>
      <c r="E273" s="35"/>
      <c r="F273" s="35"/>
      <c r="G273" s="35"/>
      <c r="H273" s="35"/>
      <c r="I273" s="35"/>
      <c r="J273" s="35"/>
      <c r="K273" s="35"/>
      <c r="L273" s="35"/>
      <c r="M273" s="35"/>
      <c r="N273" s="35"/>
      <c r="O273" s="35"/>
      <c r="P273" s="35"/>
      <c r="Q273" s="35"/>
      <c r="R273" s="35"/>
      <c r="S273" s="35"/>
      <c r="T273" s="35"/>
      <c r="U273" s="35"/>
      <c r="V273" s="35"/>
      <c r="W273" s="35"/>
      <c r="X273" s="35"/>
      <c r="Y273" s="35"/>
      <c r="Z273" s="35"/>
    </row>
    <row r="274" ht="15.75" customHeight="1">
      <c r="A274" s="35"/>
      <c r="B274" s="35"/>
      <c r="C274" s="35"/>
      <c r="D274" s="35"/>
      <c r="E274" s="35"/>
      <c r="F274" s="35"/>
      <c r="G274" s="35"/>
      <c r="H274" s="35"/>
      <c r="I274" s="35"/>
      <c r="J274" s="35"/>
      <c r="K274" s="35"/>
      <c r="L274" s="35"/>
      <c r="M274" s="35"/>
      <c r="N274" s="35"/>
      <c r="O274" s="35"/>
      <c r="P274" s="35"/>
      <c r="Q274" s="35"/>
      <c r="R274" s="35"/>
      <c r="S274" s="35"/>
      <c r="T274" s="35"/>
      <c r="U274" s="35"/>
      <c r="V274" s="35"/>
      <c r="W274" s="35"/>
      <c r="X274" s="35"/>
      <c r="Y274" s="35"/>
      <c r="Z274" s="35"/>
    </row>
    <row r="275" ht="15.75" customHeight="1">
      <c r="A275" s="35"/>
      <c r="B275" s="35"/>
      <c r="C275" s="35"/>
      <c r="D275" s="35"/>
      <c r="E275" s="35"/>
      <c r="F275" s="35"/>
      <c r="G275" s="35"/>
      <c r="H275" s="35"/>
      <c r="I275" s="35"/>
      <c r="J275" s="35"/>
      <c r="K275" s="35"/>
      <c r="L275" s="35"/>
      <c r="M275" s="35"/>
      <c r="N275" s="35"/>
      <c r="O275" s="35"/>
      <c r="P275" s="35"/>
      <c r="Q275" s="35"/>
      <c r="R275" s="35"/>
      <c r="S275" s="35"/>
      <c r="T275" s="35"/>
      <c r="U275" s="35"/>
      <c r="V275" s="35"/>
      <c r="W275" s="35"/>
      <c r="X275" s="35"/>
      <c r="Y275" s="35"/>
      <c r="Z275" s="35"/>
    </row>
    <row r="276" ht="15.75" customHeight="1">
      <c r="A276" s="35"/>
      <c r="B276" s="35"/>
      <c r="C276" s="35"/>
      <c r="D276" s="35"/>
      <c r="E276" s="35"/>
      <c r="F276" s="35"/>
      <c r="G276" s="35"/>
      <c r="H276" s="35"/>
      <c r="I276" s="35"/>
      <c r="J276" s="35"/>
      <c r="K276" s="35"/>
      <c r="L276" s="35"/>
      <c r="M276" s="35"/>
      <c r="N276" s="35"/>
      <c r="O276" s="35"/>
      <c r="P276" s="35"/>
      <c r="Q276" s="35"/>
      <c r="R276" s="35"/>
      <c r="S276" s="35"/>
      <c r="T276" s="35"/>
      <c r="U276" s="35"/>
      <c r="V276" s="35"/>
      <c r="W276" s="35"/>
      <c r="X276" s="35"/>
      <c r="Y276" s="35"/>
      <c r="Z276" s="35"/>
    </row>
    <row r="277" ht="15.75" customHeight="1">
      <c r="A277" s="35"/>
      <c r="B277" s="35"/>
      <c r="C277" s="35"/>
      <c r="D277" s="35"/>
      <c r="E277" s="35"/>
      <c r="F277" s="35"/>
      <c r="G277" s="35"/>
      <c r="H277" s="35"/>
      <c r="I277" s="35"/>
      <c r="J277" s="35"/>
      <c r="K277" s="35"/>
      <c r="L277" s="35"/>
      <c r="M277" s="35"/>
      <c r="N277" s="35"/>
      <c r="O277" s="35"/>
      <c r="P277" s="35"/>
      <c r="Q277" s="35"/>
      <c r="R277" s="35"/>
      <c r="S277" s="35"/>
      <c r="T277" s="35"/>
      <c r="U277" s="35"/>
      <c r="V277" s="35"/>
      <c r="W277" s="35"/>
      <c r="X277" s="35"/>
      <c r="Y277" s="35"/>
      <c r="Z277" s="35"/>
    </row>
    <row r="278" ht="15.75" customHeight="1">
      <c r="A278" s="35"/>
      <c r="B278" s="35"/>
      <c r="C278" s="35"/>
      <c r="D278" s="35"/>
      <c r="E278" s="35"/>
      <c r="F278" s="35"/>
      <c r="G278" s="35"/>
      <c r="H278" s="35"/>
      <c r="I278" s="35"/>
      <c r="J278" s="35"/>
      <c r="K278" s="35"/>
      <c r="L278" s="35"/>
      <c r="M278" s="35"/>
      <c r="N278" s="35"/>
      <c r="O278" s="35"/>
      <c r="P278" s="35"/>
      <c r="Q278" s="35"/>
      <c r="R278" s="35"/>
      <c r="S278" s="35"/>
      <c r="T278" s="35"/>
      <c r="U278" s="35"/>
      <c r="V278" s="35"/>
      <c r="W278" s="35"/>
      <c r="X278" s="35"/>
      <c r="Y278" s="35"/>
      <c r="Z278" s="35"/>
    </row>
    <row r="279" ht="15.75" customHeight="1">
      <c r="A279" s="35"/>
      <c r="B279" s="35"/>
      <c r="C279" s="35"/>
      <c r="D279" s="35"/>
      <c r="E279" s="35"/>
      <c r="F279" s="35"/>
      <c r="G279" s="35"/>
      <c r="H279" s="35"/>
      <c r="I279" s="35"/>
      <c r="J279" s="35"/>
      <c r="K279" s="35"/>
      <c r="L279" s="35"/>
      <c r="M279" s="35"/>
      <c r="N279" s="35"/>
      <c r="O279" s="35"/>
      <c r="P279" s="35"/>
      <c r="Q279" s="35"/>
      <c r="R279" s="35"/>
      <c r="S279" s="35"/>
      <c r="T279" s="35"/>
      <c r="U279" s="35"/>
      <c r="V279" s="35"/>
      <c r="W279" s="35"/>
      <c r="X279" s="35"/>
      <c r="Y279" s="35"/>
      <c r="Z279" s="35"/>
    </row>
    <row r="280" ht="15.75" customHeight="1">
      <c r="A280" s="35"/>
      <c r="B280" s="35"/>
      <c r="C280" s="35"/>
      <c r="D280" s="35"/>
      <c r="E280" s="35"/>
      <c r="F280" s="35"/>
      <c r="G280" s="35"/>
      <c r="H280" s="35"/>
      <c r="I280" s="35"/>
      <c r="J280" s="35"/>
      <c r="K280" s="35"/>
      <c r="L280" s="35"/>
      <c r="M280" s="35"/>
      <c r="N280" s="35"/>
      <c r="O280" s="35"/>
      <c r="P280" s="35"/>
      <c r="Q280" s="35"/>
      <c r="R280" s="35"/>
      <c r="S280" s="35"/>
      <c r="T280" s="35"/>
      <c r="U280" s="35"/>
      <c r="V280" s="35"/>
      <c r="W280" s="35"/>
      <c r="X280" s="35"/>
      <c r="Y280" s="35"/>
      <c r="Z280" s="35"/>
    </row>
    <row r="281" ht="15.75" customHeight="1">
      <c r="A281" s="35"/>
      <c r="B281" s="35"/>
      <c r="C281" s="35"/>
      <c r="D281" s="35"/>
      <c r="E281" s="35"/>
      <c r="F281" s="35"/>
      <c r="G281" s="35"/>
      <c r="H281" s="35"/>
      <c r="I281" s="35"/>
      <c r="J281" s="35"/>
      <c r="K281" s="35"/>
      <c r="L281" s="35"/>
      <c r="M281" s="35"/>
      <c r="N281" s="35"/>
      <c r="O281" s="35"/>
      <c r="P281" s="35"/>
      <c r="Q281" s="35"/>
      <c r="R281" s="35"/>
      <c r="S281" s="35"/>
      <c r="T281" s="35"/>
      <c r="U281" s="35"/>
      <c r="V281" s="35"/>
      <c r="W281" s="35"/>
      <c r="X281" s="35"/>
      <c r="Y281" s="35"/>
      <c r="Z281" s="35"/>
    </row>
    <row r="282" ht="15.75" customHeight="1">
      <c r="A282" s="35"/>
      <c r="B282" s="35"/>
      <c r="C282" s="35"/>
      <c r="D282" s="35"/>
      <c r="E282" s="35"/>
      <c r="F282" s="35"/>
      <c r="G282" s="35"/>
      <c r="H282" s="35"/>
      <c r="I282" s="35"/>
      <c r="J282" s="35"/>
      <c r="K282" s="35"/>
      <c r="L282" s="35"/>
      <c r="M282" s="35"/>
      <c r="N282" s="35"/>
      <c r="O282" s="35"/>
      <c r="P282" s="35"/>
      <c r="Q282" s="35"/>
      <c r="R282" s="35"/>
      <c r="S282" s="35"/>
      <c r="T282" s="35"/>
      <c r="U282" s="35"/>
      <c r="V282" s="35"/>
      <c r="W282" s="35"/>
      <c r="X282" s="35"/>
      <c r="Y282" s="35"/>
      <c r="Z282" s="35"/>
    </row>
    <row r="283" ht="15.75" customHeight="1">
      <c r="A283" s="35"/>
      <c r="B283" s="35"/>
      <c r="C283" s="35"/>
      <c r="D283" s="35"/>
      <c r="E283" s="35"/>
      <c r="F283" s="35"/>
      <c r="G283" s="35"/>
      <c r="H283" s="35"/>
      <c r="I283" s="35"/>
      <c r="J283" s="35"/>
      <c r="K283" s="35"/>
      <c r="L283" s="35"/>
      <c r="M283" s="35"/>
      <c r="N283" s="35"/>
      <c r="O283" s="35"/>
      <c r="P283" s="35"/>
      <c r="Q283" s="35"/>
      <c r="R283" s="35"/>
      <c r="S283" s="35"/>
      <c r="T283" s="35"/>
      <c r="U283" s="35"/>
      <c r="V283" s="35"/>
      <c r="W283" s="35"/>
      <c r="X283" s="35"/>
      <c r="Y283" s="35"/>
      <c r="Z283" s="35"/>
    </row>
    <row r="284" ht="15.75" customHeight="1">
      <c r="A284" s="35"/>
      <c r="B284" s="35"/>
      <c r="C284" s="35"/>
      <c r="D284" s="35"/>
      <c r="E284" s="35"/>
      <c r="F284" s="35"/>
      <c r="G284" s="35"/>
      <c r="H284" s="35"/>
      <c r="I284" s="35"/>
      <c r="J284" s="35"/>
      <c r="K284" s="35"/>
      <c r="L284" s="35"/>
      <c r="M284" s="35"/>
      <c r="N284" s="35"/>
      <c r="O284" s="35"/>
      <c r="P284" s="35"/>
      <c r="Q284" s="35"/>
      <c r="R284" s="35"/>
      <c r="S284" s="35"/>
      <c r="T284" s="35"/>
      <c r="U284" s="35"/>
      <c r="V284" s="35"/>
      <c r="W284" s="35"/>
      <c r="X284" s="35"/>
      <c r="Y284" s="35"/>
      <c r="Z284" s="35"/>
    </row>
    <row r="285" ht="15.75" customHeight="1">
      <c r="A285" s="35"/>
      <c r="B285" s="35"/>
      <c r="C285" s="35"/>
      <c r="D285" s="35"/>
      <c r="E285" s="35"/>
      <c r="F285" s="35"/>
      <c r="G285" s="35"/>
      <c r="H285" s="35"/>
      <c r="I285" s="35"/>
      <c r="J285" s="35"/>
      <c r="K285" s="35"/>
      <c r="L285" s="35"/>
      <c r="M285" s="35"/>
      <c r="N285" s="35"/>
      <c r="O285" s="35"/>
      <c r="P285" s="35"/>
      <c r="Q285" s="35"/>
      <c r="R285" s="35"/>
      <c r="S285" s="35"/>
      <c r="T285" s="35"/>
      <c r="U285" s="35"/>
      <c r="V285" s="35"/>
      <c r="W285" s="35"/>
      <c r="X285" s="35"/>
      <c r="Y285" s="35"/>
      <c r="Z285" s="35"/>
    </row>
    <row r="286" ht="15.75" customHeight="1">
      <c r="A286" s="35"/>
      <c r="B286" s="35"/>
      <c r="C286" s="35"/>
      <c r="D286" s="35"/>
      <c r="E286" s="35"/>
      <c r="F286" s="35"/>
      <c r="G286" s="35"/>
      <c r="H286" s="35"/>
      <c r="I286" s="35"/>
      <c r="J286" s="35"/>
      <c r="K286" s="35"/>
      <c r="L286" s="35"/>
      <c r="M286" s="35"/>
      <c r="N286" s="35"/>
      <c r="O286" s="35"/>
      <c r="P286" s="35"/>
      <c r="Q286" s="35"/>
      <c r="R286" s="35"/>
      <c r="S286" s="35"/>
      <c r="T286" s="35"/>
      <c r="U286" s="35"/>
      <c r="V286" s="35"/>
      <c r="W286" s="35"/>
      <c r="X286" s="35"/>
      <c r="Y286" s="35"/>
      <c r="Z286" s="35"/>
    </row>
    <row r="287" ht="15.75" customHeight="1">
      <c r="A287" s="35"/>
      <c r="B287" s="35"/>
      <c r="C287" s="35"/>
      <c r="D287" s="35"/>
      <c r="E287" s="35"/>
      <c r="F287" s="35"/>
      <c r="G287" s="35"/>
      <c r="H287" s="35"/>
      <c r="I287" s="35"/>
      <c r="J287" s="35"/>
      <c r="K287" s="35"/>
      <c r="L287" s="35"/>
      <c r="M287" s="35"/>
      <c r="N287" s="35"/>
      <c r="O287" s="35"/>
      <c r="P287" s="35"/>
      <c r="Q287" s="35"/>
      <c r="R287" s="35"/>
      <c r="S287" s="35"/>
      <c r="T287" s="35"/>
      <c r="U287" s="35"/>
      <c r="V287" s="35"/>
      <c r="W287" s="35"/>
      <c r="X287" s="35"/>
      <c r="Y287" s="35"/>
      <c r="Z287" s="35"/>
    </row>
    <row r="288" ht="15.75" customHeight="1">
      <c r="A288" s="35"/>
      <c r="B288" s="35"/>
      <c r="C288" s="35"/>
      <c r="D288" s="35"/>
      <c r="E288" s="35"/>
      <c r="F288" s="35"/>
      <c r="G288" s="35"/>
      <c r="H288" s="35"/>
      <c r="I288" s="35"/>
      <c r="J288" s="35"/>
      <c r="K288" s="35"/>
      <c r="L288" s="35"/>
      <c r="M288" s="35"/>
      <c r="N288" s="35"/>
      <c r="O288" s="35"/>
      <c r="P288" s="35"/>
      <c r="Q288" s="35"/>
      <c r="R288" s="35"/>
      <c r="S288" s="35"/>
      <c r="T288" s="35"/>
      <c r="U288" s="35"/>
      <c r="V288" s="35"/>
      <c r="W288" s="35"/>
      <c r="X288" s="35"/>
      <c r="Y288" s="35"/>
      <c r="Z288" s="35"/>
    </row>
    <row r="289" ht="15.75" customHeight="1">
      <c r="A289" s="35"/>
      <c r="B289" s="35"/>
      <c r="C289" s="35"/>
      <c r="D289" s="35"/>
      <c r="E289" s="35"/>
      <c r="F289" s="35"/>
      <c r="G289" s="35"/>
      <c r="H289" s="35"/>
      <c r="I289" s="35"/>
      <c r="J289" s="35"/>
      <c r="K289" s="35"/>
      <c r="L289" s="35"/>
      <c r="M289" s="35"/>
      <c r="N289" s="35"/>
      <c r="O289" s="35"/>
      <c r="P289" s="35"/>
      <c r="Q289" s="35"/>
      <c r="R289" s="35"/>
      <c r="S289" s="35"/>
      <c r="T289" s="35"/>
      <c r="U289" s="35"/>
      <c r="V289" s="35"/>
      <c r="W289" s="35"/>
      <c r="X289" s="35"/>
      <c r="Y289" s="35"/>
      <c r="Z289" s="35"/>
    </row>
    <row r="290" ht="15.75" customHeight="1">
      <c r="A290" s="35"/>
      <c r="B290" s="35"/>
      <c r="C290" s="35"/>
      <c r="D290" s="35"/>
      <c r="E290" s="35"/>
      <c r="F290" s="35"/>
      <c r="G290" s="35"/>
      <c r="H290" s="35"/>
      <c r="I290" s="35"/>
      <c r="J290" s="35"/>
      <c r="K290" s="35"/>
      <c r="L290" s="35"/>
      <c r="M290" s="35"/>
      <c r="N290" s="35"/>
      <c r="O290" s="35"/>
      <c r="P290" s="35"/>
      <c r="Q290" s="35"/>
      <c r="R290" s="35"/>
      <c r="S290" s="35"/>
      <c r="T290" s="35"/>
      <c r="U290" s="35"/>
      <c r="V290" s="35"/>
      <c r="W290" s="35"/>
      <c r="X290" s="35"/>
      <c r="Y290" s="35"/>
      <c r="Z290" s="35"/>
    </row>
    <row r="291" ht="15.75" customHeight="1">
      <c r="A291" s="35"/>
      <c r="B291" s="35"/>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row>
    <row r="292" ht="15.75" customHeight="1">
      <c r="A292" s="35"/>
      <c r="B292" s="35"/>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row>
    <row r="293" ht="15.75" customHeight="1">
      <c r="A293" s="35"/>
      <c r="B293" s="35"/>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row>
    <row r="294" ht="15.75" customHeight="1">
      <c r="A294" s="35"/>
      <c r="B294" s="35"/>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row>
    <row r="295" ht="15.75" customHeight="1">
      <c r="A295" s="35"/>
      <c r="B295" s="35"/>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row>
    <row r="296" ht="15.75" customHeight="1">
      <c r="A296" s="35"/>
      <c r="B296" s="35"/>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row>
    <row r="297" ht="15.75" customHeight="1">
      <c r="A297" s="35"/>
      <c r="B297" s="35"/>
      <c r="C297" s="35"/>
      <c r="D297" s="35"/>
      <c r="E297" s="35"/>
      <c r="F297" s="35"/>
      <c r="G297" s="35"/>
      <c r="H297" s="35"/>
      <c r="I297" s="35"/>
      <c r="J297" s="35"/>
      <c r="K297" s="35"/>
      <c r="L297" s="35"/>
      <c r="M297" s="35"/>
      <c r="N297" s="35"/>
      <c r="O297" s="35"/>
      <c r="P297" s="35"/>
      <c r="Q297" s="35"/>
      <c r="R297" s="35"/>
      <c r="S297" s="35"/>
      <c r="T297" s="35"/>
      <c r="U297" s="35"/>
      <c r="V297" s="35"/>
      <c r="W297" s="35"/>
      <c r="X297" s="35"/>
      <c r="Y297" s="35"/>
      <c r="Z297" s="35"/>
    </row>
    <row r="298" ht="15.75" customHeight="1">
      <c r="A298" s="35"/>
      <c r="B298" s="35"/>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row>
    <row r="299" ht="15.75" customHeight="1">
      <c r="A299" s="35"/>
      <c r="B299" s="35"/>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row>
    <row r="300" ht="15.75" customHeight="1">
      <c r="A300" s="35"/>
      <c r="B300" s="35"/>
      <c r="C300" s="35"/>
      <c r="D300" s="35"/>
      <c r="E300" s="35"/>
      <c r="F300" s="35"/>
      <c r="G300" s="35"/>
      <c r="H300" s="35"/>
      <c r="I300" s="35"/>
      <c r="J300" s="35"/>
      <c r="K300" s="35"/>
      <c r="L300" s="35"/>
      <c r="M300" s="35"/>
      <c r="N300" s="35"/>
      <c r="O300" s="35"/>
      <c r="P300" s="35"/>
      <c r="Q300" s="35"/>
      <c r="R300" s="35"/>
      <c r="S300" s="35"/>
      <c r="T300" s="35"/>
      <c r="U300" s="35"/>
      <c r="V300" s="35"/>
      <c r="W300" s="35"/>
      <c r="X300" s="35"/>
      <c r="Y300" s="35"/>
      <c r="Z300" s="35"/>
    </row>
    <row r="301" ht="15.75" customHeight="1">
      <c r="A301" s="35"/>
      <c r="B301" s="35"/>
      <c r="C301" s="35"/>
      <c r="D301" s="35"/>
      <c r="E301" s="35"/>
      <c r="F301" s="35"/>
      <c r="G301" s="35"/>
      <c r="H301" s="35"/>
      <c r="I301" s="35"/>
      <c r="J301" s="35"/>
      <c r="K301" s="35"/>
      <c r="L301" s="35"/>
      <c r="M301" s="35"/>
      <c r="N301" s="35"/>
      <c r="O301" s="35"/>
      <c r="P301" s="35"/>
      <c r="Q301" s="35"/>
      <c r="R301" s="35"/>
      <c r="S301" s="35"/>
      <c r="T301" s="35"/>
      <c r="U301" s="35"/>
      <c r="V301" s="35"/>
      <c r="W301" s="35"/>
      <c r="X301" s="35"/>
      <c r="Y301" s="35"/>
      <c r="Z301" s="35"/>
    </row>
    <row r="302" ht="15.75" customHeight="1">
      <c r="A302" s="35"/>
      <c r="B302" s="35"/>
      <c r="C302" s="35"/>
      <c r="D302" s="35"/>
      <c r="E302" s="35"/>
      <c r="F302" s="35"/>
      <c r="G302" s="35"/>
      <c r="H302" s="35"/>
      <c r="I302" s="35"/>
      <c r="J302" s="35"/>
      <c r="K302" s="35"/>
      <c r="L302" s="35"/>
      <c r="M302" s="35"/>
      <c r="N302" s="35"/>
      <c r="O302" s="35"/>
      <c r="P302" s="35"/>
      <c r="Q302" s="35"/>
      <c r="R302" s="35"/>
      <c r="S302" s="35"/>
      <c r="T302" s="35"/>
      <c r="U302" s="35"/>
      <c r="V302" s="35"/>
      <c r="W302" s="35"/>
      <c r="X302" s="35"/>
      <c r="Y302" s="35"/>
      <c r="Z302" s="35"/>
    </row>
    <row r="303" ht="15.75" customHeight="1">
      <c r="A303" s="35"/>
      <c r="B303" s="35"/>
      <c r="C303" s="35"/>
      <c r="D303" s="35"/>
      <c r="E303" s="35"/>
      <c r="F303" s="35"/>
      <c r="G303" s="35"/>
      <c r="H303" s="35"/>
      <c r="I303" s="35"/>
      <c r="J303" s="35"/>
      <c r="K303" s="35"/>
      <c r="L303" s="35"/>
      <c r="M303" s="35"/>
      <c r="N303" s="35"/>
      <c r="O303" s="35"/>
      <c r="P303" s="35"/>
      <c r="Q303" s="35"/>
      <c r="R303" s="35"/>
      <c r="S303" s="35"/>
      <c r="T303" s="35"/>
      <c r="U303" s="35"/>
      <c r="V303" s="35"/>
      <c r="W303" s="35"/>
      <c r="X303" s="35"/>
      <c r="Y303" s="35"/>
      <c r="Z303" s="35"/>
    </row>
    <row r="304" ht="15.75" customHeight="1">
      <c r="A304" s="35"/>
      <c r="B304" s="35"/>
      <c r="C304" s="35"/>
      <c r="D304" s="35"/>
      <c r="E304" s="35"/>
      <c r="F304" s="35"/>
      <c r="G304" s="35"/>
      <c r="H304" s="35"/>
      <c r="I304" s="35"/>
      <c r="J304" s="35"/>
      <c r="K304" s="35"/>
      <c r="L304" s="35"/>
      <c r="M304" s="35"/>
      <c r="N304" s="35"/>
      <c r="O304" s="35"/>
      <c r="P304" s="35"/>
      <c r="Q304" s="35"/>
      <c r="R304" s="35"/>
      <c r="S304" s="35"/>
      <c r="T304" s="35"/>
      <c r="U304" s="35"/>
      <c r="V304" s="35"/>
      <c r="W304" s="35"/>
      <c r="X304" s="35"/>
      <c r="Y304" s="35"/>
      <c r="Z304" s="35"/>
    </row>
    <row r="305" ht="15.75" customHeight="1">
      <c r="A305" s="35"/>
      <c r="B305" s="35"/>
      <c r="C305" s="35"/>
      <c r="D305" s="35"/>
      <c r="E305" s="35"/>
      <c r="F305" s="35"/>
      <c r="G305" s="35"/>
      <c r="H305" s="35"/>
      <c r="I305" s="35"/>
      <c r="J305" s="35"/>
      <c r="K305" s="35"/>
      <c r="L305" s="35"/>
      <c r="M305" s="35"/>
      <c r="N305" s="35"/>
      <c r="O305" s="35"/>
      <c r="P305" s="35"/>
      <c r="Q305" s="35"/>
      <c r="R305" s="35"/>
      <c r="S305" s="35"/>
      <c r="T305" s="35"/>
      <c r="U305" s="35"/>
      <c r="V305" s="35"/>
      <c r="W305" s="35"/>
      <c r="X305" s="35"/>
      <c r="Y305" s="35"/>
      <c r="Z305" s="35"/>
    </row>
    <row r="306" ht="15.75" customHeight="1">
      <c r="A306" s="35"/>
      <c r="B306" s="35"/>
      <c r="C306" s="35"/>
      <c r="D306" s="35"/>
      <c r="E306" s="35"/>
      <c r="F306" s="35"/>
      <c r="G306" s="35"/>
      <c r="H306" s="35"/>
      <c r="I306" s="35"/>
      <c r="J306" s="35"/>
      <c r="K306" s="35"/>
      <c r="L306" s="35"/>
      <c r="M306" s="35"/>
      <c r="N306" s="35"/>
      <c r="O306" s="35"/>
      <c r="P306" s="35"/>
      <c r="Q306" s="35"/>
      <c r="R306" s="35"/>
      <c r="S306" s="35"/>
      <c r="T306" s="35"/>
      <c r="U306" s="35"/>
      <c r="V306" s="35"/>
      <c r="W306" s="35"/>
      <c r="X306" s="35"/>
      <c r="Y306" s="35"/>
      <c r="Z306" s="35"/>
    </row>
    <row r="307" ht="15.75" customHeight="1">
      <c r="A307" s="35"/>
      <c r="B307" s="35"/>
      <c r="C307" s="35"/>
      <c r="D307" s="35"/>
      <c r="E307" s="35"/>
      <c r="F307" s="35"/>
      <c r="G307" s="35"/>
      <c r="H307" s="35"/>
      <c r="I307" s="35"/>
      <c r="J307" s="35"/>
      <c r="K307" s="35"/>
      <c r="L307" s="35"/>
      <c r="M307" s="35"/>
      <c r="N307" s="35"/>
      <c r="O307" s="35"/>
      <c r="P307" s="35"/>
      <c r="Q307" s="35"/>
      <c r="R307" s="35"/>
      <c r="S307" s="35"/>
      <c r="T307" s="35"/>
      <c r="U307" s="35"/>
      <c r="V307" s="35"/>
      <c r="W307" s="35"/>
      <c r="X307" s="35"/>
      <c r="Y307" s="35"/>
      <c r="Z307" s="35"/>
    </row>
    <row r="308" ht="15.75" customHeight="1">
      <c r="A308" s="35"/>
      <c r="B308" s="35"/>
      <c r="C308" s="35"/>
      <c r="D308" s="35"/>
      <c r="E308" s="35"/>
      <c r="F308" s="35"/>
      <c r="G308" s="35"/>
      <c r="H308" s="35"/>
      <c r="I308" s="35"/>
      <c r="J308" s="35"/>
      <c r="K308" s="35"/>
      <c r="L308" s="35"/>
      <c r="M308" s="35"/>
      <c r="N308" s="35"/>
      <c r="O308" s="35"/>
      <c r="P308" s="35"/>
      <c r="Q308" s="35"/>
      <c r="R308" s="35"/>
      <c r="S308" s="35"/>
      <c r="T308" s="35"/>
      <c r="U308" s="35"/>
      <c r="V308" s="35"/>
      <c r="W308" s="35"/>
      <c r="X308" s="35"/>
      <c r="Y308" s="35"/>
      <c r="Z308" s="35"/>
    </row>
    <row r="309" ht="15.75" customHeight="1">
      <c r="A309" s="35"/>
      <c r="B309" s="35"/>
      <c r="C309" s="35"/>
      <c r="D309" s="35"/>
      <c r="E309" s="35"/>
      <c r="F309" s="35"/>
      <c r="G309" s="35"/>
      <c r="H309" s="35"/>
      <c r="I309" s="35"/>
      <c r="J309" s="35"/>
      <c r="K309" s="35"/>
      <c r="L309" s="35"/>
      <c r="M309" s="35"/>
      <c r="N309" s="35"/>
      <c r="O309" s="35"/>
      <c r="P309" s="35"/>
      <c r="Q309" s="35"/>
      <c r="R309" s="35"/>
      <c r="S309" s="35"/>
      <c r="T309" s="35"/>
      <c r="U309" s="35"/>
      <c r="V309" s="35"/>
      <c r="W309" s="35"/>
      <c r="X309" s="35"/>
      <c r="Y309" s="35"/>
      <c r="Z309" s="35"/>
    </row>
    <row r="310" ht="15.75" customHeight="1">
      <c r="A310" s="35"/>
      <c r="B310" s="35"/>
      <c r="C310" s="35"/>
      <c r="D310" s="35"/>
      <c r="E310" s="35"/>
      <c r="F310" s="35"/>
      <c r="G310" s="35"/>
      <c r="H310" s="35"/>
      <c r="I310" s="35"/>
      <c r="J310" s="35"/>
      <c r="K310" s="35"/>
      <c r="L310" s="35"/>
      <c r="M310" s="35"/>
      <c r="N310" s="35"/>
      <c r="O310" s="35"/>
      <c r="P310" s="35"/>
      <c r="Q310" s="35"/>
      <c r="R310" s="35"/>
      <c r="S310" s="35"/>
      <c r="T310" s="35"/>
      <c r="U310" s="35"/>
      <c r="V310" s="35"/>
      <c r="W310" s="35"/>
      <c r="X310" s="35"/>
      <c r="Y310" s="35"/>
      <c r="Z310" s="35"/>
    </row>
    <row r="311" ht="15.75" customHeight="1">
      <c r="A311" s="35"/>
      <c r="B311" s="35"/>
      <c r="C311" s="35"/>
      <c r="D311" s="35"/>
      <c r="E311" s="35"/>
      <c r="F311" s="35"/>
      <c r="G311" s="35"/>
      <c r="H311" s="35"/>
      <c r="I311" s="35"/>
      <c r="J311" s="35"/>
      <c r="K311" s="35"/>
      <c r="L311" s="35"/>
      <c r="M311" s="35"/>
      <c r="N311" s="35"/>
      <c r="O311" s="35"/>
      <c r="P311" s="35"/>
      <c r="Q311" s="35"/>
      <c r="R311" s="35"/>
      <c r="S311" s="35"/>
      <c r="T311" s="35"/>
      <c r="U311" s="35"/>
      <c r="V311" s="35"/>
      <c r="W311" s="35"/>
      <c r="X311" s="35"/>
      <c r="Y311" s="35"/>
      <c r="Z311" s="35"/>
    </row>
    <row r="312" ht="15.75" customHeight="1">
      <c r="A312" s="35"/>
      <c r="B312" s="35"/>
      <c r="C312" s="35"/>
      <c r="D312" s="35"/>
      <c r="E312" s="35"/>
      <c r="F312" s="35"/>
      <c r="G312" s="35"/>
      <c r="H312" s="35"/>
      <c r="I312" s="35"/>
      <c r="J312" s="35"/>
      <c r="K312" s="35"/>
      <c r="L312" s="35"/>
      <c r="M312" s="35"/>
      <c r="N312" s="35"/>
      <c r="O312" s="35"/>
      <c r="P312" s="35"/>
      <c r="Q312" s="35"/>
      <c r="R312" s="35"/>
      <c r="S312" s="35"/>
      <c r="T312" s="35"/>
      <c r="U312" s="35"/>
      <c r="V312" s="35"/>
      <c r="W312" s="35"/>
      <c r="X312" s="35"/>
      <c r="Y312" s="35"/>
      <c r="Z312" s="35"/>
    </row>
    <row r="313" ht="15.75" customHeight="1">
      <c r="A313" s="35"/>
      <c r="B313" s="35"/>
      <c r="C313" s="35"/>
      <c r="D313" s="35"/>
      <c r="E313" s="35"/>
      <c r="F313" s="35"/>
      <c r="G313" s="35"/>
      <c r="H313" s="35"/>
      <c r="I313" s="35"/>
      <c r="J313" s="35"/>
      <c r="K313" s="35"/>
      <c r="L313" s="35"/>
      <c r="M313" s="35"/>
      <c r="N313" s="35"/>
      <c r="O313" s="35"/>
      <c r="P313" s="35"/>
      <c r="Q313" s="35"/>
      <c r="R313" s="35"/>
      <c r="S313" s="35"/>
      <c r="T313" s="35"/>
      <c r="U313" s="35"/>
      <c r="V313" s="35"/>
      <c r="W313" s="35"/>
      <c r="X313" s="35"/>
      <c r="Y313" s="35"/>
      <c r="Z313" s="35"/>
    </row>
    <row r="314" ht="15.75" customHeight="1">
      <c r="A314" s="35"/>
      <c r="B314" s="35"/>
      <c r="C314" s="35"/>
      <c r="D314" s="35"/>
      <c r="E314" s="35"/>
      <c r="F314" s="35"/>
      <c r="G314" s="35"/>
      <c r="H314" s="35"/>
      <c r="I314" s="35"/>
      <c r="J314" s="35"/>
      <c r="K314" s="35"/>
      <c r="L314" s="35"/>
      <c r="M314" s="35"/>
      <c r="N314" s="35"/>
      <c r="O314" s="35"/>
      <c r="P314" s="35"/>
      <c r="Q314" s="35"/>
      <c r="R314" s="35"/>
      <c r="S314" s="35"/>
      <c r="T314" s="35"/>
      <c r="U314" s="35"/>
      <c r="V314" s="35"/>
      <c r="W314" s="35"/>
      <c r="X314" s="35"/>
      <c r="Y314" s="35"/>
      <c r="Z314" s="35"/>
    </row>
    <row r="315" ht="15.75" customHeight="1">
      <c r="A315" s="35"/>
      <c r="B315" s="35"/>
      <c r="C315" s="35"/>
      <c r="D315" s="35"/>
      <c r="E315" s="35"/>
      <c r="F315" s="35"/>
      <c r="G315" s="35"/>
      <c r="H315" s="35"/>
      <c r="I315" s="35"/>
      <c r="J315" s="35"/>
      <c r="K315" s="35"/>
      <c r="L315" s="35"/>
      <c r="M315" s="35"/>
      <c r="N315" s="35"/>
      <c r="O315" s="35"/>
      <c r="P315" s="35"/>
      <c r="Q315" s="35"/>
      <c r="R315" s="35"/>
      <c r="S315" s="35"/>
      <c r="T315" s="35"/>
      <c r="U315" s="35"/>
      <c r="V315" s="35"/>
      <c r="W315" s="35"/>
      <c r="X315" s="35"/>
      <c r="Y315" s="35"/>
      <c r="Z315" s="35"/>
    </row>
    <row r="316" ht="15.75" customHeight="1">
      <c r="A316" s="35"/>
      <c r="B316" s="35"/>
      <c r="C316" s="35"/>
      <c r="D316" s="35"/>
      <c r="E316" s="35"/>
      <c r="F316" s="35"/>
      <c r="G316" s="35"/>
      <c r="H316" s="35"/>
      <c r="I316" s="35"/>
      <c r="J316" s="35"/>
      <c r="K316" s="35"/>
      <c r="L316" s="35"/>
      <c r="M316" s="35"/>
      <c r="N316" s="35"/>
      <c r="O316" s="35"/>
      <c r="P316" s="35"/>
      <c r="Q316" s="35"/>
      <c r="R316" s="35"/>
      <c r="S316" s="35"/>
      <c r="T316" s="35"/>
      <c r="U316" s="35"/>
      <c r="V316" s="35"/>
      <c r="W316" s="35"/>
      <c r="X316" s="35"/>
      <c r="Y316" s="35"/>
      <c r="Z316" s="35"/>
    </row>
    <row r="317" ht="15.75" customHeight="1">
      <c r="A317" s="35"/>
      <c r="B317" s="35"/>
      <c r="C317" s="35"/>
      <c r="D317" s="35"/>
      <c r="E317" s="35"/>
      <c r="F317" s="35"/>
      <c r="G317" s="35"/>
      <c r="H317" s="35"/>
      <c r="I317" s="35"/>
      <c r="J317" s="35"/>
      <c r="K317" s="35"/>
      <c r="L317" s="35"/>
      <c r="M317" s="35"/>
      <c r="N317" s="35"/>
      <c r="O317" s="35"/>
      <c r="P317" s="35"/>
      <c r="Q317" s="35"/>
      <c r="R317" s="35"/>
      <c r="S317" s="35"/>
      <c r="T317" s="35"/>
      <c r="U317" s="35"/>
      <c r="V317" s="35"/>
      <c r="W317" s="35"/>
      <c r="X317" s="35"/>
      <c r="Y317" s="35"/>
      <c r="Z317" s="35"/>
    </row>
    <row r="318" ht="15.75" customHeight="1">
      <c r="A318" s="35"/>
      <c r="B318" s="35"/>
      <c r="C318" s="35"/>
      <c r="D318" s="35"/>
      <c r="E318" s="35"/>
      <c r="F318" s="35"/>
      <c r="G318" s="35"/>
      <c r="H318" s="35"/>
      <c r="I318" s="35"/>
      <c r="J318" s="35"/>
      <c r="K318" s="35"/>
      <c r="L318" s="35"/>
      <c r="M318" s="35"/>
      <c r="N318" s="35"/>
      <c r="O318" s="35"/>
      <c r="P318" s="35"/>
      <c r="Q318" s="35"/>
      <c r="R318" s="35"/>
      <c r="S318" s="35"/>
      <c r="T318" s="35"/>
      <c r="U318" s="35"/>
      <c r="V318" s="35"/>
      <c r="W318" s="35"/>
      <c r="X318" s="35"/>
      <c r="Y318" s="35"/>
      <c r="Z318" s="35"/>
    </row>
    <row r="319" ht="15.75" customHeight="1">
      <c r="A319" s="35"/>
      <c r="B319" s="35"/>
      <c r="C319" s="35"/>
      <c r="D319" s="35"/>
      <c r="E319" s="35"/>
      <c r="F319" s="35"/>
      <c r="G319" s="35"/>
      <c r="H319" s="35"/>
      <c r="I319" s="35"/>
      <c r="J319" s="35"/>
      <c r="K319" s="35"/>
      <c r="L319" s="35"/>
      <c r="M319" s="35"/>
      <c r="N319" s="35"/>
      <c r="O319" s="35"/>
      <c r="P319" s="35"/>
      <c r="Q319" s="35"/>
      <c r="R319" s="35"/>
      <c r="S319" s="35"/>
      <c r="T319" s="35"/>
      <c r="U319" s="35"/>
      <c r="V319" s="35"/>
      <c r="W319" s="35"/>
      <c r="X319" s="35"/>
      <c r="Y319" s="35"/>
      <c r="Z319" s="35"/>
    </row>
    <row r="320" ht="15.75" customHeight="1">
      <c r="A320" s="35"/>
      <c r="B320" s="35"/>
      <c r="C320" s="35"/>
      <c r="D320" s="35"/>
      <c r="E320" s="35"/>
      <c r="F320" s="35"/>
      <c r="G320" s="35"/>
      <c r="H320" s="35"/>
      <c r="I320" s="35"/>
      <c r="J320" s="35"/>
      <c r="K320" s="35"/>
      <c r="L320" s="35"/>
      <c r="M320" s="35"/>
      <c r="N320" s="35"/>
      <c r="O320" s="35"/>
      <c r="P320" s="35"/>
      <c r="Q320" s="35"/>
      <c r="R320" s="35"/>
      <c r="S320" s="35"/>
      <c r="T320" s="35"/>
      <c r="U320" s="35"/>
      <c r="V320" s="35"/>
      <c r="W320" s="35"/>
      <c r="X320" s="35"/>
      <c r="Y320" s="35"/>
      <c r="Z320" s="35"/>
    </row>
    <row r="321" ht="15.75" customHeight="1">
      <c r="A321" s="35"/>
      <c r="B321" s="35"/>
      <c r="C321" s="35"/>
      <c r="D321" s="35"/>
      <c r="E321" s="35"/>
      <c r="F321" s="35"/>
      <c r="G321" s="35"/>
      <c r="H321" s="35"/>
      <c r="I321" s="35"/>
      <c r="J321" s="35"/>
      <c r="K321" s="35"/>
      <c r="L321" s="35"/>
      <c r="M321" s="35"/>
      <c r="N321" s="35"/>
      <c r="O321" s="35"/>
      <c r="P321" s="35"/>
      <c r="Q321" s="35"/>
      <c r="R321" s="35"/>
      <c r="S321" s="35"/>
      <c r="T321" s="35"/>
      <c r="U321" s="35"/>
      <c r="V321" s="35"/>
      <c r="W321" s="35"/>
      <c r="X321" s="35"/>
      <c r="Y321" s="35"/>
      <c r="Z321" s="35"/>
    </row>
    <row r="322" ht="15.75" customHeight="1">
      <c r="A322" s="35"/>
      <c r="B322" s="35"/>
      <c r="C322" s="35"/>
      <c r="D322" s="35"/>
      <c r="E322" s="35"/>
      <c r="F322" s="35"/>
      <c r="G322" s="35"/>
      <c r="H322" s="35"/>
      <c r="I322" s="35"/>
      <c r="J322" s="35"/>
      <c r="K322" s="35"/>
      <c r="L322" s="35"/>
      <c r="M322" s="35"/>
      <c r="N322" s="35"/>
      <c r="O322" s="35"/>
      <c r="P322" s="35"/>
      <c r="Q322" s="35"/>
      <c r="R322" s="35"/>
      <c r="S322" s="35"/>
      <c r="T322" s="35"/>
      <c r="U322" s="35"/>
      <c r="V322" s="35"/>
      <c r="W322" s="35"/>
      <c r="X322" s="35"/>
      <c r="Y322" s="35"/>
      <c r="Z322" s="35"/>
    </row>
    <row r="323" ht="15.75" customHeight="1">
      <c r="A323" s="35"/>
      <c r="B323" s="35"/>
      <c r="C323" s="35"/>
      <c r="D323" s="35"/>
      <c r="E323" s="35"/>
      <c r="F323" s="35"/>
      <c r="G323" s="35"/>
      <c r="H323" s="35"/>
      <c r="I323" s="35"/>
      <c r="J323" s="35"/>
      <c r="K323" s="35"/>
      <c r="L323" s="35"/>
      <c r="M323" s="35"/>
      <c r="N323" s="35"/>
      <c r="O323" s="35"/>
      <c r="P323" s="35"/>
      <c r="Q323" s="35"/>
      <c r="R323" s="35"/>
      <c r="S323" s="35"/>
      <c r="T323" s="35"/>
      <c r="U323" s="35"/>
      <c r="V323" s="35"/>
      <c r="W323" s="35"/>
      <c r="X323" s="35"/>
      <c r="Y323" s="35"/>
      <c r="Z323" s="35"/>
    </row>
    <row r="324" ht="15.75" customHeight="1">
      <c r="A324" s="35"/>
      <c r="B324" s="35"/>
      <c r="C324" s="35"/>
      <c r="D324" s="35"/>
      <c r="E324" s="35"/>
      <c r="F324" s="35"/>
      <c r="G324" s="35"/>
      <c r="H324" s="35"/>
      <c r="I324" s="35"/>
      <c r="J324" s="35"/>
      <c r="K324" s="35"/>
      <c r="L324" s="35"/>
      <c r="M324" s="35"/>
      <c r="N324" s="35"/>
      <c r="O324" s="35"/>
      <c r="P324" s="35"/>
      <c r="Q324" s="35"/>
      <c r="R324" s="35"/>
      <c r="S324" s="35"/>
      <c r="T324" s="35"/>
      <c r="U324" s="35"/>
      <c r="V324" s="35"/>
      <c r="W324" s="35"/>
      <c r="X324" s="35"/>
      <c r="Y324" s="35"/>
      <c r="Z324" s="35"/>
    </row>
    <row r="325" ht="15.75" customHeight="1">
      <c r="A325" s="35"/>
      <c r="B325" s="35"/>
      <c r="C325" s="35"/>
      <c r="D325" s="35"/>
      <c r="E325" s="35"/>
      <c r="F325" s="35"/>
      <c r="G325" s="35"/>
      <c r="H325" s="35"/>
      <c r="I325" s="35"/>
      <c r="J325" s="35"/>
      <c r="K325" s="35"/>
      <c r="L325" s="35"/>
      <c r="M325" s="35"/>
      <c r="N325" s="35"/>
      <c r="O325" s="35"/>
      <c r="P325" s="35"/>
      <c r="Q325" s="35"/>
      <c r="R325" s="35"/>
      <c r="S325" s="35"/>
      <c r="T325" s="35"/>
      <c r="U325" s="35"/>
      <c r="V325" s="35"/>
      <c r="W325" s="35"/>
      <c r="X325" s="35"/>
      <c r="Y325" s="35"/>
      <c r="Z325" s="35"/>
    </row>
    <row r="326" ht="15.75" customHeight="1">
      <c r="A326" s="35"/>
      <c r="B326" s="35"/>
      <c r="C326" s="35"/>
      <c r="D326" s="35"/>
      <c r="E326" s="35"/>
      <c r="F326" s="35"/>
      <c r="G326" s="35"/>
      <c r="H326" s="35"/>
      <c r="I326" s="35"/>
      <c r="J326" s="35"/>
      <c r="K326" s="35"/>
      <c r="L326" s="35"/>
      <c r="M326" s="35"/>
      <c r="N326" s="35"/>
      <c r="O326" s="35"/>
      <c r="P326" s="35"/>
      <c r="Q326" s="35"/>
      <c r="R326" s="35"/>
      <c r="S326" s="35"/>
      <c r="T326" s="35"/>
      <c r="U326" s="35"/>
      <c r="V326" s="35"/>
      <c r="W326" s="35"/>
      <c r="X326" s="35"/>
      <c r="Y326" s="35"/>
      <c r="Z326" s="35"/>
    </row>
    <row r="327" ht="15.75" customHeight="1">
      <c r="A327" s="35"/>
      <c r="B327" s="35"/>
      <c r="C327" s="35"/>
      <c r="D327" s="35"/>
      <c r="E327" s="35"/>
      <c r="F327" s="35"/>
      <c r="G327" s="35"/>
      <c r="H327" s="35"/>
      <c r="I327" s="35"/>
      <c r="J327" s="35"/>
      <c r="K327" s="35"/>
      <c r="L327" s="35"/>
      <c r="M327" s="35"/>
      <c r="N327" s="35"/>
      <c r="O327" s="35"/>
      <c r="P327" s="35"/>
      <c r="Q327" s="35"/>
      <c r="R327" s="35"/>
      <c r="S327" s="35"/>
      <c r="T327" s="35"/>
      <c r="U327" s="35"/>
      <c r="V327" s="35"/>
      <c r="W327" s="35"/>
      <c r="X327" s="35"/>
      <c r="Y327" s="35"/>
      <c r="Z327" s="35"/>
    </row>
    <row r="328" ht="15.75" customHeight="1">
      <c r="A328" s="35"/>
      <c r="B328" s="35"/>
      <c r="C328" s="35"/>
      <c r="D328" s="35"/>
      <c r="E328" s="35"/>
      <c r="F328" s="35"/>
      <c r="G328" s="35"/>
      <c r="H328" s="35"/>
      <c r="I328" s="35"/>
      <c r="J328" s="35"/>
      <c r="K328" s="35"/>
      <c r="L328" s="35"/>
      <c r="M328" s="35"/>
      <c r="N328" s="35"/>
      <c r="O328" s="35"/>
      <c r="P328" s="35"/>
      <c r="Q328" s="35"/>
      <c r="R328" s="35"/>
      <c r="S328" s="35"/>
      <c r="T328" s="35"/>
      <c r="U328" s="35"/>
      <c r="V328" s="35"/>
      <c r="W328" s="35"/>
      <c r="X328" s="35"/>
      <c r="Y328" s="35"/>
      <c r="Z328" s="35"/>
    </row>
    <row r="329" ht="15.75" customHeight="1">
      <c r="A329" s="35"/>
      <c r="B329" s="35"/>
      <c r="C329" s="35"/>
      <c r="D329" s="35"/>
      <c r="E329" s="35"/>
      <c r="F329" s="35"/>
      <c r="G329" s="35"/>
      <c r="H329" s="35"/>
      <c r="I329" s="35"/>
      <c r="J329" s="35"/>
      <c r="K329" s="35"/>
      <c r="L329" s="35"/>
      <c r="M329" s="35"/>
      <c r="N329" s="35"/>
      <c r="O329" s="35"/>
      <c r="P329" s="35"/>
      <c r="Q329" s="35"/>
      <c r="R329" s="35"/>
      <c r="S329" s="35"/>
      <c r="T329" s="35"/>
      <c r="U329" s="35"/>
      <c r="V329" s="35"/>
      <c r="W329" s="35"/>
      <c r="X329" s="35"/>
      <c r="Y329" s="35"/>
      <c r="Z329" s="35"/>
    </row>
    <row r="330" ht="15.75" customHeight="1">
      <c r="A330" s="35"/>
      <c r="B330" s="35"/>
      <c r="C330" s="35"/>
      <c r="D330" s="35"/>
      <c r="E330" s="35"/>
      <c r="F330" s="35"/>
      <c r="G330" s="35"/>
      <c r="H330" s="35"/>
      <c r="I330" s="35"/>
      <c r="J330" s="35"/>
      <c r="K330" s="35"/>
      <c r="L330" s="35"/>
      <c r="M330" s="35"/>
      <c r="N330" s="35"/>
      <c r="O330" s="35"/>
      <c r="P330" s="35"/>
      <c r="Q330" s="35"/>
      <c r="R330" s="35"/>
      <c r="S330" s="35"/>
      <c r="T330" s="35"/>
      <c r="U330" s="35"/>
      <c r="V330" s="35"/>
      <c r="W330" s="35"/>
      <c r="X330" s="35"/>
      <c r="Y330" s="35"/>
      <c r="Z330" s="35"/>
    </row>
    <row r="331" ht="15.75" customHeight="1">
      <c r="A331" s="35"/>
      <c r="B331" s="35"/>
      <c r="C331" s="35"/>
      <c r="D331" s="35"/>
      <c r="E331" s="35"/>
      <c r="F331" s="35"/>
      <c r="G331" s="35"/>
      <c r="H331" s="35"/>
      <c r="I331" s="35"/>
      <c r="J331" s="35"/>
      <c r="K331" s="35"/>
      <c r="L331" s="35"/>
      <c r="M331" s="35"/>
      <c r="N331" s="35"/>
      <c r="O331" s="35"/>
      <c r="P331" s="35"/>
      <c r="Q331" s="35"/>
      <c r="R331" s="35"/>
      <c r="S331" s="35"/>
      <c r="T331" s="35"/>
      <c r="U331" s="35"/>
      <c r="V331" s="35"/>
      <c r="W331" s="35"/>
      <c r="X331" s="35"/>
      <c r="Y331" s="35"/>
      <c r="Z331" s="35"/>
    </row>
    <row r="332" ht="15.75" customHeight="1">
      <c r="A332" s="35"/>
      <c r="B332" s="35"/>
      <c r="C332" s="35"/>
      <c r="D332" s="35"/>
      <c r="E332" s="35"/>
      <c r="F332" s="35"/>
      <c r="G332" s="35"/>
      <c r="H332" s="35"/>
      <c r="I332" s="35"/>
      <c r="J332" s="35"/>
      <c r="K332" s="35"/>
      <c r="L332" s="35"/>
      <c r="M332" s="35"/>
      <c r="N332" s="35"/>
      <c r="O332" s="35"/>
      <c r="P332" s="35"/>
      <c r="Q332" s="35"/>
      <c r="R332" s="35"/>
      <c r="S332" s="35"/>
      <c r="T332" s="35"/>
      <c r="U332" s="35"/>
      <c r="V332" s="35"/>
      <c r="W332" s="35"/>
      <c r="X332" s="35"/>
      <c r="Y332" s="35"/>
      <c r="Z332" s="35"/>
    </row>
    <row r="333" ht="15.75" customHeight="1">
      <c r="A333" s="35"/>
      <c r="B333" s="35"/>
      <c r="C333" s="35"/>
      <c r="D333" s="35"/>
      <c r="E333" s="35"/>
      <c r="F333" s="35"/>
      <c r="G333" s="35"/>
      <c r="H333" s="35"/>
      <c r="I333" s="35"/>
      <c r="J333" s="35"/>
      <c r="K333" s="35"/>
      <c r="L333" s="35"/>
      <c r="M333" s="35"/>
      <c r="N333" s="35"/>
      <c r="O333" s="35"/>
      <c r="P333" s="35"/>
      <c r="Q333" s="35"/>
      <c r="R333" s="35"/>
      <c r="S333" s="35"/>
      <c r="T333" s="35"/>
      <c r="U333" s="35"/>
      <c r="V333" s="35"/>
      <c r="W333" s="35"/>
      <c r="X333" s="35"/>
      <c r="Y333" s="35"/>
      <c r="Z333" s="35"/>
    </row>
    <row r="334" ht="15.75" customHeight="1">
      <c r="A334" s="35"/>
      <c r="B334" s="35"/>
      <c r="C334" s="35"/>
      <c r="D334" s="35"/>
      <c r="E334" s="35"/>
      <c r="F334" s="35"/>
      <c r="G334" s="35"/>
      <c r="H334" s="35"/>
      <c r="I334" s="35"/>
      <c r="J334" s="35"/>
      <c r="K334" s="35"/>
      <c r="L334" s="35"/>
      <c r="M334" s="35"/>
      <c r="N334" s="35"/>
      <c r="O334" s="35"/>
      <c r="P334" s="35"/>
      <c r="Q334" s="35"/>
      <c r="R334" s="35"/>
      <c r="S334" s="35"/>
      <c r="T334" s="35"/>
      <c r="U334" s="35"/>
      <c r="V334" s="35"/>
      <c r="W334" s="35"/>
      <c r="X334" s="35"/>
      <c r="Y334" s="35"/>
      <c r="Z334" s="35"/>
    </row>
    <row r="335" ht="15.75" customHeight="1">
      <c r="A335" s="35"/>
      <c r="B335" s="35"/>
      <c r="C335" s="35"/>
      <c r="D335" s="35"/>
      <c r="E335" s="35"/>
      <c r="F335" s="35"/>
      <c r="G335" s="35"/>
      <c r="H335" s="35"/>
      <c r="I335" s="35"/>
      <c r="J335" s="35"/>
      <c r="K335" s="35"/>
      <c r="L335" s="35"/>
      <c r="M335" s="35"/>
      <c r="N335" s="35"/>
      <c r="O335" s="35"/>
      <c r="P335" s="35"/>
      <c r="Q335" s="35"/>
      <c r="R335" s="35"/>
      <c r="S335" s="35"/>
      <c r="T335" s="35"/>
      <c r="U335" s="35"/>
      <c r="V335" s="35"/>
      <c r="W335" s="35"/>
      <c r="X335" s="35"/>
      <c r="Y335" s="35"/>
      <c r="Z335" s="35"/>
    </row>
    <row r="336" ht="15.75" customHeight="1">
      <c r="A336" s="35"/>
      <c r="B336" s="35"/>
      <c r="C336" s="35"/>
      <c r="D336" s="35"/>
      <c r="E336" s="35"/>
      <c r="F336" s="35"/>
      <c r="G336" s="35"/>
      <c r="H336" s="35"/>
      <c r="I336" s="35"/>
      <c r="J336" s="35"/>
      <c r="K336" s="35"/>
      <c r="L336" s="35"/>
      <c r="M336" s="35"/>
      <c r="N336" s="35"/>
      <c r="O336" s="35"/>
      <c r="P336" s="35"/>
      <c r="Q336" s="35"/>
      <c r="R336" s="35"/>
      <c r="S336" s="35"/>
      <c r="T336" s="35"/>
      <c r="U336" s="35"/>
      <c r="V336" s="35"/>
      <c r="W336" s="35"/>
      <c r="X336" s="35"/>
      <c r="Y336" s="35"/>
      <c r="Z336" s="35"/>
    </row>
    <row r="337" ht="15.75" customHeight="1">
      <c r="A337" s="35"/>
      <c r="B337" s="35"/>
      <c r="C337" s="35"/>
      <c r="D337" s="35"/>
      <c r="E337" s="35"/>
      <c r="F337" s="35"/>
      <c r="G337" s="35"/>
      <c r="H337" s="35"/>
      <c r="I337" s="35"/>
      <c r="J337" s="35"/>
      <c r="K337" s="35"/>
      <c r="L337" s="35"/>
      <c r="M337" s="35"/>
      <c r="N337" s="35"/>
      <c r="O337" s="35"/>
      <c r="P337" s="35"/>
      <c r="Q337" s="35"/>
      <c r="R337" s="35"/>
      <c r="S337" s="35"/>
      <c r="T337" s="35"/>
      <c r="U337" s="35"/>
      <c r="V337" s="35"/>
      <c r="W337" s="35"/>
      <c r="X337" s="35"/>
      <c r="Y337" s="35"/>
      <c r="Z337" s="35"/>
    </row>
    <row r="338" ht="15.75" customHeight="1">
      <c r="A338" s="35"/>
      <c r="B338" s="35"/>
      <c r="C338" s="35"/>
      <c r="D338" s="35"/>
      <c r="E338" s="35"/>
      <c r="F338" s="35"/>
      <c r="G338" s="35"/>
      <c r="H338" s="35"/>
      <c r="I338" s="35"/>
      <c r="J338" s="35"/>
      <c r="K338" s="35"/>
      <c r="L338" s="35"/>
      <c r="M338" s="35"/>
      <c r="N338" s="35"/>
      <c r="O338" s="35"/>
      <c r="P338" s="35"/>
      <c r="Q338" s="35"/>
      <c r="R338" s="35"/>
      <c r="S338" s="35"/>
      <c r="T338" s="35"/>
      <c r="U338" s="35"/>
      <c r="V338" s="35"/>
      <c r="W338" s="35"/>
      <c r="X338" s="35"/>
      <c r="Y338" s="35"/>
      <c r="Z338" s="35"/>
    </row>
    <row r="339" ht="15.75" customHeight="1">
      <c r="A339" s="35"/>
      <c r="B339" s="35"/>
      <c r="C339" s="35"/>
      <c r="D339" s="35"/>
      <c r="E339" s="35"/>
      <c r="F339" s="35"/>
      <c r="G339" s="35"/>
      <c r="H339" s="35"/>
      <c r="I339" s="35"/>
      <c r="J339" s="35"/>
      <c r="K339" s="35"/>
      <c r="L339" s="35"/>
      <c r="M339" s="35"/>
      <c r="N339" s="35"/>
      <c r="O339" s="35"/>
      <c r="P339" s="35"/>
      <c r="Q339" s="35"/>
      <c r="R339" s="35"/>
      <c r="S339" s="35"/>
      <c r="T339" s="35"/>
      <c r="U339" s="35"/>
      <c r="V339" s="35"/>
      <c r="W339" s="35"/>
      <c r="X339" s="35"/>
      <c r="Y339" s="35"/>
      <c r="Z339" s="35"/>
    </row>
    <row r="340" ht="15.75" customHeight="1">
      <c r="A340" s="35"/>
      <c r="B340" s="35"/>
      <c r="C340" s="35"/>
      <c r="D340" s="35"/>
      <c r="E340" s="35"/>
      <c r="F340" s="35"/>
      <c r="G340" s="35"/>
      <c r="H340" s="35"/>
      <c r="I340" s="35"/>
      <c r="J340" s="35"/>
      <c r="K340" s="35"/>
      <c r="L340" s="35"/>
      <c r="M340" s="35"/>
      <c r="N340" s="35"/>
      <c r="O340" s="35"/>
      <c r="P340" s="35"/>
      <c r="Q340" s="35"/>
      <c r="R340" s="35"/>
      <c r="S340" s="35"/>
      <c r="T340" s="35"/>
      <c r="U340" s="35"/>
      <c r="V340" s="35"/>
      <c r="W340" s="35"/>
      <c r="X340" s="35"/>
      <c r="Y340" s="35"/>
      <c r="Z340" s="35"/>
    </row>
    <row r="341" ht="15.75" customHeight="1">
      <c r="A341" s="35"/>
      <c r="B341" s="35"/>
      <c r="C341" s="35"/>
      <c r="D341" s="35"/>
      <c r="E341" s="35"/>
      <c r="F341" s="35"/>
      <c r="G341" s="35"/>
      <c r="H341" s="35"/>
      <c r="I341" s="35"/>
      <c r="J341" s="35"/>
      <c r="K341" s="35"/>
      <c r="L341" s="35"/>
      <c r="M341" s="35"/>
      <c r="N341" s="35"/>
      <c r="O341" s="35"/>
      <c r="P341" s="35"/>
      <c r="Q341" s="35"/>
      <c r="R341" s="35"/>
      <c r="S341" s="35"/>
      <c r="T341" s="35"/>
      <c r="U341" s="35"/>
      <c r="V341" s="35"/>
      <c r="W341" s="35"/>
      <c r="X341" s="35"/>
      <c r="Y341" s="35"/>
      <c r="Z341" s="35"/>
    </row>
    <row r="342" ht="15.75" customHeight="1">
      <c r="A342" s="35"/>
      <c r="B342" s="35"/>
      <c r="C342" s="35"/>
      <c r="D342" s="35"/>
      <c r="E342" s="35"/>
      <c r="F342" s="35"/>
      <c r="G342" s="35"/>
      <c r="H342" s="35"/>
      <c r="I342" s="35"/>
      <c r="J342" s="35"/>
      <c r="K342" s="35"/>
      <c r="L342" s="35"/>
      <c r="M342" s="35"/>
      <c r="N342" s="35"/>
      <c r="O342" s="35"/>
      <c r="P342" s="35"/>
      <c r="Q342" s="35"/>
      <c r="R342" s="35"/>
      <c r="S342" s="35"/>
      <c r="T342" s="35"/>
      <c r="U342" s="35"/>
      <c r="V342" s="35"/>
      <c r="W342" s="35"/>
      <c r="X342" s="35"/>
      <c r="Y342" s="35"/>
      <c r="Z342" s="35"/>
    </row>
    <row r="343" ht="15.75" customHeight="1">
      <c r="A343" s="35"/>
      <c r="B343" s="35"/>
      <c r="C343" s="35"/>
      <c r="D343" s="35"/>
      <c r="E343" s="35"/>
      <c r="F343" s="35"/>
      <c r="G343" s="35"/>
      <c r="H343" s="35"/>
      <c r="I343" s="35"/>
      <c r="J343" s="35"/>
      <c r="K343" s="35"/>
      <c r="L343" s="35"/>
      <c r="M343" s="35"/>
      <c r="N343" s="35"/>
      <c r="O343" s="35"/>
      <c r="P343" s="35"/>
      <c r="Q343" s="35"/>
      <c r="R343" s="35"/>
      <c r="S343" s="35"/>
      <c r="T343" s="35"/>
      <c r="U343" s="35"/>
      <c r="V343" s="35"/>
      <c r="W343" s="35"/>
      <c r="X343" s="35"/>
      <c r="Y343" s="35"/>
      <c r="Z343" s="35"/>
    </row>
    <row r="344" ht="15.75" customHeight="1">
      <c r="A344" s="35"/>
      <c r="B344" s="35"/>
      <c r="C344" s="35"/>
      <c r="D344" s="35"/>
      <c r="E344" s="35"/>
      <c r="F344" s="35"/>
      <c r="G344" s="35"/>
      <c r="H344" s="35"/>
      <c r="I344" s="35"/>
      <c r="J344" s="35"/>
      <c r="K344" s="35"/>
      <c r="L344" s="35"/>
      <c r="M344" s="35"/>
      <c r="N344" s="35"/>
      <c r="O344" s="35"/>
      <c r="P344" s="35"/>
      <c r="Q344" s="35"/>
      <c r="R344" s="35"/>
      <c r="S344" s="35"/>
      <c r="T344" s="35"/>
      <c r="U344" s="35"/>
      <c r="V344" s="35"/>
      <c r="W344" s="35"/>
      <c r="X344" s="35"/>
      <c r="Y344" s="35"/>
      <c r="Z344" s="35"/>
    </row>
    <row r="345" ht="15.75" customHeight="1">
      <c r="A345" s="35"/>
      <c r="B345" s="35"/>
      <c r="C345" s="35"/>
      <c r="D345" s="35"/>
      <c r="E345" s="35"/>
      <c r="F345" s="35"/>
      <c r="G345" s="35"/>
      <c r="H345" s="35"/>
      <c r="I345" s="35"/>
      <c r="J345" s="35"/>
      <c r="K345" s="35"/>
      <c r="L345" s="35"/>
      <c r="M345" s="35"/>
      <c r="N345" s="35"/>
      <c r="O345" s="35"/>
      <c r="P345" s="35"/>
      <c r="Q345" s="35"/>
      <c r="R345" s="35"/>
      <c r="S345" s="35"/>
      <c r="T345" s="35"/>
      <c r="U345" s="35"/>
      <c r="V345" s="35"/>
      <c r="W345" s="35"/>
      <c r="X345" s="35"/>
      <c r="Y345" s="35"/>
      <c r="Z345" s="35"/>
    </row>
    <row r="346" ht="15.75" customHeight="1">
      <c r="A346" s="35"/>
      <c r="B346" s="35"/>
      <c r="C346" s="35"/>
      <c r="D346" s="35"/>
      <c r="E346" s="35"/>
      <c r="F346" s="35"/>
      <c r="G346" s="35"/>
      <c r="H346" s="35"/>
      <c r="I346" s="35"/>
      <c r="J346" s="35"/>
      <c r="K346" s="35"/>
      <c r="L346" s="35"/>
      <c r="M346" s="35"/>
      <c r="N346" s="35"/>
      <c r="O346" s="35"/>
      <c r="P346" s="35"/>
      <c r="Q346" s="35"/>
      <c r="R346" s="35"/>
      <c r="S346" s="35"/>
      <c r="T346" s="35"/>
      <c r="U346" s="35"/>
      <c r="V346" s="35"/>
      <c r="W346" s="35"/>
      <c r="X346" s="35"/>
      <c r="Y346" s="35"/>
      <c r="Z346" s="35"/>
    </row>
    <row r="347" ht="15.75" customHeight="1">
      <c r="A347" s="35"/>
      <c r="B347" s="35"/>
      <c r="C347" s="35"/>
      <c r="D347" s="35"/>
      <c r="E347" s="35"/>
      <c r="F347" s="35"/>
      <c r="G347" s="35"/>
      <c r="H347" s="35"/>
      <c r="I347" s="35"/>
      <c r="J347" s="35"/>
      <c r="K347" s="35"/>
      <c r="L347" s="35"/>
      <c r="M347" s="35"/>
      <c r="N347" s="35"/>
      <c r="O347" s="35"/>
      <c r="P347" s="35"/>
      <c r="Q347" s="35"/>
      <c r="R347" s="35"/>
      <c r="S347" s="35"/>
      <c r="T347" s="35"/>
      <c r="U347" s="35"/>
      <c r="V347" s="35"/>
      <c r="W347" s="35"/>
      <c r="X347" s="35"/>
      <c r="Y347" s="35"/>
      <c r="Z347" s="35"/>
    </row>
    <row r="348" ht="15.75" customHeight="1">
      <c r="A348" s="35"/>
      <c r="B348" s="35"/>
      <c r="C348" s="35"/>
      <c r="D348" s="35"/>
      <c r="E348" s="35"/>
      <c r="F348" s="35"/>
      <c r="G348" s="35"/>
      <c r="H348" s="35"/>
      <c r="I348" s="35"/>
      <c r="J348" s="35"/>
      <c r="K348" s="35"/>
      <c r="L348" s="35"/>
      <c r="M348" s="35"/>
      <c r="N348" s="35"/>
      <c r="O348" s="35"/>
      <c r="P348" s="35"/>
      <c r="Q348" s="35"/>
      <c r="R348" s="35"/>
      <c r="S348" s="35"/>
      <c r="T348" s="35"/>
      <c r="U348" s="35"/>
      <c r="V348" s="35"/>
      <c r="W348" s="35"/>
      <c r="X348" s="35"/>
      <c r="Y348" s="35"/>
      <c r="Z348" s="35"/>
    </row>
    <row r="349" ht="15.75" customHeight="1">
      <c r="A349" s="35"/>
      <c r="B349" s="35"/>
      <c r="C349" s="35"/>
      <c r="D349" s="35"/>
      <c r="E349" s="35"/>
      <c r="F349" s="35"/>
      <c r="G349" s="35"/>
      <c r="H349" s="35"/>
      <c r="I349" s="35"/>
      <c r="J349" s="35"/>
      <c r="K349" s="35"/>
      <c r="L349" s="35"/>
      <c r="M349" s="35"/>
      <c r="N349" s="35"/>
      <c r="O349" s="35"/>
      <c r="P349" s="35"/>
      <c r="Q349" s="35"/>
      <c r="R349" s="35"/>
      <c r="S349" s="35"/>
      <c r="T349" s="35"/>
      <c r="U349" s="35"/>
      <c r="V349" s="35"/>
      <c r="W349" s="35"/>
      <c r="X349" s="35"/>
      <c r="Y349" s="35"/>
      <c r="Z349" s="35"/>
    </row>
    <row r="350" ht="15.75" customHeight="1">
      <c r="A350" s="35"/>
      <c r="B350" s="35"/>
      <c r="C350" s="35"/>
      <c r="D350" s="35"/>
      <c r="E350" s="35"/>
      <c r="F350" s="35"/>
      <c r="G350" s="35"/>
      <c r="H350" s="35"/>
      <c r="I350" s="35"/>
      <c r="J350" s="35"/>
      <c r="K350" s="35"/>
      <c r="L350" s="35"/>
      <c r="M350" s="35"/>
      <c r="N350" s="35"/>
      <c r="O350" s="35"/>
      <c r="P350" s="35"/>
      <c r="Q350" s="35"/>
      <c r="R350" s="35"/>
      <c r="S350" s="35"/>
      <c r="T350" s="35"/>
      <c r="U350" s="35"/>
      <c r="V350" s="35"/>
      <c r="W350" s="35"/>
      <c r="X350" s="35"/>
      <c r="Y350" s="35"/>
      <c r="Z350" s="35"/>
    </row>
    <row r="351" ht="15.75" customHeight="1">
      <c r="A351" s="35"/>
      <c r="B351" s="35"/>
      <c r="C351" s="35"/>
      <c r="D351" s="35"/>
      <c r="E351" s="35"/>
      <c r="F351" s="35"/>
      <c r="G351" s="35"/>
      <c r="H351" s="35"/>
      <c r="I351" s="35"/>
      <c r="J351" s="35"/>
      <c r="K351" s="35"/>
      <c r="L351" s="35"/>
      <c r="M351" s="35"/>
      <c r="N351" s="35"/>
      <c r="O351" s="35"/>
      <c r="P351" s="35"/>
      <c r="Q351" s="35"/>
      <c r="R351" s="35"/>
      <c r="S351" s="35"/>
      <c r="T351" s="35"/>
      <c r="U351" s="35"/>
      <c r="V351" s="35"/>
      <c r="W351" s="35"/>
      <c r="X351" s="35"/>
      <c r="Y351" s="35"/>
      <c r="Z351" s="35"/>
    </row>
    <row r="352" ht="15.75" customHeight="1">
      <c r="A352" s="35"/>
      <c r="B352" s="35"/>
      <c r="C352" s="35"/>
      <c r="D352" s="35"/>
      <c r="E352" s="35"/>
      <c r="F352" s="35"/>
      <c r="G352" s="35"/>
      <c r="H352" s="35"/>
      <c r="I352" s="35"/>
      <c r="J352" s="35"/>
      <c r="K352" s="35"/>
      <c r="L352" s="35"/>
      <c r="M352" s="35"/>
      <c r="N352" s="35"/>
      <c r="O352" s="35"/>
      <c r="P352" s="35"/>
      <c r="Q352" s="35"/>
      <c r="R352" s="35"/>
      <c r="S352" s="35"/>
      <c r="T352" s="35"/>
      <c r="U352" s="35"/>
      <c r="V352" s="35"/>
      <c r="W352" s="35"/>
      <c r="X352" s="35"/>
      <c r="Y352" s="35"/>
      <c r="Z352" s="35"/>
    </row>
    <row r="353" ht="15.75" customHeight="1">
      <c r="A353" s="35"/>
      <c r="B353" s="35"/>
      <c r="C353" s="35"/>
      <c r="D353" s="35"/>
      <c r="E353" s="35"/>
      <c r="F353" s="35"/>
      <c r="G353" s="35"/>
      <c r="H353" s="35"/>
      <c r="I353" s="35"/>
      <c r="J353" s="35"/>
      <c r="K353" s="35"/>
      <c r="L353" s="35"/>
      <c r="M353" s="35"/>
      <c r="N353" s="35"/>
      <c r="O353" s="35"/>
      <c r="P353" s="35"/>
      <c r="Q353" s="35"/>
      <c r="R353" s="35"/>
      <c r="S353" s="35"/>
      <c r="T353" s="35"/>
      <c r="U353" s="35"/>
      <c r="V353" s="35"/>
      <c r="W353" s="35"/>
      <c r="X353" s="35"/>
      <c r="Y353" s="35"/>
      <c r="Z353" s="35"/>
    </row>
    <row r="354" ht="15.75" customHeight="1">
      <c r="A354" s="35"/>
      <c r="B354" s="35"/>
      <c r="C354" s="35"/>
      <c r="D354" s="35"/>
      <c r="E354" s="35"/>
      <c r="F354" s="35"/>
      <c r="G354" s="35"/>
      <c r="H354" s="35"/>
      <c r="I354" s="35"/>
      <c r="J354" s="35"/>
      <c r="K354" s="35"/>
      <c r="L354" s="35"/>
      <c r="M354" s="35"/>
      <c r="N354" s="35"/>
      <c r="O354" s="35"/>
      <c r="P354" s="35"/>
      <c r="Q354" s="35"/>
      <c r="R354" s="35"/>
      <c r="S354" s="35"/>
      <c r="T354" s="35"/>
      <c r="U354" s="35"/>
      <c r="V354" s="35"/>
      <c r="W354" s="35"/>
      <c r="X354" s="35"/>
      <c r="Y354" s="35"/>
      <c r="Z354" s="35"/>
    </row>
    <row r="355" ht="15.75" customHeight="1">
      <c r="A355" s="35"/>
      <c r="B355" s="35"/>
      <c r="C355" s="35"/>
      <c r="D355" s="35"/>
      <c r="E355" s="35"/>
      <c r="F355" s="35"/>
      <c r="G355" s="35"/>
      <c r="H355" s="35"/>
      <c r="I355" s="35"/>
      <c r="J355" s="35"/>
      <c r="K355" s="35"/>
      <c r="L355" s="35"/>
      <c r="M355" s="35"/>
      <c r="N355" s="35"/>
      <c r="O355" s="35"/>
      <c r="P355" s="35"/>
      <c r="Q355" s="35"/>
      <c r="R355" s="35"/>
      <c r="S355" s="35"/>
      <c r="T355" s="35"/>
      <c r="U355" s="35"/>
      <c r="V355" s="35"/>
      <c r="W355" s="35"/>
      <c r="X355" s="35"/>
      <c r="Y355" s="35"/>
      <c r="Z355" s="35"/>
    </row>
    <row r="356" ht="15.75" customHeight="1">
      <c r="A356" s="35"/>
      <c r="B356" s="35"/>
      <c r="C356" s="35"/>
      <c r="D356" s="35"/>
      <c r="E356" s="35"/>
      <c r="F356" s="35"/>
      <c r="G356" s="35"/>
      <c r="H356" s="35"/>
      <c r="I356" s="35"/>
      <c r="J356" s="35"/>
      <c r="K356" s="35"/>
      <c r="L356" s="35"/>
      <c r="M356" s="35"/>
      <c r="N356" s="35"/>
      <c r="O356" s="35"/>
      <c r="P356" s="35"/>
      <c r="Q356" s="35"/>
      <c r="R356" s="35"/>
      <c r="S356" s="35"/>
      <c r="T356" s="35"/>
      <c r="U356" s="35"/>
      <c r="V356" s="35"/>
      <c r="W356" s="35"/>
      <c r="X356" s="35"/>
      <c r="Y356" s="35"/>
      <c r="Z356" s="35"/>
    </row>
    <row r="357" ht="15.75" customHeight="1">
      <c r="A357" s="35"/>
      <c r="B357" s="35"/>
      <c r="C357" s="35"/>
      <c r="D357" s="35"/>
      <c r="E357" s="35"/>
      <c r="F357" s="35"/>
      <c r="G357" s="35"/>
      <c r="H357" s="35"/>
      <c r="I357" s="35"/>
      <c r="J357" s="35"/>
      <c r="K357" s="35"/>
      <c r="L357" s="35"/>
      <c r="M357" s="35"/>
      <c r="N357" s="35"/>
      <c r="O357" s="35"/>
      <c r="P357" s="35"/>
      <c r="Q357" s="35"/>
      <c r="R357" s="35"/>
      <c r="S357" s="35"/>
      <c r="T357" s="35"/>
      <c r="U357" s="35"/>
      <c r="V357" s="35"/>
      <c r="W357" s="35"/>
      <c r="X357" s="35"/>
      <c r="Y357" s="35"/>
      <c r="Z357" s="35"/>
    </row>
    <row r="358" ht="15.75" customHeight="1">
      <c r="A358" s="35"/>
      <c r="B358" s="35"/>
      <c r="C358" s="35"/>
      <c r="D358" s="35"/>
      <c r="E358" s="35"/>
      <c r="F358" s="35"/>
      <c r="G358" s="35"/>
      <c r="H358" s="35"/>
      <c r="I358" s="35"/>
      <c r="J358" s="35"/>
      <c r="K358" s="35"/>
      <c r="L358" s="35"/>
      <c r="M358" s="35"/>
      <c r="N358" s="35"/>
      <c r="O358" s="35"/>
      <c r="P358" s="35"/>
      <c r="Q358" s="35"/>
      <c r="R358" s="35"/>
      <c r="S358" s="35"/>
      <c r="T358" s="35"/>
      <c r="U358" s="35"/>
      <c r="V358" s="35"/>
      <c r="W358" s="35"/>
      <c r="X358" s="35"/>
      <c r="Y358" s="35"/>
      <c r="Z358" s="35"/>
    </row>
    <row r="359" ht="15.75" customHeight="1">
      <c r="A359" s="35"/>
      <c r="B359" s="35"/>
      <c r="C359" s="35"/>
      <c r="D359" s="35"/>
      <c r="E359" s="35"/>
      <c r="F359" s="35"/>
      <c r="G359" s="35"/>
      <c r="H359" s="35"/>
      <c r="I359" s="35"/>
      <c r="J359" s="35"/>
      <c r="K359" s="35"/>
      <c r="L359" s="35"/>
      <c r="M359" s="35"/>
      <c r="N359" s="35"/>
      <c r="O359" s="35"/>
      <c r="P359" s="35"/>
      <c r="Q359" s="35"/>
      <c r="R359" s="35"/>
      <c r="S359" s="35"/>
      <c r="T359" s="35"/>
      <c r="U359" s="35"/>
      <c r="V359" s="35"/>
      <c r="W359" s="35"/>
      <c r="X359" s="35"/>
      <c r="Y359" s="35"/>
      <c r="Z359" s="35"/>
    </row>
    <row r="360" ht="15.75" customHeight="1">
      <c r="A360" s="35"/>
      <c r="B360" s="35"/>
      <c r="C360" s="35"/>
      <c r="D360" s="35"/>
      <c r="E360" s="35"/>
      <c r="F360" s="35"/>
      <c r="G360" s="35"/>
      <c r="H360" s="35"/>
      <c r="I360" s="35"/>
      <c r="J360" s="35"/>
      <c r="K360" s="35"/>
      <c r="L360" s="35"/>
      <c r="M360" s="35"/>
      <c r="N360" s="35"/>
      <c r="O360" s="35"/>
      <c r="P360" s="35"/>
      <c r="Q360" s="35"/>
      <c r="R360" s="35"/>
      <c r="S360" s="35"/>
      <c r="T360" s="35"/>
      <c r="U360" s="35"/>
      <c r="V360" s="35"/>
      <c r="W360" s="35"/>
      <c r="X360" s="35"/>
      <c r="Y360" s="35"/>
      <c r="Z360" s="35"/>
    </row>
    <row r="361" ht="15.75" customHeight="1">
      <c r="A361" s="35"/>
      <c r="B361" s="35"/>
      <c r="C361" s="35"/>
      <c r="D361" s="35"/>
      <c r="E361" s="35"/>
      <c r="F361" s="35"/>
      <c r="G361" s="35"/>
      <c r="H361" s="35"/>
      <c r="I361" s="35"/>
      <c r="J361" s="35"/>
      <c r="K361" s="35"/>
      <c r="L361" s="35"/>
      <c r="M361" s="35"/>
      <c r="N361" s="35"/>
      <c r="O361" s="35"/>
      <c r="P361" s="35"/>
      <c r="Q361" s="35"/>
      <c r="R361" s="35"/>
      <c r="S361" s="35"/>
      <c r="T361" s="35"/>
      <c r="U361" s="35"/>
      <c r="V361" s="35"/>
      <c r="W361" s="35"/>
      <c r="X361" s="35"/>
      <c r="Y361" s="35"/>
      <c r="Z361" s="35"/>
    </row>
    <row r="362" ht="15.75" customHeight="1">
      <c r="A362" s="35"/>
      <c r="B362" s="35"/>
      <c r="C362" s="35"/>
      <c r="D362" s="35"/>
      <c r="E362" s="35"/>
      <c r="F362" s="35"/>
      <c r="G362" s="35"/>
      <c r="H362" s="35"/>
      <c r="I362" s="35"/>
      <c r="J362" s="35"/>
      <c r="K362" s="35"/>
      <c r="L362" s="35"/>
      <c r="M362" s="35"/>
      <c r="N362" s="35"/>
      <c r="O362" s="35"/>
      <c r="P362" s="35"/>
      <c r="Q362" s="35"/>
      <c r="R362" s="35"/>
      <c r="S362" s="35"/>
      <c r="T362" s="35"/>
      <c r="U362" s="35"/>
      <c r="V362" s="35"/>
      <c r="W362" s="35"/>
      <c r="X362" s="35"/>
      <c r="Y362" s="35"/>
      <c r="Z362" s="35"/>
    </row>
    <row r="363" ht="15.75" customHeight="1">
      <c r="A363" s="35"/>
      <c r="B363" s="35"/>
      <c r="C363" s="35"/>
      <c r="D363" s="35"/>
      <c r="E363" s="35"/>
      <c r="F363" s="35"/>
      <c r="G363" s="35"/>
      <c r="H363" s="35"/>
      <c r="I363" s="35"/>
      <c r="J363" s="35"/>
      <c r="K363" s="35"/>
      <c r="L363" s="35"/>
      <c r="M363" s="35"/>
      <c r="N363" s="35"/>
      <c r="O363" s="35"/>
      <c r="P363" s="35"/>
      <c r="Q363" s="35"/>
      <c r="R363" s="35"/>
      <c r="S363" s="35"/>
      <c r="T363" s="35"/>
      <c r="U363" s="35"/>
      <c r="V363" s="35"/>
      <c r="W363" s="35"/>
      <c r="X363" s="35"/>
      <c r="Y363" s="35"/>
      <c r="Z363" s="35"/>
    </row>
    <row r="364" ht="15.75" customHeight="1">
      <c r="A364" s="35"/>
      <c r="B364" s="35"/>
      <c r="C364" s="35"/>
      <c r="D364" s="35"/>
      <c r="E364" s="35"/>
      <c r="F364" s="35"/>
      <c r="G364" s="35"/>
      <c r="H364" s="35"/>
      <c r="I364" s="35"/>
      <c r="J364" s="35"/>
      <c r="K364" s="35"/>
      <c r="L364" s="35"/>
      <c r="M364" s="35"/>
      <c r="N364" s="35"/>
      <c r="O364" s="35"/>
      <c r="P364" s="35"/>
      <c r="Q364" s="35"/>
      <c r="R364" s="35"/>
      <c r="S364" s="35"/>
      <c r="T364" s="35"/>
      <c r="U364" s="35"/>
      <c r="V364" s="35"/>
      <c r="W364" s="35"/>
      <c r="X364" s="35"/>
      <c r="Y364" s="35"/>
      <c r="Z364" s="35"/>
    </row>
    <row r="365" ht="15.75" customHeight="1">
      <c r="A365" s="35"/>
      <c r="B365" s="35"/>
      <c r="C365" s="35"/>
      <c r="D365" s="35"/>
      <c r="E365" s="35"/>
      <c r="F365" s="35"/>
      <c r="G365" s="35"/>
      <c r="H365" s="35"/>
      <c r="I365" s="35"/>
      <c r="J365" s="35"/>
      <c r="K365" s="35"/>
      <c r="L365" s="35"/>
      <c r="M365" s="35"/>
      <c r="N365" s="35"/>
      <c r="O365" s="35"/>
      <c r="P365" s="35"/>
      <c r="Q365" s="35"/>
      <c r="R365" s="35"/>
      <c r="S365" s="35"/>
      <c r="T365" s="35"/>
      <c r="U365" s="35"/>
      <c r="V365" s="35"/>
      <c r="W365" s="35"/>
      <c r="X365" s="35"/>
      <c r="Y365" s="35"/>
      <c r="Z365" s="35"/>
    </row>
    <row r="366" ht="15.75" customHeight="1">
      <c r="A366" s="35"/>
      <c r="B366" s="35"/>
      <c r="C366" s="35"/>
      <c r="D366" s="35"/>
      <c r="E366" s="35"/>
      <c r="F366" s="35"/>
      <c r="G366" s="35"/>
      <c r="H366" s="35"/>
      <c r="I366" s="35"/>
      <c r="J366" s="35"/>
      <c r="K366" s="35"/>
      <c r="L366" s="35"/>
      <c r="M366" s="35"/>
      <c r="N366" s="35"/>
      <c r="O366" s="35"/>
      <c r="P366" s="35"/>
      <c r="Q366" s="35"/>
      <c r="R366" s="35"/>
      <c r="S366" s="35"/>
      <c r="T366" s="35"/>
      <c r="U366" s="35"/>
      <c r="V366" s="35"/>
      <c r="W366" s="35"/>
      <c r="X366" s="35"/>
      <c r="Y366" s="35"/>
      <c r="Z366" s="35"/>
    </row>
    <row r="367" ht="15.75" customHeight="1">
      <c r="A367" s="35"/>
      <c r="B367" s="35"/>
      <c r="C367" s="35"/>
      <c r="D367" s="35"/>
      <c r="E367" s="35"/>
      <c r="F367" s="35"/>
      <c r="G367" s="35"/>
      <c r="H367" s="35"/>
      <c r="I367" s="35"/>
      <c r="J367" s="35"/>
      <c r="K367" s="35"/>
      <c r="L367" s="35"/>
      <c r="M367" s="35"/>
      <c r="N367" s="35"/>
      <c r="O367" s="35"/>
      <c r="P367" s="35"/>
      <c r="Q367" s="35"/>
      <c r="R367" s="35"/>
      <c r="S367" s="35"/>
      <c r="T367" s="35"/>
      <c r="U367" s="35"/>
      <c r="V367" s="35"/>
      <c r="W367" s="35"/>
      <c r="X367" s="35"/>
      <c r="Y367" s="35"/>
      <c r="Z367" s="35"/>
    </row>
    <row r="368" ht="15.75" customHeight="1">
      <c r="A368" s="35"/>
      <c r="B368" s="35"/>
      <c r="C368" s="35"/>
      <c r="D368" s="35"/>
      <c r="E368" s="35"/>
      <c r="F368" s="35"/>
      <c r="G368" s="35"/>
      <c r="H368" s="35"/>
      <c r="I368" s="35"/>
      <c r="J368" s="35"/>
      <c r="K368" s="35"/>
      <c r="L368" s="35"/>
      <c r="M368" s="35"/>
      <c r="N368" s="35"/>
      <c r="O368" s="35"/>
      <c r="P368" s="35"/>
      <c r="Q368" s="35"/>
      <c r="R368" s="35"/>
      <c r="S368" s="35"/>
      <c r="T368" s="35"/>
      <c r="U368" s="35"/>
      <c r="V368" s="35"/>
      <c r="W368" s="35"/>
      <c r="X368" s="35"/>
      <c r="Y368" s="35"/>
      <c r="Z368" s="35"/>
    </row>
    <row r="369" ht="15.75" customHeight="1">
      <c r="A369" s="35"/>
      <c r="B369" s="35"/>
      <c r="C369" s="35"/>
      <c r="D369" s="35"/>
      <c r="E369" s="35"/>
      <c r="F369" s="35"/>
      <c r="G369" s="35"/>
      <c r="H369" s="35"/>
      <c r="I369" s="35"/>
      <c r="J369" s="35"/>
      <c r="K369" s="35"/>
      <c r="L369" s="35"/>
      <c r="M369" s="35"/>
      <c r="N369" s="35"/>
      <c r="O369" s="35"/>
      <c r="P369" s="35"/>
      <c r="Q369" s="35"/>
      <c r="R369" s="35"/>
      <c r="S369" s="35"/>
      <c r="T369" s="35"/>
      <c r="U369" s="35"/>
      <c r="V369" s="35"/>
      <c r="W369" s="35"/>
      <c r="X369" s="35"/>
      <c r="Y369" s="35"/>
      <c r="Z369" s="35"/>
    </row>
    <row r="370" ht="15.75" customHeight="1">
      <c r="A370" s="35"/>
      <c r="B370" s="35"/>
      <c r="C370" s="35"/>
      <c r="D370" s="35"/>
      <c r="E370" s="35"/>
      <c r="F370" s="35"/>
      <c r="G370" s="35"/>
      <c r="H370" s="35"/>
      <c r="I370" s="35"/>
      <c r="J370" s="35"/>
      <c r="K370" s="35"/>
      <c r="L370" s="35"/>
      <c r="M370" s="35"/>
      <c r="N370" s="35"/>
      <c r="O370" s="35"/>
      <c r="P370" s="35"/>
      <c r="Q370" s="35"/>
      <c r="R370" s="35"/>
      <c r="S370" s="35"/>
      <c r="T370" s="35"/>
      <c r="U370" s="35"/>
      <c r="V370" s="35"/>
      <c r="W370" s="35"/>
      <c r="X370" s="35"/>
      <c r="Y370" s="35"/>
      <c r="Z370" s="35"/>
    </row>
    <row r="371" ht="15.75" customHeight="1">
      <c r="A371" s="35"/>
      <c r="B371" s="35"/>
      <c r="C371" s="35"/>
      <c r="D371" s="35"/>
      <c r="E371" s="35"/>
      <c r="F371" s="35"/>
      <c r="G371" s="35"/>
      <c r="H371" s="35"/>
      <c r="I371" s="35"/>
      <c r="J371" s="35"/>
      <c r="K371" s="35"/>
      <c r="L371" s="35"/>
      <c r="M371" s="35"/>
      <c r="N371" s="35"/>
      <c r="O371" s="35"/>
      <c r="P371" s="35"/>
      <c r="Q371" s="35"/>
      <c r="R371" s="35"/>
      <c r="S371" s="35"/>
      <c r="T371" s="35"/>
      <c r="U371" s="35"/>
      <c r="V371" s="35"/>
      <c r="W371" s="35"/>
      <c r="X371" s="35"/>
      <c r="Y371" s="35"/>
      <c r="Z371" s="35"/>
    </row>
    <row r="372" ht="15.75" customHeight="1">
      <c r="A372" s="35"/>
      <c r="B372" s="35"/>
      <c r="C372" s="35"/>
      <c r="D372" s="35"/>
      <c r="E372" s="35"/>
      <c r="F372" s="35"/>
      <c r="G372" s="35"/>
      <c r="H372" s="35"/>
      <c r="I372" s="35"/>
      <c r="J372" s="35"/>
      <c r="K372" s="35"/>
      <c r="L372" s="35"/>
      <c r="M372" s="35"/>
      <c r="N372" s="35"/>
      <c r="O372" s="35"/>
      <c r="P372" s="35"/>
      <c r="Q372" s="35"/>
      <c r="R372" s="35"/>
      <c r="S372" s="35"/>
      <c r="T372" s="35"/>
      <c r="U372" s="35"/>
      <c r="V372" s="35"/>
      <c r="W372" s="35"/>
      <c r="X372" s="35"/>
      <c r="Y372" s="35"/>
      <c r="Z372" s="35"/>
    </row>
    <row r="373" ht="15.75" customHeight="1">
      <c r="A373" s="35"/>
      <c r="B373" s="35"/>
      <c r="C373" s="35"/>
      <c r="D373" s="35"/>
      <c r="E373" s="35"/>
      <c r="F373" s="35"/>
      <c r="G373" s="35"/>
      <c r="H373" s="35"/>
      <c r="I373" s="35"/>
      <c r="J373" s="35"/>
      <c r="K373" s="35"/>
      <c r="L373" s="35"/>
      <c r="M373" s="35"/>
      <c r="N373" s="35"/>
      <c r="O373" s="35"/>
      <c r="P373" s="35"/>
      <c r="Q373" s="35"/>
      <c r="R373" s="35"/>
      <c r="S373" s="35"/>
      <c r="T373" s="35"/>
      <c r="U373" s="35"/>
      <c r="V373" s="35"/>
      <c r="W373" s="35"/>
      <c r="X373" s="35"/>
      <c r="Y373" s="35"/>
      <c r="Z373" s="35"/>
    </row>
    <row r="374" ht="15.75" customHeight="1">
      <c r="A374" s="35"/>
      <c r="B374" s="35"/>
      <c r="C374" s="35"/>
      <c r="D374" s="35"/>
      <c r="E374" s="35"/>
      <c r="F374" s="35"/>
      <c r="G374" s="35"/>
      <c r="H374" s="35"/>
      <c r="I374" s="35"/>
      <c r="J374" s="35"/>
      <c r="K374" s="35"/>
      <c r="L374" s="35"/>
      <c r="M374" s="35"/>
      <c r="N374" s="35"/>
      <c r="O374" s="35"/>
      <c r="P374" s="35"/>
      <c r="Q374" s="35"/>
      <c r="R374" s="35"/>
      <c r="S374" s="35"/>
      <c r="T374" s="35"/>
      <c r="U374" s="35"/>
      <c r="V374" s="35"/>
      <c r="W374" s="35"/>
      <c r="X374" s="35"/>
      <c r="Y374" s="35"/>
      <c r="Z374" s="35"/>
    </row>
    <row r="375" ht="15.75" customHeight="1">
      <c r="A375" s="35"/>
      <c r="B375" s="35"/>
      <c r="C375" s="35"/>
      <c r="D375" s="35"/>
      <c r="E375" s="35"/>
      <c r="F375" s="35"/>
      <c r="G375" s="35"/>
      <c r="H375" s="35"/>
      <c r="I375" s="35"/>
      <c r="J375" s="35"/>
      <c r="K375" s="35"/>
      <c r="L375" s="35"/>
      <c r="M375" s="35"/>
      <c r="N375" s="35"/>
      <c r="O375" s="35"/>
      <c r="P375" s="35"/>
      <c r="Q375" s="35"/>
      <c r="R375" s="35"/>
      <c r="S375" s="35"/>
      <c r="T375" s="35"/>
      <c r="U375" s="35"/>
      <c r="V375" s="35"/>
      <c r="W375" s="35"/>
      <c r="X375" s="35"/>
      <c r="Y375" s="35"/>
      <c r="Z375" s="35"/>
    </row>
    <row r="376" ht="15.75" customHeight="1">
      <c r="A376" s="35"/>
      <c r="B376" s="35"/>
      <c r="C376" s="35"/>
      <c r="D376" s="35"/>
      <c r="E376" s="35"/>
      <c r="F376" s="35"/>
      <c r="G376" s="35"/>
      <c r="H376" s="35"/>
      <c r="I376" s="35"/>
      <c r="J376" s="35"/>
      <c r="K376" s="35"/>
      <c r="L376" s="35"/>
      <c r="M376" s="35"/>
      <c r="N376" s="35"/>
      <c r="O376" s="35"/>
      <c r="P376" s="35"/>
      <c r="Q376" s="35"/>
      <c r="R376" s="35"/>
      <c r="S376" s="35"/>
      <c r="T376" s="35"/>
      <c r="U376" s="35"/>
      <c r="V376" s="35"/>
      <c r="W376" s="35"/>
      <c r="X376" s="35"/>
      <c r="Y376" s="35"/>
      <c r="Z376" s="35"/>
    </row>
    <row r="377" ht="15.75" customHeight="1">
      <c r="A377" s="35"/>
      <c r="B377" s="35"/>
      <c r="C377" s="35"/>
      <c r="D377" s="35"/>
      <c r="E377" s="35"/>
      <c r="F377" s="35"/>
      <c r="G377" s="35"/>
      <c r="H377" s="35"/>
      <c r="I377" s="35"/>
      <c r="J377" s="35"/>
      <c r="K377" s="35"/>
      <c r="L377" s="35"/>
      <c r="M377" s="35"/>
      <c r="N377" s="35"/>
      <c r="O377" s="35"/>
      <c r="P377" s="35"/>
      <c r="Q377" s="35"/>
      <c r="R377" s="35"/>
      <c r="S377" s="35"/>
      <c r="T377" s="35"/>
      <c r="U377" s="35"/>
      <c r="V377" s="35"/>
      <c r="W377" s="35"/>
      <c r="X377" s="35"/>
      <c r="Y377" s="35"/>
      <c r="Z377" s="35"/>
    </row>
    <row r="378" ht="15.75" customHeight="1">
      <c r="A378" s="35"/>
      <c r="B378" s="35"/>
      <c r="C378" s="35"/>
      <c r="D378" s="35"/>
      <c r="E378" s="35"/>
      <c r="F378" s="35"/>
      <c r="G378" s="35"/>
      <c r="H378" s="35"/>
      <c r="I378" s="35"/>
      <c r="J378" s="35"/>
      <c r="K378" s="35"/>
      <c r="L378" s="35"/>
      <c r="M378" s="35"/>
      <c r="N378" s="35"/>
      <c r="O378" s="35"/>
      <c r="P378" s="35"/>
      <c r="Q378" s="35"/>
      <c r="R378" s="35"/>
      <c r="S378" s="35"/>
      <c r="T378" s="35"/>
      <c r="U378" s="35"/>
      <c r="V378" s="35"/>
      <c r="W378" s="35"/>
      <c r="X378" s="35"/>
      <c r="Y378" s="35"/>
      <c r="Z378" s="35"/>
    </row>
    <row r="379" ht="15.75" customHeight="1">
      <c r="A379" s="35"/>
      <c r="B379" s="35"/>
      <c r="C379" s="35"/>
      <c r="D379" s="35"/>
      <c r="E379" s="35"/>
      <c r="F379" s="35"/>
      <c r="G379" s="35"/>
      <c r="H379" s="35"/>
      <c r="I379" s="35"/>
      <c r="J379" s="35"/>
      <c r="K379" s="35"/>
      <c r="L379" s="35"/>
      <c r="M379" s="35"/>
      <c r="N379" s="35"/>
      <c r="O379" s="35"/>
      <c r="P379" s="35"/>
      <c r="Q379" s="35"/>
      <c r="R379" s="35"/>
      <c r="S379" s="35"/>
      <c r="T379" s="35"/>
      <c r="U379" s="35"/>
      <c r="V379" s="35"/>
      <c r="W379" s="35"/>
      <c r="X379" s="35"/>
      <c r="Y379" s="35"/>
      <c r="Z379" s="35"/>
    </row>
    <row r="380" ht="15.75" customHeight="1">
      <c r="A380" s="35"/>
      <c r="B380" s="35"/>
      <c r="C380" s="35"/>
      <c r="D380" s="35"/>
      <c r="E380" s="35"/>
      <c r="F380" s="35"/>
      <c r="G380" s="35"/>
      <c r="H380" s="35"/>
      <c r="I380" s="35"/>
      <c r="J380" s="35"/>
      <c r="K380" s="35"/>
      <c r="L380" s="35"/>
      <c r="M380" s="35"/>
      <c r="N380" s="35"/>
      <c r="O380" s="35"/>
      <c r="P380" s="35"/>
      <c r="Q380" s="35"/>
      <c r="R380" s="35"/>
      <c r="S380" s="35"/>
      <c r="T380" s="35"/>
      <c r="U380" s="35"/>
      <c r="V380" s="35"/>
      <c r="W380" s="35"/>
      <c r="X380" s="35"/>
      <c r="Y380" s="35"/>
      <c r="Z380" s="35"/>
    </row>
    <row r="381" ht="15.75" customHeight="1">
      <c r="A381" s="35"/>
      <c r="B381" s="35"/>
      <c r="C381" s="35"/>
      <c r="D381" s="35"/>
      <c r="E381" s="35"/>
      <c r="F381" s="35"/>
      <c r="G381" s="35"/>
      <c r="H381" s="35"/>
      <c r="I381" s="35"/>
      <c r="J381" s="35"/>
      <c r="K381" s="35"/>
      <c r="L381" s="35"/>
      <c r="M381" s="35"/>
      <c r="N381" s="35"/>
      <c r="O381" s="35"/>
      <c r="P381" s="35"/>
      <c r="Q381" s="35"/>
      <c r="R381" s="35"/>
      <c r="S381" s="35"/>
      <c r="T381" s="35"/>
      <c r="U381" s="35"/>
      <c r="V381" s="35"/>
      <c r="W381" s="35"/>
      <c r="X381" s="35"/>
      <c r="Y381" s="35"/>
      <c r="Z381" s="35"/>
    </row>
    <row r="382" ht="15.75" customHeight="1">
      <c r="A382" s="35"/>
      <c r="B382" s="35"/>
      <c r="C382" s="35"/>
      <c r="D382" s="35"/>
      <c r="E382" s="35"/>
      <c r="F382" s="35"/>
      <c r="G382" s="35"/>
      <c r="H382" s="35"/>
      <c r="I382" s="35"/>
      <c r="J382" s="35"/>
      <c r="K382" s="35"/>
      <c r="L382" s="35"/>
      <c r="M382" s="35"/>
      <c r="N382" s="35"/>
      <c r="O382" s="35"/>
      <c r="P382" s="35"/>
      <c r="Q382" s="35"/>
      <c r="R382" s="35"/>
      <c r="S382" s="35"/>
      <c r="T382" s="35"/>
      <c r="U382" s="35"/>
      <c r="V382" s="35"/>
      <c r="W382" s="35"/>
      <c r="X382" s="35"/>
      <c r="Y382" s="35"/>
      <c r="Z382" s="35"/>
    </row>
    <row r="383" ht="15.75" customHeight="1">
      <c r="A383" s="35"/>
      <c r="B383" s="35"/>
      <c r="C383" s="35"/>
      <c r="D383" s="35"/>
      <c r="E383" s="35"/>
      <c r="F383" s="35"/>
      <c r="G383" s="35"/>
      <c r="H383" s="35"/>
      <c r="I383" s="35"/>
      <c r="J383" s="35"/>
      <c r="K383" s="35"/>
      <c r="L383" s="35"/>
      <c r="M383" s="35"/>
      <c r="N383" s="35"/>
      <c r="O383" s="35"/>
      <c r="P383" s="35"/>
      <c r="Q383" s="35"/>
      <c r="R383" s="35"/>
      <c r="S383" s="35"/>
      <c r="T383" s="35"/>
      <c r="U383" s="35"/>
      <c r="V383" s="35"/>
      <c r="W383" s="35"/>
      <c r="X383" s="35"/>
      <c r="Y383" s="35"/>
      <c r="Z383" s="35"/>
    </row>
    <row r="384" ht="15.75" customHeight="1">
      <c r="A384" s="35"/>
      <c r="B384" s="35"/>
      <c r="C384" s="35"/>
      <c r="D384" s="35"/>
      <c r="E384" s="35"/>
      <c r="F384" s="35"/>
      <c r="G384" s="35"/>
      <c r="H384" s="35"/>
      <c r="I384" s="35"/>
      <c r="J384" s="35"/>
      <c r="K384" s="35"/>
      <c r="L384" s="35"/>
      <c r="M384" s="35"/>
      <c r="N384" s="35"/>
      <c r="O384" s="35"/>
      <c r="P384" s="35"/>
      <c r="Q384" s="35"/>
      <c r="R384" s="35"/>
      <c r="S384" s="35"/>
      <c r="T384" s="35"/>
      <c r="U384" s="35"/>
      <c r="V384" s="35"/>
      <c r="W384" s="35"/>
      <c r="X384" s="35"/>
      <c r="Y384" s="35"/>
      <c r="Z384" s="35"/>
    </row>
    <row r="385" ht="15.75" customHeight="1">
      <c r="A385" s="35"/>
      <c r="B385" s="35"/>
      <c r="C385" s="35"/>
      <c r="D385" s="35"/>
      <c r="E385" s="35"/>
      <c r="F385" s="35"/>
      <c r="G385" s="35"/>
      <c r="H385" s="35"/>
      <c r="I385" s="35"/>
      <c r="J385" s="35"/>
      <c r="K385" s="35"/>
      <c r="L385" s="35"/>
      <c r="M385" s="35"/>
      <c r="N385" s="35"/>
      <c r="O385" s="35"/>
      <c r="P385" s="35"/>
      <c r="Q385" s="35"/>
      <c r="R385" s="35"/>
      <c r="S385" s="35"/>
      <c r="T385" s="35"/>
      <c r="U385" s="35"/>
      <c r="V385" s="35"/>
      <c r="W385" s="35"/>
      <c r="X385" s="35"/>
      <c r="Y385" s="35"/>
      <c r="Z385" s="35"/>
    </row>
    <row r="386" ht="15.75" customHeight="1">
      <c r="A386" s="35"/>
      <c r="B386" s="35"/>
      <c r="C386" s="35"/>
      <c r="D386" s="35"/>
      <c r="E386" s="35"/>
      <c r="F386" s="35"/>
      <c r="G386" s="35"/>
      <c r="H386" s="35"/>
      <c r="I386" s="35"/>
      <c r="J386" s="35"/>
      <c r="K386" s="35"/>
      <c r="L386" s="35"/>
      <c r="M386" s="35"/>
      <c r="N386" s="35"/>
      <c r="O386" s="35"/>
      <c r="P386" s="35"/>
      <c r="Q386" s="35"/>
      <c r="R386" s="35"/>
      <c r="S386" s="35"/>
      <c r="T386" s="35"/>
      <c r="U386" s="35"/>
      <c r="V386" s="35"/>
      <c r="W386" s="35"/>
      <c r="X386" s="35"/>
      <c r="Y386" s="35"/>
      <c r="Z386" s="35"/>
    </row>
    <row r="387" ht="15.75" customHeight="1">
      <c r="A387" s="35"/>
      <c r="B387" s="35"/>
      <c r="C387" s="35"/>
      <c r="D387" s="35"/>
      <c r="E387" s="35"/>
      <c r="F387" s="35"/>
      <c r="G387" s="35"/>
      <c r="H387" s="35"/>
      <c r="I387" s="35"/>
      <c r="J387" s="35"/>
      <c r="K387" s="35"/>
      <c r="L387" s="35"/>
      <c r="M387" s="35"/>
      <c r="N387" s="35"/>
      <c r="O387" s="35"/>
      <c r="P387" s="35"/>
      <c r="Q387" s="35"/>
      <c r="R387" s="35"/>
      <c r="S387" s="35"/>
      <c r="T387" s="35"/>
      <c r="U387" s="35"/>
      <c r="V387" s="35"/>
      <c r="W387" s="35"/>
      <c r="X387" s="35"/>
      <c r="Y387" s="35"/>
      <c r="Z387" s="35"/>
    </row>
    <row r="388" ht="15.75" customHeight="1">
      <c r="A388" s="35"/>
      <c r="B388" s="35"/>
      <c r="C388" s="35"/>
      <c r="D388" s="35"/>
      <c r="E388" s="35"/>
      <c r="F388" s="35"/>
      <c r="G388" s="35"/>
      <c r="H388" s="35"/>
      <c r="I388" s="35"/>
      <c r="J388" s="35"/>
      <c r="K388" s="35"/>
      <c r="L388" s="35"/>
      <c r="M388" s="35"/>
      <c r="N388" s="35"/>
      <c r="O388" s="35"/>
      <c r="P388" s="35"/>
      <c r="Q388" s="35"/>
      <c r="R388" s="35"/>
      <c r="S388" s="35"/>
      <c r="T388" s="35"/>
      <c r="U388" s="35"/>
      <c r="V388" s="35"/>
      <c r="W388" s="35"/>
      <c r="X388" s="35"/>
      <c r="Y388" s="35"/>
      <c r="Z388" s="35"/>
    </row>
    <row r="389" ht="15.75" customHeight="1">
      <c r="A389" s="35"/>
      <c r="B389" s="35"/>
      <c r="C389" s="35"/>
      <c r="D389" s="35"/>
      <c r="E389" s="35"/>
      <c r="F389" s="35"/>
      <c r="G389" s="35"/>
      <c r="H389" s="35"/>
      <c r="I389" s="35"/>
      <c r="J389" s="35"/>
      <c r="K389" s="35"/>
      <c r="L389" s="35"/>
      <c r="M389" s="35"/>
      <c r="N389" s="35"/>
      <c r="O389" s="35"/>
      <c r="P389" s="35"/>
      <c r="Q389" s="35"/>
      <c r="R389" s="35"/>
      <c r="S389" s="35"/>
      <c r="T389" s="35"/>
      <c r="U389" s="35"/>
      <c r="V389" s="35"/>
      <c r="W389" s="35"/>
      <c r="X389" s="35"/>
      <c r="Y389" s="35"/>
      <c r="Z389" s="35"/>
    </row>
    <row r="390" ht="15.75" customHeight="1">
      <c r="A390" s="35"/>
      <c r="B390" s="35"/>
      <c r="C390" s="35"/>
      <c r="D390" s="35"/>
      <c r="E390" s="35"/>
      <c r="F390" s="35"/>
      <c r="G390" s="35"/>
      <c r="H390" s="35"/>
      <c r="I390" s="35"/>
      <c r="J390" s="35"/>
      <c r="K390" s="35"/>
      <c r="L390" s="35"/>
      <c r="M390" s="35"/>
      <c r="N390" s="35"/>
      <c r="O390" s="35"/>
      <c r="P390" s="35"/>
      <c r="Q390" s="35"/>
      <c r="R390" s="35"/>
      <c r="S390" s="35"/>
      <c r="T390" s="35"/>
      <c r="U390" s="35"/>
      <c r="V390" s="35"/>
      <c r="W390" s="35"/>
      <c r="X390" s="35"/>
      <c r="Y390" s="35"/>
      <c r="Z390" s="35"/>
    </row>
    <row r="391" ht="15.75" customHeight="1">
      <c r="A391" s="35"/>
      <c r="B391" s="35"/>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row>
    <row r="392" ht="15.75" customHeight="1">
      <c r="A392" s="35"/>
      <c r="B392" s="35"/>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row>
    <row r="393" ht="15.75" customHeight="1">
      <c r="A393" s="35"/>
      <c r="B393" s="35"/>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row>
    <row r="394" ht="15.75" customHeight="1">
      <c r="A394" s="35"/>
      <c r="B394" s="35"/>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row>
    <row r="395" ht="15.75" customHeight="1">
      <c r="A395" s="35"/>
      <c r="B395" s="35"/>
      <c r="C395" s="35"/>
      <c r="D395" s="35"/>
      <c r="E395" s="35"/>
      <c r="F395" s="35"/>
      <c r="G395" s="35"/>
      <c r="H395" s="35"/>
      <c r="I395" s="35"/>
      <c r="J395" s="35"/>
      <c r="K395" s="35"/>
      <c r="L395" s="35"/>
      <c r="M395" s="35"/>
      <c r="N395" s="35"/>
      <c r="O395" s="35"/>
      <c r="P395" s="35"/>
      <c r="Q395" s="35"/>
      <c r="R395" s="35"/>
      <c r="S395" s="35"/>
      <c r="T395" s="35"/>
      <c r="U395" s="35"/>
      <c r="V395" s="35"/>
      <c r="W395" s="35"/>
      <c r="X395" s="35"/>
      <c r="Y395" s="35"/>
      <c r="Z395" s="35"/>
    </row>
    <row r="396" ht="15.75" customHeight="1">
      <c r="A396" s="35"/>
      <c r="B396" s="35"/>
      <c r="C396" s="35"/>
      <c r="D396" s="35"/>
      <c r="E396" s="35"/>
      <c r="F396" s="35"/>
      <c r="G396" s="35"/>
      <c r="H396" s="35"/>
      <c r="I396" s="35"/>
      <c r="J396" s="35"/>
      <c r="K396" s="35"/>
      <c r="L396" s="35"/>
      <c r="M396" s="35"/>
      <c r="N396" s="35"/>
      <c r="O396" s="35"/>
      <c r="P396" s="35"/>
      <c r="Q396" s="35"/>
      <c r="R396" s="35"/>
      <c r="S396" s="35"/>
      <c r="T396" s="35"/>
      <c r="U396" s="35"/>
      <c r="V396" s="35"/>
      <c r="W396" s="35"/>
      <c r="X396" s="35"/>
      <c r="Y396" s="35"/>
      <c r="Z396" s="35"/>
    </row>
    <row r="397" ht="15.75" customHeight="1">
      <c r="A397" s="35"/>
      <c r="B397" s="35"/>
      <c r="C397" s="35"/>
      <c r="D397" s="35"/>
      <c r="E397" s="35"/>
      <c r="F397" s="35"/>
      <c r="G397" s="35"/>
      <c r="H397" s="35"/>
      <c r="I397" s="35"/>
      <c r="J397" s="35"/>
      <c r="K397" s="35"/>
      <c r="L397" s="35"/>
      <c r="M397" s="35"/>
      <c r="N397" s="35"/>
      <c r="O397" s="35"/>
      <c r="P397" s="35"/>
      <c r="Q397" s="35"/>
      <c r="R397" s="35"/>
      <c r="S397" s="35"/>
      <c r="T397" s="35"/>
      <c r="U397" s="35"/>
      <c r="V397" s="35"/>
      <c r="W397" s="35"/>
      <c r="X397" s="35"/>
      <c r="Y397" s="35"/>
      <c r="Z397" s="35"/>
    </row>
    <row r="398" ht="15.75" customHeight="1">
      <c r="A398" s="35"/>
      <c r="B398" s="35"/>
      <c r="C398" s="35"/>
      <c r="D398" s="35"/>
      <c r="E398" s="35"/>
      <c r="F398" s="35"/>
      <c r="G398" s="35"/>
      <c r="H398" s="35"/>
      <c r="I398" s="35"/>
      <c r="J398" s="35"/>
      <c r="K398" s="35"/>
      <c r="L398" s="35"/>
      <c r="M398" s="35"/>
      <c r="N398" s="35"/>
      <c r="O398" s="35"/>
      <c r="P398" s="35"/>
      <c r="Q398" s="35"/>
      <c r="R398" s="35"/>
      <c r="S398" s="35"/>
      <c r="T398" s="35"/>
      <c r="U398" s="35"/>
      <c r="V398" s="35"/>
      <c r="W398" s="35"/>
      <c r="X398" s="35"/>
      <c r="Y398" s="35"/>
      <c r="Z398" s="35"/>
    </row>
    <row r="399" ht="15.75" customHeight="1">
      <c r="A399" s="35"/>
      <c r="B399" s="35"/>
      <c r="C399" s="35"/>
      <c r="D399" s="35"/>
      <c r="E399" s="35"/>
      <c r="F399" s="35"/>
      <c r="G399" s="35"/>
      <c r="H399" s="35"/>
      <c r="I399" s="35"/>
      <c r="J399" s="35"/>
      <c r="K399" s="35"/>
      <c r="L399" s="35"/>
      <c r="M399" s="35"/>
      <c r="N399" s="35"/>
      <c r="O399" s="35"/>
      <c r="P399" s="35"/>
      <c r="Q399" s="35"/>
      <c r="R399" s="35"/>
      <c r="S399" s="35"/>
      <c r="T399" s="35"/>
      <c r="U399" s="35"/>
      <c r="V399" s="35"/>
      <c r="W399" s="35"/>
      <c r="X399" s="35"/>
      <c r="Y399" s="35"/>
      <c r="Z399" s="35"/>
    </row>
    <row r="400" ht="15.75" customHeight="1">
      <c r="A400" s="35"/>
      <c r="B400" s="35"/>
      <c r="C400" s="35"/>
      <c r="D400" s="35"/>
      <c r="E400" s="35"/>
      <c r="F400" s="35"/>
      <c r="G400" s="35"/>
      <c r="H400" s="35"/>
      <c r="I400" s="35"/>
      <c r="J400" s="35"/>
      <c r="K400" s="35"/>
      <c r="L400" s="35"/>
      <c r="M400" s="35"/>
      <c r="N400" s="35"/>
      <c r="O400" s="35"/>
      <c r="P400" s="35"/>
      <c r="Q400" s="35"/>
      <c r="R400" s="35"/>
      <c r="S400" s="35"/>
      <c r="T400" s="35"/>
      <c r="U400" s="35"/>
      <c r="V400" s="35"/>
      <c r="W400" s="35"/>
      <c r="X400" s="35"/>
      <c r="Y400" s="35"/>
      <c r="Z400" s="35"/>
    </row>
    <row r="401" ht="15.75" customHeight="1">
      <c r="A401" s="35"/>
      <c r="B401" s="35"/>
      <c r="C401" s="35"/>
      <c r="D401" s="35"/>
      <c r="E401" s="35"/>
      <c r="F401" s="35"/>
      <c r="G401" s="35"/>
      <c r="H401" s="35"/>
      <c r="I401" s="35"/>
      <c r="J401" s="35"/>
      <c r="K401" s="35"/>
      <c r="L401" s="35"/>
      <c r="M401" s="35"/>
      <c r="N401" s="35"/>
      <c r="O401" s="35"/>
      <c r="P401" s="35"/>
      <c r="Q401" s="35"/>
      <c r="R401" s="35"/>
      <c r="S401" s="35"/>
      <c r="T401" s="35"/>
      <c r="U401" s="35"/>
      <c r="V401" s="35"/>
      <c r="W401" s="35"/>
      <c r="X401" s="35"/>
      <c r="Y401" s="35"/>
      <c r="Z401" s="35"/>
    </row>
    <row r="402" ht="15.75" customHeight="1">
      <c r="A402" s="35"/>
      <c r="B402" s="35"/>
      <c r="C402" s="35"/>
      <c r="D402" s="35"/>
      <c r="E402" s="35"/>
      <c r="F402" s="35"/>
      <c r="G402" s="35"/>
      <c r="H402" s="35"/>
      <c r="I402" s="35"/>
      <c r="J402" s="35"/>
      <c r="K402" s="35"/>
      <c r="L402" s="35"/>
      <c r="M402" s="35"/>
      <c r="N402" s="35"/>
      <c r="O402" s="35"/>
      <c r="P402" s="35"/>
      <c r="Q402" s="35"/>
      <c r="R402" s="35"/>
      <c r="S402" s="35"/>
      <c r="T402" s="35"/>
      <c r="U402" s="35"/>
      <c r="V402" s="35"/>
      <c r="W402" s="35"/>
      <c r="X402" s="35"/>
      <c r="Y402" s="35"/>
      <c r="Z402" s="35"/>
    </row>
    <row r="403" ht="15.75" customHeight="1">
      <c r="A403" s="35"/>
      <c r="B403" s="35"/>
      <c r="C403" s="35"/>
      <c r="D403" s="35"/>
      <c r="E403" s="35"/>
      <c r="F403" s="35"/>
      <c r="G403" s="35"/>
      <c r="H403" s="35"/>
      <c r="I403" s="35"/>
      <c r="J403" s="35"/>
      <c r="K403" s="35"/>
      <c r="L403" s="35"/>
      <c r="M403" s="35"/>
      <c r="N403" s="35"/>
      <c r="O403" s="35"/>
      <c r="P403" s="35"/>
      <c r="Q403" s="35"/>
      <c r="R403" s="35"/>
      <c r="S403" s="35"/>
      <c r="T403" s="35"/>
      <c r="U403" s="35"/>
      <c r="V403" s="35"/>
      <c r="W403" s="35"/>
      <c r="X403" s="35"/>
      <c r="Y403" s="35"/>
      <c r="Z403" s="35"/>
    </row>
    <row r="404" ht="15.75" customHeight="1">
      <c r="A404" s="35"/>
      <c r="B404" s="35"/>
      <c r="C404" s="35"/>
      <c r="D404" s="35"/>
      <c r="E404" s="35"/>
      <c r="F404" s="35"/>
      <c r="G404" s="35"/>
      <c r="H404" s="35"/>
      <c r="I404" s="35"/>
      <c r="J404" s="35"/>
      <c r="K404" s="35"/>
      <c r="L404" s="35"/>
      <c r="M404" s="35"/>
      <c r="N404" s="35"/>
      <c r="O404" s="35"/>
      <c r="P404" s="35"/>
      <c r="Q404" s="35"/>
      <c r="R404" s="35"/>
      <c r="S404" s="35"/>
      <c r="T404" s="35"/>
      <c r="U404" s="35"/>
      <c r="V404" s="35"/>
      <c r="W404" s="35"/>
      <c r="X404" s="35"/>
      <c r="Y404" s="35"/>
      <c r="Z404" s="35"/>
    </row>
    <row r="405" ht="15.75" customHeight="1">
      <c r="A405" s="35"/>
      <c r="B405" s="35"/>
      <c r="C405" s="35"/>
      <c r="D405" s="35"/>
      <c r="E405" s="35"/>
      <c r="F405" s="35"/>
      <c r="G405" s="35"/>
      <c r="H405" s="35"/>
      <c r="I405" s="35"/>
      <c r="J405" s="35"/>
      <c r="K405" s="35"/>
      <c r="L405" s="35"/>
      <c r="M405" s="35"/>
      <c r="N405" s="35"/>
      <c r="O405" s="35"/>
      <c r="P405" s="35"/>
      <c r="Q405" s="35"/>
      <c r="R405" s="35"/>
      <c r="S405" s="35"/>
      <c r="T405" s="35"/>
      <c r="U405" s="35"/>
      <c r="V405" s="35"/>
      <c r="W405" s="35"/>
      <c r="X405" s="35"/>
      <c r="Y405" s="35"/>
      <c r="Z405" s="35"/>
    </row>
    <row r="406" ht="15.75" customHeight="1">
      <c r="A406" s="35"/>
      <c r="B406" s="35"/>
      <c r="C406" s="35"/>
      <c r="D406" s="35"/>
      <c r="E406" s="35"/>
      <c r="F406" s="35"/>
      <c r="G406" s="35"/>
      <c r="H406" s="35"/>
      <c r="I406" s="35"/>
      <c r="J406" s="35"/>
      <c r="K406" s="35"/>
      <c r="L406" s="35"/>
      <c r="M406" s="35"/>
      <c r="N406" s="35"/>
      <c r="O406" s="35"/>
      <c r="P406" s="35"/>
      <c r="Q406" s="35"/>
      <c r="R406" s="35"/>
      <c r="S406" s="35"/>
      <c r="T406" s="35"/>
      <c r="U406" s="35"/>
      <c r="V406" s="35"/>
      <c r="W406" s="35"/>
      <c r="X406" s="35"/>
      <c r="Y406" s="35"/>
      <c r="Z406" s="35"/>
    </row>
    <row r="407" ht="15.75" customHeight="1">
      <c r="A407" s="35"/>
      <c r="B407" s="35"/>
      <c r="C407" s="35"/>
      <c r="D407" s="35"/>
      <c r="E407" s="35"/>
      <c r="F407" s="35"/>
      <c r="G407" s="35"/>
      <c r="H407" s="35"/>
      <c r="I407" s="35"/>
      <c r="J407" s="35"/>
      <c r="K407" s="35"/>
      <c r="L407" s="35"/>
      <c r="M407" s="35"/>
      <c r="N407" s="35"/>
      <c r="O407" s="35"/>
      <c r="P407" s="35"/>
      <c r="Q407" s="35"/>
      <c r="R407" s="35"/>
      <c r="S407" s="35"/>
      <c r="T407" s="35"/>
      <c r="U407" s="35"/>
      <c r="V407" s="35"/>
      <c r="W407" s="35"/>
      <c r="X407" s="35"/>
      <c r="Y407" s="35"/>
      <c r="Z407" s="35"/>
    </row>
    <row r="408" ht="15.75" customHeight="1">
      <c r="A408" s="35"/>
      <c r="B408" s="35"/>
      <c r="C408" s="35"/>
      <c r="D408" s="35"/>
      <c r="E408" s="35"/>
      <c r="F408" s="35"/>
      <c r="G408" s="35"/>
      <c r="H408" s="35"/>
      <c r="I408" s="35"/>
      <c r="J408" s="35"/>
      <c r="K408" s="35"/>
      <c r="L408" s="35"/>
      <c r="M408" s="35"/>
      <c r="N408" s="35"/>
      <c r="O408" s="35"/>
      <c r="P408" s="35"/>
      <c r="Q408" s="35"/>
      <c r="R408" s="35"/>
      <c r="S408" s="35"/>
      <c r="T408" s="35"/>
      <c r="U408" s="35"/>
      <c r="V408" s="35"/>
      <c r="W408" s="35"/>
      <c r="X408" s="35"/>
      <c r="Y408" s="35"/>
      <c r="Z408" s="35"/>
    </row>
    <row r="409" ht="15.75" customHeight="1">
      <c r="A409" s="35"/>
      <c r="B409" s="35"/>
      <c r="C409" s="35"/>
      <c r="D409" s="35"/>
      <c r="E409" s="35"/>
      <c r="F409" s="35"/>
      <c r="G409" s="35"/>
      <c r="H409" s="35"/>
      <c r="I409" s="35"/>
      <c r="J409" s="35"/>
      <c r="K409" s="35"/>
      <c r="L409" s="35"/>
      <c r="M409" s="35"/>
      <c r="N409" s="35"/>
      <c r="O409" s="35"/>
      <c r="P409" s="35"/>
      <c r="Q409" s="35"/>
      <c r="R409" s="35"/>
      <c r="S409" s="35"/>
      <c r="T409" s="35"/>
      <c r="U409" s="35"/>
      <c r="V409" s="35"/>
      <c r="W409" s="35"/>
      <c r="X409" s="35"/>
      <c r="Y409" s="35"/>
      <c r="Z409" s="35"/>
    </row>
    <row r="410" ht="15.75" customHeight="1">
      <c r="A410" s="35"/>
      <c r="B410" s="35"/>
      <c r="C410" s="35"/>
      <c r="D410" s="35"/>
      <c r="E410" s="35"/>
      <c r="F410" s="35"/>
      <c r="G410" s="35"/>
      <c r="H410" s="35"/>
      <c r="I410" s="35"/>
      <c r="J410" s="35"/>
      <c r="K410" s="35"/>
      <c r="L410" s="35"/>
      <c r="M410" s="35"/>
      <c r="N410" s="35"/>
      <c r="O410" s="35"/>
      <c r="P410" s="35"/>
      <c r="Q410" s="35"/>
      <c r="R410" s="35"/>
      <c r="S410" s="35"/>
      <c r="T410" s="35"/>
      <c r="U410" s="35"/>
      <c r="V410" s="35"/>
      <c r="W410" s="35"/>
      <c r="X410" s="35"/>
      <c r="Y410" s="35"/>
      <c r="Z410" s="35"/>
    </row>
    <row r="411" ht="15.75" customHeight="1">
      <c r="A411" s="35"/>
      <c r="B411" s="35"/>
      <c r="C411" s="35"/>
      <c r="D411" s="35"/>
      <c r="E411" s="35"/>
      <c r="F411" s="35"/>
      <c r="G411" s="35"/>
      <c r="H411" s="35"/>
      <c r="I411" s="35"/>
      <c r="J411" s="35"/>
      <c r="K411" s="35"/>
      <c r="L411" s="35"/>
      <c r="M411" s="35"/>
      <c r="N411" s="35"/>
      <c r="O411" s="35"/>
      <c r="P411" s="35"/>
      <c r="Q411" s="35"/>
      <c r="R411" s="35"/>
      <c r="S411" s="35"/>
      <c r="T411" s="35"/>
      <c r="U411" s="35"/>
      <c r="V411" s="35"/>
      <c r="W411" s="35"/>
      <c r="X411" s="35"/>
      <c r="Y411" s="35"/>
      <c r="Z411" s="35"/>
    </row>
    <row r="412" ht="15.75" customHeight="1">
      <c r="A412" s="35"/>
      <c r="B412" s="35"/>
      <c r="C412" s="35"/>
      <c r="D412" s="35"/>
      <c r="E412" s="35"/>
      <c r="F412" s="35"/>
      <c r="G412" s="35"/>
      <c r="H412" s="35"/>
      <c r="I412" s="35"/>
      <c r="J412" s="35"/>
      <c r="K412" s="35"/>
      <c r="L412" s="35"/>
      <c r="M412" s="35"/>
      <c r="N412" s="35"/>
      <c r="O412" s="35"/>
      <c r="P412" s="35"/>
      <c r="Q412" s="35"/>
      <c r="R412" s="35"/>
      <c r="S412" s="35"/>
      <c r="T412" s="35"/>
      <c r="U412" s="35"/>
      <c r="V412" s="35"/>
      <c r="W412" s="35"/>
      <c r="X412" s="35"/>
      <c r="Y412" s="35"/>
      <c r="Z412" s="35"/>
    </row>
    <row r="413" ht="15.75" customHeight="1">
      <c r="A413" s="35"/>
      <c r="B413" s="35"/>
      <c r="C413" s="35"/>
      <c r="D413" s="35"/>
      <c r="E413" s="35"/>
      <c r="F413" s="35"/>
      <c r="G413" s="35"/>
      <c r="H413" s="35"/>
      <c r="I413" s="35"/>
      <c r="J413" s="35"/>
      <c r="K413" s="35"/>
      <c r="L413" s="35"/>
      <c r="M413" s="35"/>
      <c r="N413" s="35"/>
      <c r="O413" s="35"/>
      <c r="P413" s="35"/>
      <c r="Q413" s="35"/>
      <c r="R413" s="35"/>
      <c r="S413" s="35"/>
      <c r="T413" s="35"/>
      <c r="U413" s="35"/>
      <c r="V413" s="35"/>
      <c r="W413" s="35"/>
      <c r="X413" s="35"/>
      <c r="Y413" s="35"/>
      <c r="Z413" s="35"/>
    </row>
    <row r="414" ht="15.75" customHeight="1">
      <c r="A414" s="35"/>
      <c r="B414" s="35"/>
      <c r="C414" s="35"/>
      <c r="D414" s="35"/>
      <c r="E414" s="35"/>
      <c r="F414" s="35"/>
      <c r="G414" s="35"/>
      <c r="H414" s="35"/>
      <c r="I414" s="35"/>
      <c r="J414" s="35"/>
      <c r="K414" s="35"/>
      <c r="L414" s="35"/>
      <c r="M414" s="35"/>
      <c r="N414" s="35"/>
      <c r="O414" s="35"/>
      <c r="P414" s="35"/>
      <c r="Q414" s="35"/>
      <c r="R414" s="35"/>
      <c r="S414" s="35"/>
      <c r="T414" s="35"/>
      <c r="U414" s="35"/>
      <c r="V414" s="35"/>
      <c r="W414" s="35"/>
      <c r="X414" s="35"/>
      <c r="Y414" s="35"/>
      <c r="Z414" s="35"/>
    </row>
    <row r="415" ht="15.75" customHeight="1">
      <c r="A415" s="35"/>
      <c r="B415" s="35"/>
      <c r="C415" s="35"/>
      <c r="D415" s="35"/>
      <c r="E415" s="35"/>
      <c r="F415" s="35"/>
      <c r="G415" s="35"/>
      <c r="H415" s="35"/>
      <c r="I415" s="35"/>
      <c r="J415" s="35"/>
      <c r="K415" s="35"/>
      <c r="L415" s="35"/>
      <c r="M415" s="35"/>
      <c r="N415" s="35"/>
      <c r="O415" s="35"/>
      <c r="P415" s="35"/>
      <c r="Q415" s="35"/>
      <c r="R415" s="35"/>
      <c r="S415" s="35"/>
      <c r="T415" s="35"/>
      <c r="U415" s="35"/>
      <c r="V415" s="35"/>
      <c r="W415" s="35"/>
      <c r="X415" s="35"/>
      <c r="Y415" s="35"/>
      <c r="Z415" s="35"/>
    </row>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printOptions/>
  <pageMargins bottom="0.75" footer="0.0" header="0.0" left="0.7" right="0.7" top="0.75"/>
  <pageSetup orientation="landscape"/>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workbookViewId="0">
      <pane xSplit="9.0" ySplit="4.0" topLeftCell="J5" activePane="bottomRight" state="frozen"/>
      <selection activeCell="J1" sqref="J1" pane="topRight"/>
      <selection activeCell="A5" sqref="A5" pane="bottomLeft"/>
      <selection activeCell="J5" sqref="J5" pane="bottomRight"/>
    </sheetView>
  </sheetViews>
  <sheetFormatPr customHeight="1" defaultColWidth="14.43" defaultRowHeight="15.75"/>
  <cols>
    <col customWidth="1" min="1" max="1" width="10.57"/>
    <col customWidth="1" min="2" max="2" width="40.43"/>
    <col customWidth="1" min="3" max="4" width="10.14"/>
    <col customWidth="1" hidden="1" min="5" max="8" width="10.14"/>
    <col customWidth="1" min="9" max="9" width="31.57"/>
    <col customWidth="1" min="10" max="12" width="5.71"/>
    <col customWidth="1" min="13" max="13" width="11.57"/>
    <col customWidth="1" min="14" max="14" width="15.29"/>
    <col customWidth="1" min="15" max="16" width="12.71"/>
    <col customWidth="1" min="17" max="17" width="20.86"/>
    <col customWidth="1" hidden="1" min="18" max="19" width="14.86"/>
    <col customWidth="1" hidden="1" min="20" max="20" width="16.43"/>
    <col customWidth="1" min="21" max="21" width="20.43"/>
    <col customWidth="1" min="22" max="22" width="15.0"/>
    <col customWidth="1" min="23" max="23" width="11.86"/>
    <col customWidth="1" min="24" max="24" width="12.57"/>
    <col customWidth="1" min="25" max="25" width="14.86"/>
    <col customWidth="1" min="26" max="29" width="15.0"/>
    <col customWidth="1" min="30" max="33" width="8.86"/>
  </cols>
  <sheetData>
    <row r="1" ht="42.0" customHeight="1">
      <c r="A1" s="252" t="s">
        <v>22156</v>
      </c>
      <c r="B1" s="71"/>
      <c r="C1" s="71"/>
      <c r="D1" s="71"/>
      <c r="E1" s="71"/>
      <c r="F1" s="71"/>
      <c r="G1" s="71"/>
      <c r="H1" s="71"/>
      <c r="I1" s="71"/>
      <c r="J1" s="71"/>
      <c r="K1" s="71"/>
      <c r="L1" s="71"/>
      <c r="M1" s="71"/>
      <c r="N1" s="71"/>
      <c r="O1" s="71"/>
      <c r="P1" s="71"/>
      <c r="Q1" s="71"/>
      <c r="R1" s="71"/>
      <c r="S1" s="71"/>
      <c r="T1" s="71"/>
      <c r="U1" s="71"/>
      <c r="V1" s="71"/>
      <c r="W1" s="71"/>
      <c r="X1" s="71"/>
      <c r="Y1" s="71"/>
      <c r="Z1" s="71"/>
      <c r="AA1" s="71"/>
      <c r="AB1" s="71"/>
      <c r="AC1" s="71"/>
      <c r="AD1" s="253"/>
      <c r="AE1" s="253"/>
      <c r="AF1" s="253"/>
      <c r="AG1" s="253"/>
    </row>
    <row r="2" ht="21.0" customHeight="1">
      <c r="A2" s="76" t="s">
        <v>12329</v>
      </c>
      <c r="B2" s="76" t="s">
        <v>687</v>
      </c>
      <c r="C2" s="76" t="s">
        <v>40</v>
      </c>
      <c r="D2" s="76" t="s">
        <v>40</v>
      </c>
      <c r="E2" s="76" t="s">
        <v>40</v>
      </c>
      <c r="F2" s="76" t="s">
        <v>40</v>
      </c>
      <c r="G2" s="76" t="s">
        <v>40</v>
      </c>
      <c r="H2" s="76" t="s">
        <v>40</v>
      </c>
      <c r="I2" s="76" t="s">
        <v>18702</v>
      </c>
      <c r="J2" s="77" t="s">
        <v>22157</v>
      </c>
      <c r="K2" s="77" t="s">
        <v>12330</v>
      </c>
      <c r="L2" s="77" t="s">
        <v>12331</v>
      </c>
      <c r="M2" s="254"/>
      <c r="N2" s="76" t="s">
        <v>36</v>
      </c>
      <c r="O2" s="81" t="s">
        <v>12332</v>
      </c>
      <c r="P2" s="81" t="s">
        <v>22158</v>
      </c>
      <c r="Q2" s="81" t="s">
        <v>12334</v>
      </c>
      <c r="R2" s="85" t="s">
        <v>12335</v>
      </c>
      <c r="S2" s="86"/>
      <c r="T2" s="87"/>
      <c r="U2" s="81" t="s">
        <v>666</v>
      </c>
      <c r="V2" s="81" t="s">
        <v>22159</v>
      </c>
      <c r="W2" s="81" t="s">
        <v>22160</v>
      </c>
      <c r="X2" s="81" t="s">
        <v>22161</v>
      </c>
      <c r="Y2" s="78" t="s">
        <v>22162</v>
      </c>
      <c r="Z2" s="84" t="s">
        <v>18716</v>
      </c>
      <c r="AA2" s="84" t="s">
        <v>18717</v>
      </c>
      <c r="AB2" s="84" t="s">
        <v>18718</v>
      </c>
      <c r="AC2" s="84" t="s">
        <v>18719</v>
      </c>
      <c r="AD2" s="255"/>
      <c r="AE2" s="255"/>
      <c r="AF2" s="255"/>
      <c r="AG2" s="255"/>
    </row>
    <row r="3" ht="51.0" customHeight="1">
      <c r="A3" s="93"/>
      <c r="B3" s="93"/>
      <c r="C3" s="93"/>
      <c r="D3" s="93"/>
      <c r="E3" s="93"/>
      <c r="F3" s="93"/>
      <c r="G3" s="93"/>
      <c r="H3" s="93"/>
      <c r="I3" s="93"/>
      <c r="J3" s="93"/>
      <c r="K3" s="93"/>
      <c r="L3" s="93"/>
      <c r="M3" s="256" t="s">
        <v>22163</v>
      </c>
      <c r="N3" s="93"/>
      <c r="O3" s="96"/>
      <c r="P3" s="96"/>
      <c r="Q3" s="96"/>
      <c r="R3" s="94" t="s">
        <v>12344</v>
      </c>
      <c r="S3" s="94" t="s">
        <v>22164</v>
      </c>
      <c r="T3" s="94" t="s">
        <v>22165</v>
      </c>
      <c r="U3" s="96" t="s">
        <v>670</v>
      </c>
      <c r="V3" s="96"/>
      <c r="W3" s="96"/>
      <c r="X3" s="96" t="s">
        <v>673</v>
      </c>
      <c r="Y3" s="96" t="s">
        <v>22166</v>
      </c>
      <c r="Z3" s="98"/>
      <c r="AA3" s="98"/>
      <c r="AB3" s="98"/>
      <c r="AC3" s="98"/>
      <c r="AD3" s="255"/>
      <c r="AE3" s="255"/>
      <c r="AF3" s="255"/>
      <c r="AG3" s="255"/>
    </row>
    <row r="4" ht="93.75" customHeight="1">
      <c r="A4" s="103" t="s">
        <v>12329</v>
      </c>
      <c r="B4" s="103" t="s">
        <v>687</v>
      </c>
      <c r="C4" s="103" t="s">
        <v>22167</v>
      </c>
      <c r="D4" s="103" t="s">
        <v>22168</v>
      </c>
      <c r="E4" s="103" t="s">
        <v>22169</v>
      </c>
      <c r="F4" s="103" t="s">
        <v>22170</v>
      </c>
      <c r="G4" s="103" t="s">
        <v>22171</v>
      </c>
      <c r="H4" s="103" t="s">
        <v>22172</v>
      </c>
      <c r="I4" s="103" t="s">
        <v>18702</v>
      </c>
      <c r="J4" s="104" t="s">
        <v>22157</v>
      </c>
      <c r="K4" s="104" t="s">
        <v>12330</v>
      </c>
      <c r="L4" s="104" t="s">
        <v>12331</v>
      </c>
      <c r="M4" s="104" t="s">
        <v>22173</v>
      </c>
      <c r="N4" s="103" t="s">
        <v>36</v>
      </c>
      <c r="O4" s="105" t="s">
        <v>12332</v>
      </c>
      <c r="P4" s="105" t="s">
        <v>22174</v>
      </c>
      <c r="Q4" s="105" t="s">
        <v>12334</v>
      </c>
      <c r="R4" s="105" t="s">
        <v>12368</v>
      </c>
      <c r="S4" s="105" t="s">
        <v>22175</v>
      </c>
      <c r="T4" s="105" t="s">
        <v>12370</v>
      </c>
      <c r="U4" s="105" t="s">
        <v>22176</v>
      </c>
      <c r="V4" s="105" t="s">
        <v>22177</v>
      </c>
      <c r="W4" s="105" t="s">
        <v>22178</v>
      </c>
      <c r="X4" s="105" t="s">
        <v>22179</v>
      </c>
      <c r="Y4" s="105" t="s">
        <v>22180</v>
      </c>
      <c r="Z4" s="108" t="s">
        <v>22181</v>
      </c>
      <c r="AA4" s="108" t="s">
        <v>18717</v>
      </c>
      <c r="AB4" s="108" t="s">
        <v>18718</v>
      </c>
      <c r="AC4" s="108" t="s">
        <v>18719</v>
      </c>
      <c r="AD4" s="255"/>
      <c r="AE4" s="255"/>
      <c r="AF4" s="255"/>
      <c r="AG4" s="255"/>
    </row>
    <row r="5">
      <c r="A5" s="111" t="s">
        <v>22182</v>
      </c>
      <c r="B5" s="127" t="s">
        <v>22183</v>
      </c>
      <c r="C5" s="111" t="s">
        <v>7967</v>
      </c>
      <c r="D5" s="111"/>
      <c r="E5" s="111"/>
      <c r="F5" s="111"/>
      <c r="G5" s="111"/>
      <c r="H5" s="111"/>
      <c r="I5" s="127" t="s">
        <v>22184</v>
      </c>
      <c r="J5" s="111">
        <v>2025.0</v>
      </c>
      <c r="K5" s="257">
        <v>2025.0</v>
      </c>
      <c r="L5" s="111"/>
      <c r="M5" s="127" t="s">
        <v>22185</v>
      </c>
      <c r="N5" s="127" t="s">
        <v>18638</v>
      </c>
      <c r="O5" s="111" t="s">
        <v>30</v>
      </c>
      <c r="P5" s="111" t="s">
        <v>10444</v>
      </c>
      <c r="Q5" s="111" t="s">
        <v>22186</v>
      </c>
      <c r="R5" s="124"/>
      <c r="S5" s="125"/>
      <c r="T5" s="125"/>
      <c r="U5" s="125" t="s">
        <v>22187</v>
      </c>
      <c r="V5" s="258">
        <v>30.0</v>
      </c>
      <c r="W5" s="258"/>
      <c r="X5" s="125"/>
      <c r="Y5" s="125" t="s">
        <v>22188</v>
      </c>
      <c r="Z5" s="259" t="s">
        <v>22189</v>
      </c>
      <c r="AA5" s="259" t="s">
        <v>22189</v>
      </c>
      <c r="AB5" s="260"/>
      <c r="AC5" s="260"/>
      <c r="AD5" s="261"/>
      <c r="AE5" s="261"/>
      <c r="AF5" s="261"/>
      <c r="AG5" s="261"/>
    </row>
    <row r="6">
      <c r="A6" s="111" t="s">
        <v>22190</v>
      </c>
      <c r="B6" s="127" t="s">
        <v>22191</v>
      </c>
      <c r="C6" s="111" t="s">
        <v>7967</v>
      </c>
      <c r="D6" s="111"/>
      <c r="E6" s="111"/>
      <c r="F6" s="111"/>
      <c r="G6" s="111"/>
      <c r="H6" s="111"/>
      <c r="I6" s="127" t="s">
        <v>22192</v>
      </c>
      <c r="J6" s="111">
        <v>2025.0</v>
      </c>
      <c r="K6" s="257">
        <v>2025.0</v>
      </c>
      <c r="L6" s="111"/>
      <c r="M6" s="127" t="s">
        <v>22185</v>
      </c>
      <c r="N6" s="127" t="s">
        <v>12399</v>
      </c>
      <c r="O6" s="111" t="s">
        <v>30</v>
      </c>
      <c r="P6" s="111" t="s">
        <v>10444</v>
      </c>
      <c r="Q6" s="111" t="s">
        <v>22193</v>
      </c>
      <c r="R6" s="124"/>
      <c r="S6" s="125"/>
      <c r="T6" s="125"/>
      <c r="U6" s="125" t="s">
        <v>22194</v>
      </c>
      <c r="V6" s="258">
        <v>14.0</v>
      </c>
      <c r="W6" s="258"/>
      <c r="X6" s="125"/>
      <c r="Y6" s="125"/>
      <c r="Z6" s="259" t="s">
        <v>22189</v>
      </c>
      <c r="AA6" s="260"/>
      <c r="AB6" s="260"/>
      <c r="AC6" s="260"/>
      <c r="AD6" s="261"/>
      <c r="AE6" s="261"/>
      <c r="AF6" s="261"/>
      <c r="AG6" s="261"/>
    </row>
    <row r="7">
      <c r="A7" s="111" t="s">
        <v>22195</v>
      </c>
      <c r="B7" s="127" t="s">
        <v>22196</v>
      </c>
      <c r="C7" s="111" t="s">
        <v>7967</v>
      </c>
      <c r="D7" s="111"/>
      <c r="E7" s="111"/>
      <c r="F7" s="111"/>
      <c r="G7" s="111"/>
      <c r="H7" s="111"/>
      <c r="I7" s="127" t="s">
        <v>22197</v>
      </c>
      <c r="J7" s="111">
        <v>2018.0</v>
      </c>
      <c r="K7" s="111">
        <v>2018.0</v>
      </c>
      <c r="L7" s="111"/>
      <c r="M7" s="127" t="s">
        <v>22198</v>
      </c>
      <c r="N7" s="127" t="s">
        <v>12385</v>
      </c>
      <c r="O7" s="111" t="s">
        <v>30</v>
      </c>
      <c r="P7" s="111" t="s">
        <v>10444</v>
      </c>
      <c r="Q7" s="111" t="s">
        <v>22199</v>
      </c>
      <c r="R7" s="124"/>
      <c r="S7" s="125"/>
      <c r="T7" s="125"/>
      <c r="U7" s="125" t="s">
        <v>22200</v>
      </c>
      <c r="V7" s="258"/>
      <c r="W7" s="258">
        <v>12.0</v>
      </c>
      <c r="X7" s="125"/>
      <c r="Y7" s="125"/>
      <c r="Z7" s="259" t="s">
        <v>22189</v>
      </c>
      <c r="AA7" s="260"/>
      <c r="AB7" s="260"/>
      <c r="AC7" s="260"/>
      <c r="AD7" s="261"/>
      <c r="AE7" s="261"/>
      <c r="AF7" s="261"/>
      <c r="AG7" s="261"/>
    </row>
    <row r="8">
      <c r="A8" s="111" t="s">
        <v>22201</v>
      </c>
      <c r="B8" s="127" t="s">
        <v>22202</v>
      </c>
      <c r="C8" s="111" t="s">
        <v>7967</v>
      </c>
      <c r="D8" s="111"/>
      <c r="E8" s="111"/>
      <c r="F8" s="111"/>
      <c r="G8" s="111"/>
      <c r="H8" s="111"/>
      <c r="I8" s="127" t="s">
        <v>686</v>
      </c>
      <c r="J8" s="111">
        <v>2026.0</v>
      </c>
      <c r="K8" s="257">
        <v>2026.0</v>
      </c>
      <c r="L8" s="111"/>
      <c r="M8" s="127" t="s">
        <v>22203</v>
      </c>
      <c r="N8" s="127" t="s">
        <v>12399</v>
      </c>
      <c r="O8" s="111" t="s">
        <v>30</v>
      </c>
      <c r="P8" s="111" t="s">
        <v>10444</v>
      </c>
      <c r="Q8" s="127" t="s">
        <v>22204</v>
      </c>
      <c r="R8" s="124"/>
      <c r="S8" s="125"/>
      <c r="T8" s="125"/>
      <c r="U8" s="258" t="s">
        <v>22205</v>
      </c>
      <c r="V8" s="258">
        <v>31.0</v>
      </c>
      <c r="W8" s="258">
        <v>140.0</v>
      </c>
      <c r="X8" s="125"/>
      <c r="Y8" s="258" t="s">
        <v>22206</v>
      </c>
      <c r="Z8" s="259" t="s">
        <v>22189</v>
      </c>
      <c r="AA8" s="259" t="s">
        <v>22189</v>
      </c>
      <c r="AB8" s="260"/>
      <c r="AC8" s="260"/>
      <c r="AD8" s="261"/>
      <c r="AE8" s="261"/>
      <c r="AF8" s="261"/>
      <c r="AG8" s="261"/>
    </row>
    <row r="9" ht="17.25" customHeight="1">
      <c r="A9" s="111" t="s">
        <v>22207</v>
      </c>
      <c r="B9" s="127" t="s">
        <v>22208</v>
      </c>
      <c r="C9" s="111" t="s">
        <v>7967</v>
      </c>
      <c r="D9" s="111"/>
      <c r="E9" s="111"/>
      <c r="F9" s="111"/>
      <c r="G9" s="111"/>
      <c r="H9" s="111"/>
      <c r="I9" s="127" t="s">
        <v>686</v>
      </c>
      <c r="J9" s="111">
        <v>2028.0</v>
      </c>
      <c r="K9" s="257">
        <v>2028.0</v>
      </c>
      <c r="L9" s="111"/>
      <c r="M9" s="127" t="s">
        <v>22185</v>
      </c>
      <c r="N9" s="127" t="s">
        <v>18630</v>
      </c>
      <c r="O9" s="111" t="s">
        <v>30</v>
      </c>
      <c r="P9" s="111" t="s">
        <v>10444</v>
      </c>
      <c r="Q9" s="127" t="s">
        <v>22209</v>
      </c>
      <c r="R9" s="124"/>
      <c r="S9" s="125"/>
      <c r="T9" s="125"/>
      <c r="U9" s="258" t="s">
        <v>22210</v>
      </c>
      <c r="V9" s="258">
        <v>75.0</v>
      </c>
      <c r="W9" s="258"/>
      <c r="X9" s="125"/>
      <c r="Y9" s="258" t="s">
        <v>22211</v>
      </c>
      <c r="Z9" s="259" t="s">
        <v>22189</v>
      </c>
      <c r="AA9" s="259" t="s">
        <v>22189</v>
      </c>
      <c r="AB9" s="260"/>
      <c r="AC9" s="260"/>
      <c r="AD9" s="261"/>
      <c r="AE9" s="261"/>
      <c r="AF9" s="261"/>
      <c r="AG9" s="261"/>
    </row>
    <row r="10">
      <c r="A10" s="111" t="s">
        <v>22212</v>
      </c>
      <c r="B10" s="127" t="s">
        <v>22213</v>
      </c>
      <c r="C10" s="111" t="s">
        <v>7967</v>
      </c>
      <c r="D10" s="111"/>
      <c r="E10" s="111"/>
      <c r="F10" s="111"/>
      <c r="G10" s="111"/>
      <c r="H10" s="111"/>
      <c r="I10" s="127" t="s">
        <v>686</v>
      </c>
      <c r="J10" s="111">
        <v>2027.0</v>
      </c>
      <c r="K10" s="257">
        <v>2027.0</v>
      </c>
      <c r="L10" s="111"/>
      <c r="M10" s="127" t="s">
        <v>22203</v>
      </c>
      <c r="N10" s="127" t="s">
        <v>12399</v>
      </c>
      <c r="O10" s="111" t="s">
        <v>30</v>
      </c>
      <c r="P10" s="111" t="s">
        <v>10444</v>
      </c>
      <c r="Q10" s="127" t="s">
        <v>22204</v>
      </c>
      <c r="R10" s="124"/>
      <c r="S10" s="125"/>
      <c r="T10" s="125"/>
      <c r="U10" s="258" t="s">
        <v>22214</v>
      </c>
      <c r="V10" s="258">
        <v>15.0</v>
      </c>
      <c r="W10" s="258">
        <v>15.0</v>
      </c>
      <c r="X10" s="125"/>
      <c r="Y10" s="258" t="s">
        <v>22215</v>
      </c>
      <c r="Z10" s="259" t="s">
        <v>22189</v>
      </c>
      <c r="AA10" s="259" t="s">
        <v>22189</v>
      </c>
      <c r="AB10" s="260"/>
      <c r="AC10" s="260"/>
      <c r="AD10" s="261"/>
      <c r="AE10" s="261"/>
      <c r="AF10" s="261"/>
      <c r="AG10" s="261"/>
    </row>
    <row r="11" ht="21.0" customHeight="1">
      <c r="A11" s="111" t="s">
        <v>22216</v>
      </c>
      <c r="B11" s="127" t="s">
        <v>22217</v>
      </c>
      <c r="C11" s="111" t="s">
        <v>7967</v>
      </c>
      <c r="D11" s="111"/>
      <c r="E11" s="111"/>
      <c r="F11" s="111"/>
      <c r="G11" s="111"/>
      <c r="H11" s="111"/>
      <c r="I11" s="127" t="s">
        <v>686</v>
      </c>
      <c r="J11" s="111">
        <v>2027.0</v>
      </c>
      <c r="K11" s="257">
        <v>2027.0</v>
      </c>
      <c r="L11" s="111"/>
      <c r="M11" s="127" t="s">
        <v>22185</v>
      </c>
      <c r="N11" s="127" t="s">
        <v>12397</v>
      </c>
      <c r="O11" s="111" t="s">
        <v>30</v>
      </c>
      <c r="P11" s="111" t="s">
        <v>10444</v>
      </c>
      <c r="Q11" s="127" t="s">
        <v>22218</v>
      </c>
      <c r="R11" s="124"/>
      <c r="S11" s="125"/>
      <c r="T11" s="125"/>
      <c r="U11" s="258" t="s">
        <v>22219</v>
      </c>
      <c r="V11" s="258">
        <v>34.0</v>
      </c>
      <c r="W11" s="258">
        <v>0.0</v>
      </c>
      <c r="X11" s="125"/>
      <c r="Y11" s="258" t="s">
        <v>22220</v>
      </c>
      <c r="Z11" s="259" t="s">
        <v>22189</v>
      </c>
      <c r="AA11" s="259" t="s">
        <v>22189</v>
      </c>
      <c r="AB11" s="260"/>
      <c r="AC11" s="260"/>
      <c r="AD11" s="261"/>
      <c r="AE11" s="261"/>
      <c r="AF11" s="261"/>
      <c r="AG11" s="261"/>
    </row>
    <row r="12">
      <c r="A12" s="111" t="s">
        <v>22221</v>
      </c>
      <c r="B12" s="127" t="s">
        <v>22222</v>
      </c>
      <c r="C12" s="111" t="s">
        <v>7967</v>
      </c>
      <c r="D12" s="111"/>
      <c r="E12" s="111"/>
      <c r="F12" s="111"/>
      <c r="G12" s="111"/>
      <c r="H12" s="111"/>
      <c r="I12" s="127" t="s">
        <v>686</v>
      </c>
      <c r="J12" s="111">
        <v>2029.0</v>
      </c>
      <c r="K12" s="257">
        <v>2029.0</v>
      </c>
      <c r="L12" s="111"/>
      <c r="M12" s="127" t="s">
        <v>22198</v>
      </c>
      <c r="N12" s="127" t="s">
        <v>12397</v>
      </c>
      <c r="O12" s="111" t="s">
        <v>30</v>
      </c>
      <c r="P12" s="111" t="s">
        <v>10444</v>
      </c>
      <c r="Q12" s="127" t="s">
        <v>22223</v>
      </c>
      <c r="R12" s="124"/>
      <c r="S12" s="125"/>
      <c r="T12" s="125"/>
      <c r="U12" s="258" t="s">
        <v>22224</v>
      </c>
      <c r="V12" s="258">
        <v>0.0</v>
      </c>
      <c r="W12" s="258">
        <v>25.0</v>
      </c>
      <c r="X12" s="125"/>
      <c r="Y12" s="258" t="s">
        <v>22225</v>
      </c>
      <c r="Z12" s="259" t="s">
        <v>22189</v>
      </c>
      <c r="AA12" s="259" t="s">
        <v>22189</v>
      </c>
      <c r="AB12" s="260"/>
      <c r="AC12" s="260"/>
      <c r="AD12" s="261"/>
      <c r="AE12" s="261"/>
      <c r="AF12" s="261"/>
      <c r="AG12" s="261"/>
    </row>
    <row r="13">
      <c r="A13" s="111" t="s">
        <v>22226</v>
      </c>
      <c r="B13" s="127" t="s">
        <v>22227</v>
      </c>
      <c r="C13" s="111" t="s">
        <v>7967</v>
      </c>
      <c r="D13" s="111"/>
      <c r="E13" s="111"/>
      <c r="F13" s="111"/>
      <c r="G13" s="111"/>
      <c r="H13" s="111"/>
      <c r="I13" s="127" t="s">
        <v>686</v>
      </c>
      <c r="J13" s="111">
        <v>2031.0</v>
      </c>
      <c r="K13" s="257" t="s">
        <v>22228</v>
      </c>
      <c r="L13" s="111"/>
      <c r="M13" s="127" t="s">
        <v>22203</v>
      </c>
      <c r="N13" s="127" t="s">
        <v>12397</v>
      </c>
      <c r="O13" s="111" t="s">
        <v>30</v>
      </c>
      <c r="P13" s="111" t="s">
        <v>10444</v>
      </c>
      <c r="Q13" s="127" t="s">
        <v>22204</v>
      </c>
      <c r="R13" s="124"/>
      <c r="S13" s="125"/>
      <c r="T13" s="125"/>
      <c r="U13" s="258" t="s">
        <v>22229</v>
      </c>
      <c r="V13" s="258">
        <v>31.0</v>
      </c>
      <c r="W13" s="258">
        <v>175.0</v>
      </c>
      <c r="X13" s="125"/>
      <c r="Y13" s="258" t="s">
        <v>22230</v>
      </c>
      <c r="Z13" s="259" t="s">
        <v>22189</v>
      </c>
      <c r="AA13" s="259" t="s">
        <v>22189</v>
      </c>
      <c r="AB13" s="260"/>
      <c r="AC13" s="260"/>
      <c r="AD13" s="261"/>
      <c r="AE13" s="261"/>
      <c r="AF13" s="261"/>
      <c r="AG13" s="261"/>
    </row>
    <row r="14">
      <c r="A14" s="111" t="s">
        <v>22231</v>
      </c>
      <c r="B14" s="127" t="s">
        <v>22232</v>
      </c>
      <c r="C14" s="111" t="s">
        <v>7967</v>
      </c>
      <c r="D14" s="111"/>
      <c r="E14" s="111"/>
      <c r="F14" s="111"/>
      <c r="G14" s="111"/>
      <c r="H14" s="111"/>
      <c r="I14" s="127" t="s">
        <v>686</v>
      </c>
      <c r="J14" s="111">
        <v>2029.0</v>
      </c>
      <c r="K14" s="257">
        <v>2029.0</v>
      </c>
      <c r="L14" s="111"/>
      <c r="M14" s="127" t="s">
        <v>22198</v>
      </c>
      <c r="N14" s="127" t="s">
        <v>12397</v>
      </c>
      <c r="O14" s="111" t="s">
        <v>30</v>
      </c>
      <c r="P14" s="111" t="s">
        <v>10444</v>
      </c>
      <c r="Q14" s="127" t="s">
        <v>22223</v>
      </c>
      <c r="R14" s="124"/>
      <c r="S14" s="125"/>
      <c r="T14" s="125"/>
      <c r="U14" s="258" t="s">
        <v>22233</v>
      </c>
      <c r="V14" s="258"/>
      <c r="W14" s="258">
        <v>79.0</v>
      </c>
      <c r="X14" s="125"/>
      <c r="Y14" s="258" t="s">
        <v>22234</v>
      </c>
      <c r="Z14" s="259" t="s">
        <v>22189</v>
      </c>
      <c r="AA14" s="259" t="s">
        <v>22189</v>
      </c>
      <c r="AB14" s="260"/>
      <c r="AC14" s="260"/>
      <c r="AD14" s="261"/>
      <c r="AE14" s="261"/>
      <c r="AF14" s="261"/>
      <c r="AG14" s="261"/>
    </row>
    <row r="15">
      <c r="A15" s="111" t="s">
        <v>22235</v>
      </c>
      <c r="B15" s="127" t="s">
        <v>22236</v>
      </c>
      <c r="C15" s="111" t="s">
        <v>7967</v>
      </c>
      <c r="D15" s="111"/>
      <c r="E15" s="111"/>
      <c r="F15" s="111"/>
      <c r="G15" s="111"/>
      <c r="H15" s="111"/>
      <c r="I15" s="127" t="s">
        <v>686</v>
      </c>
      <c r="J15" s="111">
        <v>2029.0</v>
      </c>
      <c r="K15" s="257">
        <v>2029.0</v>
      </c>
      <c r="L15" s="111"/>
      <c r="M15" s="127" t="s">
        <v>22198</v>
      </c>
      <c r="N15" s="127" t="s">
        <v>12397</v>
      </c>
      <c r="O15" s="111" t="s">
        <v>30</v>
      </c>
      <c r="P15" s="111" t="s">
        <v>10444</v>
      </c>
      <c r="Q15" s="127" t="s">
        <v>22223</v>
      </c>
      <c r="R15" s="124"/>
      <c r="S15" s="125"/>
      <c r="T15" s="125"/>
      <c r="U15" s="258" t="s">
        <v>22237</v>
      </c>
      <c r="V15" s="258"/>
      <c r="W15" s="258">
        <v>83.0</v>
      </c>
      <c r="X15" s="125"/>
      <c r="Y15" s="258" t="s">
        <v>22238</v>
      </c>
      <c r="Z15" s="259" t="s">
        <v>22189</v>
      </c>
      <c r="AA15" s="259" t="s">
        <v>22189</v>
      </c>
      <c r="AB15" s="260"/>
      <c r="AC15" s="260"/>
      <c r="AD15" s="261"/>
      <c r="AE15" s="261"/>
      <c r="AF15" s="261"/>
      <c r="AG15" s="261"/>
    </row>
    <row r="16">
      <c r="A16" s="111" t="s">
        <v>22239</v>
      </c>
      <c r="B16" s="127" t="s">
        <v>22240</v>
      </c>
      <c r="C16" s="111" t="s">
        <v>7967</v>
      </c>
      <c r="D16" s="111"/>
      <c r="E16" s="111"/>
      <c r="F16" s="111"/>
      <c r="G16" s="111"/>
      <c r="H16" s="111"/>
      <c r="I16" s="127" t="s">
        <v>686</v>
      </c>
      <c r="J16" s="111">
        <v>2029.0</v>
      </c>
      <c r="K16" s="257">
        <v>2029.0</v>
      </c>
      <c r="L16" s="111"/>
      <c r="M16" s="127" t="s">
        <v>22203</v>
      </c>
      <c r="N16" s="127" t="s">
        <v>12397</v>
      </c>
      <c r="O16" s="111" t="s">
        <v>30</v>
      </c>
      <c r="P16" s="111" t="s">
        <v>10444</v>
      </c>
      <c r="Q16" s="127" t="s">
        <v>22204</v>
      </c>
      <c r="R16" s="124"/>
      <c r="S16" s="125"/>
      <c r="T16" s="125"/>
      <c r="U16" s="258" t="s">
        <v>22241</v>
      </c>
      <c r="V16" s="258">
        <v>16.0</v>
      </c>
      <c r="W16" s="258">
        <v>200.0</v>
      </c>
      <c r="X16" s="125"/>
      <c r="Y16" s="258" t="s">
        <v>22242</v>
      </c>
      <c r="Z16" s="259" t="s">
        <v>22189</v>
      </c>
      <c r="AA16" s="259" t="s">
        <v>22189</v>
      </c>
      <c r="AB16" s="260"/>
      <c r="AC16" s="260"/>
      <c r="AD16" s="261"/>
      <c r="AE16" s="261"/>
      <c r="AF16" s="261"/>
      <c r="AG16" s="261"/>
    </row>
    <row r="17">
      <c r="A17" s="111" t="s">
        <v>22243</v>
      </c>
      <c r="B17" s="127" t="s">
        <v>22244</v>
      </c>
      <c r="C17" s="111" t="s">
        <v>7967</v>
      </c>
      <c r="D17" s="111"/>
      <c r="E17" s="111"/>
      <c r="F17" s="111"/>
      <c r="G17" s="111"/>
      <c r="H17" s="111"/>
      <c r="I17" s="127" t="s">
        <v>686</v>
      </c>
      <c r="J17" s="111">
        <v>2029.0</v>
      </c>
      <c r="K17" s="257">
        <v>2029.0</v>
      </c>
      <c r="L17" s="111"/>
      <c r="M17" s="127" t="s">
        <v>22198</v>
      </c>
      <c r="N17" s="127" t="s">
        <v>12397</v>
      </c>
      <c r="O17" s="111" t="s">
        <v>30</v>
      </c>
      <c r="P17" s="111" t="s">
        <v>10444</v>
      </c>
      <c r="Q17" s="127" t="s">
        <v>22223</v>
      </c>
      <c r="R17" s="124"/>
      <c r="S17" s="125"/>
      <c r="T17" s="125"/>
      <c r="U17" s="258" t="s">
        <v>22245</v>
      </c>
      <c r="V17" s="258"/>
      <c r="W17" s="258">
        <v>122.0</v>
      </c>
      <c r="X17" s="125"/>
      <c r="Y17" s="258" t="s">
        <v>22246</v>
      </c>
      <c r="Z17" s="259" t="s">
        <v>22189</v>
      </c>
      <c r="AA17" s="259" t="s">
        <v>22189</v>
      </c>
      <c r="AB17" s="260"/>
      <c r="AC17" s="260"/>
      <c r="AD17" s="261"/>
      <c r="AE17" s="261"/>
      <c r="AF17" s="261"/>
      <c r="AG17" s="261"/>
    </row>
    <row r="18">
      <c r="A18" s="111" t="s">
        <v>22247</v>
      </c>
      <c r="B18" s="127" t="s">
        <v>22248</v>
      </c>
      <c r="C18" s="111" t="s">
        <v>7967</v>
      </c>
      <c r="D18" s="111" t="s">
        <v>7987</v>
      </c>
      <c r="E18" s="111"/>
      <c r="F18" s="111"/>
      <c r="G18" s="111"/>
      <c r="H18" s="111"/>
      <c r="I18" s="127" t="s">
        <v>686</v>
      </c>
      <c r="J18" s="111">
        <v>2028.0</v>
      </c>
      <c r="K18" s="257">
        <v>2028.0</v>
      </c>
      <c r="L18" s="111"/>
      <c r="M18" s="127" t="s">
        <v>22198</v>
      </c>
      <c r="N18" s="127" t="s">
        <v>12397</v>
      </c>
      <c r="O18" s="111" t="s">
        <v>30</v>
      </c>
      <c r="P18" s="111" t="s">
        <v>10444</v>
      </c>
      <c r="Q18" s="127" t="s">
        <v>22223</v>
      </c>
      <c r="R18" s="124"/>
      <c r="S18" s="125"/>
      <c r="T18" s="125"/>
      <c r="U18" s="258" t="s">
        <v>22249</v>
      </c>
      <c r="V18" s="258"/>
      <c r="W18" s="258">
        <v>134.0</v>
      </c>
      <c r="X18" s="125"/>
      <c r="Y18" s="258" t="s">
        <v>22250</v>
      </c>
      <c r="Z18" s="259" t="s">
        <v>22189</v>
      </c>
      <c r="AA18" s="259" t="s">
        <v>22189</v>
      </c>
      <c r="AB18" s="260"/>
      <c r="AC18" s="260"/>
      <c r="AD18" s="261"/>
      <c r="AE18" s="261"/>
      <c r="AF18" s="261"/>
      <c r="AG18" s="261"/>
    </row>
    <row r="19">
      <c r="A19" s="111" t="s">
        <v>22251</v>
      </c>
      <c r="B19" s="127" t="s">
        <v>22252</v>
      </c>
      <c r="C19" s="111" t="s">
        <v>7967</v>
      </c>
      <c r="D19" s="111" t="s">
        <v>8087</v>
      </c>
      <c r="E19" s="111"/>
      <c r="F19" s="111"/>
      <c r="G19" s="111"/>
      <c r="H19" s="111"/>
      <c r="I19" s="127" t="s">
        <v>22253</v>
      </c>
      <c r="J19" s="111">
        <v>2026.0</v>
      </c>
      <c r="K19" s="257" t="s">
        <v>22254</v>
      </c>
      <c r="L19" s="111"/>
      <c r="M19" s="127" t="s">
        <v>22203</v>
      </c>
      <c r="N19" s="127" t="s">
        <v>12399</v>
      </c>
      <c r="O19" s="111" t="s">
        <v>30</v>
      </c>
      <c r="P19" s="111" t="s">
        <v>10444</v>
      </c>
      <c r="Q19" s="127"/>
      <c r="R19" s="124"/>
      <c r="S19" s="125"/>
      <c r="T19" s="125"/>
      <c r="U19" s="258"/>
      <c r="V19" s="258"/>
      <c r="W19" s="258"/>
      <c r="X19" s="125"/>
      <c r="Y19" s="258"/>
      <c r="Z19" s="259" t="s">
        <v>22189</v>
      </c>
      <c r="AA19" s="259" t="s">
        <v>22189</v>
      </c>
      <c r="AB19" s="259" t="s">
        <v>22189</v>
      </c>
      <c r="AC19" s="260"/>
      <c r="AD19" s="261"/>
      <c r="AE19" s="261"/>
      <c r="AF19" s="261"/>
      <c r="AG19" s="261"/>
    </row>
    <row r="20" ht="34.5" customHeight="1">
      <c r="A20" s="111" t="s">
        <v>22255</v>
      </c>
      <c r="B20" s="127" t="s">
        <v>22256</v>
      </c>
      <c r="C20" s="111" t="s">
        <v>7977</v>
      </c>
      <c r="D20" s="111" t="s">
        <v>8011</v>
      </c>
      <c r="E20" s="111"/>
      <c r="F20" s="111"/>
      <c r="G20" s="111"/>
      <c r="H20" s="111"/>
      <c r="I20" s="127" t="s">
        <v>22257</v>
      </c>
      <c r="J20" s="111">
        <v>2030.0</v>
      </c>
      <c r="K20" s="257">
        <v>2030.0</v>
      </c>
      <c r="L20" s="111"/>
      <c r="M20" s="127" t="s">
        <v>22185</v>
      </c>
      <c r="N20" s="127" t="s">
        <v>12399</v>
      </c>
      <c r="O20" s="111" t="s">
        <v>30</v>
      </c>
      <c r="P20" s="111" t="s">
        <v>22258</v>
      </c>
      <c r="Q20" s="128" t="s">
        <v>22259</v>
      </c>
      <c r="R20" s="124"/>
      <c r="S20" s="125"/>
      <c r="T20" s="126">
        <v>2000.0</v>
      </c>
      <c r="U20" s="126" t="s">
        <v>22260</v>
      </c>
      <c r="V20" s="258">
        <v>455.0</v>
      </c>
      <c r="W20" s="258"/>
      <c r="X20" s="126">
        <v>210.0</v>
      </c>
      <c r="Y20" s="126"/>
      <c r="Z20" s="259" t="s">
        <v>22189</v>
      </c>
      <c r="AA20" s="262" t="s">
        <v>22261</v>
      </c>
      <c r="AB20" s="262" t="s">
        <v>22189</v>
      </c>
      <c r="AC20" s="127"/>
      <c r="AD20" s="261"/>
      <c r="AE20" s="261"/>
      <c r="AF20" s="261"/>
      <c r="AG20" s="261"/>
    </row>
    <row r="21" ht="34.5" customHeight="1">
      <c r="A21" s="111" t="s">
        <v>22262</v>
      </c>
      <c r="B21" s="127" t="s">
        <v>22263</v>
      </c>
      <c r="C21" s="111" t="s">
        <v>8161</v>
      </c>
      <c r="D21" s="111"/>
      <c r="E21" s="111"/>
      <c r="F21" s="111"/>
      <c r="G21" s="111"/>
      <c r="H21" s="111"/>
      <c r="I21" s="127" t="s">
        <v>22264</v>
      </c>
      <c r="J21" s="111">
        <v>2030.0</v>
      </c>
      <c r="K21" s="257">
        <v>2030.0</v>
      </c>
      <c r="L21" s="111"/>
      <c r="M21" s="127" t="s">
        <v>22185</v>
      </c>
      <c r="N21" s="127" t="s">
        <v>12399</v>
      </c>
      <c r="O21" s="111" t="s">
        <v>30</v>
      </c>
      <c r="P21" s="111" t="s">
        <v>10444</v>
      </c>
      <c r="Q21" s="128" t="s">
        <v>22265</v>
      </c>
      <c r="R21" s="124"/>
      <c r="S21" s="125"/>
      <c r="T21" s="126">
        <v>750.0</v>
      </c>
      <c r="U21" s="126" t="s">
        <v>22266</v>
      </c>
      <c r="V21" s="258">
        <v>162.0</v>
      </c>
      <c r="W21" s="258"/>
      <c r="X21" s="126">
        <v>84.0</v>
      </c>
      <c r="Y21" s="126" t="s">
        <v>22267</v>
      </c>
      <c r="Z21" s="259" t="s">
        <v>22189</v>
      </c>
      <c r="AA21" s="262" t="s">
        <v>22261</v>
      </c>
      <c r="AB21" s="262" t="s">
        <v>22189</v>
      </c>
      <c r="AC21" s="127"/>
      <c r="AD21" s="261"/>
      <c r="AE21" s="261"/>
      <c r="AF21" s="261"/>
      <c r="AG21" s="261"/>
    </row>
    <row r="22" ht="34.5" customHeight="1">
      <c r="A22" s="111" t="s">
        <v>22268</v>
      </c>
      <c r="B22" s="127" t="s">
        <v>22269</v>
      </c>
      <c r="C22" s="111" t="s">
        <v>7977</v>
      </c>
      <c r="D22" s="111"/>
      <c r="E22" s="111"/>
      <c r="F22" s="111"/>
      <c r="G22" s="111"/>
      <c r="H22" s="111"/>
      <c r="I22" s="127" t="s">
        <v>22264</v>
      </c>
      <c r="J22" s="111">
        <v>2030.0</v>
      </c>
      <c r="K22" s="257">
        <v>2030.0</v>
      </c>
      <c r="L22" s="111"/>
      <c r="M22" s="127" t="s">
        <v>22185</v>
      </c>
      <c r="N22" s="127" t="s">
        <v>12399</v>
      </c>
      <c r="O22" s="111" t="s">
        <v>30</v>
      </c>
      <c r="P22" s="111" t="s">
        <v>10444</v>
      </c>
      <c r="Q22" s="128" t="s">
        <v>22265</v>
      </c>
      <c r="R22" s="124"/>
      <c r="S22" s="125"/>
      <c r="T22" s="125"/>
      <c r="U22" s="125" t="s">
        <v>22270</v>
      </c>
      <c r="V22" s="258">
        <v>86.0</v>
      </c>
      <c r="W22" s="258"/>
      <c r="X22" s="125"/>
      <c r="Y22" s="125"/>
      <c r="Z22" s="262" t="s">
        <v>22189</v>
      </c>
      <c r="AA22" s="127"/>
      <c r="AB22" s="127"/>
      <c r="AC22" s="127"/>
      <c r="AD22" s="261"/>
      <c r="AE22" s="261"/>
      <c r="AF22" s="261"/>
      <c r="AG22" s="261"/>
    </row>
    <row r="23" ht="34.5" customHeight="1">
      <c r="A23" s="111" t="s">
        <v>22271</v>
      </c>
      <c r="B23" s="127" t="s">
        <v>22272</v>
      </c>
      <c r="C23" s="111" t="s">
        <v>7977</v>
      </c>
      <c r="D23" s="111"/>
      <c r="E23" s="111"/>
      <c r="F23" s="111"/>
      <c r="G23" s="111"/>
      <c r="H23" s="111"/>
      <c r="I23" s="127" t="s">
        <v>22273</v>
      </c>
      <c r="J23" s="111">
        <v>2030.0</v>
      </c>
      <c r="K23" s="257">
        <v>2030.0</v>
      </c>
      <c r="L23" s="111"/>
      <c r="M23" s="127" t="s">
        <v>22203</v>
      </c>
      <c r="N23" s="127" t="s">
        <v>12399</v>
      </c>
      <c r="O23" s="111" t="s">
        <v>30</v>
      </c>
      <c r="P23" s="111" t="s">
        <v>10444</v>
      </c>
      <c r="Q23" s="128" t="s">
        <v>22274</v>
      </c>
      <c r="R23" s="124"/>
      <c r="S23" s="125"/>
      <c r="T23" s="126"/>
      <c r="U23" s="126" t="s">
        <v>22275</v>
      </c>
      <c r="V23" s="258">
        <v>120.0</v>
      </c>
      <c r="W23" s="258">
        <v>301.0</v>
      </c>
      <c r="X23" s="126"/>
      <c r="Y23" s="126"/>
      <c r="Z23" s="259" t="s">
        <v>22189</v>
      </c>
      <c r="AA23" s="262" t="s">
        <v>22261</v>
      </c>
      <c r="AB23" s="262" t="s">
        <v>22189</v>
      </c>
      <c r="AC23" s="127"/>
      <c r="AD23" s="261"/>
      <c r="AE23" s="261"/>
      <c r="AF23" s="261"/>
      <c r="AG23" s="261"/>
    </row>
    <row r="24" ht="34.5" customHeight="1">
      <c r="A24" s="111" t="s">
        <v>22276</v>
      </c>
      <c r="B24" s="127" t="s">
        <v>22277</v>
      </c>
      <c r="C24" s="111" t="s">
        <v>7977</v>
      </c>
      <c r="D24" s="111"/>
      <c r="E24" s="111"/>
      <c r="F24" s="111"/>
      <c r="G24" s="111"/>
      <c r="H24" s="111"/>
      <c r="I24" s="127" t="s">
        <v>22273</v>
      </c>
      <c r="J24" s="111">
        <v>2030.0</v>
      </c>
      <c r="K24" s="257">
        <v>2030.0</v>
      </c>
      <c r="L24" s="111"/>
      <c r="M24" s="127" t="s">
        <v>22203</v>
      </c>
      <c r="N24" s="127" t="s">
        <v>12399</v>
      </c>
      <c r="O24" s="111" t="s">
        <v>30</v>
      </c>
      <c r="P24" s="111" t="s">
        <v>10444</v>
      </c>
      <c r="Q24" s="128" t="s">
        <v>22278</v>
      </c>
      <c r="R24" s="124"/>
      <c r="S24" s="125"/>
      <c r="T24" s="126"/>
      <c r="U24" s="126" t="s">
        <v>22279</v>
      </c>
      <c r="V24" s="258">
        <v>979.0</v>
      </c>
      <c r="W24" s="258">
        <v>334.0</v>
      </c>
      <c r="X24" s="126"/>
      <c r="Y24" s="126"/>
      <c r="Z24" s="259" t="s">
        <v>22189</v>
      </c>
      <c r="AA24" s="262" t="s">
        <v>22189</v>
      </c>
      <c r="AB24" s="262" t="s">
        <v>22189</v>
      </c>
      <c r="AC24" s="127"/>
      <c r="AD24" s="261"/>
      <c r="AE24" s="261"/>
      <c r="AF24" s="261"/>
      <c r="AG24" s="261"/>
    </row>
    <row r="25" ht="34.5" customHeight="1">
      <c r="A25" s="111" t="s">
        <v>22280</v>
      </c>
      <c r="B25" s="127" t="s">
        <v>22281</v>
      </c>
      <c r="C25" s="111" t="s">
        <v>8161</v>
      </c>
      <c r="D25" s="111"/>
      <c r="E25" s="111"/>
      <c r="F25" s="111"/>
      <c r="G25" s="111"/>
      <c r="H25" s="111"/>
      <c r="I25" s="127" t="s">
        <v>22282</v>
      </c>
      <c r="J25" s="111">
        <v>2030.0</v>
      </c>
      <c r="K25" s="257">
        <v>2030.0</v>
      </c>
      <c r="L25" s="111"/>
      <c r="M25" s="127" t="s">
        <v>22185</v>
      </c>
      <c r="N25" s="127" t="s">
        <v>12397</v>
      </c>
      <c r="O25" s="111" t="s">
        <v>30</v>
      </c>
      <c r="P25" s="111" t="s">
        <v>10444</v>
      </c>
      <c r="Q25" s="128" t="s">
        <v>22283</v>
      </c>
      <c r="R25" s="124"/>
      <c r="S25" s="125"/>
      <c r="T25" s="126"/>
      <c r="U25" s="126" t="s">
        <v>22284</v>
      </c>
      <c r="V25" s="258">
        <v>50.0</v>
      </c>
      <c r="W25" s="258">
        <v>0.0</v>
      </c>
      <c r="X25" s="126"/>
      <c r="Y25" s="126" t="s">
        <v>22285</v>
      </c>
      <c r="Z25" s="259" t="s">
        <v>22189</v>
      </c>
      <c r="AA25" s="262" t="s">
        <v>22189</v>
      </c>
      <c r="AB25" s="262" t="s">
        <v>22189</v>
      </c>
      <c r="AC25" s="127"/>
      <c r="AD25" s="261"/>
      <c r="AE25" s="261"/>
      <c r="AF25" s="261"/>
      <c r="AG25" s="261"/>
    </row>
    <row r="26" ht="34.5" customHeight="1">
      <c r="A26" s="111" t="s">
        <v>22286</v>
      </c>
      <c r="B26" s="127" t="s">
        <v>22287</v>
      </c>
      <c r="C26" s="111" t="s">
        <v>8161</v>
      </c>
      <c r="D26" s="111"/>
      <c r="E26" s="111"/>
      <c r="F26" s="111"/>
      <c r="G26" s="111"/>
      <c r="H26" s="111"/>
      <c r="I26" s="127" t="s">
        <v>22282</v>
      </c>
      <c r="J26" s="111">
        <v>2030.0</v>
      </c>
      <c r="K26" s="257">
        <v>2030.0</v>
      </c>
      <c r="L26" s="111"/>
      <c r="M26" s="127" t="s">
        <v>22198</v>
      </c>
      <c r="N26" s="127" t="s">
        <v>12397</v>
      </c>
      <c r="O26" s="111" t="s">
        <v>30</v>
      </c>
      <c r="P26" s="111" t="s">
        <v>10444</v>
      </c>
      <c r="Q26" s="128" t="s">
        <v>22283</v>
      </c>
      <c r="R26" s="124"/>
      <c r="S26" s="125"/>
      <c r="T26" s="126"/>
      <c r="U26" s="126" t="s">
        <v>22288</v>
      </c>
      <c r="V26" s="258"/>
      <c r="W26" s="258">
        <v>341.0</v>
      </c>
      <c r="X26" s="126"/>
      <c r="Y26" s="126" t="s">
        <v>22289</v>
      </c>
      <c r="Z26" s="259" t="s">
        <v>22189</v>
      </c>
      <c r="AA26" s="262" t="s">
        <v>22189</v>
      </c>
      <c r="AB26" s="262" t="s">
        <v>22189</v>
      </c>
      <c r="AC26" s="127"/>
      <c r="AD26" s="261"/>
      <c r="AE26" s="261"/>
      <c r="AF26" s="261"/>
      <c r="AG26" s="261"/>
    </row>
    <row r="27" ht="34.5" customHeight="1">
      <c r="A27" s="111" t="s">
        <v>22290</v>
      </c>
      <c r="B27" s="127" t="s">
        <v>22291</v>
      </c>
      <c r="C27" s="111" t="s">
        <v>8011</v>
      </c>
      <c r="D27" s="111"/>
      <c r="E27" s="111"/>
      <c r="F27" s="111"/>
      <c r="G27" s="111"/>
      <c r="H27" s="111"/>
      <c r="I27" s="127" t="s">
        <v>22292</v>
      </c>
      <c r="J27" s="111">
        <v>2029.0</v>
      </c>
      <c r="K27" s="257">
        <v>2029.0</v>
      </c>
      <c r="L27" s="111"/>
      <c r="M27" s="127" t="s">
        <v>22203</v>
      </c>
      <c r="N27" s="127" t="s">
        <v>12397</v>
      </c>
      <c r="O27" s="111" t="s">
        <v>30</v>
      </c>
      <c r="P27" s="111" t="s">
        <v>10444</v>
      </c>
      <c r="Q27" s="128" t="s">
        <v>22293</v>
      </c>
      <c r="R27" s="124"/>
      <c r="S27" s="125"/>
      <c r="T27" s="126"/>
      <c r="U27" s="126" t="s">
        <v>22294</v>
      </c>
      <c r="V27" s="258">
        <v>327.0</v>
      </c>
      <c r="W27" s="258">
        <v>673.0</v>
      </c>
      <c r="X27" s="126"/>
      <c r="Y27" s="126" t="s">
        <v>22295</v>
      </c>
      <c r="Z27" s="259" t="s">
        <v>22189</v>
      </c>
      <c r="AA27" s="262" t="s">
        <v>22189</v>
      </c>
      <c r="AB27" s="127"/>
      <c r="AC27" s="127"/>
      <c r="AD27" s="261"/>
      <c r="AE27" s="261"/>
      <c r="AF27" s="261"/>
      <c r="AG27" s="261"/>
    </row>
    <row r="28" ht="34.5" customHeight="1">
      <c r="A28" s="111" t="s">
        <v>22296</v>
      </c>
      <c r="B28" s="127" t="s">
        <v>22297</v>
      </c>
      <c r="C28" s="111" t="s">
        <v>8011</v>
      </c>
      <c r="D28" s="111"/>
      <c r="E28" s="111"/>
      <c r="F28" s="111"/>
      <c r="G28" s="111"/>
      <c r="H28" s="111"/>
      <c r="I28" s="127" t="s">
        <v>22298</v>
      </c>
      <c r="J28" s="111">
        <v>2030.0</v>
      </c>
      <c r="K28" s="257">
        <v>2030.0</v>
      </c>
      <c r="L28" s="111"/>
      <c r="M28" s="127" t="s">
        <v>22203</v>
      </c>
      <c r="N28" s="127" t="s">
        <v>12399</v>
      </c>
      <c r="O28" s="111" t="s">
        <v>30</v>
      </c>
      <c r="P28" s="111" t="s">
        <v>10444</v>
      </c>
      <c r="Q28" s="128" t="s">
        <v>22299</v>
      </c>
      <c r="R28" s="124"/>
      <c r="S28" s="125"/>
      <c r="T28" s="126">
        <v>406.0</v>
      </c>
      <c r="U28" s="126" t="s">
        <v>22300</v>
      </c>
      <c r="V28" s="258">
        <v>360.0</v>
      </c>
      <c r="W28" s="258">
        <v>240.0</v>
      </c>
      <c r="X28" s="126">
        <v>86.0</v>
      </c>
      <c r="Y28" s="126" t="s">
        <v>22301</v>
      </c>
      <c r="Z28" s="259" t="s">
        <v>22189</v>
      </c>
      <c r="AA28" s="127"/>
      <c r="AB28" s="127"/>
      <c r="AC28" s="127"/>
      <c r="AD28" s="261"/>
      <c r="AE28" s="261"/>
      <c r="AF28" s="261"/>
      <c r="AG28" s="261"/>
    </row>
    <row r="29" ht="34.5" customHeight="1">
      <c r="A29" s="111" t="s">
        <v>22302</v>
      </c>
      <c r="B29" s="127" t="s">
        <v>22303</v>
      </c>
      <c r="C29" s="111" t="s">
        <v>8011</v>
      </c>
      <c r="D29" s="111"/>
      <c r="E29" s="111"/>
      <c r="F29" s="111"/>
      <c r="G29" s="111"/>
      <c r="H29" s="111"/>
      <c r="I29" s="127" t="s">
        <v>22292</v>
      </c>
      <c r="J29" s="111">
        <v>2028.0</v>
      </c>
      <c r="K29" s="257">
        <v>2028.0</v>
      </c>
      <c r="L29" s="111"/>
      <c r="M29" s="127" t="s">
        <v>22185</v>
      </c>
      <c r="N29" s="127" t="s">
        <v>12399</v>
      </c>
      <c r="O29" s="111" t="s">
        <v>30</v>
      </c>
      <c r="P29" s="111" t="s">
        <v>10444</v>
      </c>
      <c r="Q29" s="128" t="s">
        <v>22304</v>
      </c>
      <c r="R29" s="124"/>
      <c r="S29" s="125"/>
      <c r="T29" s="126"/>
      <c r="U29" s="126" t="s">
        <v>22305</v>
      </c>
      <c r="V29" s="258">
        <v>150.0</v>
      </c>
      <c r="W29" s="258"/>
      <c r="X29" s="126">
        <v>30.0</v>
      </c>
      <c r="Y29" s="126" t="s">
        <v>22306</v>
      </c>
      <c r="Z29" s="259" t="s">
        <v>22189</v>
      </c>
      <c r="AA29" s="262" t="s">
        <v>22189</v>
      </c>
      <c r="AB29" s="127"/>
      <c r="AC29" s="127"/>
      <c r="AD29" s="261"/>
      <c r="AE29" s="261"/>
      <c r="AF29" s="261"/>
      <c r="AG29" s="261"/>
    </row>
    <row r="30" ht="34.5" customHeight="1">
      <c r="A30" s="111" t="s">
        <v>22307</v>
      </c>
      <c r="B30" s="127" t="s">
        <v>22308</v>
      </c>
      <c r="C30" s="111" t="s">
        <v>7987</v>
      </c>
      <c r="D30" s="111"/>
      <c r="E30" s="111"/>
      <c r="F30" s="111"/>
      <c r="G30" s="111"/>
      <c r="H30" s="111"/>
      <c r="I30" s="127" t="s">
        <v>22309</v>
      </c>
      <c r="J30" s="111">
        <v>2025.0</v>
      </c>
      <c r="K30" s="257">
        <v>2025.0</v>
      </c>
      <c r="L30" s="111"/>
      <c r="M30" s="127" t="s">
        <v>22198</v>
      </c>
      <c r="N30" s="127" t="s">
        <v>12397</v>
      </c>
      <c r="O30" s="111" t="s">
        <v>30</v>
      </c>
      <c r="P30" s="111" t="s">
        <v>10444</v>
      </c>
      <c r="Q30" s="128" t="s">
        <v>22310</v>
      </c>
      <c r="R30" s="124"/>
      <c r="S30" s="125"/>
      <c r="T30" s="126"/>
      <c r="U30" s="263" t="s">
        <v>22311</v>
      </c>
      <c r="V30" s="258">
        <v>1.2</v>
      </c>
      <c r="W30" s="258">
        <v>395.8</v>
      </c>
      <c r="X30" s="126"/>
      <c r="Y30" s="126" t="s">
        <v>22312</v>
      </c>
      <c r="Z30" s="262" t="s">
        <v>22189</v>
      </c>
      <c r="AA30" s="262" t="s">
        <v>22189</v>
      </c>
      <c r="AB30" s="262" t="s">
        <v>22189</v>
      </c>
      <c r="AC30" s="127"/>
      <c r="AD30" s="261"/>
      <c r="AE30" s="261"/>
      <c r="AF30" s="261"/>
      <c r="AG30" s="261"/>
    </row>
    <row r="31" ht="34.5" customHeight="1">
      <c r="A31" s="111" t="s">
        <v>22313</v>
      </c>
      <c r="B31" s="127" t="s">
        <v>22314</v>
      </c>
      <c r="C31" s="111" t="s">
        <v>7987</v>
      </c>
      <c r="D31" s="111"/>
      <c r="E31" s="111"/>
      <c r="F31" s="111"/>
      <c r="G31" s="111"/>
      <c r="H31" s="111"/>
      <c r="I31" s="127" t="s">
        <v>22309</v>
      </c>
      <c r="J31" s="111">
        <v>2028.0</v>
      </c>
      <c r="K31" s="257">
        <v>2028.0</v>
      </c>
      <c r="L31" s="111"/>
      <c r="M31" s="127" t="s">
        <v>22203</v>
      </c>
      <c r="N31" s="127" t="s">
        <v>12397</v>
      </c>
      <c r="O31" s="111" t="s">
        <v>30</v>
      </c>
      <c r="P31" s="111" t="s">
        <v>10444</v>
      </c>
      <c r="Q31" s="128" t="s">
        <v>22310</v>
      </c>
      <c r="R31" s="124"/>
      <c r="S31" s="125"/>
      <c r="T31" s="125"/>
      <c r="U31" s="258" t="s">
        <v>22315</v>
      </c>
      <c r="V31" s="258">
        <v>115.0</v>
      </c>
      <c r="W31" s="258">
        <v>632.1</v>
      </c>
      <c r="X31" s="125"/>
      <c r="Y31" s="125" t="s">
        <v>22316</v>
      </c>
      <c r="Z31" s="262" t="s">
        <v>22189</v>
      </c>
      <c r="AA31" s="262" t="s">
        <v>22189</v>
      </c>
      <c r="AB31" s="262"/>
      <c r="AC31" s="127"/>
      <c r="AD31" s="261"/>
      <c r="AE31" s="261"/>
      <c r="AF31" s="261"/>
      <c r="AG31" s="261"/>
    </row>
    <row r="32" ht="34.5" customHeight="1">
      <c r="A32" s="111" t="s">
        <v>22317</v>
      </c>
      <c r="B32" s="127" t="s">
        <v>22318</v>
      </c>
      <c r="C32" s="111" t="s">
        <v>7987</v>
      </c>
      <c r="D32" s="111"/>
      <c r="E32" s="111"/>
      <c r="F32" s="111"/>
      <c r="G32" s="111"/>
      <c r="H32" s="111"/>
      <c r="I32" s="127" t="s">
        <v>22309</v>
      </c>
      <c r="J32" s="111">
        <v>2029.0</v>
      </c>
      <c r="K32" s="257">
        <v>2029.0</v>
      </c>
      <c r="L32" s="111"/>
      <c r="M32" s="127" t="s">
        <v>22185</v>
      </c>
      <c r="N32" s="127" t="s">
        <v>12397</v>
      </c>
      <c r="O32" s="111" t="s">
        <v>30</v>
      </c>
      <c r="P32" s="111" t="s">
        <v>10444</v>
      </c>
      <c r="Q32" s="128" t="s">
        <v>22310</v>
      </c>
      <c r="R32" s="124"/>
      <c r="S32" s="125"/>
      <c r="T32" s="125"/>
      <c r="U32" s="258" t="s">
        <v>22319</v>
      </c>
      <c r="V32" s="258">
        <v>199.0</v>
      </c>
      <c r="W32" s="258"/>
      <c r="X32" s="125"/>
      <c r="Y32" s="125" t="s">
        <v>22320</v>
      </c>
      <c r="Z32" s="262" t="s">
        <v>22189</v>
      </c>
      <c r="AA32" s="262" t="s">
        <v>22189</v>
      </c>
      <c r="AB32" s="262"/>
      <c r="AC32" s="127"/>
      <c r="AD32" s="261"/>
      <c r="AE32" s="261"/>
      <c r="AF32" s="261"/>
      <c r="AG32" s="261"/>
    </row>
    <row r="33" ht="34.5" customHeight="1">
      <c r="A33" s="111" t="s">
        <v>22321</v>
      </c>
      <c r="B33" s="127" t="s">
        <v>22322</v>
      </c>
      <c r="C33" s="111" t="s">
        <v>7987</v>
      </c>
      <c r="D33" s="111"/>
      <c r="E33" s="111"/>
      <c r="F33" s="111"/>
      <c r="G33" s="111"/>
      <c r="H33" s="111"/>
      <c r="I33" s="127" t="s">
        <v>22309</v>
      </c>
      <c r="J33" s="111">
        <v>2030.0</v>
      </c>
      <c r="K33" s="257">
        <v>2030.0</v>
      </c>
      <c r="L33" s="111"/>
      <c r="M33" s="127" t="s">
        <v>22203</v>
      </c>
      <c r="N33" s="127" t="s">
        <v>12397</v>
      </c>
      <c r="O33" s="111" t="s">
        <v>30</v>
      </c>
      <c r="P33" s="111" t="s">
        <v>10444</v>
      </c>
      <c r="Q33" s="128" t="s">
        <v>22310</v>
      </c>
      <c r="R33" s="124"/>
      <c r="S33" s="125"/>
      <c r="T33" s="125"/>
      <c r="U33" s="258" t="s">
        <v>22323</v>
      </c>
      <c r="V33" s="258">
        <v>59.0</v>
      </c>
      <c r="W33" s="258">
        <v>196.7</v>
      </c>
      <c r="X33" s="125"/>
      <c r="Y33" s="125" t="s">
        <v>22324</v>
      </c>
      <c r="Z33" s="262" t="s">
        <v>22189</v>
      </c>
      <c r="AA33" s="262" t="s">
        <v>22189</v>
      </c>
      <c r="AB33" s="262"/>
      <c r="AC33" s="127"/>
      <c r="AD33" s="261"/>
      <c r="AE33" s="261"/>
      <c r="AF33" s="261"/>
      <c r="AG33" s="261"/>
    </row>
    <row r="34" ht="34.5" customHeight="1">
      <c r="A34" s="111" t="s">
        <v>22325</v>
      </c>
      <c r="B34" s="127" t="s">
        <v>22326</v>
      </c>
      <c r="C34" s="111" t="s">
        <v>7987</v>
      </c>
      <c r="D34" s="111" t="s">
        <v>7967</v>
      </c>
      <c r="E34" s="111"/>
      <c r="F34" s="111"/>
      <c r="G34" s="111"/>
      <c r="H34" s="111"/>
      <c r="I34" s="127" t="s">
        <v>22327</v>
      </c>
      <c r="J34" s="111">
        <v>2027.0</v>
      </c>
      <c r="K34" s="257">
        <v>2027.0</v>
      </c>
      <c r="L34" s="111"/>
      <c r="M34" s="127" t="s">
        <v>22198</v>
      </c>
      <c r="N34" s="127" t="s">
        <v>12397</v>
      </c>
      <c r="O34" s="111" t="s">
        <v>30</v>
      </c>
      <c r="P34" s="111" t="s">
        <v>10444</v>
      </c>
      <c r="Q34" s="128" t="s">
        <v>22328</v>
      </c>
      <c r="R34" s="124"/>
      <c r="S34" s="125"/>
      <c r="T34" s="126"/>
      <c r="U34" s="263" t="s">
        <v>22329</v>
      </c>
      <c r="V34" s="258"/>
      <c r="W34" s="258">
        <v>50.2</v>
      </c>
      <c r="X34" s="126" t="s">
        <v>22330</v>
      </c>
      <c r="Y34" s="126"/>
      <c r="Z34" s="262" t="s">
        <v>22189</v>
      </c>
      <c r="AA34" s="262"/>
      <c r="AB34" s="262"/>
      <c r="AC34" s="127"/>
      <c r="AD34" s="261"/>
      <c r="AE34" s="261"/>
      <c r="AF34" s="261"/>
      <c r="AG34" s="261"/>
    </row>
    <row r="35" ht="34.5" customHeight="1">
      <c r="A35" s="111" t="s">
        <v>22331</v>
      </c>
      <c r="B35" s="127" t="s">
        <v>22332</v>
      </c>
      <c r="C35" s="111" t="s">
        <v>7994</v>
      </c>
      <c r="D35" s="111" t="s">
        <v>7987</v>
      </c>
      <c r="E35" s="111"/>
      <c r="F35" s="111"/>
      <c r="G35" s="111"/>
      <c r="H35" s="111"/>
      <c r="I35" s="127" t="s">
        <v>22333</v>
      </c>
      <c r="J35" s="111">
        <v>2029.0</v>
      </c>
      <c r="K35" s="257">
        <v>2029.0</v>
      </c>
      <c r="L35" s="111"/>
      <c r="M35" s="127" t="s">
        <v>22185</v>
      </c>
      <c r="N35" s="127" t="s">
        <v>12399</v>
      </c>
      <c r="O35" s="111" t="s">
        <v>30</v>
      </c>
      <c r="P35" s="111" t="s">
        <v>22258</v>
      </c>
      <c r="Q35" s="128" t="s">
        <v>22334</v>
      </c>
      <c r="R35" s="124"/>
      <c r="S35" s="125"/>
      <c r="T35" s="126"/>
      <c r="U35" s="126" t="s">
        <v>22335</v>
      </c>
      <c r="V35" s="258">
        <v>140.0</v>
      </c>
      <c r="W35" s="258"/>
      <c r="X35" s="126"/>
      <c r="Y35" s="126" t="s">
        <v>22336</v>
      </c>
      <c r="Z35" s="259" t="s">
        <v>22189</v>
      </c>
      <c r="AA35" s="127"/>
      <c r="AB35" s="127"/>
      <c r="AC35" s="127"/>
      <c r="AD35" s="261"/>
      <c r="AE35" s="261"/>
      <c r="AF35" s="261"/>
      <c r="AG35" s="261"/>
    </row>
    <row r="36" ht="34.5" customHeight="1">
      <c r="A36" s="111" t="s">
        <v>22337</v>
      </c>
      <c r="B36" s="127" t="s">
        <v>22338</v>
      </c>
      <c r="C36" s="111" t="s">
        <v>7987</v>
      </c>
      <c r="D36" s="111"/>
      <c r="E36" s="111"/>
      <c r="F36" s="111"/>
      <c r="G36" s="111"/>
      <c r="H36" s="111"/>
      <c r="I36" s="127" t="s">
        <v>22339</v>
      </c>
      <c r="J36" s="111">
        <v>2026.0</v>
      </c>
      <c r="K36" s="257">
        <v>2026.0</v>
      </c>
      <c r="L36" s="111"/>
      <c r="M36" s="127" t="s">
        <v>22198</v>
      </c>
      <c r="N36" s="127" t="s">
        <v>12399</v>
      </c>
      <c r="O36" s="111" t="s">
        <v>30</v>
      </c>
      <c r="P36" s="111" t="s">
        <v>10444</v>
      </c>
      <c r="Q36" s="128" t="s">
        <v>22340</v>
      </c>
      <c r="R36" s="124"/>
      <c r="S36" s="125"/>
      <c r="T36" s="126"/>
      <c r="U36" s="263" t="s">
        <v>22341</v>
      </c>
      <c r="V36" s="258"/>
      <c r="W36" s="258">
        <v>67.2</v>
      </c>
      <c r="X36" s="126"/>
      <c r="Y36" s="126" t="s">
        <v>22342</v>
      </c>
      <c r="Z36" s="259" t="s">
        <v>22189</v>
      </c>
      <c r="AA36" s="259" t="s">
        <v>22189</v>
      </c>
      <c r="AB36" s="262" t="s">
        <v>22189</v>
      </c>
      <c r="AC36" s="262" t="s">
        <v>22189</v>
      </c>
      <c r="AD36" s="261"/>
      <c r="AE36" s="261"/>
      <c r="AF36" s="261"/>
      <c r="AG36" s="261"/>
    </row>
    <row r="37" ht="34.5" customHeight="1">
      <c r="A37" s="111" t="s">
        <v>22343</v>
      </c>
      <c r="B37" s="127" t="s">
        <v>22344</v>
      </c>
      <c r="C37" s="111" t="s">
        <v>7987</v>
      </c>
      <c r="D37" s="111"/>
      <c r="E37" s="111"/>
      <c r="F37" s="111"/>
      <c r="G37" s="111"/>
      <c r="H37" s="111"/>
      <c r="I37" s="127" t="s">
        <v>22339</v>
      </c>
      <c r="J37" s="111">
        <v>2027.0</v>
      </c>
      <c r="K37" s="257">
        <v>2027.0</v>
      </c>
      <c r="L37" s="111"/>
      <c r="M37" s="127" t="s">
        <v>22198</v>
      </c>
      <c r="N37" s="127" t="s">
        <v>12399</v>
      </c>
      <c r="O37" s="111" t="s">
        <v>30</v>
      </c>
      <c r="P37" s="111" t="s">
        <v>10444</v>
      </c>
      <c r="Q37" s="128" t="s">
        <v>22340</v>
      </c>
      <c r="R37" s="124"/>
      <c r="S37" s="125"/>
      <c r="T37" s="125"/>
      <c r="U37" s="258" t="s">
        <v>22345</v>
      </c>
      <c r="V37" s="258"/>
      <c r="W37" s="258">
        <v>122.2</v>
      </c>
      <c r="X37" s="125"/>
      <c r="Y37" s="125" t="s">
        <v>22346</v>
      </c>
      <c r="Z37" s="259" t="s">
        <v>22189</v>
      </c>
      <c r="AA37" s="262" t="s">
        <v>22189</v>
      </c>
      <c r="AB37" s="262" t="s">
        <v>22189</v>
      </c>
      <c r="AC37" s="127"/>
      <c r="AD37" s="261"/>
      <c r="AE37" s="261"/>
      <c r="AF37" s="261"/>
      <c r="AG37" s="261"/>
    </row>
    <row r="38" ht="34.5" customHeight="1">
      <c r="A38" s="111" t="s">
        <v>22347</v>
      </c>
      <c r="B38" s="127" t="s">
        <v>22348</v>
      </c>
      <c r="C38" s="111" t="s">
        <v>7987</v>
      </c>
      <c r="D38" s="111"/>
      <c r="E38" s="111"/>
      <c r="F38" s="111"/>
      <c r="G38" s="111"/>
      <c r="H38" s="111"/>
      <c r="I38" s="127" t="s">
        <v>22339</v>
      </c>
      <c r="J38" s="111">
        <v>2028.0</v>
      </c>
      <c r="K38" s="257">
        <v>2028.0</v>
      </c>
      <c r="L38" s="111"/>
      <c r="M38" s="127" t="s">
        <v>22185</v>
      </c>
      <c r="N38" s="127" t="s">
        <v>12397</v>
      </c>
      <c r="O38" s="111" t="s">
        <v>30</v>
      </c>
      <c r="P38" s="111" t="s">
        <v>10444</v>
      </c>
      <c r="Q38" s="128" t="s">
        <v>22340</v>
      </c>
      <c r="R38" s="124"/>
      <c r="S38" s="125"/>
      <c r="T38" s="125"/>
      <c r="U38" s="258" t="s">
        <v>22349</v>
      </c>
      <c r="V38" s="258">
        <v>146.8</v>
      </c>
      <c r="W38" s="258"/>
      <c r="X38" s="125"/>
      <c r="Y38" s="125" t="s">
        <v>22350</v>
      </c>
      <c r="Z38" s="259" t="s">
        <v>22189</v>
      </c>
      <c r="AA38" s="262" t="s">
        <v>22189</v>
      </c>
      <c r="AB38" s="127"/>
      <c r="AC38" s="127"/>
      <c r="AD38" s="261"/>
      <c r="AE38" s="261"/>
      <c r="AF38" s="261"/>
      <c r="AG38" s="261"/>
    </row>
    <row r="39" ht="34.5" customHeight="1">
      <c r="A39" s="111" t="s">
        <v>22351</v>
      </c>
      <c r="B39" s="127" t="s">
        <v>22352</v>
      </c>
      <c r="C39" s="111" t="s">
        <v>7987</v>
      </c>
      <c r="D39" s="111"/>
      <c r="E39" s="111"/>
      <c r="F39" s="111"/>
      <c r="G39" s="111"/>
      <c r="H39" s="111"/>
      <c r="I39" s="127" t="s">
        <v>22339</v>
      </c>
      <c r="J39" s="111">
        <v>2029.0</v>
      </c>
      <c r="K39" s="257">
        <v>2029.0</v>
      </c>
      <c r="L39" s="111"/>
      <c r="M39" s="127" t="s">
        <v>22185</v>
      </c>
      <c r="N39" s="127" t="s">
        <v>12397</v>
      </c>
      <c r="O39" s="111" t="s">
        <v>30</v>
      </c>
      <c r="P39" s="111" t="s">
        <v>10444</v>
      </c>
      <c r="Q39" s="128" t="s">
        <v>22340</v>
      </c>
      <c r="R39" s="124"/>
      <c r="S39" s="125"/>
      <c r="T39" s="125"/>
      <c r="U39" s="258" t="s">
        <v>22353</v>
      </c>
      <c r="V39" s="258">
        <v>186.2</v>
      </c>
      <c r="W39" s="258"/>
      <c r="X39" s="125"/>
      <c r="Y39" s="125" t="s">
        <v>22354</v>
      </c>
      <c r="Z39" s="259" t="s">
        <v>22189</v>
      </c>
      <c r="AA39" s="262" t="s">
        <v>22189</v>
      </c>
      <c r="AB39" s="127"/>
      <c r="AC39" s="127"/>
      <c r="AD39" s="261"/>
      <c r="AE39" s="261"/>
      <c r="AF39" s="261"/>
      <c r="AG39" s="261"/>
    </row>
    <row r="40" ht="34.5" customHeight="1">
      <c r="A40" s="111" t="s">
        <v>22355</v>
      </c>
      <c r="B40" s="127" t="s">
        <v>22356</v>
      </c>
      <c r="C40" s="111" t="s">
        <v>7987</v>
      </c>
      <c r="D40" s="111"/>
      <c r="E40" s="111"/>
      <c r="F40" s="111"/>
      <c r="G40" s="111"/>
      <c r="H40" s="111"/>
      <c r="I40" s="127" t="s">
        <v>22339</v>
      </c>
      <c r="J40" s="111">
        <v>2030.0</v>
      </c>
      <c r="K40" s="257">
        <v>2030.0</v>
      </c>
      <c r="L40" s="111"/>
      <c r="M40" s="127" t="s">
        <v>22185</v>
      </c>
      <c r="N40" s="127" t="s">
        <v>12397</v>
      </c>
      <c r="O40" s="111" t="s">
        <v>30</v>
      </c>
      <c r="P40" s="111" t="s">
        <v>10444</v>
      </c>
      <c r="Q40" s="128" t="s">
        <v>22340</v>
      </c>
      <c r="R40" s="124"/>
      <c r="S40" s="125"/>
      <c r="T40" s="125"/>
      <c r="U40" s="258" t="s">
        <v>22357</v>
      </c>
      <c r="V40" s="258">
        <v>72.0</v>
      </c>
      <c r="W40" s="258"/>
      <c r="X40" s="125"/>
      <c r="Y40" s="125" t="s">
        <v>22358</v>
      </c>
      <c r="Z40" s="259" t="s">
        <v>22189</v>
      </c>
      <c r="AA40" s="262" t="s">
        <v>22189</v>
      </c>
      <c r="AB40" s="127"/>
      <c r="AC40" s="127"/>
      <c r="AD40" s="261"/>
      <c r="AE40" s="261"/>
      <c r="AF40" s="261"/>
      <c r="AG40" s="261"/>
    </row>
    <row r="41" ht="34.5" customHeight="1">
      <c r="A41" s="111" t="s">
        <v>22359</v>
      </c>
      <c r="B41" s="127" t="s">
        <v>22360</v>
      </c>
      <c r="C41" s="111" t="s">
        <v>7987</v>
      </c>
      <c r="D41" s="111"/>
      <c r="E41" s="111"/>
      <c r="F41" s="111"/>
      <c r="G41" s="111"/>
      <c r="H41" s="111"/>
      <c r="I41" s="127" t="s">
        <v>22339</v>
      </c>
      <c r="J41" s="111">
        <v>2032.0</v>
      </c>
      <c r="K41" s="257">
        <v>2032.0</v>
      </c>
      <c r="L41" s="111"/>
      <c r="M41" s="127" t="s">
        <v>22185</v>
      </c>
      <c r="N41" s="127" t="s">
        <v>12397</v>
      </c>
      <c r="O41" s="111" t="s">
        <v>30</v>
      </c>
      <c r="P41" s="111" t="s">
        <v>10444</v>
      </c>
      <c r="Q41" s="128" t="s">
        <v>22340</v>
      </c>
      <c r="R41" s="124"/>
      <c r="S41" s="125"/>
      <c r="T41" s="125"/>
      <c r="U41" s="258" t="s">
        <v>22361</v>
      </c>
      <c r="V41" s="258">
        <v>27.0</v>
      </c>
      <c r="W41" s="258"/>
      <c r="X41" s="125"/>
      <c r="Y41" s="125" t="s">
        <v>22362</v>
      </c>
      <c r="Z41" s="259" t="s">
        <v>22189</v>
      </c>
      <c r="AA41" s="262" t="s">
        <v>22189</v>
      </c>
      <c r="AB41" s="127"/>
      <c r="AC41" s="127"/>
      <c r="AD41" s="261"/>
      <c r="AE41" s="261"/>
      <c r="AF41" s="261"/>
      <c r="AG41" s="261"/>
    </row>
    <row r="42" ht="34.5" customHeight="1">
      <c r="A42" s="111" t="s">
        <v>22363</v>
      </c>
      <c r="B42" s="127" t="s">
        <v>22364</v>
      </c>
      <c r="C42" s="111" t="s">
        <v>7987</v>
      </c>
      <c r="D42" s="111"/>
      <c r="E42" s="111"/>
      <c r="F42" s="111"/>
      <c r="G42" s="111"/>
      <c r="H42" s="111"/>
      <c r="I42" s="127" t="s">
        <v>22365</v>
      </c>
      <c r="J42" s="111">
        <v>2026.0</v>
      </c>
      <c r="K42" s="257">
        <v>2026.0</v>
      </c>
      <c r="L42" s="111"/>
      <c r="M42" s="127" t="s">
        <v>22198</v>
      </c>
      <c r="N42" s="127" t="s">
        <v>12399</v>
      </c>
      <c r="O42" s="111" t="s">
        <v>30</v>
      </c>
      <c r="P42" s="111" t="s">
        <v>10444</v>
      </c>
      <c r="Q42" s="111" t="s">
        <v>22366</v>
      </c>
      <c r="R42" s="124"/>
      <c r="S42" s="125"/>
      <c r="T42" s="125"/>
      <c r="U42" s="258" t="s">
        <v>22367</v>
      </c>
      <c r="V42" s="258"/>
      <c r="W42" s="258">
        <v>35.6</v>
      </c>
      <c r="X42" s="125"/>
      <c r="Y42" s="125" t="s">
        <v>22368</v>
      </c>
      <c r="Z42" s="259" t="s">
        <v>22189</v>
      </c>
      <c r="AA42" s="259" t="s">
        <v>22189</v>
      </c>
      <c r="AB42" s="260"/>
      <c r="AC42" s="260"/>
      <c r="AD42" s="261"/>
      <c r="AE42" s="261"/>
      <c r="AF42" s="261"/>
      <c r="AG42" s="261"/>
    </row>
    <row r="43" ht="34.5" customHeight="1">
      <c r="A43" s="111" t="s">
        <v>22369</v>
      </c>
      <c r="B43" s="127" t="s">
        <v>22370</v>
      </c>
      <c r="C43" s="111" t="s">
        <v>7987</v>
      </c>
      <c r="D43" s="111"/>
      <c r="E43" s="111"/>
      <c r="F43" s="111"/>
      <c r="G43" s="111"/>
      <c r="H43" s="111"/>
      <c r="I43" s="127" t="s">
        <v>22365</v>
      </c>
      <c r="J43" s="111">
        <v>2027.0</v>
      </c>
      <c r="K43" s="257">
        <v>2027.0</v>
      </c>
      <c r="L43" s="111"/>
      <c r="M43" s="127" t="s">
        <v>22203</v>
      </c>
      <c r="N43" s="127" t="s">
        <v>12399</v>
      </c>
      <c r="O43" s="111" t="s">
        <v>30</v>
      </c>
      <c r="P43" s="111" t="s">
        <v>10444</v>
      </c>
      <c r="Q43" s="111" t="s">
        <v>22371</v>
      </c>
      <c r="R43" s="124"/>
      <c r="S43" s="125"/>
      <c r="T43" s="125"/>
      <c r="U43" s="258" t="s">
        <v>22372</v>
      </c>
      <c r="V43" s="258">
        <v>7.0</v>
      </c>
      <c r="W43" s="258">
        <v>138.4</v>
      </c>
      <c r="X43" s="125"/>
      <c r="Y43" s="125" t="s">
        <v>22373</v>
      </c>
      <c r="Z43" s="259" t="s">
        <v>22189</v>
      </c>
      <c r="AA43" s="260"/>
      <c r="AB43" s="260"/>
      <c r="AC43" s="260"/>
      <c r="AD43" s="261"/>
      <c r="AE43" s="261"/>
      <c r="AF43" s="261"/>
      <c r="AG43" s="261"/>
    </row>
    <row r="44" ht="34.5" customHeight="1">
      <c r="A44" s="111" t="s">
        <v>22374</v>
      </c>
      <c r="B44" s="127" t="s">
        <v>22375</v>
      </c>
      <c r="C44" s="111" t="s">
        <v>7987</v>
      </c>
      <c r="D44" s="111"/>
      <c r="E44" s="111"/>
      <c r="F44" s="111"/>
      <c r="G44" s="111"/>
      <c r="H44" s="111"/>
      <c r="I44" s="127" t="s">
        <v>22365</v>
      </c>
      <c r="J44" s="111">
        <v>2028.0</v>
      </c>
      <c r="K44" s="257">
        <v>2028.0</v>
      </c>
      <c r="L44" s="111"/>
      <c r="M44" s="127" t="s">
        <v>22203</v>
      </c>
      <c r="N44" s="127" t="s">
        <v>12399</v>
      </c>
      <c r="O44" s="111" t="s">
        <v>30</v>
      </c>
      <c r="P44" s="111" t="s">
        <v>10444</v>
      </c>
      <c r="Q44" s="111" t="s">
        <v>22376</v>
      </c>
      <c r="R44" s="124"/>
      <c r="S44" s="125"/>
      <c r="T44" s="125"/>
      <c r="U44" s="258" t="s">
        <v>22377</v>
      </c>
      <c r="V44" s="258">
        <v>98.9</v>
      </c>
      <c r="W44" s="258">
        <v>45.7</v>
      </c>
      <c r="X44" s="125"/>
      <c r="Y44" s="125" t="s">
        <v>22378</v>
      </c>
      <c r="Z44" s="259" t="s">
        <v>22189</v>
      </c>
      <c r="AA44" s="260"/>
      <c r="AB44" s="260"/>
      <c r="AC44" s="260"/>
      <c r="AD44" s="261"/>
      <c r="AE44" s="261"/>
      <c r="AF44" s="261"/>
      <c r="AG44" s="261"/>
    </row>
    <row r="45" ht="26.25" customHeight="1">
      <c r="A45" s="111" t="s">
        <v>22379</v>
      </c>
      <c r="B45" s="127" t="s">
        <v>22380</v>
      </c>
      <c r="C45" s="111" t="s">
        <v>7987</v>
      </c>
      <c r="D45" s="111"/>
      <c r="E45" s="111"/>
      <c r="F45" s="111"/>
      <c r="G45" s="111"/>
      <c r="H45" s="111"/>
      <c r="I45" s="127" t="s">
        <v>22381</v>
      </c>
      <c r="J45" s="111">
        <v>2025.0</v>
      </c>
      <c r="K45" s="257">
        <v>2025.0</v>
      </c>
      <c r="L45" s="111"/>
      <c r="M45" s="127" t="s">
        <v>22198</v>
      </c>
      <c r="N45" s="127" t="s">
        <v>18630</v>
      </c>
      <c r="O45" s="111" t="s">
        <v>30</v>
      </c>
      <c r="P45" s="111" t="s">
        <v>10444</v>
      </c>
      <c r="Q45" s="111" t="s">
        <v>22382</v>
      </c>
      <c r="R45" s="124"/>
      <c r="S45" s="125"/>
      <c r="T45" s="125"/>
      <c r="U45" s="125" t="s">
        <v>22383</v>
      </c>
      <c r="V45" s="258"/>
      <c r="W45" s="258">
        <v>19.4</v>
      </c>
      <c r="X45" s="125"/>
      <c r="Y45" s="125" t="s">
        <v>22384</v>
      </c>
      <c r="Z45" s="259" t="s">
        <v>22189</v>
      </c>
      <c r="AA45" s="259" t="s">
        <v>22189</v>
      </c>
      <c r="AB45" s="260"/>
      <c r="AC45" s="260"/>
      <c r="AD45" s="261"/>
      <c r="AE45" s="261"/>
      <c r="AF45" s="261"/>
      <c r="AG45" s="261"/>
    </row>
    <row r="46" ht="34.5" customHeight="1">
      <c r="A46" s="111" t="s">
        <v>22385</v>
      </c>
      <c r="B46" s="127" t="s">
        <v>22386</v>
      </c>
      <c r="C46" s="111" t="s">
        <v>7987</v>
      </c>
      <c r="D46" s="111"/>
      <c r="E46" s="111"/>
      <c r="F46" s="111"/>
      <c r="G46" s="111"/>
      <c r="H46" s="111"/>
      <c r="I46" s="127" t="s">
        <v>22387</v>
      </c>
      <c r="J46" s="111">
        <v>2029.0</v>
      </c>
      <c r="K46" s="257">
        <v>2029.0</v>
      </c>
      <c r="L46" s="111"/>
      <c r="M46" s="127" t="s">
        <v>22203</v>
      </c>
      <c r="N46" s="127" t="s">
        <v>12399</v>
      </c>
      <c r="O46" s="111" t="s">
        <v>30</v>
      </c>
      <c r="P46" s="111" t="s">
        <v>10444</v>
      </c>
      <c r="Q46" s="128" t="s">
        <v>22388</v>
      </c>
      <c r="R46" s="124"/>
      <c r="S46" s="125"/>
      <c r="T46" s="126">
        <v>189.0</v>
      </c>
      <c r="U46" s="263" t="s">
        <v>22389</v>
      </c>
      <c r="V46" s="258">
        <v>15.0</v>
      </c>
      <c r="W46" s="258">
        <v>30.0</v>
      </c>
      <c r="X46" s="126">
        <v>30.0</v>
      </c>
      <c r="Y46" s="126" t="s">
        <v>22390</v>
      </c>
      <c r="Z46" s="259" t="s">
        <v>22189</v>
      </c>
      <c r="AA46" s="262" t="s">
        <v>22189</v>
      </c>
      <c r="AB46" s="127"/>
      <c r="AC46" s="127"/>
      <c r="AD46" s="261"/>
      <c r="AE46" s="261"/>
      <c r="AF46" s="261"/>
      <c r="AG46" s="261"/>
    </row>
    <row r="47" ht="34.5" customHeight="1">
      <c r="A47" s="111" t="s">
        <v>22391</v>
      </c>
      <c r="B47" s="127" t="s">
        <v>22392</v>
      </c>
      <c r="C47" s="111" t="s">
        <v>7987</v>
      </c>
      <c r="D47" s="111"/>
      <c r="E47" s="111"/>
      <c r="F47" s="111"/>
      <c r="G47" s="111"/>
      <c r="H47" s="111"/>
      <c r="I47" s="127" t="s">
        <v>22393</v>
      </c>
      <c r="J47" s="111">
        <v>2035.0</v>
      </c>
      <c r="K47" s="257">
        <v>2035.0</v>
      </c>
      <c r="L47" s="111"/>
      <c r="M47" s="127" t="s">
        <v>22198</v>
      </c>
      <c r="N47" s="127" t="s">
        <v>12397</v>
      </c>
      <c r="O47" s="111" t="s">
        <v>30</v>
      </c>
      <c r="P47" s="111" t="s">
        <v>10444</v>
      </c>
      <c r="Q47" s="111"/>
      <c r="R47" s="124"/>
      <c r="S47" s="125"/>
      <c r="T47" s="125"/>
      <c r="U47" s="258" t="s">
        <v>22394</v>
      </c>
      <c r="V47" s="258"/>
      <c r="W47" s="258">
        <v>60.0</v>
      </c>
      <c r="X47" s="125"/>
      <c r="Y47" s="125"/>
      <c r="Z47" s="259" t="s">
        <v>22189</v>
      </c>
      <c r="AA47" s="260"/>
      <c r="AB47" s="260"/>
      <c r="AC47" s="260"/>
      <c r="AD47" s="261"/>
      <c r="AE47" s="261"/>
      <c r="AF47" s="261"/>
      <c r="AG47" s="261"/>
    </row>
    <row r="48" ht="34.5" customHeight="1">
      <c r="A48" s="111" t="s">
        <v>22395</v>
      </c>
      <c r="B48" s="127" t="s">
        <v>22396</v>
      </c>
      <c r="C48" s="111" t="s">
        <v>8047</v>
      </c>
      <c r="D48" s="111"/>
      <c r="E48" s="111"/>
      <c r="F48" s="111"/>
      <c r="G48" s="111"/>
      <c r="H48" s="111"/>
      <c r="I48" s="127" t="s">
        <v>22397</v>
      </c>
      <c r="J48" s="111">
        <v>2030.0</v>
      </c>
      <c r="K48" s="257">
        <v>2030.0</v>
      </c>
      <c r="L48" s="111"/>
      <c r="M48" s="127" t="s">
        <v>22203</v>
      </c>
      <c r="N48" s="127" t="s">
        <v>12399</v>
      </c>
      <c r="O48" s="111" t="s">
        <v>30</v>
      </c>
      <c r="P48" s="111" t="s">
        <v>10444</v>
      </c>
      <c r="Q48" s="128" t="s">
        <v>22398</v>
      </c>
      <c r="R48" s="124" t="s">
        <v>22399</v>
      </c>
      <c r="S48" s="125"/>
      <c r="T48" s="126"/>
      <c r="U48" s="126"/>
      <c r="V48" s="258" t="s">
        <v>22400</v>
      </c>
      <c r="W48" s="258">
        <v>1679.0</v>
      </c>
      <c r="X48" s="126"/>
      <c r="Y48" s="126" t="s">
        <v>22401</v>
      </c>
      <c r="Z48" s="259" t="s">
        <v>22189</v>
      </c>
      <c r="AA48" s="262"/>
      <c r="AB48" s="262"/>
      <c r="AC48" s="127"/>
      <c r="AD48" s="261"/>
      <c r="AE48" s="261"/>
      <c r="AF48" s="261"/>
      <c r="AG48" s="261"/>
    </row>
    <row r="49" ht="34.5" customHeight="1">
      <c r="A49" s="111" t="s">
        <v>22402</v>
      </c>
      <c r="B49" s="127" t="s">
        <v>22403</v>
      </c>
      <c r="C49" s="111" t="s">
        <v>7999</v>
      </c>
      <c r="D49" s="111"/>
      <c r="E49" s="111"/>
      <c r="F49" s="111"/>
      <c r="G49" s="111"/>
      <c r="H49" s="111"/>
      <c r="I49" s="127" t="s">
        <v>22404</v>
      </c>
      <c r="J49" s="111">
        <v>2030.0</v>
      </c>
      <c r="K49" s="257">
        <v>2030.0</v>
      </c>
      <c r="L49" s="111"/>
      <c r="M49" s="127" t="s">
        <v>22198</v>
      </c>
      <c r="N49" s="127" t="s">
        <v>12399</v>
      </c>
      <c r="O49" s="111" t="s">
        <v>30</v>
      </c>
      <c r="P49" s="111" t="s">
        <v>10444</v>
      </c>
      <c r="Q49" s="128" t="s">
        <v>22405</v>
      </c>
      <c r="R49" s="124"/>
      <c r="S49" s="125"/>
      <c r="T49" s="126"/>
      <c r="U49" s="126" t="s">
        <v>22406</v>
      </c>
      <c r="V49" s="258">
        <v>0.0</v>
      </c>
      <c r="W49" s="258">
        <v>380.0</v>
      </c>
      <c r="X49" s="126"/>
      <c r="Y49" s="126"/>
      <c r="Z49" s="259" t="s">
        <v>22189</v>
      </c>
      <c r="AA49" s="259" t="s">
        <v>22189</v>
      </c>
      <c r="AB49" s="259" t="s">
        <v>22189</v>
      </c>
      <c r="AC49" s="262" t="s">
        <v>22189</v>
      </c>
      <c r="AD49" s="261"/>
      <c r="AE49" s="261"/>
      <c r="AF49" s="261"/>
      <c r="AG49" s="261"/>
    </row>
    <row r="50" ht="34.5" customHeight="1">
      <c r="A50" s="111" t="s">
        <v>22407</v>
      </c>
      <c r="B50" s="127" t="s">
        <v>22408</v>
      </c>
      <c r="C50" s="111" t="s">
        <v>7999</v>
      </c>
      <c r="D50" s="111" t="s">
        <v>8632</v>
      </c>
      <c r="E50" s="111" t="s">
        <v>7987</v>
      </c>
      <c r="F50" s="111"/>
      <c r="G50" s="111"/>
      <c r="H50" s="111"/>
      <c r="I50" s="127" t="s">
        <v>22409</v>
      </c>
      <c r="J50" s="111">
        <v>2030.0</v>
      </c>
      <c r="K50" s="257">
        <v>2030.0</v>
      </c>
      <c r="L50" s="111"/>
      <c r="M50" s="127" t="s">
        <v>22203</v>
      </c>
      <c r="N50" s="127" t="s">
        <v>12399</v>
      </c>
      <c r="O50" s="111" t="s">
        <v>30</v>
      </c>
      <c r="P50" s="111" t="s">
        <v>10444</v>
      </c>
      <c r="Q50" s="128" t="s">
        <v>22410</v>
      </c>
      <c r="R50" s="124"/>
      <c r="S50" s="125"/>
      <c r="T50" s="126"/>
      <c r="U50" s="126" t="s">
        <v>22411</v>
      </c>
      <c r="V50" s="258">
        <v>200.0</v>
      </c>
      <c r="W50" s="258">
        <v>140.0</v>
      </c>
      <c r="X50" s="126"/>
      <c r="Y50" s="126"/>
      <c r="Z50" s="259" t="s">
        <v>22189</v>
      </c>
      <c r="AA50" s="259" t="s">
        <v>22189</v>
      </c>
      <c r="AB50" s="127"/>
      <c r="AC50" s="127"/>
      <c r="AD50" s="261"/>
      <c r="AE50" s="261"/>
      <c r="AF50" s="261"/>
      <c r="AG50" s="261"/>
    </row>
    <row r="51" ht="34.5" customHeight="1">
      <c r="A51" s="111" t="s">
        <v>22412</v>
      </c>
      <c r="B51" s="127" t="s">
        <v>22413</v>
      </c>
      <c r="C51" s="111" t="s">
        <v>7987</v>
      </c>
      <c r="D51" s="111"/>
      <c r="E51" s="111"/>
      <c r="F51" s="111"/>
      <c r="G51" s="111"/>
      <c r="H51" s="111"/>
      <c r="I51" s="127" t="s">
        <v>22414</v>
      </c>
      <c r="J51" s="111">
        <v>2027.0</v>
      </c>
      <c r="K51" s="111">
        <v>2027.0</v>
      </c>
      <c r="L51" s="111"/>
      <c r="M51" s="127" t="s">
        <v>22203</v>
      </c>
      <c r="N51" s="127" t="s">
        <v>12399</v>
      </c>
      <c r="O51" s="111" t="s">
        <v>30</v>
      </c>
      <c r="P51" s="111" t="s">
        <v>10444</v>
      </c>
      <c r="Q51" s="128" t="s">
        <v>22371</v>
      </c>
      <c r="R51" s="124"/>
      <c r="S51" s="125"/>
      <c r="T51" s="126"/>
      <c r="U51" s="263" t="s">
        <v>22415</v>
      </c>
      <c r="V51" s="258">
        <v>12.0</v>
      </c>
      <c r="W51" s="258">
        <v>12.8</v>
      </c>
      <c r="X51" s="126"/>
      <c r="Y51" s="126" t="s">
        <v>22416</v>
      </c>
      <c r="Z51" s="259" t="s">
        <v>22189</v>
      </c>
      <c r="AA51" s="259"/>
      <c r="AB51" s="127"/>
      <c r="AC51" s="127"/>
      <c r="AD51" s="261"/>
      <c r="AE51" s="261"/>
      <c r="AF51" s="261"/>
      <c r="AG51" s="261"/>
    </row>
    <row r="52" ht="34.5" customHeight="1">
      <c r="A52" s="111" t="s">
        <v>22417</v>
      </c>
      <c r="B52" s="127" t="s">
        <v>22418</v>
      </c>
      <c r="C52" s="111" t="s">
        <v>7987</v>
      </c>
      <c r="D52" s="111"/>
      <c r="E52" s="111"/>
      <c r="F52" s="111"/>
      <c r="G52" s="111"/>
      <c r="H52" s="111"/>
      <c r="I52" s="127" t="s">
        <v>22414</v>
      </c>
      <c r="J52" s="111">
        <v>2030.0</v>
      </c>
      <c r="K52" s="111">
        <v>2030.0</v>
      </c>
      <c r="L52" s="111"/>
      <c r="M52" s="127" t="s">
        <v>22203</v>
      </c>
      <c r="N52" s="127" t="s">
        <v>12399</v>
      </c>
      <c r="O52" s="111" t="s">
        <v>30</v>
      </c>
      <c r="P52" s="111" t="s">
        <v>10444</v>
      </c>
      <c r="Q52" s="124" t="s">
        <v>22419</v>
      </c>
      <c r="R52" s="124"/>
      <c r="S52" s="125"/>
      <c r="T52" s="125"/>
      <c r="U52" s="258" t="s">
        <v>22420</v>
      </c>
      <c r="V52" s="258">
        <v>2.0</v>
      </c>
      <c r="W52" s="258">
        <v>184.9</v>
      </c>
      <c r="X52" s="125"/>
      <c r="Y52" s="125" t="s">
        <v>22421</v>
      </c>
      <c r="Z52" s="259" t="s">
        <v>22189</v>
      </c>
      <c r="AA52" s="127"/>
      <c r="AB52" s="127"/>
      <c r="AC52" s="127"/>
      <c r="AD52" s="261"/>
      <c r="AE52" s="261"/>
      <c r="AF52" s="261"/>
      <c r="AG52" s="261"/>
    </row>
    <row r="53" ht="34.5" customHeight="1">
      <c r="A53" s="111" t="s">
        <v>22422</v>
      </c>
      <c r="B53" s="127" t="s">
        <v>22423</v>
      </c>
      <c r="C53" s="111" t="s">
        <v>7987</v>
      </c>
      <c r="D53" s="111"/>
      <c r="E53" s="111"/>
      <c r="F53" s="111"/>
      <c r="G53" s="111"/>
      <c r="H53" s="111"/>
      <c r="I53" s="127" t="s">
        <v>22414</v>
      </c>
      <c r="J53" s="111">
        <v>2032.0</v>
      </c>
      <c r="K53" s="111">
        <v>2032.0</v>
      </c>
      <c r="L53" s="111"/>
      <c r="M53" s="127" t="s">
        <v>22203</v>
      </c>
      <c r="N53" s="127" t="s">
        <v>12399</v>
      </c>
      <c r="O53" s="111" t="s">
        <v>30</v>
      </c>
      <c r="P53" s="111" t="s">
        <v>10444</v>
      </c>
      <c r="Q53" s="128" t="s">
        <v>22424</v>
      </c>
      <c r="R53" s="124"/>
      <c r="S53" s="125"/>
      <c r="T53" s="126"/>
      <c r="U53" s="263" t="s">
        <v>22425</v>
      </c>
      <c r="V53" s="258">
        <v>48.0</v>
      </c>
      <c r="W53" s="258">
        <v>89.2</v>
      </c>
      <c r="X53" s="126"/>
      <c r="Y53" s="126" t="s">
        <v>22426</v>
      </c>
      <c r="Z53" s="259" t="s">
        <v>22189</v>
      </c>
      <c r="AA53" s="127"/>
      <c r="AB53" s="127"/>
      <c r="AC53" s="127"/>
      <c r="AD53" s="261"/>
      <c r="AE53" s="261"/>
      <c r="AF53" s="261"/>
      <c r="AG53" s="261"/>
    </row>
    <row r="54" ht="34.5" customHeight="1">
      <c r="A54" s="111" t="s">
        <v>22427</v>
      </c>
      <c r="B54" s="127" t="s">
        <v>22428</v>
      </c>
      <c r="C54" s="111" t="s">
        <v>7974</v>
      </c>
      <c r="D54" s="111"/>
      <c r="E54" s="111"/>
      <c r="F54" s="111"/>
      <c r="G54" s="111"/>
      <c r="H54" s="111"/>
      <c r="I54" s="127" t="s">
        <v>22429</v>
      </c>
      <c r="J54" s="111">
        <v>2030.0</v>
      </c>
      <c r="K54" s="257">
        <v>2030.0</v>
      </c>
      <c r="L54" s="111"/>
      <c r="M54" s="127" t="s">
        <v>22185</v>
      </c>
      <c r="N54" s="127" t="s">
        <v>12399</v>
      </c>
      <c r="O54" s="111" t="s">
        <v>30</v>
      </c>
      <c r="P54" s="111" t="s">
        <v>22258</v>
      </c>
      <c r="Q54" s="128" t="s">
        <v>22430</v>
      </c>
      <c r="R54" s="124"/>
      <c r="S54" s="125"/>
      <c r="T54" s="126"/>
      <c r="U54" s="126" t="s">
        <v>22431</v>
      </c>
      <c r="V54" s="258">
        <v>168.0</v>
      </c>
      <c r="W54" s="258"/>
      <c r="X54" s="126"/>
      <c r="Y54" s="126"/>
      <c r="Z54" s="259" t="s">
        <v>22189</v>
      </c>
      <c r="AA54" s="262" t="s">
        <v>22189</v>
      </c>
      <c r="AB54" s="262" t="s">
        <v>22189</v>
      </c>
      <c r="AC54" s="262" t="s">
        <v>22189</v>
      </c>
      <c r="AD54" s="261"/>
      <c r="AE54" s="261"/>
      <c r="AF54" s="261"/>
      <c r="AG54" s="261"/>
    </row>
    <row r="55" ht="34.5" customHeight="1">
      <c r="A55" s="111" t="s">
        <v>22432</v>
      </c>
      <c r="B55" s="127" t="s">
        <v>22433</v>
      </c>
      <c r="C55" s="111" t="s">
        <v>8026</v>
      </c>
      <c r="D55" s="111"/>
      <c r="E55" s="111"/>
      <c r="F55" s="111"/>
      <c r="G55" s="111"/>
      <c r="H55" s="111"/>
      <c r="I55" s="127" t="s">
        <v>22429</v>
      </c>
      <c r="J55" s="111">
        <v>2030.0</v>
      </c>
      <c r="K55" s="257">
        <v>2030.0</v>
      </c>
      <c r="L55" s="111"/>
      <c r="M55" s="127" t="s">
        <v>22185</v>
      </c>
      <c r="N55" s="127" t="s">
        <v>12399</v>
      </c>
      <c r="O55" s="111" t="s">
        <v>30</v>
      </c>
      <c r="P55" s="111" t="s">
        <v>22258</v>
      </c>
      <c r="Q55" s="128" t="s">
        <v>22430</v>
      </c>
      <c r="R55" s="124"/>
      <c r="S55" s="125"/>
      <c r="T55" s="125"/>
      <c r="U55" s="125" t="s">
        <v>22434</v>
      </c>
      <c r="V55" s="258">
        <v>80.0</v>
      </c>
      <c r="W55" s="258"/>
      <c r="X55" s="125"/>
      <c r="Y55" s="125"/>
      <c r="Z55" s="262" t="s">
        <v>22189</v>
      </c>
      <c r="AA55" s="262" t="s">
        <v>22189</v>
      </c>
      <c r="AB55" s="127"/>
      <c r="AC55" s="127"/>
      <c r="AD55" s="261"/>
      <c r="AE55" s="261"/>
      <c r="AF55" s="261"/>
      <c r="AG55" s="261"/>
    </row>
    <row r="56" ht="34.5" customHeight="1">
      <c r="A56" s="111" t="s">
        <v>22435</v>
      </c>
      <c r="B56" s="127" t="s">
        <v>22436</v>
      </c>
      <c r="C56" s="111" t="s">
        <v>8026</v>
      </c>
      <c r="D56" s="111" t="s">
        <v>7974</v>
      </c>
      <c r="E56" s="111" t="s">
        <v>7987</v>
      </c>
      <c r="F56" s="111"/>
      <c r="G56" s="111"/>
      <c r="H56" s="111"/>
      <c r="I56" s="127" t="s">
        <v>22429</v>
      </c>
      <c r="J56" s="111">
        <v>2030.0</v>
      </c>
      <c r="K56" s="257">
        <v>2030.0</v>
      </c>
      <c r="L56" s="111"/>
      <c r="M56" s="127" t="s">
        <v>22185</v>
      </c>
      <c r="N56" s="127" t="s">
        <v>12399</v>
      </c>
      <c r="O56" s="111" t="s">
        <v>30</v>
      </c>
      <c r="P56" s="111" t="s">
        <v>22258</v>
      </c>
      <c r="Q56" s="128" t="s">
        <v>22430</v>
      </c>
      <c r="R56" s="124"/>
      <c r="S56" s="125"/>
      <c r="T56" s="125"/>
      <c r="U56" s="125" t="s">
        <v>22437</v>
      </c>
      <c r="V56" s="258">
        <v>855.0</v>
      </c>
      <c r="W56" s="258"/>
      <c r="X56" s="125"/>
      <c r="Y56" s="125"/>
      <c r="Z56" s="262" t="s">
        <v>22189</v>
      </c>
      <c r="AA56" s="262" t="s">
        <v>22189</v>
      </c>
      <c r="AB56" s="127"/>
      <c r="AC56" s="127"/>
      <c r="AD56" s="261"/>
      <c r="AE56" s="261"/>
      <c r="AF56" s="261"/>
      <c r="AG56" s="261"/>
    </row>
    <row r="57" ht="34.5" customHeight="1">
      <c r="A57" s="111" t="s">
        <v>22438</v>
      </c>
      <c r="B57" s="127" t="s">
        <v>22439</v>
      </c>
      <c r="C57" s="111" t="s">
        <v>8026</v>
      </c>
      <c r="D57" s="111"/>
      <c r="E57" s="111"/>
      <c r="F57" s="111"/>
      <c r="G57" s="111"/>
      <c r="H57" s="111"/>
      <c r="I57" s="127" t="s">
        <v>22440</v>
      </c>
      <c r="J57" s="111">
        <v>2030.0</v>
      </c>
      <c r="K57" s="257">
        <v>2030.0</v>
      </c>
      <c r="L57" s="111"/>
      <c r="M57" s="127" t="s">
        <v>22185</v>
      </c>
      <c r="N57" s="127" t="s">
        <v>12399</v>
      </c>
      <c r="O57" s="111" t="s">
        <v>30</v>
      </c>
      <c r="P57" s="111" t="s">
        <v>10444</v>
      </c>
      <c r="Q57" s="111" t="s">
        <v>22441</v>
      </c>
      <c r="R57" s="124"/>
      <c r="S57" s="125"/>
      <c r="T57" s="125"/>
      <c r="U57" s="125" t="s">
        <v>22442</v>
      </c>
      <c r="V57" s="258">
        <v>495.0</v>
      </c>
      <c r="W57" s="258"/>
      <c r="X57" s="125"/>
      <c r="Y57" s="125"/>
      <c r="Z57" s="259" t="s">
        <v>22189</v>
      </c>
      <c r="AA57" s="259" t="s">
        <v>22189</v>
      </c>
      <c r="AB57" s="260"/>
      <c r="AC57" s="260"/>
      <c r="AD57" s="261"/>
      <c r="AE57" s="261"/>
      <c r="AF57" s="261"/>
      <c r="AG57" s="261"/>
    </row>
    <row r="58" ht="34.5" customHeight="1">
      <c r="A58" s="111" t="s">
        <v>22443</v>
      </c>
      <c r="B58" s="127" t="s">
        <v>22444</v>
      </c>
      <c r="C58" s="111" t="s">
        <v>7974</v>
      </c>
      <c r="D58" s="111"/>
      <c r="E58" s="111"/>
      <c r="F58" s="111"/>
      <c r="G58" s="111"/>
      <c r="H58" s="111"/>
      <c r="I58" s="127" t="s">
        <v>22445</v>
      </c>
      <c r="J58" s="111">
        <v>2030.0</v>
      </c>
      <c r="K58" s="257">
        <v>2030.0</v>
      </c>
      <c r="L58" s="111"/>
      <c r="M58" s="127" t="s">
        <v>22185</v>
      </c>
      <c r="N58" s="127" t="s">
        <v>12399</v>
      </c>
      <c r="O58" s="111" t="s">
        <v>30</v>
      </c>
      <c r="P58" s="111" t="s">
        <v>10444</v>
      </c>
      <c r="Q58" s="111" t="s">
        <v>22441</v>
      </c>
      <c r="R58" s="124"/>
      <c r="S58" s="125"/>
      <c r="T58" s="125"/>
      <c r="U58" s="125" t="s">
        <v>22446</v>
      </c>
      <c r="V58" s="258">
        <v>526.0</v>
      </c>
      <c r="W58" s="258"/>
      <c r="X58" s="125"/>
      <c r="Y58" s="125"/>
      <c r="Z58" s="259" t="s">
        <v>22189</v>
      </c>
      <c r="AA58" s="259" t="s">
        <v>22189</v>
      </c>
      <c r="AB58" s="260"/>
      <c r="AC58" s="260"/>
      <c r="AD58" s="261"/>
      <c r="AE58" s="261"/>
      <c r="AF58" s="261"/>
      <c r="AG58" s="261"/>
    </row>
    <row r="59" ht="34.5" customHeight="1">
      <c r="A59" s="111" t="s">
        <v>22447</v>
      </c>
      <c r="B59" s="127" t="s">
        <v>22448</v>
      </c>
      <c r="C59" s="111" t="s">
        <v>8026</v>
      </c>
      <c r="D59" s="111"/>
      <c r="E59" s="111"/>
      <c r="F59" s="111"/>
      <c r="G59" s="111"/>
      <c r="H59" s="111"/>
      <c r="I59" s="127" t="s">
        <v>22449</v>
      </c>
      <c r="J59" s="111">
        <v>2030.0</v>
      </c>
      <c r="K59" s="257">
        <v>2030.0</v>
      </c>
      <c r="L59" s="111"/>
      <c r="M59" s="127" t="s">
        <v>22185</v>
      </c>
      <c r="N59" s="127" t="s">
        <v>12399</v>
      </c>
      <c r="O59" s="111" t="s">
        <v>30</v>
      </c>
      <c r="P59" s="111" t="s">
        <v>10444</v>
      </c>
      <c r="Q59" s="128" t="s">
        <v>22450</v>
      </c>
      <c r="R59" s="124"/>
      <c r="S59" s="125"/>
      <c r="T59" s="126"/>
      <c r="U59" s="126" t="s">
        <v>22451</v>
      </c>
      <c r="V59" s="258">
        <v>730.0</v>
      </c>
      <c r="W59" s="258"/>
      <c r="X59" s="126"/>
      <c r="Y59" s="126"/>
      <c r="Z59" s="259" t="s">
        <v>22189</v>
      </c>
      <c r="AA59" s="262" t="s">
        <v>22189</v>
      </c>
      <c r="AB59" s="262" t="s">
        <v>22189</v>
      </c>
      <c r="AC59" s="127"/>
      <c r="AD59" s="261"/>
      <c r="AE59" s="261"/>
      <c r="AF59" s="261"/>
      <c r="AG59" s="261"/>
    </row>
    <row r="60" ht="34.5" customHeight="1">
      <c r="A60" s="111" t="s">
        <v>22452</v>
      </c>
      <c r="B60" s="127" t="s">
        <v>22453</v>
      </c>
      <c r="C60" s="111" t="s">
        <v>8026</v>
      </c>
      <c r="D60" s="111" t="s">
        <v>8008</v>
      </c>
      <c r="E60" s="111"/>
      <c r="F60" s="111"/>
      <c r="G60" s="111"/>
      <c r="H60" s="111"/>
      <c r="I60" s="127" t="s">
        <v>22454</v>
      </c>
      <c r="J60" s="111">
        <v>2030.0</v>
      </c>
      <c r="K60" s="257">
        <v>2030.0</v>
      </c>
      <c r="L60" s="111"/>
      <c r="M60" s="127" t="s">
        <v>22185</v>
      </c>
      <c r="N60" s="127" t="s">
        <v>12399</v>
      </c>
      <c r="O60" s="111" t="s">
        <v>30</v>
      </c>
      <c r="P60" s="111" t="s">
        <v>22258</v>
      </c>
      <c r="Q60" s="128" t="s">
        <v>22450</v>
      </c>
      <c r="R60" s="124"/>
      <c r="S60" s="125"/>
      <c r="T60" s="125"/>
      <c r="U60" s="125" t="s">
        <v>22455</v>
      </c>
      <c r="V60" s="258">
        <v>40.0</v>
      </c>
      <c r="W60" s="258"/>
      <c r="X60" s="125"/>
      <c r="Y60" s="125"/>
      <c r="Z60" s="259" t="s">
        <v>22189</v>
      </c>
      <c r="AA60" s="262" t="s">
        <v>22189</v>
      </c>
      <c r="AB60" s="262" t="s">
        <v>22189</v>
      </c>
      <c r="AC60" s="127"/>
      <c r="AD60" s="261"/>
      <c r="AE60" s="261"/>
      <c r="AF60" s="261"/>
      <c r="AG60" s="261"/>
    </row>
    <row r="61" ht="34.5" customHeight="1">
      <c r="A61" s="111" t="s">
        <v>22456</v>
      </c>
      <c r="B61" s="127" t="s">
        <v>22457</v>
      </c>
      <c r="C61" s="111" t="s">
        <v>8008</v>
      </c>
      <c r="D61" s="111"/>
      <c r="E61" s="111"/>
      <c r="F61" s="111"/>
      <c r="G61" s="111"/>
      <c r="H61" s="111"/>
      <c r="I61" s="127" t="s">
        <v>22458</v>
      </c>
      <c r="J61" s="111">
        <v>2030.0</v>
      </c>
      <c r="K61" s="257">
        <v>2030.0</v>
      </c>
      <c r="L61" s="111"/>
      <c r="M61" s="127" t="s">
        <v>22185</v>
      </c>
      <c r="N61" s="127" t="s">
        <v>12399</v>
      </c>
      <c r="O61" s="111" t="s">
        <v>30</v>
      </c>
      <c r="P61" s="111" t="s">
        <v>10444</v>
      </c>
      <c r="Q61" s="128" t="s">
        <v>22450</v>
      </c>
      <c r="R61" s="124"/>
      <c r="S61" s="125"/>
      <c r="T61" s="126"/>
      <c r="U61" s="126" t="s">
        <v>22459</v>
      </c>
      <c r="V61" s="258">
        <v>290.0</v>
      </c>
      <c r="W61" s="258"/>
      <c r="X61" s="126"/>
      <c r="Y61" s="126"/>
      <c r="Z61" s="259" t="s">
        <v>22189</v>
      </c>
      <c r="AA61" s="262" t="s">
        <v>22189</v>
      </c>
      <c r="AB61" s="262" t="s">
        <v>22189</v>
      </c>
      <c r="AC61" s="127"/>
      <c r="AD61" s="261"/>
      <c r="AE61" s="261"/>
      <c r="AF61" s="261"/>
      <c r="AG61" s="261"/>
    </row>
    <row r="62" ht="34.5" customHeight="1">
      <c r="A62" s="111" t="s">
        <v>22460</v>
      </c>
      <c r="B62" s="127" t="s">
        <v>22461</v>
      </c>
      <c r="C62" s="111" t="s">
        <v>8649</v>
      </c>
      <c r="D62" s="111"/>
      <c r="E62" s="111"/>
      <c r="F62" s="111"/>
      <c r="G62" s="111"/>
      <c r="H62" s="111"/>
      <c r="I62" s="127" t="s">
        <v>22462</v>
      </c>
      <c r="J62" s="111">
        <v>2030.0</v>
      </c>
      <c r="K62" s="257">
        <v>2030.0</v>
      </c>
      <c r="L62" s="111"/>
      <c r="M62" s="127" t="s">
        <v>22185</v>
      </c>
      <c r="N62" s="127" t="s">
        <v>12399</v>
      </c>
      <c r="O62" s="111" t="s">
        <v>30</v>
      </c>
      <c r="P62" s="111" t="s">
        <v>10444</v>
      </c>
      <c r="Q62" s="128" t="s">
        <v>22450</v>
      </c>
      <c r="R62" s="124"/>
      <c r="S62" s="125"/>
      <c r="T62" s="126"/>
      <c r="U62" s="126" t="s">
        <v>22463</v>
      </c>
      <c r="V62" s="258">
        <v>288.0</v>
      </c>
      <c r="W62" s="258"/>
      <c r="X62" s="126"/>
      <c r="Y62" s="126"/>
      <c r="Z62" s="259" t="s">
        <v>22189</v>
      </c>
      <c r="AA62" s="262" t="s">
        <v>22189</v>
      </c>
      <c r="AB62" s="262" t="s">
        <v>22189</v>
      </c>
      <c r="AC62" s="127"/>
      <c r="AD62" s="261"/>
      <c r="AE62" s="261"/>
      <c r="AF62" s="261"/>
      <c r="AG62" s="261"/>
    </row>
    <row r="63" ht="34.5" customHeight="1">
      <c r="A63" s="111" t="s">
        <v>22464</v>
      </c>
      <c r="B63" s="127" t="s">
        <v>22465</v>
      </c>
      <c r="C63" s="111" t="s">
        <v>8647</v>
      </c>
      <c r="D63" s="111"/>
      <c r="E63" s="111"/>
      <c r="F63" s="111"/>
      <c r="G63" s="111"/>
      <c r="H63" s="111"/>
      <c r="I63" s="127" t="s">
        <v>22466</v>
      </c>
      <c r="J63" s="111">
        <v>2030.0</v>
      </c>
      <c r="K63" s="257">
        <v>2030.0</v>
      </c>
      <c r="L63" s="111"/>
      <c r="M63" s="127" t="s">
        <v>22185</v>
      </c>
      <c r="N63" s="127" t="s">
        <v>12399</v>
      </c>
      <c r="O63" s="111" t="s">
        <v>30</v>
      </c>
      <c r="P63" s="111" t="s">
        <v>10444</v>
      </c>
      <c r="Q63" s="128" t="s">
        <v>22467</v>
      </c>
      <c r="R63" s="124"/>
      <c r="S63" s="125"/>
      <c r="T63" s="126"/>
      <c r="U63" s="126" t="s">
        <v>22468</v>
      </c>
      <c r="V63" s="258">
        <v>346.0</v>
      </c>
      <c r="W63" s="258"/>
      <c r="X63" s="126"/>
      <c r="Y63" s="126"/>
      <c r="Z63" s="259" t="s">
        <v>22189</v>
      </c>
      <c r="AA63" s="262" t="s">
        <v>22189</v>
      </c>
      <c r="AB63" s="262" t="s">
        <v>22189</v>
      </c>
      <c r="AC63" s="127"/>
      <c r="AD63" s="261"/>
      <c r="AE63" s="261"/>
      <c r="AF63" s="261"/>
      <c r="AG63" s="261"/>
    </row>
    <row r="64" ht="34.5" customHeight="1">
      <c r="A64" s="111" t="s">
        <v>22469</v>
      </c>
      <c r="B64" s="127" t="s">
        <v>22470</v>
      </c>
      <c r="C64" s="111" t="s">
        <v>8023</v>
      </c>
      <c r="D64" s="111"/>
      <c r="E64" s="111"/>
      <c r="F64" s="111"/>
      <c r="G64" s="111"/>
      <c r="H64" s="111"/>
      <c r="I64" s="127" t="s">
        <v>22471</v>
      </c>
      <c r="J64" s="111">
        <v>2030.0</v>
      </c>
      <c r="K64" s="257">
        <v>2030.0</v>
      </c>
      <c r="L64" s="111"/>
      <c r="M64" s="127" t="s">
        <v>22185</v>
      </c>
      <c r="N64" s="127" t="s">
        <v>12399</v>
      </c>
      <c r="O64" s="111" t="s">
        <v>30</v>
      </c>
      <c r="P64" s="111" t="s">
        <v>10444</v>
      </c>
      <c r="Q64" s="128" t="s">
        <v>22450</v>
      </c>
      <c r="R64" s="124"/>
      <c r="S64" s="125"/>
      <c r="T64" s="126"/>
      <c r="U64" s="126" t="s">
        <v>22472</v>
      </c>
      <c r="V64" s="258">
        <v>720.0</v>
      </c>
      <c r="W64" s="258"/>
      <c r="X64" s="126"/>
      <c r="Y64" s="126"/>
      <c r="Z64" s="259" t="s">
        <v>22189</v>
      </c>
      <c r="AA64" s="262" t="s">
        <v>22189</v>
      </c>
      <c r="AB64" s="262" t="s">
        <v>22189</v>
      </c>
      <c r="AC64" s="127"/>
      <c r="AD64" s="261"/>
      <c r="AE64" s="261"/>
      <c r="AF64" s="261"/>
      <c r="AG64" s="261"/>
    </row>
    <row r="65" ht="34.5" customHeight="1">
      <c r="A65" s="111" t="s">
        <v>22473</v>
      </c>
      <c r="B65" s="127" t="s">
        <v>22474</v>
      </c>
      <c r="C65" s="111" t="s">
        <v>7987</v>
      </c>
      <c r="D65" s="111"/>
      <c r="E65" s="111"/>
      <c r="F65" s="111"/>
      <c r="G65" s="111"/>
      <c r="H65" s="111"/>
      <c r="I65" s="127" t="s">
        <v>22475</v>
      </c>
      <c r="J65" s="111">
        <v>2030.0</v>
      </c>
      <c r="K65" s="257">
        <v>2030.0</v>
      </c>
      <c r="L65" s="111"/>
      <c r="M65" s="127" t="s">
        <v>22185</v>
      </c>
      <c r="N65" s="127" t="s">
        <v>12399</v>
      </c>
      <c r="O65" s="111" t="s">
        <v>30</v>
      </c>
      <c r="P65" s="111" t="s">
        <v>10444</v>
      </c>
      <c r="Q65" s="128" t="s">
        <v>22450</v>
      </c>
      <c r="R65" s="124"/>
      <c r="S65" s="125"/>
      <c r="T65" s="126"/>
      <c r="U65" s="126" t="s">
        <v>22476</v>
      </c>
      <c r="V65" s="258">
        <v>10.0</v>
      </c>
      <c r="W65" s="258"/>
      <c r="X65" s="126"/>
      <c r="Y65" s="126"/>
      <c r="Z65" s="259" t="s">
        <v>22189</v>
      </c>
      <c r="AA65" s="262" t="s">
        <v>22189</v>
      </c>
      <c r="AB65" s="262" t="s">
        <v>22189</v>
      </c>
      <c r="AC65" s="127"/>
      <c r="AD65" s="261"/>
      <c r="AE65" s="261"/>
      <c r="AF65" s="261"/>
      <c r="AG65" s="261"/>
    </row>
    <row r="66" ht="54.75" customHeight="1">
      <c r="A66" s="111" t="s">
        <v>22477</v>
      </c>
      <c r="B66" s="127" t="s">
        <v>22478</v>
      </c>
      <c r="C66" s="111" t="s">
        <v>7987</v>
      </c>
      <c r="D66" s="111"/>
      <c r="E66" s="111"/>
      <c r="F66" s="111"/>
      <c r="G66" s="111"/>
      <c r="H66" s="111"/>
      <c r="I66" s="127" t="s">
        <v>22479</v>
      </c>
      <c r="J66" s="111">
        <v>2027.0</v>
      </c>
      <c r="K66" s="257">
        <v>2027.0</v>
      </c>
      <c r="L66" s="111"/>
      <c r="M66" s="127" t="s">
        <v>22185</v>
      </c>
      <c r="N66" s="127" t="s">
        <v>12399</v>
      </c>
      <c r="O66" s="111" t="s">
        <v>30</v>
      </c>
      <c r="P66" s="111" t="s">
        <v>10444</v>
      </c>
      <c r="Q66" s="111" t="s">
        <v>22480</v>
      </c>
      <c r="R66" s="124"/>
      <c r="S66" s="125"/>
      <c r="T66" s="125"/>
      <c r="U66" s="258" t="s">
        <v>22455</v>
      </c>
      <c r="V66" s="258">
        <v>40.0</v>
      </c>
      <c r="W66" s="258"/>
      <c r="X66" s="125"/>
      <c r="Y66" s="125"/>
      <c r="Z66" s="259" t="s">
        <v>22189</v>
      </c>
      <c r="AA66" s="259" t="s">
        <v>22189</v>
      </c>
      <c r="AB66" s="260"/>
      <c r="AC66" s="260"/>
      <c r="AD66" s="261"/>
      <c r="AE66" s="261"/>
      <c r="AF66" s="261"/>
      <c r="AG66" s="261"/>
    </row>
    <row r="67" ht="54.75" customHeight="1">
      <c r="A67" s="111" t="s">
        <v>22481</v>
      </c>
      <c r="B67" s="127" t="s">
        <v>22482</v>
      </c>
      <c r="C67" s="111" t="s">
        <v>7987</v>
      </c>
      <c r="D67" s="111"/>
      <c r="E67" s="111"/>
      <c r="F67" s="111"/>
      <c r="G67" s="111"/>
      <c r="H67" s="111"/>
      <c r="I67" s="127" t="s">
        <v>22479</v>
      </c>
      <c r="J67" s="111">
        <v>2030.0</v>
      </c>
      <c r="K67" s="257">
        <v>2030.0</v>
      </c>
      <c r="L67" s="111"/>
      <c r="M67" s="127" t="s">
        <v>22185</v>
      </c>
      <c r="N67" s="127" t="s">
        <v>12399</v>
      </c>
      <c r="O67" s="111" t="s">
        <v>30</v>
      </c>
      <c r="P67" s="111" t="s">
        <v>10444</v>
      </c>
      <c r="Q67" s="111" t="s">
        <v>22480</v>
      </c>
      <c r="R67" s="124"/>
      <c r="S67" s="125"/>
      <c r="T67" s="125"/>
      <c r="U67" s="258" t="s">
        <v>22483</v>
      </c>
      <c r="V67" s="258">
        <v>20.0</v>
      </c>
      <c r="W67" s="258"/>
      <c r="X67" s="125"/>
      <c r="Y67" s="125"/>
      <c r="Z67" s="259" t="s">
        <v>22189</v>
      </c>
      <c r="AA67" s="260"/>
      <c r="AB67" s="260"/>
      <c r="AC67" s="260"/>
      <c r="AD67" s="261"/>
      <c r="AE67" s="261"/>
      <c r="AF67" s="261"/>
      <c r="AG67" s="261"/>
    </row>
    <row r="68" ht="54.75" customHeight="1">
      <c r="A68" s="111" t="s">
        <v>22484</v>
      </c>
      <c r="B68" s="127" t="s">
        <v>22485</v>
      </c>
      <c r="C68" s="111" t="s">
        <v>7987</v>
      </c>
      <c r="D68" s="111"/>
      <c r="E68" s="111"/>
      <c r="F68" s="111"/>
      <c r="G68" s="111"/>
      <c r="H68" s="111"/>
      <c r="I68" s="127" t="s">
        <v>22479</v>
      </c>
      <c r="J68" s="111">
        <v>2035.0</v>
      </c>
      <c r="K68" s="257">
        <v>2035.0</v>
      </c>
      <c r="L68" s="111"/>
      <c r="M68" s="127" t="s">
        <v>22203</v>
      </c>
      <c r="N68" s="127" t="s">
        <v>12399</v>
      </c>
      <c r="O68" s="111" t="s">
        <v>30</v>
      </c>
      <c r="P68" s="111" t="s">
        <v>10444</v>
      </c>
      <c r="Q68" s="111" t="s">
        <v>22480</v>
      </c>
      <c r="R68" s="124"/>
      <c r="S68" s="125"/>
      <c r="T68" s="125"/>
      <c r="U68" s="258" t="s">
        <v>22455</v>
      </c>
      <c r="V68" s="258">
        <v>20.0</v>
      </c>
      <c r="W68" s="258">
        <v>20.0</v>
      </c>
      <c r="X68" s="125"/>
      <c r="Y68" s="125"/>
      <c r="Z68" s="259" t="s">
        <v>22189</v>
      </c>
      <c r="AA68" s="260"/>
      <c r="AB68" s="260"/>
      <c r="AC68" s="260"/>
      <c r="AD68" s="261"/>
      <c r="AE68" s="261"/>
      <c r="AF68" s="261"/>
      <c r="AG68" s="261"/>
    </row>
    <row r="69" ht="15.75" customHeight="1">
      <c r="A69" s="111" t="s">
        <v>22486</v>
      </c>
      <c r="B69" s="127" t="s">
        <v>22487</v>
      </c>
      <c r="C69" s="111" t="s">
        <v>7987</v>
      </c>
      <c r="D69" s="111"/>
      <c r="E69" s="111"/>
      <c r="F69" s="111"/>
      <c r="G69" s="111"/>
      <c r="H69" s="111"/>
      <c r="I69" s="127" t="s">
        <v>22488</v>
      </c>
      <c r="J69" s="111">
        <v>2025.0</v>
      </c>
      <c r="K69" s="257">
        <v>2025.0</v>
      </c>
      <c r="L69" s="111"/>
      <c r="M69" s="127" t="s">
        <v>22185</v>
      </c>
      <c r="N69" s="127" t="s">
        <v>12399</v>
      </c>
      <c r="O69" s="111" t="s">
        <v>30</v>
      </c>
      <c r="P69" s="111" t="s">
        <v>22258</v>
      </c>
      <c r="Q69" s="127" t="s">
        <v>22489</v>
      </c>
      <c r="R69" s="124"/>
      <c r="S69" s="125"/>
      <c r="T69" s="125"/>
      <c r="U69" s="258" t="s">
        <v>22490</v>
      </c>
      <c r="V69" s="258">
        <v>20.0</v>
      </c>
      <c r="W69" s="258"/>
      <c r="X69" s="125"/>
      <c r="Y69" s="125"/>
      <c r="Z69" s="259" t="s">
        <v>22189</v>
      </c>
      <c r="AA69" s="260"/>
      <c r="AB69" s="260"/>
      <c r="AC69" s="260"/>
      <c r="AD69" s="261"/>
      <c r="AE69" s="261"/>
      <c r="AF69" s="261"/>
      <c r="AG69" s="261"/>
    </row>
    <row r="70" ht="15.75" customHeight="1">
      <c r="A70" s="111" t="s">
        <v>22491</v>
      </c>
      <c r="B70" s="127" t="s">
        <v>22492</v>
      </c>
      <c r="C70" s="111" t="s">
        <v>7987</v>
      </c>
      <c r="D70" s="111"/>
      <c r="E70" s="111"/>
      <c r="F70" s="111"/>
      <c r="G70" s="111"/>
      <c r="H70" s="111"/>
      <c r="I70" s="127" t="s">
        <v>22493</v>
      </c>
      <c r="J70" s="111">
        <v>2028.0</v>
      </c>
      <c r="K70" s="257">
        <v>2028.0</v>
      </c>
      <c r="L70" s="111"/>
      <c r="M70" s="127" t="s">
        <v>22185</v>
      </c>
      <c r="N70" s="127" t="s">
        <v>12399</v>
      </c>
      <c r="O70" s="111" t="s">
        <v>30</v>
      </c>
      <c r="P70" s="111" t="s">
        <v>22258</v>
      </c>
      <c r="Q70" s="127" t="s">
        <v>22494</v>
      </c>
      <c r="R70" s="124"/>
      <c r="S70" s="125"/>
      <c r="T70" s="125"/>
      <c r="U70" s="258" t="s">
        <v>22495</v>
      </c>
      <c r="V70" s="258">
        <v>78.0</v>
      </c>
      <c r="W70" s="258"/>
      <c r="X70" s="125"/>
      <c r="Y70" s="125" t="s">
        <v>22496</v>
      </c>
      <c r="Z70" s="259" t="s">
        <v>22189</v>
      </c>
      <c r="AA70" s="259" t="s">
        <v>22189</v>
      </c>
      <c r="AB70" s="260"/>
      <c r="AC70" s="260"/>
      <c r="AD70" s="261"/>
      <c r="AE70" s="261"/>
      <c r="AF70" s="261"/>
      <c r="AG70" s="261"/>
    </row>
    <row r="71" ht="15.75" customHeight="1">
      <c r="A71" s="111" t="s">
        <v>22497</v>
      </c>
      <c r="B71" s="127" t="s">
        <v>22498</v>
      </c>
      <c r="C71" s="111" t="s">
        <v>7987</v>
      </c>
      <c r="D71" s="111"/>
      <c r="E71" s="111"/>
      <c r="F71" s="111"/>
      <c r="G71" s="111"/>
      <c r="H71" s="111"/>
      <c r="I71" s="127" t="s">
        <v>22499</v>
      </c>
      <c r="J71" s="111">
        <v>2030.0</v>
      </c>
      <c r="K71" s="257">
        <v>2030.0</v>
      </c>
      <c r="L71" s="111"/>
      <c r="M71" s="127" t="s">
        <v>22185</v>
      </c>
      <c r="N71" s="127" t="s">
        <v>12399</v>
      </c>
      <c r="O71" s="111" t="s">
        <v>30</v>
      </c>
      <c r="P71" s="111" t="s">
        <v>22258</v>
      </c>
      <c r="Q71" s="127" t="s">
        <v>22310</v>
      </c>
      <c r="R71" s="124"/>
      <c r="S71" s="125"/>
      <c r="T71" s="125"/>
      <c r="U71" s="258">
        <v>200.0</v>
      </c>
      <c r="V71" s="258">
        <v>200.0</v>
      </c>
      <c r="W71" s="258"/>
      <c r="X71" s="125"/>
      <c r="Y71" s="125"/>
      <c r="Z71" s="259" t="s">
        <v>22189</v>
      </c>
      <c r="AA71" s="259" t="s">
        <v>22189</v>
      </c>
      <c r="AB71" s="260"/>
      <c r="AC71" s="260"/>
      <c r="AD71" s="261"/>
      <c r="AE71" s="261"/>
      <c r="AF71" s="261"/>
      <c r="AG71" s="261"/>
    </row>
    <row r="72" ht="15.75" customHeight="1">
      <c r="A72" s="111" t="s">
        <v>22500</v>
      </c>
      <c r="B72" s="127" t="s">
        <v>22501</v>
      </c>
      <c r="C72" s="111" t="s">
        <v>7987</v>
      </c>
      <c r="D72" s="111"/>
      <c r="E72" s="111"/>
      <c r="F72" s="111"/>
      <c r="G72" s="111"/>
      <c r="H72" s="111"/>
      <c r="I72" s="127" t="s">
        <v>22499</v>
      </c>
      <c r="J72" s="111">
        <v>2030.0</v>
      </c>
      <c r="K72" s="257">
        <v>2030.0</v>
      </c>
      <c r="L72" s="111"/>
      <c r="M72" s="127" t="s">
        <v>22185</v>
      </c>
      <c r="N72" s="127" t="s">
        <v>12399</v>
      </c>
      <c r="O72" s="111" t="s">
        <v>30</v>
      </c>
      <c r="P72" s="111" t="s">
        <v>22258</v>
      </c>
      <c r="Q72" s="127" t="s">
        <v>22310</v>
      </c>
      <c r="R72" s="124"/>
      <c r="S72" s="125"/>
      <c r="T72" s="125"/>
      <c r="U72" s="258">
        <v>200.0</v>
      </c>
      <c r="V72" s="258">
        <v>200.0</v>
      </c>
      <c r="W72" s="258"/>
      <c r="X72" s="125"/>
      <c r="Y72" s="125"/>
      <c r="Z72" s="259" t="s">
        <v>22189</v>
      </c>
      <c r="AA72" s="259"/>
      <c r="AB72" s="260"/>
      <c r="AC72" s="260"/>
      <c r="AD72" s="261"/>
      <c r="AE72" s="261"/>
      <c r="AF72" s="261"/>
      <c r="AG72" s="261"/>
    </row>
    <row r="73" ht="15.75" customHeight="1">
      <c r="A73" s="111" t="s">
        <v>22502</v>
      </c>
      <c r="B73" s="127" t="s">
        <v>22503</v>
      </c>
      <c r="C73" s="111" t="s">
        <v>7994</v>
      </c>
      <c r="D73" s="111" t="s">
        <v>7987</v>
      </c>
      <c r="E73" s="111"/>
      <c r="F73" s="111"/>
      <c r="G73" s="111"/>
      <c r="H73" s="111"/>
      <c r="I73" s="127" t="s">
        <v>22504</v>
      </c>
      <c r="J73" s="111">
        <v>2028.0</v>
      </c>
      <c r="K73" s="257">
        <v>2028.0</v>
      </c>
      <c r="L73" s="111"/>
      <c r="M73" s="127" t="s">
        <v>22203</v>
      </c>
      <c r="N73" s="127" t="s">
        <v>12399</v>
      </c>
      <c r="O73" s="111" t="s">
        <v>30</v>
      </c>
      <c r="P73" s="111" t="s">
        <v>10444</v>
      </c>
      <c r="Q73" s="127" t="s">
        <v>22505</v>
      </c>
      <c r="R73" s="124"/>
      <c r="S73" s="125"/>
      <c r="T73" s="125"/>
      <c r="U73" s="125" t="s">
        <v>22506</v>
      </c>
      <c r="V73" s="258">
        <v>150.0</v>
      </c>
      <c r="W73" s="258">
        <v>250.0</v>
      </c>
      <c r="X73" s="125" t="s">
        <v>22507</v>
      </c>
      <c r="Y73" s="125"/>
      <c r="Z73" s="259" t="s">
        <v>22189</v>
      </c>
      <c r="AA73" s="262" t="s">
        <v>22189</v>
      </c>
      <c r="AB73" s="262" t="s">
        <v>22189</v>
      </c>
      <c r="AC73" s="260"/>
      <c r="AD73" s="261"/>
      <c r="AE73" s="261"/>
      <c r="AF73" s="261"/>
      <c r="AG73" s="261"/>
    </row>
    <row r="74" ht="34.5" customHeight="1">
      <c r="A74" s="111" t="s">
        <v>22508</v>
      </c>
      <c r="B74" s="127" t="s">
        <v>22509</v>
      </c>
      <c r="C74" s="111" t="s">
        <v>8021</v>
      </c>
      <c r="D74" s="111"/>
      <c r="E74" s="111"/>
      <c r="F74" s="111"/>
      <c r="G74" s="111"/>
      <c r="H74" s="111"/>
      <c r="I74" s="127" t="s">
        <v>22510</v>
      </c>
      <c r="J74" s="111" t="s">
        <v>19</v>
      </c>
      <c r="K74" s="257" t="s">
        <v>19</v>
      </c>
      <c r="L74" s="111"/>
      <c r="M74" s="127" t="s">
        <v>22185</v>
      </c>
      <c r="N74" s="127" t="s">
        <v>18192</v>
      </c>
      <c r="O74" s="111" t="s">
        <v>30</v>
      </c>
      <c r="P74" s="111" t="s">
        <v>10444</v>
      </c>
      <c r="Q74" s="127" t="s">
        <v>22511</v>
      </c>
      <c r="R74" s="124"/>
      <c r="S74" s="125"/>
      <c r="T74" s="125"/>
      <c r="U74" s="125" t="s">
        <v>22512</v>
      </c>
      <c r="V74" s="258">
        <v>500.0</v>
      </c>
      <c r="W74" s="258"/>
      <c r="X74" s="125"/>
      <c r="Y74" s="125"/>
      <c r="Z74" s="259" t="s">
        <v>22189</v>
      </c>
      <c r="AA74" s="262" t="s">
        <v>22189</v>
      </c>
      <c r="AB74" s="127"/>
      <c r="AC74" s="260"/>
      <c r="AD74" s="261"/>
      <c r="AE74" s="261"/>
      <c r="AF74" s="261"/>
      <c r="AG74" s="261"/>
    </row>
    <row r="75" ht="55.5" customHeight="1">
      <c r="A75" s="111" t="s">
        <v>22513</v>
      </c>
      <c r="B75" s="127" t="s">
        <v>22514</v>
      </c>
      <c r="C75" s="111" t="s">
        <v>7981</v>
      </c>
      <c r="D75" s="111"/>
      <c r="E75" s="111"/>
      <c r="F75" s="111"/>
      <c r="G75" s="111"/>
      <c r="H75" s="111"/>
      <c r="I75" s="127" t="s">
        <v>22515</v>
      </c>
      <c r="J75" s="111">
        <v>2026.0</v>
      </c>
      <c r="K75" s="257">
        <v>2026.0</v>
      </c>
      <c r="L75" s="111"/>
      <c r="M75" s="127" t="s">
        <v>22185</v>
      </c>
      <c r="N75" s="127" t="s">
        <v>12397</v>
      </c>
      <c r="O75" s="111" t="s">
        <v>30</v>
      </c>
      <c r="P75" s="111" t="s">
        <v>10444</v>
      </c>
      <c r="Q75" s="128" t="s">
        <v>22516</v>
      </c>
      <c r="R75" s="124"/>
      <c r="S75" s="125"/>
      <c r="T75" s="126"/>
      <c r="U75" s="263" t="s">
        <v>22517</v>
      </c>
      <c r="V75" s="258">
        <v>370.0</v>
      </c>
      <c r="W75" s="258"/>
      <c r="X75" s="126"/>
      <c r="Y75" s="126"/>
      <c r="Z75" s="259" t="s">
        <v>22189</v>
      </c>
      <c r="AA75" s="262" t="s">
        <v>22189</v>
      </c>
      <c r="AB75" s="127"/>
      <c r="AC75" s="127"/>
      <c r="AD75" s="261"/>
      <c r="AE75" s="261"/>
      <c r="AF75" s="261"/>
      <c r="AG75" s="261"/>
    </row>
    <row r="76" ht="34.5" customHeight="1">
      <c r="A76" s="111" t="s">
        <v>22518</v>
      </c>
      <c r="B76" s="127" t="s">
        <v>22519</v>
      </c>
      <c r="C76" s="111" t="s">
        <v>7991</v>
      </c>
      <c r="D76" s="111"/>
      <c r="E76" s="111"/>
      <c r="F76" s="111"/>
      <c r="G76" s="111"/>
      <c r="H76" s="111"/>
      <c r="I76" s="111" t="s">
        <v>22520</v>
      </c>
      <c r="J76" s="111">
        <v>2028.0</v>
      </c>
      <c r="K76" s="257">
        <v>2028.0</v>
      </c>
      <c r="L76" s="111"/>
      <c r="M76" s="111" t="s">
        <v>22203</v>
      </c>
      <c r="N76" s="111" t="s">
        <v>12397</v>
      </c>
      <c r="O76" s="111" t="s">
        <v>30</v>
      </c>
      <c r="P76" s="111" t="s">
        <v>10444</v>
      </c>
      <c r="Q76" s="111"/>
      <c r="R76" s="111"/>
      <c r="S76" s="111"/>
      <c r="T76" s="111"/>
      <c r="U76" s="111" t="s">
        <v>22521</v>
      </c>
      <c r="V76" s="111">
        <v>50.0</v>
      </c>
      <c r="W76" s="111">
        <v>50.0</v>
      </c>
      <c r="X76" s="111"/>
      <c r="Y76" s="111"/>
      <c r="Z76" s="259" t="s">
        <v>22189</v>
      </c>
      <c r="AA76" s="259"/>
      <c r="AB76" s="111"/>
      <c r="AC76" s="111"/>
      <c r="AD76" s="261"/>
      <c r="AE76" s="261"/>
      <c r="AF76" s="261"/>
      <c r="AG76" s="261"/>
    </row>
    <row r="77" ht="15.75" customHeight="1">
      <c r="A77" s="111" t="s">
        <v>22522</v>
      </c>
      <c r="B77" s="264" t="s">
        <v>22523</v>
      </c>
      <c r="C77" s="111" t="s">
        <v>7991</v>
      </c>
      <c r="D77" s="111"/>
      <c r="E77" s="111"/>
      <c r="F77" s="111"/>
      <c r="G77" s="111"/>
      <c r="H77" s="111"/>
      <c r="I77" s="111" t="s">
        <v>22520</v>
      </c>
      <c r="J77" s="111">
        <v>2030.0</v>
      </c>
      <c r="K77" s="257">
        <v>2030.0</v>
      </c>
      <c r="L77" s="111"/>
      <c r="M77" s="111" t="s">
        <v>22203</v>
      </c>
      <c r="N77" s="111" t="s">
        <v>12397</v>
      </c>
      <c r="O77" s="111" t="s">
        <v>30</v>
      </c>
      <c r="P77" s="111" t="s">
        <v>10444</v>
      </c>
      <c r="Q77" s="111"/>
      <c r="R77" s="111"/>
      <c r="S77" s="111"/>
      <c r="T77" s="111"/>
      <c r="U77" s="111" t="s">
        <v>22524</v>
      </c>
      <c r="V77" s="111">
        <v>1000.0</v>
      </c>
      <c r="W77" s="111">
        <v>1000.0</v>
      </c>
      <c r="X77" s="111"/>
      <c r="Y77" s="111" t="s">
        <v>22525</v>
      </c>
      <c r="Z77" s="259" t="s">
        <v>22189</v>
      </c>
      <c r="AA77" s="259"/>
      <c r="AB77" s="111"/>
      <c r="AC77" s="111"/>
      <c r="AD77" s="261"/>
      <c r="AE77" s="261"/>
      <c r="AF77" s="261"/>
      <c r="AG77" s="261"/>
    </row>
    <row r="78" ht="34.5" customHeight="1">
      <c r="A78" s="111" t="s">
        <v>22526</v>
      </c>
      <c r="B78" s="127" t="s">
        <v>22527</v>
      </c>
      <c r="C78" s="111" t="s">
        <v>8071</v>
      </c>
      <c r="D78" s="111"/>
      <c r="E78" s="111"/>
      <c r="F78" s="111"/>
      <c r="G78" s="111"/>
      <c r="H78" s="111"/>
      <c r="I78" s="111" t="s">
        <v>22528</v>
      </c>
      <c r="J78" s="111">
        <v>2030.0</v>
      </c>
      <c r="K78" s="257">
        <v>2030.0</v>
      </c>
      <c r="L78" s="111"/>
      <c r="M78" s="111" t="s">
        <v>22185</v>
      </c>
      <c r="N78" s="111" t="s">
        <v>12399</v>
      </c>
      <c r="O78" s="111" t="s">
        <v>30</v>
      </c>
      <c r="P78" s="111" t="s">
        <v>10444</v>
      </c>
      <c r="Q78" s="111" t="s">
        <v>22529</v>
      </c>
      <c r="R78" s="111"/>
      <c r="S78" s="111"/>
      <c r="T78" s="111"/>
      <c r="U78" s="111" t="s">
        <v>22305</v>
      </c>
      <c r="V78" s="111">
        <v>150.0</v>
      </c>
      <c r="W78" s="111"/>
      <c r="X78" s="111"/>
      <c r="Y78" s="111"/>
      <c r="Z78" s="259" t="s">
        <v>22189</v>
      </c>
      <c r="AA78" s="259" t="s">
        <v>22189</v>
      </c>
      <c r="AB78" s="111"/>
      <c r="AC78" s="111"/>
      <c r="AD78" s="261"/>
      <c r="AE78" s="261"/>
      <c r="AF78" s="261"/>
      <c r="AG78" s="261"/>
    </row>
    <row r="79" ht="34.5" customHeight="1">
      <c r="A79" s="111" t="s">
        <v>22530</v>
      </c>
      <c r="B79" s="127" t="s">
        <v>22531</v>
      </c>
      <c r="C79" s="111" t="s">
        <v>8539</v>
      </c>
      <c r="D79" s="111"/>
      <c r="E79" s="111"/>
      <c r="F79" s="111"/>
      <c r="G79" s="111"/>
      <c r="H79" s="111"/>
      <c r="I79" s="127" t="s">
        <v>22532</v>
      </c>
      <c r="J79" s="111">
        <v>2023.0</v>
      </c>
      <c r="K79" s="257">
        <v>2023.0</v>
      </c>
      <c r="L79" s="111"/>
      <c r="M79" s="127" t="s">
        <v>22185</v>
      </c>
      <c r="N79" s="127" t="s">
        <v>12397</v>
      </c>
      <c r="O79" s="111" t="s">
        <v>30</v>
      </c>
      <c r="P79" s="111" t="s">
        <v>10444</v>
      </c>
      <c r="Q79" s="128" t="s">
        <v>22533</v>
      </c>
      <c r="R79" s="124"/>
      <c r="S79" s="125"/>
      <c r="T79" s="126"/>
      <c r="U79" s="126" t="s">
        <v>19</v>
      </c>
      <c r="V79" s="258"/>
      <c r="W79" s="258"/>
      <c r="X79" s="126" t="s">
        <v>22534</v>
      </c>
      <c r="Y79" s="126"/>
      <c r="Z79" s="259" t="s">
        <v>22189</v>
      </c>
      <c r="AA79" s="262" t="s">
        <v>22189</v>
      </c>
      <c r="AB79" s="262"/>
      <c r="AC79" s="127"/>
      <c r="AD79" s="261"/>
      <c r="AE79" s="261"/>
      <c r="AF79" s="261"/>
      <c r="AG79" s="261"/>
    </row>
    <row r="80" ht="34.5" customHeight="1">
      <c r="A80" s="111" t="s">
        <v>22535</v>
      </c>
      <c r="B80" s="127" t="s">
        <v>22536</v>
      </c>
      <c r="C80" s="111" t="s">
        <v>7994</v>
      </c>
      <c r="D80" s="111"/>
      <c r="E80" s="111"/>
      <c r="F80" s="111"/>
      <c r="G80" s="111"/>
      <c r="H80" s="111"/>
      <c r="I80" s="127" t="s">
        <v>22537</v>
      </c>
      <c r="J80" s="111">
        <v>2030.0</v>
      </c>
      <c r="K80" s="257">
        <v>2030.0</v>
      </c>
      <c r="L80" s="111"/>
      <c r="M80" s="127" t="s">
        <v>22185</v>
      </c>
      <c r="N80" s="127" t="s">
        <v>12397</v>
      </c>
      <c r="O80" s="111" t="s">
        <v>30</v>
      </c>
      <c r="P80" s="111" t="s">
        <v>22258</v>
      </c>
      <c r="Q80" s="111" t="s">
        <v>22538</v>
      </c>
      <c r="R80" s="124"/>
      <c r="S80" s="125"/>
      <c r="T80" s="125"/>
      <c r="U80" s="125" t="s">
        <v>22539</v>
      </c>
      <c r="V80" s="258">
        <v>275.0</v>
      </c>
      <c r="W80" s="258"/>
      <c r="X80" s="125"/>
      <c r="Y80" s="125"/>
      <c r="Z80" s="259" t="s">
        <v>22189</v>
      </c>
      <c r="AA80" s="259" t="s">
        <v>22189</v>
      </c>
      <c r="AB80" s="262" t="s">
        <v>22189</v>
      </c>
      <c r="AC80" s="260"/>
      <c r="AD80" s="261"/>
      <c r="AE80" s="261"/>
      <c r="AF80" s="261"/>
      <c r="AG80" s="261"/>
    </row>
    <row r="81" ht="34.5" customHeight="1">
      <c r="A81" s="111" t="s">
        <v>22540</v>
      </c>
      <c r="B81" s="127" t="s">
        <v>22541</v>
      </c>
      <c r="C81" s="111" t="s">
        <v>7967</v>
      </c>
      <c r="D81" s="111"/>
      <c r="E81" s="111"/>
      <c r="F81" s="111"/>
      <c r="G81" s="111"/>
      <c r="H81" s="111"/>
      <c r="I81" s="127" t="s">
        <v>22542</v>
      </c>
      <c r="J81" s="111">
        <v>2040.0</v>
      </c>
      <c r="K81" s="257">
        <v>2040.0</v>
      </c>
      <c r="L81" s="111"/>
      <c r="M81" s="127" t="s">
        <v>22185</v>
      </c>
      <c r="N81" s="127" t="s">
        <v>12397</v>
      </c>
      <c r="O81" s="111" t="s">
        <v>30</v>
      </c>
      <c r="P81" s="111" t="s">
        <v>22258</v>
      </c>
      <c r="Q81" s="128" t="s">
        <v>22543</v>
      </c>
      <c r="R81" s="124"/>
      <c r="S81" s="125"/>
      <c r="T81" s="126"/>
      <c r="U81" s="126" t="s">
        <v>22544</v>
      </c>
      <c r="V81" s="258">
        <v>70.0</v>
      </c>
      <c r="W81" s="258"/>
      <c r="X81" s="126"/>
      <c r="Y81" s="126"/>
      <c r="Z81" s="259" t="s">
        <v>22189</v>
      </c>
      <c r="AA81" s="262" t="s">
        <v>22189</v>
      </c>
      <c r="AB81" s="127"/>
      <c r="AC81" s="127"/>
      <c r="AD81" s="261"/>
      <c r="AE81" s="261"/>
      <c r="AF81" s="261"/>
      <c r="AG81" s="261"/>
    </row>
    <row r="82" ht="34.5" customHeight="1">
      <c r="A82" s="111" t="s">
        <v>22545</v>
      </c>
      <c r="B82" s="127" t="s">
        <v>22546</v>
      </c>
      <c r="C82" s="111" t="s">
        <v>7967</v>
      </c>
      <c r="D82" s="111" t="s">
        <v>8087</v>
      </c>
      <c r="E82" s="111"/>
      <c r="F82" s="111"/>
      <c r="G82" s="111"/>
      <c r="H82" s="111"/>
      <c r="I82" s="127" t="s">
        <v>22547</v>
      </c>
      <c r="J82" s="111">
        <v>2050.0</v>
      </c>
      <c r="K82" s="257" t="s">
        <v>19</v>
      </c>
      <c r="L82" s="111"/>
      <c r="M82" s="127" t="s">
        <v>22185</v>
      </c>
      <c r="N82" s="127" t="s">
        <v>12397</v>
      </c>
      <c r="O82" s="111" t="s">
        <v>30</v>
      </c>
      <c r="P82" s="111" t="s">
        <v>22258</v>
      </c>
      <c r="Q82" s="128" t="s">
        <v>19</v>
      </c>
      <c r="R82" s="124"/>
      <c r="S82" s="125"/>
      <c r="T82" s="126"/>
      <c r="U82" s="126" t="s">
        <v>22548</v>
      </c>
      <c r="V82" s="258">
        <v>260.0</v>
      </c>
      <c r="W82" s="258"/>
      <c r="X82" s="126"/>
      <c r="Y82" s="126"/>
      <c r="Z82" s="259" t="s">
        <v>22189</v>
      </c>
      <c r="AA82" s="262" t="s">
        <v>22189</v>
      </c>
      <c r="AB82" s="127"/>
      <c r="AC82" s="127"/>
      <c r="AD82" s="261"/>
      <c r="AE82" s="261"/>
      <c r="AF82" s="261"/>
      <c r="AG82" s="261"/>
    </row>
    <row r="83" ht="49.5" customHeight="1">
      <c r="A83" s="111" t="s">
        <v>22549</v>
      </c>
      <c r="B83" s="111" t="s">
        <v>22550</v>
      </c>
      <c r="C83" s="111" t="s">
        <v>7991</v>
      </c>
      <c r="D83" s="111"/>
      <c r="E83" s="111"/>
      <c r="F83" s="111"/>
      <c r="G83" s="111"/>
      <c r="H83" s="111"/>
      <c r="I83" s="127" t="s">
        <v>22551</v>
      </c>
      <c r="J83" s="111">
        <v>2050.0</v>
      </c>
      <c r="K83" s="257" t="s">
        <v>19</v>
      </c>
      <c r="L83" s="111"/>
      <c r="M83" s="127" t="s">
        <v>22552</v>
      </c>
      <c r="N83" s="127" t="s">
        <v>12397</v>
      </c>
      <c r="O83" s="111" t="s">
        <v>30</v>
      </c>
      <c r="P83" s="111" t="s">
        <v>10444</v>
      </c>
      <c r="Q83" s="128" t="s">
        <v>22553</v>
      </c>
      <c r="R83" s="124"/>
      <c r="S83" s="125"/>
      <c r="T83" s="126"/>
      <c r="U83" s="126" t="s">
        <v>22554</v>
      </c>
      <c r="V83" s="258">
        <v>30.0</v>
      </c>
      <c r="W83" s="258"/>
      <c r="X83" s="126"/>
      <c r="Y83" s="126"/>
      <c r="Z83" s="259" t="s">
        <v>22189</v>
      </c>
      <c r="AA83" s="127"/>
      <c r="AB83" s="127"/>
      <c r="AC83" s="127"/>
      <c r="AD83" s="261"/>
      <c r="AE83" s="261"/>
      <c r="AF83" s="261"/>
      <c r="AG83" s="261"/>
    </row>
    <row r="84" ht="34.5" customHeight="1">
      <c r="A84" s="111" t="s">
        <v>22555</v>
      </c>
      <c r="B84" s="127" t="s">
        <v>22556</v>
      </c>
      <c r="C84" s="111" t="s">
        <v>7987</v>
      </c>
      <c r="D84" s="111"/>
      <c r="E84" s="111"/>
      <c r="F84" s="111"/>
      <c r="G84" s="111"/>
      <c r="H84" s="111"/>
      <c r="I84" s="127" t="s">
        <v>22557</v>
      </c>
      <c r="J84" s="111">
        <v>2027.0</v>
      </c>
      <c r="K84" s="257">
        <v>2027.0</v>
      </c>
      <c r="L84" s="111"/>
      <c r="M84" s="127" t="s">
        <v>22203</v>
      </c>
      <c r="N84" s="127" t="s">
        <v>12399</v>
      </c>
      <c r="O84" s="111" t="s">
        <v>30</v>
      </c>
      <c r="P84" s="111" t="s">
        <v>10444</v>
      </c>
      <c r="Q84" s="128" t="s">
        <v>22558</v>
      </c>
      <c r="R84" s="124"/>
      <c r="S84" s="125"/>
      <c r="T84" s="126">
        <v>60.0</v>
      </c>
      <c r="U84" s="263" t="s">
        <v>22559</v>
      </c>
      <c r="V84" s="258">
        <v>16.0</v>
      </c>
      <c r="W84" s="258">
        <v>26.0</v>
      </c>
      <c r="X84" s="126">
        <v>25.0</v>
      </c>
      <c r="Y84" s="126" t="s">
        <v>22560</v>
      </c>
      <c r="Z84" s="259" t="s">
        <v>22189</v>
      </c>
      <c r="AA84" s="262" t="s">
        <v>22189</v>
      </c>
      <c r="AB84" s="127"/>
      <c r="AC84" s="127"/>
      <c r="AD84" s="261"/>
      <c r="AE84" s="261"/>
      <c r="AF84" s="261"/>
      <c r="AG84" s="261"/>
    </row>
    <row r="85" ht="34.5" customHeight="1">
      <c r="A85" s="111" t="s">
        <v>22561</v>
      </c>
      <c r="B85" s="127" t="s">
        <v>22562</v>
      </c>
      <c r="C85" s="111" t="s">
        <v>8087</v>
      </c>
      <c r="D85" s="111"/>
      <c r="E85" s="111"/>
      <c r="F85" s="111"/>
      <c r="G85" s="111"/>
      <c r="H85" s="111"/>
      <c r="I85" s="127" t="s">
        <v>22563</v>
      </c>
      <c r="J85" s="111">
        <v>2026.0</v>
      </c>
      <c r="K85" s="257">
        <v>2026.0</v>
      </c>
      <c r="L85" s="111"/>
      <c r="M85" s="127" t="s">
        <v>22185</v>
      </c>
      <c r="N85" s="127" t="s">
        <v>22564</v>
      </c>
      <c r="O85" s="111" t="s">
        <v>30</v>
      </c>
      <c r="P85" s="111" t="s">
        <v>10444</v>
      </c>
      <c r="Q85" s="128" t="s">
        <v>22565</v>
      </c>
      <c r="R85" s="124"/>
      <c r="S85" s="125"/>
      <c r="T85" s="126"/>
      <c r="U85" s="126"/>
      <c r="V85" s="258">
        <v>100.0</v>
      </c>
      <c r="W85" s="258"/>
      <c r="X85" s="126" t="s">
        <v>22566</v>
      </c>
      <c r="Y85" s="126"/>
      <c r="Z85" s="259" t="s">
        <v>22189</v>
      </c>
      <c r="AA85" s="259" t="s">
        <v>22189</v>
      </c>
      <c r="AB85" s="259" t="s">
        <v>22189</v>
      </c>
      <c r="AC85" s="259"/>
      <c r="AD85" s="261"/>
      <c r="AE85" s="261"/>
      <c r="AF85" s="261"/>
      <c r="AG85" s="261"/>
    </row>
    <row r="86" ht="34.5" customHeight="1">
      <c r="A86" s="111" t="s">
        <v>22567</v>
      </c>
      <c r="B86" s="127" t="s">
        <v>22568</v>
      </c>
      <c r="C86" s="111" t="s">
        <v>8087</v>
      </c>
      <c r="D86" s="111"/>
      <c r="E86" s="111"/>
      <c r="F86" s="111"/>
      <c r="G86" s="111"/>
      <c r="H86" s="111"/>
      <c r="I86" s="127" t="s">
        <v>22563</v>
      </c>
      <c r="J86" s="111">
        <v>2028.0</v>
      </c>
      <c r="K86" s="257">
        <v>2028.0</v>
      </c>
      <c r="L86" s="111"/>
      <c r="M86" s="127" t="s">
        <v>22203</v>
      </c>
      <c r="N86" s="127" t="s">
        <v>12399</v>
      </c>
      <c r="O86" s="111" t="s">
        <v>30</v>
      </c>
      <c r="P86" s="111" t="s">
        <v>10444</v>
      </c>
      <c r="Q86" s="128" t="s">
        <v>22569</v>
      </c>
      <c r="R86" s="124"/>
      <c r="S86" s="125"/>
      <c r="T86" s="126"/>
      <c r="U86" s="126"/>
      <c r="V86" s="258">
        <v>220.0</v>
      </c>
      <c r="W86" s="258">
        <v>35.0</v>
      </c>
      <c r="X86" s="126" t="s">
        <v>22566</v>
      </c>
      <c r="Y86" s="126"/>
      <c r="Z86" s="259" t="s">
        <v>22189</v>
      </c>
      <c r="AA86" s="259" t="s">
        <v>22189</v>
      </c>
      <c r="AB86" s="259" t="s">
        <v>22189</v>
      </c>
      <c r="AC86" s="259"/>
      <c r="AD86" s="261"/>
      <c r="AE86" s="261"/>
      <c r="AF86" s="261"/>
      <c r="AG86" s="261"/>
    </row>
    <row r="87" ht="34.5" customHeight="1">
      <c r="A87" s="111" t="s">
        <v>22570</v>
      </c>
      <c r="B87" s="127" t="s">
        <v>22571</v>
      </c>
      <c r="C87" s="111" t="s">
        <v>8087</v>
      </c>
      <c r="D87" s="111"/>
      <c r="E87" s="111"/>
      <c r="F87" s="111"/>
      <c r="G87" s="111"/>
      <c r="H87" s="111"/>
      <c r="I87" s="127" t="s">
        <v>22563</v>
      </c>
      <c r="J87" s="111">
        <v>2032.0</v>
      </c>
      <c r="K87" s="257">
        <v>2032.0</v>
      </c>
      <c r="L87" s="111"/>
      <c r="M87" s="127" t="s">
        <v>22198</v>
      </c>
      <c r="N87" s="127" t="s">
        <v>12399</v>
      </c>
      <c r="O87" s="111" t="s">
        <v>30</v>
      </c>
      <c r="P87" s="111" t="s">
        <v>10444</v>
      </c>
      <c r="Q87" s="128" t="s">
        <v>22572</v>
      </c>
      <c r="R87" s="124"/>
      <c r="S87" s="125"/>
      <c r="T87" s="126"/>
      <c r="U87" s="126"/>
      <c r="V87" s="258"/>
      <c r="W87" s="258">
        <v>25.0</v>
      </c>
      <c r="X87" s="126" t="s">
        <v>22566</v>
      </c>
      <c r="Y87" s="126"/>
      <c r="Z87" s="259" t="s">
        <v>22189</v>
      </c>
      <c r="AA87" s="259" t="s">
        <v>22189</v>
      </c>
      <c r="AB87" s="259" t="s">
        <v>22189</v>
      </c>
      <c r="AC87" s="259"/>
      <c r="AD87" s="261"/>
      <c r="AE87" s="261"/>
      <c r="AF87" s="261"/>
      <c r="AG87" s="261"/>
    </row>
    <row r="88" ht="34.5" customHeight="1">
      <c r="A88" s="111" t="s">
        <v>22573</v>
      </c>
      <c r="B88" s="127" t="s">
        <v>22574</v>
      </c>
      <c r="C88" s="111" t="s">
        <v>8087</v>
      </c>
      <c r="D88" s="111"/>
      <c r="E88" s="111"/>
      <c r="F88" s="111"/>
      <c r="G88" s="111"/>
      <c r="H88" s="111"/>
      <c r="I88" s="127" t="s">
        <v>22563</v>
      </c>
      <c r="J88" s="111">
        <v>2034.0</v>
      </c>
      <c r="K88" s="257">
        <v>2034.0</v>
      </c>
      <c r="L88" s="111"/>
      <c r="M88" s="127" t="s">
        <v>22198</v>
      </c>
      <c r="N88" s="127" t="s">
        <v>12399</v>
      </c>
      <c r="O88" s="111" t="s">
        <v>30</v>
      </c>
      <c r="P88" s="111" t="s">
        <v>10444</v>
      </c>
      <c r="Q88" s="128" t="s">
        <v>22572</v>
      </c>
      <c r="R88" s="124"/>
      <c r="S88" s="125"/>
      <c r="T88" s="126"/>
      <c r="U88" s="126"/>
      <c r="V88" s="258">
        <v>0.0</v>
      </c>
      <c r="W88" s="258">
        <v>80.0</v>
      </c>
      <c r="X88" s="126" t="s">
        <v>22566</v>
      </c>
      <c r="Y88" s="126"/>
      <c r="Z88" s="259" t="s">
        <v>22189</v>
      </c>
      <c r="AA88" s="259" t="s">
        <v>22189</v>
      </c>
      <c r="AB88" s="259" t="s">
        <v>22189</v>
      </c>
      <c r="AC88" s="259"/>
      <c r="AD88" s="261"/>
      <c r="AE88" s="261"/>
      <c r="AF88" s="261"/>
      <c r="AG88" s="261"/>
    </row>
    <row r="89" ht="34.5" customHeight="1">
      <c r="A89" s="111" t="s">
        <v>22575</v>
      </c>
      <c r="B89" s="127" t="s">
        <v>22576</v>
      </c>
      <c r="C89" s="111" t="s">
        <v>8087</v>
      </c>
      <c r="D89" s="111"/>
      <c r="E89" s="111"/>
      <c r="F89" s="111"/>
      <c r="G89" s="111"/>
      <c r="H89" s="111"/>
      <c r="I89" s="127" t="s">
        <v>22563</v>
      </c>
      <c r="J89" s="111">
        <v>2028.0</v>
      </c>
      <c r="K89" s="257">
        <v>2028.0</v>
      </c>
      <c r="L89" s="111"/>
      <c r="M89" s="127" t="s">
        <v>22185</v>
      </c>
      <c r="N89" s="127" t="s">
        <v>12399</v>
      </c>
      <c r="O89" s="111" t="s">
        <v>30</v>
      </c>
      <c r="P89" s="111" t="s">
        <v>10444</v>
      </c>
      <c r="Q89" s="128" t="s">
        <v>22577</v>
      </c>
      <c r="R89" s="124"/>
      <c r="S89" s="125"/>
      <c r="T89" s="126"/>
      <c r="U89" s="126"/>
      <c r="V89" s="258">
        <v>55.0</v>
      </c>
      <c r="W89" s="258"/>
      <c r="X89" s="126" t="s">
        <v>22566</v>
      </c>
      <c r="Y89" s="126"/>
      <c r="Z89" s="259" t="s">
        <v>22189</v>
      </c>
      <c r="AA89" s="259" t="s">
        <v>22189</v>
      </c>
      <c r="AB89" s="259" t="s">
        <v>22189</v>
      </c>
      <c r="AC89" s="259"/>
      <c r="AD89" s="261"/>
      <c r="AE89" s="261"/>
      <c r="AF89" s="261"/>
      <c r="AG89" s="261"/>
    </row>
    <row r="90" ht="34.5" customHeight="1">
      <c r="A90" s="111" t="s">
        <v>22578</v>
      </c>
      <c r="B90" s="127" t="s">
        <v>22579</v>
      </c>
      <c r="C90" s="111" t="s">
        <v>8087</v>
      </c>
      <c r="D90" s="111"/>
      <c r="E90" s="111"/>
      <c r="F90" s="111"/>
      <c r="G90" s="111"/>
      <c r="H90" s="111"/>
      <c r="I90" s="127" t="s">
        <v>22563</v>
      </c>
      <c r="J90" s="111">
        <v>2030.0</v>
      </c>
      <c r="K90" s="257">
        <v>2030.0</v>
      </c>
      <c r="L90" s="111"/>
      <c r="M90" s="127" t="s">
        <v>22185</v>
      </c>
      <c r="N90" s="127" t="s">
        <v>12399</v>
      </c>
      <c r="O90" s="111" t="s">
        <v>30</v>
      </c>
      <c r="P90" s="111" t="s">
        <v>10444</v>
      </c>
      <c r="Q90" s="128" t="s">
        <v>22580</v>
      </c>
      <c r="R90" s="124"/>
      <c r="S90" s="125"/>
      <c r="T90" s="126"/>
      <c r="U90" s="126"/>
      <c r="V90" s="258">
        <v>115.0</v>
      </c>
      <c r="W90" s="258"/>
      <c r="X90" s="126" t="s">
        <v>22566</v>
      </c>
      <c r="Y90" s="126"/>
      <c r="Z90" s="259" t="s">
        <v>22189</v>
      </c>
      <c r="AA90" s="259" t="s">
        <v>22189</v>
      </c>
      <c r="AB90" s="259" t="s">
        <v>22189</v>
      </c>
      <c r="AC90" s="259"/>
      <c r="AD90" s="261"/>
      <c r="AE90" s="261"/>
      <c r="AF90" s="261"/>
      <c r="AG90" s="261"/>
    </row>
    <row r="91" ht="34.5" customHeight="1">
      <c r="A91" s="111" t="s">
        <v>22581</v>
      </c>
      <c r="B91" s="127" t="s">
        <v>22582</v>
      </c>
      <c r="C91" s="111" t="s">
        <v>9089</v>
      </c>
      <c r="D91" s="111" t="s">
        <v>8117</v>
      </c>
      <c r="E91" s="111"/>
      <c r="F91" s="111"/>
      <c r="G91" s="111"/>
      <c r="H91" s="111"/>
      <c r="I91" s="127" t="s">
        <v>22583</v>
      </c>
      <c r="J91" s="111">
        <v>2029.0</v>
      </c>
      <c r="K91" s="257">
        <v>2029.0</v>
      </c>
      <c r="L91" s="111"/>
      <c r="M91" s="127" t="s">
        <v>22185</v>
      </c>
      <c r="N91" s="127" t="s">
        <v>12397</v>
      </c>
      <c r="O91" s="111" t="s">
        <v>30</v>
      </c>
      <c r="P91" s="111" t="s">
        <v>10444</v>
      </c>
      <c r="Q91" s="128" t="s">
        <v>22584</v>
      </c>
      <c r="R91" s="124"/>
      <c r="S91" s="125">
        <v>822000.0</v>
      </c>
      <c r="T91" s="126">
        <v>648.0</v>
      </c>
      <c r="U91" s="126" t="s">
        <v>22585</v>
      </c>
      <c r="V91" s="258">
        <v>250.0</v>
      </c>
      <c r="W91" s="258"/>
      <c r="X91" s="126"/>
      <c r="Y91" s="126" t="s">
        <v>22586</v>
      </c>
      <c r="Z91" s="259" t="s">
        <v>22189</v>
      </c>
      <c r="AA91" s="262" t="s">
        <v>22189</v>
      </c>
      <c r="AB91" s="127"/>
      <c r="AC91" s="127"/>
      <c r="AD91" s="261"/>
      <c r="AE91" s="261"/>
      <c r="AF91" s="261"/>
      <c r="AG91" s="261"/>
    </row>
    <row r="92" ht="34.5" customHeight="1">
      <c r="A92" s="111" t="s">
        <v>22587</v>
      </c>
      <c r="B92" s="127" t="s">
        <v>22588</v>
      </c>
      <c r="C92" s="111" t="s">
        <v>8117</v>
      </c>
      <c r="D92" s="111" t="s">
        <v>9089</v>
      </c>
      <c r="E92" s="111"/>
      <c r="F92" s="111"/>
      <c r="G92" s="111"/>
      <c r="H92" s="111"/>
      <c r="I92" s="127" t="s">
        <v>22589</v>
      </c>
      <c r="J92" s="111">
        <v>2029.0</v>
      </c>
      <c r="K92" s="257">
        <v>2029.0</v>
      </c>
      <c r="L92" s="111"/>
      <c r="M92" s="127" t="s">
        <v>22185</v>
      </c>
      <c r="N92" s="127" t="s">
        <v>12397</v>
      </c>
      <c r="O92" s="111" t="s">
        <v>30</v>
      </c>
      <c r="P92" s="111" t="s">
        <v>10444</v>
      </c>
      <c r="Q92" s="111" t="s">
        <v>22590</v>
      </c>
      <c r="R92" s="124"/>
      <c r="S92" s="125">
        <v>822000.0</v>
      </c>
      <c r="T92" s="125">
        <v>648.0</v>
      </c>
      <c r="U92" s="125" t="s">
        <v>22591</v>
      </c>
      <c r="V92" s="258">
        <v>540.0</v>
      </c>
      <c r="W92" s="258"/>
      <c r="X92" s="125"/>
      <c r="Y92" s="125" t="s">
        <v>22592</v>
      </c>
      <c r="Z92" s="260"/>
      <c r="AA92" s="260"/>
      <c r="AB92" s="260"/>
      <c r="AC92" s="260"/>
      <c r="AD92" s="261"/>
      <c r="AE92" s="261"/>
      <c r="AF92" s="261"/>
      <c r="AG92" s="261"/>
    </row>
    <row r="93" ht="34.5" customHeight="1">
      <c r="A93" s="111" t="s">
        <v>22593</v>
      </c>
      <c r="B93" s="127" t="s">
        <v>22594</v>
      </c>
      <c r="C93" s="111" t="s">
        <v>8001</v>
      </c>
      <c r="D93" s="111"/>
      <c r="E93" s="111"/>
      <c r="F93" s="111"/>
      <c r="G93" s="111"/>
      <c r="H93" s="111"/>
      <c r="I93" s="127" t="s">
        <v>19986</v>
      </c>
      <c r="J93" s="111">
        <v>2030.0</v>
      </c>
      <c r="K93" s="257">
        <v>2030.0</v>
      </c>
      <c r="L93" s="111"/>
      <c r="M93" s="127" t="s">
        <v>22185</v>
      </c>
      <c r="N93" s="127" t="s">
        <v>12397</v>
      </c>
      <c r="O93" s="111" t="s">
        <v>30</v>
      </c>
      <c r="P93" s="111" t="s">
        <v>10444</v>
      </c>
      <c r="Q93" s="128" t="s">
        <v>22595</v>
      </c>
      <c r="R93" s="124"/>
      <c r="S93" s="125"/>
      <c r="T93" s="126"/>
      <c r="U93" s="126" t="s">
        <v>22596</v>
      </c>
      <c r="V93" s="258">
        <v>400.0</v>
      </c>
      <c r="W93" s="258"/>
      <c r="X93" s="126"/>
      <c r="Y93" s="126"/>
      <c r="Z93" s="259" t="s">
        <v>22189</v>
      </c>
      <c r="AA93" s="262" t="s">
        <v>22189</v>
      </c>
      <c r="AB93" s="127"/>
      <c r="AC93" s="127"/>
      <c r="AD93" s="261"/>
      <c r="AE93" s="261"/>
      <c r="AF93" s="261"/>
      <c r="AG93" s="261"/>
    </row>
    <row r="94" ht="15.75" customHeight="1">
      <c r="A94" s="111" t="s">
        <v>22597</v>
      </c>
      <c r="B94" s="127" t="s">
        <v>22598</v>
      </c>
      <c r="C94" s="111" t="s">
        <v>8021</v>
      </c>
      <c r="D94" s="111"/>
      <c r="E94" s="111"/>
      <c r="F94" s="111"/>
      <c r="G94" s="111"/>
      <c r="H94" s="111"/>
      <c r="I94" s="127" t="s">
        <v>22599</v>
      </c>
      <c r="J94" s="111">
        <v>2028.0</v>
      </c>
      <c r="K94" s="257">
        <v>2028.0</v>
      </c>
      <c r="L94" s="111"/>
      <c r="M94" s="127" t="s">
        <v>22185</v>
      </c>
      <c r="N94" s="127" t="s">
        <v>12397</v>
      </c>
      <c r="O94" s="111" t="s">
        <v>30</v>
      </c>
      <c r="P94" s="111" t="s">
        <v>10444</v>
      </c>
      <c r="Q94" s="128" t="s">
        <v>22600</v>
      </c>
      <c r="R94" s="124"/>
      <c r="S94" s="125"/>
      <c r="T94" s="126"/>
      <c r="U94" s="126">
        <v>120.0</v>
      </c>
      <c r="V94" s="258">
        <v>120.0</v>
      </c>
      <c r="W94" s="258"/>
      <c r="X94" s="126"/>
      <c r="Y94" s="126"/>
      <c r="Z94" s="259" t="s">
        <v>22189</v>
      </c>
      <c r="AA94" s="265" t="s">
        <v>22601</v>
      </c>
      <c r="AB94" s="127"/>
      <c r="AC94" s="127"/>
      <c r="AD94" s="261"/>
      <c r="AE94" s="261"/>
      <c r="AF94" s="261"/>
      <c r="AG94" s="261"/>
    </row>
    <row r="95" ht="34.5" customHeight="1">
      <c r="A95" s="111" t="s">
        <v>22602</v>
      </c>
      <c r="B95" s="127" t="s">
        <v>22603</v>
      </c>
      <c r="C95" s="266" t="s">
        <v>7991</v>
      </c>
      <c r="D95" s="111"/>
      <c r="E95" s="111"/>
      <c r="F95" s="111"/>
      <c r="G95" s="111"/>
      <c r="H95" s="111"/>
      <c r="I95" s="127" t="s">
        <v>22604</v>
      </c>
      <c r="J95" s="111">
        <v>2025.0</v>
      </c>
      <c r="K95" s="257">
        <v>2025.0</v>
      </c>
      <c r="L95" s="111"/>
      <c r="M95" s="127" t="s">
        <v>22185</v>
      </c>
      <c r="N95" s="127" t="s">
        <v>12399</v>
      </c>
      <c r="O95" s="111" t="s">
        <v>30</v>
      </c>
      <c r="P95" s="111" t="s">
        <v>10444</v>
      </c>
      <c r="Q95" s="124"/>
      <c r="R95" s="124"/>
      <c r="S95" s="125"/>
      <c r="T95" s="126"/>
      <c r="U95" s="126">
        <v>350.0</v>
      </c>
      <c r="V95" s="258">
        <v>350.0</v>
      </c>
      <c r="W95" s="258"/>
      <c r="X95" s="126"/>
      <c r="Y95" s="126"/>
      <c r="Z95" s="259" t="s">
        <v>22189</v>
      </c>
      <c r="AA95" s="127"/>
      <c r="AB95" s="127"/>
      <c r="AC95" s="127"/>
      <c r="AD95" s="261"/>
      <c r="AE95" s="261"/>
      <c r="AF95" s="261"/>
      <c r="AG95" s="261"/>
    </row>
    <row r="96" ht="15.75" customHeight="1">
      <c r="A96" s="111" t="s">
        <v>22605</v>
      </c>
      <c r="B96" s="127" t="s">
        <v>22606</v>
      </c>
      <c r="C96" s="111" t="s">
        <v>7991</v>
      </c>
      <c r="D96" s="111"/>
      <c r="E96" s="111"/>
      <c r="F96" s="111"/>
      <c r="G96" s="111"/>
      <c r="H96" s="111"/>
      <c r="I96" s="127" t="s">
        <v>22607</v>
      </c>
      <c r="J96" s="111">
        <v>2024.0</v>
      </c>
      <c r="K96" s="257">
        <v>2024.0</v>
      </c>
      <c r="L96" s="111"/>
      <c r="M96" s="127" t="s">
        <v>22198</v>
      </c>
      <c r="N96" s="127" t="s">
        <v>12399</v>
      </c>
      <c r="O96" s="111" t="s">
        <v>30</v>
      </c>
      <c r="P96" s="111" t="s">
        <v>10444</v>
      </c>
      <c r="Q96" s="124" t="s">
        <v>22608</v>
      </c>
      <c r="R96" s="124"/>
      <c r="S96" s="125"/>
      <c r="T96" s="126"/>
      <c r="U96" s="126"/>
      <c r="V96" s="258"/>
      <c r="W96" s="258"/>
      <c r="X96" s="126"/>
      <c r="Y96" s="126"/>
      <c r="Z96" s="259" t="s">
        <v>22189</v>
      </c>
      <c r="AA96" s="127"/>
      <c r="AB96" s="127"/>
      <c r="AC96" s="127"/>
      <c r="AD96" s="261"/>
      <c r="AE96" s="261"/>
      <c r="AF96" s="261"/>
      <c r="AG96" s="261"/>
    </row>
    <row r="97" ht="15.75" customHeight="1">
      <c r="A97" s="111" t="s">
        <v>22609</v>
      </c>
      <c r="B97" s="127" t="s">
        <v>22610</v>
      </c>
      <c r="C97" s="111" t="s">
        <v>7991</v>
      </c>
      <c r="D97" s="111"/>
      <c r="E97" s="111"/>
      <c r="F97" s="111"/>
      <c r="G97" s="111"/>
      <c r="H97" s="111"/>
      <c r="I97" s="127" t="s">
        <v>22611</v>
      </c>
      <c r="J97" s="111">
        <v>2050.0</v>
      </c>
      <c r="K97" s="257"/>
      <c r="L97" s="111"/>
      <c r="M97" s="127" t="s">
        <v>22185</v>
      </c>
      <c r="N97" s="127" t="s">
        <v>12397</v>
      </c>
      <c r="O97" s="111" t="s">
        <v>30</v>
      </c>
      <c r="P97" s="111" t="s">
        <v>10444</v>
      </c>
      <c r="Q97" s="124" t="s">
        <v>22608</v>
      </c>
      <c r="R97" s="124"/>
      <c r="S97" s="125"/>
      <c r="T97" s="126"/>
      <c r="U97" s="126"/>
      <c r="V97" s="258"/>
      <c r="W97" s="258"/>
      <c r="X97" s="126"/>
      <c r="Y97" s="126"/>
      <c r="Z97" s="259" t="s">
        <v>22189</v>
      </c>
      <c r="AA97" s="127"/>
      <c r="AB97" s="127"/>
      <c r="AC97" s="127"/>
      <c r="AD97" s="261"/>
      <c r="AE97" s="261"/>
      <c r="AF97" s="261"/>
      <c r="AG97" s="261"/>
    </row>
    <row r="98" ht="15.75" customHeight="1">
      <c r="A98" s="111" t="s">
        <v>22612</v>
      </c>
      <c r="B98" s="127" t="s">
        <v>22613</v>
      </c>
      <c r="C98" s="111" t="s">
        <v>7987</v>
      </c>
      <c r="D98" s="111"/>
      <c r="E98" s="111"/>
      <c r="F98" s="111"/>
      <c r="G98" s="111"/>
      <c r="H98" s="111"/>
      <c r="I98" s="127" t="s">
        <v>22614</v>
      </c>
      <c r="J98" s="111">
        <v>2033.0</v>
      </c>
      <c r="K98" s="257">
        <v>2033.0</v>
      </c>
      <c r="L98" s="111"/>
      <c r="M98" s="127" t="s">
        <v>22203</v>
      </c>
      <c r="N98" s="127" t="s">
        <v>12397</v>
      </c>
      <c r="O98" s="111" t="s">
        <v>30</v>
      </c>
      <c r="P98" s="111" t="s">
        <v>10444</v>
      </c>
      <c r="Q98" s="128" t="s">
        <v>22615</v>
      </c>
      <c r="R98" s="124"/>
      <c r="S98" s="125"/>
      <c r="T98" s="126"/>
      <c r="U98" s="263" t="s">
        <v>22616</v>
      </c>
      <c r="V98" s="258">
        <v>402.0</v>
      </c>
      <c r="W98" s="258">
        <v>984.0</v>
      </c>
      <c r="X98" s="126"/>
      <c r="Y98" s="126" t="s">
        <v>22617</v>
      </c>
      <c r="Z98" s="259" t="s">
        <v>22618</v>
      </c>
      <c r="AA98" s="259"/>
      <c r="AB98" s="127"/>
      <c r="AC98" s="127"/>
      <c r="AD98" s="261"/>
      <c r="AE98" s="261"/>
      <c r="AF98" s="261"/>
      <c r="AG98" s="261"/>
    </row>
    <row r="99" ht="15.75" customHeight="1">
      <c r="A99" s="111" t="s">
        <v>22619</v>
      </c>
      <c r="B99" s="127" t="s">
        <v>22620</v>
      </c>
      <c r="C99" s="111" t="s">
        <v>7987</v>
      </c>
      <c r="D99" s="111"/>
      <c r="E99" s="111"/>
      <c r="F99" s="111"/>
      <c r="G99" s="111"/>
      <c r="H99" s="111"/>
      <c r="I99" s="127" t="s">
        <v>22621</v>
      </c>
      <c r="J99" s="111">
        <v>2030.0</v>
      </c>
      <c r="K99" s="257">
        <v>2030.0</v>
      </c>
      <c r="L99" s="111"/>
      <c r="M99" s="127" t="s">
        <v>22203</v>
      </c>
      <c r="N99" s="127" t="s">
        <v>12399</v>
      </c>
      <c r="O99" s="111" t="s">
        <v>30</v>
      </c>
      <c r="P99" s="111" t="s">
        <v>10444</v>
      </c>
      <c r="Q99" s="128" t="s">
        <v>22622</v>
      </c>
      <c r="R99" s="124"/>
      <c r="S99" s="125"/>
      <c r="T99" s="125"/>
      <c r="U99" s="258" t="s">
        <v>22623</v>
      </c>
      <c r="V99" s="258">
        <v>352.0</v>
      </c>
      <c r="W99" s="258">
        <v>72.0</v>
      </c>
      <c r="X99" s="125"/>
      <c r="Y99" s="125" t="s">
        <v>22624</v>
      </c>
      <c r="Z99" s="259" t="s">
        <v>22618</v>
      </c>
      <c r="AA99" s="127"/>
      <c r="AB99" s="127"/>
      <c r="AC99" s="127"/>
      <c r="AD99" s="261"/>
      <c r="AE99" s="261"/>
      <c r="AF99" s="261"/>
      <c r="AG99" s="261"/>
    </row>
    <row r="100" ht="15.75" customHeight="1">
      <c r="A100" s="111" t="s">
        <v>22625</v>
      </c>
      <c r="B100" s="127" t="s">
        <v>22626</v>
      </c>
      <c r="C100" s="111" t="s">
        <v>7987</v>
      </c>
      <c r="D100" s="111"/>
      <c r="E100" s="111"/>
      <c r="F100" s="111"/>
      <c r="G100" s="111"/>
      <c r="H100" s="111"/>
      <c r="I100" s="127" t="s">
        <v>22621</v>
      </c>
      <c r="J100" s="111">
        <v>2029.0</v>
      </c>
      <c r="K100" s="257">
        <v>2029.0</v>
      </c>
      <c r="L100" s="111"/>
      <c r="M100" s="127" t="s">
        <v>22185</v>
      </c>
      <c r="N100" s="127" t="s">
        <v>12399</v>
      </c>
      <c r="O100" s="111" t="s">
        <v>30</v>
      </c>
      <c r="P100" s="111" t="s">
        <v>10444</v>
      </c>
      <c r="Q100" s="128" t="s">
        <v>22627</v>
      </c>
      <c r="R100" s="124"/>
      <c r="S100" s="125"/>
      <c r="T100" s="125"/>
      <c r="U100" s="258" t="s">
        <v>22361</v>
      </c>
      <c r="V100" s="258">
        <v>27.0</v>
      </c>
      <c r="W100" s="258"/>
      <c r="X100" s="125"/>
      <c r="Y100" s="125" t="s">
        <v>22628</v>
      </c>
      <c r="Z100" s="259" t="s">
        <v>22618</v>
      </c>
      <c r="AA100" s="127"/>
      <c r="AB100" s="127"/>
      <c r="AC100" s="127"/>
      <c r="AD100" s="261"/>
      <c r="AE100" s="261"/>
      <c r="AF100" s="261"/>
      <c r="AG100" s="261"/>
    </row>
    <row r="101" ht="15.75" customHeight="1">
      <c r="A101" s="111" t="s">
        <v>22629</v>
      </c>
      <c r="B101" s="127" t="s">
        <v>22630</v>
      </c>
      <c r="C101" s="111" t="s">
        <v>7987</v>
      </c>
      <c r="D101" s="111"/>
      <c r="E101" s="111"/>
      <c r="F101" s="111"/>
      <c r="G101" s="111"/>
      <c r="H101" s="111"/>
      <c r="I101" s="127" t="s">
        <v>22614</v>
      </c>
      <c r="J101" s="111">
        <v>2030.0</v>
      </c>
      <c r="K101" s="257">
        <v>2030.0</v>
      </c>
      <c r="L101" s="111"/>
      <c r="M101" s="127" t="s">
        <v>22203</v>
      </c>
      <c r="N101" s="127" t="s">
        <v>12399</v>
      </c>
      <c r="O101" s="111" t="s">
        <v>30</v>
      </c>
      <c r="P101" s="111" t="s">
        <v>10444</v>
      </c>
      <c r="Q101" s="128" t="s">
        <v>22631</v>
      </c>
      <c r="R101" s="124"/>
      <c r="S101" s="125"/>
      <c r="T101" s="125"/>
      <c r="U101" s="258" t="s">
        <v>22632</v>
      </c>
      <c r="V101" s="258">
        <v>42.0</v>
      </c>
      <c r="W101" s="258">
        <v>45.0</v>
      </c>
      <c r="X101" s="125"/>
      <c r="Y101" s="125" t="s">
        <v>22633</v>
      </c>
      <c r="Z101" s="259" t="s">
        <v>22618</v>
      </c>
      <c r="AA101" s="127"/>
      <c r="AB101" s="127"/>
      <c r="AC101" s="127"/>
      <c r="AD101" s="261"/>
      <c r="AE101" s="261"/>
      <c r="AF101" s="261"/>
      <c r="AG101" s="261"/>
    </row>
    <row r="102" ht="60.75" customHeight="1">
      <c r="A102" s="111" t="s">
        <v>22634</v>
      </c>
      <c r="B102" s="127" t="s">
        <v>22635</v>
      </c>
      <c r="C102" s="111" t="s">
        <v>7987</v>
      </c>
      <c r="D102" s="111"/>
      <c r="E102" s="111"/>
      <c r="F102" s="111"/>
      <c r="G102" s="111"/>
      <c r="H102" s="111"/>
      <c r="I102" s="127" t="s">
        <v>22614</v>
      </c>
      <c r="J102" s="111">
        <v>2030.0</v>
      </c>
      <c r="K102" s="257">
        <v>2030.0</v>
      </c>
      <c r="L102" s="111"/>
      <c r="M102" s="127" t="s">
        <v>22203</v>
      </c>
      <c r="N102" s="127" t="s">
        <v>12399</v>
      </c>
      <c r="O102" s="111" t="s">
        <v>30</v>
      </c>
      <c r="P102" s="111" t="s">
        <v>10444</v>
      </c>
      <c r="Q102" s="128" t="s">
        <v>22636</v>
      </c>
      <c r="R102" s="124"/>
      <c r="S102" s="125"/>
      <c r="T102" s="126"/>
      <c r="U102" s="263" t="s">
        <v>22637</v>
      </c>
      <c r="V102" s="258">
        <v>50.0</v>
      </c>
      <c r="W102" s="258">
        <v>98.0</v>
      </c>
      <c r="X102" s="126"/>
      <c r="Y102" s="126" t="s">
        <v>22638</v>
      </c>
      <c r="Z102" s="259" t="s">
        <v>22618</v>
      </c>
      <c r="AA102" s="127"/>
      <c r="AB102" s="127"/>
      <c r="AC102" s="127"/>
      <c r="AD102" s="261"/>
      <c r="AE102" s="261"/>
      <c r="AF102" s="261"/>
      <c r="AG102" s="261"/>
    </row>
    <row r="103" ht="60.75" customHeight="1">
      <c r="A103" s="111" t="s">
        <v>22639</v>
      </c>
      <c r="B103" s="127" t="s">
        <v>22640</v>
      </c>
      <c r="C103" s="111" t="s">
        <v>7987</v>
      </c>
      <c r="D103" s="111"/>
      <c r="E103" s="111"/>
      <c r="F103" s="111"/>
      <c r="G103" s="111"/>
      <c r="H103" s="111"/>
      <c r="I103" s="127" t="s">
        <v>22641</v>
      </c>
      <c r="J103" s="111">
        <v>2030.0</v>
      </c>
      <c r="K103" s="257">
        <v>2030.0</v>
      </c>
      <c r="L103" s="111"/>
      <c r="M103" s="127" t="s">
        <v>22203</v>
      </c>
      <c r="N103" s="127" t="s">
        <v>12399</v>
      </c>
      <c r="O103" s="111" t="s">
        <v>30</v>
      </c>
      <c r="P103" s="111" t="s">
        <v>10444</v>
      </c>
      <c r="Q103" s="111" t="s">
        <v>22642</v>
      </c>
      <c r="R103" s="124"/>
      <c r="S103" s="125"/>
      <c r="T103" s="125"/>
      <c r="U103" s="258" t="s">
        <v>22643</v>
      </c>
      <c r="V103" s="258">
        <v>102.0</v>
      </c>
      <c r="W103" s="258">
        <v>29.0</v>
      </c>
      <c r="X103" s="125"/>
      <c r="Y103" s="125" t="s">
        <v>22644</v>
      </c>
      <c r="Z103" s="259" t="s">
        <v>22618</v>
      </c>
      <c r="AA103" s="127"/>
      <c r="AB103" s="127"/>
      <c r="AC103" s="127"/>
      <c r="AD103" s="261"/>
      <c r="AE103" s="261"/>
      <c r="AF103" s="261"/>
      <c r="AG103" s="261"/>
    </row>
    <row r="104" ht="60.75" customHeight="1">
      <c r="A104" s="111" t="s">
        <v>22645</v>
      </c>
      <c r="B104" s="127" t="s">
        <v>22646</v>
      </c>
      <c r="C104" s="111" t="s">
        <v>7987</v>
      </c>
      <c r="D104" s="111"/>
      <c r="E104" s="111"/>
      <c r="F104" s="111"/>
      <c r="G104" s="111"/>
      <c r="H104" s="111"/>
      <c r="I104" s="127" t="s">
        <v>22641</v>
      </c>
      <c r="J104" s="111">
        <v>2030.0</v>
      </c>
      <c r="K104" s="257">
        <v>2030.0</v>
      </c>
      <c r="L104" s="111"/>
      <c r="M104" s="127" t="s">
        <v>22203</v>
      </c>
      <c r="N104" s="127" t="s">
        <v>12399</v>
      </c>
      <c r="O104" s="111" t="s">
        <v>30</v>
      </c>
      <c r="P104" s="111" t="s">
        <v>10444</v>
      </c>
      <c r="Q104" s="111" t="s">
        <v>22647</v>
      </c>
      <c r="R104" s="124"/>
      <c r="S104" s="125"/>
      <c r="T104" s="125"/>
      <c r="U104" s="258" t="s">
        <v>22648</v>
      </c>
      <c r="V104" s="258">
        <v>19.0</v>
      </c>
      <c r="W104" s="258">
        <v>204.0</v>
      </c>
      <c r="X104" s="125"/>
      <c r="Y104" s="125" t="s">
        <v>22649</v>
      </c>
      <c r="Z104" s="259" t="s">
        <v>22618</v>
      </c>
      <c r="AA104" s="127"/>
      <c r="AB104" s="127"/>
      <c r="AC104" s="127"/>
      <c r="AD104" s="261"/>
      <c r="AE104" s="261"/>
      <c r="AF104" s="261"/>
      <c r="AG104" s="261"/>
    </row>
    <row r="105" ht="15.75" customHeight="1">
      <c r="A105" s="111" t="s">
        <v>22650</v>
      </c>
      <c r="B105" s="127" t="s">
        <v>22651</v>
      </c>
      <c r="C105" s="111" t="s">
        <v>8087</v>
      </c>
      <c r="D105" s="111" t="s">
        <v>7967</v>
      </c>
      <c r="E105" s="111"/>
      <c r="F105" s="111"/>
      <c r="G105" s="111"/>
      <c r="H105" s="111"/>
      <c r="I105" s="127" t="s">
        <v>22652</v>
      </c>
      <c r="J105" s="111">
        <v>2035.0</v>
      </c>
      <c r="K105" s="257">
        <v>2035.0</v>
      </c>
      <c r="L105" s="111"/>
      <c r="M105" s="127" t="s">
        <v>22203</v>
      </c>
      <c r="N105" s="127" t="s">
        <v>12397</v>
      </c>
      <c r="O105" s="111" t="s">
        <v>30</v>
      </c>
      <c r="P105" s="111" t="s">
        <v>10444</v>
      </c>
      <c r="Q105" s="124" t="s">
        <v>19</v>
      </c>
      <c r="R105" s="124"/>
      <c r="S105" s="125"/>
      <c r="T105" s="126"/>
      <c r="U105" s="126"/>
      <c r="V105" s="258"/>
      <c r="W105" s="258"/>
      <c r="X105" s="126"/>
      <c r="Y105" s="126"/>
      <c r="Z105" s="259" t="s">
        <v>22189</v>
      </c>
      <c r="AA105" s="262" t="s">
        <v>22189</v>
      </c>
      <c r="AB105" s="259" t="s">
        <v>22189</v>
      </c>
      <c r="AC105" s="127"/>
      <c r="AD105" s="261"/>
      <c r="AE105" s="261"/>
      <c r="AF105" s="261"/>
      <c r="AG105" s="261"/>
    </row>
    <row r="106" ht="15.75" customHeight="1">
      <c r="A106" s="111" t="s">
        <v>22653</v>
      </c>
      <c r="B106" s="127" t="s">
        <v>22654</v>
      </c>
      <c r="C106" s="111" t="s">
        <v>8021</v>
      </c>
      <c r="D106" s="111"/>
      <c r="E106" s="111"/>
      <c r="F106" s="111"/>
      <c r="G106" s="111"/>
      <c r="H106" s="111"/>
      <c r="I106" s="127" t="s">
        <v>22655</v>
      </c>
      <c r="J106" s="111">
        <v>2035.0</v>
      </c>
      <c r="K106" s="257">
        <v>2035.0</v>
      </c>
      <c r="L106" s="111"/>
      <c r="M106" s="127" t="s">
        <v>22185</v>
      </c>
      <c r="N106" s="127" t="s">
        <v>12397</v>
      </c>
      <c r="O106" s="111" t="s">
        <v>30</v>
      </c>
      <c r="P106" s="111" t="s">
        <v>10444</v>
      </c>
      <c r="Q106" s="124" t="s">
        <v>19</v>
      </c>
      <c r="R106" s="124"/>
      <c r="S106" s="125"/>
      <c r="T106" s="126"/>
      <c r="U106" s="263" t="s">
        <v>22656</v>
      </c>
      <c r="V106" s="258">
        <v>571.0</v>
      </c>
      <c r="W106" s="258"/>
      <c r="X106" s="126"/>
      <c r="Y106" s="126"/>
      <c r="Z106" s="259" t="s">
        <v>22189</v>
      </c>
      <c r="AA106" s="262" t="s">
        <v>22189</v>
      </c>
      <c r="AB106" s="127"/>
      <c r="AC106" s="127"/>
      <c r="AD106" s="261"/>
      <c r="AE106" s="261"/>
      <c r="AF106" s="261"/>
      <c r="AG106" s="261"/>
    </row>
    <row r="107" ht="15.75" customHeight="1">
      <c r="A107" s="111" t="s">
        <v>22657</v>
      </c>
      <c r="B107" s="127" t="s">
        <v>22658</v>
      </c>
      <c r="C107" s="111" t="s">
        <v>7967</v>
      </c>
      <c r="D107" s="111" t="s">
        <v>8087</v>
      </c>
      <c r="E107" s="111"/>
      <c r="F107" s="111"/>
      <c r="G107" s="111"/>
      <c r="H107" s="111"/>
      <c r="I107" s="127" t="s">
        <v>22253</v>
      </c>
      <c r="J107" s="111">
        <v>2026.0</v>
      </c>
      <c r="K107" s="257">
        <v>2026.0</v>
      </c>
      <c r="L107" s="111"/>
      <c r="M107" s="127" t="s">
        <v>22185</v>
      </c>
      <c r="N107" s="127" t="s">
        <v>18192</v>
      </c>
      <c r="O107" s="111" t="s">
        <v>30</v>
      </c>
      <c r="P107" s="111" t="s">
        <v>10444</v>
      </c>
      <c r="Q107" s="111" t="s">
        <v>19</v>
      </c>
      <c r="R107" s="124"/>
      <c r="S107" s="125"/>
      <c r="T107" s="125"/>
      <c r="U107" s="125" t="s">
        <v>22394</v>
      </c>
      <c r="V107" s="258"/>
      <c r="W107" s="258"/>
      <c r="X107" s="125"/>
      <c r="Y107" s="125"/>
      <c r="Z107" s="259" t="s">
        <v>22189</v>
      </c>
      <c r="AA107" s="260"/>
      <c r="AB107" s="260"/>
      <c r="AC107" s="260"/>
      <c r="AD107" s="261"/>
      <c r="AE107" s="261"/>
      <c r="AF107" s="261"/>
      <c r="AG107" s="261"/>
    </row>
    <row r="108" ht="15.75" customHeight="1">
      <c r="A108" s="111" t="s">
        <v>22659</v>
      </c>
      <c r="B108" s="127" t="s">
        <v>22660</v>
      </c>
      <c r="C108" s="111" t="s">
        <v>7971</v>
      </c>
      <c r="D108" s="111" t="s">
        <v>7987</v>
      </c>
      <c r="E108" s="111"/>
      <c r="F108" s="111"/>
      <c r="G108" s="111"/>
      <c r="H108" s="111"/>
      <c r="I108" s="127" t="s">
        <v>22661</v>
      </c>
      <c r="J108" s="111">
        <v>2030.0</v>
      </c>
      <c r="K108" s="257">
        <v>2030.0</v>
      </c>
      <c r="L108" s="111"/>
      <c r="M108" s="127" t="s">
        <v>22185</v>
      </c>
      <c r="N108" s="127" t="s">
        <v>12399</v>
      </c>
      <c r="O108" s="111" t="s">
        <v>30</v>
      </c>
      <c r="P108" s="111" t="s">
        <v>22258</v>
      </c>
      <c r="Q108" s="111" t="s">
        <v>19</v>
      </c>
      <c r="R108" s="124"/>
      <c r="S108" s="125"/>
      <c r="T108" s="125"/>
      <c r="U108" s="125" t="s">
        <v>22662</v>
      </c>
      <c r="V108" s="258">
        <v>1300.0</v>
      </c>
      <c r="W108" s="258"/>
      <c r="X108" s="125"/>
      <c r="Y108" s="125"/>
      <c r="Z108" s="259" t="s">
        <v>22189</v>
      </c>
      <c r="AA108" s="260"/>
      <c r="AB108" s="260"/>
      <c r="AC108" s="260"/>
      <c r="AD108" s="261"/>
      <c r="AE108" s="261"/>
      <c r="AF108" s="261"/>
      <c r="AG108" s="261"/>
    </row>
    <row r="109" ht="49.5" customHeight="1">
      <c r="A109" s="111" t="s">
        <v>22663</v>
      </c>
      <c r="B109" s="127" t="s">
        <v>22664</v>
      </c>
      <c r="C109" s="111" t="s">
        <v>8021</v>
      </c>
      <c r="D109" s="111"/>
      <c r="E109" s="111"/>
      <c r="F109" s="111"/>
      <c r="G109" s="111"/>
      <c r="H109" s="111"/>
      <c r="I109" s="127" t="s">
        <v>22665</v>
      </c>
      <c r="J109" s="111">
        <v>2021.0</v>
      </c>
      <c r="K109" s="111">
        <v>2021.0</v>
      </c>
      <c r="L109" s="111"/>
      <c r="M109" s="127" t="s">
        <v>22198</v>
      </c>
      <c r="N109" s="127" t="s">
        <v>18638</v>
      </c>
      <c r="O109" s="111" t="s">
        <v>30</v>
      </c>
      <c r="P109" s="111" t="s">
        <v>10444</v>
      </c>
      <c r="Q109" s="111"/>
      <c r="R109" s="124"/>
      <c r="S109" s="125"/>
      <c r="T109" s="125"/>
      <c r="U109" s="125" t="s">
        <v>22666</v>
      </c>
      <c r="V109" s="258"/>
      <c r="W109" s="258">
        <v>43.0</v>
      </c>
      <c r="X109" s="125"/>
      <c r="Y109" s="125" t="s">
        <v>22667</v>
      </c>
      <c r="Z109" s="259" t="s">
        <v>22189</v>
      </c>
      <c r="AA109" s="259" t="s">
        <v>22189</v>
      </c>
      <c r="AB109" s="260"/>
      <c r="AC109" s="260"/>
      <c r="AD109" s="261"/>
      <c r="AE109" s="261"/>
      <c r="AF109" s="261"/>
      <c r="AG109" s="261"/>
    </row>
    <row r="110" ht="39.75" customHeight="1">
      <c r="A110" s="111" t="s">
        <v>22668</v>
      </c>
      <c r="B110" s="127" t="s">
        <v>22669</v>
      </c>
      <c r="C110" s="111" t="s">
        <v>7987</v>
      </c>
      <c r="D110" s="111"/>
      <c r="E110" s="111"/>
      <c r="F110" s="111"/>
      <c r="G110" s="111"/>
      <c r="H110" s="111"/>
      <c r="I110" s="127" t="s">
        <v>686</v>
      </c>
      <c r="J110" s="111">
        <v>2027.0</v>
      </c>
      <c r="K110" s="257">
        <v>2027.0</v>
      </c>
      <c r="L110" s="111"/>
      <c r="M110" s="127" t="s">
        <v>22203</v>
      </c>
      <c r="N110" s="127" t="s">
        <v>12399</v>
      </c>
      <c r="O110" s="111" t="s">
        <v>30</v>
      </c>
      <c r="P110" s="111" t="s">
        <v>10444</v>
      </c>
      <c r="Q110" s="111" t="s">
        <v>22670</v>
      </c>
      <c r="R110" s="124"/>
      <c r="S110" s="125"/>
      <c r="T110" s="125"/>
      <c r="U110" s="258" t="s">
        <v>22671</v>
      </c>
      <c r="V110" s="258">
        <v>45.6</v>
      </c>
      <c r="W110" s="258">
        <v>283.0</v>
      </c>
      <c r="X110" s="125"/>
      <c r="Y110" s="125" t="s">
        <v>22672</v>
      </c>
      <c r="Z110" s="259" t="s">
        <v>22189</v>
      </c>
      <c r="AA110" s="259" t="s">
        <v>22189</v>
      </c>
      <c r="AB110" s="259" t="s">
        <v>22189</v>
      </c>
      <c r="AC110" s="260"/>
      <c r="AD110" s="261"/>
      <c r="AE110" s="261"/>
      <c r="AF110" s="261"/>
      <c r="AG110" s="261"/>
    </row>
    <row r="111" ht="39.75" customHeight="1">
      <c r="A111" s="111" t="s">
        <v>22673</v>
      </c>
      <c r="B111" s="127" t="s">
        <v>22674</v>
      </c>
      <c r="C111" s="111" t="s">
        <v>7987</v>
      </c>
      <c r="D111" s="111" t="s">
        <v>7967</v>
      </c>
      <c r="E111" s="111"/>
      <c r="F111" s="111"/>
      <c r="G111" s="111"/>
      <c r="H111" s="111"/>
      <c r="I111" s="127" t="s">
        <v>686</v>
      </c>
      <c r="J111" s="111">
        <v>2028.0</v>
      </c>
      <c r="K111" s="257">
        <v>2028.0</v>
      </c>
      <c r="L111" s="111"/>
      <c r="M111" s="127" t="s">
        <v>22203</v>
      </c>
      <c r="N111" s="127" t="s">
        <v>12399</v>
      </c>
      <c r="O111" s="111" t="s">
        <v>30</v>
      </c>
      <c r="P111" s="111" t="s">
        <v>10444</v>
      </c>
      <c r="Q111" s="111" t="s">
        <v>22675</v>
      </c>
      <c r="R111" s="124"/>
      <c r="S111" s="125"/>
      <c r="T111" s="125"/>
      <c r="U111" s="258" t="s">
        <v>22676</v>
      </c>
      <c r="V111" s="258">
        <v>15.0</v>
      </c>
      <c r="W111" s="258">
        <v>175.0</v>
      </c>
      <c r="X111" s="125"/>
      <c r="Y111" s="125" t="s">
        <v>22677</v>
      </c>
      <c r="Z111" s="259" t="s">
        <v>22189</v>
      </c>
      <c r="AA111" s="259" t="s">
        <v>22189</v>
      </c>
      <c r="AB111" s="259" t="s">
        <v>22189</v>
      </c>
      <c r="AC111" s="260"/>
      <c r="AD111" s="261"/>
      <c r="AE111" s="261"/>
      <c r="AF111" s="261"/>
      <c r="AG111" s="261"/>
    </row>
    <row r="112" ht="39.75" customHeight="1">
      <c r="A112" s="111" t="s">
        <v>22678</v>
      </c>
      <c r="B112" s="127" t="s">
        <v>22679</v>
      </c>
      <c r="C112" s="111" t="s">
        <v>7987</v>
      </c>
      <c r="D112" s="111"/>
      <c r="E112" s="111"/>
      <c r="F112" s="111"/>
      <c r="G112" s="111"/>
      <c r="H112" s="111"/>
      <c r="I112" s="127" t="s">
        <v>686</v>
      </c>
      <c r="J112" s="111">
        <v>2027.0</v>
      </c>
      <c r="K112" s="257">
        <v>2027.0</v>
      </c>
      <c r="L112" s="111"/>
      <c r="M112" s="127" t="s">
        <v>22185</v>
      </c>
      <c r="N112" s="127" t="s">
        <v>12399</v>
      </c>
      <c r="O112" s="111" t="s">
        <v>30</v>
      </c>
      <c r="P112" s="111" t="s">
        <v>10444</v>
      </c>
      <c r="Q112" s="111" t="s">
        <v>22680</v>
      </c>
      <c r="R112" s="124"/>
      <c r="S112" s="125"/>
      <c r="T112" s="125"/>
      <c r="U112" s="258" t="s">
        <v>22681</v>
      </c>
      <c r="V112" s="258">
        <v>77.4</v>
      </c>
      <c r="W112" s="258"/>
      <c r="X112" s="125"/>
      <c r="Y112" s="125" t="s">
        <v>22682</v>
      </c>
      <c r="Z112" s="259" t="s">
        <v>22189</v>
      </c>
      <c r="AA112" s="259" t="s">
        <v>22189</v>
      </c>
      <c r="AB112" s="259" t="s">
        <v>22189</v>
      </c>
      <c r="AC112" s="260"/>
      <c r="AD112" s="261"/>
      <c r="AE112" s="261"/>
      <c r="AF112" s="261"/>
      <c r="AG112" s="261"/>
    </row>
    <row r="113" ht="39.75" customHeight="1">
      <c r="A113" s="111" t="s">
        <v>22683</v>
      </c>
      <c r="B113" s="127" t="s">
        <v>22684</v>
      </c>
      <c r="C113" s="111" t="s">
        <v>7987</v>
      </c>
      <c r="D113" s="111"/>
      <c r="E113" s="111"/>
      <c r="F113" s="111"/>
      <c r="G113" s="111"/>
      <c r="H113" s="111"/>
      <c r="I113" s="127" t="s">
        <v>22685</v>
      </c>
      <c r="J113" s="111">
        <v>2027.0</v>
      </c>
      <c r="K113" s="257">
        <v>2027.0</v>
      </c>
      <c r="L113" s="111"/>
      <c r="M113" s="127" t="s">
        <v>22185</v>
      </c>
      <c r="N113" s="127" t="s">
        <v>12399</v>
      </c>
      <c r="O113" s="111" t="s">
        <v>30</v>
      </c>
      <c r="P113" s="111" t="s">
        <v>10444</v>
      </c>
      <c r="Q113" s="111" t="s">
        <v>22680</v>
      </c>
      <c r="R113" s="124"/>
      <c r="S113" s="125"/>
      <c r="T113" s="125"/>
      <c r="U113" s="258" t="s">
        <v>22686</v>
      </c>
      <c r="V113" s="258">
        <v>174.4</v>
      </c>
      <c r="W113" s="258"/>
      <c r="X113" s="125"/>
      <c r="Y113" s="125" t="s">
        <v>22687</v>
      </c>
      <c r="Z113" s="259" t="s">
        <v>22189</v>
      </c>
      <c r="AA113" s="259" t="s">
        <v>22189</v>
      </c>
      <c r="AB113" s="259" t="s">
        <v>22189</v>
      </c>
      <c r="AC113" s="260"/>
      <c r="AD113" s="261"/>
      <c r="AE113" s="261"/>
      <c r="AF113" s="261"/>
      <c r="AG113" s="261"/>
    </row>
    <row r="114" ht="34.5" customHeight="1">
      <c r="A114" s="111" t="s">
        <v>22688</v>
      </c>
      <c r="B114" s="127" t="s">
        <v>22689</v>
      </c>
      <c r="C114" s="111" t="s">
        <v>7967</v>
      </c>
      <c r="D114" s="111"/>
      <c r="E114" s="111"/>
      <c r="F114" s="111"/>
      <c r="G114" s="111"/>
      <c r="H114" s="111"/>
      <c r="I114" s="127" t="s">
        <v>22690</v>
      </c>
      <c r="J114" s="111">
        <v>2032.0</v>
      </c>
      <c r="K114" s="257">
        <v>2032.0</v>
      </c>
      <c r="L114" s="111"/>
      <c r="M114" s="127" t="s">
        <v>22185</v>
      </c>
      <c r="N114" s="127" t="s">
        <v>12399</v>
      </c>
      <c r="O114" s="111" t="s">
        <v>30</v>
      </c>
      <c r="P114" s="111" t="s">
        <v>10444</v>
      </c>
      <c r="Q114" s="128"/>
      <c r="R114" s="124"/>
      <c r="S114" s="125"/>
      <c r="T114" s="126" t="s">
        <v>22691</v>
      </c>
      <c r="U114" s="263" t="s">
        <v>22692</v>
      </c>
      <c r="V114" s="258">
        <v>250.0</v>
      </c>
      <c r="W114" s="258"/>
      <c r="X114" s="126"/>
      <c r="Y114" s="126"/>
      <c r="Z114" s="259" t="s">
        <v>22189</v>
      </c>
      <c r="AA114" s="259" t="s">
        <v>22189</v>
      </c>
      <c r="AB114" s="259" t="s">
        <v>22189</v>
      </c>
      <c r="AC114" s="260"/>
      <c r="AD114" s="261"/>
      <c r="AE114" s="261"/>
      <c r="AF114" s="261"/>
      <c r="AG114" s="261"/>
    </row>
    <row r="115" ht="34.5" customHeight="1">
      <c r="A115" s="111" t="s">
        <v>22693</v>
      </c>
      <c r="B115" s="127" t="s">
        <v>22694</v>
      </c>
      <c r="C115" s="111" t="s">
        <v>8618</v>
      </c>
      <c r="D115" s="111" t="s">
        <v>10072</v>
      </c>
      <c r="E115" s="111" t="s">
        <v>7999</v>
      </c>
      <c r="F115" s="111"/>
      <c r="G115" s="111"/>
      <c r="H115" s="111"/>
      <c r="I115" s="127" t="s">
        <v>22695</v>
      </c>
      <c r="J115" s="111">
        <v>2025.0</v>
      </c>
      <c r="K115" s="257">
        <v>2025.0</v>
      </c>
      <c r="L115" s="111"/>
      <c r="M115" s="127" t="s">
        <v>22198</v>
      </c>
      <c r="N115" s="127" t="s">
        <v>12397</v>
      </c>
      <c r="O115" s="111" t="s">
        <v>30</v>
      </c>
      <c r="P115" s="111" t="s">
        <v>10444</v>
      </c>
      <c r="Q115" s="128"/>
      <c r="R115" s="124"/>
      <c r="S115" s="125"/>
      <c r="T115" s="126"/>
      <c r="U115" s="126" t="s">
        <v>22696</v>
      </c>
      <c r="V115" s="258"/>
      <c r="W115" s="258">
        <v>58.0</v>
      </c>
      <c r="X115" s="126"/>
      <c r="Y115" s="126"/>
      <c r="Z115" s="260"/>
      <c r="AA115" s="127"/>
      <c r="AB115" s="127"/>
      <c r="AC115" s="127"/>
      <c r="AD115" s="261"/>
      <c r="AE115" s="261"/>
      <c r="AF115" s="261"/>
      <c r="AG115" s="261"/>
    </row>
    <row r="116" ht="34.5" customHeight="1">
      <c r="A116" s="111" t="s">
        <v>22697</v>
      </c>
      <c r="B116" s="127" t="s">
        <v>22698</v>
      </c>
      <c r="C116" s="111" t="s">
        <v>8618</v>
      </c>
      <c r="D116" s="111" t="s">
        <v>10072</v>
      </c>
      <c r="E116" s="111" t="s">
        <v>7999</v>
      </c>
      <c r="F116" s="111"/>
      <c r="G116" s="111"/>
      <c r="H116" s="111"/>
      <c r="I116" s="127" t="s">
        <v>22695</v>
      </c>
      <c r="J116" s="111">
        <v>2035.0</v>
      </c>
      <c r="K116" s="257">
        <v>2035.0</v>
      </c>
      <c r="L116" s="111"/>
      <c r="M116" s="127" t="s">
        <v>22185</v>
      </c>
      <c r="N116" s="127" t="s">
        <v>12397</v>
      </c>
      <c r="O116" s="111" t="s">
        <v>30</v>
      </c>
      <c r="P116" s="111" t="s">
        <v>10444</v>
      </c>
      <c r="Q116" s="128"/>
      <c r="R116" s="124"/>
      <c r="S116" s="125"/>
      <c r="T116" s="126"/>
      <c r="U116" s="126"/>
      <c r="V116" s="258"/>
      <c r="W116" s="258"/>
      <c r="X116" s="126"/>
      <c r="Y116" s="126"/>
      <c r="Z116" s="260"/>
      <c r="AA116" s="127"/>
      <c r="AB116" s="127"/>
      <c r="AC116" s="127"/>
      <c r="AD116" s="261"/>
      <c r="AE116" s="261"/>
      <c r="AF116" s="261"/>
      <c r="AG116" s="261"/>
    </row>
    <row r="117" ht="34.5" customHeight="1">
      <c r="A117" s="111" t="s">
        <v>22699</v>
      </c>
      <c r="B117" s="127" t="s">
        <v>22700</v>
      </c>
      <c r="C117" s="111" t="s">
        <v>8618</v>
      </c>
      <c r="D117" s="111" t="s">
        <v>8047</v>
      </c>
      <c r="E117" s="111" t="s">
        <v>8591</v>
      </c>
      <c r="F117" s="111"/>
      <c r="G117" s="111"/>
      <c r="H117" s="111"/>
      <c r="I117" s="127" t="s">
        <v>22695</v>
      </c>
      <c r="J117" s="111">
        <v>2025.0</v>
      </c>
      <c r="K117" s="257">
        <v>2025.0</v>
      </c>
      <c r="L117" s="111"/>
      <c r="M117" s="127" t="s">
        <v>22198</v>
      </c>
      <c r="N117" s="127" t="s">
        <v>12397</v>
      </c>
      <c r="O117" s="111" t="s">
        <v>30</v>
      </c>
      <c r="P117" s="111" t="s">
        <v>10444</v>
      </c>
      <c r="Q117" s="128"/>
      <c r="R117" s="124"/>
      <c r="S117" s="125"/>
      <c r="T117" s="126"/>
      <c r="U117" s="126" t="s">
        <v>22701</v>
      </c>
      <c r="V117" s="258"/>
      <c r="W117" s="258">
        <v>129.0</v>
      </c>
      <c r="X117" s="126"/>
      <c r="Y117" s="126"/>
      <c r="Z117" s="259" t="s">
        <v>22189</v>
      </c>
      <c r="AA117" s="262" t="s">
        <v>22189</v>
      </c>
      <c r="AB117" s="127"/>
      <c r="AC117" s="127"/>
      <c r="AD117" s="261"/>
      <c r="AE117" s="261"/>
      <c r="AF117" s="261"/>
      <c r="AG117" s="261"/>
    </row>
    <row r="118" ht="34.5" customHeight="1">
      <c r="A118" s="111" t="s">
        <v>22702</v>
      </c>
      <c r="B118" s="127" t="s">
        <v>22703</v>
      </c>
      <c r="C118" s="111" t="s">
        <v>8618</v>
      </c>
      <c r="D118" s="111" t="s">
        <v>8047</v>
      </c>
      <c r="E118" s="111" t="s">
        <v>8591</v>
      </c>
      <c r="F118" s="111"/>
      <c r="G118" s="111"/>
      <c r="H118" s="111"/>
      <c r="I118" s="127" t="s">
        <v>22695</v>
      </c>
      <c r="J118" s="111">
        <v>2035.0</v>
      </c>
      <c r="K118" s="257">
        <v>2035.0</v>
      </c>
      <c r="L118" s="111"/>
      <c r="M118" s="127" t="s">
        <v>22185</v>
      </c>
      <c r="N118" s="127" t="s">
        <v>12397</v>
      </c>
      <c r="O118" s="111" t="s">
        <v>30</v>
      </c>
      <c r="P118" s="111" t="s">
        <v>10444</v>
      </c>
      <c r="Q118" s="128"/>
      <c r="R118" s="124"/>
      <c r="S118" s="125"/>
      <c r="T118" s="126"/>
      <c r="U118" s="126" t="s">
        <v>22704</v>
      </c>
      <c r="V118" s="258">
        <v>176.0</v>
      </c>
      <c r="W118" s="258"/>
      <c r="X118" s="126"/>
      <c r="Y118" s="126"/>
      <c r="Z118" s="259" t="s">
        <v>22189</v>
      </c>
      <c r="AA118" s="262" t="s">
        <v>22189</v>
      </c>
      <c r="AB118" s="127"/>
      <c r="AC118" s="127"/>
      <c r="AD118" s="261"/>
      <c r="AE118" s="261"/>
      <c r="AF118" s="261"/>
      <c r="AG118" s="261"/>
    </row>
    <row r="119" ht="34.5" customHeight="1">
      <c r="A119" s="111" t="s">
        <v>22705</v>
      </c>
      <c r="B119" s="127" t="s">
        <v>22706</v>
      </c>
      <c r="C119" s="111" t="s">
        <v>8620</v>
      </c>
      <c r="D119" s="111"/>
      <c r="E119" s="111"/>
      <c r="F119" s="111"/>
      <c r="G119" s="111"/>
      <c r="H119" s="111"/>
      <c r="I119" s="127" t="s">
        <v>22707</v>
      </c>
      <c r="J119" s="111">
        <v>2029.0</v>
      </c>
      <c r="K119" s="257">
        <v>2029.0</v>
      </c>
      <c r="L119" s="111"/>
      <c r="M119" s="127" t="s">
        <v>22198</v>
      </c>
      <c r="N119" s="127" t="s">
        <v>12399</v>
      </c>
      <c r="O119" s="111" t="s">
        <v>30</v>
      </c>
      <c r="P119" s="111" t="s">
        <v>10444</v>
      </c>
      <c r="Q119" s="128" t="s">
        <v>22708</v>
      </c>
      <c r="R119" s="124"/>
      <c r="S119" s="125"/>
      <c r="T119" s="126"/>
      <c r="U119" s="126" t="s">
        <v>22709</v>
      </c>
      <c r="V119" s="258"/>
      <c r="W119" s="258">
        <v>403.0</v>
      </c>
      <c r="X119" s="126"/>
      <c r="Y119" s="126" t="s">
        <v>22710</v>
      </c>
      <c r="Z119" s="259" t="s">
        <v>22189</v>
      </c>
      <c r="AA119" s="262" t="s">
        <v>22189</v>
      </c>
      <c r="AB119" s="127"/>
      <c r="AC119" s="127"/>
      <c r="AD119" s="261"/>
      <c r="AE119" s="261"/>
      <c r="AF119" s="261"/>
      <c r="AG119" s="261"/>
    </row>
    <row r="120" ht="34.5" customHeight="1">
      <c r="A120" s="111" t="s">
        <v>22711</v>
      </c>
      <c r="B120" s="127" t="s">
        <v>22712</v>
      </c>
      <c r="C120" s="111" t="s">
        <v>8620</v>
      </c>
      <c r="D120" s="111"/>
      <c r="E120" s="111"/>
      <c r="F120" s="111"/>
      <c r="G120" s="111"/>
      <c r="H120" s="111"/>
      <c r="I120" s="127" t="s">
        <v>22713</v>
      </c>
      <c r="J120" s="111">
        <v>2029.0</v>
      </c>
      <c r="K120" s="257">
        <v>2029.0</v>
      </c>
      <c r="L120" s="111"/>
      <c r="M120" s="127" t="s">
        <v>22198</v>
      </c>
      <c r="N120" s="127" t="s">
        <v>12399</v>
      </c>
      <c r="O120" s="111" t="s">
        <v>30</v>
      </c>
      <c r="P120" s="111" t="s">
        <v>10444</v>
      </c>
      <c r="Q120" s="128" t="s">
        <v>22714</v>
      </c>
      <c r="R120" s="124"/>
      <c r="S120" s="125"/>
      <c r="T120" s="126"/>
      <c r="U120" s="126" t="s">
        <v>22715</v>
      </c>
      <c r="V120" s="258"/>
      <c r="W120" s="258">
        <v>163.0</v>
      </c>
      <c r="X120" s="126"/>
      <c r="Y120" s="126" t="s">
        <v>22710</v>
      </c>
      <c r="Z120" s="259" t="s">
        <v>22189</v>
      </c>
      <c r="AA120" s="259" t="s">
        <v>22189</v>
      </c>
      <c r="AB120" s="259" t="s">
        <v>22189</v>
      </c>
      <c r="AC120" s="259" t="s">
        <v>22189</v>
      </c>
      <c r="AD120" s="261"/>
      <c r="AE120" s="261"/>
      <c r="AF120" s="261"/>
      <c r="AG120" s="261"/>
    </row>
    <row r="121" ht="34.5" customHeight="1">
      <c r="A121" s="111" t="s">
        <v>22716</v>
      </c>
      <c r="B121" s="127" t="s">
        <v>22717</v>
      </c>
      <c r="C121" s="111" t="s">
        <v>8620</v>
      </c>
      <c r="D121" s="111"/>
      <c r="E121" s="111"/>
      <c r="F121" s="111"/>
      <c r="G121" s="111"/>
      <c r="H121" s="111"/>
      <c r="I121" s="127" t="s">
        <v>22718</v>
      </c>
      <c r="J121" s="111">
        <v>2029.0</v>
      </c>
      <c r="K121" s="257">
        <v>2029.0</v>
      </c>
      <c r="L121" s="111"/>
      <c r="M121" s="127" t="s">
        <v>22198</v>
      </c>
      <c r="N121" s="127" t="s">
        <v>12399</v>
      </c>
      <c r="O121" s="111" t="s">
        <v>30</v>
      </c>
      <c r="P121" s="111" t="s">
        <v>10444</v>
      </c>
      <c r="Q121" s="128" t="s">
        <v>22714</v>
      </c>
      <c r="R121" s="124"/>
      <c r="S121" s="125"/>
      <c r="T121" s="126"/>
      <c r="U121" s="126" t="s">
        <v>22719</v>
      </c>
      <c r="V121" s="258"/>
      <c r="W121" s="258">
        <v>381.0</v>
      </c>
      <c r="X121" s="126"/>
      <c r="Y121" s="126" t="s">
        <v>22710</v>
      </c>
      <c r="Z121" s="259" t="s">
        <v>22189</v>
      </c>
      <c r="AA121" s="259" t="s">
        <v>22189</v>
      </c>
      <c r="AB121" s="259" t="s">
        <v>22189</v>
      </c>
      <c r="AC121" s="259"/>
      <c r="AD121" s="261"/>
      <c r="AE121" s="261"/>
      <c r="AF121" s="261"/>
      <c r="AG121" s="261"/>
    </row>
    <row r="122" ht="34.5" customHeight="1">
      <c r="A122" s="111" t="s">
        <v>22720</v>
      </c>
      <c r="B122" s="127" t="s">
        <v>22721</v>
      </c>
      <c r="C122" s="111" t="s">
        <v>7977</v>
      </c>
      <c r="D122" s="111" t="s">
        <v>8011</v>
      </c>
      <c r="E122" s="111"/>
      <c r="F122" s="111"/>
      <c r="G122" s="111"/>
      <c r="H122" s="111"/>
      <c r="I122" s="127" t="s">
        <v>22273</v>
      </c>
      <c r="J122" s="111">
        <v>2040.0</v>
      </c>
      <c r="K122" s="257">
        <v>2040.0</v>
      </c>
      <c r="L122" s="111"/>
      <c r="M122" s="127" t="s">
        <v>22203</v>
      </c>
      <c r="N122" s="127" t="s">
        <v>12399</v>
      </c>
      <c r="O122" s="111" t="s">
        <v>30</v>
      </c>
      <c r="P122" s="111" t="s">
        <v>10444</v>
      </c>
      <c r="Q122" s="128"/>
      <c r="R122" s="124"/>
      <c r="S122" s="125"/>
      <c r="T122" s="126"/>
      <c r="U122" s="126" t="s">
        <v>22722</v>
      </c>
      <c r="V122" s="258">
        <v>82.0</v>
      </c>
      <c r="W122" s="258"/>
      <c r="X122" s="126"/>
      <c r="Y122" s="126"/>
      <c r="Z122" s="260"/>
      <c r="AA122" s="127"/>
      <c r="AB122" s="127"/>
      <c r="AC122" s="127"/>
      <c r="AD122" s="261"/>
      <c r="AE122" s="261"/>
      <c r="AF122" s="261"/>
      <c r="AG122" s="261"/>
    </row>
    <row r="123" ht="34.5" customHeight="1">
      <c r="A123" s="111" t="s">
        <v>22723</v>
      </c>
      <c r="B123" s="127" t="s">
        <v>22724</v>
      </c>
      <c r="C123" s="111" t="s">
        <v>7977</v>
      </c>
      <c r="D123" s="111" t="s">
        <v>8011</v>
      </c>
      <c r="E123" s="111"/>
      <c r="F123" s="111"/>
      <c r="G123" s="111"/>
      <c r="H123" s="111"/>
      <c r="I123" s="127" t="s">
        <v>22273</v>
      </c>
      <c r="J123" s="111">
        <v>2040.0</v>
      </c>
      <c r="K123" s="257">
        <v>2040.0</v>
      </c>
      <c r="L123" s="111"/>
      <c r="M123" s="127" t="s">
        <v>22203</v>
      </c>
      <c r="N123" s="127" t="s">
        <v>12397</v>
      </c>
      <c r="O123" s="111" t="s">
        <v>30</v>
      </c>
      <c r="P123" s="111" t="s">
        <v>10444</v>
      </c>
      <c r="Q123" s="111"/>
      <c r="R123" s="124"/>
      <c r="S123" s="125"/>
      <c r="T123" s="125"/>
      <c r="U123" s="125" t="s">
        <v>22725</v>
      </c>
      <c r="V123" s="258">
        <v>146.0</v>
      </c>
      <c r="W123" s="258"/>
      <c r="X123" s="125"/>
      <c r="Y123" s="125"/>
      <c r="Z123" s="260"/>
      <c r="AA123" s="127"/>
      <c r="AB123" s="127"/>
      <c r="AC123" s="127"/>
      <c r="AD123" s="261"/>
      <c r="AE123" s="261"/>
      <c r="AF123" s="261"/>
      <c r="AG123" s="261"/>
    </row>
    <row r="124" ht="34.5" customHeight="1">
      <c r="A124" s="111" t="s">
        <v>22726</v>
      </c>
      <c r="B124" s="127" t="s">
        <v>22727</v>
      </c>
      <c r="C124" s="111" t="s">
        <v>7977</v>
      </c>
      <c r="D124" s="111"/>
      <c r="E124" s="111"/>
      <c r="F124" s="111"/>
      <c r="G124" s="111"/>
      <c r="H124" s="111"/>
      <c r="I124" s="127" t="s">
        <v>22273</v>
      </c>
      <c r="J124" s="111">
        <v>2040.0</v>
      </c>
      <c r="K124" s="257">
        <v>2040.0</v>
      </c>
      <c r="L124" s="111"/>
      <c r="M124" s="127" t="s">
        <v>22198</v>
      </c>
      <c r="N124" s="127" t="s">
        <v>12397</v>
      </c>
      <c r="O124" s="111" t="s">
        <v>30</v>
      </c>
      <c r="P124" s="111" t="s">
        <v>10444</v>
      </c>
      <c r="Q124" s="128"/>
      <c r="R124" s="124"/>
      <c r="S124" s="125"/>
      <c r="T124" s="126"/>
      <c r="U124" s="126" t="s">
        <v>22728</v>
      </c>
      <c r="V124" s="258"/>
      <c r="W124" s="258">
        <v>931.0</v>
      </c>
      <c r="X124" s="126"/>
      <c r="Y124" s="126"/>
      <c r="Z124" s="260"/>
      <c r="AA124" s="127"/>
      <c r="AB124" s="127"/>
      <c r="AC124" s="127"/>
      <c r="AD124" s="261"/>
      <c r="AE124" s="261"/>
      <c r="AF124" s="261"/>
      <c r="AG124" s="261"/>
    </row>
    <row r="125" ht="34.5" customHeight="1">
      <c r="A125" s="111" t="s">
        <v>22729</v>
      </c>
      <c r="B125" s="127" t="s">
        <v>22730</v>
      </c>
      <c r="C125" s="111" t="s">
        <v>7977</v>
      </c>
      <c r="D125" s="111"/>
      <c r="E125" s="111"/>
      <c r="F125" s="111"/>
      <c r="G125" s="111"/>
      <c r="H125" s="111"/>
      <c r="I125" s="127" t="s">
        <v>22273</v>
      </c>
      <c r="J125" s="111">
        <v>2040.0</v>
      </c>
      <c r="K125" s="257">
        <v>2040.0</v>
      </c>
      <c r="L125" s="111"/>
      <c r="M125" s="127" t="s">
        <v>22203</v>
      </c>
      <c r="N125" s="127" t="s">
        <v>12397</v>
      </c>
      <c r="O125" s="111" t="s">
        <v>30</v>
      </c>
      <c r="P125" s="111" t="s">
        <v>10444</v>
      </c>
      <c r="Q125" s="128"/>
      <c r="R125" s="124"/>
      <c r="S125" s="125"/>
      <c r="T125" s="126"/>
      <c r="U125" s="126" t="s">
        <v>22300</v>
      </c>
      <c r="V125" s="258">
        <v>265.0</v>
      </c>
      <c r="W125" s="258">
        <v>335.0</v>
      </c>
      <c r="X125" s="126"/>
      <c r="Y125" s="126"/>
      <c r="Z125" s="260"/>
      <c r="AA125" s="127"/>
      <c r="AB125" s="127"/>
      <c r="AC125" s="127"/>
      <c r="AD125" s="261"/>
      <c r="AE125" s="261"/>
      <c r="AF125" s="261"/>
      <c r="AG125" s="261"/>
    </row>
    <row r="126" ht="34.5" customHeight="1">
      <c r="A126" s="111" t="s">
        <v>22731</v>
      </c>
      <c r="B126" s="127" t="s">
        <v>22732</v>
      </c>
      <c r="C126" s="111" t="s">
        <v>7974</v>
      </c>
      <c r="D126" s="111"/>
      <c r="E126" s="111"/>
      <c r="F126" s="111"/>
      <c r="G126" s="111"/>
      <c r="H126" s="111"/>
      <c r="I126" s="127" t="s">
        <v>22445</v>
      </c>
      <c r="J126" s="111">
        <v>2028.0</v>
      </c>
      <c r="K126" s="257">
        <v>2028.0</v>
      </c>
      <c r="L126" s="111"/>
      <c r="M126" s="127" t="s">
        <v>22185</v>
      </c>
      <c r="N126" s="127" t="s">
        <v>12397</v>
      </c>
      <c r="O126" s="111" t="s">
        <v>30</v>
      </c>
      <c r="P126" s="111" t="s">
        <v>10444</v>
      </c>
      <c r="Q126" s="128" t="s">
        <v>22733</v>
      </c>
      <c r="R126" s="124"/>
      <c r="S126" s="125"/>
      <c r="T126" s="126"/>
      <c r="U126" s="126" t="s">
        <v>22734</v>
      </c>
      <c r="V126" s="258">
        <v>120.0</v>
      </c>
      <c r="W126" s="258"/>
      <c r="X126" s="126"/>
      <c r="Y126" s="126"/>
      <c r="Z126" s="260"/>
      <c r="AA126" s="127"/>
      <c r="AB126" s="127"/>
      <c r="AC126" s="127"/>
      <c r="AD126" s="261"/>
      <c r="AE126" s="261"/>
      <c r="AF126" s="261"/>
      <c r="AG126" s="261"/>
    </row>
    <row r="127" ht="34.5" customHeight="1">
      <c r="A127" s="111" t="s">
        <v>22735</v>
      </c>
      <c r="B127" s="127" t="s">
        <v>22736</v>
      </c>
      <c r="C127" s="111" t="s">
        <v>7974</v>
      </c>
      <c r="D127" s="111"/>
      <c r="E127" s="111"/>
      <c r="F127" s="111"/>
      <c r="G127" s="111"/>
      <c r="H127" s="111"/>
      <c r="I127" s="127" t="s">
        <v>22445</v>
      </c>
      <c r="J127" s="111">
        <v>2030.0</v>
      </c>
      <c r="K127" s="257">
        <v>2030.0</v>
      </c>
      <c r="L127" s="111"/>
      <c r="M127" s="127" t="s">
        <v>22185</v>
      </c>
      <c r="N127" s="127" t="s">
        <v>12397</v>
      </c>
      <c r="O127" s="111" t="s">
        <v>30</v>
      </c>
      <c r="P127" s="111" t="s">
        <v>10444</v>
      </c>
      <c r="Q127" s="128" t="s">
        <v>22543</v>
      </c>
      <c r="R127" s="124"/>
      <c r="S127" s="125"/>
      <c r="T127" s="126"/>
      <c r="U127" s="126" t="s">
        <v>22734</v>
      </c>
      <c r="V127" s="258">
        <v>120.0</v>
      </c>
      <c r="W127" s="258"/>
      <c r="X127" s="126"/>
      <c r="Y127" s="126"/>
      <c r="Z127" s="260"/>
      <c r="AA127" s="127"/>
      <c r="AB127" s="127"/>
      <c r="AC127" s="127"/>
      <c r="AD127" s="261"/>
      <c r="AE127" s="261"/>
      <c r="AF127" s="261"/>
      <c r="AG127" s="261"/>
    </row>
    <row r="128" ht="34.5" customHeight="1">
      <c r="A128" s="111" t="s">
        <v>22737</v>
      </c>
      <c r="B128" s="127" t="s">
        <v>22738</v>
      </c>
      <c r="C128" s="111" t="s">
        <v>8011</v>
      </c>
      <c r="D128" s="111"/>
      <c r="E128" s="111"/>
      <c r="F128" s="111"/>
      <c r="G128" s="111"/>
      <c r="H128" s="111"/>
      <c r="I128" s="127" t="s">
        <v>22292</v>
      </c>
      <c r="J128" s="111">
        <v>2029.0</v>
      </c>
      <c r="K128" s="257">
        <v>2029.0</v>
      </c>
      <c r="L128" s="111"/>
      <c r="M128" s="127" t="s">
        <v>22203</v>
      </c>
      <c r="N128" s="127" t="s">
        <v>12399</v>
      </c>
      <c r="O128" s="111" t="s">
        <v>30</v>
      </c>
      <c r="P128" s="111" t="s">
        <v>10444</v>
      </c>
      <c r="Q128" s="128" t="s">
        <v>22739</v>
      </c>
      <c r="R128" s="124"/>
      <c r="S128" s="125"/>
      <c r="T128" s="126">
        <v>189.0</v>
      </c>
      <c r="U128" s="126" t="s">
        <v>22740</v>
      </c>
      <c r="V128" s="258"/>
      <c r="W128" s="258">
        <v>76.0</v>
      </c>
      <c r="X128" s="126" t="s">
        <v>22741</v>
      </c>
      <c r="Y128" s="126"/>
      <c r="Z128" s="262" t="s">
        <v>22189</v>
      </c>
      <c r="AA128" s="262" t="s">
        <v>22189</v>
      </c>
      <c r="AB128" s="127"/>
      <c r="AC128" s="127"/>
      <c r="AD128" s="261"/>
      <c r="AE128" s="261"/>
      <c r="AF128" s="261"/>
      <c r="AG128" s="261"/>
    </row>
    <row r="129" ht="34.5" customHeight="1">
      <c r="A129" s="111" t="s">
        <v>22742</v>
      </c>
      <c r="B129" s="127" t="s">
        <v>22743</v>
      </c>
      <c r="C129" s="111" t="s">
        <v>8011</v>
      </c>
      <c r="D129" s="111" t="s">
        <v>7985</v>
      </c>
      <c r="E129" s="111"/>
      <c r="F129" s="111"/>
      <c r="G129" s="111"/>
      <c r="H129" s="111"/>
      <c r="I129" s="127" t="s">
        <v>22292</v>
      </c>
      <c r="J129" s="111">
        <v>2029.0</v>
      </c>
      <c r="K129" s="257">
        <v>2029.0</v>
      </c>
      <c r="L129" s="111"/>
      <c r="M129" s="127" t="s">
        <v>22203</v>
      </c>
      <c r="N129" s="127" t="s">
        <v>12399</v>
      </c>
      <c r="O129" s="111" t="s">
        <v>30</v>
      </c>
      <c r="P129" s="111" t="s">
        <v>10444</v>
      </c>
      <c r="Q129" s="128" t="s">
        <v>22739</v>
      </c>
      <c r="R129" s="124"/>
      <c r="S129" s="125"/>
      <c r="T129" s="126">
        <v>189.0</v>
      </c>
      <c r="U129" s="126" t="s">
        <v>22224</v>
      </c>
      <c r="V129" s="258">
        <v>25.0</v>
      </c>
      <c r="W129" s="258"/>
      <c r="X129" s="126" t="s">
        <v>22741</v>
      </c>
      <c r="Y129" s="126"/>
      <c r="Z129" s="262" t="s">
        <v>22189</v>
      </c>
      <c r="AA129" s="262" t="s">
        <v>22189</v>
      </c>
      <c r="AB129" s="127"/>
      <c r="AC129" s="127"/>
      <c r="AD129" s="261"/>
      <c r="AE129" s="261"/>
      <c r="AF129" s="261"/>
      <c r="AG129" s="261"/>
    </row>
    <row r="130" ht="34.5" customHeight="1">
      <c r="A130" s="111" t="s">
        <v>22744</v>
      </c>
      <c r="B130" s="127" t="s">
        <v>22745</v>
      </c>
      <c r="C130" s="111" t="s">
        <v>8011</v>
      </c>
      <c r="D130" s="111" t="s">
        <v>7987</v>
      </c>
      <c r="E130" s="111"/>
      <c r="F130" s="111"/>
      <c r="G130" s="111"/>
      <c r="H130" s="111"/>
      <c r="I130" s="127" t="s">
        <v>22292</v>
      </c>
      <c r="J130" s="111">
        <v>2029.0</v>
      </c>
      <c r="K130" s="257">
        <v>2029.0</v>
      </c>
      <c r="L130" s="111"/>
      <c r="M130" s="127" t="s">
        <v>22185</v>
      </c>
      <c r="N130" s="127" t="s">
        <v>12399</v>
      </c>
      <c r="O130" s="111" t="s">
        <v>30</v>
      </c>
      <c r="P130" s="111" t="s">
        <v>10444</v>
      </c>
      <c r="Q130" s="128" t="s">
        <v>22739</v>
      </c>
      <c r="R130" s="124"/>
      <c r="S130" s="125"/>
      <c r="T130" s="126">
        <v>189.0</v>
      </c>
      <c r="U130" s="126" t="s">
        <v>22746</v>
      </c>
      <c r="V130" s="258">
        <v>5.0</v>
      </c>
      <c r="W130" s="258"/>
      <c r="X130" s="126" t="s">
        <v>22741</v>
      </c>
      <c r="Y130" s="126"/>
      <c r="Z130" s="262" t="s">
        <v>22189</v>
      </c>
      <c r="AA130" s="262" t="s">
        <v>22189</v>
      </c>
      <c r="AB130" s="127"/>
      <c r="AC130" s="127"/>
      <c r="AD130" s="261"/>
      <c r="AE130" s="261"/>
      <c r="AF130" s="261"/>
      <c r="AG130" s="261"/>
    </row>
    <row r="131" ht="34.5" customHeight="1">
      <c r="A131" s="111" t="s">
        <v>22747</v>
      </c>
      <c r="B131" s="127" t="s">
        <v>22748</v>
      </c>
      <c r="C131" s="111" t="s">
        <v>8011</v>
      </c>
      <c r="D131" s="111" t="s">
        <v>8087</v>
      </c>
      <c r="E131" s="111"/>
      <c r="F131" s="111"/>
      <c r="G131" s="111"/>
      <c r="H131" s="111"/>
      <c r="I131" s="127" t="s">
        <v>22749</v>
      </c>
      <c r="J131" s="111">
        <v>2034.0</v>
      </c>
      <c r="K131" s="257">
        <v>2034.0</v>
      </c>
      <c r="L131" s="111"/>
      <c r="M131" s="127" t="s">
        <v>22185</v>
      </c>
      <c r="N131" s="127" t="s">
        <v>12399</v>
      </c>
      <c r="O131" s="111" t="s">
        <v>30</v>
      </c>
      <c r="P131" s="111" t="s">
        <v>10444</v>
      </c>
      <c r="Q131" s="128" t="s">
        <v>22750</v>
      </c>
      <c r="R131" s="124"/>
      <c r="S131" s="125"/>
      <c r="T131" s="126"/>
      <c r="U131" s="126" t="s">
        <v>22284</v>
      </c>
      <c r="V131" s="258">
        <v>50.0</v>
      </c>
      <c r="W131" s="258"/>
      <c r="X131" s="126"/>
      <c r="Y131" s="126"/>
      <c r="Z131" s="259" t="s">
        <v>22189</v>
      </c>
      <c r="AA131" s="262" t="s">
        <v>22189</v>
      </c>
      <c r="AB131" s="127"/>
      <c r="AC131" s="127"/>
      <c r="AD131" s="261"/>
      <c r="AE131" s="261"/>
      <c r="AF131" s="261"/>
      <c r="AG131" s="261"/>
    </row>
    <row r="132" ht="34.5" customHeight="1">
      <c r="A132" s="111" t="s">
        <v>22751</v>
      </c>
      <c r="B132" s="127" t="s">
        <v>22752</v>
      </c>
      <c r="C132" s="111" t="s">
        <v>8011</v>
      </c>
      <c r="D132" s="111" t="s">
        <v>8087</v>
      </c>
      <c r="E132" s="111"/>
      <c r="F132" s="111"/>
      <c r="G132" s="111"/>
      <c r="H132" s="111"/>
      <c r="I132" s="127" t="s">
        <v>22749</v>
      </c>
      <c r="J132" s="111">
        <v>2034.0</v>
      </c>
      <c r="K132" s="257">
        <v>2034.0</v>
      </c>
      <c r="L132" s="111"/>
      <c r="M132" s="127" t="s">
        <v>22185</v>
      </c>
      <c r="N132" s="127" t="s">
        <v>12399</v>
      </c>
      <c r="O132" s="111" t="s">
        <v>30</v>
      </c>
      <c r="P132" s="111" t="s">
        <v>10444</v>
      </c>
      <c r="Q132" s="128" t="s">
        <v>22750</v>
      </c>
      <c r="R132" s="124"/>
      <c r="S132" s="125"/>
      <c r="T132" s="126"/>
      <c r="U132" s="126" t="s">
        <v>22455</v>
      </c>
      <c r="V132" s="258">
        <v>40.0</v>
      </c>
      <c r="W132" s="258"/>
      <c r="X132" s="126"/>
      <c r="Y132" s="126"/>
      <c r="Z132" s="259" t="s">
        <v>22189</v>
      </c>
      <c r="AA132" s="262" t="s">
        <v>22189</v>
      </c>
      <c r="AB132" s="127"/>
      <c r="AC132" s="127"/>
      <c r="AD132" s="261"/>
      <c r="AE132" s="261"/>
      <c r="AF132" s="261"/>
      <c r="AG132" s="261"/>
    </row>
    <row r="133" ht="34.5" customHeight="1">
      <c r="A133" s="111" t="s">
        <v>22753</v>
      </c>
      <c r="B133" s="127" t="s">
        <v>22754</v>
      </c>
      <c r="C133" s="111" t="s">
        <v>8011</v>
      </c>
      <c r="D133" s="111"/>
      <c r="E133" s="111"/>
      <c r="F133" s="111"/>
      <c r="G133" s="111"/>
      <c r="H133" s="111"/>
      <c r="I133" s="127" t="s">
        <v>22292</v>
      </c>
      <c r="J133" s="111">
        <v>2034.0</v>
      </c>
      <c r="K133" s="257">
        <v>2034.0</v>
      </c>
      <c r="L133" s="111"/>
      <c r="M133" s="127" t="s">
        <v>22198</v>
      </c>
      <c r="N133" s="127" t="s">
        <v>12397</v>
      </c>
      <c r="O133" s="111" t="s">
        <v>30</v>
      </c>
      <c r="P133" s="111" t="s">
        <v>10444</v>
      </c>
      <c r="Q133" s="128" t="s">
        <v>22750</v>
      </c>
      <c r="R133" s="124"/>
      <c r="S133" s="125"/>
      <c r="T133" s="126"/>
      <c r="U133" s="126" t="s">
        <v>22755</v>
      </c>
      <c r="V133" s="258"/>
      <c r="W133" s="258">
        <v>200.0</v>
      </c>
      <c r="X133" s="126"/>
      <c r="Y133" s="126"/>
      <c r="Z133" s="259" t="s">
        <v>22189</v>
      </c>
      <c r="AA133" s="127"/>
      <c r="AB133" s="127"/>
      <c r="AC133" s="127"/>
      <c r="AD133" s="261"/>
      <c r="AE133" s="261"/>
      <c r="AF133" s="261"/>
      <c r="AG133" s="261"/>
    </row>
    <row r="134" ht="34.5" customHeight="1">
      <c r="A134" s="111" t="s">
        <v>22756</v>
      </c>
      <c r="B134" s="127" t="s">
        <v>22757</v>
      </c>
      <c r="C134" s="111" t="s">
        <v>8011</v>
      </c>
      <c r="D134" s="111"/>
      <c r="E134" s="111"/>
      <c r="F134" s="111"/>
      <c r="G134" s="111"/>
      <c r="H134" s="111"/>
      <c r="I134" s="127" t="s">
        <v>22292</v>
      </c>
      <c r="J134" s="111">
        <v>2034.0</v>
      </c>
      <c r="K134" s="257">
        <v>2034.0</v>
      </c>
      <c r="L134" s="111"/>
      <c r="M134" s="127" t="s">
        <v>22198</v>
      </c>
      <c r="N134" s="127" t="s">
        <v>12397</v>
      </c>
      <c r="O134" s="111" t="s">
        <v>30</v>
      </c>
      <c r="P134" s="111" t="s">
        <v>10444</v>
      </c>
      <c r="Q134" s="128" t="s">
        <v>22750</v>
      </c>
      <c r="R134" s="124"/>
      <c r="S134" s="125"/>
      <c r="T134" s="126"/>
      <c r="U134" s="126" t="s">
        <v>22758</v>
      </c>
      <c r="V134" s="258"/>
      <c r="W134" s="258">
        <v>265.0</v>
      </c>
      <c r="X134" s="126"/>
      <c r="Y134" s="126"/>
      <c r="Z134" s="259" t="s">
        <v>22189</v>
      </c>
      <c r="AA134" s="127"/>
      <c r="AB134" s="127"/>
      <c r="AC134" s="127"/>
      <c r="AD134" s="261"/>
      <c r="AE134" s="261"/>
      <c r="AF134" s="261"/>
      <c r="AG134" s="261"/>
    </row>
    <row r="135" ht="34.5" customHeight="1">
      <c r="A135" s="111" t="s">
        <v>22759</v>
      </c>
      <c r="B135" s="127" t="s">
        <v>22760</v>
      </c>
      <c r="C135" s="111" t="s">
        <v>8011</v>
      </c>
      <c r="D135" s="111"/>
      <c r="E135" s="111"/>
      <c r="F135" s="111"/>
      <c r="G135" s="111"/>
      <c r="H135" s="111"/>
      <c r="I135" s="127" t="s">
        <v>22557</v>
      </c>
      <c r="J135" s="111">
        <v>2027.0</v>
      </c>
      <c r="K135" s="257">
        <v>2027.0</v>
      </c>
      <c r="L135" s="111"/>
      <c r="M135" s="127" t="s">
        <v>22203</v>
      </c>
      <c r="N135" s="127" t="s">
        <v>18630</v>
      </c>
      <c r="O135" s="111" t="s">
        <v>30</v>
      </c>
      <c r="P135" s="111" t="s">
        <v>10444</v>
      </c>
      <c r="Q135" s="128" t="s">
        <v>22558</v>
      </c>
      <c r="R135" s="124"/>
      <c r="S135" s="125"/>
      <c r="T135" s="126">
        <v>60.0</v>
      </c>
      <c r="U135" s="126" t="s">
        <v>22761</v>
      </c>
      <c r="V135" s="258">
        <v>3.0</v>
      </c>
      <c r="W135" s="258">
        <v>49.0</v>
      </c>
      <c r="X135" s="126">
        <v>25.0</v>
      </c>
      <c r="Y135" s="126" t="s">
        <v>22762</v>
      </c>
      <c r="Z135" s="262" t="s">
        <v>22189</v>
      </c>
      <c r="AA135" s="262" t="s">
        <v>22189</v>
      </c>
      <c r="AB135" s="127"/>
      <c r="AC135" s="127"/>
      <c r="AD135" s="261"/>
      <c r="AE135" s="261"/>
      <c r="AF135" s="261"/>
      <c r="AG135" s="261"/>
    </row>
    <row r="136" ht="34.5" customHeight="1">
      <c r="A136" s="111" t="s">
        <v>22763</v>
      </c>
      <c r="B136" s="127" t="s">
        <v>22764</v>
      </c>
      <c r="C136" s="111" t="s">
        <v>8562</v>
      </c>
      <c r="D136" s="111"/>
      <c r="E136" s="111"/>
      <c r="F136" s="111"/>
      <c r="G136" s="111"/>
      <c r="H136" s="111"/>
      <c r="I136" s="127"/>
      <c r="J136" s="111">
        <v>2030.0</v>
      </c>
      <c r="K136" s="257">
        <v>2030.0</v>
      </c>
      <c r="L136" s="111"/>
      <c r="M136" s="127" t="s">
        <v>22185</v>
      </c>
      <c r="N136" s="127" t="s">
        <v>12397</v>
      </c>
      <c r="O136" s="111" t="s">
        <v>30</v>
      </c>
      <c r="P136" s="111" t="s">
        <v>22258</v>
      </c>
      <c r="Q136" s="128" t="s">
        <v>19</v>
      </c>
      <c r="R136" s="124"/>
      <c r="S136" s="125"/>
      <c r="T136" s="126"/>
      <c r="U136" s="126" t="s">
        <v>22765</v>
      </c>
      <c r="V136" s="258">
        <v>5600.0</v>
      </c>
      <c r="W136" s="258"/>
      <c r="X136" s="126"/>
      <c r="Y136" s="126"/>
      <c r="Z136" s="262" t="s">
        <v>22189</v>
      </c>
      <c r="AA136" s="127"/>
      <c r="AB136" s="127"/>
      <c r="AC136" s="127"/>
      <c r="AD136" s="261"/>
      <c r="AE136" s="261"/>
      <c r="AF136" s="261"/>
      <c r="AG136" s="261"/>
    </row>
    <row r="137" ht="34.5" customHeight="1">
      <c r="A137" s="111" t="s">
        <v>22766</v>
      </c>
      <c r="B137" s="127" t="s">
        <v>22767</v>
      </c>
      <c r="C137" s="111" t="s">
        <v>8001</v>
      </c>
      <c r="D137" s="111"/>
      <c r="E137" s="111"/>
      <c r="F137" s="111"/>
      <c r="G137" s="111"/>
      <c r="H137" s="111"/>
      <c r="I137" s="127" t="s">
        <v>22768</v>
      </c>
      <c r="J137" s="111">
        <v>2027.0</v>
      </c>
      <c r="K137" s="257">
        <v>2027.0</v>
      </c>
      <c r="L137" s="111"/>
      <c r="M137" s="127" t="s">
        <v>22185</v>
      </c>
      <c r="N137" s="127" t="s">
        <v>18630</v>
      </c>
      <c r="O137" s="111" t="s">
        <v>30</v>
      </c>
      <c r="P137" s="111" t="s">
        <v>10444</v>
      </c>
      <c r="Q137" s="128" t="s">
        <v>19</v>
      </c>
      <c r="R137" s="267"/>
      <c r="S137" s="268"/>
      <c r="T137" s="269"/>
      <c r="U137" s="126" t="s">
        <v>22769</v>
      </c>
      <c r="V137" s="258">
        <v>700.0</v>
      </c>
      <c r="W137" s="258"/>
      <c r="X137" s="126">
        <v>63.0</v>
      </c>
      <c r="Y137" s="126" t="s">
        <v>22770</v>
      </c>
      <c r="Z137" s="262" t="s">
        <v>22189</v>
      </c>
      <c r="AA137" s="127"/>
      <c r="AB137" s="127"/>
      <c r="AC137" s="127"/>
      <c r="AD137" s="261"/>
      <c r="AE137" s="261"/>
      <c r="AF137" s="261"/>
      <c r="AG137" s="261"/>
    </row>
    <row r="138" ht="34.5" customHeight="1">
      <c r="A138" s="111" t="s">
        <v>22771</v>
      </c>
      <c r="B138" s="127" t="s">
        <v>22772</v>
      </c>
      <c r="C138" s="111" t="s">
        <v>8031</v>
      </c>
      <c r="D138" s="111" t="s">
        <v>8016</v>
      </c>
      <c r="E138" s="111"/>
      <c r="F138" s="111"/>
      <c r="G138" s="111"/>
      <c r="H138" s="111"/>
      <c r="I138" s="127" t="s">
        <v>22773</v>
      </c>
      <c r="J138" s="111">
        <v>2027.0</v>
      </c>
      <c r="K138" s="257">
        <v>2027.0</v>
      </c>
      <c r="L138" s="111"/>
      <c r="M138" s="127" t="s">
        <v>22185</v>
      </c>
      <c r="N138" s="127" t="s">
        <v>12399</v>
      </c>
      <c r="O138" s="111" t="s">
        <v>30</v>
      </c>
      <c r="P138" s="111" t="s">
        <v>10444</v>
      </c>
      <c r="Q138" s="128" t="s">
        <v>19</v>
      </c>
      <c r="R138" s="267"/>
      <c r="S138" s="268"/>
      <c r="T138" s="269"/>
      <c r="U138" s="126" t="s">
        <v>22774</v>
      </c>
      <c r="V138" s="258">
        <v>100.0</v>
      </c>
      <c r="W138" s="258"/>
      <c r="X138" s="126"/>
      <c r="Y138" s="126"/>
      <c r="Z138" s="262" t="s">
        <v>22189</v>
      </c>
      <c r="AA138" s="262" t="s">
        <v>22189</v>
      </c>
      <c r="AB138" s="262"/>
      <c r="AC138" s="262"/>
      <c r="AD138" s="261"/>
      <c r="AE138" s="261"/>
      <c r="AF138" s="261"/>
      <c r="AG138" s="261"/>
    </row>
    <row r="139" ht="34.5" customHeight="1">
      <c r="A139" s="111" t="s">
        <v>22775</v>
      </c>
      <c r="B139" s="127" t="s">
        <v>22776</v>
      </c>
      <c r="C139" s="111" t="s">
        <v>8031</v>
      </c>
      <c r="D139" s="111" t="s">
        <v>8578</v>
      </c>
      <c r="E139" s="111"/>
      <c r="F139" s="111"/>
      <c r="G139" s="111"/>
      <c r="H139" s="111"/>
      <c r="I139" s="127" t="s">
        <v>22777</v>
      </c>
      <c r="J139" s="111">
        <v>2035.0</v>
      </c>
      <c r="K139" s="257">
        <v>2035.0</v>
      </c>
      <c r="L139" s="111"/>
      <c r="M139" s="127" t="s">
        <v>22185</v>
      </c>
      <c r="N139" s="127" t="s">
        <v>12399</v>
      </c>
      <c r="O139" s="111" t="s">
        <v>30</v>
      </c>
      <c r="P139" s="111" t="s">
        <v>22258</v>
      </c>
      <c r="Q139" s="111" t="s">
        <v>22778</v>
      </c>
      <c r="R139" s="124"/>
      <c r="S139" s="125"/>
      <c r="T139" s="125"/>
      <c r="U139" s="125" t="s">
        <v>22779</v>
      </c>
      <c r="V139" s="258"/>
      <c r="W139" s="258"/>
      <c r="X139" s="125"/>
      <c r="Y139" s="125"/>
      <c r="Z139" s="262" t="s">
        <v>22189</v>
      </c>
      <c r="AA139" s="262" t="s">
        <v>22189</v>
      </c>
      <c r="AB139" s="262"/>
      <c r="AC139" s="262"/>
      <c r="AD139" s="261"/>
      <c r="AE139" s="261"/>
      <c r="AF139" s="261"/>
      <c r="AG139" s="261"/>
    </row>
    <row r="140" ht="34.5" customHeight="1">
      <c r="A140" s="111" t="s">
        <v>22780</v>
      </c>
      <c r="B140" s="127" t="s">
        <v>22781</v>
      </c>
      <c r="C140" s="111" t="s">
        <v>7991</v>
      </c>
      <c r="D140" s="111" t="s">
        <v>7987</v>
      </c>
      <c r="E140" s="111"/>
      <c r="F140" s="111"/>
      <c r="G140" s="111"/>
      <c r="H140" s="111"/>
      <c r="I140" s="127" t="s">
        <v>22782</v>
      </c>
      <c r="J140" s="111">
        <v>2035.0</v>
      </c>
      <c r="K140" s="257">
        <v>2035.0</v>
      </c>
      <c r="L140" s="111"/>
      <c r="M140" s="127" t="s">
        <v>22185</v>
      </c>
      <c r="N140" s="127" t="s">
        <v>12399</v>
      </c>
      <c r="O140" s="111" t="s">
        <v>30</v>
      </c>
      <c r="P140" s="111" t="s">
        <v>22258</v>
      </c>
      <c r="Q140" s="128"/>
      <c r="R140" s="124"/>
      <c r="S140" s="125"/>
      <c r="T140" s="126"/>
      <c r="U140" s="126" t="s">
        <v>22596</v>
      </c>
      <c r="V140" s="258">
        <v>400.0</v>
      </c>
      <c r="W140" s="258"/>
      <c r="X140" s="126"/>
      <c r="Y140" s="126" t="s">
        <v>22783</v>
      </c>
      <c r="Z140" s="262" t="s">
        <v>22189</v>
      </c>
      <c r="AA140" s="127"/>
      <c r="AB140" s="127"/>
      <c r="AC140" s="127"/>
      <c r="AD140" s="261"/>
      <c r="AE140" s="261"/>
      <c r="AF140" s="261"/>
      <c r="AG140" s="261"/>
    </row>
    <row r="141" ht="34.5" customHeight="1">
      <c r="A141" s="111" t="s">
        <v>22784</v>
      </c>
      <c r="B141" s="127" t="s">
        <v>22785</v>
      </c>
      <c r="C141" s="111" t="s">
        <v>7987</v>
      </c>
      <c r="D141" s="111"/>
      <c r="E141" s="111"/>
      <c r="F141" s="111"/>
      <c r="G141" s="111"/>
      <c r="H141" s="111"/>
      <c r="I141" s="127" t="s">
        <v>22786</v>
      </c>
      <c r="J141" s="111">
        <v>2026.0</v>
      </c>
      <c r="K141" s="257">
        <v>2026.0</v>
      </c>
      <c r="L141" s="111"/>
      <c r="M141" s="127" t="s">
        <v>22203</v>
      </c>
      <c r="N141" s="127" t="s">
        <v>18630</v>
      </c>
      <c r="O141" s="111" t="s">
        <v>30</v>
      </c>
      <c r="P141" s="111" t="s">
        <v>10444</v>
      </c>
      <c r="Q141" s="128" t="s">
        <v>22787</v>
      </c>
      <c r="R141" s="124"/>
      <c r="S141" s="125"/>
      <c r="T141" s="126"/>
      <c r="U141" s="263" t="s">
        <v>22788</v>
      </c>
      <c r="V141" s="258">
        <v>28.5</v>
      </c>
      <c r="W141" s="258">
        <v>31.9</v>
      </c>
      <c r="X141" s="126"/>
      <c r="Y141" s="126" t="s">
        <v>22789</v>
      </c>
      <c r="Z141" s="127"/>
      <c r="AA141" s="127"/>
      <c r="AB141" s="127"/>
      <c r="AC141" s="127"/>
      <c r="AD141" s="261"/>
      <c r="AE141" s="261"/>
      <c r="AF141" s="261"/>
      <c r="AG141" s="261"/>
    </row>
    <row r="142" ht="34.5" customHeight="1">
      <c r="A142" s="111" t="s">
        <v>22790</v>
      </c>
      <c r="B142" s="127" t="s">
        <v>22791</v>
      </c>
      <c r="C142" s="111" t="s">
        <v>7985</v>
      </c>
      <c r="D142" s="111"/>
      <c r="E142" s="111"/>
      <c r="F142" s="111"/>
      <c r="G142" s="111"/>
      <c r="H142" s="111"/>
      <c r="I142" s="127" t="s">
        <v>22792</v>
      </c>
      <c r="J142" s="111">
        <v>2035.0</v>
      </c>
      <c r="K142" s="257">
        <v>2035.0</v>
      </c>
      <c r="L142" s="111"/>
      <c r="M142" s="127" t="s">
        <v>22203</v>
      </c>
      <c r="N142" s="127" t="s">
        <v>12399</v>
      </c>
      <c r="O142" s="111" t="s">
        <v>30</v>
      </c>
      <c r="P142" s="111" t="s">
        <v>10444</v>
      </c>
      <c r="Q142" s="128" t="s">
        <v>22793</v>
      </c>
      <c r="R142" s="124"/>
      <c r="S142" s="125"/>
      <c r="T142" s="126"/>
      <c r="U142" s="126" t="s">
        <v>22794</v>
      </c>
      <c r="V142" s="258">
        <v>95.0</v>
      </c>
      <c r="W142" s="258">
        <v>75.0</v>
      </c>
      <c r="X142" s="126"/>
      <c r="Y142" s="126"/>
      <c r="Z142" s="127"/>
      <c r="AA142" s="127"/>
      <c r="AB142" s="127"/>
      <c r="AC142" s="127"/>
      <c r="AD142" s="261"/>
      <c r="AE142" s="261"/>
      <c r="AF142" s="261"/>
      <c r="AG142" s="261"/>
    </row>
    <row r="143" ht="34.5" customHeight="1">
      <c r="A143" s="111" t="s">
        <v>22795</v>
      </c>
      <c r="B143" s="127" t="s">
        <v>22796</v>
      </c>
      <c r="C143" s="111" t="s">
        <v>8087</v>
      </c>
      <c r="D143" s="111" t="s">
        <v>7991</v>
      </c>
      <c r="E143" s="111"/>
      <c r="F143" s="111"/>
      <c r="G143" s="111"/>
      <c r="H143" s="111"/>
      <c r="I143" s="127" t="s">
        <v>22797</v>
      </c>
      <c r="J143" s="111">
        <v>2034.0</v>
      </c>
      <c r="K143" s="257">
        <v>2034.0</v>
      </c>
      <c r="L143" s="111"/>
      <c r="M143" s="127" t="s">
        <v>22185</v>
      </c>
      <c r="N143" s="127" t="s">
        <v>12399</v>
      </c>
      <c r="O143" s="111" t="s">
        <v>30</v>
      </c>
      <c r="P143" s="111" t="s">
        <v>22258</v>
      </c>
      <c r="Q143" s="128" t="s">
        <v>22798</v>
      </c>
      <c r="R143" s="124"/>
      <c r="S143" s="125"/>
      <c r="T143" s="126"/>
      <c r="U143" s="126" t="s">
        <v>22799</v>
      </c>
      <c r="V143" s="258">
        <v>231.0</v>
      </c>
      <c r="W143" s="258"/>
      <c r="X143" s="126"/>
      <c r="Y143" s="126" t="s">
        <v>22800</v>
      </c>
      <c r="Z143" s="127"/>
      <c r="AA143" s="127"/>
      <c r="AB143" s="127"/>
      <c r="AC143" s="127"/>
      <c r="AD143" s="261"/>
      <c r="AE143" s="261"/>
      <c r="AF143" s="261"/>
      <c r="AG143" s="261"/>
    </row>
    <row r="144" ht="34.5" customHeight="1">
      <c r="A144" s="111" t="s">
        <v>22801</v>
      </c>
      <c r="B144" s="127" t="s">
        <v>22802</v>
      </c>
      <c r="C144" s="111" t="s">
        <v>7977</v>
      </c>
      <c r="D144" s="111" t="s">
        <v>8562</v>
      </c>
      <c r="E144" s="111"/>
      <c r="F144" s="111"/>
      <c r="G144" s="111"/>
      <c r="H144" s="111"/>
      <c r="I144" s="127" t="s">
        <v>22803</v>
      </c>
      <c r="J144" s="111">
        <v>2040.0</v>
      </c>
      <c r="K144" s="257">
        <v>2040.0</v>
      </c>
      <c r="L144" s="111"/>
      <c r="M144" s="127" t="s">
        <v>22185</v>
      </c>
      <c r="N144" s="127" t="s">
        <v>12397</v>
      </c>
      <c r="O144" s="111" t="s">
        <v>30</v>
      </c>
      <c r="P144" s="111" t="s">
        <v>22258</v>
      </c>
      <c r="Q144" s="128"/>
      <c r="R144" s="124"/>
      <c r="S144" s="125"/>
      <c r="T144" s="126"/>
      <c r="U144" s="126" t="s">
        <v>22284</v>
      </c>
      <c r="V144" s="258">
        <v>50.0</v>
      </c>
      <c r="W144" s="258"/>
      <c r="X144" s="126"/>
      <c r="Y144" s="126"/>
      <c r="Z144" s="127"/>
      <c r="AA144" s="127"/>
      <c r="AB144" s="127"/>
      <c r="AC144" s="127"/>
      <c r="AD144" s="261"/>
      <c r="AE144" s="261"/>
      <c r="AF144" s="261"/>
      <c r="AG144" s="261"/>
    </row>
    <row r="145" ht="34.5" customHeight="1">
      <c r="A145" s="111" t="s">
        <v>22804</v>
      </c>
      <c r="B145" s="127" t="s">
        <v>22805</v>
      </c>
      <c r="C145" s="111" t="s">
        <v>9089</v>
      </c>
      <c r="D145" s="111" t="s">
        <v>9176</v>
      </c>
      <c r="E145" s="111"/>
      <c r="F145" s="111"/>
      <c r="G145" s="111"/>
      <c r="H145" s="111"/>
      <c r="I145" s="127" t="s">
        <v>22806</v>
      </c>
      <c r="J145" s="111">
        <v>2029.0</v>
      </c>
      <c r="K145" s="257">
        <v>2029.0</v>
      </c>
      <c r="L145" s="111"/>
      <c r="M145" s="127" t="s">
        <v>22185</v>
      </c>
      <c r="N145" s="127" t="s">
        <v>12397</v>
      </c>
      <c r="O145" s="111" t="s">
        <v>30</v>
      </c>
      <c r="P145" s="111" t="s">
        <v>10444</v>
      </c>
      <c r="Q145" s="128" t="s">
        <v>22584</v>
      </c>
      <c r="R145" s="124"/>
      <c r="S145" s="125"/>
      <c r="T145" s="126"/>
      <c r="U145" s="126" t="s">
        <v>22807</v>
      </c>
      <c r="V145" s="258">
        <v>330.0</v>
      </c>
      <c r="W145" s="258"/>
      <c r="X145" s="126"/>
      <c r="Y145" s="126"/>
      <c r="Z145" s="127"/>
      <c r="AA145" s="127"/>
      <c r="AB145" s="127"/>
      <c r="AC145" s="127"/>
      <c r="AD145" s="261"/>
      <c r="AE145" s="261"/>
      <c r="AF145" s="261"/>
      <c r="AG145" s="261"/>
    </row>
    <row r="146" ht="34.5" customHeight="1">
      <c r="A146" s="111" t="s">
        <v>22808</v>
      </c>
      <c r="B146" s="127" t="s">
        <v>22809</v>
      </c>
      <c r="C146" s="111" t="s">
        <v>8591</v>
      </c>
      <c r="D146" s="111"/>
      <c r="E146" s="111"/>
      <c r="F146" s="111"/>
      <c r="G146" s="111"/>
      <c r="H146" s="111"/>
      <c r="I146" s="127" t="s">
        <v>22810</v>
      </c>
      <c r="J146" s="111">
        <v>2029.0</v>
      </c>
      <c r="K146" s="257">
        <v>2029.0</v>
      </c>
      <c r="L146" s="111"/>
      <c r="M146" s="127" t="s">
        <v>22185</v>
      </c>
      <c r="N146" s="127" t="s">
        <v>12399</v>
      </c>
      <c r="O146" s="111" t="s">
        <v>30</v>
      </c>
      <c r="P146" s="111" t="s">
        <v>10444</v>
      </c>
      <c r="Q146" s="128" t="s">
        <v>22811</v>
      </c>
      <c r="R146" s="124" t="s">
        <v>22812</v>
      </c>
      <c r="S146" s="125">
        <v>164.0</v>
      </c>
      <c r="T146" s="126">
        <v>0.0</v>
      </c>
      <c r="U146" s="126" t="s">
        <v>22812</v>
      </c>
      <c r="V146" s="258">
        <v>164.0</v>
      </c>
      <c r="W146" s="258">
        <v>0.0</v>
      </c>
      <c r="X146" s="126" t="s">
        <v>22813</v>
      </c>
      <c r="Y146" s="126" t="s">
        <v>22814</v>
      </c>
      <c r="Z146" s="262" t="s">
        <v>22189</v>
      </c>
      <c r="AA146" s="262" t="s">
        <v>22189</v>
      </c>
      <c r="AB146" s="127"/>
      <c r="AC146" s="127"/>
      <c r="AD146" s="261"/>
      <c r="AE146" s="261"/>
      <c r="AF146" s="261"/>
      <c r="AG146" s="261"/>
    </row>
    <row r="147" ht="34.5" customHeight="1">
      <c r="A147" s="111" t="s">
        <v>22815</v>
      </c>
      <c r="B147" s="127" t="s">
        <v>22816</v>
      </c>
      <c r="C147" s="111" t="s">
        <v>8591</v>
      </c>
      <c r="D147" s="111"/>
      <c r="E147" s="111"/>
      <c r="F147" s="111"/>
      <c r="G147" s="111"/>
      <c r="H147" s="111"/>
      <c r="I147" s="127" t="s">
        <v>22817</v>
      </c>
      <c r="J147" s="111">
        <v>2029.0</v>
      </c>
      <c r="K147" s="257">
        <v>2029.0</v>
      </c>
      <c r="L147" s="111"/>
      <c r="M147" s="127" t="s">
        <v>22185</v>
      </c>
      <c r="N147" s="127" t="s">
        <v>12399</v>
      </c>
      <c r="O147" s="111" t="s">
        <v>30</v>
      </c>
      <c r="P147" s="111" t="s">
        <v>10444</v>
      </c>
      <c r="Q147" s="128" t="s">
        <v>22818</v>
      </c>
      <c r="R147" s="124" t="s">
        <v>22819</v>
      </c>
      <c r="S147" s="125">
        <v>203.0</v>
      </c>
      <c r="T147" s="126">
        <v>0.0</v>
      </c>
      <c r="U147" s="126" t="s">
        <v>22819</v>
      </c>
      <c r="V147" s="258">
        <v>203.0</v>
      </c>
      <c r="W147" s="258">
        <v>0.0</v>
      </c>
      <c r="X147" s="126" t="s">
        <v>22813</v>
      </c>
      <c r="Y147" s="126" t="s">
        <v>22820</v>
      </c>
      <c r="Z147" s="262" t="s">
        <v>22189</v>
      </c>
      <c r="AA147" s="262" t="s">
        <v>22189</v>
      </c>
      <c r="AB147" s="127"/>
      <c r="AC147" s="127"/>
      <c r="AD147" s="261"/>
      <c r="AE147" s="261"/>
      <c r="AF147" s="261"/>
      <c r="AG147" s="261"/>
    </row>
    <row r="148" ht="34.5" customHeight="1">
      <c r="A148" s="111" t="s">
        <v>22821</v>
      </c>
      <c r="B148" s="127" t="s">
        <v>22822</v>
      </c>
      <c r="C148" s="111" t="s">
        <v>8591</v>
      </c>
      <c r="D148" s="111"/>
      <c r="E148" s="111"/>
      <c r="F148" s="111"/>
      <c r="G148" s="111"/>
      <c r="H148" s="111"/>
      <c r="I148" s="127" t="s">
        <v>22823</v>
      </c>
      <c r="J148" s="111">
        <v>2035.0</v>
      </c>
      <c r="K148" s="257">
        <v>2035.0</v>
      </c>
      <c r="L148" s="111"/>
      <c r="M148" s="127" t="s">
        <v>22185</v>
      </c>
      <c r="N148" s="127" t="s">
        <v>12399</v>
      </c>
      <c r="O148" s="111" t="s">
        <v>30</v>
      </c>
      <c r="P148" s="111" t="s">
        <v>10444</v>
      </c>
      <c r="Q148" s="128" t="s">
        <v>22824</v>
      </c>
      <c r="R148" s="124">
        <v>201.0</v>
      </c>
      <c r="S148" s="125">
        <v>201.0</v>
      </c>
      <c r="T148" s="126">
        <v>0.0</v>
      </c>
      <c r="U148" s="126">
        <v>201.0</v>
      </c>
      <c r="V148" s="258">
        <v>201.0</v>
      </c>
      <c r="W148" s="258">
        <v>0.0</v>
      </c>
      <c r="X148" s="126" t="s">
        <v>22813</v>
      </c>
      <c r="Y148" s="126" t="s">
        <v>22825</v>
      </c>
      <c r="Z148" s="262" t="s">
        <v>22189</v>
      </c>
      <c r="AA148" s="127"/>
      <c r="AB148" s="127"/>
      <c r="AC148" s="127"/>
      <c r="AD148" s="261"/>
      <c r="AE148" s="261"/>
      <c r="AF148" s="261"/>
      <c r="AG148" s="261"/>
    </row>
    <row r="149" ht="34.5" customHeight="1">
      <c r="A149" s="111" t="s">
        <v>22826</v>
      </c>
      <c r="B149" s="127" t="s">
        <v>22827</v>
      </c>
      <c r="C149" s="111" t="s">
        <v>8591</v>
      </c>
      <c r="D149" s="111"/>
      <c r="E149" s="111"/>
      <c r="F149" s="111"/>
      <c r="G149" s="111"/>
      <c r="H149" s="111"/>
      <c r="I149" s="127" t="s">
        <v>22828</v>
      </c>
      <c r="J149" s="111">
        <v>2029.0</v>
      </c>
      <c r="K149" s="257">
        <v>2029.0</v>
      </c>
      <c r="L149" s="111"/>
      <c r="M149" s="127" t="s">
        <v>22203</v>
      </c>
      <c r="N149" s="127" t="s">
        <v>12399</v>
      </c>
      <c r="O149" s="111" t="s">
        <v>30</v>
      </c>
      <c r="P149" s="111" t="s">
        <v>10444</v>
      </c>
      <c r="Q149" s="128" t="s">
        <v>22811</v>
      </c>
      <c r="R149" s="124">
        <v>353.0</v>
      </c>
      <c r="S149" s="125">
        <v>9.0</v>
      </c>
      <c r="T149" s="126">
        <v>344.0</v>
      </c>
      <c r="U149" s="126">
        <v>353.0</v>
      </c>
      <c r="V149" s="258">
        <v>9.0</v>
      </c>
      <c r="W149" s="258">
        <v>344.0</v>
      </c>
      <c r="X149" s="126" t="s">
        <v>22829</v>
      </c>
      <c r="Y149" s="126" t="s">
        <v>22830</v>
      </c>
      <c r="Z149" s="262" t="s">
        <v>22189</v>
      </c>
      <c r="AA149" s="127"/>
      <c r="AB149" s="127"/>
      <c r="AC149" s="127"/>
      <c r="AD149" s="261"/>
      <c r="AE149" s="261"/>
      <c r="AF149" s="261"/>
      <c r="AG149" s="261"/>
    </row>
    <row r="150" ht="34.5" customHeight="1">
      <c r="A150" s="111" t="s">
        <v>22831</v>
      </c>
      <c r="B150" s="127" t="s">
        <v>22832</v>
      </c>
      <c r="C150" s="111" t="s">
        <v>8632</v>
      </c>
      <c r="D150" s="111"/>
      <c r="E150" s="111"/>
      <c r="F150" s="111"/>
      <c r="G150" s="111"/>
      <c r="H150" s="111"/>
      <c r="I150" s="127" t="s">
        <v>22833</v>
      </c>
      <c r="J150" s="111">
        <v>2029.0</v>
      </c>
      <c r="K150" s="257">
        <v>2029.0</v>
      </c>
      <c r="L150" s="111"/>
      <c r="M150" s="127" t="s">
        <v>22198</v>
      </c>
      <c r="N150" s="127" t="s">
        <v>12399</v>
      </c>
      <c r="O150" s="111" t="s">
        <v>30</v>
      </c>
      <c r="P150" s="111" t="s">
        <v>10444</v>
      </c>
      <c r="Q150" s="128" t="s">
        <v>22834</v>
      </c>
      <c r="R150" s="124"/>
      <c r="S150" s="125"/>
      <c r="T150" s="126"/>
      <c r="U150" s="126">
        <v>500.0</v>
      </c>
      <c r="V150" s="258"/>
      <c r="W150" s="258">
        <v>500.0</v>
      </c>
      <c r="X150" s="126">
        <v>45.0</v>
      </c>
      <c r="Y150" s="126"/>
      <c r="Z150" s="262" t="s">
        <v>22189</v>
      </c>
      <c r="AA150" s="262" t="s">
        <v>22189</v>
      </c>
      <c r="AB150" s="262"/>
      <c r="AC150" s="127"/>
      <c r="AD150" s="261"/>
      <c r="AE150" s="261"/>
      <c r="AF150" s="261"/>
      <c r="AG150" s="261"/>
    </row>
    <row r="151" ht="34.5" customHeight="1">
      <c r="A151" s="111" t="s">
        <v>22835</v>
      </c>
      <c r="B151" s="127" t="s">
        <v>22836</v>
      </c>
      <c r="C151" s="111" t="s">
        <v>8632</v>
      </c>
      <c r="D151" s="111"/>
      <c r="E151" s="111"/>
      <c r="F151" s="111"/>
      <c r="G151" s="111"/>
      <c r="H151" s="111"/>
      <c r="I151" s="127" t="s">
        <v>22833</v>
      </c>
      <c r="J151" s="111">
        <v>2029.0</v>
      </c>
      <c r="K151" s="257">
        <v>2029.0</v>
      </c>
      <c r="L151" s="111"/>
      <c r="M151" s="127" t="s">
        <v>22185</v>
      </c>
      <c r="N151" s="127" t="s">
        <v>12397</v>
      </c>
      <c r="O151" s="111" t="s">
        <v>30</v>
      </c>
      <c r="P151" s="111" t="s">
        <v>10444</v>
      </c>
      <c r="Q151" s="128" t="s">
        <v>22837</v>
      </c>
      <c r="R151" s="124"/>
      <c r="S151" s="125"/>
      <c r="T151" s="126"/>
      <c r="U151" s="126">
        <v>19.0</v>
      </c>
      <c r="V151" s="258">
        <v>19.0</v>
      </c>
      <c r="W151" s="258"/>
      <c r="X151" s="126">
        <v>55.0</v>
      </c>
      <c r="Y151" s="126"/>
      <c r="Z151" s="127"/>
      <c r="AA151" s="127"/>
      <c r="AB151" s="127"/>
      <c r="AC151" s="127"/>
      <c r="AD151" s="261"/>
      <c r="AE151" s="261"/>
      <c r="AF151" s="261"/>
      <c r="AG151" s="261"/>
    </row>
    <row r="152" ht="34.5" customHeight="1">
      <c r="A152" s="111" t="s">
        <v>22838</v>
      </c>
      <c r="B152" s="127" t="s">
        <v>22839</v>
      </c>
      <c r="C152" s="111" t="s">
        <v>7987</v>
      </c>
      <c r="D152" s="111"/>
      <c r="E152" s="111"/>
      <c r="F152" s="111"/>
      <c r="G152" s="111"/>
      <c r="H152" s="111"/>
      <c r="I152" s="127" t="s">
        <v>22840</v>
      </c>
      <c r="J152" s="111">
        <v>2040.0</v>
      </c>
      <c r="K152" s="257">
        <v>2040.0</v>
      </c>
      <c r="L152" s="111"/>
      <c r="M152" s="127" t="s">
        <v>22203</v>
      </c>
      <c r="N152" s="127" t="s">
        <v>12397</v>
      </c>
      <c r="O152" s="111" t="s">
        <v>30</v>
      </c>
      <c r="P152" s="111" t="s">
        <v>10444</v>
      </c>
      <c r="Q152" s="128" t="s">
        <v>22841</v>
      </c>
      <c r="R152" s="124"/>
      <c r="S152" s="125"/>
      <c r="T152" s="126"/>
      <c r="U152" s="126" t="s">
        <v>22842</v>
      </c>
      <c r="V152" s="258">
        <v>156.0</v>
      </c>
      <c r="W152" s="258">
        <v>116.0</v>
      </c>
      <c r="X152" s="126">
        <v>70.0</v>
      </c>
      <c r="Y152" s="126"/>
      <c r="Z152" s="127"/>
      <c r="AA152" s="127"/>
      <c r="AB152" s="127"/>
      <c r="AC152" s="127"/>
      <c r="AD152" s="261"/>
      <c r="AE152" s="261"/>
      <c r="AF152" s="261"/>
      <c r="AG152" s="261"/>
    </row>
    <row r="153" ht="34.5" customHeight="1">
      <c r="A153" s="111" t="s">
        <v>22843</v>
      </c>
      <c r="B153" s="127" t="s">
        <v>22844</v>
      </c>
      <c r="C153" s="111" t="s">
        <v>8702</v>
      </c>
      <c r="D153" s="111"/>
      <c r="E153" s="111"/>
      <c r="F153" s="111"/>
      <c r="G153" s="111"/>
      <c r="H153" s="111"/>
      <c r="I153" s="127" t="s">
        <v>22845</v>
      </c>
      <c r="J153" s="111">
        <v>2028.0</v>
      </c>
      <c r="K153" s="257">
        <v>2028.0</v>
      </c>
      <c r="L153" s="111"/>
      <c r="M153" s="127" t="s">
        <v>22198</v>
      </c>
      <c r="N153" s="127" t="s">
        <v>12399</v>
      </c>
      <c r="O153" s="111" t="s">
        <v>30</v>
      </c>
      <c r="P153" s="111" t="s">
        <v>10444</v>
      </c>
      <c r="Q153" s="128"/>
      <c r="R153" s="124"/>
      <c r="S153" s="125"/>
      <c r="T153" s="126"/>
      <c r="U153" s="126" t="s">
        <v>22846</v>
      </c>
      <c r="V153" s="258"/>
      <c r="W153" s="258">
        <v>15.0</v>
      </c>
      <c r="X153" s="126">
        <v>70.0</v>
      </c>
      <c r="Y153" s="126" t="s">
        <v>22847</v>
      </c>
      <c r="Z153" s="127"/>
      <c r="AA153" s="127"/>
      <c r="AB153" s="127"/>
      <c r="AC153" s="127"/>
      <c r="AD153" s="261"/>
      <c r="AE153" s="261"/>
      <c r="AF153" s="261"/>
      <c r="AG153" s="261"/>
    </row>
    <row r="154" ht="34.5" customHeight="1">
      <c r="A154" s="111" t="s">
        <v>22848</v>
      </c>
      <c r="B154" s="127" t="s">
        <v>22849</v>
      </c>
      <c r="C154" s="111" t="s">
        <v>8047</v>
      </c>
      <c r="D154" s="111"/>
      <c r="E154" s="111"/>
      <c r="F154" s="111"/>
      <c r="G154" s="111"/>
      <c r="H154" s="111"/>
      <c r="I154" s="127" t="s">
        <v>22397</v>
      </c>
      <c r="J154" s="111">
        <v>2028.0</v>
      </c>
      <c r="K154" s="257">
        <v>2028.0</v>
      </c>
      <c r="L154" s="111"/>
      <c r="M154" s="127" t="s">
        <v>22203</v>
      </c>
      <c r="N154" s="127" t="s">
        <v>12399</v>
      </c>
      <c r="O154" s="111" t="s">
        <v>30</v>
      </c>
      <c r="P154" s="111" t="s">
        <v>10444</v>
      </c>
      <c r="Q154" s="128" t="s">
        <v>22850</v>
      </c>
      <c r="R154" s="124"/>
      <c r="S154" s="125"/>
      <c r="T154" s="126"/>
      <c r="U154" s="126" t="s">
        <v>22851</v>
      </c>
      <c r="V154" s="258">
        <v>24.0</v>
      </c>
      <c r="W154" s="258">
        <v>84.0</v>
      </c>
      <c r="X154" s="126">
        <v>24.0</v>
      </c>
      <c r="Y154" s="126" t="s">
        <v>22188</v>
      </c>
      <c r="Z154" s="259" t="s">
        <v>22189</v>
      </c>
      <c r="AA154" s="127"/>
      <c r="AB154" s="127"/>
      <c r="AC154" s="127"/>
      <c r="AD154" s="261"/>
      <c r="AE154" s="261"/>
      <c r="AF154" s="261"/>
      <c r="AG154" s="261"/>
    </row>
    <row r="155" ht="34.5" customHeight="1">
      <c r="A155" s="111" t="s">
        <v>22852</v>
      </c>
      <c r="B155" s="127" t="s">
        <v>22853</v>
      </c>
      <c r="C155" s="111" t="s">
        <v>8702</v>
      </c>
      <c r="D155" s="111" t="s">
        <v>7991</v>
      </c>
      <c r="E155" s="111"/>
      <c r="F155" s="111"/>
      <c r="G155" s="111"/>
      <c r="H155" s="111"/>
      <c r="I155" s="127"/>
      <c r="J155" s="111" t="s">
        <v>19</v>
      </c>
      <c r="K155" s="257" t="s">
        <v>19</v>
      </c>
      <c r="L155" s="111"/>
      <c r="M155" s="127" t="s">
        <v>22185</v>
      </c>
      <c r="N155" s="127" t="s">
        <v>12397</v>
      </c>
      <c r="O155" s="111" t="s">
        <v>30</v>
      </c>
      <c r="P155" s="111" t="s">
        <v>22258</v>
      </c>
      <c r="Q155" s="128"/>
      <c r="R155" s="124"/>
      <c r="S155" s="125"/>
      <c r="T155" s="126"/>
      <c r="U155" s="126" t="s">
        <v>22521</v>
      </c>
      <c r="V155" s="258">
        <v>100.0</v>
      </c>
      <c r="W155" s="258"/>
      <c r="X155" s="126"/>
      <c r="Y155" s="126"/>
      <c r="Z155" s="127"/>
      <c r="AA155" s="127"/>
      <c r="AB155" s="127"/>
      <c r="AC155" s="127"/>
      <c r="AD155" s="261"/>
      <c r="AE155" s="261"/>
      <c r="AF155" s="261"/>
      <c r="AG155" s="261"/>
    </row>
    <row r="156" ht="34.5" customHeight="1">
      <c r="A156" s="111"/>
      <c r="B156" s="127"/>
      <c r="C156" s="111"/>
      <c r="D156" s="111"/>
      <c r="E156" s="111"/>
      <c r="F156" s="111"/>
      <c r="G156" s="111"/>
      <c r="H156" s="111"/>
      <c r="I156" s="127"/>
      <c r="J156" s="111"/>
      <c r="K156" s="257"/>
      <c r="L156" s="111"/>
      <c r="M156" s="127"/>
      <c r="N156" s="127"/>
      <c r="O156" s="111"/>
      <c r="P156" s="111"/>
      <c r="Q156" s="128"/>
      <c r="R156" s="124"/>
      <c r="S156" s="125"/>
      <c r="T156" s="126"/>
      <c r="U156" s="126"/>
      <c r="V156" s="258"/>
      <c r="W156" s="258"/>
      <c r="X156" s="126"/>
      <c r="Y156" s="126"/>
      <c r="Z156" s="127"/>
      <c r="AA156" s="127"/>
      <c r="AB156" s="127"/>
      <c r="AC156" s="127"/>
      <c r="AD156" s="261"/>
      <c r="AE156" s="261"/>
      <c r="AF156" s="261"/>
      <c r="AG156" s="261"/>
    </row>
    <row r="157" ht="34.5" customHeight="1">
      <c r="A157" s="111"/>
      <c r="B157" s="127"/>
      <c r="C157" s="111"/>
      <c r="D157" s="111"/>
      <c r="E157" s="111"/>
      <c r="F157" s="111"/>
      <c r="G157" s="111"/>
      <c r="H157" s="111"/>
      <c r="I157" s="127"/>
      <c r="J157" s="111"/>
      <c r="K157" s="257"/>
      <c r="L157" s="111"/>
      <c r="M157" s="127"/>
      <c r="N157" s="127"/>
      <c r="O157" s="111"/>
      <c r="P157" s="111"/>
      <c r="Q157" s="128"/>
      <c r="R157" s="124"/>
      <c r="S157" s="125"/>
      <c r="T157" s="126"/>
      <c r="U157" s="126"/>
      <c r="V157" s="258"/>
      <c r="W157" s="258"/>
      <c r="X157" s="126"/>
      <c r="Y157" s="126"/>
      <c r="Z157" s="127"/>
      <c r="AA157" s="127"/>
      <c r="AB157" s="127"/>
      <c r="AC157" s="127"/>
      <c r="AD157" s="261"/>
      <c r="AE157" s="261"/>
      <c r="AF157" s="261"/>
      <c r="AG157" s="261"/>
    </row>
    <row r="158" ht="34.5" customHeight="1">
      <c r="A158" s="111"/>
      <c r="B158" s="127"/>
      <c r="C158" s="111"/>
      <c r="D158" s="111"/>
      <c r="E158" s="111"/>
      <c r="F158" s="111"/>
      <c r="G158" s="111"/>
      <c r="H158" s="111"/>
      <c r="I158" s="127"/>
      <c r="J158" s="111"/>
      <c r="K158" s="257"/>
      <c r="L158" s="111"/>
      <c r="M158" s="127"/>
      <c r="N158" s="127"/>
      <c r="O158" s="111"/>
      <c r="P158" s="111"/>
      <c r="Q158" s="128"/>
      <c r="R158" s="124"/>
      <c r="S158" s="125"/>
      <c r="T158" s="126"/>
      <c r="U158" s="126"/>
      <c r="V158" s="258"/>
      <c r="W158" s="258"/>
      <c r="X158" s="126"/>
      <c r="Y158" s="126"/>
      <c r="Z158" s="127"/>
      <c r="AA158" s="127"/>
      <c r="AB158" s="127"/>
      <c r="AC158" s="127"/>
      <c r="AD158" s="261"/>
      <c r="AE158" s="261"/>
      <c r="AF158" s="261"/>
      <c r="AG158" s="261"/>
    </row>
    <row r="159" ht="34.5" customHeight="1">
      <c r="A159" s="111"/>
      <c r="B159" s="127"/>
      <c r="C159" s="111"/>
      <c r="D159" s="111"/>
      <c r="E159" s="111"/>
      <c r="F159" s="111"/>
      <c r="G159" s="111"/>
      <c r="H159" s="111"/>
      <c r="I159" s="127"/>
      <c r="J159" s="111"/>
      <c r="K159" s="257"/>
      <c r="L159" s="111"/>
      <c r="M159" s="127"/>
      <c r="N159" s="127"/>
      <c r="O159" s="111"/>
      <c r="P159" s="111"/>
      <c r="Q159" s="128"/>
      <c r="R159" s="124"/>
      <c r="S159" s="125"/>
      <c r="T159" s="126"/>
      <c r="U159" s="126"/>
      <c r="V159" s="258"/>
      <c r="W159" s="258"/>
      <c r="X159" s="126"/>
      <c r="Y159" s="126"/>
      <c r="Z159" s="127"/>
      <c r="AA159" s="127"/>
      <c r="AB159" s="127"/>
      <c r="AC159" s="127"/>
      <c r="AD159" s="261"/>
      <c r="AE159" s="261"/>
      <c r="AF159" s="261"/>
      <c r="AG159" s="261"/>
    </row>
    <row r="160" ht="34.5" customHeight="1">
      <c r="A160" s="111"/>
      <c r="B160" s="127"/>
      <c r="C160" s="111"/>
      <c r="D160" s="111"/>
      <c r="E160" s="111"/>
      <c r="F160" s="111"/>
      <c r="G160" s="111"/>
      <c r="H160" s="111"/>
      <c r="I160" s="127"/>
      <c r="J160" s="111"/>
      <c r="K160" s="257"/>
      <c r="L160" s="111"/>
      <c r="M160" s="127"/>
      <c r="N160" s="127"/>
      <c r="O160" s="111"/>
      <c r="P160" s="111"/>
      <c r="Q160" s="128"/>
      <c r="R160" s="124"/>
      <c r="S160" s="125"/>
      <c r="T160" s="126"/>
      <c r="U160" s="126"/>
      <c r="V160" s="258"/>
      <c r="W160" s="258"/>
      <c r="X160" s="126"/>
      <c r="Y160" s="126"/>
      <c r="Z160" s="127"/>
      <c r="AA160" s="127"/>
      <c r="AB160" s="127"/>
      <c r="AC160" s="127"/>
      <c r="AD160" s="261"/>
      <c r="AE160" s="261"/>
      <c r="AF160" s="261"/>
      <c r="AG160" s="261"/>
    </row>
    <row r="161" ht="34.5" customHeight="1">
      <c r="A161" s="111"/>
      <c r="B161" s="127"/>
      <c r="C161" s="111"/>
      <c r="D161" s="111"/>
      <c r="E161" s="111"/>
      <c r="F161" s="111"/>
      <c r="G161" s="111"/>
      <c r="H161" s="111"/>
      <c r="I161" s="127"/>
      <c r="J161" s="111"/>
      <c r="K161" s="257"/>
      <c r="L161" s="111"/>
      <c r="M161" s="127"/>
      <c r="N161" s="127"/>
      <c r="O161" s="111"/>
      <c r="P161" s="111"/>
      <c r="Q161" s="128"/>
      <c r="R161" s="124"/>
      <c r="S161" s="125"/>
      <c r="T161" s="126"/>
      <c r="U161" s="126"/>
      <c r="V161" s="258"/>
      <c r="W161" s="258"/>
      <c r="X161" s="126"/>
      <c r="Y161" s="126"/>
      <c r="Z161" s="127"/>
      <c r="AA161" s="127"/>
      <c r="AB161" s="127"/>
      <c r="AC161" s="127"/>
      <c r="AD161" s="261"/>
      <c r="AE161" s="261"/>
      <c r="AF161" s="261"/>
      <c r="AG161" s="261"/>
    </row>
    <row r="162" ht="34.5" customHeight="1">
      <c r="A162" s="111"/>
      <c r="B162" s="127"/>
      <c r="C162" s="111"/>
      <c r="D162" s="111"/>
      <c r="E162" s="111"/>
      <c r="F162" s="111"/>
      <c r="G162" s="111"/>
      <c r="H162" s="111"/>
      <c r="I162" s="127"/>
      <c r="J162" s="111"/>
      <c r="K162" s="257"/>
      <c r="L162" s="111"/>
      <c r="M162" s="127"/>
      <c r="N162" s="127"/>
      <c r="O162" s="111"/>
      <c r="P162" s="111"/>
      <c r="Q162" s="128"/>
      <c r="R162" s="124"/>
      <c r="S162" s="125"/>
      <c r="T162" s="126"/>
      <c r="U162" s="126"/>
      <c r="V162" s="258"/>
      <c r="W162" s="258"/>
      <c r="X162" s="126"/>
      <c r="Y162" s="126"/>
      <c r="Z162" s="127"/>
      <c r="AA162" s="127"/>
      <c r="AB162" s="127"/>
      <c r="AC162" s="127"/>
      <c r="AD162" s="261"/>
      <c r="AE162" s="261"/>
      <c r="AF162" s="261"/>
      <c r="AG162" s="261"/>
    </row>
    <row r="163" ht="34.5" customHeight="1">
      <c r="A163" s="111"/>
      <c r="B163" s="127"/>
      <c r="C163" s="111"/>
      <c r="D163" s="111"/>
      <c r="E163" s="111"/>
      <c r="F163" s="111"/>
      <c r="G163" s="111"/>
      <c r="H163" s="111"/>
      <c r="I163" s="127"/>
      <c r="J163" s="111"/>
      <c r="K163" s="257"/>
      <c r="L163" s="111"/>
      <c r="M163" s="127"/>
      <c r="N163" s="127"/>
      <c r="O163" s="111"/>
      <c r="P163" s="111"/>
      <c r="Q163" s="128"/>
      <c r="R163" s="124"/>
      <c r="S163" s="125"/>
      <c r="T163" s="126"/>
      <c r="U163" s="126"/>
      <c r="V163" s="258"/>
      <c r="W163" s="258"/>
      <c r="X163" s="126"/>
      <c r="Y163" s="126"/>
      <c r="Z163" s="127"/>
      <c r="AA163" s="127"/>
      <c r="AB163" s="127"/>
      <c r="AC163" s="127"/>
      <c r="AD163" s="261"/>
      <c r="AE163" s="261"/>
      <c r="AF163" s="261"/>
      <c r="AG163" s="261"/>
    </row>
    <row r="164" ht="34.5" customHeight="1">
      <c r="A164" s="111"/>
      <c r="B164" s="127"/>
      <c r="C164" s="111"/>
      <c r="D164" s="111"/>
      <c r="E164" s="111"/>
      <c r="F164" s="111"/>
      <c r="G164" s="111"/>
      <c r="H164" s="111"/>
      <c r="I164" s="127"/>
      <c r="J164" s="111"/>
      <c r="K164" s="257"/>
      <c r="L164" s="111"/>
      <c r="M164" s="127"/>
      <c r="N164" s="127"/>
      <c r="O164" s="111"/>
      <c r="P164" s="111"/>
      <c r="Q164" s="128"/>
      <c r="R164" s="124"/>
      <c r="S164" s="125"/>
      <c r="T164" s="126"/>
      <c r="U164" s="126"/>
      <c r="V164" s="258"/>
      <c r="W164" s="258"/>
      <c r="X164" s="126"/>
      <c r="Y164" s="126"/>
      <c r="Z164" s="127"/>
      <c r="AA164" s="127"/>
      <c r="AB164" s="127"/>
      <c r="AC164" s="127"/>
      <c r="AD164" s="261"/>
      <c r="AE164" s="261"/>
      <c r="AF164" s="261"/>
      <c r="AG164" s="261"/>
    </row>
    <row r="165" ht="34.5" customHeight="1">
      <c r="A165" s="111"/>
      <c r="B165" s="127"/>
      <c r="C165" s="111"/>
      <c r="D165" s="111"/>
      <c r="E165" s="111"/>
      <c r="F165" s="111"/>
      <c r="G165" s="111"/>
      <c r="H165" s="111"/>
      <c r="I165" s="127"/>
      <c r="J165" s="111"/>
      <c r="K165" s="257"/>
      <c r="L165" s="111"/>
      <c r="M165" s="127"/>
      <c r="N165" s="127"/>
      <c r="O165" s="111"/>
      <c r="P165" s="111"/>
      <c r="Q165" s="128"/>
      <c r="R165" s="124"/>
      <c r="S165" s="125"/>
      <c r="T165" s="126"/>
      <c r="U165" s="126"/>
      <c r="V165" s="258"/>
      <c r="W165" s="258"/>
      <c r="X165" s="126"/>
      <c r="Y165" s="126"/>
      <c r="Z165" s="127"/>
      <c r="AA165" s="127"/>
      <c r="AB165" s="127"/>
      <c r="AC165" s="127"/>
      <c r="AD165" s="261"/>
      <c r="AE165" s="261"/>
      <c r="AF165" s="261"/>
      <c r="AG165" s="261"/>
    </row>
    <row r="166" ht="34.5" customHeight="1">
      <c r="A166" s="111"/>
      <c r="B166" s="127"/>
      <c r="C166" s="111"/>
      <c r="D166" s="111"/>
      <c r="E166" s="111"/>
      <c r="F166" s="111"/>
      <c r="G166" s="111"/>
      <c r="H166" s="111"/>
      <c r="I166" s="127"/>
      <c r="J166" s="111"/>
      <c r="K166" s="257"/>
      <c r="L166" s="111"/>
      <c r="M166" s="127"/>
      <c r="N166" s="127"/>
      <c r="O166" s="111"/>
      <c r="P166" s="111"/>
      <c r="Q166" s="128"/>
      <c r="R166" s="124"/>
      <c r="S166" s="125"/>
      <c r="T166" s="126"/>
      <c r="U166" s="126"/>
      <c r="V166" s="258"/>
      <c r="W166" s="258"/>
      <c r="X166" s="126"/>
      <c r="Y166" s="126"/>
      <c r="Z166" s="127"/>
      <c r="AA166" s="127"/>
      <c r="AB166" s="127"/>
      <c r="AC166" s="127"/>
      <c r="AD166" s="261"/>
      <c r="AE166" s="261"/>
      <c r="AF166" s="261"/>
      <c r="AG166" s="261"/>
    </row>
    <row r="167" ht="34.5" customHeight="1">
      <c r="A167" s="111"/>
      <c r="B167" s="127"/>
      <c r="C167" s="111"/>
      <c r="D167" s="111"/>
      <c r="E167" s="111"/>
      <c r="F167" s="111"/>
      <c r="G167" s="111"/>
      <c r="H167" s="111"/>
      <c r="I167" s="127"/>
      <c r="J167" s="111"/>
      <c r="K167" s="257"/>
      <c r="L167" s="111"/>
      <c r="M167" s="127"/>
      <c r="N167" s="127"/>
      <c r="O167" s="111"/>
      <c r="P167" s="111"/>
      <c r="Q167" s="128"/>
      <c r="R167" s="124"/>
      <c r="S167" s="125"/>
      <c r="T167" s="126"/>
      <c r="U167" s="126"/>
      <c r="V167" s="258"/>
      <c r="W167" s="258"/>
      <c r="X167" s="126"/>
      <c r="Y167" s="126"/>
      <c r="Z167" s="127"/>
      <c r="AA167" s="127"/>
      <c r="AB167" s="127"/>
      <c r="AC167" s="127"/>
      <c r="AD167" s="261"/>
      <c r="AE167" s="261"/>
      <c r="AF167" s="261"/>
      <c r="AG167" s="261"/>
    </row>
    <row r="168" ht="34.5" customHeight="1">
      <c r="A168" s="111"/>
      <c r="B168" s="127"/>
      <c r="C168" s="111"/>
      <c r="D168" s="111"/>
      <c r="E168" s="111"/>
      <c r="F168" s="111"/>
      <c r="G168" s="111"/>
      <c r="H168" s="111"/>
      <c r="I168" s="127"/>
      <c r="J168" s="111"/>
      <c r="K168" s="257"/>
      <c r="L168" s="111"/>
      <c r="M168" s="127"/>
      <c r="N168" s="127"/>
      <c r="O168" s="111"/>
      <c r="P168" s="111"/>
      <c r="Q168" s="128"/>
      <c r="R168" s="124"/>
      <c r="S168" s="125"/>
      <c r="T168" s="126"/>
      <c r="U168" s="126"/>
      <c r="V168" s="258"/>
      <c r="W168" s="258"/>
      <c r="X168" s="126"/>
      <c r="Y168" s="126"/>
      <c r="Z168" s="127"/>
      <c r="AA168" s="127"/>
      <c r="AB168" s="127"/>
      <c r="AC168" s="127"/>
      <c r="AD168" s="261"/>
      <c r="AE168" s="261"/>
      <c r="AF168" s="261"/>
      <c r="AG168" s="261"/>
    </row>
    <row r="169" ht="34.5" customHeight="1">
      <c r="A169" s="111"/>
      <c r="B169" s="127"/>
      <c r="C169" s="111"/>
      <c r="D169" s="111"/>
      <c r="E169" s="111"/>
      <c r="F169" s="111"/>
      <c r="G169" s="111"/>
      <c r="H169" s="111"/>
      <c r="I169" s="127"/>
      <c r="J169" s="111"/>
      <c r="K169" s="257"/>
      <c r="L169" s="111"/>
      <c r="M169" s="127"/>
      <c r="N169" s="127"/>
      <c r="O169" s="111"/>
      <c r="P169" s="111"/>
      <c r="Q169" s="128"/>
      <c r="R169" s="124"/>
      <c r="S169" s="125"/>
      <c r="T169" s="126"/>
      <c r="U169" s="126"/>
      <c r="V169" s="258"/>
      <c r="W169" s="258"/>
      <c r="X169" s="126"/>
      <c r="Y169" s="126"/>
      <c r="Z169" s="127"/>
      <c r="AA169" s="127"/>
      <c r="AB169" s="127"/>
      <c r="AC169" s="127"/>
      <c r="AD169" s="261"/>
      <c r="AE169" s="261"/>
      <c r="AF169" s="261"/>
      <c r="AG169" s="261"/>
    </row>
    <row r="170" ht="34.5" customHeight="1">
      <c r="A170" s="111"/>
      <c r="B170" s="127"/>
      <c r="C170" s="111"/>
      <c r="D170" s="111"/>
      <c r="E170" s="111"/>
      <c r="F170" s="111"/>
      <c r="G170" s="111"/>
      <c r="H170" s="111"/>
      <c r="I170" s="127"/>
      <c r="J170" s="111"/>
      <c r="K170" s="257"/>
      <c r="L170" s="111"/>
      <c r="M170" s="127"/>
      <c r="N170" s="127"/>
      <c r="O170" s="111"/>
      <c r="P170" s="111"/>
      <c r="Q170" s="128"/>
      <c r="R170" s="124"/>
      <c r="S170" s="125"/>
      <c r="T170" s="126"/>
      <c r="U170" s="126"/>
      <c r="V170" s="258"/>
      <c r="W170" s="258"/>
      <c r="X170" s="126"/>
      <c r="Y170" s="126"/>
      <c r="Z170" s="127"/>
      <c r="AA170" s="127"/>
      <c r="AB170" s="127"/>
      <c r="AC170" s="127"/>
      <c r="AD170" s="261"/>
      <c r="AE170" s="261"/>
      <c r="AF170" s="261"/>
      <c r="AG170" s="261"/>
    </row>
    <row r="171" ht="34.5" customHeight="1">
      <c r="A171" s="111"/>
      <c r="B171" s="127"/>
      <c r="C171" s="111"/>
      <c r="D171" s="111"/>
      <c r="E171" s="111"/>
      <c r="F171" s="111"/>
      <c r="G171" s="111"/>
      <c r="H171" s="111"/>
      <c r="I171" s="127"/>
      <c r="J171" s="111"/>
      <c r="K171" s="257"/>
      <c r="L171" s="111"/>
      <c r="M171" s="127"/>
      <c r="N171" s="127"/>
      <c r="O171" s="111"/>
      <c r="P171" s="111"/>
      <c r="Q171" s="128"/>
      <c r="R171" s="124"/>
      <c r="S171" s="125"/>
      <c r="T171" s="126"/>
      <c r="U171" s="126"/>
      <c r="V171" s="258"/>
      <c r="W171" s="258"/>
      <c r="X171" s="126"/>
      <c r="Y171" s="126"/>
      <c r="Z171" s="127"/>
      <c r="AA171" s="127"/>
      <c r="AB171" s="127"/>
      <c r="AC171" s="127"/>
      <c r="AD171" s="261"/>
      <c r="AE171" s="261"/>
      <c r="AF171" s="261"/>
      <c r="AG171" s="261"/>
    </row>
    <row r="172" ht="34.5" customHeight="1">
      <c r="A172" s="111"/>
      <c r="B172" s="127"/>
      <c r="C172" s="111"/>
      <c r="D172" s="111"/>
      <c r="E172" s="111"/>
      <c r="F172" s="111"/>
      <c r="G172" s="111"/>
      <c r="H172" s="111"/>
      <c r="I172" s="127"/>
      <c r="J172" s="111"/>
      <c r="K172" s="257"/>
      <c r="L172" s="111"/>
      <c r="M172" s="127"/>
      <c r="N172" s="127"/>
      <c r="O172" s="111"/>
      <c r="P172" s="111"/>
      <c r="Q172" s="128"/>
      <c r="R172" s="124"/>
      <c r="S172" s="125"/>
      <c r="T172" s="126"/>
      <c r="U172" s="126"/>
      <c r="V172" s="258"/>
      <c r="W172" s="258"/>
      <c r="X172" s="126"/>
      <c r="Y172" s="126"/>
      <c r="Z172" s="127"/>
      <c r="AA172" s="127"/>
      <c r="AB172" s="127"/>
      <c r="AC172" s="127"/>
      <c r="AD172" s="261"/>
      <c r="AE172" s="261"/>
      <c r="AF172" s="261"/>
      <c r="AG172" s="261"/>
    </row>
    <row r="173" ht="34.5" customHeight="1">
      <c r="A173" s="111"/>
      <c r="B173" s="127"/>
      <c r="C173" s="111"/>
      <c r="D173" s="111"/>
      <c r="E173" s="111"/>
      <c r="F173" s="111"/>
      <c r="G173" s="111"/>
      <c r="H173" s="111"/>
      <c r="I173" s="127"/>
      <c r="J173" s="111"/>
      <c r="K173" s="257"/>
      <c r="L173" s="111"/>
      <c r="M173" s="127"/>
      <c r="N173" s="127"/>
      <c r="O173" s="111"/>
      <c r="P173" s="111"/>
      <c r="Q173" s="128"/>
      <c r="R173" s="124"/>
      <c r="S173" s="125"/>
      <c r="T173" s="126"/>
      <c r="U173" s="126"/>
      <c r="V173" s="258"/>
      <c r="W173" s="258"/>
      <c r="X173" s="126"/>
      <c r="Y173" s="126"/>
      <c r="Z173" s="127"/>
      <c r="AA173" s="127"/>
      <c r="AB173" s="127"/>
      <c r="AC173" s="127"/>
      <c r="AD173" s="261"/>
      <c r="AE173" s="261"/>
      <c r="AF173" s="261"/>
      <c r="AG173" s="261"/>
    </row>
    <row r="174" ht="34.5" customHeight="1">
      <c r="A174" s="111"/>
      <c r="B174" s="127"/>
      <c r="C174" s="111"/>
      <c r="D174" s="111"/>
      <c r="E174" s="111"/>
      <c r="F174" s="111"/>
      <c r="G174" s="111"/>
      <c r="H174" s="111"/>
      <c r="I174" s="127"/>
      <c r="J174" s="111"/>
      <c r="K174" s="257"/>
      <c r="L174" s="111"/>
      <c r="M174" s="127"/>
      <c r="N174" s="127"/>
      <c r="O174" s="111"/>
      <c r="P174" s="111"/>
      <c r="Q174" s="128"/>
      <c r="R174" s="124"/>
      <c r="S174" s="125"/>
      <c r="T174" s="126"/>
      <c r="U174" s="126"/>
      <c r="V174" s="258"/>
      <c r="W174" s="258"/>
      <c r="X174" s="126"/>
      <c r="Y174" s="126"/>
      <c r="Z174" s="127"/>
      <c r="AA174" s="127"/>
      <c r="AB174" s="127"/>
      <c r="AC174" s="127"/>
      <c r="AD174" s="261"/>
      <c r="AE174" s="261"/>
      <c r="AF174" s="261"/>
      <c r="AG174" s="261"/>
    </row>
    <row r="175" ht="34.5" customHeight="1">
      <c r="A175" s="111"/>
      <c r="B175" s="127"/>
      <c r="C175" s="111"/>
      <c r="D175" s="111"/>
      <c r="E175" s="111"/>
      <c r="F175" s="111"/>
      <c r="G175" s="111"/>
      <c r="H175" s="111"/>
      <c r="I175" s="127"/>
      <c r="J175" s="111"/>
      <c r="K175" s="257"/>
      <c r="L175" s="111"/>
      <c r="M175" s="127"/>
      <c r="N175" s="127"/>
      <c r="O175" s="111"/>
      <c r="P175" s="111"/>
      <c r="Q175" s="128"/>
      <c r="R175" s="124"/>
      <c r="S175" s="125"/>
      <c r="T175" s="126"/>
      <c r="U175" s="126"/>
      <c r="V175" s="258"/>
      <c r="W175" s="258"/>
      <c r="X175" s="126"/>
      <c r="Y175" s="126"/>
      <c r="Z175" s="127"/>
      <c r="AA175" s="127"/>
      <c r="AB175" s="127"/>
      <c r="AC175" s="127"/>
      <c r="AD175" s="261"/>
      <c r="AE175" s="261"/>
      <c r="AF175" s="261"/>
      <c r="AG175" s="261"/>
    </row>
    <row r="176" ht="34.5" customHeight="1">
      <c r="A176" s="111"/>
      <c r="B176" s="127"/>
      <c r="C176" s="111"/>
      <c r="D176" s="111"/>
      <c r="E176" s="111"/>
      <c r="F176" s="111"/>
      <c r="G176" s="111"/>
      <c r="H176" s="111"/>
      <c r="I176" s="127"/>
      <c r="J176" s="111"/>
      <c r="K176" s="257"/>
      <c r="L176" s="111"/>
      <c r="M176" s="127"/>
      <c r="N176" s="127"/>
      <c r="O176" s="111"/>
      <c r="P176" s="111"/>
      <c r="Q176" s="128"/>
      <c r="R176" s="124"/>
      <c r="S176" s="125"/>
      <c r="T176" s="126"/>
      <c r="U176" s="126"/>
      <c r="V176" s="258"/>
      <c r="W176" s="258"/>
      <c r="X176" s="126"/>
      <c r="Y176" s="126"/>
      <c r="Z176" s="127"/>
      <c r="AA176" s="127"/>
      <c r="AB176" s="127"/>
      <c r="AC176" s="127"/>
      <c r="AD176" s="261"/>
      <c r="AE176" s="261"/>
      <c r="AF176" s="261"/>
      <c r="AG176" s="261"/>
    </row>
    <row r="177" ht="34.5" customHeight="1">
      <c r="A177" s="111"/>
      <c r="B177" s="127"/>
      <c r="C177" s="111"/>
      <c r="D177" s="111"/>
      <c r="E177" s="111"/>
      <c r="F177" s="111"/>
      <c r="G177" s="111"/>
      <c r="H177" s="111"/>
      <c r="I177" s="127"/>
      <c r="J177" s="111"/>
      <c r="K177" s="257"/>
      <c r="L177" s="111"/>
      <c r="M177" s="127"/>
      <c r="N177" s="127"/>
      <c r="O177" s="111"/>
      <c r="P177" s="111"/>
      <c r="Q177" s="128"/>
      <c r="R177" s="124"/>
      <c r="S177" s="125"/>
      <c r="T177" s="126"/>
      <c r="U177" s="126"/>
      <c r="V177" s="258"/>
      <c r="W177" s="258"/>
      <c r="X177" s="126"/>
      <c r="Y177" s="126"/>
      <c r="Z177" s="127"/>
      <c r="AA177" s="127"/>
      <c r="AB177" s="127"/>
      <c r="AC177" s="127"/>
      <c r="AD177" s="261"/>
      <c r="AE177" s="261"/>
      <c r="AF177" s="261"/>
      <c r="AG177" s="261"/>
    </row>
    <row r="178" ht="34.5" customHeight="1">
      <c r="A178" s="111"/>
      <c r="B178" s="127"/>
      <c r="C178" s="111"/>
      <c r="D178" s="111"/>
      <c r="E178" s="111"/>
      <c r="F178" s="111"/>
      <c r="G178" s="111"/>
      <c r="H178" s="111"/>
      <c r="I178" s="127"/>
      <c r="J178" s="111"/>
      <c r="K178" s="257"/>
      <c r="L178" s="111"/>
      <c r="M178" s="127"/>
      <c r="N178" s="127"/>
      <c r="O178" s="111"/>
      <c r="P178" s="111"/>
      <c r="Q178" s="128"/>
      <c r="R178" s="124"/>
      <c r="S178" s="125"/>
      <c r="T178" s="126"/>
      <c r="U178" s="126"/>
      <c r="V178" s="258"/>
      <c r="W178" s="258"/>
      <c r="X178" s="126"/>
      <c r="Y178" s="126"/>
      <c r="Z178" s="127"/>
      <c r="AA178" s="127"/>
      <c r="AB178" s="127"/>
      <c r="AC178" s="127"/>
      <c r="AD178" s="261"/>
      <c r="AE178" s="261"/>
      <c r="AF178" s="261"/>
      <c r="AG178" s="261"/>
    </row>
    <row r="179" ht="34.5" customHeight="1">
      <c r="A179" s="111"/>
      <c r="B179" s="127"/>
      <c r="C179" s="111"/>
      <c r="D179" s="111"/>
      <c r="E179" s="111"/>
      <c r="F179" s="111"/>
      <c r="G179" s="111"/>
      <c r="H179" s="111"/>
      <c r="I179" s="127"/>
      <c r="J179" s="111"/>
      <c r="K179" s="257"/>
      <c r="L179" s="111"/>
      <c r="M179" s="127"/>
      <c r="N179" s="127"/>
      <c r="O179" s="111"/>
      <c r="P179" s="111"/>
      <c r="Q179" s="128"/>
      <c r="R179" s="124"/>
      <c r="S179" s="125"/>
      <c r="T179" s="126"/>
      <c r="U179" s="126"/>
      <c r="V179" s="258"/>
      <c r="W179" s="258"/>
      <c r="X179" s="126"/>
      <c r="Y179" s="126"/>
      <c r="Z179" s="127"/>
      <c r="AA179" s="127"/>
      <c r="AB179" s="127"/>
      <c r="AC179" s="127"/>
      <c r="AD179" s="261"/>
      <c r="AE179" s="261"/>
      <c r="AF179" s="261"/>
      <c r="AG179" s="261"/>
    </row>
    <row r="180" ht="34.5" customHeight="1">
      <c r="A180" s="111"/>
      <c r="B180" s="127"/>
      <c r="C180" s="111"/>
      <c r="D180" s="111"/>
      <c r="E180" s="111"/>
      <c r="F180" s="111"/>
      <c r="G180" s="111"/>
      <c r="H180" s="111"/>
      <c r="I180" s="127"/>
      <c r="J180" s="111"/>
      <c r="K180" s="257"/>
      <c r="L180" s="111"/>
      <c r="M180" s="127"/>
      <c r="N180" s="127"/>
      <c r="O180" s="111"/>
      <c r="P180" s="111"/>
      <c r="Q180" s="128"/>
      <c r="R180" s="124"/>
      <c r="S180" s="125"/>
      <c r="T180" s="126"/>
      <c r="U180" s="126"/>
      <c r="V180" s="258"/>
      <c r="W180" s="258"/>
      <c r="X180" s="126"/>
      <c r="Y180" s="126"/>
      <c r="Z180" s="127"/>
      <c r="AA180" s="127"/>
      <c r="AB180" s="127"/>
      <c r="AC180" s="127"/>
      <c r="AD180" s="261"/>
      <c r="AE180" s="261"/>
      <c r="AF180" s="261"/>
      <c r="AG180" s="261"/>
    </row>
    <row r="181" ht="34.5" customHeight="1">
      <c r="A181" s="111"/>
      <c r="B181" s="127"/>
      <c r="C181" s="111"/>
      <c r="D181" s="111"/>
      <c r="E181" s="111"/>
      <c r="F181" s="111"/>
      <c r="G181" s="111"/>
      <c r="H181" s="111"/>
      <c r="I181" s="127"/>
      <c r="J181" s="111"/>
      <c r="K181" s="257"/>
      <c r="L181" s="111"/>
      <c r="M181" s="127"/>
      <c r="N181" s="127"/>
      <c r="O181" s="111"/>
      <c r="P181" s="111"/>
      <c r="Q181" s="128"/>
      <c r="R181" s="124"/>
      <c r="S181" s="125"/>
      <c r="T181" s="126"/>
      <c r="U181" s="126"/>
      <c r="V181" s="258"/>
      <c r="W181" s="258"/>
      <c r="X181" s="126"/>
      <c r="Y181" s="126"/>
      <c r="Z181" s="127"/>
      <c r="AA181" s="127"/>
      <c r="AB181" s="127"/>
      <c r="AC181" s="127"/>
      <c r="AD181" s="261"/>
      <c r="AE181" s="261"/>
      <c r="AF181" s="261"/>
      <c r="AG181" s="261"/>
    </row>
    <row r="182" ht="34.5" customHeight="1">
      <c r="A182" s="111"/>
      <c r="B182" s="127"/>
      <c r="C182" s="111"/>
      <c r="D182" s="111"/>
      <c r="E182" s="111"/>
      <c r="F182" s="111"/>
      <c r="G182" s="111"/>
      <c r="H182" s="111"/>
      <c r="I182" s="127"/>
      <c r="J182" s="111"/>
      <c r="K182" s="257"/>
      <c r="L182" s="111"/>
      <c r="M182" s="127"/>
      <c r="N182" s="127"/>
      <c r="O182" s="111"/>
      <c r="P182" s="111"/>
      <c r="Q182" s="128"/>
      <c r="R182" s="124"/>
      <c r="S182" s="125"/>
      <c r="T182" s="126"/>
      <c r="U182" s="126"/>
      <c r="V182" s="258"/>
      <c r="W182" s="258"/>
      <c r="X182" s="126"/>
      <c r="Y182" s="126"/>
      <c r="Z182" s="127"/>
      <c r="AA182" s="127"/>
      <c r="AB182" s="127"/>
      <c r="AC182" s="127"/>
      <c r="AD182" s="261"/>
      <c r="AE182" s="261"/>
      <c r="AF182" s="261"/>
      <c r="AG182" s="261"/>
    </row>
    <row r="183" ht="34.5" customHeight="1">
      <c r="A183" s="111"/>
      <c r="B183" s="127"/>
      <c r="C183" s="111"/>
      <c r="D183" s="111"/>
      <c r="E183" s="111"/>
      <c r="F183" s="111"/>
      <c r="G183" s="111"/>
      <c r="H183" s="111"/>
      <c r="I183" s="127"/>
      <c r="J183" s="111"/>
      <c r="K183" s="257"/>
      <c r="L183" s="111"/>
      <c r="M183" s="127"/>
      <c r="N183" s="127"/>
      <c r="O183" s="111"/>
      <c r="P183" s="111"/>
      <c r="Q183" s="128"/>
      <c r="R183" s="124"/>
      <c r="S183" s="125"/>
      <c r="T183" s="126"/>
      <c r="U183" s="126"/>
      <c r="V183" s="258"/>
      <c r="W183" s="258"/>
      <c r="X183" s="126"/>
      <c r="Y183" s="126"/>
      <c r="Z183" s="127"/>
      <c r="AA183" s="127"/>
      <c r="AB183" s="127"/>
      <c r="AC183" s="127"/>
      <c r="AD183" s="261"/>
      <c r="AE183" s="261"/>
      <c r="AF183" s="261"/>
      <c r="AG183" s="261"/>
    </row>
    <row r="184" ht="34.5" customHeight="1">
      <c r="A184" s="111"/>
      <c r="B184" s="127"/>
      <c r="C184" s="111"/>
      <c r="D184" s="111"/>
      <c r="E184" s="111"/>
      <c r="F184" s="111"/>
      <c r="G184" s="111"/>
      <c r="H184" s="111"/>
      <c r="I184" s="127"/>
      <c r="J184" s="111"/>
      <c r="K184" s="257"/>
      <c r="L184" s="111"/>
      <c r="M184" s="127"/>
      <c r="N184" s="127"/>
      <c r="O184" s="111"/>
      <c r="P184" s="111"/>
      <c r="Q184" s="128"/>
      <c r="R184" s="124"/>
      <c r="S184" s="125"/>
      <c r="T184" s="126"/>
      <c r="U184" s="126"/>
      <c r="V184" s="258"/>
      <c r="W184" s="258"/>
      <c r="X184" s="126"/>
      <c r="Y184" s="126"/>
      <c r="Z184" s="127"/>
      <c r="AA184" s="127"/>
      <c r="AB184" s="127"/>
      <c r="AC184" s="127"/>
      <c r="AD184" s="261"/>
      <c r="AE184" s="261"/>
      <c r="AF184" s="261"/>
      <c r="AG184" s="261"/>
    </row>
    <row r="185" ht="34.5" customHeight="1">
      <c r="A185" s="111"/>
      <c r="B185" s="127"/>
      <c r="C185" s="111"/>
      <c r="D185" s="111"/>
      <c r="E185" s="111"/>
      <c r="F185" s="111"/>
      <c r="G185" s="111"/>
      <c r="H185" s="111"/>
      <c r="I185" s="127"/>
      <c r="J185" s="111"/>
      <c r="K185" s="257"/>
      <c r="L185" s="111"/>
      <c r="M185" s="127"/>
      <c r="N185" s="127"/>
      <c r="O185" s="111"/>
      <c r="P185" s="111"/>
      <c r="Q185" s="128"/>
      <c r="R185" s="124"/>
      <c r="S185" s="125"/>
      <c r="T185" s="126"/>
      <c r="U185" s="126"/>
      <c r="V185" s="258"/>
      <c r="W185" s="258"/>
      <c r="X185" s="126"/>
      <c r="Y185" s="126"/>
      <c r="Z185" s="127"/>
      <c r="AA185" s="127"/>
      <c r="AB185" s="127"/>
      <c r="AC185" s="127"/>
      <c r="AD185" s="261"/>
      <c r="AE185" s="261"/>
      <c r="AF185" s="261"/>
      <c r="AG185" s="261"/>
    </row>
    <row r="186" ht="34.5" customHeight="1">
      <c r="A186" s="111"/>
      <c r="B186" s="127"/>
      <c r="C186" s="111"/>
      <c r="D186" s="111"/>
      <c r="E186" s="111"/>
      <c r="F186" s="111"/>
      <c r="G186" s="111"/>
      <c r="H186" s="111"/>
      <c r="I186" s="127"/>
      <c r="J186" s="111"/>
      <c r="K186" s="257"/>
      <c r="L186" s="111"/>
      <c r="M186" s="127"/>
      <c r="N186" s="127"/>
      <c r="O186" s="111"/>
      <c r="P186" s="111"/>
      <c r="Q186" s="128"/>
      <c r="R186" s="124"/>
      <c r="S186" s="125"/>
      <c r="T186" s="126"/>
      <c r="U186" s="126"/>
      <c r="V186" s="258"/>
      <c r="W186" s="258"/>
      <c r="X186" s="126"/>
      <c r="Y186" s="126"/>
      <c r="Z186" s="127"/>
      <c r="AA186" s="127"/>
      <c r="AB186" s="127"/>
      <c r="AC186" s="127"/>
      <c r="AD186" s="261"/>
      <c r="AE186" s="261"/>
      <c r="AF186" s="261"/>
      <c r="AG186" s="261"/>
    </row>
    <row r="187" ht="34.5" customHeight="1">
      <c r="A187" s="111"/>
      <c r="B187" s="127"/>
      <c r="C187" s="111"/>
      <c r="D187" s="111"/>
      <c r="E187" s="111"/>
      <c r="F187" s="111"/>
      <c r="G187" s="111"/>
      <c r="H187" s="111"/>
      <c r="I187" s="127"/>
      <c r="J187" s="111"/>
      <c r="K187" s="257"/>
      <c r="L187" s="111"/>
      <c r="M187" s="127"/>
      <c r="N187" s="127"/>
      <c r="O187" s="111"/>
      <c r="P187" s="111"/>
      <c r="Q187" s="128"/>
      <c r="R187" s="124"/>
      <c r="S187" s="125"/>
      <c r="T187" s="126"/>
      <c r="U187" s="126"/>
      <c r="V187" s="258"/>
      <c r="W187" s="258"/>
      <c r="X187" s="126"/>
      <c r="Y187" s="126"/>
      <c r="Z187" s="127"/>
      <c r="AA187" s="127"/>
      <c r="AB187" s="127"/>
      <c r="AC187" s="127"/>
      <c r="AD187" s="261"/>
      <c r="AE187" s="261"/>
      <c r="AF187" s="261"/>
      <c r="AG187" s="261"/>
    </row>
    <row r="188" ht="34.5" customHeight="1">
      <c r="A188" s="111"/>
      <c r="B188" s="127"/>
      <c r="C188" s="111"/>
      <c r="D188" s="111"/>
      <c r="E188" s="111"/>
      <c r="F188" s="111"/>
      <c r="G188" s="111"/>
      <c r="H188" s="111"/>
      <c r="I188" s="127"/>
      <c r="J188" s="111"/>
      <c r="K188" s="257"/>
      <c r="L188" s="111"/>
      <c r="M188" s="127"/>
      <c r="N188" s="127"/>
      <c r="O188" s="111"/>
      <c r="P188" s="111"/>
      <c r="Q188" s="128"/>
      <c r="R188" s="124"/>
      <c r="S188" s="125"/>
      <c r="T188" s="126"/>
      <c r="U188" s="126"/>
      <c r="V188" s="258"/>
      <c r="W188" s="258"/>
      <c r="X188" s="126"/>
      <c r="Y188" s="126"/>
      <c r="Z188" s="127"/>
      <c r="AA188" s="127"/>
      <c r="AB188" s="127"/>
      <c r="AC188" s="127"/>
      <c r="AD188" s="261"/>
      <c r="AE188" s="261"/>
      <c r="AF188" s="261"/>
      <c r="AG188" s="261"/>
    </row>
    <row r="189" ht="34.5" customHeight="1">
      <c r="A189" s="111"/>
      <c r="B189" s="127"/>
      <c r="C189" s="111"/>
      <c r="D189" s="111"/>
      <c r="E189" s="111"/>
      <c r="F189" s="111"/>
      <c r="G189" s="111"/>
      <c r="H189" s="111"/>
      <c r="I189" s="127"/>
      <c r="J189" s="111"/>
      <c r="K189" s="257"/>
      <c r="L189" s="111"/>
      <c r="M189" s="127"/>
      <c r="N189" s="127"/>
      <c r="O189" s="111"/>
      <c r="P189" s="111"/>
      <c r="Q189" s="128"/>
      <c r="R189" s="124"/>
      <c r="S189" s="125"/>
      <c r="T189" s="126"/>
      <c r="U189" s="126"/>
      <c r="V189" s="258"/>
      <c r="W189" s="258"/>
      <c r="X189" s="126"/>
      <c r="Y189" s="126"/>
      <c r="Z189" s="127"/>
      <c r="AA189" s="127"/>
      <c r="AB189" s="127"/>
      <c r="AC189" s="127"/>
      <c r="AD189" s="261"/>
      <c r="AE189" s="261"/>
      <c r="AF189" s="261"/>
      <c r="AG189" s="261"/>
    </row>
    <row r="190" ht="34.5" customHeight="1">
      <c r="A190" s="111"/>
      <c r="B190" s="127"/>
      <c r="C190" s="111"/>
      <c r="D190" s="111"/>
      <c r="E190" s="111"/>
      <c r="F190" s="111"/>
      <c r="G190" s="111"/>
      <c r="H190" s="111"/>
      <c r="I190" s="127"/>
      <c r="J190" s="111"/>
      <c r="K190" s="257"/>
      <c r="L190" s="111"/>
      <c r="M190" s="127"/>
      <c r="N190" s="127"/>
      <c r="O190" s="111"/>
      <c r="P190" s="111"/>
      <c r="Q190" s="128"/>
      <c r="R190" s="124"/>
      <c r="S190" s="125"/>
      <c r="T190" s="126"/>
      <c r="U190" s="126"/>
      <c r="V190" s="258"/>
      <c r="W190" s="258"/>
      <c r="X190" s="126"/>
      <c r="Y190" s="126"/>
      <c r="Z190" s="127"/>
      <c r="AA190" s="127"/>
      <c r="AB190" s="127"/>
      <c r="AC190" s="127"/>
      <c r="AD190" s="261"/>
      <c r="AE190" s="261"/>
      <c r="AF190" s="261"/>
      <c r="AG190" s="261"/>
    </row>
    <row r="191" ht="34.5" customHeight="1">
      <c r="A191" s="111"/>
      <c r="B191" s="127"/>
      <c r="C191" s="111"/>
      <c r="D191" s="111"/>
      <c r="E191" s="111"/>
      <c r="F191" s="111"/>
      <c r="G191" s="111"/>
      <c r="H191" s="111"/>
      <c r="I191" s="127"/>
      <c r="J191" s="111"/>
      <c r="K191" s="257"/>
      <c r="L191" s="111"/>
      <c r="M191" s="127"/>
      <c r="N191" s="127"/>
      <c r="O191" s="111"/>
      <c r="P191" s="111"/>
      <c r="Q191" s="128"/>
      <c r="R191" s="124"/>
      <c r="S191" s="125"/>
      <c r="T191" s="126"/>
      <c r="U191" s="126"/>
      <c r="V191" s="258"/>
      <c r="W191" s="258"/>
      <c r="X191" s="126"/>
      <c r="Y191" s="126"/>
      <c r="Z191" s="127"/>
      <c r="AA191" s="127"/>
      <c r="AB191" s="127"/>
      <c r="AC191" s="127"/>
      <c r="AD191" s="261"/>
      <c r="AE191" s="261"/>
      <c r="AF191" s="261"/>
      <c r="AG191" s="261"/>
    </row>
    <row r="192" ht="34.5" customHeight="1">
      <c r="A192" s="111"/>
      <c r="B192" s="127"/>
      <c r="C192" s="111"/>
      <c r="D192" s="111"/>
      <c r="E192" s="111"/>
      <c r="F192" s="111"/>
      <c r="G192" s="111"/>
      <c r="H192" s="111"/>
      <c r="I192" s="127"/>
      <c r="J192" s="111"/>
      <c r="K192" s="257"/>
      <c r="L192" s="111"/>
      <c r="M192" s="127"/>
      <c r="N192" s="127"/>
      <c r="O192" s="111"/>
      <c r="P192" s="111"/>
      <c r="Q192" s="128"/>
      <c r="R192" s="124"/>
      <c r="S192" s="125"/>
      <c r="T192" s="126"/>
      <c r="U192" s="126"/>
      <c r="V192" s="258"/>
      <c r="W192" s="258"/>
      <c r="X192" s="126"/>
      <c r="Y192" s="126"/>
      <c r="Z192" s="127"/>
      <c r="AA192" s="127"/>
      <c r="AB192" s="127"/>
      <c r="AC192" s="127"/>
      <c r="AD192" s="261"/>
      <c r="AE192" s="261"/>
      <c r="AF192" s="261"/>
      <c r="AG192" s="261"/>
    </row>
    <row r="193" ht="34.5" customHeight="1">
      <c r="A193" s="111"/>
      <c r="B193" s="127"/>
      <c r="C193" s="111"/>
      <c r="D193" s="111"/>
      <c r="E193" s="111"/>
      <c r="F193" s="111"/>
      <c r="G193" s="111"/>
      <c r="H193" s="111"/>
      <c r="I193" s="127"/>
      <c r="J193" s="111"/>
      <c r="K193" s="257"/>
      <c r="L193" s="111"/>
      <c r="M193" s="127"/>
      <c r="N193" s="127"/>
      <c r="O193" s="111"/>
      <c r="P193" s="111"/>
      <c r="Q193" s="128"/>
      <c r="R193" s="124"/>
      <c r="S193" s="125"/>
      <c r="T193" s="126"/>
      <c r="U193" s="126"/>
      <c r="V193" s="258"/>
      <c r="W193" s="258"/>
      <c r="X193" s="126"/>
      <c r="Y193" s="126"/>
      <c r="Z193" s="127"/>
      <c r="AA193" s="127"/>
      <c r="AB193" s="127"/>
      <c r="AC193" s="127"/>
      <c r="AD193" s="261"/>
      <c r="AE193" s="261"/>
      <c r="AF193" s="261"/>
      <c r="AG193" s="261"/>
    </row>
    <row r="194" ht="34.5" customHeight="1">
      <c r="A194" s="111"/>
      <c r="B194" s="127"/>
      <c r="C194" s="111"/>
      <c r="D194" s="111"/>
      <c r="E194" s="111"/>
      <c r="F194" s="111"/>
      <c r="G194" s="111"/>
      <c r="H194" s="111"/>
      <c r="I194" s="127"/>
      <c r="J194" s="111"/>
      <c r="K194" s="257"/>
      <c r="L194" s="111"/>
      <c r="M194" s="127"/>
      <c r="N194" s="127"/>
      <c r="O194" s="111"/>
      <c r="P194" s="111"/>
      <c r="Q194" s="128"/>
      <c r="R194" s="124"/>
      <c r="S194" s="125"/>
      <c r="T194" s="126"/>
      <c r="U194" s="126"/>
      <c r="V194" s="258"/>
      <c r="W194" s="258"/>
      <c r="X194" s="126"/>
      <c r="Y194" s="126"/>
      <c r="Z194" s="127"/>
      <c r="AA194" s="127"/>
      <c r="AB194" s="127"/>
      <c r="AC194" s="127"/>
      <c r="AD194" s="261"/>
      <c r="AE194" s="261"/>
      <c r="AF194" s="261"/>
      <c r="AG194" s="261"/>
    </row>
    <row r="195" ht="34.5" customHeight="1">
      <c r="A195" s="111"/>
      <c r="B195" s="127"/>
      <c r="C195" s="111"/>
      <c r="D195" s="111"/>
      <c r="E195" s="111"/>
      <c r="F195" s="111"/>
      <c r="G195" s="111"/>
      <c r="H195" s="111"/>
      <c r="I195" s="127"/>
      <c r="J195" s="111"/>
      <c r="K195" s="257"/>
      <c r="L195" s="111"/>
      <c r="M195" s="127"/>
      <c r="N195" s="127"/>
      <c r="O195" s="111"/>
      <c r="P195" s="111"/>
      <c r="Q195" s="128"/>
      <c r="R195" s="124"/>
      <c r="S195" s="125"/>
      <c r="T195" s="126"/>
      <c r="U195" s="126"/>
      <c r="V195" s="258"/>
      <c r="W195" s="258"/>
      <c r="X195" s="126"/>
      <c r="Y195" s="126"/>
      <c r="Z195" s="127"/>
      <c r="AA195" s="127"/>
      <c r="AB195" s="127"/>
      <c r="AC195" s="127"/>
      <c r="AD195" s="261"/>
      <c r="AE195" s="261"/>
      <c r="AF195" s="261"/>
      <c r="AG195" s="261"/>
    </row>
    <row r="196" ht="34.5" customHeight="1">
      <c r="A196" s="111"/>
      <c r="B196" s="127"/>
      <c r="C196" s="111"/>
      <c r="D196" s="111"/>
      <c r="E196" s="111"/>
      <c r="F196" s="111"/>
      <c r="G196" s="111"/>
      <c r="H196" s="111"/>
      <c r="I196" s="127"/>
      <c r="J196" s="111"/>
      <c r="K196" s="257"/>
      <c r="L196" s="111"/>
      <c r="M196" s="127"/>
      <c r="N196" s="127"/>
      <c r="O196" s="111"/>
      <c r="P196" s="111"/>
      <c r="Q196" s="128"/>
      <c r="R196" s="124"/>
      <c r="S196" s="125"/>
      <c r="T196" s="126"/>
      <c r="U196" s="126"/>
      <c r="V196" s="258"/>
      <c r="W196" s="258"/>
      <c r="X196" s="126"/>
      <c r="Y196" s="126"/>
      <c r="Z196" s="127"/>
      <c r="AA196" s="127"/>
      <c r="AB196" s="127"/>
      <c r="AC196" s="127"/>
      <c r="AD196" s="261"/>
      <c r="AE196" s="261"/>
      <c r="AF196" s="261"/>
      <c r="AG196" s="261"/>
    </row>
    <row r="197" ht="34.5" customHeight="1">
      <c r="A197" s="111"/>
      <c r="B197" s="127"/>
      <c r="C197" s="111"/>
      <c r="D197" s="111"/>
      <c r="E197" s="111"/>
      <c r="F197" s="111"/>
      <c r="G197" s="111"/>
      <c r="H197" s="111"/>
      <c r="I197" s="127"/>
      <c r="J197" s="111"/>
      <c r="K197" s="257"/>
      <c r="L197" s="111"/>
      <c r="M197" s="127"/>
      <c r="N197" s="127"/>
      <c r="O197" s="111"/>
      <c r="P197" s="111"/>
      <c r="Q197" s="128"/>
      <c r="R197" s="124"/>
      <c r="S197" s="125"/>
      <c r="T197" s="126"/>
      <c r="U197" s="126"/>
      <c r="V197" s="258"/>
      <c r="W197" s="258"/>
      <c r="X197" s="126"/>
      <c r="Y197" s="126"/>
      <c r="Z197" s="127"/>
      <c r="AA197" s="127"/>
      <c r="AB197" s="127"/>
      <c r="AC197" s="127"/>
      <c r="AD197" s="261"/>
      <c r="AE197" s="261"/>
      <c r="AF197" s="261"/>
      <c r="AG197" s="261"/>
    </row>
    <row r="198" ht="34.5" customHeight="1">
      <c r="A198" s="111"/>
      <c r="B198" s="127"/>
      <c r="C198" s="111"/>
      <c r="D198" s="111"/>
      <c r="E198" s="111"/>
      <c r="F198" s="111"/>
      <c r="G198" s="111"/>
      <c r="H198" s="111"/>
      <c r="I198" s="127"/>
      <c r="J198" s="111"/>
      <c r="K198" s="257"/>
      <c r="L198" s="111"/>
      <c r="M198" s="127"/>
      <c r="N198" s="127"/>
      <c r="O198" s="111"/>
      <c r="P198" s="111"/>
      <c r="Q198" s="128"/>
      <c r="R198" s="124"/>
      <c r="S198" s="125"/>
      <c r="T198" s="126"/>
      <c r="U198" s="126"/>
      <c r="V198" s="258"/>
      <c r="W198" s="258"/>
      <c r="X198" s="126"/>
      <c r="Y198" s="126"/>
      <c r="Z198" s="127"/>
      <c r="AA198" s="127"/>
      <c r="AB198" s="127"/>
      <c r="AC198" s="127"/>
      <c r="AD198" s="261"/>
      <c r="AE198" s="261"/>
      <c r="AF198" s="261"/>
      <c r="AG198" s="261"/>
    </row>
    <row r="199" ht="34.5" customHeight="1">
      <c r="A199" s="111"/>
      <c r="B199" s="127"/>
      <c r="C199" s="111"/>
      <c r="D199" s="111"/>
      <c r="E199" s="111"/>
      <c r="F199" s="111"/>
      <c r="G199" s="111"/>
      <c r="H199" s="111"/>
      <c r="I199" s="127"/>
      <c r="J199" s="111"/>
      <c r="K199" s="257"/>
      <c r="L199" s="111"/>
      <c r="M199" s="127"/>
      <c r="N199" s="127"/>
      <c r="O199" s="111"/>
      <c r="P199" s="111"/>
      <c r="Q199" s="128"/>
      <c r="R199" s="124"/>
      <c r="S199" s="125"/>
      <c r="T199" s="126"/>
      <c r="U199" s="126"/>
      <c r="V199" s="258"/>
      <c r="W199" s="258"/>
      <c r="X199" s="126"/>
      <c r="Y199" s="126"/>
      <c r="Z199" s="127"/>
      <c r="AA199" s="127"/>
      <c r="AB199" s="127"/>
      <c r="AC199" s="127"/>
      <c r="AD199" s="261"/>
      <c r="AE199" s="261"/>
      <c r="AF199" s="261"/>
      <c r="AG199" s="261"/>
    </row>
    <row r="200" ht="34.5" customHeight="1">
      <c r="A200" s="111"/>
      <c r="B200" s="127"/>
      <c r="C200" s="111"/>
      <c r="D200" s="111"/>
      <c r="E200" s="111"/>
      <c r="F200" s="111"/>
      <c r="G200" s="111"/>
      <c r="H200" s="111"/>
      <c r="I200" s="127"/>
      <c r="J200" s="111"/>
      <c r="K200" s="257"/>
      <c r="L200" s="111"/>
      <c r="M200" s="127"/>
      <c r="N200" s="127"/>
      <c r="O200" s="111"/>
      <c r="P200" s="111"/>
      <c r="Q200" s="128"/>
      <c r="R200" s="124"/>
      <c r="S200" s="125"/>
      <c r="T200" s="126"/>
      <c r="U200" s="126"/>
      <c r="V200" s="258"/>
      <c r="W200" s="258"/>
      <c r="X200" s="126"/>
      <c r="Y200" s="126"/>
      <c r="Z200" s="127"/>
      <c r="AA200" s="127"/>
      <c r="AB200" s="127"/>
      <c r="AC200" s="127"/>
      <c r="AD200" s="261"/>
      <c r="AE200" s="261"/>
      <c r="AF200" s="261"/>
      <c r="AG200" s="261"/>
    </row>
    <row r="201" ht="34.5" hidden="1" customHeight="1">
      <c r="A201" s="111"/>
      <c r="B201" s="127"/>
      <c r="C201" s="111"/>
      <c r="D201" s="111"/>
      <c r="E201" s="111"/>
      <c r="F201" s="111"/>
      <c r="G201" s="111"/>
      <c r="H201" s="111"/>
      <c r="I201" s="127"/>
      <c r="J201" s="111"/>
      <c r="K201" s="257"/>
      <c r="L201" s="111"/>
      <c r="M201" s="127"/>
      <c r="N201" s="270"/>
      <c r="O201" s="111"/>
      <c r="P201" s="111"/>
      <c r="Q201" s="128"/>
      <c r="R201" s="124"/>
      <c r="S201" s="125"/>
      <c r="T201" s="126"/>
      <c r="U201" s="126"/>
      <c r="V201" s="271"/>
      <c r="W201" s="271"/>
      <c r="X201" s="126"/>
      <c r="Y201" s="126"/>
      <c r="Z201" s="127"/>
      <c r="AA201" s="127"/>
      <c r="AB201" s="127"/>
      <c r="AC201" s="127"/>
      <c r="AD201" s="261"/>
      <c r="AE201" s="261"/>
      <c r="AF201" s="261"/>
      <c r="AG201" s="261"/>
    </row>
    <row r="202" ht="34.5" hidden="1" customHeight="1">
      <c r="A202" s="111"/>
      <c r="B202" s="127"/>
      <c r="C202" s="111"/>
      <c r="D202" s="111"/>
      <c r="E202" s="111"/>
      <c r="F202" s="111"/>
      <c r="G202" s="111"/>
      <c r="H202" s="111"/>
      <c r="I202" s="127"/>
      <c r="J202" s="111"/>
      <c r="K202" s="257"/>
      <c r="L202" s="111"/>
      <c r="M202" s="127"/>
      <c r="N202" s="270"/>
      <c r="O202" s="111"/>
      <c r="P202" s="111"/>
      <c r="Q202" s="128"/>
      <c r="R202" s="124"/>
      <c r="S202" s="125"/>
      <c r="T202" s="126"/>
      <c r="U202" s="126"/>
      <c r="V202" s="126"/>
      <c r="W202" s="126"/>
      <c r="X202" s="126"/>
      <c r="Y202" s="126"/>
      <c r="Z202" s="127"/>
      <c r="AA202" s="127"/>
      <c r="AB202" s="127"/>
      <c r="AC202" s="127"/>
      <c r="AD202" s="261"/>
      <c r="AE202" s="261"/>
      <c r="AF202" s="261"/>
      <c r="AG202" s="261"/>
    </row>
    <row r="203" ht="34.5" hidden="1" customHeight="1">
      <c r="A203" s="111"/>
      <c r="B203" s="127"/>
      <c r="C203" s="111"/>
      <c r="D203" s="111"/>
      <c r="E203" s="111"/>
      <c r="F203" s="111"/>
      <c r="G203" s="111"/>
      <c r="H203" s="111"/>
      <c r="I203" s="127"/>
      <c r="J203" s="111"/>
      <c r="K203" s="257"/>
      <c r="L203" s="111"/>
      <c r="M203" s="127"/>
      <c r="N203" s="270"/>
      <c r="O203" s="111"/>
      <c r="P203" s="111"/>
      <c r="Q203" s="128"/>
      <c r="R203" s="124"/>
      <c r="S203" s="125"/>
      <c r="T203" s="126"/>
      <c r="U203" s="126"/>
      <c r="V203" s="126"/>
      <c r="W203" s="126"/>
      <c r="X203" s="126"/>
      <c r="Y203" s="126"/>
      <c r="Z203" s="127"/>
      <c r="AA203" s="127"/>
      <c r="AB203" s="127"/>
      <c r="AC203" s="127"/>
      <c r="AD203" s="261"/>
      <c r="AE203" s="261"/>
      <c r="AF203" s="261"/>
      <c r="AG203" s="261"/>
    </row>
    <row r="204" ht="34.5" hidden="1" customHeight="1">
      <c r="A204" s="111"/>
      <c r="B204" s="127"/>
      <c r="C204" s="111"/>
      <c r="D204" s="111"/>
      <c r="E204" s="111"/>
      <c r="F204" s="111"/>
      <c r="G204" s="111"/>
      <c r="H204" s="111"/>
      <c r="I204" s="127"/>
      <c r="J204" s="111"/>
      <c r="K204" s="257"/>
      <c r="L204" s="111"/>
      <c r="M204" s="127"/>
      <c r="N204" s="270"/>
      <c r="O204" s="111"/>
      <c r="P204" s="111"/>
      <c r="Q204" s="128"/>
      <c r="R204" s="124"/>
      <c r="S204" s="125"/>
      <c r="T204" s="126"/>
      <c r="U204" s="126"/>
      <c r="V204" s="126"/>
      <c r="W204" s="126"/>
      <c r="X204" s="126"/>
      <c r="Y204" s="126"/>
      <c r="Z204" s="127"/>
      <c r="AA204" s="127"/>
      <c r="AB204" s="127"/>
      <c r="AC204" s="127"/>
      <c r="AD204" s="261"/>
      <c r="AE204" s="261"/>
      <c r="AF204" s="261"/>
      <c r="AG204" s="261"/>
    </row>
    <row r="205" ht="34.5" hidden="1" customHeight="1">
      <c r="A205" s="111"/>
      <c r="B205" s="127"/>
      <c r="C205" s="111"/>
      <c r="D205" s="111"/>
      <c r="E205" s="111"/>
      <c r="F205" s="111"/>
      <c r="G205" s="111"/>
      <c r="H205" s="111"/>
      <c r="I205" s="127"/>
      <c r="J205" s="111"/>
      <c r="K205" s="257"/>
      <c r="L205" s="111"/>
      <c r="M205" s="127"/>
      <c r="N205" s="270"/>
      <c r="O205" s="111"/>
      <c r="P205" s="111"/>
      <c r="Q205" s="128"/>
      <c r="R205" s="124"/>
      <c r="S205" s="125"/>
      <c r="T205" s="126"/>
      <c r="U205" s="126"/>
      <c r="V205" s="126"/>
      <c r="W205" s="126"/>
      <c r="X205" s="126"/>
      <c r="Y205" s="126"/>
      <c r="Z205" s="127"/>
      <c r="AA205" s="127"/>
      <c r="AB205" s="127"/>
      <c r="AC205" s="127"/>
      <c r="AD205" s="261"/>
      <c r="AE205" s="261"/>
      <c r="AF205" s="261"/>
      <c r="AG205" s="261"/>
    </row>
    <row r="206" ht="34.5" hidden="1" customHeight="1">
      <c r="A206" s="111"/>
      <c r="B206" s="127"/>
      <c r="C206" s="111"/>
      <c r="D206" s="111"/>
      <c r="E206" s="111"/>
      <c r="F206" s="111"/>
      <c r="G206" s="111"/>
      <c r="H206" s="111"/>
      <c r="I206" s="127"/>
      <c r="J206" s="111"/>
      <c r="K206" s="257"/>
      <c r="L206" s="111"/>
      <c r="M206" s="127"/>
      <c r="N206" s="270"/>
      <c r="O206" s="111"/>
      <c r="P206" s="111"/>
      <c r="Q206" s="128"/>
      <c r="R206" s="124"/>
      <c r="S206" s="125"/>
      <c r="T206" s="126"/>
      <c r="U206" s="126"/>
      <c r="V206" s="126"/>
      <c r="W206" s="126"/>
      <c r="X206" s="126"/>
      <c r="Y206" s="126"/>
      <c r="Z206" s="127"/>
      <c r="AA206" s="127"/>
      <c r="AB206" s="127"/>
      <c r="AC206" s="127"/>
      <c r="AD206" s="261"/>
      <c r="AE206" s="261"/>
      <c r="AF206" s="261"/>
      <c r="AG206" s="261"/>
    </row>
    <row r="207" ht="34.5" hidden="1" customHeight="1">
      <c r="A207" s="111"/>
      <c r="B207" s="127"/>
      <c r="C207" s="111"/>
      <c r="D207" s="111"/>
      <c r="E207" s="111"/>
      <c r="F207" s="111"/>
      <c r="G207" s="111"/>
      <c r="H207" s="111"/>
      <c r="I207" s="127"/>
      <c r="J207" s="111"/>
      <c r="K207" s="257"/>
      <c r="L207" s="111"/>
      <c r="M207" s="127"/>
      <c r="N207" s="270"/>
      <c r="O207" s="111"/>
      <c r="P207" s="111"/>
      <c r="Q207" s="128"/>
      <c r="R207" s="124"/>
      <c r="S207" s="125"/>
      <c r="T207" s="126"/>
      <c r="U207" s="126"/>
      <c r="V207" s="126"/>
      <c r="W207" s="126"/>
      <c r="X207" s="126"/>
      <c r="Y207" s="126"/>
      <c r="Z207" s="127"/>
      <c r="AA207" s="127"/>
      <c r="AB207" s="127"/>
      <c r="AC207" s="127"/>
      <c r="AD207" s="261"/>
      <c r="AE207" s="261"/>
      <c r="AF207" s="261"/>
      <c r="AG207" s="261"/>
    </row>
    <row r="208" ht="34.5" hidden="1" customHeight="1">
      <c r="A208" s="111"/>
      <c r="B208" s="127"/>
      <c r="C208" s="111"/>
      <c r="D208" s="111"/>
      <c r="E208" s="111"/>
      <c r="F208" s="111"/>
      <c r="G208" s="111"/>
      <c r="H208" s="111"/>
      <c r="I208" s="127"/>
      <c r="J208" s="111"/>
      <c r="K208" s="257"/>
      <c r="L208" s="111"/>
      <c r="M208" s="127"/>
      <c r="N208" s="270"/>
      <c r="O208" s="111"/>
      <c r="P208" s="111"/>
      <c r="Q208" s="128"/>
      <c r="R208" s="124"/>
      <c r="S208" s="125"/>
      <c r="T208" s="126"/>
      <c r="U208" s="126"/>
      <c r="V208" s="126"/>
      <c r="W208" s="126"/>
      <c r="X208" s="126"/>
      <c r="Y208" s="126"/>
      <c r="Z208" s="127"/>
      <c r="AA208" s="127"/>
      <c r="AB208" s="127"/>
      <c r="AC208" s="127"/>
      <c r="AD208" s="261"/>
      <c r="AE208" s="261"/>
      <c r="AF208" s="261"/>
      <c r="AG208" s="261"/>
    </row>
    <row r="209" ht="34.5" hidden="1" customHeight="1">
      <c r="A209" s="111"/>
      <c r="B209" s="127"/>
      <c r="C209" s="111"/>
      <c r="D209" s="111"/>
      <c r="E209" s="111"/>
      <c r="F209" s="111"/>
      <c r="G209" s="111"/>
      <c r="H209" s="111"/>
      <c r="I209" s="127"/>
      <c r="J209" s="111"/>
      <c r="K209" s="257"/>
      <c r="L209" s="111"/>
      <c r="M209" s="127"/>
      <c r="N209" s="270"/>
      <c r="O209" s="111"/>
      <c r="P209" s="111"/>
      <c r="Q209" s="128"/>
      <c r="R209" s="124"/>
      <c r="S209" s="125"/>
      <c r="T209" s="126"/>
      <c r="U209" s="126"/>
      <c r="V209" s="126"/>
      <c r="W209" s="126"/>
      <c r="X209" s="126"/>
      <c r="Y209" s="126"/>
      <c r="Z209" s="127"/>
      <c r="AA209" s="127"/>
      <c r="AB209" s="127"/>
      <c r="AC209" s="127"/>
      <c r="AD209" s="261"/>
      <c r="AE209" s="261"/>
      <c r="AF209" s="261"/>
      <c r="AG209" s="261"/>
    </row>
    <row r="210" ht="34.5" hidden="1" customHeight="1">
      <c r="A210" s="111"/>
      <c r="B210" s="127"/>
      <c r="C210" s="111"/>
      <c r="D210" s="111"/>
      <c r="E210" s="111"/>
      <c r="F210" s="111"/>
      <c r="G210" s="111"/>
      <c r="H210" s="111"/>
      <c r="I210" s="127"/>
      <c r="J210" s="111"/>
      <c r="K210" s="257"/>
      <c r="L210" s="111"/>
      <c r="M210" s="127"/>
      <c r="N210" s="270"/>
      <c r="O210" s="111"/>
      <c r="P210" s="111"/>
      <c r="Q210" s="128"/>
      <c r="R210" s="124"/>
      <c r="S210" s="125"/>
      <c r="T210" s="126"/>
      <c r="U210" s="126"/>
      <c r="V210" s="126"/>
      <c r="W210" s="126"/>
      <c r="X210" s="126"/>
      <c r="Y210" s="126"/>
      <c r="Z210" s="127"/>
      <c r="AA210" s="127"/>
      <c r="AB210" s="127"/>
      <c r="AC210" s="127"/>
      <c r="AD210" s="261"/>
      <c r="AE210" s="261"/>
      <c r="AF210" s="261"/>
      <c r="AG210" s="261"/>
    </row>
    <row r="211" ht="34.5" hidden="1" customHeight="1">
      <c r="A211" s="111"/>
      <c r="B211" s="127"/>
      <c r="C211" s="111"/>
      <c r="D211" s="111"/>
      <c r="E211" s="111"/>
      <c r="F211" s="111"/>
      <c r="G211" s="111"/>
      <c r="H211" s="111"/>
      <c r="I211" s="127"/>
      <c r="J211" s="111"/>
      <c r="K211" s="257"/>
      <c r="L211" s="111"/>
      <c r="M211" s="127"/>
      <c r="N211" s="270"/>
      <c r="O211" s="111"/>
      <c r="P211" s="111"/>
      <c r="Q211" s="128"/>
      <c r="R211" s="124"/>
      <c r="S211" s="125"/>
      <c r="T211" s="126"/>
      <c r="U211" s="126"/>
      <c r="V211" s="126"/>
      <c r="W211" s="126"/>
      <c r="X211" s="126"/>
      <c r="Y211" s="126"/>
      <c r="Z211" s="127"/>
      <c r="AA211" s="127"/>
      <c r="AB211" s="127"/>
      <c r="AC211" s="127"/>
      <c r="AD211" s="261"/>
      <c r="AE211" s="261"/>
      <c r="AF211" s="261"/>
      <c r="AG211" s="261"/>
    </row>
    <row r="212" ht="34.5" hidden="1" customHeight="1">
      <c r="A212" s="111"/>
      <c r="B212" s="127"/>
      <c r="C212" s="111"/>
      <c r="D212" s="111"/>
      <c r="E212" s="111"/>
      <c r="F212" s="111"/>
      <c r="G212" s="111"/>
      <c r="H212" s="111"/>
      <c r="I212" s="127"/>
      <c r="J212" s="111"/>
      <c r="K212" s="257"/>
      <c r="L212" s="111"/>
      <c r="M212" s="127"/>
      <c r="N212" s="270"/>
      <c r="O212" s="111"/>
      <c r="P212" s="111"/>
      <c r="Q212" s="128"/>
      <c r="R212" s="124"/>
      <c r="S212" s="125"/>
      <c r="T212" s="126"/>
      <c r="U212" s="126"/>
      <c r="V212" s="126"/>
      <c r="W212" s="126"/>
      <c r="X212" s="126"/>
      <c r="Y212" s="126"/>
      <c r="Z212" s="127"/>
      <c r="AA212" s="127"/>
      <c r="AB212" s="127"/>
      <c r="AC212" s="127"/>
      <c r="AD212" s="261"/>
      <c r="AE212" s="261"/>
      <c r="AF212" s="261"/>
      <c r="AG212" s="261"/>
    </row>
    <row r="213" ht="34.5" hidden="1" customHeight="1">
      <c r="A213" s="111"/>
      <c r="B213" s="127"/>
      <c r="C213" s="111"/>
      <c r="D213" s="111"/>
      <c r="E213" s="111"/>
      <c r="F213" s="111"/>
      <c r="G213" s="111"/>
      <c r="H213" s="111"/>
      <c r="I213" s="127"/>
      <c r="J213" s="111"/>
      <c r="K213" s="257"/>
      <c r="L213" s="111"/>
      <c r="M213" s="127"/>
      <c r="N213" s="270"/>
      <c r="O213" s="111"/>
      <c r="P213" s="111"/>
      <c r="Q213" s="128"/>
      <c r="R213" s="124"/>
      <c r="S213" s="125"/>
      <c r="T213" s="126"/>
      <c r="U213" s="126"/>
      <c r="V213" s="126"/>
      <c r="W213" s="126"/>
      <c r="X213" s="126"/>
      <c r="Y213" s="126"/>
      <c r="Z213" s="127"/>
      <c r="AA213" s="127"/>
      <c r="AB213" s="127"/>
      <c r="AC213" s="127"/>
      <c r="AD213" s="261"/>
      <c r="AE213" s="261"/>
      <c r="AF213" s="261"/>
      <c r="AG213" s="261"/>
    </row>
    <row r="214" ht="34.5" hidden="1" customHeight="1">
      <c r="A214" s="111"/>
      <c r="B214" s="127"/>
      <c r="C214" s="111"/>
      <c r="D214" s="111"/>
      <c r="E214" s="111"/>
      <c r="F214" s="111"/>
      <c r="G214" s="111"/>
      <c r="H214" s="111"/>
      <c r="I214" s="127"/>
      <c r="J214" s="111"/>
      <c r="K214" s="257"/>
      <c r="L214" s="111"/>
      <c r="M214" s="127"/>
      <c r="N214" s="270"/>
      <c r="O214" s="111"/>
      <c r="P214" s="111"/>
      <c r="Q214" s="128"/>
      <c r="R214" s="124"/>
      <c r="S214" s="125"/>
      <c r="T214" s="126"/>
      <c r="U214" s="126"/>
      <c r="V214" s="126"/>
      <c r="W214" s="126"/>
      <c r="X214" s="126"/>
      <c r="Y214" s="126"/>
      <c r="Z214" s="127"/>
      <c r="AA214" s="127"/>
      <c r="AB214" s="127"/>
      <c r="AC214" s="127"/>
      <c r="AD214" s="261"/>
      <c r="AE214" s="261"/>
      <c r="AF214" s="261"/>
      <c r="AG214" s="261"/>
    </row>
    <row r="215" ht="34.5" hidden="1" customHeight="1">
      <c r="A215" s="111"/>
      <c r="B215" s="127"/>
      <c r="C215" s="111"/>
      <c r="D215" s="111"/>
      <c r="E215" s="111"/>
      <c r="F215" s="111"/>
      <c r="G215" s="111"/>
      <c r="H215" s="111"/>
      <c r="I215" s="127"/>
      <c r="J215" s="111"/>
      <c r="K215" s="257"/>
      <c r="L215" s="111"/>
      <c r="M215" s="127"/>
      <c r="N215" s="270"/>
      <c r="O215" s="111"/>
      <c r="P215" s="111"/>
      <c r="Q215" s="128"/>
      <c r="R215" s="124"/>
      <c r="S215" s="125"/>
      <c r="T215" s="126"/>
      <c r="U215" s="126"/>
      <c r="V215" s="126"/>
      <c r="W215" s="126"/>
      <c r="X215" s="126"/>
      <c r="Y215" s="126"/>
      <c r="Z215" s="127"/>
      <c r="AA215" s="127"/>
      <c r="AB215" s="127"/>
      <c r="AC215" s="127"/>
      <c r="AD215" s="261"/>
      <c r="AE215" s="261"/>
      <c r="AF215" s="261"/>
      <c r="AG215" s="261"/>
    </row>
    <row r="216" ht="34.5" hidden="1" customHeight="1">
      <c r="A216" s="111"/>
      <c r="B216" s="127"/>
      <c r="C216" s="111"/>
      <c r="D216" s="111"/>
      <c r="E216" s="111"/>
      <c r="F216" s="111"/>
      <c r="G216" s="111"/>
      <c r="H216" s="111"/>
      <c r="I216" s="127"/>
      <c r="J216" s="111"/>
      <c r="K216" s="257"/>
      <c r="L216" s="111"/>
      <c r="M216" s="127"/>
      <c r="N216" s="270"/>
      <c r="O216" s="111"/>
      <c r="P216" s="111"/>
      <c r="Q216" s="128"/>
      <c r="R216" s="124"/>
      <c r="S216" s="125"/>
      <c r="T216" s="126"/>
      <c r="U216" s="126"/>
      <c r="V216" s="126"/>
      <c r="W216" s="126"/>
      <c r="X216" s="126"/>
      <c r="Y216" s="126"/>
      <c r="Z216" s="127"/>
      <c r="AA216" s="127"/>
      <c r="AB216" s="127"/>
      <c r="AC216" s="127"/>
      <c r="AD216" s="261"/>
      <c r="AE216" s="261"/>
      <c r="AF216" s="261"/>
      <c r="AG216" s="261"/>
    </row>
    <row r="217" ht="34.5" hidden="1" customHeight="1">
      <c r="A217" s="111"/>
      <c r="B217" s="127"/>
      <c r="C217" s="111"/>
      <c r="D217" s="111"/>
      <c r="E217" s="111"/>
      <c r="F217" s="111"/>
      <c r="G217" s="111"/>
      <c r="H217" s="111"/>
      <c r="I217" s="127"/>
      <c r="J217" s="111"/>
      <c r="K217" s="257"/>
      <c r="L217" s="111"/>
      <c r="M217" s="127"/>
      <c r="N217" s="270"/>
      <c r="O217" s="111"/>
      <c r="P217" s="111"/>
      <c r="Q217" s="128"/>
      <c r="R217" s="124"/>
      <c r="S217" s="125"/>
      <c r="T217" s="126"/>
      <c r="U217" s="126"/>
      <c r="V217" s="126"/>
      <c r="W217" s="126"/>
      <c r="X217" s="126"/>
      <c r="Y217" s="126"/>
      <c r="Z217" s="127"/>
      <c r="AA217" s="127"/>
      <c r="AB217" s="127"/>
      <c r="AC217" s="127"/>
      <c r="AD217" s="261"/>
      <c r="AE217" s="261"/>
      <c r="AF217" s="261"/>
      <c r="AG217" s="261"/>
    </row>
    <row r="218" ht="34.5" hidden="1" customHeight="1">
      <c r="A218" s="111"/>
      <c r="B218" s="127"/>
      <c r="C218" s="111"/>
      <c r="D218" s="111"/>
      <c r="E218" s="111"/>
      <c r="F218" s="111"/>
      <c r="G218" s="111"/>
      <c r="H218" s="111"/>
      <c r="I218" s="127"/>
      <c r="J218" s="111"/>
      <c r="K218" s="257"/>
      <c r="L218" s="111"/>
      <c r="M218" s="127"/>
      <c r="N218" s="270"/>
      <c r="O218" s="111"/>
      <c r="P218" s="111"/>
      <c r="Q218" s="128"/>
      <c r="R218" s="124"/>
      <c r="S218" s="125"/>
      <c r="T218" s="126"/>
      <c r="U218" s="126"/>
      <c r="V218" s="126"/>
      <c r="W218" s="126"/>
      <c r="X218" s="126"/>
      <c r="Y218" s="126"/>
      <c r="Z218" s="127"/>
      <c r="AA218" s="127"/>
      <c r="AB218" s="127"/>
      <c r="AC218" s="127"/>
      <c r="AD218" s="261"/>
      <c r="AE218" s="261"/>
      <c r="AF218" s="261"/>
      <c r="AG218" s="261"/>
    </row>
    <row r="219" ht="34.5" hidden="1" customHeight="1">
      <c r="A219" s="111"/>
      <c r="B219" s="127"/>
      <c r="C219" s="111"/>
      <c r="D219" s="111"/>
      <c r="E219" s="111"/>
      <c r="F219" s="111"/>
      <c r="G219" s="111"/>
      <c r="H219" s="111"/>
      <c r="I219" s="127"/>
      <c r="J219" s="111"/>
      <c r="K219" s="257"/>
      <c r="L219" s="111"/>
      <c r="M219" s="127"/>
      <c r="N219" s="270"/>
      <c r="O219" s="111"/>
      <c r="P219" s="111"/>
      <c r="Q219" s="128"/>
      <c r="R219" s="124"/>
      <c r="S219" s="125"/>
      <c r="T219" s="126"/>
      <c r="U219" s="126"/>
      <c r="V219" s="126"/>
      <c r="W219" s="126"/>
      <c r="X219" s="126"/>
      <c r="Y219" s="126"/>
      <c r="Z219" s="127"/>
      <c r="AA219" s="127"/>
      <c r="AB219" s="127"/>
      <c r="AC219" s="127"/>
      <c r="AD219" s="261"/>
      <c r="AE219" s="261"/>
      <c r="AF219" s="261"/>
      <c r="AG219" s="261"/>
    </row>
    <row r="220" ht="34.5" hidden="1" customHeight="1">
      <c r="A220" s="111"/>
      <c r="B220" s="127"/>
      <c r="C220" s="111"/>
      <c r="D220" s="111"/>
      <c r="E220" s="111"/>
      <c r="F220" s="111"/>
      <c r="G220" s="111"/>
      <c r="H220" s="111"/>
      <c r="I220" s="127"/>
      <c r="J220" s="111"/>
      <c r="K220" s="257"/>
      <c r="L220" s="111"/>
      <c r="M220" s="127"/>
      <c r="N220" s="270"/>
      <c r="O220" s="111"/>
      <c r="P220" s="111"/>
      <c r="Q220" s="128"/>
      <c r="R220" s="124"/>
      <c r="S220" s="125"/>
      <c r="T220" s="126"/>
      <c r="U220" s="126"/>
      <c r="V220" s="126"/>
      <c r="W220" s="126"/>
      <c r="X220" s="126"/>
      <c r="Y220" s="126"/>
      <c r="Z220" s="127"/>
      <c r="AA220" s="127"/>
      <c r="AB220" s="127"/>
      <c r="AC220" s="127"/>
      <c r="AD220" s="261"/>
      <c r="AE220" s="261"/>
      <c r="AF220" s="261"/>
      <c r="AG220" s="261"/>
    </row>
    <row r="221" ht="34.5" hidden="1" customHeight="1">
      <c r="A221" s="111"/>
      <c r="B221" s="127"/>
      <c r="C221" s="111"/>
      <c r="D221" s="111"/>
      <c r="E221" s="111"/>
      <c r="F221" s="111"/>
      <c r="G221" s="111"/>
      <c r="H221" s="111"/>
      <c r="I221" s="127"/>
      <c r="J221" s="111"/>
      <c r="K221" s="257"/>
      <c r="L221" s="111"/>
      <c r="M221" s="127"/>
      <c r="N221" s="270"/>
      <c r="O221" s="111"/>
      <c r="P221" s="111"/>
      <c r="Q221" s="128"/>
      <c r="R221" s="124"/>
      <c r="S221" s="125"/>
      <c r="T221" s="126"/>
      <c r="U221" s="126"/>
      <c r="V221" s="126"/>
      <c r="W221" s="126"/>
      <c r="X221" s="126"/>
      <c r="Y221" s="126"/>
      <c r="Z221" s="127"/>
      <c r="AA221" s="127"/>
      <c r="AB221" s="127"/>
      <c r="AC221" s="127"/>
      <c r="AD221" s="261"/>
      <c r="AE221" s="261"/>
      <c r="AF221" s="261"/>
      <c r="AG221" s="261"/>
    </row>
    <row r="222" ht="34.5" hidden="1" customHeight="1">
      <c r="A222" s="111"/>
      <c r="B222" s="127"/>
      <c r="C222" s="111"/>
      <c r="D222" s="111"/>
      <c r="E222" s="111"/>
      <c r="F222" s="111"/>
      <c r="G222" s="111"/>
      <c r="H222" s="111"/>
      <c r="I222" s="127"/>
      <c r="J222" s="111"/>
      <c r="K222" s="257"/>
      <c r="L222" s="111"/>
      <c r="M222" s="127"/>
      <c r="N222" s="270"/>
      <c r="O222" s="111"/>
      <c r="P222" s="111"/>
      <c r="Q222" s="128"/>
      <c r="R222" s="124"/>
      <c r="S222" s="125"/>
      <c r="T222" s="126"/>
      <c r="U222" s="126"/>
      <c r="V222" s="126"/>
      <c r="W222" s="126"/>
      <c r="X222" s="126"/>
      <c r="Y222" s="126"/>
      <c r="Z222" s="127"/>
      <c r="AA222" s="127"/>
      <c r="AB222" s="127"/>
      <c r="AC222" s="127"/>
      <c r="AD222" s="261"/>
      <c r="AE222" s="261"/>
      <c r="AF222" s="261"/>
      <c r="AG222" s="261"/>
    </row>
    <row r="223" ht="34.5" hidden="1" customHeight="1">
      <c r="A223" s="111"/>
      <c r="B223" s="127"/>
      <c r="C223" s="111"/>
      <c r="D223" s="111"/>
      <c r="E223" s="111"/>
      <c r="F223" s="111"/>
      <c r="G223" s="111"/>
      <c r="H223" s="111"/>
      <c r="I223" s="127"/>
      <c r="J223" s="111"/>
      <c r="K223" s="257"/>
      <c r="L223" s="111"/>
      <c r="M223" s="127"/>
      <c r="N223" s="270"/>
      <c r="O223" s="111"/>
      <c r="P223" s="111"/>
      <c r="Q223" s="128"/>
      <c r="R223" s="124"/>
      <c r="S223" s="125"/>
      <c r="T223" s="126"/>
      <c r="U223" s="126"/>
      <c r="V223" s="126"/>
      <c r="W223" s="126"/>
      <c r="X223" s="126"/>
      <c r="Y223" s="126"/>
      <c r="Z223" s="127"/>
      <c r="AA223" s="127"/>
      <c r="AB223" s="127"/>
      <c r="AC223" s="127"/>
      <c r="AD223" s="261"/>
      <c r="AE223" s="261"/>
      <c r="AF223" s="261"/>
      <c r="AG223" s="261"/>
    </row>
    <row r="224" ht="34.5" hidden="1" customHeight="1">
      <c r="A224" s="111"/>
      <c r="B224" s="127"/>
      <c r="C224" s="111"/>
      <c r="D224" s="111"/>
      <c r="E224" s="111"/>
      <c r="F224" s="111"/>
      <c r="G224" s="111"/>
      <c r="H224" s="111"/>
      <c r="I224" s="127"/>
      <c r="J224" s="111"/>
      <c r="K224" s="257"/>
      <c r="L224" s="111"/>
      <c r="M224" s="127"/>
      <c r="N224" s="270"/>
      <c r="O224" s="111"/>
      <c r="P224" s="111"/>
      <c r="Q224" s="128"/>
      <c r="R224" s="124"/>
      <c r="S224" s="125"/>
      <c r="T224" s="126"/>
      <c r="U224" s="126"/>
      <c r="V224" s="126"/>
      <c r="W224" s="126"/>
      <c r="X224" s="126"/>
      <c r="Y224" s="126"/>
      <c r="Z224" s="127"/>
      <c r="AA224" s="127"/>
      <c r="AB224" s="127"/>
      <c r="AC224" s="127"/>
      <c r="AD224" s="261"/>
      <c r="AE224" s="261"/>
      <c r="AF224" s="261"/>
      <c r="AG224" s="261"/>
    </row>
    <row r="225" ht="34.5" hidden="1" customHeight="1">
      <c r="A225" s="111"/>
      <c r="B225" s="127"/>
      <c r="C225" s="111"/>
      <c r="D225" s="111"/>
      <c r="E225" s="111"/>
      <c r="F225" s="111"/>
      <c r="G225" s="111"/>
      <c r="H225" s="111"/>
      <c r="I225" s="127"/>
      <c r="J225" s="111"/>
      <c r="K225" s="257"/>
      <c r="L225" s="111"/>
      <c r="M225" s="127"/>
      <c r="N225" s="270"/>
      <c r="O225" s="111"/>
      <c r="P225" s="111"/>
      <c r="Q225" s="128"/>
      <c r="R225" s="124"/>
      <c r="S225" s="125"/>
      <c r="T225" s="126"/>
      <c r="U225" s="126"/>
      <c r="V225" s="126"/>
      <c r="W225" s="126"/>
      <c r="X225" s="126"/>
      <c r="Y225" s="126"/>
      <c r="Z225" s="127"/>
      <c r="AA225" s="127"/>
      <c r="AB225" s="127"/>
      <c r="AC225" s="127"/>
      <c r="AD225" s="261"/>
      <c r="AE225" s="261"/>
      <c r="AF225" s="261"/>
      <c r="AG225" s="261"/>
    </row>
    <row r="226" ht="34.5" hidden="1" customHeight="1">
      <c r="A226" s="111"/>
      <c r="B226" s="127"/>
      <c r="C226" s="111"/>
      <c r="D226" s="111"/>
      <c r="E226" s="111"/>
      <c r="F226" s="111"/>
      <c r="G226" s="111"/>
      <c r="H226" s="111"/>
      <c r="I226" s="127"/>
      <c r="J226" s="111"/>
      <c r="K226" s="257"/>
      <c r="L226" s="111"/>
      <c r="M226" s="127"/>
      <c r="N226" s="270"/>
      <c r="O226" s="111"/>
      <c r="P226" s="111"/>
      <c r="Q226" s="128"/>
      <c r="R226" s="124"/>
      <c r="S226" s="125"/>
      <c r="T226" s="126"/>
      <c r="U226" s="126"/>
      <c r="V226" s="126"/>
      <c r="W226" s="126"/>
      <c r="X226" s="126"/>
      <c r="Y226" s="126"/>
      <c r="Z226" s="127"/>
      <c r="AA226" s="127"/>
      <c r="AB226" s="127"/>
      <c r="AC226" s="127"/>
      <c r="AD226" s="261"/>
      <c r="AE226" s="261"/>
      <c r="AF226" s="261"/>
      <c r="AG226" s="261"/>
    </row>
    <row r="227" ht="34.5" hidden="1" customHeight="1">
      <c r="A227" s="111"/>
      <c r="B227" s="127"/>
      <c r="C227" s="111"/>
      <c r="D227" s="111"/>
      <c r="E227" s="111"/>
      <c r="F227" s="111"/>
      <c r="G227" s="111"/>
      <c r="H227" s="111"/>
      <c r="I227" s="127"/>
      <c r="J227" s="111"/>
      <c r="K227" s="257"/>
      <c r="L227" s="111"/>
      <c r="M227" s="127"/>
      <c r="N227" s="270"/>
      <c r="O227" s="111"/>
      <c r="P227" s="111"/>
      <c r="Q227" s="128"/>
      <c r="R227" s="124"/>
      <c r="S227" s="125"/>
      <c r="T227" s="126"/>
      <c r="U227" s="126"/>
      <c r="V227" s="126"/>
      <c r="W227" s="126"/>
      <c r="X227" s="126"/>
      <c r="Y227" s="126"/>
      <c r="Z227" s="127"/>
      <c r="AA227" s="127"/>
      <c r="AB227" s="127"/>
      <c r="AC227" s="127"/>
      <c r="AD227" s="261"/>
      <c r="AE227" s="261"/>
      <c r="AF227" s="261"/>
      <c r="AG227" s="261"/>
    </row>
    <row r="228" ht="34.5" hidden="1" customHeight="1">
      <c r="A228" s="111"/>
      <c r="B228" s="127"/>
      <c r="C228" s="111"/>
      <c r="D228" s="111"/>
      <c r="E228" s="111"/>
      <c r="F228" s="111"/>
      <c r="G228" s="111"/>
      <c r="H228" s="111"/>
      <c r="I228" s="127"/>
      <c r="J228" s="111"/>
      <c r="K228" s="257"/>
      <c r="L228" s="111"/>
      <c r="M228" s="127"/>
      <c r="N228" s="270"/>
      <c r="O228" s="111"/>
      <c r="P228" s="111"/>
      <c r="Q228" s="128"/>
      <c r="R228" s="124"/>
      <c r="S228" s="125"/>
      <c r="T228" s="126"/>
      <c r="U228" s="126"/>
      <c r="V228" s="126"/>
      <c r="W228" s="126"/>
      <c r="X228" s="126"/>
      <c r="Y228" s="126"/>
      <c r="Z228" s="127"/>
      <c r="AA228" s="127"/>
      <c r="AB228" s="127"/>
      <c r="AC228" s="127"/>
      <c r="AD228" s="261"/>
      <c r="AE228" s="261"/>
      <c r="AF228" s="261"/>
      <c r="AG228" s="261"/>
    </row>
    <row r="229" ht="34.5" hidden="1" customHeight="1">
      <c r="A229" s="111"/>
      <c r="B229" s="127"/>
      <c r="C229" s="111"/>
      <c r="D229" s="111"/>
      <c r="E229" s="111"/>
      <c r="F229" s="111"/>
      <c r="G229" s="111"/>
      <c r="H229" s="111"/>
      <c r="I229" s="127"/>
      <c r="J229" s="111"/>
      <c r="K229" s="257"/>
      <c r="L229" s="111"/>
      <c r="M229" s="127"/>
      <c r="N229" s="270"/>
      <c r="O229" s="111"/>
      <c r="P229" s="111"/>
      <c r="Q229" s="128"/>
      <c r="R229" s="124"/>
      <c r="S229" s="125"/>
      <c r="T229" s="126"/>
      <c r="U229" s="126"/>
      <c r="V229" s="126"/>
      <c r="W229" s="126"/>
      <c r="X229" s="126"/>
      <c r="Y229" s="126"/>
      <c r="Z229" s="127"/>
      <c r="AA229" s="127"/>
      <c r="AB229" s="127"/>
      <c r="AC229" s="127"/>
      <c r="AD229" s="261"/>
      <c r="AE229" s="261"/>
      <c r="AF229" s="261"/>
      <c r="AG229" s="261"/>
    </row>
    <row r="230" ht="34.5" hidden="1" customHeight="1">
      <c r="A230" s="111"/>
      <c r="B230" s="127"/>
      <c r="C230" s="111"/>
      <c r="D230" s="111"/>
      <c r="E230" s="111"/>
      <c r="F230" s="111"/>
      <c r="G230" s="111"/>
      <c r="H230" s="111"/>
      <c r="I230" s="127"/>
      <c r="J230" s="111"/>
      <c r="K230" s="257"/>
      <c r="L230" s="111"/>
      <c r="M230" s="127"/>
      <c r="N230" s="270"/>
      <c r="O230" s="111"/>
      <c r="P230" s="111"/>
      <c r="Q230" s="128"/>
      <c r="R230" s="124"/>
      <c r="S230" s="125"/>
      <c r="T230" s="126"/>
      <c r="U230" s="126"/>
      <c r="V230" s="126"/>
      <c r="W230" s="126"/>
      <c r="X230" s="126"/>
      <c r="Y230" s="126"/>
      <c r="Z230" s="127"/>
      <c r="AA230" s="127"/>
      <c r="AB230" s="127"/>
      <c r="AC230" s="127"/>
      <c r="AD230" s="261"/>
      <c r="AE230" s="261"/>
      <c r="AF230" s="261"/>
      <c r="AG230" s="261"/>
    </row>
    <row r="231" ht="34.5" hidden="1" customHeight="1">
      <c r="A231" s="111"/>
      <c r="B231" s="127"/>
      <c r="C231" s="111"/>
      <c r="D231" s="111"/>
      <c r="E231" s="111"/>
      <c r="F231" s="111"/>
      <c r="G231" s="111"/>
      <c r="H231" s="111"/>
      <c r="I231" s="127"/>
      <c r="J231" s="111"/>
      <c r="K231" s="257"/>
      <c r="L231" s="111"/>
      <c r="M231" s="127"/>
      <c r="N231" s="270"/>
      <c r="O231" s="111"/>
      <c r="P231" s="111"/>
      <c r="Q231" s="128"/>
      <c r="R231" s="124"/>
      <c r="S231" s="125"/>
      <c r="T231" s="126"/>
      <c r="U231" s="126"/>
      <c r="V231" s="126"/>
      <c r="W231" s="126"/>
      <c r="X231" s="126"/>
      <c r="Y231" s="126"/>
      <c r="Z231" s="127"/>
      <c r="AA231" s="127"/>
      <c r="AB231" s="127"/>
      <c r="AC231" s="127"/>
      <c r="AD231" s="261"/>
      <c r="AE231" s="261"/>
      <c r="AF231" s="261"/>
      <c r="AG231" s="261"/>
    </row>
    <row r="232" ht="34.5" hidden="1" customHeight="1">
      <c r="A232" s="111"/>
      <c r="B232" s="127"/>
      <c r="C232" s="111"/>
      <c r="D232" s="111"/>
      <c r="E232" s="111"/>
      <c r="F232" s="111"/>
      <c r="G232" s="111"/>
      <c r="H232" s="111"/>
      <c r="I232" s="127"/>
      <c r="J232" s="111"/>
      <c r="K232" s="257"/>
      <c r="L232" s="111"/>
      <c r="M232" s="127"/>
      <c r="N232" s="270"/>
      <c r="O232" s="111"/>
      <c r="P232" s="111"/>
      <c r="Q232" s="128"/>
      <c r="R232" s="124"/>
      <c r="S232" s="125"/>
      <c r="T232" s="126"/>
      <c r="U232" s="126"/>
      <c r="V232" s="126"/>
      <c r="W232" s="126"/>
      <c r="X232" s="126"/>
      <c r="Y232" s="126"/>
      <c r="Z232" s="127"/>
      <c r="AA232" s="127"/>
      <c r="AB232" s="127"/>
      <c r="AC232" s="127"/>
      <c r="AD232" s="261"/>
      <c r="AE232" s="261"/>
      <c r="AF232" s="261"/>
      <c r="AG232" s="261"/>
    </row>
    <row r="233" ht="34.5" hidden="1" customHeight="1">
      <c r="A233" s="111"/>
      <c r="B233" s="127"/>
      <c r="C233" s="111"/>
      <c r="D233" s="111"/>
      <c r="E233" s="111"/>
      <c r="F233" s="111"/>
      <c r="G233" s="111"/>
      <c r="H233" s="111"/>
      <c r="I233" s="127"/>
      <c r="J233" s="111"/>
      <c r="K233" s="257"/>
      <c r="L233" s="111"/>
      <c r="M233" s="127"/>
      <c r="N233" s="270"/>
      <c r="O233" s="111"/>
      <c r="P233" s="111"/>
      <c r="Q233" s="128"/>
      <c r="R233" s="124"/>
      <c r="S233" s="125"/>
      <c r="T233" s="126"/>
      <c r="U233" s="126"/>
      <c r="V233" s="126"/>
      <c r="W233" s="126"/>
      <c r="X233" s="126"/>
      <c r="Y233" s="126"/>
      <c r="Z233" s="127"/>
      <c r="AA233" s="127"/>
      <c r="AB233" s="127"/>
      <c r="AC233" s="127"/>
      <c r="AD233" s="261"/>
      <c r="AE233" s="261"/>
      <c r="AF233" s="261"/>
      <c r="AG233" s="261"/>
    </row>
    <row r="234" ht="34.5" hidden="1" customHeight="1">
      <c r="A234" s="111"/>
      <c r="B234" s="127"/>
      <c r="C234" s="111"/>
      <c r="D234" s="111"/>
      <c r="E234" s="111"/>
      <c r="F234" s="111"/>
      <c r="G234" s="111"/>
      <c r="H234" s="111"/>
      <c r="I234" s="127"/>
      <c r="J234" s="111"/>
      <c r="K234" s="257"/>
      <c r="L234" s="111"/>
      <c r="M234" s="127"/>
      <c r="N234" s="270"/>
      <c r="O234" s="111"/>
      <c r="P234" s="111"/>
      <c r="Q234" s="128"/>
      <c r="R234" s="124"/>
      <c r="S234" s="125"/>
      <c r="T234" s="126"/>
      <c r="U234" s="126"/>
      <c r="V234" s="126"/>
      <c r="W234" s="126"/>
      <c r="X234" s="126"/>
      <c r="Y234" s="126"/>
      <c r="Z234" s="127"/>
      <c r="AA234" s="127"/>
      <c r="AB234" s="127"/>
      <c r="AC234" s="127"/>
      <c r="AD234" s="261"/>
      <c r="AE234" s="261"/>
      <c r="AF234" s="261"/>
      <c r="AG234" s="261"/>
    </row>
    <row r="235" ht="34.5" hidden="1" customHeight="1">
      <c r="A235" s="111"/>
      <c r="B235" s="127"/>
      <c r="C235" s="111"/>
      <c r="D235" s="111"/>
      <c r="E235" s="111"/>
      <c r="F235" s="111"/>
      <c r="G235" s="111"/>
      <c r="H235" s="111"/>
      <c r="I235" s="127"/>
      <c r="J235" s="111"/>
      <c r="K235" s="257"/>
      <c r="L235" s="111"/>
      <c r="M235" s="127"/>
      <c r="N235" s="270"/>
      <c r="O235" s="111"/>
      <c r="P235" s="111"/>
      <c r="Q235" s="128"/>
      <c r="R235" s="124"/>
      <c r="S235" s="125"/>
      <c r="T235" s="126"/>
      <c r="U235" s="126"/>
      <c r="V235" s="126"/>
      <c r="W235" s="126"/>
      <c r="X235" s="126"/>
      <c r="Y235" s="126"/>
      <c r="Z235" s="127"/>
      <c r="AA235" s="127"/>
      <c r="AB235" s="127"/>
      <c r="AC235" s="127"/>
      <c r="AD235" s="261"/>
      <c r="AE235" s="261"/>
      <c r="AF235" s="261"/>
      <c r="AG235" s="261"/>
    </row>
    <row r="236" ht="34.5" hidden="1" customHeight="1">
      <c r="A236" s="111"/>
      <c r="B236" s="127"/>
      <c r="C236" s="111"/>
      <c r="D236" s="111"/>
      <c r="E236" s="111"/>
      <c r="F236" s="111"/>
      <c r="G236" s="111"/>
      <c r="H236" s="111"/>
      <c r="I236" s="127"/>
      <c r="J236" s="111"/>
      <c r="K236" s="257"/>
      <c r="L236" s="111"/>
      <c r="M236" s="127"/>
      <c r="N236" s="270"/>
      <c r="O236" s="111"/>
      <c r="P236" s="111"/>
      <c r="Q236" s="128"/>
      <c r="R236" s="124"/>
      <c r="S236" s="125"/>
      <c r="T236" s="126"/>
      <c r="U236" s="126"/>
      <c r="V236" s="126"/>
      <c r="W236" s="126"/>
      <c r="X236" s="126"/>
      <c r="Y236" s="126"/>
      <c r="Z236" s="127"/>
      <c r="AA236" s="127"/>
      <c r="AB236" s="127"/>
      <c r="AC236" s="127"/>
      <c r="AD236" s="261"/>
      <c r="AE236" s="261"/>
      <c r="AF236" s="261"/>
      <c r="AG236" s="261"/>
    </row>
    <row r="237" ht="34.5" hidden="1" customHeight="1">
      <c r="A237" s="111"/>
      <c r="B237" s="127"/>
      <c r="C237" s="111"/>
      <c r="D237" s="111"/>
      <c r="E237" s="111"/>
      <c r="F237" s="111"/>
      <c r="G237" s="111"/>
      <c r="H237" s="111"/>
      <c r="I237" s="127"/>
      <c r="J237" s="111"/>
      <c r="K237" s="257"/>
      <c r="L237" s="111"/>
      <c r="M237" s="127"/>
      <c r="N237" s="270"/>
      <c r="O237" s="111"/>
      <c r="P237" s="111"/>
      <c r="Q237" s="128"/>
      <c r="R237" s="124"/>
      <c r="S237" s="125"/>
      <c r="T237" s="126"/>
      <c r="U237" s="126"/>
      <c r="V237" s="126"/>
      <c r="W237" s="126"/>
      <c r="X237" s="126"/>
      <c r="Y237" s="126"/>
      <c r="Z237" s="127"/>
      <c r="AA237" s="127"/>
      <c r="AB237" s="127"/>
      <c r="AC237" s="127"/>
      <c r="AD237" s="261"/>
      <c r="AE237" s="261"/>
      <c r="AF237" s="261"/>
      <c r="AG237" s="261"/>
    </row>
    <row r="238" ht="34.5" hidden="1" customHeight="1">
      <c r="A238" s="111"/>
      <c r="B238" s="127"/>
      <c r="C238" s="111"/>
      <c r="D238" s="111"/>
      <c r="E238" s="111"/>
      <c r="F238" s="111"/>
      <c r="G238" s="111"/>
      <c r="H238" s="111"/>
      <c r="I238" s="127"/>
      <c r="J238" s="111"/>
      <c r="K238" s="257"/>
      <c r="L238" s="111"/>
      <c r="M238" s="127"/>
      <c r="N238" s="270"/>
      <c r="O238" s="111"/>
      <c r="P238" s="111"/>
      <c r="Q238" s="128"/>
      <c r="R238" s="124"/>
      <c r="S238" s="125"/>
      <c r="T238" s="126"/>
      <c r="U238" s="126"/>
      <c r="V238" s="126"/>
      <c r="W238" s="126"/>
      <c r="X238" s="126"/>
      <c r="Y238" s="126"/>
      <c r="Z238" s="127"/>
      <c r="AA238" s="127"/>
      <c r="AB238" s="127"/>
      <c r="AC238" s="127"/>
      <c r="AD238" s="261"/>
      <c r="AE238" s="261"/>
      <c r="AF238" s="261"/>
      <c r="AG238" s="261"/>
    </row>
    <row r="239" ht="34.5" hidden="1" customHeight="1">
      <c r="A239" s="111"/>
      <c r="B239" s="127"/>
      <c r="C239" s="111"/>
      <c r="D239" s="111"/>
      <c r="E239" s="111"/>
      <c r="F239" s="111"/>
      <c r="G239" s="111"/>
      <c r="H239" s="111"/>
      <c r="I239" s="127"/>
      <c r="J239" s="111"/>
      <c r="K239" s="257"/>
      <c r="L239" s="111"/>
      <c r="M239" s="127"/>
      <c r="N239" s="270"/>
      <c r="O239" s="111"/>
      <c r="P239" s="111"/>
      <c r="Q239" s="128"/>
      <c r="R239" s="124"/>
      <c r="S239" s="125"/>
      <c r="T239" s="126"/>
      <c r="U239" s="126"/>
      <c r="V239" s="126"/>
      <c r="W239" s="126"/>
      <c r="X239" s="126"/>
      <c r="Y239" s="126"/>
      <c r="Z239" s="127"/>
      <c r="AA239" s="127"/>
      <c r="AB239" s="127"/>
      <c r="AC239" s="127"/>
      <c r="AD239" s="261"/>
      <c r="AE239" s="261"/>
      <c r="AF239" s="261"/>
      <c r="AG239" s="261"/>
    </row>
    <row r="240" ht="34.5" hidden="1" customHeight="1">
      <c r="A240" s="111"/>
      <c r="B240" s="127"/>
      <c r="C240" s="111"/>
      <c r="D240" s="111"/>
      <c r="E240" s="111"/>
      <c r="F240" s="111"/>
      <c r="G240" s="111"/>
      <c r="H240" s="111"/>
      <c r="I240" s="127"/>
      <c r="J240" s="111"/>
      <c r="K240" s="257"/>
      <c r="L240" s="111"/>
      <c r="M240" s="127"/>
      <c r="N240" s="270"/>
      <c r="O240" s="111"/>
      <c r="P240" s="111"/>
      <c r="Q240" s="128"/>
      <c r="R240" s="124"/>
      <c r="S240" s="125"/>
      <c r="T240" s="126"/>
      <c r="U240" s="126"/>
      <c r="V240" s="126"/>
      <c r="W240" s="126"/>
      <c r="X240" s="126"/>
      <c r="Y240" s="126"/>
      <c r="Z240" s="127"/>
      <c r="AA240" s="127"/>
      <c r="AB240" s="127"/>
      <c r="AC240" s="127"/>
      <c r="AD240" s="261"/>
      <c r="AE240" s="261"/>
      <c r="AF240" s="261"/>
      <c r="AG240" s="261"/>
    </row>
    <row r="241" ht="34.5" hidden="1" customHeight="1">
      <c r="A241" s="111"/>
      <c r="B241" s="127"/>
      <c r="C241" s="111"/>
      <c r="D241" s="111"/>
      <c r="E241" s="111"/>
      <c r="F241" s="111"/>
      <c r="G241" s="111"/>
      <c r="H241" s="111"/>
      <c r="I241" s="127"/>
      <c r="J241" s="111"/>
      <c r="K241" s="257"/>
      <c r="L241" s="111"/>
      <c r="M241" s="127"/>
      <c r="N241" s="270"/>
      <c r="O241" s="111"/>
      <c r="P241" s="111"/>
      <c r="Q241" s="128"/>
      <c r="R241" s="124"/>
      <c r="S241" s="125"/>
      <c r="T241" s="126"/>
      <c r="U241" s="126"/>
      <c r="V241" s="126"/>
      <c r="W241" s="126"/>
      <c r="X241" s="126"/>
      <c r="Y241" s="126"/>
      <c r="Z241" s="127"/>
      <c r="AA241" s="127"/>
      <c r="AB241" s="127"/>
      <c r="AC241" s="127"/>
      <c r="AD241" s="261"/>
      <c r="AE241" s="261"/>
      <c r="AF241" s="261"/>
      <c r="AG241" s="261"/>
    </row>
    <row r="242" ht="34.5" hidden="1" customHeight="1">
      <c r="A242" s="111"/>
      <c r="B242" s="127"/>
      <c r="C242" s="111"/>
      <c r="D242" s="111"/>
      <c r="E242" s="111"/>
      <c r="F242" s="111"/>
      <c r="G242" s="111"/>
      <c r="H242" s="111"/>
      <c r="I242" s="127"/>
      <c r="J242" s="111"/>
      <c r="K242" s="257"/>
      <c r="L242" s="111"/>
      <c r="M242" s="127"/>
      <c r="N242" s="270"/>
      <c r="O242" s="111"/>
      <c r="P242" s="111"/>
      <c r="Q242" s="128"/>
      <c r="R242" s="124"/>
      <c r="S242" s="125"/>
      <c r="T242" s="126"/>
      <c r="U242" s="126"/>
      <c r="V242" s="126"/>
      <c r="W242" s="126"/>
      <c r="X242" s="126"/>
      <c r="Y242" s="126"/>
      <c r="Z242" s="127"/>
      <c r="AA242" s="127"/>
      <c r="AB242" s="127"/>
      <c r="AC242" s="127"/>
      <c r="AD242" s="261"/>
      <c r="AE242" s="261"/>
      <c r="AF242" s="261"/>
      <c r="AG242" s="261"/>
    </row>
    <row r="243" ht="34.5" hidden="1" customHeight="1">
      <c r="A243" s="111"/>
      <c r="B243" s="127"/>
      <c r="C243" s="111"/>
      <c r="D243" s="111"/>
      <c r="E243" s="111"/>
      <c r="F243" s="111"/>
      <c r="G243" s="111"/>
      <c r="H243" s="111"/>
      <c r="I243" s="127"/>
      <c r="J243" s="111"/>
      <c r="K243" s="257"/>
      <c r="L243" s="111"/>
      <c r="M243" s="127"/>
      <c r="N243" s="270"/>
      <c r="O243" s="111"/>
      <c r="P243" s="111"/>
      <c r="Q243" s="128"/>
      <c r="R243" s="124"/>
      <c r="S243" s="125"/>
      <c r="T243" s="126"/>
      <c r="U243" s="126"/>
      <c r="V243" s="126"/>
      <c r="W243" s="126"/>
      <c r="X243" s="126"/>
      <c r="Y243" s="126"/>
      <c r="Z243" s="127"/>
      <c r="AA243" s="127"/>
      <c r="AB243" s="127"/>
      <c r="AC243" s="127"/>
      <c r="AD243" s="261"/>
      <c r="AE243" s="261"/>
      <c r="AF243" s="261"/>
      <c r="AG243" s="261"/>
    </row>
    <row r="244" ht="34.5" hidden="1" customHeight="1">
      <c r="A244" s="111"/>
      <c r="B244" s="127"/>
      <c r="C244" s="111"/>
      <c r="D244" s="111"/>
      <c r="E244" s="111"/>
      <c r="F244" s="111"/>
      <c r="G244" s="111"/>
      <c r="H244" s="111"/>
      <c r="I244" s="127"/>
      <c r="J244" s="111"/>
      <c r="K244" s="257"/>
      <c r="L244" s="111"/>
      <c r="M244" s="127"/>
      <c r="N244" s="270"/>
      <c r="O244" s="111"/>
      <c r="P244" s="111"/>
      <c r="Q244" s="128"/>
      <c r="R244" s="124"/>
      <c r="S244" s="125"/>
      <c r="T244" s="126"/>
      <c r="U244" s="126"/>
      <c r="V244" s="126"/>
      <c r="W244" s="126"/>
      <c r="X244" s="126"/>
      <c r="Y244" s="126"/>
      <c r="Z244" s="127"/>
      <c r="AA244" s="127"/>
      <c r="AB244" s="127"/>
      <c r="AC244" s="127"/>
      <c r="AD244" s="261"/>
      <c r="AE244" s="261"/>
      <c r="AF244" s="261"/>
      <c r="AG244" s="261"/>
    </row>
    <row r="245" ht="34.5" hidden="1" customHeight="1">
      <c r="A245" s="111"/>
      <c r="B245" s="127"/>
      <c r="C245" s="111"/>
      <c r="D245" s="111"/>
      <c r="E245" s="111"/>
      <c r="F245" s="111"/>
      <c r="G245" s="111"/>
      <c r="H245" s="111"/>
      <c r="I245" s="127"/>
      <c r="J245" s="111"/>
      <c r="K245" s="257"/>
      <c r="L245" s="111"/>
      <c r="M245" s="127"/>
      <c r="N245" s="270"/>
      <c r="O245" s="111"/>
      <c r="P245" s="111"/>
      <c r="Q245" s="128"/>
      <c r="R245" s="124"/>
      <c r="S245" s="125"/>
      <c r="T245" s="126"/>
      <c r="U245" s="126"/>
      <c r="V245" s="126"/>
      <c r="W245" s="126"/>
      <c r="X245" s="126"/>
      <c r="Y245" s="126"/>
      <c r="Z245" s="127"/>
      <c r="AA245" s="127"/>
      <c r="AB245" s="127"/>
      <c r="AC245" s="127"/>
      <c r="AD245" s="261"/>
      <c r="AE245" s="261"/>
      <c r="AF245" s="261"/>
      <c r="AG245" s="261"/>
    </row>
    <row r="246" ht="34.5" hidden="1" customHeight="1">
      <c r="A246" s="111"/>
      <c r="B246" s="127"/>
      <c r="C246" s="111"/>
      <c r="D246" s="111"/>
      <c r="E246" s="111"/>
      <c r="F246" s="111"/>
      <c r="G246" s="111"/>
      <c r="H246" s="111"/>
      <c r="I246" s="127"/>
      <c r="J246" s="111"/>
      <c r="K246" s="257"/>
      <c r="L246" s="111"/>
      <c r="M246" s="127"/>
      <c r="N246" s="270"/>
      <c r="O246" s="111"/>
      <c r="P246" s="111"/>
      <c r="Q246" s="128"/>
      <c r="R246" s="124"/>
      <c r="S246" s="125"/>
      <c r="T246" s="126"/>
      <c r="U246" s="126"/>
      <c r="V246" s="126"/>
      <c r="W246" s="126"/>
      <c r="X246" s="126"/>
      <c r="Y246" s="126"/>
      <c r="Z246" s="127"/>
      <c r="AA246" s="127"/>
      <c r="AB246" s="127"/>
      <c r="AC246" s="127"/>
      <c r="AD246" s="261"/>
      <c r="AE246" s="261"/>
      <c r="AF246" s="261"/>
      <c r="AG246" s="261"/>
    </row>
    <row r="247" ht="34.5" hidden="1" customHeight="1">
      <c r="A247" s="111"/>
      <c r="B247" s="127"/>
      <c r="C247" s="111"/>
      <c r="D247" s="111"/>
      <c r="E247" s="111"/>
      <c r="F247" s="111"/>
      <c r="G247" s="111"/>
      <c r="H247" s="111"/>
      <c r="I247" s="127"/>
      <c r="J247" s="111"/>
      <c r="K247" s="257"/>
      <c r="L247" s="111"/>
      <c r="M247" s="127"/>
      <c r="N247" s="270"/>
      <c r="O247" s="111"/>
      <c r="P247" s="111"/>
      <c r="Q247" s="128"/>
      <c r="R247" s="124"/>
      <c r="S247" s="125"/>
      <c r="T247" s="126"/>
      <c r="U247" s="126"/>
      <c r="V247" s="126"/>
      <c r="W247" s="126"/>
      <c r="X247" s="126"/>
      <c r="Y247" s="126"/>
      <c r="Z247" s="127"/>
      <c r="AA247" s="127"/>
      <c r="AB247" s="127"/>
      <c r="AC247" s="127"/>
      <c r="AD247" s="261"/>
      <c r="AE247" s="261"/>
      <c r="AF247" s="261"/>
      <c r="AG247" s="261"/>
    </row>
    <row r="248" ht="34.5" hidden="1" customHeight="1">
      <c r="A248" s="111"/>
      <c r="B248" s="127"/>
      <c r="C248" s="111"/>
      <c r="D248" s="111"/>
      <c r="E248" s="111"/>
      <c r="F248" s="111"/>
      <c r="G248" s="111"/>
      <c r="H248" s="111"/>
      <c r="I248" s="127"/>
      <c r="J248" s="111"/>
      <c r="K248" s="257"/>
      <c r="L248" s="111"/>
      <c r="M248" s="127"/>
      <c r="N248" s="270"/>
      <c r="O248" s="111"/>
      <c r="P248" s="111"/>
      <c r="Q248" s="128"/>
      <c r="R248" s="124"/>
      <c r="S248" s="125"/>
      <c r="T248" s="126"/>
      <c r="U248" s="126"/>
      <c r="V248" s="126"/>
      <c r="W248" s="126"/>
      <c r="X248" s="126"/>
      <c r="Y248" s="126"/>
      <c r="Z248" s="127"/>
      <c r="AA248" s="127"/>
      <c r="AB248" s="127"/>
      <c r="AC248" s="127"/>
      <c r="AD248" s="261"/>
      <c r="AE248" s="261"/>
      <c r="AF248" s="261"/>
      <c r="AG248" s="261"/>
    </row>
    <row r="249" ht="34.5" hidden="1" customHeight="1">
      <c r="A249" s="111"/>
      <c r="B249" s="127"/>
      <c r="C249" s="111"/>
      <c r="D249" s="111"/>
      <c r="E249" s="111"/>
      <c r="F249" s="111"/>
      <c r="G249" s="111"/>
      <c r="H249" s="111"/>
      <c r="I249" s="127"/>
      <c r="J249" s="111"/>
      <c r="K249" s="257"/>
      <c r="L249" s="111"/>
      <c r="M249" s="127"/>
      <c r="N249" s="270"/>
      <c r="O249" s="111"/>
      <c r="P249" s="111"/>
      <c r="Q249" s="128"/>
      <c r="R249" s="124"/>
      <c r="S249" s="125"/>
      <c r="T249" s="126"/>
      <c r="U249" s="126"/>
      <c r="V249" s="126"/>
      <c r="W249" s="126"/>
      <c r="X249" s="126"/>
      <c r="Y249" s="126"/>
      <c r="Z249" s="127"/>
      <c r="AA249" s="127"/>
      <c r="AB249" s="127"/>
      <c r="AC249" s="127"/>
      <c r="AD249" s="261"/>
      <c r="AE249" s="261"/>
      <c r="AF249" s="261"/>
      <c r="AG249" s="261"/>
    </row>
    <row r="250" ht="34.5" hidden="1" customHeight="1">
      <c r="A250" s="111"/>
      <c r="B250" s="127"/>
      <c r="C250" s="111"/>
      <c r="D250" s="111"/>
      <c r="E250" s="111"/>
      <c r="F250" s="111"/>
      <c r="G250" s="111"/>
      <c r="H250" s="111"/>
      <c r="I250" s="127"/>
      <c r="J250" s="111"/>
      <c r="K250" s="257"/>
      <c r="L250" s="111"/>
      <c r="M250" s="127"/>
      <c r="N250" s="270"/>
      <c r="O250" s="111"/>
      <c r="P250" s="111"/>
      <c r="Q250" s="128"/>
      <c r="R250" s="124"/>
      <c r="S250" s="125"/>
      <c r="T250" s="126"/>
      <c r="U250" s="126"/>
      <c r="V250" s="126"/>
      <c r="W250" s="126"/>
      <c r="X250" s="126"/>
      <c r="Y250" s="126"/>
      <c r="Z250" s="127"/>
      <c r="AA250" s="127"/>
      <c r="AB250" s="127"/>
      <c r="AC250" s="127"/>
      <c r="AD250" s="261"/>
      <c r="AE250" s="261"/>
      <c r="AF250" s="261"/>
      <c r="AG250" s="261"/>
    </row>
    <row r="251" ht="34.5" hidden="1" customHeight="1">
      <c r="A251" s="111"/>
      <c r="B251" s="127"/>
      <c r="C251" s="111"/>
      <c r="D251" s="111"/>
      <c r="E251" s="111"/>
      <c r="F251" s="111"/>
      <c r="G251" s="111"/>
      <c r="H251" s="111"/>
      <c r="I251" s="127"/>
      <c r="J251" s="111"/>
      <c r="K251" s="257"/>
      <c r="L251" s="111"/>
      <c r="M251" s="127"/>
      <c r="N251" s="270"/>
      <c r="O251" s="111"/>
      <c r="P251" s="111"/>
      <c r="Q251" s="128"/>
      <c r="R251" s="124"/>
      <c r="S251" s="125"/>
      <c r="T251" s="126"/>
      <c r="U251" s="126"/>
      <c r="V251" s="126"/>
      <c r="W251" s="126"/>
      <c r="X251" s="126"/>
      <c r="Y251" s="126"/>
      <c r="Z251" s="127"/>
      <c r="AA251" s="127"/>
      <c r="AB251" s="127"/>
      <c r="AC251" s="127"/>
      <c r="AD251" s="261"/>
      <c r="AE251" s="261"/>
      <c r="AF251" s="261"/>
      <c r="AG251" s="261"/>
    </row>
    <row r="252" ht="34.5" hidden="1" customHeight="1">
      <c r="A252" s="111"/>
      <c r="B252" s="127"/>
      <c r="C252" s="111"/>
      <c r="D252" s="111"/>
      <c r="E252" s="111"/>
      <c r="F252" s="111"/>
      <c r="G252" s="111"/>
      <c r="H252" s="111"/>
      <c r="I252" s="127"/>
      <c r="J252" s="111"/>
      <c r="K252" s="257"/>
      <c r="L252" s="111"/>
      <c r="M252" s="127"/>
      <c r="N252" s="270"/>
      <c r="O252" s="111"/>
      <c r="P252" s="111"/>
      <c r="Q252" s="128"/>
      <c r="R252" s="124"/>
      <c r="S252" s="125"/>
      <c r="T252" s="126"/>
      <c r="U252" s="126"/>
      <c r="V252" s="126"/>
      <c r="W252" s="126"/>
      <c r="X252" s="126"/>
      <c r="Y252" s="126"/>
      <c r="Z252" s="127"/>
      <c r="AA252" s="127"/>
      <c r="AB252" s="127"/>
      <c r="AC252" s="127"/>
      <c r="AD252" s="261"/>
      <c r="AE252" s="261"/>
      <c r="AF252" s="261"/>
      <c r="AG252" s="261"/>
    </row>
    <row r="253" ht="34.5" hidden="1" customHeight="1">
      <c r="A253" s="111"/>
      <c r="B253" s="127"/>
      <c r="C253" s="111"/>
      <c r="D253" s="111"/>
      <c r="E253" s="111"/>
      <c r="F253" s="111"/>
      <c r="G253" s="111"/>
      <c r="H253" s="111"/>
      <c r="I253" s="127"/>
      <c r="J253" s="111"/>
      <c r="K253" s="257"/>
      <c r="L253" s="111"/>
      <c r="M253" s="127"/>
      <c r="N253" s="270"/>
      <c r="O253" s="111"/>
      <c r="P253" s="111"/>
      <c r="Q253" s="128"/>
      <c r="R253" s="124"/>
      <c r="S253" s="125"/>
      <c r="T253" s="126"/>
      <c r="U253" s="126"/>
      <c r="V253" s="126"/>
      <c r="W253" s="126"/>
      <c r="X253" s="126"/>
      <c r="Y253" s="126"/>
      <c r="Z253" s="127"/>
      <c r="AA253" s="127"/>
      <c r="AB253" s="127"/>
      <c r="AC253" s="127"/>
      <c r="AD253" s="261"/>
      <c r="AE253" s="261"/>
      <c r="AF253" s="261"/>
      <c r="AG253" s="261"/>
    </row>
    <row r="254" ht="34.5" hidden="1" customHeight="1">
      <c r="A254" s="111"/>
      <c r="B254" s="127"/>
      <c r="C254" s="111"/>
      <c r="D254" s="111"/>
      <c r="E254" s="111"/>
      <c r="F254" s="111"/>
      <c r="G254" s="111"/>
      <c r="H254" s="111"/>
      <c r="I254" s="127"/>
      <c r="J254" s="111"/>
      <c r="K254" s="257"/>
      <c r="L254" s="111"/>
      <c r="M254" s="127"/>
      <c r="N254" s="270"/>
      <c r="O254" s="111"/>
      <c r="P254" s="111"/>
      <c r="Q254" s="128"/>
      <c r="R254" s="124"/>
      <c r="S254" s="125"/>
      <c r="T254" s="126"/>
      <c r="U254" s="126"/>
      <c r="V254" s="126"/>
      <c r="W254" s="126"/>
      <c r="X254" s="126"/>
      <c r="Y254" s="126"/>
      <c r="Z254" s="127"/>
      <c r="AA254" s="127"/>
      <c r="AB254" s="127"/>
      <c r="AC254" s="127"/>
      <c r="AD254" s="261"/>
      <c r="AE254" s="261"/>
      <c r="AF254" s="261"/>
      <c r="AG254" s="261"/>
    </row>
    <row r="255" ht="34.5" hidden="1" customHeight="1">
      <c r="A255" s="111"/>
      <c r="B255" s="127"/>
      <c r="C255" s="111"/>
      <c r="D255" s="111"/>
      <c r="E255" s="111"/>
      <c r="F255" s="111"/>
      <c r="G255" s="111"/>
      <c r="H255" s="111"/>
      <c r="I255" s="127"/>
      <c r="J255" s="111"/>
      <c r="K255" s="257"/>
      <c r="L255" s="111"/>
      <c r="M255" s="127"/>
      <c r="N255" s="270"/>
      <c r="O255" s="111"/>
      <c r="P255" s="111"/>
      <c r="Q255" s="128"/>
      <c r="R255" s="124"/>
      <c r="S255" s="125"/>
      <c r="T255" s="126"/>
      <c r="U255" s="126"/>
      <c r="V255" s="126"/>
      <c r="W255" s="126"/>
      <c r="X255" s="126"/>
      <c r="Y255" s="126"/>
      <c r="Z255" s="127"/>
      <c r="AA255" s="127"/>
      <c r="AB255" s="127"/>
      <c r="AC255" s="127"/>
      <c r="AD255" s="261"/>
      <c r="AE255" s="261"/>
      <c r="AF255" s="261"/>
      <c r="AG255" s="261"/>
    </row>
    <row r="256" ht="34.5" hidden="1" customHeight="1">
      <c r="A256" s="111"/>
      <c r="B256" s="127"/>
      <c r="C256" s="111"/>
      <c r="D256" s="111"/>
      <c r="E256" s="111"/>
      <c r="F256" s="111"/>
      <c r="G256" s="111"/>
      <c r="H256" s="111"/>
      <c r="I256" s="127"/>
      <c r="J256" s="111"/>
      <c r="K256" s="257"/>
      <c r="L256" s="111"/>
      <c r="M256" s="127"/>
      <c r="N256" s="270"/>
      <c r="O256" s="111"/>
      <c r="P256" s="111"/>
      <c r="Q256" s="128"/>
      <c r="R256" s="124"/>
      <c r="S256" s="125"/>
      <c r="T256" s="126"/>
      <c r="U256" s="126"/>
      <c r="V256" s="126"/>
      <c r="W256" s="126"/>
      <c r="X256" s="126"/>
      <c r="Y256" s="126"/>
      <c r="Z256" s="127"/>
      <c r="AA256" s="127"/>
      <c r="AB256" s="127"/>
      <c r="AC256" s="127"/>
      <c r="AD256" s="261"/>
      <c r="AE256" s="261"/>
      <c r="AF256" s="261"/>
      <c r="AG256" s="261"/>
    </row>
    <row r="257" ht="34.5" hidden="1" customHeight="1">
      <c r="A257" s="111"/>
      <c r="B257" s="127"/>
      <c r="C257" s="111"/>
      <c r="D257" s="111"/>
      <c r="E257" s="111"/>
      <c r="F257" s="111"/>
      <c r="G257" s="111"/>
      <c r="H257" s="111"/>
      <c r="I257" s="127"/>
      <c r="J257" s="111"/>
      <c r="K257" s="257"/>
      <c r="L257" s="111"/>
      <c r="M257" s="127"/>
      <c r="N257" s="270"/>
      <c r="O257" s="111"/>
      <c r="P257" s="111"/>
      <c r="Q257" s="128"/>
      <c r="R257" s="124"/>
      <c r="S257" s="125"/>
      <c r="T257" s="126"/>
      <c r="U257" s="126"/>
      <c r="V257" s="126"/>
      <c r="W257" s="126"/>
      <c r="X257" s="126"/>
      <c r="Y257" s="126"/>
      <c r="Z257" s="127"/>
      <c r="AA257" s="127"/>
      <c r="AB257" s="127"/>
      <c r="AC257" s="127"/>
      <c r="AD257" s="261"/>
      <c r="AE257" s="261"/>
      <c r="AF257" s="261"/>
      <c r="AG257" s="261"/>
    </row>
    <row r="258" ht="34.5" hidden="1" customHeight="1">
      <c r="A258" s="111"/>
      <c r="B258" s="127"/>
      <c r="C258" s="111"/>
      <c r="D258" s="111"/>
      <c r="E258" s="111"/>
      <c r="F258" s="111"/>
      <c r="G258" s="111"/>
      <c r="H258" s="111"/>
      <c r="I258" s="127"/>
      <c r="J258" s="111"/>
      <c r="K258" s="257"/>
      <c r="L258" s="111"/>
      <c r="M258" s="127"/>
      <c r="N258" s="270"/>
      <c r="O258" s="111"/>
      <c r="P258" s="111"/>
      <c r="Q258" s="128"/>
      <c r="R258" s="124"/>
      <c r="S258" s="125"/>
      <c r="T258" s="126"/>
      <c r="U258" s="126"/>
      <c r="V258" s="126"/>
      <c r="W258" s="126"/>
      <c r="X258" s="126"/>
      <c r="Y258" s="126"/>
      <c r="Z258" s="127"/>
      <c r="AA258" s="127"/>
      <c r="AB258" s="127"/>
      <c r="AC258" s="127"/>
      <c r="AD258" s="261"/>
      <c r="AE258" s="261"/>
      <c r="AF258" s="261"/>
      <c r="AG258" s="261"/>
    </row>
    <row r="259" ht="34.5" hidden="1" customHeight="1">
      <c r="A259" s="111"/>
      <c r="B259" s="127"/>
      <c r="C259" s="111"/>
      <c r="D259" s="111"/>
      <c r="E259" s="111"/>
      <c r="F259" s="111"/>
      <c r="G259" s="111"/>
      <c r="H259" s="111"/>
      <c r="I259" s="127"/>
      <c r="J259" s="111"/>
      <c r="K259" s="257"/>
      <c r="L259" s="111"/>
      <c r="M259" s="127"/>
      <c r="N259" s="270"/>
      <c r="O259" s="111"/>
      <c r="P259" s="111"/>
      <c r="Q259" s="128"/>
      <c r="R259" s="124"/>
      <c r="S259" s="125"/>
      <c r="T259" s="126"/>
      <c r="U259" s="126"/>
      <c r="V259" s="126"/>
      <c r="W259" s="126"/>
      <c r="X259" s="126"/>
      <c r="Y259" s="126"/>
      <c r="Z259" s="127"/>
      <c r="AA259" s="127"/>
      <c r="AB259" s="127"/>
      <c r="AC259" s="127"/>
      <c r="AD259" s="261"/>
      <c r="AE259" s="261"/>
      <c r="AF259" s="261"/>
      <c r="AG259" s="261"/>
    </row>
    <row r="260" ht="34.5" hidden="1" customHeight="1">
      <c r="A260" s="111"/>
      <c r="B260" s="127"/>
      <c r="C260" s="111"/>
      <c r="D260" s="111"/>
      <c r="E260" s="111"/>
      <c r="F260" s="111"/>
      <c r="G260" s="111"/>
      <c r="H260" s="111"/>
      <c r="I260" s="127"/>
      <c r="J260" s="111"/>
      <c r="K260" s="257"/>
      <c r="L260" s="111"/>
      <c r="M260" s="127"/>
      <c r="N260" s="270"/>
      <c r="O260" s="111"/>
      <c r="P260" s="111"/>
      <c r="Q260" s="128"/>
      <c r="R260" s="124"/>
      <c r="S260" s="125"/>
      <c r="T260" s="126"/>
      <c r="U260" s="126"/>
      <c r="V260" s="126"/>
      <c r="W260" s="126"/>
      <c r="X260" s="126"/>
      <c r="Y260" s="126"/>
      <c r="Z260" s="127"/>
      <c r="AA260" s="127"/>
      <c r="AB260" s="127"/>
      <c r="AC260" s="127"/>
      <c r="AD260" s="261"/>
      <c r="AE260" s="261"/>
      <c r="AF260" s="261"/>
      <c r="AG260" s="261"/>
    </row>
    <row r="261" ht="34.5" hidden="1" customHeight="1">
      <c r="A261" s="111"/>
      <c r="B261" s="127"/>
      <c r="C261" s="111"/>
      <c r="D261" s="111"/>
      <c r="E261" s="111"/>
      <c r="F261" s="111"/>
      <c r="G261" s="111"/>
      <c r="H261" s="111"/>
      <c r="I261" s="127"/>
      <c r="J261" s="111"/>
      <c r="K261" s="257"/>
      <c r="L261" s="111"/>
      <c r="M261" s="127"/>
      <c r="N261" s="270"/>
      <c r="O261" s="111"/>
      <c r="P261" s="111"/>
      <c r="Q261" s="128"/>
      <c r="R261" s="124"/>
      <c r="S261" s="125"/>
      <c r="T261" s="126"/>
      <c r="U261" s="126"/>
      <c r="V261" s="126"/>
      <c r="W261" s="126"/>
      <c r="X261" s="126"/>
      <c r="Y261" s="126"/>
      <c r="Z261" s="127"/>
      <c r="AA261" s="127"/>
      <c r="AB261" s="127"/>
      <c r="AC261" s="127"/>
      <c r="AD261" s="261"/>
      <c r="AE261" s="261"/>
      <c r="AF261" s="261"/>
      <c r="AG261" s="261"/>
    </row>
    <row r="262" ht="34.5" hidden="1" customHeight="1">
      <c r="A262" s="111"/>
      <c r="B262" s="127"/>
      <c r="C262" s="111"/>
      <c r="D262" s="111"/>
      <c r="E262" s="111"/>
      <c r="F262" s="111"/>
      <c r="G262" s="111"/>
      <c r="H262" s="111"/>
      <c r="I262" s="127"/>
      <c r="J262" s="111"/>
      <c r="K262" s="257"/>
      <c r="L262" s="111"/>
      <c r="M262" s="127"/>
      <c r="N262" s="270"/>
      <c r="O262" s="111"/>
      <c r="P262" s="111"/>
      <c r="Q262" s="128"/>
      <c r="R262" s="124"/>
      <c r="S262" s="125"/>
      <c r="T262" s="126"/>
      <c r="U262" s="126"/>
      <c r="V262" s="126"/>
      <c r="W262" s="126"/>
      <c r="X262" s="126"/>
      <c r="Y262" s="126"/>
      <c r="Z262" s="127"/>
      <c r="AA262" s="127"/>
      <c r="AB262" s="127"/>
      <c r="AC262" s="127"/>
      <c r="AD262" s="261"/>
      <c r="AE262" s="261"/>
      <c r="AF262" s="261"/>
      <c r="AG262" s="261"/>
    </row>
    <row r="263" ht="34.5" hidden="1" customHeight="1">
      <c r="A263" s="111"/>
      <c r="B263" s="127"/>
      <c r="C263" s="111"/>
      <c r="D263" s="111"/>
      <c r="E263" s="111"/>
      <c r="F263" s="111"/>
      <c r="G263" s="111"/>
      <c r="H263" s="111"/>
      <c r="I263" s="127"/>
      <c r="J263" s="111"/>
      <c r="K263" s="257"/>
      <c r="L263" s="111"/>
      <c r="M263" s="127"/>
      <c r="N263" s="270"/>
      <c r="O263" s="111"/>
      <c r="P263" s="111"/>
      <c r="Q263" s="128"/>
      <c r="R263" s="124"/>
      <c r="S263" s="125"/>
      <c r="T263" s="126"/>
      <c r="U263" s="126"/>
      <c r="V263" s="126"/>
      <c r="W263" s="126"/>
      <c r="X263" s="126"/>
      <c r="Y263" s="126"/>
      <c r="Z263" s="127"/>
      <c r="AA263" s="127"/>
      <c r="AB263" s="127"/>
      <c r="AC263" s="127"/>
      <c r="AD263" s="261"/>
      <c r="AE263" s="261"/>
      <c r="AF263" s="261"/>
      <c r="AG263" s="261"/>
    </row>
    <row r="264" ht="34.5" hidden="1" customHeight="1">
      <c r="A264" s="111"/>
      <c r="B264" s="127"/>
      <c r="C264" s="111"/>
      <c r="D264" s="111"/>
      <c r="E264" s="111"/>
      <c r="F264" s="111"/>
      <c r="G264" s="111"/>
      <c r="H264" s="111"/>
      <c r="I264" s="127"/>
      <c r="J264" s="111"/>
      <c r="K264" s="257"/>
      <c r="L264" s="111"/>
      <c r="M264" s="127"/>
      <c r="N264" s="270"/>
      <c r="O264" s="111"/>
      <c r="P264" s="111"/>
      <c r="Q264" s="128"/>
      <c r="R264" s="124"/>
      <c r="S264" s="125"/>
      <c r="T264" s="126"/>
      <c r="U264" s="126"/>
      <c r="V264" s="126"/>
      <c r="W264" s="126"/>
      <c r="X264" s="126"/>
      <c r="Y264" s="126"/>
      <c r="Z264" s="127"/>
      <c r="AA264" s="127"/>
      <c r="AB264" s="127"/>
      <c r="AC264" s="127"/>
      <c r="AD264" s="261"/>
      <c r="AE264" s="261"/>
      <c r="AF264" s="261"/>
      <c r="AG264" s="261"/>
    </row>
    <row r="265" ht="34.5" hidden="1" customHeight="1">
      <c r="A265" s="111"/>
      <c r="B265" s="127"/>
      <c r="C265" s="111"/>
      <c r="D265" s="111"/>
      <c r="E265" s="111"/>
      <c r="F265" s="111"/>
      <c r="G265" s="111"/>
      <c r="H265" s="111"/>
      <c r="I265" s="127"/>
      <c r="J265" s="111"/>
      <c r="K265" s="257"/>
      <c r="L265" s="111"/>
      <c r="M265" s="127"/>
      <c r="N265" s="270"/>
      <c r="O265" s="111"/>
      <c r="P265" s="111"/>
      <c r="Q265" s="128"/>
      <c r="R265" s="124"/>
      <c r="S265" s="125"/>
      <c r="T265" s="126"/>
      <c r="U265" s="126"/>
      <c r="V265" s="126"/>
      <c r="W265" s="126"/>
      <c r="X265" s="126"/>
      <c r="Y265" s="126"/>
      <c r="Z265" s="127"/>
      <c r="AA265" s="127"/>
      <c r="AB265" s="127"/>
      <c r="AC265" s="127"/>
      <c r="AD265" s="261"/>
      <c r="AE265" s="261"/>
      <c r="AF265" s="261"/>
      <c r="AG265" s="261"/>
    </row>
    <row r="266" ht="34.5" hidden="1" customHeight="1">
      <c r="A266" s="111"/>
      <c r="B266" s="127"/>
      <c r="C266" s="111"/>
      <c r="D266" s="111"/>
      <c r="E266" s="111"/>
      <c r="F266" s="111"/>
      <c r="G266" s="111"/>
      <c r="H266" s="111"/>
      <c r="I266" s="127"/>
      <c r="J266" s="111"/>
      <c r="K266" s="257"/>
      <c r="L266" s="111"/>
      <c r="M266" s="127"/>
      <c r="N266" s="270"/>
      <c r="O266" s="111"/>
      <c r="P266" s="111"/>
      <c r="Q266" s="128"/>
      <c r="R266" s="124"/>
      <c r="S266" s="125"/>
      <c r="T266" s="126"/>
      <c r="U266" s="126"/>
      <c r="V266" s="126"/>
      <c r="W266" s="126"/>
      <c r="X266" s="126"/>
      <c r="Y266" s="126"/>
      <c r="Z266" s="127"/>
      <c r="AA266" s="127"/>
      <c r="AB266" s="127"/>
      <c r="AC266" s="127"/>
      <c r="AD266" s="261"/>
      <c r="AE266" s="261"/>
      <c r="AF266" s="261"/>
      <c r="AG266" s="261"/>
    </row>
    <row r="267" ht="34.5" hidden="1" customHeight="1">
      <c r="A267" s="111"/>
      <c r="B267" s="127"/>
      <c r="C267" s="111"/>
      <c r="D267" s="111"/>
      <c r="E267" s="111"/>
      <c r="F267" s="111"/>
      <c r="G267" s="111"/>
      <c r="H267" s="111"/>
      <c r="I267" s="127"/>
      <c r="J267" s="111"/>
      <c r="K267" s="257"/>
      <c r="L267" s="111"/>
      <c r="M267" s="127"/>
      <c r="N267" s="270"/>
      <c r="O267" s="111"/>
      <c r="P267" s="111"/>
      <c r="Q267" s="128"/>
      <c r="R267" s="124"/>
      <c r="S267" s="125"/>
      <c r="T267" s="126"/>
      <c r="U267" s="126"/>
      <c r="V267" s="126"/>
      <c r="W267" s="126"/>
      <c r="X267" s="126"/>
      <c r="Y267" s="126"/>
      <c r="Z267" s="127"/>
      <c r="AA267" s="127"/>
      <c r="AB267" s="127"/>
      <c r="AC267" s="127"/>
      <c r="AD267" s="261"/>
      <c r="AE267" s="261"/>
      <c r="AF267" s="261"/>
      <c r="AG267" s="261"/>
    </row>
    <row r="268" ht="34.5" hidden="1" customHeight="1">
      <c r="A268" s="111"/>
      <c r="B268" s="127"/>
      <c r="C268" s="111"/>
      <c r="D268" s="111"/>
      <c r="E268" s="111"/>
      <c r="F268" s="111"/>
      <c r="G268" s="111"/>
      <c r="H268" s="111"/>
      <c r="I268" s="127"/>
      <c r="J268" s="111"/>
      <c r="K268" s="257"/>
      <c r="L268" s="111"/>
      <c r="M268" s="127"/>
      <c r="N268" s="270"/>
      <c r="O268" s="111"/>
      <c r="P268" s="111"/>
      <c r="Q268" s="128"/>
      <c r="R268" s="124"/>
      <c r="S268" s="125"/>
      <c r="T268" s="126"/>
      <c r="U268" s="126"/>
      <c r="V268" s="126"/>
      <c r="W268" s="126"/>
      <c r="X268" s="126"/>
      <c r="Y268" s="126"/>
      <c r="Z268" s="127"/>
      <c r="AA268" s="127"/>
      <c r="AB268" s="127"/>
      <c r="AC268" s="127"/>
      <c r="AD268" s="261"/>
      <c r="AE268" s="261"/>
      <c r="AF268" s="261"/>
      <c r="AG268" s="261"/>
    </row>
    <row r="269" ht="34.5" hidden="1" customHeight="1">
      <c r="A269" s="111"/>
      <c r="B269" s="127"/>
      <c r="C269" s="111"/>
      <c r="D269" s="111"/>
      <c r="E269" s="111"/>
      <c r="F269" s="111"/>
      <c r="G269" s="111"/>
      <c r="H269" s="111"/>
      <c r="I269" s="127"/>
      <c r="J269" s="111"/>
      <c r="K269" s="257"/>
      <c r="L269" s="111"/>
      <c r="M269" s="127"/>
      <c r="N269" s="270"/>
      <c r="O269" s="111"/>
      <c r="P269" s="111"/>
      <c r="Q269" s="128"/>
      <c r="R269" s="124"/>
      <c r="S269" s="125"/>
      <c r="T269" s="126"/>
      <c r="U269" s="126"/>
      <c r="V269" s="126"/>
      <c r="W269" s="126"/>
      <c r="X269" s="126"/>
      <c r="Y269" s="126"/>
      <c r="Z269" s="127"/>
      <c r="AA269" s="127"/>
      <c r="AB269" s="127"/>
      <c r="AC269" s="127"/>
      <c r="AD269" s="261"/>
      <c r="AE269" s="261"/>
      <c r="AF269" s="261"/>
      <c r="AG269" s="261"/>
    </row>
    <row r="270" ht="34.5" hidden="1" customHeight="1">
      <c r="A270" s="111"/>
      <c r="B270" s="127"/>
      <c r="C270" s="111"/>
      <c r="D270" s="111"/>
      <c r="E270" s="111"/>
      <c r="F270" s="111"/>
      <c r="G270" s="111"/>
      <c r="H270" s="111"/>
      <c r="I270" s="127"/>
      <c r="J270" s="111"/>
      <c r="K270" s="257"/>
      <c r="L270" s="111"/>
      <c r="M270" s="127"/>
      <c r="N270" s="270"/>
      <c r="O270" s="111"/>
      <c r="P270" s="111"/>
      <c r="Q270" s="128"/>
      <c r="R270" s="124"/>
      <c r="S270" s="125"/>
      <c r="T270" s="126"/>
      <c r="U270" s="126"/>
      <c r="V270" s="126"/>
      <c r="W270" s="126"/>
      <c r="X270" s="126"/>
      <c r="Y270" s="126"/>
      <c r="Z270" s="127"/>
      <c r="AA270" s="127"/>
      <c r="AB270" s="127"/>
      <c r="AC270" s="127"/>
      <c r="AD270" s="261"/>
      <c r="AE270" s="261"/>
      <c r="AF270" s="261"/>
      <c r="AG270" s="261"/>
    </row>
    <row r="271" ht="34.5" hidden="1" customHeight="1">
      <c r="A271" s="111"/>
      <c r="B271" s="127"/>
      <c r="C271" s="111"/>
      <c r="D271" s="111"/>
      <c r="E271" s="111"/>
      <c r="F271" s="111"/>
      <c r="G271" s="111"/>
      <c r="H271" s="111"/>
      <c r="I271" s="127"/>
      <c r="J271" s="111"/>
      <c r="K271" s="257"/>
      <c r="L271" s="111"/>
      <c r="M271" s="127"/>
      <c r="N271" s="270"/>
      <c r="O271" s="111"/>
      <c r="P271" s="111"/>
      <c r="Q271" s="128"/>
      <c r="R271" s="124"/>
      <c r="S271" s="125"/>
      <c r="T271" s="126"/>
      <c r="U271" s="126"/>
      <c r="V271" s="126"/>
      <c r="W271" s="126"/>
      <c r="X271" s="126"/>
      <c r="Y271" s="126"/>
      <c r="Z271" s="127"/>
      <c r="AA271" s="127"/>
      <c r="AB271" s="127"/>
      <c r="AC271" s="127"/>
      <c r="AD271" s="261"/>
      <c r="AE271" s="261"/>
      <c r="AF271" s="261"/>
      <c r="AG271" s="261"/>
    </row>
    <row r="272" ht="34.5" hidden="1" customHeight="1">
      <c r="A272" s="111"/>
      <c r="B272" s="127"/>
      <c r="C272" s="111"/>
      <c r="D272" s="111"/>
      <c r="E272" s="111"/>
      <c r="F272" s="111"/>
      <c r="G272" s="111"/>
      <c r="H272" s="111"/>
      <c r="I272" s="127"/>
      <c r="J272" s="111"/>
      <c r="K272" s="257"/>
      <c r="L272" s="111"/>
      <c r="M272" s="127"/>
      <c r="N272" s="270"/>
      <c r="O272" s="111"/>
      <c r="P272" s="111"/>
      <c r="Q272" s="128"/>
      <c r="R272" s="124"/>
      <c r="S272" s="125"/>
      <c r="T272" s="126"/>
      <c r="U272" s="126"/>
      <c r="V272" s="126"/>
      <c r="W272" s="126"/>
      <c r="X272" s="126"/>
      <c r="Y272" s="126"/>
      <c r="Z272" s="127"/>
      <c r="AA272" s="127"/>
      <c r="AB272" s="127"/>
      <c r="AC272" s="127"/>
      <c r="AD272" s="261"/>
      <c r="AE272" s="261"/>
      <c r="AF272" s="261"/>
      <c r="AG272" s="261"/>
    </row>
    <row r="273" ht="34.5" hidden="1" customHeight="1">
      <c r="A273" s="111"/>
      <c r="B273" s="127"/>
      <c r="C273" s="111"/>
      <c r="D273" s="111"/>
      <c r="E273" s="111"/>
      <c r="F273" s="111"/>
      <c r="G273" s="111"/>
      <c r="H273" s="111"/>
      <c r="I273" s="127"/>
      <c r="J273" s="111"/>
      <c r="K273" s="257"/>
      <c r="L273" s="111"/>
      <c r="M273" s="127"/>
      <c r="N273" s="270"/>
      <c r="O273" s="111"/>
      <c r="P273" s="111"/>
      <c r="Q273" s="128"/>
      <c r="R273" s="124"/>
      <c r="S273" s="125"/>
      <c r="T273" s="126"/>
      <c r="U273" s="126"/>
      <c r="V273" s="126"/>
      <c r="W273" s="126"/>
      <c r="X273" s="126"/>
      <c r="Y273" s="126"/>
      <c r="Z273" s="127"/>
      <c r="AA273" s="127"/>
      <c r="AB273" s="127"/>
      <c r="AC273" s="127"/>
      <c r="AD273" s="261"/>
      <c r="AE273" s="261"/>
      <c r="AF273" s="261"/>
      <c r="AG273" s="261"/>
    </row>
    <row r="274" ht="34.5" hidden="1" customHeight="1">
      <c r="A274" s="111"/>
      <c r="B274" s="127"/>
      <c r="C274" s="111"/>
      <c r="D274" s="111"/>
      <c r="E274" s="111"/>
      <c r="F274" s="111"/>
      <c r="G274" s="111"/>
      <c r="H274" s="111"/>
      <c r="I274" s="127"/>
      <c r="J274" s="111"/>
      <c r="K274" s="257"/>
      <c r="L274" s="111"/>
      <c r="M274" s="127"/>
      <c r="N274" s="270"/>
      <c r="O274" s="111"/>
      <c r="P274" s="111"/>
      <c r="Q274" s="128"/>
      <c r="R274" s="124"/>
      <c r="S274" s="125"/>
      <c r="T274" s="126"/>
      <c r="U274" s="126"/>
      <c r="V274" s="126"/>
      <c r="W274" s="126"/>
      <c r="X274" s="126"/>
      <c r="Y274" s="126"/>
      <c r="Z274" s="127"/>
      <c r="AA274" s="127"/>
      <c r="AB274" s="127"/>
      <c r="AC274" s="127"/>
      <c r="AD274" s="261"/>
      <c r="AE274" s="261"/>
      <c r="AF274" s="261"/>
      <c r="AG274" s="261"/>
    </row>
    <row r="275" ht="34.5" hidden="1" customHeight="1">
      <c r="A275" s="111"/>
      <c r="B275" s="127"/>
      <c r="C275" s="111"/>
      <c r="D275" s="111"/>
      <c r="E275" s="111"/>
      <c r="F275" s="111"/>
      <c r="G275" s="111"/>
      <c r="H275" s="111"/>
      <c r="I275" s="127"/>
      <c r="J275" s="111"/>
      <c r="K275" s="257"/>
      <c r="L275" s="111"/>
      <c r="M275" s="127"/>
      <c r="N275" s="270"/>
      <c r="O275" s="111"/>
      <c r="P275" s="111"/>
      <c r="Q275" s="128"/>
      <c r="R275" s="124"/>
      <c r="S275" s="125"/>
      <c r="T275" s="126"/>
      <c r="U275" s="126"/>
      <c r="V275" s="126"/>
      <c r="W275" s="126"/>
      <c r="X275" s="126"/>
      <c r="Y275" s="126"/>
      <c r="Z275" s="127"/>
      <c r="AA275" s="127"/>
      <c r="AB275" s="127"/>
      <c r="AC275" s="127"/>
      <c r="AD275" s="261"/>
      <c r="AE275" s="261"/>
      <c r="AF275" s="261"/>
      <c r="AG275" s="261"/>
    </row>
    <row r="276" ht="34.5" hidden="1" customHeight="1">
      <c r="A276" s="111"/>
      <c r="B276" s="127"/>
      <c r="C276" s="111"/>
      <c r="D276" s="111"/>
      <c r="E276" s="111"/>
      <c r="F276" s="111"/>
      <c r="G276" s="111"/>
      <c r="H276" s="111"/>
      <c r="I276" s="127"/>
      <c r="J276" s="111"/>
      <c r="K276" s="257"/>
      <c r="L276" s="111"/>
      <c r="M276" s="127"/>
      <c r="N276" s="270"/>
      <c r="O276" s="111"/>
      <c r="P276" s="111"/>
      <c r="Q276" s="128"/>
      <c r="R276" s="124"/>
      <c r="S276" s="125"/>
      <c r="T276" s="126"/>
      <c r="U276" s="126"/>
      <c r="V276" s="126"/>
      <c r="W276" s="126"/>
      <c r="X276" s="126"/>
      <c r="Y276" s="126"/>
      <c r="Z276" s="127"/>
      <c r="AA276" s="127"/>
      <c r="AB276" s="127"/>
      <c r="AC276" s="127"/>
      <c r="AD276" s="261"/>
      <c r="AE276" s="261"/>
      <c r="AF276" s="261"/>
      <c r="AG276" s="261"/>
    </row>
    <row r="277" ht="34.5" hidden="1" customHeight="1">
      <c r="A277" s="111"/>
      <c r="B277" s="127"/>
      <c r="C277" s="111"/>
      <c r="D277" s="111"/>
      <c r="E277" s="111"/>
      <c r="F277" s="111"/>
      <c r="G277" s="111"/>
      <c r="H277" s="111"/>
      <c r="I277" s="127"/>
      <c r="J277" s="111"/>
      <c r="K277" s="257"/>
      <c r="L277" s="111"/>
      <c r="M277" s="127"/>
      <c r="N277" s="270"/>
      <c r="O277" s="111"/>
      <c r="P277" s="111"/>
      <c r="Q277" s="128"/>
      <c r="R277" s="124"/>
      <c r="S277" s="125"/>
      <c r="T277" s="126"/>
      <c r="U277" s="126"/>
      <c r="V277" s="126"/>
      <c r="W277" s="126"/>
      <c r="X277" s="126"/>
      <c r="Y277" s="126"/>
      <c r="Z277" s="127"/>
      <c r="AA277" s="127"/>
      <c r="AB277" s="127"/>
      <c r="AC277" s="127"/>
      <c r="AD277" s="261"/>
      <c r="AE277" s="261"/>
      <c r="AF277" s="261"/>
      <c r="AG277" s="261"/>
    </row>
    <row r="278" ht="34.5" hidden="1" customHeight="1">
      <c r="A278" s="111"/>
      <c r="B278" s="127"/>
      <c r="C278" s="111"/>
      <c r="D278" s="111"/>
      <c r="E278" s="111"/>
      <c r="F278" s="111"/>
      <c r="G278" s="111"/>
      <c r="H278" s="111"/>
      <c r="I278" s="127"/>
      <c r="J278" s="111"/>
      <c r="K278" s="257"/>
      <c r="L278" s="111"/>
      <c r="M278" s="127"/>
      <c r="N278" s="270"/>
      <c r="O278" s="111"/>
      <c r="P278" s="111"/>
      <c r="Q278" s="128"/>
      <c r="R278" s="124"/>
      <c r="S278" s="125"/>
      <c r="T278" s="126"/>
      <c r="U278" s="126"/>
      <c r="V278" s="126"/>
      <c r="W278" s="126"/>
      <c r="X278" s="126"/>
      <c r="Y278" s="126"/>
      <c r="Z278" s="127"/>
      <c r="AA278" s="127"/>
      <c r="AB278" s="127"/>
      <c r="AC278" s="127"/>
      <c r="AD278" s="261"/>
      <c r="AE278" s="261"/>
      <c r="AF278" s="261"/>
      <c r="AG278" s="261"/>
    </row>
    <row r="279" ht="34.5" hidden="1" customHeight="1">
      <c r="A279" s="111"/>
      <c r="B279" s="127"/>
      <c r="C279" s="111"/>
      <c r="D279" s="111"/>
      <c r="E279" s="111"/>
      <c r="F279" s="111"/>
      <c r="G279" s="111"/>
      <c r="H279" s="111"/>
      <c r="I279" s="127"/>
      <c r="J279" s="111"/>
      <c r="K279" s="257"/>
      <c r="L279" s="111"/>
      <c r="M279" s="127"/>
      <c r="N279" s="270"/>
      <c r="O279" s="111"/>
      <c r="P279" s="111"/>
      <c r="Q279" s="128"/>
      <c r="R279" s="124"/>
      <c r="S279" s="125"/>
      <c r="T279" s="126"/>
      <c r="U279" s="126"/>
      <c r="V279" s="126"/>
      <c r="W279" s="126"/>
      <c r="X279" s="126"/>
      <c r="Y279" s="126"/>
      <c r="Z279" s="127"/>
      <c r="AA279" s="127"/>
      <c r="AB279" s="127"/>
      <c r="AC279" s="127"/>
      <c r="AD279" s="261"/>
      <c r="AE279" s="261"/>
      <c r="AF279" s="261"/>
      <c r="AG279" s="261"/>
    </row>
    <row r="280" ht="34.5" hidden="1" customHeight="1">
      <c r="A280" s="111"/>
      <c r="B280" s="127"/>
      <c r="C280" s="111"/>
      <c r="D280" s="111"/>
      <c r="E280" s="111"/>
      <c r="F280" s="111"/>
      <c r="G280" s="111"/>
      <c r="H280" s="111"/>
      <c r="I280" s="127"/>
      <c r="J280" s="111"/>
      <c r="K280" s="257"/>
      <c r="L280" s="111"/>
      <c r="M280" s="127"/>
      <c r="N280" s="270"/>
      <c r="O280" s="111"/>
      <c r="P280" s="111"/>
      <c r="Q280" s="128"/>
      <c r="R280" s="124"/>
      <c r="S280" s="125"/>
      <c r="T280" s="126"/>
      <c r="U280" s="126"/>
      <c r="V280" s="126"/>
      <c r="W280" s="126"/>
      <c r="X280" s="126"/>
      <c r="Y280" s="126"/>
      <c r="Z280" s="127"/>
      <c r="AA280" s="127"/>
      <c r="AB280" s="127"/>
      <c r="AC280" s="127"/>
      <c r="AD280" s="261"/>
      <c r="AE280" s="261"/>
      <c r="AF280" s="261"/>
      <c r="AG280" s="261"/>
    </row>
    <row r="281" ht="34.5" hidden="1" customHeight="1">
      <c r="A281" s="111"/>
      <c r="B281" s="127"/>
      <c r="C281" s="111"/>
      <c r="D281" s="111"/>
      <c r="E281" s="111"/>
      <c r="F281" s="111"/>
      <c r="G281" s="111"/>
      <c r="H281" s="111"/>
      <c r="I281" s="127"/>
      <c r="J281" s="111"/>
      <c r="K281" s="257"/>
      <c r="L281" s="111"/>
      <c r="M281" s="127"/>
      <c r="N281" s="270"/>
      <c r="O281" s="111"/>
      <c r="P281" s="111"/>
      <c r="Q281" s="128"/>
      <c r="R281" s="124"/>
      <c r="S281" s="125"/>
      <c r="T281" s="126"/>
      <c r="U281" s="126"/>
      <c r="V281" s="126"/>
      <c r="W281" s="126"/>
      <c r="X281" s="126"/>
      <c r="Y281" s="126"/>
      <c r="Z281" s="127"/>
      <c r="AA281" s="127"/>
      <c r="AB281" s="127"/>
      <c r="AC281" s="127"/>
      <c r="AD281" s="261"/>
      <c r="AE281" s="261"/>
      <c r="AF281" s="261"/>
      <c r="AG281" s="261"/>
    </row>
    <row r="282" ht="34.5" hidden="1" customHeight="1">
      <c r="A282" s="111"/>
      <c r="B282" s="127"/>
      <c r="C282" s="111"/>
      <c r="D282" s="111"/>
      <c r="E282" s="111"/>
      <c r="F282" s="111"/>
      <c r="G282" s="111"/>
      <c r="H282" s="111"/>
      <c r="I282" s="127"/>
      <c r="J282" s="111"/>
      <c r="K282" s="257"/>
      <c r="L282" s="111"/>
      <c r="M282" s="127"/>
      <c r="N282" s="270"/>
      <c r="O282" s="111"/>
      <c r="P282" s="111"/>
      <c r="Q282" s="128"/>
      <c r="R282" s="124"/>
      <c r="S282" s="125"/>
      <c r="T282" s="126"/>
      <c r="U282" s="126"/>
      <c r="V282" s="126"/>
      <c r="W282" s="126"/>
      <c r="X282" s="126"/>
      <c r="Y282" s="126"/>
      <c r="Z282" s="127"/>
      <c r="AA282" s="127"/>
      <c r="AB282" s="127"/>
      <c r="AC282" s="127"/>
      <c r="AD282" s="261"/>
      <c r="AE282" s="261"/>
      <c r="AF282" s="261"/>
      <c r="AG282" s="261"/>
    </row>
    <row r="283" ht="34.5" hidden="1" customHeight="1">
      <c r="A283" s="111"/>
      <c r="B283" s="127"/>
      <c r="C283" s="111"/>
      <c r="D283" s="111"/>
      <c r="E283" s="111"/>
      <c r="F283" s="111"/>
      <c r="G283" s="111"/>
      <c r="H283" s="111"/>
      <c r="I283" s="127"/>
      <c r="J283" s="111"/>
      <c r="K283" s="257"/>
      <c r="L283" s="111"/>
      <c r="M283" s="127"/>
      <c r="N283" s="270"/>
      <c r="O283" s="111"/>
      <c r="P283" s="111"/>
      <c r="Q283" s="128"/>
      <c r="R283" s="124"/>
      <c r="S283" s="125"/>
      <c r="T283" s="126"/>
      <c r="U283" s="126"/>
      <c r="V283" s="126"/>
      <c r="W283" s="126"/>
      <c r="X283" s="126"/>
      <c r="Y283" s="126"/>
      <c r="Z283" s="127"/>
      <c r="AA283" s="127"/>
      <c r="AB283" s="127"/>
      <c r="AC283" s="127"/>
      <c r="AD283" s="261"/>
      <c r="AE283" s="261"/>
      <c r="AF283" s="261"/>
      <c r="AG283" s="261"/>
    </row>
    <row r="284" ht="34.5" hidden="1" customHeight="1">
      <c r="A284" s="111"/>
      <c r="B284" s="127"/>
      <c r="C284" s="111"/>
      <c r="D284" s="111"/>
      <c r="E284" s="111"/>
      <c r="F284" s="111"/>
      <c r="G284" s="111"/>
      <c r="H284" s="111"/>
      <c r="I284" s="127"/>
      <c r="J284" s="111"/>
      <c r="K284" s="257"/>
      <c r="L284" s="111"/>
      <c r="M284" s="127"/>
      <c r="N284" s="270"/>
      <c r="O284" s="111"/>
      <c r="P284" s="111"/>
      <c r="Q284" s="128"/>
      <c r="R284" s="124"/>
      <c r="S284" s="125"/>
      <c r="T284" s="126"/>
      <c r="U284" s="126"/>
      <c r="V284" s="126"/>
      <c r="W284" s="126"/>
      <c r="X284" s="126"/>
      <c r="Y284" s="126"/>
      <c r="Z284" s="127"/>
      <c r="AA284" s="127"/>
      <c r="AB284" s="127"/>
      <c r="AC284" s="127"/>
      <c r="AD284" s="261"/>
      <c r="AE284" s="261"/>
      <c r="AF284" s="261"/>
      <c r="AG284" s="261"/>
    </row>
    <row r="285" ht="34.5" hidden="1" customHeight="1">
      <c r="A285" s="111"/>
      <c r="B285" s="127"/>
      <c r="C285" s="111"/>
      <c r="D285" s="111"/>
      <c r="E285" s="111"/>
      <c r="F285" s="111"/>
      <c r="G285" s="111"/>
      <c r="H285" s="111"/>
      <c r="I285" s="127"/>
      <c r="J285" s="111"/>
      <c r="K285" s="257"/>
      <c r="L285" s="111"/>
      <c r="M285" s="127"/>
      <c r="N285" s="270"/>
      <c r="O285" s="111"/>
      <c r="P285" s="111"/>
      <c r="Q285" s="128"/>
      <c r="R285" s="124"/>
      <c r="S285" s="125"/>
      <c r="T285" s="126"/>
      <c r="U285" s="126"/>
      <c r="V285" s="126"/>
      <c r="W285" s="126"/>
      <c r="X285" s="126"/>
      <c r="Y285" s="126"/>
      <c r="Z285" s="127"/>
      <c r="AA285" s="127"/>
      <c r="AB285" s="127"/>
      <c r="AC285" s="127"/>
      <c r="AD285" s="261"/>
      <c r="AE285" s="261"/>
      <c r="AF285" s="261"/>
      <c r="AG285" s="261"/>
    </row>
    <row r="286" ht="34.5" hidden="1" customHeight="1">
      <c r="A286" s="111"/>
      <c r="B286" s="127"/>
      <c r="C286" s="111"/>
      <c r="D286" s="111"/>
      <c r="E286" s="111"/>
      <c r="F286" s="111"/>
      <c r="G286" s="111"/>
      <c r="H286" s="111"/>
      <c r="I286" s="127"/>
      <c r="J286" s="111"/>
      <c r="K286" s="257"/>
      <c r="L286" s="111"/>
      <c r="M286" s="127"/>
      <c r="N286" s="270"/>
      <c r="O286" s="111"/>
      <c r="P286" s="111"/>
      <c r="Q286" s="128"/>
      <c r="R286" s="124"/>
      <c r="S286" s="125"/>
      <c r="T286" s="126"/>
      <c r="U286" s="126"/>
      <c r="V286" s="126"/>
      <c r="W286" s="126"/>
      <c r="X286" s="126"/>
      <c r="Y286" s="126"/>
      <c r="Z286" s="127"/>
      <c r="AA286" s="127"/>
      <c r="AB286" s="127"/>
      <c r="AC286" s="127"/>
      <c r="AD286" s="261"/>
      <c r="AE286" s="261"/>
      <c r="AF286" s="261"/>
      <c r="AG286" s="261"/>
    </row>
    <row r="287" ht="34.5" hidden="1" customHeight="1">
      <c r="A287" s="111"/>
      <c r="B287" s="127"/>
      <c r="C287" s="111"/>
      <c r="D287" s="111"/>
      <c r="E287" s="111"/>
      <c r="F287" s="111"/>
      <c r="G287" s="111"/>
      <c r="H287" s="111"/>
      <c r="I287" s="127"/>
      <c r="J287" s="111"/>
      <c r="K287" s="257"/>
      <c r="L287" s="111"/>
      <c r="M287" s="127"/>
      <c r="N287" s="270"/>
      <c r="O287" s="111"/>
      <c r="P287" s="111"/>
      <c r="Q287" s="128"/>
      <c r="R287" s="124"/>
      <c r="S287" s="125"/>
      <c r="T287" s="126"/>
      <c r="U287" s="126"/>
      <c r="V287" s="126"/>
      <c r="W287" s="126"/>
      <c r="X287" s="126"/>
      <c r="Y287" s="126"/>
      <c r="Z287" s="127"/>
      <c r="AA287" s="127"/>
      <c r="AB287" s="127"/>
      <c r="AC287" s="127"/>
      <c r="AD287" s="261"/>
      <c r="AE287" s="261"/>
      <c r="AF287" s="261"/>
      <c r="AG287" s="261"/>
    </row>
    <row r="288" ht="34.5" hidden="1" customHeight="1">
      <c r="A288" s="111"/>
      <c r="B288" s="127"/>
      <c r="C288" s="111"/>
      <c r="D288" s="111"/>
      <c r="E288" s="111"/>
      <c r="F288" s="111"/>
      <c r="G288" s="111"/>
      <c r="H288" s="111"/>
      <c r="I288" s="127"/>
      <c r="J288" s="111"/>
      <c r="K288" s="257"/>
      <c r="L288" s="111"/>
      <c r="M288" s="127"/>
      <c r="N288" s="270"/>
      <c r="O288" s="111"/>
      <c r="P288" s="111"/>
      <c r="Q288" s="128"/>
      <c r="R288" s="124"/>
      <c r="S288" s="125"/>
      <c r="T288" s="126"/>
      <c r="U288" s="126"/>
      <c r="V288" s="126"/>
      <c r="W288" s="126"/>
      <c r="X288" s="126"/>
      <c r="Y288" s="126"/>
      <c r="Z288" s="127"/>
      <c r="AA288" s="127"/>
      <c r="AB288" s="127"/>
      <c r="AC288" s="127"/>
      <c r="AD288" s="261"/>
      <c r="AE288" s="261"/>
      <c r="AF288" s="261"/>
      <c r="AG288" s="261"/>
    </row>
    <row r="289" ht="34.5" hidden="1" customHeight="1">
      <c r="A289" s="111"/>
      <c r="B289" s="127"/>
      <c r="C289" s="111"/>
      <c r="D289" s="111"/>
      <c r="E289" s="111"/>
      <c r="F289" s="111"/>
      <c r="G289" s="111"/>
      <c r="H289" s="111"/>
      <c r="I289" s="127"/>
      <c r="J289" s="111"/>
      <c r="K289" s="257"/>
      <c r="L289" s="111"/>
      <c r="M289" s="127"/>
      <c r="N289" s="270"/>
      <c r="O289" s="111"/>
      <c r="P289" s="111"/>
      <c r="Q289" s="128"/>
      <c r="R289" s="124"/>
      <c r="S289" s="125"/>
      <c r="T289" s="126"/>
      <c r="U289" s="126"/>
      <c r="V289" s="126"/>
      <c r="W289" s="126"/>
      <c r="X289" s="126"/>
      <c r="Y289" s="126"/>
      <c r="Z289" s="127"/>
      <c r="AA289" s="127"/>
      <c r="AB289" s="127"/>
      <c r="AC289" s="127"/>
      <c r="AD289" s="261"/>
      <c r="AE289" s="261"/>
      <c r="AF289" s="261"/>
      <c r="AG289" s="261"/>
    </row>
    <row r="290" ht="34.5" hidden="1" customHeight="1">
      <c r="A290" s="111"/>
      <c r="B290" s="127"/>
      <c r="C290" s="111"/>
      <c r="D290" s="111"/>
      <c r="E290" s="111"/>
      <c r="F290" s="111"/>
      <c r="G290" s="111"/>
      <c r="H290" s="111"/>
      <c r="I290" s="127"/>
      <c r="J290" s="111"/>
      <c r="K290" s="257"/>
      <c r="L290" s="111"/>
      <c r="M290" s="127"/>
      <c r="N290" s="270"/>
      <c r="O290" s="111"/>
      <c r="P290" s="111"/>
      <c r="Q290" s="128"/>
      <c r="R290" s="124"/>
      <c r="S290" s="125"/>
      <c r="T290" s="126"/>
      <c r="U290" s="126"/>
      <c r="V290" s="126"/>
      <c r="W290" s="126"/>
      <c r="X290" s="126"/>
      <c r="Y290" s="126"/>
      <c r="Z290" s="127"/>
      <c r="AA290" s="127"/>
      <c r="AB290" s="127"/>
      <c r="AC290" s="127"/>
      <c r="AD290" s="261"/>
      <c r="AE290" s="261"/>
      <c r="AF290" s="261"/>
      <c r="AG290" s="261"/>
    </row>
    <row r="291" ht="34.5" hidden="1" customHeight="1">
      <c r="A291" s="111"/>
      <c r="B291" s="127"/>
      <c r="C291" s="111"/>
      <c r="D291" s="111"/>
      <c r="E291" s="111"/>
      <c r="F291" s="111"/>
      <c r="G291" s="111"/>
      <c r="H291" s="111"/>
      <c r="I291" s="127"/>
      <c r="J291" s="111"/>
      <c r="K291" s="257"/>
      <c r="L291" s="111"/>
      <c r="M291" s="127"/>
      <c r="N291" s="270"/>
      <c r="O291" s="111"/>
      <c r="P291" s="111"/>
      <c r="Q291" s="128"/>
      <c r="R291" s="124"/>
      <c r="S291" s="125"/>
      <c r="T291" s="126"/>
      <c r="U291" s="126"/>
      <c r="V291" s="126"/>
      <c r="W291" s="126"/>
      <c r="X291" s="126"/>
      <c r="Y291" s="126"/>
      <c r="Z291" s="127"/>
      <c r="AA291" s="127"/>
      <c r="AB291" s="127"/>
      <c r="AC291" s="127"/>
      <c r="AD291" s="261"/>
      <c r="AE291" s="261"/>
      <c r="AF291" s="261"/>
      <c r="AG291" s="261"/>
    </row>
    <row r="292" ht="34.5" hidden="1" customHeight="1">
      <c r="A292" s="111"/>
      <c r="B292" s="127"/>
      <c r="C292" s="111"/>
      <c r="D292" s="111"/>
      <c r="E292" s="111"/>
      <c r="F292" s="111"/>
      <c r="G292" s="111"/>
      <c r="H292" s="111"/>
      <c r="I292" s="127"/>
      <c r="J292" s="111"/>
      <c r="K292" s="257"/>
      <c r="L292" s="111"/>
      <c r="M292" s="127"/>
      <c r="N292" s="270"/>
      <c r="O292" s="111"/>
      <c r="P292" s="111"/>
      <c r="Q292" s="128"/>
      <c r="R292" s="124"/>
      <c r="S292" s="125"/>
      <c r="T292" s="126"/>
      <c r="U292" s="126"/>
      <c r="V292" s="126"/>
      <c r="W292" s="126"/>
      <c r="X292" s="126"/>
      <c r="Y292" s="126"/>
      <c r="Z292" s="127"/>
      <c r="AA292" s="127"/>
      <c r="AB292" s="127"/>
      <c r="AC292" s="127"/>
      <c r="AD292" s="261"/>
      <c r="AE292" s="261"/>
      <c r="AF292" s="261"/>
      <c r="AG292" s="261"/>
    </row>
    <row r="293" ht="34.5" hidden="1" customHeight="1">
      <c r="A293" s="111"/>
      <c r="B293" s="127"/>
      <c r="C293" s="111"/>
      <c r="D293" s="111"/>
      <c r="E293" s="111"/>
      <c r="F293" s="111"/>
      <c r="G293" s="111"/>
      <c r="H293" s="111"/>
      <c r="I293" s="127"/>
      <c r="J293" s="111"/>
      <c r="K293" s="257"/>
      <c r="L293" s="111"/>
      <c r="M293" s="127"/>
      <c r="N293" s="270"/>
      <c r="O293" s="111"/>
      <c r="P293" s="111"/>
      <c r="Q293" s="128"/>
      <c r="R293" s="124"/>
      <c r="S293" s="125"/>
      <c r="T293" s="126"/>
      <c r="U293" s="126"/>
      <c r="V293" s="126"/>
      <c r="W293" s="126"/>
      <c r="X293" s="126"/>
      <c r="Y293" s="126"/>
      <c r="Z293" s="127"/>
      <c r="AA293" s="127"/>
      <c r="AB293" s="127"/>
      <c r="AC293" s="127"/>
      <c r="AD293" s="261"/>
      <c r="AE293" s="261"/>
      <c r="AF293" s="261"/>
      <c r="AG293" s="261"/>
    </row>
    <row r="294" ht="34.5" hidden="1" customHeight="1">
      <c r="A294" s="111"/>
      <c r="B294" s="127"/>
      <c r="C294" s="111"/>
      <c r="D294" s="111"/>
      <c r="E294" s="111"/>
      <c r="F294" s="111"/>
      <c r="G294" s="111"/>
      <c r="H294" s="111"/>
      <c r="I294" s="127"/>
      <c r="J294" s="111"/>
      <c r="K294" s="257"/>
      <c r="L294" s="111"/>
      <c r="M294" s="127"/>
      <c r="N294" s="270"/>
      <c r="O294" s="111"/>
      <c r="P294" s="111"/>
      <c r="Q294" s="128"/>
      <c r="R294" s="124"/>
      <c r="S294" s="125"/>
      <c r="T294" s="126"/>
      <c r="U294" s="126"/>
      <c r="V294" s="126"/>
      <c r="W294" s="126"/>
      <c r="X294" s="126"/>
      <c r="Y294" s="126"/>
      <c r="Z294" s="127"/>
      <c r="AA294" s="127"/>
      <c r="AB294" s="127"/>
      <c r="AC294" s="127"/>
      <c r="AD294" s="261"/>
      <c r="AE294" s="261"/>
      <c r="AF294" s="261"/>
      <c r="AG294" s="261"/>
    </row>
    <row r="295" ht="34.5" hidden="1" customHeight="1">
      <c r="A295" s="111"/>
      <c r="B295" s="127"/>
      <c r="C295" s="111"/>
      <c r="D295" s="111"/>
      <c r="E295" s="111"/>
      <c r="F295" s="111"/>
      <c r="G295" s="111"/>
      <c r="H295" s="111"/>
      <c r="I295" s="127"/>
      <c r="J295" s="111"/>
      <c r="K295" s="257"/>
      <c r="L295" s="111"/>
      <c r="M295" s="127"/>
      <c r="N295" s="270"/>
      <c r="O295" s="111"/>
      <c r="P295" s="111"/>
      <c r="Q295" s="128"/>
      <c r="R295" s="124"/>
      <c r="S295" s="125"/>
      <c r="T295" s="126"/>
      <c r="U295" s="126"/>
      <c r="V295" s="126"/>
      <c r="W295" s="126"/>
      <c r="X295" s="126"/>
      <c r="Y295" s="126"/>
      <c r="Z295" s="127"/>
      <c r="AA295" s="127"/>
      <c r="AB295" s="127"/>
      <c r="AC295" s="127"/>
      <c r="AD295" s="261"/>
      <c r="AE295" s="261"/>
      <c r="AF295" s="261"/>
      <c r="AG295" s="261"/>
    </row>
    <row r="296" ht="34.5" hidden="1" customHeight="1">
      <c r="A296" s="111"/>
      <c r="B296" s="127"/>
      <c r="C296" s="111"/>
      <c r="D296" s="111"/>
      <c r="E296" s="111"/>
      <c r="F296" s="111"/>
      <c r="G296" s="111"/>
      <c r="H296" s="111"/>
      <c r="I296" s="127"/>
      <c r="J296" s="111"/>
      <c r="K296" s="257"/>
      <c r="L296" s="111"/>
      <c r="M296" s="127"/>
      <c r="N296" s="270"/>
      <c r="O296" s="111"/>
      <c r="P296" s="111"/>
      <c r="Q296" s="128"/>
      <c r="R296" s="124"/>
      <c r="S296" s="125"/>
      <c r="T296" s="126"/>
      <c r="U296" s="126"/>
      <c r="V296" s="126"/>
      <c r="W296" s="126"/>
      <c r="X296" s="126"/>
      <c r="Y296" s="126"/>
      <c r="Z296" s="127"/>
      <c r="AA296" s="127"/>
      <c r="AB296" s="127"/>
      <c r="AC296" s="127"/>
      <c r="AD296" s="261"/>
      <c r="AE296" s="261"/>
      <c r="AF296" s="261"/>
      <c r="AG296" s="261"/>
    </row>
    <row r="297" ht="34.5" hidden="1" customHeight="1">
      <c r="A297" s="111"/>
      <c r="B297" s="127"/>
      <c r="C297" s="111"/>
      <c r="D297" s="111"/>
      <c r="E297" s="111"/>
      <c r="F297" s="111"/>
      <c r="G297" s="111"/>
      <c r="H297" s="111"/>
      <c r="I297" s="127"/>
      <c r="J297" s="111"/>
      <c r="K297" s="257"/>
      <c r="L297" s="111"/>
      <c r="M297" s="127"/>
      <c r="N297" s="270"/>
      <c r="O297" s="111"/>
      <c r="P297" s="111"/>
      <c r="Q297" s="128"/>
      <c r="R297" s="124"/>
      <c r="S297" s="125"/>
      <c r="T297" s="126"/>
      <c r="U297" s="126"/>
      <c r="V297" s="126"/>
      <c r="W297" s="126"/>
      <c r="X297" s="126"/>
      <c r="Y297" s="126"/>
      <c r="Z297" s="127"/>
      <c r="AA297" s="127"/>
      <c r="AB297" s="127"/>
      <c r="AC297" s="127"/>
      <c r="AD297" s="261"/>
      <c r="AE297" s="261"/>
      <c r="AF297" s="261"/>
      <c r="AG297" s="261"/>
    </row>
    <row r="298" ht="34.5" hidden="1" customHeight="1">
      <c r="A298" s="111"/>
      <c r="B298" s="127"/>
      <c r="C298" s="111"/>
      <c r="D298" s="111"/>
      <c r="E298" s="111"/>
      <c r="F298" s="111"/>
      <c r="G298" s="111"/>
      <c r="H298" s="111"/>
      <c r="I298" s="127"/>
      <c r="J298" s="111"/>
      <c r="K298" s="257"/>
      <c r="L298" s="111"/>
      <c r="M298" s="127"/>
      <c r="N298" s="270"/>
      <c r="O298" s="111"/>
      <c r="P298" s="111"/>
      <c r="Q298" s="128"/>
      <c r="R298" s="124"/>
      <c r="S298" s="125"/>
      <c r="T298" s="126"/>
      <c r="U298" s="126"/>
      <c r="V298" s="126"/>
      <c r="W298" s="126"/>
      <c r="X298" s="126"/>
      <c r="Y298" s="126"/>
      <c r="Z298" s="127"/>
      <c r="AA298" s="127"/>
      <c r="AB298" s="127"/>
      <c r="AC298" s="127"/>
      <c r="AD298" s="261"/>
      <c r="AE298" s="261"/>
      <c r="AF298" s="261"/>
      <c r="AG298" s="261"/>
    </row>
    <row r="299" ht="34.5" hidden="1" customHeight="1">
      <c r="A299" s="111"/>
      <c r="B299" s="127"/>
      <c r="C299" s="111"/>
      <c r="D299" s="111"/>
      <c r="E299" s="111"/>
      <c r="F299" s="111"/>
      <c r="G299" s="111"/>
      <c r="H299" s="111"/>
      <c r="I299" s="127"/>
      <c r="J299" s="111"/>
      <c r="K299" s="257"/>
      <c r="L299" s="111"/>
      <c r="M299" s="127"/>
      <c r="N299" s="270"/>
      <c r="O299" s="111"/>
      <c r="P299" s="111"/>
      <c r="Q299" s="128"/>
      <c r="R299" s="124"/>
      <c r="S299" s="125"/>
      <c r="T299" s="126"/>
      <c r="U299" s="126"/>
      <c r="V299" s="126"/>
      <c r="W299" s="126"/>
      <c r="X299" s="126"/>
      <c r="Y299" s="126"/>
      <c r="Z299" s="127"/>
      <c r="AA299" s="127"/>
      <c r="AB299" s="127"/>
      <c r="AC299" s="127"/>
      <c r="AD299" s="261"/>
      <c r="AE299" s="261"/>
      <c r="AF299" s="261"/>
      <c r="AG299" s="261"/>
    </row>
    <row r="300" ht="34.5" hidden="1" customHeight="1">
      <c r="A300" s="111"/>
      <c r="B300" s="127"/>
      <c r="C300" s="111"/>
      <c r="D300" s="111"/>
      <c r="E300" s="111"/>
      <c r="F300" s="111"/>
      <c r="G300" s="111"/>
      <c r="H300" s="111"/>
      <c r="I300" s="127"/>
      <c r="J300" s="111"/>
      <c r="K300" s="257"/>
      <c r="L300" s="111"/>
      <c r="M300" s="127"/>
      <c r="N300" s="270"/>
      <c r="O300" s="111"/>
      <c r="P300" s="111"/>
      <c r="Q300" s="128"/>
      <c r="R300" s="124"/>
      <c r="S300" s="125"/>
      <c r="T300" s="126"/>
      <c r="U300" s="126"/>
      <c r="V300" s="126"/>
      <c r="W300" s="126"/>
      <c r="X300" s="126"/>
      <c r="Y300" s="126"/>
      <c r="Z300" s="127"/>
      <c r="AA300" s="127"/>
      <c r="AB300" s="127"/>
      <c r="AC300" s="127"/>
      <c r="AD300" s="261"/>
      <c r="AE300" s="261"/>
      <c r="AF300" s="261"/>
      <c r="AG300" s="261"/>
    </row>
    <row r="301" ht="34.5" hidden="1" customHeight="1">
      <c r="A301" s="111"/>
      <c r="B301" s="127"/>
      <c r="C301" s="111"/>
      <c r="D301" s="111"/>
      <c r="E301" s="111"/>
      <c r="F301" s="111"/>
      <c r="G301" s="111"/>
      <c r="H301" s="111"/>
      <c r="I301" s="127"/>
      <c r="J301" s="111"/>
      <c r="K301" s="257"/>
      <c r="L301" s="111"/>
      <c r="M301" s="127"/>
      <c r="N301" s="270"/>
      <c r="O301" s="111"/>
      <c r="P301" s="111"/>
      <c r="Q301" s="128"/>
      <c r="R301" s="124"/>
      <c r="S301" s="125"/>
      <c r="T301" s="126"/>
      <c r="U301" s="126"/>
      <c r="V301" s="126"/>
      <c r="W301" s="126"/>
      <c r="X301" s="126"/>
      <c r="Y301" s="126"/>
      <c r="Z301" s="127"/>
      <c r="AA301" s="127"/>
      <c r="AB301" s="127"/>
      <c r="AC301" s="127"/>
      <c r="AD301" s="261"/>
      <c r="AE301" s="261"/>
      <c r="AF301" s="261"/>
      <c r="AG301" s="261"/>
    </row>
    <row r="302" ht="34.5" hidden="1" customHeight="1">
      <c r="A302" s="111"/>
      <c r="B302" s="127"/>
      <c r="C302" s="111"/>
      <c r="D302" s="111"/>
      <c r="E302" s="111"/>
      <c r="F302" s="111"/>
      <c r="G302" s="111"/>
      <c r="H302" s="111"/>
      <c r="I302" s="127"/>
      <c r="J302" s="111"/>
      <c r="K302" s="257"/>
      <c r="L302" s="111"/>
      <c r="M302" s="127"/>
      <c r="N302" s="270"/>
      <c r="O302" s="111"/>
      <c r="P302" s="111"/>
      <c r="Q302" s="128"/>
      <c r="R302" s="124"/>
      <c r="S302" s="125"/>
      <c r="T302" s="126"/>
      <c r="U302" s="126"/>
      <c r="V302" s="126"/>
      <c r="W302" s="126"/>
      <c r="X302" s="126"/>
      <c r="Y302" s="126"/>
      <c r="Z302" s="127"/>
      <c r="AA302" s="127"/>
      <c r="AB302" s="127"/>
      <c r="AC302" s="127"/>
      <c r="AD302" s="261"/>
      <c r="AE302" s="261"/>
      <c r="AF302" s="261"/>
      <c r="AG302" s="261"/>
    </row>
    <row r="303" ht="34.5" hidden="1" customHeight="1">
      <c r="A303" s="111"/>
      <c r="B303" s="127"/>
      <c r="C303" s="111"/>
      <c r="D303" s="111"/>
      <c r="E303" s="111"/>
      <c r="F303" s="111"/>
      <c r="G303" s="111"/>
      <c r="H303" s="111"/>
      <c r="I303" s="127"/>
      <c r="J303" s="111"/>
      <c r="K303" s="257"/>
      <c r="L303" s="111"/>
      <c r="M303" s="127"/>
      <c r="N303" s="270"/>
      <c r="O303" s="111"/>
      <c r="P303" s="111"/>
      <c r="Q303" s="128"/>
      <c r="R303" s="124"/>
      <c r="S303" s="125"/>
      <c r="T303" s="126"/>
      <c r="U303" s="126"/>
      <c r="V303" s="126"/>
      <c r="W303" s="126"/>
      <c r="X303" s="126"/>
      <c r="Y303" s="126"/>
      <c r="Z303" s="127"/>
      <c r="AA303" s="127"/>
      <c r="AB303" s="127"/>
      <c r="AC303" s="127"/>
      <c r="AD303" s="261"/>
      <c r="AE303" s="261"/>
      <c r="AF303" s="261"/>
      <c r="AG303" s="261"/>
    </row>
    <row r="304" ht="34.5" hidden="1" customHeight="1">
      <c r="A304" s="111"/>
      <c r="B304" s="127"/>
      <c r="C304" s="111"/>
      <c r="D304" s="111"/>
      <c r="E304" s="111"/>
      <c r="F304" s="111"/>
      <c r="G304" s="111"/>
      <c r="H304" s="111"/>
      <c r="I304" s="127"/>
      <c r="J304" s="111"/>
      <c r="K304" s="257"/>
      <c r="L304" s="111"/>
      <c r="M304" s="127"/>
      <c r="N304" s="270"/>
      <c r="O304" s="111"/>
      <c r="P304" s="111"/>
      <c r="Q304" s="128"/>
      <c r="R304" s="124"/>
      <c r="S304" s="125"/>
      <c r="T304" s="126"/>
      <c r="U304" s="126"/>
      <c r="V304" s="126"/>
      <c r="W304" s="126"/>
      <c r="X304" s="126"/>
      <c r="Y304" s="126"/>
      <c r="Z304" s="127"/>
      <c r="AA304" s="127"/>
      <c r="AB304" s="127"/>
      <c r="AC304" s="127"/>
      <c r="AD304" s="261"/>
      <c r="AE304" s="261"/>
      <c r="AF304" s="261"/>
      <c r="AG304" s="261"/>
    </row>
    <row r="305" ht="34.5" hidden="1" customHeight="1">
      <c r="A305" s="111"/>
      <c r="B305" s="127"/>
      <c r="C305" s="111"/>
      <c r="D305" s="111"/>
      <c r="E305" s="111"/>
      <c r="F305" s="111"/>
      <c r="G305" s="111"/>
      <c r="H305" s="111"/>
      <c r="I305" s="127"/>
      <c r="J305" s="111"/>
      <c r="K305" s="257"/>
      <c r="L305" s="111"/>
      <c r="M305" s="127"/>
      <c r="N305" s="270"/>
      <c r="O305" s="111"/>
      <c r="P305" s="111"/>
      <c r="Q305" s="128"/>
      <c r="R305" s="124"/>
      <c r="S305" s="125"/>
      <c r="T305" s="126"/>
      <c r="U305" s="126"/>
      <c r="V305" s="126"/>
      <c r="W305" s="126"/>
      <c r="X305" s="126"/>
      <c r="Y305" s="126"/>
      <c r="Z305" s="127"/>
      <c r="AA305" s="127"/>
      <c r="AB305" s="127"/>
      <c r="AC305" s="127"/>
      <c r="AD305" s="261"/>
      <c r="AE305" s="261"/>
      <c r="AF305" s="261"/>
      <c r="AG305" s="261"/>
    </row>
    <row r="306" ht="34.5" hidden="1" customHeight="1">
      <c r="A306" s="111"/>
      <c r="B306" s="127"/>
      <c r="C306" s="111"/>
      <c r="D306" s="111"/>
      <c r="E306" s="111"/>
      <c r="F306" s="111"/>
      <c r="G306" s="111"/>
      <c r="H306" s="111"/>
      <c r="I306" s="127"/>
      <c r="J306" s="111"/>
      <c r="K306" s="257"/>
      <c r="L306" s="111"/>
      <c r="M306" s="127"/>
      <c r="N306" s="270"/>
      <c r="O306" s="111"/>
      <c r="P306" s="111"/>
      <c r="Q306" s="128"/>
      <c r="R306" s="124"/>
      <c r="S306" s="125"/>
      <c r="T306" s="126"/>
      <c r="U306" s="126"/>
      <c r="V306" s="126"/>
      <c r="W306" s="126"/>
      <c r="X306" s="126"/>
      <c r="Y306" s="126"/>
      <c r="Z306" s="127"/>
      <c r="AA306" s="127"/>
      <c r="AB306" s="127"/>
      <c r="AC306" s="127"/>
      <c r="AD306" s="261"/>
      <c r="AE306" s="261"/>
      <c r="AF306" s="261"/>
      <c r="AG306" s="261"/>
    </row>
    <row r="307" ht="34.5" hidden="1" customHeight="1">
      <c r="A307" s="111"/>
      <c r="B307" s="127"/>
      <c r="C307" s="111"/>
      <c r="D307" s="111"/>
      <c r="E307" s="111"/>
      <c r="F307" s="111"/>
      <c r="G307" s="111"/>
      <c r="H307" s="111"/>
      <c r="I307" s="127"/>
      <c r="J307" s="111"/>
      <c r="K307" s="257"/>
      <c r="L307" s="111"/>
      <c r="M307" s="127"/>
      <c r="N307" s="270"/>
      <c r="O307" s="111"/>
      <c r="P307" s="111"/>
      <c r="Q307" s="128"/>
      <c r="R307" s="124"/>
      <c r="S307" s="125"/>
      <c r="T307" s="126"/>
      <c r="U307" s="126"/>
      <c r="V307" s="126"/>
      <c r="W307" s="126"/>
      <c r="X307" s="126"/>
      <c r="Y307" s="126"/>
      <c r="Z307" s="127"/>
      <c r="AA307" s="127"/>
      <c r="AB307" s="127"/>
      <c r="AC307" s="127"/>
      <c r="AD307" s="261"/>
      <c r="AE307" s="261"/>
      <c r="AF307" s="261"/>
      <c r="AG307" s="261"/>
    </row>
    <row r="308" ht="34.5" hidden="1" customHeight="1">
      <c r="A308" s="111"/>
      <c r="B308" s="127"/>
      <c r="C308" s="111"/>
      <c r="D308" s="111"/>
      <c r="E308" s="111"/>
      <c r="F308" s="111"/>
      <c r="G308" s="111"/>
      <c r="H308" s="111"/>
      <c r="I308" s="127"/>
      <c r="J308" s="111"/>
      <c r="K308" s="257"/>
      <c r="L308" s="111"/>
      <c r="M308" s="127"/>
      <c r="N308" s="270"/>
      <c r="O308" s="111"/>
      <c r="P308" s="111"/>
      <c r="Q308" s="128"/>
      <c r="R308" s="124"/>
      <c r="S308" s="125"/>
      <c r="T308" s="126"/>
      <c r="U308" s="126"/>
      <c r="V308" s="126"/>
      <c r="W308" s="126"/>
      <c r="X308" s="126"/>
      <c r="Y308" s="126"/>
      <c r="Z308" s="127"/>
      <c r="AA308" s="127"/>
      <c r="AB308" s="127"/>
      <c r="AC308" s="127"/>
      <c r="AD308" s="261"/>
      <c r="AE308" s="261"/>
      <c r="AF308" s="261"/>
      <c r="AG308" s="261"/>
    </row>
    <row r="309" ht="34.5" hidden="1" customHeight="1">
      <c r="A309" s="111"/>
      <c r="B309" s="127"/>
      <c r="C309" s="111"/>
      <c r="D309" s="111"/>
      <c r="E309" s="111"/>
      <c r="F309" s="111"/>
      <c r="G309" s="111"/>
      <c r="H309" s="111"/>
      <c r="I309" s="127"/>
      <c r="J309" s="111"/>
      <c r="K309" s="257"/>
      <c r="L309" s="111"/>
      <c r="M309" s="127"/>
      <c r="N309" s="270"/>
      <c r="O309" s="111"/>
      <c r="P309" s="111"/>
      <c r="Q309" s="128"/>
      <c r="R309" s="124"/>
      <c r="S309" s="125"/>
      <c r="T309" s="126"/>
      <c r="U309" s="126"/>
      <c r="V309" s="126"/>
      <c r="W309" s="126"/>
      <c r="X309" s="126"/>
      <c r="Y309" s="126"/>
      <c r="Z309" s="127"/>
      <c r="AA309" s="127"/>
      <c r="AB309" s="127"/>
      <c r="AC309" s="127"/>
      <c r="AD309" s="261"/>
      <c r="AE309" s="261"/>
      <c r="AF309" s="261"/>
      <c r="AG309" s="261"/>
    </row>
    <row r="310" ht="34.5" hidden="1" customHeight="1">
      <c r="A310" s="111"/>
      <c r="B310" s="127"/>
      <c r="C310" s="111"/>
      <c r="D310" s="111"/>
      <c r="E310" s="111"/>
      <c r="F310" s="111"/>
      <c r="G310" s="111"/>
      <c r="H310" s="111"/>
      <c r="I310" s="127"/>
      <c r="J310" s="111"/>
      <c r="K310" s="257"/>
      <c r="L310" s="111"/>
      <c r="M310" s="127"/>
      <c r="N310" s="270"/>
      <c r="O310" s="111"/>
      <c r="P310" s="111"/>
      <c r="Q310" s="128"/>
      <c r="R310" s="124"/>
      <c r="S310" s="125"/>
      <c r="T310" s="126"/>
      <c r="U310" s="126"/>
      <c r="V310" s="126"/>
      <c r="W310" s="126"/>
      <c r="X310" s="126"/>
      <c r="Y310" s="126"/>
      <c r="Z310" s="127"/>
      <c r="AA310" s="127"/>
      <c r="AB310" s="127"/>
      <c r="AC310" s="127"/>
      <c r="AD310" s="261"/>
      <c r="AE310" s="261"/>
      <c r="AF310" s="261"/>
      <c r="AG310" s="261"/>
    </row>
    <row r="311" ht="34.5" hidden="1" customHeight="1">
      <c r="A311" s="111"/>
      <c r="B311" s="127"/>
      <c r="C311" s="111"/>
      <c r="D311" s="111"/>
      <c r="E311" s="111"/>
      <c r="F311" s="111"/>
      <c r="G311" s="111"/>
      <c r="H311" s="111"/>
      <c r="I311" s="127"/>
      <c r="J311" s="111"/>
      <c r="K311" s="257"/>
      <c r="L311" s="111"/>
      <c r="M311" s="127"/>
      <c r="N311" s="270"/>
      <c r="O311" s="111"/>
      <c r="P311" s="111"/>
      <c r="Q311" s="128"/>
      <c r="R311" s="124"/>
      <c r="S311" s="125"/>
      <c r="T311" s="126"/>
      <c r="U311" s="126"/>
      <c r="V311" s="126"/>
      <c r="W311" s="126"/>
      <c r="X311" s="126"/>
      <c r="Y311" s="126"/>
      <c r="Z311" s="127"/>
      <c r="AA311" s="127"/>
      <c r="AB311" s="127"/>
      <c r="AC311" s="127"/>
      <c r="AD311" s="261"/>
      <c r="AE311" s="261"/>
      <c r="AF311" s="261"/>
      <c r="AG311" s="261"/>
    </row>
    <row r="312" ht="34.5" hidden="1" customHeight="1">
      <c r="A312" s="111"/>
      <c r="B312" s="127"/>
      <c r="C312" s="111"/>
      <c r="D312" s="111"/>
      <c r="E312" s="111"/>
      <c r="F312" s="111"/>
      <c r="G312" s="111"/>
      <c r="H312" s="111"/>
      <c r="I312" s="127"/>
      <c r="J312" s="111"/>
      <c r="K312" s="257"/>
      <c r="L312" s="111"/>
      <c r="M312" s="127"/>
      <c r="N312" s="270"/>
      <c r="O312" s="111"/>
      <c r="P312" s="111"/>
      <c r="Q312" s="128"/>
      <c r="R312" s="124"/>
      <c r="S312" s="125"/>
      <c r="T312" s="126"/>
      <c r="U312" s="126"/>
      <c r="V312" s="126"/>
      <c r="W312" s="126"/>
      <c r="X312" s="126"/>
      <c r="Y312" s="126"/>
      <c r="Z312" s="127"/>
      <c r="AA312" s="127"/>
      <c r="AB312" s="127"/>
      <c r="AC312" s="127"/>
      <c r="AD312" s="261"/>
      <c r="AE312" s="261"/>
      <c r="AF312" s="261"/>
      <c r="AG312" s="261"/>
    </row>
    <row r="313" ht="34.5" hidden="1" customHeight="1">
      <c r="A313" s="111"/>
      <c r="B313" s="127"/>
      <c r="C313" s="111"/>
      <c r="D313" s="111"/>
      <c r="E313" s="111"/>
      <c r="F313" s="111"/>
      <c r="G313" s="111"/>
      <c r="H313" s="111"/>
      <c r="I313" s="127"/>
      <c r="J313" s="111"/>
      <c r="K313" s="257"/>
      <c r="L313" s="111"/>
      <c r="M313" s="127"/>
      <c r="N313" s="270"/>
      <c r="O313" s="111"/>
      <c r="P313" s="111"/>
      <c r="Q313" s="128"/>
      <c r="R313" s="124"/>
      <c r="S313" s="125"/>
      <c r="T313" s="126"/>
      <c r="U313" s="126"/>
      <c r="V313" s="126"/>
      <c r="W313" s="126"/>
      <c r="X313" s="126"/>
      <c r="Y313" s="126"/>
      <c r="Z313" s="127"/>
      <c r="AA313" s="127"/>
      <c r="AB313" s="127"/>
      <c r="AC313" s="127"/>
      <c r="AD313" s="261"/>
      <c r="AE313" s="261"/>
      <c r="AF313" s="261"/>
      <c r="AG313" s="261"/>
    </row>
    <row r="314" ht="34.5" hidden="1" customHeight="1">
      <c r="A314" s="111"/>
      <c r="B314" s="127"/>
      <c r="C314" s="111"/>
      <c r="D314" s="111"/>
      <c r="E314" s="111"/>
      <c r="F314" s="111"/>
      <c r="G314" s="111"/>
      <c r="H314" s="111"/>
      <c r="I314" s="127"/>
      <c r="J314" s="111"/>
      <c r="K314" s="257"/>
      <c r="L314" s="111"/>
      <c r="M314" s="127"/>
      <c r="N314" s="270"/>
      <c r="O314" s="111"/>
      <c r="P314" s="111"/>
      <c r="Q314" s="128"/>
      <c r="R314" s="124"/>
      <c r="S314" s="125"/>
      <c r="T314" s="126"/>
      <c r="U314" s="126"/>
      <c r="V314" s="126"/>
      <c r="W314" s="126"/>
      <c r="X314" s="126"/>
      <c r="Y314" s="126"/>
      <c r="Z314" s="127"/>
      <c r="AA314" s="127"/>
      <c r="AB314" s="127"/>
      <c r="AC314" s="127"/>
      <c r="AD314" s="261"/>
      <c r="AE314" s="261"/>
      <c r="AF314" s="261"/>
      <c r="AG314" s="261"/>
    </row>
    <row r="315" ht="34.5" hidden="1" customHeight="1">
      <c r="A315" s="111"/>
      <c r="B315" s="127"/>
      <c r="C315" s="111"/>
      <c r="D315" s="111"/>
      <c r="E315" s="111"/>
      <c r="F315" s="111"/>
      <c r="G315" s="111"/>
      <c r="H315" s="111"/>
      <c r="I315" s="127"/>
      <c r="J315" s="111"/>
      <c r="K315" s="257"/>
      <c r="L315" s="111"/>
      <c r="M315" s="127"/>
      <c r="N315" s="270"/>
      <c r="O315" s="111"/>
      <c r="P315" s="111"/>
      <c r="Q315" s="128"/>
      <c r="R315" s="124"/>
      <c r="S315" s="125"/>
      <c r="T315" s="126"/>
      <c r="U315" s="126"/>
      <c r="V315" s="126"/>
      <c r="W315" s="126"/>
      <c r="X315" s="126"/>
      <c r="Y315" s="126"/>
      <c r="Z315" s="127"/>
      <c r="AA315" s="127"/>
      <c r="AB315" s="127"/>
      <c r="AC315" s="127"/>
      <c r="AD315" s="261"/>
      <c r="AE315" s="261"/>
      <c r="AF315" s="261"/>
      <c r="AG315" s="261"/>
    </row>
    <row r="316" ht="34.5" hidden="1" customHeight="1">
      <c r="A316" s="111"/>
      <c r="B316" s="127"/>
      <c r="C316" s="111"/>
      <c r="D316" s="111"/>
      <c r="E316" s="111"/>
      <c r="F316" s="111"/>
      <c r="G316" s="111"/>
      <c r="H316" s="111"/>
      <c r="I316" s="127"/>
      <c r="J316" s="111"/>
      <c r="K316" s="257"/>
      <c r="L316" s="111"/>
      <c r="M316" s="127"/>
      <c r="N316" s="270"/>
      <c r="O316" s="111"/>
      <c r="P316" s="111"/>
      <c r="Q316" s="128"/>
      <c r="R316" s="124"/>
      <c r="S316" s="125"/>
      <c r="T316" s="126"/>
      <c r="U316" s="126"/>
      <c r="V316" s="126"/>
      <c r="W316" s="126"/>
      <c r="X316" s="126"/>
      <c r="Y316" s="126"/>
      <c r="Z316" s="127"/>
      <c r="AA316" s="127"/>
      <c r="AB316" s="127"/>
      <c r="AC316" s="127"/>
      <c r="AD316" s="261"/>
      <c r="AE316" s="261"/>
      <c r="AF316" s="261"/>
      <c r="AG316" s="261"/>
    </row>
    <row r="317" ht="34.5" hidden="1" customHeight="1">
      <c r="A317" s="111"/>
      <c r="B317" s="127"/>
      <c r="C317" s="111"/>
      <c r="D317" s="111"/>
      <c r="E317" s="111"/>
      <c r="F317" s="111"/>
      <c r="G317" s="111"/>
      <c r="H317" s="111"/>
      <c r="I317" s="127"/>
      <c r="J317" s="111"/>
      <c r="K317" s="257"/>
      <c r="L317" s="111"/>
      <c r="M317" s="127"/>
      <c r="N317" s="270"/>
      <c r="O317" s="111"/>
      <c r="P317" s="111"/>
      <c r="Q317" s="128"/>
      <c r="R317" s="124"/>
      <c r="S317" s="125"/>
      <c r="T317" s="126"/>
      <c r="U317" s="126"/>
      <c r="V317" s="126"/>
      <c r="W317" s="126"/>
      <c r="X317" s="126"/>
      <c r="Y317" s="126"/>
      <c r="Z317" s="127"/>
      <c r="AA317" s="127"/>
      <c r="AB317" s="127"/>
      <c r="AC317" s="127"/>
      <c r="AD317" s="261"/>
      <c r="AE317" s="261"/>
      <c r="AF317" s="261"/>
      <c r="AG317" s="261"/>
    </row>
    <row r="318" ht="34.5" hidden="1" customHeight="1">
      <c r="A318" s="111"/>
      <c r="B318" s="127"/>
      <c r="C318" s="111"/>
      <c r="D318" s="111"/>
      <c r="E318" s="111"/>
      <c r="F318" s="111"/>
      <c r="G318" s="111"/>
      <c r="H318" s="111"/>
      <c r="I318" s="127"/>
      <c r="J318" s="111"/>
      <c r="K318" s="257"/>
      <c r="L318" s="111"/>
      <c r="M318" s="127"/>
      <c r="N318" s="270"/>
      <c r="O318" s="111"/>
      <c r="P318" s="111"/>
      <c r="Q318" s="128"/>
      <c r="R318" s="124"/>
      <c r="S318" s="125"/>
      <c r="T318" s="126"/>
      <c r="U318" s="126"/>
      <c r="V318" s="126"/>
      <c r="W318" s="126"/>
      <c r="X318" s="126"/>
      <c r="Y318" s="126"/>
      <c r="Z318" s="127"/>
      <c r="AA318" s="127"/>
      <c r="AB318" s="127"/>
      <c r="AC318" s="127"/>
      <c r="AD318" s="261"/>
      <c r="AE318" s="261"/>
      <c r="AF318" s="261"/>
      <c r="AG318" s="261"/>
    </row>
    <row r="319" ht="34.5" hidden="1" customHeight="1">
      <c r="A319" s="111"/>
      <c r="B319" s="127"/>
      <c r="C319" s="111"/>
      <c r="D319" s="111"/>
      <c r="E319" s="111"/>
      <c r="F319" s="111"/>
      <c r="G319" s="111"/>
      <c r="H319" s="111"/>
      <c r="I319" s="127"/>
      <c r="J319" s="111"/>
      <c r="K319" s="257"/>
      <c r="L319" s="111"/>
      <c r="M319" s="127"/>
      <c r="N319" s="270"/>
      <c r="O319" s="111"/>
      <c r="P319" s="111"/>
      <c r="Q319" s="128"/>
      <c r="R319" s="124"/>
      <c r="S319" s="125"/>
      <c r="T319" s="126"/>
      <c r="U319" s="126"/>
      <c r="V319" s="126"/>
      <c r="W319" s="126"/>
      <c r="X319" s="126"/>
      <c r="Y319" s="126"/>
      <c r="Z319" s="127"/>
      <c r="AA319" s="127"/>
      <c r="AB319" s="127"/>
      <c r="AC319" s="127"/>
      <c r="AD319" s="261"/>
      <c r="AE319" s="261"/>
      <c r="AF319" s="261"/>
      <c r="AG319" s="261"/>
    </row>
    <row r="320" ht="34.5" hidden="1" customHeight="1">
      <c r="A320" s="111"/>
      <c r="B320" s="127"/>
      <c r="C320" s="111"/>
      <c r="D320" s="111"/>
      <c r="E320" s="111"/>
      <c r="F320" s="111"/>
      <c r="G320" s="111"/>
      <c r="H320" s="111"/>
      <c r="I320" s="127"/>
      <c r="J320" s="111"/>
      <c r="K320" s="257"/>
      <c r="L320" s="111"/>
      <c r="M320" s="127"/>
      <c r="N320" s="270"/>
      <c r="O320" s="111"/>
      <c r="P320" s="111"/>
      <c r="Q320" s="128"/>
      <c r="R320" s="124"/>
      <c r="S320" s="125"/>
      <c r="T320" s="126"/>
      <c r="U320" s="126"/>
      <c r="V320" s="126"/>
      <c r="W320" s="126"/>
      <c r="X320" s="126"/>
      <c r="Y320" s="126"/>
      <c r="Z320" s="127"/>
      <c r="AA320" s="127"/>
      <c r="AB320" s="127"/>
      <c r="AC320" s="127"/>
      <c r="AD320" s="261"/>
      <c r="AE320" s="261"/>
      <c r="AF320" s="261"/>
      <c r="AG320" s="261"/>
    </row>
    <row r="321" ht="34.5" hidden="1" customHeight="1">
      <c r="A321" s="111"/>
      <c r="B321" s="127"/>
      <c r="C321" s="111"/>
      <c r="D321" s="111"/>
      <c r="E321" s="111"/>
      <c r="F321" s="111"/>
      <c r="G321" s="111"/>
      <c r="H321" s="111"/>
      <c r="I321" s="127"/>
      <c r="J321" s="111"/>
      <c r="K321" s="257"/>
      <c r="L321" s="111"/>
      <c r="M321" s="127"/>
      <c r="N321" s="270"/>
      <c r="O321" s="111"/>
      <c r="P321" s="111"/>
      <c r="Q321" s="128"/>
      <c r="R321" s="124"/>
      <c r="S321" s="125"/>
      <c r="T321" s="126"/>
      <c r="U321" s="126"/>
      <c r="V321" s="126"/>
      <c r="W321" s="126"/>
      <c r="X321" s="126"/>
      <c r="Y321" s="126"/>
      <c r="Z321" s="127"/>
      <c r="AA321" s="127"/>
      <c r="AB321" s="127"/>
      <c r="AC321" s="127"/>
      <c r="AD321" s="261"/>
      <c r="AE321" s="261"/>
      <c r="AF321" s="261"/>
      <c r="AG321" s="261"/>
    </row>
    <row r="322" ht="34.5" hidden="1" customHeight="1">
      <c r="A322" s="111"/>
      <c r="B322" s="127"/>
      <c r="C322" s="111"/>
      <c r="D322" s="111"/>
      <c r="E322" s="111"/>
      <c r="F322" s="111"/>
      <c r="G322" s="111"/>
      <c r="H322" s="111"/>
      <c r="I322" s="127"/>
      <c r="J322" s="111"/>
      <c r="K322" s="257"/>
      <c r="L322" s="111"/>
      <c r="M322" s="127"/>
      <c r="N322" s="270"/>
      <c r="O322" s="111"/>
      <c r="P322" s="111"/>
      <c r="Q322" s="128"/>
      <c r="R322" s="124"/>
      <c r="S322" s="125"/>
      <c r="T322" s="126"/>
      <c r="U322" s="126"/>
      <c r="V322" s="126"/>
      <c r="W322" s="126"/>
      <c r="X322" s="126"/>
      <c r="Y322" s="126"/>
      <c r="Z322" s="127"/>
      <c r="AA322" s="127"/>
      <c r="AB322" s="127"/>
      <c r="AC322" s="127"/>
      <c r="AD322" s="261"/>
      <c r="AE322" s="261"/>
      <c r="AF322" s="261"/>
      <c r="AG322" s="261"/>
    </row>
    <row r="323" ht="34.5" hidden="1" customHeight="1">
      <c r="A323" s="111"/>
      <c r="B323" s="127"/>
      <c r="C323" s="111"/>
      <c r="D323" s="111"/>
      <c r="E323" s="111"/>
      <c r="F323" s="111"/>
      <c r="G323" s="111"/>
      <c r="H323" s="111"/>
      <c r="I323" s="127"/>
      <c r="J323" s="111"/>
      <c r="K323" s="257"/>
      <c r="L323" s="111"/>
      <c r="M323" s="127"/>
      <c r="N323" s="270"/>
      <c r="O323" s="111"/>
      <c r="P323" s="111"/>
      <c r="Q323" s="128"/>
      <c r="R323" s="124"/>
      <c r="S323" s="125"/>
      <c r="T323" s="126"/>
      <c r="U323" s="126"/>
      <c r="V323" s="126"/>
      <c r="W323" s="126"/>
      <c r="X323" s="126"/>
      <c r="Y323" s="126"/>
      <c r="Z323" s="127"/>
      <c r="AA323" s="127"/>
      <c r="AB323" s="127"/>
      <c r="AC323" s="127"/>
      <c r="AD323" s="261"/>
      <c r="AE323" s="261"/>
      <c r="AF323" s="261"/>
      <c r="AG323" s="261"/>
    </row>
    <row r="324" ht="34.5" hidden="1" customHeight="1">
      <c r="A324" s="111"/>
      <c r="B324" s="127"/>
      <c r="C324" s="111"/>
      <c r="D324" s="111"/>
      <c r="E324" s="111"/>
      <c r="F324" s="111"/>
      <c r="G324" s="111"/>
      <c r="H324" s="111"/>
      <c r="I324" s="127"/>
      <c r="J324" s="111"/>
      <c r="K324" s="257"/>
      <c r="L324" s="111"/>
      <c r="M324" s="127"/>
      <c r="N324" s="270"/>
      <c r="O324" s="111"/>
      <c r="P324" s="111"/>
      <c r="Q324" s="128"/>
      <c r="R324" s="124"/>
      <c r="S324" s="125"/>
      <c r="T324" s="126"/>
      <c r="U324" s="126"/>
      <c r="V324" s="126"/>
      <c r="W324" s="126"/>
      <c r="X324" s="126"/>
      <c r="Y324" s="126"/>
      <c r="Z324" s="127"/>
      <c r="AA324" s="127"/>
      <c r="AB324" s="127"/>
      <c r="AC324" s="127"/>
      <c r="AD324" s="261"/>
      <c r="AE324" s="261"/>
      <c r="AF324" s="261"/>
      <c r="AG324" s="261"/>
    </row>
    <row r="325" ht="34.5" hidden="1" customHeight="1">
      <c r="A325" s="111"/>
      <c r="B325" s="127"/>
      <c r="C325" s="111"/>
      <c r="D325" s="111"/>
      <c r="E325" s="111"/>
      <c r="F325" s="111"/>
      <c r="G325" s="111"/>
      <c r="H325" s="111"/>
      <c r="I325" s="127"/>
      <c r="J325" s="111"/>
      <c r="K325" s="257"/>
      <c r="L325" s="111"/>
      <c r="M325" s="127"/>
      <c r="N325" s="270"/>
      <c r="O325" s="111"/>
      <c r="P325" s="111"/>
      <c r="Q325" s="128"/>
      <c r="R325" s="124"/>
      <c r="S325" s="125"/>
      <c r="T325" s="126"/>
      <c r="U325" s="126"/>
      <c r="V325" s="126"/>
      <c r="W325" s="126"/>
      <c r="X325" s="126"/>
      <c r="Y325" s="126"/>
      <c r="Z325" s="127"/>
      <c r="AA325" s="127"/>
      <c r="AB325" s="127"/>
      <c r="AC325" s="127"/>
      <c r="AD325" s="261"/>
      <c r="AE325" s="261"/>
      <c r="AF325" s="261"/>
      <c r="AG325" s="261"/>
    </row>
    <row r="326" ht="34.5" hidden="1" customHeight="1">
      <c r="A326" s="111"/>
      <c r="B326" s="127"/>
      <c r="C326" s="111"/>
      <c r="D326" s="111"/>
      <c r="E326" s="111"/>
      <c r="F326" s="111"/>
      <c r="G326" s="111"/>
      <c r="H326" s="111"/>
      <c r="I326" s="127"/>
      <c r="J326" s="111"/>
      <c r="K326" s="257"/>
      <c r="L326" s="111"/>
      <c r="M326" s="127"/>
      <c r="N326" s="270"/>
      <c r="O326" s="111"/>
      <c r="P326" s="111"/>
      <c r="Q326" s="128"/>
      <c r="R326" s="124"/>
      <c r="S326" s="125"/>
      <c r="T326" s="126"/>
      <c r="U326" s="126"/>
      <c r="V326" s="126"/>
      <c r="W326" s="126"/>
      <c r="X326" s="126"/>
      <c r="Y326" s="126"/>
      <c r="Z326" s="127"/>
      <c r="AA326" s="127"/>
      <c r="AB326" s="127"/>
      <c r="AC326" s="127"/>
      <c r="AD326" s="261"/>
      <c r="AE326" s="261"/>
      <c r="AF326" s="261"/>
      <c r="AG326" s="261"/>
    </row>
    <row r="327" ht="34.5" hidden="1" customHeight="1">
      <c r="A327" s="111"/>
      <c r="B327" s="127"/>
      <c r="C327" s="111"/>
      <c r="D327" s="111"/>
      <c r="E327" s="111"/>
      <c r="F327" s="111"/>
      <c r="G327" s="111"/>
      <c r="H327" s="111"/>
      <c r="I327" s="127"/>
      <c r="J327" s="111"/>
      <c r="K327" s="257"/>
      <c r="L327" s="111"/>
      <c r="M327" s="127"/>
      <c r="N327" s="270"/>
      <c r="O327" s="111"/>
      <c r="P327" s="111"/>
      <c r="Q327" s="128"/>
      <c r="R327" s="124"/>
      <c r="S327" s="125"/>
      <c r="T327" s="126"/>
      <c r="U327" s="126"/>
      <c r="V327" s="126"/>
      <c r="W327" s="126"/>
      <c r="X327" s="126"/>
      <c r="Y327" s="126"/>
      <c r="Z327" s="127"/>
      <c r="AA327" s="127"/>
      <c r="AB327" s="127"/>
      <c r="AC327" s="127"/>
      <c r="AD327" s="261"/>
      <c r="AE327" s="261"/>
      <c r="AF327" s="261"/>
      <c r="AG327" s="261"/>
    </row>
    <row r="328" ht="34.5" hidden="1" customHeight="1">
      <c r="A328" s="111"/>
      <c r="B328" s="127"/>
      <c r="C328" s="111"/>
      <c r="D328" s="111"/>
      <c r="E328" s="111"/>
      <c r="F328" s="111"/>
      <c r="G328" s="111"/>
      <c r="H328" s="111"/>
      <c r="I328" s="127"/>
      <c r="J328" s="111"/>
      <c r="K328" s="257"/>
      <c r="L328" s="111"/>
      <c r="M328" s="127"/>
      <c r="N328" s="270"/>
      <c r="O328" s="111"/>
      <c r="P328" s="111"/>
      <c r="Q328" s="128"/>
      <c r="R328" s="124"/>
      <c r="S328" s="125"/>
      <c r="T328" s="126"/>
      <c r="U328" s="126"/>
      <c r="V328" s="126"/>
      <c r="W328" s="126"/>
      <c r="X328" s="126"/>
      <c r="Y328" s="126"/>
      <c r="Z328" s="127"/>
      <c r="AA328" s="127"/>
      <c r="AB328" s="127"/>
      <c r="AC328" s="127"/>
      <c r="AD328" s="261"/>
      <c r="AE328" s="261"/>
      <c r="AF328" s="261"/>
      <c r="AG328" s="261"/>
    </row>
    <row r="329" ht="34.5" hidden="1" customHeight="1">
      <c r="A329" s="111"/>
      <c r="B329" s="127"/>
      <c r="C329" s="111"/>
      <c r="D329" s="111"/>
      <c r="E329" s="111"/>
      <c r="F329" s="111"/>
      <c r="G329" s="111"/>
      <c r="H329" s="111"/>
      <c r="I329" s="127"/>
      <c r="J329" s="111"/>
      <c r="K329" s="257"/>
      <c r="L329" s="111"/>
      <c r="M329" s="127"/>
      <c r="N329" s="270"/>
      <c r="O329" s="111"/>
      <c r="P329" s="111"/>
      <c r="Q329" s="128"/>
      <c r="R329" s="124"/>
      <c r="S329" s="125"/>
      <c r="T329" s="126"/>
      <c r="U329" s="126"/>
      <c r="V329" s="126"/>
      <c r="W329" s="126"/>
      <c r="X329" s="126"/>
      <c r="Y329" s="126"/>
      <c r="Z329" s="127"/>
      <c r="AA329" s="127"/>
      <c r="AB329" s="127"/>
      <c r="AC329" s="127"/>
      <c r="AD329" s="261"/>
      <c r="AE329" s="261"/>
      <c r="AF329" s="261"/>
      <c r="AG329" s="261"/>
    </row>
    <row r="330" ht="34.5" hidden="1" customHeight="1">
      <c r="A330" s="111"/>
      <c r="B330" s="127"/>
      <c r="C330" s="111"/>
      <c r="D330" s="111"/>
      <c r="E330" s="111"/>
      <c r="F330" s="111"/>
      <c r="G330" s="111"/>
      <c r="H330" s="111"/>
      <c r="I330" s="127"/>
      <c r="J330" s="111"/>
      <c r="K330" s="257"/>
      <c r="L330" s="111"/>
      <c r="M330" s="127"/>
      <c r="N330" s="270"/>
      <c r="O330" s="111"/>
      <c r="P330" s="111"/>
      <c r="Q330" s="128"/>
      <c r="R330" s="124"/>
      <c r="S330" s="125"/>
      <c r="T330" s="126"/>
      <c r="U330" s="126"/>
      <c r="V330" s="126"/>
      <c r="W330" s="126"/>
      <c r="X330" s="126"/>
      <c r="Y330" s="126"/>
      <c r="Z330" s="127"/>
      <c r="AA330" s="127"/>
      <c r="AB330" s="127"/>
      <c r="AC330" s="127"/>
      <c r="AD330" s="261"/>
      <c r="AE330" s="261"/>
      <c r="AF330" s="261"/>
      <c r="AG330" s="261"/>
    </row>
    <row r="331" ht="34.5" hidden="1" customHeight="1">
      <c r="A331" s="111"/>
      <c r="B331" s="127"/>
      <c r="C331" s="111"/>
      <c r="D331" s="111"/>
      <c r="E331" s="111"/>
      <c r="F331" s="111"/>
      <c r="G331" s="111"/>
      <c r="H331" s="111"/>
      <c r="I331" s="127"/>
      <c r="J331" s="111"/>
      <c r="K331" s="257"/>
      <c r="L331" s="111"/>
      <c r="M331" s="127"/>
      <c r="N331" s="270"/>
      <c r="O331" s="111"/>
      <c r="P331" s="111"/>
      <c r="Q331" s="128"/>
      <c r="R331" s="124"/>
      <c r="S331" s="125"/>
      <c r="T331" s="126"/>
      <c r="U331" s="126"/>
      <c r="V331" s="126"/>
      <c r="W331" s="126"/>
      <c r="X331" s="126"/>
      <c r="Y331" s="126"/>
      <c r="Z331" s="127"/>
      <c r="AA331" s="127"/>
      <c r="AB331" s="127"/>
      <c r="AC331" s="127"/>
      <c r="AD331" s="261"/>
      <c r="AE331" s="261"/>
      <c r="AF331" s="261"/>
      <c r="AG331" s="261"/>
    </row>
    <row r="332" ht="34.5" hidden="1" customHeight="1">
      <c r="A332" s="111"/>
      <c r="B332" s="127"/>
      <c r="C332" s="111"/>
      <c r="D332" s="111"/>
      <c r="E332" s="111"/>
      <c r="F332" s="111"/>
      <c r="G332" s="111"/>
      <c r="H332" s="111"/>
      <c r="I332" s="127"/>
      <c r="J332" s="111"/>
      <c r="K332" s="257"/>
      <c r="L332" s="111"/>
      <c r="M332" s="127"/>
      <c r="N332" s="270"/>
      <c r="O332" s="111"/>
      <c r="P332" s="111"/>
      <c r="Q332" s="128"/>
      <c r="R332" s="124"/>
      <c r="S332" s="125"/>
      <c r="T332" s="126"/>
      <c r="U332" s="126"/>
      <c r="V332" s="126"/>
      <c r="W332" s="126"/>
      <c r="X332" s="126"/>
      <c r="Y332" s="126"/>
      <c r="Z332" s="127"/>
      <c r="AA332" s="127"/>
      <c r="AB332" s="127"/>
      <c r="AC332" s="127"/>
      <c r="AD332" s="261"/>
      <c r="AE332" s="261"/>
      <c r="AF332" s="261"/>
      <c r="AG332" s="261"/>
    </row>
    <row r="333" ht="34.5" hidden="1" customHeight="1">
      <c r="A333" s="111"/>
      <c r="B333" s="127"/>
      <c r="C333" s="111"/>
      <c r="D333" s="111"/>
      <c r="E333" s="111"/>
      <c r="F333" s="111"/>
      <c r="G333" s="111"/>
      <c r="H333" s="111"/>
      <c r="I333" s="127"/>
      <c r="J333" s="111"/>
      <c r="K333" s="257"/>
      <c r="L333" s="111"/>
      <c r="M333" s="127"/>
      <c r="N333" s="270"/>
      <c r="O333" s="111"/>
      <c r="P333" s="111"/>
      <c r="Q333" s="128"/>
      <c r="R333" s="124"/>
      <c r="S333" s="125"/>
      <c r="T333" s="126"/>
      <c r="U333" s="126"/>
      <c r="V333" s="126"/>
      <c r="W333" s="126"/>
      <c r="X333" s="126"/>
      <c r="Y333" s="126"/>
      <c r="Z333" s="127"/>
      <c r="AA333" s="127"/>
      <c r="AB333" s="127"/>
      <c r="AC333" s="127"/>
      <c r="AD333" s="261"/>
      <c r="AE333" s="261"/>
      <c r="AF333" s="261"/>
      <c r="AG333" s="261"/>
    </row>
    <row r="334" ht="34.5" hidden="1" customHeight="1">
      <c r="A334" s="111"/>
      <c r="B334" s="127"/>
      <c r="C334" s="111"/>
      <c r="D334" s="111"/>
      <c r="E334" s="111"/>
      <c r="F334" s="111"/>
      <c r="G334" s="111"/>
      <c r="H334" s="111"/>
      <c r="I334" s="127"/>
      <c r="J334" s="111"/>
      <c r="K334" s="257"/>
      <c r="L334" s="111"/>
      <c r="M334" s="127"/>
      <c r="N334" s="270"/>
      <c r="O334" s="111"/>
      <c r="P334" s="111"/>
      <c r="Q334" s="128"/>
      <c r="R334" s="124"/>
      <c r="S334" s="125"/>
      <c r="T334" s="126"/>
      <c r="U334" s="126"/>
      <c r="V334" s="126"/>
      <c r="W334" s="126"/>
      <c r="X334" s="126"/>
      <c r="Y334" s="126"/>
      <c r="Z334" s="127"/>
      <c r="AA334" s="127"/>
      <c r="AB334" s="127"/>
      <c r="AC334" s="127"/>
      <c r="AD334" s="261"/>
      <c r="AE334" s="261"/>
      <c r="AF334" s="261"/>
      <c r="AG334" s="261"/>
    </row>
    <row r="335" ht="34.5" hidden="1" customHeight="1">
      <c r="A335" s="111"/>
      <c r="B335" s="127"/>
      <c r="C335" s="111"/>
      <c r="D335" s="111"/>
      <c r="E335" s="111"/>
      <c r="F335" s="111"/>
      <c r="G335" s="111"/>
      <c r="H335" s="111"/>
      <c r="I335" s="127"/>
      <c r="J335" s="111"/>
      <c r="K335" s="257"/>
      <c r="L335" s="111"/>
      <c r="M335" s="127"/>
      <c r="N335" s="270"/>
      <c r="O335" s="111"/>
      <c r="P335" s="111"/>
      <c r="Q335" s="128"/>
      <c r="R335" s="124"/>
      <c r="S335" s="125"/>
      <c r="T335" s="126"/>
      <c r="U335" s="126"/>
      <c r="V335" s="126"/>
      <c r="W335" s="126"/>
      <c r="X335" s="126"/>
      <c r="Y335" s="126"/>
      <c r="Z335" s="127"/>
      <c r="AA335" s="127"/>
      <c r="AB335" s="127"/>
      <c r="AC335" s="127"/>
      <c r="AD335" s="261"/>
      <c r="AE335" s="261"/>
      <c r="AF335" s="261"/>
      <c r="AG335" s="261"/>
    </row>
    <row r="336" ht="34.5" hidden="1" customHeight="1">
      <c r="A336" s="111"/>
      <c r="B336" s="127"/>
      <c r="C336" s="111"/>
      <c r="D336" s="111"/>
      <c r="E336" s="111"/>
      <c r="F336" s="111"/>
      <c r="G336" s="111"/>
      <c r="H336" s="111"/>
      <c r="I336" s="127"/>
      <c r="J336" s="111"/>
      <c r="K336" s="257"/>
      <c r="L336" s="111"/>
      <c r="M336" s="127"/>
      <c r="N336" s="270"/>
      <c r="O336" s="111"/>
      <c r="P336" s="111"/>
      <c r="Q336" s="128"/>
      <c r="R336" s="124"/>
      <c r="S336" s="125"/>
      <c r="T336" s="126"/>
      <c r="U336" s="126"/>
      <c r="V336" s="126"/>
      <c r="W336" s="126"/>
      <c r="X336" s="126"/>
      <c r="Y336" s="126"/>
      <c r="Z336" s="127"/>
      <c r="AA336" s="127"/>
      <c r="AB336" s="127"/>
      <c r="AC336" s="127"/>
      <c r="AD336" s="261"/>
      <c r="AE336" s="261"/>
      <c r="AF336" s="261"/>
      <c r="AG336" s="261"/>
    </row>
    <row r="337" ht="34.5" hidden="1" customHeight="1">
      <c r="A337" s="111"/>
      <c r="B337" s="127"/>
      <c r="C337" s="111"/>
      <c r="D337" s="111"/>
      <c r="E337" s="111"/>
      <c r="F337" s="111"/>
      <c r="G337" s="111"/>
      <c r="H337" s="111"/>
      <c r="I337" s="127"/>
      <c r="J337" s="111"/>
      <c r="K337" s="257"/>
      <c r="L337" s="111"/>
      <c r="M337" s="127"/>
      <c r="N337" s="270"/>
      <c r="O337" s="111"/>
      <c r="P337" s="111"/>
      <c r="Q337" s="128"/>
      <c r="R337" s="124"/>
      <c r="S337" s="125"/>
      <c r="T337" s="126"/>
      <c r="U337" s="126"/>
      <c r="V337" s="126"/>
      <c r="W337" s="126"/>
      <c r="X337" s="126"/>
      <c r="Y337" s="126"/>
      <c r="Z337" s="127"/>
      <c r="AA337" s="127"/>
      <c r="AB337" s="127"/>
      <c r="AC337" s="127"/>
      <c r="AD337" s="261"/>
      <c r="AE337" s="261"/>
      <c r="AF337" s="261"/>
      <c r="AG337" s="261"/>
    </row>
    <row r="338" ht="34.5" hidden="1" customHeight="1">
      <c r="A338" s="111"/>
      <c r="B338" s="127"/>
      <c r="C338" s="111"/>
      <c r="D338" s="111"/>
      <c r="E338" s="111"/>
      <c r="F338" s="111"/>
      <c r="G338" s="111"/>
      <c r="H338" s="111"/>
      <c r="I338" s="127"/>
      <c r="J338" s="111"/>
      <c r="K338" s="257"/>
      <c r="L338" s="111"/>
      <c r="M338" s="127"/>
      <c r="N338" s="270"/>
      <c r="O338" s="111"/>
      <c r="P338" s="111"/>
      <c r="Q338" s="128"/>
      <c r="R338" s="124"/>
      <c r="S338" s="125"/>
      <c r="T338" s="126"/>
      <c r="U338" s="126"/>
      <c r="V338" s="126"/>
      <c r="W338" s="126"/>
      <c r="X338" s="126"/>
      <c r="Y338" s="126"/>
      <c r="Z338" s="127"/>
      <c r="AA338" s="127"/>
      <c r="AB338" s="127"/>
      <c r="AC338" s="127"/>
      <c r="AD338" s="261"/>
      <c r="AE338" s="261"/>
      <c r="AF338" s="261"/>
      <c r="AG338" s="261"/>
    </row>
    <row r="339" ht="34.5" hidden="1" customHeight="1">
      <c r="A339" s="111"/>
      <c r="B339" s="127"/>
      <c r="C339" s="111"/>
      <c r="D339" s="111"/>
      <c r="E339" s="111"/>
      <c r="F339" s="111"/>
      <c r="G339" s="111"/>
      <c r="H339" s="111"/>
      <c r="I339" s="127"/>
      <c r="J339" s="111"/>
      <c r="K339" s="257"/>
      <c r="L339" s="111"/>
      <c r="M339" s="127"/>
      <c r="N339" s="270"/>
      <c r="O339" s="111"/>
      <c r="P339" s="111"/>
      <c r="Q339" s="128"/>
      <c r="R339" s="124"/>
      <c r="S339" s="125"/>
      <c r="T339" s="126"/>
      <c r="U339" s="126"/>
      <c r="V339" s="126"/>
      <c r="W339" s="126"/>
      <c r="X339" s="126"/>
      <c r="Y339" s="126"/>
      <c r="Z339" s="127"/>
      <c r="AA339" s="127"/>
      <c r="AB339" s="127"/>
      <c r="AC339" s="127"/>
      <c r="AD339" s="261"/>
      <c r="AE339" s="261"/>
      <c r="AF339" s="261"/>
      <c r="AG339" s="261"/>
    </row>
    <row r="340" ht="34.5" hidden="1" customHeight="1">
      <c r="A340" s="111"/>
      <c r="B340" s="127"/>
      <c r="C340" s="111"/>
      <c r="D340" s="111"/>
      <c r="E340" s="111"/>
      <c r="F340" s="111"/>
      <c r="G340" s="111"/>
      <c r="H340" s="111"/>
      <c r="I340" s="127"/>
      <c r="J340" s="111"/>
      <c r="K340" s="257"/>
      <c r="L340" s="111"/>
      <c r="M340" s="127"/>
      <c r="N340" s="270"/>
      <c r="O340" s="111"/>
      <c r="P340" s="111"/>
      <c r="Q340" s="128"/>
      <c r="R340" s="124"/>
      <c r="S340" s="125"/>
      <c r="T340" s="126"/>
      <c r="U340" s="126"/>
      <c r="V340" s="126"/>
      <c r="W340" s="126"/>
      <c r="X340" s="126"/>
      <c r="Y340" s="126"/>
      <c r="Z340" s="127"/>
      <c r="AA340" s="127"/>
      <c r="AB340" s="127"/>
      <c r="AC340" s="127"/>
      <c r="AD340" s="261"/>
      <c r="AE340" s="261"/>
      <c r="AF340" s="261"/>
      <c r="AG340" s="261"/>
    </row>
    <row r="341" ht="34.5" hidden="1" customHeight="1">
      <c r="A341" s="111"/>
      <c r="B341" s="127"/>
      <c r="C341" s="111"/>
      <c r="D341" s="111"/>
      <c r="E341" s="111"/>
      <c r="F341" s="111"/>
      <c r="G341" s="111"/>
      <c r="H341" s="111"/>
      <c r="I341" s="127"/>
      <c r="J341" s="111"/>
      <c r="K341" s="257"/>
      <c r="L341" s="111"/>
      <c r="M341" s="127"/>
      <c r="N341" s="270"/>
      <c r="O341" s="111"/>
      <c r="P341" s="111"/>
      <c r="Q341" s="128"/>
      <c r="R341" s="124"/>
      <c r="S341" s="125"/>
      <c r="T341" s="126"/>
      <c r="U341" s="126"/>
      <c r="V341" s="126"/>
      <c r="W341" s="126"/>
      <c r="X341" s="126"/>
      <c r="Y341" s="126"/>
      <c r="Z341" s="127"/>
      <c r="AA341" s="127"/>
      <c r="AB341" s="127"/>
      <c r="AC341" s="127"/>
      <c r="AD341" s="261"/>
      <c r="AE341" s="261"/>
      <c r="AF341" s="261"/>
      <c r="AG341" s="261"/>
    </row>
    <row r="342" ht="34.5" hidden="1" customHeight="1">
      <c r="A342" s="111"/>
      <c r="B342" s="127"/>
      <c r="C342" s="111"/>
      <c r="D342" s="111"/>
      <c r="E342" s="111"/>
      <c r="F342" s="111"/>
      <c r="G342" s="111"/>
      <c r="H342" s="111"/>
      <c r="I342" s="127"/>
      <c r="J342" s="111"/>
      <c r="K342" s="257"/>
      <c r="L342" s="111"/>
      <c r="M342" s="127"/>
      <c r="N342" s="270"/>
      <c r="O342" s="111"/>
      <c r="P342" s="111"/>
      <c r="Q342" s="128"/>
      <c r="R342" s="124"/>
      <c r="S342" s="125"/>
      <c r="T342" s="126"/>
      <c r="U342" s="126"/>
      <c r="V342" s="126"/>
      <c r="W342" s="126"/>
      <c r="X342" s="126"/>
      <c r="Y342" s="126"/>
      <c r="Z342" s="127"/>
      <c r="AA342" s="127"/>
      <c r="AB342" s="127"/>
      <c r="AC342" s="127"/>
      <c r="AD342" s="261"/>
      <c r="AE342" s="261"/>
      <c r="AF342" s="261"/>
      <c r="AG342" s="261"/>
    </row>
    <row r="343" ht="34.5" hidden="1" customHeight="1">
      <c r="A343" s="111"/>
      <c r="B343" s="127"/>
      <c r="C343" s="111"/>
      <c r="D343" s="111"/>
      <c r="E343" s="111"/>
      <c r="F343" s="111"/>
      <c r="G343" s="111"/>
      <c r="H343" s="111"/>
      <c r="I343" s="127"/>
      <c r="J343" s="111"/>
      <c r="K343" s="257"/>
      <c r="L343" s="111"/>
      <c r="M343" s="127"/>
      <c r="N343" s="270"/>
      <c r="O343" s="111"/>
      <c r="P343" s="111"/>
      <c r="Q343" s="128"/>
      <c r="R343" s="124"/>
      <c r="S343" s="125"/>
      <c r="T343" s="126"/>
      <c r="U343" s="126"/>
      <c r="V343" s="126"/>
      <c r="W343" s="126"/>
      <c r="X343" s="126"/>
      <c r="Y343" s="126"/>
      <c r="Z343" s="127"/>
      <c r="AA343" s="127"/>
      <c r="AB343" s="127"/>
      <c r="AC343" s="127"/>
      <c r="AD343" s="261"/>
      <c r="AE343" s="261"/>
      <c r="AF343" s="261"/>
      <c r="AG343" s="261"/>
    </row>
    <row r="344" ht="34.5" hidden="1" customHeight="1">
      <c r="A344" s="111"/>
      <c r="B344" s="127"/>
      <c r="C344" s="111"/>
      <c r="D344" s="111"/>
      <c r="E344" s="111"/>
      <c r="F344" s="111"/>
      <c r="G344" s="111"/>
      <c r="H344" s="111"/>
      <c r="I344" s="127"/>
      <c r="J344" s="111"/>
      <c r="K344" s="257"/>
      <c r="L344" s="111"/>
      <c r="M344" s="127"/>
      <c r="N344" s="270"/>
      <c r="O344" s="111"/>
      <c r="P344" s="111"/>
      <c r="Q344" s="128"/>
      <c r="R344" s="124"/>
      <c r="S344" s="125"/>
      <c r="T344" s="126"/>
      <c r="U344" s="126"/>
      <c r="V344" s="126"/>
      <c r="W344" s="126"/>
      <c r="X344" s="126"/>
      <c r="Y344" s="126"/>
      <c r="Z344" s="127"/>
      <c r="AA344" s="127"/>
      <c r="AB344" s="127"/>
      <c r="AC344" s="127"/>
      <c r="AD344" s="261"/>
      <c r="AE344" s="261"/>
      <c r="AF344" s="261"/>
      <c r="AG344" s="261"/>
    </row>
    <row r="345" ht="34.5" hidden="1" customHeight="1">
      <c r="A345" s="111"/>
      <c r="B345" s="127"/>
      <c r="C345" s="111"/>
      <c r="D345" s="111"/>
      <c r="E345" s="111"/>
      <c r="F345" s="111"/>
      <c r="G345" s="111"/>
      <c r="H345" s="111"/>
      <c r="I345" s="127"/>
      <c r="J345" s="111"/>
      <c r="K345" s="257"/>
      <c r="L345" s="111"/>
      <c r="M345" s="127"/>
      <c r="N345" s="270"/>
      <c r="O345" s="111"/>
      <c r="P345" s="111"/>
      <c r="Q345" s="128"/>
      <c r="R345" s="124"/>
      <c r="S345" s="125"/>
      <c r="T345" s="126"/>
      <c r="U345" s="126"/>
      <c r="V345" s="126"/>
      <c r="W345" s="126"/>
      <c r="X345" s="126"/>
      <c r="Y345" s="126"/>
      <c r="Z345" s="127"/>
      <c r="AA345" s="127"/>
      <c r="AB345" s="127"/>
      <c r="AC345" s="127"/>
      <c r="AD345" s="261"/>
      <c r="AE345" s="261"/>
      <c r="AF345" s="261"/>
      <c r="AG345" s="261"/>
    </row>
    <row r="346" ht="34.5" hidden="1" customHeight="1">
      <c r="A346" s="111"/>
      <c r="B346" s="127"/>
      <c r="C346" s="111"/>
      <c r="D346" s="111"/>
      <c r="E346" s="111"/>
      <c r="F346" s="111"/>
      <c r="G346" s="111"/>
      <c r="H346" s="111"/>
      <c r="I346" s="127"/>
      <c r="J346" s="111"/>
      <c r="K346" s="257"/>
      <c r="L346" s="111"/>
      <c r="M346" s="127"/>
      <c r="N346" s="270"/>
      <c r="O346" s="111"/>
      <c r="P346" s="111"/>
      <c r="Q346" s="128"/>
      <c r="R346" s="124"/>
      <c r="S346" s="125"/>
      <c r="T346" s="126"/>
      <c r="U346" s="126"/>
      <c r="V346" s="126"/>
      <c r="W346" s="126"/>
      <c r="X346" s="126"/>
      <c r="Y346" s="126"/>
      <c r="Z346" s="127"/>
      <c r="AA346" s="127"/>
      <c r="AB346" s="127"/>
      <c r="AC346" s="127"/>
      <c r="AD346" s="261"/>
      <c r="AE346" s="261"/>
      <c r="AF346" s="261"/>
      <c r="AG346" s="261"/>
    </row>
    <row r="347" ht="34.5" hidden="1" customHeight="1">
      <c r="A347" s="111"/>
      <c r="B347" s="127"/>
      <c r="C347" s="111"/>
      <c r="D347" s="111"/>
      <c r="E347" s="111"/>
      <c r="F347" s="111"/>
      <c r="G347" s="111"/>
      <c r="H347" s="111"/>
      <c r="I347" s="127"/>
      <c r="J347" s="111"/>
      <c r="K347" s="257"/>
      <c r="L347" s="111"/>
      <c r="M347" s="127"/>
      <c r="N347" s="270"/>
      <c r="O347" s="111"/>
      <c r="P347" s="111"/>
      <c r="Q347" s="128"/>
      <c r="R347" s="124"/>
      <c r="S347" s="125"/>
      <c r="T347" s="126"/>
      <c r="U347" s="126"/>
      <c r="V347" s="126"/>
      <c r="W347" s="126"/>
      <c r="X347" s="126"/>
      <c r="Y347" s="126"/>
      <c r="Z347" s="127"/>
      <c r="AA347" s="127"/>
      <c r="AB347" s="127"/>
      <c r="AC347" s="127"/>
      <c r="AD347" s="261"/>
      <c r="AE347" s="261"/>
      <c r="AF347" s="261"/>
      <c r="AG347" s="261"/>
    </row>
    <row r="348" ht="34.5" hidden="1" customHeight="1">
      <c r="A348" s="111"/>
      <c r="B348" s="127"/>
      <c r="C348" s="111"/>
      <c r="D348" s="111"/>
      <c r="E348" s="111"/>
      <c r="F348" s="111"/>
      <c r="G348" s="111"/>
      <c r="H348" s="111"/>
      <c r="I348" s="127"/>
      <c r="J348" s="111"/>
      <c r="K348" s="257"/>
      <c r="L348" s="111"/>
      <c r="M348" s="127"/>
      <c r="N348" s="270"/>
      <c r="O348" s="111"/>
      <c r="P348" s="111"/>
      <c r="Q348" s="128"/>
      <c r="R348" s="124"/>
      <c r="S348" s="125"/>
      <c r="T348" s="126"/>
      <c r="U348" s="126"/>
      <c r="V348" s="126"/>
      <c r="W348" s="126"/>
      <c r="X348" s="126"/>
      <c r="Y348" s="126"/>
      <c r="Z348" s="127"/>
      <c r="AA348" s="127"/>
      <c r="AB348" s="127"/>
      <c r="AC348" s="127"/>
      <c r="AD348" s="261"/>
      <c r="AE348" s="261"/>
      <c r="AF348" s="261"/>
      <c r="AG348" s="261"/>
    </row>
    <row r="349" ht="34.5" hidden="1" customHeight="1">
      <c r="A349" s="111"/>
      <c r="B349" s="127"/>
      <c r="C349" s="111"/>
      <c r="D349" s="111"/>
      <c r="E349" s="111"/>
      <c r="F349" s="111"/>
      <c r="G349" s="111"/>
      <c r="H349" s="111"/>
      <c r="I349" s="127"/>
      <c r="J349" s="111"/>
      <c r="K349" s="257"/>
      <c r="L349" s="111"/>
      <c r="M349" s="127"/>
      <c r="N349" s="270"/>
      <c r="O349" s="111"/>
      <c r="P349" s="111"/>
      <c r="Q349" s="128"/>
      <c r="R349" s="124"/>
      <c r="S349" s="125"/>
      <c r="T349" s="126"/>
      <c r="U349" s="126"/>
      <c r="V349" s="126"/>
      <c r="W349" s="126"/>
      <c r="X349" s="126"/>
      <c r="Y349" s="126"/>
      <c r="Z349" s="127"/>
      <c r="AA349" s="127"/>
      <c r="AB349" s="127"/>
      <c r="AC349" s="127"/>
      <c r="AD349" s="261"/>
      <c r="AE349" s="261"/>
      <c r="AF349" s="261"/>
      <c r="AG349" s="261"/>
    </row>
    <row r="350" ht="34.5" hidden="1" customHeight="1">
      <c r="A350" s="111"/>
      <c r="B350" s="127"/>
      <c r="C350" s="111"/>
      <c r="D350" s="111"/>
      <c r="E350" s="111"/>
      <c r="F350" s="111"/>
      <c r="G350" s="111"/>
      <c r="H350" s="111"/>
      <c r="I350" s="127"/>
      <c r="J350" s="111"/>
      <c r="K350" s="257"/>
      <c r="L350" s="111"/>
      <c r="M350" s="127"/>
      <c r="N350" s="270"/>
      <c r="O350" s="111"/>
      <c r="P350" s="111"/>
      <c r="Q350" s="128"/>
      <c r="R350" s="124"/>
      <c r="S350" s="125"/>
      <c r="T350" s="126"/>
      <c r="U350" s="126"/>
      <c r="V350" s="126"/>
      <c r="W350" s="126"/>
      <c r="X350" s="126"/>
      <c r="Y350" s="126"/>
      <c r="Z350" s="127"/>
      <c r="AA350" s="127"/>
      <c r="AB350" s="127"/>
      <c r="AC350" s="127"/>
      <c r="AD350" s="261"/>
      <c r="AE350" s="261"/>
      <c r="AF350" s="261"/>
      <c r="AG350" s="261"/>
    </row>
    <row r="351" ht="34.5" hidden="1" customHeight="1">
      <c r="A351" s="111"/>
      <c r="B351" s="127"/>
      <c r="C351" s="111"/>
      <c r="D351" s="111"/>
      <c r="E351" s="111"/>
      <c r="F351" s="111"/>
      <c r="G351" s="111"/>
      <c r="H351" s="111"/>
      <c r="I351" s="127"/>
      <c r="J351" s="111"/>
      <c r="K351" s="257"/>
      <c r="L351" s="111"/>
      <c r="M351" s="127"/>
      <c r="N351" s="270"/>
      <c r="O351" s="111"/>
      <c r="P351" s="111"/>
      <c r="Q351" s="128"/>
      <c r="R351" s="124"/>
      <c r="S351" s="125"/>
      <c r="T351" s="126"/>
      <c r="U351" s="126"/>
      <c r="V351" s="126"/>
      <c r="W351" s="126"/>
      <c r="X351" s="126"/>
      <c r="Y351" s="126"/>
      <c r="Z351" s="127"/>
      <c r="AA351" s="127"/>
      <c r="AB351" s="127"/>
      <c r="AC351" s="127"/>
      <c r="AD351" s="261"/>
      <c r="AE351" s="261"/>
      <c r="AF351" s="261"/>
      <c r="AG351" s="261"/>
    </row>
    <row r="352" ht="34.5" hidden="1" customHeight="1">
      <c r="A352" s="111"/>
      <c r="B352" s="127"/>
      <c r="C352" s="111"/>
      <c r="D352" s="111"/>
      <c r="E352" s="111"/>
      <c r="F352" s="111"/>
      <c r="G352" s="111"/>
      <c r="H352" s="111"/>
      <c r="I352" s="127"/>
      <c r="J352" s="111"/>
      <c r="K352" s="257"/>
      <c r="L352" s="111"/>
      <c r="M352" s="127"/>
      <c r="N352" s="270"/>
      <c r="O352" s="111"/>
      <c r="P352" s="111"/>
      <c r="Q352" s="128"/>
      <c r="R352" s="124"/>
      <c r="S352" s="125"/>
      <c r="T352" s="126"/>
      <c r="U352" s="126"/>
      <c r="V352" s="126"/>
      <c r="W352" s="126"/>
      <c r="X352" s="126"/>
      <c r="Y352" s="126"/>
      <c r="Z352" s="127"/>
      <c r="AA352" s="127"/>
      <c r="AB352" s="127"/>
      <c r="AC352" s="127"/>
      <c r="AD352" s="261"/>
      <c r="AE352" s="261"/>
      <c r="AF352" s="261"/>
      <c r="AG352" s="261"/>
    </row>
    <row r="353" ht="34.5" hidden="1" customHeight="1">
      <c r="A353" s="111"/>
      <c r="B353" s="127"/>
      <c r="C353" s="111"/>
      <c r="D353" s="111"/>
      <c r="E353" s="111"/>
      <c r="F353" s="111"/>
      <c r="G353" s="111"/>
      <c r="H353" s="111"/>
      <c r="I353" s="127"/>
      <c r="J353" s="111"/>
      <c r="K353" s="257"/>
      <c r="L353" s="111"/>
      <c r="M353" s="127"/>
      <c r="N353" s="270"/>
      <c r="O353" s="111"/>
      <c r="P353" s="111"/>
      <c r="Q353" s="128"/>
      <c r="R353" s="124"/>
      <c r="S353" s="125"/>
      <c r="T353" s="126"/>
      <c r="U353" s="126"/>
      <c r="V353" s="126"/>
      <c r="W353" s="126"/>
      <c r="X353" s="126"/>
      <c r="Y353" s="126"/>
      <c r="Z353" s="127"/>
      <c r="AA353" s="127"/>
      <c r="AB353" s="127"/>
      <c r="AC353" s="127"/>
      <c r="AD353" s="261"/>
      <c r="AE353" s="261"/>
      <c r="AF353" s="261"/>
      <c r="AG353" s="261"/>
    </row>
    <row r="354" ht="34.5" hidden="1" customHeight="1">
      <c r="A354" s="111"/>
      <c r="B354" s="127"/>
      <c r="C354" s="111"/>
      <c r="D354" s="111"/>
      <c r="E354" s="111"/>
      <c r="F354" s="111"/>
      <c r="G354" s="111"/>
      <c r="H354" s="111"/>
      <c r="I354" s="127"/>
      <c r="J354" s="111"/>
      <c r="K354" s="257"/>
      <c r="L354" s="111"/>
      <c r="M354" s="127"/>
      <c r="N354" s="270"/>
      <c r="O354" s="111"/>
      <c r="P354" s="111"/>
      <c r="Q354" s="128"/>
      <c r="R354" s="124"/>
      <c r="S354" s="125"/>
      <c r="T354" s="126"/>
      <c r="U354" s="126"/>
      <c r="V354" s="126"/>
      <c r="W354" s="126"/>
      <c r="X354" s="126"/>
      <c r="Y354" s="126"/>
      <c r="Z354" s="127"/>
      <c r="AA354" s="127"/>
      <c r="AB354" s="127"/>
      <c r="AC354" s="127"/>
      <c r="AD354" s="261"/>
      <c r="AE354" s="261"/>
      <c r="AF354" s="261"/>
      <c r="AG354" s="261"/>
    </row>
    <row r="355" ht="34.5" hidden="1" customHeight="1">
      <c r="A355" s="111"/>
      <c r="B355" s="127"/>
      <c r="C355" s="111"/>
      <c r="D355" s="111"/>
      <c r="E355" s="111"/>
      <c r="F355" s="111"/>
      <c r="G355" s="111"/>
      <c r="H355" s="111"/>
      <c r="I355" s="127"/>
      <c r="J355" s="111"/>
      <c r="K355" s="257"/>
      <c r="L355" s="111"/>
      <c r="M355" s="127"/>
      <c r="N355" s="270"/>
      <c r="O355" s="111"/>
      <c r="P355" s="111"/>
      <c r="Q355" s="128"/>
      <c r="R355" s="124"/>
      <c r="S355" s="125"/>
      <c r="T355" s="126"/>
      <c r="U355" s="126"/>
      <c r="V355" s="126"/>
      <c r="W355" s="126"/>
      <c r="X355" s="126"/>
      <c r="Y355" s="126"/>
      <c r="Z355" s="127"/>
      <c r="AA355" s="127"/>
      <c r="AB355" s="127"/>
      <c r="AC355" s="127"/>
      <c r="AD355" s="261"/>
      <c r="AE355" s="261"/>
      <c r="AF355" s="261"/>
      <c r="AG355" s="261"/>
    </row>
    <row r="356" ht="34.5" hidden="1" customHeight="1">
      <c r="A356" s="111"/>
      <c r="B356" s="127"/>
      <c r="C356" s="111"/>
      <c r="D356" s="111"/>
      <c r="E356" s="111"/>
      <c r="F356" s="111"/>
      <c r="G356" s="111"/>
      <c r="H356" s="111"/>
      <c r="I356" s="127"/>
      <c r="J356" s="111"/>
      <c r="K356" s="257"/>
      <c r="L356" s="111"/>
      <c r="M356" s="127"/>
      <c r="N356" s="270"/>
      <c r="O356" s="111"/>
      <c r="P356" s="111"/>
      <c r="Q356" s="128"/>
      <c r="R356" s="124"/>
      <c r="S356" s="125"/>
      <c r="T356" s="126"/>
      <c r="U356" s="126"/>
      <c r="V356" s="126"/>
      <c r="W356" s="126"/>
      <c r="X356" s="126"/>
      <c r="Y356" s="126"/>
      <c r="Z356" s="127"/>
      <c r="AA356" s="127"/>
      <c r="AB356" s="127"/>
      <c r="AC356" s="127"/>
      <c r="AD356" s="261"/>
      <c r="AE356" s="261"/>
      <c r="AF356" s="261"/>
      <c r="AG356" s="261"/>
    </row>
    <row r="357" ht="34.5" hidden="1" customHeight="1">
      <c r="A357" s="111"/>
      <c r="B357" s="127"/>
      <c r="C357" s="111"/>
      <c r="D357" s="111"/>
      <c r="E357" s="111"/>
      <c r="F357" s="111"/>
      <c r="G357" s="111"/>
      <c r="H357" s="111"/>
      <c r="I357" s="127"/>
      <c r="J357" s="111"/>
      <c r="K357" s="257"/>
      <c r="L357" s="111"/>
      <c r="M357" s="127"/>
      <c r="N357" s="270"/>
      <c r="O357" s="111"/>
      <c r="P357" s="111"/>
      <c r="Q357" s="128"/>
      <c r="R357" s="124"/>
      <c r="S357" s="125"/>
      <c r="T357" s="126"/>
      <c r="U357" s="126"/>
      <c r="V357" s="126"/>
      <c r="W357" s="126"/>
      <c r="X357" s="126"/>
      <c r="Y357" s="126"/>
      <c r="Z357" s="127"/>
      <c r="AA357" s="127"/>
      <c r="AB357" s="127"/>
      <c r="AC357" s="127"/>
      <c r="AD357" s="261"/>
      <c r="AE357" s="261"/>
      <c r="AF357" s="261"/>
      <c r="AG357" s="261"/>
    </row>
    <row r="358" ht="34.5" hidden="1" customHeight="1">
      <c r="A358" s="111"/>
      <c r="B358" s="127"/>
      <c r="C358" s="111"/>
      <c r="D358" s="111"/>
      <c r="E358" s="111"/>
      <c r="F358" s="111"/>
      <c r="G358" s="111"/>
      <c r="H358" s="111"/>
      <c r="I358" s="127"/>
      <c r="J358" s="111"/>
      <c r="K358" s="257"/>
      <c r="L358" s="111"/>
      <c r="M358" s="127"/>
      <c r="N358" s="270"/>
      <c r="O358" s="111"/>
      <c r="P358" s="111"/>
      <c r="Q358" s="128"/>
      <c r="R358" s="124"/>
      <c r="S358" s="125"/>
      <c r="T358" s="126"/>
      <c r="U358" s="126"/>
      <c r="V358" s="126"/>
      <c r="W358" s="126"/>
      <c r="X358" s="126"/>
      <c r="Y358" s="126"/>
      <c r="Z358" s="127"/>
      <c r="AA358" s="127"/>
      <c r="AB358" s="127"/>
      <c r="AC358" s="127"/>
      <c r="AD358" s="261"/>
      <c r="AE358" s="261"/>
      <c r="AF358" s="261"/>
      <c r="AG358" s="261"/>
    </row>
    <row r="359" ht="34.5" hidden="1" customHeight="1">
      <c r="A359" s="111"/>
      <c r="B359" s="127"/>
      <c r="C359" s="111"/>
      <c r="D359" s="111"/>
      <c r="E359" s="111"/>
      <c r="F359" s="111"/>
      <c r="G359" s="111"/>
      <c r="H359" s="111"/>
      <c r="I359" s="127"/>
      <c r="J359" s="111"/>
      <c r="K359" s="257"/>
      <c r="L359" s="111"/>
      <c r="M359" s="127"/>
      <c r="N359" s="270"/>
      <c r="O359" s="111"/>
      <c r="P359" s="111"/>
      <c r="Q359" s="128"/>
      <c r="R359" s="124"/>
      <c r="S359" s="125"/>
      <c r="T359" s="126"/>
      <c r="U359" s="126"/>
      <c r="V359" s="126"/>
      <c r="W359" s="126"/>
      <c r="X359" s="126"/>
      <c r="Y359" s="126"/>
      <c r="Z359" s="127"/>
      <c r="AA359" s="127"/>
      <c r="AB359" s="127"/>
      <c r="AC359" s="127"/>
      <c r="AD359" s="261"/>
      <c r="AE359" s="261"/>
      <c r="AF359" s="261"/>
      <c r="AG359" s="261"/>
    </row>
    <row r="360" ht="34.5" hidden="1" customHeight="1">
      <c r="A360" s="111"/>
      <c r="B360" s="127"/>
      <c r="C360" s="111"/>
      <c r="D360" s="111"/>
      <c r="E360" s="111"/>
      <c r="F360" s="111"/>
      <c r="G360" s="111"/>
      <c r="H360" s="111"/>
      <c r="I360" s="127"/>
      <c r="J360" s="111"/>
      <c r="K360" s="257"/>
      <c r="L360" s="111"/>
      <c r="M360" s="127"/>
      <c r="N360" s="270"/>
      <c r="O360" s="111"/>
      <c r="P360" s="111"/>
      <c r="Q360" s="128"/>
      <c r="R360" s="124"/>
      <c r="S360" s="125"/>
      <c r="T360" s="126"/>
      <c r="U360" s="126"/>
      <c r="V360" s="126"/>
      <c r="W360" s="126"/>
      <c r="X360" s="126"/>
      <c r="Y360" s="126"/>
      <c r="Z360" s="127"/>
      <c r="AA360" s="127"/>
      <c r="AB360" s="127"/>
      <c r="AC360" s="127"/>
      <c r="AD360" s="261"/>
      <c r="AE360" s="261"/>
      <c r="AF360" s="261"/>
      <c r="AG360" s="261"/>
    </row>
    <row r="361" ht="34.5" hidden="1" customHeight="1">
      <c r="A361" s="111"/>
      <c r="B361" s="127"/>
      <c r="C361" s="111"/>
      <c r="D361" s="111"/>
      <c r="E361" s="111"/>
      <c r="F361" s="111"/>
      <c r="G361" s="111"/>
      <c r="H361" s="111"/>
      <c r="I361" s="127"/>
      <c r="J361" s="111"/>
      <c r="K361" s="257"/>
      <c r="L361" s="111"/>
      <c r="M361" s="127"/>
      <c r="N361" s="270"/>
      <c r="O361" s="111"/>
      <c r="P361" s="111"/>
      <c r="Q361" s="128"/>
      <c r="R361" s="124"/>
      <c r="S361" s="125"/>
      <c r="T361" s="126"/>
      <c r="U361" s="126"/>
      <c r="V361" s="126"/>
      <c r="W361" s="126"/>
      <c r="X361" s="126"/>
      <c r="Y361" s="126"/>
      <c r="Z361" s="127"/>
      <c r="AA361" s="127"/>
      <c r="AB361" s="127"/>
      <c r="AC361" s="127"/>
      <c r="AD361" s="261"/>
      <c r="AE361" s="261"/>
      <c r="AF361" s="261"/>
      <c r="AG361" s="261"/>
    </row>
    <row r="362" ht="34.5" hidden="1" customHeight="1">
      <c r="A362" s="111"/>
      <c r="B362" s="127"/>
      <c r="C362" s="111"/>
      <c r="D362" s="111"/>
      <c r="E362" s="111"/>
      <c r="F362" s="111"/>
      <c r="G362" s="111"/>
      <c r="H362" s="111"/>
      <c r="I362" s="127"/>
      <c r="J362" s="111"/>
      <c r="K362" s="257"/>
      <c r="L362" s="111"/>
      <c r="M362" s="127"/>
      <c r="N362" s="270"/>
      <c r="O362" s="111"/>
      <c r="P362" s="111"/>
      <c r="Q362" s="128"/>
      <c r="R362" s="124"/>
      <c r="S362" s="125"/>
      <c r="T362" s="126"/>
      <c r="U362" s="126"/>
      <c r="V362" s="126"/>
      <c r="W362" s="126"/>
      <c r="X362" s="126"/>
      <c r="Y362" s="126"/>
      <c r="Z362" s="127"/>
      <c r="AA362" s="127"/>
      <c r="AB362" s="127"/>
      <c r="AC362" s="127"/>
      <c r="AD362" s="261"/>
      <c r="AE362" s="261"/>
      <c r="AF362" s="261"/>
      <c r="AG362" s="261"/>
    </row>
    <row r="363" ht="34.5" hidden="1" customHeight="1">
      <c r="A363" s="111"/>
      <c r="B363" s="127"/>
      <c r="C363" s="111"/>
      <c r="D363" s="111"/>
      <c r="E363" s="111"/>
      <c r="F363" s="111"/>
      <c r="G363" s="111"/>
      <c r="H363" s="111"/>
      <c r="I363" s="127"/>
      <c r="J363" s="111"/>
      <c r="K363" s="257"/>
      <c r="L363" s="111"/>
      <c r="M363" s="127"/>
      <c r="N363" s="270"/>
      <c r="O363" s="111"/>
      <c r="P363" s="111"/>
      <c r="Q363" s="128"/>
      <c r="R363" s="124"/>
      <c r="S363" s="125"/>
      <c r="T363" s="126"/>
      <c r="U363" s="126"/>
      <c r="V363" s="126"/>
      <c r="W363" s="126"/>
      <c r="X363" s="126"/>
      <c r="Y363" s="126"/>
      <c r="Z363" s="127"/>
      <c r="AA363" s="127"/>
      <c r="AB363" s="127"/>
      <c r="AC363" s="127"/>
      <c r="AD363" s="261"/>
      <c r="AE363" s="261"/>
      <c r="AF363" s="261"/>
      <c r="AG363" s="261"/>
    </row>
    <row r="364" ht="34.5" hidden="1" customHeight="1">
      <c r="A364" s="111"/>
      <c r="B364" s="127"/>
      <c r="C364" s="111"/>
      <c r="D364" s="111"/>
      <c r="E364" s="111"/>
      <c r="F364" s="111"/>
      <c r="G364" s="111"/>
      <c r="H364" s="111"/>
      <c r="I364" s="127"/>
      <c r="J364" s="111"/>
      <c r="K364" s="257"/>
      <c r="L364" s="111"/>
      <c r="M364" s="127"/>
      <c r="N364" s="270"/>
      <c r="O364" s="111"/>
      <c r="P364" s="111"/>
      <c r="Q364" s="128"/>
      <c r="R364" s="124"/>
      <c r="S364" s="125"/>
      <c r="T364" s="126"/>
      <c r="U364" s="126"/>
      <c r="V364" s="126"/>
      <c r="W364" s="126"/>
      <c r="X364" s="126"/>
      <c r="Y364" s="126"/>
      <c r="Z364" s="127"/>
      <c r="AA364" s="127"/>
      <c r="AB364" s="127"/>
      <c r="AC364" s="127"/>
      <c r="AD364" s="261"/>
      <c r="AE364" s="261"/>
      <c r="AF364" s="261"/>
      <c r="AG364" s="261"/>
    </row>
    <row r="365" ht="34.5" hidden="1" customHeight="1">
      <c r="A365" s="111"/>
      <c r="B365" s="127"/>
      <c r="C365" s="111"/>
      <c r="D365" s="111"/>
      <c r="E365" s="111"/>
      <c r="F365" s="111"/>
      <c r="G365" s="111"/>
      <c r="H365" s="111"/>
      <c r="I365" s="127"/>
      <c r="J365" s="111"/>
      <c r="K365" s="257"/>
      <c r="L365" s="111"/>
      <c r="M365" s="127"/>
      <c r="N365" s="270"/>
      <c r="O365" s="111"/>
      <c r="P365" s="111"/>
      <c r="Q365" s="128"/>
      <c r="R365" s="124"/>
      <c r="S365" s="125"/>
      <c r="T365" s="126"/>
      <c r="U365" s="126"/>
      <c r="V365" s="126"/>
      <c r="W365" s="126"/>
      <c r="X365" s="126"/>
      <c r="Y365" s="126"/>
      <c r="Z365" s="127"/>
      <c r="AA365" s="127"/>
      <c r="AB365" s="127"/>
      <c r="AC365" s="127"/>
      <c r="AD365" s="261"/>
      <c r="AE365" s="261"/>
      <c r="AF365" s="261"/>
      <c r="AG365" s="261"/>
    </row>
    <row r="366" ht="34.5" hidden="1" customHeight="1">
      <c r="A366" s="111"/>
      <c r="B366" s="127"/>
      <c r="C366" s="111"/>
      <c r="D366" s="111"/>
      <c r="E366" s="111"/>
      <c r="F366" s="111"/>
      <c r="G366" s="111"/>
      <c r="H366" s="111"/>
      <c r="I366" s="127"/>
      <c r="J366" s="111"/>
      <c r="K366" s="257"/>
      <c r="L366" s="111"/>
      <c r="M366" s="127"/>
      <c r="N366" s="270"/>
      <c r="O366" s="111"/>
      <c r="P366" s="111"/>
      <c r="Q366" s="128"/>
      <c r="R366" s="124"/>
      <c r="S366" s="125"/>
      <c r="T366" s="126"/>
      <c r="U366" s="126"/>
      <c r="V366" s="126"/>
      <c r="W366" s="126"/>
      <c r="X366" s="126"/>
      <c r="Y366" s="126"/>
      <c r="Z366" s="127"/>
      <c r="AA366" s="127"/>
      <c r="AB366" s="127"/>
      <c r="AC366" s="127"/>
      <c r="AD366" s="261"/>
      <c r="AE366" s="261"/>
      <c r="AF366" s="261"/>
      <c r="AG366" s="261"/>
    </row>
    <row r="367" ht="34.5" hidden="1" customHeight="1">
      <c r="A367" s="111"/>
      <c r="B367" s="127"/>
      <c r="C367" s="111"/>
      <c r="D367" s="111"/>
      <c r="E367" s="111"/>
      <c r="F367" s="111"/>
      <c r="G367" s="111"/>
      <c r="H367" s="111"/>
      <c r="I367" s="127"/>
      <c r="J367" s="111"/>
      <c r="K367" s="257"/>
      <c r="L367" s="111"/>
      <c r="M367" s="127"/>
      <c r="N367" s="270"/>
      <c r="O367" s="111"/>
      <c r="P367" s="111"/>
      <c r="Q367" s="128"/>
      <c r="R367" s="124"/>
      <c r="S367" s="125"/>
      <c r="T367" s="126"/>
      <c r="U367" s="126"/>
      <c r="V367" s="126"/>
      <c r="W367" s="126"/>
      <c r="X367" s="126"/>
      <c r="Y367" s="126"/>
      <c r="Z367" s="127"/>
      <c r="AA367" s="127"/>
      <c r="AB367" s="127"/>
      <c r="AC367" s="127"/>
      <c r="AD367" s="261"/>
      <c r="AE367" s="261"/>
      <c r="AF367" s="261"/>
      <c r="AG367" s="261"/>
    </row>
    <row r="368" ht="34.5" hidden="1" customHeight="1">
      <c r="A368" s="111"/>
      <c r="B368" s="127"/>
      <c r="C368" s="111"/>
      <c r="D368" s="111"/>
      <c r="E368" s="111"/>
      <c r="F368" s="111"/>
      <c r="G368" s="111"/>
      <c r="H368" s="111"/>
      <c r="I368" s="127"/>
      <c r="J368" s="111"/>
      <c r="K368" s="257"/>
      <c r="L368" s="111"/>
      <c r="M368" s="127"/>
      <c r="N368" s="270"/>
      <c r="O368" s="111"/>
      <c r="P368" s="111"/>
      <c r="Q368" s="128"/>
      <c r="R368" s="124"/>
      <c r="S368" s="125"/>
      <c r="T368" s="126"/>
      <c r="U368" s="126"/>
      <c r="V368" s="126"/>
      <c r="W368" s="126"/>
      <c r="X368" s="126"/>
      <c r="Y368" s="126"/>
      <c r="Z368" s="127"/>
      <c r="AA368" s="127"/>
      <c r="AB368" s="127"/>
      <c r="AC368" s="127"/>
      <c r="AD368" s="261"/>
      <c r="AE368" s="261"/>
      <c r="AF368" s="261"/>
      <c r="AG368" s="261"/>
    </row>
    <row r="369" ht="34.5" hidden="1" customHeight="1">
      <c r="A369" s="111"/>
      <c r="B369" s="127"/>
      <c r="C369" s="111"/>
      <c r="D369" s="111"/>
      <c r="E369" s="111"/>
      <c r="F369" s="111"/>
      <c r="G369" s="111"/>
      <c r="H369" s="111"/>
      <c r="I369" s="127"/>
      <c r="J369" s="111"/>
      <c r="K369" s="257"/>
      <c r="L369" s="111"/>
      <c r="M369" s="127"/>
      <c r="N369" s="270"/>
      <c r="O369" s="111"/>
      <c r="P369" s="111"/>
      <c r="Q369" s="128"/>
      <c r="R369" s="124"/>
      <c r="S369" s="125"/>
      <c r="T369" s="126"/>
      <c r="U369" s="126"/>
      <c r="V369" s="126"/>
      <c r="W369" s="126"/>
      <c r="X369" s="126"/>
      <c r="Y369" s="126"/>
      <c r="Z369" s="127"/>
      <c r="AA369" s="127"/>
      <c r="AB369" s="127"/>
      <c r="AC369" s="127"/>
      <c r="AD369" s="261"/>
      <c r="AE369" s="261"/>
      <c r="AF369" s="261"/>
      <c r="AG369" s="261"/>
    </row>
    <row r="370" ht="34.5" hidden="1" customHeight="1">
      <c r="A370" s="111"/>
      <c r="B370" s="127"/>
      <c r="C370" s="111"/>
      <c r="D370" s="111"/>
      <c r="E370" s="111"/>
      <c r="F370" s="111"/>
      <c r="G370" s="111"/>
      <c r="H370" s="111"/>
      <c r="I370" s="127"/>
      <c r="J370" s="111"/>
      <c r="K370" s="257"/>
      <c r="L370" s="111"/>
      <c r="M370" s="127"/>
      <c r="N370" s="270"/>
      <c r="O370" s="111"/>
      <c r="P370" s="111"/>
      <c r="Q370" s="128"/>
      <c r="R370" s="124"/>
      <c r="S370" s="125"/>
      <c r="T370" s="126"/>
      <c r="U370" s="126"/>
      <c r="V370" s="126"/>
      <c r="W370" s="126"/>
      <c r="X370" s="126"/>
      <c r="Y370" s="126"/>
      <c r="Z370" s="127"/>
      <c r="AA370" s="127"/>
      <c r="AB370" s="127"/>
      <c r="AC370" s="127"/>
      <c r="AD370" s="261"/>
      <c r="AE370" s="261"/>
      <c r="AF370" s="261"/>
      <c r="AG370" s="261"/>
    </row>
    <row r="371" ht="34.5" hidden="1" customHeight="1">
      <c r="A371" s="111"/>
      <c r="B371" s="127"/>
      <c r="C371" s="111"/>
      <c r="D371" s="111"/>
      <c r="E371" s="111"/>
      <c r="F371" s="111"/>
      <c r="G371" s="111"/>
      <c r="H371" s="111"/>
      <c r="I371" s="127"/>
      <c r="J371" s="111"/>
      <c r="K371" s="257"/>
      <c r="L371" s="111"/>
      <c r="M371" s="127"/>
      <c r="N371" s="270"/>
      <c r="O371" s="111"/>
      <c r="P371" s="111"/>
      <c r="Q371" s="128"/>
      <c r="R371" s="124"/>
      <c r="S371" s="125"/>
      <c r="T371" s="126"/>
      <c r="U371" s="126"/>
      <c r="V371" s="126"/>
      <c r="W371" s="126"/>
      <c r="X371" s="126"/>
      <c r="Y371" s="126"/>
      <c r="Z371" s="127"/>
      <c r="AA371" s="127"/>
      <c r="AB371" s="127"/>
      <c r="AC371" s="127"/>
      <c r="AD371" s="261"/>
      <c r="AE371" s="261"/>
      <c r="AF371" s="261"/>
      <c r="AG371" s="261"/>
    </row>
    <row r="372" ht="34.5" hidden="1" customHeight="1">
      <c r="A372" s="111"/>
      <c r="B372" s="127"/>
      <c r="C372" s="111"/>
      <c r="D372" s="111"/>
      <c r="E372" s="111"/>
      <c r="F372" s="111"/>
      <c r="G372" s="111"/>
      <c r="H372" s="111"/>
      <c r="I372" s="127"/>
      <c r="J372" s="111"/>
      <c r="K372" s="257"/>
      <c r="L372" s="111"/>
      <c r="M372" s="127"/>
      <c r="N372" s="270"/>
      <c r="O372" s="111"/>
      <c r="P372" s="111"/>
      <c r="Q372" s="128"/>
      <c r="R372" s="124"/>
      <c r="S372" s="125"/>
      <c r="T372" s="126"/>
      <c r="U372" s="126"/>
      <c r="V372" s="126"/>
      <c r="W372" s="126"/>
      <c r="X372" s="126"/>
      <c r="Y372" s="126"/>
      <c r="Z372" s="127"/>
      <c r="AA372" s="127"/>
      <c r="AB372" s="127"/>
      <c r="AC372" s="127"/>
      <c r="AD372" s="261"/>
      <c r="AE372" s="261"/>
      <c r="AF372" s="261"/>
      <c r="AG372" s="261"/>
    </row>
    <row r="373" ht="34.5" hidden="1" customHeight="1">
      <c r="A373" s="111"/>
      <c r="B373" s="127"/>
      <c r="C373" s="111"/>
      <c r="D373" s="111"/>
      <c r="E373" s="111"/>
      <c r="F373" s="111"/>
      <c r="G373" s="111"/>
      <c r="H373" s="111"/>
      <c r="I373" s="127"/>
      <c r="J373" s="111"/>
      <c r="K373" s="257"/>
      <c r="L373" s="111"/>
      <c r="M373" s="127"/>
      <c r="N373" s="270"/>
      <c r="O373" s="111"/>
      <c r="P373" s="111"/>
      <c r="Q373" s="128"/>
      <c r="R373" s="124"/>
      <c r="S373" s="125"/>
      <c r="T373" s="126"/>
      <c r="U373" s="126"/>
      <c r="V373" s="126"/>
      <c r="W373" s="126"/>
      <c r="X373" s="126"/>
      <c r="Y373" s="126"/>
      <c r="Z373" s="127"/>
      <c r="AA373" s="127"/>
      <c r="AB373" s="127"/>
      <c r="AC373" s="127"/>
      <c r="AD373" s="261"/>
      <c r="AE373" s="261"/>
      <c r="AF373" s="261"/>
      <c r="AG373" s="261"/>
    </row>
    <row r="374" ht="34.5" hidden="1" customHeight="1">
      <c r="A374" s="111"/>
      <c r="B374" s="127"/>
      <c r="C374" s="111"/>
      <c r="D374" s="111"/>
      <c r="E374" s="111"/>
      <c r="F374" s="111"/>
      <c r="G374" s="111"/>
      <c r="H374" s="111"/>
      <c r="I374" s="127"/>
      <c r="J374" s="111"/>
      <c r="K374" s="257"/>
      <c r="L374" s="111"/>
      <c r="M374" s="127"/>
      <c r="N374" s="270"/>
      <c r="O374" s="111"/>
      <c r="P374" s="111"/>
      <c r="Q374" s="128"/>
      <c r="R374" s="124"/>
      <c r="S374" s="125"/>
      <c r="T374" s="126"/>
      <c r="U374" s="126"/>
      <c r="V374" s="126"/>
      <c r="W374" s="126"/>
      <c r="X374" s="126"/>
      <c r="Y374" s="126"/>
      <c r="Z374" s="127"/>
      <c r="AA374" s="127"/>
      <c r="AB374" s="127"/>
      <c r="AC374" s="127"/>
      <c r="AD374" s="261"/>
      <c r="AE374" s="261"/>
      <c r="AF374" s="261"/>
      <c r="AG374" s="261"/>
    </row>
    <row r="375" ht="34.5" hidden="1" customHeight="1">
      <c r="A375" s="111"/>
      <c r="B375" s="127"/>
      <c r="C375" s="111"/>
      <c r="D375" s="111"/>
      <c r="E375" s="111"/>
      <c r="F375" s="111"/>
      <c r="G375" s="111"/>
      <c r="H375" s="111"/>
      <c r="I375" s="127"/>
      <c r="J375" s="111"/>
      <c r="K375" s="257"/>
      <c r="L375" s="111"/>
      <c r="M375" s="127"/>
      <c r="N375" s="270"/>
      <c r="O375" s="111"/>
      <c r="P375" s="111"/>
      <c r="Q375" s="128"/>
      <c r="R375" s="124"/>
      <c r="S375" s="125"/>
      <c r="T375" s="126"/>
      <c r="U375" s="126"/>
      <c r="V375" s="126"/>
      <c r="W375" s="126"/>
      <c r="X375" s="126"/>
      <c r="Y375" s="126"/>
      <c r="Z375" s="127"/>
      <c r="AA375" s="127"/>
      <c r="AB375" s="127"/>
      <c r="AC375" s="127"/>
      <c r="AD375" s="261"/>
      <c r="AE375" s="261"/>
      <c r="AF375" s="261"/>
      <c r="AG375" s="261"/>
    </row>
    <row r="376" ht="34.5" hidden="1" customHeight="1">
      <c r="A376" s="111"/>
      <c r="B376" s="127"/>
      <c r="C376" s="111"/>
      <c r="D376" s="111"/>
      <c r="E376" s="111"/>
      <c r="F376" s="111"/>
      <c r="G376" s="111"/>
      <c r="H376" s="111"/>
      <c r="I376" s="127"/>
      <c r="J376" s="111"/>
      <c r="K376" s="257"/>
      <c r="L376" s="111"/>
      <c r="M376" s="127"/>
      <c r="N376" s="270"/>
      <c r="O376" s="111"/>
      <c r="P376" s="111"/>
      <c r="Q376" s="128"/>
      <c r="R376" s="124"/>
      <c r="S376" s="125"/>
      <c r="T376" s="126"/>
      <c r="U376" s="126"/>
      <c r="V376" s="126"/>
      <c r="W376" s="126"/>
      <c r="X376" s="126"/>
      <c r="Y376" s="126"/>
      <c r="Z376" s="127"/>
      <c r="AA376" s="127"/>
      <c r="AB376" s="127"/>
      <c r="AC376" s="127"/>
      <c r="AD376" s="261"/>
      <c r="AE376" s="261"/>
      <c r="AF376" s="261"/>
      <c r="AG376" s="261"/>
    </row>
    <row r="377" ht="34.5" hidden="1" customHeight="1">
      <c r="A377" s="111"/>
      <c r="B377" s="127"/>
      <c r="C377" s="111"/>
      <c r="D377" s="111"/>
      <c r="E377" s="111"/>
      <c r="F377" s="111"/>
      <c r="G377" s="111"/>
      <c r="H377" s="111"/>
      <c r="I377" s="127"/>
      <c r="J377" s="111"/>
      <c r="K377" s="257"/>
      <c r="L377" s="111"/>
      <c r="M377" s="127"/>
      <c r="N377" s="270"/>
      <c r="O377" s="111"/>
      <c r="P377" s="111"/>
      <c r="Q377" s="128"/>
      <c r="R377" s="124"/>
      <c r="S377" s="125"/>
      <c r="T377" s="126"/>
      <c r="U377" s="126"/>
      <c r="V377" s="126"/>
      <c r="W377" s="126"/>
      <c r="X377" s="126"/>
      <c r="Y377" s="126"/>
      <c r="Z377" s="127"/>
      <c r="AA377" s="127"/>
      <c r="AB377" s="127"/>
      <c r="AC377" s="127"/>
      <c r="AD377" s="261"/>
      <c r="AE377" s="261"/>
      <c r="AF377" s="261"/>
      <c r="AG377" s="261"/>
    </row>
    <row r="378" ht="34.5" hidden="1" customHeight="1">
      <c r="A378" s="111"/>
      <c r="B378" s="127"/>
      <c r="C378" s="111"/>
      <c r="D378" s="111"/>
      <c r="E378" s="111"/>
      <c r="F378" s="111"/>
      <c r="G378" s="111"/>
      <c r="H378" s="111"/>
      <c r="I378" s="127"/>
      <c r="J378" s="111"/>
      <c r="K378" s="257"/>
      <c r="L378" s="111"/>
      <c r="M378" s="127"/>
      <c r="N378" s="270"/>
      <c r="O378" s="111"/>
      <c r="P378" s="111"/>
      <c r="Q378" s="128"/>
      <c r="R378" s="124"/>
      <c r="S378" s="125"/>
      <c r="T378" s="126"/>
      <c r="U378" s="126"/>
      <c r="V378" s="126"/>
      <c r="W378" s="126"/>
      <c r="X378" s="126"/>
      <c r="Y378" s="126"/>
      <c r="Z378" s="127"/>
      <c r="AA378" s="127"/>
      <c r="AB378" s="127"/>
      <c r="AC378" s="127"/>
      <c r="AD378" s="261"/>
      <c r="AE378" s="261"/>
      <c r="AF378" s="261"/>
      <c r="AG378" s="261"/>
    </row>
    <row r="379" ht="34.5" hidden="1" customHeight="1">
      <c r="A379" s="111"/>
      <c r="B379" s="127"/>
      <c r="C379" s="111"/>
      <c r="D379" s="111"/>
      <c r="E379" s="111"/>
      <c r="F379" s="111"/>
      <c r="G379" s="111"/>
      <c r="H379" s="111"/>
      <c r="I379" s="127"/>
      <c r="J379" s="111"/>
      <c r="K379" s="257"/>
      <c r="L379" s="111"/>
      <c r="M379" s="127"/>
      <c r="N379" s="270"/>
      <c r="O379" s="111"/>
      <c r="P379" s="111"/>
      <c r="Q379" s="128"/>
      <c r="R379" s="124"/>
      <c r="S379" s="125"/>
      <c r="T379" s="126"/>
      <c r="U379" s="126"/>
      <c r="V379" s="126"/>
      <c r="W379" s="126"/>
      <c r="X379" s="126"/>
      <c r="Y379" s="126"/>
      <c r="Z379" s="127"/>
      <c r="AA379" s="127"/>
      <c r="AB379" s="127"/>
      <c r="AC379" s="127"/>
      <c r="AD379" s="261"/>
      <c r="AE379" s="261"/>
      <c r="AF379" s="261"/>
      <c r="AG379" s="261"/>
    </row>
    <row r="380" ht="34.5" hidden="1" customHeight="1">
      <c r="A380" s="111"/>
      <c r="B380" s="127"/>
      <c r="C380" s="111"/>
      <c r="D380" s="111"/>
      <c r="E380" s="111"/>
      <c r="F380" s="111"/>
      <c r="G380" s="111"/>
      <c r="H380" s="111"/>
      <c r="I380" s="127"/>
      <c r="J380" s="111"/>
      <c r="K380" s="257"/>
      <c r="L380" s="111"/>
      <c r="M380" s="127"/>
      <c r="N380" s="270"/>
      <c r="O380" s="111"/>
      <c r="P380" s="111"/>
      <c r="Q380" s="128"/>
      <c r="R380" s="124"/>
      <c r="S380" s="125"/>
      <c r="T380" s="126"/>
      <c r="U380" s="126"/>
      <c r="V380" s="126"/>
      <c r="W380" s="126"/>
      <c r="X380" s="126"/>
      <c r="Y380" s="126"/>
      <c r="Z380" s="127"/>
      <c r="AA380" s="127"/>
      <c r="AB380" s="127"/>
      <c r="AC380" s="127"/>
      <c r="AD380" s="261"/>
      <c r="AE380" s="261"/>
      <c r="AF380" s="261"/>
      <c r="AG380" s="261"/>
    </row>
    <row r="381" ht="34.5" hidden="1" customHeight="1">
      <c r="A381" s="111"/>
      <c r="B381" s="127"/>
      <c r="C381" s="111"/>
      <c r="D381" s="111"/>
      <c r="E381" s="111"/>
      <c r="F381" s="111"/>
      <c r="G381" s="111"/>
      <c r="H381" s="111"/>
      <c r="I381" s="127"/>
      <c r="J381" s="111"/>
      <c r="K381" s="257"/>
      <c r="L381" s="111"/>
      <c r="M381" s="127"/>
      <c r="N381" s="270"/>
      <c r="O381" s="111"/>
      <c r="P381" s="111"/>
      <c r="Q381" s="128"/>
      <c r="R381" s="124"/>
      <c r="S381" s="125"/>
      <c r="T381" s="126"/>
      <c r="U381" s="126"/>
      <c r="V381" s="126"/>
      <c r="W381" s="126"/>
      <c r="X381" s="126"/>
      <c r="Y381" s="126"/>
      <c r="Z381" s="127"/>
      <c r="AA381" s="127"/>
      <c r="AB381" s="127"/>
      <c r="AC381" s="127"/>
      <c r="AD381" s="261"/>
      <c r="AE381" s="261"/>
      <c r="AF381" s="261"/>
      <c r="AG381" s="261"/>
    </row>
    <row r="382" ht="34.5" hidden="1" customHeight="1">
      <c r="A382" s="111"/>
      <c r="B382" s="127"/>
      <c r="C382" s="111"/>
      <c r="D382" s="111"/>
      <c r="E382" s="111"/>
      <c r="F382" s="111"/>
      <c r="G382" s="111"/>
      <c r="H382" s="111"/>
      <c r="I382" s="127"/>
      <c r="J382" s="111"/>
      <c r="K382" s="257"/>
      <c r="L382" s="111"/>
      <c r="M382" s="127"/>
      <c r="N382" s="270"/>
      <c r="O382" s="111"/>
      <c r="P382" s="111"/>
      <c r="Q382" s="128"/>
      <c r="R382" s="124"/>
      <c r="S382" s="125"/>
      <c r="T382" s="126"/>
      <c r="U382" s="126"/>
      <c r="V382" s="126"/>
      <c r="W382" s="126"/>
      <c r="X382" s="126"/>
      <c r="Y382" s="126"/>
      <c r="Z382" s="127"/>
      <c r="AA382" s="127"/>
      <c r="AB382" s="127"/>
      <c r="AC382" s="127"/>
      <c r="AD382" s="261"/>
      <c r="AE382" s="261"/>
      <c r="AF382" s="261"/>
      <c r="AG382" s="261"/>
    </row>
    <row r="383" ht="34.5" hidden="1" customHeight="1">
      <c r="A383" s="111"/>
      <c r="B383" s="127"/>
      <c r="C383" s="111"/>
      <c r="D383" s="111"/>
      <c r="E383" s="111"/>
      <c r="F383" s="111"/>
      <c r="G383" s="111"/>
      <c r="H383" s="111"/>
      <c r="I383" s="127"/>
      <c r="J383" s="111"/>
      <c r="K383" s="257"/>
      <c r="L383" s="111"/>
      <c r="M383" s="127"/>
      <c r="N383" s="270"/>
      <c r="O383" s="111"/>
      <c r="P383" s="111"/>
      <c r="Q383" s="128"/>
      <c r="R383" s="124"/>
      <c r="S383" s="125"/>
      <c r="T383" s="126"/>
      <c r="U383" s="126"/>
      <c r="V383" s="126"/>
      <c r="W383" s="126"/>
      <c r="X383" s="126"/>
      <c r="Y383" s="126"/>
      <c r="Z383" s="127"/>
      <c r="AA383" s="127"/>
      <c r="AB383" s="127"/>
      <c r="AC383" s="127"/>
      <c r="AD383" s="261"/>
      <c r="AE383" s="261"/>
      <c r="AF383" s="261"/>
      <c r="AG383" s="261"/>
    </row>
    <row r="384" ht="34.5" hidden="1" customHeight="1">
      <c r="A384" s="111"/>
      <c r="B384" s="127"/>
      <c r="C384" s="111"/>
      <c r="D384" s="111"/>
      <c r="E384" s="111"/>
      <c r="F384" s="111"/>
      <c r="G384" s="111"/>
      <c r="H384" s="111"/>
      <c r="I384" s="127"/>
      <c r="J384" s="111"/>
      <c r="K384" s="257"/>
      <c r="L384" s="111"/>
      <c r="M384" s="127"/>
      <c r="N384" s="270"/>
      <c r="O384" s="111"/>
      <c r="P384" s="111"/>
      <c r="Q384" s="128"/>
      <c r="R384" s="124"/>
      <c r="S384" s="125"/>
      <c r="T384" s="126"/>
      <c r="U384" s="126"/>
      <c r="V384" s="126"/>
      <c r="W384" s="126"/>
      <c r="X384" s="126"/>
      <c r="Y384" s="126"/>
      <c r="Z384" s="127"/>
      <c r="AA384" s="127"/>
      <c r="AB384" s="127"/>
      <c r="AC384" s="127"/>
      <c r="AD384" s="261"/>
      <c r="AE384" s="261"/>
      <c r="AF384" s="261"/>
      <c r="AG384" s="261"/>
    </row>
    <row r="385" ht="34.5" hidden="1" customHeight="1">
      <c r="A385" s="111"/>
      <c r="B385" s="127"/>
      <c r="C385" s="111"/>
      <c r="D385" s="111"/>
      <c r="E385" s="111"/>
      <c r="F385" s="111"/>
      <c r="G385" s="111"/>
      <c r="H385" s="111"/>
      <c r="I385" s="127"/>
      <c r="J385" s="111"/>
      <c r="K385" s="257"/>
      <c r="L385" s="111"/>
      <c r="M385" s="127"/>
      <c r="N385" s="270"/>
      <c r="O385" s="111"/>
      <c r="P385" s="111"/>
      <c r="Q385" s="128"/>
      <c r="R385" s="124"/>
      <c r="S385" s="125"/>
      <c r="T385" s="126"/>
      <c r="U385" s="126"/>
      <c r="V385" s="126"/>
      <c r="W385" s="126"/>
      <c r="X385" s="126"/>
      <c r="Y385" s="126"/>
      <c r="Z385" s="127"/>
      <c r="AA385" s="127"/>
      <c r="AB385" s="127"/>
      <c r="AC385" s="127"/>
      <c r="AD385" s="261"/>
      <c r="AE385" s="261"/>
      <c r="AF385" s="261"/>
      <c r="AG385" s="261"/>
    </row>
    <row r="386" ht="34.5" hidden="1" customHeight="1">
      <c r="A386" s="111"/>
      <c r="B386" s="127"/>
      <c r="C386" s="111"/>
      <c r="D386" s="111"/>
      <c r="E386" s="111"/>
      <c r="F386" s="111"/>
      <c r="G386" s="111"/>
      <c r="H386" s="111"/>
      <c r="I386" s="127"/>
      <c r="J386" s="111"/>
      <c r="K386" s="257"/>
      <c r="L386" s="111"/>
      <c r="M386" s="127"/>
      <c r="N386" s="270"/>
      <c r="O386" s="111"/>
      <c r="P386" s="111"/>
      <c r="Q386" s="128"/>
      <c r="R386" s="124"/>
      <c r="S386" s="125"/>
      <c r="T386" s="126"/>
      <c r="U386" s="126"/>
      <c r="V386" s="126"/>
      <c r="W386" s="126"/>
      <c r="X386" s="126"/>
      <c r="Y386" s="126"/>
      <c r="Z386" s="127"/>
      <c r="AA386" s="127"/>
      <c r="AB386" s="127"/>
      <c r="AC386" s="127"/>
      <c r="AD386" s="261"/>
      <c r="AE386" s="261"/>
      <c r="AF386" s="261"/>
      <c r="AG386" s="261"/>
    </row>
    <row r="387" ht="34.5" hidden="1" customHeight="1">
      <c r="A387" s="111"/>
      <c r="B387" s="127"/>
      <c r="C387" s="111"/>
      <c r="D387" s="111"/>
      <c r="E387" s="111"/>
      <c r="F387" s="111"/>
      <c r="G387" s="111"/>
      <c r="H387" s="111"/>
      <c r="I387" s="127"/>
      <c r="J387" s="111"/>
      <c r="K387" s="257"/>
      <c r="L387" s="111"/>
      <c r="M387" s="127"/>
      <c r="N387" s="270"/>
      <c r="O387" s="111"/>
      <c r="P387" s="111"/>
      <c r="Q387" s="128"/>
      <c r="R387" s="124"/>
      <c r="S387" s="125"/>
      <c r="T387" s="126"/>
      <c r="U387" s="126"/>
      <c r="V387" s="126"/>
      <c r="W387" s="126"/>
      <c r="X387" s="126"/>
      <c r="Y387" s="126"/>
      <c r="Z387" s="127"/>
      <c r="AA387" s="127"/>
      <c r="AB387" s="127"/>
      <c r="AC387" s="127"/>
      <c r="AD387" s="261"/>
      <c r="AE387" s="261"/>
      <c r="AF387" s="261"/>
      <c r="AG387" s="261"/>
    </row>
    <row r="388" ht="34.5" hidden="1" customHeight="1">
      <c r="A388" s="111"/>
      <c r="B388" s="127"/>
      <c r="C388" s="111"/>
      <c r="D388" s="111"/>
      <c r="E388" s="111"/>
      <c r="F388" s="111"/>
      <c r="G388" s="111"/>
      <c r="H388" s="111"/>
      <c r="I388" s="127"/>
      <c r="J388" s="111"/>
      <c r="K388" s="257"/>
      <c r="L388" s="111"/>
      <c r="M388" s="127"/>
      <c r="N388" s="270"/>
      <c r="O388" s="111"/>
      <c r="P388" s="111"/>
      <c r="Q388" s="128"/>
      <c r="R388" s="124"/>
      <c r="S388" s="125"/>
      <c r="T388" s="126"/>
      <c r="U388" s="126"/>
      <c r="V388" s="126"/>
      <c r="W388" s="126"/>
      <c r="X388" s="126"/>
      <c r="Y388" s="126"/>
      <c r="Z388" s="127"/>
      <c r="AA388" s="127"/>
      <c r="AB388" s="127"/>
      <c r="AC388" s="127"/>
      <c r="AD388" s="261"/>
      <c r="AE388" s="261"/>
      <c r="AF388" s="261"/>
      <c r="AG388" s="261"/>
    </row>
    <row r="389" ht="34.5" hidden="1" customHeight="1">
      <c r="A389" s="111"/>
      <c r="B389" s="127"/>
      <c r="C389" s="111"/>
      <c r="D389" s="111"/>
      <c r="E389" s="111"/>
      <c r="F389" s="111"/>
      <c r="G389" s="111"/>
      <c r="H389" s="111"/>
      <c r="I389" s="127"/>
      <c r="J389" s="111"/>
      <c r="K389" s="257"/>
      <c r="L389" s="111"/>
      <c r="M389" s="127"/>
      <c r="N389" s="270"/>
      <c r="O389" s="111"/>
      <c r="P389" s="111"/>
      <c r="Q389" s="128"/>
      <c r="R389" s="124"/>
      <c r="S389" s="125"/>
      <c r="T389" s="126"/>
      <c r="U389" s="126"/>
      <c r="V389" s="126"/>
      <c r="W389" s="126"/>
      <c r="X389" s="126"/>
      <c r="Y389" s="126"/>
      <c r="Z389" s="127"/>
      <c r="AA389" s="127"/>
      <c r="AB389" s="127"/>
      <c r="AC389" s="127"/>
      <c r="AD389" s="261"/>
      <c r="AE389" s="261"/>
      <c r="AF389" s="261"/>
      <c r="AG389" s="261"/>
    </row>
    <row r="390" ht="34.5" hidden="1" customHeight="1">
      <c r="A390" s="111"/>
      <c r="B390" s="127"/>
      <c r="C390" s="111"/>
      <c r="D390" s="111"/>
      <c r="E390" s="111"/>
      <c r="F390" s="111"/>
      <c r="G390" s="111"/>
      <c r="H390" s="111"/>
      <c r="I390" s="127"/>
      <c r="J390" s="111"/>
      <c r="K390" s="257"/>
      <c r="L390" s="111"/>
      <c r="M390" s="127"/>
      <c r="N390" s="270"/>
      <c r="O390" s="111"/>
      <c r="P390" s="111"/>
      <c r="Q390" s="128"/>
      <c r="R390" s="124"/>
      <c r="S390" s="125"/>
      <c r="T390" s="126"/>
      <c r="U390" s="126"/>
      <c r="V390" s="126"/>
      <c r="W390" s="126"/>
      <c r="X390" s="126"/>
      <c r="Y390" s="126"/>
      <c r="Z390" s="127"/>
      <c r="AA390" s="127"/>
      <c r="AB390" s="127"/>
      <c r="AC390" s="127"/>
      <c r="AD390" s="261"/>
      <c r="AE390" s="261"/>
      <c r="AF390" s="261"/>
      <c r="AG390" s="261"/>
    </row>
    <row r="391" ht="34.5" hidden="1" customHeight="1">
      <c r="A391" s="111"/>
      <c r="B391" s="127"/>
      <c r="C391" s="111"/>
      <c r="D391" s="111"/>
      <c r="E391" s="111"/>
      <c r="F391" s="111"/>
      <c r="G391" s="111"/>
      <c r="H391" s="111"/>
      <c r="I391" s="127"/>
      <c r="J391" s="111"/>
      <c r="K391" s="257"/>
      <c r="L391" s="111"/>
      <c r="M391" s="127"/>
      <c r="N391" s="270"/>
      <c r="O391" s="111"/>
      <c r="P391" s="111"/>
      <c r="Q391" s="128"/>
      <c r="R391" s="124"/>
      <c r="S391" s="125"/>
      <c r="T391" s="126"/>
      <c r="U391" s="126"/>
      <c r="V391" s="126"/>
      <c r="W391" s="126"/>
      <c r="X391" s="126"/>
      <c r="Y391" s="126"/>
      <c r="Z391" s="127"/>
      <c r="AA391" s="127"/>
      <c r="AB391" s="127"/>
      <c r="AC391" s="127"/>
      <c r="AD391" s="261"/>
      <c r="AE391" s="261"/>
      <c r="AF391" s="261"/>
      <c r="AG391" s="261"/>
    </row>
    <row r="392" ht="34.5" hidden="1" customHeight="1">
      <c r="A392" s="111"/>
      <c r="B392" s="127"/>
      <c r="C392" s="111"/>
      <c r="D392" s="111"/>
      <c r="E392" s="111"/>
      <c r="F392" s="111"/>
      <c r="G392" s="111"/>
      <c r="H392" s="111"/>
      <c r="I392" s="127"/>
      <c r="J392" s="111"/>
      <c r="K392" s="257"/>
      <c r="L392" s="111"/>
      <c r="M392" s="127"/>
      <c r="N392" s="270"/>
      <c r="O392" s="111"/>
      <c r="P392" s="111"/>
      <c r="Q392" s="128"/>
      <c r="R392" s="124"/>
      <c r="S392" s="125"/>
      <c r="T392" s="126"/>
      <c r="U392" s="126"/>
      <c r="V392" s="126"/>
      <c r="W392" s="126"/>
      <c r="X392" s="126"/>
      <c r="Y392" s="126"/>
      <c r="Z392" s="127"/>
      <c r="AA392" s="127"/>
      <c r="AB392" s="127"/>
      <c r="AC392" s="127"/>
      <c r="AD392" s="261"/>
      <c r="AE392" s="261"/>
      <c r="AF392" s="261"/>
      <c r="AG392" s="261"/>
    </row>
    <row r="393" ht="34.5" hidden="1" customHeight="1">
      <c r="A393" s="111"/>
      <c r="B393" s="127"/>
      <c r="C393" s="111"/>
      <c r="D393" s="111"/>
      <c r="E393" s="111"/>
      <c r="F393" s="111"/>
      <c r="G393" s="111"/>
      <c r="H393" s="111"/>
      <c r="I393" s="127"/>
      <c r="J393" s="111"/>
      <c r="K393" s="257"/>
      <c r="L393" s="111"/>
      <c r="M393" s="127"/>
      <c r="N393" s="270"/>
      <c r="O393" s="111"/>
      <c r="P393" s="111"/>
      <c r="Q393" s="128"/>
      <c r="R393" s="124"/>
      <c r="S393" s="125"/>
      <c r="T393" s="126"/>
      <c r="U393" s="126"/>
      <c r="V393" s="126"/>
      <c r="W393" s="126"/>
      <c r="X393" s="126"/>
      <c r="Y393" s="126"/>
      <c r="Z393" s="127"/>
      <c r="AA393" s="127"/>
      <c r="AB393" s="127"/>
      <c r="AC393" s="127"/>
      <c r="AD393" s="261"/>
      <c r="AE393" s="261"/>
      <c r="AF393" s="261"/>
      <c r="AG393" s="261"/>
    </row>
    <row r="394" ht="34.5" hidden="1" customHeight="1">
      <c r="A394" s="111"/>
      <c r="B394" s="127"/>
      <c r="C394" s="111"/>
      <c r="D394" s="111"/>
      <c r="E394" s="111"/>
      <c r="F394" s="111"/>
      <c r="G394" s="111"/>
      <c r="H394" s="111"/>
      <c r="I394" s="127"/>
      <c r="J394" s="111"/>
      <c r="K394" s="257"/>
      <c r="L394" s="111"/>
      <c r="M394" s="127"/>
      <c r="N394" s="270"/>
      <c r="O394" s="111"/>
      <c r="P394" s="111"/>
      <c r="Q394" s="128"/>
      <c r="R394" s="124"/>
      <c r="S394" s="125"/>
      <c r="T394" s="126"/>
      <c r="U394" s="126"/>
      <c r="V394" s="126"/>
      <c r="W394" s="126"/>
      <c r="X394" s="126"/>
      <c r="Y394" s="126"/>
      <c r="Z394" s="127"/>
      <c r="AA394" s="127"/>
      <c r="AB394" s="127"/>
      <c r="AC394" s="127"/>
      <c r="AD394" s="261"/>
      <c r="AE394" s="261"/>
      <c r="AF394" s="261"/>
      <c r="AG394" s="261"/>
    </row>
    <row r="395" ht="34.5" hidden="1" customHeight="1">
      <c r="A395" s="111"/>
      <c r="B395" s="127"/>
      <c r="C395" s="111"/>
      <c r="D395" s="111"/>
      <c r="E395" s="111"/>
      <c r="F395" s="111"/>
      <c r="G395" s="111"/>
      <c r="H395" s="111"/>
      <c r="I395" s="127"/>
      <c r="J395" s="111"/>
      <c r="K395" s="257"/>
      <c r="L395" s="111"/>
      <c r="M395" s="127"/>
      <c r="N395" s="270"/>
      <c r="O395" s="111"/>
      <c r="P395" s="111"/>
      <c r="Q395" s="128"/>
      <c r="R395" s="124"/>
      <c r="S395" s="125"/>
      <c r="T395" s="126"/>
      <c r="U395" s="126"/>
      <c r="V395" s="126"/>
      <c r="W395" s="126"/>
      <c r="X395" s="126"/>
      <c r="Y395" s="126"/>
      <c r="Z395" s="127"/>
      <c r="AA395" s="127"/>
      <c r="AB395" s="127"/>
      <c r="AC395" s="127"/>
      <c r="AD395" s="261"/>
      <c r="AE395" s="261"/>
      <c r="AF395" s="261"/>
      <c r="AG395" s="261"/>
    </row>
    <row r="396" ht="34.5" hidden="1" customHeight="1">
      <c r="A396" s="111"/>
      <c r="B396" s="127"/>
      <c r="C396" s="111"/>
      <c r="D396" s="111"/>
      <c r="E396" s="111"/>
      <c r="F396" s="111"/>
      <c r="G396" s="111"/>
      <c r="H396" s="111"/>
      <c r="I396" s="127"/>
      <c r="J396" s="111"/>
      <c r="K396" s="257"/>
      <c r="L396" s="111"/>
      <c r="M396" s="127"/>
      <c r="N396" s="270"/>
      <c r="O396" s="111"/>
      <c r="P396" s="111"/>
      <c r="Q396" s="128"/>
      <c r="R396" s="124"/>
      <c r="S396" s="125"/>
      <c r="T396" s="126"/>
      <c r="U396" s="126"/>
      <c r="V396" s="126"/>
      <c r="W396" s="126"/>
      <c r="X396" s="126"/>
      <c r="Y396" s="126"/>
      <c r="Z396" s="127"/>
      <c r="AA396" s="127"/>
      <c r="AB396" s="127"/>
      <c r="AC396" s="127"/>
      <c r="AD396" s="261"/>
      <c r="AE396" s="261"/>
      <c r="AF396" s="261"/>
      <c r="AG396" s="261"/>
    </row>
    <row r="397" ht="34.5" hidden="1" customHeight="1">
      <c r="A397" s="111"/>
      <c r="B397" s="127"/>
      <c r="C397" s="111"/>
      <c r="D397" s="111"/>
      <c r="E397" s="111"/>
      <c r="F397" s="111"/>
      <c r="G397" s="111"/>
      <c r="H397" s="111"/>
      <c r="I397" s="127"/>
      <c r="J397" s="111"/>
      <c r="K397" s="257"/>
      <c r="L397" s="111"/>
      <c r="M397" s="127"/>
      <c r="N397" s="270"/>
      <c r="O397" s="111"/>
      <c r="P397" s="111"/>
      <c r="Q397" s="128"/>
      <c r="R397" s="124"/>
      <c r="S397" s="125"/>
      <c r="T397" s="126"/>
      <c r="U397" s="126"/>
      <c r="V397" s="126"/>
      <c r="W397" s="126"/>
      <c r="X397" s="126"/>
      <c r="Y397" s="126"/>
      <c r="Z397" s="127"/>
      <c r="AA397" s="127"/>
      <c r="AB397" s="127"/>
      <c r="AC397" s="127"/>
      <c r="AD397" s="261"/>
      <c r="AE397" s="261"/>
      <c r="AF397" s="261"/>
      <c r="AG397" s="261"/>
    </row>
    <row r="398" ht="34.5" hidden="1" customHeight="1">
      <c r="A398" s="111"/>
      <c r="B398" s="127"/>
      <c r="C398" s="111"/>
      <c r="D398" s="111"/>
      <c r="E398" s="111"/>
      <c r="F398" s="111"/>
      <c r="G398" s="111"/>
      <c r="H398" s="111"/>
      <c r="I398" s="127"/>
      <c r="J398" s="111"/>
      <c r="K398" s="257"/>
      <c r="L398" s="111"/>
      <c r="M398" s="127"/>
      <c r="N398" s="270"/>
      <c r="O398" s="111"/>
      <c r="P398" s="111"/>
      <c r="Q398" s="128"/>
      <c r="R398" s="124"/>
      <c r="S398" s="125"/>
      <c r="T398" s="126"/>
      <c r="U398" s="126"/>
      <c r="V398" s="126"/>
      <c r="W398" s="126"/>
      <c r="X398" s="126"/>
      <c r="Y398" s="126"/>
      <c r="Z398" s="127"/>
      <c r="AA398" s="127"/>
      <c r="AB398" s="127"/>
      <c r="AC398" s="127"/>
      <c r="AD398" s="261"/>
      <c r="AE398" s="261"/>
      <c r="AF398" s="261"/>
      <c r="AG398" s="261"/>
    </row>
    <row r="399" ht="34.5" hidden="1" customHeight="1">
      <c r="A399" s="111"/>
      <c r="B399" s="127"/>
      <c r="C399" s="111"/>
      <c r="D399" s="111"/>
      <c r="E399" s="111"/>
      <c r="F399" s="111"/>
      <c r="G399" s="111"/>
      <c r="H399" s="111"/>
      <c r="I399" s="127"/>
      <c r="J399" s="111"/>
      <c r="K399" s="257"/>
      <c r="L399" s="111"/>
      <c r="M399" s="127"/>
      <c r="N399" s="270"/>
      <c r="O399" s="111"/>
      <c r="P399" s="111"/>
      <c r="Q399" s="128"/>
      <c r="R399" s="124"/>
      <c r="S399" s="125"/>
      <c r="T399" s="126"/>
      <c r="U399" s="126"/>
      <c r="V399" s="126"/>
      <c r="W399" s="126"/>
      <c r="X399" s="126"/>
      <c r="Y399" s="126"/>
      <c r="Z399" s="127"/>
      <c r="AA399" s="127"/>
      <c r="AB399" s="127"/>
      <c r="AC399" s="127"/>
      <c r="AD399" s="261"/>
      <c r="AE399" s="261"/>
      <c r="AF399" s="261"/>
      <c r="AG399" s="261"/>
    </row>
    <row r="400" ht="34.5" hidden="1" customHeight="1">
      <c r="A400" s="111"/>
      <c r="B400" s="127"/>
      <c r="C400" s="111"/>
      <c r="D400" s="111"/>
      <c r="E400" s="111"/>
      <c r="F400" s="111"/>
      <c r="G400" s="111"/>
      <c r="H400" s="111"/>
      <c r="I400" s="127"/>
      <c r="J400" s="111"/>
      <c r="K400" s="257"/>
      <c r="L400" s="111"/>
      <c r="M400" s="127"/>
      <c r="N400" s="270"/>
      <c r="O400" s="111"/>
      <c r="P400" s="111"/>
      <c r="Q400" s="128"/>
      <c r="R400" s="124"/>
      <c r="S400" s="125"/>
      <c r="T400" s="126"/>
      <c r="U400" s="126"/>
      <c r="V400" s="126"/>
      <c r="W400" s="126"/>
      <c r="X400" s="126"/>
      <c r="Y400" s="126"/>
      <c r="Z400" s="127"/>
      <c r="AA400" s="127"/>
      <c r="AB400" s="127"/>
      <c r="AC400" s="127"/>
      <c r="AD400" s="261"/>
      <c r="AE400" s="261"/>
      <c r="AF400" s="261"/>
      <c r="AG400" s="261"/>
    </row>
    <row r="401" ht="34.5" hidden="1" customHeight="1">
      <c r="A401" s="111"/>
      <c r="B401" s="127"/>
      <c r="C401" s="111"/>
      <c r="D401" s="111"/>
      <c r="E401" s="111"/>
      <c r="F401" s="111"/>
      <c r="G401" s="111"/>
      <c r="H401" s="111"/>
      <c r="I401" s="127"/>
      <c r="J401" s="111"/>
      <c r="K401" s="257"/>
      <c r="L401" s="111"/>
      <c r="M401" s="127"/>
      <c r="N401" s="270"/>
      <c r="O401" s="111"/>
      <c r="P401" s="111"/>
      <c r="Q401" s="128"/>
      <c r="R401" s="124"/>
      <c r="S401" s="125"/>
      <c r="T401" s="126"/>
      <c r="U401" s="126"/>
      <c r="V401" s="126"/>
      <c r="W401" s="126"/>
      <c r="X401" s="126"/>
      <c r="Y401" s="126"/>
      <c r="Z401" s="127"/>
      <c r="AA401" s="127"/>
      <c r="AB401" s="127"/>
      <c r="AC401" s="127"/>
      <c r="AD401" s="261"/>
      <c r="AE401" s="261"/>
      <c r="AF401" s="261"/>
      <c r="AG401" s="261"/>
    </row>
    <row r="402" ht="34.5" hidden="1" customHeight="1">
      <c r="A402" s="111"/>
      <c r="B402" s="127"/>
      <c r="C402" s="111"/>
      <c r="D402" s="111"/>
      <c r="E402" s="111"/>
      <c r="F402" s="111"/>
      <c r="G402" s="111"/>
      <c r="H402" s="111"/>
      <c r="I402" s="127"/>
      <c r="J402" s="111"/>
      <c r="K402" s="257"/>
      <c r="L402" s="111"/>
      <c r="M402" s="127"/>
      <c r="N402" s="270"/>
      <c r="O402" s="111"/>
      <c r="P402" s="111"/>
      <c r="Q402" s="128"/>
      <c r="R402" s="124"/>
      <c r="S402" s="125"/>
      <c r="T402" s="126"/>
      <c r="U402" s="126"/>
      <c r="V402" s="126"/>
      <c r="W402" s="126"/>
      <c r="X402" s="126"/>
      <c r="Y402" s="126"/>
      <c r="Z402" s="127"/>
      <c r="AA402" s="127"/>
      <c r="AB402" s="127"/>
      <c r="AC402" s="127"/>
      <c r="AD402" s="261"/>
      <c r="AE402" s="261"/>
      <c r="AF402" s="261"/>
      <c r="AG402" s="261"/>
    </row>
    <row r="403" ht="34.5" hidden="1" customHeight="1">
      <c r="A403" s="111"/>
      <c r="B403" s="127"/>
      <c r="C403" s="111"/>
      <c r="D403" s="111"/>
      <c r="E403" s="111"/>
      <c r="F403" s="111"/>
      <c r="G403" s="111"/>
      <c r="H403" s="111"/>
      <c r="I403" s="127"/>
      <c r="J403" s="111"/>
      <c r="K403" s="257"/>
      <c r="L403" s="111"/>
      <c r="M403" s="127"/>
      <c r="N403" s="270"/>
      <c r="O403" s="111"/>
      <c r="P403" s="111"/>
      <c r="Q403" s="128"/>
      <c r="R403" s="124"/>
      <c r="S403" s="125"/>
      <c r="T403" s="126"/>
      <c r="U403" s="126"/>
      <c r="V403" s="126"/>
      <c r="W403" s="126"/>
      <c r="X403" s="126"/>
      <c r="Y403" s="126"/>
      <c r="Z403" s="127"/>
      <c r="AA403" s="127"/>
      <c r="AB403" s="127"/>
      <c r="AC403" s="127"/>
      <c r="AD403" s="261"/>
      <c r="AE403" s="261"/>
      <c r="AF403" s="261"/>
      <c r="AG403" s="261"/>
    </row>
    <row r="404" ht="34.5" hidden="1" customHeight="1">
      <c r="A404" s="111"/>
      <c r="B404" s="127"/>
      <c r="C404" s="111"/>
      <c r="D404" s="111"/>
      <c r="E404" s="111"/>
      <c r="F404" s="111"/>
      <c r="G404" s="111"/>
      <c r="H404" s="111"/>
      <c r="I404" s="127"/>
      <c r="J404" s="111"/>
      <c r="K404" s="257"/>
      <c r="L404" s="111"/>
      <c r="M404" s="127"/>
      <c r="N404" s="270"/>
      <c r="O404" s="111"/>
      <c r="P404" s="111"/>
      <c r="Q404" s="128"/>
      <c r="R404" s="124"/>
      <c r="S404" s="125"/>
      <c r="T404" s="126"/>
      <c r="U404" s="126"/>
      <c r="V404" s="126"/>
      <c r="W404" s="126"/>
      <c r="X404" s="126"/>
      <c r="Y404" s="126"/>
      <c r="Z404" s="127"/>
      <c r="AA404" s="127"/>
      <c r="AB404" s="127"/>
      <c r="AC404" s="127"/>
      <c r="AD404" s="261"/>
      <c r="AE404" s="261"/>
      <c r="AF404" s="261"/>
      <c r="AG404" s="261"/>
    </row>
    <row r="405" ht="34.5" hidden="1" customHeight="1">
      <c r="A405" s="111"/>
      <c r="B405" s="127"/>
      <c r="C405" s="111"/>
      <c r="D405" s="111"/>
      <c r="E405" s="111"/>
      <c r="F405" s="111"/>
      <c r="G405" s="111"/>
      <c r="H405" s="111"/>
      <c r="I405" s="127"/>
      <c r="J405" s="111"/>
      <c r="K405" s="257"/>
      <c r="L405" s="111"/>
      <c r="M405" s="127"/>
      <c r="N405" s="270"/>
      <c r="O405" s="111"/>
      <c r="P405" s="111"/>
      <c r="Q405" s="128"/>
      <c r="R405" s="124"/>
      <c r="S405" s="125"/>
      <c r="T405" s="126"/>
      <c r="U405" s="126"/>
      <c r="V405" s="126"/>
      <c r="W405" s="126"/>
      <c r="X405" s="126"/>
      <c r="Y405" s="126"/>
      <c r="Z405" s="127"/>
      <c r="AA405" s="127"/>
      <c r="AB405" s="127"/>
      <c r="AC405" s="127"/>
      <c r="AD405" s="261"/>
      <c r="AE405" s="261"/>
      <c r="AF405" s="261"/>
      <c r="AG405" s="261"/>
    </row>
    <row r="406" ht="34.5" hidden="1" customHeight="1">
      <c r="A406" s="111"/>
      <c r="B406" s="127"/>
      <c r="C406" s="111"/>
      <c r="D406" s="111"/>
      <c r="E406" s="111"/>
      <c r="F406" s="111"/>
      <c r="G406" s="111"/>
      <c r="H406" s="111"/>
      <c r="I406" s="127"/>
      <c r="J406" s="111"/>
      <c r="K406" s="257"/>
      <c r="L406" s="111"/>
      <c r="M406" s="127"/>
      <c r="N406" s="270"/>
      <c r="O406" s="111"/>
      <c r="P406" s="111"/>
      <c r="Q406" s="128"/>
      <c r="R406" s="124"/>
      <c r="S406" s="125"/>
      <c r="T406" s="126"/>
      <c r="U406" s="126"/>
      <c r="V406" s="126"/>
      <c r="W406" s="126"/>
      <c r="X406" s="126"/>
      <c r="Y406" s="126"/>
      <c r="Z406" s="127"/>
      <c r="AA406" s="127"/>
      <c r="AB406" s="127"/>
      <c r="AC406" s="127"/>
      <c r="AD406" s="261"/>
      <c r="AE406" s="261"/>
      <c r="AF406" s="261"/>
      <c r="AG406" s="261"/>
    </row>
    <row r="407" ht="34.5" hidden="1" customHeight="1">
      <c r="A407" s="111"/>
      <c r="B407" s="127"/>
      <c r="C407" s="111"/>
      <c r="D407" s="111"/>
      <c r="E407" s="111"/>
      <c r="F407" s="111"/>
      <c r="G407" s="111"/>
      <c r="H407" s="111"/>
      <c r="I407" s="127"/>
      <c r="J407" s="111"/>
      <c r="K407" s="257"/>
      <c r="L407" s="111"/>
      <c r="M407" s="127"/>
      <c r="N407" s="270"/>
      <c r="O407" s="111"/>
      <c r="P407" s="111"/>
      <c r="Q407" s="128"/>
      <c r="R407" s="124"/>
      <c r="S407" s="125"/>
      <c r="T407" s="126"/>
      <c r="U407" s="126"/>
      <c r="V407" s="126"/>
      <c r="W407" s="126"/>
      <c r="X407" s="126"/>
      <c r="Y407" s="126"/>
      <c r="Z407" s="127"/>
      <c r="AA407" s="127"/>
      <c r="AB407" s="127"/>
      <c r="AC407" s="127"/>
      <c r="AD407" s="261"/>
      <c r="AE407" s="261"/>
      <c r="AF407" s="261"/>
      <c r="AG407" s="261"/>
    </row>
    <row r="408" ht="34.5" hidden="1" customHeight="1">
      <c r="A408" s="111"/>
      <c r="B408" s="127"/>
      <c r="C408" s="111"/>
      <c r="D408" s="111"/>
      <c r="E408" s="111"/>
      <c r="F408" s="111"/>
      <c r="G408" s="111"/>
      <c r="H408" s="111"/>
      <c r="I408" s="127"/>
      <c r="J408" s="111"/>
      <c r="K408" s="257"/>
      <c r="L408" s="111"/>
      <c r="M408" s="127"/>
      <c r="N408" s="270"/>
      <c r="O408" s="111"/>
      <c r="P408" s="111"/>
      <c r="Q408" s="128"/>
      <c r="R408" s="124"/>
      <c r="S408" s="125"/>
      <c r="T408" s="126"/>
      <c r="U408" s="126"/>
      <c r="V408" s="126"/>
      <c r="W408" s="126"/>
      <c r="X408" s="126"/>
      <c r="Y408" s="126"/>
      <c r="Z408" s="127"/>
      <c r="AA408" s="127"/>
      <c r="AB408" s="127"/>
      <c r="AC408" s="127"/>
      <c r="AD408" s="261"/>
      <c r="AE408" s="261"/>
      <c r="AF408" s="261"/>
      <c r="AG408" s="261"/>
    </row>
    <row r="409" ht="34.5" hidden="1" customHeight="1">
      <c r="A409" s="111"/>
      <c r="B409" s="127"/>
      <c r="C409" s="111"/>
      <c r="D409" s="111"/>
      <c r="E409" s="111"/>
      <c r="F409" s="111"/>
      <c r="G409" s="111"/>
      <c r="H409" s="111"/>
      <c r="I409" s="127"/>
      <c r="J409" s="111"/>
      <c r="K409" s="257"/>
      <c r="L409" s="111"/>
      <c r="M409" s="127"/>
      <c r="N409" s="270"/>
      <c r="O409" s="111"/>
      <c r="P409" s="111"/>
      <c r="Q409" s="128"/>
      <c r="R409" s="124"/>
      <c r="S409" s="125"/>
      <c r="T409" s="126"/>
      <c r="U409" s="126"/>
      <c r="V409" s="126"/>
      <c r="W409" s="126"/>
      <c r="X409" s="126"/>
      <c r="Y409" s="126"/>
      <c r="Z409" s="127"/>
      <c r="AA409" s="127"/>
      <c r="AB409" s="127"/>
      <c r="AC409" s="127"/>
      <c r="AD409" s="261"/>
      <c r="AE409" s="261"/>
      <c r="AF409" s="261"/>
      <c r="AG409" s="261"/>
    </row>
    <row r="410" ht="34.5" hidden="1" customHeight="1">
      <c r="A410" s="111"/>
      <c r="B410" s="127"/>
      <c r="C410" s="111"/>
      <c r="D410" s="111"/>
      <c r="E410" s="111"/>
      <c r="F410" s="111"/>
      <c r="G410" s="111"/>
      <c r="H410" s="111"/>
      <c r="I410" s="127"/>
      <c r="J410" s="111"/>
      <c r="K410" s="257"/>
      <c r="L410" s="111"/>
      <c r="M410" s="127"/>
      <c r="N410" s="270"/>
      <c r="O410" s="111"/>
      <c r="P410" s="111"/>
      <c r="Q410" s="128"/>
      <c r="R410" s="124"/>
      <c r="S410" s="125"/>
      <c r="T410" s="126"/>
      <c r="U410" s="126"/>
      <c r="V410" s="126"/>
      <c r="W410" s="126"/>
      <c r="X410" s="126"/>
      <c r="Y410" s="126"/>
      <c r="Z410" s="127"/>
      <c r="AA410" s="127"/>
      <c r="AB410" s="127"/>
      <c r="AC410" s="127"/>
      <c r="AD410" s="261"/>
      <c r="AE410" s="261"/>
      <c r="AF410" s="261"/>
      <c r="AG410" s="261"/>
    </row>
    <row r="411" ht="34.5" hidden="1" customHeight="1">
      <c r="A411" s="111"/>
      <c r="B411" s="127"/>
      <c r="C411" s="111"/>
      <c r="D411" s="111"/>
      <c r="E411" s="111"/>
      <c r="F411" s="111"/>
      <c r="G411" s="111"/>
      <c r="H411" s="111"/>
      <c r="I411" s="127"/>
      <c r="J411" s="111"/>
      <c r="K411" s="257"/>
      <c r="L411" s="111"/>
      <c r="M411" s="127"/>
      <c r="N411" s="270"/>
      <c r="O411" s="111"/>
      <c r="P411" s="111"/>
      <c r="Q411" s="128"/>
      <c r="R411" s="124"/>
      <c r="S411" s="125"/>
      <c r="T411" s="126"/>
      <c r="U411" s="126"/>
      <c r="V411" s="126"/>
      <c r="W411" s="126"/>
      <c r="X411" s="126"/>
      <c r="Y411" s="126"/>
      <c r="Z411" s="127"/>
      <c r="AA411" s="127"/>
      <c r="AB411" s="127"/>
      <c r="AC411" s="127"/>
      <c r="AD411" s="261"/>
      <c r="AE411" s="261"/>
      <c r="AF411" s="261"/>
      <c r="AG411" s="261"/>
    </row>
    <row r="412" ht="34.5" hidden="1" customHeight="1">
      <c r="A412" s="111"/>
      <c r="B412" s="127"/>
      <c r="C412" s="111"/>
      <c r="D412" s="111"/>
      <c r="E412" s="111"/>
      <c r="F412" s="111"/>
      <c r="G412" s="111"/>
      <c r="H412" s="111"/>
      <c r="I412" s="127"/>
      <c r="J412" s="111"/>
      <c r="K412" s="257"/>
      <c r="L412" s="111"/>
      <c r="M412" s="127"/>
      <c r="N412" s="270"/>
      <c r="O412" s="111"/>
      <c r="P412" s="111"/>
      <c r="Q412" s="128"/>
      <c r="R412" s="124"/>
      <c r="S412" s="125"/>
      <c r="T412" s="126"/>
      <c r="U412" s="126"/>
      <c r="V412" s="126"/>
      <c r="W412" s="126"/>
      <c r="X412" s="126"/>
      <c r="Y412" s="126"/>
      <c r="Z412" s="127"/>
      <c r="AA412" s="127"/>
      <c r="AB412" s="127"/>
      <c r="AC412" s="127"/>
      <c r="AD412" s="261"/>
      <c r="AE412" s="261"/>
      <c r="AF412" s="261"/>
      <c r="AG412" s="261"/>
    </row>
    <row r="413" ht="34.5" hidden="1" customHeight="1">
      <c r="A413" s="111"/>
      <c r="B413" s="127"/>
      <c r="C413" s="111"/>
      <c r="D413" s="111"/>
      <c r="E413" s="111"/>
      <c r="F413" s="111"/>
      <c r="G413" s="111"/>
      <c r="H413" s="111"/>
      <c r="I413" s="127"/>
      <c r="J413" s="111"/>
      <c r="K413" s="257"/>
      <c r="L413" s="111"/>
      <c r="M413" s="127"/>
      <c r="N413" s="270"/>
      <c r="O413" s="111"/>
      <c r="P413" s="111"/>
      <c r="Q413" s="128"/>
      <c r="R413" s="124"/>
      <c r="S413" s="125"/>
      <c r="T413" s="126"/>
      <c r="U413" s="126"/>
      <c r="V413" s="126"/>
      <c r="W413" s="126"/>
      <c r="X413" s="126"/>
      <c r="Y413" s="126"/>
      <c r="Z413" s="127"/>
      <c r="AA413" s="127"/>
      <c r="AB413" s="127"/>
      <c r="AC413" s="127"/>
      <c r="AD413" s="261"/>
      <c r="AE413" s="261"/>
      <c r="AF413" s="261"/>
      <c r="AG413" s="261"/>
    </row>
    <row r="414" ht="34.5" hidden="1" customHeight="1">
      <c r="A414" s="111"/>
      <c r="B414" s="127"/>
      <c r="C414" s="111"/>
      <c r="D414" s="111"/>
      <c r="E414" s="111"/>
      <c r="F414" s="111"/>
      <c r="G414" s="111"/>
      <c r="H414" s="111"/>
      <c r="I414" s="127"/>
      <c r="J414" s="111"/>
      <c r="K414" s="257"/>
      <c r="L414" s="111"/>
      <c r="M414" s="127"/>
      <c r="N414" s="270"/>
      <c r="O414" s="111"/>
      <c r="P414" s="111"/>
      <c r="Q414" s="128"/>
      <c r="R414" s="124"/>
      <c r="S414" s="125"/>
      <c r="T414" s="126"/>
      <c r="U414" s="126"/>
      <c r="V414" s="126"/>
      <c r="W414" s="126"/>
      <c r="X414" s="126"/>
      <c r="Y414" s="126"/>
      <c r="Z414" s="127"/>
      <c r="AA414" s="127"/>
      <c r="AB414" s="127"/>
      <c r="AC414" s="127"/>
      <c r="AD414" s="261"/>
      <c r="AE414" s="261"/>
      <c r="AF414" s="261"/>
      <c r="AG414" s="261"/>
    </row>
    <row r="415" ht="34.5" hidden="1" customHeight="1">
      <c r="A415" s="111"/>
      <c r="B415" s="127"/>
      <c r="C415" s="111"/>
      <c r="D415" s="111"/>
      <c r="E415" s="111"/>
      <c r="F415" s="111"/>
      <c r="G415" s="111"/>
      <c r="H415" s="111"/>
      <c r="I415" s="127"/>
      <c r="J415" s="111"/>
      <c r="K415" s="257"/>
      <c r="L415" s="111"/>
      <c r="M415" s="127"/>
      <c r="N415" s="270"/>
      <c r="O415" s="111"/>
      <c r="P415" s="111"/>
      <c r="Q415" s="128"/>
      <c r="R415" s="124"/>
      <c r="S415" s="125"/>
      <c r="T415" s="126"/>
      <c r="U415" s="126"/>
      <c r="V415" s="126"/>
      <c r="W415" s="126"/>
      <c r="X415" s="126"/>
      <c r="Y415" s="126"/>
      <c r="Z415" s="127"/>
      <c r="AA415" s="127"/>
      <c r="AB415" s="127"/>
      <c r="AC415" s="127"/>
      <c r="AD415" s="261"/>
      <c r="AE415" s="261"/>
      <c r="AF415" s="261"/>
      <c r="AG415" s="261"/>
    </row>
    <row r="416" ht="34.5" hidden="1" customHeight="1">
      <c r="A416" s="111"/>
      <c r="B416" s="127"/>
      <c r="C416" s="111"/>
      <c r="D416" s="111"/>
      <c r="E416" s="111"/>
      <c r="F416" s="111"/>
      <c r="G416" s="111"/>
      <c r="H416" s="111"/>
      <c r="I416" s="127"/>
      <c r="J416" s="111"/>
      <c r="K416" s="257"/>
      <c r="L416" s="111"/>
      <c r="M416" s="127"/>
      <c r="N416" s="270"/>
      <c r="O416" s="111"/>
      <c r="P416" s="111"/>
      <c r="Q416" s="128"/>
      <c r="R416" s="124"/>
      <c r="S416" s="125"/>
      <c r="T416" s="126"/>
      <c r="U416" s="126"/>
      <c r="V416" s="126"/>
      <c r="W416" s="126"/>
      <c r="X416" s="126"/>
      <c r="Y416" s="126"/>
      <c r="Z416" s="127"/>
      <c r="AA416" s="127"/>
      <c r="AB416" s="127"/>
      <c r="AC416" s="127"/>
      <c r="AD416" s="261"/>
      <c r="AE416" s="261"/>
      <c r="AF416" s="261"/>
      <c r="AG416" s="261"/>
    </row>
    <row r="417" ht="34.5" hidden="1" customHeight="1">
      <c r="A417" s="111"/>
      <c r="B417" s="127"/>
      <c r="C417" s="111"/>
      <c r="D417" s="111"/>
      <c r="E417" s="111"/>
      <c r="F417" s="111"/>
      <c r="G417" s="111"/>
      <c r="H417" s="111"/>
      <c r="I417" s="127"/>
      <c r="J417" s="111"/>
      <c r="K417" s="257"/>
      <c r="L417" s="111"/>
      <c r="M417" s="127"/>
      <c r="N417" s="270"/>
      <c r="O417" s="111"/>
      <c r="P417" s="111"/>
      <c r="Q417" s="128"/>
      <c r="R417" s="124"/>
      <c r="S417" s="125"/>
      <c r="T417" s="126"/>
      <c r="U417" s="126"/>
      <c r="V417" s="126"/>
      <c r="W417" s="126"/>
      <c r="X417" s="126"/>
      <c r="Y417" s="126"/>
      <c r="Z417" s="127"/>
      <c r="AA417" s="127"/>
      <c r="AB417" s="127"/>
      <c r="AC417" s="127"/>
      <c r="AD417" s="261"/>
      <c r="AE417" s="261"/>
      <c r="AF417" s="261"/>
      <c r="AG417" s="261"/>
    </row>
    <row r="418" ht="34.5" hidden="1" customHeight="1">
      <c r="A418" s="111"/>
      <c r="B418" s="127"/>
      <c r="C418" s="111"/>
      <c r="D418" s="111"/>
      <c r="E418" s="111"/>
      <c r="F418" s="111"/>
      <c r="G418" s="111"/>
      <c r="H418" s="111"/>
      <c r="I418" s="127"/>
      <c r="J418" s="111"/>
      <c r="K418" s="257"/>
      <c r="L418" s="111"/>
      <c r="M418" s="127"/>
      <c r="N418" s="270"/>
      <c r="O418" s="111"/>
      <c r="P418" s="111"/>
      <c r="Q418" s="128"/>
      <c r="R418" s="124"/>
      <c r="S418" s="125"/>
      <c r="T418" s="126"/>
      <c r="U418" s="126"/>
      <c r="V418" s="126"/>
      <c r="W418" s="126"/>
      <c r="X418" s="126"/>
      <c r="Y418" s="126"/>
      <c r="Z418" s="127"/>
      <c r="AA418" s="127"/>
      <c r="AB418" s="127"/>
      <c r="AC418" s="127"/>
      <c r="AD418" s="261"/>
      <c r="AE418" s="261"/>
      <c r="AF418" s="261"/>
      <c r="AG418" s="261"/>
    </row>
    <row r="419" ht="34.5" hidden="1" customHeight="1">
      <c r="A419" s="111"/>
      <c r="B419" s="127"/>
      <c r="C419" s="111"/>
      <c r="D419" s="111"/>
      <c r="E419" s="111"/>
      <c r="F419" s="111"/>
      <c r="G419" s="111"/>
      <c r="H419" s="111"/>
      <c r="I419" s="127"/>
      <c r="J419" s="111"/>
      <c r="K419" s="257"/>
      <c r="L419" s="111"/>
      <c r="M419" s="127"/>
      <c r="N419" s="270"/>
      <c r="O419" s="111"/>
      <c r="P419" s="111"/>
      <c r="Q419" s="128"/>
      <c r="R419" s="124"/>
      <c r="S419" s="125"/>
      <c r="T419" s="126"/>
      <c r="U419" s="126"/>
      <c r="V419" s="126"/>
      <c r="W419" s="126"/>
      <c r="X419" s="126"/>
      <c r="Y419" s="126"/>
      <c r="Z419" s="127"/>
      <c r="AA419" s="127"/>
      <c r="AB419" s="127"/>
      <c r="AC419" s="127"/>
      <c r="AD419" s="261"/>
      <c r="AE419" s="261"/>
      <c r="AF419" s="261"/>
      <c r="AG419" s="261"/>
    </row>
    <row r="420" ht="34.5" hidden="1" customHeight="1">
      <c r="A420" s="111"/>
      <c r="B420" s="127"/>
      <c r="C420" s="111"/>
      <c r="D420" s="111"/>
      <c r="E420" s="111"/>
      <c r="F420" s="111"/>
      <c r="G420" s="111"/>
      <c r="H420" s="111"/>
      <c r="I420" s="127"/>
      <c r="J420" s="111"/>
      <c r="K420" s="257"/>
      <c r="L420" s="111"/>
      <c r="M420" s="127"/>
      <c r="N420" s="270"/>
      <c r="O420" s="111"/>
      <c r="P420" s="111"/>
      <c r="Q420" s="128"/>
      <c r="R420" s="124"/>
      <c r="S420" s="125"/>
      <c r="T420" s="126"/>
      <c r="U420" s="126"/>
      <c r="V420" s="126"/>
      <c r="W420" s="126"/>
      <c r="X420" s="126"/>
      <c r="Y420" s="126"/>
      <c r="Z420" s="127"/>
      <c r="AA420" s="127"/>
      <c r="AB420" s="127"/>
      <c r="AC420" s="127"/>
      <c r="AD420" s="261"/>
      <c r="AE420" s="261"/>
      <c r="AF420" s="261"/>
      <c r="AG420" s="261"/>
    </row>
    <row r="421" ht="34.5" hidden="1" customHeight="1">
      <c r="A421" s="111"/>
      <c r="B421" s="127"/>
      <c r="C421" s="111"/>
      <c r="D421" s="111"/>
      <c r="E421" s="111"/>
      <c r="F421" s="111"/>
      <c r="G421" s="111"/>
      <c r="H421" s="111"/>
      <c r="I421" s="127"/>
      <c r="J421" s="111"/>
      <c r="K421" s="257"/>
      <c r="L421" s="111"/>
      <c r="M421" s="127"/>
      <c r="N421" s="270"/>
      <c r="O421" s="111"/>
      <c r="P421" s="111"/>
      <c r="Q421" s="128"/>
      <c r="R421" s="124"/>
      <c r="S421" s="125"/>
      <c r="T421" s="126"/>
      <c r="U421" s="126"/>
      <c r="V421" s="126"/>
      <c r="W421" s="126"/>
      <c r="X421" s="126"/>
      <c r="Y421" s="126"/>
      <c r="Z421" s="127"/>
      <c r="AA421" s="127"/>
      <c r="AB421" s="127"/>
      <c r="AC421" s="127"/>
      <c r="AD421" s="261"/>
      <c r="AE421" s="261"/>
      <c r="AF421" s="261"/>
      <c r="AG421" s="261"/>
    </row>
    <row r="422" ht="34.5" hidden="1" customHeight="1">
      <c r="A422" s="111"/>
      <c r="B422" s="127"/>
      <c r="C422" s="111"/>
      <c r="D422" s="111"/>
      <c r="E422" s="111"/>
      <c r="F422" s="111"/>
      <c r="G422" s="111"/>
      <c r="H422" s="111"/>
      <c r="I422" s="127"/>
      <c r="J422" s="111"/>
      <c r="K422" s="257"/>
      <c r="L422" s="111"/>
      <c r="M422" s="127"/>
      <c r="N422" s="270"/>
      <c r="O422" s="111"/>
      <c r="P422" s="111"/>
      <c r="Q422" s="128"/>
      <c r="R422" s="124"/>
      <c r="S422" s="125"/>
      <c r="T422" s="126"/>
      <c r="U422" s="126"/>
      <c r="V422" s="126"/>
      <c r="W422" s="126"/>
      <c r="X422" s="126"/>
      <c r="Y422" s="126"/>
      <c r="Z422" s="127"/>
      <c r="AA422" s="127"/>
      <c r="AB422" s="127"/>
      <c r="AC422" s="127"/>
      <c r="AD422" s="261"/>
      <c r="AE422" s="261"/>
      <c r="AF422" s="261"/>
      <c r="AG422" s="261"/>
    </row>
    <row r="423" ht="34.5" hidden="1" customHeight="1">
      <c r="A423" s="111"/>
      <c r="B423" s="127"/>
      <c r="C423" s="111"/>
      <c r="D423" s="111"/>
      <c r="E423" s="111"/>
      <c r="F423" s="111"/>
      <c r="G423" s="111"/>
      <c r="H423" s="111"/>
      <c r="I423" s="127"/>
      <c r="J423" s="111"/>
      <c r="K423" s="257"/>
      <c r="L423" s="111"/>
      <c r="M423" s="127"/>
      <c r="N423" s="270"/>
      <c r="O423" s="111"/>
      <c r="P423" s="111"/>
      <c r="Q423" s="128"/>
      <c r="R423" s="124"/>
      <c r="S423" s="125"/>
      <c r="T423" s="126"/>
      <c r="U423" s="126"/>
      <c r="V423" s="126"/>
      <c r="W423" s="126"/>
      <c r="X423" s="126"/>
      <c r="Y423" s="126"/>
      <c r="Z423" s="127"/>
      <c r="AA423" s="127"/>
      <c r="AB423" s="127"/>
      <c r="AC423" s="127"/>
      <c r="AD423" s="261"/>
      <c r="AE423" s="261"/>
      <c r="AF423" s="261"/>
      <c r="AG423" s="261"/>
    </row>
    <row r="424" ht="34.5" hidden="1" customHeight="1">
      <c r="A424" s="111"/>
      <c r="B424" s="127"/>
      <c r="C424" s="111"/>
      <c r="D424" s="111"/>
      <c r="E424" s="111"/>
      <c r="F424" s="111"/>
      <c r="G424" s="111"/>
      <c r="H424" s="111"/>
      <c r="I424" s="127"/>
      <c r="J424" s="111"/>
      <c r="K424" s="257"/>
      <c r="L424" s="111"/>
      <c r="M424" s="127"/>
      <c r="N424" s="270"/>
      <c r="O424" s="111"/>
      <c r="P424" s="111"/>
      <c r="Q424" s="128"/>
      <c r="R424" s="124"/>
      <c r="S424" s="125"/>
      <c r="T424" s="126"/>
      <c r="U424" s="126"/>
      <c r="V424" s="126"/>
      <c r="W424" s="126"/>
      <c r="X424" s="126"/>
      <c r="Y424" s="126"/>
      <c r="Z424" s="127"/>
      <c r="AA424" s="127"/>
      <c r="AB424" s="127"/>
      <c r="AC424" s="127"/>
      <c r="AD424" s="261"/>
      <c r="AE424" s="261"/>
      <c r="AF424" s="261"/>
      <c r="AG424" s="261"/>
    </row>
    <row r="425" ht="34.5" hidden="1" customHeight="1">
      <c r="A425" s="111"/>
      <c r="B425" s="127"/>
      <c r="C425" s="111"/>
      <c r="D425" s="111"/>
      <c r="E425" s="111"/>
      <c r="F425" s="111"/>
      <c r="G425" s="111"/>
      <c r="H425" s="111"/>
      <c r="I425" s="127"/>
      <c r="J425" s="111"/>
      <c r="K425" s="257"/>
      <c r="L425" s="111"/>
      <c r="M425" s="127"/>
      <c r="N425" s="270"/>
      <c r="O425" s="111"/>
      <c r="P425" s="111"/>
      <c r="Q425" s="128"/>
      <c r="R425" s="124"/>
      <c r="S425" s="125"/>
      <c r="T425" s="126"/>
      <c r="U425" s="126"/>
      <c r="V425" s="126"/>
      <c r="W425" s="126"/>
      <c r="X425" s="126"/>
      <c r="Y425" s="126"/>
      <c r="Z425" s="127"/>
      <c r="AA425" s="127"/>
      <c r="AB425" s="127"/>
      <c r="AC425" s="127"/>
      <c r="AD425" s="261"/>
      <c r="AE425" s="261"/>
      <c r="AF425" s="261"/>
      <c r="AG425" s="261"/>
    </row>
    <row r="426" ht="34.5" hidden="1" customHeight="1">
      <c r="A426" s="111"/>
      <c r="B426" s="127"/>
      <c r="C426" s="111"/>
      <c r="D426" s="111"/>
      <c r="E426" s="111"/>
      <c r="F426" s="111"/>
      <c r="G426" s="111"/>
      <c r="H426" s="111"/>
      <c r="I426" s="127"/>
      <c r="J426" s="111"/>
      <c r="K426" s="257"/>
      <c r="L426" s="111"/>
      <c r="M426" s="127"/>
      <c r="N426" s="270"/>
      <c r="O426" s="111"/>
      <c r="P426" s="111"/>
      <c r="Q426" s="128"/>
      <c r="R426" s="124"/>
      <c r="S426" s="125"/>
      <c r="T426" s="126"/>
      <c r="U426" s="126"/>
      <c r="V426" s="126"/>
      <c r="W426" s="126"/>
      <c r="X426" s="126"/>
      <c r="Y426" s="126"/>
      <c r="Z426" s="127"/>
      <c r="AA426" s="127"/>
      <c r="AB426" s="127"/>
      <c r="AC426" s="127"/>
      <c r="AD426" s="261"/>
      <c r="AE426" s="261"/>
      <c r="AF426" s="261"/>
      <c r="AG426" s="261"/>
    </row>
    <row r="427" ht="34.5" hidden="1" customHeight="1">
      <c r="A427" s="111"/>
      <c r="B427" s="127"/>
      <c r="C427" s="111"/>
      <c r="D427" s="111"/>
      <c r="E427" s="111"/>
      <c r="F427" s="111"/>
      <c r="G427" s="111"/>
      <c r="H427" s="111"/>
      <c r="I427" s="127"/>
      <c r="J427" s="111"/>
      <c r="K427" s="257"/>
      <c r="L427" s="111"/>
      <c r="M427" s="127"/>
      <c r="N427" s="270"/>
      <c r="O427" s="111"/>
      <c r="P427" s="111"/>
      <c r="Q427" s="128"/>
      <c r="R427" s="124"/>
      <c r="S427" s="125"/>
      <c r="T427" s="126"/>
      <c r="U427" s="126"/>
      <c r="V427" s="126"/>
      <c r="W427" s="126"/>
      <c r="X427" s="126"/>
      <c r="Y427" s="126"/>
      <c r="Z427" s="127"/>
      <c r="AA427" s="127"/>
      <c r="AB427" s="127"/>
      <c r="AC427" s="127"/>
      <c r="AD427" s="261"/>
      <c r="AE427" s="261"/>
      <c r="AF427" s="261"/>
      <c r="AG427" s="261"/>
    </row>
    <row r="428" ht="34.5" hidden="1" customHeight="1">
      <c r="A428" s="111"/>
      <c r="B428" s="127"/>
      <c r="C428" s="111"/>
      <c r="D428" s="111"/>
      <c r="E428" s="111"/>
      <c r="F428" s="111"/>
      <c r="G428" s="111"/>
      <c r="H428" s="111"/>
      <c r="I428" s="127"/>
      <c r="J428" s="111"/>
      <c r="K428" s="257"/>
      <c r="L428" s="111"/>
      <c r="M428" s="127"/>
      <c r="N428" s="270"/>
      <c r="O428" s="111"/>
      <c r="P428" s="111"/>
      <c r="Q428" s="128"/>
      <c r="R428" s="124"/>
      <c r="S428" s="125"/>
      <c r="T428" s="126"/>
      <c r="U428" s="126"/>
      <c r="V428" s="126"/>
      <c r="W428" s="126"/>
      <c r="X428" s="126"/>
      <c r="Y428" s="126"/>
      <c r="Z428" s="127"/>
      <c r="AA428" s="127"/>
      <c r="AB428" s="127"/>
      <c r="AC428" s="127"/>
      <c r="AD428" s="261"/>
      <c r="AE428" s="261"/>
      <c r="AF428" s="261"/>
      <c r="AG428" s="261"/>
    </row>
    <row r="429" ht="34.5" hidden="1" customHeight="1">
      <c r="A429" s="111"/>
      <c r="B429" s="127"/>
      <c r="C429" s="111"/>
      <c r="D429" s="111"/>
      <c r="E429" s="111"/>
      <c r="F429" s="111"/>
      <c r="G429" s="111"/>
      <c r="H429" s="111"/>
      <c r="I429" s="127"/>
      <c r="J429" s="111"/>
      <c r="K429" s="257"/>
      <c r="L429" s="111"/>
      <c r="M429" s="127"/>
      <c r="N429" s="270"/>
      <c r="O429" s="111"/>
      <c r="P429" s="111"/>
      <c r="Q429" s="128"/>
      <c r="R429" s="124"/>
      <c r="S429" s="125"/>
      <c r="T429" s="126"/>
      <c r="U429" s="126"/>
      <c r="V429" s="126"/>
      <c r="W429" s="126"/>
      <c r="X429" s="126"/>
      <c r="Y429" s="126"/>
      <c r="Z429" s="127"/>
      <c r="AA429" s="127"/>
      <c r="AB429" s="127"/>
      <c r="AC429" s="127"/>
      <c r="AD429" s="261"/>
      <c r="AE429" s="261"/>
      <c r="AF429" s="261"/>
      <c r="AG429" s="261"/>
    </row>
    <row r="430" ht="34.5" hidden="1" customHeight="1">
      <c r="A430" s="111"/>
      <c r="B430" s="127"/>
      <c r="C430" s="111"/>
      <c r="D430" s="111"/>
      <c r="E430" s="111"/>
      <c r="F430" s="111"/>
      <c r="G430" s="111"/>
      <c r="H430" s="111"/>
      <c r="I430" s="127"/>
      <c r="J430" s="111"/>
      <c r="K430" s="257"/>
      <c r="L430" s="111"/>
      <c r="M430" s="127"/>
      <c r="N430" s="270"/>
      <c r="O430" s="111"/>
      <c r="P430" s="111"/>
      <c r="Q430" s="128"/>
      <c r="R430" s="124"/>
      <c r="S430" s="125"/>
      <c r="T430" s="126"/>
      <c r="U430" s="126"/>
      <c r="V430" s="126"/>
      <c r="W430" s="126"/>
      <c r="X430" s="126"/>
      <c r="Y430" s="126"/>
      <c r="Z430" s="127"/>
      <c r="AA430" s="127"/>
      <c r="AB430" s="127"/>
      <c r="AC430" s="127"/>
      <c r="AD430" s="261"/>
      <c r="AE430" s="261"/>
      <c r="AF430" s="261"/>
      <c r="AG430" s="261"/>
    </row>
    <row r="431" ht="34.5" hidden="1" customHeight="1">
      <c r="A431" s="111"/>
      <c r="B431" s="127"/>
      <c r="C431" s="111"/>
      <c r="D431" s="111"/>
      <c r="E431" s="111"/>
      <c r="F431" s="111"/>
      <c r="G431" s="111"/>
      <c r="H431" s="111"/>
      <c r="I431" s="127"/>
      <c r="J431" s="111"/>
      <c r="K431" s="257"/>
      <c r="L431" s="111"/>
      <c r="M431" s="127"/>
      <c r="N431" s="270"/>
      <c r="O431" s="111"/>
      <c r="P431" s="111"/>
      <c r="Q431" s="128"/>
      <c r="R431" s="124"/>
      <c r="S431" s="125"/>
      <c r="T431" s="126"/>
      <c r="U431" s="126"/>
      <c r="V431" s="126"/>
      <c r="W431" s="126"/>
      <c r="X431" s="126"/>
      <c r="Y431" s="126"/>
      <c r="Z431" s="127"/>
      <c r="AA431" s="127"/>
      <c r="AB431" s="127"/>
      <c r="AC431" s="127"/>
      <c r="AD431" s="261"/>
      <c r="AE431" s="261"/>
      <c r="AF431" s="261"/>
      <c r="AG431" s="261"/>
    </row>
    <row r="432" ht="34.5" hidden="1" customHeight="1">
      <c r="A432" s="111"/>
      <c r="B432" s="127"/>
      <c r="C432" s="111"/>
      <c r="D432" s="111"/>
      <c r="E432" s="111"/>
      <c r="F432" s="111"/>
      <c r="G432" s="111"/>
      <c r="H432" s="111"/>
      <c r="I432" s="127"/>
      <c r="J432" s="111"/>
      <c r="K432" s="257"/>
      <c r="L432" s="111"/>
      <c r="M432" s="127"/>
      <c r="N432" s="270"/>
      <c r="O432" s="111"/>
      <c r="P432" s="111"/>
      <c r="Q432" s="128"/>
      <c r="R432" s="124"/>
      <c r="S432" s="125"/>
      <c r="T432" s="126"/>
      <c r="U432" s="126"/>
      <c r="V432" s="126"/>
      <c r="W432" s="126"/>
      <c r="X432" s="126"/>
      <c r="Y432" s="126"/>
      <c r="Z432" s="127"/>
      <c r="AA432" s="127"/>
      <c r="AB432" s="127"/>
      <c r="AC432" s="127"/>
      <c r="AD432" s="261"/>
      <c r="AE432" s="261"/>
      <c r="AF432" s="261"/>
      <c r="AG432" s="261"/>
    </row>
    <row r="433" ht="34.5" hidden="1" customHeight="1">
      <c r="A433" s="111"/>
      <c r="B433" s="127"/>
      <c r="C433" s="111"/>
      <c r="D433" s="111"/>
      <c r="E433" s="111"/>
      <c r="F433" s="111"/>
      <c r="G433" s="111"/>
      <c r="H433" s="111"/>
      <c r="I433" s="127"/>
      <c r="J433" s="111"/>
      <c r="K433" s="257"/>
      <c r="L433" s="111"/>
      <c r="M433" s="127"/>
      <c r="N433" s="270"/>
      <c r="O433" s="111"/>
      <c r="P433" s="111"/>
      <c r="Q433" s="128"/>
      <c r="R433" s="124"/>
      <c r="S433" s="125"/>
      <c r="T433" s="126"/>
      <c r="U433" s="126"/>
      <c r="V433" s="126"/>
      <c r="W433" s="126"/>
      <c r="X433" s="126"/>
      <c r="Y433" s="126"/>
      <c r="Z433" s="127"/>
      <c r="AA433" s="127"/>
      <c r="AB433" s="127"/>
      <c r="AC433" s="127"/>
      <c r="AD433" s="261"/>
      <c r="AE433" s="261"/>
      <c r="AF433" s="261"/>
      <c r="AG433" s="261"/>
    </row>
    <row r="434" ht="34.5" hidden="1" customHeight="1">
      <c r="A434" s="111"/>
      <c r="B434" s="127"/>
      <c r="C434" s="111"/>
      <c r="D434" s="111"/>
      <c r="E434" s="111"/>
      <c r="F434" s="111"/>
      <c r="G434" s="111"/>
      <c r="H434" s="111"/>
      <c r="I434" s="127"/>
      <c r="J434" s="111"/>
      <c r="K434" s="257"/>
      <c r="L434" s="111"/>
      <c r="M434" s="127"/>
      <c r="N434" s="270"/>
      <c r="O434" s="111"/>
      <c r="P434" s="111"/>
      <c r="Q434" s="128"/>
      <c r="R434" s="124"/>
      <c r="S434" s="125"/>
      <c r="T434" s="126"/>
      <c r="U434" s="126"/>
      <c r="V434" s="126"/>
      <c r="W434" s="126"/>
      <c r="X434" s="126"/>
      <c r="Y434" s="126"/>
      <c r="Z434" s="127"/>
      <c r="AA434" s="127"/>
      <c r="AB434" s="127"/>
      <c r="AC434" s="127"/>
      <c r="AD434" s="261"/>
      <c r="AE434" s="261"/>
      <c r="AF434" s="261"/>
      <c r="AG434" s="261"/>
    </row>
    <row r="435" ht="34.5" hidden="1" customHeight="1">
      <c r="A435" s="111"/>
      <c r="B435" s="127"/>
      <c r="C435" s="111"/>
      <c r="D435" s="111"/>
      <c r="E435" s="111"/>
      <c r="F435" s="111"/>
      <c r="G435" s="111"/>
      <c r="H435" s="111"/>
      <c r="I435" s="127"/>
      <c r="J435" s="111"/>
      <c r="K435" s="257"/>
      <c r="L435" s="111"/>
      <c r="M435" s="127"/>
      <c r="N435" s="270"/>
      <c r="O435" s="111"/>
      <c r="P435" s="111"/>
      <c r="Q435" s="128"/>
      <c r="R435" s="124"/>
      <c r="S435" s="125"/>
      <c r="T435" s="126"/>
      <c r="U435" s="126"/>
      <c r="V435" s="126"/>
      <c r="W435" s="126"/>
      <c r="X435" s="126"/>
      <c r="Y435" s="126"/>
      <c r="Z435" s="127"/>
      <c r="AA435" s="127"/>
      <c r="AB435" s="127"/>
      <c r="AC435" s="127"/>
      <c r="AD435" s="261"/>
      <c r="AE435" s="261"/>
      <c r="AF435" s="261"/>
      <c r="AG435" s="261"/>
    </row>
    <row r="436" ht="34.5" hidden="1" customHeight="1">
      <c r="A436" s="111"/>
      <c r="B436" s="127"/>
      <c r="C436" s="111"/>
      <c r="D436" s="111"/>
      <c r="E436" s="111"/>
      <c r="F436" s="111"/>
      <c r="G436" s="111"/>
      <c r="H436" s="111"/>
      <c r="I436" s="127"/>
      <c r="J436" s="111"/>
      <c r="K436" s="257"/>
      <c r="L436" s="111"/>
      <c r="M436" s="127"/>
      <c r="N436" s="270"/>
      <c r="O436" s="111"/>
      <c r="P436" s="111"/>
      <c r="Q436" s="128"/>
      <c r="R436" s="124"/>
      <c r="S436" s="125"/>
      <c r="T436" s="126"/>
      <c r="U436" s="126"/>
      <c r="V436" s="126"/>
      <c r="W436" s="126"/>
      <c r="X436" s="126"/>
      <c r="Y436" s="126"/>
      <c r="Z436" s="127"/>
      <c r="AA436" s="127"/>
      <c r="AB436" s="127"/>
      <c r="AC436" s="127"/>
      <c r="AD436" s="261"/>
      <c r="AE436" s="261"/>
      <c r="AF436" s="261"/>
      <c r="AG436" s="261"/>
    </row>
    <row r="437" ht="34.5" hidden="1" customHeight="1">
      <c r="A437" s="111"/>
      <c r="B437" s="127"/>
      <c r="C437" s="111"/>
      <c r="D437" s="111"/>
      <c r="E437" s="111"/>
      <c r="F437" s="111"/>
      <c r="G437" s="111"/>
      <c r="H437" s="111"/>
      <c r="I437" s="127"/>
      <c r="J437" s="111"/>
      <c r="K437" s="257"/>
      <c r="L437" s="111"/>
      <c r="M437" s="127"/>
      <c r="N437" s="270"/>
      <c r="O437" s="111"/>
      <c r="P437" s="111"/>
      <c r="Q437" s="128"/>
      <c r="R437" s="124"/>
      <c r="S437" s="125"/>
      <c r="T437" s="126"/>
      <c r="U437" s="126"/>
      <c r="V437" s="126"/>
      <c r="W437" s="126"/>
      <c r="X437" s="126"/>
      <c r="Y437" s="126"/>
      <c r="Z437" s="127"/>
      <c r="AA437" s="127"/>
      <c r="AB437" s="127"/>
      <c r="AC437" s="127"/>
      <c r="AD437" s="261"/>
      <c r="AE437" s="261"/>
      <c r="AF437" s="261"/>
      <c r="AG437" s="261"/>
    </row>
    <row r="438" ht="34.5" hidden="1" customHeight="1">
      <c r="A438" s="111"/>
      <c r="B438" s="127"/>
      <c r="C438" s="111"/>
      <c r="D438" s="111"/>
      <c r="E438" s="111"/>
      <c r="F438" s="111"/>
      <c r="G438" s="111"/>
      <c r="H438" s="111"/>
      <c r="I438" s="127"/>
      <c r="J438" s="111"/>
      <c r="K438" s="257"/>
      <c r="L438" s="111"/>
      <c r="M438" s="127"/>
      <c r="N438" s="270"/>
      <c r="O438" s="111"/>
      <c r="P438" s="111"/>
      <c r="Q438" s="128"/>
      <c r="R438" s="124"/>
      <c r="S438" s="125"/>
      <c r="T438" s="126"/>
      <c r="U438" s="126"/>
      <c r="V438" s="126"/>
      <c r="W438" s="126"/>
      <c r="X438" s="126"/>
      <c r="Y438" s="126"/>
      <c r="Z438" s="127"/>
      <c r="AA438" s="127"/>
      <c r="AB438" s="127"/>
      <c r="AC438" s="127"/>
      <c r="AD438" s="261"/>
      <c r="AE438" s="261"/>
      <c r="AF438" s="261"/>
      <c r="AG438" s="261"/>
    </row>
    <row r="439" ht="34.5" hidden="1" customHeight="1">
      <c r="A439" s="111"/>
      <c r="B439" s="127"/>
      <c r="C439" s="111"/>
      <c r="D439" s="111"/>
      <c r="E439" s="111"/>
      <c r="F439" s="111"/>
      <c r="G439" s="111"/>
      <c r="H439" s="111"/>
      <c r="I439" s="127"/>
      <c r="J439" s="111"/>
      <c r="K439" s="257"/>
      <c r="L439" s="111"/>
      <c r="M439" s="127"/>
      <c r="N439" s="270"/>
      <c r="O439" s="111"/>
      <c r="P439" s="111"/>
      <c r="Q439" s="128"/>
      <c r="R439" s="124"/>
      <c r="S439" s="125"/>
      <c r="T439" s="126"/>
      <c r="U439" s="126"/>
      <c r="V439" s="126"/>
      <c r="W439" s="126"/>
      <c r="X439" s="126"/>
      <c r="Y439" s="126"/>
      <c r="Z439" s="127"/>
      <c r="AA439" s="127"/>
      <c r="AB439" s="127"/>
      <c r="AC439" s="127"/>
      <c r="AD439" s="261"/>
      <c r="AE439" s="261"/>
      <c r="AF439" s="261"/>
      <c r="AG439" s="261"/>
    </row>
    <row r="440" ht="34.5" hidden="1" customHeight="1">
      <c r="A440" s="111"/>
      <c r="B440" s="127"/>
      <c r="C440" s="111"/>
      <c r="D440" s="111"/>
      <c r="E440" s="111"/>
      <c r="F440" s="111"/>
      <c r="G440" s="111"/>
      <c r="H440" s="111"/>
      <c r="I440" s="127"/>
      <c r="J440" s="111"/>
      <c r="K440" s="257"/>
      <c r="L440" s="111"/>
      <c r="M440" s="127"/>
      <c r="N440" s="270"/>
      <c r="O440" s="111"/>
      <c r="P440" s="111"/>
      <c r="Q440" s="128"/>
      <c r="R440" s="124"/>
      <c r="S440" s="125"/>
      <c r="T440" s="126"/>
      <c r="U440" s="126"/>
      <c r="V440" s="126"/>
      <c r="W440" s="126"/>
      <c r="X440" s="126"/>
      <c r="Y440" s="126"/>
      <c r="Z440" s="127"/>
      <c r="AA440" s="127"/>
      <c r="AB440" s="127"/>
      <c r="AC440" s="127"/>
      <c r="AD440" s="261"/>
      <c r="AE440" s="261"/>
      <c r="AF440" s="261"/>
      <c r="AG440" s="261"/>
    </row>
    <row r="441" ht="34.5" hidden="1" customHeight="1">
      <c r="A441" s="111"/>
      <c r="B441" s="127"/>
      <c r="C441" s="111"/>
      <c r="D441" s="111"/>
      <c r="E441" s="111"/>
      <c r="F441" s="111"/>
      <c r="G441" s="111"/>
      <c r="H441" s="111"/>
      <c r="I441" s="127"/>
      <c r="J441" s="111"/>
      <c r="K441" s="257"/>
      <c r="L441" s="111"/>
      <c r="M441" s="127"/>
      <c r="N441" s="270"/>
      <c r="O441" s="111"/>
      <c r="P441" s="111"/>
      <c r="Q441" s="128"/>
      <c r="R441" s="124"/>
      <c r="S441" s="125"/>
      <c r="T441" s="126"/>
      <c r="U441" s="126"/>
      <c r="V441" s="126"/>
      <c r="W441" s="126"/>
      <c r="X441" s="126"/>
      <c r="Y441" s="126"/>
      <c r="Z441" s="127"/>
      <c r="AA441" s="127"/>
      <c r="AB441" s="127"/>
      <c r="AC441" s="127"/>
      <c r="AD441" s="261"/>
      <c r="AE441" s="261"/>
      <c r="AF441" s="261"/>
      <c r="AG441" s="261"/>
    </row>
    <row r="442" ht="34.5" hidden="1" customHeight="1">
      <c r="A442" s="111"/>
      <c r="B442" s="127"/>
      <c r="C442" s="111"/>
      <c r="D442" s="111"/>
      <c r="E442" s="111"/>
      <c r="F442" s="111"/>
      <c r="G442" s="111"/>
      <c r="H442" s="111"/>
      <c r="I442" s="127"/>
      <c r="J442" s="111"/>
      <c r="K442" s="257"/>
      <c r="L442" s="111"/>
      <c r="M442" s="127"/>
      <c r="N442" s="270"/>
      <c r="O442" s="111"/>
      <c r="P442" s="111"/>
      <c r="Q442" s="128"/>
      <c r="R442" s="124"/>
      <c r="S442" s="125"/>
      <c r="T442" s="126"/>
      <c r="U442" s="126"/>
      <c r="V442" s="126"/>
      <c r="W442" s="126"/>
      <c r="X442" s="126"/>
      <c r="Y442" s="126"/>
      <c r="Z442" s="127"/>
      <c r="AA442" s="127"/>
      <c r="AB442" s="127"/>
      <c r="AC442" s="127"/>
      <c r="AD442" s="261"/>
      <c r="AE442" s="261"/>
      <c r="AF442" s="261"/>
      <c r="AG442" s="261"/>
    </row>
    <row r="443" ht="34.5" hidden="1" customHeight="1">
      <c r="A443" s="111"/>
      <c r="B443" s="127"/>
      <c r="C443" s="111"/>
      <c r="D443" s="111"/>
      <c r="E443" s="111"/>
      <c r="F443" s="111"/>
      <c r="G443" s="111"/>
      <c r="H443" s="111"/>
      <c r="I443" s="127"/>
      <c r="J443" s="111"/>
      <c r="K443" s="257"/>
      <c r="L443" s="111"/>
      <c r="M443" s="127"/>
      <c r="N443" s="270"/>
      <c r="O443" s="111"/>
      <c r="P443" s="111"/>
      <c r="Q443" s="128"/>
      <c r="R443" s="124"/>
      <c r="S443" s="125"/>
      <c r="T443" s="126"/>
      <c r="U443" s="126"/>
      <c r="V443" s="126"/>
      <c r="W443" s="126"/>
      <c r="X443" s="126"/>
      <c r="Y443" s="126"/>
      <c r="Z443" s="127"/>
      <c r="AA443" s="127"/>
      <c r="AB443" s="127"/>
      <c r="AC443" s="127"/>
      <c r="AD443" s="261"/>
      <c r="AE443" s="261"/>
      <c r="AF443" s="261"/>
      <c r="AG443" s="261"/>
    </row>
    <row r="444" ht="34.5" hidden="1" customHeight="1">
      <c r="A444" s="111"/>
      <c r="B444" s="127"/>
      <c r="C444" s="111"/>
      <c r="D444" s="111"/>
      <c r="E444" s="111"/>
      <c r="F444" s="111"/>
      <c r="G444" s="111"/>
      <c r="H444" s="111"/>
      <c r="I444" s="127"/>
      <c r="J444" s="111"/>
      <c r="K444" s="257"/>
      <c r="L444" s="111"/>
      <c r="M444" s="127"/>
      <c r="N444" s="270"/>
      <c r="O444" s="111"/>
      <c r="P444" s="111"/>
      <c r="Q444" s="128"/>
      <c r="R444" s="124"/>
      <c r="S444" s="125"/>
      <c r="T444" s="126"/>
      <c r="U444" s="126"/>
      <c r="V444" s="126"/>
      <c r="W444" s="126"/>
      <c r="X444" s="126"/>
      <c r="Y444" s="126"/>
      <c r="Z444" s="127"/>
      <c r="AA444" s="127"/>
      <c r="AB444" s="127"/>
      <c r="AC444" s="127"/>
      <c r="AD444" s="261"/>
      <c r="AE444" s="261"/>
      <c r="AF444" s="261"/>
      <c r="AG444" s="261"/>
    </row>
    <row r="445" ht="34.5" hidden="1" customHeight="1">
      <c r="A445" s="111"/>
      <c r="B445" s="127"/>
      <c r="C445" s="111"/>
      <c r="D445" s="111"/>
      <c r="E445" s="111"/>
      <c r="F445" s="111"/>
      <c r="G445" s="111"/>
      <c r="H445" s="111"/>
      <c r="I445" s="127"/>
      <c r="J445" s="111"/>
      <c r="K445" s="257"/>
      <c r="L445" s="111"/>
      <c r="M445" s="127"/>
      <c r="N445" s="270"/>
      <c r="O445" s="111"/>
      <c r="P445" s="111"/>
      <c r="Q445" s="128"/>
      <c r="R445" s="124"/>
      <c r="S445" s="125"/>
      <c r="T445" s="126"/>
      <c r="U445" s="126"/>
      <c r="V445" s="126"/>
      <c r="W445" s="126"/>
      <c r="X445" s="126"/>
      <c r="Y445" s="126"/>
      <c r="Z445" s="127"/>
      <c r="AA445" s="127"/>
      <c r="AB445" s="127"/>
      <c r="AC445" s="127"/>
      <c r="AD445" s="261"/>
      <c r="AE445" s="261"/>
      <c r="AF445" s="261"/>
      <c r="AG445" s="261"/>
    </row>
    <row r="446" ht="34.5" hidden="1" customHeight="1">
      <c r="A446" s="111"/>
      <c r="B446" s="127"/>
      <c r="C446" s="111"/>
      <c r="D446" s="111"/>
      <c r="E446" s="111"/>
      <c r="F446" s="111"/>
      <c r="G446" s="111"/>
      <c r="H446" s="111"/>
      <c r="I446" s="127"/>
      <c r="J446" s="111"/>
      <c r="K446" s="257"/>
      <c r="L446" s="111"/>
      <c r="M446" s="127"/>
      <c r="N446" s="270"/>
      <c r="O446" s="111"/>
      <c r="P446" s="111"/>
      <c r="Q446" s="128"/>
      <c r="R446" s="124"/>
      <c r="S446" s="125"/>
      <c r="T446" s="126"/>
      <c r="U446" s="126"/>
      <c r="V446" s="126"/>
      <c r="W446" s="126"/>
      <c r="X446" s="126"/>
      <c r="Y446" s="126"/>
      <c r="Z446" s="127"/>
      <c r="AA446" s="127"/>
      <c r="AB446" s="127"/>
      <c r="AC446" s="127"/>
      <c r="AD446" s="261"/>
      <c r="AE446" s="261"/>
      <c r="AF446" s="261"/>
      <c r="AG446" s="261"/>
    </row>
    <row r="447" ht="34.5" hidden="1" customHeight="1">
      <c r="A447" s="111"/>
      <c r="B447" s="127"/>
      <c r="C447" s="111"/>
      <c r="D447" s="111"/>
      <c r="E447" s="111"/>
      <c r="F447" s="111"/>
      <c r="G447" s="111"/>
      <c r="H447" s="111"/>
      <c r="I447" s="127"/>
      <c r="J447" s="111"/>
      <c r="K447" s="257"/>
      <c r="L447" s="111"/>
      <c r="M447" s="127"/>
      <c r="N447" s="270"/>
      <c r="O447" s="111"/>
      <c r="P447" s="111"/>
      <c r="Q447" s="128"/>
      <c r="R447" s="124"/>
      <c r="S447" s="125"/>
      <c r="T447" s="126"/>
      <c r="U447" s="126"/>
      <c r="V447" s="126"/>
      <c r="W447" s="126"/>
      <c r="X447" s="126"/>
      <c r="Y447" s="126"/>
      <c r="Z447" s="127"/>
      <c r="AA447" s="127"/>
      <c r="AB447" s="127"/>
      <c r="AC447" s="127"/>
      <c r="AD447" s="261"/>
      <c r="AE447" s="261"/>
      <c r="AF447" s="261"/>
      <c r="AG447" s="261"/>
    </row>
    <row r="448" ht="34.5" hidden="1" customHeight="1">
      <c r="A448" s="111"/>
      <c r="B448" s="127"/>
      <c r="C448" s="111"/>
      <c r="D448" s="111"/>
      <c r="E448" s="111"/>
      <c r="F448" s="111"/>
      <c r="G448" s="111"/>
      <c r="H448" s="111"/>
      <c r="I448" s="127"/>
      <c r="J448" s="111"/>
      <c r="K448" s="257"/>
      <c r="L448" s="111"/>
      <c r="M448" s="127"/>
      <c r="N448" s="270"/>
      <c r="O448" s="111"/>
      <c r="P448" s="111"/>
      <c r="Q448" s="128"/>
      <c r="R448" s="124"/>
      <c r="S448" s="125"/>
      <c r="T448" s="126"/>
      <c r="U448" s="126"/>
      <c r="V448" s="126"/>
      <c r="W448" s="126"/>
      <c r="X448" s="126"/>
      <c r="Y448" s="126"/>
      <c r="Z448" s="127"/>
      <c r="AA448" s="127"/>
      <c r="AB448" s="127"/>
      <c r="AC448" s="127"/>
      <c r="AD448" s="261"/>
      <c r="AE448" s="261"/>
      <c r="AF448" s="261"/>
      <c r="AG448" s="261"/>
    </row>
    <row r="449" ht="34.5" hidden="1" customHeight="1">
      <c r="A449" s="111"/>
      <c r="B449" s="127"/>
      <c r="C449" s="111"/>
      <c r="D449" s="111"/>
      <c r="E449" s="111"/>
      <c r="F449" s="111"/>
      <c r="G449" s="111"/>
      <c r="H449" s="111"/>
      <c r="I449" s="127"/>
      <c r="J449" s="111"/>
      <c r="K449" s="257"/>
      <c r="L449" s="111"/>
      <c r="M449" s="127"/>
      <c r="N449" s="270"/>
      <c r="O449" s="111"/>
      <c r="P449" s="111"/>
      <c r="Q449" s="128"/>
      <c r="R449" s="124"/>
      <c r="S449" s="125"/>
      <c r="T449" s="126"/>
      <c r="U449" s="126"/>
      <c r="V449" s="126"/>
      <c r="W449" s="126"/>
      <c r="X449" s="126"/>
      <c r="Y449" s="126"/>
      <c r="Z449" s="127"/>
      <c r="AA449" s="127"/>
      <c r="AB449" s="127"/>
      <c r="AC449" s="127"/>
      <c r="AD449" s="261"/>
      <c r="AE449" s="261"/>
      <c r="AF449" s="261"/>
      <c r="AG449" s="261"/>
    </row>
    <row r="450" ht="34.5" hidden="1" customHeight="1">
      <c r="A450" s="111"/>
      <c r="B450" s="127"/>
      <c r="C450" s="111"/>
      <c r="D450" s="111"/>
      <c r="E450" s="111"/>
      <c r="F450" s="111"/>
      <c r="G450" s="111"/>
      <c r="H450" s="111"/>
      <c r="I450" s="127"/>
      <c r="J450" s="111"/>
      <c r="K450" s="257"/>
      <c r="L450" s="111"/>
      <c r="M450" s="127"/>
      <c r="N450" s="270"/>
      <c r="O450" s="111"/>
      <c r="P450" s="111"/>
      <c r="Q450" s="128"/>
      <c r="R450" s="124"/>
      <c r="S450" s="125"/>
      <c r="T450" s="126"/>
      <c r="U450" s="126"/>
      <c r="V450" s="126"/>
      <c r="W450" s="126"/>
      <c r="X450" s="126"/>
      <c r="Y450" s="126"/>
      <c r="Z450" s="127"/>
      <c r="AA450" s="127"/>
      <c r="AB450" s="127"/>
      <c r="AC450" s="127"/>
      <c r="AD450" s="261"/>
      <c r="AE450" s="261"/>
      <c r="AF450" s="261"/>
      <c r="AG450" s="261"/>
    </row>
    <row r="451" ht="34.5" hidden="1" customHeight="1">
      <c r="A451" s="111"/>
      <c r="B451" s="127"/>
      <c r="C451" s="111"/>
      <c r="D451" s="111"/>
      <c r="E451" s="111"/>
      <c r="F451" s="111"/>
      <c r="G451" s="111"/>
      <c r="H451" s="111"/>
      <c r="I451" s="127"/>
      <c r="J451" s="111"/>
      <c r="K451" s="257"/>
      <c r="L451" s="111"/>
      <c r="M451" s="127"/>
      <c r="N451" s="270"/>
      <c r="O451" s="111"/>
      <c r="P451" s="111"/>
      <c r="Q451" s="128"/>
      <c r="R451" s="124"/>
      <c r="S451" s="125"/>
      <c r="T451" s="126"/>
      <c r="U451" s="126"/>
      <c r="V451" s="126"/>
      <c r="W451" s="126"/>
      <c r="X451" s="126"/>
      <c r="Y451" s="126"/>
      <c r="Z451" s="127"/>
      <c r="AA451" s="127"/>
      <c r="AB451" s="127"/>
      <c r="AC451" s="127"/>
      <c r="AD451" s="261"/>
      <c r="AE451" s="261"/>
      <c r="AF451" s="261"/>
      <c r="AG451" s="261"/>
    </row>
    <row r="452" ht="34.5" hidden="1" customHeight="1">
      <c r="A452" s="111"/>
      <c r="B452" s="127"/>
      <c r="C452" s="111"/>
      <c r="D452" s="111"/>
      <c r="E452" s="111"/>
      <c r="F452" s="111"/>
      <c r="G452" s="111"/>
      <c r="H452" s="111"/>
      <c r="I452" s="127"/>
      <c r="J452" s="111"/>
      <c r="K452" s="257"/>
      <c r="L452" s="111"/>
      <c r="M452" s="127"/>
      <c r="N452" s="270"/>
      <c r="O452" s="111"/>
      <c r="P452" s="111"/>
      <c r="Q452" s="128"/>
      <c r="R452" s="124"/>
      <c r="S452" s="125"/>
      <c r="T452" s="126"/>
      <c r="U452" s="126"/>
      <c r="V452" s="126"/>
      <c r="W452" s="126"/>
      <c r="X452" s="126"/>
      <c r="Y452" s="126"/>
      <c r="Z452" s="127"/>
      <c r="AA452" s="127"/>
      <c r="AB452" s="127"/>
      <c r="AC452" s="127"/>
      <c r="AD452" s="261"/>
      <c r="AE452" s="261"/>
      <c r="AF452" s="261"/>
      <c r="AG452" s="261"/>
    </row>
    <row r="453" ht="34.5" hidden="1" customHeight="1">
      <c r="A453" s="111"/>
      <c r="B453" s="127"/>
      <c r="C453" s="111"/>
      <c r="D453" s="111"/>
      <c r="E453" s="111"/>
      <c r="F453" s="111"/>
      <c r="G453" s="111"/>
      <c r="H453" s="111"/>
      <c r="I453" s="127"/>
      <c r="J453" s="111"/>
      <c r="K453" s="257"/>
      <c r="L453" s="111"/>
      <c r="M453" s="127"/>
      <c r="N453" s="270"/>
      <c r="O453" s="111"/>
      <c r="P453" s="111"/>
      <c r="Q453" s="128"/>
      <c r="R453" s="124"/>
      <c r="S453" s="125"/>
      <c r="T453" s="126"/>
      <c r="U453" s="126"/>
      <c r="V453" s="126"/>
      <c r="W453" s="126"/>
      <c r="X453" s="126"/>
      <c r="Y453" s="126"/>
      <c r="Z453" s="127"/>
      <c r="AA453" s="127"/>
      <c r="AB453" s="127"/>
      <c r="AC453" s="127"/>
      <c r="AD453" s="261"/>
      <c r="AE453" s="261"/>
      <c r="AF453" s="261"/>
      <c r="AG453" s="261"/>
    </row>
    <row r="454" ht="34.5" hidden="1" customHeight="1">
      <c r="A454" s="111"/>
      <c r="B454" s="127"/>
      <c r="C454" s="111"/>
      <c r="D454" s="111"/>
      <c r="E454" s="111"/>
      <c r="F454" s="111"/>
      <c r="G454" s="111"/>
      <c r="H454" s="111"/>
      <c r="I454" s="127"/>
      <c r="J454" s="111"/>
      <c r="K454" s="257"/>
      <c r="L454" s="111"/>
      <c r="M454" s="127"/>
      <c r="N454" s="270"/>
      <c r="O454" s="111"/>
      <c r="P454" s="111"/>
      <c r="Q454" s="128"/>
      <c r="R454" s="124"/>
      <c r="S454" s="125"/>
      <c r="T454" s="126"/>
      <c r="U454" s="126"/>
      <c r="V454" s="126"/>
      <c r="W454" s="126"/>
      <c r="X454" s="126"/>
      <c r="Y454" s="126"/>
      <c r="Z454" s="127"/>
      <c r="AA454" s="127"/>
      <c r="AB454" s="127"/>
      <c r="AC454" s="127"/>
      <c r="AD454" s="261"/>
      <c r="AE454" s="261"/>
      <c r="AF454" s="261"/>
      <c r="AG454" s="261"/>
    </row>
    <row r="455" ht="34.5" hidden="1" customHeight="1">
      <c r="A455" s="111"/>
      <c r="B455" s="127"/>
      <c r="C455" s="111"/>
      <c r="D455" s="111"/>
      <c r="E455" s="111"/>
      <c r="F455" s="111"/>
      <c r="G455" s="111"/>
      <c r="H455" s="111"/>
      <c r="I455" s="127"/>
      <c r="J455" s="111"/>
      <c r="K455" s="257"/>
      <c r="L455" s="111"/>
      <c r="M455" s="127"/>
      <c r="N455" s="270"/>
      <c r="O455" s="111"/>
      <c r="P455" s="111"/>
      <c r="Q455" s="128"/>
      <c r="R455" s="124"/>
      <c r="S455" s="125"/>
      <c r="T455" s="126"/>
      <c r="U455" s="126"/>
      <c r="V455" s="126"/>
      <c r="W455" s="126"/>
      <c r="X455" s="126"/>
      <c r="Y455" s="126"/>
      <c r="Z455" s="127"/>
      <c r="AA455" s="127"/>
      <c r="AB455" s="127"/>
      <c r="AC455" s="127"/>
      <c r="AD455" s="261"/>
      <c r="AE455" s="261"/>
      <c r="AF455" s="261"/>
      <c r="AG455" s="261"/>
    </row>
    <row r="456" ht="34.5" hidden="1" customHeight="1">
      <c r="A456" s="111"/>
      <c r="B456" s="127"/>
      <c r="C456" s="111"/>
      <c r="D456" s="111"/>
      <c r="E456" s="111"/>
      <c r="F456" s="111"/>
      <c r="G456" s="111"/>
      <c r="H456" s="111"/>
      <c r="I456" s="127"/>
      <c r="J456" s="111"/>
      <c r="K456" s="257"/>
      <c r="L456" s="111"/>
      <c r="M456" s="127"/>
      <c r="N456" s="270"/>
      <c r="O456" s="111"/>
      <c r="P456" s="111"/>
      <c r="Q456" s="128"/>
      <c r="R456" s="124"/>
      <c r="S456" s="125"/>
      <c r="T456" s="126"/>
      <c r="U456" s="126"/>
      <c r="V456" s="126"/>
      <c r="W456" s="126"/>
      <c r="X456" s="126"/>
      <c r="Y456" s="126"/>
      <c r="Z456" s="127"/>
      <c r="AA456" s="127"/>
      <c r="AB456" s="127"/>
      <c r="AC456" s="127"/>
      <c r="AD456" s="261"/>
      <c r="AE456" s="261"/>
      <c r="AF456" s="261"/>
      <c r="AG456" s="261"/>
    </row>
    <row r="457" ht="34.5" hidden="1" customHeight="1">
      <c r="A457" s="111"/>
      <c r="B457" s="127"/>
      <c r="C457" s="111"/>
      <c r="D457" s="111"/>
      <c r="E457" s="111"/>
      <c r="F457" s="111"/>
      <c r="G457" s="111"/>
      <c r="H457" s="111"/>
      <c r="I457" s="127"/>
      <c r="J457" s="111"/>
      <c r="K457" s="257"/>
      <c r="L457" s="111"/>
      <c r="M457" s="127"/>
      <c r="N457" s="270"/>
      <c r="O457" s="111"/>
      <c r="P457" s="111"/>
      <c r="Q457" s="128"/>
      <c r="R457" s="124"/>
      <c r="S457" s="125"/>
      <c r="T457" s="126"/>
      <c r="U457" s="126"/>
      <c r="V457" s="126"/>
      <c r="W457" s="126"/>
      <c r="X457" s="126"/>
      <c r="Y457" s="126"/>
      <c r="Z457" s="127"/>
      <c r="AA457" s="127"/>
      <c r="AB457" s="127"/>
      <c r="AC457" s="127"/>
      <c r="AD457" s="261"/>
      <c r="AE457" s="261"/>
      <c r="AF457" s="261"/>
      <c r="AG457" s="261"/>
    </row>
    <row r="458" ht="34.5" hidden="1" customHeight="1">
      <c r="A458" s="111"/>
      <c r="B458" s="127"/>
      <c r="C458" s="111"/>
      <c r="D458" s="111"/>
      <c r="E458" s="111"/>
      <c r="F458" s="111"/>
      <c r="G458" s="111"/>
      <c r="H458" s="111"/>
      <c r="I458" s="127"/>
      <c r="J458" s="111"/>
      <c r="K458" s="257"/>
      <c r="L458" s="111"/>
      <c r="M458" s="127"/>
      <c r="N458" s="270"/>
      <c r="O458" s="111"/>
      <c r="P458" s="111"/>
      <c r="Q458" s="128"/>
      <c r="R458" s="124"/>
      <c r="S458" s="125"/>
      <c r="T458" s="126"/>
      <c r="U458" s="126"/>
      <c r="V458" s="126"/>
      <c r="W458" s="126"/>
      <c r="X458" s="126"/>
      <c r="Y458" s="126"/>
      <c r="Z458" s="127"/>
      <c r="AA458" s="127"/>
      <c r="AB458" s="127"/>
      <c r="AC458" s="127"/>
      <c r="AD458" s="261"/>
      <c r="AE458" s="261"/>
      <c r="AF458" s="261"/>
      <c r="AG458" s="261"/>
    </row>
    <row r="459" ht="34.5" hidden="1" customHeight="1">
      <c r="A459" s="111"/>
      <c r="B459" s="127"/>
      <c r="C459" s="111"/>
      <c r="D459" s="111"/>
      <c r="E459" s="111"/>
      <c r="F459" s="111"/>
      <c r="G459" s="111"/>
      <c r="H459" s="111"/>
      <c r="I459" s="127"/>
      <c r="J459" s="111"/>
      <c r="K459" s="257"/>
      <c r="L459" s="111"/>
      <c r="M459" s="127"/>
      <c r="N459" s="270"/>
      <c r="O459" s="111"/>
      <c r="P459" s="111"/>
      <c r="Q459" s="128"/>
      <c r="R459" s="124"/>
      <c r="S459" s="125"/>
      <c r="T459" s="126"/>
      <c r="U459" s="126"/>
      <c r="V459" s="126"/>
      <c r="W459" s="126"/>
      <c r="X459" s="126"/>
      <c r="Y459" s="126"/>
      <c r="Z459" s="127"/>
      <c r="AA459" s="127"/>
      <c r="AB459" s="127"/>
      <c r="AC459" s="127"/>
      <c r="AD459" s="261"/>
      <c r="AE459" s="261"/>
      <c r="AF459" s="261"/>
      <c r="AG459" s="261"/>
    </row>
    <row r="460" ht="34.5" hidden="1" customHeight="1">
      <c r="A460" s="111"/>
      <c r="B460" s="127"/>
      <c r="C460" s="111"/>
      <c r="D460" s="111"/>
      <c r="E460" s="111"/>
      <c r="F460" s="111"/>
      <c r="G460" s="111"/>
      <c r="H460" s="111"/>
      <c r="I460" s="127"/>
      <c r="J460" s="111"/>
      <c r="K460" s="257"/>
      <c r="L460" s="111"/>
      <c r="M460" s="127"/>
      <c r="N460" s="270"/>
      <c r="O460" s="111"/>
      <c r="P460" s="111"/>
      <c r="Q460" s="128"/>
      <c r="R460" s="124"/>
      <c r="S460" s="125"/>
      <c r="T460" s="126"/>
      <c r="U460" s="126"/>
      <c r="V460" s="126"/>
      <c r="W460" s="126"/>
      <c r="X460" s="126"/>
      <c r="Y460" s="126"/>
      <c r="Z460" s="127"/>
      <c r="AA460" s="127"/>
      <c r="AB460" s="127"/>
      <c r="AC460" s="127"/>
      <c r="AD460" s="261"/>
      <c r="AE460" s="261"/>
      <c r="AF460" s="261"/>
      <c r="AG460" s="261"/>
    </row>
    <row r="461" ht="34.5" hidden="1" customHeight="1">
      <c r="A461" s="111"/>
      <c r="B461" s="127"/>
      <c r="C461" s="111"/>
      <c r="D461" s="111"/>
      <c r="E461" s="111"/>
      <c r="F461" s="111"/>
      <c r="G461" s="111"/>
      <c r="H461" s="111"/>
      <c r="I461" s="127"/>
      <c r="J461" s="111"/>
      <c r="K461" s="257"/>
      <c r="L461" s="111"/>
      <c r="M461" s="127"/>
      <c r="N461" s="270"/>
      <c r="O461" s="111"/>
      <c r="P461" s="111"/>
      <c r="Q461" s="128"/>
      <c r="R461" s="124"/>
      <c r="S461" s="125"/>
      <c r="T461" s="126"/>
      <c r="U461" s="126"/>
      <c r="V461" s="126"/>
      <c r="W461" s="126"/>
      <c r="X461" s="126"/>
      <c r="Y461" s="126"/>
      <c r="Z461" s="127"/>
      <c r="AA461" s="127"/>
      <c r="AB461" s="127"/>
      <c r="AC461" s="127"/>
      <c r="AD461" s="261"/>
      <c r="AE461" s="261"/>
      <c r="AF461" s="261"/>
      <c r="AG461" s="261"/>
    </row>
    <row r="462" ht="34.5" hidden="1" customHeight="1">
      <c r="A462" s="111"/>
      <c r="B462" s="127"/>
      <c r="C462" s="111"/>
      <c r="D462" s="111"/>
      <c r="E462" s="111"/>
      <c r="F462" s="111"/>
      <c r="G462" s="111"/>
      <c r="H462" s="111"/>
      <c r="I462" s="127"/>
      <c r="J462" s="111"/>
      <c r="K462" s="257"/>
      <c r="L462" s="111"/>
      <c r="M462" s="127"/>
      <c r="N462" s="270"/>
      <c r="O462" s="111"/>
      <c r="P462" s="111"/>
      <c r="Q462" s="128"/>
      <c r="R462" s="124"/>
      <c r="S462" s="125"/>
      <c r="T462" s="126"/>
      <c r="U462" s="126"/>
      <c r="V462" s="126"/>
      <c r="W462" s="126"/>
      <c r="X462" s="126"/>
      <c r="Y462" s="126"/>
      <c r="Z462" s="127"/>
      <c r="AA462" s="127"/>
      <c r="AB462" s="127"/>
      <c r="AC462" s="127"/>
      <c r="AD462" s="261"/>
      <c r="AE462" s="261"/>
      <c r="AF462" s="261"/>
      <c r="AG462" s="261"/>
    </row>
    <row r="463" ht="34.5" hidden="1" customHeight="1">
      <c r="A463" s="111"/>
      <c r="B463" s="127"/>
      <c r="C463" s="111"/>
      <c r="D463" s="111"/>
      <c r="E463" s="111"/>
      <c r="F463" s="111"/>
      <c r="G463" s="111"/>
      <c r="H463" s="111"/>
      <c r="I463" s="127"/>
      <c r="J463" s="111"/>
      <c r="K463" s="257"/>
      <c r="L463" s="111"/>
      <c r="M463" s="127"/>
      <c r="N463" s="270"/>
      <c r="O463" s="111"/>
      <c r="P463" s="111"/>
      <c r="Q463" s="128"/>
      <c r="R463" s="124"/>
      <c r="S463" s="125"/>
      <c r="T463" s="126"/>
      <c r="U463" s="126"/>
      <c r="V463" s="126"/>
      <c r="W463" s="126"/>
      <c r="X463" s="126"/>
      <c r="Y463" s="126"/>
      <c r="Z463" s="127"/>
      <c r="AA463" s="127"/>
      <c r="AB463" s="127"/>
      <c r="AC463" s="127"/>
      <c r="AD463" s="261"/>
      <c r="AE463" s="261"/>
      <c r="AF463" s="261"/>
      <c r="AG463" s="261"/>
    </row>
    <row r="464" ht="34.5" hidden="1" customHeight="1">
      <c r="A464" s="111"/>
      <c r="B464" s="127"/>
      <c r="C464" s="111"/>
      <c r="D464" s="111"/>
      <c r="E464" s="111"/>
      <c r="F464" s="111"/>
      <c r="G464" s="111"/>
      <c r="H464" s="111"/>
      <c r="I464" s="127"/>
      <c r="J464" s="111"/>
      <c r="K464" s="257"/>
      <c r="L464" s="111"/>
      <c r="M464" s="127"/>
      <c r="N464" s="270"/>
      <c r="O464" s="111"/>
      <c r="P464" s="111"/>
      <c r="Q464" s="128"/>
      <c r="R464" s="124"/>
      <c r="S464" s="125"/>
      <c r="T464" s="126"/>
      <c r="U464" s="126"/>
      <c r="V464" s="126"/>
      <c r="W464" s="126"/>
      <c r="X464" s="126"/>
      <c r="Y464" s="126"/>
      <c r="Z464" s="127"/>
      <c r="AA464" s="127"/>
      <c r="AB464" s="127"/>
      <c r="AC464" s="127"/>
      <c r="AD464" s="261"/>
      <c r="AE464" s="261"/>
      <c r="AF464" s="261"/>
      <c r="AG464" s="261"/>
    </row>
    <row r="465" ht="34.5" hidden="1" customHeight="1">
      <c r="A465" s="111"/>
      <c r="B465" s="127"/>
      <c r="C465" s="111"/>
      <c r="D465" s="111"/>
      <c r="E465" s="111"/>
      <c r="F465" s="111"/>
      <c r="G465" s="111"/>
      <c r="H465" s="111"/>
      <c r="I465" s="127"/>
      <c r="J465" s="111"/>
      <c r="K465" s="257"/>
      <c r="L465" s="111"/>
      <c r="M465" s="127"/>
      <c r="N465" s="270"/>
      <c r="O465" s="111"/>
      <c r="P465" s="111"/>
      <c r="Q465" s="128"/>
      <c r="R465" s="124"/>
      <c r="S465" s="125"/>
      <c r="T465" s="126"/>
      <c r="U465" s="126"/>
      <c r="V465" s="126"/>
      <c r="W465" s="126"/>
      <c r="X465" s="126"/>
      <c r="Y465" s="126"/>
      <c r="Z465" s="127"/>
      <c r="AA465" s="127"/>
      <c r="AB465" s="127"/>
      <c r="AC465" s="127"/>
      <c r="AD465" s="261"/>
      <c r="AE465" s="261"/>
      <c r="AF465" s="261"/>
      <c r="AG465" s="261"/>
    </row>
    <row r="466" ht="34.5" hidden="1" customHeight="1">
      <c r="A466" s="111"/>
      <c r="B466" s="127"/>
      <c r="C466" s="111"/>
      <c r="D466" s="111"/>
      <c r="E466" s="111"/>
      <c r="F466" s="111"/>
      <c r="G466" s="111"/>
      <c r="H466" s="111"/>
      <c r="I466" s="127"/>
      <c r="J466" s="111"/>
      <c r="K466" s="257"/>
      <c r="L466" s="111"/>
      <c r="M466" s="127"/>
      <c r="N466" s="270"/>
      <c r="O466" s="111"/>
      <c r="P466" s="111"/>
      <c r="Q466" s="128"/>
      <c r="R466" s="124"/>
      <c r="S466" s="125"/>
      <c r="T466" s="126"/>
      <c r="U466" s="126"/>
      <c r="V466" s="126"/>
      <c r="W466" s="126"/>
      <c r="X466" s="126"/>
      <c r="Y466" s="126"/>
      <c r="Z466" s="127"/>
      <c r="AA466" s="127"/>
      <c r="AB466" s="127"/>
      <c r="AC466" s="127"/>
      <c r="AD466" s="261"/>
      <c r="AE466" s="261"/>
      <c r="AF466" s="261"/>
      <c r="AG466" s="261"/>
    </row>
    <row r="467" ht="34.5" hidden="1" customHeight="1">
      <c r="A467" s="111"/>
      <c r="B467" s="127"/>
      <c r="C467" s="111"/>
      <c r="D467" s="111"/>
      <c r="E467" s="111"/>
      <c r="F467" s="111"/>
      <c r="G467" s="111"/>
      <c r="H467" s="111"/>
      <c r="I467" s="127"/>
      <c r="J467" s="111"/>
      <c r="K467" s="257"/>
      <c r="L467" s="111"/>
      <c r="M467" s="127"/>
      <c r="N467" s="270"/>
      <c r="O467" s="111"/>
      <c r="P467" s="111"/>
      <c r="Q467" s="128"/>
      <c r="R467" s="124"/>
      <c r="S467" s="125"/>
      <c r="T467" s="126"/>
      <c r="U467" s="126"/>
      <c r="V467" s="126"/>
      <c r="W467" s="126"/>
      <c r="X467" s="126"/>
      <c r="Y467" s="126"/>
      <c r="Z467" s="127"/>
      <c r="AA467" s="127"/>
      <c r="AB467" s="127"/>
      <c r="AC467" s="127"/>
      <c r="AD467" s="261"/>
      <c r="AE467" s="261"/>
      <c r="AF467" s="261"/>
      <c r="AG467" s="261"/>
    </row>
    <row r="468" ht="34.5" hidden="1" customHeight="1">
      <c r="A468" s="111"/>
      <c r="B468" s="127"/>
      <c r="C468" s="111"/>
      <c r="D468" s="111"/>
      <c r="E468" s="111"/>
      <c r="F468" s="111"/>
      <c r="G468" s="111"/>
      <c r="H468" s="111"/>
      <c r="I468" s="127"/>
      <c r="J468" s="111"/>
      <c r="K468" s="257"/>
      <c r="L468" s="111"/>
      <c r="M468" s="127"/>
      <c r="N468" s="270"/>
      <c r="O468" s="111"/>
      <c r="P468" s="111"/>
      <c r="Q468" s="128"/>
      <c r="R468" s="124"/>
      <c r="S468" s="125"/>
      <c r="T468" s="126"/>
      <c r="U468" s="126"/>
      <c r="V468" s="126"/>
      <c r="W468" s="126"/>
      <c r="X468" s="126"/>
      <c r="Y468" s="126"/>
      <c r="Z468" s="127"/>
      <c r="AA468" s="127"/>
      <c r="AB468" s="127"/>
      <c r="AC468" s="127"/>
      <c r="AD468" s="261"/>
      <c r="AE468" s="261"/>
      <c r="AF468" s="261"/>
      <c r="AG468" s="261"/>
    </row>
    <row r="469" ht="34.5" hidden="1" customHeight="1">
      <c r="A469" s="111"/>
      <c r="B469" s="127"/>
      <c r="C469" s="111"/>
      <c r="D469" s="111"/>
      <c r="E469" s="111"/>
      <c r="F469" s="111"/>
      <c r="G469" s="111"/>
      <c r="H469" s="111"/>
      <c r="I469" s="127"/>
      <c r="J469" s="111"/>
      <c r="K469" s="257"/>
      <c r="L469" s="111"/>
      <c r="M469" s="127"/>
      <c r="N469" s="270"/>
      <c r="O469" s="111"/>
      <c r="P469" s="111"/>
      <c r="Q469" s="128"/>
      <c r="R469" s="124"/>
      <c r="S469" s="125"/>
      <c r="T469" s="126"/>
      <c r="U469" s="126"/>
      <c r="V469" s="126"/>
      <c r="W469" s="126"/>
      <c r="X469" s="126"/>
      <c r="Y469" s="126"/>
      <c r="Z469" s="127"/>
      <c r="AA469" s="127"/>
      <c r="AB469" s="127"/>
      <c r="AC469" s="127"/>
      <c r="AD469" s="261"/>
      <c r="AE469" s="261"/>
      <c r="AF469" s="261"/>
      <c r="AG469" s="261"/>
    </row>
    <row r="470" ht="34.5" hidden="1" customHeight="1">
      <c r="A470" s="111"/>
      <c r="B470" s="127"/>
      <c r="C470" s="111"/>
      <c r="D470" s="111"/>
      <c r="E470" s="111"/>
      <c r="F470" s="111"/>
      <c r="G470" s="111"/>
      <c r="H470" s="111"/>
      <c r="I470" s="127"/>
      <c r="J470" s="111"/>
      <c r="K470" s="257"/>
      <c r="L470" s="111"/>
      <c r="M470" s="127"/>
      <c r="N470" s="270"/>
      <c r="O470" s="111"/>
      <c r="P470" s="111"/>
      <c r="Q470" s="128"/>
      <c r="R470" s="124"/>
      <c r="S470" s="125"/>
      <c r="T470" s="126"/>
      <c r="U470" s="126"/>
      <c r="V470" s="126"/>
      <c r="W470" s="126"/>
      <c r="X470" s="126"/>
      <c r="Y470" s="126"/>
      <c r="Z470" s="127"/>
      <c r="AA470" s="127"/>
      <c r="AB470" s="127"/>
      <c r="AC470" s="127"/>
      <c r="AD470" s="261"/>
      <c r="AE470" s="261"/>
      <c r="AF470" s="261"/>
      <c r="AG470" s="261"/>
    </row>
    <row r="471" ht="34.5" hidden="1" customHeight="1">
      <c r="A471" s="111"/>
      <c r="B471" s="127"/>
      <c r="C471" s="111"/>
      <c r="D471" s="111"/>
      <c r="E471" s="111"/>
      <c r="F471" s="111"/>
      <c r="G471" s="111"/>
      <c r="H471" s="111"/>
      <c r="I471" s="127"/>
      <c r="J471" s="111"/>
      <c r="K471" s="257"/>
      <c r="L471" s="111"/>
      <c r="M471" s="127"/>
      <c r="N471" s="270"/>
      <c r="O471" s="111"/>
      <c r="P471" s="111"/>
      <c r="Q471" s="128"/>
      <c r="R471" s="124"/>
      <c r="S471" s="125"/>
      <c r="T471" s="126"/>
      <c r="U471" s="126"/>
      <c r="V471" s="126"/>
      <c r="W471" s="126"/>
      <c r="X471" s="126"/>
      <c r="Y471" s="126"/>
      <c r="Z471" s="127"/>
      <c r="AA471" s="127"/>
      <c r="AB471" s="127"/>
      <c r="AC471" s="127"/>
      <c r="AD471" s="261"/>
      <c r="AE471" s="261"/>
      <c r="AF471" s="261"/>
      <c r="AG471" s="261"/>
    </row>
    <row r="472" ht="34.5" hidden="1" customHeight="1">
      <c r="A472" s="111"/>
      <c r="B472" s="127"/>
      <c r="C472" s="111"/>
      <c r="D472" s="111"/>
      <c r="E472" s="111"/>
      <c r="F472" s="111"/>
      <c r="G472" s="111"/>
      <c r="H472" s="111"/>
      <c r="I472" s="127"/>
      <c r="J472" s="111"/>
      <c r="K472" s="257"/>
      <c r="L472" s="111"/>
      <c r="M472" s="127"/>
      <c r="N472" s="270"/>
      <c r="O472" s="111"/>
      <c r="P472" s="111"/>
      <c r="Q472" s="128"/>
      <c r="R472" s="124"/>
      <c r="S472" s="125"/>
      <c r="T472" s="126"/>
      <c r="U472" s="126"/>
      <c r="V472" s="126"/>
      <c r="W472" s="126"/>
      <c r="X472" s="126"/>
      <c r="Y472" s="126"/>
      <c r="Z472" s="127"/>
      <c r="AA472" s="127"/>
      <c r="AB472" s="127"/>
      <c r="AC472" s="127"/>
      <c r="AD472" s="261"/>
      <c r="AE472" s="261"/>
      <c r="AF472" s="261"/>
      <c r="AG472" s="261"/>
    </row>
    <row r="473" ht="34.5" hidden="1" customHeight="1">
      <c r="A473" s="111"/>
      <c r="B473" s="127"/>
      <c r="C473" s="111"/>
      <c r="D473" s="111"/>
      <c r="E473" s="111"/>
      <c r="F473" s="111"/>
      <c r="G473" s="111"/>
      <c r="H473" s="111"/>
      <c r="I473" s="127"/>
      <c r="J473" s="111"/>
      <c r="K473" s="257"/>
      <c r="L473" s="111"/>
      <c r="M473" s="127"/>
      <c r="N473" s="270"/>
      <c r="O473" s="111"/>
      <c r="P473" s="111"/>
      <c r="Q473" s="128"/>
      <c r="R473" s="124"/>
      <c r="S473" s="125"/>
      <c r="T473" s="126"/>
      <c r="U473" s="126"/>
      <c r="V473" s="126"/>
      <c r="W473" s="126"/>
      <c r="X473" s="126"/>
      <c r="Y473" s="126"/>
      <c r="Z473" s="127"/>
      <c r="AA473" s="127"/>
      <c r="AB473" s="127"/>
      <c r="AC473" s="127"/>
      <c r="AD473" s="261"/>
      <c r="AE473" s="261"/>
      <c r="AF473" s="261"/>
      <c r="AG473" s="261"/>
    </row>
    <row r="474" ht="34.5" hidden="1" customHeight="1">
      <c r="A474" s="111"/>
      <c r="B474" s="127"/>
      <c r="C474" s="111"/>
      <c r="D474" s="111"/>
      <c r="E474" s="111"/>
      <c r="F474" s="111"/>
      <c r="G474" s="111"/>
      <c r="H474" s="111"/>
      <c r="I474" s="127"/>
      <c r="J474" s="111"/>
      <c r="K474" s="257"/>
      <c r="L474" s="111"/>
      <c r="M474" s="127"/>
      <c r="N474" s="270"/>
      <c r="O474" s="111"/>
      <c r="P474" s="111"/>
      <c r="Q474" s="128"/>
      <c r="R474" s="124"/>
      <c r="S474" s="125"/>
      <c r="T474" s="126"/>
      <c r="U474" s="126"/>
      <c r="V474" s="126"/>
      <c r="W474" s="126"/>
      <c r="X474" s="126"/>
      <c r="Y474" s="126"/>
      <c r="Z474" s="127"/>
      <c r="AA474" s="127"/>
      <c r="AB474" s="127"/>
      <c r="AC474" s="127"/>
      <c r="AD474" s="261"/>
      <c r="AE474" s="261"/>
      <c r="AF474" s="261"/>
      <c r="AG474" s="261"/>
    </row>
    <row r="475" ht="34.5" hidden="1" customHeight="1">
      <c r="A475" s="111"/>
      <c r="B475" s="127"/>
      <c r="C475" s="111"/>
      <c r="D475" s="111"/>
      <c r="E475" s="111"/>
      <c r="F475" s="111"/>
      <c r="G475" s="111"/>
      <c r="H475" s="111"/>
      <c r="I475" s="127"/>
      <c r="J475" s="111"/>
      <c r="K475" s="257"/>
      <c r="L475" s="111"/>
      <c r="M475" s="127"/>
      <c r="N475" s="270"/>
      <c r="O475" s="111"/>
      <c r="P475" s="111"/>
      <c r="Q475" s="128"/>
      <c r="R475" s="124"/>
      <c r="S475" s="125"/>
      <c r="T475" s="126"/>
      <c r="U475" s="126"/>
      <c r="V475" s="126"/>
      <c r="W475" s="126"/>
      <c r="X475" s="126"/>
      <c r="Y475" s="126"/>
      <c r="Z475" s="127"/>
      <c r="AA475" s="127"/>
      <c r="AB475" s="127"/>
      <c r="AC475" s="127"/>
      <c r="AD475" s="261"/>
      <c r="AE475" s="261"/>
      <c r="AF475" s="261"/>
      <c r="AG475" s="261"/>
    </row>
    <row r="476" ht="34.5" hidden="1" customHeight="1">
      <c r="A476" s="111"/>
      <c r="B476" s="127"/>
      <c r="C476" s="111"/>
      <c r="D476" s="111"/>
      <c r="E476" s="111"/>
      <c r="F476" s="111"/>
      <c r="G476" s="111"/>
      <c r="H476" s="111"/>
      <c r="I476" s="127"/>
      <c r="J476" s="111"/>
      <c r="K476" s="257"/>
      <c r="L476" s="111"/>
      <c r="M476" s="127"/>
      <c r="N476" s="270"/>
      <c r="O476" s="111"/>
      <c r="P476" s="111"/>
      <c r="Q476" s="128"/>
      <c r="R476" s="124"/>
      <c r="S476" s="125"/>
      <c r="T476" s="126"/>
      <c r="U476" s="126"/>
      <c r="V476" s="126"/>
      <c r="W476" s="126"/>
      <c r="X476" s="126"/>
      <c r="Y476" s="126"/>
      <c r="Z476" s="127"/>
      <c r="AA476" s="127"/>
      <c r="AB476" s="127"/>
      <c r="AC476" s="127"/>
      <c r="AD476" s="261"/>
      <c r="AE476" s="261"/>
      <c r="AF476" s="261"/>
      <c r="AG476" s="261"/>
    </row>
    <row r="477" ht="34.5" hidden="1" customHeight="1">
      <c r="A477" s="111"/>
      <c r="B477" s="127"/>
      <c r="C477" s="111"/>
      <c r="D477" s="111"/>
      <c r="E477" s="111"/>
      <c r="F477" s="111"/>
      <c r="G477" s="111"/>
      <c r="H477" s="111"/>
      <c r="I477" s="127"/>
      <c r="J477" s="111"/>
      <c r="K477" s="257"/>
      <c r="L477" s="111"/>
      <c r="M477" s="127"/>
      <c r="N477" s="270"/>
      <c r="O477" s="111"/>
      <c r="P477" s="111"/>
      <c r="Q477" s="128"/>
      <c r="R477" s="124"/>
      <c r="S477" s="125"/>
      <c r="T477" s="126"/>
      <c r="U477" s="126"/>
      <c r="V477" s="126"/>
      <c r="W477" s="126"/>
      <c r="X477" s="126"/>
      <c r="Y477" s="126"/>
      <c r="Z477" s="127"/>
      <c r="AA477" s="127"/>
      <c r="AB477" s="127"/>
      <c r="AC477" s="127"/>
      <c r="AD477" s="261"/>
      <c r="AE477" s="261"/>
      <c r="AF477" s="261"/>
      <c r="AG477" s="261"/>
    </row>
    <row r="478" ht="34.5" hidden="1" customHeight="1">
      <c r="A478" s="111"/>
      <c r="B478" s="127"/>
      <c r="C478" s="111"/>
      <c r="D478" s="111"/>
      <c r="E478" s="111"/>
      <c r="F478" s="111"/>
      <c r="G478" s="111"/>
      <c r="H478" s="111"/>
      <c r="I478" s="127"/>
      <c r="J478" s="111"/>
      <c r="K478" s="257"/>
      <c r="L478" s="111"/>
      <c r="M478" s="127"/>
      <c r="N478" s="270"/>
      <c r="O478" s="111"/>
      <c r="P478" s="111"/>
      <c r="Q478" s="128"/>
      <c r="R478" s="124"/>
      <c r="S478" s="125"/>
      <c r="T478" s="126"/>
      <c r="U478" s="126"/>
      <c r="V478" s="126"/>
      <c r="W478" s="126"/>
      <c r="X478" s="126"/>
      <c r="Y478" s="126"/>
      <c r="Z478" s="127"/>
      <c r="AA478" s="127"/>
      <c r="AB478" s="127"/>
      <c r="AC478" s="127"/>
      <c r="AD478" s="261"/>
      <c r="AE478" s="261"/>
      <c r="AF478" s="261"/>
      <c r="AG478" s="261"/>
    </row>
    <row r="479" ht="34.5" hidden="1" customHeight="1">
      <c r="A479" s="111"/>
      <c r="B479" s="127"/>
      <c r="C479" s="111"/>
      <c r="D479" s="111"/>
      <c r="E479" s="111"/>
      <c r="F479" s="111"/>
      <c r="G479" s="111"/>
      <c r="H479" s="111"/>
      <c r="I479" s="127"/>
      <c r="J479" s="111"/>
      <c r="K479" s="257"/>
      <c r="L479" s="111"/>
      <c r="M479" s="127"/>
      <c r="N479" s="270"/>
      <c r="O479" s="111"/>
      <c r="P479" s="111"/>
      <c r="Q479" s="128"/>
      <c r="R479" s="124"/>
      <c r="S479" s="125"/>
      <c r="T479" s="126"/>
      <c r="U479" s="126"/>
      <c r="V479" s="126"/>
      <c r="W479" s="126"/>
      <c r="X479" s="126"/>
      <c r="Y479" s="126"/>
      <c r="Z479" s="127"/>
      <c r="AA479" s="127"/>
      <c r="AB479" s="127"/>
      <c r="AC479" s="127"/>
      <c r="AD479" s="261"/>
      <c r="AE479" s="261"/>
      <c r="AF479" s="261"/>
      <c r="AG479" s="261"/>
    </row>
    <row r="480" ht="34.5" hidden="1" customHeight="1">
      <c r="A480" s="111"/>
      <c r="B480" s="127"/>
      <c r="C480" s="111"/>
      <c r="D480" s="111"/>
      <c r="E480" s="111"/>
      <c r="F480" s="111"/>
      <c r="G480" s="111"/>
      <c r="H480" s="111"/>
      <c r="I480" s="127"/>
      <c r="J480" s="111"/>
      <c r="K480" s="257"/>
      <c r="L480" s="111"/>
      <c r="M480" s="127"/>
      <c r="N480" s="270"/>
      <c r="O480" s="111"/>
      <c r="P480" s="111"/>
      <c r="Q480" s="128"/>
      <c r="R480" s="124"/>
      <c r="S480" s="125"/>
      <c r="T480" s="126"/>
      <c r="U480" s="126"/>
      <c r="V480" s="126"/>
      <c r="W480" s="126"/>
      <c r="X480" s="126"/>
      <c r="Y480" s="126"/>
      <c r="Z480" s="127"/>
      <c r="AA480" s="127"/>
      <c r="AB480" s="127"/>
      <c r="AC480" s="127"/>
      <c r="AD480" s="261"/>
      <c r="AE480" s="261"/>
      <c r="AF480" s="261"/>
      <c r="AG480" s="261"/>
    </row>
    <row r="481" ht="34.5" hidden="1" customHeight="1">
      <c r="A481" s="111"/>
      <c r="B481" s="127"/>
      <c r="C481" s="111"/>
      <c r="D481" s="111"/>
      <c r="E481" s="111"/>
      <c r="F481" s="111"/>
      <c r="G481" s="111"/>
      <c r="H481" s="111"/>
      <c r="I481" s="127"/>
      <c r="J481" s="111"/>
      <c r="K481" s="257"/>
      <c r="L481" s="111"/>
      <c r="M481" s="127"/>
      <c r="N481" s="270"/>
      <c r="O481" s="111"/>
      <c r="P481" s="111"/>
      <c r="Q481" s="128"/>
      <c r="R481" s="124"/>
      <c r="S481" s="125"/>
      <c r="T481" s="126"/>
      <c r="U481" s="126"/>
      <c r="V481" s="126"/>
      <c r="W481" s="126"/>
      <c r="X481" s="126"/>
      <c r="Y481" s="126"/>
      <c r="Z481" s="127"/>
      <c r="AA481" s="127"/>
      <c r="AB481" s="127"/>
      <c r="AC481" s="127"/>
      <c r="AD481" s="261"/>
      <c r="AE481" s="261"/>
      <c r="AF481" s="261"/>
      <c r="AG481" s="261"/>
    </row>
    <row r="482" ht="34.5" hidden="1" customHeight="1">
      <c r="A482" s="111"/>
      <c r="B482" s="127"/>
      <c r="C482" s="111"/>
      <c r="D482" s="111"/>
      <c r="E482" s="111"/>
      <c r="F482" s="111"/>
      <c r="G482" s="111"/>
      <c r="H482" s="111"/>
      <c r="I482" s="127"/>
      <c r="J482" s="111"/>
      <c r="K482" s="257"/>
      <c r="L482" s="111"/>
      <c r="M482" s="127"/>
      <c r="N482" s="270"/>
      <c r="O482" s="111"/>
      <c r="P482" s="111"/>
      <c r="Q482" s="128"/>
      <c r="R482" s="124"/>
      <c r="S482" s="125"/>
      <c r="T482" s="126"/>
      <c r="U482" s="126"/>
      <c r="V482" s="126"/>
      <c r="W482" s="126"/>
      <c r="X482" s="126"/>
      <c r="Y482" s="126"/>
      <c r="Z482" s="127"/>
      <c r="AA482" s="127"/>
      <c r="AB482" s="127"/>
      <c r="AC482" s="127"/>
      <c r="AD482" s="261"/>
      <c r="AE482" s="261"/>
      <c r="AF482" s="261"/>
      <c r="AG482" s="261"/>
    </row>
    <row r="483" ht="34.5" hidden="1" customHeight="1">
      <c r="A483" s="111"/>
      <c r="B483" s="127"/>
      <c r="C483" s="111"/>
      <c r="D483" s="111"/>
      <c r="E483" s="111"/>
      <c r="F483" s="111"/>
      <c r="G483" s="111"/>
      <c r="H483" s="111"/>
      <c r="I483" s="127"/>
      <c r="J483" s="111"/>
      <c r="K483" s="257"/>
      <c r="L483" s="111"/>
      <c r="M483" s="127"/>
      <c r="N483" s="270"/>
      <c r="O483" s="111"/>
      <c r="P483" s="111"/>
      <c r="Q483" s="128"/>
      <c r="R483" s="124"/>
      <c r="S483" s="125"/>
      <c r="T483" s="126"/>
      <c r="U483" s="126"/>
      <c r="V483" s="126"/>
      <c r="W483" s="126"/>
      <c r="X483" s="126"/>
      <c r="Y483" s="126"/>
      <c r="Z483" s="127"/>
      <c r="AA483" s="127"/>
      <c r="AB483" s="127"/>
      <c r="AC483" s="127"/>
      <c r="AD483" s="261"/>
      <c r="AE483" s="261"/>
      <c r="AF483" s="261"/>
      <c r="AG483" s="261"/>
    </row>
    <row r="484" ht="34.5" hidden="1" customHeight="1">
      <c r="A484" s="111"/>
      <c r="B484" s="127"/>
      <c r="C484" s="111"/>
      <c r="D484" s="111"/>
      <c r="E484" s="111"/>
      <c r="F484" s="111"/>
      <c r="G484" s="111"/>
      <c r="H484" s="111"/>
      <c r="I484" s="127"/>
      <c r="J484" s="111"/>
      <c r="K484" s="257"/>
      <c r="L484" s="111"/>
      <c r="M484" s="127"/>
      <c r="N484" s="270"/>
      <c r="O484" s="111"/>
      <c r="P484" s="111"/>
      <c r="Q484" s="128"/>
      <c r="R484" s="124"/>
      <c r="S484" s="125"/>
      <c r="T484" s="126"/>
      <c r="U484" s="126"/>
      <c r="V484" s="126"/>
      <c r="W484" s="126"/>
      <c r="X484" s="126"/>
      <c r="Y484" s="126"/>
      <c r="Z484" s="127"/>
      <c r="AA484" s="127"/>
      <c r="AB484" s="127"/>
      <c r="AC484" s="127"/>
      <c r="AD484" s="261"/>
      <c r="AE484" s="261"/>
      <c r="AF484" s="261"/>
      <c r="AG484" s="261"/>
    </row>
    <row r="485" ht="34.5" hidden="1" customHeight="1">
      <c r="A485" s="111"/>
      <c r="B485" s="127"/>
      <c r="C485" s="111"/>
      <c r="D485" s="111"/>
      <c r="E485" s="111"/>
      <c r="F485" s="111"/>
      <c r="G485" s="111"/>
      <c r="H485" s="111"/>
      <c r="I485" s="127"/>
      <c r="J485" s="111"/>
      <c r="K485" s="257"/>
      <c r="L485" s="111"/>
      <c r="M485" s="127"/>
      <c r="N485" s="270"/>
      <c r="O485" s="111"/>
      <c r="P485" s="111"/>
      <c r="Q485" s="128"/>
      <c r="R485" s="124"/>
      <c r="S485" s="125"/>
      <c r="T485" s="126"/>
      <c r="U485" s="126"/>
      <c r="V485" s="126"/>
      <c r="W485" s="126"/>
      <c r="X485" s="126"/>
      <c r="Y485" s="126"/>
      <c r="Z485" s="127"/>
      <c r="AA485" s="127"/>
      <c r="AB485" s="127"/>
      <c r="AC485" s="127"/>
      <c r="AD485" s="261"/>
      <c r="AE485" s="261"/>
      <c r="AF485" s="261"/>
      <c r="AG485" s="261"/>
    </row>
    <row r="486" ht="34.5" hidden="1" customHeight="1">
      <c r="A486" s="111"/>
      <c r="B486" s="127"/>
      <c r="C486" s="111"/>
      <c r="D486" s="111"/>
      <c r="E486" s="111"/>
      <c r="F486" s="111"/>
      <c r="G486" s="111"/>
      <c r="H486" s="111"/>
      <c r="I486" s="127"/>
      <c r="J486" s="111"/>
      <c r="K486" s="257"/>
      <c r="L486" s="111"/>
      <c r="M486" s="127"/>
      <c r="N486" s="270"/>
      <c r="O486" s="111"/>
      <c r="P486" s="111"/>
      <c r="Q486" s="128"/>
      <c r="R486" s="124"/>
      <c r="S486" s="125"/>
      <c r="T486" s="126"/>
      <c r="U486" s="126"/>
      <c r="V486" s="126"/>
      <c r="W486" s="126"/>
      <c r="X486" s="126"/>
      <c r="Y486" s="126"/>
      <c r="Z486" s="127"/>
      <c r="AA486" s="127"/>
      <c r="AB486" s="127"/>
      <c r="AC486" s="127"/>
      <c r="AD486" s="261"/>
      <c r="AE486" s="261"/>
      <c r="AF486" s="261"/>
      <c r="AG486" s="261"/>
    </row>
    <row r="487" ht="34.5" hidden="1" customHeight="1">
      <c r="A487" s="111"/>
      <c r="B487" s="127"/>
      <c r="C487" s="111"/>
      <c r="D487" s="111"/>
      <c r="E487" s="111"/>
      <c r="F487" s="111"/>
      <c r="G487" s="111"/>
      <c r="H487" s="111"/>
      <c r="I487" s="127"/>
      <c r="J487" s="111"/>
      <c r="K487" s="257"/>
      <c r="L487" s="111"/>
      <c r="M487" s="127"/>
      <c r="N487" s="270"/>
      <c r="O487" s="111"/>
      <c r="P487" s="111"/>
      <c r="Q487" s="128"/>
      <c r="R487" s="124"/>
      <c r="S487" s="125"/>
      <c r="T487" s="126"/>
      <c r="U487" s="126"/>
      <c r="V487" s="126"/>
      <c r="W487" s="126"/>
      <c r="X487" s="126"/>
      <c r="Y487" s="126"/>
      <c r="Z487" s="127"/>
      <c r="AA487" s="127"/>
      <c r="AB487" s="127"/>
      <c r="AC487" s="127"/>
      <c r="AD487" s="261"/>
      <c r="AE487" s="261"/>
      <c r="AF487" s="261"/>
      <c r="AG487" s="261"/>
    </row>
    <row r="488" ht="34.5" hidden="1" customHeight="1">
      <c r="A488" s="111"/>
      <c r="B488" s="127"/>
      <c r="C488" s="111"/>
      <c r="D488" s="111"/>
      <c r="E488" s="111"/>
      <c r="F488" s="111"/>
      <c r="G488" s="111"/>
      <c r="H488" s="111"/>
      <c r="I488" s="127"/>
      <c r="J488" s="111"/>
      <c r="K488" s="257"/>
      <c r="L488" s="111"/>
      <c r="M488" s="127"/>
      <c r="N488" s="270"/>
      <c r="O488" s="111"/>
      <c r="P488" s="111"/>
      <c r="Q488" s="128"/>
      <c r="R488" s="124"/>
      <c r="S488" s="125"/>
      <c r="T488" s="126"/>
      <c r="U488" s="126"/>
      <c r="V488" s="126"/>
      <c r="W488" s="126"/>
      <c r="X488" s="126"/>
      <c r="Y488" s="126"/>
      <c r="Z488" s="127"/>
      <c r="AA488" s="127"/>
      <c r="AB488" s="127"/>
      <c r="AC488" s="127"/>
      <c r="AD488" s="261"/>
      <c r="AE488" s="261"/>
      <c r="AF488" s="261"/>
      <c r="AG488" s="261"/>
    </row>
    <row r="489" ht="34.5" hidden="1" customHeight="1">
      <c r="A489" s="111"/>
      <c r="B489" s="127"/>
      <c r="C489" s="111"/>
      <c r="D489" s="111"/>
      <c r="E489" s="111"/>
      <c r="F489" s="111"/>
      <c r="G489" s="111"/>
      <c r="H489" s="111"/>
      <c r="I489" s="127"/>
      <c r="J489" s="111"/>
      <c r="K489" s="257"/>
      <c r="L489" s="111"/>
      <c r="M489" s="127"/>
      <c r="N489" s="270"/>
      <c r="O489" s="111"/>
      <c r="P489" s="111"/>
      <c r="Q489" s="128"/>
      <c r="R489" s="124"/>
      <c r="S489" s="125"/>
      <c r="T489" s="126"/>
      <c r="U489" s="126"/>
      <c r="V489" s="126"/>
      <c r="W489" s="126"/>
      <c r="X489" s="126"/>
      <c r="Y489" s="126"/>
      <c r="Z489" s="127"/>
      <c r="AA489" s="127"/>
      <c r="AB489" s="127"/>
      <c r="AC489" s="127"/>
      <c r="AD489" s="261"/>
      <c r="AE489" s="261"/>
      <c r="AF489" s="261"/>
      <c r="AG489" s="261"/>
    </row>
    <row r="490" ht="34.5" hidden="1" customHeight="1">
      <c r="A490" s="111"/>
      <c r="B490" s="127"/>
      <c r="C490" s="111"/>
      <c r="D490" s="111"/>
      <c r="E490" s="111"/>
      <c r="F490" s="111"/>
      <c r="G490" s="111"/>
      <c r="H490" s="111"/>
      <c r="I490" s="127"/>
      <c r="J490" s="111"/>
      <c r="K490" s="257"/>
      <c r="L490" s="111"/>
      <c r="M490" s="127"/>
      <c r="N490" s="270"/>
      <c r="O490" s="111"/>
      <c r="P490" s="111"/>
      <c r="Q490" s="128"/>
      <c r="R490" s="124"/>
      <c r="S490" s="125"/>
      <c r="T490" s="126"/>
      <c r="U490" s="126"/>
      <c r="V490" s="126"/>
      <c r="W490" s="126"/>
      <c r="X490" s="126"/>
      <c r="Y490" s="126"/>
      <c r="Z490" s="127"/>
      <c r="AA490" s="127"/>
      <c r="AB490" s="127"/>
      <c r="AC490" s="127"/>
      <c r="AD490" s="261"/>
      <c r="AE490" s="261"/>
      <c r="AF490" s="261"/>
      <c r="AG490" s="261"/>
    </row>
    <row r="491" ht="34.5" hidden="1" customHeight="1">
      <c r="A491" s="111"/>
      <c r="B491" s="127"/>
      <c r="C491" s="111"/>
      <c r="D491" s="111"/>
      <c r="E491" s="111"/>
      <c r="F491" s="111"/>
      <c r="G491" s="111"/>
      <c r="H491" s="111"/>
      <c r="I491" s="127"/>
      <c r="J491" s="111"/>
      <c r="K491" s="257"/>
      <c r="L491" s="111"/>
      <c r="M491" s="127"/>
      <c r="N491" s="270"/>
      <c r="O491" s="111"/>
      <c r="P491" s="111"/>
      <c r="Q491" s="128"/>
      <c r="R491" s="124"/>
      <c r="S491" s="125"/>
      <c r="T491" s="126"/>
      <c r="U491" s="126"/>
      <c r="V491" s="126"/>
      <c r="W491" s="126"/>
      <c r="X491" s="126"/>
      <c r="Y491" s="126"/>
      <c r="Z491" s="127"/>
      <c r="AA491" s="127"/>
      <c r="AB491" s="127"/>
      <c r="AC491" s="127"/>
      <c r="AD491" s="261"/>
      <c r="AE491" s="261"/>
      <c r="AF491" s="261"/>
      <c r="AG491" s="261"/>
    </row>
    <row r="492" ht="34.5" hidden="1" customHeight="1">
      <c r="A492" s="111"/>
      <c r="B492" s="127"/>
      <c r="C492" s="111"/>
      <c r="D492" s="111"/>
      <c r="E492" s="111"/>
      <c r="F492" s="111"/>
      <c r="G492" s="111"/>
      <c r="H492" s="111"/>
      <c r="I492" s="127"/>
      <c r="J492" s="111"/>
      <c r="K492" s="257"/>
      <c r="L492" s="111"/>
      <c r="M492" s="127"/>
      <c r="N492" s="270"/>
      <c r="O492" s="111"/>
      <c r="P492" s="111"/>
      <c r="Q492" s="128"/>
      <c r="R492" s="124"/>
      <c r="S492" s="125"/>
      <c r="T492" s="126"/>
      <c r="U492" s="126"/>
      <c r="V492" s="126"/>
      <c r="W492" s="126"/>
      <c r="X492" s="126"/>
      <c r="Y492" s="126"/>
      <c r="Z492" s="127"/>
      <c r="AA492" s="127"/>
      <c r="AB492" s="127"/>
      <c r="AC492" s="127"/>
      <c r="AD492" s="261"/>
      <c r="AE492" s="261"/>
      <c r="AF492" s="261"/>
      <c r="AG492" s="261"/>
    </row>
    <row r="493" ht="34.5" hidden="1" customHeight="1">
      <c r="A493" s="111"/>
      <c r="B493" s="127"/>
      <c r="C493" s="111"/>
      <c r="D493" s="111"/>
      <c r="E493" s="111"/>
      <c r="F493" s="111"/>
      <c r="G493" s="111"/>
      <c r="H493" s="111"/>
      <c r="I493" s="127"/>
      <c r="J493" s="111"/>
      <c r="K493" s="257"/>
      <c r="L493" s="111"/>
      <c r="M493" s="127"/>
      <c r="N493" s="270"/>
      <c r="O493" s="111"/>
      <c r="P493" s="111"/>
      <c r="Q493" s="128"/>
      <c r="R493" s="124"/>
      <c r="S493" s="125"/>
      <c r="T493" s="126"/>
      <c r="U493" s="126"/>
      <c r="V493" s="126"/>
      <c r="W493" s="126"/>
      <c r="X493" s="126"/>
      <c r="Y493" s="126"/>
      <c r="Z493" s="127"/>
      <c r="AA493" s="127"/>
      <c r="AB493" s="127"/>
      <c r="AC493" s="127"/>
      <c r="AD493" s="261"/>
      <c r="AE493" s="261"/>
      <c r="AF493" s="261"/>
      <c r="AG493" s="261"/>
    </row>
    <row r="494" ht="34.5" hidden="1" customHeight="1">
      <c r="A494" s="111"/>
      <c r="B494" s="127"/>
      <c r="C494" s="111"/>
      <c r="D494" s="111"/>
      <c r="E494" s="111"/>
      <c r="F494" s="111"/>
      <c r="G494" s="111"/>
      <c r="H494" s="111"/>
      <c r="I494" s="127"/>
      <c r="J494" s="111"/>
      <c r="K494" s="257"/>
      <c r="L494" s="111"/>
      <c r="M494" s="127"/>
      <c r="N494" s="270"/>
      <c r="O494" s="111"/>
      <c r="P494" s="111"/>
      <c r="Q494" s="128"/>
      <c r="R494" s="124"/>
      <c r="S494" s="125"/>
      <c r="T494" s="126"/>
      <c r="U494" s="126"/>
      <c r="V494" s="126"/>
      <c r="W494" s="126"/>
      <c r="X494" s="126"/>
      <c r="Y494" s="126"/>
      <c r="Z494" s="127"/>
      <c r="AA494" s="127"/>
      <c r="AB494" s="127"/>
      <c r="AC494" s="127"/>
      <c r="AD494" s="261"/>
      <c r="AE494" s="261"/>
      <c r="AF494" s="261"/>
      <c r="AG494" s="261"/>
    </row>
    <row r="495" ht="34.5" hidden="1" customHeight="1">
      <c r="A495" s="111"/>
      <c r="B495" s="127"/>
      <c r="C495" s="111"/>
      <c r="D495" s="111"/>
      <c r="E495" s="111"/>
      <c r="F495" s="111"/>
      <c r="G495" s="111"/>
      <c r="H495" s="111"/>
      <c r="I495" s="127"/>
      <c r="J495" s="111"/>
      <c r="K495" s="257"/>
      <c r="L495" s="111"/>
      <c r="M495" s="127"/>
      <c r="N495" s="270"/>
      <c r="O495" s="111"/>
      <c r="P495" s="111"/>
      <c r="Q495" s="128"/>
      <c r="R495" s="124"/>
      <c r="S495" s="125"/>
      <c r="T495" s="126"/>
      <c r="U495" s="126"/>
      <c r="V495" s="126"/>
      <c r="W495" s="126"/>
      <c r="X495" s="126"/>
      <c r="Y495" s="126"/>
      <c r="Z495" s="127"/>
      <c r="AA495" s="127"/>
      <c r="AB495" s="127"/>
      <c r="AC495" s="127"/>
      <c r="AD495" s="261"/>
      <c r="AE495" s="261"/>
      <c r="AF495" s="261"/>
      <c r="AG495" s="261"/>
    </row>
    <row r="496" ht="34.5" hidden="1" customHeight="1">
      <c r="A496" s="111"/>
      <c r="B496" s="127"/>
      <c r="C496" s="111"/>
      <c r="D496" s="111"/>
      <c r="E496" s="111"/>
      <c r="F496" s="111"/>
      <c r="G496" s="111"/>
      <c r="H496" s="111"/>
      <c r="I496" s="127"/>
      <c r="J496" s="111"/>
      <c r="K496" s="257"/>
      <c r="L496" s="111"/>
      <c r="M496" s="127"/>
      <c r="N496" s="270"/>
      <c r="O496" s="111"/>
      <c r="P496" s="111"/>
      <c r="Q496" s="128"/>
      <c r="R496" s="124"/>
      <c r="S496" s="125"/>
      <c r="T496" s="126"/>
      <c r="U496" s="126"/>
      <c r="V496" s="126"/>
      <c r="W496" s="126"/>
      <c r="X496" s="126"/>
      <c r="Y496" s="126"/>
      <c r="Z496" s="127"/>
      <c r="AA496" s="127"/>
      <c r="AB496" s="127"/>
      <c r="AC496" s="127"/>
      <c r="AD496" s="261"/>
      <c r="AE496" s="261"/>
      <c r="AF496" s="261"/>
      <c r="AG496" s="261"/>
    </row>
    <row r="497" ht="34.5" hidden="1" customHeight="1">
      <c r="A497" s="111"/>
      <c r="B497" s="127"/>
      <c r="C497" s="111"/>
      <c r="D497" s="111"/>
      <c r="E497" s="111"/>
      <c r="F497" s="111"/>
      <c r="G497" s="111"/>
      <c r="H497" s="111"/>
      <c r="I497" s="127"/>
      <c r="J497" s="111"/>
      <c r="K497" s="257"/>
      <c r="L497" s="111"/>
      <c r="M497" s="127"/>
      <c r="N497" s="270"/>
      <c r="O497" s="111"/>
      <c r="P497" s="111"/>
      <c r="Q497" s="128"/>
      <c r="R497" s="124"/>
      <c r="S497" s="125"/>
      <c r="T497" s="126"/>
      <c r="U497" s="126"/>
      <c r="V497" s="126"/>
      <c r="W497" s="126"/>
      <c r="X497" s="126"/>
      <c r="Y497" s="126"/>
      <c r="Z497" s="127"/>
      <c r="AA497" s="127"/>
      <c r="AB497" s="127"/>
      <c r="AC497" s="127"/>
      <c r="AD497" s="261"/>
      <c r="AE497" s="261"/>
      <c r="AF497" s="261"/>
      <c r="AG497" s="261"/>
    </row>
    <row r="498" ht="34.5" hidden="1" customHeight="1">
      <c r="A498" s="111"/>
      <c r="B498" s="127"/>
      <c r="C498" s="111"/>
      <c r="D498" s="111"/>
      <c r="E498" s="111"/>
      <c r="F498" s="111"/>
      <c r="G498" s="111"/>
      <c r="H498" s="111"/>
      <c r="I498" s="127"/>
      <c r="J498" s="111"/>
      <c r="K498" s="257"/>
      <c r="L498" s="111"/>
      <c r="M498" s="127"/>
      <c r="N498" s="270"/>
      <c r="O498" s="111"/>
      <c r="P498" s="111"/>
      <c r="Q498" s="128"/>
      <c r="R498" s="124"/>
      <c r="S498" s="125"/>
      <c r="T498" s="126"/>
      <c r="U498" s="126"/>
      <c r="V498" s="126"/>
      <c r="W498" s="126"/>
      <c r="X498" s="126"/>
      <c r="Y498" s="126"/>
      <c r="Z498" s="127"/>
      <c r="AA498" s="127"/>
      <c r="AB498" s="127"/>
      <c r="AC498" s="127"/>
      <c r="AD498" s="261"/>
      <c r="AE498" s="261"/>
      <c r="AF498" s="261"/>
      <c r="AG498" s="261"/>
    </row>
    <row r="499" ht="34.5" hidden="1" customHeight="1">
      <c r="A499" s="111"/>
      <c r="B499" s="127"/>
      <c r="C499" s="111"/>
      <c r="D499" s="111"/>
      <c r="E499" s="111"/>
      <c r="F499" s="111"/>
      <c r="G499" s="111"/>
      <c r="H499" s="111"/>
      <c r="I499" s="127"/>
      <c r="J499" s="111"/>
      <c r="K499" s="257"/>
      <c r="L499" s="111"/>
      <c r="M499" s="127"/>
      <c r="N499" s="270"/>
      <c r="O499" s="111"/>
      <c r="P499" s="111"/>
      <c r="Q499" s="128"/>
      <c r="R499" s="124"/>
      <c r="S499" s="125"/>
      <c r="T499" s="126"/>
      <c r="U499" s="126"/>
      <c r="V499" s="126"/>
      <c r="W499" s="126"/>
      <c r="X499" s="126"/>
      <c r="Y499" s="126"/>
      <c r="Z499" s="127"/>
      <c r="AA499" s="127"/>
      <c r="AB499" s="127"/>
      <c r="AC499" s="127"/>
      <c r="AD499" s="261"/>
      <c r="AE499" s="261"/>
      <c r="AF499" s="261"/>
      <c r="AG499" s="261"/>
    </row>
    <row r="500" ht="34.5" hidden="1" customHeight="1">
      <c r="A500" s="111"/>
      <c r="B500" s="127"/>
      <c r="C500" s="111"/>
      <c r="D500" s="111"/>
      <c r="E500" s="111"/>
      <c r="F500" s="111"/>
      <c r="G500" s="111"/>
      <c r="H500" s="111"/>
      <c r="I500" s="127"/>
      <c r="J500" s="111"/>
      <c r="K500" s="257"/>
      <c r="L500" s="111"/>
      <c r="M500" s="127"/>
      <c r="N500" s="270"/>
      <c r="O500" s="111"/>
      <c r="P500" s="111"/>
      <c r="Q500" s="128"/>
      <c r="R500" s="124"/>
      <c r="S500" s="125"/>
      <c r="T500" s="126"/>
      <c r="U500" s="126"/>
      <c r="V500" s="126"/>
      <c r="W500" s="126"/>
      <c r="X500" s="126"/>
      <c r="Y500" s="126"/>
      <c r="Z500" s="127"/>
      <c r="AA500" s="127"/>
      <c r="AB500" s="127"/>
      <c r="AC500" s="127"/>
      <c r="AD500" s="261"/>
      <c r="AE500" s="261"/>
      <c r="AF500" s="261"/>
      <c r="AG500" s="261"/>
    </row>
    <row r="501" ht="34.5" hidden="1" customHeight="1">
      <c r="A501" s="111"/>
      <c r="B501" s="127"/>
      <c r="C501" s="111"/>
      <c r="D501" s="111"/>
      <c r="E501" s="111"/>
      <c r="F501" s="111"/>
      <c r="G501" s="111"/>
      <c r="H501" s="111"/>
      <c r="I501" s="127"/>
      <c r="J501" s="111"/>
      <c r="K501" s="257"/>
      <c r="L501" s="111"/>
      <c r="M501" s="127"/>
      <c r="N501" s="270"/>
      <c r="O501" s="111"/>
      <c r="P501" s="111"/>
      <c r="Q501" s="128"/>
      <c r="R501" s="124"/>
      <c r="S501" s="125"/>
      <c r="T501" s="126"/>
      <c r="U501" s="126"/>
      <c r="V501" s="126"/>
      <c r="W501" s="126"/>
      <c r="X501" s="126"/>
      <c r="Y501" s="126"/>
      <c r="Z501" s="127"/>
      <c r="AA501" s="127"/>
      <c r="AB501" s="127"/>
      <c r="AC501" s="127"/>
      <c r="AD501" s="261"/>
      <c r="AE501" s="261"/>
      <c r="AF501" s="261"/>
      <c r="AG501" s="261"/>
    </row>
    <row r="502" ht="34.5" hidden="1" customHeight="1">
      <c r="A502" s="111"/>
      <c r="B502" s="127"/>
      <c r="C502" s="111"/>
      <c r="D502" s="111"/>
      <c r="E502" s="111"/>
      <c r="F502" s="111"/>
      <c r="G502" s="111"/>
      <c r="H502" s="111"/>
      <c r="I502" s="127"/>
      <c r="J502" s="111"/>
      <c r="K502" s="257"/>
      <c r="L502" s="111"/>
      <c r="M502" s="127"/>
      <c r="N502" s="270"/>
      <c r="O502" s="111"/>
      <c r="P502" s="111"/>
      <c r="Q502" s="128"/>
      <c r="R502" s="124"/>
      <c r="S502" s="125"/>
      <c r="T502" s="126"/>
      <c r="U502" s="126"/>
      <c r="V502" s="126"/>
      <c r="W502" s="126"/>
      <c r="X502" s="126"/>
      <c r="Y502" s="126"/>
      <c r="Z502" s="127"/>
      <c r="AA502" s="127"/>
      <c r="AB502" s="127"/>
      <c r="AC502" s="127"/>
      <c r="AD502" s="261"/>
      <c r="AE502" s="261"/>
      <c r="AF502" s="261"/>
      <c r="AG502" s="261"/>
    </row>
    <row r="503" ht="34.5" hidden="1" customHeight="1">
      <c r="A503" s="111"/>
      <c r="B503" s="127"/>
      <c r="C503" s="111"/>
      <c r="D503" s="111"/>
      <c r="E503" s="111"/>
      <c r="F503" s="111"/>
      <c r="G503" s="111"/>
      <c r="H503" s="111"/>
      <c r="I503" s="127"/>
      <c r="J503" s="111"/>
      <c r="K503" s="257"/>
      <c r="L503" s="111"/>
      <c r="M503" s="127"/>
      <c r="N503" s="270"/>
      <c r="O503" s="111"/>
      <c r="P503" s="111"/>
      <c r="Q503" s="128"/>
      <c r="R503" s="124"/>
      <c r="S503" s="125"/>
      <c r="T503" s="126"/>
      <c r="U503" s="126"/>
      <c r="V503" s="126"/>
      <c r="W503" s="126"/>
      <c r="X503" s="126"/>
      <c r="Y503" s="126"/>
      <c r="Z503" s="127"/>
      <c r="AA503" s="127"/>
      <c r="AB503" s="127"/>
      <c r="AC503" s="127"/>
      <c r="AD503" s="261"/>
      <c r="AE503" s="261"/>
      <c r="AF503" s="261"/>
      <c r="AG503" s="261"/>
    </row>
    <row r="504" ht="34.5" hidden="1" customHeight="1">
      <c r="A504" s="111"/>
      <c r="B504" s="127"/>
      <c r="C504" s="111"/>
      <c r="D504" s="111"/>
      <c r="E504" s="111"/>
      <c r="F504" s="111"/>
      <c r="G504" s="111"/>
      <c r="H504" s="111"/>
      <c r="I504" s="127"/>
      <c r="J504" s="111"/>
      <c r="K504" s="257"/>
      <c r="L504" s="111"/>
      <c r="M504" s="127"/>
      <c r="N504" s="270"/>
      <c r="O504" s="111"/>
      <c r="P504" s="111"/>
      <c r="Q504" s="128"/>
      <c r="R504" s="124"/>
      <c r="S504" s="125"/>
      <c r="T504" s="126"/>
      <c r="U504" s="126"/>
      <c r="V504" s="126"/>
      <c r="W504" s="126"/>
      <c r="X504" s="126"/>
      <c r="Y504" s="126"/>
      <c r="Z504" s="127"/>
      <c r="AA504" s="127"/>
      <c r="AB504" s="127"/>
      <c r="AC504" s="127"/>
      <c r="AD504" s="261"/>
      <c r="AE504" s="261"/>
      <c r="AF504" s="261"/>
      <c r="AG504" s="261"/>
    </row>
    <row r="505" ht="34.5" hidden="1" customHeight="1">
      <c r="A505" s="111"/>
      <c r="B505" s="127"/>
      <c r="C505" s="111"/>
      <c r="D505" s="111"/>
      <c r="E505" s="111"/>
      <c r="F505" s="111"/>
      <c r="G505" s="111"/>
      <c r="H505" s="111"/>
      <c r="I505" s="127"/>
      <c r="J505" s="111"/>
      <c r="K505" s="257"/>
      <c r="L505" s="111"/>
      <c r="M505" s="127"/>
      <c r="N505" s="270"/>
      <c r="O505" s="111"/>
      <c r="P505" s="111"/>
      <c r="Q505" s="128"/>
      <c r="R505" s="124"/>
      <c r="S505" s="125"/>
      <c r="T505" s="126"/>
      <c r="U505" s="126"/>
      <c r="V505" s="126"/>
      <c r="W505" s="126"/>
      <c r="X505" s="126"/>
      <c r="Y505" s="126"/>
      <c r="Z505" s="127"/>
      <c r="AA505" s="127"/>
      <c r="AB505" s="127"/>
      <c r="AC505" s="127"/>
      <c r="AD505" s="261"/>
      <c r="AE505" s="261"/>
      <c r="AF505" s="261"/>
      <c r="AG505" s="261"/>
    </row>
    <row r="506" ht="34.5" hidden="1" customHeight="1">
      <c r="A506" s="111"/>
      <c r="B506" s="127"/>
      <c r="C506" s="111"/>
      <c r="D506" s="111"/>
      <c r="E506" s="111"/>
      <c r="F506" s="111"/>
      <c r="G506" s="111"/>
      <c r="H506" s="111"/>
      <c r="I506" s="127"/>
      <c r="J506" s="111"/>
      <c r="K506" s="257"/>
      <c r="L506" s="111"/>
      <c r="M506" s="127"/>
      <c r="N506" s="270"/>
      <c r="O506" s="111"/>
      <c r="P506" s="111"/>
      <c r="Q506" s="128"/>
      <c r="R506" s="124"/>
      <c r="S506" s="125"/>
      <c r="T506" s="126"/>
      <c r="U506" s="126"/>
      <c r="V506" s="126"/>
      <c r="W506" s="126"/>
      <c r="X506" s="126"/>
      <c r="Y506" s="126"/>
      <c r="Z506" s="127"/>
      <c r="AA506" s="127"/>
      <c r="AB506" s="127"/>
      <c r="AC506" s="127"/>
      <c r="AD506" s="261"/>
      <c r="AE506" s="261"/>
      <c r="AF506" s="261"/>
      <c r="AG506" s="261"/>
    </row>
    <row r="507" ht="34.5" hidden="1" customHeight="1">
      <c r="A507" s="111"/>
      <c r="B507" s="127"/>
      <c r="C507" s="111"/>
      <c r="D507" s="111"/>
      <c r="E507" s="111"/>
      <c r="F507" s="111"/>
      <c r="G507" s="111"/>
      <c r="H507" s="111"/>
      <c r="I507" s="127"/>
      <c r="J507" s="111"/>
      <c r="K507" s="257"/>
      <c r="L507" s="111"/>
      <c r="M507" s="127"/>
      <c r="N507" s="270"/>
      <c r="O507" s="111"/>
      <c r="P507" s="111"/>
      <c r="Q507" s="128"/>
      <c r="R507" s="124"/>
      <c r="S507" s="125"/>
      <c r="T507" s="126"/>
      <c r="U507" s="126"/>
      <c r="V507" s="126"/>
      <c r="W507" s="126"/>
      <c r="X507" s="126"/>
      <c r="Y507" s="126"/>
      <c r="Z507" s="127"/>
      <c r="AA507" s="127"/>
      <c r="AB507" s="127"/>
      <c r="AC507" s="127"/>
      <c r="AD507" s="261"/>
      <c r="AE507" s="261"/>
      <c r="AF507" s="261"/>
      <c r="AG507" s="261"/>
    </row>
    <row r="508" ht="34.5" hidden="1" customHeight="1">
      <c r="A508" s="111"/>
      <c r="B508" s="127"/>
      <c r="C508" s="111"/>
      <c r="D508" s="111"/>
      <c r="E508" s="111"/>
      <c r="F508" s="111"/>
      <c r="G508" s="111"/>
      <c r="H508" s="111"/>
      <c r="I508" s="127"/>
      <c r="J508" s="111"/>
      <c r="K508" s="257"/>
      <c r="L508" s="111"/>
      <c r="M508" s="127"/>
      <c r="N508" s="270"/>
      <c r="O508" s="111"/>
      <c r="P508" s="111"/>
      <c r="Q508" s="128"/>
      <c r="R508" s="124"/>
      <c r="S508" s="125"/>
      <c r="T508" s="126"/>
      <c r="U508" s="126"/>
      <c r="V508" s="126"/>
      <c r="W508" s="126"/>
      <c r="X508" s="126"/>
      <c r="Y508" s="126"/>
      <c r="Z508" s="127"/>
      <c r="AA508" s="127"/>
      <c r="AB508" s="127"/>
      <c r="AC508" s="127"/>
      <c r="AD508" s="261"/>
      <c r="AE508" s="261"/>
      <c r="AF508" s="261"/>
      <c r="AG508" s="261"/>
    </row>
    <row r="509" ht="34.5" hidden="1" customHeight="1">
      <c r="A509" s="111"/>
      <c r="B509" s="127"/>
      <c r="C509" s="111"/>
      <c r="D509" s="111"/>
      <c r="E509" s="111"/>
      <c r="F509" s="111"/>
      <c r="G509" s="111"/>
      <c r="H509" s="111"/>
      <c r="I509" s="127"/>
      <c r="J509" s="111"/>
      <c r="K509" s="257"/>
      <c r="L509" s="111"/>
      <c r="M509" s="127"/>
      <c r="N509" s="270"/>
      <c r="O509" s="111"/>
      <c r="P509" s="111"/>
      <c r="Q509" s="128"/>
      <c r="R509" s="124"/>
      <c r="S509" s="125"/>
      <c r="T509" s="126"/>
      <c r="U509" s="126"/>
      <c r="V509" s="126"/>
      <c r="W509" s="126"/>
      <c r="X509" s="126"/>
      <c r="Y509" s="126"/>
      <c r="Z509" s="127"/>
      <c r="AA509" s="127"/>
      <c r="AB509" s="127"/>
      <c r="AC509" s="127"/>
      <c r="AD509" s="261"/>
      <c r="AE509" s="261"/>
      <c r="AF509" s="261"/>
      <c r="AG509" s="261"/>
    </row>
    <row r="510" ht="34.5" hidden="1" customHeight="1">
      <c r="A510" s="111"/>
      <c r="B510" s="127"/>
      <c r="C510" s="111"/>
      <c r="D510" s="111"/>
      <c r="E510" s="111"/>
      <c r="F510" s="111"/>
      <c r="G510" s="111"/>
      <c r="H510" s="111"/>
      <c r="I510" s="127"/>
      <c r="J510" s="111"/>
      <c r="K510" s="257"/>
      <c r="L510" s="111"/>
      <c r="M510" s="127"/>
      <c r="N510" s="270"/>
      <c r="O510" s="111"/>
      <c r="P510" s="111"/>
      <c r="Q510" s="128"/>
      <c r="R510" s="124"/>
      <c r="S510" s="125"/>
      <c r="T510" s="126"/>
      <c r="U510" s="126"/>
      <c r="V510" s="126"/>
      <c r="W510" s="126"/>
      <c r="X510" s="126"/>
      <c r="Y510" s="126"/>
      <c r="Z510" s="127"/>
      <c r="AA510" s="127"/>
      <c r="AB510" s="127"/>
      <c r="AC510" s="127"/>
      <c r="AD510" s="261"/>
      <c r="AE510" s="261"/>
      <c r="AF510" s="261"/>
      <c r="AG510" s="261"/>
    </row>
    <row r="511" ht="34.5" hidden="1" customHeight="1">
      <c r="A511" s="111"/>
      <c r="B511" s="127"/>
      <c r="C511" s="111"/>
      <c r="D511" s="111"/>
      <c r="E511" s="111"/>
      <c r="F511" s="111"/>
      <c r="G511" s="111"/>
      <c r="H511" s="111"/>
      <c r="I511" s="127"/>
      <c r="J511" s="111"/>
      <c r="K511" s="257"/>
      <c r="L511" s="111"/>
      <c r="M511" s="127"/>
      <c r="N511" s="270"/>
      <c r="O511" s="111"/>
      <c r="P511" s="111"/>
      <c r="Q511" s="128"/>
      <c r="R511" s="124"/>
      <c r="S511" s="125"/>
      <c r="T511" s="126"/>
      <c r="U511" s="126"/>
      <c r="V511" s="126"/>
      <c r="W511" s="126"/>
      <c r="X511" s="126"/>
      <c r="Y511" s="126"/>
      <c r="Z511" s="127"/>
      <c r="AA511" s="127"/>
      <c r="AB511" s="127"/>
      <c r="AC511" s="127"/>
      <c r="AD511" s="261"/>
      <c r="AE511" s="261"/>
      <c r="AF511" s="261"/>
      <c r="AG511" s="261"/>
    </row>
    <row r="512" ht="34.5" hidden="1" customHeight="1">
      <c r="A512" s="111"/>
      <c r="B512" s="127"/>
      <c r="C512" s="111"/>
      <c r="D512" s="111"/>
      <c r="E512" s="111"/>
      <c r="F512" s="111"/>
      <c r="G512" s="111"/>
      <c r="H512" s="111"/>
      <c r="I512" s="127"/>
      <c r="J512" s="111"/>
      <c r="K512" s="257"/>
      <c r="L512" s="111"/>
      <c r="M512" s="127"/>
      <c r="N512" s="270"/>
      <c r="O512" s="111"/>
      <c r="P512" s="111"/>
      <c r="Q512" s="128"/>
      <c r="R512" s="124"/>
      <c r="S512" s="125"/>
      <c r="T512" s="126"/>
      <c r="U512" s="126"/>
      <c r="V512" s="126"/>
      <c r="W512" s="126"/>
      <c r="X512" s="126"/>
      <c r="Y512" s="126"/>
      <c r="Z512" s="127"/>
      <c r="AA512" s="127"/>
      <c r="AB512" s="127"/>
      <c r="AC512" s="127"/>
      <c r="AD512" s="261"/>
      <c r="AE512" s="261"/>
      <c r="AF512" s="261"/>
      <c r="AG512" s="261"/>
    </row>
    <row r="513" ht="34.5" hidden="1" customHeight="1">
      <c r="A513" s="111"/>
      <c r="B513" s="127"/>
      <c r="C513" s="111"/>
      <c r="D513" s="111"/>
      <c r="E513" s="111"/>
      <c r="F513" s="111"/>
      <c r="G513" s="111"/>
      <c r="H513" s="111"/>
      <c r="I513" s="127"/>
      <c r="J513" s="111"/>
      <c r="K513" s="257"/>
      <c r="L513" s="111"/>
      <c r="M513" s="127"/>
      <c r="N513" s="270"/>
      <c r="O513" s="111"/>
      <c r="P513" s="111"/>
      <c r="Q513" s="128"/>
      <c r="R513" s="124"/>
      <c r="S513" s="125"/>
      <c r="T513" s="126"/>
      <c r="U513" s="126"/>
      <c r="V513" s="126"/>
      <c r="W513" s="126"/>
      <c r="X513" s="126"/>
      <c r="Y513" s="126"/>
      <c r="Z513" s="127"/>
      <c r="AA513" s="127"/>
      <c r="AB513" s="127"/>
      <c r="AC513" s="127"/>
      <c r="AD513" s="261"/>
      <c r="AE513" s="261"/>
      <c r="AF513" s="261"/>
      <c r="AG513" s="261"/>
    </row>
    <row r="514" ht="34.5" hidden="1" customHeight="1">
      <c r="A514" s="111"/>
      <c r="B514" s="127"/>
      <c r="C514" s="111"/>
      <c r="D514" s="111"/>
      <c r="E514" s="111"/>
      <c r="F514" s="111"/>
      <c r="G514" s="111"/>
      <c r="H514" s="111"/>
      <c r="I514" s="127"/>
      <c r="J514" s="111"/>
      <c r="K514" s="257"/>
      <c r="L514" s="111"/>
      <c r="M514" s="127"/>
      <c r="N514" s="270"/>
      <c r="O514" s="111"/>
      <c r="P514" s="111"/>
      <c r="Q514" s="128"/>
      <c r="R514" s="124"/>
      <c r="S514" s="125"/>
      <c r="T514" s="126"/>
      <c r="U514" s="126"/>
      <c r="V514" s="126"/>
      <c r="W514" s="126"/>
      <c r="X514" s="126"/>
      <c r="Y514" s="126"/>
      <c r="Z514" s="127"/>
      <c r="AA514" s="127"/>
      <c r="AB514" s="127"/>
      <c r="AC514" s="127"/>
      <c r="AD514" s="261"/>
      <c r="AE514" s="261"/>
      <c r="AF514" s="261"/>
      <c r="AG514" s="261"/>
    </row>
    <row r="515" ht="34.5" hidden="1" customHeight="1">
      <c r="A515" s="111"/>
      <c r="B515" s="127"/>
      <c r="C515" s="111"/>
      <c r="D515" s="111"/>
      <c r="E515" s="111"/>
      <c r="F515" s="111"/>
      <c r="G515" s="111"/>
      <c r="H515" s="111"/>
      <c r="I515" s="127"/>
      <c r="J515" s="111"/>
      <c r="K515" s="257"/>
      <c r="L515" s="111"/>
      <c r="M515" s="127"/>
      <c r="N515" s="270"/>
      <c r="O515" s="111"/>
      <c r="P515" s="111"/>
      <c r="Q515" s="128"/>
      <c r="R515" s="124"/>
      <c r="S515" s="125"/>
      <c r="T515" s="126"/>
      <c r="U515" s="126"/>
      <c r="V515" s="126"/>
      <c r="W515" s="126"/>
      <c r="X515" s="126"/>
      <c r="Y515" s="126"/>
      <c r="Z515" s="127"/>
      <c r="AA515" s="127"/>
      <c r="AB515" s="127"/>
      <c r="AC515" s="127"/>
      <c r="AD515" s="261"/>
      <c r="AE515" s="261"/>
      <c r="AF515" s="261"/>
      <c r="AG515" s="261"/>
    </row>
    <row r="516" ht="34.5" hidden="1" customHeight="1">
      <c r="A516" s="111"/>
      <c r="B516" s="127"/>
      <c r="C516" s="111"/>
      <c r="D516" s="111"/>
      <c r="E516" s="111"/>
      <c r="F516" s="111"/>
      <c r="G516" s="111"/>
      <c r="H516" s="111"/>
      <c r="I516" s="127"/>
      <c r="J516" s="111"/>
      <c r="K516" s="257"/>
      <c r="L516" s="111"/>
      <c r="M516" s="127"/>
      <c r="N516" s="270"/>
      <c r="O516" s="111"/>
      <c r="P516" s="111"/>
      <c r="Q516" s="128"/>
      <c r="R516" s="124"/>
      <c r="S516" s="125"/>
      <c r="T516" s="126"/>
      <c r="U516" s="126"/>
      <c r="V516" s="126"/>
      <c r="W516" s="126"/>
      <c r="X516" s="126"/>
      <c r="Y516" s="126"/>
      <c r="Z516" s="127"/>
      <c r="AA516" s="127"/>
      <c r="AB516" s="127"/>
      <c r="AC516" s="127"/>
      <c r="AD516" s="261"/>
      <c r="AE516" s="261"/>
      <c r="AF516" s="261"/>
      <c r="AG516" s="261"/>
    </row>
    <row r="517" ht="34.5" hidden="1" customHeight="1">
      <c r="A517" s="111"/>
      <c r="B517" s="127"/>
      <c r="C517" s="111"/>
      <c r="D517" s="111"/>
      <c r="E517" s="111"/>
      <c r="F517" s="111"/>
      <c r="G517" s="111"/>
      <c r="H517" s="111"/>
      <c r="I517" s="127"/>
      <c r="J517" s="111"/>
      <c r="K517" s="257"/>
      <c r="L517" s="111"/>
      <c r="M517" s="127"/>
      <c r="N517" s="270"/>
      <c r="O517" s="111"/>
      <c r="P517" s="111"/>
      <c r="Q517" s="128"/>
      <c r="R517" s="124"/>
      <c r="S517" s="125"/>
      <c r="T517" s="126"/>
      <c r="U517" s="126"/>
      <c r="V517" s="126"/>
      <c r="W517" s="126"/>
      <c r="X517" s="126"/>
      <c r="Y517" s="126"/>
      <c r="Z517" s="127"/>
      <c r="AA517" s="127"/>
      <c r="AB517" s="127"/>
      <c r="AC517" s="127"/>
      <c r="AD517" s="261"/>
      <c r="AE517" s="261"/>
      <c r="AF517" s="261"/>
      <c r="AG517" s="261"/>
    </row>
    <row r="518" ht="34.5" hidden="1" customHeight="1">
      <c r="A518" s="111"/>
      <c r="B518" s="127"/>
      <c r="C518" s="111"/>
      <c r="D518" s="111"/>
      <c r="E518" s="111"/>
      <c r="F518" s="111"/>
      <c r="G518" s="111"/>
      <c r="H518" s="111"/>
      <c r="I518" s="127"/>
      <c r="J518" s="111"/>
      <c r="K518" s="257"/>
      <c r="L518" s="111"/>
      <c r="M518" s="127"/>
      <c r="N518" s="270"/>
      <c r="O518" s="111"/>
      <c r="P518" s="111"/>
      <c r="Q518" s="128"/>
      <c r="R518" s="124"/>
      <c r="S518" s="125"/>
      <c r="T518" s="126"/>
      <c r="U518" s="126"/>
      <c r="V518" s="126"/>
      <c r="W518" s="126"/>
      <c r="X518" s="126"/>
      <c r="Y518" s="126"/>
      <c r="Z518" s="127"/>
      <c r="AA518" s="127"/>
      <c r="AB518" s="127"/>
      <c r="AC518" s="127"/>
      <c r="AD518" s="261"/>
      <c r="AE518" s="261"/>
      <c r="AF518" s="261"/>
      <c r="AG518" s="261"/>
    </row>
    <row r="519" ht="34.5" hidden="1" customHeight="1">
      <c r="A519" s="111"/>
      <c r="B519" s="127"/>
      <c r="C519" s="111"/>
      <c r="D519" s="111"/>
      <c r="E519" s="111"/>
      <c r="F519" s="111"/>
      <c r="G519" s="111"/>
      <c r="H519" s="111"/>
      <c r="I519" s="127"/>
      <c r="J519" s="111"/>
      <c r="K519" s="257"/>
      <c r="L519" s="111"/>
      <c r="M519" s="127"/>
      <c r="N519" s="270"/>
      <c r="O519" s="111"/>
      <c r="P519" s="111"/>
      <c r="Q519" s="128"/>
      <c r="R519" s="124"/>
      <c r="S519" s="125"/>
      <c r="T519" s="126"/>
      <c r="U519" s="126"/>
      <c r="V519" s="126"/>
      <c r="W519" s="126"/>
      <c r="X519" s="126"/>
      <c r="Y519" s="126"/>
      <c r="Z519" s="127"/>
      <c r="AA519" s="127"/>
      <c r="AB519" s="127"/>
      <c r="AC519" s="127"/>
      <c r="AD519" s="261"/>
      <c r="AE519" s="261"/>
      <c r="AF519" s="261"/>
      <c r="AG519" s="261"/>
    </row>
    <row r="520" ht="34.5" hidden="1" customHeight="1">
      <c r="A520" s="111"/>
      <c r="B520" s="127"/>
      <c r="C520" s="111"/>
      <c r="D520" s="111"/>
      <c r="E520" s="111"/>
      <c r="F520" s="111"/>
      <c r="G520" s="111"/>
      <c r="H520" s="111"/>
      <c r="I520" s="127"/>
      <c r="J520" s="111"/>
      <c r="K520" s="257"/>
      <c r="L520" s="111"/>
      <c r="M520" s="127"/>
      <c r="N520" s="270"/>
      <c r="O520" s="111"/>
      <c r="P520" s="111"/>
      <c r="Q520" s="128"/>
      <c r="R520" s="124"/>
      <c r="S520" s="125"/>
      <c r="T520" s="126"/>
      <c r="U520" s="126"/>
      <c r="V520" s="126"/>
      <c r="W520" s="126"/>
      <c r="X520" s="126"/>
      <c r="Y520" s="126"/>
      <c r="Z520" s="127"/>
      <c r="AA520" s="127"/>
      <c r="AB520" s="127"/>
      <c r="AC520" s="127"/>
      <c r="AD520" s="261"/>
      <c r="AE520" s="261"/>
      <c r="AF520" s="261"/>
      <c r="AG520" s="261"/>
    </row>
    <row r="521" ht="34.5" hidden="1" customHeight="1">
      <c r="A521" s="111"/>
      <c r="B521" s="127"/>
      <c r="C521" s="111"/>
      <c r="D521" s="111"/>
      <c r="E521" s="111"/>
      <c r="F521" s="111"/>
      <c r="G521" s="111"/>
      <c r="H521" s="111"/>
      <c r="I521" s="127"/>
      <c r="J521" s="111"/>
      <c r="K521" s="257"/>
      <c r="L521" s="111"/>
      <c r="M521" s="127"/>
      <c r="N521" s="270"/>
      <c r="O521" s="111"/>
      <c r="P521" s="111"/>
      <c r="Q521" s="128"/>
      <c r="R521" s="124"/>
      <c r="S521" s="125"/>
      <c r="T521" s="126"/>
      <c r="U521" s="126"/>
      <c r="V521" s="126"/>
      <c r="W521" s="126"/>
      <c r="X521" s="126"/>
      <c r="Y521" s="126"/>
      <c r="Z521" s="127"/>
      <c r="AA521" s="127"/>
      <c r="AB521" s="127"/>
      <c r="AC521" s="127"/>
      <c r="AD521" s="261"/>
      <c r="AE521" s="261"/>
      <c r="AF521" s="261"/>
      <c r="AG521" s="261"/>
    </row>
    <row r="522" ht="34.5" hidden="1" customHeight="1">
      <c r="A522" s="111"/>
      <c r="B522" s="127"/>
      <c r="C522" s="111"/>
      <c r="D522" s="111"/>
      <c r="E522" s="111"/>
      <c r="F522" s="111"/>
      <c r="G522" s="111"/>
      <c r="H522" s="111"/>
      <c r="I522" s="127"/>
      <c r="J522" s="111"/>
      <c r="K522" s="257"/>
      <c r="L522" s="111"/>
      <c r="M522" s="127"/>
      <c r="N522" s="270"/>
      <c r="O522" s="111"/>
      <c r="P522" s="111"/>
      <c r="Q522" s="128"/>
      <c r="R522" s="124"/>
      <c r="S522" s="125"/>
      <c r="T522" s="126"/>
      <c r="U522" s="126"/>
      <c r="V522" s="126"/>
      <c r="W522" s="126"/>
      <c r="X522" s="126"/>
      <c r="Y522" s="126"/>
      <c r="Z522" s="127"/>
      <c r="AA522" s="127"/>
      <c r="AB522" s="127"/>
      <c r="AC522" s="127"/>
      <c r="AD522" s="261"/>
      <c r="AE522" s="261"/>
      <c r="AF522" s="261"/>
      <c r="AG522" s="261"/>
    </row>
    <row r="523" ht="34.5" hidden="1" customHeight="1">
      <c r="A523" s="111"/>
      <c r="B523" s="127"/>
      <c r="C523" s="111"/>
      <c r="D523" s="111"/>
      <c r="E523" s="111"/>
      <c r="F523" s="111"/>
      <c r="G523" s="111"/>
      <c r="H523" s="111"/>
      <c r="I523" s="127"/>
      <c r="J523" s="111"/>
      <c r="K523" s="257"/>
      <c r="L523" s="111"/>
      <c r="M523" s="127"/>
      <c r="N523" s="270"/>
      <c r="O523" s="111"/>
      <c r="P523" s="111"/>
      <c r="Q523" s="128"/>
      <c r="R523" s="124"/>
      <c r="S523" s="125"/>
      <c r="T523" s="126"/>
      <c r="U523" s="126"/>
      <c r="V523" s="126"/>
      <c r="W523" s="126"/>
      <c r="X523" s="126"/>
      <c r="Y523" s="126"/>
      <c r="Z523" s="127"/>
      <c r="AA523" s="127"/>
      <c r="AB523" s="127"/>
      <c r="AC523" s="127"/>
      <c r="AD523" s="261"/>
      <c r="AE523" s="261"/>
      <c r="AF523" s="261"/>
      <c r="AG523" s="261"/>
    </row>
    <row r="524" ht="34.5" hidden="1" customHeight="1">
      <c r="A524" s="111"/>
      <c r="B524" s="127"/>
      <c r="C524" s="111"/>
      <c r="D524" s="111"/>
      <c r="E524" s="111"/>
      <c r="F524" s="111"/>
      <c r="G524" s="111"/>
      <c r="H524" s="111"/>
      <c r="I524" s="127"/>
      <c r="J524" s="111"/>
      <c r="K524" s="257"/>
      <c r="L524" s="111"/>
      <c r="M524" s="127"/>
      <c r="N524" s="270"/>
      <c r="O524" s="111"/>
      <c r="P524" s="111"/>
      <c r="Q524" s="128"/>
      <c r="R524" s="124"/>
      <c r="S524" s="125"/>
      <c r="T524" s="126"/>
      <c r="U524" s="126"/>
      <c r="V524" s="126"/>
      <c r="W524" s="126"/>
      <c r="X524" s="126"/>
      <c r="Y524" s="126"/>
      <c r="Z524" s="127"/>
      <c r="AA524" s="127"/>
      <c r="AB524" s="127"/>
      <c r="AC524" s="127"/>
      <c r="AD524" s="261"/>
      <c r="AE524" s="261"/>
      <c r="AF524" s="261"/>
      <c r="AG524" s="261"/>
    </row>
    <row r="525" ht="34.5" hidden="1" customHeight="1">
      <c r="A525" s="111"/>
      <c r="B525" s="127"/>
      <c r="C525" s="111"/>
      <c r="D525" s="111"/>
      <c r="E525" s="111"/>
      <c r="F525" s="111"/>
      <c r="G525" s="111"/>
      <c r="H525" s="111"/>
      <c r="I525" s="127"/>
      <c r="J525" s="111"/>
      <c r="K525" s="257"/>
      <c r="L525" s="111"/>
      <c r="M525" s="127"/>
      <c r="N525" s="270"/>
      <c r="O525" s="111"/>
      <c r="P525" s="111"/>
      <c r="Q525" s="128"/>
      <c r="R525" s="124"/>
      <c r="S525" s="125"/>
      <c r="T525" s="126"/>
      <c r="U525" s="126"/>
      <c r="V525" s="126"/>
      <c r="W525" s="126"/>
      <c r="X525" s="126"/>
      <c r="Y525" s="126"/>
      <c r="Z525" s="127"/>
      <c r="AA525" s="127"/>
      <c r="AB525" s="127"/>
      <c r="AC525" s="127"/>
      <c r="AD525" s="261"/>
      <c r="AE525" s="261"/>
      <c r="AF525" s="261"/>
      <c r="AG525" s="261"/>
    </row>
    <row r="526" ht="34.5" hidden="1" customHeight="1">
      <c r="A526" s="111"/>
      <c r="B526" s="127"/>
      <c r="C526" s="111"/>
      <c r="D526" s="111"/>
      <c r="E526" s="111"/>
      <c r="F526" s="111"/>
      <c r="G526" s="111"/>
      <c r="H526" s="111"/>
      <c r="I526" s="127"/>
      <c r="J526" s="111"/>
      <c r="K526" s="257"/>
      <c r="L526" s="111"/>
      <c r="M526" s="127"/>
      <c r="N526" s="270"/>
      <c r="O526" s="111"/>
      <c r="P526" s="111"/>
      <c r="Q526" s="128"/>
      <c r="R526" s="124"/>
      <c r="S526" s="125"/>
      <c r="T526" s="126"/>
      <c r="U526" s="126"/>
      <c r="V526" s="126"/>
      <c r="W526" s="126"/>
      <c r="X526" s="126"/>
      <c r="Y526" s="126"/>
      <c r="Z526" s="127"/>
      <c r="AA526" s="127"/>
      <c r="AB526" s="127"/>
      <c r="AC526" s="127"/>
      <c r="AD526" s="261"/>
      <c r="AE526" s="261"/>
      <c r="AF526" s="261"/>
      <c r="AG526" s="261"/>
    </row>
    <row r="527" ht="34.5" hidden="1" customHeight="1">
      <c r="A527" s="111"/>
      <c r="B527" s="127"/>
      <c r="C527" s="111"/>
      <c r="D527" s="111"/>
      <c r="E527" s="111"/>
      <c r="F527" s="111"/>
      <c r="G527" s="111"/>
      <c r="H527" s="111"/>
      <c r="I527" s="127"/>
      <c r="J527" s="111"/>
      <c r="K527" s="257"/>
      <c r="L527" s="111"/>
      <c r="M527" s="127"/>
      <c r="N527" s="270"/>
      <c r="O527" s="111"/>
      <c r="P527" s="111"/>
      <c r="Q527" s="128"/>
      <c r="R527" s="124"/>
      <c r="S527" s="125"/>
      <c r="T527" s="126"/>
      <c r="U527" s="126"/>
      <c r="V527" s="126"/>
      <c r="W527" s="126"/>
      <c r="X527" s="126"/>
      <c r="Y527" s="126"/>
      <c r="Z527" s="127"/>
      <c r="AA527" s="127"/>
      <c r="AB527" s="127"/>
      <c r="AC527" s="127"/>
      <c r="AD527" s="261"/>
      <c r="AE527" s="261"/>
      <c r="AF527" s="261"/>
      <c r="AG527" s="261"/>
    </row>
    <row r="528" ht="34.5" hidden="1" customHeight="1">
      <c r="A528" s="111"/>
      <c r="B528" s="127"/>
      <c r="C528" s="111"/>
      <c r="D528" s="111"/>
      <c r="E528" s="111"/>
      <c r="F528" s="111"/>
      <c r="G528" s="111"/>
      <c r="H528" s="111"/>
      <c r="I528" s="127"/>
      <c r="J528" s="111"/>
      <c r="K528" s="257"/>
      <c r="L528" s="111"/>
      <c r="M528" s="127"/>
      <c r="N528" s="270"/>
      <c r="O528" s="111"/>
      <c r="P528" s="111"/>
      <c r="Q528" s="128"/>
      <c r="R528" s="124"/>
      <c r="S528" s="125"/>
      <c r="T528" s="126"/>
      <c r="U528" s="126"/>
      <c r="V528" s="126"/>
      <c r="W528" s="126"/>
      <c r="X528" s="126"/>
      <c r="Y528" s="126"/>
      <c r="Z528" s="127"/>
      <c r="AA528" s="127"/>
      <c r="AB528" s="127"/>
      <c r="AC528" s="127"/>
      <c r="AD528" s="261"/>
      <c r="AE528" s="261"/>
      <c r="AF528" s="261"/>
      <c r="AG528" s="261"/>
    </row>
    <row r="529" ht="34.5" hidden="1" customHeight="1">
      <c r="A529" s="111"/>
      <c r="B529" s="127"/>
      <c r="C529" s="111"/>
      <c r="D529" s="111"/>
      <c r="E529" s="111"/>
      <c r="F529" s="111"/>
      <c r="G529" s="111"/>
      <c r="H529" s="111"/>
      <c r="I529" s="127"/>
      <c r="J529" s="111"/>
      <c r="K529" s="257"/>
      <c r="L529" s="111"/>
      <c r="M529" s="127"/>
      <c r="N529" s="270"/>
      <c r="O529" s="111"/>
      <c r="P529" s="111"/>
      <c r="Q529" s="128"/>
      <c r="R529" s="124"/>
      <c r="S529" s="125"/>
      <c r="T529" s="126"/>
      <c r="U529" s="126"/>
      <c r="V529" s="126"/>
      <c r="W529" s="126"/>
      <c r="X529" s="126"/>
      <c r="Y529" s="126"/>
      <c r="Z529" s="127"/>
      <c r="AA529" s="127"/>
      <c r="AB529" s="127"/>
      <c r="AC529" s="127"/>
      <c r="AD529" s="261"/>
      <c r="AE529" s="261"/>
      <c r="AF529" s="261"/>
      <c r="AG529" s="261"/>
    </row>
    <row r="530" ht="34.5" hidden="1" customHeight="1">
      <c r="A530" s="111"/>
      <c r="B530" s="127"/>
      <c r="C530" s="111"/>
      <c r="D530" s="111"/>
      <c r="E530" s="111"/>
      <c r="F530" s="111"/>
      <c r="G530" s="111"/>
      <c r="H530" s="111"/>
      <c r="I530" s="127"/>
      <c r="J530" s="111"/>
      <c r="K530" s="257"/>
      <c r="L530" s="111"/>
      <c r="M530" s="127"/>
      <c r="N530" s="270"/>
      <c r="O530" s="111"/>
      <c r="P530" s="111"/>
      <c r="Q530" s="128"/>
      <c r="R530" s="124"/>
      <c r="S530" s="125"/>
      <c r="T530" s="126"/>
      <c r="U530" s="126"/>
      <c r="V530" s="126"/>
      <c r="W530" s="126"/>
      <c r="X530" s="126"/>
      <c r="Y530" s="126"/>
      <c r="Z530" s="127"/>
      <c r="AA530" s="127"/>
      <c r="AB530" s="127"/>
      <c r="AC530" s="127"/>
      <c r="AD530" s="261"/>
      <c r="AE530" s="261"/>
      <c r="AF530" s="261"/>
      <c r="AG530" s="261"/>
    </row>
    <row r="531" ht="34.5" hidden="1" customHeight="1">
      <c r="A531" s="111"/>
      <c r="B531" s="127"/>
      <c r="C531" s="111"/>
      <c r="D531" s="111"/>
      <c r="E531" s="111"/>
      <c r="F531" s="111"/>
      <c r="G531" s="111"/>
      <c r="H531" s="111"/>
      <c r="I531" s="127"/>
      <c r="J531" s="111"/>
      <c r="K531" s="257"/>
      <c r="L531" s="111"/>
      <c r="M531" s="127"/>
      <c r="N531" s="270"/>
      <c r="O531" s="111"/>
      <c r="P531" s="111"/>
      <c r="Q531" s="128"/>
      <c r="R531" s="124"/>
      <c r="S531" s="125"/>
      <c r="T531" s="126"/>
      <c r="U531" s="126"/>
      <c r="V531" s="126"/>
      <c r="W531" s="126"/>
      <c r="X531" s="126"/>
      <c r="Y531" s="126"/>
      <c r="Z531" s="127"/>
      <c r="AA531" s="127"/>
      <c r="AB531" s="127"/>
      <c r="AC531" s="127"/>
      <c r="AD531" s="261"/>
      <c r="AE531" s="261"/>
      <c r="AF531" s="261"/>
      <c r="AG531" s="261"/>
    </row>
    <row r="532" ht="34.5" hidden="1" customHeight="1">
      <c r="A532" s="111"/>
      <c r="B532" s="127"/>
      <c r="C532" s="111"/>
      <c r="D532" s="111"/>
      <c r="E532" s="111"/>
      <c r="F532" s="111"/>
      <c r="G532" s="111"/>
      <c r="H532" s="111"/>
      <c r="I532" s="127"/>
      <c r="J532" s="111"/>
      <c r="K532" s="257"/>
      <c r="L532" s="111"/>
      <c r="M532" s="127"/>
      <c r="N532" s="270"/>
      <c r="O532" s="111"/>
      <c r="P532" s="111"/>
      <c r="Q532" s="128"/>
      <c r="R532" s="124"/>
      <c r="S532" s="125"/>
      <c r="T532" s="126"/>
      <c r="U532" s="126"/>
      <c r="V532" s="126"/>
      <c r="W532" s="126"/>
      <c r="X532" s="126"/>
      <c r="Y532" s="126"/>
      <c r="Z532" s="127"/>
      <c r="AA532" s="127"/>
      <c r="AB532" s="127"/>
      <c r="AC532" s="127"/>
      <c r="AD532" s="261"/>
      <c r="AE532" s="261"/>
      <c r="AF532" s="261"/>
      <c r="AG532" s="261"/>
    </row>
    <row r="533" ht="34.5" hidden="1" customHeight="1">
      <c r="A533" s="111"/>
      <c r="B533" s="127"/>
      <c r="C533" s="111"/>
      <c r="D533" s="111"/>
      <c r="E533" s="111"/>
      <c r="F533" s="111"/>
      <c r="G533" s="111"/>
      <c r="H533" s="111"/>
      <c r="I533" s="127"/>
      <c r="J533" s="111"/>
      <c r="K533" s="257"/>
      <c r="L533" s="111"/>
      <c r="M533" s="127"/>
      <c r="N533" s="270"/>
      <c r="O533" s="111"/>
      <c r="P533" s="111"/>
      <c r="Q533" s="128"/>
      <c r="R533" s="124"/>
      <c r="S533" s="125"/>
      <c r="T533" s="126"/>
      <c r="U533" s="126"/>
      <c r="V533" s="126"/>
      <c r="W533" s="126"/>
      <c r="X533" s="126"/>
      <c r="Y533" s="126"/>
      <c r="Z533" s="127"/>
      <c r="AA533" s="127"/>
      <c r="AB533" s="127"/>
      <c r="AC533" s="127"/>
      <c r="AD533" s="261"/>
      <c r="AE533" s="261"/>
      <c r="AF533" s="261"/>
      <c r="AG533" s="261"/>
    </row>
    <row r="534" ht="34.5" hidden="1" customHeight="1">
      <c r="A534" s="111"/>
      <c r="B534" s="127"/>
      <c r="C534" s="111"/>
      <c r="D534" s="111"/>
      <c r="E534" s="111"/>
      <c r="F534" s="111"/>
      <c r="G534" s="111"/>
      <c r="H534" s="111"/>
      <c r="I534" s="127"/>
      <c r="J534" s="111"/>
      <c r="K534" s="257"/>
      <c r="L534" s="111"/>
      <c r="M534" s="127"/>
      <c r="N534" s="270"/>
      <c r="O534" s="111"/>
      <c r="P534" s="111"/>
      <c r="Q534" s="128"/>
      <c r="R534" s="124"/>
      <c r="S534" s="125"/>
      <c r="T534" s="126"/>
      <c r="U534" s="126"/>
      <c r="V534" s="126"/>
      <c r="W534" s="126"/>
      <c r="X534" s="126"/>
      <c r="Y534" s="126"/>
      <c r="Z534" s="127"/>
      <c r="AA534" s="127"/>
      <c r="AB534" s="127"/>
      <c r="AC534" s="127"/>
      <c r="AD534" s="261"/>
      <c r="AE534" s="261"/>
      <c r="AF534" s="261"/>
      <c r="AG534" s="261"/>
    </row>
    <row r="535" ht="34.5" hidden="1" customHeight="1">
      <c r="A535" s="111"/>
      <c r="B535" s="127"/>
      <c r="C535" s="111"/>
      <c r="D535" s="111"/>
      <c r="E535" s="111"/>
      <c r="F535" s="111"/>
      <c r="G535" s="111"/>
      <c r="H535" s="111"/>
      <c r="I535" s="127"/>
      <c r="J535" s="111"/>
      <c r="K535" s="257"/>
      <c r="L535" s="111"/>
      <c r="M535" s="127"/>
      <c r="N535" s="270"/>
      <c r="O535" s="111"/>
      <c r="P535" s="111"/>
      <c r="Q535" s="128"/>
      <c r="R535" s="124"/>
      <c r="S535" s="125"/>
      <c r="T535" s="126"/>
      <c r="U535" s="126"/>
      <c r="V535" s="126"/>
      <c r="W535" s="126"/>
      <c r="X535" s="126"/>
      <c r="Y535" s="126"/>
      <c r="Z535" s="127"/>
      <c r="AA535" s="127"/>
      <c r="AB535" s="127"/>
      <c r="AC535" s="127"/>
      <c r="AD535" s="261"/>
      <c r="AE535" s="261"/>
      <c r="AF535" s="261"/>
      <c r="AG535" s="261"/>
    </row>
    <row r="536" ht="34.5" hidden="1" customHeight="1">
      <c r="A536" s="111"/>
      <c r="B536" s="127"/>
      <c r="C536" s="111"/>
      <c r="D536" s="111"/>
      <c r="E536" s="111"/>
      <c r="F536" s="111"/>
      <c r="G536" s="111"/>
      <c r="H536" s="111"/>
      <c r="I536" s="127"/>
      <c r="J536" s="111"/>
      <c r="K536" s="257"/>
      <c r="L536" s="111"/>
      <c r="M536" s="127"/>
      <c r="N536" s="270"/>
      <c r="O536" s="111"/>
      <c r="P536" s="111"/>
      <c r="Q536" s="128"/>
      <c r="R536" s="124"/>
      <c r="S536" s="125"/>
      <c r="T536" s="126"/>
      <c r="U536" s="126"/>
      <c r="V536" s="126"/>
      <c r="W536" s="126"/>
      <c r="X536" s="126"/>
      <c r="Y536" s="126"/>
      <c r="Z536" s="127"/>
      <c r="AA536" s="127"/>
      <c r="AB536" s="127"/>
      <c r="AC536" s="127"/>
      <c r="AD536" s="261"/>
      <c r="AE536" s="261"/>
      <c r="AF536" s="261"/>
      <c r="AG536" s="261"/>
    </row>
    <row r="537" ht="34.5" hidden="1" customHeight="1">
      <c r="A537" s="111"/>
      <c r="B537" s="127"/>
      <c r="C537" s="111"/>
      <c r="D537" s="111"/>
      <c r="E537" s="111"/>
      <c r="F537" s="111"/>
      <c r="G537" s="111"/>
      <c r="H537" s="111"/>
      <c r="I537" s="127"/>
      <c r="J537" s="111"/>
      <c r="K537" s="257"/>
      <c r="L537" s="111"/>
      <c r="M537" s="127"/>
      <c r="N537" s="270"/>
      <c r="O537" s="111"/>
      <c r="P537" s="111"/>
      <c r="Q537" s="128"/>
      <c r="R537" s="124"/>
      <c r="S537" s="125"/>
      <c r="T537" s="126"/>
      <c r="U537" s="126"/>
      <c r="V537" s="126"/>
      <c r="W537" s="126"/>
      <c r="X537" s="126"/>
      <c r="Y537" s="126"/>
      <c r="Z537" s="127"/>
      <c r="AA537" s="127"/>
      <c r="AB537" s="127"/>
      <c r="AC537" s="127"/>
      <c r="AD537" s="261"/>
      <c r="AE537" s="261"/>
      <c r="AF537" s="261"/>
      <c r="AG537" s="261"/>
    </row>
    <row r="538" ht="34.5" hidden="1" customHeight="1">
      <c r="A538" s="111"/>
      <c r="B538" s="127"/>
      <c r="C538" s="111"/>
      <c r="D538" s="111"/>
      <c r="E538" s="111"/>
      <c r="F538" s="111"/>
      <c r="G538" s="111"/>
      <c r="H538" s="111"/>
      <c r="I538" s="127"/>
      <c r="J538" s="111"/>
      <c r="K538" s="257"/>
      <c r="L538" s="111"/>
      <c r="M538" s="127"/>
      <c r="N538" s="270"/>
      <c r="O538" s="111"/>
      <c r="P538" s="111"/>
      <c r="Q538" s="128"/>
      <c r="R538" s="124"/>
      <c r="S538" s="125"/>
      <c r="T538" s="126"/>
      <c r="U538" s="126"/>
      <c r="V538" s="126"/>
      <c r="W538" s="126"/>
      <c r="X538" s="126"/>
      <c r="Y538" s="126"/>
      <c r="Z538" s="127"/>
      <c r="AA538" s="127"/>
      <c r="AB538" s="127"/>
      <c r="AC538" s="127"/>
      <c r="AD538" s="261"/>
      <c r="AE538" s="261"/>
      <c r="AF538" s="261"/>
      <c r="AG538" s="261"/>
    </row>
    <row r="539" ht="34.5" hidden="1" customHeight="1">
      <c r="A539" s="111"/>
      <c r="B539" s="127"/>
      <c r="C539" s="111"/>
      <c r="D539" s="111"/>
      <c r="E539" s="111"/>
      <c r="F539" s="111"/>
      <c r="G539" s="111"/>
      <c r="H539" s="111"/>
      <c r="I539" s="127"/>
      <c r="J539" s="111"/>
      <c r="K539" s="257"/>
      <c r="L539" s="111"/>
      <c r="M539" s="127"/>
      <c r="N539" s="270"/>
      <c r="O539" s="111"/>
      <c r="P539" s="111"/>
      <c r="Q539" s="128"/>
      <c r="R539" s="124"/>
      <c r="S539" s="125"/>
      <c r="T539" s="126"/>
      <c r="U539" s="126"/>
      <c r="V539" s="126"/>
      <c r="W539" s="126"/>
      <c r="X539" s="126"/>
      <c r="Y539" s="126"/>
      <c r="Z539" s="127"/>
      <c r="AA539" s="127"/>
      <c r="AB539" s="127"/>
      <c r="AC539" s="127"/>
      <c r="AD539" s="261"/>
      <c r="AE539" s="261"/>
      <c r="AF539" s="261"/>
      <c r="AG539" s="261"/>
    </row>
    <row r="540" ht="34.5" hidden="1" customHeight="1">
      <c r="A540" s="111"/>
      <c r="B540" s="127"/>
      <c r="C540" s="111"/>
      <c r="D540" s="111"/>
      <c r="E540" s="111"/>
      <c r="F540" s="111"/>
      <c r="G540" s="111"/>
      <c r="H540" s="111"/>
      <c r="I540" s="127"/>
      <c r="J540" s="111"/>
      <c r="K540" s="257"/>
      <c r="L540" s="111"/>
      <c r="M540" s="127"/>
      <c r="N540" s="270"/>
      <c r="O540" s="111"/>
      <c r="P540" s="111"/>
      <c r="Q540" s="128"/>
      <c r="R540" s="124"/>
      <c r="S540" s="125"/>
      <c r="T540" s="126"/>
      <c r="U540" s="126"/>
      <c r="V540" s="126"/>
      <c r="W540" s="126"/>
      <c r="X540" s="126"/>
      <c r="Y540" s="126"/>
      <c r="Z540" s="127"/>
      <c r="AA540" s="127"/>
      <c r="AB540" s="127"/>
      <c r="AC540" s="127"/>
      <c r="AD540" s="261"/>
      <c r="AE540" s="261"/>
      <c r="AF540" s="261"/>
      <c r="AG540" s="261"/>
    </row>
    <row r="541" ht="34.5" hidden="1" customHeight="1">
      <c r="A541" s="111"/>
      <c r="B541" s="127"/>
      <c r="C541" s="111"/>
      <c r="D541" s="111"/>
      <c r="E541" s="111"/>
      <c r="F541" s="111"/>
      <c r="G541" s="111"/>
      <c r="H541" s="111"/>
      <c r="I541" s="127"/>
      <c r="J541" s="111"/>
      <c r="K541" s="257"/>
      <c r="L541" s="111"/>
      <c r="M541" s="127"/>
      <c r="N541" s="270"/>
      <c r="O541" s="111"/>
      <c r="P541" s="111"/>
      <c r="Q541" s="128"/>
      <c r="R541" s="124"/>
      <c r="S541" s="125"/>
      <c r="T541" s="126"/>
      <c r="U541" s="126"/>
      <c r="V541" s="126"/>
      <c r="W541" s="126"/>
      <c r="X541" s="126"/>
      <c r="Y541" s="126"/>
      <c r="Z541" s="127"/>
      <c r="AA541" s="127"/>
      <c r="AB541" s="127"/>
      <c r="AC541" s="127"/>
      <c r="AD541" s="261"/>
      <c r="AE541" s="261"/>
      <c r="AF541" s="261"/>
      <c r="AG541" s="261"/>
    </row>
    <row r="542" ht="34.5" hidden="1" customHeight="1">
      <c r="A542" s="111"/>
      <c r="B542" s="127"/>
      <c r="C542" s="111"/>
      <c r="D542" s="111"/>
      <c r="E542" s="111"/>
      <c r="F542" s="111"/>
      <c r="G542" s="111"/>
      <c r="H542" s="111"/>
      <c r="I542" s="127"/>
      <c r="J542" s="111"/>
      <c r="K542" s="257"/>
      <c r="L542" s="111"/>
      <c r="M542" s="127"/>
      <c r="N542" s="270"/>
      <c r="O542" s="111"/>
      <c r="P542" s="111"/>
      <c r="Q542" s="128"/>
      <c r="R542" s="124"/>
      <c r="S542" s="125"/>
      <c r="T542" s="126"/>
      <c r="U542" s="126"/>
      <c r="V542" s="126"/>
      <c r="W542" s="126"/>
      <c r="X542" s="126"/>
      <c r="Y542" s="126"/>
      <c r="Z542" s="127"/>
      <c r="AA542" s="127"/>
      <c r="AB542" s="127"/>
      <c r="AC542" s="127"/>
      <c r="AD542" s="261"/>
      <c r="AE542" s="261"/>
      <c r="AF542" s="261"/>
      <c r="AG542" s="261"/>
    </row>
    <row r="543" ht="34.5" hidden="1" customHeight="1">
      <c r="A543" s="111"/>
      <c r="B543" s="127"/>
      <c r="C543" s="111"/>
      <c r="D543" s="111"/>
      <c r="E543" s="111"/>
      <c r="F543" s="111"/>
      <c r="G543" s="111"/>
      <c r="H543" s="111"/>
      <c r="I543" s="127"/>
      <c r="J543" s="111"/>
      <c r="K543" s="257"/>
      <c r="L543" s="111"/>
      <c r="M543" s="127"/>
      <c r="N543" s="270"/>
      <c r="O543" s="111"/>
      <c r="P543" s="111"/>
      <c r="Q543" s="128"/>
      <c r="R543" s="124"/>
      <c r="S543" s="125"/>
      <c r="T543" s="126"/>
      <c r="U543" s="126"/>
      <c r="V543" s="126"/>
      <c r="W543" s="126"/>
      <c r="X543" s="126"/>
      <c r="Y543" s="126"/>
      <c r="Z543" s="127"/>
      <c r="AA543" s="127"/>
      <c r="AB543" s="127"/>
      <c r="AC543" s="127"/>
      <c r="AD543" s="261"/>
      <c r="AE543" s="261"/>
      <c r="AF543" s="261"/>
      <c r="AG543" s="261"/>
    </row>
    <row r="544" ht="34.5" hidden="1" customHeight="1">
      <c r="A544" s="111"/>
      <c r="B544" s="127"/>
      <c r="C544" s="111"/>
      <c r="D544" s="111"/>
      <c r="E544" s="111"/>
      <c r="F544" s="111"/>
      <c r="G544" s="111"/>
      <c r="H544" s="111"/>
      <c r="I544" s="127"/>
      <c r="J544" s="111"/>
      <c r="K544" s="257"/>
      <c r="L544" s="111"/>
      <c r="M544" s="127"/>
      <c r="N544" s="270"/>
      <c r="O544" s="111"/>
      <c r="P544" s="111"/>
      <c r="Q544" s="128"/>
      <c r="R544" s="124"/>
      <c r="S544" s="125"/>
      <c r="T544" s="126"/>
      <c r="U544" s="126"/>
      <c r="V544" s="126"/>
      <c r="W544" s="126"/>
      <c r="X544" s="126"/>
      <c r="Y544" s="126"/>
      <c r="Z544" s="127"/>
      <c r="AA544" s="127"/>
      <c r="AB544" s="127"/>
      <c r="AC544" s="127"/>
      <c r="AD544" s="261"/>
      <c r="AE544" s="261"/>
      <c r="AF544" s="261"/>
      <c r="AG544" s="261"/>
    </row>
    <row r="545" ht="34.5" hidden="1" customHeight="1">
      <c r="A545" s="111"/>
      <c r="B545" s="127"/>
      <c r="C545" s="111"/>
      <c r="D545" s="111"/>
      <c r="E545" s="111"/>
      <c r="F545" s="111"/>
      <c r="G545" s="111"/>
      <c r="H545" s="111"/>
      <c r="I545" s="127"/>
      <c r="J545" s="111"/>
      <c r="K545" s="257"/>
      <c r="L545" s="111"/>
      <c r="M545" s="127"/>
      <c r="N545" s="270"/>
      <c r="O545" s="111"/>
      <c r="P545" s="111"/>
      <c r="Q545" s="128"/>
      <c r="R545" s="124"/>
      <c r="S545" s="125"/>
      <c r="T545" s="126"/>
      <c r="U545" s="126"/>
      <c r="V545" s="126"/>
      <c r="W545" s="126"/>
      <c r="X545" s="126"/>
      <c r="Y545" s="126"/>
      <c r="Z545" s="127"/>
      <c r="AA545" s="127"/>
      <c r="AB545" s="127"/>
      <c r="AC545" s="127"/>
      <c r="AD545" s="261"/>
      <c r="AE545" s="261"/>
      <c r="AF545" s="261"/>
      <c r="AG545" s="261"/>
    </row>
    <row r="546" ht="34.5" hidden="1" customHeight="1">
      <c r="A546" s="111"/>
      <c r="B546" s="127"/>
      <c r="C546" s="111"/>
      <c r="D546" s="111"/>
      <c r="E546" s="111"/>
      <c r="F546" s="111"/>
      <c r="G546" s="111"/>
      <c r="H546" s="111"/>
      <c r="I546" s="127"/>
      <c r="J546" s="111"/>
      <c r="K546" s="257"/>
      <c r="L546" s="111"/>
      <c r="M546" s="127"/>
      <c r="N546" s="270"/>
      <c r="O546" s="111"/>
      <c r="P546" s="111"/>
      <c r="Q546" s="128"/>
      <c r="R546" s="124"/>
      <c r="S546" s="125"/>
      <c r="T546" s="126"/>
      <c r="U546" s="126"/>
      <c r="V546" s="126"/>
      <c r="W546" s="126"/>
      <c r="X546" s="126"/>
      <c r="Y546" s="126"/>
      <c r="Z546" s="127"/>
      <c r="AA546" s="127"/>
      <c r="AB546" s="127"/>
      <c r="AC546" s="127"/>
      <c r="AD546" s="261"/>
      <c r="AE546" s="261"/>
      <c r="AF546" s="261"/>
      <c r="AG546" s="261"/>
    </row>
    <row r="547" ht="34.5" hidden="1" customHeight="1">
      <c r="A547" s="111"/>
      <c r="B547" s="127"/>
      <c r="C547" s="111"/>
      <c r="D547" s="111"/>
      <c r="E547" s="111"/>
      <c r="F547" s="111"/>
      <c r="G547" s="111"/>
      <c r="H547" s="111"/>
      <c r="I547" s="127"/>
      <c r="J547" s="111"/>
      <c r="K547" s="257"/>
      <c r="L547" s="111"/>
      <c r="M547" s="127"/>
      <c r="N547" s="270"/>
      <c r="O547" s="111"/>
      <c r="P547" s="111"/>
      <c r="Q547" s="128"/>
      <c r="R547" s="124"/>
      <c r="S547" s="125"/>
      <c r="T547" s="126"/>
      <c r="U547" s="126"/>
      <c r="V547" s="126"/>
      <c r="W547" s="126"/>
      <c r="X547" s="126"/>
      <c r="Y547" s="126"/>
      <c r="Z547" s="127"/>
      <c r="AA547" s="127"/>
      <c r="AB547" s="127"/>
      <c r="AC547" s="127"/>
      <c r="AD547" s="261"/>
      <c r="AE547" s="261"/>
      <c r="AF547" s="261"/>
      <c r="AG547" s="261"/>
    </row>
    <row r="548" ht="34.5" hidden="1" customHeight="1">
      <c r="A548" s="111"/>
      <c r="B548" s="127"/>
      <c r="C548" s="111"/>
      <c r="D548" s="111"/>
      <c r="E548" s="111"/>
      <c r="F548" s="111"/>
      <c r="G548" s="111"/>
      <c r="H548" s="111"/>
      <c r="I548" s="127"/>
      <c r="J548" s="111"/>
      <c r="K548" s="257"/>
      <c r="L548" s="111"/>
      <c r="M548" s="127"/>
      <c r="N548" s="270"/>
      <c r="O548" s="111"/>
      <c r="P548" s="111"/>
      <c r="Q548" s="128"/>
      <c r="R548" s="124"/>
      <c r="S548" s="125"/>
      <c r="T548" s="126"/>
      <c r="U548" s="126"/>
      <c r="V548" s="126"/>
      <c r="W548" s="126"/>
      <c r="X548" s="126"/>
      <c r="Y548" s="126"/>
      <c r="Z548" s="127"/>
      <c r="AA548" s="127"/>
      <c r="AB548" s="127"/>
      <c r="AC548" s="127"/>
      <c r="AD548" s="261"/>
      <c r="AE548" s="261"/>
      <c r="AF548" s="261"/>
      <c r="AG548" s="261"/>
    </row>
    <row r="549" ht="34.5" hidden="1" customHeight="1">
      <c r="A549" s="111"/>
      <c r="B549" s="127"/>
      <c r="C549" s="111"/>
      <c r="D549" s="111"/>
      <c r="E549" s="111"/>
      <c r="F549" s="111"/>
      <c r="G549" s="111"/>
      <c r="H549" s="111"/>
      <c r="I549" s="127"/>
      <c r="J549" s="111"/>
      <c r="K549" s="257"/>
      <c r="L549" s="111"/>
      <c r="M549" s="127"/>
      <c r="N549" s="270"/>
      <c r="O549" s="111"/>
      <c r="P549" s="111"/>
      <c r="Q549" s="128"/>
      <c r="R549" s="124"/>
      <c r="S549" s="125"/>
      <c r="T549" s="126"/>
      <c r="U549" s="126"/>
      <c r="V549" s="126"/>
      <c r="W549" s="126"/>
      <c r="X549" s="126"/>
      <c r="Y549" s="126"/>
      <c r="Z549" s="127"/>
      <c r="AA549" s="127"/>
      <c r="AB549" s="127"/>
      <c r="AC549" s="127"/>
      <c r="AD549" s="261"/>
      <c r="AE549" s="261"/>
      <c r="AF549" s="261"/>
      <c r="AG549" s="261"/>
    </row>
    <row r="550" ht="34.5" hidden="1" customHeight="1">
      <c r="A550" s="111"/>
      <c r="B550" s="127"/>
      <c r="C550" s="111"/>
      <c r="D550" s="111"/>
      <c r="E550" s="111"/>
      <c r="F550" s="111"/>
      <c r="G550" s="111"/>
      <c r="H550" s="111"/>
      <c r="I550" s="127"/>
      <c r="J550" s="111"/>
      <c r="K550" s="257"/>
      <c r="L550" s="111"/>
      <c r="M550" s="127"/>
      <c r="N550" s="270"/>
      <c r="O550" s="111"/>
      <c r="P550" s="111"/>
      <c r="Q550" s="128"/>
      <c r="R550" s="124"/>
      <c r="S550" s="125"/>
      <c r="T550" s="126"/>
      <c r="U550" s="126"/>
      <c r="V550" s="126"/>
      <c r="W550" s="126"/>
      <c r="X550" s="126"/>
      <c r="Y550" s="126"/>
      <c r="Z550" s="127"/>
      <c r="AA550" s="127"/>
      <c r="AB550" s="127"/>
      <c r="AC550" s="127"/>
      <c r="AD550" s="261"/>
      <c r="AE550" s="261"/>
      <c r="AF550" s="261"/>
      <c r="AG550" s="261"/>
    </row>
    <row r="551" ht="34.5" hidden="1" customHeight="1">
      <c r="A551" s="111"/>
      <c r="B551" s="127"/>
      <c r="C551" s="111"/>
      <c r="D551" s="111"/>
      <c r="E551" s="111"/>
      <c r="F551" s="111"/>
      <c r="G551" s="111"/>
      <c r="H551" s="111"/>
      <c r="I551" s="127"/>
      <c r="J551" s="111"/>
      <c r="K551" s="257"/>
      <c r="L551" s="111"/>
      <c r="M551" s="127"/>
      <c r="N551" s="270"/>
      <c r="O551" s="111"/>
      <c r="P551" s="111"/>
      <c r="Q551" s="128"/>
      <c r="R551" s="124"/>
      <c r="S551" s="125"/>
      <c r="T551" s="126"/>
      <c r="U551" s="126"/>
      <c r="V551" s="126"/>
      <c r="W551" s="126"/>
      <c r="X551" s="126"/>
      <c r="Y551" s="126"/>
      <c r="Z551" s="127"/>
      <c r="AA551" s="127"/>
      <c r="AB551" s="127"/>
      <c r="AC551" s="127"/>
      <c r="AD551" s="261"/>
      <c r="AE551" s="261"/>
      <c r="AF551" s="261"/>
      <c r="AG551" s="261"/>
    </row>
    <row r="552" ht="34.5" hidden="1" customHeight="1">
      <c r="A552" s="111"/>
      <c r="B552" s="127"/>
      <c r="C552" s="111"/>
      <c r="D552" s="111"/>
      <c r="E552" s="111"/>
      <c r="F552" s="111"/>
      <c r="G552" s="111"/>
      <c r="H552" s="111"/>
      <c r="I552" s="127"/>
      <c r="J552" s="111"/>
      <c r="K552" s="257"/>
      <c r="L552" s="111"/>
      <c r="M552" s="127"/>
      <c r="N552" s="270"/>
      <c r="O552" s="111"/>
      <c r="P552" s="111"/>
      <c r="Q552" s="128"/>
      <c r="R552" s="124"/>
      <c r="S552" s="125"/>
      <c r="T552" s="126"/>
      <c r="U552" s="126"/>
      <c r="V552" s="126"/>
      <c r="W552" s="126"/>
      <c r="X552" s="126"/>
      <c r="Y552" s="126"/>
      <c r="Z552" s="127"/>
      <c r="AA552" s="127"/>
      <c r="AB552" s="127"/>
      <c r="AC552" s="127"/>
      <c r="AD552" s="261"/>
      <c r="AE552" s="261"/>
      <c r="AF552" s="261"/>
      <c r="AG552" s="261"/>
    </row>
    <row r="553" ht="34.5" hidden="1" customHeight="1">
      <c r="A553" s="111"/>
      <c r="B553" s="127"/>
      <c r="C553" s="111"/>
      <c r="D553" s="111"/>
      <c r="E553" s="111"/>
      <c r="F553" s="111"/>
      <c r="G553" s="111"/>
      <c r="H553" s="111"/>
      <c r="I553" s="127"/>
      <c r="J553" s="111"/>
      <c r="K553" s="257"/>
      <c r="L553" s="111"/>
      <c r="M553" s="127"/>
      <c r="N553" s="270"/>
      <c r="O553" s="111"/>
      <c r="P553" s="111"/>
      <c r="Q553" s="128"/>
      <c r="R553" s="124"/>
      <c r="S553" s="125"/>
      <c r="T553" s="126"/>
      <c r="U553" s="126"/>
      <c r="V553" s="126"/>
      <c r="W553" s="126"/>
      <c r="X553" s="126"/>
      <c r="Y553" s="126"/>
      <c r="Z553" s="127"/>
      <c r="AA553" s="127"/>
      <c r="AB553" s="127"/>
      <c r="AC553" s="127"/>
      <c r="AD553" s="261"/>
      <c r="AE553" s="261"/>
      <c r="AF553" s="261"/>
      <c r="AG553" s="261"/>
    </row>
    <row r="554" ht="34.5" hidden="1" customHeight="1">
      <c r="A554" s="111"/>
      <c r="B554" s="127"/>
      <c r="C554" s="111"/>
      <c r="D554" s="111"/>
      <c r="E554" s="111"/>
      <c r="F554" s="111"/>
      <c r="G554" s="111"/>
      <c r="H554" s="111"/>
      <c r="I554" s="127"/>
      <c r="J554" s="111"/>
      <c r="K554" s="257"/>
      <c r="L554" s="111"/>
      <c r="M554" s="127"/>
      <c r="N554" s="270"/>
      <c r="O554" s="111"/>
      <c r="P554" s="111"/>
      <c r="Q554" s="128"/>
      <c r="R554" s="124"/>
      <c r="S554" s="125"/>
      <c r="T554" s="126"/>
      <c r="U554" s="126"/>
      <c r="V554" s="126"/>
      <c r="W554" s="126"/>
      <c r="X554" s="126"/>
      <c r="Y554" s="126"/>
      <c r="Z554" s="127"/>
      <c r="AA554" s="127"/>
      <c r="AB554" s="127"/>
      <c r="AC554" s="127"/>
      <c r="AD554" s="261"/>
      <c r="AE554" s="261"/>
      <c r="AF554" s="261"/>
      <c r="AG554" s="261"/>
    </row>
    <row r="555" ht="34.5" hidden="1" customHeight="1">
      <c r="A555" s="111"/>
      <c r="B555" s="127"/>
      <c r="C555" s="111"/>
      <c r="D555" s="111"/>
      <c r="E555" s="111"/>
      <c r="F555" s="111"/>
      <c r="G555" s="111"/>
      <c r="H555" s="111"/>
      <c r="I555" s="127"/>
      <c r="J555" s="111"/>
      <c r="K555" s="257"/>
      <c r="L555" s="111"/>
      <c r="M555" s="127"/>
      <c r="N555" s="270"/>
      <c r="O555" s="111"/>
      <c r="P555" s="111"/>
      <c r="Q555" s="128"/>
      <c r="R555" s="124"/>
      <c r="S555" s="125"/>
      <c r="T555" s="126"/>
      <c r="U555" s="126"/>
      <c r="V555" s="126"/>
      <c r="W555" s="126"/>
      <c r="X555" s="126"/>
      <c r="Y555" s="126"/>
      <c r="Z555" s="127"/>
      <c r="AA555" s="127"/>
      <c r="AB555" s="127"/>
      <c r="AC555" s="127"/>
      <c r="AD555" s="261"/>
      <c r="AE555" s="261"/>
      <c r="AF555" s="261"/>
      <c r="AG555" s="261"/>
    </row>
    <row r="556" ht="34.5" hidden="1" customHeight="1">
      <c r="A556" s="111"/>
      <c r="B556" s="127"/>
      <c r="C556" s="111"/>
      <c r="D556" s="111"/>
      <c r="E556" s="111"/>
      <c r="F556" s="111"/>
      <c r="G556" s="111"/>
      <c r="H556" s="111"/>
      <c r="I556" s="127"/>
      <c r="J556" s="111"/>
      <c r="K556" s="257"/>
      <c r="L556" s="111"/>
      <c r="M556" s="127"/>
      <c r="N556" s="270"/>
      <c r="O556" s="111"/>
      <c r="P556" s="111"/>
      <c r="Q556" s="128"/>
      <c r="R556" s="124"/>
      <c r="S556" s="125"/>
      <c r="T556" s="126"/>
      <c r="U556" s="126"/>
      <c r="V556" s="126"/>
      <c r="W556" s="126"/>
      <c r="X556" s="126"/>
      <c r="Y556" s="126"/>
      <c r="Z556" s="127"/>
      <c r="AA556" s="127"/>
      <c r="AB556" s="127"/>
      <c r="AC556" s="127"/>
      <c r="AD556" s="261"/>
      <c r="AE556" s="261"/>
      <c r="AF556" s="261"/>
      <c r="AG556" s="261"/>
    </row>
    <row r="557" ht="34.5" hidden="1" customHeight="1">
      <c r="A557" s="111"/>
      <c r="B557" s="127"/>
      <c r="C557" s="111"/>
      <c r="D557" s="111"/>
      <c r="E557" s="111"/>
      <c r="F557" s="111"/>
      <c r="G557" s="111"/>
      <c r="H557" s="111"/>
      <c r="I557" s="127"/>
      <c r="J557" s="111"/>
      <c r="K557" s="257"/>
      <c r="L557" s="111"/>
      <c r="M557" s="127"/>
      <c r="N557" s="270"/>
      <c r="O557" s="111"/>
      <c r="P557" s="111"/>
      <c r="Q557" s="128"/>
      <c r="R557" s="124"/>
      <c r="S557" s="125"/>
      <c r="T557" s="126"/>
      <c r="U557" s="126"/>
      <c r="V557" s="126"/>
      <c r="W557" s="126"/>
      <c r="X557" s="126"/>
      <c r="Y557" s="126"/>
      <c r="Z557" s="127"/>
      <c r="AA557" s="127"/>
      <c r="AB557" s="127"/>
      <c r="AC557" s="127"/>
      <c r="AD557" s="261"/>
      <c r="AE557" s="261"/>
      <c r="AF557" s="261"/>
      <c r="AG557" s="261"/>
    </row>
    <row r="558" ht="34.5" hidden="1" customHeight="1">
      <c r="A558" s="111"/>
      <c r="B558" s="127"/>
      <c r="C558" s="111"/>
      <c r="D558" s="111"/>
      <c r="E558" s="111"/>
      <c r="F558" s="111"/>
      <c r="G558" s="111"/>
      <c r="H558" s="111"/>
      <c r="I558" s="127"/>
      <c r="J558" s="111"/>
      <c r="K558" s="257"/>
      <c r="L558" s="111"/>
      <c r="M558" s="127"/>
      <c r="N558" s="270"/>
      <c r="O558" s="111"/>
      <c r="P558" s="111"/>
      <c r="Q558" s="128"/>
      <c r="R558" s="124"/>
      <c r="S558" s="125"/>
      <c r="T558" s="126"/>
      <c r="U558" s="126"/>
      <c r="V558" s="126"/>
      <c r="W558" s="126"/>
      <c r="X558" s="126"/>
      <c r="Y558" s="126"/>
      <c r="Z558" s="127"/>
      <c r="AA558" s="127"/>
      <c r="AB558" s="127"/>
      <c r="AC558" s="127"/>
      <c r="AD558" s="261"/>
      <c r="AE558" s="261"/>
      <c r="AF558" s="261"/>
      <c r="AG558" s="261"/>
    </row>
    <row r="559" ht="34.5" hidden="1" customHeight="1">
      <c r="A559" s="111"/>
      <c r="B559" s="127"/>
      <c r="C559" s="111"/>
      <c r="D559" s="111"/>
      <c r="E559" s="111"/>
      <c r="F559" s="111"/>
      <c r="G559" s="111"/>
      <c r="H559" s="111"/>
      <c r="I559" s="127"/>
      <c r="J559" s="111"/>
      <c r="K559" s="257"/>
      <c r="L559" s="111"/>
      <c r="M559" s="127"/>
      <c r="N559" s="270"/>
      <c r="O559" s="111"/>
      <c r="P559" s="111"/>
      <c r="Q559" s="128"/>
      <c r="R559" s="124"/>
      <c r="S559" s="125"/>
      <c r="T559" s="126"/>
      <c r="U559" s="126"/>
      <c r="V559" s="126"/>
      <c r="W559" s="126"/>
      <c r="X559" s="126"/>
      <c r="Y559" s="126"/>
      <c r="Z559" s="127"/>
      <c r="AA559" s="127"/>
      <c r="AB559" s="127"/>
      <c r="AC559" s="127"/>
      <c r="AD559" s="261"/>
      <c r="AE559" s="261"/>
      <c r="AF559" s="261"/>
      <c r="AG559" s="261"/>
    </row>
    <row r="560" ht="34.5" hidden="1" customHeight="1">
      <c r="A560" s="111"/>
      <c r="B560" s="127"/>
      <c r="C560" s="111"/>
      <c r="D560" s="111"/>
      <c r="E560" s="111"/>
      <c r="F560" s="111"/>
      <c r="G560" s="111"/>
      <c r="H560" s="111"/>
      <c r="I560" s="127"/>
      <c r="J560" s="111"/>
      <c r="K560" s="257"/>
      <c r="L560" s="111"/>
      <c r="M560" s="127"/>
      <c r="N560" s="270"/>
      <c r="O560" s="111"/>
      <c r="P560" s="111"/>
      <c r="Q560" s="128"/>
      <c r="R560" s="124"/>
      <c r="S560" s="125"/>
      <c r="T560" s="126"/>
      <c r="U560" s="126"/>
      <c r="V560" s="126"/>
      <c r="W560" s="126"/>
      <c r="X560" s="126"/>
      <c r="Y560" s="126"/>
      <c r="Z560" s="127"/>
      <c r="AA560" s="127"/>
      <c r="AB560" s="127"/>
      <c r="AC560" s="127"/>
      <c r="AD560" s="261"/>
      <c r="AE560" s="261"/>
      <c r="AF560" s="261"/>
      <c r="AG560" s="261"/>
    </row>
    <row r="561" ht="34.5" hidden="1" customHeight="1">
      <c r="A561" s="111"/>
      <c r="B561" s="127"/>
      <c r="C561" s="111"/>
      <c r="D561" s="111"/>
      <c r="E561" s="111"/>
      <c r="F561" s="111"/>
      <c r="G561" s="111"/>
      <c r="H561" s="111"/>
      <c r="I561" s="127"/>
      <c r="J561" s="111"/>
      <c r="K561" s="257"/>
      <c r="L561" s="111"/>
      <c r="M561" s="127"/>
      <c r="N561" s="270"/>
      <c r="O561" s="111"/>
      <c r="P561" s="111"/>
      <c r="Q561" s="128"/>
      <c r="R561" s="124"/>
      <c r="S561" s="125"/>
      <c r="T561" s="126"/>
      <c r="U561" s="126"/>
      <c r="V561" s="126"/>
      <c r="W561" s="126"/>
      <c r="X561" s="126"/>
      <c r="Y561" s="126"/>
      <c r="Z561" s="127"/>
      <c r="AA561" s="127"/>
      <c r="AB561" s="127"/>
      <c r="AC561" s="127"/>
      <c r="AD561" s="261"/>
      <c r="AE561" s="261"/>
      <c r="AF561" s="261"/>
      <c r="AG561" s="261"/>
    </row>
    <row r="562" ht="34.5" hidden="1" customHeight="1">
      <c r="A562" s="111"/>
      <c r="B562" s="127"/>
      <c r="C562" s="111"/>
      <c r="D562" s="111"/>
      <c r="E562" s="111"/>
      <c r="F562" s="111"/>
      <c r="G562" s="111"/>
      <c r="H562" s="111"/>
      <c r="I562" s="127"/>
      <c r="J562" s="111"/>
      <c r="K562" s="257"/>
      <c r="L562" s="111"/>
      <c r="M562" s="127"/>
      <c r="N562" s="270"/>
      <c r="O562" s="111"/>
      <c r="P562" s="111"/>
      <c r="Q562" s="128"/>
      <c r="R562" s="124"/>
      <c r="S562" s="125"/>
      <c r="T562" s="126"/>
      <c r="U562" s="126"/>
      <c r="V562" s="126"/>
      <c r="W562" s="126"/>
      <c r="X562" s="126"/>
      <c r="Y562" s="126"/>
      <c r="Z562" s="127"/>
      <c r="AA562" s="127"/>
      <c r="AB562" s="127"/>
      <c r="AC562" s="127"/>
      <c r="AD562" s="261"/>
      <c r="AE562" s="261"/>
      <c r="AF562" s="261"/>
      <c r="AG562" s="261"/>
    </row>
    <row r="563" ht="34.5" hidden="1" customHeight="1">
      <c r="A563" s="111"/>
      <c r="B563" s="127"/>
      <c r="C563" s="111"/>
      <c r="D563" s="111"/>
      <c r="E563" s="111"/>
      <c r="F563" s="111"/>
      <c r="G563" s="111"/>
      <c r="H563" s="111"/>
      <c r="I563" s="127"/>
      <c r="J563" s="111"/>
      <c r="K563" s="257"/>
      <c r="L563" s="111"/>
      <c r="M563" s="127"/>
      <c r="N563" s="270"/>
      <c r="O563" s="111"/>
      <c r="P563" s="111"/>
      <c r="Q563" s="128"/>
      <c r="R563" s="124"/>
      <c r="S563" s="125"/>
      <c r="T563" s="126"/>
      <c r="U563" s="126"/>
      <c r="V563" s="126"/>
      <c r="W563" s="126"/>
      <c r="X563" s="126"/>
      <c r="Y563" s="126"/>
      <c r="Z563" s="127"/>
      <c r="AA563" s="127"/>
      <c r="AB563" s="127"/>
      <c r="AC563" s="127"/>
      <c r="AD563" s="261"/>
      <c r="AE563" s="261"/>
      <c r="AF563" s="261"/>
      <c r="AG563" s="261"/>
    </row>
    <row r="564" ht="34.5" hidden="1" customHeight="1">
      <c r="A564" s="111"/>
      <c r="B564" s="127"/>
      <c r="C564" s="111"/>
      <c r="D564" s="111"/>
      <c r="E564" s="111"/>
      <c r="F564" s="111"/>
      <c r="G564" s="111"/>
      <c r="H564" s="111"/>
      <c r="I564" s="127"/>
      <c r="J564" s="111"/>
      <c r="K564" s="257"/>
      <c r="L564" s="111"/>
      <c r="M564" s="127"/>
      <c r="N564" s="270"/>
      <c r="O564" s="111"/>
      <c r="P564" s="111"/>
      <c r="Q564" s="128"/>
      <c r="R564" s="124"/>
      <c r="S564" s="125"/>
      <c r="T564" s="126"/>
      <c r="U564" s="126"/>
      <c r="V564" s="126"/>
      <c r="W564" s="126"/>
      <c r="X564" s="126"/>
      <c r="Y564" s="126"/>
      <c r="Z564" s="127"/>
      <c r="AA564" s="127"/>
      <c r="AB564" s="127"/>
      <c r="AC564" s="127"/>
      <c r="AD564" s="261"/>
      <c r="AE564" s="261"/>
      <c r="AF564" s="261"/>
      <c r="AG564" s="261"/>
    </row>
    <row r="565" ht="34.5" hidden="1" customHeight="1">
      <c r="A565" s="111"/>
      <c r="B565" s="127"/>
      <c r="C565" s="111"/>
      <c r="D565" s="111"/>
      <c r="E565" s="111"/>
      <c r="F565" s="111"/>
      <c r="G565" s="111"/>
      <c r="H565" s="111"/>
      <c r="I565" s="127"/>
      <c r="J565" s="111"/>
      <c r="K565" s="257"/>
      <c r="L565" s="111"/>
      <c r="M565" s="127"/>
      <c r="N565" s="270"/>
      <c r="O565" s="111"/>
      <c r="P565" s="111"/>
      <c r="Q565" s="128"/>
      <c r="R565" s="124"/>
      <c r="S565" s="125"/>
      <c r="T565" s="126"/>
      <c r="U565" s="126"/>
      <c r="V565" s="126"/>
      <c r="W565" s="126"/>
      <c r="X565" s="126"/>
      <c r="Y565" s="126"/>
      <c r="Z565" s="127"/>
      <c r="AA565" s="127"/>
      <c r="AB565" s="127"/>
      <c r="AC565" s="127"/>
      <c r="AD565" s="261"/>
      <c r="AE565" s="261"/>
      <c r="AF565" s="261"/>
      <c r="AG565" s="261"/>
    </row>
    <row r="566" ht="34.5" hidden="1" customHeight="1">
      <c r="A566" s="111"/>
      <c r="B566" s="127"/>
      <c r="C566" s="111"/>
      <c r="D566" s="111"/>
      <c r="E566" s="111"/>
      <c r="F566" s="111"/>
      <c r="G566" s="111"/>
      <c r="H566" s="111"/>
      <c r="I566" s="127"/>
      <c r="J566" s="111"/>
      <c r="K566" s="257"/>
      <c r="L566" s="111"/>
      <c r="M566" s="127"/>
      <c r="N566" s="270"/>
      <c r="O566" s="111"/>
      <c r="P566" s="111"/>
      <c r="Q566" s="128"/>
      <c r="R566" s="124"/>
      <c r="S566" s="125"/>
      <c r="T566" s="126"/>
      <c r="U566" s="126"/>
      <c r="V566" s="126"/>
      <c r="W566" s="126"/>
      <c r="X566" s="126"/>
      <c r="Y566" s="126"/>
      <c r="Z566" s="127"/>
      <c r="AA566" s="127"/>
      <c r="AB566" s="127"/>
      <c r="AC566" s="127"/>
      <c r="AD566" s="261"/>
      <c r="AE566" s="261"/>
      <c r="AF566" s="261"/>
      <c r="AG566" s="261"/>
    </row>
    <row r="567" ht="34.5" hidden="1" customHeight="1">
      <c r="A567" s="111"/>
      <c r="B567" s="127"/>
      <c r="C567" s="111"/>
      <c r="D567" s="111"/>
      <c r="E567" s="111"/>
      <c r="F567" s="111"/>
      <c r="G567" s="111"/>
      <c r="H567" s="111"/>
      <c r="I567" s="127"/>
      <c r="J567" s="111"/>
      <c r="K567" s="257"/>
      <c r="L567" s="111"/>
      <c r="M567" s="127"/>
      <c r="N567" s="270"/>
      <c r="O567" s="111"/>
      <c r="P567" s="111"/>
      <c r="Q567" s="128"/>
      <c r="R567" s="124"/>
      <c r="S567" s="125"/>
      <c r="T567" s="126"/>
      <c r="U567" s="126"/>
      <c r="V567" s="126"/>
      <c r="W567" s="126"/>
      <c r="X567" s="126"/>
      <c r="Y567" s="126"/>
      <c r="Z567" s="127"/>
      <c r="AA567" s="127"/>
      <c r="AB567" s="127"/>
      <c r="AC567" s="127"/>
      <c r="AD567" s="261"/>
      <c r="AE567" s="261"/>
      <c r="AF567" s="261"/>
      <c r="AG567" s="261"/>
    </row>
    <row r="568" ht="34.5" hidden="1" customHeight="1">
      <c r="A568" s="111"/>
      <c r="B568" s="127"/>
      <c r="C568" s="111"/>
      <c r="D568" s="111"/>
      <c r="E568" s="111"/>
      <c r="F568" s="111"/>
      <c r="G568" s="111"/>
      <c r="H568" s="111"/>
      <c r="I568" s="127"/>
      <c r="J568" s="111"/>
      <c r="K568" s="257"/>
      <c r="L568" s="111"/>
      <c r="M568" s="127"/>
      <c r="N568" s="270"/>
      <c r="O568" s="111"/>
      <c r="P568" s="111"/>
      <c r="Q568" s="128"/>
      <c r="R568" s="124"/>
      <c r="S568" s="125"/>
      <c r="T568" s="126"/>
      <c r="U568" s="126"/>
      <c r="V568" s="126"/>
      <c r="W568" s="126"/>
      <c r="X568" s="126"/>
      <c r="Y568" s="126"/>
      <c r="Z568" s="127"/>
      <c r="AA568" s="127"/>
      <c r="AB568" s="127"/>
      <c r="AC568" s="127"/>
      <c r="AD568" s="261"/>
      <c r="AE568" s="261"/>
      <c r="AF568" s="261"/>
      <c r="AG568" s="261"/>
    </row>
    <row r="569" ht="34.5" hidden="1" customHeight="1">
      <c r="A569" s="111"/>
      <c r="B569" s="127"/>
      <c r="C569" s="111"/>
      <c r="D569" s="111"/>
      <c r="E569" s="111"/>
      <c r="F569" s="111"/>
      <c r="G569" s="111"/>
      <c r="H569" s="111"/>
      <c r="I569" s="127"/>
      <c r="J569" s="111"/>
      <c r="K569" s="257"/>
      <c r="L569" s="111"/>
      <c r="M569" s="127"/>
      <c r="N569" s="270"/>
      <c r="O569" s="111"/>
      <c r="P569" s="111"/>
      <c r="Q569" s="128"/>
      <c r="R569" s="124"/>
      <c r="S569" s="125"/>
      <c r="T569" s="126"/>
      <c r="U569" s="126"/>
      <c r="V569" s="126"/>
      <c r="W569" s="126"/>
      <c r="X569" s="126"/>
      <c r="Y569" s="126"/>
      <c r="Z569" s="127"/>
      <c r="AA569" s="127"/>
      <c r="AB569" s="127"/>
      <c r="AC569" s="127"/>
      <c r="AD569" s="261"/>
      <c r="AE569" s="261"/>
      <c r="AF569" s="261"/>
      <c r="AG569" s="261"/>
    </row>
    <row r="570" ht="34.5" hidden="1" customHeight="1">
      <c r="A570" s="111"/>
      <c r="B570" s="127"/>
      <c r="C570" s="111"/>
      <c r="D570" s="111"/>
      <c r="E570" s="111"/>
      <c r="F570" s="111"/>
      <c r="G570" s="111"/>
      <c r="H570" s="111"/>
      <c r="I570" s="127"/>
      <c r="J570" s="111"/>
      <c r="K570" s="257"/>
      <c r="L570" s="111"/>
      <c r="M570" s="127"/>
      <c r="N570" s="270"/>
      <c r="O570" s="111"/>
      <c r="P570" s="111"/>
      <c r="Q570" s="128"/>
      <c r="R570" s="124"/>
      <c r="S570" s="125"/>
      <c r="T570" s="126"/>
      <c r="U570" s="126"/>
      <c r="V570" s="126"/>
      <c r="W570" s="126"/>
      <c r="X570" s="126"/>
      <c r="Y570" s="126"/>
      <c r="Z570" s="127"/>
      <c r="AA570" s="127"/>
      <c r="AB570" s="127"/>
      <c r="AC570" s="127"/>
      <c r="AD570" s="261"/>
      <c r="AE570" s="261"/>
      <c r="AF570" s="261"/>
      <c r="AG570" s="261"/>
    </row>
    <row r="571" ht="34.5" hidden="1" customHeight="1">
      <c r="A571" s="111"/>
      <c r="B571" s="127"/>
      <c r="C571" s="111"/>
      <c r="D571" s="111"/>
      <c r="E571" s="111"/>
      <c r="F571" s="111"/>
      <c r="G571" s="111"/>
      <c r="H571" s="111"/>
      <c r="I571" s="127"/>
      <c r="J571" s="111"/>
      <c r="K571" s="257"/>
      <c r="L571" s="111"/>
      <c r="M571" s="127"/>
      <c r="N571" s="270"/>
      <c r="O571" s="111"/>
      <c r="P571" s="111"/>
      <c r="Q571" s="128"/>
      <c r="R571" s="124"/>
      <c r="S571" s="125"/>
      <c r="T571" s="126"/>
      <c r="U571" s="126"/>
      <c r="V571" s="126"/>
      <c r="W571" s="126"/>
      <c r="X571" s="126"/>
      <c r="Y571" s="126"/>
      <c r="Z571" s="127"/>
      <c r="AA571" s="127"/>
      <c r="AB571" s="127"/>
      <c r="AC571" s="127"/>
      <c r="AD571" s="261"/>
      <c r="AE571" s="261"/>
      <c r="AF571" s="261"/>
      <c r="AG571" s="261"/>
    </row>
    <row r="572" ht="34.5" hidden="1" customHeight="1">
      <c r="A572" s="111"/>
      <c r="B572" s="127"/>
      <c r="C572" s="111"/>
      <c r="D572" s="111"/>
      <c r="E572" s="111"/>
      <c r="F572" s="111"/>
      <c r="G572" s="111"/>
      <c r="H572" s="111"/>
      <c r="I572" s="127"/>
      <c r="J572" s="111"/>
      <c r="K572" s="257"/>
      <c r="L572" s="111"/>
      <c r="M572" s="127"/>
      <c r="N572" s="270"/>
      <c r="O572" s="111"/>
      <c r="P572" s="111"/>
      <c r="Q572" s="128"/>
      <c r="R572" s="124"/>
      <c r="S572" s="125"/>
      <c r="T572" s="126"/>
      <c r="U572" s="126"/>
      <c r="V572" s="126"/>
      <c r="W572" s="126"/>
      <c r="X572" s="126"/>
      <c r="Y572" s="126"/>
      <c r="Z572" s="127"/>
      <c r="AA572" s="127"/>
      <c r="AB572" s="127"/>
      <c r="AC572" s="127"/>
      <c r="AD572" s="261"/>
      <c r="AE572" s="261"/>
      <c r="AF572" s="261"/>
      <c r="AG572" s="261"/>
    </row>
    <row r="573" ht="34.5" hidden="1" customHeight="1">
      <c r="A573" s="111"/>
      <c r="B573" s="127"/>
      <c r="C573" s="111"/>
      <c r="D573" s="111"/>
      <c r="E573" s="111"/>
      <c r="F573" s="111"/>
      <c r="G573" s="111"/>
      <c r="H573" s="111"/>
      <c r="I573" s="127"/>
      <c r="J573" s="111"/>
      <c r="K573" s="257"/>
      <c r="L573" s="111"/>
      <c r="M573" s="127"/>
      <c r="N573" s="270"/>
      <c r="O573" s="111"/>
      <c r="P573" s="111"/>
      <c r="Q573" s="128"/>
      <c r="R573" s="124"/>
      <c r="S573" s="125"/>
      <c r="T573" s="126"/>
      <c r="U573" s="126"/>
      <c r="V573" s="126"/>
      <c r="W573" s="126"/>
      <c r="X573" s="126"/>
      <c r="Y573" s="126"/>
      <c r="Z573" s="127"/>
      <c r="AA573" s="127"/>
      <c r="AB573" s="127"/>
      <c r="AC573" s="127"/>
      <c r="AD573" s="261"/>
      <c r="AE573" s="261"/>
      <c r="AF573" s="261"/>
      <c r="AG573" s="261"/>
    </row>
    <row r="574" ht="34.5" hidden="1" customHeight="1">
      <c r="A574" s="111"/>
      <c r="B574" s="127"/>
      <c r="C574" s="111"/>
      <c r="D574" s="111"/>
      <c r="E574" s="111"/>
      <c r="F574" s="111"/>
      <c r="G574" s="111"/>
      <c r="H574" s="111"/>
      <c r="I574" s="127"/>
      <c r="J574" s="111"/>
      <c r="K574" s="257"/>
      <c r="L574" s="111"/>
      <c r="M574" s="127"/>
      <c r="N574" s="270"/>
      <c r="O574" s="111"/>
      <c r="P574" s="111"/>
      <c r="Q574" s="128"/>
      <c r="R574" s="124"/>
      <c r="S574" s="125"/>
      <c r="T574" s="126"/>
      <c r="U574" s="126"/>
      <c r="V574" s="126"/>
      <c r="W574" s="126"/>
      <c r="X574" s="126"/>
      <c r="Y574" s="126"/>
      <c r="Z574" s="127"/>
      <c r="AA574" s="127"/>
      <c r="AB574" s="127"/>
      <c r="AC574" s="127"/>
      <c r="AD574" s="261"/>
      <c r="AE574" s="261"/>
      <c r="AF574" s="261"/>
      <c r="AG574" s="261"/>
    </row>
    <row r="575" ht="34.5" hidden="1" customHeight="1">
      <c r="A575" s="111"/>
      <c r="B575" s="127"/>
      <c r="C575" s="111"/>
      <c r="D575" s="111"/>
      <c r="E575" s="111"/>
      <c r="F575" s="111"/>
      <c r="G575" s="111"/>
      <c r="H575" s="111"/>
      <c r="I575" s="127"/>
      <c r="J575" s="111"/>
      <c r="K575" s="257"/>
      <c r="L575" s="111"/>
      <c r="M575" s="127"/>
      <c r="N575" s="270"/>
      <c r="O575" s="111"/>
      <c r="P575" s="111"/>
      <c r="Q575" s="128"/>
      <c r="R575" s="124"/>
      <c r="S575" s="125"/>
      <c r="T575" s="126"/>
      <c r="U575" s="126"/>
      <c r="V575" s="126"/>
      <c r="W575" s="126"/>
      <c r="X575" s="126"/>
      <c r="Y575" s="126"/>
      <c r="Z575" s="127"/>
      <c r="AA575" s="127"/>
      <c r="AB575" s="127"/>
      <c r="AC575" s="127"/>
      <c r="AD575" s="261"/>
      <c r="AE575" s="261"/>
      <c r="AF575" s="261"/>
      <c r="AG575" s="261"/>
    </row>
    <row r="576" ht="34.5" hidden="1" customHeight="1">
      <c r="A576" s="111"/>
      <c r="B576" s="127"/>
      <c r="C576" s="111"/>
      <c r="D576" s="111"/>
      <c r="E576" s="111"/>
      <c r="F576" s="111"/>
      <c r="G576" s="111"/>
      <c r="H576" s="111"/>
      <c r="I576" s="127"/>
      <c r="J576" s="111"/>
      <c r="K576" s="257"/>
      <c r="L576" s="111"/>
      <c r="M576" s="127"/>
      <c r="N576" s="270"/>
      <c r="O576" s="111"/>
      <c r="P576" s="111"/>
      <c r="Q576" s="128"/>
      <c r="R576" s="124"/>
      <c r="S576" s="125"/>
      <c r="T576" s="126"/>
      <c r="U576" s="126"/>
      <c r="V576" s="126"/>
      <c r="W576" s="126"/>
      <c r="X576" s="126"/>
      <c r="Y576" s="126"/>
      <c r="Z576" s="127"/>
      <c r="AA576" s="127"/>
      <c r="AB576" s="127"/>
      <c r="AC576" s="127"/>
      <c r="AD576" s="261"/>
      <c r="AE576" s="261"/>
      <c r="AF576" s="261"/>
      <c r="AG576" s="261"/>
    </row>
    <row r="577" ht="34.5" hidden="1" customHeight="1">
      <c r="A577" s="111"/>
      <c r="B577" s="127"/>
      <c r="C577" s="111"/>
      <c r="D577" s="111"/>
      <c r="E577" s="111"/>
      <c r="F577" s="111"/>
      <c r="G577" s="111"/>
      <c r="H577" s="111"/>
      <c r="I577" s="127"/>
      <c r="J577" s="111"/>
      <c r="K577" s="257"/>
      <c r="L577" s="111"/>
      <c r="M577" s="127"/>
      <c r="N577" s="270"/>
      <c r="O577" s="111"/>
      <c r="P577" s="111"/>
      <c r="Q577" s="128"/>
      <c r="R577" s="124"/>
      <c r="S577" s="125"/>
      <c r="T577" s="126"/>
      <c r="U577" s="126"/>
      <c r="V577" s="126"/>
      <c r="W577" s="126"/>
      <c r="X577" s="126"/>
      <c r="Y577" s="126"/>
      <c r="Z577" s="127"/>
      <c r="AA577" s="127"/>
      <c r="AB577" s="127"/>
      <c r="AC577" s="127"/>
      <c r="AD577" s="261"/>
      <c r="AE577" s="261"/>
      <c r="AF577" s="261"/>
      <c r="AG577" s="261"/>
    </row>
    <row r="578" ht="34.5" hidden="1" customHeight="1">
      <c r="A578" s="111"/>
      <c r="B578" s="127"/>
      <c r="C578" s="111"/>
      <c r="D578" s="111"/>
      <c r="E578" s="111"/>
      <c r="F578" s="111"/>
      <c r="G578" s="111"/>
      <c r="H578" s="111"/>
      <c r="I578" s="127"/>
      <c r="J578" s="111"/>
      <c r="K578" s="257"/>
      <c r="L578" s="111"/>
      <c r="M578" s="127"/>
      <c r="N578" s="270"/>
      <c r="O578" s="111"/>
      <c r="P578" s="111"/>
      <c r="Q578" s="128"/>
      <c r="R578" s="124"/>
      <c r="S578" s="125"/>
      <c r="T578" s="126"/>
      <c r="U578" s="126"/>
      <c r="V578" s="126"/>
      <c r="W578" s="126"/>
      <c r="X578" s="126"/>
      <c r="Y578" s="126"/>
      <c r="Z578" s="127"/>
      <c r="AA578" s="127"/>
      <c r="AB578" s="127"/>
      <c r="AC578" s="127"/>
      <c r="AD578" s="261"/>
      <c r="AE578" s="261"/>
      <c r="AF578" s="261"/>
      <c r="AG578" s="261"/>
    </row>
    <row r="579" ht="34.5" hidden="1" customHeight="1">
      <c r="A579" s="111"/>
      <c r="B579" s="127"/>
      <c r="C579" s="111"/>
      <c r="D579" s="111"/>
      <c r="E579" s="111"/>
      <c r="F579" s="111"/>
      <c r="G579" s="111"/>
      <c r="H579" s="111"/>
      <c r="I579" s="127"/>
      <c r="J579" s="111"/>
      <c r="K579" s="257"/>
      <c r="L579" s="111"/>
      <c r="M579" s="127"/>
      <c r="N579" s="270"/>
      <c r="O579" s="111"/>
      <c r="P579" s="111"/>
      <c r="Q579" s="128"/>
      <c r="R579" s="124"/>
      <c r="S579" s="125"/>
      <c r="T579" s="126"/>
      <c r="U579" s="126"/>
      <c r="V579" s="126"/>
      <c r="W579" s="126"/>
      <c r="X579" s="126"/>
      <c r="Y579" s="126"/>
      <c r="Z579" s="127"/>
      <c r="AA579" s="127"/>
      <c r="AB579" s="127"/>
      <c r="AC579" s="127"/>
      <c r="AD579" s="261"/>
      <c r="AE579" s="261"/>
      <c r="AF579" s="261"/>
      <c r="AG579" s="261"/>
    </row>
    <row r="580" ht="34.5" hidden="1" customHeight="1">
      <c r="A580" s="111"/>
      <c r="B580" s="127"/>
      <c r="C580" s="111"/>
      <c r="D580" s="111"/>
      <c r="E580" s="111"/>
      <c r="F580" s="111"/>
      <c r="G580" s="111"/>
      <c r="H580" s="111"/>
      <c r="I580" s="127"/>
      <c r="J580" s="111"/>
      <c r="K580" s="257"/>
      <c r="L580" s="111"/>
      <c r="M580" s="127"/>
      <c r="N580" s="270"/>
      <c r="O580" s="111"/>
      <c r="P580" s="111"/>
      <c r="Q580" s="128"/>
      <c r="R580" s="124"/>
      <c r="S580" s="125"/>
      <c r="T580" s="126"/>
      <c r="U580" s="126"/>
      <c r="V580" s="126"/>
      <c r="W580" s="126"/>
      <c r="X580" s="126"/>
      <c r="Y580" s="126"/>
      <c r="Z580" s="127"/>
      <c r="AA580" s="127"/>
      <c r="AB580" s="127"/>
      <c r="AC580" s="127"/>
      <c r="AD580" s="261"/>
      <c r="AE580" s="261"/>
      <c r="AF580" s="261"/>
      <c r="AG580" s="261"/>
    </row>
    <row r="581" ht="34.5" hidden="1" customHeight="1">
      <c r="A581" s="111"/>
      <c r="B581" s="127"/>
      <c r="C581" s="111"/>
      <c r="D581" s="111"/>
      <c r="E581" s="111"/>
      <c r="F581" s="111"/>
      <c r="G581" s="111"/>
      <c r="H581" s="111"/>
      <c r="I581" s="127"/>
      <c r="J581" s="111"/>
      <c r="K581" s="257"/>
      <c r="L581" s="111"/>
      <c r="M581" s="127"/>
      <c r="N581" s="270"/>
      <c r="O581" s="111"/>
      <c r="P581" s="111"/>
      <c r="Q581" s="128"/>
      <c r="R581" s="124"/>
      <c r="S581" s="125"/>
      <c r="T581" s="126"/>
      <c r="U581" s="126"/>
      <c r="V581" s="126"/>
      <c r="W581" s="126"/>
      <c r="X581" s="126"/>
      <c r="Y581" s="126"/>
      <c r="Z581" s="127"/>
      <c r="AA581" s="127"/>
      <c r="AB581" s="127"/>
      <c r="AC581" s="127"/>
      <c r="AD581" s="261"/>
      <c r="AE581" s="261"/>
      <c r="AF581" s="261"/>
      <c r="AG581" s="261"/>
    </row>
    <row r="582" ht="34.5" hidden="1" customHeight="1">
      <c r="A582" s="111"/>
      <c r="B582" s="127"/>
      <c r="C582" s="111"/>
      <c r="D582" s="111"/>
      <c r="E582" s="111"/>
      <c r="F582" s="111"/>
      <c r="G582" s="111"/>
      <c r="H582" s="111"/>
      <c r="I582" s="127"/>
      <c r="J582" s="111"/>
      <c r="K582" s="257"/>
      <c r="L582" s="111"/>
      <c r="M582" s="127"/>
      <c r="N582" s="270"/>
      <c r="O582" s="111"/>
      <c r="P582" s="111"/>
      <c r="Q582" s="128"/>
      <c r="R582" s="124"/>
      <c r="S582" s="125"/>
      <c r="T582" s="126"/>
      <c r="U582" s="126"/>
      <c r="V582" s="126"/>
      <c r="W582" s="126"/>
      <c r="X582" s="126"/>
      <c r="Y582" s="126"/>
      <c r="Z582" s="127"/>
      <c r="AA582" s="127"/>
      <c r="AB582" s="127"/>
      <c r="AC582" s="127"/>
      <c r="AD582" s="261"/>
      <c r="AE582" s="261"/>
      <c r="AF582" s="261"/>
      <c r="AG582" s="261"/>
    </row>
    <row r="583" ht="34.5" hidden="1" customHeight="1">
      <c r="A583" s="111"/>
      <c r="B583" s="127"/>
      <c r="C583" s="111"/>
      <c r="D583" s="111"/>
      <c r="E583" s="111"/>
      <c r="F583" s="111"/>
      <c r="G583" s="111"/>
      <c r="H583" s="111"/>
      <c r="I583" s="127"/>
      <c r="J583" s="111"/>
      <c r="K583" s="257"/>
      <c r="L583" s="111"/>
      <c r="M583" s="127"/>
      <c r="N583" s="270"/>
      <c r="O583" s="111"/>
      <c r="P583" s="111"/>
      <c r="Q583" s="128"/>
      <c r="R583" s="124"/>
      <c r="S583" s="125"/>
      <c r="T583" s="126"/>
      <c r="U583" s="126"/>
      <c r="V583" s="126"/>
      <c r="W583" s="126"/>
      <c r="X583" s="126"/>
      <c r="Y583" s="126"/>
      <c r="Z583" s="127"/>
      <c r="AA583" s="127"/>
      <c r="AB583" s="127"/>
      <c r="AC583" s="127"/>
      <c r="AD583" s="261"/>
      <c r="AE583" s="261"/>
      <c r="AF583" s="261"/>
      <c r="AG583" s="261"/>
    </row>
    <row r="584" ht="34.5" hidden="1" customHeight="1">
      <c r="A584" s="111"/>
      <c r="B584" s="127"/>
      <c r="C584" s="111"/>
      <c r="D584" s="111"/>
      <c r="E584" s="111"/>
      <c r="F584" s="111"/>
      <c r="G584" s="111"/>
      <c r="H584" s="111"/>
      <c r="I584" s="127"/>
      <c r="J584" s="111"/>
      <c r="K584" s="257"/>
      <c r="L584" s="111"/>
      <c r="M584" s="127"/>
      <c r="N584" s="270"/>
      <c r="O584" s="111"/>
      <c r="P584" s="111"/>
      <c r="Q584" s="128"/>
      <c r="R584" s="124"/>
      <c r="S584" s="125"/>
      <c r="T584" s="126"/>
      <c r="U584" s="126"/>
      <c r="V584" s="126"/>
      <c r="W584" s="126"/>
      <c r="X584" s="126"/>
      <c r="Y584" s="126"/>
      <c r="Z584" s="127"/>
      <c r="AA584" s="127"/>
      <c r="AB584" s="127"/>
      <c r="AC584" s="127"/>
      <c r="AD584" s="261"/>
      <c r="AE584" s="261"/>
      <c r="AF584" s="261"/>
      <c r="AG584" s="261"/>
    </row>
    <row r="585" ht="34.5" hidden="1" customHeight="1">
      <c r="A585" s="111"/>
      <c r="B585" s="127"/>
      <c r="C585" s="111"/>
      <c r="D585" s="111"/>
      <c r="E585" s="111"/>
      <c r="F585" s="111"/>
      <c r="G585" s="111"/>
      <c r="H585" s="111"/>
      <c r="I585" s="127"/>
      <c r="J585" s="111"/>
      <c r="K585" s="257"/>
      <c r="L585" s="111"/>
      <c r="M585" s="127"/>
      <c r="N585" s="270"/>
      <c r="O585" s="111"/>
      <c r="P585" s="111"/>
      <c r="Q585" s="128"/>
      <c r="R585" s="124"/>
      <c r="S585" s="125"/>
      <c r="T585" s="126"/>
      <c r="U585" s="126"/>
      <c r="V585" s="126"/>
      <c r="W585" s="126"/>
      <c r="X585" s="126"/>
      <c r="Y585" s="126"/>
      <c r="Z585" s="127"/>
      <c r="AA585" s="127"/>
      <c r="AB585" s="127"/>
      <c r="AC585" s="127"/>
      <c r="AD585" s="261"/>
      <c r="AE585" s="261"/>
      <c r="AF585" s="261"/>
      <c r="AG585" s="261"/>
    </row>
    <row r="586" ht="34.5" hidden="1" customHeight="1">
      <c r="A586" s="111"/>
      <c r="B586" s="127"/>
      <c r="C586" s="111"/>
      <c r="D586" s="111"/>
      <c r="E586" s="111"/>
      <c r="F586" s="111"/>
      <c r="G586" s="111"/>
      <c r="H586" s="111"/>
      <c r="I586" s="127"/>
      <c r="J586" s="111"/>
      <c r="K586" s="257"/>
      <c r="L586" s="111"/>
      <c r="M586" s="127"/>
      <c r="N586" s="270"/>
      <c r="O586" s="111"/>
      <c r="P586" s="111"/>
      <c r="Q586" s="128"/>
      <c r="R586" s="124"/>
      <c r="S586" s="125"/>
      <c r="T586" s="126"/>
      <c r="U586" s="126"/>
      <c r="V586" s="126"/>
      <c r="W586" s="126"/>
      <c r="X586" s="126"/>
      <c r="Y586" s="126"/>
      <c r="Z586" s="127"/>
      <c r="AA586" s="127"/>
      <c r="AB586" s="127"/>
      <c r="AC586" s="127"/>
      <c r="AD586" s="261"/>
      <c r="AE586" s="261"/>
      <c r="AF586" s="261"/>
      <c r="AG586" s="261"/>
    </row>
    <row r="587" ht="34.5" hidden="1" customHeight="1">
      <c r="A587" s="111"/>
      <c r="B587" s="127"/>
      <c r="C587" s="111"/>
      <c r="D587" s="111"/>
      <c r="E587" s="111"/>
      <c r="F587" s="111"/>
      <c r="G587" s="111"/>
      <c r="H587" s="111"/>
      <c r="I587" s="127"/>
      <c r="J587" s="111"/>
      <c r="K587" s="257"/>
      <c r="L587" s="111"/>
      <c r="M587" s="127"/>
      <c r="N587" s="270"/>
      <c r="O587" s="111"/>
      <c r="P587" s="111"/>
      <c r="Q587" s="128"/>
      <c r="R587" s="124"/>
      <c r="S587" s="125"/>
      <c r="T587" s="126"/>
      <c r="U587" s="126"/>
      <c r="V587" s="126"/>
      <c r="W587" s="126"/>
      <c r="X587" s="126"/>
      <c r="Y587" s="126"/>
      <c r="Z587" s="127"/>
      <c r="AA587" s="127"/>
      <c r="AB587" s="127"/>
      <c r="AC587" s="127"/>
      <c r="AD587" s="261"/>
      <c r="AE587" s="261"/>
      <c r="AF587" s="261"/>
      <c r="AG587" s="261"/>
    </row>
    <row r="588" ht="34.5" hidden="1" customHeight="1">
      <c r="A588" s="111"/>
      <c r="B588" s="127"/>
      <c r="C588" s="111"/>
      <c r="D588" s="111"/>
      <c r="E588" s="111"/>
      <c r="F588" s="111"/>
      <c r="G588" s="111"/>
      <c r="H588" s="111"/>
      <c r="I588" s="127"/>
      <c r="J588" s="111"/>
      <c r="K588" s="257"/>
      <c r="L588" s="111"/>
      <c r="M588" s="127"/>
      <c r="N588" s="270"/>
      <c r="O588" s="111"/>
      <c r="P588" s="111"/>
      <c r="Q588" s="128"/>
      <c r="R588" s="124"/>
      <c r="S588" s="125"/>
      <c r="T588" s="126"/>
      <c r="U588" s="126"/>
      <c r="V588" s="126"/>
      <c r="W588" s="126"/>
      <c r="X588" s="126"/>
      <c r="Y588" s="126"/>
      <c r="Z588" s="127"/>
      <c r="AA588" s="127"/>
      <c r="AB588" s="127"/>
      <c r="AC588" s="127"/>
      <c r="AD588" s="261"/>
      <c r="AE588" s="261"/>
      <c r="AF588" s="261"/>
      <c r="AG588" s="261"/>
    </row>
    <row r="589" ht="34.5" hidden="1" customHeight="1">
      <c r="A589" s="111"/>
      <c r="B589" s="127"/>
      <c r="C589" s="111"/>
      <c r="D589" s="111"/>
      <c r="E589" s="111"/>
      <c r="F589" s="111"/>
      <c r="G589" s="111"/>
      <c r="H589" s="111"/>
      <c r="I589" s="127"/>
      <c r="J589" s="111"/>
      <c r="K589" s="257"/>
      <c r="L589" s="111"/>
      <c r="M589" s="127"/>
      <c r="N589" s="270"/>
      <c r="O589" s="111"/>
      <c r="P589" s="111"/>
      <c r="Q589" s="128"/>
      <c r="R589" s="124"/>
      <c r="S589" s="125"/>
      <c r="T589" s="126"/>
      <c r="U589" s="126"/>
      <c r="V589" s="126"/>
      <c r="W589" s="126"/>
      <c r="X589" s="126"/>
      <c r="Y589" s="126"/>
      <c r="Z589" s="127"/>
      <c r="AA589" s="127"/>
      <c r="AB589" s="127"/>
      <c r="AC589" s="127"/>
      <c r="AD589" s="261"/>
      <c r="AE589" s="261"/>
      <c r="AF589" s="261"/>
      <c r="AG589" s="261"/>
    </row>
    <row r="590" ht="34.5" hidden="1" customHeight="1">
      <c r="A590" s="111"/>
      <c r="B590" s="127"/>
      <c r="C590" s="111"/>
      <c r="D590" s="111"/>
      <c r="E590" s="111"/>
      <c r="F590" s="111"/>
      <c r="G590" s="111"/>
      <c r="H590" s="111"/>
      <c r="I590" s="127"/>
      <c r="J590" s="111"/>
      <c r="K590" s="257"/>
      <c r="L590" s="111"/>
      <c r="M590" s="127"/>
      <c r="N590" s="270"/>
      <c r="O590" s="111"/>
      <c r="P590" s="111"/>
      <c r="Q590" s="128"/>
      <c r="R590" s="124"/>
      <c r="S590" s="125"/>
      <c r="T590" s="126"/>
      <c r="U590" s="126"/>
      <c r="V590" s="126"/>
      <c r="W590" s="126"/>
      <c r="X590" s="126"/>
      <c r="Y590" s="126"/>
      <c r="Z590" s="127"/>
      <c r="AA590" s="127"/>
      <c r="AB590" s="127"/>
      <c r="AC590" s="127"/>
      <c r="AD590" s="261"/>
      <c r="AE590" s="261"/>
      <c r="AF590" s="261"/>
      <c r="AG590" s="261"/>
    </row>
    <row r="591" ht="34.5" hidden="1" customHeight="1">
      <c r="A591" s="111"/>
      <c r="B591" s="127"/>
      <c r="C591" s="111"/>
      <c r="D591" s="111"/>
      <c r="E591" s="111"/>
      <c r="F591" s="111"/>
      <c r="G591" s="111"/>
      <c r="H591" s="111"/>
      <c r="I591" s="127"/>
      <c r="J591" s="111"/>
      <c r="K591" s="257"/>
      <c r="L591" s="111"/>
      <c r="M591" s="127"/>
      <c r="N591" s="270"/>
      <c r="O591" s="111"/>
      <c r="P591" s="111"/>
      <c r="Q591" s="128"/>
      <c r="R591" s="124"/>
      <c r="S591" s="125"/>
      <c r="T591" s="126"/>
      <c r="U591" s="126"/>
      <c r="V591" s="126"/>
      <c r="W591" s="126"/>
      <c r="X591" s="126"/>
      <c r="Y591" s="126"/>
      <c r="Z591" s="127"/>
      <c r="AA591" s="127"/>
      <c r="AB591" s="127"/>
      <c r="AC591" s="127"/>
      <c r="AD591" s="261"/>
      <c r="AE591" s="261"/>
      <c r="AF591" s="261"/>
      <c r="AG591" s="261"/>
    </row>
    <row r="592" ht="34.5" hidden="1" customHeight="1">
      <c r="A592" s="111"/>
      <c r="B592" s="127"/>
      <c r="C592" s="111"/>
      <c r="D592" s="111"/>
      <c r="E592" s="111"/>
      <c r="F592" s="111"/>
      <c r="G592" s="111"/>
      <c r="H592" s="111"/>
      <c r="I592" s="127"/>
      <c r="J592" s="111"/>
      <c r="K592" s="257"/>
      <c r="L592" s="111"/>
      <c r="M592" s="127"/>
      <c r="N592" s="270"/>
      <c r="O592" s="111"/>
      <c r="P592" s="111"/>
      <c r="Q592" s="128"/>
      <c r="R592" s="124"/>
      <c r="S592" s="125"/>
      <c r="T592" s="126"/>
      <c r="U592" s="126"/>
      <c r="V592" s="126"/>
      <c r="W592" s="126"/>
      <c r="X592" s="126"/>
      <c r="Y592" s="126"/>
      <c r="Z592" s="127"/>
      <c r="AA592" s="127"/>
      <c r="AB592" s="127"/>
      <c r="AC592" s="127"/>
      <c r="AD592" s="261"/>
      <c r="AE592" s="261"/>
      <c r="AF592" s="261"/>
      <c r="AG592" s="261"/>
    </row>
    <row r="593" ht="34.5" hidden="1" customHeight="1">
      <c r="A593" s="111"/>
      <c r="B593" s="127"/>
      <c r="C593" s="111"/>
      <c r="D593" s="111"/>
      <c r="E593" s="111"/>
      <c r="F593" s="111"/>
      <c r="G593" s="111"/>
      <c r="H593" s="111"/>
      <c r="I593" s="127"/>
      <c r="J593" s="111"/>
      <c r="K593" s="257"/>
      <c r="L593" s="111"/>
      <c r="M593" s="127"/>
      <c r="N593" s="270"/>
      <c r="O593" s="111"/>
      <c r="P593" s="111"/>
      <c r="Q593" s="128"/>
      <c r="R593" s="124"/>
      <c r="S593" s="125"/>
      <c r="T593" s="126"/>
      <c r="U593" s="126"/>
      <c r="V593" s="126"/>
      <c r="W593" s="126"/>
      <c r="X593" s="126"/>
      <c r="Y593" s="126"/>
      <c r="Z593" s="127"/>
      <c r="AA593" s="127"/>
      <c r="AB593" s="127"/>
      <c r="AC593" s="127"/>
      <c r="AD593" s="261"/>
      <c r="AE593" s="261"/>
      <c r="AF593" s="261"/>
      <c r="AG593" s="261"/>
    </row>
    <row r="594" ht="34.5" hidden="1" customHeight="1">
      <c r="A594" s="111"/>
      <c r="B594" s="127"/>
      <c r="C594" s="111"/>
      <c r="D594" s="111"/>
      <c r="E594" s="111"/>
      <c r="F594" s="111"/>
      <c r="G594" s="111"/>
      <c r="H594" s="111"/>
      <c r="I594" s="127"/>
      <c r="J594" s="111"/>
      <c r="K594" s="257"/>
      <c r="L594" s="111"/>
      <c r="M594" s="127"/>
      <c r="N594" s="270"/>
      <c r="O594" s="111"/>
      <c r="P594" s="111"/>
      <c r="Q594" s="128"/>
      <c r="R594" s="124"/>
      <c r="S594" s="125"/>
      <c r="T594" s="126"/>
      <c r="U594" s="126"/>
      <c r="V594" s="126"/>
      <c r="W594" s="126"/>
      <c r="X594" s="126"/>
      <c r="Y594" s="126"/>
      <c r="Z594" s="127"/>
      <c r="AA594" s="127"/>
      <c r="AB594" s="127"/>
      <c r="AC594" s="127"/>
      <c r="AD594" s="261"/>
      <c r="AE594" s="261"/>
      <c r="AF594" s="261"/>
      <c r="AG594" s="261"/>
    </row>
    <row r="595" ht="34.5" hidden="1" customHeight="1">
      <c r="A595" s="111"/>
      <c r="B595" s="127"/>
      <c r="C595" s="111"/>
      <c r="D595" s="111"/>
      <c r="E595" s="111"/>
      <c r="F595" s="111"/>
      <c r="G595" s="111"/>
      <c r="H595" s="111"/>
      <c r="I595" s="127"/>
      <c r="J595" s="111"/>
      <c r="K595" s="257"/>
      <c r="L595" s="111"/>
      <c r="M595" s="127"/>
      <c r="N595" s="270"/>
      <c r="O595" s="111"/>
      <c r="P595" s="111"/>
      <c r="Q595" s="128"/>
      <c r="R595" s="124"/>
      <c r="S595" s="125"/>
      <c r="T595" s="126"/>
      <c r="U595" s="126"/>
      <c r="V595" s="126"/>
      <c r="W595" s="126"/>
      <c r="X595" s="126"/>
      <c r="Y595" s="126"/>
      <c r="Z595" s="127"/>
      <c r="AA595" s="127"/>
      <c r="AB595" s="127"/>
      <c r="AC595" s="127"/>
      <c r="AD595" s="261"/>
      <c r="AE595" s="261"/>
      <c r="AF595" s="261"/>
      <c r="AG595" s="261"/>
    </row>
    <row r="596" ht="34.5" hidden="1" customHeight="1">
      <c r="A596" s="111"/>
      <c r="B596" s="127"/>
      <c r="C596" s="111"/>
      <c r="D596" s="111"/>
      <c r="E596" s="111"/>
      <c r="F596" s="111"/>
      <c r="G596" s="111"/>
      <c r="H596" s="111"/>
      <c r="I596" s="127"/>
      <c r="J596" s="111"/>
      <c r="K596" s="257"/>
      <c r="L596" s="111"/>
      <c r="M596" s="127"/>
      <c r="N596" s="270"/>
      <c r="O596" s="111"/>
      <c r="P596" s="111"/>
      <c r="Q596" s="128"/>
      <c r="R596" s="124"/>
      <c r="S596" s="125"/>
      <c r="T596" s="126"/>
      <c r="U596" s="126"/>
      <c r="V596" s="126"/>
      <c r="W596" s="126"/>
      <c r="X596" s="126"/>
      <c r="Y596" s="126"/>
      <c r="Z596" s="127"/>
      <c r="AA596" s="127"/>
      <c r="AB596" s="127"/>
      <c r="AC596" s="127"/>
      <c r="AD596" s="261"/>
      <c r="AE596" s="261"/>
      <c r="AF596" s="261"/>
      <c r="AG596" s="261"/>
    </row>
    <row r="597" ht="34.5" hidden="1" customHeight="1">
      <c r="A597" s="111"/>
      <c r="B597" s="127"/>
      <c r="C597" s="111"/>
      <c r="D597" s="111"/>
      <c r="E597" s="111"/>
      <c r="F597" s="111"/>
      <c r="G597" s="111"/>
      <c r="H597" s="111"/>
      <c r="I597" s="127"/>
      <c r="J597" s="111"/>
      <c r="K597" s="257"/>
      <c r="L597" s="111"/>
      <c r="M597" s="127"/>
      <c r="N597" s="270"/>
      <c r="O597" s="111"/>
      <c r="P597" s="111"/>
      <c r="Q597" s="128"/>
      <c r="R597" s="124"/>
      <c r="S597" s="125"/>
      <c r="T597" s="126"/>
      <c r="U597" s="126"/>
      <c r="V597" s="126"/>
      <c r="W597" s="126"/>
      <c r="X597" s="126"/>
      <c r="Y597" s="126"/>
      <c r="Z597" s="127"/>
      <c r="AA597" s="127"/>
      <c r="AB597" s="127"/>
      <c r="AC597" s="127"/>
      <c r="AD597" s="261"/>
      <c r="AE597" s="261"/>
      <c r="AF597" s="261"/>
      <c r="AG597" s="261"/>
    </row>
    <row r="598" ht="34.5" hidden="1" customHeight="1">
      <c r="A598" s="111"/>
      <c r="B598" s="127"/>
      <c r="C598" s="111"/>
      <c r="D598" s="111"/>
      <c r="E598" s="111"/>
      <c r="F598" s="111"/>
      <c r="G598" s="111"/>
      <c r="H598" s="111"/>
      <c r="I598" s="127"/>
      <c r="J598" s="111"/>
      <c r="K598" s="257"/>
      <c r="L598" s="111"/>
      <c r="M598" s="127"/>
      <c r="N598" s="270"/>
      <c r="O598" s="111"/>
      <c r="P598" s="111"/>
      <c r="Q598" s="128"/>
      <c r="R598" s="124"/>
      <c r="S598" s="125"/>
      <c r="T598" s="126"/>
      <c r="U598" s="126"/>
      <c r="V598" s="126"/>
      <c r="W598" s="126"/>
      <c r="X598" s="126"/>
      <c r="Y598" s="126"/>
      <c r="Z598" s="127"/>
      <c r="AA598" s="127"/>
      <c r="AB598" s="127"/>
      <c r="AC598" s="127"/>
      <c r="AD598" s="261"/>
      <c r="AE598" s="261"/>
      <c r="AF598" s="261"/>
      <c r="AG598" s="261"/>
    </row>
    <row r="599" ht="34.5" hidden="1" customHeight="1">
      <c r="A599" s="111"/>
      <c r="B599" s="127"/>
      <c r="C599" s="111"/>
      <c r="D599" s="111"/>
      <c r="E599" s="111"/>
      <c r="F599" s="111"/>
      <c r="G599" s="111"/>
      <c r="H599" s="111"/>
      <c r="I599" s="127"/>
      <c r="J599" s="111"/>
      <c r="K599" s="257"/>
      <c r="L599" s="111"/>
      <c r="M599" s="127"/>
      <c r="N599" s="270"/>
      <c r="O599" s="111"/>
      <c r="P599" s="111"/>
      <c r="Q599" s="128"/>
      <c r="R599" s="124"/>
      <c r="S599" s="125"/>
      <c r="T599" s="126"/>
      <c r="U599" s="126"/>
      <c r="V599" s="126"/>
      <c r="W599" s="126"/>
      <c r="X599" s="126"/>
      <c r="Y599" s="126"/>
      <c r="Z599" s="127"/>
      <c r="AA599" s="127"/>
      <c r="AB599" s="127"/>
      <c r="AC599" s="127"/>
      <c r="AD599" s="261"/>
      <c r="AE599" s="261"/>
      <c r="AF599" s="261"/>
      <c r="AG599" s="261"/>
    </row>
    <row r="600" ht="34.5" hidden="1" customHeight="1">
      <c r="A600" s="111"/>
      <c r="B600" s="127"/>
      <c r="C600" s="111"/>
      <c r="D600" s="111"/>
      <c r="E600" s="111"/>
      <c r="F600" s="111"/>
      <c r="G600" s="111"/>
      <c r="H600" s="111"/>
      <c r="I600" s="127"/>
      <c r="J600" s="111"/>
      <c r="K600" s="257"/>
      <c r="L600" s="111"/>
      <c r="M600" s="127"/>
      <c r="N600" s="270"/>
      <c r="O600" s="111"/>
      <c r="P600" s="111"/>
      <c r="Q600" s="128"/>
      <c r="R600" s="124"/>
      <c r="S600" s="125"/>
      <c r="T600" s="126"/>
      <c r="U600" s="126"/>
      <c r="V600" s="126"/>
      <c r="W600" s="126"/>
      <c r="X600" s="126"/>
      <c r="Y600" s="126"/>
      <c r="Z600" s="127"/>
      <c r="AA600" s="127"/>
      <c r="AB600" s="127"/>
      <c r="AC600" s="127"/>
      <c r="AD600" s="261"/>
      <c r="AE600" s="261"/>
      <c r="AF600" s="261"/>
      <c r="AG600" s="261"/>
    </row>
    <row r="601" ht="34.5" hidden="1" customHeight="1">
      <c r="A601" s="111"/>
      <c r="B601" s="127"/>
      <c r="C601" s="111"/>
      <c r="D601" s="111"/>
      <c r="E601" s="111"/>
      <c r="F601" s="111"/>
      <c r="G601" s="111"/>
      <c r="H601" s="111"/>
      <c r="I601" s="127"/>
      <c r="J601" s="111"/>
      <c r="K601" s="257"/>
      <c r="L601" s="111"/>
      <c r="M601" s="127"/>
      <c r="N601" s="270"/>
      <c r="O601" s="111"/>
      <c r="P601" s="111"/>
      <c r="Q601" s="128"/>
      <c r="R601" s="124"/>
      <c r="S601" s="125"/>
      <c r="T601" s="126"/>
      <c r="U601" s="126"/>
      <c r="V601" s="126"/>
      <c r="W601" s="126"/>
      <c r="X601" s="126"/>
      <c r="Y601" s="126"/>
      <c r="Z601" s="127"/>
      <c r="AA601" s="127"/>
      <c r="AB601" s="127"/>
      <c r="AC601" s="127"/>
      <c r="AD601" s="261"/>
      <c r="AE601" s="261"/>
      <c r="AF601" s="261"/>
      <c r="AG601" s="261"/>
    </row>
    <row r="602" ht="34.5" hidden="1" customHeight="1">
      <c r="A602" s="111"/>
      <c r="B602" s="127"/>
      <c r="C602" s="111"/>
      <c r="D602" s="111"/>
      <c r="E602" s="111"/>
      <c r="F602" s="111"/>
      <c r="G602" s="111"/>
      <c r="H602" s="111"/>
      <c r="I602" s="127"/>
      <c r="J602" s="111"/>
      <c r="K602" s="257"/>
      <c r="L602" s="111"/>
      <c r="M602" s="127"/>
      <c r="N602" s="270"/>
      <c r="O602" s="111"/>
      <c r="P602" s="111"/>
      <c r="Q602" s="128"/>
      <c r="R602" s="124"/>
      <c r="S602" s="125"/>
      <c r="T602" s="126"/>
      <c r="U602" s="126"/>
      <c r="V602" s="126"/>
      <c r="W602" s="126"/>
      <c r="X602" s="126"/>
      <c r="Y602" s="126"/>
      <c r="Z602" s="127"/>
      <c r="AA602" s="127"/>
      <c r="AB602" s="127"/>
      <c r="AC602" s="127"/>
      <c r="AD602" s="261"/>
      <c r="AE602" s="261"/>
      <c r="AF602" s="261"/>
      <c r="AG602" s="261"/>
    </row>
    <row r="603" ht="34.5" hidden="1" customHeight="1">
      <c r="A603" s="111"/>
      <c r="B603" s="127"/>
      <c r="C603" s="111"/>
      <c r="D603" s="111"/>
      <c r="E603" s="111"/>
      <c r="F603" s="111"/>
      <c r="G603" s="111"/>
      <c r="H603" s="111"/>
      <c r="I603" s="127"/>
      <c r="J603" s="111"/>
      <c r="K603" s="257"/>
      <c r="L603" s="111"/>
      <c r="M603" s="127"/>
      <c r="N603" s="270"/>
      <c r="O603" s="111"/>
      <c r="P603" s="111"/>
      <c r="Q603" s="128"/>
      <c r="R603" s="124"/>
      <c r="S603" s="125"/>
      <c r="T603" s="126"/>
      <c r="U603" s="126"/>
      <c r="V603" s="126"/>
      <c r="W603" s="126"/>
      <c r="X603" s="126"/>
      <c r="Y603" s="126"/>
      <c r="Z603" s="127"/>
      <c r="AA603" s="127"/>
      <c r="AB603" s="127"/>
      <c r="AC603" s="127"/>
      <c r="AD603" s="261"/>
      <c r="AE603" s="261"/>
      <c r="AF603" s="261"/>
      <c r="AG603" s="261"/>
    </row>
    <row r="604" ht="34.5" hidden="1" customHeight="1">
      <c r="A604" s="111"/>
      <c r="B604" s="127"/>
      <c r="C604" s="111"/>
      <c r="D604" s="111"/>
      <c r="E604" s="111"/>
      <c r="F604" s="111"/>
      <c r="G604" s="111"/>
      <c r="H604" s="111"/>
      <c r="I604" s="127"/>
      <c r="J604" s="111"/>
      <c r="K604" s="257"/>
      <c r="L604" s="111"/>
      <c r="M604" s="127"/>
      <c r="N604" s="270"/>
      <c r="O604" s="111"/>
      <c r="P604" s="111"/>
      <c r="Q604" s="128"/>
      <c r="R604" s="124"/>
      <c r="S604" s="125"/>
      <c r="T604" s="126"/>
      <c r="U604" s="126"/>
      <c r="V604" s="126"/>
      <c r="W604" s="126"/>
      <c r="X604" s="126"/>
      <c r="Y604" s="126"/>
      <c r="Z604" s="127"/>
      <c r="AA604" s="127"/>
      <c r="AB604" s="127"/>
      <c r="AC604" s="127"/>
      <c r="AD604" s="261"/>
      <c r="AE604" s="261"/>
      <c r="AF604" s="261"/>
      <c r="AG604" s="261"/>
    </row>
    <row r="605" ht="34.5" hidden="1" customHeight="1">
      <c r="A605" s="111"/>
      <c r="B605" s="127"/>
      <c r="C605" s="111"/>
      <c r="D605" s="111"/>
      <c r="E605" s="111"/>
      <c r="F605" s="111"/>
      <c r="G605" s="111"/>
      <c r="H605" s="111"/>
      <c r="I605" s="127"/>
      <c r="J605" s="111"/>
      <c r="K605" s="257"/>
      <c r="L605" s="111"/>
      <c r="M605" s="127"/>
      <c r="N605" s="270"/>
      <c r="O605" s="111"/>
      <c r="P605" s="111"/>
      <c r="Q605" s="128"/>
      <c r="R605" s="124"/>
      <c r="S605" s="125"/>
      <c r="T605" s="126"/>
      <c r="U605" s="126"/>
      <c r="V605" s="126"/>
      <c r="W605" s="126"/>
      <c r="X605" s="126"/>
      <c r="Y605" s="126"/>
      <c r="Z605" s="127"/>
      <c r="AA605" s="127"/>
      <c r="AB605" s="127"/>
      <c r="AC605" s="127"/>
      <c r="AD605" s="261"/>
      <c r="AE605" s="261"/>
      <c r="AF605" s="261"/>
      <c r="AG605" s="261"/>
    </row>
    <row r="606" ht="34.5" hidden="1" customHeight="1">
      <c r="A606" s="111"/>
      <c r="B606" s="127"/>
      <c r="C606" s="111"/>
      <c r="D606" s="111"/>
      <c r="E606" s="111"/>
      <c r="F606" s="111"/>
      <c r="G606" s="111"/>
      <c r="H606" s="111"/>
      <c r="I606" s="127"/>
      <c r="J606" s="111"/>
      <c r="K606" s="257"/>
      <c r="L606" s="111"/>
      <c r="M606" s="127"/>
      <c r="N606" s="270"/>
      <c r="O606" s="111"/>
      <c r="P606" s="111"/>
      <c r="Q606" s="128"/>
      <c r="R606" s="124"/>
      <c r="S606" s="125"/>
      <c r="T606" s="126"/>
      <c r="U606" s="126"/>
      <c r="V606" s="126"/>
      <c r="W606" s="126"/>
      <c r="X606" s="126"/>
      <c r="Y606" s="126"/>
      <c r="Z606" s="127"/>
      <c r="AA606" s="127"/>
      <c r="AB606" s="127"/>
      <c r="AC606" s="127"/>
      <c r="AD606" s="261"/>
      <c r="AE606" s="261"/>
      <c r="AF606" s="261"/>
      <c r="AG606" s="261"/>
    </row>
    <row r="607" ht="34.5" hidden="1" customHeight="1">
      <c r="A607" s="111"/>
      <c r="B607" s="127"/>
      <c r="C607" s="111"/>
      <c r="D607" s="111"/>
      <c r="E607" s="111"/>
      <c r="F607" s="111"/>
      <c r="G607" s="111"/>
      <c r="H607" s="111"/>
      <c r="I607" s="127"/>
      <c r="J607" s="111"/>
      <c r="K607" s="257"/>
      <c r="L607" s="111"/>
      <c r="M607" s="127"/>
      <c r="N607" s="270"/>
      <c r="O607" s="111"/>
      <c r="P607" s="111"/>
      <c r="Q607" s="128"/>
      <c r="R607" s="124"/>
      <c r="S607" s="125"/>
      <c r="T607" s="126"/>
      <c r="U607" s="126"/>
      <c r="V607" s="126"/>
      <c r="W607" s="126"/>
      <c r="X607" s="126"/>
      <c r="Y607" s="126"/>
      <c r="Z607" s="127"/>
      <c r="AA607" s="127"/>
      <c r="AB607" s="127"/>
      <c r="AC607" s="127"/>
      <c r="AD607" s="261"/>
      <c r="AE607" s="261"/>
      <c r="AF607" s="261"/>
      <c r="AG607" s="261"/>
    </row>
    <row r="608" ht="34.5" hidden="1" customHeight="1">
      <c r="A608" s="111"/>
      <c r="B608" s="127"/>
      <c r="C608" s="111"/>
      <c r="D608" s="111"/>
      <c r="E608" s="111"/>
      <c r="F608" s="111"/>
      <c r="G608" s="111"/>
      <c r="H608" s="111"/>
      <c r="I608" s="127"/>
      <c r="J608" s="111"/>
      <c r="K608" s="257"/>
      <c r="L608" s="111"/>
      <c r="M608" s="127"/>
      <c r="N608" s="270"/>
      <c r="O608" s="111"/>
      <c r="P608" s="111"/>
      <c r="Q608" s="128"/>
      <c r="R608" s="124"/>
      <c r="S608" s="125"/>
      <c r="T608" s="126"/>
      <c r="U608" s="126"/>
      <c r="V608" s="126"/>
      <c r="W608" s="126"/>
      <c r="X608" s="126"/>
      <c r="Y608" s="126"/>
      <c r="Z608" s="127"/>
      <c r="AA608" s="127"/>
      <c r="AB608" s="127"/>
      <c r="AC608" s="127"/>
      <c r="AD608" s="261"/>
      <c r="AE608" s="261"/>
      <c r="AF608" s="261"/>
      <c r="AG608" s="261"/>
    </row>
    <row r="609" ht="34.5" hidden="1" customHeight="1">
      <c r="A609" s="111"/>
      <c r="B609" s="127"/>
      <c r="C609" s="111"/>
      <c r="D609" s="111"/>
      <c r="E609" s="111"/>
      <c r="F609" s="111"/>
      <c r="G609" s="111"/>
      <c r="H609" s="111"/>
      <c r="I609" s="127"/>
      <c r="J609" s="111"/>
      <c r="K609" s="257"/>
      <c r="L609" s="111"/>
      <c r="M609" s="127"/>
      <c r="N609" s="270"/>
      <c r="O609" s="111"/>
      <c r="P609" s="111"/>
      <c r="Q609" s="128"/>
      <c r="R609" s="124"/>
      <c r="S609" s="125"/>
      <c r="T609" s="126"/>
      <c r="U609" s="126"/>
      <c r="V609" s="126"/>
      <c r="W609" s="126"/>
      <c r="X609" s="126"/>
      <c r="Y609" s="126"/>
      <c r="Z609" s="127"/>
      <c r="AA609" s="127"/>
      <c r="AB609" s="127"/>
      <c r="AC609" s="127"/>
      <c r="AD609" s="261"/>
      <c r="AE609" s="261"/>
      <c r="AF609" s="261"/>
      <c r="AG609" s="261"/>
    </row>
    <row r="610" ht="34.5" hidden="1" customHeight="1">
      <c r="A610" s="111"/>
      <c r="B610" s="127"/>
      <c r="C610" s="111"/>
      <c r="D610" s="111"/>
      <c r="E610" s="111"/>
      <c r="F610" s="111"/>
      <c r="G610" s="111"/>
      <c r="H610" s="111"/>
      <c r="I610" s="127"/>
      <c r="J610" s="111"/>
      <c r="K610" s="257"/>
      <c r="L610" s="111"/>
      <c r="M610" s="127"/>
      <c r="N610" s="270"/>
      <c r="O610" s="111"/>
      <c r="P610" s="111"/>
      <c r="Q610" s="128"/>
      <c r="R610" s="124"/>
      <c r="S610" s="125"/>
      <c r="T610" s="126"/>
      <c r="U610" s="126"/>
      <c r="V610" s="126"/>
      <c r="W610" s="126"/>
      <c r="X610" s="126"/>
      <c r="Y610" s="126"/>
      <c r="Z610" s="127"/>
      <c r="AA610" s="127"/>
      <c r="AB610" s="127"/>
      <c r="AC610" s="127"/>
      <c r="AD610" s="261"/>
      <c r="AE610" s="261"/>
      <c r="AF610" s="261"/>
      <c r="AG610" s="261"/>
    </row>
    <row r="611" ht="34.5" hidden="1" customHeight="1">
      <c r="A611" s="111"/>
      <c r="B611" s="127"/>
      <c r="C611" s="111"/>
      <c r="D611" s="111"/>
      <c r="E611" s="111"/>
      <c r="F611" s="111"/>
      <c r="G611" s="111"/>
      <c r="H611" s="111"/>
      <c r="I611" s="127"/>
      <c r="J611" s="111"/>
      <c r="K611" s="257"/>
      <c r="L611" s="111"/>
      <c r="M611" s="127"/>
      <c r="N611" s="270"/>
      <c r="O611" s="111"/>
      <c r="P611" s="111"/>
      <c r="Q611" s="128"/>
      <c r="R611" s="124"/>
      <c r="S611" s="125"/>
      <c r="T611" s="126"/>
      <c r="U611" s="126"/>
      <c r="V611" s="126"/>
      <c r="W611" s="126"/>
      <c r="X611" s="126"/>
      <c r="Y611" s="126"/>
      <c r="Z611" s="127"/>
      <c r="AA611" s="127"/>
      <c r="AB611" s="127"/>
      <c r="AC611" s="127"/>
      <c r="AD611" s="261"/>
      <c r="AE611" s="261"/>
      <c r="AF611" s="261"/>
      <c r="AG611" s="261"/>
    </row>
    <row r="612" ht="34.5" hidden="1" customHeight="1">
      <c r="A612" s="111"/>
      <c r="B612" s="127"/>
      <c r="C612" s="111"/>
      <c r="D612" s="111"/>
      <c r="E612" s="111"/>
      <c r="F612" s="111"/>
      <c r="G612" s="111"/>
      <c r="H612" s="111"/>
      <c r="I612" s="127"/>
      <c r="J612" s="111"/>
      <c r="K612" s="257"/>
      <c r="L612" s="111"/>
      <c r="M612" s="127"/>
      <c r="N612" s="270"/>
      <c r="O612" s="111"/>
      <c r="P612" s="111"/>
      <c r="Q612" s="128"/>
      <c r="R612" s="124"/>
      <c r="S612" s="125"/>
      <c r="T612" s="126"/>
      <c r="U612" s="126"/>
      <c r="V612" s="126"/>
      <c r="W612" s="126"/>
      <c r="X612" s="126"/>
      <c r="Y612" s="126"/>
      <c r="Z612" s="127"/>
      <c r="AA612" s="127"/>
      <c r="AB612" s="127"/>
      <c r="AC612" s="127"/>
      <c r="AD612" s="261"/>
      <c r="AE612" s="261"/>
      <c r="AF612" s="261"/>
      <c r="AG612" s="261"/>
    </row>
    <row r="613" ht="34.5" hidden="1" customHeight="1">
      <c r="A613" s="111"/>
      <c r="B613" s="127"/>
      <c r="C613" s="111"/>
      <c r="D613" s="111"/>
      <c r="E613" s="111"/>
      <c r="F613" s="111"/>
      <c r="G613" s="111"/>
      <c r="H613" s="111"/>
      <c r="I613" s="127"/>
      <c r="J613" s="111"/>
      <c r="K613" s="257"/>
      <c r="L613" s="111"/>
      <c r="M613" s="127"/>
      <c r="N613" s="270"/>
      <c r="O613" s="111"/>
      <c r="P613" s="111"/>
      <c r="Q613" s="128"/>
      <c r="R613" s="124"/>
      <c r="S613" s="125"/>
      <c r="T613" s="126"/>
      <c r="U613" s="126"/>
      <c r="V613" s="126"/>
      <c r="W613" s="126"/>
      <c r="X613" s="126"/>
      <c r="Y613" s="126"/>
      <c r="Z613" s="127"/>
      <c r="AA613" s="127"/>
      <c r="AB613" s="127"/>
      <c r="AC613" s="127"/>
      <c r="AD613" s="261"/>
      <c r="AE613" s="261"/>
      <c r="AF613" s="261"/>
      <c r="AG613" s="261"/>
    </row>
    <row r="614" ht="34.5" hidden="1" customHeight="1">
      <c r="A614" s="111"/>
      <c r="B614" s="127"/>
      <c r="C614" s="111"/>
      <c r="D614" s="111"/>
      <c r="E614" s="111"/>
      <c r="F614" s="111"/>
      <c r="G614" s="111"/>
      <c r="H614" s="111"/>
      <c r="I614" s="127"/>
      <c r="J614" s="111"/>
      <c r="K614" s="257"/>
      <c r="L614" s="111"/>
      <c r="M614" s="127"/>
      <c r="N614" s="270"/>
      <c r="O614" s="111"/>
      <c r="P614" s="111"/>
      <c r="Q614" s="128"/>
      <c r="R614" s="124"/>
      <c r="S614" s="125"/>
      <c r="T614" s="126"/>
      <c r="U614" s="126"/>
      <c r="V614" s="126"/>
      <c r="W614" s="126"/>
      <c r="X614" s="126"/>
      <c r="Y614" s="126"/>
      <c r="Z614" s="127"/>
      <c r="AA614" s="127"/>
      <c r="AB614" s="127"/>
      <c r="AC614" s="127"/>
      <c r="AD614" s="261"/>
      <c r="AE614" s="261"/>
      <c r="AF614" s="261"/>
      <c r="AG614" s="261"/>
    </row>
    <row r="615" ht="34.5" hidden="1" customHeight="1">
      <c r="A615" s="111"/>
      <c r="B615" s="127"/>
      <c r="C615" s="111"/>
      <c r="D615" s="111"/>
      <c r="E615" s="111"/>
      <c r="F615" s="111"/>
      <c r="G615" s="111"/>
      <c r="H615" s="111"/>
      <c r="I615" s="127"/>
      <c r="J615" s="111"/>
      <c r="K615" s="257"/>
      <c r="L615" s="111"/>
      <c r="M615" s="127"/>
      <c r="N615" s="270"/>
      <c r="O615" s="111"/>
      <c r="P615" s="111"/>
      <c r="Q615" s="128"/>
      <c r="R615" s="124"/>
      <c r="S615" s="125"/>
      <c r="T615" s="126"/>
      <c r="U615" s="126"/>
      <c r="V615" s="126"/>
      <c r="W615" s="126"/>
      <c r="X615" s="126"/>
      <c r="Y615" s="126"/>
      <c r="Z615" s="127"/>
      <c r="AA615" s="127"/>
      <c r="AB615" s="127"/>
      <c r="AC615" s="127"/>
      <c r="AD615" s="261"/>
      <c r="AE615" s="261"/>
      <c r="AF615" s="261"/>
      <c r="AG615" s="261"/>
    </row>
    <row r="616" ht="34.5" hidden="1" customHeight="1">
      <c r="A616" s="111"/>
      <c r="B616" s="127"/>
      <c r="C616" s="111"/>
      <c r="D616" s="111"/>
      <c r="E616" s="111"/>
      <c r="F616" s="111"/>
      <c r="G616" s="111"/>
      <c r="H616" s="111"/>
      <c r="I616" s="127"/>
      <c r="J616" s="111"/>
      <c r="K616" s="257"/>
      <c r="L616" s="111"/>
      <c r="M616" s="127"/>
      <c r="N616" s="270"/>
      <c r="O616" s="111"/>
      <c r="P616" s="111"/>
      <c r="Q616" s="128"/>
      <c r="R616" s="124"/>
      <c r="S616" s="125"/>
      <c r="T616" s="126"/>
      <c r="U616" s="126"/>
      <c r="V616" s="126"/>
      <c r="W616" s="126"/>
      <c r="X616" s="126"/>
      <c r="Y616" s="126"/>
      <c r="Z616" s="127"/>
      <c r="AA616" s="127"/>
      <c r="AB616" s="127"/>
      <c r="AC616" s="127"/>
      <c r="AD616" s="261"/>
      <c r="AE616" s="261"/>
      <c r="AF616" s="261"/>
      <c r="AG616" s="261"/>
    </row>
    <row r="617" ht="34.5" hidden="1" customHeight="1">
      <c r="A617" s="111"/>
      <c r="B617" s="127"/>
      <c r="C617" s="111"/>
      <c r="D617" s="111"/>
      <c r="E617" s="111"/>
      <c r="F617" s="111"/>
      <c r="G617" s="111"/>
      <c r="H617" s="111"/>
      <c r="I617" s="127"/>
      <c r="J617" s="111"/>
      <c r="K617" s="257"/>
      <c r="L617" s="111"/>
      <c r="M617" s="127"/>
      <c r="N617" s="270"/>
      <c r="O617" s="111"/>
      <c r="P617" s="111"/>
      <c r="Q617" s="128"/>
      <c r="R617" s="124"/>
      <c r="S617" s="125"/>
      <c r="T617" s="126"/>
      <c r="U617" s="126"/>
      <c r="V617" s="126"/>
      <c r="W617" s="126"/>
      <c r="X617" s="126"/>
      <c r="Y617" s="126"/>
      <c r="Z617" s="127"/>
      <c r="AA617" s="127"/>
      <c r="AB617" s="127"/>
      <c r="AC617" s="127"/>
      <c r="AD617" s="261"/>
      <c r="AE617" s="261"/>
      <c r="AF617" s="261"/>
      <c r="AG617" s="261"/>
    </row>
    <row r="618" ht="34.5" hidden="1" customHeight="1">
      <c r="A618" s="111"/>
      <c r="B618" s="127"/>
      <c r="C618" s="111"/>
      <c r="D618" s="111"/>
      <c r="E618" s="111"/>
      <c r="F618" s="111"/>
      <c r="G618" s="111"/>
      <c r="H618" s="111"/>
      <c r="I618" s="127"/>
      <c r="J618" s="111"/>
      <c r="K618" s="257"/>
      <c r="L618" s="111"/>
      <c r="M618" s="127"/>
      <c r="N618" s="270"/>
      <c r="O618" s="111"/>
      <c r="P618" s="111"/>
      <c r="Q618" s="128"/>
      <c r="R618" s="124"/>
      <c r="S618" s="125"/>
      <c r="T618" s="126"/>
      <c r="U618" s="126"/>
      <c r="V618" s="126"/>
      <c r="W618" s="126"/>
      <c r="X618" s="126"/>
      <c r="Y618" s="126"/>
      <c r="Z618" s="127"/>
      <c r="AA618" s="127"/>
      <c r="AB618" s="127"/>
      <c r="AC618" s="127"/>
      <c r="AD618" s="261"/>
      <c r="AE618" s="261"/>
      <c r="AF618" s="261"/>
      <c r="AG618" s="261"/>
    </row>
    <row r="619" ht="34.5" hidden="1" customHeight="1">
      <c r="A619" s="111"/>
      <c r="B619" s="127"/>
      <c r="C619" s="111"/>
      <c r="D619" s="111"/>
      <c r="E619" s="111"/>
      <c r="F619" s="111"/>
      <c r="G619" s="111"/>
      <c r="H619" s="111"/>
      <c r="I619" s="127"/>
      <c r="J619" s="111"/>
      <c r="K619" s="257"/>
      <c r="L619" s="111"/>
      <c r="M619" s="127"/>
      <c r="N619" s="270"/>
      <c r="O619" s="111"/>
      <c r="P619" s="111"/>
      <c r="Q619" s="128"/>
      <c r="R619" s="124"/>
      <c r="S619" s="125"/>
      <c r="T619" s="126"/>
      <c r="U619" s="126"/>
      <c r="V619" s="126"/>
      <c r="W619" s="126"/>
      <c r="X619" s="126"/>
      <c r="Y619" s="126"/>
      <c r="Z619" s="127"/>
      <c r="AA619" s="127"/>
      <c r="AB619" s="127"/>
      <c r="AC619" s="127"/>
      <c r="AD619" s="261"/>
      <c r="AE619" s="261"/>
      <c r="AF619" s="261"/>
      <c r="AG619" s="261"/>
    </row>
    <row r="620" ht="34.5" hidden="1" customHeight="1">
      <c r="A620" s="111"/>
      <c r="B620" s="127"/>
      <c r="C620" s="111"/>
      <c r="D620" s="111"/>
      <c r="E620" s="111"/>
      <c r="F620" s="111"/>
      <c r="G620" s="111"/>
      <c r="H620" s="111"/>
      <c r="I620" s="127"/>
      <c r="J620" s="111"/>
      <c r="K620" s="257"/>
      <c r="L620" s="111"/>
      <c r="M620" s="127"/>
      <c r="N620" s="270"/>
      <c r="O620" s="111"/>
      <c r="P620" s="111"/>
      <c r="Q620" s="128"/>
      <c r="R620" s="124"/>
      <c r="S620" s="125"/>
      <c r="T620" s="126"/>
      <c r="U620" s="126"/>
      <c r="V620" s="126"/>
      <c r="W620" s="126"/>
      <c r="X620" s="126"/>
      <c r="Y620" s="126"/>
      <c r="Z620" s="127"/>
      <c r="AA620" s="127"/>
      <c r="AB620" s="127"/>
      <c r="AC620" s="127"/>
      <c r="AD620" s="261"/>
      <c r="AE620" s="261"/>
      <c r="AF620" s="261"/>
      <c r="AG620" s="261"/>
    </row>
    <row r="621" ht="34.5" hidden="1" customHeight="1">
      <c r="A621" s="111"/>
      <c r="B621" s="127"/>
      <c r="C621" s="111"/>
      <c r="D621" s="111"/>
      <c r="E621" s="111"/>
      <c r="F621" s="111"/>
      <c r="G621" s="111"/>
      <c r="H621" s="111"/>
      <c r="I621" s="127"/>
      <c r="J621" s="111"/>
      <c r="K621" s="257"/>
      <c r="L621" s="111"/>
      <c r="M621" s="127"/>
      <c r="N621" s="270"/>
      <c r="O621" s="111"/>
      <c r="P621" s="111"/>
      <c r="Q621" s="128"/>
      <c r="R621" s="124"/>
      <c r="S621" s="125"/>
      <c r="T621" s="126"/>
      <c r="U621" s="126"/>
      <c r="V621" s="126"/>
      <c r="W621" s="126"/>
      <c r="X621" s="126"/>
      <c r="Y621" s="126"/>
      <c r="Z621" s="127"/>
      <c r="AA621" s="127"/>
      <c r="AB621" s="127"/>
      <c r="AC621" s="127"/>
      <c r="AD621" s="261"/>
      <c r="AE621" s="261"/>
      <c r="AF621" s="261"/>
      <c r="AG621" s="261"/>
    </row>
    <row r="622" ht="34.5" hidden="1" customHeight="1">
      <c r="A622" s="111"/>
      <c r="B622" s="127"/>
      <c r="C622" s="111"/>
      <c r="D622" s="111"/>
      <c r="E622" s="111"/>
      <c r="F622" s="111"/>
      <c r="G622" s="111"/>
      <c r="H622" s="111"/>
      <c r="I622" s="127"/>
      <c r="J622" s="111"/>
      <c r="K622" s="257"/>
      <c r="L622" s="111"/>
      <c r="M622" s="127"/>
      <c r="N622" s="270"/>
      <c r="O622" s="111"/>
      <c r="P622" s="111"/>
      <c r="Q622" s="128"/>
      <c r="R622" s="124"/>
      <c r="S622" s="125"/>
      <c r="T622" s="126"/>
      <c r="U622" s="126"/>
      <c r="V622" s="126"/>
      <c r="W622" s="126"/>
      <c r="X622" s="126"/>
      <c r="Y622" s="126"/>
      <c r="Z622" s="127"/>
      <c r="AA622" s="127"/>
      <c r="AB622" s="127"/>
      <c r="AC622" s="127"/>
      <c r="AD622" s="261"/>
      <c r="AE622" s="261"/>
      <c r="AF622" s="261"/>
      <c r="AG622" s="261"/>
    </row>
    <row r="623" ht="34.5" hidden="1" customHeight="1">
      <c r="A623" s="111"/>
      <c r="B623" s="127"/>
      <c r="C623" s="111"/>
      <c r="D623" s="111"/>
      <c r="E623" s="111"/>
      <c r="F623" s="111"/>
      <c r="G623" s="111"/>
      <c r="H623" s="111"/>
      <c r="I623" s="127"/>
      <c r="J623" s="111"/>
      <c r="K623" s="257"/>
      <c r="L623" s="111"/>
      <c r="M623" s="127"/>
      <c r="N623" s="270"/>
      <c r="O623" s="111"/>
      <c r="P623" s="111"/>
      <c r="Q623" s="128"/>
      <c r="R623" s="124"/>
      <c r="S623" s="125"/>
      <c r="T623" s="126"/>
      <c r="U623" s="126"/>
      <c r="V623" s="126"/>
      <c r="W623" s="126"/>
      <c r="X623" s="126"/>
      <c r="Y623" s="126"/>
      <c r="Z623" s="127"/>
      <c r="AA623" s="127"/>
      <c r="AB623" s="127"/>
      <c r="AC623" s="127"/>
      <c r="AD623" s="261"/>
      <c r="AE623" s="261"/>
      <c r="AF623" s="261"/>
      <c r="AG623" s="261"/>
    </row>
    <row r="624" ht="34.5" hidden="1" customHeight="1">
      <c r="A624" s="111"/>
      <c r="B624" s="127"/>
      <c r="C624" s="111"/>
      <c r="D624" s="111"/>
      <c r="E624" s="111"/>
      <c r="F624" s="111"/>
      <c r="G624" s="111"/>
      <c r="H624" s="111"/>
      <c r="I624" s="127"/>
      <c r="J624" s="111"/>
      <c r="K624" s="257"/>
      <c r="L624" s="111"/>
      <c r="M624" s="127"/>
      <c r="N624" s="270"/>
      <c r="O624" s="111"/>
      <c r="P624" s="111"/>
      <c r="Q624" s="128"/>
      <c r="R624" s="124"/>
      <c r="S624" s="125"/>
      <c r="T624" s="126"/>
      <c r="U624" s="126"/>
      <c r="V624" s="126"/>
      <c r="W624" s="126"/>
      <c r="X624" s="126"/>
      <c r="Y624" s="126"/>
      <c r="Z624" s="127"/>
      <c r="AA624" s="127"/>
      <c r="AB624" s="127"/>
      <c r="AC624" s="127"/>
      <c r="AD624" s="261"/>
      <c r="AE624" s="261"/>
      <c r="AF624" s="261"/>
      <c r="AG624" s="261"/>
    </row>
    <row r="625" ht="34.5" hidden="1" customHeight="1">
      <c r="A625" s="111"/>
      <c r="B625" s="127"/>
      <c r="C625" s="111"/>
      <c r="D625" s="111"/>
      <c r="E625" s="111"/>
      <c r="F625" s="111"/>
      <c r="G625" s="111"/>
      <c r="H625" s="111"/>
      <c r="I625" s="127"/>
      <c r="J625" s="111"/>
      <c r="K625" s="257"/>
      <c r="L625" s="111"/>
      <c r="M625" s="127"/>
      <c r="N625" s="270"/>
      <c r="O625" s="111"/>
      <c r="P625" s="111"/>
      <c r="Q625" s="128"/>
      <c r="R625" s="124"/>
      <c r="S625" s="125"/>
      <c r="T625" s="126"/>
      <c r="U625" s="126"/>
      <c r="V625" s="126"/>
      <c r="W625" s="126"/>
      <c r="X625" s="126"/>
      <c r="Y625" s="126"/>
      <c r="Z625" s="127"/>
      <c r="AA625" s="127"/>
      <c r="AB625" s="127"/>
      <c r="AC625" s="127"/>
      <c r="AD625" s="261"/>
      <c r="AE625" s="261"/>
      <c r="AF625" s="261"/>
      <c r="AG625" s="261"/>
    </row>
    <row r="626" ht="34.5" hidden="1" customHeight="1">
      <c r="A626" s="111"/>
      <c r="B626" s="127"/>
      <c r="C626" s="111"/>
      <c r="D626" s="111"/>
      <c r="E626" s="111"/>
      <c r="F626" s="111"/>
      <c r="G626" s="111"/>
      <c r="H626" s="111"/>
      <c r="I626" s="127"/>
      <c r="J626" s="111"/>
      <c r="K626" s="257"/>
      <c r="L626" s="111"/>
      <c r="M626" s="127"/>
      <c r="N626" s="270"/>
      <c r="O626" s="111"/>
      <c r="P626" s="111"/>
      <c r="Q626" s="128"/>
      <c r="R626" s="124"/>
      <c r="S626" s="125"/>
      <c r="T626" s="126"/>
      <c r="U626" s="126"/>
      <c r="V626" s="126"/>
      <c r="W626" s="126"/>
      <c r="X626" s="126"/>
      <c r="Y626" s="126"/>
      <c r="Z626" s="127"/>
      <c r="AA626" s="127"/>
      <c r="AB626" s="127"/>
      <c r="AC626" s="127"/>
      <c r="AD626" s="261"/>
      <c r="AE626" s="261"/>
      <c r="AF626" s="261"/>
      <c r="AG626" s="261"/>
    </row>
    <row r="627" ht="34.5" hidden="1" customHeight="1">
      <c r="A627" s="111"/>
      <c r="B627" s="127"/>
      <c r="C627" s="111"/>
      <c r="D627" s="111"/>
      <c r="E627" s="111"/>
      <c r="F627" s="111"/>
      <c r="G627" s="111"/>
      <c r="H627" s="111"/>
      <c r="I627" s="127"/>
      <c r="J627" s="111"/>
      <c r="K627" s="257"/>
      <c r="L627" s="111"/>
      <c r="M627" s="127"/>
      <c r="N627" s="270"/>
      <c r="O627" s="111"/>
      <c r="P627" s="111"/>
      <c r="Q627" s="128"/>
      <c r="R627" s="124"/>
      <c r="S627" s="125"/>
      <c r="T627" s="126"/>
      <c r="U627" s="126"/>
      <c r="V627" s="126"/>
      <c r="W627" s="126"/>
      <c r="X627" s="126"/>
      <c r="Y627" s="126"/>
      <c r="Z627" s="127"/>
      <c r="AA627" s="127"/>
      <c r="AB627" s="127"/>
      <c r="AC627" s="127"/>
      <c r="AD627" s="261"/>
      <c r="AE627" s="261"/>
      <c r="AF627" s="261"/>
      <c r="AG627" s="261"/>
    </row>
    <row r="628" ht="34.5" hidden="1" customHeight="1">
      <c r="A628" s="111"/>
      <c r="B628" s="127"/>
      <c r="C628" s="111"/>
      <c r="D628" s="111"/>
      <c r="E628" s="111"/>
      <c r="F628" s="111"/>
      <c r="G628" s="111"/>
      <c r="H628" s="111"/>
      <c r="I628" s="127"/>
      <c r="J628" s="111"/>
      <c r="K628" s="257"/>
      <c r="L628" s="111"/>
      <c r="M628" s="127"/>
      <c r="N628" s="270"/>
      <c r="O628" s="111"/>
      <c r="P628" s="111"/>
      <c r="Q628" s="128"/>
      <c r="R628" s="124"/>
      <c r="S628" s="125"/>
      <c r="T628" s="126"/>
      <c r="U628" s="126"/>
      <c r="V628" s="126"/>
      <c r="W628" s="126"/>
      <c r="X628" s="126"/>
      <c r="Y628" s="126"/>
      <c r="Z628" s="127"/>
      <c r="AA628" s="127"/>
      <c r="AB628" s="127"/>
      <c r="AC628" s="127"/>
      <c r="AD628" s="261"/>
      <c r="AE628" s="261"/>
      <c r="AF628" s="261"/>
      <c r="AG628" s="261"/>
    </row>
    <row r="629" ht="34.5" hidden="1" customHeight="1">
      <c r="A629" s="111"/>
      <c r="B629" s="127"/>
      <c r="C629" s="111"/>
      <c r="D629" s="111"/>
      <c r="E629" s="111"/>
      <c r="F629" s="111"/>
      <c r="G629" s="111"/>
      <c r="H629" s="111"/>
      <c r="I629" s="127"/>
      <c r="J629" s="111"/>
      <c r="K629" s="257"/>
      <c r="L629" s="111"/>
      <c r="M629" s="127"/>
      <c r="N629" s="270"/>
      <c r="O629" s="111"/>
      <c r="P629" s="111"/>
      <c r="Q629" s="128"/>
      <c r="R629" s="124"/>
      <c r="S629" s="125"/>
      <c r="T629" s="126"/>
      <c r="U629" s="126"/>
      <c r="V629" s="126"/>
      <c r="W629" s="126"/>
      <c r="X629" s="126"/>
      <c r="Y629" s="126"/>
      <c r="Z629" s="127"/>
      <c r="AA629" s="127"/>
      <c r="AB629" s="127"/>
      <c r="AC629" s="127"/>
      <c r="AD629" s="261"/>
      <c r="AE629" s="261"/>
      <c r="AF629" s="261"/>
      <c r="AG629" s="261"/>
    </row>
    <row r="630" ht="34.5" hidden="1" customHeight="1">
      <c r="A630" s="111"/>
      <c r="B630" s="127"/>
      <c r="C630" s="111"/>
      <c r="D630" s="111"/>
      <c r="E630" s="111"/>
      <c r="F630" s="111"/>
      <c r="G630" s="111"/>
      <c r="H630" s="111"/>
      <c r="I630" s="127"/>
      <c r="J630" s="111"/>
      <c r="K630" s="257"/>
      <c r="L630" s="111"/>
      <c r="M630" s="127"/>
      <c r="N630" s="270"/>
      <c r="O630" s="111"/>
      <c r="P630" s="111"/>
      <c r="Q630" s="128"/>
      <c r="R630" s="124"/>
      <c r="S630" s="125"/>
      <c r="T630" s="126"/>
      <c r="U630" s="126"/>
      <c r="V630" s="126"/>
      <c r="W630" s="126"/>
      <c r="X630" s="126"/>
      <c r="Y630" s="126"/>
      <c r="Z630" s="127"/>
      <c r="AA630" s="127"/>
      <c r="AB630" s="127"/>
      <c r="AC630" s="127"/>
      <c r="AD630" s="261"/>
      <c r="AE630" s="261"/>
      <c r="AF630" s="261"/>
      <c r="AG630" s="261"/>
    </row>
    <row r="631" ht="34.5" hidden="1" customHeight="1">
      <c r="A631" s="111"/>
      <c r="B631" s="127"/>
      <c r="C631" s="111"/>
      <c r="D631" s="111"/>
      <c r="E631" s="111"/>
      <c r="F631" s="111"/>
      <c r="G631" s="111"/>
      <c r="H631" s="111"/>
      <c r="I631" s="127"/>
      <c r="J631" s="111"/>
      <c r="K631" s="257"/>
      <c r="L631" s="111"/>
      <c r="M631" s="127"/>
      <c r="N631" s="270"/>
      <c r="O631" s="111"/>
      <c r="P631" s="111"/>
      <c r="Q631" s="128"/>
      <c r="R631" s="124"/>
      <c r="S631" s="125"/>
      <c r="T631" s="126"/>
      <c r="U631" s="126"/>
      <c r="V631" s="126"/>
      <c r="W631" s="126"/>
      <c r="X631" s="126"/>
      <c r="Y631" s="126"/>
      <c r="Z631" s="127"/>
      <c r="AA631" s="127"/>
      <c r="AB631" s="127"/>
      <c r="AC631" s="127"/>
      <c r="AD631" s="261"/>
      <c r="AE631" s="261"/>
      <c r="AF631" s="261"/>
      <c r="AG631" s="261"/>
    </row>
    <row r="632" ht="34.5" hidden="1" customHeight="1">
      <c r="A632" s="111"/>
      <c r="B632" s="127"/>
      <c r="C632" s="111"/>
      <c r="D632" s="111"/>
      <c r="E632" s="111"/>
      <c r="F632" s="111"/>
      <c r="G632" s="111"/>
      <c r="H632" s="111"/>
      <c r="I632" s="127"/>
      <c r="J632" s="111"/>
      <c r="K632" s="257"/>
      <c r="L632" s="111"/>
      <c r="M632" s="127"/>
      <c r="N632" s="270"/>
      <c r="O632" s="111"/>
      <c r="P632" s="111"/>
      <c r="Q632" s="128"/>
      <c r="R632" s="124"/>
      <c r="S632" s="125"/>
      <c r="T632" s="126"/>
      <c r="U632" s="126"/>
      <c r="V632" s="126"/>
      <c r="W632" s="126"/>
      <c r="X632" s="126"/>
      <c r="Y632" s="126"/>
      <c r="Z632" s="127"/>
      <c r="AA632" s="127"/>
      <c r="AB632" s="127"/>
      <c r="AC632" s="127"/>
      <c r="AD632" s="261"/>
      <c r="AE632" s="261"/>
      <c r="AF632" s="261"/>
      <c r="AG632" s="261"/>
    </row>
    <row r="633" ht="34.5" hidden="1" customHeight="1">
      <c r="A633" s="111"/>
      <c r="B633" s="127"/>
      <c r="C633" s="111"/>
      <c r="D633" s="111"/>
      <c r="E633" s="111"/>
      <c r="F633" s="111"/>
      <c r="G633" s="111"/>
      <c r="H633" s="111"/>
      <c r="I633" s="127"/>
      <c r="J633" s="111"/>
      <c r="K633" s="257"/>
      <c r="L633" s="111"/>
      <c r="M633" s="127"/>
      <c r="N633" s="270"/>
      <c r="O633" s="111"/>
      <c r="P633" s="111"/>
      <c r="Q633" s="128"/>
      <c r="R633" s="124"/>
      <c r="S633" s="125"/>
      <c r="T633" s="126"/>
      <c r="U633" s="126"/>
      <c r="V633" s="126"/>
      <c r="W633" s="126"/>
      <c r="X633" s="126"/>
      <c r="Y633" s="126"/>
      <c r="Z633" s="127"/>
      <c r="AA633" s="127"/>
      <c r="AB633" s="127"/>
      <c r="AC633" s="127"/>
      <c r="AD633" s="261"/>
      <c r="AE633" s="261"/>
      <c r="AF633" s="261"/>
      <c r="AG633" s="261"/>
    </row>
    <row r="634" ht="34.5" hidden="1" customHeight="1">
      <c r="A634" s="111"/>
      <c r="B634" s="127"/>
      <c r="C634" s="111"/>
      <c r="D634" s="111"/>
      <c r="E634" s="111"/>
      <c r="F634" s="111"/>
      <c r="G634" s="111"/>
      <c r="H634" s="111"/>
      <c r="I634" s="127"/>
      <c r="J634" s="111"/>
      <c r="K634" s="257"/>
      <c r="L634" s="111"/>
      <c r="M634" s="127"/>
      <c r="N634" s="270"/>
      <c r="O634" s="111"/>
      <c r="P634" s="111"/>
      <c r="Q634" s="128"/>
      <c r="R634" s="124"/>
      <c r="S634" s="125"/>
      <c r="T634" s="126"/>
      <c r="U634" s="126"/>
      <c r="V634" s="126"/>
      <c r="W634" s="126"/>
      <c r="X634" s="126"/>
      <c r="Y634" s="126"/>
      <c r="Z634" s="127"/>
      <c r="AA634" s="127"/>
      <c r="AB634" s="127"/>
      <c r="AC634" s="127"/>
      <c r="AD634" s="261"/>
      <c r="AE634" s="261"/>
      <c r="AF634" s="261"/>
      <c r="AG634" s="261"/>
    </row>
    <row r="635" ht="34.5" hidden="1" customHeight="1">
      <c r="A635" s="111"/>
      <c r="B635" s="127"/>
      <c r="C635" s="111"/>
      <c r="D635" s="111"/>
      <c r="E635" s="111"/>
      <c r="F635" s="111"/>
      <c r="G635" s="111"/>
      <c r="H635" s="111"/>
      <c r="I635" s="127"/>
      <c r="J635" s="111"/>
      <c r="K635" s="257"/>
      <c r="L635" s="111"/>
      <c r="M635" s="127"/>
      <c r="N635" s="270"/>
      <c r="O635" s="111"/>
      <c r="P635" s="111"/>
      <c r="Q635" s="128"/>
      <c r="R635" s="124"/>
      <c r="S635" s="125"/>
      <c r="T635" s="126"/>
      <c r="U635" s="126"/>
      <c r="V635" s="126"/>
      <c r="W635" s="126"/>
      <c r="X635" s="126"/>
      <c r="Y635" s="126"/>
      <c r="Z635" s="127"/>
      <c r="AA635" s="127"/>
      <c r="AB635" s="127"/>
      <c r="AC635" s="127"/>
      <c r="AD635" s="261"/>
      <c r="AE635" s="261"/>
      <c r="AF635" s="261"/>
      <c r="AG635" s="261"/>
    </row>
    <row r="636" ht="34.5" hidden="1" customHeight="1">
      <c r="A636" s="111"/>
      <c r="B636" s="127"/>
      <c r="C636" s="111"/>
      <c r="D636" s="111"/>
      <c r="E636" s="111"/>
      <c r="F636" s="111"/>
      <c r="G636" s="111"/>
      <c r="H636" s="111"/>
      <c r="I636" s="127"/>
      <c r="J636" s="111"/>
      <c r="K636" s="257"/>
      <c r="L636" s="111"/>
      <c r="M636" s="127"/>
      <c r="N636" s="270"/>
      <c r="O636" s="111"/>
      <c r="P636" s="111"/>
      <c r="Q636" s="128"/>
      <c r="R636" s="124"/>
      <c r="S636" s="125"/>
      <c r="T636" s="126"/>
      <c r="U636" s="126"/>
      <c r="V636" s="126"/>
      <c r="W636" s="126"/>
      <c r="X636" s="126"/>
      <c r="Y636" s="126"/>
      <c r="Z636" s="127"/>
      <c r="AA636" s="127"/>
      <c r="AB636" s="127"/>
      <c r="AC636" s="127"/>
      <c r="AD636" s="261"/>
      <c r="AE636" s="261"/>
      <c r="AF636" s="261"/>
      <c r="AG636" s="261"/>
    </row>
    <row r="637" ht="34.5" hidden="1" customHeight="1">
      <c r="A637" s="111"/>
      <c r="B637" s="127"/>
      <c r="C637" s="111"/>
      <c r="D637" s="111"/>
      <c r="E637" s="111"/>
      <c r="F637" s="111"/>
      <c r="G637" s="111"/>
      <c r="H637" s="111"/>
      <c r="I637" s="127"/>
      <c r="J637" s="111"/>
      <c r="K637" s="257"/>
      <c r="L637" s="111"/>
      <c r="M637" s="127"/>
      <c r="N637" s="270"/>
      <c r="O637" s="111"/>
      <c r="P637" s="111"/>
      <c r="Q637" s="128"/>
      <c r="R637" s="124"/>
      <c r="S637" s="125"/>
      <c r="T637" s="126"/>
      <c r="U637" s="126"/>
      <c r="V637" s="126"/>
      <c r="W637" s="126"/>
      <c r="X637" s="126"/>
      <c r="Y637" s="126"/>
      <c r="Z637" s="127"/>
      <c r="AA637" s="127"/>
      <c r="AB637" s="127"/>
      <c r="AC637" s="127"/>
      <c r="AD637" s="261"/>
      <c r="AE637" s="261"/>
      <c r="AF637" s="261"/>
      <c r="AG637" s="261"/>
    </row>
    <row r="638" ht="34.5" hidden="1" customHeight="1">
      <c r="A638" s="111"/>
      <c r="B638" s="127"/>
      <c r="C638" s="111"/>
      <c r="D638" s="111"/>
      <c r="E638" s="111"/>
      <c r="F638" s="111"/>
      <c r="G638" s="111"/>
      <c r="H638" s="111"/>
      <c r="I638" s="127"/>
      <c r="J638" s="111"/>
      <c r="K638" s="257"/>
      <c r="L638" s="111"/>
      <c r="M638" s="127"/>
      <c r="N638" s="270"/>
      <c r="O638" s="111"/>
      <c r="P638" s="111"/>
      <c r="Q638" s="128"/>
      <c r="R638" s="124"/>
      <c r="S638" s="125"/>
      <c r="T638" s="126"/>
      <c r="U638" s="126"/>
      <c r="V638" s="126"/>
      <c r="W638" s="126"/>
      <c r="X638" s="126"/>
      <c r="Y638" s="126"/>
      <c r="Z638" s="127"/>
      <c r="AA638" s="127"/>
      <c r="AB638" s="127"/>
      <c r="AC638" s="127"/>
      <c r="AD638" s="261"/>
      <c r="AE638" s="261"/>
      <c r="AF638" s="261"/>
      <c r="AG638" s="261"/>
    </row>
    <row r="639" ht="34.5" hidden="1" customHeight="1">
      <c r="A639" s="111"/>
      <c r="B639" s="127"/>
      <c r="C639" s="111"/>
      <c r="D639" s="111"/>
      <c r="E639" s="111"/>
      <c r="F639" s="111"/>
      <c r="G639" s="111"/>
      <c r="H639" s="111"/>
      <c r="I639" s="127"/>
      <c r="J639" s="111"/>
      <c r="K639" s="257"/>
      <c r="L639" s="111"/>
      <c r="M639" s="127"/>
      <c r="N639" s="270"/>
      <c r="O639" s="111"/>
      <c r="P639" s="111"/>
      <c r="Q639" s="128"/>
      <c r="R639" s="124"/>
      <c r="S639" s="125"/>
      <c r="T639" s="126"/>
      <c r="U639" s="126"/>
      <c r="V639" s="126"/>
      <c r="W639" s="126"/>
      <c r="X639" s="126"/>
      <c r="Y639" s="126"/>
      <c r="Z639" s="127"/>
      <c r="AA639" s="127"/>
      <c r="AB639" s="127"/>
      <c r="AC639" s="127"/>
      <c r="AD639" s="261"/>
      <c r="AE639" s="261"/>
      <c r="AF639" s="261"/>
      <c r="AG639" s="261"/>
    </row>
    <row r="640" ht="34.5" hidden="1" customHeight="1">
      <c r="A640" s="111"/>
      <c r="B640" s="127"/>
      <c r="C640" s="111"/>
      <c r="D640" s="111"/>
      <c r="E640" s="111"/>
      <c r="F640" s="111"/>
      <c r="G640" s="111"/>
      <c r="H640" s="111"/>
      <c r="I640" s="127"/>
      <c r="J640" s="111"/>
      <c r="K640" s="257"/>
      <c r="L640" s="111"/>
      <c r="M640" s="127"/>
      <c r="N640" s="270"/>
      <c r="O640" s="111"/>
      <c r="P640" s="111"/>
      <c r="Q640" s="128"/>
      <c r="R640" s="124"/>
      <c r="S640" s="125"/>
      <c r="T640" s="126"/>
      <c r="U640" s="126"/>
      <c r="V640" s="126"/>
      <c r="W640" s="126"/>
      <c r="X640" s="126"/>
      <c r="Y640" s="126"/>
      <c r="Z640" s="127"/>
      <c r="AA640" s="127"/>
      <c r="AB640" s="127"/>
      <c r="AC640" s="127"/>
      <c r="AD640" s="261"/>
      <c r="AE640" s="261"/>
      <c r="AF640" s="261"/>
      <c r="AG640" s="261"/>
    </row>
    <row r="641" ht="34.5" hidden="1" customHeight="1">
      <c r="A641" s="111"/>
      <c r="B641" s="127"/>
      <c r="C641" s="111"/>
      <c r="D641" s="111"/>
      <c r="E641" s="111"/>
      <c r="F641" s="111"/>
      <c r="G641" s="111"/>
      <c r="H641" s="111"/>
      <c r="I641" s="127"/>
      <c r="J641" s="111"/>
      <c r="K641" s="257"/>
      <c r="L641" s="111"/>
      <c r="M641" s="127"/>
      <c r="N641" s="270"/>
      <c r="O641" s="111"/>
      <c r="P641" s="111"/>
      <c r="Q641" s="128"/>
      <c r="R641" s="124"/>
      <c r="S641" s="125"/>
      <c r="T641" s="126"/>
      <c r="U641" s="126"/>
      <c r="V641" s="126"/>
      <c r="W641" s="126"/>
      <c r="X641" s="126"/>
      <c r="Y641" s="126"/>
      <c r="Z641" s="127"/>
      <c r="AA641" s="127"/>
      <c r="AB641" s="127"/>
      <c r="AC641" s="127"/>
      <c r="AD641" s="261"/>
      <c r="AE641" s="261"/>
      <c r="AF641" s="261"/>
      <c r="AG641" s="261"/>
    </row>
    <row r="642" ht="34.5" hidden="1" customHeight="1">
      <c r="A642" s="111"/>
      <c r="B642" s="127"/>
      <c r="C642" s="111"/>
      <c r="D642" s="111"/>
      <c r="E642" s="111"/>
      <c r="F642" s="111"/>
      <c r="G642" s="111"/>
      <c r="H642" s="111"/>
      <c r="I642" s="127"/>
      <c r="J642" s="111"/>
      <c r="K642" s="257"/>
      <c r="L642" s="111"/>
      <c r="M642" s="127"/>
      <c r="N642" s="270"/>
      <c r="O642" s="111"/>
      <c r="P642" s="111"/>
      <c r="Q642" s="128"/>
      <c r="R642" s="124"/>
      <c r="S642" s="125"/>
      <c r="T642" s="126"/>
      <c r="U642" s="126"/>
      <c r="V642" s="126"/>
      <c r="W642" s="126"/>
      <c r="X642" s="126"/>
      <c r="Y642" s="126"/>
      <c r="Z642" s="127"/>
      <c r="AA642" s="127"/>
      <c r="AB642" s="127"/>
      <c r="AC642" s="127"/>
      <c r="AD642" s="261"/>
      <c r="AE642" s="261"/>
      <c r="AF642" s="261"/>
      <c r="AG642" s="261"/>
    </row>
    <row r="643" ht="34.5" hidden="1" customHeight="1">
      <c r="A643" s="111"/>
      <c r="B643" s="127"/>
      <c r="C643" s="111"/>
      <c r="D643" s="111"/>
      <c r="E643" s="111"/>
      <c r="F643" s="111"/>
      <c r="G643" s="111"/>
      <c r="H643" s="111"/>
      <c r="I643" s="127"/>
      <c r="J643" s="111"/>
      <c r="K643" s="257"/>
      <c r="L643" s="111"/>
      <c r="M643" s="127"/>
      <c r="N643" s="270"/>
      <c r="O643" s="111"/>
      <c r="P643" s="111"/>
      <c r="Q643" s="128"/>
      <c r="R643" s="124"/>
      <c r="S643" s="125"/>
      <c r="T643" s="126"/>
      <c r="U643" s="126"/>
      <c r="V643" s="126"/>
      <c r="W643" s="126"/>
      <c r="X643" s="126"/>
      <c r="Y643" s="126"/>
      <c r="Z643" s="127"/>
      <c r="AA643" s="127"/>
      <c r="AB643" s="127"/>
      <c r="AC643" s="127"/>
      <c r="AD643" s="261"/>
      <c r="AE643" s="261"/>
      <c r="AF643" s="261"/>
      <c r="AG643" s="261"/>
    </row>
    <row r="644" ht="34.5" hidden="1" customHeight="1">
      <c r="A644" s="111"/>
      <c r="B644" s="127"/>
      <c r="C644" s="111"/>
      <c r="D644" s="111"/>
      <c r="E644" s="111"/>
      <c r="F644" s="111"/>
      <c r="G644" s="111"/>
      <c r="H644" s="111"/>
      <c r="I644" s="127"/>
      <c r="J644" s="111"/>
      <c r="K644" s="257"/>
      <c r="L644" s="111"/>
      <c r="M644" s="127"/>
      <c r="N644" s="270"/>
      <c r="O644" s="111"/>
      <c r="P644" s="111"/>
      <c r="Q644" s="128"/>
      <c r="R644" s="124"/>
      <c r="S644" s="125"/>
      <c r="T644" s="126"/>
      <c r="U644" s="126"/>
      <c r="V644" s="126"/>
      <c r="W644" s="126"/>
      <c r="X644" s="126"/>
      <c r="Y644" s="126"/>
      <c r="Z644" s="127"/>
      <c r="AA644" s="127"/>
      <c r="AB644" s="127"/>
      <c r="AC644" s="127"/>
      <c r="AD644" s="261"/>
      <c r="AE644" s="261"/>
      <c r="AF644" s="261"/>
      <c r="AG644" s="261"/>
    </row>
    <row r="645" ht="34.5" hidden="1" customHeight="1">
      <c r="A645" s="111"/>
      <c r="B645" s="127"/>
      <c r="C645" s="111"/>
      <c r="D645" s="111"/>
      <c r="E645" s="111"/>
      <c r="F645" s="111"/>
      <c r="G645" s="111"/>
      <c r="H645" s="111"/>
      <c r="I645" s="127"/>
      <c r="J645" s="111"/>
      <c r="K645" s="257"/>
      <c r="L645" s="111"/>
      <c r="M645" s="127"/>
      <c r="N645" s="270"/>
      <c r="O645" s="111"/>
      <c r="P645" s="111"/>
      <c r="Q645" s="128"/>
      <c r="R645" s="124"/>
      <c r="S645" s="125"/>
      <c r="T645" s="126"/>
      <c r="U645" s="126"/>
      <c r="V645" s="126"/>
      <c r="W645" s="126"/>
      <c r="X645" s="126"/>
      <c r="Y645" s="126"/>
      <c r="Z645" s="127"/>
      <c r="AA645" s="127"/>
      <c r="AB645" s="127"/>
      <c r="AC645" s="127"/>
      <c r="AD645" s="261"/>
      <c r="AE645" s="261"/>
      <c r="AF645" s="261"/>
      <c r="AG645" s="261"/>
    </row>
    <row r="646" ht="34.5" hidden="1" customHeight="1">
      <c r="A646" s="111"/>
      <c r="B646" s="127"/>
      <c r="C646" s="111"/>
      <c r="D646" s="111"/>
      <c r="E646" s="111"/>
      <c r="F646" s="111"/>
      <c r="G646" s="111"/>
      <c r="H646" s="111"/>
      <c r="I646" s="127"/>
      <c r="J646" s="111"/>
      <c r="K646" s="257"/>
      <c r="L646" s="111"/>
      <c r="M646" s="127"/>
      <c r="N646" s="270"/>
      <c r="O646" s="111"/>
      <c r="P646" s="111"/>
      <c r="Q646" s="128"/>
      <c r="R646" s="124"/>
      <c r="S646" s="125"/>
      <c r="T646" s="126"/>
      <c r="U646" s="126"/>
      <c r="V646" s="126"/>
      <c r="W646" s="126"/>
      <c r="X646" s="126"/>
      <c r="Y646" s="126"/>
      <c r="Z646" s="127"/>
      <c r="AA646" s="127"/>
      <c r="AB646" s="127"/>
      <c r="AC646" s="127"/>
      <c r="AD646" s="261"/>
      <c r="AE646" s="261"/>
      <c r="AF646" s="261"/>
      <c r="AG646" s="261"/>
    </row>
    <row r="647" ht="34.5" hidden="1" customHeight="1">
      <c r="A647" s="111"/>
      <c r="B647" s="127"/>
      <c r="C647" s="111"/>
      <c r="D647" s="111"/>
      <c r="E647" s="111"/>
      <c r="F647" s="111"/>
      <c r="G647" s="111"/>
      <c r="H647" s="111"/>
      <c r="I647" s="127"/>
      <c r="J647" s="111"/>
      <c r="K647" s="257"/>
      <c r="L647" s="111"/>
      <c r="M647" s="127"/>
      <c r="N647" s="270"/>
      <c r="O647" s="111"/>
      <c r="P647" s="111"/>
      <c r="Q647" s="128"/>
      <c r="R647" s="124"/>
      <c r="S647" s="125"/>
      <c r="T647" s="126"/>
      <c r="U647" s="126"/>
      <c r="V647" s="126"/>
      <c r="W647" s="126"/>
      <c r="X647" s="126"/>
      <c r="Y647" s="126"/>
      <c r="Z647" s="127"/>
      <c r="AA647" s="127"/>
      <c r="AB647" s="127"/>
      <c r="AC647" s="127"/>
      <c r="AD647" s="261"/>
      <c r="AE647" s="261"/>
      <c r="AF647" s="261"/>
      <c r="AG647" s="261"/>
    </row>
    <row r="648" ht="34.5" hidden="1" customHeight="1">
      <c r="A648" s="111"/>
      <c r="B648" s="127"/>
      <c r="C648" s="111"/>
      <c r="D648" s="111"/>
      <c r="E648" s="111"/>
      <c r="F648" s="111"/>
      <c r="G648" s="111"/>
      <c r="H648" s="111"/>
      <c r="I648" s="127"/>
      <c r="J648" s="111"/>
      <c r="K648" s="257"/>
      <c r="L648" s="111"/>
      <c r="M648" s="127"/>
      <c r="N648" s="270"/>
      <c r="O648" s="111"/>
      <c r="P648" s="111"/>
      <c r="Q648" s="128"/>
      <c r="R648" s="124"/>
      <c r="S648" s="125"/>
      <c r="T648" s="126"/>
      <c r="U648" s="126"/>
      <c r="V648" s="126"/>
      <c r="W648" s="126"/>
      <c r="X648" s="126"/>
      <c r="Y648" s="126"/>
      <c r="Z648" s="127"/>
      <c r="AA648" s="127"/>
      <c r="AB648" s="127"/>
      <c r="AC648" s="127"/>
      <c r="AD648" s="261"/>
      <c r="AE648" s="261"/>
      <c r="AF648" s="261"/>
      <c r="AG648" s="261"/>
    </row>
    <row r="649" ht="34.5" hidden="1" customHeight="1">
      <c r="A649" s="111"/>
      <c r="B649" s="127"/>
      <c r="C649" s="111"/>
      <c r="D649" s="111"/>
      <c r="E649" s="111"/>
      <c r="F649" s="111"/>
      <c r="G649" s="111"/>
      <c r="H649" s="111"/>
      <c r="I649" s="127"/>
      <c r="J649" s="111"/>
      <c r="K649" s="257"/>
      <c r="L649" s="111"/>
      <c r="M649" s="127"/>
      <c r="N649" s="270"/>
      <c r="O649" s="111"/>
      <c r="P649" s="111"/>
      <c r="Q649" s="128"/>
      <c r="R649" s="124"/>
      <c r="S649" s="125"/>
      <c r="T649" s="126"/>
      <c r="U649" s="126"/>
      <c r="V649" s="126"/>
      <c r="W649" s="126"/>
      <c r="X649" s="126"/>
      <c r="Y649" s="126"/>
      <c r="Z649" s="127"/>
      <c r="AA649" s="127"/>
      <c r="AB649" s="127"/>
      <c r="AC649" s="127"/>
      <c r="AD649" s="261"/>
      <c r="AE649" s="261"/>
      <c r="AF649" s="261"/>
      <c r="AG649" s="261"/>
    </row>
    <row r="650" ht="34.5" hidden="1" customHeight="1">
      <c r="A650" s="111"/>
      <c r="B650" s="127"/>
      <c r="C650" s="111"/>
      <c r="D650" s="111"/>
      <c r="E650" s="111"/>
      <c r="F650" s="111"/>
      <c r="G650" s="111"/>
      <c r="H650" s="111"/>
      <c r="I650" s="127"/>
      <c r="J650" s="111"/>
      <c r="K650" s="257"/>
      <c r="L650" s="111"/>
      <c r="M650" s="127"/>
      <c r="N650" s="270"/>
      <c r="O650" s="111"/>
      <c r="P650" s="111"/>
      <c r="Q650" s="128"/>
      <c r="R650" s="124"/>
      <c r="S650" s="125"/>
      <c r="T650" s="126"/>
      <c r="U650" s="126"/>
      <c r="V650" s="126"/>
      <c r="W650" s="126"/>
      <c r="X650" s="126"/>
      <c r="Y650" s="126"/>
      <c r="Z650" s="127"/>
      <c r="AA650" s="127"/>
      <c r="AB650" s="127"/>
      <c r="AC650" s="127"/>
      <c r="AD650" s="261"/>
      <c r="AE650" s="261"/>
      <c r="AF650" s="261"/>
      <c r="AG650" s="261"/>
    </row>
    <row r="651" ht="34.5" hidden="1" customHeight="1">
      <c r="A651" s="111"/>
      <c r="B651" s="127"/>
      <c r="C651" s="111"/>
      <c r="D651" s="111"/>
      <c r="E651" s="111"/>
      <c r="F651" s="111"/>
      <c r="G651" s="111"/>
      <c r="H651" s="111"/>
      <c r="I651" s="127"/>
      <c r="J651" s="111"/>
      <c r="K651" s="257"/>
      <c r="L651" s="111"/>
      <c r="M651" s="127"/>
      <c r="N651" s="270"/>
      <c r="O651" s="111"/>
      <c r="P651" s="111"/>
      <c r="Q651" s="128"/>
      <c r="R651" s="124"/>
      <c r="S651" s="125"/>
      <c r="T651" s="126"/>
      <c r="U651" s="126"/>
      <c r="V651" s="126"/>
      <c r="W651" s="126"/>
      <c r="X651" s="126"/>
      <c r="Y651" s="126"/>
      <c r="Z651" s="127"/>
      <c r="AA651" s="127"/>
      <c r="AB651" s="127"/>
      <c r="AC651" s="127"/>
      <c r="AD651" s="261"/>
      <c r="AE651" s="261"/>
      <c r="AF651" s="261"/>
      <c r="AG651" s="261"/>
    </row>
    <row r="652" ht="34.5" hidden="1" customHeight="1">
      <c r="A652" s="111"/>
      <c r="B652" s="127"/>
      <c r="C652" s="111"/>
      <c r="D652" s="111"/>
      <c r="E652" s="111"/>
      <c r="F652" s="111"/>
      <c r="G652" s="111"/>
      <c r="H652" s="111"/>
      <c r="I652" s="127"/>
      <c r="J652" s="111"/>
      <c r="K652" s="257"/>
      <c r="L652" s="111"/>
      <c r="M652" s="127"/>
      <c r="N652" s="270"/>
      <c r="O652" s="111"/>
      <c r="P652" s="111"/>
      <c r="Q652" s="128"/>
      <c r="R652" s="124"/>
      <c r="S652" s="125"/>
      <c r="T652" s="126"/>
      <c r="U652" s="126"/>
      <c r="V652" s="126"/>
      <c r="W652" s="126"/>
      <c r="X652" s="126"/>
      <c r="Y652" s="126"/>
      <c r="Z652" s="127"/>
      <c r="AA652" s="127"/>
      <c r="AB652" s="127"/>
      <c r="AC652" s="127"/>
      <c r="AD652" s="261"/>
      <c r="AE652" s="261"/>
      <c r="AF652" s="261"/>
      <c r="AG652" s="261"/>
    </row>
    <row r="653" ht="34.5" hidden="1" customHeight="1">
      <c r="A653" s="111"/>
      <c r="B653" s="127"/>
      <c r="C653" s="111"/>
      <c r="D653" s="111"/>
      <c r="E653" s="111"/>
      <c r="F653" s="111"/>
      <c r="G653" s="111"/>
      <c r="H653" s="111"/>
      <c r="I653" s="127"/>
      <c r="J653" s="111"/>
      <c r="K653" s="257"/>
      <c r="L653" s="111"/>
      <c r="M653" s="127"/>
      <c r="N653" s="270"/>
      <c r="O653" s="111"/>
      <c r="P653" s="111"/>
      <c r="Q653" s="128"/>
      <c r="R653" s="124"/>
      <c r="S653" s="125"/>
      <c r="T653" s="126"/>
      <c r="U653" s="126"/>
      <c r="V653" s="126"/>
      <c r="W653" s="126"/>
      <c r="X653" s="126"/>
      <c r="Y653" s="126"/>
      <c r="Z653" s="127"/>
      <c r="AA653" s="127"/>
      <c r="AB653" s="127"/>
      <c r="AC653" s="127"/>
      <c r="AD653" s="261"/>
      <c r="AE653" s="261"/>
      <c r="AF653" s="261"/>
      <c r="AG653" s="261"/>
    </row>
    <row r="654" ht="34.5" hidden="1" customHeight="1">
      <c r="A654" s="111"/>
      <c r="B654" s="127"/>
      <c r="C654" s="111"/>
      <c r="D654" s="111"/>
      <c r="E654" s="111"/>
      <c r="F654" s="111"/>
      <c r="G654" s="111"/>
      <c r="H654" s="111"/>
      <c r="I654" s="127"/>
      <c r="J654" s="111"/>
      <c r="K654" s="257"/>
      <c r="L654" s="111"/>
      <c r="M654" s="127"/>
      <c r="N654" s="270"/>
      <c r="O654" s="111"/>
      <c r="P654" s="111"/>
      <c r="Q654" s="128"/>
      <c r="R654" s="124"/>
      <c r="S654" s="125"/>
      <c r="T654" s="126"/>
      <c r="U654" s="126"/>
      <c r="V654" s="126"/>
      <c r="W654" s="126"/>
      <c r="X654" s="126"/>
      <c r="Y654" s="126"/>
      <c r="Z654" s="127"/>
      <c r="AA654" s="127"/>
      <c r="AB654" s="127"/>
      <c r="AC654" s="127"/>
      <c r="AD654" s="261"/>
      <c r="AE654" s="261"/>
      <c r="AF654" s="261"/>
      <c r="AG654" s="261"/>
    </row>
    <row r="655" ht="34.5" hidden="1" customHeight="1">
      <c r="A655" s="111"/>
      <c r="B655" s="127"/>
      <c r="C655" s="111"/>
      <c r="D655" s="111"/>
      <c r="E655" s="111"/>
      <c r="F655" s="111"/>
      <c r="G655" s="111"/>
      <c r="H655" s="111"/>
      <c r="I655" s="127"/>
      <c r="J655" s="111"/>
      <c r="K655" s="257"/>
      <c r="L655" s="111"/>
      <c r="M655" s="127"/>
      <c r="N655" s="270"/>
      <c r="O655" s="111"/>
      <c r="P655" s="111"/>
      <c r="Q655" s="128"/>
      <c r="R655" s="124"/>
      <c r="S655" s="125"/>
      <c r="T655" s="126"/>
      <c r="U655" s="126"/>
      <c r="V655" s="126"/>
      <c r="W655" s="126"/>
      <c r="X655" s="126"/>
      <c r="Y655" s="126"/>
      <c r="Z655" s="127"/>
      <c r="AA655" s="127"/>
      <c r="AB655" s="127"/>
      <c r="AC655" s="127"/>
      <c r="AD655" s="261"/>
      <c r="AE655" s="261"/>
      <c r="AF655" s="261"/>
      <c r="AG655" s="261"/>
    </row>
    <row r="656" ht="34.5" hidden="1" customHeight="1">
      <c r="A656" s="111"/>
      <c r="B656" s="127"/>
      <c r="C656" s="111"/>
      <c r="D656" s="111"/>
      <c r="E656" s="111"/>
      <c r="F656" s="111"/>
      <c r="G656" s="111"/>
      <c r="H656" s="111"/>
      <c r="I656" s="127"/>
      <c r="J656" s="111"/>
      <c r="K656" s="257"/>
      <c r="L656" s="111"/>
      <c r="M656" s="127"/>
      <c r="N656" s="270"/>
      <c r="O656" s="111"/>
      <c r="P656" s="111"/>
      <c r="Q656" s="128"/>
      <c r="R656" s="124"/>
      <c r="S656" s="125"/>
      <c r="T656" s="126"/>
      <c r="U656" s="126"/>
      <c r="V656" s="126"/>
      <c r="W656" s="126"/>
      <c r="X656" s="126"/>
      <c r="Y656" s="126"/>
      <c r="Z656" s="127"/>
      <c r="AA656" s="127"/>
      <c r="AB656" s="127"/>
      <c r="AC656" s="127"/>
      <c r="AD656" s="261"/>
      <c r="AE656" s="261"/>
      <c r="AF656" s="261"/>
      <c r="AG656" s="261"/>
    </row>
    <row r="657" ht="34.5" hidden="1" customHeight="1">
      <c r="A657" s="111"/>
      <c r="B657" s="127"/>
      <c r="C657" s="111"/>
      <c r="D657" s="111"/>
      <c r="E657" s="111"/>
      <c r="F657" s="111"/>
      <c r="G657" s="111"/>
      <c r="H657" s="111"/>
      <c r="I657" s="127"/>
      <c r="J657" s="111"/>
      <c r="K657" s="257"/>
      <c r="L657" s="111"/>
      <c r="M657" s="127"/>
      <c r="N657" s="270"/>
      <c r="O657" s="111"/>
      <c r="P657" s="111"/>
      <c r="Q657" s="128"/>
      <c r="R657" s="124"/>
      <c r="S657" s="125"/>
      <c r="T657" s="126"/>
      <c r="U657" s="126"/>
      <c r="V657" s="126"/>
      <c r="W657" s="126"/>
      <c r="X657" s="126"/>
      <c r="Y657" s="126"/>
      <c r="Z657" s="127"/>
      <c r="AA657" s="127"/>
      <c r="AB657" s="127"/>
      <c r="AC657" s="127"/>
      <c r="AD657" s="261"/>
      <c r="AE657" s="261"/>
      <c r="AF657" s="261"/>
      <c r="AG657" s="261"/>
    </row>
    <row r="658" ht="34.5" hidden="1" customHeight="1">
      <c r="A658" s="111"/>
      <c r="B658" s="127"/>
      <c r="C658" s="111"/>
      <c r="D658" s="111"/>
      <c r="E658" s="111"/>
      <c r="F658" s="111"/>
      <c r="G658" s="111"/>
      <c r="H658" s="111"/>
      <c r="I658" s="127"/>
      <c r="J658" s="111"/>
      <c r="K658" s="257"/>
      <c r="L658" s="111"/>
      <c r="M658" s="127"/>
      <c r="N658" s="270"/>
      <c r="O658" s="111"/>
      <c r="P658" s="111"/>
      <c r="Q658" s="128"/>
      <c r="R658" s="124"/>
      <c r="S658" s="125"/>
      <c r="T658" s="126"/>
      <c r="U658" s="126"/>
      <c r="V658" s="126"/>
      <c r="W658" s="126"/>
      <c r="X658" s="126"/>
      <c r="Y658" s="126"/>
      <c r="Z658" s="127"/>
      <c r="AA658" s="127"/>
      <c r="AB658" s="127"/>
      <c r="AC658" s="127"/>
      <c r="AD658" s="261"/>
      <c r="AE658" s="261"/>
      <c r="AF658" s="261"/>
      <c r="AG658" s="261"/>
    </row>
    <row r="659" ht="34.5" hidden="1" customHeight="1">
      <c r="A659" s="111"/>
      <c r="B659" s="127"/>
      <c r="C659" s="111"/>
      <c r="D659" s="111"/>
      <c r="E659" s="111"/>
      <c r="F659" s="111"/>
      <c r="G659" s="111"/>
      <c r="H659" s="111"/>
      <c r="I659" s="127"/>
      <c r="J659" s="111"/>
      <c r="K659" s="257"/>
      <c r="L659" s="111"/>
      <c r="M659" s="127"/>
      <c r="N659" s="270"/>
      <c r="O659" s="111"/>
      <c r="P659" s="111"/>
      <c r="Q659" s="128"/>
      <c r="R659" s="124"/>
      <c r="S659" s="125"/>
      <c r="T659" s="126"/>
      <c r="U659" s="126"/>
      <c r="V659" s="126"/>
      <c r="W659" s="126"/>
      <c r="X659" s="126"/>
      <c r="Y659" s="126"/>
      <c r="Z659" s="127"/>
      <c r="AA659" s="127"/>
      <c r="AB659" s="127"/>
      <c r="AC659" s="127"/>
      <c r="AD659" s="261"/>
      <c r="AE659" s="261"/>
      <c r="AF659" s="261"/>
      <c r="AG659" s="261"/>
    </row>
    <row r="660" ht="34.5" hidden="1" customHeight="1">
      <c r="A660" s="111"/>
      <c r="B660" s="127"/>
      <c r="C660" s="111"/>
      <c r="D660" s="111"/>
      <c r="E660" s="111"/>
      <c r="F660" s="111"/>
      <c r="G660" s="111"/>
      <c r="H660" s="111"/>
      <c r="I660" s="127"/>
      <c r="J660" s="111"/>
      <c r="K660" s="257"/>
      <c r="L660" s="111"/>
      <c r="M660" s="127"/>
      <c r="N660" s="270"/>
      <c r="O660" s="111"/>
      <c r="P660" s="111"/>
      <c r="Q660" s="128"/>
      <c r="R660" s="124"/>
      <c r="S660" s="125"/>
      <c r="T660" s="126"/>
      <c r="U660" s="126"/>
      <c r="V660" s="126"/>
      <c r="W660" s="126"/>
      <c r="X660" s="126"/>
      <c r="Y660" s="126"/>
      <c r="Z660" s="127"/>
      <c r="AA660" s="127"/>
      <c r="AB660" s="127"/>
      <c r="AC660" s="127"/>
      <c r="AD660" s="261"/>
      <c r="AE660" s="261"/>
      <c r="AF660" s="261"/>
      <c r="AG660" s="261"/>
    </row>
    <row r="661" ht="34.5" hidden="1" customHeight="1">
      <c r="A661" s="111"/>
      <c r="B661" s="127"/>
      <c r="C661" s="111"/>
      <c r="D661" s="111"/>
      <c r="E661" s="111"/>
      <c r="F661" s="111"/>
      <c r="G661" s="111"/>
      <c r="H661" s="111"/>
      <c r="I661" s="127"/>
      <c r="J661" s="111"/>
      <c r="K661" s="257"/>
      <c r="L661" s="111"/>
      <c r="M661" s="127"/>
      <c r="N661" s="270"/>
      <c r="O661" s="111"/>
      <c r="P661" s="111"/>
      <c r="Q661" s="128"/>
      <c r="R661" s="124"/>
      <c r="S661" s="125"/>
      <c r="T661" s="126"/>
      <c r="U661" s="126"/>
      <c r="V661" s="126"/>
      <c r="W661" s="126"/>
      <c r="X661" s="126"/>
      <c r="Y661" s="126"/>
      <c r="Z661" s="127"/>
      <c r="AA661" s="127"/>
      <c r="AB661" s="127"/>
      <c r="AC661" s="127"/>
      <c r="AD661" s="261"/>
      <c r="AE661" s="261"/>
      <c r="AF661" s="261"/>
      <c r="AG661" s="261"/>
    </row>
    <row r="662" ht="34.5" hidden="1" customHeight="1">
      <c r="A662" s="111"/>
      <c r="B662" s="127"/>
      <c r="C662" s="111"/>
      <c r="D662" s="111"/>
      <c r="E662" s="111"/>
      <c r="F662" s="111"/>
      <c r="G662" s="111"/>
      <c r="H662" s="111"/>
      <c r="I662" s="127"/>
      <c r="J662" s="111"/>
      <c r="K662" s="257"/>
      <c r="L662" s="111"/>
      <c r="M662" s="127"/>
      <c r="N662" s="270"/>
      <c r="O662" s="111"/>
      <c r="P662" s="111"/>
      <c r="Q662" s="128"/>
      <c r="R662" s="124"/>
      <c r="S662" s="125"/>
      <c r="T662" s="126"/>
      <c r="U662" s="126"/>
      <c r="V662" s="126"/>
      <c r="W662" s="126"/>
      <c r="X662" s="126"/>
      <c r="Y662" s="126"/>
      <c r="Z662" s="127"/>
      <c r="AA662" s="127"/>
      <c r="AB662" s="127"/>
      <c r="AC662" s="127"/>
      <c r="AD662" s="261"/>
      <c r="AE662" s="261"/>
      <c r="AF662" s="261"/>
      <c r="AG662" s="261"/>
    </row>
    <row r="663" ht="34.5" hidden="1" customHeight="1">
      <c r="A663" s="111"/>
      <c r="B663" s="127"/>
      <c r="C663" s="111"/>
      <c r="D663" s="111"/>
      <c r="E663" s="111"/>
      <c r="F663" s="111"/>
      <c r="G663" s="111"/>
      <c r="H663" s="111"/>
      <c r="I663" s="127"/>
      <c r="J663" s="111"/>
      <c r="K663" s="257"/>
      <c r="L663" s="111"/>
      <c r="M663" s="127"/>
      <c r="N663" s="270"/>
      <c r="O663" s="111"/>
      <c r="P663" s="111"/>
      <c r="Q663" s="128"/>
      <c r="R663" s="124"/>
      <c r="S663" s="125"/>
      <c r="T663" s="126"/>
      <c r="U663" s="126"/>
      <c r="V663" s="126"/>
      <c r="W663" s="126"/>
      <c r="X663" s="126"/>
      <c r="Y663" s="126"/>
      <c r="Z663" s="127"/>
      <c r="AA663" s="127"/>
      <c r="AB663" s="127"/>
      <c r="AC663" s="127"/>
      <c r="AD663" s="261"/>
      <c r="AE663" s="261"/>
      <c r="AF663" s="261"/>
      <c r="AG663" s="261"/>
    </row>
    <row r="664" ht="34.5" hidden="1" customHeight="1">
      <c r="A664" s="111"/>
      <c r="B664" s="127"/>
      <c r="C664" s="111"/>
      <c r="D664" s="111"/>
      <c r="E664" s="111"/>
      <c r="F664" s="111"/>
      <c r="G664" s="111"/>
      <c r="H664" s="111"/>
      <c r="I664" s="127"/>
      <c r="J664" s="111"/>
      <c r="K664" s="257"/>
      <c r="L664" s="111"/>
      <c r="M664" s="127"/>
      <c r="N664" s="270"/>
      <c r="O664" s="111"/>
      <c r="P664" s="111"/>
      <c r="Q664" s="128"/>
      <c r="R664" s="124"/>
      <c r="S664" s="125"/>
      <c r="T664" s="126"/>
      <c r="U664" s="126"/>
      <c r="V664" s="126"/>
      <c r="W664" s="126"/>
      <c r="X664" s="126"/>
      <c r="Y664" s="126"/>
      <c r="Z664" s="127"/>
      <c r="AA664" s="127"/>
      <c r="AB664" s="127"/>
      <c r="AC664" s="127"/>
      <c r="AD664" s="261"/>
      <c r="AE664" s="261"/>
      <c r="AF664" s="261"/>
      <c r="AG664" s="261"/>
    </row>
    <row r="665" ht="34.5" hidden="1" customHeight="1">
      <c r="A665" s="111"/>
      <c r="B665" s="127"/>
      <c r="C665" s="111"/>
      <c r="D665" s="111"/>
      <c r="E665" s="111"/>
      <c r="F665" s="111"/>
      <c r="G665" s="111"/>
      <c r="H665" s="111"/>
      <c r="I665" s="127"/>
      <c r="J665" s="111"/>
      <c r="K665" s="257"/>
      <c r="L665" s="111"/>
      <c r="M665" s="127"/>
      <c r="N665" s="270"/>
      <c r="O665" s="111"/>
      <c r="P665" s="111"/>
      <c r="Q665" s="128"/>
      <c r="R665" s="124"/>
      <c r="S665" s="125"/>
      <c r="T665" s="126"/>
      <c r="U665" s="126"/>
      <c r="V665" s="126"/>
      <c r="W665" s="126"/>
      <c r="X665" s="126"/>
      <c r="Y665" s="126"/>
      <c r="Z665" s="127"/>
      <c r="AA665" s="127"/>
      <c r="AB665" s="127"/>
      <c r="AC665" s="127"/>
      <c r="AD665" s="261"/>
      <c r="AE665" s="261"/>
      <c r="AF665" s="261"/>
      <c r="AG665" s="261"/>
    </row>
    <row r="666" ht="34.5" hidden="1" customHeight="1">
      <c r="A666" s="111"/>
      <c r="B666" s="127"/>
      <c r="C666" s="111"/>
      <c r="D666" s="111"/>
      <c r="E666" s="111"/>
      <c r="F666" s="111"/>
      <c r="G666" s="111"/>
      <c r="H666" s="111"/>
      <c r="I666" s="127"/>
      <c r="J666" s="111"/>
      <c r="K666" s="257"/>
      <c r="L666" s="111"/>
      <c r="M666" s="127"/>
      <c r="N666" s="270"/>
      <c r="O666" s="111"/>
      <c r="P666" s="111"/>
      <c r="Q666" s="128"/>
      <c r="R666" s="124"/>
      <c r="S666" s="125"/>
      <c r="T666" s="126"/>
      <c r="U666" s="126"/>
      <c r="V666" s="126"/>
      <c r="W666" s="126"/>
      <c r="X666" s="126"/>
      <c r="Y666" s="126"/>
      <c r="Z666" s="127"/>
      <c r="AA666" s="127"/>
      <c r="AB666" s="127"/>
      <c r="AC666" s="127"/>
      <c r="AD666" s="261"/>
      <c r="AE666" s="261"/>
      <c r="AF666" s="261"/>
      <c r="AG666" s="261"/>
    </row>
    <row r="667" ht="34.5" hidden="1" customHeight="1">
      <c r="A667" s="111"/>
      <c r="B667" s="127"/>
      <c r="C667" s="111"/>
      <c r="D667" s="111"/>
      <c r="E667" s="111"/>
      <c r="F667" s="111"/>
      <c r="G667" s="111"/>
      <c r="H667" s="111"/>
      <c r="I667" s="127"/>
      <c r="J667" s="111"/>
      <c r="K667" s="257"/>
      <c r="L667" s="111"/>
      <c r="M667" s="127"/>
      <c r="N667" s="270"/>
      <c r="O667" s="111"/>
      <c r="P667" s="111"/>
      <c r="Q667" s="128"/>
      <c r="R667" s="124"/>
      <c r="S667" s="125"/>
      <c r="T667" s="126"/>
      <c r="U667" s="126"/>
      <c r="V667" s="126"/>
      <c r="W667" s="126"/>
      <c r="X667" s="126"/>
      <c r="Y667" s="126"/>
      <c r="Z667" s="127"/>
      <c r="AA667" s="127"/>
      <c r="AB667" s="127"/>
      <c r="AC667" s="127"/>
      <c r="AD667" s="261"/>
      <c r="AE667" s="261"/>
      <c r="AF667" s="261"/>
      <c r="AG667" s="261"/>
    </row>
    <row r="668" ht="34.5" hidden="1" customHeight="1">
      <c r="A668" s="111"/>
      <c r="B668" s="127"/>
      <c r="C668" s="111"/>
      <c r="D668" s="111"/>
      <c r="E668" s="111"/>
      <c r="F668" s="111"/>
      <c r="G668" s="111"/>
      <c r="H668" s="111"/>
      <c r="I668" s="127"/>
      <c r="J668" s="111"/>
      <c r="K668" s="257"/>
      <c r="L668" s="111"/>
      <c r="M668" s="127"/>
      <c r="N668" s="270"/>
      <c r="O668" s="111"/>
      <c r="P668" s="111"/>
      <c r="Q668" s="128"/>
      <c r="R668" s="124"/>
      <c r="S668" s="125"/>
      <c r="T668" s="126"/>
      <c r="U668" s="126"/>
      <c r="V668" s="126"/>
      <c r="W668" s="126"/>
      <c r="X668" s="126"/>
      <c r="Y668" s="126"/>
      <c r="Z668" s="127"/>
      <c r="AA668" s="127"/>
      <c r="AB668" s="127"/>
      <c r="AC668" s="127"/>
      <c r="AD668" s="261"/>
      <c r="AE668" s="261"/>
      <c r="AF668" s="261"/>
      <c r="AG668" s="261"/>
    </row>
    <row r="669" ht="34.5" hidden="1" customHeight="1">
      <c r="A669" s="111"/>
      <c r="B669" s="127"/>
      <c r="C669" s="111"/>
      <c r="D669" s="111"/>
      <c r="E669" s="111"/>
      <c r="F669" s="111"/>
      <c r="G669" s="111"/>
      <c r="H669" s="111"/>
      <c r="I669" s="127"/>
      <c r="J669" s="111"/>
      <c r="K669" s="257"/>
      <c r="L669" s="111"/>
      <c r="M669" s="127"/>
      <c r="N669" s="270"/>
      <c r="O669" s="111"/>
      <c r="P669" s="111"/>
      <c r="Q669" s="128"/>
      <c r="R669" s="124"/>
      <c r="S669" s="125"/>
      <c r="T669" s="126"/>
      <c r="U669" s="126"/>
      <c r="V669" s="126"/>
      <c r="W669" s="126"/>
      <c r="X669" s="126"/>
      <c r="Y669" s="126"/>
      <c r="Z669" s="127"/>
      <c r="AA669" s="127"/>
      <c r="AB669" s="127"/>
      <c r="AC669" s="127"/>
      <c r="AD669" s="261"/>
      <c r="AE669" s="261"/>
      <c r="AF669" s="261"/>
      <c r="AG669" s="261"/>
    </row>
    <row r="670" ht="34.5" hidden="1" customHeight="1">
      <c r="A670" s="111"/>
      <c r="B670" s="127"/>
      <c r="C670" s="111"/>
      <c r="D670" s="111"/>
      <c r="E670" s="111"/>
      <c r="F670" s="111"/>
      <c r="G670" s="111"/>
      <c r="H670" s="111"/>
      <c r="I670" s="127"/>
      <c r="J670" s="111"/>
      <c r="K670" s="257"/>
      <c r="L670" s="111"/>
      <c r="M670" s="127"/>
      <c r="N670" s="270"/>
      <c r="O670" s="111"/>
      <c r="P670" s="111"/>
      <c r="Q670" s="128"/>
      <c r="R670" s="124"/>
      <c r="S670" s="125"/>
      <c r="T670" s="126"/>
      <c r="U670" s="126"/>
      <c r="V670" s="126"/>
      <c r="W670" s="126"/>
      <c r="X670" s="126"/>
      <c r="Y670" s="126"/>
      <c r="Z670" s="127"/>
      <c r="AA670" s="127"/>
      <c r="AB670" s="127"/>
      <c r="AC670" s="127"/>
      <c r="AD670" s="261"/>
      <c r="AE670" s="261"/>
      <c r="AF670" s="261"/>
      <c r="AG670" s="261"/>
    </row>
    <row r="671" ht="34.5" hidden="1" customHeight="1">
      <c r="A671" s="111"/>
      <c r="B671" s="127"/>
      <c r="C671" s="111"/>
      <c r="D671" s="111"/>
      <c r="E671" s="111"/>
      <c r="F671" s="111"/>
      <c r="G671" s="111"/>
      <c r="H671" s="111"/>
      <c r="I671" s="127"/>
      <c r="J671" s="111"/>
      <c r="K671" s="257"/>
      <c r="L671" s="111"/>
      <c r="M671" s="127"/>
      <c r="N671" s="270"/>
      <c r="O671" s="111"/>
      <c r="P671" s="111"/>
      <c r="Q671" s="128"/>
      <c r="R671" s="124"/>
      <c r="S671" s="125"/>
      <c r="T671" s="126"/>
      <c r="U671" s="126"/>
      <c r="V671" s="126"/>
      <c r="W671" s="126"/>
      <c r="X671" s="126"/>
      <c r="Y671" s="126"/>
      <c r="Z671" s="127"/>
      <c r="AA671" s="127"/>
      <c r="AB671" s="127"/>
      <c r="AC671" s="127"/>
      <c r="AD671" s="261"/>
      <c r="AE671" s="261"/>
      <c r="AF671" s="261"/>
      <c r="AG671" s="261"/>
    </row>
    <row r="672" ht="34.5" hidden="1" customHeight="1">
      <c r="A672" s="111"/>
      <c r="B672" s="127"/>
      <c r="C672" s="111"/>
      <c r="D672" s="111"/>
      <c r="E672" s="111"/>
      <c r="F672" s="111"/>
      <c r="G672" s="111"/>
      <c r="H672" s="111"/>
      <c r="I672" s="127"/>
      <c r="J672" s="111"/>
      <c r="K672" s="257"/>
      <c r="L672" s="111"/>
      <c r="M672" s="127"/>
      <c r="N672" s="270"/>
      <c r="O672" s="111"/>
      <c r="P672" s="111"/>
      <c r="Q672" s="128"/>
      <c r="R672" s="124"/>
      <c r="S672" s="125"/>
      <c r="T672" s="126"/>
      <c r="U672" s="126"/>
      <c r="V672" s="126"/>
      <c r="W672" s="126"/>
      <c r="X672" s="126"/>
      <c r="Y672" s="126"/>
      <c r="Z672" s="127"/>
      <c r="AA672" s="127"/>
      <c r="AB672" s="127"/>
      <c r="AC672" s="127"/>
      <c r="AD672" s="261"/>
      <c r="AE672" s="261"/>
      <c r="AF672" s="261"/>
      <c r="AG672" s="261"/>
    </row>
    <row r="673" ht="34.5" hidden="1" customHeight="1">
      <c r="A673" s="111"/>
      <c r="B673" s="127"/>
      <c r="C673" s="111"/>
      <c r="D673" s="111"/>
      <c r="E673" s="111"/>
      <c r="F673" s="111"/>
      <c r="G673" s="111"/>
      <c r="H673" s="111"/>
      <c r="I673" s="127"/>
      <c r="J673" s="111"/>
      <c r="K673" s="257"/>
      <c r="L673" s="111"/>
      <c r="M673" s="127"/>
      <c r="N673" s="270"/>
      <c r="O673" s="111"/>
      <c r="P673" s="111"/>
      <c r="Q673" s="128"/>
      <c r="R673" s="124"/>
      <c r="S673" s="125"/>
      <c r="T673" s="126"/>
      <c r="U673" s="126"/>
      <c r="V673" s="126"/>
      <c r="W673" s="126"/>
      <c r="X673" s="126"/>
      <c r="Y673" s="126"/>
      <c r="Z673" s="127"/>
      <c r="AA673" s="127"/>
      <c r="AB673" s="127"/>
      <c r="AC673" s="127"/>
      <c r="AD673" s="261"/>
      <c r="AE673" s="261"/>
      <c r="AF673" s="261"/>
      <c r="AG673" s="261"/>
    </row>
    <row r="674" ht="34.5" hidden="1" customHeight="1">
      <c r="A674" s="111"/>
      <c r="B674" s="127"/>
      <c r="C674" s="111"/>
      <c r="D674" s="111"/>
      <c r="E674" s="111"/>
      <c r="F674" s="111"/>
      <c r="G674" s="111"/>
      <c r="H674" s="111"/>
      <c r="I674" s="127"/>
      <c r="J674" s="111"/>
      <c r="K674" s="257"/>
      <c r="L674" s="111"/>
      <c r="M674" s="127"/>
      <c r="N674" s="270"/>
      <c r="O674" s="111"/>
      <c r="P674" s="111"/>
      <c r="Q674" s="128"/>
      <c r="R674" s="124"/>
      <c r="S674" s="125"/>
      <c r="T674" s="126"/>
      <c r="U674" s="126"/>
      <c r="V674" s="126"/>
      <c r="W674" s="126"/>
      <c r="X674" s="126"/>
      <c r="Y674" s="126"/>
      <c r="Z674" s="127"/>
      <c r="AA674" s="127"/>
      <c r="AB674" s="127"/>
      <c r="AC674" s="127"/>
      <c r="AD674" s="261"/>
      <c r="AE674" s="261"/>
      <c r="AF674" s="261"/>
      <c r="AG674" s="261"/>
    </row>
    <row r="675" ht="34.5" hidden="1" customHeight="1">
      <c r="A675" s="111"/>
      <c r="B675" s="127"/>
      <c r="C675" s="111"/>
      <c r="D675" s="111"/>
      <c r="E675" s="111"/>
      <c r="F675" s="111"/>
      <c r="G675" s="111"/>
      <c r="H675" s="111"/>
      <c r="I675" s="127"/>
      <c r="J675" s="111"/>
      <c r="K675" s="257"/>
      <c r="L675" s="111"/>
      <c r="M675" s="127"/>
      <c r="N675" s="270"/>
      <c r="O675" s="111"/>
      <c r="P675" s="111"/>
      <c r="Q675" s="128"/>
      <c r="R675" s="124"/>
      <c r="S675" s="125"/>
      <c r="T675" s="126"/>
      <c r="U675" s="126"/>
      <c r="V675" s="126"/>
      <c r="W675" s="126"/>
      <c r="X675" s="126"/>
      <c r="Y675" s="126"/>
      <c r="Z675" s="127"/>
      <c r="AA675" s="127"/>
      <c r="AB675" s="127"/>
      <c r="AC675" s="127"/>
      <c r="AD675" s="261"/>
      <c r="AE675" s="261"/>
      <c r="AF675" s="261"/>
      <c r="AG675" s="261"/>
    </row>
    <row r="676" ht="34.5" hidden="1" customHeight="1">
      <c r="A676" s="111"/>
      <c r="B676" s="127"/>
      <c r="C676" s="111"/>
      <c r="D676" s="111"/>
      <c r="E676" s="111"/>
      <c r="F676" s="111"/>
      <c r="G676" s="111"/>
      <c r="H676" s="111"/>
      <c r="I676" s="127"/>
      <c r="J676" s="111"/>
      <c r="K676" s="257"/>
      <c r="L676" s="111"/>
      <c r="M676" s="127"/>
      <c r="N676" s="270"/>
      <c r="O676" s="111"/>
      <c r="P676" s="111"/>
      <c r="Q676" s="128"/>
      <c r="R676" s="124"/>
      <c r="S676" s="125"/>
      <c r="T676" s="126"/>
      <c r="U676" s="126"/>
      <c r="V676" s="126"/>
      <c r="W676" s="126"/>
      <c r="X676" s="126"/>
      <c r="Y676" s="126"/>
      <c r="Z676" s="127"/>
      <c r="AA676" s="127"/>
      <c r="AB676" s="127"/>
      <c r="AC676" s="127"/>
      <c r="AD676" s="261"/>
      <c r="AE676" s="261"/>
      <c r="AF676" s="261"/>
      <c r="AG676" s="261"/>
    </row>
    <row r="677" ht="34.5" hidden="1" customHeight="1">
      <c r="A677" s="111"/>
      <c r="B677" s="127"/>
      <c r="C677" s="111"/>
      <c r="D677" s="111"/>
      <c r="E677" s="111"/>
      <c r="F677" s="111"/>
      <c r="G677" s="111"/>
      <c r="H677" s="111"/>
      <c r="I677" s="127"/>
      <c r="J677" s="111"/>
      <c r="K677" s="257"/>
      <c r="L677" s="111"/>
      <c r="M677" s="127"/>
      <c r="N677" s="270"/>
      <c r="O677" s="111"/>
      <c r="P677" s="111"/>
      <c r="Q677" s="128"/>
      <c r="R677" s="124"/>
      <c r="S677" s="125"/>
      <c r="T677" s="126"/>
      <c r="U677" s="126"/>
      <c r="V677" s="126"/>
      <c r="W677" s="126"/>
      <c r="X677" s="126"/>
      <c r="Y677" s="126"/>
      <c r="Z677" s="127"/>
      <c r="AA677" s="127"/>
      <c r="AB677" s="127"/>
      <c r="AC677" s="127"/>
      <c r="AD677" s="261"/>
      <c r="AE677" s="261"/>
      <c r="AF677" s="261"/>
      <c r="AG677" s="261"/>
    </row>
    <row r="678" ht="34.5" hidden="1" customHeight="1">
      <c r="A678" s="111"/>
      <c r="B678" s="127"/>
      <c r="C678" s="111"/>
      <c r="D678" s="111"/>
      <c r="E678" s="111"/>
      <c r="F678" s="111"/>
      <c r="G678" s="111"/>
      <c r="H678" s="111"/>
      <c r="I678" s="127"/>
      <c r="J678" s="111"/>
      <c r="K678" s="257"/>
      <c r="L678" s="111"/>
      <c r="M678" s="127"/>
      <c r="N678" s="270"/>
      <c r="O678" s="111"/>
      <c r="P678" s="111"/>
      <c r="Q678" s="128"/>
      <c r="R678" s="124"/>
      <c r="S678" s="125"/>
      <c r="T678" s="126"/>
      <c r="U678" s="126"/>
      <c r="V678" s="126"/>
      <c r="W678" s="126"/>
      <c r="X678" s="126"/>
      <c r="Y678" s="126"/>
      <c r="Z678" s="127"/>
      <c r="AA678" s="127"/>
      <c r="AB678" s="127"/>
      <c r="AC678" s="127"/>
      <c r="AD678" s="261"/>
      <c r="AE678" s="261"/>
      <c r="AF678" s="261"/>
      <c r="AG678" s="261"/>
    </row>
    <row r="679" ht="34.5" hidden="1" customHeight="1">
      <c r="A679" s="111"/>
      <c r="B679" s="127"/>
      <c r="C679" s="111"/>
      <c r="D679" s="111"/>
      <c r="E679" s="111"/>
      <c r="F679" s="111"/>
      <c r="G679" s="111"/>
      <c r="H679" s="111"/>
      <c r="I679" s="127"/>
      <c r="J679" s="111"/>
      <c r="K679" s="257"/>
      <c r="L679" s="111"/>
      <c r="M679" s="127"/>
      <c r="N679" s="270"/>
      <c r="O679" s="111"/>
      <c r="P679" s="111"/>
      <c r="Q679" s="128"/>
      <c r="R679" s="124"/>
      <c r="S679" s="125"/>
      <c r="T679" s="126"/>
      <c r="U679" s="126"/>
      <c r="V679" s="126"/>
      <c r="W679" s="126"/>
      <c r="X679" s="126"/>
      <c r="Y679" s="126"/>
      <c r="Z679" s="127"/>
      <c r="AA679" s="127"/>
      <c r="AB679" s="127"/>
      <c r="AC679" s="127"/>
      <c r="AD679" s="261"/>
      <c r="AE679" s="261"/>
      <c r="AF679" s="261"/>
      <c r="AG679" s="261"/>
    </row>
    <row r="680" ht="34.5" hidden="1" customHeight="1">
      <c r="A680" s="111"/>
      <c r="B680" s="127"/>
      <c r="C680" s="111"/>
      <c r="D680" s="111"/>
      <c r="E680" s="111"/>
      <c r="F680" s="111"/>
      <c r="G680" s="111"/>
      <c r="H680" s="111"/>
      <c r="I680" s="127"/>
      <c r="J680" s="111"/>
      <c r="K680" s="257"/>
      <c r="L680" s="111"/>
      <c r="M680" s="127"/>
      <c r="N680" s="270"/>
      <c r="O680" s="111"/>
      <c r="P680" s="111"/>
      <c r="Q680" s="128"/>
      <c r="R680" s="124"/>
      <c r="S680" s="125"/>
      <c r="T680" s="126"/>
      <c r="U680" s="126"/>
      <c r="V680" s="126"/>
      <c r="W680" s="126"/>
      <c r="X680" s="126"/>
      <c r="Y680" s="126"/>
      <c r="Z680" s="127"/>
      <c r="AA680" s="127"/>
      <c r="AB680" s="127"/>
      <c r="AC680" s="127"/>
      <c r="AD680" s="261"/>
      <c r="AE680" s="261"/>
      <c r="AF680" s="261"/>
      <c r="AG680" s="261"/>
    </row>
    <row r="681" ht="34.5" hidden="1" customHeight="1">
      <c r="A681" s="111"/>
      <c r="B681" s="127"/>
      <c r="C681" s="111"/>
      <c r="D681" s="111"/>
      <c r="E681" s="111"/>
      <c r="F681" s="111"/>
      <c r="G681" s="111"/>
      <c r="H681" s="111"/>
      <c r="I681" s="127"/>
      <c r="J681" s="111"/>
      <c r="K681" s="257"/>
      <c r="L681" s="111"/>
      <c r="M681" s="127"/>
      <c r="N681" s="270"/>
      <c r="O681" s="111"/>
      <c r="P681" s="111"/>
      <c r="Q681" s="128"/>
      <c r="R681" s="124"/>
      <c r="S681" s="125"/>
      <c r="T681" s="126"/>
      <c r="U681" s="126"/>
      <c r="V681" s="126"/>
      <c r="W681" s="126"/>
      <c r="X681" s="126"/>
      <c r="Y681" s="126"/>
      <c r="Z681" s="127"/>
      <c r="AA681" s="127"/>
      <c r="AB681" s="127"/>
      <c r="AC681" s="127"/>
      <c r="AD681" s="261"/>
      <c r="AE681" s="261"/>
      <c r="AF681" s="261"/>
      <c r="AG681" s="261"/>
    </row>
    <row r="682" ht="34.5" hidden="1" customHeight="1">
      <c r="A682" s="111"/>
      <c r="B682" s="127"/>
      <c r="C682" s="111"/>
      <c r="D682" s="111"/>
      <c r="E682" s="111"/>
      <c r="F682" s="111"/>
      <c r="G682" s="111"/>
      <c r="H682" s="111"/>
      <c r="I682" s="127"/>
      <c r="J682" s="111"/>
      <c r="K682" s="257"/>
      <c r="L682" s="111"/>
      <c r="M682" s="127"/>
      <c r="N682" s="270"/>
      <c r="O682" s="111"/>
      <c r="P682" s="111"/>
      <c r="Q682" s="128"/>
      <c r="R682" s="124"/>
      <c r="S682" s="125"/>
      <c r="T682" s="126"/>
      <c r="U682" s="126"/>
      <c r="V682" s="126"/>
      <c r="W682" s="126"/>
      <c r="X682" s="126"/>
      <c r="Y682" s="126"/>
      <c r="Z682" s="127"/>
      <c r="AA682" s="127"/>
      <c r="AB682" s="127"/>
      <c r="AC682" s="127"/>
      <c r="AD682" s="261"/>
      <c r="AE682" s="261"/>
      <c r="AF682" s="261"/>
      <c r="AG682" s="261"/>
    </row>
    <row r="683" ht="34.5" hidden="1" customHeight="1">
      <c r="A683" s="111"/>
      <c r="B683" s="127"/>
      <c r="C683" s="111"/>
      <c r="D683" s="111"/>
      <c r="E683" s="111"/>
      <c r="F683" s="111"/>
      <c r="G683" s="111"/>
      <c r="H683" s="111"/>
      <c r="I683" s="127"/>
      <c r="J683" s="111"/>
      <c r="K683" s="257"/>
      <c r="L683" s="111"/>
      <c r="M683" s="127"/>
      <c r="N683" s="270"/>
      <c r="O683" s="111"/>
      <c r="P683" s="111"/>
      <c r="Q683" s="128"/>
      <c r="R683" s="124"/>
      <c r="S683" s="125"/>
      <c r="T683" s="126"/>
      <c r="U683" s="126"/>
      <c r="V683" s="126"/>
      <c r="W683" s="126"/>
      <c r="X683" s="126"/>
      <c r="Y683" s="126"/>
      <c r="Z683" s="127"/>
      <c r="AA683" s="127"/>
      <c r="AB683" s="127"/>
      <c r="AC683" s="127"/>
      <c r="AD683" s="261"/>
      <c r="AE683" s="261"/>
      <c r="AF683" s="261"/>
      <c r="AG683" s="261"/>
    </row>
    <row r="684" ht="34.5" hidden="1" customHeight="1">
      <c r="A684" s="111"/>
      <c r="B684" s="127"/>
      <c r="C684" s="111"/>
      <c r="D684" s="111"/>
      <c r="E684" s="111"/>
      <c r="F684" s="111"/>
      <c r="G684" s="111"/>
      <c r="H684" s="111"/>
      <c r="I684" s="127"/>
      <c r="J684" s="111"/>
      <c r="K684" s="257"/>
      <c r="L684" s="111"/>
      <c r="M684" s="127"/>
      <c r="N684" s="270"/>
      <c r="O684" s="111"/>
      <c r="P684" s="111"/>
      <c r="Q684" s="128"/>
      <c r="R684" s="124"/>
      <c r="S684" s="125"/>
      <c r="T684" s="126"/>
      <c r="U684" s="126"/>
      <c r="V684" s="126"/>
      <c r="W684" s="126"/>
      <c r="X684" s="126"/>
      <c r="Y684" s="126"/>
      <c r="Z684" s="127"/>
      <c r="AA684" s="127"/>
      <c r="AB684" s="127"/>
      <c r="AC684" s="127"/>
      <c r="AD684" s="261"/>
      <c r="AE684" s="261"/>
      <c r="AF684" s="261"/>
      <c r="AG684" s="261"/>
    </row>
    <row r="685" ht="34.5" hidden="1" customHeight="1">
      <c r="A685" s="111"/>
      <c r="B685" s="127"/>
      <c r="C685" s="111"/>
      <c r="D685" s="111"/>
      <c r="E685" s="111"/>
      <c r="F685" s="111"/>
      <c r="G685" s="111"/>
      <c r="H685" s="111"/>
      <c r="I685" s="127"/>
      <c r="J685" s="111"/>
      <c r="K685" s="257"/>
      <c r="L685" s="111"/>
      <c r="M685" s="127"/>
      <c r="N685" s="270"/>
      <c r="O685" s="111"/>
      <c r="P685" s="111"/>
      <c r="Q685" s="128"/>
      <c r="R685" s="124"/>
      <c r="S685" s="125"/>
      <c r="T685" s="126"/>
      <c r="U685" s="126"/>
      <c r="V685" s="126"/>
      <c r="W685" s="126"/>
      <c r="X685" s="126"/>
      <c r="Y685" s="126"/>
      <c r="Z685" s="127"/>
      <c r="AA685" s="127"/>
      <c r="AB685" s="127"/>
      <c r="AC685" s="127"/>
      <c r="AD685" s="261"/>
      <c r="AE685" s="261"/>
      <c r="AF685" s="261"/>
      <c r="AG685" s="261"/>
    </row>
    <row r="686" ht="34.5" hidden="1" customHeight="1">
      <c r="A686" s="111"/>
      <c r="B686" s="127"/>
      <c r="C686" s="111"/>
      <c r="D686" s="111"/>
      <c r="E686" s="111"/>
      <c r="F686" s="111"/>
      <c r="G686" s="111"/>
      <c r="H686" s="111"/>
      <c r="I686" s="127"/>
      <c r="J686" s="111"/>
      <c r="K686" s="257"/>
      <c r="L686" s="111"/>
      <c r="M686" s="127"/>
      <c r="N686" s="270"/>
      <c r="O686" s="111"/>
      <c r="P686" s="111"/>
      <c r="Q686" s="128"/>
      <c r="R686" s="124"/>
      <c r="S686" s="125"/>
      <c r="T686" s="126"/>
      <c r="U686" s="126"/>
      <c r="V686" s="126"/>
      <c r="W686" s="126"/>
      <c r="X686" s="126"/>
      <c r="Y686" s="126"/>
      <c r="Z686" s="127"/>
      <c r="AA686" s="127"/>
      <c r="AB686" s="127"/>
      <c r="AC686" s="127"/>
      <c r="AD686" s="261"/>
      <c r="AE686" s="261"/>
      <c r="AF686" s="261"/>
      <c r="AG686" s="261"/>
    </row>
    <row r="687" ht="34.5" hidden="1" customHeight="1">
      <c r="A687" s="111"/>
      <c r="B687" s="127"/>
      <c r="C687" s="111"/>
      <c r="D687" s="111"/>
      <c r="E687" s="111"/>
      <c r="F687" s="111"/>
      <c r="G687" s="111"/>
      <c r="H687" s="111"/>
      <c r="I687" s="127"/>
      <c r="J687" s="111"/>
      <c r="K687" s="257"/>
      <c r="L687" s="111"/>
      <c r="M687" s="127"/>
      <c r="N687" s="270"/>
      <c r="O687" s="111"/>
      <c r="P687" s="111"/>
      <c r="Q687" s="128"/>
      <c r="R687" s="124"/>
      <c r="S687" s="125"/>
      <c r="T687" s="126"/>
      <c r="U687" s="126"/>
      <c r="V687" s="126"/>
      <c r="W687" s="126"/>
      <c r="X687" s="126"/>
      <c r="Y687" s="126"/>
      <c r="Z687" s="127"/>
      <c r="AA687" s="127"/>
      <c r="AB687" s="127"/>
      <c r="AC687" s="127"/>
      <c r="AD687" s="261"/>
      <c r="AE687" s="261"/>
      <c r="AF687" s="261"/>
      <c r="AG687" s="261"/>
    </row>
    <row r="688" ht="34.5" hidden="1" customHeight="1">
      <c r="A688" s="111"/>
      <c r="B688" s="127"/>
      <c r="C688" s="111"/>
      <c r="D688" s="111"/>
      <c r="E688" s="111"/>
      <c r="F688" s="111"/>
      <c r="G688" s="111"/>
      <c r="H688" s="111"/>
      <c r="I688" s="127"/>
      <c r="J688" s="111"/>
      <c r="K688" s="257"/>
      <c r="L688" s="111"/>
      <c r="M688" s="127"/>
      <c r="N688" s="270"/>
      <c r="O688" s="111"/>
      <c r="P688" s="111"/>
      <c r="Q688" s="128"/>
      <c r="R688" s="124"/>
      <c r="S688" s="125"/>
      <c r="T688" s="126"/>
      <c r="U688" s="126"/>
      <c r="V688" s="126"/>
      <c r="W688" s="126"/>
      <c r="X688" s="126"/>
      <c r="Y688" s="126"/>
      <c r="Z688" s="127"/>
      <c r="AA688" s="127"/>
      <c r="AB688" s="127"/>
      <c r="AC688" s="127"/>
      <c r="AD688" s="261"/>
      <c r="AE688" s="261"/>
      <c r="AF688" s="261"/>
      <c r="AG688" s="261"/>
    </row>
    <row r="689" ht="34.5" hidden="1" customHeight="1">
      <c r="A689" s="111"/>
      <c r="B689" s="127"/>
      <c r="C689" s="111"/>
      <c r="D689" s="111"/>
      <c r="E689" s="111"/>
      <c r="F689" s="111"/>
      <c r="G689" s="111"/>
      <c r="H689" s="111"/>
      <c r="I689" s="127"/>
      <c r="J689" s="111"/>
      <c r="K689" s="257"/>
      <c r="L689" s="111"/>
      <c r="M689" s="127"/>
      <c r="N689" s="270"/>
      <c r="O689" s="111"/>
      <c r="P689" s="111"/>
      <c r="Q689" s="128"/>
      <c r="R689" s="124"/>
      <c r="S689" s="125"/>
      <c r="T689" s="126"/>
      <c r="U689" s="126"/>
      <c r="V689" s="126"/>
      <c r="W689" s="126"/>
      <c r="X689" s="126"/>
      <c r="Y689" s="126"/>
      <c r="Z689" s="127"/>
      <c r="AA689" s="127"/>
      <c r="AB689" s="127"/>
      <c r="AC689" s="127"/>
      <c r="AD689" s="261"/>
      <c r="AE689" s="261"/>
      <c r="AF689" s="261"/>
      <c r="AG689" s="261"/>
    </row>
    <row r="690" ht="34.5" hidden="1" customHeight="1">
      <c r="A690" s="111"/>
      <c r="B690" s="127"/>
      <c r="C690" s="111"/>
      <c r="D690" s="111"/>
      <c r="E690" s="111"/>
      <c r="F690" s="111"/>
      <c r="G690" s="111"/>
      <c r="H690" s="111"/>
      <c r="I690" s="127"/>
      <c r="J690" s="111"/>
      <c r="K690" s="257"/>
      <c r="L690" s="111"/>
      <c r="M690" s="127"/>
      <c r="N690" s="270"/>
      <c r="O690" s="111"/>
      <c r="P690" s="111"/>
      <c r="Q690" s="128"/>
      <c r="R690" s="124"/>
      <c r="S690" s="125"/>
      <c r="T690" s="126"/>
      <c r="U690" s="126"/>
      <c r="V690" s="126"/>
      <c r="W690" s="126"/>
      <c r="X690" s="126"/>
      <c r="Y690" s="126"/>
      <c r="Z690" s="127"/>
      <c r="AA690" s="127"/>
      <c r="AB690" s="127"/>
      <c r="AC690" s="127"/>
      <c r="AD690" s="261"/>
      <c r="AE690" s="261"/>
      <c r="AF690" s="261"/>
      <c r="AG690" s="261"/>
    </row>
    <row r="691" ht="34.5" hidden="1" customHeight="1">
      <c r="A691" s="111"/>
      <c r="B691" s="127"/>
      <c r="C691" s="111"/>
      <c r="D691" s="111"/>
      <c r="E691" s="111"/>
      <c r="F691" s="111"/>
      <c r="G691" s="111"/>
      <c r="H691" s="111"/>
      <c r="I691" s="127"/>
      <c r="J691" s="111"/>
      <c r="K691" s="257"/>
      <c r="L691" s="111"/>
      <c r="M691" s="127"/>
      <c r="N691" s="270"/>
      <c r="O691" s="111"/>
      <c r="P691" s="111"/>
      <c r="Q691" s="128"/>
      <c r="R691" s="124"/>
      <c r="S691" s="125"/>
      <c r="T691" s="126"/>
      <c r="U691" s="126"/>
      <c r="V691" s="126"/>
      <c r="W691" s="126"/>
      <c r="X691" s="126"/>
      <c r="Y691" s="126"/>
      <c r="Z691" s="127"/>
      <c r="AA691" s="127"/>
      <c r="AB691" s="127"/>
      <c r="AC691" s="127"/>
      <c r="AD691" s="261"/>
      <c r="AE691" s="261"/>
      <c r="AF691" s="261"/>
      <c r="AG691" s="261"/>
    </row>
    <row r="692" ht="34.5" hidden="1" customHeight="1">
      <c r="A692" s="111"/>
      <c r="B692" s="127"/>
      <c r="C692" s="111"/>
      <c r="D692" s="111"/>
      <c r="E692" s="111"/>
      <c r="F692" s="111"/>
      <c r="G692" s="111"/>
      <c r="H692" s="111"/>
      <c r="I692" s="127"/>
      <c r="J692" s="111"/>
      <c r="K692" s="257"/>
      <c r="L692" s="111"/>
      <c r="M692" s="127"/>
      <c r="N692" s="270"/>
      <c r="O692" s="111"/>
      <c r="P692" s="111"/>
      <c r="Q692" s="128"/>
      <c r="R692" s="124"/>
      <c r="S692" s="125"/>
      <c r="T692" s="126"/>
      <c r="U692" s="126"/>
      <c r="V692" s="126"/>
      <c r="W692" s="126"/>
      <c r="X692" s="126"/>
      <c r="Y692" s="126"/>
      <c r="Z692" s="127"/>
      <c r="AA692" s="127"/>
      <c r="AB692" s="127"/>
      <c r="AC692" s="127"/>
      <c r="AD692" s="261"/>
      <c r="AE692" s="261"/>
      <c r="AF692" s="261"/>
      <c r="AG692" s="261"/>
    </row>
    <row r="693" ht="34.5" hidden="1" customHeight="1">
      <c r="A693" s="111"/>
      <c r="B693" s="127"/>
      <c r="C693" s="111"/>
      <c r="D693" s="111"/>
      <c r="E693" s="111"/>
      <c r="F693" s="111"/>
      <c r="G693" s="111"/>
      <c r="H693" s="111"/>
      <c r="I693" s="127"/>
      <c r="J693" s="111"/>
      <c r="K693" s="257"/>
      <c r="L693" s="111"/>
      <c r="M693" s="127"/>
      <c r="N693" s="270"/>
      <c r="O693" s="111"/>
      <c r="P693" s="111"/>
      <c r="Q693" s="128"/>
      <c r="R693" s="124"/>
      <c r="S693" s="125"/>
      <c r="T693" s="126"/>
      <c r="U693" s="126"/>
      <c r="V693" s="126"/>
      <c r="W693" s="126"/>
      <c r="X693" s="126"/>
      <c r="Y693" s="126"/>
      <c r="Z693" s="127"/>
      <c r="AA693" s="127"/>
      <c r="AB693" s="127"/>
      <c r="AC693" s="127"/>
      <c r="AD693" s="261"/>
      <c r="AE693" s="261"/>
      <c r="AF693" s="261"/>
      <c r="AG693" s="261"/>
    </row>
    <row r="694" ht="34.5" hidden="1" customHeight="1">
      <c r="A694" s="111"/>
      <c r="B694" s="127"/>
      <c r="C694" s="111"/>
      <c r="D694" s="111"/>
      <c r="E694" s="111"/>
      <c r="F694" s="111"/>
      <c r="G694" s="111"/>
      <c r="H694" s="111"/>
      <c r="I694" s="127"/>
      <c r="J694" s="111"/>
      <c r="K694" s="257"/>
      <c r="L694" s="111"/>
      <c r="M694" s="127"/>
      <c r="N694" s="270"/>
      <c r="O694" s="111"/>
      <c r="P694" s="111"/>
      <c r="Q694" s="128"/>
      <c r="R694" s="124"/>
      <c r="S694" s="125"/>
      <c r="T694" s="126"/>
      <c r="U694" s="126"/>
      <c r="V694" s="126"/>
      <c r="W694" s="126"/>
      <c r="X694" s="126"/>
      <c r="Y694" s="126"/>
      <c r="Z694" s="127"/>
      <c r="AA694" s="127"/>
      <c r="AB694" s="127"/>
      <c r="AC694" s="127"/>
      <c r="AD694" s="261"/>
      <c r="AE694" s="261"/>
      <c r="AF694" s="261"/>
      <c r="AG694" s="261"/>
    </row>
    <row r="695" ht="34.5" hidden="1" customHeight="1">
      <c r="A695" s="111"/>
      <c r="B695" s="127"/>
      <c r="C695" s="111"/>
      <c r="D695" s="111"/>
      <c r="E695" s="111"/>
      <c r="F695" s="111"/>
      <c r="G695" s="111"/>
      <c r="H695" s="111"/>
      <c r="I695" s="127"/>
      <c r="J695" s="111"/>
      <c r="K695" s="257"/>
      <c r="L695" s="111"/>
      <c r="M695" s="127"/>
      <c r="N695" s="270"/>
      <c r="O695" s="111"/>
      <c r="P695" s="111"/>
      <c r="Q695" s="128"/>
      <c r="R695" s="124"/>
      <c r="S695" s="125"/>
      <c r="T695" s="126"/>
      <c r="U695" s="126"/>
      <c r="V695" s="126"/>
      <c r="W695" s="126"/>
      <c r="X695" s="126"/>
      <c r="Y695" s="126"/>
      <c r="Z695" s="127"/>
      <c r="AA695" s="127"/>
      <c r="AB695" s="127"/>
      <c r="AC695" s="127"/>
      <c r="AD695" s="261"/>
      <c r="AE695" s="261"/>
      <c r="AF695" s="261"/>
      <c r="AG695" s="261"/>
    </row>
    <row r="696" ht="34.5" hidden="1" customHeight="1">
      <c r="A696" s="111"/>
      <c r="B696" s="127"/>
      <c r="C696" s="111"/>
      <c r="D696" s="111"/>
      <c r="E696" s="111"/>
      <c r="F696" s="111"/>
      <c r="G696" s="111"/>
      <c r="H696" s="111"/>
      <c r="I696" s="127"/>
      <c r="J696" s="111"/>
      <c r="K696" s="257"/>
      <c r="L696" s="111"/>
      <c r="M696" s="127"/>
      <c r="N696" s="270"/>
      <c r="O696" s="111"/>
      <c r="P696" s="111"/>
      <c r="Q696" s="128"/>
      <c r="R696" s="124"/>
      <c r="S696" s="125"/>
      <c r="T696" s="126"/>
      <c r="U696" s="126"/>
      <c r="V696" s="126"/>
      <c r="W696" s="126"/>
      <c r="X696" s="126"/>
      <c r="Y696" s="126"/>
      <c r="Z696" s="127"/>
      <c r="AA696" s="127"/>
      <c r="AB696" s="127"/>
      <c r="AC696" s="127"/>
      <c r="AD696" s="261"/>
      <c r="AE696" s="261"/>
      <c r="AF696" s="261"/>
      <c r="AG696" s="261"/>
    </row>
    <row r="697" ht="34.5" hidden="1" customHeight="1">
      <c r="A697" s="111"/>
      <c r="B697" s="127"/>
      <c r="C697" s="111"/>
      <c r="D697" s="111"/>
      <c r="E697" s="111"/>
      <c r="F697" s="111"/>
      <c r="G697" s="111"/>
      <c r="H697" s="111"/>
      <c r="I697" s="127"/>
      <c r="J697" s="111"/>
      <c r="K697" s="257"/>
      <c r="L697" s="111"/>
      <c r="M697" s="127"/>
      <c r="N697" s="270"/>
      <c r="O697" s="111"/>
      <c r="P697" s="111"/>
      <c r="Q697" s="128"/>
      <c r="R697" s="124"/>
      <c r="S697" s="125"/>
      <c r="T697" s="126"/>
      <c r="U697" s="126"/>
      <c r="V697" s="126"/>
      <c r="W697" s="126"/>
      <c r="X697" s="126"/>
      <c r="Y697" s="126"/>
      <c r="Z697" s="127"/>
      <c r="AA697" s="127"/>
      <c r="AB697" s="127"/>
      <c r="AC697" s="127"/>
      <c r="AD697" s="261"/>
      <c r="AE697" s="261"/>
      <c r="AF697" s="261"/>
      <c r="AG697" s="261"/>
    </row>
    <row r="698" ht="34.5" hidden="1" customHeight="1">
      <c r="A698" s="111"/>
      <c r="B698" s="127"/>
      <c r="C698" s="111"/>
      <c r="D698" s="111"/>
      <c r="E698" s="111"/>
      <c r="F698" s="111"/>
      <c r="G698" s="111"/>
      <c r="H698" s="111"/>
      <c r="I698" s="127"/>
      <c r="J698" s="111"/>
      <c r="K698" s="257"/>
      <c r="L698" s="111"/>
      <c r="M698" s="127"/>
      <c r="N698" s="270"/>
      <c r="O698" s="111"/>
      <c r="P698" s="111"/>
      <c r="Q698" s="128"/>
      <c r="R698" s="124"/>
      <c r="S698" s="125"/>
      <c r="T698" s="126"/>
      <c r="U698" s="126"/>
      <c r="V698" s="126"/>
      <c r="W698" s="126"/>
      <c r="X698" s="126"/>
      <c r="Y698" s="126"/>
      <c r="Z698" s="127"/>
      <c r="AA698" s="127"/>
      <c r="AB698" s="127"/>
      <c r="AC698" s="127"/>
      <c r="AD698" s="261"/>
      <c r="AE698" s="261"/>
      <c r="AF698" s="261"/>
      <c r="AG698" s="261"/>
    </row>
    <row r="699" ht="34.5" hidden="1" customHeight="1">
      <c r="A699" s="111"/>
      <c r="B699" s="127"/>
      <c r="C699" s="111"/>
      <c r="D699" s="111"/>
      <c r="E699" s="111"/>
      <c r="F699" s="111"/>
      <c r="G699" s="111"/>
      <c r="H699" s="111"/>
      <c r="I699" s="127"/>
      <c r="J699" s="111"/>
      <c r="K699" s="257"/>
      <c r="L699" s="111"/>
      <c r="M699" s="127"/>
      <c r="N699" s="270"/>
      <c r="O699" s="111"/>
      <c r="P699" s="111"/>
      <c r="Q699" s="128"/>
      <c r="R699" s="124"/>
      <c r="S699" s="125"/>
      <c r="T699" s="126"/>
      <c r="U699" s="126"/>
      <c r="V699" s="126"/>
      <c r="W699" s="126"/>
      <c r="X699" s="126"/>
      <c r="Y699" s="126"/>
      <c r="Z699" s="127"/>
      <c r="AA699" s="127"/>
      <c r="AB699" s="127"/>
      <c r="AC699" s="127"/>
      <c r="AD699" s="261"/>
      <c r="AE699" s="261"/>
      <c r="AF699" s="261"/>
      <c r="AG699" s="261"/>
    </row>
    <row r="700" ht="34.5" hidden="1" customHeight="1">
      <c r="A700" s="111"/>
      <c r="B700" s="127"/>
      <c r="C700" s="111"/>
      <c r="D700" s="111"/>
      <c r="E700" s="111"/>
      <c r="F700" s="111"/>
      <c r="G700" s="111"/>
      <c r="H700" s="111"/>
      <c r="I700" s="127"/>
      <c r="J700" s="111"/>
      <c r="K700" s="257"/>
      <c r="L700" s="111"/>
      <c r="M700" s="127"/>
      <c r="N700" s="270"/>
      <c r="O700" s="111"/>
      <c r="P700" s="111"/>
      <c r="Q700" s="128"/>
      <c r="R700" s="124"/>
      <c r="S700" s="125"/>
      <c r="T700" s="126"/>
      <c r="U700" s="126"/>
      <c r="V700" s="126"/>
      <c r="W700" s="126"/>
      <c r="X700" s="126"/>
      <c r="Y700" s="126"/>
      <c r="Z700" s="127"/>
      <c r="AA700" s="127"/>
      <c r="AB700" s="127"/>
      <c r="AC700" s="127"/>
      <c r="AD700" s="261"/>
      <c r="AE700" s="261"/>
      <c r="AF700" s="261"/>
      <c r="AG700" s="261"/>
    </row>
    <row r="701" ht="34.5" hidden="1" customHeight="1">
      <c r="A701" s="111"/>
      <c r="B701" s="127"/>
      <c r="C701" s="111"/>
      <c r="D701" s="111"/>
      <c r="E701" s="111"/>
      <c r="F701" s="111"/>
      <c r="G701" s="111"/>
      <c r="H701" s="111"/>
      <c r="I701" s="127"/>
      <c r="J701" s="111"/>
      <c r="K701" s="257"/>
      <c r="L701" s="111"/>
      <c r="M701" s="127"/>
      <c r="N701" s="270"/>
      <c r="O701" s="111"/>
      <c r="P701" s="111"/>
      <c r="Q701" s="128"/>
      <c r="R701" s="124"/>
      <c r="S701" s="125"/>
      <c r="T701" s="126"/>
      <c r="U701" s="126"/>
      <c r="V701" s="126"/>
      <c r="W701" s="126"/>
      <c r="X701" s="126"/>
      <c r="Y701" s="126"/>
      <c r="Z701" s="127"/>
      <c r="AA701" s="127"/>
      <c r="AB701" s="127"/>
      <c r="AC701" s="127"/>
      <c r="AD701" s="261"/>
      <c r="AE701" s="261"/>
      <c r="AF701" s="261"/>
      <c r="AG701" s="261"/>
    </row>
    <row r="702" ht="34.5" hidden="1" customHeight="1">
      <c r="A702" s="111"/>
      <c r="B702" s="127"/>
      <c r="C702" s="111"/>
      <c r="D702" s="111"/>
      <c r="E702" s="111"/>
      <c r="F702" s="111"/>
      <c r="G702" s="111"/>
      <c r="H702" s="111"/>
      <c r="I702" s="127"/>
      <c r="J702" s="111"/>
      <c r="K702" s="257"/>
      <c r="L702" s="111"/>
      <c r="M702" s="127"/>
      <c r="N702" s="270"/>
      <c r="O702" s="111"/>
      <c r="P702" s="111"/>
      <c r="Q702" s="128"/>
      <c r="R702" s="124"/>
      <c r="S702" s="125"/>
      <c r="T702" s="126"/>
      <c r="U702" s="126"/>
      <c r="V702" s="126"/>
      <c r="W702" s="126"/>
      <c r="X702" s="126"/>
      <c r="Y702" s="126"/>
      <c r="Z702" s="127"/>
      <c r="AA702" s="127"/>
      <c r="AB702" s="127"/>
      <c r="AC702" s="127"/>
      <c r="AD702" s="261"/>
      <c r="AE702" s="261"/>
      <c r="AF702" s="261"/>
      <c r="AG702" s="261"/>
    </row>
    <row r="703" ht="34.5" hidden="1" customHeight="1">
      <c r="A703" s="111"/>
      <c r="B703" s="127"/>
      <c r="C703" s="111"/>
      <c r="D703" s="111"/>
      <c r="E703" s="111"/>
      <c r="F703" s="111"/>
      <c r="G703" s="111"/>
      <c r="H703" s="111"/>
      <c r="I703" s="127"/>
      <c r="J703" s="111"/>
      <c r="K703" s="257"/>
      <c r="L703" s="111"/>
      <c r="M703" s="127"/>
      <c r="N703" s="270"/>
      <c r="O703" s="111"/>
      <c r="P703" s="111"/>
      <c r="Q703" s="128"/>
      <c r="R703" s="124"/>
      <c r="S703" s="125"/>
      <c r="T703" s="126"/>
      <c r="U703" s="126"/>
      <c r="V703" s="126"/>
      <c r="W703" s="126"/>
      <c r="X703" s="126"/>
      <c r="Y703" s="126"/>
      <c r="Z703" s="127"/>
      <c r="AA703" s="127"/>
      <c r="AB703" s="127"/>
      <c r="AC703" s="127"/>
      <c r="AD703" s="261"/>
      <c r="AE703" s="261"/>
      <c r="AF703" s="261"/>
      <c r="AG703" s="261"/>
    </row>
    <row r="704" ht="34.5" hidden="1" customHeight="1">
      <c r="A704" s="111"/>
      <c r="B704" s="127"/>
      <c r="C704" s="111"/>
      <c r="D704" s="111"/>
      <c r="E704" s="111"/>
      <c r="F704" s="111"/>
      <c r="G704" s="111"/>
      <c r="H704" s="111"/>
      <c r="I704" s="127"/>
      <c r="J704" s="111"/>
      <c r="K704" s="257"/>
      <c r="L704" s="111"/>
      <c r="M704" s="127"/>
      <c r="N704" s="270"/>
      <c r="O704" s="111"/>
      <c r="P704" s="111"/>
      <c r="Q704" s="128"/>
      <c r="R704" s="124"/>
      <c r="S704" s="125"/>
      <c r="T704" s="126"/>
      <c r="U704" s="126"/>
      <c r="V704" s="126"/>
      <c r="W704" s="126"/>
      <c r="X704" s="126"/>
      <c r="Y704" s="126"/>
      <c r="Z704" s="127"/>
      <c r="AA704" s="127"/>
      <c r="AB704" s="127"/>
      <c r="AC704" s="127"/>
      <c r="AD704" s="261"/>
      <c r="AE704" s="261"/>
      <c r="AF704" s="261"/>
      <c r="AG704" s="261"/>
    </row>
    <row r="705" ht="34.5" hidden="1" customHeight="1">
      <c r="A705" s="111"/>
      <c r="B705" s="127"/>
      <c r="C705" s="111"/>
      <c r="D705" s="111"/>
      <c r="E705" s="111"/>
      <c r="F705" s="111"/>
      <c r="G705" s="111"/>
      <c r="H705" s="111"/>
      <c r="I705" s="127"/>
      <c r="J705" s="111"/>
      <c r="K705" s="257"/>
      <c r="L705" s="111"/>
      <c r="M705" s="127"/>
      <c r="N705" s="270"/>
      <c r="O705" s="111"/>
      <c r="P705" s="111"/>
      <c r="Q705" s="128"/>
      <c r="R705" s="124"/>
      <c r="S705" s="125"/>
      <c r="T705" s="126"/>
      <c r="U705" s="126"/>
      <c r="V705" s="126"/>
      <c r="W705" s="126"/>
      <c r="X705" s="126"/>
      <c r="Y705" s="126"/>
      <c r="Z705" s="127"/>
      <c r="AA705" s="127"/>
      <c r="AB705" s="127"/>
      <c r="AC705" s="127"/>
      <c r="AD705" s="261"/>
      <c r="AE705" s="261"/>
      <c r="AF705" s="261"/>
      <c r="AG705" s="261"/>
    </row>
    <row r="706" ht="34.5" hidden="1" customHeight="1">
      <c r="A706" s="111"/>
      <c r="B706" s="127"/>
      <c r="C706" s="111"/>
      <c r="D706" s="111"/>
      <c r="E706" s="111"/>
      <c r="F706" s="111"/>
      <c r="G706" s="111"/>
      <c r="H706" s="111"/>
      <c r="I706" s="127"/>
      <c r="J706" s="111"/>
      <c r="K706" s="257"/>
      <c r="L706" s="111"/>
      <c r="M706" s="127"/>
      <c r="N706" s="270"/>
      <c r="O706" s="111"/>
      <c r="P706" s="111"/>
      <c r="Q706" s="128"/>
      <c r="R706" s="124"/>
      <c r="S706" s="125"/>
      <c r="T706" s="126"/>
      <c r="U706" s="126"/>
      <c r="V706" s="126"/>
      <c r="W706" s="126"/>
      <c r="X706" s="126"/>
      <c r="Y706" s="126"/>
      <c r="Z706" s="127"/>
      <c r="AA706" s="127"/>
      <c r="AB706" s="127"/>
      <c r="AC706" s="127"/>
      <c r="AD706" s="261"/>
      <c r="AE706" s="261"/>
      <c r="AF706" s="261"/>
      <c r="AG706" s="261"/>
    </row>
    <row r="707" ht="34.5" hidden="1" customHeight="1">
      <c r="A707" s="111"/>
      <c r="B707" s="127"/>
      <c r="C707" s="111"/>
      <c r="D707" s="111"/>
      <c r="E707" s="111"/>
      <c r="F707" s="111"/>
      <c r="G707" s="111"/>
      <c r="H707" s="111"/>
      <c r="I707" s="127"/>
      <c r="J707" s="111"/>
      <c r="K707" s="257"/>
      <c r="L707" s="111"/>
      <c r="M707" s="127"/>
      <c r="N707" s="270"/>
      <c r="O707" s="111"/>
      <c r="P707" s="111"/>
      <c r="Q707" s="128"/>
      <c r="R707" s="124"/>
      <c r="S707" s="125"/>
      <c r="T707" s="126"/>
      <c r="U707" s="126"/>
      <c r="V707" s="126"/>
      <c r="W707" s="126"/>
      <c r="X707" s="126"/>
      <c r="Y707" s="126"/>
      <c r="Z707" s="127"/>
      <c r="AA707" s="127"/>
      <c r="AB707" s="127"/>
      <c r="AC707" s="127"/>
      <c r="AD707" s="261"/>
      <c r="AE707" s="261"/>
      <c r="AF707" s="261"/>
      <c r="AG707" s="261"/>
    </row>
    <row r="708" ht="34.5" hidden="1" customHeight="1">
      <c r="A708" s="111"/>
      <c r="B708" s="127"/>
      <c r="C708" s="111"/>
      <c r="D708" s="111"/>
      <c r="E708" s="111"/>
      <c r="F708" s="111"/>
      <c r="G708" s="111"/>
      <c r="H708" s="111"/>
      <c r="I708" s="127"/>
      <c r="J708" s="111"/>
      <c r="K708" s="257"/>
      <c r="L708" s="111"/>
      <c r="M708" s="127"/>
      <c r="N708" s="270"/>
      <c r="O708" s="111"/>
      <c r="P708" s="111"/>
      <c r="Q708" s="128"/>
      <c r="R708" s="124"/>
      <c r="S708" s="125"/>
      <c r="T708" s="126"/>
      <c r="U708" s="126"/>
      <c r="V708" s="126"/>
      <c r="W708" s="126"/>
      <c r="X708" s="126"/>
      <c r="Y708" s="126"/>
      <c r="Z708" s="127"/>
      <c r="AA708" s="127"/>
      <c r="AB708" s="127"/>
      <c r="AC708" s="127"/>
      <c r="AD708" s="261"/>
      <c r="AE708" s="261"/>
      <c r="AF708" s="261"/>
      <c r="AG708" s="261"/>
    </row>
    <row r="709" ht="34.5" hidden="1" customHeight="1">
      <c r="A709" s="111"/>
      <c r="B709" s="127"/>
      <c r="C709" s="111"/>
      <c r="D709" s="111"/>
      <c r="E709" s="111"/>
      <c r="F709" s="111"/>
      <c r="G709" s="111"/>
      <c r="H709" s="111"/>
      <c r="I709" s="127"/>
      <c r="J709" s="111"/>
      <c r="K709" s="257"/>
      <c r="L709" s="111"/>
      <c r="M709" s="127"/>
      <c r="N709" s="270"/>
      <c r="O709" s="111"/>
      <c r="P709" s="111"/>
      <c r="Q709" s="128"/>
      <c r="R709" s="124"/>
      <c r="S709" s="125"/>
      <c r="T709" s="126"/>
      <c r="U709" s="126"/>
      <c r="V709" s="126"/>
      <c r="W709" s="126"/>
      <c r="X709" s="126"/>
      <c r="Y709" s="126"/>
      <c r="Z709" s="127"/>
      <c r="AA709" s="127"/>
      <c r="AB709" s="127"/>
      <c r="AC709" s="127"/>
      <c r="AD709" s="261"/>
      <c r="AE709" s="261"/>
      <c r="AF709" s="261"/>
      <c r="AG709" s="261"/>
    </row>
    <row r="710" ht="34.5" hidden="1" customHeight="1">
      <c r="A710" s="111"/>
      <c r="B710" s="127"/>
      <c r="C710" s="111"/>
      <c r="D710" s="111"/>
      <c r="E710" s="111"/>
      <c r="F710" s="111"/>
      <c r="G710" s="111"/>
      <c r="H710" s="111"/>
      <c r="I710" s="127"/>
      <c r="J710" s="111"/>
      <c r="K710" s="257"/>
      <c r="L710" s="111"/>
      <c r="M710" s="127"/>
      <c r="N710" s="270"/>
      <c r="O710" s="111"/>
      <c r="P710" s="111"/>
      <c r="Q710" s="128"/>
      <c r="R710" s="124"/>
      <c r="S710" s="125"/>
      <c r="T710" s="126"/>
      <c r="U710" s="126"/>
      <c r="V710" s="126"/>
      <c r="W710" s="126"/>
      <c r="X710" s="126"/>
      <c r="Y710" s="126"/>
      <c r="Z710" s="127"/>
      <c r="AA710" s="127"/>
      <c r="AB710" s="127"/>
      <c r="AC710" s="127"/>
      <c r="AD710" s="261"/>
      <c r="AE710" s="261"/>
      <c r="AF710" s="261"/>
      <c r="AG710" s="261"/>
    </row>
    <row r="711" ht="34.5" hidden="1" customHeight="1">
      <c r="A711" s="111"/>
      <c r="B711" s="127"/>
      <c r="C711" s="111"/>
      <c r="D711" s="111"/>
      <c r="E711" s="111"/>
      <c r="F711" s="111"/>
      <c r="G711" s="111"/>
      <c r="H711" s="111"/>
      <c r="I711" s="127"/>
      <c r="J711" s="111"/>
      <c r="K711" s="257"/>
      <c r="L711" s="111"/>
      <c r="M711" s="127"/>
      <c r="N711" s="270"/>
      <c r="O711" s="111"/>
      <c r="P711" s="111"/>
      <c r="Q711" s="128"/>
      <c r="R711" s="124"/>
      <c r="S711" s="125"/>
      <c r="T711" s="126"/>
      <c r="U711" s="126"/>
      <c r="V711" s="126"/>
      <c r="W711" s="126"/>
      <c r="X711" s="126"/>
      <c r="Y711" s="126"/>
      <c r="Z711" s="127"/>
      <c r="AA711" s="127"/>
      <c r="AB711" s="127"/>
      <c r="AC711" s="127"/>
      <c r="AD711" s="261"/>
      <c r="AE711" s="261"/>
      <c r="AF711" s="261"/>
      <c r="AG711" s="261"/>
    </row>
    <row r="712" ht="34.5" hidden="1" customHeight="1">
      <c r="A712" s="111"/>
      <c r="B712" s="127"/>
      <c r="C712" s="111"/>
      <c r="D712" s="111"/>
      <c r="E712" s="111"/>
      <c r="F712" s="111"/>
      <c r="G712" s="111"/>
      <c r="H712" s="111"/>
      <c r="I712" s="127"/>
      <c r="J712" s="111"/>
      <c r="K712" s="257"/>
      <c r="L712" s="111"/>
      <c r="M712" s="127"/>
      <c r="N712" s="270"/>
      <c r="O712" s="111"/>
      <c r="P712" s="111"/>
      <c r="Q712" s="128"/>
      <c r="R712" s="124"/>
      <c r="S712" s="125"/>
      <c r="T712" s="126"/>
      <c r="U712" s="126"/>
      <c r="V712" s="126"/>
      <c r="W712" s="126"/>
      <c r="X712" s="126"/>
      <c r="Y712" s="126"/>
      <c r="Z712" s="127"/>
      <c r="AA712" s="127"/>
      <c r="AB712" s="127"/>
      <c r="AC712" s="127"/>
      <c r="AD712" s="261"/>
      <c r="AE712" s="261"/>
      <c r="AF712" s="261"/>
      <c r="AG712" s="261"/>
    </row>
    <row r="713" ht="34.5" hidden="1" customHeight="1">
      <c r="A713" s="111"/>
      <c r="B713" s="127"/>
      <c r="C713" s="111"/>
      <c r="D713" s="111"/>
      <c r="E713" s="111"/>
      <c r="F713" s="111"/>
      <c r="G713" s="111"/>
      <c r="H713" s="111"/>
      <c r="I713" s="127"/>
      <c r="J713" s="111"/>
      <c r="K713" s="257"/>
      <c r="L713" s="111"/>
      <c r="M713" s="127"/>
      <c r="N713" s="270"/>
      <c r="O713" s="111"/>
      <c r="P713" s="111"/>
      <c r="Q713" s="128"/>
      <c r="R713" s="124"/>
      <c r="S713" s="125"/>
      <c r="T713" s="126"/>
      <c r="U713" s="126"/>
      <c r="V713" s="126"/>
      <c r="W713" s="126"/>
      <c r="X713" s="126"/>
      <c r="Y713" s="126"/>
      <c r="Z713" s="127"/>
      <c r="AA713" s="127"/>
      <c r="AB713" s="127"/>
      <c r="AC713" s="127"/>
      <c r="AD713" s="261"/>
      <c r="AE713" s="261"/>
      <c r="AF713" s="261"/>
      <c r="AG713" s="261"/>
    </row>
    <row r="714" ht="34.5" hidden="1" customHeight="1">
      <c r="A714" s="111"/>
      <c r="B714" s="127"/>
      <c r="C714" s="111"/>
      <c r="D714" s="111"/>
      <c r="E714" s="111"/>
      <c r="F714" s="111"/>
      <c r="G714" s="111"/>
      <c r="H714" s="111"/>
      <c r="I714" s="127"/>
      <c r="J714" s="111"/>
      <c r="K714" s="257"/>
      <c r="L714" s="111"/>
      <c r="M714" s="127"/>
      <c r="N714" s="270"/>
      <c r="O714" s="111"/>
      <c r="P714" s="111"/>
      <c r="Q714" s="128"/>
      <c r="R714" s="124"/>
      <c r="S714" s="125"/>
      <c r="T714" s="126"/>
      <c r="U714" s="126"/>
      <c r="V714" s="126"/>
      <c r="W714" s="126"/>
      <c r="X714" s="126"/>
      <c r="Y714" s="126"/>
      <c r="Z714" s="127"/>
      <c r="AA714" s="127"/>
      <c r="AB714" s="127"/>
      <c r="AC714" s="127"/>
      <c r="AD714" s="261"/>
      <c r="AE714" s="261"/>
      <c r="AF714" s="261"/>
      <c r="AG714" s="261"/>
    </row>
    <row r="715" ht="34.5" hidden="1" customHeight="1">
      <c r="A715" s="111"/>
      <c r="B715" s="127"/>
      <c r="C715" s="111"/>
      <c r="D715" s="111"/>
      <c r="E715" s="111"/>
      <c r="F715" s="111"/>
      <c r="G715" s="111"/>
      <c r="H715" s="111"/>
      <c r="I715" s="127"/>
      <c r="J715" s="111"/>
      <c r="K715" s="257"/>
      <c r="L715" s="111"/>
      <c r="M715" s="127"/>
      <c r="N715" s="270"/>
      <c r="O715" s="111"/>
      <c r="P715" s="111"/>
      <c r="Q715" s="128"/>
      <c r="R715" s="124"/>
      <c r="S715" s="125"/>
      <c r="T715" s="126"/>
      <c r="U715" s="126"/>
      <c r="V715" s="126"/>
      <c r="W715" s="126"/>
      <c r="X715" s="126"/>
      <c r="Y715" s="126"/>
      <c r="Z715" s="127"/>
      <c r="AA715" s="127"/>
      <c r="AB715" s="127"/>
      <c r="AC715" s="127"/>
      <c r="AD715" s="261"/>
      <c r="AE715" s="261"/>
      <c r="AF715" s="261"/>
      <c r="AG715" s="261"/>
    </row>
    <row r="716" ht="34.5" hidden="1" customHeight="1">
      <c r="A716" s="111"/>
      <c r="B716" s="127"/>
      <c r="C716" s="111"/>
      <c r="D716" s="111"/>
      <c r="E716" s="111"/>
      <c r="F716" s="111"/>
      <c r="G716" s="111"/>
      <c r="H716" s="111"/>
      <c r="I716" s="127"/>
      <c r="J716" s="111"/>
      <c r="K716" s="257"/>
      <c r="L716" s="111"/>
      <c r="M716" s="127"/>
      <c r="N716" s="270"/>
      <c r="O716" s="111"/>
      <c r="P716" s="111"/>
      <c r="Q716" s="128"/>
      <c r="R716" s="124"/>
      <c r="S716" s="125"/>
      <c r="T716" s="126"/>
      <c r="U716" s="126"/>
      <c r="V716" s="126"/>
      <c r="W716" s="126"/>
      <c r="X716" s="126"/>
      <c r="Y716" s="126"/>
      <c r="Z716" s="127"/>
      <c r="AA716" s="127"/>
      <c r="AB716" s="127"/>
      <c r="AC716" s="127"/>
      <c r="AD716" s="261"/>
      <c r="AE716" s="261"/>
      <c r="AF716" s="261"/>
      <c r="AG716" s="261"/>
    </row>
    <row r="717" ht="34.5" hidden="1" customHeight="1">
      <c r="A717" s="111"/>
      <c r="B717" s="127"/>
      <c r="C717" s="111"/>
      <c r="D717" s="111"/>
      <c r="E717" s="111"/>
      <c r="F717" s="111"/>
      <c r="G717" s="111"/>
      <c r="H717" s="111"/>
      <c r="I717" s="127"/>
      <c r="J717" s="111"/>
      <c r="K717" s="257"/>
      <c r="L717" s="111"/>
      <c r="M717" s="127"/>
      <c r="N717" s="270"/>
      <c r="O717" s="111"/>
      <c r="P717" s="111"/>
      <c r="Q717" s="128"/>
      <c r="R717" s="124"/>
      <c r="S717" s="125"/>
      <c r="T717" s="126"/>
      <c r="U717" s="126"/>
      <c r="V717" s="126"/>
      <c r="W717" s="126"/>
      <c r="X717" s="126"/>
      <c r="Y717" s="126"/>
      <c r="Z717" s="127"/>
      <c r="AA717" s="127"/>
      <c r="AB717" s="127"/>
      <c r="AC717" s="127"/>
      <c r="AD717" s="261"/>
      <c r="AE717" s="261"/>
      <c r="AF717" s="261"/>
      <c r="AG717" s="261"/>
    </row>
    <row r="718" ht="34.5" hidden="1" customHeight="1">
      <c r="A718" s="111"/>
      <c r="B718" s="127"/>
      <c r="C718" s="111"/>
      <c r="D718" s="111"/>
      <c r="E718" s="111"/>
      <c r="F718" s="111"/>
      <c r="G718" s="111"/>
      <c r="H718" s="111"/>
      <c r="I718" s="127"/>
      <c r="J718" s="111"/>
      <c r="K718" s="257"/>
      <c r="L718" s="111"/>
      <c r="M718" s="127"/>
      <c r="N718" s="270"/>
      <c r="O718" s="111"/>
      <c r="P718" s="111"/>
      <c r="Q718" s="128"/>
      <c r="R718" s="124"/>
      <c r="S718" s="125"/>
      <c r="T718" s="126"/>
      <c r="U718" s="126"/>
      <c r="V718" s="126"/>
      <c r="W718" s="126"/>
      <c r="X718" s="126"/>
      <c r="Y718" s="126"/>
      <c r="Z718" s="127"/>
      <c r="AA718" s="127"/>
      <c r="AB718" s="127"/>
      <c r="AC718" s="127"/>
      <c r="AD718" s="261"/>
      <c r="AE718" s="261"/>
      <c r="AF718" s="261"/>
      <c r="AG718" s="261"/>
    </row>
    <row r="719" ht="34.5" hidden="1" customHeight="1">
      <c r="A719" s="111"/>
      <c r="B719" s="127"/>
      <c r="C719" s="111"/>
      <c r="D719" s="111"/>
      <c r="E719" s="111"/>
      <c r="F719" s="111"/>
      <c r="G719" s="111"/>
      <c r="H719" s="111"/>
      <c r="I719" s="127"/>
      <c r="J719" s="111"/>
      <c r="K719" s="257"/>
      <c r="L719" s="111"/>
      <c r="M719" s="127"/>
      <c r="N719" s="270"/>
      <c r="O719" s="111"/>
      <c r="P719" s="111"/>
      <c r="Q719" s="128"/>
      <c r="R719" s="124"/>
      <c r="S719" s="125"/>
      <c r="T719" s="126"/>
      <c r="U719" s="126"/>
      <c r="V719" s="126"/>
      <c r="W719" s="126"/>
      <c r="X719" s="126"/>
      <c r="Y719" s="126"/>
      <c r="Z719" s="127"/>
      <c r="AA719" s="127"/>
      <c r="AB719" s="127"/>
      <c r="AC719" s="127"/>
      <c r="AD719" s="261"/>
      <c r="AE719" s="261"/>
      <c r="AF719" s="261"/>
      <c r="AG719" s="261"/>
    </row>
    <row r="720" ht="34.5" hidden="1" customHeight="1">
      <c r="A720" s="111"/>
      <c r="B720" s="127"/>
      <c r="C720" s="111"/>
      <c r="D720" s="111"/>
      <c r="E720" s="111"/>
      <c r="F720" s="111"/>
      <c r="G720" s="111"/>
      <c r="H720" s="111"/>
      <c r="I720" s="127"/>
      <c r="J720" s="111"/>
      <c r="K720" s="257"/>
      <c r="L720" s="111"/>
      <c r="M720" s="127"/>
      <c r="N720" s="270"/>
      <c r="O720" s="111"/>
      <c r="P720" s="111"/>
      <c r="Q720" s="128"/>
      <c r="R720" s="124"/>
      <c r="S720" s="125"/>
      <c r="T720" s="126"/>
      <c r="U720" s="126"/>
      <c r="V720" s="126"/>
      <c r="W720" s="126"/>
      <c r="X720" s="126"/>
      <c r="Y720" s="126"/>
      <c r="Z720" s="127"/>
      <c r="AA720" s="127"/>
      <c r="AB720" s="127"/>
      <c r="AC720" s="127"/>
      <c r="AD720" s="261"/>
      <c r="AE720" s="261"/>
      <c r="AF720" s="261"/>
      <c r="AG720" s="261"/>
    </row>
    <row r="721" ht="34.5" hidden="1" customHeight="1">
      <c r="A721" s="111"/>
      <c r="B721" s="127"/>
      <c r="C721" s="111"/>
      <c r="D721" s="111"/>
      <c r="E721" s="111"/>
      <c r="F721" s="111"/>
      <c r="G721" s="111"/>
      <c r="H721" s="111"/>
      <c r="I721" s="127"/>
      <c r="J721" s="111"/>
      <c r="K721" s="257"/>
      <c r="L721" s="111"/>
      <c r="M721" s="127"/>
      <c r="N721" s="270"/>
      <c r="O721" s="111"/>
      <c r="P721" s="111"/>
      <c r="Q721" s="128"/>
      <c r="R721" s="124"/>
      <c r="S721" s="125"/>
      <c r="T721" s="126"/>
      <c r="U721" s="126"/>
      <c r="V721" s="126"/>
      <c r="W721" s="126"/>
      <c r="X721" s="126"/>
      <c r="Y721" s="126"/>
      <c r="Z721" s="127"/>
      <c r="AA721" s="127"/>
      <c r="AB721" s="127"/>
      <c r="AC721" s="127"/>
      <c r="AD721" s="261"/>
      <c r="AE721" s="261"/>
      <c r="AF721" s="261"/>
      <c r="AG721" s="261"/>
    </row>
    <row r="722" ht="34.5" hidden="1" customHeight="1">
      <c r="A722" s="111"/>
      <c r="B722" s="127"/>
      <c r="C722" s="111"/>
      <c r="D722" s="111"/>
      <c r="E722" s="111"/>
      <c r="F722" s="111"/>
      <c r="G722" s="111"/>
      <c r="H722" s="111"/>
      <c r="I722" s="127"/>
      <c r="J722" s="111"/>
      <c r="K722" s="257"/>
      <c r="L722" s="111"/>
      <c r="M722" s="127"/>
      <c r="N722" s="270"/>
      <c r="O722" s="111"/>
      <c r="P722" s="111"/>
      <c r="Q722" s="128"/>
      <c r="R722" s="124"/>
      <c r="S722" s="125"/>
      <c r="T722" s="126"/>
      <c r="U722" s="126"/>
      <c r="V722" s="126"/>
      <c r="W722" s="126"/>
      <c r="X722" s="126"/>
      <c r="Y722" s="126"/>
      <c r="Z722" s="127"/>
      <c r="AA722" s="127"/>
      <c r="AB722" s="127"/>
      <c r="AC722" s="127"/>
      <c r="AD722" s="261"/>
      <c r="AE722" s="261"/>
      <c r="AF722" s="261"/>
      <c r="AG722" s="261"/>
    </row>
    <row r="723" ht="34.5" hidden="1" customHeight="1">
      <c r="A723" s="111"/>
      <c r="B723" s="127"/>
      <c r="C723" s="111"/>
      <c r="D723" s="111"/>
      <c r="E723" s="111"/>
      <c r="F723" s="111"/>
      <c r="G723" s="111"/>
      <c r="H723" s="111"/>
      <c r="I723" s="127"/>
      <c r="J723" s="111"/>
      <c r="K723" s="257"/>
      <c r="L723" s="111"/>
      <c r="M723" s="127"/>
      <c r="N723" s="270"/>
      <c r="O723" s="111"/>
      <c r="P723" s="111"/>
      <c r="Q723" s="128"/>
      <c r="R723" s="124"/>
      <c r="S723" s="125"/>
      <c r="T723" s="126"/>
      <c r="U723" s="126"/>
      <c r="V723" s="126"/>
      <c r="W723" s="126"/>
      <c r="X723" s="126"/>
      <c r="Y723" s="126"/>
      <c r="Z723" s="127"/>
      <c r="AA723" s="127"/>
      <c r="AB723" s="127"/>
      <c r="AC723" s="127"/>
      <c r="AD723" s="261"/>
      <c r="AE723" s="261"/>
      <c r="AF723" s="261"/>
      <c r="AG723" s="261"/>
    </row>
    <row r="724" ht="34.5" hidden="1" customHeight="1">
      <c r="A724" s="111"/>
      <c r="B724" s="127"/>
      <c r="C724" s="111"/>
      <c r="D724" s="111"/>
      <c r="E724" s="111"/>
      <c r="F724" s="111"/>
      <c r="G724" s="111"/>
      <c r="H724" s="111"/>
      <c r="I724" s="127"/>
      <c r="J724" s="111"/>
      <c r="K724" s="257"/>
      <c r="L724" s="111"/>
      <c r="M724" s="127"/>
      <c r="N724" s="270"/>
      <c r="O724" s="111"/>
      <c r="P724" s="111"/>
      <c r="Q724" s="128"/>
      <c r="R724" s="124"/>
      <c r="S724" s="125"/>
      <c r="T724" s="126"/>
      <c r="U724" s="126"/>
      <c r="V724" s="126"/>
      <c r="W724" s="126"/>
      <c r="X724" s="126"/>
      <c r="Y724" s="126"/>
      <c r="Z724" s="127"/>
      <c r="AA724" s="127"/>
      <c r="AB724" s="127"/>
      <c r="AC724" s="127"/>
      <c r="AD724" s="261"/>
      <c r="AE724" s="261"/>
      <c r="AF724" s="261"/>
      <c r="AG724" s="261"/>
    </row>
    <row r="725" ht="34.5" hidden="1" customHeight="1">
      <c r="A725" s="111"/>
      <c r="B725" s="127"/>
      <c r="C725" s="111"/>
      <c r="D725" s="111"/>
      <c r="E725" s="111"/>
      <c r="F725" s="111"/>
      <c r="G725" s="111"/>
      <c r="H725" s="111"/>
      <c r="I725" s="127"/>
      <c r="J725" s="111"/>
      <c r="K725" s="257"/>
      <c r="L725" s="111"/>
      <c r="M725" s="127"/>
      <c r="N725" s="270"/>
      <c r="O725" s="111"/>
      <c r="P725" s="111"/>
      <c r="Q725" s="128"/>
      <c r="R725" s="124"/>
      <c r="S725" s="125"/>
      <c r="T725" s="126"/>
      <c r="U725" s="126"/>
      <c r="V725" s="126"/>
      <c r="W725" s="126"/>
      <c r="X725" s="126"/>
      <c r="Y725" s="126"/>
      <c r="Z725" s="127"/>
      <c r="AA725" s="127"/>
      <c r="AB725" s="127"/>
      <c r="AC725" s="127"/>
      <c r="AD725" s="261"/>
      <c r="AE725" s="261"/>
      <c r="AF725" s="261"/>
      <c r="AG725" s="261"/>
    </row>
    <row r="726" ht="34.5" hidden="1" customHeight="1">
      <c r="A726" s="111"/>
      <c r="B726" s="127"/>
      <c r="C726" s="111"/>
      <c r="D726" s="111"/>
      <c r="E726" s="111"/>
      <c r="F726" s="111"/>
      <c r="G726" s="111"/>
      <c r="H726" s="111"/>
      <c r="I726" s="127"/>
      <c r="J726" s="111"/>
      <c r="K726" s="257"/>
      <c r="L726" s="111"/>
      <c r="M726" s="127"/>
      <c r="N726" s="270"/>
      <c r="O726" s="111"/>
      <c r="P726" s="111"/>
      <c r="Q726" s="128"/>
      <c r="R726" s="124"/>
      <c r="S726" s="125"/>
      <c r="T726" s="126"/>
      <c r="U726" s="126"/>
      <c r="V726" s="126"/>
      <c r="W726" s="126"/>
      <c r="X726" s="126"/>
      <c r="Y726" s="126"/>
      <c r="Z726" s="127"/>
      <c r="AA726" s="127"/>
      <c r="AB726" s="127"/>
      <c r="AC726" s="127"/>
      <c r="AD726" s="261"/>
      <c r="AE726" s="261"/>
      <c r="AF726" s="261"/>
      <c r="AG726" s="261"/>
    </row>
    <row r="727" ht="34.5" hidden="1" customHeight="1">
      <c r="A727" s="111"/>
      <c r="B727" s="127"/>
      <c r="C727" s="111"/>
      <c r="D727" s="111"/>
      <c r="E727" s="111"/>
      <c r="F727" s="111"/>
      <c r="G727" s="111"/>
      <c r="H727" s="111"/>
      <c r="I727" s="127"/>
      <c r="J727" s="111"/>
      <c r="K727" s="257"/>
      <c r="L727" s="111"/>
      <c r="M727" s="127"/>
      <c r="N727" s="270"/>
      <c r="O727" s="111"/>
      <c r="P727" s="111"/>
      <c r="Q727" s="128"/>
      <c r="R727" s="124"/>
      <c r="S727" s="125"/>
      <c r="T727" s="126"/>
      <c r="U727" s="126"/>
      <c r="V727" s="126"/>
      <c r="W727" s="126"/>
      <c r="X727" s="126"/>
      <c r="Y727" s="126"/>
      <c r="Z727" s="127"/>
      <c r="AA727" s="127"/>
      <c r="AB727" s="127"/>
      <c r="AC727" s="127"/>
      <c r="AD727" s="261"/>
      <c r="AE727" s="261"/>
      <c r="AF727" s="261"/>
      <c r="AG727" s="261"/>
    </row>
    <row r="728" ht="34.5" hidden="1" customHeight="1">
      <c r="A728" s="111"/>
      <c r="B728" s="127"/>
      <c r="C728" s="111"/>
      <c r="D728" s="111"/>
      <c r="E728" s="111"/>
      <c r="F728" s="111"/>
      <c r="G728" s="111"/>
      <c r="H728" s="111"/>
      <c r="I728" s="127"/>
      <c r="J728" s="111"/>
      <c r="K728" s="257"/>
      <c r="L728" s="111"/>
      <c r="M728" s="127"/>
      <c r="N728" s="270"/>
      <c r="O728" s="111"/>
      <c r="P728" s="111"/>
      <c r="Q728" s="128"/>
      <c r="R728" s="124"/>
      <c r="S728" s="125"/>
      <c r="T728" s="126"/>
      <c r="U728" s="126"/>
      <c r="V728" s="126"/>
      <c r="W728" s="126"/>
      <c r="X728" s="126"/>
      <c r="Y728" s="126"/>
      <c r="Z728" s="127"/>
      <c r="AA728" s="127"/>
      <c r="AB728" s="127"/>
      <c r="AC728" s="127"/>
      <c r="AD728" s="261"/>
      <c r="AE728" s="261"/>
      <c r="AF728" s="261"/>
      <c r="AG728" s="261"/>
    </row>
    <row r="729" ht="34.5" hidden="1" customHeight="1">
      <c r="A729" s="111"/>
      <c r="B729" s="127"/>
      <c r="C729" s="111"/>
      <c r="D729" s="111"/>
      <c r="E729" s="111"/>
      <c r="F729" s="111"/>
      <c r="G729" s="111"/>
      <c r="H729" s="111"/>
      <c r="I729" s="127"/>
      <c r="J729" s="111"/>
      <c r="K729" s="257"/>
      <c r="L729" s="111"/>
      <c r="M729" s="127"/>
      <c r="N729" s="270"/>
      <c r="O729" s="111"/>
      <c r="P729" s="111"/>
      <c r="Q729" s="128"/>
      <c r="R729" s="124"/>
      <c r="S729" s="125"/>
      <c r="T729" s="126"/>
      <c r="U729" s="126"/>
      <c r="V729" s="126"/>
      <c r="W729" s="126"/>
      <c r="X729" s="126"/>
      <c r="Y729" s="126"/>
      <c r="Z729" s="127"/>
      <c r="AA729" s="127"/>
      <c r="AB729" s="127"/>
      <c r="AC729" s="127"/>
      <c r="AD729" s="261"/>
      <c r="AE729" s="261"/>
      <c r="AF729" s="261"/>
      <c r="AG729" s="261"/>
    </row>
    <row r="730" ht="34.5" hidden="1" customHeight="1">
      <c r="A730" s="111"/>
      <c r="B730" s="127"/>
      <c r="C730" s="111"/>
      <c r="D730" s="111"/>
      <c r="E730" s="111"/>
      <c r="F730" s="111"/>
      <c r="G730" s="111"/>
      <c r="H730" s="111"/>
      <c r="I730" s="127"/>
      <c r="J730" s="111"/>
      <c r="K730" s="257"/>
      <c r="L730" s="111"/>
      <c r="M730" s="127"/>
      <c r="N730" s="270"/>
      <c r="O730" s="111"/>
      <c r="P730" s="111"/>
      <c r="Q730" s="128"/>
      <c r="R730" s="124"/>
      <c r="S730" s="125"/>
      <c r="T730" s="126"/>
      <c r="U730" s="126"/>
      <c r="V730" s="126"/>
      <c r="W730" s="126"/>
      <c r="X730" s="126"/>
      <c r="Y730" s="126"/>
      <c r="Z730" s="127"/>
      <c r="AA730" s="127"/>
      <c r="AB730" s="127"/>
      <c r="AC730" s="127"/>
      <c r="AD730" s="261"/>
      <c r="AE730" s="261"/>
      <c r="AF730" s="261"/>
      <c r="AG730" s="261"/>
    </row>
    <row r="731" ht="34.5" hidden="1" customHeight="1">
      <c r="A731" s="111"/>
      <c r="B731" s="127"/>
      <c r="C731" s="111"/>
      <c r="D731" s="111"/>
      <c r="E731" s="111"/>
      <c r="F731" s="111"/>
      <c r="G731" s="111"/>
      <c r="H731" s="111"/>
      <c r="I731" s="127"/>
      <c r="J731" s="111"/>
      <c r="K731" s="257"/>
      <c r="L731" s="111"/>
      <c r="M731" s="127"/>
      <c r="N731" s="270"/>
      <c r="O731" s="111"/>
      <c r="P731" s="111"/>
      <c r="Q731" s="128"/>
      <c r="R731" s="124"/>
      <c r="S731" s="125"/>
      <c r="T731" s="126"/>
      <c r="U731" s="126"/>
      <c r="V731" s="126"/>
      <c r="W731" s="126"/>
      <c r="X731" s="126"/>
      <c r="Y731" s="126"/>
      <c r="Z731" s="127"/>
      <c r="AA731" s="127"/>
      <c r="AB731" s="127"/>
      <c r="AC731" s="127"/>
      <c r="AD731" s="261"/>
      <c r="AE731" s="261"/>
      <c r="AF731" s="261"/>
      <c r="AG731" s="261"/>
    </row>
    <row r="732" ht="34.5" hidden="1" customHeight="1">
      <c r="A732" s="111"/>
      <c r="B732" s="127"/>
      <c r="C732" s="111"/>
      <c r="D732" s="111"/>
      <c r="E732" s="111"/>
      <c r="F732" s="111"/>
      <c r="G732" s="111"/>
      <c r="H732" s="111"/>
      <c r="I732" s="127"/>
      <c r="J732" s="111"/>
      <c r="K732" s="257"/>
      <c r="L732" s="111"/>
      <c r="M732" s="127"/>
      <c r="N732" s="270"/>
      <c r="O732" s="111"/>
      <c r="P732" s="111"/>
      <c r="Q732" s="128"/>
      <c r="R732" s="124"/>
      <c r="S732" s="125"/>
      <c r="T732" s="126"/>
      <c r="U732" s="126"/>
      <c r="V732" s="126"/>
      <c r="W732" s="126"/>
      <c r="X732" s="126"/>
      <c r="Y732" s="126"/>
      <c r="Z732" s="127"/>
      <c r="AA732" s="127"/>
      <c r="AB732" s="127"/>
      <c r="AC732" s="127"/>
      <c r="AD732" s="261"/>
      <c r="AE732" s="261"/>
      <c r="AF732" s="261"/>
      <c r="AG732" s="261"/>
    </row>
    <row r="733" ht="34.5" hidden="1" customHeight="1">
      <c r="A733" s="111"/>
      <c r="B733" s="127"/>
      <c r="C733" s="111"/>
      <c r="D733" s="111"/>
      <c r="E733" s="111"/>
      <c r="F733" s="111"/>
      <c r="G733" s="111"/>
      <c r="H733" s="111"/>
      <c r="I733" s="127"/>
      <c r="J733" s="111"/>
      <c r="K733" s="257"/>
      <c r="L733" s="111"/>
      <c r="M733" s="127"/>
      <c r="N733" s="270"/>
      <c r="O733" s="111"/>
      <c r="P733" s="111"/>
      <c r="Q733" s="128"/>
      <c r="R733" s="124"/>
      <c r="S733" s="125"/>
      <c r="T733" s="126"/>
      <c r="U733" s="126"/>
      <c r="V733" s="126"/>
      <c r="W733" s="126"/>
      <c r="X733" s="126"/>
      <c r="Y733" s="126"/>
      <c r="Z733" s="127"/>
      <c r="AA733" s="127"/>
      <c r="AB733" s="127"/>
      <c r="AC733" s="127"/>
      <c r="AD733" s="261"/>
      <c r="AE733" s="261"/>
      <c r="AF733" s="261"/>
      <c r="AG733" s="261"/>
    </row>
    <row r="734" ht="34.5" hidden="1" customHeight="1">
      <c r="A734" s="111"/>
      <c r="B734" s="127"/>
      <c r="C734" s="111"/>
      <c r="D734" s="111"/>
      <c r="E734" s="111"/>
      <c r="F734" s="111"/>
      <c r="G734" s="111"/>
      <c r="H734" s="111"/>
      <c r="I734" s="127"/>
      <c r="J734" s="111"/>
      <c r="K734" s="257"/>
      <c r="L734" s="111"/>
      <c r="M734" s="127"/>
      <c r="N734" s="270"/>
      <c r="O734" s="111"/>
      <c r="P734" s="111"/>
      <c r="Q734" s="128"/>
      <c r="R734" s="124"/>
      <c r="S734" s="125"/>
      <c r="T734" s="126"/>
      <c r="U734" s="126"/>
      <c r="V734" s="126"/>
      <c r="W734" s="126"/>
      <c r="X734" s="126"/>
      <c r="Y734" s="126"/>
      <c r="Z734" s="127"/>
      <c r="AA734" s="127"/>
      <c r="AB734" s="127"/>
      <c r="AC734" s="127"/>
      <c r="AD734" s="261"/>
      <c r="AE734" s="261"/>
      <c r="AF734" s="261"/>
      <c r="AG734" s="261"/>
    </row>
    <row r="735" ht="34.5" hidden="1" customHeight="1">
      <c r="A735" s="111"/>
      <c r="B735" s="127"/>
      <c r="C735" s="111"/>
      <c r="D735" s="111"/>
      <c r="E735" s="111"/>
      <c r="F735" s="111"/>
      <c r="G735" s="111"/>
      <c r="H735" s="111"/>
      <c r="I735" s="127"/>
      <c r="J735" s="111"/>
      <c r="K735" s="257"/>
      <c r="L735" s="111"/>
      <c r="M735" s="127"/>
      <c r="N735" s="270"/>
      <c r="O735" s="111"/>
      <c r="P735" s="111"/>
      <c r="Q735" s="128"/>
      <c r="R735" s="124"/>
      <c r="S735" s="125"/>
      <c r="T735" s="126"/>
      <c r="U735" s="126"/>
      <c r="V735" s="126"/>
      <c r="W735" s="126"/>
      <c r="X735" s="126"/>
      <c r="Y735" s="126"/>
      <c r="Z735" s="127"/>
      <c r="AA735" s="127"/>
      <c r="AB735" s="127"/>
      <c r="AC735" s="127"/>
      <c r="AD735" s="261"/>
      <c r="AE735" s="261"/>
      <c r="AF735" s="261"/>
      <c r="AG735" s="261"/>
    </row>
    <row r="736" ht="34.5" hidden="1" customHeight="1">
      <c r="A736" s="111"/>
      <c r="B736" s="127"/>
      <c r="C736" s="111"/>
      <c r="D736" s="111"/>
      <c r="E736" s="111"/>
      <c r="F736" s="111"/>
      <c r="G736" s="111"/>
      <c r="H736" s="111"/>
      <c r="I736" s="127"/>
      <c r="J736" s="111"/>
      <c r="K736" s="257"/>
      <c r="L736" s="111"/>
      <c r="M736" s="127"/>
      <c r="N736" s="270"/>
      <c r="O736" s="111"/>
      <c r="P736" s="111"/>
      <c r="Q736" s="128"/>
      <c r="R736" s="124"/>
      <c r="S736" s="125"/>
      <c r="T736" s="126"/>
      <c r="U736" s="126"/>
      <c r="V736" s="126"/>
      <c r="W736" s="126"/>
      <c r="X736" s="126"/>
      <c r="Y736" s="126"/>
      <c r="Z736" s="127"/>
      <c r="AA736" s="127"/>
      <c r="AB736" s="127"/>
      <c r="AC736" s="127"/>
      <c r="AD736" s="261"/>
      <c r="AE736" s="261"/>
      <c r="AF736" s="261"/>
      <c r="AG736" s="261"/>
    </row>
    <row r="737" ht="34.5" hidden="1" customHeight="1">
      <c r="A737" s="111"/>
      <c r="B737" s="127"/>
      <c r="C737" s="111"/>
      <c r="D737" s="111"/>
      <c r="E737" s="111"/>
      <c r="F737" s="111"/>
      <c r="G737" s="111"/>
      <c r="H737" s="111"/>
      <c r="I737" s="127"/>
      <c r="J737" s="111"/>
      <c r="K737" s="257"/>
      <c r="L737" s="111"/>
      <c r="M737" s="127"/>
      <c r="N737" s="270"/>
      <c r="O737" s="111"/>
      <c r="P737" s="111"/>
      <c r="Q737" s="128"/>
      <c r="R737" s="124"/>
      <c r="S737" s="125"/>
      <c r="T737" s="126"/>
      <c r="U737" s="126"/>
      <c r="V737" s="126"/>
      <c r="W737" s="126"/>
      <c r="X737" s="126"/>
      <c r="Y737" s="126"/>
      <c r="Z737" s="127"/>
      <c r="AA737" s="127"/>
      <c r="AB737" s="127"/>
      <c r="AC737" s="127"/>
      <c r="AD737" s="261"/>
      <c r="AE737" s="261"/>
      <c r="AF737" s="261"/>
      <c r="AG737" s="261"/>
    </row>
    <row r="738" ht="34.5" hidden="1" customHeight="1">
      <c r="A738" s="111"/>
      <c r="B738" s="127"/>
      <c r="C738" s="111"/>
      <c r="D738" s="111"/>
      <c r="E738" s="111"/>
      <c r="F738" s="111"/>
      <c r="G738" s="111"/>
      <c r="H738" s="111"/>
      <c r="I738" s="127"/>
      <c r="J738" s="111"/>
      <c r="K738" s="257"/>
      <c r="L738" s="111"/>
      <c r="M738" s="127"/>
      <c r="N738" s="270"/>
      <c r="O738" s="111"/>
      <c r="P738" s="111"/>
      <c r="Q738" s="128"/>
      <c r="R738" s="124"/>
      <c r="S738" s="125"/>
      <c r="T738" s="126"/>
      <c r="U738" s="126"/>
      <c r="V738" s="126"/>
      <c r="W738" s="126"/>
      <c r="X738" s="126"/>
      <c r="Y738" s="126"/>
      <c r="Z738" s="127"/>
      <c r="AA738" s="127"/>
      <c r="AB738" s="127"/>
      <c r="AC738" s="127"/>
      <c r="AD738" s="261"/>
      <c r="AE738" s="261"/>
      <c r="AF738" s="261"/>
      <c r="AG738" s="261"/>
    </row>
    <row r="739" ht="34.5" hidden="1" customHeight="1">
      <c r="A739" s="111"/>
      <c r="B739" s="127"/>
      <c r="C739" s="111"/>
      <c r="D739" s="111"/>
      <c r="E739" s="111"/>
      <c r="F739" s="111"/>
      <c r="G739" s="111"/>
      <c r="H739" s="111"/>
      <c r="I739" s="127"/>
      <c r="J739" s="111"/>
      <c r="K739" s="257"/>
      <c r="L739" s="111"/>
      <c r="M739" s="127"/>
      <c r="N739" s="270"/>
      <c r="O739" s="111"/>
      <c r="P739" s="111"/>
      <c r="Q739" s="128"/>
      <c r="R739" s="124"/>
      <c r="S739" s="125"/>
      <c r="T739" s="126"/>
      <c r="U739" s="126"/>
      <c r="V739" s="126"/>
      <c r="W739" s="126"/>
      <c r="X739" s="126"/>
      <c r="Y739" s="126"/>
      <c r="Z739" s="127"/>
      <c r="AA739" s="127"/>
      <c r="AB739" s="127"/>
      <c r="AC739" s="127"/>
      <c r="AD739" s="261"/>
      <c r="AE739" s="261"/>
      <c r="AF739" s="261"/>
      <c r="AG739" s="261"/>
    </row>
    <row r="740" ht="34.5" hidden="1" customHeight="1">
      <c r="A740" s="111"/>
      <c r="B740" s="127"/>
      <c r="C740" s="111"/>
      <c r="D740" s="111"/>
      <c r="E740" s="111"/>
      <c r="F740" s="111"/>
      <c r="G740" s="111"/>
      <c r="H740" s="111"/>
      <c r="I740" s="127"/>
      <c r="J740" s="111"/>
      <c r="K740" s="257"/>
      <c r="L740" s="111"/>
      <c r="M740" s="127"/>
      <c r="N740" s="270"/>
      <c r="O740" s="111"/>
      <c r="P740" s="111"/>
      <c r="Q740" s="128"/>
      <c r="R740" s="124"/>
      <c r="S740" s="125"/>
      <c r="T740" s="126"/>
      <c r="U740" s="126"/>
      <c r="V740" s="126"/>
      <c r="W740" s="126"/>
      <c r="X740" s="126"/>
      <c r="Y740" s="126"/>
      <c r="Z740" s="127"/>
      <c r="AA740" s="127"/>
      <c r="AB740" s="127"/>
      <c r="AC740" s="127"/>
      <c r="AD740" s="261"/>
      <c r="AE740" s="261"/>
      <c r="AF740" s="261"/>
      <c r="AG740" s="261"/>
    </row>
    <row r="741" ht="34.5" hidden="1" customHeight="1">
      <c r="A741" s="111"/>
      <c r="B741" s="127"/>
      <c r="C741" s="111"/>
      <c r="D741" s="111"/>
      <c r="E741" s="111"/>
      <c r="F741" s="111"/>
      <c r="G741" s="111"/>
      <c r="H741" s="111"/>
      <c r="I741" s="127"/>
      <c r="J741" s="111"/>
      <c r="K741" s="257"/>
      <c r="L741" s="111"/>
      <c r="M741" s="127"/>
      <c r="N741" s="270"/>
      <c r="O741" s="111"/>
      <c r="P741" s="111"/>
      <c r="Q741" s="128"/>
      <c r="R741" s="124"/>
      <c r="S741" s="125"/>
      <c r="T741" s="126"/>
      <c r="U741" s="126"/>
      <c r="V741" s="126"/>
      <c r="W741" s="126"/>
      <c r="X741" s="126"/>
      <c r="Y741" s="126"/>
      <c r="Z741" s="127"/>
      <c r="AA741" s="127"/>
      <c r="AB741" s="127"/>
      <c r="AC741" s="127"/>
      <c r="AD741" s="261"/>
      <c r="AE741" s="261"/>
      <c r="AF741" s="261"/>
      <c r="AG741" s="261"/>
    </row>
    <row r="742" ht="34.5" hidden="1" customHeight="1">
      <c r="A742" s="111"/>
      <c r="B742" s="127"/>
      <c r="C742" s="111"/>
      <c r="D742" s="111"/>
      <c r="E742" s="111"/>
      <c r="F742" s="111"/>
      <c r="G742" s="111"/>
      <c r="H742" s="111"/>
      <c r="I742" s="127"/>
      <c r="J742" s="111"/>
      <c r="K742" s="257"/>
      <c r="L742" s="111"/>
      <c r="M742" s="127"/>
      <c r="N742" s="270"/>
      <c r="O742" s="111"/>
      <c r="P742" s="111"/>
      <c r="Q742" s="128"/>
      <c r="R742" s="124"/>
      <c r="S742" s="125"/>
      <c r="T742" s="126"/>
      <c r="U742" s="126"/>
      <c r="V742" s="126"/>
      <c r="W742" s="126"/>
      <c r="X742" s="126"/>
      <c r="Y742" s="126"/>
      <c r="Z742" s="127"/>
      <c r="AA742" s="127"/>
      <c r="AB742" s="127"/>
      <c r="AC742" s="127"/>
      <c r="AD742" s="261"/>
      <c r="AE742" s="261"/>
      <c r="AF742" s="261"/>
      <c r="AG742" s="261"/>
    </row>
    <row r="743" ht="34.5" hidden="1" customHeight="1">
      <c r="A743" s="111"/>
      <c r="B743" s="127"/>
      <c r="C743" s="111"/>
      <c r="D743" s="111"/>
      <c r="E743" s="111"/>
      <c r="F743" s="111"/>
      <c r="G743" s="111"/>
      <c r="H743" s="111"/>
      <c r="I743" s="127"/>
      <c r="J743" s="111"/>
      <c r="K743" s="257"/>
      <c r="L743" s="111"/>
      <c r="M743" s="127"/>
      <c r="N743" s="270"/>
      <c r="O743" s="111"/>
      <c r="P743" s="111"/>
      <c r="Q743" s="128"/>
      <c r="R743" s="124"/>
      <c r="S743" s="125"/>
      <c r="T743" s="126"/>
      <c r="U743" s="126"/>
      <c r="V743" s="126"/>
      <c r="W743" s="126"/>
      <c r="X743" s="126"/>
      <c r="Y743" s="126"/>
      <c r="Z743" s="127"/>
      <c r="AA743" s="127"/>
      <c r="AB743" s="127"/>
      <c r="AC743" s="127"/>
      <c r="AD743" s="261"/>
      <c r="AE743" s="261"/>
      <c r="AF743" s="261"/>
      <c r="AG743" s="261"/>
    </row>
    <row r="744" ht="34.5" hidden="1" customHeight="1">
      <c r="A744" s="111"/>
      <c r="B744" s="127"/>
      <c r="C744" s="111"/>
      <c r="D744" s="111"/>
      <c r="E744" s="111"/>
      <c r="F744" s="111"/>
      <c r="G744" s="111"/>
      <c r="H744" s="111"/>
      <c r="I744" s="127"/>
      <c r="J744" s="111"/>
      <c r="K744" s="257"/>
      <c r="L744" s="111"/>
      <c r="M744" s="127"/>
      <c r="N744" s="270"/>
      <c r="O744" s="111"/>
      <c r="P744" s="111"/>
      <c r="Q744" s="128"/>
      <c r="R744" s="124"/>
      <c r="S744" s="125"/>
      <c r="T744" s="126"/>
      <c r="U744" s="126"/>
      <c r="V744" s="126"/>
      <c r="W744" s="126"/>
      <c r="X744" s="126"/>
      <c r="Y744" s="126"/>
      <c r="Z744" s="127"/>
      <c r="AA744" s="127"/>
      <c r="AB744" s="127"/>
      <c r="AC744" s="127"/>
      <c r="AD744" s="261"/>
      <c r="AE744" s="261"/>
      <c r="AF744" s="261"/>
      <c r="AG744" s="261"/>
    </row>
    <row r="745" ht="34.5" hidden="1" customHeight="1">
      <c r="A745" s="111"/>
      <c r="B745" s="127"/>
      <c r="C745" s="111"/>
      <c r="D745" s="111"/>
      <c r="E745" s="111"/>
      <c r="F745" s="111"/>
      <c r="G745" s="111"/>
      <c r="H745" s="111"/>
      <c r="I745" s="127"/>
      <c r="J745" s="111"/>
      <c r="K745" s="257"/>
      <c r="L745" s="111"/>
      <c r="M745" s="127"/>
      <c r="N745" s="270"/>
      <c r="O745" s="111"/>
      <c r="P745" s="111"/>
      <c r="Q745" s="128"/>
      <c r="R745" s="124"/>
      <c r="S745" s="125"/>
      <c r="T745" s="126"/>
      <c r="U745" s="126"/>
      <c r="V745" s="126"/>
      <c r="W745" s="126"/>
      <c r="X745" s="126"/>
      <c r="Y745" s="126"/>
      <c r="Z745" s="127"/>
      <c r="AA745" s="127"/>
      <c r="AB745" s="127"/>
      <c r="AC745" s="127"/>
      <c r="AD745" s="261"/>
      <c r="AE745" s="261"/>
      <c r="AF745" s="261"/>
      <c r="AG745" s="261"/>
    </row>
    <row r="746" ht="34.5" hidden="1" customHeight="1">
      <c r="A746" s="111"/>
      <c r="B746" s="127"/>
      <c r="C746" s="111"/>
      <c r="D746" s="111"/>
      <c r="E746" s="111"/>
      <c r="F746" s="111"/>
      <c r="G746" s="111"/>
      <c r="H746" s="111"/>
      <c r="I746" s="127"/>
      <c r="J746" s="111"/>
      <c r="K746" s="257"/>
      <c r="L746" s="111"/>
      <c r="M746" s="127"/>
      <c r="N746" s="270"/>
      <c r="O746" s="111"/>
      <c r="P746" s="111"/>
      <c r="Q746" s="128"/>
      <c r="R746" s="124"/>
      <c r="S746" s="125"/>
      <c r="T746" s="126"/>
      <c r="U746" s="126"/>
      <c r="V746" s="126"/>
      <c r="W746" s="126"/>
      <c r="X746" s="126"/>
      <c r="Y746" s="126"/>
      <c r="Z746" s="127"/>
      <c r="AA746" s="127"/>
      <c r="AB746" s="127"/>
      <c r="AC746" s="127"/>
      <c r="AD746" s="261"/>
      <c r="AE746" s="261"/>
      <c r="AF746" s="261"/>
      <c r="AG746" s="261"/>
    </row>
    <row r="747" ht="34.5" hidden="1" customHeight="1">
      <c r="A747" s="111"/>
      <c r="B747" s="127"/>
      <c r="C747" s="111"/>
      <c r="D747" s="111"/>
      <c r="E747" s="111"/>
      <c r="F747" s="111"/>
      <c r="G747" s="111"/>
      <c r="H747" s="111"/>
      <c r="I747" s="127"/>
      <c r="J747" s="111"/>
      <c r="K747" s="257"/>
      <c r="L747" s="111"/>
      <c r="M747" s="127"/>
      <c r="N747" s="270"/>
      <c r="O747" s="111"/>
      <c r="P747" s="111"/>
      <c r="Q747" s="128"/>
      <c r="R747" s="124"/>
      <c r="S747" s="125"/>
      <c r="T747" s="126"/>
      <c r="U747" s="126"/>
      <c r="V747" s="126"/>
      <c r="W747" s="126"/>
      <c r="X747" s="126"/>
      <c r="Y747" s="126"/>
      <c r="Z747" s="127"/>
      <c r="AA747" s="127"/>
      <c r="AB747" s="127"/>
      <c r="AC747" s="127"/>
      <c r="AD747" s="261"/>
      <c r="AE747" s="261"/>
      <c r="AF747" s="261"/>
      <c r="AG747" s="261"/>
    </row>
    <row r="748" ht="34.5" hidden="1" customHeight="1">
      <c r="A748" s="111"/>
      <c r="B748" s="127"/>
      <c r="C748" s="111"/>
      <c r="D748" s="111"/>
      <c r="E748" s="111"/>
      <c r="F748" s="111"/>
      <c r="G748" s="111"/>
      <c r="H748" s="111"/>
      <c r="I748" s="127"/>
      <c r="J748" s="111"/>
      <c r="K748" s="257"/>
      <c r="L748" s="111"/>
      <c r="M748" s="127"/>
      <c r="N748" s="270"/>
      <c r="O748" s="111"/>
      <c r="P748" s="111"/>
      <c r="Q748" s="128"/>
      <c r="R748" s="124"/>
      <c r="S748" s="125"/>
      <c r="T748" s="126"/>
      <c r="U748" s="126"/>
      <c r="V748" s="126"/>
      <c r="W748" s="126"/>
      <c r="X748" s="126"/>
      <c r="Y748" s="126"/>
      <c r="Z748" s="127"/>
      <c r="AA748" s="127"/>
      <c r="AB748" s="127"/>
      <c r="AC748" s="127"/>
      <c r="AD748" s="261"/>
      <c r="AE748" s="261"/>
      <c r="AF748" s="261"/>
      <c r="AG748" s="261"/>
    </row>
    <row r="749" ht="34.5" hidden="1" customHeight="1">
      <c r="A749" s="111"/>
      <c r="B749" s="127"/>
      <c r="C749" s="111"/>
      <c r="D749" s="111"/>
      <c r="E749" s="111"/>
      <c r="F749" s="111"/>
      <c r="G749" s="111"/>
      <c r="H749" s="111"/>
      <c r="I749" s="127"/>
      <c r="J749" s="111"/>
      <c r="K749" s="257"/>
      <c r="L749" s="111"/>
      <c r="M749" s="127"/>
      <c r="N749" s="270"/>
      <c r="O749" s="111"/>
      <c r="P749" s="111"/>
      <c r="Q749" s="128"/>
      <c r="R749" s="124"/>
      <c r="S749" s="125"/>
      <c r="T749" s="126"/>
      <c r="U749" s="126"/>
      <c r="V749" s="126"/>
      <c r="W749" s="126"/>
      <c r="X749" s="126"/>
      <c r="Y749" s="126"/>
      <c r="Z749" s="127"/>
      <c r="AA749" s="127"/>
      <c r="AB749" s="127"/>
      <c r="AC749" s="127"/>
      <c r="AD749" s="261"/>
      <c r="AE749" s="261"/>
      <c r="AF749" s="261"/>
      <c r="AG749" s="261"/>
    </row>
    <row r="750" ht="34.5" hidden="1" customHeight="1">
      <c r="A750" s="111"/>
      <c r="B750" s="127"/>
      <c r="C750" s="111"/>
      <c r="D750" s="111"/>
      <c r="E750" s="111"/>
      <c r="F750" s="111"/>
      <c r="G750" s="111"/>
      <c r="H750" s="111"/>
      <c r="I750" s="127"/>
      <c r="J750" s="111"/>
      <c r="K750" s="257"/>
      <c r="L750" s="111"/>
      <c r="M750" s="127"/>
      <c r="N750" s="270"/>
      <c r="O750" s="111"/>
      <c r="P750" s="111"/>
      <c r="Q750" s="128"/>
      <c r="R750" s="124"/>
      <c r="S750" s="125"/>
      <c r="T750" s="126"/>
      <c r="U750" s="126"/>
      <c r="V750" s="126"/>
      <c r="W750" s="126"/>
      <c r="X750" s="126"/>
      <c r="Y750" s="126"/>
      <c r="Z750" s="127"/>
      <c r="AA750" s="127"/>
      <c r="AB750" s="127"/>
      <c r="AC750" s="127"/>
      <c r="AD750" s="261"/>
      <c r="AE750" s="261"/>
      <c r="AF750" s="261"/>
      <c r="AG750" s="261"/>
    </row>
    <row r="751" ht="34.5" hidden="1" customHeight="1">
      <c r="A751" s="111"/>
      <c r="B751" s="127"/>
      <c r="C751" s="111"/>
      <c r="D751" s="111"/>
      <c r="E751" s="111"/>
      <c r="F751" s="111"/>
      <c r="G751" s="111"/>
      <c r="H751" s="111"/>
      <c r="I751" s="127"/>
      <c r="J751" s="111"/>
      <c r="K751" s="257"/>
      <c r="L751" s="111"/>
      <c r="M751" s="127"/>
      <c r="N751" s="270"/>
      <c r="O751" s="111"/>
      <c r="P751" s="111"/>
      <c r="Q751" s="128"/>
      <c r="R751" s="124"/>
      <c r="S751" s="125"/>
      <c r="T751" s="126"/>
      <c r="U751" s="126"/>
      <c r="V751" s="126"/>
      <c r="W751" s="126"/>
      <c r="X751" s="126"/>
      <c r="Y751" s="126"/>
      <c r="Z751" s="127"/>
      <c r="AA751" s="127"/>
      <c r="AB751" s="127"/>
      <c r="AC751" s="127"/>
      <c r="AD751" s="261"/>
      <c r="AE751" s="261"/>
      <c r="AF751" s="261"/>
      <c r="AG751" s="261"/>
    </row>
    <row r="752" ht="34.5" hidden="1" customHeight="1">
      <c r="A752" s="111"/>
      <c r="B752" s="127"/>
      <c r="C752" s="111"/>
      <c r="D752" s="111"/>
      <c r="E752" s="111"/>
      <c r="F752" s="111"/>
      <c r="G752" s="111"/>
      <c r="H752" s="111"/>
      <c r="I752" s="127"/>
      <c r="J752" s="111"/>
      <c r="K752" s="257"/>
      <c r="L752" s="111"/>
      <c r="M752" s="127"/>
      <c r="N752" s="270"/>
      <c r="O752" s="111"/>
      <c r="P752" s="111"/>
      <c r="Q752" s="128"/>
      <c r="R752" s="124"/>
      <c r="S752" s="125"/>
      <c r="T752" s="126"/>
      <c r="U752" s="126"/>
      <c r="V752" s="126"/>
      <c r="W752" s="126"/>
      <c r="X752" s="126"/>
      <c r="Y752" s="126"/>
      <c r="Z752" s="127"/>
      <c r="AA752" s="127"/>
      <c r="AB752" s="127"/>
      <c r="AC752" s="127"/>
      <c r="AD752" s="261"/>
      <c r="AE752" s="261"/>
      <c r="AF752" s="261"/>
      <c r="AG752" s="261"/>
    </row>
    <row r="753" ht="34.5" hidden="1" customHeight="1">
      <c r="A753" s="111"/>
      <c r="B753" s="127"/>
      <c r="C753" s="111"/>
      <c r="D753" s="111"/>
      <c r="E753" s="111"/>
      <c r="F753" s="111"/>
      <c r="G753" s="111"/>
      <c r="H753" s="111"/>
      <c r="I753" s="127"/>
      <c r="J753" s="111"/>
      <c r="K753" s="257"/>
      <c r="L753" s="111"/>
      <c r="M753" s="127"/>
      <c r="N753" s="270"/>
      <c r="O753" s="111"/>
      <c r="P753" s="111"/>
      <c r="Q753" s="128"/>
      <c r="R753" s="124"/>
      <c r="S753" s="125"/>
      <c r="T753" s="126"/>
      <c r="U753" s="126"/>
      <c r="V753" s="126"/>
      <c r="W753" s="126"/>
      <c r="X753" s="126"/>
      <c r="Y753" s="126"/>
      <c r="Z753" s="127"/>
      <c r="AA753" s="127"/>
      <c r="AB753" s="127"/>
      <c r="AC753" s="127"/>
      <c r="AD753" s="261"/>
      <c r="AE753" s="261"/>
      <c r="AF753" s="261"/>
      <c r="AG753" s="261"/>
    </row>
    <row r="754" ht="34.5" hidden="1" customHeight="1">
      <c r="A754" s="111"/>
      <c r="B754" s="127"/>
      <c r="C754" s="111"/>
      <c r="D754" s="111"/>
      <c r="E754" s="111"/>
      <c r="F754" s="111"/>
      <c r="G754" s="111"/>
      <c r="H754" s="111"/>
      <c r="I754" s="127"/>
      <c r="J754" s="111"/>
      <c r="K754" s="257"/>
      <c r="L754" s="111"/>
      <c r="M754" s="127"/>
      <c r="N754" s="270"/>
      <c r="O754" s="111"/>
      <c r="P754" s="111"/>
      <c r="Q754" s="128"/>
      <c r="R754" s="124"/>
      <c r="S754" s="125"/>
      <c r="T754" s="126"/>
      <c r="U754" s="126"/>
      <c r="V754" s="126"/>
      <c r="W754" s="126"/>
      <c r="X754" s="126"/>
      <c r="Y754" s="126"/>
      <c r="Z754" s="127"/>
      <c r="AA754" s="127"/>
      <c r="AB754" s="127"/>
      <c r="AC754" s="127"/>
      <c r="AD754" s="261"/>
      <c r="AE754" s="261"/>
      <c r="AF754" s="261"/>
      <c r="AG754" s="261"/>
    </row>
    <row r="755" ht="34.5" hidden="1" customHeight="1">
      <c r="A755" s="111"/>
      <c r="B755" s="127"/>
      <c r="C755" s="111"/>
      <c r="D755" s="111"/>
      <c r="E755" s="111"/>
      <c r="F755" s="111"/>
      <c r="G755" s="111"/>
      <c r="H755" s="111"/>
      <c r="I755" s="127"/>
      <c r="J755" s="111"/>
      <c r="K755" s="257"/>
      <c r="L755" s="111"/>
      <c r="M755" s="127"/>
      <c r="N755" s="270"/>
      <c r="O755" s="111"/>
      <c r="P755" s="111"/>
      <c r="Q755" s="128"/>
      <c r="R755" s="124"/>
      <c r="S755" s="125"/>
      <c r="T755" s="126"/>
      <c r="U755" s="126"/>
      <c r="V755" s="126"/>
      <c r="W755" s="126"/>
      <c r="X755" s="126"/>
      <c r="Y755" s="126"/>
      <c r="Z755" s="127"/>
      <c r="AA755" s="127"/>
      <c r="AB755" s="127"/>
      <c r="AC755" s="127"/>
      <c r="AD755" s="261"/>
      <c r="AE755" s="261"/>
      <c r="AF755" s="261"/>
      <c r="AG755" s="261"/>
    </row>
    <row r="756" ht="34.5" hidden="1" customHeight="1">
      <c r="A756" s="111"/>
      <c r="B756" s="127"/>
      <c r="C756" s="111"/>
      <c r="D756" s="111"/>
      <c r="E756" s="111"/>
      <c r="F756" s="111"/>
      <c r="G756" s="111"/>
      <c r="H756" s="111"/>
      <c r="I756" s="127"/>
      <c r="J756" s="111"/>
      <c r="K756" s="257"/>
      <c r="L756" s="111"/>
      <c r="M756" s="127"/>
      <c r="N756" s="270"/>
      <c r="O756" s="111"/>
      <c r="P756" s="111"/>
      <c r="Q756" s="128"/>
      <c r="R756" s="124"/>
      <c r="S756" s="125"/>
      <c r="T756" s="126"/>
      <c r="U756" s="126"/>
      <c r="V756" s="126"/>
      <c r="W756" s="126"/>
      <c r="X756" s="126"/>
      <c r="Y756" s="126"/>
      <c r="Z756" s="127"/>
      <c r="AA756" s="127"/>
      <c r="AB756" s="127"/>
      <c r="AC756" s="127"/>
      <c r="AD756" s="261"/>
      <c r="AE756" s="261"/>
      <c r="AF756" s="261"/>
      <c r="AG756" s="261"/>
    </row>
    <row r="757" ht="34.5" hidden="1" customHeight="1">
      <c r="A757" s="111"/>
      <c r="B757" s="127"/>
      <c r="C757" s="111"/>
      <c r="D757" s="111"/>
      <c r="E757" s="111"/>
      <c r="F757" s="111"/>
      <c r="G757" s="111"/>
      <c r="H757" s="111"/>
      <c r="I757" s="127"/>
      <c r="J757" s="111"/>
      <c r="K757" s="257"/>
      <c r="L757" s="111"/>
      <c r="M757" s="127"/>
      <c r="N757" s="270"/>
      <c r="O757" s="111"/>
      <c r="P757" s="111"/>
      <c r="Q757" s="128"/>
      <c r="R757" s="124"/>
      <c r="S757" s="125"/>
      <c r="T757" s="126"/>
      <c r="U757" s="126"/>
      <c r="V757" s="126"/>
      <c r="W757" s="126"/>
      <c r="X757" s="126"/>
      <c r="Y757" s="126"/>
      <c r="Z757" s="127"/>
      <c r="AA757" s="127"/>
      <c r="AB757" s="127"/>
      <c r="AC757" s="127"/>
      <c r="AD757" s="261"/>
      <c r="AE757" s="261"/>
      <c r="AF757" s="261"/>
      <c r="AG757" s="261"/>
    </row>
    <row r="758" ht="34.5" hidden="1" customHeight="1">
      <c r="A758" s="111"/>
      <c r="B758" s="127"/>
      <c r="C758" s="111"/>
      <c r="D758" s="111"/>
      <c r="E758" s="111"/>
      <c r="F758" s="111"/>
      <c r="G758" s="111"/>
      <c r="H758" s="111"/>
      <c r="I758" s="127"/>
      <c r="J758" s="111"/>
      <c r="K758" s="257"/>
      <c r="L758" s="111"/>
      <c r="M758" s="127"/>
      <c r="N758" s="270"/>
      <c r="O758" s="111"/>
      <c r="P758" s="111"/>
      <c r="Q758" s="128"/>
      <c r="R758" s="124"/>
      <c r="S758" s="125"/>
      <c r="T758" s="126"/>
      <c r="U758" s="126"/>
      <c r="V758" s="126"/>
      <c r="W758" s="126"/>
      <c r="X758" s="126"/>
      <c r="Y758" s="126"/>
      <c r="Z758" s="127"/>
      <c r="AA758" s="127"/>
      <c r="AB758" s="127"/>
      <c r="AC758" s="127"/>
      <c r="AD758" s="261"/>
      <c r="AE758" s="261"/>
      <c r="AF758" s="261"/>
      <c r="AG758" s="261"/>
    </row>
    <row r="759" ht="34.5" hidden="1" customHeight="1">
      <c r="A759" s="111"/>
      <c r="B759" s="127"/>
      <c r="C759" s="111"/>
      <c r="D759" s="111"/>
      <c r="E759" s="111"/>
      <c r="F759" s="111"/>
      <c r="G759" s="111"/>
      <c r="H759" s="111"/>
      <c r="I759" s="127"/>
      <c r="J759" s="111"/>
      <c r="K759" s="257"/>
      <c r="L759" s="111"/>
      <c r="M759" s="127"/>
      <c r="N759" s="270"/>
      <c r="O759" s="111"/>
      <c r="P759" s="111"/>
      <c r="Q759" s="128"/>
      <c r="R759" s="124"/>
      <c r="S759" s="125"/>
      <c r="T759" s="126"/>
      <c r="U759" s="126"/>
      <c r="V759" s="126"/>
      <c r="W759" s="126"/>
      <c r="X759" s="126"/>
      <c r="Y759" s="126"/>
      <c r="Z759" s="127"/>
      <c r="AA759" s="127"/>
      <c r="AB759" s="127"/>
      <c r="AC759" s="127"/>
      <c r="AD759" s="261"/>
      <c r="AE759" s="261"/>
      <c r="AF759" s="261"/>
      <c r="AG759" s="261"/>
    </row>
    <row r="760" ht="34.5" hidden="1" customHeight="1">
      <c r="A760" s="111"/>
      <c r="B760" s="127"/>
      <c r="C760" s="111"/>
      <c r="D760" s="111"/>
      <c r="E760" s="111"/>
      <c r="F760" s="111"/>
      <c r="G760" s="111"/>
      <c r="H760" s="111"/>
      <c r="I760" s="127"/>
      <c r="J760" s="111"/>
      <c r="K760" s="257"/>
      <c r="L760" s="111"/>
      <c r="M760" s="127"/>
      <c r="N760" s="270"/>
      <c r="O760" s="111"/>
      <c r="P760" s="111"/>
      <c r="Q760" s="128"/>
      <c r="R760" s="124"/>
      <c r="S760" s="125"/>
      <c r="T760" s="126"/>
      <c r="U760" s="126"/>
      <c r="V760" s="126"/>
      <c r="W760" s="126"/>
      <c r="X760" s="126"/>
      <c r="Y760" s="126"/>
      <c r="Z760" s="127"/>
      <c r="AA760" s="127"/>
      <c r="AB760" s="127"/>
      <c r="AC760" s="127"/>
      <c r="AD760" s="261"/>
      <c r="AE760" s="261"/>
      <c r="AF760" s="261"/>
      <c r="AG760" s="261"/>
    </row>
    <row r="761" ht="34.5" hidden="1" customHeight="1">
      <c r="A761" s="111"/>
      <c r="B761" s="127"/>
      <c r="C761" s="111"/>
      <c r="D761" s="111"/>
      <c r="E761" s="111"/>
      <c r="F761" s="111"/>
      <c r="G761" s="111"/>
      <c r="H761" s="111"/>
      <c r="I761" s="127"/>
      <c r="J761" s="111"/>
      <c r="K761" s="257"/>
      <c r="L761" s="111"/>
      <c r="M761" s="127"/>
      <c r="N761" s="270"/>
      <c r="O761" s="111"/>
      <c r="P761" s="111"/>
      <c r="Q761" s="128"/>
      <c r="R761" s="124"/>
      <c r="S761" s="125"/>
      <c r="T761" s="126"/>
      <c r="U761" s="126"/>
      <c r="V761" s="126"/>
      <c r="W761" s="126"/>
      <c r="X761" s="126"/>
      <c r="Y761" s="126"/>
      <c r="Z761" s="127"/>
      <c r="AA761" s="127"/>
      <c r="AB761" s="127"/>
      <c r="AC761" s="127"/>
      <c r="AD761" s="261"/>
      <c r="AE761" s="261"/>
      <c r="AF761" s="261"/>
      <c r="AG761" s="261"/>
    </row>
    <row r="762" ht="34.5" hidden="1" customHeight="1">
      <c r="A762" s="111"/>
      <c r="B762" s="127"/>
      <c r="C762" s="111"/>
      <c r="D762" s="111"/>
      <c r="E762" s="111"/>
      <c r="F762" s="111"/>
      <c r="G762" s="111"/>
      <c r="H762" s="111"/>
      <c r="I762" s="127"/>
      <c r="J762" s="111"/>
      <c r="K762" s="257"/>
      <c r="L762" s="111"/>
      <c r="M762" s="127"/>
      <c r="N762" s="270"/>
      <c r="O762" s="111"/>
      <c r="P762" s="111"/>
      <c r="Q762" s="128"/>
      <c r="R762" s="124"/>
      <c r="S762" s="125"/>
      <c r="T762" s="126"/>
      <c r="U762" s="126"/>
      <c r="V762" s="126"/>
      <c r="W762" s="126"/>
      <c r="X762" s="126"/>
      <c r="Y762" s="126"/>
      <c r="Z762" s="127"/>
      <c r="AA762" s="127"/>
      <c r="AB762" s="127"/>
      <c r="AC762" s="127"/>
      <c r="AD762" s="261"/>
      <c r="AE762" s="261"/>
      <c r="AF762" s="261"/>
      <c r="AG762" s="261"/>
    </row>
    <row r="763" ht="34.5" hidden="1" customHeight="1">
      <c r="A763" s="111"/>
      <c r="B763" s="127"/>
      <c r="C763" s="111"/>
      <c r="D763" s="111"/>
      <c r="E763" s="111"/>
      <c r="F763" s="111"/>
      <c r="G763" s="111"/>
      <c r="H763" s="111"/>
      <c r="I763" s="127"/>
      <c r="J763" s="111"/>
      <c r="K763" s="257"/>
      <c r="L763" s="111"/>
      <c r="M763" s="127"/>
      <c r="N763" s="270"/>
      <c r="O763" s="111"/>
      <c r="P763" s="111"/>
      <c r="Q763" s="128"/>
      <c r="R763" s="124"/>
      <c r="S763" s="125"/>
      <c r="T763" s="126"/>
      <c r="U763" s="126"/>
      <c r="V763" s="126"/>
      <c r="W763" s="126"/>
      <c r="X763" s="126"/>
      <c r="Y763" s="126"/>
      <c r="Z763" s="127"/>
      <c r="AA763" s="127"/>
      <c r="AB763" s="127"/>
      <c r="AC763" s="127"/>
      <c r="AD763" s="261"/>
      <c r="AE763" s="261"/>
      <c r="AF763" s="261"/>
      <c r="AG763" s="261"/>
    </row>
    <row r="764" ht="34.5" hidden="1" customHeight="1">
      <c r="A764" s="111"/>
      <c r="B764" s="127"/>
      <c r="C764" s="111"/>
      <c r="D764" s="111"/>
      <c r="E764" s="111"/>
      <c r="F764" s="111"/>
      <c r="G764" s="111"/>
      <c r="H764" s="111"/>
      <c r="I764" s="127"/>
      <c r="J764" s="111"/>
      <c r="K764" s="257"/>
      <c r="L764" s="111"/>
      <c r="M764" s="127"/>
      <c r="N764" s="270"/>
      <c r="O764" s="111"/>
      <c r="P764" s="111"/>
      <c r="Q764" s="128"/>
      <c r="R764" s="124"/>
      <c r="S764" s="125"/>
      <c r="T764" s="126"/>
      <c r="U764" s="126"/>
      <c r="V764" s="126"/>
      <c r="W764" s="126"/>
      <c r="X764" s="126"/>
      <c r="Y764" s="126"/>
      <c r="Z764" s="127"/>
      <c r="AA764" s="127"/>
      <c r="AB764" s="127"/>
      <c r="AC764" s="127"/>
      <c r="AD764" s="261"/>
      <c r="AE764" s="261"/>
      <c r="AF764" s="261"/>
      <c r="AG764" s="261"/>
    </row>
    <row r="765" ht="34.5" hidden="1" customHeight="1">
      <c r="A765" s="111"/>
      <c r="B765" s="127"/>
      <c r="C765" s="111"/>
      <c r="D765" s="111"/>
      <c r="E765" s="111"/>
      <c r="F765" s="111"/>
      <c r="G765" s="111"/>
      <c r="H765" s="111"/>
      <c r="I765" s="127"/>
      <c r="J765" s="111"/>
      <c r="K765" s="257"/>
      <c r="L765" s="111"/>
      <c r="M765" s="127"/>
      <c r="N765" s="270"/>
      <c r="O765" s="111"/>
      <c r="P765" s="111"/>
      <c r="Q765" s="128"/>
      <c r="R765" s="124"/>
      <c r="S765" s="125"/>
      <c r="T765" s="126"/>
      <c r="U765" s="126"/>
      <c r="V765" s="126"/>
      <c r="W765" s="126"/>
      <c r="X765" s="126"/>
      <c r="Y765" s="126"/>
      <c r="Z765" s="127"/>
      <c r="AA765" s="127"/>
      <c r="AB765" s="127"/>
      <c r="AC765" s="127"/>
      <c r="AD765" s="261"/>
      <c r="AE765" s="261"/>
      <c r="AF765" s="261"/>
      <c r="AG765" s="261"/>
    </row>
    <row r="766" ht="34.5" hidden="1" customHeight="1">
      <c r="A766" s="111"/>
      <c r="B766" s="127"/>
      <c r="C766" s="111"/>
      <c r="D766" s="111"/>
      <c r="E766" s="111"/>
      <c r="F766" s="111"/>
      <c r="G766" s="111"/>
      <c r="H766" s="111"/>
      <c r="I766" s="127"/>
      <c r="J766" s="111"/>
      <c r="K766" s="257"/>
      <c r="L766" s="111"/>
      <c r="M766" s="127"/>
      <c r="N766" s="270"/>
      <c r="O766" s="111"/>
      <c r="P766" s="111"/>
      <c r="Q766" s="128"/>
      <c r="R766" s="124"/>
      <c r="S766" s="125"/>
      <c r="T766" s="126"/>
      <c r="U766" s="126"/>
      <c r="V766" s="126"/>
      <c r="W766" s="126"/>
      <c r="X766" s="126"/>
      <c r="Y766" s="126"/>
      <c r="Z766" s="127"/>
      <c r="AA766" s="127"/>
      <c r="AB766" s="127"/>
      <c r="AC766" s="127"/>
      <c r="AD766" s="261"/>
      <c r="AE766" s="261"/>
      <c r="AF766" s="261"/>
      <c r="AG766" s="261"/>
    </row>
    <row r="767" ht="34.5" hidden="1" customHeight="1">
      <c r="A767" s="111"/>
      <c r="B767" s="127"/>
      <c r="C767" s="111"/>
      <c r="D767" s="111"/>
      <c r="E767" s="111"/>
      <c r="F767" s="111"/>
      <c r="G767" s="111"/>
      <c r="H767" s="111"/>
      <c r="I767" s="127"/>
      <c r="J767" s="111"/>
      <c r="K767" s="257"/>
      <c r="L767" s="111"/>
      <c r="M767" s="127"/>
      <c r="N767" s="270"/>
      <c r="O767" s="111"/>
      <c r="P767" s="111"/>
      <c r="Q767" s="128"/>
      <c r="R767" s="124"/>
      <c r="S767" s="125"/>
      <c r="T767" s="126"/>
      <c r="U767" s="126"/>
      <c r="V767" s="126"/>
      <c r="W767" s="126"/>
      <c r="X767" s="126"/>
      <c r="Y767" s="126"/>
      <c r="Z767" s="127"/>
      <c r="AA767" s="127"/>
      <c r="AB767" s="127"/>
      <c r="AC767" s="127"/>
      <c r="AD767" s="261"/>
      <c r="AE767" s="261"/>
      <c r="AF767" s="261"/>
      <c r="AG767" s="261"/>
    </row>
    <row r="768" ht="34.5" hidden="1" customHeight="1">
      <c r="A768" s="111"/>
      <c r="B768" s="127"/>
      <c r="C768" s="111"/>
      <c r="D768" s="111"/>
      <c r="E768" s="111"/>
      <c r="F768" s="111"/>
      <c r="G768" s="111"/>
      <c r="H768" s="111"/>
      <c r="I768" s="127"/>
      <c r="J768" s="111"/>
      <c r="K768" s="257"/>
      <c r="L768" s="111"/>
      <c r="M768" s="127"/>
      <c r="N768" s="270"/>
      <c r="O768" s="111"/>
      <c r="P768" s="111"/>
      <c r="Q768" s="128"/>
      <c r="R768" s="124"/>
      <c r="S768" s="125"/>
      <c r="T768" s="126"/>
      <c r="U768" s="126"/>
      <c r="V768" s="126"/>
      <c r="W768" s="126"/>
      <c r="X768" s="126"/>
      <c r="Y768" s="126"/>
      <c r="Z768" s="127"/>
      <c r="AA768" s="127"/>
      <c r="AB768" s="127"/>
      <c r="AC768" s="127"/>
      <c r="AD768" s="261"/>
      <c r="AE768" s="261"/>
      <c r="AF768" s="261"/>
      <c r="AG768" s="261"/>
    </row>
    <row r="769" ht="34.5" hidden="1" customHeight="1">
      <c r="A769" s="111"/>
      <c r="B769" s="127"/>
      <c r="C769" s="111"/>
      <c r="D769" s="111"/>
      <c r="E769" s="111"/>
      <c r="F769" s="111"/>
      <c r="G769" s="111"/>
      <c r="H769" s="111"/>
      <c r="I769" s="127"/>
      <c r="J769" s="111"/>
      <c r="K769" s="257"/>
      <c r="L769" s="111"/>
      <c r="M769" s="127"/>
      <c r="N769" s="270"/>
      <c r="O769" s="111"/>
      <c r="P769" s="111"/>
      <c r="Q769" s="128"/>
      <c r="R769" s="124"/>
      <c r="S769" s="125"/>
      <c r="T769" s="126"/>
      <c r="U769" s="126"/>
      <c r="V769" s="126"/>
      <c r="W769" s="126"/>
      <c r="X769" s="126"/>
      <c r="Y769" s="126"/>
      <c r="Z769" s="127"/>
      <c r="AA769" s="127"/>
      <c r="AB769" s="127"/>
      <c r="AC769" s="127"/>
      <c r="AD769" s="261"/>
      <c r="AE769" s="261"/>
      <c r="AF769" s="261"/>
      <c r="AG769" s="261"/>
    </row>
    <row r="770" ht="34.5" hidden="1" customHeight="1">
      <c r="A770" s="111"/>
      <c r="B770" s="127"/>
      <c r="C770" s="111"/>
      <c r="D770" s="111"/>
      <c r="E770" s="111"/>
      <c r="F770" s="111"/>
      <c r="G770" s="111"/>
      <c r="H770" s="111"/>
      <c r="I770" s="127"/>
      <c r="J770" s="111"/>
      <c r="K770" s="257"/>
      <c r="L770" s="111"/>
      <c r="M770" s="127"/>
      <c r="N770" s="270"/>
      <c r="O770" s="111"/>
      <c r="P770" s="111"/>
      <c r="Q770" s="128"/>
      <c r="R770" s="124"/>
      <c r="S770" s="125"/>
      <c r="T770" s="126"/>
      <c r="U770" s="126"/>
      <c r="V770" s="126"/>
      <c r="W770" s="126"/>
      <c r="X770" s="126"/>
      <c r="Y770" s="126"/>
      <c r="Z770" s="127"/>
      <c r="AA770" s="127"/>
      <c r="AB770" s="127"/>
      <c r="AC770" s="127"/>
      <c r="AD770" s="261"/>
      <c r="AE770" s="261"/>
      <c r="AF770" s="261"/>
      <c r="AG770" s="261"/>
    </row>
    <row r="771" ht="34.5" hidden="1" customHeight="1">
      <c r="A771" s="111"/>
      <c r="B771" s="127"/>
      <c r="C771" s="111"/>
      <c r="D771" s="111"/>
      <c r="E771" s="111"/>
      <c r="F771" s="111"/>
      <c r="G771" s="111"/>
      <c r="H771" s="111"/>
      <c r="I771" s="127"/>
      <c r="J771" s="111"/>
      <c r="K771" s="257"/>
      <c r="L771" s="111"/>
      <c r="M771" s="127"/>
      <c r="N771" s="270"/>
      <c r="O771" s="111"/>
      <c r="P771" s="111"/>
      <c r="Q771" s="128"/>
      <c r="R771" s="124"/>
      <c r="S771" s="125"/>
      <c r="T771" s="126"/>
      <c r="U771" s="126"/>
      <c r="V771" s="126"/>
      <c r="W771" s="126"/>
      <c r="X771" s="126"/>
      <c r="Y771" s="126"/>
      <c r="Z771" s="127"/>
      <c r="AA771" s="127"/>
      <c r="AB771" s="127"/>
      <c r="AC771" s="127"/>
      <c r="AD771" s="261"/>
      <c r="AE771" s="261"/>
      <c r="AF771" s="261"/>
      <c r="AG771" s="261"/>
    </row>
    <row r="772" ht="34.5" hidden="1" customHeight="1">
      <c r="A772" s="111"/>
      <c r="B772" s="127"/>
      <c r="C772" s="111"/>
      <c r="D772" s="111"/>
      <c r="E772" s="111"/>
      <c r="F772" s="111"/>
      <c r="G772" s="111"/>
      <c r="H772" s="111"/>
      <c r="I772" s="127"/>
      <c r="J772" s="111"/>
      <c r="K772" s="257"/>
      <c r="L772" s="111"/>
      <c r="M772" s="127"/>
      <c r="N772" s="270"/>
      <c r="O772" s="111"/>
      <c r="P772" s="111"/>
      <c r="Q772" s="128"/>
      <c r="R772" s="124"/>
      <c r="S772" s="125"/>
      <c r="T772" s="126"/>
      <c r="U772" s="126"/>
      <c r="V772" s="126"/>
      <c r="W772" s="126"/>
      <c r="X772" s="126"/>
      <c r="Y772" s="126"/>
      <c r="Z772" s="127"/>
      <c r="AA772" s="127"/>
      <c r="AB772" s="127"/>
      <c r="AC772" s="127"/>
      <c r="AD772" s="261"/>
      <c r="AE772" s="261"/>
      <c r="AF772" s="261"/>
      <c r="AG772" s="261"/>
    </row>
    <row r="773" ht="34.5" hidden="1" customHeight="1">
      <c r="A773" s="111"/>
      <c r="B773" s="127"/>
      <c r="C773" s="111"/>
      <c r="D773" s="111"/>
      <c r="E773" s="111"/>
      <c r="F773" s="111"/>
      <c r="G773" s="111"/>
      <c r="H773" s="111"/>
      <c r="I773" s="127"/>
      <c r="J773" s="111"/>
      <c r="K773" s="257"/>
      <c r="L773" s="111"/>
      <c r="M773" s="127"/>
      <c r="N773" s="270"/>
      <c r="O773" s="111"/>
      <c r="P773" s="111"/>
      <c r="Q773" s="128"/>
      <c r="R773" s="124"/>
      <c r="S773" s="125"/>
      <c r="T773" s="126"/>
      <c r="U773" s="126"/>
      <c r="V773" s="126"/>
      <c r="W773" s="126"/>
      <c r="X773" s="126"/>
      <c r="Y773" s="126"/>
      <c r="Z773" s="127"/>
      <c r="AA773" s="127"/>
      <c r="AB773" s="127"/>
      <c r="AC773" s="127"/>
      <c r="AD773" s="261"/>
      <c r="AE773" s="261"/>
      <c r="AF773" s="261"/>
      <c r="AG773" s="261"/>
    </row>
    <row r="774" ht="34.5" hidden="1" customHeight="1">
      <c r="A774" s="111"/>
      <c r="B774" s="127"/>
      <c r="C774" s="111"/>
      <c r="D774" s="111"/>
      <c r="E774" s="111"/>
      <c r="F774" s="111"/>
      <c r="G774" s="111"/>
      <c r="H774" s="111"/>
      <c r="I774" s="127"/>
      <c r="J774" s="111"/>
      <c r="K774" s="257"/>
      <c r="L774" s="111"/>
      <c r="M774" s="127"/>
      <c r="N774" s="270"/>
      <c r="O774" s="111"/>
      <c r="P774" s="111"/>
      <c r="Q774" s="128"/>
      <c r="R774" s="124"/>
      <c r="S774" s="125"/>
      <c r="T774" s="126"/>
      <c r="U774" s="126"/>
      <c r="V774" s="126"/>
      <c r="W774" s="126"/>
      <c r="X774" s="126"/>
      <c r="Y774" s="126"/>
      <c r="Z774" s="127"/>
      <c r="AA774" s="127"/>
      <c r="AB774" s="127"/>
      <c r="AC774" s="127"/>
      <c r="AD774" s="261"/>
      <c r="AE774" s="261"/>
      <c r="AF774" s="261"/>
      <c r="AG774" s="261"/>
    </row>
    <row r="775" ht="34.5" hidden="1" customHeight="1">
      <c r="A775" s="111"/>
      <c r="B775" s="127"/>
      <c r="C775" s="111"/>
      <c r="D775" s="111"/>
      <c r="E775" s="111"/>
      <c r="F775" s="111"/>
      <c r="G775" s="111"/>
      <c r="H775" s="111"/>
      <c r="I775" s="127"/>
      <c r="J775" s="111"/>
      <c r="K775" s="257"/>
      <c r="L775" s="111"/>
      <c r="M775" s="127"/>
      <c r="N775" s="270"/>
      <c r="O775" s="111"/>
      <c r="P775" s="111"/>
      <c r="Q775" s="128"/>
      <c r="R775" s="124"/>
      <c r="S775" s="125"/>
      <c r="T775" s="126"/>
      <c r="U775" s="126"/>
      <c r="V775" s="126"/>
      <c r="W775" s="126"/>
      <c r="X775" s="126"/>
      <c r="Y775" s="126"/>
      <c r="Z775" s="127"/>
      <c r="AA775" s="127"/>
      <c r="AB775" s="127"/>
      <c r="AC775" s="127"/>
      <c r="AD775" s="261"/>
      <c r="AE775" s="261"/>
      <c r="AF775" s="261"/>
      <c r="AG775" s="261"/>
    </row>
    <row r="776" ht="34.5" hidden="1" customHeight="1">
      <c r="A776" s="111"/>
      <c r="B776" s="127"/>
      <c r="C776" s="111"/>
      <c r="D776" s="111"/>
      <c r="E776" s="111"/>
      <c r="F776" s="111"/>
      <c r="G776" s="111"/>
      <c r="H776" s="111"/>
      <c r="I776" s="127"/>
      <c r="J776" s="111"/>
      <c r="K776" s="257"/>
      <c r="L776" s="111"/>
      <c r="M776" s="127"/>
      <c r="N776" s="270"/>
      <c r="O776" s="111"/>
      <c r="P776" s="111"/>
      <c r="Q776" s="128"/>
      <c r="R776" s="124"/>
      <c r="S776" s="125"/>
      <c r="T776" s="126"/>
      <c r="U776" s="126"/>
      <c r="V776" s="126"/>
      <c r="W776" s="126"/>
      <c r="X776" s="126"/>
      <c r="Y776" s="126"/>
      <c r="Z776" s="127"/>
      <c r="AA776" s="127"/>
      <c r="AB776" s="127"/>
      <c r="AC776" s="127"/>
      <c r="AD776" s="261"/>
      <c r="AE776" s="261"/>
      <c r="AF776" s="261"/>
      <c r="AG776" s="261"/>
    </row>
    <row r="777" ht="34.5" hidden="1" customHeight="1">
      <c r="A777" s="111"/>
      <c r="B777" s="127"/>
      <c r="C777" s="111"/>
      <c r="D777" s="111"/>
      <c r="E777" s="111"/>
      <c r="F777" s="111"/>
      <c r="G777" s="111"/>
      <c r="H777" s="111"/>
      <c r="I777" s="127"/>
      <c r="J777" s="111"/>
      <c r="K777" s="257"/>
      <c r="L777" s="111"/>
      <c r="M777" s="127"/>
      <c r="N777" s="270"/>
      <c r="O777" s="111"/>
      <c r="P777" s="111"/>
      <c r="Q777" s="128"/>
      <c r="R777" s="124"/>
      <c r="S777" s="125"/>
      <c r="T777" s="126"/>
      <c r="U777" s="126"/>
      <c r="V777" s="126"/>
      <c r="W777" s="126"/>
      <c r="X777" s="126"/>
      <c r="Y777" s="126"/>
      <c r="Z777" s="127"/>
      <c r="AA777" s="127"/>
      <c r="AB777" s="127"/>
      <c r="AC777" s="127"/>
      <c r="AD777" s="261"/>
      <c r="AE777" s="261"/>
      <c r="AF777" s="261"/>
      <c r="AG777" s="261"/>
    </row>
    <row r="778" ht="34.5" hidden="1" customHeight="1">
      <c r="A778" s="111"/>
      <c r="B778" s="127"/>
      <c r="C778" s="111"/>
      <c r="D778" s="111"/>
      <c r="E778" s="111"/>
      <c r="F778" s="111"/>
      <c r="G778" s="111"/>
      <c r="H778" s="111"/>
      <c r="I778" s="127"/>
      <c r="J778" s="111"/>
      <c r="K778" s="257"/>
      <c r="L778" s="111"/>
      <c r="M778" s="127"/>
      <c r="N778" s="270"/>
      <c r="O778" s="111"/>
      <c r="P778" s="111"/>
      <c r="Q778" s="128"/>
      <c r="R778" s="124"/>
      <c r="S778" s="125"/>
      <c r="T778" s="126"/>
      <c r="U778" s="126"/>
      <c r="V778" s="126"/>
      <c r="W778" s="126"/>
      <c r="X778" s="126"/>
      <c r="Y778" s="126"/>
      <c r="Z778" s="127"/>
      <c r="AA778" s="127"/>
      <c r="AB778" s="127"/>
      <c r="AC778" s="127"/>
      <c r="AD778" s="261"/>
      <c r="AE778" s="261"/>
      <c r="AF778" s="261"/>
      <c r="AG778" s="261"/>
    </row>
    <row r="779" ht="34.5" hidden="1" customHeight="1">
      <c r="A779" s="111"/>
      <c r="B779" s="127"/>
      <c r="C779" s="111"/>
      <c r="D779" s="111"/>
      <c r="E779" s="111"/>
      <c r="F779" s="111"/>
      <c r="G779" s="111"/>
      <c r="H779" s="111"/>
      <c r="I779" s="127"/>
      <c r="J779" s="111"/>
      <c r="K779" s="257"/>
      <c r="L779" s="111"/>
      <c r="M779" s="127"/>
      <c r="N779" s="270"/>
      <c r="O779" s="111"/>
      <c r="P779" s="111"/>
      <c r="Q779" s="128"/>
      <c r="R779" s="124"/>
      <c r="S779" s="125"/>
      <c r="T779" s="126"/>
      <c r="U779" s="126"/>
      <c r="V779" s="126"/>
      <c r="W779" s="126"/>
      <c r="X779" s="126"/>
      <c r="Y779" s="126"/>
      <c r="Z779" s="127"/>
      <c r="AA779" s="127"/>
      <c r="AB779" s="127"/>
      <c r="AC779" s="127"/>
      <c r="AD779" s="261"/>
      <c r="AE779" s="261"/>
      <c r="AF779" s="261"/>
      <c r="AG779" s="261"/>
    </row>
    <row r="780" ht="34.5" hidden="1" customHeight="1">
      <c r="A780" s="111"/>
      <c r="B780" s="127"/>
      <c r="C780" s="111"/>
      <c r="D780" s="111"/>
      <c r="E780" s="111"/>
      <c r="F780" s="111"/>
      <c r="G780" s="111"/>
      <c r="H780" s="111"/>
      <c r="I780" s="127"/>
      <c r="J780" s="111"/>
      <c r="K780" s="257"/>
      <c r="L780" s="111"/>
      <c r="M780" s="127"/>
      <c r="N780" s="270"/>
      <c r="O780" s="111"/>
      <c r="P780" s="111"/>
      <c r="Q780" s="128"/>
      <c r="R780" s="124"/>
      <c r="S780" s="125"/>
      <c r="T780" s="126"/>
      <c r="U780" s="126"/>
      <c r="V780" s="126"/>
      <c r="W780" s="126"/>
      <c r="X780" s="126"/>
      <c r="Y780" s="126"/>
      <c r="Z780" s="127"/>
      <c r="AA780" s="127"/>
      <c r="AB780" s="127"/>
      <c r="AC780" s="127"/>
      <c r="AD780" s="261"/>
      <c r="AE780" s="261"/>
      <c r="AF780" s="261"/>
      <c r="AG780" s="261"/>
    </row>
    <row r="781" ht="34.5" hidden="1" customHeight="1">
      <c r="A781" s="111"/>
      <c r="B781" s="127"/>
      <c r="C781" s="111"/>
      <c r="D781" s="111"/>
      <c r="E781" s="111"/>
      <c r="F781" s="111"/>
      <c r="G781" s="111"/>
      <c r="H781" s="111"/>
      <c r="I781" s="127"/>
      <c r="J781" s="111"/>
      <c r="K781" s="257"/>
      <c r="L781" s="111"/>
      <c r="M781" s="127"/>
      <c r="N781" s="270"/>
      <c r="O781" s="111"/>
      <c r="P781" s="111"/>
      <c r="Q781" s="128"/>
      <c r="R781" s="124"/>
      <c r="S781" s="125"/>
      <c r="T781" s="126"/>
      <c r="U781" s="126"/>
      <c r="V781" s="126"/>
      <c r="W781" s="126"/>
      <c r="X781" s="126"/>
      <c r="Y781" s="126"/>
      <c r="Z781" s="127"/>
      <c r="AA781" s="127"/>
      <c r="AB781" s="127"/>
      <c r="AC781" s="127"/>
      <c r="AD781" s="261"/>
      <c r="AE781" s="261"/>
      <c r="AF781" s="261"/>
      <c r="AG781" s="261"/>
    </row>
    <row r="782" ht="34.5" hidden="1" customHeight="1">
      <c r="A782" s="111"/>
      <c r="B782" s="127"/>
      <c r="C782" s="111"/>
      <c r="D782" s="111"/>
      <c r="E782" s="111"/>
      <c r="F782" s="111"/>
      <c r="G782" s="111"/>
      <c r="H782" s="111"/>
      <c r="I782" s="127"/>
      <c r="J782" s="111"/>
      <c r="K782" s="257"/>
      <c r="L782" s="111"/>
      <c r="M782" s="127"/>
      <c r="N782" s="270"/>
      <c r="O782" s="111"/>
      <c r="P782" s="111"/>
      <c r="Q782" s="128"/>
      <c r="R782" s="124"/>
      <c r="S782" s="125"/>
      <c r="T782" s="126"/>
      <c r="U782" s="126"/>
      <c r="V782" s="126"/>
      <c r="W782" s="126"/>
      <c r="X782" s="126"/>
      <c r="Y782" s="126"/>
      <c r="Z782" s="127"/>
      <c r="AA782" s="127"/>
      <c r="AB782" s="127"/>
      <c r="AC782" s="127"/>
      <c r="AD782" s="261"/>
      <c r="AE782" s="261"/>
      <c r="AF782" s="261"/>
      <c r="AG782" s="261"/>
    </row>
    <row r="783" ht="34.5" hidden="1" customHeight="1">
      <c r="A783" s="111"/>
      <c r="B783" s="127"/>
      <c r="C783" s="111"/>
      <c r="D783" s="111"/>
      <c r="E783" s="111"/>
      <c r="F783" s="111"/>
      <c r="G783" s="111"/>
      <c r="H783" s="111"/>
      <c r="I783" s="127"/>
      <c r="J783" s="111"/>
      <c r="K783" s="257"/>
      <c r="L783" s="111"/>
      <c r="M783" s="127"/>
      <c r="N783" s="270"/>
      <c r="O783" s="111"/>
      <c r="P783" s="111"/>
      <c r="Q783" s="128"/>
      <c r="R783" s="124"/>
      <c r="S783" s="125"/>
      <c r="T783" s="126"/>
      <c r="U783" s="126"/>
      <c r="V783" s="126"/>
      <c r="W783" s="126"/>
      <c r="X783" s="126"/>
      <c r="Y783" s="126"/>
      <c r="Z783" s="127"/>
      <c r="AA783" s="127"/>
      <c r="AB783" s="127"/>
      <c r="AC783" s="127"/>
      <c r="AD783" s="261"/>
      <c r="AE783" s="261"/>
      <c r="AF783" s="261"/>
      <c r="AG783" s="261"/>
    </row>
    <row r="784" ht="34.5" hidden="1" customHeight="1">
      <c r="A784" s="111"/>
      <c r="B784" s="127"/>
      <c r="C784" s="111"/>
      <c r="D784" s="111"/>
      <c r="E784" s="111"/>
      <c r="F784" s="111"/>
      <c r="G784" s="111"/>
      <c r="H784" s="111"/>
      <c r="I784" s="127"/>
      <c r="J784" s="111"/>
      <c r="K784" s="257"/>
      <c r="L784" s="111"/>
      <c r="M784" s="127"/>
      <c r="N784" s="270"/>
      <c r="O784" s="111"/>
      <c r="P784" s="111"/>
      <c r="Q784" s="128"/>
      <c r="R784" s="124"/>
      <c r="S784" s="125"/>
      <c r="T784" s="126"/>
      <c r="U784" s="126"/>
      <c r="V784" s="126"/>
      <c r="W784" s="126"/>
      <c r="X784" s="126"/>
      <c r="Y784" s="126"/>
      <c r="Z784" s="127"/>
      <c r="AA784" s="127"/>
      <c r="AB784" s="127"/>
      <c r="AC784" s="127"/>
      <c r="AD784" s="261"/>
      <c r="AE784" s="261"/>
      <c r="AF784" s="261"/>
      <c r="AG784" s="261"/>
    </row>
    <row r="785" ht="34.5" hidden="1" customHeight="1">
      <c r="A785" s="111"/>
      <c r="B785" s="127"/>
      <c r="C785" s="111"/>
      <c r="D785" s="111"/>
      <c r="E785" s="111"/>
      <c r="F785" s="111"/>
      <c r="G785" s="111"/>
      <c r="H785" s="111"/>
      <c r="I785" s="127"/>
      <c r="J785" s="111"/>
      <c r="K785" s="257"/>
      <c r="L785" s="111"/>
      <c r="M785" s="127"/>
      <c r="N785" s="270"/>
      <c r="O785" s="111"/>
      <c r="P785" s="111"/>
      <c r="Q785" s="128"/>
      <c r="R785" s="124"/>
      <c r="S785" s="125"/>
      <c r="T785" s="126"/>
      <c r="U785" s="126"/>
      <c r="V785" s="126"/>
      <c r="W785" s="126"/>
      <c r="X785" s="126"/>
      <c r="Y785" s="126"/>
      <c r="Z785" s="127"/>
      <c r="AA785" s="127"/>
      <c r="AB785" s="127"/>
      <c r="AC785" s="127"/>
      <c r="AD785" s="261"/>
      <c r="AE785" s="261"/>
      <c r="AF785" s="261"/>
      <c r="AG785" s="261"/>
    </row>
    <row r="786" ht="34.5" hidden="1" customHeight="1">
      <c r="A786" s="111"/>
      <c r="B786" s="127"/>
      <c r="C786" s="111"/>
      <c r="D786" s="111"/>
      <c r="E786" s="111"/>
      <c r="F786" s="111"/>
      <c r="G786" s="111"/>
      <c r="H786" s="111"/>
      <c r="I786" s="127"/>
      <c r="J786" s="111"/>
      <c r="K786" s="257"/>
      <c r="L786" s="111"/>
      <c r="M786" s="127"/>
      <c r="N786" s="270"/>
      <c r="O786" s="111"/>
      <c r="P786" s="111"/>
      <c r="Q786" s="128"/>
      <c r="R786" s="124"/>
      <c r="S786" s="125"/>
      <c r="T786" s="126"/>
      <c r="U786" s="126"/>
      <c r="V786" s="126"/>
      <c r="W786" s="126"/>
      <c r="X786" s="126"/>
      <c r="Y786" s="126"/>
      <c r="Z786" s="127"/>
      <c r="AA786" s="127"/>
      <c r="AB786" s="127"/>
      <c r="AC786" s="127"/>
      <c r="AD786" s="261"/>
      <c r="AE786" s="261"/>
      <c r="AF786" s="261"/>
      <c r="AG786" s="261"/>
    </row>
    <row r="787" ht="34.5" hidden="1" customHeight="1">
      <c r="A787" s="111"/>
      <c r="B787" s="127"/>
      <c r="C787" s="111"/>
      <c r="D787" s="111"/>
      <c r="E787" s="111"/>
      <c r="F787" s="111"/>
      <c r="G787" s="111"/>
      <c r="H787" s="111"/>
      <c r="I787" s="127"/>
      <c r="J787" s="111"/>
      <c r="K787" s="257"/>
      <c r="L787" s="111"/>
      <c r="M787" s="127"/>
      <c r="N787" s="270"/>
      <c r="O787" s="111"/>
      <c r="P787" s="111"/>
      <c r="Q787" s="128"/>
      <c r="R787" s="124"/>
      <c r="S787" s="125"/>
      <c r="T787" s="126"/>
      <c r="U787" s="126"/>
      <c r="V787" s="126"/>
      <c r="W787" s="126"/>
      <c r="X787" s="126"/>
      <c r="Y787" s="126"/>
      <c r="Z787" s="127"/>
      <c r="AA787" s="127"/>
      <c r="AB787" s="127"/>
      <c r="AC787" s="127"/>
      <c r="AD787" s="261"/>
      <c r="AE787" s="261"/>
      <c r="AF787" s="261"/>
      <c r="AG787" s="261"/>
    </row>
    <row r="788" ht="34.5" hidden="1" customHeight="1">
      <c r="A788" s="111"/>
      <c r="B788" s="127"/>
      <c r="C788" s="111"/>
      <c r="D788" s="111"/>
      <c r="E788" s="111"/>
      <c r="F788" s="111"/>
      <c r="G788" s="111"/>
      <c r="H788" s="111"/>
      <c r="I788" s="127"/>
      <c r="J788" s="111"/>
      <c r="K788" s="257"/>
      <c r="L788" s="111"/>
      <c r="M788" s="127"/>
      <c r="N788" s="270"/>
      <c r="O788" s="111"/>
      <c r="P788" s="111"/>
      <c r="Q788" s="128"/>
      <c r="R788" s="124"/>
      <c r="S788" s="125"/>
      <c r="T788" s="126"/>
      <c r="U788" s="126"/>
      <c r="V788" s="126"/>
      <c r="W788" s="126"/>
      <c r="X788" s="126"/>
      <c r="Y788" s="126"/>
      <c r="Z788" s="127"/>
      <c r="AA788" s="127"/>
      <c r="AB788" s="127"/>
      <c r="AC788" s="127"/>
      <c r="AD788" s="261"/>
      <c r="AE788" s="261"/>
      <c r="AF788" s="261"/>
      <c r="AG788" s="261"/>
    </row>
    <row r="789" ht="34.5" hidden="1" customHeight="1">
      <c r="A789" s="111"/>
      <c r="B789" s="127"/>
      <c r="C789" s="111"/>
      <c r="D789" s="111"/>
      <c r="E789" s="111"/>
      <c r="F789" s="111"/>
      <c r="G789" s="111"/>
      <c r="H789" s="111"/>
      <c r="I789" s="127"/>
      <c r="J789" s="111"/>
      <c r="K789" s="257"/>
      <c r="L789" s="111"/>
      <c r="M789" s="127"/>
      <c r="N789" s="270"/>
      <c r="O789" s="111"/>
      <c r="P789" s="111"/>
      <c r="Q789" s="128"/>
      <c r="R789" s="124"/>
      <c r="S789" s="125"/>
      <c r="T789" s="126"/>
      <c r="U789" s="126"/>
      <c r="V789" s="126"/>
      <c r="W789" s="126"/>
      <c r="X789" s="126"/>
      <c r="Y789" s="126"/>
      <c r="Z789" s="127"/>
      <c r="AA789" s="127"/>
      <c r="AB789" s="127"/>
      <c r="AC789" s="127"/>
      <c r="AD789" s="261"/>
      <c r="AE789" s="261"/>
      <c r="AF789" s="261"/>
      <c r="AG789" s="261"/>
    </row>
    <row r="790" ht="34.5" hidden="1" customHeight="1">
      <c r="A790" s="111"/>
      <c r="B790" s="127"/>
      <c r="C790" s="111"/>
      <c r="D790" s="111"/>
      <c r="E790" s="111"/>
      <c r="F790" s="111"/>
      <c r="G790" s="111"/>
      <c r="H790" s="111"/>
      <c r="I790" s="127"/>
      <c r="J790" s="111"/>
      <c r="K790" s="257"/>
      <c r="L790" s="111"/>
      <c r="M790" s="127"/>
      <c r="N790" s="270"/>
      <c r="O790" s="111"/>
      <c r="P790" s="111"/>
      <c r="Q790" s="128"/>
      <c r="R790" s="124"/>
      <c r="S790" s="125"/>
      <c r="T790" s="126"/>
      <c r="U790" s="126"/>
      <c r="V790" s="126"/>
      <c r="W790" s="126"/>
      <c r="X790" s="126"/>
      <c r="Y790" s="126"/>
      <c r="Z790" s="127"/>
      <c r="AA790" s="127"/>
      <c r="AB790" s="127"/>
      <c r="AC790" s="127"/>
      <c r="AD790" s="261"/>
      <c r="AE790" s="261"/>
      <c r="AF790" s="261"/>
      <c r="AG790" s="261"/>
    </row>
    <row r="791" ht="34.5" hidden="1" customHeight="1">
      <c r="A791" s="111"/>
      <c r="B791" s="127"/>
      <c r="C791" s="111"/>
      <c r="D791" s="111"/>
      <c r="E791" s="111"/>
      <c r="F791" s="111"/>
      <c r="G791" s="111"/>
      <c r="H791" s="111"/>
      <c r="I791" s="127"/>
      <c r="J791" s="111"/>
      <c r="K791" s="257"/>
      <c r="L791" s="111"/>
      <c r="M791" s="127"/>
      <c r="N791" s="270"/>
      <c r="O791" s="111"/>
      <c r="P791" s="111"/>
      <c r="Q791" s="128"/>
      <c r="R791" s="124"/>
      <c r="S791" s="125"/>
      <c r="T791" s="126"/>
      <c r="U791" s="126"/>
      <c r="V791" s="126"/>
      <c r="W791" s="126"/>
      <c r="X791" s="126"/>
      <c r="Y791" s="126"/>
      <c r="Z791" s="127"/>
      <c r="AA791" s="127"/>
      <c r="AB791" s="127"/>
      <c r="AC791" s="127"/>
      <c r="AD791" s="261"/>
      <c r="AE791" s="261"/>
      <c r="AF791" s="261"/>
      <c r="AG791" s="261"/>
    </row>
    <row r="792" ht="34.5" hidden="1" customHeight="1">
      <c r="A792" s="111"/>
      <c r="B792" s="127"/>
      <c r="C792" s="111"/>
      <c r="D792" s="111"/>
      <c r="E792" s="111"/>
      <c r="F792" s="111"/>
      <c r="G792" s="111"/>
      <c r="H792" s="111"/>
      <c r="I792" s="127"/>
      <c r="J792" s="111"/>
      <c r="K792" s="257"/>
      <c r="L792" s="111"/>
      <c r="M792" s="127"/>
      <c r="N792" s="270"/>
      <c r="O792" s="111"/>
      <c r="P792" s="111"/>
      <c r="Q792" s="128"/>
      <c r="R792" s="124"/>
      <c r="S792" s="125"/>
      <c r="T792" s="126"/>
      <c r="U792" s="126"/>
      <c r="V792" s="126"/>
      <c r="W792" s="126"/>
      <c r="X792" s="126"/>
      <c r="Y792" s="126"/>
      <c r="Z792" s="127"/>
      <c r="AA792" s="127"/>
      <c r="AB792" s="127"/>
      <c r="AC792" s="127"/>
      <c r="AD792" s="261"/>
      <c r="AE792" s="261"/>
      <c r="AF792" s="261"/>
      <c r="AG792" s="261"/>
    </row>
    <row r="793" ht="34.5" hidden="1" customHeight="1">
      <c r="A793" s="111"/>
      <c r="B793" s="127"/>
      <c r="C793" s="111"/>
      <c r="D793" s="111"/>
      <c r="E793" s="111"/>
      <c r="F793" s="111"/>
      <c r="G793" s="111"/>
      <c r="H793" s="111"/>
      <c r="I793" s="127"/>
      <c r="J793" s="111"/>
      <c r="K793" s="257"/>
      <c r="L793" s="111"/>
      <c r="M793" s="127"/>
      <c r="N793" s="270"/>
      <c r="O793" s="111"/>
      <c r="P793" s="111"/>
      <c r="Q793" s="128"/>
      <c r="R793" s="124"/>
      <c r="S793" s="125"/>
      <c r="T793" s="126"/>
      <c r="U793" s="126"/>
      <c r="V793" s="126"/>
      <c r="W793" s="126"/>
      <c r="X793" s="126"/>
      <c r="Y793" s="126"/>
      <c r="Z793" s="127"/>
      <c r="AA793" s="127"/>
      <c r="AB793" s="127"/>
      <c r="AC793" s="127"/>
      <c r="AD793" s="261"/>
      <c r="AE793" s="261"/>
      <c r="AF793" s="261"/>
      <c r="AG793" s="261"/>
    </row>
    <row r="794" ht="34.5" hidden="1" customHeight="1">
      <c r="A794" s="111"/>
      <c r="B794" s="127"/>
      <c r="C794" s="111"/>
      <c r="D794" s="111"/>
      <c r="E794" s="111"/>
      <c r="F794" s="111"/>
      <c r="G794" s="111"/>
      <c r="H794" s="111"/>
      <c r="I794" s="127"/>
      <c r="J794" s="111"/>
      <c r="K794" s="257"/>
      <c r="L794" s="111"/>
      <c r="M794" s="127"/>
      <c r="N794" s="270"/>
      <c r="O794" s="111"/>
      <c r="P794" s="111"/>
      <c r="Q794" s="128"/>
      <c r="R794" s="124"/>
      <c r="S794" s="125"/>
      <c r="T794" s="126"/>
      <c r="U794" s="126"/>
      <c r="V794" s="126"/>
      <c r="W794" s="126"/>
      <c r="X794" s="126"/>
      <c r="Y794" s="126"/>
      <c r="Z794" s="127"/>
      <c r="AA794" s="127"/>
      <c r="AB794" s="127"/>
      <c r="AC794" s="127"/>
      <c r="AD794" s="261"/>
      <c r="AE794" s="261"/>
      <c r="AF794" s="261"/>
      <c r="AG794" s="261"/>
    </row>
    <row r="795" ht="34.5" hidden="1" customHeight="1">
      <c r="A795" s="111"/>
      <c r="B795" s="127"/>
      <c r="C795" s="111"/>
      <c r="D795" s="111"/>
      <c r="E795" s="111"/>
      <c r="F795" s="111"/>
      <c r="G795" s="111"/>
      <c r="H795" s="111"/>
      <c r="I795" s="127"/>
      <c r="J795" s="111"/>
      <c r="K795" s="257"/>
      <c r="L795" s="111"/>
      <c r="M795" s="127"/>
      <c r="N795" s="270"/>
      <c r="O795" s="111"/>
      <c r="P795" s="111"/>
      <c r="Q795" s="128"/>
      <c r="R795" s="124"/>
      <c r="S795" s="125"/>
      <c r="T795" s="126"/>
      <c r="U795" s="126"/>
      <c r="V795" s="126"/>
      <c r="W795" s="126"/>
      <c r="X795" s="126"/>
      <c r="Y795" s="126"/>
      <c r="Z795" s="127"/>
      <c r="AA795" s="127"/>
      <c r="AB795" s="127"/>
      <c r="AC795" s="127"/>
      <c r="AD795" s="261"/>
      <c r="AE795" s="261"/>
      <c r="AF795" s="261"/>
      <c r="AG795" s="261"/>
    </row>
    <row r="796" ht="34.5" hidden="1" customHeight="1">
      <c r="A796" s="111"/>
      <c r="B796" s="127"/>
      <c r="C796" s="111"/>
      <c r="D796" s="111"/>
      <c r="E796" s="111"/>
      <c r="F796" s="111"/>
      <c r="G796" s="111"/>
      <c r="H796" s="111"/>
      <c r="I796" s="127"/>
      <c r="J796" s="111"/>
      <c r="K796" s="257"/>
      <c r="L796" s="111"/>
      <c r="M796" s="127"/>
      <c r="N796" s="270"/>
      <c r="O796" s="111"/>
      <c r="P796" s="111"/>
      <c r="Q796" s="128"/>
      <c r="R796" s="124"/>
      <c r="S796" s="125"/>
      <c r="T796" s="126"/>
      <c r="U796" s="126"/>
      <c r="V796" s="126"/>
      <c r="W796" s="126"/>
      <c r="X796" s="126"/>
      <c r="Y796" s="126"/>
      <c r="Z796" s="127"/>
      <c r="AA796" s="127"/>
      <c r="AB796" s="127"/>
      <c r="AC796" s="127"/>
      <c r="AD796" s="261"/>
      <c r="AE796" s="261"/>
      <c r="AF796" s="261"/>
      <c r="AG796" s="261"/>
    </row>
    <row r="797" ht="34.5" hidden="1" customHeight="1">
      <c r="A797" s="111"/>
      <c r="B797" s="127"/>
      <c r="C797" s="111"/>
      <c r="D797" s="111"/>
      <c r="E797" s="111"/>
      <c r="F797" s="111"/>
      <c r="G797" s="111"/>
      <c r="H797" s="111"/>
      <c r="I797" s="127"/>
      <c r="J797" s="111"/>
      <c r="K797" s="257"/>
      <c r="L797" s="111"/>
      <c r="M797" s="127"/>
      <c r="N797" s="270"/>
      <c r="O797" s="111"/>
      <c r="P797" s="111"/>
      <c r="Q797" s="128"/>
      <c r="R797" s="124"/>
      <c r="S797" s="125"/>
      <c r="T797" s="126"/>
      <c r="U797" s="126"/>
      <c r="V797" s="126"/>
      <c r="W797" s="126"/>
      <c r="X797" s="126"/>
      <c r="Y797" s="126"/>
      <c r="Z797" s="127"/>
      <c r="AA797" s="127"/>
      <c r="AB797" s="127"/>
      <c r="AC797" s="127"/>
      <c r="AD797" s="261"/>
      <c r="AE797" s="261"/>
      <c r="AF797" s="261"/>
      <c r="AG797" s="261"/>
    </row>
    <row r="798" ht="34.5" hidden="1" customHeight="1">
      <c r="A798" s="111"/>
      <c r="B798" s="127"/>
      <c r="C798" s="111"/>
      <c r="D798" s="111"/>
      <c r="E798" s="111"/>
      <c r="F798" s="111"/>
      <c r="G798" s="111"/>
      <c r="H798" s="111"/>
      <c r="I798" s="127"/>
      <c r="J798" s="111"/>
      <c r="K798" s="257"/>
      <c r="L798" s="111"/>
      <c r="M798" s="127"/>
      <c r="N798" s="270"/>
      <c r="O798" s="111"/>
      <c r="P798" s="111"/>
      <c r="Q798" s="128"/>
      <c r="R798" s="124"/>
      <c r="S798" s="125"/>
      <c r="T798" s="126"/>
      <c r="U798" s="126"/>
      <c r="V798" s="126"/>
      <c r="W798" s="126"/>
      <c r="X798" s="126"/>
      <c r="Y798" s="126"/>
      <c r="Z798" s="127"/>
      <c r="AA798" s="127"/>
      <c r="AB798" s="127"/>
      <c r="AC798" s="127"/>
      <c r="AD798" s="261"/>
      <c r="AE798" s="261"/>
      <c r="AF798" s="261"/>
      <c r="AG798" s="261"/>
    </row>
    <row r="799" ht="34.5" hidden="1" customHeight="1">
      <c r="A799" s="111"/>
      <c r="B799" s="127"/>
      <c r="C799" s="111"/>
      <c r="D799" s="111"/>
      <c r="E799" s="111"/>
      <c r="F799" s="111"/>
      <c r="G799" s="111"/>
      <c r="H799" s="111"/>
      <c r="I799" s="127"/>
      <c r="J799" s="111"/>
      <c r="K799" s="257"/>
      <c r="L799" s="111"/>
      <c r="M799" s="127"/>
      <c r="N799" s="270"/>
      <c r="O799" s="111"/>
      <c r="P799" s="111"/>
      <c r="Q799" s="128"/>
      <c r="R799" s="124"/>
      <c r="S799" s="125"/>
      <c r="T799" s="126"/>
      <c r="U799" s="126"/>
      <c r="V799" s="126"/>
      <c r="W799" s="126"/>
      <c r="X799" s="126"/>
      <c r="Y799" s="126"/>
      <c r="Z799" s="127"/>
      <c r="AA799" s="127"/>
      <c r="AB799" s="127"/>
      <c r="AC799" s="127"/>
      <c r="AD799" s="261"/>
      <c r="AE799" s="261"/>
      <c r="AF799" s="261"/>
      <c r="AG799" s="261"/>
    </row>
    <row r="800" ht="34.5" hidden="1" customHeight="1">
      <c r="A800" s="111"/>
      <c r="B800" s="127"/>
      <c r="C800" s="111"/>
      <c r="D800" s="111"/>
      <c r="E800" s="111"/>
      <c r="F800" s="111"/>
      <c r="G800" s="111"/>
      <c r="H800" s="111"/>
      <c r="I800" s="127"/>
      <c r="J800" s="111"/>
      <c r="K800" s="257"/>
      <c r="L800" s="111"/>
      <c r="M800" s="127"/>
      <c r="N800" s="270"/>
      <c r="O800" s="111"/>
      <c r="P800" s="111"/>
      <c r="Q800" s="128"/>
      <c r="R800" s="124"/>
      <c r="S800" s="125"/>
      <c r="T800" s="126"/>
      <c r="U800" s="126"/>
      <c r="V800" s="126"/>
      <c r="W800" s="126"/>
      <c r="X800" s="126"/>
      <c r="Y800" s="126"/>
      <c r="Z800" s="127"/>
      <c r="AA800" s="127"/>
      <c r="AB800" s="127"/>
      <c r="AC800" s="127"/>
      <c r="AD800" s="261"/>
      <c r="AE800" s="261"/>
      <c r="AF800" s="261"/>
      <c r="AG800" s="261"/>
    </row>
    <row r="801" ht="34.5" hidden="1" customHeight="1">
      <c r="A801" s="111"/>
      <c r="B801" s="127"/>
      <c r="C801" s="111"/>
      <c r="D801" s="111"/>
      <c r="E801" s="111"/>
      <c r="F801" s="111"/>
      <c r="G801" s="111"/>
      <c r="H801" s="111"/>
      <c r="I801" s="127"/>
      <c r="J801" s="111"/>
      <c r="K801" s="257"/>
      <c r="L801" s="111"/>
      <c r="M801" s="127"/>
      <c r="N801" s="270"/>
      <c r="O801" s="111"/>
      <c r="P801" s="111"/>
      <c r="Q801" s="128"/>
      <c r="R801" s="124"/>
      <c r="S801" s="125"/>
      <c r="T801" s="126"/>
      <c r="U801" s="126"/>
      <c r="V801" s="126"/>
      <c r="W801" s="126"/>
      <c r="X801" s="126"/>
      <c r="Y801" s="126"/>
      <c r="Z801" s="127"/>
      <c r="AA801" s="127"/>
      <c r="AB801" s="127"/>
      <c r="AC801" s="127"/>
      <c r="AD801" s="261"/>
      <c r="AE801" s="261"/>
      <c r="AF801" s="261"/>
      <c r="AG801" s="261"/>
    </row>
    <row r="802" ht="34.5" hidden="1" customHeight="1">
      <c r="A802" s="111"/>
      <c r="B802" s="127"/>
      <c r="C802" s="111"/>
      <c r="D802" s="111"/>
      <c r="E802" s="111"/>
      <c r="F802" s="111"/>
      <c r="G802" s="111"/>
      <c r="H802" s="111"/>
      <c r="I802" s="127"/>
      <c r="J802" s="111"/>
      <c r="K802" s="257"/>
      <c r="L802" s="111"/>
      <c r="M802" s="127"/>
      <c r="N802" s="270"/>
      <c r="O802" s="111"/>
      <c r="P802" s="111"/>
      <c r="Q802" s="128"/>
      <c r="R802" s="124"/>
      <c r="S802" s="125"/>
      <c r="T802" s="126"/>
      <c r="U802" s="126"/>
      <c r="V802" s="126"/>
      <c r="W802" s="126"/>
      <c r="X802" s="126"/>
      <c r="Y802" s="126"/>
      <c r="Z802" s="127"/>
      <c r="AA802" s="127"/>
      <c r="AB802" s="127"/>
      <c r="AC802" s="127"/>
      <c r="AD802" s="261"/>
      <c r="AE802" s="261"/>
      <c r="AF802" s="261"/>
      <c r="AG802" s="261"/>
    </row>
    <row r="803" ht="34.5" hidden="1" customHeight="1">
      <c r="A803" s="111"/>
      <c r="B803" s="127"/>
      <c r="C803" s="111"/>
      <c r="D803" s="111"/>
      <c r="E803" s="111"/>
      <c r="F803" s="111"/>
      <c r="G803" s="111"/>
      <c r="H803" s="111"/>
      <c r="I803" s="127"/>
      <c r="J803" s="111"/>
      <c r="K803" s="257"/>
      <c r="L803" s="111"/>
      <c r="M803" s="127"/>
      <c r="N803" s="270"/>
      <c r="O803" s="111"/>
      <c r="P803" s="111"/>
      <c r="Q803" s="128"/>
      <c r="R803" s="124"/>
      <c r="S803" s="125"/>
      <c r="T803" s="126"/>
      <c r="U803" s="126"/>
      <c r="V803" s="126"/>
      <c r="W803" s="126"/>
      <c r="X803" s="126"/>
      <c r="Y803" s="126"/>
      <c r="Z803" s="127"/>
      <c r="AA803" s="127"/>
      <c r="AB803" s="127"/>
      <c r="AC803" s="127"/>
      <c r="AD803" s="261"/>
      <c r="AE803" s="261"/>
      <c r="AF803" s="261"/>
      <c r="AG803" s="261"/>
    </row>
    <row r="804" ht="34.5" hidden="1" customHeight="1">
      <c r="A804" s="111"/>
      <c r="B804" s="127"/>
      <c r="C804" s="111"/>
      <c r="D804" s="111"/>
      <c r="E804" s="111"/>
      <c r="F804" s="111"/>
      <c r="G804" s="111"/>
      <c r="H804" s="111"/>
      <c r="I804" s="127"/>
      <c r="J804" s="111"/>
      <c r="K804" s="257"/>
      <c r="L804" s="111"/>
      <c r="M804" s="127"/>
      <c r="N804" s="270"/>
      <c r="O804" s="111"/>
      <c r="P804" s="111"/>
      <c r="Q804" s="128"/>
      <c r="R804" s="124"/>
      <c r="S804" s="125"/>
      <c r="T804" s="126"/>
      <c r="U804" s="126"/>
      <c r="V804" s="126"/>
      <c r="W804" s="126"/>
      <c r="X804" s="126"/>
      <c r="Y804" s="126"/>
      <c r="Z804" s="127"/>
      <c r="AA804" s="127"/>
      <c r="AB804" s="127"/>
      <c r="AC804" s="127"/>
      <c r="AD804" s="261"/>
      <c r="AE804" s="261"/>
      <c r="AF804" s="261"/>
      <c r="AG804" s="261"/>
    </row>
    <row r="805" ht="34.5" hidden="1" customHeight="1">
      <c r="A805" s="111"/>
      <c r="B805" s="127"/>
      <c r="C805" s="111"/>
      <c r="D805" s="111"/>
      <c r="E805" s="111"/>
      <c r="F805" s="111"/>
      <c r="G805" s="111"/>
      <c r="H805" s="111"/>
      <c r="I805" s="127"/>
      <c r="J805" s="111"/>
      <c r="K805" s="257"/>
      <c r="L805" s="111"/>
      <c r="M805" s="127"/>
      <c r="N805" s="270"/>
      <c r="O805" s="111"/>
      <c r="P805" s="111"/>
      <c r="Q805" s="128"/>
      <c r="R805" s="124"/>
      <c r="S805" s="125"/>
      <c r="T805" s="126"/>
      <c r="U805" s="126"/>
      <c r="V805" s="126"/>
      <c r="W805" s="126"/>
      <c r="X805" s="126"/>
      <c r="Y805" s="126"/>
      <c r="Z805" s="127"/>
      <c r="AA805" s="127"/>
      <c r="AB805" s="127"/>
      <c r="AC805" s="127"/>
      <c r="AD805" s="261"/>
      <c r="AE805" s="261"/>
      <c r="AF805" s="261"/>
      <c r="AG805" s="261"/>
    </row>
    <row r="806" ht="34.5" hidden="1" customHeight="1">
      <c r="A806" s="111"/>
      <c r="B806" s="127"/>
      <c r="C806" s="111"/>
      <c r="D806" s="111"/>
      <c r="E806" s="111"/>
      <c r="F806" s="111"/>
      <c r="G806" s="111"/>
      <c r="H806" s="111"/>
      <c r="I806" s="127"/>
      <c r="J806" s="111"/>
      <c r="K806" s="257"/>
      <c r="L806" s="111"/>
      <c r="M806" s="127"/>
      <c r="N806" s="270"/>
      <c r="O806" s="111"/>
      <c r="P806" s="111"/>
      <c r="Q806" s="128"/>
      <c r="R806" s="124"/>
      <c r="S806" s="125"/>
      <c r="T806" s="126"/>
      <c r="U806" s="126"/>
      <c r="V806" s="126"/>
      <c r="W806" s="126"/>
      <c r="X806" s="126"/>
      <c r="Y806" s="126"/>
      <c r="Z806" s="127"/>
      <c r="AA806" s="127"/>
      <c r="AB806" s="127"/>
      <c r="AC806" s="127"/>
      <c r="AD806" s="261"/>
      <c r="AE806" s="261"/>
      <c r="AF806" s="261"/>
      <c r="AG806" s="261"/>
    </row>
    <row r="807" ht="34.5" hidden="1" customHeight="1">
      <c r="A807" s="111"/>
      <c r="B807" s="127"/>
      <c r="C807" s="111"/>
      <c r="D807" s="111"/>
      <c r="E807" s="111"/>
      <c r="F807" s="111"/>
      <c r="G807" s="111"/>
      <c r="H807" s="111"/>
      <c r="I807" s="127"/>
      <c r="J807" s="111"/>
      <c r="K807" s="257"/>
      <c r="L807" s="111"/>
      <c r="M807" s="127"/>
      <c r="N807" s="270"/>
      <c r="O807" s="111"/>
      <c r="P807" s="111"/>
      <c r="Q807" s="128"/>
      <c r="R807" s="124"/>
      <c r="S807" s="125"/>
      <c r="T807" s="126"/>
      <c r="U807" s="126"/>
      <c r="V807" s="126"/>
      <c r="W807" s="126"/>
      <c r="X807" s="126"/>
      <c r="Y807" s="126"/>
      <c r="Z807" s="127"/>
      <c r="AA807" s="127"/>
      <c r="AB807" s="127"/>
      <c r="AC807" s="127"/>
      <c r="AD807" s="261"/>
      <c r="AE807" s="261"/>
      <c r="AF807" s="261"/>
      <c r="AG807" s="261"/>
    </row>
    <row r="808" ht="34.5" hidden="1" customHeight="1">
      <c r="A808" s="111"/>
      <c r="B808" s="127"/>
      <c r="C808" s="111"/>
      <c r="D808" s="111"/>
      <c r="E808" s="111"/>
      <c r="F808" s="111"/>
      <c r="G808" s="111"/>
      <c r="H808" s="111"/>
      <c r="I808" s="127"/>
      <c r="J808" s="111"/>
      <c r="K808" s="257"/>
      <c r="L808" s="111"/>
      <c r="M808" s="127"/>
      <c r="N808" s="270"/>
      <c r="O808" s="111"/>
      <c r="P808" s="111"/>
      <c r="Q808" s="128"/>
      <c r="R808" s="124"/>
      <c r="S808" s="125"/>
      <c r="T808" s="126"/>
      <c r="U808" s="126"/>
      <c r="V808" s="126"/>
      <c r="W808" s="126"/>
      <c r="X808" s="126"/>
      <c r="Y808" s="126"/>
      <c r="Z808" s="127"/>
      <c r="AA808" s="127"/>
      <c r="AB808" s="127"/>
      <c r="AC808" s="127"/>
      <c r="AD808" s="261"/>
      <c r="AE808" s="261"/>
      <c r="AF808" s="261"/>
      <c r="AG808" s="261"/>
    </row>
    <row r="809" ht="34.5" hidden="1" customHeight="1">
      <c r="A809" s="111"/>
      <c r="B809" s="127"/>
      <c r="C809" s="111"/>
      <c r="D809" s="111"/>
      <c r="E809" s="111"/>
      <c r="F809" s="111"/>
      <c r="G809" s="111"/>
      <c r="H809" s="111"/>
      <c r="I809" s="127"/>
      <c r="J809" s="111"/>
      <c r="K809" s="257"/>
      <c r="L809" s="111"/>
      <c r="M809" s="127"/>
      <c r="N809" s="270"/>
      <c r="O809" s="111"/>
      <c r="P809" s="111"/>
      <c r="Q809" s="128"/>
      <c r="R809" s="124"/>
      <c r="S809" s="125"/>
      <c r="T809" s="126"/>
      <c r="U809" s="126"/>
      <c r="V809" s="126"/>
      <c r="W809" s="126"/>
      <c r="X809" s="126"/>
      <c r="Y809" s="126"/>
      <c r="Z809" s="127"/>
      <c r="AA809" s="127"/>
      <c r="AB809" s="127"/>
      <c r="AC809" s="127"/>
      <c r="AD809" s="261"/>
      <c r="AE809" s="261"/>
      <c r="AF809" s="261"/>
      <c r="AG809" s="261"/>
    </row>
    <row r="810" ht="34.5" hidden="1" customHeight="1">
      <c r="A810" s="111"/>
      <c r="B810" s="127"/>
      <c r="C810" s="111"/>
      <c r="D810" s="111"/>
      <c r="E810" s="111"/>
      <c r="F810" s="111"/>
      <c r="G810" s="111"/>
      <c r="H810" s="111"/>
      <c r="I810" s="127"/>
      <c r="J810" s="111"/>
      <c r="K810" s="257"/>
      <c r="L810" s="111"/>
      <c r="M810" s="127"/>
      <c r="N810" s="270"/>
      <c r="O810" s="111"/>
      <c r="P810" s="111"/>
      <c r="Q810" s="128"/>
      <c r="R810" s="124"/>
      <c r="S810" s="125"/>
      <c r="T810" s="126"/>
      <c r="U810" s="126"/>
      <c r="V810" s="126"/>
      <c r="W810" s="126"/>
      <c r="X810" s="126"/>
      <c r="Y810" s="126"/>
      <c r="Z810" s="127"/>
      <c r="AA810" s="127"/>
      <c r="AB810" s="127"/>
      <c r="AC810" s="127"/>
      <c r="AD810" s="261"/>
      <c r="AE810" s="261"/>
      <c r="AF810" s="261"/>
      <c r="AG810" s="261"/>
    </row>
    <row r="811" ht="34.5" hidden="1" customHeight="1">
      <c r="A811" s="111"/>
      <c r="B811" s="127"/>
      <c r="C811" s="111"/>
      <c r="D811" s="111"/>
      <c r="E811" s="111"/>
      <c r="F811" s="111"/>
      <c r="G811" s="111"/>
      <c r="H811" s="111"/>
      <c r="I811" s="127"/>
      <c r="J811" s="111"/>
      <c r="K811" s="257"/>
      <c r="L811" s="111"/>
      <c r="M811" s="127"/>
      <c r="N811" s="270"/>
      <c r="O811" s="111"/>
      <c r="P811" s="111"/>
      <c r="Q811" s="128"/>
      <c r="R811" s="124"/>
      <c r="S811" s="125"/>
      <c r="T811" s="126"/>
      <c r="U811" s="126"/>
      <c r="V811" s="126"/>
      <c r="W811" s="126"/>
      <c r="X811" s="126"/>
      <c r="Y811" s="126"/>
      <c r="Z811" s="127"/>
      <c r="AA811" s="127"/>
      <c r="AB811" s="127"/>
      <c r="AC811" s="127"/>
      <c r="AD811" s="261"/>
      <c r="AE811" s="261"/>
      <c r="AF811" s="261"/>
      <c r="AG811" s="261"/>
    </row>
    <row r="812" ht="34.5" hidden="1" customHeight="1">
      <c r="A812" s="111"/>
      <c r="B812" s="127"/>
      <c r="C812" s="111"/>
      <c r="D812" s="111"/>
      <c r="E812" s="111"/>
      <c r="F812" s="111"/>
      <c r="G812" s="111"/>
      <c r="H812" s="111"/>
      <c r="I812" s="127"/>
      <c r="J812" s="111"/>
      <c r="K812" s="257"/>
      <c r="L812" s="111"/>
      <c r="M812" s="127"/>
      <c r="N812" s="270"/>
      <c r="O812" s="111"/>
      <c r="P812" s="111"/>
      <c r="Q812" s="128"/>
      <c r="R812" s="124"/>
      <c r="S812" s="125"/>
      <c r="T812" s="126"/>
      <c r="U812" s="126"/>
      <c r="V812" s="126"/>
      <c r="W812" s="126"/>
      <c r="X812" s="126"/>
      <c r="Y812" s="126"/>
      <c r="Z812" s="127"/>
      <c r="AA812" s="127"/>
      <c r="AB812" s="127"/>
      <c r="AC812" s="127"/>
      <c r="AD812" s="261"/>
      <c r="AE812" s="261"/>
      <c r="AF812" s="261"/>
      <c r="AG812" s="261"/>
    </row>
    <row r="813" ht="34.5" hidden="1" customHeight="1">
      <c r="A813" s="111"/>
      <c r="B813" s="127"/>
      <c r="C813" s="111"/>
      <c r="D813" s="111"/>
      <c r="E813" s="111"/>
      <c r="F813" s="111"/>
      <c r="G813" s="111"/>
      <c r="H813" s="111"/>
      <c r="I813" s="127"/>
      <c r="J813" s="111"/>
      <c r="K813" s="257"/>
      <c r="L813" s="111"/>
      <c r="M813" s="127"/>
      <c r="N813" s="270"/>
      <c r="O813" s="111"/>
      <c r="P813" s="111"/>
      <c r="Q813" s="128"/>
      <c r="R813" s="124"/>
      <c r="S813" s="125"/>
      <c r="T813" s="126"/>
      <c r="U813" s="126"/>
      <c r="V813" s="126"/>
      <c r="W813" s="126"/>
      <c r="X813" s="126"/>
      <c r="Y813" s="126"/>
      <c r="Z813" s="127"/>
      <c r="AA813" s="127"/>
      <c r="AB813" s="127"/>
      <c r="AC813" s="127"/>
      <c r="AD813" s="261"/>
      <c r="AE813" s="261"/>
      <c r="AF813" s="261"/>
      <c r="AG813" s="261"/>
    </row>
    <row r="814" ht="34.5" hidden="1" customHeight="1">
      <c r="A814" s="111"/>
      <c r="B814" s="127"/>
      <c r="C814" s="111"/>
      <c r="D814" s="111"/>
      <c r="E814" s="111"/>
      <c r="F814" s="111"/>
      <c r="G814" s="111"/>
      <c r="H814" s="111"/>
      <c r="I814" s="127"/>
      <c r="J814" s="111"/>
      <c r="K814" s="257"/>
      <c r="L814" s="111"/>
      <c r="M814" s="127"/>
      <c r="N814" s="270"/>
      <c r="O814" s="111"/>
      <c r="P814" s="111"/>
      <c r="Q814" s="128"/>
      <c r="R814" s="124"/>
      <c r="S814" s="125"/>
      <c r="T814" s="126"/>
      <c r="U814" s="126"/>
      <c r="V814" s="126"/>
      <c r="W814" s="126"/>
      <c r="X814" s="126"/>
      <c r="Y814" s="126"/>
      <c r="Z814" s="127"/>
      <c r="AA814" s="127"/>
      <c r="AB814" s="127"/>
      <c r="AC814" s="127"/>
      <c r="AD814" s="261"/>
      <c r="AE814" s="261"/>
      <c r="AF814" s="261"/>
      <c r="AG814" s="261"/>
    </row>
    <row r="815" ht="34.5" hidden="1" customHeight="1">
      <c r="A815" s="111"/>
      <c r="B815" s="127"/>
      <c r="C815" s="111"/>
      <c r="D815" s="111"/>
      <c r="E815" s="111"/>
      <c r="F815" s="111"/>
      <c r="G815" s="111"/>
      <c r="H815" s="111"/>
      <c r="I815" s="127"/>
      <c r="J815" s="111"/>
      <c r="K815" s="257"/>
      <c r="L815" s="111"/>
      <c r="M815" s="127"/>
      <c r="N815" s="270"/>
      <c r="O815" s="111"/>
      <c r="P815" s="111"/>
      <c r="Q815" s="128"/>
      <c r="R815" s="124"/>
      <c r="S815" s="125"/>
      <c r="T815" s="126"/>
      <c r="U815" s="126"/>
      <c r="V815" s="126"/>
      <c r="W815" s="126"/>
      <c r="X815" s="126"/>
      <c r="Y815" s="126"/>
      <c r="Z815" s="127"/>
      <c r="AA815" s="127"/>
      <c r="AB815" s="127"/>
      <c r="AC815" s="127"/>
      <c r="AD815" s="261"/>
      <c r="AE815" s="261"/>
      <c r="AF815" s="261"/>
      <c r="AG815" s="261"/>
    </row>
    <row r="816" ht="34.5" hidden="1" customHeight="1">
      <c r="A816" s="111"/>
      <c r="B816" s="127"/>
      <c r="C816" s="111"/>
      <c r="D816" s="111"/>
      <c r="E816" s="111"/>
      <c r="F816" s="111"/>
      <c r="G816" s="111"/>
      <c r="H816" s="111"/>
      <c r="I816" s="127"/>
      <c r="J816" s="111"/>
      <c r="K816" s="257"/>
      <c r="L816" s="111"/>
      <c r="M816" s="127"/>
      <c r="N816" s="270"/>
      <c r="O816" s="111"/>
      <c r="P816" s="111"/>
      <c r="Q816" s="128"/>
      <c r="R816" s="124"/>
      <c r="S816" s="125"/>
      <c r="T816" s="126"/>
      <c r="U816" s="126"/>
      <c r="V816" s="126"/>
      <c r="W816" s="126"/>
      <c r="X816" s="126"/>
      <c r="Y816" s="126"/>
      <c r="Z816" s="127"/>
      <c r="AA816" s="127"/>
      <c r="AB816" s="127"/>
      <c r="AC816" s="127"/>
      <c r="AD816" s="261"/>
      <c r="AE816" s="261"/>
      <c r="AF816" s="261"/>
      <c r="AG816" s="261"/>
    </row>
    <row r="817" ht="34.5" hidden="1" customHeight="1">
      <c r="A817" s="111"/>
      <c r="B817" s="127"/>
      <c r="C817" s="111"/>
      <c r="D817" s="111"/>
      <c r="E817" s="111"/>
      <c r="F817" s="111"/>
      <c r="G817" s="111"/>
      <c r="H817" s="111"/>
      <c r="I817" s="127"/>
      <c r="J817" s="111"/>
      <c r="K817" s="257"/>
      <c r="L817" s="111"/>
      <c r="M817" s="127"/>
      <c r="N817" s="270"/>
      <c r="O817" s="111"/>
      <c r="P817" s="111"/>
      <c r="Q817" s="128"/>
      <c r="R817" s="124"/>
      <c r="S817" s="125"/>
      <c r="T817" s="126"/>
      <c r="U817" s="126"/>
      <c r="V817" s="126"/>
      <c r="W817" s="126"/>
      <c r="X817" s="126"/>
      <c r="Y817" s="126"/>
      <c r="Z817" s="127"/>
      <c r="AA817" s="127"/>
      <c r="AB817" s="127"/>
      <c r="AC817" s="127"/>
      <c r="AD817" s="261"/>
      <c r="AE817" s="261"/>
      <c r="AF817" s="261"/>
      <c r="AG817" s="261"/>
    </row>
    <row r="818" ht="34.5" hidden="1" customHeight="1">
      <c r="A818" s="111"/>
      <c r="B818" s="127"/>
      <c r="C818" s="111"/>
      <c r="D818" s="111"/>
      <c r="E818" s="111"/>
      <c r="F818" s="111"/>
      <c r="G818" s="111"/>
      <c r="H818" s="111"/>
      <c r="I818" s="127"/>
      <c r="J818" s="111"/>
      <c r="K818" s="257"/>
      <c r="L818" s="111"/>
      <c r="M818" s="127"/>
      <c r="N818" s="270"/>
      <c r="O818" s="111"/>
      <c r="P818" s="111"/>
      <c r="Q818" s="128"/>
      <c r="R818" s="124"/>
      <c r="S818" s="125"/>
      <c r="T818" s="126"/>
      <c r="U818" s="126"/>
      <c r="V818" s="126"/>
      <c r="W818" s="126"/>
      <c r="X818" s="126"/>
      <c r="Y818" s="126"/>
      <c r="Z818" s="127"/>
      <c r="AA818" s="127"/>
      <c r="AB818" s="127"/>
      <c r="AC818" s="127"/>
      <c r="AD818" s="261"/>
      <c r="AE818" s="261"/>
      <c r="AF818" s="261"/>
      <c r="AG818" s="261"/>
    </row>
    <row r="819" ht="34.5" hidden="1" customHeight="1">
      <c r="A819" s="111"/>
      <c r="B819" s="127"/>
      <c r="C819" s="111"/>
      <c r="D819" s="111"/>
      <c r="E819" s="111"/>
      <c r="F819" s="111"/>
      <c r="G819" s="111"/>
      <c r="H819" s="111"/>
      <c r="I819" s="127"/>
      <c r="J819" s="111"/>
      <c r="K819" s="257"/>
      <c r="L819" s="111"/>
      <c r="M819" s="127"/>
      <c r="N819" s="270"/>
      <c r="O819" s="111"/>
      <c r="P819" s="111"/>
      <c r="Q819" s="128"/>
      <c r="R819" s="124"/>
      <c r="S819" s="125"/>
      <c r="T819" s="126"/>
      <c r="U819" s="126"/>
      <c r="V819" s="126"/>
      <c r="W819" s="126"/>
      <c r="X819" s="126"/>
      <c r="Y819" s="126"/>
      <c r="Z819" s="127"/>
      <c r="AA819" s="127"/>
      <c r="AB819" s="127"/>
      <c r="AC819" s="127"/>
      <c r="AD819" s="261"/>
      <c r="AE819" s="261"/>
      <c r="AF819" s="261"/>
      <c r="AG819" s="261"/>
    </row>
    <row r="820" ht="34.5" hidden="1" customHeight="1">
      <c r="A820" s="111"/>
      <c r="B820" s="127"/>
      <c r="C820" s="111"/>
      <c r="D820" s="111"/>
      <c r="E820" s="111"/>
      <c r="F820" s="111"/>
      <c r="G820" s="111"/>
      <c r="H820" s="111"/>
      <c r="I820" s="127"/>
      <c r="J820" s="111"/>
      <c r="K820" s="257"/>
      <c r="L820" s="111"/>
      <c r="M820" s="127"/>
      <c r="N820" s="270"/>
      <c r="O820" s="111"/>
      <c r="P820" s="111"/>
      <c r="Q820" s="128"/>
      <c r="R820" s="124"/>
      <c r="S820" s="125"/>
      <c r="T820" s="126"/>
      <c r="U820" s="126"/>
      <c r="V820" s="126"/>
      <c r="W820" s="126"/>
      <c r="X820" s="126"/>
      <c r="Y820" s="126"/>
      <c r="Z820" s="127"/>
      <c r="AA820" s="127"/>
      <c r="AB820" s="127"/>
      <c r="AC820" s="127"/>
      <c r="AD820" s="261"/>
      <c r="AE820" s="261"/>
      <c r="AF820" s="261"/>
      <c r="AG820" s="261"/>
    </row>
    <row r="821" ht="34.5" hidden="1" customHeight="1">
      <c r="A821" s="111"/>
      <c r="B821" s="127"/>
      <c r="C821" s="111"/>
      <c r="D821" s="111"/>
      <c r="E821" s="111"/>
      <c r="F821" s="111"/>
      <c r="G821" s="111"/>
      <c r="H821" s="111"/>
      <c r="I821" s="127"/>
      <c r="J821" s="111"/>
      <c r="K821" s="257"/>
      <c r="L821" s="111"/>
      <c r="M821" s="127"/>
      <c r="N821" s="270"/>
      <c r="O821" s="111"/>
      <c r="P821" s="111"/>
      <c r="Q821" s="128"/>
      <c r="R821" s="124"/>
      <c r="S821" s="125"/>
      <c r="T821" s="126"/>
      <c r="U821" s="126"/>
      <c r="V821" s="126"/>
      <c r="W821" s="126"/>
      <c r="X821" s="126"/>
      <c r="Y821" s="126"/>
      <c r="Z821" s="127"/>
      <c r="AA821" s="127"/>
      <c r="AB821" s="127"/>
      <c r="AC821" s="127"/>
      <c r="AD821" s="261"/>
      <c r="AE821" s="261"/>
      <c r="AF821" s="261"/>
      <c r="AG821" s="261"/>
    </row>
    <row r="822" ht="34.5" hidden="1" customHeight="1">
      <c r="A822" s="111"/>
      <c r="B822" s="127"/>
      <c r="C822" s="111"/>
      <c r="D822" s="111"/>
      <c r="E822" s="111"/>
      <c r="F822" s="111"/>
      <c r="G822" s="111"/>
      <c r="H822" s="111"/>
      <c r="I822" s="127"/>
      <c r="J822" s="111"/>
      <c r="K822" s="257"/>
      <c r="L822" s="111"/>
      <c r="M822" s="127"/>
      <c r="N822" s="270"/>
      <c r="O822" s="111"/>
      <c r="P822" s="111"/>
      <c r="Q822" s="128"/>
      <c r="R822" s="124"/>
      <c r="S822" s="125"/>
      <c r="T822" s="126"/>
      <c r="U822" s="126"/>
      <c r="V822" s="126"/>
      <c r="W822" s="126"/>
      <c r="X822" s="126"/>
      <c r="Y822" s="126"/>
      <c r="Z822" s="127"/>
      <c r="AA822" s="127"/>
      <c r="AB822" s="127"/>
      <c r="AC822" s="127"/>
      <c r="AD822" s="261"/>
      <c r="AE822" s="261"/>
      <c r="AF822" s="261"/>
      <c r="AG822" s="261"/>
    </row>
    <row r="823" ht="34.5" hidden="1" customHeight="1">
      <c r="A823" s="111"/>
      <c r="B823" s="127"/>
      <c r="C823" s="111"/>
      <c r="D823" s="111"/>
      <c r="E823" s="111"/>
      <c r="F823" s="111"/>
      <c r="G823" s="111"/>
      <c r="H823" s="111"/>
      <c r="I823" s="127"/>
      <c r="J823" s="111"/>
      <c r="K823" s="257"/>
      <c r="L823" s="111"/>
      <c r="M823" s="127"/>
      <c r="N823" s="270"/>
      <c r="O823" s="111"/>
      <c r="P823" s="111"/>
      <c r="Q823" s="128"/>
      <c r="R823" s="124"/>
      <c r="S823" s="125"/>
      <c r="T823" s="126"/>
      <c r="U823" s="126"/>
      <c r="V823" s="126"/>
      <c r="W823" s="126"/>
      <c r="X823" s="126"/>
      <c r="Y823" s="126"/>
      <c r="Z823" s="127"/>
      <c r="AA823" s="127"/>
      <c r="AB823" s="127"/>
      <c r="AC823" s="127"/>
      <c r="AD823" s="261"/>
      <c r="AE823" s="261"/>
      <c r="AF823" s="261"/>
      <c r="AG823" s="261"/>
    </row>
    <row r="824" ht="34.5" hidden="1" customHeight="1">
      <c r="A824" s="111"/>
      <c r="B824" s="127"/>
      <c r="C824" s="111"/>
      <c r="D824" s="111"/>
      <c r="E824" s="111"/>
      <c r="F824" s="111"/>
      <c r="G824" s="111"/>
      <c r="H824" s="111"/>
      <c r="I824" s="127"/>
      <c r="J824" s="111"/>
      <c r="K824" s="257"/>
      <c r="L824" s="111"/>
      <c r="M824" s="127"/>
      <c r="N824" s="270"/>
      <c r="O824" s="111"/>
      <c r="P824" s="111"/>
      <c r="Q824" s="128"/>
      <c r="R824" s="124"/>
      <c r="S824" s="125"/>
      <c r="T824" s="126"/>
      <c r="U824" s="126"/>
      <c r="V824" s="126"/>
      <c r="W824" s="126"/>
      <c r="X824" s="126"/>
      <c r="Y824" s="126"/>
      <c r="Z824" s="127"/>
      <c r="AA824" s="127"/>
      <c r="AB824" s="127"/>
      <c r="AC824" s="127"/>
      <c r="AD824" s="261"/>
      <c r="AE824" s="261"/>
      <c r="AF824" s="261"/>
      <c r="AG824" s="261"/>
    </row>
    <row r="825" ht="34.5" hidden="1" customHeight="1">
      <c r="A825" s="111"/>
      <c r="B825" s="127"/>
      <c r="C825" s="111"/>
      <c r="D825" s="111"/>
      <c r="E825" s="111"/>
      <c r="F825" s="111"/>
      <c r="G825" s="111"/>
      <c r="H825" s="111"/>
      <c r="I825" s="127"/>
      <c r="J825" s="111"/>
      <c r="K825" s="257"/>
      <c r="L825" s="111"/>
      <c r="M825" s="127"/>
      <c r="N825" s="270"/>
      <c r="O825" s="111"/>
      <c r="P825" s="111"/>
      <c r="Q825" s="128"/>
      <c r="R825" s="124"/>
      <c r="S825" s="125"/>
      <c r="T825" s="126"/>
      <c r="U825" s="126"/>
      <c r="V825" s="126"/>
      <c r="W825" s="126"/>
      <c r="X825" s="126"/>
      <c r="Y825" s="126"/>
      <c r="Z825" s="127"/>
      <c r="AA825" s="127"/>
      <c r="AB825" s="127"/>
      <c r="AC825" s="127"/>
      <c r="AD825" s="261"/>
      <c r="AE825" s="261"/>
      <c r="AF825" s="261"/>
      <c r="AG825" s="261"/>
    </row>
    <row r="826" ht="34.5" hidden="1" customHeight="1">
      <c r="A826" s="111"/>
      <c r="B826" s="127"/>
      <c r="C826" s="111"/>
      <c r="D826" s="111"/>
      <c r="E826" s="111"/>
      <c r="F826" s="111"/>
      <c r="G826" s="111"/>
      <c r="H826" s="111"/>
      <c r="I826" s="127"/>
      <c r="J826" s="111"/>
      <c r="K826" s="257"/>
      <c r="L826" s="111"/>
      <c r="M826" s="127"/>
      <c r="N826" s="270"/>
      <c r="O826" s="111"/>
      <c r="P826" s="111"/>
      <c r="Q826" s="128"/>
      <c r="R826" s="124"/>
      <c r="S826" s="125"/>
      <c r="T826" s="126"/>
      <c r="U826" s="126"/>
      <c r="V826" s="126"/>
      <c r="W826" s="126"/>
      <c r="X826" s="126"/>
      <c r="Y826" s="126"/>
      <c r="Z826" s="127"/>
      <c r="AA826" s="127"/>
      <c r="AB826" s="127"/>
      <c r="AC826" s="127"/>
      <c r="AD826" s="261"/>
      <c r="AE826" s="261"/>
      <c r="AF826" s="261"/>
      <c r="AG826" s="261"/>
    </row>
    <row r="827" ht="34.5" hidden="1" customHeight="1">
      <c r="A827" s="111"/>
      <c r="B827" s="127"/>
      <c r="C827" s="111"/>
      <c r="D827" s="111"/>
      <c r="E827" s="111"/>
      <c r="F827" s="111"/>
      <c r="G827" s="111"/>
      <c r="H827" s="111"/>
      <c r="I827" s="127"/>
      <c r="J827" s="111"/>
      <c r="K827" s="257"/>
      <c r="L827" s="111"/>
      <c r="M827" s="127"/>
      <c r="N827" s="270"/>
      <c r="O827" s="111"/>
      <c r="P827" s="111"/>
      <c r="Q827" s="128"/>
      <c r="R827" s="124"/>
      <c r="S827" s="125"/>
      <c r="T827" s="126"/>
      <c r="U827" s="126"/>
      <c r="V827" s="126"/>
      <c r="W827" s="126"/>
      <c r="X827" s="126"/>
      <c r="Y827" s="126"/>
      <c r="Z827" s="127"/>
      <c r="AA827" s="127"/>
      <c r="AB827" s="127"/>
      <c r="AC827" s="127"/>
      <c r="AD827" s="261"/>
      <c r="AE827" s="261"/>
      <c r="AF827" s="261"/>
      <c r="AG827" s="261"/>
    </row>
    <row r="828" ht="34.5" hidden="1" customHeight="1">
      <c r="A828" s="111"/>
      <c r="B828" s="127"/>
      <c r="C828" s="111"/>
      <c r="D828" s="111"/>
      <c r="E828" s="111"/>
      <c r="F828" s="111"/>
      <c r="G828" s="111"/>
      <c r="H828" s="111"/>
      <c r="I828" s="127"/>
      <c r="J828" s="111"/>
      <c r="K828" s="257"/>
      <c r="L828" s="111"/>
      <c r="M828" s="127"/>
      <c r="N828" s="270"/>
      <c r="O828" s="111"/>
      <c r="P828" s="111"/>
      <c r="Q828" s="128"/>
      <c r="R828" s="124"/>
      <c r="S828" s="125"/>
      <c r="T828" s="126"/>
      <c r="U828" s="126"/>
      <c r="V828" s="126"/>
      <c r="W828" s="126"/>
      <c r="X828" s="126"/>
      <c r="Y828" s="126"/>
      <c r="Z828" s="127"/>
      <c r="AA828" s="127"/>
      <c r="AB828" s="127"/>
      <c r="AC828" s="127"/>
      <c r="AD828" s="261"/>
      <c r="AE828" s="261"/>
      <c r="AF828" s="261"/>
      <c r="AG828" s="261"/>
    </row>
    <row r="829" ht="34.5" hidden="1" customHeight="1">
      <c r="A829" s="111"/>
      <c r="B829" s="127"/>
      <c r="C829" s="111"/>
      <c r="D829" s="111"/>
      <c r="E829" s="111"/>
      <c r="F829" s="111"/>
      <c r="G829" s="111"/>
      <c r="H829" s="111"/>
      <c r="I829" s="127"/>
      <c r="J829" s="111"/>
      <c r="K829" s="257"/>
      <c r="L829" s="111"/>
      <c r="M829" s="127"/>
      <c r="N829" s="270"/>
      <c r="O829" s="111"/>
      <c r="P829" s="111"/>
      <c r="Q829" s="128"/>
      <c r="R829" s="124"/>
      <c r="S829" s="125"/>
      <c r="T829" s="126"/>
      <c r="U829" s="126"/>
      <c r="V829" s="126"/>
      <c r="W829" s="126"/>
      <c r="X829" s="126"/>
      <c r="Y829" s="126"/>
      <c r="Z829" s="127"/>
      <c r="AA829" s="127"/>
      <c r="AB829" s="127"/>
      <c r="AC829" s="127"/>
      <c r="AD829" s="261"/>
      <c r="AE829" s="261"/>
      <c r="AF829" s="261"/>
      <c r="AG829" s="261"/>
    </row>
    <row r="830" ht="34.5" hidden="1" customHeight="1">
      <c r="A830" s="111"/>
      <c r="B830" s="127"/>
      <c r="C830" s="111"/>
      <c r="D830" s="111"/>
      <c r="E830" s="111"/>
      <c r="F830" s="111"/>
      <c r="G830" s="111"/>
      <c r="H830" s="111"/>
      <c r="I830" s="127"/>
      <c r="J830" s="111"/>
      <c r="K830" s="257"/>
      <c r="L830" s="111"/>
      <c r="M830" s="127"/>
      <c r="N830" s="270"/>
      <c r="O830" s="111"/>
      <c r="P830" s="111"/>
      <c r="Q830" s="128"/>
      <c r="R830" s="124"/>
      <c r="S830" s="125"/>
      <c r="T830" s="126"/>
      <c r="U830" s="126"/>
      <c r="V830" s="126"/>
      <c r="W830" s="126"/>
      <c r="X830" s="126"/>
      <c r="Y830" s="126"/>
      <c r="Z830" s="127"/>
      <c r="AA830" s="127"/>
      <c r="AB830" s="127"/>
      <c r="AC830" s="127"/>
      <c r="AD830" s="261"/>
      <c r="AE830" s="261"/>
      <c r="AF830" s="261"/>
      <c r="AG830" s="261"/>
    </row>
    <row r="831" ht="34.5" hidden="1" customHeight="1">
      <c r="A831" s="111"/>
      <c r="B831" s="127"/>
      <c r="C831" s="111"/>
      <c r="D831" s="111"/>
      <c r="E831" s="111"/>
      <c r="F831" s="111"/>
      <c r="G831" s="111"/>
      <c r="H831" s="111"/>
      <c r="I831" s="127"/>
      <c r="J831" s="111"/>
      <c r="K831" s="257"/>
      <c r="L831" s="111"/>
      <c r="M831" s="127"/>
      <c r="N831" s="270"/>
      <c r="O831" s="111"/>
      <c r="P831" s="111"/>
      <c r="Q831" s="128"/>
      <c r="R831" s="124"/>
      <c r="S831" s="125"/>
      <c r="T831" s="126"/>
      <c r="U831" s="126"/>
      <c r="V831" s="126"/>
      <c r="W831" s="126"/>
      <c r="X831" s="126"/>
      <c r="Y831" s="126"/>
      <c r="Z831" s="127"/>
      <c r="AA831" s="127"/>
      <c r="AB831" s="127"/>
      <c r="AC831" s="127"/>
      <c r="AD831" s="261"/>
      <c r="AE831" s="261"/>
      <c r="AF831" s="261"/>
      <c r="AG831" s="261"/>
    </row>
    <row r="832" ht="34.5" hidden="1" customHeight="1">
      <c r="A832" s="111"/>
      <c r="B832" s="127"/>
      <c r="C832" s="111"/>
      <c r="D832" s="111"/>
      <c r="E832" s="111"/>
      <c r="F832" s="111"/>
      <c r="G832" s="111"/>
      <c r="H832" s="111"/>
      <c r="I832" s="127"/>
      <c r="J832" s="111"/>
      <c r="K832" s="257"/>
      <c r="L832" s="111"/>
      <c r="M832" s="127"/>
      <c r="N832" s="270"/>
      <c r="O832" s="111"/>
      <c r="P832" s="111"/>
      <c r="Q832" s="128"/>
      <c r="R832" s="124"/>
      <c r="S832" s="125"/>
      <c r="T832" s="126"/>
      <c r="U832" s="126"/>
      <c r="V832" s="126"/>
      <c r="W832" s="126"/>
      <c r="X832" s="126"/>
      <c r="Y832" s="126"/>
      <c r="Z832" s="127"/>
      <c r="AA832" s="127"/>
      <c r="AB832" s="127"/>
      <c r="AC832" s="127"/>
      <c r="AD832" s="261"/>
      <c r="AE832" s="261"/>
      <c r="AF832" s="261"/>
      <c r="AG832" s="261"/>
    </row>
    <row r="833" ht="34.5" hidden="1" customHeight="1">
      <c r="A833" s="111"/>
      <c r="B833" s="127"/>
      <c r="C833" s="111"/>
      <c r="D833" s="111"/>
      <c r="E833" s="111"/>
      <c r="F833" s="111"/>
      <c r="G833" s="111"/>
      <c r="H833" s="111"/>
      <c r="I833" s="127"/>
      <c r="J833" s="111"/>
      <c r="K833" s="257"/>
      <c r="L833" s="111"/>
      <c r="M833" s="127"/>
      <c r="N833" s="270"/>
      <c r="O833" s="111"/>
      <c r="P833" s="111"/>
      <c r="Q833" s="128"/>
      <c r="R833" s="124"/>
      <c r="S833" s="125"/>
      <c r="T833" s="126"/>
      <c r="U833" s="126"/>
      <c r="V833" s="126"/>
      <c r="W833" s="126"/>
      <c r="X833" s="126"/>
      <c r="Y833" s="126"/>
      <c r="Z833" s="127"/>
      <c r="AA833" s="127"/>
      <c r="AB833" s="127"/>
      <c r="AC833" s="127"/>
      <c r="AD833" s="261"/>
      <c r="AE833" s="261"/>
      <c r="AF833" s="261"/>
      <c r="AG833" s="261"/>
    </row>
    <row r="834" ht="34.5" hidden="1" customHeight="1">
      <c r="A834" s="111"/>
      <c r="B834" s="127"/>
      <c r="C834" s="111"/>
      <c r="D834" s="111"/>
      <c r="E834" s="111"/>
      <c r="F834" s="111"/>
      <c r="G834" s="111"/>
      <c r="H834" s="111"/>
      <c r="I834" s="127"/>
      <c r="J834" s="111"/>
      <c r="K834" s="257"/>
      <c r="L834" s="111"/>
      <c r="M834" s="127"/>
      <c r="N834" s="270"/>
      <c r="O834" s="111"/>
      <c r="P834" s="111"/>
      <c r="Q834" s="128"/>
      <c r="R834" s="124"/>
      <c r="S834" s="125"/>
      <c r="T834" s="126"/>
      <c r="U834" s="126"/>
      <c r="V834" s="126"/>
      <c r="W834" s="126"/>
      <c r="X834" s="126"/>
      <c r="Y834" s="126"/>
      <c r="Z834" s="127"/>
      <c r="AA834" s="127"/>
      <c r="AB834" s="127"/>
      <c r="AC834" s="127"/>
      <c r="AD834" s="261"/>
      <c r="AE834" s="261"/>
      <c r="AF834" s="261"/>
      <c r="AG834" s="261"/>
    </row>
    <row r="835" ht="34.5" hidden="1" customHeight="1">
      <c r="A835" s="111"/>
      <c r="B835" s="127"/>
      <c r="C835" s="111"/>
      <c r="D835" s="111"/>
      <c r="E835" s="111"/>
      <c r="F835" s="111"/>
      <c r="G835" s="111"/>
      <c r="H835" s="111"/>
      <c r="I835" s="127"/>
      <c r="J835" s="111"/>
      <c r="K835" s="257"/>
      <c r="L835" s="111"/>
      <c r="M835" s="127"/>
      <c r="N835" s="270"/>
      <c r="O835" s="111"/>
      <c r="P835" s="111"/>
      <c r="Q835" s="128"/>
      <c r="R835" s="124"/>
      <c r="S835" s="125"/>
      <c r="T835" s="126"/>
      <c r="U835" s="126"/>
      <c r="V835" s="126"/>
      <c r="W835" s="126"/>
      <c r="X835" s="126"/>
      <c r="Y835" s="126"/>
      <c r="Z835" s="127"/>
      <c r="AA835" s="127"/>
      <c r="AB835" s="127"/>
      <c r="AC835" s="127"/>
      <c r="AD835" s="261"/>
      <c r="AE835" s="261"/>
      <c r="AF835" s="261"/>
      <c r="AG835" s="261"/>
    </row>
    <row r="836" ht="34.5" hidden="1" customHeight="1">
      <c r="A836" s="111"/>
      <c r="B836" s="127"/>
      <c r="C836" s="111"/>
      <c r="D836" s="111"/>
      <c r="E836" s="111"/>
      <c r="F836" s="111"/>
      <c r="G836" s="111"/>
      <c r="H836" s="111"/>
      <c r="I836" s="127"/>
      <c r="J836" s="111"/>
      <c r="K836" s="257"/>
      <c r="L836" s="111"/>
      <c r="M836" s="127"/>
      <c r="N836" s="270"/>
      <c r="O836" s="111"/>
      <c r="P836" s="111"/>
      <c r="Q836" s="128"/>
      <c r="R836" s="124"/>
      <c r="S836" s="125"/>
      <c r="T836" s="126"/>
      <c r="U836" s="126"/>
      <c r="V836" s="126"/>
      <c r="W836" s="126"/>
      <c r="X836" s="126"/>
      <c r="Y836" s="126"/>
      <c r="Z836" s="127"/>
      <c r="AA836" s="127"/>
      <c r="AB836" s="127"/>
      <c r="AC836" s="127"/>
      <c r="AD836" s="261"/>
      <c r="AE836" s="261"/>
      <c r="AF836" s="261"/>
      <c r="AG836" s="261"/>
    </row>
    <row r="837" ht="34.5" hidden="1" customHeight="1">
      <c r="A837" s="111"/>
      <c r="B837" s="127"/>
      <c r="C837" s="111"/>
      <c r="D837" s="111"/>
      <c r="E837" s="111"/>
      <c r="F837" s="111"/>
      <c r="G837" s="111"/>
      <c r="H837" s="111"/>
      <c r="I837" s="127"/>
      <c r="J837" s="111"/>
      <c r="K837" s="257"/>
      <c r="L837" s="111"/>
      <c r="M837" s="127"/>
      <c r="N837" s="270"/>
      <c r="O837" s="111"/>
      <c r="P837" s="111"/>
      <c r="Q837" s="128"/>
      <c r="R837" s="124"/>
      <c r="S837" s="125"/>
      <c r="T837" s="126"/>
      <c r="U837" s="126"/>
      <c r="V837" s="126"/>
      <c r="W837" s="126"/>
      <c r="X837" s="126"/>
      <c r="Y837" s="126"/>
      <c r="Z837" s="127"/>
      <c r="AA837" s="127"/>
      <c r="AB837" s="127"/>
      <c r="AC837" s="127"/>
      <c r="AD837" s="261"/>
      <c r="AE837" s="261"/>
      <c r="AF837" s="261"/>
      <c r="AG837" s="261"/>
    </row>
    <row r="838" ht="34.5" hidden="1" customHeight="1">
      <c r="A838" s="111"/>
      <c r="B838" s="127"/>
      <c r="C838" s="111"/>
      <c r="D838" s="111"/>
      <c r="E838" s="111"/>
      <c r="F838" s="111"/>
      <c r="G838" s="111"/>
      <c r="H838" s="111"/>
      <c r="I838" s="127"/>
      <c r="J838" s="111"/>
      <c r="K838" s="257"/>
      <c r="L838" s="111"/>
      <c r="M838" s="127"/>
      <c r="N838" s="270"/>
      <c r="O838" s="111"/>
      <c r="P838" s="111"/>
      <c r="Q838" s="128"/>
      <c r="R838" s="124"/>
      <c r="S838" s="125"/>
      <c r="T838" s="126"/>
      <c r="U838" s="126"/>
      <c r="V838" s="126"/>
      <c r="W838" s="126"/>
      <c r="X838" s="126"/>
      <c r="Y838" s="126"/>
      <c r="Z838" s="127"/>
      <c r="AA838" s="127"/>
      <c r="AB838" s="127"/>
      <c r="AC838" s="127"/>
      <c r="AD838" s="261"/>
      <c r="AE838" s="261"/>
      <c r="AF838" s="261"/>
      <c r="AG838" s="261"/>
    </row>
    <row r="839" ht="34.5" hidden="1" customHeight="1">
      <c r="A839" s="111"/>
      <c r="B839" s="127"/>
      <c r="C839" s="111"/>
      <c r="D839" s="111"/>
      <c r="E839" s="111"/>
      <c r="F839" s="111"/>
      <c r="G839" s="111"/>
      <c r="H839" s="111"/>
      <c r="I839" s="127"/>
      <c r="J839" s="111"/>
      <c r="K839" s="257"/>
      <c r="L839" s="111"/>
      <c r="M839" s="127"/>
      <c r="N839" s="270"/>
      <c r="O839" s="111"/>
      <c r="P839" s="111"/>
      <c r="Q839" s="128"/>
      <c r="R839" s="124"/>
      <c r="S839" s="125"/>
      <c r="T839" s="126"/>
      <c r="U839" s="126"/>
      <c r="V839" s="126"/>
      <c r="W839" s="126"/>
      <c r="X839" s="126"/>
      <c r="Y839" s="126"/>
      <c r="Z839" s="127"/>
      <c r="AA839" s="127"/>
      <c r="AB839" s="127"/>
      <c r="AC839" s="127"/>
      <c r="AD839" s="261"/>
      <c r="AE839" s="261"/>
      <c r="AF839" s="261"/>
      <c r="AG839" s="261"/>
    </row>
    <row r="840" ht="34.5" hidden="1" customHeight="1">
      <c r="A840" s="111"/>
      <c r="B840" s="127"/>
      <c r="C840" s="111"/>
      <c r="D840" s="111"/>
      <c r="E840" s="111"/>
      <c r="F840" s="111"/>
      <c r="G840" s="111"/>
      <c r="H840" s="111"/>
      <c r="I840" s="127"/>
      <c r="J840" s="111"/>
      <c r="K840" s="257"/>
      <c r="L840" s="111"/>
      <c r="M840" s="127"/>
      <c r="N840" s="270"/>
      <c r="O840" s="111"/>
      <c r="P840" s="111"/>
      <c r="Q840" s="128"/>
      <c r="R840" s="124"/>
      <c r="S840" s="125"/>
      <c r="T840" s="126"/>
      <c r="U840" s="126"/>
      <c r="V840" s="126"/>
      <c r="W840" s="126"/>
      <c r="X840" s="126"/>
      <c r="Y840" s="126"/>
      <c r="Z840" s="127"/>
      <c r="AA840" s="127"/>
      <c r="AB840" s="127"/>
      <c r="AC840" s="127"/>
      <c r="AD840" s="261"/>
      <c r="AE840" s="261"/>
      <c r="AF840" s="261"/>
      <c r="AG840" s="261"/>
    </row>
    <row r="841" ht="34.5" hidden="1" customHeight="1">
      <c r="A841" s="111"/>
      <c r="B841" s="127"/>
      <c r="C841" s="111"/>
      <c r="D841" s="111"/>
      <c r="E841" s="111"/>
      <c r="F841" s="111"/>
      <c r="G841" s="111"/>
      <c r="H841" s="111"/>
      <c r="I841" s="127"/>
      <c r="J841" s="111"/>
      <c r="K841" s="257"/>
      <c r="L841" s="111"/>
      <c r="M841" s="127"/>
      <c r="N841" s="270"/>
      <c r="O841" s="111"/>
      <c r="P841" s="111"/>
      <c r="Q841" s="128"/>
      <c r="R841" s="124"/>
      <c r="S841" s="125"/>
      <c r="T841" s="126"/>
      <c r="U841" s="126"/>
      <c r="V841" s="126"/>
      <c r="W841" s="126"/>
      <c r="X841" s="126"/>
      <c r="Y841" s="126"/>
      <c r="Z841" s="127"/>
      <c r="AA841" s="127"/>
      <c r="AB841" s="127"/>
      <c r="AC841" s="127"/>
      <c r="AD841" s="261"/>
      <c r="AE841" s="261"/>
      <c r="AF841" s="261"/>
      <c r="AG841" s="261"/>
    </row>
    <row r="842" ht="34.5" hidden="1" customHeight="1">
      <c r="A842" s="111"/>
      <c r="B842" s="127"/>
      <c r="C842" s="111"/>
      <c r="D842" s="111"/>
      <c r="E842" s="111"/>
      <c r="F842" s="111"/>
      <c r="G842" s="111"/>
      <c r="H842" s="111"/>
      <c r="I842" s="127"/>
      <c r="J842" s="111"/>
      <c r="K842" s="257"/>
      <c r="L842" s="111"/>
      <c r="M842" s="127"/>
      <c r="N842" s="270"/>
      <c r="O842" s="111"/>
      <c r="P842" s="111"/>
      <c r="Q842" s="128"/>
      <c r="R842" s="124"/>
      <c r="S842" s="125"/>
      <c r="T842" s="126"/>
      <c r="U842" s="126"/>
      <c r="V842" s="126"/>
      <c r="W842" s="126"/>
      <c r="X842" s="126"/>
      <c r="Y842" s="126"/>
      <c r="Z842" s="127"/>
      <c r="AA842" s="127"/>
      <c r="AB842" s="127"/>
      <c r="AC842" s="127"/>
      <c r="AD842" s="261"/>
      <c r="AE842" s="261"/>
      <c r="AF842" s="261"/>
      <c r="AG842" s="261"/>
    </row>
    <row r="843" ht="34.5" hidden="1" customHeight="1">
      <c r="A843" s="111"/>
      <c r="B843" s="127"/>
      <c r="C843" s="111"/>
      <c r="D843" s="111"/>
      <c r="E843" s="111"/>
      <c r="F843" s="111"/>
      <c r="G843" s="111"/>
      <c r="H843" s="111"/>
      <c r="I843" s="127"/>
      <c r="J843" s="111"/>
      <c r="K843" s="257"/>
      <c r="L843" s="111"/>
      <c r="M843" s="127"/>
      <c r="N843" s="270"/>
      <c r="O843" s="111"/>
      <c r="P843" s="111"/>
      <c r="Q843" s="128"/>
      <c r="R843" s="124"/>
      <c r="S843" s="125"/>
      <c r="T843" s="126"/>
      <c r="U843" s="126"/>
      <c r="V843" s="126"/>
      <c r="W843" s="126"/>
      <c r="X843" s="126"/>
      <c r="Y843" s="126"/>
      <c r="Z843" s="127"/>
      <c r="AA843" s="127"/>
      <c r="AB843" s="127"/>
      <c r="AC843" s="127"/>
      <c r="AD843" s="261"/>
      <c r="AE843" s="261"/>
      <c r="AF843" s="261"/>
      <c r="AG843" s="261"/>
    </row>
    <row r="844" ht="34.5" hidden="1" customHeight="1">
      <c r="A844" s="111"/>
      <c r="B844" s="127"/>
      <c r="C844" s="111"/>
      <c r="D844" s="111"/>
      <c r="E844" s="111"/>
      <c r="F844" s="111"/>
      <c r="G844" s="111"/>
      <c r="H844" s="111"/>
      <c r="I844" s="127"/>
      <c r="J844" s="111"/>
      <c r="K844" s="257"/>
      <c r="L844" s="111"/>
      <c r="M844" s="127"/>
      <c r="N844" s="270"/>
      <c r="O844" s="111"/>
      <c r="P844" s="111"/>
      <c r="Q844" s="128"/>
      <c r="R844" s="124"/>
      <c r="S844" s="125"/>
      <c r="T844" s="126"/>
      <c r="U844" s="126"/>
      <c r="V844" s="126"/>
      <c r="W844" s="126"/>
      <c r="X844" s="126"/>
      <c r="Y844" s="126"/>
      <c r="Z844" s="127"/>
      <c r="AA844" s="127"/>
      <c r="AB844" s="127"/>
      <c r="AC844" s="127"/>
      <c r="AD844" s="261"/>
      <c r="AE844" s="261"/>
      <c r="AF844" s="261"/>
      <c r="AG844" s="261"/>
    </row>
    <row r="845" ht="34.5" hidden="1" customHeight="1">
      <c r="A845" s="111"/>
      <c r="B845" s="127"/>
      <c r="C845" s="111"/>
      <c r="D845" s="111"/>
      <c r="E845" s="111"/>
      <c r="F845" s="111"/>
      <c r="G845" s="111"/>
      <c r="H845" s="111"/>
      <c r="I845" s="127"/>
      <c r="J845" s="111"/>
      <c r="K845" s="257"/>
      <c r="L845" s="111"/>
      <c r="M845" s="127"/>
      <c r="N845" s="270"/>
      <c r="O845" s="111"/>
      <c r="P845" s="111"/>
      <c r="Q845" s="128"/>
      <c r="R845" s="124"/>
      <c r="S845" s="125"/>
      <c r="T845" s="126"/>
      <c r="U845" s="126"/>
      <c r="V845" s="126"/>
      <c r="W845" s="126"/>
      <c r="X845" s="126"/>
      <c r="Y845" s="126"/>
      <c r="Z845" s="127"/>
      <c r="AA845" s="127"/>
      <c r="AB845" s="127"/>
      <c r="AC845" s="127"/>
      <c r="AD845" s="261"/>
      <c r="AE845" s="261"/>
      <c r="AF845" s="261"/>
      <c r="AG845" s="261"/>
    </row>
    <row r="846" ht="34.5" hidden="1" customHeight="1">
      <c r="A846" s="111"/>
      <c r="B846" s="127"/>
      <c r="C846" s="111"/>
      <c r="D846" s="111"/>
      <c r="E846" s="111"/>
      <c r="F846" s="111"/>
      <c r="G846" s="111"/>
      <c r="H846" s="111"/>
      <c r="I846" s="127"/>
      <c r="J846" s="111"/>
      <c r="K846" s="257"/>
      <c r="L846" s="111"/>
      <c r="M846" s="127"/>
      <c r="N846" s="270"/>
      <c r="O846" s="111"/>
      <c r="P846" s="111"/>
      <c r="Q846" s="128"/>
      <c r="R846" s="124"/>
      <c r="S846" s="125"/>
      <c r="T846" s="126"/>
      <c r="U846" s="126"/>
      <c r="V846" s="126"/>
      <c r="W846" s="126"/>
      <c r="X846" s="126"/>
      <c r="Y846" s="126"/>
      <c r="Z846" s="127"/>
      <c r="AA846" s="127"/>
      <c r="AB846" s="127"/>
      <c r="AC846" s="127"/>
      <c r="AD846" s="261"/>
      <c r="AE846" s="261"/>
      <c r="AF846" s="261"/>
      <c r="AG846" s="261"/>
    </row>
    <row r="847" ht="34.5" hidden="1" customHeight="1">
      <c r="A847" s="111"/>
      <c r="B847" s="127"/>
      <c r="C847" s="111"/>
      <c r="D847" s="111"/>
      <c r="E847" s="111"/>
      <c r="F847" s="111"/>
      <c r="G847" s="111"/>
      <c r="H847" s="111"/>
      <c r="I847" s="127"/>
      <c r="J847" s="111"/>
      <c r="K847" s="257"/>
      <c r="L847" s="111"/>
      <c r="M847" s="127"/>
      <c r="N847" s="270"/>
      <c r="O847" s="111"/>
      <c r="P847" s="111"/>
      <c r="Q847" s="128"/>
      <c r="R847" s="124"/>
      <c r="S847" s="125"/>
      <c r="T847" s="126"/>
      <c r="U847" s="126"/>
      <c r="V847" s="126"/>
      <c r="W847" s="126"/>
      <c r="X847" s="126"/>
      <c r="Y847" s="126"/>
      <c r="Z847" s="127"/>
      <c r="AA847" s="127"/>
      <c r="AB847" s="127"/>
      <c r="AC847" s="127"/>
      <c r="AD847" s="261"/>
      <c r="AE847" s="261"/>
      <c r="AF847" s="261"/>
      <c r="AG847" s="261"/>
    </row>
    <row r="848" ht="34.5" hidden="1" customHeight="1">
      <c r="A848" s="111"/>
      <c r="B848" s="127"/>
      <c r="C848" s="111"/>
      <c r="D848" s="111"/>
      <c r="E848" s="111"/>
      <c r="F848" s="111"/>
      <c r="G848" s="111"/>
      <c r="H848" s="111"/>
      <c r="I848" s="127"/>
      <c r="J848" s="111"/>
      <c r="K848" s="257"/>
      <c r="L848" s="111"/>
      <c r="M848" s="127"/>
      <c r="N848" s="270"/>
      <c r="O848" s="111"/>
      <c r="P848" s="111"/>
      <c r="Q848" s="128"/>
      <c r="R848" s="124"/>
      <c r="S848" s="125"/>
      <c r="T848" s="126"/>
      <c r="U848" s="126"/>
      <c r="V848" s="126"/>
      <c r="W848" s="126"/>
      <c r="X848" s="126"/>
      <c r="Y848" s="126"/>
      <c r="Z848" s="127"/>
      <c r="AA848" s="127"/>
      <c r="AB848" s="127"/>
      <c r="AC848" s="127"/>
      <c r="AD848" s="261"/>
      <c r="AE848" s="261"/>
      <c r="AF848" s="261"/>
      <c r="AG848" s="261"/>
    </row>
    <row r="849" ht="34.5" hidden="1" customHeight="1">
      <c r="A849" s="111"/>
      <c r="B849" s="127"/>
      <c r="C849" s="111"/>
      <c r="D849" s="111"/>
      <c r="E849" s="111"/>
      <c r="F849" s="111"/>
      <c r="G849" s="111"/>
      <c r="H849" s="111"/>
      <c r="I849" s="127"/>
      <c r="J849" s="111"/>
      <c r="K849" s="257"/>
      <c r="L849" s="111"/>
      <c r="M849" s="127"/>
      <c r="N849" s="270"/>
      <c r="O849" s="111"/>
      <c r="P849" s="111"/>
      <c r="Q849" s="128"/>
      <c r="R849" s="124"/>
      <c r="S849" s="125"/>
      <c r="T849" s="126"/>
      <c r="U849" s="126"/>
      <c r="V849" s="126"/>
      <c r="W849" s="126"/>
      <c r="X849" s="126"/>
      <c r="Y849" s="126"/>
      <c r="Z849" s="127"/>
      <c r="AA849" s="127"/>
      <c r="AB849" s="127"/>
      <c r="AC849" s="127"/>
      <c r="AD849" s="261"/>
      <c r="AE849" s="261"/>
      <c r="AF849" s="261"/>
      <c r="AG849" s="261"/>
    </row>
    <row r="850" ht="34.5" hidden="1" customHeight="1">
      <c r="A850" s="111"/>
      <c r="B850" s="127"/>
      <c r="C850" s="111"/>
      <c r="D850" s="111"/>
      <c r="E850" s="111"/>
      <c r="F850" s="111"/>
      <c r="G850" s="111"/>
      <c r="H850" s="111"/>
      <c r="I850" s="127"/>
      <c r="J850" s="111"/>
      <c r="K850" s="257"/>
      <c r="L850" s="111"/>
      <c r="M850" s="127"/>
      <c r="N850" s="270"/>
      <c r="O850" s="111"/>
      <c r="P850" s="111"/>
      <c r="Q850" s="128"/>
      <c r="R850" s="124"/>
      <c r="S850" s="125"/>
      <c r="T850" s="126"/>
      <c r="U850" s="126"/>
      <c r="V850" s="126"/>
      <c r="W850" s="126"/>
      <c r="X850" s="126"/>
      <c r="Y850" s="126"/>
      <c r="Z850" s="127"/>
      <c r="AA850" s="127"/>
      <c r="AB850" s="127"/>
      <c r="AC850" s="127"/>
      <c r="AD850" s="261"/>
      <c r="AE850" s="261"/>
      <c r="AF850" s="261"/>
      <c r="AG850" s="261"/>
    </row>
    <row r="851" ht="34.5" hidden="1" customHeight="1">
      <c r="A851" s="111"/>
      <c r="B851" s="127"/>
      <c r="C851" s="111"/>
      <c r="D851" s="111"/>
      <c r="E851" s="111"/>
      <c r="F851" s="111"/>
      <c r="G851" s="111"/>
      <c r="H851" s="111"/>
      <c r="I851" s="127"/>
      <c r="J851" s="111"/>
      <c r="K851" s="257"/>
      <c r="L851" s="111"/>
      <c r="M851" s="127"/>
      <c r="N851" s="270"/>
      <c r="O851" s="111"/>
      <c r="P851" s="111"/>
      <c r="Q851" s="128"/>
      <c r="R851" s="124"/>
      <c r="S851" s="125"/>
      <c r="T851" s="126"/>
      <c r="U851" s="126"/>
      <c r="V851" s="126"/>
      <c r="W851" s="126"/>
      <c r="X851" s="126"/>
      <c r="Y851" s="126"/>
      <c r="Z851" s="127"/>
      <c r="AA851" s="127"/>
      <c r="AB851" s="127"/>
      <c r="AC851" s="127"/>
      <c r="AD851" s="261"/>
      <c r="AE851" s="261"/>
      <c r="AF851" s="261"/>
      <c r="AG851" s="261"/>
    </row>
    <row r="852" ht="34.5" hidden="1" customHeight="1">
      <c r="A852" s="111"/>
      <c r="B852" s="127"/>
      <c r="C852" s="111"/>
      <c r="D852" s="111"/>
      <c r="E852" s="111"/>
      <c r="F852" s="111"/>
      <c r="G852" s="111"/>
      <c r="H852" s="111"/>
      <c r="I852" s="127"/>
      <c r="J852" s="111"/>
      <c r="K852" s="257"/>
      <c r="L852" s="111"/>
      <c r="M852" s="127"/>
      <c r="N852" s="270"/>
      <c r="O852" s="111"/>
      <c r="P852" s="111"/>
      <c r="Q852" s="128"/>
      <c r="R852" s="124"/>
      <c r="S852" s="125"/>
      <c r="T852" s="126"/>
      <c r="U852" s="126"/>
      <c r="V852" s="126"/>
      <c r="W852" s="126"/>
      <c r="X852" s="126"/>
      <c r="Y852" s="126"/>
      <c r="Z852" s="127"/>
      <c r="AA852" s="127"/>
      <c r="AB852" s="127"/>
      <c r="AC852" s="127"/>
      <c r="AD852" s="261"/>
      <c r="AE852" s="261"/>
      <c r="AF852" s="261"/>
      <c r="AG852" s="261"/>
    </row>
    <row r="853" ht="34.5" hidden="1" customHeight="1">
      <c r="A853" s="111"/>
      <c r="B853" s="127"/>
      <c r="C853" s="111"/>
      <c r="D853" s="111"/>
      <c r="E853" s="111"/>
      <c r="F853" s="111"/>
      <c r="G853" s="111"/>
      <c r="H853" s="111"/>
      <c r="I853" s="127"/>
      <c r="J853" s="111"/>
      <c r="K853" s="257"/>
      <c r="L853" s="111"/>
      <c r="M853" s="127"/>
      <c r="N853" s="270"/>
      <c r="O853" s="111"/>
      <c r="P853" s="111"/>
      <c r="Q853" s="128"/>
      <c r="R853" s="124"/>
      <c r="S853" s="125"/>
      <c r="T853" s="126"/>
      <c r="U853" s="126"/>
      <c r="V853" s="126"/>
      <c r="W853" s="126"/>
      <c r="X853" s="126"/>
      <c r="Y853" s="126"/>
      <c r="Z853" s="127"/>
      <c r="AA853" s="127"/>
      <c r="AB853" s="127"/>
      <c r="AC853" s="127"/>
      <c r="AD853" s="261"/>
      <c r="AE853" s="261"/>
      <c r="AF853" s="261"/>
      <c r="AG853" s="261"/>
    </row>
    <row r="854" ht="34.5" hidden="1" customHeight="1">
      <c r="A854" s="111"/>
      <c r="B854" s="127"/>
      <c r="C854" s="111"/>
      <c r="D854" s="111"/>
      <c r="E854" s="111"/>
      <c r="F854" s="111"/>
      <c r="G854" s="111"/>
      <c r="H854" s="111"/>
      <c r="I854" s="127"/>
      <c r="J854" s="111"/>
      <c r="K854" s="257"/>
      <c r="L854" s="111"/>
      <c r="M854" s="127"/>
      <c r="N854" s="270"/>
      <c r="O854" s="111"/>
      <c r="P854" s="111"/>
      <c r="Q854" s="128"/>
      <c r="R854" s="124"/>
      <c r="S854" s="125"/>
      <c r="T854" s="126"/>
      <c r="U854" s="126"/>
      <c r="V854" s="126"/>
      <c r="W854" s="126"/>
      <c r="X854" s="126"/>
      <c r="Y854" s="126"/>
      <c r="Z854" s="127"/>
      <c r="AA854" s="127"/>
      <c r="AB854" s="127"/>
      <c r="AC854" s="127"/>
      <c r="AD854" s="261"/>
      <c r="AE854" s="261"/>
      <c r="AF854" s="261"/>
      <c r="AG854" s="261"/>
    </row>
    <row r="855" ht="34.5" hidden="1" customHeight="1">
      <c r="A855" s="111"/>
      <c r="B855" s="127"/>
      <c r="C855" s="111"/>
      <c r="D855" s="111"/>
      <c r="E855" s="111"/>
      <c r="F855" s="111"/>
      <c r="G855" s="111"/>
      <c r="H855" s="111"/>
      <c r="I855" s="127"/>
      <c r="J855" s="111"/>
      <c r="K855" s="257"/>
      <c r="L855" s="111"/>
      <c r="M855" s="127"/>
      <c r="N855" s="270"/>
      <c r="O855" s="111"/>
      <c r="P855" s="111"/>
      <c r="Q855" s="128"/>
      <c r="R855" s="124"/>
      <c r="S855" s="125"/>
      <c r="T855" s="126"/>
      <c r="U855" s="126"/>
      <c r="V855" s="126"/>
      <c r="W855" s="126"/>
      <c r="X855" s="126"/>
      <c r="Y855" s="126"/>
      <c r="Z855" s="127"/>
      <c r="AA855" s="127"/>
      <c r="AB855" s="127"/>
      <c r="AC855" s="127"/>
      <c r="AD855" s="261"/>
      <c r="AE855" s="261"/>
      <c r="AF855" s="261"/>
      <c r="AG855" s="261"/>
    </row>
    <row r="856" ht="34.5" hidden="1" customHeight="1">
      <c r="A856" s="111"/>
      <c r="B856" s="127"/>
      <c r="C856" s="111"/>
      <c r="D856" s="111"/>
      <c r="E856" s="111"/>
      <c r="F856" s="111"/>
      <c r="G856" s="111"/>
      <c r="H856" s="111"/>
      <c r="I856" s="127"/>
      <c r="J856" s="111"/>
      <c r="K856" s="257"/>
      <c r="L856" s="111"/>
      <c r="M856" s="127"/>
      <c r="N856" s="270"/>
      <c r="O856" s="111"/>
      <c r="P856" s="111"/>
      <c r="Q856" s="128"/>
      <c r="R856" s="124"/>
      <c r="S856" s="125"/>
      <c r="T856" s="126"/>
      <c r="U856" s="126"/>
      <c r="V856" s="126"/>
      <c r="W856" s="126"/>
      <c r="X856" s="126"/>
      <c r="Y856" s="126"/>
      <c r="Z856" s="127"/>
      <c r="AA856" s="127"/>
      <c r="AB856" s="127"/>
      <c r="AC856" s="127"/>
      <c r="AD856" s="261"/>
      <c r="AE856" s="261"/>
      <c r="AF856" s="261"/>
      <c r="AG856" s="261"/>
    </row>
    <row r="857" ht="34.5" hidden="1" customHeight="1">
      <c r="A857" s="111"/>
      <c r="B857" s="127"/>
      <c r="C857" s="111"/>
      <c r="D857" s="111"/>
      <c r="E857" s="111"/>
      <c r="F857" s="111"/>
      <c r="G857" s="111"/>
      <c r="H857" s="111"/>
      <c r="I857" s="127"/>
      <c r="J857" s="111"/>
      <c r="K857" s="257"/>
      <c r="L857" s="111"/>
      <c r="M857" s="127"/>
      <c r="N857" s="270"/>
      <c r="O857" s="111"/>
      <c r="P857" s="111"/>
      <c r="Q857" s="128"/>
      <c r="R857" s="124"/>
      <c r="S857" s="125"/>
      <c r="T857" s="126"/>
      <c r="U857" s="126"/>
      <c r="V857" s="126"/>
      <c r="W857" s="126"/>
      <c r="X857" s="126"/>
      <c r="Y857" s="126"/>
      <c r="Z857" s="127"/>
      <c r="AA857" s="127"/>
      <c r="AB857" s="127"/>
      <c r="AC857" s="127"/>
      <c r="AD857" s="261"/>
      <c r="AE857" s="261"/>
      <c r="AF857" s="261"/>
      <c r="AG857" s="261"/>
    </row>
    <row r="858" ht="34.5" hidden="1" customHeight="1">
      <c r="A858" s="111"/>
      <c r="B858" s="127"/>
      <c r="C858" s="111"/>
      <c r="D858" s="111"/>
      <c r="E858" s="111"/>
      <c r="F858" s="111"/>
      <c r="G858" s="111"/>
      <c r="H858" s="111"/>
      <c r="I858" s="127"/>
      <c r="J858" s="111"/>
      <c r="K858" s="257"/>
      <c r="L858" s="111"/>
      <c r="M858" s="127"/>
      <c r="N858" s="270"/>
      <c r="O858" s="111"/>
      <c r="P858" s="111"/>
      <c r="Q858" s="128"/>
      <c r="R858" s="124"/>
      <c r="S858" s="125"/>
      <c r="T858" s="126"/>
      <c r="U858" s="126"/>
      <c r="V858" s="126"/>
      <c r="W858" s="126"/>
      <c r="X858" s="126"/>
      <c r="Y858" s="126"/>
      <c r="Z858" s="127"/>
      <c r="AA858" s="127"/>
      <c r="AB858" s="127"/>
      <c r="AC858" s="127"/>
      <c r="AD858" s="261"/>
      <c r="AE858" s="261"/>
      <c r="AF858" s="261"/>
      <c r="AG858" s="261"/>
    </row>
    <row r="859" ht="34.5" hidden="1" customHeight="1">
      <c r="A859" s="111"/>
      <c r="B859" s="127"/>
      <c r="C859" s="111"/>
      <c r="D859" s="111"/>
      <c r="E859" s="111"/>
      <c r="F859" s="111"/>
      <c r="G859" s="111"/>
      <c r="H859" s="111"/>
      <c r="I859" s="127"/>
      <c r="J859" s="111"/>
      <c r="K859" s="257"/>
      <c r="L859" s="111"/>
      <c r="M859" s="127"/>
      <c r="N859" s="270"/>
      <c r="O859" s="111"/>
      <c r="P859" s="111"/>
      <c r="Q859" s="128"/>
      <c r="R859" s="124"/>
      <c r="S859" s="125"/>
      <c r="T859" s="126"/>
      <c r="U859" s="126"/>
      <c r="V859" s="126"/>
      <c r="W859" s="126"/>
      <c r="X859" s="126"/>
      <c r="Y859" s="126"/>
      <c r="Z859" s="127"/>
      <c r="AA859" s="127"/>
      <c r="AB859" s="127"/>
      <c r="AC859" s="127"/>
      <c r="AD859" s="261"/>
      <c r="AE859" s="261"/>
      <c r="AF859" s="261"/>
      <c r="AG859" s="261"/>
    </row>
    <row r="860" ht="34.5" hidden="1" customHeight="1">
      <c r="A860" s="111"/>
      <c r="B860" s="127"/>
      <c r="C860" s="111"/>
      <c r="D860" s="111"/>
      <c r="E860" s="111"/>
      <c r="F860" s="111"/>
      <c r="G860" s="111"/>
      <c r="H860" s="111"/>
      <c r="I860" s="127"/>
      <c r="J860" s="111"/>
      <c r="K860" s="257"/>
      <c r="L860" s="111"/>
      <c r="M860" s="127"/>
      <c r="N860" s="270"/>
      <c r="O860" s="111"/>
      <c r="P860" s="111"/>
      <c r="Q860" s="128"/>
      <c r="R860" s="124"/>
      <c r="S860" s="125"/>
      <c r="T860" s="126"/>
      <c r="U860" s="126"/>
      <c r="V860" s="126"/>
      <c r="W860" s="126"/>
      <c r="X860" s="126"/>
      <c r="Y860" s="126"/>
      <c r="Z860" s="127"/>
      <c r="AA860" s="127"/>
      <c r="AB860" s="127"/>
      <c r="AC860" s="127"/>
      <c r="AD860" s="261"/>
      <c r="AE860" s="261"/>
      <c r="AF860" s="261"/>
      <c r="AG860" s="261"/>
    </row>
    <row r="861" ht="34.5" hidden="1" customHeight="1">
      <c r="A861" s="111"/>
      <c r="B861" s="127"/>
      <c r="C861" s="111"/>
      <c r="D861" s="111"/>
      <c r="E861" s="111"/>
      <c r="F861" s="111"/>
      <c r="G861" s="111"/>
      <c r="H861" s="111"/>
      <c r="I861" s="127"/>
      <c r="J861" s="111"/>
      <c r="K861" s="257"/>
      <c r="L861" s="111"/>
      <c r="M861" s="127"/>
      <c r="N861" s="270"/>
      <c r="O861" s="111"/>
      <c r="P861" s="111"/>
      <c r="Q861" s="128"/>
      <c r="R861" s="124"/>
      <c r="S861" s="125"/>
      <c r="T861" s="126"/>
      <c r="U861" s="126"/>
      <c r="V861" s="126"/>
      <c r="W861" s="126"/>
      <c r="X861" s="126"/>
      <c r="Y861" s="126"/>
      <c r="Z861" s="127"/>
      <c r="AA861" s="127"/>
      <c r="AB861" s="127"/>
      <c r="AC861" s="127"/>
      <c r="AD861" s="261"/>
      <c r="AE861" s="261"/>
      <c r="AF861" s="261"/>
      <c r="AG861" s="261"/>
    </row>
    <row r="862" ht="34.5" hidden="1" customHeight="1">
      <c r="A862" s="111"/>
      <c r="B862" s="127"/>
      <c r="C862" s="111"/>
      <c r="D862" s="111"/>
      <c r="E862" s="111"/>
      <c r="F862" s="111"/>
      <c r="G862" s="111"/>
      <c r="H862" s="111"/>
      <c r="I862" s="127"/>
      <c r="J862" s="111"/>
      <c r="K862" s="257"/>
      <c r="L862" s="111"/>
      <c r="M862" s="127"/>
      <c r="N862" s="270"/>
      <c r="O862" s="111"/>
      <c r="P862" s="111"/>
      <c r="Q862" s="128"/>
      <c r="R862" s="124"/>
      <c r="S862" s="125"/>
      <c r="T862" s="126"/>
      <c r="U862" s="126"/>
      <c r="V862" s="126"/>
      <c r="W862" s="126"/>
      <c r="X862" s="126"/>
      <c r="Y862" s="126"/>
      <c r="Z862" s="127"/>
      <c r="AA862" s="127"/>
      <c r="AB862" s="127"/>
      <c r="AC862" s="127"/>
      <c r="AD862" s="261"/>
      <c r="AE862" s="261"/>
      <c r="AF862" s="261"/>
      <c r="AG862" s="261"/>
    </row>
    <row r="863" ht="34.5" hidden="1" customHeight="1">
      <c r="A863" s="111"/>
      <c r="B863" s="127"/>
      <c r="C863" s="111"/>
      <c r="D863" s="111"/>
      <c r="E863" s="111"/>
      <c r="F863" s="111"/>
      <c r="G863" s="111"/>
      <c r="H863" s="111"/>
      <c r="I863" s="127"/>
      <c r="J863" s="111"/>
      <c r="K863" s="257"/>
      <c r="L863" s="111"/>
      <c r="M863" s="127"/>
      <c r="N863" s="270"/>
      <c r="O863" s="111"/>
      <c r="P863" s="111"/>
      <c r="Q863" s="128"/>
      <c r="R863" s="124"/>
      <c r="S863" s="125"/>
      <c r="T863" s="126"/>
      <c r="U863" s="126"/>
      <c r="V863" s="126"/>
      <c r="W863" s="126"/>
      <c r="X863" s="126"/>
      <c r="Y863" s="126"/>
      <c r="Z863" s="127"/>
      <c r="AA863" s="127"/>
      <c r="AB863" s="127"/>
      <c r="AC863" s="127"/>
      <c r="AD863" s="261"/>
      <c r="AE863" s="261"/>
      <c r="AF863" s="261"/>
      <c r="AG863" s="261"/>
    </row>
    <row r="864" ht="34.5" hidden="1" customHeight="1">
      <c r="A864" s="111"/>
      <c r="B864" s="127"/>
      <c r="C864" s="111"/>
      <c r="D864" s="111"/>
      <c r="E864" s="111"/>
      <c r="F864" s="111"/>
      <c r="G864" s="111"/>
      <c r="H864" s="111"/>
      <c r="I864" s="127"/>
      <c r="J864" s="111"/>
      <c r="K864" s="257"/>
      <c r="L864" s="111"/>
      <c r="M864" s="127"/>
      <c r="N864" s="270"/>
      <c r="O864" s="111"/>
      <c r="P864" s="111"/>
      <c r="Q864" s="128"/>
      <c r="R864" s="124"/>
      <c r="S864" s="125"/>
      <c r="T864" s="126"/>
      <c r="U864" s="126"/>
      <c r="V864" s="126"/>
      <c r="W864" s="126"/>
      <c r="X864" s="126"/>
      <c r="Y864" s="126"/>
      <c r="Z864" s="127"/>
      <c r="AA864" s="127"/>
      <c r="AB864" s="127"/>
      <c r="AC864" s="127"/>
      <c r="AD864" s="261"/>
      <c r="AE864" s="261"/>
      <c r="AF864" s="261"/>
      <c r="AG864" s="261"/>
    </row>
    <row r="865" ht="34.5" hidden="1" customHeight="1">
      <c r="A865" s="111"/>
      <c r="B865" s="127"/>
      <c r="C865" s="111"/>
      <c r="D865" s="111"/>
      <c r="E865" s="111"/>
      <c r="F865" s="111"/>
      <c r="G865" s="111"/>
      <c r="H865" s="111"/>
      <c r="I865" s="127"/>
      <c r="J865" s="111"/>
      <c r="K865" s="257"/>
      <c r="L865" s="111"/>
      <c r="M865" s="127"/>
      <c r="N865" s="270"/>
      <c r="O865" s="111"/>
      <c r="P865" s="111"/>
      <c r="Q865" s="128"/>
      <c r="R865" s="124"/>
      <c r="S865" s="125"/>
      <c r="T865" s="126"/>
      <c r="U865" s="126"/>
      <c r="V865" s="126"/>
      <c r="W865" s="126"/>
      <c r="X865" s="126"/>
      <c r="Y865" s="126"/>
      <c r="Z865" s="127"/>
      <c r="AA865" s="127"/>
      <c r="AB865" s="127"/>
      <c r="AC865" s="127"/>
      <c r="AD865" s="261"/>
      <c r="AE865" s="261"/>
      <c r="AF865" s="261"/>
      <c r="AG865" s="261"/>
    </row>
    <row r="866" ht="34.5" hidden="1" customHeight="1">
      <c r="A866" s="111"/>
      <c r="B866" s="127"/>
      <c r="C866" s="111"/>
      <c r="D866" s="111"/>
      <c r="E866" s="111"/>
      <c r="F866" s="111"/>
      <c r="G866" s="111"/>
      <c r="H866" s="111"/>
      <c r="I866" s="127"/>
      <c r="J866" s="111"/>
      <c r="K866" s="257"/>
      <c r="L866" s="111"/>
      <c r="M866" s="127"/>
      <c r="N866" s="270"/>
      <c r="O866" s="111"/>
      <c r="P866" s="111"/>
      <c r="Q866" s="128"/>
      <c r="R866" s="124"/>
      <c r="S866" s="125"/>
      <c r="T866" s="126"/>
      <c r="U866" s="126"/>
      <c r="V866" s="126"/>
      <c r="W866" s="126"/>
      <c r="X866" s="126"/>
      <c r="Y866" s="126"/>
      <c r="Z866" s="127"/>
      <c r="AA866" s="127"/>
      <c r="AB866" s="127"/>
      <c r="AC866" s="127"/>
      <c r="AD866" s="261"/>
      <c r="AE866" s="261"/>
      <c r="AF866" s="261"/>
      <c r="AG866" s="261"/>
    </row>
    <row r="867" ht="34.5" hidden="1" customHeight="1">
      <c r="A867" s="111"/>
      <c r="B867" s="127"/>
      <c r="C867" s="111"/>
      <c r="D867" s="111"/>
      <c r="E867" s="111"/>
      <c r="F867" s="111"/>
      <c r="G867" s="111"/>
      <c r="H867" s="111"/>
      <c r="I867" s="127"/>
      <c r="J867" s="111"/>
      <c r="K867" s="257"/>
      <c r="L867" s="111"/>
      <c r="M867" s="127"/>
      <c r="N867" s="270"/>
      <c r="O867" s="111"/>
      <c r="P867" s="111"/>
      <c r="Q867" s="128"/>
      <c r="R867" s="124"/>
      <c r="S867" s="125"/>
      <c r="T867" s="126"/>
      <c r="U867" s="126"/>
      <c r="V867" s="126"/>
      <c r="W867" s="126"/>
      <c r="X867" s="126"/>
      <c r="Y867" s="126"/>
      <c r="Z867" s="127"/>
      <c r="AA867" s="127"/>
      <c r="AB867" s="127"/>
      <c r="AC867" s="127"/>
      <c r="AD867" s="261"/>
      <c r="AE867" s="261"/>
      <c r="AF867" s="261"/>
      <c r="AG867" s="261"/>
    </row>
    <row r="868" ht="34.5" hidden="1" customHeight="1">
      <c r="A868" s="111"/>
      <c r="B868" s="127"/>
      <c r="C868" s="111"/>
      <c r="D868" s="111"/>
      <c r="E868" s="111"/>
      <c r="F868" s="111"/>
      <c r="G868" s="111"/>
      <c r="H868" s="111"/>
      <c r="I868" s="127"/>
      <c r="J868" s="111"/>
      <c r="K868" s="257"/>
      <c r="L868" s="111"/>
      <c r="M868" s="127"/>
      <c r="N868" s="270"/>
      <c r="O868" s="111"/>
      <c r="P868" s="111"/>
      <c r="Q868" s="128"/>
      <c r="R868" s="124"/>
      <c r="S868" s="125"/>
      <c r="T868" s="126"/>
      <c r="U868" s="126"/>
      <c r="V868" s="126"/>
      <c r="W868" s="126"/>
      <c r="X868" s="126"/>
      <c r="Y868" s="126"/>
      <c r="Z868" s="127"/>
      <c r="AA868" s="127"/>
      <c r="AB868" s="127"/>
      <c r="AC868" s="127"/>
      <c r="AD868" s="261"/>
      <c r="AE868" s="261"/>
      <c r="AF868" s="261"/>
      <c r="AG868" s="261"/>
    </row>
    <row r="869" ht="34.5" hidden="1" customHeight="1">
      <c r="A869" s="111"/>
      <c r="B869" s="127"/>
      <c r="C869" s="111"/>
      <c r="D869" s="111"/>
      <c r="E869" s="111"/>
      <c r="F869" s="111"/>
      <c r="G869" s="111"/>
      <c r="H869" s="111"/>
      <c r="I869" s="127"/>
      <c r="J869" s="111"/>
      <c r="K869" s="257"/>
      <c r="L869" s="111"/>
      <c r="M869" s="127"/>
      <c r="N869" s="270"/>
      <c r="O869" s="111"/>
      <c r="P869" s="111"/>
      <c r="Q869" s="128"/>
      <c r="R869" s="124"/>
      <c r="S869" s="125"/>
      <c r="T869" s="126"/>
      <c r="U869" s="126"/>
      <c r="V869" s="126"/>
      <c r="W869" s="126"/>
      <c r="X869" s="126"/>
      <c r="Y869" s="126"/>
      <c r="Z869" s="127"/>
      <c r="AA869" s="127"/>
      <c r="AB869" s="127"/>
      <c r="AC869" s="127"/>
      <c r="AD869" s="261"/>
      <c r="AE869" s="261"/>
      <c r="AF869" s="261"/>
      <c r="AG869" s="261"/>
    </row>
    <row r="870" ht="34.5" hidden="1" customHeight="1">
      <c r="A870" s="111"/>
      <c r="B870" s="127"/>
      <c r="C870" s="111"/>
      <c r="D870" s="111"/>
      <c r="E870" s="111"/>
      <c r="F870" s="111"/>
      <c r="G870" s="111"/>
      <c r="H870" s="111"/>
      <c r="I870" s="127"/>
      <c r="J870" s="111"/>
      <c r="K870" s="257"/>
      <c r="L870" s="111"/>
      <c r="M870" s="127"/>
      <c r="N870" s="270"/>
      <c r="O870" s="111"/>
      <c r="P870" s="111"/>
      <c r="Q870" s="128"/>
      <c r="R870" s="124"/>
      <c r="S870" s="125"/>
      <c r="T870" s="126"/>
      <c r="U870" s="126"/>
      <c r="V870" s="126"/>
      <c r="W870" s="126"/>
      <c r="X870" s="126"/>
      <c r="Y870" s="126"/>
      <c r="Z870" s="127"/>
      <c r="AA870" s="127"/>
      <c r="AB870" s="127"/>
      <c r="AC870" s="127"/>
      <c r="AD870" s="261"/>
      <c r="AE870" s="261"/>
      <c r="AF870" s="261"/>
      <c r="AG870" s="261"/>
    </row>
    <row r="871" ht="34.5" hidden="1" customHeight="1">
      <c r="A871" s="111"/>
      <c r="B871" s="127"/>
      <c r="C871" s="111"/>
      <c r="D871" s="111"/>
      <c r="E871" s="111"/>
      <c r="F871" s="111"/>
      <c r="G871" s="111"/>
      <c r="H871" s="111"/>
      <c r="I871" s="127"/>
      <c r="J871" s="111"/>
      <c r="K871" s="257"/>
      <c r="L871" s="111"/>
      <c r="M871" s="127"/>
      <c r="N871" s="270"/>
      <c r="O871" s="111"/>
      <c r="P871" s="111"/>
      <c r="Q871" s="128"/>
      <c r="R871" s="124"/>
      <c r="S871" s="125"/>
      <c r="T871" s="126"/>
      <c r="U871" s="126"/>
      <c r="V871" s="126"/>
      <c r="W871" s="126"/>
      <c r="X871" s="126"/>
      <c r="Y871" s="126"/>
      <c r="Z871" s="127"/>
      <c r="AA871" s="127"/>
      <c r="AB871" s="127"/>
      <c r="AC871" s="127"/>
      <c r="AD871" s="261"/>
      <c r="AE871" s="261"/>
      <c r="AF871" s="261"/>
      <c r="AG871" s="261"/>
    </row>
    <row r="872" ht="34.5" hidden="1" customHeight="1">
      <c r="A872" s="111"/>
      <c r="B872" s="127"/>
      <c r="C872" s="111"/>
      <c r="D872" s="111"/>
      <c r="E872" s="111"/>
      <c r="F872" s="111"/>
      <c r="G872" s="111"/>
      <c r="H872" s="111"/>
      <c r="I872" s="127"/>
      <c r="J872" s="111"/>
      <c r="K872" s="257"/>
      <c r="L872" s="111"/>
      <c r="M872" s="127"/>
      <c r="N872" s="270"/>
      <c r="O872" s="111"/>
      <c r="P872" s="111"/>
      <c r="Q872" s="128"/>
      <c r="R872" s="124"/>
      <c r="S872" s="125"/>
      <c r="T872" s="126"/>
      <c r="U872" s="126"/>
      <c r="V872" s="126"/>
      <c r="W872" s="126"/>
      <c r="X872" s="126"/>
      <c r="Y872" s="126"/>
      <c r="Z872" s="127"/>
      <c r="AA872" s="127"/>
      <c r="AB872" s="127"/>
      <c r="AC872" s="127"/>
      <c r="AD872" s="261"/>
      <c r="AE872" s="261"/>
      <c r="AF872" s="261"/>
      <c r="AG872" s="261"/>
    </row>
    <row r="873" ht="34.5" hidden="1" customHeight="1">
      <c r="A873" s="111"/>
      <c r="B873" s="127"/>
      <c r="C873" s="111"/>
      <c r="D873" s="111"/>
      <c r="E873" s="111"/>
      <c r="F873" s="111"/>
      <c r="G873" s="111"/>
      <c r="H873" s="111"/>
      <c r="I873" s="127"/>
      <c r="J873" s="111"/>
      <c r="K873" s="257"/>
      <c r="L873" s="111"/>
      <c r="M873" s="127"/>
      <c r="N873" s="270"/>
      <c r="O873" s="111"/>
      <c r="P873" s="111"/>
      <c r="Q873" s="128"/>
      <c r="R873" s="124"/>
      <c r="S873" s="125"/>
      <c r="T873" s="126"/>
      <c r="U873" s="126"/>
      <c r="V873" s="126"/>
      <c r="W873" s="126"/>
      <c r="X873" s="126"/>
      <c r="Y873" s="126"/>
      <c r="Z873" s="127"/>
      <c r="AA873" s="127"/>
      <c r="AB873" s="127"/>
      <c r="AC873" s="127"/>
      <c r="AD873" s="261"/>
      <c r="AE873" s="261"/>
      <c r="AF873" s="261"/>
      <c r="AG873" s="261"/>
    </row>
    <row r="874" ht="34.5" hidden="1" customHeight="1">
      <c r="A874" s="111"/>
      <c r="B874" s="127"/>
      <c r="C874" s="111"/>
      <c r="D874" s="111"/>
      <c r="E874" s="111"/>
      <c r="F874" s="111"/>
      <c r="G874" s="111"/>
      <c r="H874" s="111"/>
      <c r="I874" s="127"/>
      <c r="J874" s="111"/>
      <c r="K874" s="257"/>
      <c r="L874" s="111"/>
      <c r="M874" s="127"/>
      <c r="N874" s="270"/>
      <c r="O874" s="111"/>
      <c r="P874" s="111"/>
      <c r="Q874" s="128"/>
      <c r="R874" s="124"/>
      <c r="S874" s="125"/>
      <c r="T874" s="126"/>
      <c r="U874" s="126"/>
      <c r="V874" s="126"/>
      <c r="W874" s="126"/>
      <c r="X874" s="126"/>
      <c r="Y874" s="126"/>
      <c r="Z874" s="127"/>
      <c r="AA874" s="127"/>
      <c r="AB874" s="127"/>
      <c r="AC874" s="127"/>
      <c r="AD874" s="261"/>
      <c r="AE874" s="261"/>
      <c r="AF874" s="261"/>
      <c r="AG874" s="261"/>
    </row>
    <row r="875" ht="34.5" hidden="1" customHeight="1">
      <c r="A875" s="111"/>
      <c r="B875" s="127"/>
      <c r="C875" s="111"/>
      <c r="D875" s="111"/>
      <c r="E875" s="111"/>
      <c r="F875" s="111"/>
      <c r="G875" s="111"/>
      <c r="H875" s="111"/>
      <c r="I875" s="127"/>
      <c r="J875" s="111"/>
      <c r="K875" s="257"/>
      <c r="L875" s="111"/>
      <c r="M875" s="127"/>
      <c r="N875" s="270"/>
      <c r="O875" s="111"/>
      <c r="P875" s="111"/>
      <c r="Q875" s="128"/>
      <c r="R875" s="124"/>
      <c r="S875" s="125"/>
      <c r="T875" s="126"/>
      <c r="U875" s="126"/>
      <c r="V875" s="126"/>
      <c r="W875" s="126"/>
      <c r="X875" s="126"/>
      <c r="Y875" s="126"/>
      <c r="Z875" s="127"/>
      <c r="AA875" s="127"/>
      <c r="AB875" s="127"/>
      <c r="AC875" s="127"/>
      <c r="AD875" s="261"/>
      <c r="AE875" s="261"/>
      <c r="AF875" s="261"/>
      <c r="AG875" s="261"/>
    </row>
    <row r="876" ht="34.5" hidden="1" customHeight="1">
      <c r="A876" s="111"/>
      <c r="B876" s="127"/>
      <c r="C876" s="111"/>
      <c r="D876" s="111"/>
      <c r="E876" s="111"/>
      <c r="F876" s="111"/>
      <c r="G876" s="111"/>
      <c r="H876" s="111"/>
      <c r="I876" s="127"/>
      <c r="J876" s="111"/>
      <c r="K876" s="257"/>
      <c r="L876" s="111"/>
      <c r="M876" s="127"/>
      <c r="N876" s="270"/>
      <c r="O876" s="111"/>
      <c r="P876" s="111"/>
      <c r="Q876" s="128"/>
      <c r="R876" s="124"/>
      <c r="S876" s="125"/>
      <c r="T876" s="126"/>
      <c r="U876" s="126"/>
      <c r="V876" s="126"/>
      <c r="W876" s="126"/>
      <c r="X876" s="126"/>
      <c r="Y876" s="126"/>
      <c r="Z876" s="127"/>
      <c r="AA876" s="127"/>
      <c r="AB876" s="127"/>
      <c r="AC876" s="127"/>
      <c r="AD876" s="261"/>
      <c r="AE876" s="261"/>
      <c r="AF876" s="261"/>
      <c r="AG876" s="261"/>
    </row>
    <row r="877" ht="34.5" hidden="1" customHeight="1">
      <c r="A877" s="111"/>
      <c r="B877" s="127"/>
      <c r="C877" s="111"/>
      <c r="D877" s="111"/>
      <c r="E877" s="111"/>
      <c r="F877" s="111"/>
      <c r="G877" s="111"/>
      <c r="H877" s="111"/>
      <c r="I877" s="127"/>
      <c r="J877" s="111"/>
      <c r="K877" s="257"/>
      <c r="L877" s="111"/>
      <c r="M877" s="127"/>
      <c r="N877" s="270"/>
      <c r="O877" s="111"/>
      <c r="P877" s="111"/>
      <c r="Q877" s="128"/>
      <c r="R877" s="124"/>
      <c r="S877" s="125"/>
      <c r="T877" s="126"/>
      <c r="U877" s="126"/>
      <c r="V877" s="126"/>
      <c r="W877" s="126"/>
      <c r="X877" s="126"/>
      <c r="Y877" s="126"/>
      <c r="Z877" s="127"/>
      <c r="AA877" s="127"/>
      <c r="AB877" s="127"/>
      <c r="AC877" s="127"/>
      <c r="AD877" s="261"/>
      <c r="AE877" s="261"/>
      <c r="AF877" s="261"/>
      <c r="AG877" s="261"/>
    </row>
    <row r="878" ht="34.5" hidden="1" customHeight="1">
      <c r="A878" s="111"/>
      <c r="B878" s="127"/>
      <c r="C878" s="111"/>
      <c r="D878" s="111"/>
      <c r="E878" s="111"/>
      <c r="F878" s="111"/>
      <c r="G878" s="111"/>
      <c r="H878" s="111"/>
      <c r="I878" s="127"/>
      <c r="J878" s="111"/>
      <c r="K878" s="257"/>
      <c r="L878" s="111"/>
      <c r="M878" s="127"/>
      <c r="N878" s="270"/>
      <c r="O878" s="111"/>
      <c r="P878" s="111"/>
      <c r="Q878" s="128"/>
      <c r="R878" s="124"/>
      <c r="S878" s="125"/>
      <c r="T878" s="126"/>
      <c r="U878" s="126"/>
      <c r="V878" s="126"/>
      <c r="W878" s="126"/>
      <c r="X878" s="126"/>
      <c r="Y878" s="126"/>
      <c r="Z878" s="127"/>
      <c r="AA878" s="127"/>
      <c r="AB878" s="127"/>
      <c r="AC878" s="127"/>
      <c r="AD878" s="261"/>
      <c r="AE878" s="261"/>
      <c r="AF878" s="261"/>
      <c r="AG878" s="261"/>
    </row>
    <row r="879" ht="34.5" hidden="1" customHeight="1">
      <c r="A879" s="111"/>
      <c r="B879" s="127"/>
      <c r="C879" s="111"/>
      <c r="D879" s="111"/>
      <c r="E879" s="111"/>
      <c r="F879" s="111"/>
      <c r="G879" s="111"/>
      <c r="H879" s="111"/>
      <c r="I879" s="127"/>
      <c r="J879" s="111"/>
      <c r="K879" s="257"/>
      <c r="L879" s="111"/>
      <c r="M879" s="127"/>
      <c r="N879" s="270"/>
      <c r="O879" s="111"/>
      <c r="P879" s="111"/>
      <c r="Q879" s="128"/>
      <c r="R879" s="124"/>
      <c r="S879" s="125"/>
      <c r="T879" s="126"/>
      <c r="U879" s="126"/>
      <c r="V879" s="126"/>
      <c r="W879" s="126"/>
      <c r="X879" s="126"/>
      <c r="Y879" s="126"/>
      <c r="Z879" s="127"/>
      <c r="AA879" s="127"/>
      <c r="AB879" s="127"/>
      <c r="AC879" s="127"/>
      <c r="AD879" s="261"/>
      <c r="AE879" s="261"/>
      <c r="AF879" s="261"/>
      <c r="AG879" s="261"/>
    </row>
    <row r="880" ht="34.5" hidden="1" customHeight="1">
      <c r="A880" s="111"/>
      <c r="B880" s="127"/>
      <c r="C880" s="111"/>
      <c r="D880" s="111"/>
      <c r="E880" s="111"/>
      <c r="F880" s="111"/>
      <c r="G880" s="111"/>
      <c r="H880" s="111"/>
      <c r="I880" s="127"/>
      <c r="J880" s="111"/>
      <c r="K880" s="257"/>
      <c r="L880" s="111"/>
      <c r="M880" s="127"/>
      <c r="N880" s="270"/>
      <c r="O880" s="111"/>
      <c r="P880" s="111"/>
      <c r="Q880" s="128"/>
      <c r="R880" s="124"/>
      <c r="S880" s="125"/>
      <c r="T880" s="126"/>
      <c r="U880" s="126"/>
      <c r="V880" s="126"/>
      <c r="W880" s="126"/>
      <c r="X880" s="126"/>
      <c r="Y880" s="126"/>
      <c r="Z880" s="127"/>
      <c r="AA880" s="127"/>
      <c r="AB880" s="127"/>
      <c r="AC880" s="127"/>
      <c r="AD880" s="261"/>
      <c r="AE880" s="261"/>
      <c r="AF880" s="261"/>
      <c r="AG880" s="261"/>
    </row>
    <row r="881" ht="34.5" hidden="1" customHeight="1">
      <c r="A881" s="111"/>
      <c r="B881" s="127"/>
      <c r="C881" s="111"/>
      <c r="D881" s="111"/>
      <c r="E881" s="111"/>
      <c r="F881" s="111"/>
      <c r="G881" s="111"/>
      <c r="H881" s="111"/>
      <c r="I881" s="127"/>
      <c r="J881" s="111"/>
      <c r="K881" s="257"/>
      <c r="L881" s="111"/>
      <c r="M881" s="127"/>
      <c r="N881" s="270"/>
      <c r="O881" s="111"/>
      <c r="P881" s="111"/>
      <c r="Q881" s="128"/>
      <c r="R881" s="124"/>
      <c r="S881" s="125"/>
      <c r="T881" s="126"/>
      <c r="U881" s="126"/>
      <c r="V881" s="126"/>
      <c r="W881" s="126"/>
      <c r="X881" s="126"/>
      <c r="Y881" s="126"/>
      <c r="Z881" s="127"/>
      <c r="AA881" s="127"/>
      <c r="AB881" s="127"/>
      <c r="AC881" s="127"/>
      <c r="AD881" s="261"/>
      <c r="AE881" s="261"/>
      <c r="AF881" s="261"/>
      <c r="AG881" s="261"/>
    </row>
    <row r="882" ht="34.5" hidden="1" customHeight="1">
      <c r="A882" s="111"/>
      <c r="B882" s="127"/>
      <c r="C882" s="111"/>
      <c r="D882" s="111"/>
      <c r="E882" s="111"/>
      <c r="F882" s="111"/>
      <c r="G882" s="111"/>
      <c r="H882" s="111"/>
      <c r="I882" s="127"/>
      <c r="J882" s="111"/>
      <c r="K882" s="257"/>
      <c r="L882" s="111"/>
      <c r="M882" s="127"/>
      <c r="N882" s="270"/>
      <c r="O882" s="111"/>
      <c r="P882" s="111"/>
      <c r="Q882" s="128"/>
      <c r="R882" s="124"/>
      <c r="S882" s="125"/>
      <c r="T882" s="126"/>
      <c r="U882" s="126"/>
      <c r="V882" s="126"/>
      <c r="W882" s="126"/>
      <c r="X882" s="126"/>
      <c r="Y882" s="126"/>
      <c r="Z882" s="127"/>
      <c r="AA882" s="127"/>
      <c r="AB882" s="127"/>
      <c r="AC882" s="127"/>
      <c r="AD882" s="261"/>
      <c r="AE882" s="261"/>
      <c r="AF882" s="261"/>
      <c r="AG882" s="261"/>
    </row>
    <row r="883" ht="34.5" hidden="1" customHeight="1">
      <c r="A883" s="111"/>
      <c r="B883" s="127"/>
      <c r="C883" s="111"/>
      <c r="D883" s="111"/>
      <c r="E883" s="111"/>
      <c r="F883" s="111"/>
      <c r="G883" s="111"/>
      <c r="H883" s="111"/>
      <c r="I883" s="127"/>
      <c r="J883" s="111"/>
      <c r="K883" s="257"/>
      <c r="L883" s="111"/>
      <c r="M883" s="127"/>
      <c r="N883" s="270"/>
      <c r="O883" s="111"/>
      <c r="P883" s="111"/>
      <c r="Q883" s="128"/>
      <c r="R883" s="124"/>
      <c r="S883" s="125"/>
      <c r="T883" s="126"/>
      <c r="U883" s="126"/>
      <c r="V883" s="126"/>
      <c r="W883" s="126"/>
      <c r="X883" s="126"/>
      <c r="Y883" s="126"/>
      <c r="Z883" s="127"/>
      <c r="AA883" s="127"/>
      <c r="AB883" s="127"/>
      <c r="AC883" s="127"/>
      <c r="AD883" s="261"/>
      <c r="AE883" s="261"/>
      <c r="AF883" s="261"/>
      <c r="AG883" s="261"/>
    </row>
    <row r="884" ht="34.5" hidden="1" customHeight="1">
      <c r="A884" s="111"/>
      <c r="B884" s="127"/>
      <c r="C884" s="111"/>
      <c r="D884" s="111"/>
      <c r="E884" s="111"/>
      <c r="F884" s="111"/>
      <c r="G884" s="111"/>
      <c r="H884" s="111"/>
      <c r="I884" s="127"/>
      <c r="J884" s="111"/>
      <c r="K884" s="257"/>
      <c r="L884" s="111"/>
      <c r="M884" s="127"/>
      <c r="N884" s="270"/>
      <c r="O884" s="111"/>
      <c r="P884" s="111"/>
      <c r="Q884" s="128"/>
      <c r="R884" s="124"/>
      <c r="S884" s="125"/>
      <c r="T884" s="126"/>
      <c r="U884" s="126"/>
      <c r="V884" s="126"/>
      <c r="W884" s="126"/>
      <c r="X884" s="126"/>
      <c r="Y884" s="126"/>
      <c r="Z884" s="127"/>
      <c r="AA884" s="127"/>
      <c r="AB884" s="127"/>
      <c r="AC884" s="127"/>
      <c r="AD884" s="261"/>
      <c r="AE884" s="261"/>
      <c r="AF884" s="261"/>
      <c r="AG884" s="261"/>
    </row>
    <row r="885" ht="34.5" hidden="1" customHeight="1">
      <c r="A885" s="111"/>
      <c r="B885" s="127"/>
      <c r="C885" s="111"/>
      <c r="D885" s="111"/>
      <c r="E885" s="111"/>
      <c r="F885" s="111"/>
      <c r="G885" s="111"/>
      <c r="H885" s="111"/>
      <c r="I885" s="127"/>
      <c r="J885" s="111"/>
      <c r="K885" s="257"/>
      <c r="L885" s="111"/>
      <c r="M885" s="127"/>
      <c r="N885" s="270"/>
      <c r="O885" s="111"/>
      <c r="P885" s="111"/>
      <c r="Q885" s="128"/>
      <c r="R885" s="124"/>
      <c r="S885" s="125"/>
      <c r="T885" s="126"/>
      <c r="U885" s="126"/>
      <c r="V885" s="126"/>
      <c r="W885" s="126"/>
      <c r="X885" s="126"/>
      <c r="Y885" s="126"/>
      <c r="Z885" s="127"/>
      <c r="AA885" s="127"/>
      <c r="AB885" s="127"/>
      <c r="AC885" s="127"/>
      <c r="AD885" s="261"/>
      <c r="AE885" s="261"/>
      <c r="AF885" s="261"/>
      <c r="AG885" s="261"/>
    </row>
    <row r="886" ht="34.5" hidden="1" customHeight="1">
      <c r="A886" s="111"/>
      <c r="B886" s="127"/>
      <c r="C886" s="111"/>
      <c r="D886" s="111"/>
      <c r="E886" s="111"/>
      <c r="F886" s="111"/>
      <c r="G886" s="111"/>
      <c r="H886" s="111"/>
      <c r="I886" s="127"/>
      <c r="J886" s="111"/>
      <c r="K886" s="257"/>
      <c r="L886" s="111"/>
      <c r="M886" s="127"/>
      <c r="N886" s="270"/>
      <c r="O886" s="111"/>
      <c r="P886" s="111"/>
      <c r="Q886" s="128"/>
      <c r="R886" s="124"/>
      <c r="S886" s="125"/>
      <c r="T886" s="126"/>
      <c r="U886" s="126"/>
      <c r="V886" s="126"/>
      <c r="W886" s="126"/>
      <c r="X886" s="126"/>
      <c r="Y886" s="126"/>
      <c r="Z886" s="127"/>
      <c r="AA886" s="127"/>
      <c r="AB886" s="127"/>
      <c r="AC886" s="127"/>
      <c r="AD886" s="261"/>
      <c r="AE886" s="261"/>
      <c r="AF886" s="261"/>
      <c r="AG886" s="261"/>
    </row>
    <row r="887" ht="34.5" hidden="1" customHeight="1">
      <c r="A887" s="111"/>
      <c r="B887" s="127"/>
      <c r="C887" s="111"/>
      <c r="D887" s="111"/>
      <c r="E887" s="111"/>
      <c r="F887" s="111"/>
      <c r="G887" s="111"/>
      <c r="H887" s="111"/>
      <c r="I887" s="127"/>
      <c r="J887" s="111"/>
      <c r="K887" s="257"/>
      <c r="L887" s="111"/>
      <c r="M887" s="127"/>
      <c r="N887" s="270"/>
      <c r="O887" s="111"/>
      <c r="P887" s="111"/>
      <c r="Q887" s="128"/>
      <c r="R887" s="124"/>
      <c r="S887" s="125"/>
      <c r="T887" s="126"/>
      <c r="U887" s="126"/>
      <c r="V887" s="126"/>
      <c r="W887" s="126"/>
      <c r="X887" s="126"/>
      <c r="Y887" s="126"/>
      <c r="Z887" s="127"/>
      <c r="AA887" s="127"/>
      <c r="AB887" s="127"/>
      <c r="AC887" s="127"/>
      <c r="AD887" s="261"/>
      <c r="AE887" s="261"/>
      <c r="AF887" s="261"/>
      <c r="AG887" s="261"/>
    </row>
    <row r="888" ht="34.5" hidden="1" customHeight="1">
      <c r="A888" s="111"/>
      <c r="B888" s="127"/>
      <c r="C888" s="111"/>
      <c r="D888" s="111"/>
      <c r="E888" s="111"/>
      <c r="F888" s="111"/>
      <c r="G888" s="111"/>
      <c r="H888" s="111"/>
      <c r="I888" s="127"/>
      <c r="J888" s="111"/>
      <c r="K888" s="257"/>
      <c r="L888" s="111"/>
      <c r="M888" s="127"/>
      <c r="N888" s="270"/>
      <c r="O888" s="111"/>
      <c r="P888" s="111"/>
      <c r="Q888" s="128"/>
      <c r="R888" s="124"/>
      <c r="S888" s="125"/>
      <c r="T888" s="126"/>
      <c r="U888" s="126"/>
      <c r="V888" s="126"/>
      <c r="W888" s="126"/>
      <c r="X888" s="126"/>
      <c r="Y888" s="126"/>
      <c r="Z888" s="127"/>
      <c r="AA888" s="127"/>
      <c r="AB888" s="127"/>
      <c r="AC888" s="127"/>
      <c r="AD888" s="261"/>
      <c r="AE888" s="261"/>
      <c r="AF888" s="261"/>
      <c r="AG888" s="261"/>
    </row>
    <row r="889" ht="34.5" hidden="1" customHeight="1">
      <c r="A889" s="111"/>
      <c r="B889" s="127"/>
      <c r="C889" s="111"/>
      <c r="D889" s="111"/>
      <c r="E889" s="111"/>
      <c r="F889" s="111"/>
      <c r="G889" s="111"/>
      <c r="H889" s="111"/>
      <c r="I889" s="127"/>
      <c r="J889" s="111"/>
      <c r="K889" s="257"/>
      <c r="L889" s="111"/>
      <c r="M889" s="127"/>
      <c r="N889" s="270"/>
      <c r="O889" s="111"/>
      <c r="P889" s="111"/>
      <c r="Q889" s="128"/>
      <c r="R889" s="124"/>
      <c r="S889" s="125"/>
      <c r="T889" s="126"/>
      <c r="U889" s="126"/>
      <c r="V889" s="126"/>
      <c r="W889" s="126"/>
      <c r="X889" s="126"/>
      <c r="Y889" s="126"/>
      <c r="Z889" s="127"/>
      <c r="AA889" s="127"/>
      <c r="AB889" s="127"/>
      <c r="AC889" s="127"/>
      <c r="AD889" s="261"/>
      <c r="AE889" s="261"/>
      <c r="AF889" s="261"/>
      <c r="AG889" s="261"/>
    </row>
    <row r="890" ht="34.5" hidden="1" customHeight="1">
      <c r="A890" s="111"/>
      <c r="B890" s="127"/>
      <c r="C890" s="111"/>
      <c r="D890" s="111"/>
      <c r="E890" s="111"/>
      <c r="F890" s="111"/>
      <c r="G890" s="111"/>
      <c r="H890" s="111"/>
      <c r="I890" s="127"/>
      <c r="J890" s="111"/>
      <c r="K890" s="257"/>
      <c r="L890" s="111"/>
      <c r="M890" s="127"/>
      <c r="N890" s="270"/>
      <c r="O890" s="111"/>
      <c r="P890" s="111"/>
      <c r="Q890" s="128"/>
      <c r="R890" s="124"/>
      <c r="S890" s="125"/>
      <c r="T890" s="126"/>
      <c r="U890" s="126"/>
      <c r="V890" s="126"/>
      <c r="W890" s="126"/>
      <c r="X890" s="126"/>
      <c r="Y890" s="126"/>
      <c r="Z890" s="127"/>
      <c r="AA890" s="127"/>
      <c r="AB890" s="127"/>
      <c r="AC890" s="127"/>
      <c r="AD890" s="261"/>
      <c r="AE890" s="261"/>
      <c r="AF890" s="261"/>
      <c r="AG890" s="261"/>
    </row>
    <row r="891" ht="34.5" hidden="1" customHeight="1">
      <c r="A891" s="111"/>
      <c r="B891" s="127"/>
      <c r="C891" s="111"/>
      <c r="D891" s="111"/>
      <c r="E891" s="111"/>
      <c r="F891" s="111"/>
      <c r="G891" s="111"/>
      <c r="H891" s="111"/>
      <c r="I891" s="127"/>
      <c r="J891" s="111"/>
      <c r="K891" s="257"/>
      <c r="L891" s="111"/>
      <c r="M891" s="127"/>
      <c r="N891" s="270"/>
      <c r="O891" s="111"/>
      <c r="P891" s="111"/>
      <c r="Q891" s="128"/>
      <c r="R891" s="124"/>
      <c r="S891" s="125"/>
      <c r="T891" s="126"/>
      <c r="U891" s="126"/>
      <c r="V891" s="126"/>
      <c r="W891" s="126"/>
      <c r="X891" s="126"/>
      <c r="Y891" s="126"/>
      <c r="Z891" s="127"/>
      <c r="AA891" s="127"/>
      <c r="AB891" s="127"/>
      <c r="AC891" s="127"/>
      <c r="AD891" s="261"/>
      <c r="AE891" s="261"/>
      <c r="AF891" s="261"/>
      <c r="AG891" s="261"/>
    </row>
    <row r="892" ht="34.5" hidden="1" customHeight="1">
      <c r="A892" s="111"/>
      <c r="B892" s="127"/>
      <c r="C892" s="111"/>
      <c r="D892" s="111"/>
      <c r="E892" s="111"/>
      <c r="F892" s="111"/>
      <c r="G892" s="111"/>
      <c r="H892" s="111"/>
      <c r="I892" s="127"/>
      <c r="J892" s="111"/>
      <c r="K892" s="257"/>
      <c r="L892" s="111"/>
      <c r="M892" s="127"/>
      <c r="N892" s="270"/>
      <c r="O892" s="111"/>
      <c r="P892" s="111"/>
      <c r="Q892" s="128"/>
      <c r="R892" s="124"/>
      <c r="S892" s="125"/>
      <c r="T892" s="126"/>
      <c r="U892" s="126"/>
      <c r="V892" s="126"/>
      <c r="W892" s="126"/>
      <c r="X892" s="126"/>
      <c r="Y892" s="126"/>
      <c r="Z892" s="127"/>
      <c r="AA892" s="127"/>
      <c r="AB892" s="127"/>
      <c r="AC892" s="127"/>
      <c r="AD892" s="261"/>
      <c r="AE892" s="261"/>
      <c r="AF892" s="261"/>
      <c r="AG892" s="261"/>
    </row>
    <row r="893" ht="34.5" hidden="1" customHeight="1">
      <c r="A893" s="111"/>
      <c r="B893" s="127"/>
      <c r="C893" s="111"/>
      <c r="D893" s="111"/>
      <c r="E893" s="111"/>
      <c r="F893" s="111"/>
      <c r="G893" s="111"/>
      <c r="H893" s="111"/>
      <c r="I893" s="127"/>
      <c r="J893" s="111"/>
      <c r="K893" s="257"/>
      <c r="L893" s="111"/>
      <c r="M893" s="127"/>
      <c r="N893" s="270"/>
      <c r="O893" s="111"/>
      <c r="P893" s="111"/>
      <c r="Q893" s="128"/>
      <c r="R893" s="124"/>
      <c r="S893" s="125"/>
      <c r="T893" s="126"/>
      <c r="U893" s="126"/>
      <c r="V893" s="126"/>
      <c r="W893" s="126"/>
      <c r="X893" s="126"/>
      <c r="Y893" s="126"/>
      <c r="Z893" s="127"/>
      <c r="AA893" s="127"/>
      <c r="AB893" s="127"/>
      <c r="AC893" s="127"/>
      <c r="AD893" s="261"/>
      <c r="AE893" s="261"/>
      <c r="AF893" s="261"/>
      <c r="AG893" s="261"/>
    </row>
    <row r="894" ht="34.5" hidden="1" customHeight="1">
      <c r="A894" s="111"/>
      <c r="B894" s="127"/>
      <c r="C894" s="111"/>
      <c r="D894" s="111"/>
      <c r="E894" s="111"/>
      <c r="F894" s="111"/>
      <c r="G894" s="111"/>
      <c r="H894" s="111"/>
      <c r="I894" s="127"/>
      <c r="J894" s="111"/>
      <c r="K894" s="257"/>
      <c r="L894" s="111"/>
      <c r="M894" s="127"/>
      <c r="N894" s="270"/>
      <c r="O894" s="111"/>
      <c r="P894" s="111"/>
      <c r="Q894" s="128"/>
      <c r="R894" s="124"/>
      <c r="S894" s="125"/>
      <c r="T894" s="126"/>
      <c r="U894" s="126"/>
      <c r="V894" s="126"/>
      <c r="W894" s="126"/>
      <c r="X894" s="126"/>
      <c r="Y894" s="126"/>
      <c r="Z894" s="127"/>
      <c r="AA894" s="127"/>
      <c r="AB894" s="127"/>
      <c r="AC894" s="127"/>
      <c r="AD894" s="261"/>
      <c r="AE894" s="261"/>
      <c r="AF894" s="261"/>
      <c r="AG894" s="261"/>
    </row>
    <row r="895" ht="34.5" hidden="1" customHeight="1">
      <c r="A895" s="111"/>
      <c r="B895" s="127"/>
      <c r="C895" s="111"/>
      <c r="D895" s="111"/>
      <c r="E895" s="111"/>
      <c r="F895" s="111"/>
      <c r="G895" s="111"/>
      <c r="H895" s="111"/>
      <c r="I895" s="127"/>
      <c r="J895" s="111"/>
      <c r="K895" s="257"/>
      <c r="L895" s="111"/>
      <c r="M895" s="127"/>
      <c r="N895" s="270"/>
      <c r="O895" s="111"/>
      <c r="P895" s="111"/>
      <c r="Q895" s="128"/>
      <c r="R895" s="124"/>
      <c r="S895" s="125"/>
      <c r="T895" s="126"/>
      <c r="U895" s="126"/>
      <c r="V895" s="126"/>
      <c r="W895" s="126"/>
      <c r="X895" s="126"/>
      <c r="Y895" s="126"/>
      <c r="Z895" s="127"/>
      <c r="AA895" s="127"/>
      <c r="AB895" s="127"/>
      <c r="AC895" s="127"/>
      <c r="AD895" s="261"/>
      <c r="AE895" s="261"/>
      <c r="AF895" s="261"/>
      <c r="AG895" s="261"/>
    </row>
    <row r="896" ht="34.5" hidden="1" customHeight="1">
      <c r="A896" s="111"/>
      <c r="B896" s="127"/>
      <c r="C896" s="111"/>
      <c r="D896" s="111"/>
      <c r="E896" s="111"/>
      <c r="F896" s="111"/>
      <c r="G896" s="111"/>
      <c r="H896" s="111"/>
      <c r="I896" s="127"/>
      <c r="J896" s="111"/>
      <c r="K896" s="257"/>
      <c r="L896" s="111"/>
      <c r="M896" s="127"/>
      <c r="N896" s="270"/>
      <c r="O896" s="111"/>
      <c r="P896" s="111"/>
      <c r="Q896" s="128"/>
      <c r="R896" s="124"/>
      <c r="S896" s="125"/>
      <c r="T896" s="126"/>
      <c r="U896" s="126"/>
      <c r="V896" s="126"/>
      <c r="W896" s="126"/>
      <c r="X896" s="126"/>
      <c r="Y896" s="126"/>
      <c r="Z896" s="127"/>
      <c r="AA896" s="127"/>
      <c r="AB896" s="127"/>
      <c r="AC896" s="127"/>
      <c r="AD896" s="261"/>
      <c r="AE896" s="261"/>
      <c r="AF896" s="261"/>
      <c r="AG896" s="261"/>
    </row>
    <row r="897" ht="34.5" hidden="1" customHeight="1">
      <c r="A897" s="111"/>
      <c r="B897" s="127"/>
      <c r="C897" s="111"/>
      <c r="D897" s="111"/>
      <c r="E897" s="111"/>
      <c r="F897" s="111"/>
      <c r="G897" s="111"/>
      <c r="H897" s="111"/>
      <c r="I897" s="127"/>
      <c r="J897" s="111"/>
      <c r="K897" s="257"/>
      <c r="L897" s="111"/>
      <c r="M897" s="127"/>
      <c r="N897" s="270"/>
      <c r="O897" s="111"/>
      <c r="P897" s="111"/>
      <c r="Q897" s="128"/>
      <c r="R897" s="124"/>
      <c r="S897" s="125"/>
      <c r="T897" s="126"/>
      <c r="U897" s="126"/>
      <c r="V897" s="126"/>
      <c r="W897" s="126"/>
      <c r="X897" s="126"/>
      <c r="Y897" s="126"/>
      <c r="Z897" s="127"/>
      <c r="AA897" s="127"/>
      <c r="AB897" s="127"/>
      <c r="AC897" s="127"/>
      <c r="AD897" s="261"/>
      <c r="AE897" s="261"/>
      <c r="AF897" s="261"/>
      <c r="AG897" s="261"/>
    </row>
    <row r="898" ht="34.5" hidden="1" customHeight="1">
      <c r="A898" s="111"/>
      <c r="B898" s="127"/>
      <c r="C898" s="111"/>
      <c r="D898" s="111"/>
      <c r="E898" s="111"/>
      <c r="F898" s="111"/>
      <c r="G898" s="111"/>
      <c r="H898" s="111"/>
      <c r="I898" s="127"/>
      <c r="J898" s="111"/>
      <c r="K898" s="257"/>
      <c r="L898" s="111"/>
      <c r="M898" s="127"/>
      <c r="N898" s="270"/>
      <c r="O898" s="111"/>
      <c r="P898" s="111"/>
      <c r="Q898" s="128"/>
      <c r="R898" s="124"/>
      <c r="S898" s="125"/>
      <c r="T898" s="126"/>
      <c r="U898" s="126"/>
      <c r="V898" s="126"/>
      <c r="W898" s="126"/>
      <c r="X898" s="126"/>
      <c r="Y898" s="126"/>
      <c r="Z898" s="127"/>
      <c r="AA898" s="127"/>
      <c r="AB898" s="127"/>
      <c r="AC898" s="127"/>
      <c r="AD898" s="261"/>
      <c r="AE898" s="261"/>
      <c r="AF898" s="261"/>
      <c r="AG898" s="261"/>
    </row>
    <row r="899" ht="34.5" hidden="1" customHeight="1">
      <c r="A899" s="111"/>
      <c r="B899" s="127"/>
      <c r="C899" s="111"/>
      <c r="D899" s="111"/>
      <c r="E899" s="111"/>
      <c r="F899" s="111"/>
      <c r="G899" s="111"/>
      <c r="H899" s="111"/>
      <c r="I899" s="127"/>
      <c r="J899" s="111"/>
      <c r="K899" s="257"/>
      <c r="L899" s="111"/>
      <c r="M899" s="127"/>
      <c r="N899" s="270"/>
      <c r="O899" s="111"/>
      <c r="P899" s="111"/>
      <c r="Q899" s="128"/>
      <c r="R899" s="124"/>
      <c r="S899" s="125"/>
      <c r="T899" s="126"/>
      <c r="U899" s="126"/>
      <c r="V899" s="126"/>
      <c r="W899" s="126"/>
      <c r="X899" s="126"/>
      <c r="Y899" s="126"/>
      <c r="Z899" s="127"/>
      <c r="AA899" s="127"/>
      <c r="AB899" s="127"/>
      <c r="AC899" s="127"/>
      <c r="AD899" s="261"/>
      <c r="AE899" s="261"/>
      <c r="AF899" s="261"/>
      <c r="AG899" s="261"/>
    </row>
    <row r="900" ht="34.5" hidden="1" customHeight="1">
      <c r="A900" s="111"/>
      <c r="B900" s="127"/>
      <c r="C900" s="111"/>
      <c r="D900" s="111"/>
      <c r="E900" s="111"/>
      <c r="F900" s="111"/>
      <c r="G900" s="111"/>
      <c r="H900" s="111"/>
      <c r="I900" s="127"/>
      <c r="J900" s="111"/>
      <c r="K900" s="257"/>
      <c r="L900" s="111"/>
      <c r="M900" s="127"/>
      <c r="N900" s="270"/>
      <c r="O900" s="111"/>
      <c r="P900" s="111"/>
      <c r="Q900" s="128"/>
      <c r="R900" s="124"/>
      <c r="S900" s="125"/>
      <c r="T900" s="126"/>
      <c r="U900" s="126"/>
      <c r="V900" s="126"/>
      <c r="W900" s="126"/>
      <c r="X900" s="126"/>
      <c r="Y900" s="126"/>
      <c r="Z900" s="127"/>
      <c r="AA900" s="127"/>
      <c r="AB900" s="127"/>
      <c r="AC900" s="127"/>
      <c r="AD900" s="261"/>
      <c r="AE900" s="261"/>
      <c r="AF900" s="261"/>
      <c r="AG900" s="261"/>
    </row>
    <row r="901" ht="34.5" hidden="1" customHeight="1">
      <c r="A901" s="111"/>
      <c r="B901" s="127"/>
      <c r="C901" s="111"/>
      <c r="D901" s="111"/>
      <c r="E901" s="111"/>
      <c r="F901" s="111"/>
      <c r="G901" s="111"/>
      <c r="H901" s="111"/>
      <c r="I901" s="127"/>
      <c r="J901" s="111"/>
      <c r="K901" s="257"/>
      <c r="L901" s="111"/>
      <c r="M901" s="127"/>
      <c r="N901" s="270"/>
      <c r="O901" s="111"/>
      <c r="P901" s="111"/>
      <c r="Q901" s="128"/>
      <c r="R901" s="124"/>
      <c r="S901" s="125"/>
      <c r="T901" s="126"/>
      <c r="U901" s="126"/>
      <c r="V901" s="126"/>
      <c r="W901" s="126"/>
      <c r="X901" s="126"/>
      <c r="Y901" s="126"/>
      <c r="Z901" s="127"/>
      <c r="AA901" s="127"/>
      <c r="AB901" s="127"/>
      <c r="AC901" s="127"/>
      <c r="AD901" s="261"/>
      <c r="AE901" s="261"/>
      <c r="AF901" s="261"/>
      <c r="AG901" s="261"/>
    </row>
    <row r="902" ht="34.5" hidden="1" customHeight="1">
      <c r="A902" s="111"/>
      <c r="B902" s="127"/>
      <c r="C902" s="111"/>
      <c r="D902" s="111"/>
      <c r="E902" s="111"/>
      <c r="F902" s="111"/>
      <c r="G902" s="111"/>
      <c r="H902" s="111"/>
      <c r="I902" s="127"/>
      <c r="J902" s="111"/>
      <c r="K902" s="257"/>
      <c r="L902" s="111"/>
      <c r="M902" s="127"/>
      <c r="N902" s="270"/>
      <c r="O902" s="111"/>
      <c r="P902" s="111"/>
      <c r="Q902" s="128"/>
      <c r="R902" s="124"/>
      <c r="S902" s="125"/>
      <c r="T902" s="126"/>
      <c r="U902" s="126"/>
      <c r="V902" s="126"/>
      <c r="W902" s="126"/>
      <c r="X902" s="126"/>
      <c r="Y902" s="126"/>
      <c r="Z902" s="127"/>
      <c r="AA902" s="127"/>
      <c r="AB902" s="127"/>
      <c r="AC902" s="127"/>
      <c r="AD902" s="261"/>
      <c r="AE902" s="261"/>
      <c r="AF902" s="261"/>
      <c r="AG902" s="261"/>
    </row>
    <row r="903" ht="34.5" hidden="1" customHeight="1">
      <c r="A903" s="111"/>
      <c r="B903" s="127"/>
      <c r="C903" s="111"/>
      <c r="D903" s="111"/>
      <c r="E903" s="111"/>
      <c r="F903" s="111"/>
      <c r="G903" s="111"/>
      <c r="H903" s="111"/>
      <c r="I903" s="127"/>
      <c r="J903" s="111"/>
      <c r="K903" s="257"/>
      <c r="L903" s="111"/>
      <c r="M903" s="127"/>
      <c r="N903" s="270"/>
      <c r="O903" s="111"/>
      <c r="P903" s="111"/>
      <c r="Q903" s="128"/>
      <c r="R903" s="124"/>
      <c r="S903" s="125"/>
      <c r="T903" s="126"/>
      <c r="U903" s="126"/>
      <c r="V903" s="126"/>
      <c r="W903" s="126"/>
      <c r="X903" s="126"/>
      <c r="Y903" s="126"/>
      <c r="Z903" s="127"/>
      <c r="AA903" s="127"/>
      <c r="AB903" s="127"/>
      <c r="AC903" s="127"/>
      <c r="AD903" s="261"/>
      <c r="AE903" s="261"/>
      <c r="AF903" s="261"/>
      <c r="AG903" s="261"/>
    </row>
    <row r="904" ht="34.5" hidden="1" customHeight="1">
      <c r="A904" s="111"/>
      <c r="B904" s="127"/>
      <c r="C904" s="111"/>
      <c r="D904" s="111"/>
      <c r="E904" s="111"/>
      <c r="F904" s="111"/>
      <c r="G904" s="111"/>
      <c r="H904" s="111"/>
      <c r="I904" s="127"/>
      <c r="J904" s="111"/>
      <c r="K904" s="257"/>
      <c r="L904" s="111"/>
      <c r="M904" s="127"/>
      <c r="N904" s="270"/>
      <c r="O904" s="111"/>
      <c r="P904" s="111"/>
      <c r="Q904" s="128"/>
      <c r="R904" s="124"/>
      <c r="S904" s="125"/>
      <c r="T904" s="126"/>
      <c r="U904" s="126"/>
      <c r="V904" s="126"/>
      <c r="W904" s="126"/>
      <c r="X904" s="126"/>
      <c r="Y904" s="126"/>
      <c r="Z904" s="127"/>
      <c r="AA904" s="127"/>
      <c r="AB904" s="127"/>
      <c r="AC904" s="127"/>
      <c r="AD904" s="261"/>
      <c r="AE904" s="261"/>
      <c r="AF904" s="261"/>
      <c r="AG904" s="261"/>
    </row>
    <row r="905" ht="34.5" hidden="1" customHeight="1">
      <c r="A905" s="111"/>
      <c r="B905" s="127"/>
      <c r="C905" s="111"/>
      <c r="D905" s="111"/>
      <c r="E905" s="111"/>
      <c r="F905" s="111"/>
      <c r="G905" s="111"/>
      <c r="H905" s="111"/>
      <c r="I905" s="127"/>
      <c r="J905" s="111"/>
      <c r="K905" s="257"/>
      <c r="L905" s="111"/>
      <c r="M905" s="127"/>
      <c r="N905" s="270"/>
      <c r="O905" s="111"/>
      <c r="P905" s="111"/>
      <c r="Q905" s="128"/>
      <c r="R905" s="124"/>
      <c r="S905" s="125"/>
      <c r="T905" s="126"/>
      <c r="U905" s="126"/>
      <c r="V905" s="126"/>
      <c r="W905" s="126"/>
      <c r="X905" s="126"/>
      <c r="Y905" s="126"/>
      <c r="Z905" s="127"/>
      <c r="AA905" s="127"/>
      <c r="AB905" s="127"/>
      <c r="AC905" s="127"/>
      <c r="AD905" s="261"/>
      <c r="AE905" s="261"/>
      <c r="AF905" s="261"/>
      <c r="AG905" s="261"/>
    </row>
    <row r="906" ht="34.5" hidden="1" customHeight="1">
      <c r="A906" s="111"/>
      <c r="B906" s="127"/>
      <c r="C906" s="111"/>
      <c r="D906" s="111"/>
      <c r="E906" s="111"/>
      <c r="F906" s="111"/>
      <c r="G906" s="111"/>
      <c r="H906" s="111"/>
      <c r="I906" s="127"/>
      <c r="J906" s="111"/>
      <c r="K906" s="257"/>
      <c r="L906" s="111"/>
      <c r="M906" s="127"/>
      <c r="N906" s="270"/>
      <c r="O906" s="111"/>
      <c r="P906" s="111"/>
      <c r="Q906" s="128"/>
      <c r="R906" s="124"/>
      <c r="S906" s="125"/>
      <c r="T906" s="126"/>
      <c r="U906" s="126"/>
      <c r="V906" s="126"/>
      <c r="W906" s="126"/>
      <c r="X906" s="126"/>
      <c r="Y906" s="126"/>
      <c r="Z906" s="127"/>
      <c r="AA906" s="127"/>
      <c r="AB906" s="127"/>
      <c r="AC906" s="127"/>
      <c r="AD906" s="261"/>
      <c r="AE906" s="261"/>
      <c r="AF906" s="261"/>
      <c r="AG906" s="261"/>
    </row>
    <row r="907" ht="34.5" hidden="1" customHeight="1">
      <c r="A907" s="111"/>
      <c r="B907" s="127"/>
      <c r="C907" s="111"/>
      <c r="D907" s="111"/>
      <c r="E907" s="111"/>
      <c r="F907" s="111"/>
      <c r="G907" s="111"/>
      <c r="H907" s="111"/>
      <c r="I907" s="127"/>
      <c r="J907" s="111"/>
      <c r="K907" s="257"/>
      <c r="L907" s="111"/>
      <c r="M907" s="127"/>
      <c r="N907" s="270"/>
      <c r="O907" s="111"/>
      <c r="P907" s="111"/>
      <c r="Q907" s="128"/>
      <c r="R907" s="124"/>
      <c r="S907" s="125"/>
      <c r="T907" s="126"/>
      <c r="U907" s="126"/>
      <c r="V907" s="126"/>
      <c r="W907" s="126"/>
      <c r="X907" s="126"/>
      <c r="Y907" s="126"/>
      <c r="Z907" s="127"/>
      <c r="AA907" s="127"/>
      <c r="AB907" s="127"/>
      <c r="AC907" s="127"/>
      <c r="AD907" s="261"/>
      <c r="AE907" s="261"/>
      <c r="AF907" s="261"/>
      <c r="AG907" s="261"/>
    </row>
    <row r="908" ht="34.5" hidden="1" customHeight="1">
      <c r="A908" s="111"/>
      <c r="B908" s="127"/>
      <c r="C908" s="111"/>
      <c r="D908" s="111"/>
      <c r="E908" s="111"/>
      <c r="F908" s="111"/>
      <c r="G908" s="111"/>
      <c r="H908" s="111"/>
      <c r="I908" s="127"/>
      <c r="J908" s="111"/>
      <c r="K908" s="257"/>
      <c r="L908" s="111"/>
      <c r="M908" s="127"/>
      <c r="N908" s="270"/>
      <c r="O908" s="111"/>
      <c r="P908" s="111"/>
      <c r="Q908" s="128"/>
      <c r="R908" s="124"/>
      <c r="S908" s="125"/>
      <c r="T908" s="126"/>
      <c r="U908" s="126"/>
      <c r="V908" s="126"/>
      <c r="W908" s="126"/>
      <c r="X908" s="126"/>
      <c r="Y908" s="126"/>
      <c r="Z908" s="127"/>
      <c r="AA908" s="127"/>
      <c r="AB908" s="127"/>
      <c r="AC908" s="127"/>
      <c r="AD908" s="261"/>
      <c r="AE908" s="261"/>
      <c r="AF908" s="261"/>
      <c r="AG908" s="261"/>
    </row>
    <row r="909" ht="34.5" hidden="1" customHeight="1">
      <c r="A909" s="111"/>
      <c r="B909" s="127"/>
      <c r="C909" s="111"/>
      <c r="D909" s="111"/>
      <c r="E909" s="111"/>
      <c r="F909" s="111"/>
      <c r="G909" s="111"/>
      <c r="H909" s="111"/>
      <c r="I909" s="127"/>
      <c r="J909" s="111"/>
      <c r="K909" s="257"/>
      <c r="L909" s="111"/>
      <c r="M909" s="127"/>
      <c r="N909" s="270"/>
      <c r="O909" s="111"/>
      <c r="P909" s="111"/>
      <c r="Q909" s="128"/>
      <c r="R909" s="124"/>
      <c r="S909" s="125"/>
      <c r="T909" s="126"/>
      <c r="U909" s="126"/>
      <c r="V909" s="126"/>
      <c r="W909" s="126"/>
      <c r="X909" s="126"/>
      <c r="Y909" s="126"/>
      <c r="Z909" s="127"/>
      <c r="AA909" s="127"/>
      <c r="AB909" s="127"/>
      <c r="AC909" s="127"/>
      <c r="AD909" s="261"/>
      <c r="AE909" s="261"/>
      <c r="AF909" s="261"/>
      <c r="AG909" s="261"/>
    </row>
    <row r="910" ht="34.5" hidden="1" customHeight="1">
      <c r="A910" s="111"/>
      <c r="B910" s="127"/>
      <c r="C910" s="111"/>
      <c r="D910" s="111"/>
      <c r="E910" s="111"/>
      <c r="F910" s="111"/>
      <c r="G910" s="111"/>
      <c r="H910" s="111"/>
      <c r="I910" s="127"/>
      <c r="J910" s="111"/>
      <c r="K910" s="257"/>
      <c r="L910" s="111"/>
      <c r="M910" s="127"/>
      <c r="N910" s="270"/>
      <c r="O910" s="111"/>
      <c r="P910" s="111"/>
      <c r="Q910" s="128"/>
      <c r="R910" s="124"/>
      <c r="S910" s="125"/>
      <c r="T910" s="126"/>
      <c r="U910" s="126"/>
      <c r="V910" s="126"/>
      <c r="W910" s="126"/>
      <c r="X910" s="126"/>
      <c r="Y910" s="126"/>
      <c r="Z910" s="127"/>
      <c r="AA910" s="127"/>
      <c r="AB910" s="127"/>
      <c r="AC910" s="127"/>
      <c r="AD910" s="261"/>
      <c r="AE910" s="261"/>
      <c r="AF910" s="261"/>
      <c r="AG910" s="261"/>
    </row>
    <row r="911" ht="34.5" hidden="1" customHeight="1">
      <c r="A911" s="111"/>
      <c r="B911" s="127"/>
      <c r="C911" s="111"/>
      <c r="D911" s="111"/>
      <c r="E911" s="111"/>
      <c r="F911" s="111"/>
      <c r="G911" s="111"/>
      <c r="H911" s="111"/>
      <c r="I911" s="127"/>
      <c r="J911" s="111"/>
      <c r="K911" s="257"/>
      <c r="L911" s="111"/>
      <c r="M911" s="127"/>
      <c r="N911" s="270"/>
      <c r="O911" s="111"/>
      <c r="P911" s="111"/>
      <c r="Q911" s="128"/>
      <c r="R911" s="124"/>
      <c r="S911" s="125"/>
      <c r="T911" s="126"/>
      <c r="U911" s="126"/>
      <c r="V911" s="126"/>
      <c r="W911" s="126"/>
      <c r="X911" s="126"/>
      <c r="Y911" s="126"/>
      <c r="Z911" s="127"/>
      <c r="AA911" s="127"/>
      <c r="AB911" s="127"/>
      <c r="AC911" s="127"/>
      <c r="AD911" s="261"/>
      <c r="AE911" s="261"/>
      <c r="AF911" s="261"/>
      <c r="AG911" s="261"/>
    </row>
    <row r="912" ht="34.5" hidden="1" customHeight="1">
      <c r="A912" s="111"/>
      <c r="B912" s="127"/>
      <c r="C912" s="111"/>
      <c r="D912" s="111"/>
      <c r="E912" s="111"/>
      <c r="F912" s="111"/>
      <c r="G912" s="111"/>
      <c r="H912" s="111"/>
      <c r="I912" s="127"/>
      <c r="J912" s="111"/>
      <c r="K912" s="257"/>
      <c r="L912" s="111"/>
      <c r="M912" s="127"/>
      <c r="N912" s="270"/>
      <c r="O912" s="111"/>
      <c r="P912" s="111"/>
      <c r="Q912" s="128"/>
      <c r="R912" s="124"/>
      <c r="S912" s="125"/>
      <c r="T912" s="126"/>
      <c r="U912" s="126"/>
      <c r="V912" s="126"/>
      <c r="W912" s="126"/>
      <c r="X912" s="126"/>
      <c r="Y912" s="126"/>
      <c r="Z912" s="127"/>
      <c r="AA912" s="127"/>
      <c r="AB912" s="127"/>
      <c r="AC912" s="127"/>
      <c r="AD912" s="261"/>
      <c r="AE912" s="261"/>
      <c r="AF912" s="261"/>
      <c r="AG912" s="261"/>
    </row>
    <row r="913" ht="34.5" hidden="1" customHeight="1">
      <c r="A913" s="111"/>
      <c r="B913" s="127"/>
      <c r="C913" s="111"/>
      <c r="D913" s="111"/>
      <c r="E913" s="111"/>
      <c r="F913" s="111"/>
      <c r="G913" s="111"/>
      <c r="H913" s="111"/>
      <c r="I913" s="127"/>
      <c r="J913" s="111"/>
      <c r="K913" s="257"/>
      <c r="L913" s="111"/>
      <c r="M913" s="127"/>
      <c r="N913" s="270"/>
      <c r="O913" s="111"/>
      <c r="P913" s="111"/>
      <c r="Q913" s="128"/>
      <c r="R913" s="124"/>
      <c r="S913" s="125"/>
      <c r="T913" s="126"/>
      <c r="U913" s="126"/>
      <c r="V913" s="126"/>
      <c r="W913" s="126"/>
      <c r="X913" s="126"/>
      <c r="Y913" s="126"/>
      <c r="Z913" s="127"/>
      <c r="AA913" s="127"/>
      <c r="AB913" s="127"/>
      <c r="AC913" s="127"/>
      <c r="AD913" s="261"/>
      <c r="AE913" s="261"/>
      <c r="AF913" s="261"/>
      <c r="AG913" s="261"/>
    </row>
    <row r="914" ht="34.5" hidden="1" customHeight="1">
      <c r="A914" s="111"/>
      <c r="B914" s="127"/>
      <c r="C914" s="111"/>
      <c r="D914" s="111"/>
      <c r="E914" s="111"/>
      <c r="F914" s="111"/>
      <c r="G914" s="111"/>
      <c r="H914" s="111"/>
      <c r="I914" s="127"/>
      <c r="J914" s="111"/>
      <c r="K914" s="257"/>
      <c r="L914" s="111"/>
      <c r="M914" s="127"/>
      <c r="N914" s="270"/>
      <c r="O914" s="111"/>
      <c r="P914" s="111"/>
      <c r="Q914" s="128"/>
      <c r="R914" s="124"/>
      <c r="S914" s="125"/>
      <c r="T914" s="126"/>
      <c r="U914" s="126"/>
      <c r="V914" s="126"/>
      <c r="W914" s="126"/>
      <c r="X914" s="126"/>
      <c r="Y914" s="126"/>
      <c r="Z914" s="127"/>
      <c r="AA914" s="127"/>
      <c r="AB914" s="127"/>
      <c r="AC914" s="127"/>
      <c r="AD914" s="261"/>
      <c r="AE914" s="261"/>
      <c r="AF914" s="261"/>
      <c r="AG914" s="261"/>
    </row>
    <row r="915" ht="34.5" hidden="1" customHeight="1">
      <c r="A915" s="111"/>
      <c r="B915" s="127"/>
      <c r="C915" s="111"/>
      <c r="D915" s="111"/>
      <c r="E915" s="111"/>
      <c r="F915" s="111"/>
      <c r="G915" s="111"/>
      <c r="H915" s="111"/>
      <c r="I915" s="127"/>
      <c r="J915" s="111"/>
      <c r="K915" s="257"/>
      <c r="L915" s="111"/>
      <c r="M915" s="127"/>
      <c r="N915" s="270"/>
      <c r="O915" s="111"/>
      <c r="P915" s="111"/>
      <c r="Q915" s="128"/>
      <c r="R915" s="124"/>
      <c r="S915" s="125"/>
      <c r="T915" s="126"/>
      <c r="U915" s="126"/>
      <c r="V915" s="126"/>
      <c r="W915" s="126"/>
      <c r="X915" s="126"/>
      <c r="Y915" s="126"/>
      <c r="Z915" s="127"/>
      <c r="AA915" s="127"/>
      <c r="AB915" s="127"/>
      <c r="AC915" s="127"/>
      <c r="AD915" s="261"/>
      <c r="AE915" s="261"/>
      <c r="AF915" s="261"/>
      <c r="AG915" s="261"/>
    </row>
    <row r="916" ht="34.5" hidden="1" customHeight="1">
      <c r="A916" s="111"/>
      <c r="B916" s="127"/>
      <c r="C916" s="111"/>
      <c r="D916" s="111"/>
      <c r="E916" s="111"/>
      <c r="F916" s="111"/>
      <c r="G916" s="111"/>
      <c r="H916" s="111"/>
      <c r="I916" s="127"/>
      <c r="J916" s="111"/>
      <c r="K916" s="257"/>
      <c r="L916" s="111"/>
      <c r="M916" s="127"/>
      <c r="N916" s="270"/>
      <c r="O916" s="111"/>
      <c r="P916" s="111"/>
      <c r="Q916" s="128"/>
      <c r="R916" s="124"/>
      <c r="S916" s="125"/>
      <c r="T916" s="126"/>
      <c r="U916" s="126"/>
      <c r="V916" s="126"/>
      <c r="W916" s="126"/>
      <c r="X916" s="126"/>
      <c r="Y916" s="126"/>
      <c r="Z916" s="127"/>
      <c r="AA916" s="127"/>
      <c r="AB916" s="127"/>
      <c r="AC916" s="127"/>
      <c r="AD916" s="261"/>
      <c r="AE916" s="261"/>
      <c r="AF916" s="261"/>
      <c r="AG916" s="261"/>
    </row>
    <row r="917" ht="34.5" hidden="1" customHeight="1">
      <c r="A917" s="111"/>
      <c r="B917" s="127"/>
      <c r="C917" s="111"/>
      <c r="D917" s="111"/>
      <c r="E917" s="111"/>
      <c r="F917" s="111"/>
      <c r="G917" s="111"/>
      <c r="H917" s="111"/>
      <c r="I917" s="127"/>
      <c r="J917" s="111"/>
      <c r="K917" s="257"/>
      <c r="L917" s="111"/>
      <c r="M917" s="127"/>
      <c r="N917" s="270"/>
      <c r="O917" s="111"/>
      <c r="P917" s="111"/>
      <c r="Q917" s="128"/>
      <c r="R917" s="124"/>
      <c r="S917" s="125"/>
      <c r="T917" s="126"/>
      <c r="U917" s="126"/>
      <c r="V917" s="126"/>
      <c r="W917" s="126"/>
      <c r="X917" s="126"/>
      <c r="Y917" s="126"/>
      <c r="Z917" s="127"/>
      <c r="AA917" s="127"/>
      <c r="AB917" s="127"/>
      <c r="AC917" s="127"/>
      <c r="AD917" s="261"/>
      <c r="AE917" s="261"/>
      <c r="AF917" s="261"/>
      <c r="AG917" s="261"/>
    </row>
    <row r="918" ht="34.5" hidden="1" customHeight="1">
      <c r="A918" s="111"/>
      <c r="B918" s="127"/>
      <c r="C918" s="111"/>
      <c r="D918" s="111"/>
      <c r="E918" s="111"/>
      <c r="F918" s="111"/>
      <c r="G918" s="111"/>
      <c r="H918" s="111"/>
      <c r="I918" s="127"/>
      <c r="J918" s="111"/>
      <c r="K918" s="257"/>
      <c r="L918" s="111"/>
      <c r="M918" s="127"/>
      <c r="N918" s="270"/>
      <c r="O918" s="111"/>
      <c r="P918" s="111"/>
      <c r="Q918" s="128"/>
      <c r="R918" s="124"/>
      <c r="S918" s="125"/>
      <c r="T918" s="126"/>
      <c r="U918" s="126"/>
      <c r="V918" s="126"/>
      <c r="W918" s="126"/>
      <c r="X918" s="126"/>
      <c r="Y918" s="126"/>
      <c r="Z918" s="127"/>
      <c r="AA918" s="127"/>
      <c r="AB918" s="127"/>
      <c r="AC918" s="127"/>
      <c r="AD918" s="261"/>
      <c r="AE918" s="261"/>
      <c r="AF918" s="261"/>
      <c r="AG918" s="261"/>
    </row>
    <row r="919" ht="34.5" hidden="1" customHeight="1">
      <c r="A919" s="111"/>
      <c r="B919" s="127"/>
      <c r="C919" s="111"/>
      <c r="D919" s="111"/>
      <c r="E919" s="111"/>
      <c r="F919" s="111"/>
      <c r="G919" s="111"/>
      <c r="H919" s="111"/>
      <c r="I919" s="127"/>
      <c r="J919" s="111"/>
      <c r="K919" s="257"/>
      <c r="L919" s="111"/>
      <c r="M919" s="127"/>
      <c r="N919" s="270"/>
      <c r="O919" s="111"/>
      <c r="P919" s="111"/>
      <c r="Q919" s="128"/>
      <c r="R919" s="124"/>
      <c r="S919" s="125"/>
      <c r="T919" s="126"/>
      <c r="U919" s="126"/>
      <c r="V919" s="126"/>
      <c r="W919" s="126"/>
      <c r="X919" s="126"/>
      <c r="Y919" s="126"/>
      <c r="Z919" s="127"/>
      <c r="AA919" s="127"/>
      <c r="AB919" s="127"/>
      <c r="AC919" s="127"/>
      <c r="AD919" s="261"/>
      <c r="AE919" s="261"/>
      <c r="AF919" s="261"/>
      <c r="AG919" s="261"/>
    </row>
    <row r="920" ht="34.5" hidden="1" customHeight="1">
      <c r="A920" s="111"/>
      <c r="B920" s="127"/>
      <c r="C920" s="111"/>
      <c r="D920" s="111"/>
      <c r="E920" s="111"/>
      <c r="F920" s="111"/>
      <c r="G920" s="111"/>
      <c r="H920" s="111"/>
      <c r="I920" s="127"/>
      <c r="J920" s="111"/>
      <c r="K920" s="257"/>
      <c r="L920" s="111"/>
      <c r="M920" s="127"/>
      <c r="N920" s="270"/>
      <c r="O920" s="111"/>
      <c r="P920" s="111"/>
      <c r="Q920" s="128"/>
      <c r="R920" s="124"/>
      <c r="S920" s="125"/>
      <c r="T920" s="126"/>
      <c r="U920" s="126"/>
      <c r="V920" s="126"/>
      <c r="W920" s="126"/>
      <c r="X920" s="126"/>
      <c r="Y920" s="126"/>
      <c r="Z920" s="127"/>
      <c r="AA920" s="127"/>
      <c r="AB920" s="127"/>
      <c r="AC920" s="127"/>
      <c r="AD920" s="261"/>
      <c r="AE920" s="261"/>
      <c r="AF920" s="261"/>
      <c r="AG920" s="261"/>
    </row>
    <row r="921" ht="34.5" hidden="1" customHeight="1">
      <c r="A921" s="111"/>
      <c r="B921" s="127"/>
      <c r="C921" s="111"/>
      <c r="D921" s="111"/>
      <c r="E921" s="111"/>
      <c r="F921" s="111"/>
      <c r="G921" s="111"/>
      <c r="H921" s="111"/>
      <c r="I921" s="127"/>
      <c r="J921" s="111"/>
      <c r="K921" s="257"/>
      <c r="L921" s="111"/>
      <c r="M921" s="127"/>
      <c r="N921" s="270"/>
      <c r="O921" s="111"/>
      <c r="P921" s="111"/>
      <c r="Q921" s="128"/>
      <c r="R921" s="124"/>
      <c r="S921" s="125"/>
      <c r="T921" s="126"/>
      <c r="U921" s="126"/>
      <c r="V921" s="126"/>
      <c r="W921" s="126"/>
      <c r="X921" s="126"/>
      <c r="Y921" s="126"/>
      <c r="Z921" s="127"/>
      <c r="AA921" s="127"/>
      <c r="AB921" s="127"/>
      <c r="AC921" s="127"/>
      <c r="AD921" s="261"/>
      <c r="AE921" s="261"/>
      <c r="AF921" s="261"/>
      <c r="AG921" s="261"/>
    </row>
    <row r="922" ht="34.5" hidden="1" customHeight="1">
      <c r="A922" s="111"/>
      <c r="B922" s="127"/>
      <c r="C922" s="111"/>
      <c r="D922" s="111"/>
      <c r="E922" s="111"/>
      <c r="F922" s="111"/>
      <c r="G922" s="111"/>
      <c r="H922" s="111"/>
      <c r="I922" s="127"/>
      <c r="J922" s="111"/>
      <c r="K922" s="257"/>
      <c r="L922" s="111"/>
      <c r="M922" s="127"/>
      <c r="N922" s="270"/>
      <c r="O922" s="111"/>
      <c r="P922" s="111"/>
      <c r="Q922" s="128"/>
      <c r="R922" s="124"/>
      <c r="S922" s="125"/>
      <c r="T922" s="126"/>
      <c r="U922" s="126"/>
      <c r="V922" s="126"/>
      <c r="W922" s="126"/>
      <c r="X922" s="126"/>
      <c r="Y922" s="126"/>
      <c r="Z922" s="127"/>
      <c r="AA922" s="127"/>
      <c r="AB922" s="127"/>
      <c r="AC922" s="127"/>
      <c r="AD922" s="261"/>
      <c r="AE922" s="261"/>
      <c r="AF922" s="261"/>
      <c r="AG922" s="261"/>
    </row>
    <row r="923" ht="34.5" hidden="1" customHeight="1">
      <c r="A923" s="111"/>
      <c r="B923" s="127"/>
      <c r="C923" s="111"/>
      <c r="D923" s="111"/>
      <c r="E923" s="111"/>
      <c r="F923" s="111"/>
      <c r="G923" s="111"/>
      <c r="H923" s="111"/>
      <c r="I923" s="127"/>
      <c r="J923" s="111"/>
      <c r="K923" s="257"/>
      <c r="L923" s="111"/>
      <c r="M923" s="127"/>
      <c r="N923" s="270"/>
      <c r="O923" s="111"/>
      <c r="P923" s="111"/>
      <c r="Q923" s="128"/>
      <c r="R923" s="124"/>
      <c r="S923" s="125"/>
      <c r="T923" s="126"/>
      <c r="U923" s="126"/>
      <c r="V923" s="126"/>
      <c r="W923" s="126"/>
      <c r="X923" s="126"/>
      <c r="Y923" s="126"/>
      <c r="Z923" s="127"/>
      <c r="AA923" s="127"/>
      <c r="AB923" s="127"/>
      <c r="AC923" s="127"/>
      <c r="AD923" s="261"/>
      <c r="AE923" s="261"/>
      <c r="AF923" s="261"/>
      <c r="AG923" s="261"/>
    </row>
    <row r="924" ht="34.5" hidden="1" customHeight="1">
      <c r="A924" s="111"/>
      <c r="B924" s="127"/>
      <c r="C924" s="111"/>
      <c r="D924" s="111"/>
      <c r="E924" s="111"/>
      <c r="F924" s="111"/>
      <c r="G924" s="111"/>
      <c r="H924" s="111"/>
      <c r="I924" s="127"/>
      <c r="J924" s="111"/>
      <c r="K924" s="257"/>
      <c r="L924" s="111"/>
      <c r="M924" s="127"/>
      <c r="N924" s="270"/>
      <c r="O924" s="111"/>
      <c r="P924" s="111"/>
      <c r="Q924" s="128"/>
      <c r="R924" s="124"/>
      <c r="S924" s="125"/>
      <c r="T924" s="126"/>
      <c r="U924" s="126"/>
      <c r="V924" s="126"/>
      <c r="W924" s="126"/>
      <c r="X924" s="126"/>
      <c r="Y924" s="126"/>
      <c r="Z924" s="127"/>
      <c r="AA924" s="127"/>
      <c r="AB924" s="127"/>
      <c r="AC924" s="127"/>
      <c r="AD924" s="261"/>
      <c r="AE924" s="261"/>
      <c r="AF924" s="261"/>
      <c r="AG924" s="261"/>
    </row>
    <row r="925" ht="34.5" hidden="1" customHeight="1">
      <c r="A925" s="111"/>
      <c r="B925" s="127"/>
      <c r="C925" s="111"/>
      <c r="D925" s="111"/>
      <c r="E925" s="111"/>
      <c r="F925" s="111"/>
      <c r="G925" s="111"/>
      <c r="H925" s="111"/>
      <c r="I925" s="127"/>
      <c r="J925" s="111"/>
      <c r="K925" s="257"/>
      <c r="L925" s="111"/>
      <c r="M925" s="127"/>
      <c r="N925" s="270"/>
      <c r="O925" s="111"/>
      <c r="P925" s="111"/>
      <c r="Q925" s="128"/>
      <c r="R925" s="124"/>
      <c r="S925" s="125"/>
      <c r="T925" s="126"/>
      <c r="U925" s="126"/>
      <c r="V925" s="126"/>
      <c r="W925" s="126"/>
      <c r="X925" s="126"/>
      <c r="Y925" s="126"/>
      <c r="Z925" s="127"/>
      <c r="AA925" s="127"/>
      <c r="AB925" s="127"/>
      <c r="AC925" s="127"/>
      <c r="AD925" s="261"/>
      <c r="AE925" s="261"/>
      <c r="AF925" s="261"/>
      <c r="AG925" s="261"/>
    </row>
    <row r="926" ht="34.5" hidden="1" customHeight="1">
      <c r="A926" s="111"/>
      <c r="B926" s="127"/>
      <c r="C926" s="111"/>
      <c r="D926" s="111"/>
      <c r="E926" s="111"/>
      <c r="F926" s="111"/>
      <c r="G926" s="111"/>
      <c r="H926" s="111"/>
      <c r="I926" s="127"/>
      <c r="J926" s="111"/>
      <c r="K926" s="257"/>
      <c r="L926" s="111"/>
      <c r="M926" s="127"/>
      <c r="N926" s="270"/>
      <c r="O926" s="111"/>
      <c r="P926" s="111"/>
      <c r="Q926" s="128"/>
      <c r="R926" s="124"/>
      <c r="S926" s="125"/>
      <c r="T926" s="126"/>
      <c r="U926" s="126"/>
      <c r="V926" s="126"/>
      <c r="W926" s="126"/>
      <c r="X926" s="126"/>
      <c r="Y926" s="126"/>
      <c r="Z926" s="127"/>
      <c r="AA926" s="127"/>
      <c r="AB926" s="127"/>
      <c r="AC926" s="127"/>
      <c r="AD926" s="261"/>
      <c r="AE926" s="261"/>
      <c r="AF926" s="261"/>
      <c r="AG926" s="261"/>
    </row>
    <row r="927" ht="34.5" hidden="1" customHeight="1">
      <c r="A927" s="111"/>
      <c r="B927" s="127"/>
      <c r="C927" s="111"/>
      <c r="D927" s="111"/>
      <c r="E927" s="111"/>
      <c r="F927" s="111"/>
      <c r="G927" s="111"/>
      <c r="H927" s="111"/>
      <c r="I927" s="127"/>
      <c r="J927" s="111"/>
      <c r="K927" s="257"/>
      <c r="L927" s="111"/>
      <c r="M927" s="127"/>
      <c r="N927" s="270"/>
      <c r="O927" s="111"/>
      <c r="P927" s="111"/>
      <c r="Q927" s="128"/>
      <c r="R927" s="124"/>
      <c r="S927" s="125"/>
      <c r="T927" s="126"/>
      <c r="U927" s="126"/>
      <c r="V927" s="126"/>
      <c r="W927" s="126"/>
      <c r="X927" s="126"/>
      <c r="Y927" s="126"/>
      <c r="Z927" s="127"/>
      <c r="AA927" s="127"/>
      <c r="AB927" s="127"/>
      <c r="AC927" s="127"/>
      <c r="AD927" s="261"/>
      <c r="AE927" s="261"/>
      <c r="AF927" s="261"/>
      <c r="AG927" s="261"/>
    </row>
    <row r="928" ht="34.5" hidden="1" customHeight="1">
      <c r="A928" s="111"/>
      <c r="B928" s="127"/>
      <c r="C928" s="111"/>
      <c r="D928" s="111"/>
      <c r="E928" s="111"/>
      <c r="F928" s="111"/>
      <c r="G928" s="111"/>
      <c r="H928" s="111"/>
      <c r="I928" s="127"/>
      <c r="J928" s="111"/>
      <c r="K928" s="257"/>
      <c r="L928" s="111"/>
      <c r="M928" s="127"/>
      <c r="N928" s="270"/>
      <c r="O928" s="111"/>
      <c r="P928" s="111"/>
      <c r="Q928" s="128"/>
      <c r="R928" s="124"/>
      <c r="S928" s="125"/>
      <c r="T928" s="126"/>
      <c r="U928" s="126"/>
      <c r="V928" s="126"/>
      <c r="W928" s="126"/>
      <c r="X928" s="126"/>
      <c r="Y928" s="126"/>
      <c r="Z928" s="127"/>
      <c r="AA928" s="127"/>
      <c r="AB928" s="127"/>
      <c r="AC928" s="127"/>
      <c r="AD928" s="261"/>
      <c r="AE928" s="261"/>
      <c r="AF928" s="261"/>
      <c r="AG928" s="261"/>
    </row>
    <row r="929" ht="34.5" hidden="1" customHeight="1">
      <c r="A929" s="111"/>
      <c r="B929" s="127"/>
      <c r="C929" s="111"/>
      <c r="D929" s="111"/>
      <c r="E929" s="111"/>
      <c r="F929" s="111"/>
      <c r="G929" s="111"/>
      <c r="H929" s="111"/>
      <c r="I929" s="127"/>
      <c r="J929" s="111"/>
      <c r="K929" s="257"/>
      <c r="L929" s="111"/>
      <c r="M929" s="127"/>
      <c r="N929" s="270"/>
      <c r="O929" s="111"/>
      <c r="P929" s="111"/>
      <c r="Q929" s="128"/>
      <c r="R929" s="124"/>
      <c r="S929" s="125"/>
      <c r="T929" s="126"/>
      <c r="U929" s="126"/>
      <c r="V929" s="126"/>
      <c r="W929" s="126"/>
      <c r="X929" s="126"/>
      <c r="Y929" s="126"/>
      <c r="Z929" s="127"/>
      <c r="AA929" s="127"/>
      <c r="AB929" s="127"/>
      <c r="AC929" s="127"/>
      <c r="AD929" s="261"/>
      <c r="AE929" s="261"/>
      <c r="AF929" s="261"/>
      <c r="AG929" s="261"/>
    </row>
    <row r="930" ht="34.5" hidden="1" customHeight="1">
      <c r="A930" s="111"/>
      <c r="B930" s="127"/>
      <c r="C930" s="111"/>
      <c r="D930" s="111"/>
      <c r="E930" s="111"/>
      <c r="F930" s="111"/>
      <c r="G930" s="111"/>
      <c r="H930" s="111"/>
      <c r="I930" s="127"/>
      <c r="J930" s="111"/>
      <c r="K930" s="257"/>
      <c r="L930" s="111"/>
      <c r="M930" s="127"/>
      <c r="N930" s="270"/>
      <c r="O930" s="111"/>
      <c r="P930" s="111"/>
      <c r="Q930" s="128"/>
      <c r="R930" s="124"/>
      <c r="S930" s="125"/>
      <c r="T930" s="126"/>
      <c r="U930" s="126"/>
      <c r="V930" s="126"/>
      <c r="W930" s="126"/>
      <c r="X930" s="126"/>
      <c r="Y930" s="126"/>
      <c r="Z930" s="127"/>
      <c r="AA930" s="127"/>
      <c r="AB930" s="127"/>
      <c r="AC930" s="127"/>
      <c r="AD930" s="261"/>
      <c r="AE930" s="261"/>
      <c r="AF930" s="261"/>
      <c r="AG930" s="261"/>
    </row>
    <row r="931" ht="34.5" hidden="1" customHeight="1">
      <c r="A931" s="111"/>
      <c r="B931" s="127"/>
      <c r="C931" s="111"/>
      <c r="D931" s="111"/>
      <c r="E931" s="111"/>
      <c r="F931" s="111"/>
      <c r="G931" s="111"/>
      <c r="H931" s="111"/>
      <c r="I931" s="127"/>
      <c r="J931" s="111"/>
      <c r="K931" s="257"/>
      <c r="L931" s="111"/>
      <c r="M931" s="127"/>
      <c r="N931" s="270"/>
      <c r="O931" s="111"/>
      <c r="P931" s="111"/>
      <c r="Q931" s="128"/>
      <c r="R931" s="124"/>
      <c r="S931" s="125"/>
      <c r="T931" s="126"/>
      <c r="U931" s="126"/>
      <c r="V931" s="126"/>
      <c r="W931" s="126"/>
      <c r="X931" s="126"/>
      <c r="Y931" s="126"/>
      <c r="Z931" s="127"/>
      <c r="AA931" s="127"/>
      <c r="AB931" s="127"/>
      <c r="AC931" s="127"/>
      <c r="AD931" s="261"/>
      <c r="AE931" s="261"/>
      <c r="AF931" s="261"/>
      <c r="AG931" s="261"/>
    </row>
    <row r="932" ht="34.5" hidden="1" customHeight="1">
      <c r="A932" s="111"/>
      <c r="B932" s="127"/>
      <c r="C932" s="111"/>
      <c r="D932" s="111"/>
      <c r="E932" s="111"/>
      <c r="F932" s="111"/>
      <c r="G932" s="111"/>
      <c r="H932" s="111"/>
      <c r="I932" s="127"/>
      <c r="J932" s="111"/>
      <c r="K932" s="257"/>
      <c r="L932" s="111"/>
      <c r="M932" s="127"/>
      <c r="N932" s="270"/>
      <c r="O932" s="111"/>
      <c r="P932" s="111"/>
      <c r="Q932" s="128"/>
      <c r="R932" s="124"/>
      <c r="S932" s="125"/>
      <c r="T932" s="126"/>
      <c r="U932" s="126"/>
      <c r="V932" s="126"/>
      <c r="W932" s="126"/>
      <c r="X932" s="126"/>
      <c r="Y932" s="126"/>
      <c r="Z932" s="127"/>
      <c r="AA932" s="127"/>
      <c r="AB932" s="127"/>
      <c r="AC932" s="127"/>
      <c r="AD932" s="261"/>
      <c r="AE932" s="261"/>
      <c r="AF932" s="261"/>
      <c r="AG932" s="261"/>
    </row>
    <row r="933" ht="34.5" hidden="1" customHeight="1">
      <c r="A933" s="111"/>
      <c r="B933" s="127"/>
      <c r="C933" s="111"/>
      <c r="D933" s="111"/>
      <c r="E933" s="111"/>
      <c r="F933" s="111"/>
      <c r="G933" s="111"/>
      <c r="H933" s="111"/>
      <c r="I933" s="127"/>
      <c r="J933" s="111"/>
      <c r="K933" s="257"/>
      <c r="L933" s="111"/>
      <c r="M933" s="127"/>
      <c r="N933" s="270"/>
      <c r="O933" s="111"/>
      <c r="P933" s="111"/>
      <c r="Q933" s="128"/>
      <c r="R933" s="124"/>
      <c r="S933" s="125"/>
      <c r="T933" s="126"/>
      <c r="U933" s="126"/>
      <c r="V933" s="126"/>
      <c r="W933" s="126"/>
      <c r="X933" s="126"/>
      <c r="Y933" s="126"/>
      <c r="Z933" s="127"/>
      <c r="AA933" s="127"/>
      <c r="AB933" s="127"/>
      <c r="AC933" s="127"/>
      <c r="AD933" s="261"/>
      <c r="AE933" s="261"/>
      <c r="AF933" s="261"/>
      <c r="AG933" s="261"/>
    </row>
    <row r="934" ht="34.5" hidden="1" customHeight="1">
      <c r="A934" s="111"/>
      <c r="B934" s="127"/>
      <c r="C934" s="111"/>
      <c r="D934" s="111"/>
      <c r="E934" s="111"/>
      <c r="F934" s="111"/>
      <c r="G934" s="111"/>
      <c r="H934" s="111"/>
      <c r="I934" s="127"/>
      <c r="J934" s="111"/>
      <c r="K934" s="257"/>
      <c r="L934" s="111"/>
      <c r="M934" s="127"/>
      <c r="N934" s="270"/>
      <c r="O934" s="111"/>
      <c r="P934" s="111"/>
      <c r="Q934" s="128"/>
      <c r="R934" s="124"/>
      <c r="S934" s="125"/>
      <c r="T934" s="126"/>
      <c r="U934" s="126"/>
      <c r="V934" s="126"/>
      <c r="W934" s="126"/>
      <c r="X934" s="126"/>
      <c r="Y934" s="126"/>
      <c r="Z934" s="127"/>
      <c r="AA934" s="127"/>
      <c r="AB934" s="127"/>
      <c r="AC934" s="127"/>
      <c r="AD934" s="261"/>
      <c r="AE934" s="261"/>
      <c r="AF934" s="261"/>
      <c r="AG934" s="261"/>
    </row>
    <row r="935" ht="34.5" hidden="1" customHeight="1">
      <c r="A935" s="111"/>
      <c r="B935" s="127"/>
      <c r="C935" s="111"/>
      <c r="D935" s="111"/>
      <c r="E935" s="111"/>
      <c r="F935" s="111"/>
      <c r="G935" s="111"/>
      <c r="H935" s="111"/>
      <c r="I935" s="127"/>
      <c r="J935" s="111"/>
      <c r="K935" s="257"/>
      <c r="L935" s="111"/>
      <c r="M935" s="127"/>
      <c r="N935" s="270"/>
      <c r="O935" s="111"/>
      <c r="P935" s="111"/>
      <c r="Q935" s="128"/>
      <c r="R935" s="124"/>
      <c r="S935" s="125"/>
      <c r="T935" s="126"/>
      <c r="U935" s="126"/>
      <c r="V935" s="126"/>
      <c r="W935" s="126"/>
      <c r="X935" s="126"/>
      <c r="Y935" s="126"/>
      <c r="Z935" s="127"/>
      <c r="AA935" s="127"/>
      <c r="AB935" s="127"/>
      <c r="AC935" s="127"/>
      <c r="AD935" s="261"/>
      <c r="AE935" s="261"/>
      <c r="AF935" s="261"/>
      <c r="AG935" s="261"/>
    </row>
    <row r="936" ht="34.5" hidden="1" customHeight="1">
      <c r="A936" s="111"/>
      <c r="B936" s="127"/>
      <c r="C936" s="111"/>
      <c r="D936" s="111"/>
      <c r="E936" s="111"/>
      <c r="F936" s="111"/>
      <c r="G936" s="111"/>
      <c r="H936" s="111"/>
      <c r="I936" s="127"/>
      <c r="J936" s="111"/>
      <c r="K936" s="257"/>
      <c r="L936" s="111"/>
      <c r="M936" s="127"/>
      <c r="N936" s="270"/>
      <c r="O936" s="111"/>
      <c r="P936" s="111"/>
      <c r="Q936" s="128"/>
      <c r="R936" s="124"/>
      <c r="S936" s="125"/>
      <c r="T936" s="126"/>
      <c r="U936" s="126"/>
      <c r="V936" s="126"/>
      <c r="W936" s="126"/>
      <c r="X936" s="126"/>
      <c r="Y936" s="126"/>
      <c r="Z936" s="127"/>
      <c r="AA936" s="127"/>
      <c r="AB936" s="127"/>
      <c r="AC936" s="127"/>
      <c r="AD936" s="261"/>
      <c r="AE936" s="261"/>
      <c r="AF936" s="261"/>
      <c r="AG936" s="261"/>
    </row>
    <row r="937" ht="34.5" hidden="1" customHeight="1">
      <c r="A937" s="111"/>
      <c r="B937" s="127"/>
      <c r="C937" s="111"/>
      <c r="D937" s="111"/>
      <c r="E937" s="111"/>
      <c r="F937" s="111"/>
      <c r="G937" s="111"/>
      <c r="H937" s="111"/>
      <c r="I937" s="127"/>
      <c r="J937" s="111"/>
      <c r="K937" s="257"/>
      <c r="L937" s="111"/>
      <c r="M937" s="127"/>
      <c r="N937" s="270"/>
      <c r="O937" s="111"/>
      <c r="P937" s="111"/>
      <c r="Q937" s="128"/>
      <c r="R937" s="124"/>
      <c r="S937" s="125"/>
      <c r="T937" s="126"/>
      <c r="U937" s="126"/>
      <c r="V937" s="126"/>
      <c r="W937" s="126"/>
      <c r="X937" s="126"/>
      <c r="Y937" s="126"/>
      <c r="Z937" s="127"/>
      <c r="AA937" s="127"/>
      <c r="AB937" s="127"/>
      <c r="AC937" s="127"/>
      <c r="AD937" s="261"/>
      <c r="AE937" s="261"/>
      <c r="AF937" s="261"/>
      <c r="AG937" s="261"/>
    </row>
    <row r="938" ht="34.5" hidden="1" customHeight="1">
      <c r="A938" s="111"/>
      <c r="B938" s="127"/>
      <c r="C938" s="111"/>
      <c r="D938" s="111"/>
      <c r="E938" s="111"/>
      <c r="F938" s="111"/>
      <c r="G938" s="111"/>
      <c r="H938" s="111"/>
      <c r="I938" s="127"/>
      <c r="J938" s="111"/>
      <c r="K938" s="257"/>
      <c r="L938" s="111"/>
      <c r="M938" s="127"/>
      <c r="N938" s="270"/>
      <c r="O938" s="111"/>
      <c r="P938" s="111"/>
      <c r="Q938" s="128"/>
      <c r="R938" s="124"/>
      <c r="S938" s="125"/>
      <c r="T938" s="126"/>
      <c r="U938" s="126"/>
      <c r="V938" s="126"/>
      <c r="W938" s="126"/>
      <c r="X938" s="126"/>
      <c r="Y938" s="126"/>
      <c r="Z938" s="127"/>
      <c r="AA938" s="127"/>
      <c r="AB938" s="127"/>
      <c r="AC938" s="127"/>
      <c r="AD938" s="261"/>
      <c r="AE938" s="261"/>
      <c r="AF938" s="261"/>
      <c r="AG938" s="261"/>
    </row>
    <row r="939" ht="34.5" hidden="1" customHeight="1">
      <c r="A939" s="111"/>
      <c r="B939" s="127"/>
      <c r="C939" s="111"/>
      <c r="D939" s="111"/>
      <c r="E939" s="111"/>
      <c r="F939" s="111"/>
      <c r="G939" s="111"/>
      <c r="H939" s="111"/>
      <c r="I939" s="127"/>
      <c r="J939" s="111"/>
      <c r="K939" s="257"/>
      <c r="L939" s="111"/>
      <c r="M939" s="127"/>
      <c r="N939" s="270"/>
      <c r="O939" s="111"/>
      <c r="P939" s="111"/>
      <c r="Q939" s="128"/>
      <c r="R939" s="124"/>
      <c r="S939" s="125"/>
      <c r="T939" s="126"/>
      <c r="U939" s="126"/>
      <c r="V939" s="126"/>
      <c r="W939" s="126"/>
      <c r="X939" s="126"/>
      <c r="Y939" s="126"/>
      <c r="Z939" s="127"/>
      <c r="AA939" s="127"/>
      <c r="AB939" s="127"/>
      <c r="AC939" s="127"/>
      <c r="AD939" s="261"/>
      <c r="AE939" s="261"/>
      <c r="AF939" s="261"/>
      <c r="AG939" s="261"/>
    </row>
    <row r="940" ht="34.5" hidden="1" customHeight="1">
      <c r="A940" s="111"/>
      <c r="B940" s="127"/>
      <c r="C940" s="111"/>
      <c r="D940" s="111"/>
      <c r="E940" s="111"/>
      <c r="F940" s="111"/>
      <c r="G940" s="111"/>
      <c r="H940" s="111"/>
      <c r="I940" s="127"/>
      <c r="J940" s="111"/>
      <c r="K940" s="257"/>
      <c r="L940" s="111"/>
      <c r="M940" s="127"/>
      <c r="N940" s="270"/>
      <c r="O940" s="111"/>
      <c r="P940" s="111"/>
      <c r="Q940" s="128"/>
      <c r="R940" s="124"/>
      <c r="S940" s="125"/>
      <c r="T940" s="126"/>
      <c r="U940" s="126"/>
      <c r="V940" s="126"/>
      <c r="W940" s="126"/>
      <c r="X940" s="126"/>
      <c r="Y940" s="126"/>
      <c r="Z940" s="127"/>
      <c r="AA940" s="127"/>
      <c r="AB940" s="127"/>
      <c r="AC940" s="127"/>
      <c r="AD940" s="261"/>
      <c r="AE940" s="261"/>
      <c r="AF940" s="261"/>
      <c r="AG940" s="261"/>
    </row>
    <row r="941" ht="34.5" hidden="1" customHeight="1">
      <c r="A941" s="111"/>
      <c r="B941" s="127"/>
      <c r="C941" s="111"/>
      <c r="D941" s="111"/>
      <c r="E941" s="111"/>
      <c r="F941" s="111"/>
      <c r="G941" s="111"/>
      <c r="H941" s="111"/>
      <c r="I941" s="127"/>
      <c r="J941" s="111"/>
      <c r="K941" s="257"/>
      <c r="L941" s="111"/>
      <c r="M941" s="127"/>
      <c r="N941" s="270"/>
      <c r="O941" s="111"/>
      <c r="P941" s="111"/>
      <c r="Q941" s="128"/>
      <c r="R941" s="124"/>
      <c r="S941" s="125"/>
      <c r="T941" s="126"/>
      <c r="U941" s="126"/>
      <c r="V941" s="126"/>
      <c r="W941" s="126"/>
      <c r="X941" s="126"/>
      <c r="Y941" s="126"/>
      <c r="Z941" s="127"/>
      <c r="AA941" s="127"/>
      <c r="AB941" s="127"/>
      <c r="AC941" s="127"/>
      <c r="AD941" s="261"/>
      <c r="AE941" s="261"/>
      <c r="AF941" s="261"/>
      <c r="AG941" s="261"/>
    </row>
    <row r="942" ht="34.5" hidden="1" customHeight="1">
      <c r="A942" s="111"/>
      <c r="B942" s="127"/>
      <c r="C942" s="111"/>
      <c r="D942" s="111"/>
      <c r="E942" s="111"/>
      <c r="F942" s="111"/>
      <c r="G942" s="111"/>
      <c r="H942" s="111"/>
      <c r="I942" s="127"/>
      <c r="J942" s="111"/>
      <c r="K942" s="257"/>
      <c r="L942" s="111"/>
      <c r="M942" s="127"/>
      <c r="N942" s="270"/>
      <c r="O942" s="111"/>
      <c r="P942" s="111"/>
      <c r="Q942" s="128"/>
      <c r="R942" s="124"/>
      <c r="S942" s="125"/>
      <c r="T942" s="126"/>
      <c r="U942" s="126"/>
      <c r="V942" s="126"/>
      <c r="W942" s="126"/>
      <c r="X942" s="126"/>
      <c r="Y942" s="126"/>
      <c r="Z942" s="127"/>
      <c r="AA942" s="127"/>
      <c r="AB942" s="127"/>
      <c r="AC942" s="127"/>
      <c r="AD942" s="261"/>
      <c r="AE942" s="261"/>
      <c r="AF942" s="261"/>
      <c r="AG942" s="261"/>
    </row>
    <row r="943" ht="34.5" hidden="1" customHeight="1">
      <c r="A943" s="111"/>
      <c r="B943" s="127"/>
      <c r="C943" s="111"/>
      <c r="D943" s="111"/>
      <c r="E943" s="111"/>
      <c r="F943" s="111"/>
      <c r="G943" s="111"/>
      <c r="H943" s="111"/>
      <c r="I943" s="127"/>
      <c r="J943" s="111"/>
      <c r="K943" s="257"/>
      <c r="L943" s="111"/>
      <c r="M943" s="127"/>
      <c r="N943" s="270"/>
      <c r="O943" s="111"/>
      <c r="P943" s="111"/>
      <c r="Q943" s="128"/>
      <c r="R943" s="124"/>
      <c r="S943" s="125"/>
      <c r="T943" s="126"/>
      <c r="U943" s="126"/>
      <c r="V943" s="126"/>
      <c r="W943" s="126"/>
      <c r="X943" s="126"/>
      <c r="Y943" s="126"/>
      <c r="Z943" s="127"/>
      <c r="AA943" s="127"/>
      <c r="AB943" s="127"/>
      <c r="AC943" s="127"/>
      <c r="AD943" s="261"/>
      <c r="AE943" s="261"/>
      <c r="AF943" s="261"/>
      <c r="AG943" s="261"/>
    </row>
    <row r="944" ht="34.5" hidden="1" customHeight="1">
      <c r="A944" s="111"/>
      <c r="B944" s="127"/>
      <c r="C944" s="111"/>
      <c r="D944" s="111"/>
      <c r="E944" s="111"/>
      <c r="F944" s="111"/>
      <c r="G944" s="111"/>
      <c r="H944" s="111"/>
      <c r="I944" s="127"/>
      <c r="J944" s="111"/>
      <c r="K944" s="257"/>
      <c r="L944" s="111"/>
      <c r="M944" s="127"/>
      <c r="N944" s="270"/>
      <c r="O944" s="111"/>
      <c r="P944" s="111"/>
      <c r="Q944" s="128"/>
      <c r="R944" s="124"/>
      <c r="S944" s="125"/>
      <c r="T944" s="126"/>
      <c r="U944" s="126"/>
      <c r="V944" s="126"/>
      <c r="W944" s="126"/>
      <c r="X944" s="126"/>
      <c r="Y944" s="126"/>
      <c r="Z944" s="127"/>
      <c r="AA944" s="127"/>
      <c r="AB944" s="127"/>
      <c r="AC944" s="127"/>
      <c r="AD944" s="261"/>
      <c r="AE944" s="261"/>
      <c r="AF944" s="261"/>
      <c r="AG944" s="261"/>
    </row>
    <row r="945" ht="34.5" hidden="1" customHeight="1">
      <c r="A945" s="111"/>
      <c r="B945" s="127"/>
      <c r="C945" s="111"/>
      <c r="D945" s="111"/>
      <c r="E945" s="111"/>
      <c r="F945" s="111"/>
      <c r="G945" s="111"/>
      <c r="H945" s="111"/>
      <c r="I945" s="127"/>
      <c r="J945" s="111"/>
      <c r="K945" s="257"/>
      <c r="L945" s="111"/>
      <c r="M945" s="127"/>
      <c r="N945" s="270"/>
      <c r="O945" s="111"/>
      <c r="P945" s="111"/>
      <c r="Q945" s="128"/>
      <c r="R945" s="124"/>
      <c r="S945" s="125"/>
      <c r="T945" s="126"/>
      <c r="U945" s="126"/>
      <c r="V945" s="126"/>
      <c r="W945" s="126"/>
      <c r="X945" s="126"/>
      <c r="Y945" s="126"/>
      <c r="Z945" s="127"/>
      <c r="AA945" s="127"/>
      <c r="AB945" s="127"/>
      <c r="AC945" s="127"/>
      <c r="AD945" s="261"/>
      <c r="AE945" s="261"/>
      <c r="AF945" s="261"/>
      <c r="AG945" s="261"/>
    </row>
    <row r="946" ht="34.5" hidden="1" customHeight="1">
      <c r="A946" s="111"/>
      <c r="B946" s="127"/>
      <c r="C946" s="111"/>
      <c r="D946" s="111"/>
      <c r="E946" s="111"/>
      <c r="F946" s="111"/>
      <c r="G946" s="111"/>
      <c r="H946" s="111"/>
      <c r="I946" s="127"/>
      <c r="J946" s="111"/>
      <c r="K946" s="257"/>
      <c r="L946" s="111"/>
      <c r="M946" s="127"/>
      <c r="N946" s="270"/>
      <c r="O946" s="111"/>
      <c r="P946" s="111"/>
      <c r="Q946" s="128"/>
      <c r="R946" s="124"/>
      <c r="S946" s="125"/>
      <c r="T946" s="126"/>
      <c r="U946" s="126"/>
      <c r="V946" s="126"/>
      <c r="W946" s="126"/>
      <c r="X946" s="126"/>
      <c r="Y946" s="126"/>
      <c r="Z946" s="127"/>
      <c r="AA946" s="127"/>
      <c r="AB946" s="127"/>
      <c r="AC946" s="127"/>
      <c r="AD946" s="261"/>
      <c r="AE946" s="261"/>
      <c r="AF946" s="261"/>
      <c r="AG946" s="261"/>
    </row>
    <row r="947" ht="34.5" hidden="1" customHeight="1">
      <c r="A947" s="111"/>
      <c r="B947" s="127"/>
      <c r="C947" s="111"/>
      <c r="D947" s="111"/>
      <c r="E947" s="111"/>
      <c r="F947" s="111"/>
      <c r="G947" s="111"/>
      <c r="H947" s="111"/>
      <c r="I947" s="127"/>
      <c r="J947" s="111"/>
      <c r="K947" s="257"/>
      <c r="L947" s="111"/>
      <c r="M947" s="127"/>
      <c r="N947" s="270"/>
      <c r="O947" s="111"/>
      <c r="P947" s="111"/>
      <c r="Q947" s="128"/>
      <c r="R947" s="124"/>
      <c r="S947" s="125"/>
      <c r="T947" s="126"/>
      <c r="U947" s="126"/>
      <c r="V947" s="126"/>
      <c r="W947" s="126"/>
      <c r="X947" s="126"/>
      <c r="Y947" s="126"/>
      <c r="Z947" s="127"/>
      <c r="AA947" s="127"/>
      <c r="AB947" s="127"/>
      <c r="AC947" s="127"/>
      <c r="AD947" s="261"/>
      <c r="AE947" s="261"/>
      <c r="AF947" s="261"/>
      <c r="AG947" s="261"/>
    </row>
    <row r="948" ht="34.5" hidden="1" customHeight="1">
      <c r="A948" s="111"/>
      <c r="B948" s="127"/>
      <c r="C948" s="111"/>
      <c r="D948" s="111"/>
      <c r="E948" s="111"/>
      <c r="F948" s="111"/>
      <c r="G948" s="111"/>
      <c r="H948" s="111"/>
      <c r="I948" s="127"/>
      <c r="J948" s="111"/>
      <c r="K948" s="257"/>
      <c r="L948" s="111"/>
      <c r="M948" s="127"/>
      <c r="N948" s="270"/>
      <c r="O948" s="111"/>
      <c r="P948" s="111"/>
      <c r="Q948" s="128"/>
      <c r="R948" s="124"/>
      <c r="S948" s="125"/>
      <c r="T948" s="126"/>
      <c r="U948" s="126"/>
      <c r="V948" s="126"/>
      <c r="W948" s="126"/>
      <c r="X948" s="126"/>
      <c r="Y948" s="126"/>
      <c r="Z948" s="127"/>
      <c r="AA948" s="127"/>
      <c r="AB948" s="127"/>
      <c r="AC948" s="127"/>
      <c r="AD948" s="261"/>
      <c r="AE948" s="261"/>
      <c r="AF948" s="261"/>
      <c r="AG948" s="261"/>
    </row>
    <row r="949" ht="34.5" hidden="1" customHeight="1">
      <c r="A949" s="111"/>
      <c r="B949" s="127"/>
      <c r="C949" s="111"/>
      <c r="D949" s="111"/>
      <c r="E949" s="111"/>
      <c r="F949" s="111"/>
      <c r="G949" s="111"/>
      <c r="H949" s="111"/>
      <c r="I949" s="127"/>
      <c r="J949" s="111"/>
      <c r="K949" s="257"/>
      <c r="L949" s="111"/>
      <c r="M949" s="127"/>
      <c r="N949" s="270"/>
      <c r="O949" s="111"/>
      <c r="P949" s="111"/>
      <c r="Q949" s="128"/>
      <c r="R949" s="124"/>
      <c r="S949" s="125"/>
      <c r="T949" s="126"/>
      <c r="U949" s="126"/>
      <c r="V949" s="126"/>
      <c r="W949" s="126"/>
      <c r="X949" s="126"/>
      <c r="Y949" s="126"/>
      <c r="Z949" s="127"/>
      <c r="AA949" s="127"/>
      <c r="AB949" s="127"/>
      <c r="AC949" s="127"/>
      <c r="AD949" s="261"/>
      <c r="AE949" s="261"/>
      <c r="AF949" s="261"/>
      <c r="AG949" s="261"/>
    </row>
    <row r="950" ht="34.5" hidden="1" customHeight="1">
      <c r="A950" s="111"/>
      <c r="B950" s="127"/>
      <c r="C950" s="111"/>
      <c r="D950" s="111"/>
      <c r="E950" s="111"/>
      <c r="F950" s="111"/>
      <c r="G950" s="111"/>
      <c r="H950" s="111"/>
      <c r="I950" s="127"/>
      <c r="J950" s="111"/>
      <c r="K950" s="257"/>
      <c r="L950" s="111"/>
      <c r="M950" s="127"/>
      <c r="N950" s="270"/>
      <c r="O950" s="111"/>
      <c r="P950" s="111"/>
      <c r="Q950" s="128"/>
      <c r="R950" s="124"/>
      <c r="S950" s="125"/>
      <c r="T950" s="126"/>
      <c r="U950" s="126"/>
      <c r="V950" s="126"/>
      <c r="W950" s="126"/>
      <c r="X950" s="126"/>
      <c r="Y950" s="126"/>
      <c r="Z950" s="127"/>
      <c r="AA950" s="127"/>
      <c r="AB950" s="127"/>
      <c r="AC950" s="127"/>
      <c r="AD950" s="261"/>
      <c r="AE950" s="261"/>
      <c r="AF950" s="261"/>
      <c r="AG950" s="261"/>
    </row>
    <row r="951" ht="34.5" hidden="1" customHeight="1">
      <c r="A951" s="111"/>
      <c r="B951" s="127"/>
      <c r="C951" s="111"/>
      <c r="D951" s="111"/>
      <c r="E951" s="111"/>
      <c r="F951" s="111"/>
      <c r="G951" s="111"/>
      <c r="H951" s="111"/>
      <c r="I951" s="127"/>
      <c r="J951" s="111"/>
      <c r="K951" s="257"/>
      <c r="L951" s="111"/>
      <c r="M951" s="127"/>
      <c r="N951" s="270"/>
      <c r="O951" s="111"/>
      <c r="P951" s="111"/>
      <c r="Q951" s="128"/>
      <c r="R951" s="124"/>
      <c r="S951" s="125"/>
      <c r="T951" s="126"/>
      <c r="U951" s="126"/>
      <c r="V951" s="126"/>
      <c r="W951" s="126"/>
      <c r="X951" s="126"/>
      <c r="Y951" s="126"/>
      <c r="Z951" s="127"/>
      <c r="AA951" s="127"/>
      <c r="AB951" s="127"/>
      <c r="AC951" s="127"/>
      <c r="AD951" s="261"/>
      <c r="AE951" s="261"/>
      <c r="AF951" s="261"/>
      <c r="AG951" s="261"/>
    </row>
    <row r="952" ht="34.5" hidden="1" customHeight="1">
      <c r="A952" s="111"/>
      <c r="B952" s="127"/>
      <c r="C952" s="111"/>
      <c r="D952" s="111"/>
      <c r="E952" s="111"/>
      <c r="F952" s="111"/>
      <c r="G952" s="111"/>
      <c r="H952" s="111"/>
      <c r="I952" s="127"/>
      <c r="J952" s="111"/>
      <c r="K952" s="257"/>
      <c r="L952" s="111"/>
      <c r="M952" s="127"/>
      <c r="N952" s="270"/>
      <c r="O952" s="111"/>
      <c r="P952" s="111"/>
      <c r="Q952" s="128"/>
      <c r="R952" s="124"/>
      <c r="S952" s="125"/>
      <c r="T952" s="126"/>
      <c r="U952" s="126"/>
      <c r="V952" s="126"/>
      <c r="W952" s="126"/>
      <c r="X952" s="126"/>
      <c r="Y952" s="126"/>
      <c r="Z952" s="127"/>
      <c r="AA952" s="127"/>
      <c r="AB952" s="127"/>
      <c r="AC952" s="127"/>
      <c r="AD952" s="261"/>
      <c r="AE952" s="261"/>
      <c r="AF952" s="261"/>
      <c r="AG952" s="261"/>
    </row>
    <row r="953" ht="34.5" hidden="1" customHeight="1">
      <c r="A953" s="111"/>
      <c r="B953" s="127"/>
      <c r="C953" s="111"/>
      <c r="D953" s="111"/>
      <c r="E953" s="111"/>
      <c r="F953" s="111"/>
      <c r="G953" s="111"/>
      <c r="H953" s="111"/>
      <c r="I953" s="127"/>
      <c r="J953" s="111"/>
      <c r="K953" s="257"/>
      <c r="L953" s="111"/>
      <c r="M953" s="127"/>
      <c r="N953" s="270"/>
      <c r="O953" s="111"/>
      <c r="P953" s="111"/>
      <c r="Q953" s="128"/>
      <c r="R953" s="124"/>
      <c r="S953" s="125"/>
      <c r="T953" s="126"/>
      <c r="U953" s="126"/>
      <c r="V953" s="126"/>
      <c r="W953" s="126"/>
      <c r="X953" s="126"/>
      <c r="Y953" s="126"/>
      <c r="Z953" s="127"/>
      <c r="AA953" s="127"/>
      <c r="AB953" s="127"/>
      <c r="AC953" s="127"/>
      <c r="AD953" s="261"/>
      <c r="AE953" s="261"/>
      <c r="AF953" s="261"/>
      <c r="AG953" s="261"/>
    </row>
    <row r="954" ht="34.5" hidden="1" customHeight="1">
      <c r="A954" s="111"/>
      <c r="B954" s="127"/>
      <c r="C954" s="111"/>
      <c r="D954" s="111"/>
      <c r="E954" s="111"/>
      <c r="F954" s="111"/>
      <c r="G954" s="111"/>
      <c r="H954" s="111"/>
      <c r="I954" s="127"/>
      <c r="J954" s="111"/>
      <c r="K954" s="257"/>
      <c r="L954" s="111"/>
      <c r="M954" s="127"/>
      <c r="N954" s="270"/>
      <c r="O954" s="111"/>
      <c r="P954" s="111"/>
      <c r="Q954" s="128"/>
      <c r="R954" s="124"/>
      <c r="S954" s="125"/>
      <c r="T954" s="126"/>
      <c r="U954" s="126"/>
      <c r="V954" s="126"/>
      <c r="W954" s="126"/>
      <c r="X954" s="126"/>
      <c r="Y954" s="126"/>
      <c r="Z954" s="127"/>
      <c r="AA954" s="127"/>
      <c r="AB954" s="127"/>
      <c r="AC954" s="127"/>
      <c r="AD954" s="261"/>
      <c r="AE954" s="261"/>
      <c r="AF954" s="261"/>
      <c r="AG954" s="261"/>
    </row>
    <row r="955" ht="34.5" hidden="1" customHeight="1">
      <c r="A955" s="111"/>
      <c r="B955" s="127"/>
      <c r="C955" s="111"/>
      <c r="D955" s="111"/>
      <c r="E955" s="111"/>
      <c r="F955" s="111"/>
      <c r="G955" s="111"/>
      <c r="H955" s="111"/>
      <c r="I955" s="127"/>
      <c r="J955" s="111"/>
      <c r="K955" s="257"/>
      <c r="L955" s="111"/>
      <c r="M955" s="127"/>
      <c r="N955" s="270"/>
      <c r="O955" s="111"/>
      <c r="P955" s="111"/>
      <c r="Q955" s="128"/>
      <c r="R955" s="124"/>
      <c r="S955" s="125"/>
      <c r="T955" s="126"/>
      <c r="U955" s="126"/>
      <c r="V955" s="126"/>
      <c r="W955" s="126"/>
      <c r="X955" s="126"/>
      <c r="Y955" s="126"/>
      <c r="Z955" s="127"/>
      <c r="AA955" s="127"/>
      <c r="AB955" s="127"/>
      <c r="AC955" s="127"/>
      <c r="AD955" s="261"/>
      <c r="AE955" s="261"/>
      <c r="AF955" s="261"/>
      <c r="AG955" s="261"/>
    </row>
    <row r="956" ht="34.5" hidden="1" customHeight="1">
      <c r="A956" s="111"/>
      <c r="B956" s="127"/>
      <c r="C956" s="111"/>
      <c r="D956" s="111"/>
      <c r="E956" s="111"/>
      <c r="F956" s="111"/>
      <c r="G956" s="111"/>
      <c r="H956" s="111"/>
      <c r="I956" s="127"/>
      <c r="J956" s="111"/>
      <c r="K956" s="257"/>
      <c r="L956" s="111"/>
      <c r="M956" s="127"/>
      <c r="N956" s="270"/>
      <c r="O956" s="111"/>
      <c r="P956" s="111"/>
      <c r="Q956" s="128"/>
      <c r="R956" s="124"/>
      <c r="S956" s="125"/>
      <c r="T956" s="126"/>
      <c r="U956" s="126"/>
      <c r="V956" s="126"/>
      <c r="W956" s="126"/>
      <c r="X956" s="126"/>
      <c r="Y956" s="126"/>
      <c r="Z956" s="127"/>
      <c r="AA956" s="127"/>
      <c r="AB956" s="127"/>
      <c r="AC956" s="127"/>
      <c r="AD956" s="261"/>
      <c r="AE956" s="261"/>
      <c r="AF956" s="261"/>
      <c r="AG956" s="261"/>
    </row>
    <row r="957" ht="34.5" hidden="1" customHeight="1">
      <c r="A957" s="111"/>
      <c r="B957" s="127"/>
      <c r="C957" s="111"/>
      <c r="D957" s="111"/>
      <c r="E957" s="111"/>
      <c r="F957" s="111"/>
      <c r="G957" s="111"/>
      <c r="H957" s="111"/>
      <c r="I957" s="127"/>
      <c r="J957" s="111"/>
      <c r="K957" s="257"/>
      <c r="L957" s="111"/>
      <c r="M957" s="127"/>
      <c r="N957" s="270"/>
      <c r="O957" s="111"/>
      <c r="P957" s="111"/>
      <c r="Q957" s="128"/>
      <c r="R957" s="124"/>
      <c r="S957" s="125"/>
      <c r="T957" s="126"/>
      <c r="U957" s="126"/>
      <c r="V957" s="126"/>
      <c r="W957" s="126"/>
      <c r="X957" s="126"/>
      <c r="Y957" s="126"/>
      <c r="Z957" s="127"/>
      <c r="AA957" s="127"/>
      <c r="AB957" s="127"/>
      <c r="AC957" s="127"/>
      <c r="AD957" s="261"/>
      <c r="AE957" s="261"/>
      <c r="AF957" s="261"/>
      <c r="AG957" s="261"/>
    </row>
    <row r="958" ht="34.5" hidden="1" customHeight="1">
      <c r="A958" s="111"/>
      <c r="B958" s="127"/>
      <c r="C958" s="111"/>
      <c r="D958" s="111"/>
      <c r="E958" s="111"/>
      <c r="F958" s="111"/>
      <c r="G958" s="111"/>
      <c r="H958" s="111"/>
      <c r="I958" s="127"/>
      <c r="J958" s="111"/>
      <c r="K958" s="257"/>
      <c r="L958" s="111"/>
      <c r="M958" s="127"/>
      <c r="N958" s="270"/>
      <c r="O958" s="111"/>
      <c r="P958" s="111"/>
      <c r="Q958" s="128"/>
      <c r="R958" s="124"/>
      <c r="S958" s="125"/>
      <c r="T958" s="126"/>
      <c r="U958" s="126"/>
      <c r="V958" s="126"/>
      <c r="W958" s="126"/>
      <c r="X958" s="126"/>
      <c r="Y958" s="126"/>
      <c r="Z958" s="127"/>
      <c r="AA958" s="127"/>
      <c r="AB958" s="127"/>
      <c r="AC958" s="127"/>
      <c r="AD958" s="261"/>
      <c r="AE958" s="261"/>
      <c r="AF958" s="261"/>
      <c r="AG958" s="261"/>
    </row>
    <row r="959" ht="34.5" hidden="1" customHeight="1">
      <c r="A959" s="111"/>
      <c r="B959" s="127"/>
      <c r="C959" s="111"/>
      <c r="D959" s="111"/>
      <c r="E959" s="111"/>
      <c r="F959" s="111"/>
      <c r="G959" s="111"/>
      <c r="H959" s="111"/>
      <c r="I959" s="127"/>
      <c r="J959" s="111"/>
      <c r="K959" s="257"/>
      <c r="L959" s="111"/>
      <c r="M959" s="127"/>
      <c r="N959" s="270"/>
      <c r="O959" s="111"/>
      <c r="P959" s="111"/>
      <c r="Q959" s="128"/>
      <c r="R959" s="124"/>
      <c r="S959" s="125"/>
      <c r="T959" s="126"/>
      <c r="U959" s="126"/>
      <c r="V959" s="126"/>
      <c r="W959" s="126"/>
      <c r="X959" s="126"/>
      <c r="Y959" s="126"/>
      <c r="Z959" s="127"/>
      <c r="AA959" s="127"/>
      <c r="AB959" s="127"/>
      <c r="AC959" s="127"/>
      <c r="AD959" s="261"/>
      <c r="AE959" s="261"/>
      <c r="AF959" s="261"/>
      <c r="AG959" s="261"/>
    </row>
    <row r="960" ht="34.5" hidden="1" customHeight="1">
      <c r="A960" s="111"/>
      <c r="B960" s="127"/>
      <c r="C960" s="111"/>
      <c r="D960" s="111"/>
      <c r="E960" s="111"/>
      <c r="F960" s="111"/>
      <c r="G960" s="111"/>
      <c r="H960" s="111"/>
      <c r="I960" s="127"/>
      <c r="J960" s="111"/>
      <c r="K960" s="257"/>
      <c r="L960" s="111"/>
      <c r="M960" s="127"/>
      <c r="N960" s="270"/>
      <c r="O960" s="111"/>
      <c r="P960" s="111"/>
      <c r="Q960" s="128"/>
      <c r="R960" s="124"/>
      <c r="S960" s="125"/>
      <c r="T960" s="126"/>
      <c r="U960" s="126"/>
      <c r="V960" s="126"/>
      <c r="W960" s="126"/>
      <c r="X960" s="126"/>
      <c r="Y960" s="126"/>
      <c r="Z960" s="127"/>
      <c r="AA960" s="127"/>
      <c r="AB960" s="127"/>
      <c r="AC960" s="127"/>
      <c r="AD960" s="261"/>
      <c r="AE960" s="261"/>
      <c r="AF960" s="261"/>
      <c r="AG960" s="261"/>
    </row>
    <row r="961" ht="34.5" hidden="1" customHeight="1">
      <c r="A961" s="111"/>
      <c r="B961" s="127"/>
      <c r="C961" s="111"/>
      <c r="D961" s="111"/>
      <c r="E961" s="111"/>
      <c r="F961" s="111"/>
      <c r="G961" s="111"/>
      <c r="H961" s="111"/>
      <c r="I961" s="127"/>
      <c r="J961" s="111"/>
      <c r="K961" s="257"/>
      <c r="L961" s="111"/>
      <c r="M961" s="127"/>
      <c r="N961" s="270"/>
      <c r="O961" s="111"/>
      <c r="P961" s="111"/>
      <c r="Q961" s="128"/>
      <c r="R961" s="124"/>
      <c r="S961" s="125"/>
      <c r="T961" s="126"/>
      <c r="U961" s="126"/>
      <c r="V961" s="126"/>
      <c r="W961" s="126"/>
      <c r="X961" s="126"/>
      <c r="Y961" s="126"/>
      <c r="Z961" s="127"/>
      <c r="AA961" s="127"/>
      <c r="AB961" s="127"/>
      <c r="AC961" s="127"/>
      <c r="AD961" s="261"/>
      <c r="AE961" s="261"/>
      <c r="AF961" s="261"/>
      <c r="AG961" s="261"/>
    </row>
    <row r="962" ht="34.5" hidden="1" customHeight="1">
      <c r="A962" s="111"/>
      <c r="B962" s="127"/>
      <c r="C962" s="111"/>
      <c r="D962" s="111"/>
      <c r="E962" s="111"/>
      <c r="F962" s="111"/>
      <c r="G962" s="111"/>
      <c r="H962" s="111"/>
      <c r="I962" s="127"/>
      <c r="J962" s="111"/>
      <c r="K962" s="257"/>
      <c r="L962" s="111"/>
      <c r="M962" s="127"/>
      <c r="N962" s="270"/>
      <c r="O962" s="111"/>
      <c r="P962" s="111"/>
      <c r="Q962" s="128"/>
      <c r="R962" s="124"/>
      <c r="S962" s="125"/>
      <c r="T962" s="126"/>
      <c r="U962" s="126"/>
      <c r="V962" s="126"/>
      <c r="W962" s="126"/>
      <c r="X962" s="126"/>
      <c r="Y962" s="126"/>
      <c r="Z962" s="127"/>
      <c r="AA962" s="127"/>
      <c r="AB962" s="127"/>
      <c r="AC962" s="127"/>
      <c r="AD962" s="261"/>
      <c r="AE962" s="261"/>
      <c r="AF962" s="261"/>
      <c r="AG962" s="261"/>
    </row>
    <row r="963" ht="34.5" hidden="1" customHeight="1">
      <c r="A963" s="111"/>
      <c r="B963" s="127"/>
      <c r="C963" s="111"/>
      <c r="D963" s="111"/>
      <c r="E963" s="111"/>
      <c r="F963" s="111"/>
      <c r="G963" s="111"/>
      <c r="H963" s="111"/>
      <c r="I963" s="127"/>
      <c r="J963" s="111"/>
      <c r="K963" s="257"/>
      <c r="L963" s="111"/>
      <c r="M963" s="127"/>
      <c r="N963" s="270"/>
      <c r="O963" s="111"/>
      <c r="P963" s="111"/>
      <c r="Q963" s="128"/>
      <c r="R963" s="124"/>
      <c r="S963" s="125"/>
      <c r="T963" s="126"/>
      <c r="U963" s="126"/>
      <c r="V963" s="126"/>
      <c r="W963" s="126"/>
      <c r="X963" s="126"/>
      <c r="Y963" s="126"/>
      <c r="Z963" s="127"/>
      <c r="AA963" s="127"/>
      <c r="AB963" s="127"/>
      <c r="AC963" s="127"/>
      <c r="AD963" s="261"/>
      <c r="AE963" s="261"/>
      <c r="AF963" s="261"/>
      <c r="AG963" s="261"/>
    </row>
    <row r="964" ht="34.5" hidden="1" customHeight="1">
      <c r="A964" s="111"/>
      <c r="B964" s="127"/>
      <c r="C964" s="111"/>
      <c r="D964" s="111"/>
      <c r="E964" s="111"/>
      <c r="F964" s="111"/>
      <c r="G964" s="111"/>
      <c r="H964" s="111"/>
      <c r="I964" s="127"/>
      <c r="J964" s="111"/>
      <c r="K964" s="257"/>
      <c r="L964" s="111"/>
      <c r="M964" s="127"/>
      <c r="N964" s="270"/>
      <c r="O964" s="111"/>
      <c r="P964" s="111"/>
      <c r="Q964" s="128"/>
      <c r="R964" s="124"/>
      <c r="S964" s="125"/>
      <c r="T964" s="126"/>
      <c r="U964" s="126"/>
      <c r="V964" s="126"/>
      <c r="W964" s="126"/>
      <c r="X964" s="126"/>
      <c r="Y964" s="126"/>
      <c r="Z964" s="127"/>
      <c r="AA964" s="127"/>
      <c r="AB964" s="127"/>
      <c r="AC964" s="127"/>
      <c r="AD964" s="261"/>
      <c r="AE964" s="261"/>
      <c r="AF964" s="261"/>
      <c r="AG964" s="261"/>
    </row>
    <row r="965" ht="34.5" hidden="1" customHeight="1">
      <c r="A965" s="111"/>
      <c r="B965" s="127"/>
      <c r="C965" s="111"/>
      <c r="D965" s="111"/>
      <c r="E965" s="111"/>
      <c r="F965" s="111"/>
      <c r="G965" s="111"/>
      <c r="H965" s="111"/>
      <c r="I965" s="127"/>
      <c r="J965" s="111"/>
      <c r="K965" s="257"/>
      <c r="L965" s="111"/>
      <c r="M965" s="127"/>
      <c r="N965" s="270"/>
      <c r="O965" s="111"/>
      <c r="P965" s="111"/>
      <c r="Q965" s="128"/>
      <c r="R965" s="124"/>
      <c r="S965" s="125"/>
      <c r="T965" s="126"/>
      <c r="U965" s="126"/>
      <c r="V965" s="126"/>
      <c r="W965" s="126"/>
      <c r="X965" s="126"/>
      <c r="Y965" s="126"/>
      <c r="Z965" s="127"/>
      <c r="AA965" s="127"/>
      <c r="AB965" s="127"/>
      <c r="AC965" s="127"/>
      <c r="AD965" s="261"/>
      <c r="AE965" s="261"/>
      <c r="AF965" s="261"/>
      <c r="AG965" s="261"/>
    </row>
    <row r="966" ht="34.5" hidden="1" customHeight="1">
      <c r="A966" s="111"/>
      <c r="B966" s="127"/>
      <c r="C966" s="111"/>
      <c r="D966" s="111"/>
      <c r="E966" s="111"/>
      <c r="F966" s="111"/>
      <c r="G966" s="111"/>
      <c r="H966" s="111"/>
      <c r="I966" s="127"/>
      <c r="J966" s="111"/>
      <c r="K966" s="257"/>
      <c r="L966" s="111"/>
      <c r="M966" s="127"/>
      <c r="N966" s="270"/>
      <c r="O966" s="111"/>
      <c r="P966" s="111"/>
      <c r="Q966" s="128"/>
      <c r="R966" s="124"/>
      <c r="S966" s="125"/>
      <c r="T966" s="126"/>
      <c r="U966" s="126"/>
      <c r="V966" s="126"/>
      <c r="W966" s="126"/>
      <c r="X966" s="126"/>
      <c r="Y966" s="126"/>
      <c r="Z966" s="127"/>
      <c r="AA966" s="127"/>
      <c r="AB966" s="127"/>
      <c r="AC966" s="127"/>
      <c r="AD966" s="261"/>
      <c r="AE966" s="261"/>
      <c r="AF966" s="261"/>
      <c r="AG966" s="261"/>
    </row>
    <row r="967" ht="34.5" hidden="1" customHeight="1">
      <c r="A967" s="111"/>
      <c r="B967" s="127"/>
      <c r="C967" s="111"/>
      <c r="D967" s="111"/>
      <c r="E967" s="111"/>
      <c r="F967" s="111"/>
      <c r="G967" s="111"/>
      <c r="H967" s="111"/>
      <c r="I967" s="127"/>
      <c r="J967" s="111"/>
      <c r="K967" s="257"/>
      <c r="L967" s="111"/>
      <c r="M967" s="127"/>
      <c r="N967" s="270"/>
      <c r="O967" s="111"/>
      <c r="P967" s="111"/>
      <c r="Q967" s="128"/>
      <c r="R967" s="124"/>
      <c r="S967" s="125"/>
      <c r="T967" s="126"/>
      <c r="U967" s="126"/>
      <c r="V967" s="126"/>
      <c r="W967" s="126"/>
      <c r="X967" s="126"/>
      <c r="Y967" s="126"/>
      <c r="Z967" s="127"/>
      <c r="AA967" s="127"/>
      <c r="AB967" s="127"/>
      <c r="AC967" s="127"/>
      <c r="AD967" s="261"/>
      <c r="AE967" s="261"/>
      <c r="AF967" s="261"/>
      <c r="AG967" s="261"/>
    </row>
    <row r="968" ht="34.5" hidden="1" customHeight="1">
      <c r="A968" s="111"/>
      <c r="B968" s="127"/>
      <c r="C968" s="111"/>
      <c r="D968" s="111"/>
      <c r="E968" s="111"/>
      <c r="F968" s="111"/>
      <c r="G968" s="111"/>
      <c r="H968" s="111"/>
      <c r="I968" s="127"/>
      <c r="J968" s="111"/>
      <c r="K968" s="257"/>
      <c r="L968" s="111"/>
      <c r="M968" s="127"/>
      <c r="N968" s="270"/>
      <c r="O968" s="111"/>
      <c r="P968" s="111"/>
      <c r="Q968" s="128"/>
      <c r="R968" s="124"/>
      <c r="S968" s="125"/>
      <c r="T968" s="126"/>
      <c r="U968" s="126"/>
      <c r="V968" s="126"/>
      <c r="W968" s="126"/>
      <c r="X968" s="126"/>
      <c r="Y968" s="126"/>
      <c r="Z968" s="127"/>
      <c r="AA968" s="127"/>
      <c r="AB968" s="127"/>
      <c r="AC968" s="127"/>
      <c r="AD968" s="261"/>
      <c r="AE968" s="261"/>
      <c r="AF968" s="261"/>
      <c r="AG968" s="261"/>
    </row>
    <row r="969" ht="34.5" hidden="1" customHeight="1">
      <c r="A969" s="111"/>
      <c r="B969" s="127"/>
      <c r="C969" s="111"/>
      <c r="D969" s="111"/>
      <c r="E969" s="111"/>
      <c r="F969" s="111"/>
      <c r="G969" s="111"/>
      <c r="H969" s="111"/>
      <c r="I969" s="127"/>
      <c r="J969" s="111"/>
      <c r="K969" s="257"/>
      <c r="L969" s="111"/>
      <c r="M969" s="127"/>
      <c r="N969" s="270"/>
      <c r="O969" s="111"/>
      <c r="P969" s="111"/>
      <c r="Q969" s="128"/>
      <c r="R969" s="124"/>
      <c r="S969" s="125"/>
      <c r="T969" s="126"/>
      <c r="U969" s="126"/>
      <c r="V969" s="126"/>
      <c r="W969" s="126"/>
      <c r="X969" s="126"/>
      <c r="Y969" s="126"/>
      <c r="Z969" s="127"/>
      <c r="AA969" s="127"/>
      <c r="AB969" s="127"/>
      <c r="AC969" s="127"/>
      <c r="AD969" s="261"/>
      <c r="AE969" s="261"/>
      <c r="AF969" s="261"/>
      <c r="AG969" s="261"/>
    </row>
    <row r="970" ht="34.5" hidden="1" customHeight="1">
      <c r="A970" s="111"/>
      <c r="B970" s="127"/>
      <c r="C970" s="111"/>
      <c r="D970" s="111"/>
      <c r="E970" s="111"/>
      <c r="F970" s="111"/>
      <c r="G970" s="111"/>
      <c r="H970" s="111"/>
      <c r="I970" s="127"/>
      <c r="J970" s="111"/>
      <c r="K970" s="257"/>
      <c r="L970" s="111"/>
      <c r="M970" s="127"/>
      <c r="N970" s="270"/>
      <c r="O970" s="111"/>
      <c r="P970" s="111"/>
      <c r="Q970" s="128"/>
      <c r="R970" s="124"/>
      <c r="S970" s="125"/>
      <c r="T970" s="126"/>
      <c r="U970" s="126"/>
      <c r="V970" s="126"/>
      <c r="W970" s="126"/>
      <c r="X970" s="126"/>
      <c r="Y970" s="126"/>
      <c r="Z970" s="127"/>
      <c r="AA970" s="127"/>
      <c r="AB970" s="127"/>
      <c r="AC970" s="127"/>
      <c r="AD970" s="261"/>
      <c r="AE970" s="261"/>
      <c r="AF970" s="261"/>
      <c r="AG970" s="261"/>
    </row>
    <row r="971" ht="34.5" hidden="1" customHeight="1">
      <c r="A971" s="111"/>
      <c r="B971" s="127"/>
      <c r="C971" s="111"/>
      <c r="D971" s="111"/>
      <c r="E971" s="111"/>
      <c r="F971" s="111"/>
      <c r="G971" s="111"/>
      <c r="H971" s="111"/>
      <c r="I971" s="127"/>
      <c r="J971" s="111"/>
      <c r="K971" s="257"/>
      <c r="L971" s="111"/>
      <c r="M971" s="127"/>
      <c r="N971" s="270"/>
      <c r="O971" s="111"/>
      <c r="P971" s="111"/>
      <c r="Q971" s="128"/>
      <c r="R971" s="124"/>
      <c r="S971" s="125"/>
      <c r="T971" s="126"/>
      <c r="U971" s="126"/>
      <c r="V971" s="126"/>
      <c r="W971" s="126"/>
      <c r="X971" s="126"/>
      <c r="Y971" s="126"/>
      <c r="Z971" s="127"/>
      <c r="AA971" s="127"/>
      <c r="AB971" s="127"/>
      <c r="AC971" s="127"/>
      <c r="AD971" s="261"/>
      <c r="AE971" s="261"/>
      <c r="AF971" s="261"/>
      <c r="AG971" s="261"/>
    </row>
    <row r="972" ht="34.5" hidden="1" customHeight="1">
      <c r="A972" s="111"/>
      <c r="B972" s="127"/>
      <c r="C972" s="111"/>
      <c r="D972" s="111"/>
      <c r="E972" s="111"/>
      <c r="F972" s="111"/>
      <c r="G972" s="111"/>
      <c r="H972" s="111"/>
      <c r="I972" s="127"/>
      <c r="J972" s="111"/>
      <c r="K972" s="257"/>
      <c r="L972" s="111"/>
      <c r="M972" s="127"/>
      <c r="N972" s="270"/>
      <c r="O972" s="111"/>
      <c r="P972" s="111"/>
      <c r="Q972" s="128"/>
      <c r="R972" s="124"/>
      <c r="S972" s="125"/>
      <c r="T972" s="126"/>
      <c r="U972" s="126"/>
      <c r="V972" s="126"/>
      <c r="W972" s="126"/>
      <c r="X972" s="126"/>
      <c r="Y972" s="126"/>
      <c r="Z972" s="127"/>
      <c r="AA972" s="127"/>
      <c r="AB972" s="127"/>
      <c r="AC972" s="127"/>
      <c r="AD972" s="261"/>
      <c r="AE972" s="261"/>
      <c r="AF972" s="261"/>
      <c r="AG972" s="261"/>
    </row>
    <row r="973" ht="34.5" hidden="1" customHeight="1">
      <c r="A973" s="111"/>
      <c r="B973" s="127"/>
      <c r="C973" s="111"/>
      <c r="D973" s="111"/>
      <c r="E973" s="111"/>
      <c r="F973" s="111"/>
      <c r="G973" s="111"/>
      <c r="H973" s="111"/>
      <c r="I973" s="127"/>
      <c r="J973" s="111"/>
      <c r="K973" s="257"/>
      <c r="L973" s="111"/>
      <c r="M973" s="127"/>
      <c r="N973" s="270"/>
      <c r="O973" s="111"/>
      <c r="P973" s="111"/>
      <c r="Q973" s="128"/>
      <c r="R973" s="124"/>
      <c r="S973" s="125"/>
      <c r="T973" s="126"/>
      <c r="U973" s="126"/>
      <c r="V973" s="126"/>
      <c r="W973" s="126"/>
      <c r="X973" s="126"/>
      <c r="Y973" s="126"/>
      <c r="Z973" s="127"/>
      <c r="AA973" s="127"/>
      <c r="AB973" s="127"/>
      <c r="AC973" s="127"/>
      <c r="AD973" s="261"/>
      <c r="AE973" s="261"/>
      <c r="AF973" s="261"/>
      <c r="AG973" s="261"/>
    </row>
    <row r="974" ht="34.5" hidden="1" customHeight="1">
      <c r="A974" s="111"/>
      <c r="B974" s="127"/>
      <c r="C974" s="111"/>
      <c r="D974" s="111"/>
      <c r="E974" s="111"/>
      <c r="F974" s="111"/>
      <c r="G974" s="111"/>
      <c r="H974" s="111"/>
      <c r="I974" s="127"/>
      <c r="J974" s="111"/>
      <c r="K974" s="257"/>
      <c r="L974" s="111"/>
      <c r="M974" s="127"/>
      <c r="N974" s="270"/>
      <c r="O974" s="111"/>
      <c r="P974" s="111"/>
      <c r="Q974" s="128"/>
      <c r="R974" s="124"/>
      <c r="S974" s="125"/>
      <c r="T974" s="126"/>
      <c r="U974" s="126"/>
      <c r="V974" s="126"/>
      <c r="W974" s="126"/>
      <c r="X974" s="126"/>
      <c r="Y974" s="126"/>
      <c r="Z974" s="127"/>
      <c r="AA974" s="127"/>
      <c r="AB974" s="127"/>
      <c r="AC974" s="127"/>
      <c r="AD974" s="261"/>
      <c r="AE974" s="261"/>
      <c r="AF974" s="261"/>
      <c r="AG974" s="261"/>
    </row>
    <row r="975" ht="34.5" hidden="1" customHeight="1">
      <c r="A975" s="111"/>
      <c r="B975" s="127"/>
      <c r="C975" s="111"/>
      <c r="D975" s="111"/>
      <c r="E975" s="111"/>
      <c r="F975" s="111"/>
      <c r="G975" s="111"/>
      <c r="H975" s="111"/>
      <c r="I975" s="127"/>
      <c r="J975" s="111"/>
      <c r="K975" s="257"/>
      <c r="L975" s="111"/>
      <c r="M975" s="127"/>
      <c r="N975" s="270"/>
      <c r="O975" s="111"/>
      <c r="P975" s="111"/>
      <c r="Q975" s="128"/>
      <c r="R975" s="124"/>
      <c r="S975" s="125"/>
      <c r="T975" s="126"/>
      <c r="U975" s="126"/>
      <c r="V975" s="126"/>
      <c r="W975" s="126"/>
      <c r="X975" s="126"/>
      <c r="Y975" s="126"/>
      <c r="Z975" s="127"/>
      <c r="AA975" s="127"/>
      <c r="AB975" s="127"/>
      <c r="AC975" s="127"/>
      <c r="AD975" s="261"/>
      <c r="AE975" s="261"/>
      <c r="AF975" s="261"/>
      <c r="AG975" s="261"/>
    </row>
    <row r="976" ht="34.5" hidden="1" customHeight="1">
      <c r="A976" s="111"/>
      <c r="B976" s="127"/>
      <c r="C976" s="111"/>
      <c r="D976" s="111"/>
      <c r="E976" s="111"/>
      <c r="F976" s="111"/>
      <c r="G976" s="111"/>
      <c r="H976" s="111"/>
      <c r="I976" s="127"/>
      <c r="J976" s="111"/>
      <c r="K976" s="257"/>
      <c r="L976" s="111"/>
      <c r="M976" s="127"/>
      <c r="N976" s="270"/>
      <c r="O976" s="111"/>
      <c r="P976" s="111"/>
      <c r="Q976" s="128"/>
      <c r="R976" s="124"/>
      <c r="S976" s="125"/>
      <c r="T976" s="126"/>
      <c r="U976" s="126"/>
      <c r="V976" s="126"/>
      <c r="W976" s="126"/>
      <c r="X976" s="126"/>
      <c r="Y976" s="126"/>
      <c r="Z976" s="127"/>
      <c r="AA976" s="127"/>
      <c r="AB976" s="127"/>
      <c r="AC976" s="127"/>
      <c r="AD976" s="261"/>
      <c r="AE976" s="261"/>
      <c r="AF976" s="261"/>
      <c r="AG976" s="261"/>
    </row>
    <row r="977" ht="34.5" hidden="1" customHeight="1">
      <c r="A977" s="111"/>
      <c r="B977" s="127"/>
      <c r="C977" s="111"/>
      <c r="D977" s="111"/>
      <c r="E977" s="111"/>
      <c r="F977" s="111"/>
      <c r="G977" s="111"/>
      <c r="H977" s="111"/>
      <c r="I977" s="127"/>
      <c r="J977" s="111"/>
      <c r="K977" s="257"/>
      <c r="L977" s="111"/>
      <c r="M977" s="127"/>
      <c r="N977" s="270"/>
      <c r="O977" s="111"/>
      <c r="P977" s="111"/>
      <c r="Q977" s="128"/>
      <c r="R977" s="124"/>
      <c r="S977" s="125"/>
      <c r="T977" s="126"/>
      <c r="U977" s="126"/>
      <c r="V977" s="126"/>
      <c r="W977" s="126"/>
      <c r="X977" s="126"/>
      <c r="Y977" s="126"/>
      <c r="Z977" s="127"/>
      <c r="AA977" s="127"/>
      <c r="AB977" s="127"/>
      <c r="AC977" s="127"/>
      <c r="AD977" s="261"/>
      <c r="AE977" s="261"/>
      <c r="AF977" s="261"/>
      <c r="AG977" s="261"/>
    </row>
    <row r="978" ht="34.5" hidden="1" customHeight="1">
      <c r="A978" s="111"/>
      <c r="B978" s="127"/>
      <c r="C978" s="111"/>
      <c r="D978" s="111"/>
      <c r="E978" s="111"/>
      <c r="F978" s="111"/>
      <c r="G978" s="111"/>
      <c r="H978" s="111"/>
      <c r="I978" s="127"/>
      <c r="J978" s="111"/>
      <c r="K978" s="257"/>
      <c r="L978" s="111"/>
      <c r="M978" s="127"/>
      <c r="N978" s="270"/>
      <c r="O978" s="111"/>
      <c r="P978" s="111"/>
      <c r="Q978" s="128"/>
      <c r="R978" s="124"/>
      <c r="S978" s="125"/>
      <c r="T978" s="126"/>
      <c r="U978" s="126"/>
      <c r="V978" s="126"/>
      <c r="W978" s="126"/>
      <c r="X978" s="126"/>
      <c r="Y978" s="126"/>
      <c r="Z978" s="127"/>
      <c r="AA978" s="127"/>
      <c r="AB978" s="127"/>
      <c r="AC978" s="127"/>
      <c r="AD978" s="261"/>
      <c r="AE978" s="261"/>
      <c r="AF978" s="261"/>
      <c r="AG978" s="261"/>
    </row>
    <row r="979" ht="34.5" hidden="1" customHeight="1">
      <c r="A979" s="111"/>
      <c r="B979" s="127"/>
      <c r="C979" s="111"/>
      <c r="D979" s="111"/>
      <c r="E979" s="111"/>
      <c r="F979" s="111"/>
      <c r="G979" s="111"/>
      <c r="H979" s="111"/>
      <c r="I979" s="127"/>
      <c r="J979" s="111"/>
      <c r="K979" s="257"/>
      <c r="L979" s="111"/>
      <c r="M979" s="127"/>
      <c r="N979" s="270"/>
      <c r="O979" s="111"/>
      <c r="P979" s="111"/>
      <c r="Q979" s="128"/>
      <c r="R979" s="124"/>
      <c r="S979" s="125"/>
      <c r="T979" s="126"/>
      <c r="U979" s="126"/>
      <c r="V979" s="126"/>
      <c r="W979" s="126"/>
      <c r="X979" s="126"/>
      <c r="Y979" s="126"/>
      <c r="Z979" s="127"/>
      <c r="AA979" s="127"/>
      <c r="AB979" s="127"/>
      <c r="AC979" s="127"/>
      <c r="AD979" s="261"/>
      <c r="AE979" s="261"/>
      <c r="AF979" s="261"/>
      <c r="AG979" s="261"/>
    </row>
    <row r="980" ht="34.5" hidden="1" customHeight="1">
      <c r="A980" s="111"/>
      <c r="B980" s="127"/>
      <c r="C980" s="111"/>
      <c r="D980" s="111"/>
      <c r="E980" s="111"/>
      <c r="F980" s="111"/>
      <c r="G980" s="111"/>
      <c r="H980" s="111"/>
      <c r="I980" s="127"/>
      <c r="J980" s="111"/>
      <c r="K980" s="257"/>
      <c r="L980" s="111"/>
      <c r="M980" s="127"/>
      <c r="N980" s="270"/>
      <c r="O980" s="111"/>
      <c r="P980" s="111"/>
      <c r="Q980" s="128"/>
      <c r="R980" s="124"/>
      <c r="S980" s="125"/>
      <c r="T980" s="126"/>
      <c r="U980" s="126"/>
      <c r="V980" s="126"/>
      <c r="W980" s="126"/>
      <c r="X980" s="126"/>
      <c r="Y980" s="126"/>
      <c r="Z980" s="127"/>
      <c r="AA980" s="127"/>
      <c r="AB980" s="127"/>
      <c r="AC980" s="127"/>
      <c r="AD980" s="261"/>
      <c r="AE980" s="261"/>
      <c r="AF980" s="261"/>
      <c r="AG980" s="261"/>
    </row>
    <row r="981" ht="34.5" hidden="1" customHeight="1">
      <c r="A981" s="111"/>
      <c r="B981" s="127"/>
      <c r="C981" s="111"/>
      <c r="D981" s="111"/>
      <c r="E981" s="111"/>
      <c r="F981" s="111"/>
      <c r="G981" s="111"/>
      <c r="H981" s="111"/>
      <c r="I981" s="127"/>
      <c r="J981" s="111"/>
      <c r="K981" s="257"/>
      <c r="L981" s="111"/>
      <c r="M981" s="127"/>
      <c r="N981" s="270"/>
      <c r="O981" s="111"/>
      <c r="P981" s="111"/>
      <c r="Q981" s="128"/>
      <c r="R981" s="124"/>
      <c r="S981" s="125"/>
      <c r="T981" s="126"/>
      <c r="U981" s="126"/>
      <c r="V981" s="126"/>
      <c r="W981" s="126"/>
      <c r="X981" s="126"/>
      <c r="Y981" s="126"/>
      <c r="Z981" s="127"/>
      <c r="AA981" s="127"/>
      <c r="AB981" s="127"/>
      <c r="AC981" s="127"/>
      <c r="AD981" s="261"/>
      <c r="AE981" s="261"/>
      <c r="AF981" s="261"/>
      <c r="AG981" s="261"/>
    </row>
    <row r="982" ht="34.5" hidden="1" customHeight="1">
      <c r="A982" s="111"/>
      <c r="B982" s="127"/>
      <c r="C982" s="111"/>
      <c r="D982" s="111"/>
      <c r="E982" s="111"/>
      <c r="F982" s="111"/>
      <c r="G982" s="111"/>
      <c r="H982" s="111"/>
      <c r="I982" s="127"/>
      <c r="J982" s="111"/>
      <c r="K982" s="257"/>
      <c r="L982" s="111"/>
      <c r="M982" s="127"/>
      <c r="N982" s="270"/>
      <c r="O982" s="111"/>
      <c r="P982" s="111"/>
      <c r="Q982" s="128"/>
      <c r="R982" s="124"/>
      <c r="S982" s="125"/>
      <c r="T982" s="126"/>
      <c r="U982" s="126"/>
      <c r="V982" s="126"/>
      <c r="W982" s="126"/>
      <c r="X982" s="126"/>
      <c r="Y982" s="126"/>
      <c r="Z982" s="127"/>
      <c r="AA982" s="127"/>
      <c r="AB982" s="127"/>
      <c r="AC982" s="127"/>
      <c r="AD982" s="261"/>
      <c r="AE982" s="261"/>
      <c r="AF982" s="261"/>
      <c r="AG982" s="261"/>
    </row>
    <row r="983" ht="34.5" hidden="1" customHeight="1">
      <c r="A983" s="111"/>
      <c r="B983" s="127"/>
      <c r="C983" s="111"/>
      <c r="D983" s="111"/>
      <c r="E983" s="111"/>
      <c r="F983" s="111"/>
      <c r="G983" s="111"/>
      <c r="H983" s="111"/>
      <c r="I983" s="127"/>
      <c r="J983" s="111"/>
      <c r="K983" s="257"/>
      <c r="L983" s="111"/>
      <c r="M983" s="127"/>
      <c r="N983" s="270"/>
      <c r="O983" s="111"/>
      <c r="P983" s="111"/>
      <c r="Q983" s="128"/>
      <c r="R983" s="124"/>
      <c r="S983" s="125"/>
      <c r="T983" s="126"/>
      <c r="U983" s="126"/>
      <c r="V983" s="126"/>
      <c r="W983" s="126"/>
      <c r="X983" s="126"/>
      <c r="Y983" s="126"/>
      <c r="Z983" s="127"/>
      <c r="AA983" s="127"/>
      <c r="AB983" s="127"/>
      <c r="AC983" s="127"/>
      <c r="AD983" s="261"/>
      <c r="AE983" s="261"/>
      <c r="AF983" s="261"/>
      <c r="AG983" s="261"/>
    </row>
    <row r="984" ht="34.5" hidden="1" customHeight="1">
      <c r="A984" s="111"/>
      <c r="B984" s="127"/>
      <c r="C984" s="111"/>
      <c r="D984" s="111"/>
      <c r="E984" s="111"/>
      <c r="F984" s="111"/>
      <c r="G984" s="111"/>
      <c r="H984" s="111"/>
      <c r="I984" s="127"/>
      <c r="J984" s="111"/>
      <c r="K984" s="257"/>
      <c r="L984" s="111"/>
      <c r="M984" s="127"/>
      <c r="N984" s="270"/>
      <c r="O984" s="111"/>
      <c r="P984" s="111"/>
      <c r="Q984" s="128"/>
      <c r="R984" s="124"/>
      <c r="S984" s="125"/>
      <c r="T984" s="126"/>
      <c r="U984" s="126"/>
      <c r="V984" s="126"/>
      <c r="W984" s="126"/>
      <c r="X984" s="126"/>
      <c r="Y984" s="126"/>
      <c r="Z984" s="127"/>
      <c r="AA984" s="127"/>
      <c r="AB984" s="127"/>
      <c r="AC984" s="127"/>
      <c r="AD984" s="261"/>
      <c r="AE984" s="261"/>
      <c r="AF984" s="261"/>
      <c r="AG984" s="261"/>
    </row>
    <row r="985" ht="34.5" hidden="1" customHeight="1">
      <c r="A985" s="111"/>
      <c r="B985" s="127"/>
      <c r="C985" s="111"/>
      <c r="D985" s="111"/>
      <c r="E985" s="111"/>
      <c r="F985" s="111"/>
      <c r="G985" s="111"/>
      <c r="H985" s="111"/>
      <c r="I985" s="127"/>
      <c r="J985" s="111"/>
      <c r="K985" s="257"/>
      <c r="L985" s="111"/>
      <c r="M985" s="127"/>
      <c r="N985" s="270"/>
      <c r="O985" s="111"/>
      <c r="P985" s="111"/>
      <c r="Q985" s="128"/>
      <c r="R985" s="124"/>
      <c r="S985" s="125"/>
      <c r="T985" s="126"/>
      <c r="U985" s="126"/>
      <c r="V985" s="126"/>
      <c r="W985" s="126"/>
      <c r="X985" s="126"/>
      <c r="Y985" s="126"/>
      <c r="Z985" s="127"/>
      <c r="AA985" s="127"/>
      <c r="AB985" s="127"/>
      <c r="AC985" s="127"/>
      <c r="AD985" s="261"/>
      <c r="AE985" s="261"/>
      <c r="AF985" s="261"/>
      <c r="AG985" s="261"/>
    </row>
    <row r="986" ht="34.5" hidden="1" customHeight="1">
      <c r="A986" s="111"/>
      <c r="B986" s="127"/>
      <c r="C986" s="111"/>
      <c r="D986" s="111"/>
      <c r="E986" s="111"/>
      <c r="F986" s="111"/>
      <c r="G986" s="111"/>
      <c r="H986" s="111"/>
      <c r="I986" s="127"/>
      <c r="J986" s="111"/>
      <c r="K986" s="257"/>
      <c r="L986" s="111"/>
      <c r="M986" s="127"/>
      <c r="N986" s="270"/>
      <c r="O986" s="111"/>
      <c r="P986" s="111"/>
      <c r="Q986" s="128"/>
      <c r="R986" s="124"/>
      <c r="S986" s="125"/>
      <c r="T986" s="126"/>
      <c r="U986" s="126"/>
      <c r="V986" s="126"/>
      <c r="W986" s="126"/>
      <c r="X986" s="126"/>
      <c r="Y986" s="126"/>
      <c r="Z986" s="127"/>
      <c r="AA986" s="127"/>
      <c r="AB986" s="127"/>
      <c r="AC986" s="127"/>
      <c r="AD986" s="261"/>
      <c r="AE986" s="261"/>
      <c r="AF986" s="261"/>
      <c r="AG986" s="261"/>
    </row>
    <row r="987" ht="34.5" hidden="1" customHeight="1">
      <c r="A987" s="111"/>
      <c r="B987" s="127"/>
      <c r="C987" s="111"/>
      <c r="D987" s="111"/>
      <c r="E987" s="111"/>
      <c r="F987" s="111"/>
      <c r="G987" s="111"/>
      <c r="H987" s="111"/>
      <c r="I987" s="127"/>
      <c r="J987" s="111"/>
      <c r="K987" s="257"/>
      <c r="L987" s="111"/>
      <c r="M987" s="127"/>
      <c r="N987" s="270"/>
      <c r="O987" s="111"/>
      <c r="P987" s="111"/>
      <c r="Q987" s="128"/>
      <c r="R987" s="124"/>
      <c r="S987" s="125"/>
      <c r="T987" s="126"/>
      <c r="U987" s="126"/>
      <c r="V987" s="126"/>
      <c r="W987" s="126"/>
      <c r="X987" s="126"/>
      <c r="Y987" s="126"/>
      <c r="Z987" s="127"/>
      <c r="AA987" s="127"/>
      <c r="AB987" s="127"/>
      <c r="AC987" s="127"/>
      <c r="AD987" s="261"/>
      <c r="AE987" s="261"/>
      <c r="AF987" s="261"/>
      <c r="AG987" s="261"/>
    </row>
    <row r="988" ht="34.5" hidden="1" customHeight="1">
      <c r="A988" s="111"/>
      <c r="B988" s="127"/>
      <c r="C988" s="111"/>
      <c r="D988" s="111"/>
      <c r="E988" s="111"/>
      <c r="F988" s="111"/>
      <c r="G988" s="111"/>
      <c r="H988" s="111"/>
      <c r="I988" s="127"/>
      <c r="J988" s="111"/>
      <c r="K988" s="257"/>
      <c r="L988" s="111"/>
      <c r="M988" s="127"/>
      <c r="N988" s="270"/>
      <c r="O988" s="111"/>
      <c r="P988" s="111"/>
      <c r="Q988" s="128"/>
      <c r="R988" s="124"/>
      <c r="S988" s="125"/>
      <c r="T988" s="126"/>
      <c r="U988" s="126"/>
      <c r="V988" s="126"/>
      <c r="W988" s="126"/>
      <c r="X988" s="126"/>
      <c r="Y988" s="126"/>
      <c r="Z988" s="127"/>
      <c r="AA988" s="127"/>
      <c r="AB988" s="127"/>
      <c r="AC988" s="127"/>
      <c r="AD988" s="261"/>
      <c r="AE988" s="261"/>
      <c r="AF988" s="261"/>
      <c r="AG988" s="261"/>
    </row>
    <row r="989" ht="34.5" hidden="1" customHeight="1">
      <c r="A989" s="111"/>
      <c r="B989" s="127"/>
      <c r="C989" s="111"/>
      <c r="D989" s="111"/>
      <c r="E989" s="111"/>
      <c r="F989" s="111"/>
      <c r="G989" s="111"/>
      <c r="H989" s="111"/>
      <c r="I989" s="127"/>
      <c r="J989" s="111"/>
      <c r="K989" s="257"/>
      <c r="L989" s="111"/>
      <c r="M989" s="127"/>
      <c r="N989" s="270"/>
      <c r="O989" s="111"/>
      <c r="P989" s="111"/>
      <c r="Q989" s="128"/>
      <c r="R989" s="124"/>
      <c r="S989" s="125"/>
      <c r="T989" s="126"/>
      <c r="U989" s="126"/>
      <c r="V989" s="126"/>
      <c r="W989" s="126"/>
      <c r="X989" s="126"/>
      <c r="Y989" s="126"/>
      <c r="Z989" s="127"/>
      <c r="AA989" s="127"/>
      <c r="AB989" s="127"/>
      <c r="AC989" s="127"/>
      <c r="AD989" s="261"/>
      <c r="AE989" s="261"/>
      <c r="AF989" s="261"/>
      <c r="AG989" s="261"/>
    </row>
    <row r="990" ht="34.5" hidden="1" customHeight="1">
      <c r="A990" s="111"/>
      <c r="B990" s="127"/>
      <c r="C990" s="111"/>
      <c r="D990" s="111"/>
      <c r="E990" s="111"/>
      <c r="F990" s="111"/>
      <c r="G990" s="111"/>
      <c r="H990" s="111"/>
      <c r="I990" s="127"/>
      <c r="J990" s="111"/>
      <c r="K990" s="257"/>
      <c r="L990" s="111"/>
      <c r="M990" s="127"/>
      <c r="N990" s="270"/>
      <c r="O990" s="111"/>
      <c r="P990" s="111"/>
      <c r="Q990" s="128"/>
      <c r="R990" s="124"/>
      <c r="S990" s="125"/>
      <c r="T990" s="126"/>
      <c r="U990" s="126"/>
      <c r="V990" s="126"/>
      <c r="W990" s="126"/>
      <c r="X990" s="126"/>
      <c r="Y990" s="126"/>
      <c r="Z990" s="127"/>
      <c r="AA990" s="127"/>
      <c r="AB990" s="127"/>
      <c r="AC990" s="127"/>
      <c r="AD990" s="261"/>
      <c r="AE990" s="261"/>
      <c r="AF990" s="261"/>
      <c r="AG990" s="261"/>
    </row>
    <row r="991" ht="34.5" hidden="1" customHeight="1">
      <c r="A991" s="111"/>
      <c r="B991" s="127"/>
      <c r="C991" s="111"/>
      <c r="D991" s="111"/>
      <c r="E991" s="111"/>
      <c r="F991" s="111"/>
      <c r="G991" s="111"/>
      <c r="H991" s="111"/>
      <c r="I991" s="127"/>
      <c r="J991" s="111"/>
      <c r="K991" s="257"/>
      <c r="L991" s="111"/>
      <c r="M991" s="127"/>
      <c r="N991" s="270"/>
      <c r="O991" s="111"/>
      <c r="P991" s="111"/>
      <c r="Q991" s="128"/>
      <c r="R991" s="124"/>
      <c r="S991" s="125"/>
      <c r="T991" s="126"/>
      <c r="U991" s="126"/>
      <c r="V991" s="126"/>
      <c r="W991" s="126"/>
      <c r="X991" s="126"/>
      <c r="Y991" s="126"/>
      <c r="Z991" s="127"/>
      <c r="AA991" s="127"/>
      <c r="AB991" s="127"/>
      <c r="AC991" s="127"/>
      <c r="AD991" s="261"/>
      <c r="AE991" s="261"/>
      <c r="AF991" s="261"/>
      <c r="AG991" s="261"/>
    </row>
    <row r="992" ht="34.5" hidden="1" customHeight="1">
      <c r="A992" s="111"/>
      <c r="B992" s="127"/>
      <c r="C992" s="111"/>
      <c r="D992" s="111"/>
      <c r="E992" s="111"/>
      <c r="F992" s="111"/>
      <c r="G992" s="111"/>
      <c r="H992" s="111"/>
      <c r="I992" s="127"/>
      <c r="J992" s="111"/>
      <c r="K992" s="257"/>
      <c r="L992" s="111"/>
      <c r="M992" s="127"/>
      <c r="N992" s="270"/>
      <c r="O992" s="111"/>
      <c r="P992" s="111"/>
      <c r="Q992" s="128"/>
      <c r="R992" s="124"/>
      <c r="S992" s="125"/>
      <c r="T992" s="126"/>
      <c r="U992" s="126"/>
      <c r="V992" s="126"/>
      <c r="W992" s="126"/>
      <c r="X992" s="126"/>
      <c r="Y992" s="126"/>
      <c r="Z992" s="127"/>
      <c r="AA992" s="127"/>
      <c r="AB992" s="127"/>
      <c r="AC992" s="127"/>
      <c r="AD992" s="261"/>
      <c r="AE992" s="261"/>
      <c r="AF992" s="261"/>
      <c r="AG992" s="261"/>
    </row>
    <row r="993" ht="34.5" hidden="1" customHeight="1">
      <c r="A993" s="111"/>
      <c r="B993" s="127"/>
      <c r="C993" s="111"/>
      <c r="D993" s="111"/>
      <c r="E993" s="111"/>
      <c r="F993" s="111"/>
      <c r="G993" s="111"/>
      <c r="H993" s="111"/>
      <c r="I993" s="127"/>
      <c r="J993" s="111"/>
      <c r="K993" s="257"/>
      <c r="L993" s="111"/>
      <c r="M993" s="127"/>
      <c r="N993" s="270"/>
      <c r="O993" s="111"/>
      <c r="P993" s="111"/>
      <c r="Q993" s="128"/>
      <c r="R993" s="124"/>
      <c r="S993" s="125"/>
      <c r="T993" s="126"/>
      <c r="U993" s="126"/>
      <c r="V993" s="126"/>
      <c r="W993" s="126"/>
      <c r="X993" s="126"/>
      <c r="Y993" s="126"/>
      <c r="Z993" s="127"/>
      <c r="AA993" s="127"/>
      <c r="AB993" s="127"/>
      <c r="AC993" s="127"/>
      <c r="AD993" s="261"/>
      <c r="AE993" s="261"/>
      <c r="AF993" s="261"/>
      <c r="AG993" s="261"/>
    </row>
    <row r="994" ht="34.5" hidden="1" customHeight="1">
      <c r="A994" s="111"/>
      <c r="B994" s="127"/>
      <c r="C994" s="111"/>
      <c r="D994" s="111"/>
      <c r="E994" s="111"/>
      <c r="F994" s="111"/>
      <c r="G994" s="111"/>
      <c r="H994" s="111"/>
      <c r="I994" s="127"/>
      <c r="J994" s="111"/>
      <c r="K994" s="257"/>
      <c r="L994" s="111"/>
      <c r="M994" s="127"/>
      <c r="N994" s="270"/>
      <c r="O994" s="111"/>
      <c r="P994" s="111"/>
      <c r="Q994" s="128"/>
      <c r="R994" s="124"/>
      <c r="S994" s="125"/>
      <c r="T994" s="126"/>
      <c r="U994" s="126"/>
      <c r="V994" s="126"/>
      <c r="W994" s="126"/>
      <c r="X994" s="126"/>
      <c r="Y994" s="126"/>
      <c r="Z994" s="127"/>
      <c r="AA994" s="127"/>
      <c r="AB994" s="127"/>
      <c r="AC994" s="127"/>
      <c r="AD994" s="261"/>
      <c r="AE994" s="261"/>
      <c r="AF994" s="261"/>
      <c r="AG994" s="261"/>
    </row>
    <row r="995" ht="34.5" hidden="1" customHeight="1">
      <c r="A995" s="111"/>
      <c r="B995" s="127"/>
      <c r="C995" s="111"/>
      <c r="D995" s="111"/>
      <c r="E995" s="111"/>
      <c r="F995" s="111"/>
      <c r="G995" s="111"/>
      <c r="H995" s="111"/>
      <c r="I995" s="127"/>
      <c r="J995" s="111"/>
      <c r="K995" s="257"/>
      <c r="L995" s="111"/>
      <c r="M995" s="127"/>
      <c r="N995" s="270"/>
      <c r="O995" s="111"/>
      <c r="P995" s="111"/>
      <c r="Q995" s="128"/>
      <c r="R995" s="124"/>
      <c r="S995" s="125"/>
      <c r="T995" s="126"/>
      <c r="U995" s="126"/>
      <c r="V995" s="126"/>
      <c r="W995" s="126"/>
      <c r="X995" s="126"/>
      <c r="Y995" s="126"/>
      <c r="Z995" s="127"/>
      <c r="AA995" s="127"/>
      <c r="AB995" s="127"/>
      <c r="AC995" s="127"/>
      <c r="AD995" s="261"/>
      <c r="AE995" s="261"/>
      <c r="AF995" s="261"/>
      <c r="AG995" s="261"/>
    </row>
    <row r="996" ht="34.5" hidden="1" customHeight="1">
      <c r="A996" s="111"/>
      <c r="B996" s="127"/>
      <c r="C996" s="111"/>
      <c r="D996" s="111"/>
      <c r="E996" s="111"/>
      <c r="F996" s="111"/>
      <c r="G996" s="111"/>
      <c r="H996" s="111"/>
      <c r="I996" s="127"/>
      <c r="J996" s="111"/>
      <c r="K996" s="257"/>
      <c r="L996" s="111"/>
      <c r="M996" s="127"/>
      <c r="N996" s="270"/>
      <c r="O996" s="111"/>
      <c r="P996" s="111"/>
      <c r="Q996" s="128"/>
      <c r="R996" s="124"/>
      <c r="S996" s="125"/>
      <c r="T996" s="126"/>
      <c r="U996" s="126"/>
      <c r="V996" s="126"/>
      <c r="W996" s="126"/>
      <c r="X996" s="126"/>
      <c r="Y996" s="126"/>
      <c r="Z996" s="127"/>
      <c r="AA996" s="127"/>
      <c r="AB996" s="127"/>
      <c r="AC996" s="127"/>
      <c r="AD996" s="261"/>
      <c r="AE996" s="261"/>
      <c r="AF996" s="261"/>
      <c r="AG996" s="261"/>
    </row>
    <row r="997" ht="34.5" hidden="1" customHeight="1">
      <c r="A997" s="111"/>
      <c r="B997" s="127"/>
      <c r="C997" s="111"/>
      <c r="D997" s="111"/>
      <c r="E997" s="111"/>
      <c r="F997" s="111"/>
      <c r="G997" s="111"/>
      <c r="H997" s="111"/>
      <c r="I997" s="127"/>
      <c r="J997" s="111"/>
      <c r="K997" s="257"/>
      <c r="L997" s="111"/>
      <c r="M997" s="127"/>
      <c r="N997" s="270"/>
      <c r="O997" s="111"/>
      <c r="P997" s="111"/>
      <c r="Q997" s="128"/>
      <c r="R997" s="124"/>
      <c r="S997" s="125"/>
      <c r="T997" s="126"/>
      <c r="U997" s="126"/>
      <c r="V997" s="126"/>
      <c r="W997" s="126"/>
      <c r="X997" s="126"/>
      <c r="Y997" s="126"/>
      <c r="Z997" s="127"/>
      <c r="AA997" s="127"/>
      <c r="AB997" s="127"/>
      <c r="AC997" s="127"/>
      <c r="AD997" s="261"/>
      <c r="AE997" s="261"/>
      <c r="AF997" s="261"/>
      <c r="AG997" s="261"/>
    </row>
    <row r="998" ht="34.5" hidden="1" customHeight="1">
      <c r="A998" s="111"/>
      <c r="B998" s="127"/>
      <c r="C998" s="111"/>
      <c r="D998" s="111"/>
      <c r="E998" s="111"/>
      <c r="F998" s="111"/>
      <c r="G998" s="111"/>
      <c r="H998" s="111"/>
      <c r="I998" s="127"/>
      <c r="J998" s="111"/>
      <c r="K998" s="257"/>
      <c r="L998" s="111"/>
      <c r="M998" s="127"/>
      <c r="N998" s="270"/>
      <c r="O998" s="111"/>
      <c r="P998" s="111"/>
      <c r="Q998" s="128"/>
      <c r="R998" s="124"/>
      <c r="S998" s="125"/>
      <c r="T998" s="126"/>
      <c r="U998" s="126"/>
      <c r="V998" s="126"/>
      <c r="W998" s="126"/>
      <c r="X998" s="126"/>
      <c r="Y998" s="126"/>
      <c r="Z998" s="127"/>
      <c r="AA998" s="127"/>
      <c r="AB998" s="127"/>
      <c r="AC998" s="127"/>
      <c r="AD998" s="261"/>
      <c r="AE998" s="261"/>
      <c r="AF998" s="261"/>
      <c r="AG998" s="261"/>
    </row>
    <row r="999" ht="34.5" hidden="1" customHeight="1">
      <c r="A999" s="111"/>
      <c r="B999" s="127"/>
      <c r="C999" s="111"/>
      <c r="D999" s="111"/>
      <c r="E999" s="111"/>
      <c r="F999" s="111"/>
      <c r="G999" s="111"/>
      <c r="H999" s="111"/>
      <c r="I999" s="127"/>
      <c r="J999" s="111"/>
      <c r="K999" s="257"/>
      <c r="L999" s="111"/>
      <c r="M999" s="127"/>
      <c r="N999" s="270"/>
      <c r="O999" s="111"/>
      <c r="P999" s="111"/>
      <c r="Q999" s="128"/>
      <c r="R999" s="124"/>
      <c r="S999" s="125"/>
      <c r="T999" s="126"/>
      <c r="U999" s="126"/>
      <c r="V999" s="126"/>
      <c r="W999" s="126"/>
      <c r="X999" s="126"/>
      <c r="Y999" s="126"/>
      <c r="Z999" s="127"/>
      <c r="AA999" s="127"/>
      <c r="AB999" s="127"/>
      <c r="AC999" s="127"/>
      <c r="AD999" s="261"/>
      <c r="AE999" s="261"/>
      <c r="AF999" s="261"/>
      <c r="AG999" s="261"/>
    </row>
    <row r="1000" ht="34.5" hidden="1" customHeight="1">
      <c r="A1000" s="111"/>
      <c r="B1000" s="127"/>
      <c r="C1000" s="111"/>
      <c r="D1000" s="111"/>
      <c r="E1000" s="111"/>
      <c r="F1000" s="111"/>
      <c r="G1000" s="111"/>
      <c r="H1000" s="111"/>
      <c r="I1000" s="127"/>
      <c r="J1000" s="111"/>
      <c r="K1000" s="257"/>
      <c r="L1000" s="111"/>
      <c r="M1000" s="127"/>
      <c r="N1000" s="270"/>
      <c r="O1000" s="111"/>
      <c r="P1000" s="111"/>
      <c r="Q1000" s="128"/>
      <c r="R1000" s="124"/>
      <c r="S1000" s="125"/>
      <c r="T1000" s="126"/>
      <c r="U1000" s="126"/>
      <c r="V1000" s="126"/>
      <c r="W1000" s="126"/>
      <c r="X1000" s="126"/>
      <c r="Y1000" s="126"/>
      <c r="Z1000" s="127"/>
      <c r="AA1000" s="127"/>
      <c r="AB1000" s="127"/>
      <c r="AC1000" s="127"/>
      <c r="AD1000" s="261"/>
      <c r="AE1000" s="261"/>
      <c r="AF1000" s="261"/>
      <c r="AG1000" s="261"/>
    </row>
    <row r="1001" ht="34.5" hidden="1" customHeight="1">
      <c r="A1001" s="111"/>
      <c r="B1001" s="127"/>
      <c r="C1001" s="111"/>
      <c r="D1001" s="111"/>
      <c r="E1001" s="111"/>
      <c r="F1001" s="111"/>
      <c r="G1001" s="111"/>
      <c r="H1001" s="111"/>
      <c r="I1001" s="127"/>
      <c r="J1001" s="111"/>
      <c r="K1001" s="257"/>
      <c r="L1001" s="111"/>
      <c r="M1001" s="127"/>
      <c r="N1001" s="270"/>
      <c r="O1001" s="111"/>
      <c r="P1001" s="111"/>
      <c r="Q1001" s="128"/>
      <c r="R1001" s="124"/>
      <c r="S1001" s="125"/>
      <c r="T1001" s="126"/>
      <c r="U1001" s="126"/>
      <c r="V1001" s="126"/>
      <c r="W1001" s="126"/>
      <c r="X1001" s="126"/>
      <c r="Y1001" s="126"/>
      <c r="Z1001" s="127"/>
      <c r="AA1001" s="127"/>
      <c r="AB1001" s="127"/>
      <c r="AC1001" s="127"/>
      <c r="AD1001" s="261"/>
      <c r="AE1001" s="261"/>
      <c r="AF1001" s="261"/>
      <c r="AG1001" s="261"/>
    </row>
    <row r="1002" ht="34.5" hidden="1" customHeight="1">
      <c r="A1002" s="111"/>
      <c r="B1002" s="127"/>
      <c r="C1002" s="111"/>
      <c r="D1002" s="111"/>
      <c r="E1002" s="111"/>
      <c r="F1002" s="111"/>
      <c r="G1002" s="111"/>
      <c r="H1002" s="111"/>
      <c r="I1002" s="127"/>
      <c r="J1002" s="111"/>
      <c r="K1002" s="257"/>
      <c r="L1002" s="111"/>
      <c r="M1002" s="127"/>
      <c r="N1002" s="270"/>
      <c r="O1002" s="111"/>
      <c r="P1002" s="111"/>
      <c r="Q1002" s="128"/>
      <c r="R1002" s="124"/>
      <c r="S1002" s="125"/>
      <c r="T1002" s="126"/>
      <c r="U1002" s="126"/>
      <c r="V1002" s="126"/>
      <c r="W1002" s="126"/>
      <c r="X1002" s="126"/>
      <c r="Y1002" s="126"/>
      <c r="Z1002" s="127"/>
      <c r="AA1002" s="127"/>
      <c r="AB1002" s="127"/>
      <c r="AC1002" s="127"/>
      <c r="AD1002" s="261"/>
      <c r="AE1002" s="261"/>
      <c r="AF1002" s="261"/>
      <c r="AG1002" s="261"/>
    </row>
    <row r="1003" ht="34.5" hidden="1" customHeight="1">
      <c r="A1003" s="111"/>
      <c r="B1003" s="127"/>
      <c r="C1003" s="111"/>
      <c r="D1003" s="111"/>
      <c r="E1003" s="111"/>
      <c r="F1003" s="111"/>
      <c r="G1003" s="111"/>
      <c r="H1003" s="111"/>
      <c r="I1003" s="127"/>
      <c r="J1003" s="111"/>
      <c r="K1003" s="257"/>
      <c r="L1003" s="111"/>
      <c r="M1003" s="127"/>
      <c r="N1003" s="270"/>
      <c r="O1003" s="111"/>
      <c r="P1003" s="111"/>
      <c r="Q1003" s="128"/>
      <c r="R1003" s="124"/>
      <c r="S1003" s="125"/>
      <c r="T1003" s="126"/>
      <c r="U1003" s="126"/>
      <c r="V1003" s="126"/>
      <c r="W1003" s="126"/>
      <c r="X1003" s="126"/>
      <c r="Y1003" s="126"/>
      <c r="Z1003" s="127"/>
      <c r="AA1003" s="127"/>
      <c r="AB1003" s="127"/>
      <c r="AC1003" s="127"/>
      <c r="AD1003" s="261"/>
      <c r="AE1003" s="261"/>
      <c r="AF1003" s="261"/>
      <c r="AG1003" s="261"/>
    </row>
    <row r="1004" ht="34.5" hidden="1" customHeight="1">
      <c r="A1004" s="111"/>
      <c r="B1004" s="127"/>
      <c r="C1004" s="111"/>
      <c r="D1004" s="111"/>
      <c r="E1004" s="111"/>
      <c r="F1004" s="111"/>
      <c r="G1004" s="111"/>
      <c r="H1004" s="111"/>
      <c r="I1004" s="127"/>
      <c r="J1004" s="111"/>
      <c r="K1004" s="257"/>
      <c r="L1004" s="111"/>
      <c r="M1004" s="127"/>
      <c r="N1004" s="270"/>
      <c r="O1004" s="111"/>
      <c r="P1004" s="111"/>
      <c r="Q1004" s="128"/>
      <c r="R1004" s="124"/>
      <c r="S1004" s="125"/>
      <c r="T1004" s="126"/>
      <c r="U1004" s="126"/>
      <c r="V1004" s="126"/>
      <c r="W1004" s="126"/>
      <c r="X1004" s="126"/>
      <c r="Y1004" s="126"/>
      <c r="Z1004" s="127"/>
      <c r="AA1004" s="127"/>
      <c r="AB1004" s="127"/>
      <c r="AC1004" s="127"/>
      <c r="AD1004" s="261"/>
      <c r="AE1004" s="261"/>
      <c r="AF1004" s="261"/>
      <c r="AG1004" s="261"/>
    </row>
    <row r="1005" ht="34.5" hidden="1" customHeight="1">
      <c r="A1005" s="111"/>
      <c r="B1005" s="127"/>
      <c r="C1005" s="111"/>
      <c r="D1005" s="111"/>
      <c r="E1005" s="111"/>
      <c r="F1005" s="111"/>
      <c r="G1005" s="111"/>
      <c r="H1005" s="111"/>
      <c r="I1005" s="127"/>
      <c r="J1005" s="111"/>
      <c r="K1005" s="257"/>
      <c r="L1005" s="111"/>
      <c r="M1005" s="127"/>
      <c r="N1005" s="270"/>
      <c r="O1005" s="111"/>
      <c r="P1005" s="111"/>
      <c r="Q1005" s="128"/>
      <c r="R1005" s="124"/>
      <c r="S1005" s="125"/>
      <c r="T1005" s="126"/>
      <c r="U1005" s="126"/>
      <c r="V1005" s="126"/>
      <c r="W1005" s="126"/>
      <c r="X1005" s="126"/>
      <c r="Y1005" s="126"/>
      <c r="Z1005" s="127"/>
      <c r="AA1005" s="127"/>
      <c r="AB1005" s="127"/>
      <c r="AC1005" s="127"/>
      <c r="AD1005" s="261"/>
      <c r="AE1005" s="261"/>
      <c r="AF1005" s="261"/>
      <c r="AG1005" s="261"/>
    </row>
    <row r="1006" ht="34.5" hidden="1" customHeight="1">
      <c r="A1006" s="111"/>
      <c r="B1006" s="127"/>
      <c r="C1006" s="111"/>
      <c r="D1006" s="111"/>
      <c r="E1006" s="111"/>
      <c r="F1006" s="111"/>
      <c r="G1006" s="111"/>
      <c r="H1006" s="111"/>
      <c r="I1006" s="127"/>
      <c r="J1006" s="111"/>
      <c r="K1006" s="257"/>
      <c r="L1006" s="111"/>
      <c r="M1006" s="127"/>
      <c r="N1006" s="270"/>
      <c r="O1006" s="111"/>
      <c r="P1006" s="111"/>
      <c r="Q1006" s="128"/>
      <c r="R1006" s="124"/>
      <c r="S1006" s="125"/>
      <c r="T1006" s="126"/>
      <c r="U1006" s="126"/>
      <c r="V1006" s="126"/>
      <c r="W1006" s="126"/>
      <c r="X1006" s="126"/>
      <c r="Y1006" s="126"/>
      <c r="Z1006" s="127"/>
      <c r="AA1006" s="127"/>
      <c r="AB1006" s="127"/>
      <c r="AC1006" s="127"/>
      <c r="AD1006" s="261"/>
      <c r="AE1006" s="261"/>
      <c r="AF1006" s="261"/>
      <c r="AG1006" s="261"/>
    </row>
    <row r="1007" ht="34.5" hidden="1" customHeight="1">
      <c r="A1007" s="111"/>
      <c r="B1007" s="127"/>
      <c r="C1007" s="111"/>
      <c r="D1007" s="111"/>
      <c r="E1007" s="111"/>
      <c r="F1007" s="111"/>
      <c r="G1007" s="111"/>
      <c r="H1007" s="111"/>
      <c r="I1007" s="127"/>
      <c r="J1007" s="111"/>
      <c r="K1007" s="257"/>
      <c r="L1007" s="111"/>
      <c r="M1007" s="127"/>
      <c r="N1007" s="270"/>
      <c r="O1007" s="111"/>
      <c r="P1007" s="111"/>
      <c r="Q1007" s="128"/>
      <c r="R1007" s="124"/>
      <c r="S1007" s="125"/>
      <c r="T1007" s="126"/>
      <c r="U1007" s="126"/>
      <c r="V1007" s="126"/>
      <c r="W1007" s="126"/>
      <c r="X1007" s="126"/>
      <c r="Y1007" s="126"/>
      <c r="Z1007" s="127"/>
      <c r="AA1007" s="127"/>
      <c r="AB1007" s="127"/>
      <c r="AC1007" s="127"/>
      <c r="AD1007" s="261"/>
      <c r="AE1007" s="261"/>
      <c r="AF1007" s="261"/>
      <c r="AG1007" s="261"/>
    </row>
    <row r="1008" ht="34.5" hidden="1" customHeight="1">
      <c r="A1008" s="111"/>
      <c r="B1008" s="127"/>
      <c r="C1008" s="111"/>
      <c r="D1008" s="111"/>
      <c r="E1008" s="111"/>
      <c r="F1008" s="111"/>
      <c r="G1008" s="111"/>
      <c r="H1008" s="111"/>
      <c r="I1008" s="127"/>
      <c r="J1008" s="111"/>
      <c r="K1008" s="257"/>
      <c r="L1008" s="111"/>
      <c r="M1008" s="127"/>
      <c r="N1008" s="270"/>
      <c r="O1008" s="111"/>
      <c r="P1008" s="111"/>
      <c r="Q1008" s="128"/>
      <c r="R1008" s="124"/>
      <c r="S1008" s="125"/>
      <c r="T1008" s="126"/>
      <c r="U1008" s="126"/>
      <c r="V1008" s="126"/>
      <c r="W1008" s="126"/>
      <c r="X1008" s="126"/>
      <c r="Y1008" s="126"/>
      <c r="Z1008" s="127"/>
      <c r="AA1008" s="127"/>
      <c r="AB1008" s="127"/>
      <c r="AC1008" s="127"/>
      <c r="AD1008" s="261"/>
      <c r="AE1008" s="261"/>
      <c r="AF1008" s="261"/>
      <c r="AG1008" s="261"/>
    </row>
    <row r="1009" ht="34.5" hidden="1" customHeight="1">
      <c r="A1009" s="111"/>
      <c r="B1009" s="127"/>
      <c r="C1009" s="111"/>
      <c r="D1009" s="111"/>
      <c r="E1009" s="111"/>
      <c r="F1009" s="111"/>
      <c r="G1009" s="111"/>
      <c r="H1009" s="111"/>
      <c r="I1009" s="127"/>
      <c r="J1009" s="111"/>
      <c r="K1009" s="257"/>
      <c r="L1009" s="111"/>
      <c r="M1009" s="127"/>
      <c r="N1009" s="270"/>
      <c r="O1009" s="111"/>
      <c r="P1009" s="111"/>
      <c r="Q1009" s="128"/>
      <c r="R1009" s="124"/>
      <c r="S1009" s="125"/>
      <c r="T1009" s="126"/>
      <c r="U1009" s="126"/>
      <c r="V1009" s="126"/>
      <c r="W1009" s="126"/>
      <c r="X1009" s="126"/>
      <c r="Y1009" s="126"/>
      <c r="Z1009" s="127"/>
      <c r="AA1009" s="127"/>
      <c r="AB1009" s="127"/>
      <c r="AC1009" s="127"/>
      <c r="AD1009" s="261"/>
      <c r="AE1009" s="261"/>
      <c r="AF1009" s="261"/>
      <c r="AG1009" s="261"/>
    </row>
    <row r="1010" ht="34.5" hidden="1" customHeight="1">
      <c r="A1010" s="111"/>
      <c r="B1010" s="127"/>
      <c r="C1010" s="111"/>
      <c r="D1010" s="111"/>
      <c r="E1010" s="111"/>
      <c r="F1010" s="111"/>
      <c r="G1010" s="111"/>
      <c r="H1010" s="111"/>
      <c r="I1010" s="127"/>
      <c r="J1010" s="111"/>
      <c r="K1010" s="257"/>
      <c r="L1010" s="111"/>
      <c r="M1010" s="127"/>
      <c r="N1010" s="270"/>
      <c r="O1010" s="111"/>
      <c r="P1010" s="111"/>
      <c r="Q1010" s="128"/>
      <c r="R1010" s="124"/>
      <c r="S1010" s="125"/>
      <c r="T1010" s="126"/>
      <c r="U1010" s="126"/>
      <c r="V1010" s="126"/>
      <c r="W1010" s="126"/>
      <c r="X1010" s="126"/>
      <c r="Y1010" s="126"/>
      <c r="Z1010" s="127"/>
      <c r="AA1010" s="127"/>
      <c r="AB1010" s="127"/>
      <c r="AC1010" s="127"/>
      <c r="AD1010" s="261"/>
      <c r="AE1010" s="261"/>
      <c r="AF1010" s="261"/>
      <c r="AG1010" s="261"/>
    </row>
    <row r="1011" ht="34.5" hidden="1" customHeight="1">
      <c r="A1011" s="111"/>
      <c r="B1011" s="127"/>
      <c r="C1011" s="111"/>
      <c r="D1011" s="111"/>
      <c r="E1011" s="111"/>
      <c r="F1011" s="111"/>
      <c r="G1011" s="111"/>
      <c r="H1011" s="111"/>
      <c r="I1011" s="127"/>
      <c r="J1011" s="111"/>
      <c r="K1011" s="257"/>
      <c r="L1011" s="111"/>
      <c r="M1011" s="127"/>
      <c r="N1011" s="270"/>
      <c r="O1011" s="111"/>
      <c r="P1011" s="111"/>
      <c r="Q1011" s="128"/>
      <c r="R1011" s="124"/>
      <c r="S1011" s="125"/>
      <c r="T1011" s="126"/>
      <c r="U1011" s="126"/>
      <c r="V1011" s="126"/>
      <c r="W1011" s="126"/>
      <c r="X1011" s="126"/>
      <c r="Y1011" s="126"/>
      <c r="Z1011" s="127"/>
      <c r="AA1011" s="127"/>
      <c r="AB1011" s="127"/>
      <c r="AC1011" s="127"/>
      <c r="AD1011" s="261"/>
      <c r="AE1011" s="261"/>
      <c r="AF1011" s="261"/>
      <c r="AG1011" s="261"/>
    </row>
    <row r="1012" ht="34.5" hidden="1" customHeight="1">
      <c r="A1012" s="111"/>
      <c r="B1012" s="127"/>
      <c r="C1012" s="111"/>
      <c r="D1012" s="111"/>
      <c r="E1012" s="111"/>
      <c r="F1012" s="111"/>
      <c r="G1012" s="111"/>
      <c r="H1012" s="111"/>
      <c r="I1012" s="127"/>
      <c r="J1012" s="111"/>
      <c r="K1012" s="257"/>
      <c r="L1012" s="111"/>
      <c r="M1012" s="127"/>
      <c r="N1012" s="270"/>
      <c r="O1012" s="111"/>
      <c r="P1012" s="111"/>
      <c r="Q1012" s="128"/>
      <c r="R1012" s="124"/>
      <c r="S1012" s="125"/>
      <c r="T1012" s="126"/>
      <c r="U1012" s="126"/>
      <c r="V1012" s="126"/>
      <c r="W1012" s="126"/>
      <c r="X1012" s="126"/>
      <c r="Y1012" s="126"/>
      <c r="Z1012" s="127"/>
      <c r="AA1012" s="127"/>
      <c r="AB1012" s="127"/>
      <c r="AC1012" s="127"/>
      <c r="AD1012" s="261"/>
      <c r="AE1012" s="261"/>
      <c r="AF1012" s="261"/>
      <c r="AG1012" s="261"/>
    </row>
    <row r="1013" ht="34.5" hidden="1" customHeight="1">
      <c r="A1013" s="111"/>
      <c r="B1013" s="127"/>
      <c r="C1013" s="111"/>
      <c r="D1013" s="111"/>
      <c r="E1013" s="111"/>
      <c r="F1013" s="111"/>
      <c r="G1013" s="111"/>
      <c r="H1013" s="111"/>
      <c r="I1013" s="127"/>
      <c r="J1013" s="111"/>
      <c r="K1013" s="257"/>
      <c r="L1013" s="111"/>
      <c r="M1013" s="127"/>
      <c r="N1013" s="270"/>
      <c r="O1013" s="111"/>
      <c r="P1013" s="111"/>
      <c r="Q1013" s="128"/>
      <c r="R1013" s="124"/>
      <c r="S1013" s="125"/>
      <c r="T1013" s="126"/>
      <c r="U1013" s="126"/>
      <c r="V1013" s="126"/>
      <c r="W1013" s="126"/>
      <c r="X1013" s="126"/>
      <c r="Y1013" s="126"/>
      <c r="Z1013" s="127"/>
      <c r="AA1013" s="127"/>
      <c r="AB1013" s="127"/>
      <c r="AC1013" s="127"/>
      <c r="AD1013" s="261"/>
      <c r="AE1013" s="261"/>
      <c r="AF1013" s="261"/>
      <c r="AG1013" s="261"/>
    </row>
    <row r="1014" ht="34.5" hidden="1" customHeight="1">
      <c r="A1014" s="111"/>
      <c r="B1014" s="127"/>
      <c r="C1014" s="111"/>
      <c r="D1014" s="111"/>
      <c r="E1014" s="111"/>
      <c r="F1014" s="111"/>
      <c r="G1014" s="111"/>
      <c r="H1014" s="111"/>
      <c r="I1014" s="127"/>
      <c r="J1014" s="111"/>
      <c r="K1014" s="257"/>
      <c r="L1014" s="111"/>
      <c r="M1014" s="127"/>
      <c r="N1014" s="270"/>
      <c r="O1014" s="111"/>
      <c r="P1014" s="111"/>
      <c r="Q1014" s="128"/>
      <c r="R1014" s="124"/>
      <c r="S1014" s="125"/>
      <c r="T1014" s="126"/>
      <c r="U1014" s="126"/>
      <c r="V1014" s="126"/>
      <c r="W1014" s="126"/>
      <c r="X1014" s="126"/>
      <c r="Y1014" s="126"/>
      <c r="Z1014" s="127"/>
      <c r="AA1014" s="127"/>
      <c r="AB1014" s="127"/>
      <c r="AC1014" s="127"/>
      <c r="AD1014" s="261"/>
      <c r="AE1014" s="261"/>
      <c r="AF1014" s="261"/>
      <c r="AG1014" s="261"/>
    </row>
    <row r="1015" ht="34.5" hidden="1" customHeight="1">
      <c r="A1015" s="111"/>
      <c r="B1015" s="127"/>
      <c r="C1015" s="111"/>
      <c r="D1015" s="111"/>
      <c r="E1015" s="111"/>
      <c r="F1015" s="111"/>
      <c r="G1015" s="111"/>
      <c r="H1015" s="111"/>
      <c r="I1015" s="127"/>
      <c r="J1015" s="111"/>
      <c r="K1015" s="257"/>
      <c r="L1015" s="111"/>
      <c r="M1015" s="127"/>
      <c r="N1015" s="270"/>
      <c r="O1015" s="111"/>
      <c r="P1015" s="111"/>
      <c r="Q1015" s="128"/>
      <c r="R1015" s="124"/>
      <c r="S1015" s="125"/>
      <c r="T1015" s="126"/>
      <c r="U1015" s="126"/>
      <c r="V1015" s="126"/>
      <c r="W1015" s="126"/>
      <c r="X1015" s="126"/>
      <c r="Y1015" s="126"/>
      <c r="Z1015" s="127"/>
      <c r="AA1015" s="127"/>
      <c r="AB1015" s="127"/>
      <c r="AC1015" s="127"/>
      <c r="AD1015" s="261"/>
      <c r="AE1015" s="261"/>
      <c r="AF1015" s="261"/>
      <c r="AG1015" s="261"/>
    </row>
    <row r="1016" ht="34.5" hidden="1" customHeight="1">
      <c r="A1016" s="111"/>
      <c r="B1016" s="127"/>
      <c r="C1016" s="111"/>
      <c r="D1016" s="111"/>
      <c r="E1016" s="111"/>
      <c r="F1016" s="111"/>
      <c r="G1016" s="111"/>
      <c r="H1016" s="111"/>
      <c r="I1016" s="127"/>
      <c r="J1016" s="111"/>
      <c r="K1016" s="257"/>
      <c r="L1016" s="111"/>
      <c r="M1016" s="127"/>
      <c r="N1016" s="270"/>
      <c r="O1016" s="111"/>
      <c r="P1016" s="111"/>
      <c r="Q1016" s="128"/>
      <c r="R1016" s="124"/>
      <c r="S1016" s="125"/>
      <c r="T1016" s="126"/>
      <c r="U1016" s="126"/>
      <c r="V1016" s="126"/>
      <c r="W1016" s="126"/>
      <c r="X1016" s="126"/>
      <c r="Y1016" s="126"/>
      <c r="Z1016" s="127"/>
      <c r="AA1016" s="127"/>
      <c r="AB1016" s="127"/>
      <c r="AC1016" s="127"/>
      <c r="AD1016" s="261"/>
      <c r="AE1016" s="261"/>
      <c r="AF1016" s="261"/>
      <c r="AG1016" s="261"/>
    </row>
    <row r="1017" ht="34.5" hidden="1" customHeight="1">
      <c r="A1017" s="111"/>
      <c r="B1017" s="127"/>
      <c r="C1017" s="111"/>
      <c r="D1017" s="111"/>
      <c r="E1017" s="111"/>
      <c r="F1017" s="111"/>
      <c r="G1017" s="111"/>
      <c r="H1017" s="111"/>
      <c r="I1017" s="127"/>
      <c r="J1017" s="111"/>
      <c r="K1017" s="257"/>
      <c r="L1017" s="111"/>
      <c r="M1017" s="127"/>
      <c r="N1017" s="270"/>
      <c r="O1017" s="111"/>
      <c r="P1017" s="111"/>
      <c r="Q1017" s="128"/>
      <c r="R1017" s="124"/>
      <c r="S1017" s="125"/>
      <c r="T1017" s="126"/>
      <c r="U1017" s="126"/>
      <c r="V1017" s="126"/>
      <c r="W1017" s="126"/>
      <c r="X1017" s="126"/>
      <c r="Y1017" s="126"/>
      <c r="Z1017" s="127"/>
      <c r="AA1017" s="127"/>
      <c r="AB1017" s="127"/>
      <c r="AC1017" s="127"/>
      <c r="AD1017" s="261"/>
      <c r="AE1017" s="261"/>
      <c r="AF1017" s="261"/>
      <c r="AG1017" s="261"/>
    </row>
    <row r="1018" ht="34.5" hidden="1" customHeight="1">
      <c r="A1018" s="111"/>
      <c r="B1018" s="127"/>
      <c r="C1018" s="111"/>
      <c r="D1018" s="111"/>
      <c r="E1018" s="111"/>
      <c r="F1018" s="111"/>
      <c r="G1018" s="111"/>
      <c r="H1018" s="111"/>
      <c r="I1018" s="127"/>
      <c r="J1018" s="111"/>
      <c r="K1018" s="257"/>
      <c r="L1018" s="111"/>
      <c r="M1018" s="127"/>
      <c r="N1018" s="270"/>
      <c r="O1018" s="111"/>
      <c r="P1018" s="111"/>
      <c r="Q1018" s="128"/>
      <c r="R1018" s="124"/>
      <c r="S1018" s="125"/>
      <c r="T1018" s="126"/>
      <c r="U1018" s="126"/>
      <c r="V1018" s="126"/>
      <c r="W1018" s="126"/>
      <c r="X1018" s="126"/>
      <c r="Y1018" s="126"/>
      <c r="Z1018" s="127"/>
      <c r="AA1018" s="127"/>
      <c r="AB1018" s="127"/>
      <c r="AC1018" s="127"/>
      <c r="AD1018" s="261"/>
      <c r="AE1018" s="261"/>
      <c r="AF1018" s="261"/>
      <c r="AG1018" s="261"/>
    </row>
    <row r="1019" ht="34.5" hidden="1" customHeight="1">
      <c r="A1019" s="111"/>
      <c r="B1019" s="127"/>
      <c r="C1019" s="111"/>
      <c r="D1019" s="111"/>
      <c r="E1019" s="111"/>
      <c r="F1019" s="111"/>
      <c r="G1019" s="111"/>
      <c r="H1019" s="111"/>
      <c r="I1019" s="127"/>
      <c r="J1019" s="111"/>
      <c r="K1019" s="257"/>
      <c r="L1019" s="111"/>
      <c r="M1019" s="127"/>
      <c r="N1019" s="270"/>
      <c r="O1019" s="111"/>
      <c r="P1019" s="111"/>
      <c r="Q1019" s="128"/>
      <c r="R1019" s="124"/>
      <c r="S1019" s="125"/>
      <c r="T1019" s="126"/>
      <c r="U1019" s="126"/>
      <c r="V1019" s="126"/>
      <c r="W1019" s="126"/>
      <c r="X1019" s="126"/>
      <c r="Y1019" s="126"/>
      <c r="Z1019" s="127"/>
      <c r="AA1019" s="127"/>
      <c r="AB1019" s="127"/>
      <c r="AC1019" s="127"/>
      <c r="AD1019" s="261"/>
      <c r="AE1019" s="261"/>
      <c r="AF1019" s="261"/>
      <c r="AG1019" s="261"/>
    </row>
    <row r="1020" ht="34.5" hidden="1" customHeight="1">
      <c r="A1020" s="111"/>
      <c r="B1020" s="127"/>
      <c r="C1020" s="111"/>
      <c r="D1020" s="111"/>
      <c r="E1020" s="111"/>
      <c r="F1020" s="111"/>
      <c r="G1020" s="111"/>
      <c r="H1020" s="111"/>
      <c r="I1020" s="127"/>
      <c r="J1020" s="111"/>
      <c r="K1020" s="257"/>
      <c r="L1020" s="111"/>
      <c r="M1020" s="127"/>
      <c r="N1020" s="270"/>
      <c r="O1020" s="111"/>
      <c r="P1020" s="111"/>
      <c r="Q1020" s="128"/>
      <c r="R1020" s="124"/>
      <c r="S1020" s="125"/>
      <c r="T1020" s="126"/>
      <c r="U1020" s="126"/>
      <c r="V1020" s="126"/>
      <c r="W1020" s="126"/>
      <c r="X1020" s="126"/>
      <c r="Y1020" s="126"/>
      <c r="Z1020" s="127"/>
      <c r="AA1020" s="127"/>
      <c r="AB1020" s="127"/>
      <c r="AC1020" s="127"/>
      <c r="AD1020" s="261"/>
      <c r="AE1020" s="261"/>
      <c r="AF1020" s="261"/>
      <c r="AG1020" s="261"/>
    </row>
    <row r="1021" ht="34.5" hidden="1" customHeight="1">
      <c r="A1021" s="111"/>
      <c r="B1021" s="127"/>
      <c r="C1021" s="111"/>
      <c r="D1021" s="111"/>
      <c r="E1021" s="111"/>
      <c r="F1021" s="111"/>
      <c r="G1021" s="111"/>
      <c r="H1021" s="111"/>
      <c r="I1021" s="127"/>
      <c r="J1021" s="111"/>
      <c r="K1021" s="257"/>
      <c r="L1021" s="111"/>
      <c r="M1021" s="127"/>
      <c r="N1021" s="270"/>
      <c r="O1021" s="111"/>
      <c r="P1021" s="111"/>
      <c r="Q1021" s="128"/>
      <c r="R1021" s="124"/>
      <c r="S1021" s="125"/>
      <c r="T1021" s="126"/>
      <c r="U1021" s="126"/>
      <c r="V1021" s="126"/>
      <c r="W1021" s="126"/>
      <c r="X1021" s="126"/>
      <c r="Y1021" s="126"/>
      <c r="Z1021" s="127"/>
      <c r="AA1021" s="127"/>
      <c r="AB1021" s="127"/>
      <c r="AC1021" s="127"/>
      <c r="AD1021" s="261"/>
      <c r="AE1021" s="261"/>
      <c r="AF1021" s="261"/>
      <c r="AG1021" s="261"/>
    </row>
    <row r="1022" ht="34.5" hidden="1" customHeight="1">
      <c r="A1022" s="111"/>
      <c r="B1022" s="127"/>
      <c r="C1022" s="111"/>
      <c r="D1022" s="111"/>
      <c r="E1022" s="111"/>
      <c r="F1022" s="111"/>
      <c r="G1022" s="111"/>
      <c r="H1022" s="111"/>
      <c r="I1022" s="127"/>
      <c r="J1022" s="111"/>
      <c r="K1022" s="257"/>
      <c r="L1022" s="111"/>
      <c r="M1022" s="127"/>
      <c r="N1022" s="270"/>
      <c r="O1022" s="111"/>
      <c r="P1022" s="111"/>
      <c r="Q1022" s="128"/>
      <c r="R1022" s="124"/>
      <c r="S1022" s="125"/>
      <c r="T1022" s="126"/>
      <c r="U1022" s="126"/>
      <c r="V1022" s="126"/>
      <c r="W1022" s="126"/>
      <c r="X1022" s="126"/>
      <c r="Y1022" s="126"/>
      <c r="Z1022" s="127"/>
      <c r="AA1022" s="127"/>
      <c r="AB1022" s="127"/>
      <c r="AC1022" s="127"/>
      <c r="AD1022" s="261"/>
      <c r="AE1022" s="261"/>
      <c r="AF1022" s="261"/>
      <c r="AG1022" s="261"/>
    </row>
    <row r="1023" ht="34.5" hidden="1" customHeight="1">
      <c r="A1023" s="111"/>
      <c r="B1023" s="127"/>
      <c r="C1023" s="111"/>
      <c r="D1023" s="111"/>
      <c r="E1023" s="111"/>
      <c r="F1023" s="111"/>
      <c r="G1023" s="111"/>
      <c r="H1023" s="111"/>
      <c r="I1023" s="127"/>
      <c r="J1023" s="111"/>
      <c r="K1023" s="257"/>
      <c r="L1023" s="111"/>
      <c r="M1023" s="127"/>
      <c r="N1023" s="270"/>
      <c r="O1023" s="111"/>
      <c r="P1023" s="111"/>
      <c r="Q1023" s="128"/>
      <c r="R1023" s="124"/>
      <c r="S1023" s="125"/>
      <c r="T1023" s="126"/>
      <c r="U1023" s="126"/>
      <c r="V1023" s="126"/>
      <c r="W1023" s="126"/>
      <c r="X1023" s="126"/>
      <c r="Y1023" s="126"/>
      <c r="Z1023" s="127"/>
      <c r="AA1023" s="127"/>
      <c r="AB1023" s="127"/>
      <c r="AC1023" s="127"/>
      <c r="AD1023" s="261"/>
      <c r="AE1023" s="261"/>
      <c r="AF1023" s="261"/>
      <c r="AG1023" s="261"/>
    </row>
    <row r="1024" ht="34.5" hidden="1" customHeight="1">
      <c r="A1024" s="111"/>
      <c r="B1024" s="127"/>
      <c r="C1024" s="111"/>
      <c r="D1024" s="111"/>
      <c r="E1024" s="111"/>
      <c r="F1024" s="111"/>
      <c r="G1024" s="111"/>
      <c r="H1024" s="111"/>
      <c r="I1024" s="127"/>
      <c r="J1024" s="111"/>
      <c r="K1024" s="257"/>
      <c r="L1024" s="111"/>
      <c r="M1024" s="127"/>
      <c r="N1024" s="270"/>
      <c r="O1024" s="111"/>
      <c r="P1024" s="111"/>
      <c r="Q1024" s="128"/>
      <c r="R1024" s="124"/>
      <c r="S1024" s="125"/>
      <c r="T1024" s="126"/>
      <c r="U1024" s="126"/>
      <c r="V1024" s="126"/>
      <c r="W1024" s="126"/>
      <c r="X1024" s="126"/>
      <c r="Y1024" s="126"/>
      <c r="Z1024" s="127"/>
      <c r="AA1024" s="127"/>
      <c r="AB1024" s="127"/>
      <c r="AC1024" s="127"/>
      <c r="AD1024" s="261"/>
      <c r="AE1024" s="261"/>
      <c r="AF1024" s="261"/>
      <c r="AG1024" s="261"/>
    </row>
    <row r="1025" ht="34.5" hidden="1" customHeight="1">
      <c r="A1025" s="111"/>
      <c r="B1025" s="127"/>
      <c r="C1025" s="111"/>
      <c r="D1025" s="111"/>
      <c r="E1025" s="111"/>
      <c r="F1025" s="111"/>
      <c r="G1025" s="111"/>
      <c r="H1025" s="111"/>
      <c r="I1025" s="127"/>
      <c r="J1025" s="111"/>
      <c r="K1025" s="257"/>
      <c r="L1025" s="111"/>
      <c r="M1025" s="127"/>
      <c r="N1025" s="270"/>
      <c r="O1025" s="111"/>
      <c r="P1025" s="111"/>
      <c r="Q1025" s="128"/>
      <c r="R1025" s="124"/>
      <c r="S1025" s="125"/>
      <c r="T1025" s="126"/>
      <c r="U1025" s="126"/>
      <c r="V1025" s="126"/>
      <c r="W1025" s="126"/>
      <c r="X1025" s="126"/>
      <c r="Y1025" s="126"/>
      <c r="Z1025" s="127"/>
      <c r="AA1025" s="127"/>
      <c r="AB1025" s="127"/>
      <c r="AC1025" s="127"/>
      <c r="AD1025" s="261"/>
      <c r="AE1025" s="261"/>
      <c r="AF1025" s="261"/>
      <c r="AG1025" s="261"/>
    </row>
    <row r="1026" ht="34.5" hidden="1" customHeight="1">
      <c r="A1026" s="111"/>
      <c r="B1026" s="127"/>
      <c r="C1026" s="111"/>
      <c r="D1026" s="111"/>
      <c r="E1026" s="111"/>
      <c r="F1026" s="111"/>
      <c r="G1026" s="111"/>
      <c r="H1026" s="111"/>
      <c r="I1026" s="127"/>
      <c r="J1026" s="111"/>
      <c r="K1026" s="257"/>
      <c r="L1026" s="111"/>
      <c r="M1026" s="127"/>
      <c r="N1026" s="270"/>
      <c r="O1026" s="111"/>
      <c r="P1026" s="111"/>
      <c r="Q1026" s="128"/>
      <c r="R1026" s="124"/>
      <c r="S1026" s="125"/>
      <c r="T1026" s="126"/>
      <c r="U1026" s="126"/>
      <c r="V1026" s="126"/>
      <c r="W1026" s="126"/>
      <c r="X1026" s="126"/>
      <c r="Y1026" s="126"/>
      <c r="Z1026" s="127"/>
      <c r="AA1026" s="127"/>
      <c r="AB1026" s="127"/>
      <c r="AC1026" s="127"/>
      <c r="AD1026" s="261"/>
      <c r="AE1026" s="261"/>
      <c r="AF1026" s="261"/>
      <c r="AG1026" s="261"/>
    </row>
    <row r="1027" ht="34.5" hidden="1" customHeight="1">
      <c r="A1027" s="111"/>
      <c r="B1027" s="127"/>
      <c r="C1027" s="111"/>
      <c r="D1027" s="111"/>
      <c r="E1027" s="111"/>
      <c r="F1027" s="111"/>
      <c r="G1027" s="111"/>
      <c r="H1027" s="111"/>
      <c r="I1027" s="127"/>
      <c r="J1027" s="111"/>
      <c r="K1027" s="257"/>
      <c r="L1027" s="111"/>
      <c r="M1027" s="127"/>
      <c r="N1027" s="270"/>
      <c r="O1027" s="111"/>
      <c r="P1027" s="111"/>
      <c r="Q1027" s="128"/>
      <c r="R1027" s="124"/>
      <c r="S1027" s="125"/>
      <c r="T1027" s="126"/>
      <c r="U1027" s="126"/>
      <c r="V1027" s="126"/>
      <c r="W1027" s="126"/>
      <c r="X1027" s="126"/>
      <c r="Y1027" s="126"/>
      <c r="Z1027" s="127"/>
      <c r="AA1027" s="127"/>
      <c r="AB1027" s="127"/>
      <c r="AC1027" s="127"/>
      <c r="AD1027" s="261"/>
      <c r="AE1027" s="261"/>
      <c r="AF1027" s="261"/>
      <c r="AG1027" s="261"/>
    </row>
    <row r="1028" ht="34.5" hidden="1" customHeight="1">
      <c r="A1028" s="111"/>
      <c r="B1028" s="127"/>
      <c r="C1028" s="111"/>
      <c r="D1028" s="111"/>
      <c r="E1028" s="111"/>
      <c r="F1028" s="111"/>
      <c r="G1028" s="111"/>
      <c r="H1028" s="111"/>
      <c r="I1028" s="127"/>
      <c r="J1028" s="111"/>
      <c r="K1028" s="257"/>
      <c r="L1028" s="111"/>
      <c r="M1028" s="127"/>
      <c r="N1028" s="270"/>
      <c r="O1028" s="111"/>
      <c r="P1028" s="111"/>
      <c r="Q1028" s="128"/>
      <c r="R1028" s="124"/>
      <c r="S1028" s="125"/>
      <c r="T1028" s="126"/>
      <c r="U1028" s="126"/>
      <c r="V1028" s="126"/>
      <c r="W1028" s="126"/>
      <c r="X1028" s="126"/>
      <c r="Y1028" s="126"/>
      <c r="Z1028" s="127"/>
      <c r="AA1028" s="127"/>
      <c r="AB1028" s="127"/>
      <c r="AC1028" s="127"/>
      <c r="AD1028" s="261"/>
      <c r="AE1028" s="261"/>
      <c r="AF1028" s="261"/>
      <c r="AG1028" s="261"/>
    </row>
    <row r="1029" ht="34.5" hidden="1" customHeight="1">
      <c r="A1029" s="111"/>
      <c r="B1029" s="127"/>
      <c r="C1029" s="111"/>
      <c r="D1029" s="111"/>
      <c r="E1029" s="111"/>
      <c r="F1029" s="111"/>
      <c r="G1029" s="111"/>
      <c r="H1029" s="111"/>
      <c r="I1029" s="127"/>
      <c r="J1029" s="111"/>
      <c r="K1029" s="257"/>
      <c r="L1029" s="111"/>
      <c r="M1029" s="127"/>
      <c r="N1029" s="270"/>
      <c r="O1029" s="111"/>
      <c r="P1029" s="111"/>
      <c r="Q1029" s="128"/>
      <c r="R1029" s="124"/>
      <c r="S1029" s="125"/>
      <c r="T1029" s="126"/>
      <c r="U1029" s="126"/>
      <c r="V1029" s="126"/>
      <c r="W1029" s="126"/>
      <c r="X1029" s="126"/>
      <c r="Y1029" s="126"/>
      <c r="Z1029" s="127"/>
      <c r="AA1029" s="127"/>
      <c r="AB1029" s="127"/>
      <c r="AC1029" s="127"/>
      <c r="AD1029" s="261"/>
      <c r="AE1029" s="261"/>
      <c r="AF1029" s="261"/>
      <c r="AG1029" s="261"/>
    </row>
    <row r="1030" ht="34.5" hidden="1" customHeight="1">
      <c r="A1030" s="111"/>
      <c r="B1030" s="127"/>
      <c r="C1030" s="111"/>
      <c r="D1030" s="111"/>
      <c r="E1030" s="111"/>
      <c r="F1030" s="111"/>
      <c r="G1030" s="111"/>
      <c r="H1030" s="111"/>
      <c r="I1030" s="127"/>
      <c r="J1030" s="111"/>
      <c r="K1030" s="257"/>
      <c r="L1030" s="111"/>
      <c r="M1030" s="127"/>
      <c r="N1030" s="270"/>
      <c r="O1030" s="111"/>
      <c r="P1030" s="111"/>
      <c r="Q1030" s="128"/>
      <c r="R1030" s="124"/>
      <c r="S1030" s="125"/>
      <c r="T1030" s="126"/>
      <c r="U1030" s="126"/>
      <c r="V1030" s="126"/>
      <c r="W1030" s="126"/>
      <c r="X1030" s="126"/>
      <c r="Y1030" s="126"/>
      <c r="Z1030" s="127"/>
      <c r="AA1030" s="127"/>
      <c r="AB1030" s="127"/>
      <c r="AC1030" s="127"/>
      <c r="AD1030" s="261"/>
      <c r="AE1030" s="261"/>
      <c r="AF1030" s="261"/>
      <c r="AG1030" s="261"/>
    </row>
    <row r="1031" ht="34.5" hidden="1" customHeight="1">
      <c r="A1031" s="111"/>
      <c r="B1031" s="127"/>
      <c r="C1031" s="111"/>
      <c r="D1031" s="111"/>
      <c r="E1031" s="111"/>
      <c r="F1031" s="111"/>
      <c r="G1031" s="111"/>
      <c r="H1031" s="111"/>
      <c r="I1031" s="127"/>
      <c r="J1031" s="111"/>
      <c r="K1031" s="257"/>
      <c r="L1031" s="111"/>
      <c r="M1031" s="127"/>
      <c r="N1031" s="270"/>
      <c r="O1031" s="111"/>
      <c r="P1031" s="111"/>
      <c r="Q1031" s="128"/>
      <c r="R1031" s="124"/>
      <c r="S1031" s="125"/>
      <c r="T1031" s="126"/>
      <c r="U1031" s="126"/>
      <c r="V1031" s="126"/>
      <c r="W1031" s="126"/>
      <c r="X1031" s="126"/>
      <c r="Y1031" s="126"/>
      <c r="Z1031" s="127"/>
      <c r="AA1031" s="127"/>
      <c r="AB1031" s="127"/>
      <c r="AC1031" s="127"/>
      <c r="AD1031" s="261"/>
      <c r="AE1031" s="261"/>
      <c r="AF1031" s="261"/>
      <c r="AG1031" s="261"/>
    </row>
    <row r="1032" ht="34.5" hidden="1" customHeight="1">
      <c r="A1032" s="111"/>
      <c r="B1032" s="127"/>
      <c r="C1032" s="111"/>
      <c r="D1032" s="111"/>
      <c r="E1032" s="111"/>
      <c r="F1032" s="111"/>
      <c r="G1032" s="111"/>
      <c r="H1032" s="111"/>
      <c r="I1032" s="127"/>
      <c r="J1032" s="111"/>
      <c r="K1032" s="257"/>
      <c r="L1032" s="111"/>
      <c r="M1032" s="127"/>
      <c r="N1032" s="270"/>
      <c r="O1032" s="111"/>
      <c r="P1032" s="111"/>
      <c r="Q1032" s="128"/>
      <c r="R1032" s="124"/>
      <c r="S1032" s="125"/>
      <c r="T1032" s="126"/>
      <c r="U1032" s="126"/>
      <c r="V1032" s="126"/>
      <c r="W1032" s="126"/>
      <c r="X1032" s="126"/>
      <c r="Y1032" s="126"/>
      <c r="Z1032" s="127"/>
      <c r="AA1032" s="127"/>
      <c r="AB1032" s="127"/>
      <c r="AC1032" s="127"/>
      <c r="AD1032" s="261"/>
      <c r="AE1032" s="261"/>
      <c r="AF1032" s="261"/>
      <c r="AG1032" s="261"/>
    </row>
    <row r="1033" ht="34.5" hidden="1" customHeight="1">
      <c r="A1033" s="111"/>
      <c r="B1033" s="127"/>
      <c r="C1033" s="111"/>
      <c r="D1033" s="111"/>
      <c r="E1033" s="111"/>
      <c r="F1033" s="111"/>
      <c r="G1033" s="111"/>
      <c r="H1033" s="111"/>
      <c r="I1033" s="127"/>
      <c r="J1033" s="111"/>
      <c r="K1033" s="257"/>
      <c r="L1033" s="111"/>
      <c r="M1033" s="127"/>
      <c r="N1033" s="270"/>
      <c r="O1033" s="111"/>
      <c r="P1033" s="111"/>
      <c r="Q1033" s="128"/>
      <c r="R1033" s="124"/>
      <c r="S1033" s="125"/>
      <c r="T1033" s="126"/>
      <c r="U1033" s="126"/>
      <c r="V1033" s="126"/>
      <c r="W1033" s="126"/>
      <c r="X1033" s="126"/>
      <c r="Y1033" s="126"/>
      <c r="Z1033" s="127"/>
      <c r="AA1033" s="127"/>
      <c r="AB1033" s="127"/>
      <c r="AC1033" s="127"/>
      <c r="AD1033" s="261"/>
      <c r="AE1033" s="261"/>
      <c r="AF1033" s="261"/>
      <c r="AG1033" s="261"/>
    </row>
    <row r="1034" ht="34.5" hidden="1" customHeight="1">
      <c r="A1034" s="111"/>
      <c r="B1034" s="127"/>
      <c r="C1034" s="111"/>
      <c r="D1034" s="111"/>
      <c r="E1034" s="111"/>
      <c r="F1034" s="111"/>
      <c r="G1034" s="111"/>
      <c r="H1034" s="111"/>
      <c r="I1034" s="127"/>
      <c r="J1034" s="111"/>
      <c r="K1034" s="257"/>
      <c r="L1034" s="111"/>
      <c r="M1034" s="127"/>
      <c r="N1034" s="270"/>
      <c r="O1034" s="111"/>
      <c r="P1034" s="111"/>
      <c r="Q1034" s="128"/>
      <c r="R1034" s="124"/>
      <c r="S1034" s="125"/>
      <c r="T1034" s="126"/>
      <c r="U1034" s="126"/>
      <c r="V1034" s="126"/>
      <c r="W1034" s="126"/>
      <c r="X1034" s="126"/>
      <c r="Y1034" s="126"/>
      <c r="Z1034" s="127"/>
      <c r="AA1034" s="127"/>
      <c r="AB1034" s="127"/>
      <c r="AC1034" s="127"/>
      <c r="AD1034" s="261"/>
      <c r="AE1034" s="261"/>
      <c r="AF1034" s="261"/>
      <c r="AG1034" s="261"/>
    </row>
    <row r="1035" ht="34.5" hidden="1" customHeight="1">
      <c r="A1035" s="111"/>
      <c r="B1035" s="127"/>
      <c r="C1035" s="111"/>
      <c r="D1035" s="111"/>
      <c r="E1035" s="111"/>
      <c r="F1035" s="111"/>
      <c r="G1035" s="111"/>
      <c r="H1035" s="111"/>
      <c r="I1035" s="127"/>
      <c r="J1035" s="111"/>
      <c r="K1035" s="257"/>
      <c r="L1035" s="111"/>
      <c r="M1035" s="127"/>
      <c r="N1035" s="270"/>
      <c r="O1035" s="111"/>
      <c r="P1035" s="111"/>
      <c r="Q1035" s="128"/>
      <c r="R1035" s="124"/>
      <c r="S1035" s="125"/>
      <c r="T1035" s="126"/>
      <c r="U1035" s="126"/>
      <c r="V1035" s="126"/>
      <c r="W1035" s="126"/>
      <c r="X1035" s="126"/>
      <c r="Y1035" s="126"/>
      <c r="Z1035" s="127"/>
      <c r="AA1035" s="127"/>
      <c r="AB1035" s="127"/>
      <c r="AC1035" s="127"/>
      <c r="AD1035" s="261"/>
      <c r="AE1035" s="261"/>
      <c r="AF1035" s="261"/>
      <c r="AG1035" s="261"/>
    </row>
    <row r="1036" ht="34.5" hidden="1" customHeight="1">
      <c r="A1036" s="111"/>
      <c r="B1036" s="127"/>
      <c r="C1036" s="111"/>
      <c r="D1036" s="111"/>
      <c r="E1036" s="111"/>
      <c r="F1036" s="111"/>
      <c r="G1036" s="111"/>
      <c r="H1036" s="111"/>
      <c r="I1036" s="127"/>
      <c r="J1036" s="111"/>
      <c r="K1036" s="257"/>
      <c r="L1036" s="111"/>
      <c r="M1036" s="127"/>
      <c r="N1036" s="270"/>
      <c r="O1036" s="111"/>
      <c r="P1036" s="111"/>
      <c r="Q1036" s="128"/>
      <c r="R1036" s="124"/>
      <c r="S1036" s="125"/>
      <c r="T1036" s="126"/>
      <c r="U1036" s="126"/>
      <c r="V1036" s="126"/>
      <c r="W1036" s="126"/>
      <c r="X1036" s="126"/>
      <c r="Y1036" s="126"/>
      <c r="Z1036" s="127"/>
      <c r="AA1036" s="127"/>
      <c r="AB1036" s="127"/>
      <c r="AC1036" s="127"/>
      <c r="AD1036" s="261"/>
      <c r="AE1036" s="261"/>
      <c r="AF1036" s="261"/>
      <c r="AG1036" s="261"/>
    </row>
    <row r="1037" ht="34.5" hidden="1" customHeight="1">
      <c r="A1037" s="111"/>
      <c r="B1037" s="127"/>
      <c r="C1037" s="111"/>
      <c r="D1037" s="111"/>
      <c r="E1037" s="111"/>
      <c r="F1037" s="111"/>
      <c r="G1037" s="111"/>
      <c r="H1037" s="111"/>
      <c r="I1037" s="127"/>
      <c r="J1037" s="111"/>
      <c r="K1037" s="257"/>
      <c r="L1037" s="111"/>
      <c r="M1037" s="127"/>
      <c r="N1037" s="270"/>
      <c r="O1037" s="111"/>
      <c r="P1037" s="111"/>
      <c r="Q1037" s="128"/>
      <c r="R1037" s="124"/>
      <c r="S1037" s="125"/>
      <c r="T1037" s="126"/>
      <c r="U1037" s="126"/>
      <c r="V1037" s="126"/>
      <c r="W1037" s="126"/>
      <c r="X1037" s="126"/>
      <c r="Y1037" s="126"/>
      <c r="Z1037" s="127"/>
      <c r="AA1037" s="127"/>
      <c r="AB1037" s="127"/>
      <c r="AC1037" s="127"/>
      <c r="AD1037" s="261"/>
      <c r="AE1037" s="261"/>
      <c r="AF1037" s="261"/>
      <c r="AG1037" s="261"/>
    </row>
    <row r="1038" ht="34.5" hidden="1" customHeight="1">
      <c r="A1038" s="111"/>
      <c r="B1038" s="127"/>
      <c r="C1038" s="111"/>
      <c r="D1038" s="111"/>
      <c r="E1038" s="111"/>
      <c r="F1038" s="111"/>
      <c r="G1038" s="111"/>
      <c r="H1038" s="111"/>
      <c r="I1038" s="127"/>
      <c r="J1038" s="111"/>
      <c r="K1038" s="257"/>
      <c r="L1038" s="111"/>
      <c r="M1038" s="127"/>
      <c r="N1038" s="270"/>
      <c r="O1038" s="111"/>
      <c r="P1038" s="111"/>
      <c r="Q1038" s="128"/>
      <c r="R1038" s="124"/>
      <c r="S1038" s="125"/>
      <c r="T1038" s="126"/>
      <c r="U1038" s="126"/>
      <c r="V1038" s="126"/>
      <c r="W1038" s="126"/>
      <c r="X1038" s="126"/>
      <c r="Y1038" s="126"/>
      <c r="Z1038" s="127"/>
      <c r="AA1038" s="127"/>
      <c r="AB1038" s="127"/>
      <c r="AC1038" s="127"/>
      <c r="AD1038" s="261"/>
      <c r="AE1038" s="261"/>
      <c r="AF1038" s="261"/>
      <c r="AG1038" s="261"/>
    </row>
    <row r="1039" ht="34.5" hidden="1" customHeight="1">
      <c r="A1039" s="111"/>
      <c r="B1039" s="127"/>
      <c r="C1039" s="111"/>
      <c r="D1039" s="111"/>
      <c r="E1039" s="111"/>
      <c r="F1039" s="111"/>
      <c r="G1039" s="111"/>
      <c r="H1039" s="111"/>
      <c r="I1039" s="127"/>
      <c r="J1039" s="111"/>
      <c r="K1039" s="257"/>
      <c r="L1039" s="111"/>
      <c r="M1039" s="127"/>
      <c r="N1039" s="270"/>
      <c r="O1039" s="111"/>
      <c r="P1039" s="111"/>
      <c r="Q1039" s="128"/>
      <c r="R1039" s="124"/>
      <c r="S1039" s="125"/>
      <c r="T1039" s="126"/>
      <c r="U1039" s="126"/>
      <c r="V1039" s="126"/>
      <c r="W1039" s="126"/>
      <c r="X1039" s="126"/>
      <c r="Y1039" s="126"/>
      <c r="Z1039" s="127"/>
      <c r="AA1039" s="127"/>
      <c r="AB1039" s="127"/>
      <c r="AC1039" s="127"/>
      <c r="AD1039" s="261"/>
      <c r="AE1039" s="261"/>
      <c r="AF1039" s="261"/>
      <c r="AG1039" s="261"/>
    </row>
    <row r="1040" ht="34.5" hidden="1" customHeight="1">
      <c r="A1040" s="111"/>
      <c r="B1040" s="127"/>
      <c r="C1040" s="111"/>
      <c r="D1040" s="111"/>
      <c r="E1040" s="111"/>
      <c r="F1040" s="111"/>
      <c r="G1040" s="111"/>
      <c r="H1040" s="111"/>
      <c r="I1040" s="127"/>
      <c r="J1040" s="111"/>
      <c r="K1040" s="257"/>
      <c r="L1040" s="111"/>
      <c r="M1040" s="127"/>
      <c r="N1040" s="270"/>
      <c r="O1040" s="111"/>
      <c r="P1040" s="111"/>
      <c r="Q1040" s="128"/>
      <c r="R1040" s="124"/>
      <c r="S1040" s="125"/>
      <c r="T1040" s="126"/>
      <c r="U1040" s="126"/>
      <c r="V1040" s="126"/>
      <c r="W1040" s="126"/>
      <c r="X1040" s="126"/>
      <c r="Y1040" s="126"/>
      <c r="Z1040" s="127"/>
      <c r="AA1040" s="127"/>
      <c r="AB1040" s="127"/>
      <c r="AC1040" s="127"/>
      <c r="AD1040" s="261"/>
      <c r="AE1040" s="261"/>
      <c r="AF1040" s="261"/>
      <c r="AG1040" s="261"/>
    </row>
    <row r="1041" ht="34.5" hidden="1" customHeight="1">
      <c r="A1041" s="111"/>
      <c r="B1041" s="127"/>
      <c r="C1041" s="111"/>
      <c r="D1041" s="111"/>
      <c r="E1041" s="111"/>
      <c r="F1041" s="111"/>
      <c r="G1041" s="111"/>
      <c r="H1041" s="111"/>
      <c r="I1041" s="127"/>
      <c r="J1041" s="111"/>
      <c r="K1041" s="257"/>
      <c r="L1041" s="111"/>
      <c r="M1041" s="127"/>
      <c r="N1041" s="270"/>
      <c r="O1041" s="111"/>
      <c r="P1041" s="111"/>
      <c r="Q1041" s="128"/>
      <c r="R1041" s="124"/>
      <c r="S1041" s="125"/>
      <c r="T1041" s="126"/>
      <c r="U1041" s="126"/>
      <c r="V1041" s="126"/>
      <c r="W1041" s="126"/>
      <c r="X1041" s="126"/>
      <c r="Y1041" s="126"/>
      <c r="Z1041" s="127"/>
      <c r="AA1041" s="127"/>
      <c r="AB1041" s="127"/>
      <c r="AC1041" s="127"/>
      <c r="AD1041" s="261"/>
      <c r="AE1041" s="261"/>
      <c r="AF1041" s="261"/>
      <c r="AG1041" s="261"/>
    </row>
    <row r="1042" ht="34.5" hidden="1" customHeight="1">
      <c r="A1042" s="111"/>
      <c r="B1042" s="127"/>
      <c r="C1042" s="111"/>
      <c r="D1042" s="111"/>
      <c r="E1042" s="111"/>
      <c r="F1042" s="111"/>
      <c r="G1042" s="111"/>
      <c r="H1042" s="111"/>
      <c r="I1042" s="127"/>
      <c r="J1042" s="111"/>
      <c r="K1042" s="257"/>
      <c r="L1042" s="111"/>
      <c r="M1042" s="127"/>
      <c r="N1042" s="270"/>
      <c r="O1042" s="111"/>
      <c r="P1042" s="111"/>
      <c r="Q1042" s="128"/>
      <c r="R1042" s="124"/>
      <c r="S1042" s="125"/>
      <c r="T1042" s="126"/>
      <c r="U1042" s="126"/>
      <c r="V1042" s="126"/>
      <c r="W1042" s="126"/>
      <c r="X1042" s="126"/>
      <c r="Y1042" s="126"/>
      <c r="Z1042" s="127"/>
      <c r="AA1042" s="127"/>
      <c r="AB1042" s="127"/>
      <c r="AC1042" s="127"/>
      <c r="AD1042" s="261"/>
      <c r="AE1042" s="261"/>
      <c r="AF1042" s="261"/>
      <c r="AG1042" s="261"/>
    </row>
    <row r="1043" ht="34.5" hidden="1" customHeight="1">
      <c r="A1043" s="111"/>
      <c r="B1043" s="127"/>
      <c r="C1043" s="111"/>
      <c r="D1043" s="111"/>
      <c r="E1043" s="111"/>
      <c r="F1043" s="111"/>
      <c r="G1043" s="111"/>
      <c r="H1043" s="111"/>
      <c r="I1043" s="127"/>
      <c r="J1043" s="111"/>
      <c r="K1043" s="257"/>
      <c r="L1043" s="111"/>
      <c r="M1043" s="127"/>
      <c r="N1043" s="270"/>
      <c r="O1043" s="111"/>
      <c r="P1043" s="111"/>
      <c r="Q1043" s="128"/>
      <c r="R1043" s="124"/>
      <c r="S1043" s="125"/>
      <c r="T1043" s="126"/>
      <c r="U1043" s="126"/>
      <c r="V1043" s="126"/>
      <c r="W1043" s="126"/>
      <c r="X1043" s="126"/>
      <c r="Y1043" s="126"/>
      <c r="Z1043" s="127"/>
      <c r="AA1043" s="127"/>
      <c r="AB1043" s="127"/>
      <c r="AC1043" s="127"/>
      <c r="AD1043" s="261"/>
      <c r="AE1043" s="261"/>
      <c r="AF1043" s="261"/>
      <c r="AG1043" s="261"/>
    </row>
    <row r="1044" ht="34.5" hidden="1" customHeight="1">
      <c r="A1044" s="111"/>
      <c r="B1044" s="127"/>
      <c r="C1044" s="111"/>
      <c r="D1044" s="111"/>
      <c r="E1044" s="111"/>
      <c r="F1044" s="111"/>
      <c r="G1044" s="111"/>
      <c r="H1044" s="111"/>
      <c r="I1044" s="127"/>
      <c r="J1044" s="111"/>
      <c r="K1044" s="257"/>
      <c r="L1044" s="111"/>
      <c r="M1044" s="127"/>
      <c r="N1044" s="270"/>
      <c r="O1044" s="111"/>
      <c r="P1044" s="111"/>
      <c r="Q1044" s="128"/>
      <c r="R1044" s="124"/>
      <c r="S1044" s="125"/>
      <c r="T1044" s="126"/>
      <c r="U1044" s="126"/>
      <c r="V1044" s="126"/>
      <c r="W1044" s="126"/>
      <c r="X1044" s="126"/>
      <c r="Y1044" s="126"/>
      <c r="Z1044" s="127"/>
      <c r="AA1044" s="127"/>
      <c r="AB1044" s="127"/>
      <c r="AC1044" s="127"/>
      <c r="AD1044" s="261"/>
      <c r="AE1044" s="261"/>
      <c r="AF1044" s="261"/>
      <c r="AG1044" s="261"/>
    </row>
    <row r="1045" ht="34.5" hidden="1" customHeight="1">
      <c r="A1045" s="111"/>
      <c r="B1045" s="127"/>
      <c r="C1045" s="111"/>
      <c r="D1045" s="111"/>
      <c r="E1045" s="111"/>
      <c r="F1045" s="111"/>
      <c r="G1045" s="111"/>
      <c r="H1045" s="111"/>
      <c r="I1045" s="127"/>
      <c r="J1045" s="111"/>
      <c r="K1045" s="257"/>
      <c r="L1045" s="111"/>
      <c r="M1045" s="127"/>
      <c r="N1045" s="270"/>
      <c r="O1045" s="111"/>
      <c r="P1045" s="111"/>
      <c r="Q1045" s="128"/>
      <c r="R1045" s="124"/>
      <c r="S1045" s="125"/>
      <c r="T1045" s="126"/>
      <c r="U1045" s="126"/>
      <c r="V1045" s="126"/>
      <c r="W1045" s="126"/>
      <c r="X1045" s="126"/>
      <c r="Y1045" s="126"/>
      <c r="Z1045" s="127"/>
      <c r="AA1045" s="127"/>
      <c r="AB1045" s="127"/>
      <c r="AC1045" s="127"/>
      <c r="AD1045" s="261"/>
      <c r="AE1045" s="261"/>
      <c r="AF1045" s="261"/>
      <c r="AG1045" s="261"/>
    </row>
    <row r="1046" ht="34.5" hidden="1" customHeight="1">
      <c r="A1046" s="111"/>
      <c r="B1046" s="127"/>
      <c r="C1046" s="111"/>
      <c r="D1046" s="111"/>
      <c r="E1046" s="111"/>
      <c r="F1046" s="111"/>
      <c r="G1046" s="111"/>
      <c r="H1046" s="111"/>
      <c r="I1046" s="127"/>
      <c r="J1046" s="111"/>
      <c r="K1046" s="257"/>
      <c r="L1046" s="111"/>
      <c r="M1046" s="127"/>
      <c r="N1046" s="270"/>
      <c r="O1046" s="111"/>
      <c r="P1046" s="111"/>
      <c r="Q1046" s="128"/>
      <c r="R1046" s="124"/>
      <c r="S1046" s="125"/>
      <c r="T1046" s="126"/>
      <c r="U1046" s="126"/>
      <c r="V1046" s="126"/>
      <c r="W1046" s="126"/>
      <c r="X1046" s="126"/>
      <c r="Y1046" s="126"/>
      <c r="Z1046" s="127"/>
      <c r="AA1046" s="127"/>
      <c r="AB1046" s="127"/>
      <c r="AC1046" s="127"/>
      <c r="AD1046" s="261"/>
      <c r="AE1046" s="261"/>
      <c r="AF1046" s="261"/>
      <c r="AG1046" s="261"/>
    </row>
    <row r="1047" ht="34.5" hidden="1" customHeight="1">
      <c r="A1047" s="111"/>
      <c r="B1047" s="127"/>
      <c r="C1047" s="111"/>
      <c r="D1047" s="111"/>
      <c r="E1047" s="111"/>
      <c r="F1047" s="111"/>
      <c r="G1047" s="111"/>
      <c r="H1047" s="111"/>
      <c r="I1047" s="127"/>
      <c r="J1047" s="111"/>
      <c r="K1047" s="257"/>
      <c r="L1047" s="111"/>
      <c r="M1047" s="127"/>
      <c r="N1047" s="270"/>
      <c r="O1047" s="111"/>
      <c r="P1047" s="111"/>
      <c r="Q1047" s="128"/>
      <c r="R1047" s="124"/>
      <c r="S1047" s="125"/>
      <c r="T1047" s="126"/>
      <c r="U1047" s="126"/>
      <c r="V1047" s="126"/>
      <c r="W1047" s="126"/>
      <c r="X1047" s="126"/>
      <c r="Y1047" s="126"/>
      <c r="Z1047" s="127"/>
      <c r="AA1047" s="127"/>
      <c r="AB1047" s="127"/>
      <c r="AC1047" s="127"/>
      <c r="AD1047" s="261"/>
      <c r="AE1047" s="261"/>
      <c r="AF1047" s="261"/>
      <c r="AG1047" s="261"/>
    </row>
    <row r="1048" ht="34.5" hidden="1" customHeight="1">
      <c r="A1048" s="111"/>
      <c r="B1048" s="127"/>
      <c r="C1048" s="111"/>
      <c r="D1048" s="111"/>
      <c r="E1048" s="111"/>
      <c r="F1048" s="111"/>
      <c r="G1048" s="111"/>
      <c r="H1048" s="111"/>
      <c r="I1048" s="127"/>
      <c r="J1048" s="111"/>
      <c r="K1048" s="257"/>
      <c r="L1048" s="111"/>
      <c r="M1048" s="127"/>
      <c r="N1048" s="270"/>
      <c r="O1048" s="111"/>
      <c r="P1048" s="111"/>
      <c r="Q1048" s="128"/>
      <c r="R1048" s="124"/>
      <c r="S1048" s="125"/>
      <c r="T1048" s="126"/>
      <c r="U1048" s="126"/>
      <c r="V1048" s="126"/>
      <c r="W1048" s="126"/>
      <c r="X1048" s="126"/>
      <c r="Y1048" s="126"/>
      <c r="Z1048" s="127"/>
      <c r="AA1048" s="127"/>
      <c r="AB1048" s="127"/>
      <c r="AC1048" s="127"/>
      <c r="AD1048" s="261"/>
      <c r="AE1048" s="261"/>
      <c r="AF1048" s="261"/>
      <c r="AG1048" s="261"/>
    </row>
    <row r="1049" ht="34.5" hidden="1" customHeight="1">
      <c r="A1049" s="111"/>
      <c r="B1049" s="127"/>
      <c r="C1049" s="111"/>
      <c r="D1049" s="111"/>
      <c r="E1049" s="111"/>
      <c r="F1049" s="111"/>
      <c r="G1049" s="111"/>
      <c r="H1049" s="111"/>
      <c r="I1049" s="127"/>
      <c r="J1049" s="111"/>
      <c r="K1049" s="257"/>
      <c r="L1049" s="111"/>
      <c r="M1049" s="127"/>
      <c r="N1049" s="270"/>
      <c r="O1049" s="111"/>
      <c r="P1049" s="111"/>
      <c r="Q1049" s="128"/>
      <c r="R1049" s="124"/>
      <c r="S1049" s="125"/>
      <c r="T1049" s="126"/>
      <c r="U1049" s="126"/>
      <c r="V1049" s="126"/>
      <c r="W1049" s="126"/>
      <c r="X1049" s="126"/>
      <c r="Y1049" s="126"/>
      <c r="Z1049" s="127"/>
      <c r="AA1049" s="127"/>
      <c r="AB1049" s="127"/>
      <c r="AC1049" s="127"/>
      <c r="AD1049" s="261"/>
      <c r="AE1049" s="261"/>
      <c r="AF1049" s="261"/>
      <c r="AG1049" s="261"/>
    </row>
    <row r="1050" ht="34.5" hidden="1" customHeight="1">
      <c r="A1050" s="111"/>
      <c r="B1050" s="127"/>
      <c r="C1050" s="111"/>
      <c r="D1050" s="111"/>
      <c r="E1050" s="111"/>
      <c r="F1050" s="111"/>
      <c r="G1050" s="111"/>
      <c r="H1050" s="111"/>
      <c r="I1050" s="127"/>
      <c r="J1050" s="111"/>
      <c r="K1050" s="257"/>
      <c r="L1050" s="111"/>
      <c r="M1050" s="127"/>
      <c r="N1050" s="270"/>
      <c r="O1050" s="111"/>
      <c r="P1050" s="111"/>
      <c r="Q1050" s="128"/>
      <c r="R1050" s="124"/>
      <c r="S1050" s="125"/>
      <c r="T1050" s="126"/>
      <c r="U1050" s="126"/>
      <c r="V1050" s="126"/>
      <c r="W1050" s="126"/>
      <c r="X1050" s="126"/>
      <c r="Y1050" s="126"/>
      <c r="Z1050" s="127"/>
      <c r="AA1050" s="127"/>
      <c r="AB1050" s="127"/>
      <c r="AC1050" s="127"/>
      <c r="AD1050" s="261"/>
      <c r="AE1050" s="261"/>
      <c r="AF1050" s="261"/>
      <c r="AG1050" s="261"/>
    </row>
    <row r="1051" ht="34.5" hidden="1" customHeight="1">
      <c r="A1051" s="111"/>
      <c r="B1051" s="127"/>
      <c r="C1051" s="111"/>
      <c r="D1051" s="111"/>
      <c r="E1051" s="111"/>
      <c r="F1051" s="111"/>
      <c r="G1051" s="111"/>
      <c r="H1051" s="111"/>
      <c r="I1051" s="127"/>
      <c r="J1051" s="111"/>
      <c r="K1051" s="257"/>
      <c r="L1051" s="111"/>
      <c r="M1051" s="127"/>
      <c r="N1051" s="270"/>
      <c r="O1051" s="111"/>
      <c r="P1051" s="111"/>
      <c r="Q1051" s="128"/>
      <c r="R1051" s="124"/>
      <c r="S1051" s="125"/>
      <c r="T1051" s="126"/>
      <c r="U1051" s="126"/>
      <c r="V1051" s="126"/>
      <c r="W1051" s="126"/>
      <c r="X1051" s="126"/>
      <c r="Y1051" s="126"/>
      <c r="Z1051" s="127"/>
      <c r="AA1051" s="127"/>
      <c r="AB1051" s="127"/>
      <c r="AC1051" s="127"/>
      <c r="AD1051" s="261"/>
      <c r="AE1051" s="261"/>
      <c r="AF1051" s="261"/>
      <c r="AG1051" s="261"/>
    </row>
    <row r="1052" ht="34.5" hidden="1" customHeight="1">
      <c r="A1052" s="111"/>
      <c r="B1052" s="127"/>
      <c r="C1052" s="111"/>
      <c r="D1052" s="111"/>
      <c r="E1052" s="111"/>
      <c r="F1052" s="111"/>
      <c r="G1052" s="111"/>
      <c r="H1052" s="111"/>
      <c r="I1052" s="127"/>
      <c r="J1052" s="111"/>
      <c r="K1052" s="257"/>
      <c r="L1052" s="111"/>
      <c r="M1052" s="127"/>
      <c r="N1052" s="270"/>
      <c r="O1052" s="111"/>
      <c r="P1052" s="111"/>
      <c r="Q1052" s="128"/>
      <c r="R1052" s="124"/>
      <c r="S1052" s="125"/>
      <c r="T1052" s="126"/>
      <c r="U1052" s="126"/>
      <c r="V1052" s="126"/>
      <c r="W1052" s="126"/>
      <c r="X1052" s="126"/>
      <c r="Y1052" s="126"/>
      <c r="Z1052" s="127"/>
      <c r="AA1052" s="127"/>
      <c r="AB1052" s="127"/>
      <c r="AC1052" s="127"/>
      <c r="AD1052" s="261"/>
      <c r="AE1052" s="261"/>
      <c r="AF1052" s="261"/>
      <c r="AG1052" s="261"/>
    </row>
    <row r="1053" ht="34.5" hidden="1" customHeight="1">
      <c r="A1053" s="111"/>
      <c r="B1053" s="127"/>
      <c r="C1053" s="111"/>
      <c r="D1053" s="111"/>
      <c r="E1053" s="111"/>
      <c r="F1053" s="111"/>
      <c r="G1053" s="111"/>
      <c r="H1053" s="111"/>
      <c r="I1053" s="127"/>
      <c r="J1053" s="111"/>
      <c r="K1053" s="257"/>
      <c r="L1053" s="111"/>
      <c r="M1053" s="127"/>
      <c r="N1053" s="270"/>
      <c r="O1053" s="111"/>
      <c r="P1053" s="111"/>
      <c r="Q1053" s="128"/>
      <c r="R1053" s="124"/>
      <c r="S1053" s="125"/>
      <c r="T1053" s="126"/>
      <c r="U1053" s="126"/>
      <c r="V1053" s="126"/>
      <c r="W1053" s="126"/>
      <c r="X1053" s="126"/>
      <c r="Y1053" s="126"/>
      <c r="Z1053" s="127"/>
      <c r="AA1053" s="127"/>
      <c r="AB1053" s="127"/>
      <c r="AC1053" s="127"/>
      <c r="AD1053" s="261"/>
      <c r="AE1053" s="261"/>
      <c r="AF1053" s="261"/>
      <c r="AG1053" s="261"/>
    </row>
    <row r="1054" ht="34.5" hidden="1" customHeight="1">
      <c r="A1054" s="111"/>
      <c r="B1054" s="127"/>
      <c r="C1054" s="111"/>
      <c r="D1054" s="111"/>
      <c r="E1054" s="111"/>
      <c r="F1054" s="111"/>
      <c r="G1054" s="111"/>
      <c r="H1054" s="111"/>
      <c r="I1054" s="127"/>
      <c r="J1054" s="111"/>
      <c r="K1054" s="257"/>
      <c r="L1054" s="111"/>
      <c r="M1054" s="127"/>
      <c r="N1054" s="270"/>
      <c r="O1054" s="111"/>
      <c r="P1054" s="111"/>
      <c r="Q1054" s="128"/>
      <c r="R1054" s="124"/>
      <c r="S1054" s="125"/>
      <c r="T1054" s="126"/>
      <c r="U1054" s="126"/>
      <c r="V1054" s="126"/>
      <c r="W1054" s="126"/>
      <c r="X1054" s="126"/>
      <c r="Y1054" s="126"/>
      <c r="Z1054" s="127"/>
      <c r="AA1054" s="127"/>
      <c r="AB1054" s="127"/>
      <c r="AC1054" s="127"/>
      <c r="AD1054" s="261"/>
      <c r="AE1054" s="261"/>
      <c r="AF1054" s="261"/>
      <c r="AG1054" s="261"/>
    </row>
    <row r="1055" ht="34.5" hidden="1" customHeight="1">
      <c r="A1055" s="111"/>
      <c r="B1055" s="127"/>
      <c r="C1055" s="111"/>
      <c r="D1055" s="111"/>
      <c r="E1055" s="111"/>
      <c r="F1055" s="111"/>
      <c r="G1055" s="111"/>
      <c r="H1055" s="111"/>
      <c r="I1055" s="127"/>
      <c r="J1055" s="111"/>
      <c r="K1055" s="257"/>
      <c r="L1055" s="111"/>
      <c r="M1055" s="127"/>
      <c r="N1055" s="270"/>
      <c r="O1055" s="111"/>
      <c r="P1055" s="111"/>
      <c r="Q1055" s="128"/>
      <c r="R1055" s="124"/>
      <c r="S1055" s="125"/>
      <c r="T1055" s="126"/>
      <c r="U1055" s="126"/>
      <c r="V1055" s="126"/>
      <c r="W1055" s="126"/>
      <c r="X1055" s="126"/>
      <c r="Y1055" s="126"/>
      <c r="Z1055" s="127"/>
      <c r="AA1055" s="127"/>
      <c r="AB1055" s="127"/>
      <c r="AC1055" s="127"/>
      <c r="AD1055" s="261"/>
      <c r="AE1055" s="261"/>
      <c r="AF1055" s="261"/>
      <c r="AG1055" s="261"/>
    </row>
    <row r="1056" ht="34.5" hidden="1" customHeight="1">
      <c r="A1056" s="111"/>
      <c r="B1056" s="127"/>
      <c r="C1056" s="111"/>
      <c r="D1056" s="111"/>
      <c r="E1056" s="111"/>
      <c r="F1056" s="111"/>
      <c r="G1056" s="111"/>
      <c r="H1056" s="111"/>
      <c r="I1056" s="127"/>
      <c r="J1056" s="111"/>
      <c r="K1056" s="257"/>
      <c r="L1056" s="111"/>
      <c r="M1056" s="127"/>
      <c r="N1056" s="270"/>
      <c r="O1056" s="111"/>
      <c r="P1056" s="111"/>
      <c r="Q1056" s="128"/>
      <c r="R1056" s="124"/>
      <c r="S1056" s="125"/>
      <c r="T1056" s="126"/>
      <c r="U1056" s="126"/>
      <c r="V1056" s="126"/>
      <c r="W1056" s="126"/>
      <c r="X1056" s="126"/>
      <c r="Y1056" s="126"/>
      <c r="Z1056" s="127"/>
      <c r="AA1056" s="127"/>
      <c r="AB1056" s="127"/>
      <c r="AC1056" s="127"/>
      <c r="AD1056" s="261"/>
      <c r="AE1056" s="261"/>
      <c r="AF1056" s="261"/>
      <c r="AG1056" s="261"/>
    </row>
    <row r="1057" ht="34.5" hidden="1" customHeight="1">
      <c r="A1057" s="111"/>
      <c r="B1057" s="127"/>
      <c r="C1057" s="111"/>
      <c r="D1057" s="111"/>
      <c r="E1057" s="111"/>
      <c r="F1057" s="111"/>
      <c r="G1057" s="111"/>
      <c r="H1057" s="111"/>
      <c r="I1057" s="127"/>
      <c r="J1057" s="111"/>
      <c r="K1057" s="257"/>
      <c r="L1057" s="111"/>
      <c r="M1057" s="127"/>
      <c r="N1057" s="270"/>
      <c r="O1057" s="111"/>
      <c r="P1057" s="111"/>
      <c r="Q1057" s="128"/>
      <c r="R1057" s="124"/>
      <c r="S1057" s="125"/>
      <c r="T1057" s="126"/>
      <c r="U1057" s="126"/>
      <c r="V1057" s="126"/>
      <c r="W1057" s="126"/>
      <c r="X1057" s="126"/>
      <c r="Y1057" s="126"/>
      <c r="Z1057" s="127"/>
      <c r="AA1057" s="127"/>
      <c r="AB1057" s="127"/>
      <c r="AC1057" s="127"/>
      <c r="AD1057" s="261"/>
      <c r="AE1057" s="261"/>
      <c r="AF1057" s="261"/>
      <c r="AG1057" s="261"/>
    </row>
    <row r="1058" ht="34.5" hidden="1" customHeight="1">
      <c r="A1058" s="111"/>
      <c r="B1058" s="127"/>
      <c r="C1058" s="111"/>
      <c r="D1058" s="111"/>
      <c r="E1058" s="111"/>
      <c r="F1058" s="111"/>
      <c r="G1058" s="111"/>
      <c r="H1058" s="111"/>
      <c r="I1058" s="127"/>
      <c r="J1058" s="111"/>
      <c r="K1058" s="257"/>
      <c r="L1058" s="111"/>
      <c r="M1058" s="127"/>
      <c r="N1058" s="270"/>
      <c r="O1058" s="111"/>
      <c r="P1058" s="111"/>
      <c r="Q1058" s="128"/>
      <c r="R1058" s="124"/>
      <c r="S1058" s="125"/>
      <c r="T1058" s="126"/>
      <c r="U1058" s="126"/>
      <c r="V1058" s="126"/>
      <c r="W1058" s="126"/>
      <c r="X1058" s="126"/>
      <c r="Y1058" s="126"/>
      <c r="Z1058" s="127"/>
      <c r="AA1058" s="127"/>
      <c r="AB1058" s="127"/>
      <c r="AC1058" s="127"/>
      <c r="AD1058" s="261"/>
      <c r="AE1058" s="261"/>
      <c r="AF1058" s="261"/>
      <c r="AG1058" s="261"/>
    </row>
    <row r="1059" ht="34.5" hidden="1" customHeight="1">
      <c r="A1059" s="111"/>
      <c r="B1059" s="127"/>
      <c r="C1059" s="111"/>
      <c r="D1059" s="111"/>
      <c r="E1059" s="111"/>
      <c r="F1059" s="111"/>
      <c r="G1059" s="111"/>
      <c r="H1059" s="111"/>
      <c r="I1059" s="127"/>
      <c r="J1059" s="111"/>
      <c r="K1059" s="257"/>
      <c r="L1059" s="111"/>
      <c r="M1059" s="127"/>
      <c r="N1059" s="270"/>
      <c r="O1059" s="111"/>
      <c r="P1059" s="111"/>
      <c r="Q1059" s="128"/>
      <c r="R1059" s="124"/>
      <c r="S1059" s="125"/>
      <c r="T1059" s="126"/>
      <c r="U1059" s="126"/>
      <c r="V1059" s="126"/>
      <c r="W1059" s="126"/>
      <c r="X1059" s="126"/>
      <c r="Y1059" s="126"/>
      <c r="Z1059" s="127"/>
      <c r="AA1059" s="127"/>
      <c r="AB1059" s="127"/>
      <c r="AC1059" s="127"/>
      <c r="AD1059" s="261"/>
      <c r="AE1059" s="261"/>
      <c r="AF1059" s="261"/>
      <c r="AG1059" s="261"/>
    </row>
    <row r="1060" ht="34.5" hidden="1" customHeight="1">
      <c r="A1060" s="111"/>
      <c r="B1060" s="127"/>
      <c r="C1060" s="111"/>
      <c r="D1060" s="111"/>
      <c r="E1060" s="111"/>
      <c r="F1060" s="111"/>
      <c r="G1060" s="111"/>
      <c r="H1060" s="111"/>
      <c r="I1060" s="127"/>
      <c r="J1060" s="111"/>
      <c r="K1060" s="257"/>
      <c r="L1060" s="111"/>
      <c r="M1060" s="127"/>
      <c r="N1060" s="270"/>
      <c r="O1060" s="111"/>
      <c r="P1060" s="111"/>
      <c r="Q1060" s="128"/>
      <c r="R1060" s="124"/>
      <c r="S1060" s="125"/>
      <c r="T1060" s="126"/>
      <c r="U1060" s="126"/>
      <c r="V1060" s="126"/>
      <c r="W1060" s="126"/>
      <c r="X1060" s="126"/>
      <c r="Y1060" s="126"/>
      <c r="Z1060" s="127"/>
      <c r="AA1060" s="127"/>
      <c r="AB1060" s="127"/>
      <c r="AC1060" s="127"/>
      <c r="AD1060" s="261"/>
      <c r="AE1060" s="261"/>
      <c r="AF1060" s="261"/>
      <c r="AG1060" s="261"/>
    </row>
    <row r="1061" ht="34.5" hidden="1" customHeight="1">
      <c r="A1061" s="111"/>
      <c r="B1061" s="127"/>
      <c r="C1061" s="111"/>
      <c r="D1061" s="111"/>
      <c r="E1061" s="111"/>
      <c r="F1061" s="111"/>
      <c r="G1061" s="111"/>
      <c r="H1061" s="111"/>
      <c r="I1061" s="127"/>
      <c r="J1061" s="111"/>
      <c r="K1061" s="257"/>
      <c r="L1061" s="111"/>
      <c r="M1061" s="127"/>
      <c r="N1061" s="270"/>
      <c r="O1061" s="111"/>
      <c r="P1061" s="111"/>
      <c r="Q1061" s="128"/>
      <c r="R1061" s="124"/>
      <c r="S1061" s="125"/>
      <c r="T1061" s="126"/>
      <c r="U1061" s="126"/>
      <c r="V1061" s="126"/>
      <c r="W1061" s="126"/>
      <c r="X1061" s="126"/>
      <c r="Y1061" s="126"/>
      <c r="Z1061" s="127"/>
      <c r="AA1061" s="127"/>
      <c r="AB1061" s="127"/>
      <c r="AC1061" s="127"/>
      <c r="AD1061" s="261"/>
      <c r="AE1061" s="261"/>
      <c r="AF1061" s="261"/>
      <c r="AG1061" s="261"/>
    </row>
    <row r="1062" ht="34.5" hidden="1" customHeight="1">
      <c r="A1062" s="111"/>
      <c r="B1062" s="127"/>
      <c r="C1062" s="111"/>
      <c r="D1062" s="111"/>
      <c r="E1062" s="111"/>
      <c r="F1062" s="111"/>
      <c r="G1062" s="111"/>
      <c r="H1062" s="111"/>
      <c r="I1062" s="127"/>
      <c r="J1062" s="111"/>
      <c r="K1062" s="257"/>
      <c r="L1062" s="111"/>
      <c r="M1062" s="127"/>
      <c r="N1062" s="270"/>
      <c r="O1062" s="111"/>
      <c r="P1062" s="111"/>
      <c r="Q1062" s="128"/>
      <c r="R1062" s="124"/>
      <c r="S1062" s="125"/>
      <c r="T1062" s="126"/>
      <c r="U1062" s="126"/>
      <c r="V1062" s="126"/>
      <c r="W1062" s="126"/>
      <c r="X1062" s="126"/>
      <c r="Y1062" s="126"/>
      <c r="Z1062" s="127"/>
      <c r="AA1062" s="127"/>
      <c r="AB1062" s="127"/>
      <c r="AC1062" s="127"/>
      <c r="AD1062" s="261"/>
      <c r="AE1062" s="261"/>
      <c r="AF1062" s="261"/>
      <c r="AG1062" s="261"/>
    </row>
    <row r="1063" ht="34.5" hidden="1" customHeight="1">
      <c r="A1063" s="111"/>
      <c r="B1063" s="127"/>
      <c r="C1063" s="111"/>
      <c r="D1063" s="111"/>
      <c r="E1063" s="111"/>
      <c r="F1063" s="111"/>
      <c r="G1063" s="111"/>
      <c r="H1063" s="111"/>
      <c r="I1063" s="127"/>
      <c r="J1063" s="111"/>
      <c r="K1063" s="257"/>
      <c r="L1063" s="111"/>
      <c r="M1063" s="127"/>
      <c r="N1063" s="270"/>
      <c r="O1063" s="111"/>
      <c r="P1063" s="111"/>
      <c r="Q1063" s="128"/>
      <c r="R1063" s="124"/>
      <c r="S1063" s="125"/>
      <c r="T1063" s="126"/>
      <c r="U1063" s="126"/>
      <c r="V1063" s="126"/>
      <c r="W1063" s="126"/>
      <c r="X1063" s="126"/>
      <c r="Y1063" s="126"/>
      <c r="Z1063" s="127"/>
      <c r="AA1063" s="127"/>
      <c r="AB1063" s="127"/>
      <c r="AC1063" s="127"/>
      <c r="AD1063" s="261"/>
      <c r="AE1063" s="261"/>
      <c r="AF1063" s="261"/>
      <c r="AG1063" s="261"/>
    </row>
    <row r="1064" ht="34.5" hidden="1" customHeight="1">
      <c r="A1064" s="111"/>
      <c r="B1064" s="127"/>
      <c r="C1064" s="111"/>
      <c r="D1064" s="111"/>
      <c r="E1064" s="111"/>
      <c r="F1064" s="111"/>
      <c r="G1064" s="111"/>
      <c r="H1064" s="111"/>
      <c r="I1064" s="127"/>
      <c r="J1064" s="111"/>
      <c r="K1064" s="257"/>
      <c r="L1064" s="111"/>
      <c r="M1064" s="127"/>
      <c r="N1064" s="270"/>
      <c r="O1064" s="111"/>
      <c r="P1064" s="111"/>
      <c r="Q1064" s="128"/>
      <c r="R1064" s="124"/>
      <c r="S1064" s="125"/>
      <c r="T1064" s="126"/>
      <c r="U1064" s="126"/>
      <c r="V1064" s="126"/>
      <c r="W1064" s="126"/>
      <c r="X1064" s="126"/>
      <c r="Y1064" s="126"/>
      <c r="Z1064" s="127"/>
      <c r="AA1064" s="127"/>
      <c r="AB1064" s="127"/>
      <c r="AC1064" s="127"/>
      <c r="AD1064" s="261"/>
      <c r="AE1064" s="261"/>
      <c r="AF1064" s="261"/>
      <c r="AG1064" s="261"/>
    </row>
    <row r="1065" ht="34.5" hidden="1" customHeight="1">
      <c r="A1065" s="111"/>
      <c r="B1065" s="127"/>
      <c r="C1065" s="111"/>
      <c r="D1065" s="111"/>
      <c r="E1065" s="111"/>
      <c r="F1065" s="111"/>
      <c r="G1065" s="111"/>
      <c r="H1065" s="111"/>
      <c r="I1065" s="127"/>
      <c r="J1065" s="111"/>
      <c r="K1065" s="257"/>
      <c r="L1065" s="111"/>
      <c r="M1065" s="127"/>
      <c r="N1065" s="270"/>
      <c r="O1065" s="111"/>
      <c r="P1065" s="111"/>
      <c r="Q1065" s="128"/>
      <c r="R1065" s="124"/>
      <c r="S1065" s="125"/>
      <c r="T1065" s="126"/>
      <c r="U1065" s="126"/>
      <c r="V1065" s="126"/>
      <c r="W1065" s="126"/>
      <c r="X1065" s="126"/>
      <c r="Y1065" s="126"/>
      <c r="Z1065" s="127"/>
      <c r="AA1065" s="127"/>
      <c r="AB1065" s="127"/>
      <c r="AC1065" s="127"/>
      <c r="AD1065" s="261"/>
      <c r="AE1065" s="261"/>
      <c r="AF1065" s="261"/>
      <c r="AG1065" s="261"/>
    </row>
    <row r="1066" ht="34.5" hidden="1" customHeight="1">
      <c r="A1066" s="111"/>
      <c r="B1066" s="127"/>
      <c r="C1066" s="111"/>
      <c r="D1066" s="111"/>
      <c r="E1066" s="111"/>
      <c r="F1066" s="111"/>
      <c r="G1066" s="111"/>
      <c r="H1066" s="111"/>
      <c r="I1066" s="127"/>
      <c r="J1066" s="111"/>
      <c r="K1066" s="257"/>
      <c r="L1066" s="111"/>
      <c r="M1066" s="127"/>
      <c r="N1066" s="270"/>
      <c r="O1066" s="111"/>
      <c r="P1066" s="111"/>
      <c r="Q1066" s="128"/>
      <c r="R1066" s="124"/>
      <c r="S1066" s="125"/>
      <c r="T1066" s="126"/>
      <c r="U1066" s="126"/>
      <c r="V1066" s="126"/>
      <c r="W1066" s="126"/>
      <c r="X1066" s="126"/>
      <c r="Y1066" s="126"/>
      <c r="Z1066" s="127"/>
      <c r="AA1066" s="127"/>
      <c r="AB1066" s="127"/>
      <c r="AC1066" s="127"/>
      <c r="AD1066" s="261"/>
      <c r="AE1066" s="261"/>
      <c r="AF1066" s="261"/>
      <c r="AG1066" s="261"/>
    </row>
    <row r="1067" ht="34.5" hidden="1" customHeight="1">
      <c r="A1067" s="111"/>
      <c r="B1067" s="127"/>
      <c r="C1067" s="111"/>
      <c r="D1067" s="111"/>
      <c r="E1067" s="111"/>
      <c r="F1067" s="111"/>
      <c r="G1067" s="111"/>
      <c r="H1067" s="111"/>
      <c r="I1067" s="127"/>
      <c r="J1067" s="111"/>
      <c r="K1067" s="257"/>
      <c r="L1067" s="111"/>
      <c r="M1067" s="127"/>
      <c r="N1067" s="270"/>
      <c r="O1067" s="111"/>
      <c r="P1067" s="111"/>
      <c r="Q1067" s="128"/>
      <c r="R1067" s="124"/>
      <c r="S1067" s="125"/>
      <c r="T1067" s="126"/>
      <c r="U1067" s="126"/>
      <c r="V1067" s="126"/>
      <c r="W1067" s="126"/>
      <c r="X1067" s="126"/>
      <c r="Y1067" s="126"/>
      <c r="Z1067" s="127"/>
      <c r="AA1067" s="127"/>
      <c r="AB1067" s="127"/>
      <c r="AC1067" s="127"/>
      <c r="AD1067" s="261"/>
      <c r="AE1067" s="261"/>
      <c r="AF1067" s="261"/>
      <c r="AG1067" s="261"/>
    </row>
    <row r="1068" ht="34.5" hidden="1" customHeight="1">
      <c r="A1068" s="111"/>
      <c r="B1068" s="127"/>
      <c r="C1068" s="111"/>
      <c r="D1068" s="111"/>
      <c r="E1068" s="111"/>
      <c r="F1068" s="111"/>
      <c r="G1068" s="111"/>
      <c r="H1068" s="111"/>
      <c r="I1068" s="127"/>
      <c r="J1068" s="111"/>
      <c r="K1068" s="257"/>
      <c r="L1068" s="111"/>
      <c r="M1068" s="127"/>
      <c r="N1068" s="270"/>
      <c r="O1068" s="111"/>
      <c r="P1068" s="111"/>
      <c r="Q1068" s="128"/>
      <c r="R1068" s="124"/>
      <c r="S1068" s="125"/>
      <c r="T1068" s="126"/>
      <c r="U1068" s="126"/>
      <c r="V1068" s="126"/>
      <c r="W1068" s="126"/>
      <c r="X1068" s="126"/>
      <c r="Y1068" s="126"/>
      <c r="Z1068" s="127"/>
      <c r="AA1068" s="127"/>
      <c r="AB1068" s="127"/>
      <c r="AC1068" s="127"/>
      <c r="AD1068" s="261"/>
      <c r="AE1068" s="261"/>
      <c r="AF1068" s="261"/>
      <c r="AG1068" s="261"/>
    </row>
    <row r="1069" ht="34.5" hidden="1" customHeight="1">
      <c r="A1069" s="111"/>
      <c r="B1069" s="127"/>
      <c r="C1069" s="111"/>
      <c r="D1069" s="111"/>
      <c r="E1069" s="111"/>
      <c r="F1069" s="111"/>
      <c r="G1069" s="111"/>
      <c r="H1069" s="111"/>
      <c r="I1069" s="127"/>
      <c r="J1069" s="111"/>
      <c r="K1069" s="257"/>
      <c r="L1069" s="111"/>
      <c r="M1069" s="127"/>
      <c r="N1069" s="270"/>
      <c r="O1069" s="111"/>
      <c r="P1069" s="111"/>
      <c r="Q1069" s="128"/>
      <c r="R1069" s="124"/>
      <c r="S1069" s="125"/>
      <c r="T1069" s="126"/>
      <c r="U1069" s="126"/>
      <c r="V1069" s="126"/>
      <c r="W1069" s="126"/>
      <c r="X1069" s="126"/>
      <c r="Y1069" s="126"/>
      <c r="Z1069" s="127"/>
      <c r="AA1069" s="127"/>
      <c r="AB1069" s="127"/>
      <c r="AC1069" s="127"/>
      <c r="AD1069" s="261"/>
      <c r="AE1069" s="261"/>
      <c r="AF1069" s="261"/>
      <c r="AG1069" s="261"/>
    </row>
    <row r="1070" ht="34.5" hidden="1" customHeight="1">
      <c r="A1070" s="111"/>
      <c r="B1070" s="127"/>
      <c r="C1070" s="111"/>
      <c r="D1070" s="111"/>
      <c r="E1070" s="111"/>
      <c r="F1070" s="111"/>
      <c r="G1070" s="111"/>
      <c r="H1070" s="111"/>
      <c r="I1070" s="127"/>
      <c r="J1070" s="111"/>
      <c r="K1070" s="257"/>
      <c r="L1070" s="111"/>
      <c r="M1070" s="127"/>
      <c r="N1070" s="270"/>
      <c r="O1070" s="111"/>
      <c r="P1070" s="111"/>
      <c r="Q1070" s="128"/>
      <c r="R1070" s="124"/>
      <c r="S1070" s="125"/>
      <c r="T1070" s="126"/>
      <c r="U1070" s="126"/>
      <c r="V1070" s="126"/>
      <c r="W1070" s="126"/>
      <c r="X1070" s="126"/>
      <c r="Y1070" s="126"/>
      <c r="Z1070" s="127"/>
      <c r="AA1070" s="127"/>
      <c r="AB1070" s="127"/>
      <c r="AC1070" s="127"/>
      <c r="AD1070" s="261"/>
      <c r="AE1070" s="261"/>
      <c r="AF1070" s="261"/>
      <c r="AG1070" s="261"/>
    </row>
    <row r="1071" ht="34.5" hidden="1" customHeight="1">
      <c r="A1071" s="111"/>
      <c r="B1071" s="127"/>
      <c r="C1071" s="111"/>
      <c r="D1071" s="111"/>
      <c r="E1071" s="111"/>
      <c r="F1071" s="111"/>
      <c r="G1071" s="111"/>
      <c r="H1071" s="111"/>
      <c r="I1071" s="127"/>
      <c r="J1071" s="111"/>
      <c r="K1071" s="257"/>
      <c r="L1071" s="111"/>
      <c r="M1071" s="127"/>
      <c r="N1071" s="270"/>
      <c r="O1071" s="111"/>
      <c r="P1071" s="111"/>
      <c r="Q1071" s="128"/>
      <c r="R1071" s="124"/>
      <c r="S1071" s="125"/>
      <c r="T1071" s="126"/>
      <c r="U1071" s="126"/>
      <c r="V1071" s="126"/>
      <c r="W1071" s="126"/>
      <c r="X1071" s="126"/>
      <c r="Y1071" s="126"/>
      <c r="Z1071" s="127"/>
      <c r="AA1071" s="127"/>
      <c r="AB1071" s="127"/>
      <c r="AC1071" s="127"/>
      <c r="AD1071" s="261"/>
      <c r="AE1071" s="261"/>
      <c r="AF1071" s="261"/>
      <c r="AG1071" s="261"/>
    </row>
    <row r="1072" ht="34.5" hidden="1" customHeight="1">
      <c r="A1072" s="111"/>
      <c r="B1072" s="127"/>
      <c r="C1072" s="111"/>
      <c r="D1072" s="111"/>
      <c r="E1072" s="111"/>
      <c r="F1072" s="111"/>
      <c r="G1072" s="111"/>
      <c r="H1072" s="111"/>
      <c r="I1072" s="127"/>
      <c r="J1072" s="111"/>
      <c r="K1072" s="257"/>
      <c r="L1072" s="111"/>
      <c r="M1072" s="127"/>
      <c r="N1072" s="270"/>
      <c r="O1072" s="111"/>
      <c r="P1072" s="111"/>
      <c r="Q1072" s="128"/>
      <c r="R1072" s="124"/>
      <c r="S1072" s="125"/>
      <c r="T1072" s="126"/>
      <c r="U1072" s="126"/>
      <c r="V1072" s="126"/>
      <c r="W1072" s="126"/>
      <c r="X1072" s="126"/>
      <c r="Y1072" s="126"/>
      <c r="Z1072" s="127"/>
      <c r="AA1072" s="127"/>
      <c r="AB1072" s="127"/>
      <c r="AC1072" s="127"/>
      <c r="AD1072" s="261"/>
      <c r="AE1072" s="261"/>
      <c r="AF1072" s="261"/>
      <c r="AG1072" s="261"/>
    </row>
    <row r="1073" ht="34.5" hidden="1" customHeight="1">
      <c r="A1073" s="111"/>
      <c r="B1073" s="127"/>
      <c r="C1073" s="111"/>
      <c r="D1073" s="111"/>
      <c r="E1073" s="111"/>
      <c r="F1073" s="111"/>
      <c r="G1073" s="111"/>
      <c r="H1073" s="111"/>
      <c r="I1073" s="127"/>
      <c r="J1073" s="111"/>
      <c r="K1073" s="257"/>
      <c r="L1073" s="111"/>
      <c r="M1073" s="127"/>
      <c r="N1073" s="270"/>
      <c r="O1073" s="111"/>
      <c r="P1073" s="111"/>
      <c r="Q1073" s="128"/>
      <c r="R1073" s="124"/>
      <c r="S1073" s="125"/>
      <c r="T1073" s="126"/>
      <c r="U1073" s="126"/>
      <c r="V1073" s="126"/>
      <c r="W1073" s="126"/>
      <c r="X1073" s="126"/>
      <c r="Y1073" s="126"/>
      <c r="Z1073" s="127"/>
      <c r="AA1073" s="127"/>
      <c r="AB1073" s="127"/>
      <c r="AC1073" s="127"/>
      <c r="AD1073" s="261"/>
      <c r="AE1073" s="261"/>
      <c r="AF1073" s="261"/>
      <c r="AG1073" s="261"/>
    </row>
    <row r="1074" ht="34.5" hidden="1" customHeight="1">
      <c r="A1074" s="111"/>
      <c r="B1074" s="127"/>
      <c r="C1074" s="111"/>
      <c r="D1074" s="111"/>
      <c r="E1074" s="111"/>
      <c r="F1074" s="111"/>
      <c r="G1074" s="111"/>
      <c r="H1074" s="111"/>
      <c r="I1074" s="127"/>
      <c r="J1074" s="111"/>
      <c r="K1074" s="257"/>
      <c r="L1074" s="111"/>
      <c r="M1074" s="127"/>
      <c r="N1074" s="270"/>
      <c r="O1074" s="111"/>
      <c r="P1074" s="111"/>
      <c r="Q1074" s="128"/>
      <c r="R1074" s="124"/>
      <c r="S1074" s="125"/>
      <c r="T1074" s="126"/>
      <c r="U1074" s="126"/>
      <c r="V1074" s="126"/>
      <c r="W1074" s="126"/>
      <c r="X1074" s="126"/>
      <c r="Y1074" s="126"/>
      <c r="Z1074" s="127"/>
      <c r="AA1074" s="127"/>
      <c r="AB1074" s="127"/>
      <c r="AC1074" s="127"/>
      <c r="AD1074" s="261"/>
      <c r="AE1074" s="261"/>
      <c r="AF1074" s="261"/>
      <c r="AG1074" s="261"/>
    </row>
    <row r="1075" ht="34.5" hidden="1" customHeight="1">
      <c r="A1075" s="111"/>
      <c r="B1075" s="127"/>
      <c r="C1075" s="111"/>
      <c r="D1075" s="111"/>
      <c r="E1075" s="111"/>
      <c r="F1075" s="111"/>
      <c r="G1075" s="111"/>
      <c r="H1075" s="111"/>
      <c r="I1075" s="127"/>
      <c r="J1075" s="111"/>
      <c r="K1075" s="257"/>
      <c r="L1075" s="111"/>
      <c r="M1075" s="127"/>
      <c r="N1075" s="270"/>
      <c r="O1075" s="111"/>
      <c r="P1075" s="111"/>
      <c r="Q1075" s="128"/>
      <c r="R1075" s="124"/>
      <c r="S1075" s="125"/>
      <c r="T1075" s="126"/>
      <c r="U1075" s="126"/>
      <c r="V1075" s="126"/>
      <c r="W1075" s="126"/>
      <c r="X1075" s="126"/>
      <c r="Y1075" s="126"/>
      <c r="Z1075" s="127"/>
      <c r="AA1075" s="127"/>
      <c r="AB1075" s="127"/>
      <c r="AC1075" s="127"/>
      <c r="AD1075" s="261"/>
      <c r="AE1075" s="261"/>
      <c r="AF1075" s="261"/>
      <c r="AG1075" s="261"/>
    </row>
    <row r="1076" ht="34.5" hidden="1" customHeight="1">
      <c r="A1076" s="111"/>
      <c r="B1076" s="127"/>
      <c r="C1076" s="111"/>
      <c r="D1076" s="111"/>
      <c r="E1076" s="111"/>
      <c r="F1076" s="111"/>
      <c r="G1076" s="111"/>
      <c r="H1076" s="111"/>
      <c r="I1076" s="127"/>
      <c r="J1076" s="111"/>
      <c r="K1076" s="257"/>
      <c r="L1076" s="111"/>
      <c r="M1076" s="127"/>
      <c r="N1076" s="270"/>
      <c r="O1076" s="111"/>
      <c r="P1076" s="111"/>
      <c r="Q1076" s="128"/>
      <c r="R1076" s="124"/>
      <c r="S1076" s="125"/>
      <c r="T1076" s="126"/>
      <c r="U1076" s="126"/>
      <c r="V1076" s="126"/>
      <c r="W1076" s="126"/>
      <c r="X1076" s="126"/>
      <c r="Y1076" s="126"/>
      <c r="Z1076" s="127"/>
      <c r="AA1076" s="127"/>
      <c r="AB1076" s="127"/>
      <c r="AC1076" s="127"/>
      <c r="AD1076" s="261"/>
      <c r="AE1076" s="261"/>
      <c r="AF1076" s="261"/>
      <c r="AG1076" s="261"/>
    </row>
    <row r="1077" ht="34.5" hidden="1" customHeight="1">
      <c r="A1077" s="111"/>
      <c r="B1077" s="127"/>
      <c r="C1077" s="111"/>
      <c r="D1077" s="111"/>
      <c r="E1077" s="111"/>
      <c r="F1077" s="111"/>
      <c r="G1077" s="111"/>
      <c r="H1077" s="111"/>
      <c r="I1077" s="127"/>
      <c r="J1077" s="111"/>
      <c r="K1077" s="257"/>
      <c r="L1077" s="111"/>
      <c r="M1077" s="127"/>
      <c r="N1077" s="270"/>
      <c r="O1077" s="111"/>
      <c r="P1077" s="111"/>
      <c r="Q1077" s="128"/>
      <c r="R1077" s="124"/>
      <c r="S1077" s="125"/>
      <c r="T1077" s="126"/>
      <c r="U1077" s="126"/>
      <c r="V1077" s="126"/>
      <c r="W1077" s="126"/>
      <c r="X1077" s="126"/>
      <c r="Y1077" s="126"/>
      <c r="Z1077" s="127"/>
      <c r="AA1077" s="127"/>
      <c r="AB1077" s="127"/>
      <c r="AC1077" s="127"/>
      <c r="AD1077" s="261"/>
      <c r="AE1077" s="261"/>
      <c r="AF1077" s="261"/>
      <c r="AG1077" s="261"/>
    </row>
    <row r="1078" ht="34.5" hidden="1" customHeight="1">
      <c r="A1078" s="111"/>
      <c r="B1078" s="127"/>
      <c r="C1078" s="111"/>
      <c r="D1078" s="111"/>
      <c r="E1078" s="111"/>
      <c r="F1078" s="111"/>
      <c r="G1078" s="111"/>
      <c r="H1078" s="111"/>
      <c r="I1078" s="127"/>
      <c r="J1078" s="111"/>
      <c r="K1078" s="257"/>
      <c r="L1078" s="111"/>
      <c r="M1078" s="127"/>
      <c r="N1078" s="270"/>
      <c r="O1078" s="111"/>
      <c r="P1078" s="111"/>
      <c r="Q1078" s="128"/>
      <c r="R1078" s="124"/>
      <c r="S1078" s="125"/>
      <c r="T1078" s="126"/>
      <c r="U1078" s="126"/>
      <c r="V1078" s="126"/>
      <c r="W1078" s="126"/>
      <c r="X1078" s="126"/>
      <c r="Y1078" s="126"/>
      <c r="Z1078" s="127"/>
      <c r="AA1078" s="127"/>
      <c r="AB1078" s="127"/>
      <c r="AC1078" s="127"/>
      <c r="AD1078" s="261"/>
      <c r="AE1078" s="261"/>
      <c r="AF1078" s="261"/>
      <c r="AG1078" s="261"/>
    </row>
    <row r="1079" ht="34.5" hidden="1" customHeight="1">
      <c r="A1079" s="111"/>
      <c r="B1079" s="127"/>
      <c r="C1079" s="111"/>
      <c r="D1079" s="111"/>
      <c r="E1079" s="111"/>
      <c r="F1079" s="111"/>
      <c r="G1079" s="111"/>
      <c r="H1079" s="111"/>
      <c r="I1079" s="127"/>
      <c r="J1079" s="111"/>
      <c r="K1079" s="257"/>
      <c r="L1079" s="111"/>
      <c r="M1079" s="127"/>
      <c r="N1079" s="270"/>
      <c r="O1079" s="111"/>
      <c r="P1079" s="111"/>
      <c r="Q1079" s="128"/>
      <c r="R1079" s="124"/>
      <c r="S1079" s="125"/>
      <c r="T1079" s="126"/>
      <c r="U1079" s="126"/>
      <c r="V1079" s="126"/>
      <c r="W1079" s="126"/>
      <c r="X1079" s="126"/>
      <c r="Y1079" s="126"/>
      <c r="Z1079" s="127"/>
      <c r="AA1079" s="127"/>
      <c r="AB1079" s="127"/>
      <c r="AC1079" s="127"/>
      <c r="AD1079" s="261"/>
      <c r="AE1079" s="261"/>
      <c r="AF1079" s="261"/>
      <c r="AG1079" s="261"/>
    </row>
    <row r="1080" ht="34.5" hidden="1" customHeight="1">
      <c r="A1080" s="111"/>
      <c r="B1080" s="127"/>
      <c r="C1080" s="111"/>
      <c r="D1080" s="111"/>
      <c r="E1080" s="111"/>
      <c r="F1080" s="111"/>
      <c r="G1080" s="111"/>
      <c r="H1080" s="111"/>
      <c r="I1080" s="127"/>
      <c r="J1080" s="111"/>
      <c r="K1080" s="257"/>
      <c r="L1080" s="111"/>
      <c r="M1080" s="127"/>
      <c r="N1080" s="270"/>
      <c r="O1080" s="111"/>
      <c r="P1080" s="111"/>
      <c r="Q1080" s="128"/>
      <c r="R1080" s="124"/>
      <c r="S1080" s="125"/>
      <c r="T1080" s="126"/>
      <c r="U1080" s="126"/>
      <c r="V1080" s="126"/>
      <c r="W1080" s="126"/>
      <c r="X1080" s="126"/>
      <c r="Y1080" s="126"/>
      <c r="Z1080" s="127"/>
      <c r="AA1080" s="127"/>
      <c r="AB1080" s="127"/>
      <c r="AC1080" s="127"/>
      <c r="AD1080" s="261"/>
      <c r="AE1080" s="261"/>
      <c r="AF1080" s="261"/>
      <c r="AG1080" s="261"/>
    </row>
    <row r="1081" ht="34.5" hidden="1" customHeight="1">
      <c r="A1081" s="111"/>
      <c r="B1081" s="127"/>
      <c r="C1081" s="111"/>
      <c r="D1081" s="111"/>
      <c r="E1081" s="111"/>
      <c r="F1081" s="111"/>
      <c r="G1081" s="111"/>
      <c r="H1081" s="111"/>
      <c r="I1081" s="127"/>
      <c r="J1081" s="111"/>
      <c r="K1081" s="257"/>
      <c r="L1081" s="111"/>
      <c r="M1081" s="127"/>
      <c r="N1081" s="270"/>
      <c r="O1081" s="111"/>
      <c r="P1081" s="111"/>
      <c r="Q1081" s="128"/>
      <c r="R1081" s="124"/>
      <c r="S1081" s="125"/>
      <c r="T1081" s="126"/>
      <c r="U1081" s="126"/>
      <c r="V1081" s="126"/>
      <c r="W1081" s="126"/>
      <c r="X1081" s="126"/>
      <c r="Y1081" s="126"/>
      <c r="Z1081" s="127"/>
      <c r="AA1081" s="127"/>
      <c r="AB1081" s="127"/>
      <c r="AC1081" s="127"/>
      <c r="AD1081" s="261"/>
      <c r="AE1081" s="261"/>
      <c r="AF1081" s="261"/>
      <c r="AG1081" s="261"/>
    </row>
    <row r="1082" ht="34.5" hidden="1" customHeight="1">
      <c r="A1082" s="111"/>
      <c r="B1082" s="127"/>
      <c r="C1082" s="111"/>
      <c r="D1082" s="111"/>
      <c r="E1082" s="111"/>
      <c r="F1082" s="111"/>
      <c r="G1082" s="111"/>
      <c r="H1082" s="111"/>
      <c r="I1082" s="127"/>
      <c r="J1082" s="111"/>
      <c r="K1082" s="257"/>
      <c r="L1082" s="111"/>
      <c r="M1082" s="127"/>
      <c r="N1082" s="270"/>
      <c r="O1082" s="111"/>
      <c r="P1082" s="111"/>
      <c r="Q1082" s="128"/>
      <c r="R1082" s="124"/>
      <c r="S1082" s="125"/>
      <c r="T1082" s="126"/>
      <c r="U1082" s="126"/>
      <c r="V1082" s="126"/>
      <c r="W1082" s="126"/>
      <c r="X1082" s="126"/>
      <c r="Y1082" s="126"/>
      <c r="Z1082" s="127"/>
      <c r="AA1082" s="127"/>
      <c r="AB1082" s="127"/>
      <c r="AC1082" s="127"/>
      <c r="AD1082" s="261"/>
      <c r="AE1082" s="261"/>
      <c r="AF1082" s="261"/>
      <c r="AG1082" s="261"/>
    </row>
    <row r="1083" ht="34.5" hidden="1" customHeight="1">
      <c r="A1083" s="111"/>
      <c r="B1083" s="127"/>
      <c r="C1083" s="111"/>
      <c r="D1083" s="111"/>
      <c r="E1083" s="111"/>
      <c r="F1083" s="111"/>
      <c r="G1083" s="111"/>
      <c r="H1083" s="111"/>
      <c r="I1083" s="127"/>
      <c r="J1083" s="111"/>
      <c r="K1083" s="257"/>
      <c r="L1083" s="111"/>
      <c r="M1083" s="127"/>
      <c r="N1083" s="270"/>
      <c r="O1083" s="111"/>
      <c r="P1083" s="111"/>
      <c r="Q1083" s="128"/>
      <c r="R1083" s="124"/>
      <c r="S1083" s="125"/>
      <c r="T1083" s="126"/>
      <c r="U1083" s="126"/>
      <c r="V1083" s="126"/>
      <c r="W1083" s="126"/>
      <c r="X1083" s="126"/>
      <c r="Y1083" s="126"/>
      <c r="Z1083" s="127"/>
      <c r="AA1083" s="127"/>
      <c r="AB1083" s="127"/>
      <c r="AC1083" s="127"/>
      <c r="AD1083" s="261"/>
      <c r="AE1083" s="261"/>
      <c r="AF1083" s="261"/>
      <c r="AG1083" s="261"/>
    </row>
    <row r="1084" ht="34.5" hidden="1" customHeight="1">
      <c r="A1084" s="111"/>
      <c r="B1084" s="127"/>
      <c r="C1084" s="111"/>
      <c r="D1084" s="111"/>
      <c r="E1084" s="111"/>
      <c r="F1084" s="111"/>
      <c r="G1084" s="111"/>
      <c r="H1084" s="111"/>
      <c r="I1084" s="127"/>
      <c r="J1084" s="111"/>
      <c r="K1084" s="257"/>
      <c r="L1084" s="111"/>
      <c r="M1084" s="127"/>
      <c r="N1084" s="270"/>
      <c r="O1084" s="111"/>
      <c r="P1084" s="111"/>
      <c r="Q1084" s="128"/>
      <c r="R1084" s="124"/>
      <c r="S1084" s="125"/>
      <c r="T1084" s="126"/>
      <c r="U1084" s="126"/>
      <c r="V1084" s="126"/>
      <c r="W1084" s="126"/>
      <c r="X1084" s="126"/>
      <c r="Y1084" s="126"/>
      <c r="Z1084" s="127"/>
      <c r="AA1084" s="127"/>
      <c r="AB1084" s="127"/>
      <c r="AC1084" s="127"/>
      <c r="AD1084" s="261"/>
      <c r="AE1084" s="261"/>
      <c r="AF1084" s="261"/>
      <c r="AG1084" s="261"/>
    </row>
    <row r="1085" ht="34.5" hidden="1" customHeight="1">
      <c r="A1085" s="111"/>
      <c r="B1085" s="127"/>
      <c r="C1085" s="111"/>
      <c r="D1085" s="111"/>
      <c r="E1085" s="111"/>
      <c r="F1085" s="111"/>
      <c r="G1085" s="111"/>
      <c r="H1085" s="111"/>
      <c r="I1085" s="127"/>
      <c r="J1085" s="111"/>
      <c r="K1085" s="257"/>
      <c r="L1085" s="111"/>
      <c r="M1085" s="127"/>
      <c r="N1085" s="270"/>
      <c r="O1085" s="111"/>
      <c r="P1085" s="111"/>
      <c r="Q1085" s="128"/>
      <c r="R1085" s="124"/>
      <c r="S1085" s="125"/>
      <c r="T1085" s="126"/>
      <c r="U1085" s="126"/>
      <c r="V1085" s="126"/>
      <c r="W1085" s="126"/>
      <c r="X1085" s="126"/>
      <c r="Y1085" s="126"/>
      <c r="Z1085" s="127"/>
      <c r="AA1085" s="127"/>
      <c r="AB1085" s="127"/>
      <c r="AC1085" s="127"/>
      <c r="AD1085" s="261"/>
      <c r="AE1085" s="261"/>
      <c r="AF1085" s="261"/>
      <c r="AG1085" s="261"/>
    </row>
    <row r="1086" ht="34.5" hidden="1" customHeight="1">
      <c r="A1086" s="111"/>
      <c r="B1086" s="127"/>
      <c r="C1086" s="111"/>
      <c r="D1086" s="111"/>
      <c r="E1086" s="111"/>
      <c r="F1086" s="111"/>
      <c r="G1086" s="111"/>
      <c r="H1086" s="111"/>
      <c r="I1086" s="127"/>
      <c r="J1086" s="111"/>
      <c r="K1086" s="257"/>
      <c r="L1086" s="111"/>
      <c r="M1086" s="127"/>
      <c r="N1086" s="270"/>
      <c r="O1086" s="111"/>
      <c r="P1086" s="111"/>
      <c r="Q1086" s="128"/>
      <c r="R1086" s="124"/>
      <c r="S1086" s="125"/>
      <c r="T1086" s="126"/>
      <c r="U1086" s="126"/>
      <c r="V1086" s="126"/>
      <c r="W1086" s="126"/>
      <c r="X1086" s="126"/>
      <c r="Y1086" s="126"/>
      <c r="Z1086" s="127"/>
      <c r="AA1086" s="127"/>
      <c r="AB1086" s="127"/>
      <c r="AC1086" s="127"/>
      <c r="AD1086" s="261"/>
      <c r="AE1086" s="261"/>
      <c r="AF1086" s="261"/>
      <c r="AG1086" s="261"/>
    </row>
    <row r="1087" ht="34.5" hidden="1" customHeight="1">
      <c r="A1087" s="111"/>
      <c r="B1087" s="127"/>
      <c r="C1087" s="111"/>
      <c r="D1087" s="111"/>
      <c r="E1087" s="111"/>
      <c r="F1087" s="111"/>
      <c r="G1087" s="111"/>
      <c r="H1087" s="111"/>
      <c r="I1087" s="127"/>
      <c r="J1087" s="111"/>
      <c r="K1087" s="257"/>
      <c r="L1087" s="111"/>
      <c r="M1087" s="127"/>
      <c r="N1087" s="270"/>
      <c r="O1087" s="111"/>
      <c r="P1087" s="111"/>
      <c r="Q1087" s="128"/>
      <c r="R1087" s="124"/>
      <c r="S1087" s="125"/>
      <c r="T1087" s="126"/>
      <c r="U1087" s="126"/>
      <c r="V1087" s="126"/>
      <c r="W1087" s="126"/>
      <c r="X1087" s="126"/>
      <c r="Y1087" s="126"/>
      <c r="Z1087" s="127"/>
      <c r="AA1087" s="127"/>
      <c r="AB1087" s="127"/>
      <c r="AC1087" s="127"/>
      <c r="AD1087" s="261"/>
      <c r="AE1087" s="261"/>
      <c r="AF1087" s="261"/>
      <c r="AG1087" s="261"/>
    </row>
    <row r="1088" ht="34.5" hidden="1" customHeight="1">
      <c r="A1088" s="111"/>
      <c r="B1088" s="127"/>
      <c r="C1088" s="111"/>
      <c r="D1088" s="111"/>
      <c r="E1088" s="111"/>
      <c r="F1088" s="111"/>
      <c r="G1088" s="111"/>
      <c r="H1088" s="111"/>
      <c r="I1088" s="127"/>
      <c r="J1088" s="111"/>
      <c r="K1088" s="257"/>
      <c r="L1088" s="111"/>
      <c r="M1088" s="127"/>
      <c r="N1088" s="270"/>
      <c r="O1088" s="111"/>
      <c r="P1088" s="111"/>
      <c r="Q1088" s="128"/>
      <c r="R1088" s="124"/>
      <c r="S1088" s="125"/>
      <c r="T1088" s="126"/>
      <c r="U1088" s="126"/>
      <c r="V1088" s="126"/>
      <c r="W1088" s="126"/>
      <c r="X1088" s="126"/>
      <c r="Y1088" s="126"/>
      <c r="Z1088" s="127"/>
      <c r="AA1088" s="127"/>
      <c r="AB1088" s="127"/>
      <c r="AC1088" s="127"/>
      <c r="AD1088" s="261"/>
      <c r="AE1088" s="261"/>
      <c r="AF1088" s="261"/>
      <c r="AG1088" s="261"/>
    </row>
    <row r="1089" ht="34.5" hidden="1" customHeight="1">
      <c r="A1089" s="111"/>
      <c r="B1089" s="127"/>
      <c r="C1089" s="111"/>
      <c r="D1089" s="111"/>
      <c r="E1089" s="111"/>
      <c r="F1089" s="111"/>
      <c r="G1089" s="111"/>
      <c r="H1089" s="111"/>
      <c r="I1089" s="127"/>
      <c r="J1089" s="111"/>
      <c r="K1089" s="257"/>
      <c r="L1089" s="111"/>
      <c r="M1089" s="127"/>
      <c r="N1089" s="270"/>
      <c r="O1089" s="111"/>
      <c r="P1089" s="111"/>
      <c r="Q1089" s="128"/>
      <c r="R1089" s="124"/>
      <c r="S1089" s="125"/>
      <c r="T1089" s="126"/>
      <c r="U1089" s="126"/>
      <c r="V1089" s="126"/>
      <c r="W1089" s="126"/>
      <c r="X1089" s="126"/>
      <c r="Y1089" s="126"/>
      <c r="Z1089" s="127"/>
      <c r="AA1089" s="127"/>
      <c r="AB1089" s="127"/>
      <c r="AC1089" s="127"/>
      <c r="AD1089" s="261"/>
      <c r="AE1089" s="261"/>
      <c r="AF1089" s="261"/>
      <c r="AG1089" s="261"/>
    </row>
    <row r="1090" ht="34.5" hidden="1" customHeight="1">
      <c r="A1090" s="111"/>
      <c r="B1090" s="127"/>
      <c r="C1090" s="111"/>
      <c r="D1090" s="111"/>
      <c r="E1090" s="111"/>
      <c r="F1090" s="111"/>
      <c r="G1090" s="111"/>
      <c r="H1090" s="111"/>
      <c r="I1090" s="127"/>
      <c r="J1090" s="111"/>
      <c r="K1090" s="257"/>
      <c r="L1090" s="111"/>
      <c r="M1090" s="127"/>
      <c r="N1090" s="270"/>
      <c r="O1090" s="111"/>
      <c r="P1090" s="111"/>
      <c r="Q1090" s="128"/>
      <c r="R1090" s="124"/>
      <c r="S1090" s="125"/>
      <c r="T1090" s="126"/>
      <c r="U1090" s="126"/>
      <c r="V1090" s="126"/>
      <c r="W1090" s="126"/>
      <c r="X1090" s="126"/>
      <c r="Y1090" s="126"/>
      <c r="Z1090" s="127"/>
      <c r="AA1090" s="127"/>
      <c r="AB1090" s="127"/>
      <c r="AC1090" s="127"/>
      <c r="AD1090" s="261"/>
      <c r="AE1090" s="261"/>
      <c r="AF1090" s="261"/>
      <c r="AG1090" s="261"/>
    </row>
    <row r="1091" ht="34.5" hidden="1" customHeight="1">
      <c r="A1091" s="111"/>
      <c r="B1091" s="127"/>
      <c r="C1091" s="111"/>
      <c r="D1091" s="111"/>
      <c r="E1091" s="111"/>
      <c r="F1091" s="111"/>
      <c r="G1091" s="111"/>
      <c r="H1091" s="111"/>
      <c r="I1091" s="127"/>
      <c r="J1091" s="111"/>
      <c r="K1091" s="257"/>
      <c r="L1091" s="111"/>
      <c r="M1091" s="127"/>
      <c r="N1091" s="270"/>
      <c r="O1091" s="111"/>
      <c r="P1091" s="111"/>
      <c r="Q1091" s="128"/>
      <c r="R1091" s="124"/>
      <c r="S1091" s="125"/>
      <c r="T1091" s="126"/>
      <c r="U1091" s="126"/>
      <c r="V1091" s="126"/>
      <c r="W1091" s="126"/>
      <c r="X1091" s="126"/>
      <c r="Y1091" s="126"/>
      <c r="Z1091" s="127"/>
      <c r="AA1091" s="127"/>
      <c r="AB1091" s="127"/>
      <c r="AC1091" s="127"/>
      <c r="AD1091" s="261"/>
      <c r="AE1091" s="261"/>
      <c r="AF1091" s="261"/>
      <c r="AG1091" s="261"/>
    </row>
    <row r="1092" ht="34.5" hidden="1" customHeight="1">
      <c r="A1092" s="111"/>
      <c r="B1092" s="127"/>
      <c r="C1092" s="111"/>
      <c r="D1092" s="111"/>
      <c r="E1092" s="111"/>
      <c r="F1092" s="111"/>
      <c r="G1092" s="111"/>
      <c r="H1092" s="111"/>
      <c r="I1092" s="127"/>
      <c r="J1092" s="111"/>
      <c r="K1092" s="257"/>
      <c r="L1092" s="111"/>
      <c r="M1092" s="127"/>
      <c r="N1092" s="270"/>
      <c r="O1092" s="111"/>
      <c r="P1092" s="111"/>
      <c r="Q1092" s="128"/>
      <c r="R1092" s="124"/>
      <c r="S1092" s="125"/>
      <c r="T1092" s="126"/>
      <c r="U1092" s="126"/>
      <c r="V1092" s="126"/>
      <c r="W1092" s="126"/>
      <c r="X1092" s="126"/>
      <c r="Y1092" s="126"/>
      <c r="Z1092" s="127"/>
      <c r="AA1092" s="127"/>
      <c r="AB1092" s="127"/>
      <c r="AC1092" s="127"/>
      <c r="AD1092" s="261"/>
      <c r="AE1092" s="261"/>
      <c r="AF1092" s="261"/>
      <c r="AG1092" s="261"/>
    </row>
    <row r="1093" ht="34.5" hidden="1" customHeight="1">
      <c r="A1093" s="111"/>
      <c r="B1093" s="127"/>
      <c r="C1093" s="111"/>
      <c r="D1093" s="111"/>
      <c r="E1093" s="111"/>
      <c r="F1093" s="111"/>
      <c r="G1093" s="111"/>
      <c r="H1093" s="111"/>
      <c r="I1093" s="127"/>
      <c r="J1093" s="111"/>
      <c r="K1093" s="257"/>
      <c r="L1093" s="111"/>
      <c r="M1093" s="127"/>
      <c r="N1093" s="270"/>
      <c r="O1093" s="111"/>
      <c r="P1093" s="111"/>
      <c r="Q1093" s="128"/>
      <c r="R1093" s="124"/>
      <c r="S1093" s="125"/>
      <c r="T1093" s="126"/>
      <c r="U1093" s="126"/>
      <c r="V1093" s="126"/>
      <c r="W1093" s="126"/>
      <c r="X1093" s="126"/>
      <c r="Y1093" s="126"/>
      <c r="Z1093" s="127"/>
      <c r="AA1093" s="127"/>
      <c r="AB1093" s="127"/>
      <c r="AC1093" s="127"/>
      <c r="AD1093" s="261"/>
      <c r="AE1093" s="261"/>
      <c r="AF1093" s="261"/>
      <c r="AG1093" s="261"/>
    </row>
    <row r="1094" ht="34.5" hidden="1" customHeight="1">
      <c r="A1094" s="111"/>
      <c r="B1094" s="127"/>
      <c r="C1094" s="111"/>
      <c r="D1094" s="111"/>
      <c r="E1094" s="111"/>
      <c r="F1094" s="111"/>
      <c r="G1094" s="111"/>
      <c r="H1094" s="111"/>
      <c r="I1094" s="127"/>
      <c r="J1094" s="111"/>
      <c r="K1094" s="257"/>
      <c r="L1094" s="111"/>
      <c r="M1094" s="127"/>
      <c r="N1094" s="270"/>
      <c r="O1094" s="111"/>
      <c r="P1094" s="111"/>
      <c r="Q1094" s="128"/>
      <c r="R1094" s="124"/>
      <c r="S1094" s="125"/>
      <c r="T1094" s="126"/>
      <c r="U1094" s="126"/>
      <c r="V1094" s="126"/>
      <c r="W1094" s="126"/>
      <c r="X1094" s="126"/>
      <c r="Y1094" s="126"/>
      <c r="Z1094" s="127"/>
      <c r="AA1094" s="127"/>
      <c r="AB1094" s="127"/>
      <c r="AC1094" s="127"/>
      <c r="AD1094" s="261"/>
      <c r="AE1094" s="261"/>
      <c r="AF1094" s="261"/>
      <c r="AG1094" s="261"/>
    </row>
    <row r="1095" ht="34.5" hidden="1" customHeight="1">
      <c r="A1095" s="111"/>
      <c r="B1095" s="127"/>
      <c r="C1095" s="111"/>
      <c r="D1095" s="111"/>
      <c r="E1095" s="111"/>
      <c r="F1095" s="111"/>
      <c r="G1095" s="111"/>
      <c r="H1095" s="111"/>
      <c r="I1095" s="127"/>
      <c r="J1095" s="111"/>
      <c r="K1095" s="257"/>
      <c r="L1095" s="111"/>
      <c r="M1095" s="127"/>
      <c r="N1095" s="270"/>
      <c r="O1095" s="111"/>
      <c r="P1095" s="111"/>
      <c r="Q1095" s="128"/>
      <c r="R1095" s="124"/>
      <c r="S1095" s="125"/>
      <c r="T1095" s="126"/>
      <c r="U1095" s="126"/>
      <c r="V1095" s="126"/>
      <c r="W1095" s="126"/>
      <c r="X1095" s="126"/>
      <c r="Y1095" s="126"/>
      <c r="Z1095" s="127"/>
      <c r="AA1095" s="127"/>
      <c r="AB1095" s="127"/>
      <c r="AC1095" s="127"/>
      <c r="AD1095" s="261"/>
      <c r="AE1095" s="261"/>
      <c r="AF1095" s="261"/>
      <c r="AG1095" s="261"/>
    </row>
    <row r="1096" ht="34.5" hidden="1" customHeight="1">
      <c r="A1096" s="111"/>
      <c r="B1096" s="127"/>
      <c r="C1096" s="111"/>
      <c r="D1096" s="111"/>
      <c r="E1096" s="111"/>
      <c r="F1096" s="111"/>
      <c r="G1096" s="111"/>
      <c r="H1096" s="111"/>
      <c r="I1096" s="127"/>
      <c r="J1096" s="111"/>
      <c r="K1096" s="257"/>
      <c r="L1096" s="111"/>
      <c r="M1096" s="127"/>
      <c r="N1096" s="270"/>
      <c r="O1096" s="111"/>
      <c r="P1096" s="111"/>
      <c r="Q1096" s="128"/>
      <c r="R1096" s="124"/>
      <c r="S1096" s="125"/>
      <c r="T1096" s="126"/>
      <c r="U1096" s="126"/>
      <c r="V1096" s="126"/>
      <c r="W1096" s="126"/>
      <c r="X1096" s="126"/>
      <c r="Y1096" s="126"/>
      <c r="Z1096" s="127"/>
      <c r="AA1096" s="127"/>
      <c r="AB1096" s="127"/>
      <c r="AC1096" s="127"/>
      <c r="AD1096" s="261"/>
      <c r="AE1096" s="261"/>
      <c r="AF1096" s="261"/>
      <c r="AG1096" s="261"/>
    </row>
    <row r="1097" ht="34.5" hidden="1" customHeight="1">
      <c r="A1097" s="111"/>
      <c r="B1097" s="127"/>
      <c r="C1097" s="111"/>
      <c r="D1097" s="111"/>
      <c r="E1097" s="111"/>
      <c r="F1097" s="111"/>
      <c r="G1097" s="111"/>
      <c r="H1097" s="111"/>
      <c r="I1097" s="127"/>
      <c r="J1097" s="111"/>
      <c r="K1097" s="257"/>
      <c r="L1097" s="111"/>
      <c r="M1097" s="127"/>
      <c r="N1097" s="270"/>
      <c r="O1097" s="111"/>
      <c r="P1097" s="111"/>
      <c r="Q1097" s="128"/>
      <c r="R1097" s="124"/>
      <c r="S1097" s="125"/>
      <c r="T1097" s="126"/>
      <c r="U1097" s="126"/>
      <c r="V1097" s="126"/>
      <c r="W1097" s="126"/>
      <c r="X1097" s="126"/>
      <c r="Y1097" s="126"/>
      <c r="Z1097" s="127"/>
      <c r="AA1097" s="127"/>
      <c r="AB1097" s="127"/>
      <c r="AC1097" s="127"/>
      <c r="AD1097" s="261"/>
      <c r="AE1097" s="261"/>
      <c r="AF1097" s="261"/>
      <c r="AG1097" s="261"/>
    </row>
    <row r="1098" ht="34.5" hidden="1" customHeight="1">
      <c r="A1098" s="111"/>
      <c r="B1098" s="127"/>
      <c r="C1098" s="111"/>
      <c r="D1098" s="111"/>
      <c r="E1098" s="111"/>
      <c r="F1098" s="111"/>
      <c r="G1098" s="111"/>
      <c r="H1098" s="111"/>
      <c r="I1098" s="127"/>
      <c r="J1098" s="111"/>
      <c r="K1098" s="257"/>
      <c r="L1098" s="111"/>
      <c r="M1098" s="127"/>
      <c r="N1098" s="270"/>
      <c r="O1098" s="111"/>
      <c r="P1098" s="111"/>
      <c r="Q1098" s="128"/>
      <c r="R1098" s="124"/>
      <c r="S1098" s="125"/>
      <c r="T1098" s="126"/>
      <c r="U1098" s="126"/>
      <c r="V1098" s="126"/>
      <c r="W1098" s="126"/>
      <c r="X1098" s="126"/>
      <c r="Y1098" s="126"/>
      <c r="Z1098" s="127"/>
      <c r="AA1098" s="127"/>
      <c r="AB1098" s="127"/>
      <c r="AC1098" s="127"/>
      <c r="AD1098" s="261"/>
      <c r="AE1098" s="261"/>
      <c r="AF1098" s="261"/>
      <c r="AG1098" s="261"/>
    </row>
    <row r="1099" ht="34.5" hidden="1" customHeight="1">
      <c r="A1099" s="111"/>
      <c r="B1099" s="127"/>
      <c r="C1099" s="111"/>
      <c r="D1099" s="111"/>
      <c r="E1099" s="111"/>
      <c r="F1099" s="111"/>
      <c r="G1099" s="111"/>
      <c r="H1099" s="111"/>
      <c r="I1099" s="127"/>
      <c r="J1099" s="111"/>
      <c r="K1099" s="257"/>
      <c r="L1099" s="111"/>
      <c r="M1099" s="127"/>
      <c r="N1099" s="270"/>
      <c r="O1099" s="111"/>
      <c r="P1099" s="111"/>
      <c r="Q1099" s="128"/>
      <c r="R1099" s="124"/>
      <c r="S1099" s="125"/>
      <c r="T1099" s="126"/>
      <c r="U1099" s="126"/>
      <c r="V1099" s="126"/>
      <c r="W1099" s="126"/>
      <c r="X1099" s="126"/>
      <c r="Y1099" s="126"/>
      <c r="Z1099" s="127"/>
      <c r="AA1099" s="127"/>
      <c r="AB1099" s="127"/>
      <c r="AC1099" s="127"/>
      <c r="AD1099" s="261"/>
      <c r="AE1099" s="261"/>
      <c r="AF1099" s="261"/>
      <c r="AG1099" s="261"/>
    </row>
    <row r="1100" ht="34.5" hidden="1" customHeight="1">
      <c r="A1100" s="111"/>
      <c r="B1100" s="127"/>
      <c r="C1100" s="111"/>
      <c r="D1100" s="111"/>
      <c r="E1100" s="111"/>
      <c r="F1100" s="111"/>
      <c r="G1100" s="111"/>
      <c r="H1100" s="111"/>
      <c r="I1100" s="127"/>
      <c r="J1100" s="111"/>
      <c r="K1100" s="257"/>
      <c r="L1100" s="111"/>
      <c r="M1100" s="127"/>
      <c r="N1100" s="270"/>
      <c r="O1100" s="111"/>
      <c r="P1100" s="111"/>
      <c r="Q1100" s="128"/>
      <c r="R1100" s="124"/>
      <c r="S1100" s="125"/>
      <c r="T1100" s="126"/>
      <c r="U1100" s="126"/>
      <c r="V1100" s="126"/>
      <c r="W1100" s="126"/>
      <c r="X1100" s="126"/>
      <c r="Y1100" s="126"/>
      <c r="Z1100" s="127"/>
      <c r="AA1100" s="127"/>
      <c r="AB1100" s="127"/>
      <c r="AC1100" s="127"/>
      <c r="AD1100" s="261"/>
      <c r="AE1100" s="261"/>
      <c r="AF1100" s="261"/>
      <c r="AG1100" s="261"/>
    </row>
    <row r="1101" ht="34.5" hidden="1" customHeight="1">
      <c r="A1101" s="111"/>
      <c r="B1101" s="127"/>
      <c r="C1101" s="111"/>
      <c r="D1101" s="111"/>
      <c r="E1101" s="111"/>
      <c r="F1101" s="111"/>
      <c r="G1101" s="111"/>
      <c r="H1101" s="111"/>
      <c r="I1101" s="127"/>
      <c r="J1101" s="111"/>
      <c r="K1101" s="257"/>
      <c r="L1101" s="111"/>
      <c r="M1101" s="127"/>
      <c r="N1101" s="270"/>
      <c r="O1101" s="111"/>
      <c r="P1101" s="111"/>
      <c r="Q1101" s="128"/>
      <c r="R1101" s="124"/>
      <c r="S1101" s="125"/>
      <c r="T1101" s="126"/>
      <c r="U1101" s="126"/>
      <c r="V1101" s="126"/>
      <c r="W1101" s="126"/>
      <c r="X1101" s="126"/>
      <c r="Y1101" s="126"/>
      <c r="Z1101" s="127"/>
      <c r="AA1101" s="127"/>
      <c r="AB1101" s="127"/>
      <c r="AC1101" s="127"/>
      <c r="AD1101" s="261"/>
      <c r="AE1101" s="261"/>
      <c r="AF1101" s="261"/>
      <c r="AG1101" s="261"/>
    </row>
    <row r="1102" ht="34.5" hidden="1" customHeight="1">
      <c r="A1102" s="111"/>
      <c r="B1102" s="127"/>
      <c r="C1102" s="111"/>
      <c r="D1102" s="111"/>
      <c r="E1102" s="111"/>
      <c r="F1102" s="111"/>
      <c r="G1102" s="111"/>
      <c r="H1102" s="111"/>
      <c r="I1102" s="127"/>
      <c r="J1102" s="111"/>
      <c r="K1102" s="257"/>
      <c r="L1102" s="111"/>
      <c r="M1102" s="127"/>
      <c r="N1102" s="270"/>
      <c r="O1102" s="111"/>
      <c r="P1102" s="111"/>
      <c r="Q1102" s="128"/>
      <c r="R1102" s="124"/>
      <c r="S1102" s="125"/>
      <c r="T1102" s="126"/>
      <c r="U1102" s="126"/>
      <c r="V1102" s="126"/>
      <c r="W1102" s="126"/>
      <c r="X1102" s="126"/>
      <c r="Y1102" s="126"/>
      <c r="Z1102" s="127"/>
      <c r="AA1102" s="127"/>
      <c r="AB1102" s="127"/>
      <c r="AC1102" s="127"/>
      <c r="AD1102" s="261"/>
      <c r="AE1102" s="261"/>
      <c r="AF1102" s="261"/>
      <c r="AG1102" s="261"/>
    </row>
    <row r="1103" ht="34.5" hidden="1" customHeight="1">
      <c r="A1103" s="111"/>
      <c r="B1103" s="127"/>
      <c r="C1103" s="111"/>
      <c r="D1103" s="111"/>
      <c r="E1103" s="111"/>
      <c r="F1103" s="111"/>
      <c r="G1103" s="111"/>
      <c r="H1103" s="111"/>
      <c r="I1103" s="127"/>
      <c r="J1103" s="111"/>
      <c r="K1103" s="257"/>
      <c r="L1103" s="111"/>
      <c r="M1103" s="127"/>
      <c r="N1103" s="270"/>
      <c r="O1103" s="111"/>
      <c r="P1103" s="111"/>
      <c r="Q1103" s="128"/>
      <c r="R1103" s="124"/>
      <c r="S1103" s="125"/>
      <c r="T1103" s="126"/>
      <c r="U1103" s="126"/>
      <c r="V1103" s="126"/>
      <c r="W1103" s="126"/>
      <c r="X1103" s="126"/>
      <c r="Y1103" s="126"/>
      <c r="Z1103" s="127"/>
      <c r="AA1103" s="127"/>
      <c r="AB1103" s="127"/>
      <c r="AC1103" s="127"/>
      <c r="AD1103" s="261"/>
      <c r="AE1103" s="261"/>
      <c r="AF1103" s="261"/>
      <c r="AG1103" s="261"/>
    </row>
    <row r="1104" ht="34.5" hidden="1" customHeight="1">
      <c r="A1104" s="111"/>
      <c r="B1104" s="127"/>
      <c r="C1104" s="111"/>
      <c r="D1104" s="111"/>
      <c r="E1104" s="111"/>
      <c r="F1104" s="111"/>
      <c r="G1104" s="111"/>
      <c r="H1104" s="111"/>
      <c r="I1104" s="127"/>
      <c r="J1104" s="111"/>
      <c r="K1104" s="257"/>
      <c r="L1104" s="111"/>
      <c r="M1104" s="127"/>
      <c r="N1104" s="270"/>
      <c r="O1104" s="111"/>
      <c r="P1104" s="111"/>
      <c r="Q1104" s="128"/>
      <c r="R1104" s="124"/>
      <c r="S1104" s="125"/>
      <c r="T1104" s="126"/>
      <c r="U1104" s="126"/>
      <c r="V1104" s="126"/>
      <c r="W1104" s="126"/>
      <c r="X1104" s="126"/>
      <c r="Y1104" s="126"/>
      <c r="Z1104" s="127"/>
      <c r="AA1104" s="127"/>
      <c r="AB1104" s="127"/>
      <c r="AC1104" s="127"/>
      <c r="AD1104" s="261"/>
      <c r="AE1104" s="261"/>
      <c r="AF1104" s="261"/>
      <c r="AG1104" s="261"/>
    </row>
    <row r="1105" ht="34.5" hidden="1" customHeight="1">
      <c r="A1105" s="111"/>
      <c r="B1105" s="127"/>
      <c r="C1105" s="111"/>
      <c r="D1105" s="111"/>
      <c r="E1105" s="111"/>
      <c r="F1105" s="111"/>
      <c r="G1105" s="111"/>
      <c r="H1105" s="111"/>
      <c r="I1105" s="127"/>
      <c r="J1105" s="111"/>
      <c r="K1105" s="257"/>
      <c r="L1105" s="111"/>
      <c r="M1105" s="127"/>
      <c r="N1105" s="270"/>
      <c r="O1105" s="111"/>
      <c r="P1105" s="111"/>
      <c r="Q1105" s="128"/>
      <c r="R1105" s="124"/>
      <c r="S1105" s="125"/>
      <c r="T1105" s="126"/>
      <c r="U1105" s="126"/>
      <c r="V1105" s="126"/>
      <c r="W1105" s="126"/>
      <c r="X1105" s="126"/>
      <c r="Y1105" s="126"/>
      <c r="Z1105" s="127"/>
      <c r="AA1105" s="127"/>
      <c r="AB1105" s="127"/>
      <c r="AC1105" s="127"/>
      <c r="AD1105" s="261"/>
      <c r="AE1105" s="261"/>
      <c r="AF1105" s="261"/>
      <c r="AG1105" s="261"/>
    </row>
    <row r="1106" ht="34.5" hidden="1" customHeight="1">
      <c r="A1106" s="111"/>
      <c r="B1106" s="127"/>
      <c r="C1106" s="111"/>
      <c r="D1106" s="111"/>
      <c r="E1106" s="111"/>
      <c r="F1106" s="111"/>
      <c r="G1106" s="111"/>
      <c r="H1106" s="111"/>
      <c r="I1106" s="127"/>
      <c r="J1106" s="111"/>
      <c r="K1106" s="257"/>
      <c r="L1106" s="111"/>
      <c r="M1106" s="127"/>
      <c r="N1106" s="270"/>
      <c r="O1106" s="111"/>
      <c r="P1106" s="111"/>
      <c r="Q1106" s="128"/>
      <c r="R1106" s="124"/>
      <c r="S1106" s="125"/>
      <c r="T1106" s="126"/>
      <c r="U1106" s="126"/>
      <c r="V1106" s="126"/>
      <c r="W1106" s="126"/>
      <c r="X1106" s="126"/>
      <c r="Y1106" s="126"/>
      <c r="Z1106" s="127"/>
      <c r="AA1106" s="127"/>
      <c r="AB1106" s="127"/>
      <c r="AC1106" s="127"/>
      <c r="AD1106" s="261"/>
      <c r="AE1106" s="261"/>
      <c r="AF1106" s="261"/>
      <c r="AG1106" s="261"/>
    </row>
    <row r="1107" ht="34.5" hidden="1" customHeight="1">
      <c r="A1107" s="111"/>
      <c r="B1107" s="127"/>
      <c r="C1107" s="111"/>
      <c r="D1107" s="111"/>
      <c r="E1107" s="111"/>
      <c r="F1107" s="111"/>
      <c r="G1107" s="111"/>
      <c r="H1107" s="111"/>
      <c r="I1107" s="127"/>
      <c r="J1107" s="111"/>
      <c r="K1107" s="257"/>
      <c r="L1107" s="111"/>
      <c r="M1107" s="127"/>
      <c r="N1107" s="270"/>
      <c r="O1107" s="111"/>
      <c r="P1107" s="111"/>
      <c r="Q1107" s="128"/>
      <c r="R1107" s="124"/>
      <c r="S1107" s="125"/>
      <c r="T1107" s="126"/>
      <c r="U1107" s="126"/>
      <c r="V1107" s="126"/>
      <c r="W1107" s="126"/>
      <c r="X1107" s="126"/>
      <c r="Y1107" s="126"/>
      <c r="Z1107" s="127"/>
      <c r="AA1107" s="127"/>
      <c r="AB1107" s="127"/>
      <c r="AC1107" s="127"/>
      <c r="AD1107" s="261"/>
      <c r="AE1107" s="261"/>
      <c r="AF1107" s="261"/>
      <c r="AG1107" s="261"/>
    </row>
    <row r="1108" ht="34.5" hidden="1" customHeight="1">
      <c r="A1108" s="111"/>
      <c r="B1108" s="127"/>
      <c r="C1108" s="111"/>
      <c r="D1108" s="111"/>
      <c r="E1108" s="111"/>
      <c r="F1108" s="111"/>
      <c r="G1108" s="111"/>
      <c r="H1108" s="111"/>
      <c r="I1108" s="127"/>
      <c r="J1108" s="111"/>
      <c r="K1108" s="257"/>
      <c r="L1108" s="111"/>
      <c r="M1108" s="127"/>
      <c r="N1108" s="270"/>
      <c r="O1108" s="111"/>
      <c r="P1108" s="111"/>
      <c r="Q1108" s="128"/>
      <c r="R1108" s="124"/>
      <c r="S1108" s="125"/>
      <c r="T1108" s="126"/>
      <c r="U1108" s="126"/>
      <c r="V1108" s="126"/>
      <c r="W1108" s="126"/>
      <c r="X1108" s="126"/>
      <c r="Y1108" s="126"/>
      <c r="Z1108" s="127"/>
      <c r="AA1108" s="127"/>
      <c r="AB1108" s="127"/>
      <c r="AC1108" s="127"/>
      <c r="AD1108" s="261"/>
      <c r="AE1108" s="261"/>
      <c r="AF1108" s="261"/>
      <c r="AG1108" s="261"/>
    </row>
    <row r="1109" ht="34.5" hidden="1" customHeight="1">
      <c r="A1109" s="111"/>
      <c r="B1109" s="127"/>
      <c r="C1109" s="111"/>
      <c r="D1109" s="111"/>
      <c r="E1109" s="111"/>
      <c r="F1109" s="111"/>
      <c r="G1109" s="111"/>
      <c r="H1109" s="111"/>
      <c r="I1109" s="127"/>
      <c r="J1109" s="111"/>
      <c r="K1109" s="257"/>
      <c r="L1109" s="111"/>
      <c r="M1109" s="127"/>
      <c r="N1109" s="270"/>
      <c r="O1109" s="111"/>
      <c r="P1109" s="111"/>
      <c r="Q1109" s="128"/>
      <c r="R1109" s="124"/>
      <c r="S1109" s="125"/>
      <c r="T1109" s="126"/>
      <c r="U1109" s="126"/>
      <c r="V1109" s="126"/>
      <c r="W1109" s="126"/>
      <c r="X1109" s="126"/>
      <c r="Y1109" s="126"/>
      <c r="Z1109" s="127"/>
      <c r="AA1109" s="127"/>
      <c r="AB1109" s="127"/>
      <c r="AC1109" s="127"/>
      <c r="AD1109" s="261"/>
      <c r="AE1109" s="261"/>
      <c r="AF1109" s="261"/>
      <c r="AG1109" s="261"/>
    </row>
    <row r="1110" ht="34.5" hidden="1" customHeight="1">
      <c r="A1110" s="111"/>
      <c r="B1110" s="127"/>
      <c r="C1110" s="111"/>
      <c r="D1110" s="111"/>
      <c r="E1110" s="111"/>
      <c r="F1110" s="111"/>
      <c r="G1110" s="111"/>
      <c r="H1110" s="111"/>
      <c r="I1110" s="127"/>
      <c r="J1110" s="111"/>
      <c r="K1110" s="257"/>
      <c r="L1110" s="111"/>
      <c r="M1110" s="127"/>
      <c r="N1110" s="270"/>
      <c r="O1110" s="111"/>
      <c r="P1110" s="111"/>
      <c r="Q1110" s="128"/>
      <c r="R1110" s="124"/>
      <c r="S1110" s="125"/>
      <c r="T1110" s="126"/>
      <c r="U1110" s="126"/>
      <c r="V1110" s="126"/>
      <c r="W1110" s="126"/>
      <c r="X1110" s="126"/>
      <c r="Y1110" s="126"/>
      <c r="Z1110" s="127"/>
      <c r="AA1110" s="127"/>
      <c r="AB1110" s="127"/>
      <c r="AC1110" s="127"/>
      <c r="AD1110" s="261"/>
      <c r="AE1110" s="261"/>
      <c r="AF1110" s="261"/>
      <c r="AG1110" s="261"/>
    </row>
    <row r="1111" ht="34.5" hidden="1" customHeight="1">
      <c r="A1111" s="111"/>
      <c r="B1111" s="127"/>
      <c r="C1111" s="111"/>
      <c r="D1111" s="111"/>
      <c r="E1111" s="111"/>
      <c r="F1111" s="111"/>
      <c r="G1111" s="111"/>
      <c r="H1111" s="111"/>
      <c r="I1111" s="127"/>
      <c r="J1111" s="111"/>
      <c r="K1111" s="257"/>
      <c r="L1111" s="111"/>
      <c r="M1111" s="127"/>
      <c r="N1111" s="270"/>
      <c r="O1111" s="111"/>
      <c r="P1111" s="111"/>
      <c r="Q1111" s="128"/>
      <c r="R1111" s="124"/>
      <c r="S1111" s="125"/>
      <c r="T1111" s="126"/>
      <c r="U1111" s="126"/>
      <c r="V1111" s="126"/>
      <c r="W1111" s="126"/>
      <c r="X1111" s="126"/>
      <c r="Y1111" s="126"/>
      <c r="Z1111" s="127"/>
      <c r="AA1111" s="127"/>
      <c r="AB1111" s="127"/>
      <c r="AC1111" s="127"/>
      <c r="AD1111" s="261"/>
      <c r="AE1111" s="261"/>
      <c r="AF1111" s="261"/>
      <c r="AG1111" s="261"/>
    </row>
    <row r="1112" ht="34.5" hidden="1" customHeight="1">
      <c r="A1112" s="111"/>
      <c r="B1112" s="127"/>
      <c r="C1112" s="111"/>
      <c r="D1112" s="111"/>
      <c r="E1112" s="111"/>
      <c r="F1112" s="111"/>
      <c r="G1112" s="111"/>
      <c r="H1112" s="111"/>
      <c r="I1112" s="127"/>
      <c r="J1112" s="111"/>
      <c r="K1112" s="257"/>
      <c r="L1112" s="111"/>
      <c r="M1112" s="127"/>
      <c r="N1112" s="270"/>
      <c r="O1112" s="111"/>
      <c r="P1112" s="111"/>
      <c r="Q1112" s="128"/>
      <c r="R1112" s="124"/>
      <c r="S1112" s="125"/>
      <c r="T1112" s="126"/>
      <c r="U1112" s="126"/>
      <c r="V1112" s="126"/>
      <c r="W1112" s="126"/>
      <c r="X1112" s="126"/>
      <c r="Y1112" s="126"/>
      <c r="Z1112" s="127"/>
      <c r="AA1112" s="127"/>
      <c r="AB1112" s="127"/>
      <c r="AC1112" s="127"/>
      <c r="AD1112" s="261"/>
      <c r="AE1112" s="261"/>
      <c r="AF1112" s="261"/>
      <c r="AG1112" s="261"/>
    </row>
    <row r="1113" ht="34.5" hidden="1" customHeight="1">
      <c r="A1113" s="111"/>
      <c r="B1113" s="127"/>
      <c r="C1113" s="111"/>
      <c r="D1113" s="111"/>
      <c r="E1113" s="111"/>
      <c r="F1113" s="111"/>
      <c r="G1113" s="111"/>
      <c r="H1113" s="111"/>
      <c r="I1113" s="127"/>
      <c r="J1113" s="111"/>
      <c r="K1113" s="257"/>
      <c r="L1113" s="111"/>
      <c r="M1113" s="127"/>
      <c r="N1113" s="270"/>
      <c r="O1113" s="111"/>
      <c r="P1113" s="111"/>
      <c r="Q1113" s="128"/>
      <c r="R1113" s="124"/>
      <c r="S1113" s="125"/>
      <c r="T1113" s="126"/>
      <c r="U1113" s="126"/>
      <c r="V1113" s="126"/>
      <c r="W1113" s="126"/>
      <c r="X1113" s="126"/>
      <c r="Y1113" s="126"/>
      <c r="Z1113" s="127"/>
      <c r="AA1113" s="127"/>
      <c r="AB1113" s="127"/>
      <c r="AC1113" s="127"/>
      <c r="AD1113" s="261"/>
      <c r="AE1113" s="261"/>
      <c r="AF1113" s="261"/>
      <c r="AG1113" s="261"/>
    </row>
    <row r="1114" ht="34.5" hidden="1" customHeight="1">
      <c r="A1114" s="111"/>
      <c r="B1114" s="127"/>
      <c r="C1114" s="111"/>
      <c r="D1114" s="111"/>
      <c r="E1114" s="111"/>
      <c r="F1114" s="111"/>
      <c r="G1114" s="111"/>
      <c r="H1114" s="111"/>
      <c r="I1114" s="127"/>
      <c r="J1114" s="111"/>
      <c r="K1114" s="257"/>
      <c r="L1114" s="111"/>
      <c r="M1114" s="127"/>
      <c r="N1114" s="270"/>
      <c r="O1114" s="111"/>
      <c r="P1114" s="111"/>
      <c r="Q1114" s="128"/>
      <c r="R1114" s="124"/>
      <c r="S1114" s="125"/>
      <c r="T1114" s="126"/>
      <c r="U1114" s="126"/>
      <c r="V1114" s="126"/>
      <c r="W1114" s="126"/>
      <c r="X1114" s="126"/>
      <c r="Y1114" s="126"/>
      <c r="Z1114" s="127"/>
      <c r="AA1114" s="127"/>
      <c r="AB1114" s="127"/>
      <c r="AC1114" s="127"/>
      <c r="AD1114" s="261"/>
      <c r="AE1114" s="261"/>
      <c r="AF1114" s="261"/>
      <c r="AG1114" s="261"/>
    </row>
    <row r="1115" ht="34.5" hidden="1" customHeight="1">
      <c r="A1115" s="111"/>
      <c r="B1115" s="127"/>
      <c r="C1115" s="111"/>
      <c r="D1115" s="111"/>
      <c r="E1115" s="111"/>
      <c r="F1115" s="111"/>
      <c r="G1115" s="111"/>
      <c r="H1115" s="111"/>
      <c r="I1115" s="127"/>
      <c r="J1115" s="111"/>
      <c r="K1115" s="257"/>
      <c r="L1115" s="111"/>
      <c r="M1115" s="127"/>
      <c r="N1115" s="270"/>
      <c r="O1115" s="111"/>
      <c r="P1115" s="111"/>
      <c r="Q1115" s="128"/>
      <c r="R1115" s="124"/>
      <c r="S1115" s="125"/>
      <c r="T1115" s="126"/>
      <c r="U1115" s="126"/>
      <c r="V1115" s="126"/>
      <c r="W1115" s="126"/>
      <c r="X1115" s="126"/>
      <c r="Y1115" s="126"/>
      <c r="Z1115" s="127"/>
      <c r="AA1115" s="127"/>
      <c r="AB1115" s="127"/>
      <c r="AC1115" s="127"/>
      <c r="AD1115" s="261"/>
      <c r="AE1115" s="261"/>
      <c r="AF1115" s="261"/>
      <c r="AG1115" s="261"/>
    </row>
    <row r="1116" ht="34.5" hidden="1" customHeight="1">
      <c r="A1116" s="111"/>
      <c r="B1116" s="127"/>
      <c r="C1116" s="111"/>
      <c r="D1116" s="111"/>
      <c r="E1116" s="111"/>
      <c r="F1116" s="111"/>
      <c r="G1116" s="111"/>
      <c r="H1116" s="111"/>
      <c r="I1116" s="127"/>
      <c r="J1116" s="111"/>
      <c r="K1116" s="257"/>
      <c r="L1116" s="111"/>
      <c r="M1116" s="127"/>
      <c r="N1116" s="270"/>
      <c r="O1116" s="111"/>
      <c r="P1116" s="111"/>
      <c r="Q1116" s="128"/>
      <c r="R1116" s="124"/>
      <c r="S1116" s="125"/>
      <c r="T1116" s="126"/>
      <c r="U1116" s="126"/>
      <c r="V1116" s="126"/>
      <c r="W1116" s="126"/>
      <c r="X1116" s="126"/>
      <c r="Y1116" s="126"/>
      <c r="Z1116" s="127"/>
      <c r="AA1116" s="127"/>
      <c r="AB1116" s="127"/>
      <c r="AC1116" s="127"/>
      <c r="AD1116" s="261"/>
      <c r="AE1116" s="261"/>
      <c r="AF1116" s="261"/>
      <c r="AG1116" s="261"/>
    </row>
    <row r="1117" ht="34.5" hidden="1" customHeight="1">
      <c r="A1117" s="111"/>
      <c r="B1117" s="127"/>
      <c r="C1117" s="111"/>
      <c r="D1117" s="111"/>
      <c r="E1117" s="111"/>
      <c r="F1117" s="111"/>
      <c r="G1117" s="111"/>
      <c r="H1117" s="111"/>
      <c r="I1117" s="127"/>
      <c r="J1117" s="111"/>
      <c r="K1117" s="257"/>
      <c r="L1117" s="111"/>
      <c r="M1117" s="127"/>
      <c r="N1117" s="270"/>
      <c r="O1117" s="111"/>
      <c r="P1117" s="111"/>
      <c r="Q1117" s="128"/>
      <c r="R1117" s="124"/>
      <c r="S1117" s="125"/>
      <c r="T1117" s="126"/>
      <c r="U1117" s="126"/>
      <c r="V1117" s="126"/>
      <c r="W1117" s="126"/>
      <c r="X1117" s="126"/>
      <c r="Y1117" s="126"/>
      <c r="Z1117" s="127"/>
      <c r="AA1117" s="127"/>
      <c r="AB1117" s="127"/>
      <c r="AC1117" s="127"/>
      <c r="AD1117" s="261"/>
      <c r="AE1117" s="261"/>
      <c r="AF1117" s="261"/>
      <c r="AG1117" s="261"/>
    </row>
    <row r="1118" ht="34.5" hidden="1" customHeight="1">
      <c r="A1118" s="111"/>
      <c r="B1118" s="127"/>
      <c r="C1118" s="111"/>
      <c r="D1118" s="111"/>
      <c r="E1118" s="111"/>
      <c r="F1118" s="111"/>
      <c r="G1118" s="111"/>
      <c r="H1118" s="111"/>
      <c r="I1118" s="127"/>
      <c r="J1118" s="111"/>
      <c r="K1118" s="257"/>
      <c r="L1118" s="111"/>
      <c r="M1118" s="127"/>
      <c r="N1118" s="270"/>
      <c r="O1118" s="111"/>
      <c r="P1118" s="111"/>
      <c r="Q1118" s="128"/>
      <c r="R1118" s="124"/>
      <c r="S1118" s="125"/>
      <c r="T1118" s="126"/>
      <c r="U1118" s="126"/>
      <c r="V1118" s="126"/>
      <c r="W1118" s="126"/>
      <c r="X1118" s="126"/>
      <c r="Y1118" s="126"/>
      <c r="Z1118" s="127"/>
      <c r="AA1118" s="127"/>
      <c r="AB1118" s="127"/>
      <c r="AC1118" s="127"/>
      <c r="AD1118" s="261"/>
      <c r="AE1118" s="261"/>
      <c r="AF1118" s="261"/>
      <c r="AG1118" s="261"/>
    </row>
    <row r="1119" ht="34.5" hidden="1" customHeight="1">
      <c r="A1119" s="111"/>
      <c r="B1119" s="127"/>
      <c r="C1119" s="111"/>
      <c r="D1119" s="111"/>
      <c r="E1119" s="111"/>
      <c r="F1119" s="111"/>
      <c r="G1119" s="111"/>
      <c r="H1119" s="111"/>
      <c r="I1119" s="127"/>
      <c r="J1119" s="111"/>
      <c r="K1119" s="257"/>
      <c r="L1119" s="111"/>
      <c r="M1119" s="127"/>
      <c r="N1119" s="270"/>
      <c r="O1119" s="111"/>
      <c r="P1119" s="111"/>
      <c r="Q1119" s="128"/>
      <c r="R1119" s="124"/>
      <c r="S1119" s="125"/>
      <c r="T1119" s="126"/>
      <c r="U1119" s="126"/>
      <c r="V1119" s="126"/>
      <c r="W1119" s="126"/>
      <c r="X1119" s="126"/>
      <c r="Y1119" s="126"/>
      <c r="Z1119" s="127"/>
      <c r="AA1119" s="127"/>
      <c r="AB1119" s="127"/>
      <c r="AC1119" s="127"/>
      <c r="AD1119" s="261"/>
      <c r="AE1119" s="261"/>
      <c r="AF1119" s="261"/>
      <c r="AG1119" s="261"/>
    </row>
    <row r="1120" ht="34.5" hidden="1" customHeight="1">
      <c r="A1120" s="111"/>
      <c r="B1120" s="127"/>
      <c r="C1120" s="111"/>
      <c r="D1120" s="111"/>
      <c r="E1120" s="111"/>
      <c r="F1120" s="111"/>
      <c r="G1120" s="111"/>
      <c r="H1120" s="111"/>
      <c r="I1120" s="127"/>
      <c r="J1120" s="111"/>
      <c r="K1120" s="257"/>
      <c r="L1120" s="111"/>
      <c r="M1120" s="127"/>
      <c r="N1120" s="270"/>
      <c r="O1120" s="111"/>
      <c r="P1120" s="111"/>
      <c r="Q1120" s="128"/>
      <c r="R1120" s="124"/>
      <c r="S1120" s="125"/>
      <c r="T1120" s="126"/>
      <c r="U1120" s="126"/>
      <c r="V1120" s="126"/>
      <c r="W1120" s="126"/>
      <c r="X1120" s="126"/>
      <c r="Y1120" s="126"/>
      <c r="Z1120" s="127"/>
      <c r="AA1120" s="127"/>
      <c r="AB1120" s="127"/>
      <c r="AC1120" s="127"/>
      <c r="AD1120" s="261"/>
      <c r="AE1120" s="261"/>
      <c r="AF1120" s="261"/>
      <c r="AG1120" s="261"/>
    </row>
    <row r="1121" ht="34.5" hidden="1" customHeight="1">
      <c r="A1121" s="111"/>
      <c r="B1121" s="127"/>
      <c r="C1121" s="111"/>
      <c r="D1121" s="111"/>
      <c r="E1121" s="111"/>
      <c r="F1121" s="111"/>
      <c r="G1121" s="111"/>
      <c r="H1121" s="111"/>
      <c r="I1121" s="127"/>
      <c r="J1121" s="111"/>
      <c r="K1121" s="257"/>
      <c r="L1121" s="111"/>
      <c r="M1121" s="127"/>
      <c r="N1121" s="270"/>
      <c r="O1121" s="111"/>
      <c r="P1121" s="111"/>
      <c r="Q1121" s="128"/>
      <c r="R1121" s="124"/>
      <c r="S1121" s="125"/>
      <c r="T1121" s="126"/>
      <c r="U1121" s="126"/>
      <c r="V1121" s="126"/>
      <c r="W1121" s="126"/>
      <c r="X1121" s="126"/>
      <c r="Y1121" s="126"/>
      <c r="Z1121" s="127"/>
      <c r="AA1121" s="127"/>
      <c r="AB1121" s="127"/>
      <c r="AC1121" s="127"/>
      <c r="AD1121" s="261"/>
      <c r="AE1121" s="261"/>
      <c r="AF1121" s="261"/>
      <c r="AG1121" s="261"/>
    </row>
    <row r="1122" ht="34.5" hidden="1" customHeight="1">
      <c r="A1122" s="111"/>
      <c r="B1122" s="127"/>
      <c r="C1122" s="111"/>
      <c r="D1122" s="111"/>
      <c r="E1122" s="111"/>
      <c r="F1122" s="111"/>
      <c r="G1122" s="111"/>
      <c r="H1122" s="111"/>
      <c r="I1122" s="127"/>
      <c r="J1122" s="111"/>
      <c r="K1122" s="257"/>
      <c r="L1122" s="111"/>
      <c r="M1122" s="127"/>
      <c r="N1122" s="270"/>
      <c r="O1122" s="111"/>
      <c r="P1122" s="111"/>
      <c r="Q1122" s="128"/>
      <c r="R1122" s="124"/>
      <c r="S1122" s="125"/>
      <c r="T1122" s="126"/>
      <c r="U1122" s="126"/>
      <c r="V1122" s="126"/>
      <c r="W1122" s="126"/>
      <c r="X1122" s="126"/>
      <c r="Y1122" s="126"/>
      <c r="Z1122" s="127"/>
      <c r="AA1122" s="127"/>
      <c r="AB1122" s="127"/>
      <c r="AC1122" s="127"/>
      <c r="AD1122" s="261"/>
      <c r="AE1122" s="261"/>
      <c r="AF1122" s="261"/>
      <c r="AG1122" s="261"/>
    </row>
    <row r="1123" ht="34.5" hidden="1" customHeight="1">
      <c r="A1123" s="111"/>
      <c r="B1123" s="127"/>
      <c r="C1123" s="111"/>
      <c r="D1123" s="111"/>
      <c r="E1123" s="111"/>
      <c r="F1123" s="111"/>
      <c r="G1123" s="111"/>
      <c r="H1123" s="111"/>
      <c r="I1123" s="127"/>
      <c r="J1123" s="111"/>
      <c r="K1123" s="257"/>
      <c r="L1123" s="111"/>
      <c r="M1123" s="127"/>
      <c r="N1123" s="270"/>
      <c r="O1123" s="111"/>
      <c r="P1123" s="111"/>
      <c r="Q1123" s="128"/>
      <c r="R1123" s="124"/>
      <c r="S1123" s="125"/>
      <c r="T1123" s="126"/>
      <c r="U1123" s="126"/>
      <c r="V1123" s="126"/>
      <c r="W1123" s="126"/>
      <c r="X1123" s="126"/>
      <c r="Y1123" s="126"/>
      <c r="Z1123" s="127"/>
      <c r="AA1123" s="127"/>
      <c r="AB1123" s="127"/>
      <c r="AC1123" s="127"/>
      <c r="AD1123" s="261"/>
      <c r="AE1123" s="261"/>
      <c r="AF1123" s="261"/>
      <c r="AG1123" s="261"/>
    </row>
    <row r="1124" ht="34.5" hidden="1" customHeight="1">
      <c r="A1124" s="111"/>
      <c r="B1124" s="127"/>
      <c r="C1124" s="111"/>
      <c r="D1124" s="111"/>
      <c r="E1124" s="111"/>
      <c r="F1124" s="111"/>
      <c r="G1124" s="111"/>
      <c r="H1124" s="111"/>
      <c r="I1124" s="127"/>
      <c r="J1124" s="111"/>
      <c r="K1124" s="257"/>
      <c r="L1124" s="111"/>
      <c r="M1124" s="127"/>
      <c r="N1124" s="270"/>
      <c r="O1124" s="111"/>
      <c r="P1124" s="111"/>
      <c r="Q1124" s="128"/>
      <c r="R1124" s="124"/>
      <c r="S1124" s="125"/>
      <c r="T1124" s="126"/>
      <c r="U1124" s="126"/>
      <c r="V1124" s="126"/>
      <c r="W1124" s="126"/>
      <c r="X1124" s="126"/>
      <c r="Y1124" s="126"/>
      <c r="Z1124" s="127"/>
      <c r="AA1124" s="127"/>
      <c r="AB1124" s="127"/>
      <c r="AC1124" s="127"/>
      <c r="AD1124" s="261"/>
      <c r="AE1124" s="261"/>
      <c r="AF1124" s="261"/>
      <c r="AG1124" s="261"/>
    </row>
    <row r="1125" ht="34.5" hidden="1" customHeight="1">
      <c r="A1125" s="111"/>
      <c r="B1125" s="127"/>
      <c r="C1125" s="111"/>
      <c r="D1125" s="111"/>
      <c r="E1125" s="111"/>
      <c r="F1125" s="111"/>
      <c r="G1125" s="111"/>
      <c r="H1125" s="111"/>
      <c r="I1125" s="127"/>
      <c r="J1125" s="111"/>
      <c r="K1125" s="257"/>
      <c r="L1125" s="111"/>
      <c r="M1125" s="127"/>
      <c r="N1125" s="270"/>
      <c r="O1125" s="111"/>
      <c r="P1125" s="111"/>
      <c r="Q1125" s="128"/>
      <c r="R1125" s="124"/>
      <c r="S1125" s="125"/>
      <c r="T1125" s="126"/>
      <c r="U1125" s="126"/>
      <c r="V1125" s="126"/>
      <c r="W1125" s="126"/>
      <c r="X1125" s="126"/>
      <c r="Y1125" s="126"/>
      <c r="Z1125" s="127"/>
      <c r="AA1125" s="127"/>
      <c r="AB1125" s="127"/>
      <c r="AC1125" s="127"/>
      <c r="AD1125" s="261"/>
      <c r="AE1125" s="261"/>
      <c r="AF1125" s="261"/>
      <c r="AG1125" s="261"/>
    </row>
    <row r="1126" ht="34.5" hidden="1" customHeight="1">
      <c r="A1126" s="111"/>
      <c r="B1126" s="127"/>
      <c r="C1126" s="111"/>
      <c r="D1126" s="111"/>
      <c r="E1126" s="111"/>
      <c r="F1126" s="111"/>
      <c r="G1126" s="111"/>
      <c r="H1126" s="111"/>
      <c r="I1126" s="127"/>
      <c r="J1126" s="111"/>
      <c r="K1126" s="257"/>
      <c r="L1126" s="111"/>
      <c r="M1126" s="127"/>
      <c r="N1126" s="270"/>
      <c r="O1126" s="111"/>
      <c r="P1126" s="111"/>
      <c r="Q1126" s="128"/>
      <c r="R1126" s="124"/>
      <c r="S1126" s="125"/>
      <c r="T1126" s="126"/>
      <c r="U1126" s="126"/>
      <c r="V1126" s="126"/>
      <c r="W1126" s="126"/>
      <c r="X1126" s="126"/>
      <c r="Y1126" s="126"/>
      <c r="Z1126" s="127"/>
      <c r="AA1126" s="127"/>
      <c r="AB1126" s="127"/>
      <c r="AC1126" s="127"/>
      <c r="AD1126" s="261"/>
      <c r="AE1126" s="261"/>
      <c r="AF1126" s="261"/>
      <c r="AG1126" s="261"/>
    </row>
    <row r="1127" ht="34.5" hidden="1" customHeight="1">
      <c r="A1127" s="111"/>
      <c r="B1127" s="127"/>
      <c r="C1127" s="111"/>
      <c r="D1127" s="111"/>
      <c r="E1127" s="111"/>
      <c r="F1127" s="111"/>
      <c r="G1127" s="111"/>
      <c r="H1127" s="111"/>
      <c r="I1127" s="127"/>
      <c r="J1127" s="111"/>
      <c r="K1127" s="257"/>
      <c r="L1127" s="111"/>
      <c r="M1127" s="127"/>
      <c r="N1127" s="270"/>
      <c r="O1127" s="111"/>
      <c r="P1127" s="111"/>
      <c r="Q1127" s="128"/>
      <c r="R1127" s="124"/>
      <c r="S1127" s="125"/>
      <c r="T1127" s="126"/>
      <c r="U1127" s="126"/>
      <c r="V1127" s="126"/>
      <c r="W1127" s="126"/>
      <c r="X1127" s="126"/>
      <c r="Y1127" s="126"/>
      <c r="Z1127" s="127"/>
      <c r="AA1127" s="127"/>
      <c r="AB1127" s="127"/>
      <c r="AC1127" s="127"/>
      <c r="AD1127" s="261"/>
      <c r="AE1127" s="261"/>
      <c r="AF1127" s="261"/>
      <c r="AG1127" s="261"/>
    </row>
    <row r="1128" ht="34.5" hidden="1" customHeight="1">
      <c r="A1128" s="111"/>
      <c r="B1128" s="127"/>
      <c r="C1128" s="111"/>
      <c r="D1128" s="111"/>
      <c r="E1128" s="111"/>
      <c r="F1128" s="111"/>
      <c r="G1128" s="111"/>
      <c r="H1128" s="111"/>
      <c r="I1128" s="127"/>
      <c r="J1128" s="111"/>
      <c r="K1128" s="257"/>
      <c r="L1128" s="111"/>
      <c r="M1128" s="127"/>
      <c r="N1128" s="270"/>
      <c r="O1128" s="111"/>
      <c r="P1128" s="111"/>
      <c r="Q1128" s="128"/>
      <c r="R1128" s="124"/>
      <c r="S1128" s="125"/>
      <c r="T1128" s="126"/>
      <c r="U1128" s="126"/>
      <c r="V1128" s="126"/>
      <c r="W1128" s="126"/>
      <c r="X1128" s="126"/>
      <c r="Y1128" s="126"/>
      <c r="Z1128" s="127"/>
      <c r="AA1128" s="127"/>
      <c r="AB1128" s="127"/>
      <c r="AC1128" s="127"/>
      <c r="AD1128" s="261"/>
      <c r="AE1128" s="261"/>
      <c r="AF1128" s="261"/>
      <c r="AG1128" s="261"/>
    </row>
    <row r="1129" ht="34.5" hidden="1" customHeight="1">
      <c r="A1129" s="111"/>
      <c r="B1129" s="127"/>
      <c r="C1129" s="111"/>
      <c r="D1129" s="111"/>
      <c r="E1129" s="111"/>
      <c r="F1129" s="111"/>
      <c r="G1129" s="111"/>
      <c r="H1129" s="111"/>
      <c r="I1129" s="127"/>
      <c r="J1129" s="111"/>
      <c r="K1129" s="257"/>
      <c r="L1129" s="111"/>
      <c r="M1129" s="127"/>
      <c r="N1129" s="270"/>
      <c r="O1129" s="111"/>
      <c r="P1129" s="111"/>
      <c r="Q1129" s="128"/>
      <c r="R1129" s="124"/>
      <c r="S1129" s="125"/>
      <c r="T1129" s="126"/>
      <c r="U1129" s="126"/>
      <c r="V1129" s="126"/>
      <c r="W1129" s="126"/>
      <c r="X1129" s="126"/>
      <c r="Y1129" s="126"/>
      <c r="Z1129" s="127"/>
      <c r="AA1129" s="127"/>
      <c r="AB1129" s="127"/>
      <c r="AC1129" s="127"/>
      <c r="AD1129" s="261"/>
      <c r="AE1129" s="261"/>
      <c r="AF1129" s="261"/>
      <c r="AG1129" s="261"/>
    </row>
    <row r="1130" ht="34.5" hidden="1" customHeight="1">
      <c r="A1130" s="111"/>
      <c r="B1130" s="127"/>
      <c r="C1130" s="111"/>
      <c r="D1130" s="111"/>
      <c r="E1130" s="111"/>
      <c r="F1130" s="111"/>
      <c r="G1130" s="111"/>
      <c r="H1130" s="111"/>
      <c r="I1130" s="127"/>
      <c r="J1130" s="111"/>
      <c r="K1130" s="257"/>
      <c r="L1130" s="111"/>
      <c r="M1130" s="127"/>
      <c r="N1130" s="270"/>
      <c r="O1130" s="111"/>
      <c r="P1130" s="111"/>
      <c r="Q1130" s="128"/>
      <c r="R1130" s="124"/>
      <c r="S1130" s="125"/>
      <c r="T1130" s="126"/>
      <c r="U1130" s="126"/>
      <c r="V1130" s="126"/>
      <c r="W1130" s="126"/>
      <c r="X1130" s="126"/>
      <c r="Y1130" s="126"/>
      <c r="Z1130" s="127"/>
      <c r="AA1130" s="127"/>
      <c r="AB1130" s="127"/>
      <c r="AC1130" s="127"/>
      <c r="AD1130" s="261"/>
      <c r="AE1130" s="261"/>
      <c r="AF1130" s="261"/>
      <c r="AG1130" s="261"/>
    </row>
    <row r="1131" ht="34.5" hidden="1" customHeight="1">
      <c r="A1131" s="111"/>
      <c r="B1131" s="127"/>
      <c r="C1131" s="111"/>
      <c r="D1131" s="111"/>
      <c r="E1131" s="111"/>
      <c r="F1131" s="111"/>
      <c r="G1131" s="111"/>
      <c r="H1131" s="111"/>
      <c r="I1131" s="127"/>
      <c r="J1131" s="111"/>
      <c r="K1131" s="257"/>
      <c r="L1131" s="111"/>
      <c r="M1131" s="127"/>
      <c r="N1131" s="270"/>
      <c r="O1131" s="111"/>
      <c r="P1131" s="111"/>
      <c r="Q1131" s="128"/>
      <c r="R1131" s="124"/>
      <c r="S1131" s="125"/>
      <c r="T1131" s="126"/>
      <c r="U1131" s="126"/>
      <c r="V1131" s="126"/>
      <c r="W1131" s="126"/>
      <c r="X1131" s="126"/>
      <c r="Y1131" s="126"/>
      <c r="Z1131" s="127"/>
      <c r="AA1131" s="127"/>
      <c r="AB1131" s="127"/>
      <c r="AC1131" s="127"/>
      <c r="AD1131" s="261"/>
      <c r="AE1131" s="261"/>
      <c r="AF1131" s="261"/>
      <c r="AG1131" s="261"/>
    </row>
    <row r="1132" ht="34.5" hidden="1" customHeight="1">
      <c r="A1132" s="111"/>
      <c r="B1132" s="127"/>
      <c r="C1132" s="111"/>
      <c r="D1132" s="111"/>
      <c r="E1132" s="111"/>
      <c r="F1132" s="111"/>
      <c r="G1132" s="111"/>
      <c r="H1132" s="111"/>
      <c r="I1132" s="127"/>
      <c r="J1132" s="111"/>
      <c r="K1132" s="257"/>
      <c r="L1132" s="111"/>
      <c r="M1132" s="127"/>
      <c r="N1132" s="270"/>
      <c r="O1132" s="111"/>
      <c r="P1132" s="111"/>
      <c r="Q1132" s="128"/>
      <c r="R1132" s="124"/>
      <c r="S1132" s="125"/>
      <c r="T1132" s="126"/>
      <c r="U1132" s="126"/>
      <c r="V1132" s="126"/>
      <c r="W1132" s="126"/>
      <c r="X1132" s="126"/>
      <c r="Y1132" s="126"/>
      <c r="Z1132" s="127"/>
      <c r="AA1132" s="127"/>
      <c r="AB1132" s="127"/>
      <c r="AC1132" s="127"/>
      <c r="AD1132" s="261"/>
      <c r="AE1132" s="261"/>
      <c r="AF1132" s="261"/>
      <c r="AG1132" s="261"/>
    </row>
    <row r="1133" ht="34.5" hidden="1" customHeight="1">
      <c r="A1133" s="111"/>
      <c r="B1133" s="127"/>
      <c r="C1133" s="111"/>
      <c r="D1133" s="111"/>
      <c r="E1133" s="111"/>
      <c r="F1133" s="111"/>
      <c r="G1133" s="111"/>
      <c r="H1133" s="111"/>
      <c r="I1133" s="127"/>
      <c r="J1133" s="111"/>
      <c r="K1133" s="257"/>
      <c r="L1133" s="111"/>
      <c r="M1133" s="127"/>
      <c r="N1133" s="270"/>
      <c r="O1133" s="111"/>
      <c r="P1133" s="111"/>
      <c r="Q1133" s="128"/>
      <c r="R1133" s="124"/>
      <c r="S1133" s="125"/>
      <c r="T1133" s="126"/>
      <c r="U1133" s="126"/>
      <c r="V1133" s="126"/>
      <c r="W1133" s="126"/>
      <c r="X1133" s="126"/>
      <c r="Y1133" s="126"/>
      <c r="Z1133" s="127"/>
      <c r="AA1133" s="127"/>
      <c r="AB1133" s="127"/>
      <c r="AC1133" s="127"/>
      <c r="AD1133" s="261"/>
      <c r="AE1133" s="261"/>
      <c r="AF1133" s="261"/>
      <c r="AG1133" s="261"/>
    </row>
    <row r="1134" ht="34.5" hidden="1" customHeight="1">
      <c r="A1134" s="111"/>
      <c r="B1134" s="127"/>
      <c r="C1134" s="111"/>
      <c r="D1134" s="111"/>
      <c r="E1134" s="111"/>
      <c r="F1134" s="111"/>
      <c r="G1134" s="111"/>
      <c r="H1134" s="111"/>
      <c r="I1134" s="127"/>
      <c r="J1134" s="111"/>
      <c r="K1134" s="257"/>
      <c r="L1134" s="111"/>
      <c r="M1134" s="127"/>
      <c r="N1134" s="270"/>
      <c r="O1134" s="111"/>
      <c r="P1134" s="111"/>
      <c r="Q1134" s="128"/>
      <c r="R1134" s="124"/>
      <c r="S1134" s="125"/>
      <c r="T1134" s="126"/>
      <c r="U1134" s="126"/>
      <c r="V1134" s="126"/>
      <c r="W1134" s="126"/>
      <c r="X1134" s="126"/>
      <c r="Y1134" s="126"/>
      <c r="Z1134" s="127"/>
      <c r="AA1134" s="127"/>
      <c r="AB1134" s="127"/>
      <c r="AC1134" s="127"/>
      <c r="AD1134" s="261"/>
      <c r="AE1134" s="261"/>
      <c r="AF1134" s="261"/>
      <c r="AG1134" s="261"/>
    </row>
    <row r="1135" ht="34.5" hidden="1" customHeight="1">
      <c r="A1135" s="111"/>
      <c r="B1135" s="127"/>
      <c r="C1135" s="111"/>
      <c r="D1135" s="111"/>
      <c r="E1135" s="111"/>
      <c r="F1135" s="111"/>
      <c r="G1135" s="111"/>
      <c r="H1135" s="111"/>
      <c r="I1135" s="127"/>
      <c r="J1135" s="111"/>
      <c r="K1135" s="257"/>
      <c r="L1135" s="111"/>
      <c r="M1135" s="127"/>
      <c r="N1135" s="270"/>
      <c r="O1135" s="111"/>
      <c r="P1135" s="111"/>
      <c r="Q1135" s="128"/>
      <c r="R1135" s="124"/>
      <c r="S1135" s="125"/>
      <c r="T1135" s="126"/>
      <c r="U1135" s="126"/>
      <c r="V1135" s="126"/>
      <c r="W1135" s="126"/>
      <c r="X1135" s="126"/>
      <c r="Y1135" s="126"/>
      <c r="Z1135" s="127"/>
      <c r="AA1135" s="127"/>
      <c r="AB1135" s="127"/>
      <c r="AC1135" s="127"/>
      <c r="AD1135" s="261"/>
      <c r="AE1135" s="261"/>
      <c r="AF1135" s="261"/>
      <c r="AG1135" s="261"/>
    </row>
    <row r="1136" ht="34.5" hidden="1" customHeight="1">
      <c r="A1136" s="111"/>
      <c r="B1136" s="127"/>
      <c r="C1136" s="111"/>
      <c r="D1136" s="111"/>
      <c r="E1136" s="111"/>
      <c r="F1136" s="111"/>
      <c r="G1136" s="111"/>
      <c r="H1136" s="111"/>
      <c r="I1136" s="127"/>
      <c r="J1136" s="111"/>
      <c r="K1136" s="257"/>
      <c r="L1136" s="111"/>
      <c r="M1136" s="127"/>
      <c r="N1136" s="270"/>
      <c r="O1136" s="111"/>
      <c r="P1136" s="111"/>
      <c r="Q1136" s="128"/>
      <c r="R1136" s="124"/>
      <c r="S1136" s="125"/>
      <c r="T1136" s="126"/>
      <c r="U1136" s="126"/>
      <c r="V1136" s="126"/>
      <c r="W1136" s="126"/>
      <c r="X1136" s="126"/>
      <c r="Y1136" s="126"/>
      <c r="Z1136" s="127"/>
      <c r="AA1136" s="127"/>
      <c r="AB1136" s="127"/>
      <c r="AC1136" s="127"/>
      <c r="AD1136" s="261"/>
      <c r="AE1136" s="261"/>
      <c r="AF1136" s="261"/>
      <c r="AG1136" s="261"/>
    </row>
    <row r="1137" ht="34.5" hidden="1" customHeight="1">
      <c r="A1137" s="111"/>
      <c r="B1137" s="127"/>
      <c r="C1137" s="111"/>
      <c r="D1137" s="111"/>
      <c r="E1137" s="111"/>
      <c r="F1137" s="111"/>
      <c r="G1137" s="111"/>
      <c r="H1137" s="111"/>
      <c r="I1137" s="127"/>
      <c r="J1137" s="111"/>
      <c r="K1137" s="257"/>
      <c r="L1137" s="111"/>
      <c r="M1137" s="127"/>
      <c r="N1137" s="270"/>
      <c r="O1137" s="111"/>
      <c r="P1137" s="111"/>
      <c r="Q1137" s="128"/>
      <c r="R1137" s="124"/>
      <c r="S1137" s="125"/>
      <c r="T1137" s="126"/>
      <c r="U1137" s="126"/>
      <c r="V1137" s="126"/>
      <c r="W1137" s="126"/>
      <c r="X1137" s="126"/>
      <c r="Y1137" s="126"/>
      <c r="Z1137" s="127"/>
      <c r="AA1137" s="127"/>
      <c r="AB1137" s="127"/>
      <c r="AC1137" s="127"/>
      <c r="AD1137" s="261"/>
      <c r="AE1137" s="261"/>
      <c r="AF1137" s="261"/>
      <c r="AG1137" s="261"/>
    </row>
    <row r="1138" ht="34.5" hidden="1" customHeight="1">
      <c r="A1138" s="111"/>
      <c r="B1138" s="127"/>
      <c r="C1138" s="111"/>
      <c r="D1138" s="111"/>
      <c r="E1138" s="111"/>
      <c r="F1138" s="111"/>
      <c r="G1138" s="111"/>
      <c r="H1138" s="111"/>
      <c r="I1138" s="127"/>
      <c r="J1138" s="111"/>
      <c r="K1138" s="257"/>
      <c r="L1138" s="111"/>
      <c r="M1138" s="127"/>
      <c r="N1138" s="270"/>
      <c r="O1138" s="111"/>
      <c r="P1138" s="111"/>
      <c r="Q1138" s="128"/>
      <c r="R1138" s="124"/>
      <c r="S1138" s="125"/>
      <c r="T1138" s="126"/>
      <c r="U1138" s="126"/>
      <c r="V1138" s="126"/>
      <c r="W1138" s="126"/>
      <c r="X1138" s="126"/>
      <c r="Y1138" s="126"/>
      <c r="Z1138" s="127"/>
      <c r="AA1138" s="127"/>
      <c r="AB1138" s="127"/>
      <c r="AC1138" s="127"/>
      <c r="AD1138" s="261"/>
      <c r="AE1138" s="261"/>
      <c r="AF1138" s="261"/>
      <c r="AG1138" s="261"/>
    </row>
    <row r="1139" ht="34.5" hidden="1" customHeight="1">
      <c r="A1139" s="111"/>
      <c r="B1139" s="127"/>
      <c r="C1139" s="111"/>
      <c r="D1139" s="111"/>
      <c r="E1139" s="111"/>
      <c r="F1139" s="111"/>
      <c r="G1139" s="111"/>
      <c r="H1139" s="111"/>
      <c r="I1139" s="127"/>
      <c r="J1139" s="111"/>
      <c r="K1139" s="257"/>
      <c r="L1139" s="111"/>
      <c r="M1139" s="127"/>
      <c r="N1139" s="270"/>
      <c r="O1139" s="111"/>
      <c r="P1139" s="111"/>
      <c r="Q1139" s="128"/>
      <c r="R1139" s="124"/>
      <c r="S1139" s="125"/>
      <c r="T1139" s="126"/>
      <c r="U1139" s="126"/>
      <c r="V1139" s="126"/>
      <c r="W1139" s="126"/>
      <c r="X1139" s="126"/>
      <c r="Y1139" s="126"/>
      <c r="Z1139" s="127"/>
      <c r="AA1139" s="127"/>
      <c r="AB1139" s="127"/>
      <c r="AC1139" s="127"/>
      <c r="AD1139" s="261"/>
      <c r="AE1139" s="261"/>
      <c r="AF1139" s="261"/>
      <c r="AG1139" s="261"/>
    </row>
    <row r="1140" ht="34.5" hidden="1" customHeight="1">
      <c r="A1140" s="111"/>
      <c r="B1140" s="127"/>
      <c r="C1140" s="111"/>
      <c r="D1140" s="111"/>
      <c r="E1140" s="111"/>
      <c r="F1140" s="111"/>
      <c r="G1140" s="111"/>
      <c r="H1140" s="111"/>
      <c r="I1140" s="127"/>
      <c r="J1140" s="111"/>
      <c r="K1140" s="257"/>
      <c r="L1140" s="111"/>
      <c r="M1140" s="127"/>
      <c r="N1140" s="270"/>
      <c r="O1140" s="111"/>
      <c r="P1140" s="111"/>
      <c r="Q1140" s="128"/>
      <c r="R1140" s="124"/>
      <c r="S1140" s="125"/>
      <c r="T1140" s="126"/>
      <c r="U1140" s="126"/>
      <c r="V1140" s="126"/>
      <c r="W1140" s="126"/>
      <c r="X1140" s="126"/>
      <c r="Y1140" s="126"/>
      <c r="Z1140" s="127"/>
      <c r="AA1140" s="127"/>
      <c r="AB1140" s="127"/>
      <c r="AC1140" s="127"/>
      <c r="AD1140" s="261"/>
      <c r="AE1140" s="261"/>
      <c r="AF1140" s="261"/>
      <c r="AG1140" s="261"/>
    </row>
    <row r="1141" ht="34.5" hidden="1" customHeight="1">
      <c r="A1141" s="111"/>
      <c r="B1141" s="127"/>
      <c r="C1141" s="111"/>
      <c r="D1141" s="111"/>
      <c r="E1141" s="111"/>
      <c r="F1141" s="111"/>
      <c r="G1141" s="111"/>
      <c r="H1141" s="111"/>
      <c r="I1141" s="127"/>
      <c r="J1141" s="111"/>
      <c r="K1141" s="257"/>
      <c r="L1141" s="111"/>
      <c r="M1141" s="127"/>
      <c r="N1141" s="270"/>
      <c r="O1141" s="111"/>
      <c r="P1141" s="111"/>
      <c r="Q1141" s="128"/>
      <c r="R1141" s="124"/>
      <c r="S1141" s="125"/>
      <c r="T1141" s="126"/>
      <c r="U1141" s="126"/>
      <c r="V1141" s="126"/>
      <c r="W1141" s="126"/>
      <c r="X1141" s="126"/>
      <c r="Y1141" s="126"/>
      <c r="Z1141" s="127"/>
      <c r="AA1141" s="127"/>
      <c r="AB1141" s="127"/>
      <c r="AC1141" s="127"/>
      <c r="AD1141" s="261"/>
      <c r="AE1141" s="261"/>
      <c r="AF1141" s="261"/>
      <c r="AG1141" s="261"/>
    </row>
    <row r="1142" ht="34.5" hidden="1" customHeight="1">
      <c r="A1142" s="111"/>
      <c r="B1142" s="127"/>
      <c r="C1142" s="111"/>
      <c r="D1142" s="111"/>
      <c r="E1142" s="111"/>
      <c r="F1142" s="111"/>
      <c r="G1142" s="111"/>
      <c r="H1142" s="111"/>
      <c r="I1142" s="127"/>
      <c r="J1142" s="111"/>
      <c r="K1142" s="257"/>
      <c r="L1142" s="111"/>
      <c r="M1142" s="127"/>
      <c r="N1142" s="270"/>
      <c r="O1142" s="111"/>
      <c r="P1142" s="111"/>
      <c r="Q1142" s="128"/>
      <c r="R1142" s="124"/>
      <c r="S1142" s="125"/>
      <c r="T1142" s="126"/>
      <c r="U1142" s="126"/>
      <c r="V1142" s="126"/>
      <c r="W1142" s="126"/>
      <c r="X1142" s="126"/>
      <c r="Y1142" s="126"/>
      <c r="Z1142" s="127"/>
      <c r="AA1142" s="127"/>
      <c r="AB1142" s="127"/>
      <c r="AC1142" s="127"/>
      <c r="AD1142" s="261"/>
      <c r="AE1142" s="261"/>
      <c r="AF1142" s="261"/>
      <c r="AG1142" s="261"/>
    </row>
    <row r="1143" ht="34.5" hidden="1" customHeight="1">
      <c r="A1143" s="111"/>
      <c r="B1143" s="127"/>
      <c r="C1143" s="111"/>
      <c r="D1143" s="111"/>
      <c r="E1143" s="111"/>
      <c r="F1143" s="111"/>
      <c r="G1143" s="111"/>
      <c r="H1143" s="111"/>
      <c r="I1143" s="127"/>
      <c r="J1143" s="111"/>
      <c r="K1143" s="257"/>
      <c r="L1143" s="111"/>
      <c r="M1143" s="127"/>
      <c r="N1143" s="270"/>
      <c r="O1143" s="111"/>
      <c r="P1143" s="111"/>
      <c r="Q1143" s="128"/>
      <c r="R1143" s="124"/>
      <c r="S1143" s="125"/>
      <c r="T1143" s="126"/>
      <c r="U1143" s="126"/>
      <c r="V1143" s="126"/>
      <c r="W1143" s="126"/>
      <c r="X1143" s="126"/>
      <c r="Y1143" s="126"/>
      <c r="Z1143" s="127"/>
      <c r="AA1143" s="127"/>
      <c r="AB1143" s="127"/>
      <c r="AC1143" s="127"/>
      <c r="AD1143" s="261"/>
      <c r="AE1143" s="261"/>
      <c r="AF1143" s="261"/>
      <c r="AG1143" s="261"/>
    </row>
    <row r="1144" ht="34.5" hidden="1" customHeight="1">
      <c r="A1144" s="111"/>
      <c r="B1144" s="127"/>
      <c r="C1144" s="111"/>
      <c r="D1144" s="111"/>
      <c r="E1144" s="111"/>
      <c r="F1144" s="111"/>
      <c r="G1144" s="111"/>
      <c r="H1144" s="111"/>
      <c r="I1144" s="127"/>
      <c r="J1144" s="111"/>
      <c r="K1144" s="257"/>
      <c r="L1144" s="111"/>
      <c r="M1144" s="127"/>
      <c r="N1144" s="270"/>
      <c r="O1144" s="111"/>
      <c r="P1144" s="111"/>
      <c r="Q1144" s="128"/>
      <c r="R1144" s="124"/>
      <c r="S1144" s="125"/>
      <c r="T1144" s="126"/>
      <c r="U1144" s="126"/>
      <c r="V1144" s="126"/>
      <c r="W1144" s="126"/>
      <c r="X1144" s="126"/>
      <c r="Y1144" s="126"/>
      <c r="Z1144" s="127"/>
      <c r="AA1144" s="127"/>
      <c r="AB1144" s="127"/>
      <c r="AC1144" s="127"/>
      <c r="AD1144" s="261"/>
      <c r="AE1144" s="261"/>
      <c r="AF1144" s="261"/>
      <c r="AG1144" s="261"/>
    </row>
    <row r="1145" ht="34.5" hidden="1" customHeight="1">
      <c r="A1145" s="111"/>
      <c r="B1145" s="127"/>
      <c r="C1145" s="111"/>
      <c r="D1145" s="111"/>
      <c r="E1145" s="111"/>
      <c r="F1145" s="111"/>
      <c r="G1145" s="111"/>
      <c r="H1145" s="111"/>
      <c r="I1145" s="127"/>
      <c r="J1145" s="111"/>
      <c r="K1145" s="257"/>
      <c r="L1145" s="111"/>
      <c r="M1145" s="127"/>
      <c r="N1145" s="270"/>
      <c r="O1145" s="111"/>
      <c r="P1145" s="111"/>
      <c r="Q1145" s="128"/>
      <c r="R1145" s="124"/>
      <c r="S1145" s="125"/>
      <c r="T1145" s="126"/>
      <c r="U1145" s="126"/>
      <c r="V1145" s="126"/>
      <c r="W1145" s="126"/>
      <c r="X1145" s="126"/>
      <c r="Y1145" s="126"/>
      <c r="Z1145" s="127"/>
      <c r="AA1145" s="127"/>
      <c r="AB1145" s="127"/>
      <c r="AC1145" s="127"/>
      <c r="AD1145" s="261"/>
      <c r="AE1145" s="261"/>
      <c r="AF1145" s="261"/>
      <c r="AG1145" s="261"/>
    </row>
    <row r="1146" ht="34.5" hidden="1" customHeight="1">
      <c r="A1146" s="111"/>
      <c r="B1146" s="127"/>
      <c r="C1146" s="111"/>
      <c r="D1146" s="111"/>
      <c r="E1146" s="111"/>
      <c r="F1146" s="111"/>
      <c r="G1146" s="111"/>
      <c r="H1146" s="111"/>
      <c r="I1146" s="127"/>
      <c r="J1146" s="111"/>
      <c r="K1146" s="257"/>
      <c r="L1146" s="111"/>
      <c r="M1146" s="127"/>
      <c r="N1146" s="270"/>
      <c r="O1146" s="111"/>
      <c r="P1146" s="111"/>
      <c r="Q1146" s="128"/>
      <c r="R1146" s="124"/>
      <c r="S1146" s="125"/>
      <c r="T1146" s="126"/>
      <c r="U1146" s="126"/>
      <c r="V1146" s="126"/>
      <c r="W1146" s="126"/>
      <c r="X1146" s="126"/>
      <c r="Y1146" s="126"/>
      <c r="Z1146" s="127"/>
      <c r="AA1146" s="127"/>
      <c r="AB1146" s="127"/>
      <c r="AC1146" s="127"/>
      <c r="AD1146" s="261"/>
      <c r="AE1146" s="261"/>
      <c r="AF1146" s="261"/>
      <c r="AG1146" s="261"/>
    </row>
    <row r="1147" ht="34.5" hidden="1" customHeight="1">
      <c r="A1147" s="111"/>
      <c r="B1147" s="127"/>
      <c r="C1147" s="111"/>
      <c r="D1147" s="111"/>
      <c r="E1147" s="111"/>
      <c r="F1147" s="111"/>
      <c r="G1147" s="111"/>
      <c r="H1147" s="111"/>
      <c r="I1147" s="127"/>
      <c r="J1147" s="111"/>
      <c r="K1147" s="257"/>
      <c r="L1147" s="111"/>
      <c r="M1147" s="127"/>
      <c r="N1147" s="270"/>
      <c r="O1147" s="111"/>
      <c r="P1147" s="111"/>
      <c r="Q1147" s="128"/>
      <c r="R1147" s="124"/>
      <c r="S1147" s="125"/>
      <c r="T1147" s="126"/>
      <c r="U1147" s="126"/>
      <c r="V1147" s="126"/>
      <c r="W1147" s="126"/>
      <c r="X1147" s="126"/>
      <c r="Y1147" s="126"/>
      <c r="Z1147" s="127"/>
      <c r="AA1147" s="127"/>
      <c r="AB1147" s="127"/>
      <c r="AC1147" s="127"/>
      <c r="AD1147" s="261"/>
      <c r="AE1147" s="261"/>
      <c r="AF1147" s="261"/>
      <c r="AG1147" s="261"/>
    </row>
    <row r="1148" ht="34.5" hidden="1" customHeight="1">
      <c r="A1148" s="111"/>
      <c r="B1148" s="127"/>
      <c r="C1148" s="111"/>
      <c r="D1148" s="111"/>
      <c r="E1148" s="111"/>
      <c r="F1148" s="111"/>
      <c r="G1148" s="111"/>
      <c r="H1148" s="111"/>
      <c r="I1148" s="127"/>
      <c r="J1148" s="111"/>
      <c r="K1148" s="257"/>
      <c r="L1148" s="111"/>
      <c r="M1148" s="127"/>
      <c r="N1148" s="270"/>
      <c r="O1148" s="111"/>
      <c r="P1148" s="111"/>
      <c r="Q1148" s="128"/>
      <c r="R1148" s="124"/>
      <c r="S1148" s="125"/>
      <c r="T1148" s="126"/>
      <c r="U1148" s="126"/>
      <c r="V1148" s="126"/>
      <c r="W1148" s="126"/>
      <c r="X1148" s="126"/>
      <c r="Y1148" s="126"/>
      <c r="Z1148" s="127"/>
      <c r="AA1148" s="127"/>
      <c r="AB1148" s="127"/>
      <c r="AC1148" s="127"/>
      <c r="AD1148" s="261"/>
      <c r="AE1148" s="261"/>
      <c r="AF1148" s="261"/>
      <c r="AG1148" s="261"/>
    </row>
    <row r="1149" ht="34.5" hidden="1" customHeight="1">
      <c r="A1149" s="111"/>
      <c r="B1149" s="127"/>
      <c r="C1149" s="111"/>
      <c r="D1149" s="111"/>
      <c r="E1149" s="111"/>
      <c r="F1149" s="111"/>
      <c r="G1149" s="111"/>
      <c r="H1149" s="111"/>
      <c r="I1149" s="127"/>
      <c r="J1149" s="111"/>
      <c r="K1149" s="257"/>
      <c r="L1149" s="111"/>
      <c r="M1149" s="127"/>
      <c r="N1149" s="270"/>
      <c r="O1149" s="111"/>
      <c r="P1149" s="111"/>
      <c r="Q1149" s="128"/>
      <c r="R1149" s="124"/>
      <c r="S1149" s="125"/>
      <c r="T1149" s="126"/>
      <c r="U1149" s="126"/>
      <c r="V1149" s="126"/>
      <c r="W1149" s="126"/>
      <c r="X1149" s="126"/>
      <c r="Y1149" s="126"/>
      <c r="Z1149" s="127"/>
      <c r="AA1149" s="127"/>
      <c r="AB1149" s="127"/>
      <c r="AC1149" s="127"/>
      <c r="AD1149" s="261"/>
      <c r="AE1149" s="261"/>
      <c r="AF1149" s="261"/>
      <c r="AG1149" s="261"/>
    </row>
    <row r="1150" ht="34.5" hidden="1" customHeight="1">
      <c r="A1150" s="111"/>
      <c r="B1150" s="127"/>
      <c r="C1150" s="111"/>
      <c r="D1150" s="111"/>
      <c r="E1150" s="111"/>
      <c r="F1150" s="111"/>
      <c r="G1150" s="111"/>
      <c r="H1150" s="111"/>
      <c r="I1150" s="127"/>
      <c r="J1150" s="111"/>
      <c r="K1150" s="257"/>
      <c r="L1150" s="111"/>
      <c r="M1150" s="127"/>
      <c r="N1150" s="270"/>
      <c r="O1150" s="111"/>
      <c r="P1150" s="111"/>
      <c r="Q1150" s="128"/>
      <c r="R1150" s="124"/>
      <c r="S1150" s="125"/>
      <c r="T1150" s="126"/>
      <c r="U1150" s="126"/>
      <c r="V1150" s="126"/>
      <c r="W1150" s="126"/>
      <c r="X1150" s="126"/>
      <c r="Y1150" s="126"/>
      <c r="Z1150" s="127"/>
      <c r="AA1150" s="127"/>
      <c r="AB1150" s="127"/>
      <c r="AC1150" s="127"/>
      <c r="AD1150" s="261"/>
      <c r="AE1150" s="261"/>
      <c r="AF1150" s="261"/>
      <c r="AG1150" s="261"/>
    </row>
    <row r="1151" ht="34.5" hidden="1" customHeight="1">
      <c r="A1151" s="111"/>
      <c r="B1151" s="127"/>
      <c r="C1151" s="111"/>
      <c r="D1151" s="111"/>
      <c r="E1151" s="111"/>
      <c r="F1151" s="111"/>
      <c r="G1151" s="111"/>
      <c r="H1151" s="111"/>
      <c r="I1151" s="127"/>
      <c r="J1151" s="111"/>
      <c r="K1151" s="257"/>
      <c r="L1151" s="111"/>
      <c r="M1151" s="127"/>
      <c r="N1151" s="270"/>
      <c r="O1151" s="111"/>
      <c r="P1151" s="111"/>
      <c r="Q1151" s="128"/>
      <c r="R1151" s="124"/>
      <c r="S1151" s="125"/>
      <c r="T1151" s="126"/>
      <c r="U1151" s="126"/>
      <c r="V1151" s="126"/>
      <c r="W1151" s="126"/>
      <c r="X1151" s="126"/>
      <c r="Y1151" s="126"/>
      <c r="Z1151" s="127"/>
      <c r="AA1151" s="127"/>
      <c r="AB1151" s="127"/>
      <c r="AC1151" s="127"/>
      <c r="AD1151" s="261"/>
      <c r="AE1151" s="261"/>
      <c r="AF1151" s="261"/>
      <c r="AG1151" s="261"/>
    </row>
    <row r="1152" ht="34.5" hidden="1" customHeight="1">
      <c r="A1152" s="111"/>
      <c r="B1152" s="127"/>
      <c r="C1152" s="111"/>
      <c r="D1152" s="111"/>
      <c r="E1152" s="111"/>
      <c r="F1152" s="111"/>
      <c r="G1152" s="111"/>
      <c r="H1152" s="111"/>
      <c r="I1152" s="127"/>
      <c r="J1152" s="111"/>
      <c r="K1152" s="257"/>
      <c r="L1152" s="111"/>
      <c r="M1152" s="127"/>
      <c r="N1152" s="270"/>
      <c r="O1152" s="111"/>
      <c r="P1152" s="111"/>
      <c r="Q1152" s="128"/>
      <c r="R1152" s="124"/>
      <c r="S1152" s="125"/>
      <c r="T1152" s="126"/>
      <c r="U1152" s="126"/>
      <c r="V1152" s="126"/>
      <c r="W1152" s="126"/>
      <c r="X1152" s="126"/>
      <c r="Y1152" s="126"/>
      <c r="Z1152" s="127"/>
      <c r="AA1152" s="127"/>
      <c r="AB1152" s="127"/>
      <c r="AC1152" s="127"/>
      <c r="AD1152" s="261"/>
      <c r="AE1152" s="261"/>
      <c r="AF1152" s="261"/>
      <c r="AG1152" s="261"/>
    </row>
    <row r="1153" ht="34.5" hidden="1" customHeight="1">
      <c r="A1153" s="111"/>
      <c r="B1153" s="127"/>
      <c r="C1153" s="111"/>
      <c r="D1153" s="111"/>
      <c r="E1153" s="111"/>
      <c r="F1153" s="111"/>
      <c r="G1153" s="111"/>
      <c r="H1153" s="111"/>
      <c r="I1153" s="127"/>
      <c r="J1153" s="111"/>
      <c r="K1153" s="257"/>
      <c r="L1153" s="111"/>
      <c r="M1153" s="127"/>
      <c r="N1153" s="270"/>
      <c r="O1153" s="111"/>
      <c r="P1153" s="111"/>
      <c r="Q1153" s="128"/>
      <c r="R1153" s="124"/>
      <c r="S1153" s="125"/>
      <c r="T1153" s="126"/>
      <c r="U1153" s="126"/>
      <c r="V1153" s="126"/>
      <c r="W1153" s="126"/>
      <c r="X1153" s="126"/>
      <c r="Y1153" s="126"/>
      <c r="Z1153" s="127"/>
      <c r="AA1153" s="127"/>
      <c r="AB1153" s="127"/>
      <c r="AC1153" s="127"/>
      <c r="AD1153" s="261"/>
      <c r="AE1153" s="261"/>
      <c r="AF1153" s="261"/>
      <c r="AG1153" s="261"/>
    </row>
    <row r="1154" ht="34.5" hidden="1" customHeight="1">
      <c r="A1154" s="111"/>
      <c r="B1154" s="127"/>
      <c r="C1154" s="111"/>
      <c r="D1154" s="111"/>
      <c r="E1154" s="111"/>
      <c r="F1154" s="111"/>
      <c r="G1154" s="111"/>
      <c r="H1154" s="111"/>
      <c r="I1154" s="127"/>
      <c r="J1154" s="111"/>
      <c r="K1154" s="257"/>
      <c r="L1154" s="111"/>
      <c r="M1154" s="127"/>
      <c r="N1154" s="270"/>
      <c r="O1154" s="111"/>
      <c r="P1154" s="111"/>
      <c r="Q1154" s="128"/>
      <c r="R1154" s="124"/>
      <c r="S1154" s="125"/>
      <c r="T1154" s="126"/>
      <c r="U1154" s="126"/>
      <c r="V1154" s="126"/>
      <c r="W1154" s="126"/>
      <c r="X1154" s="126"/>
      <c r="Y1154" s="126"/>
      <c r="Z1154" s="127"/>
      <c r="AA1154" s="127"/>
      <c r="AB1154" s="127"/>
      <c r="AC1154" s="127"/>
      <c r="AD1154" s="261"/>
      <c r="AE1154" s="261"/>
      <c r="AF1154" s="261"/>
      <c r="AG1154" s="261"/>
    </row>
    <row r="1155" ht="34.5" hidden="1" customHeight="1">
      <c r="A1155" s="111"/>
      <c r="B1155" s="127"/>
      <c r="C1155" s="111"/>
      <c r="D1155" s="111"/>
      <c r="E1155" s="111"/>
      <c r="F1155" s="111"/>
      <c r="G1155" s="111"/>
      <c r="H1155" s="111"/>
      <c r="I1155" s="127"/>
      <c r="J1155" s="111"/>
      <c r="K1155" s="257"/>
      <c r="L1155" s="111"/>
      <c r="M1155" s="127"/>
      <c r="N1155" s="270"/>
      <c r="O1155" s="111"/>
      <c r="P1155" s="111"/>
      <c r="Q1155" s="128"/>
      <c r="R1155" s="124"/>
      <c r="S1155" s="125"/>
      <c r="T1155" s="126"/>
      <c r="U1155" s="126"/>
      <c r="V1155" s="126"/>
      <c r="W1155" s="126"/>
      <c r="X1155" s="126"/>
      <c r="Y1155" s="126"/>
      <c r="Z1155" s="127"/>
      <c r="AA1155" s="127"/>
      <c r="AB1155" s="127"/>
      <c r="AC1155" s="127"/>
      <c r="AD1155" s="261"/>
      <c r="AE1155" s="261"/>
      <c r="AF1155" s="261"/>
      <c r="AG1155" s="261"/>
    </row>
    <row r="1156" ht="34.5" hidden="1" customHeight="1">
      <c r="A1156" s="111"/>
      <c r="B1156" s="127"/>
      <c r="C1156" s="111"/>
      <c r="D1156" s="111"/>
      <c r="E1156" s="111"/>
      <c r="F1156" s="111"/>
      <c r="G1156" s="111"/>
      <c r="H1156" s="111"/>
      <c r="I1156" s="127"/>
      <c r="J1156" s="111"/>
      <c r="K1156" s="257"/>
      <c r="L1156" s="111"/>
      <c r="M1156" s="127"/>
      <c r="N1156" s="270"/>
      <c r="O1156" s="111"/>
      <c r="P1156" s="111"/>
      <c r="Q1156" s="128"/>
      <c r="R1156" s="124"/>
      <c r="S1156" s="125"/>
      <c r="T1156" s="126"/>
      <c r="U1156" s="126"/>
      <c r="V1156" s="126"/>
      <c r="W1156" s="126"/>
      <c r="X1156" s="126"/>
      <c r="Y1156" s="126"/>
      <c r="Z1156" s="127"/>
      <c r="AA1156" s="127"/>
      <c r="AB1156" s="127"/>
      <c r="AC1156" s="127"/>
      <c r="AD1156" s="261"/>
      <c r="AE1156" s="261"/>
      <c r="AF1156" s="261"/>
      <c r="AG1156" s="261"/>
    </row>
    <row r="1157" ht="34.5" hidden="1" customHeight="1">
      <c r="A1157" s="111"/>
      <c r="B1157" s="127"/>
      <c r="C1157" s="111"/>
      <c r="D1157" s="111"/>
      <c r="E1157" s="111"/>
      <c r="F1157" s="111"/>
      <c r="G1157" s="111"/>
      <c r="H1157" s="111"/>
      <c r="I1157" s="127"/>
      <c r="J1157" s="111"/>
      <c r="K1157" s="257"/>
      <c r="L1157" s="111"/>
      <c r="M1157" s="127"/>
      <c r="N1157" s="270"/>
      <c r="O1157" s="111"/>
      <c r="P1157" s="111"/>
      <c r="Q1157" s="128"/>
      <c r="R1157" s="124"/>
      <c r="S1157" s="125"/>
      <c r="T1157" s="126"/>
      <c r="U1157" s="126"/>
      <c r="V1157" s="126"/>
      <c r="W1157" s="126"/>
      <c r="X1157" s="126"/>
      <c r="Y1157" s="126"/>
      <c r="Z1157" s="127"/>
      <c r="AA1157" s="127"/>
      <c r="AB1157" s="127"/>
      <c r="AC1157" s="127"/>
      <c r="AD1157" s="261"/>
      <c r="AE1157" s="261"/>
      <c r="AF1157" s="261"/>
      <c r="AG1157" s="261"/>
    </row>
    <row r="1158" ht="34.5" hidden="1" customHeight="1">
      <c r="A1158" s="111"/>
      <c r="B1158" s="127"/>
      <c r="C1158" s="111"/>
      <c r="D1158" s="111"/>
      <c r="E1158" s="111"/>
      <c r="F1158" s="111"/>
      <c r="G1158" s="111"/>
      <c r="H1158" s="111"/>
      <c r="I1158" s="127"/>
      <c r="J1158" s="111"/>
      <c r="K1158" s="257"/>
      <c r="L1158" s="111"/>
      <c r="M1158" s="127"/>
      <c r="N1158" s="270"/>
      <c r="O1158" s="111"/>
      <c r="P1158" s="111"/>
      <c r="Q1158" s="128"/>
      <c r="R1158" s="124"/>
      <c r="S1158" s="125"/>
      <c r="T1158" s="126"/>
      <c r="U1158" s="126"/>
      <c r="V1158" s="126"/>
      <c r="W1158" s="126"/>
      <c r="X1158" s="126"/>
      <c r="Y1158" s="126"/>
      <c r="Z1158" s="127"/>
      <c r="AA1158" s="127"/>
      <c r="AB1158" s="127"/>
      <c r="AC1158" s="127"/>
      <c r="AD1158" s="261"/>
      <c r="AE1158" s="261"/>
      <c r="AF1158" s="261"/>
      <c r="AG1158" s="261"/>
    </row>
    <row r="1159" ht="34.5" hidden="1" customHeight="1">
      <c r="A1159" s="111"/>
      <c r="B1159" s="127"/>
      <c r="C1159" s="111"/>
      <c r="D1159" s="111"/>
      <c r="E1159" s="111"/>
      <c r="F1159" s="111"/>
      <c r="G1159" s="111"/>
      <c r="H1159" s="111"/>
      <c r="I1159" s="127"/>
      <c r="J1159" s="111"/>
      <c r="K1159" s="257"/>
      <c r="L1159" s="111"/>
      <c r="M1159" s="127"/>
      <c r="N1159" s="270"/>
      <c r="O1159" s="111"/>
      <c r="P1159" s="111"/>
      <c r="Q1159" s="128"/>
      <c r="R1159" s="124"/>
      <c r="S1159" s="125"/>
      <c r="T1159" s="126"/>
      <c r="U1159" s="126"/>
      <c r="V1159" s="126"/>
      <c r="W1159" s="126"/>
      <c r="X1159" s="126"/>
      <c r="Y1159" s="126"/>
      <c r="Z1159" s="127"/>
      <c r="AA1159" s="127"/>
      <c r="AB1159" s="127"/>
      <c r="AC1159" s="127"/>
      <c r="AD1159" s="261"/>
      <c r="AE1159" s="261"/>
      <c r="AF1159" s="261"/>
      <c r="AG1159" s="261"/>
    </row>
    <row r="1160" ht="34.5" hidden="1" customHeight="1">
      <c r="A1160" s="111"/>
      <c r="B1160" s="127"/>
      <c r="C1160" s="111"/>
      <c r="D1160" s="111"/>
      <c r="E1160" s="111"/>
      <c r="F1160" s="111"/>
      <c r="G1160" s="111"/>
      <c r="H1160" s="111"/>
      <c r="I1160" s="127"/>
      <c r="J1160" s="111"/>
      <c r="K1160" s="257"/>
      <c r="L1160" s="111"/>
      <c r="M1160" s="127"/>
      <c r="N1160" s="270"/>
      <c r="O1160" s="111"/>
      <c r="P1160" s="111"/>
      <c r="Q1160" s="128"/>
      <c r="R1160" s="124"/>
      <c r="S1160" s="125"/>
      <c r="T1160" s="126"/>
      <c r="U1160" s="126"/>
      <c r="V1160" s="126"/>
      <c r="W1160" s="126"/>
      <c r="X1160" s="126"/>
      <c r="Y1160" s="126"/>
      <c r="Z1160" s="127"/>
      <c r="AA1160" s="127"/>
      <c r="AB1160" s="127"/>
      <c r="AC1160" s="127"/>
      <c r="AD1160" s="261"/>
      <c r="AE1160" s="261"/>
      <c r="AF1160" s="261"/>
      <c r="AG1160" s="261"/>
    </row>
    <row r="1161" ht="34.5" hidden="1" customHeight="1">
      <c r="A1161" s="111"/>
      <c r="B1161" s="127"/>
      <c r="C1161" s="111"/>
      <c r="D1161" s="111"/>
      <c r="E1161" s="111"/>
      <c r="F1161" s="111"/>
      <c r="G1161" s="111"/>
      <c r="H1161" s="111"/>
      <c r="I1161" s="127"/>
      <c r="J1161" s="111"/>
      <c r="K1161" s="257"/>
      <c r="L1161" s="111"/>
      <c r="M1161" s="127"/>
      <c r="N1161" s="270"/>
      <c r="O1161" s="111"/>
      <c r="P1161" s="111"/>
      <c r="Q1161" s="128"/>
      <c r="R1161" s="124"/>
      <c r="S1161" s="125"/>
      <c r="T1161" s="126"/>
      <c r="U1161" s="126"/>
      <c r="V1161" s="126"/>
      <c r="W1161" s="126"/>
      <c r="X1161" s="126"/>
      <c r="Y1161" s="126"/>
      <c r="Z1161" s="127"/>
      <c r="AA1161" s="127"/>
      <c r="AB1161" s="127"/>
      <c r="AC1161" s="127"/>
      <c r="AD1161" s="261"/>
      <c r="AE1161" s="261"/>
      <c r="AF1161" s="261"/>
      <c r="AG1161" s="261"/>
    </row>
    <row r="1162" ht="34.5" hidden="1" customHeight="1">
      <c r="A1162" s="111"/>
      <c r="B1162" s="127"/>
      <c r="C1162" s="111"/>
      <c r="D1162" s="111"/>
      <c r="E1162" s="111"/>
      <c r="F1162" s="111"/>
      <c r="G1162" s="111"/>
      <c r="H1162" s="111"/>
      <c r="I1162" s="127"/>
      <c r="J1162" s="111"/>
      <c r="K1162" s="257"/>
      <c r="L1162" s="111"/>
      <c r="M1162" s="127"/>
      <c r="N1162" s="270"/>
      <c r="O1162" s="111"/>
      <c r="P1162" s="111"/>
      <c r="Q1162" s="128"/>
      <c r="R1162" s="124"/>
      <c r="S1162" s="125"/>
      <c r="T1162" s="126"/>
      <c r="U1162" s="126"/>
      <c r="V1162" s="126"/>
      <c r="W1162" s="126"/>
      <c r="X1162" s="126"/>
      <c r="Y1162" s="126"/>
      <c r="Z1162" s="127"/>
      <c r="AA1162" s="127"/>
      <c r="AB1162" s="127"/>
      <c r="AC1162" s="127"/>
      <c r="AD1162" s="261"/>
      <c r="AE1162" s="261"/>
      <c r="AF1162" s="261"/>
      <c r="AG1162" s="261"/>
    </row>
    <row r="1163" ht="34.5" hidden="1" customHeight="1">
      <c r="A1163" s="111"/>
      <c r="B1163" s="127"/>
      <c r="C1163" s="111"/>
      <c r="D1163" s="111"/>
      <c r="E1163" s="111"/>
      <c r="F1163" s="111"/>
      <c r="G1163" s="111"/>
      <c r="H1163" s="111"/>
      <c r="I1163" s="127"/>
      <c r="J1163" s="111"/>
      <c r="K1163" s="257"/>
      <c r="L1163" s="111"/>
      <c r="M1163" s="127"/>
      <c r="N1163" s="270"/>
      <c r="O1163" s="111"/>
      <c r="P1163" s="111"/>
      <c r="Q1163" s="128"/>
      <c r="R1163" s="124"/>
      <c r="S1163" s="125"/>
      <c r="T1163" s="126"/>
      <c r="U1163" s="126"/>
      <c r="V1163" s="126"/>
      <c r="W1163" s="126"/>
      <c r="X1163" s="126"/>
      <c r="Y1163" s="126"/>
      <c r="Z1163" s="127"/>
      <c r="AA1163" s="127"/>
      <c r="AB1163" s="127"/>
      <c r="AC1163" s="127"/>
      <c r="AD1163" s="261"/>
      <c r="AE1163" s="261"/>
      <c r="AF1163" s="261"/>
      <c r="AG1163" s="261"/>
    </row>
    <row r="1164" ht="34.5" hidden="1" customHeight="1">
      <c r="A1164" s="111"/>
      <c r="B1164" s="127"/>
      <c r="C1164" s="111"/>
      <c r="D1164" s="111"/>
      <c r="E1164" s="111"/>
      <c r="F1164" s="111"/>
      <c r="G1164" s="111"/>
      <c r="H1164" s="111"/>
      <c r="I1164" s="127"/>
      <c r="J1164" s="111"/>
      <c r="K1164" s="257"/>
      <c r="L1164" s="111"/>
      <c r="M1164" s="127"/>
      <c r="N1164" s="270"/>
      <c r="O1164" s="111"/>
      <c r="P1164" s="111"/>
      <c r="Q1164" s="128"/>
      <c r="R1164" s="124"/>
      <c r="S1164" s="125"/>
      <c r="T1164" s="126"/>
      <c r="U1164" s="126"/>
      <c r="V1164" s="126"/>
      <c r="W1164" s="126"/>
      <c r="X1164" s="126"/>
      <c r="Y1164" s="126"/>
      <c r="Z1164" s="127"/>
      <c r="AA1164" s="127"/>
      <c r="AB1164" s="127"/>
      <c r="AC1164" s="127"/>
      <c r="AD1164" s="261"/>
      <c r="AE1164" s="261"/>
      <c r="AF1164" s="261"/>
      <c r="AG1164" s="261"/>
    </row>
    <row r="1165" ht="34.5" hidden="1" customHeight="1">
      <c r="A1165" s="111"/>
      <c r="B1165" s="127"/>
      <c r="C1165" s="111"/>
      <c r="D1165" s="111"/>
      <c r="E1165" s="111"/>
      <c r="F1165" s="111"/>
      <c r="G1165" s="111"/>
      <c r="H1165" s="111"/>
      <c r="I1165" s="127"/>
      <c r="J1165" s="111"/>
      <c r="K1165" s="257"/>
      <c r="L1165" s="111"/>
      <c r="M1165" s="127"/>
      <c r="N1165" s="270"/>
      <c r="O1165" s="111"/>
      <c r="P1165" s="111"/>
      <c r="Q1165" s="128"/>
      <c r="R1165" s="124"/>
      <c r="S1165" s="125"/>
      <c r="T1165" s="126"/>
      <c r="U1165" s="126"/>
      <c r="V1165" s="126"/>
      <c r="W1165" s="126"/>
      <c r="X1165" s="126"/>
      <c r="Y1165" s="126"/>
      <c r="Z1165" s="127"/>
      <c r="AA1165" s="127"/>
      <c r="AB1165" s="127"/>
      <c r="AC1165" s="127"/>
      <c r="AD1165" s="261"/>
      <c r="AE1165" s="261"/>
      <c r="AF1165" s="261"/>
      <c r="AG1165" s="261"/>
    </row>
    <row r="1166" ht="34.5" hidden="1" customHeight="1">
      <c r="A1166" s="111"/>
      <c r="B1166" s="127"/>
      <c r="C1166" s="111"/>
      <c r="D1166" s="111"/>
      <c r="E1166" s="111"/>
      <c r="F1166" s="111"/>
      <c r="G1166" s="111"/>
      <c r="H1166" s="111"/>
      <c r="I1166" s="127"/>
      <c r="J1166" s="111"/>
      <c r="K1166" s="257"/>
      <c r="L1166" s="111"/>
      <c r="M1166" s="127"/>
      <c r="N1166" s="270"/>
      <c r="O1166" s="111"/>
      <c r="P1166" s="111"/>
      <c r="Q1166" s="128"/>
      <c r="R1166" s="124"/>
      <c r="S1166" s="125"/>
      <c r="T1166" s="126"/>
      <c r="U1166" s="126"/>
      <c r="V1166" s="126"/>
      <c r="W1166" s="126"/>
      <c r="X1166" s="126"/>
      <c r="Y1166" s="126"/>
      <c r="Z1166" s="127"/>
      <c r="AA1166" s="127"/>
      <c r="AB1166" s="127"/>
      <c r="AC1166" s="127"/>
      <c r="AD1166" s="261"/>
      <c r="AE1166" s="261"/>
      <c r="AF1166" s="261"/>
      <c r="AG1166" s="261"/>
    </row>
    <row r="1167" ht="34.5" hidden="1" customHeight="1">
      <c r="A1167" s="111"/>
      <c r="B1167" s="127"/>
      <c r="C1167" s="111"/>
      <c r="D1167" s="111"/>
      <c r="E1167" s="111"/>
      <c r="F1167" s="111"/>
      <c r="G1167" s="111"/>
      <c r="H1167" s="111"/>
      <c r="I1167" s="127"/>
      <c r="J1167" s="111"/>
      <c r="K1167" s="257"/>
      <c r="L1167" s="111"/>
      <c r="M1167" s="127"/>
      <c r="N1167" s="270"/>
      <c r="O1167" s="111"/>
      <c r="P1167" s="111"/>
      <c r="Q1167" s="128"/>
      <c r="R1167" s="124"/>
      <c r="S1167" s="125"/>
      <c r="T1167" s="126"/>
      <c r="U1167" s="126"/>
      <c r="V1167" s="126"/>
      <c r="W1167" s="126"/>
      <c r="X1167" s="126"/>
      <c r="Y1167" s="126"/>
      <c r="Z1167" s="127"/>
      <c r="AA1167" s="127"/>
      <c r="AB1167" s="127"/>
      <c r="AC1167" s="127"/>
      <c r="AD1167" s="261"/>
      <c r="AE1167" s="261"/>
      <c r="AF1167" s="261"/>
      <c r="AG1167" s="261"/>
    </row>
    <row r="1168" ht="34.5" hidden="1" customHeight="1">
      <c r="A1168" s="111"/>
      <c r="B1168" s="127"/>
      <c r="C1168" s="111"/>
      <c r="D1168" s="111"/>
      <c r="E1168" s="111"/>
      <c r="F1168" s="111"/>
      <c r="G1168" s="111"/>
      <c r="H1168" s="111"/>
      <c r="I1168" s="127"/>
      <c r="J1168" s="111"/>
      <c r="K1168" s="257"/>
      <c r="L1168" s="111"/>
      <c r="M1168" s="127"/>
      <c r="N1168" s="270"/>
      <c r="O1168" s="111"/>
      <c r="P1168" s="111"/>
      <c r="Q1168" s="128"/>
      <c r="R1168" s="124"/>
      <c r="S1168" s="125"/>
      <c r="T1168" s="126"/>
      <c r="U1168" s="126"/>
      <c r="V1168" s="126"/>
      <c r="W1168" s="126"/>
      <c r="X1168" s="126"/>
      <c r="Y1168" s="126"/>
      <c r="Z1168" s="127"/>
      <c r="AA1168" s="127"/>
      <c r="AB1168" s="127"/>
      <c r="AC1168" s="127"/>
      <c r="AD1168" s="261"/>
      <c r="AE1168" s="261"/>
      <c r="AF1168" s="261"/>
      <c r="AG1168" s="261"/>
    </row>
    <row r="1169" ht="34.5" hidden="1" customHeight="1">
      <c r="A1169" s="111"/>
      <c r="B1169" s="127"/>
      <c r="C1169" s="111"/>
      <c r="D1169" s="111"/>
      <c r="E1169" s="111"/>
      <c r="F1169" s="111"/>
      <c r="G1169" s="111"/>
      <c r="H1169" s="111"/>
      <c r="I1169" s="127"/>
      <c r="J1169" s="111"/>
      <c r="K1169" s="257"/>
      <c r="L1169" s="111"/>
      <c r="M1169" s="127"/>
      <c r="N1169" s="270"/>
      <c r="O1169" s="111"/>
      <c r="P1169" s="111"/>
      <c r="Q1169" s="128"/>
      <c r="R1169" s="124"/>
      <c r="S1169" s="125"/>
      <c r="T1169" s="126"/>
      <c r="U1169" s="126"/>
      <c r="V1169" s="126"/>
      <c r="W1169" s="126"/>
      <c r="X1169" s="126"/>
      <c r="Y1169" s="126"/>
      <c r="Z1169" s="127"/>
      <c r="AA1169" s="127"/>
      <c r="AB1169" s="127"/>
      <c r="AC1169" s="127"/>
      <c r="AD1169" s="261"/>
      <c r="AE1169" s="261"/>
      <c r="AF1169" s="261"/>
      <c r="AG1169" s="261"/>
    </row>
    <row r="1170" ht="34.5" hidden="1" customHeight="1">
      <c r="A1170" s="111"/>
      <c r="B1170" s="127"/>
      <c r="C1170" s="111"/>
      <c r="D1170" s="111"/>
      <c r="E1170" s="111"/>
      <c r="F1170" s="111"/>
      <c r="G1170" s="111"/>
      <c r="H1170" s="111"/>
      <c r="I1170" s="127"/>
      <c r="J1170" s="111"/>
      <c r="K1170" s="257"/>
      <c r="L1170" s="111"/>
      <c r="M1170" s="127"/>
      <c r="N1170" s="270"/>
      <c r="O1170" s="111"/>
      <c r="P1170" s="111"/>
      <c r="Q1170" s="128"/>
      <c r="R1170" s="124"/>
      <c r="S1170" s="125"/>
      <c r="T1170" s="126"/>
      <c r="U1170" s="126"/>
      <c r="V1170" s="126"/>
      <c r="W1170" s="126"/>
      <c r="X1170" s="126"/>
      <c r="Y1170" s="126"/>
      <c r="Z1170" s="127"/>
      <c r="AA1170" s="127"/>
      <c r="AB1170" s="127"/>
      <c r="AC1170" s="127"/>
      <c r="AD1170" s="261"/>
      <c r="AE1170" s="261"/>
      <c r="AF1170" s="261"/>
      <c r="AG1170" s="261"/>
    </row>
    <row r="1171" ht="34.5" hidden="1" customHeight="1">
      <c r="A1171" s="111"/>
      <c r="B1171" s="127"/>
      <c r="C1171" s="111"/>
      <c r="D1171" s="111"/>
      <c r="E1171" s="111"/>
      <c r="F1171" s="111"/>
      <c r="G1171" s="111"/>
      <c r="H1171" s="111"/>
      <c r="I1171" s="127"/>
      <c r="J1171" s="111"/>
      <c r="K1171" s="257"/>
      <c r="L1171" s="111"/>
      <c r="M1171" s="127"/>
      <c r="N1171" s="270"/>
      <c r="O1171" s="111"/>
      <c r="P1171" s="111"/>
      <c r="Q1171" s="128"/>
      <c r="R1171" s="124"/>
      <c r="S1171" s="125"/>
      <c r="T1171" s="126"/>
      <c r="U1171" s="126"/>
      <c r="V1171" s="126"/>
      <c r="W1171" s="126"/>
      <c r="X1171" s="126"/>
      <c r="Y1171" s="126"/>
      <c r="Z1171" s="127"/>
      <c r="AA1171" s="127"/>
      <c r="AB1171" s="127"/>
      <c r="AC1171" s="127"/>
      <c r="AD1171" s="261"/>
      <c r="AE1171" s="261"/>
      <c r="AF1171" s="261"/>
      <c r="AG1171" s="261"/>
    </row>
    <row r="1172" ht="34.5" hidden="1" customHeight="1">
      <c r="A1172" s="111"/>
      <c r="B1172" s="127"/>
      <c r="C1172" s="111"/>
      <c r="D1172" s="111"/>
      <c r="E1172" s="111"/>
      <c r="F1172" s="111"/>
      <c r="G1172" s="111"/>
      <c r="H1172" s="111"/>
      <c r="I1172" s="127"/>
      <c r="J1172" s="111"/>
      <c r="K1172" s="257"/>
      <c r="L1172" s="111"/>
      <c r="M1172" s="127"/>
      <c r="N1172" s="270"/>
      <c r="O1172" s="111"/>
      <c r="P1172" s="111"/>
      <c r="Q1172" s="128"/>
      <c r="R1172" s="124"/>
      <c r="S1172" s="125"/>
      <c r="T1172" s="126"/>
      <c r="U1172" s="126"/>
      <c r="V1172" s="126"/>
      <c r="W1172" s="126"/>
      <c r="X1172" s="126"/>
      <c r="Y1172" s="126"/>
      <c r="Z1172" s="127"/>
      <c r="AA1172" s="127"/>
      <c r="AB1172" s="127"/>
      <c r="AC1172" s="127"/>
      <c r="AD1172" s="261"/>
      <c r="AE1172" s="261"/>
      <c r="AF1172" s="261"/>
      <c r="AG1172" s="261"/>
    </row>
    <row r="1173" ht="34.5" hidden="1" customHeight="1">
      <c r="A1173" s="111"/>
      <c r="B1173" s="127"/>
      <c r="C1173" s="111"/>
      <c r="D1173" s="111"/>
      <c r="E1173" s="111"/>
      <c r="F1173" s="111"/>
      <c r="G1173" s="111"/>
      <c r="H1173" s="111"/>
      <c r="I1173" s="127"/>
      <c r="J1173" s="111"/>
      <c r="K1173" s="257"/>
      <c r="L1173" s="111"/>
      <c r="M1173" s="127"/>
      <c r="N1173" s="270"/>
      <c r="O1173" s="111"/>
      <c r="P1173" s="111"/>
      <c r="Q1173" s="128"/>
      <c r="R1173" s="124"/>
      <c r="S1173" s="125"/>
      <c r="T1173" s="126"/>
      <c r="U1173" s="126"/>
      <c r="V1173" s="126"/>
      <c r="W1173" s="126"/>
      <c r="X1173" s="126"/>
      <c r="Y1173" s="126"/>
      <c r="Z1173" s="127"/>
      <c r="AA1173" s="127"/>
      <c r="AB1173" s="127"/>
      <c r="AC1173" s="127"/>
      <c r="AD1173" s="261"/>
      <c r="AE1173" s="261"/>
      <c r="AF1173" s="261"/>
      <c r="AG1173" s="261"/>
    </row>
    <row r="1174" ht="34.5" hidden="1" customHeight="1">
      <c r="A1174" s="111"/>
      <c r="B1174" s="127"/>
      <c r="C1174" s="111"/>
      <c r="D1174" s="111"/>
      <c r="E1174" s="111"/>
      <c r="F1174" s="111"/>
      <c r="G1174" s="111"/>
      <c r="H1174" s="111"/>
      <c r="I1174" s="127"/>
      <c r="J1174" s="111"/>
      <c r="K1174" s="257"/>
      <c r="L1174" s="111"/>
      <c r="M1174" s="127"/>
      <c r="N1174" s="270"/>
      <c r="O1174" s="111"/>
      <c r="P1174" s="111"/>
      <c r="Q1174" s="128"/>
      <c r="R1174" s="124"/>
      <c r="S1174" s="125"/>
      <c r="T1174" s="126"/>
      <c r="U1174" s="126"/>
      <c r="V1174" s="126"/>
      <c r="W1174" s="126"/>
      <c r="X1174" s="126"/>
      <c r="Y1174" s="126"/>
      <c r="Z1174" s="127"/>
      <c r="AA1174" s="127"/>
      <c r="AB1174" s="127"/>
      <c r="AC1174" s="127"/>
      <c r="AD1174" s="261"/>
      <c r="AE1174" s="261"/>
      <c r="AF1174" s="261"/>
      <c r="AG1174" s="261"/>
    </row>
    <row r="1175" ht="34.5" hidden="1" customHeight="1">
      <c r="A1175" s="111"/>
      <c r="B1175" s="127"/>
      <c r="C1175" s="111"/>
      <c r="D1175" s="111"/>
      <c r="E1175" s="111"/>
      <c r="F1175" s="111"/>
      <c r="G1175" s="111"/>
      <c r="H1175" s="111"/>
      <c r="I1175" s="127"/>
      <c r="J1175" s="111"/>
      <c r="K1175" s="257"/>
      <c r="L1175" s="111"/>
      <c r="M1175" s="127"/>
      <c r="N1175" s="270"/>
      <c r="O1175" s="111"/>
      <c r="P1175" s="111"/>
      <c r="Q1175" s="128"/>
      <c r="R1175" s="124"/>
      <c r="S1175" s="125"/>
      <c r="T1175" s="126"/>
      <c r="U1175" s="126"/>
      <c r="V1175" s="126"/>
      <c r="W1175" s="126"/>
      <c r="X1175" s="126"/>
      <c r="Y1175" s="126"/>
      <c r="Z1175" s="127"/>
      <c r="AA1175" s="127"/>
      <c r="AB1175" s="127"/>
      <c r="AC1175" s="127"/>
      <c r="AD1175" s="261"/>
      <c r="AE1175" s="261"/>
      <c r="AF1175" s="261"/>
      <c r="AG1175" s="261"/>
    </row>
    <row r="1176" ht="34.5" hidden="1" customHeight="1">
      <c r="A1176" s="111"/>
      <c r="B1176" s="127"/>
      <c r="C1176" s="111"/>
      <c r="D1176" s="111"/>
      <c r="E1176" s="111"/>
      <c r="F1176" s="111"/>
      <c r="G1176" s="111"/>
      <c r="H1176" s="111"/>
      <c r="I1176" s="127"/>
      <c r="J1176" s="111"/>
      <c r="K1176" s="257"/>
      <c r="L1176" s="111"/>
      <c r="M1176" s="127"/>
      <c r="N1176" s="270"/>
      <c r="O1176" s="111"/>
      <c r="P1176" s="111"/>
      <c r="Q1176" s="128"/>
      <c r="R1176" s="124"/>
      <c r="S1176" s="125"/>
      <c r="T1176" s="126"/>
      <c r="U1176" s="126"/>
      <c r="V1176" s="126"/>
      <c r="W1176" s="126"/>
      <c r="X1176" s="126"/>
      <c r="Y1176" s="126"/>
      <c r="Z1176" s="127"/>
      <c r="AA1176" s="127"/>
      <c r="AB1176" s="127"/>
      <c r="AC1176" s="127"/>
      <c r="AD1176" s="261"/>
      <c r="AE1176" s="261"/>
      <c r="AF1176" s="261"/>
      <c r="AG1176" s="261"/>
    </row>
    <row r="1177" ht="34.5" hidden="1" customHeight="1">
      <c r="A1177" s="111"/>
      <c r="B1177" s="127"/>
      <c r="C1177" s="111"/>
      <c r="D1177" s="111"/>
      <c r="E1177" s="111"/>
      <c r="F1177" s="111"/>
      <c r="G1177" s="111"/>
      <c r="H1177" s="111"/>
      <c r="I1177" s="127"/>
      <c r="J1177" s="111"/>
      <c r="K1177" s="257"/>
      <c r="L1177" s="111"/>
      <c r="M1177" s="127"/>
      <c r="N1177" s="270"/>
      <c r="O1177" s="111"/>
      <c r="P1177" s="111"/>
      <c r="Q1177" s="128"/>
      <c r="R1177" s="124"/>
      <c r="S1177" s="125"/>
      <c r="T1177" s="126"/>
      <c r="U1177" s="126"/>
      <c r="V1177" s="126"/>
      <c r="W1177" s="126"/>
      <c r="X1177" s="126"/>
      <c r="Y1177" s="126"/>
      <c r="Z1177" s="127"/>
      <c r="AA1177" s="127"/>
      <c r="AB1177" s="127"/>
      <c r="AC1177" s="127"/>
      <c r="AD1177" s="261"/>
      <c r="AE1177" s="261"/>
      <c r="AF1177" s="261"/>
      <c r="AG1177" s="261"/>
    </row>
    <row r="1178" ht="34.5" hidden="1" customHeight="1">
      <c r="A1178" s="111"/>
      <c r="B1178" s="127"/>
      <c r="C1178" s="111"/>
      <c r="D1178" s="111"/>
      <c r="E1178" s="111"/>
      <c r="F1178" s="111"/>
      <c r="G1178" s="111"/>
      <c r="H1178" s="111"/>
      <c r="I1178" s="127"/>
      <c r="J1178" s="111"/>
      <c r="K1178" s="257"/>
      <c r="L1178" s="111"/>
      <c r="M1178" s="127"/>
      <c r="N1178" s="270"/>
      <c r="O1178" s="111"/>
      <c r="P1178" s="111"/>
      <c r="Q1178" s="128"/>
      <c r="R1178" s="124"/>
      <c r="S1178" s="125"/>
      <c r="T1178" s="126"/>
      <c r="U1178" s="126"/>
      <c r="V1178" s="126"/>
      <c r="W1178" s="126"/>
      <c r="X1178" s="126"/>
      <c r="Y1178" s="126"/>
      <c r="Z1178" s="127"/>
      <c r="AA1178" s="127"/>
      <c r="AB1178" s="127"/>
      <c r="AC1178" s="127"/>
      <c r="AD1178" s="261"/>
      <c r="AE1178" s="261"/>
      <c r="AF1178" s="261"/>
      <c r="AG1178" s="261"/>
    </row>
    <row r="1179" ht="34.5" hidden="1" customHeight="1">
      <c r="A1179" s="111"/>
      <c r="B1179" s="127"/>
      <c r="C1179" s="111"/>
      <c r="D1179" s="111"/>
      <c r="E1179" s="111"/>
      <c r="F1179" s="111"/>
      <c r="G1179" s="111"/>
      <c r="H1179" s="111"/>
      <c r="I1179" s="127"/>
      <c r="J1179" s="111"/>
      <c r="K1179" s="257"/>
      <c r="L1179" s="111"/>
      <c r="M1179" s="127"/>
      <c r="N1179" s="270"/>
      <c r="O1179" s="111"/>
      <c r="P1179" s="111"/>
      <c r="Q1179" s="128"/>
      <c r="R1179" s="124"/>
      <c r="S1179" s="125"/>
      <c r="T1179" s="126"/>
      <c r="U1179" s="126"/>
      <c r="V1179" s="126"/>
      <c r="W1179" s="126"/>
      <c r="X1179" s="126"/>
      <c r="Y1179" s="126"/>
      <c r="Z1179" s="127"/>
      <c r="AA1179" s="127"/>
      <c r="AB1179" s="127"/>
      <c r="AC1179" s="127"/>
      <c r="AD1179" s="261"/>
      <c r="AE1179" s="261"/>
      <c r="AF1179" s="261"/>
      <c r="AG1179" s="261"/>
    </row>
    <row r="1180" ht="34.5" hidden="1" customHeight="1">
      <c r="A1180" s="111"/>
      <c r="B1180" s="127"/>
      <c r="C1180" s="111"/>
      <c r="D1180" s="111"/>
      <c r="E1180" s="111"/>
      <c r="F1180" s="111"/>
      <c r="G1180" s="111"/>
      <c r="H1180" s="111"/>
      <c r="I1180" s="127"/>
      <c r="J1180" s="111"/>
      <c r="K1180" s="257"/>
      <c r="L1180" s="111"/>
      <c r="M1180" s="127"/>
      <c r="N1180" s="270"/>
      <c r="O1180" s="111"/>
      <c r="P1180" s="111"/>
      <c r="Q1180" s="128"/>
      <c r="R1180" s="124"/>
      <c r="S1180" s="125"/>
      <c r="T1180" s="126"/>
      <c r="U1180" s="126"/>
      <c r="V1180" s="126"/>
      <c r="W1180" s="126"/>
      <c r="X1180" s="126"/>
      <c r="Y1180" s="126"/>
      <c r="Z1180" s="127"/>
      <c r="AA1180" s="127"/>
      <c r="AB1180" s="127"/>
      <c r="AC1180" s="127"/>
      <c r="AD1180" s="261"/>
      <c r="AE1180" s="261"/>
      <c r="AF1180" s="261"/>
      <c r="AG1180" s="261"/>
    </row>
    <row r="1181" ht="34.5" hidden="1" customHeight="1">
      <c r="A1181" s="111"/>
      <c r="B1181" s="127"/>
      <c r="C1181" s="111"/>
      <c r="D1181" s="111"/>
      <c r="E1181" s="111"/>
      <c r="F1181" s="111"/>
      <c r="G1181" s="111"/>
      <c r="H1181" s="111"/>
      <c r="I1181" s="127"/>
      <c r="J1181" s="111"/>
      <c r="K1181" s="257"/>
      <c r="L1181" s="111"/>
      <c r="M1181" s="127"/>
      <c r="N1181" s="270"/>
      <c r="O1181" s="111"/>
      <c r="P1181" s="111"/>
      <c r="Q1181" s="128"/>
      <c r="R1181" s="124"/>
      <c r="S1181" s="125"/>
      <c r="T1181" s="126"/>
      <c r="U1181" s="126"/>
      <c r="V1181" s="126"/>
      <c r="W1181" s="126"/>
      <c r="X1181" s="126"/>
      <c r="Y1181" s="126"/>
      <c r="Z1181" s="127"/>
      <c r="AA1181" s="127"/>
      <c r="AB1181" s="127"/>
      <c r="AC1181" s="127"/>
      <c r="AD1181" s="261"/>
      <c r="AE1181" s="261"/>
      <c r="AF1181" s="261"/>
      <c r="AG1181" s="261"/>
    </row>
    <row r="1182" ht="34.5" hidden="1" customHeight="1">
      <c r="A1182" s="111"/>
      <c r="B1182" s="127"/>
      <c r="C1182" s="111"/>
      <c r="D1182" s="111"/>
      <c r="E1182" s="111"/>
      <c r="F1182" s="111"/>
      <c r="G1182" s="111"/>
      <c r="H1182" s="111"/>
      <c r="I1182" s="127"/>
      <c r="J1182" s="111"/>
      <c r="K1182" s="257"/>
      <c r="L1182" s="111"/>
      <c r="M1182" s="127"/>
      <c r="N1182" s="270"/>
      <c r="O1182" s="111"/>
      <c r="P1182" s="111"/>
      <c r="Q1182" s="128"/>
      <c r="R1182" s="124"/>
      <c r="S1182" s="125"/>
      <c r="T1182" s="126"/>
      <c r="U1182" s="126"/>
      <c r="V1182" s="126"/>
      <c r="W1182" s="126"/>
      <c r="X1182" s="126"/>
      <c r="Y1182" s="126"/>
      <c r="Z1182" s="127"/>
      <c r="AA1182" s="127"/>
      <c r="AB1182" s="127"/>
      <c r="AC1182" s="127"/>
      <c r="AD1182" s="261"/>
      <c r="AE1182" s="261"/>
      <c r="AF1182" s="261"/>
      <c r="AG1182" s="261"/>
    </row>
    <row r="1183" ht="34.5" hidden="1" customHeight="1">
      <c r="A1183" s="111"/>
      <c r="B1183" s="127"/>
      <c r="C1183" s="111"/>
      <c r="D1183" s="111"/>
      <c r="E1183" s="111"/>
      <c r="F1183" s="111"/>
      <c r="G1183" s="111"/>
      <c r="H1183" s="111"/>
      <c r="I1183" s="127"/>
      <c r="J1183" s="111"/>
      <c r="K1183" s="257"/>
      <c r="L1183" s="111"/>
      <c r="M1183" s="127"/>
      <c r="N1183" s="270"/>
      <c r="O1183" s="111"/>
      <c r="P1183" s="111"/>
      <c r="Q1183" s="128"/>
      <c r="R1183" s="124"/>
      <c r="S1183" s="125"/>
      <c r="T1183" s="126"/>
      <c r="U1183" s="126"/>
      <c r="V1183" s="126"/>
      <c r="W1183" s="126"/>
      <c r="X1183" s="126"/>
      <c r="Y1183" s="126"/>
      <c r="Z1183" s="127"/>
      <c r="AA1183" s="127"/>
      <c r="AB1183" s="127"/>
      <c r="AC1183" s="127"/>
      <c r="AD1183" s="261"/>
      <c r="AE1183" s="261"/>
      <c r="AF1183" s="261"/>
      <c r="AG1183" s="261"/>
    </row>
    <row r="1184" ht="34.5" hidden="1" customHeight="1">
      <c r="A1184" s="111"/>
      <c r="B1184" s="127"/>
      <c r="C1184" s="111"/>
      <c r="D1184" s="111"/>
      <c r="E1184" s="111"/>
      <c r="F1184" s="111"/>
      <c r="G1184" s="111"/>
      <c r="H1184" s="111"/>
      <c r="I1184" s="127"/>
      <c r="J1184" s="111"/>
      <c r="K1184" s="257"/>
      <c r="L1184" s="111"/>
      <c r="M1184" s="127"/>
      <c r="N1184" s="270"/>
      <c r="O1184" s="111"/>
      <c r="P1184" s="111"/>
      <c r="Q1184" s="128"/>
      <c r="R1184" s="124"/>
      <c r="S1184" s="125"/>
      <c r="T1184" s="126"/>
      <c r="U1184" s="126"/>
      <c r="V1184" s="126"/>
      <c r="W1184" s="126"/>
      <c r="X1184" s="126"/>
      <c r="Y1184" s="126"/>
      <c r="Z1184" s="127"/>
      <c r="AA1184" s="127"/>
      <c r="AB1184" s="127"/>
      <c r="AC1184" s="127"/>
      <c r="AD1184" s="261"/>
      <c r="AE1184" s="261"/>
      <c r="AF1184" s="261"/>
      <c r="AG1184" s="261"/>
    </row>
    <row r="1185" ht="34.5" hidden="1" customHeight="1">
      <c r="A1185" s="111"/>
      <c r="B1185" s="127"/>
      <c r="C1185" s="111"/>
      <c r="D1185" s="111"/>
      <c r="E1185" s="111"/>
      <c r="F1185" s="111"/>
      <c r="G1185" s="111"/>
      <c r="H1185" s="111"/>
      <c r="I1185" s="127"/>
      <c r="J1185" s="111"/>
      <c r="K1185" s="257"/>
      <c r="L1185" s="111"/>
      <c r="M1185" s="127"/>
      <c r="N1185" s="270"/>
      <c r="O1185" s="111"/>
      <c r="P1185" s="111"/>
      <c r="Q1185" s="128"/>
      <c r="R1185" s="124"/>
      <c r="S1185" s="125"/>
      <c r="T1185" s="126"/>
      <c r="U1185" s="126"/>
      <c r="V1185" s="126"/>
      <c r="W1185" s="126"/>
      <c r="X1185" s="126"/>
      <c r="Y1185" s="126"/>
      <c r="Z1185" s="127"/>
      <c r="AA1185" s="127"/>
      <c r="AB1185" s="127"/>
      <c r="AC1185" s="127"/>
      <c r="AD1185" s="261"/>
      <c r="AE1185" s="261"/>
      <c r="AF1185" s="261"/>
      <c r="AG1185" s="261"/>
    </row>
    <row r="1186" ht="34.5" hidden="1" customHeight="1">
      <c r="A1186" s="111"/>
      <c r="B1186" s="127"/>
      <c r="C1186" s="111"/>
      <c r="D1186" s="111"/>
      <c r="E1186" s="111"/>
      <c r="F1186" s="111"/>
      <c r="G1186" s="111"/>
      <c r="H1186" s="111"/>
      <c r="I1186" s="127"/>
      <c r="J1186" s="111"/>
      <c r="K1186" s="257"/>
      <c r="L1186" s="111"/>
      <c r="M1186" s="127"/>
      <c r="N1186" s="270"/>
      <c r="O1186" s="111"/>
      <c r="P1186" s="111"/>
      <c r="Q1186" s="128"/>
      <c r="R1186" s="124"/>
      <c r="S1186" s="125"/>
      <c r="T1186" s="126"/>
      <c r="U1186" s="126"/>
      <c r="V1186" s="126"/>
      <c r="W1186" s="126"/>
      <c r="X1186" s="126"/>
      <c r="Y1186" s="126"/>
      <c r="Z1186" s="127"/>
      <c r="AA1186" s="127"/>
      <c r="AB1186" s="127"/>
      <c r="AC1186" s="127"/>
      <c r="AD1186" s="261"/>
      <c r="AE1186" s="261"/>
      <c r="AF1186" s="261"/>
      <c r="AG1186" s="261"/>
    </row>
    <row r="1187" ht="34.5" hidden="1" customHeight="1">
      <c r="A1187" s="111"/>
      <c r="B1187" s="127"/>
      <c r="C1187" s="111"/>
      <c r="D1187" s="111"/>
      <c r="E1187" s="111"/>
      <c r="F1187" s="111"/>
      <c r="G1187" s="111"/>
      <c r="H1187" s="111"/>
      <c r="I1187" s="127"/>
      <c r="J1187" s="111"/>
      <c r="K1187" s="257"/>
      <c r="L1187" s="111"/>
      <c r="M1187" s="127"/>
      <c r="N1187" s="270"/>
      <c r="O1187" s="111"/>
      <c r="P1187" s="111"/>
      <c r="Q1187" s="128"/>
      <c r="R1187" s="124"/>
      <c r="S1187" s="125"/>
      <c r="T1187" s="126"/>
      <c r="U1187" s="126"/>
      <c r="V1187" s="126"/>
      <c r="W1187" s="126"/>
      <c r="X1187" s="126"/>
      <c r="Y1187" s="126"/>
      <c r="Z1187" s="127"/>
      <c r="AA1187" s="127"/>
      <c r="AB1187" s="127"/>
      <c r="AC1187" s="127"/>
      <c r="AD1187" s="261"/>
      <c r="AE1187" s="261"/>
      <c r="AF1187" s="261"/>
      <c r="AG1187" s="261"/>
    </row>
    <row r="1188" ht="34.5" hidden="1" customHeight="1">
      <c r="A1188" s="111"/>
      <c r="B1188" s="127"/>
      <c r="C1188" s="111"/>
      <c r="D1188" s="111"/>
      <c r="E1188" s="111"/>
      <c r="F1188" s="111"/>
      <c r="G1188" s="111"/>
      <c r="H1188" s="111"/>
      <c r="I1188" s="127"/>
      <c r="J1188" s="111"/>
      <c r="K1188" s="257"/>
      <c r="L1188" s="111"/>
      <c r="M1188" s="127"/>
      <c r="N1188" s="270"/>
      <c r="O1188" s="111"/>
      <c r="P1188" s="111"/>
      <c r="Q1188" s="128"/>
      <c r="R1188" s="124"/>
      <c r="S1188" s="125"/>
      <c r="T1188" s="126"/>
      <c r="U1188" s="126"/>
      <c r="V1188" s="126"/>
      <c r="W1188" s="126"/>
      <c r="X1188" s="126"/>
      <c r="Y1188" s="126"/>
      <c r="Z1188" s="127"/>
      <c r="AA1188" s="127"/>
      <c r="AB1188" s="127"/>
      <c r="AC1188" s="127"/>
      <c r="AD1188" s="261"/>
      <c r="AE1188" s="261"/>
      <c r="AF1188" s="261"/>
      <c r="AG1188" s="261"/>
    </row>
    <row r="1189" ht="34.5" hidden="1" customHeight="1">
      <c r="A1189" s="111"/>
      <c r="B1189" s="127"/>
      <c r="C1189" s="111"/>
      <c r="D1189" s="111"/>
      <c r="E1189" s="111"/>
      <c r="F1189" s="111"/>
      <c r="G1189" s="111"/>
      <c r="H1189" s="111"/>
      <c r="I1189" s="127"/>
      <c r="J1189" s="111"/>
      <c r="K1189" s="257"/>
      <c r="L1189" s="111"/>
      <c r="M1189" s="127"/>
      <c r="N1189" s="270"/>
      <c r="O1189" s="111"/>
      <c r="P1189" s="111"/>
      <c r="Q1189" s="128"/>
      <c r="R1189" s="124"/>
      <c r="S1189" s="125"/>
      <c r="T1189" s="126"/>
      <c r="U1189" s="126"/>
      <c r="V1189" s="126"/>
      <c r="W1189" s="126"/>
      <c r="X1189" s="126"/>
      <c r="Y1189" s="126"/>
      <c r="Z1189" s="127"/>
      <c r="AA1189" s="127"/>
      <c r="AB1189" s="127"/>
      <c r="AC1189" s="127"/>
      <c r="AD1189" s="261"/>
      <c r="AE1189" s="261"/>
      <c r="AF1189" s="261"/>
      <c r="AG1189" s="261"/>
    </row>
    <row r="1190" ht="34.5" hidden="1" customHeight="1">
      <c r="A1190" s="111"/>
      <c r="B1190" s="127"/>
      <c r="C1190" s="111"/>
      <c r="D1190" s="111"/>
      <c r="E1190" s="111"/>
      <c r="F1190" s="111"/>
      <c r="G1190" s="111"/>
      <c r="H1190" s="111"/>
      <c r="I1190" s="127"/>
      <c r="J1190" s="111"/>
      <c r="K1190" s="257"/>
      <c r="L1190" s="111"/>
      <c r="M1190" s="127"/>
      <c r="N1190" s="270"/>
      <c r="O1190" s="111"/>
      <c r="P1190" s="111"/>
      <c r="Q1190" s="128"/>
      <c r="R1190" s="124"/>
      <c r="S1190" s="125"/>
      <c r="T1190" s="126"/>
      <c r="U1190" s="126"/>
      <c r="V1190" s="126"/>
      <c r="W1190" s="126"/>
      <c r="X1190" s="126"/>
      <c r="Y1190" s="126"/>
      <c r="Z1190" s="127"/>
      <c r="AA1190" s="127"/>
      <c r="AB1190" s="127"/>
      <c r="AC1190" s="127"/>
      <c r="AD1190" s="261"/>
      <c r="AE1190" s="261"/>
      <c r="AF1190" s="261"/>
      <c r="AG1190" s="261"/>
    </row>
    <row r="1191" ht="34.5" hidden="1" customHeight="1">
      <c r="A1191" s="111"/>
      <c r="B1191" s="127"/>
      <c r="C1191" s="111"/>
      <c r="D1191" s="111"/>
      <c r="E1191" s="111"/>
      <c r="F1191" s="111"/>
      <c r="G1191" s="111"/>
      <c r="H1191" s="111"/>
      <c r="I1191" s="127"/>
      <c r="J1191" s="111"/>
      <c r="K1191" s="257"/>
      <c r="L1191" s="111"/>
      <c r="M1191" s="127"/>
      <c r="N1191" s="270"/>
      <c r="O1191" s="111"/>
      <c r="P1191" s="111"/>
      <c r="Q1191" s="128"/>
      <c r="R1191" s="124"/>
      <c r="S1191" s="125"/>
      <c r="T1191" s="126"/>
      <c r="U1191" s="126"/>
      <c r="V1191" s="126"/>
      <c r="W1191" s="126"/>
      <c r="X1191" s="126"/>
      <c r="Y1191" s="126"/>
      <c r="Z1191" s="127"/>
      <c r="AA1191" s="127"/>
      <c r="AB1191" s="127"/>
      <c r="AC1191" s="127"/>
      <c r="AD1191" s="261"/>
      <c r="AE1191" s="261"/>
      <c r="AF1191" s="261"/>
      <c r="AG1191" s="261"/>
    </row>
    <row r="1192" ht="34.5" hidden="1" customHeight="1">
      <c r="A1192" s="111"/>
      <c r="B1192" s="127"/>
      <c r="C1192" s="111"/>
      <c r="D1192" s="111"/>
      <c r="E1192" s="111"/>
      <c r="F1192" s="111"/>
      <c r="G1192" s="111"/>
      <c r="H1192" s="111"/>
      <c r="I1192" s="127"/>
      <c r="J1192" s="111"/>
      <c r="K1192" s="257"/>
      <c r="L1192" s="111"/>
      <c r="M1192" s="127"/>
      <c r="N1192" s="270"/>
      <c r="O1192" s="111"/>
      <c r="P1192" s="111"/>
      <c r="Q1192" s="128"/>
      <c r="R1192" s="124"/>
      <c r="S1192" s="125"/>
      <c r="T1192" s="126"/>
      <c r="U1192" s="126"/>
      <c r="V1192" s="126"/>
      <c r="W1192" s="126"/>
      <c r="X1192" s="126"/>
      <c r="Y1192" s="126"/>
      <c r="Z1192" s="127"/>
      <c r="AA1192" s="127"/>
      <c r="AB1192" s="127"/>
      <c r="AC1192" s="127"/>
      <c r="AD1192" s="261"/>
      <c r="AE1192" s="261"/>
      <c r="AF1192" s="261"/>
      <c r="AG1192" s="261"/>
    </row>
    <row r="1193" ht="34.5" hidden="1" customHeight="1">
      <c r="A1193" s="111"/>
      <c r="B1193" s="127"/>
      <c r="C1193" s="111"/>
      <c r="D1193" s="111"/>
      <c r="E1193" s="111"/>
      <c r="F1193" s="111"/>
      <c r="G1193" s="111"/>
      <c r="H1193" s="111"/>
      <c r="I1193" s="127"/>
      <c r="J1193" s="111"/>
      <c r="K1193" s="257"/>
      <c r="L1193" s="111"/>
      <c r="M1193" s="127"/>
      <c r="N1193" s="270"/>
      <c r="O1193" s="111"/>
      <c r="P1193" s="111"/>
      <c r="Q1193" s="128"/>
      <c r="R1193" s="124"/>
      <c r="S1193" s="125"/>
      <c r="T1193" s="126"/>
      <c r="U1193" s="126"/>
      <c r="V1193" s="126"/>
      <c r="W1193" s="126"/>
      <c r="X1193" s="126"/>
      <c r="Y1193" s="126"/>
      <c r="Z1193" s="127"/>
      <c r="AA1193" s="127"/>
      <c r="AB1193" s="127"/>
      <c r="AC1193" s="127"/>
      <c r="AD1193" s="261"/>
      <c r="AE1193" s="261"/>
      <c r="AF1193" s="261"/>
      <c r="AG1193" s="261"/>
    </row>
    <row r="1194" ht="34.5" hidden="1" customHeight="1">
      <c r="A1194" s="111"/>
      <c r="B1194" s="127"/>
      <c r="C1194" s="111"/>
      <c r="D1194" s="111"/>
      <c r="E1194" s="111"/>
      <c r="F1194" s="111"/>
      <c r="G1194" s="111"/>
      <c r="H1194" s="111"/>
      <c r="I1194" s="127"/>
      <c r="J1194" s="111"/>
      <c r="K1194" s="257"/>
      <c r="L1194" s="111"/>
      <c r="M1194" s="127"/>
      <c r="N1194" s="270"/>
      <c r="O1194" s="111"/>
      <c r="P1194" s="111"/>
      <c r="Q1194" s="128"/>
      <c r="R1194" s="124"/>
      <c r="S1194" s="125"/>
      <c r="T1194" s="126"/>
      <c r="U1194" s="126"/>
      <c r="V1194" s="126"/>
      <c r="W1194" s="126"/>
      <c r="X1194" s="126"/>
      <c r="Y1194" s="126"/>
      <c r="Z1194" s="127"/>
      <c r="AA1194" s="127"/>
      <c r="AB1194" s="127"/>
      <c r="AC1194" s="127"/>
      <c r="AD1194" s="261"/>
      <c r="AE1194" s="261"/>
      <c r="AF1194" s="261"/>
      <c r="AG1194" s="261"/>
    </row>
    <row r="1195" ht="34.5" hidden="1" customHeight="1">
      <c r="A1195" s="111"/>
      <c r="B1195" s="127"/>
      <c r="C1195" s="111"/>
      <c r="D1195" s="111"/>
      <c r="E1195" s="111"/>
      <c r="F1195" s="111"/>
      <c r="G1195" s="111"/>
      <c r="H1195" s="111"/>
      <c r="I1195" s="127"/>
      <c r="J1195" s="111"/>
      <c r="K1195" s="257"/>
      <c r="L1195" s="111"/>
      <c r="M1195" s="127"/>
      <c r="N1195" s="270"/>
      <c r="O1195" s="111"/>
      <c r="P1195" s="111"/>
      <c r="Q1195" s="128"/>
      <c r="R1195" s="124"/>
      <c r="S1195" s="125"/>
      <c r="T1195" s="126"/>
      <c r="U1195" s="126"/>
      <c r="V1195" s="126"/>
      <c r="W1195" s="126"/>
      <c r="X1195" s="126"/>
      <c r="Y1195" s="126"/>
      <c r="Z1195" s="127"/>
      <c r="AA1195" s="127"/>
      <c r="AB1195" s="127"/>
      <c r="AC1195" s="127"/>
      <c r="AD1195" s="261"/>
      <c r="AE1195" s="261"/>
      <c r="AF1195" s="261"/>
      <c r="AG1195" s="261"/>
    </row>
    <row r="1196" ht="34.5" hidden="1" customHeight="1">
      <c r="A1196" s="111"/>
      <c r="B1196" s="127"/>
      <c r="C1196" s="111"/>
      <c r="D1196" s="111"/>
      <c r="E1196" s="111"/>
      <c r="F1196" s="111"/>
      <c r="G1196" s="111"/>
      <c r="H1196" s="111"/>
      <c r="I1196" s="127"/>
      <c r="J1196" s="111"/>
      <c r="K1196" s="257"/>
      <c r="L1196" s="111"/>
      <c r="M1196" s="127"/>
      <c r="N1196" s="270"/>
      <c r="O1196" s="111"/>
      <c r="P1196" s="111"/>
      <c r="Q1196" s="128"/>
      <c r="R1196" s="124"/>
      <c r="S1196" s="125"/>
      <c r="T1196" s="126"/>
      <c r="U1196" s="126"/>
      <c r="V1196" s="126"/>
      <c r="W1196" s="126"/>
      <c r="X1196" s="126"/>
      <c r="Y1196" s="126"/>
      <c r="Z1196" s="127"/>
      <c r="AA1196" s="127"/>
      <c r="AB1196" s="127"/>
      <c r="AC1196" s="127"/>
      <c r="AD1196" s="261"/>
      <c r="AE1196" s="261"/>
      <c r="AF1196" s="261"/>
      <c r="AG1196" s="261"/>
    </row>
    <row r="1197" ht="34.5" hidden="1" customHeight="1">
      <c r="A1197" s="111"/>
      <c r="B1197" s="127"/>
      <c r="C1197" s="111"/>
      <c r="D1197" s="111"/>
      <c r="E1197" s="111"/>
      <c r="F1197" s="111"/>
      <c r="G1197" s="111"/>
      <c r="H1197" s="111"/>
      <c r="I1197" s="127"/>
      <c r="J1197" s="111"/>
      <c r="K1197" s="257"/>
      <c r="L1197" s="111"/>
      <c r="M1197" s="127"/>
      <c r="N1197" s="270"/>
      <c r="O1197" s="111"/>
      <c r="P1197" s="111"/>
      <c r="Q1197" s="128"/>
      <c r="R1197" s="124"/>
      <c r="S1197" s="125"/>
      <c r="T1197" s="126"/>
      <c r="U1197" s="126"/>
      <c r="V1197" s="126"/>
      <c r="W1197" s="126"/>
      <c r="X1197" s="126"/>
      <c r="Y1197" s="126"/>
      <c r="Z1197" s="127"/>
      <c r="AA1197" s="127"/>
      <c r="AB1197" s="127"/>
      <c r="AC1197" s="127"/>
      <c r="AD1197" s="261"/>
      <c r="AE1197" s="261"/>
      <c r="AF1197" s="261"/>
      <c r="AG1197" s="261"/>
    </row>
    <row r="1198" ht="34.5" hidden="1" customHeight="1">
      <c r="A1198" s="111"/>
      <c r="B1198" s="127"/>
      <c r="C1198" s="111"/>
      <c r="D1198" s="111"/>
      <c r="E1198" s="111"/>
      <c r="F1198" s="111"/>
      <c r="G1198" s="111"/>
      <c r="H1198" s="111"/>
      <c r="I1198" s="127"/>
      <c r="J1198" s="111"/>
      <c r="K1198" s="257"/>
      <c r="L1198" s="111"/>
      <c r="M1198" s="127"/>
      <c r="N1198" s="270"/>
      <c r="O1198" s="111"/>
      <c r="P1198" s="111"/>
      <c r="Q1198" s="128"/>
      <c r="R1198" s="124"/>
      <c r="S1198" s="125"/>
      <c r="T1198" s="126"/>
      <c r="U1198" s="126"/>
      <c r="V1198" s="126"/>
      <c r="W1198" s="126"/>
      <c r="X1198" s="126"/>
      <c r="Y1198" s="126"/>
      <c r="Z1198" s="127"/>
      <c r="AA1198" s="127"/>
      <c r="AB1198" s="127"/>
      <c r="AC1198" s="127"/>
      <c r="AD1198" s="261"/>
      <c r="AE1198" s="261"/>
      <c r="AF1198" s="261"/>
      <c r="AG1198" s="261"/>
    </row>
    <row r="1199" ht="34.5" hidden="1" customHeight="1">
      <c r="A1199" s="111"/>
      <c r="B1199" s="127"/>
      <c r="C1199" s="111"/>
      <c r="D1199" s="111"/>
      <c r="E1199" s="111"/>
      <c r="F1199" s="111"/>
      <c r="G1199" s="111"/>
      <c r="H1199" s="111"/>
      <c r="I1199" s="127"/>
      <c r="J1199" s="111"/>
      <c r="K1199" s="257"/>
      <c r="L1199" s="111"/>
      <c r="M1199" s="127"/>
      <c r="N1199" s="270"/>
      <c r="O1199" s="111"/>
      <c r="P1199" s="111"/>
      <c r="Q1199" s="128"/>
      <c r="R1199" s="124"/>
      <c r="S1199" s="125"/>
      <c r="T1199" s="126"/>
      <c r="U1199" s="126"/>
      <c r="V1199" s="126"/>
      <c r="W1199" s="126"/>
      <c r="X1199" s="126"/>
      <c r="Y1199" s="126"/>
      <c r="Z1199" s="127"/>
      <c r="AA1199" s="127"/>
      <c r="AB1199" s="127"/>
      <c r="AC1199" s="127"/>
      <c r="AD1199" s="261"/>
      <c r="AE1199" s="261"/>
      <c r="AF1199" s="261"/>
      <c r="AG1199" s="261"/>
    </row>
    <row r="1200" ht="34.5" hidden="1" customHeight="1">
      <c r="A1200" s="111"/>
      <c r="B1200" s="127"/>
      <c r="C1200" s="111"/>
      <c r="D1200" s="111"/>
      <c r="E1200" s="111"/>
      <c r="F1200" s="111"/>
      <c r="G1200" s="111"/>
      <c r="H1200" s="111"/>
      <c r="I1200" s="127"/>
      <c r="J1200" s="111"/>
      <c r="K1200" s="257"/>
      <c r="L1200" s="111"/>
      <c r="M1200" s="127"/>
      <c r="N1200" s="270"/>
      <c r="O1200" s="111"/>
      <c r="P1200" s="111"/>
      <c r="Q1200" s="128"/>
      <c r="R1200" s="124"/>
      <c r="S1200" s="125"/>
      <c r="T1200" s="126"/>
      <c r="U1200" s="126"/>
      <c r="V1200" s="126"/>
      <c r="W1200" s="126"/>
      <c r="X1200" s="126"/>
      <c r="Y1200" s="126"/>
      <c r="Z1200" s="127"/>
      <c r="AA1200" s="127"/>
      <c r="AB1200" s="127"/>
      <c r="AC1200" s="127"/>
      <c r="AD1200" s="261"/>
      <c r="AE1200" s="261"/>
      <c r="AF1200" s="261"/>
      <c r="AG1200" s="261"/>
    </row>
    <row r="1201" ht="34.5" hidden="1" customHeight="1">
      <c r="A1201" s="111"/>
      <c r="B1201" s="127"/>
      <c r="C1201" s="111"/>
      <c r="D1201" s="111"/>
      <c r="E1201" s="111"/>
      <c r="F1201" s="111"/>
      <c r="G1201" s="111"/>
      <c r="H1201" s="111"/>
      <c r="I1201" s="127"/>
      <c r="J1201" s="111"/>
      <c r="K1201" s="257"/>
      <c r="L1201" s="111"/>
      <c r="M1201" s="127"/>
      <c r="N1201" s="270"/>
      <c r="O1201" s="111"/>
      <c r="P1201" s="111"/>
      <c r="Q1201" s="128"/>
      <c r="R1201" s="124"/>
      <c r="S1201" s="125"/>
      <c r="T1201" s="126"/>
      <c r="U1201" s="126"/>
      <c r="V1201" s="126"/>
      <c r="W1201" s="126"/>
      <c r="X1201" s="126"/>
      <c r="Y1201" s="126"/>
      <c r="Z1201" s="127"/>
      <c r="AA1201" s="127"/>
      <c r="AB1201" s="127"/>
      <c r="AC1201" s="127"/>
      <c r="AD1201" s="261"/>
      <c r="AE1201" s="261"/>
      <c r="AF1201" s="261"/>
      <c r="AG1201" s="261"/>
    </row>
    <row r="1202" ht="34.5" hidden="1" customHeight="1">
      <c r="A1202" s="111"/>
      <c r="B1202" s="127"/>
      <c r="C1202" s="111"/>
      <c r="D1202" s="111"/>
      <c r="E1202" s="111"/>
      <c r="F1202" s="111"/>
      <c r="G1202" s="111"/>
      <c r="H1202" s="111"/>
      <c r="I1202" s="127"/>
      <c r="J1202" s="111"/>
      <c r="K1202" s="257"/>
      <c r="L1202" s="111"/>
      <c r="M1202" s="127"/>
      <c r="N1202" s="270"/>
      <c r="O1202" s="111"/>
      <c r="P1202" s="111"/>
      <c r="Q1202" s="128"/>
      <c r="R1202" s="124"/>
      <c r="S1202" s="125"/>
      <c r="T1202" s="126"/>
      <c r="U1202" s="126"/>
      <c r="V1202" s="126"/>
      <c r="W1202" s="126"/>
      <c r="X1202" s="126"/>
      <c r="Y1202" s="126"/>
      <c r="Z1202" s="127"/>
      <c r="AA1202" s="127"/>
      <c r="AB1202" s="127"/>
      <c r="AC1202" s="127"/>
      <c r="AD1202" s="261"/>
      <c r="AE1202" s="261"/>
      <c r="AF1202" s="261"/>
      <c r="AG1202" s="261"/>
    </row>
    <row r="1203" ht="34.5" hidden="1" customHeight="1">
      <c r="A1203" s="111"/>
      <c r="B1203" s="127"/>
      <c r="C1203" s="111"/>
      <c r="D1203" s="111"/>
      <c r="E1203" s="111"/>
      <c r="F1203" s="111"/>
      <c r="G1203" s="111"/>
      <c r="H1203" s="111"/>
      <c r="I1203" s="127"/>
      <c r="J1203" s="111"/>
      <c r="K1203" s="257"/>
      <c r="L1203" s="111"/>
      <c r="M1203" s="127"/>
      <c r="N1203" s="270"/>
      <c r="O1203" s="111"/>
      <c r="P1203" s="111"/>
      <c r="Q1203" s="128"/>
      <c r="R1203" s="124"/>
      <c r="S1203" s="125"/>
      <c r="T1203" s="126"/>
      <c r="U1203" s="126"/>
      <c r="V1203" s="126"/>
      <c r="W1203" s="126"/>
      <c r="X1203" s="126"/>
      <c r="Y1203" s="126"/>
      <c r="Z1203" s="127"/>
      <c r="AA1203" s="127"/>
      <c r="AB1203" s="127"/>
      <c r="AC1203" s="127"/>
      <c r="AD1203" s="261"/>
      <c r="AE1203" s="261"/>
      <c r="AF1203" s="261"/>
      <c r="AG1203" s="261"/>
    </row>
    <row r="1204" ht="34.5" hidden="1" customHeight="1">
      <c r="A1204" s="111"/>
      <c r="B1204" s="127"/>
      <c r="C1204" s="111"/>
      <c r="D1204" s="111"/>
      <c r="E1204" s="111"/>
      <c r="F1204" s="111"/>
      <c r="G1204" s="111"/>
      <c r="H1204" s="111"/>
      <c r="I1204" s="127"/>
      <c r="J1204" s="111"/>
      <c r="K1204" s="257"/>
      <c r="L1204" s="111"/>
      <c r="M1204" s="127"/>
      <c r="N1204" s="270"/>
      <c r="O1204" s="111"/>
      <c r="P1204" s="111"/>
      <c r="Q1204" s="128"/>
      <c r="R1204" s="124"/>
      <c r="S1204" s="125"/>
      <c r="T1204" s="126"/>
      <c r="U1204" s="126"/>
      <c r="V1204" s="126"/>
      <c r="W1204" s="126"/>
      <c r="X1204" s="126"/>
      <c r="Y1204" s="126"/>
      <c r="Z1204" s="127"/>
      <c r="AA1204" s="127"/>
      <c r="AB1204" s="127"/>
      <c r="AC1204" s="127"/>
      <c r="AD1204" s="261"/>
      <c r="AE1204" s="261"/>
      <c r="AF1204" s="261"/>
      <c r="AG1204" s="261"/>
    </row>
    <row r="1205" ht="34.5" hidden="1" customHeight="1">
      <c r="A1205" s="111"/>
      <c r="B1205" s="127"/>
      <c r="C1205" s="111"/>
      <c r="D1205" s="111"/>
      <c r="E1205" s="111"/>
      <c r="F1205" s="111"/>
      <c r="G1205" s="111"/>
      <c r="H1205" s="111"/>
      <c r="I1205" s="127"/>
      <c r="J1205" s="111"/>
      <c r="K1205" s="257"/>
      <c r="L1205" s="111"/>
      <c r="M1205" s="127"/>
      <c r="N1205" s="270"/>
      <c r="O1205" s="111"/>
      <c r="P1205" s="111"/>
      <c r="Q1205" s="128"/>
      <c r="R1205" s="124"/>
      <c r="S1205" s="125"/>
      <c r="T1205" s="126"/>
      <c r="U1205" s="126"/>
      <c r="V1205" s="126"/>
      <c r="W1205" s="126"/>
      <c r="X1205" s="126"/>
      <c r="Y1205" s="126"/>
      <c r="Z1205" s="127"/>
      <c r="AA1205" s="127"/>
      <c r="AB1205" s="127"/>
      <c r="AC1205" s="127"/>
      <c r="AD1205" s="261"/>
      <c r="AE1205" s="261"/>
      <c r="AF1205" s="261"/>
      <c r="AG1205" s="261"/>
    </row>
    <row r="1206" ht="34.5" hidden="1" customHeight="1">
      <c r="A1206" s="111"/>
      <c r="B1206" s="127"/>
      <c r="C1206" s="111"/>
      <c r="D1206" s="111"/>
      <c r="E1206" s="111"/>
      <c r="F1206" s="111"/>
      <c r="G1206" s="111"/>
      <c r="H1206" s="111"/>
      <c r="I1206" s="127"/>
      <c r="J1206" s="111"/>
      <c r="K1206" s="257"/>
      <c r="L1206" s="111"/>
      <c r="M1206" s="127"/>
      <c r="N1206" s="270"/>
      <c r="O1206" s="111"/>
      <c r="P1206" s="111"/>
      <c r="Q1206" s="128"/>
      <c r="R1206" s="124"/>
      <c r="S1206" s="125"/>
      <c r="T1206" s="126"/>
      <c r="U1206" s="126"/>
      <c r="V1206" s="126"/>
      <c r="W1206" s="126"/>
      <c r="X1206" s="126"/>
      <c r="Y1206" s="126"/>
      <c r="Z1206" s="127"/>
      <c r="AA1206" s="127"/>
      <c r="AB1206" s="127"/>
      <c r="AC1206" s="127"/>
      <c r="AD1206" s="261"/>
      <c r="AE1206" s="261"/>
      <c r="AF1206" s="261"/>
      <c r="AG1206" s="261"/>
    </row>
    <row r="1207" ht="34.5" hidden="1" customHeight="1">
      <c r="A1207" s="111"/>
      <c r="B1207" s="127"/>
      <c r="C1207" s="111"/>
      <c r="D1207" s="111"/>
      <c r="E1207" s="111"/>
      <c r="F1207" s="111"/>
      <c r="G1207" s="111"/>
      <c r="H1207" s="111"/>
      <c r="I1207" s="127"/>
      <c r="J1207" s="111"/>
      <c r="K1207" s="257"/>
      <c r="L1207" s="111"/>
      <c r="M1207" s="127"/>
      <c r="N1207" s="270"/>
      <c r="O1207" s="111"/>
      <c r="P1207" s="111"/>
      <c r="Q1207" s="128"/>
      <c r="R1207" s="124"/>
      <c r="S1207" s="125"/>
      <c r="T1207" s="126"/>
      <c r="U1207" s="126"/>
      <c r="V1207" s="126"/>
      <c r="W1207" s="126"/>
      <c r="X1207" s="126"/>
      <c r="Y1207" s="126"/>
      <c r="Z1207" s="127"/>
      <c r="AA1207" s="127"/>
      <c r="AB1207" s="127"/>
      <c r="AC1207" s="127"/>
      <c r="AD1207" s="261"/>
      <c r="AE1207" s="261"/>
      <c r="AF1207" s="261"/>
      <c r="AG1207" s="261"/>
    </row>
    <row r="1208" ht="34.5" hidden="1" customHeight="1">
      <c r="A1208" s="111"/>
      <c r="B1208" s="127"/>
      <c r="C1208" s="111"/>
      <c r="D1208" s="111"/>
      <c r="E1208" s="111"/>
      <c r="F1208" s="111"/>
      <c r="G1208" s="111"/>
      <c r="H1208" s="111"/>
      <c r="I1208" s="127"/>
      <c r="J1208" s="111"/>
      <c r="K1208" s="257"/>
      <c r="L1208" s="111"/>
      <c r="M1208" s="127"/>
      <c r="N1208" s="270"/>
      <c r="O1208" s="111"/>
      <c r="P1208" s="111"/>
      <c r="Q1208" s="128"/>
      <c r="R1208" s="124"/>
      <c r="S1208" s="125"/>
      <c r="T1208" s="126"/>
      <c r="U1208" s="126"/>
      <c r="V1208" s="126"/>
      <c r="W1208" s="126"/>
      <c r="X1208" s="126"/>
      <c r="Y1208" s="126"/>
      <c r="Z1208" s="127"/>
      <c r="AA1208" s="127"/>
      <c r="AB1208" s="127"/>
      <c r="AC1208" s="127"/>
      <c r="AD1208" s="261"/>
      <c r="AE1208" s="261"/>
      <c r="AF1208" s="261"/>
      <c r="AG1208" s="261"/>
    </row>
    <row r="1209" ht="34.5" hidden="1" customHeight="1">
      <c r="A1209" s="111"/>
      <c r="B1209" s="127"/>
      <c r="C1209" s="111"/>
      <c r="D1209" s="111"/>
      <c r="E1209" s="111"/>
      <c r="F1209" s="111"/>
      <c r="G1209" s="111"/>
      <c r="H1209" s="111"/>
      <c r="I1209" s="127"/>
      <c r="J1209" s="111"/>
      <c r="K1209" s="257"/>
      <c r="L1209" s="111"/>
      <c r="M1209" s="127"/>
      <c r="N1209" s="270"/>
      <c r="O1209" s="111"/>
      <c r="P1209" s="111"/>
      <c r="Q1209" s="128"/>
      <c r="R1209" s="124"/>
      <c r="S1209" s="125"/>
      <c r="T1209" s="126"/>
      <c r="U1209" s="126"/>
      <c r="V1209" s="126"/>
      <c r="W1209" s="126"/>
      <c r="X1209" s="126"/>
      <c r="Y1209" s="126"/>
      <c r="Z1209" s="127"/>
      <c r="AA1209" s="127"/>
      <c r="AB1209" s="127"/>
      <c r="AC1209" s="127"/>
      <c r="AD1209" s="261"/>
      <c r="AE1209" s="261"/>
      <c r="AF1209" s="261"/>
      <c r="AG1209" s="261"/>
    </row>
    <row r="1210" ht="34.5" hidden="1" customHeight="1">
      <c r="A1210" s="111"/>
      <c r="B1210" s="127"/>
      <c r="C1210" s="111"/>
      <c r="D1210" s="111"/>
      <c r="E1210" s="111"/>
      <c r="F1210" s="111"/>
      <c r="G1210" s="111"/>
      <c r="H1210" s="111"/>
      <c r="I1210" s="127"/>
      <c r="J1210" s="111"/>
      <c r="K1210" s="257"/>
      <c r="L1210" s="111"/>
      <c r="M1210" s="127"/>
      <c r="N1210" s="270"/>
      <c r="O1210" s="111"/>
      <c r="P1210" s="111"/>
      <c r="Q1210" s="128"/>
      <c r="R1210" s="124"/>
      <c r="S1210" s="125"/>
      <c r="T1210" s="126"/>
      <c r="U1210" s="126"/>
      <c r="V1210" s="126"/>
      <c r="W1210" s="126"/>
      <c r="X1210" s="126"/>
      <c r="Y1210" s="126"/>
      <c r="Z1210" s="127"/>
      <c r="AA1210" s="127"/>
      <c r="AB1210" s="127"/>
      <c r="AC1210" s="127"/>
      <c r="AD1210" s="261"/>
      <c r="AE1210" s="261"/>
      <c r="AF1210" s="261"/>
      <c r="AG1210" s="261"/>
    </row>
    <row r="1211" ht="34.5" hidden="1" customHeight="1">
      <c r="A1211" s="111"/>
      <c r="B1211" s="127"/>
      <c r="C1211" s="111"/>
      <c r="D1211" s="111"/>
      <c r="E1211" s="111"/>
      <c r="F1211" s="111"/>
      <c r="G1211" s="111"/>
      <c r="H1211" s="111"/>
      <c r="I1211" s="127"/>
      <c r="J1211" s="111"/>
      <c r="K1211" s="257"/>
      <c r="L1211" s="111"/>
      <c r="M1211" s="127"/>
      <c r="N1211" s="270"/>
      <c r="O1211" s="111"/>
      <c r="P1211" s="111"/>
      <c r="Q1211" s="128"/>
      <c r="R1211" s="124"/>
      <c r="S1211" s="125"/>
      <c r="T1211" s="126"/>
      <c r="U1211" s="126"/>
      <c r="V1211" s="126"/>
      <c r="W1211" s="126"/>
      <c r="X1211" s="126"/>
      <c r="Y1211" s="126"/>
      <c r="Z1211" s="127"/>
      <c r="AA1211" s="127"/>
      <c r="AB1211" s="127"/>
      <c r="AC1211" s="127"/>
      <c r="AD1211" s="261"/>
      <c r="AE1211" s="261"/>
      <c r="AF1211" s="261"/>
      <c r="AG1211" s="261"/>
    </row>
    <row r="1212" ht="34.5" hidden="1" customHeight="1">
      <c r="A1212" s="111"/>
      <c r="B1212" s="127"/>
      <c r="C1212" s="111"/>
      <c r="D1212" s="111"/>
      <c r="E1212" s="111"/>
      <c r="F1212" s="111"/>
      <c r="G1212" s="111"/>
      <c r="H1212" s="111"/>
      <c r="I1212" s="127"/>
      <c r="J1212" s="111"/>
      <c r="K1212" s="257"/>
      <c r="L1212" s="111"/>
      <c r="M1212" s="127"/>
      <c r="N1212" s="270"/>
      <c r="O1212" s="111"/>
      <c r="P1212" s="111"/>
      <c r="Q1212" s="128"/>
      <c r="R1212" s="124"/>
      <c r="S1212" s="125"/>
      <c r="T1212" s="126"/>
      <c r="U1212" s="126"/>
      <c r="V1212" s="126"/>
      <c r="W1212" s="126"/>
      <c r="X1212" s="126"/>
      <c r="Y1212" s="126"/>
      <c r="Z1212" s="127"/>
      <c r="AA1212" s="127"/>
      <c r="AB1212" s="127"/>
      <c r="AC1212" s="127"/>
      <c r="AD1212" s="261"/>
      <c r="AE1212" s="261"/>
      <c r="AF1212" s="261"/>
      <c r="AG1212" s="261"/>
    </row>
    <row r="1213" ht="34.5" hidden="1" customHeight="1">
      <c r="A1213" s="111"/>
      <c r="B1213" s="127"/>
      <c r="C1213" s="111"/>
      <c r="D1213" s="111"/>
      <c r="E1213" s="111"/>
      <c r="F1213" s="111"/>
      <c r="G1213" s="111"/>
      <c r="H1213" s="111"/>
      <c r="I1213" s="127"/>
      <c r="J1213" s="111"/>
      <c r="K1213" s="257"/>
      <c r="L1213" s="111"/>
      <c r="M1213" s="127"/>
      <c r="N1213" s="270"/>
      <c r="O1213" s="111"/>
      <c r="P1213" s="111"/>
      <c r="Q1213" s="128"/>
      <c r="R1213" s="124"/>
      <c r="S1213" s="125"/>
      <c r="T1213" s="126"/>
      <c r="U1213" s="126"/>
      <c r="V1213" s="126"/>
      <c r="W1213" s="126"/>
      <c r="X1213" s="126"/>
      <c r="Y1213" s="126"/>
      <c r="Z1213" s="127"/>
      <c r="AA1213" s="127"/>
      <c r="AB1213" s="127"/>
      <c r="AC1213" s="127"/>
      <c r="AD1213" s="261"/>
      <c r="AE1213" s="261"/>
      <c r="AF1213" s="261"/>
      <c r="AG1213" s="261"/>
    </row>
    <row r="1214" ht="34.5" hidden="1" customHeight="1">
      <c r="A1214" s="111"/>
      <c r="B1214" s="127"/>
      <c r="C1214" s="111"/>
      <c r="D1214" s="111"/>
      <c r="E1214" s="111"/>
      <c r="F1214" s="111"/>
      <c r="G1214" s="111"/>
      <c r="H1214" s="111"/>
      <c r="I1214" s="127"/>
      <c r="J1214" s="111"/>
      <c r="K1214" s="257"/>
      <c r="L1214" s="111"/>
      <c r="M1214" s="127"/>
      <c r="N1214" s="270"/>
      <c r="O1214" s="111"/>
      <c r="P1214" s="111"/>
      <c r="Q1214" s="128"/>
      <c r="R1214" s="124"/>
      <c r="S1214" s="125"/>
      <c r="T1214" s="126"/>
      <c r="U1214" s="126"/>
      <c r="V1214" s="126"/>
      <c r="W1214" s="126"/>
      <c r="X1214" s="126"/>
      <c r="Y1214" s="126"/>
      <c r="Z1214" s="127"/>
      <c r="AA1214" s="127"/>
      <c r="AB1214" s="127"/>
      <c r="AC1214" s="127"/>
      <c r="AD1214" s="261"/>
      <c r="AE1214" s="261"/>
      <c r="AF1214" s="261"/>
      <c r="AG1214" s="261"/>
    </row>
    <row r="1215" ht="34.5" hidden="1" customHeight="1">
      <c r="A1215" s="111"/>
      <c r="B1215" s="127"/>
      <c r="C1215" s="111"/>
      <c r="D1215" s="111"/>
      <c r="E1215" s="111"/>
      <c r="F1215" s="111"/>
      <c r="G1215" s="111"/>
      <c r="H1215" s="111"/>
      <c r="I1215" s="127"/>
      <c r="J1215" s="111"/>
      <c r="K1215" s="257"/>
      <c r="L1215" s="111"/>
      <c r="M1215" s="127"/>
      <c r="N1215" s="270"/>
      <c r="O1215" s="111"/>
      <c r="P1215" s="111"/>
      <c r="Q1215" s="128"/>
      <c r="R1215" s="124"/>
      <c r="S1215" s="125"/>
      <c r="T1215" s="126"/>
      <c r="U1215" s="126"/>
      <c r="V1215" s="126"/>
      <c r="W1215" s="126"/>
      <c r="X1215" s="126"/>
      <c r="Y1215" s="126"/>
      <c r="Z1215" s="127"/>
      <c r="AA1215" s="127"/>
      <c r="AB1215" s="127"/>
      <c r="AC1215" s="127"/>
      <c r="AD1215" s="261"/>
      <c r="AE1215" s="261"/>
      <c r="AF1215" s="261"/>
      <c r="AG1215" s="261"/>
    </row>
    <row r="1216" ht="34.5" hidden="1" customHeight="1">
      <c r="A1216" s="111"/>
      <c r="B1216" s="127"/>
      <c r="C1216" s="111"/>
      <c r="D1216" s="111"/>
      <c r="E1216" s="111"/>
      <c r="F1216" s="111"/>
      <c r="G1216" s="111"/>
      <c r="H1216" s="111"/>
      <c r="I1216" s="127"/>
      <c r="J1216" s="111"/>
      <c r="K1216" s="257"/>
      <c r="L1216" s="111"/>
      <c r="M1216" s="127"/>
      <c r="N1216" s="270"/>
      <c r="O1216" s="111"/>
      <c r="P1216" s="111"/>
      <c r="Q1216" s="128"/>
      <c r="R1216" s="124"/>
      <c r="S1216" s="125"/>
      <c r="T1216" s="126"/>
      <c r="U1216" s="126"/>
      <c r="V1216" s="126"/>
      <c r="W1216" s="126"/>
      <c r="X1216" s="126"/>
      <c r="Y1216" s="126"/>
      <c r="Z1216" s="127"/>
      <c r="AA1216" s="127"/>
      <c r="AB1216" s="127"/>
      <c r="AC1216" s="127"/>
      <c r="AD1216" s="261"/>
      <c r="AE1216" s="261"/>
      <c r="AF1216" s="261"/>
      <c r="AG1216" s="261"/>
    </row>
    <row r="1217" ht="34.5" hidden="1" customHeight="1">
      <c r="A1217" s="111"/>
      <c r="B1217" s="127"/>
      <c r="C1217" s="111"/>
      <c r="D1217" s="111"/>
      <c r="E1217" s="111"/>
      <c r="F1217" s="111"/>
      <c r="G1217" s="111"/>
      <c r="H1217" s="111"/>
      <c r="I1217" s="127"/>
      <c r="J1217" s="111"/>
      <c r="K1217" s="257"/>
      <c r="L1217" s="111"/>
      <c r="M1217" s="127"/>
      <c r="N1217" s="270"/>
      <c r="O1217" s="111"/>
      <c r="P1217" s="111"/>
      <c r="Q1217" s="128"/>
      <c r="R1217" s="124"/>
      <c r="S1217" s="125"/>
      <c r="T1217" s="126"/>
      <c r="U1217" s="126"/>
      <c r="V1217" s="126"/>
      <c r="W1217" s="126"/>
      <c r="X1217" s="126"/>
      <c r="Y1217" s="126"/>
      <c r="Z1217" s="127"/>
      <c r="AA1217" s="127"/>
      <c r="AB1217" s="127"/>
      <c r="AC1217" s="127"/>
      <c r="AD1217" s="261"/>
      <c r="AE1217" s="261"/>
      <c r="AF1217" s="261"/>
      <c r="AG1217" s="261"/>
    </row>
    <row r="1218" ht="34.5" hidden="1" customHeight="1">
      <c r="A1218" s="111"/>
      <c r="B1218" s="127"/>
      <c r="C1218" s="111"/>
      <c r="D1218" s="111"/>
      <c r="E1218" s="111"/>
      <c r="F1218" s="111"/>
      <c r="G1218" s="111"/>
      <c r="H1218" s="111"/>
      <c r="I1218" s="127"/>
      <c r="J1218" s="111"/>
      <c r="K1218" s="257"/>
      <c r="L1218" s="111"/>
      <c r="M1218" s="127"/>
      <c r="N1218" s="270"/>
      <c r="O1218" s="111"/>
      <c r="P1218" s="111"/>
      <c r="Q1218" s="128"/>
      <c r="R1218" s="124"/>
      <c r="S1218" s="125"/>
      <c r="T1218" s="126"/>
      <c r="U1218" s="126"/>
      <c r="V1218" s="126"/>
      <c r="W1218" s="126"/>
      <c r="X1218" s="126"/>
      <c r="Y1218" s="126"/>
      <c r="Z1218" s="127"/>
      <c r="AA1218" s="127"/>
      <c r="AB1218" s="127"/>
      <c r="AC1218" s="127"/>
      <c r="AD1218" s="261"/>
      <c r="AE1218" s="261"/>
      <c r="AF1218" s="261"/>
      <c r="AG1218" s="261"/>
    </row>
    <row r="1219" ht="34.5" hidden="1" customHeight="1">
      <c r="A1219" s="111"/>
      <c r="B1219" s="127"/>
      <c r="C1219" s="111"/>
      <c r="D1219" s="111"/>
      <c r="E1219" s="111"/>
      <c r="F1219" s="111"/>
      <c r="G1219" s="111"/>
      <c r="H1219" s="111"/>
      <c r="I1219" s="127"/>
      <c r="J1219" s="111"/>
      <c r="K1219" s="257"/>
      <c r="L1219" s="111"/>
      <c r="M1219" s="127"/>
      <c r="N1219" s="270"/>
      <c r="O1219" s="111"/>
      <c r="P1219" s="111"/>
      <c r="Q1219" s="128"/>
      <c r="R1219" s="124"/>
      <c r="S1219" s="125"/>
      <c r="T1219" s="126"/>
      <c r="U1219" s="126"/>
      <c r="V1219" s="126"/>
      <c r="W1219" s="126"/>
      <c r="X1219" s="126"/>
      <c r="Y1219" s="126"/>
      <c r="Z1219" s="127"/>
      <c r="AA1219" s="127"/>
      <c r="AB1219" s="127"/>
      <c r="AC1219" s="127"/>
      <c r="AD1219" s="261"/>
      <c r="AE1219" s="261"/>
      <c r="AF1219" s="261"/>
      <c r="AG1219" s="261"/>
    </row>
    <row r="1220" ht="34.5" hidden="1" customHeight="1">
      <c r="A1220" s="111"/>
      <c r="B1220" s="127"/>
      <c r="C1220" s="111"/>
      <c r="D1220" s="111"/>
      <c r="E1220" s="111"/>
      <c r="F1220" s="111"/>
      <c r="G1220" s="111"/>
      <c r="H1220" s="111"/>
      <c r="I1220" s="127"/>
      <c r="J1220" s="111"/>
      <c r="K1220" s="257"/>
      <c r="L1220" s="111"/>
      <c r="M1220" s="127"/>
      <c r="N1220" s="270"/>
      <c r="O1220" s="111"/>
      <c r="P1220" s="111"/>
      <c r="Q1220" s="128"/>
      <c r="R1220" s="124"/>
      <c r="S1220" s="125"/>
      <c r="T1220" s="126"/>
      <c r="U1220" s="126"/>
      <c r="V1220" s="126"/>
      <c r="W1220" s="126"/>
      <c r="X1220" s="126"/>
      <c r="Y1220" s="126"/>
      <c r="Z1220" s="127"/>
      <c r="AA1220" s="127"/>
      <c r="AB1220" s="127"/>
      <c r="AC1220" s="127"/>
      <c r="AD1220" s="261"/>
      <c r="AE1220" s="261"/>
      <c r="AF1220" s="261"/>
      <c r="AG1220" s="261"/>
    </row>
    <row r="1221" ht="34.5" hidden="1" customHeight="1">
      <c r="A1221" s="111"/>
      <c r="B1221" s="127"/>
      <c r="C1221" s="111"/>
      <c r="D1221" s="111"/>
      <c r="E1221" s="111"/>
      <c r="F1221" s="111"/>
      <c r="G1221" s="111"/>
      <c r="H1221" s="111"/>
      <c r="I1221" s="127"/>
      <c r="J1221" s="111"/>
      <c r="K1221" s="257"/>
      <c r="L1221" s="111"/>
      <c r="M1221" s="127"/>
      <c r="N1221" s="270"/>
      <c r="O1221" s="111"/>
      <c r="P1221" s="111"/>
      <c r="Q1221" s="128"/>
      <c r="R1221" s="124"/>
      <c r="S1221" s="125"/>
      <c r="T1221" s="126"/>
      <c r="U1221" s="126"/>
      <c r="V1221" s="126"/>
      <c r="W1221" s="126"/>
      <c r="X1221" s="126"/>
      <c r="Y1221" s="126"/>
      <c r="Z1221" s="127"/>
      <c r="AA1221" s="127"/>
      <c r="AB1221" s="127"/>
      <c r="AC1221" s="127"/>
      <c r="AD1221" s="261"/>
      <c r="AE1221" s="261"/>
      <c r="AF1221" s="261"/>
      <c r="AG1221" s="261"/>
    </row>
    <row r="1222" ht="34.5" hidden="1" customHeight="1">
      <c r="A1222" s="111"/>
      <c r="B1222" s="127"/>
      <c r="C1222" s="111"/>
      <c r="D1222" s="111"/>
      <c r="E1222" s="111"/>
      <c r="F1222" s="111"/>
      <c r="G1222" s="111"/>
      <c r="H1222" s="111"/>
      <c r="I1222" s="127"/>
      <c r="J1222" s="111"/>
      <c r="K1222" s="257"/>
      <c r="L1222" s="111"/>
      <c r="M1222" s="127"/>
      <c r="N1222" s="270"/>
      <c r="O1222" s="111"/>
      <c r="P1222" s="111"/>
      <c r="Q1222" s="128"/>
      <c r="R1222" s="124"/>
      <c r="S1222" s="125"/>
      <c r="T1222" s="126"/>
      <c r="U1222" s="126"/>
      <c r="V1222" s="126"/>
      <c r="W1222" s="126"/>
      <c r="X1222" s="126"/>
      <c r="Y1222" s="126"/>
      <c r="Z1222" s="127"/>
      <c r="AA1222" s="127"/>
      <c r="AB1222" s="127"/>
      <c r="AC1222" s="127"/>
      <c r="AD1222" s="261"/>
      <c r="AE1222" s="261"/>
      <c r="AF1222" s="261"/>
      <c r="AG1222" s="261"/>
    </row>
    <row r="1223" ht="34.5" hidden="1" customHeight="1">
      <c r="A1223" s="111"/>
      <c r="B1223" s="127"/>
      <c r="C1223" s="111"/>
      <c r="D1223" s="111"/>
      <c r="E1223" s="111"/>
      <c r="F1223" s="111"/>
      <c r="G1223" s="111"/>
      <c r="H1223" s="111"/>
      <c r="I1223" s="127"/>
      <c r="J1223" s="111"/>
      <c r="K1223" s="257"/>
      <c r="L1223" s="111"/>
      <c r="M1223" s="127"/>
      <c r="N1223" s="270"/>
      <c r="O1223" s="111"/>
      <c r="P1223" s="111"/>
      <c r="Q1223" s="128"/>
      <c r="R1223" s="124"/>
      <c r="S1223" s="125"/>
      <c r="T1223" s="126"/>
      <c r="U1223" s="126"/>
      <c r="V1223" s="126"/>
      <c r="W1223" s="126"/>
      <c r="X1223" s="126"/>
      <c r="Y1223" s="126"/>
      <c r="Z1223" s="127"/>
      <c r="AA1223" s="127"/>
      <c r="AB1223" s="127"/>
      <c r="AC1223" s="127"/>
      <c r="AD1223" s="261"/>
      <c r="AE1223" s="261"/>
      <c r="AF1223" s="261"/>
      <c r="AG1223" s="261"/>
    </row>
    <row r="1224" ht="34.5" hidden="1" customHeight="1">
      <c r="A1224" s="111"/>
      <c r="B1224" s="127"/>
      <c r="C1224" s="111"/>
      <c r="D1224" s="111"/>
      <c r="E1224" s="111"/>
      <c r="F1224" s="111"/>
      <c r="G1224" s="111"/>
      <c r="H1224" s="111"/>
      <c r="I1224" s="127"/>
      <c r="J1224" s="111"/>
      <c r="K1224" s="257"/>
      <c r="L1224" s="111"/>
      <c r="M1224" s="127"/>
      <c r="N1224" s="270"/>
      <c r="O1224" s="111"/>
      <c r="P1224" s="111"/>
      <c r="Q1224" s="128"/>
      <c r="R1224" s="124"/>
      <c r="S1224" s="125"/>
      <c r="T1224" s="126"/>
      <c r="U1224" s="126"/>
      <c r="V1224" s="126"/>
      <c r="W1224" s="126"/>
      <c r="X1224" s="126"/>
      <c r="Y1224" s="126"/>
      <c r="Z1224" s="127"/>
      <c r="AA1224" s="127"/>
      <c r="AB1224" s="127"/>
      <c r="AC1224" s="127"/>
      <c r="AD1224" s="261"/>
      <c r="AE1224" s="261"/>
      <c r="AF1224" s="261"/>
      <c r="AG1224" s="261"/>
    </row>
    <row r="1225" ht="34.5" hidden="1" customHeight="1">
      <c r="A1225" s="111"/>
      <c r="B1225" s="127"/>
      <c r="C1225" s="111"/>
      <c r="D1225" s="111"/>
      <c r="E1225" s="111"/>
      <c r="F1225" s="111"/>
      <c r="G1225" s="111"/>
      <c r="H1225" s="111"/>
      <c r="I1225" s="127"/>
      <c r="J1225" s="111"/>
      <c r="K1225" s="257"/>
      <c r="L1225" s="111"/>
      <c r="M1225" s="127"/>
      <c r="N1225" s="270"/>
      <c r="O1225" s="111"/>
      <c r="P1225" s="111"/>
      <c r="Q1225" s="128"/>
      <c r="R1225" s="124"/>
      <c r="S1225" s="125"/>
      <c r="T1225" s="126"/>
      <c r="U1225" s="126"/>
      <c r="V1225" s="126"/>
      <c r="W1225" s="126"/>
      <c r="X1225" s="126"/>
      <c r="Y1225" s="126"/>
      <c r="Z1225" s="127"/>
      <c r="AA1225" s="127"/>
      <c r="AB1225" s="127"/>
      <c r="AC1225" s="127"/>
      <c r="AD1225" s="261"/>
      <c r="AE1225" s="261"/>
      <c r="AF1225" s="261"/>
      <c r="AG1225" s="261"/>
    </row>
    <row r="1226" ht="34.5" hidden="1" customHeight="1">
      <c r="A1226" s="111"/>
      <c r="B1226" s="127"/>
      <c r="C1226" s="111"/>
      <c r="D1226" s="111"/>
      <c r="E1226" s="111"/>
      <c r="F1226" s="111"/>
      <c r="G1226" s="111"/>
      <c r="H1226" s="111"/>
      <c r="I1226" s="127"/>
      <c r="J1226" s="111"/>
      <c r="K1226" s="257"/>
      <c r="L1226" s="111"/>
      <c r="M1226" s="127"/>
      <c r="N1226" s="270"/>
      <c r="O1226" s="111"/>
      <c r="P1226" s="111"/>
      <c r="Q1226" s="128"/>
      <c r="R1226" s="124"/>
      <c r="S1226" s="125"/>
      <c r="T1226" s="126"/>
      <c r="U1226" s="126"/>
      <c r="V1226" s="126"/>
      <c r="W1226" s="126"/>
      <c r="X1226" s="126"/>
      <c r="Y1226" s="126"/>
      <c r="Z1226" s="127"/>
      <c r="AA1226" s="127"/>
      <c r="AB1226" s="127"/>
      <c r="AC1226" s="127"/>
      <c r="AD1226" s="261"/>
      <c r="AE1226" s="261"/>
      <c r="AF1226" s="261"/>
      <c r="AG1226" s="261"/>
    </row>
    <row r="1227" ht="34.5" hidden="1" customHeight="1">
      <c r="A1227" s="111"/>
      <c r="B1227" s="127"/>
      <c r="C1227" s="111"/>
      <c r="D1227" s="111"/>
      <c r="E1227" s="111"/>
      <c r="F1227" s="111"/>
      <c r="G1227" s="111"/>
      <c r="H1227" s="111"/>
      <c r="I1227" s="127"/>
      <c r="J1227" s="111"/>
      <c r="K1227" s="257"/>
      <c r="L1227" s="111"/>
      <c r="M1227" s="127"/>
      <c r="N1227" s="270"/>
      <c r="O1227" s="111"/>
      <c r="P1227" s="111"/>
      <c r="Q1227" s="128"/>
      <c r="R1227" s="124"/>
      <c r="S1227" s="125"/>
      <c r="T1227" s="126"/>
      <c r="U1227" s="126"/>
      <c r="V1227" s="126"/>
      <c r="W1227" s="126"/>
      <c r="X1227" s="126"/>
      <c r="Y1227" s="126"/>
      <c r="Z1227" s="127"/>
      <c r="AA1227" s="127"/>
      <c r="AB1227" s="127"/>
      <c r="AC1227" s="127"/>
      <c r="AD1227" s="261"/>
      <c r="AE1227" s="261"/>
      <c r="AF1227" s="261"/>
      <c r="AG1227" s="261"/>
    </row>
    <row r="1228" ht="34.5" hidden="1" customHeight="1">
      <c r="A1228" s="111"/>
      <c r="B1228" s="127"/>
      <c r="C1228" s="111"/>
      <c r="D1228" s="111"/>
      <c r="E1228" s="111"/>
      <c r="F1228" s="111"/>
      <c r="G1228" s="111"/>
      <c r="H1228" s="111"/>
      <c r="I1228" s="127"/>
      <c r="J1228" s="111"/>
      <c r="K1228" s="257"/>
      <c r="L1228" s="111"/>
      <c r="M1228" s="127"/>
      <c r="N1228" s="270"/>
      <c r="O1228" s="111"/>
      <c r="P1228" s="111"/>
      <c r="Q1228" s="128"/>
      <c r="R1228" s="124"/>
      <c r="S1228" s="125"/>
      <c r="T1228" s="126"/>
      <c r="U1228" s="126"/>
      <c r="V1228" s="126"/>
      <c r="W1228" s="126"/>
      <c r="X1228" s="126"/>
      <c r="Y1228" s="126"/>
      <c r="Z1228" s="127"/>
      <c r="AA1228" s="127"/>
      <c r="AB1228" s="127"/>
      <c r="AC1228" s="127"/>
      <c r="AD1228" s="261"/>
      <c r="AE1228" s="261"/>
      <c r="AF1228" s="261"/>
      <c r="AG1228" s="261"/>
    </row>
    <row r="1229" ht="34.5" hidden="1" customHeight="1">
      <c r="A1229" s="111"/>
      <c r="B1229" s="127"/>
      <c r="C1229" s="111"/>
      <c r="D1229" s="111"/>
      <c r="E1229" s="111"/>
      <c r="F1229" s="111"/>
      <c r="G1229" s="111"/>
      <c r="H1229" s="111"/>
      <c r="I1229" s="127"/>
      <c r="J1229" s="111"/>
      <c r="K1229" s="257"/>
      <c r="L1229" s="111"/>
      <c r="M1229" s="127"/>
      <c r="N1229" s="270"/>
      <c r="O1229" s="111"/>
      <c r="P1229" s="111"/>
      <c r="Q1229" s="128"/>
      <c r="R1229" s="124"/>
      <c r="S1229" s="125"/>
      <c r="T1229" s="126"/>
      <c r="U1229" s="126"/>
      <c r="V1229" s="126"/>
      <c r="W1229" s="126"/>
      <c r="X1229" s="126"/>
      <c r="Y1229" s="126"/>
      <c r="Z1229" s="127"/>
      <c r="AA1229" s="127"/>
      <c r="AB1229" s="127"/>
      <c r="AC1229" s="127"/>
      <c r="AD1229" s="261"/>
      <c r="AE1229" s="261"/>
      <c r="AF1229" s="261"/>
      <c r="AG1229" s="261"/>
    </row>
    <row r="1230" ht="34.5" hidden="1" customHeight="1">
      <c r="A1230" s="111"/>
      <c r="B1230" s="127"/>
      <c r="C1230" s="111"/>
      <c r="D1230" s="111"/>
      <c r="E1230" s="111"/>
      <c r="F1230" s="111"/>
      <c r="G1230" s="111"/>
      <c r="H1230" s="111"/>
      <c r="I1230" s="127"/>
      <c r="J1230" s="111"/>
      <c r="K1230" s="257"/>
      <c r="L1230" s="111"/>
      <c r="M1230" s="127"/>
      <c r="N1230" s="270"/>
      <c r="O1230" s="111"/>
      <c r="P1230" s="111"/>
      <c r="Q1230" s="128"/>
      <c r="R1230" s="124"/>
      <c r="S1230" s="125"/>
      <c r="T1230" s="126"/>
      <c r="U1230" s="126"/>
      <c r="V1230" s="126"/>
      <c r="W1230" s="126"/>
      <c r="X1230" s="126"/>
      <c r="Y1230" s="126"/>
      <c r="Z1230" s="127"/>
      <c r="AA1230" s="127"/>
      <c r="AB1230" s="127"/>
      <c r="AC1230" s="127"/>
      <c r="AD1230" s="261"/>
      <c r="AE1230" s="261"/>
      <c r="AF1230" s="261"/>
      <c r="AG1230" s="261"/>
    </row>
    <row r="1231" ht="34.5" hidden="1" customHeight="1">
      <c r="A1231" s="111"/>
      <c r="B1231" s="127"/>
      <c r="C1231" s="111"/>
      <c r="D1231" s="111"/>
      <c r="E1231" s="111"/>
      <c r="F1231" s="111"/>
      <c r="G1231" s="111"/>
      <c r="H1231" s="111"/>
      <c r="I1231" s="127"/>
      <c r="J1231" s="111"/>
      <c r="K1231" s="257"/>
      <c r="L1231" s="111"/>
      <c r="M1231" s="127"/>
      <c r="N1231" s="270"/>
      <c r="O1231" s="111"/>
      <c r="P1231" s="111"/>
      <c r="Q1231" s="128"/>
      <c r="R1231" s="124"/>
      <c r="S1231" s="125"/>
      <c r="T1231" s="126"/>
      <c r="U1231" s="126"/>
      <c r="V1231" s="126"/>
      <c r="W1231" s="126"/>
      <c r="X1231" s="126"/>
      <c r="Y1231" s="126"/>
      <c r="Z1231" s="127"/>
      <c r="AA1231" s="127"/>
      <c r="AB1231" s="127"/>
      <c r="AC1231" s="127"/>
      <c r="AD1231" s="261"/>
      <c r="AE1231" s="261"/>
      <c r="AF1231" s="261"/>
      <c r="AG1231" s="261"/>
    </row>
    <row r="1232" ht="34.5" hidden="1" customHeight="1">
      <c r="A1232" s="111"/>
      <c r="B1232" s="127"/>
      <c r="C1232" s="111"/>
      <c r="D1232" s="111"/>
      <c r="E1232" s="111"/>
      <c r="F1232" s="111"/>
      <c r="G1232" s="111"/>
      <c r="H1232" s="111"/>
      <c r="I1232" s="127"/>
      <c r="J1232" s="111"/>
      <c r="K1232" s="257"/>
      <c r="L1232" s="111"/>
      <c r="M1232" s="127"/>
      <c r="N1232" s="270"/>
      <c r="O1232" s="111"/>
      <c r="P1232" s="111"/>
      <c r="Q1232" s="128"/>
      <c r="R1232" s="124"/>
      <c r="S1232" s="125"/>
      <c r="T1232" s="126"/>
      <c r="U1232" s="126"/>
      <c r="V1232" s="126"/>
      <c r="W1232" s="126"/>
      <c r="X1232" s="126"/>
      <c r="Y1232" s="126"/>
      <c r="Z1232" s="127"/>
      <c r="AA1232" s="127"/>
      <c r="AB1232" s="127"/>
      <c r="AC1232" s="127"/>
      <c r="AD1232" s="261"/>
      <c r="AE1232" s="261"/>
      <c r="AF1232" s="261"/>
      <c r="AG1232" s="261"/>
    </row>
    <row r="1233" ht="34.5" hidden="1" customHeight="1">
      <c r="A1233" s="111"/>
      <c r="B1233" s="127"/>
      <c r="C1233" s="111"/>
      <c r="D1233" s="111"/>
      <c r="E1233" s="111"/>
      <c r="F1233" s="111"/>
      <c r="G1233" s="111"/>
      <c r="H1233" s="111"/>
      <c r="I1233" s="127"/>
      <c r="J1233" s="111"/>
      <c r="K1233" s="257"/>
      <c r="L1233" s="111"/>
      <c r="M1233" s="127"/>
      <c r="N1233" s="270"/>
      <c r="O1233" s="111"/>
      <c r="P1233" s="111"/>
      <c r="Q1233" s="128"/>
      <c r="R1233" s="124"/>
      <c r="S1233" s="125"/>
      <c r="T1233" s="126"/>
      <c r="U1233" s="126"/>
      <c r="V1233" s="126"/>
      <c r="W1233" s="126"/>
      <c r="X1233" s="126"/>
      <c r="Y1233" s="126"/>
      <c r="Z1233" s="127"/>
      <c r="AA1233" s="127"/>
      <c r="AB1233" s="127"/>
      <c r="AC1233" s="127"/>
      <c r="AD1233" s="261"/>
      <c r="AE1233" s="261"/>
      <c r="AF1233" s="261"/>
      <c r="AG1233" s="261"/>
    </row>
    <row r="1234" ht="34.5" hidden="1" customHeight="1">
      <c r="A1234" s="111"/>
      <c r="B1234" s="127"/>
      <c r="C1234" s="111"/>
      <c r="D1234" s="111"/>
      <c r="E1234" s="111"/>
      <c r="F1234" s="111"/>
      <c r="G1234" s="111"/>
      <c r="H1234" s="111"/>
      <c r="I1234" s="127"/>
      <c r="J1234" s="111"/>
      <c r="K1234" s="257"/>
      <c r="L1234" s="111"/>
      <c r="M1234" s="127"/>
      <c r="N1234" s="270"/>
      <c r="O1234" s="111"/>
      <c r="P1234" s="111"/>
      <c r="Q1234" s="128"/>
      <c r="R1234" s="124"/>
      <c r="S1234" s="125"/>
      <c r="T1234" s="126"/>
      <c r="U1234" s="126"/>
      <c r="V1234" s="126"/>
      <c r="W1234" s="126"/>
      <c r="X1234" s="126"/>
      <c r="Y1234" s="126"/>
      <c r="Z1234" s="127"/>
      <c r="AA1234" s="127"/>
      <c r="AB1234" s="127"/>
      <c r="AC1234" s="127"/>
      <c r="AD1234" s="261"/>
      <c r="AE1234" s="261"/>
      <c r="AF1234" s="261"/>
      <c r="AG1234" s="261"/>
    </row>
    <row r="1235" ht="34.5" hidden="1" customHeight="1">
      <c r="A1235" s="111"/>
      <c r="B1235" s="127"/>
      <c r="C1235" s="111"/>
      <c r="D1235" s="111"/>
      <c r="E1235" s="111"/>
      <c r="F1235" s="111"/>
      <c r="G1235" s="111"/>
      <c r="H1235" s="111"/>
      <c r="I1235" s="127"/>
      <c r="J1235" s="111"/>
      <c r="K1235" s="257"/>
      <c r="L1235" s="111"/>
      <c r="M1235" s="127"/>
      <c r="N1235" s="270"/>
      <c r="O1235" s="111"/>
      <c r="P1235" s="111"/>
      <c r="Q1235" s="128"/>
      <c r="R1235" s="124"/>
      <c r="S1235" s="125"/>
      <c r="T1235" s="126"/>
      <c r="U1235" s="126"/>
      <c r="V1235" s="126"/>
      <c r="W1235" s="126"/>
      <c r="X1235" s="126"/>
      <c r="Y1235" s="126"/>
      <c r="Z1235" s="127"/>
      <c r="AA1235" s="127"/>
      <c r="AB1235" s="127"/>
      <c r="AC1235" s="127"/>
      <c r="AD1235" s="261"/>
      <c r="AE1235" s="261"/>
      <c r="AF1235" s="261"/>
      <c r="AG1235" s="261"/>
    </row>
    <row r="1236" ht="34.5" hidden="1" customHeight="1">
      <c r="A1236" s="111"/>
      <c r="B1236" s="127"/>
      <c r="C1236" s="111"/>
      <c r="D1236" s="111"/>
      <c r="E1236" s="111"/>
      <c r="F1236" s="111"/>
      <c r="G1236" s="111"/>
      <c r="H1236" s="111"/>
      <c r="I1236" s="127"/>
      <c r="J1236" s="111"/>
      <c r="K1236" s="257"/>
      <c r="L1236" s="111"/>
      <c r="M1236" s="127"/>
      <c r="N1236" s="270"/>
      <c r="O1236" s="111"/>
      <c r="P1236" s="111"/>
      <c r="Q1236" s="128"/>
      <c r="R1236" s="124"/>
      <c r="S1236" s="125"/>
      <c r="T1236" s="126"/>
      <c r="U1236" s="126"/>
      <c r="V1236" s="126"/>
      <c r="W1236" s="126"/>
      <c r="X1236" s="126"/>
      <c r="Y1236" s="126"/>
      <c r="Z1236" s="127"/>
      <c r="AA1236" s="127"/>
      <c r="AB1236" s="127"/>
      <c r="AC1236" s="127"/>
      <c r="AD1236" s="261"/>
      <c r="AE1236" s="261"/>
      <c r="AF1236" s="261"/>
      <c r="AG1236" s="261"/>
    </row>
    <row r="1237" ht="34.5" hidden="1" customHeight="1">
      <c r="A1237" s="111"/>
      <c r="B1237" s="127"/>
      <c r="C1237" s="111"/>
      <c r="D1237" s="111"/>
      <c r="E1237" s="111"/>
      <c r="F1237" s="111"/>
      <c r="G1237" s="111"/>
      <c r="H1237" s="111"/>
      <c r="I1237" s="127"/>
      <c r="J1237" s="111"/>
      <c r="K1237" s="257"/>
      <c r="L1237" s="111"/>
      <c r="M1237" s="127"/>
      <c r="N1237" s="270"/>
      <c r="O1237" s="111"/>
      <c r="P1237" s="111"/>
      <c r="Q1237" s="128"/>
      <c r="R1237" s="124"/>
      <c r="S1237" s="125"/>
      <c r="T1237" s="126"/>
      <c r="U1237" s="126"/>
      <c r="V1237" s="126"/>
      <c r="W1237" s="126"/>
      <c r="X1237" s="126"/>
      <c r="Y1237" s="126"/>
      <c r="Z1237" s="127"/>
      <c r="AA1237" s="127"/>
      <c r="AB1237" s="127"/>
      <c r="AC1237" s="127"/>
      <c r="AD1237" s="261"/>
      <c r="AE1237" s="261"/>
      <c r="AF1237" s="261"/>
      <c r="AG1237" s="261"/>
    </row>
    <row r="1238" ht="34.5" hidden="1" customHeight="1">
      <c r="A1238" s="111"/>
      <c r="B1238" s="127"/>
      <c r="C1238" s="111"/>
      <c r="D1238" s="111"/>
      <c r="E1238" s="111"/>
      <c r="F1238" s="111"/>
      <c r="G1238" s="111"/>
      <c r="H1238" s="111"/>
      <c r="I1238" s="127"/>
      <c r="J1238" s="111"/>
      <c r="K1238" s="257"/>
      <c r="L1238" s="111"/>
      <c r="M1238" s="127"/>
      <c r="N1238" s="270"/>
      <c r="O1238" s="111"/>
      <c r="P1238" s="111"/>
      <c r="Q1238" s="128"/>
      <c r="R1238" s="124"/>
      <c r="S1238" s="125"/>
      <c r="T1238" s="126"/>
      <c r="U1238" s="126"/>
      <c r="V1238" s="126"/>
      <c r="W1238" s="126"/>
      <c r="X1238" s="126"/>
      <c r="Y1238" s="126"/>
      <c r="Z1238" s="127"/>
      <c r="AA1238" s="127"/>
      <c r="AB1238" s="127"/>
      <c r="AC1238" s="127"/>
      <c r="AD1238" s="261"/>
      <c r="AE1238" s="261"/>
      <c r="AF1238" s="261"/>
      <c r="AG1238" s="261"/>
    </row>
    <row r="1239" ht="34.5" hidden="1" customHeight="1">
      <c r="A1239" s="111"/>
      <c r="B1239" s="127"/>
      <c r="C1239" s="111"/>
      <c r="D1239" s="111"/>
      <c r="E1239" s="111"/>
      <c r="F1239" s="111"/>
      <c r="G1239" s="111"/>
      <c r="H1239" s="111"/>
      <c r="I1239" s="127"/>
      <c r="J1239" s="111"/>
      <c r="K1239" s="257"/>
      <c r="L1239" s="111"/>
      <c r="M1239" s="127"/>
      <c r="N1239" s="270"/>
      <c r="O1239" s="111"/>
      <c r="P1239" s="111"/>
      <c r="Q1239" s="128"/>
      <c r="R1239" s="124"/>
      <c r="S1239" s="125"/>
      <c r="T1239" s="126"/>
      <c r="U1239" s="126"/>
      <c r="V1239" s="126"/>
      <c r="W1239" s="126"/>
      <c r="X1239" s="126"/>
      <c r="Y1239" s="126"/>
      <c r="Z1239" s="127"/>
      <c r="AA1239" s="127"/>
      <c r="AB1239" s="127"/>
      <c r="AC1239" s="127"/>
      <c r="AD1239" s="261"/>
      <c r="AE1239" s="261"/>
      <c r="AF1239" s="261"/>
      <c r="AG1239" s="261"/>
    </row>
    <row r="1240" ht="34.5" hidden="1" customHeight="1">
      <c r="A1240" s="111"/>
      <c r="B1240" s="127"/>
      <c r="C1240" s="111"/>
      <c r="D1240" s="111"/>
      <c r="E1240" s="111"/>
      <c r="F1240" s="111"/>
      <c r="G1240" s="111"/>
      <c r="H1240" s="111"/>
      <c r="I1240" s="127"/>
      <c r="J1240" s="111"/>
      <c r="K1240" s="257"/>
      <c r="L1240" s="111"/>
      <c r="M1240" s="127"/>
      <c r="N1240" s="270"/>
      <c r="O1240" s="111"/>
      <c r="P1240" s="111"/>
      <c r="Q1240" s="128"/>
      <c r="R1240" s="124"/>
      <c r="S1240" s="125"/>
      <c r="T1240" s="126"/>
      <c r="U1240" s="126"/>
      <c r="V1240" s="126"/>
      <c r="W1240" s="126"/>
      <c r="X1240" s="126"/>
      <c r="Y1240" s="126"/>
      <c r="Z1240" s="127"/>
      <c r="AA1240" s="127"/>
      <c r="AB1240" s="127"/>
      <c r="AC1240" s="127"/>
      <c r="AD1240" s="261"/>
      <c r="AE1240" s="261"/>
      <c r="AF1240" s="261"/>
      <c r="AG1240" s="261"/>
    </row>
    <row r="1241" ht="34.5" hidden="1" customHeight="1">
      <c r="A1241" s="111"/>
      <c r="B1241" s="127"/>
      <c r="C1241" s="111"/>
      <c r="D1241" s="111"/>
      <c r="E1241" s="111"/>
      <c r="F1241" s="111"/>
      <c r="G1241" s="111"/>
      <c r="H1241" s="111"/>
      <c r="I1241" s="127"/>
      <c r="J1241" s="111"/>
      <c r="K1241" s="257"/>
      <c r="L1241" s="111"/>
      <c r="M1241" s="127"/>
      <c r="N1241" s="270"/>
      <c r="O1241" s="111"/>
      <c r="P1241" s="111"/>
      <c r="Q1241" s="128"/>
      <c r="R1241" s="124"/>
      <c r="S1241" s="125"/>
      <c r="T1241" s="126"/>
      <c r="U1241" s="126"/>
      <c r="V1241" s="126"/>
      <c r="W1241" s="126"/>
      <c r="X1241" s="126"/>
      <c r="Y1241" s="126"/>
      <c r="Z1241" s="127"/>
      <c r="AA1241" s="127"/>
      <c r="AB1241" s="127"/>
      <c r="AC1241" s="127"/>
      <c r="AD1241" s="261"/>
      <c r="AE1241" s="261"/>
      <c r="AF1241" s="261"/>
      <c r="AG1241" s="261"/>
    </row>
    <row r="1242" ht="34.5" hidden="1" customHeight="1">
      <c r="A1242" s="111"/>
      <c r="B1242" s="127"/>
      <c r="C1242" s="111"/>
      <c r="D1242" s="111"/>
      <c r="E1242" s="111"/>
      <c r="F1242" s="111"/>
      <c r="G1242" s="111"/>
      <c r="H1242" s="111"/>
      <c r="I1242" s="127"/>
      <c r="J1242" s="111"/>
      <c r="K1242" s="257"/>
      <c r="L1242" s="111"/>
      <c r="M1242" s="127"/>
      <c r="N1242" s="270"/>
      <c r="O1242" s="111"/>
      <c r="P1242" s="111"/>
      <c r="Q1242" s="128"/>
      <c r="R1242" s="124"/>
      <c r="S1242" s="125"/>
      <c r="T1242" s="126"/>
      <c r="U1242" s="126"/>
      <c r="V1242" s="126"/>
      <c r="W1242" s="126"/>
      <c r="X1242" s="126"/>
      <c r="Y1242" s="126"/>
      <c r="Z1242" s="127"/>
      <c r="AA1242" s="127"/>
      <c r="AB1242" s="127"/>
      <c r="AC1242" s="127"/>
      <c r="AD1242" s="261"/>
      <c r="AE1242" s="261"/>
      <c r="AF1242" s="261"/>
      <c r="AG1242" s="261"/>
    </row>
    <row r="1243" ht="34.5" hidden="1" customHeight="1">
      <c r="A1243" s="111"/>
      <c r="B1243" s="127"/>
      <c r="C1243" s="111"/>
      <c r="D1243" s="111"/>
      <c r="E1243" s="111"/>
      <c r="F1243" s="111"/>
      <c r="G1243" s="111"/>
      <c r="H1243" s="111"/>
      <c r="I1243" s="127"/>
      <c r="J1243" s="111"/>
      <c r="K1243" s="257"/>
      <c r="L1243" s="111"/>
      <c r="M1243" s="127"/>
      <c r="N1243" s="270"/>
      <c r="O1243" s="111"/>
      <c r="P1243" s="111"/>
      <c r="Q1243" s="128"/>
      <c r="R1243" s="124"/>
      <c r="S1243" s="125"/>
      <c r="T1243" s="126"/>
      <c r="U1243" s="126"/>
      <c r="V1243" s="126"/>
      <c r="W1243" s="126"/>
      <c r="X1243" s="126"/>
      <c r="Y1243" s="126"/>
      <c r="Z1243" s="127"/>
      <c r="AA1243" s="127"/>
      <c r="AB1243" s="127"/>
      <c r="AC1243" s="127"/>
      <c r="AD1243" s="261"/>
      <c r="AE1243" s="261"/>
      <c r="AF1243" s="261"/>
      <c r="AG1243" s="261"/>
    </row>
    <row r="1244" ht="34.5" hidden="1" customHeight="1">
      <c r="A1244" s="111"/>
      <c r="B1244" s="127"/>
      <c r="C1244" s="111"/>
      <c r="D1244" s="111"/>
      <c r="E1244" s="111"/>
      <c r="F1244" s="111"/>
      <c r="G1244" s="111"/>
      <c r="H1244" s="111"/>
      <c r="I1244" s="127"/>
      <c r="J1244" s="111"/>
      <c r="K1244" s="257"/>
      <c r="L1244" s="111"/>
      <c r="M1244" s="127"/>
      <c r="N1244" s="270"/>
      <c r="O1244" s="111"/>
      <c r="P1244" s="111"/>
      <c r="Q1244" s="128"/>
      <c r="R1244" s="124"/>
      <c r="S1244" s="125"/>
      <c r="T1244" s="126"/>
      <c r="U1244" s="126"/>
      <c r="V1244" s="126"/>
      <c r="W1244" s="126"/>
      <c r="X1244" s="126"/>
      <c r="Y1244" s="126"/>
      <c r="Z1244" s="127"/>
      <c r="AA1244" s="127"/>
      <c r="AB1244" s="127"/>
      <c r="AC1244" s="127"/>
      <c r="AD1244" s="261"/>
      <c r="AE1244" s="261"/>
      <c r="AF1244" s="261"/>
      <c r="AG1244" s="261"/>
    </row>
    <row r="1245" ht="34.5" hidden="1" customHeight="1">
      <c r="A1245" s="111"/>
      <c r="B1245" s="127"/>
      <c r="C1245" s="111"/>
      <c r="D1245" s="111"/>
      <c r="E1245" s="111"/>
      <c r="F1245" s="111"/>
      <c r="G1245" s="111"/>
      <c r="H1245" s="111"/>
      <c r="I1245" s="127"/>
      <c r="J1245" s="111"/>
      <c r="K1245" s="257"/>
      <c r="L1245" s="111"/>
      <c r="M1245" s="127"/>
      <c r="N1245" s="270"/>
      <c r="O1245" s="111"/>
      <c r="P1245" s="111"/>
      <c r="Q1245" s="128"/>
      <c r="R1245" s="124"/>
      <c r="S1245" s="125"/>
      <c r="T1245" s="126"/>
      <c r="U1245" s="126"/>
      <c r="V1245" s="126"/>
      <c r="W1245" s="126"/>
      <c r="X1245" s="126"/>
      <c r="Y1245" s="126"/>
      <c r="Z1245" s="127"/>
      <c r="AA1245" s="127"/>
      <c r="AB1245" s="127"/>
      <c r="AC1245" s="127"/>
      <c r="AD1245" s="261"/>
      <c r="AE1245" s="261"/>
      <c r="AF1245" s="261"/>
      <c r="AG1245" s="261"/>
    </row>
    <row r="1246" ht="34.5" hidden="1" customHeight="1">
      <c r="A1246" s="111"/>
      <c r="B1246" s="127"/>
      <c r="C1246" s="111"/>
      <c r="D1246" s="111"/>
      <c r="E1246" s="111"/>
      <c r="F1246" s="111"/>
      <c r="G1246" s="111"/>
      <c r="H1246" s="111"/>
      <c r="I1246" s="127"/>
      <c r="J1246" s="111"/>
      <c r="K1246" s="257"/>
      <c r="L1246" s="111"/>
      <c r="M1246" s="127"/>
      <c r="N1246" s="270"/>
      <c r="O1246" s="111"/>
      <c r="P1246" s="111"/>
      <c r="Q1246" s="128"/>
      <c r="R1246" s="124"/>
      <c r="S1246" s="125"/>
      <c r="T1246" s="126"/>
      <c r="U1246" s="126"/>
      <c r="V1246" s="126"/>
      <c r="W1246" s="126"/>
      <c r="X1246" s="126"/>
      <c r="Y1246" s="126"/>
      <c r="Z1246" s="127"/>
      <c r="AA1246" s="127"/>
      <c r="AB1246" s="127"/>
      <c r="AC1246" s="127"/>
      <c r="AD1246" s="261"/>
      <c r="AE1246" s="261"/>
      <c r="AF1246" s="261"/>
      <c r="AG1246" s="261"/>
    </row>
    <row r="1247" ht="34.5" hidden="1" customHeight="1">
      <c r="A1247" s="111"/>
      <c r="B1247" s="127"/>
      <c r="C1247" s="111"/>
      <c r="D1247" s="111"/>
      <c r="E1247" s="111"/>
      <c r="F1247" s="111"/>
      <c r="G1247" s="111"/>
      <c r="H1247" s="111"/>
      <c r="I1247" s="127"/>
      <c r="J1247" s="111"/>
      <c r="K1247" s="257"/>
      <c r="L1247" s="111"/>
      <c r="M1247" s="127"/>
      <c r="N1247" s="270"/>
      <c r="O1247" s="111"/>
      <c r="P1247" s="111"/>
      <c r="Q1247" s="128"/>
      <c r="R1247" s="124"/>
      <c r="S1247" s="125"/>
      <c r="T1247" s="126"/>
      <c r="U1247" s="126"/>
      <c r="V1247" s="126"/>
      <c r="W1247" s="126"/>
      <c r="X1247" s="126"/>
      <c r="Y1247" s="126"/>
      <c r="Z1247" s="127"/>
      <c r="AA1247" s="127"/>
      <c r="AB1247" s="127"/>
      <c r="AC1247" s="127"/>
      <c r="AD1247" s="261"/>
      <c r="AE1247" s="261"/>
      <c r="AF1247" s="261"/>
      <c r="AG1247" s="261"/>
    </row>
    <row r="1248" ht="34.5" hidden="1" customHeight="1">
      <c r="A1248" s="111"/>
      <c r="B1248" s="127"/>
      <c r="C1248" s="111"/>
      <c r="D1248" s="111"/>
      <c r="E1248" s="111"/>
      <c r="F1248" s="111"/>
      <c r="G1248" s="111"/>
      <c r="H1248" s="111"/>
      <c r="I1248" s="127"/>
      <c r="J1248" s="111"/>
      <c r="K1248" s="257"/>
      <c r="L1248" s="111"/>
      <c r="M1248" s="127"/>
      <c r="N1248" s="270"/>
      <c r="O1248" s="111"/>
      <c r="P1248" s="111"/>
      <c r="Q1248" s="128"/>
      <c r="R1248" s="124"/>
      <c r="S1248" s="125"/>
      <c r="T1248" s="126"/>
      <c r="U1248" s="126"/>
      <c r="V1248" s="126"/>
      <c r="W1248" s="126"/>
      <c r="X1248" s="126"/>
      <c r="Y1248" s="126"/>
      <c r="Z1248" s="127"/>
      <c r="AA1248" s="127"/>
      <c r="AB1248" s="127"/>
      <c r="AC1248" s="127"/>
      <c r="AD1248" s="261"/>
      <c r="AE1248" s="261"/>
      <c r="AF1248" s="261"/>
      <c r="AG1248" s="261"/>
    </row>
    <row r="1249" ht="34.5" hidden="1" customHeight="1">
      <c r="A1249" s="111"/>
      <c r="B1249" s="127"/>
      <c r="C1249" s="111"/>
      <c r="D1249" s="111"/>
      <c r="E1249" s="111"/>
      <c r="F1249" s="111"/>
      <c r="G1249" s="111"/>
      <c r="H1249" s="111"/>
      <c r="I1249" s="127"/>
      <c r="J1249" s="111"/>
      <c r="K1249" s="257"/>
      <c r="L1249" s="111"/>
      <c r="M1249" s="127"/>
      <c r="N1249" s="270"/>
      <c r="O1249" s="111"/>
      <c r="P1249" s="111"/>
      <c r="Q1249" s="128"/>
      <c r="R1249" s="124"/>
      <c r="S1249" s="125"/>
      <c r="T1249" s="126"/>
      <c r="U1249" s="126"/>
      <c r="V1249" s="126"/>
      <c r="W1249" s="126"/>
      <c r="X1249" s="126"/>
      <c r="Y1249" s="126"/>
      <c r="Z1249" s="127"/>
      <c r="AA1249" s="127"/>
      <c r="AB1249" s="127"/>
      <c r="AC1249" s="127"/>
      <c r="AD1249" s="261"/>
      <c r="AE1249" s="261"/>
      <c r="AF1249" s="261"/>
      <c r="AG1249" s="261"/>
    </row>
    <row r="1250" ht="34.5" hidden="1" customHeight="1">
      <c r="A1250" s="111"/>
      <c r="B1250" s="127"/>
      <c r="C1250" s="111"/>
      <c r="D1250" s="111"/>
      <c r="E1250" s="111"/>
      <c r="F1250" s="111"/>
      <c r="G1250" s="111"/>
      <c r="H1250" s="111"/>
      <c r="I1250" s="127"/>
      <c r="J1250" s="111"/>
      <c r="K1250" s="257"/>
      <c r="L1250" s="111"/>
      <c r="M1250" s="127"/>
      <c r="N1250" s="270"/>
      <c r="O1250" s="111"/>
      <c r="P1250" s="111"/>
      <c r="Q1250" s="128"/>
      <c r="R1250" s="124"/>
      <c r="S1250" s="125"/>
      <c r="T1250" s="126"/>
      <c r="U1250" s="126"/>
      <c r="V1250" s="126"/>
      <c r="W1250" s="126"/>
      <c r="X1250" s="126"/>
      <c r="Y1250" s="126"/>
      <c r="Z1250" s="127"/>
      <c r="AA1250" s="127"/>
      <c r="AB1250" s="127"/>
      <c r="AC1250" s="127"/>
      <c r="AD1250" s="261"/>
      <c r="AE1250" s="261"/>
      <c r="AF1250" s="261"/>
      <c r="AG1250" s="261"/>
    </row>
    <row r="1251" ht="34.5" hidden="1" customHeight="1">
      <c r="A1251" s="111"/>
      <c r="B1251" s="127"/>
      <c r="C1251" s="111"/>
      <c r="D1251" s="111"/>
      <c r="E1251" s="111"/>
      <c r="F1251" s="111"/>
      <c r="G1251" s="111"/>
      <c r="H1251" s="111"/>
      <c r="I1251" s="127"/>
      <c r="J1251" s="111"/>
      <c r="K1251" s="257"/>
      <c r="L1251" s="111"/>
      <c r="M1251" s="127"/>
      <c r="N1251" s="270"/>
      <c r="O1251" s="111"/>
      <c r="P1251" s="111"/>
      <c r="Q1251" s="128"/>
      <c r="R1251" s="124"/>
      <c r="S1251" s="125"/>
      <c r="T1251" s="126"/>
      <c r="U1251" s="126"/>
      <c r="V1251" s="126"/>
      <c r="W1251" s="126"/>
      <c r="X1251" s="126"/>
      <c r="Y1251" s="126"/>
      <c r="Z1251" s="127"/>
      <c r="AA1251" s="127"/>
      <c r="AB1251" s="127"/>
      <c r="AC1251" s="127"/>
      <c r="AD1251" s="261"/>
      <c r="AE1251" s="261"/>
      <c r="AF1251" s="261"/>
      <c r="AG1251" s="261"/>
    </row>
    <row r="1252" ht="34.5" hidden="1" customHeight="1">
      <c r="A1252" s="111"/>
      <c r="B1252" s="127"/>
      <c r="C1252" s="111"/>
      <c r="D1252" s="111"/>
      <c r="E1252" s="111"/>
      <c r="F1252" s="111"/>
      <c r="G1252" s="111"/>
      <c r="H1252" s="111"/>
      <c r="I1252" s="127"/>
      <c r="J1252" s="111"/>
      <c r="K1252" s="257"/>
      <c r="L1252" s="111"/>
      <c r="M1252" s="127"/>
      <c r="N1252" s="270"/>
      <c r="O1252" s="111"/>
      <c r="P1252" s="111"/>
      <c r="Q1252" s="128"/>
      <c r="R1252" s="124"/>
      <c r="S1252" s="125"/>
      <c r="T1252" s="126"/>
      <c r="U1252" s="126"/>
      <c r="V1252" s="126"/>
      <c r="W1252" s="126"/>
      <c r="X1252" s="126"/>
      <c r="Y1252" s="126"/>
      <c r="Z1252" s="127"/>
      <c r="AA1252" s="127"/>
      <c r="AB1252" s="127"/>
      <c r="AC1252" s="127"/>
      <c r="AD1252" s="261"/>
      <c r="AE1252" s="261"/>
      <c r="AF1252" s="261"/>
      <c r="AG1252" s="261"/>
    </row>
    <row r="1253" ht="34.5" hidden="1" customHeight="1">
      <c r="A1253" s="111"/>
      <c r="B1253" s="127"/>
      <c r="C1253" s="111"/>
      <c r="D1253" s="111"/>
      <c r="E1253" s="111"/>
      <c r="F1253" s="111"/>
      <c r="G1253" s="111"/>
      <c r="H1253" s="111"/>
      <c r="I1253" s="127"/>
      <c r="J1253" s="111"/>
      <c r="K1253" s="257"/>
      <c r="L1253" s="111"/>
      <c r="M1253" s="127"/>
      <c r="N1253" s="270"/>
      <c r="O1253" s="111"/>
      <c r="P1253" s="111"/>
      <c r="Q1253" s="128"/>
      <c r="R1253" s="124"/>
      <c r="S1253" s="125"/>
      <c r="T1253" s="126"/>
      <c r="U1253" s="126"/>
      <c r="V1253" s="126"/>
      <c r="W1253" s="126"/>
      <c r="X1253" s="126"/>
      <c r="Y1253" s="126"/>
      <c r="Z1253" s="127"/>
      <c r="AA1253" s="127"/>
      <c r="AB1253" s="127"/>
      <c r="AC1253" s="127"/>
      <c r="AD1253" s="261"/>
      <c r="AE1253" s="261"/>
      <c r="AF1253" s="261"/>
      <c r="AG1253" s="261"/>
    </row>
    <row r="1254" ht="34.5" hidden="1" customHeight="1">
      <c r="A1254" s="111"/>
      <c r="B1254" s="127"/>
      <c r="C1254" s="111"/>
      <c r="D1254" s="111"/>
      <c r="E1254" s="111"/>
      <c r="F1254" s="111"/>
      <c r="G1254" s="111"/>
      <c r="H1254" s="111"/>
      <c r="I1254" s="127"/>
      <c r="J1254" s="111"/>
      <c r="K1254" s="257"/>
      <c r="L1254" s="111"/>
      <c r="M1254" s="127"/>
      <c r="N1254" s="270"/>
      <c r="O1254" s="111"/>
      <c r="P1254" s="111"/>
      <c r="Q1254" s="128"/>
      <c r="R1254" s="124"/>
      <c r="S1254" s="125"/>
      <c r="T1254" s="126"/>
      <c r="U1254" s="126"/>
      <c r="V1254" s="126"/>
      <c r="W1254" s="126"/>
      <c r="X1254" s="126"/>
      <c r="Y1254" s="126"/>
      <c r="Z1254" s="127"/>
      <c r="AA1254" s="127"/>
      <c r="AB1254" s="127"/>
      <c r="AC1254" s="127"/>
      <c r="AD1254" s="261"/>
      <c r="AE1254" s="261"/>
      <c r="AF1254" s="261"/>
      <c r="AG1254" s="261"/>
    </row>
    <row r="1255" ht="34.5" hidden="1" customHeight="1">
      <c r="A1255" s="111"/>
      <c r="B1255" s="127"/>
      <c r="C1255" s="111"/>
      <c r="D1255" s="111"/>
      <c r="E1255" s="111"/>
      <c r="F1255" s="111"/>
      <c r="G1255" s="111"/>
      <c r="H1255" s="111"/>
      <c r="I1255" s="127"/>
      <c r="J1255" s="111"/>
      <c r="K1255" s="257"/>
      <c r="L1255" s="111"/>
      <c r="M1255" s="127"/>
      <c r="N1255" s="270"/>
      <c r="O1255" s="111"/>
      <c r="P1255" s="111"/>
      <c r="Q1255" s="128"/>
      <c r="R1255" s="124"/>
      <c r="S1255" s="125"/>
      <c r="T1255" s="126"/>
      <c r="U1255" s="126"/>
      <c r="V1255" s="126"/>
      <c r="W1255" s="126"/>
      <c r="X1255" s="126"/>
      <c r="Y1255" s="126"/>
      <c r="Z1255" s="127"/>
      <c r="AA1255" s="127"/>
      <c r="AB1255" s="127"/>
      <c r="AC1255" s="127"/>
      <c r="AD1255" s="261"/>
      <c r="AE1255" s="261"/>
      <c r="AF1255" s="261"/>
      <c r="AG1255" s="261"/>
    </row>
    <row r="1256" ht="34.5" hidden="1" customHeight="1">
      <c r="A1256" s="111"/>
      <c r="B1256" s="127"/>
      <c r="C1256" s="111"/>
      <c r="D1256" s="111"/>
      <c r="E1256" s="111"/>
      <c r="F1256" s="111"/>
      <c r="G1256" s="111"/>
      <c r="H1256" s="111"/>
      <c r="I1256" s="127"/>
      <c r="J1256" s="111"/>
      <c r="K1256" s="257"/>
      <c r="L1256" s="111"/>
      <c r="M1256" s="127"/>
      <c r="N1256" s="270"/>
      <c r="O1256" s="111"/>
      <c r="P1256" s="111"/>
      <c r="Q1256" s="128"/>
      <c r="R1256" s="124"/>
      <c r="S1256" s="125"/>
      <c r="T1256" s="126"/>
      <c r="U1256" s="126"/>
      <c r="V1256" s="126"/>
      <c r="W1256" s="126"/>
      <c r="X1256" s="126"/>
      <c r="Y1256" s="126"/>
      <c r="Z1256" s="127"/>
      <c r="AA1256" s="127"/>
      <c r="AB1256" s="127"/>
      <c r="AC1256" s="127"/>
      <c r="AD1256" s="261"/>
      <c r="AE1256" s="261"/>
      <c r="AF1256" s="261"/>
      <c r="AG1256" s="261"/>
    </row>
    <row r="1257" ht="34.5" hidden="1" customHeight="1">
      <c r="A1257" s="111"/>
      <c r="B1257" s="127"/>
      <c r="C1257" s="111"/>
      <c r="D1257" s="111"/>
      <c r="E1257" s="111"/>
      <c r="F1257" s="111"/>
      <c r="G1257" s="111"/>
      <c r="H1257" s="111"/>
      <c r="I1257" s="127"/>
      <c r="J1257" s="111"/>
      <c r="K1257" s="257"/>
      <c r="L1257" s="111"/>
      <c r="M1257" s="127"/>
      <c r="N1257" s="270"/>
      <c r="O1257" s="111"/>
      <c r="P1257" s="111"/>
      <c r="Q1257" s="128"/>
      <c r="R1257" s="124"/>
      <c r="S1257" s="125"/>
      <c r="T1257" s="126"/>
      <c r="U1257" s="126"/>
      <c r="V1257" s="126"/>
      <c r="W1257" s="126"/>
      <c r="X1257" s="126"/>
      <c r="Y1257" s="126"/>
      <c r="Z1257" s="127"/>
      <c r="AA1257" s="127"/>
      <c r="AB1257" s="127"/>
      <c r="AC1257" s="127"/>
      <c r="AD1257" s="261"/>
      <c r="AE1257" s="261"/>
      <c r="AF1257" s="261"/>
      <c r="AG1257" s="261"/>
    </row>
    <row r="1258" ht="34.5" hidden="1" customHeight="1">
      <c r="A1258" s="111"/>
      <c r="B1258" s="127"/>
      <c r="C1258" s="111"/>
      <c r="D1258" s="111"/>
      <c r="E1258" s="111"/>
      <c r="F1258" s="111"/>
      <c r="G1258" s="111"/>
      <c r="H1258" s="111"/>
      <c r="I1258" s="127"/>
      <c r="J1258" s="111"/>
      <c r="K1258" s="257"/>
      <c r="L1258" s="111"/>
      <c r="M1258" s="127"/>
      <c r="N1258" s="270"/>
      <c r="O1258" s="111"/>
      <c r="P1258" s="111"/>
      <c r="Q1258" s="128"/>
      <c r="R1258" s="124"/>
      <c r="S1258" s="125"/>
      <c r="T1258" s="126"/>
      <c r="U1258" s="126"/>
      <c r="V1258" s="126"/>
      <c r="W1258" s="126"/>
      <c r="X1258" s="126"/>
      <c r="Y1258" s="126"/>
      <c r="Z1258" s="127"/>
      <c r="AA1258" s="127"/>
      <c r="AB1258" s="127"/>
      <c r="AC1258" s="127"/>
      <c r="AD1258" s="261"/>
      <c r="AE1258" s="261"/>
      <c r="AF1258" s="261"/>
      <c r="AG1258" s="261"/>
    </row>
    <row r="1259" ht="34.5" hidden="1" customHeight="1">
      <c r="A1259" s="111"/>
      <c r="B1259" s="127"/>
      <c r="C1259" s="111"/>
      <c r="D1259" s="111"/>
      <c r="E1259" s="111"/>
      <c r="F1259" s="111"/>
      <c r="G1259" s="111"/>
      <c r="H1259" s="111"/>
      <c r="I1259" s="127"/>
      <c r="J1259" s="111"/>
      <c r="K1259" s="257"/>
      <c r="L1259" s="111"/>
      <c r="M1259" s="127"/>
      <c r="N1259" s="270"/>
      <c r="O1259" s="111"/>
      <c r="P1259" s="111"/>
      <c r="Q1259" s="128"/>
      <c r="R1259" s="124"/>
      <c r="S1259" s="125"/>
      <c r="T1259" s="126"/>
      <c r="U1259" s="126"/>
      <c r="V1259" s="126"/>
      <c r="W1259" s="126"/>
      <c r="X1259" s="126"/>
      <c r="Y1259" s="126"/>
      <c r="Z1259" s="127"/>
      <c r="AA1259" s="127"/>
      <c r="AB1259" s="127"/>
      <c r="AC1259" s="127"/>
      <c r="AD1259" s="261"/>
      <c r="AE1259" s="261"/>
      <c r="AF1259" s="261"/>
      <c r="AG1259" s="261"/>
    </row>
    <row r="1260" ht="34.5" hidden="1" customHeight="1">
      <c r="A1260" s="111"/>
      <c r="B1260" s="127"/>
      <c r="C1260" s="111"/>
      <c r="D1260" s="111"/>
      <c r="E1260" s="111"/>
      <c r="F1260" s="111"/>
      <c r="G1260" s="111"/>
      <c r="H1260" s="111"/>
      <c r="I1260" s="127"/>
      <c r="J1260" s="111"/>
      <c r="K1260" s="257"/>
      <c r="L1260" s="111"/>
      <c r="M1260" s="127"/>
      <c r="N1260" s="270"/>
      <c r="O1260" s="111"/>
      <c r="P1260" s="111"/>
      <c r="Q1260" s="128"/>
      <c r="R1260" s="124"/>
      <c r="S1260" s="125"/>
      <c r="T1260" s="126"/>
      <c r="U1260" s="126"/>
      <c r="V1260" s="126"/>
      <c r="W1260" s="126"/>
      <c r="X1260" s="126"/>
      <c r="Y1260" s="126"/>
      <c r="Z1260" s="127"/>
      <c r="AA1260" s="127"/>
      <c r="AB1260" s="127"/>
      <c r="AC1260" s="127"/>
      <c r="AD1260" s="261"/>
      <c r="AE1260" s="261"/>
      <c r="AF1260" s="261"/>
      <c r="AG1260" s="261"/>
    </row>
    <row r="1261" ht="34.5" hidden="1" customHeight="1">
      <c r="A1261" s="111"/>
      <c r="B1261" s="127"/>
      <c r="C1261" s="111"/>
      <c r="D1261" s="111"/>
      <c r="E1261" s="111"/>
      <c r="F1261" s="111"/>
      <c r="G1261" s="111"/>
      <c r="H1261" s="111"/>
      <c r="I1261" s="127"/>
      <c r="J1261" s="111"/>
      <c r="K1261" s="257"/>
      <c r="L1261" s="111"/>
      <c r="M1261" s="127"/>
      <c r="N1261" s="270"/>
      <c r="O1261" s="111"/>
      <c r="P1261" s="111"/>
      <c r="Q1261" s="128"/>
      <c r="R1261" s="124"/>
      <c r="S1261" s="125"/>
      <c r="T1261" s="126"/>
      <c r="U1261" s="126"/>
      <c r="V1261" s="126"/>
      <c r="W1261" s="126"/>
      <c r="X1261" s="126"/>
      <c r="Y1261" s="126"/>
      <c r="Z1261" s="127"/>
      <c r="AA1261" s="127"/>
      <c r="AB1261" s="127"/>
      <c r="AC1261" s="127"/>
      <c r="AD1261" s="261"/>
      <c r="AE1261" s="261"/>
      <c r="AF1261" s="261"/>
      <c r="AG1261" s="261"/>
    </row>
    <row r="1262" ht="34.5" hidden="1" customHeight="1">
      <c r="A1262" s="111"/>
      <c r="B1262" s="127"/>
      <c r="C1262" s="111"/>
      <c r="D1262" s="111"/>
      <c r="E1262" s="111"/>
      <c r="F1262" s="111"/>
      <c r="G1262" s="111"/>
      <c r="H1262" s="111"/>
      <c r="I1262" s="127"/>
      <c r="J1262" s="111"/>
      <c r="K1262" s="257"/>
      <c r="L1262" s="111"/>
      <c r="M1262" s="127"/>
      <c r="N1262" s="270"/>
      <c r="O1262" s="111"/>
      <c r="P1262" s="111"/>
      <c r="Q1262" s="128"/>
      <c r="R1262" s="124"/>
      <c r="S1262" s="125"/>
      <c r="T1262" s="126"/>
      <c r="U1262" s="126"/>
      <c r="V1262" s="126"/>
      <c r="W1262" s="126"/>
      <c r="X1262" s="126"/>
      <c r="Y1262" s="126"/>
      <c r="Z1262" s="127"/>
      <c r="AA1262" s="127"/>
      <c r="AB1262" s="127"/>
      <c r="AC1262" s="127"/>
      <c r="AD1262" s="261"/>
      <c r="AE1262" s="261"/>
      <c r="AF1262" s="261"/>
      <c r="AG1262" s="261"/>
    </row>
    <row r="1263" ht="34.5" hidden="1" customHeight="1">
      <c r="A1263" s="111"/>
      <c r="B1263" s="127"/>
      <c r="C1263" s="111"/>
      <c r="D1263" s="111"/>
      <c r="E1263" s="111"/>
      <c r="F1263" s="111"/>
      <c r="G1263" s="111"/>
      <c r="H1263" s="111"/>
      <c r="I1263" s="127"/>
      <c r="J1263" s="111"/>
      <c r="K1263" s="257"/>
      <c r="L1263" s="111"/>
      <c r="M1263" s="127"/>
      <c r="N1263" s="270"/>
      <c r="O1263" s="111"/>
      <c r="P1263" s="111"/>
      <c r="Q1263" s="128"/>
      <c r="R1263" s="124"/>
      <c r="S1263" s="125"/>
      <c r="T1263" s="126"/>
      <c r="U1263" s="126"/>
      <c r="V1263" s="126"/>
      <c r="W1263" s="126"/>
      <c r="X1263" s="126"/>
      <c r="Y1263" s="126"/>
      <c r="Z1263" s="127"/>
      <c r="AA1263" s="127"/>
      <c r="AB1263" s="127"/>
      <c r="AC1263" s="127"/>
      <c r="AD1263" s="261"/>
      <c r="AE1263" s="261"/>
      <c r="AF1263" s="261"/>
      <c r="AG1263" s="261"/>
    </row>
    <row r="1264" ht="34.5" hidden="1" customHeight="1">
      <c r="A1264" s="111"/>
      <c r="B1264" s="127"/>
      <c r="C1264" s="111"/>
      <c r="D1264" s="111"/>
      <c r="E1264" s="111"/>
      <c r="F1264" s="111"/>
      <c r="G1264" s="111"/>
      <c r="H1264" s="111"/>
      <c r="I1264" s="127"/>
      <c r="J1264" s="111"/>
      <c r="K1264" s="257"/>
      <c r="L1264" s="111"/>
      <c r="M1264" s="127"/>
      <c r="N1264" s="270"/>
      <c r="O1264" s="111"/>
      <c r="P1264" s="111"/>
      <c r="Q1264" s="128"/>
      <c r="R1264" s="124"/>
      <c r="S1264" s="125"/>
      <c r="T1264" s="126"/>
      <c r="U1264" s="126"/>
      <c r="V1264" s="126"/>
      <c r="W1264" s="126"/>
      <c r="X1264" s="126"/>
      <c r="Y1264" s="126"/>
      <c r="Z1264" s="127"/>
      <c r="AA1264" s="127"/>
      <c r="AB1264" s="127"/>
      <c r="AC1264" s="127"/>
      <c r="AD1264" s="261"/>
      <c r="AE1264" s="261"/>
      <c r="AF1264" s="261"/>
      <c r="AG1264" s="261"/>
    </row>
    <row r="1265" ht="34.5" hidden="1" customHeight="1">
      <c r="A1265" s="111"/>
      <c r="B1265" s="127"/>
      <c r="C1265" s="111"/>
      <c r="D1265" s="111"/>
      <c r="E1265" s="111"/>
      <c r="F1265" s="111"/>
      <c r="G1265" s="111"/>
      <c r="H1265" s="111"/>
      <c r="I1265" s="127"/>
      <c r="J1265" s="111"/>
      <c r="K1265" s="257"/>
      <c r="L1265" s="111"/>
      <c r="M1265" s="127"/>
      <c r="N1265" s="270"/>
      <c r="O1265" s="111"/>
      <c r="P1265" s="111"/>
      <c r="Q1265" s="128"/>
      <c r="R1265" s="124"/>
      <c r="S1265" s="125"/>
      <c r="T1265" s="126"/>
      <c r="U1265" s="126"/>
      <c r="V1265" s="126"/>
      <c r="W1265" s="126"/>
      <c r="X1265" s="126"/>
      <c r="Y1265" s="126"/>
      <c r="Z1265" s="127"/>
      <c r="AA1265" s="127"/>
      <c r="AB1265" s="127"/>
      <c r="AC1265" s="127"/>
      <c r="AD1265" s="261"/>
      <c r="AE1265" s="261"/>
      <c r="AF1265" s="261"/>
      <c r="AG1265" s="261"/>
    </row>
    <row r="1266" ht="34.5" hidden="1" customHeight="1">
      <c r="A1266" s="111"/>
      <c r="B1266" s="127"/>
      <c r="C1266" s="111"/>
      <c r="D1266" s="111"/>
      <c r="E1266" s="111"/>
      <c r="F1266" s="111"/>
      <c r="G1266" s="111"/>
      <c r="H1266" s="111"/>
      <c r="I1266" s="127"/>
      <c r="J1266" s="111"/>
      <c r="K1266" s="257"/>
      <c r="L1266" s="111"/>
      <c r="M1266" s="127"/>
      <c r="N1266" s="270"/>
      <c r="O1266" s="111"/>
      <c r="P1266" s="111"/>
      <c r="Q1266" s="128"/>
      <c r="R1266" s="124"/>
      <c r="S1266" s="125"/>
      <c r="T1266" s="126"/>
      <c r="U1266" s="126"/>
      <c r="V1266" s="126"/>
      <c r="W1266" s="126"/>
      <c r="X1266" s="126"/>
      <c r="Y1266" s="126"/>
      <c r="Z1266" s="127"/>
      <c r="AA1266" s="127"/>
      <c r="AB1266" s="127"/>
      <c r="AC1266" s="127"/>
      <c r="AD1266" s="261"/>
      <c r="AE1266" s="261"/>
      <c r="AF1266" s="261"/>
      <c r="AG1266" s="261"/>
    </row>
    <row r="1267" ht="34.5" hidden="1" customHeight="1">
      <c r="A1267" s="111"/>
      <c r="B1267" s="127"/>
      <c r="C1267" s="111"/>
      <c r="D1267" s="111"/>
      <c r="E1267" s="111"/>
      <c r="F1267" s="111"/>
      <c r="G1267" s="111"/>
      <c r="H1267" s="111"/>
      <c r="I1267" s="127"/>
      <c r="J1267" s="111"/>
      <c r="K1267" s="257"/>
      <c r="L1267" s="111"/>
      <c r="M1267" s="127"/>
      <c r="N1267" s="270"/>
      <c r="O1267" s="111"/>
      <c r="P1267" s="111"/>
      <c r="Q1267" s="128"/>
      <c r="R1267" s="124"/>
      <c r="S1267" s="125"/>
      <c r="T1267" s="126"/>
      <c r="U1267" s="126"/>
      <c r="V1267" s="126"/>
      <c r="W1267" s="126"/>
      <c r="X1267" s="126"/>
      <c r="Y1267" s="126"/>
      <c r="Z1267" s="127"/>
      <c r="AA1267" s="127"/>
      <c r="AB1267" s="127"/>
      <c r="AC1267" s="127"/>
      <c r="AD1267" s="261"/>
      <c r="AE1267" s="261"/>
      <c r="AF1267" s="261"/>
      <c r="AG1267" s="261"/>
    </row>
    <row r="1268" ht="34.5" hidden="1" customHeight="1">
      <c r="A1268" s="111"/>
      <c r="B1268" s="127"/>
      <c r="C1268" s="111"/>
      <c r="D1268" s="111"/>
      <c r="E1268" s="111"/>
      <c r="F1268" s="111"/>
      <c r="G1268" s="111"/>
      <c r="H1268" s="111"/>
      <c r="I1268" s="127"/>
      <c r="J1268" s="111"/>
      <c r="K1268" s="257"/>
      <c r="L1268" s="111"/>
      <c r="M1268" s="127"/>
      <c r="N1268" s="270"/>
      <c r="O1268" s="111"/>
      <c r="P1268" s="111"/>
      <c r="Q1268" s="128"/>
      <c r="R1268" s="124"/>
      <c r="S1268" s="125"/>
      <c r="T1268" s="126"/>
      <c r="U1268" s="126"/>
      <c r="V1268" s="126"/>
      <c r="W1268" s="126"/>
      <c r="X1268" s="126"/>
      <c r="Y1268" s="126"/>
      <c r="Z1268" s="127"/>
      <c r="AA1268" s="127"/>
      <c r="AB1268" s="127"/>
      <c r="AC1268" s="127"/>
      <c r="AD1268" s="261"/>
      <c r="AE1268" s="261"/>
      <c r="AF1268" s="261"/>
      <c r="AG1268" s="261"/>
    </row>
    <row r="1269" ht="34.5" hidden="1" customHeight="1">
      <c r="A1269" s="111"/>
      <c r="B1269" s="127"/>
      <c r="C1269" s="111"/>
      <c r="D1269" s="111"/>
      <c r="E1269" s="111"/>
      <c r="F1269" s="111"/>
      <c r="G1269" s="111"/>
      <c r="H1269" s="111"/>
      <c r="I1269" s="127"/>
      <c r="J1269" s="111"/>
      <c r="K1269" s="257"/>
      <c r="L1269" s="111"/>
      <c r="M1269" s="127"/>
      <c r="N1269" s="270"/>
      <c r="O1269" s="111"/>
      <c r="P1269" s="111"/>
      <c r="Q1269" s="128"/>
      <c r="R1269" s="124"/>
      <c r="S1269" s="125"/>
      <c r="T1269" s="126"/>
      <c r="U1269" s="126"/>
      <c r="V1269" s="126"/>
      <c r="W1269" s="126"/>
      <c r="X1269" s="126"/>
      <c r="Y1269" s="126"/>
      <c r="Z1269" s="127"/>
      <c r="AA1269" s="127"/>
      <c r="AB1269" s="127"/>
      <c r="AC1269" s="127"/>
      <c r="AD1269" s="261"/>
      <c r="AE1269" s="261"/>
      <c r="AF1269" s="261"/>
      <c r="AG1269" s="261"/>
    </row>
    <row r="1270" ht="34.5" hidden="1" customHeight="1">
      <c r="A1270" s="111"/>
      <c r="B1270" s="127"/>
      <c r="C1270" s="111"/>
      <c r="D1270" s="111"/>
      <c r="E1270" s="111"/>
      <c r="F1270" s="111"/>
      <c r="G1270" s="111"/>
      <c r="H1270" s="111"/>
      <c r="I1270" s="127"/>
      <c r="J1270" s="111"/>
      <c r="K1270" s="257"/>
      <c r="L1270" s="111"/>
      <c r="M1270" s="127"/>
      <c r="N1270" s="270"/>
      <c r="O1270" s="111"/>
      <c r="P1270" s="111"/>
      <c r="Q1270" s="128"/>
      <c r="R1270" s="124"/>
      <c r="S1270" s="125"/>
      <c r="T1270" s="126"/>
      <c r="U1270" s="126"/>
      <c r="V1270" s="126"/>
      <c r="W1270" s="126"/>
      <c r="X1270" s="126"/>
      <c r="Y1270" s="126"/>
      <c r="Z1270" s="127"/>
      <c r="AA1270" s="127"/>
      <c r="AB1270" s="127"/>
      <c r="AC1270" s="127"/>
      <c r="AD1270" s="261"/>
      <c r="AE1270" s="261"/>
      <c r="AF1270" s="261"/>
      <c r="AG1270" s="261"/>
    </row>
    <row r="1271" ht="34.5" hidden="1" customHeight="1">
      <c r="A1271" s="111"/>
      <c r="B1271" s="127"/>
      <c r="C1271" s="111"/>
      <c r="D1271" s="111"/>
      <c r="E1271" s="111"/>
      <c r="F1271" s="111"/>
      <c r="G1271" s="111"/>
      <c r="H1271" s="111"/>
      <c r="I1271" s="127"/>
      <c r="J1271" s="111"/>
      <c r="K1271" s="257"/>
      <c r="L1271" s="111"/>
      <c r="M1271" s="127"/>
      <c r="N1271" s="270"/>
      <c r="O1271" s="111"/>
      <c r="P1271" s="111"/>
      <c r="Q1271" s="128"/>
      <c r="R1271" s="124"/>
      <c r="S1271" s="125"/>
      <c r="T1271" s="126"/>
      <c r="U1271" s="126"/>
      <c r="V1271" s="126"/>
      <c r="W1271" s="126"/>
      <c r="X1271" s="126"/>
      <c r="Y1271" s="126"/>
      <c r="Z1271" s="127"/>
      <c r="AA1271" s="127"/>
      <c r="AB1271" s="127"/>
      <c r="AC1271" s="127"/>
      <c r="AD1271" s="261"/>
      <c r="AE1271" s="261"/>
      <c r="AF1271" s="261"/>
      <c r="AG1271" s="261"/>
    </row>
    <row r="1272" ht="34.5" hidden="1" customHeight="1">
      <c r="A1272" s="111"/>
      <c r="B1272" s="127"/>
      <c r="C1272" s="111"/>
      <c r="D1272" s="111"/>
      <c r="E1272" s="111"/>
      <c r="F1272" s="111"/>
      <c r="G1272" s="111"/>
      <c r="H1272" s="111"/>
      <c r="I1272" s="127"/>
      <c r="J1272" s="111"/>
      <c r="K1272" s="257"/>
      <c r="L1272" s="111"/>
      <c r="M1272" s="127"/>
      <c r="N1272" s="270"/>
      <c r="O1272" s="111"/>
      <c r="P1272" s="111"/>
      <c r="Q1272" s="128"/>
      <c r="R1272" s="124"/>
      <c r="S1272" s="125"/>
      <c r="T1272" s="126"/>
      <c r="U1272" s="126"/>
      <c r="V1272" s="126"/>
      <c r="W1272" s="126"/>
      <c r="X1272" s="126"/>
      <c r="Y1272" s="126"/>
      <c r="Z1272" s="127"/>
      <c r="AA1272" s="127"/>
      <c r="AB1272" s="127"/>
      <c r="AC1272" s="127"/>
      <c r="AD1272" s="261"/>
      <c r="AE1272" s="261"/>
      <c r="AF1272" s="261"/>
      <c r="AG1272" s="261"/>
    </row>
    <row r="1273" ht="34.5" hidden="1" customHeight="1">
      <c r="A1273" s="111"/>
      <c r="B1273" s="127"/>
      <c r="C1273" s="111"/>
      <c r="D1273" s="111"/>
      <c r="E1273" s="111"/>
      <c r="F1273" s="111"/>
      <c r="G1273" s="111"/>
      <c r="H1273" s="111"/>
      <c r="I1273" s="127"/>
      <c r="J1273" s="111"/>
      <c r="K1273" s="257"/>
      <c r="L1273" s="111"/>
      <c r="M1273" s="127"/>
      <c r="N1273" s="270"/>
      <c r="O1273" s="111"/>
      <c r="P1273" s="111"/>
      <c r="Q1273" s="128"/>
      <c r="R1273" s="124"/>
      <c r="S1273" s="125"/>
      <c r="T1273" s="126"/>
      <c r="U1273" s="126"/>
      <c r="V1273" s="126"/>
      <c r="W1273" s="126"/>
      <c r="X1273" s="126"/>
      <c r="Y1273" s="126"/>
      <c r="Z1273" s="127"/>
      <c r="AA1273" s="127"/>
      <c r="AB1273" s="127"/>
      <c r="AC1273" s="127"/>
      <c r="AD1273" s="261"/>
      <c r="AE1273" s="261"/>
      <c r="AF1273" s="261"/>
      <c r="AG1273" s="261"/>
    </row>
    <row r="1274" ht="34.5" hidden="1" customHeight="1">
      <c r="A1274" s="111"/>
      <c r="B1274" s="127"/>
      <c r="C1274" s="111"/>
      <c r="D1274" s="111"/>
      <c r="E1274" s="111"/>
      <c r="F1274" s="111"/>
      <c r="G1274" s="111"/>
      <c r="H1274" s="111"/>
      <c r="I1274" s="127"/>
      <c r="J1274" s="111"/>
      <c r="K1274" s="257"/>
      <c r="L1274" s="111"/>
      <c r="M1274" s="127"/>
      <c r="N1274" s="270"/>
      <c r="O1274" s="111"/>
      <c r="P1274" s="111"/>
      <c r="Q1274" s="128"/>
      <c r="R1274" s="124"/>
      <c r="S1274" s="125"/>
      <c r="T1274" s="126"/>
      <c r="U1274" s="126"/>
      <c r="V1274" s="126"/>
      <c r="W1274" s="126"/>
      <c r="X1274" s="126"/>
      <c r="Y1274" s="126"/>
      <c r="Z1274" s="127"/>
      <c r="AA1274" s="127"/>
      <c r="AB1274" s="127"/>
      <c r="AC1274" s="127"/>
      <c r="AD1274" s="261"/>
      <c r="AE1274" s="261"/>
      <c r="AF1274" s="261"/>
      <c r="AG1274" s="261"/>
    </row>
    <row r="1275" ht="34.5" hidden="1" customHeight="1">
      <c r="A1275" s="111"/>
      <c r="B1275" s="127"/>
      <c r="C1275" s="111"/>
      <c r="D1275" s="111"/>
      <c r="E1275" s="111"/>
      <c r="F1275" s="111"/>
      <c r="G1275" s="111"/>
      <c r="H1275" s="111"/>
      <c r="I1275" s="127"/>
      <c r="J1275" s="111"/>
      <c r="K1275" s="257"/>
      <c r="L1275" s="111"/>
      <c r="M1275" s="127"/>
      <c r="N1275" s="270"/>
      <c r="O1275" s="111"/>
      <c r="P1275" s="111"/>
      <c r="Q1275" s="128"/>
      <c r="R1275" s="124"/>
      <c r="S1275" s="125"/>
      <c r="T1275" s="126"/>
      <c r="U1275" s="126"/>
      <c r="V1275" s="126"/>
      <c r="W1275" s="126"/>
      <c r="X1275" s="126"/>
      <c r="Y1275" s="126"/>
      <c r="Z1275" s="127"/>
      <c r="AA1275" s="127"/>
      <c r="AB1275" s="127"/>
      <c r="AC1275" s="127"/>
      <c r="AD1275" s="261"/>
      <c r="AE1275" s="261"/>
      <c r="AF1275" s="261"/>
      <c r="AG1275" s="261"/>
    </row>
    <row r="1276" ht="34.5" hidden="1" customHeight="1">
      <c r="A1276" s="111"/>
      <c r="B1276" s="127"/>
      <c r="C1276" s="111"/>
      <c r="D1276" s="111"/>
      <c r="E1276" s="111"/>
      <c r="F1276" s="111"/>
      <c r="G1276" s="111"/>
      <c r="H1276" s="111"/>
      <c r="I1276" s="127"/>
      <c r="J1276" s="111"/>
      <c r="K1276" s="257"/>
      <c r="L1276" s="111"/>
      <c r="M1276" s="127"/>
      <c r="N1276" s="270"/>
      <c r="O1276" s="111"/>
      <c r="P1276" s="111"/>
      <c r="Q1276" s="128"/>
      <c r="R1276" s="124"/>
      <c r="S1276" s="125"/>
      <c r="T1276" s="126"/>
      <c r="U1276" s="126"/>
      <c r="V1276" s="126"/>
      <c r="W1276" s="126"/>
      <c r="X1276" s="126"/>
      <c r="Y1276" s="126"/>
      <c r="Z1276" s="127"/>
      <c r="AA1276" s="127"/>
      <c r="AB1276" s="127"/>
      <c r="AC1276" s="127"/>
      <c r="AD1276" s="261"/>
      <c r="AE1276" s="261"/>
      <c r="AF1276" s="261"/>
      <c r="AG1276" s="261"/>
    </row>
    <row r="1277" ht="34.5" hidden="1" customHeight="1">
      <c r="A1277" s="111"/>
      <c r="B1277" s="127"/>
      <c r="C1277" s="111"/>
      <c r="D1277" s="111"/>
      <c r="E1277" s="111"/>
      <c r="F1277" s="111"/>
      <c r="G1277" s="111"/>
      <c r="H1277" s="111"/>
      <c r="I1277" s="127"/>
      <c r="J1277" s="111"/>
      <c r="K1277" s="257"/>
      <c r="L1277" s="111"/>
      <c r="M1277" s="127"/>
      <c r="N1277" s="270"/>
      <c r="O1277" s="111"/>
      <c r="P1277" s="111"/>
      <c r="Q1277" s="128"/>
      <c r="R1277" s="124"/>
      <c r="S1277" s="125"/>
      <c r="T1277" s="126"/>
      <c r="U1277" s="126"/>
      <c r="V1277" s="126"/>
      <c r="W1277" s="126"/>
      <c r="X1277" s="126"/>
      <c r="Y1277" s="126"/>
      <c r="Z1277" s="127"/>
      <c r="AA1277" s="127"/>
      <c r="AB1277" s="127"/>
      <c r="AC1277" s="127"/>
      <c r="AD1277" s="261"/>
      <c r="AE1277" s="261"/>
      <c r="AF1277" s="261"/>
      <c r="AG1277" s="261"/>
    </row>
    <row r="1278" ht="34.5" hidden="1" customHeight="1">
      <c r="A1278" s="111"/>
      <c r="B1278" s="127"/>
      <c r="C1278" s="111"/>
      <c r="D1278" s="111"/>
      <c r="E1278" s="111"/>
      <c r="F1278" s="111"/>
      <c r="G1278" s="111"/>
      <c r="H1278" s="111"/>
      <c r="I1278" s="127"/>
      <c r="J1278" s="111"/>
      <c r="K1278" s="257"/>
      <c r="L1278" s="111"/>
      <c r="M1278" s="127"/>
      <c r="N1278" s="270"/>
      <c r="O1278" s="111"/>
      <c r="P1278" s="111"/>
      <c r="Q1278" s="128"/>
      <c r="R1278" s="124"/>
      <c r="S1278" s="125"/>
      <c r="T1278" s="126"/>
      <c r="U1278" s="126"/>
      <c r="V1278" s="126"/>
      <c r="W1278" s="126"/>
      <c r="X1278" s="126"/>
      <c r="Y1278" s="126"/>
      <c r="Z1278" s="127"/>
      <c r="AA1278" s="127"/>
      <c r="AB1278" s="127"/>
      <c r="AC1278" s="127"/>
      <c r="AD1278" s="261"/>
      <c r="AE1278" s="261"/>
      <c r="AF1278" s="261"/>
      <c r="AG1278" s="261"/>
    </row>
    <row r="1279" ht="34.5" hidden="1" customHeight="1">
      <c r="A1279" s="111"/>
      <c r="B1279" s="127"/>
      <c r="C1279" s="111"/>
      <c r="D1279" s="111"/>
      <c r="E1279" s="111"/>
      <c r="F1279" s="111"/>
      <c r="G1279" s="111"/>
      <c r="H1279" s="111"/>
      <c r="I1279" s="127"/>
      <c r="J1279" s="111"/>
      <c r="K1279" s="257"/>
      <c r="L1279" s="111"/>
      <c r="M1279" s="127"/>
      <c r="N1279" s="270"/>
      <c r="O1279" s="111"/>
      <c r="P1279" s="111"/>
      <c r="Q1279" s="128"/>
      <c r="R1279" s="124"/>
      <c r="S1279" s="125"/>
      <c r="T1279" s="126"/>
      <c r="U1279" s="126"/>
      <c r="V1279" s="126"/>
      <c r="W1279" s="126"/>
      <c r="X1279" s="126"/>
      <c r="Y1279" s="126"/>
      <c r="Z1279" s="127"/>
      <c r="AA1279" s="127"/>
      <c r="AB1279" s="127"/>
      <c r="AC1279" s="127"/>
      <c r="AD1279" s="261"/>
      <c r="AE1279" s="261"/>
      <c r="AF1279" s="261"/>
      <c r="AG1279" s="261"/>
    </row>
    <row r="1280" ht="34.5" hidden="1" customHeight="1">
      <c r="A1280" s="111"/>
      <c r="B1280" s="127"/>
      <c r="C1280" s="111"/>
      <c r="D1280" s="111"/>
      <c r="E1280" s="111"/>
      <c r="F1280" s="111"/>
      <c r="G1280" s="111"/>
      <c r="H1280" s="111"/>
      <c r="I1280" s="127"/>
      <c r="J1280" s="111"/>
      <c r="K1280" s="257"/>
      <c r="L1280" s="111"/>
      <c r="M1280" s="127"/>
      <c r="N1280" s="270"/>
      <c r="O1280" s="111"/>
      <c r="P1280" s="111"/>
      <c r="Q1280" s="128"/>
      <c r="R1280" s="124"/>
      <c r="S1280" s="125"/>
      <c r="T1280" s="126"/>
      <c r="U1280" s="126"/>
      <c r="V1280" s="126"/>
      <c r="W1280" s="126"/>
      <c r="X1280" s="126"/>
      <c r="Y1280" s="126"/>
      <c r="Z1280" s="127"/>
      <c r="AA1280" s="127"/>
      <c r="AB1280" s="127"/>
      <c r="AC1280" s="127"/>
      <c r="AD1280" s="261"/>
      <c r="AE1280" s="261"/>
      <c r="AF1280" s="261"/>
      <c r="AG1280" s="261"/>
    </row>
    <row r="1281" ht="34.5" hidden="1" customHeight="1">
      <c r="A1281" s="111"/>
      <c r="B1281" s="127"/>
      <c r="C1281" s="111"/>
      <c r="D1281" s="111"/>
      <c r="E1281" s="111"/>
      <c r="F1281" s="111"/>
      <c r="G1281" s="111"/>
      <c r="H1281" s="111"/>
      <c r="I1281" s="127"/>
      <c r="J1281" s="111"/>
      <c r="K1281" s="257"/>
      <c r="L1281" s="111"/>
      <c r="M1281" s="127"/>
      <c r="N1281" s="270"/>
      <c r="O1281" s="111"/>
      <c r="P1281" s="111"/>
      <c r="Q1281" s="128"/>
      <c r="R1281" s="124"/>
      <c r="S1281" s="125"/>
      <c r="T1281" s="126"/>
      <c r="U1281" s="126"/>
      <c r="V1281" s="126"/>
      <c r="W1281" s="126"/>
      <c r="X1281" s="126"/>
      <c r="Y1281" s="126"/>
      <c r="Z1281" s="127"/>
      <c r="AA1281" s="127"/>
      <c r="AB1281" s="127"/>
      <c r="AC1281" s="127"/>
      <c r="AD1281" s="261"/>
      <c r="AE1281" s="261"/>
      <c r="AF1281" s="261"/>
      <c r="AG1281" s="261"/>
    </row>
    <row r="1282" ht="34.5" hidden="1" customHeight="1">
      <c r="A1282" s="111"/>
      <c r="B1282" s="127"/>
      <c r="C1282" s="111"/>
      <c r="D1282" s="111"/>
      <c r="E1282" s="111"/>
      <c r="F1282" s="111"/>
      <c r="G1282" s="111"/>
      <c r="H1282" s="111"/>
      <c r="I1282" s="127"/>
      <c r="J1282" s="111"/>
      <c r="K1282" s="257"/>
      <c r="L1282" s="111"/>
      <c r="M1282" s="127"/>
      <c r="N1282" s="270"/>
      <c r="O1282" s="111"/>
      <c r="P1282" s="111"/>
      <c r="Q1282" s="128"/>
      <c r="R1282" s="124"/>
      <c r="S1282" s="125"/>
      <c r="T1282" s="126"/>
      <c r="U1282" s="126"/>
      <c r="V1282" s="126"/>
      <c r="W1282" s="126"/>
      <c r="X1282" s="126"/>
      <c r="Y1282" s="126"/>
      <c r="Z1282" s="127"/>
      <c r="AA1282" s="127"/>
      <c r="AB1282" s="127"/>
      <c r="AC1282" s="127"/>
      <c r="AD1282" s="261"/>
      <c r="AE1282" s="261"/>
      <c r="AF1282" s="261"/>
      <c r="AG1282" s="261"/>
    </row>
    <row r="1283" ht="34.5" hidden="1" customHeight="1">
      <c r="A1283" s="111"/>
      <c r="B1283" s="127"/>
      <c r="C1283" s="111"/>
      <c r="D1283" s="111"/>
      <c r="E1283" s="111"/>
      <c r="F1283" s="111"/>
      <c r="G1283" s="111"/>
      <c r="H1283" s="111"/>
      <c r="I1283" s="127"/>
      <c r="J1283" s="111"/>
      <c r="K1283" s="257"/>
      <c r="L1283" s="111"/>
      <c r="M1283" s="127"/>
      <c r="N1283" s="270"/>
      <c r="O1283" s="111"/>
      <c r="P1283" s="111"/>
      <c r="Q1283" s="128"/>
      <c r="R1283" s="124"/>
      <c r="S1283" s="125"/>
      <c r="T1283" s="126"/>
      <c r="U1283" s="126"/>
      <c r="V1283" s="126"/>
      <c r="W1283" s="126"/>
      <c r="X1283" s="126"/>
      <c r="Y1283" s="126"/>
      <c r="Z1283" s="127"/>
      <c r="AA1283" s="127"/>
      <c r="AB1283" s="127"/>
      <c r="AC1283" s="127"/>
      <c r="AD1283" s="261"/>
      <c r="AE1283" s="261"/>
      <c r="AF1283" s="261"/>
      <c r="AG1283" s="261"/>
    </row>
    <row r="1284" ht="34.5" hidden="1" customHeight="1">
      <c r="A1284" s="111"/>
      <c r="B1284" s="127"/>
      <c r="C1284" s="111"/>
      <c r="D1284" s="111"/>
      <c r="E1284" s="111"/>
      <c r="F1284" s="111"/>
      <c r="G1284" s="111"/>
      <c r="H1284" s="111"/>
      <c r="I1284" s="127"/>
      <c r="J1284" s="111"/>
      <c r="K1284" s="257"/>
      <c r="L1284" s="111"/>
      <c r="M1284" s="127"/>
      <c r="N1284" s="270"/>
      <c r="O1284" s="111"/>
      <c r="P1284" s="111"/>
      <c r="Q1284" s="128"/>
      <c r="R1284" s="124"/>
      <c r="S1284" s="125"/>
      <c r="T1284" s="126"/>
      <c r="U1284" s="126"/>
      <c r="V1284" s="126"/>
      <c r="W1284" s="126"/>
      <c r="X1284" s="126"/>
      <c r="Y1284" s="126"/>
      <c r="Z1284" s="127"/>
      <c r="AA1284" s="127"/>
      <c r="AB1284" s="127"/>
      <c r="AC1284" s="127"/>
      <c r="AD1284" s="261"/>
      <c r="AE1284" s="261"/>
      <c r="AF1284" s="261"/>
      <c r="AG1284" s="261"/>
    </row>
    <row r="1285" ht="34.5" hidden="1" customHeight="1">
      <c r="A1285" s="111"/>
      <c r="B1285" s="127"/>
      <c r="C1285" s="111"/>
      <c r="D1285" s="111"/>
      <c r="E1285" s="111"/>
      <c r="F1285" s="111"/>
      <c r="G1285" s="111"/>
      <c r="H1285" s="111"/>
      <c r="I1285" s="127"/>
      <c r="J1285" s="111"/>
      <c r="K1285" s="257"/>
      <c r="L1285" s="111"/>
      <c r="M1285" s="127"/>
      <c r="N1285" s="270"/>
      <c r="O1285" s="111"/>
      <c r="P1285" s="111"/>
      <c r="Q1285" s="128"/>
      <c r="R1285" s="124"/>
      <c r="S1285" s="125"/>
      <c r="T1285" s="126"/>
      <c r="U1285" s="126"/>
      <c r="V1285" s="126"/>
      <c r="W1285" s="126"/>
      <c r="X1285" s="126"/>
      <c r="Y1285" s="126"/>
      <c r="Z1285" s="127"/>
      <c r="AA1285" s="127"/>
      <c r="AB1285" s="127"/>
      <c r="AC1285" s="127"/>
      <c r="AD1285" s="261"/>
      <c r="AE1285" s="261"/>
      <c r="AF1285" s="261"/>
      <c r="AG1285" s="261"/>
    </row>
    <row r="1286" ht="34.5" hidden="1" customHeight="1">
      <c r="A1286" s="111"/>
      <c r="B1286" s="127"/>
      <c r="C1286" s="111"/>
      <c r="D1286" s="111"/>
      <c r="E1286" s="111"/>
      <c r="F1286" s="111"/>
      <c r="G1286" s="111"/>
      <c r="H1286" s="111"/>
      <c r="I1286" s="127"/>
      <c r="J1286" s="111"/>
      <c r="K1286" s="257"/>
      <c r="L1286" s="111"/>
      <c r="M1286" s="127"/>
      <c r="N1286" s="270"/>
      <c r="O1286" s="111"/>
      <c r="P1286" s="111"/>
      <c r="Q1286" s="128"/>
      <c r="R1286" s="124"/>
      <c r="S1286" s="125"/>
      <c r="T1286" s="126"/>
      <c r="U1286" s="126"/>
      <c r="V1286" s="126"/>
      <c r="W1286" s="126"/>
      <c r="X1286" s="126"/>
      <c r="Y1286" s="126"/>
      <c r="Z1286" s="127"/>
      <c r="AA1286" s="127"/>
      <c r="AB1286" s="127"/>
      <c r="AC1286" s="127"/>
      <c r="AD1286" s="261"/>
      <c r="AE1286" s="261"/>
      <c r="AF1286" s="261"/>
      <c r="AG1286" s="261"/>
    </row>
    <row r="1287" ht="34.5" hidden="1" customHeight="1">
      <c r="A1287" s="111"/>
      <c r="B1287" s="127"/>
      <c r="C1287" s="111"/>
      <c r="D1287" s="111"/>
      <c r="E1287" s="111"/>
      <c r="F1287" s="111"/>
      <c r="G1287" s="111"/>
      <c r="H1287" s="111"/>
      <c r="I1287" s="127"/>
      <c r="J1287" s="111"/>
      <c r="K1287" s="257"/>
      <c r="L1287" s="111"/>
      <c r="M1287" s="127"/>
      <c r="N1287" s="270"/>
      <c r="O1287" s="111"/>
      <c r="P1287" s="111"/>
      <c r="Q1287" s="128"/>
      <c r="R1287" s="124"/>
      <c r="S1287" s="125"/>
      <c r="T1287" s="126"/>
      <c r="U1287" s="126"/>
      <c r="V1287" s="126"/>
      <c r="W1287" s="126"/>
      <c r="X1287" s="126"/>
      <c r="Y1287" s="126"/>
      <c r="Z1287" s="127"/>
      <c r="AA1287" s="127"/>
      <c r="AB1287" s="127"/>
      <c r="AC1287" s="127"/>
      <c r="AD1287" s="261"/>
      <c r="AE1287" s="261"/>
      <c r="AF1287" s="261"/>
      <c r="AG1287" s="261"/>
    </row>
    <row r="1288" ht="34.5" hidden="1" customHeight="1">
      <c r="A1288" s="111"/>
      <c r="B1288" s="127"/>
      <c r="C1288" s="111"/>
      <c r="D1288" s="111"/>
      <c r="E1288" s="111"/>
      <c r="F1288" s="111"/>
      <c r="G1288" s="111"/>
      <c r="H1288" s="111"/>
      <c r="I1288" s="127"/>
      <c r="J1288" s="111"/>
      <c r="K1288" s="257"/>
      <c r="L1288" s="111"/>
      <c r="M1288" s="127"/>
      <c r="N1288" s="270"/>
      <c r="O1288" s="111"/>
      <c r="P1288" s="111"/>
      <c r="Q1288" s="128"/>
      <c r="R1288" s="124"/>
      <c r="S1288" s="125"/>
      <c r="T1288" s="126"/>
      <c r="U1288" s="126"/>
      <c r="V1288" s="126"/>
      <c r="W1288" s="126"/>
      <c r="X1288" s="126"/>
      <c r="Y1288" s="126"/>
      <c r="Z1288" s="127"/>
      <c r="AA1288" s="127"/>
      <c r="AB1288" s="127"/>
      <c r="AC1288" s="127"/>
      <c r="AD1288" s="261"/>
      <c r="AE1288" s="261"/>
      <c r="AF1288" s="261"/>
      <c r="AG1288" s="261"/>
    </row>
    <row r="1289" ht="34.5" hidden="1" customHeight="1">
      <c r="A1289" s="111"/>
      <c r="B1289" s="127"/>
      <c r="C1289" s="111"/>
      <c r="D1289" s="111"/>
      <c r="E1289" s="111"/>
      <c r="F1289" s="111"/>
      <c r="G1289" s="111"/>
      <c r="H1289" s="111"/>
      <c r="I1289" s="127"/>
      <c r="J1289" s="111"/>
      <c r="K1289" s="257"/>
      <c r="L1289" s="111"/>
      <c r="M1289" s="127"/>
      <c r="N1289" s="270"/>
      <c r="O1289" s="111"/>
      <c r="P1289" s="111"/>
      <c r="Q1289" s="128"/>
      <c r="R1289" s="124"/>
      <c r="S1289" s="125"/>
      <c r="T1289" s="126"/>
      <c r="U1289" s="126"/>
      <c r="V1289" s="126"/>
      <c r="W1289" s="126"/>
      <c r="X1289" s="126"/>
      <c r="Y1289" s="126"/>
      <c r="Z1289" s="127"/>
      <c r="AA1289" s="127"/>
      <c r="AB1289" s="127"/>
      <c r="AC1289" s="127"/>
      <c r="AD1289" s="261"/>
      <c r="AE1289" s="261"/>
      <c r="AF1289" s="261"/>
      <c r="AG1289" s="261"/>
    </row>
    <row r="1290" ht="34.5" hidden="1" customHeight="1">
      <c r="A1290" s="111"/>
      <c r="B1290" s="127"/>
      <c r="C1290" s="111"/>
      <c r="D1290" s="111"/>
      <c r="E1290" s="111"/>
      <c r="F1290" s="111"/>
      <c r="G1290" s="111"/>
      <c r="H1290" s="111"/>
      <c r="I1290" s="127"/>
      <c r="J1290" s="111"/>
      <c r="K1290" s="257"/>
      <c r="L1290" s="111"/>
      <c r="M1290" s="127"/>
      <c r="N1290" s="270"/>
      <c r="O1290" s="111"/>
      <c r="P1290" s="111"/>
      <c r="Q1290" s="128"/>
      <c r="R1290" s="124"/>
      <c r="S1290" s="125"/>
      <c r="T1290" s="126"/>
      <c r="U1290" s="126"/>
      <c r="V1290" s="126"/>
      <c r="W1290" s="126"/>
      <c r="X1290" s="126"/>
      <c r="Y1290" s="126"/>
      <c r="Z1290" s="127"/>
      <c r="AA1290" s="127"/>
      <c r="AB1290" s="127"/>
      <c r="AC1290" s="127"/>
      <c r="AD1290" s="261"/>
      <c r="AE1290" s="261"/>
      <c r="AF1290" s="261"/>
      <c r="AG1290" s="261"/>
    </row>
    <row r="1291" ht="34.5" hidden="1" customHeight="1">
      <c r="A1291" s="111"/>
      <c r="B1291" s="127"/>
      <c r="C1291" s="111"/>
      <c r="D1291" s="111"/>
      <c r="E1291" s="111"/>
      <c r="F1291" s="111"/>
      <c r="G1291" s="111"/>
      <c r="H1291" s="111"/>
      <c r="I1291" s="127"/>
      <c r="J1291" s="111"/>
      <c r="K1291" s="257"/>
      <c r="L1291" s="111"/>
      <c r="M1291" s="127"/>
      <c r="N1291" s="270"/>
      <c r="O1291" s="111"/>
      <c r="P1291" s="111"/>
      <c r="Q1291" s="128"/>
      <c r="R1291" s="124"/>
      <c r="S1291" s="125"/>
      <c r="T1291" s="126"/>
      <c r="U1291" s="126"/>
      <c r="V1291" s="126"/>
      <c r="W1291" s="126"/>
      <c r="X1291" s="126"/>
      <c r="Y1291" s="126"/>
      <c r="Z1291" s="127"/>
      <c r="AA1291" s="127"/>
      <c r="AB1291" s="127"/>
      <c r="AC1291" s="127"/>
      <c r="AD1291" s="261"/>
      <c r="AE1291" s="261"/>
      <c r="AF1291" s="261"/>
      <c r="AG1291" s="261"/>
    </row>
    <row r="1292" ht="34.5" hidden="1" customHeight="1">
      <c r="A1292" s="111"/>
      <c r="B1292" s="127"/>
      <c r="C1292" s="111"/>
      <c r="D1292" s="111"/>
      <c r="E1292" s="111"/>
      <c r="F1292" s="111"/>
      <c r="G1292" s="111"/>
      <c r="H1292" s="111"/>
      <c r="I1292" s="127"/>
      <c r="J1292" s="111"/>
      <c r="K1292" s="257"/>
      <c r="L1292" s="111"/>
      <c r="M1292" s="127"/>
      <c r="N1292" s="270"/>
      <c r="O1292" s="111"/>
      <c r="P1292" s="111"/>
      <c r="Q1292" s="128"/>
      <c r="R1292" s="124"/>
      <c r="S1292" s="125"/>
      <c r="T1292" s="126"/>
      <c r="U1292" s="126"/>
      <c r="V1292" s="126"/>
      <c r="W1292" s="126"/>
      <c r="X1292" s="126"/>
      <c r="Y1292" s="126"/>
      <c r="Z1292" s="127"/>
      <c r="AA1292" s="127"/>
      <c r="AB1292" s="127"/>
      <c r="AC1292" s="127"/>
      <c r="AD1292" s="261"/>
      <c r="AE1292" s="261"/>
      <c r="AF1292" s="261"/>
      <c r="AG1292" s="261"/>
    </row>
    <row r="1293" ht="34.5" hidden="1" customHeight="1">
      <c r="A1293" s="111"/>
      <c r="B1293" s="127"/>
      <c r="C1293" s="111"/>
      <c r="D1293" s="111"/>
      <c r="E1293" s="111"/>
      <c r="F1293" s="111"/>
      <c r="G1293" s="111"/>
      <c r="H1293" s="111"/>
      <c r="I1293" s="127"/>
      <c r="J1293" s="111"/>
      <c r="K1293" s="257"/>
      <c r="L1293" s="111"/>
      <c r="M1293" s="127"/>
      <c r="N1293" s="270"/>
      <c r="O1293" s="111"/>
      <c r="P1293" s="111"/>
      <c r="Q1293" s="128"/>
      <c r="R1293" s="124"/>
      <c r="S1293" s="125"/>
      <c r="T1293" s="126"/>
      <c r="U1293" s="126"/>
      <c r="V1293" s="126"/>
      <c r="W1293" s="126"/>
      <c r="X1293" s="126"/>
      <c r="Y1293" s="126"/>
      <c r="Z1293" s="127"/>
      <c r="AA1293" s="127"/>
      <c r="AB1293" s="127"/>
      <c r="AC1293" s="127"/>
      <c r="AD1293" s="261"/>
      <c r="AE1293" s="261"/>
      <c r="AF1293" s="261"/>
      <c r="AG1293" s="261"/>
    </row>
    <row r="1294" ht="34.5" hidden="1" customHeight="1">
      <c r="A1294" s="111"/>
      <c r="B1294" s="127"/>
      <c r="C1294" s="111"/>
      <c r="D1294" s="111"/>
      <c r="E1294" s="111"/>
      <c r="F1294" s="111"/>
      <c r="G1294" s="111"/>
      <c r="H1294" s="111"/>
      <c r="I1294" s="127"/>
      <c r="J1294" s="111"/>
      <c r="K1294" s="257"/>
      <c r="L1294" s="111"/>
      <c r="M1294" s="127"/>
      <c r="N1294" s="270"/>
      <c r="O1294" s="111"/>
      <c r="P1294" s="111"/>
      <c r="Q1294" s="128"/>
      <c r="R1294" s="124"/>
      <c r="S1294" s="125"/>
      <c r="T1294" s="126"/>
      <c r="U1294" s="126"/>
      <c r="V1294" s="126"/>
      <c r="W1294" s="126"/>
      <c r="X1294" s="126"/>
      <c r="Y1294" s="126"/>
      <c r="Z1294" s="127"/>
      <c r="AA1294" s="127"/>
      <c r="AB1294" s="127"/>
      <c r="AC1294" s="127"/>
      <c r="AD1294" s="261"/>
      <c r="AE1294" s="261"/>
      <c r="AF1294" s="261"/>
      <c r="AG1294" s="261"/>
    </row>
    <row r="1295" ht="34.5" hidden="1" customHeight="1">
      <c r="A1295" s="111"/>
      <c r="B1295" s="127"/>
      <c r="C1295" s="111"/>
      <c r="D1295" s="111"/>
      <c r="E1295" s="111"/>
      <c r="F1295" s="111"/>
      <c r="G1295" s="111"/>
      <c r="H1295" s="111"/>
      <c r="I1295" s="127"/>
      <c r="J1295" s="111"/>
      <c r="K1295" s="257"/>
      <c r="L1295" s="111"/>
      <c r="M1295" s="127"/>
      <c r="N1295" s="270"/>
      <c r="O1295" s="111"/>
      <c r="P1295" s="111"/>
      <c r="Q1295" s="128"/>
      <c r="R1295" s="124"/>
      <c r="S1295" s="125"/>
      <c r="T1295" s="126"/>
      <c r="U1295" s="126"/>
      <c r="V1295" s="126"/>
      <c r="W1295" s="126"/>
      <c r="X1295" s="126"/>
      <c r="Y1295" s="126"/>
      <c r="Z1295" s="127"/>
      <c r="AA1295" s="127"/>
      <c r="AB1295" s="127"/>
      <c r="AC1295" s="127"/>
      <c r="AD1295" s="261"/>
      <c r="AE1295" s="261"/>
      <c r="AF1295" s="261"/>
      <c r="AG1295" s="261"/>
    </row>
    <row r="1296" ht="34.5" hidden="1" customHeight="1">
      <c r="A1296" s="111"/>
      <c r="B1296" s="127"/>
      <c r="C1296" s="111"/>
      <c r="D1296" s="111"/>
      <c r="E1296" s="111"/>
      <c r="F1296" s="111"/>
      <c r="G1296" s="111"/>
      <c r="H1296" s="111"/>
      <c r="I1296" s="127"/>
      <c r="J1296" s="111"/>
      <c r="K1296" s="257"/>
      <c r="L1296" s="111"/>
      <c r="M1296" s="127"/>
      <c r="N1296" s="270"/>
      <c r="O1296" s="111"/>
      <c r="P1296" s="111"/>
      <c r="Q1296" s="128"/>
      <c r="R1296" s="124"/>
      <c r="S1296" s="125"/>
      <c r="T1296" s="126"/>
      <c r="U1296" s="126"/>
      <c r="V1296" s="126"/>
      <c r="W1296" s="126"/>
      <c r="X1296" s="126"/>
      <c r="Y1296" s="126"/>
      <c r="Z1296" s="127"/>
      <c r="AA1296" s="127"/>
      <c r="AB1296" s="127"/>
      <c r="AC1296" s="127"/>
      <c r="AD1296" s="261"/>
      <c r="AE1296" s="261"/>
      <c r="AF1296" s="261"/>
      <c r="AG1296" s="261"/>
    </row>
    <row r="1297" ht="34.5" hidden="1" customHeight="1">
      <c r="A1297" s="111"/>
      <c r="B1297" s="127"/>
      <c r="C1297" s="111"/>
      <c r="D1297" s="111"/>
      <c r="E1297" s="111"/>
      <c r="F1297" s="111"/>
      <c r="G1297" s="111"/>
      <c r="H1297" s="111"/>
      <c r="I1297" s="127"/>
      <c r="J1297" s="111"/>
      <c r="K1297" s="257"/>
      <c r="L1297" s="111"/>
      <c r="M1297" s="127"/>
      <c r="N1297" s="270"/>
      <c r="O1297" s="111"/>
      <c r="P1297" s="111"/>
      <c r="Q1297" s="128"/>
      <c r="R1297" s="124"/>
      <c r="S1297" s="125"/>
      <c r="T1297" s="126"/>
      <c r="U1297" s="126"/>
      <c r="V1297" s="126"/>
      <c r="W1297" s="126"/>
      <c r="X1297" s="126"/>
      <c r="Y1297" s="126"/>
      <c r="Z1297" s="127"/>
      <c r="AA1297" s="127"/>
      <c r="AB1297" s="127"/>
      <c r="AC1297" s="127"/>
      <c r="AD1297" s="261"/>
      <c r="AE1297" s="261"/>
      <c r="AF1297" s="261"/>
      <c r="AG1297" s="261"/>
    </row>
    <row r="1298" ht="34.5" hidden="1" customHeight="1">
      <c r="A1298" s="111"/>
      <c r="B1298" s="127"/>
      <c r="C1298" s="111"/>
      <c r="D1298" s="111"/>
      <c r="E1298" s="111"/>
      <c r="F1298" s="111"/>
      <c r="G1298" s="111"/>
      <c r="H1298" s="111"/>
      <c r="I1298" s="127"/>
      <c r="J1298" s="111"/>
      <c r="K1298" s="257"/>
      <c r="L1298" s="111"/>
      <c r="M1298" s="127"/>
      <c r="N1298" s="270"/>
      <c r="O1298" s="111"/>
      <c r="P1298" s="111"/>
      <c r="Q1298" s="128"/>
      <c r="R1298" s="124"/>
      <c r="S1298" s="125"/>
      <c r="T1298" s="126"/>
      <c r="U1298" s="126"/>
      <c r="V1298" s="126"/>
      <c r="W1298" s="126"/>
      <c r="X1298" s="126"/>
      <c r="Y1298" s="126"/>
      <c r="Z1298" s="127"/>
      <c r="AA1298" s="127"/>
      <c r="AB1298" s="127"/>
      <c r="AC1298" s="127"/>
      <c r="AD1298" s="261"/>
      <c r="AE1298" s="261"/>
      <c r="AF1298" s="261"/>
      <c r="AG1298" s="261"/>
    </row>
    <row r="1299" ht="34.5" hidden="1" customHeight="1">
      <c r="A1299" s="111"/>
      <c r="B1299" s="127"/>
      <c r="C1299" s="111"/>
      <c r="D1299" s="111"/>
      <c r="E1299" s="111"/>
      <c r="F1299" s="111"/>
      <c r="G1299" s="111"/>
      <c r="H1299" s="111"/>
      <c r="I1299" s="127"/>
      <c r="J1299" s="111"/>
      <c r="K1299" s="257"/>
      <c r="L1299" s="111"/>
      <c r="M1299" s="127"/>
      <c r="N1299" s="270"/>
      <c r="O1299" s="111"/>
      <c r="P1299" s="111"/>
      <c r="Q1299" s="128"/>
      <c r="R1299" s="124"/>
      <c r="S1299" s="125"/>
      <c r="T1299" s="126"/>
      <c r="U1299" s="126"/>
      <c r="V1299" s="126"/>
      <c r="W1299" s="126"/>
      <c r="X1299" s="126"/>
      <c r="Y1299" s="126"/>
      <c r="Z1299" s="127"/>
      <c r="AA1299" s="127"/>
      <c r="AB1299" s="127"/>
      <c r="AC1299" s="127"/>
      <c r="AD1299" s="261"/>
      <c r="AE1299" s="261"/>
      <c r="AF1299" s="261"/>
      <c r="AG1299" s="261"/>
    </row>
    <row r="1300" ht="34.5" hidden="1" customHeight="1">
      <c r="A1300" s="111"/>
      <c r="B1300" s="127"/>
      <c r="C1300" s="111"/>
      <c r="D1300" s="111"/>
      <c r="E1300" s="111"/>
      <c r="F1300" s="111"/>
      <c r="G1300" s="111"/>
      <c r="H1300" s="111"/>
      <c r="I1300" s="127"/>
      <c r="J1300" s="111"/>
      <c r="K1300" s="257"/>
      <c r="L1300" s="111"/>
      <c r="M1300" s="127"/>
      <c r="N1300" s="270"/>
      <c r="O1300" s="111"/>
      <c r="P1300" s="111"/>
      <c r="Q1300" s="128"/>
      <c r="R1300" s="124"/>
      <c r="S1300" s="125"/>
      <c r="T1300" s="126"/>
      <c r="U1300" s="126"/>
      <c r="V1300" s="126"/>
      <c r="W1300" s="126"/>
      <c r="X1300" s="126"/>
      <c r="Y1300" s="126"/>
      <c r="Z1300" s="127"/>
      <c r="AA1300" s="127"/>
      <c r="AB1300" s="127"/>
      <c r="AC1300" s="127"/>
      <c r="AD1300" s="261"/>
      <c r="AE1300" s="261"/>
      <c r="AF1300" s="261"/>
      <c r="AG1300" s="261"/>
    </row>
    <row r="1301" ht="34.5" hidden="1" customHeight="1">
      <c r="A1301" s="111"/>
      <c r="B1301" s="127"/>
      <c r="C1301" s="111"/>
      <c r="D1301" s="111"/>
      <c r="E1301" s="111"/>
      <c r="F1301" s="111"/>
      <c r="G1301" s="111"/>
      <c r="H1301" s="111"/>
      <c r="I1301" s="127"/>
      <c r="J1301" s="111"/>
      <c r="K1301" s="257"/>
      <c r="L1301" s="111"/>
      <c r="M1301" s="127"/>
      <c r="N1301" s="270"/>
      <c r="O1301" s="111"/>
      <c r="P1301" s="111"/>
      <c r="Q1301" s="128"/>
      <c r="R1301" s="124"/>
      <c r="S1301" s="125"/>
      <c r="T1301" s="126"/>
      <c r="U1301" s="126"/>
      <c r="V1301" s="126"/>
      <c r="W1301" s="126"/>
      <c r="X1301" s="126"/>
      <c r="Y1301" s="126"/>
      <c r="Z1301" s="127"/>
      <c r="AA1301" s="127"/>
      <c r="AB1301" s="127"/>
      <c r="AC1301" s="127"/>
      <c r="AD1301" s="261"/>
      <c r="AE1301" s="261"/>
      <c r="AF1301" s="261"/>
      <c r="AG1301" s="261"/>
    </row>
    <row r="1302" ht="34.5" hidden="1" customHeight="1">
      <c r="A1302" s="111"/>
      <c r="B1302" s="127"/>
      <c r="C1302" s="111"/>
      <c r="D1302" s="111"/>
      <c r="E1302" s="111"/>
      <c r="F1302" s="111"/>
      <c r="G1302" s="111"/>
      <c r="H1302" s="111"/>
      <c r="I1302" s="127"/>
      <c r="J1302" s="111"/>
      <c r="K1302" s="257"/>
      <c r="L1302" s="111"/>
      <c r="M1302" s="127"/>
      <c r="N1302" s="270"/>
      <c r="O1302" s="111"/>
      <c r="P1302" s="111"/>
      <c r="Q1302" s="128"/>
      <c r="R1302" s="124"/>
      <c r="S1302" s="125"/>
      <c r="T1302" s="126"/>
      <c r="U1302" s="126"/>
      <c r="V1302" s="126"/>
      <c r="W1302" s="126"/>
      <c r="X1302" s="126"/>
      <c r="Y1302" s="126"/>
      <c r="Z1302" s="127"/>
      <c r="AA1302" s="127"/>
      <c r="AB1302" s="127"/>
      <c r="AC1302" s="127"/>
      <c r="AD1302" s="261"/>
      <c r="AE1302" s="261"/>
      <c r="AF1302" s="261"/>
      <c r="AG1302" s="261"/>
    </row>
    <row r="1303" ht="34.5" hidden="1" customHeight="1">
      <c r="A1303" s="111"/>
      <c r="B1303" s="127"/>
      <c r="C1303" s="111"/>
      <c r="D1303" s="111"/>
      <c r="E1303" s="111"/>
      <c r="F1303" s="111"/>
      <c r="G1303" s="111"/>
      <c r="H1303" s="111"/>
      <c r="I1303" s="127"/>
      <c r="J1303" s="111"/>
      <c r="K1303" s="257"/>
      <c r="L1303" s="111"/>
      <c r="M1303" s="127"/>
      <c r="N1303" s="270"/>
      <c r="O1303" s="111"/>
      <c r="P1303" s="111"/>
      <c r="Q1303" s="128"/>
      <c r="R1303" s="124"/>
      <c r="S1303" s="125"/>
      <c r="T1303" s="126"/>
      <c r="U1303" s="126"/>
      <c r="V1303" s="126"/>
      <c r="W1303" s="126"/>
      <c r="X1303" s="126"/>
      <c r="Y1303" s="126"/>
      <c r="Z1303" s="127"/>
      <c r="AA1303" s="127"/>
      <c r="AB1303" s="127"/>
      <c r="AC1303" s="127"/>
      <c r="AD1303" s="261"/>
      <c r="AE1303" s="261"/>
      <c r="AF1303" s="261"/>
      <c r="AG1303" s="261"/>
    </row>
    <row r="1304" ht="34.5" hidden="1" customHeight="1">
      <c r="A1304" s="111"/>
      <c r="B1304" s="127"/>
      <c r="C1304" s="111"/>
      <c r="D1304" s="111"/>
      <c r="E1304" s="111"/>
      <c r="F1304" s="111"/>
      <c r="G1304" s="111"/>
      <c r="H1304" s="111"/>
      <c r="I1304" s="127"/>
      <c r="J1304" s="111"/>
      <c r="K1304" s="257"/>
      <c r="L1304" s="111"/>
      <c r="M1304" s="127"/>
      <c r="N1304" s="270"/>
      <c r="O1304" s="111"/>
      <c r="P1304" s="111"/>
      <c r="Q1304" s="128"/>
      <c r="R1304" s="124"/>
      <c r="S1304" s="125"/>
      <c r="T1304" s="126"/>
      <c r="U1304" s="126"/>
      <c r="V1304" s="126"/>
      <c r="W1304" s="126"/>
      <c r="X1304" s="126"/>
      <c r="Y1304" s="126"/>
      <c r="Z1304" s="127"/>
      <c r="AA1304" s="127"/>
      <c r="AB1304" s="127"/>
      <c r="AC1304" s="127"/>
      <c r="AD1304" s="261"/>
      <c r="AE1304" s="261"/>
      <c r="AF1304" s="261"/>
      <c r="AG1304" s="261"/>
    </row>
    <row r="1305" ht="34.5" hidden="1" customHeight="1">
      <c r="A1305" s="111"/>
      <c r="B1305" s="127"/>
      <c r="C1305" s="111"/>
      <c r="D1305" s="111"/>
      <c r="E1305" s="111"/>
      <c r="F1305" s="111"/>
      <c r="G1305" s="111"/>
      <c r="H1305" s="111"/>
      <c r="I1305" s="127"/>
      <c r="J1305" s="111"/>
      <c r="K1305" s="257"/>
      <c r="L1305" s="111"/>
      <c r="M1305" s="127"/>
      <c r="N1305" s="270"/>
      <c r="O1305" s="111"/>
      <c r="P1305" s="111"/>
      <c r="Q1305" s="128"/>
      <c r="R1305" s="124"/>
      <c r="S1305" s="125"/>
      <c r="T1305" s="126"/>
      <c r="U1305" s="126"/>
      <c r="V1305" s="126"/>
      <c r="W1305" s="126"/>
      <c r="X1305" s="126"/>
      <c r="Y1305" s="126"/>
      <c r="Z1305" s="127"/>
      <c r="AA1305" s="127"/>
      <c r="AB1305" s="127"/>
      <c r="AC1305" s="127"/>
      <c r="AD1305" s="261"/>
      <c r="AE1305" s="261"/>
      <c r="AF1305" s="261"/>
      <c r="AG1305" s="261"/>
    </row>
    <row r="1306" ht="34.5" hidden="1" customHeight="1">
      <c r="A1306" s="111"/>
      <c r="B1306" s="127"/>
      <c r="C1306" s="111"/>
      <c r="D1306" s="111"/>
      <c r="E1306" s="111"/>
      <c r="F1306" s="111"/>
      <c r="G1306" s="111"/>
      <c r="H1306" s="111"/>
      <c r="I1306" s="127"/>
      <c r="J1306" s="111"/>
      <c r="K1306" s="257"/>
      <c r="L1306" s="111"/>
      <c r="M1306" s="127"/>
      <c r="N1306" s="270"/>
      <c r="O1306" s="111"/>
      <c r="P1306" s="111"/>
      <c r="Q1306" s="128"/>
      <c r="R1306" s="124"/>
      <c r="S1306" s="125"/>
      <c r="T1306" s="126"/>
      <c r="U1306" s="126"/>
      <c r="V1306" s="126"/>
      <c r="W1306" s="126"/>
      <c r="X1306" s="126"/>
      <c r="Y1306" s="126"/>
      <c r="Z1306" s="127"/>
      <c r="AA1306" s="127"/>
      <c r="AB1306" s="127"/>
      <c r="AC1306" s="127"/>
      <c r="AD1306" s="261"/>
      <c r="AE1306" s="261"/>
      <c r="AF1306" s="261"/>
      <c r="AG1306" s="261"/>
    </row>
    <row r="1307" ht="34.5" hidden="1" customHeight="1">
      <c r="A1307" s="111"/>
      <c r="B1307" s="127"/>
      <c r="C1307" s="111"/>
      <c r="D1307" s="111"/>
      <c r="E1307" s="111"/>
      <c r="F1307" s="111"/>
      <c r="G1307" s="111"/>
      <c r="H1307" s="111"/>
      <c r="I1307" s="127"/>
      <c r="J1307" s="111"/>
      <c r="K1307" s="257"/>
      <c r="L1307" s="111"/>
      <c r="M1307" s="127"/>
      <c r="N1307" s="270"/>
      <c r="O1307" s="111"/>
      <c r="P1307" s="111"/>
      <c r="Q1307" s="128"/>
      <c r="R1307" s="124"/>
      <c r="S1307" s="125"/>
      <c r="T1307" s="126"/>
      <c r="U1307" s="126"/>
      <c r="V1307" s="126"/>
      <c r="W1307" s="126"/>
      <c r="X1307" s="126"/>
      <c r="Y1307" s="126"/>
      <c r="Z1307" s="127"/>
      <c r="AA1307" s="127"/>
      <c r="AB1307" s="127"/>
      <c r="AC1307" s="127"/>
      <c r="AD1307" s="261"/>
      <c r="AE1307" s="261"/>
      <c r="AF1307" s="261"/>
      <c r="AG1307" s="261"/>
    </row>
    <row r="1308" ht="34.5" hidden="1" customHeight="1">
      <c r="A1308" s="111"/>
      <c r="B1308" s="127"/>
      <c r="C1308" s="111"/>
      <c r="D1308" s="111"/>
      <c r="E1308" s="111"/>
      <c r="F1308" s="111"/>
      <c r="G1308" s="111"/>
      <c r="H1308" s="111"/>
      <c r="I1308" s="127"/>
      <c r="J1308" s="111"/>
      <c r="K1308" s="257"/>
      <c r="L1308" s="111"/>
      <c r="M1308" s="127"/>
      <c r="N1308" s="270"/>
      <c r="O1308" s="111"/>
      <c r="P1308" s="111"/>
      <c r="Q1308" s="128"/>
      <c r="R1308" s="124"/>
      <c r="S1308" s="125"/>
      <c r="T1308" s="126"/>
      <c r="U1308" s="126"/>
      <c r="V1308" s="126"/>
      <c r="W1308" s="126"/>
      <c r="X1308" s="126"/>
      <c r="Y1308" s="126"/>
      <c r="Z1308" s="127"/>
      <c r="AA1308" s="127"/>
      <c r="AB1308" s="127"/>
      <c r="AC1308" s="127"/>
      <c r="AD1308" s="261"/>
      <c r="AE1308" s="261"/>
      <c r="AF1308" s="261"/>
      <c r="AG1308" s="261"/>
    </row>
    <row r="1309" ht="34.5" hidden="1" customHeight="1">
      <c r="A1309" s="111"/>
      <c r="B1309" s="127"/>
      <c r="C1309" s="111"/>
      <c r="D1309" s="111"/>
      <c r="E1309" s="111"/>
      <c r="F1309" s="111"/>
      <c r="G1309" s="111"/>
      <c r="H1309" s="111"/>
      <c r="I1309" s="127"/>
      <c r="J1309" s="111"/>
      <c r="K1309" s="257"/>
      <c r="L1309" s="111"/>
      <c r="M1309" s="127"/>
      <c r="N1309" s="270"/>
      <c r="O1309" s="111"/>
      <c r="P1309" s="111"/>
      <c r="Q1309" s="128"/>
      <c r="R1309" s="124"/>
      <c r="S1309" s="125"/>
      <c r="T1309" s="126"/>
      <c r="U1309" s="126"/>
      <c r="V1309" s="126"/>
      <c r="W1309" s="126"/>
      <c r="X1309" s="126"/>
      <c r="Y1309" s="126"/>
      <c r="Z1309" s="127"/>
      <c r="AA1309" s="127"/>
      <c r="AB1309" s="127"/>
      <c r="AC1309" s="127"/>
      <c r="AD1309" s="261"/>
      <c r="AE1309" s="261"/>
      <c r="AF1309" s="261"/>
      <c r="AG1309" s="261"/>
    </row>
    <row r="1310" ht="34.5" hidden="1" customHeight="1">
      <c r="A1310" s="111"/>
      <c r="B1310" s="127"/>
      <c r="C1310" s="111"/>
      <c r="D1310" s="111"/>
      <c r="E1310" s="111"/>
      <c r="F1310" s="111"/>
      <c r="G1310" s="111"/>
      <c r="H1310" s="111"/>
      <c r="I1310" s="127"/>
      <c r="J1310" s="111"/>
      <c r="K1310" s="257"/>
      <c r="L1310" s="111"/>
      <c r="M1310" s="127"/>
      <c r="N1310" s="270"/>
      <c r="O1310" s="111"/>
      <c r="P1310" s="111"/>
      <c r="Q1310" s="128"/>
      <c r="R1310" s="124"/>
      <c r="S1310" s="125"/>
      <c r="T1310" s="126"/>
      <c r="U1310" s="126"/>
      <c r="V1310" s="126"/>
      <c r="W1310" s="126"/>
      <c r="X1310" s="126"/>
      <c r="Y1310" s="126"/>
      <c r="Z1310" s="127"/>
      <c r="AA1310" s="127"/>
      <c r="AB1310" s="127"/>
      <c r="AC1310" s="127"/>
      <c r="AD1310" s="261"/>
      <c r="AE1310" s="261"/>
      <c r="AF1310" s="261"/>
      <c r="AG1310" s="261"/>
    </row>
    <row r="1311" ht="34.5" hidden="1" customHeight="1">
      <c r="A1311" s="111"/>
      <c r="B1311" s="127"/>
      <c r="C1311" s="111"/>
      <c r="D1311" s="111"/>
      <c r="E1311" s="111"/>
      <c r="F1311" s="111"/>
      <c r="G1311" s="111"/>
      <c r="H1311" s="111"/>
      <c r="I1311" s="127"/>
      <c r="J1311" s="111"/>
      <c r="K1311" s="257"/>
      <c r="L1311" s="111"/>
      <c r="M1311" s="127"/>
      <c r="N1311" s="270"/>
      <c r="O1311" s="111"/>
      <c r="P1311" s="111"/>
      <c r="Q1311" s="128"/>
      <c r="R1311" s="124"/>
      <c r="S1311" s="125"/>
      <c r="T1311" s="126"/>
      <c r="U1311" s="126"/>
      <c r="V1311" s="126"/>
      <c r="W1311" s="126"/>
      <c r="X1311" s="126"/>
      <c r="Y1311" s="126"/>
      <c r="Z1311" s="127"/>
      <c r="AA1311" s="127"/>
      <c r="AB1311" s="127"/>
      <c r="AC1311" s="127"/>
      <c r="AD1311" s="261"/>
      <c r="AE1311" s="261"/>
      <c r="AF1311" s="261"/>
      <c r="AG1311" s="261"/>
    </row>
    <row r="1312" ht="34.5" hidden="1" customHeight="1">
      <c r="A1312" s="111"/>
      <c r="B1312" s="127"/>
      <c r="C1312" s="111"/>
      <c r="D1312" s="111"/>
      <c r="E1312" s="111"/>
      <c r="F1312" s="111"/>
      <c r="G1312" s="111"/>
      <c r="H1312" s="111"/>
      <c r="I1312" s="127"/>
      <c r="J1312" s="111"/>
      <c r="K1312" s="257"/>
      <c r="L1312" s="111"/>
      <c r="M1312" s="127"/>
      <c r="N1312" s="270"/>
      <c r="O1312" s="111"/>
      <c r="P1312" s="111"/>
      <c r="Q1312" s="128"/>
      <c r="R1312" s="124"/>
      <c r="S1312" s="125"/>
      <c r="T1312" s="126"/>
      <c r="U1312" s="126"/>
      <c r="V1312" s="126"/>
      <c r="W1312" s="126"/>
      <c r="X1312" s="126"/>
      <c r="Y1312" s="126"/>
      <c r="Z1312" s="127"/>
      <c r="AA1312" s="127"/>
      <c r="AB1312" s="127"/>
      <c r="AC1312" s="127"/>
      <c r="AD1312" s="261"/>
      <c r="AE1312" s="261"/>
      <c r="AF1312" s="261"/>
      <c r="AG1312" s="261"/>
    </row>
    <row r="1313" ht="34.5" hidden="1" customHeight="1">
      <c r="A1313" s="111"/>
      <c r="B1313" s="127"/>
      <c r="C1313" s="111"/>
      <c r="D1313" s="111"/>
      <c r="E1313" s="111"/>
      <c r="F1313" s="111"/>
      <c r="G1313" s="111"/>
      <c r="H1313" s="111"/>
      <c r="I1313" s="127"/>
      <c r="J1313" s="111"/>
      <c r="K1313" s="257"/>
      <c r="L1313" s="111"/>
      <c r="M1313" s="127"/>
      <c r="N1313" s="270"/>
      <c r="O1313" s="111"/>
      <c r="P1313" s="111"/>
      <c r="Q1313" s="128"/>
      <c r="R1313" s="124"/>
      <c r="S1313" s="125"/>
      <c r="T1313" s="126"/>
      <c r="U1313" s="126"/>
      <c r="V1313" s="126"/>
      <c r="W1313" s="126"/>
      <c r="X1313" s="126"/>
      <c r="Y1313" s="126"/>
      <c r="Z1313" s="127"/>
      <c r="AA1313" s="127"/>
      <c r="AB1313" s="127"/>
      <c r="AC1313" s="127"/>
      <c r="AD1313" s="261"/>
      <c r="AE1313" s="261"/>
      <c r="AF1313" s="261"/>
      <c r="AG1313" s="261"/>
    </row>
    <row r="1314" ht="34.5" hidden="1" customHeight="1">
      <c r="A1314" s="111"/>
      <c r="B1314" s="127"/>
      <c r="C1314" s="111"/>
      <c r="D1314" s="111"/>
      <c r="E1314" s="111"/>
      <c r="F1314" s="111"/>
      <c r="G1314" s="111"/>
      <c r="H1314" s="111"/>
      <c r="I1314" s="127"/>
      <c r="J1314" s="111"/>
      <c r="K1314" s="257"/>
      <c r="L1314" s="111"/>
      <c r="M1314" s="127"/>
      <c r="N1314" s="270"/>
      <c r="O1314" s="111"/>
      <c r="P1314" s="111"/>
      <c r="Q1314" s="128"/>
      <c r="R1314" s="124"/>
      <c r="S1314" s="125"/>
      <c r="T1314" s="126"/>
      <c r="U1314" s="126"/>
      <c r="V1314" s="126"/>
      <c r="W1314" s="126"/>
      <c r="X1314" s="126"/>
      <c r="Y1314" s="126"/>
      <c r="Z1314" s="127"/>
      <c r="AA1314" s="127"/>
      <c r="AB1314" s="127"/>
      <c r="AC1314" s="127"/>
      <c r="AD1314" s="261"/>
      <c r="AE1314" s="261"/>
      <c r="AF1314" s="261"/>
      <c r="AG1314" s="261"/>
    </row>
    <row r="1315" ht="34.5" hidden="1" customHeight="1">
      <c r="A1315" s="111"/>
      <c r="B1315" s="127"/>
      <c r="C1315" s="111"/>
      <c r="D1315" s="111"/>
      <c r="E1315" s="111"/>
      <c r="F1315" s="111"/>
      <c r="G1315" s="111"/>
      <c r="H1315" s="111"/>
      <c r="I1315" s="127"/>
      <c r="J1315" s="111"/>
      <c r="K1315" s="257"/>
      <c r="L1315" s="111"/>
      <c r="M1315" s="127"/>
      <c r="N1315" s="270"/>
      <c r="O1315" s="111"/>
      <c r="P1315" s="111"/>
      <c r="Q1315" s="128"/>
      <c r="R1315" s="124"/>
      <c r="S1315" s="125"/>
      <c r="T1315" s="126"/>
      <c r="U1315" s="126"/>
      <c r="V1315" s="126"/>
      <c r="W1315" s="126"/>
      <c r="X1315" s="126"/>
      <c r="Y1315" s="126"/>
      <c r="Z1315" s="127"/>
      <c r="AA1315" s="127"/>
      <c r="AB1315" s="127"/>
      <c r="AC1315" s="127"/>
      <c r="AD1315" s="261"/>
      <c r="AE1315" s="261"/>
      <c r="AF1315" s="261"/>
      <c r="AG1315" s="261"/>
    </row>
    <row r="1316" ht="34.5" hidden="1" customHeight="1">
      <c r="A1316" s="111"/>
      <c r="B1316" s="127"/>
      <c r="C1316" s="111"/>
      <c r="D1316" s="111"/>
      <c r="E1316" s="111"/>
      <c r="F1316" s="111"/>
      <c r="G1316" s="111"/>
      <c r="H1316" s="111"/>
      <c r="I1316" s="127"/>
      <c r="J1316" s="111"/>
      <c r="K1316" s="257"/>
      <c r="L1316" s="111"/>
      <c r="M1316" s="127"/>
      <c r="N1316" s="270"/>
      <c r="O1316" s="111"/>
      <c r="P1316" s="111"/>
      <c r="Q1316" s="128"/>
      <c r="R1316" s="124"/>
      <c r="S1316" s="125"/>
      <c r="T1316" s="126"/>
      <c r="U1316" s="126"/>
      <c r="V1316" s="126"/>
      <c r="W1316" s="126"/>
      <c r="X1316" s="126"/>
      <c r="Y1316" s="126"/>
      <c r="Z1316" s="127"/>
      <c r="AA1316" s="127"/>
      <c r="AB1316" s="127"/>
      <c r="AC1316" s="127"/>
      <c r="AD1316" s="261"/>
      <c r="AE1316" s="261"/>
      <c r="AF1316" s="261"/>
      <c r="AG1316" s="261"/>
    </row>
    <row r="1317" ht="34.5" hidden="1" customHeight="1">
      <c r="A1317" s="111"/>
      <c r="B1317" s="127"/>
      <c r="C1317" s="111"/>
      <c r="D1317" s="111"/>
      <c r="E1317" s="111"/>
      <c r="F1317" s="111"/>
      <c r="G1317" s="111"/>
      <c r="H1317" s="111"/>
      <c r="I1317" s="127"/>
      <c r="J1317" s="111"/>
      <c r="K1317" s="257"/>
      <c r="L1317" s="111"/>
      <c r="M1317" s="127"/>
      <c r="N1317" s="270"/>
      <c r="O1317" s="111"/>
      <c r="P1317" s="111"/>
      <c r="Q1317" s="128"/>
      <c r="R1317" s="124"/>
      <c r="S1317" s="125"/>
      <c r="T1317" s="126"/>
      <c r="U1317" s="126"/>
      <c r="V1317" s="126"/>
      <c r="W1317" s="126"/>
      <c r="X1317" s="126"/>
      <c r="Y1317" s="126"/>
      <c r="Z1317" s="127"/>
      <c r="AA1317" s="127"/>
      <c r="AB1317" s="127"/>
      <c r="AC1317" s="127"/>
      <c r="AD1317" s="261"/>
      <c r="AE1317" s="261"/>
      <c r="AF1317" s="261"/>
      <c r="AG1317" s="261"/>
    </row>
    <row r="1318" ht="34.5" hidden="1" customHeight="1">
      <c r="A1318" s="111"/>
      <c r="B1318" s="127"/>
      <c r="C1318" s="111"/>
      <c r="D1318" s="111"/>
      <c r="E1318" s="111"/>
      <c r="F1318" s="111"/>
      <c r="G1318" s="111"/>
      <c r="H1318" s="111"/>
      <c r="I1318" s="127"/>
      <c r="J1318" s="111"/>
      <c r="K1318" s="257"/>
      <c r="L1318" s="111"/>
      <c r="M1318" s="127"/>
      <c r="N1318" s="270"/>
      <c r="O1318" s="111"/>
      <c r="P1318" s="111"/>
      <c r="Q1318" s="128"/>
      <c r="R1318" s="124"/>
      <c r="S1318" s="125"/>
      <c r="T1318" s="126"/>
      <c r="U1318" s="126"/>
      <c r="V1318" s="126"/>
      <c r="W1318" s="126"/>
      <c r="X1318" s="126"/>
      <c r="Y1318" s="126"/>
      <c r="Z1318" s="127"/>
      <c r="AA1318" s="127"/>
      <c r="AB1318" s="127"/>
      <c r="AC1318" s="127"/>
      <c r="AD1318" s="261"/>
      <c r="AE1318" s="261"/>
      <c r="AF1318" s="261"/>
      <c r="AG1318" s="261"/>
    </row>
    <row r="1319" ht="34.5" hidden="1" customHeight="1">
      <c r="A1319" s="111"/>
      <c r="B1319" s="127"/>
      <c r="C1319" s="111"/>
      <c r="D1319" s="111"/>
      <c r="E1319" s="111"/>
      <c r="F1319" s="111"/>
      <c r="G1319" s="111"/>
      <c r="H1319" s="111"/>
      <c r="I1319" s="127"/>
      <c r="J1319" s="111"/>
      <c r="K1319" s="257"/>
      <c r="L1319" s="111"/>
      <c r="M1319" s="127"/>
      <c r="N1319" s="270"/>
      <c r="O1319" s="111"/>
      <c r="P1319" s="111"/>
      <c r="Q1319" s="128"/>
      <c r="R1319" s="124"/>
      <c r="S1319" s="125"/>
      <c r="T1319" s="126"/>
      <c r="U1319" s="126"/>
      <c r="V1319" s="126"/>
      <c r="W1319" s="126"/>
      <c r="X1319" s="126"/>
      <c r="Y1319" s="126"/>
      <c r="Z1319" s="127"/>
      <c r="AA1319" s="127"/>
      <c r="AB1319" s="127"/>
      <c r="AC1319" s="127"/>
      <c r="AD1319" s="261"/>
      <c r="AE1319" s="261"/>
      <c r="AF1319" s="261"/>
      <c r="AG1319" s="261"/>
    </row>
    <row r="1320" ht="34.5" hidden="1" customHeight="1">
      <c r="A1320" s="111"/>
      <c r="B1320" s="127"/>
      <c r="C1320" s="111"/>
      <c r="D1320" s="111"/>
      <c r="E1320" s="111"/>
      <c r="F1320" s="111"/>
      <c r="G1320" s="111"/>
      <c r="H1320" s="111"/>
      <c r="I1320" s="127"/>
      <c r="J1320" s="111"/>
      <c r="K1320" s="257"/>
      <c r="L1320" s="111"/>
      <c r="M1320" s="127"/>
      <c r="N1320" s="270"/>
      <c r="O1320" s="111"/>
      <c r="P1320" s="111"/>
      <c r="Q1320" s="128"/>
      <c r="R1320" s="124"/>
      <c r="S1320" s="125"/>
      <c r="T1320" s="126"/>
      <c r="U1320" s="126"/>
      <c r="V1320" s="126"/>
      <c r="W1320" s="126"/>
      <c r="X1320" s="126"/>
      <c r="Y1320" s="126"/>
      <c r="Z1320" s="127"/>
      <c r="AA1320" s="127"/>
      <c r="AB1320" s="127"/>
      <c r="AC1320" s="127"/>
      <c r="AD1320" s="261"/>
      <c r="AE1320" s="261"/>
      <c r="AF1320" s="261"/>
      <c r="AG1320" s="261"/>
    </row>
    <row r="1321" ht="34.5" hidden="1" customHeight="1">
      <c r="A1321" s="111"/>
      <c r="B1321" s="127"/>
      <c r="C1321" s="111"/>
      <c r="D1321" s="111"/>
      <c r="E1321" s="111"/>
      <c r="F1321" s="111"/>
      <c r="G1321" s="111"/>
      <c r="H1321" s="111"/>
      <c r="I1321" s="127"/>
      <c r="J1321" s="111"/>
      <c r="K1321" s="257"/>
      <c r="L1321" s="111"/>
      <c r="M1321" s="127"/>
      <c r="N1321" s="270"/>
      <c r="O1321" s="111"/>
      <c r="P1321" s="111"/>
      <c r="Q1321" s="128"/>
      <c r="R1321" s="124"/>
      <c r="S1321" s="125"/>
      <c r="T1321" s="126"/>
      <c r="U1321" s="126"/>
      <c r="V1321" s="126"/>
      <c r="W1321" s="126"/>
      <c r="X1321" s="126"/>
      <c r="Y1321" s="126"/>
      <c r="Z1321" s="127"/>
      <c r="AA1321" s="127"/>
      <c r="AB1321" s="127"/>
      <c r="AC1321" s="127"/>
      <c r="AD1321" s="261"/>
      <c r="AE1321" s="261"/>
      <c r="AF1321" s="261"/>
      <c r="AG1321" s="261"/>
    </row>
    <row r="1322" ht="34.5" hidden="1" customHeight="1">
      <c r="A1322" s="111"/>
      <c r="B1322" s="127"/>
      <c r="C1322" s="111"/>
      <c r="D1322" s="111"/>
      <c r="E1322" s="111"/>
      <c r="F1322" s="111"/>
      <c r="G1322" s="111"/>
      <c r="H1322" s="111"/>
      <c r="I1322" s="127"/>
      <c r="J1322" s="111"/>
      <c r="K1322" s="257"/>
      <c r="L1322" s="111"/>
      <c r="M1322" s="127"/>
      <c r="N1322" s="270"/>
      <c r="O1322" s="111"/>
      <c r="P1322" s="111"/>
      <c r="Q1322" s="128"/>
      <c r="R1322" s="124"/>
      <c r="S1322" s="125"/>
      <c r="T1322" s="126"/>
      <c r="U1322" s="126"/>
      <c r="V1322" s="126"/>
      <c r="W1322" s="126"/>
      <c r="X1322" s="126"/>
      <c r="Y1322" s="126"/>
      <c r="Z1322" s="127"/>
      <c r="AA1322" s="127"/>
      <c r="AB1322" s="127"/>
      <c r="AC1322" s="127"/>
      <c r="AD1322" s="261"/>
      <c r="AE1322" s="261"/>
      <c r="AF1322" s="261"/>
      <c r="AG1322" s="261"/>
    </row>
    <row r="1323" ht="34.5" hidden="1" customHeight="1">
      <c r="A1323" s="111"/>
      <c r="B1323" s="127"/>
      <c r="C1323" s="111"/>
      <c r="D1323" s="111"/>
      <c r="E1323" s="111"/>
      <c r="F1323" s="111"/>
      <c r="G1323" s="111"/>
      <c r="H1323" s="111"/>
      <c r="I1323" s="127"/>
      <c r="J1323" s="111"/>
      <c r="K1323" s="257"/>
      <c r="L1323" s="111"/>
      <c r="M1323" s="127"/>
      <c r="N1323" s="270"/>
      <c r="O1323" s="111"/>
      <c r="P1323" s="111"/>
      <c r="Q1323" s="128"/>
      <c r="R1323" s="124"/>
      <c r="S1323" s="125"/>
      <c r="T1323" s="126"/>
      <c r="U1323" s="126"/>
      <c r="V1323" s="126"/>
      <c r="W1323" s="126"/>
      <c r="X1323" s="126"/>
      <c r="Y1323" s="126"/>
      <c r="Z1323" s="127"/>
      <c r="AA1323" s="127"/>
      <c r="AB1323" s="127"/>
      <c r="AC1323" s="127"/>
      <c r="AD1323" s="261"/>
      <c r="AE1323" s="261"/>
      <c r="AF1323" s="261"/>
      <c r="AG1323" s="261"/>
    </row>
    <row r="1324" ht="34.5" hidden="1" customHeight="1">
      <c r="A1324" s="111"/>
      <c r="B1324" s="127"/>
      <c r="C1324" s="111"/>
      <c r="D1324" s="111"/>
      <c r="E1324" s="111"/>
      <c r="F1324" s="111"/>
      <c r="G1324" s="111"/>
      <c r="H1324" s="111"/>
      <c r="I1324" s="127"/>
      <c r="J1324" s="111"/>
      <c r="K1324" s="257"/>
      <c r="L1324" s="111"/>
      <c r="M1324" s="127"/>
      <c r="N1324" s="270"/>
      <c r="O1324" s="111"/>
      <c r="P1324" s="111"/>
      <c r="Q1324" s="128"/>
      <c r="R1324" s="124"/>
      <c r="S1324" s="125"/>
      <c r="T1324" s="126"/>
      <c r="U1324" s="126"/>
      <c r="V1324" s="126"/>
      <c r="W1324" s="126"/>
      <c r="X1324" s="126"/>
      <c r="Y1324" s="126"/>
      <c r="Z1324" s="127"/>
      <c r="AA1324" s="127"/>
      <c r="AB1324" s="127"/>
      <c r="AC1324" s="127"/>
      <c r="AD1324" s="261"/>
      <c r="AE1324" s="261"/>
      <c r="AF1324" s="261"/>
      <c r="AG1324" s="261"/>
    </row>
    <row r="1325" ht="34.5" hidden="1" customHeight="1">
      <c r="A1325" s="111"/>
      <c r="B1325" s="127"/>
      <c r="C1325" s="111"/>
      <c r="D1325" s="111"/>
      <c r="E1325" s="111"/>
      <c r="F1325" s="111"/>
      <c r="G1325" s="111"/>
      <c r="H1325" s="111"/>
      <c r="I1325" s="127"/>
      <c r="J1325" s="111"/>
      <c r="K1325" s="257"/>
      <c r="L1325" s="111"/>
      <c r="M1325" s="127"/>
      <c r="N1325" s="270"/>
      <c r="O1325" s="111"/>
      <c r="P1325" s="111"/>
      <c r="Q1325" s="128"/>
      <c r="R1325" s="124"/>
      <c r="S1325" s="125"/>
      <c r="T1325" s="126"/>
      <c r="U1325" s="126"/>
      <c r="V1325" s="126"/>
      <c r="W1325" s="126"/>
      <c r="X1325" s="126"/>
      <c r="Y1325" s="126"/>
      <c r="Z1325" s="127"/>
      <c r="AA1325" s="127"/>
      <c r="AB1325" s="127"/>
      <c r="AC1325" s="127"/>
      <c r="AD1325" s="261"/>
      <c r="AE1325" s="261"/>
      <c r="AF1325" s="261"/>
      <c r="AG1325" s="261"/>
    </row>
    <row r="1326" ht="34.5" hidden="1" customHeight="1">
      <c r="A1326" s="111"/>
      <c r="B1326" s="127"/>
      <c r="C1326" s="111"/>
      <c r="D1326" s="111"/>
      <c r="E1326" s="111"/>
      <c r="F1326" s="111"/>
      <c r="G1326" s="111"/>
      <c r="H1326" s="111"/>
      <c r="I1326" s="127"/>
      <c r="J1326" s="111"/>
      <c r="K1326" s="257"/>
      <c r="L1326" s="111"/>
      <c r="M1326" s="127"/>
      <c r="N1326" s="270"/>
      <c r="O1326" s="111"/>
      <c r="P1326" s="111"/>
      <c r="Q1326" s="128"/>
      <c r="R1326" s="124"/>
      <c r="S1326" s="125"/>
      <c r="T1326" s="126"/>
      <c r="U1326" s="126"/>
      <c r="V1326" s="126"/>
      <c r="W1326" s="126"/>
      <c r="X1326" s="126"/>
      <c r="Y1326" s="126"/>
      <c r="Z1326" s="127"/>
      <c r="AA1326" s="127"/>
      <c r="AB1326" s="127"/>
      <c r="AC1326" s="127"/>
      <c r="AD1326" s="261"/>
      <c r="AE1326" s="261"/>
      <c r="AF1326" s="261"/>
      <c r="AG1326" s="261"/>
    </row>
    <row r="1327" ht="34.5" hidden="1" customHeight="1">
      <c r="A1327" s="111"/>
      <c r="B1327" s="127"/>
      <c r="C1327" s="111"/>
      <c r="D1327" s="111"/>
      <c r="E1327" s="111"/>
      <c r="F1327" s="111"/>
      <c r="G1327" s="111"/>
      <c r="H1327" s="111"/>
      <c r="I1327" s="127"/>
      <c r="J1327" s="111"/>
      <c r="K1327" s="257"/>
      <c r="L1327" s="111"/>
      <c r="M1327" s="127"/>
      <c r="N1327" s="270"/>
      <c r="O1327" s="111"/>
      <c r="P1327" s="111"/>
      <c r="Q1327" s="128"/>
      <c r="R1327" s="124"/>
      <c r="S1327" s="125"/>
      <c r="T1327" s="126"/>
      <c r="U1327" s="126"/>
      <c r="V1327" s="126"/>
      <c r="W1327" s="126"/>
      <c r="X1327" s="126"/>
      <c r="Y1327" s="126"/>
      <c r="Z1327" s="127"/>
      <c r="AA1327" s="127"/>
      <c r="AB1327" s="127"/>
      <c r="AC1327" s="127"/>
      <c r="AD1327" s="261"/>
      <c r="AE1327" s="261"/>
      <c r="AF1327" s="261"/>
      <c r="AG1327" s="261"/>
    </row>
    <row r="1328" ht="34.5" hidden="1" customHeight="1">
      <c r="A1328" s="111"/>
      <c r="B1328" s="127"/>
      <c r="C1328" s="111"/>
      <c r="D1328" s="111"/>
      <c r="E1328" s="111"/>
      <c r="F1328" s="111"/>
      <c r="G1328" s="111"/>
      <c r="H1328" s="111"/>
      <c r="I1328" s="127"/>
      <c r="J1328" s="111"/>
      <c r="K1328" s="257"/>
      <c r="L1328" s="111"/>
      <c r="M1328" s="127"/>
      <c r="N1328" s="270"/>
      <c r="O1328" s="111"/>
      <c r="P1328" s="111"/>
      <c r="Q1328" s="128"/>
      <c r="R1328" s="124"/>
      <c r="S1328" s="125"/>
      <c r="T1328" s="126"/>
      <c r="U1328" s="126"/>
      <c r="V1328" s="126"/>
      <c r="W1328" s="126"/>
      <c r="X1328" s="126"/>
      <c r="Y1328" s="126"/>
      <c r="Z1328" s="127"/>
      <c r="AA1328" s="127"/>
      <c r="AB1328" s="127"/>
      <c r="AC1328" s="127"/>
      <c r="AD1328" s="261"/>
      <c r="AE1328" s="261"/>
      <c r="AF1328" s="261"/>
      <c r="AG1328" s="261"/>
    </row>
    <row r="1329" ht="34.5" hidden="1" customHeight="1">
      <c r="A1329" s="111"/>
      <c r="B1329" s="127"/>
      <c r="C1329" s="111"/>
      <c r="D1329" s="111"/>
      <c r="E1329" s="111"/>
      <c r="F1329" s="111"/>
      <c r="G1329" s="111"/>
      <c r="H1329" s="111"/>
      <c r="I1329" s="127"/>
      <c r="J1329" s="111"/>
      <c r="K1329" s="257"/>
      <c r="L1329" s="111"/>
      <c r="M1329" s="127"/>
      <c r="N1329" s="270"/>
      <c r="O1329" s="111"/>
      <c r="P1329" s="111"/>
      <c r="Q1329" s="128"/>
      <c r="R1329" s="124"/>
      <c r="S1329" s="125"/>
      <c r="T1329" s="126"/>
      <c r="U1329" s="126"/>
      <c r="V1329" s="126"/>
      <c r="W1329" s="126"/>
      <c r="X1329" s="126"/>
      <c r="Y1329" s="126"/>
      <c r="Z1329" s="127"/>
      <c r="AA1329" s="127"/>
      <c r="AB1329" s="127"/>
      <c r="AC1329" s="127"/>
      <c r="AD1329" s="261"/>
      <c r="AE1329" s="261"/>
      <c r="AF1329" s="261"/>
      <c r="AG1329" s="261"/>
    </row>
    <row r="1330" ht="34.5" hidden="1" customHeight="1">
      <c r="A1330" s="111"/>
      <c r="B1330" s="127"/>
      <c r="C1330" s="111"/>
      <c r="D1330" s="111"/>
      <c r="E1330" s="111"/>
      <c r="F1330" s="111"/>
      <c r="G1330" s="111"/>
      <c r="H1330" s="111"/>
      <c r="I1330" s="127"/>
      <c r="J1330" s="111"/>
      <c r="K1330" s="257"/>
      <c r="L1330" s="111"/>
      <c r="M1330" s="127"/>
      <c r="N1330" s="270"/>
      <c r="O1330" s="111"/>
      <c r="P1330" s="111"/>
      <c r="Q1330" s="128"/>
      <c r="R1330" s="124"/>
      <c r="S1330" s="125"/>
      <c r="T1330" s="126"/>
      <c r="U1330" s="126"/>
      <c r="V1330" s="126"/>
      <c r="W1330" s="126"/>
      <c r="X1330" s="126"/>
      <c r="Y1330" s="126"/>
      <c r="Z1330" s="127"/>
      <c r="AA1330" s="127"/>
      <c r="AB1330" s="127"/>
      <c r="AC1330" s="127"/>
      <c r="AD1330" s="261"/>
      <c r="AE1330" s="261"/>
      <c r="AF1330" s="261"/>
      <c r="AG1330" s="261"/>
    </row>
    <row r="1331" ht="34.5" hidden="1" customHeight="1">
      <c r="A1331" s="111"/>
      <c r="B1331" s="127"/>
      <c r="C1331" s="111"/>
      <c r="D1331" s="111"/>
      <c r="E1331" s="111"/>
      <c r="F1331" s="111"/>
      <c r="G1331" s="111"/>
      <c r="H1331" s="111"/>
      <c r="I1331" s="127"/>
      <c r="J1331" s="111"/>
      <c r="K1331" s="257"/>
      <c r="L1331" s="111"/>
      <c r="M1331" s="127"/>
      <c r="N1331" s="270"/>
      <c r="O1331" s="111"/>
      <c r="P1331" s="111"/>
      <c r="Q1331" s="128"/>
      <c r="R1331" s="124"/>
      <c r="S1331" s="125"/>
      <c r="T1331" s="126"/>
      <c r="U1331" s="126"/>
      <c r="V1331" s="126"/>
      <c r="W1331" s="126"/>
      <c r="X1331" s="126"/>
      <c r="Y1331" s="126"/>
      <c r="Z1331" s="127"/>
      <c r="AA1331" s="127"/>
      <c r="AB1331" s="127"/>
      <c r="AC1331" s="127"/>
      <c r="AD1331" s="261"/>
      <c r="AE1331" s="261"/>
      <c r="AF1331" s="261"/>
      <c r="AG1331" s="261"/>
    </row>
    <row r="1332" ht="34.5" hidden="1" customHeight="1">
      <c r="A1332" s="111"/>
      <c r="B1332" s="127"/>
      <c r="C1332" s="111"/>
      <c r="D1332" s="111"/>
      <c r="E1332" s="111"/>
      <c r="F1332" s="111"/>
      <c r="G1332" s="111"/>
      <c r="H1332" s="111"/>
      <c r="I1332" s="127"/>
      <c r="J1332" s="111"/>
      <c r="K1332" s="257"/>
      <c r="L1332" s="111"/>
      <c r="M1332" s="127"/>
      <c r="N1332" s="270"/>
      <c r="O1332" s="111"/>
      <c r="P1332" s="111"/>
      <c r="Q1332" s="128"/>
      <c r="R1332" s="124"/>
      <c r="S1332" s="125"/>
      <c r="T1332" s="126"/>
      <c r="U1332" s="126"/>
      <c r="V1332" s="126"/>
      <c r="W1332" s="126"/>
      <c r="X1332" s="126"/>
      <c r="Y1332" s="126"/>
      <c r="Z1332" s="127"/>
      <c r="AA1332" s="127"/>
      <c r="AB1332" s="127"/>
      <c r="AC1332" s="127"/>
      <c r="AD1332" s="261"/>
      <c r="AE1332" s="261"/>
      <c r="AF1332" s="261"/>
      <c r="AG1332" s="261"/>
    </row>
    <row r="1333" ht="34.5" hidden="1" customHeight="1">
      <c r="A1333" s="111"/>
      <c r="B1333" s="127"/>
      <c r="C1333" s="111"/>
      <c r="D1333" s="111"/>
      <c r="E1333" s="111"/>
      <c r="F1333" s="111"/>
      <c r="G1333" s="111"/>
      <c r="H1333" s="111"/>
      <c r="I1333" s="127"/>
      <c r="J1333" s="111"/>
      <c r="K1333" s="257"/>
      <c r="L1333" s="111"/>
      <c r="M1333" s="127"/>
      <c r="N1333" s="270"/>
      <c r="O1333" s="111"/>
      <c r="P1333" s="111"/>
      <c r="Q1333" s="128"/>
      <c r="R1333" s="124"/>
      <c r="S1333" s="125"/>
      <c r="T1333" s="126"/>
      <c r="U1333" s="126"/>
      <c r="V1333" s="126"/>
      <c r="W1333" s="126"/>
      <c r="X1333" s="126"/>
      <c r="Y1333" s="126"/>
      <c r="Z1333" s="127"/>
      <c r="AA1333" s="127"/>
      <c r="AB1333" s="127"/>
      <c r="AC1333" s="127"/>
      <c r="AD1333" s="261"/>
      <c r="AE1333" s="261"/>
      <c r="AF1333" s="261"/>
      <c r="AG1333" s="261"/>
    </row>
    <row r="1334" ht="34.5" hidden="1" customHeight="1">
      <c r="A1334" s="111"/>
      <c r="B1334" s="127"/>
      <c r="C1334" s="111"/>
      <c r="D1334" s="111"/>
      <c r="E1334" s="111"/>
      <c r="F1334" s="111"/>
      <c r="G1334" s="111"/>
      <c r="H1334" s="111"/>
      <c r="I1334" s="127"/>
      <c r="J1334" s="111"/>
      <c r="K1334" s="257"/>
      <c r="L1334" s="111"/>
      <c r="M1334" s="127"/>
      <c r="N1334" s="270"/>
      <c r="O1334" s="111"/>
      <c r="P1334" s="111"/>
      <c r="Q1334" s="128"/>
      <c r="R1334" s="124"/>
      <c r="S1334" s="125"/>
      <c r="T1334" s="126"/>
      <c r="U1334" s="126"/>
      <c r="V1334" s="126"/>
      <c r="W1334" s="126"/>
      <c r="X1334" s="126"/>
      <c r="Y1334" s="126"/>
      <c r="Z1334" s="127"/>
      <c r="AA1334" s="127"/>
      <c r="AB1334" s="127"/>
      <c r="AC1334" s="127"/>
      <c r="AD1334" s="261"/>
      <c r="AE1334" s="261"/>
      <c r="AF1334" s="261"/>
      <c r="AG1334" s="261"/>
    </row>
    <row r="1335" ht="34.5" hidden="1" customHeight="1">
      <c r="A1335" s="111"/>
      <c r="B1335" s="127"/>
      <c r="C1335" s="111"/>
      <c r="D1335" s="111"/>
      <c r="E1335" s="111"/>
      <c r="F1335" s="111"/>
      <c r="G1335" s="111"/>
      <c r="H1335" s="111"/>
      <c r="I1335" s="127"/>
      <c r="J1335" s="111"/>
      <c r="K1335" s="257"/>
      <c r="L1335" s="111"/>
      <c r="M1335" s="127"/>
      <c r="N1335" s="270"/>
      <c r="O1335" s="111"/>
      <c r="P1335" s="111"/>
      <c r="Q1335" s="128"/>
      <c r="R1335" s="124"/>
      <c r="S1335" s="125"/>
      <c r="T1335" s="126"/>
      <c r="U1335" s="126"/>
      <c r="V1335" s="126"/>
      <c r="W1335" s="126"/>
      <c r="X1335" s="126"/>
      <c r="Y1335" s="126"/>
      <c r="Z1335" s="127"/>
      <c r="AA1335" s="127"/>
      <c r="AB1335" s="127"/>
      <c r="AC1335" s="127"/>
      <c r="AD1335" s="261"/>
      <c r="AE1335" s="261"/>
      <c r="AF1335" s="261"/>
      <c r="AG1335" s="261"/>
    </row>
    <row r="1336" ht="34.5" hidden="1" customHeight="1">
      <c r="A1336" s="111"/>
      <c r="B1336" s="127"/>
      <c r="C1336" s="111"/>
      <c r="D1336" s="111"/>
      <c r="E1336" s="111"/>
      <c r="F1336" s="111"/>
      <c r="G1336" s="111"/>
      <c r="H1336" s="111"/>
      <c r="I1336" s="127"/>
      <c r="J1336" s="111"/>
      <c r="K1336" s="257"/>
      <c r="L1336" s="111"/>
      <c r="M1336" s="127"/>
      <c r="N1336" s="270"/>
      <c r="O1336" s="111"/>
      <c r="P1336" s="111"/>
      <c r="Q1336" s="128"/>
      <c r="R1336" s="124"/>
      <c r="S1336" s="125"/>
      <c r="T1336" s="126"/>
      <c r="U1336" s="126"/>
      <c r="V1336" s="126"/>
      <c r="W1336" s="126"/>
      <c r="X1336" s="126"/>
      <c r="Y1336" s="126"/>
      <c r="Z1336" s="127"/>
      <c r="AA1336" s="127"/>
      <c r="AB1336" s="127"/>
      <c r="AC1336" s="127"/>
      <c r="AD1336" s="261"/>
      <c r="AE1336" s="261"/>
      <c r="AF1336" s="261"/>
      <c r="AG1336" s="261"/>
    </row>
    <row r="1337" ht="34.5" hidden="1" customHeight="1">
      <c r="A1337" s="111"/>
      <c r="B1337" s="127"/>
      <c r="C1337" s="111"/>
      <c r="D1337" s="111"/>
      <c r="E1337" s="111"/>
      <c r="F1337" s="111"/>
      <c r="G1337" s="111"/>
      <c r="H1337" s="111"/>
      <c r="I1337" s="127"/>
      <c r="J1337" s="111"/>
      <c r="K1337" s="257"/>
      <c r="L1337" s="111"/>
      <c r="M1337" s="127"/>
      <c r="N1337" s="270"/>
      <c r="O1337" s="111"/>
      <c r="P1337" s="111"/>
      <c r="Q1337" s="128"/>
      <c r="R1337" s="124"/>
      <c r="S1337" s="125"/>
      <c r="T1337" s="126"/>
      <c r="U1337" s="126"/>
      <c r="V1337" s="126"/>
      <c r="W1337" s="126"/>
      <c r="X1337" s="126"/>
      <c r="Y1337" s="126"/>
      <c r="Z1337" s="127"/>
      <c r="AA1337" s="127"/>
      <c r="AB1337" s="127"/>
      <c r="AC1337" s="127"/>
      <c r="AD1337" s="261"/>
      <c r="AE1337" s="261"/>
      <c r="AF1337" s="261"/>
      <c r="AG1337" s="261"/>
    </row>
    <row r="1338" ht="34.5" hidden="1" customHeight="1">
      <c r="A1338" s="111"/>
      <c r="B1338" s="127"/>
      <c r="C1338" s="111"/>
      <c r="D1338" s="111"/>
      <c r="E1338" s="111"/>
      <c r="F1338" s="111"/>
      <c r="G1338" s="111"/>
      <c r="H1338" s="111"/>
      <c r="I1338" s="127"/>
      <c r="J1338" s="111"/>
      <c r="K1338" s="257"/>
      <c r="L1338" s="111"/>
      <c r="M1338" s="127"/>
      <c r="N1338" s="270"/>
      <c r="O1338" s="111"/>
      <c r="P1338" s="111"/>
      <c r="Q1338" s="128"/>
      <c r="R1338" s="124"/>
      <c r="S1338" s="125"/>
      <c r="T1338" s="126"/>
      <c r="U1338" s="126"/>
      <c r="V1338" s="126"/>
      <c r="W1338" s="126"/>
      <c r="X1338" s="126"/>
      <c r="Y1338" s="126"/>
      <c r="Z1338" s="127"/>
      <c r="AA1338" s="127"/>
      <c r="AB1338" s="127"/>
      <c r="AC1338" s="127"/>
      <c r="AD1338" s="261"/>
      <c r="AE1338" s="261"/>
      <c r="AF1338" s="261"/>
      <c r="AG1338" s="261"/>
    </row>
    <row r="1339" ht="34.5" hidden="1" customHeight="1">
      <c r="A1339" s="111"/>
      <c r="B1339" s="127"/>
      <c r="C1339" s="111"/>
      <c r="D1339" s="111"/>
      <c r="E1339" s="111"/>
      <c r="F1339" s="111"/>
      <c r="G1339" s="111"/>
      <c r="H1339" s="111"/>
      <c r="I1339" s="127"/>
      <c r="J1339" s="111"/>
      <c r="K1339" s="257"/>
      <c r="L1339" s="111"/>
      <c r="M1339" s="127"/>
      <c r="N1339" s="270"/>
      <c r="O1339" s="111"/>
      <c r="P1339" s="111"/>
      <c r="Q1339" s="128"/>
      <c r="R1339" s="124"/>
      <c r="S1339" s="125"/>
      <c r="T1339" s="126"/>
      <c r="U1339" s="126"/>
      <c r="V1339" s="126"/>
      <c r="W1339" s="126"/>
      <c r="X1339" s="126"/>
      <c r="Y1339" s="126"/>
      <c r="Z1339" s="127"/>
      <c r="AA1339" s="127"/>
      <c r="AB1339" s="127"/>
      <c r="AC1339" s="127"/>
      <c r="AD1339" s="261"/>
      <c r="AE1339" s="261"/>
      <c r="AF1339" s="261"/>
      <c r="AG1339" s="261"/>
    </row>
    <row r="1340" ht="34.5" hidden="1" customHeight="1">
      <c r="A1340" s="111"/>
      <c r="B1340" s="127"/>
      <c r="C1340" s="111"/>
      <c r="D1340" s="111"/>
      <c r="E1340" s="111"/>
      <c r="F1340" s="111"/>
      <c r="G1340" s="111"/>
      <c r="H1340" s="111"/>
      <c r="I1340" s="127"/>
      <c r="J1340" s="111"/>
      <c r="K1340" s="257"/>
      <c r="L1340" s="111"/>
      <c r="M1340" s="127"/>
      <c r="N1340" s="270"/>
      <c r="O1340" s="111"/>
      <c r="P1340" s="111"/>
      <c r="Q1340" s="128"/>
      <c r="R1340" s="124"/>
      <c r="S1340" s="125"/>
      <c r="T1340" s="126"/>
      <c r="U1340" s="126"/>
      <c r="V1340" s="126"/>
      <c r="W1340" s="126"/>
      <c r="X1340" s="126"/>
      <c r="Y1340" s="126"/>
      <c r="Z1340" s="127"/>
      <c r="AA1340" s="127"/>
      <c r="AB1340" s="127"/>
      <c r="AC1340" s="127"/>
      <c r="AD1340" s="261"/>
      <c r="AE1340" s="261"/>
      <c r="AF1340" s="261"/>
      <c r="AG1340" s="261"/>
    </row>
    <row r="1341" ht="34.5" hidden="1" customHeight="1">
      <c r="A1341" s="111"/>
      <c r="B1341" s="127"/>
      <c r="C1341" s="111"/>
      <c r="D1341" s="111"/>
      <c r="E1341" s="111"/>
      <c r="F1341" s="111"/>
      <c r="G1341" s="111"/>
      <c r="H1341" s="111"/>
      <c r="I1341" s="127"/>
      <c r="J1341" s="111"/>
      <c r="K1341" s="257"/>
      <c r="L1341" s="111"/>
      <c r="M1341" s="127"/>
      <c r="N1341" s="270"/>
      <c r="O1341" s="111"/>
      <c r="P1341" s="111"/>
      <c r="Q1341" s="128"/>
      <c r="R1341" s="124"/>
      <c r="S1341" s="125"/>
      <c r="T1341" s="126"/>
      <c r="U1341" s="126"/>
      <c r="V1341" s="126"/>
      <c r="W1341" s="126"/>
      <c r="X1341" s="126"/>
      <c r="Y1341" s="126"/>
      <c r="Z1341" s="127"/>
      <c r="AA1341" s="127"/>
      <c r="AB1341" s="127"/>
      <c r="AC1341" s="127"/>
      <c r="AD1341" s="261"/>
      <c r="AE1341" s="261"/>
      <c r="AF1341" s="261"/>
      <c r="AG1341" s="261"/>
    </row>
    <row r="1342" ht="34.5" hidden="1" customHeight="1">
      <c r="A1342" s="111"/>
      <c r="B1342" s="127"/>
      <c r="C1342" s="111"/>
      <c r="D1342" s="111"/>
      <c r="E1342" s="111"/>
      <c r="F1342" s="111"/>
      <c r="G1342" s="111"/>
      <c r="H1342" s="111"/>
      <c r="I1342" s="127"/>
      <c r="J1342" s="111"/>
      <c r="K1342" s="257"/>
      <c r="L1342" s="111"/>
      <c r="M1342" s="127"/>
      <c r="N1342" s="270"/>
      <c r="O1342" s="111"/>
      <c r="P1342" s="111"/>
      <c r="Q1342" s="128"/>
      <c r="R1342" s="124"/>
      <c r="S1342" s="125"/>
      <c r="T1342" s="126"/>
      <c r="U1342" s="126"/>
      <c r="V1342" s="126"/>
      <c r="W1342" s="126"/>
      <c r="X1342" s="126"/>
      <c r="Y1342" s="126"/>
      <c r="Z1342" s="127"/>
      <c r="AA1342" s="127"/>
      <c r="AB1342" s="127"/>
      <c r="AC1342" s="127"/>
      <c r="AD1342" s="261"/>
      <c r="AE1342" s="261"/>
      <c r="AF1342" s="261"/>
      <c r="AG1342" s="261"/>
    </row>
    <row r="1343" ht="34.5" hidden="1" customHeight="1">
      <c r="A1343" s="111"/>
      <c r="B1343" s="127"/>
      <c r="C1343" s="111"/>
      <c r="D1343" s="111"/>
      <c r="E1343" s="111"/>
      <c r="F1343" s="111"/>
      <c r="G1343" s="111"/>
      <c r="H1343" s="111"/>
      <c r="I1343" s="127"/>
      <c r="J1343" s="111"/>
      <c r="K1343" s="257"/>
      <c r="L1343" s="111"/>
      <c r="M1343" s="127"/>
      <c r="N1343" s="270"/>
      <c r="O1343" s="111"/>
      <c r="P1343" s="111"/>
      <c r="Q1343" s="128"/>
      <c r="R1343" s="124"/>
      <c r="S1343" s="125"/>
      <c r="T1343" s="126"/>
      <c r="U1343" s="126"/>
      <c r="V1343" s="126"/>
      <c r="W1343" s="126"/>
      <c r="X1343" s="126"/>
      <c r="Y1343" s="126"/>
      <c r="Z1343" s="127"/>
      <c r="AA1343" s="127"/>
      <c r="AB1343" s="127"/>
      <c r="AC1343" s="127"/>
      <c r="AD1343" s="261"/>
      <c r="AE1343" s="261"/>
      <c r="AF1343" s="261"/>
      <c r="AG1343" s="261"/>
    </row>
    <row r="1344" ht="34.5" hidden="1" customHeight="1">
      <c r="A1344" s="111"/>
      <c r="B1344" s="127"/>
      <c r="C1344" s="111"/>
      <c r="D1344" s="111"/>
      <c r="E1344" s="111"/>
      <c r="F1344" s="111"/>
      <c r="G1344" s="111"/>
      <c r="H1344" s="111"/>
      <c r="I1344" s="127"/>
      <c r="J1344" s="111"/>
      <c r="K1344" s="257"/>
      <c r="L1344" s="111"/>
      <c r="M1344" s="127"/>
      <c r="N1344" s="270"/>
      <c r="O1344" s="111"/>
      <c r="P1344" s="111"/>
      <c r="Q1344" s="128"/>
      <c r="R1344" s="124"/>
      <c r="S1344" s="125"/>
      <c r="T1344" s="126"/>
      <c r="U1344" s="126"/>
      <c r="V1344" s="126"/>
      <c r="W1344" s="126"/>
      <c r="X1344" s="126"/>
      <c r="Y1344" s="126"/>
      <c r="Z1344" s="127"/>
      <c r="AA1344" s="127"/>
      <c r="AB1344" s="127"/>
      <c r="AC1344" s="127"/>
      <c r="AD1344" s="261"/>
      <c r="AE1344" s="261"/>
      <c r="AF1344" s="261"/>
      <c r="AG1344" s="261"/>
    </row>
    <row r="1345" ht="34.5" hidden="1" customHeight="1">
      <c r="A1345" s="111"/>
      <c r="B1345" s="127"/>
      <c r="C1345" s="111"/>
      <c r="D1345" s="111"/>
      <c r="E1345" s="111"/>
      <c r="F1345" s="111"/>
      <c r="G1345" s="111"/>
      <c r="H1345" s="111"/>
      <c r="I1345" s="127"/>
      <c r="J1345" s="111"/>
      <c r="K1345" s="257"/>
      <c r="L1345" s="111"/>
      <c r="M1345" s="127"/>
      <c r="N1345" s="270"/>
      <c r="O1345" s="111"/>
      <c r="P1345" s="111"/>
      <c r="Q1345" s="128"/>
      <c r="R1345" s="124"/>
      <c r="S1345" s="125"/>
      <c r="T1345" s="126"/>
      <c r="U1345" s="126"/>
      <c r="V1345" s="126"/>
      <c r="W1345" s="126"/>
      <c r="X1345" s="126"/>
      <c r="Y1345" s="126"/>
      <c r="Z1345" s="127"/>
      <c r="AA1345" s="127"/>
      <c r="AB1345" s="127"/>
      <c r="AC1345" s="127"/>
      <c r="AD1345" s="261"/>
      <c r="AE1345" s="261"/>
      <c r="AF1345" s="261"/>
      <c r="AG1345" s="261"/>
    </row>
    <row r="1346" ht="34.5" hidden="1" customHeight="1">
      <c r="A1346" s="111"/>
      <c r="B1346" s="127"/>
      <c r="C1346" s="111"/>
      <c r="D1346" s="111"/>
      <c r="E1346" s="111"/>
      <c r="F1346" s="111"/>
      <c r="G1346" s="111"/>
      <c r="H1346" s="111"/>
      <c r="I1346" s="127"/>
      <c r="J1346" s="111"/>
      <c r="K1346" s="257"/>
      <c r="L1346" s="111"/>
      <c r="M1346" s="127"/>
      <c r="N1346" s="270"/>
      <c r="O1346" s="111"/>
      <c r="P1346" s="111"/>
      <c r="Q1346" s="128"/>
      <c r="R1346" s="124"/>
      <c r="S1346" s="125"/>
      <c r="T1346" s="126"/>
      <c r="U1346" s="126"/>
      <c r="V1346" s="126"/>
      <c r="W1346" s="126"/>
      <c r="X1346" s="126"/>
      <c r="Y1346" s="126"/>
      <c r="Z1346" s="127"/>
      <c r="AA1346" s="127"/>
      <c r="AB1346" s="127"/>
      <c r="AC1346" s="127"/>
      <c r="AD1346" s="261"/>
      <c r="AE1346" s="261"/>
      <c r="AF1346" s="261"/>
      <c r="AG1346" s="261"/>
    </row>
    <row r="1347" ht="34.5" hidden="1" customHeight="1">
      <c r="A1347" s="111"/>
      <c r="B1347" s="127"/>
      <c r="C1347" s="111"/>
      <c r="D1347" s="111"/>
      <c r="E1347" s="111"/>
      <c r="F1347" s="111"/>
      <c r="G1347" s="111"/>
      <c r="H1347" s="111"/>
      <c r="I1347" s="127"/>
      <c r="J1347" s="111"/>
      <c r="K1347" s="257"/>
      <c r="L1347" s="111"/>
      <c r="M1347" s="127"/>
      <c r="N1347" s="270"/>
      <c r="O1347" s="111"/>
      <c r="P1347" s="111"/>
      <c r="Q1347" s="128"/>
      <c r="R1347" s="124"/>
      <c r="S1347" s="125"/>
      <c r="T1347" s="126"/>
      <c r="U1347" s="126"/>
      <c r="V1347" s="126"/>
      <c r="W1347" s="126"/>
      <c r="X1347" s="126"/>
      <c r="Y1347" s="126"/>
      <c r="Z1347" s="127"/>
      <c r="AA1347" s="127"/>
      <c r="AB1347" s="127"/>
      <c r="AC1347" s="127"/>
      <c r="AD1347" s="261"/>
      <c r="AE1347" s="261"/>
      <c r="AF1347" s="261"/>
      <c r="AG1347" s="261"/>
    </row>
    <row r="1348" ht="34.5" hidden="1" customHeight="1">
      <c r="A1348" s="111"/>
      <c r="B1348" s="127"/>
      <c r="C1348" s="111"/>
      <c r="D1348" s="111"/>
      <c r="E1348" s="111"/>
      <c r="F1348" s="111"/>
      <c r="G1348" s="111"/>
      <c r="H1348" s="111"/>
      <c r="I1348" s="127"/>
      <c r="J1348" s="111"/>
      <c r="K1348" s="257"/>
      <c r="L1348" s="111"/>
      <c r="M1348" s="127"/>
      <c r="N1348" s="270"/>
      <c r="O1348" s="111"/>
      <c r="P1348" s="111"/>
      <c r="Q1348" s="128"/>
      <c r="R1348" s="124"/>
      <c r="S1348" s="125"/>
      <c r="T1348" s="126"/>
      <c r="U1348" s="126"/>
      <c r="V1348" s="126"/>
      <c r="W1348" s="126"/>
      <c r="X1348" s="126"/>
      <c r="Y1348" s="126"/>
      <c r="Z1348" s="127"/>
      <c r="AA1348" s="127"/>
      <c r="AB1348" s="127"/>
      <c r="AC1348" s="127"/>
      <c r="AD1348" s="261"/>
      <c r="AE1348" s="261"/>
      <c r="AF1348" s="261"/>
      <c r="AG1348" s="261"/>
    </row>
    <row r="1349" ht="34.5" hidden="1" customHeight="1">
      <c r="A1349" s="111"/>
      <c r="B1349" s="127"/>
      <c r="C1349" s="111"/>
      <c r="D1349" s="111"/>
      <c r="E1349" s="111"/>
      <c r="F1349" s="111"/>
      <c r="G1349" s="111"/>
      <c r="H1349" s="111"/>
      <c r="I1349" s="127"/>
      <c r="J1349" s="111"/>
      <c r="K1349" s="257"/>
      <c r="L1349" s="111"/>
      <c r="M1349" s="127"/>
      <c r="N1349" s="270"/>
      <c r="O1349" s="111"/>
      <c r="P1349" s="111"/>
      <c r="Q1349" s="128"/>
      <c r="R1349" s="124"/>
      <c r="S1349" s="125"/>
      <c r="T1349" s="126"/>
      <c r="U1349" s="126"/>
      <c r="V1349" s="126"/>
      <c r="W1349" s="126"/>
      <c r="X1349" s="126"/>
      <c r="Y1349" s="126"/>
      <c r="Z1349" s="127"/>
      <c r="AA1349" s="127"/>
      <c r="AB1349" s="127"/>
      <c r="AC1349" s="127"/>
      <c r="AD1349" s="261"/>
      <c r="AE1349" s="261"/>
      <c r="AF1349" s="261"/>
      <c r="AG1349" s="261"/>
    </row>
    <row r="1350" ht="34.5" hidden="1" customHeight="1">
      <c r="A1350" s="111"/>
      <c r="B1350" s="127"/>
      <c r="C1350" s="111"/>
      <c r="D1350" s="111"/>
      <c r="E1350" s="111"/>
      <c r="F1350" s="111"/>
      <c r="G1350" s="111"/>
      <c r="H1350" s="111"/>
      <c r="I1350" s="127"/>
      <c r="J1350" s="111"/>
      <c r="K1350" s="257"/>
      <c r="L1350" s="111"/>
      <c r="M1350" s="127"/>
      <c r="N1350" s="270"/>
      <c r="O1350" s="111"/>
      <c r="P1350" s="111"/>
      <c r="Q1350" s="128"/>
      <c r="R1350" s="124"/>
      <c r="S1350" s="125"/>
      <c r="T1350" s="126"/>
      <c r="U1350" s="126"/>
      <c r="V1350" s="126"/>
      <c r="W1350" s="126"/>
      <c r="X1350" s="126"/>
      <c r="Y1350" s="126"/>
      <c r="Z1350" s="127"/>
      <c r="AA1350" s="127"/>
      <c r="AB1350" s="127"/>
      <c r="AC1350" s="127"/>
      <c r="AD1350" s="261"/>
      <c r="AE1350" s="261"/>
      <c r="AF1350" s="261"/>
      <c r="AG1350" s="261"/>
    </row>
    <row r="1351" ht="34.5" hidden="1" customHeight="1">
      <c r="A1351" s="111"/>
      <c r="B1351" s="127"/>
      <c r="C1351" s="111"/>
      <c r="D1351" s="111"/>
      <c r="E1351" s="111"/>
      <c r="F1351" s="111"/>
      <c r="G1351" s="111"/>
      <c r="H1351" s="111"/>
      <c r="I1351" s="127"/>
      <c r="J1351" s="111"/>
      <c r="K1351" s="257"/>
      <c r="L1351" s="111"/>
      <c r="M1351" s="127"/>
      <c r="N1351" s="270"/>
      <c r="O1351" s="111"/>
      <c r="P1351" s="111"/>
      <c r="Q1351" s="128"/>
      <c r="R1351" s="124"/>
      <c r="S1351" s="125"/>
      <c r="T1351" s="126"/>
      <c r="U1351" s="126"/>
      <c r="V1351" s="126"/>
      <c r="W1351" s="126"/>
      <c r="X1351" s="126"/>
      <c r="Y1351" s="126"/>
      <c r="Z1351" s="127"/>
      <c r="AA1351" s="127"/>
      <c r="AB1351" s="127"/>
      <c r="AC1351" s="127"/>
      <c r="AD1351" s="261"/>
      <c r="AE1351" s="261"/>
      <c r="AF1351" s="261"/>
      <c r="AG1351" s="261"/>
    </row>
    <row r="1352" ht="34.5" hidden="1" customHeight="1">
      <c r="A1352" s="111"/>
      <c r="B1352" s="127"/>
      <c r="C1352" s="111"/>
      <c r="D1352" s="111"/>
      <c r="E1352" s="111"/>
      <c r="F1352" s="111"/>
      <c r="G1352" s="111"/>
      <c r="H1352" s="111"/>
      <c r="I1352" s="127"/>
      <c r="J1352" s="111"/>
      <c r="K1352" s="257"/>
      <c r="L1352" s="111"/>
      <c r="M1352" s="127"/>
      <c r="N1352" s="270"/>
      <c r="O1352" s="111"/>
      <c r="P1352" s="111"/>
      <c r="Q1352" s="128"/>
      <c r="R1352" s="124"/>
      <c r="S1352" s="125"/>
      <c r="T1352" s="126"/>
      <c r="U1352" s="126"/>
      <c r="V1352" s="126"/>
      <c r="W1352" s="126"/>
      <c r="X1352" s="126"/>
      <c r="Y1352" s="126"/>
      <c r="Z1352" s="127"/>
      <c r="AA1352" s="127"/>
      <c r="AB1352" s="127"/>
      <c r="AC1352" s="127"/>
      <c r="AD1352" s="261"/>
      <c r="AE1352" s="261"/>
      <c r="AF1352" s="261"/>
      <c r="AG1352" s="261"/>
    </row>
    <row r="1353" ht="34.5" hidden="1" customHeight="1">
      <c r="A1353" s="111"/>
      <c r="B1353" s="127"/>
      <c r="C1353" s="111"/>
      <c r="D1353" s="111"/>
      <c r="E1353" s="111"/>
      <c r="F1353" s="111"/>
      <c r="G1353" s="111"/>
      <c r="H1353" s="111"/>
      <c r="I1353" s="127"/>
      <c r="J1353" s="111"/>
      <c r="K1353" s="257"/>
      <c r="L1353" s="111"/>
      <c r="M1353" s="127"/>
      <c r="N1353" s="270"/>
      <c r="O1353" s="111"/>
      <c r="P1353" s="111"/>
      <c r="Q1353" s="128"/>
      <c r="R1353" s="124"/>
      <c r="S1353" s="125"/>
      <c r="T1353" s="126"/>
      <c r="U1353" s="126"/>
      <c r="V1353" s="126"/>
      <c r="W1353" s="126"/>
      <c r="X1353" s="126"/>
      <c r="Y1353" s="126"/>
      <c r="Z1353" s="127"/>
      <c r="AA1353" s="127"/>
      <c r="AB1353" s="127"/>
      <c r="AC1353" s="127"/>
      <c r="AD1353" s="261"/>
      <c r="AE1353" s="261"/>
      <c r="AF1353" s="261"/>
      <c r="AG1353" s="261"/>
    </row>
    <row r="1354" ht="34.5" hidden="1" customHeight="1">
      <c r="A1354" s="111"/>
      <c r="B1354" s="127"/>
      <c r="C1354" s="111"/>
      <c r="D1354" s="111"/>
      <c r="E1354" s="111"/>
      <c r="F1354" s="111"/>
      <c r="G1354" s="111"/>
      <c r="H1354" s="111"/>
      <c r="I1354" s="127"/>
      <c r="J1354" s="111"/>
      <c r="K1354" s="257"/>
      <c r="L1354" s="111"/>
      <c r="M1354" s="127"/>
      <c r="N1354" s="270"/>
      <c r="O1354" s="111"/>
      <c r="P1354" s="111"/>
      <c r="Q1354" s="128"/>
      <c r="R1354" s="124"/>
      <c r="S1354" s="125"/>
      <c r="T1354" s="126"/>
      <c r="U1354" s="126"/>
      <c r="V1354" s="126"/>
      <c r="W1354" s="126"/>
      <c r="X1354" s="126"/>
      <c r="Y1354" s="126"/>
      <c r="Z1354" s="127"/>
      <c r="AA1354" s="127"/>
      <c r="AB1354" s="127"/>
      <c r="AC1354" s="127"/>
      <c r="AD1354" s="261"/>
      <c r="AE1354" s="261"/>
      <c r="AF1354" s="261"/>
      <c r="AG1354" s="261"/>
    </row>
    <row r="1355" ht="34.5" hidden="1" customHeight="1">
      <c r="A1355" s="111"/>
      <c r="B1355" s="127"/>
      <c r="C1355" s="111"/>
      <c r="D1355" s="111"/>
      <c r="E1355" s="111"/>
      <c r="F1355" s="111"/>
      <c r="G1355" s="111"/>
      <c r="H1355" s="111"/>
      <c r="I1355" s="127"/>
      <c r="J1355" s="111"/>
      <c r="K1355" s="257"/>
      <c r="L1355" s="111"/>
      <c r="M1355" s="127"/>
      <c r="N1355" s="270"/>
      <c r="O1355" s="111"/>
      <c r="P1355" s="111"/>
      <c r="Q1355" s="128"/>
      <c r="R1355" s="124"/>
      <c r="S1355" s="125"/>
      <c r="T1355" s="126"/>
      <c r="U1355" s="126"/>
      <c r="V1355" s="126"/>
      <c r="W1355" s="126"/>
      <c r="X1355" s="126"/>
      <c r="Y1355" s="126"/>
      <c r="Z1355" s="127"/>
      <c r="AA1355" s="127"/>
      <c r="AB1355" s="127"/>
      <c r="AC1355" s="127"/>
      <c r="AD1355" s="261"/>
      <c r="AE1355" s="261"/>
      <c r="AF1355" s="261"/>
      <c r="AG1355" s="261"/>
    </row>
    <row r="1356" ht="34.5" hidden="1" customHeight="1">
      <c r="A1356" s="111"/>
      <c r="B1356" s="127"/>
      <c r="C1356" s="111"/>
      <c r="D1356" s="111"/>
      <c r="E1356" s="111"/>
      <c r="F1356" s="111"/>
      <c r="G1356" s="111"/>
      <c r="H1356" s="111"/>
      <c r="I1356" s="127"/>
      <c r="J1356" s="111"/>
      <c r="K1356" s="257"/>
      <c r="L1356" s="111"/>
      <c r="M1356" s="127"/>
      <c r="N1356" s="270"/>
      <c r="O1356" s="111"/>
      <c r="P1356" s="111"/>
      <c r="Q1356" s="128"/>
      <c r="R1356" s="124"/>
      <c r="S1356" s="125"/>
      <c r="T1356" s="126"/>
      <c r="U1356" s="126"/>
      <c r="V1356" s="126"/>
      <c r="W1356" s="126"/>
      <c r="X1356" s="126"/>
      <c r="Y1356" s="126"/>
      <c r="Z1356" s="127"/>
      <c r="AA1356" s="127"/>
      <c r="AB1356" s="127"/>
      <c r="AC1356" s="127"/>
      <c r="AD1356" s="261"/>
      <c r="AE1356" s="261"/>
      <c r="AF1356" s="261"/>
      <c r="AG1356" s="261"/>
    </row>
    <row r="1357" ht="34.5" hidden="1" customHeight="1">
      <c r="A1357" s="111"/>
      <c r="B1357" s="127"/>
      <c r="C1357" s="111"/>
      <c r="D1357" s="111"/>
      <c r="E1357" s="111"/>
      <c r="F1357" s="111"/>
      <c r="G1357" s="111"/>
      <c r="H1357" s="111"/>
      <c r="I1357" s="127"/>
      <c r="J1357" s="111"/>
      <c r="K1357" s="257"/>
      <c r="L1357" s="111"/>
      <c r="M1357" s="127"/>
      <c r="N1357" s="270"/>
      <c r="O1357" s="111"/>
      <c r="P1357" s="111"/>
      <c r="Q1357" s="128"/>
      <c r="R1357" s="124"/>
      <c r="S1357" s="125"/>
      <c r="T1357" s="126"/>
      <c r="U1357" s="126"/>
      <c r="V1357" s="126"/>
      <c r="W1357" s="126"/>
      <c r="X1357" s="126"/>
      <c r="Y1357" s="126"/>
      <c r="Z1357" s="127"/>
      <c r="AA1357" s="127"/>
      <c r="AB1357" s="127"/>
      <c r="AC1357" s="127"/>
      <c r="AD1357" s="261"/>
      <c r="AE1357" s="261"/>
      <c r="AF1357" s="261"/>
      <c r="AG1357" s="261"/>
    </row>
    <row r="1358" ht="34.5" hidden="1" customHeight="1">
      <c r="A1358" s="111"/>
      <c r="B1358" s="127"/>
      <c r="C1358" s="111"/>
      <c r="D1358" s="111"/>
      <c r="E1358" s="111"/>
      <c r="F1358" s="111"/>
      <c r="G1358" s="111"/>
      <c r="H1358" s="111"/>
      <c r="I1358" s="127"/>
      <c r="J1358" s="111"/>
      <c r="K1358" s="257"/>
      <c r="L1358" s="111"/>
      <c r="M1358" s="127"/>
      <c r="N1358" s="270"/>
      <c r="O1358" s="111"/>
      <c r="P1358" s="111"/>
      <c r="Q1358" s="128"/>
      <c r="R1358" s="124"/>
      <c r="S1358" s="125"/>
      <c r="T1358" s="126"/>
      <c r="U1358" s="126"/>
      <c r="V1358" s="126"/>
      <c r="W1358" s="126"/>
      <c r="X1358" s="126"/>
      <c r="Y1358" s="126"/>
      <c r="Z1358" s="127"/>
      <c r="AA1358" s="127"/>
      <c r="AB1358" s="127"/>
      <c r="AC1358" s="127"/>
      <c r="AD1358" s="261"/>
      <c r="AE1358" s="261"/>
      <c r="AF1358" s="261"/>
      <c r="AG1358" s="261"/>
    </row>
    <row r="1359" ht="34.5" hidden="1" customHeight="1">
      <c r="A1359" s="111"/>
      <c r="B1359" s="127"/>
      <c r="C1359" s="111"/>
      <c r="D1359" s="111"/>
      <c r="E1359" s="111"/>
      <c r="F1359" s="111"/>
      <c r="G1359" s="111"/>
      <c r="H1359" s="111"/>
      <c r="I1359" s="127"/>
      <c r="J1359" s="111"/>
      <c r="K1359" s="257"/>
      <c r="L1359" s="111"/>
      <c r="M1359" s="127"/>
      <c r="N1359" s="270"/>
      <c r="O1359" s="111"/>
      <c r="P1359" s="111"/>
      <c r="Q1359" s="128"/>
      <c r="R1359" s="124"/>
      <c r="S1359" s="125"/>
      <c r="T1359" s="126"/>
      <c r="U1359" s="126"/>
      <c r="V1359" s="126"/>
      <c r="W1359" s="126"/>
      <c r="X1359" s="126"/>
      <c r="Y1359" s="126"/>
      <c r="Z1359" s="127"/>
      <c r="AA1359" s="127"/>
      <c r="AB1359" s="127"/>
      <c r="AC1359" s="127"/>
      <c r="AD1359" s="261"/>
      <c r="AE1359" s="261"/>
      <c r="AF1359" s="261"/>
      <c r="AG1359" s="261"/>
    </row>
    <row r="1360" ht="34.5" hidden="1" customHeight="1">
      <c r="A1360" s="111"/>
      <c r="B1360" s="127"/>
      <c r="C1360" s="111"/>
      <c r="D1360" s="111"/>
      <c r="E1360" s="111"/>
      <c r="F1360" s="111"/>
      <c r="G1360" s="111"/>
      <c r="H1360" s="111"/>
      <c r="I1360" s="127"/>
      <c r="J1360" s="111"/>
      <c r="K1360" s="257"/>
      <c r="L1360" s="111"/>
      <c r="M1360" s="127"/>
      <c r="N1360" s="270"/>
      <c r="O1360" s="111"/>
      <c r="P1360" s="111"/>
      <c r="Q1360" s="128"/>
      <c r="R1360" s="124"/>
      <c r="S1360" s="125"/>
      <c r="T1360" s="126"/>
      <c r="U1360" s="126"/>
      <c r="V1360" s="126"/>
      <c r="W1360" s="126"/>
      <c r="X1360" s="126"/>
      <c r="Y1360" s="126"/>
      <c r="Z1360" s="127"/>
      <c r="AA1360" s="127"/>
      <c r="AB1360" s="127"/>
      <c r="AC1360" s="127"/>
      <c r="AD1360" s="261"/>
      <c r="AE1360" s="261"/>
      <c r="AF1360" s="261"/>
      <c r="AG1360" s="261"/>
    </row>
    <row r="1361" ht="34.5" hidden="1" customHeight="1">
      <c r="A1361" s="111"/>
      <c r="B1361" s="127"/>
      <c r="C1361" s="111"/>
      <c r="D1361" s="111"/>
      <c r="E1361" s="111"/>
      <c r="F1361" s="111"/>
      <c r="G1361" s="111"/>
      <c r="H1361" s="111"/>
      <c r="I1361" s="127"/>
      <c r="J1361" s="111"/>
      <c r="K1361" s="257"/>
      <c r="L1361" s="111"/>
      <c r="M1361" s="127"/>
      <c r="N1361" s="270"/>
      <c r="O1361" s="111"/>
      <c r="P1361" s="111"/>
      <c r="Q1361" s="128"/>
      <c r="R1361" s="124"/>
      <c r="S1361" s="125"/>
      <c r="T1361" s="126"/>
      <c r="U1361" s="126"/>
      <c r="V1361" s="126"/>
      <c r="W1361" s="126"/>
      <c r="X1361" s="126"/>
      <c r="Y1361" s="126"/>
      <c r="Z1361" s="127"/>
      <c r="AA1361" s="127"/>
      <c r="AB1361" s="127"/>
      <c r="AC1361" s="127"/>
      <c r="AD1361" s="261"/>
      <c r="AE1361" s="261"/>
      <c r="AF1361" s="261"/>
      <c r="AG1361" s="261"/>
    </row>
    <row r="1362" ht="34.5" hidden="1" customHeight="1">
      <c r="A1362" s="111"/>
      <c r="B1362" s="127"/>
      <c r="C1362" s="111"/>
      <c r="D1362" s="111"/>
      <c r="E1362" s="111"/>
      <c r="F1362" s="111"/>
      <c r="G1362" s="111"/>
      <c r="H1362" s="111"/>
      <c r="I1362" s="127"/>
      <c r="J1362" s="111"/>
      <c r="K1362" s="257"/>
      <c r="L1362" s="111"/>
      <c r="M1362" s="127"/>
      <c r="N1362" s="270"/>
      <c r="O1362" s="111"/>
      <c r="P1362" s="111"/>
      <c r="Q1362" s="128"/>
      <c r="R1362" s="124"/>
      <c r="S1362" s="125"/>
      <c r="T1362" s="126"/>
      <c r="U1362" s="126"/>
      <c r="V1362" s="126"/>
      <c r="W1362" s="126"/>
      <c r="X1362" s="126"/>
      <c r="Y1362" s="126"/>
      <c r="Z1362" s="127"/>
      <c r="AA1362" s="127"/>
      <c r="AB1362" s="127"/>
      <c r="AC1362" s="127"/>
      <c r="AD1362" s="261"/>
      <c r="AE1362" s="261"/>
      <c r="AF1362" s="261"/>
      <c r="AG1362" s="261"/>
    </row>
    <row r="1363" ht="34.5" hidden="1" customHeight="1">
      <c r="A1363" s="111"/>
      <c r="B1363" s="127"/>
      <c r="C1363" s="111"/>
      <c r="D1363" s="111"/>
      <c r="E1363" s="111"/>
      <c r="F1363" s="111"/>
      <c r="G1363" s="111"/>
      <c r="H1363" s="111"/>
      <c r="I1363" s="127"/>
      <c r="J1363" s="111"/>
      <c r="K1363" s="257"/>
      <c r="L1363" s="111"/>
      <c r="M1363" s="127"/>
      <c r="N1363" s="270"/>
      <c r="O1363" s="111"/>
      <c r="P1363" s="111"/>
      <c r="Q1363" s="128"/>
      <c r="R1363" s="124"/>
      <c r="S1363" s="125"/>
      <c r="T1363" s="126"/>
      <c r="U1363" s="126"/>
      <c r="V1363" s="126"/>
      <c r="W1363" s="126"/>
      <c r="X1363" s="126"/>
      <c r="Y1363" s="126"/>
      <c r="Z1363" s="127"/>
      <c r="AA1363" s="127"/>
      <c r="AB1363" s="127"/>
      <c r="AC1363" s="127"/>
      <c r="AD1363" s="261"/>
      <c r="AE1363" s="261"/>
      <c r="AF1363" s="261"/>
      <c r="AG1363" s="261"/>
    </row>
    <row r="1364" ht="34.5" hidden="1" customHeight="1">
      <c r="A1364" s="111"/>
      <c r="B1364" s="127"/>
      <c r="C1364" s="111"/>
      <c r="D1364" s="111"/>
      <c r="E1364" s="111"/>
      <c r="F1364" s="111"/>
      <c r="G1364" s="111"/>
      <c r="H1364" s="111"/>
      <c r="I1364" s="127"/>
      <c r="J1364" s="111"/>
      <c r="K1364" s="257"/>
      <c r="L1364" s="111"/>
      <c r="M1364" s="127"/>
      <c r="N1364" s="270"/>
      <c r="O1364" s="111"/>
      <c r="P1364" s="111"/>
      <c r="Q1364" s="128"/>
      <c r="R1364" s="124"/>
      <c r="S1364" s="125"/>
      <c r="T1364" s="126"/>
      <c r="U1364" s="126"/>
      <c r="V1364" s="126"/>
      <c r="W1364" s="126"/>
      <c r="X1364" s="126"/>
      <c r="Y1364" s="126"/>
      <c r="Z1364" s="127"/>
      <c r="AA1364" s="127"/>
      <c r="AB1364" s="127"/>
      <c r="AC1364" s="127"/>
      <c r="AD1364" s="261"/>
      <c r="AE1364" s="261"/>
      <c r="AF1364" s="261"/>
      <c r="AG1364" s="261"/>
    </row>
    <row r="1365" ht="34.5" hidden="1" customHeight="1">
      <c r="A1365" s="111"/>
      <c r="B1365" s="127"/>
      <c r="C1365" s="111"/>
      <c r="D1365" s="111"/>
      <c r="E1365" s="111"/>
      <c r="F1365" s="111"/>
      <c r="G1365" s="111"/>
      <c r="H1365" s="111"/>
      <c r="I1365" s="127"/>
      <c r="J1365" s="111"/>
      <c r="K1365" s="257"/>
      <c r="L1365" s="111"/>
      <c r="M1365" s="127"/>
      <c r="N1365" s="270"/>
      <c r="O1365" s="111"/>
      <c r="P1365" s="111"/>
      <c r="Q1365" s="128"/>
      <c r="R1365" s="124"/>
      <c r="S1365" s="125"/>
      <c r="T1365" s="126"/>
      <c r="U1365" s="126"/>
      <c r="V1365" s="126"/>
      <c r="W1365" s="126"/>
      <c r="X1365" s="126"/>
      <c r="Y1365" s="126"/>
      <c r="Z1365" s="127"/>
      <c r="AA1365" s="127"/>
      <c r="AB1365" s="127"/>
      <c r="AC1365" s="127"/>
      <c r="AD1365" s="261"/>
      <c r="AE1365" s="261"/>
      <c r="AF1365" s="261"/>
      <c r="AG1365" s="261"/>
    </row>
    <row r="1366" ht="34.5" hidden="1" customHeight="1">
      <c r="A1366" s="111"/>
      <c r="B1366" s="127"/>
      <c r="C1366" s="111"/>
      <c r="D1366" s="111"/>
      <c r="E1366" s="111"/>
      <c r="F1366" s="111"/>
      <c r="G1366" s="111"/>
      <c r="H1366" s="111"/>
      <c r="I1366" s="127"/>
      <c r="J1366" s="111"/>
      <c r="K1366" s="257"/>
      <c r="L1366" s="111"/>
      <c r="M1366" s="127"/>
      <c r="N1366" s="270"/>
      <c r="O1366" s="111"/>
      <c r="P1366" s="111"/>
      <c r="Q1366" s="128"/>
      <c r="R1366" s="124"/>
      <c r="S1366" s="125"/>
      <c r="T1366" s="126"/>
      <c r="U1366" s="126"/>
      <c r="V1366" s="126"/>
      <c r="W1366" s="126"/>
      <c r="X1366" s="126"/>
      <c r="Y1366" s="126"/>
      <c r="Z1366" s="127"/>
      <c r="AA1366" s="127"/>
      <c r="AB1366" s="127"/>
      <c r="AC1366" s="127"/>
      <c r="AD1366" s="261"/>
      <c r="AE1366" s="261"/>
      <c r="AF1366" s="261"/>
      <c r="AG1366" s="261"/>
    </row>
    <row r="1367" ht="34.5" hidden="1" customHeight="1">
      <c r="A1367" s="111"/>
      <c r="B1367" s="127"/>
      <c r="C1367" s="111"/>
      <c r="D1367" s="111"/>
      <c r="E1367" s="111"/>
      <c r="F1367" s="111"/>
      <c r="G1367" s="111"/>
      <c r="H1367" s="111"/>
      <c r="I1367" s="127"/>
      <c r="J1367" s="111"/>
      <c r="K1367" s="257"/>
      <c r="L1367" s="111"/>
      <c r="M1367" s="127"/>
      <c r="N1367" s="270"/>
      <c r="O1367" s="111"/>
      <c r="P1367" s="111"/>
      <c r="Q1367" s="128"/>
      <c r="R1367" s="124"/>
      <c r="S1367" s="125"/>
      <c r="T1367" s="126"/>
      <c r="U1367" s="126"/>
      <c r="V1367" s="126"/>
      <c r="W1367" s="126"/>
      <c r="X1367" s="126"/>
      <c r="Y1367" s="126"/>
      <c r="Z1367" s="127"/>
      <c r="AA1367" s="127"/>
      <c r="AB1367" s="127"/>
      <c r="AC1367" s="127"/>
      <c r="AD1367" s="261"/>
      <c r="AE1367" s="261"/>
      <c r="AF1367" s="261"/>
      <c r="AG1367" s="261"/>
    </row>
    <row r="1368" ht="34.5" hidden="1" customHeight="1">
      <c r="A1368" s="111"/>
      <c r="B1368" s="127"/>
      <c r="C1368" s="111"/>
      <c r="D1368" s="111"/>
      <c r="E1368" s="111"/>
      <c r="F1368" s="111"/>
      <c r="G1368" s="111"/>
      <c r="H1368" s="111"/>
      <c r="I1368" s="127"/>
      <c r="J1368" s="111"/>
      <c r="K1368" s="257"/>
      <c r="L1368" s="111"/>
      <c r="M1368" s="127"/>
      <c r="N1368" s="270"/>
      <c r="O1368" s="111"/>
      <c r="P1368" s="111"/>
      <c r="Q1368" s="128"/>
      <c r="R1368" s="124"/>
      <c r="S1368" s="125"/>
      <c r="T1368" s="126"/>
      <c r="U1368" s="126"/>
      <c r="V1368" s="126"/>
      <c r="W1368" s="126"/>
      <c r="X1368" s="126"/>
      <c r="Y1368" s="126"/>
      <c r="Z1368" s="127"/>
      <c r="AA1368" s="127"/>
      <c r="AB1368" s="127"/>
      <c r="AC1368" s="127"/>
      <c r="AD1368" s="261"/>
      <c r="AE1368" s="261"/>
      <c r="AF1368" s="261"/>
      <c r="AG1368" s="261"/>
    </row>
    <row r="1369" ht="34.5" hidden="1" customHeight="1">
      <c r="A1369" s="111"/>
      <c r="B1369" s="127"/>
      <c r="C1369" s="111"/>
      <c r="D1369" s="111"/>
      <c r="E1369" s="111"/>
      <c r="F1369" s="111"/>
      <c r="G1369" s="111"/>
      <c r="H1369" s="111"/>
      <c r="I1369" s="127"/>
      <c r="J1369" s="111"/>
      <c r="K1369" s="257"/>
      <c r="L1369" s="111"/>
      <c r="M1369" s="127"/>
      <c r="N1369" s="270"/>
      <c r="O1369" s="111"/>
      <c r="P1369" s="111"/>
      <c r="Q1369" s="128"/>
      <c r="R1369" s="124"/>
      <c r="S1369" s="125"/>
      <c r="T1369" s="126"/>
      <c r="U1369" s="126"/>
      <c r="V1369" s="126"/>
      <c r="W1369" s="126"/>
      <c r="X1369" s="126"/>
      <c r="Y1369" s="126"/>
      <c r="Z1369" s="127"/>
      <c r="AA1369" s="127"/>
      <c r="AB1369" s="127"/>
      <c r="AC1369" s="127"/>
      <c r="AD1369" s="261"/>
      <c r="AE1369" s="261"/>
      <c r="AF1369" s="261"/>
      <c r="AG1369" s="261"/>
    </row>
    <row r="1370" ht="34.5" hidden="1" customHeight="1">
      <c r="A1370" s="111"/>
      <c r="B1370" s="127"/>
      <c r="C1370" s="111"/>
      <c r="D1370" s="111"/>
      <c r="E1370" s="111"/>
      <c r="F1370" s="111"/>
      <c r="G1370" s="111"/>
      <c r="H1370" s="111"/>
      <c r="I1370" s="127"/>
      <c r="J1370" s="111"/>
      <c r="K1370" s="257"/>
      <c r="L1370" s="111"/>
      <c r="M1370" s="127"/>
      <c r="N1370" s="270"/>
      <c r="O1370" s="111"/>
      <c r="P1370" s="111"/>
      <c r="Q1370" s="128"/>
      <c r="R1370" s="124"/>
      <c r="S1370" s="125"/>
      <c r="T1370" s="126"/>
      <c r="U1370" s="126"/>
      <c r="V1370" s="126"/>
      <c r="W1370" s="126"/>
      <c r="X1370" s="126"/>
      <c r="Y1370" s="126"/>
      <c r="Z1370" s="127"/>
      <c r="AA1370" s="127"/>
      <c r="AB1370" s="127"/>
      <c r="AC1370" s="127"/>
      <c r="AD1370" s="261"/>
      <c r="AE1370" s="261"/>
      <c r="AF1370" s="261"/>
      <c r="AG1370" s="261"/>
    </row>
    <row r="1371" ht="34.5" hidden="1" customHeight="1">
      <c r="A1371" s="111"/>
      <c r="B1371" s="127"/>
      <c r="C1371" s="111"/>
      <c r="D1371" s="111"/>
      <c r="E1371" s="111"/>
      <c r="F1371" s="111"/>
      <c r="G1371" s="111"/>
      <c r="H1371" s="111"/>
      <c r="I1371" s="127"/>
      <c r="J1371" s="111"/>
      <c r="K1371" s="257"/>
      <c r="L1371" s="111"/>
      <c r="M1371" s="127"/>
      <c r="N1371" s="270"/>
      <c r="O1371" s="111"/>
      <c r="P1371" s="111"/>
      <c r="Q1371" s="128"/>
      <c r="R1371" s="124"/>
      <c r="S1371" s="125"/>
      <c r="T1371" s="126"/>
      <c r="U1371" s="126"/>
      <c r="V1371" s="126"/>
      <c r="W1371" s="126"/>
      <c r="X1371" s="126"/>
      <c r="Y1371" s="126"/>
      <c r="Z1371" s="127"/>
      <c r="AA1371" s="127"/>
      <c r="AB1371" s="127"/>
      <c r="AC1371" s="127"/>
      <c r="AD1371" s="261"/>
      <c r="AE1371" s="261"/>
      <c r="AF1371" s="261"/>
      <c r="AG1371" s="261"/>
    </row>
    <row r="1372" ht="34.5" hidden="1" customHeight="1">
      <c r="A1372" s="111"/>
      <c r="B1372" s="127"/>
      <c r="C1372" s="111"/>
      <c r="D1372" s="111"/>
      <c r="E1372" s="111"/>
      <c r="F1372" s="111"/>
      <c r="G1372" s="111"/>
      <c r="H1372" s="111"/>
      <c r="I1372" s="127"/>
      <c r="J1372" s="111"/>
      <c r="K1372" s="257"/>
      <c r="L1372" s="111"/>
      <c r="M1372" s="127"/>
      <c r="N1372" s="270"/>
      <c r="O1372" s="111"/>
      <c r="P1372" s="111"/>
      <c r="Q1372" s="128"/>
      <c r="R1372" s="124"/>
      <c r="S1372" s="125"/>
      <c r="T1372" s="126"/>
      <c r="U1372" s="126"/>
      <c r="V1372" s="126"/>
      <c r="W1372" s="126"/>
      <c r="X1372" s="126"/>
      <c r="Y1372" s="126"/>
      <c r="Z1372" s="127"/>
      <c r="AA1372" s="127"/>
      <c r="AB1372" s="127"/>
      <c r="AC1372" s="127"/>
      <c r="AD1372" s="261"/>
      <c r="AE1372" s="261"/>
      <c r="AF1372" s="261"/>
      <c r="AG1372" s="261"/>
    </row>
    <row r="1373" ht="34.5" hidden="1" customHeight="1">
      <c r="A1373" s="111"/>
      <c r="B1373" s="127"/>
      <c r="C1373" s="111"/>
      <c r="D1373" s="111"/>
      <c r="E1373" s="111"/>
      <c r="F1373" s="111"/>
      <c r="G1373" s="111"/>
      <c r="H1373" s="111"/>
      <c r="I1373" s="127"/>
      <c r="J1373" s="111"/>
      <c r="K1373" s="257"/>
      <c r="L1373" s="111"/>
      <c r="M1373" s="127"/>
      <c r="N1373" s="270"/>
      <c r="O1373" s="111"/>
      <c r="P1373" s="111"/>
      <c r="Q1373" s="128"/>
      <c r="R1373" s="124"/>
      <c r="S1373" s="125"/>
      <c r="T1373" s="126"/>
      <c r="U1373" s="126"/>
      <c r="V1373" s="126"/>
      <c r="W1373" s="126"/>
      <c r="X1373" s="126"/>
      <c r="Y1373" s="126"/>
      <c r="Z1373" s="127"/>
      <c r="AA1373" s="127"/>
      <c r="AB1373" s="127"/>
      <c r="AC1373" s="127"/>
      <c r="AD1373" s="261"/>
      <c r="AE1373" s="261"/>
      <c r="AF1373" s="261"/>
      <c r="AG1373" s="261"/>
    </row>
    <row r="1374" ht="34.5" hidden="1" customHeight="1">
      <c r="A1374" s="111"/>
      <c r="B1374" s="127"/>
      <c r="C1374" s="111"/>
      <c r="D1374" s="111"/>
      <c r="E1374" s="111"/>
      <c r="F1374" s="111"/>
      <c r="G1374" s="111"/>
      <c r="H1374" s="111"/>
      <c r="I1374" s="127"/>
      <c r="J1374" s="111"/>
      <c r="K1374" s="257"/>
      <c r="L1374" s="111"/>
      <c r="M1374" s="127"/>
      <c r="N1374" s="270"/>
      <c r="O1374" s="111"/>
      <c r="P1374" s="111"/>
      <c r="Q1374" s="128"/>
      <c r="R1374" s="124"/>
      <c r="S1374" s="125"/>
      <c r="T1374" s="126"/>
      <c r="U1374" s="126"/>
      <c r="V1374" s="126"/>
      <c r="W1374" s="126"/>
      <c r="X1374" s="126"/>
      <c r="Y1374" s="126"/>
      <c r="Z1374" s="127"/>
      <c r="AA1374" s="127"/>
      <c r="AB1374" s="127"/>
      <c r="AC1374" s="127"/>
      <c r="AD1374" s="261"/>
      <c r="AE1374" s="261"/>
      <c r="AF1374" s="261"/>
      <c r="AG1374" s="261"/>
    </row>
    <row r="1375" ht="34.5" hidden="1" customHeight="1">
      <c r="A1375" s="111"/>
      <c r="B1375" s="127"/>
      <c r="C1375" s="111"/>
      <c r="D1375" s="111"/>
      <c r="E1375" s="111"/>
      <c r="F1375" s="111"/>
      <c r="G1375" s="111"/>
      <c r="H1375" s="111"/>
      <c r="I1375" s="127"/>
      <c r="J1375" s="111"/>
      <c r="K1375" s="257"/>
      <c r="L1375" s="111"/>
      <c r="M1375" s="127"/>
      <c r="N1375" s="270"/>
      <c r="O1375" s="111"/>
      <c r="P1375" s="111"/>
      <c r="Q1375" s="128"/>
      <c r="R1375" s="124"/>
      <c r="S1375" s="125"/>
      <c r="T1375" s="126"/>
      <c r="U1375" s="126"/>
      <c r="V1375" s="126"/>
      <c r="W1375" s="126"/>
      <c r="X1375" s="126"/>
      <c r="Y1375" s="126"/>
      <c r="Z1375" s="127"/>
      <c r="AA1375" s="127"/>
      <c r="AB1375" s="127"/>
      <c r="AC1375" s="127"/>
      <c r="AD1375" s="261"/>
      <c r="AE1375" s="261"/>
      <c r="AF1375" s="261"/>
      <c r="AG1375" s="261"/>
    </row>
    <row r="1376" ht="34.5" hidden="1" customHeight="1">
      <c r="A1376" s="111"/>
      <c r="B1376" s="127"/>
      <c r="C1376" s="111"/>
      <c r="D1376" s="111"/>
      <c r="E1376" s="111"/>
      <c r="F1376" s="111"/>
      <c r="G1376" s="111"/>
      <c r="H1376" s="111"/>
      <c r="I1376" s="127"/>
      <c r="J1376" s="111"/>
      <c r="K1376" s="257"/>
      <c r="L1376" s="111"/>
      <c r="M1376" s="127"/>
      <c r="N1376" s="270"/>
      <c r="O1376" s="111"/>
      <c r="P1376" s="111"/>
      <c r="Q1376" s="128"/>
      <c r="R1376" s="124"/>
      <c r="S1376" s="125"/>
      <c r="T1376" s="126"/>
      <c r="U1376" s="126"/>
      <c r="V1376" s="126"/>
      <c r="W1376" s="126"/>
      <c r="X1376" s="126"/>
      <c r="Y1376" s="126"/>
      <c r="Z1376" s="127"/>
      <c r="AA1376" s="127"/>
      <c r="AB1376" s="127"/>
      <c r="AC1376" s="127"/>
      <c r="AD1376" s="261"/>
      <c r="AE1376" s="261"/>
      <c r="AF1376" s="261"/>
      <c r="AG1376" s="261"/>
    </row>
    <row r="1377" ht="34.5" hidden="1" customHeight="1">
      <c r="A1377" s="111"/>
      <c r="B1377" s="127"/>
      <c r="C1377" s="111"/>
      <c r="D1377" s="111"/>
      <c r="E1377" s="111"/>
      <c r="F1377" s="111"/>
      <c r="G1377" s="111"/>
      <c r="H1377" s="111"/>
      <c r="I1377" s="127"/>
      <c r="J1377" s="111"/>
      <c r="K1377" s="257"/>
      <c r="L1377" s="111"/>
      <c r="M1377" s="127"/>
      <c r="N1377" s="270"/>
      <c r="O1377" s="111"/>
      <c r="P1377" s="111"/>
      <c r="Q1377" s="128"/>
      <c r="R1377" s="124"/>
      <c r="S1377" s="125"/>
      <c r="T1377" s="126"/>
      <c r="U1377" s="126"/>
      <c r="V1377" s="126"/>
      <c r="W1377" s="126"/>
      <c r="X1377" s="126"/>
      <c r="Y1377" s="126"/>
      <c r="Z1377" s="127"/>
      <c r="AA1377" s="127"/>
      <c r="AB1377" s="127"/>
      <c r="AC1377" s="127"/>
      <c r="AD1377" s="261"/>
      <c r="AE1377" s="261"/>
      <c r="AF1377" s="261"/>
      <c r="AG1377" s="261"/>
    </row>
    <row r="1378" ht="34.5" hidden="1" customHeight="1">
      <c r="A1378" s="111"/>
      <c r="B1378" s="127"/>
      <c r="C1378" s="111"/>
      <c r="D1378" s="111"/>
      <c r="E1378" s="111"/>
      <c r="F1378" s="111"/>
      <c r="G1378" s="111"/>
      <c r="H1378" s="111"/>
      <c r="I1378" s="127"/>
      <c r="J1378" s="111"/>
      <c r="K1378" s="257"/>
      <c r="L1378" s="111"/>
      <c r="M1378" s="127"/>
      <c r="N1378" s="270"/>
      <c r="O1378" s="111"/>
      <c r="P1378" s="111"/>
      <c r="Q1378" s="128"/>
      <c r="R1378" s="124"/>
      <c r="S1378" s="125"/>
      <c r="T1378" s="126"/>
      <c r="U1378" s="126"/>
      <c r="V1378" s="126"/>
      <c r="W1378" s="126"/>
      <c r="X1378" s="126"/>
      <c r="Y1378" s="126"/>
      <c r="Z1378" s="127"/>
      <c r="AA1378" s="127"/>
      <c r="AB1378" s="127"/>
      <c r="AC1378" s="127"/>
      <c r="AD1378" s="261"/>
      <c r="AE1378" s="261"/>
      <c r="AF1378" s="261"/>
      <c r="AG1378" s="261"/>
    </row>
    <row r="1379" ht="34.5" hidden="1" customHeight="1">
      <c r="A1379" s="111"/>
      <c r="B1379" s="127"/>
      <c r="C1379" s="111"/>
      <c r="D1379" s="111"/>
      <c r="E1379" s="111"/>
      <c r="F1379" s="111"/>
      <c r="G1379" s="111"/>
      <c r="H1379" s="111"/>
      <c r="I1379" s="127"/>
      <c r="J1379" s="111"/>
      <c r="K1379" s="257"/>
      <c r="L1379" s="111"/>
      <c r="M1379" s="127"/>
      <c r="N1379" s="270"/>
      <c r="O1379" s="111"/>
      <c r="P1379" s="111"/>
      <c r="Q1379" s="128"/>
      <c r="R1379" s="124"/>
      <c r="S1379" s="125"/>
      <c r="T1379" s="126"/>
      <c r="U1379" s="126"/>
      <c r="V1379" s="126"/>
      <c r="W1379" s="126"/>
      <c r="X1379" s="126"/>
      <c r="Y1379" s="126"/>
      <c r="Z1379" s="127"/>
      <c r="AA1379" s="127"/>
      <c r="AB1379" s="127"/>
      <c r="AC1379" s="127"/>
      <c r="AD1379" s="261"/>
      <c r="AE1379" s="261"/>
      <c r="AF1379" s="261"/>
      <c r="AG1379" s="261"/>
    </row>
    <row r="1380" ht="34.5" hidden="1" customHeight="1">
      <c r="A1380" s="111"/>
      <c r="B1380" s="127"/>
      <c r="C1380" s="111"/>
      <c r="D1380" s="111"/>
      <c r="E1380" s="111"/>
      <c r="F1380" s="111"/>
      <c r="G1380" s="111"/>
      <c r="H1380" s="111"/>
      <c r="I1380" s="127"/>
      <c r="J1380" s="111"/>
      <c r="K1380" s="257"/>
      <c r="L1380" s="111"/>
      <c r="M1380" s="127"/>
      <c r="N1380" s="270"/>
      <c r="O1380" s="111"/>
      <c r="P1380" s="111"/>
      <c r="Q1380" s="128"/>
      <c r="R1380" s="124"/>
      <c r="S1380" s="125"/>
      <c r="T1380" s="126"/>
      <c r="U1380" s="126"/>
      <c r="V1380" s="126"/>
      <c r="W1380" s="126"/>
      <c r="X1380" s="126"/>
      <c r="Y1380" s="126"/>
      <c r="Z1380" s="127"/>
      <c r="AA1380" s="127"/>
      <c r="AB1380" s="127"/>
      <c r="AC1380" s="127"/>
      <c r="AD1380" s="261"/>
      <c r="AE1380" s="261"/>
      <c r="AF1380" s="261"/>
      <c r="AG1380" s="261"/>
    </row>
    <row r="1381" ht="34.5" hidden="1" customHeight="1">
      <c r="A1381" s="111"/>
      <c r="B1381" s="127"/>
      <c r="C1381" s="111"/>
      <c r="D1381" s="111"/>
      <c r="E1381" s="111"/>
      <c r="F1381" s="111"/>
      <c r="G1381" s="111"/>
      <c r="H1381" s="111"/>
      <c r="I1381" s="127"/>
      <c r="J1381" s="111"/>
      <c r="K1381" s="257"/>
      <c r="L1381" s="111"/>
      <c r="M1381" s="127"/>
      <c r="N1381" s="270"/>
      <c r="O1381" s="111"/>
      <c r="P1381" s="111"/>
      <c r="Q1381" s="128"/>
      <c r="R1381" s="124"/>
      <c r="S1381" s="125"/>
      <c r="T1381" s="126"/>
      <c r="U1381" s="126"/>
      <c r="V1381" s="126"/>
      <c r="W1381" s="126"/>
      <c r="X1381" s="126"/>
      <c r="Y1381" s="126"/>
      <c r="Z1381" s="127"/>
      <c r="AA1381" s="127"/>
      <c r="AB1381" s="127"/>
      <c r="AC1381" s="127"/>
      <c r="AD1381" s="261"/>
      <c r="AE1381" s="261"/>
      <c r="AF1381" s="261"/>
      <c r="AG1381" s="261"/>
    </row>
    <row r="1382" ht="34.5" hidden="1" customHeight="1">
      <c r="A1382" s="111"/>
      <c r="B1382" s="127"/>
      <c r="C1382" s="111"/>
      <c r="D1382" s="111"/>
      <c r="E1382" s="111"/>
      <c r="F1382" s="111"/>
      <c r="G1382" s="111"/>
      <c r="H1382" s="111"/>
      <c r="I1382" s="127"/>
      <c r="J1382" s="111"/>
      <c r="K1382" s="257"/>
      <c r="L1382" s="111"/>
      <c r="M1382" s="127"/>
      <c r="N1382" s="270"/>
      <c r="O1382" s="111"/>
      <c r="P1382" s="111"/>
      <c r="Q1382" s="128"/>
      <c r="R1382" s="124"/>
      <c r="S1382" s="125"/>
      <c r="T1382" s="126"/>
      <c r="U1382" s="126"/>
      <c r="V1382" s="126"/>
      <c r="W1382" s="126"/>
      <c r="X1382" s="126"/>
      <c r="Y1382" s="126"/>
      <c r="Z1382" s="127"/>
      <c r="AA1382" s="127"/>
      <c r="AB1382" s="127"/>
      <c r="AC1382" s="127"/>
      <c r="AD1382" s="261"/>
      <c r="AE1382" s="261"/>
      <c r="AF1382" s="261"/>
      <c r="AG1382" s="261"/>
    </row>
    <row r="1383" ht="34.5" hidden="1" customHeight="1">
      <c r="A1383" s="111"/>
      <c r="B1383" s="127"/>
      <c r="C1383" s="111"/>
      <c r="D1383" s="111"/>
      <c r="E1383" s="111"/>
      <c r="F1383" s="111"/>
      <c r="G1383" s="111"/>
      <c r="H1383" s="111"/>
      <c r="I1383" s="127"/>
      <c r="J1383" s="111"/>
      <c r="K1383" s="257"/>
      <c r="L1383" s="111"/>
      <c r="M1383" s="127"/>
      <c r="N1383" s="270"/>
      <c r="O1383" s="111"/>
      <c r="P1383" s="111"/>
      <c r="Q1383" s="128"/>
      <c r="R1383" s="124"/>
      <c r="S1383" s="125"/>
      <c r="T1383" s="126"/>
      <c r="U1383" s="126"/>
      <c r="V1383" s="126"/>
      <c r="W1383" s="126"/>
      <c r="X1383" s="126"/>
      <c r="Y1383" s="126"/>
      <c r="Z1383" s="127"/>
      <c r="AA1383" s="127"/>
      <c r="AB1383" s="127"/>
      <c r="AC1383" s="127"/>
      <c r="AD1383" s="261"/>
      <c r="AE1383" s="261"/>
      <c r="AF1383" s="261"/>
      <c r="AG1383" s="261"/>
    </row>
    <row r="1384" ht="34.5" hidden="1" customHeight="1">
      <c r="A1384" s="111"/>
      <c r="B1384" s="127"/>
      <c r="C1384" s="111"/>
      <c r="D1384" s="111"/>
      <c r="E1384" s="111"/>
      <c r="F1384" s="111"/>
      <c r="G1384" s="111"/>
      <c r="H1384" s="111"/>
      <c r="I1384" s="127"/>
      <c r="J1384" s="111"/>
      <c r="K1384" s="257"/>
      <c r="L1384" s="111"/>
      <c r="M1384" s="127"/>
      <c r="N1384" s="270"/>
      <c r="O1384" s="111"/>
      <c r="P1384" s="111"/>
      <c r="Q1384" s="128"/>
      <c r="R1384" s="124"/>
      <c r="S1384" s="125"/>
      <c r="T1384" s="126"/>
      <c r="U1384" s="126"/>
      <c r="V1384" s="126"/>
      <c r="W1384" s="126"/>
      <c r="X1384" s="126"/>
      <c r="Y1384" s="126"/>
      <c r="Z1384" s="127"/>
      <c r="AA1384" s="127"/>
      <c r="AB1384" s="127"/>
      <c r="AC1384" s="127"/>
      <c r="AD1384" s="261"/>
      <c r="AE1384" s="261"/>
      <c r="AF1384" s="261"/>
      <c r="AG1384" s="261"/>
    </row>
    <row r="1385" ht="34.5" hidden="1" customHeight="1">
      <c r="A1385" s="111"/>
      <c r="B1385" s="127"/>
      <c r="C1385" s="111"/>
      <c r="D1385" s="111"/>
      <c r="E1385" s="111"/>
      <c r="F1385" s="111"/>
      <c r="G1385" s="111"/>
      <c r="H1385" s="111"/>
      <c r="I1385" s="127"/>
      <c r="J1385" s="111"/>
      <c r="K1385" s="257"/>
      <c r="L1385" s="111"/>
      <c r="M1385" s="127"/>
      <c r="N1385" s="270"/>
      <c r="O1385" s="111"/>
      <c r="P1385" s="111"/>
      <c r="Q1385" s="128"/>
      <c r="R1385" s="124"/>
      <c r="S1385" s="125"/>
      <c r="T1385" s="126"/>
      <c r="U1385" s="126"/>
      <c r="V1385" s="126"/>
      <c r="W1385" s="126"/>
      <c r="X1385" s="126"/>
      <c r="Y1385" s="126"/>
      <c r="Z1385" s="127"/>
      <c r="AA1385" s="127"/>
      <c r="AB1385" s="127"/>
      <c r="AC1385" s="127"/>
      <c r="AD1385" s="261"/>
      <c r="AE1385" s="261"/>
      <c r="AF1385" s="261"/>
      <c r="AG1385" s="261"/>
    </row>
    <row r="1386" ht="34.5" hidden="1" customHeight="1">
      <c r="A1386" s="111"/>
      <c r="B1386" s="127"/>
      <c r="C1386" s="111"/>
      <c r="D1386" s="111"/>
      <c r="E1386" s="111"/>
      <c r="F1386" s="111"/>
      <c r="G1386" s="111"/>
      <c r="H1386" s="111"/>
      <c r="I1386" s="127"/>
      <c r="J1386" s="111"/>
      <c r="K1386" s="257"/>
      <c r="L1386" s="111"/>
      <c r="M1386" s="127"/>
      <c r="N1386" s="270"/>
      <c r="O1386" s="111"/>
      <c r="P1386" s="111"/>
      <c r="Q1386" s="128"/>
      <c r="R1386" s="124"/>
      <c r="S1386" s="125"/>
      <c r="T1386" s="126"/>
      <c r="U1386" s="126"/>
      <c r="V1386" s="126"/>
      <c r="W1386" s="126"/>
      <c r="X1386" s="126"/>
      <c r="Y1386" s="126"/>
      <c r="Z1386" s="127"/>
      <c r="AA1386" s="127"/>
      <c r="AB1386" s="127"/>
      <c r="AC1386" s="127"/>
      <c r="AD1386" s="261"/>
      <c r="AE1386" s="261"/>
      <c r="AF1386" s="261"/>
      <c r="AG1386" s="261"/>
    </row>
    <row r="1387" ht="34.5" hidden="1" customHeight="1">
      <c r="A1387" s="111"/>
      <c r="B1387" s="127"/>
      <c r="C1387" s="111"/>
      <c r="D1387" s="111"/>
      <c r="E1387" s="111"/>
      <c r="F1387" s="111"/>
      <c r="G1387" s="111"/>
      <c r="H1387" s="111"/>
      <c r="I1387" s="127"/>
      <c r="J1387" s="111"/>
      <c r="K1387" s="257"/>
      <c r="L1387" s="111"/>
      <c r="M1387" s="127"/>
      <c r="N1387" s="270"/>
      <c r="O1387" s="111"/>
      <c r="P1387" s="111"/>
      <c r="Q1387" s="128"/>
      <c r="R1387" s="124"/>
      <c r="S1387" s="125"/>
      <c r="T1387" s="126"/>
      <c r="U1387" s="126"/>
      <c r="V1387" s="126"/>
      <c r="W1387" s="126"/>
      <c r="X1387" s="126"/>
      <c r="Y1387" s="126"/>
      <c r="Z1387" s="127"/>
      <c r="AA1387" s="127"/>
      <c r="AB1387" s="127"/>
      <c r="AC1387" s="127"/>
      <c r="AD1387" s="261"/>
      <c r="AE1387" s="261"/>
      <c r="AF1387" s="261"/>
      <c r="AG1387" s="261"/>
    </row>
    <row r="1388" ht="34.5" hidden="1" customHeight="1">
      <c r="A1388" s="111"/>
      <c r="B1388" s="127"/>
      <c r="C1388" s="111"/>
      <c r="D1388" s="111"/>
      <c r="E1388" s="111"/>
      <c r="F1388" s="111"/>
      <c r="G1388" s="111"/>
      <c r="H1388" s="111"/>
      <c r="I1388" s="127"/>
      <c r="J1388" s="111"/>
      <c r="K1388" s="257"/>
      <c r="L1388" s="111"/>
      <c r="M1388" s="127"/>
      <c r="N1388" s="270"/>
      <c r="O1388" s="111"/>
      <c r="P1388" s="111"/>
      <c r="Q1388" s="128"/>
      <c r="R1388" s="124"/>
      <c r="S1388" s="125"/>
      <c r="T1388" s="126"/>
      <c r="U1388" s="126"/>
      <c r="V1388" s="126"/>
      <c r="W1388" s="126"/>
      <c r="X1388" s="126"/>
      <c r="Y1388" s="126"/>
      <c r="Z1388" s="127"/>
      <c r="AA1388" s="127"/>
      <c r="AB1388" s="127"/>
      <c r="AC1388" s="127"/>
      <c r="AD1388" s="261"/>
      <c r="AE1388" s="261"/>
      <c r="AF1388" s="261"/>
      <c r="AG1388" s="261"/>
    </row>
    <row r="1389" ht="34.5" hidden="1" customHeight="1">
      <c r="A1389" s="111"/>
      <c r="B1389" s="127"/>
      <c r="C1389" s="111"/>
      <c r="D1389" s="111"/>
      <c r="E1389" s="111"/>
      <c r="F1389" s="111"/>
      <c r="G1389" s="111"/>
      <c r="H1389" s="111"/>
      <c r="I1389" s="127"/>
      <c r="J1389" s="111"/>
      <c r="K1389" s="257"/>
      <c r="L1389" s="111"/>
      <c r="M1389" s="127"/>
      <c r="N1389" s="270"/>
      <c r="O1389" s="111"/>
      <c r="P1389" s="111"/>
      <c r="Q1389" s="128"/>
      <c r="R1389" s="124"/>
      <c r="S1389" s="125"/>
      <c r="T1389" s="126"/>
      <c r="U1389" s="126"/>
      <c r="V1389" s="126"/>
      <c r="W1389" s="126"/>
      <c r="X1389" s="126"/>
      <c r="Y1389" s="126"/>
      <c r="Z1389" s="127"/>
      <c r="AA1389" s="127"/>
      <c r="AB1389" s="127"/>
      <c r="AC1389" s="127"/>
      <c r="AD1389" s="261"/>
      <c r="AE1389" s="261"/>
      <c r="AF1389" s="261"/>
      <c r="AG1389" s="261"/>
    </row>
    <row r="1390" ht="34.5" hidden="1" customHeight="1">
      <c r="A1390" s="111"/>
      <c r="B1390" s="127"/>
      <c r="C1390" s="111"/>
      <c r="D1390" s="111"/>
      <c r="E1390" s="111"/>
      <c r="F1390" s="111"/>
      <c r="G1390" s="111"/>
      <c r="H1390" s="111"/>
      <c r="I1390" s="127"/>
      <c r="J1390" s="111"/>
      <c r="K1390" s="257"/>
      <c r="L1390" s="111"/>
      <c r="M1390" s="127"/>
      <c r="N1390" s="270"/>
      <c r="O1390" s="111"/>
      <c r="P1390" s="111"/>
      <c r="Q1390" s="128"/>
      <c r="R1390" s="124"/>
      <c r="S1390" s="125"/>
      <c r="T1390" s="126"/>
      <c r="U1390" s="126"/>
      <c r="V1390" s="126"/>
      <c r="W1390" s="126"/>
      <c r="X1390" s="126"/>
      <c r="Y1390" s="126"/>
      <c r="Z1390" s="127"/>
      <c r="AA1390" s="127"/>
      <c r="AB1390" s="127"/>
      <c r="AC1390" s="127"/>
      <c r="AD1390" s="261"/>
      <c r="AE1390" s="261"/>
      <c r="AF1390" s="261"/>
      <c r="AG1390" s="261"/>
    </row>
    <row r="1391" ht="34.5" hidden="1" customHeight="1">
      <c r="A1391" s="111"/>
      <c r="B1391" s="127"/>
      <c r="C1391" s="111"/>
      <c r="D1391" s="111"/>
      <c r="E1391" s="111"/>
      <c r="F1391" s="111"/>
      <c r="G1391" s="111"/>
      <c r="H1391" s="111"/>
      <c r="I1391" s="127"/>
      <c r="J1391" s="111"/>
      <c r="K1391" s="257"/>
      <c r="L1391" s="111"/>
      <c r="M1391" s="127"/>
      <c r="N1391" s="270"/>
      <c r="O1391" s="111"/>
      <c r="P1391" s="111"/>
      <c r="Q1391" s="128"/>
      <c r="R1391" s="124"/>
      <c r="S1391" s="125"/>
      <c r="T1391" s="126"/>
      <c r="U1391" s="126"/>
      <c r="V1391" s="126"/>
      <c r="W1391" s="126"/>
      <c r="X1391" s="126"/>
      <c r="Y1391" s="126"/>
      <c r="Z1391" s="127"/>
      <c r="AA1391" s="127"/>
      <c r="AB1391" s="127"/>
      <c r="AC1391" s="127"/>
      <c r="AD1391" s="261"/>
      <c r="AE1391" s="261"/>
      <c r="AF1391" s="261"/>
      <c r="AG1391" s="261"/>
    </row>
    <row r="1392" ht="34.5" hidden="1" customHeight="1">
      <c r="A1392" s="111"/>
      <c r="B1392" s="127"/>
      <c r="C1392" s="111"/>
      <c r="D1392" s="111"/>
      <c r="E1392" s="111"/>
      <c r="F1392" s="111"/>
      <c r="G1392" s="111"/>
      <c r="H1392" s="111"/>
      <c r="I1392" s="127"/>
      <c r="J1392" s="111"/>
      <c r="K1392" s="257"/>
      <c r="L1392" s="111"/>
      <c r="M1392" s="127"/>
      <c r="N1392" s="270"/>
      <c r="O1392" s="111"/>
      <c r="P1392" s="111"/>
      <c r="Q1392" s="128"/>
      <c r="R1392" s="124"/>
      <c r="S1392" s="125"/>
      <c r="T1392" s="126"/>
      <c r="U1392" s="126"/>
      <c r="V1392" s="126"/>
      <c r="W1392" s="126"/>
      <c r="X1392" s="126"/>
      <c r="Y1392" s="126"/>
      <c r="Z1392" s="127"/>
      <c r="AA1392" s="127"/>
      <c r="AB1392" s="127"/>
      <c r="AC1392" s="127"/>
      <c r="AD1392" s="261"/>
      <c r="AE1392" s="261"/>
      <c r="AF1392" s="261"/>
      <c r="AG1392" s="261"/>
    </row>
    <row r="1393" ht="34.5" hidden="1" customHeight="1">
      <c r="A1393" s="111"/>
      <c r="B1393" s="127"/>
      <c r="C1393" s="111"/>
      <c r="D1393" s="111"/>
      <c r="E1393" s="111"/>
      <c r="F1393" s="111"/>
      <c r="G1393" s="111"/>
      <c r="H1393" s="111"/>
      <c r="I1393" s="127"/>
      <c r="J1393" s="111"/>
      <c r="K1393" s="257"/>
      <c r="L1393" s="111"/>
      <c r="M1393" s="127"/>
      <c r="N1393" s="270"/>
      <c r="O1393" s="111"/>
      <c r="P1393" s="111"/>
      <c r="Q1393" s="128"/>
      <c r="R1393" s="124"/>
      <c r="S1393" s="125"/>
      <c r="T1393" s="126"/>
      <c r="U1393" s="126"/>
      <c r="V1393" s="126"/>
      <c r="W1393" s="126"/>
      <c r="X1393" s="126"/>
      <c r="Y1393" s="126"/>
      <c r="Z1393" s="127"/>
      <c r="AA1393" s="127"/>
      <c r="AB1393" s="127"/>
      <c r="AC1393" s="127"/>
      <c r="AD1393" s="261"/>
      <c r="AE1393" s="261"/>
      <c r="AF1393" s="261"/>
      <c r="AG1393" s="261"/>
    </row>
    <row r="1394" ht="34.5" hidden="1" customHeight="1">
      <c r="A1394" s="111"/>
      <c r="B1394" s="127"/>
      <c r="C1394" s="111"/>
      <c r="D1394" s="111"/>
      <c r="E1394" s="111"/>
      <c r="F1394" s="111"/>
      <c r="G1394" s="111"/>
      <c r="H1394" s="111"/>
      <c r="I1394" s="127"/>
      <c r="J1394" s="111"/>
      <c r="K1394" s="257"/>
      <c r="L1394" s="111"/>
      <c r="M1394" s="127"/>
      <c r="N1394" s="270"/>
      <c r="O1394" s="111"/>
      <c r="P1394" s="111"/>
      <c r="Q1394" s="128"/>
      <c r="R1394" s="124"/>
      <c r="S1394" s="125"/>
      <c r="T1394" s="126"/>
      <c r="U1394" s="126"/>
      <c r="V1394" s="126"/>
      <c r="W1394" s="126"/>
      <c r="X1394" s="126"/>
      <c r="Y1394" s="126"/>
      <c r="Z1394" s="127"/>
      <c r="AA1394" s="127"/>
      <c r="AB1394" s="127"/>
      <c r="AC1394" s="127"/>
      <c r="AD1394" s="261"/>
      <c r="AE1394" s="261"/>
      <c r="AF1394" s="261"/>
      <c r="AG1394" s="261"/>
    </row>
    <row r="1395" ht="34.5" hidden="1" customHeight="1">
      <c r="A1395" s="111"/>
      <c r="B1395" s="127"/>
      <c r="C1395" s="111"/>
      <c r="D1395" s="111"/>
      <c r="E1395" s="111"/>
      <c r="F1395" s="111"/>
      <c r="G1395" s="111"/>
      <c r="H1395" s="111"/>
      <c r="I1395" s="127"/>
      <c r="J1395" s="111"/>
      <c r="K1395" s="257"/>
      <c r="L1395" s="111"/>
      <c r="M1395" s="127"/>
      <c r="N1395" s="270"/>
      <c r="O1395" s="111"/>
      <c r="P1395" s="111"/>
      <c r="Q1395" s="128"/>
      <c r="R1395" s="124"/>
      <c r="S1395" s="125"/>
      <c r="T1395" s="126"/>
      <c r="U1395" s="126"/>
      <c r="V1395" s="126"/>
      <c r="W1395" s="126"/>
      <c r="X1395" s="126"/>
      <c r="Y1395" s="126"/>
      <c r="Z1395" s="127"/>
      <c r="AA1395" s="127"/>
      <c r="AB1395" s="127"/>
      <c r="AC1395" s="127"/>
      <c r="AD1395" s="261"/>
      <c r="AE1395" s="261"/>
      <c r="AF1395" s="261"/>
      <c r="AG1395" s="261"/>
    </row>
    <row r="1396" ht="34.5" hidden="1" customHeight="1">
      <c r="A1396" s="111"/>
      <c r="B1396" s="127"/>
      <c r="C1396" s="111"/>
      <c r="D1396" s="111"/>
      <c r="E1396" s="111"/>
      <c r="F1396" s="111"/>
      <c r="G1396" s="111"/>
      <c r="H1396" s="111"/>
      <c r="I1396" s="127"/>
      <c r="J1396" s="111"/>
      <c r="K1396" s="257"/>
      <c r="L1396" s="111"/>
      <c r="M1396" s="127"/>
      <c r="N1396" s="270"/>
      <c r="O1396" s="111"/>
      <c r="P1396" s="111"/>
      <c r="Q1396" s="128"/>
      <c r="R1396" s="124"/>
      <c r="S1396" s="125"/>
      <c r="T1396" s="126"/>
      <c r="U1396" s="126"/>
      <c r="V1396" s="126"/>
      <c r="W1396" s="126"/>
      <c r="X1396" s="126"/>
      <c r="Y1396" s="126"/>
      <c r="Z1396" s="127"/>
      <c r="AA1396" s="127"/>
      <c r="AB1396" s="127"/>
      <c r="AC1396" s="127"/>
      <c r="AD1396" s="261"/>
      <c r="AE1396" s="261"/>
      <c r="AF1396" s="261"/>
      <c r="AG1396" s="261"/>
    </row>
    <row r="1397" ht="34.5" hidden="1" customHeight="1">
      <c r="A1397" s="111"/>
      <c r="B1397" s="127"/>
      <c r="C1397" s="111"/>
      <c r="D1397" s="111"/>
      <c r="E1397" s="111"/>
      <c r="F1397" s="111"/>
      <c r="G1397" s="111"/>
      <c r="H1397" s="111"/>
      <c r="I1397" s="127"/>
      <c r="J1397" s="111"/>
      <c r="K1397" s="257"/>
      <c r="L1397" s="111"/>
      <c r="M1397" s="127"/>
      <c r="N1397" s="270"/>
      <c r="O1397" s="111"/>
      <c r="P1397" s="111"/>
      <c r="Q1397" s="128"/>
      <c r="R1397" s="124"/>
      <c r="S1397" s="125"/>
      <c r="T1397" s="126"/>
      <c r="U1397" s="126"/>
      <c r="V1397" s="126"/>
      <c r="W1397" s="126"/>
      <c r="X1397" s="126"/>
      <c r="Y1397" s="126"/>
      <c r="Z1397" s="127"/>
      <c r="AA1397" s="127"/>
      <c r="AB1397" s="127"/>
      <c r="AC1397" s="127"/>
      <c r="AD1397" s="261"/>
      <c r="AE1397" s="261"/>
      <c r="AF1397" s="261"/>
      <c r="AG1397" s="261"/>
    </row>
    <row r="1398" ht="34.5" hidden="1" customHeight="1">
      <c r="A1398" s="111"/>
      <c r="B1398" s="127"/>
      <c r="C1398" s="111"/>
      <c r="D1398" s="111"/>
      <c r="E1398" s="111"/>
      <c r="F1398" s="111"/>
      <c r="G1398" s="111"/>
      <c r="H1398" s="111"/>
      <c r="I1398" s="127"/>
      <c r="J1398" s="111"/>
      <c r="K1398" s="257"/>
      <c r="L1398" s="111"/>
      <c r="M1398" s="127"/>
      <c r="N1398" s="270"/>
      <c r="O1398" s="111"/>
      <c r="P1398" s="111"/>
      <c r="Q1398" s="128"/>
      <c r="R1398" s="124"/>
      <c r="S1398" s="125"/>
      <c r="T1398" s="126"/>
      <c r="U1398" s="126"/>
      <c r="V1398" s="126"/>
      <c r="W1398" s="126"/>
      <c r="X1398" s="126"/>
      <c r="Y1398" s="126"/>
      <c r="Z1398" s="127"/>
      <c r="AA1398" s="127"/>
      <c r="AB1398" s="127"/>
      <c r="AC1398" s="127"/>
      <c r="AD1398" s="261"/>
      <c r="AE1398" s="261"/>
      <c r="AF1398" s="261"/>
      <c r="AG1398" s="261"/>
    </row>
    <row r="1399" ht="34.5" hidden="1" customHeight="1">
      <c r="A1399" s="111"/>
      <c r="B1399" s="127"/>
      <c r="C1399" s="111"/>
      <c r="D1399" s="111"/>
      <c r="E1399" s="111"/>
      <c r="F1399" s="111"/>
      <c r="G1399" s="111"/>
      <c r="H1399" s="111"/>
      <c r="I1399" s="127"/>
      <c r="J1399" s="111"/>
      <c r="K1399" s="257"/>
      <c r="L1399" s="111"/>
      <c r="M1399" s="127"/>
      <c r="N1399" s="270"/>
      <c r="O1399" s="111"/>
      <c r="P1399" s="111"/>
      <c r="Q1399" s="128"/>
      <c r="R1399" s="124"/>
      <c r="S1399" s="125"/>
      <c r="T1399" s="126"/>
      <c r="U1399" s="126"/>
      <c r="V1399" s="126"/>
      <c r="W1399" s="126"/>
      <c r="X1399" s="126"/>
      <c r="Y1399" s="126"/>
      <c r="Z1399" s="127"/>
      <c r="AA1399" s="127"/>
      <c r="AB1399" s="127"/>
      <c r="AC1399" s="127"/>
      <c r="AD1399" s="261"/>
      <c r="AE1399" s="261"/>
      <c r="AF1399" s="261"/>
      <c r="AG1399" s="261"/>
    </row>
    <row r="1400" ht="34.5" hidden="1" customHeight="1">
      <c r="A1400" s="111"/>
      <c r="B1400" s="127"/>
      <c r="C1400" s="111"/>
      <c r="D1400" s="111"/>
      <c r="E1400" s="111"/>
      <c r="F1400" s="111"/>
      <c r="G1400" s="111"/>
      <c r="H1400" s="111"/>
      <c r="I1400" s="127"/>
      <c r="J1400" s="111"/>
      <c r="K1400" s="257"/>
      <c r="L1400" s="111"/>
      <c r="M1400" s="127"/>
      <c r="N1400" s="270"/>
      <c r="O1400" s="111"/>
      <c r="P1400" s="111"/>
      <c r="Q1400" s="128"/>
      <c r="R1400" s="124"/>
      <c r="S1400" s="125"/>
      <c r="T1400" s="126"/>
      <c r="U1400" s="126"/>
      <c r="V1400" s="126"/>
      <c r="W1400" s="126"/>
      <c r="X1400" s="126"/>
      <c r="Y1400" s="126"/>
      <c r="Z1400" s="127"/>
      <c r="AA1400" s="127"/>
      <c r="AB1400" s="127"/>
      <c r="AC1400" s="127"/>
      <c r="AD1400" s="261"/>
      <c r="AE1400" s="261"/>
      <c r="AF1400" s="261"/>
      <c r="AG1400" s="261"/>
    </row>
    <row r="1401" ht="34.5" hidden="1" customHeight="1">
      <c r="A1401" s="111"/>
      <c r="B1401" s="127"/>
      <c r="C1401" s="111"/>
      <c r="D1401" s="111"/>
      <c r="E1401" s="111"/>
      <c r="F1401" s="111"/>
      <c r="G1401" s="111"/>
      <c r="H1401" s="111"/>
      <c r="I1401" s="127"/>
      <c r="J1401" s="111"/>
      <c r="K1401" s="257"/>
      <c r="L1401" s="111"/>
      <c r="M1401" s="127"/>
      <c r="N1401" s="270"/>
      <c r="O1401" s="111"/>
      <c r="P1401" s="111"/>
      <c r="Q1401" s="128"/>
      <c r="R1401" s="124"/>
      <c r="S1401" s="125"/>
      <c r="T1401" s="126"/>
      <c r="U1401" s="126"/>
      <c r="V1401" s="126"/>
      <c r="W1401" s="126"/>
      <c r="X1401" s="126"/>
      <c r="Y1401" s="126"/>
      <c r="Z1401" s="127"/>
      <c r="AA1401" s="127"/>
      <c r="AB1401" s="127"/>
      <c r="AC1401" s="127"/>
      <c r="AD1401" s="261"/>
      <c r="AE1401" s="261"/>
      <c r="AF1401" s="261"/>
      <c r="AG1401" s="261"/>
    </row>
    <row r="1402" ht="34.5" hidden="1" customHeight="1">
      <c r="A1402" s="111"/>
      <c r="B1402" s="127"/>
      <c r="C1402" s="111"/>
      <c r="D1402" s="111"/>
      <c r="E1402" s="111"/>
      <c r="F1402" s="111"/>
      <c r="G1402" s="111"/>
      <c r="H1402" s="111"/>
      <c r="I1402" s="127"/>
      <c r="J1402" s="111"/>
      <c r="K1402" s="257"/>
      <c r="L1402" s="111"/>
      <c r="M1402" s="127"/>
      <c r="N1402" s="270"/>
      <c r="O1402" s="111"/>
      <c r="P1402" s="111"/>
      <c r="Q1402" s="128"/>
      <c r="R1402" s="124"/>
      <c r="S1402" s="125"/>
      <c r="T1402" s="126"/>
      <c r="U1402" s="126"/>
      <c r="V1402" s="126"/>
      <c r="W1402" s="126"/>
      <c r="X1402" s="126"/>
      <c r="Y1402" s="126"/>
      <c r="Z1402" s="127"/>
      <c r="AA1402" s="127"/>
      <c r="AB1402" s="127"/>
      <c r="AC1402" s="127"/>
      <c r="AD1402" s="261"/>
      <c r="AE1402" s="261"/>
      <c r="AF1402" s="261"/>
      <c r="AG1402" s="261"/>
    </row>
    <row r="1403" ht="34.5" hidden="1" customHeight="1">
      <c r="A1403" s="111"/>
      <c r="B1403" s="127"/>
      <c r="C1403" s="111"/>
      <c r="D1403" s="111"/>
      <c r="E1403" s="111"/>
      <c r="F1403" s="111"/>
      <c r="G1403" s="111"/>
      <c r="H1403" s="111"/>
      <c r="I1403" s="127"/>
      <c r="J1403" s="111"/>
      <c r="K1403" s="257"/>
      <c r="L1403" s="111"/>
      <c r="M1403" s="127"/>
      <c r="N1403" s="270"/>
      <c r="O1403" s="111"/>
      <c r="P1403" s="111"/>
      <c r="Q1403" s="128"/>
      <c r="R1403" s="124"/>
      <c r="S1403" s="125"/>
      <c r="T1403" s="126"/>
      <c r="U1403" s="126"/>
      <c r="V1403" s="126"/>
      <c r="W1403" s="126"/>
      <c r="X1403" s="126"/>
      <c r="Y1403" s="126"/>
      <c r="Z1403" s="127"/>
      <c r="AA1403" s="127"/>
      <c r="AB1403" s="127"/>
      <c r="AC1403" s="127"/>
      <c r="AD1403" s="261"/>
      <c r="AE1403" s="261"/>
      <c r="AF1403" s="261"/>
      <c r="AG1403" s="261"/>
    </row>
    <row r="1404" ht="34.5" hidden="1" customHeight="1">
      <c r="A1404" s="111"/>
      <c r="B1404" s="127"/>
      <c r="C1404" s="111"/>
      <c r="D1404" s="111"/>
      <c r="E1404" s="111"/>
      <c r="F1404" s="111"/>
      <c r="G1404" s="111"/>
      <c r="H1404" s="111"/>
      <c r="I1404" s="127"/>
      <c r="J1404" s="111"/>
      <c r="K1404" s="257"/>
      <c r="L1404" s="111"/>
      <c r="M1404" s="127"/>
      <c r="N1404" s="270"/>
      <c r="O1404" s="111"/>
      <c r="P1404" s="111"/>
      <c r="Q1404" s="128"/>
      <c r="R1404" s="124"/>
      <c r="S1404" s="125"/>
      <c r="T1404" s="126"/>
      <c r="U1404" s="126"/>
      <c r="V1404" s="126"/>
      <c r="W1404" s="126"/>
      <c r="X1404" s="126"/>
      <c r="Y1404" s="126"/>
      <c r="Z1404" s="127"/>
      <c r="AA1404" s="127"/>
      <c r="AB1404" s="127"/>
      <c r="AC1404" s="127"/>
      <c r="AD1404" s="261"/>
      <c r="AE1404" s="261"/>
      <c r="AF1404" s="261"/>
      <c r="AG1404" s="261"/>
    </row>
    <row r="1405" ht="34.5" hidden="1" customHeight="1">
      <c r="A1405" s="111"/>
      <c r="B1405" s="127"/>
      <c r="C1405" s="111"/>
      <c r="D1405" s="111"/>
      <c r="E1405" s="111"/>
      <c r="F1405" s="111"/>
      <c r="G1405" s="111"/>
      <c r="H1405" s="111"/>
      <c r="I1405" s="127"/>
      <c r="J1405" s="111"/>
      <c r="K1405" s="257"/>
      <c r="L1405" s="111"/>
      <c r="M1405" s="127"/>
      <c r="N1405" s="270"/>
      <c r="O1405" s="111"/>
      <c r="P1405" s="111"/>
      <c r="Q1405" s="128"/>
      <c r="R1405" s="124"/>
      <c r="S1405" s="125"/>
      <c r="T1405" s="126"/>
      <c r="U1405" s="126"/>
      <c r="V1405" s="126"/>
      <c r="W1405" s="126"/>
      <c r="X1405" s="126"/>
      <c r="Y1405" s="126"/>
      <c r="Z1405" s="127"/>
      <c r="AA1405" s="127"/>
      <c r="AB1405" s="127"/>
      <c r="AC1405" s="127"/>
      <c r="AD1405" s="261"/>
      <c r="AE1405" s="261"/>
      <c r="AF1405" s="261"/>
      <c r="AG1405" s="261"/>
    </row>
    <row r="1406" ht="34.5" hidden="1" customHeight="1">
      <c r="A1406" s="111"/>
      <c r="B1406" s="127"/>
      <c r="C1406" s="111"/>
      <c r="D1406" s="111"/>
      <c r="E1406" s="111"/>
      <c r="F1406" s="111"/>
      <c r="G1406" s="111"/>
      <c r="H1406" s="111"/>
      <c r="I1406" s="127"/>
      <c r="J1406" s="111"/>
      <c r="K1406" s="257"/>
      <c r="L1406" s="111"/>
      <c r="M1406" s="127"/>
      <c r="N1406" s="270"/>
      <c r="O1406" s="111"/>
      <c r="P1406" s="111"/>
      <c r="Q1406" s="128"/>
      <c r="R1406" s="124"/>
      <c r="S1406" s="125"/>
      <c r="T1406" s="126"/>
      <c r="U1406" s="126"/>
      <c r="V1406" s="126"/>
      <c r="W1406" s="126"/>
      <c r="X1406" s="126"/>
      <c r="Y1406" s="126"/>
      <c r="Z1406" s="127"/>
      <c r="AA1406" s="127"/>
      <c r="AB1406" s="127"/>
      <c r="AC1406" s="127"/>
      <c r="AD1406" s="261"/>
      <c r="AE1406" s="261"/>
      <c r="AF1406" s="261"/>
      <c r="AG1406" s="261"/>
    </row>
    <row r="1407" ht="34.5" hidden="1" customHeight="1">
      <c r="A1407" s="111"/>
      <c r="B1407" s="127"/>
      <c r="C1407" s="111"/>
      <c r="D1407" s="111"/>
      <c r="E1407" s="111"/>
      <c r="F1407" s="111"/>
      <c r="G1407" s="111"/>
      <c r="H1407" s="111"/>
      <c r="I1407" s="127"/>
      <c r="J1407" s="111"/>
      <c r="K1407" s="257"/>
      <c r="L1407" s="111"/>
      <c r="M1407" s="127"/>
      <c r="N1407" s="270"/>
      <c r="O1407" s="111"/>
      <c r="P1407" s="111"/>
      <c r="Q1407" s="128"/>
      <c r="R1407" s="124"/>
      <c r="S1407" s="125"/>
      <c r="T1407" s="126"/>
      <c r="U1407" s="126"/>
      <c r="V1407" s="126"/>
      <c r="W1407" s="126"/>
      <c r="X1407" s="126"/>
      <c r="Y1407" s="126"/>
      <c r="Z1407" s="127"/>
      <c r="AA1407" s="127"/>
      <c r="AB1407" s="127"/>
      <c r="AC1407" s="127"/>
      <c r="AD1407" s="261"/>
      <c r="AE1407" s="261"/>
      <c r="AF1407" s="261"/>
      <c r="AG1407" s="261"/>
    </row>
    <row r="1408" ht="34.5" hidden="1" customHeight="1">
      <c r="A1408" s="111"/>
      <c r="B1408" s="127"/>
      <c r="C1408" s="111"/>
      <c r="D1408" s="111"/>
      <c r="E1408" s="111"/>
      <c r="F1408" s="111"/>
      <c r="G1408" s="111"/>
      <c r="H1408" s="111"/>
      <c r="I1408" s="127"/>
      <c r="J1408" s="111"/>
      <c r="K1408" s="257"/>
      <c r="L1408" s="111"/>
      <c r="M1408" s="127"/>
      <c r="N1408" s="270"/>
      <c r="O1408" s="111"/>
      <c r="P1408" s="111"/>
      <c r="Q1408" s="128"/>
      <c r="R1408" s="124"/>
      <c r="S1408" s="125"/>
      <c r="T1408" s="126"/>
      <c r="U1408" s="126"/>
      <c r="V1408" s="126"/>
      <c r="W1408" s="126"/>
      <c r="X1408" s="126"/>
      <c r="Y1408" s="126"/>
      <c r="Z1408" s="127"/>
      <c r="AA1408" s="127"/>
      <c r="AB1408" s="127"/>
      <c r="AC1408" s="127"/>
      <c r="AD1408" s="261"/>
      <c r="AE1408" s="261"/>
      <c r="AF1408" s="261"/>
      <c r="AG1408" s="261"/>
    </row>
    <row r="1409" ht="34.5" hidden="1" customHeight="1">
      <c r="A1409" s="111"/>
      <c r="B1409" s="127"/>
      <c r="C1409" s="111"/>
      <c r="D1409" s="111"/>
      <c r="E1409" s="111"/>
      <c r="F1409" s="111"/>
      <c r="G1409" s="111"/>
      <c r="H1409" s="111"/>
      <c r="I1409" s="127"/>
      <c r="J1409" s="111"/>
      <c r="K1409" s="257"/>
      <c r="L1409" s="111"/>
      <c r="M1409" s="127"/>
      <c r="N1409" s="270"/>
      <c r="O1409" s="111"/>
      <c r="P1409" s="111"/>
      <c r="Q1409" s="128"/>
      <c r="R1409" s="124"/>
      <c r="S1409" s="125"/>
      <c r="T1409" s="126"/>
      <c r="U1409" s="126"/>
      <c r="V1409" s="126"/>
      <c r="W1409" s="126"/>
      <c r="X1409" s="126"/>
      <c r="Y1409" s="126"/>
      <c r="Z1409" s="127"/>
      <c r="AA1409" s="127"/>
      <c r="AB1409" s="127"/>
      <c r="AC1409" s="127"/>
      <c r="AD1409" s="261"/>
      <c r="AE1409" s="261"/>
      <c r="AF1409" s="261"/>
      <c r="AG1409" s="261"/>
    </row>
    <row r="1410" ht="34.5" hidden="1" customHeight="1">
      <c r="A1410" s="111"/>
      <c r="B1410" s="127"/>
      <c r="C1410" s="111"/>
      <c r="D1410" s="111"/>
      <c r="E1410" s="111"/>
      <c r="F1410" s="111"/>
      <c r="G1410" s="111"/>
      <c r="H1410" s="111"/>
      <c r="I1410" s="127"/>
      <c r="J1410" s="111"/>
      <c r="K1410" s="257"/>
      <c r="L1410" s="111"/>
      <c r="M1410" s="127"/>
      <c r="N1410" s="270"/>
      <c r="O1410" s="111"/>
      <c r="P1410" s="111"/>
      <c r="Q1410" s="128"/>
      <c r="R1410" s="124"/>
      <c r="S1410" s="125"/>
      <c r="T1410" s="126"/>
      <c r="U1410" s="126"/>
      <c r="V1410" s="126"/>
      <c r="W1410" s="126"/>
      <c r="X1410" s="126"/>
      <c r="Y1410" s="126"/>
      <c r="Z1410" s="127"/>
      <c r="AA1410" s="127"/>
      <c r="AB1410" s="127"/>
      <c r="AC1410" s="127"/>
      <c r="AD1410" s="261"/>
      <c r="AE1410" s="261"/>
      <c r="AF1410" s="261"/>
      <c r="AG1410" s="261"/>
    </row>
    <row r="1411" ht="34.5" hidden="1" customHeight="1">
      <c r="A1411" s="111"/>
      <c r="B1411" s="127"/>
      <c r="C1411" s="111"/>
      <c r="D1411" s="111"/>
      <c r="E1411" s="111"/>
      <c r="F1411" s="111"/>
      <c r="G1411" s="111"/>
      <c r="H1411" s="111"/>
      <c r="I1411" s="127"/>
      <c r="J1411" s="111"/>
      <c r="K1411" s="257"/>
      <c r="L1411" s="111"/>
      <c r="M1411" s="127"/>
      <c r="N1411" s="270"/>
      <c r="O1411" s="111"/>
      <c r="P1411" s="111"/>
      <c r="Q1411" s="128"/>
      <c r="R1411" s="124"/>
      <c r="S1411" s="125"/>
      <c r="T1411" s="126"/>
      <c r="U1411" s="126"/>
      <c r="V1411" s="126"/>
      <c r="W1411" s="126"/>
      <c r="X1411" s="126"/>
      <c r="Y1411" s="126"/>
      <c r="Z1411" s="127"/>
      <c r="AA1411" s="127"/>
      <c r="AB1411" s="127"/>
      <c r="AC1411" s="127"/>
      <c r="AD1411" s="261"/>
      <c r="AE1411" s="261"/>
      <c r="AF1411" s="261"/>
      <c r="AG1411" s="261"/>
    </row>
    <row r="1412" ht="34.5" hidden="1" customHeight="1">
      <c r="A1412" s="111"/>
      <c r="B1412" s="127"/>
      <c r="C1412" s="111"/>
      <c r="D1412" s="111"/>
      <c r="E1412" s="111"/>
      <c r="F1412" s="111"/>
      <c r="G1412" s="111"/>
      <c r="H1412" s="111"/>
      <c r="I1412" s="127"/>
      <c r="J1412" s="111"/>
      <c r="K1412" s="257"/>
      <c r="L1412" s="111"/>
      <c r="M1412" s="127"/>
      <c r="N1412" s="270"/>
      <c r="O1412" s="111"/>
      <c r="P1412" s="111"/>
      <c r="Q1412" s="128"/>
      <c r="R1412" s="124"/>
      <c r="S1412" s="125"/>
      <c r="T1412" s="126"/>
      <c r="U1412" s="126"/>
      <c r="V1412" s="126"/>
      <c r="W1412" s="126"/>
      <c r="X1412" s="126"/>
      <c r="Y1412" s="126"/>
      <c r="Z1412" s="127"/>
      <c r="AA1412" s="127"/>
      <c r="AB1412" s="127"/>
      <c r="AC1412" s="127"/>
      <c r="AD1412" s="261"/>
      <c r="AE1412" s="261"/>
      <c r="AF1412" s="261"/>
      <c r="AG1412" s="261"/>
    </row>
    <row r="1413" ht="34.5" hidden="1" customHeight="1">
      <c r="A1413" s="111"/>
      <c r="B1413" s="127"/>
      <c r="C1413" s="111"/>
      <c r="D1413" s="111"/>
      <c r="E1413" s="111"/>
      <c r="F1413" s="111"/>
      <c r="G1413" s="111"/>
      <c r="H1413" s="111"/>
      <c r="I1413" s="127"/>
      <c r="J1413" s="111"/>
      <c r="K1413" s="257"/>
      <c r="L1413" s="111"/>
      <c r="M1413" s="127"/>
      <c r="N1413" s="270"/>
      <c r="O1413" s="111"/>
      <c r="P1413" s="111"/>
      <c r="Q1413" s="128"/>
      <c r="R1413" s="124"/>
      <c r="S1413" s="125"/>
      <c r="T1413" s="126"/>
      <c r="U1413" s="126"/>
      <c r="V1413" s="126"/>
      <c r="W1413" s="126"/>
      <c r="X1413" s="126"/>
      <c r="Y1413" s="126"/>
      <c r="Z1413" s="127"/>
      <c r="AA1413" s="127"/>
      <c r="AB1413" s="127"/>
      <c r="AC1413" s="127"/>
      <c r="AD1413" s="261"/>
      <c r="AE1413" s="261"/>
      <c r="AF1413" s="261"/>
      <c r="AG1413" s="261"/>
    </row>
    <row r="1414" ht="34.5" hidden="1" customHeight="1">
      <c r="A1414" s="111"/>
      <c r="B1414" s="127"/>
      <c r="C1414" s="111"/>
      <c r="D1414" s="111"/>
      <c r="E1414" s="111"/>
      <c r="F1414" s="111"/>
      <c r="G1414" s="111"/>
      <c r="H1414" s="111"/>
      <c r="I1414" s="127"/>
      <c r="J1414" s="111"/>
      <c r="K1414" s="257"/>
      <c r="L1414" s="111"/>
      <c r="M1414" s="127"/>
      <c r="N1414" s="270"/>
      <c r="O1414" s="111"/>
      <c r="P1414" s="111"/>
      <c r="Q1414" s="128"/>
      <c r="R1414" s="124"/>
      <c r="S1414" s="125"/>
      <c r="T1414" s="126"/>
      <c r="U1414" s="126"/>
      <c r="V1414" s="126"/>
      <c r="W1414" s="126"/>
      <c r="X1414" s="126"/>
      <c r="Y1414" s="126"/>
      <c r="Z1414" s="127"/>
      <c r="AA1414" s="127"/>
      <c r="AB1414" s="127"/>
      <c r="AC1414" s="127"/>
      <c r="AD1414" s="261"/>
      <c r="AE1414" s="261"/>
      <c r="AF1414" s="261"/>
      <c r="AG1414" s="261"/>
    </row>
    <row r="1415" ht="34.5" hidden="1" customHeight="1">
      <c r="A1415" s="111"/>
      <c r="B1415" s="127"/>
      <c r="C1415" s="111"/>
      <c r="D1415" s="111"/>
      <c r="E1415" s="111"/>
      <c r="F1415" s="111"/>
      <c r="G1415" s="111"/>
      <c r="H1415" s="111"/>
      <c r="I1415" s="127"/>
      <c r="J1415" s="111"/>
      <c r="K1415" s="257"/>
      <c r="L1415" s="111"/>
      <c r="M1415" s="127"/>
      <c r="N1415" s="270"/>
      <c r="O1415" s="111"/>
      <c r="P1415" s="111"/>
      <c r="Q1415" s="128"/>
      <c r="R1415" s="124"/>
      <c r="S1415" s="125"/>
      <c r="T1415" s="126"/>
      <c r="U1415" s="126"/>
      <c r="V1415" s="126"/>
      <c r="W1415" s="126"/>
      <c r="X1415" s="126"/>
      <c r="Y1415" s="126"/>
      <c r="Z1415" s="127"/>
      <c r="AA1415" s="127"/>
      <c r="AB1415" s="127"/>
      <c r="AC1415" s="127"/>
      <c r="AD1415" s="261"/>
      <c r="AE1415" s="261"/>
      <c r="AF1415" s="261"/>
      <c r="AG1415" s="261"/>
    </row>
    <row r="1416" ht="34.5" hidden="1" customHeight="1">
      <c r="A1416" s="111"/>
      <c r="B1416" s="127"/>
      <c r="C1416" s="111"/>
      <c r="D1416" s="111"/>
      <c r="E1416" s="111"/>
      <c r="F1416" s="111"/>
      <c r="G1416" s="111"/>
      <c r="H1416" s="111"/>
      <c r="I1416" s="127"/>
      <c r="J1416" s="111"/>
      <c r="K1416" s="257"/>
      <c r="L1416" s="111"/>
      <c r="M1416" s="127"/>
      <c r="N1416" s="270"/>
      <c r="O1416" s="111"/>
      <c r="P1416" s="111"/>
      <c r="Q1416" s="128"/>
      <c r="R1416" s="124"/>
      <c r="S1416" s="125"/>
      <c r="T1416" s="126"/>
      <c r="U1416" s="126"/>
      <c r="V1416" s="126"/>
      <c r="W1416" s="126"/>
      <c r="X1416" s="126"/>
      <c r="Y1416" s="126"/>
      <c r="Z1416" s="127"/>
      <c r="AA1416" s="127"/>
      <c r="AB1416" s="127"/>
      <c r="AC1416" s="127"/>
      <c r="AD1416" s="261"/>
      <c r="AE1416" s="261"/>
      <c r="AF1416" s="261"/>
      <c r="AG1416" s="261"/>
    </row>
    <row r="1417" ht="34.5" hidden="1" customHeight="1">
      <c r="A1417" s="111"/>
      <c r="B1417" s="127"/>
      <c r="C1417" s="111"/>
      <c r="D1417" s="111"/>
      <c r="E1417" s="111"/>
      <c r="F1417" s="111"/>
      <c r="G1417" s="111"/>
      <c r="H1417" s="111"/>
      <c r="I1417" s="127"/>
      <c r="J1417" s="111"/>
      <c r="K1417" s="257"/>
      <c r="L1417" s="111"/>
      <c r="M1417" s="127"/>
      <c r="N1417" s="270"/>
      <c r="O1417" s="111"/>
      <c r="P1417" s="111"/>
      <c r="Q1417" s="128"/>
      <c r="R1417" s="124"/>
      <c r="S1417" s="125"/>
      <c r="T1417" s="126"/>
      <c r="U1417" s="126"/>
      <c r="V1417" s="126"/>
      <c r="W1417" s="126"/>
      <c r="X1417" s="126"/>
      <c r="Y1417" s="126"/>
      <c r="Z1417" s="127"/>
      <c r="AA1417" s="127"/>
      <c r="AB1417" s="127"/>
      <c r="AC1417" s="127"/>
      <c r="AD1417" s="261"/>
      <c r="AE1417" s="261"/>
      <c r="AF1417" s="261"/>
      <c r="AG1417" s="261"/>
    </row>
    <row r="1418" ht="34.5" hidden="1" customHeight="1">
      <c r="A1418" s="111"/>
      <c r="B1418" s="127"/>
      <c r="C1418" s="111"/>
      <c r="D1418" s="111"/>
      <c r="E1418" s="111"/>
      <c r="F1418" s="111"/>
      <c r="G1418" s="111"/>
      <c r="H1418" s="111"/>
      <c r="I1418" s="127"/>
      <c r="J1418" s="111"/>
      <c r="K1418" s="257"/>
      <c r="L1418" s="111"/>
      <c r="M1418" s="127"/>
      <c r="N1418" s="270"/>
      <c r="O1418" s="111"/>
      <c r="P1418" s="111"/>
      <c r="Q1418" s="128"/>
      <c r="R1418" s="124"/>
      <c r="S1418" s="125"/>
      <c r="T1418" s="126"/>
      <c r="U1418" s="126"/>
      <c r="V1418" s="126"/>
      <c r="W1418" s="126"/>
      <c r="X1418" s="126"/>
      <c r="Y1418" s="126"/>
      <c r="Z1418" s="127"/>
      <c r="AA1418" s="127"/>
      <c r="AB1418" s="127"/>
      <c r="AC1418" s="127"/>
      <c r="AD1418" s="261"/>
      <c r="AE1418" s="261"/>
      <c r="AF1418" s="261"/>
      <c r="AG1418" s="261"/>
    </row>
    <row r="1419" ht="34.5" hidden="1" customHeight="1">
      <c r="A1419" s="111"/>
      <c r="B1419" s="127"/>
      <c r="C1419" s="111"/>
      <c r="D1419" s="111"/>
      <c r="E1419" s="111"/>
      <c r="F1419" s="111"/>
      <c r="G1419" s="111"/>
      <c r="H1419" s="111"/>
      <c r="I1419" s="127"/>
      <c r="J1419" s="111"/>
      <c r="K1419" s="257"/>
      <c r="L1419" s="111"/>
      <c r="M1419" s="127"/>
      <c r="N1419" s="270"/>
      <c r="O1419" s="111"/>
      <c r="P1419" s="111"/>
      <c r="Q1419" s="128"/>
      <c r="R1419" s="124"/>
      <c r="S1419" s="125"/>
      <c r="T1419" s="126"/>
      <c r="U1419" s="126"/>
      <c r="V1419" s="126"/>
      <c r="W1419" s="126"/>
      <c r="X1419" s="126"/>
      <c r="Y1419" s="126"/>
      <c r="Z1419" s="127"/>
      <c r="AA1419" s="127"/>
      <c r="AB1419" s="127"/>
      <c r="AC1419" s="127"/>
      <c r="AD1419" s="261"/>
      <c r="AE1419" s="261"/>
      <c r="AF1419" s="261"/>
      <c r="AG1419" s="261"/>
    </row>
    <row r="1420" ht="34.5" hidden="1" customHeight="1">
      <c r="A1420" s="111"/>
      <c r="B1420" s="127"/>
      <c r="C1420" s="111"/>
      <c r="D1420" s="111"/>
      <c r="E1420" s="111"/>
      <c r="F1420" s="111"/>
      <c r="G1420" s="111"/>
      <c r="H1420" s="111"/>
      <c r="I1420" s="127"/>
      <c r="J1420" s="111"/>
      <c r="K1420" s="257"/>
      <c r="L1420" s="111"/>
      <c r="M1420" s="127"/>
      <c r="N1420" s="270"/>
      <c r="O1420" s="111"/>
      <c r="P1420" s="111"/>
      <c r="Q1420" s="128"/>
      <c r="R1420" s="124"/>
      <c r="S1420" s="125"/>
      <c r="T1420" s="126"/>
      <c r="U1420" s="126"/>
      <c r="V1420" s="126"/>
      <c r="W1420" s="126"/>
      <c r="X1420" s="126"/>
      <c r="Y1420" s="126"/>
      <c r="Z1420" s="127"/>
      <c r="AA1420" s="127"/>
      <c r="AB1420" s="127"/>
      <c r="AC1420" s="127"/>
      <c r="AD1420" s="261"/>
      <c r="AE1420" s="261"/>
      <c r="AF1420" s="261"/>
      <c r="AG1420" s="261"/>
    </row>
    <row r="1421" ht="34.5" hidden="1" customHeight="1">
      <c r="A1421" s="111"/>
      <c r="B1421" s="127"/>
      <c r="C1421" s="111"/>
      <c r="D1421" s="111"/>
      <c r="E1421" s="111"/>
      <c r="F1421" s="111"/>
      <c r="G1421" s="111"/>
      <c r="H1421" s="111"/>
      <c r="I1421" s="127"/>
      <c r="J1421" s="111"/>
      <c r="K1421" s="257"/>
      <c r="L1421" s="111"/>
      <c r="M1421" s="127"/>
      <c r="N1421" s="270"/>
      <c r="O1421" s="111"/>
      <c r="P1421" s="111"/>
      <c r="Q1421" s="128"/>
      <c r="R1421" s="124"/>
      <c r="S1421" s="125"/>
      <c r="T1421" s="126"/>
      <c r="U1421" s="126"/>
      <c r="V1421" s="126"/>
      <c r="W1421" s="126"/>
      <c r="X1421" s="126"/>
      <c r="Y1421" s="126"/>
      <c r="Z1421" s="127"/>
      <c r="AA1421" s="127"/>
      <c r="AB1421" s="127"/>
      <c r="AC1421" s="127"/>
      <c r="AD1421" s="261"/>
      <c r="AE1421" s="261"/>
      <c r="AF1421" s="261"/>
      <c r="AG1421" s="261"/>
    </row>
    <row r="1422" ht="34.5" hidden="1" customHeight="1">
      <c r="A1422" s="111"/>
      <c r="B1422" s="127"/>
      <c r="C1422" s="111"/>
      <c r="D1422" s="111"/>
      <c r="E1422" s="111"/>
      <c r="F1422" s="111"/>
      <c r="G1422" s="111"/>
      <c r="H1422" s="111"/>
      <c r="I1422" s="127"/>
      <c r="J1422" s="111"/>
      <c r="K1422" s="257"/>
      <c r="L1422" s="111"/>
      <c r="M1422" s="127"/>
      <c r="N1422" s="270"/>
      <c r="O1422" s="111"/>
      <c r="P1422" s="111"/>
      <c r="Q1422" s="128"/>
      <c r="R1422" s="124"/>
      <c r="S1422" s="125"/>
      <c r="T1422" s="126"/>
      <c r="U1422" s="126"/>
      <c r="V1422" s="126"/>
      <c r="W1422" s="126"/>
      <c r="X1422" s="126"/>
      <c r="Y1422" s="126"/>
      <c r="Z1422" s="127"/>
      <c r="AA1422" s="127"/>
      <c r="AB1422" s="127"/>
      <c r="AC1422" s="127"/>
      <c r="AD1422" s="261"/>
      <c r="AE1422" s="261"/>
      <c r="AF1422" s="261"/>
      <c r="AG1422" s="261"/>
    </row>
    <row r="1423" ht="34.5" hidden="1" customHeight="1">
      <c r="A1423" s="111"/>
      <c r="B1423" s="127"/>
      <c r="C1423" s="111"/>
      <c r="D1423" s="111"/>
      <c r="E1423" s="111"/>
      <c r="F1423" s="111"/>
      <c r="G1423" s="111"/>
      <c r="H1423" s="111"/>
      <c r="I1423" s="127"/>
      <c r="J1423" s="111"/>
      <c r="K1423" s="257"/>
      <c r="L1423" s="111"/>
      <c r="M1423" s="127"/>
      <c r="N1423" s="270"/>
      <c r="O1423" s="111"/>
      <c r="P1423" s="111"/>
      <c r="Q1423" s="128"/>
      <c r="R1423" s="124"/>
      <c r="S1423" s="125"/>
      <c r="T1423" s="126"/>
      <c r="U1423" s="126"/>
      <c r="V1423" s="126"/>
      <c r="W1423" s="126"/>
      <c r="X1423" s="126"/>
      <c r="Y1423" s="126"/>
      <c r="Z1423" s="127"/>
      <c r="AA1423" s="127"/>
      <c r="AB1423" s="127"/>
      <c r="AC1423" s="127"/>
      <c r="AD1423" s="261"/>
      <c r="AE1423" s="261"/>
      <c r="AF1423" s="261"/>
      <c r="AG1423" s="261"/>
    </row>
    <row r="1424" ht="34.5" hidden="1" customHeight="1">
      <c r="A1424" s="111"/>
      <c r="B1424" s="127"/>
      <c r="C1424" s="111"/>
      <c r="D1424" s="111"/>
      <c r="E1424" s="111"/>
      <c r="F1424" s="111"/>
      <c r="G1424" s="111"/>
      <c r="H1424" s="111"/>
      <c r="I1424" s="127"/>
      <c r="J1424" s="111"/>
      <c r="K1424" s="257"/>
      <c r="L1424" s="111"/>
      <c r="M1424" s="127"/>
      <c r="N1424" s="270"/>
      <c r="O1424" s="111"/>
      <c r="P1424" s="111"/>
      <c r="Q1424" s="128"/>
      <c r="R1424" s="124"/>
      <c r="S1424" s="125"/>
      <c r="T1424" s="126"/>
      <c r="U1424" s="126"/>
      <c r="V1424" s="126"/>
      <c r="W1424" s="126"/>
      <c r="X1424" s="126"/>
      <c r="Y1424" s="126"/>
      <c r="Z1424" s="127"/>
      <c r="AA1424" s="127"/>
      <c r="AB1424" s="127"/>
      <c r="AC1424" s="127"/>
      <c r="AD1424" s="261"/>
      <c r="AE1424" s="261"/>
      <c r="AF1424" s="261"/>
      <c r="AG1424" s="261"/>
    </row>
    <row r="1425" ht="34.5" hidden="1" customHeight="1">
      <c r="A1425" s="111"/>
      <c r="B1425" s="127"/>
      <c r="C1425" s="111"/>
      <c r="D1425" s="111"/>
      <c r="E1425" s="111"/>
      <c r="F1425" s="111"/>
      <c r="G1425" s="111"/>
      <c r="H1425" s="111"/>
      <c r="I1425" s="127"/>
      <c r="J1425" s="111"/>
      <c r="K1425" s="257"/>
      <c r="L1425" s="111"/>
      <c r="M1425" s="127"/>
      <c r="N1425" s="270"/>
      <c r="O1425" s="111"/>
      <c r="P1425" s="111"/>
      <c r="Q1425" s="128"/>
      <c r="R1425" s="124"/>
      <c r="S1425" s="125"/>
      <c r="T1425" s="126"/>
      <c r="U1425" s="126"/>
      <c r="V1425" s="126"/>
      <c r="W1425" s="126"/>
      <c r="X1425" s="126"/>
      <c r="Y1425" s="126"/>
      <c r="Z1425" s="127"/>
      <c r="AA1425" s="127"/>
      <c r="AB1425" s="127"/>
      <c r="AC1425" s="127"/>
      <c r="AD1425" s="261"/>
      <c r="AE1425" s="261"/>
      <c r="AF1425" s="261"/>
      <c r="AG1425" s="261"/>
    </row>
    <row r="1426" ht="34.5" hidden="1" customHeight="1">
      <c r="A1426" s="111"/>
      <c r="B1426" s="127"/>
      <c r="C1426" s="111"/>
      <c r="D1426" s="111"/>
      <c r="E1426" s="111"/>
      <c r="F1426" s="111"/>
      <c r="G1426" s="111"/>
      <c r="H1426" s="111"/>
      <c r="I1426" s="127"/>
      <c r="J1426" s="111"/>
      <c r="K1426" s="257"/>
      <c r="L1426" s="111"/>
      <c r="M1426" s="127"/>
      <c r="N1426" s="270"/>
      <c r="O1426" s="111"/>
      <c r="P1426" s="111"/>
      <c r="Q1426" s="128"/>
      <c r="R1426" s="124"/>
      <c r="S1426" s="125"/>
      <c r="T1426" s="126"/>
      <c r="U1426" s="126"/>
      <c r="V1426" s="126"/>
      <c r="W1426" s="126"/>
      <c r="X1426" s="126"/>
      <c r="Y1426" s="126"/>
      <c r="Z1426" s="127"/>
      <c r="AA1426" s="127"/>
      <c r="AB1426" s="127"/>
      <c r="AC1426" s="127"/>
      <c r="AD1426" s="261"/>
      <c r="AE1426" s="261"/>
      <c r="AF1426" s="261"/>
      <c r="AG1426" s="261"/>
    </row>
    <row r="1427" ht="34.5" hidden="1" customHeight="1">
      <c r="A1427" s="111"/>
      <c r="B1427" s="127"/>
      <c r="C1427" s="111"/>
      <c r="D1427" s="111"/>
      <c r="E1427" s="111"/>
      <c r="F1427" s="111"/>
      <c r="G1427" s="111"/>
      <c r="H1427" s="111"/>
      <c r="I1427" s="127"/>
      <c r="J1427" s="111"/>
      <c r="K1427" s="257"/>
      <c r="L1427" s="111"/>
      <c r="M1427" s="127"/>
      <c r="N1427" s="270"/>
      <c r="O1427" s="111"/>
      <c r="P1427" s="111"/>
      <c r="Q1427" s="128"/>
      <c r="R1427" s="124"/>
      <c r="S1427" s="125"/>
      <c r="T1427" s="126"/>
      <c r="U1427" s="126"/>
      <c r="V1427" s="126"/>
      <c r="W1427" s="126"/>
      <c r="X1427" s="126"/>
      <c r="Y1427" s="126"/>
      <c r="Z1427" s="127"/>
      <c r="AA1427" s="127"/>
      <c r="AB1427" s="127"/>
      <c r="AC1427" s="127"/>
      <c r="AD1427" s="261"/>
      <c r="AE1427" s="261"/>
      <c r="AF1427" s="261"/>
      <c r="AG1427" s="261"/>
    </row>
    <row r="1428" ht="34.5" hidden="1" customHeight="1">
      <c r="A1428" s="111"/>
      <c r="B1428" s="127"/>
      <c r="C1428" s="111"/>
      <c r="D1428" s="111"/>
      <c r="E1428" s="111"/>
      <c r="F1428" s="111"/>
      <c r="G1428" s="111"/>
      <c r="H1428" s="111"/>
      <c r="I1428" s="127"/>
      <c r="J1428" s="111"/>
      <c r="K1428" s="257"/>
      <c r="L1428" s="111"/>
      <c r="M1428" s="127"/>
      <c r="N1428" s="270"/>
      <c r="O1428" s="111"/>
      <c r="P1428" s="111"/>
      <c r="Q1428" s="128"/>
      <c r="R1428" s="124"/>
      <c r="S1428" s="125"/>
      <c r="T1428" s="126"/>
      <c r="U1428" s="126"/>
      <c r="V1428" s="126"/>
      <c r="W1428" s="126"/>
      <c r="X1428" s="126"/>
      <c r="Y1428" s="126"/>
      <c r="Z1428" s="127"/>
      <c r="AA1428" s="127"/>
      <c r="AB1428" s="127"/>
      <c r="AC1428" s="127"/>
      <c r="AD1428" s="261"/>
      <c r="AE1428" s="261"/>
      <c r="AF1428" s="261"/>
      <c r="AG1428" s="261"/>
    </row>
    <row r="1429" ht="34.5" hidden="1" customHeight="1">
      <c r="A1429" s="111"/>
      <c r="B1429" s="127"/>
      <c r="C1429" s="111"/>
      <c r="D1429" s="111"/>
      <c r="E1429" s="111"/>
      <c r="F1429" s="111"/>
      <c r="G1429" s="111"/>
      <c r="H1429" s="111"/>
      <c r="I1429" s="127"/>
      <c r="J1429" s="111"/>
      <c r="K1429" s="257"/>
      <c r="L1429" s="111"/>
      <c r="M1429" s="127"/>
      <c r="N1429" s="270"/>
      <c r="O1429" s="111"/>
      <c r="P1429" s="111"/>
      <c r="Q1429" s="128"/>
      <c r="R1429" s="124"/>
      <c r="S1429" s="125"/>
      <c r="T1429" s="126"/>
      <c r="U1429" s="126"/>
      <c r="V1429" s="126"/>
      <c r="W1429" s="126"/>
      <c r="X1429" s="126"/>
      <c r="Y1429" s="126"/>
      <c r="Z1429" s="127"/>
      <c r="AA1429" s="127"/>
      <c r="AB1429" s="127"/>
      <c r="AC1429" s="127"/>
      <c r="AD1429" s="261"/>
      <c r="AE1429" s="261"/>
      <c r="AF1429" s="261"/>
      <c r="AG1429" s="261"/>
    </row>
    <row r="1430" ht="34.5" hidden="1" customHeight="1">
      <c r="A1430" s="111"/>
      <c r="B1430" s="127"/>
      <c r="C1430" s="111"/>
      <c r="D1430" s="111"/>
      <c r="E1430" s="111"/>
      <c r="F1430" s="111"/>
      <c r="G1430" s="111"/>
      <c r="H1430" s="111"/>
      <c r="I1430" s="127"/>
      <c r="J1430" s="111"/>
      <c r="K1430" s="257"/>
      <c r="L1430" s="111"/>
      <c r="M1430" s="127"/>
      <c r="N1430" s="270"/>
      <c r="O1430" s="111"/>
      <c r="P1430" s="111"/>
      <c r="Q1430" s="128"/>
      <c r="R1430" s="124"/>
      <c r="S1430" s="125"/>
      <c r="T1430" s="126"/>
      <c r="U1430" s="126"/>
      <c r="V1430" s="126"/>
      <c r="W1430" s="126"/>
      <c r="X1430" s="126"/>
      <c r="Y1430" s="126"/>
      <c r="Z1430" s="127"/>
      <c r="AA1430" s="127"/>
      <c r="AB1430" s="127"/>
      <c r="AC1430" s="127"/>
      <c r="AD1430" s="261"/>
      <c r="AE1430" s="261"/>
      <c r="AF1430" s="261"/>
      <c r="AG1430" s="261"/>
    </row>
    <row r="1431" ht="34.5" hidden="1" customHeight="1">
      <c r="A1431" s="111"/>
      <c r="B1431" s="127"/>
      <c r="C1431" s="111"/>
      <c r="D1431" s="111"/>
      <c r="E1431" s="111"/>
      <c r="F1431" s="111"/>
      <c r="G1431" s="111"/>
      <c r="H1431" s="111"/>
      <c r="I1431" s="127"/>
      <c r="J1431" s="111"/>
      <c r="K1431" s="257"/>
      <c r="L1431" s="111"/>
      <c r="M1431" s="127"/>
      <c r="N1431" s="270"/>
      <c r="O1431" s="111"/>
      <c r="P1431" s="111"/>
      <c r="Q1431" s="128"/>
      <c r="R1431" s="124"/>
      <c r="S1431" s="125"/>
      <c r="T1431" s="126"/>
      <c r="U1431" s="126"/>
      <c r="V1431" s="126"/>
      <c r="W1431" s="126"/>
      <c r="X1431" s="126"/>
      <c r="Y1431" s="126"/>
      <c r="Z1431" s="127"/>
      <c r="AA1431" s="127"/>
      <c r="AB1431" s="127"/>
      <c r="AC1431" s="127"/>
      <c r="AD1431" s="261"/>
      <c r="AE1431" s="261"/>
      <c r="AF1431" s="261"/>
      <c r="AG1431" s="261"/>
    </row>
    <row r="1432" ht="34.5" hidden="1" customHeight="1">
      <c r="A1432" s="111"/>
      <c r="B1432" s="127"/>
      <c r="C1432" s="111"/>
      <c r="D1432" s="111"/>
      <c r="E1432" s="111"/>
      <c r="F1432" s="111"/>
      <c r="G1432" s="111"/>
      <c r="H1432" s="111"/>
      <c r="I1432" s="127"/>
      <c r="J1432" s="111"/>
      <c r="K1432" s="257"/>
      <c r="L1432" s="111"/>
      <c r="M1432" s="127"/>
      <c r="N1432" s="270"/>
      <c r="O1432" s="111"/>
      <c r="P1432" s="111"/>
      <c r="Q1432" s="128"/>
      <c r="R1432" s="124"/>
      <c r="S1432" s="125"/>
      <c r="T1432" s="126"/>
      <c r="U1432" s="126"/>
      <c r="V1432" s="126"/>
      <c r="W1432" s="126"/>
      <c r="X1432" s="126"/>
      <c r="Y1432" s="126"/>
      <c r="Z1432" s="127"/>
      <c r="AA1432" s="127"/>
      <c r="AB1432" s="127"/>
      <c r="AC1432" s="127"/>
      <c r="AD1432" s="261"/>
      <c r="AE1432" s="261"/>
      <c r="AF1432" s="261"/>
      <c r="AG1432" s="261"/>
    </row>
    <row r="1433" ht="34.5" hidden="1" customHeight="1">
      <c r="A1433" s="111"/>
      <c r="B1433" s="127"/>
      <c r="C1433" s="111"/>
      <c r="D1433" s="111"/>
      <c r="E1433" s="111"/>
      <c r="F1433" s="111"/>
      <c r="G1433" s="111"/>
      <c r="H1433" s="111"/>
      <c r="I1433" s="127"/>
      <c r="J1433" s="111"/>
      <c r="K1433" s="257"/>
      <c r="L1433" s="111"/>
      <c r="M1433" s="127"/>
      <c r="N1433" s="270"/>
      <c r="O1433" s="111"/>
      <c r="P1433" s="111"/>
      <c r="Q1433" s="128"/>
      <c r="R1433" s="124"/>
      <c r="S1433" s="125"/>
      <c r="T1433" s="126"/>
      <c r="U1433" s="126"/>
      <c r="V1433" s="126"/>
      <c r="W1433" s="126"/>
      <c r="X1433" s="126"/>
      <c r="Y1433" s="126"/>
      <c r="Z1433" s="127"/>
      <c r="AA1433" s="127"/>
      <c r="AB1433" s="127"/>
      <c r="AC1433" s="127"/>
      <c r="AD1433" s="261"/>
      <c r="AE1433" s="261"/>
      <c r="AF1433" s="261"/>
      <c r="AG1433" s="261"/>
    </row>
    <row r="1434" ht="34.5" hidden="1" customHeight="1">
      <c r="A1434" s="111"/>
      <c r="B1434" s="127"/>
      <c r="C1434" s="111"/>
      <c r="D1434" s="111"/>
      <c r="E1434" s="111"/>
      <c r="F1434" s="111"/>
      <c r="G1434" s="111"/>
      <c r="H1434" s="111"/>
      <c r="I1434" s="127"/>
      <c r="J1434" s="111"/>
      <c r="K1434" s="257"/>
      <c r="L1434" s="111"/>
      <c r="M1434" s="127"/>
      <c r="N1434" s="270"/>
      <c r="O1434" s="111"/>
      <c r="P1434" s="111"/>
      <c r="Q1434" s="128"/>
      <c r="R1434" s="124"/>
      <c r="S1434" s="125"/>
      <c r="T1434" s="126"/>
      <c r="U1434" s="126"/>
      <c r="V1434" s="126"/>
      <c r="W1434" s="126"/>
      <c r="X1434" s="126"/>
      <c r="Y1434" s="126"/>
      <c r="Z1434" s="127"/>
      <c r="AA1434" s="127"/>
      <c r="AB1434" s="127"/>
      <c r="AC1434" s="127"/>
      <c r="AD1434" s="261"/>
      <c r="AE1434" s="261"/>
      <c r="AF1434" s="261"/>
      <c r="AG1434" s="261"/>
    </row>
    <row r="1435" ht="34.5" hidden="1" customHeight="1">
      <c r="A1435" s="111"/>
      <c r="B1435" s="127"/>
      <c r="C1435" s="111"/>
      <c r="D1435" s="111"/>
      <c r="E1435" s="111"/>
      <c r="F1435" s="111"/>
      <c r="G1435" s="111"/>
      <c r="H1435" s="111"/>
      <c r="I1435" s="127"/>
      <c r="J1435" s="111"/>
      <c r="K1435" s="257"/>
      <c r="L1435" s="111"/>
      <c r="M1435" s="127"/>
      <c r="N1435" s="270"/>
      <c r="O1435" s="111"/>
      <c r="P1435" s="111"/>
      <c r="Q1435" s="128"/>
      <c r="R1435" s="124"/>
      <c r="S1435" s="125"/>
      <c r="T1435" s="126"/>
      <c r="U1435" s="126"/>
      <c r="V1435" s="126"/>
      <c r="W1435" s="126"/>
      <c r="X1435" s="126"/>
      <c r="Y1435" s="126"/>
      <c r="Z1435" s="127"/>
      <c r="AA1435" s="127"/>
      <c r="AB1435" s="127"/>
      <c r="AC1435" s="127"/>
      <c r="AD1435" s="261"/>
      <c r="AE1435" s="261"/>
      <c r="AF1435" s="261"/>
      <c r="AG1435" s="261"/>
    </row>
    <row r="1436" ht="34.5" hidden="1" customHeight="1">
      <c r="A1436" s="111"/>
      <c r="B1436" s="127"/>
      <c r="C1436" s="111"/>
      <c r="D1436" s="111"/>
      <c r="E1436" s="111"/>
      <c r="F1436" s="111"/>
      <c r="G1436" s="111"/>
      <c r="H1436" s="111"/>
      <c r="I1436" s="127"/>
      <c r="J1436" s="111"/>
      <c r="K1436" s="257"/>
      <c r="L1436" s="111"/>
      <c r="M1436" s="127"/>
      <c r="N1436" s="270"/>
      <c r="O1436" s="111"/>
      <c r="P1436" s="111"/>
      <c r="Q1436" s="128"/>
      <c r="R1436" s="124"/>
      <c r="S1436" s="125"/>
      <c r="T1436" s="126"/>
      <c r="U1436" s="126"/>
      <c r="V1436" s="126"/>
      <c r="W1436" s="126"/>
      <c r="X1436" s="126"/>
      <c r="Y1436" s="126"/>
      <c r="Z1436" s="127"/>
      <c r="AA1436" s="127"/>
      <c r="AB1436" s="127"/>
      <c r="AC1436" s="127"/>
      <c r="AD1436" s="261"/>
      <c r="AE1436" s="261"/>
      <c r="AF1436" s="261"/>
      <c r="AG1436" s="261"/>
    </row>
    <row r="1437" ht="34.5" hidden="1" customHeight="1">
      <c r="A1437" s="111"/>
      <c r="B1437" s="127"/>
      <c r="C1437" s="111"/>
      <c r="D1437" s="111"/>
      <c r="E1437" s="111"/>
      <c r="F1437" s="111"/>
      <c r="G1437" s="111"/>
      <c r="H1437" s="111"/>
      <c r="I1437" s="127"/>
      <c r="J1437" s="111"/>
      <c r="K1437" s="257"/>
      <c r="L1437" s="111"/>
      <c r="M1437" s="127"/>
      <c r="N1437" s="270"/>
      <c r="O1437" s="111"/>
      <c r="P1437" s="111"/>
      <c r="Q1437" s="128"/>
      <c r="R1437" s="124"/>
      <c r="S1437" s="125"/>
      <c r="T1437" s="126"/>
      <c r="U1437" s="126"/>
      <c r="V1437" s="126"/>
      <c r="W1437" s="126"/>
      <c r="X1437" s="126"/>
      <c r="Y1437" s="126"/>
      <c r="Z1437" s="127"/>
      <c r="AA1437" s="127"/>
      <c r="AB1437" s="127"/>
      <c r="AC1437" s="127"/>
      <c r="AD1437" s="261"/>
      <c r="AE1437" s="261"/>
      <c r="AF1437" s="261"/>
      <c r="AG1437" s="261"/>
    </row>
    <row r="1438" ht="34.5" hidden="1" customHeight="1">
      <c r="A1438" s="111"/>
      <c r="B1438" s="127"/>
      <c r="C1438" s="111"/>
      <c r="D1438" s="111"/>
      <c r="E1438" s="111"/>
      <c r="F1438" s="111"/>
      <c r="G1438" s="111"/>
      <c r="H1438" s="111"/>
      <c r="I1438" s="127"/>
      <c r="J1438" s="111"/>
      <c r="K1438" s="257"/>
      <c r="L1438" s="111"/>
      <c r="M1438" s="127"/>
      <c r="N1438" s="270"/>
      <c r="O1438" s="111"/>
      <c r="P1438" s="111"/>
      <c r="Q1438" s="128"/>
      <c r="R1438" s="124"/>
      <c r="S1438" s="125"/>
      <c r="T1438" s="126"/>
      <c r="U1438" s="126"/>
      <c r="V1438" s="126"/>
      <c r="W1438" s="126"/>
      <c r="X1438" s="126"/>
      <c r="Y1438" s="126"/>
      <c r="Z1438" s="127"/>
      <c r="AA1438" s="127"/>
      <c r="AB1438" s="127"/>
      <c r="AC1438" s="127"/>
      <c r="AD1438" s="261"/>
      <c r="AE1438" s="261"/>
      <c r="AF1438" s="261"/>
      <c r="AG1438" s="261"/>
    </row>
    <row r="1439" ht="34.5" hidden="1" customHeight="1">
      <c r="A1439" s="111"/>
      <c r="B1439" s="127"/>
      <c r="C1439" s="111"/>
      <c r="D1439" s="111"/>
      <c r="E1439" s="111"/>
      <c r="F1439" s="111"/>
      <c r="G1439" s="111"/>
      <c r="H1439" s="111"/>
      <c r="I1439" s="127"/>
      <c r="J1439" s="111"/>
      <c r="K1439" s="257"/>
      <c r="L1439" s="111"/>
      <c r="M1439" s="127"/>
      <c r="N1439" s="270"/>
      <c r="O1439" s="111"/>
      <c r="P1439" s="111"/>
      <c r="Q1439" s="128"/>
      <c r="R1439" s="124"/>
      <c r="S1439" s="125"/>
      <c r="T1439" s="126"/>
      <c r="U1439" s="126"/>
      <c r="V1439" s="126"/>
      <c r="W1439" s="126"/>
      <c r="X1439" s="126"/>
      <c r="Y1439" s="126"/>
      <c r="Z1439" s="127"/>
      <c r="AA1439" s="127"/>
      <c r="AB1439" s="127"/>
      <c r="AC1439" s="127"/>
      <c r="AD1439" s="261"/>
      <c r="AE1439" s="261"/>
      <c r="AF1439" s="261"/>
      <c r="AG1439" s="261"/>
    </row>
    <row r="1440" ht="34.5" hidden="1" customHeight="1">
      <c r="A1440" s="111"/>
      <c r="B1440" s="127"/>
      <c r="C1440" s="111"/>
      <c r="D1440" s="111"/>
      <c r="E1440" s="111"/>
      <c r="F1440" s="111"/>
      <c r="G1440" s="111"/>
      <c r="H1440" s="111"/>
      <c r="I1440" s="127"/>
      <c r="J1440" s="111"/>
      <c r="K1440" s="257"/>
      <c r="L1440" s="111"/>
      <c r="M1440" s="127"/>
      <c r="N1440" s="270"/>
      <c r="O1440" s="111"/>
      <c r="P1440" s="111"/>
      <c r="Q1440" s="128"/>
      <c r="R1440" s="124"/>
      <c r="S1440" s="125"/>
      <c r="T1440" s="126"/>
      <c r="U1440" s="126"/>
      <c r="V1440" s="126"/>
      <c r="W1440" s="126"/>
      <c r="X1440" s="126"/>
      <c r="Y1440" s="126"/>
      <c r="Z1440" s="127"/>
      <c r="AA1440" s="127"/>
      <c r="AB1440" s="127"/>
      <c r="AC1440" s="127"/>
      <c r="AD1440" s="261"/>
      <c r="AE1440" s="261"/>
      <c r="AF1440" s="261"/>
      <c r="AG1440" s="261"/>
    </row>
    <row r="1441" ht="34.5" hidden="1" customHeight="1">
      <c r="A1441" s="111"/>
      <c r="B1441" s="127"/>
      <c r="C1441" s="111"/>
      <c r="D1441" s="111"/>
      <c r="E1441" s="111"/>
      <c r="F1441" s="111"/>
      <c r="G1441" s="111"/>
      <c r="H1441" s="111"/>
      <c r="I1441" s="127"/>
      <c r="J1441" s="111"/>
      <c r="K1441" s="257"/>
      <c r="L1441" s="111"/>
      <c r="M1441" s="127"/>
      <c r="N1441" s="270"/>
      <c r="O1441" s="111"/>
      <c r="P1441" s="111"/>
      <c r="Q1441" s="128"/>
      <c r="R1441" s="124"/>
      <c r="S1441" s="125"/>
      <c r="T1441" s="126"/>
      <c r="U1441" s="126"/>
      <c r="V1441" s="126"/>
      <c r="W1441" s="126"/>
      <c r="X1441" s="126"/>
      <c r="Y1441" s="126"/>
      <c r="Z1441" s="127"/>
      <c r="AA1441" s="127"/>
      <c r="AB1441" s="127"/>
      <c r="AC1441" s="127"/>
      <c r="AD1441" s="261"/>
      <c r="AE1441" s="261"/>
      <c r="AF1441" s="261"/>
      <c r="AG1441" s="261"/>
    </row>
    <row r="1442" ht="34.5" hidden="1" customHeight="1">
      <c r="A1442" s="111"/>
      <c r="B1442" s="127"/>
      <c r="C1442" s="111"/>
      <c r="D1442" s="111"/>
      <c r="E1442" s="111"/>
      <c r="F1442" s="111"/>
      <c r="G1442" s="111"/>
      <c r="H1442" s="111"/>
      <c r="I1442" s="127"/>
      <c r="J1442" s="111"/>
      <c r="K1442" s="257"/>
      <c r="L1442" s="111"/>
      <c r="M1442" s="127"/>
      <c r="N1442" s="270"/>
      <c r="O1442" s="111"/>
      <c r="P1442" s="111"/>
      <c r="Q1442" s="128"/>
      <c r="R1442" s="124"/>
      <c r="S1442" s="125"/>
      <c r="T1442" s="126"/>
      <c r="U1442" s="126"/>
      <c r="V1442" s="126"/>
      <c r="W1442" s="126"/>
      <c r="X1442" s="126"/>
      <c r="Y1442" s="126"/>
      <c r="Z1442" s="127"/>
      <c r="AA1442" s="127"/>
      <c r="AB1442" s="127"/>
      <c r="AC1442" s="127"/>
      <c r="AD1442" s="261"/>
      <c r="AE1442" s="261"/>
      <c r="AF1442" s="261"/>
      <c r="AG1442" s="261"/>
    </row>
    <row r="1443" ht="34.5" hidden="1" customHeight="1">
      <c r="A1443" s="111"/>
      <c r="B1443" s="127"/>
      <c r="C1443" s="111"/>
      <c r="D1443" s="111"/>
      <c r="E1443" s="111"/>
      <c r="F1443" s="111"/>
      <c r="G1443" s="111"/>
      <c r="H1443" s="111"/>
      <c r="I1443" s="127"/>
      <c r="J1443" s="111"/>
      <c r="K1443" s="257"/>
      <c r="L1443" s="111"/>
      <c r="M1443" s="127"/>
      <c r="N1443" s="270"/>
      <c r="O1443" s="111"/>
      <c r="P1443" s="111"/>
      <c r="Q1443" s="128"/>
      <c r="R1443" s="124"/>
      <c r="S1443" s="125"/>
      <c r="T1443" s="126"/>
      <c r="U1443" s="126"/>
      <c r="V1443" s="126"/>
      <c r="W1443" s="126"/>
      <c r="X1443" s="126"/>
      <c r="Y1443" s="126"/>
      <c r="Z1443" s="127"/>
      <c r="AA1443" s="127"/>
      <c r="AB1443" s="127"/>
      <c r="AC1443" s="127"/>
      <c r="AD1443" s="261"/>
      <c r="AE1443" s="261"/>
      <c r="AF1443" s="261"/>
      <c r="AG1443" s="261"/>
    </row>
    <row r="1444" ht="34.5" hidden="1" customHeight="1">
      <c r="A1444" s="111"/>
      <c r="B1444" s="127"/>
      <c r="C1444" s="111"/>
      <c r="D1444" s="111"/>
      <c r="E1444" s="111"/>
      <c r="F1444" s="111"/>
      <c r="G1444" s="111"/>
      <c r="H1444" s="111"/>
      <c r="I1444" s="127"/>
      <c r="J1444" s="111"/>
      <c r="K1444" s="257"/>
      <c r="L1444" s="111"/>
      <c r="M1444" s="127"/>
      <c r="N1444" s="270"/>
      <c r="O1444" s="111"/>
      <c r="P1444" s="111"/>
      <c r="Q1444" s="128"/>
      <c r="R1444" s="124"/>
      <c r="S1444" s="125"/>
      <c r="T1444" s="126"/>
      <c r="U1444" s="126"/>
      <c r="V1444" s="126"/>
      <c r="W1444" s="126"/>
      <c r="X1444" s="126"/>
      <c r="Y1444" s="126"/>
      <c r="Z1444" s="127"/>
      <c r="AA1444" s="127"/>
      <c r="AB1444" s="127"/>
      <c r="AC1444" s="127"/>
      <c r="AD1444" s="261"/>
      <c r="AE1444" s="261"/>
      <c r="AF1444" s="261"/>
      <c r="AG1444" s="261"/>
    </row>
    <row r="1445" ht="34.5" hidden="1" customHeight="1">
      <c r="A1445" s="111"/>
      <c r="B1445" s="127"/>
      <c r="C1445" s="111"/>
      <c r="D1445" s="111"/>
      <c r="E1445" s="111"/>
      <c r="F1445" s="111"/>
      <c r="G1445" s="111"/>
      <c r="H1445" s="111"/>
      <c r="I1445" s="127"/>
      <c r="J1445" s="111"/>
      <c r="K1445" s="257"/>
      <c r="L1445" s="111"/>
      <c r="M1445" s="127"/>
      <c r="N1445" s="270"/>
      <c r="O1445" s="111"/>
      <c r="P1445" s="111"/>
      <c r="Q1445" s="128"/>
      <c r="R1445" s="124"/>
      <c r="S1445" s="125"/>
      <c r="T1445" s="126"/>
      <c r="U1445" s="126"/>
      <c r="V1445" s="126"/>
      <c r="W1445" s="126"/>
      <c r="X1445" s="126"/>
      <c r="Y1445" s="126"/>
      <c r="Z1445" s="127"/>
      <c r="AA1445" s="127"/>
      <c r="AB1445" s="127"/>
      <c r="AC1445" s="127"/>
      <c r="AD1445" s="261"/>
      <c r="AE1445" s="261"/>
      <c r="AF1445" s="261"/>
      <c r="AG1445" s="261"/>
    </row>
    <row r="1446" ht="34.5" hidden="1" customHeight="1">
      <c r="A1446" s="111"/>
      <c r="B1446" s="127"/>
      <c r="C1446" s="111"/>
      <c r="D1446" s="111"/>
      <c r="E1446" s="111"/>
      <c r="F1446" s="111"/>
      <c r="G1446" s="111"/>
      <c r="H1446" s="111"/>
      <c r="I1446" s="127"/>
      <c r="J1446" s="111"/>
      <c r="K1446" s="257"/>
      <c r="L1446" s="111"/>
      <c r="M1446" s="127"/>
      <c r="N1446" s="270"/>
      <c r="O1446" s="111"/>
      <c r="P1446" s="111"/>
      <c r="Q1446" s="128"/>
      <c r="R1446" s="124"/>
      <c r="S1446" s="125"/>
      <c r="T1446" s="126"/>
      <c r="U1446" s="126"/>
      <c r="V1446" s="126"/>
      <c r="W1446" s="126"/>
      <c r="X1446" s="126"/>
      <c r="Y1446" s="126"/>
      <c r="Z1446" s="127"/>
      <c r="AA1446" s="127"/>
      <c r="AB1446" s="127"/>
      <c r="AC1446" s="127"/>
      <c r="AD1446" s="261"/>
      <c r="AE1446" s="261"/>
      <c r="AF1446" s="261"/>
      <c r="AG1446" s="261"/>
    </row>
    <row r="1447" ht="34.5" hidden="1" customHeight="1">
      <c r="A1447" s="111"/>
      <c r="B1447" s="127"/>
      <c r="C1447" s="111"/>
      <c r="D1447" s="111"/>
      <c r="E1447" s="111"/>
      <c r="F1447" s="111"/>
      <c r="G1447" s="111"/>
      <c r="H1447" s="111"/>
      <c r="I1447" s="127"/>
      <c r="J1447" s="111"/>
      <c r="K1447" s="257"/>
      <c r="L1447" s="111"/>
      <c r="M1447" s="127"/>
      <c r="N1447" s="270"/>
      <c r="O1447" s="111"/>
      <c r="P1447" s="111"/>
      <c r="Q1447" s="128"/>
      <c r="R1447" s="124"/>
      <c r="S1447" s="125"/>
      <c r="T1447" s="126"/>
      <c r="U1447" s="126"/>
      <c r="V1447" s="126"/>
      <c r="W1447" s="126"/>
      <c r="X1447" s="126"/>
      <c r="Y1447" s="126"/>
      <c r="Z1447" s="127"/>
      <c r="AA1447" s="127"/>
      <c r="AB1447" s="127"/>
      <c r="AC1447" s="127"/>
      <c r="AD1447" s="261"/>
      <c r="AE1447" s="261"/>
      <c r="AF1447" s="261"/>
      <c r="AG1447" s="261"/>
    </row>
    <row r="1448" ht="34.5" hidden="1" customHeight="1">
      <c r="A1448" s="111"/>
      <c r="B1448" s="127"/>
      <c r="C1448" s="111"/>
      <c r="D1448" s="111"/>
      <c r="E1448" s="111"/>
      <c r="F1448" s="111"/>
      <c r="G1448" s="111"/>
      <c r="H1448" s="111"/>
      <c r="I1448" s="127"/>
      <c r="J1448" s="111"/>
      <c r="K1448" s="257"/>
      <c r="L1448" s="111"/>
      <c r="M1448" s="127"/>
      <c r="N1448" s="270"/>
      <c r="O1448" s="111"/>
      <c r="P1448" s="111"/>
      <c r="Q1448" s="128"/>
      <c r="R1448" s="124"/>
      <c r="S1448" s="125"/>
      <c r="T1448" s="126"/>
      <c r="U1448" s="126"/>
      <c r="V1448" s="126"/>
      <c r="W1448" s="126"/>
      <c r="X1448" s="126"/>
      <c r="Y1448" s="126"/>
      <c r="Z1448" s="127"/>
      <c r="AA1448" s="127"/>
      <c r="AB1448" s="127"/>
      <c r="AC1448" s="127"/>
      <c r="AD1448" s="261"/>
      <c r="AE1448" s="261"/>
      <c r="AF1448" s="261"/>
      <c r="AG1448" s="261"/>
    </row>
    <row r="1449" ht="34.5" hidden="1" customHeight="1">
      <c r="A1449" s="111"/>
      <c r="B1449" s="127"/>
      <c r="C1449" s="111"/>
      <c r="D1449" s="111"/>
      <c r="E1449" s="111"/>
      <c r="F1449" s="111"/>
      <c r="G1449" s="111"/>
      <c r="H1449" s="111"/>
      <c r="I1449" s="127"/>
      <c r="J1449" s="111"/>
      <c r="K1449" s="257"/>
      <c r="L1449" s="111"/>
      <c r="M1449" s="127"/>
      <c r="N1449" s="270"/>
      <c r="O1449" s="111"/>
      <c r="P1449" s="111"/>
      <c r="Q1449" s="128"/>
      <c r="R1449" s="124"/>
      <c r="S1449" s="125"/>
      <c r="T1449" s="126"/>
      <c r="U1449" s="126"/>
      <c r="V1449" s="126"/>
      <c r="W1449" s="126"/>
      <c r="X1449" s="126"/>
      <c r="Y1449" s="126"/>
      <c r="Z1449" s="127"/>
      <c r="AA1449" s="127"/>
      <c r="AB1449" s="127"/>
      <c r="AC1449" s="127"/>
      <c r="AD1449" s="261"/>
      <c r="AE1449" s="261"/>
      <c r="AF1449" s="261"/>
      <c r="AG1449" s="261"/>
    </row>
    <row r="1450" ht="34.5" hidden="1" customHeight="1">
      <c r="A1450" s="111"/>
      <c r="B1450" s="127"/>
      <c r="C1450" s="111"/>
      <c r="D1450" s="111"/>
      <c r="E1450" s="111"/>
      <c r="F1450" s="111"/>
      <c r="G1450" s="111"/>
      <c r="H1450" s="111"/>
      <c r="I1450" s="127"/>
      <c r="J1450" s="111"/>
      <c r="K1450" s="257"/>
      <c r="L1450" s="111"/>
      <c r="M1450" s="127"/>
      <c r="N1450" s="270"/>
      <c r="O1450" s="111"/>
      <c r="P1450" s="111"/>
      <c r="Q1450" s="128"/>
      <c r="R1450" s="124"/>
      <c r="S1450" s="125"/>
      <c r="T1450" s="126"/>
      <c r="U1450" s="126"/>
      <c r="V1450" s="126"/>
      <c r="W1450" s="126"/>
      <c r="X1450" s="126"/>
      <c r="Y1450" s="126"/>
      <c r="Z1450" s="127"/>
      <c r="AA1450" s="127"/>
      <c r="AB1450" s="127"/>
      <c r="AC1450" s="127"/>
      <c r="AD1450" s="261"/>
      <c r="AE1450" s="261"/>
      <c r="AF1450" s="261"/>
      <c r="AG1450" s="261"/>
    </row>
    <row r="1451" ht="34.5" hidden="1" customHeight="1">
      <c r="A1451" s="111"/>
      <c r="B1451" s="127"/>
      <c r="C1451" s="111"/>
      <c r="D1451" s="111"/>
      <c r="E1451" s="111"/>
      <c r="F1451" s="111"/>
      <c r="G1451" s="111"/>
      <c r="H1451" s="111"/>
      <c r="I1451" s="127"/>
      <c r="J1451" s="111"/>
      <c r="K1451" s="257"/>
      <c r="L1451" s="111"/>
      <c r="M1451" s="127"/>
      <c r="N1451" s="270"/>
      <c r="O1451" s="111"/>
      <c r="P1451" s="111"/>
      <c r="Q1451" s="128"/>
      <c r="R1451" s="124"/>
      <c r="S1451" s="125"/>
      <c r="T1451" s="126"/>
      <c r="U1451" s="126"/>
      <c r="V1451" s="126"/>
      <c r="W1451" s="126"/>
      <c r="X1451" s="126"/>
      <c r="Y1451" s="126"/>
      <c r="Z1451" s="127"/>
      <c r="AA1451" s="127"/>
      <c r="AB1451" s="127"/>
      <c r="AC1451" s="127"/>
      <c r="AD1451" s="261"/>
      <c r="AE1451" s="261"/>
      <c r="AF1451" s="261"/>
      <c r="AG1451" s="261"/>
    </row>
    <row r="1452" ht="34.5" hidden="1" customHeight="1">
      <c r="A1452" s="111"/>
      <c r="B1452" s="127"/>
      <c r="C1452" s="111"/>
      <c r="D1452" s="111"/>
      <c r="E1452" s="111"/>
      <c r="F1452" s="111"/>
      <c r="G1452" s="111"/>
      <c r="H1452" s="111"/>
      <c r="I1452" s="127"/>
      <c r="J1452" s="111"/>
      <c r="K1452" s="257"/>
      <c r="L1452" s="111"/>
      <c r="M1452" s="127"/>
      <c r="N1452" s="270"/>
      <c r="O1452" s="111"/>
      <c r="P1452" s="111"/>
      <c r="Q1452" s="128"/>
      <c r="R1452" s="124"/>
      <c r="S1452" s="125"/>
      <c r="T1452" s="126"/>
      <c r="U1452" s="126"/>
      <c r="V1452" s="126"/>
      <c r="W1452" s="126"/>
      <c r="X1452" s="126"/>
      <c r="Y1452" s="126"/>
      <c r="Z1452" s="127"/>
      <c r="AA1452" s="127"/>
      <c r="AB1452" s="127"/>
      <c r="AC1452" s="127"/>
      <c r="AD1452" s="261"/>
      <c r="AE1452" s="261"/>
      <c r="AF1452" s="261"/>
      <c r="AG1452" s="261"/>
    </row>
    <row r="1453" ht="34.5" hidden="1" customHeight="1">
      <c r="A1453" s="111"/>
      <c r="B1453" s="127"/>
      <c r="C1453" s="111"/>
      <c r="D1453" s="111"/>
      <c r="E1453" s="111"/>
      <c r="F1453" s="111"/>
      <c r="G1453" s="111"/>
      <c r="H1453" s="111"/>
      <c r="I1453" s="127"/>
      <c r="J1453" s="111"/>
      <c r="K1453" s="257"/>
      <c r="L1453" s="111"/>
      <c r="M1453" s="127"/>
      <c r="N1453" s="270"/>
      <c r="O1453" s="111"/>
      <c r="P1453" s="111"/>
      <c r="Q1453" s="128"/>
      <c r="R1453" s="124"/>
      <c r="S1453" s="125"/>
      <c r="T1453" s="126"/>
      <c r="U1453" s="126"/>
      <c r="V1453" s="126"/>
      <c r="W1453" s="126"/>
      <c r="X1453" s="126"/>
      <c r="Y1453" s="126"/>
      <c r="Z1453" s="127"/>
      <c r="AA1453" s="127"/>
      <c r="AB1453" s="127"/>
      <c r="AC1453" s="127"/>
      <c r="AD1453" s="261"/>
      <c r="AE1453" s="261"/>
      <c r="AF1453" s="261"/>
      <c r="AG1453" s="261"/>
    </row>
    <row r="1454" ht="34.5" hidden="1" customHeight="1">
      <c r="A1454" s="111"/>
      <c r="B1454" s="127"/>
      <c r="C1454" s="111"/>
      <c r="D1454" s="111"/>
      <c r="E1454" s="111"/>
      <c r="F1454" s="111"/>
      <c r="G1454" s="111"/>
      <c r="H1454" s="111"/>
      <c r="I1454" s="127"/>
      <c r="J1454" s="111"/>
      <c r="K1454" s="257"/>
      <c r="L1454" s="111"/>
      <c r="M1454" s="127"/>
      <c r="N1454" s="270"/>
      <c r="O1454" s="111"/>
      <c r="P1454" s="111"/>
      <c r="Q1454" s="128"/>
      <c r="R1454" s="124"/>
      <c r="S1454" s="125"/>
      <c r="T1454" s="126"/>
      <c r="U1454" s="126"/>
      <c r="V1454" s="126"/>
      <c r="W1454" s="126"/>
      <c r="X1454" s="126"/>
      <c r="Y1454" s="126"/>
      <c r="Z1454" s="127"/>
      <c r="AA1454" s="127"/>
      <c r="AB1454" s="127"/>
      <c r="AC1454" s="127"/>
      <c r="AD1454" s="261"/>
      <c r="AE1454" s="261"/>
      <c r="AF1454" s="261"/>
      <c r="AG1454" s="261"/>
    </row>
    <row r="1455" ht="34.5" hidden="1" customHeight="1">
      <c r="A1455" s="111"/>
      <c r="B1455" s="127"/>
      <c r="C1455" s="111"/>
      <c r="D1455" s="111"/>
      <c r="E1455" s="111"/>
      <c r="F1455" s="111"/>
      <c r="G1455" s="111"/>
      <c r="H1455" s="111"/>
      <c r="I1455" s="127"/>
      <c r="J1455" s="111"/>
      <c r="K1455" s="257"/>
      <c r="L1455" s="111"/>
      <c r="M1455" s="127"/>
      <c r="N1455" s="270"/>
      <c r="O1455" s="111"/>
      <c r="P1455" s="111"/>
      <c r="Q1455" s="128"/>
      <c r="R1455" s="124"/>
      <c r="S1455" s="125"/>
      <c r="T1455" s="126"/>
      <c r="U1455" s="126"/>
      <c r="V1455" s="126"/>
      <c r="W1455" s="126"/>
      <c r="X1455" s="126"/>
      <c r="Y1455" s="126"/>
      <c r="Z1455" s="127"/>
      <c r="AA1455" s="127"/>
      <c r="AB1455" s="127"/>
      <c r="AC1455" s="127"/>
      <c r="AD1455" s="261"/>
      <c r="AE1455" s="261"/>
      <c r="AF1455" s="261"/>
      <c r="AG1455" s="261"/>
    </row>
    <row r="1456" ht="34.5" hidden="1" customHeight="1">
      <c r="A1456" s="111"/>
      <c r="B1456" s="127"/>
      <c r="C1456" s="111"/>
      <c r="D1456" s="111"/>
      <c r="E1456" s="111"/>
      <c r="F1456" s="111"/>
      <c r="G1456" s="111"/>
      <c r="H1456" s="111"/>
      <c r="I1456" s="127"/>
      <c r="J1456" s="111"/>
      <c r="K1456" s="257"/>
      <c r="L1456" s="111"/>
      <c r="M1456" s="127"/>
      <c r="N1456" s="270"/>
      <c r="O1456" s="111"/>
      <c r="P1456" s="111"/>
      <c r="Q1456" s="128"/>
      <c r="R1456" s="124"/>
      <c r="S1456" s="125"/>
      <c r="T1456" s="126"/>
      <c r="U1456" s="126"/>
      <c r="V1456" s="126"/>
      <c r="W1456" s="126"/>
      <c r="X1456" s="126"/>
      <c r="Y1456" s="126"/>
      <c r="Z1456" s="127"/>
      <c r="AA1456" s="127"/>
      <c r="AB1456" s="127"/>
      <c r="AC1456" s="127"/>
      <c r="AD1456" s="261"/>
      <c r="AE1456" s="261"/>
      <c r="AF1456" s="261"/>
      <c r="AG1456" s="261"/>
    </row>
    <row r="1457" ht="34.5" hidden="1" customHeight="1">
      <c r="A1457" s="111"/>
      <c r="B1457" s="127"/>
      <c r="C1457" s="111"/>
      <c r="D1457" s="111"/>
      <c r="E1457" s="111"/>
      <c r="F1457" s="111"/>
      <c r="G1457" s="111"/>
      <c r="H1457" s="111"/>
      <c r="I1457" s="127"/>
      <c r="J1457" s="111"/>
      <c r="K1457" s="257"/>
      <c r="L1457" s="111"/>
      <c r="M1457" s="127"/>
      <c r="N1457" s="270"/>
      <c r="O1457" s="111"/>
      <c r="P1457" s="111"/>
      <c r="Q1457" s="128"/>
      <c r="R1457" s="124"/>
      <c r="S1457" s="125"/>
      <c r="T1457" s="126"/>
      <c r="U1457" s="126"/>
      <c r="V1457" s="126"/>
      <c r="W1457" s="126"/>
      <c r="X1457" s="126"/>
      <c r="Y1457" s="126"/>
      <c r="Z1457" s="127"/>
      <c r="AA1457" s="127"/>
      <c r="AB1457" s="127"/>
      <c r="AC1457" s="127"/>
      <c r="AD1457" s="261"/>
      <c r="AE1457" s="261"/>
      <c r="AF1457" s="261"/>
      <c r="AG1457" s="261"/>
    </row>
    <row r="1458" ht="34.5" hidden="1" customHeight="1">
      <c r="A1458" s="111"/>
      <c r="B1458" s="127"/>
      <c r="C1458" s="111"/>
      <c r="D1458" s="111"/>
      <c r="E1458" s="111"/>
      <c r="F1458" s="111"/>
      <c r="G1458" s="111"/>
      <c r="H1458" s="111"/>
      <c r="I1458" s="127"/>
      <c r="J1458" s="111"/>
      <c r="K1458" s="257"/>
      <c r="L1458" s="111"/>
      <c r="M1458" s="127"/>
      <c r="N1458" s="270"/>
      <c r="O1458" s="111"/>
      <c r="P1458" s="111"/>
      <c r="Q1458" s="128"/>
      <c r="R1458" s="124"/>
      <c r="S1458" s="125"/>
      <c r="T1458" s="126"/>
      <c r="U1458" s="126"/>
      <c r="V1458" s="126"/>
      <c r="W1458" s="126"/>
      <c r="X1458" s="126"/>
      <c r="Y1458" s="126"/>
      <c r="Z1458" s="127"/>
      <c r="AA1458" s="127"/>
      <c r="AB1458" s="127"/>
      <c r="AC1458" s="127"/>
      <c r="AD1458" s="261"/>
      <c r="AE1458" s="261"/>
      <c r="AF1458" s="261"/>
      <c r="AG1458" s="261"/>
    </row>
    <row r="1459" ht="34.5" hidden="1" customHeight="1">
      <c r="A1459" s="111"/>
      <c r="B1459" s="127"/>
      <c r="C1459" s="111"/>
      <c r="D1459" s="111"/>
      <c r="E1459" s="111"/>
      <c r="F1459" s="111"/>
      <c r="G1459" s="111"/>
      <c r="H1459" s="111"/>
      <c r="I1459" s="127"/>
      <c r="J1459" s="111"/>
      <c r="K1459" s="257"/>
      <c r="L1459" s="111"/>
      <c r="M1459" s="127"/>
      <c r="N1459" s="270"/>
      <c r="O1459" s="111"/>
      <c r="P1459" s="111"/>
      <c r="Q1459" s="128"/>
      <c r="R1459" s="124"/>
      <c r="S1459" s="125"/>
      <c r="T1459" s="126"/>
      <c r="U1459" s="126"/>
      <c r="V1459" s="126"/>
      <c r="W1459" s="126"/>
      <c r="X1459" s="126"/>
      <c r="Y1459" s="126"/>
      <c r="Z1459" s="127"/>
      <c r="AA1459" s="127"/>
      <c r="AB1459" s="127"/>
      <c r="AC1459" s="127"/>
      <c r="AD1459" s="261"/>
      <c r="AE1459" s="261"/>
      <c r="AF1459" s="261"/>
      <c r="AG1459" s="261"/>
    </row>
    <row r="1460" ht="34.5" hidden="1" customHeight="1">
      <c r="A1460" s="111"/>
      <c r="B1460" s="127"/>
      <c r="C1460" s="111"/>
      <c r="D1460" s="111"/>
      <c r="E1460" s="111"/>
      <c r="F1460" s="111"/>
      <c r="G1460" s="111"/>
      <c r="H1460" s="111"/>
      <c r="I1460" s="127"/>
      <c r="J1460" s="111"/>
      <c r="K1460" s="257"/>
      <c r="L1460" s="111"/>
      <c r="M1460" s="127"/>
      <c r="N1460" s="270"/>
      <c r="O1460" s="111"/>
      <c r="P1460" s="111"/>
      <c r="Q1460" s="128"/>
      <c r="R1460" s="124"/>
      <c r="S1460" s="125"/>
      <c r="T1460" s="126"/>
      <c r="U1460" s="126"/>
      <c r="V1460" s="126"/>
      <c r="W1460" s="126"/>
      <c r="X1460" s="126"/>
      <c r="Y1460" s="126"/>
      <c r="Z1460" s="127"/>
      <c r="AA1460" s="127"/>
      <c r="AB1460" s="127"/>
      <c r="AC1460" s="127"/>
      <c r="AD1460" s="261"/>
      <c r="AE1460" s="261"/>
      <c r="AF1460" s="261"/>
      <c r="AG1460" s="261"/>
    </row>
    <row r="1461" ht="34.5" hidden="1" customHeight="1">
      <c r="A1461" s="111"/>
      <c r="B1461" s="127"/>
      <c r="C1461" s="111"/>
      <c r="D1461" s="111"/>
      <c r="E1461" s="111"/>
      <c r="F1461" s="111"/>
      <c r="G1461" s="111"/>
      <c r="H1461" s="111"/>
      <c r="I1461" s="127"/>
      <c r="J1461" s="111"/>
      <c r="K1461" s="257"/>
      <c r="L1461" s="111"/>
      <c r="M1461" s="127"/>
      <c r="N1461" s="270"/>
      <c r="O1461" s="111"/>
      <c r="P1461" s="111"/>
      <c r="Q1461" s="128"/>
      <c r="R1461" s="124"/>
      <c r="S1461" s="125"/>
      <c r="T1461" s="126"/>
      <c r="U1461" s="126"/>
      <c r="V1461" s="126"/>
      <c r="W1461" s="126"/>
      <c r="X1461" s="126"/>
      <c r="Y1461" s="126"/>
      <c r="Z1461" s="127"/>
      <c r="AA1461" s="127"/>
      <c r="AB1461" s="127"/>
      <c r="AC1461" s="127"/>
      <c r="AD1461" s="261"/>
      <c r="AE1461" s="261"/>
      <c r="AF1461" s="261"/>
      <c r="AG1461" s="261"/>
    </row>
    <row r="1462" ht="34.5" hidden="1" customHeight="1">
      <c r="A1462" s="111"/>
      <c r="B1462" s="127"/>
      <c r="C1462" s="111"/>
      <c r="D1462" s="111"/>
      <c r="E1462" s="111"/>
      <c r="F1462" s="111"/>
      <c r="G1462" s="111"/>
      <c r="H1462" s="111"/>
      <c r="I1462" s="127"/>
      <c r="J1462" s="111"/>
      <c r="K1462" s="257"/>
      <c r="L1462" s="111"/>
      <c r="M1462" s="127"/>
      <c r="N1462" s="270"/>
      <c r="O1462" s="111"/>
      <c r="P1462" s="111"/>
      <c r="Q1462" s="128"/>
      <c r="R1462" s="124"/>
      <c r="S1462" s="125"/>
      <c r="T1462" s="126"/>
      <c r="U1462" s="126"/>
      <c r="V1462" s="126"/>
      <c r="W1462" s="126"/>
      <c r="X1462" s="126"/>
      <c r="Y1462" s="126"/>
      <c r="Z1462" s="127"/>
      <c r="AA1462" s="127"/>
      <c r="AB1462" s="127"/>
      <c r="AC1462" s="127"/>
      <c r="AD1462" s="261"/>
      <c r="AE1462" s="261"/>
      <c r="AF1462" s="261"/>
      <c r="AG1462" s="261"/>
    </row>
    <row r="1463" ht="34.5" hidden="1" customHeight="1">
      <c r="A1463" s="111"/>
      <c r="B1463" s="127"/>
      <c r="C1463" s="111"/>
      <c r="D1463" s="111"/>
      <c r="E1463" s="111"/>
      <c r="F1463" s="111"/>
      <c r="G1463" s="111"/>
      <c r="H1463" s="111"/>
      <c r="I1463" s="127"/>
      <c r="J1463" s="111"/>
      <c r="K1463" s="257"/>
      <c r="L1463" s="111"/>
      <c r="M1463" s="127"/>
      <c r="N1463" s="270"/>
      <c r="O1463" s="111"/>
      <c r="P1463" s="111"/>
      <c r="Q1463" s="128"/>
      <c r="R1463" s="124"/>
      <c r="S1463" s="125"/>
      <c r="T1463" s="126"/>
      <c r="U1463" s="126"/>
      <c r="V1463" s="126"/>
      <c r="W1463" s="126"/>
      <c r="X1463" s="126"/>
      <c r="Y1463" s="126"/>
      <c r="Z1463" s="127"/>
      <c r="AA1463" s="127"/>
      <c r="AB1463" s="127"/>
      <c r="AC1463" s="127"/>
      <c r="AD1463" s="261"/>
      <c r="AE1463" s="261"/>
      <c r="AF1463" s="261"/>
      <c r="AG1463" s="261"/>
    </row>
    <row r="1464" ht="34.5" hidden="1" customHeight="1">
      <c r="A1464" s="111"/>
      <c r="B1464" s="127"/>
      <c r="C1464" s="111"/>
      <c r="D1464" s="111"/>
      <c r="E1464" s="111"/>
      <c r="F1464" s="111"/>
      <c r="G1464" s="111"/>
      <c r="H1464" s="111"/>
      <c r="I1464" s="127"/>
      <c r="J1464" s="111"/>
      <c r="K1464" s="257"/>
      <c r="L1464" s="111"/>
      <c r="M1464" s="127"/>
      <c r="N1464" s="270"/>
      <c r="O1464" s="111"/>
      <c r="P1464" s="111"/>
      <c r="Q1464" s="128"/>
      <c r="R1464" s="124"/>
      <c r="S1464" s="125"/>
      <c r="T1464" s="126"/>
      <c r="U1464" s="126"/>
      <c r="V1464" s="126"/>
      <c r="W1464" s="126"/>
      <c r="X1464" s="126"/>
      <c r="Y1464" s="126"/>
      <c r="Z1464" s="127"/>
      <c r="AA1464" s="127"/>
      <c r="AB1464" s="127"/>
      <c r="AC1464" s="127"/>
      <c r="AD1464" s="261"/>
      <c r="AE1464" s="261"/>
      <c r="AF1464" s="261"/>
      <c r="AG1464" s="261"/>
    </row>
    <row r="1465" ht="34.5" hidden="1" customHeight="1">
      <c r="A1465" s="111"/>
      <c r="B1465" s="127"/>
      <c r="C1465" s="111"/>
      <c r="D1465" s="111"/>
      <c r="E1465" s="111"/>
      <c r="F1465" s="111"/>
      <c r="G1465" s="111"/>
      <c r="H1465" s="111"/>
      <c r="I1465" s="127"/>
      <c r="J1465" s="111"/>
      <c r="K1465" s="257"/>
      <c r="L1465" s="111"/>
      <c r="M1465" s="127"/>
      <c r="N1465" s="270"/>
      <c r="O1465" s="111"/>
      <c r="P1465" s="111"/>
      <c r="Q1465" s="128"/>
      <c r="R1465" s="124"/>
      <c r="S1465" s="125"/>
      <c r="T1465" s="126"/>
      <c r="U1465" s="126"/>
      <c r="V1465" s="126"/>
      <c r="W1465" s="126"/>
      <c r="X1465" s="126"/>
      <c r="Y1465" s="126"/>
      <c r="Z1465" s="127"/>
      <c r="AA1465" s="127"/>
      <c r="AB1465" s="127"/>
      <c r="AC1465" s="127"/>
      <c r="AD1465" s="261"/>
      <c r="AE1465" s="261"/>
      <c r="AF1465" s="261"/>
      <c r="AG1465" s="261"/>
    </row>
    <row r="1466" ht="34.5" hidden="1" customHeight="1">
      <c r="A1466" s="111"/>
      <c r="B1466" s="127"/>
      <c r="C1466" s="111"/>
      <c r="D1466" s="111"/>
      <c r="E1466" s="111"/>
      <c r="F1466" s="111"/>
      <c r="G1466" s="111"/>
      <c r="H1466" s="111"/>
      <c r="I1466" s="127"/>
      <c r="J1466" s="111"/>
      <c r="K1466" s="257"/>
      <c r="L1466" s="111"/>
      <c r="M1466" s="127"/>
      <c r="N1466" s="270"/>
      <c r="O1466" s="111"/>
      <c r="P1466" s="111"/>
      <c r="Q1466" s="128"/>
      <c r="R1466" s="124"/>
      <c r="S1466" s="125"/>
      <c r="T1466" s="126"/>
      <c r="U1466" s="126"/>
      <c r="V1466" s="126"/>
      <c r="W1466" s="126"/>
      <c r="X1466" s="126"/>
      <c r="Y1466" s="126"/>
      <c r="Z1466" s="127"/>
      <c r="AA1466" s="127"/>
      <c r="AB1466" s="127"/>
      <c r="AC1466" s="127"/>
      <c r="AD1466" s="261"/>
      <c r="AE1466" s="261"/>
      <c r="AF1466" s="261"/>
      <c r="AG1466" s="261"/>
    </row>
    <row r="1467" ht="34.5" hidden="1" customHeight="1">
      <c r="A1467" s="111"/>
      <c r="B1467" s="127"/>
      <c r="C1467" s="111"/>
      <c r="D1467" s="111"/>
      <c r="E1467" s="111"/>
      <c r="F1467" s="111"/>
      <c r="G1467" s="111"/>
      <c r="H1467" s="111"/>
      <c r="I1467" s="127"/>
      <c r="J1467" s="111"/>
      <c r="K1467" s="257"/>
      <c r="L1467" s="111"/>
      <c r="M1467" s="127"/>
      <c r="N1467" s="270"/>
      <c r="O1467" s="111"/>
      <c r="P1467" s="111"/>
      <c r="Q1467" s="128"/>
      <c r="R1467" s="124"/>
      <c r="S1467" s="125"/>
      <c r="T1467" s="126"/>
      <c r="U1467" s="126"/>
      <c r="V1467" s="126"/>
      <c r="W1467" s="126"/>
      <c r="X1467" s="126"/>
      <c r="Y1467" s="126"/>
      <c r="Z1467" s="127"/>
      <c r="AA1467" s="127"/>
      <c r="AB1467" s="127"/>
      <c r="AC1467" s="127"/>
      <c r="AD1467" s="261"/>
      <c r="AE1467" s="261"/>
      <c r="AF1467" s="261"/>
      <c r="AG1467" s="261"/>
    </row>
    <row r="1468" ht="34.5" hidden="1" customHeight="1">
      <c r="A1468" s="111"/>
      <c r="B1468" s="127"/>
      <c r="C1468" s="111"/>
      <c r="D1468" s="111"/>
      <c r="E1468" s="111"/>
      <c r="F1468" s="111"/>
      <c r="G1468" s="111"/>
      <c r="H1468" s="111"/>
      <c r="I1468" s="127"/>
      <c r="J1468" s="111"/>
      <c r="K1468" s="257"/>
      <c r="L1468" s="111"/>
      <c r="M1468" s="127"/>
      <c r="N1468" s="270"/>
      <c r="O1468" s="111"/>
      <c r="P1468" s="111"/>
      <c r="Q1468" s="128"/>
      <c r="R1468" s="124"/>
      <c r="S1468" s="125"/>
      <c r="T1468" s="126"/>
      <c r="U1468" s="126"/>
      <c r="V1468" s="126"/>
      <c r="W1468" s="126"/>
      <c r="X1468" s="126"/>
      <c r="Y1468" s="126"/>
      <c r="Z1468" s="127"/>
      <c r="AA1468" s="127"/>
      <c r="AB1468" s="127"/>
      <c r="AC1468" s="127"/>
      <c r="AD1468" s="261"/>
      <c r="AE1468" s="261"/>
      <c r="AF1468" s="261"/>
      <c r="AG1468" s="261"/>
    </row>
    <row r="1469" ht="34.5" hidden="1" customHeight="1">
      <c r="A1469" s="111"/>
      <c r="B1469" s="127"/>
      <c r="C1469" s="111"/>
      <c r="D1469" s="111"/>
      <c r="E1469" s="111"/>
      <c r="F1469" s="111"/>
      <c r="G1469" s="111"/>
      <c r="H1469" s="111"/>
      <c r="I1469" s="127"/>
      <c r="J1469" s="111"/>
      <c r="K1469" s="257"/>
      <c r="L1469" s="111"/>
      <c r="M1469" s="127"/>
      <c r="N1469" s="270"/>
      <c r="O1469" s="111"/>
      <c r="P1469" s="111"/>
      <c r="Q1469" s="128"/>
      <c r="R1469" s="124"/>
      <c r="S1469" s="125"/>
      <c r="T1469" s="126"/>
      <c r="U1469" s="126"/>
      <c r="V1469" s="126"/>
      <c r="W1469" s="126"/>
      <c r="X1469" s="126"/>
      <c r="Y1469" s="126"/>
      <c r="Z1469" s="127"/>
      <c r="AA1469" s="127"/>
      <c r="AB1469" s="127"/>
      <c r="AC1469" s="127"/>
      <c r="AD1469" s="261"/>
      <c r="AE1469" s="261"/>
      <c r="AF1469" s="261"/>
      <c r="AG1469" s="261"/>
    </row>
    <row r="1470" ht="34.5" hidden="1" customHeight="1">
      <c r="A1470" s="111"/>
      <c r="B1470" s="127"/>
      <c r="C1470" s="111"/>
      <c r="D1470" s="111"/>
      <c r="E1470" s="111"/>
      <c r="F1470" s="111"/>
      <c r="G1470" s="111"/>
      <c r="H1470" s="111"/>
      <c r="I1470" s="127"/>
      <c r="J1470" s="111"/>
      <c r="K1470" s="257"/>
      <c r="L1470" s="111"/>
      <c r="M1470" s="127"/>
      <c r="N1470" s="270"/>
      <c r="O1470" s="111"/>
      <c r="P1470" s="111"/>
      <c r="Q1470" s="128"/>
      <c r="R1470" s="124"/>
      <c r="S1470" s="125"/>
      <c r="T1470" s="126"/>
      <c r="U1470" s="126"/>
      <c r="V1470" s="126"/>
      <c r="W1470" s="126"/>
      <c r="X1470" s="126"/>
      <c r="Y1470" s="126"/>
      <c r="Z1470" s="127"/>
      <c r="AA1470" s="127"/>
      <c r="AB1470" s="127"/>
      <c r="AC1470" s="127"/>
      <c r="AD1470" s="261"/>
      <c r="AE1470" s="261"/>
      <c r="AF1470" s="261"/>
      <c r="AG1470" s="261"/>
    </row>
    <row r="1471" ht="34.5" hidden="1" customHeight="1">
      <c r="A1471" s="111"/>
      <c r="B1471" s="127"/>
      <c r="C1471" s="111"/>
      <c r="D1471" s="111"/>
      <c r="E1471" s="111"/>
      <c r="F1471" s="111"/>
      <c r="G1471" s="111"/>
      <c r="H1471" s="111"/>
      <c r="I1471" s="127"/>
      <c r="J1471" s="111"/>
      <c r="K1471" s="257"/>
      <c r="L1471" s="111"/>
      <c r="M1471" s="127"/>
      <c r="N1471" s="270"/>
      <c r="O1471" s="111"/>
      <c r="P1471" s="111"/>
      <c r="Q1471" s="128"/>
      <c r="R1471" s="124"/>
      <c r="S1471" s="125"/>
      <c r="T1471" s="126"/>
      <c r="U1471" s="126"/>
      <c r="V1471" s="126"/>
      <c r="W1471" s="126"/>
      <c r="X1471" s="126"/>
      <c r="Y1471" s="126"/>
      <c r="Z1471" s="127"/>
      <c r="AA1471" s="127"/>
      <c r="AB1471" s="127"/>
      <c r="AC1471" s="127"/>
      <c r="AD1471" s="261"/>
      <c r="AE1471" s="261"/>
      <c r="AF1471" s="261"/>
      <c r="AG1471" s="261"/>
    </row>
    <row r="1472" ht="34.5" hidden="1" customHeight="1">
      <c r="A1472" s="111"/>
      <c r="B1472" s="127"/>
      <c r="C1472" s="111"/>
      <c r="D1472" s="111"/>
      <c r="E1472" s="111"/>
      <c r="F1472" s="111"/>
      <c r="G1472" s="111"/>
      <c r="H1472" s="111"/>
      <c r="I1472" s="127"/>
      <c r="J1472" s="111"/>
      <c r="K1472" s="257"/>
      <c r="L1472" s="111"/>
      <c r="M1472" s="127"/>
      <c r="N1472" s="270"/>
      <c r="O1472" s="111"/>
      <c r="P1472" s="111"/>
      <c r="Q1472" s="128"/>
      <c r="R1472" s="124"/>
      <c r="S1472" s="125"/>
      <c r="T1472" s="126"/>
      <c r="U1472" s="126"/>
      <c r="V1472" s="126"/>
      <c r="W1472" s="126"/>
      <c r="X1472" s="126"/>
      <c r="Y1472" s="126"/>
      <c r="Z1472" s="127"/>
      <c r="AA1472" s="127"/>
      <c r="AB1472" s="127"/>
      <c r="AC1472" s="127"/>
      <c r="AD1472" s="261"/>
      <c r="AE1472" s="261"/>
      <c r="AF1472" s="261"/>
      <c r="AG1472" s="261"/>
    </row>
    <row r="1473" ht="34.5" hidden="1" customHeight="1">
      <c r="A1473" s="111"/>
      <c r="B1473" s="127"/>
      <c r="C1473" s="111"/>
      <c r="D1473" s="111"/>
      <c r="E1473" s="111"/>
      <c r="F1473" s="111"/>
      <c r="G1473" s="111"/>
      <c r="H1473" s="111"/>
      <c r="I1473" s="127"/>
      <c r="J1473" s="111"/>
      <c r="K1473" s="257"/>
      <c r="L1473" s="111"/>
      <c r="M1473" s="127"/>
      <c r="N1473" s="270"/>
      <c r="O1473" s="111"/>
      <c r="P1473" s="111"/>
      <c r="Q1473" s="128"/>
      <c r="R1473" s="124"/>
      <c r="S1473" s="125"/>
      <c r="T1473" s="126"/>
      <c r="U1473" s="126"/>
      <c r="V1473" s="126"/>
      <c r="W1473" s="126"/>
      <c r="X1473" s="126"/>
      <c r="Y1473" s="126"/>
      <c r="Z1473" s="127"/>
      <c r="AA1473" s="127"/>
      <c r="AB1473" s="127"/>
      <c r="AC1473" s="127"/>
      <c r="AD1473" s="261"/>
      <c r="AE1473" s="261"/>
      <c r="AF1473" s="261"/>
      <c r="AG1473" s="261"/>
    </row>
    <row r="1474" ht="34.5" hidden="1" customHeight="1">
      <c r="A1474" s="111"/>
      <c r="B1474" s="127"/>
      <c r="C1474" s="111"/>
      <c r="D1474" s="111"/>
      <c r="E1474" s="111"/>
      <c r="F1474" s="111"/>
      <c r="G1474" s="111"/>
      <c r="H1474" s="111"/>
      <c r="I1474" s="127"/>
      <c r="J1474" s="111"/>
      <c r="K1474" s="257"/>
      <c r="L1474" s="111"/>
      <c r="M1474" s="127"/>
      <c r="N1474" s="270"/>
      <c r="O1474" s="111"/>
      <c r="P1474" s="111"/>
      <c r="Q1474" s="128"/>
      <c r="R1474" s="124"/>
      <c r="S1474" s="125"/>
      <c r="T1474" s="126"/>
      <c r="U1474" s="126"/>
      <c r="V1474" s="126"/>
      <c r="W1474" s="126"/>
      <c r="X1474" s="126"/>
      <c r="Y1474" s="126"/>
      <c r="Z1474" s="127"/>
      <c r="AA1474" s="127"/>
      <c r="AB1474" s="127"/>
      <c r="AC1474" s="127"/>
      <c r="AD1474" s="261"/>
      <c r="AE1474" s="261"/>
      <c r="AF1474" s="261"/>
      <c r="AG1474" s="261"/>
    </row>
    <row r="1475" ht="34.5" hidden="1" customHeight="1">
      <c r="A1475" s="111"/>
      <c r="B1475" s="127"/>
      <c r="C1475" s="111"/>
      <c r="D1475" s="111"/>
      <c r="E1475" s="111"/>
      <c r="F1475" s="111"/>
      <c r="G1475" s="111"/>
      <c r="H1475" s="111"/>
      <c r="I1475" s="127"/>
      <c r="J1475" s="111"/>
      <c r="K1475" s="257"/>
      <c r="L1475" s="111"/>
      <c r="M1475" s="127"/>
      <c r="N1475" s="270"/>
      <c r="O1475" s="111"/>
      <c r="P1475" s="111"/>
      <c r="Q1475" s="128"/>
      <c r="R1475" s="124"/>
      <c r="S1475" s="125"/>
      <c r="T1475" s="126"/>
      <c r="U1475" s="126"/>
      <c r="V1475" s="126"/>
      <c r="W1475" s="126"/>
      <c r="X1475" s="126"/>
      <c r="Y1475" s="126"/>
      <c r="Z1475" s="127"/>
      <c r="AA1475" s="127"/>
      <c r="AB1475" s="127"/>
      <c r="AC1475" s="127"/>
      <c r="AD1475" s="261"/>
      <c r="AE1475" s="261"/>
      <c r="AF1475" s="261"/>
      <c r="AG1475" s="261"/>
    </row>
    <row r="1476" ht="34.5" hidden="1" customHeight="1">
      <c r="A1476" s="111"/>
      <c r="B1476" s="127"/>
      <c r="C1476" s="111"/>
      <c r="D1476" s="111"/>
      <c r="E1476" s="111"/>
      <c r="F1476" s="111"/>
      <c r="G1476" s="111"/>
      <c r="H1476" s="111"/>
      <c r="I1476" s="127"/>
      <c r="J1476" s="111"/>
      <c r="K1476" s="257"/>
      <c r="L1476" s="111"/>
      <c r="M1476" s="127"/>
      <c r="N1476" s="270"/>
      <c r="O1476" s="111"/>
      <c r="P1476" s="111"/>
      <c r="Q1476" s="128"/>
      <c r="R1476" s="124"/>
      <c r="S1476" s="125"/>
      <c r="T1476" s="126"/>
      <c r="U1476" s="126"/>
      <c r="V1476" s="126"/>
      <c r="W1476" s="126"/>
      <c r="X1476" s="126"/>
      <c r="Y1476" s="126"/>
      <c r="Z1476" s="127"/>
      <c r="AA1476" s="127"/>
      <c r="AB1476" s="127"/>
      <c r="AC1476" s="127"/>
      <c r="AD1476" s="261"/>
      <c r="AE1476" s="261"/>
      <c r="AF1476" s="261"/>
      <c r="AG1476" s="261"/>
    </row>
    <row r="1477" ht="34.5" hidden="1" customHeight="1">
      <c r="A1477" s="111"/>
      <c r="B1477" s="127"/>
      <c r="C1477" s="111"/>
      <c r="D1477" s="111"/>
      <c r="E1477" s="111"/>
      <c r="F1477" s="111"/>
      <c r="G1477" s="111"/>
      <c r="H1477" s="111"/>
      <c r="I1477" s="127"/>
      <c r="J1477" s="111"/>
      <c r="K1477" s="257"/>
      <c r="L1477" s="111"/>
      <c r="M1477" s="127"/>
      <c r="N1477" s="270"/>
      <c r="O1477" s="111"/>
      <c r="P1477" s="111"/>
      <c r="Q1477" s="128"/>
      <c r="R1477" s="124"/>
      <c r="S1477" s="125"/>
      <c r="T1477" s="126"/>
      <c r="U1477" s="126"/>
      <c r="V1477" s="126"/>
      <c r="W1477" s="126"/>
      <c r="X1477" s="126"/>
      <c r="Y1477" s="126"/>
      <c r="Z1477" s="127"/>
      <c r="AA1477" s="127"/>
      <c r="AB1477" s="127"/>
      <c r="AC1477" s="127"/>
      <c r="AD1477" s="261"/>
      <c r="AE1477" s="261"/>
      <c r="AF1477" s="261"/>
      <c r="AG1477" s="261"/>
    </row>
    <row r="1478" ht="34.5" hidden="1" customHeight="1">
      <c r="A1478" s="111"/>
      <c r="B1478" s="127"/>
      <c r="C1478" s="111"/>
      <c r="D1478" s="111"/>
      <c r="E1478" s="111"/>
      <c r="F1478" s="111"/>
      <c r="G1478" s="111"/>
      <c r="H1478" s="111"/>
      <c r="I1478" s="127"/>
      <c r="J1478" s="111"/>
      <c r="K1478" s="257"/>
      <c r="L1478" s="111"/>
      <c r="M1478" s="127"/>
      <c r="N1478" s="270"/>
      <c r="O1478" s="111"/>
      <c r="P1478" s="111"/>
      <c r="Q1478" s="128"/>
      <c r="R1478" s="124"/>
      <c r="S1478" s="125"/>
      <c r="T1478" s="126"/>
      <c r="U1478" s="126"/>
      <c r="V1478" s="126"/>
      <c r="W1478" s="126"/>
      <c r="X1478" s="126"/>
      <c r="Y1478" s="126"/>
      <c r="Z1478" s="127"/>
      <c r="AA1478" s="127"/>
      <c r="AB1478" s="127"/>
      <c r="AC1478" s="127"/>
      <c r="AD1478" s="261"/>
      <c r="AE1478" s="261"/>
      <c r="AF1478" s="261"/>
      <c r="AG1478" s="261"/>
    </row>
    <row r="1479" ht="34.5" hidden="1" customHeight="1">
      <c r="A1479" s="111"/>
      <c r="B1479" s="127"/>
      <c r="C1479" s="111"/>
      <c r="D1479" s="111"/>
      <c r="E1479" s="111"/>
      <c r="F1479" s="111"/>
      <c r="G1479" s="111"/>
      <c r="H1479" s="111"/>
      <c r="I1479" s="127"/>
      <c r="J1479" s="111"/>
      <c r="K1479" s="257"/>
      <c r="L1479" s="111"/>
      <c r="M1479" s="127"/>
      <c r="N1479" s="270"/>
      <c r="O1479" s="111"/>
      <c r="P1479" s="111"/>
      <c r="Q1479" s="128"/>
      <c r="R1479" s="124"/>
      <c r="S1479" s="125"/>
      <c r="T1479" s="126"/>
      <c r="U1479" s="126"/>
      <c r="V1479" s="126"/>
      <c r="W1479" s="126"/>
      <c r="X1479" s="126"/>
      <c r="Y1479" s="126"/>
      <c r="Z1479" s="127"/>
      <c r="AA1479" s="127"/>
      <c r="AB1479" s="127"/>
      <c r="AC1479" s="127"/>
      <c r="AD1479" s="261"/>
      <c r="AE1479" s="261"/>
      <c r="AF1479" s="261"/>
      <c r="AG1479" s="261"/>
    </row>
    <row r="1480" ht="34.5" hidden="1" customHeight="1">
      <c r="A1480" s="111"/>
      <c r="B1480" s="127"/>
      <c r="C1480" s="111"/>
      <c r="D1480" s="111"/>
      <c r="E1480" s="111"/>
      <c r="F1480" s="111"/>
      <c r="G1480" s="111"/>
      <c r="H1480" s="111"/>
      <c r="I1480" s="127"/>
      <c r="J1480" s="111"/>
      <c r="K1480" s="257"/>
      <c r="L1480" s="111"/>
      <c r="M1480" s="127"/>
      <c r="N1480" s="270"/>
      <c r="O1480" s="111"/>
      <c r="P1480" s="111"/>
      <c r="Q1480" s="128"/>
      <c r="R1480" s="124"/>
      <c r="S1480" s="125"/>
      <c r="T1480" s="126"/>
      <c r="U1480" s="126"/>
      <c r="V1480" s="126"/>
      <c r="W1480" s="126"/>
      <c r="X1480" s="126"/>
      <c r="Y1480" s="126"/>
      <c r="Z1480" s="127"/>
      <c r="AA1480" s="127"/>
      <c r="AB1480" s="127"/>
      <c r="AC1480" s="127"/>
      <c r="AD1480" s="261"/>
      <c r="AE1480" s="261"/>
      <c r="AF1480" s="261"/>
      <c r="AG1480" s="261"/>
    </row>
    <row r="1481" ht="34.5" hidden="1" customHeight="1">
      <c r="A1481" s="111"/>
      <c r="B1481" s="127"/>
      <c r="C1481" s="111"/>
      <c r="D1481" s="111"/>
      <c r="E1481" s="111"/>
      <c r="F1481" s="111"/>
      <c r="G1481" s="111"/>
      <c r="H1481" s="111"/>
      <c r="I1481" s="127"/>
      <c r="J1481" s="111"/>
      <c r="K1481" s="257"/>
      <c r="L1481" s="111"/>
      <c r="M1481" s="127"/>
      <c r="N1481" s="270"/>
      <c r="O1481" s="111"/>
      <c r="P1481" s="111"/>
      <c r="Q1481" s="128"/>
      <c r="R1481" s="124"/>
      <c r="S1481" s="125"/>
      <c r="T1481" s="126"/>
      <c r="U1481" s="126"/>
      <c r="V1481" s="126"/>
      <c r="W1481" s="126"/>
      <c r="X1481" s="126"/>
      <c r="Y1481" s="126"/>
      <c r="Z1481" s="127"/>
      <c r="AA1481" s="127"/>
      <c r="AB1481" s="127"/>
      <c r="AC1481" s="127"/>
      <c r="AD1481" s="261"/>
      <c r="AE1481" s="261"/>
      <c r="AF1481" s="261"/>
      <c r="AG1481" s="261"/>
    </row>
    <row r="1482" ht="34.5" hidden="1" customHeight="1">
      <c r="A1482" s="111"/>
      <c r="B1482" s="127"/>
      <c r="C1482" s="111"/>
      <c r="D1482" s="111"/>
      <c r="E1482" s="111"/>
      <c r="F1482" s="111"/>
      <c r="G1482" s="111"/>
      <c r="H1482" s="111"/>
      <c r="I1482" s="127"/>
      <c r="J1482" s="111"/>
      <c r="K1482" s="257"/>
      <c r="L1482" s="111"/>
      <c r="M1482" s="127"/>
      <c r="N1482" s="270"/>
      <c r="O1482" s="111"/>
      <c r="P1482" s="111"/>
      <c r="Q1482" s="128"/>
      <c r="R1482" s="124"/>
      <c r="S1482" s="125"/>
      <c r="T1482" s="126"/>
      <c r="U1482" s="126"/>
      <c r="V1482" s="126"/>
      <c r="W1482" s="126"/>
      <c r="X1482" s="126"/>
      <c r="Y1482" s="126"/>
      <c r="Z1482" s="127"/>
      <c r="AA1482" s="127"/>
      <c r="AB1482" s="127"/>
      <c r="AC1482" s="127"/>
      <c r="AD1482" s="261"/>
      <c r="AE1482" s="261"/>
      <c r="AF1482" s="261"/>
      <c r="AG1482" s="261"/>
    </row>
    <row r="1483" ht="34.5" hidden="1" customHeight="1">
      <c r="A1483" s="111"/>
      <c r="B1483" s="127"/>
      <c r="C1483" s="111"/>
      <c r="D1483" s="111"/>
      <c r="E1483" s="111"/>
      <c r="F1483" s="111"/>
      <c r="G1483" s="111"/>
      <c r="H1483" s="111"/>
      <c r="I1483" s="127"/>
      <c r="J1483" s="111"/>
      <c r="K1483" s="257"/>
      <c r="L1483" s="111"/>
      <c r="M1483" s="127"/>
      <c r="N1483" s="270"/>
      <c r="O1483" s="111"/>
      <c r="P1483" s="111"/>
      <c r="Q1483" s="128"/>
      <c r="R1483" s="124"/>
      <c r="S1483" s="125"/>
      <c r="T1483" s="126"/>
      <c r="U1483" s="126"/>
      <c r="V1483" s="126"/>
      <c r="W1483" s="126"/>
      <c r="X1483" s="126"/>
      <c r="Y1483" s="126"/>
      <c r="Z1483" s="127"/>
      <c r="AA1483" s="127"/>
      <c r="AB1483" s="127"/>
      <c r="AC1483" s="127"/>
      <c r="AD1483" s="261"/>
      <c r="AE1483" s="261"/>
      <c r="AF1483" s="261"/>
      <c r="AG1483" s="261"/>
    </row>
    <row r="1484" ht="34.5" hidden="1" customHeight="1">
      <c r="A1484" s="111"/>
      <c r="B1484" s="127"/>
      <c r="C1484" s="111"/>
      <c r="D1484" s="111"/>
      <c r="E1484" s="111"/>
      <c r="F1484" s="111"/>
      <c r="G1484" s="111"/>
      <c r="H1484" s="111"/>
      <c r="I1484" s="127"/>
      <c r="J1484" s="111"/>
      <c r="K1484" s="257"/>
      <c r="L1484" s="111"/>
      <c r="M1484" s="127"/>
      <c r="N1484" s="270"/>
      <c r="O1484" s="111"/>
      <c r="P1484" s="111"/>
      <c r="Q1484" s="128"/>
      <c r="R1484" s="124"/>
      <c r="S1484" s="125"/>
      <c r="T1484" s="126"/>
      <c r="U1484" s="126"/>
      <c r="V1484" s="126"/>
      <c r="W1484" s="126"/>
      <c r="X1484" s="126"/>
      <c r="Y1484" s="126"/>
      <c r="Z1484" s="127"/>
      <c r="AA1484" s="127"/>
      <c r="AB1484" s="127"/>
      <c r="AC1484" s="127"/>
      <c r="AD1484" s="261"/>
      <c r="AE1484" s="261"/>
      <c r="AF1484" s="261"/>
      <c r="AG1484" s="261"/>
    </row>
    <row r="1485" ht="34.5" hidden="1" customHeight="1">
      <c r="A1485" s="111"/>
      <c r="B1485" s="127"/>
      <c r="C1485" s="111"/>
      <c r="D1485" s="111"/>
      <c r="E1485" s="111"/>
      <c r="F1485" s="111"/>
      <c r="G1485" s="111"/>
      <c r="H1485" s="111"/>
      <c r="I1485" s="127"/>
      <c r="J1485" s="111"/>
      <c r="K1485" s="257"/>
      <c r="L1485" s="111"/>
      <c r="M1485" s="127"/>
      <c r="N1485" s="270"/>
      <c r="O1485" s="111"/>
      <c r="P1485" s="111"/>
      <c r="Q1485" s="128"/>
      <c r="R1485" s="124"/>
      <c r="S1485" s="125"/>
      <c r="T1485" s="126"/>
      <c r="U1485" s="126"/>
      <c r="V1485" s="126"/>
      <c r="W1485" s="126"/>
      <c r="X1485" s="126"/>
      <c r="Y1485" s="126"/>
      <c r="Z1485" s="127"/>
      <c r="AA1485" s="127"/>
      <c r="AB1485" s="127"/>
      <c r="AC1485" s="127"/>
      <c r="AD1485" s="261"/>
      <c r="AE1485" s="261"/>
      <c r="AF1485" s="261"/>
      <c r="AG1485" s="261"/>
    </row>
    <row r="1486" ht="34.5" hidden="1" customHeight="1">
      <c r="A1486" s="111"/>
      <c r="B1486" s="127"/>
      <c r="C1486" s="111"/>
      <c r="D1486" s="111"/>
      <c r="E1486" s="111"/>
      <c r="F1486" s="111"/>
      <c r="G1486" s="111"/>
      <c r="H1486" s="111"/>
      <c r="I1486" s="127"/>
      <c r="J1486" s="111"/>
      <c r="K1486" s="257"/>
      <c r="L1486" s="111"/>
      <c r="M1486" s="127"/>
      <c r="N1486" s="270"/>
      <c r="O1486" s="111"/>
      <c r="P1486" s="111"/>
      <c r="Q1486" s="128"/>
      <c r="R1486" s="124"/>
      <c r="S1486" s="125"/>
      <c r="T1486" s="126"/>
      <c r="U1486" s="126"/>
      <c r="V1486" s="126"/>
      <c r="W1486" s="126"/>
      <c r="X1486" s="126"/>
      <c r="Y1486" s="126"/>
      <c r="Z1486" s="127"/>
      <c r="AA1486" s="127"/>
      <c r="AB1486" s="127"/>
      <c r="AC1486" s="127"/>
      <c r="AD1486" s="261"/>
      <c r="AE1486" s="261"/>
      <c r="AF1486" s="261"/>
      <c r="AG1486" s="261"/>
    </row>
    <row r="1487" ht="34.5" hidden="1" customHeight="1">
      <c r="A1487" s="111"/>
      <c r="B1487" s="127"/>
      <c r="C1487" s="111"/>
      <c r="D1487" s="111"/>
      <c r="E1487" s="111"/>
      <c r="F1487" s="111"/>
      <c r="G1487" s="111"/>
      <c r="H1487" s="111"/>
      <c r="I1487" s="127"/>
      <c r="J1487" s="111"/>
      <c r="K1487" s="257"/>
      <c r="L1487" s="111"/>
      <c r="M1487" s="127"/>
      <c r="N1487" s="270"/>
      <c r="O1487" s="111"/>
      <c r="P1487" s="111"/>
      <c r="Q1487" s="128"/>
      <c r="R1487" s="124"/>
      <c r="S1487" s="125"/>
      <c r="T1487" s="126"/>
      <c r="U1487" s="126"/>
      <c r="V1487" s="126"/>
      <c r="W1487" s="126"/>
      <c r="X1487" s="126"/>
      <c r="Y1487" s="126"/>
      <c r="Z1487" s="127"/>
      <c r="AA1487" s="127"/>
      <c r="AB1487" s="127"/>
      <c r="AC1487" s="127"/>
      <c r="AD1487" s="261"/>
      <c r="AE1487" s="261"/>
      <c r="AF1487" s="261"/>
      <c r="AG1487" s="261"/>
    </row>
    <row r="1488" ht="34.5" hidden="1" customHeight="1">
      <c r="A1488" s="111"/>
      <c r="B1488" s="127"/>
      <c r="C1488" s="111"/>
      <c r="D1488" s="111"/>
      <c r="E1488" s="111"/>
      <c r="F1488" s="111"/>
      <c r="G1488" s="111"/>
      <c r="H1488" s="111"/>
      <c r="I1488" s="127"/>
      <c r="J1488" s="111"/>
      <c r="K1488" s="257"/>
      <c r="L1488" s="111"/>
      <c r="M1488" s="127"/>
      <c r="N1488" s="270"/>
      <c r="O1488" s="111"/>
      <c r="P1488" s="111"/>
      <c r="Q1488" s="128"/>
      <c r="R1488" s="124"/>
      <c r="S1488" s="125"/>
      <c r="T1488" s="126"/>
      <c r="U1488" s="126"/>
      <c r="V1488" s="126"/>
      <c r="W1488" s="126"/>
      <c r="X1488" s="126"/>
      <c r="Y1488" s="126"/>
      <c r="Z1488" s="127"/>
      <c r="AA1488" s="127"/>
      <c r="AB1488" s="127"/>
      <c r="AC1488" s="127"/>
      <c r="AD1488" s="261"/>
      <c r="AE1488" s="261"/>
      <c r="AF1488" s="261"/>
      <c r="AG1488" s="261"/>
    </row>
    <row r="1489" ht="34.5" hidden="1" customHeight="1">
      <c r="A1489" s="111"/>
      <c r="B1489" s="127"/>
      <c r="C1489" s="111"/>
      <c r="D1489" s="111"/>
      <c r="E1489" s="111"/>
      <c r="F1489" s="111"/>
      <c r="G1489" s="111"/>
      <c r="H1489" s="111"/>
      <c r="I1489" s="127"/>
      <c r="J1489" s="111"/>
      <c r="K1489" s="257"/>
      <c r="L1489" s="111"/>
      <c r="M1489" s="127"/>
      <c r="N1489" s="270"/>
      <c r="O1489" s="111"/>
      <c r="P1489" s="111"/>
      <c r="Q1489" s="128"/>
      <c r="R1489" s="124"/>
      <c r="S1489" s="125"/>
      <c r="T1489" s="126"/>
      <c r="U1489" s="126"/>
      <c r="V1489" s="126"/>
      <c r="W1489" s="126"/>
      <c r="X1489" s="126"/>
      <c r="Y1489" s="126"/>
      <c r="Z1489" s="127"/>
      <c r="AA1489" s="127"/>
      <c r="AB1489" s="127"/>
      <c r="AC1489" s="127"/>
      <c r="AD1489" s="261"/>
      <c r="AE1489" s="261"/>
      <c r="AF1489" s="261"/>
      <c r="AG1489" s="261"/>
    </row>
    <row r="1490" ht="34.5" hidden="1" customHeight="1">
      <c r="A1490" s="111"/>
      <c r="B1490" s="127"/>
      <c r="C1490" s="111"/>
      <c r="D1490" s="111"/>
      <c r="E1490" s="111"/>
      <c r="F1490" s="111"/>
      <c r="G1490" s="111"/>
      <c r="H1490" s="111"/>
      <c r="I1490" s="127"/>
      <c r="J1490" s="111"/>
      <c r="K1490" s="257"/>
      <c r="L1490" s="111"/>
      <c r="M1490" s="127"/>
      <c r="N1490" s="270"/>
      <c r="O1490" s="111"/>
      <c r="P1490" s="111"/>
      <c r="Q1490" s="128"/>
      <c r="R1490" s="124"/>
      <c r="S1490" s="125"/>
      <c r="T1490" s="126"/>
      <c r="U1490" s="126"/>
      <c r="V1490" s="126"/>
      <c r="W1490" s="126"/>
      <c r="X1490" s="126"/>
      <c r="Y1490" s="126"/>
      <c r="Z1490" s="127"/>
      <c r="AA1490" s="127"/>
      <c r="AB1490" s="127"/>
      <c r="AC1490" s="127"/>
      <c r="AD1490" s="261"/>
      <c r="AE1490" s="261"/>
      <c r="AF1490" s="261"/>
      <c r="AG1490" s="261"/>
    </row>
    <row r="1491" ht="34.5" hidden="1" customHeight="1">
      <c r="A1491" s="111"/>
      <c r="B1491" s="127"/>
      <c r="C1491" s="111"/>
      <c r="D1491" s="111"/>
      <c r="E1491" s="111"/>
      <c r="F1491" s="111"/>
      <c r="G1491" s="111"/>
      <c r="H1491" s="111"/>
      <c r="I1491" s="127"/>
      <c r="J1491" s="111"/>
      <c r="K1491" s="257"/>
      <c r="L1491" s="111"/>
      <c r="M1491" s="127"/>
      <c r="N1491" s="270"/>
      <c r="O1491" s="111"/>
      <c r="P1491" s="111"/>
      <c r="Q1491" s="128"/>
      <c r="R1491" s="124"/>
      <c r="S1491" s="125"/>
      <c r="T1491" s="126"/>
      <c r="U1491" s="126"/>
      <c r="V1491" s="126"/>
      <c r="W1491" s="126"/>
      <c r="X1491" s="126"/>
      <c r="Y1491" s="126"/>
      <c r="Z1491" s="127"/>
      <c r="AA1491" s="127"/>
      <c r="AB1491" s="127"/>
      <c r="AC1491" s="127"/>
      <c r="AD1491" s="261"/>
      <c r="AE1491" s="261"/>
      <c r="AF1491" s="261"/>
      <c r="AG1491" s="261"/>
    </row>
    <row r="1492" ht="34.5" hidden="1" customHeight="1">
      <c r="A1492" s="111"/>
      <c r="B1492" s="127"/>
      <c r="C1492" s="111"/>
      <c r="D1492" s="111"/>
      <c r="E1492" s="111"/>
      <c r="F1492" s="111"/>
      <c r="G1492" s="111"/>
      <c r="H1492" s="111"/>
      <c r="I1492" s="127"/>
      <c r="J1492" s="111"/>
      <c r="K1492" s="257"/>
      <c r="L1492" s="111"/>
      <c r="M1492" s="127"/>
      <c r="N1492" s="270"/>
      <c r="O1492" s="111"/>
      <c r="P1492" s="111"/>
      <c r="Q1492" s="128"/>
      <c r="R1492" s="124"/>
      <c r="S1492" s="125"/>
      <c r="T1492" s="126"/>
      <c r="U1492" s="126"/>
      <c r="V1492" s="126"/>
      <c r="W1492" s="126"/>
      <c r="X1492" s="126"/>
      <c r="Y1492" s="126"/>
      <c r="Z1492" s="127"/>
      <c r="AA1492" s="127"/>
      <c r="AB1492" s="127"/>
      <c r="AC1492" s="127"/>
      <c r="AD1492" s="261"/>
      <c r="AE1492" s="261"/>
      <c r="AF1492" s="261"/>
      <c r="AG1492" s="261"/>
    </row>
    <row r="1493" ht="34.5" hidden="1" customHeight="1">
      <c r="A1493" s="111"/>
      <c r="B1493" s="127"/>
      <c r="C1493" s="111"/>
      <c r="D1493" s="111"/>
      <c r="E1493" s="111"/>
      <c r="F1493" s="111"/>
      <c r="G1493" s="111"/>
      <c r="H1493" s="111"/>
      <c r="I1493" s="127"/>
      <c r="J1493" s="111"/>
      <c r="K1493" s="257"/>
      <c r="L1493" s="111"/>
      <c r="M1493" s="127"/>
      <c r="N1493" s="270"/>
      <c r="O1493" s="111"/>
      <c r="P1493" s="111"/>
      <c r="Q1493" s="128"/>
      <c r="R1493" s="124"/>
      <c r="S1493" s="125"/>
      <c r="T1493" s="126"/>
      <c r="U1493" s="126"/>
      <c r="V1493" s="126"/>
      <c r="W1493" s="126"/>
      <c r="X1493" s="126"/>
      <c r="Y1493" s="126"/>
      <c r="Z1493" s="127"/>
      <c r="AA1493" s="127"/>
      <c r="AB1493" s="127"/>
      <c r="AC1493" s="127"/>
      <c r="AD1493" s="261"/>
      <c r="AE1493" s="261"/>
      <c r="AF1493" s="261"/>
      <c r="AG1493" s="261"/>
    </row>
    <row r="1494" ht="34.5" hidden="1" customHeight="1">
      <c r="A1494" s="111"/>
      <c r="B1494" s="127"/>
      <c r="C1494" s="111"/>
      <c r="D1494" s="111"/>
      <c r="E1494" s="111"/>
      <c r="F1494" s="111"/>
      <c r="G1494" s="111"/>
      <c r="H1494" s="111"/>
      <c r="I1494" s="127"/>
      <c r="J1494" s="111"/>
      <c r="K1494" s="257"/>
      <c r="L1494" s="111"/>
      <c r="M1494" s="127"/>
      <c r="N1494" s="270"/>
      <c r="O1494" s="111"/>
      <c r="P1494" s="111"/>
      <c r="Q1494" s="128"/>
      <c r="R1494" s="124"/>
      <c r="S1494" s="125"/>
      <c r="T1494" s="126"/>
      <c r="U1494" s="126"/>
      <c r="V1494" s="126"/>
      <c r="W1494" s="126"/>
      <c r="X1494" s="126"/>
      <c r="Y1494" s="126"/>
      <c r="Z1494" s="127"/>
      <c r="AA1494" s="127"/>
      <c r="AB1494" s="127"/>
      <c r="AC1494" s="127"/>
      <c r="AD1494" s="261"/>
      <c r="AE1494" s="261"/>
      <c r="AF1494" s="261"/>
      <c r="AG1494" s="261"/>
    </row>
    <row r="1495" ht="34.5" hidden="1" customHeight="1">
      <c r="A1495" s="111"/>
      <c r="B1495" s="127"/>
      <c r="C1495" s="111"/>
      <c r="D1495" s="111"/>
      <c r="E1495" s="111"/>
      <c r="F1495" s="111"/>
      <c r="G1495" s="111"/>
      <c r="H1495" s="111"/>
      <c r="I1495" s="127"/>
      <c r="J1495" s="111"/>
      <c r="K1495" s="257"/>
      <c r="L1495" s="111"/>
      <c r="M1495" s="127"/>
      <c r="N1495" s="270"/>
      <c r="O1495" s="111"/>
      <c r="P1495" s="111"/>
      <c r="Q1495" s="128"/>
      <c r="R1495" s="124"/>
      <c r="S1495" s="125"/>
      <c r="T1495" s="126"/>
      <c r="U1495" s="126"/>
      <c r="V1495" s="126"/>
      <c r="W1495" s="126"/>
      <c r="X1495" s="126"/>
      <c r="Y1495" s="126"/>
      <c r="Z1495" s="127"/>
      <c r="AA1495" s="127"/>
      <c r="AB1495" s="127"/>
      <c r="AC1495" s="127"/>
      <c r="AD1495" s="261"/>
      <c r="AE1495" s="261"/>
      <c r="AF1495" s="261"/>
      <c r="AG1495" s="261"/>
    </row>
    <row r="1496" ht="34.5" hidden="1" customHeight="1">
      <c r="A1496" s="111"/>
      <c r="B1496" s="127"/>
      <c r="C1496" s="111"/>
      <c r="D1496" s="111"/>
      <c r="E1496" s="111"/>
      <c r="F1496" s="111"/>
      <c r="G1496" s="111"/>
      <c r="H1496" s="111"/>
      <c r="I1496" s="127"/>
      <c r="J1496" s="111"/>
      <c r="K1496" s="257"/>
      <c r="L1496" s="111"/>
      <c r="M1496" s="127"/>
      <c r="N1496" s="270"/>
      <c r="O1496" s="111"/>
      <c r="P1496" s="111"/>
      <c r="Q1496" s="128"/>
      <c r="R1496" s="124"/>
      <c r="S1496" s="125"/>
      <c r="T1496" s="126"/>
      <c r="U1496" s="126"/>
      <c r="V1496" s="126"/>
      <c r="W1496" s="126"/>
      <c r="X1496" s="126"/>
      <c r="Y1496" s="126"/>
      <c r="Z1496" s="127"/>
      <c r="AA1496" s="127"/>
      <c r="AB1496" s="127"/>
      <c r="AC1496" s="127"/>
      <c r="AD1496" s="261"/>
      <c r="AE1496" s="261"/>
      <c r="AF1496" s="261"/>
      <c r="AG1496" s="261"/>
    </row>
    <row r="1497" ht="34.5" hidden="1" customHeight="1">
      <c r="A1497" s="111"/>
      <c r="B1497" s="127"/>
      <c r="C1497" s="111"/>
      <c r="D1497" s="111"/>
      <c r="E1497" s="111"/>
      <c r="F1497" s="111"/>
      <c r="G1497" s="111"/>
      <c r="H1497" s="111"/>
      <c r="I1497" s="127"/>
      <c r="J1497" s="111"/>
      <c r="K1497" s="257"/>
      <c r="L1497" s="111"/>
      <c r="M1497" s="127"/>
      <c r="N1497" s="270"/>
      <c r="O1497" s="111"/>
      <c r="P1497" s="111"/>
      <c r="Q1497" s="128"/>
      <c r="R1497" s="124"/>
      <c r="S1497" s="125"/>
      <c r="T1497" s="126"/>
      <c r="U1497" s="126"/>
      <c r="V1497" s="126"/>
      <c r="W1497" s="126"/>
      <c r="X1497" s="126"/>
      <c r="Y1497" s="126"/>
      <c r="Z1497" s="127"/>
      <c r="AA1497" s="127"/>
      <c r="AB1497" s="127"/>
      <c r="AC1497" s="127"/>
      <c r="AD1497" s="261"/>
      <c r="AE1497" s="261"/>
      <c r="AF1497" s="261"/>
      <c r="AG1497" s="261"/>
    </row>
    <row r="1498" ht="34.5" hidden="1" customHeight="1">
      <c r="A1498" s="111"/>
      <c r="B1498" s="127"/>
      <c r="C1498" s="111"/>
      <c r="D1498" s="111"/>
      <c r="E1498" s="111"/>
      <c r="F1498" s="111"/>
      <c r="G1498" s="111"/>
      <c r="H1498" s="111"/>
      <c r="I1498" s="127"/>
      <c r="J1498" s="111"/>
      <c r="K1498" s="257"/>
      <c r="L1498" s="111"/>
      <c r="M1498" s="127"/>
      <c r="N1498" s="270"/>
      <c r="O1498" s="111"/>
      <c r="P1498" s="111"/>
      <c r="Q1498" s="128"/>
      <c r="R1498" s="124"/>
      <c r="S1498" s="125"/>
      <c r="T1498" s="126"/>
      <c r="U1498" s="126"/>
      <c r="V1498" s="126"/>
      <c r="W1498" s="126"/>
      <c r="X1498" s="126"/>
      <c r="Y1498" s="126"/>
      <c r="Z1498" s="127"/>
      <c r="AA1498" s="127"/>
      <c r="AB1498" s="127"/>
      <c r="AC1498" s="127"/>
      <c r="AD1498" s="261"/>
      <c r="AE1498" s="261"/>
      <c r="AF1498" s="261"/>
      <c r="AG1498" s="261"/>
    </row>
    <row r="1499" ht="34.5" hidden="1" customHeight="1">
      <c r="A1499" s="111"/>
      <c r="B1499" s="127"/>
      <c r="C1499" s="111"/>
      <c r="D1499" s="111"/>
      <c r="E1499" s="111"/>
      <c r="F1499" s="111"/>
      <c r="G1499" s="111"/>
      <c r="H1499" s="111"/>
      <c r="I1499" s="127"/>
      <c r="J1499" s="111"/>
      <c r="K1499" s="257"/>
      <c r="L1499" s="111"/>
      <c r="M1499" s="127"/>
      <c r="N1499" s="270"/>
      <c r="O1499" s="111"/>
      <c r="P1499" s="111"/>
      <c r="Q1499" s="128"/>
      <c r="R1499" s="124"/>
      <c r="S1499" s="125"/>
      <c r="T1499" s="126"/>
      <c r="U1499" s="126"/>
      <c r="V1499" s="126"/>
      <c r="W1499" s="126"/>
      <c r="X1499" s="126"/>
      <c r="Y1499" s="126"/>
      <c r="Z1499" s="127"/>
      <c r="AA1499" s="127"/>
      <c r="AB1499" s="127"/>
      <c r="AC1499" s="127"/>
      <c r="AD1499" s="261"/>
      <c r="AE1499" s="261"/>
      <c r="AF1499" s="261"/>
      <c r="AG1499" s="261"/>
    </row>
    <row r="1500" ht="34.5" hidden="1" customHeight="1">
      <c r="A1500" s="111"/>
      <c r="B1500" s="127"/>
      <c r="C1500" s="111"/>
      <c r="D1500" s="111"/>
      <c r="E1500" s="111"/>
      <c r="F1500" s="111"/>
      <c r="G1500" s="111"/>
      <c r="H1500" s="111"/>
      <c r="I1500" s="127"/>
      <c r="J1500" s="111"/>
      <c r="K1500" s="257"/>
      <c r="L1500" s="111"/>
      <c r="M1500" s="127"/>
      <c r="N1500" s="270"/>
      <c r="O1500" s="111"/>
      <c r="P1500" s="111"/>
      <c r="Q1500" s="128"/>
      <c r="R1500" s="124"/>
      <c r="S1500" s="125"/>
      <c r="T1500" s="126"/>
      <c r="U1500" s="126"/>
      <c r="V1500" s="126"/>
      <c r="W1500" s="126"/>
      <c r="X1500" s="126"/>
      <c r="Y1500" s="126"/>
      <c r="Z1500" s="127"/>
      <c r="AA1500" s="127"/>
      <c r="AB1500" s="127"/>
      <c r="AC1500" s="127"/>
      <c r="AD1500" s="261"/>
      <c r="AE1500" s="261"/>
      <c r="AF1500" s="261"/>
      <c r="AG1500" s="261"/>
    </row>
    <row r="1501" ht="34.5" hidden="1" customHeight="1">
      <c r="A1501" s="111"/>
      <c r="B1501" s="127"/>
      <c r="C1501" s="111"/>
      <c r="D1501" s="111"/>
      <c r="E1501" s="111"/>
      <c r="F1501" s="111"/>
      <c r="G1501" s="111"/>
      <c r="H1501" s="111"/>
      <c r="I1501" s="127"/>
      <c r="J1501" s="111"/>
      <c r="K1501" s="257"/>
      <c r="L1501" s="111"/>
      <c r="M1501" s="127"/>
      <c r="N1501" s="270"/>
      <c r="O1501" s="111"/>
      <c r="P1501" s="111"/>
      <c r="Q1501" s="128"/>
      <c r="R1501" s="124"/>
      <c r="S1501" s="125"/>
      <c r="T1501" s="126"/>
      <c r="U1501" s="126"/>
      <c r="V1501" s="126"/>
      <c r="W1501" s="126"/>
      <c r="X1501" s="126"/>
      <c r="Y1501" s="126"/>
      <c r="Z1501" s="127"/>
      <c r="AA1501" s="127"/>
      <c r="AB1501" s="127"/>
      <c r="AC1501" s="127"/>
      <c r="AD1501" s="261"/>
      <c r="AE1501" s="261"/>
      <c r="AF1501" s="261"/>
      <c r="AG1501" s="261"/>
    </row>
    <row r="1502" ht="34.5" hidden="1" customHeight="1">
      <c r="A1502" s="111"/>
      <c r="B1502" s="127"/>
      <c r="C1502" s="111"/>
      <c r="D1502" s="111"/>
      <c r="E1502" s="111"/>
      <c r="F1502" s="111"/>
      <c r="G1502" s="111"/>
      <c r="H1502" s="111"/>
      <c r="I1502" s="127"/>
      <c r="J1502" s="111"/>
      <c r="K1502" s="257"/>
      <c r="L1502" s="111"/>
      <c r="M1502" s="127"/>
      <c r="N1502" s="270"/>
      <c r="O1502" s="111"/>
      <c r="P1502" s="111"/>
      <c r="Q1502" s="128"/>
      <c r="R1502" s="124"/>
      <c r="S1502" s="125"/>
      <c r="T1502" s="126"/>
      <c r="U1502" s="126"/>
      <c r="V1502" s="126"/>
      <c r="W1502" s="126"/>
      <c r="X1502" s="126"/>
      <c r="Y1502" s="126"/>
      <c r="Z1502" s="127"/>
      <c r="AA1502" s="127"/>
      <c r="AB1502" s="127"/>
      <c r="AC1502" s="127"/>
      <c r="AD1502" s="261"/>
      <c r="AE1502" s="261"/>
      <c r="AF1502" s="261"/>
      <c r="AG1502" s="261"/>
    </row>
    <row r="1503" ht="34.5" hidden="1" customHeight="1">
      <c r="A1503" s="111"/>
      <c r="B1503" s="127"/>
      <c r="C1503" s="111"/>
      <c r="D1503" s="111"/>
      <c r="E1503" s="111"/>
      <c r="F1503" s="111"/>
      <c r="G1503" s="111"/>
      <c r="H1503" s="111"/>
      <c r="I1503" s="127"/>
      <c r="J1503" s="111"/>
      <c r="K1503" s="257"/>
      <c r="L1503" s="111"/>
      <c r="M1503" s="127"/>
      <c r="N1503" s="270"/>
      <c r="O1503" s="111"/>
      <c r="P1503" s="111"/>
      <c r="Q1503" s="128"/>
      <c r="R1503" s="124"/>
      <c r="S1503" s="125"/>
      <c r="T1503" s="126"/>
      <c r="U1503" s="126"/>
      <c r="V1503" s="126"/>
      <c r="W1503" s="126"/>
      <c r="X1503" s="126"/>
      <c r="Y1503" s="126"/>
      <c r="Z1503" s="127"/>
      <c r="AA1503" s="127"/>
      <c r="AB1503" s="127"/>
      <c r="AC1503" s="127"/>
      <c r="AD1503" s="261"/>
      <c r="AE1503" s="261"/>
      <c r="AF1503" s="261"/>
      <c r="AG1503" s="261"/>
    </row>
    <row r="1504" ht="34.5" hidden="1" customHeight="1">
      <c r="A1504" s="111"/>
      <c r="B1504" s="127"/>
      <c r="C1504" s="111"/>
      <c r="D1504" s="111"/>
      <c r="E1504" s="111"/>
      <c r="F1504" s="111"/>
      <c r="G1504" s="111"/>
      <c r="H1504" s="111"/>
      <c r="I1504" s="127"/>
      <c r="J1504" s="111"/>
      <c r="K1504" s="257"/>
      <c r="L1504" s="111"/>
      <c r="M1504" s="127"/>
      <c r="N1504" s="270"/>
      <c r="O1504" s="111"/>
      <c r="P1504" s="111"/>
      <c r="Q1504" s="128"/>
      <c r="R1504" s="124"/>
      <c r="S1504" s="125"/>
      <c r="T1504" s="126"/>
      <c r="U1504" s="126"/>
      <c r="V1504" s="126"/>
      <c r="W1504" s="126"/>
      <c r="X1504" s="126"/>
      <c r="Y1504" s="126"/>
      <c r="Z1504" s="127"/>
      <c r="AA1504" s="127"/>
      <c r="AB1504" s="127"/>
      <c r="AC1504" s="127"/>
      <c r="AD1504" s="261"/>
      <c r="AE1504" s="261"/>
      <c r="AF1504" s="261"/>
      <c r="AG1504" s="261"/>
    </row>
    <row r="1505" ht="34.5" hidden="1" customHeight="1">
      <c r="A1505" s="111"/>
      <c r="B1505" s="127"/>
      <c r="C1505" s="111"/>
      <c r="D1505" s="111"/>
      <c r="E1505" s="111"/>
      <c r="F1505" s="111"/>
      <c r="G1505" s="111"/>
      <c r="H1505" s="111"/>
      <c r="I1505" s="127"/>
      <c r="J1505" s="111"/>
      <c r="K1505" s="257"/>
      <c r="L1505" s="111"/>
      <c r="M1505" s="127"/>
      <c r="N1505" s="270"/>
      <c r="O1505" s="111"/>
      <c r="P1505" s="111"/>
      <c r="Q1505" s="128"/>
      <c r="R1505" s="124"/>
      <c r="S1505" s="125"/>
      <c r="T1505" s="126"/>
      <c r="U1505" s="126"/>
      <c r="V1505" s="126"/>
      <c r="W1505" s="126"/>
      <c r="X1505" s="126"/>
      <c r="Y1505" s="126"/>
      <c r="Z1505" s="127"/>
      <c r="AA1505" s="127"/>
      <c r="AB1505" s="127"/>
      <c r="AC1505" s="127"/>
      <c r="AD1505" s="261"/>
      <c r="AE1505" s="261"/>
      <c r="AF1505" s="261"/>
      <c r="AG1505" s="261"/>
    </row>
    <row r="1506" ht="34.5" hidden="1" customHeight="1">
      <c r="A1506" s="111"/>
      <c r="B1506" s="127"/>
      <c r="C1506" s="111"/>
      <c r="D1506" s="111"/>
      <c r="E1506" s="111"/>
      <c r="F1506" s="111"/>
      <c r="G1506" s="111"/>
      <c r="H1506" s="111"/>
      <c r="I1506" s="127"/>
      <c r="J1506" s="111"/>
      <c r="K1506" s="257"/>
      <c r="L1506" s="111"/>
      <c r="M1506" s="127"/>
      <c r="N1506" s="270"/>
      <c r="O1506" s="111"/>
      <c r="P1506" s="111"/>
      <c r="Q1506" s="128"/>
      <c r="R1506" s="124"/>
      <c r="S1506" s="125"/>
      <c r="T1506" s="126"/>
      <c r="U1506" s="126"/>
      <c r="V1506" s="126"/>
      <c r="W1506" s="126"/>
      <c r="X1506" s="126"/>
      <c r="Y1506" s="126"/>
      <c r="Z1506" s="127"/>
      <c r="AA1506" s="127"/>
      <c r="AB1506" s="127"/>
      <c r="AC1506" s="127"/>
      <c r="AD1506" s="261"/>
      <c r="AE1506" s="261"/>
      <c r="AF1506" s="261"/>
      <c r="AG1506" s="261"/>
    </row>
    <row r="1507" ht="34.5" hidden="1" customHeight="1">
      <c r="A1507" s="111"/>
      <c r="B1507" s="127"/>
      <c r="C1507" s="111"/>
      <c r="D1507" s="111"/>
      <c r="E1507" s="111"/>
      <c r="F1507" s="111"/>
      <c r="G1507" s="111"/>
      <c r="H1507" s="111"/>
      <c r="I1507" s="127"/>
      <c r="J1507" s="111"/>
      <c r="K1507" s="257"/>
      <c r="L1507" s="111"/>
      <c r="M1507" s="127"/>
      <c r="N1507" s="270"/>
      <c r="O1507" s="111"/>
      <c r="P1507" s="111"/>
      <c r="Q1507" s="128"/>
      <c r="R1507" s="124"/>
      <c r="S1507" s="125"/>
      <c r="T1507" s="126"/>
      <c r="U1507" s="126"/>
      <c r="V1507" s="126"/>
      <c r="W1507" s="126"/>
      <c r="X1507" s="126"/>
      <c r="Y1507" s="126"/>
      <c r="Z1507" s="127"/>
      <c r="AA1507" s="127"/>
      <c r="AB1507" s="127"/>
      <c r="AC1507" s="127"/>
      <c r="AD1507" s="261"/>
      <c r="AE1507" s="261"/>
      <c r="AF1507" s="261"/>
      <c r="AG1507" s="261"/>
    </row>
    <row r="1508" ht="34.5" hidden="1" customHeight="1">
      <c r="A1508" s="111"/>
      <c r="B1508" s="127"/>
      <c r="C1508" s="111"/>
      <c r="D1508" s="111"/>
      <c r="E1508" s="111"/>
      <c r="F1508" s="111"/>
      <c r="G1508" s="111"/>
      <c r="H1508" s="111"/>
      <c r="I1508" s="127"/>
      <c r="J1508" s="111"/>
      <c r="K1508" s="257"/>
      <c r="L1508" s="111"/>
      <c r="M1508" s="127"/>
      <c r="N1508" s="270"/>
      <c r="O1508" s="111"/>
      <c r="P1508" s="111"/>
      <c r="Q1508" s="128"/>
      <c r="R1508" s="124"/>
      <c r="S1508" s="125"/>
      <c r="T1508" s="126"/>
      <c r="U1508" s="126"/>
      <c r="V1508" s="126"/>
      <c r="W1508" s="126"/>
      <c r="X1508" s="126"/>
      <c r="Y1508" s="126"/>
      <c r="Z1508" s="127"/>
      <c r="AA1508" s="127"/>
      <c r="AB1508" s="127"/>
      <c r="AC1508" s="127"/>
      <c r="AD1508" s="261"/>
      <c r="AE1508" s="261"/>
      <c r="AF1508" s="261"/>
      <c r="AG1508" s="261"/>
    </row>
    <row r="1509" ht="34.5" hidden="1" customHeight="1">
      <c r="A1509" s="111"/>
      <c r="B1509" s="127"/>
      <c r="C1509" s="111"/>
      <c r="D1509" s="111"/>
      <c r="E1509" s="111"/>
      <c r="F1509" s="111"/>
      <c r="G1509" s="111"/>
      <c r="H1509" s="111"/>
      <c r="I1509" s="127"/>
      <c r="J1509" s="111"/>
      <c r="K1509" s="257"/>
      <c r="L1509" s="111"/>
      <c r="M1509" s="127"/>
      <c r="N1509" s="270"/>
      <c r="O1509" s="111"/>
      <c r="P1509" s="111"/>
      <c r="Q1509" s="128"/>
      <c r="R1509" s="124"/>
      <c r="S1509" s="125"/>
      <c r="T1509" s="126"/>
      <c r="U1509" s="126"/>
      <c r="V1509" s="126"/>
      <c r="W1509" s="126"/>
      <c r="X1509" s="126"/>
      <c r="Y1509" s="126"/>
      <c r="Z1509" s="127"/>
      <c r="AA1509" s="127"/>
      <c r="AB1509" s="127"/>
      <c r="AC1509" s="127"/>
      <c r="AD1509" s="261"/>
      <c r="AE1509" s="261"/>
      <c r="AF1509" s="261"/>
      <c r="AG1509" s="261"/>
    </row>
    <row r="1510" ht="34.5" hidden="1" customHeight="1">
      <c r="A1510" s="111"/>
      <c r="B1510" s="127"/>
      <c r="C1510" s="111"/>
      <c r="D1510" s="111"/>
      <c r="E1510" s="111"/>
      <c r="F1510" s="111"/>
      <c r="G1510" s="111"/>
      <c r="H1510" s="111"/>
      <c r="I1510" s="127"/>
      <c r="J1510" s="111"/>
      <c r="K1510" s="257"/>
      <c r="L1510" s="111"/>
      <c r="M1510" s="127"/>
      <c r="N1510" s="270"/>
      <c r="O1510" s="111"/>
      <c r="P1510" s="111"/>
      <c r="Q1510" s="128"/>
      <c r="R1510" s="124"/>
      <c r="S1510" s="125"/>
      <c r="T1510" s="126"/>
      <c r="U1510" s="126"/>
      <c r="V1510" s="126"/>
      <c r="W1510" s="126"/>
      <c r="X1510" s="126"/>
      <c r="Y1510" s="126"/>
      <c r="Z1510" s="127"/>
      <c r="AA1510" s="127"/>
      <c r="AB1510" s="127"/>
      <c r="AC1510" s="127"/>
      <c r="AD1510" s="261"/>
      <c r="AE1510" s="261"/>
      <c r="AF1510" s="261"/>
      <c r="AG1510" s="261"/>
    </row>
    <row r="1511" ht="34.5" hidden="1" customHeight="1">
      <c r="A1511" s="111"/>
      <c r="B1511" s="127"/>
      <c r="C1511" s="111"/>
      <c r="D1511" s="111"/>
      <c r="E1511" s="111"/>
      <c r="F1511" s="111"/>
      <c r="G1511" s="111"/>
      <c r="H1511" s="111"/>
      <c r="I1511" s="127"/>
      <c r="J1511" s="111"/>
      <c r="K1511" s="257"/>
      <c r="L1511" s="111"/>
      <c r="M1511" s="127"/>
      <c r="N1511" s="270"/>
      <c r="O1511" s="111"/>
      <c r="P1511" s="111"/>
      <c r="Q1511" s="128"/>
      <c r="R1511" s="124"/>
      <c r="S1511" s="125"/>
      <c r="T1511" s="126"/>
      <c r="U1511" s="126"/>
      <c r="V1511" s="126"/>
      <c r="W1511" s="126"/>
      <c r="X1511" s="126"/>
      <c r="Y1511" s="126"/>
      <c r="Z1511" s="127"/>
      <c r="AA1511" s="127"/>
      <c r="AB1511" s="127"/>
      <c r="AC1511" s="127"/>
      <c r="AD1511" s="261"/>
      <c r="AE1511" s="261"/>
      <c r="AF1511" s="261"/>
      <c r="AG1511" s="261"/>
    </row>
    <row r="1512" ht="34.5" hidden="1" customHeight="1">
      <c r="A1512" s="111"/>
      <c r="B1512" s="127"/>
      <c r="C1512" s="111"/>
      <c r="D1512" s="111"/>
      <c r="E1512" s="111"/>
      <c r="F1512" s="111"/>
      <c r="G1512" s="111"/>
      <c r="H1512" s="111"/>
      <c r="I1512" s="127"/>
      <c r="J1512" s="111"/>
      <c r="K1512" s="257"/>
      <c r="L1512" s="111"/>
      <c r="M1512" s="127"/>
      <c r="N1512" s="270"/>
      <c r="O1512" s="111"/>
      <c r="P1512" s="111"/>
      <c r="Q1512" s="128"/>
      <c r="R1512" s="124"/>
      <c r="S1512" s="125"/>
      <c r="T1512" s="126"/>
      <c r="U1512" s="126"/>
      <c r="V1512" s="126"/>
      <c r="W1512" s="126"/>
      <c r="X1512" s="126"/>
      <c r="Y1512" s="126"/>
      <c r="Z1512" s="127"/>
      <c r="AA1512" s="127"/>
      <c r="AB1512" s="127"/>
      <c r="AC1512" s="127"/>
      <c r="AD1512" s="261"/>
      <c r="AE1512" s="261"/>
      <c r="AF1512" s="261"/>
      <c r="AG1512" s="261"/>
    </row>
    <row r="1513" ht="34.5" hidden="1" customHeight="1">
      <c r="A1513" s="111"/>
      <c r="B1513" s="127"/>
      <c r="C1513" s="111"/>
      <c r="D1513" s="111"/>
      <c r="E1513" s="111"/>
      <c r="F1513" s="111"/>
      <c r="G1513" s="111"/>
      <c r="H1513" s="111"/>
      <c r="I1513" s="127"/>
      <c r="J1513" s="111"/>
      <c r="K1513" s="257"/>
      <c r="L1513" s="111"/>
      <c r="M1513" s="127"/>
      <c r="N1513" s="270"/>
      <c r="O1513" s="111"/>
      <c r="P1513" s="111"/>
      <c r="Q1513" s="128"/>
      <c r="R1513" s="124"/>
      <c r="S1513" s="125"/>
      <c r="T1513" s="126"/>
      <c r="U1513" s="126"/>
      <c r="V1513" s="126"/>
      <c r="W1513" s="126"/>
      <c r="X1513" s="126"/>
      <c r="Y1513" s="126"/>
      <c r="Z1513" s="127"/>
      <c r="AA1513" s="127"/>
      <c r="AB1513" s="127"/>
      <c r="AC1513" s="127"/>
      <c r="AD1513" s="261"/>
      <c r="AE1513" s="261"/>
      <c r="AF1513" s="261"/>
      <c r="AG1513" s="261"/>
    </row>
    <row r="1514" ht="34.5" hidden="1" customHeight="1">
      <c r="A1514" s="111"/>
      <c r="B1514" s="127"/>
      <c r="C1514" s="111"/>
      <c r="D1514" s="111"/>
      <c r="E1514" s="111"/>
      <c r="F1514" s="111"/>
      <c r="G1514" s="111"/>
      <c r="H1514" s="111"/>
      <c r="I1514" s="127"/>
      <c r="J1514" s="111"/>
      <c r="K1514" s="257"/>
      <c r="L1514" s="111"/>
      <c r="M1514" s="127"/>
      <c r="N1514" s="270"/>
      <c r="O1514" s="111"/>
      <c r="P1514" s="111"/>
      <c r="Q1514" s="128"/>
      <c r="R1514" s="124"/>
      <c r="S1514" s="125"/>
      <c r="T1514" s="126"/>
      <c r="U1514" s="126"/>
      <c r="V1514" s="126"/>
      <c r="W1514" s="126"/>
      <c r="X1514" s="126"/>
      <c r="Y1514" s="126"/>
      <c r="Z1514" s="127"/>
      <c r="AA1514" s="127"/>
      <c r="AB1514" s="127"/>
      <c r="AC1514" s="127"/>
      <c r="AD1514" s="261"/>
      <c r="AE1514" s="261"/>
      <c r="AF1514" s="261"/>
      <c r="AG1514" s="261"/>
    </row>
    <row r="1515" ht="34.5" hidden="1" customHeight="1">
      <c r="A1515" s="111"/>
      <c r="B1515" s="127"/>
      <c r="C1515" s="111"/>
      <c r="D1515" s="111"/>
      <c r="E1515" s="111"/>
      <c r="F1515" s="111"/>
      <c r="G1515" s="111"/>
      <c r="H1515" s="111"/>
      <c r="I1515" s="127"/>
      <c r="J1515" s="111"/>
      <c r="K1515" s="257"/>
      <c r="L1515" s="111"/>
      <c r="M1515" s="127"/>
      <c r="N1515" s="270"/>
      <c r="O1515" s="111"/>
      <c r="P1515" s="111"/>
      <c r="Q1515" s="128"/>
      <c r="R1515" s="124"/>
      <c r="S1515" s="125"/>
      <c r="T1515" s="126"/>
      <c r="U1515" s="126"/>
      <c r="V1515" s="126"/>
      <c r="W1515" s="126"/>
      <c r="X1515" s="126"/>
      <c r="Y1515" s="126"/>
      <c r="Z1515" s="127"/>
      <c r="AA1515" s="127"/>
      <c r="AB1515" s="127"/>
      <c r="AC1515" s="127"/>
      <c r="AD1515" s="261"/>
      <c r="AE1515" s="261"/>
      <c r="AF1515" s="261"/>
      <c r="AG1515" s="261"/>
    </row>
    <row r="1516" ht="34.5" hidden="1" customHeight="1">
      <c r="A1516" s="111"/>
      <c r="B1516" s="127"/>
      <c r="C1516" s="111"/>
      <c r="D1516" s="111"/>
      <c r="E1516" s="111"/>
      <c r="F1516" s="111"/>
      <c r="G1516" s="111"/>
      <c r="H1516" s="111"/>
      <c r="I1516" s="127"/>
      <c r="J1516" s="111"/>
      <c r="K1516" s="257"/>
      <c r="L1516" s="111"/>
      <c r="M1516" s="127"/>
      <c r="N1516" s="270"/>
      <c r="O1516" s="111"/>
      <c r="P1516" s="111"/>
      <c r="Q1516" s="128"/>
      <c r="R1516" s="124"/>
      <c r="S1516" s="125"/>
      <c r="T1516" s="126"/>
      <c r="U1516" s="126"/>
      <c r="V1516" s="126"/>
      <c r="W1516" s="126"/>
      <c r="X1516" s="126"/>
      <c r="Y1516" s="126"/>
      <c r="Z1516" s="127"/>
      <c r="AA1516" s="127"/>
      <c r="AB1516" s="127"/>
      <c r="AC1516" s="127"/>
      <c r="AD1516" s="261"/>
      <c r="AE1516" s="261"/>
      <c r="AF1516" s="261"/>
      <c r="AG1516" s="261"/>
    </row>
    <row r="1517" ht="34.5" hidden="1" customHeight="1">
      <c r="A1517" s="111"/>
      <c r="B1517" s="127"/>
      <c r="C1517" s="111"/>
      <c r="D1517" s="111"/>
      <c r="E1517" s="111"/>
      <c r="F1517" s="111"/>
      <c r="G1517" s="111"/>
      <c r="H1517" s="111"/>
      <c r="I1517" s="127"/>
      <c r="J1517" s="111"/>
      <c r="K1517" s="257"/>
      <c r="L1517" s="111"/>
      <c r="M1517" s="127"/>
      <c r="N1517" s="270"/>
      <c r="O1517" s="111"/>
      <c r="P1517" s="111"/>
      <c r="Q1517" s="128"/>
      <c r="R1517" s="124"/>
      <c r="S1517" s="125"/>
      <c r="T1517" s="126"/>
      <c r="U1517" s="126"/>
      <c r="V1517" s="126"/>
      <c r="W1517" s="126"/>
      <c r="X1517" s="126"/>
      <c r="Y1517" s="126"/>
      <c r="Z1517" s="127"/>
      <c r="AA1517" s="127"/>
      <c r="AB1517" s="127"/>
      <c r="AC1517" s="127"/>
      <c r="AD1517" s="261"/>
      <c r="AE1517" s="261"/>
      <c r="AF1517" s="261"/>
      <c r="AG1517" s="261"/>
    </row>
    <row r="1518" ht="34.5" hidden="1" customHeight="1">
      <c r="A1518" s="111"/>
      <c r="B1518" s="127"/>
      <c r="C1518" s="111"/>
      <c r="D1518" s="111"/>
      <c r="E1518" s="111"/>
      <c r="F1518" s="111"/>
      <c r="G1518" s="111"/>
      <c r="H1518" s="111"/>
      <c r="I1518" s="127"/>
      <c r="J1518" s="111"/>
      <c r="K1518" s="257"/>
      <c r="L1518" s="111"/>
      <c r="M1518" s="127"/>
      <c r="N1518" s="270"/>
      <c r="O1518" s="111"/>
      <c r="P1518" s="111"/>
      <c r="Q1518" s="128"/>
      <c r="R1518" s="124"/>
      <c r="S1518" s="125"/>
      <c r="T1518" s="126"/>
      <c r="U1518" s="126"/>
      <c r="V1518" s="126"/>
      <c r="W1518" s="126"/>
      <c r="X1518" s="126"/>
      <c r="Y1518" s="126"/>
      <c r="Z1518" s="127"/>
      <c r="AA1518" s="127"/>
      <c r="AB1518" s="127"/>
      <c r="AC1518" s="127"/>
      <c r="AD1518" s="261"/>
      <c r="AE1518" s="261"/>
      <c r="AF1518" s="261"/>
      <c r="AG1518" s="261"/>
    </row>
    <row r="1519" ht="34.5" hidden="1" customHeight="1">
      <c r="A1519" s="111"/>
      <c r="B1519" s="127"/>
      <c r="C1519" s="111"/>
      <c r="D1519" s="111"/>
      <c r="E1519" s="111"/>
      <c r="F1519" s="111"/>
      <c r="G1519" s="111"/>
      <c r="H1519" s="111"/>
      <c r="I1519" s="127"/>
      <c r="J1519" s="111"/>
      <c r="K1519" s="257"/>
      <c r="L1519" s="111"/>
      <c r="M1519" s="127"/>
      <c r="N1519" s="270"/>
      <c r="O1519" s="111"/>
      <c r="P1519" s="111"/>
      <c r="Q1519" s="128"/>
      <c r="R1519" s="124"/>
      <c r="S1519" s="125"/>
      <c r="T1519" s="126"/>
      <c r="U1519" s="126"/>
      <c r="V1519" s="126"/>
      <c r="W1519" s="126"/>
      <c r="X1519" s="126"/>
      <c r="Y1519" s="126"/>
      <c r="Z1519" s="127"/>
      <c r="AA1519" s="127"/>
      <c r="AB1519" s="127"/>
      <c r="AC1519" s="127"/>
      <c r="AD1519" s="261"/>
      <c r="AE1519" s="261"/>
      <c r="AF1519" s="261"/>
      <c r="AG1519" s="261"/>
    </row>
    <row r="1520" ht="34.5" hidden="1" customHeight="1">
      <c r="A1520" s="111"/>
      <c r="B1520" s="127"/>
      <c r="C1520" s="111"/>
      <c r="D1520" s="111"/>
      <c r="E1520" s="111"/>
      <c r="F1520" s="111"/>
      <c r="G1520" s="111"/>
      <c r="H1520" s="111"/>
      <c r="I1520" s="127"/>
      <c r="J1520" s="111"/>
      <c r="K1520" s="257"/>
      <c r="L1520" s="111"/>
      <c r="M1520" s="127"/>
      <c r="N1520" s="270"/>
      <c r="O1520" s="111"/>
      <c r="P1520" s="111"/>
      <c r="Q1520" s="128"/>
      <c r="R1520" s="124"/>
      <c r="S1520" s="125"/>
      <c r="T1520" s="126"/>
      <c r="U1520" s="126"/>
      <c r="V1520" s="126"/>
      <c r="W1520" s="126"/>
      <c r="X1520" s="126"/>
      <c r="Y1520" s="126"/>
      <c r="Z1520" s="127"/>
      <c r="AA1520" s="127"/>
      <c r="AB1520" s="127"/>
      <c r="AC1520" s="127"/>
      <c r="AD1520" s="261"/>
      <c r="AE1520" s="261"/>
      <c r="AF1520" s="261"/>
      <c r="AG1520" s="261"/>
    </row>
    <row r="1521" ht="34.5" hidden="1" customHeight="1">
      <c r="A1521" s="111"/>
      <c r="B1521" s="127"/>
      <c r="C1521" s="111"/>
      <c r="D1521" s="111"/>
      <c r="E1521" s="111"/>
      <c r="F1521" s="111"/>
      <c r="G1521" s="111"/>
      <c r="H1521" s="111"/>
      <c r="I1521" s="127"/>
      <c r="J1521" s="111"/>
      <c r="K1521" s="257"/>
      <c r="L1521" s="111"/>
      <c r="M1521" s="127"/>
      <c r="N1521" s="270"/>
      <c r="O1521" s="111"/>
      <c r="P1521" s="111"/>
      <c r="Q1521" s="128"/>
      <c r="R1521" s="124"/>
      <c r="S1521" s="125"/>
      <c r="T1521" s="126"/>
      <c r="U1521" s="126"/>
      <c r="V1521" s="126"/>
      <c r="W1521" s="126"/>
      <c r="X1521" s="126"/>
      <c r="Y1521" s="126"/>
      <c r="Z1521" s="127"/>
      <c r="AA1521" s="127"/>
      <c r="AB1521" s="127"/>
      <c r="AC1521" s="127"/>
      <c r="AD1521" s="261"/>
      <c r="AE1521" s="261"/>
      <c r="AF1521" s="261"/>
      <c r="AG1521" s="261"/>
    </row>
    <row r="1522" ht="34.5" hidden="1" customHeight="1">
      <c r="A1522" s="111"/>
      <c r="B1522" s="127"/>
      <c r="C1522" s="111"/>
      <c r="D1522" s="111"/>
      <c r="E1522" s="111"/>
      <c r="F1522" s="111"/>
      <c r="G1522" s="111"/>
      <c r="H1522" s="111"/>
      <c r="I1522" s="127"/>
      <c r="J1522" s="111"/>
      <c r="K1522" s="257"/>
      <c r="L1522" s="111"/>
      <c r="M1522" s="127"/>
      <c r="N1522" s="270"/>
      <c r="O1522" s="111"/>
      <c r="P1522" s="111"/>
      <c r="Q1522" s="128"/>
      <c r="R1522" s="124"/>
      <c r="S1522" s="125"/>
      <c r="T1522" s="126"/>
      <c r="U1522" s="126"/>
      <c r="V1522" s="126"/>
      <c r="W1522" s="126"/>
      <c r="X1522" s="126"/>
      <c r="Y1522" s="126"/>
      <c r="Z1522" s="127"/>
      <c r="AA1522" s="127"/>
      <c r="AB1522" s="127"/>
      <c r="AC1522" s="127"/>
      <c r="AD1522" s="261"/>
      <c r="AE1522" s="261"/>
      <c r="AF1522" s="261"/>
      <c r="AG1522" s="261"/>
    </row>
    <row r="1523" ht="34.5" hidden="1" customHeight="1">
      <c r="A1523" s="111"/>
      <c r="B1523" s="127"/>
      <c r="C1523" s="111"/>
      <c r="D1523" s="111"/>
      <c r="E1523" s="111"/>
      <c r="F1523" s="111"/>
      <c r="G1523" s="111"/>
      <c r="H1523" s="111"/>
      <c r="I1523" s="127"/>
      <c r="J1523" s="111"/>
      <c r="K1523" s="257"/>
      <c r="L1523" s="111"/>
      <c r="M1523" s="127"/>
      <c r="N1523" s="270"/>
      <c r="O1523" s="111"/>
      <c r="P1523" s="111"/>
      <c r="Q1523" s="128"/>
      <c r="R1523" s="124"/>
      <c r="S1523" s="125"/>
      <c r="T1523" s="126"/>
      <c r="U1523" s="126"/>
      <c r="V1523" s="126"/>
      <c r="W1523" s="126"/>
      <c r="X1523" s="126"/>
      <c r="Y1523" s="126"/>
      <c r="Z1523" s="127"/>
      <c r="AA1523" s="127"/>
      <c r="AB1523" s="127"/>
      <c r="AC1523" s="127"/>
      <c r="AD1523" s="261"/>
      <c r="AE1523" s="261"/>
      <c r="AF1523" s="261"/>
      <c r="AG1523" s="261"/>
    </row>
    <row r="1524" ht="34.5" hidden="1" customHeight="1">
      <c r="A1524" s="111"/>
      <c r="B1524" s="127"/>
      <c r="C1524" s="111"/>
      <c r="D1524" s="111"/>
      <c r="E1524" s="111"/>
      <c r="F1524" s="111"/>
      <c r="G1524" s="111"/>
      <c r="H1524" s="111"/>
      <c r="I1524" s="127"/>
      <c r="J1524" s="111"/>
      <c r="K1524" s="257"/>
      <c r="L1524" s="111"/>
      <c r="M1524" s="127"/>
      <c r="N1524" s="270"/>
      <c r="O1524" s="111"/>
      <c r="P1524" s="111"/>
      <c r="Q1524" s="128"/>
      <c r="R1524" s="124"/>
      <c r="S1524" s="125"/>
      <c r="T1524" s="126"/>
      <c r="U1524" s="126"/>
      <c r="V1524" s="126"/>
      <c r="W1524" s="126"/>
      <c r="X1524" s="126"/>
      <c r="Y1524" s="126"/>
      <c r="Z1524" s="127"/>
      <c r="AA1524" s="127"/>
      <c r="AB1524" s="127"/>
      <c r="AC1524" s="127"/>
      <c r="AD1524" s="261"/>
      <c r="AE1524" s="261"/>
      <c r="AF1524" s="261"/>
      <c r="AG1524" s="261"/>
    </row>
    <row r="1525" ht="34.5" hidden="1" customHeight="1">
      <c r="A1525" s="111"/>
      <c r="B1525" s="127"/>
      <c r="C1525" s="111"/>
      <c r="D1525" s="111"/>
      <c r="E1525" s="111"/>
      <c r="F1525" s="111"/>
      <c r="G1525" s="111"/>
      <c r="H1525" s="111"/>
      <c r="I1525" s="127"/>
      <c r="J1525" s="111"/>
      <c r="K1525" s="257"/>
      <c r="L1525" s="111"/>
      <c r="M1525" s="127"/>
      <c r="N1525" s="270"/>
      <c r="O1525" s="111"/>
      <c r="P1525" s="111"/>
      <c r="Q1525" s="128"/>
      <c r="R1525" s="124"/>
      <c r="S1525" s="125"/>
      <c r="T1525" s="126"/>
      <c r="U1525" s="126"/>
      <c r="V1525" s="126"/>
      <c r="W1525" s="126"/>
      <c r="X1525" s="126"/>
      <c r="Y1525" s="126"/>
      <c r="Z1525" s="127"/>
      <c r="AA1525" s="127"/>
      <c r="AB1525" s="127"/>
      <c r="AC1525" s="127"/>
      <c r="AD1525" s="261"/>
      <c r="AE1525" s="261"/>
      <c r="AF1525" s="261"/>
      <c r="AG1525" s="261"/>
    </row>
    <row r="1526" ht="34.5" hidden="1" customHeight="1">
      <c r="A1526" s="111"/>
      <c r="B1526" s="127"/>
      <c r="C1526" s="111"/>
      <c r="D1526" s="111"/>
      <c r="E1526" s="111"/>
      <c r="F1526" s="111"/>
      <c r="G1526" s="111"/>
      <c r="H1526" s="111"/>
      <c r="I1526" s="127"/>
      <c r="J1526" s="111"/>
      <c r="K1526" s="257"/>
      <c r="L1526" s="111"/>
      <c r="M1526" s="127"/>
      <c r="N1526" s="270"/>
      <c r="O1526" s="111"/>
      <c r="P1526" s="111"/>
      <c r="Q1526" s="128"/>
      <c r="R1526" s="124"/>
      <c r="S1526" s="125"/>
      <c r="T1526" s="126"/>
      <c r="U1526" s="126"/>
      <c r="V1526" s="126"/>
      <c r="W1526" s="126"/>
      <c r="X1526" s="126"/>
      <c r="Y1526" s="126"/>
      <c r="Z1526" s="127"/>
      <c r="AA1526" s="127"/>
      <c r="AB1526" s="127"/>
      <c r="AC1526" s="127"/>
      <c r="AD1526" s="261"/>
      <c r="AE1526" s="261"/>
      <c r="AF1526" s="261"/>
      <c r="AG1526" s="261"/>
    </row>
    <row r="1527" ht="34.5" hidden="1" customHeight="1">
      <c r="A1527" s="111"/>
      <c r="B1527" s="127"/>
      <c r="C1527" s="111"/>
      <c r="D1527" s="111"/>
      <c r="E1527" s="111"/>
      <c r="F1527" s="111"/>
      <c r="G1527" s="111"/>
      <c r="H1527" s="111"/>
      <c r="I1527" s="127"/>
      <c r="J1527" s="111"/>
      <c r="K1527" s="257"/>
      <c r="L1527" s="111"/>
      <c r="M1527" s="127"/>
      <c r="N1527" s="270"/>
      <c r="O1527" s="111"/>
      <c r="P1527" s="111"/>
      <c r="Q1527" s="128"/>
      <c r="R1527" s="124"/>
      <c r="S1527" s="125"/>
      <c r="T1527" s="126"/>
      <c r="U1527" s="126"/>
      <c r="V1527" s="126"/>
      <c r="W1527" s="126"/>
      <c r="X1527" s="126"/>
      <c r="Y1527" s="126"/>
      <c r="Z1527" s="127"/>
      <c r="AA1527" s="127"/>
      <c r="AB1527" s="127"/>
      <c r="AC1527" s="127"/>
      <c r="AD1527" s="261"/>
      <c r="AE1527" s="261"/>
      <c r="AF1527" s="261"/>
      <c r="AG1527" s="261"/>
    </row>
    <row r="1528" ht="34.5" hidden="1" customHeight="1">
      <c r="A1528" s="111"/>
      <c r="B1528" s="127"/>
      <c r="C1528" s="111"/>
      <c r="D1528" s="111"/>
      <c r="E1528" s="111"/>
      <c r="F1528" s="111"/>
      <c r="G1528" s="111"/>
      <c r="H1528" s="111"/>
      <c r="I1528" s="127"/>
      <c r="J1528" s="111"/>
      <c r="K1528" s="257"/>
      <c r="L1528" s="111"/>
      <c r="M1528" s="127"/>
      <c r="N1528" s="270"/>
      <c r="O1528" s="111"/>
      <c r="P1528" s="111"/>
      <c r="Q1528" s="128"/>
      <c r="R1528" s="124"/>
      <c r="S1528" s="125"/>
      <c r="T1528" s="126"/>
      <c r="U1528" s="126"/>
      <c r="V1528" s="126"/>
      <c r="W1528" s="126"/>
      <c r="X1528" s="126"/>
      <c r="Y1528" s="126"/>
      <c r="Z1528" s="127"/>
      <c r="AA1528" s="127"/>
      <c r="AB1528" s="127"/>
      <c r="AC1528" s="127"/>
      <c r="AD1528" s="261"/>
      <c r="AE1528" s="261"/>
      <c r="AF1528" s="261"/>
      <c r="AG1528" s="261"/>
    </row>
    <row r="1529" ht="34.5" hidden="1" customHeight="1">
      <c r="A1529" s="111"/>
      <c r="B1529" s="127"/>
      <c r="C1529" s="111"/>
      <c r="D1529" s="111"/>
      <c r="E1529" s="111"/>
      <c r="F1529" s="111"/>
      <c r="G1529" s="111"/>
      <c r="H1529" s="111"/>
      <c r="I1529" s="127"/>
      <c r="J1529" s="111"/>
      <c r="K1529" s="257"/>
      <c r="L1529" s="111"/>
      <c r="M1529" s="127"/>
      <c r="N1529" s="270"/>
      <c r="O1529" s="111"/>
      <c r="P1529" s="111"/>
      <c r="Q1529" s="128"/>
      <c r="R1529" s="124"/>
      <c r="S1529" s="125"/>
      <c r="T1529" s="126"/>
      <c r="U1529" s="126"/>
      <c r="V1529" s="126"/>
      <c r="W1529" s="126"/>
      <c r="X1529" s="126"/>
      <c r="Y1529" s="126"/>
      <c r="Z1529" s="127"/>
      <c r="AA1529" s="127"/>
      <c r="AB1529" s="127"/>
      <c r="AC1529" s="127"/>
      <c r="AD1529" s="261"/>
      <c r="AE1529" s="261"/>
      <c r="AF1529" s="261"/>
      <c r="AG1529" s="261"/>
    </row>
    <row r="1530" ht="34.5" hidden="1" customHeight="1">
      <c r="A1530" s="111"/>
      <c r="B1530" s="127"/>
      <c r="C1530" s="111"/>
      <c r="D1530" s="111"/>
      <c r="E1530" s="111"/>
      <c r="F1530" s="111"/>
      <c r="G1530" s="111"/>
      <c r="H1530" s="111"/>
      <c r="I1530" s="127"/>
      <c r="J1530" s="111"/>
      <c r="K1530" s="257"/>
      <c r="L1530" s="111"/>
      <c r="M1530" s="127"/>
      <c r="N1530" s="270"/>
      <c r="O1530" s="111"/>
      <c r="P1530" s="111"/>
      <c r="Q1530" s="128"/>
      <c r="R1530" s="124"/>
      <c r="S1530" s="125"/>
      <c r="T1530" s="126"/>
      <c r="U1530" s="126"/>
      <c r="V1530" s="126"/>
      <c r="W1530" s="126"/>
      <c r="X1530" s="126"/>
      <c r="Y1530" s="126"/>
      <c r="Z1530" s="127"/>
      <c r="AA1530" s="127"/>
      <c r="AB1530" s="127"/>
      <c r="AC1530" s="127"/>
      <c r="AD1530" s="261"/>
      <c r="AE1530" s="261"/>
      <c r="AF1530" s="261"/>
      <c r="AG1530" s="261"/>
    </row>
    <row r="1531" ht="34.5" hidden="1" customHeight="1">
      <c r="A1531" s="111"/>
      <c r="B1531" s="127"/>
      <c r="C1531" s="111"/>
      <c r="D1531" s="111"/>
      <c r="E1531" s="111"/>
      <c r="F1531" s="111"/>
      <c r="G1531" s="111"/>
      <c r="H1531" s="111"/>
      <c r="I1531" s="127"/>
      <c r="J1531" s="111"/>
      <c r="K1531" s="257"/>
      <c r="L1531" s="111"/>
      <c r="M1531" s="127"/>
      <c r="N1531" s="270"/>
      <c r="O1531" s="111"/>
      <c r="P1531" s="111"/>
      <c r="Q1531" s="128"/>
      <c r="R1531" s="124"/>
      <c r="S1531" s="125"/>
      <c r="T1531" s="126"/>
      <c r="U1531" s="126"/>
      <c r="V1531" s="126"/>
      <c r="W1531" s="126"/>
      <c r="X1531" s="126"/>
      <c r="Y1531" s="126"/>
      <c r="Z1531" s="127"/>
      <c r="AA1531" s="127"/>
      <c r="AB1531" s="127"/>
      <c r="AC1531" s="127"/>
      <c r="AD1531" s="261"/>
      <c r="AE1531" s="261"/>
      <c r="AF1531" s="261"/>
      <c r="AG1531" s="261"/>
    </row>
    <row r="1532" ht="34.5" hidden="1" customHeight="1">
      <c r="A1532" s="111"/>
      <c r="B1532" s="127"/>
      <c r="C1532" s="111"/>
      <c r="D1532" s="111"/>
      <c r="E1532" s="111"/>
      <c r="F1532" s="111"/>
      <c r="G1532" s="111"/>
      <c r="H1532" s="111"/>
      <c r="I1532" s="127"/>
      <c r="J1532" s="111"/>
      <c r="K1532" s="257"/>
      <c r="L1532" s="111"/>
      <c r="M1532" s="127"/>
      <c r="N1532" s="270"/>
      <c r="O1532" s="111"/>
      <c r="P1532" s="111"/>
      <c r="Q1532" s="128"/>
      <c r="R1532" s="124"/>
      <c r="S1532" s="125"/>
      <c r="T1532" s="126"/>
      <c r="U1532" s="126"/>
      <c r="V1532" s="126"/>
      <c r="W1532" s="126"/>
      <c r="X1532" s="126"/>
      <c r="Y1532" s="126"/>
      <c r="Z1532" s="127"/>
      <c r="AA1532" s="127"/>
      <c r="AB1532" s="127"/>
      <c r="AC1532" s="127"/>
      <c r="AD1532" s="261"/>
      <c r="AE1532" s="261"/>
      <c r="AF1532" s="261"/>
      <c r="AG1532" s="261"/>
    </row>
    <row r="1533" ht="34.5" hidden="1" customHeight="1">
      <c r="A1533" s="111"/>
      <c r="B1533" s="127"/>
      <c r="C1533" s="111"/>
      <c r="D1533" s="111"/>
      <c r="E1533" s="111"/>
      <c r="F1533" s="111"/>
      <c r="G1533" s="111"/>
      <c r="H1533" s="111"/>
      <c r="I1533" s="127"/>
      <c r="J1533" s="111"/>
      <c r="K1533" s="257"/>
      <c r="L1533" s="111"/>
      <c r="M1533" s="127"/>
      <c r="N1533" s="270"/>
      <c r="O1533" s="111"/>
      <c r="P1533" s="111"/>
      <c r="Q1533" s="128"/>
      <c r="R1533" s="124"/>
      <c r="S1533" s="125"/>
      <c r="T1533" s="126"/>
      <c r="U1533" s="126"/>
      <c r="V1533" s="126"/>
      <c r="W1533" s="126"/>
      <c r="X1533" s="126"/>
      <c r="Y1533" s="126"/>
      <c r="Z1533" s="127"/>
      <c r="AA1533" s="127"/>
      <c r="AB1533" s="127"/>
      <c r="AC1533" s="127"/>
      <c r="AD1533" s="261"/>
      <c r="AE1533" s="261"/>
      <c r="AF1533" s="261"/>
      <c r="AG1533" s="261"/>
    </row>
    <row r="1534" ht="34.5" hidden="1" customHeight="1">
      <c r="A1534" s="111"/>
      <c r="B1534" s="127"/>
      <c r="C1534" s="111"/>
      <c r="D1534" s="111"/>
      <c r="E1534" s="111"/>
      <c r="F1534" s="111"/>
      <c r="G1534" s="111"/>
      <c r="H1534" s="111"/>
      <c r="I1534" s="127"/>
      <c r="J1534" s="111"/>
      <c r="K1534" s="257"/>
      <c r="L1534" s="111"/>
      <c r="M1534" s="127"/>
      <c r="N1534" s="270"/>
      <c r="O1534" s="111"/>
      <c r="P1534" s="111"/>
      <c r="Q1534" s="128"/>
      <c r="R1534" s="124"/>
      <c r="S1534" s="125"/>
      <c r="T1534" s="126"/>
      <c r="U1534" s="126"/>
      <c r="V1534" s="126"/>
      <c r="W1534" s="126"/>
      <c r="X1534" s="126"/>
      <c r="Y1534" s="126"/>
      <c r="Z1534" s="127"/>
      <c r="AA1534" s="127"/>
      <c r="AB1534" s="127"/>
      <c r="AC1534" s="127"/>
      <c r="AD1534" s="261"/>
      <c r="AE1534" s="261"/>
      <c r="AF1534" s="261"/>
      <c r="AG1534" s="261"/>
    </row>
    <row r="1535" ht="34.5" hidden="1" customHeight="1">
      <c r="A1535" s="111"/>
      <c r="B1535" s="127"/>
      <c r="C1535" s="111"/>
      <c r="D1535" s="111"/>
      <c r="E1535" s="111"/>
      <c r="F1535" s="111"/>
      <c r="G1535" s="111"/>
      <c r="H1535" s="111"/>
      <c r="I1535" s="127"/>
      <c r="J1535" s="111"/>
      <c r="K1535" s="257"/>
      <c r="L1535" s="111"/>
      <c r="M1535" s="127"/>
      <c r="N1535" s="270"/>
      <c r="O1535" s="111"/>
      <c r="P1535" s="111"/>
      <c r="Q1535" s="128"/>
      <c r="R1535" s="124"/>
      <c r="S1535" s="125"/>
      <c r="T1535" s="126"/>
      <c r="U1535" s="126"/>
      <c r="V1535" s="126"/>
      <c r="W1535" s="126"/>
      <c r="X1535" s="126"/>
      <c r="Y1535" s="126"/>
      <c r="Z1535" s="127"/>
      <c r="AA1535" s="127"/>
      <c r="AB1535" s="127"/>
      <c r="AC1535" s="127"/>
      <c r="AD1535" s="261"/>
      <c r="AE1535" s="261"/>
      <c r="AF1535" s="261"/>
      <c r="AG1535" s="261"/>
    </row>
    <row r="1536" ht="34.5" hidden="1" customHeight="1">
      <c r="A1536" s="111"/>
      <c r="B1536" s="127"/>
      <c r="C1536" s="111"/>
      <c r="D1536" s="111"/>
      <c r="E1536" s="111"/>
      <c r="F1536" s="111"/>
      <c r="G1536" s="111"/>
      <c r="H1536" s="111"/>
      <c r="I1536" s="127"/>
      <c r="J1536" s="111"/>
      <c r="K1536" s="257"/>
      <c r="L1536" s="111"/>
      <c r="M1536" s="127"/>
      <c r="N1536" s="270"/>
      <c r="O1536" s="111"/>
      <c r="P1536" s="111"/>
      <c r="Q1536" s="128"/>
      <c r="R1536" s="124"/>
      <c r="S1536" s="125"/>
      <c r="T1536" s="126"/>
      <c r="U1536" s="126"/>
      <c r="V1536" s="126"/>
      <c r="W1536" s="126"/>
      <c r="X1536" s="126"/>
      <c r="Y1536" s="126"/>
      <c r="Z1536" s="127"/>
      <c r="AA1536" s="127"/>
      <c r="AB1536" s="127"/>
      <c r="AC1536" s="127"/>
      <c r="AD1536" s="261"/>
      <c r="AE1536" s="261"/>
      <c r="AF1536" s="261"/>
      <c r="AG1536" s="261"/>
    </row>
    <row r="1537" ht="34.5" hidden="1" customHeight="1">
      <c r="A1537" s="111"/>
      <c r="B1537" s="127"/>
      <c r="C1537" s="111"/>
      <c r="D1537" s="111"/>
      <c r="E1537" s="111"/>
      <c r="F1537" s="111"/>
      <c r="G1537" s="111"/>
      <c r="H1537" s="111"/>
      <c r="I1537" s="127"/>
      <c r="J1537" s="111"/>
      <c r="K1537" s="257"/>
      <c r="L1537" s="111"/>
      <c r="M1537" s="127"/>
      <c r="N1537" s="270"/>
      <c r="O1537" s="111"/>
      <c r="P1537" s="111"/>
      <c r="Q1537" s="128"/>
      <c r="R1537" s="124"/>
      <c r="S1537" s="125"/>
      <c r="T1537" s="126"/>
      <c r="U1537" s="126"/>
      <c r="V1537" s="126"/>
      <c r="W1537" s="126"/>
      <c r="X1537" s="126"/>
      <c r="Y1537" s="126"/>
      <c r="Z1537" s="127"/>
      <c r="AA1537" s="127"/>
      <c r="AB1537" s="127"/>
      <c r="AC1537" s="127"/>
      <c r="AD1537" s="261"/>
      <c r="AE1537" s="261"/>
      <c r="AF1537" s="261"/>
      <c r="AG1537" s="261"/>
    </row>
    <row r="1538" ht="34.5" hidden="1" customHeight="1">
      <c r="A1538" s="111"/>
      <c r="B1538" s="127"/>
      <c r="C1538" s="111"/>
      <c r="D1538" s="111"/>
      <c r="E1538" s="111"/>
      <c r="F1538" s="111"/>
      <c r="G1538" s="111"/>
      <c r="H1538" s="111"/>
      <c r="I1538" s="127"/>
      <c r="J1538" s="111"/>
      <c r="K1538" s="257"/>
      <c r="L1538" s="111"/>
      <c r="M1538" s="127"/>
      <c r="N1538" s="270"/>
      <c r="O1538" s="111"/>
      <c r="P1538" s="111"/>
      <c r="Q1538" s="128"/>
      <c r="R1538" s="124"/>
      <c r="S1538" s="125"/>
      <c r="T1538" s="126"/>
      <c r="U1538" s="126"/>
      <c r="V1538" s="126"/>
      <c r="W1538" s="126"/>
      <c r="X1538" s="126"/>
      <c r="Y1538" s="126"/>
      <c r="Z1538" s="127"/>
      <c r="AA1538" s="127"/>
      <c r="AB1538" s="127"/>
      <c r="AC1538" s="127"/>
      <c r="AD1538" s="261"/>
      <c r="AE1538" s="261"/>
      <c r="AF1538" s="261"/>
      <c r="AG1538" s="261"/>
    </row>
    <row r="1539" ht="34.5" hidden="1" customHeight="1">
      <c r="A1539" s="111"/>
      <c r="B1539" s="127"/>
      <c r="C1539" s="111"/>
      <c r="D1539" s="111"/>
      <c r="E1539" s="111"/>
      <c r="F1539" s="111"/>
      <c r="G1539" s="111"/>
      <c r="H1539" s="111"/>
      <c r="I1539" s="127"/>
      <c r="J1539" s="111"/>
      <c r="K1539" s="257"/>
      <c r="L1539" s="111"/>
      <c r="M1539" s="127"/>
      <c r="N1539" s="270"/>
      <c r="O1539" s="111"/>
      <c r="P1539" s="111"/>
      <c r="Q1539" s="128"/>
      <c r="R1539" s="124"/>
      <c r="S1539" s="125"/>
      <c r="T1539" s="126"/>
      <c r="U1539" s="126"/>
      <c r="V1539" s="126"/>
      <c r="W1539" s="126"/>
      <c r="X1539" s="126"/>
      <c r="Y1539" s="126"/>
      <c r="Z1539" s="127"/>
      <c r="AA1539" s="127"/>
      <c r="AB1539" s="127"/>
      <c r="AC1539" s="127"/>
      <c r="AD1539" s="261"/>
      <c r="AE1539" s="261"/>
      <c r="AF1539" s="261"/>
      <c r="AG1539" s="261"/>
    </row>
    <row r="1540" ht="34.5" hidden="1" customHeight="1">
      <c r="A1540" s="111"/>
      <c r="B1540" s="127"/>
      <c r="C1540" s="111"/>
      <c r="D1540" s="111"/>
      <c r="E1540" s="111"/>
      <c r="F1540" s="111"/>
      <c r="G1540" s="111"/>
      <c r="H1540" s="111"/>
      <c r="I1540" s="127"/>
      <c r="J1540" s="111"/>
      <c r="K1540" s="257"/>
      <c r="L1540" s="111"/>
      <c r="M1540" s="127"/>
      <c r="N1540" s="270"/>
      <c r="O1540" s="111"/>
      <c r="P1540" s="111"/>
      <c r="Q1540" s="128"/>
      <c r="R1540" s="124"/>
      <c r="S1540" s="125"/>
      <c r="T1540" s="126"/>
      <c r="U1540" s="126"/>
      <c r="V1540" s="126"/>
      <c r="W1540" s="126"/>
      <c r="X1540" s="126"/>
      <c r="Y1540" s="126"/>
      <c r="Z1540" s="127"/>
      <c r="AA1540" s="127"/>
      <c r="AB1540" s="127"/>
      <c r="AC1540" s="127"/>
      <c r="AD1540" s="261"/>
      <c r="AE1540" s="261"/>
      <c r="AF1540" s="261"/>
      <c r="AG1540" s="261"/>
    </row>
    <row r="1541" ht="34.5" hidden="1" customHeight="1">
      <c r="A1541" s="111"/>
      <c r="B1541" s="127"/>
      <c r="C1541" s="111"/>
      <c r="D1541" s="111"/>
      <c r="E1541" s="111"/>
      <c r="F1541" s="111"/>
      <c r="G1541" s="111"/>
      <c r="H1541" s="111"/>
      <c r="I1541" s="127"/>
      <c r="J1541" s="111"/>
      <c r="K1541" s="257"/>
      <c r="L1541" s="111"/>
      <c r="M1541" s="127"/>
      <c r="N1541" s="270"/>
      <c r="O1541" s="111"/>
      <c r="P1541" s="111"/>
      <c r="Q1541" s="128"/>
      <c r="R1541" s="124"/>
      <c r="S1541" s="125"/>
      <c r="T1541" s="126"/>
      <c r="U1541" s="126"/>
      <c r="V1541" s="126"/>
      <c r="W1541" s="126"/>
      <c r="X1541" s="126"/>
      <c r="Y1541" s="126"/>
      <c r="Z1541" s="127"/>
      <c r="AA1541" s="127"/>
      <c r="AB1541" s="127"/>
      <c r="AC1541" s="127"/>
      <c r="AD1541" s="261"/>
      <c r="AE1541" s="261"/>
      <c r="AF1541" s="261"/>
      <c r="AG1541" s="261"/>
    </row>
    <row r="1542" ht="34.5" hidden="1" customHeight="1">
      <c r="A1542" s="111"/>
      <c r="B1542" s="127"/>
      <c r="C1542" s="111"/>
      <c r="D1542" s="111"/>
      <c r="E1542" s="111"/>
      <c r="F1542" s="111"/>
      <c r="G1542" s="111"/>
      <c r="H1542" s="111"/>
      <c r="I1542" s="127"/>
      <c r="J1542" s="111"/>
      <c r="K1542" s="257"/>
      <c r="L1542" s="111"/>
      <c r="M1542" s="127"/>
      <c r="N1542" s="270"/>
      <c r="O1542" s="111"/>
      <c r="P1542" s="111"/>
      <c r="Q1542" s="128"/>
      <c r="R1542" s="124"/>
      <c r="S1542" s="125"/>
      <c r="T1542" s="126"/>
      <c r="U1542" s="126"/>
      <c r="V1542" s="126"/>
      <c r="W1542" s="126"/>
      <c r="X1542" s="126"/>
      <c r="Y1542" s="126"/>
      <c r="Z1542" s="127"/>
      <c r="AA1542" s="127"/>
      <c r="AB1542" s="127"/>
      <c r="AC1542" s="127"/>
      <c r="AD1542" s="261"/>
      <c r="AE1542" s="261"/>
      <c r="AF1542" s="261"/>
      <c r="AG1542" s="261"/>
    </row>
    <row r="1543" ht="34.5" hidden="1" customHeight="1">
      <c r="A1543" s="111"/>
      <c r="B1543" s="127"/>
      <c r="C1543" s="111"/>
      <c r="D1543" s="111"/>
      <c r="E1543" s="111"/>
      <c r="F1543" s="111"/>
      <c r="G1543" s="111"/>
      <c r="H1543" s="111"/>
      <c r="I1543" s="127"/>
      <c r="J1543" s="111"/>
      <c r="K1543" s="257"/>
      <c r="L1543" s="111"/>
      <c r="M1543" s="127"/>
      <c r="N1543" s="270"/>
      <c r="O1543" s="111"/>
      <c r="P1543" s="111"/>
      <c r="Q1543" s="128"/>
      <c r="R1543" s="124"/>
      <c r="S1543" s="125"/>
      <c r="T1543" s="126"/>
      <c r="U1543" s="126"/>
      <c r="V1543" s="126"/>
      <c r="W1543" s="126"/>
      <c r="X1543" s="126"/>
      <c r="Y1543" s="126"/>
      <c r="Z1543" s="127"/>
      <c r="AA1543" s="127"/>
      <c r="AB1543" s="127"/>
      <c r="AC1543" s="127"/>
      <c r="AD1543" s="261"/>
      <c r="AE1543" s="261"/>
      <c r="AF1543" s="261"/>
      <c r="AG1543" s="261"/>
    </row>
    <row r="1544" ht="34.5" hidden="1" customHeight="1">
      <c r="A1544" s="111"/>
      <c r="B1544" s="127"/>
      <c r="C1544" s="111"/>
      <c r="D1544" s="111"/>
      <c r="E1544" s="111"/>
      <c r="F1544" s="111"/>
      <c r="G1544" s="111"/>
      <c r="H1544" s="111"/>
      <c r="I1544" s="127"/>
      <c r="J1544" s="111"/>
      <c r="K1544" s="257"/>
      <c r="L1544" s="111"/>
      <c r="M1544" s="127"/>
      <c r="N1544" s="270"/>
      <c r="O1544" s="111"/>
      <c r="P1544" s="111"/>
      <c r="Q1544" s="128"/>
      <c r="R1544" s="124"/>
      <c r="S1544" s="125"/>
      <c r="T1544" s="126"/>
      <c r="U1544" s="126"/>
      <c r="V1544" s="126"/>
      <c r="W1544" s="126"/>
      <c r="X1544" s="126"/>
      <c r="Y1544" s="126"/>
      <c r="Z1544" s="127"/>
      <c r="AA1544" s="127"/>
      <c r="AB1544" s="127"/>
      <c r="AC1544" s="127"/>
      <c r="AD1544" s="261"/>
      <c r="AE1544" s="261"/>
      <c r="AF1544" s="261"/>
      <c r="AG1544" s="261"/>
    </row>
    <row r="1545" ht="34.5" hidden="1" customHeight="1">
      <c r="A1545" s="111"/>
      <c r="B1545" s="127"/>
      <c r="C1545" s="111"/>
      <c r="D1545" s="111"/>
      <c r="E1545" s="111"/>
      <c r="F1545" s="111"/>
      <c r="G1545" s="111"/>
      <c r="H1545" s="111"/>
      <c r="I1545" s="127"/>
      <c r="J1545" s="111"/>
      <c r="K1545" s="257"/>
      <c r="L1545" s="111"/>
      <c r="M1545" s="127"/>
      <c r="N1545" s="270"/>
      <c r="O1545" s="111"/>
      <c r="P1545" s="111"/>
      <c r="Q1545" s="128"/>
      <c r="R1545" s="124"/>
      <c r="S1545" s="125"/>
      <c r="T1545" s="126"/>
      <c r="U1545" s="126"/>
      <c r="V1545" s="126"/>
      <c r="W1545" s="126"/>
      <c r="X1545" s="126"/>
      <c r="Y1545" s="126"/>
      <c r="Z1545" s="127"/>
      <c r="AA1545" s="127"/>
      <c r="AB1545" s="127"/>
      <c r="AC1545" s="127"/>
      <c r="AD1545" s="261"/>
      <c r="AE1545" s="261"/>
      <c r="AF1545" s="261"/>
      <c r="AG1545" s="261"/>
    </row>
    <row r="1546" ht="34.5" hidden="1" customHeight="1">
      <c r="A1546" s="111"/>
      <c r="B1546" s="127"/>
      <c r="C1546" s="111"/>
      <c r="D1546" s="111"/>
      <c r="E1546" s="111"/>
      <c r="F1546" s="111"/>
      <c r="G1546" s="111"/>
      <c r="H1546" s="111"/>
      <c r="I1546" s="127"/>
      <c r="J1546" s="111"/>
      <c r="K1546" s="257"/>
      <c r="L1546" s="111"/>
      <c r="M1546" s="127"/>
      <c r="N1546" s="270"/>
      <c r="O1546" s="111"/>
      <c r="P1546" s="111"/>
      <c r="Q1546" s="128"/>
      <c r="R1546" s="124"/>
      <c r="S1546" s="125"/>
      <c r="T1546" s="126"/>
      <c r="U1546" s="126"/>
      <c r="V1546" s="126"/>
      <c r="W1546" s="126"/>
      <c r="X1546" s="126"/>
      <c r="Y1546" s="126"/>
      <c r="Z1546" s="127"/>
      <c r="AA1546" s="127"/>
      <c r="AB1546" s="127"/>
      <c r="AC1546" s="127"/>
      <c r="AD1546" s="261"/>
      <c r="AE1546" s="261"/>
      <c r="AF1546" s="261"/>
      <c r="AG1546" s="261"/>
    </row>
    <row r="1547" ht="34.5" hidden="1" customHeight="1">
      <c r="A1547" s="111"/>
      <c r="B1547" s="127"/>
      <c r="C1547" s="111"/>
      <c r="D1547" s="111"/>
      <c r="E1547" s="111"/>
      <c r="F1547" s="111"/>
      <c r="G1547" s="111"/>
      <c r="H1547" s="111"/>
      <c r="I1547" s="127"/>
      <c r="J1547" s="111"/>
      <c r="K1547" s="257"/>
      <c r="L1547" s="111"/>
      <c r="M1547" s="127"/>
      <c r="N1547" s="270"/>
      <c r="O1547" s="111"/>
      <c r="P1547" s="111"/>
      <c r="Q1547" s="128"/>
      <c r="R1547" s="124"/>
      <c r="S1547" s="125"/>
      <c r="T1547" s="126"/>
      <c r="U1547" s="126"/>
      <c r="V1547" s="126"/>
      <c r="W1547" s="126"/>
      <c r="X1547" s="126"/>
      <c r="Y1547" s="126"/>
      <c r="Z1547" s="127"/>
      <c r="AA1547" s="127"/>
      <c r="AB1547" s="127"/>
      <c r="AC1547" s="127"/>
      <c r="AD1547" s="261"/>
      <c r="AE1547" s="261"/>
      <c r="AF1547" s="261"/>
      <c r="AG1547" s="261"/>
    </row>
    <row r="1548" ht="34.5" hidden="1" customHeight="1">
      <c r="A1548" s="111"/>
      <c r="B1548" s="127"/>
      <c r="C1548" s="111"/>
      <c r="D1548" s="111"/>
      <c r="E1548" s="111"/>
      <c r="F1548" s="111"/>
      <c r="G1548" s="111"/>
      <c r="H1548" s="111"/>
      <c r="I1548" s="127"/>
      <c r="J1548" s="111"/>
      <c r="K1548" s="257"/>
      <c r="L1548" s="111"/>
      <c r="M1548" s="127"/>
      <c r="N1548" s="270"/>
      <c r="O1548" s="111"/>
      <c r="P1548" s="111"/>
      <c r="Q1548" s="128"/>
      <c r="R1548" s="124"/>
      <c r="S1548" s="125"/>
      <c r="T1548" s="126"/>
      <c r="U1548" s="126"/>
      <c r="V1548" s="126"/>
      <c r="W1548" s="126"/>
      <c r="X1548" s="126"/>
      <c r="Y1548" s="126"/>
      <c r="Z1548" s="127"/>
      <c r="AA1548" s="127"/>
      <c r="AB1548" s="127"/>
      <c r="AC1548" s="127"/>
      <c r="AD1548" s="261"/>
      <c r="AE1548" s="261"/>
      <c r="AF1548" s="261"/>
      <c r="AG1548" s="261"/>
    </row>
    <row r="1549" ht="34.5" hidden="1" customHeight="1">
      <c r="A1549" s="111"/>
      <c r="B1549" s="127"/>
      <c r="C1549" s="111"/>
      <c r="D1549" s="111"/>
      <c r="E1549" s="111"/>
      <c r="F1549" s="111"/>
      <c r="G1549" s="111"/>
      <c r="H1549" s="111"/>
      <c r="I1549" s="127"/>
      <c r="J1549" s="111"/>
      <c r="K1549" s="257"/>
      <c r="L1549" s="111"/>
      <c r="M1549" s="127"/>
      <c r="N1549" s="270"/>
      <c r="O1549" s="111"/>
      <c r="P1549" s="111"/>
      <c r="Q1549" s="128"/>
      <c r="R1549" s="124"/>
      <c r="S1549" s="125"/>
      <c r="T1549" s="126"/>
      <c r="U1549" s="126"/>
      <c r="V1549" s="126"/>
      <c r="W1549" s="126"/>
      <c r="X1549" s="126"/>
      <c r="Y1549" s="126"/>
      <c r="Z1549" s="127"/>
      <c r="AA1549" s="127"/>
      <c r="AB1549" s="127"/>
      <c r="AC1549" s="127"/>
      <c r="AD1549" s="261"/>
      <c r="AE1549" s="261"/>
      <c r="AF1549" s="261"/>
      <c r="AG1549" s="261"/>
    </row>
    <row r="1550" ht="34.5" hidden="1" customHeight="1">
      <c r="A1550" s="111"/>
      <c r="B1550" s="127"/>
      <c r="C1550" s="111"/>
      <c r="D1550" s="111"/>
      <c r="E1550" s="111"/>
      <c r="F1550" s="111"/>
      <c r="G1550" s="111"/>
      <c r="H1550" s="111"/>
      <c r="I1550" s="127"/>
      <c r="J1550" s="111"/>
      <c r="K1550" s="257"/>
      <c r="L1550" s="111"/>
      <c r="M1550" s="127"/>
      <c r="N1550" s="270"/>
      <c r="O1550" s="111"/>
      <c r="P1550" s="111"/>
      <c r="Q1550" s="128"/>
      <c r="R1550" s="124"/>
      <c r="S1550" s="125"/>
      <c r="T1550" s="126"/>
      <c r="U1550" s="126"/>
      <c r="V1550" s="126"/>
      <c r="W1550" s="126"/>
      <c r="X1550" s="126"/>
      <c r="Y1550" s="126"/>
      <c r="Z1550" s="127"/>
      <c r="AA1550" s="127"/>
      <c r="AB1550" s="127"/>
      <c r="AC1550" s="127"/>
      <c r="AD1550" s="261"/>
      <c r="AE1550" s="261"/>
      <c r="AF1550" s="261"/>
      <c r="AG1550" s="261"/>
    </row>
    <row r="1551" ht="34.5" hidden="1" customHeight="1">
      <c r="A1551" s="111"/>
      <c r="B1551" s="127"/>
      <c r="C1551" s="111"/>
      <c r="D1551" s="111"/>
      <c r="E1551" s="111"/>
      <c r="F1551" s="111"/>
      <c r="G1551" s="111"/>
      <c r="H1551" s="111"/>
      <c r="I1551" s="127"/>
      <c r="J1551" s="111"/>
      <c r="K1551" s="257"/>
      <c r="L1551" s="111"/>
      <c r="M1551" s="127"/>
      <c r="N1551" s="270"/>
      <c r="O1551" s="111"/>
      <c r="P1551" s="111"/>
      <c r="Q1551" s="128"/>
      <c r="R1551" s="124"/>
      <c r="S1551" s="125"/>
      <c r="T1551" s="126"/>
      <c r="U1551" s="126"/>
      <c r="V1551" s="126"/>
      <c r="W1551" s="126"/>
      <c r="X1551" s="126"/>
      <c r="Y1551" s="126"/>
      <c r="Z1551" s="127"/>
      <c r="AA1551" s="127"/>
      <c r="AB1551" s="127"/>
      <c r="AC1551" s="127"/>
      <c r="AD1551" s="261"/>
      <c r="AE1551" s="261"/>
      <c r="AF1551" s="261"/>
      <c r="AG1551" s="261"/>
    </row>
    <row r="1552" ht="34.5" hidden="1" customHeight="1">
      <c r="A1552" s="111"/>
      <c r="B1552" s="127"/>
      <c r="C1552" s="111"/>
      <c r="D1552" s="111"/>
      <c r="E1552" s="111"/>
      <c r="F1552" s="111"/>
      <c r="G1552" s="111"/>
      <c r="H1552" s="111"/>
      <c r="I1552" s="127"/>
      <c r="J1552" s="111"/>
      <c r="K1552" s="257"/>
      <c r="L1552" s="111"/>
      <c r="M1552" s="127"/>
      <c r="N1552" s="270"/>
      <c r="O1552" s="111"/>
      <c r="P1552" s="111"/>
      <c r="Q1552" s="128"/>
      <c r="R1552" s="124"/>
      <c r="S1552" s="125"/>
      <c r="T1552" s="126"/>
      <c r="U1552" s="126"/>
      <c r="V1552" s="126"/>
      <c r="W1552" s="126"/>
      <c r="X1552" s="126"/>
      <c r="Y1552" s="126"/>
      <c r="Z1552" s="127"/>
      <c r="AA1552" s="127"/>
      <c r="AB1552" s="127"/>
      <c r="AC1552" s="127"/>
      <c r="AD1552" s="261"/>
      <c r="AE1552" s="261"/>
      <c r="AF1552" s="261"/>
      <c r="AG1552" s="261"/>
    </row>
    <row r="1553" ht="34.5" hidden="1" customHeight="1">
      <c r="A1553" s="111"/>
      <c r="B1553" s="127"/>
      <c r="C1553" s="111"/>
      <c r="D1553" s="111"/>
      <c r="E1553" s="111"/>
      <c r="F1553" s="111"/>
      <c r="G1553" s="111"/>
      <c r="H1553" s="111"/>
      <c r="I1553" s="127"/>
      <c r="J1553" s="111"/>
      <c r="K1553" s="257"/>
      <c r="L1553" s="111"/>
      <c r="M1553" s="127"/>
      <c r="N1553" s="270"/>
      <c r="O1553" s="111"/>
      <c r="P1553" s="111"/>
      <c r="Q1553" s="128"/>
      <c r="R1553" s="124"/>
      <c r="S1553" s="125"/>
      <c r="T1553" s="126"/>
      <c r="U1553" s="126"/>
      <c r="V1553" s="126"/>
      <c r="W1553" s="126"/>
      <c r="X1553" s="126"/>
      <c r="Y1553" s="126"/>
      <c r="Z1553" s="127"/>
      <c r="AA1553" s="127"/>
      <c r="AB1553" s="127"/>
      <c r="AC1553" s="127"/>
      <c r="AD1553" s="261"/>
      <c r="AE1553" s="261"/>
      <c r="AF1553" s="261"/>
      <c r="AG1553" s="261"/>
    </row>
    <row r="1554" ht="34.5" hidden="1" customHeight="1">
      <c r="A1554" s="111"/>
      <c r="B1554" s="127"/>
      <c r="C1554" s="111"/>
      <c r="D1554" s="111"/>
      <c r="E1554" s="111"/>
      <c r="F1554" s="111"/>
      <c r="G1554" s="111"/>
      <c r="H1554" s="111"/>
      <c r="I1554" s="127"/>
      <c r="J1554" s="111"/>
      <c r="K1554" s="257"/>
      <c r="L1554" s="111"/>
      <c r="M1554" s="127"/>
      <c r="N1554" s="270"/>
      <c r="O1554" s="111"/>
      <c r="P1554" s="111"/>
      <c r="Q1554" s="128"/>
      <c r="R1554" s="124"/>
      <c r="S1554" s="125"/>
      <c r="T1554" s="126"/>
      <c r="U1554" s="126"/>
      <c r="V1554" s="126"/>
      <c r="W1554" s="126"/>
      <c r="X1554" s="126"/>
      <c r="Y1554" s="126"/>
      <c r="Z1554" s="127"/>
      <c r="AA1554" s="127"/>
      <c r="AB1554" s="127"/>
      <c r="AC1554" s="127"/>
      <c r="AD1554" s="261"/>
      <c r="AE1554" s="261"/>
      <c r="AF1554" s="261"/>
      <c r="AG1554" s="261"/>
    </row>
    <row r="1555" ht="34.5" hidden="1" customHeight="1">
      <c r="A1555" s="111"/>
      <c r="B1555" s="127"/>
      <c r="C1555" s="111"/>
      <c r="D1555" s="111"/>
      <c r="E1555" s="111"/>
      <c r="F1555" s="111"/>
      <c r="G1555" s="111"/>
      <c r="H1555" s="111"/>
      <c r="I1555" s="127"/>
      <c r="J1555" s="111"/>
      <c r="K1555" s="257"/>
      <c r="L1555" s="111"/>
      <c r="M1555" s="127"/>
      <c r="N1555" s="270"/>
      <c r="O1555" s="111"/>
      <c r="P1555" s="111"/>
      <c r="Q1555" s="128"/>
      <c r="R1555" s="124"/>
      <c r="S1555" s="125"/>
      <c r="T1555" s="126"/>
      <c r="U1555" s="126"/>
      <c r="V1555" s="126"/>
      <c r="W1555" s="126"/>
      <c r="X1555" s="126"/>
      <c r="Y1555" s="126"/>
      <c r="Z1555" s="127"/>
      <c r="AA1555" s="127"/>
      <c r="AB1555" s="127"/>
      <c r="AC1555" s="127"/>
      <c r="AD1555" s="261"/>
      <c r="AE1555" s="261"/>
      <c r="AF1555" s="261"/>
      <c r="AG1555" s="261"/>
    </row>
    <row r="1556" ht="34.5" hidden="1" customHeight="1">
      <c r="A1556" s="111"/>
      <c r="B1556" s="127"/>
      <c r="C1556" s="111"/>
      <c r="D1556" s="111"/>
      <c r="E1556" s="111"/>
      <c r="F1556" s="111"/>
      <c r="G1556" s="111"/>
      <c r="H1556" s="111"/>
      <c r="I1556" s="127"/>
      <c r="J1556" s="111"/>
      <c r="K1556" s="257"/>
      <c r="L1556" s="111"/>
      <c r="M1556" s="127"/>
      <c r="N1556" s="270"/>
      <c r="O1556" s="111"/>
      <c r="P1556" s="111"/>
      <c r="Q1556" s="128"/>
      <c r="R1556" s="124"/>
      <c r="S1556" s="125"/>
      <c r="T1556" s="126"/>
      <c r="U1556" s="126"/>
      <c r="V1556" s="126"/>
      <c r="W1556" s="126"/>
      <c r="X1556" s="126"/>
      <c r="Y1556" s="126"/>
      <c r="Z1556" s="127"/>
      <c r="AA1556" s="127"/>
      <c r="AB1556" s="127"/>
      <c r="AC1556" s="127"/>
      <c r="AD1556" s="261"/>
      <c r="AE1556" s="261"/>
      <c r="AF1556" s="261"/>
      <c r="AG1556" s="261"/>
    </row>
    <row r="1557" ht="34.5" hidden="1" customHeight="1">
      <c r="A1557" s="111"/>
      <c r="B1557" s="127"/>
      <c r="C1557" s="111"/>
      <c r="D1557" s="111"/>
      <c r="E1557" s="111"/>
      <c r="F1557" s="111"/>
      <c r="G1557" s="111"/>
      <c r="H1557" s="111"/>
      <c r="I1557" s="127"/>
      <c r="J1557" s="111"/>
      <c r="K1557" s="257"/>
      <c r="L1557" s="111"/>
      <c r="M1557" s="127"/>
      <c r="N1557" s="270"/>
      <c r="O1557" s="111"/>
      <c r="P1557" s="111"/>
      <c r="Q1557" s="128"/>
      <c r="R1557" s="124"/>
      <c r="S1557" s="125"/>
      <c r="T1557" s="126"/>
      <c r="U1557" s="126"/>
      <c r="V1557" s="126"/>
      <c r="W1557" s="126"/>
      <c r="X1557" s="126"/>
      <c r="Y1557" s="126"/>
      <c r="Z1557" s="127"/>
      <c r="AA1557" s="127"/>
      <c r="AB1557" s="127"/>
      <c r="AC1557" s="127"/>
      <c r="AD1557" s="261"/>
      <c r="AE1557" s="261"/>
      <c r="AF1557" s="261"/>
      <c r="AG1557" s="261"/>
    </row>
    <row r="1558" ht="34.5" hidden="1" customHeight="1">
      <c r="A1558" s="111"/>
      <c r="B1558" s="127"/>
      <c r="C1558" s="111"/>
      <c r="D1558" s="111"/>
      <c r="E1558" s="111"/>
      <c r="F1558" s="111"/>
      <c r="G1558" s="111"/>
      <c r="H1558" s="111"/>
      <c r="I1558" s="127"/>
      <c r="J1558" s="111"/>
      <c r="K1558" s="257"/>
      <c r="L1558" s="111"/>
      <c r="M1558" s="127"/>
      <c r="N1558" s="270"/>
      <c r="O1558" s="111"/>
      <c r="P1558" s="111"/>
      <c r="Q1558" s="128"/>
      <c r="R1558" s="124"/>
      <c r="S1558" s="125"/>
      <c r="T1558" s="126"/>
      <c r="U1558" s="126"/>
      <c r="V1558" s="126"/>
      <c r="W1558" s="126"/>
      <c r="X1558" s="126"/>
      <c r="Y1558" s="126"/>
      <c r="Z1558" s="127"/>
      <c r="AA1558" s="127"/>
      <c r="AB1558" s="127"/>
      <c r="AC1558" s="127"/>
      <c r="AD1558" s="261"/>
      <c r="AE1558" s="261"/>
      <c r="AF1558" s="261"/>
      <c r="AG1558" s="261"/>
    </row>
    <row r="1559" ht="34.5" hidden="1" customHeight="1">
      <c r="A1559" s="111"/>
      <c r="B1559" s="127"/>
      <c r="C1559" s="111"/>
      <c r="D1559" s="111"/>
      <c r="E1559" s="111"/>
      <c r="F1559" s="111"/>
      <c r="G1559" s="111"/>
      <c r="H1559" s="111"/>
      <c r="I1559" s="127"/>
      <c r="J1559" s="111"/>
      <c r="K1559" s="257"/>
      <c r="L1559" s="111"/>
      <c r="M1559" s="127"/>
      <c r="N1559" s="270"/>
      <c r="O1559" s="111"/>
      <c r="P1559" s="111"/>
      <c r="Q1559" s="128"/>
      <c r="R1559" s="124"/>
      <c r="S1559" s="125"/>
      <c r="T1559" s="126"/>
      <c r="U1559" s="126"/>
      <c r="V1559" s="126"/>
      <c r="W1559" s="126"/>
      <c r="X1559" s="126"/>
      <c r="Y1559" s="126"/>
      <c r="Z1559" s="127"/>
      <c r="AA1559" s="127"/>
      <c r="AB1559" s="127"/>
      <c r="AC1559" s="127"/>
      <c r="AD1559" s="261"/>
      <c r="AE1559" s="261"/>
      <c r="AF1559" s="261"/>
      <c r="AG1559" s="261"/>
    </row>
    <row r="1560" ht="34.5" hidden="1" customHeight="1">
      <c r="A1560" s="111"/>
      <c r="B1560" s="127"/>
      <c r="C1560" s="111"/>
      <c r="D1560" s="111"/>
      <c r="E1560" s="111"/>
      <c r="F1560" s="111"/>
      <c r="G1560" s="111"/>
      <c r="H1560" s="111"/>
      <c r="I1560" s="127"/>
      <c r="J1560" s="111"/>
      <c r="K1560" s="257"/>
      <c r="L1560" s="111"/>
      <c r="M1560" s="127"/>
      <c r="N1560" s="270"/>
      <c r="O1560" s="111"/>
      <c r="P1560" s="111"/>
      <c r="Q1560" s="128"/>
      <c r="R1560" s="124"/>
      <c r="S1560" s="125"/>
      <c r="T1560" s="126"/>
      <c r="U1560" s="126"/>
      <c r="V1560" s="126"/>
      <c r="W1560" s="126"/>
      <c r="X1560" s="126"/>
      <c r="Y1560" s="126"/>
      <c r="Z1560" s="127"/>
      <c r="AA1560" s="127"/>
      <c r="AB1560" s="127"/>
      <c r="AC1560" s="127"/>
      <c r="AD1560" s="261"/>
      <c r="AE1560" s="261"/>
      <c r="AF1560" s="261"/>
      <c r="AG1560" s="261"/>
    </row>
    <row r="1561" ht="34.5" hidden="1" customHeight="1">
      <c r="A1561" s="111"/>
      <c r="B1561" s="127"/>
      <c r="C1561" s="111"/>
      <c r="D1561" s="111"/>
      <c r="E1561" s="111"/>
      <c r="F1561" s="111"/>
      <c r="G1561" s="111"/>
      <c r="H1561" s="111"/>
      <c r="I1561" s="127"/>
      <c r="J1561" s="111"/>
      <c r="K1561" s="257"/>
      <c r="L1561" s="111"/>
      <c r="M1561" s="127"/>
      <c r="N1561" s="270"/>
      <c r="O1561" s="111"/>
      <c r="P1561" s="111"/>
      <c r="Q1561" s="128"/>
      <c r="R1561" s="124"/>
      <c r="S1561" s="125"/>
      <c r="T1561" s="126"/>
      <c r="U1561" s="126"/>
      <c r="V1561" s="126"/>
      <c r="W1561" s="126"/>
      <c r="X1561" s="126"/>
      <c r="Y1561" s="126"/>
      <c r="Z1561" s="127"/>
      <c r="AA1561" s="127"/>
      <c r="AB1561" s="127"/>
      <c r="AC1561" s="127"/>
      <c r="AD1561" s="261"/>
      <c r="AE1561" s="261"/>
      <c r="AF1561" s="261"/>
      <c r="AG1561" s="261"/>
    </row>
    <row r="1562" ht="34.5" hidden="1" customHeight="1">
      <c r="A1562" s="111"/>
      <c r="B1562" s="127"/>
      <c r="C1562" s="111"/>
      <c r="D1562" s="111"/>
      <c r="E1562" s="111"/>
      <c r="F1562" s="111"/>
      <c r="G1562" s="111"/>
      <c r="H1562" s="111"/>
      <c r="I1562" s="127"/>
      <c r="J1562" s="111"/>
      <c r="K1562" s="257"/>
      <c r="L1562" s="111"/>
      <c r="M1562" s="127"/>
      <c r="N1562" s="270"/>
      <c r="O1562" s="111"/>
      <c r="P1562" s="111"/>
      <c r="Q1562" s="128"/>
      <c r="R1562" s="124"/>
      <c r="S1562" s="125"/>
      <c r="T1562" s="126"/>
      <c r="U1562" s="126"/>
      <c r="V1562" s="126"/>
      <c r="W1562" s="126"/>
      <c r="X1562" s="126"/>
      <c r="Y1562" s="126"/>
      <c r="Z1562" s="127"/>
      <c r="AA1562" s="127"/>
      <c r="AB1562" s="127"/>
      <c r="AC1562" s="127"/>
      <c r="AD1562" s="261"/>
      <c r="AE1562" s="261"/>
      <c r="AF1562" s="261"/>
      <c r="AG1562" s="261"/>
    </row>
    <row r="1563" ht="34.5" hidden="1" customHeight="1">
      <c r="A1563" s="111"/>
      <c r="B1563" s="127"/>
      <c r="C1563" s="111"/>
      <c r="D1563" s="111"/>
      <c r="E1563" s="111"/>
      <c r="F1563" s="111"/>
      <c r="G1563" s="111"/>
      <c r="H1563" s="111"/>
      <c r="I1563" s="127"/>
      <c r="J1563" s="111"/>
      <c r="K1563" s="257"/>
      <c r="L1563" s="111"/>
      <c r="M1563" s="127"/>
      <c r="N1563" s="270"/>
      <c r="O1563" s="111"/>
      <c r="P1563" s="111"/>
      <c r="Q1563" s="128"/>
      <c r="R1563" s="124"/>
      <c r="S1563" s="125"/>
      <c r="T1563" s="126"/>
      <c r="U1563" s="126"/>
      <c r="V1563" s="126"/>
      <c r="W1563" s="126"/>
      <c r="X1563" s="126"/>
      <c r="Y1563" s="126"/>
      <c r="Z1563" s="127"/>
      <c r="AA1563" s="127"/>
      <c r="AB1563" s="127"/>
      <c r="AC1563" s="127"/>
      <c r="AD1563" s="261"/>
      <c r="AE1563" s="261"/>
      <c r="AF1563" s="261"/>
      <c r="AG1563" s="261"/>
    </row>
    <row r="1564" ht="34.5" hidden="1" customHeight="1">
      <c r="A1564" s="111"/>
      <c r="B1564" s="127"/>
      <c r="C1564" s="111"/>
      <c r="D1564" s="111"/>
      <c r="E1564" s="111"/>
      <c r="F1564" s="111"/>
      <c r="G1564" s="111"/>
      <c r="H1564" s="111"/>
      <c r="I1564" s="127"/>
      <c r="J1564" s="111"/>
      <c r="K1564" s="257"/>
      <c r="L1564" s="111"/>
      <c r="M1564" s="127"/>
      <c r="N1564" s="270"/>
      <c r="O1564" s="111"/>
      <c r="P1564" s="111"/>
      <c r="Q1564" s="128"/>
      <c r="R1564" s="124"/>
      <c r="S1564" s="125"/>
      <c r="T1564" s="126"/>
      <c r="U1564" s="126"/>
      <c r="V1564" s="126"/>
      <c r="W1564" s="126"/>
      <c r="X1564" s="126"/>
      <c r="Y1564" s="126"/>
      <c r="Z1564" s="127"/>
      <c r="AA1564" s="127"/>
      <c r="AB1564" s="127"/>
      <c r="AC1564" s="127"/>
      <c r="AD1564" s="261"/>
      <c r="AE1564" s="261"/>
      <c r="AF1564" s="261"/>
      <c r="AG1564" s="261"/>
    </row>
    <row r="1565" ht="34.5" hidden="1" customHeight="1">
      <c r="A1565" s="111"/>
      <c r="B1565" s="127"/>
      <c r="C1565" s="111"/>
      <c r="D1565" s="111"/>
      <c r="E1565" s="111"/>
      <c r="F1565" s="111"/>
      <c r="G1565" s="111"/>
      <c r="H1565" s="111"/>
      <c r="I1565" s="127"/>
      <c r="J1565" s="111"/>
      <c r="K1565" s="257"/>
      <c r="L1565" s="111"/>
      <c r="M1565" s="127"/>
      <c r="N1565" s="270"/>
      <c r="O1565" s="111"/>
      <c r="P1565" s="111"/>
      <c r="Q1565" s="128"/>
      <c r="R1565" s="124"/>
      <c r="S1565" s="125"/>
      <c r="T1565" s="126"/>
      <c r="U1565" s="126"/>
      <c r="V1565" s="126"/>
      <c r="W1565" s="126"/>
      <c r="X1565" s="126"/>
      <c r="Y1565" s="126"/>
      <c r="Z1565" s="127"/>
      <c r="AA1565" s="127"/>
      <c r="AB1565" s="127"/>
      <c r="AC1565" s="127"/>
      <c r="AD1565" s="261"/>
      <c r="AE1565" s="261"/>
      <c r="AF1565" s="261"/>
      <c r="AG1565" s="261"/>
    </row>
    <row r="1566" ht="34.5" hidden="1" customHeight="1">
      <c r="A1566" s="111"/>
      <c r="B1566" s="127"/>
      <c r="C1566" s="111"/>
      <c r="D1566" s="111"/>
      <c r="E1566" s="111"/>
      <c r="F1566" s="111"/>
      <c r="G1566" s="111"/>
      <c r="H1566" s="111"/>
      <c r="I1566" s="127"/>
      <c r="J1566" s="111"/>
      <c r="K1566" s="257"/>
      <c r="L1566" s="111"/>
      <c r="M1566" s="127"/>
      <c r="N1566" s="270"/>
      <c r="O1566" s="111"/>
      <c r="P1566" s="111"/>
      <c r="Q1566" s="128"/>
      <c r="R1566" s="124"/>
      <c r="S1566" s="125"/>
      <c r="T1566" s="126"/>
      <c r="U1566" s="126"/>
      <c r="V1566" s="126"/>
      <c r="W1566" s="126"/>
      <c r="X1566" s="126"/>
      <c r="Y1566" s="126"/>
      <c r="Z1566" s="127"/>
      <c r="AA1566" s="127"/>
      <c r="AB1566" s="127"/>
      <c r="AC1566" s="127"/>
      <c r="AD1566" s="261"/>
      <c r="AE1566" s="261"/>
      <c r="AF1566" s="261"/>
      <c r="AG1566" s="261"/>
    </row>
    <row r="1567" ht="34.5" hidden="1" customHeight="1">
      <c r="A1567" s="111"/>
      <c r="B1567" s="127"/>
      <c r="C1567" s="111"/>
      <c r="D1567" s="111"/>
      <c r="E1567" s="111"/>
      <c r="F1567" s="111"/>
      <c r="G1567" s="111"/>
      <c r="H1567" s="111"/>
      <c r="I1567" s="127"/>
      <c r="J1567" s="111"/>
      <c r="K1567" s="257"/>
      <c r="L1567" s="111"/>
      <c r="M1567" s="127"/>
      <c r="N1567" s="270"/>
      <c r="O1567" s="111"/>
      <c r="P1567" s="111"/>
      <c r="Q1567" s="128"/>
      <c r="R1567" s="124"/>
      <c r="S1567" s="125"/>
      <c r="T1567" s="126"/>
      <c r="U1567" s="126"/>
      <c r="V1567" s="126"/>
      <c r="W1567" s="126"/>
      <c r="X1567" s="126"/>
      <c r="Y1567" s="126"/>
      <c r="Z1567" s="127"/>
      <c r="AA1567" s="127"/>
      <c r="AB1567" s="127"/>
      <c r="AC1567" s="127"/>
      <c r="AD1567" s="261"/>
      <c r="AE1567" s="261"/>
      <c r="AF1567" s="261"/>
      <c r="AG1567" s="261"/>
    </row>
    <row r="1568" ht="34.5" hidden="1" customHeight="1">
      <c r="A1568" s="111"/>
      <c r="B1568" s="127"/>
      <c r="C1568" s="111"/>
      <c r="D1568" s="111"/>
      <c r="E1568" s="111"/>
      <c r="F1568" s="111"/>
      <c r="G1568" s="111"/>
      <c r="H1568" s="111"/>
      <c r="I1568" s="127"/>
      <c r="J1568" s="111"/>
      <c r="K1568" s="257"/>
      <c r="L1568" s="111"/>
      <c r="M1568" s="127"/>
      <c r="N1568" s="270"/>
      <c r="O1568" s="111"/>
      <c r="P1568" s="111"/>
      <c r="Q1568" s="128"/>
      <c r="R1568" s="124"/>
      <c r="S1568" s="125"/>
      <c r="T1568" s="126"/>
      <c r="U1568" s="126"/>
      <c r="V1568" s="126"/>
      <c r="W1568" s="126"/>
      <c r="X1568" s="126"/>
      <c r="Y1568" s="126"/>
      <c r="Z1568" s="127"/>
      <c r="AA1568" s="127"/>
      <c r="AB1568" s="127"/>
      <c r="AC1568" s="127"/>
      <c r="AD1568" s="261"/>
      <c r="AE1568" s="261"/>
      <c r="AF1568" s="261"/>
      <c r="AG1568" s="261"/>
    </row>
    <row r="1569" ht="34.5" hidden="1" customHeight="1">
      <c r="A1569" s="111"/>
      <c r="B1569" s="127"/>
      <c r="C1569" s="111"/>
      <c r="D1569" s="111"/>
      <c r="E1569" s="111"/>
      <c r="F1569" s="111"/>
      <c r="G1569" s="111"/>
      <c r="H1569" s="111"/>
      <c r="I1569" s="127"/>
      <c r="J1569" s="111"/>
      <c r="K1569" s="257"/>
      <c r="L1569" s="111"/>
      <c r="M1569" s="127"/>
      <c r="N1569" s="270"/>
      <c r="O1569" s="111"/>
      <c r="P1569" s="111"/>
      <c r="Q1569" s="128"/>
      <c r="R1569" s="124"/>
      <c r="S1569" s="125"/>
      <c r="T1569" s="126"/>
      <c r="U1569" s="126"/>
      <c r="V1569" s="126"/>
      <c r="W1569" s="126"/>
      <c r="X1569" s="126"/>
      <c r="Y1569" s="126"/>
      <c r="Z1569" s="127"/>
      <c r="AA1569" s="127"/>
      <c r="AB1569" s="127"/>
      <c r="AC1569" s="127"/>
      <c r="AD1569" s="261"/>
      <c r="AE1569" s="261"/>
      <c r="AF1569" s="261"/>
      <c r="AG1569" s="261"/>
    </row>
    <row r="1570" ht="34.5" hidden="1" customHeight="1">
      <c r="A1570" s="111"/>
      <c r="B1570" s="127"/>
      <c r="C1570" s="111"/>
      <c r="D1570" s="111"/>
      <c r="E1570" s="111"/>
      <c r="F1570" s="111"/>
      <c r="G1570" s="111"/>
      <c r="H1570" s="111"/>
      <c r="I1570" s="127"/>
      <c r="J1570" s="111"/>
      <c r="K1570" s="257"/>
      <c r="L1570" s="111"/>
      <c r="M1570" s="127"/>
      <c r="N1570" s="270"/>
      <c r="O1570" s="111"/>
      <c r="P1570" s="111"/>
      <c r="Q1570" s="128"/>
      <c r="R1570" s="124"/>
      <c r="S1570" s="125"/>
      <c r="T1570" s="126"/>
      <c r="U1570" s="126"/>
      <c r="V1570" s="126"/>
      <c r="W1570" s="126"/>
      <c r="X1570" s="126"/>
      <c r="Y1570" s="126"/>
      <c r="Z1570" s="127"/>
      <c r="AA1570" s="127"/>
      <c r="AB1570" s="127"/>
      <c r="AC1570" s="127"/>
      <c r="AD1570" s="261"/>
      <c r="AE1570" s="261"/>
      <c r="AF1570" s="261"/>
      <c r="AG1570" s="261"/>
    </row>
    <row r="1571" ht="34.5" hidden="1" customHeight="1">
      <c r="A1571" s="111"/>
      <c r="B1571" s="127"/>
      <c r="C1571" s="111"/>
      <c r="D1571" s="111"/>
      <c r="E1571" s="111"/>
      <c r="F1571" s="111"/>
      <c r="G1571" s="111"/>
      <c r="H1571" s="111"/>
      <c r="I1571" s="127"/>
      <c r="J1571" s="111"/>
      <c r="K1571" s="257"/>
      <c r="L1571" s="111"/>
      <c r="M1571" s="127"/>
      <c r="N1571" s="270"/>
      <c r="O1571" s="111"/>
      <c r="P1571" s="111"/>
      <c r="Q1571" s="128"/>
      <c r="R1571" s="124"/>
      <c r="S1571" s="125"/>
      <c r="T1571" s="126"/>
      <c r="U1571" s="126"/>
      <c r="V1571" s="126"/>
      <c r="W1571" s="126"/>
      <c r="X1571" s="126"/>
      <c r="Y1571" s="126"/>
      <c r="Z1571" s="127"/>
      <c r="AA1571" s="127"/>
      <c r="AB1571" s="127"/>
      <c r="AC1571" s="127"/>
      <c r="AD1571" s="261"/>
      <c r="AE1571" s="261"/>
      <c r="AF1571" s="261"/>
      <c r="AG1571" s="261"/>
    </row>
    <row r="1572" ht="34.5" hidden="1" customHeight="1">
      <c r="A1572" s="111"/>
      <c r="B1572" s="127"/>
      <c r="C1572" s="111"/>
      <c r="D1572" s="111"/>
      <c r="E1572" s="111"/>
      <c r="F1572" s="111"/>
      <c r="G1572" s="111"/>
      <c r="H1572" s="111"/>
      <c r="I1572" s="127"/>
      <c r="J1572" s="111"/>
      <c r="K1572" s="257"/>
      <c r="L1572" s="111"/>
      <c r="M1572" s="127"/>
      <c r="N1572" s="270"/>
      <c r="O1572" s="111"/>
      <c r="P1572" s="111"/>
      <c r="Q1572" s="128"/>
      <c r="R1572" s="124"/>
      <c r="S1572" s="125"/>
      <c r="T1572" s="126"/>
      <c r="U1572" s="126"/>
      <c r="V1572" s="126"/>
      <c r="W1572" s="126"/>
      <c r="X1572" s="126"/>
      <c r="Y1572" s="126"/>
      <c r="Z1572" s="127"/>
      <c r="AA1572" s="127"/>
      <c r="AB1572" s="127"/>
      <c r="AC1572" s="127"/>
      <c r="AD1572" s="261"/>
      <c r="AE1572" s="261"/>
      <c r="AF1572" s="261"/>
      <c r="AG1572" s="261"/>
    </row>
    <row r="1573" ht="34.5" hidden="1" customHeight="1">
      <c r="A1573" s="111"/>
      <c r="B1573" s="127"/>
      <c r="C1573" s="111"/>
      <c r="D1573" s="111"/>
      <c r="E1573" s="111"/>
      <c r="F1573" s="111"/>
      <c r="G1573" s="111"/>
      <c r="H1573" s="111"/>
      <c r="I1573" s="127"/>
      <c r="J1573" s="111"/>
      <c r="K1573" s="257"/>
      <c r="L1573" s="111"/>
      <c r="M1573" s="127"/>
      <c r="N1573" s="270"/>
      <c r="O1573" s="111"/>
      <c r="P1573" s="111"/>
      <c r="Q1573" s="128"/>
      <c r="R1573" s="124"/>
      <c r="S1573" s="125"/>
      <c r="T1573" s="126"/>
      <c r="U1573" s="126"/>
      <c r="V1573" s="126"/>
      <c r="W1573" s="126"/>
      <c r="X1573" s="126"/>
      <c r="Y1573" s="126"/>
      <c r="Z1573" s="127"/>
      <c r="AA1573" s="127"/>
      <c r="AB1573" s="127"/>
      <c r="AC1573" s="127"/>
      <c r="AD1573" s="261"/>
      <c r="AE1573" s="261"/>
      <c r="AF1573" s="261"/>
      <c r="AG1573" s="261"/>
    </row>
    <row r="1574" ht="34.5" hidden="1" customHeight="1">
      <c r="A1574" s="111"/>
      <c r="B1574" s="127"/>
      <c r="C1574" s="111"/>
      <c r="D1574" s="111"/>
      <c r="E1574" s="111"/>
      <c r="F1574" s="111"/>
      <c r="G1574" s="111"/>
      <c r="H1574" s="111"/>
      <c r="I1574" s="127"/>
      <c r="J1574" s="111"/>
      <c r="K1574" s="257"/>
      <c r="L1574" s="111"/>
      <c r="M1574" s="127"/>
      <c r="N1574" s="270"/>
      <c r="O1574" s="111"/>
      <c r="P1574" s="111"/>
      <c r="Q1574" s="128"/>
      <c r="R1574" s="124"/>
      <c r="S1574" s="125"/>
      <c r="T1574" s="126"/>
      <c r="U1574" s="126"/>
      <c r="V1574" s="126"/>
      <c r="W1574" s="126"/>
      <c r="X1574" s="126"/>
      <c r="Y1574" s="126"/>
      <c r="Z1574" s="127"/>
      <c r="AA1574" s="127"/>
      <c r="AB1574" s="127"/>
      <c r="AC1574" s="127"/>
      <c r="AD1574" s="261"/>
      <c r="AE1574" s="261"/>
      <c r="AF1574" s="261"/>
      <c r="AG1574" s="261"/>
    </row>
    <row r="1575" ht="34.5" hidden="1" customHeight="1">
      <c r="A1575" s="111"/>
      <c r="B1575" s="127"/>
      <c r="C1575" s="111"/>
      <c r="D1575" s="111"/>
      <c r="E1575" s="111"/>
      <c r="F1575" s="111"/>
      <c r="G1575" s="111"/>
      <c r="H1575" s="111"/>
      <c r="I1575" s="127"/>
      <c r="J1575" s="111"/>
      <c r="K1575" s="257"/>
      <c r="L1575" s="111"/>
      <c r="M1575" s="127"/>
      <c r="N1575" s="270"/>
      <c r="O1575" s="111"/>
      <c r="P1575" s="111"/>
      <c r="Q1575" s="128"/>
      <c r="R1575" s="124"/>
      <c r="S1575" s="125"/>
      <c r="T1575" s="126"/>
      <c r="U1575" s="126"/>
      <c r="V1575" s="126"/>
      <c r="W1575" s="126"/>
      <c r="X1575" s="126"/>
      <c r="Y1575" s="126"/>
      <c r="Z1575" s="127"/>
      <c r="AA1575" s="127"/>
      <c r="AB1575" s="127"/>
      <c r="AC1575" s="127"/>
      <c r="AD1575" s="261"/>
      <c r="AE1575" s="261"/>
      <c r="AF1575" s="261"/>
      <c r="AG1575" s="261"/>
    </row>
    <row r="1576" ht="34.5" hidden="1" customHeight="1">
      <c r="A1576" s="111"/>
      <c r="B1576" s="127"/>
      <c r="C1576" s="111"/>
      <c r="D1576" s="111"/>
      <c r="E1576" s="111"/>
      <c r="F1576" s="111"/>
      <c r="G1576" s="111"/>
      <c r="H1576" s="111"/>
      <c r="I1576" s="127"/>
      <c r="J1576" s="111"/>
      <c r="K1576" s="257"/>
      <c r="L1576" s="111"/>
      <c r="M1576" s="127"/>
      <c r="N1576" s="270"/>
      <c r="O1576" s="111"/>
      <c r="P1576" s="111"/>
      <c r="Q1576" s="128"/>
      <c r="R1576" s="124"/>
      <c r="S1576" s="125"/>
      <c r="T1576" s="126"/>
      <c r="U1576" s="126"/>
      <c r="V1576" s="126"/>
      <c r="W1576" s="126"/>
      <c r="X1576" s="126"/>
      <c r="Y1576" s="126"/>
      <c r="Z1576" s="127"/>
      <c r="AA1576" s="127"/>
      <c r="AB1576" s="127"/>
      <c r="AC1576" s="127"/>
      <c r="AD1576" s="261"/>
      <c r="AE1576" s="261"/>
      <c r="AF1576" s="261"/>
      <c r="AG1576" s="261"/>
    </row>
    <row r="1577" ht="34.5" hidden="1" customHeight="1">
      <c r="A1577" s="111"/>
      <c r="B1577" s="127"/>
      <c r="C1577" s="111"/>
      <c r="D1577" s="111"/>
      <c r="E1577" s="111"/>
      <c r="F1577" s="111"/>
      <c r="G1577" s="111"/>
      <c r="H1577" s="111"/>
      <c r="I1577" s="127"/>
      <c r="J1577" s="111"/>
      <c r="K1577" s="257"/>
      <c r="L1577" s="111"/>
      <c r="M1577" s="127"/>
      <c r="N1577" s="270"/>
      <c r="O1577" s="111"/>
      <c r="P1577" s="111"/>
      <c r="Q1577" s="128"/>
      <c r="R1577" s="124"/>
      <c r="S1577" s="125"/>
      <c r="T1577" s="126"/>
      <c r="U1577" s="126"/>
      <c r="V1577" s="126"/>
      <c r="W1577" s="126"/>
      <c r="X1577" s="126"/>
      <c r="Y1577" s="126"/>
      <c r="Z1577" s="127"/>
      <c r="AA1577" s="127"/>
      <c r="AB1577" s="127"/>
      <c r="AC1577" s="127"/>
      <c r="AD1577" s="261"/>
      <c r="AE1577" s="261"/>
      <c r="AF1577" s="261"/>
      <c r="AG1577" s="261"/>
    </row>
    <row r="1578" ht="34.5" hidden="1" customHeight="1">
      <c r="A1578" s="111"/>
      <c r="B1578" s="127"/>
      <c r="C1578" s="111"/>
      <c r="D1578" s="111"/>
      <c r="E1578" s="111"/>
      <c r="F1578" s="111"/>
      <c r="G1578" s="111"/>
      <c r="H1578" s="111"/>
      <c r="I1578" s="127"/>
      <c r="J1578" s="111"/>
      <c r="K1578" s="257"/>
      <c r="L1578" s="111"/>
      <c r="M1578" s="127"/>
      <c r="N1578" s="270"/>
      <c r="O1578" s="111"/>
      <c r="P1578" s="111"/>
      <c r="Q1578" s="128"/>
      <c r="R1578" s="124"/>
      <c r="S1578" s="125"/>
      <c r="T1578" s="126"/>
      <c r="U1578" s="126"/>
      <c r="V1578" s="126"/>
      <c r="W1578" s="126"/>
      <c r="X1578" s="126"/>
      <c r="Y1578" s="126"/>
      <c r="Z1578" s="127"/>
      <c r="AA1578" s="127"/>
      <c r="AB1578" s="127"/>
      <c r="AC1578" s="127"/>
      <c r="AD1578" s="261"/>
      <c r="AE1578" s="261"/>
      <c r="AF1578" s="261"/>
      <c r="AG1578" s="261"/>
    </row>
    <row r="1579" ht="34.5" hidden="1" customHeight="1">
      <c r="A1579" s="111"/>
      <c r="B1579" s="127"/>
      <c r="C1579" s="111"/>
      <c r="D1579" s="111"/>
      <c r="E1579" s="111"/>
      <c r="F1579" s="111"/>
      <c r="G1579" s="111"/>
      <c r="H1579" s="111"/>
      <c r="I1579" s="127"/>
      <c r="J1579" s="111"/>
      <c r="K1579" s="257"/>
      <c r="L1579" s="111"/>
      <c r="M1579" s="127"/>
      <c r="N1579" s="270"/>
      <c r="O1579" s="111"/>
      <c r="P1579" s="111"/>
      <c r="Q1579" s="128"/>
      <c r="R1579" s="124"/>
      <c r="S1579" s="125"/>
      <c r="T1579" s="126"/>
      <c r="U1579" s="126"/>
      <c r="V1579" s="126"/>
      <c r="W1579" s="126"/>
      <c r="X1579" s="126"/>
      <c r="Y1579" s="126"/>
      <c r="Z1579" s="127"/>
      <c r="AA1579" s="127"/>
      <c r="AB1579" s="127"/>
      <c r="AC1579" s="127"/>
      <c r="AD1579" s="261"/>
      <c r="AE1579" s="261"/>
      <c r="AF1579" s="261"/>
      <c r="AG1579" s="261"/>
    </row>
    <row r="1580" ht="34.5" hidden="1" customHeight="1">
      <c r="A1580" s="111"/>
      <c r="B1580" s="127"/>
      <c r="C1580" s="111"/>
      <c r="D1580" s="111"/>
      <c r="E1580" s="111"/>
      <c r="F1580" s="111"/>
      <c r="G1580" s="111"/>
      <c r="H1580" s="111"/>
      <c r="I1580" s="127"/>
      <c r="J1580" s="111"/>
      <c r="K1580" s="257"/>
      <c r="L1580" s="111"/>
      <c r="M1580" s="127"/>
      <c r="N1580" s="270"/>
      <c r="O1580" s="111"/>
      <c r="P1580" s="111"/>
      <c r="Q1580" s="128"/>
      <c r="R1580" s="124"/>
      <c r="S1580" s="125"/>
      <c r="T1580" s="126"/>
      <c r="U1580" s="126"/>
      <c r="V1580" s="126"/>
      <c r="W1580" s="126"/>
      <c r="X1580" s="126"/>
      <c r="Y1580" s="126"/>
      <c r="Z1580" s="127"/>
      <c r="AA1580" s="127"/>
      <c r="AB1580" s="127"/>
      <c r="AC1580" s="127"/>
      <c r="AD1580" s="261"/>
      <c r="AE1580" s="261"/>
      <c r="AF1580" s="261"/>
      <c r="AG1580" s="261"/>
    </row>
    <row r="1581" ht="34.5" hidden="1" customHeight="1">
      <c r="A1581" s="111"/>
      <c r="B1581" s="127"/>
      <c r="C1581" s="111"/>
      <c r="D1581" s="111"/>
      <c r="E1581" s="111"/>
      <c r="F1581" s="111"/>
      <c r="G1581" s="111"/>
      <c r="H1581" s="111"/>
      <c r="I1581" s="127"/>
      <c r="J1581" s="111"/>
      <c r="K1581" s="257"/>
      <c r="L1581" s="111"/>
      <c r="M1581" s="127"/>
      <c r="N1581" s="270"/>
      <c r="O1581" s="111"/>
      <c r="P1581" s="111"/>
      <c r="Q1581" s="128"/>
      <c r="R1581" s="124"/>
      <c r="S1581" s="125"/>
      <c r="T1581" s="126"/>
      <c r="U1581" s="126"/>
      <c r="V1581" s="126"/>
      <c r="W1581" s="126"/>
      <c r="X1581" s="126"/>
      <c r="Y1581" s="126"/>
      <c r="Z1581" s="127"/>
      <c r="AA1581" s="127"/>
      <c r="AB1581" s="127"/>
      <c r="AC1581" s="127"/>
      <c r="AD1581" s="261"/>
      <c r="AE1581" s="261"/>
      <c r="AF1581" s="261"/>
      <c r="AG1581" s="261"/>
    </row>
    <row r="1582" ht="34.5" hidden="1" customHeight="1">
      <c r="A1582" s="111"/>
      <c r="B1582" s="127"/>
      <c r="C1582" s="111"/>
      <c r="D1582" s="111"/>
      <c r="E1582" s="111"/>
      <c r="F1582" s="111"/>
      <c r="G1582" s="111"/>
      <c r="H1582" s="111"/>
      <c r="I1582" s="127"/>
      <c r="J1582" s="111"/>
      <c r="K1582" s="257"/>
      <c r="L1582" s="111"/>
      <c r="M1582" s="127"/>
      <c r="N1582" s="270"/>
      <c r="O1582" s="111"/>
      <c r="P1582" s="111"/>
      <c r="Q1582" s="128"/>
      <c r="R1582" s="124"/>
      <c r="S1582" s="125"/>
      <c r="T1582" s="126"/>
      <c r="U1582" s="126"/>
      <c r="V1582" s="126"/>
      <c r="W1582" s="126"/>
      <c r="X1582" s="126"/>
      <c r="Y1582" s="126"/>
      <c r="Z1582" s="127"/>
      <c r="AA1582" s="127"/>
      <c r="AB1582" s="127"/>
      <c r="AC1582" s="127"/>
      <c r="AD1582" s="261"/>
      <c r="AE1582" s="261"/>
      <c r="AF1582" s="261"/>
      <c r="AG1582" s="261"/>
    </row>
    <row r="1583" ht="34.5" hidden="1" customHeight="1">
      <c r="A1583" s="111"/>
      <c r="B1583" s="127"/>
      <c r="C1583" s="111"/>
      <c r="D1583" s="111"/>
      <c r="E1583" s="111"/>
      <c r="F1583" s="111"/>
      <c r="G1583" s="111"/>
      <c r="H1583" s="111"/>
      <c r="I1583" s="127"/>
      <c r="J1583" s="111"/>
      <c r="K1583" s="257"/>
      <c r="L1583" s="111"/>
      <c r="M1583" s="127"/>
      <c r="N1583" s="270"/>
      <c r="O1583" s="111"/>
      <c r="P1583" s="111"/>
      <c r="Q1583" s="128"/>
      <c r="R1583" s="124"/>
      <c r="S1583" s="125"/>
      <c r="T1583" s="126"/>
      <c r="U1583" s="126"/>
      <c r="V1583" s="126"/>
      <c r="W1583" s="126"/>
      <c r="X1583" s="126"/>
      <c r="Y1583" s="126"/>
      <c r="Z1583" s="127"/>
      <c r="AA1583" s="127"/>
      <c r="AB1583" s="127"/>
      <c r="AC1583" s="127"/>
      <c r="AD1583" s="261"/>
      <c r="AE1583" s="261"/>
      <c r="AF1583" s="261"/>
      <c r="AG1583" s="261"/>
    </row>
    <row r="1584" ht="34.5" hidden="1" customHeight="1">
      <c r="A1584" s="111"/>
      <c r="B1584" s="127"/>
      <c r="C1584" s="111"/>
      <c r="D1584" s="111"/>
      <c r="E1584" s="111"/>
      <c r="F1584" s="111"/>
      <c r="G1584" s="111"/>
      <c r="H1584" s="111"/>
      <c r="I1584" s="127"/>
      <c r="J1584" s="111"/>
      <c r="K1584" s="257"/>
      <c r="L1584" s="111"/>
      <c r="M1584" s="127"/>
      <c r="N1584" s="270"/>
      <c r="O1584" s="111"/>
      <c r="P1584" s="111"/>
      <c r="Q1584" s="128"/>
      <c r="R1584" s="124"/>
      <c r="S1584" s="125"/>
      <c r="T1584" s="126"/>
      <c r="U1584" s="126"/>
      <c r="V1584" s="126"/>
      <c r="W1584" s="126"/>
      <c r="X1584" s="126"/>
      <c r="Y1584" s="126"/>
      <c r="Z1584" s="127"/>
      <c r="AA1584" s="127"/>
      <c r="AB1584" s="127"/>
      <c r="AC1584" s="127"/>
      <c r="AD1584" s="261"/>
      <c r="AE1584" s="261"/>
      <c r="AF1584" s="261"/>
      <c r="AG1584" s="261"/>
    </row>
    <row r="1585" ht="34.5" hidden="1" customHeight="1">
      <c r="A1585" s="111"/>
      <c r="B1585" s="127"/>
      <c r="C1585" s="111"/>
      <c r="D1585" s="111"/>
      <c r="E1585" s="111"/>
      <c r="F1585" s="111"/>
      <c r="G1585" s="111"/>
      <c r="H1585" s="111"/>
      <c r="I1585" s="127"/>
      <c r="J1585" s="111"/>
      <c r="K1585" s="257"/>
      <c r="L1585" s="111"/>
      <c r="M1585" s="127"/>
      <c r="N1585" s="270"/>
      <c r="O1585" s="111"/>
      <c r="P1585" s="111"/>
      <c r="Q1585" s="128"/>
      <c r="R1585" s="124"/>
      <c r="S1585" s="125"/>
      <c r="T1585" s="126"/>
      <c r="U1585" s="126"/>
      <c r="V1585" s="126"/>
      <c r="W1585" s="126"/>
      <c r="X1585" s="126"/>
      <c r="Y1585" s="126"/>
      <c r="Z1585" s="127"/>
      <c r="AA1585" s="127"/>
      <c r="AB1585" s="127"/>
      <c r="AC1585" s="127"/>
      <c r="AD1585" s="261"/>
      <c r="AE1585" s="261"/>
      <c r="AF1585" s="261"/>
      <c r="AG1585" s="261"/>
    </row>
    <row r="1586" ht="34.5" hidden="1" customHeight="1">
      <c r="A1586" s="111"/>
      <c r="B1586" s="127"/>
      <c r="C1586" s="111"/>
      <c r="D1586" s="111"/>
      <c r="E1586" s="111"/>
      <c r="F1586" s="111"/>
      <c r="G1586" s="111"/>
      <c r="H1586" s="111"/>
      <c r="I1586" s="127"/>
      <c r="J1586" s="111"/>
      <c r="K1586" s="257"/>
      <c r="L1586" s="111"/>
      <c r="M1586" s="127"/>
      <c r="N1586" s="270"/>
      <c r="O1586" s="111"/>
      <c r="P1586" s="111"/>
      <c r="Q1586" s="128"/>
      <c r="R1586" s="124"/>
      <c r="S1586" s="125"/>
      <c r="T1586" s="126"/>
      <c r="U1586" s="126"/>
      <c r="V1586" s="126"/>
      <c r="W1586" s="126"/>
      <c r="X1586" s="126"/>
      <c r="Y1586" s="126"/>
      <c r="Z1586" s="127"/>
      <c r="AA1586" s="127"/>
      <c r="AB1586" s="127"/>
      <c r="AC1586" s="127"/>
      <c r="AD1586" s="261"/>
      <c r="AE1586" s="261"/>
      <c r="AF1586" s="261"/>
      <c r="AG1586" s="261"/>
    </row>
    <row r="1587" ht="34.5" hidden="1" customHeight="1">
      <c r="A1587" s="111"/>
      <c r="B1587" s="127"/>
      <c r="C1587" s="111"/>
      <c r="D1587" s="111"/>
      <c r="E1587" s="111"/>
      <c r="F1587" s="111"/>
      <c r="G1587" s="111"/>
      <c r="H1587" s="111"/>
      <c r="I1587" s="127"/>
      <c r="J1587" s="111"/>
      <c r="K1587" s="257"/>
      <c r="L1587" s="111"/>
      <c r="M1587" s="127"/>
      <c r="N1587" s="270"/>
      <c r="O1587" s="111"/>
      <c r="P1587" s="111"/>
      <c r="Q1587" s="128"/>
      <c r="R1587" s="124"/>
      <c r="S1587" s="125"/>
      <c r="T1587" s="126"/>
      <c r="U1587" s="126"/>
      <c r="V1587" s="126"/>
      <c r="W1587" s="126"/>
      <c r="X1587" s="126"/>
      <c r="Y1587" s="126"/>
      <c r="Z1587" s="127"/>
      <c r="AA1587" s="127"/>
      <c r="AB1587" s="127"/>
      <c r="AC1587" s="127"/>
      <c r="AD1587" s="261"/>
      <c r="AE1587" s="261"/>
      <c r="AF1587" s="261"/>
      <c r="AG1587" s="261"/>
    </row>
    <row r="1588" ht="34.5" hidden="1" customHeight="1">
      <c r="A1588" s="111"/>
      <c r="B1588" s="127"/>
      <c r="C1588" s="111"/>
      <c r="D1588" s="111"/>
      <c r="E1588" s="111"/>
      <c r="F1588" s="111"/>
      <c r="G1588" s="111"/>
      <c r="H1588" s="111"/>
      <c r="I1588" s="127"/>
      <c r="J1588" s="111"/>
      <c r="K1588" s="257"/>
      <c r="L1588" s="111"/>
      <c r="M1588" s="127"/>
      <c r="N1588" s="270"/>
      <c r="O1588" s="111"/>
      <c r="P1588" s="111"/>
      <c r="Q1588" s="128"/>
      <c r="R1588" s="124"/>
      <c r="S1588" s="125"/>
      <c r="T1588" s="126"/>
      <c r="U1588" s="126"/>
      <c r="V1588" s="126"/>
      <c r="W1588" s="126"/>
      <c r="X1588" s="126"/>
      <c r="Y1588" s="126"/>
      <c r="Z1588" s="127"/>
      <c r="AA1588" s="127"/>
      <c r="AB1588" s="127"/>
      <c r="AC1588" s="127"/>
      <c r="AD1588" s="261"/>
      <c r="AE1588" s="261"/>
      <c r="AF1588" s="261"/>
      <c r="AG1588" s="261"/>
    </row>
    <row r="1589" ht="34.5" hidden="1" customHeight="1">
      <c r="A1589" s="111"/>
      <c r="B1589" s="127"/>
      <c r="C1589" s="111"/>
      <c r="D1589" s="111"/>
      <c r="E1589" s="111"/>
      <c r="F1589" s="111"/>
      <c r="G1589" s="111"/>
      <c r="H1589" s="111"/>
      <c r="I1589" s="127"/>
      <c r="J1589" s="111"/>
      <c r="K1589" s="257"/>
      <c r="L1589" s="111"/>
      <c r="M1589" s="127"/>
      <c r="N1589" s="270"/>
      <c r="O1589" s="111"/>
      <c r="P1589" s="111"/>
      <c r="Q1589" s="128"/>
      <c r="R1589" s="124"/>
      <c r="S1589" s="125"/>
      <c r="T1589" s="126"/>
      <c r="U1589" s="126"/>
      <c r="V1589" s="126"/>
      <c r="W1589" s="126"/>
      <c r="X1589" s="126"/>
      <c r="Y1589" s="126"/>
      <c r="Z1589" s="127"/>
      <c r="AA1589" s="127"/>
      <c r="AB1589" s="127"/>
      <c r="AC1589" s="127"/>
      <c r="AD1589" s="261"/>
      <c r="AE1589" s="261"/>
      <c r="AF1589" s="261"/>
      <c r="AG1589" s="261"/>
    </row>
    <row r="1590" ht="34.5" hidden="1" customHeight="1">
      <c r="A1590" s="111"/>
      <c r="B1590" s="127"/>
      <c r="C1590" s="111"/>
      <c r="D1590" s="111"/>
      <c r="E1590" s="111"/>
      <c r="F1590" s="111"/>
      <c r="G1590" s="111"/>
      <c r="H1590" s="111"/>
      <c r="I1590" s="127"/>
      <c r="J1590" s="111"/>
      <c r="K1590" s="257"/>
      <c r="L1590" s="111"/>
      <c r="M1590" s="127"/>
      <c r="N1590" s="270"/>
      <c r="O1590" s="111"/>
      <c r="P1590" s="111"/>
      <c r="Q1590" s="128"/>
      <c r="R1590" s="124"/>
      <c r="S1590" s="125"/>
      <c r="T1590" s="126"/>
      <c r="U1590" s="126"/>
      <c r="V1590" s="126"/>
      <c r="W1590" s="126"/>
      <c r="X1590" s="126"/>
      <c r="Y1590" s="126"/>
      <c r="Z1590" s="127"/>
      <c r="AA1590" s="127"/>
      <c r="AB1590" s="127"/>
      <c r="AC1590" s="127"/>
      <c r="AD1590" s="261"/>
      <c r="AE1590" s="261"/>
      <c r="AF1590" s="261"/>
      <c r="AG1590" s="261"/>
    </row>
    <row r="1591" ht="34.5" hidden="1" customHeight="1">
      <c r="A1591" s="111"/>
      <c r="B1591" s="127"/>
      <c r="C1591" s="111"/>
      <c r="D1591" s="111"/>
      <c r="E1591" s="111"/>
      <c r="F1591" s="111"/>
      <c r="G1591" s="111"/>
      <c r="H1591" s="111"/>
      <c r="I1591" s="127"/>
      <c r="J1591" s="111"/>
      <c r="K1591" s="257"/>
      <c r="L1591" s="111"/>
      <c r="M1591" s="127"/>
      <c r="N1591" s="270"/>
      <c r="O1591" s="111"/>
      <c r="P1591" s="111"/>
      <c r="Q1591" s="128"/>
      <c r="R1591" s="124"/>
      <c r="S1591" s="125"/>
      <c r="T1591" s="126"/>
      <c r="U1591" s="126"/>
      <c r="V1591" s="126"/>
      <c r="W1591" s="126"/>
      <c r="X1591" s="126"/>
      <c r="Y1591" s="126"/>
      <c r="Z1591" s="127"/>
      <c r="AA1591" s="127"/>
      <c r="AB1591" s="127"/>
      <c r="AC1591" s="127"/>
      <c r="AD1591" s="261"/>
      <c r="AE1591" s="261"/>
      <c r="AF1591" s="261"/>
      <c r="AG1591" s="261"/>
    </row>
    <row r="1592" ht="34.5" hidden="1" customHeight="1">
      <c r="A1592" s="111"/>
      <c r="B1592" s="127"/>
      <c r="C1592" s="111"/>
      <c r="D1592" s="111"/>
      <c r="E1592" s="111"/>
      <c r="F1592" s="111"/>
      <c r="G1592" s="111"/>
      <c r="H1592" s="111"/>
      <c r="I1592" s="127"/>
      <c r="J1592" s="111"/>
      <c r="K1592" s="257"/>
      <c r="L1592" s="111"/>
      <c r="M1592" s="127"/>
      <c r="N1592" s="270"/>
      <c r="O1592" s="111"/>
      <c r="P1592" s="111"/>
      <c r="Q1592" s="128"/>
      <c r="R1592" s="124"/>
      <c r="S1592" s="125"/>
      <c r="T1592" s="126"/>
      <c r="U1592" s="126"/>
      <c r="V1592" s="126"/>
      <c r="W1592" s="126"/>
      <c r="X1592" s="126"/>
      <c r="Y1592" s="126"/>
      <c r="Z1592" s="127"/>
      <c r="AA1592" s="127"/>
      <c r="AB1592" s="127"/>
      <c r="AC1592" s="127"/>
      <c r="AD1592" s="261"/>
      <c r="AE1592" s="261"/>
      <c r="AF1592" s="261"/>
      <c r="AG1592" s="261"/>
    </row>
    <row r="1593" ht="34.5" hidden="1" customHeight="1">
      <c r="A1593" s="111"/>
      <c r="B1593" s="127"/>
      <c r="C1593" s="111"/>
      <c r="D1593" s="111"/>
      <c r="E1593" s="111"/>
      <c r="F1593" s="111"/>
      <c r="G1593" s="111"/>
      <c r="H1593" s="111"/>
      <c r="I1593" s="127"/>
      <c r="J1593" s="111"/>
      <c r="K1593" s="257"/>
      <c r="L1593" s="111"/>
      <c r="M1593" s="127"/>
      <c r="N1593" s="270"/>
      <c r="O1593" s="111"/>
      <c r="P1593" s="111"/>
      <c r="Q1593" s="128"/>
      <c r="R1593" s="124"/>
      <c r="S1593" s="125"/>
      <c r="T1593" s="126"/>
      <c r="U1593" s="126"/>
      <c r="V1593" s="126"/>
      <c r="W1593" s="126"/>
      <c r="X1593" s="126"/>
      <c r="Y1593" s="126"/>
      <c r="Z1593" s="127"/>
      <c r="AA1593" s="127"/>
      <c r="AB1593" s="127"/>
      <c r="AC1593" s="127"/>
      <c r="AD1593" s="261"/>
      <c r="AE1593" s="261"/>
      <c r="AF1593" s="261"/>
      <c r="AG1593" s="261"/>
    </row>
    <row r="1594" ht="34.5" hidden="1" customHeight="1">
      <c r="A1594" s="111"/>
      <c r="B1594" s="127"/>
      <c r="C1594" s="111"/>
      <c r="D1594" s="111"/>
      <c r="E1594" s="111"/>
      <c r="F1594" s="111"/>
      <c r="G1594" s="111"/>
      <c r="H1594" s="111"/>
      <c r="I1594" s="127"/>
      <c r="J1594" s="111"/>
      <c r="K1594" s="257"/>
      <c r="L1594" s="111"/>
      <c r="M1594" s="127"/>
      <c r="N1594" s="270"/>
      <c r="O1594" s="111"/>
      <c r="P1594" s="111"/>
      <c r="Q1594" s="128"/>
      <c r="R1594" s="124"/>
      <c r="S1594" s="125"/>
      <c r="T1594" s="126"/>
      <c r="U1594" s="126"/>
      <c r="V1594" s="126"/>
      <c r="W1594" s="126"/>
      <c r="X1594" s="126"/>
      <c r="Y1594" s="126"/>
      <c r="Z1594" s="127"/>
      <c r="AA1594" s="127"/>
      <c r="AB1594" s="127"/>
      <c r="AC1594" s="127"/>
      <c r="AD1594" s="261"/>
      <c r="AE1594" s="261"/>
      <c r="AF1594" s="261"/>
      <c r="AG1594" s="261"/>
    </row>
    <row r="1595" ht="34.5" hidden="1" customHeight="1">
      <c r="A1595" s="111"/>
      <c r="B1595" s="127"/>
      <c r="C1595" s="111"/>
      <c r="D1595" s="111"/>
      <c r="E1595" s="111"/>
      <c r="F1595" s="111"/>
      <c r="G1595" s="111"/>
      <c r="H1595" s="111"/>
      <c r="I1595" s="127"/>
      <c r="J1595" s="111"/>
      <c r="K1595" s="257"/>
      <c r="L1595" s="111"/>
      <c r="M1595" s="127"/>
      <c r="N1595" s="270"/>
      <c r="O1595" s="111"/>
      <c r="P1595" s="111"/>
      <c r="Q1595" s="128"/>
      <c r="R1595" s="124"/>
      <c r="S1595" s="125"/>
      <c r="T1595" s="126"/>
      <c r="U1595" s="126"/>
      <c r="V1595" s="126"/>
      <c r="W1595" s="126"/>
      <c r="X1595" s="126"/>
      <c r="Y1595" s="126"/>
      <c r="Z1595" s="127"/>
      <c r="AA1595" s="127"/>
      <c r="AB1595" s="127"/>
      <c r="AC1595" s="127"/>
      <c r="AD1595" s="261"/>
      <c r="AE1595" s="261"/>
      <c r="AF1595" s="261"/>
      <c r="AG1595" s="261"/>
    </row>
    <row r="1596" ht="34.5" hidden="1" customHeight="1">
      <c r="A1596" s="111"/>
      <c r="B1596" s="127"/>
      <c r="C1596" s="111"/>
      <c r="D1596" s="111"/>
      <c r="E1596" s="111"/>
      <c r="F1596" s="111"/>
      <c r="G1596" s="111"/>
      <c r="H1596" s="111"/>
      <c r="I1596" s="127"/>
      <c r="J1596" s="111"/>
      <c r="K1596" s="257"/>
      <c r="L1596" s="111"/>
      <c r="M1596" s="127"/>
      <c r="N1596" s="270"/>
      <c r="O1596" s="111"/>
      <c r="P1596" s="111"/>
      <c r="Q1596" s="128"/>
      <c r="R1596" s="124"/>
      <c r="S1596" s="125"/>
      <c r="T1596" s="126"/>
      <c r="U1596" s="126"/>
      <c r="V1596" s="126"/>
      <c r="W1596" s="126"/>
      <c r="X1596" s="126"/>
      <c r="Y1596" s="126"/>
      <c r="Z1596" s="127"/>
      <c r="AA1596" s="127"/>
      <c r="AB1596" s="127"/>
      <c r="AC1596" s="127"/>
      <c r="AD1596" s="261"/>
      <c r="AE1596" s="261"/>
      <c r="AF1596" s="261"/>
      <c r="AG1596" s="261"/>
    </row>
    <row r="1597" ht="34.5" hidden="1" customHeight="1">
      <c r="A1597" s="111"/>
      <c r="B1597" s="127"/>
      <c r="C1597" s="111"/>
      <c r="D1597" s="111"/>
      <c r="E1597" s="111"/>
      <c r="F1597" s="111"/>
      <c r="G1597" s="111"/>
      <c r="H1597" s="111"/>
      <c r="I1597" s="127"/>
      <c r="J1597" s="111"/>
      <c r="K1597" s="257"/>
      <c r="L1597" s="111"/>
      <c r="M1597" s="127"/>
      <c r="N1597" s="270"/>
      <c r="O1597" s="111"/>
      <c r="P1597" s="111"/>
      <c r="Q1597" s="128"/>
      <c r="R1597" s="124"/>
      <c r="S1597" s="125"/>
      <c r="T1597" s="126"/>
      <c r="U1597" s="126"/>
      <c r="V1597" s="126"/>
      <c r="W1597" s="126"/>
      <c r="X1597" s="126"/>
      <c r="Y1597" s="126"/>
      <c r="Z1597" s="127"/>
      <c r="AA1597" s="127"/>
      <c r="AB1597" s="127"/>
      <c r="AC1597" s="127"/>
      <c r="AD1597" s="261"/>
      <c r="AE1597" s="261"/>
      <c r="AF1597" s="261"/>
      <c r="AG1597" s="261"/>
    </row>
    <row r="1598" ht="34.5" hidden="1" customHeight="1">
      <c r="A1598" s="111"/>
      <c r="B1598" s="127"/>
      <c r="C1598" s="111"/>
      <c r="D1598" s="111"/>
      <c r="E1598" s="111"/>
      <c r="F1598" s="111"/>
      <c r="G1598" s="111"/>
      <c r="H1598" s="111"/>
      <c r="I1598" s="127"/>
      <c r="J1598" s="111"/>
      <c r="K1598" s="257"/>
      <c r="L1598" s="111"/>
      <c r="M1598" s="127"/>
      <c r="N1598" s="270"/>
      <c r="O1598" s="111"/>
      <c r="P1598" s="111"/>
      <c r="Q1598" s="128"/>
      <c r="R1598" s="124"/>
      <c r="S1598" s="125"/>
      <c r="T1598" s="126"/>
      <c r="U1598" s="126"/>
      <c r="V1598" s="126"/>
      <c r="W1598" s="126"/>
      <c r="X1598" s="126"/>
      <c r="Y1598" s="126"/>
      <c r="Z1598" s="127"/>
      <c r="AA1598" s="127"/>
      <c r="AB1598" s="127"/>
      <c r="AC1598" s="127"/>
      <c r="AD1598" s="261"/>
      <c r="AE1598" s="261"/>
      <c r="AF1598" s="261"/>
      <c r="AG1598" s="261"/>
    </row>
    <row r="1599" ht="34.5" hidden="1" customHeight="1">
      <c r="A1599" s="111"/>
      <c r="B1599" s="127"/>
      <c r="C1599" s="111"/>
      <c r="D1599" s="111"/>
      <c r="E1599" s="111"/>
      <c r="F1599" s="111"/>
      <c r="G1599" s="111"/>
      <c r="H1599" s="111"/>
      <c r="I1599" s="127"/>
      <c r="J1599" s="111"/>
      <c r="K1599" s="257"/>
      <c r="L1599" s="111"/>
      <c r="M1599" s="127"/>
      <c r="N1599" s="270"/>
      <c r="O1599" s="111"/>
      <c r="P1599" s="111"/>
      <c r="Q1599" s="128"/>
      <c r="R1599" s="124"/>
      <c r="S1599" s="125"/>
      <c r="T1599" s="126"/>
      <c r="U1599" s="126"/>
      <c r="V1599" s="126"/>
      <c r="W1599" s="126"/>
      <c r="X1599" s="126"/>
      <c r="Y1599" s="126"/>
      <c r="Z1599" s="127"/>
      <c r="AA1599" s="127"/>
      <c r="AB1599" s="127"/>
      <c r="AC1599" s="127"/>
      <c r="AD1599" s="261"/>
      <c r="AE1599" s="261"/>
      <c r="AF1599" s="261"/>
      <c r="AG1599" s="261"/>
    </row>
    <row r="1600" ht="34.5" hidden="1" customHeight="1">
      <c r="A1600" s="111"/>
      <c r="B1600" s="127"/>
      <c r="C1600" s="111"/>
      <c r="D1600" s="111"/>
      <c r="E1600" s="111"/>
      <c r="F1600" s="111"/>
      <c r="G1600" s="111"/>
      <c r="H1600" s="111"/>
      <c r="I1600" s="127"/>
      <c r="J1600" s="111"/>
      <c r="K1600" s="257"/>
      <c r="L1600" s="111"/>
      <c r="M1600" s="127"/>
      <c r="N1600" s="270"/>
      <c r="O1600" s="111"/>
      <c r="P1600" s="111"/>
      <c r="Q1600" s="128"/>
      <c r="R1600" s="124"/>
      <c r="S1600" s="125"/>
      <c r="T1600" s="126"/>
      <c r="U1600" s="126"/>
      <c r="V1600" s="126"/>
      <c r="W1600" s="126"/>
      <c r="X1600" s="126"/>
      <c r="Y1600" s="126"/>
      <c r="Z1600" s="127"/>
      <c r="AA1600" s="127"/>
      <c r="AB1600" s="127"/>
      <c r="AC1600" s="127"/>
      <c r="AD1600" s="261"/>
      <c r="AE1600" s="261"/>
      <c r="AF1600" s="261"/>
      <c r="AG1600" s="261"/>
    </row>
    <row r="1601" ht="34.5" hidden="1" customHeight="1">
      <c r="A1601" s="111"/>
      <c r="B1601" s="127"/>
      <c r="C1601" s="111"/>
      <c r="D1601" s="111"/>
      <c r="E1601" s="111"/>
      <c r="F1601" s="111"/>
      <c r="G1601" s="111"/>
      <c r="H1601" s="111"/>
      <c r="I1601" s="127"/>
      <c r="J1601" s="111"/>
      <c r="K1601" s="257"/>
      <c r="L1601" s="111"/>
      <c r="M1601" s="127"/>
      <c r="N1601" s="270"/>
      <c r="O1601" s="111"/>
      <c r="P1601" s="111"/>
      <c r="Q1601" s="128"/>
      <c r="R1601" s="124"/>
      <c r="S1601" s="125"/>
      <c r="T1601" s="126"/>
      <c r="U1601" s="126"/>
      <c r="V1601" s="126"/>
      <c r="W1601" s="126"/>
      <c r="X1601" s="126"/>
      <c r="Y1601" s="126"/>
      <c r="Z1601" s="127"/>
      <c r="AA1601" s="127"/>
      <c r="AB1601" s="127"/>
      <c r="AC1601" s="127"/>
      <c r="AD1601" s="261"/>
      <c r="AE1601" s="261"/>
      <c r="AF1601" s="261"/>
      <c r="AG1601" s="261"/>
    </row>
    <row r="1602" ht="34.5" hidden="1" customHeight="1">
      <c r="A1602" s="111"/>
      <c r="B1602" s="127"/>
      <c r="C1602" s="111"/>
      <c r="D1602" s="111"/>
      <c r="E1602" s="111"/>
      <c r="F1602" s="111"/>
      <c r="G1602" s="111"/>
      <c r="H1602" s="111"/>
      <c r="I1602" s="127"/>
      <c r="J1602" s="111"/>
      <c r="K1602" s="257"/>
      <c r="L1602" s="111"/>
      <c r="M1602" s="127"/>
      <c r="N1602" s="270"/>
      <c r="O1602" s="111"/>
      <c r="P1602" s="111"/>
      <c r="Q1602" s="128"/>
      <c r="R1602" s="124"/>
      <c r="S1602" s="125"/>
      <c r="T1602" s="126"/>
      <c r="U1602" s="126"/>
      <c r="V1602" s="126"/>
      <c r="W1602" s="126"/>
      <c r="X1602" s="126"/>
      <c r="Y1602" s="126"/>
      <c r="Z1602" s="127"/>
      <c r="AA1602" s="127"/>
      <c r="AB1602" s="127"/>
      <c r="AC1602" s="127"/>
      <c r="AD1602" s="261"/>
      <c r="AE1602" s="261"/>
      <c r="AF1602" s="261"/>
      <c r="AG1602" s="261"/>
    </row>
    <row r="1603" ht="34.5" hidden="1" customHeight="1">
      <c r="A1603" s="111"/>
      <c r="B1603" s="127"/>
      <c r="C1603" s="111"/>
      <c r="D1603" s="111"/>
      <c r="E1603" s="111"/>
      <c r="F1603" s="111"/>
      <c r="G1603" s="111"/>
      <c r="H1603" s="111"/>
      <c r="I1603" s="127"/>
      <c r="J1603" s="111"/>
      <c r="K1603" s="257"/>
      <c r="L1603" s="111"/>
      <c r="M1603" s="127"/>
      <c r="N1603" s="270"/>
      <c r="O1603" s="111"/>
      <c r="P1603" s="111"/>
      <c r="Q1603" s="128"/>
      <c r="R1603" s="124"/>
      <c r="S1603" s="125"/>
      <c r="T1603" s="126"/>
      <c r="U1603" s="126"/>
      <c r="V1603" s="126"/>
      <c r="W1603" s="126"/>
      <c r="X1603" s="126"/>
      <c r="Y1603" s="126"/>
      <c r="Z1603" s="127"/>
      <c r="AA1603" s="127"/>
      <c r="AB1603" s="127"/>
      <c r="AC1603" s="127"/>
      <c r="AD1603" s="261"/>
      <c r="AE1603" s="261"/>
      <c r="AF1603" s="261"/>
      <c r="AG1603" s="261"/>
    </row>
    <row r="1604" ht="34.5" hidden="1" customHeight="1">
      <c r="A1604" s="111"/>
      <c r="B1604" s="127"/>
      <c r="C1604" s="111"/>
      <c r="D1604" s="111"/>
      <c r="E1604" s="111"/>
      <c r="F1604" s="111"/>
      <c r="G1604" s="111"/>
      <c r="H1604" s="111"/>
      <c r="I1604" s="127"/>
      <c r="J1604" s="111"/>
      <c r="K1604" s="257"/>
      <c r="L1604" s="111"/>
      <c r="M1604" s="127"/>
      <c r="N1604" s="270"/>
      <c r="O1604" s="111"/>
      <c r="P1604" s="111"/>
      <c r="Q1604" s="128"/>
      <c r="R1604" s="124"/>
      <c r="S1604" s="125"/>
      <c r="T1604" s="126"/>
      <c r="U1604" s="126"/>
      <c r="V1604" s="126"/>
      <c r="W1604" s="126"/>
      <c r="X1604" s="126"/>
      <c r="Y1604" s="126"/>
      <c r="Z1604" s="127"/>
      <c r="AA1604" s="127"/>
      <c r="AB1604" s="127"/>
      <c r="AC1604" s="127"/>
      <c r="AD1604" s="261"/>
      <c r="AE1604" s="261"/>
      <c r="AF1604" s="261"/>
      <c r="AG1604" s="261"/>
    </row>
    <row r="1605" ht="34.5" hidden="1" customHeight="1">
      <c r="A1605" s="111"/>
      <c r="B1605" s="127"/>
      <c r="C1605" s="111"/>
      <c r="D1605" s="111"/>
      <c r="E1605" s="111"/>
      <c r="F1605" s="111"/>
      <c r="G1605" s="111"/>
      <c r="H1605" s="111"/>
      <c r="I1605" s="127"/>
      <c r="J1605" s="111"/>
      <c r="K1605" s="257"/>
      <c r="L1605" s="111"/>
      <c r="M1605" s="127"/>
      <c r="N1605" s="270"/>
      <c r="O1605" s="111"/>
      <c r="P1605" s="111"/>
      <c r="Q1605" s="128"/>
      <c r="R1605" s="124"/>
      <c r="S1605" s="125"/>
      <c r="T1605" s="126"/>
      <c r="U1605" s="126"/>
      <c r="V1605" s="126"/>
      <c r="W1605" s="126"/>
      <c r="X1605" s="126"/>
      <c r="Y1605" s="126"/>
      <c r="Z1605" s="127"/>
      <c r="AA1605" s="127"/>
      <c r="AB1605" s="127"/>
      <c r="AC1605" s="127"/>
      <c r="AD1605" s="261"/>
      <c r="AE1605" s="261"/>
      <c r="AF1605" s="261"/>
      <c r="AG1605" s="261"/>
    </row>
    <row r="1606" ht="34.5" hidden="1" customHeight="1">
      <c r="A1606" s="111"/>
      <c r="B1606" s="127"/>
      <c r="C1606" s="111"/>
      <c r="D1606" s="111"/>
      <c r="E1606" s="111"/>
      <c r="F1606" s="111"/>
      <c r="G1606" s="111"/>
      <c r="H1606" s="111"/>
      <c r="I1606" s="127"/>
      <c r="J1606" s="111"/>
      <c r="K1606" s="257"/>
      <c r="L1606" s="111"/>
      <c r="M1606" s="127"/>
      <c r="N1606" s="270"/>
      <c r="O1606" s="111"/>
      <c r="P1606" s="111"/>
      <c r="Q1606" s="128"/>
      <c r="R1606" s="124"/>
      <c r="S1606" s="125"/>
      <c r="T1606" s="126"/>
      <c r="U1606" s="126"/>
      <c r="V1606" s="126"/>
      <c r="W1606" s="126"/>
      <c r="X1606" s="126"/>
      <c r="Y1606" s="126"/>
      <c r="Z1606" s="127"/>
      <c r="AA1606" s="127"/>
      <c r="AB1606" s="127"/>
      <c r="AC1606" s="127"/>
      <c r="AD1606" s="261"/>
      <c r="AE1606" s="261"/>
      <c r="AF1606" s="261"/>
      <c r="AG1606" s="261"/>
    </row>
    <row r="1607" ht="34.5" hidden="1" customHeight="1">
      <c r="A1607" s="111"/>
      <c r="B1607" s="127"/>
      <c r="C1607" s="111"/>
      <c r="D1607" s="111"/>
      <c r="E1607" s="111"/>
      <c r="F1607" s="111"/>
      <c r="G1607" s="111"/>
      <c r="H1607" s="111"/>
      <c r="I1607" s="127"/>
      <c r="J1607" s="111"/>
      <c r="K1607" s="257"/>
      <c r="L1607" s="111"/>
      <c r="M1607" s="127"/>
      <c r="N1607" s="270"/>
      <c r="O1607" s="111"/>
      <c r="P1607" s="111"/>
      <c r="Q1607" s="128"/>
      <c r="R1607" s="124"/>
      <c r="S1607" s="125"/>
      <c r="T1607" s="126"/>
      <c r="U1607" s="126"/>
      <c r="V1607" s="126"/>
      <c r="W1607" s="126"/>
      <c r="X1607" s="126"/>
      <c r="Y1607" s="126"/>
      <c r="Z1607" s="127"/>
      <c r="AA1607" s="127"/>
      <c r="AB1607" s="127"/>
      <c r="AC1607" s="127"/>
      <c r="AD1607" s="261"/>
      <c r="AE1607" s="261"/>
      <c r="AF1607" s="261"/>
      <c r="AG1607" s="261"/>
    </row>
    <row r="1608" ht="34.5" hidden="1" customHeight="1">
      <c r="A1608" s="111"/>
      <c r="B1608" s="127"/>
      <c r="C1608" s="111"/>
      <c r="D1608" s="111"/>
      <c r="E1608" s="111"/>
      <c r="F1608" s="111"/>
      <c r="G1608" s="111"/>
      <c r="H1608" s="111"/>
      <c r="I1608" s="127"/>
      <c r="J1608" s="111"/>
      <c r="K1608" s="257"/>
      <c r="L1608" s="111"/>
      <c r="M1608" s="127"/>
      <c r="N1608" s="270"/>
      <c r="O1608" s="111"/>
      <c r="P1608" s="111"/>
      <c r="Q1608" s="128"/>
      <c r="R1608" s="124"/>
      <c r="S1608" s="125"/>
      <c r="T1608" s="126"/>
      <c r="U1608" s="126"/>
      <c r="V1608" s="126"/>
      <c r="W1608" s="126"/>
      <c r="X1608" s="126"/>
      <c r="Y1608" s="126"/>
      <c r="Z1608" s="127"/>
      <c r="AA1608" s="127"/>
      <c r="AB1608" s="127"/>
      <c r="AC1608" s="127"/>
      <c r="AD1608" s="261"/>
      <c r="AE1608" s="261"/>
      <c r="AF1608" s="261"/>
      <c r="AG1608" s="261"/>
    </row>
    <row r="1609" ht="34.5" hidden="1" customHeight="1">
      <c r="A1609" s="111"/>
      <c r="B1609" s="127"/>
      <c r="C1609" s="111"/>
      <c r="D1609" s="111"/>
      <c r="E1609" s="111"/>
      <c r="F1609" s="111"/>
      <c r="G1609" s="111"/>
      <c r="H1609" s="111"/>
      <c r="I1609" s="127"/>
      <c r="J1609" s="111"/>
      <c r="K1609" s="257"/>
      <c r="L1609" s="111"/>
      <c r="M1609" s="127"/>
      <c r="N1609" s="270"/>
      <c r="O1609" s="111"/>
      <c r="P1609" s="111"/>
      <c r="Q1609" s="128"/>
      <c r="R1609" s="124"/>
      <c r="S1609" s="125"/>
      <c r="T1609" s="126"/>
      <c r="U1609" s="126"/>
      <c r="V1609" s="126"/>
      <c r="W1609" s="126"/>
      <c r="X1609" s="126"/>
      <c r="Y1609" s="126"/>
      <c r="Z1609" s="127"/>
      <c r="AA1609" s="127"/>
      <c r="AB1609" s="127"/>
      <c r="AC1609" s="127"/>
      <c r="AD1609" s="261"/>
      <c r="AE1609" s="261"/>
      <c r="AF1609" s="261"/>
      <c r="AG1609" s="261"/>
    </row>
    <row r="1610" ht="34.5" hidden="1" customHeight="1">
      <c r="A1610" s="111"/>
      <c r="B1610" s="127"/>
      <c r="C1610" s="111"/>
      <c r="D1610" s="111"/>
      <c r="E1610" s="111"/>
      <c r="F1610" s="111"/>
      <c r="G1610" s="111"/>
      <c r="H1610" s="111"/>
      <c r="I1610" s="127"/>
      <c r="J1610" s="111"/>
      <c r="K1610" s="257"/>
      <c r="L1610" s="111"/>
      <c r="M1610" s="127"/>
      <c r="N1610" s="270"/>
      <c r="O1610" s="111"/>
      <c r="P1610" s="111"/>
      <c r="Q1610" s="128"/>
      <c r="R1610" s="124"/>
      <c r="S1610" s="125"/>
      <c r="T1610" s="126"/>
      <c r="U1610" s="126"/>
      <c r="V1610" s="126"/>
      <c r="W1610" s="126"/>
      <c r="X1610" s="126"/>
      <c r="Y1610" s="126"/>
      <c r="Z1610" s="127"/>
      <c r="AA1610" s="127"/>
      <c r="AB1610" s="127"/>
      <c r="AC1610" s="127"/>
      <c r="AD1610" s="261"/>
      <c r="AE1610" s="261"/>
      <c r="AF1610" s="261"/>
      <c r="AG1610" s="261"/>
    </row>
    <row r="1611" ht="34.5" hidden="1" customHeight="1">
      <c r="A1611" s="111"/>
      <c r="B1611" s="127"/>
      <c r="C1611" s="111"/>
      <c r="D1611" s="111"/>
      <c r="E1611" s="111"/>
      <c r="F1611" s="111"/>
      <c r="G1611" s="111"/>
      <c r="H1611" s="111"/>
      <c r="I1611" s="127"/>
      <c r="J1611" s="111"/>
      <c r="K1611" s="257"/>
      <c r="L1611" s="111"/>
      <c r="M1611" s="127"/>
      <c r="N1611" s="270"/>
      <c r="O1611" s="111"/>
      <c r="P1611" s="111"/>
      <c r="Q1611" s="128"/>
      <c r="R1611" s="124"/>
      <c r="S1611" s="125"/>
      <c r="T1611" s="126"/>
      <c r="U1611" s="126"/>
      <c r="V1611" s="126"/>
      <c r="W1611" s="126"/>
      <c r="X1611" s="126"/>
      <c r="Y1611" s="126"/>
      <c r="Z1611" s="127"/>
      <c r="AA1611" s="127"/>
      <c r="AB1611" s="127"/>
      <c r="AC1611" s="127"/>
      <c r="AD1611" s="261"/>
      <c r="AE1611" s="261"/>
      <c r="AF1611" s="261"/>
      <c r="AG1611" s="261"/>
    </row>
    <row r="1612" ht="34.5" hidden="1" customHeight="1">
      <c r="A1612" s="111"/>
      <c r="B1612" s="127"/>
      <c r="C1612" s="111"/>
      <c r="D1612" s="111"/>
      <c r="E1612" s="111"/>
      <c r="F1612" s="111"/>
      <c r="G1612" s="111"/>
      <c r="H1612" s="111"/>
      <c r="I1612" s="127"/>
      <c r="J1612" s="111"/>
      <c r="K1612" s="257"/>
      <c r="L1612" s="111"/>
      <c r="M1612" s="127"/>
      <c r="N1612" s="270"/>
      <c r="O1612" s="111"/>
      <c r="P1612" s="111"/>
      <c r="Q1612" s="128"/>
      <c r="R1612" s="124"/>
      <c r="S1612" s="125"/>
      <c r="T1612" s="126"/>
      <c r="U1612" s="126"/>
      <c r="V1612" s="126"/>
      <c r="W1612" s="126"/>
      <c r="X1612" s="126"/>
      <c r="Y1612" s="126"/>
      <c r="Z1612" s="127"/>
      <c r="AA1612" s="127"/>
      <c r="AB1612" s="127"/>
      <c r="AC1612" s="127"/>
      <c r="AD1612" s="261"/>
      <c r="AE1612" s="261"/>
      <c r="AF1612" s="261"/>
      <c r="AG1612" s="261"/>
    </row>
    <row r="1613" ht="34.5" hidden="1" customHeight="1">
      <c r="A1613" s="111"/>
      <c r="B1613" s="127"/>
      <c r="C1613" s="111"/>
      <c r="D1613" s="111"/>
      <c r="E1613" s="111"/>
      <c r="F1613" s="111"/>
      <c r="G1613" s="111"/>
      <c r="H1613" s="111"/>
      <c r="I1613" s="127"/>
      <c r="J1613" s="111"/>
      <c r="K1613" s="257"/>
      <c r="L1613" s="111"/>
      <c r="M1613" s="127"/>
      <c r="N1613" s="270"/>
      <c r="O1613" s="111"/>
      <c r="P1613" s="111"/>
      <c r="Q1613" s="128"/>
      <c r="R1613" s="124"/>
      <c r="S1613" s="125"/>
      <c r="T1613" s="126"/>
      <c r="U1613" s="126"/>
      <c r="V1613" s="126"/>
      <c r="W1613" s="126"/>
      <c r="X1613" s="126"/>
      <c r="Y1613" s="126"/>
      <c r="Z1613" s="127"/>
      <c r="AA1613" s="127"/>
      <c r="AB1613" s="127"/>
      <c r="AC1613" s="127"/>
      <c r="AD1613" s="261"/>
      <c r="AE1613" s="261"/>
      <c r="AF1613" s="261"/>
      <c r="AG1613" s="261"/>
    </row>
    <row r="1614" ht="34.5" hidden="1" customHeight="1">
      <c r="A1614" s="111"/>
      <c r="B1614" s="127"/>
      <c r="C1614" s="111"/>
      <c r="D1614" s="111"/>
      <c r="E1614" s="111"/>
      <c r="F1614" s="111"/>
      <c r="G1614" s="111"/>
      <c r="H1614" s="111"/>
      <c r="I1614" s="127"/>
      <c r="J1614" s="111"/>
      <c r="K1614" s="257"/>
      <c r="L1614" s="111"/>
      <c r="M1614" s="127"/>
      <c r="N1614" s="270"/>
      <c r="O1614" s="111"/>
      <c r="P1614" s="111"/>
      <c r="Q1614" s="128"/>
      <c r="R1614" s="124"/>
      <c r="S1614" s="125"/>
      <c r="T1614" s="126"/>
      <c r="U1614" s="126"/>
      <c r="V1614" s="126"/>
      <c r="W1614" s="126"/>
      <c r="X1614" s="126"/>
      <c r="Y1614" s="126"/>
      <c r="Z1614" s="127"/>
      <c r="AA1614" s="127"/>
      <c r="AB1614" s="127"/>
      <c r="AC1614" s="127"/>
      <c r="AD1614" s="261"/>
      <c r="AE1614" s="261"/>
      <c r="AF1614" s="261"/>
      <c r="AG1614" s="261"/>
    </row>
    <row r="1615" ht="34.5" hidden="1" customHeight="1">
      <c r="A1615" s="111"/>
      <c r="B1615" s="127"/>
      <c r="C1615" s="111"/>
      <c r="D1615" s="111"/>
      <c r="E1615" s="111"/>
      <c r="F1615" s="111"/>
      <c r="G1615" s="111"/>
      <c r="H1615" s="111"/>
      <c r="I1615" s="127"/>
      <c r="J1615" s="111"/>
      <c r="K1615" s="257"/>
      <c r="L1615" s="111"/>
      <c r="M1615" s="127"/>
      <c r="N1615" s="270"/>
      <c r="O1615" s="111"/>
      <c r="P1615" s="111"/>
      <c r="Q1615" s="128"/>
      <c r="R1615" s="124"/>
      <c r="S1615" s="125"/>
      <c r="T1615" s="126"/>
      <c r="U1615" s="126"/>
      <c r="V1615" s="126"/>
      <c r="W1615" s="126"/>
      <c r="X1615" s="126"/>
      <c r="Y1615" s="126"/>
      <c r="Z1615" s="127"/>
      <c r="AA1615" s="127"/>
      <c r="AB1615" s="127"/>
      <c r="AC1615" s="127"/>
      <c r="AD1615" s="261"/>
      <c r="AE1615" s="261"/>
      <c r="AF1615" s="261"/>
      <c r="AG1615" s="261"/>
    </row>
    <row r="1616" ht="34.5" hidden="1" customHeight="1">
      <c r="A1616" s="111"/>
      <c r="B1616" s="127"/>
      <c r="C1616" s="111"/>
      <c r="D1616" s="111"/>
      <c r="E1616" s="111"/>
      <c r="F1616" s="111"/>
      <c r="G1616" s="111"/>
      <c r="H1616" s="111"/>
      <c r="I1616" s="127"/>
      <c r="J1616" s="111"/>
      <c r="K1616" s="257"/>
      <c r="L1616" s="111"/>
      <c r="M1616" s="127"/>
      <c r="N1616" s="270"/>
      <c r="O1616" s="111"/>
      <c r="P1616" s="111"/>
      <c r="Q1616" s="128"/>
      <c r="R1616" s="124"/>
      <c r="S1616" s="125"/>
      <c r="T1616" s="126"/>
      <c r="U1616" s="126"/>
      <c r="V1616" s="126"/>
      <c r="W1616" s="126"/>
      <c r="X1616" s="126"/>
      <c r="Y1616" s="126"/>
      <c r="Z1616" s="127"/>
      <c r="AA1616" s="127"/>
      <c r="AB1616" s="127"/>
      <c r="AC1616" s="127"/>
      <c r="AD1616" s="261"/>
      <c r="AE1616" s="261"/>
      <c r="AF1616" s="261"/>
      <c r="AG1616" s="261"/>
    </row>
    <row r="1617" ht="34.5" hidden="1" customHeight="1">
      <c r="A1617" s="111"/>
      <c r="B1617" s="127"/>
      <c r="C1617" s="111"/>
      <c r="D1617" s="111"/>
      <c r="E1617" s="111"/>
      <c r="F1617" s="111"/>
      <c r="G1617" s="111"/>
      <c r="H1617" s="111"/>
      <c r="I1617" s="127"/>
      <c r="J1617" s="111"/>
      <c r="K1617" s="257"/>
      <c r="L1617" s="111"/>
      <c r="M1617" s="127"/>
      <c r="N1617" s="270"/>
      <c r="O1617" s="111"/>
      <c r="P1617" s="111"/>
      <c r="Q1617" s="128"/>
      <c r="R1617" s="124"/>
      <c r="S1617" s="125"/>
      <c r="T1617" s="126"/>
      <c r="U1617" s="126"/>
      <c r="V1617" s="126"/>
      <c r="W1617" s="126"/>
      <c r="X1617" s="126"/>
      <c r="Y1617" s="126"/>
      <c r="Z1617" s="127"/>
      <c r="AA1617" s="127"/>
      <c r="AB1617" s="127"/>
      <c r="AC1617" s="127"/>
      <c r="AD1617" s="261"/>
      <c r="AE1617" s="261"/>
      <c r="AF1617" s="261"/>
      <c r="AG1617" s="261"/>
    </row>
    <row r="1618" ht="34.5" hidden="1" customHeight="1">
      <c r="A1618" s="111"/>
      <c r="B1618" s="127"/>
      <c r="C1618" s="111"/>
      <c r="D1618" s="111"/>
      <c r="E1618" s="111"/>
      <c r="F1618" s="111"/>
      <c r="G1618" s="111"/>
      <c r="H1618" s="111"/>
      <c r="I1618" s="127"/>
      <c r="J1618" s="111"/>
      <c r="K1618" s="257"/>
      <c r="L1618" s="111"/>
      <c r="M1618" s="127"/>
      <c r="N1618" s="270"/>
      <c r="O1618" s="111"/>
      <c r="P1618" s="111"/>
      <c r="Q1618" s="128"/>
      <c r="R1618" s="124"/>
      <c r="S1618" s="125"/>
      <c r="T1618" s="126"/>
      <c r="U1618" s="126"/>
      <c r="V1618" s="126"/>
      <c r="W1618" s="126"/>
      <c r="X1618" s="126"/>
      <c r="Y1618" s="126"/>
      <c r="Z1618" s="127"/>
      <c r="AA1618" s="127"/>
      <c r="AB1618" s="127"/>
      <c r="AC1618" s="127"/>
      <c r="AD1618" s="261"/>
      <c r="AE1618" s="261"/>
      <c r="AF1618" s="261"/>
      <c r="AG1618" s="261"/>
    </row>
    <row r="1619" ht="34.5" hidden="1" customHeight="1">
      <c r="A1619" s="111"/>
      <c r="B1619" s="127"/>
      <c r="C1619" s="111"/>
      <c r="D1619" s="111"/>
      <c r="E1619" s="111"/>
      <c r="F1619" s="111"/>
      <c r="G1619" s="111"/>
      <c r="H1619" s="111"/>
      <c r="I1619" s="127"/>
      <c r="J1619" s="111"/>
      <c r="K1619" s="257"/>
      <c r="L1619" s="111"/>
      <c r="M1619" s="127"/>
      <c r="N1619" s="270"/>
      <c r="O1619" s="111"/>
      <c r="P1619" s="111"/>
      <c r="Q1619" s="128"/>
      <c r="R1619" s="124"/>
      <c r="S1619" s="125"/>
      <c r="T1619" s="126"/>
      <c r="U1619" s="126"/>
      <c r="V1619" s="126"/>
      <c r="W1619" s="126"/>
      <c r="X1619" s="126"/>
      <c r="Y1619" s="126"/>
      <c r="Z1619" s="127"/>
      <c r="AA1619" s="127"/>
      <c r="AB1619" s="127"/>
      <c r="AC1619" s="127"/>
      <c r="AD1619" s="261"/>
      <c r="AE1619" s="261"/>
      <c r="AF1619" s="261"/>
      <c r="AG1619" s="261"/>
    </row>
    <row r="1620" ht="34.5" hidden="1" customHeight="1">
      <c r="A1620" s="111"/>
      <c r="B1620" s="127"/>
      <c r="C1620" s="111"/>
      <c r="D1620" s="111"/>
      <c r="E1620" s="111"/>
      <c r="F1620" s="111"/>
      <c r="G1620" s="111"/>
      <c r="H1620" s="111"/>
      <c r="I1620" s="127"/>
      <c r="J1620" s="111"/>
      <c r="K1620" s="257"/>
      <c r="L1620" s="111"/>
      <c r="M1620" s="127"/>
      <c r="N1620" s="270"/>
      <c r="O1620" s="111"/>
      <c r="P1620" s="111"/>
      <c r="Q1620" s="128"/>
      <c r="R1620" s="124"/>
      <c r="S1620" s="125"/>
      <c r="T1620" s="126"/>
      <c r="U1620" s="126"/>
      <c r="V1620" s="126"/>
      <c r="W1620" s="126"/>
      <c r="X1620" s="126"/>
      <c r="Y1620" s="126"/>
      <c r="Z1620" s="127"/>
      <c r="AA1620" s="127"/>
      <c r="AB1620" s="127"/>
      <c r="AC1620" s="127"/>
      <c r="AD1620" s="261"/>
      <c r="AE1620" s="261"/>
      <c r="AF1620" s="261"/>
      <c r="AG1620" s="261"/>
    </row>
    <row r="1621" ht="34.5" hidden="1" customHeight="1">
      <c r="A1621" s="111"/>
      <c r="B1621" s="127"/>
      <c r="C1621" s="111"/>
      <c r="D1621" s="111"/>
      <c r="E1621" s="111"/>
      <c r="F1621" s="111"/>
      <c r="G1621" s="111"/>
      <c r="H1621" s="111"/>
      <c r="I1621" s="127"/>
      <c r="J1621" s="111"/>
      <c r="K1621" s="257"/>
      <c r="L1621" s="111"/>
      <c r="M1621" s="127"/>
      <c r="N1621" s="270"/>
      <c r="O1621" s="111"/>
      <c r="P1621" s="111"/>
      <c r="Q1621" s="128"/>
      <c r="R1621" s="124"/>
      <c r="S1621" s="125"/>
      <c r="T1621" s="126"/>
      <c r="U1621" s="126"/>
      <c r="V1621" s="126"/>
      <c r="W1621" s="126"/>
      <c r="X1621" s="126"/>
      <c r="Y1621" s="126"/>
      <c r="Z1621" s="127"/>
      <c r="AA1621" s="127"/>
      <c r="AB1621" s="127"/>
      <c r="AC1621" s="127"/>
      <c r="AD1621" s="261"/>
      <c r="AE1621" s="261"/>
      <c r="AF1621" s="261"/>
      <c r="AG1621" s="261"/>
    </row>
    <row r="1622" ht="34.5" hidden="1" customHeight="1">
      <c r="A1622" s="111"/>
      <c r="B1622" s="127"/>
      <c r="C1622" s="111"/>
      <c r="D1622" s="111"/>
      <c r="E1622" s="111"/>
      <c r="F1622" s="111"/>
      <c r="G1622" s="111"/>
      <c r="H1622" s="111"/>
      <c r="I1622" s="127"/>
      <c r="J1622" s="111"/>
      <c r="K1622" s="257"/>
      <c r="L1622" s="111"/>
      <c r="M1622" s="127"/>
      <c r="N1622" s="270"/>
      <c r="O1622" s="111"/>
      <c r="P1622" s="111"/>
      <c r="Q1622" s="128"/>
      <c r="R1622" s="124"/>
      <c r="S1622" s="125"/>
      <c r="T1622" s="126"/>
      <c r="U1622" s="126"/>
      <c r="V1622" s="126"/>
      <c r="W1622" s="126"/>
      <c r="X1622" s="126"/>
      <c r="Y1622" s="126"/>
      <c r="Z1622" s="127"/>
      <c r="AA1622" s="127"/>
      <c r="AB1622" s="127"/>
      <c r="AC1622" s="127"/>
      <c r="AD1622" s="261"/>
      <c r="AE1622" s="261"/>
      <c r="AF1622" s="261"/>
      <c r="AG1622" s="261"/>
    </row>
    <row r="1623" ht="34.5" hidden="1" customHeight="1">
      <c r="A1623" s="111"/>
      <c r="B1623" s="127"/>
      <c r="C1623" s="111"/>
      <c r="D1623" s="111"/>
      <c r="E1623" s="111"/>
      <c r="F1623" s="111"/>
      <c r="G1623" s="111"/>
      <c r="H1623" s="111"/>
      <c r="I1623" s="127"/>
      <c r="J1623" s="111"/>
      <c r="K1623" s="257"/>
      <c r="L1623" s="111"/>
      <c r="M1623" s="127"/>
      <c r="N1623" s="270"/>
      <c r="O1623" s="111"/>
      <c r="P1623" s="111"/>
      <c r="Q1623" s="128"/>
      <c r="R1623" s="124"/>
      <c r="S1623" s="125"/>
      <c r="T1623" s="126"/>
      <c r="U1623" s="126"/>
      <c r="V1623" s="126"/>
      <c r="W1623" s="126"/>
      <c r="X1623" s="126"/>
      <c r="Y1623" s="126"/>
      <c r="Z1623" s="127"/>
      <c r="AA1623" s="127"/>
      <c r="AB1623" s="127"/>
      <c r="AC1623" s="127"/>
      <c r="AD1623" s="261"/>
      <c r="AE1623" s="261"/>
      <c r="AF1623" s="261"/>
      <c r="AG1623" s="261"/>
    </row>
    <row r="1624" ht="34.5" hidden="1" customHeight="1">
      <c r="A1624" s="111"/>
      <c r="B1624" s="127"/>
      <c r="C1624" s="111"/>
      <c r="D1624" s="111"/>
      <c r="E1624" s="111"/>
      <c r="F1624" s="111"/>
      <c r="G1624" s="111"/>
      <c r="H1624" s="111"/>
      <c r="I1624" s="127"/>
      <c r="J1624" s="111"/>
      <c r="K1624" s="257"/>
      <c r="L1624" s="111"/>
      <c r="M1624" s="127"/>
      <c r="N1624" s="270"/>
      <c r="O1624" s="111"/>
      <c r="P1624" s="111"/>
      <c r="Q1624" s="128"/>
      <c r="R1624" s="124"/>
      <c r="S1624" s="125"/>
      <c r="T1624" s="126"/>
      <c r="U1624" s="126"/>
      <c r="V1624" s="126"/>
      <c r="W1624" s="126"/>
      <c r="X1624" s="126"/>
      <c r="Y1624" s="126"/>
      <c r="Z1624" s="127"/>
      <c r="AA1624" s="127"/>
      <c r="AB1624" s="127"/>
      <c r="AC1624" s="127"/>
      <c r="AD1624" s="261"/>
      <c r="AE1624" s="261"/>
      <c r="AF1624" s="261"/>
      <c r="AG1624" s="261"/>
    </row>
    <row r="1625" ht="34.5" hidden="1" customHeight="1">
      <c r="A1625" s="111"/>
      <c r="B1625" s="127"/>
      <c r="C1625" s="111"/>
      <c r="D1625" s="111"/>
      <c r="E1625" s="111"/>
      <c r="F1625" s="111"/>
      <c r="G1625" s="111"/>
      <c r="H1625" s="111"/>
      <c r="I1625" s="127"/>
      <c r="J1625" s="111"/>
      <c r="K1625" s="257"/>
      <c r="L1625" s="111"/>
      <c r="M1625" s="127"/>
      <c r="N1625" s="270"/>
      <c r="O1625" s="111"/>
      <c r="P1625" s="111"/>
      <c r="Q1625" s="128"/>
      <c r="R1625" s="124"/>
      <c r="S1625" s="125"/>
      <c r="T1625" s="126"/>
      <c r="U1625" s="126"/>
      <c r="V1625" s="126"/>
      <c r="W1625" s="126"/>
      <c r="X1625" s="126"/>
      <c r="Y1625" s="126"/>
      <c r="Z1625" s="127"/>
      <c r="AA1625" s="127"/>
      <c r="AB1625" s="127"/>
      <c r="AC1625" s="127"/>
      <c r="AD1625" s="261"/>
      <c r="AE1625" s="261"/>
      <c r="AF1625" s="261"/>
      <c r="AG1625" s="261"/>
    </row>
    <row r="1626" ht="34.5" hidden="1" customHeight="1">
      <c r="A1626" s="111"/>
      <c r="B1626" s="127"/>
      <c r="C1626" s="111"/>
      <c r="D1626" s="111"/>
      <c r="E1626" s="111"/>
      <c r="F1626" s="111"/>
      <c r="G1626" s="111"/>
      <c r="H1626" s="111"/>
      <c r="I1626" s="127"/>
      <c r="J1626" s="111"/>
      <c r="K1626" s="257"/>
      <c r="L1626" s="111"/>
      <c r="M1626" s="127"/>
      <c r="N1626" s="270"/>
      <c r="O1626" s="111"/>
      <c r="P1626" s="111"/>
      <c r="Q1626" s="128"/>
      <c r="R1626" s="124"/>
      <c r="S1626" s="125"/>
      <c r="T1626" s="126"/>
      <c r="U1626" s="126"/>
      <c r="V1626" s="126"/>
      <c r="W1626" s="126"/>
      <c r="X1626" s="126"/>
      <c r="Y1626" s="126"/>
      <c r="Z1626" s="127"/>
      <c r="AA1626" s="127"/>
      <c r="AB1626" s="127"/>
      <c r="AC1626" s="127"/>
      <c r="AD1626" s="261"/>
      <c r="AE1626" s="261"/>
      <c r="AF1626" s="261"/>
      <c r="AG1626" s="261"/>
    </row>
    <row r="1627" ht="34.5" hidden="1" customHeight="1">
      <c r="A1627" s="111"/>
      <c r="B1627" s="127"/>
      <c r="C1627" s="111"/>
      <c r="D1627" s="111"/>
      <c r="E1627" s="111"/>
      <c r="F1627" s="111"/>
      <c r="G1627" s="111"/>
      <c r="H1627" s="111"/>
      <c r="I1627" s="127"/>
      <c r="J1627" s="111"/>
      <c r="K1627" s="257"/>
      <c r="L1627" s="111"/>
      <c r="M1627" s="127"/>
      <c r="N1627" s="270"/>
      <c r="O1627" s="111"/>
      <c r="P1627" s="111"/>
      <c r="Q1627" s="128"/>
      <c r="R1627" s="124"/>
      <c r="S1627" s="125"/>
      <c r="T1627" s="126"/>
      <c r="U1627" s="126"/>
      <c r="V1627" s="126"/>
      <c r="W1627" s="126"/>
      <c r="X1627" s="126"/>
      <c r="Y1627" s="126"/>
      <c r="Z1627" s="127"/>
      <c r="AA1627" s="127"/>
      <c r="AB1627" s="127"/>
      <c r="AC1627" s="127"/>
      <c r="AD1627" s="261"/>
      <c r="AE1627" s="261"/>
      <c r="AF1627" s="261"/>
      <c r="AG1627" s="261"/>
    </row>
    <row r="1628" ht="34.5" hidden="1" customHeight="1">
      <c r="A1628" s="111"/>
      <c r="B1628" s="127"/>
      <c r="C1628" s="111"/>
      <c r="D1628" s="111"/>
      <c r="E1628" s="111"/>
      <c r="F1628" s="111"/>
      <c r="G1628" s="111"/>
      <c r="H1628" s="111"/>
      <c r="I1628" s="127"/>
      <c r="J1628" s="111"/>
      <c r="K1628" s="257"/>
      <c r="L1628" s="111"/>
      <c r="M1628" s="127"/>
      <c r="N1628" s="270"/>
      <c r="O1628" s="111"/>
      <c r="P1628" s="111"/>
      <c r="Q1628" s="128"/>
      <c r="R1628" s="124"/>
      <c r="S1628" s="125"/>
      <c r="T1628" s="126"/>
      <c r="U1628" s="126"/>
      <c r="V1628" s="126"/>
      <c r="W1628" s="126"/>
      <c r="X1628" s="126"/>
      <c r="Y1628" s="126"/>
      <c r="Z1628" s="127"/>
      <c r="AA1628" s="127"/>
      <c r="AB1628" s="127"/>
      <c r="AC1628" s="127"/>
      <c r="AD1628" s="261"/>
      <c r="AE1628" s="261"/>
      <c r="AF1628" s="261"/>
      <c r="AG1628" s="261"/>
    </row>
    <row r="1629" ht="34.5" hidden="1" customHeight="1">
      <c r="A1629" s="111"/>
      <c r="B1629" s="127"/>
      <c r="C1629" s="111"/>
      <c r="D1629" s="111"/>
      <c r="E1629" s="111"/>
      <c r="F1629" s="111"/>
      <c r="G1629" s="111"/>
      <c r="H1629" s="111"/>
      <c r="I1629" s="127"/>
      <c r="J1629" s="111"/>
      <c r="K1629" s="257"/>
      <c r="L1629" s="111"/>
      <c r="M1629" s="127"/>
      <c r="N1629" s="270"/>
      <c r="O1629" s="111"/>
      <c r="P1629" s="111"/>
      <c r="Q1629" s="128"/>
      <c r="R1629" s="124"/>
      <c r="S1629" s="125"/>
      <c r="T1629" s="126"/>
      <c r="U1629" s="126"/>
      <c r="V1629" s="126"/>
      <c r="W1629" s="126"/>
      <c r="X1629" s="126"/>
      <c r="Y1629" s="126"/>
      <c r="Z1629" s="127"/>
      <c r="AA1629" s="127"/>
      <c r="AB1629" s="127"/>
      <c r="AC1629" s="127"/>
      <c r="AD1629" s="261"/>
      <c r="AE1629" s="261"/>
      <c r="AF1629" s="261"/>
      <c r="AG1629" s="261"/>
    </row>
    <row r="1630" ht="34.5" hidden="1" customHeight="1">
      <c r="A1630" s="111"/>
      <c r="B1630" s="127"/>
      <c r="C1630" s="111"/>
      <c r="D1630" s="111"/>
      <c r="E1630" s="111"/>
      <c r="F1630" s="111"/>
      <c r="G1630" s="111"/>
      <c r="H1630" s="111"/>
      <c r="I1630" s="127"/>
      <c r="J1630" s="111"/>
      <c r="K1630" s="257"/>
      <c r="L1630" s="111"/>
      <c r="M1630" s="127"/>
      <c r="N1630" s="270"/>
      <c r="O1630" s="111"/>
      <c r="P1630" s="111"/>
      <c r="Q1630" s="128"/>
      <c r="R1630" s="124"/>
      <c r="S1630" s="125"/>
      <c r="T1630" s="126"/>
      <c r="U1630" s="126"/>
      <c r="V1630" s="126"/>
      <c r="W1630" s="126"/>
      <c r="X1630" s="126"/>
      <c r="Y1630" s="126"/>
      <c r="Z1630" s="127"/>
      <c r="AA1630" s="127"/>
      <c r="AB1630" s="127"/>
      <c r="AC1630" s="127"/>
      <c r="AD1630" s="261"/>
      <c r="AE1630" s="261"/>
      <c r="AF1630" s="261"/>
      <c r="AG1630" s="261"/>
    </row>
    <row r="1631" ht="34.5" hidden="1" customHeight="1">
      <c r="A1631" s="111"/>
      <c r="B1631" s="127"/>
      <c r="C1631" s="111"/>
      <c r="D1631" s="111"/>
      <c r="E1631" s="111"/>
      <c r="F1631" s="111"/>
      <c r="G1631" s="111"/>
      <c r="H1631" s="111"/>
      <c r="I1631" s="127"/>
      <c r="J1631" s="111"/>
      <c r="K1631" s="257"/>
      <c r="L1631" s="111"/>
      <c r="M1631" s="127"/>
      <c r="N1631" s="270"/>
      <c r="O1631" s="111"/>
      <c r="P1631" s="111"/>
      <c r="Q1631" s="128"/>
      <c r="R1631" s="124"/>
      <c r="S1631" s="125"/>
      <c r="T1631" s="126"/>
      <c r="U1631" s="126"/>
      <c r="V1631" s="126"/>
      <c r="W1631" s="126"/>
      <c r="X1631" s="126"/>
      <c r="Y1631" s="126"/>
      <c r="Z1631" s="127"/>
      <c r="AA1631" s="127"/>
      <c r="AB1631" s="127"/>
      <c r="AC1631" s="127"/>
      <c r="AD1631" s="261"/>
      <c r="AE1631" s="261"/>
      <c r="AF1631" s="261"/>
      <c r="AG1631" s="261"/>
    </row>
    <row r="1632" ht="34.5" hidden="1" customHeight="1">
      <c r="A1632" s="111"/>
      <c r="B1632" s="127"/>
      <c r="C1632" s="111"/>
      <c r="D1632" s="111"/>
      <c r="E1632" s="111"/>
      <c r="F1632" s="111"/>
      <c r="G1632" s="111"/>
      <c r="H1632" s="111"/>
      <c r="I1632" s="127"/>
      <c r="J1632" s="111"/>
      <c r="K1632" s="257"/>
      <c r="L1632" s="111"/>
      <c r="M1632" s="127"/>
      <c r="N1632" s="270"/>
      <c r="O1632" s="111"/>
      <c r="P1632" s="111"/>
      <c r="Q1632" s="128"/>
      <c r="R1632" s="124"/>
      <c r="S1632" s="125"/>
      <c r="T1632" s="126"/>
      <c r="U1632" s="126"/>
      <c r="V1632" s="126"/>
      <c r="W1632" s="126"/>
      <c r="X1632" s="126"/>
      <c r="Y1632" s="126"/>
      <c r="Z1632" s="127"/>
      <c r="AA1632" s="127"/>
      <c r="AB1632" s="127"/>
      <c r="AC1632" s="127"/>
      <c r="AD1632" s="261"/>
      <c r="AE1632" s="261"/>
      <c r="AF1632" s="261"/>
      <c r="AG1632" s="261"/>
    </row>
    <row r="1633" ht="34.5" hidden="1" customHeight="1">
      <c r="A1633" s="111"/>
      <c r="B1633" s="127"/>
      <c r="C1633" s="111"/>
      <c r="D1633" s="111"/>
      <c r="E1633" s="111"/>
      <c r="F1633" s="111"/>
      <c r="G1633" s="111"/>
      <c r="H1633" s="111"/>
      <c r="I1633" s="127"/>
      <c r="J1633" s="111"/>
      <c r="K1633" s="257"/>
      <c r="L1633" s="111"/>
      <c r="M1633" s="127"/>
      <c r="N1633" s="270"/>
      <c r="O1633" s="111"/>
      <c r="P1633" s="111"/>
      <c r="Q1633" s="128"/>
      <c r="R1633" s="124"/>
      <c r="S1633" s="125"/>
      <c r="T1633" s="126"/>
      <c r="U1633" s="126"/>
      <c r="V1633" s="126"/>
      <c r="W1633" s="126"/>
      <c r="X1633" s="126"/>
      <c r="Y1633" s="126"/>
      <c r="Z1633" s="127"/>
      <c r="AA1633" s="127"/>
      <c r="AB1633" s="127"/>
      <c r="AC1633" s="127"/>
      <c r="AD1633" s="261"/>
      <c r="AE1633" s="261"/>
      <c r="AF1633" s="261"/>
      <c r="AG1633" s="261"/>
    </row>
    <row r="1634" ht="34.5" hidden="1" customHeight="1">
      <c r="A1634" s="111"/>
      <c r="B1634" s="127"/>
      <c r="C1634" s="111"/>
      <c r="D1634" s="111"/>
      <c r="E1634" s="111"/>
      <c r="F1634" s="111"/>
      <c r="G1634" s="111"/>
      <c r="H1634" s="111"/>
      <c r="I1634" s="127"/>
      <c r="J1634" s="111"/>
      <c r="K1634" s="257"/>
      <c r="L1634" s="111"/>
      <c r="M1634" s="127"/>
      <c r="N1634" s="270"/>
      <c r="O1634" s="111"/>
      <c r="P1634" s="111"/>
      <c r="Q1634" s="128"/>
      <c r="R1634" s="124"/>
      <c r="S1634" s="125"/>
      <c r="T1634" s="126"/>
      <c r="U1634" s="126"/>
      <c r="V1634" s="126"/>
      <c r="W1634" s="126"/>
      <c r="X1634" s="126"/>
      <c r="Y1634" s="126"/>
      <c r="Z1634" s="127"/>
      <c r="AA1634" s="127"/>
      <c r="AB1634" s="127"/>
      <c r="AC1634" s="127"/>
      <c r="AD1634" s="261"/>
      <c r="AE1634" s="261"/>
      <c r="AF1634" s="261"/>
      <c r="AG1634" s="261"/>
    </row>
    <row r="1635" ht="34.5" hidden="1" customHeight="1">
      <c r="A1635" s="111"/>
      <c r="B1635" s="127"/>
      <c r="C1635" s="111"/>
      <c r="D1635" s="111"/>
      <c r="E1635" s="111"/>
      <c r="F1635" s="111"/>
      <c r="G1635" s="111"/>
      <c r="H1635" s="111"/>
      <c r="I1635" s="127"/>
      <c r="J1635" s="111"/>
      <c r="K1635" s="257"/>
      <c r="L1635" s="111"/>
      <c r="M1635" s="127"/>
      <c r="N1635" s="270"/>
      <c r="O1635" s="111"/>
      <c r="P1635" s="111"/>
      <c r="Q1635" s="128"/>
      <c r="R1635" s="124"/>
      <c r="S1635" s="125"/>
      <c r="T1635" s="126"/>
      <c r="U1635" s="126"/>
      <c r="V1635" s="126"/>
      <c r="W1635" s="126"/>
      <c r="X1635" s="126"/>
      <c r="Y1635" s="126"/>
      <c r="Z1635" s="127"/>
      <c r="AA1635" s="127"/>
      <c r="AB1635" s="127"/>
      <c r="AC1635" s="127"/>
      <c r="AD1635" s="261"/>
      <c r="AE1635" s="261"/>
      <c r="AF1635" s="261"/>
      <c r="AG1635" s="261"/>
    </row>
    <row r="1636" ht="34.5" hidden="1" customHeight="1">
      <c r="A1636" s="111"/>
      <c r="B1636" s="127"/>
      <c r="C1636" s="111"/>
      <c r="D1636" s="111"/>
      <c r="E1636" s="111"/>
      <c r="F1636" s="111"/>
      <c r="G1636" s="111"/>
      <c r="H1636" s="111"/>
      <c r="I1636" s="127"/>
      <c r="J1636" s="111"/>
      <c r="K1636" s="257"/>
      <c r="L1636" s="111"/>
      <c r="M1636" s="127"/>
      <c r="N1636" s="270"/>
      <c r="O1636" s="111"/>
      <c r="P1636" s="111"/>
      <c r="Q1636" s="128"/>
      <c r="R1636" s="124"/>
      <c r="S1636" s="125"/>
      <c r="T1636" s="126"/>
      <c r="U1636" s="126"/>
      <c r="V1636" s="126"/>
      <c r="W1636" s="126"/>
      <c r="X1636" s="126"/>
      <c r="Y1636" s="126"/>
      <c r="Z1636" s="127"/>
      <c r="AA1636" s="127"/>
      <c r="AB1636" s="127"/>
      <c r="AC1636" s="127"/>
      <c r="AD1636" s="261"/>
      <c r="AE1636" s="261"/>
      <c r="AF1636" s="261"/>
      <c r="AG1636" s="261"/>
    </row>
    <row r="1637" ht="34.5" hidden="1" customHeight="1">
      <c r="A1637" s="111"/>
      <c r="B1637" s="127"/>
      <c r="C1637" s="111"/>
      <c r="D1637" s="111"/>
      <c r="E1637" s="111"/>
      <c r="F1637" s="111"/>
      <c r="G1637" s="111"/>
      <c r="H1637" s="111"/>
      <c r="I1637" s="127"/>
      <c r="J1637" s="111"/>
      <c r="K1637" s="257"/>
      <c r="L1637" s="111"/>
      <c r="M1637" s="127"/>
      <c r="N1637" s="270"/>
      <c r="O1637" s="111"/>
      <c r="P1637" s="111"/>
      <c r="Q1637" s="128"/>
      <c r="R1637" s="124"/>
      <c r="S1637" s="125"/>
      <c r="T1637" s="126"/>
      <c r="U1637" s="126"/>
      <c r="V1637" s="126"/>
      <c r="W1637" s="126"/>
      <c r="X1637" s="126"/>
      <c r="Y1637" s="126"/>
      <c r="Z1637" s="127"/>
      <c r="AA1637" s="127"/>
      <c r="AB1637" s="127"/>
      <c r="AC1637" s="127"/>
      <c r="AD1637" s="261"/>
      <c r="AE1637" s="261"/>
      <c r="AF1637" s="261"/>
      <c r="AG1637" s="261"/>
    </row>
    <row r="1638" ht="34.5" hidden="1" customHeight="1">
      <c r="A1638" s="111"/>
      <c r="B1638" s="127"/>
      <c r="C1638" s="111"/>
      <c r="D1638" s="111"/>
      <c r="E1638" s="111"/>
      <c r="F1638" s="111"/>
      <c r="G1638" s="111"/>
      <c r="H1638" s="111"/>
      <c r="I1638" s="127"/>
      <c r="J1638" s="111"/>
      <c r="K1638" s="257"/>
      <c r="L1638" s="111"/>
      <c r="M1638" s="127"/>
      <c r="N1638" s="270"/>
      <c r="O1638" s="111"/>
      <c r="P1638" s="111"/>
      <c r="Q1638" s="128"/>
      <c r="R1638" s="124"/>
      <c r="S1638" s="125"/>
      <c r="T1638" s="126"/>
      <c r="U1638" s="126"/>
      <c r="V1638" s="126"/>
      <c r="W1638" s="126"/>
      <c r="X1638" s="126"/>
      <c r="Y1638" s="126"/>
      <c r="Z1638" s="127"/>
      <c r="AA1638" s="127"/>
      <c r="AB1638" s="127"/>
      <c r="AC1638" s="127"/>
      <c r="AD1638" s="261"/>
      <c r="AE1638" s="261"/>
      <c r="AF1638" s="261"/>
      <c r="AG1638" s="261"/>
    </row>
    <row r="1639" ht="34.5" hidden="1" customHeight="1">
      <c r="A1639" s="111"/>
      <c r="B1639" s="127"/>
      <c r="C1639" s="111"/>
      <c r="D1639" s="111"/>
      <c r="E1639" s="111"/>
      <c r="F1639" s="111"/>
      <c r="G1639" s="111"/>
      <c r="H1639" s="111"/>
      <c r="I1639" s="127"/>
      <c r="J1639" s="111"/>
      <c r="K1639" s="257"/>
      <c r="L1639" s="111"/>
      <c r="M1639" s="127"/>
      <c r="N1639" s="270"/>
      <c r="O1639" s="111"/>
      <c r="P1639" s="111"/>
      <c r="Q1639" s="128"/>
      <c r="R1639" s="124"/>
      <c r="S1639" s="125"/>
      <c r="T1639" s="126"/>
      <c r="U1639" s="126"/>
      <c r="V1639" s="126"/>
      <c r="W1639" s="126"/>
      <c r="X1639" s="126"/>
      <c r="Y1639" s="126"/>
      <c r="Z1639" s="127"/>
      <c r="AA1639" s="127"/>
      <c r="AB1639" s="127"/>
      <c r="AC1639" s="127"/>
      <c r="AD1639" s="261"/>
      <c r="AE1639" s="261"/>
      <c r="AF1639" s="261"/>
      <c r="AG1639" s="261"/>
    </row>
    <row r="1640" ht="34.5" hidden="1" customHeight="1">
      <c r="A1640" s="111"/>
      <c r="B1640" s="127"/>
      <c r="C1640" s="111"/>
      <c r="D1640" s="111"/>
      <c r="E1640" s="111"/>
      <c r="F1640" s="111"/>
      <c r="G1640" s="111"/>
      <c r="H1640" s="111"/>
      <c r="I1640" s="127"/>
      <c r="J1640" s="111"/>
      <c r="K1640" s="257"/>
      <c r="L1640" s="111"/>
      <c r="M1640" s="127"/>
      <c r="N1640" s="270"/>
      <c r="O1640" s="111"/>
      <c r="P1640" s="111"/>
      <c r="Q1640" s="128"/>
      <c r="R1640" s="124"/>
      <c r="S1640" s="125"/>
      <c r="T1640" s="126"/>
      <c r="U1640" s="126"/>
      <c r="V1640" s="126"/>
      <c r="W1640" s="126"/>
      <c r="X1640" s="126"/>
      <c r="Y1640" s="126"/>
      <c r="Z1640" s="127"/>
      <c r="AA1640" s="127"/>
      <c r="AB1640" s="127"/>
      <c r="AC1640" s="127"/>
      <c r="AD1640" s="261"/>
      <c r="AE1640" s="261"/>
      <c r="AF1640" s="261"/>
      <c r="AG1640" s="261"/>
    </row>
    <row r="1641" ht="34.5" hidden="1" customHeight="1">
      <c r="A1641" s="111"/>
      <c r="B1641" s="127"/>
      <c r="C1641" s="111"/>
      <c r="D1641" s="111"/>
      <c r="E1641" s="111"/>
      <c r="F1641" s="111"/>
      <c r="G1641" s="111"/>
      <c r="H1641" s="111"/>
      <c r="I1641" s="127"/>
      <c r="J1641" s="111"/>
      <c r="K1641" s="257"/>
      <c r="L1641" s="111"/>
      <c r="M1641" s="127"/>
      <c r="N1641" s="270"/>
      <c r="O1641" s="111"/>
      <c r="P1641" s="111"/>
      <c r="Q1641" s="128"/>
      <c r="R1641" s="124"/>
      <c r="S1641" s="125"/>
      <c r="T1641" s="126"/>
      <c r="U1641" s="126"/>
      <c r="V1641" s="126"/>
      <c r="W1641" s="126"/>
      <c r="X1641" s="126"/>
      <c r="Y1641" s="126"/>
      <c r="Z1641" s="127"/>
      <c r="AA1641" s="127"/>
      <c r="AB1641" s="127"/>
      <c r="AC1641" s="127"/>
      <c r="AD1641" s="261"/>
      <c r="AE1641" s="261"/>
      <c r="AF1641" s="261"/>
      <c r="AG1641" s="261"/>
    </row>
    <row r="1642" ht="34.5" hidden="1" customHeight="1">
      <c r="A1642" s="111"/>
      <c r="B1642" s="127"/>
      <c r="C1642" s="111"/>
      <c r="D1642" s="111"/>
      <c r="E1642" s="111"/>
      <c r="F1642" s="111"/>
      <c r="G1642" s="111"/>
      <c r="H1642" s="111"/>
      <c r="I1642" s="127"/>
      <c r="J1642" s="111"/>
      <c r="K1642" s="257"/>
      <c r="L1642" s="111"/>
      <c r="M1642" s="127"/>
      <c r="N1642" s="270"/>
      <c r="O1642" s="111"/>
      <c r="P1642" s="111"/>
      <c r="Q1642" s="128"/>
      <c r="R1642" s="124"/>
      <c r="S1642" s="125"/>
      <c r="T1642" s="126"/>
      <c r="U1642" s="126"/>
      <c r="V1642" s="126"/>
      <c r="W1642" s="126"/>
      <c r="X1642" s="126"/>
      <c r="Y1642" s="126"/>
      <c r="Z1642" s="127"/>
      <c r="AA1642" s="127"/>
      <c r="AB1642" s="127"/>
      <c r="AC1642" s="127"/>
      <c r="AD1642" s="261"/>
      <c r="AE1642" s="261"/>
      <c r="AF1642" s="261"/>
      <c r="AG1642" s="261"/>
    </row>
    <row r="1643" ht="34.5" hidden="1" customHeight="1">
      <c r="A1643" s="111"/>
      <c r="B1643" s="127"/>
      <c r="C1643" s="111"/>
      <c r="D1643" s="111"/>
      <c r="E1643" s="111"/>
      <c r="F1643" s="111"/>
      <c r="G1643" s="111"/>
      <c r="H1643" s="111"/>
      <c r="I1643" s="127"/>
      <c r="J1643" s="111"/>
      <c r="K1643" s="257"/>
      <c r="L1643" s="111"/>
      <c r="M1643" s="127"/>
      <c r="N1643" s="270"/>
      <c r="O1643" s="111"/>
      <c r="P1643" s="111"/>
      <c r="Q1643" s="128"/>
      <c r="R1643" s="124"/>
      <c r="S1643" s="125"/>
      <c r="T1643" s="126"/>
      <c r="U1643" s="126"/>
      <c r="V1643" s="126"/>
      <c r="W1643" s="126"/>
      <c r="X1643" s="126"/>
      <c r="Y1643" s="126"/>
      <c r="Z1643" s="127"/>
      <c r="AA1643" s="127"/>
      <c r="AB1643" s="127"/>
      <c r="AC1643" s="127"/>
      <c r="AD1643" s="261"/>
      <c r="AE1643" s="261"/>
      <c r="AF1643" s="261"/>
      <c r="AG1643" s="261"/>
    </row>
    <row r="1644" ht="34.5" hidden="1" customHeight="1">
      <c r="A1644" s="111"/>
      <c r="B1644" s="127"/>
      <c r="C1644" s="111"/>
      <c r="D1644" s="111"/>
      <c r="E1644" s="111"/>
      <c r="F1644" s="111"/>
      <c r="G1644" s="111"/>
      <c r="H1644" s="111"/>
      <c r="I1644" s="127"/>
      <c r="J1644" s="111"/>
      <c r="K1644" s="257"/>
      <c r="L1644" s="111"/>
      <c r="M1644" s="127"/>
      <c r="N1644" s="270"/>
      <c r="O1644" s="111"/>
      <c r="P1644" s="111"/>
      <c r="Q1644" s="128"/>
      <c r="R1644" s="124"/>
      <c r="S1644" s="125"/>
      <c r="T1644" s="126"/>
      <c r="U1644" s="126"/>
      <c r="V1644" s="126"/>
      <c r="W1644" s="126"/>
      <c r="X1644" s="126"/>
      <c r="Y1644" s="126"/>
      <c r="Z1644" s="127"/>
      <c r="AA1644" s="127"/>
      <c r="AB1644" s="127"/>
      <c r="AC1644" s="127"/>
      <c r="AD1644" s="261"/>
      <c r="AE1644" s="261"/>
      <c r="AF1644" s="261"/>
      <c r="AG1644" s="261"/>
    </row>
    <row r="1645" ht="34.5" hidden="1" customHeight="1">
      <c r="A1645" s="111"/>
      <c r="B1645" s="127"/>
      <c r="C1645" s="111"/>
      <c r="D1645" s="111"/>
      <c r="E1645" s="111"/>
      <c r="F1645" s="111"/>
      <c r="G1645" s="111"/>
      <c r="H1645" s="111"/>
      <c r="I1645" s="127"/>
      <c r="J1645" s="111"/>
      <c r="K1645" s="257"/>
      <c r="L1645" s="111"/>
      <c r="M1645" s="127"/>
      <c r="N1645" s="270"/>
      <c r="O1645" s="111"/>
      <c r="P1645" s="111"/>
      <c r="Q1645" s="128"/>
      <c r="R1645" s="124"/>
      <c r="S1645" s="125"/>
      <c r="T1645" s="126"/>
      <c r="U1645" s="126"/>
      <c r="V1645" s="126"/>
      <c r="W1645" s="126"/>
      <c r="X1645" s="126"/>
      <c r="Y1645" s="126"/>
      <c r="Z1645" s="127"/>
      <c r="AA1645" s="127"/>
      <c r="AB1645" s="127"/>
      <c r="AC1645" s="127"/>
      <c r="AD1645" s="261"/>
      <c r="AE1645" s="261"/>
      <c r="AF1645" s="261"/>
      <c r="AG1645" s="261"/>
    </row>
    <row r="1646" ht="34.5" hidden="1" customHeight="1">
      <c r="A1646" s="111"/>
      <c r="B1646" s="127"/>
      <c r="C1646" s="111"/>
      <c r="D1646" s="111"/>
      <c r="E1646" s="111"/>
      <c r="F1646" s="111"/>
      <c r="G1646" s="111"/>
      <c r="H1646" s="111"/>
      <c r="I1646" s="127"/>
      <c r="J1646" s="111"/>
      <c r="K1646" s="257"/>
      <c r="L1646" s="111"/>
      <c r="M1646" s="127"/>
      <c r="N1646" s="270"/>
      <c r="O1646" s="111"/>
      <c r="P1646" s="111"/>
      <c r="Q1646" s="128"/>
      <c r="R1646" s="124"/>
      <c r="S1646" s="125"/>
      <c r="T1646" s="126"/>
      <c r="U1646" s="126"/>
      <c r="V1646" s="126"/>
      <c r="W1646" s="126"/>
      <c r="X1646" s="126"/>
      <c r="Y1646" s="126"/>
      <c r="Z1646" s="127"/>
      <c r="AA1646" s="127"/>
      <c r="AB1646" s="127"/>
      <c r="AC1646" s="127"/>
      <c r="AD1646" s="261"/>
      <c r="AE1646" s="261"/>
      <c r="AF1646" s="261"/>
      <c r="AG1646" s="261"/>
    </row>
    <row r="1647" ht="34.5" hidden="1" customHeight="1">
      <c r="A1647" s="111"/>
      <c r="B1647" s="127"/>
      <c r="C1647" s="111"/>
      <c r="D1647" s="111"/>
      <c r="E1647" s="111"/>
      <c r="F1647" s="111"/>
      <c r="G1647" s="111"/>
      <c r="H1647" s="111"/>
      <c r="I1647" s="127"/>
      <c r="J1647" s="111"/>
      <c r="K1647" s="257"/>
      <c r="L1647" s="111"/>
      <c r="M1647" s="127"/>
      <c r="N1647" s="270"/>
      <c r="O1647" s="111"/>
      <c r="P1647" s="111"/>
      <c r="Q1647" s="128"/>
      <c r="R1647" s="124"/>
      <c r="S1647" s="125"/>
      <c r="T1647" s="126"/>
      <c r="U1647" s="126"/>
      <c r="V1647" s="126"/>
      <c r="W1647" s="126"/>
      <c r="X1647" s="126"/>
      <c r="Y1647" s="126"/>
      <c r="Z1647" s="127"/>
      <c r="AA1647" s="127"/>
      <c r="AB1647" s="127"/>
      <c r="AC1647" s="127"/>
      <c r="AD1647" s="261"/>
      <c r="AE1647" s="261"/>
      <c r="AF1647" s="261"/>
      <c r="AG1647" s="261"/>
    </row>
    <row r="1648" ht="34.5" hidden="1" customHeight="1">
      <c r="A1648" s="111"/>
      <c r="B1648" s="127"/>
      <c r="C1648" s="111"/>
      <c r="D1648" s="111"/>
      <c r="E1648" s="111"/>
      <c r="F1648" s="111"/>
      <c r="G1648" s="111"/>
      <c r="H1648" s="111"/>
      <c r="I1648" s="127"/>
      <c r="J1648" s="111"/>
      <c r="K1648" s="257"/>
      <c r="L1648" s="111"/>
      <c r="M1648" s="127"/>
      <c r="N1648" s="270"/>
      <c r="O1648" s="111"/>
      <c r="P1648" s="111"/>
      <c r="Q1648" s="128"/>
      <c r="R1648" s="124"/>
      <c r="S1648" s="125"/>
      <c r="T1648" s="126"/>
      <c r="U1648" s="126"/>
      <c r="V1648" s="126"/>
      <c r="W1648" s="126"/>
      <c r="X1648" s="126"/>
      <c r="Y1648" s="126"/>
      <c r="Z1648" s="127"/>
      <c r="AA1648" s="127"/>
      <c r="AB1648" s="127"/>
      <c r="AC1648" s="127"/>
      <c r="AD1648" s="261"/>
      <c r="AE1648" s="261"/>
      <c r="AF1648" s="261"/>
      <c r="AG1648" s="261"/>
    </row>
    <row r="1649" ht="34.5" hidden="1" customHeight="1">
      <c r="A1649" s="111"/>
      <c r="B1649" s="127"/>
      <c r="C1649" s="111"/>
      <c r="D1649" s="111"/>
      <c r="E1649" s="111"/>
      <c r="F1649" s="111"/>
      <c r="G1649" s="111"/>
      <c r="H1649" s="111"/>
      <c r="I1649" s="127"/>
      <c r="J1649" s="111"/>
      <c r="K1649" s="257"/>
      <c r="L1649" s="111"/>
      <c r="M1649" s="127"/>
      <c r="N1649" s="270"/>
      <c r="O1649" s="111"/>
      <c r="P1649" s="111"/>
      <c r="Q1649" s="128"/>
      <c r="R1649" s="124"/>
      <c r="S1649" s="125"/>
      <c r="T1649" s="126"/>
      <c r="U1649" s="126"/>
      <c r="V1649" s="126"/>
      <c r="W1649" s="126"/>
      <c r="X1649" s="126"/>
      <c r="Y1649" s="126"/>
      <c r="Z1649" s="127"/>
      <c r="AA1649" s="127"/>
      <c r="AB1649" s="127"/>
      <c r="AC1649" s="127"/>
      <c r="AD1649" s="261"/>
      <c r="AE1649" s="261"/>
      <c r="AF1649" s="261"/>
      <c r="AG1649" s="261"/>
    </row>
    <row r="1650" ht="34.5" hidden="1" customHeight="1">
      <c r="A1650" s="111"/>
      <c r="B1650" s="127"/>
      <c r="C1650" s="111"/>
      <c r="D1650" s="111"/>
      <c r="E1650" s="111"/>
      <c r="F1650" s="111"/>
      <c r="G1650" s="111"/>
      <c r="H1650" s="111"/>
      <c r="I1650" s="127"/>
      <c r="J1650" s="111"/>
      <c r="K1650" s="257"/>
      <c r="L1650" s="111"/>
      <c r="M1650" s="127"/>
      <c r="N1650" s="270"/>
      <c r="O1650" s="111"/>
      <c r="P1650" s="111"/>
      <c r="Q1650" s="128"/>
      <c r="R1650" s="124"/>
      <c r="S1650" s="125"/>
      <c r="T1650" s="126"/>
      <c r="U1650" s="126"/>
      <c r="V1650" s="126"/>
      <c r="W1650" s="126"/>
      <c r="X1650" s="126"/>
      <c r="Y1650" s="126"/>
      <c r="Z1650" s="127"/>
      <c r="AA1650" s="127"/>
      <c r="AB1650" s="127"/>
      <c r="AC1650" s="127"/>
      <c r="AD1650" s="261"/>
      <c r="AE1650" s="261"/>
      <c r="AF1650" s="261"/>
      <c r="AG1650" s="261"/>
    </row>
    <row r="1651" ht="34.5" hidden="1" customHeight="1">
      <c r="A1651" s="111"/>
      <c r="B1651" s="127"/>
      <c r="C1651" s="111"/>
      <c r="D1651" s="111"/>
      <c r="E1651" s="111"/>
      <c r="F1651" s="111"/>
      <c r="G1651" s="111"/>
      <c r="H1651" s="111"/>
      <c r="I1651" s="127"/>
      <c r="J1651" s="111"/>
      <c r="K1651" s="257"/>
      <c r="L1651" s="111"/>
      <c r="M1651" s="127"/>
      <c r="N1651" s="270"/>
      <c r="O1651" s="111"/>
      <c r="P1651" s="111"/>
      <c r="Q1651" s="128"/>
      <c r="R1651" s="124"/>
      <c r="S1651" s="125"/>
      <c r="T1651" s="126"/>
      <c r="U1651" s="126"/>
      <c r="V1651" s="126"/>
      <c r="W1651" s="126"/>
      <c r="X1651" s="126"/>
      <c r="Y1651" s="126"/>
      <c r="Z1651" s="127"/>
      <c r="AA1651" s="127"/>
      <c r="AB1651" s="127"/>
      <c r="AC1651" s="127"/>
      <c r="AD1651" s="261"/>
      <c r="AE1651" s="261"/>
      <c r="AF1651" s="261"/>
      <c r="AG1651" s="261"/>
    </row>
    <row r="1652" ht="34.5" hidden="1" customHeight="1">
      <c r="A1652" s="111"/>
      <c r="B1652" s="127"/>
      <c r="C1652" s="111"/>
      <c r="D1652" s="111"/>
      <c r="E1652" s="111"/>
      <c r="F1652" s="111"/>
      <c r="G1652" s="111"/>
      <c r="H1652" s="111"/>
      <c r="I1652" s="127"/>
      <c r="J1652" s="111"/>
      <c r="K1652" s="257"/>
      <c r="L1652" s="111"/>
      <c r="M1652" s="127"/>
      <c r="N1652" s="270"/>
      <c r="O1652" s="111"/>
      <c r="P1652" s="111"/>
      <c r="Q1652" s="128"/>
      <c r="R1652" s="124"/>
      <c r="S1652" s="125"/>
      <c r="T1652" s="126"/>
      <c r="U1652" s="126"/>
      <c r="V1652" s="126"/>
      <c r="W1652" s="126"/>
      <c r="X1652" s="126"/>
      <c r="Y1652" s="126"/>
      <c r="Z1652" s="127"/>
      <c r="AA1652" s="127"/>
      <c r="AB1652" s="127"/>
      <c r="AC1652" s="127"/>
      <c r="AD1652" s="261"/>
      <c r="AE1652" s="261"/>
      <c r="AF1652" s="261"/>
      <c r="AG1652" s="261"/>
    </row>
    <row r="1653" ht="34.5" hidden="1" customHeight="1">
      <c r="A1653" s="111"/>
      <c r="B1653" s="127"/>
      <c r="C1653" s="111"/>
      <c r="D1653" s="111"/>
      <c r="E1653" s="111"/>
      <c r="F1653" s="111"/>
      <c r="G1653" s="111"/>
      <c r="H1653" s="111"/>
      <c r="I1653" s="127"/>
      <c r="J1653" s="111"/>
      <c r="K1653" s="257"/>
      <c r="L1653" s="111"/>
      <c r="M1653" s="127"/>
      <c r="N1653" s="270"/>
      <c r="O1653" s="111"/>
      <c r="P1653" s="111"/>
      <c r="Q1653" s="128"/>
      <c r="R1653" s="124"/>
      <c r="S1653" s="125"/>
      <c r="T1653" s="126"/>
      <c r="U1653" s="126"/>
      <c r="V1653" s="126"/>
      <c r="W1653" s="126"/>
      <c r="X1653" s="126"/>
      <c r="Y1653" s="126"/>
      <c r="Z1653" s="127"/>
      <c r="AA1653" s="127"/>
      <c r="AB1653" s="127"/>
      <c r="AC1653" s="127"/>
      <c r="AD1653" s="261"/>
      <c r="AE1653" s="261"/>
      <c r="AF1653" s="261"/>
      <c r="AG1653" s="261"/>
    </row>
    <row r="1654" ht="34.5" hidden="1" customHeight="1">
      <c r="A1654" s="111"/>
      <c r="B1654" s="127"/>
      <c r="C1654" s="111"/>
      <c r="D1654" s="111"/>
      <c r="E1654" s="111"/>
      <c r="F1654" s="111"/>
      <c r="G1654" s="111"/>
      <c r="H1654" s="111"/>
      <c r="I1654" s="127"/>
      <c r="J1654" s="111"/>
      <c r="K1654" s="257"/>
      <c r="L1654" s="111"/>
      <c r="M1654" s="127"/>
      <c r="N1654" s="270"/>
      <c r="O1654" s="111"/>
      <c r="P1654" s="111"/>
      <c r="Q1654" s="128"/>
      <c r="R1654" s="124"/>
      <c r="S1654" s="125"/>
      <c r="T1654" s="126"/>
      <c r="U1654" s="126"/>
      <c r="V1654" s="126"/>
      <c r="W1654" s="126"/>
      <c r="X1654" s="126"/>
      <c r="Y1654" s="126"/>
      <c r="Z1654" s="127"/>
      <c r="AA1654" s="127"/>
      <c r="AB1654" s="127"/>
      <c r="AC1654" s="127"/>
      <c r="AD1654" s="261"/>
      <c r="AE1654" s="261"/>
      <c r="AF1654" s="261"/>
      <c r="AG1654" s="261"/>
    </row>
    <row r="1655" ht="34.5" hidden="1" customHeight="1">
      <c r="A1655" s="111"/>
      <c r="B1655" s="127"/>
      <c r="C1655" s="111"/>
      <c r="D1655" s="111"/>
      <c r="E1655" s="111"/>
      <c r="F1655" s="111"/>
      <c r="G1655" s="111"/>
      <c r="H1655" s="111"/>
      <c r="I1655" s="127"/>
      <c r="J1655" s="111"/>
      <c r="K1655" s="257"/>
      <c r="L1655" s="111"/>
      <c r="M1655" s="127"/>
      <c r="N1655" s="270"/>
      <c r="O1655" s="111"/>
      <c r="P1655" s="111"/>
      <c r="Q1655" s="128"/>
      <c r="R1655" s="124"/>
      <c r="S1655" s="125"/>
      <c r="T1655" s="126"/>
      <c r="U1655" s="126"/>
      <c r="V1655" s="126"/>
      <c r="W1655" s="126"/>
      <c r="X1655" s="126"/>
      <c r="Y1655" s="126"/>
      <c r="Z1655" s="127"/>
      <c r="AA1655" s="127"/>
      <c r="AB1655" s="127"/>
      <c r="AC1655" s="127"/>
      <c r="AD1655" s="261"/>
      <c r="AE1655" s="261"/>
      <c r="AF1655" s="261"/>
      <c r="AG1655" s="261"/>
    </row>
    <row r="1656" ht="34.5" hidden="1" customHeight="1">
      <c r="A1656" s="111"/>
      <c r="B1656" s="127"/>
      <c r="C1656" s="111"/>
      <c r="D1656" s="111"/>
      <c r="E1656" s="111"/>
      <c r="F1656" s="111"/>
      <c r="G1656" s="111"/>
      <c r="H1656" s="111"/>
      <c r="I1656" s="127"/>
      <c r="J1656" s="111"/>
      <c r="K1656" s="257"/>
      <c r="L1656" s="111"/>
      <c r="M1656" s="127"/>
      <c r="N1656" s="270"/>
      <c r="O1656" s="111"/>
      <c r="P1656" s="111"/>
      <c r="Q1656" s="128"/>
      <c r="R1656" s="124"/>
      <c r="S1656" s="125"/>
      <c r="T1656" s="126"/>
      <c r="U1656" s="126"/>
      <c r="V1656" s="126"/>
      <c r="W1656" s="126"/>
      <c r="X1656" s="126"/>
      <c r="Y1656" s="126"/>
      <c r="Z1656" s="127"/>
      <c r="AA1656" s="127"/>
      <c r="AB1656" s="127"/>
      <c r="AC1656" s="127"/>
      <c r="AD1656" s="261"/>
      <c r="AE1656" s="261"/>
      <c r="AF1656" s="261"/>
      <c r="AG1656" s="261"/>
    </row>
    <row r="1657" ht="34.5" hidden="1" customHeight="1">
      <c r="A1657" s="111"/>
      <c r="B1657" s="127"/>
      <c r="C1657" s="111"/>
      <c r="D1657" s="111"/>
      <c r="E1657" s="111"/>
      <c r="F1657" s="111"/>
      <c r="G1657" s="111"/>
      <c r="H1657" s="111"/>
      <c r="I1657" s="127"/>
      <c r="J1657" s="111"/>
      <c r="K1657" s="257"/>
      <c r="L1657" s="111"/>
      <c r="M1657" s="127"/>
      <c r="N1657" s="270"/>
      <c r="O1657" s="111"/>
      <c r="P1657" s="111"/>
      <c r="Q1657" s="128"/>
      <c r="R1657" s="124"/>
      <c r="S1657" s="125"/>
      <c r="T1657" s="126"/>
      <c r="U1657" s="126"/>
      <c r="V1657" s="126"/>
      <c r="W1657" s="126"/>
      <c r="X1657" s="126"/>
      <c r="Y1657" s="126"/>
      <c r="Z1657" s="127"/>
      <c r="AA1657" s="127"/>
      <c r="AB1657" s="127"/>
      <c r="AC1657" s="127"/>
      <c r="AD1657" s="261"/>
      <c r="AE1657" s="261"/>
      <c r="AF1657" s="261"/>
      <c r="AG1657" s="261"/>
    </row>
    <row r="1658" ht="34.5" hidden="1" customHeight="1">
      <c r="A1658" s="111"/>
      <c r="B1658" s="127"/>
      <c r="C1658" s="111"/>
      <c r="D1658" s="111"/>
      <c r="E1658" s="111"/>
      <c r="F1658" s="111"/>
      <c r="G1658" s="111"/>
      <c r="H1658" s="111"/>
      <c r="I1658" s="127"/>
      <c r="J1658" s="111"/>
      <c r="K1658" s="257"/>
      <c r="L1658" s="111"/>
      <c r="M1658" s="127"/>
      <c r="N1658" s="270"/>
      <c r="O1658" s="111"/>
      <c r="P1658" s="111"/>
      <c r="Q1658" s="128"/>
      <c r="R1658" s="124"/>
      <c r="S1658" s="125"/>
      <c r="T1658" s="126"/>
      <c r="U1658" s="126"/>
      <c r="V1658" s="126"/>
      <c r="W1658" s="126"/>
      <c r="X1658" s="126"/>
      <c r="Y1658" s="126"/>
      <c r="Z1658" s="127"/>
      <c r="AA1658" s="127"/>
      <c r="AB1658" s="127"/>
      <c r="AC1658" s="127"/>
      <c r="AD1658" s="261"/>
      <c r="AE1658" s="261"/>
      <c r="AF1658" s="261"/>
      <c r="AG1658" s="261"/>
    </row>
    <row r="1659" ht="34.5" hidden="1" customHeight="1">
      <c r="A1659" s="111"/>
      <c r="B1659" s="127"/>
      <c r="C1659" s="111"/>
      <c r="D1659" s="111"/>
      <c r="E1659" s="111"/>
      <c r="F1659" s="111"/>
      <c r="G1659" s="111"/>
      <c r="H1659" s="111"/>
      <c r="I1659" s="127"/>
      <c r="J1659" s="111"/>
      <c r="K1659" s="257"/>
      <c r="L1659" s="111"/>
      <c r="M1659" s="127"/>
      <c r="N1659" s="270"/>
      <c r="O1659" s="111"/>
      <c r="P1659" s="111"/>
      <c r="Q1659" s="128"/>
      <c r="R1659" s="124"/>
      <c r="S1659" s="125"/>
      <c r="T1659" s="126"/>
      <c r="U1659" s="126"/>
      <c r="V1659" s="126"/>
      <c r="W1659" s="126"/>
      <c r="X1659" s="126"/>
      <c r="Y1659" s="126"/>
      <c r="Z1659" s="127"/>
      <c r="AA1659" s="127"/>
      <c r="AB1659" s="127"/>
      <c r="AC1659" s="127"/>
      <c r="AD1659" s="261"/>
      <c r="AE1659" s="261"/>
      <c r="AF1659" s="261"/>
      <c r="AG1659" s="261"/>
    </row>
    <row r="1660" ht="34.5" hidden="1" customHeight="1">
      <c r="A1660" s="111"/>
      <c r="B1660" s="127"/>
      <c r="C1660" s="111"/>
      <c r="D1660" s="111"/>
      <c r="E1660" s="111"/>
      <c r="F1660" s="111"/>
      <c r="G1660" s="111"/>
      <c r="H1660" s="111"/>
      <c r="I1660" s="127"/>
      <c r="J1660" s="111"/>
      <c r="K1660" s="257"/>
      <c r="L1660" s="111"/>
      <c r="M1660" s="127"/>
      <c r="N1660" s="270"/>
      <c r="O1660" s="111"/>
      <c r="P1660" s="111"/>
      <c r="Q1660" s="128"/>
      <c r="R1660" s="124"/>
      <c r="S1660" s="125"/>
      <c r="T1660" s="126"/>
      <c r="U1660" s="126"/>
      <c r="V1660" s="126"/>
      <c r="W1660" s="126"/>
      <c r="X1660" s="126"/>
      <c r="Y1660" s="126"/>
      <c r="Z1660" s="127"/>
      <c r="AA1660" s="127"/>
      <c r="AB1660" s="127"/>
      <c r="AC1660" s="127"/>
      <c r="AD1660" s="261"/>
      <c r="AE1660" s="261"/>
      <c r="AF1660" s="261"/>
      <c r="AG1660" s="261"/>
    </row>
    <row r="1661" ht="34.5" hidden="1" customHeight="1">
      <c r="A1661" s="111"/>
      <c r="B1661" s="127"/>
      <c r="C1661" s="111"/>
      <c r="D1661" s="111"/>
      <c r="E1661" s="111"/>
      <c r="F1661" s="111"/>
      <c r="G1661" s="111"/>
      <c r="H1661" s="111"/>
      <c r="I1661" s="127"/>
      <c r="J1661" s="111"/>
      <c r="K1661" s="257"/>
      <c r="L1661" s="111"/>
      <c r="M1661" s="127"/>
      <c r="N1661" s="270"/>
      <c r="O1661" s="111"/>
      <c r="P1661" s="111"/>
      <c r="Q1661" s="128"/>
      <c r="R1661" s="124"/>
      <c r="S1661" s="125"/>
      <c r="T1661" s="126"/>
      <c r="U1661" s="126"/>
      <c r="V1661" s="126"/>
      <c r="W1661" s="126"/>
      <c r="X1661" s="126"/>
      <c r="Y1661" s="126"/>
      <c r="Z1661" s="127"/>
      <c r="AA1661" s="127"/>
      <c r="AB1661" s="127"/>
      <c r="AC1661" s="127"/>
      <c r="AD1661" s="261"/>
      <c r="AE1661" s="261"/>
      <c r="AF1661" s="261"/>
      <c r="AG1661" s="261"/>
    </row>
    <row r="1662" ht="34.5" hidden="1" customHeight="1">
      <c r="A1662" s="111"/>
      <c r="B1662" s="127"/>
      <c r="C1662" s="111"/>
      <c r="D1662" s="111"/>
      <c r="E1662" s="111"/>
      <c r="F1662" s="111"/>
      <c r="G1662" s="111"/>
      <c r="H1662" s="111"/>
      <c r="I1662" s="127"/>
      <c r="J1662" s="111"/>
      <c r="K1662" s="257"/>
      <c r="L1662" s="111"/>
      <c r="M1662" s="127"/>
      <c r="N1662" s="270"/>
      <c r="O1662" s="111"/>
      <c r="P1662" s="111"/>
      <c r="Q1662" s="128"/>
      <c r="R1662" s="124"/>
      <c r="S1662" s="125"/>
      <c r="T1662" s="126"/>
      <c r="U1662" s="126"/>
      <c r="V1662" s="126"/>
      <c r="W1662" s="126"/>
      <c r="X1662" s="126"/>
      <c r="Y1662" s="126"/>
      <c r="Z1662" s="127"/>
      <c r="AA1662" s="127"/>
      <c r="AB1662" s="127"/>
      <c r="AC1662" s="127"/>
      <c r="AD1662" s="261"/>
      <c r="AE1662" s="261"/>
      <c r="AF1662" s="261"/>
      <c r="AG1662" s="261"/>
    </row>
    <row r="1663" ht="34.5" hidden="1" customHeight="1">
      <c r="A1663" s="111"/>
      <c r="B1663" s="127"/>
      <c r="C1663" s="111"/>
      <c r="D1663" s="111"/>
      <c r="E1663" s="111"/>
      <c r="F1663" s="111"/>
      <c r="G1663" s="111"/>
      <c r="H1663" s="111"/>
      <c r="I1663" s="127"/>
      <c r="J1663" s="111"/>
      <c r="K1663" s="257"/>
      <c r="L1663" s="111"/>
      <c r="M1663" s="127"/>
      <c r="N1663" s="270"/>
      <c r="O1663" s="111"/>
      <c r="P1663" s="111"/>
      <c r="Q1663" s="128"/>
      <c r="R1663" s="124"/>
      <c r="S1663" s="125"/>
      <c r="T1663" s="126"/>
      <c r="U1663" s="126"/>
      <c r="V1663" s="126"/>
      <c r="W1663" s="126"/>
      <c r="X1663" s="126"/>
      <c r="Y1663" s="126"/>
      <c r="Z1663" s="127"/>
      <c r="AA1663" s="127"/>
      <c r="AB1663" s="127"/>
      <c r="AC1663" s="127"/>
      <c r="AD1663" s="261"/>
      <c r="AE1663" s="261"/>
      <c r="AF1663" s="261"/>
      <c r="AG1663" s="261"/>
    </row>
    <row r="1664" ht="34.5" hidden="1" customHeight="1">
      <c r="A1664" s="111"/>
      <c r="B1664" s="127"/>
      <c r="C1664" s="111"/>
      <c r="D1664" s="111"/>
      <c r="E1664" s="111"/>
      <c r="F1664" s="111"/>
      <c r="G1664" s="111"/>
      <c r="H1664" s="111"/>
      <c r="I1664" s="127"/>
      <c r="J1664" s="111"/>
      <c r="K1664" s="257"/>
      <c r="L1664" s="111"/>
      <c r="M1664" s="127"/>
      <c r="N1664" s="270"/>
      <c r="O1664" s="111"/>
      <c r="P1664" s="111"/>
      <c r="Q1664" s="128"/>
      <c r="R1664" s="124"/>
      <c r="S1664" s="125"/>
      <c r="T1664" s="126"/>
      <c r="U1664" s="126"/>
      <c r="V1664" s="126"/>
      <c r="W1664" s="126"/>
      <c r="X1664" s="126"/>
      <c r="Y1664" s="126"/>
      <c r="Z1664" s="127"/>
      <c r="AA1664" s="127"/>
      <c r="AB1664" s="127"/>
      <c r="AC1664" s="127"/>
      <c r="AD1664" s="261"/>
      <c r="AE1664" s="261"/>
      <c r="AF1664" s="261"/>
      <c r="AG1664" s="261"/>
    </row>
    <row r="1665" ht="34.5" hidden="1" customHeight="1">
      <c r="A1665" s="111"/>
      <c r="B1665" s="127"/>
      <c r="C1665" s="111"/>
      <c r="D1665" s="111"/>
      <c r="E1665" s="111"/>
      <c r="F1665" s="111"/>
      <c r="G1665" s="111"/>
      <c r="H1665" s="111"/>
      <c r="I1665" s="127"/>
      <c r="J1665" s="111"/>
      <c r="K1665" s="257"/>
      <c r="L1665" s="111"/>
      <c r="M1665" s="127"/>
      <c r="N1665" s="270"/>
      <c r="O1665" s="111"/>
      <c r="P1665" s="111"/>
      <c r="Q1665" s="128"/>
      <c r="R1665" s="124"/>
      <c r="S1665" s="125"/>
      <c r="T1665" s="126"/>
      <c r="U1665" s="126"/>
      <c r="V1665" s="126"/>
      <c r="W1665" s="126"/>
      <c r="X1665" s="126"/>
      <c r="Y1665" s="126"/>
      <c r="Z1665" s="127"/>
      <c r="AA1665" s="127"/>
      <c r="AB1665" s="127"/>
      <c r="AC1665" s="127"/>
      <c r="AD1665" s="261"/>
      <c r="AE1665" s="261"/>
      <c r="AF1665" s="261"/>
      <c r="AG1665" s="261"/>
    </row>
    <row r="1666" ht="34.5" hidden="1" customHeight="1">
      <c r="A1666" s="111"/>
      <c r="B1666" s="127"/>
      <c r="C1666" s="111"/>
      <c r="D1666" s="111"/>
      <c r="E1666" s="111"/>
      <c r="F1666" s="111"/>
      <c r="G1666" s="111"/>
      <c r="H1666" s="111"/>
      <c r="I1666" s="127"/>
      <c r="J1666" s="111"/>
      <c r="K1666" s="257"/>
      <c r="L1666" s="111"/>
      <c r="M1666" s="127"/>
      <c r="N1666" s="270"/>
      <c r="O1666" s="111"/>
      <c r="P1666" s="111"/>
      <c r="Q1666" s="128"/>
      <c r="R1666" s="124"/>
      <c r="S1666" s="125"/>
      <c r="T1666" s="126"/>
      <c r="U1666" s="126"/>
      <c r="V1666" s="126"/>
      <c r="W1666" s="126"/>
      <c r="X1666" s="126"/>
      <c r="Y1666" s="126"/>
      <c r="Z1666" s="127"/>
      <c r="AA1666" s="127"/>
      <c r="AB1666" s="127"/>
      <c r="AC1666" s="127"/>
      <c r="AD1666" s="261"/>
      <c r="AE1666" s="261"/>
      <c r="AF1666" s="261"/>
      <c r="AG1666" s="261"/>
    </row>
    <row r="1667" ht="34.5" hidden="1" customHeight="1">
      <c r="A1667" s="111"/>
      <c r="B1667" s="127"/>
      <c r="C1667" s="111"/>
      <c r="D1667" s="111"/>
      <c r="E1667" s="111"/>
      <c r="F1667" s="111"/>
      <c r="G1667" s="111"/>
      <c r="H1667" s="111"/>
      <c r="I1667" s="127"/>
      <c r="J1667" s="111"/>
      <c r="K1667" s="257"/>
      <c r="L1667" s="111"/>
      <c r="M1667" s="127"/>
      <c r="N1667" s="270"/>
      <c r="O1667" s="111"/>
      <c r="P1667" s="111"/>
      <c r="Q1667" s="128"/>
      <c r="R1667" s="124"/>
      <c r="S1667" s="125"/>
      <c r="T1667" s="126"/>
      <c r="U1667" s="126"/>
      <c r="V1667" s="126"/>
      <c r="W1667" s="126"/>
      <c r="X1667" s="126"/>
      <c r="Y1667" s="126"/>
      <c r="Z1667" s="127"/>
      <c r="AA1667" s="127"/>
      <c r="AB1667" s="127"/>
      <c r="AC1667" s="127"/>
      <c r="AD1667" s="261"/>
      <c r="AE1667" s="261"/>
      <c r="AF1667" s="261"/>
      <c r="AG1667" s="261"/>
    </row>
    <row r="1668" ht="34.5" hidden="1" customHeight="1">
      <c r="A1668" s="111"/>
      <c r="B1668" s="127"/>
      <c r="C1668" s="111"/>
      <c r="D1668" s="111"/>
      <c r="E1668" s="111"/>
      <c r="F1668" s="111"/>
      <c r="G1668" s="111"/>
      <c r="H1668" s="111"/>
      <c r="I1668" s="127"/>
      <c r="J1668" s="111"/>
      <c r="K1668" s="257"/>
      <c r="L1668" s="111"/>
      <c r="M1668" s="127"/>
      <c r="N1668" s="270"/>
      <c r="O1668" s="111"/>
      <c r="P1668" s="111"/>
      <c r="Q1668" s="128"/>
      <c r="R1668" s="124"/>
      <c r="S1668" s="125"/>
      <c r="T1668" s="126"/>
      <c r="U1668" s="126"/>
      <c r="V1668" s="126"/>
      <c r="W1668" s="126"/>
      <c r="X1668" s="126"/>
      <c r="Y1668" s="126"/>
      <c r="Z1668" s="127"/>
      <c r="AA1668" s="127"/>
      <c r="AB1668" s="127"/>
      <c r="AC1668" s="127"/>
      <c r="AD1668" s="261"/>
      <c r="AE1668" s="261"/>
      <c r="AF1668" s="261"/>
      <c r="AG1668" s="261"/>
    </row>
    <row r="1669" ht="34.5" hidden="1" customHeight="1">
      <c r="A1669" s="111"/>
      <c r="B1669" s="127"/>
      <c r="C1669" s="111"/>
      <c r="D1669" s="111"/>
      <c r="E1669" s="111"/>
      <c r="F1669" s="111"/>
      <c r="G1669" s="111"/>
      <c r="H1669" s="111"/>
      <c r="I1669" s="127"/>
      <c r="J1669" s="111"/>
      <c r="K1669" s="257"/>
      <c r="L1669" s="111"/>
      <c r="M1669" s="127"/>
      <c r="N1669" s="270"/>
      <c r="O1669" s="111"/>
      <c r="P1669" s="111"/>
      <c r="Q1669" s="128"/>
      <c r="R1669" s="124"/>
      <c r="S1669" s="125"/>
      <c r="T1669" s="126"/>
      <c r="U1669" s="126"/>
      <c r="V1669" s="126"/>
      <c r="W1669" s="126"/>
      <c r="X1669" s="126"/>
      <c r="Y1669" s="126"/>
      <c r="Z1669" s="127"/>
      <c r="AA1669" s="127"/>
      <c r="AB1669" s="127"/>
      <c r="AC1669" s="127"/>
      <c r="AD1669" s="261"/>
      <c r="AE1669" s="261"/>
      <c r="AF1669" s="261"/>
      <c r="AG1669" s="261"/>
    </row>
    <row r="1670" ht="34.5" hidden="1" customHeight="1">
      <c r="A1670" s="111"/>
      <c r="B1670" s="127"/>
      <c r="C1670" s="111"/>
      <c r="D1670" s="111"/>
      <c r="E1670" s="111"/>
      <c r="F1670" s="111"/>
      <c r="G1670" s="111"/>
      <c r="H1670" s="111"/>
      <c r="I1670" s="127"/>
      <c r="J1670" s="111"/>
      <c r="K1670" s="257"/>
      <c r="L1670" s="111"/>
      <c r="M1670" s="127"/>
      <c r="N1670" s="270"/>
      <c r="O1670" s="111"/>
      <c r="P1670" s="111"/>
      <c r="Q1670" s="128"/>
      <c r="R1670" s="124"/>
      <c r="S1670" s="125"/>
      <c r="T1670" s="126"/>
      <c r="U1670" s="126"/>
      <c r="V1670" s="126"/>
      <c r="W1670" s="126"/>
      <c r="X1670" s="126"/>
      <c r="Y1670" s="126"/>
      <c r="Z1670" s="127"/>
      <c r="AA1670" s="127"/>
      <c r="AB1670" s="127"/>
      <c r="AC1670" s="127"/>
      <c r="AD1670" s="261"/>
      <c r="AE1670" s="261"/>
      <c r="AF1670" s="261"/>
      <c r="AG1670" s="261"/>
    </row>
    <row r="1671" ht="34.5" hidden="1" customHeight="1">
      <c r="A1671" s="111"/>
      <c r="B1671" s="127"/>
      <c r="C1671" s="111"/>
      <c r="D1671" s="111"/>
      <c r="E1671" s="111"/>
      <c r="F1671" s="111"/>
      <c r="G1671" s="111"/>
      <c r="H1671" s="111"/>
      <c r="I1671" s="127"/>
      <c r="J1671" s="111"/>
      <c r="K1671" s="257"/>
      <c r="L1671" s="111"/>
      <c r="M1671" s="127"/>
      <c r="N1671" s="270"/>
      <c r="O1671" s="111"/>
      <c r="P1671" s="111"/>
      <c r="Q1671" s="128"/>
      <c r="R1671" s="124"/>
      <c r="S1671" s="125"/>
      <c r="T1671" s="126"/>
      <c r="U1671" s="126"/>
      <c r="V1671" s="126"/>
      <c r="W1671" s="126"/>
      <c r="X1671" s="126"/>
      <c r="Y1671" s="126"/>
      <c r="Z1671" s="127"/>
      <c r="AA1671" s="127"/>
      <c r="AB1671" s="127"/>
      <c r="AC1671" s="127"/>
      <c r="AD1671" s="261"/>
      <c r="AE1671" s="261"/>
      <c r="AF1671" s="261"/>
      <c r="AG1671" s="261"/>
    </row>
    <row r="1672" ht="34.5" hidden="1" customHeight="1">
      <c r="A1672" s="111"/>
      <c r="B1672" s="127"/>
      <c r="C1672" s="111"/>
      <c r="D1672" s="111"/>
      <c r="E1672" s="111"/>
      <c r="F1672" s="111"/>
      <c r="G1672" s="111"/>
      <c r="H1672" s="111"/>
      <c r="I1672" s="127"/>
      <c r="J1672" s="111"/>
      <c r="K1672" s="257"/>
      <c r="L1672" s="111"/>
      <c r="M1672" s="127"/>
      <c r="N1672" s="270"/>
      <c r="O1672" s="111"/>
      <c r="P1672" s="111"/>
      <c r="Q1672" s="128"/>
      <c r="R1672" s="124"/>
      <c r="S1672" s="125"/>
      <c r="T1672" s="126"/>
      <c r="U1672" s="126"/>
      <c r="V1672" s="126"/>
      <c r="W1672" s="126"/>
      <c r="X1672" s="126"/>
      <c r="Y1672" s="126"/>
      <c r="Z1672" s="127"/>
      <c r="AA1672" s="127"/>
      <c r="AB1672" s="127"/>
      <c r="AC1672" s="127"/>
      <c r="AD1672" s="261"/>
      <c r="AE1672" s="261"/>
      <c r="AF1672" s="261"/>
      <c r="AG1672" s="261"/>
    </row>
    <row r="1673" ht="34.5" hidden="1" customHeight="1">
      <c r="A1673" s="111"/>
      <c r="B1673" s="127"/>
      <c r="C1673" s="111"/>
      <c r="D1673" s="111"/>
      <c r="E1673" s="111"/>
      <c r="F1673" s="111"/>
      <c r="G1673" s="111"/>
      <c r="H1673" s="111"/>
      <c r="I1673" s="127"/>
      <c r="J1673" s="111"/>
      <c r="K1673" s="257"/>
      <c r="L1673" s="111"/>
      <c r="M1673" s="127"/>
      <c r="N1673" s="270"/>
      <c r="O1673" s="111"/>
      <c r="P1673" s="111"/>
      <c r="Q1673" s="128"/>
      <c r="R1673" s="124"/>
      <c r="S1673" s="125"/>
      <c r="T1673" s="126"/>
      <c r="U1673" s="126"/>
      <c r="V1673" s="126"/>
      <c r="W1673" s="126"/>
      <c r="X1673" s="126"/>
      <c r="Y1673" s="126"/>
      <c r="Z1673" s="127"/>
      <c r="AA1673" s="127"/>
      <c r="AB1673" s="127"/>
      <c r="AC1673" s="127"/>
      <c r="AD1673" s="261"/>
      <c r="AE1673" s="261"/>
      <c r="AF1673" s="261"/>
      <c r="AG1673" s="261"/>
    </row>
    <row r="1674" ht="34.5" hidden="1" customHeight="1">
      <c r="A1674" s="111"/>
      <c r="B1674" s="127"/>
      <c r="C1674" s="111"/>
      <c r="D1674" s="111"/>
      <c r="E1674" s="111"/>
      <c r="F1674" s="111"/>
      <c r="G1674" s="111"/>
      <c r="H1674" s="111"/>
      <c r="I1674" s="127"/>
      <c r="J1674" s="111"/>
      <c r="K1674" s="257"/>
      <c r="L1674" s="111"/>
      <c r="M1674" s="127"/>
      <c r="N1674" s="270"/>
      <c r="O1674" s="111"/>
      <c r="P1674" s="111"/>
      <c r="Q1674" s="128"/>
      <c r="R1674" s="124"/>
      <c r="S1674" s="125"/>
      <c r="T1674" s="126"/>
      <c r="U1674" s="126"/>
      <c r="V1674" s="126"/>
      <c r="W1674" s="126"/>
      <c r="X1674" s="126"/>
      <c r="Y1674" s="126"/>
      <c r="Z1674" s="127"/>
      <c r="AA1674" s="127"/>
      <c r="AB1674" s="127"/>
      <c r="AC1674" s="127"/>
      <c r="AD1674" s="261"/>
      <c r="AE1674" s="261"/>
      <c r="AF1674" s="261"/>
      <c r="AG1674" s="261"/>
    </row>
    <row r="1675" ht="34.5" hidden="1" customHeight="1">
      <c r="A1675" s="111"/>
      <c r="B1675" s="127"/>
      <c r="C1675" s="111"/>
      <c r="D1675" s="111"/>
      <c r="E1675" s="111"/>
      <c r="F1675" s="111"/>
      <c r="G1675" s="111"/>
      <c r="H1675" s="111"/>
      <c r="I1675" s="127"/>
      <c r="J1675" s="111"/>
      <c r="K1675" s="257"/>
      <c r="L1675" s="111"/>
      <c r="M1675" s="127"/>
      <c r="N1675" s="270"/>
      <c r="O1675" s="111"/>
      <c r="P1675" s="111"/>
      <c r="Q1675" s="128"/>
      <c r="R1675" s="124"/>
      <c r="S1675" s="125"/>
      <c r="T1675" s="126"/>
      <c r="U1675" s="126"/>
      <c r="V1675" s="126"/>
      <c r="W1675" s="126"/>
      <c r="X1675" s="126"/>
      <c r="Y1675" s="126"/>
      <c r="Z1675" s="127"/>
      <c r="AA1675" s="127"/>
      <c r="AB1675" s="127"/>
      <c r="AC1675" s="127"/>
      <c r="AD1675" s="261"/>
      <c r="AE1675" s="261"/>
      <c r="AF1675" s="261"/>
      <c r="AG1675" s="261"/>
    </row>
    <row r="1676" ht="34.5" hidden="1" customHeight="1">
      <c r="A1676" s="111"/>
      <c r="B1676" s="127"/>
      <c r="C1676" s="111"/>
      <c r="D1676" s="111"/>
      <c r="E1676" s="111"/>
      <c r="F1676" s="111"/>
      <c r="G1676" s="111"/>
      <c r="H1676" s="111"/>
      <c r="I1676" s="127"/>
      <c r="J1676" s="111"/>
      <c r="K1676" s="257"/>
      <c r="L1676" s="111"/>
      <c r="M1676" s="127"/>
      <c r="N1676" s="270"/>
      <c r="O1676" s="111"/>
      <c r="P1676" s="111"/>
      <c r="Q1676" s="128"/>
      <c r="R1676" s="124"/>
      <c r="S1676" s="125"/>
      <c r="T1676" s="126"/>
      <c r="U1676" s="126"/>
      <c r="V1676" s="126"/>
      <c r="W1676" s="126"/>
      <c r="X1676" s="126"/>
      <c r="Y1676" s="126"/>
      <c r="Z1676" s="127"/>
      <c r="AA1676" s="127"/>
      <c r="AB1676" s="127"/>
      <c r="AC1676" s="127"/>
      <c r="AD1676" s="261"/>
      <c r="AE1676" s="261"/>
      <c r="AF1676" s="261"/>
      <c r="AG1676" s="261"/>
    </row>
    <row r="1677" ht="34.5" hidden="1" customHeight="1">
      <c r="A1677" s="111"/>
      <c r="B1677" s="127"/>
      <c r="C1677" s="111"/>
      <c r="D1677" s="111"/>
      <c r="E1677" s="111"/>
      <c r="F1677" s="111"/>
      <c r="G1677" s="111"/>
      <c r="H1677" s="111"/>
      <c r="I1677" s="127"/>
      <c r="J1677" s="111"/>
      <c r="K1677" s="257"/>
      <c r="L1677" s="111"/>
      <c r="M1677" s="127"/>
      <c r="N1677" s="270"/>
      <c r="O1677" s="111"/>
      <c r="P1677" s="111"/>
      <c r="Q1677" s="128"/>
      <c r="R1677" s="124"/>
      <c r="S1677" s="125"/>
      <c r="T1677" s="126"/>
      <c r="U1677" s="126"/>
      <c r="V1677" s="126"/>
      <c r="W1677" s="126"/>
      <c r="X1677" s="126"/>
      <c r="Y1677" s="126"/>
      <c r="Z1677" s="127"/>
      <c r="AA1677" s="127"/>
      <c r="AB1677" s="127"/>
      <c r="AC1677" s="127"/>
      <c r="AD1677" s="261"/>
      <c r="AE1677" s="261"/>
      <c r="AF1677" s="261"/>
      <c r="AG1677" s="261"/>
    </row>
    <row r="1678" ht="34.5" hidden="1" customHeight="1">
      <c r="A1678" s="111"/>
      <c r="B1678" s="127"/>
      <c r="C1678" s="111"/>
      <c r="D1678" s="111"/>
      <c r="E1678" s="111"/>
      <c r="F1678" s="111"/>
      <c r="G1678" s="111"/>
      <c r="H1678" s="111"/>
      <c r="I1678" s="127"/>
      <c r="J1678" s="111"/>
      <c r="K1678" s="257"/>
      <c r="L1678" s="111"/>
      <c r="M1678" s="127"/>
      <c r="N1678" s="270"/>
      <c r="O1678" s="111"/>
      <c r="P1678" s="111"/>
      <c r="Q1678" s="128"/>
      <c r="R1678" s="124"/>
      <c r="S1678" s="125"/>
      <c r="T1678" s="126"/>
      <c r="U1678" s="126"/>
      <c r="V1678" s="126"/>
      <c r="W1678" s="126"/>
      <c r="X1678" s="126"/>
      <c r="Y1678" s="126"/>
      <c r="Z1678" s="127"/>
      <c r="AA1678" s="127"/>
      <c r="AB1678" s="127"/>
      <c r="AC1678" s="127"/>
      <c r="AD1678" s="261"/>
      <c r="AE1678" s="261"/>
      <c r="AF1678" s="261"/>
      <c r="AG1678" s="261"/>
    </row>
    <row r="1679" ht="34.5" hidden="1" customHeight="1">
      <c r="A1679" s="111"/>
      <c r="B1679" s="127"/>
      <c r="C1679" s="111"/>
      <c r="D1679" s="111"/>
      <c r="E1679" s="111"/>
      <c r="F1679" s="111"/>
      <c r="G1679" s="111"/>
      <c r="H1679" s="111"/>
      <c r="I1679" s="127"/>
      <c r="J1679" s="111"/>
      <c r="K1679" s="257"/>
      <c r="L1679" s="111"/>
      <c r="M1679" s="127"/>
      <c r="N1679" s="270"/>
      <c r="O1679" s="111"/>
      <c r="P1679" s="111"/>
      <c r="Q1679" s="128"/>
      <c r="R1679" s="124"/>
      <c r="S1679" s="125"/>
      <c r="T1679" s="126"/>
      <c r="U1679" s="126"/>
      <c r="V1679" s="126"/>
      <c r="W1679" s="126"/>
      <c r="X1679" s="126"/>
      <c r="Y1679" s="126"/>
      <c r="Z1679" s="127"/>
      <c r="AA1679" s="127"/>
      <c r="AB1679" s="127"/>
      <c r="AC1679" s="127"/>
      <c r="AD1679" s="261"/>
      <c r="AE1679" s="261"/>
      <c r="AF1679" s="261"/>
      <c r="AG1679" s="261"/>
    </row>
    <row r="1680" ht="34.5" hidden="1" customHeight="1">
      <c r="A1680" s="111"/>
      <c r="B1680" s="127"/>
      <c r="C1680" s="111"/>
      <c r="D1680" s="111"/>
      <c r="E1680" s="111"/>
      <c r="F1680" s="111"/>
      <c r="G1680" s="111"/>
      <c r="H1680" s="111"/>
      <c r="I1680" s="127"/>
      <c r="J1680" s="111"/>
      <c r="K1680" s="257"/>
      <c r="L1680" s="111"/>
      <c r="M1680" s="127"/>
      <c r="N1680" s="270"/>
      <c r="O1680" s="111"/>
      <c r="P1680" s="111"/>
      <c r="Q1680" s="128"/>
      <c r="R1680" s="124"/>
      <c r="S1680" s="125"/>
      <c r="T1680" s="126"/>
      <c r="U1680" s="126"/>
      <c r="V1680" s="126"/>
      <c r="W1680" s="126"/>
      <c r="X1680" s="126"/>
      <c r="Y1680" s="126"/>
      <c r="Z1680" s="127"/>
      <c r="AA1680" s="127"/>
      <c r="AB1680" s="127"/>
      <c r="AC1680" s="127"/>
      <c r="AD1680" s="261"/>
      <c r="AE1680" s="261"/>
      <c r="AF1680" s="261"/>
      <c r="AG1680" s="261"/>
    </row>
    <row r="1681" ht="34.5" hidden="1" customHeight="1">
      <c r="A1681" s="111"/>
      <c r="B1681" s="127"/>
      <c r="C1681" s="111"/>
      <c r="D1681" s="111"/>
      <c r="E1681" s="111"/>
      <c r="F1681" s="111"/>
      <c r="G1681" s="111"/>
      <c r="H1681" s="111"/>
      <c r="I1681" s="127"/>
      <c r="J1681" s="111"/>
      <c r="K1681" s="257"/>
      <c r="L1681" s="111"/>
      <c r="M1681" s="127"/>
      <c r="N1681" s="270"/>
      <c r="O1681" s="111"/>
      <c r="P1681" s="111"/>
      <c r="Q1681" s="128"/>
      <c r="R1681" s="124"/>
      <c r="S1681" s="125"/>
      <c r="T1681" s="126"/>
      <c r="U1681" s="126"/>
      <c r="V1681" s="126"/>
      <c r="W1681" s="126"/>
      <c r="X1681" s="126"/>
      <c r="Y1681" s="126"/>
      <c r="Z1681" s="127"/>
      <c r="AA1681" s="127"/>
      <c r="AB1681" s="127"/>
      <c r="AC1681" s="127"/>
      <c r="AD1681" s="261"/>
      <c r="AE1681" s="261"/>
      <c r="AF1681" s="261"/>
      <c r="AG1681" s="261"/>
    </row>
    <row r="1682" ht="34.5" hidden="1" customHeight="1">
      <c r="A1682" s="111"/>
      <c r="B1682" s="127"/>
      <c r="C1682" s="111"/>
      <c r="D1682" s="111"/>
      <c r="E1682" s="111"/>
      <c r="F1682" s="111"/>
      <c r="G1682" s="111"/>
      <c r="H1682" s="111"/>
      <c r="I1682" s="127"/>
      <c r="J1682" s="111"/>
      <c r="K1682" s="257"/>
      <c r="L1682" s="111"/>
      <c r="M1682" s="127"/>
      <c r="N1682" s="270"/>
      <c r="O1682" s="111"/>
      <c r="P1682" s="111"/>
      <c r="Q1682" s="128"/>
      <c r="R1682" s="124"/>
      <c r="S1682" s="125"/>
      <c r="T1682" s="126"/>
      <c r="U1682" s="126"/>
      <c r="V1682" s="126"/>
      <c r="W1682" s="126"/>
      <c r="X1682" s="126"/>
      <c r="Y1682" s="126"/>
      <c r="Z1682" s="127"/>
      <c r="AA1682" s="127"/>
      <c r="AB1682" s="127"/>
      <c r="AC1682" s="127"/>
      <c r="AD1682" s="261"/>
      <c r="AE1682" s="261"/>
      <c r="AF1682" s="261"/>
      <c r="AG1682" s="261"/>
    </row>
    <row r="1683" ht="34.5" hidden="1" customHeight="1">
      <c r="A1683" s="111"/>
      <c r="B1683" s="127"/>
      <c r="C1683" s="111"/>
      <c r="D1683" s="111"/>
      <c r="E1683" s="111"/>
      <c r="F1683" s="111"/>
      <c r="G1683" s="111"/>
      <c r="H1683" s="111"/>
      <c r="I1683" s="127"/>
      <c r="J1683" s="111"/>
      <c r="K1683" s="257"/>
      <c r="L1683" s="111"/>
      <c r="M1683" s="127"/>
      <c r="N1683" s="270"/>
      <c r="O1683" s="111"/>
      <c r="P1683" s="111"/>
      <c r="Q1683" s="128"/>
      <c r="R1683" s="124"/>
      <c r="S1683" s="125"/>
      <c r="T1683" s="126"/>
      <c r="U1683" s="126"/>
      <c r="V1683" s="126"/>
      <c r="W1683" s="126"/>
      <c r="X1683" s="126"/>
      <c r="Y1683" s="126"/>
      <c r="Z1683" s="127"/>
      <c r="AA1683" s="127"/>
      <c r="AB1683" s="127"/>
      <c r="AC1683" s="127"/>
      <c r="AD1683" s="261"/>
      <c r="AE1683" s="261"/>
      <c r="AF1683" s="261"/>
      <c r="AG1683" s="261"/>
    </row>
    <row r="1684" ht="34.5" hidden="1" customHeight="1">
      <c r="A1684" s="111"/>
      <c r="B1684" s="127"/>
      <c r="C1684" s="111"/>
      <c r="D1684" s="111"/>
      <c r="E1684" s="111"/>
      <c r="F1684" s="111"/>
      <c r="G1684" s="111"/>
      <c r="H1684" s="111"/>
      <c r="I1684" s="127"/>
      <c r="J1684" s="111"/>
      <c r="K1684" s="257"/>
      <c r="L1684" s="111"/>
      <c r="M1684" s="127"/>
      <c r="N1684" s="270"/>
      <c r="O1684" s="111"/>
      <c r="P1684" s="111"/>
      <c r="Q1684" s="128"/>
      <c r="R1684" s="124"/>
      <c r="S1684" s="125"/>
      <c r="T1684" s="126"/>
      <c r="U1684" s="126"/>
      <c r="V1684" s="126"/>
      <c r="W1684" s="126"/>
      <c r="X1684" s="126"/>
      <c r="Y1684" s="126"/>
      <c r="Z1684" s="127"/>
      <c r="AA1684" s="127"/>
      <c r="AB1684" s="127"/>
      <c r="AC1684" s="127"/>
      <c r="AD1684" s="261"/>
      <c r="AE1684" s="261"/>
      <c r="AF1684" s="261"/>
      <c r="AG1684" s="261"/>
    </row>
    <row r="1685" ht="34.5" hidden="1" customHeight="1">
      <c r="A1685" s="111"/>
      <c r="B1685" s="127"/>
      <c r="C1685" s="111"/>
      <c r="D1685" s="111"/>
      <c r="E1685" s="111"/>
      <c r="F1685" s="111"/>
      <c r="G1685" s="111"/>
      <c r="H1685" s="111"/>
      <c r="I1685" s="127"/>
      <c r="J1685" s="111"/>
      <c r="K1685" s="257"/>
      <c r="L1685" s="111"/>
      <c r="M1685" s="127"/>
      <c r="N1685" s="270"/>
      <c r="O1685" s="111"/>
      <c r="P1685" s="111"/>
      <c r="Q1685" s="128"/>
      <c r="R1685" s="124"/>
      <c r="S1685" s="125"/>
      <c r="T1685" s="126"/>
      <c r="U1685" s="126"/>
      <c r="V1685" s="126"/>
      <c r="W1685" s="126"/>
      <c r="X1685" s="126"/>
      <c r="Y1685" s="126"/>
      <c r="Z1685" s="127"/>
      <c r="AA1685" s="127"/>
      <c r="AB1685" s="127"/>
      <c r="AC1685" s="127"/>
      <c r="AD1685" s="261"/>
      <c r="AE1685" s="261"/>
      <c r="AF1685" s="261"/>
      <c r="AG1685" s="261"/>
    </row>
    <row r="1686" ht="34.5" hidden="1" customHeight="1">
      <c r="A1686" s="111"/>
      <c r="B1686" s="127"/>
      <c r="C1686" s="111"/>
      <c r="D1686" s="111"/>
      <c r="E1686" s="111"/>
      <c r="F1686" s="111"/>
      <c r="G1686" s="111"/>
      <c r="H1686" s="111"/>
      <c r="I1686" s="127"/>
      <c r="J1686" s="111"/>
      <c r="K1686" s="257"/>
      <c r="L1686" s="111"/>
      <c r="M1686" s="127"/>
      <c r="N1686" s="270"/>
      <c r="O1686" s="111"/>
      <c r="P1686" s="111"/>
      <c r="Q1686" s="128"/>
      <c r="R1686" s="124"/>
      <c r="S1686" s="125"/>
      <c r="T1686" s="126"/>
      <c r="U1686" s="126"/>
      <c r="V1686" s="126"/>
      <c r="W1686" s="126"/>
      <c r="X1686" s="126"/>
      <c r="Y1686" s="126"/>
      <c r="Z1686" s="127"/>
      <c r="AA1686" s="127"/>
      <c r="AB1686" s="127"/>
      <c r="AC1686" s="127"/>
      <c r="AD1686" s="261"/>
      <c r="AE1686" s="261"/>
      <c r="AF1686" s="261"/>
      <c r="AG1686" s="261"/>
    </row>
    <row r="1687" ht="34.5" hidden="1" customHeight="1">
      <c r="A1687" s="111"/>
      <c r="B1687" s="127"/>
      <c r="C1687" s="111"/>
      <c r="D1687" s="111"/>
      <c r="E1687" s="111"/>
      <c r="F1687" s="111"/>
      <c r="G1687" s="111"/>
      <c r="H1687" s="111"/>
      <c r="I1687" s="127"/>
      <c r="J1687" s="111"/>
      <c r="K1687" s="257"/>
      <c r="L1687" s="111"/>
      <c r="M1687" s="127"/>
      <c r="N1687" s="270"/>
      <c r="O1687" s="111"/>
      <c r="P1687" s="111"/>
      <c r="Q1687" s="128"/>
      <c r="R1687" s="124"/>
      <c r="S1687" s="125"/>
      <c r="T1687" s="126"/>
      <c r="U1687" s="126"/>
      <c r="V1687" s="126"/>
      <c r="W1687" s="126"/>
      <c r="X1687" s="126"/>
      <c r="Y1687" s="126"/>
      <c r="Z1687" s="127"/>
      <c r="AA1687" s="127"/>
      <c r="AB1687" s="127"/>
      <c r="AC1687" s="127"/>
      <c r="AD1687" s="261"/>
      <c r="AE1687" s="261"/>
      <c r="AF1687" s="261"/>
      <c r="AG1687" s="261"/>
    </row>
    <row r="1688" ht="34.5" hidden="1" customHeight="1">
      <c r="A1688" s="111"/>
      <c r="B1688" s="127"/>
      <c r="C1688" s="111"/>
      <c r="D1688" s="111"/>
      <c r="E1688" s="111"/>
      <c r="F1688" s="111"/>
      <c r="G1688" s="111"/>
      <c r="H1688" s="111"/>
      <c r="I1688" s="127"/>
      <c r="J1688" s="111"/>
      <c r="K1688" s="257"/>
      <c r="L1688" s="111"/>
      <c r="M1688" s="127"/>
      <c r="N1688" s="270"/>
      <c r="O1688" s="111"/>
      <c r="P1688" s="111"/>
      <c r="Q1688" s="128"/>
      <c r="R1688" s="124"/>
      <c r="S1688" s="125"/>
      <c r="T1688" s="126"/>
      <c r="U1688" s="126"/>
      <c r="V1688" s="126"/>
      <c r="W1688" s="126"/>
      <c r="X1688" s="126"/>
      <c r="Y1688" s="126"/>
      <c r="Z1688" s="127"/>
      <c r="AA1688" s="127"/>
      <c r="AB1688" s="127"/>
      <c r="AC1688" s="127"/>
      <c r="AD1688" s="261"/>
      <c r="AE1688" s="261"/>
      <c r="AF1688" s="261"/>
      <c r="AG1688" s="261"/>
    </row>
    <row r="1689" ht="34.5" hidden="1" customHeight="1">
      <c r="A1689" s="111"/>
      <c r="B1689" s="127"/>
      <c r="C1689" s="111"/>
      <c r="D1689" s="111"/>
      <c r="E1689" s="111"/>
      <c r="F1689" s="111"/>
      <c r="G1689" s="111"/>
      <c r="H1689" s="111"/>
      <c r="I1689" s="127"/>
      <c r="J1689" s="111"/>
      <c r="K1689" s="257"/>
      <c r="L1689" s="111"/>
      <c r="M1689" s="127"/>
      <c r="N1689" s="270"/>
      <c r="O1689" s="111"/>
      <c r="P1689" s="111"/>
      <c r="Q1689" s="128"/>
      <c r="R1689" s="124"/>
      <c r="S1689" s="125"/>
      <c r="T1689" s="126"/>
      <c r="U1689" s="126"/>
      <c r="V1689" s="126"/>
      <c r="W1689" s="126"/>
      <c r="X1689" s="126"/>
      <c r="Y1689" s="126"/>
      <c r="Z1689" s="127"/>
      <c r="AA1689" s="127"/>
      <c r="AB1689" s="127"/>
      <c r="AC1689" s="127"/>
      <c r="AD1689" s="261"/>
      <c r="AE1689" s="261"/>
      <c r="AF1689" s="261"/>
      <c r="AG1689" s="261"/>
    </row>
    <row r="1690" ht="34.5" hidden="1" customHeight="1">
      <c r="A1690" s="111"/>
      <c r="B1690" s="127"/>
      <c r="C1690" s="111"/>
      <c r="D1690" s="111"/>
      <c r="E1690" s="111"/>
      <c r="F1690" s="111"/>
      <c r="G1690" s="111"/>
      <c r="H1690" s="111"/>
      <c r="I1690" s="127"/>
      <c r="J1690" s="111"/>
      <c r="K1690" s="257"/>
      <c r="L1690" s="111"/>
      <c r="M1690" s="127"/>
      <c r="N1690" s="270"/>
      <c r="O1690" s="111"/>
      <c r="P1690" s="111"/>
      <c r="Q1690" s="128"/>
      <c r="R1690" s="124"/>
      <c r="S1690" s="125"/>
      <c r="T1690" s="126"/>
      <c r="U1690" s="126"/>
      <c r="V1690" s="126"/>
      <c r="W1690" s="126"/>
      <c r="X1690" s="126"/>
      <c r="Y1690" s="126"/>
      <c r="Z1690" s="127"/>
      <c r="AA1690" s="127"/>
      <c r="AB1690" s="127"/>
      <c r="AC1690" s="127"/>
      <c r="AD1690" s="261"/>
      <c r="AE1690" s="261"/>
      <c r="AF1690" s="261"/>
      <c r="AG1690" s="261"/>
    </row>
    <row r="1691" ht="34.5" hidden="1" customHeight="1">
      <c r="A1691" s="111"/>
      <c r="B1691" s="127"/>
      <c r="C1691" s="111"/>
      <c r="D1691" s="111"/>
      <c r="E1691" s="111"/>
      <c r="F1691" s="111"/>
      <c r="G1691" s="111"/>
      <c r="H1691" s="111"/>
      <c r="I1691" s="127"/>
      <c r="J1691" s="111"/>
      <c r="K1691" s="257"/>
      <c r="L1691" s="111"/>
      <c r="M1691" s="127"/>
      <c r="N1691" s="270"/>
      <c r="O1691" s="111"/>
      <c r="P1691" s="111"/>
      <c r="Q1691" s="128"/>
      <c r="R1691" s="124"/>
      <c r="S1691" s="125"/>
      <c r="T1691" s="126"/>
      <c r="U1691" s="126"/>
      <c r="V1691" s="126"/>
      <c r="W1691" s="126"/>
      <c r="X1691" s="126"/>
      <c r="Y1691" s="126"/>
      <c r="Z1691" s="127"/>
      <c r="AA1691" s="127"/>
      <c r="AB1691" s="127"/>
      <c r="AC1691" s="127"/>
      <c r="AD1691" s="261"/>
      <c r="AE1691" s="261"/>
      <c r="AF1691" s="261"/>
      <c r="AG1691" s="261"/>
    </row>
    <row r="1692" ht="34.5" hidden="1" customHeight="1">
      <c r="A1692" s="111"/>
      <c r="B1692" s="127"/>
      <c r="C1692" s="111"/>
      <c r="D1692" s="111"/>
      <c r="E1692" s="111"/>
      <c r="F1692" s="111"/>
      <c r="G1692" s="111"/>
      <c r="H1692" s="111"/>
      <c r="I1692" s="127"/>
      <c r="J1692" s="111"/>
      <c r="K1692" s="257"/>
      <c r="L1692" s="111"/>
      <c r="M1692" s="127"/>
      <c r="N1692" s="270"/>
      <c r="O1692" s="111"/>
      <c r="P1692" s="111"/>
      <c r="Q1692" s="128"/>
      <c r="R1692" s="124"/>
      <c r="S1692" s="125"/>
      <c r="T1692" s="126"/>
      <c r="U1692" s="126"/>
      <c r="V1692" s="126"/>
      <c r="W1692" s="126"/>
      <c r="X1692" s="126"/>
      <c r="Y1692" s="126"/>
      <c r="Z1692" s="127"/>
      <c r="AA1692" s="127"/>
      <c r="AB1692" s="127"/>
      <c r="AC1692" s="127"/>
      <c r="AD1692" s="261"/>
      <c r="AE1692" s="261"/>
      <c r="AF1692" s="261"/>
      <c r="AG1692" s="261"/>
    </row>
    <row r="1693" ht="34.5" hidden="1" customHeight="1">
      <c r="A1693" s="111"/>
      <c r="B1693" s="127"/>
      <c r="C1693" s="111"/>
      <c r="D1693" s="111"/>
      <c r="E1693" s="111"/>
      <c r="F1693" s="111"/>
      <c r="G1693" s="111"/>
      <c r="H1693" s="111"/>
      <c r="I1693" s="127"/>
      <c r="J1693" s="111"/>
      <c r="K1693" s="257"/>
      <c r="L1693" s="111"/>
      <c r="M1693" s="127"/>
      <c r="N1693" s="270"/>
      <c r="O1693" s="111"/>
      <c r="P1693" s="111"/>
      <c r="Q1693" s="128"/>
      <c r="R1693" s="124"/>
      <c r="S1693" s="125"/>
      <c r="T1693" s="126"/>
      <c r="U1693" s="126"/>
      <c r="V1693" s="126"/>
      <c r="W1693" s="126"/>
      <c r="X1693" s="126"/>
      <c r="Y1693" s="126"/>
      <c r="Z1693" s="127"/>
      <c r="AA1693" s="127"/>
      <c r="AB1693" s="127"/>
      <c r="AC1693" s="127"/>
      <c r="AD1693" s="261"/>
      <c r="AE1693" s="261"/>
      <c r="AF1693" s="261"/>
      <c r="AG1693" s="261"/>
    </row>
    <row r="1694" ht="34.5" hidden="1" customHeight="1">
      <c r="A1694" s="111"/>
      <c r="B1694" s="127"/>
      <c r="C1694" s="111"/>
      <c r="D1694" s="111"/>
      <c r="E1694" s="111"/>
      <c r="F1694" s="111"/>
      <c r="G1694" s="111"/>
      <c r="H1694" s="111"/>
      <c r="I1694" s="127"/>
      <c r="J1694" s="111"/>
      <c r="K1694" s="257"/>
      <c r="L1694" s="111"/>
      <c r="M1694" s="127"/>
      <c r="N1694" s="270"/>
      <c r="O1694" s="111"/>
      <c r="P1694" s="111"/>
      <c r="Q1694" s="128"/>
      <c r="R1694" s="124"/>
      <c r="S1694" s="125"/>
      <c r="T1694" s="126"/>
      <c r="U1694" s="126"/>
      <c r="V1694" s="126"/>
      <c r="W1694" s="126"/>
      <c r="X1694" s="126"/>
      <c r="Y1694" s="126"/>
      <c r="Z1694" s="127"/>
      <c r="AA1694" s="127"/>
      <c r="AB1694" s="127"/>
      <c r="AC1694" s="127"/>
      <c r="AD1694" s="261"/>
      <c r="AE1694" s="261"/>
      <c r="AF1694" s="261"/>
      <c r="AG1694" s="261"/>
    </row>
    <row r="1695" ht="34.5" hidden="1" customHeight="1">
      <c r="A1695" s="111"/>
      <c r="B1695" s="127"/>
      <c r="C1695" s="111"/>
      <c r="D1695" s="111"/>
      <c r="E1695" s="111"/>
      <c r="F1695" s="111"/>
      <c r="G1695" s="111"/>
      <c r="H1695" s="111"/>
      <c r="I1695" s="127"/>
      <c r="J1695" s="111"/>
      <c r="K1695" s="257"/>
      <c r="L1695" s="111"/>
      <c r="M1695" s="127"/>
      <c r="N1695" s="270"/>
      <c r="O1695" s="111"/>
      <c r="P1695" s="111"/>
      <c r="Q1695" s="128"/>
      <c r="R1695" s="124"/>
      <c r="S1695" s="125"/>
      <c r="T1695" s="126"/>
      <c r="U1695" s="126"/>
      <c r="V1695" s="126"/>
      <c r="W1695" s="126"/>
      <c r="X1695" s="126"/>
      <c r="Y1695" s="126"/>
      <c r="Z1695" s="127"/>
      <c r="AA1695" s="127"/>
      <c r="AB1695" s="127"/>
      <c r="AC1695" s="127"/>
      <c r="AD1695" s="261"/>
      <c r="AE1695" s="261"/>
      <c r="AF1695" s="261"/>
      <c r="AG1695" s="261"/>
    </row>
    <row r="1696" ht="34.5" hidden="1" customHeight="1">
      <c r="A1696" s="111"/>
      <c r="B1696" s="127"/>
      <c r="C1696" s="111"/>
      <c r="D1696" s="111"/>
      <c r="E1696" s="111"/>
      <c r="F1696" s="111"/>
      <c r="G1696" s="111"/>
      <c r="H1696" s="111"/>
      <c r="I1696" s="127"/>
      <c r="J1696" s="111"/>
      <c r="K1696" s="257"/>
      <c r="L1696" s="111"/>
      <c r="M1696" s="127"/>
      <c r="N1696" s="270"/>
      <c r="O1696" s="111"/>
      <c r="P1696" s="111"/>
      <c r="Q1696" s="128"/>
      <c r="R1696" s="124"/>
      <c r="S1696" s="125"/>
      <c r="T1696" s="126"/>
      <c r="U1696" s="126"/>
      <c r="V1696" s="126"/>
      <c r="W1696" s="126"/>
      <c r="X1696" s="126"/>
      <c r="Y1696" s="126"/>
      <c r="Z1696" s="127"/>
      <c r="AA1696" s="127"/>
      <c r="AB1696" s="127"/>
      <c r="AC1696" s="127"/>
      <c r="AD1696" s="261"/>
      <c r="AE1696" s="261"/>
      <c r="AF1696" s="261"/>
      <c r="AG1696" s="261"/>
    </row>
    <row r="1697" ht="34.5" hidden="1" customHeight="1">
      <c r="A1697" s="111"/>
      <c r="B1697" s="127"/>
      <c r="C1697" s="111"/>
      <c r="D1697" s="111"/>
      <c r="E1697" s="111"/>
      <c r="F1697" s="111"/>
      <c r="G1697" s="111"/>
      <c r="H1697" s="111"/>
      <c r="I1697" s="127"/>
      <c r="J1697" s="111"/>
      <c r="K1697" s="257"/>
      <c r="L1697" s="111"/>
      <c r="M1697" s="127"/>
      <c r="N1697" s="270"/>
      <c r="O1697" s="111"/>
      <c r="P1697" s="111"/>
      <c r="Q1697" s="128"/>
      <c r="R1697" s="124"/>
      <c r="S1697" s="125"/>
      <c r="T1697" s="126"/>
      <c r="U1697" s="126"/>
      <c r="V1697" s="126"/>
      <c r="W1697" s="126"/>
      <c r="X1697" s="126"/>
      <c r="Y1697" s="126"/>
      <c r="Z1697" s="127"/>
      <c r="AA1697" s="127"/>
      <c r="AB1697" s="127"/>
      <c r="AC1697" s="127"/>
      <c r="AD1697" s="261"/>
      <c r="AE1697" s="261"/>
      <c r="AF1697" s="261"/>
      <c r="AG1697" s="261"/>
    </row>
    <row r="1698" ht="34.5" hidden="1" customHeight="1">
      <c r="A1698" s="111"/>
      <c r="B1698" s="127"/>
      <c r="C1698" s="111"/>
      <c r="D1698" s="111"/>
      <c r="E1698" s="111"/>
      <c r="F1698" s="111"/>
      <c r="G1698" s="111"/>
      <c r="H1698" s="111"/>
      <c r="I1698" s="127"/>
      <c r="J1698" s="111"/>
      <c r="K1698" s="257"/>
      <c r="L1698" s="111"/>
      <c r="M1698" s="127"/>
      <c r="N1698" s="270"/>
      <c r="O1698" s="111"/>
      <c r="P1698" s="111"/>
      <c r="Q1698" s="128"/>
      <c r="R1698" s="124"/>
      <c r="S1698" s="125"/>
      <c r="T1698" s="126"/>
      <c r="U1698" s="126"/>
      <c r="V1698" s="126"/>
      <c r="W1698" s="126"/>
      <c r="X1698" s="126"/>
      <c r="Y1698" s="126"/>
      <c r="Z1698" s="127"/>
      <c r="AA1698" s="127"/>
      <c r="AB1698" s="127"/>
      <c r="AC1698" s="127"/>
      <c r="AD1698" s="261"/>
      <c r="AE1698" s="261"/>
      <c r="AF1698" s="261"/>
      <c r="AG1698" s="261"/>
    </row>
    <row r="1699" ht="34.5" hidden="1" customHeight="1">
      <c r="A1699" s="111"/>
      <c r="B1699" s="127"/>
      <c r="C1699" s="111"/>
      <c r="D1699" s="111"/>
      <c r="E1699" s="111"/>
      <c r="F1699" s="111"/>
      <c r="G1699" s="111"/>
      <c r="H1699" s="111"/>
      <c r="I1699" s="127"/>
      <c r="J1699" s="111"/>
      <c r="K1699" s="257"/>
      <c r="L1699" s="111"/>
      <c r="M1699" s="127"/>
      <c r="N1699" s="270"/>
      <c r="O1699" s="111"/>
      <c r="P1699" s="111"/>
      <c r="Q1699" s="128"/>
      <c r="R1699" s="124"/>
      <c r="S1699" s="125"/>
      <c r="T1699" s="126"/>
      <c r="U1699" s="126"/>
      <c r="V1699" s="126"/>
      <c r="W1699" s="126"/>
      <c r="X1699" s="126"/>
      <c r="Y1699" s="126"/>
      <c r="Z1699" s="127"/>
      <c r="AA1699" s="127"/>
      <c r="AB1699" s="127"/>
      <c r="AC1699" s="127"/>
      <c r="AD1699" s="261"/>
      <c r="AE1699" s="261"/>
      <c r="AF1699" s="261"/>
      <c r="AG1699" s="261"/>
    </row>
    <row r="1700" ht="34.5" hidden="1" customHeight="1">
      <c r="A1700" s="111"/>
      <c r="B1700" s="127"/>
      <c r="C1700" s="111"/>
      <c r="D1700" s="111"/>
      <c r="E1700" s="111"/>
      <c r="F1700" s="111"/>
      <c r="G1700" s="111"/>
      <c r="H1700" s="111"/>
      <c r="I1700" s="127"/>
      <c r="J1700" s="111"/>
      <c r="K1700" s="257"/>
      <c r="L1700" s="111"/>
      <c r="M1700" s="127"/>
      <c r="N1700" s="270"/>
      <c r="O1700" s="111"/>
      <c r="P1700" s="111"/>
      <c r="Q1700" s="128"/>
      <c r="R1700" s="124"/>
      <c r="S1700" s="125"/>
      <c r="T1700" s="126"/>
      <c r="U1700" s="126"/>
      <c r="V1700" s="126"/>
      <c r="W1700" s="126"/>
      <c r="X1700" s="126"/>
      <c r="Y1700" s="126"/>
      <c r="Z1700" s="127"/>
      <c r="AA1700" s="127"/>
      <c r="AB1700" s="127"/>
      <c r="AC1700" s="127"/>
      <c r="AD1700" s="261"/>
      <c r="AE1700" s="261"/>
      <c r="AF1700" s="261"/>
      <c r="AG1700" s="261"/>
    </row>
    <row r="1701" ht="34.5" hidden="1" customHeight="1">
      <c r="A1701" s="111"/>
      <c r="B1701" s="127"/>
      <c r="C1701" s="111"/>
      <c r="D1701" s="111"/>
      <c r="E1701" s="111"/>
      <c r="F1701" s="111"/>
      <c r="G1701" s="111"/>
      <c r="H1701" s="111"/>
      <c r="I1701" s="127"/>
      <c r="J1701" s="111"/>
      <c r="K1701" s="257"/>
      <c r="L1701" s="111"/>
      <c r="M1701" s="127"/>
      <c r="N1701" s="270"/>
      <c r="O1701" s="111"/>
      <c r="P1701" s="111"/>
      <c r="Q1701" s="128"/>
      <c r="R1701" s="124"/>
      <c r="S1701" s="125"/>
      <c r="T1701" s="126"/>
      <c r="U1701" s="126"/>
      <c r="V1701" s="126"/>
      <c r="W1701" s="126"/>
      <c r="X1701" s="126"/>
      <c r="Y1701" s="126"/>
      <c r="Z1701" s="127"/>
      <c r="AA1701" s="127"/>
      <c r="AB1701" s="127"/>
      <c r="AC1701" s="127"/>
      <c r="AD1701" s="261"/>
      <c r="AE1701" s="261"/>
      <c r="AF1701" s="261"/>
      <c r="AG1701" s="261"/>
    </row>
    <row r="1702" ht="34.5" hidden="1" customHeight="1">
      <c r="A1702" s="111"/>
      <c r="B1702" s="127"/>
      <c r="C1702" s="111"/>
      <c r="D1702" s="111"/>
      <c r="E1702" s="111"/>
      <c r="F1702" s="111"/>
      <c r="G1702" s="111"/>
      <c r="H1702" s="111"/>
      <c r="I1702" s="127"/>
      <c r="J1702" s="111"/>
      <c r="K1702" s="257"/>
      <c r="L1702" s="111"/>
      <c r="M1702" s="127"/>
      <c r="N1702" s="270"/>
      <c r="O1702" s="111"/>
      <c r="P1702" s="111"/>
      <c r="Q1702" s="128"/>
      <c r="R1702" s="124"/>
      <c r="S1702" s="125"/>
      <c r="T1702" s="126"/>
      <c r="U1702" s="126"/>
      <c r="V1702" s="126"/>
      <c r="W1702" s="126"/>
      <c r="X1702" s="126"/>
      <c r="Y1702" s="126"/>
      <c r="Z1702" s="127"/>
      <c r="AA1702" s="127"/>
      <c r="AB1702" s="127"/>
      <c r="AC1702" s="127"/>
      <c r="AD1702" s="261"/>
      <c r="AE1702" s="261"/>
      <c r="AF1702" s="261"/>
      <c r="AG1702" s="261"/>
    </row>
    <row r="1703" ht="34.5" hidden="1" customHeight="1">
      <c r="A1703" s="111"/>
      <c r="B1703" s="127"/>
      <c r="C1703" s="111"/>
      <c r="D1703" s="111"/>
      <c r="E1703" s="111"/>
      <c r="F1703" s="111"/>
      <c r="G1703" s="111"/>
      <c r="H1703" s="111"/>
      <c r="I1703" s="127"/>
      <c r="J1703" s="111"/>
      <c r="K1703" s="257"/>
      <c r="L1703" s="111"/>
      <c r="M1703" s="127"/>
      <c r="N1703" s="270"/>
      <c r="O1703" s="111"/>
      <c r="P1703" s="111"/>
      <c r="Q1703" s="128"/>
      <c r="R1703" s="124"/>
      <c r="S1703" s="125"/>
      <c r="T1703" s="126"/>
      <c r="U1703" s="126"/>
      <c r="V1703" s="126"/>
      <c r="W1703" s="126"/>
      <c r="X1703" s="126"/>
      <c r="Y1703" s="126"/>
      <c r="Z1703" s="127"/>
      <c r="AA1703" s="127"/>
      <c r="AB1703" s="127"/>
      <c r="AC1703" s="127"/>
      <c r="AD1703" s="261"/>
      <c r="AE1703" s="261"/>
      <c r="AF1703" s="261"/>
      <c r="AG1703" s="261"/>
    </row>
    <row r="1704" ht="34.5" hidden="1" customHeight="1">
      <c r="A1704" s="111"/>
      <c r="B1704" s="127"/>
      <c r="C1704" s="111"/>
      <c r="D1704" s="111"/>
      <c r="E1704" s="111"/>
      <c r="F1704" s="111"/>
      <c r="G1704" s="111"/>
      <c r="H1704" s="111"/>
      <c r="I1704" s="127"/>
      <c r="J1704" s="111"/>
      <c r="K1704" s="257"/>
      <c r="L1704" s="111"/>
      <c r="M1704" s="127"/>
      <c r="N1704" s="270"/>
      <c r="O1704" s="111"/>
      <c r="P1704" s="111"/>
      <c r="Q1704" s="128"/>
      <c r="R1704" s="124"/>
      <c r="S1704" s="125"/>
      <c r="T1704" s="126"/>
      <c r="U1704" s="126"/>
      <c r="V1704" s="126"/>
      <c r="W1704" s="126"/>
      <c r="X1704" s="126"/>
      <c r="Y1704" s="126"/>
      <c r="Z1704" s="127"/>
      <c r="AA1704" s="127"/>
      <c r="AB1704" s="127"/>
      <c r="AC1704" s="127"/>
      <c r="AD1704" s="261"/>
      <c r="AE1704" s="261"/>
      <c r="AF1704" s="261"/>
      <c r="AG1704" s="261"/>
    </row>
    <row r="1705" ht="34.5" hidden="1" customHeight="1">
      <c r="A1705" s="111"/>
      <c r="B1705" s="127"/>
      <c r="C1705" s="111"/>
      <c r="D1705" s="111"/>
      <c r="E1705" s="111"/>
      <c r="F1705" s="111"/>
      <c r="G1705" s="111"/>
      <c r="H1705" s="111"/>
      <c r="I1705" s="127"/>
      <c r="J1705" s="111"/>
      <c r="K1705" s="257"/>
      <c r="L1705" s="111"/>
      <c r="M1705" s="127"/>
      <c r="N1705" s="270"/>
      <c r="O1705" s="111"/>
      <c r="P1705" s="111"/>
      <c r="Q1705" s="128"/>
      <c r="R1705" s="124"/>
      <c r="S1705" s="125"/>
      <c r="T1705" s="126"/>
      <c r="U1705" s="126"/>
      <c r="V1705" s="126"/>
      <c r="W1705" s="126"/>
      <c r="X1705" s="126"/>
      <c r="Y1705" s="126"/>
      <c r="Z1705" s="127"/>
      <c r="AA1705" s="127"/>
      <c r="AB1705" s="127"/>
      <c r="AC1705" s="127"/>
      <c r="AD1705" s="261"/>
      <c r="AE1705" s="261"/>
      <c r="AF1705" s="261"/>
      <c r="AG1705" s="261"/>
    </row>
    <row r="1706" ht="34.5" hidden="1" customHeight="1">
      <c r="A1706" s="111"/>
      <c r="B1706" s="127"/>
      <c r="C1706" s="111"/>
      <c r="D1706" s="111"/>
      <c r="E1706" s="111"/>
      <c r="F1706" s="111"/>
      <c r="G1706" s="111"/>
      <c r="H1706" s="111"/>
      <c r="I1706" s="127"/>
      <c r="J1706" s="111"/>
      <c r="K1706" s="257"/>
      <c r="L1706" s="111"/>
      <c r="M1706" s="127"/>
      <c r="N1706" s="270"/>
      <c r="O1706" s="111"/>
      <c r="P1706" s="111"/>
      <c r="Q1706" s="128"/>
      <c r="R1706" s="124"/>
      <c r="S1706" s="125"/>
      <c r="T1706" s="126"/>
      <c r="U1706" s="126"/>
      <c r="V1706" s="126"/>
      <c r="W1706" s="126"/>
      <c r="X1706" s="126"/>
      <c r="Y1706" s="126"/>
      <c r="Z1706" s="127"/>
      <c r="AA1706" s="127"/>
      <c r="AB1706" s="127"/>
      <c r="AC1706" s="127"/>
      <c r="AD1706" s="261"/>
      <c r="AE1706" s="261"/>
      <c r="AF1706" s="261"/>
      <c r="AG1706" s="261"/>
    </row>
    <row r="1707" ht="34.5" hidden="1" customHeight="1">
      <c r="A1707" s="111"/>
      <c r="B1707" s="127"/>
      <c r="C1707" s="111"/>
      <c r="D1707" s="111"/>
      <c r="E1707" s="111"/>
      <c r="F1707" s="111"/>
      <c r="G1707" s="111"/>
      <c r="H1707" s="111"/>
      <c r="I1707" s="127"/>
      <c r="J1707" s="111"/>
      <c r="K1707" s="257"/>
      <c r="L1707" s="111"/>
      <c r="M1707" s="127"/>
      <c r="N1707" s="270"/>
      <c r="O1707" s="111"/>
      <c r="P1707" s="111"/>
      <c r="Q1707" s="128"/>
      <c r="R1707" s="124"/>
      <c r="S1707" s="125"/>
      <c r="T1707" s="126"/>
      <c r="U1707" s="126"/>
      <c r="V1707" s="126"/>
      <c r="W1707" s="126"/>
      <c r="X1707" s="126"/>
      <c r="Y1707" s="126"/>
      <c r="Z1707" s="127"/>
      <c r="AA1707" s="127"/>
      <c r="AB1707" s="127"/>
      <c r="AC1707" s="127"/>
      <c r="AD1707" s="261"/>
      <c r="AE1707" s="261"/>
      <c r="AF1707" s="261"/>
      <c r="AG1707" s="261"/>
    </row>
    <row r="1708" ht="34.5" hidden="1" customHeight="1">
      <c r="A1708" s="111"/>
      <c r="B1708" s="127"/>
      <c r="C1708" s="111"/>
      <c r="D1708" s="111"/>
      <c r="E1708" s="111"/>
      <c r="F1708" s="111"/>
      <c r="G1708" s="111"/>
      <c r="H1708" s="111"/>
      <c r="I1708" s="127"/>
      <c r="J1708" s="111"/>
      <c r="K1708" s="257"/>
      <c r="L1708" s="111"/>
      <c r="M1708" s="127"/>
      <c r="N1708" s="270"/>
      <c r="O1708" s="111"/>
      <c r="P1708" s="111"/>
      <c r="Q1708" s="128"/>
      <c r="R1708" s="124"/>
      <c r="S1708" s="125"/>
      <c r="T1708" s="126"/>
      <c r="U1708" s="126"/>
      <c r="V1708" s="126"/>
      <c r="W1708" s="126"/>
      <c r="X1708" s="126"/>
      <c r="Y1708" s="126"/>
      <c r="Z1708" s="127"/>
      <c r="AA1708" s="127"/>
      <c r="AB1708" s="127"/>
      <c r="AC1708" s="127"/>
      <c r="AD1708" s="261"/>
      <c r="AE1708" s="261"/>
      <c r="AF1708" s="261"/>
      <c r="AG1708" s="261"/>
    </row>
    <row r="1709" ht="34.5" hidden="1" customHeight="1">
      <c r="A1709" s="111"/>
      <c r="B1709" s="127"/>
      <c r="C1709" s="111"/>
      <c r="D1709" s="111"/>
      <c r="E1709" s="111"/>
      <c r="F1709" s="111"/>
      <c r="G1709" s="111"/>
      <c r="H1709" s="111"/>
      <c r="I1709" s="127"/>
      <c r="J1709" s="111"/>
      <c r="K1709" s="257"/>
      <c r="L1709" s="111"/>
      <c r="M1709" s="127"/>
      <c r="N1709" s="270"/>
      <c r="O1709" s="111"/>
      <c r="P1709" s="111"/>
      <c r="Q1709" s="128"/>
      <c r="R1709" s="124"/>
      <c r="S1709" s="125"/>
      <c r="T1709" s="126"/>
      <c r="U1709" s="126"/>
      <c r="V1709" s="126"/>
      <c r="W1709" s="126"/>
      <c r="X1709" s="126"/>
      <c r="Y1709" s="126"/>
      <c r="Z1709" s="127"/>
      <c r="AA1709" s="127"/>
      <c r="AB1709" s="127"/>
      <c r="AC1709" s="127"/>
      <c r="AD1709" s="261"/>
      <c r="AE1709" s="261"/>
      <c r="AF1709" s="261"/>
      <c r="AG1709" s="261"/>
    </row>
    <row r="1710" ht="34.5" hidden="1" customHeight="1">
      <c r="A1710" s="111"/>
      <c r="B1710" s="127"/>
      <c r="C1710" s="111"/>
      <c r="D1710" s="111"/>
      <c r="E1710" s="111"/>
      <c r="F1710" s="111"/>
      <c r="G1710" s="111"/>
      <c r="H1710" s="111"/>
      <c r="I1710" s="127"/>
      <c r="J1710" s="111"/>
      <c r="K1710" s="257"/>
      <c r="L1710" s="111"/>
      <c r="M1710" s="127"/>
      <c r="N1710" s="270"/>
      <c r="O1710" s="111"/>
      <c r="P1710" s="111"/>
      <c r="Q1710" s="128"/>
      <c r="R1710" s="124"/>
      <c r="S1710" s="125"/>
      <c r="T1710" s="126"/>
      <c r="U1710" s="126"/>
      <c r="V1710" s="126"/>
      <c r="W1710" s="126"/>
      <c r="X1710" s="126"/>
      <c r="Y1710" s="126"/>
      <c r="Z1710" s="127"/>
      <c r="AA1710" s="127"/>
      <c r="AB1710" s="127"/>
      <c r="AC1710" s="127"/>
      <c r="AD1710" s="261"/>
      <c r="AE1710" s="261"/>
      <c r="AF1710" s="261"/>
      <c r="AG1710" s="261"/>
    </row>
    <row r="1711" ht="34.5" hidden="1" customHeight="1">
      <c r="A1711" s="111"/>
      <c r="B1711" s="127"/>
      <c r="C1711" s="111"/>
      <c r="D1711" s="111"/>
      <c r="E1711" s="111"/>
      <c r="F1711" s="111"/>
      <c r="G1711" s="111"/>
      <c r="H1711" s="111"/>
      <c r="I1711" s="127"/>
      <c r="J1711" s="111"/>
      <c r="K1711" s="257"/>
      <c r="L1711" s="111"/>
      <c r="M1711" s="127"/>
      <c r="N1711" s="270"/>
      <c r="O1711" s="111"/>
      <c r="P1711" s="111"/>
      <c r="Q1711" s="128"/>
      <c r="R1711" s="124"/>
      <c r="S1711" s="125"/>
      <c r="T1711" s="126"/>
      <c r="U1711" s="126"/>
      <c r="V1711" s="126"/>
      <c r="W1711" s="126"/>
      <c r="X1711" s="126"/>
      <c r="Y1711" s="126"/>
      <c r="Z1711" s="127"/>
      <c r="AA1711" s="127"/>
      <c r="AB1711" s="127"/>
      <c r="AC1711" s="127"/>
      <c r="AD1711" s="261"/>
      <c r="AE1711" s="261"/>
      <c r="AF1711" s="261"/>
      <c r="AG1711" s="261"/>
    </row>
    <row r="1712" ht="34.5" hidden="1" customHeight="1">
      <c r="A1712" s="111"/>
      <c r="B1712" s="127"/>
      <c r="C1712" s="111"/>
      <c r="D1712" s="111"/>
      <c r="E1712" s="111"/>
      <c r="F1712" s="111"/>
      <c r="G1712" s="111"/>
      <c r="H1712" s="111"/>
      <c r="I1712" s="127"/>
      <c r="J1712" s="111"/>
      <c r="K1712" s="257"/>
      <c r="L1712" s="111"/>
      <c r="M1712" s="127"/>
      <c r="N1712" s="270"/>
      <c r="O1712" s="111"/>
      <c r="P1712" s="111"/>
      <c r="Q1712" s="128"/>
      <c r="R1712" s="124"/>
      <c r="S1712" s="125"/>
      <c r="T1712" s="126"/>
      <c r="U1712" s="126"/>
      <c r="V1712" s="126"/>
      <c r="W1712" s="126"/>
      <c r="X1712" s="126"/>
      <c r="Y1712" s="126"/>
      <c r="Z1712" s="127"/>
      <c r="AA1712" s="127"/>
      <c r="AB1712" s="127"/>
      <c r="AC1712" s="127"/>
      <c r="AD1712" s="261"/>
      <c r="AE1712" s="261"/>
      <c r="AF1712" s="261"/>
      <c r="AG1712" s="261"/>
    </row>
    <row r="1713" ht="34.5" hidden="1" customHeight="1">
      <c r="A1713" s="111"/>
      <c r="B1713" s="127"/>
      <c r="C1713" s="111"/>
      <c r="D1713" s="111"/>
      <c r="E1713" s="111"/>
      <c r="F1713" s="111"/>
      <c r="G1713" s="111"/>
      <c r="H1713" s="111"/>
      <c r="I1713" s="127"/>
      <c r="J1713" s="111"/>
      <c r="K1713" s="257"/>
      <c r="L1713" s="111"/>
      <c r="M1713" s="127"/>
      <c r="N1713" s="270"/>
      <c r="O1713" s="111"/>
      <c r="P1713" s="111"/>
      <c r="Q1713" s="128"/>
      <c r="R1713" s="124"/>
      <c r="S1713" s="125"/>
      <c r="T1713" s="126"/>
      <c r="U1713" s="126"/>
      <c r="V1713" s="126"/>
      <c r="W1713" s="126"/>
      <c r="X1713" s="126"/>
      <c r="Y1713" s="126"/>
      <c r="Z1713" s="127"/>
      <c r="AA1713" s="127"/>
      <c r="AB1713" s="127"/>
      <c r="AC1713" s="127"/>
      <c r="AD1713" s="261"/>
      <c r="AE1713" s="261"/>
      <c r="AF1713" s="261"/>
      <c r="AG1713" s="261"/>
    </row>
    <row r="1714" ht="34.5" hidden="1" customHeight="1">
      <c r="A1714" s="111"/>
      <c r="B1714" s="127"/>
      <c r="C1714" s="111"/>
      <c r="D1714" s="111"/>
      <c r="E1714" s="111"/>
      <c r="F1714" s="111"/>
      <c r="G1714" s="111"/>
      <c r="H1714" s="111"/>
      <c r="I1714" s="127"/>
      <c r="J1714" s="111"/>
      <c r="K1714" s="257"/>
      <c r="L1714" s="111"/>
      <c r="M1714" s="127"/>
      <c r="N1714" s="270"/>
      <c r="O1714" s="111"/>
      <c r="P1714" s="111"/>
      <c r="Q1714" s="128"/>
      <c r="R1714" s="124"/>
      <c r="S1714" s="125"/>
      <c r="T1714" s="126"/>
      <c r="U1714" s="126"/>
      <c r="V1714" s="126"/>
      <c r="W1714" s="126"/>
      <c r="X1714" s="126"/>
      <c r="Y1714" s="126"/>
      <c r="Z1714" s="127"/>
      <c r="AA1714" s="127"/>
      <c r="AB1714" s="127"/>
      <c r="AC1714" s="127"/>
      <c r="AD1714" s="261"/>
      <c r="AE1714" s="261"/>
      <c r="AF1714" s="261"/>
      <c r="AG1714" s="261"/>
    </row>
    <row r="1715" ht="34.5" hidden="1" customHeight="1">
      <c r="A1715" s="111"/>
      <c r="B1715" s="127"/>
      <c r="C1715" s="111"/>
      <c r="D1715" s="111"/>
      <c r="E1715" s="111"/>
      <c r="F1715" s="111"/>
      <c r="G1715" s="111"/>
      <c r="H1715" s="111"/>
      <c r="I1715" s="127"/>
      <c r="J1715" s="111"/>
      <c r="K1715" s="257"/>
      <c r="L1715" s="111"/>
      <c r="M1715" s="127"/>
      <c r="N1715" s="270"/>
      <c r="O1715" s="111"/>
      <c r="P1715" s="111"/>
      <c r="Q1715" s="128"/>
      <c r="R1715" s="124"/>
      <c r="S1715" s="125"/>
      <c r="T1715" s="126"/>
      <c r="U1715" s="126"/>
      <c r="V1715" s="126"/>
      <c r="W1715" s="126"/>
      <c r="X1715" s="126"/>
      <c r="Y1715" s="126"/>
      <c r="Z1715" s="127"/>
      <c r="AA1715" s="127"/>
      <c r="AB1715" s="127"/>
      <c r="AC1715" s="127"/>
      <c r="AD1715" s="261"/>
      <c r="AE1715" s="261"/>
      <c r="AF1715" s="261"/>
      <c r="AG1715" s="261"/>
    </row>
    <row r="1716" ht="34.5" hidden="1" customHeight="1">
      <c r="A1716" s="111"/>
      <c r="B1716" s="127"/>
      <c r="C1716" s="111"/>
      <c r="D1716" s="111"/>
      <c r="E1716" s="111"/>
      <c r="F1716" s="111"/>
      <c r="G1716" s="111"/>
      <c r="H1716" s="111"/>
      <c r="I1716" s="127"/>
      <c r="J1716" s="111"/>
      <c r="K1716" s="257"/>
      <c r="L1716" s="111"/>
      <c r="M1716" s="127"/>
      <c r="N1716" s="270"/>
      <c r="O1716" s="111"/>
      <c r="P1716" s="111"/>
      <c r="Q1716" s="128"/>
      <c r="R1716" s="124"/>
      <c r="S1716" s="125"/>
      <c r="T1716" s="126"/>
      <c r="U1716" s="126"/>
      <c r="V1716" s="126"/>
      <c r="W1716" s="126"/>
      <c r="X1716" s="126"/>
      <c r="Y1716" s="126"/>
      <c r="Z1716" s="127"/>
      <c r="AA1716" s="127"/>
      <c r="AB1716" s="127"/>
      <c r="AC1716" s="127"/>
      <c r="AD1716" s="261"/>
      <c r="AE1716" s="261"/>
      <c r="AF1716" s="261"/>
      <c r="AG1716" s="261"/>
    </row>
    <row r="1717" ht="34.5" hidden="1" customHeight="1">
      <c r="A1717" s="111"/>
      <c r="B1717" s="127"/>
      <c r="C1717" s="111"/>
      <c r="D1717" s="111"/>
      <c r="E1717" s="111"/>
      <c r="F1717" s="111"/>
      <c r="G1717" s="111"/>
      <c r="H1717" s="111"/>
      <c r="I1717" s="127"/>
      <c r="J1717" s="111"/>
      <c r="K1717" s="257"/>
      <c r="L1717" s="111"/>
      <c r="M1717" s="127"/>
      <c r="N1717" s="270"/>
      <c r="O1717" s="111"/>
      <c r="P1717" s="111"/>
      <c r="Q1717" s="128"/>
      <c r="R1717" s="124"/>
      <c r="S1717" s="125"/>
      <c r="T1717" s="126"/>
      <c r="U1717" s="126"/>
      <c r="V1717" s="126"/>
      <c r="W1717" s="126"/>
      <c r="X1717" s="126"/>
      <c r="Y1717" s="126"/>
      <c r="Z1717" s="127"/>
      <c r="AA1717" s="127"/>
      <c r="AB1717" s="127"/>
      <c r="AC1717" s="127"/>
      <c r="AD1717" s="261"/>
      <c r="AE1717" s="261"/>
      <c r="AF1717" s="261"/>
      <c r="AG1717" s="261"/>
    </row>
    <row r="1718" ht="34.5" hidden="1" customHeight="1">
      <c r="A1718" s="111"/>
      <c r="B1718" s="127"/>
      <c r="C1718" s="111"/>
      <c r="D1718" s="111"/>
      <c r="E1718" s="111"/>
      <c r="F1718" s="111"/>
      <c r="G1718" s="111"/>
      <c r="H1718" s="111"/>
      <c r="I1718" s="127"/>
      <c r="J1718" s="111"/>
      <c r="K1718" s="257"/>
      <c r="L1718" s="111"/>
      <c r="M1718" s="127"/>
      <c r="N1718" s="270"/>
      <c r="O1718" s="111"/>
      <c r="P1718" s="111"/>
      <c r="Q1718" s="128"/>
      <c r="R1718" s="124"/>
      <c r="S1718" s="125"/>
      <c r="T1718" s="126"/>
      <c r="U1718" s="126"/>
      <c r="V1718" s="126"/>
      <c r="W1718" s="126"/>
      <c r="X1718" s="126"/>
      <c r="Y1718" s="126"/>
      <c r="Z1718" s="127"/>
      <c r="AA1718" s="127"/>
      <c r="AB1718" s="127"/>
      <c r="AC1718" s="127"/>
      <c r="AD1718" s="261"/>
      <c r="AE1718" s="261"/>
      <c r="AF1718" s="261"/>
      <c r="AG1718" s="261"/>
    </row>
    <row r="1719" ht="34.5" hidden="1" customHeight="1">
      <c r="A1719" s="111"/>
      <c r="B1719" s="127"/>
      <c r="C1719" s="111"/>
      <c r="D1719" s="111"/>
      <c r="E1719" s="111"/>
      <c r="F1719" s="111"/>
      <c r="G1719" s="111"/>
      <c r="H1719" s="111"/>
      <c r="I1719" s="127"/>
      <c r="J1719" s="111"/>
      <c r="K1719" s="257"/>
      <c r="L1719" s="111"/>
      <c r="M1719" s="127"/>
      <c r="N1719" s="270"/>
      <c r="O1719" s="111"/>
      <c r="P1719" s="111"/>
      <c r="Q1719" s="128"/>
      <c r="R1719" s="124"/>
      <c r="S1719" s="125"/>
      <c r="T1719" s="126"/>
      <c r="U1719" s="126"/>
      <c r="V1719" s="126"/>
      <c r="W1719" s="126"/>
      <c r="X1719" s="126"/>
      <c r="Y1719" s="126"/>
      <c r="Z1719" s="127"/>
      <c r="AA1719" s="127"/>
      <c r="AB1719" s="127"/>
      <c r="AC1719" s="127"/>
      <c r="AD1719" s="261"/>
      <c r="AE1719" s="261"/>
      <c r="AF1719" s="261"/>
      <c r="AG1719" s="261"/>
    </row>
    <row r="1720" ht="34.5" hidden="1" customHeight="1">
      <c r="A1720" s="111"/>
      <c r="B1720" s="127"/>
      <c r="C1720" s="111"/>
      <c r="D1720" s="111"/>
      <c r="E1720" s="111"/>
      <c r="F1720" s="111"/>
      <c r="G1720" s="111"/>
      <c r="H1720" s="111"/>
      <c r="I1720" s="127"/>
      <c r="J1720" s="111"/>
      <c r="K1720" s="257"/>
      <c r="L1720" s="111"/>
      <c r="M1720" s="127"/>
      <c r="N1720" s="270"/>
      <c r="O1720" s="111"/>
      <c r="P1720" s="111"/>
      <c r="Q1720" s="128"/>
      <c r="R1720" s="124"/>
      <c r="S1720" s="125"/>
      <c r="T1720" s="126"/>
      <c r="U1720" s="126"/>
      <c r="V1720" s="126"/>
      <c r="W1720" s="126"/>
      <c r="X1720" s="126"/>
      <c r="Y1720" s="126"/>
      <c r="Z1720" s="127"/>
      <c r="AA1720" s="127"/>
      <c r="AB1720" s="127"/>
      <c r="AC1720" s="127"/>
      <c r="AD1720" s="261"/>
      <c r="AE1720" s="261"/>
      <c r="AF1720" s="261"/>
      <c r="AG1720" s="261"/>
    </row>
    <row r="1721" ht="34.5" hidden="1" customHeight="1">
      <c r="A1721" s="111"/>
      <c r="B1721" s="127"/>
      <c r="C1721" s="111"/>
      <c r="D1721" s="111"/>
      <c r="E1721" s="111"/>
      <c r="F1721" s="111"/>
      <c r="G1721" s="111"/>
      <c r="H1721" s="111"/>
      <c r="I1721" s="127"/>
      <c r="J1721" s="111"/>
      <c r="K1721" s="257"/>
      <c r="L1721" s="111"/>
      <c r="M1721" s="127"/>
      <c r="N1721" s="270"/>
      <c r="O1721" s="111"/>
      <c r="P1721" s="111"/>
      <c r="Q1721" s="128"/>
      <c r="R1721" s="124"/>
      <c r="S1721" s="125"/>
      <c r="T1721" s="126"/>
      <c r="U1721" s="126"/>
      <c r="V1721" s="126"/>
      <c r="W1721" s="126"/>
      <c r="X1721" s="126"/>
      <c r="Y1721" s="126"/>
      <c r="Z1721" s="127"/>
      <c r="AA1721" s="127"/>
      <c r="AB1721" s="127"/>
      <c r="AC1721" s="127"/>
      <c r="AD1721" s="261"/>
      <c r="AE1721" s="261"/>
      <c r="AF1721" s="261"/>
      <c r="AG1721" s="261"/>
    </row>
    <row r="1722" ht="34.5" hidden="1" customHeight="1">
      <c r="A1722" s="111"/>
      <c r="B1722" s="127"/>
      <c r="C1722" s="111"/>
      <c r="D1722" s="111"/>
      <c r="E1722" s="111"/>
      <c r="F1722" s="111"/>
      <c r="G1722" s="111"/>
      <c r="H1722" s="111"/>
      <c r="I1722" s="127"/>
      <c r="J1722" s="111"/>
      <c r="K1722" s="257"/>
      <c r="L1722" s="111"/>
      <c r="M1722" s="127"/>
      <c r="N1722" s="270"/>
      <c r="O1722" s="111"/>
      <c r="P1722" s="111"/>
      <c r="Q1722" s="128"/>
      <c r="R1722" s="124"/>
      <c r="S1722" s="125"/>
      <c r="T1722" s="126"/>
      <c r="U1722" s="126"/>
      <c r="V1722" s="126"/>
      <c r="W1722" s="126"/>
      <c r="X1722" s="126"/>
      <c r="Y1722" s="126"/>
      <c r="Z1722" s="127"/>
      <c r="AA1722" s="127"/>
      <c r="AB1722" s="127"/>
      <c r="AC1722" s="127"/>
      <c r="AD1722" s="261"/>
      <c r="AE1722" s="261"/>
      <c r="AF1722" s="261"/>
      <c r="AG1722" s="261"/>
    </row>
    <row r="1723" ht="34.5" hidden="1" customHeight="1">
      <c r="A1723" s="111"/>
      <c r="B1723" s="127"/>
      <c r="C1723" s="111"/>
      <c r="D1723" s="111"/>
      <c r="E1723" s="111"/>
      <c r="F1723" s="111"/>
      <c r="G1723" s="111"/>
      <c r="H1723" s="111"/>
      <c r="I1723" s="127"/>
      <c r="J1723" s="111"/>
      <c r="K1723" s="257"/>
      <c r="L1723" s="111"/>
      <c r="M1723" s="127"/>
      <c r="N1723" s="270"/>
      <c r="O1723" s="111"/>
      <c r="P1723" s="111"/>
      <c r="Q1723" s="128"/>
      <c r="R1723" s="124"/>
      <c r="S1723" s="125"/>
      <c r="T1723" s="126"/>
      <c r="U1723" s="126"/>
      <c r="V1723" s="126"/>
      <c r="W1723" s="126"/>
      <c r="X1723" s="126"/>
      <c r="Y1723" s="126"/>
      <c r="Z1723" s="127"/>
      <c r="AA1723" s="127"/>
      <c r="AB1723" s="127"/>
      <c r="AC1723" s="127"/>
      <c r="AD1723" s="261"/>
      <c r="AE1723" s="261"/>
      <c r="AF1723" s="261"/>
      <c r="AG1723" s="261"/>
    </row>
    <row r="1724" ht="34.5" hidden="1" customHeight="1">
      <c r="A1724" s="111"/>
      <c r="B1724" s="127"/>
      <c r="C1724" s="111"/>
      <c r="D1724" s="111"/>
      <c r="E1724" s="111"/>
      <c r="F1724" s="111"/>
      <c r="G1724" s="111"/>
      <c r="H1724" s="111"/>
      <c r="I1724" s="127"/>
      <c r="J1724" s="111"/>
      <c r="K1724" s="257"/>
      <c r="L1724" s="111"/>
      <c r="M1724" s="127"/>
      <c r="N1724" s="270"/>
      <c r="O1724" s="111"/>
      <c r="P1724" s="111"/>
      <c r="Q1724" s="128"/>
      <c r="R1724" s="124"/>
      <c r="S1724" s="125"/>
      <c r="T1724" s="126"/>
      <c r="U1724" s="126"/>
      <c r="V1724" s="126"/>
      <c r="W1724" s="126"/>
      <c r="X1724" s="126"/>
      <c r="Y1724" s="126"/>
      <c r="Z1724" s="127"/>
      <c r="AA1724" s="127"/>
      <c r="AB1724" s="127"/>
      <c r="AC1724" s="127"/>
      <c r="AD1724" s="261"/>
      <c r="AE1724" s="261"/>
      <c r="AF1724" s="261"/>
      <c r="AG1724" s="261"/>
    </row>
    <row r="1725" ht="34.5" hidden="1" customHeight="1">
      <c r="A1725" s="111"/>
      <c r="B1725" s="127"/>
      <c r="C1725" s="111"/>
      <c r="D1725" s="111"/>
      <c r="E1725" s="111"/>
      <c r="F1725" s="111"/>
      <c r="G1725" s="111"/>
      <c r="H1725" s="111"/>
      <c r="I1725" s="127"/>
      <c r="J1725" s="111"/>
      <c r="K1725" s="257"/>
      <c r="L1725" s="111"/>
      <c r="M1725" s="127"/>
      <c r="N1725" s="270"/>
      <c r="O1725" s="111"/>
      <c r="P1725" s="111"/>
      <c r="Q1725" s="128"/>
      <c r="R1725" s="124"/>
      <c r="S1725" s="125"/>
      <c r="T1725" s="126"/>
      <c r="U1725" s="126"/>
      <c r="V1725" s="126"/>
      <c r="W1725" s="126"/>
      <c r="X1725" s="126"/>
      <c r="Y1725" s="126"/>
      <c r="Z1725" s="127"/>
      <c r="AA1725" s="127"/>
      <c r="AB1725" s="127"/>
      <c r="AC1725" s="127"/>
      <c r="AD1725" s="261"/>
      <c r="AE1725" s="261"/>
      <c r="AF1725" s="261"/>
      <c r="AG1725" s="261"/>
    </row>
    <row r="1726" ht="34.5" hidden="1" customHeight="1">
      <c r="A1726" s="111"/>
      <c r="B1726" s="127"/>
      <c r="C1726" s="111"/>
      <c r="D1726" s="111"/>
      <c r="E1726" s="111"/>
      <c r="F1726" s="111"/>
      <c r="G1726" s="111"/>
      <c r="H1726" s="111"/>
      <c r="I1726" s="127"/>
      <c r="J1726" s="111"/>
      <c r="K1726" s="257"/>
      <c r="L1726" s="111"/>
      <c r="M1726" s="127"/>
      <c r="N1726" s="270"/>
      <c r="O1726" s="111"/>
      <c r="P1726" s="111"/>
      <c r="Q1726" s="128"/>
      <c r="R1726" s="124"/>
      <c r="S1726" s="125"/>
      <c r="T1726" s="126"/>
      <c r="U1726" s="126"/>
      <c r="V1726" s="126"/>
      <c r="W1726" s="126"/>
      <c r="X1726" s="126"/>
      <c r="Y1726" s="126"/>
      <c r="Z1726" s="127"/>
      <c r="AA1726" s="127"/>
      <c r="AB1726" s="127"/>
      <c r="AC1726" s="127"/>
      <c r="AD1726" s="261"/>
      <c r="AE1726" s="261"/>
      <c r="AF1726" s="261"/>
      <c r="AG1726" s="261"/>
    </row>
    <row r="1727" ht="34.5" hidden="1" customHeight="1">
      <c r="A1727" s="111"/>
      <c r="B1727" s="127"/>
      <c r="C1727" s="111"/>
      <c r="D1727" s="111"/>
      <c r="E1727" s="111"/>
      <c r="F1727" s="111"/>
      <c r="G1727" s="111"/>
      <c r="H1727" s="111"/>
      <c r="I1727" s="127"/>
      <c r="J1727" s="111"/>
      <c r="K1727" s="257"/>
      <c r="L1727" s="111"/>
      <c r="M1727" s="127"/>
      <c r="N1727" s="270"/>
      <c r="O1727" s="111"/>
      <c r="P1727" s="111"/>
      <c r="Q1727" s="128"/>
      <c r="R1727" s="124"/>
      <c r="S1727" s="125"/>
      <c r="T1727" s="126"/>
      <c r="U1727" s="126"/>
      <c r="V1727" s="126"/>
      <c r="W1727" s="126"/>
      <c r="X1727" s="126"/>
      <c r="Y1727" s="126"/>
      <c r="Z1727" s="127"/>
      <c r="AA1727" s="127"/>
      <c r="AB1727" s="127"/>
      <c r="AC1727" s="127"/>
      <c r="AD1727" s="261"/>
      <c r="AE1727" s="261"/>
      <c r="AF1727" s="261"/>
      <c r="AG1727" s="261"/>
    </row>
    <row r="1728" ht="34.5" hidden="1" customHeight="1">
      <c r="A1728" s="111"/>
      <c r="B1728" s="127"/>
      <c r="C1728" s="111"/>
      <c r="D1728" s="111"/>
      <c r="E1728" s="111"/>
      <c r="F1728" s="111"/>
      <c r="G1728" s="111"/>
      <c r="H1728" s="111"/>
      <c r="I1728" s="127"/>
      <c r="J1728" s="111"/>
      <c r="K1728" s="257"/>
      <c r="L1728" s="111"/>
      <c r="M1728" s="127"/>
      <c r="N1728" s="270"/>
      <c r="O1728" s="111"/>
      <c r="P1728" s="111"/>
      <c r="Q1728" s="128"/>
      <c r="R1728" s="124"/>
      <c r="S1728" s="125"/>
      <c r="T1728" s="126"/>
      <c r="U1728" s="126"/>
      <c r="V1728" s="126"/>
      <c r="W1728" s="126"/>
      <c r="X1728" s="126"/>
      <c r="Y1728" s="126"/>
      <c r="Z1728" s="127"/>
      <c r="AA1728" s="127"/>
      <c r="AB1728" s="127"/>
      <c r="AC1728" s="127"/>
      <c r="AD1728" s="261"/>
      <c r="AE1728" s="261"/>
      <c r="AF1728" s="261"/>
      <c r="AG1728" s="261"/>
    </row>
    <row r="1729" ht="34.5" hidden="1" customHeight="1">
      <c r="A1729" s="111"/>
      <c r="B1729" s="127"/>
      <c r="C1729" s="111"/>
      <c r="D1729" s="111"/>
      <c r="E1729" s="111"/>
      <c r="F1729" s="111"/>
      <c r="G1729" s="111"/>
      <c r="H1729" s="111"/>
      <c r="I1729" s="127"/>
      <c r="J1729" s="111"/>
      <c r="K1729" s="257"/>
      <c r="L1729" s="111"/>
      <c r="M1729" s="127"/>
      <c r="N1729" s="270"/>
      <c r="O1729" s="111"/>
      <c r="P1729" s="111"/>
      <c r="Q1729" s="128"/>
      <c r="R1729" s="124"/>
      <c r="S1729" s="125"/>
      <c r="T1729" s="126"/>
      <c r="U1729" s="126"/>
      <c r="V1729" s="126"/>
      <c r="W1729" s="126"/>
      <c r="X1729" s="126"/>
      <c r="Y1729" s="126"/>
      <c r="Z1729" s="127"/>
      <c r="AA1729" s="127"/>
      <c r="AB1729" s="127"/>
      <c r="AC1729" s="127"/>
      <c r="AD1729" s="261"/>
      <c r="AE1729" s="261"/>
      <c r="AF1729" s="261"/>
      <c r="AG1729" s="261"/>
    </row>
    <row r="1730" ht="34.5" hidden="1" customHeight="1">
      <c r="A1730" s="111"/>
      <c r="B1730" s="127"/>
      <c r="C1730" s="111"/>
      <c r="D1730" s="111"/>
      <c r="E1730" s="111"/>
      <c r="F1730" s="111"/>
      <c r="G1730" s="111"/>
      <c r="H1730" s="111"/>
      <c r="I1730" s="127"/>
      <c r="J1730" s="111"/>
      <c r="K1730" s="257"/>
      <c r="L1730" s="111"/>
      <c r="M1730" s="127"/>
      <c r="N1730" s="270"/>
      <c r="O1730" s="111"/>
      <c r="P1730" s="111"/>
      <c r="Q1730" s="128"/>
      <c r="R1730" s="124"/>
      <c r="S1730" s="125"/>
      <c r="T1730" s="126"/>
      <c r="U1730" s="126"/>
      <c r="V1730" s="126"/>
      <c r="W1730" s="126"/>
      <c r="X1730" s="126"/>
      <c r="Y1730" s="126"/>
      <c r="Z1730" s="127"/>
      <c r="AA1730" s="127"/>
      <c r="AB1730" s="127"/>
      <c r="AC1730" s="127"/>
      <c r="AD1730" s="261"/>
      <c r="AE1730" s="261"/>
      <c r="AF1730" s="261"/>
      <c r="AG1730" s="261"/>
    </row>
    <row r="1731" ht="34.5" hidden="1" customHeight="1">
      <c r="A1731" s="111"/>
      <c r="B1731" s="127"/>
      <c r="C1731" s="111"/>
      <c r="D1731" s="111"/>
      <c r="E1731" s="111"/>
      <c r="F1731" s="111"/>
      <c r="G1731" s="111"/>
      <c r="H1731" s="111"/>
      <c r="I1731" s="127"/>
      <c r="J1731" s="111"/>
      <c r="K1731" s="257"/>
      <c r="L1731" s="111"/>
      <c r="M1731" s="127"/>
      <c r="N1731" s="270"/>
      <c r="O1731" s="111"/>
      <c r="P1731" s="111"/>
      <c r="Q1731" s="128"/>
      <c r="R1731" s="124"/>
      <c r="S1731" s="125"/>
      <c r="T1731" s="126"/>
      <c r="U1731" s="126"/>
      <c r="V1731" s="126"/>
      <c r="W1731" s="126"/>
      <c r="X1731" s="126"/>
      <c r="Y1731" s="126"/>
      <c r="Z1731" s="127"/>
      <c r="AA1731" s="127"/>
      <c r="AB1731" s="127"/>
      <c r="AC1731" s="127"/>
      <c r="AD1731" s="261"/>
      <c r="AE1731" s="261"/>
      <c r="AF1731" s="261"/>
      <c r="AG1731" s="261"/>
    </row>
    <row r="1732" ht="34.5" hidden="1" customHeight="1">
      <c r="A1732" s="111"/>
      <c r="B1732" s="127"/>
      <c r="C1732" s="111"/>
      <c r="D1732" s="111"/>
      <c r="E1732" s="111"/>
      <c r="F1732" s="111"/>
      <c r="G1732" s="111"/>
      <c r="H1732" s="111"/>
      <c r="I1732" s="127"/>
      <c r="J1732" s="111"/>
      <c r="K1732" s="257"/>
      <c r="L1732" s="111"/>
      <c r="M1732" s="127"/>
      <c r="N1732" s="270"/>
      <c r="O1732" s="111"/>
      <c r="P1732" s="111"/>
      <c r="Q1732" s="128"/>
      <c r="R1732" s="124"/>
      <c r="S1732" s="125"/>
      <c r="T1732" s="126"/>
      <c r="U1732" s="126"/>
      <c r="V1732" s="126"/>
      <c r="W1732" s="126"/>
      <c r="X1732" s="126"/>
      <c r="Y1732" s="126"/>
      <c r="Z1732" s="127"/>
      <c r="AA1732" s="127"/>
      <c r="AB1732" s="127"/>
      <c r="AC1732" s="127"/>
      <c r="AD1732" s="261"/>
      <c r="AE1732" s="261"/>
      <c r="AF1732" s="261"/>
      <c r="AG1732" s="261"/>
    </row>
    <row r="1733" ht="34.5" hidden="1" customHeight="1">
      <c r="A1733" s="111"/>
      <c r="B1733" s="127"/>
      <c r="C1733" s="111"/>
      <c r="D1733" s="111"/>
      <c r="E1733" s="111"/>
      <c r="F1733" s="111"/>
      <c r="G1733" s="111"/>
      <c r="H1733" s="111"/>
      <c r="I1733" s="127"/>
      <c r="J1733" s="111"/>
      <c r="K1733" s="257"/>
      <c r="L1733" s="111"/>
      <c r="M1733" s="127"/>
      <c r="N1733" s="270"/>
      <c r="O1733" s="111"/>
      <c r="P1733" s="111"/>
      <c r="Q1733" s="128"/>
      <c r="R1733" s="124"/>
      <c r="S1733" s="125"/>
      <c r="T1733" s="126"/>
      <c r="U1733" s="126"/>
      <c r="V1733" s="126"/>
      <c r="W1733" s="126"/>
      <c r="X1733" s="126"/>
      <c r="Y1733" s="126"/>
      <c r="Z1733" s="127"/>
      <c r="AA1733" s="127"/>
      <c r="AB1733" s="127"/>
      <c r="AC1733" s="127"/>
      <c r="AD1733" s="261"/>
      <c r="AE1733" s="261"/>
      <c r="AF1733" s="261"/>
      <c r="AG1733" s="261"/>
    </row>
    <row r="1734" ht="34.5" hidden="1" customHeight="1">
      <c r="A1734" s="111"/>
      <c r="B1734" s="127"/>
      <c r="C1734" s="111"/>
      <c r="D1734" s="111"/>
      <c r="E1734" s="111"/>
      <c r="F1734" s="111"/>
      <c r="G1734" s="111"/>
      <c r="H1734" s="111"/>
      <c r="I1734" s="127"/>
      <c r="J1734" s="111"/>
      <c r="K1734" s="257"/>
      <c r="L1734" s="111"/>
      <c r="M1734" s="127"/>
      <c r="N1734" s="270"/>
      <c r="O1734" s="111"/>
      <c r="P1734" s="111"/>
      <c r="Q1734" s="128"/>
      <c r="R1734" s="124"/>
      <c r="S1734" s="125"/>
      <c r="T1734" s="126"/>
      <c r="U1734" s="126"/>
      <c r="V1734" s="126"/>
      <c r="W1734" s="126"/>
      <c r="X1734" s="126"/>
      <c r="Y1734" s="126"/>
      <c r="Z1734" s="127"/>
      <c r="AA1734" s="127"/>
      <c r="AB1734" s="127"/>
      <c r="AC1734" s="127"/>
      <c r="AD1734" s="261"/>
      <c r="AE1734" s="261"/>
      <c r="AF1734" s="261"/>
      <c r="AG1734" s="261"/>
    </row>
    <row r="1735" ht="34.5" hidden="1" customHeight="1">
      <c r="A1735" s="111"/>
      <c r="B1735" s="127"/>
      <c r="C1735" s="111"/>
      <c r="D1735" s="111"/>
      <c r="E1735" s="111"/>
      <c r="F1735" s="111"/>
      <c r="G1735" s="111"/>
      <c r="H1735" s="111"/>
      <c r="I1735" s="127"/>
      <c r="J1735" s="111"/>
      <c r="K1735" s="257"/>
      <c r="L1735" s="111"/>
      <c r="M1735" s="127"/>
      <c r="N1735" s="270"/>
      <c r="O1735" s="111"/>
      <c r="P1735" s="111"/>
      <c r="Q1735" s="128"/>
      <c r="R1735" s="124"/>
      <c r="S1735" s="125"/>
      <c r="T1735" s="126"/>
      <c r="U1735" s="126"/>
      <c r="V1735" s="126"/>
      <c r="W1735" s="126"/>
      <c r="X1735" s="126"/>
      <c r="Y1735" s="126"/>
      <c r="Z1735" s="127"/>
      <c r="AA1735" s="127"/>
      <c r="AB1735" s="127"/>
      <c r="AC1735" s="127"/>
      <c r="AD1735" s="261"/>
      <c r="AE1735" s="261"/>
      <c r="AF1735" s="261"/>
      <c r="AG1735" s="261"/>
    </row>
    <row r="1736" ht="34.5" hidden="1" customHeight="1">
      <c r="A1736" s="111"/>
      <c r="B1736" s="127"/>
      <c r="C1736" s="111"/>
      <c r="D1736" s="111"/>
      <c r="E1736" s="111"/>
      <c r="F1736" s="111"/>
      <c r="G1736" s="111"/>
      <c r="H1736" s="111"/>
      <c r="I1736" s="127"/>
      <c r="J1736" s="111"/>
      <c r="K1736" s="257"/>
      <c r="L1736" s="111"/>
      <c r="M1736" s="127"/>
      <c r="N1736" s="270"/>
      <c r="O1736" s="111"/>
      <c r="P1736" s="111"/>
      <c r="Q1736" s="128"/>
      <c r="R1736" s="124"/>
      <c r="S1736" s="125"/>
      <c r="T1736" s="126"/>
      <c r="U1736" s="126"/>
      <c r="V1736" s="126"/>
      <c r="W1736" s="126"/>
      <c r="X1736" s="126"/>
      <c r="Y1736" s="126"/>
      <c r="Z1736" s="127"/>
      <c r="AA1736" s="127"/>
      <c r="AB1736" s="127"/>
      <c r="AC1736" s="127"/>
      <c r="AD1736" s="261"/>
      <c r="AE1736" s="261"/>
      <c r="AF1736" s="261"/>
      <c r="AG1736" s="261"/>
    </row>
    <row r="1737" ht="34.5" hidden="1" customHeight="1">
      <c r="A1737" s="111"/>
      <c r="B1737" s="127"/>
      <c r="C1737" s="111"/>
      <c r="D1737" s="111"/>
      <c r="E1737" s="111"/>
      <c r="F1737" s="111"/>
      <c r="G1737" s="111"/>
      <c r="H1737" s="111"/>
      <c r="I1737" s="127"/>
      <c r="J1737" s="111"/>
      <c r="K1737" s="257"/>
      <c r="L1737" s="111"/>
      <c r="M1737" s="127"/>
      <c r="N1737" s="270"/>
      <c r="O1737" s="111"/>
      <c r="P1737" s="111"/>
      <c r="Q1737" s="128"/>
      <c r="R1737" s="124"/>
      <c r="S1737" s="125"/>
      <c r="T1737" s="126"/>
      <c r="U1737" s="126"/>
      <c r="V1737" s="126"/>
      <c r="W1737" s="126"/>
      <c r="X1737" s="126"/>
      <c r="Y1737" s="126"/>
      <c r="Z1737" s="127"/>
      <c r="AA1737" s="127"/>
      <c r="AB1737" s="127"/>
      <c r="AC1737" s="127"/>
      <c r="AD1737" s="261"/>
      <c r="AE1737" s="261"/>
      <c r="AF1737" s="261"/>
      <c r="AG1737" s="261"/>
    </row>
    <row r="1738" ht="34.5" hidden="1" customHeight="1">
      <c r="A1738" s="111"/>
      <c r="B1738" s="127"/>
      <c r="C1738" s="111"/>
      <c r="D1738" s="111"/>
      <c r="E1738" s="111"/>
      <c r="F1738" s="111"/>
      <c r="G1738" s="111"/>
      <c r="H1738" s="111"/>
      <c r="I1738" s="127"/>
      <c r="J1738" s="111"/>
      <c r="K1738" s="257"/>
      <c r="L1738" s="111"/>
      <c r="M1738" s="127"/>
      <c r="N1738" s="270"/>
      <c r="O1738" s="111"/>
      <c r="P1738" s="111"/>
      <c r="Q1738" s="128"/>
      <c r="R1738" s="124"/>
      <c r="S1738" s="125"/>
      <c r="T1738" s="126"/>
      <c r="U1738" s="126"/>
      <c r="V1738" s="126"/>
      <c r="W1738" s="126"/>
      <c r="X1738" s="126"/>
      <c r="Y1738" s="126"/>
      <c r="Z1738" s="127"/>
      <c r="AA1738" s="127"/>
      <c r="AB1738" s="127"/>
      <c r="AC1738" s="127"/>
      <c r="AD1738" s="261"/>
      <c r="AE1738" s="261"/>
      <c r="AF1738" s="261"/>
      <c r="AG1738" s="261"/>
    </row>
    <row r="1739" ht="34.5" hidden="1" customHeight="1">
      <c r="A1739" s="111"/>
      <c r="B1739" s="127"/>
      <c r="C1739" s="111"/>
      <c r="D1739" s="111"/>
      <c r="E1739" s="111"/>
      <c r="F1739" s="111"/>
      <c r="G1739" s="111"/>
      <c r="H1739" s="111"/>
      <c r="I1739" s="127"/>
      <c r="J1739" s="111"/>
      <c r="K1739" s="257"/>
      <c r="L1739" s="111"/>
      <c r="M1739" s="127"/>
      <c r="N1739" s="270"/>
      <c r="O1739" s="111"/>
      <c r="P1739" s="111"/>
      <c r="Q1739" s="128"/>
      <c r="R1739" s="124"/>
      <c r="S1739" s="125"/>
      <c r="T1739" s="126"/>
      <c r="U1739" s="126"/>
      <c r="V1739" s="126"/>
      <c r="W1739" s="126"/>
      <c r="X1739" s="126"/>
      <c r="Y1739" s="126"/>
      <c r="Z1739" s="127"/>
      <c r="AA1739" s="127"/>
      <c r="AB1739" s="127"/>
      <c r="AC1739" s="127"/>
      <c r="AD1739" s="261"/>
      <c r="AE1739" s="261"/>
      <c r="AF1739" s="261"/>
      <c r="AG1739" s="261"/>
    </row>
    <row r="1740" ht="34.5" hidden="1" customHeight="1">
      <c r="A1740" s="111"/>
      <c r="B1740" s="127"/>
      <c r="C1740" s="111"/>
      <c r="D1740" s="111"/>
      <c r="E1740" s="111"/>
      <c r="F1740" s="111"/>
      <c r="G1740" s="111"/>
      <c r="H1740" s="111"/>
      <c r="I1740" s="127"/>
      <c r="J1740" s="111"/>
      <c r="K1740" s="257"/>
      <c r="L1740" s="111"/>
      <c r="M1740" s="127"/>
      <c r="N1740" s="270"/>
      <c r="O1740" s="111"/>
      <c r="P1740" s="111"/>
      <c r="Q1740" s="128"/>
      <c r="R1740" s="124"/>
      <c r="S1740" s="125"/>
      <c r="T1740" s="126"/>
      <c r="U1740" s="126"/>
      <c r="V1740" s="126"/>
      <c r="W1740" s="126"/>
      <c r="X1740" s="126"/>
      <c r="Y1740" s="126"/>
      <c r="Z1740" s="127"/>
      <c r="AA1740" s="127"/>
      <c r="AB1740" s="127"/>
      <c r="AC1740" s="127"/>
      <c r="AD1740" s="261"/>
      <c r="AE1740" s="261"/>
      <c r="AF1740" s="261"/>
      <c r="AG1740" s="261"/>
    </row>
    <row r="1741" ht="34.5" hidden="1" customHeight="1">
      <c r="A1741" s="111"/>
      <c r="B1741" s="127"/>
      <c r="C1741" s="111"/>
      <c r="D1741" s="111"/>
      <c r="E1741" s="111"/>
      <c r="F1741" s="111"/>
      <c r="G1741" s="111"/>
      <c r="H1741" s="111"/>
      <c r="I1741" s="127"/>
      <c r="J1741" s="111"/>
      <c r="K1741" s="257"/>
      <c r="L1741" s="111"/>
      <c r="M1741" s="127"/>
      <c r="N1741" s="270"/>
      <c r="O1741" s="111"/>
      <c r="P1741" s="111"/>
      <c r="Q1741" s="128"/>
      <c r="R1741" s="124"/>
      <c r="S1741" s="125"/>
      <c r="T1741" s="126"/>
      <c r="U1741" s="126"/>
      <c r="V1741" s="126"/>
      <c r="W1741" s="126"/>
      <c r="X1741" s="126"/>
      <c r="Y1741" s="126"/>
      <c r="Z1741" s="127"/>
      <c r="AA1741" s="127"/>
      <c r="AB1741" s="127"/>
      <c r="AC1741" s="127"/>
      <c r="AD1741" s="261"/>
      <c r="AE1741" s="261"/>
      <c r="AF1741" s="261"/>
      <c r="AG1741" s="261"/>
    </row>
    <row r="1742" ht="34.5" hidden="1" customHeight="1">
      <c r="A1742" s="111"/>
      <c r="B1742" s="127"/>
      <c r="C1742" s="111"/>
      <c r="D1742" s="111"/>
      <c r="E1742" s="111"/>
      <c r="F1742" s="111"/>
      <c r="G1742" s="111"/>
      <c r="H1742" s="111"/>
      <c r="I1742" s="127"/>
      <c r="J1742" s="111"/>
      <c r="K1742" s="257"/>
      <c r="L1742" s="111"/>
      <c r="M1742" s="127"/>
      <c r="N1742" s="270"/>
      <c r="O1742" s="111"/>
      <c r="P1742" s="111"/>
      <c r="Q1742" s="128"/>
      <c r="R1742" s="124"/>
      <c r="S1742" s="125"/>
      <c r="T1742" s="126"/>
      <c r="U1742" s="126"/>
      <c r="V1742" s="126"/>
      <c r="W1742" s="126"/>
      <c r="X1742" s="126"/>
      <c r="Y1742" s="126"/>
      <c r="Z1742" s="127"/>
      <c r="AA1742" s="127"/>
      <c r="AB1742" s="127"/>
      <c r="AC1742" s="127"/>
      <c r="AD1742" s="261"/>
      <c r="AE1742" s="261"/>
      <c r="AF1742" s="261"/>
      <c r="AG1742" s="261"/>
    </row>
    <row r="1743" ht="34.5" hidden="1" customHeight="1">
      <c r="A1743" s="111"/>
      <c r="B1743" s="127"/>
      <c r="C1743" s="111"/>
      <c r="D1743" s="111"/>
      <c r="E1743" s="111"/>
      <c r="F1743" s="111"/>
      <c r="G1743" s="111"/>
      <c r="H1743" s="111"/>
      <c r="I1743" s="127"/>
      <c r="J1743" s="111"/>
      <c r="K1743" s="257"/>
      <c r="L1743" s="111"/>
      <c r="M1743" s="127"/>
      <c r="N1743" s="270"/>
      <c r="O1743" s="111"/>
      <c r="P1743" s="111"/>
      <c r="Q1743" s="128"/>
      <c r="R1743" s="124"/>
      <c r="S1743" s="125"/>
      <c r="T1743" s="126"/>
      <c r="U1743" s="126"/>
      <c r="V1743" s="126"/>
      <c r="W1743" s="126"/>
      <c r="X1743" s="126"/>
      <c r="Y1743" s="126"/>
      <c r="Z1743" s="127"/>
      <c r="AA1743" s="127"/>
      <c r="AB1743" s="127"/>
      <c r="AC1743" s="127"/>
      <c r="AD1743" s="261"/>
      <c r="AE1743" s="261"/>
      <c r="AF1743" s="261"/>
      <c r="AG1743" s="261"/>
    </row>
    <row r="1744" ht="34.5" hidden="1" customHeight="1">
      <c r="A1744" s="111"/>
      <c r="B1744" s="127"/>
      <c r="C1744" s="111"/>
      <c r="D1744" s="111"/>
      <c r="E1744" s="111"/>
      <c r="F1744" s="111"/>
      <c r="G1744" s="111"/>
      <c r="H1744" s="111"/>
      <c r="I1744" s="127"/>
      <c r="J1744" s="111"/>
      <c r="K1744" s="257"/>
      <c r="L1744" s="111"/>
      <c r="M1744" s="127"/>
      <c r="N1744" s="270"/>
      <c r="O1744" s="111"/>
      <c r="P1744" s="111"/>
      <c r="Q1744" s="128"/>
      <c r="R1744" s="124"/>
      <c r="S1744" s="125"/>
      <c r="T1744" s="126"/>
      <c r="U1744" s="126"/>
      <c r="V1744" s="126"/>
      <c r="W1744" s="126"/>
      <c r="X1744" s="126"/>
      <c r="Y1744" s="126"/>
      <c r="Z1744" s="127"/>
      <c r="AA1744" s="127"/>
      <c r="AB1744" s="127"/>
      <c r="AC1744" s="127"/>
      <c r="AD1744" s="261"/>
      <c r="AE1744" s="261"/>
      <c r="AF1744" s="261"/>
      <c r="AG1744" s="261"/>
    </row>
    <row r="1745" ht="34.5" hidden="1" customHeight="1">
      <c r="A1745" s="111"/>
      <c r="B1745" s="127"/>
      <c r="C1745" s="111"/>
      <c r="D1745" s="111"/>
      <c r="E1745" s="111"/>
      <c r="F1745" s="111"/>
      <c r="G1745" s="111"/>
      <c r="H1745" s="111"/>
      <c r="I1745" s="127"/>
      <c r="J1745" s="111"/>
      <c r="K1745" s="257"/>
      <c r="L1745" s="111"/>
      <c r="M1745" s="127"/>
      <c r="N1745" s="270"/>
      <c r="O1745" s="111"/>
      <c r="P1745" s="111"/>
      <c r="Q1745" s="128"/>
      <c r="R1745" s="124"/>
      <c r="S1745" s="125"/>
      <c r="T1745" s="126"/>
      <c r="U1745" s="126"/>
      <c r="V1745" s="126"/>
      <c r="W1745" s="126"/>
      <c r="X1745" s="126"/>
      <c r="Y1745" s="126"/>
      <c r="Z1745" s="127"/>
      <c r="AA1745" s="127"/>
      <c r="AB1745" s="127"/>
      <c r="AC1745" s="127"/>
      <c r="AD1745" s="261"/>
      <c r="AE1745" s="261"/>
      <c r="AF1745" s="261"/>
      <c r="AG1745" s="261"/>
    </row>
    <row r="1746" ht="34.5" hidden="1" customHeight="1">
      <c r="A1746" s="111"/>
      <c r="B1746" s="127"/>
      <c r="C1746" s="111"/>
      <c r="D1746" s="111"/>
      <c r="E1746" s="111"/>
      <c r="F1746" s="111"/>
      <c r="G1746" s="111"/>
      <c r="H1746" s="111"/>
      <c r="I1746" s="127"/>
      <c r="J1746" s="111"/>
      <c r="K1746" s="257"/>
      <c r="L1746" s="111"/>
      <c r="M1746" s="127"/>
      <c r="N1746" s="270"/>
      <c r="O1746" s="111"/>
      <c r="P1746" s="111"/>
      <c r="Q1746" s="128"/>
      <c r="R1746" s="124"/>
      <c r="S1746" s="125"/>
      <c r="T1746" s="126"/>
      <c r="U1746" s="126"/>
      <c r="V1746" s="126"/>
      <c r="W1746" s="126"/>
      <c r="X1746" s="126"/>
      <c r="Y1746" s="126"/>
      <c r="Z1746" s="127"/>
      <c r="AA1746" s="127"/>
      <c r="AB1746" s="127"/>
      <c r="AC1746" s="127"/>
      <c r="AD1746" s="261"/>
      <c r="AE1746" s="261"/>
      <c r="AF1746" s="261"/>
      <c r="AG1746" s="261"/>
    </row>
    <row r="1747" ht="34.5" hidden="1" customHeight="1">
      <c r="A1747" s="111"/>
      <c r="B1747" s="127"/>
      <c r="C1747" s="111"/>
      <c r="D1747" s="111"/>
      <c r="E1747" s="111"/>
      <c r="F1747" s="111"/>
      <c r="G1747" s="111"/>
      <c r="H1747" s="111"/>
      <c r="I1747" s="127"/>
      <c r="J1747" s="111"/>
      <c r="K1747" s="257"/>
      <c r="L1747" s="111"/>
      <c r="M1747" s="127"/>
      <c r="N1747" s="270"/>
      <c r="O1747" s="111"/>
      <c r="P1747" s="111"/>
      <c r="Q1747" s="128"/>
      <c r="R1747" s="124"/>
      <c r="S1747" s="125"/>
      <c r="T1747" s="126"/>
      <c r="U1747" s="126"/>
      <c r="V1747" s="126"/>
      <c r="W1747" s="126"/>
      <c r="X1747" s="126"/>
      <c r="Y1747" s="126"/>
      <c r="Z1747" s="127"/>
      <c r="AA1747" s="127"/>
      <c r="AB1747" s="127"/>
      <c r="AC1747" s="127"/>
      <c r="AD1747" s="261"/>
      <c r="AE1747" s="261"/>
      <c r="AF1747" s="261"/>
      <c r="AG1747" s="261"/>
    </row>
    <row r="1748" ht="34.5" hidden="1" customHeight="1">
      <c r="A1748" s="111"/>
      <c r="B1748" s="127"/>
      <c r="C1748" s="111"/>
      <c r="D1748" s="111"/>
      <c r="E1748" s="111"/>
      <c r="F1748" s="111"/>
      <c r="G1748" s="111"/>
      <c r="H1748" s="111"/>
      <c r="I1748" s="127"/>
      <c r="J1748" s="111"/>
      <c r="K1748" s="257"/>
      <c r="L1748" s="111"/>
      <c r="M1748" s="127"/>
      <c r="N1748" s="270"/>
      <c r="O1748" s="111"/>
      <c r="P1748" s="111"/>
      <c r="Q1748" s="128"/>
      <c r="R1748" s="124"/>
      <c r="S1748" s="125"/>
      <c r="T1748" s="126"/>
      <c r="U1748" s="126"/>
      <c r="V1748" s="126"/>
      <c r="W1748" s="126"/>
      <c r="X1748" s="126"/>
      <c r="Y1748" s="126"/>
      <c r="Z1748" s="127"/>
      <c r="AA1748" s="127"/>
      <c r="AB1748" s="127"/>
      <c r="AC1748" s="127"/>
      <c r="AD1748" s="261"/>
      <c r="AE1748" s="261"/>
      <c r="AF1748" s="261"/>
      <c r="AG1748" s="261"/>
    </row>
    <row r="1749" ht="34.5" hidden="1" customHeight="1">
      <c r="A1749" s="111"/>
      <c r="B1749" s="127"/>
      <c r="C1749" s="111"/>
      <c r="D1749" s="111"/>
      <c r="E1749" s="111"/>
      <c r="F1749" s="111"/>
      <c r="G1749" s="111"/>
      <c r="H1749" s="111"/>
      <c r="I1749" s="127"/>
      <c r="J1749" s="111"/>
      <c r="K1749" s="257"/>
      <c r="L1749" s="111"/>
      <c r="M1749" s="127"/>
      <c r="N1749" s="270"/>
      <c r="O1749" s="111"/>
      <c r="P1749" s="111"/>
      <c r="Q1749" s="128"/>
      <c r="R1749" s="124"/>
      <c r="S1749" s="125"/>
      <c r="T1749" s="126"/>
      <c r="U1749" s="126"/>
      <c r="V1749" s="126"/>
      <c r="W1749" s="126"/>
      <c r="X1749" s="126"/>
      <c r="Y1749" s="126"/>
      <c r="Z1749" s="127"/>
      <c r="AA1749" s="127"/>
      <c r="AB1749" s="127"/>
      <c r="AC1749" s="127"/>
      <c r="AD1749" s="261"/>
      <c r="AE1749" s="261"/>
      <c r="AF1749" s="261"/>
      <c r="AG1749" s="261"/>
    </row>
    <row r="1750" ht="34.5" hidden="1" customHeight="1">
      <c r="A1750" s="111"/>
      <c r="B1750" s="127"/>
      <c r="C1750" s="111"/>
      <c r="D1750" s="111"/>
      <c r="E1750" s="111"/>
      <c r="F1750" s="111"/>
      <c r="G1750" s="111"/>
      <c r="H1750" s="111"/>
      <c r="I1750" s="127"/>
      <c r="J1750" s="111"/>
      <c r="K1750" s="257"/>
      <c r="L1750" s="111"/>
      <c r="M1750" s="127"/>
      <c r="N1750" s="270"/>
      <c r="O1750" s="111"/>
      <c r="P1750" s="111"/>
      <c r="Q1750" s="128"/>
      <c r="R1750" s="124"/>
      <c r="S1750" s="125"/>
      <c r="T1750" s="126"/>
      <c r="U1750" s="126"/>
      <c r="V1750" s="126"/>
      <c r="W1750" s="126"/>
      <c r="X1750" s="126"/>
      <c r="Y1750" s="126"/>
      <c r="Z1750" s="127"/>
      <c r="AA1750" s="127"/>
      <c r="AB1750" s="127"/>
      <c r="AC1750" s="127"/>
      <c r="AD1750" s="261"/>
      <c r="AE1750" s="261"/>
      <c r="AF1750" s="261"/>
      <c r="AG1750" s="261"/>
    </row>
    <row r="1751" ht="34.5" hidden="1" customHeight="1">
      <c r="A1751" s="111"/>
      <c r="B1751" s="127"/>
      <c r="C1751" s="111"/>
      <c r="D1751" s="111"/>
      <c r="E1751" s="111"/>
      <c r="F1751" s="111"/>
      <c r="G1751" s="111"/>
      <c r="H1751" s="111"/>
      <c r="I1751" s="127"/>
      <c r="J1751" s="111"/>
      <c r="K1751" s="257"/>
      <c r="L1751" s="111"/>
      <c r="M1751" s="127"/>
      <c r="N1751" s="270"/>
      <c r="O1751" s="111"/>
      <c r="P1751" s="111"/>
      <c r="Q1751" s="128"/>
      <c r="R1751" s="124"/>
      <c r="S1751" s="125"/>
      <c r="T1751" s="126"/>
      <c r="U1751" s="126"/>
      <c r="V1751" s="126"/>
      <c r="W1751" s="126"/>
      <c r="X1751" s="126"/>
      <c r="Y1751" s="126"/>
      <c r="Z1751" s="127"/>
      <c r="AA1751" s="127"/>
      <c r="AB1751" s="127"/>
      <c r="AC1751" s="127"/>
      <c r="AD1751" s="261"/>
      <c r="AE1751" s="261"/>
      <c r="AF1751" s="261"/>
      <c r="AG1751" s="261"/>
    </row>
    <row r="1752" ht="34.5" hidden="1" customHeight="1">
      <c r="A1752" s="111"/>
      <c r="B1752" s="127"/>
      <c r="C1752" s="111"/>
      <c r="D1752" s="111"/>
      <c r="E1752" s="111"/>
      <c r="F1752" s="111"/>
      <c r="G1752" s="111"/>
      <c r="H1752" s="111"/>
      <c r="I1752" s="127"/>
      <c r="J1752" s="111"/>
      <c r="K1752" s="257"/>
      <c r="L1752" s="111"/>
      <c r="M1752" s="127"/>
      <c r="N1752" s="270"/>
      <c r="O1752" s="111"/>
      <c r="P1752" s="111"/>
      <c r="Q1752" s="128"/>
      <c r="R1752" s="124"/>
      <c r="S1752" s="125"/>
      <c r="T1752" s="126"/>
      <c r="U1752" s="126"/>
      <c r="V1752" s="126"/>
      <c r="W1752" s="126"/>
      <c r="X1752" s="126"/>
      <c r="Y1752" s="126"/>
      <c r="Z1752" s="127"/>
      <c r="AA1752" s="127"/>
      <c r="AB1752" s="127"/>
      <c r="AC1752" s="127"/>
      <c r="AD1752" s="261"/>
      <c r="AE1752" s="261"/>
      <c r="AF1752" s="261"/>
      <c r="AG1752" s="261"/>
    </row>
    <row r="1753" ht="34.5" hidden="1" customHeight="1">
      <c r="A1753" s="111"/>
      <c r="B1753" s="127"/>
      <c r="C1753" s="111"/>
      <c r="D1753" s="111"/>
      <c r="E1753" s="111"/>
      <c r="F1753" s="111"/>
      <c r="G1753" s="111"/>
      <c r="H1753" s="111"/>
      <c r="I1753" s="127"/>
      <c r="J1753" s="111"/>
      <c r="K1753" s="257"/>
      <c r="L1753" s="111"/>
      <c r="M1753" s="127"/>
      <c r="N1753" s="270"/>
      <c r="O1753" s="111"/>
      <c r="P1753" s="111"/>
      <c r="Q1753" s="128"/>
      <c r="R1753" s="124"/>
      <c r="S1753" s="125"/>
      <c r="T1753" s="126"/>
      <c r="U1753" s="126"/>
      <c r="V1753" s="126"/>
      <c r="W1753" s="126"/>
      <c r="X1753" s="126"/>
      <c r="Y1753" s="126"/>
      <c r="Z1753" s="127"/>
      <c r="AA1753" s="127"/>
      <c r="AB1753" s="127"/>
      <c r="AC1753" s="127"/>
      <c r="AD1753" s="261"/>
      <c r="AE1753" s="261"/>
      <c r="AF1753" s="261"/>
      <c r="AG1753" s="261"/>
    </row>
    <row r="1754" ht="34.5" hidden="1" customHeight="1">
      <c r="A1754" s="111"/>
      <c r="B1754" s="127"/>
      <c r="C1754" s="111"/>
      <c r="D1754" s="111"/>
      <c r="E1754" s="111"/>
      <c r="F1754" s="111"/>
      <c r="G1754" s="111"/>
      <c r="H1754" s="111"/>
      <c r="I1754" s="127"/>
      <c r="J1754" s="111"/>
      <c r="K1754" s="257"/>
      <c r="L1754" s="111"/>
      <c r="M1754" s="127"/>
      <c r="N1754" s="270"/>
      <c r="O1754" s="111"/>
      <c r="P1754" s="111"/>
      <c r="Q1754" s="128"/>
      <c r="R1754" s="124"/>
      <c r="S1754" s="125"/>
      <c r="T1754" s="126"/>
      <c r="U1754" s="126"/>
      <c r="V1754" s="126"/>
      <c r="W1754" s="126"/>
      <c r="X1754" s="126"/>
      <c r="Y1754" s="126"/>
      <c r="Z1754" s="127"/>
      <c r="AA1754" s="127"/>
      <c r="AB1754" s="127"/>
      <c r="AC1754" s="127"/>
      <c r="AD1754" s="261"/>
      <c r="AE1754" s="261"/>
      <c r="AF1754" s="261"/>
      <c r="AG1754" s="261"/>
    </row>
    <row r="1755" ht="34.5" hidden="1" customHeight="1">
      <c r="A1755" s="111"/>
      <c r="B1755" s="127"/>
      <c r="C1755" s="111"/>
      <c r="D1755" s="111"/>
      <c r="E1755" s="111"/>
      <c r="F1755" s="111"/>
      <c r="G1755" s="111"/>
      <c r="H1755" s="111"/>
      <c r="I1755" s="127"/>
      <c r="J1755" s="111"/>
      <c r="K1755" s="257"/>
      <c r="L1755" s="111"/>
      <c r="M1755" s="127"/>
      <c r="N1755" s="270"/>
      <c r="O1755" s="111"/>
      <c r="P1755" s="111"/>
      <c r="Q1755" s="128"/>
      <c r="R1755" s="124"/>
      <c r="S1755" s="125"/>
      <c r="T1755" s="126"/>
      <c r="U1755" s="126"/>
      <c r="V1755" s="126"/>
      <c r="W1755" s="126"/>
      <c r="X1755" s="126"/>
      <c r="Y1755" s="126"/>
      <c r="Z1755" s="127"/>
      <c r="AA1755" s="127"/>
      <c r="AB1755" s="127"/>
      <c r="AC1755" s="127"/>
      <c r="AD1755" s="261"/>
      <c r="AE1755" s="261"/>
      <c r="AF1755" s="261"/>
      <c r="AG1755" s="261"/>
    </row>
    <row r="1756" ht="34.5" hidden="1" customHeight="1">
      <c r="A1756" s="111"/>
      <c r="B1756" s="127"/>
      <c r="C1756" s="111"/>
      <c r="D1756" s="111"/>
      <c r="E1756" s="111"/>
      <c r="F1756" s="111"/>
      <c r="G1756" s="111"/>
      <c r="H1756" s="111"/>
      <c r="I1756" s="127"/>
      <c r="J1756" s="111"/>
      <c r="K1756" s="257"/>
      <c r="L1756" s="111"/>
      <c r="M1756" s="127"/>
      <c r="N1756" s="270"/>
      <c r="O1756" s="111"/>
      <c r="P1756" s="111"/>
      <c r="Q1756" s="128"/>
      <c r="R1756" s="124"/>
      <c r="S1756" s="125"/>
      <c r="T1756" s="126"/>
      <c r="U1756" s="126"/>
      <c r="V1756" s="126"/>
      <c r="W1756" s="126"/>
      <c r="X1756" s="126"/>
      <c r="Y1756" s="126"/>
      <c r="Z1756" s="127"/>
      <c r="AA1756" s="127"/>
      <c r="AB1756" s="127"/>
      <c r="AC1756" s="127"/>
      <c r="AD1756" s="261"/>
      <c r="AE1756" s="261"/>
      <c r="AF1756" s="261"/>
      <c r="AG1756" s="261"/>
    </row>
    <row r="1757" ht="34.5" hidden="1" customHeight="1">
      <c r="A1757" s="111"/>
      <c r="B1757" s="127"/>
      <c r="C1757" s="111"/>
      <c r="D1757" s="111"/>
      <c r="E1757" s="111"/>
      <c r="F1757" s="111"/>
      <c r="G1757" s="111"/>
      <c r="H1757" s="111"/>
      <c r="I1757" s="127"/>
      <c r="J1757" s="111"/>
      <c r="K1757" s="257"/>
      <c r="L1757" s="111"/>
      <c r="M1757" s="127"/>
      <c r="N1757" s="270"/>
      <c r="O1757" s="111"/>
      <c r="P1757" s="111"/>
      <c r="Q1757" s="128"/>
      <c r="R1757" s="124"/>
      <c r="S1757" s="125"/>
      <c r="T1757" s="126"/>
      <c r="U1757" s="126"/>
      <c r="V1757" s="126"/>
      <c r="W1757" s="126"/>
      <c r="X1757" s="126"/>
      <c r="Y1757" s="126"/>
      <c r="Z1757" s="127"/>
      <c r="AA1757" s="127"/>
      <c r="AB1757" s="127"/>
      <c r="AC1757" s="127"/>
      <c r="AD1757" s="261"/>
      <c r="AE1757" s="261"/>
      <c r="AF1757" s="261"/>
      <c r="AG1757" s="261"/>
    </row>
    <row r="1758" ht="34.5" hidden="1" customHeight="1">
      <c r="A1758" s="111"/>
      <c r="B1758" s="127"/>
      <c r="C1758" s="111"/>
      <c r="D1758" s="111"/>
      <c r="E1758" s="111"/>
      <c r="F1758" s="111"/>
      <c r="G1758" s="111"/>
      <c r="H1758" s="111"/>
      <c r="I1758" s="127"/>
      <c r="J1758" s="111"/>
      <c r="K1758" s="257"/>
      <c r="L1758" s="111"/>
      <c r="M1758" s="127"/>
      <c r="N1758" s="270"/>
      <c r="O1758" s="111"/>
      <c r="P1758" s="111"/>
      <c r="Q1758" s="128"/>
      <c r="R1758" s="124"/>
      <c r="S1758" s="125"/>
      <c r="T1758" s="126"/>
      <c r="U1758" s="126"/>
      <c r="V1758" s="126"/>
      <c r="W1758" s="126"/>
      <c r="X1758" s="126"/>
      <c r="Y1758" s="126"/>
      <c r="Z1758" s="127"/>
      <c r="AA1758" s="127"/>
      <c r="AB1758" s="127"/>
      <c r="AC1758" s="127"/>
      <c r="AD1758" s="261"/>
      <c r="AE1758" s="261"/>
      <c r="AF1758" s="261"/>
      <c r="AG1758" s="261"/>
    </row>
    <row r="1759" ht="34.5" hidden="1" customHeight="1">
      <c r="A1759" s="111"/>
      <c r="B1759" s="127"/>
      <c r="C1759" s="111"/>
      <c r="D1759" s="111"/>
      <c r="E1759" s="111"/>
      <c r="F1759" s="111"/>
      <c r="G1759" s="111"/>
      <c r="H1759" s="111"/>
      <c r="I1759" s="127"/>
      <c r="J1759" s="111"/>
      <c r="K1759" s="257"/>
      <c r="L1759" s="111"/>
      <c r="M1759" s="127"/>
      <c r="N1759" s="270"/>
      <c r="O1759" s="111"/>
      <c r="P1759" s="111"/>
      <c r="Q1759" s="128"/>
      <c r="R1759" s="124"/>
      <c r="S1759" s="125"/>
      <c r="T1759" s="126"/>
      <c r="U1759" s="126"/>
      <c r="V1759" s="126"/>
      <c r="W1759" s="126"/>
      <c r="X1759" s="126"/>
      <c r="Y1759" s="126"/>
      <c r="Z1759" s="127"/>
      <c r="AA1759" s="127"/>
      <c r="AB1759" s="127"/>
      <c r="AC1759" s="127"/>
      <c r="AD1759" s="261"/>
      <c r="AE1759" s="261"/>
      <c r="AF1759" s="261"/>
      <c r="AG1759" s="261"/>
    </row>
    <row r="1760" ht="34.5" hidden="1" customHeight="1">
      <c r="A1760" s="111"/>
      <c r="B1760" s="127"/>
      <c r="C1760" s="111"/>
      <c r="D1760" s="111"/>
      <c r="E1760" s="111"/>
      <c r="F1760" s="111"/>
      <c r="G1760" s="111"/>
      <c r="H1760" s="111"/>
      <c r="I1760" s="127"/>
      <c r="J1760" s="111"/>
      <c r="K1760" s="257"/>
      <c r="L1760" s="111"/>
      <c r="M1760" s="127"/>
      <c r="N1760" s="270"/>
      <c r="O1760" s="111"/>
      <c r="P1760" s="111"/>
      <c r="Q1760" s="128"/>
      <c r="R1760" s="124"/>
      <c r="S1760" s="125"/>
      <c r="T1760" s="126"/>
      <c r="U1760" s="126"/>
      <c r="V1760" s="126"/>
      <c r="W1760" s="126"/>
      <c r="X1760" s="126"/>
      <c r="Y1760" s="126"/>
      <c r="Z1760" s="127"/>
      <c r="AA1760" s="127"/>
      <c r="AB1760" s="127"/>
      <c r="AC1760" s="127"/>
      <c r="AD1760" s="261"/>
      <c r="AE1760" s="261"/>
      <c r="AF1760" s="261"/>
      <c r="AG1760" s="261"/>
    </row>
    <row r="1761" ht="34.5" hidden="1" customHeight="1">
      <c r="A1761" s="111"/>
      <c r="B1761" s="127"/>
      <c r="C1761" s="111"/>
      <c r="D1761" s="111"/>
      <c r="E1761" s="111"/>
      <c r="F1761" s="111"/>
      <c r="G1761" s="111"/>
      <c r="H1761" s="111"/>
      <c r="I1761" s="127"/>
      <c r="J1761" s="111"/>
      <c r="K1761" s="257"/>
      <c r="L1761" s="111"/>
      <c r="M1761" s="127"/>
      <c r="N1761" s="270"/>
      <c r="O1761" s="111"/>
      <c r="P1761" s="111"/>
      <c r="Q1761" s="128"/>
      <c r="R1761" s="124"/>
      <c r="S1761" s="125"/>
      <c r="T1761" s="126"/>
      <c r="U1761" s="126"/>
      <c r="V1761" s="126"/>
      <c r="W1761" s="126"/>
      <c r="X1761" s="126"/>
      <c r="Y1761" s="126"/>
      <c r="Z1761" s="127"/>
      <c r="AA1761" s="127"/>
      <c r="AB1761" s="127"/>
      <c r="AC1761" s="127"/>
      <c r="AD1761" s="261"/>
      <c r="AE1761" s="261"/>
      <c r="AF1761" s="261"/>
      <c r="AG1761" s="261"/>
    </row>
    <row r="1762" ht="34.5" hidden="1" customHeight="1">
      <c r="A1762" s="111"/>
      <c r="B1762" s="127"/>
      <c r="C1762" s="111"/>
      <c r="D1762" s="111"/>
      <c r="E1762" s="111"/>
      <c r="F1762" s="111"/>
      <c r="G1762" s="111"/>
      <c r="H1762" s="111"/>
      <c r="I1762" s="127"/>
      <c r="J1762" s="111"/>
      <c r="K1762" s="257"/>
      <c r="L1762" s="111"/>
      <c r="M1762" s="127"/>
      <c r="N1762" s="270"/>
      <c r="O1762" s="111"/>
      <c r="P1762" s="111"/>
      <c r="Q1762" s="128"/>
      <c r="R1762" s="124"/>
      <c r="S1762" s="125"/>
      <c r="T1762" s="126"/>
      <c r="U1762" s="126"/>
      <c r="V1762" s="126"/>
      <c r="W1762" s="126"/>
      <c r="X1762" s="126"/>
      <c r="Y1762" s="126"/>
      <c r="Z1762" s="127"/>
      <c r="AA1762" s="127"/>
      <c r="AB1762" s="127"/>
      <c r="AC1762" s="127"/>
      <c r="AD1762" s="261"/>
      <c r="AE1762" s="261"/>
      <c r="AF1762" s="261"/>
      <c r="AG1762" s="261"/>
    </row>
    <row r="1763" ht="34.5" hidden="1" customHeight="1">
      <c r="A1763" s="111"/>
      <c r="B1763" s="127"/>
      <c r="C1763" s="111"/>
      <c r="D1763" s="111"/>
      <c r="E1763" s="111"/>
      <c r="F1763" s="111"/>
      <c r="G1763" s="111"/>
      <c r="H1763" s="111"/>
      <c r="I1763" s="127"/>
      <c r="J1763" s="111"/>
      <c r="K1763" s="257"/>
      <c r="L1763" s="111"/>
      <c r="M1763" s="127"/>
      <c r="N1763" s="270"/>
      <c r="O1763" s="111"/>
      <c r="P1763" s="111"/>
      <c r="Q1763" s="128"/>
      <c r="R1763" s="124"/>
      <c r="S1763" s="125"/>
      <c r="T1763" s="126"/>
      <c r="U1763" s="126"/>
      <c r="V1763" s="126"/>
      <c r="W1763" s="126"/>
      <c r="X1763" s="126"/>
      <c r="Y1763" s="126"/>
      <c r="Z1763" s="127"/>
      <c r="AA1763" s="127"/>
      <c r="AB1763" s="127"/>
      <c r="AC1763" s="127"/>
      <c r="AD1763" s="261"/>
      <c r="AE1763" s="261"/>
      <c r="AF1763" s="261"/>
      <c r="AG1763" s="261"/>
    </row>
    <row r="1764" ht="34.5" hidden="1" customHeight="1">
      <c r="A1764" s="111"/>
      <c r="B1764" s="127"/>
      <c r="C1764" s="111"/>
      <c r="D1764" s="111"/>
      <c r="E1764" s="111"/>
      <c r="F1764" s="111"/>
      <c r="G1764" s="111"/>
      <c r="H1764" s="111"/>
      <c r="I1764" s="127"/>
      <c r="J1764" s="111"/>
      <c r="K1764" s="257"/>
      <c r="L1764" s="111"/>
      <c r="M1764" s="127"/>
      <c r="N1764" s="270"/>
      <c r="O1764" s="111"/>
      <c r="P1764" s="111"/>
      <c r="Q1764" s="128"/>
      <c r="R1764" s="124"/>
      <c r="S1764" s="125"/>
      <c r="T1764" s="126"/>
      <c r="U1764" s="126"/>
      <c r="V1764" s="126"/>
      <c r="W1764" s="126"/>
      <c r="X1764" s="126"/>
      <c r="Y1764" s="126"/>
      <c r="Z1764" s="127"/>
      <c r="AA1764" s="127"/>
      <c r="AB1764" s="127"/>
      <c r="AC1764" s="127"/>
      <c r="AD1764" s="261"/>
      <c r="AE1764" s="261"/>
      <c r="AF1764" s="261"/>
      <c r="AG1764" s="261"/>
    </row>
    <row r="1765" ht="34.5" hidden="1" customHeight="1">
      <c r="A1765" s="111"/>
      <c r="B1765" s="127"/>
      <c r="C1765" s="111"/>
      <c r="D1765" s="111"/>
      <c r="E1765" s="111"/>
      <c r="F1765" s="111"/>
      <c r="G1765" s="111"/>
      <c r="H1765" s="111"/>
      <c r="I1765" s="127"/>
      <c r="J1765" s="111"/>
      <c r="K1765" s="257"/>
      <c r="L1765" s="111"/>
      <c r="M1765" s="127"/>
      <c r="N1765" s="270"/>
      <c r="O1765" s="111"/>
      <c r="P1765" s="111"/>
      <c r="Q1765" s="128"/>
      <c r="R1765" s="124"/>
      <c r="S1765" s="125"/>
      <c r="T1765" s="126"/>
      <c r="U1765" s="126"/>
      <c r="V1765" s="126"/>
      <c r="W1765" s="126"/>
      <c r="X1765" s="126"/>
      <c r="Y1765" s="126"/>
      <c r="Z1765" s="127"/>
      <c r="AA1765" s="127"/>
      <c r="AB1765" s="127"/>
      <c r="AC1765" s="127"/>
      <c r="AD1765" s="261"/>
      <c r="AE1765" s="261"/>
      <c r="AF1765" s="261"/>
      <c r="AG1765" s="261"/>
    </row>
    <row r="1766" ht="34.5" hidden="1" customHeight="1">
      <c r="A1766" s="111"/>
      <c r="B1766" s="127"/>
      <c r="C1766" s="111"/>
      <c r="D1766" s="111"/>
      <c r="E1766" s="111"/>
      <c r="F1766" s="111"/>
      <c r="G1766" s="111"/>
      <c r="H1766" s="111"/>
      <c r="I1766" s="127"/>
      <c r="J1766" s="111"/>
      <c r="K1766" s="257"/>
      <c r="L1766" s="111"/>
      <c r="M1766" s="127"/>
      <c r="N1766" s="270"/>
      <c r="O1766" s="111"/>
      <c r="P1766" s="111"/>
      <c r="Q1766" s="128"/>
      <c r="R1766" s="124"/>
      <c r="S1766" s="125"/>
      <c r="T1766" s="126"/>
      <c r="U1766" s="126"/>
      <c r="V1766" s="126"/>
      <c r="W1766" s="126"/>
      <c r="X1766" s="126"/>
      <c r="Y1766" s="126"/>
      <c r="Z1766" s="127"/>
      <c r="AA1766" s="127"/>
      <c r="AB1766" s="127"/>
      <c r="AC1766" s="127"/>
      <c r="AD1766" s="261"/>
      <c r="AE1766" s="261"/>
      <c r="AF1766" s="261"/>
      <c r="AG1766" s="261"/>
    </row>
    <row r="1767" ht="34.5" hidden="1" customHeight="1">
      <c r="A1767" s="111"/>
      <c r="B1767" s="127"/>
      <c r="C1767" s="111"/>
      <c r="D1767" s="111"/>
      <c r="E1767" s="111"/>
      <c r="F1767" s="111"/>
      <c r="G1767" s="111"/>
      <c r="H1767" s="111"/>
      <c r="I1767" s="127"/>
      <c r="J1767" s="111"/>
      <c r="K1767" s="257"/>
      <c r="L1767" s="111"/>
      <c r="M1767" s="127"/>
      <c r="N1767" s="270"/>
      <c r="O1767" s="111"/>
      <c r="P1767" s="111"/>
      <c r="Q1767" s="128"/>
      <c r="R1767" s="124"/>
      <c r="S1767" s="125"/>
      <c r="T1767" s="126"/>
      <c r="U1767" s="126"/>
      <c r="V1767" s="126"/>
      <c r="W1767" s="126"/>
      <c r="X1767" s="126"/>
      <c r="Y1767" s="126"/>
      <c r="Z1767" s="127"/>
      <c r="AA1767" s="127"/>
      <c r="AB1767" s="127"/>
      <c r="AC1767" s="127"/>
      <c r="AD1767" s="261"/>
      <c r="AE1767" s="261"/>
      <c r="AF1767" s="261"/>
      <c r="AG1767" s="261"/>
    </row>
    <row r="1768" ht="34.5" hidden="1" customHeight="1">
      <c r="A1768" s="111"/>
      <c r="B1768" s="127"/>
      <c r="C1768" s="111"/>
      <c r="D1768" s="111"/>
      <c r="E1768" s="111"/>
      <c r="F1768" s="111"/>
      <c r="G1768" s="111"/>
      <c r="H1768" s="111"/>
      <c r="I1768" s="127"/>
      <c r="J1768" s="111"/>
      <c r="K1768" s="257"/>
      <c r="L1768" s="111"/>
      <c r="M1768" s="127"/>
      <c r="N1768" s="270"/>
      <c r="O1768" s="111"/>
      <c r="P1768" s="111"/>
      <c r="Q1768" s="128"/>
      <c r="R1768" s="124"/>
      <c r="S1768" s="125"/>
      <c r="T1768" s="126"/>
      <c r="U1768" s="126"/>
      <c r="V1768" s="126"/>
      <c r="W1768" s="126"/>
      <c r="X1768" s="126"/>
      <c r="Y1768" s="126"/>
      <c r="Z1768" s="127"/>
      <c r="AA1768" s="127"/>
      <c r="AB1768" s="127"/>
      <c r="AC1768" s="127"/>
      <c r="AD1768" s="261"/>
      <c r="AE1768" s="261"/>
      <c r="AF1768" s="261"/>
      <c r="AG1768" s="261"/>
    </row>
    <row r="1769" ht="34.5" hidden="1" customHeight="1">
      <c r="A1769" s="111"/>
      <c r="B1769" s="127"/>
      <c r="C1769" s="111"/>
      <c r="D1769" s="111"/>
      <c r="E1769" s="111"/>
      <c r="F1769" s="111"/>
      <c r="G1769" s="111"/>
      <c r="H1769" s="111"/>
      <c r="I1769" s="127"/>
      <c r="J1769" s="111"/>
      <c r="K1769" s="257"/>
      <c r="L1769" s="111"/>
      <c r="M1769" s="127"/>
      <c r="N1769" s="270"/>
      <c r="O1769" s="111"/>
      <c r="P1769" s="111"/>
      <c r="Q1769" s="128"/>
      <c r="R1769" s="124"/>
      <c r="S1769" s="125"/>
      <c r="T1769" s="126"/>
      <c r="U1769" s="126"/>
      <c r="V1769" s="126"/>
      <c r="W1769" s="126"/>
      <c r="X1769" s="126"/>
      <c r="Y1769" s="126"/>
      <c r="Z1769" s="127"/>
      <c r="AA1769" s="127"/>
      <c r="AB1769" s="127"/>
      <c r="AC1769" s="127"/>
      <c r="AD1769" s="261"/>
      <c r="AE1769" s="261"/>
      <c r="AF1769" s="261"/>
      <c r="AG1769" s="261"/>
    </row>
    <row r="1770" ht="34.5" hidden="1" customHeight="1">
      <c r="A1770" s="111"/>
      <c r="B1770" s="127"/>
      <c r="C1770" s="111"/>
      <c r="D1770" s="111"/>
      <c r="E1770" s="111"/>
      <c r="F1770" s="111"/>
      <c r="G1770" s="111"/>
      <c r="H1770" s="111"/>
      <c r="I1770" s="127"/>
      <c r="J1770" s="111"/>
      <c r="K1770" s="257"/>
      <c r="L1770" s="111"/>
      <c r="M1770" s="127"/>
      <c r="N1770" s="270"/>
      <c r="O1770" s="111"/>
      <c r="P1770" s="111"/>
      <c r="Q1770" s="128"/>
      <c r="R1770" s="124"/>
      <c r="S1770" s="125"/>
      <c r="T1770" s="126"/>
      <c r="U1770" s="126"/>
      <c r="V1770" s="126"/>
      <c r="W1770" s="126"/>
      <c r="X1770" s="126"/>
      <c r="Y1770" s="126"/>
      <c r="Z1770" s="127"/>
      <c r="AA1770" s="127"/>
      <c r="AB1770" s="127"/>
      <c r="AC1770" s="127"/>
      <c r="AD1770" s="261"/>
      <c r="AE1770" s="261"/>
      <c r="AF1770" s="261"/>
      <c r="AG1770" s="261"/>
    </row>
    <row r="1771" ht="34.5" hidden="1" customHeight="1">
      <c r="A1771" s="111"/>
      <c r="B1771" s="127"/>
      <c r="C1771" s="111"/>
      <c r="D1771" s="111"/>
      <c r="E1771" s="111"/>
      <c r="F1771" s="111"/>
      <c r="G1771" s="111"/>
      <c r="H1771" s="111"/>
      <c r="I1771" s="127"/>
      <c r="J1771" s="111"/>
      <c r="K1771" s="257"/>
      <c r="L1771" s="111"/>
      <c r="M1771" s="127"/>
      <c r="N1771" s="270"/>
      <c r="O1771" s="111"/>
      <c r="P1771" s="111"/>
      <c r="Q1771" s="128"/>
      <c r="R1771" s="124"/>
      <c r="S1771" s="125"/>
      <c r="T1771" s="126"/>
      <c r="U1771" s="126"/>
      <c r="V1771" s="126"/>
      <c r="W1771" s="126"/>
      <c r="X1771" s="126"/>
      <c r="Y1771" s="126"/>
      <c r="Z1771" s="127"/>
      <c r="AA1771" s="127"/>
      <c r="AB1771" s="127"/>
      <c r="AC1771" s="127"/>
      <c r="AD1771" s="261"/>
      <c r="AE1771" s="261"/>
      <c r="AF1771" s="261"/>
      <c r="AG1771" s="261"/>
    </row>
    <row r="1772" ht="34.5" hidden="1" customHeight="1">
      <c r="A1772" s="111"/>
      <c r="B1772" s="127"/>
      <c r="C1772" s="111"/>
      <c r="D1772" s="111"/>
      <c r="E1772" s="111"/>
      <c r="F1772" s="111"/>
      <c r="G1772" s="111"/>
      <c r="H1772" s="111"/>
      <c r="I1772" s="127"/>
      <c r="J1772" s="111"/>
      <c r="K1772" s="257"/>
      <c r="L1772" s="111"/>
      <c r="M1772" s="127"/>
      <c r="N1772" s="270"/>
      <c r="O1772" s="111"/>
      <c r="P1772" s="111"/>
      <c r="Q1772" s="128"/>
      <c r="R1772" s="124"/>
      <c r="S1772" s="125"/>
      <c r="T1772" s="126"/>
      <c r="U1772" s="126"/>
      <c r="V1772" s="126"/>
      <c r="W1772" s="126"/>
      <c r="X1772" s="126"/>
      <c r="Y1772" s="126"/>
      <c r="Z1772" s="127"/>
      <c r="AA1772" s="127"/>
      <c r="AB1772" s="127"/>
      <c r="AC1772" s="127"/>
      <c r="AD1772" s="261"/>
      <c r="AE1772" s="261"/>
      <c r="AF1772" s="261"/>
      <c r="AG1772" s="261"/>
    </row>
    <row r="1773" ht="34.5" hidden="1" customHeight="1">
      <c r="A1773" s="111"/>
      <c r="B1773" s="127"/>
      <c r="C1773" s="111"/>
      <c r="D1773" s="111"/>
      <c r="E1773" s="111"/>
      <c r="F1773" s="111"/>
      <c r="G1773" s="111"/>
      <c r="H1773" s="111"/>
      <c r="I1773" s="127"/>
      <c r="J1773" s="111"/>
      <c r="K1773" s="257"/>
      <c r="L1773" s="111"/>
      <c r="M1773" s="127"/>
      <c r="N1773" s="270"/>
      <c r="O1773" s="111"/>
      <c r="P1773" s="111"/>
      <c r="Q1773" s="128"/>
      <c r="R1773" s="124"/>
      <c r="S1773" s="125"/>
      <c r="T1773" s="126"/>
      <c r="U1773" s="126"/>
      <c r="V1773" s="126"/>
      <c r="W1773" s="126"/>
      <c r="X1773" s="126"/>
      <c r="Y1773" s="126"/>
      <c r="Z1773" s="127"/>
      <c r="AA1773" s="127"/>
      <c r="AB1773" s="127"/>
      <c r="AC1773" s="127"/>
      <c r="AD1773" s="261"/>
      <c r="AE1773" s="261"/>
      <c r="AF1773" s="261"/>
      <c r="AG1773" s="261"/>
    </row>
    <row r="1774" ht="34.5" hidden="1" customHeight="1">
      <c r="A1774" s="111"/>
      <c r="B1774" s="127"/>
      <c r="C1774" s="111"/>
      <c r="D1774" s="111"/>
      <c r="E1774" s="111"/>
      <c r="F1774" s="111"/>
      <c r="G1774" s="111"/>
      <c r="H1774" s="111"/>
      <c r="I1774" s="127"/>
      <c r="J1774" s="111"/>
      <c r="K1774" s="257"/>
      <c r="L1774" s="111"/>
      <c r="M1774" s="127"/>
      <c r="N1774" s="270"/>
      <c r="O1774" s="111"/>
      <c r="P1774" s="111"/>
      <c r="Q1774" s="128"/>
      <c r="R1774" s="124"/>
      <c r="S1774" s="125"/>
      <c r="T1774" s="126"/>
      <c r="U1774" s="126"/>
      <c r="V1774" s="126"/>
      <c r="W1774" s="126"/>
      <c r="X1774" s="126"/>
      <c r="Y1774" s="126"/>
      <c r="Z1774" s="127"/>
      <c r="AA1774" s="127"/>
      <c r="AB1774" s="127"/>
      <c r="AC1774" s="127"/>
      <c r="AD1774" s="261"/>
      <c r="AE1774" s="261"/>
      <c r="AF1774" s="261"/>
      <c r="AG1774" s="261"/>
    </row>
    <row r="1775" ht="34.5" hidden="1" customHeight="1">
      <c r="A1775" s="111"/>
      <c r="B1775" s="127"/>
      <c r="C1775" s="111"/>
      <c r="D1775" s="111"/>
      <c r="E1775" s="111"/>
      <c r="F1775" s="111"/>
      <c r="G1775" s="111"/>
      <c r="H1775" s="111"/>
      <c r="I1775" s="127"/>
      <c r="J1775" s="111"/>
      <c r="K1775" s="257"/>
      <c r="L1775" s="111"/>
      <c r="M1775" s="127"/>
      <c r="N1775" s="270"/>
      <c r="O1775" s="111"/>
      <c r="P1775" s="111"/>
      <c r="Q1775" s="128"/>
      <c r="R1775" s="124"/>
      <c r="S1775" s="125"/>
      <c r="T1775" s="126"/>
      <c r="U1775" s="126"/>
      <c r="V1775" s="126"/>
      <c r="W1775" s="126"/>
      <c r="X1775" s="126"/>
      <c r="Y1775" s="126"/>
      <c r="Z1775" s="127"/>
      <c r="AA1775" s="127"/>
      <c r="AB1775" s="127"/>
      <c r="AC1775" s="127"/>
      <c r="AD1775" s="261"/>
      <c r="AE1775" s="261"/>
      <c r="AF1775" s="261"/>
      <c r="AG1775" s="261"/>
    </row>
    <row r="1776" ht="34.5" hidden="1" customHeight="1">
      <c r="A1776" s="111"/>
      <c r="B1776" s="127"/>
      <c r="C1776" s="111"/>
      <c r="D1776" s="111"/>
      <c r="E1776" s="111"/>
      <c r="F1776" s="111"/>
      <c r="G1776" s="111"/>
      <c r="H1776" s="111"/>
      <c r="I1776" s="127"/>
      <c r="J1776" s="111"/>
      <c r="K1776" s="257"/>
      <c r="L1776" s="111"/>
      <c r="M1776" s="127"/>
      <c r="N1776" s="270"/>
      <c r="O1776" s="111"/>
      <c r="P1776" s="111"/>
      <c r="Q1776" s="128"/>
      <c r="R1776" s="124"/>
      <c r="S1776" s="125"/>
      <c r="T1776" s="126"/>
      <c r="U1776" s="126"/>
      <c r="V1776" s="126"/>
      <c r="W1776" s="126"/>
      <c r="X1776" s="126"/>
      <c r="Y1776" s="126"/>
      <c r="Z1776" s="127"/>
      <c r="AA1776" s="127"/>
      <c r="AB1776" s="127"/>
      <c r="AC1776" s="127"/>
      <c r="AD1776" s="261"/>
      <c r="AE1776" s="261"/>
      <c r="AF1776" s="261"/>
      <c r="AG1776" s="261"/>
    </row>
    <row r="1777" ht="34.5" hidden="1" customHeight="1">
      <c r="A1777" s="111"/>
      <c r="B1777" s="127"/>
      <c r="C1777" s="111"/>
      <c r="D1777" s="111"/>
      <c r="E1777" s="111"/>
      <c r="F1777" s="111"/>
      <c r="G1777" s="111"/>
      <c r="H1777" s="111"/>
      <c r="I1777" s="127"/>
      <c r="J1777" s="111"/>
      <c r="K1777" s="257"/>
      <c r="L1777" s="111"/>
      <c r="M1777" s="127"/>
      <c r="N1777" s="270"/>
      <c r="O1777" s="111"/>
      <c r="P1777" s="111"/>
      <c r="Q1777" s="128"/>
      <c r="R1777" s="124"/>
      <c r="S1777" s="125"/>
      <c r="T1777" s="126"/>
      <c r="U1777" s="126"/>
      <c r="V1777" s="126"/>
      <c r="W1777" s="126"/>
      <c r="X1777" s="126"/>
      <c r="Y1777" s="126"/>
      <c r="Z1777" s="127"/>
      <c r="AA1777" s="127"/>
      <c r="AB1777" s="127"/>
      <c r="AC1777" s="127"/>
      <c r="AD1777" s="261"/>
      <c r="AE1777" s="261"/>
      <c r="AF1777" s="261"/>
      <c r="AG1777" s="261"/>
    </row>
    <row r="1778" ht="34.5" hidden="1" customHeight="1">
      <c r="A1778" s="111"/>
      <c r="B1778" s="127"/>
      <c r="C1778" s="111"/>
      <c r="D1778" s="111"/>
      <c r="E1778" s="111"/>
      <c r="F1778" s="111"/>
      <c r="G1778" s="111"/>
      <c r="H1778" s="111"/>
      <c r="I1778" s="127"/>
      <c r="J1778" s="111"/>
      <c r="K1778" s="257"/>
      <c r="L1778" s="111"/>
      <c r="M1778" s="127"/>
      <c r="N1778" s="270"/>
      <c r="O1778" s="111"/>
      <c r="P1778" s="111"/>
      <c r="Q1778" s="128"/>
      <c r="R1778" s="124"/>
      <c r="S1778" s="125"/>
      <c r="T1778" s="126"/>
      <c r="U1778" s="126"/>
      <c r="V1778" s="126"/>
      <c r="W1778" s="126"/>
      <c r="X1778" s="126"/>
      <c r="Y1778" s="126"/>
      <c r="Z1778" s="127"/>
      <c r="AA1778" s="127"/>
      <c r="AB1778" s="127"/>
      <c r="AC1778" s="127"/>
      <c r="AD1778" s="261"/>
      <c r="AE1778" s="261"/>
      <c r="AF1778" s="261"/>
      <c r="AG1778" s="261"/>
    </row>
    <row r="1779" ht="34.5" hidden="1" customHeight="1">
      <c r="A1779" s="111"/>
      <c r="B1779" s="127"/>
      <c r="C1779" s="111"/>
      <c r="D1779" s="111"/>
      <c r="E1779" s="111"/>
      <c r="F1779" s="111"/>
      <c r="G1779" s="111"/>
      <c r="H1779" s="111"/>
      <c r="I1779" s="127"/>
      <c r="J1779" s="111"/>
      <c r="K1779" s="257"/>
      <c r="L1779" s="111"/>
      <c r="M1779" s="127"/>
      <c r="N1779" s="270"/>
      <c r="O1779" s="111"/>
      <c r="P1779" s="111"/>
      <c r="Q1779" s="128"/>
      <c r="R1779" s="124"/>
      <c r="S1779" s="125"/>
      <c r="T1779" s="126"/>
      <c r="U1779" s="126"/>
      <c r="V1779" s="126"/>
      <c r="W1779" s="126"/>
      <c r="X1779" s="126"/>
      <c r="Y1779" s="126"/>
      <c r="Z1779" s="127"/>
      <c r="AA1779" s="127"/>
      <c r="AB1779" s="127"/>
      <c r="AC1779" s="127"/>
      <c r="AD1779" s="261"/>
      <c r="AE1779" s="261"/>
      <c r="AF1779" s="261"/>
      <c r="AG1779" s="261"/>
    </row>
    <row r="1780" ht="34.5" hidden="1" customHeight="1">
      <c r="A1780" s="111"/>
      <c r="B1780" s="127"/>
      <c r="C1780" s="111"/>
      <c r="D1780" s="111"/>
      <c r="E1780" s="111"/>
      <c r="F1780" s="111"/>
      <c r="G1780" s="111"/>
      <c r="H1780" s="111"/>
      <c r="I1780" s="127"/>
      <c r="J1780" s="111"/>
      <c r="K1780" s="257"/>
      <c r="L1780" s="111"/>
      <c r="M1780" s="127"/>
      <c r="N1780" s="270"/>
      <c r="O1780" s="111"/>
      <c r="P1780" s="111"/>
      <c r="Q1780" s="128"/>
      <c r="R1780" s="124"/>
      <c r="S1780" s="125"/>
      <c r="T1780" s="126"/>
      <c r="U1780" s="126"/>
      <c r="V1780" s="126"/>
      <c r="W1780" s="126"/>
      <c r="X1780" s="126"/>
      <c r="Y1780" s="126"/>
      <c r="Z1780" s="127"/>
      <c r="AA1780" s="127"/>
      <c r="AB1780" s="127"/>
      <c r="AC1780" s="127"/>
      <c r="AD1780" s="261"/>
      <c r="AE1780" s="261"/>
      <c r="AF1780" s="261"/>
      <c r="AG1780" s="261"/>
    </row>
    <row r="1781" ht="34.5" hidden="1" customHeight="1">
      <c r="A1781" s="111"/>
      <c r="B1781" s="127"/>
      <c r="C1781" s="111"/>
      <c r="D1781" s="111"/>
      <c r="E1781" s="111"/>
      <c r="F1781" s="111"/>
      <c r="G1781" s="111"/>
      <c r="H1781" s="111"/>
      <c r="I1781" s="127"/>
      <c r="J1781" s="111"/>
      <c r="K1781" s="257"/>
      <c r="L1781" s="111"/>
      <c r="M1781" s="127"/>
      <c r="N1781" s="270"/>
      <c r="O1781" s="111"/>
      <c r="P1781" s="111"/>
      <c r="Q1781" s="128"/>
      <c r="R1781" s="124"/>
      <c r="S1781" s="125"/>
      <c r="T1781" s="126"/>
      <c r="U1781" s="126"/>
      <c r="V1781" s="126"/>
      <c r="W1781" s="126"/>
      <c r="X1781" s="126"/>
      <c r="Y1781" s="126"/>
      <c r="Z1781" s="127"/>
      <c r="AA1781" s="127"/>
      <c r="AB1781" s="127"/>
      <c r="AC1781" s="127"/>
      <c r="AD1781" s="261"/>
      <c r="AE1781" s="261"/>
      <c r="AF1781" s="261"/>
      <c r="AG1781" s="261"/>
    </row>
    <row r="1782" ht="34.5" hidden="1" customHeight="1">
      <c r="A1782" s="111"/>
      <c r="B1782" s="127"/>
      <c r="C1782" s="111"/>
      <c r="D1782" s="111"/>
      <c r="E1782" s="111"/>
      <c r="F1782" s="111"/>
      <c r="G1782" s="111"/>
      <c r="H1782" s="111"/>
      <c r="I1782" s="127"/>
      <c r="J1782" s="111"/>
      <c r="K1782" s="257"/>
      <c r="L1782" s="111"/>
      <c r="M1782" s="127"/>
      <c r="N1782" s="270"/>
      <c r="O1782" s="111"/>
      <c r="P1782" s="111"/>
      <c r="Q1782" s="128"/>
      <c r="R1782" s="124"/>
      <c r="S1782" s="125"/>
      <c r="T1782" s="126"/>
      <c r="U1782" s="126"/>
      <c r="V1782" s="126"/>
      <c r="W1782" s="126"/>
      <c r="X1782" s="126"/>
      <c r="Y1782" s="126"/>
      <c r="Z1782" s="127"/>
      <c r="AA1782" s="127"/>
      <c r="AB1782" s="127"/>
      <c r="AC1782" s="127"/>
      <c r="AD1782" s="261"/>
      <c r="AE1782" s="261"/>
      <c r="AF1782" s="261"/>
      <c r="AG1782" s="261"/>
    </row>
    <row r="1783" ht="34.5" hidden="1" customHeight="1">
      <c r="A1783" s="111"/>
      <c r="B1783" s="127"/>
      <c r="C1783" s="111"/>
      <c r="D1783" s="111"/>
      <c r="E1783" s="111"/>
      <c r="F1783" s="111"/>
      <c r="G1783" s="111"/>
      <c r="H1783" s="111"/>
      <c r="I1783" s="127"/>
      <c r="J1783" s="111"/>
      <c r="K1783" s="257"/>
      <c r="L1783" s="111"/>
      <c r="M1783" s="127"/>
      <c r="N1783" s="270"/>
      <c r="O1783" s="111"/>
      <c r="P1783" s="111"/>
      <c r="Q1783" s="128"/>
      <c r="R1783" s="124"/>
      <c r="S1783" s="125"/>
      <c r="T1783" s="126"/>
      <c r="U1783" s="126"/>
      <c r="V1783" s="126"/>
      <c r="W1783" s="126"/>
      <c r="X1783" s="126"/>
      <c r="Y1783" s="126"/>
      <c r="Z1783" s="127"/>
      <c r="AA1783" s="127"/>
      <c r="AB1783" s="127"/>
      <c r="AC1783" s="127"/>
      <c r="AD1783" s="261"/>
      <c r="AE1783" s="261"/>
      <c r="AF1783" s="261"/>
      <c r="AG1783" s="261"/>
    </row>
    <row r="1784" ht="34.5" hidden="1" customHeight="1">
      <c r="A1784" s="111"/>
      <c r="B1784" s="127"/>
      <c r="C1784" s="111"/>
      <c r="D1784" s="111"/>
      <c r="E1784" s="111"/>
      <c r="F1784" s="111"/>
      <c r="G1784" s="111"/>
      <c r="H1784" s="111"/>
      <c r="I1784" s="127"/>
      <c r="J1784" s="111"/>
      <c r="K1784" s="257"/>
      <c r="L1784" s="111"/>
      <c r="M1784" s="127"/>
      <c r="N1784" s="270"/>
      <c r="O1784" s="111"/>
      <c r="P1784" s="111"/>
      <c r="Q1784" s="128"/>
      <c r="R1784" s="124"/>
      <c r="S1784" s="125"/>
      <c r="T1784" s="126"/>
      <c r="U1784" s="126"/>
      <c r="V1784" s="126"/>
      <c r="W1784" s="126"/>
      <c r="X1784" s="126"/>
      <c r="Y1784" s="126"/>
      <c r="Z1784" s="127"/>
      <c r="AA1784" s="127"/>
      <c r="AB1784" s="127"/>
      <c r="AC1784" s="127"/>
      <c r="AD1784" s="261"/>
      <c r="AE1784" s="261"/>
      <c r="AF1784" s="261"/>
      <c r="AG1784" s="261"/>
    </row>
    <row r="1785" ht="34.5" hidden="1" customHeight="1">
      <c r="A1785" s="111"/>
      <c r="B1785" s="127"/>
      <c r="C1785" s="111"/>
      <c r="D1785" s="111"/>
      <c r="E1785" s="111"/>
      <c r="F1785" s="111"/>
      <c r="G1785" s="111"/>
      <c r="H1785" s="111"/>
      <c r="I1785" s="127"/>
      <c r="J1785" s="111"/>
      <c r="K1785" s="257"/>
      <c r="L1785" s="111"/>
      <c r="M1785" s="127"/>
      <c r="N1785" s="270"/>
      <c r="O1785" s="111"/>
      <c r="P1785" s="111"/>
      <c r="Q1785" s="128"/>
      <c r="R1785" s="124"/>
      <c r="S1785" s="125"/>
      <c r="T1785" s="126"/>
      <c r="U1785" s="126"/>
      <c r="V1785" s="126"/>
      <c r="W1785" s="126"/>
      <c r="X1785" s="126"/>
      <c r="Y1785" s="126"/>
      <c r="Z1785" s="127"/>
      <c r="AA1785" s="127"/>
      <c r="AB1785" s="127"/>
      <c r="AC1785" s="127"/>
      <c r="AD1785" s="261"/>
      <c r="AE1785" s="261"/>
      <c r="AF1785" s="261"/>
      <c r="AG1785" s="261"/>
    </row>
    <row r="1786" ht="34.5" hidden="1" customHeight="1">
      <c r="A1786" s="111"/>
      <c r="B1786" s="127"/>
      <c r="C1786" s="111"/>
      <c r="D1786" s="111"/>
      <c r="E1786" s="111"/>
      <c r="F1786" s="111"/>
      <c r="G1786" s="111"/>
      <c r="H1786" s="111"/>
      <c r="I1786" s="127"/>
      <c r="J1786" s="111"/>
      <c r="K1786" s="257"/>
      <c r="L1786" s="111"/>
      <c r="M1786" s="127"/>
      <c r="N1786" s="270"/>
      <c r="O1786" s="111"/>
      <c r="P1786" s="111"/>
      <c r="Q1786" s="128"/>
      <c r="R1786" s="124"/>
      <c r="S1786" s="125"/>
      <c r="T1786" s="126"/>
      <c r="U1786" s="126"/>
      <c r="V1786" s="126"/>
      <c r="W1786" s="126"/>
      <c r="X1786" s="126"/>
      <c r="Y1786" s="126"/>
      <c r="Z1786" s="127"/>
      <c r="AA1786" s="127"/>
      <c r="AB1786" s="127"/>
      <c r="AC1786" s="127"/>
      <c r="AD1786" s="261"/>
      <c r="AE1786" s="261"/>
      <c r="AF1786" s="261"/>
      <c r="AG1786" s="261"/>
    </row>
    <row r="1787" ht="34.5" hidden="1" customHeight="1">
      <c r="A1787" s="111"/>
      <c r="B1787" s="127"/>
      <c r="C1787" s="111"/>
      <c r="D1787" s="111"/>
      <c r="E1787" s="111"/>
      <c r="F1787" s="111"/>
      <c r="G1787" s="111"/>
      <c r="H1787" s="111"/>
      <c r="I1787" s="127"/>
      <c r="J1787" s="111"/>
      <c r="K1787" s="257"/>
      <c r="L1787" s="111"/>
      <c r="M1787" s="127"/>
      <c r="N1787" s="270"/>
      <c r="O1787" s="111"/>
      <c r="P1787" s="111"/>
      <c r="Q1787" s="128"/>
      <c r="R1787" s="124"/>
      <c r="S1787" s="125"/>
      <c r="T1787" s="126"/>
      <c r="U1787" s="126"/>
      <c r="V1787" s="126"/>
      <c r="W1787" s="126"/>
      <c r="X1787" s="126"/>
      <c r="Y1787" s="126"/>
      <c r="Z1787" s="127"/>
      <c r="AA1787" s="127"/>
      <c r="AB1787" s="127"/>
      <c r="AC1787" s="127"/>
      <c r="AD1787" s="261"/>
      <c r="AE1787" s="261"/>
      <c r="AF1787" s="261"/>
      <c r="AG1787" s="261"/>
    </row>
    <row r="1788" ht="34.5" hidden="1" customHeight="1">
      <c r="A1788" s="111"/>
      <c r="B1788" s="127"/>
      <c r="C1788" s="111"/>
      <c r="D1788" s="111"/>
      <c r="E1788" s="111"/>
      <c r="F1788" s="111"/>
      <c r="G1788" s="111"/>
      <c r="H1788" s="111"/>
      <c r="I1788" s="127"/>
      <c r="J1788" s="111"/>
      <c r="K1788" s="257"/>
      <c r="L1788" s="111"/>
      <c r="M1788" s="127"/>
      <c r="N1788" s="270"/>
      <c r="O1788" s="111"/>
      <c r="P1788" s="111"/>
      <c r="Q1788" s="128"/>
      <c r="R1788" s="124"/>
      <c r="S1788" s="125"/>
      <c r="T1788" s="126"/>
      <c r="U1788" s="126"/>
      <c r="V1788" s="126"/>
      <c r="W1788" s="126"/>
      <c r="X1788" s="126"/>
      <c r="Y1788" s="126"/>
      <c r="Z1788" s="127"/>
      <c r="AA1788" s="127"/>
      <c r="AB1788" s="127"/>
      <c r="AC1788" s="127"/>
      <c r="AD1788" s="261"/>
      <c r="AE1788" s="261"/>
      <c r="AF1788" s="261"/>
      <c r="AG1788" s="261"/>
    </row>
    <row r="1789" ht="34.5" hidden="1" customHeight="1">
      <c r="A1789" s="111"/>
      <c r="B1789" s="127"/>
      <c r="C1789" s="111"/>
      <c r="D1789" s="111"/>
      <c r="E1789" s="111"/>
      <c r="F1789" s="111"/>
      <c r="G1789" s="111"/>
      <c r="H1789" s="111"/>
      <c r="I1789" s="127"/>
      <c r="J1789" s="111"/>
      <c r="K1789" s="257"/>
      <c r="L1789" s="111"/>
      <c r="M1789" s="127"/>
      <c r="N1789" s="270"/>
      <c r="O1789" s="111"/>
      <c r="P1789" s="111"/>
      <c r="Q1789" s="128"/>
      <c r="R1789" s="124"/>
      <c r="S1789" s="125"/>
      <c r="T1789" s="126"/>
      <c r="U1789" s="126"/>
      <c r="V1789" s="126"/>
      <c r="W1789" s="126"/>
      <c r="X1789" s="126"/>
      <c r="Y1789" s="126"/>
      <c r="Z1789" s="127"/>
      <c r="AA1789" s="127"/>
      <c r="AB1789" s="127"/>
      <c r="AC1789" s="127"/>
      <c r="AD1789" s="261"/>
      <c r="AE1789" s="261"/>
      <c r="AF1789" s="261"/>
      <c r="AG1789" s="261"/>
    </row>
    <row r="1790" ht="34.5" hidden="1" customHeight="1">
      <c r="A1790" s="111"/>
      <c r="B1790" s="127"/>
      <c r="C1790" s="111"/>
      <c r="D1790" s="111"/>
      <c r="E1790" s="111"/>
      <c r="F1790" s="111"/>
      <c r="G1790" s="111"/>
      <c r="H1790" s="111"/>
      <c r="I1790" s="127"/>
      <c r="J1790" s="111"/>
      <c r="K1790" s="257"/>
      <c r="L1790" s="111"/>
      <c r="M1790" s="127"/>
      <c r="N1790" s="270"/>
      <c r="O1790" s="111"/>
      <c r="P1790" s="111"/>
      <c r="Q1790" s="128"/>
      <c r="R1790" s="124"/>
      <c r="S1790" s="125"/>
      <c r="T1790" s="126"/>
      <c r="U1790" s="126"/>
      <c r="V1790" s="126"/>
      <c r="W1790" s="126"/>
      <c r="X1790" s="126"/>
      <c r="Y1790" s="126"/>
      <c r="Z1790" s="127"/>
      <c r="AA1790" s="127"/>
      <c r="AB1790" s="127"/>
      <c r="AC1790" s="127"/>
      <c r="AD1790" s="261"/>
      <c r="AE1790" s="261"/>
      <c r="AF1790" s="261"/>
      <c r="AG1790" s="261"/>
    </row>
    <row r="1791" ht="34.5" hidden="1" customHeight="1">
      <c r="A1791" s="111"/>
      <c r="B1791" s="127"/>
      <c r="C1791" s="111"/>
      <c r="D1791" s="111"/>
      <c r="E1791" s="111"/>
      <c r="F1791" s="111"/>
      <c r="G1791" s="111"/>
      <c r="H1791" s="111"/>
      <c r="I1791" s="127"/>
      <c r="J1791" s="111"/>
      <c r="K1791" s="111"/>
      <c r="L1791" s="111"/>
      <c r="M1791" s="127"/>
      <c r="N1791" s="270"/>
      <c r="O1791" s="111"/>
      <c r="P1791" s="111"/>
      <c r="Q1791" s="127"/>
      <c r="R1791" s="124"/>
      <c r="S1791" s="125"/>
      <c r="T1791" s="125"/>
      <c r="U1791" s="125"/>
      <c r="V1791" s="125"/>
      <c r="W1791" s="125"/>
      <c r="X1791" s="125"/>
      <c r="Y1791" s="125"/>
      <c r="Z1791" s="127"/>
      <c r="AA1791" s="127"/>
      <c r="AB1791" s="127"/>
      <c r="AC1791" s="127"/>
      <c r="AD1791" s="261"/>
      <c r="AE1791" s="261"/>
      <c r="AF1791" s="261"/>
      <c r="AG1791" s="261"/>
    </row>
    <row r="1792" ht="34.5" hidden="1" customHeight="1">
      <c r="A1792" s="111"/>
      <c r="B1792" s="127"/>
      <c r="C1792" s="111"/>
      <c r="D1792" s="111"/>
      <c r="E1792" s="111"/>
      <c r="F1792" s="111"/>
      <c r="G1792" s="111"/>
      <c r="H1792" s="111"/>
      <c r="I1792" s="127"/>
      <c r="J1792" s="111"/>
      <c r="K1792" s="111"/>
      <c r="L1792" s="111"/>
      <c r="M1792" s="127"/>
      <c r="N1792" s="270"/>
      <c r="O1792" s="111"/>
      <c r="P1792" s="111"/>
      <c r="Q1792" s="127"/>
      <c r="R1792" s="124"/>
      <c r="S1792" s="125"/>
      <c r="T1792" s="125"/>
      <c r="U1792" s="125"/>
      <c r="V1792" s="125"/>
      <c r="W1792" s="125"/>
      <c r="X1792" s="125"/>
      <c r="Y1792" s="125"/>
      <c r="Z1792" s="127"/>
      <c r="AA1792" s="127"/>
      <c r="AB1792" s="127"/>
      <c r="AC1792" s="127"/>
      <c r="AD1792" s="261"/>
      <c r="AE1792" s="261"/>
      <c r="AF1792" s="261"/>
      <c r="AG1792" s="261"/>
    </row>
    <row r="1793" ht="34.5" hidden="1" customHeight="1">
      <c r="A1793" s="111"/>
      <c r="B1793" s="127"/>
      <c r="C1793" s="111"/>
      <c r="D1793" s="111"/>
      <c r="E1793" s="111"/>
      <c r="F1793" s="111"/>
      <c r="G1793" s="111"/>
      <c r="H1793" s="111"/>
      <c r="I1793" s="127"/>
      <c r="J1793" s="111"/>
      <c r="K1793" s="111"/>
      <c r="L1793" s="111"/>
      <c r="M1793" s="127"/>
      <c r="N1793" s="270"/>
      <c r="O1793" s="111"/>
      <c r="P1793" s="111"/>
      <c r="Q1793" s="127"/>
      <c r="R1793" s="124"/>
      <c r="S1793" s="125"/>
      <c r="T1793" s="125"/>
      <c r="U1793" s="125"/>
      <c r="V1793" s="125"/>
      <c r="W1793" s="125"/>
      <c r="X1793" s="125"/>
      <c r="Y1793" s="125"/>
      <c r="Z1793" s="127"/>
      <c r="AA1793" s="127"/>
      <c r="AB1793" s="127"/>
      <c r="AC1793" s="127"/>
      <c r="AD1793" s="261"/>
      <c r="AE1793" s="261"/>
      <c r="AF1793" s="261"/>
      <c r="AG1793" s="261"/>
    </row>
    <row r="1794" ht="34.5" hidden="1" customHeight="1">
      <c r="A1794" s="111"/>
      <c r="B1794" s="127"/>
      <c r="C1794" s="111"/>
      <c r="D1794" s="111"/>
      <c r="E1794" s="111"/>
      <c r="F1794" s="111"/>
      <c r="G1794" s="111"/>
      <c r="H1794" s="111"/>
      <c r="I1794" s="127"/>
      <c r="J1794" s="111"/>
      <c r="K1794" s="111"/>
      <c r="L1794" s="111"/>
      <c r="M1794" s="127"/>
      <c r="N1794" s="270"/>
      <c r="O1794" s="111"/>
      <c r="P1794" s="111"/>
      <c r="Q1794" s="127"/>
      <c r="R1794" s="124"/>
      <c r="S1794" s="125"/>
      <c r="T1794" s="125"/>
      <c r="U1794" s="125"/>
      <c r="V1794" s="125"/>
      <c r="W1794" s="125"/>
      <c r="X1794" s="125"/>
      <c r="Y1794" s="125"/>
      <c r="Z1794" s="127"/>
      <c r="AA1794" s="127"/>
      <c r="AB1794" s="127"/>
      <c r="AC1794" s="127"/>
      <c r="AD1794" s="261"/>
      <c r="AE1794" s="261"/>
      <c r="AF1794" s="261"/>
      <c r="AG1794" s="261"/>
    </row>
    <row r="1795" ht="34.5" hidden="1" customHeight="1">
      <c r="A1795" s="111"/>
      <c r="B1795" s="127"/>
      <c r="C1795" s="111"/>
      <c r="D1795" s="111"/>
      <c r="E1795" s="111"/>
      <c r="F1795" s="111"/>
      <c r="G1795" s="111"/>
      <c r="H1795" s="111"/>
      <c r="I1795" s="127"/>
      <c r="J1795" s="111"/>
      <c r="K1795" s="111"/>
      <c r="L1795" s="111"/>
      <c r="M1795" s="127"/>
      <c r="N1795" s="270"/>
      <c r="O1795" s="111"/>
      <c r="P1795" s="111"/>
      <c r="Q1795" s="127"/>
      <c r="R1795" s="124"/>
      <c r="S1795" s="125"/>
      <c r="T1795" s="125"/>
      <c r="U1795" s="125"/>
      <c r="V1795" s="125"/>
      <c r="W1795" s="125"/>
      <c r="X1795" s="125"/>
      <c r="Y1795" s="125"/>
      <c r="Z1795" s="127"/>
      <c r="AA1795" s="127"/>
      <c r="AB1795" s="127"/>
      <c r="AC1795" s="127"/>
      <c r="AD1795" s="261"/>
      <c r="AE1795" s="261"/>
      <c r="AF1795" s="261"/>
      <c r="AG1795" s="261"/>
    </row>
    <row r="1796" ht="34.5" hidden="1" customHeight="1">
      <c r="A1796" s="111"/>
      <c r="B1796" s="127"/>
      <c r="C1796" s="111"/>
      <c r="D1796" s="111"/>
      <c r="E1796" s="111"/>
      <c r="F1796" s="111"/>
      <c r="G1796" s="111"/>
      <c r="H1796" s="111"/>
      <c r="I1796" s="127"/>
      <c r="J1796" s="111"/>
      <c r="K1796" s="111"/>
      <c r="L1796" s="111"/>
      <c r="M1796" s="127"/>
      <c r="N1796" s="270"/>
      <c r="O1796" s="111"/>
      <c r="P1796" s="111"/>
      <c r="Q1796" s="127"/>
      <c r="R1796" s="124"/>
      <c r="S1796" s="125"/>
      <c r="T1796" s="125"/>
      <c r="U1796" s="125"/>
      <c r="V1796" s="125"/>
      <c r="W1796" s="125"/>
      <c r="X1796" s="125"/>
      <c r="Y1796" s="125"/>
      <c r="Z1796" s="127"/>
      <c r="AA1796" s="127"/>
      <c r="AB1796" s="127"/>
      <c r="AC1796" s="127"/>
      <c r="AD1796" s="261"/>
      <c r="AE1796" s="261"/>
      <c r="AF1796" s="261"/>
      <c r="AG1796" s="261"/>
    </row>
    <row r="1797" ht="34.5" hidden="1" customHeight="1">
      <c r="A1797" s="111"/>
      <c r="B1797" s="127"/>
      <c r="C1797" s="111"/>
      <c r="D1797" s="111"/>
      <c r="E1797" s="111"/>
      <c r="F1797" s="111"/>
      <c r="G1797" s="111"/>
      <c r="H1797" s="111"/>
      <c r="I1797" s="127"/>
      <c r="J1797" s="111"/>
      <c r="K1797" s="111"/>
      <c r="L1797" s="111"/>
      <c r="M1797" s="127"/>
      <c r="N1797" s="270"/>
      <c r="O1797" s="111"/>
      <c r="P1797" s="111"/>
      <c r="Q1797" s="127"/>
      <c r="R1797" s="124"/>
      <c r="S1797" s="125"/>
      <c r="T1797" s="125"/>
      <c r="U1797" s="125"/>
      <c r="V1797" s="125"/>
      <c r="W1797" s="125"/>
      <c r="X1797" s="125"/>
      <c r="Y1797" s="125"/>
      <c r="Z1797" s="127"/>
      <c r="AA1797" s="127"/>
      <c r="AB1797" s="127"/>
      <c r="AC1797" s="127"/>
      <c r="AD1797" s="261"/>
      <c r="AE1797" s="261"/>
      <c r="AF1797" s="261"/>
      <c r="AG1797" s="261"/>
    </row>
    <row r="1798" ht="34.5" hidden="1" customHeight="1">
      <c r="A1798" s="111"/>
      <c r="B1798" s="127"/>
      <c r="C1798" s="111"/>
      <c r="D1798" s="111"/>
      <c r="E1798" s="111"/>
      <c r="F1798" s="111"/>
      <c r="G1798" s="111"/>
      <c r="H1798" s="111"/>
      <c r="I1798" s="127"/>
      <c r="J1798" s="111"/>
      <c r="K1798" s="111"/>
      <c r="L1798" s="111"/>
      <c r="M1798" s="127"/>
      <c r="N1798" s="270"/>
      <c r="O1798" s="111"/>
      <c r="P1798" s="111"/>
      <c r="Q1798" s="127"/>
      <c r="R1798" s="124"/>
      <c r="S1798" s="125"/>
      <c r="T1798" s="125"/>
      <c r="U1798" s="125"/>
      <c r="V1798" s="125"/>
      <c r="W1798" s="125"/>
      <c r="X1798" s="125"/>
      <c r="Y1798" s="125"/>
      <c r="Z1798" s="127"/>
      <c r="AA1798" s="127"/>
      <c r="AB1798" s="127"/>
      <c r="AC1798" s="127"/>
      <c r="AD1798" s="261"/>
      <c r="AE1798" s="261"/>
      <c r="AF1798" s="261"/>
      <c r="AG1798" s="261"/>
    </row>
    <row r="1799" ht="34.5" hidden="1" customHeight="1">
      <c r="A1799" s="111"/>
      <c r="B1799" s="127"/>
      <c r="C1799" s="111"/>
      <c r="D1799" s="111"/>
      <c r="E1799" s="111"/>
      <c r="F1799" s="111"/>
      <c r="G1799" s="111"/>
      <c r="H1799" s="111"/>
      <c r="I1799" s="127"/>
      <c r="J1799" s="111"/>
      <c r="K1799" s="111"/>
      <c r="L1799" s="111"/>
      <c r="M1799" s="127"/>
      <c r="N1799" s="270"/>
      <c r="O1799" s="111"/>
      <c r="P1799" s="111"/>
      <c r="Q1799" s="127"/>
      <c r="R1799" s="124"/>
      <c r="S1799" s="125"/>
      <c r="T1799" s="125"/>
      <c r="U1799" s="125"/>
      <c r="V1799" s="125"/>
      <c r="W1799" s="125"/>
      <c r="X1799" s="125"/>
      <c r="Y1799" s="125"/>
      <c r="Z1799" s="127"/>
      <c r="AA1799" s="127"/>
      <c r="AB1799" s="127"/>
      <c r="AC1799" s="127"/>
      <c r="AD1799" s="261"/>
      <c r="AE1799" s="261"/>
      <c r="AF1799" s="261"/>
      <c r="AG1799" s="261"/>
    </row>
    <row r="1800" ht="34.5" hidden="1" customHeight="1">
      <c r="A1800" s="111"/>
      <c r="B1800" s="127"/>
      <c r="C1800" s="111"/>
      <c r="D1800" s="111"/>
      <c r="E1800" s="111"/>
      <c r="F1800" s="111"/>
      <c r="G1800" s="111"/>
      <c r="H1800" s="111"/>
      <c r="I1800" s="127"/>
      <c r="J1800" s="111"/>
      <c r="K1800" s="111"/>
      <c r="L1800" s="111"/>
      <c r="M1800" s="127"/>
      <c r="N1800" s="270"/>
      <c r="O1800" s="111"/>
      <c r="P1800" s="111"/>
      <c r="Q1800" s="127"/>
      <c r="R1800" s="124"/>
      <c r="S1800" s="125"/>
      <c r="T1800" s="125"/>
      <c r="U1800" s="125"/>
      <c r="V1800" s="125"/>
      <c r="W1800" s="125"/>
      <c r="X1800" s="125"/>
      <c r="Y1800" s="125"/>
      <c r="Z1800" s="127"/>
      <c r="AA1800" s="127"/>
      <c r="AB1800" s="127"/>
      <c r="AC1800" s="127"/>
      <c r="AD1800" s="261"/>
      <c r="AE1800" s="261"/>
      <c r="AF1800" s="261"/>
      <c r="AG1800" s="261"/>
    </row>
    <row r="1801" ht="34.5" hidden="1" customHeight="1">
      <c r="A1801" s="111"/>
      <c r="B1801" s="127"/>
      <c r="C1801" s="111"/>
      <c r="D1801" s="111"/>
      <c r="E1801" s="111"/>
      <c r="F1801" s="111"/>
      <c r="G1801" s="111"/>
      <c r="H1801" s="111"/>
      <c r="I1801" s="127"/>
      <c r="J1801" s="111"/>
      <c r="K1801" s="111"/>
      <c r="L1801" s="111"/>
      <c r="M1801" s="127"/>
      <c r="N1801" s="270"/>
      <c r="O1801" s="111"/>
      <c r="P1801" s="111"/>
      <c r="Q1801" s="127"/>
      <c r="R1801" s="124"/>
      <c r="S1801" s="125"/>
      <c r="T1801" s="125"/>
      <c r="U1801" s="125"/>
      <c r="V1801" s="125"/>
      <c r="W1801" s="125"/>
      <c r="X1801" s="125"/>
      <c r="Y1801" s="125"/>
      <c r="Z1801" s="127"/>
      <c r="AA1801" s="127"/>
      <c r="AB1801" s="127"/>
      <c r="AC1801" s="127"/>
      <c r="AD1801" s="261"/>
      <c r="AE1801" s="261"/>
      <c r="AF1801" s="261"/>
      <c r="AG1801" s="261"/>
    </row>
    <row r="1802" ht="34.5" hidden="1" customHeight="1">
      <c r="A1802" s="111"/>
      <c r="B1802" s="127"/>
      <c r="C1802" s="111"/>
      <c r="D1802" s="111"/>
      <c r="E1802" s="111"/>
      <c r="F1802" s="111"/>
      <c r="G1802" s="111"/>
      <c r="H1802" s="111"/>
      <c r="I1802" s="127"/>
      <c r="J1802" s="111"/>
      <c r="K1802" s="111"/>
      <c r="L1802" s="111"/>
      <c r="M1802" s="127"/>
      <c r="N1802" s="270"/>
      <c r="O1802" s="111"/>
      <c r="P1802" s="111"/>
      <c r="Q1802" s="127"/>
      <c r="R1802" s="124"/>
      <c r="S1802" s="125"/>
      <c r="T1802" s="125"/>
      <c r="U1802" s="125"/>
      <c r="V1802" s="125"/>
      <c r="W1802" s="125"/>
      <c r="X1802" s="125"/>
      <c r="Y1802" s="125"/>
      <c r="Z1802" s="127"/>
      <c r="AA1802" s="127"/>
      <c r="AB1802" s="127"/>
      <c r="AC1802" s="127"/>
      <c r="AD1802" s="261"/>
      <c r="AE1802" s="261"/>
      <c r="AF1802" s="261"/>
      <c r="AG1802" s="261"/>
    </row>
    <row r="1803" ht="34.5" hidden="1" customHeight="1">
      <c r="A1803" s="111"/>
      <c r="B1803" s="127"/>
      <c r="C1803" s="111"/>
      <c r="D1803" s="111"/>
      <c r="E1803" s="111"/>
      <c r="F1803" s="111"/>
      <c r="G1803" s="111"/>
      <c r="H1803" s="111"/>
      <c r="I1803" s="127"/>
      <c r="J1803" s="111"/>
      <c r="K1803" s="111"/>
      <c r="L1803" s="111"/>
      <c r="M1803" s="127"/>
      <c r="N1803" s="270"/>
      <c r="O1803" s="111"/>
      <c r="P1803" s="111"/>
      <c r="Q1803" s="127"/>
      <c r="R1803" s="124"/>
      <c r="S1803" s="125"/>
      <c r="T1803" s="125"/>
      <c r="U1803" s="125"/>
      <c r="V1803" s="125"/>
      <c r="W1803" s="125"/>
      <c r="X1803" s="125"/>
      <c r="Y1803" s="125"/>
      <c r="Z1803" s="127"/>
      <c r="AA1803" s="127"/>
      <c r="AB1803" s="127"/>
      <c r="AC1803" s="127"/>
      <c r="AD1803" s="261"/>
      <c r="AE1803" s="261"/>
      <c r="AF1803" s="261"/>
      <c r="AG1803" s="261"/>
    </row>
    <row r="1804" ht="34.5" hidden="1" customHeight="1">
      <c r="A1804" s="111"/>
      <c r="B1804" s="127"/>
      <c r="C1804" s="111"/>
      <c r="D1804" s="111"/>
      <c r="E1804" s="111"/>
      <c r="F1804" s="111"/>
      <c r="G1804" s="111"/>
      <c r="H1804" s="111"/>
      <c r="I1804" s="127"/>
      <c r="J1804" s="111"/>
      <c r="K1804" s="111"/>
      <c r="L1804" s="111"/>
      <c r="M1804" s="127"/>
      <c r="N1804" s="270"/>
      <c r="O1804" s="111"/>
      <c r="P1804" s="111"/>
      <c r="Q1804" s="127"/>
      <c r="R1804" s="124"/>
      <c r="S1804" s="125"/>
      <c r="T1804" s="125"/>
      <c r="U1804" s="125"/>
      <c r="V1804" s="125"/>
      <c r="W1804" s="125"/>
      <c r="X1804" s="125"/>
      <c r="Y1804" s="125"/>
      <c r="Z1804" s="127"/>
      <c r="AA1804" s="127"/>
      <c r="AB1804" s="127"/>
      <c r="AC1804" s="127"/>
      <c r="AD1804" s="261"/>
      <c r="AE1804" s="261"/>
      <c r="AF1804" s="261"/>
      <c r="AG1804" s="261"/>
    </row>
    <row r="1805" ht="34.5" hidden="1" customHeight="1">
      <c r="A1805" s="111"/>
      <c r="B1805" s="127"/>
      <c r="C1805" s="111"/>
      <c r="D1805" s="111"/>
      <c r="E1805" s="111"/>
      <c r="F1805" s="111"/>
      <c r="G1805" s="111"/>
      <c r="H1805" s="111"/>
      <c r="I1805" s="127"/>
      <c r="J1805" s="111"/>
      <c r="K1805" s="111"/>
      <c r="L1805" s="111"/>
      <c r="M1805" s="127"/>
      <c r="N1805" s="270"/>
      <c r="O1805" s="111"/>
      <c r="P1805" s="111"/>
      <c r="Q1805" s="127"/>
      <c r="R1805" s="124"/>
      <c r="S1805" s="125"/>
      <c r="T1805" s="125"/>
      <c r="U1805" s="125"/>
      <c r="V1805" s="125"/>
      <c r="W1805" s="125"/>
      <c r="X1805" s="125"/>
      <c r="Y1805" s="125"/>
      <c r="Z1805" s="127"/>
      <c r="AA1805" s="127"/>
      <c r="AB1805" s="127"/>
      <c r="AC1805" s="127"/>
      <c r="AD1805" s="261"/>
      <c r="AE1805" s="261"/>
      <c r="AF1805" s="261"/>
      <c r="AG1805" s="261"/>
    </row>
    <row r="1806" ht="34.5" hidden="1" customHeight="1">
      <c r="A1806" s="111"/>
      <c r="B1806" s="127"/>
      <c r="C1806" s="111"/>
      <c r="D1806" s="111"/>
      <c r="E1806" s="111"/>
      <c r="F1806" s="111"/>
      <c r="G1806" s="111"/>
      <c r="H1806" s="111"/>
      <c r="I1806" s="127"/>
      <c r="J1806" s="111"/>
      <c r="K1806" s="111"/>
      <c r="L1806" s="111"/>
      <c r="M1806" s="127"/>
      <c r="N1806" s="270"/>
      <c r="O1806" s="111"/>
      <c r="P1806" s="111"/>
      <c r="Q1806" s="127"/>
      <c r="R1806" s="124"/>
      <c r="S1806" s="125"/>
      <c r="T1806" s="125"/>
      <c r="U1806" s="125"/>
      <c r="V1806" s="125"/>
      <c r="W1806" s="125"/>
      <c r="X1806" s="125"/>
      <c r="Y1806" s="125"/>
      <c r="Z1806" s="127"/>
      <c r="AA1806" s="127"/>
      <c r="AB1806" s="127"/>
      <c r="AC1806" s="127"/>
      <c r="AD1806" s="261"/>
      <c r="AE1806" s="261"/>
      <c r="AF1806" s="261"/>
      <c r="AG1806" s="261"/>
    </row>
    <row r="1807" ht="34.5" hidden="1" customHeight="1">
      <c r="A1807" s="111"/>
      <c r="B1807" s="127"/>
      <c r="C1807" s="111"/>
      <c r="D1807" s="111"/>
      <c r="E1807" s="111"/>
      <c r="F1807" s="111"/>
      <c r="G1807" s="111"/>
      <c r="H1807" s="111"/>
      <c r="I1807" s="127"/>
      <c r="J1807" s="111"/>
      <c r="K1807" s="111"/>
      <c r="L1807" s="111"/>
      <c r="M1807" s="127"/>
      <c r="N1807" s="270"/>
      <c r="O1807" s="111"/>
      <c r="P1807" s="111"/>
      <c r="Q1807" s="127"/>
      <c r="R1807" s="124"/>
      <c r="S1807" s="125"/>
      <c r="T1807" s="125"/>
      <c r="U1807" s="125"/>
      <c r="V1807" s="125"/>
      <c r="W1807" s="125"/>
      <c r="X1807" s="125"/>
      <c r="Y1807" s="125"/>
      <c r="Z1807" s="127"/>
      <c r="AA1807" s="127"/>
      <c r="AB1807" s="127"/>
      <c r="AC1807" s="127"/>
      <c r="AD1807" s="261"/>
      <c r="AE1807" s="261"/>
      <c r="AF1807" s="261"/>
      <c r="AG1807" s="261"/>
    </row>
    <row r="1808" ht="34.5" hidden="1" customHeight="1">
      <c r="A1808" s="111"/>
      <c r="B1808" s="127"/>
      <c r="C1808" s="111"/>
      <c r="D1808" s="111"/>
      <c r="E1808" s="111"/>
      <c r="F1808" s="111"/>
      <c r="G1808" s="111"/>
      <c r="H1808" s="111"/>
      <c r="I1808" s="127"/>
      <c r="J1808" s="111"/>
      <c r="K1808" s="111"/>
      <c r="L1808" s="111"/>
      <c r="M1808" s="127"/>
      <c r="N1808" s="270"/>
      <c r="O1808" s="111"/>
      <c r="P1808" s="111"/>
      <c r="Q1808" s="127"/>
      <c r="R1808" s="124"/>
      <c r="S1808" s="125"/>
      <c r="T1808" s="125"/>
      <c r="U1808" s="125"/>
      <c r="V1808" s="125"/>
      <c r="W1808" s="125"/>
      <c r="X1808" s="125"/>
      <c r="Y1808" s="125"/>
      <c r="Z1808" s="127"/>
      <c r="AA1808" s="127"/>
      <c r="AB1808" s="127"/>
      <c r="AC1808" s="127"/>
      <c r="AD1808" s="261"/>
      <c r="AE1808" s="261"/>
      <c r="AF1808" s="261"/>
      <c r="AG1808" s="261"/>
    </row>
    <row r="1809" ht="34.5" hidden="1" customHeight="1">
      <c r="A1809" s="111"/>
      <c r="B1809" s="127"/>
      <c r="C1809" s="111"/>
      <c r="D1809" s="111"/>
      <c r="E1809" s="111"/>
      <c r="F1809" s="111"/>
      <c r="G1809" s="111"/>
      <c r="H1809" s="111"/>
      <c r="I1809" s="127"/>
      <c r="J1809" s="111"/>
      <c r="K1809" s="111"/>
      <c r="L1809" s="111"/>
      <c r="M1809" s="127"/>
      <c r="N1809" s="270"/>
      <c r="O1809" s="111"/>
      <c r="P1809" s="111"/>
      <c r="Q1809" s="127"/>
      <c r="R1809" s="124"/>
      <c r="S1809" s="125"/>
      <c r="T1809" s="125"/>
      <c r="U1809" s="125"/>
      <c r="V1809" s="125"/>
      <c r="W1809" s="125"/>
      <c r="X1809" s="125"/>
      <c r="Y1809" s="125"/>
      <c r="Z1809" s="127"/>
      <c r="AA1809" s="127"/>
      <c r="AB1809" s="127"/>
      <c r="AC1809" s="127"/>
      <c r="AD1809" s="261"/>
      <c r="AE1809" s="261"/>
      <c r="AF1809" s="261"/>
      <c r="AG1809" s="261"/>
    </row>
    <row r="1810" ht="34.5" hidden="1" customHeight="1">
      <c r="A1810" s="111"/>
      <c r="B1810" s="127"/>
      <c r="C1810" s="111"/>
      <c r="D1810" s="111"/>
      <c r="E1810" s="111"/>
      <c r="F1810" s="111"/>
      <c r="G1810" s="111"/>
      <c r="H1810" s="111"/>
      <c r="I1810" s="127"/>
      <c r="J1810" s="111"/>
      <c r="K1810" s="111"/>
      <c r="L1810" s="111"/>
      <c r="M1810" s="127"/>
      <c r="N1810" s="270"/>
      <c r="O1810" s="111"/>
      <c r="P1810" s="111"/>
      <c r="Q1810" s="127"/>
      <c r="R1810" s="124"/>
      <c r="S1810" s="125"/>
      <c r="T1810" s="125"/>
      <c r="U1810" s="125"/>
      <c r="V1810" s="125"/>
      <c r="W1810" s="125"/>
      <c r="X1810" s="125"/>
      <c r="Y1810" s="125"/>
      <c r="Z1810" s="127"/>
      <c r="AA1810" s="127"/>
      <c r="AB1810" s="127"/>
      <c r="AC1810" s="127"/>
      <c r="AD1810" s="261"/>
      <c r="AE1810" s="261"/>
      <c r="AF1810" s="261"/>
      <c r="AG1810" s="261"/>
    </row>
    <row r="1811" ht="34.5" hidden="1" customHeight="1">
      <c r="A1811" s="111"/>
      <c r="B1811" s="127"/>
      <c r="C1811" s="111"/>
      <c r="D1811" s="111"/>
      <c r="E1811" s="111"/>
      <c r="F1811" s="111"/>
      <c r="G1811" s="111"/>
      <c r="H1811" s="111"/>
      <c r="I1811" s="127"/>
      <c r="J1811" s="111"/>
      <c r="K1811" s="111"/>
      <c r="L1811" s="111"/>
      <c r="M1811" s="127"/>
      <c r="N1811" s="270"/>
      <c r="O1811" s="111"/>
      <c r="P1811" s="111"/>
      <c r="Q1811" s="127"/>
      <c r="R1811" s="124"/>
      <c r="S1811" s="125"/>
      <c r="T1811" s="125"/>
      <c r="U1811" s="125"/>
      <c r="V1811" s="125"/>
      <c r="W1811" s="125"/>
      <c r="X1811" s="125"/>
      <c r="Y1811" s="125"/>
      <c r="Z1811" s="127"/>
      <c r="AA1811" s="127"/>
      <c r="AB1811" s="127"/>
      <c r="AC1811" s="127"/>
      <c r="AD1811" s="261"/>
      <c r="AE1811" s="261"/>
      <c r="AF1811" s="261"/>
      <c r="AG1811" s="261"/>
    </row>
    <row r="1812" ht="34.5" hidden="1" customHeight="1">
      <c r="A1812" s="111"/>
      <c r="B1812" s="127"/>
      <c r="C1812" s="111"/>
      <c r="D1812" s="111"/>
      <c r="E1812" s="111"/>
      <c r="F1812" s="111"/>
      <c r="G1812" s="111"/>
      <c r="H1812" s="111"/>
      <c r="I1812" s="127"/>
      <c r="J1812" s="111"/>
      <c r="K1812" s="111"/>
      <c r="L1812" s="111"/>
      <c r="M1812" s="127"/>
      <c r="N1812" s="270"/>
      <c r="O1812" s="111"/>
      <c r="P1812" s="111"/>
      <c r="Q1812" s="127"/>
      <c r="R1812" s="124"/>
      <c r="S1812" s="125"/>
      <c r="T1812" s="125"/>
      <c r="U1812" s="125"/>
      <c r="V1812" s="125"/>
      <c r="W1812" s="125"/>
      <c r="X1812" s="125"/>
      <c r="Y1812" s="125"/>
      <c r="Z1812" s="127"/>
      <c r="AA1812" s="127"/>
      <c r="AB1812" s="127"/>
      <c r="AC1812" s="127"/>
      <c r="AD1812" s="261"/>
      <c r="AE1812" s="261"/>
      <c r="AF1812" s="261"/>
      <c r="AG1812" s="261"/>
    </row>
    <row r="1813" ht="34.5" hidden="1" customHeight="1">
      <c r="A1813" s="111"/>
      <c r="B1813" s="127"/>
      <c r="C1813" s="111"/>
      <c r="D1813" s="111"/>
      <c r="E1813" s="111"/>
      <c r="F1813" s="111"/>
      <c r="G1813" s="111"/>
      <c r="H1813" s="111"/>
      <c r="I1813" s="127"/>
      <c r="J1813" s="111"/>
      <c r="K1813" s="111"/>
      <c r="L1813" s="111"/>
      <c r="M1813" s="127"/>
      <c r="N1813" s="270"/>
      <c r="O1813" s="111"/>
      <c r="P1813" s="111"/>
      <c r="Q1813" s="127"/>
      <c r="R1813" s="124"/>
      <c r="S1813" s="125"/>
      <c r="T1813" s="125"/>
      <c r="U1813" s="125"/>
      <c r="V1813" s="125"/>
      <c r="W1813" s="125"/>
      <c r="X1813" s="125"/>
      <c r="Y1813" s="125"/>
      <c r="Z1813" s="127"/>
      <c r="AA1813" s="127"/>
      <c r="AB1813" s="127"/>
      <c r="AC1813" s="127"/>
      <c r="AD1813" s="261"/>
      <c r="AE1813" s="261"/>
      <c r="AF1813" s="261"/>
      <c r="AG1813" s="261"/>
    </row>
    <row r="1814" ht="34.5" hidden="1" customHeight="1">
      <c r="A1814" s="111"/>
      <c r="B1814" s="127"/>
      <c r="C1814" s="111"/>
      <c r="D1814" s="111"/>
      <c r="E1814" s="111"/>
      <c r="F1814" s="111"/>
      <c r="G1814" s="111"/>
      <c r="H1814" s="111"/>
      <c r="I1814" s="127"/>
      <c r="J1814" s="111"/>
      <c r="K1814" s="111"/>
      <c r="L1814" s="111"/>
      <c r="M1814" s="127"/>
      <c r="N1814" s="270"/>
      <c r="O1814" s="111"/>
      <c r="P1814" s="111"/>
      <c r="Q1814" s="127"/>
      <c r="R1814" s="124"/>
      <c r="S1814" s="125"/>
      <c r="T1814" s="125"/>
      <c r="U1814" s="125"/>
      <c r="V1814" s="125"/>
      <c r="W1814" s="125"/>
      <c r="X1814" s="125"/>
      <c r="Y1814" s="125"/>
      <c r="Z1814" s="127"/>
      <c r="AA1814" s="127"/>
      <c r="AB1814" s="127"/>
      <c r="AC1814" s="127"/>
      <c r="AD1814" s="261"/>
      <c r="AE1814" s="261"/>
      <c r="AF1814" s="261"/>
      <c r="AG1814" s="261"/>
    </row>
    <row r="1815" ht="34.5" hidden="1" customHeight="1">
      <c r="A1815" s="111"/>
      <c r="B1815" s="127"/>
      <c r="C1815" s="111"/>
      <c r="D1815" s="111"/>
      <c r="E1815" s="111"/>
      <c r="F1815" s="111"/>
      <c r="G1815" s="111"/>
      <c r="H1815" s="111"/>
      <c r="I1815" s="127"/>
      <c r="J1815" s="111"/>
      <c r="K1815" s="111"/>
      <c r="L1815" s="111"/>
      <c r="M1815" s="127"/>
      <c r="N1815" s="270"/>
      <c r="O1815" s="111"/>
      <c r="P1815" s="111"/>
      <c r="Q1815" s="127"/>
      <c r="R1815" s="124"/>
      <c r="S1815" s="125"/>
      <c r="T1815" s="125"/>
      <c r="U1815" s="125"/>
      <c r="V1815" s="125"/>
      <c r="W1815" s="125"/>
      <c r="X1815" s="125"/>
      <c r="Y1815" s="125"/>
      <c r="Z1815" s="127"/>
      <c r="AA1815" s="127"/>
      <c r="AB1815" s="127"/>
      <c r="AC1815" s="127"/>
      <c r="AD1815" s="261"/>
      <c r="AE1815" s="261"/>
      <c r="AF1815" s="261"/>
      <c r="AG1815" s="261"/>
    </row>
    <row r="1816" ht="34.5" hidden="1" customHeight="1">
      <c r="A1816" s="111"/>
      <c r="B1816" s="127"/>
      <c r="C1816" s="111"/>
      <c r="D1816" s="111"/>
      <c r="E1816" s="111"/>
      <c r="F1816" s="111"/>
      <c r="G1816" s="111"/>
      <c r="H1816" s="111"/>
      <c r="I1816" s="127"/>
      <c r="J1816" s="111"/>
      <c r="K1816" s="111"/>
      <c r="L1816" s="111"/>
      <c r="M1816" s="127"/>
      <c r="N1816" s="270"/>
      <c r="O1816" s="111"/>
      <c r="P1816" s="111"/>
      <c r="Q1816" s="127"/>
      <c r="R1816" s="124"/>
      <c r="S1816" s="125"/>
      <c r="T1816" s="125"/>
      <c r="U1816" s="125"/>
      <c r="V1816" s="125"/>
      <c r="W1816" s="125"/>
      <c r="X1816" s="125"/>
      <c r="Y1816" s="125"/>
      <c r="Z1816" s="127"/>
      <c r="AA1816" s="127"/>
      <c r="AB1816" s="127"/>
      <c r="AC1816" s="127"/>
      <c r="AD1816" s="261"/>
      <c r="AE1816" s="261"/>
      <c r="AF1816" s="261"/>
      <c r="AG1816" s="261"/>
    </row>
    <row r="1817" ht="34.5" hidden="1" customHeight="1">
      <c r="A1817" s="111"/>
      <c r="B1817" s="127"/>
      <c r="C1817" s="111"/>
      <c r="D1817" s="111"/>
      <c r="E1817" s="111"/>
      <c r="F1817" s="111"/>
      <c r="G1817" s="111"/>
      <c r="H1817" s="111"/>
      <c r="I1817" s="127"/>
      <c r="J1817" s="111"/>
      <c r="K1817" s="111"/>
      <c r="L1817" s="111"/>
      <c r="M1817" s="127"/>
      <c r="N1817" s="270"/>
      <c r="O1817" s="111"/>
      <c r="P1817" s="111"/>
      <c r="Q1817" s="127"/>
      <c r="R1817" s="124"/>
      <c r="S1817" s="125"/>
      <c r="T1817" s="125"/>
      <c r="U1817" s="125"/>
      <c r="V1817" s="125"/>
      <c r="W1817" s="125"/>
      <c r="X1817" s="125"/>
      <c r="Y1817" s="125"/>
      <c r="Z1817" s="127"/>
      <c r="AA1817" s="127"/>
      <c r="AB1817" s="127"/>
      <c r="AC1817" s="127"/>
      <c r="AD1817" s="261"/>
      <c r="AE1817" s="261"/>
      <c r="AF1817" s="261"/>
      <c r="AG1817" s="261"/>
    </row>
    <row r="1818" ht="34.5" hidden="1" customHeight="1">
      <c r="A1818" s="111"/>
      <c r="B1818" s="127"/>
      <c r="C1818" s="111"/>
      <c r="D1818" s="111"/>
      <c r="E1818" s="111"/>
      <c r="F1818" s="111"/>
      <c r="G1818" s="111"/>
      <c r="H1818" s="111"/>
      <c r="I1818" s="127"/>
      <c r="J1818" s="111"/>
      <c r="K1818" s="111"/>
      <c r="L1818" s="111"/>
      <c r="M1818" s="127"/>
      <c r="N1818" s="270"/>
      <c r="O1818" s="111"/>
      <c r="P1818" s="111"/>
      <c r="Q1818" s="127"/>
      <c r="R1818" s="124"/>
      <c r="S1818" s="125"/>
      <c r="T1818" s="125"/>
      <c r="U1818" s="125"/>
      <c r="V1818" s="125"/>
      <c r="W1818" s="125"/>
      <c r="X1818" s="125"/>
      <c r="Y1818" s="125"/>
      <c r="Z1818" s="127"/>
      <c r="AA1818" s="127"/>
      <c r="AB1818" s="127"/>
      <c r="AC1818" s="127"/>
      <c r="AD1818" s="261"/>
      <c r="AE1818" s="261"/>
      <c r="AF1818" s="261"/>
      <c r="AG1818" s="261"/>
    </row>
    <row r="1819" ht="34.5" hidden="1" customHeight="1">
      <c r="A1819" s="111"/>
      <c r="B1819" s="127"/>
      <c r="C1819" s="111"/>
      <c r="D1819" s="111"/>
      <c r="E1819" s="111"/>
      <c r="F1819" s="111"/>
      <c r="G1819" s="111"/>
      <c r="H1819" s="111"/>
      <c r="I1819" s="127"/>
      <c r="J1819" s="111"/>
      <c r="K1819" s="111"/>
      <c r="L1819" s="111"/>
      <c r="M1819" s="127"/>
      <c r="N1819" s="270"/>
      <c r="O1819" s="111"/>
      <c r="P1819" s="111"/>
      <c r="Q1819" s="127"/>
      <c r="R1819" s="124"/>
      <c r="S1819" s="125"/>
      <c r="T1819" s="125"/>
      <c r="U1819" s="125"/>
      <c r="V1819" s="125"/>
      <c r="W1819" s="125"/>
      <c r="X1819" s="125"/>
      <c r="Y1819" s="125"/>
      <c r="Z1819" s="127"/>
      <c r="AA1819" s="127"/>
      <c r="AB1819" s="127"/>
      <c r="AC1819" s="127"/>
      <c r="AD1819" s="261"/>
      <c r="AE1819" s="261"/>
      <c r="AF1819" s="261"/>
      <c r="AG1819" s="261"/>
    </row>
    <row r="1820" ht="34.5" hidden="1" customHeight="1">
      <c r="A1820" s="111"/>
      <c r="B1820" s="127"/>
      <c r="C1820" s="111"/>
      <c r="D1820" s="111"/>
      <c r="E1820" s="111"/>
      <c r="F1820" s="111"/>
      <c r="G1820" s="111"/>
      <c r="H1820" s="111"/>
      <c r="I1820" s="127"/>
      <c r="J1820" s="111"/>
      <c r="K1820" s="111"/>
      <c r="L1820" s="111"/>
      <c r="M1820" s="127"/>
      <c r="N1820" s="270"/>
      <c r="O1820" s="111"/>
      <c r="P1820" s="111"/>
      <c r="Q1820" s="127"/>
      <c r="R1820" s="124"/>
      <c r="S1820" s="125"/>
      <c r="T1820" s="125"/>
      <c r="U1820" s="125"/>
      <c r="V1820" s="125"/>
      <c r="W1820" s="125"/>
      <c r="X1820" s="125"/>
      <c r="Y1820" s="125"/>
      <c r="Z1820" s="127"/>
      <c r="AA1820" s="127"/>
      <c r="AB1820" s="127"/>
      <c r="AC1820" s="127"/>
      <c r="AD1820" s="261"/>
      <c r="AE1820" s="261"/>
      <c r="AF1820" s="261"/>
      <c r="AG1820" s="261"/>
    </row>
    <row r="1821" ht="34.5" hidden="1" customHeight="1">
      <c r="A1821" s="111"/>
      <c r="B1821" s="127"/>
      <c r="C1821" s="111"/>
      <c r="D1821" s="111"/>
      <c r="E1821" s="111"/>
      <c r="F1821" s="111"/>
      <c r="G1821" s="111"/>
      <c r="H1821" s="111"/>
      <c r="I1821" s="127"/>
      <c r="J1821" s="111"/>
      <c r="K1821" s="111"/>
      <c r="L1821" s="111"/>
      <c r="M1821" s="127"/>
      <c r="N1821" s="270"/>
      <c r="O1821" s="111"/>
      <c r="P1821" s="111"/>
      <c r="Q1821" s="127"/>
      <c r="R1821" s="124"/>
      <c r="S1821" s="125"/>
      <c r="T1821" s="125"/>
      <c r="U1821" s="125"/>
      <c r="V1821" s="125"/>
      <c r="W1821" s="125"/>
      <c r="X1821" s="125"/>
      <c r="Y1821" s="125"/>
      <c r="Z1821" s="127"/>
      <c r="AA1821" s="127"/>
      <c r="AB1821" s="127"/>
      <c r="AC1821" s="127"/>
      <c r="AD1821" s="261"/>
      <c r="AE1821" s="261"/>
      <c r="AF1821" s="261"/>
      <c r="AG1821" s="261"/>
    </row>
    <row r="1822" ht="34.5" hidden="1" customHeight="1">
      <c r="A1822" s="111"/>
      <c r="B1822" s="127"/>
      <c r="C1822" s="111"/>
      <c r="D1822" s="111"/>
      <c r="E1822" s="111"/>
      <c r="F1822" s="111"/>
      <c r="G1822" s="111"/>
      <c r="H1822" s="111"/>
      <c r="I1822" s="127"/>
      <c r="J1822" s="111"/>
      <c r="K1822" s="111"/>
      <c r="L1822" s="111"/>
      <c r="M1822" s="127"/>
      <c r="N1822" s="270"/>
      <c r="O1822" s="111"/>
      <c r="P1822" s="111"/>
      <c r="Q1822" s="127"/>
      <c r="R1822" s="124"/>
      <c r="S1822" s="125"/>
      <c r="T1822" s="125"/>
      <c r="U1822" s="125"/>
      <c r="V1822" s="125"/>
      <c r="W1822" s="125"/>
      <c r="X1822" s="125"/>
      <c r="Y1822" s="125"/>
      <c r="Z1822" s="127"/>
      <c r="AA1822" s="127"/>
      <c r="AB1822" s="127"/>
      <c r="AC1822" s="127"/>
      <c r="AD1822" s="261"/>
      <c r="AE1822" s="261"/>
      <c r="AF1822" s="261"/>
      <c r="AG1822" s="261"/>
    </row>
    <row r="1823" ht="34.5" hidden="1" customHeight="1">
      <c r="A1823" s="111"/>
      <c r="B1823" s="127"/>
      <c r="C1823" s="111"/>
      <c r="D1823" s="111"/>
      <c r="E1823" s="111"/>
      <c r="F1823" s="111"/>
      <c r="G1823" s="111"/>
      <c r="H1823" s="111"/>
      <c r="I1823" s="127"/>
      <c r="J1823" s="111"/>
      <c r="K1823" s="111"/>
      <c r="L1823" s="111"/>
      <c r="M1823" s="127"/>
      <c r="N1823" s="270"/>
      <c r="O1823" s="111"/>
      <c r="P1823" s="111"/>
      <c r="Q1823" s="127"/>
      <c r="R1823" s="124"/>
      <c r="S1823" s="125"/>
      <c r="T1823" s="125"/>
      <c r="U1823" s="125"/>
      <c r="V1823" s="125"/>
      <c r="W1823" s="125"/>
      <c r="X1823" s="125"/>
      <c r="Y1823" s="125"/>
      <c r="Z1823" s="127"/>
      <c r="AA1823" s="127"/>
      <c r="AB1823" s="127"/>
      <c r="AC1823" s="127"/>
      <c r="AD1823" s="261"/>
      <c r="AE1823" s="261"/>
      <c r="AF1823" s="261"/>
      <c r="AG1823" s="261"/>
    </row>
    <row r="1824" ht="34.5" hidden="1" customHeight="1">
      <c r="A1824" s="111"/>
      <c r="B1824" s="127"/>
      <c r="C1824" s="111"/>
      <c r="D1824" s="111"/>
      <c r="E1824" s="111"/>
      <c r="F1824" s="111"/>
      <c r="G1824" s="111"/>
      <c r="H1824" s="111"/>
      <c r="I1824" s="127"/>
      <c r="J1824" s="111"/>
      <c r="K1824" s="111"/>
      <c r="L1824" s="111"/>
      <c r="M1824" s="127"/>
      <c r="N1824" s="270"/>
      <c r="O1824" s="111"/>
      <c r="P1824" s="111"/>
      <c r="Q1824" s="127"/>
      <c r="R1824" s="124"/>
      <c r="S1824" s="125"/>
      <c r="T1824" s="125"/>
      <c r="U1824" s="125"/>
      <c r="V1824" s="125"/>
      <c r="W1824" s="125"/>
      <c r="X1824" s="125"/>
      <c r="Y1824" s="125"/>
      <c r="Z1824" s="127"/>
      <c r="AA1824" s="127"/>
      <c r="AB1824" s="127"/>
      <c r="AC1824" s="127"/>
      <c r="AD1824" s="261"/>
      <c r="AE1824" s="261"/>
      <c r="AF1824" s="261"/>
      <c r="AG1824" s="261"/>
    </row>
    <row r="1825" ht="34.5" hidden="1" customHeight="1">
      <c r="A1825" s="111"/>
      <c r="B1825" s="127"/>
      <c r="C1825" s="111"/>
      <c r="D1825" s="111"/>
      <c r="E1825" s="111"/>
      <c r="F1825" s="111"/>
      <c r="G1825" s="111"/>
      <c r="H1825" s="111"/>
      <c r="I1825" s="127"/>
      <c r="J1825" s="111"/>
      <c r="K1825" s="111"/>
      <c r="L1825" s="111"/>
      <c r="M1825" s="127"/>
      <c r="N1825" s="270"/>
      <c r="O1825" s="111"/>
      <c r="P1825" s="111"/>
      <c r="Q1825" s="127"/>
      <c r="R1825" s="124"/>
      <c r="S1825" s="125"/>
      <c r="T1825" s="125"/>
      <c r="U1825" s="125"/>
      <c r="V1825" s="125"/>
      <c r="W1825" s="125"/>
      <c r="X1825" s="125"/>
      <c r="Y1825" s="125"/>
      <c r="Z1825" s="127"/>
      <c r="AA1825" s="127"/>
      <c r="AB1825" s="127"/>
      <c r="AC1825" s="127"/>
      <c r="AD1825" s="261"/>
      <c r="AE1825" s="261"/>
      <c r="AF1825" s="261"/>
      <c r="AG1825" s="261"/>
    </row>
    <row r="1826" ht="34.5" hidden="1" customHeight="1">
      <c r="A1826" s="111"/>
      <c r="B1826" s="127"/>
      <c r="C1826" s="111"/>
      <c r="D1826" s="111"/>
      <c r="E1826" s="111"/>
      <c r="F1826" s="111"/>
      <c r="G1826" s="111"/>
      <c r="H1826" s="111"/>
      <c r="I1826" s="127"/>
      <c r="J1826" s="111"/>
      <c r="K1826" s="111"/>
      <c r="L1826" s="111"/>
      <c r="M1826" s="127"/>
      <c r="N1826" s="270"/>
      <c r="O1826" s="111"/>
      <c r="P1826" s="111"/>
      <c r="Q1826" s="127"/>
      <c r="R1826" s="124"/>
      <c r="S1826" s="125"/>
      <c r="T1826" s="125"/>
      <c r="U1826" s="125"/>
      <c r="V1826" s="125"/>
      <c r="W1826" s="125"/>
      <c r="X1826" s="125"/>
      <c r="Y1826" s="125"/>
      <c r="Z1826" s="127"/>
      <c r="AA1826" s="127"/>
      <c r="AB1826" s="127"/>
      <c r="AC1826" s="127"/>
      <c r="AD1826" s="261"/>
      <c r="AE1826" s="261"/>
      <c r="AF1826" s="261"/>
      <c r="AG1826" s="261"/>
    </row>
    <row r="1827" ht="34.5" hidden="1" customHeight="1">
      <c r="A1827" s="111"/>
      <c r="B1827" s="127"/>
      <c r="C1827" s="111"/>
      <c r="D1827" s="111"/>
      <c r="E1827" s="111"/>
      <c r="F1827" s="111"/>
      <c r="G1827" s="111"/>
      <c r="H1827" s="111"/>
      <c r="I1827" s="127"/>
      <c r="J1827" s="111"/>
      <c r="K1827" s="111"/>
      <c r="L1827" s="111"/>
      <c r="M1827" s="127"/>
      <c r="N1827" s="270"/>
      <c r="O1827" s="111"/>
      <c r="P1827" s="111"/>
      <c r="Q1827" s="127"/>
      <c r="R1827" s="124"/>
      <c r="S1827" s="125"/>
      <c r="T1827" s="125"/>
      <c r="U1827" s="125"/>
      <c r="V1827" s="125"/>
      <c r="W1827" s="125"/>
      <c r="X1827" s="125"/>
      <c r="Y1827" s="125"/>
      <c r="Z1827" s="127"/>
      <c r="AA1827" s="127"/>
      <c r="AB1827" s="127"/>
      <c r="AC1827" s="127"/>
      <c r="AD1827" s="261"/>
      <c r="AE1827" s="261"/>
      <c r="AF1827" s="261"/>
      <c r="AG1827" s="261"/>
    </row>
    <row r="1828" ht="34.5" hidden="1" customHeight="1">
      <c r="A1828" s="111"/>
      <c r="B1828" s="127"/>
      <c r="C1828" s="111"/>
      <c r="D1828" s="111"/>
      <c r="E1828" s="111"/>
      <c r="F1828" s="111"/>
      <c r="G1828" s="111"/>
      <c r="H1828" s="111"/>
      <c r="I1828" s="127"/>
      <c r="J1828" s="111"/>
      <c r="K1828" s="111"/>
      <c r="L1828" s="111"/>
      <c r="M1828" s="127"/>
      <c r="N1828" s="270"/>
      <c r="O1828" s="111"/>
      <c r="P1828" s="111"/>
      <c r="Q1828" s="127"/>
      <c r="R1828" s="124"/>
      <c r="S1828" s="125"/>
      <c r="T1828" s="125"/>
      <c r="U1828" s="125"/>
      <c r="V1828" s="125"/>
      <c r="W1828" s="125"/>
      <c r="X1828" s="125"/>
      <c r="Y1828" s="125"/>
      <c r="Z1828" s="127"/>
      <c r="AA1828" s="127"/>
      <c r="AB1828" s="127"/>
      <c r="AC1828" s="127"/>
      <c r="AD1828" s="261"/>
      <c r="AE1828" s="261"/>
      <c r="AF1828" s="261"/>
      <c r="AG1828" s="261"/>
    </row>
    <row r="1829" ht="34.5" hidden="1" customHeight="1">
      <c r="A1829" s="111"/>
      <c r="B1829" s="127"/>
      <c r="C1829" s="111"/>
      <c r="D1829" s="111"/>
      <c r="E1829" s="111"/>
      <c r="F1829" s="111"/>
      <c r="G1829" s="111"/>
      <c r="H1829" s="111"/>
      <c r="I1829" s="127"/>
      <c r="J1829" s="111"/>
      <c r="K1829" s="111"/>
      <c r="L1829" s="111"/>
      <c r="M1829" s="127"/>
      <c r="N1829" s="270"/>
      <c r="O1829" s="111"/>
      <c r="P1829" s="111"/>
      <c r="Q1829" s="127"/>
      <c r="R1829" s="124"/>
      <c r="S1829" s="125"/>
      <c r="T1829" s="125"/>
      <c r="U1829" s="125"/>
      <c r="V1829" s="125"/>
      <c r="W1829" s="125"/>
      <c r="X1829" s="125"/>
      <c r="Y1829" s="125"/>
      <c r="Z1829" s="127"/>
      <c r="AA1829" s="127"/>
      <c r="AB1829" s="127"/>
      <c r="AC1829" s="127"/>
      <c r="AD1829" s="261"/>
      <c r="AE1829" s="261"/>
      <c r="AF1829" s="261"/>
      <c r="AG1829" s="261"/>
    </row>
    <row r="1830" ht="34.5" hidden="1" customHeight="1">
      <c r="A1830" s="111"/>
      <c r="B1830" s="127"/>
      <c r="C1830" s="111"/>
      <c r="D1830" s="111"/>
      <c r="E1830" s="111"/>
      <c r="F1830" s="111"/>
      <c r="G1830" s="111"/>
      <c r="H1830" s="111"/>
      <c r="I1830" s="127"/>
      <c r="J1830" s="111"/>
      <c r="K1830" s="111"/>
      <c r="L1830" s="111"/>
      <c r="M1830" s="127"/>
      <c r="N1830" s="270"/>
      <c r="O1830" s="111"/>
      <c r="P1830" s="111"/>
      <c r="Q1830" s="127"/>
      <c r="R1830" s="124"/>
      <c r="S1830" s="125"/>
      <c r="T1830" s="125"/>
      <c r="U1830" s="125"/>
      <c r="V1830" s="125"/>
      <c r="W1830" s="125"/>
      <c r="X1830" s="125"/>
      <c r="Y1830" s="125"/>
      <c r="Z1830" s="127"/>
      <c r="AA1830" s="127"/>
      <c r="AB1830" s="127"/>
      <c r="AC1830" s="127"/>
      <c r="AD1830" s="261"/>
      <c r="AE1830" s="261"/>
      <c r="AF1830" s="261"/>
      <c r="AG1830" s="261"/>
    </row>
    <row r="1831" ht="34.5" hidden="1" customHeight="1">
      <c r="A1831" s="111"/>
      <c r="B1831" s="127"/>
      <c r="C1831" s="111"/>
      <c r="D1831" s="111"/>
      <c r="E1831" s="111"/>
      <c r="F1831" s="111"/>
      <c r="G1831" s="111"/>
      <c r="H1831" s="111"/>
      <c r="I1831" s="127"/>
      <c r="J1831" s="111"/>
      <c r="K1831" s="111"/>
      <c r="L1831" s="111"/>
      <c r="M1831" s="127"/>
      <c r="N1831" s="270"/>
      <c r="O1831" s="111"/>
      <c r="P1831" s="111"/>
      <c r="Q1831" s="127"/>
      <c r="R1831" s="124"/>
      <c r="S1831" s="125"/>
      <c r="T1831" s="125"/>
      <c r="U1831" s="125"/>
      <c r="V1831" s="125"/>
      <c r="W1831" s="125"/>
      <c r="X1831" s="125"/>
      <c r="Y1831" s="125"/>
      <c r="Z1831" s="127"/>
      <c r="AA1831" s="127"/>
      <c r="AB1831" s="127"/>
      <c r="AC1831" s="127"/>
      <c r="AD1831" s="261"/>
      <c r="AE1831" s="261"/>
      <c r="AF1831" s="261"/>
      <c r="AG1831" s="261"/>
    </row>
    <row r="1832" ht="34.5" hidden="1" customHeight="1">
      <c r="A1832" s="111"/>
      <c r="B1832" s="127"/>
      <c r="C1832" s="111"/>
      <c r="D1832" s="111"/>
      <c r="E1832" s="111"/>
      <c r="F1832" s="111"/>
      <c r="G1832" s="111"/>
      <c r="H1832" s="111"/>
      <c r="I1832" s="127"/>
      <c r="J1832" s="111"/>
      <c r="K1832" s="111"/>
      <c r="L1832" s="111"/>
      <c r="M1832" s="127"/>
      <c r="N1832" s="270"/>
      <c r="O1832" s="111"/>
      <c r="P1832" s="111"/>
      <c r="Q1832" s="127"/>
      <c r="R1832" s="124"/>
      <c r="S1832" s="125"/>
      <c r="T1832" s="125"/>
      <c r="U1832" s="125"/>
      <c r="V1832" s="125"/>
      <c r="W1832" s="125"/>
      <c r="X1832" s="125"/>
      <c r="Y1832" s="125"/>
      <c r="Z1832" s="127"/>
      <c r="AA1832" s="127"/>
      <c r="AB1832" s="127"/>
      <c r="AC1832" s="127"/>
      <c r="AD1832" s="261"/>
      <c r="AE1832" s="261"/>
      <c r="AF1832" s="261"/>
      <c r="AG1832" s="261"/>
    </row>
    <row r="1833" ht="34.5" hidden="1" customHeight="1">
      <c r="A1833" s="111"/>
      <c r="B1833" s="127"/>
      <c r="C1833" s="111"/>
      <c r="D1833" s="111"/>
      <c r="E1833" s="111"/>
      <c r="F1833" s="111"/>
      <c r="G1833" s="111"/>
      <c r="H1833" s="111"/>
      <c r="I1833" s="127"/>
      <c r="J1833" s="111"/>
      <c r="K1833" s="111"/>
      <c r="L1833" s="111"/>
      <c r="M1833" s="127"/>
      <c r="N1833" s="270"/>
      <c r="O1833" s="111"/>
      <c r="P1833" s="111"/>
      <c r="Q1833" s="127"/>
      <c r="R1833" s="124"/>
      <c r="S1833" s="125"/>
      <c r="T1833" s="125"/>
      <c r="U1833" s="125"/>
      <c r="V1833" s="125"/>
      <c r="W1833" s="125"/>
      <c r="X1833" s="125"/>
      <c r="Y1833" s="125"/>
      <c r="Z1833" s="127"/>
      <c r="AA1833" s="127"/>
      <c r="AB1833" s="127"/>
      <c r="AC1833" s="127"/>
      <c r="AD1833" s="261"/>
      <c r="AE1833" s="261"/>
      <c r="AF1833" s="261"/>
      <c r="AG1833" s="261"/>
    </row>
    <row r="1834" ht="34.5" hidden="1" customHeight="1">
      <c r="A1834" s="111"/>
      <c r="B1834" s="127"/>
      <c r="C1834" s="111"/>
      <c r="D1834" s="111"/>
      <c r="E1834" s="111"/>
      <c r="F1834" s="111"/>
      <c r="G1834" s="111"/>
      <c r="H1834" s="111"/>
      <c r="I1834" s="127"/>
      <c r="J1834" s="111"/>
      <c r="K1834" s="111"/>
      <c r="L1834" s="111"/>
      <c r="M1834" s="127"/>
      <c r="N1834" s="270"/>
      <c r="O1834" s="111"/>
      <c r="P1834" s="111"/>
      <c r="Q1834" s="127"/>
      <c r="R1834" s="124"/>
      <c r="S1834" s="125"/>
      <c r="T1834" s="125"/>
      <c r="U1834" s="125"/>
      <c r="V1834" s="125"/>
      <c r="W1834" s="125"/>
      <c r="X1834" s="125"/>
      <c r="Y1834" s="125"/>
      <c r="Z1834" s="127"/>
      <c r="AA1834" s="127"/>
      <c r="AB1834" s="127"/>
      <c r="AC1834" s="127"/>
      <c r="AD1834" s="261"/>
      <c r="AE1834" s="261"/>
      <c r="AF1834" s="261"/>
      <c r="AG1834" s="261"/>
    </row>
    <row r="1835" ht="34.5" hidden="1" customHeight="1">
      <c r="A1835" s="111"/>
      <c r="B1835" s="127"/>
      <c r="C1835" s="111"/>
      <c r="D1835" s="111"/>
      <c r="E1835" s="111"/>
      <c r="F1835" s="111"/>
      <c r="G1835" s="111"/>
      <c r="H1835" s="111"/>
      <c r="I1835" s="127"/>
      <c r="J1835" s="111"/>
      <c r="K1835" s="111"/>
      <c r="L1835" s="111"/>
      <c r="M1835" s="127"/>
      <c r="N1835" s="270"/>
      <c r="O1835" s="111"/>
      <c r="P1835" s="111"/>
      <c r="Q1835" s="127"/>
      <c r="R1835" s="124"/>
      <c r="S1835" s="125"/>
      <c r="T1835" s="125"/>
      <c r="U1835" s="125"/>
      <c r="V1835" s="125"/>
      <c r="W1835" s="125"/>
      <c r="X1835" s="125"/>
      <c r="Y1835" s="125"/>
      <c r="Z1835" s="127"/>
      <c r="AA1835" s="127"/>
      <c r="AB1835" s="127"/>
      <c r="AC1835" s="127"/>
      <c r="AD1835" s="261"/>
      <c r="AE1835" s="261"/>
      <c r="AF1835" s="261"/>
      <c r="AG1835" s="261"/>
    </row>
    <row r="1836" ht="34.5" hidden="1" customHeight="1">
      <c r="A1836" s="111"/>
      <c r="B1836" s="127"/>
      <c r="C1836" s="111"/>
      <c r="D1836" s="111"/>
      <c r="E1836" s="111"/>
      <c r="F1836" s="111"/>
      <c r="G1836" s="111"/>
      <c r="H1836" s="111"/>
      <c r="I1836" s="127"/>
      <c r="J1836" s="111"/>
      <c r="K1836" s="111"/>
      <c r="L1836" s="111"/>
      <c r="M1836" s="127"/>
      <c r="N1836" s="270"/>
      <c r="O1836" s="111"/>
      <c r="P1836" s="111"/>
      <c r="Q1836" s="127"/>
      <c r="R1836" s="124"/>
      <c r="S1836" s="125"/>
      <c r="T1836" s="125"/>
      <c r="U1836" s="125"/>
      <c r="V1836" s="125"/>
      <c r="W1836" s="125"/>
      <c r="X1836" s="125"/>
      <c r="Y1836" s="125"/>
      <c r="Z1836" s="127"/>
      <c r="AA1836" s="127"/>
      <c r="AB1836" s="127"/>
      <c r="AC1836" s="127"/>
      <c r="AD1836" s="261"/>
      <c r="AE1836" s="261"/>
      <c r="AF1836" s="261"/>
      <c r="AG1836" s="261"/>
    </row>
    <row r="1837" ht="34.5" hidden="1" customHeight="1">
      <c r="A1837" s="111"/>
      <c r="B1837" s="127"/>
      <c r="C1837" s="111"/>
      <c r="D1837" s="111"/>
      <c r="E1837" s="111"/>
      <c r="F1837" s="111"/>
      <c r="G1837" s="111"/>
      <c r="H1837" s="111"/>
      <c r="I1837" s="127"/>
      <c r="J1837" s="111"/>
      <c r="K1837" s="111"/>
      <c r="L1837" s="111"/>
      <c r="M1837" s="127"/>
      <c r="N1837" s="270"/>
      <c r="O1837" s="111"/>
      <c r="P1837" s="111"/>
      <c r="Q1837" s="127"/>
      <c r="R1837" s="124"/>
      <c r="S1837" s="125"/>
      <c r="T1837" s="125"/>
      <c r="U1837" s="125"/>
      <c r="V1837" s="125"/>
      <c r="W1837" s="125"/>
      <c r="X1837" s="125"/>
      <c r="Y1837" s="125"/>
      <c r="Z1837" s="127"/>
      <c r="AA1837" s="127"/>
      <c r="AB1837" s="127"/>
      <c r="AC1837" s="127"/>
      <c r="AD1837" s="261"/>
      <c r="AE1837" s="261"/>
      <c r="AF1837" s="261"/>
      <c r="AG1837" s="261"/>
    </row>
    <row r="1838" ht="34.5" hidden="1" customHeight="1">
      <c r="A1838" s="111"/>
      <c r="B1838" s="127"/>
      <c r="C1838" s="111"/>
      <c r="D1838" s="111"/>
      <c r="E1838" s="111"/>
      <c r="F1838" s="111"/>
      <c r="G1838" s="111"/>
      <c r="H1838" s="111"/>
      <c r="I1838" s="127"/>
      <c r="J1838" s="111"/>
      <c r="K1838" s="111"/>
      <c r="L1838" s="111"/>
      <c r="M1838" s="127"/>
      <c r="N1838" s="270"/>
      <c r="O1838" s="111"/>
      <c r="P1838" s="111"/>
      <c r="Q1838" s="127"/>
      <c r="R1838" s="124"/>
      <c r="S1838" s="125"/>
      <c r="T1838" s="125"/>
      <c r="U1838" s="125"/>
      <c r="V1838" s="125"/>
      <c r="W1838" s="125"/>
      <c r="X1838" s="125"/>
      <c r="Y1838" s="125"/>
      <c r="Z1838" s="127"/>
      <c r="AA1838" s="127"/>
      <c r="AB1838" s="127"/>
      <c r="AC1838" s="127"/>
      <c r="AD1838" s="261"/>
      <c r="AE1838" s="261"/>
      <c r="AF1838" s="261"/>
      <c r="AG1838" s="261"/>
    </row>
    <row r="1839" ht="34.5" hidden="1" customHeight="1">
      <c r="A1839" s="111"/>
      <c r="B1839" s="127"/>
      <c r="C1839" s="111"/>
      <c r="D1839" s="111"/>
      <c r="E1839" s="111"/>
      <c r="F1839" s="111"/>
      <c r="G1839" s="111"/>
      <c r="H1839" s="111"/>
      <c r="I1839" s="127"/>
      <c r="J1839" s="111"/>
      <c r="K1839" s="111"/>
      <c r="L1839" s="111"/>
      <c r="M1839" s="127"/>
      <c r="N1839" s="270"/>
      <c r="O1839" s="111"/>
      <c r="P1839" s="111"/>
      <c r="Q1839" s="127"/>
      <c r="R1839" s="124"/>
      <c r="S1839" s="125"/>
      <c r="T1839" s="125"/>
      <c r="U1839" s="125"/>
      <c r="V1839" s="125"/>
      <c r="W1839" s="125"/>
      <c r="X1839" s="125"/>
      <c r="Y1839" s="125"/>
      <c r="Z1839" s="127"/>
      <c r="AA1839" s="127"/>
      <c r="AB1839" s="127"/>
      <c r="AC1839" s="127"/>
      <c r="AD1839" s="261"/>
      <c r="AE1839" s="261"/>
      <c r="AF1839" s="261"/>
      <c r="AG1839" s="261"/>
    </row>
    <row r="1840" ht="34.5" hidden="1" customHeight="1">
      <c r="A1840" s="111"/>
      <c r="B1840" s="127"/>
      <c r="C1840" s="111"/>
      <c r="D1840" s="111"/>
      <c r="E1840" s="111"/>
      <c r="F1840" s="111"/>
      <c r="G1840" s="111"/>
      <c r="H1840" s="111"/>
      <c r="I1840" s="127"/>
      <c r="J1840" s="111"/>
      <c r="K1840" s="111"/>
      <c r="L1840" s="111"/>
      <c r="M1840" s="127"/>
      <c r="N1840" s="270"/>
      <c r="O1840" s="111"/>
      <c r="P1840" s="111"/>
      <c r="Q1840" s="127"/>
      <c r="R1840" s="124"/>
      <c r="S1840" s="125"/>
      <c r="T1840" s="125"/>
      <c r="U1840" s="125"/>
      <c r="V1840" s="125"/>
      <c r="W1840" s="125"/>
      <c r="X1840" s="125"/>
      <c r="Y1840" s="125"/>
      <c r="Z1840" s="127"/>
      <c r="AA1840" s="127"/>
      <c r="AB1840" s="127"/>
      <c r="AC1840" s="127"/>
      <c r="AD1840" s="261"/>
      <c r="AE1840" s="261"/>
      <c r="AF1840" s="261"/>
      <c r="AG1840" s="261"/>
    </row>
    <row r="1841" ht="34.5" hidden="1" customHeight="1">
      <c r="A1841" s="111"/>
      <c r="B1841" s="127"/>
      <c r="C1841" s="111"/>
      <c r="D1841" s="111"/>
      <c r="E1841" s="111"/>
      <c r="F1841" s="111"/>
      <c r="G1841" s="111"/>
      <c r="H1841" s="111"/>
      <c r="I1841" s="127"/>
      <c r="J1841" s="111"/>
      <c r="K1841" s="111"/>
      <c r="L1841" s="111"/>
      <c r="M1841" s="127"/>
      <c r="N1841" s="270"/>
      <c r="O1841" s="111"/>
      <c r="P1841" s="111"/>
      <c r="Q1841" s="127"/>
      <c r="R1841" s="124"/>
      <c r="S1841" s="125"/>
      <c r="T1841" s="125"/>
      <c r="U1841" s="125"/>
      <c r="V1841" s="125"/>
      <c r="W1841" s="125"/>
      <c r="X1841" s="125"/>
      <c r="Y1841" s="125"/>
      <c r="Z1841" s="127"/>
      <c r="AA1841" s="127"/>
      <c r="AB1841" s="127"/>
      <c r="AC1841" s="127"/>
      <c r="AD1841" s="261"/>
      <c r="AE1841" s="261"/>
      <c r="AF1841" s="261"/>
      <c r="AG1841" s="261"/>
    </row>
    <row r="1842" ht="34.5" hidden="1" customHeight="1">
      <c r="A1842" s="111"/>
      <c r="B1842" s="127"/>
      <c r="C1842" s="111"/>
      <c r="D1842" s="111"/>
      <c r="E1842" s="111"/>
      <c r="F1842" s="111"/>
      <c r="G1842" s="111"/>
      <c r="H1842" s="111"/>
      <c r="I1842" s="127"/>
      <c r="J1842" s="111"/>
      <c r="K1842" s="111"/>
      <c r="L1842" s="111"/>
      <c r="M1842" s="127"/>
      <c r="N1842" s="270"/>
      <c r="O1842" s="111"/>
      <c r="P1842" s="111"/>
      <c r="Q1842" s="127"/>
      <c r="R1842" s="124"/>
      <c r="S1842" s="125"/>
      <c r="T1842" s="125"/>
      <c r="U1842" s="125"/>
      <c r="V1842" s="125"/>
      <c r="W1842" s="125"/>
      <c r="X1842" s="125"/>
      <c r="Y1842" s="125"/>
      <c r="Z1842" s="127"/>
      <c r="AA1842" s="127"/>
      <c r="AB1842" s="127"/>
      <c r="AC1842" s="127"/>
      <c r="AD1842" s="261"/>
      <c r="AE1842" s="261"/>
      <c r="AF1842" s="261"/>
      <c r="AG1842" s="261"/>
    </row>
    <row r="1843" ht="34.5" hidden="1" customHeight="1">
      <c r="A1843" s="111"/>
      <c r="B1843" s="127"/>
      <c r="C1843" s="111"/>
      <c r="D1843" s="111"/>
      <c r="E1843" s="111"/>
      <c r="F1843" s="111"/>
      <c r="G1843" s="111"/>
      <c r="H1843" s="111"/>
      <c r="I1843" s="127"/>
      <c r="J1843" s="111"/>
      <c r="K1843" s="111"/>
      <c r="L1843" s="111"/>
      <c r="M1843" s="127"/>
      <c r="N1843" s="270"/>
      <c r="O1843" s="111"/>
      <c r="P1843" s="111"/>
      <c r="Q1843" s="127"/>
      <c r="R1843" s="124"/>
      <c r="S1843" s="125"/>
      <c r="T1843" s="125"/>
      <c r="U1843" s="125"/>
      <c r="V1843" s="125"/>
      <c r="W1843" s="125"/>
      <c r="X1843" s="125"/>
      <c r="Y1843" s="125"/>
      <c r="Z1843" s="127"/>
      <c r="AA1843" s="127"/>
      <c r="AB1843" s="127"/>
      <c r="AC1843" s="127"/>
      <c r="AD1843" s="261"/>
      <c r="AE1843" s="261"/>
      <c r="AF1843" s="261"/>
      <c r="AG1843" s="261"/>
    </row>
    <row r="1844" ht="34.5" hidden="1" customHeight="1">
      <c r="A1844" s="111"/>
      <c r="B1844" s="127"/>
      <c r="C1844" s="111"/>
      <c r="D1844" s="111"/>
      <c r="E1844" s="111"/>
      <c r="F1844" s="111"/>
      <c r="G1844" s="111"/>
      <c r="H1844" s="111"/>
      <c r="I1844" s="127"/>
      <c r="J1844" s="111"/>
      <c r="K1844" s="111"/>
      <c r="L1844" s="111"/>
      <c r="M1844" s="127"/>
      <c r="N1844" s="270"/>
      <c r="O1844" s="111"/>
      <c r="P1844" s="111"/>
      <c r="Q1844" s="127"/>
      <c r="R1844" s="124"/>
      <c r="S1844" s="125"/>
      <c r="T1844" s="125"/>
      <c r="U1844" s="125"/>
      <c r="V1844" s="125"/>
      <c r="W1844" s="125"/>
      <c r="X1844" s="125"/>
      <c r="Y1844" s="125"/>
      <c r="Z1844" s="127"/>
      <c r="AA1844" s="127"/>
      <c r="AB1844" s="127"/>
      <c r="AC1844" s="127"/>
      <c r="AD1844" s="261"/>
      <c r="AE1844" s="261"/>
      <c r="AF1844" s="261"/>
      <c r="AG1844" s="261"/>
    </row>
    <row r="1845" ht="34.5" hidden="1" customHeight="1">
      <c r="A1845" s="111"/>
      <c r="B1845" s="127"/>
      <c r="C1845" s="111"/>
      <c r="D1845" s="111"/>
      <c r="E1845" s="111"/>
      <c r="F1845" s="111"/>
      <c r="G1845" s="111"/>
      <c r="H1845" s="111"/>
      <c r="I1845" s="127"/>
      <c r="J1845" s="111"/>
      <c r="K1845" s="111"/>
      <c r="L1845" s="111"/>
      <c r="M1845" s="127"/>
      <c r="N1845" s="270"/>
      <c r="O1845" s="111"/>
      <c r="P1845" s="111"/>
      <c r="Q1845" s="127"/>
      <c r="R1845" s="124"/>
      <c r="S1845" s="125"/>
      <c r="T1845" s="125"/>
      <c r="U1845" s="125"/>
      <c r="V1845" s="125"/>
      <c r="W1845" s="125"/>
      <c r="X1845" s="125"/>
      <c r="Y1845" s="125"/>
      <c r="Z1845" s="127"/>
      <c r="AA1845" s="127"/>
      <c r="AB1845" s="127"/>
      <c r="AC1845" s="127"/>
      <c r="AD1845" s="261"/>
      <c r="AE1845" s="261"/>
      <c r="AF1845" s="261"/>
      <c r="AG1845" s="261"/>
    </row>
    <row r="1846" ht="34.5" hidden="1" customHeight="1">
      <c r="A1846" s="111"/>
      <c r="B1846" s="127"/>
      <c r="C1846" s="111"/>
      <c r="D1846" s="111"/>
      <c r="E1846" s="111"/>
      <c r="F1846" s="111"/>
      <c r="G1846" s="111"/>
      <c r="H1846" s="111"/>
      <c r="I1846" s="127"/>
      <c r="J1846" s="111"/>
      <c r="K1846" s="111"/>
      <c r="L1846" s="111"/>
      <c r="M1846" s="127"/>
      <c r="N1846" s="270"/>
      <c r="O1846" s="111"/>
      <c r="P1846" s="111"/>
      <c r="Q1846" s="127"/>
      <c r="R1846" s="124"/>
      <c r="S1846" s="125"/>
      <c r="T1846" s="125"/>
      <c r="U1846" s="125"/>
      <c r="V1846" s="125"/>
      <c r="W1846" s="125"/>
      <c r="X1846" s="125"/>
      <c r="Y1846" s="125"/>
      <c r="Z1846" s="127"/>
      <c r="AA1846" s="127"/>
      <c r="AB1846" s="127"/>
      <c r="AC1846" s="127"/>
      <c r="AD1846" s="261"/>
      <c r="AE1846" s="261"/>
      <c r="AF1846" s="261"/>
      <c r="AG1846" s="261"/>
    </row>
    <row r="1847" ht="34.5" hidden="1" customHeight="1">
      <c r="A1847" s="111"/>
      <c r="B1847" s="127"/>
      <c r="C1847" s="111"/>
      <c r="D1847" s="111"/>
      <c r="E1847" s="111"/>
      <c r="F1847" s="111"/>
      <c r="G1847" s="111"/>
      <c r="H1847" s="111"/>
      <c r="I1847" s="127"/>
      <c r="J1847" s="111"/>
      <c r="K1847" s="111"/>
      <c r="L1847" s="111"/>
      <c r="M1847" s="127"/>
      <c r="N1847" s="270"/>
      <c r="O1847" s="111"/>
      <c r="P1847" s="111"/>
      <c r="Q1847" s="127"/>
      <c r="R1847" s="124"/>
      <c r="S1847" s="125"/>
      <c r="T1847" s="125"/>
      <c r="U1847" s="125"/>
      <c r="V1847" s="125"/>
      <c r="W1847" s="125"/>
      <c r="X1847" s="125"/>
      <c r="Y1847" s="125"/>
      <c r="Z1847" s="127"/>
      <c r="AA1847" s="127"/>
      <c r="AB1847" s="127"/>
      <c r="AC1847" s="127"/>
      <c r="AD1847" s="261"/>
      <c r="AE1847" s="261"/>
      <c r="AF1847" s="261"/>
      <c r="AG1847" s="261"/>
    </row>
    <row r="1848" ht="34.5" hidden="1" customHeight="1">
      <c r="A1848" s="111"/>
      <c r="B1848" s="127"/>
      <c r="C1848" s="111"/>
      <c r="D1848" s="111"/>
      <c r="E1848" s="111"/>
      <c r="F1848" s="111"/>
      <c r="G1848" s="111"/>
      <c r="H1848" s="111"/>
      <c r="I1848" s="127"/>
      <c r="J1848" s="111"/>
      <c r="K1848" s="111"/>
      <c r="L1848" s="111"/>
      <c r="M1848" s="127"/>
      <c r="N1848" s="270"/>
      <c r="O1848" s="111"/>
      <c r="P1848" s="111"/>
      <c r="Q1848" s="127"/>
      <c r="R1848" s="124"/>
      <c r="S1848" s="125"/>
      <c r="T1848" s="125"/>
      <c r="U1848" s="125"/>
      <c r="V1848" s="125"/>
      <c r="W1848" s="125"/>
      <c r="X1848" s="125"/>
      <c r="Y1848" s="125"/>
      <c r="Z1848" s="127"/>
      <c r="AA1848" s="127"/>
      <c r="AB1848" s="127"/>
      <c r="AC1848" s="127"/>
      <c r="AD1848" s="261"/>
      <c r="AE1848" s="261"/>
      <c r="AF1848" s="261"/>
      <c r="AG1848" s="261"/>
    </row>
    <row r="1849" ht="34.5" hidden="1" customHeight="1">
      <c r="A1849" s="111"/>
      <c r="B1849" s="127"/>
      <c r="C1849" s="111"/>
      <c r="D1849" s="111"/>
      <c r="E1849" s="111"/>
      <c r="F1849" s="111"/>
      <c r="G1849" s="111"/>
      <c r="H1849" s="111"/>
      <c r="I1849" s="127"/>
      <c r="J1849" s="111"/>
      <c r="K1849" s="111"/>
      <c r="L1849" s="111"/>
      <c r="M1849" s="127"/>
      <c r="N1849" s="270"/>
      <c r="O1849" s="111"/>
      <c r="P1849" s="111"/>
      <c r="Q1849" s="127"/>
      <c r="R1849" s="124"/>
      <c r="S1849" s="125"/>
      <c r="T1849" s="125"/>
      <c r="U1849" s="125"/>
      <c r="V1849" s="125"/>
      <c r="W1849" s="125"/>
      <c r="X1849" s="125"/>
      <c r="Y1849" s="125"/>
      <c r="Z1849" s="127"/>
      <c r="AA1849" s="127"/>
      <c r="AB1849" s="127"/>
      <c r="AC1849" s="127"/>
      <c r="AD1849" s="261"/>
      <c r="AE1849" s="261"/>
      <c r="AF1849" s="261"/>
      <c r="AG1849" s="261"/>
    </row>
    <row r="1850" ht="34.5" hidden="1" customHeight="1">
      <c r="A1850" s="111"/>
      <c r="B1850" s="127"/>
      <c r="C1850" s="111"/>
      <c r="D1850" s="111"/>
      <c r="E1850" s="111"/>
      <c r="F1850" s="111"/>
      <c r="G1850" s="111"/>
      <c r="H1850" s="111"/>
      <c r="I1850" s="127"/>
      <c r="J1850" s="111"/>
      <c r="K1850" s="111"/>
      <c r="L1850" s="111"/>
      <c r="M1850" s="127"/>
      <c r="N1850" s="270"/>
      <c r="O1850" s="111"/>
      <c r="P1850" s="111"/>
      <c r="Q1850" s="127"/>
      <c r="R1850" s="124"/>
      <c r="S1850" s="125"/>
      <c r="T1850" s="125"/>
      <c r="U1850" s="125"/>
      <c r="V1850" s="125"/>
      <c r="W1850" s="125"/>
      <c r="X1850" s="125"/>
      <c r="Y1850" s="125"/>
      <c r="Z1850" s="127"/>
      <c r="AA1850" s="127"/>
      <c r="AB1850" s="127"/>
      <c r="AC1850" s="127"/>
      <c r="AD1850" s="261"/>
      <c r="AE1850" s="261"/>
      <c r="AF1850" s="261"/>
      <c r="AG1850" s="261"/>
    </row>
    <row r="1851" ht="34.5" hidden="1" customHeight="1">
      <c r="A1851" s="111"/>
      <c r="B1851" s="127"/>
      <c r="C1851" s="111"/>
      <c r="D1851" s="111"/>
      <c r="E1851" s="111"/>
      <c r="F1851" s="111"/>
      <c r="G1851" s="111"/>
      <c r="H1851" s="111"/>
      <c r="I1851" s="127"/>
      <c r="J1851" s="111"/>
      <c r="K1851" s="111"/>
      <c r="L1851" s="111"/>
      <c r="M1851" s="127"/>
      <c r="N1851" s="270"/>
      <c r="O1851" s="111"/>
      <c r="P1851" s="111"/>
      <c r="Q1851" s="127"/>
      <c r="R1851" s="124"/>
      <c r="S1851" s="125"/>
      <c r="T1851" s="125"/>
      <c r="U1851" s="125"/>
      <c r="V1851" s="125"/>
      <c r="W1851" s="125"/>
      <c r="X1851" s="125"/>
      <c r="Y1851" s="125"/>
      <c r="Z1851" s="127"/>
      <c r="AA1851" s="127"/>
      <c r="AB1851" s="127"/>
      <c r="AC1851" s="127"/>
      <c r="AD1851" s="261"/>
      <c r="AE1851" s="261"/>
      <c r="AF1851" s="261"/>
      <c r="AG1851" s="261"/>
    </row>
    <row r="1852" ht="34.5" hidden="1" customHeight="1">
      <c r="A1852" s="111"/>
      <c r="B1852" s="127"/>
      <c r="C1852" s="111"/>
      <c r="D1852" s="111"/>
      <c r="E1852" s="111"/>
      <c r="F1852" s="111"/>
      <c r="G1852" s="111"/>
      <c r="H1852" s="111"/>
      <c r="I1852" s="127"/>
      <c r="J1852" s="111"/>
      <c r="K1852" s="111"/>
      <c r="L1852" s="111"/>
      <c r="M1852" s="127"/>
      <c r="N1852" s="270"/>
      <c r="O1852" s="111"/>
      <c r="P1852" s="111"/>
      <c r="Q1852" s="127"/>
      <c r="R1852" s="124"/>
      <c r="S1852" s="125"/>
      <c r="T1852" s="125"/>
      <c r="U1852" s="125"/>
      <c r="V1852" s="125"/>
      <c r="W1852" s="125"/>
      <c r="X1852" s="125"/>
      <c r="Y1852" s="125"/>
      <c r="Z1852" s="127"/>
      <c r="AA1852" s="127"/>
      <c r="AB1852" s="127"/>
      <c r="AC1852" s="127"/>
      <c r="AD1852" s="261"/>
      <c r="AE1852" s="261"/>
      <c r="AF1852" s="261"/>
      <c r="AG1852" s="261"/>
    </row>
    <row r="1853" ht="34.5" hidden="1" customHeight="1">
      <c r="A1853" s="111"/>
      <c r="B1853" s="127"/>
      <c r="C1853" s="111"/>
      <c r="D1853" s="111"/>
      <c r="E1853" s="111"/>
      <c r="F1853" s="111"/>
      <c r="G1853" s="111"/>
      <c r="H1853" s="111"/>
      <c r="I1853" s="127"/>
      <c r="J1853" s="111"/>
      <c r="K1853" s="111"/>
      <c r="L1853" s="111"/>
      <c r="M1853" s="127"/>
      <c r="N1853" s="270"/>
      <c r="O1853" s="111"/>
      <c r="P1853" s="111"/>
      <c r="Q1853" s="127"/>
      <c r="R1853" s="124"/>
      <c r="S1853" s="125"/>
      <c r="T1853" s="125"/>
      <c r="U1853" s="125"/>
      <c r="V1853" s="125"/>
      <c r="W1853" s="125"/>
      <c r="X1853" s="125"/>
      <c r="Y1853" s="125"/>
      <c r="Z1853" s="127"/>
      <c r="AA1853" s="127"/>
      <c r="AB1853" s="127"/>
      <c r="AC1853" s="127"/>
      <c r="AD1853" s="261"/>
      <c r="AE1853" s="261"/>
      <c r="AF1853" s="261"/>
      <c r="AG1853" s="261"/>
    </row>
    <row r="1854" ht="34.5" hidden="1" customHeight="1">
      <c r="A1854" s="111"/>
      <c r="B1854" s="127"/>
      <c r="C1854" s="111"/>
      <c r="D1854" s="111"/>
      <c r="E1854" s="111"/>
      <c r="F1854" s="111"/>
      <c r="G1854" s="111"/>
      <c r="H1854" s="111"/>
      <c r="I1854" s="127"/>
      <c r="J1854" s="111"/>
      <c r="K1854" s="111"/>
      <c r="L1854" s="111"/>
      <c r="M1854" s="127"/>
      <c r="N1854" s="270"/>
      <c r="O1854" s="111"/>
      <c r="P1854" s="111"/>
      <c r="Q1854" s="127"/>
      <c r="R1854" s="124"/>
      <c r="S1854" s="125"/>
      <c r="T1854" s="125"/>
      <c r="U1854" s="125"/>
      <c r="V1854" s="125"/>
      <c r="W1854" s="125"/>
      <c r="X1854" s="125"/>
      <c r="Y1854" s="125"/>
      <c r="Z1854" s="127"/>
      <c r="AA1854" s="127"/>
      <c r="AB1854" s="127"/>
      <c r="AC1854" s="127"/>
      <c r="AD1854" s="261"/>
      <c r="AE1854" s="261"/>
      <c r="AF1854" s="261"/>
      <c r="AG1854" s="261"/>
    </row>
    <row r="1855" ht="34.5" hidden="1" customHeight="1">
      <c r="A1855" s="111"/>
      <c r="B1855" s="127"/>
      <c r="C1855" s="111"/>
      <c r="D1855" s="111"/>
      <c r="E1855" s="111"/>
      <c r="F1855" s="111"/>
      <c r="G1855" s="111"/>
      <c r="H1855" s="111"/>
      <c r="I1855" s="127"/>
      <c r="J1855" s="111"/>
      <c r="K1855" s="111"/>
      <c r="L1855" s="111"/>
      <c r="M1855" s="127"/>
      <c r="N1855" s="270"/>
      <c r="O1855" s="111"/>
      <c r="P1855" s="111"/>
      <c r="Q1855" s="127"/>
      <c r="R1855" s="124"/>
      <c r="S1855" s="125"/>
      <c r="T1855" s="125"/>
      <c r="U1855" s="125"/>
      <c r="V1855" s="125"/>
      <c r="W1855" s="125"/>
      <c r="X1855" s="125"/>
      <c r="Y1855" s="125"/>
      <c r="Z1855" s="127"/>
      <c r="AA1855" s="127"/>
      <c r="AB1855" s="127"/>
      <c r="AC1855" s="127"/>
      <c r="AD1855" s="261"/>
      <c r="AE1855" s="261"/>
      <c r="AF1855" s="261"/>
      <c r="AG1855" s="261"/>
    </row>
    <row r="1856" ht="34.5" hidden="1" customHeight="1">
      <c r="A1856" s="111"/>
      <c r="B1856" s="127"/>
      <c r="C1856" s="111"/>
      <c r="D1856" s="111"/>
      <c r="E1856" s="111"/>
      <c r="F1856" s="111"/>
      <c r="G1856" s="111"/>
      <c r="H1856" s="111"/>
      <c r="I1856" s="127"/>
      <c r="J1856" s="111"/>
      <c r="K1856" s="111"/>
      <c r="L1856" s="111"/>
      <c r="M1856" s="127"/>
      <c r="N1856" s="270"/>
      <c r="O1856" s="111"/>
      <c r="P1856" s="111"/>
      <c r="Q1856" s="127"/>
      <c r="R1856" s="124"/>
      <c r="S1856" s="125"/>
      <c r="T1856" s="125"/>
      <c r="U1856" s="125"/>
      <c r="V1856" s="125"/>
      <c r="W1856" s="125"/>
      <c r="X1856" s="125"/>
      <c r="Y1856" s="125"/>
      <c r="Z1856" s="127"/>
      <c r="AA1856" s="127"/>
      <c r="AB1856" s="127"/>
      <c r="AC1856" s="127"/>
      <c r="AD1856" s="261"/>
      <c r="AE1856" s="261"/>
      <c r="AF1856" s="261"/>
      <c r="AG1856" s="261"/>
    </row>
    <row r="1857" ht="34.5" hidden="1" customHeight="1">
      <c r="A1857" s="111"/>
      <c r="B1857" s="127"/>
      <c r="C1857" s="111"/>
      <c r="D1857" s="111"/>
      <c r="E1857" s="111"/>
      <c r="F1857" s="111"/>
      <c r="G1857" s="111"/>
      <c r="H1857" s="111"/>
      <c r="I1857" s="127"/>
      <c r="J1857" s="111"/>
      <c r="K1857" s="111"/>
      <c r="L1857" s="111"/>
      <c r="M1857" s="127"/>
      <c r="N1857" s="270"/>
      <c r="O1857" s="111"/>
      <c r="P1857" s="111"/>
      <c r="Q1857" s="127"/>
      <c r="R1857" s="124"/>
      <c r="S1857" s="125"/>
      <c r="T1857" s="125"/>
      <c r="U1857" s="125"/>
      <c r="V1857" s="125"/>
      <c r="W1857" s="125"/>
      <c r="X1857" s="125"/>
      <c r="Y1857" s="125"/>
      <c r="Z1857" s="127"/>
      <c r="AA1857" s="127"/>
      <c r="AB1857" s="127"/>
      <c r="AC1857" s="127"/>
      <c r="AD1857" s="261"/>
      <c r="AE1857" s="261"/>
      <c r="AF1857" s="261"/>
      <c r="AG1857" s="261"/>
    </row>
    <row r="1858" ht="34.5" hidden="1" customHeight="1">
      <c r="A1858" s="111"/>
      <c r="B1858" s="127"/>
      <c r="C1858" s="111"/>
      <c r="D1858" s="111"/>
      <c r="E1858" s="111"/>
      <c r="F1858" s="111"/>
      <c r="G1858" s="111"/>
      <c r="H1858" s="111"/>
      <c r="I1858" s="127"/>
      <c r="J1858" s="111"/>
      <c r="K1858" s="111"/>
      <c r="L1858" s="111"/>
      <c r="M1858" s="127"/>
      <c r="N1858" s="270"/>
      <c r="O1858" s="111"/>
      <c r="P1858" s="111"/>
      <c r="Q1858" s="127"/>
      <c r="R1858" s="124"/>
      <c r="S1858" s="125"/>
      <c r="T1858" s="125"/>
      <c r="U1858" s="125"/>
      <c r="V1858" s="125"/>
      <c r="W1858" s="125"/>
      <c r="X1858" s="125"/>
      <c r="Y1858" s="125"/>
      <c r="Z1858" s="127"/>
      <c r="AA1858" s="127"/>
      <c r="AB1858" s="127"/>
      <c r="AC1858" s="127"/>
      <c r="AD1858" s="261"/>
      <c r="AE1858" s="261"/>
      <c r="AF1858" s="261"/>
      <c r="AG1858" s="261"/>
    </row>
    <row r="1859" ht="34.5" hidden="1" customHeight="1">
      <c r="A1859" s="111"/>
      <c r="B1859" s="127"/>
      <c r="C1859" s="111"/>
      <c r="D1859" s="111"/>
      <c r="E1859" s="111"/>
      <c r="F1859" s="111"/>
      <c r="G1859" s="111"/>
      <c r="H1859" s="111"/>
      <c r="I1859" s="127"/>
      <c r="J1859" s="111"/>
      <c r="K1859" s="111"/>
      <c r="L1859" s="111"/>
      <c r="M1859" s="127"/>
      <c r="N1859" s="270"/>
      <c r="O1859" s="111"/>
      <c r="P1859" s="111"/>
      <c r="Q1859" s="127"/>
      <c r="R1859" s="124"/>
      <c r="S1859" s="125"/>
      <c r="T1859" s="125"/>
      <c r="U1859" s="125"/>
      <c r="V1859" s="125"/>
      <c r="W1859" s="125"/>
      <c r="X1859" s="125"/>
      <c r="Y1859" s="125"/>
      <c r="Z1859" s="127"/>
      <c r="AA1859" s="127"/>
      <c r="AB1859" s="127"/>
      <c r="AC1859" s="127"/>
      <c r="AD1859" s="261"/>
      <c r="AE1859" s="261"/>
      <c r="AF1859" s="261"/>
      <c r="AG1859" s="261"/>
    </row>
    <row r="1860" ht="34.5" hidden="1" customHeight="1">
      <c r="A1860" s="111"/>
      <c r="B1860" s="127"/>
      <c r="C1860" s="111"/>
      <c r="D1860" s="111"/>
      <c r="E1860" s="111"/>
      <c r="F1860" s="111"/>
      <c r="G1860" s="111"/>
      <c r="H1860" s="111"/>
      <c r="I1860" s="127"/>
      <c r="J1860" s="111"/>
      <c r="K1860" s="111"/>
      <c r="L1860" s="111"/>
      <c r="M1860" s="127"/>
      <c r="N1860" s="270"/>
      <c r="O1860" s="111"/>
      <c r="P1860" s="111"/>
      <c r="Q1860" s="127"/>
      <c r="R1860" s="124"/>
      <c r="S1860" s="125"/>
      <c r="T1860" s="125"/>
      <c r="U1860" s="125"/>
      <c r="V1860" s="125"/>
      <c r="W1860" s="125"/>
      <c r="X1860" s="125"/>
      <c r="Y1860" s="125"/>
      <c r="Z1860" s="127"/>
      <c r="AA1860" s="127"/>
      <c r="AB1860" s="127"/>
      <c r="AC1860" s="127"/>
      <c r="AD1860" s="261"/>
      <c r="AE1860" s="261"/>
      <c r="AF1860" s="261"/>
      <c r="AG1860" s="261"/>
    </row>
    <row r="1861" ht="34.5" hidden="1" customHeight="1">
      <c r="A1861" s="111"/>
      <c r="B1861" s="127"/>
      <c r="C1861" s="111"/>
      <c r="D1861" s="111"/>
      <c r="E1861" s="111"/>
      <c r="F1861" s="111"/>
      <c r="G1861" s="111"/>
      <c r="H1861" s="111"/>
      <c r="I1861" s="127"/>
      <c r="J1861" s="111"/>
      <c r="K1861" s="111"/>
      <c r="L1861" s="111"/>
      <c r="M1861" s="127"/>
      <c r="N1861" s="270"/>
      <c r="O1861" s="111"/>
      <c r="P1861" s="111"/>
      <c r="Q1861" s="127"/>
      <c r="R1861" s="124"/>
      <c r="S1861" s="125"/>
      <c r="T1861" s="125"/>
      <c r="U1861" s="125"/>
      <c r="V1861" s="125"/>
      <c r="W1861" s="125"/>
      <c r="X1861" s="125"/>
      <c r="Y1861" s="125"/>
      <c r="Z1861" s="127"/>
      <c r="AA1861" s="127"/>
      <c r="AB1861" s="127"/>
      <c r="AC1861" s="127"/>
      <c r="AD1861" s="261"/>
      <c r="AE1861" s="261"/>
      <c r="AF1861" s="261"/>
      <c r="AG1861" s="261"/>
    </row>
    <row r="1862" ht="34.5" hidden="1" customHeight="1">
      <c r="A1862" s="111"/>
      <c r="B1862" s="127"/>
      <c r="C1862" s="111"/>
      <c r="D1862" s="111"/>
      <c r="E1862" s="111"/>
      <c r="F1862" s="111"/>
      <c r="G1862" s="111"/>
      <c r="H1862" s="111"/>
      <c r="I1862" s="127"/>
      <c r="J1862" s="111"/>
      <c r="K1862" s="111"/>
      <c r="L1862" s="111"/>
      <c r="M1862" s="127"/>
      <c r="N1862" s="270"/>
      <c r="O1862" s="111"/>
      <c r="P1862" s="111"/>
      <c r="Q1862" s="127"/>
      <c r="R1862" s="124"/>
      <c r="S1862" s="125"/>
      <c r="T1862" s="125"/>
      <c r="U1862" s="125"/>
      <c r="V1862" s="125"/>
      <c r="W1862" s="125"/>
      <c r="X1862" s="125"/>
      <c r="Y1862" s="125"/>
      <c r="Z1862" s="127"/>
      <c r="AA1862" s="127"/>
      <c r="AB1862" s="127"/>
      <c r="AC1862" s="127"/>
      <c r="AD1862" s="261"/>
      <c r="AE1862" s="261"/>
      <c r="AF1862" s="261"/>
      <c r="AG1862" s="261"/>
    </row>
    <row r="1863" ht="34.5" hidden="1" customHeight="1">
      <c r="A1863" s="111"/>
      <c r="B1863" s="127"/>
      <c r="C1863" s="111"/>
      <c r="D1863" s="111"/>
      <c r="E1863" s="111"/>
      <c r="F1863" s="111"/>
      <c r="G1863" s="111"/>
      <c r="H1863" s="111"/>
      <c r="I1863" s="127"/>
      <c r="J1863" s="111"/>
      <c r="K1863" s="111"/>
      <c r="L1863" s="111"/>
      <c r="M1863" s="127"/>
      <c r="N1863" s="270"/>
      <c r="O1863" s="111"/>
      <c r="P1863" s="111"/>
      <c r="Q1863" s="127"/>
      <c r="R1863" s="124"/>
      <c r="S1863" s="125"/>
      <c r="T1863" s="125"/>
      <c r="U1863" s="125"/>
      <c r="V1863" s="125"/>
      <c r="W1863" s="125"/>
      <c r="X1863" s="125"/>
      <c r="Y1863" s="125"/>
      <c r="Z1863" s="127"/>
      <c r="AA1863" s="127"/>
      <c r="AB1863" s="127"/>
      <c r="AC1863" s="127"/>
      <c r="AD1863" s="261"/>
      <c r="AE1863" s="261"/>
      <c r="AF1863" s="261"/>
      <c r="AG1863" s="261"/>
    </row>
    <row r="1864" ht="34.5" hidden="1" customHeight="1">
      <c r="A1864" s="111"/>
      <c r="B1864" s="127"/>
      <c r="C1864" s="111"/>
      <c r="D1864" s="111"/>
      <c r="E1864" s="111"/>
      <c r="F1864" s="111"/>
      <c r="G1864" s="111"/>
      <c r="H1864" s="111"/>
      <c r="I1864" s="127"/>
      <c r="J1864" s="111"/>
      <c r="K1864" s="111"/>
      <c r="L1864" s="111"/>
      <c r="M1864" s="127"/>
      <c r="N1864" s="270"/>
      <c r="O1864" s="111"/>
      <c r="P1864" s="111"/>
      <c r="Q1864" s="127"/>
      <c r="R1864" s="124"/>
      <c r="S1864" s="125"/>
      <c r="T1864" s="125"/>
      <c r="U1864" s="125"/>
      <c r="V1864" s="125"/>
      <c r="W1864" s="125"/>
      <c r="X1864" s="125"/>
      <c r="Y1864" s="125"/>
      <c r="Z1864" s="127"/>
      <c r="AA1864" s="127"/>
      <c r="AB1864" s="127"/>
      <c r="AC1864" s="127"/>
      <c r="AD1864" s="261"/>
      <c r="AE1864" s="261"/>
      <c r="AF1864" s="261"/>
      <c r="AG1864" s="261"/>
    </row>
    <row r="1865" ht="34.5" hidden="1" customHeight="1">
      <c r="A1865" s="111"/>
      <c r="B1865" s="127"/>
      <c r="C1865" s="111"/>
      <c r="D1865" s="111"/>
      <c r="E1865" s="111"/>
      <c r="F1865" s="111"/>
      <c r="G1865" s="111"/>
      <c r="H1865" s="111"/>
      <c r="I1865" s="127"/>
      <c r="J1865" s="111"/>
      <c r="K1865" s="111"/>
      <c r="L1865" s="111"/>
      <c r="M1865" s="127"/>
      <c r="N1865" s="270"/>
      <c r="O1865" s="111"/>
      <c r="P1865" s="111"/>
      <c r="Q1865" s="127"/>
      <c r="R1865" s="124"/>
      <c r="S1865" s="125"/>
      <c r="T1865" s="125"/>
      <c r="U1865" s="125"/>
      <c r="V1865" s="125"/>
      <c r="W1865" s="125"/>
      <c r="X1865" s="125"/>
      <c r="Y1865" s="125"/>
      <c r="Z1865" s="127"/>
      <c r="AA1865" s="127"/>
      <c r="AB1865" s="127"/>
      <c r="AC1865" s="127"/>
      <c r="AD1865" s="261"/>
      <c r="AE1865" s="261"/>
      <c r="AF1865" s="261"/>
      <c r="AG1865" s="261"/>
    </row>
    <row r="1866" ht="34.5" hidden="1" customHeight="1">
      <c r="A1866" s="111"/>
      <c r="B1866" s="127"/>
      <c r="C1866" s="111"/>
      <c r="D1866" s="111"/>
      <c r="E1866" s="111"/>
      <c r="F1866" s="111"/>
      <c r="G1866" s="111"/>
      <c r="H1866" s="111"/>
      <c r="I1866" s="127"/>
      <c r="J1866" s="111"/>
      <c r="K1866" s="111"/>
      <c r="L1866" s="111"/>
      <c r="M1866" s="127"/>
      <c r="N1866" s="270"/>
      <c r="O1866" s="111"/>
      <c r="P1866" s="111"/>
      <c r="Q1866" s="127"/>
      <c r="R1866" s="124"/>
      <c r="S1866" s="125"/>
      <c r="T1866" s="125"/>
      <c r="U1866" s="125"/>
      <c r="V1866" s="125"/>
      <c r="W1866" s="125"/>
      <c r="X1866" s="125"/>
      <c r="Y1866" s="125"/>
      <c r="Z1866" s="127"/>
      <c r="AA1866" s="127"/>
      <c r="AB1866" s="127"/>
      <c r="AC1866" s="127"/>
      <c r="AD1866" s="261"/>
      <c r="AE1866" s="261"/>
      <c r="AF1866" s="261"/>
      <c r="AG1866" s="261"/>
    </row>
    <row r="1867" ht="34.5" hidden="1" customHeight="1">
      <c r="A1867" s="111"/>
      <c r="B1867" s="127"/>
      <c r="C1867" s="111"/>
      <c r="D1867" s="111"/>
      <c r="E1867" s="111"/>
      <c r="F1867" s="111"/>
      <c r="G1867" s="111"/>
      <c r="H1867" s="111"/>
      <c r="I1867" s="127"/>
      <c r="J1867" s="111"/>
      <c r="K1867" s="111"/>
      <c r="L1867" s="111"/>
      <c r="M1867" s="127"/>
      <c r="N1867" s="270"/>
      <c r="O1867" s="111"/>
      <c r="P1867" s="111"/>
      <c r="Q1867" s="127"/>
      <c r="R1867" s="124"/>
      <c r="S1867" s="125"/>
      <c r="T1867" s="125"/>
      <c r="U1867" s="125"/>
      <c r="V1867" s="125"/>
      <c r="W1867" s="125"/>
      <c r="X1867" s="125"/>
      <c r="Y1867" s="125"/>
      <c r="Z1867" s="127"/>
      <c r="AA1867" s="127"/>
      <c r="AB1867" s="127"/>
      <c r="AC1867" s="127"/>
      <c r="AD1867" s="261"/>
      <c r="AE1867" s="261"/>
      <c r="AF1867" s="261"/>
      <c r="AG1867" s="261"/>
    </row>
    <row r="1868" ht="34.5" hidden="1" customHeight="1">
      <c r="A1868" s="111"/>
      <c r="B1868" s="127"/>
      <c r="C1868" s="111"/>
      <c r="D1868" s="111"/>
      <c r="E1868" s="111"/>
      <c r="F1868" s="111"/>
      <c r="G1868" s="111"/>
      <c r="H1868" s="111"/>
      <c r="I1868" s="127"/>
      <c r="J1868" s="111"/>
      <c r="K1868" s="111"/>
      <c r="L1868" s="111"/>
      <c r="M1868" s="127"/>
      <c r="N1868" s="270"/>
      <c r="O1868" s="111"/>
      <c r="P1868" s="111"/>
      <c r="Q1868" s="127"/>
      <c r="R1868" s="124"/>
      <c r="S1868" s="125"/>
      <c r="T1868" s="125"/>
      <c r="U1868" s="125"/>
      <c r="V1868" s="125"/>
      <c r="W1868" s="125"/>
      <c r="X1868" s="125"/>
      <c r="Y1868" s="125"/>
      <c r="Z1868" s="127"/>
      <c r="AA1868" s="127"/>
      <c r="AB1868" s="127"/>
      <c r="AC1868" s="127"/>
      <c r="AD1868" s="261"/>
      <c r="AE1868" s="261"/>
      <c r="AF1868" s="261"/>
      <c r="AG1868" s="261"/>
    </row>
    <row r="1869" ht="34.5" hidden="1" customHeight="1">
      <c r="A1869" s="111"/>
      <c r="B1869" s="127"/>
      <c r="C1869" s="111"/>
      <c r="D1869" s="111"/>
      <c r="E1869" s="111"/>
      <c r="F1869" s="111"/>
      <c r="G1869" s="111"/>
      <c r="H1869" s="111"/>
      <c r="I1869" s="127"/>
      <c r="J1869" s="111"/>
      <c r="K1869" s="111"/>
      <c r="L1869" s="111"/>
      <c r="M1869" s="127"/>
      <c r="N1869" s="270"/>
      <c r="O1869" s="111"/>
      <c r="P1869" s="111"/>
      <c r="Q1869" s="127"/>
      <c r="R1869" s="124"/>
      <c r="S1869" s="125"/>
      <c r="T1869" s="125"/>
      <c r="U1869" s="125"/>
      <c r="V1869" s="125"/>
      <c r="W1869" s="125"/>
      <c r="X1869" s="125"/>
      <c r="Y1869" s="125"/>
      <c r="Z1869" s="127"/>
      <c r="AA1869" s="127"/>
      <c r="AB1869" s="127"/>
      <c r="AC1869" s="127"/>
      <c r="AD1869" s="261"/>
      <c r="AE1869" s="261"/>
      <c r="AF1869" s="261"/>
      <c r="AG1869" s="261"/>
    </row>
    <row r="1870" ht="34.5" hidden="1" customHeight="1">
      <c r="A1870" s="111"/>
      <c r="B1870" s="127"/>
      <c r="C1870" s="111"/>
      <c r="D1870" s="111"/>
      <c r="E1870" s="111"/>
      <c r="F1870" s="111"/>
      <c r="G1870" s="111"/>
      <c r="H1870" s="111"/>
      <c r="I1870" s="127"/>
      <c r="J1870" s="111"/>
      <c r="K1870" s="111"/>
      <c r="L1870" s="111"/>
      <c r="M1870" s="127"/>
      <c r="N1870" s="270"/>
      <c r="O1870" s="111"/>
      <c r="P1870" s="111"/>
      <c r="Q1870" s="127"/>
      <c r="R1870" s="124"/>
      <c r="S1870" s="125"/>
      <c r="T1870" s="125"/>
      <c r="U1870" s="125"/>
      <c r="V1870" s="125"/>
      <c r="W1870" s="125"/>
      <c r="X1870" s="125"/>
      <c r="Y1870" s="125"/>
      <c r="Z1870" s="127"/>
      <c r="AA1870" s="127"/>
      <c r="AB1870" s="127"/>
      <c r="AC1870" s="127"/>
      <c r="AD1870" s="261"/>
      <c r="AE1870" s="261"/>
      <c r="AF1870" s="261"/>
      <c r="AG1870" s="261"/>
    </row>
    <row r="1871" ht="34.5" hidden="1" customHeight="1">
      <c r="A1871" s="111"/>
      <c r="B1871" s="127"/>
      <c r="C1871" s="111"/>
      <c r="D1871" s="111"/>
      <c r="E1871" s="111"/>
      <c r="F1871" s="111"/>
      <c r="G1871" s="111"/>
      <c r="H1871" s="111"/>
      <c r="I1871" s="127"/>
      <c r="J1871" s="111"/>
      <c r="K1871" s="111"/>
      <c r="L1871" s="111"/>
      <c r="M1871" s="127"/>
      <c r="N1871" s="270"/>
      <c r="O1871" s="111"/>
      <c r="P1871" s="111"/>
      <c r="Q1871" s="127"/>
      <c r="R1871" s="124"/>
      <c r="S1871" s="125"/>
      <c r="T1871" s="125"/>
      <c r="U1871" s="125"/>
      <c r="V1871" s="125"/>
      <c r="W1871" s="125"/>
      <c r="X1871" s="125"/>
      <c r="Y1871" s="125"/>
      <c r="Z1871" s="127"/>
      <c r="AA1871" s="127"/>
      <c r="AB1871" s="127"/>
      <c r="AC1871" s="127"/>
      <c r="AD1871" s="261"/>
      <c r="AE1871" s="261"/>
      <c r="AF1871" s="261"/>
      <c r="AG1871" s="261"/>
    </row>
    <row r="1872" ht="34.5" hidden="1" customHeight="1">
      <c r="A1872" s="111"/>
      <c r="B1872" s="127"/>
      <c r="C1872" s="111"/>
      <c r="D1872" s="111"/>
      <c r="E1872" s="111"/>
      <c r="F1872" s="111"/>
      <c r="G1872" s="111"/>
      <c r="H1872" s="111"/>
      <c r="I1872" s="127"/>
      <c r="J1872" s="111"/>
      <c r="K1872" s="111"/>
      <c r="L1872" s="111"/>
      <c r="M1872" s="127"/>
      <c r="N1872" s="270"/>
      <c r="O1872" s="111"/>
      <c r="P1872" s="111"/>
      <c r="Q1872" s="127"/>
      <c r="R1872" s="124"/>
      <c r="S1872" s="125"/>
      <c r="T1872" s="125"/>
      <c r="U1872" s="125"/>
      <c r="V1872" s="125"/>
      <c r="W1872" s="125"/>
      <c r="X1872" s="125"/>
      <c r="Y1872" s="125"/>
      <c r="Z1872" s="127"/>
      <c r="AA1872" s="127"/>
      <c r="AB1872" s="127"/>
      <c r="AC1872" s="127"/>
      <c r="AD1872" s="261"/>
      <c r="AE1872" s="261"/>
      <c r="AF1872" s="261"/>
      <c r="AG1872" s="261"/>
    </row>
    <row r="1873" ht="34.5" hidden="1" customHeight="1">
      <c r="A1873" s="111"/>
      <c r="B1873" s="127"/>
      <c r="C1873" s="111"/>
      <c r="D1873" s="111"/>
      <c r="E1873" s="111"/>
      <c r="F1873" s="111"/>
      <c r="G1873" s="111"/>
      <c r="H1873" s="111"/>
      <c r="I1873" s="127"/>
      <c r="J1873" s="111"/>
      <c r="K1873" s="111"/>
      <c r="L1873" s="111"/>
      <c r="M1873" s="127"/>
      <c r="N1873" s="270"/>
      <c r="O1873" s="111"/>
      <c r="P1873" s="111"/>
      <c r="Q1873" s="127"/>
      <c r="R1873" s="124"/>
      <c r="S1873" s="125"/>
      <c r="T1873" s="125"/>
      <c r="U1873" s="125"/>
      <c r="V1873" s="125"/>
      <c r="W1873" s="125"/>
      <c r="X1873" s="125"/>
      <c r="Y1873" s="125"/>
      <c r="Z1873" s="127"/>
      <c r="AA1873" s="127"/>
      <c r="AB1873" s="127"/>
      <c r="AC1873" s="127"/>
      <c r="AD1873" s="261"/>
      <c r="AE1873" s="261"/>
      <c r="AF1873" s="261"/>
      <c r="AG1873" s="261"/>
    </row>
    <row r="1874" ht="34.5" hidden="1" customHeight="1">
      <c r="A1874" s="111"/>
      <c r="B1874" s="127"/>
      <c r="C1874" s="111"/>
      <c r="D1874" s="111"/>
      <c r="E1874" s="111"/>
      <c r="F1874" s="111"/>
      <c r="G1874" s="111"/>
      <c r="H1874" s="111"/>
      <c r="I1874" s="127"/>
      <c r="J1874" s="111"/>
      <c r="K1874" s="111"/>
      <c r="L1874" s="111"/>
      <c r="M1874" s="127"/>
      <c r="N1874" s="270"/>
      <c r="O1874" s="111"/>
      <c r="P1874" s="111"/>
      <c r="Q1874" s="127"/>
      <c r="R1874" s="124"/>
      <c r="S1874" s="125"/>
      <c r="T1874" s="125"/>
      <c r="U1874" s="125"/>
      <c r="V1874" s="125"/>
      <c r="W1874" s="125"/>
      <c r="X1874" s="125"/>
      <c r="Y1874" s="125"/>
      <c r="Z1874" s="127"/>
      <c r="AA1874" s="127"/>
      <c r="AB1874" s="127"/>
      <c r="AC1874" s="127"/>
      <c r="AD1874" s="261"/>
      <c r="AE1874" s="261"/>
      <c r="AF1874" s="261"/>
      <c r="AG1874" s="261"/>
    </row>
    <row r="1875" ht="34.5" hidden="1" customHeight="1">
      <c r="A1875" s="111"/>
      <c r="B1875" s="127"/>
      <c r="C1875" s="111"/>
      <c r="D1875" s="111"/>
      <c r="E1875" s="111"/>
      <c r="F1875" s="111"/>
      <c r="G1875" s="111"/>
      <c r="H1875" s="111"/>
      <c r="I1875" s="127"/>
      <c r="J1875" s="111"/>
      <c r="K1875" s="111"/>
      <c r="L1875" s="111"/>
      <c r="M1875" s="127"/>
      <c r="N1875" s="270"/>
      <c r="O1875" s="111"/>
      <c r="P1875" s="111"/>
      <c r="Q1875" s="127"/>
      <c r="R1875" s="124"/>
      <c r="S1875" s="125"/>
      <c r="T1875" s="125"/>
      <c r="U1875" s="125"/>
      <c r="V1875" s="125"/>
      <c r="W1875" s="125"/>
      <c r="X1875" s="125"/>
      <c r="Y1875" s="125"/>
      <c r="Z1875" s="127"/>
      <c r="AA1875" s="127"/>
      <c r="AB1875" s="127"/>
      <c r="AC1875" s="127"/>
      <c r="AD1875" s="261"/>
      <c r="AE1875" s="261"/>
      <c r="AF1875" s="261"/>
      <c r="AG1875" s="261"/>
    </row>
    <row r="1876" ht="34.5" hidden="1" customHeight="1">
      <c r="A1876" s="111"/>
      <c r="B1876" s="127"/>
      <c r="C1876" s="111"/>
      <c r="D1876" s="111"/>
      <c r="E1876" s="111"/>
      <c r="F1876" s="111"/>
      <c r="G1876" s="111"/>
      <c r="H1876" s="111"/>
      <c r="I1876" s="127"/>
      <c r="J1876" s="111"/>
      <c r="K1876" s="111"/>
      <c r="L1876" s="111"/>
      <c r="M1876" s="127"/>
      <c r="N1876" s="270"/>
      <c r="O1876" s="111"/>
      <c r="P1876" s="111"/>
      <c r="Q1876" s="127"/>
      <c r="R1876" s="124"/>
      <c r="S1876" s="125"/>
      <c r="T1876" s="125"/>
      <c r="U1876" s="125"/>
      <c r="V1876" s="125"/>
      <c r="W1876" s="125"/>
      <c r="X1876" s="125"/>
      <c r="Y1876" s="125"/>
      <c r="Z1876" s="127"/>
      <c r="AA1876" s="127"/>
      <c r="AB1876" s="127"/>
      <c r="AC1876" s="127"/>
      <c r="AD1876" s="261"/>
      <c r="AE1876" s="261"/>
      <c r="AF1876" s="261"/>
      <c r="AG1876" s="261"/>
    </row>
    <row r="1877" ht="34.5" hidden="1" customHeight="1">
      <c r="A1877" s="111"/>
      <c r="B1877" s="127"/>
      <c r="C1877" s="111"/>
      <c r="D1877" s="111"/>
      <c r="E1877" s="111"/>
      <c r="F1877" s="111"/>
      <c r="G1877" s="111"/>
      <c r="H1877" s="111"/>
      <c r="I1877" s="127"/>
      <c r="J1877" s="111"/>
      <c r="K1877" s="111"/>
      <c r="L1877" s="111"/>
      <c r="M1877" s="127"/>
      <c r="N1877" s="270"/>
      <c r="O1877" s="111"/>
      <c r="P1877" s="111"/>
      <c r="Q1877" s="127"/>
      <c r="R1877" s="124"/>
      <c r="S1877" s="125"/>
      <c r="T1877" s="125"/>
      <c r="U1877" s="125"/>
      <c r="V1877" s="125"/>
      <c r="W1877" s="125"/>
      <c r="X1877" s="125"/>
      <c r="Y1877" s="125"/>
      <c r="Z1877" s="127"/>
      <c r="AA1877" s="127"/>
      <c r="AB1877" s="127"/>
      <c r="AC1877" s="127"/>
      <c r="AD1877" s="261"/>
      <c r="AE1877" s="261"/>
      <c r="AF1877" s="261"/>
      <c r="AG1877" s="261"/>
    </row>
    <row r="1878" ht="34.5" hidden="1" customHeight="1">
      <c r="A1878" s="111"/>
      <c r="B1878" s="127"/>
      <c r="C1878" s="111"/>
      <c r="D1878" s="111"/>
      <c r="E1878" s="111"/>
      <c r="F1878" s="111"/>
      <c r="G1878" s="111"/>
      <c r="H1878" s="111"/>
      <c r="I1878" s="127"/>
      <c r="J1878" s="111"/>
      <c r="K1878" s="111"/>
      <c r="L1878" s="111"/>
      <c r="M1878" s="127"/>
      <c r="N1878" s="270"/>
      <c r="O1878" s="111"/>
      <c r="P1878" s="111"/>
      <c r="Q1878" s="127"/>
      <c r="R1878" s="124"/>
      <c r="S1878" s="125"/>
      <c r="T1878" s="125"/>
      <c r="U1878" s="125"/>
      <c r="V1878" s="125"/>
      <c r="W1878" s="125"/>
      <c r="X1878" s="125"/>
      <c r="Y1878" s="125"/>
      <c r="Z1878" s="127"/>
      <c r="AA1878" s="127"/>
      <c r="AB1878" s="127"/>
      <c r="AC1878" s="127"/>
      <c r="AD1878" s="261"/>
      <c r="AE1878" s="261"/>
      <c r="AF1878" s="261"/>
      <c r="AG1878" s="261"/>
    </row>
    <row r="1879" ht="34.5" hidden="1" customHeight="1">
      <c r="A1879" s="111"/>
      <c r="B1879" s="127"/>
      <c r="C1879" s="111"/>
      <c r="D1879" s="111"/>
      <c r="E1879" s="111"/>
      <c r="F1879" s="111"/>
      <c r="G1879" s="111"/>
      <c r="H1879" s="111"/>
      <c r="I1879" s="127"/>
      <c r="J1879" s="111"/>
      <c r="K1879" s="111"/>
      <c r="L1879" s="111"/>
      <c r="M1879" s="127"/>
      <c r="N1879" s="270"/>
      <c r="O1879" s="111"/>
      <c r="P1879" s="111"/>
      <c r="Q1879" s="127"/>
      <c r="R1879" s="124"/>
      <c r="S1879" s="125"/>
      <c r="T1879" s="125"/>
      <c r="U1879" s="125"/>
      <c r="V1879" s="125"/>
      <c r="W1879" s="125"/>
      <c r="X1879" s="125"/>
      <c r="Y1879" s="125"/>
      <c r="Z1879" s="127"/>
      <c r="AA1879" s="127"/>
      <c r="AB1879" s="127"/>
      <c r="AC1879" s="127"/>
      <c r="AD1879" s="261"/>
      <c r="AE1879" s="261"/>
      <c r="AF1879" s="261"/>
      <c r="AG1879" s="261"/>
    </row>
    <row r="1880" ht="34.5" hidden="1" customHeight="1">
      <c r="A1880" s="111"/>
      <c r="B1880" s="127"/>
      <c r="C1880" s="111"/>
      <c r="D1880" s="111"/>
      <c r="E1880" s="111"/>
      <c r="F1880" s="111"/>
      <c r="G1880" s="111"/>
      <c r="H1880" s="111"/>
      <c r="I1880" s="127"/>
      <c r="J1880" s="111"/>
      <c r="K1880" s="111"/>
      <c r="L1880" s="111"/>
      <c r="M1880" s="127"/>
      <c r="N1880" s="270"/>
      <c r="O1880" s="111"/>
      <c r="P1880" s="111"/>
      <c r="Q1880" s="127"/>
      <c r="R1880" s="124"/>
      <c r="S1880" s="125"/>
      <c r="T1880" s="125"/>
      <c r="U1880" s="125"/>
      <c r="V1880" s="125"/>
      <c r="W1880" s="125"/>
      <c r="X1880" s="125"/>
      <c r="Y1880" s="125"/>
      <c r="Z1880" s="127"/>
      <c r="AA1880" s="127"/>
      <c r="AB1880" s="127"/>
      <c r="AC1880" s="127"/>
      <c r="AD1880" s="261"/>
      <c r="AE1880" s="261"/>
      <c r="AF1880" s="261"/>
      <c r="AG1880" s="261"/>
    </row>
    <row r="1881" ht="34.5" hidden="1" customHeight="1">
      <c r="A1881" s="111"/>
      <c r="B1881" s="127"/>
      <c r="C1881" s="111"/>
      <c r="D1881" s="111"/>
      <c r="E1881" s="111"/>
      <c r="F1881" s="111"/>
      <c r="G1881" s="111"/>
      <c r="H1881" s="111"/>
      <c r="I1881" s="127"/>
      <c r="J1881" s="111"/>
      <c r="K1881" s="111"/>
      <c r="L1881" s="111"/>
      <c r="M1881" s="127"/>
      <c r="N1881" s="270"/>
      <c r="O1881" s="111"/>
      <c r="P1881" s="111"/>
      <c r="Q1881" s="127"/>
      <c r="R1881" s="124"/>
      <c r="S1881" s="125"/>
      <c r="T1881" s="125"/>
      <c r="U1881" s="125"/>
      <c r="V1881" s="125"/>
      <c r="W1881" s="125"/>
      <c r="X1881" s="125"/>
      <c r="Y1881" s="125"/>
      <c r="Z1881" s="127"/>
      <c r="AA1881" s="127"/>
      <c r="AB1881" s="127"/>
      <c r="AC1881" s="127"/>
      <c r="AD1881" s="261"/>
      <c r="AE1881" s="261"/>
      <c r="AF1881" s="261"/>
      <c r="AG1881" s="261"/>
    </row>
    <row r="1882" ht="34.5" hidden="1" customHeight="1">
      <c r="A1882" s="111"/>
      <c r="B1882" s="127"/>
      <c r="C1882" s="111"/>
      <c r="D1882" s="111"/>
      <c r="E1882" s="111"/>
      <c r="F1882" s="111"/>
      <c r="G1882" s="111"/>
      <c r="H1882" s="111"/>
      <c r="I1882" s="127"/>
      <c r="J1882" s="111"/>
      <c r="K1882" s="111"/>
      <c r="L1882" s="111"/>
      <c r="M1882" s="127"/>
      <c r="N1882" s="270"/>
      <c r="O1882" s="111"/>
      <c r="P1882" s="111"/>
      <c r="Q1882" s="127"/>
      <c r="R1882" s="124"/>
      <c r="S1882" s="125"/>
      <c r="T1882" s="125"/>
      <c r="U1882" s="125"/>
      <c r="V1882" s="125"/>
      <c r="W1882" s="125"/>
      <c r="X1882" s="125"/>
      <c r="Y1882" s="125"/>
      <c r="Z1882" s="127"/>
      <c r="AA1882" s="127"/>
      <c r="AB1882" s="127"/>
      <c r="AC1882" s="127"/>
      <c r="AD1882" s="261"/>
      <c r="AE1882" s="261"/>
      <c r="AF1882" s="261"/>
      <c r="AG1882" s="261"/>
    </row>
    <row r="1883" ht="34.5" hidden="1" customHeight="1">
      <c r="A1883" s="111"/>
      <c r="B1883" s="127"/>
      <c r="C1883" s="111"/>
      <c r="D1883" s="111"/>
      <c r="E1883" s="111"/>
      <c r="F1883" s="111"/>
      <c r="G1883" s="111"/>
      <c r="H1883" s="111"/>
      <c r="I1883" s="127"/>
      <c r="J1883" s="111"/>
      <c r="K1883" s="111"/>
      <c r="L1883" s="111"/>
      <c r="M1883" s="127"/>
      <c r="N1883" s="270"/>
      <c r="O1883" s="111"/>
      <c r="P1883" s="111"/>
      <c r="Q1883" s="127"/>
      <c r="R1883" s="124"/>
      <c r="S1883" s="125"/>
      <c r="T1883" s="125"/>
      <c r="U1883" s="125"/>
      <c r="V1883" s="125"/>
      <c r="W1883" s="125"/>
      <c r="X1883" s="125"/>
      <c r="Y1883" s="125"/>
      <c r="Z1883" s="127"/>
      <c r="AA1883" s="127"/>
      <c r="AB1883" s="127"/>
      <c r="AC1883" s="127"/>
      <c r="AD1883" s="261"/>
      <c r="AE1883" s="261"/>
      <c r="AF1883" s="261"/>
      <c r="AG1883" s="261"/>
    </row>
    <row r="1884" ht="34.5" hidden="1" customHeight="1">
      <c r="A1884" s="111"/>
      <c r="B1884" s="127"/>
      <c r="C1884" s="111"/>
      <c r="D1884" s="111"/>
      <c r="E1884" s="111"/>
      <c r="F1884" s="111"/>
      <c r="G1884" s="111"/>
      <c r="H1884" s="111"/>
      <c r="I1884" s="127"/>
      <c r="J1884" s="111"/>
      <c r="K1884" s="111"/>
      <c r="L1884" s="111"/>
      <c r="M1884" s="127"/>
      <c r="N1884" s="270"/>
      <c r="O1884" s="111"/>
      <c r="P1884" s="111"/>
      <c r="Q1884" s="127"/>
      <c r="R1884" s="124"/>
      <c r="S1884" s="125"/>
      <c r="T1884" s="125"/>
      <c r="U1884" s="125"/>
      <c r="V1884" s="125"/>
      <c r="W1884" s="125"/>
      <c r="X1884" s="125"/>
      <c r="Y1884" s="125"/>
      <c r="Z1884" s="127"/>
      <c r="AA1884" s="127"/>
      <c r="AB1884" s="127"/>
      <c r="AC1884" s="127"/>
      <c r="AD1884" s="261"/>
      <c r="AE1884" s="261"/>
      <c r="AF1884" s="261"/>
      <c r="AG1884" s="261"/>
    </row>
    <row r="1885" ht="34.5" hidden="1" customHeight="1">
      <c r="A1885" s="111"/>
      <c r="B1885" s="127"/>
      <c r="C1885" s="111"/>
      <c r="D1885" s="111"/>
      <c r="E1885" s="111"/>
      <c r="F1885" s="111"/>
      <c r="G1885" s="111"/>
      <c r="H1885" s="111"/>
      <c r="I1885" s="127"/>
      <c r="J1885" s="111"/>
      <c r="K1885" s="111"/>
      <c r="L1885" s="111"/>
      <c r="M1885" s="127"/>
      <c r="N1885" s="270"/>
      <c r="O1885" s="111"/>
      <c r="P1885" s="111"/>
      <c r="Q1885" s="127"/>
      <c r="R1885" s="124"/>
      <c r="S1885" s="125"/>
      <c r="T1885" s="125"/>
      <c r="U1885" s="125"/>
      <c r="V1885" s="125"/>
      <c r="W1885" s="125"/>
      <c r="X1885" s="125"/>
      <c r="Y1885" s="125"/>
      <c r="Z1885" s="127"/>
      <c r="AA1885" s="127"/>
      <c r="AB1885" s="127"/>
      <c r="AC1885" s="127"/>
      <c r="AD1885" s="261"/>
      <c r="AE1885" s="261"/>
      <c r="AF1885" s="261"/>
      <c r="AG1885" s="261"/>
    </row>
    <row r="1886" ht="34.5" hidden="1" customHeight="1">
      <c r="A1886" s="111"/>
      <c r="B1886" s="127"/>
      <c r="C1886" s="111"/>
      <c r="D1886" s="111"/>
      <c r="E1886" s="111"/>
      <c r="F1886" s="111"/>
      <c r="G1886" s="111"/>
      <c r="H1886" s="111"/>
      <c r="I1886" s="127"/>
      <c r="J1886" s="111"/>
      <c r="K1886" s="111"/>
      <c r="L1886" s="111"/>
      <c r="M1886" s="127"/>
      <c r="N1886" s="270"/>
      <c r="O1886" s="111"/>
      <c r="P1886" s="111"/>
      <c r="Q1886" s="127"/>
      <c r="R1886" s="124"/>
      <c r="S1886" s="125"/>
      <c r="T1886" s="125"/>
      <c r="U1886" s="125"/>
      <c r="V1886" s="125"/>
      <c r="W1886" s="125"/>
      <c r="X1886" s="125"/>
      <c r="Y1886" s="125"/>
      <c r="Z1886" s="127"/>
      <c r="AA1886" s="127"/>
      <c r="AB1886" s="127"/>
      <c r="AC1886" s="127"/>
      <c r="AD1886" s="261"/>
      <c r="AE1886" s="261"/>
      <c r="AF1886" s="261"/>
      <c r="AG1886" s="261"/>
    </row>
    <row r="1887" ht="34.5" hidden="1" customHeight="1">
      <c r="A1887" s="111"/>
      <c r="B1887" s="127"/>
      <c r="C1887" s="111"/>
      <c r="D1887" s="111"/>
      <c r="E1887" s="111"/>
      <c r="F1887" s="111"/>
      <c r="G1887" s="111"/>
      <c r="H1887" s="111"/>
      <c r="I1887" s="127"/>
      <c r="J1887" s="111"/>
      <c r="K1887" s="111"/>
      <c r="L1887" s="111"/>
      <c r="M1887" s="127"/>
      <c r="N1887" s="270"/>
      <c r="O1887" s="111"/>
      <c r="P1887" s="111"/>
      <c r="Q1887" s="127"/>
      <c r="R1887" s="124"/>
      <c r="S1887" s="125"/>
      <c r="T1887" s="125"/>
      <c r="U1887" s="125"/>
      <c r="V1887" s="125"/>
      <c r="W1887" s="125"/>
      <c r="X1887" s="125"/>
      <c r="Y1887" s="125"/>
      <c r="Z1887" s="127"/>
      <c r="AA1887" s="127"/>
      <c r="AB1887" s="127"/>
      <c r="AC1887" s="127"/>
      <c r="AD1887" s="261"/>
      <c r="AE1887" s="261"/>
      <c r="AF1887" s="261"/>
      <c r="AG1887" s="261"/>
    </row>
    <row r="1888" ht="34.5" hidden="1" customHeight="1">
      <c r="A1888" s="111"/>
      <c r="B1888" s="127"/>
      <c r="C1888" s="111"/>
      <c r="D1888" s="111"/>
      <c r="E1888" s="111"/>
      <c r="F1888" s="111"/>
      <c r="G1888" s="111"/>
      <c r="H1888" s="111"/>
      <c r="I1888" s="127"/>
      <c r="J1888" s="111"/>
      <c r="K1888" s="111"/>
      <c r="L1888" s="111"/>
      <c r="M1888" s="127"/>
      <c r="N1888" s="270"/>
      <c r="O1888" s="111"/>
      <c r="P1888" s="111"/>
      <c r="Q1888" s="127"/>
      <c r="R1888" s="124"/>
      <c r="S1888" s="125"/>
      <c r="T1888" s="125"/>
      <c r="U1888" s="125"/>
      <c r="V1888" s="125"/>
      <c r="W1888" s="125"/>
      <c r="X1888" s="125"/>
      <c r="Y1888" s="125"/>
      <c r="Z1888" s="127"/>
      <c r="AA1888" s="127"/>
      <c r="AB1888" s="127"/>
      <c r="AC1888" s="127"/>
      <c r="AD1888" s="261"/>
      <c r="AE1888" s="261"/>
      <c r="AF1888" s="261"/>
      <c r="AG1888" s="261"/>
    </row>
    <row r="1889" ht="34.5" hidden="1" customHeight="1">
      <c r="A1889" s="111"/>
      <c r="B1889" s="127"/>
      <c r="C1889" s="111"/>
      <c r="D1889" s="111"/>
      <c r="E1889" s="111"/>
      <c r="F1889" s="111"/>
      <c r="G1889" s="111"/>
      <c r="H1889" s="111"/>
      <c r="I1889" s="127"/>
      <c r="J1889" s="111"/>
      <c r="K1889" s="111"/>
      <c r="L1889" s="111"/>
      <c r="M1889" s="127"/>
      <c r="N1889" s="270"/>
      <c r="O1889" s="111"/>
      <c r="P1889" s="111"/>
      <c r="Q1889" s="127"/>
      <c r="R1889" s="124"/>
      <c r="S1889" s="125"/>
      <c r="T1889" s="125"/>
      <c r="U1889" s="125"/>
      <c r="V1889" s="125"/>
      <c r="W1889" s="125"/>
      <c r="X1889" s="125"/>
      <c r="Y1889" s="125"/>
      <c r="Z1889" s="127"/>
      <c r="AA1889" s="127"/>
      <c r="AB1889" s="127"/>
      <c r="AC1889" s="127"/>
      <c r="AD1889" s="261"/>
      <c r="AE1889" s="261"/>
      <c r="AF1889" s="261"/>
      <c r="AG1889" s="261"/>
    </row>
    <row r="1890" ht="34.5" hidden="1" customHeight="1">
      <c r="A1890" s="111"/>
      <c r="B1890" s="127"/>
      <c r="C1890" s="111"/>
      <c r="D1890" s="111"/>
      <c r="E1890" s="111"/>
      <c r="F1890" s="111"/>
      <c r="G1890" s="111"/>
      <c r="H1890" s="111"/>
      <c r="I1890" s="127"/>
      <c r="J1890" s="111"/>
      <c r="K1890" s="111"/>
      <c r="L1890" s="111"/>
      <c r="M1890" s="127"/>
      <c r="N1890" s="270"/>
      <c r="O1890" s="111"/>
      <c r="P1890" s="111"/>
      <c r="Q1890" s="127"/>
      <c r="R1890" s="124"/>
      <c r="S1890" s="125"/>
      <c r="T1890" s="125"/>
      <c r="U1890" s="125"/>
      <c r="V1890" s="125"/>
      <c r="W1890" s="125"/>
      <c r="X1890" s="125"/>
      <c r="Y1890" s="125"/>
      <c r="Z1890" s="127"/>
      <c r="AA1890" s="127"/>
      <c r="AB1890" s="127"/>
      <c r="AC1890" s="127"/>
      <c r="AD1890" s="261"/>
      <c r="AE1890" s="261"/>
      <c r="AF1890" s="261"/>
      <c r="AG1890" s="261"/>
    </row>
    <row r="1891" ht="34.5" hidden="1" customHeight="1">
      <c r="A1891" s="111"/>
      <c r="B1891" s="127"/>
      <c r="C1891" s="111"/>
      <c r="D1891" s="111"/>
      <c r="E1891" s="111"/>
      <c r="F1891" s="111"/>
      <c r="G1891" s="111"/>
      <c r="H1891" s="111"/>
      <c r="I1891" s="127"/>
      <c r="J1891" s="111"/>
      <c r="K1891" s="111"/>
      <c r="L1891" s="111"/>
      <c r="M1891" s="127"/>
      <c r="N1891" s="270"/>
      <c r="O1891" s="111"/>
      <c r="P1891" s="111"/>
      <c r="Q1891" s="127"/>
      <c r="R1891" s="124"/>
      <c r="S1891" s="125"/>
      <c r="T1891" s="125"/>
      <c r="U1891" s="125"/>
      <c r="V1891" s="125"/>
      <c r="W1891" s="125"/>
      <c r="X1891" s="125"/>
      <c r="Y1891" s="125"/>
      <c r="Z1891" s="127"/>
      <c r="AA1891" s="127"/>
      <c r="AB1891" s="127"/>
      <c r="AC1891" s="127"/>
      <c r="AD1891" s="261"/>
      <c r="AE1891" s="261"/>
      <c r="AF1891" s="261"/>
      <c r="AG1891" s="261"/>
    </row>
    <row r="1892" ht="34.5" hidden="1" customHeight="1">
      <c r="A1892" s="111"/>
      <c r="B1892" s="127"/>
      <c r="C1892" s="111"/>
      <c r="D1892" s="111"/>
      <c r="E1892" s="111"/>
      <c r="F1892" s="111"/>
      <c r="G1892" s="111"/>
      <c r="H1892" s="111"/>
      <c r="I1892" s="127"/>
      <c r="J1892" s="111"/>
      <c r="K1892" s="111"/>
      <c r="L1892" s="111"/>
      <c r="M1892" s="127"/>
      <c r="N1892" s="270"/>
      <c r="O1892" s="111"/>
      <c r="P1892" s="111"/>
      <c r="Q1892" s="127"/>
      <c r="R1892" s="124"/>
      <c r="S1892" s="125"/>
      <c r="T1892" s="125"/>
      <c r="U1892" s="125"/>
      <c r="V1892" s="125"/>
      <c r="W1892" s="125"/>
      <c r="X1892" s="125"/>
      <c r="Y1892" s="125"/>
      <c r="Z1892" s="127"/>
      <c r="AA1892" s="127"/>
      <c r="AB1892" s="127"/>
      <c r="AC1892" s="127"/>
      <c r="AD1892" s="261"/>
      <c r="AE1892" s="261"/>
      <c r="AF1892" s="261"/>
      <c r="AG1892" s="261"/>
    </row>
    <row r="1893" ht="34.5" hidden="1" customHeight="1">
      <c r="A1893" s="111"/>
      <c r="B1893" s="127"/>
      <c r="C1893" s="111"/>
      <c r="D1893" s="111"/>
      <c r="E1893" s="111"/>
      <c r="F1893" s="111"/>
      <c r="G1893" s="111"/>
      <c r="H1893" s="111"/>
      <c r="I1893" s="127"/>
      <c r="J1893" s="111"/>
      <c r="K1893" s="111"/>
      <c r="L1893" s="111"/>
      <c r="M1893" s="127"/>
      <c r="N1893" s="270"/>
      <c r="O1893" s="111"/>
      <c r="P1893" s="111"/>
      <c r="Q1893" s="127"/>
      <c r="R1893" s="124"/>
      <c r="S1893" s="125"/>
      <c r="T1893" s="125"/>
      <c r="U1893" s="125"/>
      <c r="V1893" s="125"/>
      <c r="W1893" s="125"/>
      <c r="X1893" s="125"/>
      <c r="Y1893" s="125"/>
      <c r="Z1893" s="127"/>
      <c r="AA1893" s="127"/>
      <c r="AB1893" s="127"/>
      <c r="AC1893" s="127"/>
      <c r="AD1893" s="261"/>
      <c r="AE1893" s="261"/>
      <c r="AF1893" s="261"/>
      <c r="AG1893" s="261"/>
    </row>
    <row r="1894" ht="34.5" hidden="1" customHeight="1">
      <c r="A1894" s="111"/>
      <c r="B1894" s="127"/>
      <c r="C1894" s="111"/>
      <c r="D1894" s="111"/>
      <c r="E1894" s="111"/>
      <c r="F1894" s="111"/>
      <c r="G1894" s="111"/>
      <c r="H1894" s="111"/>
      <c r="I1894" s="127"/>
      <c r="J1894" s="111"/>
      <c r="K1894" s="111"/>
      <c r="L1894" s="111"/>
      <c r="M1894" s="127"/>
      <c r="N1894" s="270"/>
      <c r="O1894" s="111"/>
      <c r="P1894" s="111"/>
      <c r="Q1894" s="127"/>
      <c r="R1894" s="124"/>
      <c r="S1894" s="125"/>
      <c r="T1894" s="125"/>
      <c r="U1894" s="125"/>
      <c r="V1894" s="125"/>
      <c r="W1894" s="125"/>
      <c r="X1894" s="125"/>
      <c r="Y1894" s="125"/>
      <c r="Z1894" s="127"/>
      <c r="AA1894" s="127"/>
      <c r="AB1894" s="127"/>
      <c r="AC1894" s="127"/>
      <c r="AD1894" s="261"/>
      <c r="AE1894" s="261"/>
      <c r="AF1894" s="261"/>
      <c r="AG1894" s="261"/>
    </row>
    <row r="1895" ht="34.5" hidden="1" customHeight="1">
      <c r="A1895" s="111"/>
      <c r="B1895" s="127"/>
      <c r="C1895" s="111"/>
      <c r="D1895" s="111"/>
      <c r="E1895" s="111"/>
      <c r="F1895" s="111"/>
      <c r="G1895" s="111"/>
      <c r="H1895" s="111"/>
      <c r="I1895" s="127"/>
      <c r="J1895" s="111"/>
      <c r="K1895" s="111"/>
      <c r="L1895" s="111"/>
      <c r="M1895" s="127"/>
      <c r="N1895" s="270"/>
      <c r="O1895" s="111"/>
      <c r="P1895" s="111"/>
      <c r="Q1895" s="127"/>
      <c r="R1895" s="124"/>
      <c r="S1895" s="125"/>
      <c r="T1895" s="125"/>
      <c r="U1895" s="125"/>
      <c r="V1895" s="125"/>
      <c r="W1895" s="125"/>
      <c r="X1895" s="125"/>
      <c r="Y1895" s="125"/>
      <c r="Z1895" s="127"/>
      <c r="AA1895" s="127"/>
      <c r="AB1895" s="127"/>
      <c r="AC1895" s="127"/>
      <c r="AD1895" s="261"/>
      <c r="AE1895" s="261"/>
      <c r="AF1895" s="261"/>
      <c r="AG1895" s="261"/>
    </row>
    <row r="1896" ht="34.5" hidden="1" customHeight="1">
      <c r="A1896" s="111"/>
      <c r="B1896" s="127"/>
      <c r="C1896" s="111"/>
      <c r="D1896" s="111"/>
      <c r="E1896" s="111"/>
      <c r="F1896" s="111"/>
      <c r="G1896" s="111"/>
      <c r="H1896" s="111"/>
      <c r="I1896" s="127"/>
      <c r="J1896" s="111"/>
      <c r="K1896" s="111"/>
      <c r="L1896" s="111"/>
      <c r="M1896" s="127"/>
      <c r="N1896" s="270"/>
      <c r="O1896" s="111"/>
      <c r="P1896" s="111"/>
      <c r="Q1896" s="127"/>
      <c r="R1896" s="124"/>
      <c r="S1896" s="125"/>
      <c r="T1896" s="125"/>
      <c r="U1896" s="125"/>
      <c r="V1896" s="125"/>
      <c r="W1896" s="125"/>
      <c r="X1896" s="125"/>
      <c r="Y1896" s="125"/>
      <c r="Z1896" s="127"/>
      <c r="AA1896" s="127"/>
      <c r="AB1896" s="127"/>
      <c r="AC1896" s="127"/>
      <c r="AD1896" s="261"/>
      <c r="AE1896" s="261"/>
      <c r="AF1896" s="261"/>
      <c r="AG1896" s="261"/>
    </row>
    <row r="1897" ht="34.5" hidden="1" customHeight="1">
      <c r="A1897" s="111"/>
      <c r="B1897" s="127"/>
      <c r="C1897" s="111"/>
      <c r="D1897" s="111"/>
      <c r="E1897" s="111"/>
      <c r="F1897" s="111"/>
      <c r="G1897" s="111"/>
      <c r="H1897" s="111"/>
      <c r="I1897" s="127"/>
      <c r="J1897" s="111"/>
      <c r="K1897" s="111"/>
      <c r="L1897" s="111"/>
      <c r="M1897" s="127"/>
      <c r="N1897" s="270"/>
      <c r="O1897" s="111"/>
      <c r="P1897" s="111"/>
      <c r="Q1897" s="127"/>
      <c r="R1897" s="124"/>
      <c r="S1897" s="125"/>
      <c r="T1897" s="125"/>
      <c r="U1897" s="125"/>
      <c r="V1897" s="125"/>
      <c r="W1897" s="125"/>
      <c r="X1897" s="125"/>
      <c r="Y1897" s="125"/>
      <c r="Z1897" s="127"/>
      <c r="AA1897" s="127"/>
      <c r="AB1897" s="127"/>
      <c r="AC1897" s="127"/>
      <c r="AD1897" s="261"/>
      <c r="AE1897" s="261"/>
      <c r="AF1897" s="261"/>
      <c r="AG1897" s="261"/>
    </row>
    <row r="1898" ht="34.5" hidden="1" customHeight="1">
      <c r="A1898" s="111"/>
      <c r="B1898" s="127"/>
      <c r="C1898" s="111"/>
      <c r="D1898" s="111"/>
      <c r="E1898" s="111"/>
      <c r="F1898" s="111"/>
      <c r="G1898" s="111"/>
      <c r="H1898" s="111"/>
      <c r="I1898" s="127"/>
      <c r="J1898" s="111"/>
      <c r="K1898" s="111"/>
      <c r="L1898" s="111"/>
      <c r="M1898" s="127"/>
      <c r="N1898" s="270"/>
      <c r="O1898" s="111"/>
      <c r="P1898" s="111"/>
      <c r="Q1898" s="127"/>
      <c r="R1898" s="124"/>
      <c r="S1898" s="125"/>
      <c r="T1898" s="125"/>
      <c r="U1898" s="125"/>
      <c r="V1898" s="125"/>
      <c r="W1898" s="125"/>
      <c r="X1898" s="125"/>
      <c r="Y1898" s="125"/>
      <c r="Z1898" s="127"/>
      <c r="AA1898" s="127"/>
      <c r="AB1898" s="127"/>
      <c r="AC1898" s="127"/>
      <c r="AD1898" s="261"/>
      <c r="AE1898" s="261"/>
      <c r="AF1898" s="261"/>
      <c r="AG1898" s="261"/>
    </row>
    <row r="1899" ht="34.5" hidden="1" customHeight="1">
      <c r="A1899" s="111"/>
      <c r="B1899" s="127"/>
      <c r="C1899" s="111"/>
      <c r="D1899" s="111"/>
      <c r="E1899" s="111"/>
      <c r="F1899" s="111"/>
      <c r="G1899" s="111"/>
      <c r="H1899" s="111"/>
      <c r="I1899" s="127"/>
      <c r="J1899" s="111"/>
      <c r="K1899" s="111"/>
      <c r="L1899" s="111"/>
      <c r="M1899" s="127"/>
      <c r="N1899" s="270"/>
      <c r="O1899" s="111"/>
      <c r="P1899" s="111"/>
      <c r="Q1899" s="127"/>
      <c r="R1899" s="124"/>
      <c r="S1899" s="125"/>
      <c r="T1899" s="125"/>
      <c r="U1899" s="125"/>
      <c r="V1899" s="125"/>
      <c r="W1899" s="125"/>
      <c r="X1899" s="125"/>
      <c r="Y1899" s="125"/>
      <c r="Z1899" s="127"/>
      <c r="AA1899" s="127"/>
      <c r="AB1899" s="127"/>
      <c r="AC1899" s="127"/>
      <c r="AD1899" s="261"/>
      <c r="AE1899" s="261"/>
      <c r="AF1899" s="261"/>
      <c r="AG1899" s="261"/>
    </row>
    <row r="1900" ht="34.5" hidden="1" customHeight="1">
      <c r="A1900" s="111"/>
      <c r="B1900" s="127"/>
      <c r="C1900" s="111"/>
      <c r="D1900" s="111"/>
      <c r="E1900" s="111"/>
      <c r="F1900" s="111"/>
      <c r="G1900" s="111"/>
      <c r="H1900" s="111"/>
      <c r="I1900" s="127"/>
      <c r="J1900" s="111"/>
      <c r="K1900" s="111"/>
      <c r="L1900" s="111"/>
      <c r="M1900" s="127"/>
      <c r="N1900" s="270"/>
      <c r="O1900" s="111"/>
      <c r="P1900" s="111"/>
      <c r="Q1900" s="127"/>
      <c r="R1900" s="124"/>
      <c r="S1900" s="125"/>
      <c r="T1900" s="125"/>
      <c r="U1900" s="125"/>
      <c r="V1900" s="125"/>
      <c r="W1900" s="125"/>
      <c r="X1900" s="125"/>
      <c r="Y1900" s="125"/>
      <c r="Z1900" s="127"/>
      <c r="AA1900" s="127"/>
      <c r="AB1900" s="127"/>
      <c r="AC1900" s="127"/>
      <c r="AD1900" s="261"/>
      <c r="AE1900" s="261"/>
      <c r="AF1900" s="261"/>
      <c r="AG1900" s="261"/>
    </row>
    <row r="1901" ht="34.5" hidden="1" customHeight="1">
      <c r="A1901" s="111"/>
      <c r="B1901" s="127"/>
      <c r="C1901" s="111"/>
      <c r="D1901" s="111"/>
      <c r="E1901" s="111"/>
      <c r="F1901" s="111"/>
      <c r="G1901" s="111"/>
      <c r="H1901" s="111"/>
      <c r="I1901" s="127"/>
      <c r="J1901" s="111"/>
      <c r="K1901" s="111"/>
      <c r="L1901" s="111"/>
      <c r="M1901" s="127"/>
      <c r="N1901" s="270"/>
      <c r="O1901" s="111"/>
      <c r="P1901" s="111"/>
      <c r="Q1901" s="127"/>
      <c r="R1901" s="124"/>
      <c r="S1901" s="125"/>
      <c r="T1901" s="125"/>
      <c r="U1901" s="125"/>
      <c r="V1901" s="125"/>
      <c r="W1901" s="125"/>
      <c r="X1901" s="125"/>
      <c r="Y1901" s="125"/>
      <c r="Z1901" s="127"/>
      <c r="AA1901" s="127"/>
      <c r="AB1901" s="127"/>
      <c r="AC1901" s="127"/>
      <c r="AD1901" s="261"/>
      <c r="AE1901" s="261"/>
      <c r="AF1901" s="261"/>
      <c r="AG1901" s="261"/>
    </row>
    <row r="1902" ht="34.5" hidden="1" customHeight="1">
      <c r="A1902" s="111"/>
      <c r="B1902" s="127"/>
      <c r="C1902" s="111"/>
      <c r="D1902" s="111"/>
      <c r="E1902" s="111"/>
      <c r="F1902" s="111"/>
      <c r="G1902" s="111"/>
      <c r="H1902" s="111"/>
      <c r="I1902" s="127"/>
      <c r="J1902" s="111"/>
      <c r="K1902" s="111"/>
      <c r="L1902" s="111"/>
      <c r="M1902" s="127"/>
      <c r="N1902" s="270"/>
      <c r="O1902" s="111"/>
      <c r="P1902" s="111"/>
      <c r="Q1902" s="127"/>
      <c r="R1902" s="124"/>
      <c r="S1902" s="125"/>
      <c r="T1902" s="125"/>
      <c r="U1902" s="125"/>
      <c r="V1902" s="125"/>
      <c r="W1902" s="125"/>
      <c r="X1902" s="125"/>
      <c r="Y1902" s="125"/>
      <c r="Z1902" s="127"/>
      <c r="AA1902" s="127"/>
      <c r="AB1902" s="127"/>
      <c r="AC1902" s="127"/>
      <c r="AD1902" s="261"/>
      <c r="AE1902" s="261"/>
      <c r="AF1902" s="261"/>
      <c r="AG1902" s="261"/>
    </row>
    <row r="1903" ht="34.5" hidden="1" customHeight="1">
      <c r="A1903" s="111"/>
      <c r="B1903" s="127"/>
      <c r="C1903" s="111"/>
      <c r="D1903" s="111"/>
      <c r="E1903" s="111"/>
      <c r="F1903" s="111"/>
      <c r="G1903" s="111"/>
      <c r="H1903" s="111"/>
      <c r="I1903" s="127"/>
      <c r="J1903" s="111"/>
      <c r="K1903" s="111"/>
      <c r="L1903" s="111"/>
      <c r="M1903" s="127"/>
      <c r="N1903" s="270"/>
      <c r="O1903" s="111"/>
      <c r="P1903" s="111"/>
      <c r="Q1903" s="127"/>
      <c r="R1903" s="124"/>
      <c r="S1903" s="125"/>
      <c r="T1903" s="125"/>
      <c r="U1903" s="125"/>
      <c r="V1903" s="125"/>
      <c r="W1903" s="125"/>
      <c r="X1903" s="125"/>
      <c r="Y1903" s="125"/>
      <c r="Z1903" s="127"/>
      <c r="AA1903" s="127"/>
      <c r="AB1903" s="127"/>
      <c r="AC1903" s="127"/>
      <c r="AD1903" s="261"/>
      <c r="AE1903" s="261"/>
      <c r="AF1903" s="261"/>
      <c r="AG1903" s="261"/>
    </row>
    <row r="1904" ht="34.5" hidden="1" customHeight="1">
      <c r="A1904" s="111"/>
      <c r="B1904" s="127"/>
      <c r="C1904" s="111"/>
      <c r="D1904" s="111"/>
      <c r="E1904" s="111"/>
      <c r="F1904" s="111"/>
      <c r="G1904" s="111"/>
      <c r="H1904" s="111"/>
      <c r="I1904" s="127"/>
      <c r="J1904" s="111"/>
      <c r="K1904" s="111"/>
      <c r="L1904" s="111"/>
      <c r="M1904" s="127"/>
      <c r="N1904" s="270"/>
      <c r="O1904" s="111"/>
      <c r="P1904" s="111"/>
      <c r="Q1904" s="127"/>
      <c r="R1904" s="124"/>
      <c r="S1904" s="125"/>
      <c r="T1904" s="125"/>
      <c r="U1904" s="125"/>
      <c r="V1904" s="125"/>
      <c r="W1904" s="125"/>
      <c r="X1904" s="125"/>
      <c r="Y1904" s="125"/>
      <c r="Z1904" s="127"/>
      <c r="AA1904" s="127"/>
      <c r="AB1904" s="127"/>
      <c r="AC1904" s="127"/>
      <c r="AD1904" s="261"/>
      <c r="AE1904" s="261"/>
      <c r="AF1904" s="261"/>
      <c r="AG1904" s="261"/>
    </row>
    <row r="1905" ht="34.5" hidden="1" customHeight="1">
      <c r="A1905" s="111"/>
      <c r="B1905" s="127"/>
      <c r="C1905" s="111"/>
      <c r="D1905" s="111"/>
      <c r="E1905" s="111"/>
      <c r="F1905" s="111"/>
      <c r="G1905" s="111"/>
      <c r="H1905" s="111"/>
      <c r="I1905" s="127"/>
      <c r="J1905" s="111"/>
      <c r="K1905" s="111"/>
      <c r="L1905" s="111"/>
      <c r="M1905" s="127"/>
      <c r="N1905" s="270"/>
      <c r="O1905" s="111"/>
      <c r="P1905" s="111"/>
      <c r="Q1905" s="127"/>
      <c r="R1905" s="124"/>
      <c r="S1905" s="125"/>
      <c r="T1905" s="125"/>
      <c r="U1905" s="125"/>
      <c r="V1905" s="125"/>
      <c r="W1905" s="125"/>
      <c r="X1905" s="125"/>
      <c r="Y1905" s="125"/>
      <c r="Z1905" s="127"/>
      <c r="AA1905" s="127"/>
      <c r="AB1905" s="127"/>
      <c r="AC1905" s="127"/>
      <c r="AD1905" s="261"/>
      <c r="AE1905" s="261"/>
      <c r="AF1905" s="261"/>
      <c r="AG1905" s="261"/>
    </row>
    <row r="1906" ht="34.5" hidden="1" customHeight="1">
      <c r="A1906" s="111"/>
      <c r="B1906" s="127"/>
      <c r="C1906" s="111"/>
      <c r="D1906" s="111"/>
      <c r="E1906" s="111"/>
      <c r="F1906" s="111"/>
      <c r="G1906" s="111"/>
      <c r="H1906" s="111"/>
      <c r="I1906" s="127"/>
      <c r="J1906" s="111"/>
      <c r="K1906" s="111"/>
      <c r="L1906" s="111"/>
      <c r="M1906" s="127"/>
      <c r="N1906" s="270"/>
      <c r="O1906" s="111"/>
      <c r="P1906" s="111"/>
      <c r="Q1906" s="127"/>
      <c r="R1906" s="124"/>
      <c r="S1906" s="125"/>
      <c r="T1906" s="125"/>
      <c r="U1906" s="125"/>
      <c r="V1906" s="125"/>
      <c r="W1906" s="125"/>
      <c r="X1906" s="125"/>
      <c r="Y1906" s="125"/>
      <c r="Z1906" s="127"/>
      <c r="AA1906" s="127"/>
      <c r="AB1906" s="127"/>
      <c r="AC1906" s="127"/>
      <c r="AD1906" s="261"/>
      <c r="AE1906" s="261"/>
      <c r="AF1906" s="261"/>
      <c r="AG1906" s="261"/>
    </row>
    <row r="1907" ht="34.5" hidden="1" customHeight="1">
      <c r="A1907" s="111"/>
      <c r="B1907" s="127"/>
      <c r="C1907" s="111"/>
      <c r="D1907" s="111"/>
      <c r="E1907" s="111"/>
      <c r="F1907" s="111"/>
      <c r="G1907" s="111"/>
      <c r="H1907" s="111"/>
      <c r="I1907" s="127"/>
      <c r="J1907" s="111"/>
      <c r="K1907" s="111"/>
      <c r="L1907" s="111"/>
      <c r="M1907" s="127"/>
      <c r="N1907" s="270"/>
      <c r="O1907" s="111"/>
      <c r="P1907" s="111"/>
      <c r="Q1907" s="127"/>
      <c r="R1907" s="124"/>
      <c r="S1907" s="125"/>
      <c r="T1907" s="125"/>
      <c r="U1907" s="125"/>
      <c r="V1907" s="125"/>
      <c r="W1907" s="125"/>
      <c r="X1907" s="125"/>
      <c r="Y1907" s="125"/>
      <c r="Z1907" s="127"/>
      <c r="AA1907" s="127"/>
      <c r="AB1907" s="127"/>
      <c r="AC1907" s="127"/>
      <c r="AD1907" s="261"/>
      <c r="AE1907" s="261"/>
      <c r="AF1907" s="261"/>
      <c r="AG1907" s="261"/>
    </row>
    <row r="1908" ht="34.5" hidden="1" customHeight="1">
      <c r="A1908" s="111"/>
      <c r="B1908" s="127"/>
      <c r="C1908" s="111"/>
      <c r="D1908" s="111"/>
      <c r="E1908" s="111"/>
      <c r="F1908" s="111"/>
      <c r="G1908" s="111"/>
      <c r="H1908" s="111"/>
      <c r="I1908" s="127"/>
      <c r="J1908" s="111"/>
      <c r="K1908" s="111"/>
      <c r="L1908" s="111"/>
      <c r="M1908" s="127"/>
      <c r="N1908" s="270"/>
      <c r="O1908" s="111"/>
      <c r="P1908" s="111"/>
      <c r="Q1908" s="127"/>
      <c r="R1908" s="124"/>
      <c r="S1908" s="125"/>
      <c r="T1908" s="125"/>
      <c r="U1908" s="125"/>
      <c r="V1908" s="125"/>
      <c r="W1908" s="125"/>
      <c r="X1908" s="125"/>
      <c r="Y1908" s="125"/>
      <c r="Z1908" s="127"/>
      <c r="AA1908" s="127"/>
      <c r="AB1908" s="127"/>
      <c r="AC1908" s="127"/>
      <c r="AD1908" s="261"/>
      <c r="AE1908" s="261"/>
      <c r="AF1908" s="261"/>
      <c r="AG1908" s="261"/>
    </row>
    <row r="1909" ht="34.5" hidden="1" customHeight="1">
      <c r="A1909" s="111"/>
      <c r="B1909" s="127"/>
      <c r="C1909" s="111"/>
      <c r="D1909" s="111"/>
      <c r="E1909" s="111"/>
      <c r="F1909" s="111"/>
      <c r="G1909" s="111"/>
      <c r="H1909" s="111"/>
      <c r="I1909" s="127"/>
      <c r="J1909" s="111"/>
      <c r="K1909" s="111"/>
      <c r="L1909" s="111"/>
      <c r="M1909" s="127"/>
      <c r="N1909" s="270"/>
      <c r="O1909" s="111"/>
      <c r="P1909" s="111"/>
      <c r="Q1909" s="127"/>
      <c r="R1909" s="124"/>
      <c r="S1909" s="125"/>
      <c r="T1909" s="125"/>
      <c r="U1909" s="125"/>
      <c r="V1909" s="125"/>
      <c r="W1909" s="125"/>
      <c r="X1909" s="125"/>
      <c r="Y1909" s="125"/>
      <c r="Z1909" s="127"/>
      <c r="AA1909" s="127"/>
      <c r="AB1909" s="127"/>
      <c r="AC1909" s="127"/>
      <c r="AD1909" s="261"/>
      <c r="AE1909" s="261"/>
      <c r="AF1909" s="261"/>
      <c r="AG1909" s="261"/>
    </row>
    <row r="1910" ht="34.5" hidden="1" customHeight="1">
      <c r="A1910" s="111"/>
      <c r="B1910" s="127"/>
      <c r="C1910" s="111"/>
      <c r="D1910" s="111"/>
      <c r="E1910" s="111"/>
      <c r="F1910" s="111"/>
      <c r="G1910" s="111"/>
      <c r="H1910" s="111"/>
      <c r="I1910" s="127"/>
      <c r="J1910" s="111"/>
      <c r="K1910" s="111"/>
      <c r="L1910" s="111"/>
      <c r="M1910" s="127"/>
      <c r="N1910" s="270"/>
      <c r="O1910" s="111"/>
      <c r="P1910" s="111"/>
      <c r="Q1910" s="127"/>
      <c r="R1910" s="124"/>
      <c r="S1910" s="125"/>
      <c r="T1910" s="125"/>
      <c r="U1910" s="125"/>
      <c r="V1910" s="125"/>
      <c r="W1910" s="125"/>
      <c r="X1910" s="125"/>
      <c r="Y1910" s="125"/>
      <c r="Z1910" s="127"/>
      <c r="AA1910" s="127"/>
      <c r="AB1910" s="127"/>
      <c r="AC1910" s="127"/>
      <c r="AD1910" s="261"/>
      <c r="AE1910" s="261"/>
      <c r="AF1910" s="261"/>
      <c r="AG1910" s="261"/>
    </row>
    <row r="1911" ht="34.5" hidden="1" customHeight="1">
      <c r="A1911" s="111"/>
      <c r="B1911" s="127"/>
      <c r="C1911" s="111"/>
      <c r="D1911" s="111"/>
      <c r="E1911" s="111"/>
      <c r="F1911" s="111"/>
      <c r="G1911" s="111"/>
      <c r="H1911" s="111"/>
      <c r="I1911" s="127"/>
      <c r="J1911" s="111"/>
      <c r="K1911" s="111"/>
      <c r="L1911" s="111"/>
      <c r="M1911" s="127"/>
      <c r="N1911" s="270"/>
      <c r="O1911" s="111"/>
      <c r="P1911" s="111"/>
      <c r="Q1911" s="127"/>
      <c r="R1911" s="124"/>
      <c r="S1911" s="125"/>
      <c r="T1911" s="125"/>
      <c r="U1911" s="125"/>
      <c r="V1911" s="125"/>
      <c r="W1911" s="125"/>
      <c r="X1911" s="125"/>
      <c r="Y1911" s="125"/>
      <c r="Z1911" s="127"/>
      <c r="AA1911" s="127"/>
      <c r="AB1911" s="127"/>
      <c r="AC1911" s="127"/>
      <c r="AD1911" s="261"/>
      <c r="AE1911" s="261"/>
      <c r="AF1911" s="261"/>
      <c r="AG1911" s="261"/>
    </row>
    <row r="1912" ht="34.5" hidden="1" customHeight="1">
      <c r="A1912" s="111"/>
      <c r="B1912" s="127"/>
      <c r="C1912" s="111"/>
      <c r="D1912" s="111"/>
      <c r="E1912" s="111"/>
      <c r="F1912" s="111"/>
      <c r="G1912" s="111"/>
      <c r="H1912" s="111"/>
      <c r="I1912" s="127"/>
      <c r="J1912" s="111"/>
      <c r="K1912" s="111"/>
      <c r="L1912" s="111"/>
      <c r="M1912" s="127"/>
      <c r="N1912" s="270"/>
      <c r="O1912" s="111"/>
      <c r="P1912" s="111"/>
      <c r="Q1912" s="127"/>
      <c r="R1912" s="124"/>
      <c r="S1912" s="125"/>
      <c r="T1912" s="125"/>
      <c r="U1912" s="125"/>
      <c r="V1912" s="125"/>
      <c r="W1912" s="125"/>
      <c r="X1912" s="125"/>
      <c r="Y1912" s="125"/>
      <c r="Z1912" s="127"/>
      <c r="AA1912" s="127"/>
      <c r="AB1912" s="127"/>
      <c r="AC1912" s="127"/>
      <c r="AD1912" s="261"/>
      <c r="AE1912" s="261"/>
      <c r="AF1912" s="261"/>
      <c r="AG1912" s="261"/>
    </row>
    <row r="1913" ht="34.5" hidden="1" customHeight="1">
      <c r="A1913" s="111"/>
      <c r="B1913" s="127"/>
      <c r="C1913" s="111"/>
      <c r="D1913" s="111"/>
      <c r="E1913" s="111"/>
      <c r="F1913" s="111"/>
      <c r="G1913" s="111"/>
      <c r="H1913" s="111"/>
      <c r="I1913" s="127"/>
      <c r="J1913" s="111"/>
      <c r="K1913" s="111"/>
      <c r="L1913" s="111"/>
      <c r="M1913" s="127"/>
      <c r="N1913" s="270"/>
      <c r="O1913" s="111"/>
      <c r="P1913" s="111"/>
      <c r="Q1913" s="127"/>
      <c r="R1913" s="124"/>
      <c r="S1913" s="125"/>
      <c r="T1913" s="125"/>
      <c r="U1913" s="125"/>
      <c r="V1913" s="125"/>
      <c r="W1913" s="125"/>
      <c r="X1913" s="125"/>
      <c r="Y1913" s="125"/>
      <c r="Z1913" s="127"/>
      <c r="AA1913" s="127"/>
      <c r="AB1913" s="127"/>
      <c r="AC1913" s="127"/>
      <c r="AD1913" s="261"/>
      <c r="AE1913" s="261"/>
      <c r="AF1913" s="261"/>
      <c r="AG1913" s="261"/>
    </row>
    <row r="1914" ht="34.5" hidden="1" customHeight="1">
      <c r="A1914" s="111"/>
      <c r="B1914" s="127"/>
      <c r="C1914" s="111"/>
      <c r="D1914" s="111"/>
      <c r="E1914" s="111"/>
      <c r="F1914" s="111"/>
      <c r="G1914" s="111"/>
      <c r="H1914" s="111"/>
      <c r="I1914" s="127"/>
      <c r="J1914" s="111"/>
      <c r="K1914" s="111"/>
      <c r="L1914" s="111"/>
      <c r="M1914" s="127"/>
      <c r="N1914" s="270"/>
      <c r="O1914" s="111"/>
      <c r="P1914" s="111"/>
      <c r="Q1914" s="127"/>
      <c r="R1914" s="124"/>
      <c r="S1914" s="125"/>
      <c r="T1914" s="125"/>
      <c r="U1914" s="125"/>
      <c r="V1914" s="125"/>
      <c r="W1914" s="125"/>
      <c r="X1914" s="125"/>
      <c r="Y1914" s="125"/>
      <c r="Z1914" s="127"/>
      <c r="AA1914" s="127"/>
      <c r="AB1914" s="127"/>
      <c r="AC1914" s="127"/>
      <c r="AD1914" s="261"/>
      <c r="AE1914" s="261"/>
      <c r="AF1914" s="261"/>
      <c r="AG1914" s="261"/>
    </row>
    <row r="1915" ht="34.5" hidden="1" customHeight="1">
      <c r="A1915" s="111"/>
      <c r="B1915" s="127"/>
      <c r="C1915" s="111"/>
      <c r="D1915" s="111"/>
      <c r="E1915" s="111"/>
      <c r="F1915" s="111"/>
      <c r="G1915" s="111"/>
      <c r="H1915" s="111"/>
      <c r="I1915" s="127"/>
      <c r="J1915" s="111"/>
      <c r="K1915" s="111"/>
      <c r="L1915" s="111"/>
      <c r="M1915" s="127"/>
      <c r="N1915" s="270"/>
      <c r="O1915" s="111"/>
      <c r="P1915" s="111"/>
      <c r="Q1915" s="127"/>
      <c r="R1915" s="124"/>
      <c r="S1915" s="125"/>
      <c r="T1915" s="125"/>
      <c r="U1915" s="125"/>
      <c r="V1915" s="125"/>
      <c r="W1915" s="125"/>
      <c r="X1915" s="125"/>
      <c r="Y1915" s="125"/>
      <c r="Z1915" s="127"/>
      <c r="AA1915" s="127"/>
      <c r="AB1915" s="127"/>
      <c r="AC1915" s="127"/>
      <c r="AD1915" s="261"/>
      <c r="AE1915" s="261"/>
      <c r="AF1915" s="261"/>
      <c r="AG1915" s="261"/>
    </row>
    <row r="1916" ht="34.5" hidden="1" customHeight="1">
      <c r="A1916" s="111"/>
      <c r="B1916" s="127"/>
      <c r="C1916" s="111"/>
      <c r="D1916" s="111"/>
      <c r="E1916" s="111"/>
      <c r="F1916" s="111"/>
      <c r="G1916" s="111"/>
      <c r="H1916" s="111"/>
      <c r="I1916" s="127"/>
      <c r="J1916" s="111"/>
      <c r="K1916" s="111"/>
      <c r="L1916" s="111"/>
      <c r="M1916" s="127"/>
      <c r="N1916" s="270"/>
      <c r="O1916" s="111"/>
      <c r="P1916" s="111"/>
      <c r="Q1916" s="127"/>
      <c r="R1916" s="124"/>
      <c r="S1916" s="125"/>
      <c r="T1916" s="125"/>
      <c r="U1916" s="125"/>
      <c r="V1916" s="125"/>
      <c r="W1916" s="125"/>
      <c r="X1916" s="125"/>
      <c r="Y1916" s="125"/>
      <c r="Z1916" s="127"/>
      <c r="AA1916" s="127"/>
      <c r="AB1916" s="127"/>
      <c r="AC1916" s="127"/>
      <c r="AD1916" s="261"/>
      <c r="AE1916" s="261"/>
      <c r="AF1916" s="261"/>
      <c r="AG1916" s="261"/>
    </row>
    <row r="1917" ht="34.5" hidden="1" customHeight="1">
      <c r="A1917" s="111"/>
      <c r="B1917" s="127"/>
      <c r="C1917" s="111"/>
      <c r="D1917" s="111"/>
      <c r="E1917" s="111"/>
      <c r="F1917" s="111"/>
      <c r="G1917" s="111"/>
      <c r="H1917" s="111"/>
      <c r="I1917" s="127"/>
      <c r="J1917" s="111"/>
      <c r="K1917" s="111"/>
      <c r="L1917" s="111"/>
      <c r="M1917" s="127"/>
      <c r="N1917" s="270"/>
      <c r="O1917" s="111"/>
      <c r="P1917" s="111"/>
      <c r="Q1917" s="127"/>
      <c r="R1917" s="124"/>
      <c r="S1917" s="125"/>
      <c r="T1917" s="125"/>
      <c r="U1917" s="125"/>
      <c r="V1917" s="125"/>
      <c r="W1917" s="125"/>
      <c r="X1917" s="125"/>
      <c r="Y1917" s="125"/>
      <c r="Z1917" s="127"/>
      <c r="AA1917" s="127"/>
      <c r="AB1917" s="127"/>
      <c r="AC1917" s="127"/>
      <c r="AD1917" s="261"/>
      <c r="AE1917" s="261"/>
      <c r="AF1917" s="261"/>
      <c r="AG1917" s="261"/>
    </row>
    <row r="1918" ht="34.5" hidden="1" customHeight="1">
      <c r="A1918" s="111"/>
      <c r="B1918" s="127"/>
      <c r="C1918" s="111"/>
      <c r="D1918" s="111"/>
      <c r="E1918" s="111"/>
      <c r="F1918" s="111"/>
      <c r="G1918" s="111"/>
      <c r="H1918" s="111"/>
      <c r="I1918" s="127"/>
      <c r="J1918" s="111"/>
      <c r="K1918" s="111"/>
      <c r="L1918" s="111"/>
      <c r="M1918" s="127"/>
      <c r="N1918" s="270"/>
      <c r="O1918" s="111"/>
      <c r="P1918" s="111"/>
      <c r="Q1918" s="127"/>
      <c r="R1918" s="124"/>
      <c r="S1918" s="125"/>
      <c r="T1918" s="125"/>
      <c r="U1918" s="125"/>
      <c r="V1918" s="125"/>
      <c r="W1918" s="125"/>
      <c r="X1918" s="125"/>
      <c r="Y1918" s="125"/>
      <c r="Z1918" s="127"/>
      <c r="AA1918" s="127"/>
      <c r="AB1918" s="127"/>
      <c r="AC1918" s="127"/>
      <c r="AD1918" s="261"/>
      <c r="AE1918" s="261"/>
      <c r="AF1918" s="261"/>
      <c r="AG1918" s="261"/>
    </row>
    <row r="1919" ht="34.5" hidden="1" customHeight="1">
      <c r="A1919" s="111"/>
      <c r="B1919" s="127"/>
      <c r="C1919" s="111"/>
      <c r="D1919" s="111"/>
      <c r="E1919" s="111"/>
      <c r="F1919" s="111"/>
      <c r="G1919" s="111"/>
      <c r="H1919" s="111"/>
      <c r="I1919" s="127"/>
      <c r="J1919" s="111"/>
      <c r="K1919" s="111"/>
      <c r="L1919" s="111"/>
      <c r="M1919" s="127"/>
      <c r="N1919" s="270"/>
      <c r="O1919" s="111"/>
      <c r="P1919" s="111"/>
      <c r="Q1919" s="127"/>
      <c r="R1919" s="124"/>
      <c r="S1919" s="125"/>
      <c r="T1919" s="125"/>
      <c r="U1919" s="125"/>
      <c r="V1919" s="125"/>
      <c r="W1919" s="125"/>
      <c r="X1919" s="125"/>
      <c r="Y1919" s="125"/>
      <c r="Z1919" s="127"/>
      <c r="AA1919" s="127"/>
      <c r="AB1919" s="127"/>
      <c r="AC1919" s="127"/>
      <c r="AD1919" s="261"/>
      <c r="AE1919" s="261"/>
      <c r="AF1919" s="261"/>
      <c r="AG1919" s="261"/>
    </row>
    <row r="1920" ht="34.5" hidden="1" customHeight="1">
      <c r="A1920" s="111"/>
      <c r="B1920" s="127"/>
      <c r="C1920" s="111"/>
      <c r="D1920" s="111"/>
      <c r="E1920" s="111"/>
      <c r="F1920" s="111"/>
      <c r="G1920" s="111"/>
      <c r="H1920" s="111"/>
      <c r="I1920" s="127"/>
      <c r="J1920" s="111"/>
      <c r="K1920" s="111"/>
      <c r="L1920" s="111"/>
      <c r="M1920" s="127"/>
      <c r="N1920" s="270"/>
      <c r="O1920" s="111"/>
      <c r="P1920" s="111"/>
      <c r="Q1920" s="127"/>
      <c r="R1920" s="124"/>
      <c r="S1920" s="125"/>
      <c r="T1920" s="125"/>
      <c r="U1920" s="125"/>
      <c r="V1920" s="125"/>
      <c r="W1920" s="125"/>
      <c r="X1920" s="125"/>
      <c r="Y1920" s="125"/>
      <c r="Z1920" s="127"/>
      <c r="AA1920" s="127"/>
      <c r="AB1920" s="127"/>
      <c r="AC1920" s="127"/>
      <c r="AD1920" s="261"/>
      <c r="AE1920" s="261"/>
      <c r="AF1920" s="261"/>
      <c r="AG1920" s="261"/>
    </row>
    <row r="1921" ht="34.5" hidden="1" customHeight="1">
      <c r="A1921" s="111"/>
      <c r="B1921" s="127"/>
      <c r="C1921" s="111"/>
      <c r="D1921" s="111"/>
      <c r="E1921" s="111"/>
      <c r="F1921" s="111"/>
      <c r="G1921" s="111"/>
      <c r="H1921" s="111"/>
      <c r="I1921" s="127"/>
      <c r="J1921" s="111"/>
      <c r="K1921" s="111"/>
      <c r="L1921" s="111"/>
      <c r="M1921" s="127"/>
      <c r="N1921" s="270"/>
      <c r="O1921" s="111"/>
      <c r="P1921" s="111"/>
      <c r="Q1921" s="127"/>
      <c r="R1921" s="124"/>
      <c r="S1921" s="125"/>
      <c r="T1921" s="125"/>
      <c r="U1921" s="125"/>
      <c r="V1921" s="125"/>
      <c r="W1921" s="125"/>
      <c r="X1921" s="125"/>
      <c r="Y1921" s="125"/>
      <c r="Z1921" s="127"/>
      <c r="AA1921" s="127"/>
      <c r="AB1921" s="127"/>
      <c r="AC1921" s="127"/>
      <c r="AD1921" s="261"/>
      <c r="AE1921" s="261"/>
      <c r="AF1921" s="261"/>
      <c r="AG1921" s="261"/>
    </row>
    <row r="1922" ht="34.5" hidden="1" customHeight="1">
      <c r="A1922" s="111"/>
      <c r="B1922" s="127"/>
      <c r="C1922" s="111"/>
      <c r="D1922" s="111"/>
      <c r="E1922" s="111"/>
      <c r="F1922" s="111"/>
      <c r="G1922" s="111"/>
      <c r="H1922" s="111"/>
      <c r="I1922" s="127"/>
      <c r="J1922" s="111"/>
      <c r="K1922" s="111"/>
      <c r="L1922" s="111"/>
      <c r="M1922" s="127"/>
      <c r="N1922" s="270"/>
      <c r="O1922" s="111"/>
      <c r="P1922" s="111"/>
      <c r="Q1922" s="127"/>
      <c r="R1922" s="124"/>
      <c r="S1922" s="125"/>
      <c r="T1922" s="125"/>
      <c r="U1922" s="125"/>
      <c r="V1922" s="125"/>
      <c r="W1922" s="125"/>
      <c r="X1922" s="125"/>
      <c r="Y1922" s="125"/>
      <c r="Z1922" s="127"/>
      <c r="AA1922" s="127"/>
      <c r="AB1922" s="127"/>
      <c r="AC1922" s="127"/>
      <c r="AD1922" s="261"/>
      <c r="AE1922" s="261"/>
      <c r="AF1922" s="261"/>
      <c r="AG1922" s="261"/>
    </row>
    <row r="1923" ht="34.5" hidden="1" customHeight="1">
      <c r="A1923" s="111"/>
      <c r="B1923" s="127"/>
      <c r="C1923" s="111"/>
      <c r="D1923" s="111"/>
      <c r="E1923" s="111"/>
      <c r="F1923" s="111"/>
      <c r="G1923" s="111"/>
      <c r="H1923" s="111"/>
      <c r="I1923" s="127"/>
      <c r="J1923" s="111"/>
      <c r="K1923" s="111"/>
      <c r="L1923" s="111"/>
      <c r="M1923" s="127"/>
      <c r="N1923" s="270"/>
      <c r="O1923" s="111"/>
      <c r="P1923" s="111"/>
      <c r="Q1923" s="127"/>
      <c r="R1923" s="124"/>
      <c r="S1923" s="125"/>
      <c r="T1923" s="125"/>
      <c r="U1923" s="125"/>
      <c r="V1923" s="125"/>
      <c r="W1923" s="125"/>
      <c r="X1923" s="125"/>
      <c r="Y1923" s="125"/>
      <c r="Z1923" s="127"/>
      <c r="AA1923" s="127"/>
      <c r="AB1923" s="127"/>
      <c r="AC1923" s="127"/>
      <c r="AD1923" s="261"/>
      <c r="AE1923" s="261"/>
      <c r="AF1923" s="261"/>
      <c r="AG1923" s="261"/>
    </row>
    <row r="1924" ht="34.5" hidden="1" customHeight="1">
      <c r="A1924" s="111"/>
      <c r="B1924" s="127"/>
      <c r="C1924" s="111"/>
      <c r="D1924" s="111"/>
      <c r="E1924" s="111"/>
      <c r="F1924" s="111"/>
      <c r="G1924" s="111"/>
      <c r="H1924" s="111"/>
      <c r="I1924" s="127"/>
      <c r="J1924" s="111"/>
      <c r="K1924" s="111"/>
      <c r="L1924" s="111"/>
      <c r="M1924" s="127"/>
      <c r="N1924" s="270"/>
      <c r="O1924" s="111"/>
      <c r="P1924" s="111"/>
      <c r="Q1924" s="127"/>
      <c r="R1924" s="124"/>
      <c r="S1924" s="125"/>
      <c r="T1924" s="125"/>
      <c r="U1924" s="125"/>
      <c r="V1924" s="125"/>
      <c r="W1924" s="125"/>
      <c r="X1924" s="125"/>
      <c r="Y1924" s="125"/>
      <c r="Z1924" s="127"/>
      <c r="AA1924" s="127"/>
      <c r="AB1924" s="127"/>
      <c r="AC1924" s="127"/>
      <c r="AD1924" s="261"/>
      <c r="AE1924" s="261"/>
      <c r="AF1924" s="261"/>
      <c r="AG1924" s="261"/>
    </row>
    <row r="1925" ht="34.5" hidden="1" customHeight="1">
      <c r="A1925" s="111"/>
      <c r="B1925" s="127"/>
      <c r="C1925" s="111"/>
      <c r="D1925" s="111"/>
      <c r="E1925" s="111"/>
      <c r="F1925" s="111"/>
      <c r="G1925" s="111"/>
      <c r="H1925" s="111"/>
      <c r="I1925" s="127"/>
      <c r="J1925" s="111"/>
      <c r="K1925" s="111"/>
      <c r="L1925" s="111"/>
      <c r="M1925" s="127"/>
      <c r="N1925" s="270"/>
      <c r="O1925" s="111"/>
      <c r="P1925" s="111"/>
      <c r="Q1925" s="127"/>
      <c r="R1925" s="124"/>
      <c r="S1925" s="125"/>
      <c r="T1925" s="125"/>
      <c r="U1925" s="125"/>
      <c r="V1925" s="125"/>
      <c r="W1925" s="125"/>
      <c r="X1925" s="125"/>
      <c r="Y1925" s="125"/>
      <c r="Z1925" s="127"/>
      <c r="AA1925" s="127"/>
      <c r="AB1925" s="127"/>
      <c r="AC1925" s="127"/>
      <c r="AD1925" s="261"/>
      <c r="AE1925" s="261"/>
      <c r="AF1925" s="261"/>
      <c r="AG1925" s="261"/>
    </row>
    <row r="1926" ht="34.5" hidden="1" customHeight="1">
      <c r="A1926" s="111"/>
      <c r="B1926" s="127"/>
      <c r="C1926" s="111"/>
      <c r="D1926" s="111"/>
      <c r="E1926" s="111"/>
      <c r="F1926" s="111"/>
      <c r="G1926" s="111"/>
      <c r="H1926" s="111"/>
      <c r="I1926" s="127"/>
      <c r="J1926" s="111"/>
      <c r="K1926" s="111"/>
      <c r="L1926" s="111"/>
      <c r="M1926" s="127"/>
      <c r="N1926" s="270"/>
      <c r="O1926" s="111"/>
      <c r="P1926" s="111"/>
      <c r="Q1926" s="127"/>
      <c r="R1926" s="124"/>
      <c r="S1926" s="125"/>
      <c r="T1926" s="125"/>
      <c r="U1926" s="125"/>
      <c r="V1926" s="125"/>
      <c r="W1926" s="125"/>
      <c r="X1926" s="125"/>
      <c r="Y1926" s="125"/>
      <c r="Z1926" s="127"/>
      <c r="AA1926" s="127"/>
      <c r="AB1926" s="127"/>
      <c r="AC1926" s="127"/>
      <c r="AD1926" s="261"/>
      <c r="AE1926" s="261"/>
      <c r="AF1926" s="261"/>
      <c r="AG1926" s="261"/>
    </row>
    <row r="1927" ht="34.5" hidden="1" customHeight="1">
      <c r="A1927" s="111"/>
      <c r="B1927" s="127"/>
      <c r="C1927" s="111"/>
      <c r="D1927" s="111"/>
      <c r="E1927" s="111"/>
      <c r="F1927" s="111"/>
      <c r="G1927" s="111"/>
      <c r="H1927" s="111"/>
      <c r="I1927" s="127"/>
      <c r="J1927" s="111"/>
      <c r="K1927" s="111"/>
      <c r="L1927" s="111"/>
      <c r="M1927" s="127"/>
      <c r="N1927" s="270"/>
      <c r="O1927" s="111"/>
      <c r="P1927" s="111"/>
      <c r="Q1927" s="127"/>
      <c r="R1927" s="124"/>
      <c r="S1927" s="125"/>
      <c r="T1927" s="125"/>
      <c r="U1927" s="125"/>
      <c r="V1927" s="125"/>
      <c r="W1927" s="125"/>
      <c r="X1927" s="125"/>
      <c r="Y1927" s="125"/>
      <c r="Z1927" s="127"/>
      <c r="AA1927" s="127"/>
      <c r="AB1927" s="127"/>
      <c r="AC1927" s="127"/>
      <c r="AD1927" s="261"/>
      <c r="AE1927" s="261"/>
      <c r="AF1927" s="261"/>
      <c r="AG1927" s="261"/>
    </row>
    <row r="1928" ht="34.5" hidden="1" customHeight="1">
      <c r="A1928" s="111"/>
      <c r="B1928" s="127"/>
      <c r="C1928" s="111"/>
      <c r="D1928" s="111"/>
      <c r="E1928" s="111"/>
      <c r="F1928" s="111"/>
      <c r="G1928" s="111"/>
      <c r="H1928" s="111"/>
      <c r="I1928" s="127"/>
      <c r="J1928" s="111"/>
      <c r="K1928" s="111"/>
      <c r="L1928" s="111"/>
      <c r="M1928" s="127"/>
      <c r="N1928" s="270"/>
      <c r="O1928" s="111"/>
      <c r="P1928" s="111"/>
      <c r="Q1928" s="127"/>
      <c r="R1928" s="124"/>
      <c r="S1928" s="125"/>
      <c r="T1928" s="125"/>
      <c r="U1928" s="125"/>
      <c r="V1928" s="125"/>
      <c r="W1928" s="125"/>
      <c r="X1928" s="125"/>
      <c r="Y1928" s="125"/>
      <c r="Z1928" s="127"/>
      <c r="AA1928" s="127"/>
      <c r="AB1928" s="127"/>
      <c r="AC1928" s="127"/>
      <c r="AD1928" s="261"/>
      <c r="AE1928" s="261"/>
      <c r="AF1928" s="261"/>
      <c r="AG1928" s="261"/>
    </row>
    <row r="1929" ht="34.5" hidden="1" customHeight="1">
      <c r="A1929" s="111"/>
      <c r="B1929" s="127"/>
      <c r="C1929" s="111"/>
      <c r="D1929" s="111"/>
      <c r="E1929" s="111"/>
      <c r="F1929" s="111"/>
      <c r="G1929" s="111"/>
      <c r="H1929" s="111"/>
      <c r="I1929" s="127"/>
      <c r="J1929" s="111"/>
      <c r="K1929" s="111"/>
      <c r="L1929" s="111"/>
      <c r="M1929" s="127"/>
      <c r="N1929" s="270"/>
      <c r="O1929" s="111"/>
      <c r="P1929" s="111"/>
      <c r="Q1929" s="127"/>
      <c r="R1929" s="124"/>
      <c r="S1929" s="125"/>
      <c r="T1929" s="125"/>
      <c r="U1929" s="125"/>
      <c r="V1929" s="125"/>
      <c r="W1929" s="125"/>
      <c r="X1929" s="125"/>
      <c r="Y1929" s="125"/>
      <c r="Z1929" s="127"/>
      <c r="AA1929" s="127"/>
      <c r="AB1929" s="127"/>
      <c r="AC1929" s="127"/>
      <c r="AD1929" s="261"/>
      <c r="AE1929" s="261"/>
      <c r="AF1929" s="261"/>
      <c r="AG1929" s="261"/>
    </row>
    <row r="1930" ht="34.5" hidden="1" customHeight="1">
      <c r="A1930" s="111"/>
      <c r="B1930" s="127"/>
      <c r="C1930" s="111"/>
      <c r="D1930" s="111"/>
      <c r="E1930" s="111"/>
      <c r="F1930" s="111"/>
      <c r="G1930" s="111"/>
      <c r="H1930" s="111"/>
      <c r="I1930" s="127"/>
      <c r="J1930" s="111"/>
      <c r="K1930" s="111"/>
      <c r="L1930" s="111"/>
      <c r="M1930" s="127"/>
      <c r="N1930" s="270"/>
      <c r="O1930" s="111"/>
      <c r="P1930" s="111"/>
      <c r="Q1930" s="127"/>
      <c r="R1930" s="124"/>
      <c r="S1930" s="125"/>
      <c r="T1930" s="125"/>
      <c r="U1930" s="125"/>
      <c r="V1930" s="125"/>
      <c r="W1930" s="125"/>
      <c r="X1930" s="125"/>
      <c r="Y1930" s="125"/>
      <c r="Z1930" s="127"/>
      <c r="AA1930" s="127"/>
      <c r="AB1930" s="127"/>
      <c r="AC1930" s="127"/>
      <c r="AD1930" s="261"/>
      <c r="AE1930" s="261"/>
      <c r="AF1930" s="261"/>
      <c r="AG1930" s="261"/>
    </row>
    <row r="1931" ht="34.5" hidden="1" customHeight="1">
      <c r="A1931" s="111"/>
      <c r="B1931" s="127"/>
      <c r="C1931" s="111"/>
      <c r="D1931" s="111"/>
      <c r="E1931" s="111"/>
      <c r="F1931" s="111"/>
      <c r="G1931" s="111"/>
      <c r="H1931" s="111"/>
      <c r="I1931" s="127"/>
      <c r="J1931" s="111"/>
      <c r="K1931" s="111"/>
      <c r="L1931" s="111"/>
      <c r="M1931" s="127"/>
      <c r="N1931" s="270"/>
      <c r="O1931" s="111"/>
      <c r="P1931" s="111"/>
      <c r="Q1931" s="127"/>
      <c r="R1931" s="124"/>
      <c r="S1931" s="125"/>
      <c r="T1931" s="125"/>
      <c r="U1931" s="125"/>
      <c r="V1931" s="125"/>
      <c r="W1931" s="125"/>
      <c r="X1931" s="125"/>
      <c r="Y1931" s="125"/>
      <c r="Z1931" s="127"/>
      <c r="AA1931" s="127"/>
      <c r="AB1931" s="127"/>
      <c r="AC1931" s="127"/>
      <c r="AD1931" s="261"/>
      <c r="AE1931" s="261"/>
      <c r="AF1931" s="261"/>
      <c r="AG1931" s="261"/>
    </row>
    <row r="1932" ht="34.5" hidden="1" customHeight="1">
      <c r="A1932" s="111"/>
      <c r="B1932" s="127"/>
      <c r="C1932" s="111"/>
      <c r="D1932" s="111"/>
      <c r="E1932" s="111"/>
      <c r="F1932" s="111"/>
      <c r="G1932" s="111"/>
      <c r="H1932" s="111"/>
      <c r="I1932" s="127"/>
      <c r="J1932" s="111"/>
      <c r="K1932" s="111"/>
      <c r="L1932" s="111"/>
      <c r="M1932" s="127"/>
      <c r="N1932" s="270"/>
      <c r="O1932" s="111"/>
      <c r="P1932" s="111"/>
      <c r="Q1932" s="127"/>
      <c r="R1932" s="124"/>
      <c r="S1932" s="125"/>
      <c r="T1932" s="125"/>
      <c r="U1932" s="125"/>
      <c r="V1932" s="125"/>
      <c r="W1932" s="125"/>
      <c r="X1932" s="125"/>
      <c r="Y1932" s="125"/>
      <c r="Z1932" s="127"/>
      <c r="AA1932" s="127"/>
      <c r="AB1932" s="127"/>
      <c r="AC1932" s="127"/>
      <c r="AD1932" s="261"/>
      <c r="AE1932" s="261"/>
      <c r="AF1932" s="261"/>
      <c r="AG1932" s="261"/>
    </row>
    <row r="1933" ht="34.5" hidden="1" customHeight="1">
      <c r="A1933" s="111"/>
      <c r="B1933" s="127"/>
      <c r="C1933" s="111"/>
      <c r="D1933" s="111"/>
      <c r="E1933" s="111"/>
      <c r="F1933" s="111"/>
      <c r="G1933" s="111"/>
      <c r="H1933" s="111"/>
      <c r="I1933" s="127"/>
      <c r="J1933" s="111"/>
      <c r="K1933" s="111"/>
      <c r="L1933" s="111"/>
      <c r="M1933" s="127"/>
      <c r="N1933" s="270"/>
      <c r="O1933" s="111"/>
      <c r="P1933" s="111"/>
      <c r="Q1933" s="127"/>
      <c r="R1933" s="124"/>
      <c r="S1933" s="125"/>
      <c r="T1933" s="125"/>
      <c r="U1933" s="125"/>
      <c r="V1933" s="125"/>
      <c r="W1933" s="125"/>
      <c r="X1933" s="125"/>
      <c r="Y1933" s="125"/>
      <c r="Z1933" s="127"/>
      <c r="AA1933" s="127"/>
      <c r="AB1933" s="127"/>
      <c r="AC1933" s="127"/>
      <c r="AD1933" s="261"/>
      <c r="AE1933" s="261"/>
      <c r="AF1933" s="261"/>
      <c r="AG1933" s="261"/>
    </row>
    <row r="1934" ht="34.5" hidden="1" customHeight="1">
      <c r="A1934" s="111"/>
      <c r="B1934" s="127"/>
      <c r="C1934" s="111"/>
      <c r="D1934" s="111"/>
      <c r="E1934" s="111"/>
      <c r="F1934" s="111"/>
      <c r="G1934" s="111"/>
      <c r="H1934" s="111"/>
      <c r="I1934" s="127"/>
      <c r="J1934" s="111"/>
      <c r="K1934" s="111"/>
      <c r="L1934" s="111"/>
      <c r="M1934" s="127"/>
      <c r="N1934" s="270"/>
      <c r="O1934" s="111"/>
      <c r="P1934" s="111"/>
      <c r="Q1934" s="127"/>
      <c r="R1934" s="124"/>
      <c r="S1934" s="125"/>
      <c r="T1934" s="125"/>
      <c r="U1934" s="125"/>
      <c r="V1934" s="125"/>
      <c r="W1934" s="125"/>
      <c r="X1934" s="125"/>
      <c r="Y1934" s="125"/>
      <c r="Z1934" s="127"/>
      <c r="AA1934" s="127"/>
      <c r="AB1934" s="127"/>
      <c r="AC1934" s="127"/>
      <c r="AD1934" s="261"/>
      <c r="AE1934" s="261"/>
      <c r="AF1934" s="261"/>
      <c r="AG1934" s="261"/>
    </row>
    <row r="1935" ht="34.5" hidden="1" customHeight="1">
      <c r="A1935" s="111"/>
      <c r="B1935" s="127"/>
      <c r="C1935" s="111"/>
      <c r="D1935" s="111"/>
      <c r="E1935" s="111"/>
      <c r="F1935" s="111"/>
      <c r="G1935" s="111"/>
      <c r="H1935" s="111"/>
      <c r="I1935" s="127"/>
      <c r="J1935" s="111"/>
      <c r="K1935" s="111"/>
      <c r="L1935" s="111"/>
      <c r="M1935" s="127"/>
      <c r="N1935" s="270"/>
      <c r="O1935" s="111"/>
      <c r="P1935" s="111"/>
      <c r="Q1935" s="127"/>
      <c r="R1935" s="124"/>
      <c r="S1935" s="125"/>
      <c r="T1935" s="125"/>
      <c r="U1935" s="125"/>
      <c r="V1935" s="125"/>
      <c r="W1935" s="125"/>
      <c r="X1935" s="125"/>
      <c r="Y1935" s="125"/>
      <c r="Z1935" s="127"/>
      <c r="AA1935" s="127"/>
      <c r="AB1935" s="127"/>
      <c r="AC1935" s="127"/>
      <c r="AD1935" s="261"/>
      <c r="AE1935" s="261"/>
      <c r="AF1935" s="261"/>
      <c r="AG1935" s="261"/>
    </row>
    <row r="1936" ht="34.5" hidden="1" customHeight="1">
      <c r="A1936" s="111"/>
      <c r="B1936" s="127"/>
      <c r="C1936" s="111"/>
      <c r="D1936" s="111"/>
      <c r="E1936" s="111"/>
      <c r="F1936" s="111"/>
      <c r="G1936" s="111"/>
      <c r="H1936" s="111"/>
      <c r="I1936" s="127"/>
      <c r="J1936" s="111"/>
      <c r="K1936" s="111"/>
      <c r="L1936" s="111"/>
      <c r="M1936" s="127"/>
      <c r="N1936" s="270"/>
      <c r="O1936" s="111"/>
      <c r="P1936" s="111"/>
      <c r="Q1936" s="127"/>
      <c r="R1936" s="124"/>
      <c r="S1936" s="125"/>
      <c r="T1936" s="125"/>
      <c r="U1936" s="125"/>
      <c r="V1936" s="125"/>
      <c r="W1936" s="125"/>
      <c r="X1936" s="125"/>
      <c r="Y1936" s="125"/>
      <c r="Z1936" s="127"/>
      <c r="AA1936" s="127"/>
      <c r="AB1936" s="127"/>
      <c r="AC1936" s="127"/>
      <c r="AD1936" s="261"/>
      <c r="AE1936" s="261"/>
      <c r="AF1936" s="261"/>
      <c r="AG1936" s="261"/>
    </row>
    <row r="1937" ht="34.5" hidden="1" customHeight="1">
      <c r="A1937" s="111"/>
      <c r="B1937" s="127"/>
      <c r="C1937" s="111"/>
      <c r="D1937" s="111"/>
      <c r="E1937" s="111"/>
      <c r="F1937" s="111"/>
      <c r="G1937" s="111"/>
      <c r="H1937" s="111"/>
      <c r="I1937" s="127"/>
      <c r="J1937" s="111"/>
      <c r="K1937" s="111"/>
      <c r="L1937" s="111"/>
      <c r="M1937" s="127"/>
      <c r="N1937" s="270"/>
      <c r="O1937" s="111"/>
      <c r="P1937" s="111"/>
      <c r="Q1937" s="127"/>
      <c r="R1937" s="124"/>
      <c r="S1937" s="125"/>
      <c r="T1937" s="125"/>
      <c r="U1937" s="125"/>
      <c r="V1937" s="125"/>
      <c r="W1937" s="125"/>
      <c r="X1937" s="125"/>
      <c r="Y1937" s="125"/>
      <c r="Z1937" s="127"/>
      <c r="AA1937" s="127"/>
      <c r="AB1937" s="127"/>
      <c r="AC1937" s="127"/>
      <c r="AD1937" s="261"/>
      <c r="AE1937" s="261"/>
      <c r="AF1937" s="261"/>
      <c r="AG1937" s="261"/>
    </row>
    <row r="1938" ht="34.5" hidden="1" customHeight="1">
      <c r="A1938" s="111"/>
      <c r="B1938" s="127"/>
      <c r="C1938" s="111"/>
      <c r="D1938" s="111"/>
      <c r="E1938" s="111"/>
      <c r="F1938" s="111"/>
      <c r="G1938" s="111"/>
      <c r="H1938" s="111"/>
      <c r="I1938" s="127"/>
      <c r="J1938" s="111"/>
      <c r="K1938" s="111"/>
      <c r="L1938" s="111"/>
      <c r="M1938" s="127"/>
      <c r="N1938" s="270"/>
      <c r="O1938" s="111"/>
      <c r="P1938" s="111"/>
      <c r="Q1938" s="127"/>
      <c r="R1938" s="124"/>
      <c r="S1938" s="125"/>
      <c r="T1938" s="125"/>
      <c r="U1938" s="125"/>
      <c r="V1938" s="125"/>
      <c r="W1938" s="125"/>
      <c r="X1938" s="125"/>
      <c r="Y1938" s="125"/>
      <c r="Z1938" s="127"/>
      <c r="AA1938" s="127"/>
      <c r="AB1938" s="127"/>
      <c r="AC1938" s="127"/>
      <c r="AD1938" s="261"/>
      <c r="AE1938" s="261"/>
      <c r="AF1938" s="261"/>
      <c r="AG1938" s="261"/>
    </row>
    <row r="1939" ht="34.5" hidden="1" customHeight="1">
      <c r="A1939" s="111"/>
      <c r="B1939" s="127"/>
      <c r="C1939" s="111"/>
      <c r="D1939" s="111"/>
      <c r="E1939" s="111"/>
      <c r="F1939" s="111"/>
      <c r="G1939" s="111"/>
      <c r="H1939" s="111"/>
      <c r="I1939" s="127"/>
      <c r="J1939" s="111"/>
      <c r="K1939" s="111"/>
      <c r="L1939" s="111"/>
      <c r="M1939" s="127"/>
      <c r="N1939" s="270"/>
      <c r="O1939" s="111"/>
      <c r="P1939" s="111"/>
      <c r="Q1939" s="127"/>
      <c r="R1939" s="124"/>
      <c r="S1939" s="125"/>
      <c r="T1939" s="125"/>
      <c r="U1939" s="125"/>
      <c r="V1939" s="125"/>
      <c r="W1939" s="125"/>
      <c r="X1939" s="125"/>
      <c r="Y1939" s="125"/>
      <c r="Z1939" s="127"/>
      <c r="AA1939" s="127"/>
      <c r="AB1939" s="127"/>
      <c r="AC1939" s="127"/>
      <c r="AD1939" s="261"/>
      <c r="AE1939" s="261"/>
      <c r="AF1939" s="261"/>
      <c r="AG1939" s="261"/>
    </row>
    <row r="1940" ht="34.5" hidden="1" customHeight="1">
      <c r="A1940" s="111"/>
      <c r="B1940" s="127"/>
      <c r="C1940" s="111"/>
      <c r="D1940" s="111"/>
      <c r="E1940" s="111"/>
      <c r="F1940" s="111"/>
      <c r="G1940" s="111"/>
      <c r="H1940" s="111"/>
      <c r="I1940" s="127"/>
      <c r="J1940" s="111"/>
      <c r="K1940" s="111"/>
      <c r="L1940" s="111"/>
      <c r="M1940" s="127"/>
      <c r="N1940" s="270"/>
      <c r="O1940" s="111"/>
      <c r="P1940" s="111"/>
      <c r="Q1940" s="127"/>
      <c r="R1940" s="124"/>
      <c r="S1940" s="125"/>
      <c r="T1940" s="125"/>
      <c r="U1940" s="125"/>
      <c r="V1940" s="125"/>
      <c r="W1940" s="125"/>
      <c r="X1940" s="125"/>
      <c r="Y1940" s="125"/>
      <c r="Z1940" s="127"/>
      <c r="AA1940" s="127"/>
      <c r="AB1940" s="127"/>
      <c r="AC1940" s="127"/>
      <c r="AD1940" s="261"/>
      <c r="AE1940" s="261"/>
      <c r="AF1940" s="261"/>
      <c r="AG1940" s="261"/>
    </row>
    <row r="1941" ht="34.5" hidden="1" customHeight="1">
      <c r="A1941" s="111"/>
      <c r="B1941" s="127"/>
      <c r="C1941" s="111"/>
      <c r="D1941" s="111"/>
      <c r="E1941" s="111"/>
      <c r="F1941" s="111"/>
      <c r="G1941" s="111"/>
      <c r="H1941" s="111"/>
      <c r="I1941" s="127"/>
      <c r="J1941" s="111"/>
      <c r="K1941" s="111"/>
      <c r="L1941" s="111"/>
      <c r="M1941" s="127"/>
      <c r="N1941" s="270"/>
      <c r="O1941" s="111"/>
      <c r="P1941" s="111"/>
      <c r="Q1941" s="127"/>
      <c r="R1941" s="124"/>
      <c r="S1941" s="125"/>
      <c r="T1941" s="125"/>
      <c r="U1941" s="125"/>
      <c r="V1941" s="125"/>
      <c r="W1941" s="125"/>
      <c r="X1941" s="125"/>
      <c r="Y1941" s="125"/>
      <c r="Z1941" s="127"/>
      <c r="AA1941" s="127"/>
      <c r="AB1941" s="127"/>
      <c r="AC1941" s="127"/>
      <c r="AD1941" s="261"/>
      <c r="AE1941" s="261"/>
      <c r="AF1941" s="261"/>
      <c r="AG1941" s="261"/>
    </row>
    <row r="1942" ht="34.5" hidden="1" customHeight="1">
      <c r="A1942" s="111"/>
      <c r="B1942" s="127"/>
      <c r="C1942" s="111"/>
      <c r="D1942" s="111"/>
      <c r="E1942" s="111"/>
      <c r="F1942" s="111"/>
      <c r="G1942" s="111"/>
      <c r="H1942" s="111"/>
      <c r="I1942" s="127"/>
      <c r="J1942" s="111"/>
      <c r="K1942" s="111"/>
      <c r="L1942" s="111"/>
      <c r="M1942" s="127"/>
      <c r="N1942" s="270"/>
      <c r="O1942" s="111"/>
      <c r="P1942" s="111"/>
      <c r="Q1942" s="127"/>
      <c r="R1942" s="124"/>
      <c r="S1942" s="125"/>
      <c r="T1942" s="125"/>
      <c r="U1942" s="125"/>
      <c r="V1942" s="125"/>
      <c r="W1942" s="125"/>
      <c r="X1942" s="125"/>
      <c r="Y1942" s="125"/>
      <c r="Z1942" s="127"/>
      <c r="AA1942" s="127"/>
      <c r="AB1942" s="127"/>
      <c r="AC1942" s="127"/>
      <c r="AD1942" s="261"/>
      <c r="AE1942" s="261"/>
      <c r="AF1942" s="261"/>
      <c r="AG1942" s="261"/>
    </row>
    <row r="1943" ht="34.5" hidden="1" customHeight="1">
      <c r="A1943" s="111"/>
      <c r="B1943" s="127"/>
      <c r="C1943" s="111"/>
      <c r="D1943" s="111"/>
      <c r="E1943" s="111"/>
      <c r="F1943" s="111"/>
      <c r="G1943" s="111"/>
      <c r="H1943" s="111"/>
      <c r="I1943" s="127"/>
      <c r="J1943" s="111"/>
      <c r="K1943" s="111"/>
      <c r="L1943" s="111"/>
      <c r="M1943" s="127"/>
      <c r="N1943" s="270"/>
      <c r="O1943" s="111"/>
      <c r="P1943" s="111"/>
      <c r="Q1943" s="127"/>
      <c r="R1943" s="124"/>
      <c r="S1943" s="125"/>
      <c r="T1943" s="125"/>
      <c r="U1943" s="125"/>
      <c r="V1943" s="125"/>
      <c r="W1943" s="125"/>
      <c r="X1943" s="125"/>
      <c r="Y1943" s="125"/>
      <c r="Z1943" s="127"/>
      <c r="AA1943" s="127"/>
      <c r="AB1943" s="127"/>
      <c r="AC1943" s="127"/>
      <c r="AD1943" s="261"/>
      <c r="AE1943" s="261"/>
      <c r="AF1943" s="261"/>
      <c r="AG1943" s="261"/>
    </row>
    <row r="1944" ht="34.5" hidden="1" customHeight="1">
      <c r="A1944" s="111"/>
      <c r="B1944" s="127"/>
      <c r="C1944" s="111"/>
      <c r="D1944" s="111"/>
      <c r="E1944" s="111"/>
      <c r="F1944" s="111"/>
      <c r="G1944" s="111"/>
      <c r="H1944" s="111"/>
      <c r="I1944" s="127"/>
      <c r="J1944" s="111"/>
      <c r="K1944" s="111"/>
      <c r="L1944" s="111"/>
      <c r="M1944" s="127"/>
      <c r="N1944" s="270"/>
      <c r="O1944" s="111"/>
      <c r="P1944" s="111"/>
      <c r="Q1944" s="127"/>
      <c r="R1944" s="124"/>
      <c r="S1944" s="125"/>
      <c r="T1944" s="125"/>
      <c r="U1944" s="125"/>
      <c r="V1944" s="125"/>
      <c r="W1944" s="125"/>
      <c r="X1944" s="125"/>
      <c r="Y1944" s="125"/>
      <c r="Z1944" s="127"/>
      <c r="AA1944" s="127"/>
      <c r="AB1944" s="127"/>
      <c r="AC1944" s="127"/>
      <c r="AD1944" s="261"/>
      <c r="AE1944" s="261"/>
      <c r="AF1944" s="261"/>
      <c r="AG1944" s="261"/>
    </row>
    <row r="1945" ht="34.5" hidden="1" customHeight="1">
      <c r="A1945" s="111"/>
      <c r="B1945" s="127"/>
      <c r="C1945" s="111"/>
      <c r="D1945" s="111"/>
      <c r="E1945" s="111"/>
      <c r="F1945" s="111"/>
      <c r="G1945" s="111"/>
      <c r="H1945" s="111"/>
      <c r="I1945" s="127"/>
      <c r="J1945" s="111"/>
      <c r="K1945" s="111"/>
      <c r="L1945" s="111"/>
      <c r="M1945" s="127"/>
      <c r="N1945" s="270"/>
      <c r="O1945" s="111"/>
      <c r="P1945" s="111"/>
      <c r="Q1945" s="127"/>
      <c r="R1945" s="124"/>
      <c r="S1945" s="125"/>
      <c r="T1945" s="125"/>
      <c r="U1945" s="125"/>
      <c r="V1945" s="125"/>
      <c r="W1945" s="125"/>
      <c r="X1945" s="125"/>
      <c r="Y1945" s="125"/>
      <c r="Z1945" s="127"/>
      <c r="AA1945" s="127"/>
      <c r="AB1945" s="127"/>
      <c r="AC1945" s="127"/>
      <c r="AD1945" s="261"/>
      <c r="AE1945" s="261"/>
      <c r="AF1945" s="261"/>
      <c r="AG1945" s="261"/>
    </row>
    <row r="1946" ht="34.5" hidden="1" customHeight="1">
      <c r="A1946" s="111"/>
      <c r="B1946" s="127"/>
      <c r="C1946" s="111"/>
      <c r="D1946" s="111"/>
      <c r="E1946" s="111"/>
      <c r="F1946" s="111"/>
      <c r="G1946" s="111"/>
      <c r="H1946" s="111"/>
      <c r="I1946" s="127"/>
      <c r="J1946" s="111"/>
      <c r="K1946" s="111"/>
      <c r="L1946" s="111"/>
      <c r="M1946" s="127"/>
      <c r="N1946" s="270"/>
      <c r="O1946" s="111"/>
      <c r="P1946" s="111"/>
      <c r="Q1946" s="127"/>
      <c r="R1946" s="124"/>
      <c r="S1946" s="125"/>
      <c r="T1946" s="125"/>
      <c r="U1946" s="125"/>
      <c r="V1946" s="125"/>
      <c r="W1946" s="125"/>
      <c r="X1946" s="125"/>
      <c r="Y1946" s="125"/>
      <c r="Z1946" s="127"/>
      <c r="AA1946" s="127"/>
      <c r="AB1946" s="127"/>
      <c r="AC1946" s="127"/>
      <c r="AD1946" s="261"/>
      <c r="AE1946" s="261"/>
      <c r="AF1946" s="261"/>
      <c r="AG1946" s="261"/>
    </row>
    <row r="1947" ht="34.5" hidden="1" customHeight="1">
      <c r="A1947" s="111"/>
      <c r="B1947" s="127"/>
      <c r="C1947" s="111"/>
      <c r="D1947" s="111"/>
      <c r="E1947" s="111"/>
      <c r="F1947" s="111"/>
      <c r="G1947" s="111"/>
      <c r="H1947" s="111"/>
      <c r="I1947" s="127"/>
      <c r="J1947" s="111"/>
      <c r="K1947" s="111"/>
      <c r="L1947" s="111"/>
      <c r="M1947" s="127"/>
      <c r="N1947" s="270"/>
      <c r="O1947" s="111"/>
      <c r="P1947" s="111"/>
      <c r="Q1947" s="127"/>
      <c r="R1947" s="124"/>
      <c r="S1947" s="125"/>
      <c r="T1947" s="125"/>
      <c r="U1947" s="125"/>
      <c r="V1947" s="125"/>
      <c r="W1947" s="125"/>
      <c r="X1947" s="125"/>
      <c r="Y1947" s="125"/>
      <c r="Z1947" s="127"/>
      <c r="AA1947" s="127"/>
      <c r="AB1947" s="127"/>
      <c r="AC1947" s="127"/>
      <c r="AD1947" s="261"/>
      <c r="AE1947" s="261"/>
      <c r="AF1947" s="261"/>
      <c r="AG1947" s="261"/>
    </row>
    <row r="1948" ht="34.5" hidden="1" customHeight="1">
      <c r="A1948" s="111"/>
      <c r="B1948" s="127"/>
      <c r="C1948" s="111"/>
      <c r="D1948" s="111"/>
      <c r="E1948" s="111"/>
      <c r="F1948" s="111"/>
      <c r="G1948" s="111"/>
      <c r="H1948" s="111"/>
      <c r="I1948" s="127"/>
      <c r="J1948" s="111"/>
      <c r="K1948" s="111"/>
      <c r="L1948" s="111"/>
      <c r="M1948" s="127"/>
      <c r="N1948" s="270"/>
      <c r="O1948" s="111"/>
      <c r="P1948" s="111"/>
      <c r="Q1948" s="127"/>
      <c r="R1948" s="124"/>
      <c r="S1948" s="125"/>
      <c r="T1948" s="125"/>
      <c r="U1948" s="125"/>
      <c r="V1948" s="125"/>
      <c r="W1948" s="125"/>
      <c r="X1948" s="125"/>
      <c r="Y1948" s="125"/>
      <c r="Z1948" s="127"/>
      <c r="AA1948" s="127"/>
      <c r="AB1948" s="127"/>
      <c r="AC1948" s="127"/>
      <c r="AD1948" s="261"/>
      <c r="AE1948" s="261"/>
      <c r="AF1948" s="261"/>
      <c r="AG1948" s="261"/>
    </row>
    <row r="1949" ht="34.5" hidden="1" customHeight="1">
      <c r="A1949" s="111"/>
      <c r="B1949" s="127"/>
      <c r="C1949" s="111"/>
      <c r="D1949" s="111"/>
      <c r="E1949" s="111"/>
      <c r="F1949" s="111"/>
      <c r="G1949" s="111"/>
      <c r="H1949" s="111"/>
      <c r="I1949" s="127"/>
      <c r="J1949" s="111"/>
      <c r="K1949" s="111"/>
      <c r="L1949" s="111"/>
      <c r="M1949" s="127"/>
      <c r="N1949" s="270"/>
      <c r="O1949" s="111"/>
      <c r="P1949" s="111"/>
      <c r="Q1949" s="127"/>
      <c r="R1949" s="124"/>
      <c r="S1949" s="125"/>
      <c r="T1949" s="125"/>
      <c r="U1949" s="125"/>
      <c r="V1949" s="125"/>
      <c r="W1949" s="125"/>
      <c r="X1949" s="125"/>
      <c r="Y1949" s="125"/>
      <c r="Z1949" s="127"/>
      <c r="AA1949" s="127"/>
      <c r="AB1949" s="127"/>
      <c r="AC1949" s="127"/>
      <c r="AD1949" s="261"/>
      <c r="AE1949" s="261"/>
      <c r="AF1949" s="261"/>
      <c r="AG1949" s="261"/>
    </row>
    <row r="1950" ht="34.5" hidden="1" customHeight="1">
      <c r="A1950" s="111"/>
      <c r="B1950" s="127"/>
      <c r="C1950" s="111"/>
      <c r="D1950" s="111"/>
      <c r="E1950" s="111"/>
      <c r="F1950" s="111"/>
      <c r="G1950" s="111"/>
      <c r="H1950" s="111"/>
      <c r="I1950" s="127"/>
      <c r="J1950" s="111"/>
      <c r="K1950" s="111"/>
      <c r="L1950" s="111"/>
      <c r="M1950" s="127"/>
      <c r="N1950" s="270"/>
      <c r="O1950" s="111"/>
      <c r="P1950" s="111"/>
      <c r="Q1950" s="127"/>
      <c r="R1950" s="124"/>
      <c r="S1950" s="125"/>
      <c r="T1950" s="125"/>
      <c r="U1950" s="125"/>
      <c r="V1950" s="125"/>
      <c r="W1950" s="125"/>
      <c r="X1950" s="125"/>
      <c r="Y1950" s="125"/>
      <c r="Z1950" s="127"/>
      <c r="AA1950" s="127"/>
      <c r="AB1950" s="127"/>
      <c r="AC1950" s="127"/>
      <c r="AD1950" s="261"/>
      <c r="AE1950" s="261"/>
      <c r="AF1950" s="261"/>
      <c r="AG1950" s="261"/>
    </row>
    <row r="1951" ht="34.5" hidden="1" customHeight="1">
      <c r="A1951" s="111"/>
      <c r="B1951" s="127"/>
      <c r="C1951" s="111"/>
      <c r="D1951" s="111"/>
      <c r="E1951" s="111"/>
      <c r="F1951" s="111"/>
      <c r="G1951" s="111"/>
      <c r="H1951" s="111"/>
      <c r="I1951" s="127"/>
      <c r="J1951" s="111"/>
      <c r="K1951" s="111"/>
      <c r="L1951" s="111"/>
      <c r="M1951" s="127"/>
      <c r="N1951" s="270"/>
      <c r="O1951" s="111"/>
      <c r="P1951" s="111"/>
      <c r="Q1951" s="127"/>
      <c r="R1951" s="124"/>
      <c r="S1951" s="125"/>
      <c r="T1951" s="125"/>
      <c r="U1951" s="125"/>
      <c r="V1951" s="125"/>
      <c r="W1951" s="125"/>
      <c r="X1951" s="125"/>
      <c r="Y1951" s="125"/>
      <c r="Z1951" s="127"/>
      <c r="AA1951" s="127"/>
      <c r="AB1951" s="127"/>
      <c r="AC1951" s="127"/>
      <c r="AD1951" s="261"/>
      <c r="AE1951" s="261"/>
      <c r="AF1951" s="261"/>
      <c r="AG1951" s="261"/>
    </row>
    <row r="1952" ht="34.5" hidden="1" customHeight="1">
      <c r="A1952" s="111"/>
      <c r="B1952" s="127"/>
      <c r="C1952" s="111"/>
      <c r="D1952" s="111"/>
      <c r="E1952" s="111"/>
      <c r="F1952" s="111"/>
      <c r="G1952" s="111"/>
      <c r="H1952" s="111"/>
      <c r="I1952" s="127"/>
      <c r="J1952" s="111"/>
      <c r="K1952" s="111"/>
      <c r="L1952" s="111"/>
      <c r="M1952" s="127"/>
      <c r="N1952" s="270"/>
      <c r="O1952" s="111"/>
      <c r="P1952" s="111"/>
      <c r="Q1952" s="127"/>
      <c r="R1952" s="124"/>
      <c r="S1952" s="125"/>
      <c r="T1952" s="125"/>
      <c r="U1952" s="125"/>
      <c r="V1952" s="125"/>
      <c r="W1952" s="125"/>
      <c r="X1952" s="125"/>
      <c r="Y1952" s="125"/>
      <c r="Z1952" s="127"/>
      <c r="AA1952" s="127"/>
      <c r="AB1952" s="127"/>
      <c r="AC1952" s="127"/>
      <c r="AD1952" s="261"/>
      <c r="AE1952" s="261"/>
      <c r="AF1952" s="261"/>
      <c r="AG1952" s="261"/>
    </row>
    <row r="1953" ht="34.5" hidden="1" customHeight="1">
      <c r="A1953" s="111"/>
      <c r="B1953" s="127"/>
      <c r="C1953" s="111"/>
      <c r="D1953" s="111"/>
      <c r="E1953" s="111"/>
      <c r="F1953" s="111"/>
      <c r="G1953" s="111"/>
      <c r="H1953" s="111"/>
      <c r="I1953" s="127"/>
      <c r="J1953" s="111"/>
      <c r="K1953" s="111"/>
      <c r="L1953" s="111"/>
      <c r="M1953" s="127"/>
      <c r="N1953" s="270"/>
      <c r="O1953" s="111"/>
      <c r="P1953" s="111"/>
      <c r="Q1953" s="127"/>
      <c r="R1953" s="124"/>
      <c r="S1953" s="125"/>
      <c r="T1953" s="125"/>
      <c r="U1953" s="125"/>
      <c r="V1953" s="125"/>
      <c r="W1953" s="125"/>
      <c r="X1953" s="125"/>
      <c r="Y1953" s="125"/>
      <c r="Z1953" s="127"/>
      <c r="AA1953" s="127"/>
      <c r="AB1953" s="127"/>
      <c r="AC1953" s="127"/>
      <c r="AD1953" s="261"/>
      <c r="AE1953" s="261"/>
      <c r="AF1953" s="261"/>
      <c r="AG1953" s="261"/>
    </row>
    <row r="1954" ht="34.5" hidden="1" customHeight="1">
      <c r="A1954" s="111"/>
      <c r="B1954" s="127"/>
      <c r="C1954" s="111"/>
      <c r="D1954" s="111"/>
      <c r="E1954" s="111"/>
      <c r="F1954" s="111"/>
      <c r="G1954" s="111"/>
      <c r="H1954" s="111"/>
      <c r="I1954" s="127"/>
      <c r="J1954" s="111"/>
      <c r="K1954" s="111"/>
      <c r="L1954" s="111"/>
      <c r="M1954" s="127"/>
      <c r="N1954" s="270"/>
      <c r="O1954" s="111"/>
      <c r="P1954" s="111"/>
      <c r="Q1954" s="127"/>
      <c r="R1954" s="124"/>
      <c r="S1954" s="125"/>
      <c r="T1954" s="125"/>
      <c r="U1954" s="125"/>
      <c r="V1954" s="125"/>
      <c r="W1954" s="125"/>
      <c r="X1954" s="125"/>
      <c r="Y1954" s="125"/>
      <c r="Z1954" s="127"/>
      <c r="AA1954" s="127"/>
      <c r="AB1954" s="127"/>
      <c r="AC1954" s="127"/>
      <c r="AD1954" s="261"/>
      <c r="AE1954" s="261"/>
      <c r="AF1954" s="261"/>
      <c r="AG1954" s="261"/>
    </row>
    <row r="1955" ht="34.5" hidden="1" customHeight="1">
      <c r="A1955" s="111"/>
      <c r="B1955" s="127"/>
      <c r="C1955" s="111"/>
      <c r="D1955" s="111"/>
      <c r="E1955" s="111"/>
      <c r="F1955" s="111"/>
      <c r="G1955" s="111"/>
      <c r="H1955" s="111"/>
      <c r="I1955" s="127"/>
      <c r="J1955" s="111"/>
      <c r="K1955" s="111"/>
      <c r="L1955" s="111"/>
      <c r="M1955" s="127"/>
      <c r="N1955" s="270"/>
      <c r="O1955" s="111"/>
      <c r="P1955" s="111"/>
      <c r="Q1955" s="127"/>
      <c r="R1955" s="124"/>
      <c r="S1955" s="125"/>
      <c r="T1955" s="125"/>
      <c r="U1955" s="125"/>
      <c r="V1955" s="125"/>
      <c r="W1955" s="125"/>
      <c r="X1955" s="125"/>
      <c r="Y1955" s="125"/>
      <c r="Z1955" s="127"/>
      <c r="AA1955" s="127"/>
      <c r="AB1955" s="127"/>
      <c r="AC1955" s="127"/>
      <c r="AD1955" s="261"/>
      <c r="AE1955" s="261"/>
      <c r="AF1955" s="261"/>
      <c r="AG1955" s="261"/>
    </row>
    <row r="1956" ht="34.5" hidden="1" customHeight="1">
      <c r="A1956" s="111"/>
      <c r="B1956" s="127"/>
      <c r="C1956" s="111"/>
      <c r="D1956" s="111"/>
      <c r="E1956" s="111"/>
      <c r="F1956" s="111"/>
      <c r="G1956" s="111"/>
      <c r="H1956" s="111"/>
      <c r="I1956" s="127"/>
      <c r="J1956" s="111"/>
      <c r="K1956" s="111"/>
      <c r="L1956" s="111"/>
      <c r="M1956" s="127"/>
      <c r="N1956" s="270"/>
      <c r="O1956" s="111"/>
      <c r="P1956" s="111"/>
      <c r="Q1956" s="127"/>
      <c r="R1956" s="124"/>
      <c r="S1956" s="125"/>
      <c r="T1956" s="125"/>
      <c r="U1956" s="125"/>
      <c r="V1956" s="125"/>
      <c r="W1956" s="125"/>
      <c r="X1956" s="125"/>
      <c r="Y1956" s="125"/>
      <c r="Z1956" s="127"/>
      <c r="AA1956" s="127"/>
      <c r="AB1956" s="127"/>
      <c r="AC1956" s="127"/>
      <c r="AD1956" s="261"/>
      <c r="AE1956" s="261"/>
      <c r="AF1956" s="261"/>
      <c r="AG1956" s="261"/>
    </row>
    <row r="1957" ht="34.5" hidden="1" customHeight="1">
      <c r="A1957" s="111"/>
      <c r="B1957" s="127"/>
      <c r="C1957" s="111"/>
      <c r="D1957" s="111"/>
      <c r="E1957" s="111"/>
      <c r="F1957" s="111"/>
      <c r="G1957" s="111"/>
      <c r="H1957" s="111"/>
      <c r="I1957" s="127"/>
      <c r="J1957" s="111"/>
      <c r="K1957" s="111"/>
      <c r="L1957" s="111"/>
      <c r="M1957" s="127"/>
      <c r="N1957" s="270"/>
      <c r="O1957" s="111"/>
      <c r="P1957" s="111"/>
      <c r="Q1957" s="127"/>
      <c r="R1957" s="124"/>
      <c r="S1957" s="125"/>
      <c r="T1957" s="125"/>
      <c r="U1957" s="125"/>
      <c r="V1957" s="125"/>
      <c r="W1957" s="125"/>
      <c r="X1957" s="125"/>
      <c r="Y1957" s="125"/>
      <c r="Z1957" s="127"/>
      <c r="AA1957" s="127"/>
      <c r="AB1957" s="127"/>
      <c r="AC1957" s="127"/>
      <c r="AD1957" s="261"/>
      <c r="AE1957" s="261"/>
      <c r="AF1957" s="261"/>
      <c r="AG1957" s="261"/>
    </row>
    <row r="1958" ht="34.5" hidden="1" customHeight="1">
      <c r="A1958" s="111"/>
      <c r="B1958" s="127"/>
      <c r="C1958" s="111"/>
      <c r="D1958" s="111"/>
      <c r="E1958" s="111"/>
      <c r="F1958" s="111"/>
      <c r="G1958" s="111"/>
      <c r="H1958" s="111"/>
      <c r="I1958" s="127"/>
      <c r="J1958" s="111"/>
      <c r="K1958" s="111"/>
      <c r="L1958" s="111"/>
      <c r="M1958" s="127"/>
      <c r="N1958" s="270"/>
      <c r="O1958" s="111"/>
      <c r="P1958" s="111"/>
      <c r="Q1958" s="127"/>
      <c r="R1958" s="124"/>
      <c r="S1958" s="125"/>
      <c r="T1958" s="125"/>
      <c r="U1958" s="125"/>
      <c r="V1958" s="125"/>
      <c r="W1958" s="125"/>
      <c r="X1958" s="125"/>
      <c r="Y1958" s="125"/>
      <c r="Z1958" s="127"/>
      <c r="AA1958" s="127"/>
      <c r="AB1958" s="127"/>
      <c r="AC1958" s="127"/>
      <c r="AD1958" s="261"/>
      <c r="AE1958" s="261"/>
      <c r="AF1958" s="261"/>
      <c r="AG1958" s="261"/>
    </row>
    <row r="1959" ht="34.5" hidden="1" customHeight="1">
      <c r="A1959" s="111"/>
      <c r="B1959" s="127"/>
      <c r="C1959" s="111"/>
      <c r="D1959" s="111"/>
      <c r="E1959" s="111"/>
      <c r="F1959" s="111"/>
      <c r="G1959" s="111"/>
      <c r="H1959" s="111"/>
      <c r="I1959" s="127"/>
      <c r="J1959" s="111"/>
      <c r="K1959" s="111"/>
      <c r="L1959" s="111"/>
      <c r="M1959" s="127"/>
      <c r="N1959" s="270"/>
      <c r="O1959" s="111"/>
      <c r="P1959" s="111"/>
      <c r="Q1959" s="127"/>
      <c r="R1959" s="124"/>
      <c r="S1959" s="125"/>
      <c r="T1959" s="125"/>
      <c r="U1959" s="125"/>
      <c r="V1959" s="125"/>
      <c r="W1959" s="125"/>
      <c r="X1959" s="125"/>
      <c r="Y1959" s="125"/>
      <c r="Z1959" s="127"/>
      <c r="AA1959" s="127"/>
      <c r="AB1959" s="127"/>
      <c r="AC1959" s="127"/>
      <c r="AD1959" s="261"/>
      <c r="AE1959" s="261"/>
      <c r="AF1959" s="261"/>
      <c r="AG1959" s="261"/>
    </row>
    <row r="1960" ht="34.5" hidden="1" customHeight="1">
      <c r="A1960" s="111"/>
      <c r="B1960" s="127"/>
      <c r="C1960" s="111"/>
      <c r="D1960" s="111"/>
      <c r="E1960" s="111"/>
      <c r="F1960" s="111"/>
      <c r="G1960" s="111"/>
      <c r="H1960" s="111"/>
      <c r="I1960" s="127"/>
      <c r="J1960" s="111"/>
      <c r="K1960" s="111"/>
      <c r="L1960" s="111"/>
      <c r="M1960" s="127"/>
      <c r="N1960" s="270"/>
      <c r="O1960" s="111"/>
      <c r="P1960" s="111"/>
      <c r="Q1960" s="127"/>
      <c r="R1960" s="124"/>
      <c r="S1960" s="125"/>
      <c r="T1960" s="125"/>
      <c r="U1960" s="125"/>
      <c r="V1960" s="125"/>
      <c r="W1960" s="125"/>
      <c r="X1960" s="125"/>
      <c r="Y1960" s="125"/>
      <c r="Z1960" s="127"/>
      <c r="AA1960" s="127"/>
      <c r="AB1960" s="127"/>
      <c r="AC1960" s="127"/>
      <c r="AD1960" s="261"/>
      <c r="AE1960" s="261"/>
      <c r="AF1960" s="261"/>
      <c r="AG1960" s="261"/>
    </row>
    <row r="1961" ht="34.5" hidden="1" customHeight="1">
      <c r="A1961" s="111"/>
      <c r="B1961" s="127"/>
      <c r="C1961" s="111"/>
      <c r="D1961" s="111"/>
      <c r="E1961" s="111"/>
      <c r="F1961" s="111"/>
      <c r="G1961" s="111"/>
      <c r="H1961" s="111"/>
      <c r="I1961" s="127"/>
      <c r="J1961" s="111"/>
      <c r="K1961" s="111"/>
      <c r="L1961" s="111"/>
      <c r="M1961" s="127"/>
      <c r="N1961" s="270"/>
      <c r="O1961" s="111"/>
      <c r="P1961" s="111"/>
      <c r="Q1961" s="127"/>
      <c r="R1961" s="124"/>
      <c r="S1961" s="125"/>
      <c r="T1961" s="125"/>
      <c r="U1961" s="125"/>
      <c r="V1961" s="125"/>
      <c r="W1961" s="125"/>
      <c r="X1961" s="125"/>
      <c r="Y1961" s="125"/>
      <c r="Z1961" s="127"/>
      <c r="AA1961" s="127"/>
      <c r="AB1961" s="127"/>
      <c r="AC1961" s="127"/>
      <c r="AD1961" s="261"/>
      <c r="AE1961" s="261"/>
      <c r="AF1961" s="261"/>
      <c r="AG1961" s="261"/>
    </row>
    <row r="1962" ht="34.5" hidden="1" customHeight="1">
      <c r="A1962" s="111"/>
      <c r="B1962" s="127"/>
      <c r="C1962" s="111"/>
      <c r="D1962" s="111"/>
      <c r="E1962" s="111"/>
      <c r="F1962" s="111"/>
      <c r="G1962" s="111"/>
      <c r="H1962" s="111"/>
      <c r="I1962" s="127"/>
      <c r="J1962" s="111"/>
      <c r="K1962" s="111"/>
      <c r="L1962" s="111"/>
      <c r="M1962" s="127"/>
      <c r="N1962" s="270"/>
      <c r="O1962" s="111"/>
      <c r="P1962" s="111"/>
      <c r="Q1962" s="127"/>
      <c r="R1962" s="124"/>
      <c r="S1962" s="125"/>
      <c r="T1962" s="125"/>
      <c r="U1962" s="125"/>
      <c r="V1962" s="125"/>
      <c r="W1962" s="125"/>
      <c r="X1962" s="125"/>
      <c r="Y1962" s="125"/>
      <c r="Z1962" s="127"/>
      <c r="AA1962" s="127"/>
      <c r="AB1962" s="127"/>
      <c r="AC1962" s="127"/>
      <c r="AD1962" s="261"/>
      <c r="AE1962" s="261"/>
      <c r="AF1962" s="261"/>
      <c r="AG1962" s="261"/>
    </row>
    <row r="1963" ht="34.5" hidden="1" customHeight="1">
      <c r="A1963" s="111"/>
      <c r="B1963" s="127"/>
      <c r="C1963" s="111"/>
      <c r="D1963" s="111"/>
      <c r="E1963" s="111"/>
      <c r="F1963" s="111"/>
      <c r="G1963" s="111"/>
      <c r="H1963" s="111"/>
      <c r="I1963" s="127"/>
      <c r="J1963" s="111"/>
      <c r="K1963" s="111"/>
      <c r="L1963" s="111"/>
      <c r="M1963" s="127"/>
      <c r="N1963" s="270"/>
      <c r="O1963" s="111"/>
      <c r="P1963" s="111"/>
      <c r="Q1963" s="127"/>
      <c r="R1963" s="124"/>
      <c r="S1963" s="125"/>
      <c r="T1963" s="125"/>
      <c r="U1963" s="125"/>
      <c r="V1963" s="125"/>
      <c r="W1963" s="125"/>
      <c r="X1963" s="125"/>
      <c r="Y1963" s="125"/>
      <c r="Z1963" s="127"/>
      <c r="AA1963" s="127"/>
      <c r="AB1963" s="127"/>
      <c r="AC1963" s="127"/>
      <c r="AD1963" s="261"/>
      <c r="AE1963" s="261"/>
      <c r="AF1963" s="261"/>
      <c r="AG1963" s="261"/>
    </row>
    <row r="1964" ht="34.5" hidden="1" customHeight="1">
      <c r="A1964" s="111"/>
      <c r="B1964" s="127"/>
      <c r="C1964" s="111"/>
      <c r="D1964" s="111"/>
      <c r="E1964" s="111"/>
      <c r="F1964" s="111"/>
      <c r="G1964" s="111"/>
      <c r="H1964" s="111"/>
      <c r="I1964" s="127"/>
      <c r="J1964" s="111"/>
      <c r="K1964" s="111"/>
      <c r="L1964" s="111"/>
      <c r="M1964" s="127"/>
      <c r="N1964" s="270"/>
      <c r="O1964" s="111"/>
      <c r="P1964" s="111"/>
      <c r="Q1964" s="127"/>
      <c r="R1964" s="124"/>
      <c r="S1964" s="125"/>
      <c r="T1964" s="125"/>
      <c r="U1964" s="125"/>
      <c r="V1964" s="125"/>
      <c r="W1964" s="125"/>
      <c r="X1964" s="125"/>
      <c r="Y1964" s="125"/>
      <c r="Z1964" s="127"/>
      <c r="AA1964" s="127"/>
      <c r="AB1964" s="127"/>
      <c r="AC1964" s="127"/>
      <c r="AD1964" s="261"/>
      <c r="AE1964" s="261"/>
      <c r="AF1964" s="261"/>
      <c r="AG1964" s="261"/>
    </row>
    <row r="1965" ht="34.5" hidden="1" customHeight="1">
      <c r="A1965" s="111"/>
      <c r="B1965" s="127"/>
      <c r="C1965" s="111"/>
      <c r="D1965" s="111"/>
      <c r="E1965" s="111"/>
      <c r="F1965" s="111"/>
      <c r="G1965" s="111"/>
      <c r="H1965" s="111"/>
      <c r="I1965" s="127"/>
      <c r="J1965" s="111"/>
      <c r="K1965" s="111"/>
      <c r="L1965" s="111"/>
      <c r="M1965" s="127"/>
      <c r="N1965" s="270"/>
      <c r="O1965" s="111"/>
      <c r="P1965" s="111"/>
      <c r="Q1965" s="127"/>
      <c r="R1965" s="124"/>
      <c r="S1965" s="125"/>
      <c r="T1965" s="125"/>
      <c r="U1965" s="125"/>
      <c r="V1965" s="125"/>
      <c r="W1965" s="125"/>
      <c r="X1965" s="125"/>
      <c r="Y1965" s="125"/>
      <c r="Z1965" s="127"/>
      <c r="AA1965" s="127"/>
      <c r="AB1965" s="127"/>
      <c r="AC1965" s="127"/>
      <c r="AD1965" s="261"/>
      <c r="AE1965" s="261"/>
      <c r="AF1965" s="261"/>
      <c r="AG1965" s="261"/>
    </row>
    <row r="1966" ht="34.5" hidden="1" customHeight="1">
      <c r="A1966" s="111"/>
      <c r="B1966" s="127"/>
      <c r="C1966" s="111"/>
      <c r="D1966" s="111"/>
      <c r="E1966" s="111"/>
      <c r="F1966" s="111"/>
      <c r="G1966" s="111"/>
      <c r="H1966" s="111"/>
      <c r="I1966" s="127"/>
      <c r="J1966" s="111"/>
      <c r="K1966" s="111"/>
      <c r="L1966" s="111"/>
      <c r="M1966" s="127"/>
      <c r="N1966" s="270"/>
      <c r="O1966" s="111"/>
      <c r="P1966" s="111"/>
      <c r="Q1966" s="127"/>
      <c r="R1966" s="124"/>
      <c r="S1966" s="125"/>
      <c r="T1966" s="125"/>
      <c r="U1966" s="125"/>
      <c r="V1966" s="125"/>
      <c r="W1966" s="125"/>
      <c r="X1966" s="125"/>
      <c r="Y1966" s="125"/>
      <c r="Z1966" s="127"/>
      <c r="AA1966" s="127"/>
      <c r="AB1966" s="127"/>
      <c r="AC1966" s="127"/>
      <c r="AD1966" s="261"/>
      <c r="AE1966" s="261"/>
      <c r="AF1966" s="261"/>
      <c r="AG1966" s="261"/>
    </row>
    <row r="1967" ht="34.5" hidden="1" customHeight="1">
      <c r="A1967" s="111"/>
      <c r="B1967" s="127"/>
      <c r="C1967" s="111"/>
      <c r="D1967" s="111"/>
      <c r="E1967" s="111"/>
      <c r="F1967" s="111"/>
      <c r="G1967" s="111"/>
      <c r="H1967" s="111"/>
      <c r="I1967" s="127"/>
      <c r="J1967" s="111"/>
      <c r="K1967" s="111"/>
      <c r="L1967" s="111"/>
      <c r="M1967" s="127"/>
      <c r="N1967" s="270"/>
      <c r="O1967" s="111"/>
      <c r="P1967" s="111"/>
      <c r="Q1967" s="127"/>
      <c r="R1967" s="124"/>
      <c r="S1967" s="125"/>
      <c r="T1967" s="125"/>
      <c r="U1967" s="125"/>
      <c r="V1967" s="125"/>
      <c r="W1967" s="125"/>
      <c r="X1967" s="125"/>
      <c r="Y1967" s="125"/>
      <c r="Z1967" s="127"/>
      <c r="AA1967" s="127"/>
      <c r="AB1967" s="127"/>
      <c r="AC1967" s="127"/>
      <c r="AD1967" s="261"/>
      <c r="AE1967" s="261"/>
      <c r="AF1967" s="261"/>
      <c r="AG1967" s="261"/>
    </row>
    <row r="1968" ht="34.5" hidden="1" customHeight="1">
      <c r="A1968" s="111"/>
      <c r="B1968" s="127"/>
      <c r="C1968" s="111"/>
      <c r="D1968" s="111"/>
      <c r="E1968" s="111"/>
      <c r="F1968" s="111"/>
      <c r="G1968" s="111"/>
      <c r="H1968" s="111"/>
      <c r="I1968" s="127"/>
      <c r="J1968" s="111"/>
      <c r="K1968" s="111"/>
      <c r="L1968" s="111"/>
      <c r="M1968" s="127"/>
      <c r="N1968" s="270"/>
      <c r="O1968" s="111"/>
      <c r="P1968" s="111"/>
      <c r="Q1968" s="127"/>
      <c r="R1968" s="124"/>
      <c r="S1968" s="125"/>
      <c r="T1968" s="125"/>
      <c r="U1968" s="125"/>
      <c r="V1968" s="125"/>
      <c r="W1968" s="125"/>
      <c r="X1968" s="125"/>
      <c r="Y1968" s="125"/>
      <c r="Z1968" s="127"/>
      <c r="AA1968" s="127"/>
      <c r="AB1968" s="127"/>
      <c r="AC1968" s="127"/>
      <c r="AD1968" s="261"/>
      <c r="AE1968" s="261"/>
      <c r="AF1968" s="261"/>
      <c r="AG1968" s="261"/>
    </row>
    <row r="1969" ht="34.5" hidden="1" customHeight="1">
      <c r="A1969" s="111"/>
      <c r="B1969" s="127"/>
      <c r="C1969" s="111"/>
      <c r="D1969" s="111"/>
      <c r="E1969" s="111"/>
      <c r="F1969" s="111"/>
      <c r="G1969" s="111"/>
      <c r="H1969" s="111"/>
      <c r="I1969" s="127"/>
      <c r="J1969" s="111"/>
      <c r="K1969" s="111"/>
      <c r="L1969" s="111"/>
      <c r="M1969" s="127"/>
      <c r="N1969" s="270"/>
      <c r="O1969" s="111"/>
      <c r="P1969" s="111"/>
      <c r="Q1969" s="127"/>
      <c r="R1969" s="124"/>
      <c r="S1969" s="125"/>
      <c r="T1969" s="125"/>
      <c r="U1969" s="125"/>
      <c r="V1969" s="125"/>
      <c r="W1969" s="125"/>
      <c r="X1969" s="125"/>
      <c r="Y1969" s="125"/>
      <c r="Z1969" s="127"/>
      <c r="AA1969" s="127"/>
      <c r="AB1969" s="127"/>
      <c r="AC1969" s="127"/>
      <c r="AD1969" s="261"/>
      <c r="AE1969" s="261"/>
      <c r="AF1969" s="261"/>
      <c r="AG1969" s="261"/>
    </row>
    <row r="1970" ht="34.5" hidden="1" customHeight="1">
      <c r="A1970" s="111"/>
      <c r="B1970" s="127"/>
      <c r="C1970" s="111"/>
      <c r="D1970" s="111"/>
      <c r="E1970" s="111"/>
      <c r="F1970" s="111"/>
      <c r="G1970" s="111"/>
      <c r="H1970" s="111"/>
      <c r="I1970" s="127"/>
      <c r="J1970" s="111"/>
      <c r="K1970" s="111"/>
      <c r="L1970" s="111"/>
      <c r="M1970" s="127"/>
      <c r="N1970" s="270"/>
      <c r="O1970" s="111"/>
      <c r="P1970" s="111"/>
      <c r="Q1970" s="127"/>
      <c r="R1970" s="124"/>
      <c r="S1970" s="125"/>
      <c r="T1970" s="125"/>
      <c r="U1970" s="125"/>
      <c r="V1970" s="125"/>
      <c r="W1970" s="125"/>
      <c r="X1970" s="125"/>
      <c r="Y1970" s="125"/>
      <c r="Z1970" s="127"/>
      <c r="AA1970" s="127"/>
      <c r="AB1970" s="127"/>
      <c r="AC1970" s="127"/>
      <c r="AD1970" s="261"/>
      <c r="AE1970" s="261"/>
      <c r="AF1970" s="261"/>
      <c r="AG1970" s="261"/>
    </row>
    <row r="1971" ht="34.5" hidden="1" customHeight="1">
      <c r="A1971" s="111"/>
      <c r="B1971" s="127"/>
      <c r="C1971" s="111"/>
      <c r="D1971" s="111"/>
      <c r="E1971" s="111"/>
      <c r="F1971" s="111"/>
      <c r="G1971" s="111"/>
      <c r="H1971" s="111"/>
      <c r="I1971" s="127"/>
      <c r="J1971" s="111"/>
      <c r="K1971" s="111"/>
      <c r="L1971" s="111"/>
      <c r="M1971" s="127"/>
      <c r="N1971" s="270"/>
      <c r="O1971" s="111"/>
      <c r="P1971" s="111"/>
      <c r="Q1971" s="127"/>
      <c r="R1971" s="124"/>
      <c r="S1971" s="125"/>
      <c r="T1971" s="125"/>
      <c r="U1971" s="125"/>
      <c r="V1971" s="125"/>
      <c r="W1971" s="125"/>
      <c r="X1971" s="125"/>
      <c r="Y1971" s="125"/>
      <c r="Z1971" s="127"/>
      <c r="AA1971" s="127"/>
      <c r="AB1971" s="127"/>
      <c r="AC1971" s="127"/>
      <c r="AD1971" s="261"/>
      <c r="AE1971" s="261"/>
      <c r="AF1971" s="261"/>
      <c r="AG1971" s="261"/>
    </row>
    <row r="1972" ht="34.5" hidden="1" customHeight="1">
      <c r="A1972" s="111"/>
      <c r="B1972" s="127"/>
      <c r="C1972" s="111"/>
      <c r="D1972" s="111"/>
      <c r="E1972" s="111"/>
      <c r="F1972" s="111"/>
      <c r="G1972" s="111"/>
      <c r="H1972" s="111"/>
      <c r="I1972" s="127"/>
      <c r="J1972" s="111"/>
      <c r="K1972" s="111"/>
      <c r="L1972" s="111"/>
      <c r="M1972" s="127"/>
      <c r="N1972" s="270"/>
      <c r="O1972" s="111"/>
      <c r="P1972" s="111"/>
      <c r="Q1972" s="127"/>
      <c r="R1972" s="124"/>
      <c r="S1972" s="125"/>
      <c r="T1972" s="125"/>
      <c r="U1972" s="125"/>
      <c r="V1972" s="125"/>
      <c r="W1972" s="125"/>
      <c r="X1972" s="125"/>
      <c r="Y1972" s="125"/>
      <c r="Z1972" s="127"/>
      <c r="AA1972" s="127"/>
      <c r="AB1972" s="127"/>
      <c r="AC1972" s="127"/>
      <c r="AD1972" s="261"/>
      <c r="AE1972" s="261"/>
      <c r="AF1972" s="261"/>
      <c r="AG1972" s="261"/>
    </row>
    <row r="1973" ht="34.5" hidden="1" customHeight="1">
      <c r="A1973" s="111"/>
      <c r="B1973" s="127"/>
      <c r="C1973" s="111"/>
      <c r="D1973" s="111"/>
      <c r="E1973" s="111"/>
      <c r="F1973" s="111"/>
      <c r="G1973" s="111"/>
      <c r="H1973" s="111"/>
      <c r="I1973" s="127"/>
      <c r="J1973" s="111"/>
      <c r="K1973" s="111"/>
      <c r="L1973" s="111"/>
      <c r="M1973" s="127"/>
      <c r="N1973" s="270"/>
      <c r="O1973" s="111"/>
      <c r="P1973" s="111"/>
      <c r="Q1973" s="127"/>
      <c r="R1973" s="124"/>
      <c r="S1973" s="125"/>
      <c r="T1973" s="125"/>
      <c r="U1973" s="125"/>
      <c r="V1973" s="125"/>
      <c r="W1973" s="125"/>
      <c r="X1973" s="125"/>
      <c r="Y1973" s="125"/>
      <c r="Z1973" s="127"/>
      <c r="AA1973" s="127"/>
      <c r="AB1973" s="127"/>
      <c r="AC1973" s="127"/>
      <c r="AD1973" s="261"/>
      <c r="AE1973" s="261"/>
      <c r="AF1973" s="261"/>
      <c r="AG1973" s="261"/>
    </row>
    <row r="1974" ht="34.5" hidden="1" customHeight="1">
      <c r="A1974" s="111"/>
      <c r="B1974" s="127"/>
      <c r="C1974" s="111"/>
      <c r="D1974" s="111"/>
      <c r="E1974" s="111"/>
      <c r="F1974" s="111"/>
      <c r="G1974" s="111"/>
      <c r="H1974" s="111"/>
      <c r="I1974" s="127"/>
      <c r="J1974" s="111"/>
      <c r="K1974" s="111"/>
      <c r="L1974" s="111"/>
      <c r="M1974" s="127"/>
      <c r="N1974" s="270"/>
      <c r="O1974" s="111"/>
      <c r="P1974" s="111"/>
      <c r="Q1974" s="127"/>
      <c r="R1974" s="124"/>
      <c r="S1974" s="125"/>
      <c r="T1974" s="125"/>
      <c r="U1974" s="125"/>
      <c r="V1974" s="125"/>
      <c r="W1974" s="125"/>
      <c r="X1974" s="125"/>
      <c r="Y1974" s="125"/>
      <c r="Z1974" s="127"/>
      <c r="AA1974" s="127"/>
      <c r="AB1974" s="127"/>
      <c r="AC1974" s="127"/>
      <c r="AD1974" s="261"/>
      <c r="AE1974" s="261"/>
      <c r="AF1974" s="261"/>
      <c r="AG1974" s="261"/>
    </row>
    <row r="1975" ht="34.5" hidden="1" customHeight="1">
      <c r="A1975" s="111"/>
      <c r="B1975" s="127"/>
      <c r="C1975" s="111"/>
      <c r="D1975" s="111"/>
      <c r="E1975" s="111"/>
      <c r="F1975" s="111"/>
      <c r="G1975" s="111"/>
      <c r="H1975" s="111"/>
      <c r="I1975" s="127"/>
      <c r="J1975" s="111"/>
      <c r="K1975" s="111"/>
      <c r="L1975" s="111"/>
      <c r="M1975" s="127"/>
      <c r="N1975" s="270"/>
      <c r="O1975" s="111"/>
      <c r="P1975" s="111"/>
      <c r="Q1975" s="127"/>
      <c r="R1975" s="124"/>
      <c r="S1975" s="125"/>
      <c r="T1975" s="125"/>
      <c r="U1975" s="125"/>
      <c r="V1975" s="125"/>
      <c r="W1975" s="125"/>
      <c r="X1975" s="125"/>
      <c r="Y1975" s="125"/>
      <c r="Z1975" s="127"/>
      <c r="AA1975" s="127"/>
      <c r="AB1975" s="127"/>
      <c r="AC1975" s="127"/>
      <c r="AD1975" s="261"/>
      <c r="AE1975" s="261"/>
      <c r="AF1975" s="261"/>
      <c r="AG1975" s="261"/>
    </row>
    <row r="1976" ht="34.5" hidden="1" customHeight="1">
      <c r="A1976" s="111"/>
      <c r="B1976" s="127"/>
      <c r="C1976" s="111"/>
      <c r="D1976" s="111"/>
      <c r="E1976" s="111"/>
      <c r="F1976" s="111"/>
      <c r="G1976" s="111"/>
      <c r="H1976" s="111"/>
      <c r="I1976" s="127"/>
      <c r="J1976" s="111"/>
      <c r="K1976" s="111"/>
      <c r="L1976" s="111"/>
      <c r="M1976" s="127"/>
      <c r="N1976" s="270"/>
      <c r="O1976" s="111"/>
      <c r="P1976" s="111"/>
      <c r="Q1976" s="127"/>
      <c r="R1976" s="124"/>
      <c r="S1976" s="125"/>
      <c r="T1976" s="125"/>
      <c r="U1976" s="125"/>
      <c r="V1976" s="125"/>
      <c r="W1976" s="125"/>
      <c r="X1976" s="125"/>
      <c r="Y1976" s="125"/>
      <c r="Z1976" s="127"/>
      <c r="AA1976" s="127"/>
      <c r="AB1976" s="127"/>
      <c r="AC1976" s="127"/>
      <c r="AD1976" s="261"/>
      <c r="AE1976" s="261"/>
      <c r="AF1976" s="261"/>
      <c r="AG1976" s="261"/>
    </row>
    <row r="1977" ht="34.5" hidden="1" customHeight="1">
      <c r="A1977" s="111"/>
      <c r="B1977" s="127"/>
      <c r="C1977" s="111"/>
      <c r="D1977" s="111"/>
      <c r="E1977" s="111"/>
      <c r="F1977" s="111"/>
      <c r="G1977" s="111"/>
      <c r="H1977" s="111"/>
      <c r="I1977" s="127"/>
      <c r="J1977" s="111"/>
      <c r="K1977" s="111"/>
      <c r="L1977" s="111"/>
      <c r="M1977" s="127"/>
      <c r="N1977" s="270"/>
      <c r="O1977" s="111"/>
      <c r="P1977" s="111"/>
      <c r="Q1977" s="127"/>
      <c r="R1977" s="124"/>
      <c r="S1977" s="125"/>
      <c r="T1977" s="125"/>
      <c r="U1977" s="125"/>
      <c r="V1977" s="125"/>
      <c r="W1977" s="125"/>
      <c r="X1977" s="125"/>
      <c r="Y1977" s="125"/>
      <c r="Z1977" s="127"/>
      <c r="AA1977" s="127"/>
      <c r="AB1977" s="127"/>
      <c r="AC1977" s="127"/>
      <c r="AD1977" s="261"/>
      <c r="AE1977" s="261"/>
      <c r="AF1977" s="261"/>
      <c r="AG1977" s="261"/>
    </row>
    <row r="1978" ht="34.5" hidden="1" customHeight="1">
      <c r="A1978" s="111"/>
      <c r="B1978" s="127"/>
      <c r="C1978" s="111"/>
      <c r="D1978" s="111"/>
      <c r="E1978" s="111"/>
      <c r="F1978" s="111"/>
      <c r="G1978" s="111"/>
      <c r="H1978" s="111"/>
      <c r="I1978" s="127"/>
      <c r="J1978" s="111"/>
      <c r="K1978" s="111"/>
      <c r="L1978" s="111"/>
      <c r="M1978" s="127"/>
      <c r="N1978" s="270"/>
      <c r="O1978" s="111"/>
      <c r="P1978" s="111"/>
      <c r="Q1978" s="127"/>
      <c r="R1978" s="124"/>
      <c r="S1978" s="125"/>
      <c r="T1978" s="125"/>
      <c r="U1978" s="125"/>
      <c r="V1978" s="125"/>
      <c r="W1978" s="125"/>
      <c r="X1978" s="125"/>
      <c r="Y1978" s="125"/>
      <c r="Z1978" s="127"/>
      <c r="AA1978" s="127"/>
      <c r="AB1978" s="127"/>
      <c r="AC1978" s="127"/>
      <c r="AD1978" s="261"/>
      <c r="AE1978" s="261"/>
      <c r="AF1978" s="261"/>
      <c r="AG1978" s="261"/>
    </row>
    <row r="1979" ht="34.5" hidden="1" customHeight="1">
      <c r="A1979" s="111"/>
      <c r="B1979" s="127"/>
      <c r="C1979" s="111"/>
      <c r="D1979" s="111"/>
      <c r="E1979" s="111"/>
      <c r="F1979" s="111"/>
      <c r="G1979" s="111"/>
      <c r="H1979" s="111"/>
      <c r="I1979" s="127"/>
      <c r="J1979" s="111"/>
      <c r="K1979" s="111"/>
      <c r="L1979" s="111"/>
      <c r="M1979" s="127"/>
      <c r="N1979" s="270"/>
      <c r="O1979" s="111"/>
      <c r="P1979" s="111"/>
      <c r="Q1979" s="127"/>
      <c r="R1979" s="124"/>
      <c r="S1979" s="125"/>
      <c r="T1979" s="125"/>
      <c r="U1979" s="125"/>
      <c r="V1979" s="125"/>
      <c r="W1979" s="125"/>
      <c r="X1979" s="125"/>
      <c r="Y1979" s="125"/>
      <c r="Z1979" s="127"/>
      <c r="AA1979" s="127"/>
      <c r="AB1979" s="127"/>
      <c r="AC1979" s="127"/>
      <c r="AD1979" s="261"/>
      <c r="AE1979" s="261"/>
      <c r="AF1979" s="261"/>
      <c r="AG1979" s="261"/>
    </row>
    <row r="1980" ht="34.5" hidden="1" customHeight="1">
      <c r="A1980" s="111"/>
      <c r="B1980" s="127"/>
      <c r="C1980" s="111"/>
      <c r="D1980" s="111"/>
      <c r="E1980" s="111"/>
      <c r="F1980" s="111"/>
      <c r="G1980" s="111"/>
      <c r="H1980" s="111"/>
      <c r="I1980" s="127"/>
      <c r="J1980" s="111"/>
      <c r="K1980" s="111"/>
      <c r="L1980" s="111"/>
      <c r="M1980" s="127"/>
      <c r="N1980" s="270"/>
      <c r="O1980" s="111"/>
      <c r="P1980" s="111"/>
      <c r="Q1980" s="127"/>
      <c r="R1980" s="124"/>
      <c r="S1980" s="125"/>
      <c r="T1980" s="125"/>
      <c r="U1980" s="125"/>
      <c r="V1980" s="125"/>
      <c r="W1980" s="125"/>
      <c r="X1980" s="125"/>
      <c r="Y1980" s="125"/>
      <c r="Z1980" s="127"/>
      <c r="AA1980" s="127"/>
      <c r="AB1980" s="127"/>
      <c r="AC1980" s="127"/>
      <c r="AD1980" s="261"/>
      <c r="AE1980" s="261"/>
      <c r="AF1980" s="261"/>
      <c r="AG1980" s="261"/>
    </row>
    <row r="1981" ht="34.5" hidden="1" customHeight="1">
      <c r="A1981" s="111"/>
      <c r="B1981" s="127"/>
      <c r="C1981" s="111"/>
      <c r="D1981" s="111"/>
      <c r="E1981" s="111"/>
      <c r="F1981" s="111"/>
      <c r="G1981" s="111"/>
      <c r="H1981" s="111"/>
      <c r="I1981" s="127"/>
      <c r="J1981" s="111"/>
      <c r="K1981" s="111"/>
      <c r="L1981" s="111"/>
      <c r="M1981" s="127"/>
      <c r="N1981" s="270"/>
      <c r="O1981" s="111"/>
      <c r="P1981" s="111"/>
      <c r="Q1981" s="127"/>
      <c r="R1981" s="124"/>
      <c r="S1981" s="125"/>
      <c r="T1981" s="125"/>
      <c r="U1981" s="125"/>
      <c r="V1981" s="125"/>
      <c r="W1981" s="125"/>
      <c r="X1981" s="125"/>
      <c r="Y1981" s="125"/>
      <c r="Z1981" s="127"/>
      <c r="AA1981" s="127"/>
      <c r="AB1981" s="127"/>
      <c r="AC1981" s="127"/>
      <c r="AD1981" s="261"/>
      <c r="AE1981" s="261"/>
      <c r="AF1981" s="261"/>
      <c r="AG1981" s="261"/>
    </row>
    <row r="1982" ht="34.5" hidden="1" customHeight="1">
      <c r="A1982" s="111"/>
      <c r="B1982" s="127"/>
      <c r="C1982" s="111"/>
      <c r="D1982" s="111"/>
      <c r="E1982" s="111"/>
      <c r="F1982" s="111"/>
      <c r="G1982" s="111"/>
      <c r="H1982" s="111"/>
      <c r="I1982" s="127"/>
      <c r="J1982" s="111"/>
      <c r="K1982" s="111"/>
      <c r="L1982" s="111"/>
      <c r="M1982" s="127"/>
      <c r="N1982" s="270"/>
      <c r="O1982" s="111"/>
      <c r="P1982" s="111"/>
      <c r="Q1982" s="127"/>
      <c r="R1982" s="124"/>
      <c r="S1982" s="125"/>
      <c r="T1982" s="125"/>
      <c r="U1982" s="125"/>
      <c r="V1982" s="125"/>
      <c r="W1982" s="125"/>
      <c r="X1982" s="125"/>
      <c r="Y1982" s="125"/>
      <c r="Z1982" s="127"/>
      <c r="AA1982" s="127"/>
      <c r="AB1982" s="127"/>
      <c r="AC1982" s="127"/>
      <c r="AD1982" s="261"/>
      <c r="AE1982" s="261"/>
      <c r="AF1982" s="261"/>
      <c r="AG1982" s="261"/>
    </row>
    <row r="1983" ht="34.5" hidden="1" customHeight="1">
      <c r="A1983" s="111"/>
      <c r="B1983" s="127"/>
      <c r="C1983" s="111"/>
      <c r="D1983" s="111"/>
      <c r="E1983" s="111"/>
      <c r="F1983" s="111"/>
      <c r="G1983" s="111"/>
      <c r="H1983" s="111"/>
      <c r="I1983" s="127"/>
      <c r="J1983" s="111"/>
      <c r="K1983" s="111"/>
      <c r="L1983" s="111"/>
      <c r="M1983" s="127"/>
      <c r="N1983" s="270"/>
      <c r="O1983" s="111"/>
      <c r="P1983" s="111"/>
      <c r="Q1983" s="127"/>
      <c r="R1983" s="124"/>
      <c r="S1983" s="125"/>
      <c r="T1983" s="125"/>
      <c r="U1983" s="125"/>
      <c r="V1983" s="125"/>
      <c r="W1983" s="125"/>
      <c r="X1983" s="125"/>
      <c r="Y1983" s="125"/>
      <c r="Z1983" s="127"/>
      <c r="AA1983" s="127"/>
      <c r="AB1983" s="127"/>
      <c r="AC1983" s="127"/>
      <c r="AD1983" s="261"/>
      <c r="AE1983" s="261"/>
      <c r="AF1983" s="261"/>
      <c r="AG1983" s="261"/>
    </row>
    <row r="1984" ht="34.5" hidden="1" customHeight="1">
      <c r="A1984" s="111"/>
      <c r="B1984" s="127"/>
      <c r="C1984" s="111"/>
      <c r="D1984" s="111"/>
      <c r="E1984" s="111"/>
      <c r="F1984" s="111"/>
      <c r="G1984" s="111"/>
      <c r="H1984" s="111"/>
      <c r="I1984" s="127"/>
      <c r="J1984" s="111"/>
      <c r="K1984" s="111"/>
      <c r="L1984" s="111"/>
      <c r="M1984" s="127"/>
      <c r="N1984" s="270"/>
      <c r="O1984" s="111"/>
      <c r="P1984" s="111"/>
      <c r="Q1984" s="127"/>
      <c r="R1984" s="124"/>
      <c r="S1984" s="125"/>
      <c r="T1984" s="125"/>
      <c r="U1984" s="125"/>
      <c r="V1984" s="125"/>
      <c r="W1984" s="125"/>
      <c r="X1984" s="125"/>
      <c r="Y1984" s="125"/>
      <c r="Z1984" s="127"/>
      <c r="AA1984" s="127"/>
      <c r="AB1984" s="127"/>
      <c r="AC1984" s="127"/>
      <c r="AD1984" s="261"/>
      <c r="AE1984" s="261"/>
      <c r="AF1984" s="261"/>
      <c r="AG1984" s="261"/>
    </row>
    <row r="1985" ht="34.5" hidden="1" customHeight="1">
      <c r="A1985" s="111"/>
      <c r="B1985" s="127"/>
      <c r="C1985" s="111"/>
      <c r="D1985" s="111"/>
      <c r="E1985" s="111"/>
      <c r="F1985" s="111"/>
      <c r="G1985" s="111"/>
      <c r="H1985" s="111"/>
      <c r="I1985" s="127"/>
      <c r="J1985" s="111"/>
      <c r="K1985" s="111"/>
      <c r="L1985" s="111"/>
      <c r="M1985" s="127"/>
      <c r="N1985" s="270"/>
      <c r="O1985" s="111"/>
      <c r="P1985" s="111"/>
      <c r="Q1985" s="127"/>
      <c r="R1985" s="124"/>
      <c r="S1985" s="125"/>
      <c r="T1985" s="125"/>
      <c r="U1985" s="125"/>
      <c r="V1985" s="125"/>
      <c r="W1985" s="125"/>
      <c r="X1985" s="125"/>
      <c r="Y1985" s="125"/>
      <c r="Z1985" s="127"/>
      <c r="AA1985" s="127"/>
      <c r="AB1985" s="127"/>
      <c r="AC1985" s="127"/>
      <c r="AD1985" s="261"/>
      <c r="AE1985" s="261"/>
      <c r="AF1985" s="261"/>
      <c r="AG1985" s="261"/>
    </row>
    <row r="1986" ht="34.5" hidden="1" customHeight="1">
      <c r="A1986" s="111"/>
      <c r="B1986" s="127"/>
      <c r="C1986" s="111"/>
      <c r="D1986" s="111"/>
      <c r="E1986" s="111"/>
      <c r="F1986" s="111"/>
      <c r="G1986" s="111"/>
      <c r="H1986" s="111"/>
      <c r="I1986" s="127"/>
      <c r="J1986" s="111"/>
      <c r="K1986" s="111"/>
      <c r="L1986" s="111"/>
      <c r="M1986" s="127"/>
      <c r="N1986" s="270"/>
      <c r="O1986" s="111"/>
      <c r="P1986" s="111"/>
      <c r="Q1986" s="127"/>
      <c r="R1986" s="124"/>
      <c r="S1986" s="125"/>
      <c r="T1986" s="125"/>
      <c r="U1986" s="125"/>
      <c r="V1986" s="125"/>
      <c r="W1986" s="125"/>
      <c r="X1986" s="125"/>
      <c r="Y1986" s="125"/>
      <c r="Z1986" s="127"/>
      <c r="AA1986" s="127"/>
      <c r="AB1986" s="127"/>
      <c r="AC1986" s="127"/>
      <c r="AD1986" s="261"/>
      <c r="AE1986" s="261"/>
      <c r="AF1986" s="261"/>
      <c r="AG1986" s="261"/>
    </row>
    <row r="1987" ht="34.5" hidden="1" customHeight="1">
      <c r="A1987" s="111"/>
      <c r="B1987" s="127"/>
      <c r="C1987" s="111"/>
      <c r="D1987" s="111"/>
      <c r="E1987" s="111"/>
      <c r="F1987" s="111"/>
      <c r="G1987" s="111"/>
      <c r="H1987" s="111"/>
      <c r="I1987" s="127"/>
      <c r="J1987" s="111"/>
      <c r="K1987" s="111"/>
      <c r="L1987" s="111"/>
      <c r="M1987" s="127"/>
      <c r="N1987" s="270"/>
      <c r="O1987" s="111"/>
      <c r="P1987" s="111"/>
      <c r="Q1987" s="127"/>
      <c r="R1987" s="124"/>
      <c r="S1987" s="125"/>
      <c r="T1987" s="125"/>
      <c r="U1987" s="125"/>
      <c r="V1987" s="125"/>
      <c r="W1987" s="125"/>
      <c r="X1987" s="125"/>
      <c r="Y1987" s="125"/>
      <c r="Z1987" s="127"/>
      <c r="AA1987" s="127"/>
      <c r="AB1987" s="127"/>
      <c r="AC1987" s="127"/>
      <c r="AD1987" s="261"/>
      <c r="AE1987" s="261"/>
      <c r="AF1987" s="261"/>
      <c r="AG1987" s="261"/>
    </row>
    <row r="1988" ht="34.5" hidden="1" customHeight="1">
      <c r="A1988" s="111"/>
      <c r="B1988" s="127"/>
      <c r="C1988" s="111"/>
      <c r="D1988" s="111"/>
      <c r="E1988" s="111"/>
      <c r="F1988" s="111"/>
      <c r="G1988" s="111"/>
      <c r="H1988" s="111"/>
      <c r="I1988" s="127"/>
      <c r="J1988" s="111"/>
      <c r="K1988" s="111"/>
      <c r="L1988" s="111"/>
      <c r="M1988" s="127"/>
      <c r="N1988" s="270"/>
      <c r="O1988" s="111"/>
      <c r="P1988" s="111"/>
      <c r="Q1988" s="127"/>
      <c r="R1988" s="124"/>
      <c r="S1988" s="125"/>
      <c r="T1988" s="125"/>
      <c r="U1988" s="125"/>
      <c r="V1988" s="125"/>
      <c r="W1988" s="125"/>
      <c r="X1988" s="125"/>
      <c r="Y1988" s="125"/>
      <c r="Z1988" s="127"/>
      <c r="AA1988" s="127"/>
      <c r="AB1988" s="127"/>
      <c r="AC1988" s="127"/>
      <c r="AD1988" s="261"/>
      <c r="AE1988" s="261"/>
      <c r="AF1988" s="261"/>
      <c r="AG1988" s="261"/>
    </row>
    <row r="1989" ht="34.5" hidden="1" customHeight="1">
      <c r="A1989" s="111"/>
      <c r="B1989" s="127"/>
      <c r="C1989" s="111"/>
      <c r="D1989" s="111"/>
      <c r="E1989" s="111"/>
      <c r="F1989" s="111"/>
      <c r="G1989" s="111"/>
      <c r="H1989" s="111"/>
      <c r="I1989" s="127"/>
      <c r="J1989" s="111"/>
      <c r="K1989" s="111"/>
      <c r="L1989" s="111"/>
      <c r="M1989" s="127"/>
      <c r="N1989" s="270"/>
      <c r="O1989" s="111"/>
      <c r="P1989" s="111"/>
      <c r="Q1989" s="127"/>
      <c r="R1989" s="124"/>
      <c r="S1989" s="125"/>
      <c r="T1989" s="125"/>
      <c r="U1989" s="125"/>
      <c r="V1989" s="125"/>
      <c r="W1989" s="125"/>
      <c r="X1989" s="125"/>
      <c r="Y1989" s="125"/>
      <c r="Z1989" s="127"/>
      <c r="AA1989" s="127"/>
      <c r="AB1989" s="127"/>
      <c r="AC1989" s="127"/>
      <c r="AD1989" s="261"/>
      <c r="AE1989" s="261"/>
      <c r="AF1989" s="261"/>
      <c r="AG1989" s="261"/>
    </row>
    <row r="1990" ht="34.5" hidden="1" customHeight="1">
      <c r="A1990" s="111"/>
      <c r="B1990" s="127"/>
      <c r="C1990" s="111"/>
      <c r="D1990" s="111"/>
      <c r="E1990" s="111"/>
      <c r="F1990" s="111"/>
      <c r="G1990" s="111"/>
      <c r="H1990" s="111"/>
      <c r="I1990" s="127"/>
      <c r="J1990" s="111"/>
      <c r="K1990" s="111"/>
      <c r="L1990" s="111"/>
      <c r="M1990" s="127"/>
      <c r="N1990" s="270"/>
      <c r="O1990" s="111"/>
      <c r="P1990" s="111"/>
      <c r="Q1990" s="127"/>
      <c r="R1990" s="124"/>
      <c r="S1990" s="125"/>
      <c r="T1990" s="125"/>
      <c r="U1990" s="125"/>
      <c r="V1990" s="125"/>
      <c r="W1990" s="125"/>
      <c r="X1990" s="125"/>
      <c r="Y1990" s="125"/>
      <c r="Z1990" s="127"/>
      <c r="AA1990" s="127"/>
      <c r="AB1990" s="127"/>
      <c r="AC1990" s="127"/>
      <c r="AD1990" s="261"/>
      <c r="AE1990" s="261"/>
      <c r="AF1990" s="261"/>
      <c r="AG1990" s="261"/>
    </row>
    <row r="1991" ht="34.5" hidden="1" customHeight="1">
      <c r="A1991" s="111"/>
      <c r="B1991" s="127"/>
      <c r="C1991" s="111"/>
      <c r="D1991" s="111"/>
      <c r="E1991" s="111"/>
      <c r="F1991" s="111"/>
      <c r="G1991" s="111"/>
      <c r="H1991" s="111"/>
      <c r="I1991" s="127"/>
      <c r="J1991" s="111"/>
      <c r="K1991" s="111"/>
      <c r="L1991" s="111"/>
      <c r="M1991" s="127"/>
      <c r="N1991" s="270"/>
      <c r="O1991" s="111"/>
      <c r="P1991" s="111"/>
      <c r="Q1991" s="127"/>
      <c r="R1991" s="124"/>
      <c r="S1991" s="125"/>
      <c r="T1991" s="125"/>
      <c r="U1991" s="125"/>
      <c r="V1991" s="125"/>
      <c r="W1991" s="125"/>
      <c r="X1991" s="125"/>
      <c r="Y1991" s="125"/>
      <c r="Z1991" s="127"/>
      <c r="AA1991" s="127"/>
      <c r="AB1991" s="127"/>
      <c r="AC1991" s="127"/>
      <c r="AD1991" s="261"/>
      <c r="AE1991" s="261"/>
      <c r="AF1991" s="261"/>
      <c r="AG1991" s="261"/>
    </row>
    <row r="1992" ht="34.5" hidden="1" customHeight="1">
      <c r="A1992" s="111"/>
      <c r="B1992" s="127"/>
      <c r="C1992" s="111"/>
      <c r="D1992" s="111"/>
      <c r="E1992" s="111"/>
      <c r="F1992" s="111"/>
      <c r="G1992" s="111"/>
      <c r="H1992" s="111"/>
      <c r="I1992" s="127"/>
      <c r="J1992" s="111"/>
      <c r="K1992" s="111"/>
      <c r="L1992" s="111"/>
      <c r="M1992" s="127"/>
      <c r="N1992" s="270"/>
      <c r="O1992" s="111"/>
      <c r="P1992" s="111"/>
      <c r="Q1992" s="127"/>
      <c r="R1992" s="124"/>
      <c r="S1992" s="125"/>
      <c r="T1992" s="125"/>
      <c r="U1992" s="125"/>
      <c r="V1992" s="125"/>
      <c r="W1992" s="125"/>
      <c r="X1992" s="125"/>
      <c r="Y1992" s="125"/>
      <c r="Z1992" s="127"/>
      <c r="AA1992" s="127"/>
      <c r="AB1992" s="127"/>
      <c r="AC1992" s="127"/>
      <c r="AD1992" s="261"/>
      <c r="AE1992" s="261"/>
      <c r="AF1992" s="261"/>
      <c r="AG1992" s="261"/>
    </row>
    <row r="1993" ht="34.5" hidden="1" customHeight="1">
      <c r="A1993" s="111"/>
      <c r="B1993" s="127"/>
      <c r="C1993" s="111"/>
      <c r="D1993" s="111"/>
      <c r="E1993" s="111"/>
      <c r="F1993" s="111"/>
      <c r="G1993" s="111"/>
      <c r="H1993" s="111"/>
      <c r="I1993" s="127"/>
      <c r="J1993" s="111"/>
      <c r="K1993" s="111"/>
      <c r="L1993" s="111"/>
      <c r="M1993" s="127"/>
      <c r="N1993" s="270"/>
      <c r="O1993" s="111"/>
      <c r="P1993" s="111"/>
      <c r="Q1993" s="127"/>
      <c r="R1993" s="124"/>
      <c r="S1993" s="125"/>
      <c r="T1993" s="125"/>
      <c r="U1993" s="125"/>
      <c r="V1993" s="125"/>
      <c r="W1993" s="125"/>
      <c r="X1993" s="125"/>
      <c r="Y1993" s="125"/>
      <c r="Z1993" s="127"/>
      <c r="AA1993" s="127"/>
      <c r="AB1993" s="127"/>
      <c r="AC1993" s="127"/>
      <c r="AD1993" s="261"/>
      <c r="AE1993" s="261"/>
      <c r="AF1993" s="261"/>
      <c r="AG1993" s="261"/>
    </row>
    <row r="1994" ht="34.5" hidden="1" customHeight="1">
      <c r="A1994" s="111"/>
      <c r="B1994" s="127"/>
      <c r="C1994" s="111"/>
      <c r="D1994" s="111"/>
      <c r="E1994" s="111"/>
      <c r="F1994" s="111"/>
      <c r="G1994" s="111"/>
      <c r="H1994" s="111"/>
      <c r="I1994" s="127"/>
      <c r="J1994" s="111"/>
      <c r="K1994" s="111"/>
      <c r="L1994" s="111"/>
      <c r="M1994" s="127"/>
      <c r="N1994" s="270"/>
      <c r="O1994" s="111"/>
      <c r="P1994" s="111"/>
      <c r="Q1994" s="127"/>
      <c r="R1994" s="124"/>
      <c r="S1994" s="125"/>
      <c r="T1994" s="125"/>
      <c r="U1994" s="125"/>
      <c r="V1994" s="125"/>
      <c r="W1994" s="125"/>
      <c r="X1994" s="125"/>
      <c r="Y1994" s="125"/>
      <c r="Z1994" s="127"/>
      <c r="AA1994" s="127"/>
      <c r="AB1994" s="127"/>
      <c r="AC1994" s="127"/>
      <c r="AD1994" s="261"/>
      <c r="AE1994" s="261"/>
      <c r="AF1994" s="261"/>
      <c r="AG1994" s="261"/>
    </row>
    <row r="1995" ht="34.5" hidden="1" customHeight="1">
      <c r="A1995" s="111"/>
      <c r="B1995" s="127"/>
      <c r="C1995" s="111"/>
      <c r="D1995" s="111"/>
      <c r="E1995" s="111"/>
      <c r="F1995" s="111"/>
      <c r="G1995" s="111"/>
      <c r="H1995" s="111"/>
      <c r="I1995" s="127"/>
      <c r="J1995" s="111"/>
      <c r="K1995" s="111"/>
      <c r="L1995" s="111"/>
      <c r="M1995" s="127"/>
      <c r="N1995" s="270"/>
      <c r="O1995" s="111"/>
      <c r="P1995" s="111"/>
      <c r="Q1995" s="127"/>
      <c r="R1995" s="124"/>
      <c r="S1995" s="125"/>
      <c r="T1995" s="125"/>
      <c r="U1995" s="125"/>
      <c r="V1995" s="125"/>
      <c r="W1995" s="125"/>
      <c r="X1995" s="125"/>
      <c r="Y1995" s="125"/>
      <c r="Z1995" s="127"/>
      <c r="AA1995" s="127"/>
      <c r="AB1995" s="127"/>
      <c r="AC1995" s="127"/>
      <c r="AD1995" s="261"/>
      <c r="AE1995" s="261"/>
      <c r="AF1995" s="261"/>
      <c r="AG1995" s="261"/>
    </row>
    <row r="1996" ht="34.5" hidden="1" customHeight="1">
      <c r="A1996" s="111"/>
      <c r="B1996" s="127"/>
      <c r="C1996" s="111"/>
      <c r="D1996" s="111"/>
      <c r="E1996" s="111"/>
      <c r="F1996" s="111"/>
      <c r="G1996" s="111"/>
      <c r="H1996" s="111"/>
      <c r="I1996" s="127"/>
      <c r="J1996" s="111"/>
      <c r="K1996" s="111"/>
      <c r="L1996" s="111"/>
      <c r="M1996" s="127"/>
      <c r="N1996" s="270"/>
      <c r="O1996" s="111"/>
      <c r="P1996" s="111"/>
      <c r="Q1996" s="127"/>
      <c r="R1996" s="124"/>
      <c r="S1996" s="125"/>
      <c r="T1996" s="125"/>
      <c r="U1996" s="125"/>
      <c r="V1996" s="125"/>
      <c r="W1996" s="125"/>
      <c r="X1996" s="125"/>
      <c r="Y1996" s="125"/>
      <c r="Z1996" s="127"/>
      <c r="AA1996" s="127"/>
      <c r="AB1996" s="127"/>
      <c r="AC1996" s="127"/>
      <c r="AD1996" s="261"/>
      <c r="AE1996" s="261"/>
      <c r="AF1996" s="261"/>
      <c r="AG1996" s="261"/>
    </row>
    <row r="1997" ht="34.5" hidden="1" customHeight="1">
      <c r="A1997" s="111"/>
      <c r="B1997" s="127"/>
      <c r="C1997" s="111"/>
      <c r="D1997" s="111"/>
      <c r="E1997" s="111"/>
      <c r="F1997" s="111"/>
      <c r="G1997" s="111"/>
      <c r="H1997" s="111"/>
      <c r="I1997" s="127"/>
      <c r="J1997" s="111"/>
      <c r="K1997" s="111"/>
      <c r="L1997" s="111"/>
      <c r="M1997" s="127"/>
      <c r="N1997" s="270"/>
      <c r="O1997" s="111"/>
      <c r="P1997" s="111"/>
      <c r="Q1997" s="127"/>
      <c r="R1997" s="124"/>
      <c r="S1997" s="125"/>
      <c r="T1997" s="125"/>
      <c r="U1997" s="125"/>
      <c r="V1997" s="125"/>
      <c r="W1997" s="125"/>
      <c r="X1997" s="125"/>
      <c r="Y1997" s="125"/>
      <c r="Z1997" s="127"/>
      <c r="AA1997" s="127"/>
      <c r="AB1997" s="127"/>
      <c r="AC1997" s="127"/>
      <c r="AD1997" s="261"/>
      <c r="AE1997" s="261"/>
      <c r="AF1997" s="261"/>
      <c r="AG1997" s="261"/>
    </row>
    <row r="1998" ht="34.5" hidden="1" customHeight="1">
      <c r="A1998" s="111"/>
      <c r="B1998" s="127"/>
      <c r="C1998" s="111"/>
      <c r="D1998" s="111"/>
      <c r="E1998" s="111"/>
      <c r="F1998" s="111"/>
      <c r="G1998" s="111"/>
      <c r="H1998" s="111"/>
      <c r="I1998" s="127"/>
      <c r="J1998" s="111"/>
      <c r="K1998" s="111"/>
      <c r="L1998" s="111"/>
      <c r="M1998" s="127"/>
      <c r="N1998" s="270"/>
      <c r="O1998" s="111"/>
      <c r="P1998" s="111"/>
      <c r="Q1998" s="127"/>
      <c r="R1998" s="124"/>
      <c r="S1998" s="125"/>
      <c r="T1998" s="125"/>
      <c r="U1998" s="125"/>
      <c r="V1998" s="125"/>
      <c r="W1998" s="125"/>
      <c r="X1998" s="125"/>
      <c r="Y1998" s="125"/>
      <c r="Z1998" s="127"/>
      <c r="AA1998" s="127"/>
      <c r="AB1998" s="127"/>
      <c r="AC1998" s="127"/>
      <c r="AD1998" s="261"/>
      <c r="AE1998" s="261"/>
      <c r="AF1998" s="261"/>
      <c r="AG1998" s="261"/>
    </row>
    <row r="1999" ht="34.5" hidden="1" customHeight="1">
      <c r="A1999" s="111"/>
      <c r="B1999" s="127"/>
      <c r="C1999" s="111"/>
      <c r="D1999" s="111"/>
      <c r="E1999" s="111"/>
      <c r="F1999" s="111"/>
      <c r="G1999" s="111"/>
      <c r="H1999" s="111"/>
      <c r="I1999" s="127"/>
      <c r="J1999" s="111"/>
      <c r="K1999" s="111"/>
      <c r="L1999" s="111"/>
      <c r="M1999" s="127"/>
      <c r="N1999" s="270"/>
      <c r="O1999" s="111"/>
      <c r="P1999" s="111"/>
      <c r="Q1999" s="127"/>
      <c r="R1999" s="124"/>
      <c r="S1999" s="125"/>
      <c r="T1999" s="125"/>
      <c r="U1999" s="125"/>
      <c r="V1999" s="125"/>
      <c r="W1999" s="125"/>
      <c r="X1999" s="125"/>
      <c r="Y1999" s="125"/>
      <c r="Z1999" s="127"/>
      <c r="AA1999" s="127"/>
      <c r="AB1999" s="127"/>
      <c r="AC1999" s="127"/>
      <c r="AD1999" s="261"/>
      <c r="AE1999" s="261"/>
      <c r="AF1999" s="261"/>
      <c r="AG1999" s="261"/>
    </row>
    <row r="2000" ht="34.5" hidden="1" customHeight="1">
      <c r="A2000" s="111"/>
      <c r="B2000" s="127"/>
      <c r="C2000" s="111"/>
      <c r="D2000" s="111"/>
      <c r="E2000" s="111"/>
      <c r="F2000" s="111"/>
      <c r="G2000" s="111"/>
      <c r="H2000" s="111"/>
      <c r="I2000" s="127"/>
      <c r="J2000" s="111"/>
      <c r="K2000" s="111"/>
      <c r="L2000" s="111"/>
      <c r="M2000" s="127"/>
      <c r="N2000" s="270"/>
      <c r="O2000" s="111"/>
      <c r="P2000" s="111"/>
      <c r="Q2000" s="127"/>
      <c r="R2000" s="124"/>
      <c r="S2000" s="125"/>
      <c r="T2000" s="125"/>
      <c r="U2000" s="125"/>
      <c r="V2000" s="125"/>
      <c r="W2000" s="125"/>
      <c r="X2000" s="125"/>
      <c r="Y2000" s="125"/>
      <c r="Z2000" s="127"/>
      <c r="AA2000" s="127"/>
      <c r="AB2000" s="127"/>
      <c r="AC2000" s="127"/>
      <c r="AD2000" s="261"/>
      <c r="AE2000" s="261"/>
      <c r="AF2000" s="261"/>
      <c r="AG2000" s="261"/>
    </row>
    <row r="2001" ht="34.5" hidden="1" customHeight="1">
      <c r="A2001" s="111"/>
      <c r="B2001" s="127"/>
      <c r="C2001" s="111"/>
      <c r="D2001" s="111"/>
      <c r="E2001" s="111"/>
      <c r="F2001" s="111"/>
      <c r="G2001" s="111"/>
      <c r="H2001" s="111"/>
      <c r="I2001" s="127"/>
      <c r="J2001" s="111"/>
      <c r="K2001" s="111"/>
      <c r="L2001" s="111"/>
      <c r="M2001" s="127"/>
      <c r="N2001" s="270"/>
      <c r="O2001" s="111"/>
      <c r="P2001" s="111"/>
      <c r="Q2001" s="127"/>
      <c r="R2001" s="124"/>
      <c r="S2001" s="125"/>
      <c r="T2001" s="125"/>
      <c r="U2001" s="125"/>
      <c r="V2001" s="125"/>
      <c r="W2001" s="125"/>
      <c r="X2001" s="125"/>
      <c r="Y2001" s="125"/>
      <c r="Z2001" s="127"/>
      <c r="AA2001" s="127"/>
      <c r="AB2001" s="127"/>
      <c r="AC2001" s="127"/>
      <c r="AD2001" s="261"/>
      <c r="AE2001" s="261"/>
      <c r="AF2001" s="261"/>
      <c r="AG2001" s="261"/>
    </row>
    <row r="2002" ht="34.5" hidden="1" customHeight="1">
      <c r="A2002" s="111"/>
      <c r="B2002" s="127"/>
      <c r="C2002" s="111"/>
      <c r="D2002" s="111"/>
      <c r="E2002" s="111"/>
      <c r="F2002" s="111"/>
      <c r="G2002" s="111"/>
      <c r="H2002" s="111"/>
      <c r="I2002" s="127"/>
      <c r="J2002" s="111"/>
      <c r="K2002" s="111"/>
      <c r="L2002" s="111"/>
      <c r="M2002" s="127"/>
      <c r="N2002" s="270"/>
      <c r="O2002" s="111"/>
      <c r="P2002" s="111"/>
      <c r="Q2002" s="127"/>
      <c r="R2002" s="124"/>
      <c r="S2002" s="125"/>
      <c r="T2002" s="125"/>
      <c r="U2002" s="125"/>
      <c r="V2002" s="125"/>
      <c r="W2002" s="125"/>
      <c r="X2002" s="125"/>
      <c r="Y2002" s="125"/>
      <c r="Z2002" s="127"/>
      <c r="AA2002" s="127"/>
      <c r="AB2002" s="127"/>
      <c r="AC2002" s="127"/>
      <c r="AD2002" s="261"/>
      <c r="AE2002" s="261"/>
      <c r="AF2002" s="261"/>
      <c r="AG2002" s="261"/>
    </row>
    <row r="2003" ht="34.5" hidden="1" customHeight="1">
      <c r="A2003" s="111"/>
      <c r="B2003" s="127"/>
      <c r="C2003" s="111"/>
      <c r="D2003" s="111"/>
      <c r="E2003" s="111"/>
      <c r="F2003" s="111"/>
      <c r="G2003" s="111"/>
      <c r="H2003" s="111"/>
      <c r="I2003" s="127"/>
      <c r="J2003" s="111"/>
      <c r="K2003" s="111"/>
      <c r="L2003" s="111"/>
      <c r="M2003" s="127"/>
      <c r="N2003" s="270"/>
      <c r="O2003" s="111"/>
      <c r="P2003" s="111"/>
      <c r="Q2003" s="127"/>
      <c r="R2003" s="124"/>
      <c r="S2003" s="125"/>
      <c r="T2003" s="125"/>
      <c r="U2003" s="125"/>
      <c r="V2003" s="125"/>
      <c r="W2003" s="125"/>
      <c r="X2003" s="125"/>
      <c r="Y2003" s="125"/>
      <c r="Z2003" s="127"/>
      <c r="AA2003" s="127"/>
      <c r="AB2003" s="127"/>
      <c r="AC2003" s="127"/>
      <c r="AD2003" s="261"/>
      <c r="AE2003" s="261"/>
      <c r="AF2003" s="261"/>
      <c r="AG2003" s="261"/>
    </row>
    <row r="2004" ht="34.5" hidden="1" customHeight="1">
      <c r="A2004" s="111"/>
      <c r="B2004" s="127"/>
      <c r="C2004" s="111"/>
      <c r="D2004" s="111"/>
      <c r="E2004" s="111"/>
      <c r="F2004" s="111"/>
      <c r="G2004" s="111"/>
      <c r="H2004" s="111"/>
      <c r="I2004" s="127"/>
      <c r="J2004" s="111"/>
      <c r="K2004" s="111"/>
      <c r="L2004" s="111"/>
      <c r="M2004" s="127"/>
      <c r="N2004" s="270"/>
      <c r="O2004" s="111"/>
      <c r="P2004" s="111"/>
      <c r="Q2004" s="127"/>
      <c r="R2004" s="124"/>
      <c r="S2004" s="125"/>
      <c r="T2004" s="125"/>
      <c r="U2004" s="125"/>
      <c r="V2004" s="125"/>
      <c r="W2004" s="125"/>
      <c r="X2004" s="125"/>
      <c r="Y2004" s="125"/>
      <c r="Z2004" s="127"/>
      <c r="AA2004" s="127"/>
      <c r="AB2004" s="127"/>
      <c r="AC2004" s="127"/>
      <c r="AD2004" s="261"/>
      <c r="AE2004" s="261"/>
      <c r="AF2004" s="261"/>
      <c r="AG2004" s="261"/>
    </row>
    <row r="2005" ht="34.5" hidden="1" customHeight="1">
      <c r="A2005" s="111"/>
      <c r="B2005" s="127"/>
      <c r="C2005" s="111"/>
      <c r="D2005" s="111"/>
      <c r="E2005" s="111"/>
      <c r="F2005" s="111"/>
      <c r="G2005" s="111"/>
      <c r="H2005" s="111"/>
      <c r="I2005" s="127"/>
      <c r="J2005" s="111"/>
      <c r="K2005" s="111"/>
      <c r="L2005" s="111"/>
      <c r="M2005" s="127"/>
      <c r="N2005" s="270"/>
      <c r="O2005" s="111"/>
      <c r="P2005" s="111"/>
      <c r="Q2005" s="127"/>
      <c r="R2005" s="124"/>
      <c r="S2005" s="125"/>
      <c r="T2005" s="125"/>
      <c r="U2005" s="125"/>
      <c r="V2005" s="125"/>
      <c r="W2005" s="125"/>
      <c r="X2005" s="125"/>
      <c r="Y2005" s="125"/>
      <c r="Z2005" s="127"/>
      <c r="AA2005" s="127"/>
      <c r="AB2005" s="127"/>
      <c r="AC2005" s="127"/>
      <c r="AD2005" s="261"/>
      <c r="AE2005" s="261"/>
      <c r="AF2005" s="261"/>
      <c r="AG2005" s="261"/>
    </row>
    <row r="2006" ht="34.5" hidden="1" customHeight="1">
      <c r="A2006" s="111"/>
      <c r="B2006" s="127"/>
      <c r="C2006" s="111"/>
      <c r="D2006" s="111"/>
      <c r="E2006" s="111"/>
      <c r="F2006" s="111"/>
      <c r="G2006" s="111"/>
      <c r="H2006" s="111"/>
      <c r="I2006" s="127"/>
      <c r="J2006" s="111"/>
      <c r="K2006" s="111"/>
      <c r="L2006" s="111"/>
      <c r="M2006" s="127"/>
      <c r="N2006" s="270"/>
      <c r="O2006" s="111"/>
      <c r="P2006" s="111"/>
      <c r="Q2006" s="127"/>
      <c r="R2006" s="124"/>
      <c r="S2006" s="125"/>
      <c r="T2006" s="125"/>
      <c r="U2006" s="125"/>
      <c r="V2006" s="125"/>
      <c r="W2006" s="125"/>
      <c r="X2006" s="125"/>
      <c r="Y2006" s="125"/>
      <c r="Z2006" s="127"/>
      <c r="AA2006" s="127"/>
      <c r="AB2006" s="127"/>
      <c r="AC2006" s="127"/>
      <c r="AD2006" s="261"/>
      <c r="AE2006" s="261"/>
      <c r="AF2006" s="261"/>
      <c r="AG2006" s="261"/>
    </row>
    <row r="2007" ht="34.5" hidden="1" customHeight="1">
      <c r="A2007" s="111"/>
      <c r="B2007" s="127"/>
      <c r="C2007" s="111"/>
      <c r="D2007" s="111"/>
      <c r="E2007" s="111"/>
      <c r="F2007" s="111"/>
      <c r="G2007" s="111"/>
      <c r="H2007" s="111"/>
      <c r="I2007" s="127"/>
      <c r="J2007" s="111"/>
      <c r="K2007" s="111"/>
      <c r="L2007" s="111"/>
      <c r="M2007" s="127"/>
      <c r="N2007" s="270"/>
      <c r="O2007" s="111"/>
      <c r="P2007" s="111"/>
      <c r="Q2007" s="127"/>
      <c r="R2007" s="124"/>
      <c r="S2007" s="125"/>
      <c r="T2007" s="125"/>
      <c r="U2007" s="125"/>
      <c r="V2007" s="125"/>
      <c r="W2007" s="125"/>
      <c r="X2007" s="125"/>
      <c r="Y2007" s="125"/>
      <c r="Z2007" s="127"/>
      <c r="AA2007" s="127"/>
      <c r="AB2007" s="127"/>
      <c r="AC2007" s="127"/>
      <c r="AD2007" s="261"/>
      <c r="AE2007" s="261"/>
      <c r="AF2007" s="261"/>
      <c r="AG2007" s="261"/>
    </row>
    <row r="2008" ht="34.5" hidden="1" customHeight="1">
      <c r="A2008" s="111"/>
      <c r="B2008" s="127"/>
      <c r="C2008" s="111"/>
      <c r="D2008" s="111"/>
      <c r="E2008" s="111"/>
      <c r="F2008" s="111"/>
      <c r="G2008" s="111"/>
      <c r="H2008" s="111"/>
      <c r="I2008" s="127"/>
      <c r="J2008" s="111"/>
      <c r="K2008" s="111"/>
      <c r="L2008" s="111"/>
      <c r="M2008" s="127"/>
      <c r="N2008" s="270"/>
      <c r="O2008" s="111"/>
      <c r="P2008" s="111"/>
      <c r="Q2008" s="127"/>
      <c r="R2008" s="124"/>
      <c r="S2008" s="125"/>
      <c r="T2008" s="125"/>
      <c r="U2008" s="125"/>
      <c r="V2008" s="125"/>
      <c r="W2008" s="125"/>
      <c r="X2008" s="125"/>
      <c r="Y2008" s="125"/>
      <c r="Z2008" s="127"/>
      <c r="AA2008" s="127"/>
      <c r="AB2008" s="127"/>
      <c r="AC2008" s="127"/>
      <c r="AD2008" s="261"/>
      <c r="AE2008" s="261"/>
      <c r="AF2008" s="261"/>
      <c r="AG2008" s="261"/>
    </row>
    <row r="2009" ht="34.5" hidden="1" customHeight="1">
      <c r="A2009" s="111"/>
      <c r="B2009" s="127"/>
      <c r="C2009" s="111"/>
      <c r="D2009" s="111"/>
      <c r="E2009" s="111"/>
      <c r="F2009" s="111"/>
      <c r="G2009" s="111"/>
      <c r="H2009" s="111"/>
      <c r="I2009" s="127"/>
      <c r="J2009" s="111"/>
      <c r="K2009" s="111"/>
      <c r="L2009" s="111"/>
      <c r="M2009" s="127"/>
      <c r="N2009" s="270"/>
      <c r="O2009" s="111"/>
      <c r="P2009" s="111"/>
      <c r="Q2009" s="127"/>
      <c r="R2009" s="124"/>
      <c r="S2009" s="125"/>
      <c r="T2009" s="125"/>
      <c r="U2009" s="125"/>
      <c r="V2009" s="125"/>
      <c r="W2009" s="125"/>
      <c r="X2009" s="125"/>
      <c r="Y2009" s="125"/>
      <c r="Z2009" s="127"/>
      <c r="AA2009" s="127"/>
      <c r="AB2009" s="127"/>
      <c r="AC2009" s="127"/>
      <c r="AD2009" s="261"/>
      <c r="AE2009" s="261"/>
      <c r="AF2009" s="261"/>
      <c r="AG2009" s="261"/>
    </row>
    <row r="2010" ht="34.5" hidden="1" customHeight="1">
      <c r="A2010" s="111"/>
      <c r="B2010" s="127"/>
      <c r="C2010" s="111"/>
      <c r="D2010" s="111"/>
      <c r="E2010" s="111"/>
      <c r="F2010" s="111"/>
      <c r="G2010" s="111"/>
      <c r="H2010" s="111"/>
      <c r="I2010" s="127"/>
      <c r="J2010" s="111"/>
      <c r="K2010" s="111"/>
      <c r="L2010" s="111"/>
      <c r="M2010" s="127"/>
      <c r="N2010" s="270"/>
      <c r="O2010" s="111"/>
      <c r="P2010" s="111"/>
      <c r="Q2010" s="127"/>
      <c r="R2010" s="124"/>
      <c r="S2010" s="125"/>
      <c r="T2010" s="125"/>
      <c r="U2010" s="125"/>
      <c r="V2010" s="125"/>
      <c r="W2010" s="125"/>
      <c r="X2010" s="125"/>
      <c r="Y2010" s="125"/>
      <c r="Z2010" s="127"/>
      <c r="AA2010" s="127"/>
      <c r="AB2010" s="127"/>
      <c r="AC2010" s="127"/>
      <c r="AD2010" s="261"/>
      <c r="AE2010" s="261"/>
      <c r="AF2010" s="261"/>
      <c r="AG2010" s="261"/>
    </row>
    <row r="2011" ht="34.5" hidden="1" customHeight="1">
      <c r="A2011" s="111"/>
      <c r="B2011" s="127"/>
      <c r="C2011" s="111"/>
      <c r="D2011" s="111"/>
      <c r="E2011" s="111"/>
      <c r="F2011" s="111"/>
      <c r="G2011" s="111"/>
      <c r="H2011" s="111"/>
      <c r="I2011" s="127"/>
      <c r="J2011" s="111"/>
      <c r="K2011" s="111"/>
      <c r="L2011" s="111"/>
      <c r="M2011" s="127"/>
      <c r="N2011" s="270"/>
      <c r="O2011" s="111"/>
      <c r="P2011" s="111"/>
      <c r="Q2011" s="127"/>
      <c r="R2011" s="124"/>
      <c r="S2011" s="125"/>
      <c r="T2011" s="125"/>
      <c r="U2011" s="125"/>
      <c r="V2011" s="125"/>
      <c r="W2011" s="125"/>
      <c r="X2011" s="125"/>
      <c r="Y2011" s="125"/>
      <c r="Z2011" s="127"/>
      <c r="AA2011" s="127"/>
      <c r="AB2011" s="127"/>
      <c r="AC2011" s="127"/>
      <c r="AD2011" s="261"/>
      <c r="AE2011" s="261"/>
      <c r="AF2011" s="261"/>
      <c r="AG2011" s="261"/>
    </row>
    <row r="2012" ht="34.5" hidden="1" customHeight="1">
      <c r="A2012" s="111"/>
      <c r="B2012" s="127"/>
      <c r="C2012" s="111"/>
      <c r="D2012" s="111"/>
      <c r="E2012" s="111"/>
      <c r="F2012" s="111"/>
      <c r="G2012" s="111"/>
      <c r="H2012" s="111"/>
      <c r="I2012" s="127"/>
      <c r="J2012" s="111"/>
      <c r="K2012" s="111"/>
      <c r="L2012" s="111"/>
      <c r="M2012" s="127"/>
      <c r="N2012" s="270"/>
      <c r="O2012" s="111"/>
      <c r="P2012" s="111"/>
      <c r="Q2012" s="127"/>
      <c r="R2012" s="124"/>
      <c r="S2012" s="125"/>
      <c r="T2012" s="125"/>
      <c r="U2012" s="125"/>
      <c r="V2012" s="125"/>
      <c r="W2012" s="125"/>
      <c r="X2012" s="125"/>
      <c r="Y2012" s="125"/>
      <c r="Z2012" s="127"/>
      <c r="AA2012" s="127"/>
      <c r="AB2012" s="127"/>
      <c r="AC2012" s="127"/>
      <c r="AD2012" s="261"/>
      <c r="AE2012" s="261"/>
      <c r="AF2012" s="261"/>
      <c r="AG2012" s="261"/>
    </row>
    <row r="2013" ht="34.5" hidden="1" customHeight="1">
      <c r="A2013" s="111"/>
      <c r="B2013" s="127"/>
      <c r="C2013" s="111"/>
      <c r="D2013" s="111"/>
      <c r="E2013" s="111"/>
      <c r="F2013" s="111"/>
      <c r="G2013" s="111"/>
      <c r="H2013" s="111"/>
      <c r="I2013" s="127"/>
      <c r="J2013" s="111"/>
      <c r="K2013" s="111"/>
      <c r="L2013" s="111"/>
      <c r="M2013" s="127"/>
      <c r="N2013" s="270"/>
      <c r="O2013" s="111"/>
      <c r="P2013" s="111"/>
      <c r="Q2013" s="127"/>
      <c r="R2013" s="124"/>
      <c r="S2013" s="125"/>
      <c r="T2013" s="125"/>
      <c r="U2013" s="125"/>
      <c r="V2013" s="125"/>
      <c r="W2013" s="125"/>
      <c r="X2013" s="125"/>
      <c r="Y2013" s="125"/>
      <c r="Z2013" s="127"/>
      <c r="AA2013" s="127"/>
      <c r="AB2013" s="127"/>
      <c r="AC2013" s="127"/>
      <c r="AD2013" s="261"/>
      <c r="AE2013" s="261"/>
      <c r="AF2013" s="261"/>
      <c r="AG2013" s="261"/>
    </row>
    <row r="2014" ht="34.5" hidden="1" customHeight="1">
      <c r="A2014" s="111"/>
      <c r="B2014" s="127"/>
      <c r="C2014" s="111"/>
      <c r="D2014" s="111"/>
      <c r="E2014" s="111"/>
      <c r="F2014" s="111"/>
      <c r="G2014" s="111"/>
      <c r="H2014" s="111"/>
      <c r="I2014" s="127"/>
      <c r="J2014" s="111"/>
      <c r="K2014" s="111"/>
      <c r="L2014" s="111"/>
      <c r="M2014" s="127"/>
      <c r="N2014" s="270"/>
      <c r="O2014" s="111"/>
      <c r="P2014" s="111"/>
      <c r="Q2014" s="127"/>
      <c r="R2014" s="124"/>
      <c r="S2014" s="125"/>
      <c r="T2014" s="125"/>
      <c r="U2014" s="125"/>
      <c r="V2014" s="125"/>
      <c r="W2014" s="125"/>
      <c r="X2014" s="125"/>
      <c r="Y2014" s="125"/>
      <c r="Z2014" s="127"/>
      <c r="AA2014" s="127"/>
      <c r="AB2014" s="127"/>
      <c r="AC2014" s="127"/>
      <c r="AD2014" s="261"/>
      <c r="AE2014" s="261"/>
      <c r="AF2014" s="261"/>
      <c r="AG2014" s="261"/>
    </row>
    <row r="2015" ht="34.5" hidden="1" customHeight="1">
      <c r="A2015" s="111"/>
      <c r="B2015" s="127"/>
      <c r="C2015" s="111"/>
      <c r="D2015" s="111"/>
      <c r="E2015" s="111"/>
      <c r="F2015" s="111"/>
      <c r="G2015" s="111"/>
      <c r="H2015" s="111"/>
      <c r="I2015" s="127"/>
      <c r="J2015" s="111"/>
      <c r="K2015" s="111"/>
      <c r="L2015" s="111"/>
      <c r="M2015" s="127"/>
      <c r="N2015" s="270"/>
      <c r="O2015" s="111"/>
      <c r="P2015" s="111"/>
      <c r="Q2015" s="127"/>
      <c r="R2015" s="124"/>
      <c r="S2015" s="125"/>
      <c r="T2015" s="125"/>
      <c r="U2015" s="125"/>
      <c r="V2015" s="125"/>
      <c r="W2015" s="125"/>
      <c r="X2015" s="125"/>
      <c r="Y2015" s="125"/>
      <c r="Z2015" s="127"/>
      <c r="AA2015" s="127"/>
      <c r="AB2015" s="127"/>
      <c r="AC2015" s="127"/>
      <c r="AD2015" s="261"/>
      <c r="AE2015" s="261"/>
      <c r="AF2015" s="261"/>
      <c r="AG2015" s="261"/>
    </row>
    <row r="2016" ht="34.5" hidden="1" customHeight="1">
      <c r="A2016" s="111"/>
      <c r="B2016" s="127"/>
      <c r="C2016" s="111"/>
      <c r="D2016" s="111"/>
      <c r="E2016" s="111"/>
      <c r="F2016" s="111"/>
      <c r="G2016" s="111"/>
      <c r="H2016" s="111"/>
      <c r="I2016" s="127"/>
      <c r="J2016" s="111"/>
      <c r="K2016" s="111"/>
      <c r="L2016" s="111"/>
      <c r="M2016" s="127"/>
      <c r="N2016" s="270"/>
      <c r="O2016" s="111"/>
      <c r="P2016" s="111"/>
      <c r="Q2016" s="127"/>
      <c r="R2016" s="124"/>
      <c r="S2016" s="125"/>
      <c r="T2016" s="125"/>
      <c r="U2016" s="125"/>
      <c r="V2016" s="125"/>
      <c r="W2016" s="125"/>
      <c r="X2016" s="125"/>
      <c r="Y2016" s="125"/>
      <c r="Z2016" s="127"/>
      <c r="AA2016" s="127"/>
      <c r="AB2016" s="127"/>
      <c r="AC2016" s="127"/>
      <c r="AD2016" s="261"/>
      <c r="AE2016" s="261"/>
      <c r="AF2016" s="261"/>
      <c r="AG2016" s="261"/>
    </row>
    <row r="2017" ht="34.5" hidden="1" customHeight="1">
      <c r="A2017" s="111"/>
      <c r="B2017" s="127"/>
      <c r="C2017" s="111"/>
      <c r="D2017" s="111"/>
      <c r="E2017" s="111"/>
      <c r="F2017" s="111"/>
      <c r="G2017" s="111"/>
      <c r="H2017" s="111"/>
      <c r="I2017" s="127"/>
      <c r="J2017" s="111"/>
      <c r="K2017" s="111"/>
      <c r="L2017" s="111"/>
      <c r="M2017" s="127"/>
      <c r="N2017" s="270"/>
      <c r="O2017" s="111"/>
      <c r="P2017" s="111"/>
      <c r="Q2017" s="127"/>
      <c r="R2017" s="124"/>
      <c r="S2017" s="125"/>
      <c r="T2017" s="125"/>
      <c r="U2017" s="125"/>
      <c r="V2017" s="125"/>
      <c r="W2017" s="125"/>
      <c r="X2017" s="125"/>
      <c r="Y2017" s="125"/>
      <c r="Z2017" s="127"/>
      <c r="AA2017" s="127"/>
      <c r="AB2017" s="127"/>
      <c r="AC2017" s="127"/>
      <c r="AD2017" s="261"/>
      <c r="AE2017" s="261"/>
      <c r="AF2017" s="261"/>
      <c r="AG2017" s="261"/>
    </row>
    <row r="2018" ht="34.5" hidden="1" customHeight="1">
      <c r="A2018" s="111"/>
      <c r="B2018" s="127"/>
      <c r="C2018" s="111"/>
      <c r="D2018" s="111"/>
      <c r="E2018" s="111"/>
      <c r="F2018" s="111"/>
      <c r="G2018" s="111"/>
      <c r="H2018" s="111"/>
      <c r="I2018" s="127"/>
      <c r="J2018" s="111"/>
      <c r="K2018" s="111"/>
      <c r="L2018" s="111"/>
      <c r="M2018" s="127"/>
      <c r="N2018" s="270"/>
      <c r="O2018" s="111"/>
      <c r="P2018" s="111"/>
      <c r="Q2018" s="127"/>
      <c r="R2018" s="124"/>
      <c r="S2018" s="125"/>
      <c r="T2018" s="125"/>
      <c r="U2018" s="125"/>
      <c r="V2018" s="125"/>
      <c r="W2018" s="125"/>
      <c r="X2018" s="125"/>
      <c r="Y2018" s="125"/>
      <c r="Z2018" s="127"/>
      <c r="AA2018" s="127"/>
      <c r="AB2018" s="127"/>
      <c r="AC2018" s="127"/>
      <c r="AD2018" s="261"/>
      <c r="AE2018" s="261"/>
      <c r="AF2018" s="261"/>
      <c r="AG2018" s="261"/>
    </row>
    <row r="2019" ht="34.5" hidden="1" customHeight="1">
      <c r="A2019" s="111"/>
      <c r="B2019" s="127"/>
      <c r="C2019" s="111"/>
      <c r="D2019" s="111"/>
      <c r="E2019" s="111"/>
      <c r="F2019" s="111"/>
      <c r="G2019" s="111"/>
      <c r="H2019" s="111"/>
      <c r="I2019" s="127"/>
      <c r="J2019" s="111"/>
      <c r="K2019" s="111"/>
      <c r="L2019" s="111"/>
      <c r="M2019" s="127"/>
      <c r="N2019" s="270"/>
      <c r="O2019" s="111"/>
      <c r="P2019" s="111"/>
      <c r="Q2019" s="127"/>
      <c r="R2019" s="124"/>
      <c r="S2019" s="125"/>
      <c r="T2019" s="125"/>
      <c r="U2019" s="125"/>
      <c r="V2019" s="125"/>
      <c r="W2019" s="125"/>
      <c r="X2019" s="125"/>
      <c r="Y2019" s="125"/>
      <c r="Z2019" s="127"/>
      <c r="AA2019" s="127"/>
      <c r="AB2019" s="127"/>
      <c r="AC2019" s="127"/>
      <c r="AD2019" s="261"/>
      <c r="AE2019" s="261"/>
      <c r="AF2019" s="261"/>
      <c r="AG2019" s="261"/>
    </row>
    <row r="2020" ht="34.5" hidden="1" customHeight="1">
      <c r="A2020" s="111"/>
      <c r="B2020" s="127"/>
      <c r="C2020" s="111"/>
      <c r="D2020" s="111"/>
      <c r="E2020" s="111"/>
      <c r="F2020" s="111"/>
      <c r="G2020" s="111"/>
      <c r="H2020" s="111"/>
      <c r="I2020" s="127"/>
      <c r="J2020" s="111"/>
      <c r="K2020" s="111"/>
      <c r="L2020" s="111"/>
      <c r="M2020" s="127"/>
      <c r="N2020" s="270"/>
      <c r="O2020" s="111"/>
      <c r="P2020" s="111"/>
      <c r="Q2020" s="127"/>
      <c r="R2020" s="124"/>
      <c r="S2020" s="125"/>
      <c r="T2020" s="125"/>
      <c r="U2020" s="125"/>
      <c r="V2020" s="125"/>
      <c r="W2020" s="125"/>
      <c r="X2020" s="125"/>
      <c r="Y2020" s="125"/>
      <c r="Z2020" s="127"/>
      <c r="AA2020" s="127"/>
      <c r="AB2020" s="127"/>
      <c r="AC2020" s="127"/>
      <c r="AD2020" s="261"/>
      <c r="AE2020" s="261"/>
      <c r="AF2020" s="261"/>
      <c r="AG2020" s="261"/>
    </row>
    <row r="2021" ht="34.5" hidden="1" customHeight="1">
      <c r="A2021" s="111"/>
      <c r="B2021" s="127"/>
      <c r="C2021" s="111"/>
      <c r="D2021" s="111"/>
      <c r="E2021" s="111"/>
      <c r="F2021" s="111"/>
      <c r="G2021" s="111"/>
      <c r="H2021" s="111"/>
      <c r="I2021" s="127"/>
      <c r="J2021" s="111"/>
      <c r="K2021" s="111"/>
      <c r="L2021" s="111"/>
      <c r="M2021" s="127"/>
      <c r="N2021" s="270"/>
      <c r="O2021" s="111"/>
      <c r="P2021" s="111"/>
      <c r="Q2021" s="127"/>
      <c r="R2021" s="124"/>
      <c r="S2021" s="125"/>
      <c r="T2021" s="125"/>
      <c r="U2021" s="125"/>
      <c r="V2021" s="125"/>
      <c r="W2021" s="125"/>
      <c r="X2021" s="125"/>
      <c r="Y2021" s="125"/>
      <c r="Z2021" s="127"/>
      <c r="AA2021" s="127"/>
      <c r="AB2021" s="127"/>
      <c r="AC2021" s="127"/>
      <c r="AD2021" s="261"/>
      <c r="AE2021" s="261"/>
      <c r="AF2021" s="261"/>
      <c r="AG2021" s="261"/>
    </row>
    <row r="2022" ht="34.5" hidden="1" customHeight="1">
      <c r="A2022" s="111"/>
      <c r="B2022" s="127"/>
      <c r="C2022" s="111"/>
      <c r="D2022" s="111"/>
      <c r="E2022" s="111"/>
      <c r="F2022" s="111"/>
      <c r="G2022" s="111"/>
      <c r="H2022" s="111"/>
      <c r="I2022" s="127"/>
      <c r="J2022" s="111"/>
      <c r="K2022" s="111"/>
      <c r="L2022" s="111"/>
      <c r="M2022" s="127"/>
      <c r="N2022" s="270"/>
      <c r="O2022" s="111"/>
      <c r="P2022" s="111"/>
      <c r="Q2022" s="127"/>
      <c r="R2022" s="124"/>
      <c r="S2022" s="125"/>
      <c r="T2022" s="125"/>
      <c r="U2022" s="125"/>
      <c r="V2022" s="125"/>
      <c r="W2022" s="125"/>
      <c r="X2022" s="125"/>
      <c r="Y2022" s="125"/>
      <c r="Z2022" s="127"/>
      <c r="AA2022" s="127"/>
      <c r="AB2022" s="127"/>
      <c r="AC2022" s="127"/>
      <c r="AD2022" s="261"/>
      <c r="AE2022" s="261"/>
      <c r="AF2022" s="261"/>
      <c r="AG2022" s="261"/>
    </row>
    <row r="2023" ht="34.5" hidden="1" customHeight="1">
      <c r="A2023" s="111"/>
      <c r="B2023" s="127"/>
      <c r="C2023" s="111"/>
      <c r="D2023" s="111"/>
      <c r="E2023" s="111"/>
      <c r="F2023" s="111"/>
      <c r="G2023" s="111"/>
      <c r="H2023" s="111"/>
      <c r="I2023" s="127"/>
      <c r="J2023" s="111"/>
      <c r="K2023" s="111"/>
      <c r="L2023" s="111"/>
      <c r="M2023" s="127"/>
      <c r="N2023" s="270"/>
      <c r="O2023" s="111"/>
      <c r="P2023" s="111"/>
      <c r="Q2023" s="127"/>
      <c r="R2023" s="124"/>
      <c r="S2023" s="125"/>
      <c r="T2023" s="125"/>
      <c r="U2023" s="125"/>
      <c r="V2023" s="125"/>
      <c r="W2023" s="125"/>
      <c r="X2023" s="125"/>
      <c r="Y2023" s="125"/>
      <c r="Z2023" s="127"/>
      <c r="AA2023" s="127"/>
      <c r="AB2023" s="127"/>
      <c r="AC2023" s="127"/>
      <c r="AD2023" s="261"/>
      <c r="AE2023" s="261"/>
      <c r="AF2023" s="261"/>
      <c r="AG2023" s="261"/>
    </row>
    <row r="2024" ht="34.5" hidden="1" customHeight="1">
      <c r="A2024" s="111"/>
      <c r="B2024" s="127"/>
      <c r="C2024" s="111"/>
      <c r="D2024" s="111"/>
      <c r="E2024" s="111"/>
      <c r="F2024" s="111"/>
      <c r="G2024" s="111"/>
      <c r="H2024" s="111"/>
      <c r="I2024" s="127"/>
      <c r="J2024" s="111"/>
      <c r="K2024" s="111"/>
      <c r="L2024" s="111"/>
      <c r="M2024" s="127"/>
      <c r="N2024" s="270"/>
      <c r="O2024" s="111"/>
      <c r="P2024" s="111"/>
      <c r="Q2024" s="127"/>
      <c r="R2024" s="124"/>
      <c r="S2024" s="125"/>
      <c r="T2024" s="125"/>
      <c r="U2024" s="125"/>
      <c r="V2024" s="125"/>
      <c r="W2024" s="125"/>
      <c r="X2024" s="125"/>
      <c r="Y2024" s="125"/>
      <c r="Z2024" s="127"/>
      <c r="AA2024" s="127"/>
      <c r="AB2024" s="127"/>
      <c r="AC2024" s="127"/>
      <c r="AD2024" s="261"/>
      <c r="AE2024" s="261"/>
      <c r="AF2024" s="261"/>
      <c r="AG2024" s="261"/>
    </row>
    <row r="2025" ht="34.5" hidden="1" customHeight="1">
      <c r="A2025" s="111"/>
      <c r="B2025" s="127"/>
      <c r="C2025" s="111"/>
      <c r="D2025" s="111"/>
      <c r="E2025" s="111"/>
      <c r="F2025" s="111"/>
      <c r="G2025" s="111"/>
      <c r="H2025" s="111"/>
      <c r="I2025" s="127"/>
      <c r="J2025" s="111"/>
      <c r="K2025" s="111"/>
      <c r="L2025" s="111"/>
      <c r="M2025" s="127"/>
      <c r="N2025" s="270"/>
      <c r="O2025" s="111"/>
      <c r="P2025" s="111"/>
      <c r="Q2025" s="127"/>
      <c r="R2025" s="124"/>
      <c r="S2025" s="125"/>
      <c r="T2025" s="125"/>
      <c r="U2025" s="125"/>
      <c r="V2025" s="125"/>
      <c r="W2025" s="125"/>
      <c r="X2025" s="125"/>
      <c r="Y2025" s="125"/>
      <c r="Z2025" s="127"/>
      <c r="AA2025" s="127"/>
      <c r="AB2025" s="127"/>
      <c r="AC2025" s="127"/>
      <c r="AD2025" s="261"/>
      <c r="AE2025" s="261"/>
      <c r="AF2025" s="261"/>
      <c r="AG2025" s="261"/>
    </row>
    <row r="2026" ht="34.5" hidden="1" customHeight="1">
      <c r="A2026" s="111"/>
      <c r="B2026" s="127"/>
      <c r="C2026" s="111"/>
      <c r="D2026" s="111"/>
      <c r="E2026" s="111"/>
      <c r="F2026" s="111"/>
      <c r="G2026" s="111"/>
      <c r="H2026" s="111"/>
      <c r="I2026" s="127"/>
      <c r="J2026" s="111"/>
      <c r="K2026" s="111"/>
      <c r="L2026" s="111"/>
      <c r="M2026" s="127"/>
      <c r="N2026" s="270"/>
      <c r="O2026" s="111"/>
      <c r="P2026" s="111"/>
      <c r="Q2026" s="127"/>
      <c r="R2026" s="124"/>
      <c r="S2026" s="125"/>
      <c r="T2026" s="125"/>
      <c r="U2026" s="125"/>
      <c r="V2026" s="125"/>
      <c r="W2026" s="125"/>
      <c r="X2026" s="125"/>
      <c r="Y2026" s="125"/>
      <c r="Z2026" s="127"/>
      <c r="AA2026" s="127"/>
      <c r="AB2026" s="127"/>
      <c r="AC2026" s="127"/>
      <c r="AD2026" s="261"/>
      <c r="AE2026" s="261"/>
      <c r="AF2026" s="261"/>
      <c r="AG2026" s="261"/>
    </row>
    <row r="2027" ht="34.5" hidden="1" customHeight="1">
      <c r="A2027" s="111"/>
      <c r="B2027" s="127"/>
      <c r="C2027" s="111"/>
      <c r="D2027" s="111"/>
      <c r="E2027" s="111"/>
      <c r="F2027" s="111"/>
      <c r="G2027" s="111"/>
      <c r="H2027" s="111"/>
      <c r="I2027" s="127"/>
      <c r="J2027" s="111"/>
      <c r="K2027" s="111"/>
      <c r="L2027" s="111"/>
      <c r="M2027" s="127"/>
      <c r="N2027" s="270"/>
      <c r="O2027" s="111"/>
      <c r="P2027" s="111"/>
      <c r="Q2027" s="127"/>
      <c r="R2027" s="124"/>
      <c r="S2027" s="125"/>
      <c r="T2027" s="125"/>
      <c r="U2027" s="125"/>
      <c r="V2027" s="125"/>
      <c r="W2027" s="125"/>
      <c r="X2027" s="125"/>
      <c r="Y2027" s="125"/>
      <c r="Z2027" s="127"/>
      <c r="AA2027" s="127"/>
      <c r="AB2027" s="127"/>
      <c r="AC2027" s="127"/>
      <c r="AD2027" s="261"/>
      <c r="AE2027" s="261"/>
      <c r="AF2027" s="261"/>
      <c r="AG2027" s="261"/>
    </row>
    <row r="2028" ht="34.5" hidden="1" customHeight="1">
      <c r="A2028" s="111"/>
      <c r="B2028" s="127"/>
      <c r="C2028" s="111"/>
      <c r="D2028" s="111"/>
      <c r="E2028" s="111"/>
      <c r="F2028" s="111"/>
      <c r="G2028" s="111"/>
      <c r="H2028" s="111"/>
      <c r="I2028" s="127"/>
      <c r="J2028" s="111"/>
      <c r="K2028" s="111"/>
      <c r="L2028" s="111"/>
      <c r="M2028" s="127"/>
      <c r="N2028" s="270"/>
      <c r="O2028" s="111"/>
      <c r="P2028" s="111"/>
      <c r="Q2028" s="127"/>
      <c r="R2028" s="124"/>
      <c r="S2028" s="125"/>
      <c r="T2028" s="125"/>
      <c r="U2028" s="125"/>
      <c r="V2028" s="125"/>
      <c r="W2028" s="125"/>
      <c r="X2028" s="125"/>
      <c r="Y2028" s="125"/>
      <c r="Z2028" s="127"/>
      <c r="AA2028" s="127"/>
      <c r="AB2028" s="127"/>
      <c r="AC2028" s="127"/>
      <c r="AD2028" s="261"/>
      <c r="AE2028" s="261"/>
      <c r="AF2028" s="261"/>
      <c r="AG2028" s="261"/>
    </row>
    <row r="2029" ht="34.5" hidden="1" customHeight="1">
      <c r="A2029" s="111"/>
      <c r="B2029" s="127"/>
      <c r="C2029" s="111"/>
      <c r="D2029" s="111"/>
      <c r="E2029" s="111"/>
      <c r="F2029" s="111"/>
      <c r="G2029" s="111"/>
      <c r="H2029" s="111"/>
      <c r="I2029" s="127"/>
      <c r="J2029" s="111"/>
      <c r="K2029" s="111"/>
      <c r="L2029" s="111"/>
      <c r="M2029" s="127"/>
      <c r="N2029" s="270"/>
      <c r="O2029" s="111"/>
      <c r="P2029" s="111"/>
      <c r="Q2029" s="127"/>
      <c r="R2029" s="124"/>
      <c r="S2029" s="125"/>
      <c r="T2029" s="125"/>
      <c r="U2029" s="125"/>
      <c r="V2029" s="125"/>
      <c r="W2029" s="125"/>
      <c r="X2029" s="125"/>
      <c r="Y2029" s="125"/>
      <c r="Z2029" s="127"/>
      <c r="AA2029" s="127"/>
      <c r="AB2029" s="127"/>
      <c r="AC2029" s="127"/>
      <c r="AD2029" s="261"/>
      <c r="AE2029" s="261"/>
      <c r="AF2029" s="261"/>
      <c r="AG2029" s="261"/>
    </row>
    <row r="2030" ht="34.5" hidden="1" customHeight="1">
      <c r="A2030" s="111"/>
      <c r="B2030" s="127"/>
      <c r="C2030" s="111"/>
      <c r="D2030" s="111"/>
      <c r="E2030" s="111"/>
      <c r="F2030" s="111"/>
      <c r="G2030" s="111"/>
      <c r="H2030" s="111"/>
      <c r="I2030" s="127"/>
      <c r="J2030" s="111"/>
      <c r="K2030" s="111"/>
      <c r="L2030" s="111"/>
      <c r="M2030" s="127"/>
      <c r="N2030" s="270"/>
      <c r="O2030" s="111"/>
      <c r="P2030" s="111"/>
      <c r="Q2030" s="127"/>
      <c r="R2030" s="124"/>
      <c r="S2030" s="125"/>
      <c r="T2030" s="125"/>
      <c r="U2030" s="125"/>
      <c r="V2030" s="125"/>
      <c r="W2030" s="125"/>
      <c r="X2030" s="125"/>
      <c r="Y2030" s="125"/>
      <c r="Z2030" s="127"/>
      <c r="AA2030" s="127"/>
      <c r="AB2030" s="127"/>
      <c r="AC2030" s="127"/>
      <c r="AD2030" s="261"/>
      <c r="AE2030" s="261"/>
      <c r="AF2030" s="261"/>
      <c r="AG2030" s="261"/>
    </row>
    <row r="2031" ht="34.5" hidden="1" customHeight="1">
      <c r="A2031" s="111"/>
      <c r="B2031" s="127"/>
      <c r="C2031" s="111"/>
      <c r="D2031" s="111"/>
      <c r="E2031" s="111"/>
      <c r="F2031" s="111"/>
      <c r="G2031" s="111"/>
      <c r="H2031" s="111"/>
      <c r="I2031" s="127"/>
      <c r="J2031" s="111"/>
      <c r="K2031" s="111"/>
      <c r="L2031" s="111"/>
      <c r="M2031" s="127"/>
      <c r="N2031" s="270"/>
      <c r="O2031" s="111"/>
      <c r="P2031" s="111"/>
      <c r="Q2031" s="127"/>
      <c r="R2031" s="124"/>
      <c r="S2031" s="125"/>
      <c r="T2031" s="125"/>
      <c r="U2031" s="125"/>
      <c r="V2031" s="125"/>
      <c r="W2031" s="125"/>
      <c r="X2031" s="125"/>
      <c r="Y2031" s="125"/>
      <c r="Z2031" s="127"/>
      <c r="AA2031" s="127"/>
      <c r="AB2031" s="127"/>
      <c r="AC2031" s="127"/>
      <c r="AD2031" s="261"/>
      <c r="AE2031" s="261"/>
      <c r="AF2031" s="261"/>
      <c r="AG2031" s="261"/>
    </row>
    <row r="2032" ht="34.5" hidden="1" customHeight="1">
      <c r="A2032" s="111"/>
      <c r="B2032" s="127"/>
      <c r="C2032" s="111"/>
      <c r="D2032" s="111"/>
      <c r="E2032" s="111"/>
      <c r="F2032" s="111"/>
      <c r="G2032" s="111"/>
      <c r="H2032" s="111"/>
      <c r="I2032" s="127"/>
      <c r="J2032" s="111"/>
      <c r="K2032" s="111"/>
      <c r="L2032" s="111"/>
      <c r="M2032" s="127"/>
      <c r="N2032" s="270"/>
      <c r="O2032" s="111"/>
      <c r="P2032" s="111"/>
      <c r="Q2032" s="127"/>
      <c r="R2032" s="124"/>
      <c r="S2032" s="125"/>
      <c r="T2032" s="125"/>
      <c r="U2032" s="125"/>
      <c r="V2032" s="125"/>
      <c r="W2032" s="125"/>
      <c r="X2032" s="125"/>
      <c r="Y2032" s="125"/>
      <c r="Z2032" s="127"/>
      <c r="AA2032" s="127"/>
      <c r="AB2032" s="127"/>
      <c r="AC2032" s="127"/>
      <c r="AD2032" s="261"/>
      <c r="AE2032" s="261"/>
      <c r="AF2032" s="261"/>
      <c r="AG2032" s="261"/>
    </row>
    <row r="2033" ht="34.5" hidden="1" customHeight="1">
      <c r="A2033" s="111"/>
      <c r="B2033" s="127"/>
      <c r="C2033" s="111"/>
      <c r="D2033" s="111"/>
      <c r="E2033" s="111"/>
      <c r="F2033" s="111"/>
      <c r="G2033" s="111"/>
      <c r="H2033" s="111"/>
      <c r="I2033" s="127"/>
      <c r="J2033" s="111"/>
      <c r="K2033" s="111"/>
      <c r="L2033" s="111"/>
      <c r="M2033" s="127"/>
      <c r="N2033" s="270"/>
      <c r="O2033" s="111"/>
      <c r="P2033" s="111"/>
      <c r="Q2033" s="127"/>
      <c r="R2033" s="124"/>
      <c r="S2033" s="125"/>
      <c r="T2033" s="125"/>
      <c r="U2033" s="125"/>
      <c r="V2033" s="125"/>
      <c r="W2033" s="125"/>
      <c r="X2033" s="125"/>
      <c r="Y2033" s="125"/>
      <c r="Z2033" s="127"/>
      <c r="AA2033" s="127"/>
      <c r="AB2033" s="127"/>
      <c r="AC2033" s="127"/>
      <c r="AD2033" s="261"/>
      <c r="AE2033" s="261"/>
      <c r="AF2033" s="261"/>
      <c r="AG2033" s="261"/>
    </row>
    <row r="2034" ht="34.5" hidden="1" customHeight="1">
      <c r="A2034" s="111"/>
      <c r="B2034" s="127"/>
      <c r="C2034" s="111"/>
      <c r="D2034" s="111"/>
      <c r="E2034" s="111"/>
      <c r="F2034" s="111"/>
      <c r="G2034" s="111"/>
      <c r="H2034" s="111"/>
      <c r="I2034" s="127"/>
      <c r="J2034" s="111"/>
      <c r="K2034" s="111"/>
      <c r="L2034" s="111"/>
      <c r="M2034" s="127"/>
      <c r="N2034" s="270"/>
      <c r="O2034" s="111"/>
      <c r="P2034" s="111"/>
      <c r="Q2034" s="127"/>
      <c r="R2034" s="124"/>
      <c r="S2034" s="125"/>
      <c r="T2034" s="125"/>
      <c r="U2034" s="125"/>
      <c r="V2034" s="125"/>
      <c r="W2034" s="125"/>
      <c r="X2034" s="125"/>
      <c r="Y2034" s="125"/>
      <c r="Z2034" s="127"/>
      <c r="AA2034" s="127"/>
      <c r="AB2034" s="127"/>
      <c r="AC2034" s="127"/>
      <c r="AD2034" s="261"/>
      <c r="AE2034" s="261"/>
      <c r="AF2034" s="261"/>
      <c r="AG2034" s="261"/>
    </row>
    <row r="2035" ht="34.5" hidden="1" customHeight="1">
      <c r="A2035" s="111"/>
      <c r="B2035" s="127"/>
      <c r="C2035" s="111"/>
      <c r="D2035" s="111"/>
      <c r="E2035" s="111"/>
      <c r="F2035" s="111"/>
      <c r="G2035" s="111"/>
      <c r="H2035" s="111"/>
      <c r="I2035" s="127"/>
      <c r="J2035" s="111"/>
      <c r="K2035" s="111"/>
      <c r="L2035" s="111"/>
      <c r="M2035" s="127"/>
      <c r="N2035" s="270"/>
      <c r="O2035" s="111"/>
      <c r="P2035" s="111"/>
      <c r="Q2035" s="127"/>
      <c r="R2035" s="124"/>
      <c r="S2035" s="125"/>
      <c r="T2035" s="125"/>
      <c r="U2035" s="125"/>
      <c r="V2035" s="125"/>
      <c r="W2035" s="125"/>
      <c r="X2035" s="125"/>
      <c r="Y2035" s="125"/>
      <c r="Z2035" s="127"/>
      <c r="AA2035" s="127"/>
      <c r="AB2035" s="127"/>
      <c r="AC2035" s="127"/>
      <c r="AD2035" s="261"/>
      <c r="AE2035" s="261"/>
      <c r="AF2035" s="261"/>
      <c r="AG2035" s="261"/>
    </row>
    <row r="2036" ht="34.5" hidden="1" customHeight="1">
      <c r="A2036" s="111"/>
      <c r="B2036" s="127"/>
      <c r="C2036" s="111"/>
      <c r="D2036" s="111"/>
      <c r="E2036" s="111"/>
      <c r="F2036" s="111"/>
      <c r="G2036" s="111"/>
      <c r="H2036" s="111"/>
      <c r="I2036" s="127"/>
      <c r="J2036" s="111"/>
      <c r="K2036" s="111"/>
      <c r="L2036" s="111"/>
      <c r="M2036" s="127"/>
      <c r="N2036" s="270"/>
      <c r="O2036" s="111"/>
      <c r="P2036" s="111"/>
      <c r="Q2036" s="127"/>
      <c r="R2036" s="124"/>
      <c r="S2036" s="125"/>
      <c r="T2036" s="125"/>
      <c r="U2036" s="125"/>
      <c r="V2036" s="125"/>
      <c r="W2036" s="125"/>
      <c r="X2036" s="125"/>
      <c r="Y2036" s="125"/>
      <c r="Z2036" s="127"/>
      <c r="AA2036" s="127"/>
      <c r="AB2036" s="127"/>
      <c r="AC2036" s="127"/>
      <c r="AD2036" s="261"/>
      <c r="AE2036" s="261"/>
      <c r="AF2036" s="261"/>
      <c r="AG2036" s="261"/>
    </row>
    <row r="2037" ht="34.5" hidden="1" customHeight="1">
      <c r="A2037" s="111"/>
      <c r="B2037" s="127"/>
      <c r="C2037" s="111"/>
      <c r="D2037" s="111"/>
      <c r="E2037" s="111"/>
      <c r="F2037" s="111"/>
      <c r="G2037" s="111"/>
      <c r="H2037" s="111"/>
      <c r="I2037" s="127"/>
      <c r="J2037" s="111"/>
      <c r="K2037" s="111"/>
      <c r="L2037" s="111"/>
      <c r="M2037" s="127"/>
      <c r="N2037" s="270"/>
      <c r="O2037" s="111"/>
      <c r="P2037" s="111"/>
      <c r="Q2037" s="127"/>
      <c r="R2037" s="124"/>
      <c r="S2037" s="125"/>
      <c r="T2037" s="125"/>
      <c r="U2037" s="125"/>
      <c r="V2037" s="125"/>
      <c r="W2037" s="125"/>
      <c r="X2037" s="125"/>
      <c r="Y2037" s="125"/>
      <c r="Z2037" s="127"/>
      <c r="AA2037" s="127"/>
      <c r="AB2037" s="127"/>
      <c r="AC2037" s="127"/>
      <c r="AD2037" s="261"/>
      <c r="AE2037" s="261"/>
      <c r="AF2037" s="261"/>
      <c r="AG2037" s="261"/>
    </row>
    <row r="2038" ht="34.5" hidden="1" customHeight="1">
      <c r="A2038" s="111"/>
      <c r="B2038" s="127"/>
      <c r="C2038" s="111"/>
      <c r="D2038" s="111"/>
      <c r="E2038" s="111"/>
      <c r="F2038" s="111"/>
      <c r="G2038" s="111"/>
      <c r="H2038" s="111"/>
      <c r="I2038" s="127"/>
      <c r="J2038" s="111"/>
      <c r="K2038" s="111"/>
      <c r="L2038" s="111"/>
      <c r="M2038" s="127"/>
      <c r="N2038" s="270"/>
      <c r="O2038" s="111"/>
      <c r="P2038" s="111"/>
      <c r="Q2038" s="127"/>
      <c r="R2038" s="124"/>
      <c r="S2038" s="125"/>
      <c r="T2038" s="125"/>
      <c r="U2038" s="125"/>
      <c r="V2038" s="125"/>
      <c r="W2038" s="125"/>
      <c r="X2038" s="125"/>
      <c r="Y2038" s="125"/>
      <c r="Z2038" s="127"/>
      <c r="AA2038" s="127"/>
      <c r="AB2038" s="127"/>
      <c r="AC2038" s="127"/>
      <c r="AD2038" s="261"/>
      <c r="AE2038" s="261"/>
      <c r="AF2038" s="261"/>
      <c r="AG2038" s="261"/>
    </row>
    <row r="2039" ht="34.5" hidden="1" customHeight="1">
      <c r="A2039" s="111"/>
      <c r="B2039" s="127"/>
      <c r="C2039" s="111"/>
      <c r="D2039" s="111"/>
      <c r="E2039" s="111"/>
      <c r="F2039" s="111"/>
      <c r="G2039" s="111"/>
      <c r="H2039" s="111"/>
      <c r="I2039" s="127"/>
      <c r="J2039" s="111"/>
      <c r="K2039" s="111"/>
      <c r="L2039" s="111"/>
      <c r="M2039" s="127"/>
      <c r="N2039" s="270"/>
      <c r="O2039" s="111"/>
      <c r="P2039" s="111"/>
      <c r="Q2039" s="127"/>
      <c r="R2039" s="124"/>
      <c r="S2039" s="125"/>
      <c r="T2039" s="125"/>
      <c r="U2039" s="125"/>
      <c r="V2039" s="125"/>
      <c r="W2039" s="125"/>
      <c r="X2039" s="125"/>
      <c r="Y2039" s="125"/>
      <c r="Z2039" s="127"/>
      <c r="AA2039" s="127"/>
      <c r="AB2039" s="127"/>
      <c r="AC2039" s="127"/>
      <c r="AD2039" s="261"/>
      <c r="AE2039" s="261"/>
      <c r="AF2039" s="261"/>
      <c r="AG2039" s="261"/>
    </row>
    <row r="2040" ht="34.5" hidden="1" customHeight="1">
      <c r="A2040" s="111"/>
      <c r="B2040" s="127"/>
      <c r="C2040" s="111"/>
      <c r="D2040" s="111"/>
      <c r="E2040" s="111"/>
      <c r="F2040" s="111"/>
      <c r="G2040" s="111"/>
      <c r="H2040" s="111"/>
      <c r="I2040" s="127"/>
      <c r="J2040" s="111"/>
      <c r="K2040" s="111"/>
      <c r="L2040" s="111"/>
      <c r="M2040" s="127"/>
      <c r="N2040" s="270"/>
      <c r="O2040" s="111"/>
      <c r="P2040" s="111"/>
      <c r="Q2040" s="127"/>
      <c r="R2040" s="124"/>
      <c r="S2040" s="125"/>
      <c r="T2040" s="125"/>
      <c r="U2040" s="125"/>
      <c r="V2040" s="125"/>
      <c r="W2040" s="125"/>
      <c r="X2040" s="125"/>
      <c r="Y2040" s="125"/>
      <c r="Z2040" s="127"/>
      <c r="AA2040" s="127"/>
      <c r="AB2040" s="127"/>
      <c r="AC2040" s="127"/>
      <c r="AD2040" s="261"/>
      <c r="AE2040" s="261"/>
      <c r="AF2040" s="261"/>
      <c r="AG2040" s="261"/>
    </row>
    <row r="2041" ht="34.5" hidden="1" customHeight="1">
      <c r="A2041" s="111"/>
      <c r="B2041" s="127"/>
      <c r="C2041" s="111"/>
      <c r="D2041" s="111"/>
      <c r="E2041" s="111"/>
      <c r="F2041" s="111"/>
      <c r="G2041" s="111"/>
      <c r="H2041" s="111"/>
      <c r="I2041" s="127"/>
      <c r="J2041" s="111"/>
      <c r="K2041" s="111"/>
      <c r="L2041" s="111"/>
      <c r="M2041" s="127"/>
      <c r="N2041" s="270"/>
      <c r="O2041" s="111"/>
      <c r="P2041" s="111"/>
      <c r="Q2041" s="127"/>
      <c r="R2041" s="124"/>
      <c r="S2041" s="125"/>
      <c r="T2041" s="125"/>
      <c r="U2041" s="125"/>
      <c r="V2041" s="125"/>
      <c r="W2041" s="125"/>
      <c r="X2041" s="125"/>
      <c r="Y2041" s="125"/>
      <c r="Z2041" s="127"/>
      <c r="AA2041" s="127"/>
      <c r="AB2041" s="127"/>
      <c r="AC2041" s="127"/>
      <c r="AD2041" s="261"/>
      <c r="AE2041" s="261"/>
      <c r="AF2041" s="261"/>
      <c r="AG2041" s="261"/>
    </row>
    <row r="2042" ht="34.5" hidden="1" customHeight="1">
      <c r="A2042" s="111"/>
      <c r="B2042" s="127"/>
      <c r="C2042" s="111"/>
      <c r="D2042" s="111"/>
      <c r="E2042" s="111"/>
      <c r="F2042" s="111"/>
      <c r="G2042" s="111"/>
      <c r="H2042" s="111"/>
      <c r="I2042" s="127"/>
      <c r="J2042" s="111"/>
      <c r="K2042" s="111"/>
      <c r="L2042" s="111"/>
      <c r="M2042" s="127"/>
      <c r="N2042" s="270"/>
      <c r="O2042" s="111"/>
      <c r="P2042" s="111"/>
      <c r="Q2042" s="127"/>
      <c r="R2042" s="124"/>
      <c r="S2042" s="125"/>
      <c r="T2042" s="125"/>
      <c r="U2042" s="125"/>
      <c r="V2042" s="125"/>
      <c r="W2042" s="125"/>
      <c r="X2042" s="125"/>
      <c r="Y2042" s="125"/>
      <c r="Z2042" s="127"/>
      <c r="AA2042" s="127"/>
      <c r="AB2042" s="127"/>
      <c r="AC2042" s="127"/>
      <c r="AD2042" s="261"/>
      <c r="AE2042" s="261"/>
      <c r="AF2042" s="261"/>
      <c r="AG2042" s="261"/>
    </row>
    <row r="2043" ht="34.5" hidden="1" customHeight="1">
      <c r="A2043" s="111"/>
      <c r="B2043" s="127"/>
      <c r="C2043" s="111"/>
      <c r="D2043" s="111"/>
      <c r="E2043" s="111"/>
      <c r="F2043" s="111"/>
      <c r="G2043" s="111"/>
      <c r="H2043" s="111"/>
      <c r="I2043" s="127"/>
      <c r="J2043" s="111"/>
      <c r="K2043" s="111"/>
      <c r="L2043" s="111"/>
      <c r="M2043" s="127"/>
      <c r="N2043" s="270"/>
      <c r="O2043" s="111"/>
      <c r="P2043" s="111"/>
      <c r="Q2043" s="127"/>
      <c r="R2043" s="124"/>
      <c r="S2043" s="125"/>
      <c r="T2043" s="125"/>
      <c r="U2043" s="125"/>
      <c r="V2043" s="125"/>
      <c r="W2043" s="125"/>
      <c r="X2043" s="125"/>
      <c r="Y2043" s="125"/>
      <c r="Z2043" s="127"/>
      <c r="AA2043" s="127"/>
      <c r="AB2043" s="127"/>
      <c r="AC2043" s="127"/>
      <c r="AD2043" s="261"/>
      <c r="AE2043" s="261"/>
      <c r="AF2043" s="261"/>
      <c r="AG2043" s="261"/>
    </row>
    <row r="2044" ht="34.5" hidden="1" customHeight="1">
      <c r="A2044" s="111"/>
      <c r="B2044" s="127"/>
      <c r="C2044" s="111"/>
      <c r="D2044" s="111"/>
      <c r="E2044" s="111"/>
      <c r="F2044" s="111"/>
      <c r="G2044" s="111"/>
      <c r="H2044" s="111"/>
      <c r="I2044" s="127"/>
      <c r="J2044" s="111"/>
      <c r="K2044" s="111"/>
      <c r="L2044" s="111"/>
      <c r="M2044" s="127"/>
      <c r="N2044" s="270"/>
      <c r="O2044" s="111"/>
      <c r="P2044" s="111"/>
      <c r="Q2044" s="127"/>
      <c r="R2044" s="124"/>
      <c r="S2044" s="125"/>
      <c r="T2044" s="125"/>
      <c r="U2044" s="125"/>
      <c r="V2044" s="125"/>
      <c r="W2044" s="125"/>
      <c r="X2044" s="125"/>
      <c r="Y2044" s="125"/>
      <c r="Z2044" s="127"/>
      <c r="AA2044" s="127"/>
      <c r="AB2044" s="127"/>
      <c r="AC2044" s="127"/>
      <c r="AD2044" s="261"/>
      <c r="AE2044" s="261"/>
      <c r="AF2044" s="261"/>
      <c r="AG2044" s="261"/>
    </row>
    <row r="2045" ht="34.5" hidden="1" customHeight="1">
      <c r="A2045" s="111"/>
      <c r="B2045" s="127"/>
      <c r="C2045" s="111"/>
      <c r="D2045" s="111"/>
      <c r="E2045" s="111"/>
      <c r="F2045" s="111"/>
      <c r="G2045" s="111"/>
      <c r="H2045" s="111"/>
      <c r="I2045" s="127"/>
      <c r="J2045" s="111"/>
      <c r="K2045" s="111"/>
      <c r="L2045" s="111"/>
      <c r="M2045" s="127"/>
      <c r="N2045" s="270"/>
      <c r="O2045" s="111"/>
      <c r="P2045" s="111"/>
      <c r="Q2045" s="127"/>
      <c r="R2045" s="124"/>
      <c r="S2045" s="125"/>
      <c r="T2045" s="125"/>
      <c r="U2045" s="125"/>
      <c r="V2045" s="125"/>
      <c r="W2045" s="125"/>
      <c r="X2045" s="125"/>
      <c r="Y2045" s="125"/>
      <c r="Z2045" s="127"/>
      <c r="AA2045" s="127"/>
      <c r="AB2045" s="127"/>
      <c r="AC2045" s="127"/>
      <c r="AD2045" s="261"/>
      <c r="AE2045" s="261"/>
      <c r="AF2045" s="261"/>
      <c r="AG2045" s="261"/>
    </row>
    <row r="2046" ht="34.5" hidden="1" customHeight="1">
      <c r="A2046" s="111"/>
      <c r="B2046" s="127"/>
      <c r="C2046" s="111"/>
      <c r="D2046" s="111"/>
      <c r="E2046" s="111"/>
      <c r="F2046" s="111"/>
      <c r="G2046" s="111"/>
      <c r="H2046" s="111"/>
      <c r="I2046" s="127"/>
      <c r="J2046" s="111"/>
      <c r="K2046" s="111"/>
      <c r="L2046" s="111"/>
      <c r="M2046" s="127"/>
      <c r="N2046" s="270"/>
      <c r="O2046" s="111"/>
      <c r="P2046" s="111"/>
      <c r="Q2046" s="127"/>
      <c r="R2046" s="124"/>
      <c r="S2046" s="125"/>
      <c r="T2046" s="125"/>
      <c r="U2046" s="125"/>
      <c r="V2046" s="125"/>
      <c r="W2046" s="125"/>
      <c r="X2046" s="125"/>
      <c r="Y2046" s="125"/>
      <c r="Z2046" s="127"/>
      <c r="AA2046" s="127"/>
      <c r="AB2046" s="127"/>
      <c r="AC2046" s="127"/>
      <c r="AD2046" s="261"/>
      <c r="AE2046" s="261"/>
      <c r="AF2046" s="261"/>
      <c r="AG2046" s="261"/>
    </row>
    <row r="2047" ht="34.5" hidden="1" customHeight="1">
      <c r="A2047" s="111"/>
      <c r="B2047" s="127"/>
      <c r="C2047" s="111"/>
      <c r="D2047" s="111"/>
      <c r="E2047" s="111"/>
      <c r="F2047" s="111"/>
      <c r="G2047" s="111"/>
      <c r="H2047" s="111"/>
      <c r="I2047" s="127"/>
      <c r="J2047" s="111"/>
      <c r="K2047" s="111"/>
      <c r="L2047" s="111"/>
      <c r="M2047" s="127"/>
      <c r="N2047" s="270"/>
      <c r="O2047" s="111"/>
      <c r="P2047" s="111"/>
      <c r="Q2047" s="127"/>
      <c r="R2047" s="124"/>
      <c r="S2047" s="125"/>
      <c r="T2047" s="125"/>
      <c r="U2047" s="125"/>
      <c r="V2047" s="125"/>
      <c r="W2047" s="125"/>
      <c r="X2047" s="125"/>
      <c r="Y2047" s="125"/>
      <c r="Z2047" s="127"/>
      <c r="AA2047" s="127"/>
      <c r="AB2047" s="127"/>
      <c r="AC2047" s="127"/>
      <c r="AD2047" s="261"/>
      <c r="AE2047" s="261"/>
      <c r="AF2047" s="261"/>
      <c r="AG2047" s="261"/>
    </row>
    <row r="2048" ht="34.5" hidden="1" customHeight="1">
      <c r="A2048" s="111"/>
      <c r="B2048" s="127"/>
      <c r="C2048" s="111"/>
      <c r="D2048" s="111"/>
      <c r="E2048" s="111"/>
      <c r="F2048" s="111"/>
      <c r="G2048" s="111"/>
      <c r="H2048" s="111"/>
      <c r="I2048" s="127"/>
      <c r="J2048" s="111"/>
      <c r="K2048" s="111"/>
      <c r="L2048" s="111"/>
      <c r="M2048" s="127"/>
      <c r="N2048" s="270"/>
      <c r="O2048" s="111"/>
      <c r="P2048" s="111"/>
      <c r="Q2048" s="127"/>
      <c r="R2048" s="124"/>
      <c r="S2048" s="125"/>
      <c r="T2048" s="125"/>
      <c r="U2048" s="125"/>
      <c r="V2048" s="125"/>
      <c r="W2048" s="125"/>
      <c r="X2048" s="125"/>
      <c r="Y2048" s="125"/>
      <c r="Z2048" s="127"/>
      <c r="AA2048" s="127"/>
      <c r="AB2048" s="127"/>
      <c r="AC2048" s="127"/>
      <c r="AD2048" s="261"/>
      <c r="AE2048" s="261"/>
      <c r="AF2048" s="261"/>
      <c r="AG2048" s="261"/>
    </row>
    <row r="2049" ht="34.5" hidden="1" customHeight="1">
      <c r="A2049" s="111"/>
      <c r="B2049" s="127"/>
      <c r="C2049" s="111"/>
      <c r="D2049" s="111"/>
      <c r="E2049" s="111"/>
      <c r="F2049" s="111"/>
      <c r="G2049" s="111"/>
      <c r="H2049" s="111"/>
      <c r="I2049" s="127"/>
      <c r="J2049" s="111"/>
      <c r="K2049" s="111"/>
      <c r="L2049" s="111"/>
      <c r="M2049" s="127"/>
      <c r="N2049" s="270"/>
      <c r="O2049" s="111"/>
      <c r="P2049" s="111"/>
      <c r="Q2049" s="127"/>
      <c r="R2049" s="124"/>
      <c r="S2049" s="125"/>
      <c r="T2049" s="125"/>
      <c r="U2049" s="125"/>
      <c r="V2049" s="125"/>
      <c r="W2049" s="125"/>
      <c r="X2049" s="125"/>
      <c r="Y2049" s="125"/>
      <c r="Z2049" s="127"/>
      <c r="AA2049" s="127"/>
      <c r="AB2049" s="127"/>
      <c r="AC2049" s="127"/>
      <c r="AD2049" s="261"/>
      <c r="AE2049" s="261"/>
      <c r="AF2049" s="261"/>
      <c r="AG2049" s="261"/>
    </row>
    <row r="2050" ht="34.5" hidden="1" customHeight="1">
      <c r="A2050" s="111"/>
      <c r="B2050" s="127"/>
      <c r="C2050" s="111"/>
      <c r="D2050" s="111"/>
      <c r="E2050" s="111"/>
      <c r="F2050" s="111"/>
      <c r="G2050" s="111"/>
      <c r="H2050" s="111"/>
      <c r="I2050" s="127"/>
      <c r="J2050" s="111"/>
      <c r="K2050" s="111"/>
      <c r="L2050" s="111"/>
      <c r="M2050" s="127"/>
      <c r="N2050" s="270"/>
      <c r="O2050" s="111"/>
      <c r="P2050" s="111"/>
      <c r="Q2050" s="127"/>
      <c r="R2050" s="124"/>
      <c r="S2050" s="125"/>
      <c r="T2050" s="125"/>
      <c r="U2050" s="125"/>
      <c r="V2050" s="125"/>
      <c r="W2050" s="125"/>
      <c r="X2050" s="125"/>
      <c r="Y2050" s="125"/>
      <c r="Z2050" s="127"/>
      <c r="AA2050" s="127"/>
      <c r="AB2050" s="127"/>
      <c r="AC2050" s="127"/>
      <c r="AD2050" s="261"/>
      <c r="AE2050" s="261"/>
      <c r="AF2050" s="261"/>
      <c r="AG2050" s="261"/>
    </row>
    <row r="2051" ht="34.5" hidden="1" customHeight="1">
      <c r="A2051" s="111"/>
      <c r="B2051" s="127"/>
      <c r="C2051" s="111"/>
      <c r="D2051" s="111"/>
      <c r="E2051" s="111"/>
      <c r="F2051" s="111"/>
      <c r="G2051" s="111"/>
      <c r="H2051" s="111"/>
      <c r="I2051" s="127"/>
      <c r="J2051" s="111"/>
      <c r="K2051" s="111"/>
      <c r="L2051" s="111"/>
      <c r="M2051" s="127"/>
      <c r="N2051" s="270"/>
      <c r="O2051" s="111"/>
      <c r="P2051" s="111"/>
      <c r="Q2051" s="127"/>
      <c r="R2051" s="124"/>
      <c r="S2051" s="125"/>
      <c r="T2051" s="125"/>
      <c r="U2051" s="125"/>
      <c r="V2051" s="125"/>
      <c r="W2051" s="125"/>
      <c r="X2051" s="125"/>
      <c r="Y2051" s="125"/>
      <c r="Z2051" s="127"/>
      <c r="AA2051" s="127"/>
      <c r="AB2051" s="127"/>
      <c r="AC2051" s="127"/>
      <c r="AD2051" s="261"/>
      <c r="AE2051" s="261"/>
      <c r="AF2051" s="261"/>
      <c r="AG2051" s="261"/>
    </row>
    <row r="2052" ht="34.5" hidden="1" customHeight="1">
      <c r="A2052" s="111"/>
      <c r="B2052" s="127"/>
      <c r="C2052" s="111"/>
      <c r="D2052" s="111"/>
      <c r="E2052" s="111"/>
      <c r="F2052" s="111"/>
      <c r="G2052" s="111"/>
      <c r="H2052" s="111"/>
      <c r="I2052" s="127"/>
      <c r="J2052" s="111"/>
      <c r="K2052" s="111"/>
      <c r="L2052" s="111"/>
      <c r="M2052" s="127"/>
      <c r="N2052" s="270"/>
      <c r="O2052" s="111"/>
      <c r="P2052" s="111"/>
      <c r="Q2052" s="127"/>
      <c r="R2052" s="124"/>
      <c r="S2052" s="125"/>
      <c r="T2052" s="125"/>
      <c r="U2052" s="125"/>
      <c r="V2052" s="125"/>
      <c r="W2052" s="125"/>
      <c r="X2052" s="125"/>
      <c r="Y2052" s="125"/>
      <c r="Z2052" s="127"/>
      <c r="AA2052" s="127"/>
      <c r="AB2052" s="127"/>
      <c r="AC2052" s="127"/>
      <c r="AD2052" s="261"/>
      <c r="AE2052" s="261"/>
      <c r="AF2052" s="261"/>
      <c r="AG2052" s="261"/>
    </row>
    <row r="2053" ht="34.5" hidden="1" customHeight="1">
      <c r="A2053" s="111"/>
      <c r="B2053" s="127"/>
      <c r="C2053" s="111"/>
      <c r="D2053" s="111"/>
      <c r="E2053" s="111"/>
      <c r="F2053" s="111"/>
      <c r="G2053" s="111"/>
      <c r="H2053" s="111"/>
      <c r="I2053" s="127"/>
      <c r="J2053" s="111"/>
      <c r="K2053" s="111"/>
      <c r="L2053" s="111"/>
      <c r="M2053" s="127"/>
      <c r="N2053" s="270"/>
      <c r="O2053" s="111"/>
      <c r="P2053" s="111"/>
      <c r="Q2053" s="127"/>
      <c r="R2053" s="124"/>
      <c r="S2053" s="125"/>
      <c r="T2053" s="125"/>
      <c r="U2053" s="125"/>
      <c r="V2053" s="125"/>
      <c r="W2053" s="125"/>
      <c r="X2053" s="125"/>
      <c r="Y2053" s="125"/>
      <c r="Z2053" s="127"/>
      <c r="AA2053" s="127"/>
      <c r="AB2053" s="127"/>
      <c r="AC2053" s="127"/>
      <c r="AD2053" s="261"/>
      <c r="AE2053" s="261"/>
      <c r="AF2053" s="261"/>
      <c r="AG2053" s="261"/>
    </row>
    <row r="2054" ht="34.5" hidden="1" customHeight="1">
      <c r="A2054" s="111"/>
      <c r="B2054" s="127"/>
      <c r="C2054" s="111"/>
      <c r="D2054" s="111"/>
      <c r="E2054" s="111"/>
      <c r="F2054" s="111"/>
      <c r="G2054" s="111"/>
      <c r="H2054" s="111"/>
      <c r="I2054" s="127"/>
      <c r="J2054" s="111"/>
      <c r="K2054" s="111"/>
      <c r="L2054" s="111"/>
      <c r="M2054" s="127"/>
      <c r="N2054" s="270"/>
      <c r="O2054" s="111"/>
      <c r="P2054" s="111"/>
      <c r="Q2054" s="127"/>
      <c r="R2054" s="124"/>
      <c r="S2054" s="125"/>
      <c r="T2054" s="125"/>
      <c r="U2054" s="125"/>
      <c r="V2054" s="125"/>
      <c r="W2054" s="125"/>
      <c r="X2054" s="125"/>
      <c r="Y2054" s="125"/>
      <c r="Z2054" s="127"/>
      <c r="AA2054" s="127"/>
      <c r="AB2054" s="127"/>
      <c r="AC2054" s="127"/>
      <c r="AD2054" s="261"/>
      <c r="AE2054" s="261"/>
      <c r="AF2054" s="261"/>
      <c r="AG2054" s="261"/>
    </row>
    <row r="2055" ht="34.5" hidden="1" customHeight="1">
      <c r="A2055" s="111"/>
      <c r="B2055" s="127"/>
      <c r="C2055" s="111"/>
      <c r="D2055" s="111"/>
      <c r="E2055" s="111"/>
      <c r="F2055" s="111"/>
      <c r="G2055" s="111"/>
      <c r="H2055" s="111"/>
      <c r="I2055" s="127"/>
      <c r="J2055" s="111"/>
      <c r="K2055" s="111"/>
      <c r="L2055" s="111"/>
      <c r="M2055" s="127"/>
      <c r="N2055" s="270"/>
      <c r="O2055" s="111"/>
      <c r="P2055" s="111"/>
      <c r="Q2055" s="127"/>
      <c r="R2055" s="124"/>
      <c r="S2055" s="125"/>
      <c r="T2055" s="125"/>
      <c r="U2055" s="125"/>
      <c r="V2055" s="125"/>
      <c r="W2055" s="125"/>
      <c r="X2055" s="125"/>
      <c r="Y2055" s="125"/>
      <c r="Z2055" s="127"/>
      <c r="AA2055" s="127"/>
      <c r="AB2055" s="127"/>
      <c r="AC2055" s="127"/>
      <c r="AD2055" s="261"/>
      <c r="AE2055" s="261"/>
      <c r="AF2055" s="261"/>
      <c r="AG2055" s="261"/>
    </row>
    <row r="2056" ht="34.5" hidden="1" customHeight="1">
      <c r="A2056" s="111"/>
      <c r="B2056" s="127"/>
      <c r="C2056" s="111"/>
      <c r="D2056" s="111"/>
      <c r="E2056" s="111"/>
      <c r="F2056" s="111"/>
      <c r="G2056" s="111"/>
      <c r="H2056" s="111"/>
      <c r="I2056" s="127"/>
      <c r="J2056" s="111"/>
      <c r="K2056" s="111"/>
      <c r="L2056" s="111"/>
      <c r="M2056" s="127"/>
      <c r="N2056" s="270"/>
      <c r="O2056" s="111"/>
      <c r="P2056" s="111"/>
      <c r="Q2056" s="127"/>
      <c r="R2056" s="124"/>
      <c r="S2056" s="125"/>
      <c r="T2056" s="125"/>
      <c r="U2056" s="125"/>
      <c r="V2056" s="125"/>
      <c r="W2056" s="125"/>
      <c r="X2056" s="125"/>
      <c r="Y2056" s="125"/>
      <c r="Z2056" s="127"/>
      <c r="AA2056" s="127"/>
      <c r="AB2056" s="127"/>
      <c r="AC2056" s="127"/>
      <c r="AD2056" s="261"/>
      <c r="AE2056" s="261"/>
      <c r="AF2056" s="261"/>
      <c r="AG2056" s="261"/>
    </row>
    <row r="2057" ht="34.5" hidden="1" customHeight="1">
      <c r="A2057" s="111"/>
      <c r="B2057" s="127"/>
      <c r="C2057" s="111"/>
      <c r="D2057" s="111"/>
      <c r="E2057" s="111"/>
      <c r="F2057" s="111"/>
      <c r="G2057" s="111"/>
      <c r="H2057" s="111"/>
      <c r="I2057" s="127"/>
      <c r="J2057" s="111"/>
      <c r="K2057" s="111"/>
      <c r="L2057" s="111"/>
      <c r="M2057" s="127"/>
      <c r="N2057" s="270"/>
      <c r="O2057" s="111"/>
      <c r="P2057" s="111"/>
      <c r="Q2057" s="127"/>
      <c r="R2057" s="124"/>
      <c r="S2057" s="125"/>
      <c r="T2057" s="125"/>
      <c r="U2057" s="125"/>
      <c r="V2057" s="125"/>
      <c r="W2057" s="125"/>
      <c r="X2057" s="125"/>
      <c r="Y2057" s="125"/>
      <c r="Z2057" s="127"/>
      <c r="AA2057" s="127"/>
      <c r="AB2057" s="127"/>
      <c r="AC2057" s="127"/>
      <c r="AD2057" s="261"/>
      <c r="AE2057" s="261"/>
      <c r="AF2057" s="261"/>
      <c r="AG2057" s="261"/>
    </row>
    <row r="2058" ht="34.5" hidden="1" customHeight="1">
      <c r="A2058" s="111"/>
      <c r="B2058" s="127"/>
      <c r="C2058" s="111"/>
      <c r="D2058" s="111"/>
      <c r="E2058" s="111"/>
      <c r="F2058" s="111"/>
      <c r="G2058" s="111"/>
      <c r="H2058" s="111"/>
      <c r="I2058" s="127"/>
      <c r="J2058" s="111"/>
      <c r="K2058" s="111"/>
      <c r="L2058" s="111"/>
      <c r="M2058" s="127"/>
      <c r="N2058" s="270"/>
      <c r="O2058" s="111"/>
      <c r="P2058" s="111"/>
      <c r="Q2058" s="127"/>
      <c r="R2058" s="124"/>
      <c r="S2058" s="125"/>
      <c r="T2058" s="125"/>
      <c r="U2058" s="125"/>
      <c r="V2058" s="125"/>
      <c r="W2058" s="125"/>
      <c r="X2058" s="125"/>
      <c r="Y2058" s="125"/>
      <c r="Z2058" s="127"/>
      <c r="AA2058" s="127"/>
      <c r="AB2058" s="127"/>
      <c r="AC2058" s="127"/>
      <c r="AD2058" s="261"/>
      <c r="AE2058" s="261"/>
      <c r="AF2058" s="261"/>
      <c r="AG2058" s="261"/>
    </row>
    <row r="2059" ht="34.5" hidden="1" customHeight="1">
      <c r="A2059" s="111"/>
      <c r="B2059" s="127"/>
      <c r="C2059" s="111"/>
      <c r="D2059" s="111"/>
      <c r="E2059" s="111"/>
      <c r="F2059" s="111"/>
      <c r="G2059" s="111"/>
      <c r="H2059" s="111"/>
      <c r="I2059" s="127"/>
      <c r="J2059" s="111"/>
      <c r="K2059" s="111"/>
      <c r="L2059" s="111"/>
      <c r="M2059" s="127"/>
      <c r="N2059" s="270"/>
      <c r="O2059" s="111"/>
      <c r="P2059" s="111"/>
      <c r="Q2059" s="127"/>
      <c r="R2059" s="124"/>
      <c r="S2059" s="125"/>
      <c r="T2059" s="125"/>
      <c r="U2059" s="125"/>
      <c r="V2059" s="125"/>
      <c r="W2059" s="125"/>
      <c r="X2059" s="125"/>
      <c r="Y2059" s="125"/>
      <c r="Z2059" s="127"/>
      <c r="AA2059" s="127"/>
      <c r="AB2059" s="127"/>
      <c r="AC2059" s="127"/>
      <c r="AD2059" s="261"/>
      <c r="AE2059" s="261"/>
      <c r="AF2059" s="261"/>
      <c r="AG2059" s="261"/>
    </row>
    <row r="2060" ht="34.5" hidden="1" customHeight="1">
      <c r="A2060" s="111"/>
      <c r="B2060" s="127"/>
      <c r="C2060" s="111"/>
      <c r="D2060" s="111"/>
      <c r="E2060" s="111"/>
      <c r="F2060" s="111"/>
      <c r="G2060" s="111"/>
      <c r="H2060" s="111"/>
      <c r="I2060" s="127"/>
      <c r="J2060" s="111"/>
      <c r="K2060" s="111"/>
      <c r="L2060" s="111"/>
      <c r="M2060" s="127"/>
      <c r="N2060" s="270"/>
      <c r="O2060" s="111"/>
      <c r="P2060" s="111"/>
      <c r="Q2060" s="127"/>
      <c r="R2060" s="124"/>
      <c r="S2060" s="125"/>
      <c r="T2060" s="125"/>
      <c r="U2060" s="125"/>
      <c r="V2060" s="125"/>
      <c r="W2060" s="125"/>
      <c r="X2060" s="125"/>
      <c r="Y2060" s="125"/>
      <c r="Z2060" s="127"/>
      <c r="AA2060" s="127"/>
      <c r="AB2060" s="127"/>
      <c r="AC2060" s="127"/>
      <c r="AD2060" s="261"/>
      <c r="AE2060" s="261"/>
      <c r="AF2060" s="261"/>
      <c r="AG2060" s="261"/>
    </row>
    <row r="2061" ht="34.5" hidden="1" customHeight="1">
      <c r="A2061" s="111"/>
      <c r="B2061" s="127"/>
      <c r="C2061" s="111"/>
      <c r="D2061" s="111"/>
      <c r="E2061" s="111"/>
      <c r="F2061" s="111"/>
      <c r="G2061" s="111"/>
      <c r="H2061" s="111"/>
      <c r="I2061" s="127"/>
      <c r="J2061" s="111"/>
      <c r="K2061" s="111"/>
      <c r="L2061" s="111"/>
      <c r="M2061" s="127"/>
      <c r="N2061" s="270"/>
      <c r="O2061" s="111"/>
      <c r="P2061" s="111"/>
      <c r="Q2061" s="127"/>
      <c r="R2061" s="124"/>
      <c r="S2061" s="125"/>
      <c r="T2061" s="125"/>
      <c r="U2061" s="125"/>
      <c r="V2061" s="125"/>
      <c r="W2061" s="125"/>
      <c r="X2061" s="125"/>
      <c r="Y2061" s="125"/>
      <c r="Z2061" s="127"/>
      <c r="AA2061" s="127"/>
      <c r="AB2061" s="127"/>
      <c r="AC2061" s="127"/>
      <c r="AD2061" s="261"/>
      <c r="AE2061" s="261"/>
      <c r="AF2061" s="261"/>
      <c r="AG2061" s="261"/>
    </row>
    <row r="2062" ht="34.5" hidden="1" customHeight="1">
      <c r="A2062" s="111"/>
      <c r="B2062" s="127"/>
      <c r="C2062" s="111"/>
      <c r="D2062" s="111"/>
      <c r="E2062" s="111"/>
      <c r="F2062" s="111"/>
      <c r="G2062" s="111"/>
      <c r="H2062" s="111"/>
      <c r="I2062" s="127"/>
      <c r="J2062" s="111"/>
      <c r="K2062" s="111"/>
      <c r="L2062" s="111"/>
      <c r="M2062" s="127"/>
      <c r="N2062" s="270"/>
      <c r="O2062" s="111"/>
      <c r="P2062" s="111"/>
      <c r="Q2062" s="127"/>
      <c r="R2062" s="124"/>
      <c r="S2062" s="125"/>
      <c r="T2062" s="125"/>
      <c r="U2062" s="125"/>
      <c r="V2062" s="125"/>
      <c r="W2062" s="125"/>
      <c r="X2062" s="125"/>
      <c r="Y2062" s="125"/>
      <c r="Z2062" s="127"/>
      <c r="AA2062" s="127"/>
      <c r="AB2062" s="127"/>
      <c r="AC2062" s="127"/>
      <c r="AD2062" s="261"/>
      <c r="AE2062" s="261"/>
      <c r="AF2062" s="261"/>
      <c r="AG2062" s="261"/>
    </row>
    <row r="2063" ht="34.5" hidden="1" customHeight="1">
      <c r="A2063" s="111"/>
      <c r="B2063" s="127"/>
      <c r="C2063" s="111"/>
      <c r="D2063" s="111"/>
      <c r="E2063" s="111"/>
      <c r="F2063" s="111"/>
      <c r="G2063" s="111"/>
      <c r="H2063" s="111"/>
      <c r="I2063" s="127"/>
      <c r="J2063" s="111"/>
      <c r="K2063" s="111"/>
      <c r="L2063" s="111"/>
      <c r="M2063" s="127"/>
      <c r="N2063" s="270"/>
      <c r="O2063" s="111"/>
      <c r="P2063" s="111"/>
      <c r="Q2063" s="127"/>
      <c r="R2063" s="124"/>
      <c r="S2063" s="125"/>
      <c r="T2063" s="125"/>
      <c r="U2063" s="125"/>
      <c r="V2063" s="125"/>
      <c r="W2063" s="125"/>
      <c r="X2063" s="125"/>
      <c r="Y2063" s="125"/>
      <c r="Z2063" s="127"/>
      <c r="AA2063" s="127"/>
      <c r="AB2063" s="127"/>
      <c r="AC2063" s="127"/>
      <c r="AD2063" s="261"/>
      <c r="AE2063" s="261"/>
      <c r="AF2063" s="261"/>
      <c r="AG2063" s="261"/>
    </row>
    <row r="2064" ht="34.5" hidden="1" customHeight="1">
      <c r="A2064" s="111"/>
      <c r="B2064" s="127"/>
      <c r="C2064" s="111"/>
      <c r="D2064" s="111"/>
      <c r="E2064" s="111"/>
      <c r="F2064" s="111"/>
      <c r="G2064" s="111"/>
      <c r="H2064" s="111"/>
      <c r="I2064" s="127"/>
      <c r="J2064" s="111"/>
      <c r="K2064" s="111"/>
      <c r="L2064" s="111"/>
      <c r="M2064" s="127"/>
      <c r="N2064" s="270"/>
      <c r="O2064" s="111"/>
      <c r="P2064" s="111"/>
      <c r="Q2064" s="127"/>
      <c r="R2064" s="124"/>
      <c r="S2064" s="125"/>
      <c r="T2064" s="125"/>
      <c r="U2064" s="125"/>
      <c r="V2064" s="125"/>
      <c r="W2064" s="125"/>
      <c r="X2064" s="125"/>
      <c r="Y2064" s="125"/>
      <c r="Z2064" s="127"/>
      <c r="AA2064" s="127"/>
      <c r="AB2064" s="127"/>
      <c r="AC2064" s="127"/>
      <c r="AD2064" s="261"/>
      <c r="AE2064" s="261"/>
      <c r="AF2064" s="261"/>
      <c r="AG2064" s="261"/>
    </row>
    <row r="2065" ht="34.5" hidden="1" customHeight="1">
      <c r="A2065" s="111"/>
      <c r="B2065" s="127"/>
      <c r="C2065" s="111"/>
      <c r="D2065" s="111"/>
      <c r="E2065" s="111"/>
      <c r="F2065" s="111"/>
      <c r="G2065" s="111"/>
      <c r="H2065" s="111"/>
      <c r="I2065" s="127"/>
      <c r="J2065" s="111"/>
      <c r="K2065" s="111"/>
      <c r="L2065" s="111"/>
      <c r="M2065" s="127"/>
      <c r="N2065" s="270"/>
      <c r="O2065" s="111"/>
      <c r="P2065" s="111"/>
      <c r="Q2065" s="127"/>
      <c r="R2065" s="124"/>
      <c r="S2065" s="125"/>
      <c r="T2065" s="125"/>
      <c r="U2065" s="125"/>
      <c r="V2065" s="125"/>
      <c r="W2065" s="125"/>
      <c r="X2065" s="125"/>
      <c r="Y2065" s="125"/>
      <c r="Z2065" s="127"/>
      <c r="AA2065" s="127"/>
      <c r="AB2065" s="127"/>
      <c r="AC2065" s="127"/>
      <c r="AD2065" s="261"/>
      <c r="AE2065" s="261"/>
      <c r="AF2065" s="261"/>
      <c r="AG2065" s="261"/>
    </row>
    <row r="2066" ht="34.5" hidden="1" customHeight="1">
      <c r="A2066" s="111"/>
      <c r="B2066" s="127"/>
      <c r="C2066" s="111"/>
      <c r="D2066" s="111"/>
      <c r="E2066" s="111"/>
      <c r="F2066" s="111"/>
      <c r="G2066" s="111"/>
      <c r="H2066" s="111"/>
      <c r="I2066" s="127"/>
      <c r="J2066" s="111"/>
      <c r="K2066" s="111"/>
      <c r="L2066" s="111"/>
      <c r="M2066" s="127"/>
      <c r="N2066" s="270"/>
      <c r="O2066" s="111"/>
      <c r="P2066" s="111"/>
      <c r="Q2066" s="127"/>
      <c r="R2066" s="124"/>
      <c r="S2066" s="125"/>
      <c r="T2066" s="125"/>
      <c r="U2066" s="125"/>
      <c r="V2066" s="125"/>
      <c r="W2066" s="125"/>
      <c r="X2066" s="125"/>
      <c r="Y2066" s="125"/>
      <c r="Z2066" s="127"/>
      <c r="AA2066" s="127"/>
      <c r="AB2066" s="127"/>
      <c r="AC2066" s="127"/>
      <c r="AD2066" s="261"/>
      <c r="AE2066" s="261"/>
      <c r="AF2066" s="261"/>
      <c r="AG2066" s="261"/>
    </row>
    <row r="2067" ht="34.5" hidden="1" customHeight="1">
      <c r="A2067" s="111"/>
      <c r="B2067" s="127"/>
      <c r="C2067" s="111"/>
      <c r="D2067" s="111"/>
      <c r="E2067" s="111"/>
      <c r="F2067" s="111"/>
      <c r="G2067" s="111"/>
      <c r="H2067" s="111"/>
      <c r="I2067" s="127"/>
      <c r="J2067" s="111"/>
      <c r="K2067" s="111"/>
      <c r="L2067" s="111"/>
      <c r="M2067" s="127"/>
      <c r="N2067" s="270"/>
      <c r="O2067" s="111"/>
      <c r="P2067" s="111"/>
      <c r="Q2067" s="127"/>
      <c r="R2067" s="124"/>
      <c r="S2067" s="125"/>
      <c r="T2067" s="125"/>
      <c r="U2067" s="125"/>
      <c r="V2067" s="125"/>
      <c r="W2067" s="125"/>
      <c r="X2067" s="125"/>
      <c r="Y2067" s="125"/>
      <c r="Z2067" s="127"/>
      <c r="AA2067" s="127"/>
      <c r="AB2067" s="127"/>
      <c r="AC2067" s="127"/>
      <c r="AD2067" s="261"/>
      <c r="AE2067" s="261"/>
      <c r="AF2067" s="261"/>
      <c r="AG2067" s="261"/>
    </row>
    <row r="2068" ht="34.5" hidden="1" customHeight="1">
      <c r="A2068" s="111"/>
      <c r="B2068" s="127"/>
      <c r="C2068" s="111"/>
      <c r="D2068" s="111"/>
      <c r="E2068" s="111"/>
      <c r="F2068" s="111"/>
      <c r="G2068" s="111"/>
      <c r="H2068" s="111"/>
      <c r="I2068" s="127"/>
      <c r="J2068" s="111"/>
      <c r="K2068" s="111"/>
      <c r="L2068" s="111"/>
      <c r="M2068" s="127"/>
      <c r="N2068" s="270"/>
      <c r="O2068" s="111"/>
      <c r="P2068" s="111"/>
      <c r="Q2068" s="127"/>
      <c r="R2068" s="124"/>
      <c r="S2068" s="125"/>
      <c r="T2068" s="125"/>
      <c r="U2068" s="125"/>
      <c r="V2068" s="125"/>
      <c r="W2068" s="125"/>
      <c r="X2068" s="125"/>
      <c r="Y2068" s="125"/>
      <c r="Z2068" s="127"/>
      <c r="AA2068" s="127"/>
      <c r="AB2068" s="127"/>
      <c r="AC2068" s="127"/>
      <c r="AD2068" s="261"/>
      <c r="AE2068" s="261"/>
      <c r="AF2068" s="261"/>
      <c r="AG2068" s="261"/>
    </row>
    <row r="2069" ht="34.5" hidden="1" customHeight="1">
      <c r="A2069" s="111"/>
      <c r="B2069" s="127"/>
      <c r="C2069" s="111"/>
      <c r="D2069" s="111"/>
      <c r="E2069" s="111"/>
      <c r="F2069" s="111"/>
      <c r="G2069" s="111"/>
      <c r="H2069" s="111"/>
      <c r="I2069" s="127"/>
      <c r="J2069" s="111"/>
      <c r="K2069" s="111"/>
      <c r="L2069" s="111"/>
      <c r="M2069" s="127"/>
      <c r="N2069" s="270"/>
      <c r="O2069" s="111"/>
      <c r="P2069" s="111"/>
      <c r="Q2069" s="127"/>
      <c r="R2069" s="124"/>
      <c r="S2069" s="125"/>
      <c r="T2069" s="125"/>
      <c r="U2069" s="125"/>
      <c r="V2069" s="125"/>
      <c r="W2069" s="125"/>
      <c r="X2069" s="125"/>
      <c r="Y2069" s="125"/>
      <c r="Z2069" s="127"/>
      <c r="AA2069" s="127"/>
      <c r="AB2069" s="127"/>
      <c r="AC2069" s="127"/>
      <c r="AD2069" s="261"/>
      <c r="AE2069" s="261"/>
      <c r="AF2069" s="261"/>
      <c r="AG2069" s="261"/>
    </row>
    <row r="2070" ht="34.5" hidden="1" customHeight="1">
      <c r="A2070" s="111"/>
      <c r="B2070" s="127"/>
      <c r="C2070" s="111"/>
      <c r="D2070" s="111"/>
      <c r="E2070" s="111"/>
      <c r="F2070" s="111"/>
      <c r="G2070" s="111"/>
      <c r="H2070" s="111"/>
      <c r="I2070" s="127"/>
      <c r="J2070" s="111"/>
      <c r="K2070" s="111"/>
      <c r="L2070" s="111"/>
      <c r="M2070" s="127"/>
      <c r="N2070" s="270"/>
      <c r="O2070" s="111"/>
      <c r="P2070" s="111"/>
      <c r="Q2070" s="127"/>
      <c r="R2070" s="124"/>
      <c r="S2070" s="125"/>
      <c r="T2070" s="125"/>
      <c r="U2070" s="125"/>
      <c r="V2070" s="125"/>
      <c r="W2070" s="125"/>
      <c r="X2070" s="125"/>
      <c r="Y2070" s="125"/>
      <c r="Z2070" s="127"/>
      <c r="AA2070" s="127"/>
      <c r="AB2070" s="127"/>
      <c r="AC2070" s="127"/>
      <c r="AD2070" s="261"/>
      <c r="AE2070" s="261"/>
      <c r="AF2070" s="261"/>
      <c r="AG2070" s="261"/>
    </row>
    <row r="2071" ht="34.5" hidden="1" customHeight="1">
      <c r="A2071" s="111"/>
      <c r="B2071" s="127"/>
      <c r="C2071" s="111"/>
      <c r="D2071" s="111"/>
      <c r="E2071" s="111"/>
      <c r="F2071" s="111"/>
      <c r="G2071" s="111"/>
      <c r="H2071" s="111"/>
      <c r="I2071" s="127"/>
      <c r="J2071" s="111"/>
      <c r="K2071" s="111"/>
      <c r="L2071" s="111"/>
      <c r="M2071" s="127"/>
      <c r="N2071" s="270"/>
      <c r="O2071" s="111"/>
      <c r="P2071" s="111"/>
      <c r="Q2071" s="127"/>
      <c r="R2071" s="124"/>
      <c r="S2071" s="125"/>
      <c r="T2071" s="125"/>
      <c r="U2071" s="125"/>
      <c r="V2071" s="125"/>
      <c r="W2071" s="125"/>
      <c r="X2071" s="125"/>
      <c r="Y2071" s="125"/>
      <c r="Z2071" s="127"/>
      <c r="AA2071" s="127"/>
      <c r="AB2071" s="127"/>
      <c r="AC2071" s="127"/>
      <c r="AD2071" s="261"/>
      <c r="AE2071" s="261"/>
      <c r="AF2071" s="261"/>
      <c r="AG2071" s="261"/>
    </row>
    <row r="2072" ht="34.5" hidden="1" customHeight="1">
      <c r="A2072" s="111"/>
      <c r="B2072" s="127"/>
      <c r="C2072" s="111"/>
      <c r="D2072" s="111"/>
      <c r="E2072" s="111"/>
      <c r="F2072" s="111"/>
      <c r="G2072" s="111"/>
      <c r="H2072" s="111"/>
      <c r="I2072" s="127"/>
      <c r="J2072" s="111"/>
      <c r="K2072" s="111"/>
      <c r="L2072" s="111"/>
      <c r="M2072" s="127"/>
      <c r="N2072" s="270"/>
      <c r="O2072" s="111"/>
      <c r="P2072" s="111"/>
      <c r="Q2072" s="127"/>
      <c r="R2072" s="124"/>
      <c r="S2072" s="125"/>
      <c r="T2072" s="125"/>
      <c r="U2072" s="125"/>
      <c r="V2072" s="125"/>
      <c r="W2072" s="125"/>
      <c r="X2072" s="125"/>
      <c r="Y2072" s="125"/>
      <c r="Z2072" s="127"/>
      <c r="AA2072" s="127"/>
      <c r="AB2072" s="127"/>
      <c r="AC2072" s="127"/>
      <c r="AD2072" s="261"/>
      <c r="AE2072" s="261"/>
      <c r="AF2072" s="261"/>
      <c r="AG2072" s="261"/>
    </row>
    <row r="2073" ht="34.5" hidden="1" customHeight="1">
      <c r="A2073" s="111"/>
      <c r="B2073" s="127"/>
      <c r="C2073" s="111"/>
      <c r="D2073" s="111"/>
      <c r="E2073" s="111"/>
      <c r="F2073" s="111"/>
      <c r="G2073" s="111"/>
      <c r="H2073" s="111"/>
      <c r="I2073" s="127"/>
      <c r="J2073" s="111"/>
      <c r="K2073" s="111"/>
      <c r="L2073" s="111"/>
      <c r="M2073" s="127"/>
      <c r="N2073" s="270"/>
      <c r="O2073" s="111"/>
      <c r="P2073" s="111"/>
      <c r="Q2073" s="127"/>
      <c r="R2073" s="124"/>
      <c r="S2073" s="125"/>
      <c r="T2073" s="125"/>
      <c r="U2073" s="125"/>
      <c r="V2073" s="125"/>
      <c r="W2073" s="125"/>
      <c r="X2073" s="125"/>
      <c r="Y2073" s="125"/>
      <c r="Z2073" s="127"/>
      <c r="AA2073" s="127"/>
      <c r="AB2073" s="127"/>
      <c r="AC2073" s="127"/>
      <c r="AD2073" s="261"/>
      <c r="AE2073" s="261"/>
      <c r="AF2073" s="261"/>
      <c r="AG2073" s="261"/>
    </row>
    <row r="2074" ht="34.5" hidden="1" customHeight="1">
      <c r="A2074" s="111"/>
      <c r="B2074" s="127"/>
      <c r="C2074" s="111"/>
      <c r="D2074" s="111"/>
      <c r="E2074" s="111"/>
      <c r="F2074" s="111"/>
      <c r="G2074" s="111"/>
      <c r="H2074" s="111"/>
      <c r="I2074" s="127"/>
      <c r="J2074" s="111"/>
      <c r="K2074" s="111"/>
      <c r="L2074" s="111"/>
      <c r="M2074" s="127"/>
      <c r="N2074" s="270"/>
      <c r="O2074" s="111"/>
      <c r="P2074" s="111"/>
      <c r="Q2074" s="127"/>
      <c r="R2074" s="124"/>
      <c r="S2074" s="125"/>
      <c r="T2074" s="125"/>
      <c r="U2074" s="125"/>
      <c r="V2074" s="125"/>
      <c r="W2074" s="125"/>
      <c r="X2074" s="125"/>
      <c r="Y2074" s="125"/>
      <c r="Z2074" s="127"/>
      <c r="AA2074" s="127"/>
      <c r="AB2074" s="127"/>
      <c r="AC2074" s="127"/>
      <c r="AD2074" s="261"/>
      <c r="AE2074" s="261"/>
      <c r="AF2074" s="261"/>
      <c r="AG2074" s="261"/>
    </row>
    <row r="2075" ht="34.5" hidden="1" customHeight="1">
      <c r="A2075" s="111"/>
      <c r="B2075" s="127"/>
      <c r="C2075" s="111"/>
      <c r="D2075" s="111"/>
      <c r="E2075" s="111"/>
      <c r="F2075" s="111"/>
      <c r="G2075" s="111"/>
      <c r="H2075" s="111"/>
      <c r="I2075" s="127"/>
      <c r="J2075" s="111"/>
      <c r="K2075" s="111"/>
      <c r="L2075" s="111"/>
      <c r="M2075" s="127"/>
      <c r="N2075" s="270"/>
      <c r="O2075" s="111"/>
      <c r="P2075" s="111"/>
      <c r="Q2075" s="127"/>
      <c r="R2075" s="124"/>
      <c r="S2075" s="125"/>
      <c r="T2075" s="125"/>
      <c r="U2075" s="125"/>
      <c r="V2075" s="125"/>
      <c r="W2075" s="125"/>
      <c r="X2075" s="125"/>
      <c r="Y2075" s="125"/>
      <c r="Z2075" s="127"/>
      <c r="AA2075" s="127"/>
      <c r="AB2075" s="127"/>
      <c r="AC2075" s="127"/>
      <c r="AD2075" s="261"/>
      <c r="AE2075" s="261"/>
      <c r="AF2075" s="261"/>
      <c r="AG2075" s="261"/>
    </row>
    <row r="2076" ht="34.5" hidden="1" customHeight="1">
      <c r="A2076" s="111"/>
      <c r="B2076" s="127"/>
      <c r="C2076" s="111"/>
      <c r="D2076" s="111"/>
      <c r="E2076" s="111"/>
      <c r="F2076" s="111"/>
      <c r="G2076" s="111"/>
      <c r="H2076" s="111"/>
      <c r="I2076" s="127"/>
      <c r="J2076" s="111"/>
      <c r="K2076" s="111"/>
      <c r="L2076" s="111"/>
      <c r="M2076" s="127"/>
      <c r="N2076" s="270"/>
      <c r="O2076" s="111"/>
      <c r="P2076" s="111"/>
      <c r="Q2076" s="127"/>
      <c r="R2076" s="124"/>
      <c r="S2076" s="125"/>
      <c r="T2076" s="125"/>
      <c r="U2076" s="125"/>
      <c r="V2076" s="125"/>
      <c r="W2076" s="125"/>
      <c r="X2076" s="125"/>
      <c r="Y2076" s="125"/>
      <c r="Z2076" s="127"/>
      <c r="AA2076" s="127"/>
      <c r="AB2076" s="127"/>
      <c r="AC2076" s="127"/>
      <c r="AD2076" s="261"/>
      <c r="AE2076" s="261"/>
      <c r="AF2076" s="261"/>
      <c r="AG2076" s="261"/>
    </row>
    <row r="2077" ht="34.5" hidden="1" customHeight="1">
      <c r="A2077" s="111"/>
      <c r="B2077" s="127"/>
      <c r="C2077" s="111"/>
      <c r="D2077" s="111"/>
      <c r="E2077" s="111"/>
      <c r="F2077" s="111"/>
      <c r="G2077" s="111"/>
      <c r="H2077" s="111"/>
      <c r="I2077" s="127"/>
      <c r="J2077" s="111"/>
      <c r="K2077" s="111"/>
      <c r="L2077" s="111"/>
      <c r="M2077" s="127"/>
      <c r="N2077" s="270"/>
      <c r="O2077" s="111"/>
      <c r="P2077" s="111"/>
      <c r="Q2077" s="127"/>
      <c r="R2077" s="124"/>
      <c r="S2077" s="125"/>
      <c r="T2077" s="125"/>
      <c r="U2077" s="125"/>
      <c r="V2077" s="125"/>
      <c r="W2077" s="125"/>
      <c r="X2077" s="125"/>
      <c r="Y2077" s="125"/>
      <c r="Z2077" s="127"/>
      <c r="AA2077" s="127"/>
      <c r="AB2077" s="127"/>
      <c r="AC2077" s="127"/>
      <c r="AD2077" s="261"/>
      <c r="AE2077" s="261"/>
      <c r="AF2077" s="261"/>
      <c r="AG2077" s="261"/>
    </row>
    <row r="2078" ht="34.5" hidden="1" customHeight="1">
      <c r="A2078" s="111"/>
      <c r="B2078" s="127"/>
      <c r="C2078" s="111"/>
      <c r="D2078" s="111"/>
      <c r="E2078" s="111"/>
      <c r="F2078" s="111"/>
      <c r="G2078" s="111"/>
      <c r="H2078" s="111"/>
      <c r="I2078" s="127"/>
      <c r="J2078" s="111"/>
      <c r="K2078" s="111"/>
      <c r="L2078" s="111"/>
      <c r="M2078" s="127"/>
      <c r="N2078" s="270"/>
      <c r="O2078" s="111"/>
      <c r="P2078" s="111"/>
      <c r="Q2078" s="127"/>
      <c r="R2078" s="124"/>
      <c r="S2078" s="125"/>
      <c r="T2078" s="125"/>
      <c r="U2078" s="125"/>
      <c r="V2078" s="125"/>
      <c r="W2078" s="125"/>
      <c r="X2078" s="125"/>
      <c r="Y2078" s="125"/>
      <c r="Z2078" s="127"/>
      <c r="AA2078" s="127"/>
      <c r="AB2078" s="127"/>
      <c r="AC2078" s="127"/>
      <c r="AD2078" s="261"/>
      <c r="AE2078" s="261"/>
      <c r="AF2078" s="261"/>
      <c r="AG2078" s="261"/>
    </row>
    <row r="2079" ht="34.5" hidden="1" customHeight="1">
      <c r="A2079" s="111"/>
      <c r="B2079" s="127"/>
      <c r="C2079" s="111"/>
      <c r="D2079" s="111"/>
      <c r="E2079" s="111"/>
      <c r="F2079" s="111"/>
      <c r="G2079" s="111"/>
      <c r="H2079" s="111"/>
      <c r="I2079" s="127"/>
      <c r="J2079" s="111"/>
      <c r="K2079" s="111"/>
      <c r="L2079" s="111"/>
      <c r="M2079" s="127"/>
      <c r="N2079" s="270"/>
      <c r="O2079" s="111"/>
      <c r="P2079" s="111"/>
      <c r="Q2079" s="127"/>
      <c r="R2079" s="124"/>
      <c r="S2079" s="125"/>
      <c r="T2079" s="125"/>
      <c r="U2079" s="125"/>
      <c r="V2079" s="125"/>
      <c r="W2079" s="125"/>
      <c r="X2079" s="125"/>
      <c r="Y2079" s="125"/>
      <c r="Z2079" s="127"/>
      <c r="AA2079" s="127"/>
      <c r="AB2079" s="127"/>
      <c r="AC2079" s="127"/>
      <c r="AD2079" s="261"/>
      <c r="AE2079" s="261"/>
      <c r="AF2079" s="261"/>
      <c r="AG2079" s="261"/>
    </row>
    <row r="2080" ht="34.5" hidden="1" customHeight="1">
      <c r="A2080" s="111"/>
      <c r="B2080" s="127"/>
      <c r="C2080" s="111"/>
      <c r="D2080" s="111"/>
      <c r="E2080" s="111"/>
      <c r="F2080" s="111"/>
      <c r="G2080" s="111"/>
      <c r="H2080" s="111"/>
      <c r="I2080" s="127"/>
      <c r="J2080" s="111"/>
      <c r="K2080" s="111"/>
      <c r="L2080" s="111"/>
      <c r="M2080" s="127"/>
      <c r="N2080" s="270"/>
      <c r="O2080" s="111"/>
      <c r="P2080" s="111"/>
      <c r="Q2080" s="127"/>
      <c r="R2080" s="124"/>
      <c r="S2080" s="125"/>
      <c r="T2080" s="125"/>
      <c r="U2080" s="125"/>
      <c r="V2080" s="125"/>
      <c r="W2080" s="125"/>
      <c r="X2080" s="125"/>
      <c r="Y2080" s="125"/>
      <c r="Z2080" s="127"/>
      <c r="AA2080" s="127"/>
      <c r="AB2080" s="127"/>
      <c r="AC2080" s="127"/>
      <c r="AD2080" s="261"/>
      <c r="AE2080" s="261"/>
      <c r="AF2080" s="261"/>
      <c r="AG2080" s="261"/>
    </row>
    <row r="2081" ht="34.5" hidden="1" customHeight="1">
      <c r="A2081" s="111"/>
      <c r="B2081" s="127"/>
      <c r="C2081" s="111"/>
      <c r="D2081" s="111"/>
      <c r="E2081" s="111"/>
      <c r="F2081" s="111"/>
      <c r="G2081" s="111"/>
      <c r="H2081" s="111"/>
      <c r="I2081" s="127"/>
      <c r="J2081" s="111"/>
      <c r="K2081" s="111"/>
      <c r="L2081" s="111"/>
      <c r="M2081" s="127"/>
      <c r="N2081" s="270"/>
      <c r="O2081" s="111"/>
      <c r="P2081" s="111"/>
      <c r="Q2081" s="127"/>
      <c r="R2081" s="124"/>
      <c r="S2081" s="125"/>
      <c r="T2081" s="125"/>
      <c r="U2081" s="125"/>
      <c r="V2081" s="125"/>
      <c r="W2081" s="125"/>
      <c r="X2081" s="125"/>
      <c r="Y2081" s="125"/>
      <c r="Z2081" s="127"/>
      <c r="AA2081" s="127"/>
      <c r="AB2081" s="127"/>
      <c r="AC2081" s="127"/>
      <c r="AD2081" s="261"/>
      <c r="AE2081" s="261"/>
      <c r="AF2081" s="261"/>
      <c r="AG2081" s="261"/>
    </row>
    <row r="2082" ht="34.5" hidden="1" customHeight="1">
      <c r="A2082" s="111"/>
      <c r="B2082" s="127"/>
      <c r="C2082" s="111"/>
      <c r="D2082" s="111"/>
      <c r="E2082" s="111"/>
      <c r="F2082" s="111"/>
      <c r="G2082" s="111"/>
      <c r="H2082" s="111"/>
      <c r="I2082" s="127"/>
      <c r="J2082" s="111"/>
      <c r="K2082" s="111"/>
      <c r="L2082" s="111"/>
      <c r="M2082" s="127"/>
      <c r="N2082" s="270"/>
      <c r="O2082" s="111"/>
      <c r="P2082" s="111"/>
      <c r="Q2082" s="127"/>
      <c r="R2082" s="124"/>
      <c r="S2082" s="125"/>
      <c r="T2082" s="125"/>
      <c r="U2082" s="125"/>
      <c r="V2082" s="125"/>
      <c r="W2082" s="125"/>
      <c r="X2082" s="125"/>
      <c r="Y2082" s="125"/>
      <c r="Z2082" s="127"/>
      <c r="AA2082" s="127"/>
      <c r="AB2082" s="127"/>
      <c r="AC2082" s="127"/>
      <c r="AD2082" s="261"/>
      <c r="AE2082" s="261"/>
      <c r="AF2082" s="261"/>
      <c r="AG2082" s="261"/>
    </row>
    <row r="2083" ht="34.5" hidden="1" customHeight="1">
      <c r="A2083" s="111"/>
      <c r="B2083" s="127"/>
      <c r="C2083" s="111"/>
      <c r="D2083" s="111"/>
      <c r="E2083" s="111"/>
      <c r="F2083" s="111"/>
      <c r="G2083" s="111"/>
      <c r="H2083" s="111"/>
      <c r="I2083" s="127"/>
      <c r="J2083" s="111"/>
      <c r="K2083" s="111"/>
      <c r="L2083" s="111"/>
      <c r="M2083" s="127"/>
      <c r="N2083" s="270"/>
      <c r="O2083" s="111"/>
      <c r="P2083" s="111"/>
      <c r="Q2083" s="127"/>
      <c r="R2083" s="124"/>
      <c r="S2083" s="125"/>
      <c r="T2083" s="125"/>
      <c r="U2083" s="125"/>
      <c r="V2083" s="125"/>
      <c r="W2083" s="125"/>
      <c r="X2083" s="125"/>
      <c r="Y2083" s="125"/>
      <c r="Z2083" s="127"/>
      <c r="AA2083" s="127"/>
      <c r="AB2083" s="127"/>
      <c r="AC2083" s="127"/>
      <c r="AD2083" s="261"/>
      <c r="AE2083" s="261"/>
      <c r="AF2083" s="261"/>
      <c r="AG2083" s="261"/>
    </row>
    <row r="2084" ht="34.5" hidden="1" customHeight="1">
      <c r="A2084" s="111"/>
      <c r="B2084" s="127"/>
      <c r="C2084" s="111"/>
      <c r="D2084" s="111"/>
      <c r="E2084" s="111"/>
      <c r="F2084" s="111"/>
      <c r="G2084" s="111"/>
      <c r="H2084" s="111"/>
      <c r="I2084" s="127"/>
      <c r="J2084" s="111"/>
      <c r="K2084" s="111"/>
      <c r="L2084" s="111"/>
      <c r="M2084" s="127"/>
      <c r="N2084" s="270"/>
      <c r="O2084" s="111"/>
      <c r="P2084" s="111"/>
      <c r="Q2084" s="127"/>
      <c r="R2084" s="124"/>
      <c r="S2084" s="125"/>
      <c r="T2084" s="125"/>
      <c r="U2084" s="125"/>
      <c r="V2084" s="125"/>
      <c r="W2084" s="125"/>
      <c r="X2084" s="125"/>
      <c r="Y2084" s="125"/>
      <c r="Z2084" s="127"/>
      <c r="AA2084" s="127"/>
      <c r="AB2084" s="127"/>
      <c r="AC2084" s="127"/>
      <c r="AD2084" s="261"/>
      <c r="AE2084" s="261"/>
      <c r="AF2084" s="261"/>
      <c r="AG2084" s="261"/>
    </row>
    <row r="2085" ht="34.5" hidden="1" customHeight="1">
      <c r="A2085" s="111"/>
      <c r="B2085" s="127"/>
      <c r="C2085" s="111"/>
      <c r="D2085" s="111"/>
      <c r="E2085" s="111"/>
      <c r="F2085" s="111"/>
      <c r="G2085" s="111"/>
      <c r="H2085" s="111"/>
      <c r="I2085" s="127"/>
      <c r="J2085" s="111"/>
      <c r="K2085" s="111"/>
      <c r="L2085" s="111"/>
      <c r="M2085" s="127"/>
      <c r="N2085" s="270"/>
      <c r="O2085" s="111"/>
      <c r="P2085" s="111"/>
      <c r="Q2085" s="127"/>
      <c r="R2085" s="124"/>
      <c r="S2085" s="125"/>
      <c r="T2085" s="125"/>
      <c r="U2085" s="125"/>
      <c r="V2085" s="125"/>
      <c r="W2085" s="125"/>
      <c r="X2085" s="125"/>
      <c r="Y2085" s="125"/>
      <c r="Z2085" s="127"/>
      <c r="AA2085" s="127"/>
      <c r="AB2085" s="127"/>
      <c r="AC2085" s="127"/>
      <c r="AD2085" s="261"/>
      <c r="AE2085" s="261"/>
      <c r="AF2085" s="261"/>
      <c r="AG2085" s="261"/>
    </row>
    <row r="2086" ht="34.5" hidden="1" customHeight="1">
      <c r="A2086" s="111"/>
      <c r="B2086" s="127"/>
      <c r="C2086" s="111"/>
      <c r="D2086" s="111"/>
      <c r="E2086" s="111"/>
      <c r="F2086" s="111"/>
      <c r="G2086" s="111"/>
      <c r="H2086" s="111"/>
      <c r="I2086" s="127"/>
      <c r="J2086" s="111"/>
      <c r="K2086" s="111"/>
      <c r="L2086" s="111"/>
      <c r="M2086" s="127"/>
      <c r="N2086" s="270"/>
      <c r="O2086" s="111"/>
      <c r="P2086" s="111"/>
      <c r="Q2086" s="127"/>
      <c r="R2086" s="124"/>
      <c r="S2086" s="125"/>
      <c r="T2086" s="125"/>
      <c r="U2086" s="125"/>
      <c r="V2086" s="125"/>
      <c r="W2086" s="125"/>
      <c r="X2086" s="125"/>
      <c r="Y2086" s="125"/>
      <c r="Z2086" s="127"/>
      <c r="AA2086" s="127"/>
      <c r="AB2086" s="127"/>
      <c r="AC2086" s="127"/>
      <c r="AD2086" s="261"/>
      <c r="AE2086" s="261"/>
      <c r="AF2086" s="261"/>
      <c r="AG2086" s="261"/>
    </row>
    <row r="2087" ht="34.5" hidden="1" customHeight="1">
      <c r="A2087" s="111"/>
      <c r="B2087" s="127"/>
      <c r="C2087" s="111"/>
      <c r="D2087" s="111"/>
      <c r="E2087" s="111"/>
      <c r="F2087" s="111"/>
      <c r="G2087" s="111"/>
      <c r="H2087" s="111"/>
      <c r="I2087" s="127"/>
      <c r="J2087" s="111"/>
      <c r="K2087" s="111"/>
      <c r="L2087" s="111"/>
      <c r="M2087" s="127"/>
      <c r="N2087" s="270"/>
      <c r="O2087" s="111"/>
      <c r="P2087" s="111"/>
      <c r="Q2087" s="127"/>
      <c r="R2087" s="124"/>
      <c r="S2087" s="125"/>
      <c r="T2087" s="125"/>
      <c r="U2087" s="125"/>
      <c r="V2087" s="125"/>
      <c r="W2087" s="125"/>
      <c r="X2087" s="125"/>
      <c r="Y2087" s="125"/>
      <c r="Z2087" s="127"/>
      <c r="AA2087" s="127"/>
      <c r="AB2087" s="127"/>
      <c r="AC2087" s="127"/>
      <c r="AD2087" s="261"/>
      <c r="AE2087" s="261"/>
      <c r="AF2087" s="261"/>
      <c r="AG2087" s="261"/>
    </row>
    <row r="2088" ht="34.5" hidden="1" customHeight="1">
      <c r="A2088" s="111"/>
      <c r="B2088" s="127"/>
      <c r="C2088" s="111"/>
      <c r="D2088" s="111"/>
      <c r="E2088" s="111"/>
      <c r="F2088" s="111"/>
      <c r="G2088" s="111"/>
      <c r="H2088" s="111"/>
      <c r="I2088" s="127"/>
      <c r="J2088" s="111"/>
      <c r="K2088" s="111"/>
      <c r="L2088" s="111"/>
      <c r="M2088" s="127"/>
      <c r="N2088" s="270"/>
      <c r="O2088" s="111"/>
      <c r="P2088" s="111"/>
      <c r="Q2088" s="127"/>
      <c r="R2088" s="124"/>
      <c r="S2088" s="125"/>
      <c r="T2088" s="125"/>
      <c r="U2088" s="125"/>
      <c r="V2088" s="125"/>
      <c r="W2088" s="125"/>
      <c r="X2088" s="125"/>
      <c r="Y2088" s="125"/>
      <c r="Z2088" s="127"/>
      <c r="AA2088" s="127"/>
      <c r="AB2088" s="127"/>
      <c r="AC2088" s="127"/>
      <c r="AD2088" s="261"/>
      <c r="AE2088" s="261"/>
      <c r="AF2088" s="261"/>
      <c r="AG2088" s="261"/>
    </row>
    <row r="2089" ht="34.5" hidden="1" customHeight="1">
      <c r="A2089" s="111"/>
      <c r="B2089" s="127"/>
      <c r="C2089" s="111"/>
      <c r="D2089" s="111"/>
      <c r="E2089" s="111"/>
      <c r="F2089" s="111"/>
      <c r="G2089" s="111"/>
      <c r="H2089" s="111"/>
      <c r="I2089" s="127"/>
      <c r="J2089" s="111"/>
      <c r="K2089" s="111"/>
      <c r="L2089" s="111"/>
      <c r="M2089" s="127"/>
      <c r="N2089" s="270"/>
      <c r="O2089" s="111"/>
      <c r="P2089" s="111"/>
      <c r="Q2089" s="127"/>
      <c r="R2089" s="124"/>
      <c r="S2089" s="125"/>
      <c r="T2089" s="125"/>
      <c r="U2089" s="125"/>
      <c r="V2089" s="125"/>
      <c r="W2089" s="125"/>
      <c r="X2089" s="125"/>
      <c r="Y2089" s="125"/>
      <c r="Z2089" s="127"/>
      <c r="AA2089" s="127"/>
      <c r="AB2089" s="127"/>
      <c r="AC2089" s="127"/>
      <c r="AD2089" s="261"/>
      <c r="AE2089" s="261"/>
      <c r="AF2089" s="261"/>
      <c r="AG2089" s="261"/>
    </row>
    <row r="2090" ht="34.5" hidden="1" customHeight="1">
      <c r="A2090" s="111"/>
      <c r="B2090" s="127"/>
      <c r="C2090" s="111"/>
      <c r="D2090" s="111"/>
      <c r="E2090" s="111"/>
      <c r="F2090" s="111"/>
      <c r="G2090" s="111"/>
      <c r="H2090" s="111"/>
      <c r="I2090" s="127"/>
      <c r="J2090" s="111"/>
      <c r="K2090" s="111"/>
      <c r="L2090" s="111"/>
      <c r="M2090" s="127"/>
      <c r="N2090" s="270"/>
      <c r="O2090" s="111"/>
      <c r="P2090" s="111"/>
      <c r="Q2090" s="127"/>
      <c r="R2090" s="124"/>
      <c r="S2090" s="125"/>
      <c r="T2090" s="125"/>
      <c r="U2090" s="125"/>
      <c r="V2090" s="125"/>
      <c r="W2090" s="125"/>
      <c r="X2090" s="125"/>
      <c r="Y2090" s="125"/>
      <c r="Z2090" s="127"/>
      <c r="AA2090" s="127"/>
      <c r="AB2090" s="127"/>
      <c r="AC2090" s="127"/>
      <c r="AD2090" s="261"/>
      <c r="AE2090" s="261"/>
      <c r="AF2090" s="261"/>
      <c r="AG2090" s="261"/>
    </row>
    <row r="2091" ht="34.5" hidden="1" customHeight="1">
      <c r="A2091" s="111"/>
      <c r="B2091" s="127"/>
      <c r="C2091" s="111"/>
      <c r="D2091" s="111"/>
      <c r="E2091" s="111"/>
      <c r="F2091" s="111"/>
      <c r="G2091" s="111"/>
      <c r="H2091" s="111"/>
      <c r="I2091" s="127"/>
      <c r="J2091" s="111"/>
      <c r="K2091" s="111"/>
      <c r="L2091" s="111"/>
      <c r="M2091" s="127"/>
      <c r="N2091" s="270"/>
      <c r="O2091" s="111"/>
      <c r="P2091" s="111"/>
      <c r="Q2091" s="127"/>
      <c r="R2091" s="124"/>
      <c r="S2091" s="125"/>
      <c r="T2091" s="125"/>
      <c r="U2091" s="125"/>
      <c r="V2091" s="125"/>
      <c r="W2091" s="125"/>
      <c r="X2091" s="125"/>
      <c r="Y2091" s="125"/>
      <c r="Z2091" s="127"/>
      <c r="AA2091" s="127"/>
      <c r="AB2091" s="127"/>
      <c r="AC2091" s="127"/>
      <c r="AD2091" s="261"/>
      <c r="AE2091" s="261"/>
      <c r="AF2091" s="261"/>
      <c r="AG2091" s="261"/>
    </row>
    <row r="2092" ht="34.5" hidden="1" customHeight="1">
      <c r="A2092" s="111"/>
      <c r="B2092" s="127"/>
      <c r="C2092" s="111"/>
      <c r="D2092" s="111"/>
      <c r="E2092" s="111"/>
      <c r="F2092" s="111"/>
      <c r="G2092" s="111"/>
      <c r="H2092" s="111"/>
      <c r="I2092" s="127"/>
      <c r="J2092" s="111"/>
      <c r="K2092" s="111"/>
      <c r="L2092" s="111"/>
      <c r="M2092" s="127"/>
      <c r="N2092" s="270"/>
      <c r="O2092" s="111"/>
      <c r="P2092" s="111"/>
      <c r="Q2092" s="127"/>
      <c r="R2092" s="124"/>
      <c r="S2092" s="125"/>
      <c r="T2092" s="125"/>
      <c r="U2092" s="125"/>
      <c r="V2092" s="125"/>
      <c r="W2092" s="125"/>
      <c r="X2092" s="125"/>
      <c r="Y2092" s="125"/>
      <c r="Z2092" s="127"/>
      <c r="AA2092" s="127"/>
      <c r="AB2092" s="127"/>
      <c r="AC2092" s="127"/>
      <c r="AD2092" s="261"/>
      <c r="AE2092" s="261"/>
      <c r="AF2092" s="261"/>
      <c r="AG2092" s="261"/>
    </row>
    <row r="2093" ht="34.5" hidden="1" customHeight="1">
      <c r="A2093" s="111"/>
      <c r="B2093" s="127"/>
      <c r="C2093" s="111"/>
      <c r="D2093" s="111"/>
      <c r="E2093" s="111"/>
      <c r="F2093" s="111"/>
      <c r="G2093" s="111"/>
      <c r="H2093" s="111"/>
      <c r="I2093" s="127"/>
      <c r="J2093" s="111"/>
      <c r="K2093" s="111"/>
      <c r="L2093" s="111"/>
      <c r="M2093" s="127"/>
      <c r="N2093" s="270"/>
      <c r="O2093" s="111"/>
      <c r="P2093" s="111"/>
      <c r="Q2093" s="127"/>
      <c r="R2093" s="124"/>
      <c r="S2093" s="125"/>
      <c r="T2093" s="125"/>
      <c r="U2093" s="125"/>
      <c r="V2093" s="125"/>
      <c r="W2093" s="125"/>
      <c r="X2093" s="125"/>
      <c r="Y2093" s="125"/>
      <c r="Z2093" s="127"/>
      <c r="AA2093" s="127"/>
      <c r="AB2093" s="127"/>
      <c r="AC2093" s="127"/>
      <c r="AD2093" s="261"/>
      <c r="AE2093" s="261"/>
      <c r="AF2093" s="261"/>
      <c r="AG2093" s="261"/>
    </row>
    <row r="2094" ht="34.5" hidden="1" customHeight="1">
      <c r="A2094" s="111"/>
      <c r="B2094" s="127"/>
      <c r="C2094" s="111"/>
      <c r="D2094" s="111"/>
      <c r="E2094" s="111"/>
      <c r="F2094" s="111"/>
      <c r="G2094" s="111"/>
      <c r="H2094" s="111"/>
      <c r="I2094" s="127"/>
      <c r="J2094" s="111"/>
      <c r="K2094" s="111"/>
      <c r="L2094" s="111"/>
      <c r="M2094" s="127"/>
      <c r="N2094" s="270"/>
      <c r="O2094" s="111"/>
      <c r="P2094" s="111"/>
      <c r="Q2094" s="127"/>
      <c r="R2094" s="124"/>
      <c r="S2094" s="125"/>
      <c r="T2094" s="125"/>
      <c r="U2094" s="125"/>
      <c r="V2094" s="125"/>
      <c r="W2094" s="125"/>
      <c r="X2094" s="125"/>
      <c r="Y2094" s="125"/>
      <c r="Z2094" s="127"/>
      <c r="AA2094" s="127"/>
      <c r="AB2094" s="127"/>
      <c r="AC2094" s="127"/>
      <c r="AD2094" s="261"/>
      <c r="AE2094" s="261"/>
      <c r="AF2094" s="261"/>
      <c r="AG2094" s="261"/>
    </row>
    <row r="2095" ht="34.5" hidden="1" customHeight="1">
      <c r="A2095" s="111"/>
      <c r="B2095" s="127"/>
      <c r="C2095" s="111"/>
      <c r="D2095" s="111"/>
      <c r="E2095" s="111"/>
      <c r="F2095" s="111"/>
      <c r="G2095" s="111"/>
      <c r="H2095" s="111"/>
      <c r="I2095" s="127"/>
      <c r="J2095" s="111"/>
      <c r="K2095" s="111"/>
      <c r="L2095" s="111"/>
      <c r="M2095" s="127"/>
      <c r="N2095" s="270"/>
      <c r="O2095" s="111"/>
      <c r="P2095" s="111"/>
      <c r="Q2095" s="127"/>
      <c r="R2095" s="124"/>
      <c r="S2095" s="125"/>
      <c r="T2095" s="125"/>
      <c r="U2095" s="125"/>
      <c r="V2095" s="125"/>
      <c r="W2095" s="125"/>
      <c r="X2095" s="125"/>
      <c r="Y2095" s="125"/>
      <c r="Z2095" s="127"/>
      <c r="AA2095" s="127"/>
      <c r="AB2095" s="127"/>
      <c r="AC2095" s="127"/>
      <c r="AD2095" s="261"/>
      <c r="AE2095" s="261"/>
      <c r="AF2095" s="261"/>
      <c r="AG2095" s="261"/>
    </row>
    <row r="2096" ht="34.5" hidden="1" customHeight="1">
      <c r="A2096" s="111"/>
      <c r="B2096" s="127"/>
      <c r="C2096" s="111"/>
      <c r="D2096" s="111"/>
      <c r="E2096" s="111"/>
      <c r="F2096" s="111"/>
      <c r="G2096" s="111"/>
      <c r="H2096" s="111"/>
      <c r="I2096" s="127"/>
      <c r="J2096" s="111"/>
      <c r="K2096" s="111"/>
      <c r="L2096" s="111"/>
      <c r="M2096" s="127"/>
      <c r="N2096" s="270"/>
      <c r="O2096" s="111"/>
      <c r="P2096" s="111"/>
      <c r="Q2096" s="127"/>
      <c r="R2096" s="124"/>
      <c r="S2096" s="125"/>
      <c r="T2096" s="125"/>
      <c r="U2096" s="125"/>
      <c r="V2096" s="125"/>
      <c r="W2096" s="125"/>
      <c r="X2096" s="125"/>
      <c r="Y2096" s="125"/>
      <c r="Z2096" s="127"/>
      <c r="AA2096" s="127"/>
      <c r="AB2096" s="127"/>
      <c r="AC2096" s="127"/>
      <c r="AD2096" s="261"/>
      <c r="AE2096" s="261"/>
      <c r="AF2096" s="261"/>
      <c r="AG2096" s="261"/>
    </row>
    <row r="2097" ht="34.5" hidden="1" customHeight="1">
      <c r="A2097" s="111"/>
      <c r="B2097" s="127"/>
      <c r="C2097" s="111"/>
      <c r="D2097" s="111"/>
      <c r="E2097" s="111"/>
      <c r="F2097" s="111"/>
      <c r="G2097" s="111"/>
      <c r="H2097" s="111"/>
      <c r="I2097" s="127"/>
      <c r="J2097" s="111"/>
      <c r="K2097" s="111"/>
      <c r="L2097" s="111"/>
      <c r="M2097" s="127"/>
      <c r="N2097" s="270"/>
      <c r="O2097" s="111"/>
      <c r="P2097" s="111"/>
      <c r="Q2097" s="127"/>
      <c r="R2097" s="124"/>
      <c r="S2097" s="125"/>
      <c r="T2097" s="125"/>
      <c r="U2097" s="125"/>
      <c r="V2097" s="125"/>
      <c r="W2097" s="125"/>
      <c r="X2097" s="125"/>
      <c r="Y2097" s="125"/>
      <c r="Z2097" s="127"/>
      <c r="AA2097" s="127"/>
      <c r="AB2097" s="127"/>
      <c r="AC2097" s="127"/>
      <c r="AD2097" s="261"/>
      <c r="AE2097" s="261"/>
      <c r="AF2097" s="261"/>
      <c r="AG2097" s="261"/>
    </row>
    <row r="2098" ht="34.5" hidden="1" customHeight="1">
      <c r="A2098" s="111"/>
      <c r="B2098" s="127"/>
      <c r="C2098" s="111"/>
      <c r="D2098" s="111"/>
      <c r="E2098" s="111"/>
      <c r="F2098" s="111"/>
      <c r="G2098" s="111"/>
      <c r="H2098" s="111"/>
      <c r="I2098" s="127"/>
      <c r="J2098" s="111"/>
      <c r="K2098" s="111"/>
      <c r="L2098" s="111"/>
      <c r="M2098" s="127"/>
      <c r="N2098" s="270"/>
      <c r="O2098" s="111"/>
      <c r="P2098" s="111"/>
      <c r="Q2098" s="127"/>
      <c r="R2098" s="124"/>
      <c r="S2098" s="125"/>
      <c r="T2098" s="125"/>
      <c r="U2098" s="125"/>
      <c r="V2098" s="125"/>
      <c r="W2098" s="125"/>
      <c r="X2098" s="125"/>
      <c r="Y2098" s="125"/>
      <c r="Z2098" s="127"/>
      <c r="AA2098" s="127"/>
      <c r="AB2098" s="127"/>
      <c r="AC2098" s="127"/>
      <c r="AD2098" s="261"/>
      <c r="AE2098" s="261"/>
      <c r="AF2098" s="261"/>
      <c r="AG2098" s="261"/>
    </row>
    <row r="2099" ht="34.5" hidden="1" customHeight="1">
      <c r="A2099" s="111"/>
      <c r="B2099" s="127"/>
      <c r="C2099" s="111"/>
      <c r="D2099" s="111"/>
      <c r="E2099" s="111"/>
      <c r="F2099" s="111"/>
      <c r="G2099" s="111"/>
      <c r="H2099" s="111"/>
      <c r="I2099" s="127"/>
      <c r="J2099" s="111"/>
      <c r="K2099" s="111"/>
      <c r="L2099" s="111"/>
      <c r="M2099" s="127"/>
      <c r="N2099" s="270"/>
      <c r="O2099" s="111"/>
      <c r="P2099" s="111"/>
      <c r="Q2099" s="127"/>
      <c r="R2099" s="124"/>
      <c r="S2099" s="125"/>
      <c r="T2099" s="125"/>
      <c r="U2099" s="125"/>
      <c r="V2099" s="125"/>
      <c r="W2099" s="125"/>
      <c r="X2099" s="125"/>
      <c r="Y2099" s="125"/>
      <c r="Z2099" s="127"/>
      <c r="AA2099" s="127"/>
      <c r="AB2099" s="127"/>
      <c r="AC2099" s="127"/>
      <c r="AD2099" s="261"/>
      <c r="AE2099" s="261"/>
      <c r="AF2099" s="261"/>
      <c r="AG2099" s="261"/>
    </row>
    <row r="2100" ht="34.5" hidden="1" customHeight="1">
      <c r="A2100" s="111"/>
      <c r="B2100" s="127"/>
      <c r="C2100" s="111"/>
      <c r="D2100" s="111"/>
      <c r="E2100" s="111"/>
      <c r="F2100" s="111"/>
      <c r="G2100" s="111"/>
      <c r="H2100" s="111"/>
      <c r="I2100" s="127"/>
      <c r="J2100" s="111"/>
      <c r="K2100" s="111"/>
      <c r="L2100" s="111"/>
      <c r="M2100" s="127"/>
      <c r="N2100" s="270"/>
      <c r="O2100" s="111"/>
      <c r="P2100" s="111"/>
      <c r="Q2100" s="127"/>
      <c r="R2100" s="124"/>
      <c r="S2100" s="125"/>
      <c r="T2100" s="125"/>
      <c r="U2100" s="125"/>
      <c r="V2100" s="125"/>
      <c r="W2100" s="125"/>
      <c r="X2100" s="125"/>
      <c r="Y2100" s="125"/>
      <c r="Z2100" s="127"/>
      <c r="AA2100" s="127"/>
      <c r="AB2100" s="127"/>
      <c r="AC2100" s="127"/>
      <c r="AD2100" s="261"/>
      <c r="AE2100" s="261"/>
      <c r="AF2100" s="261"/>
      <c r="AG2100" s="261"/>
    </row>
    <row r="2101" ht="34.5" hidden="1" customHeight="1">
      <c r="A2101" s="111"/>
      <c r="B2101" s="127"/>
      <c r="C2101" s="111"/>
      <c r="D2101" s="111"/>
      <c r="E2101" s="111"/>
      <c r="F2101" s="111"/>
      <c r="G2101" s="111"/>
      <c r="H2101" s="111"/>
      <c r="I2101" s="127"/>
      <c r="J2101" s="111"/>
      <c r="K2101" s="111"/>
      <c r="L2101" s="111"/>
      <c r="M2101" s="127"/>
      <c r="N2101" s="270"/>
      <c r="O2101" s="111"/>
      <c r="P2101" s="111"/>
      <c r="Q2101" s="127"/>
      <c r="R2101" s="124"/>
      <c r="S2101" s="125"/>
      <c r="T2101" s="125"/>
      <c r="U2101" s="125"/>
      <c r="V2101" s="125"/>
      <c r="W2101" s="125"/>
      <c r="X2101" s="125"/>
      <c r="Y2101" s="125"/>
      <c r="Z2101" s="127"/>
      <c r="AA2101" s="127"/>
      <c r="AB2101" s="127"/>
      <c r="AC2101" s="127"/>
      <c r="AD2101" s="261"/>
      <c r="AE2101" s="261"/>
      <c r="AF2101" s="261"/>
      <c r="AG2101" s="261"/>
    </row>
    <row r="2102" ht="34.5" hidden="1" customHeight="1">
      <c r="A2102" s="111"/>
      <c r="B2102" s="127"/>
      <c r="C2102" s="111"/>
      <c r="D2102" s="111"/>
      <c r="E2102" s="111"/>
      <c r="F2102" s="111"/>
      <c r="G2102" s="111"/>
      <c r="H2102" s="111"/>
      <c r="I2102" s="127"/>
      <c r="J2102" s="111"/>
      <c r="K2102" s="111"/>
      <c r="L2102" s="111"/>
      <c r="M2102" s="127"/>
      <c r="N2102" s="270"/>
      <c r="O2102" s="111"/>
      <c r="P2102" s="111"/>
      <c r="Q2102" s="127"/>
      <c r="R2102" s="124"/>
      <c r="S2102" s="125"/>
      <c r="T2102" s="125"/>
      <c r="U2102" s="125"/>
      <c r="V2102" s="125"/>
      <c r="W2102" s="125"/>
      <c r="X2102" s="125"/>
      <c r="Y2102" s="125"/>
      <c r="Z2102" s="127"/>
      <c r="AA2102" s="127"/>
      <c r="AB2102" s="127"/>
      <c r="AC2102" s="127"/>
      <c r="AD2102" s="261"/>
      <c r="AE2102" s="261"/>
      <c r="AF2102" s="261"/>
      <c r="AG2102" s="261"/>
    </row>
    <row r="2103" ht="34.5" hidden="1" customHeight="1">
      <c r="A2103" s="111"/>
      <c r="B2103" s="127"/>
      <c r="C2103" s="111"/>
      <c r="D2103" s="111"/>
      <c r="E2103" s="111"/>
      <c r="F2103" s="111"/>
      <c r="G2103" s="111"/>
      <c r="H2103" s="111"/>
      <c r="I2103" s="127"/>
      <c r="J2103" s="111"/>
      <c r="K2103" s="111"/>
      <c r="L2103" s="111"/>
      <c r="M2103" s="127"/>
      <c r="N2103" s="270"/>
      <c r="O2103" s="111"/>
      <c r="P2103" s="111"/>
      <c r="Q2103" s="127"/>
      <c r="R2103" s="124"/>
      <c r="S2103" s="125"/>
      <c r="T2103" s="125"/>
      <c r="U2103" s="125"/>
      <c r="V2103" s="125"/>
      <c r="W2103" s="125"/>
      <c r="X2103" s="125"/>
      <c r="Y2103" s="125"/>
      <c r="Z2103" s="127"/>
      <c r="AA2103" s="127"/>
      <c r="AB2103" s="127"/>
      <c r="AC2103" s="127"/>
      <c r="AD2103" s="261"/>
      <c r="AE2103" s="261"/>
      <c r="AF2103" s="261"/>
      <c r="AG2103" s="261"/>
    </row>
    <row r="2104" ht="34.5" hidden="1" customHeight="1">
      <c r="A2104" s="111"/>
      <c r="B2104" s="127"/>
      <c r="C2104" s="111"/>
      <c r="D2104" s="111"/>
      <c r="E2104" s="111"/>
      <c r="F2104" s="111"/>
      <c r="G2104" s="111"/>
      <c r="H2104" s="111"/>
      <c r="I2104" s="127"/>
      <c r="J2104" s="111"/>
      <c r="K2104" s="111"/>
      <c r="L2104" s="111"/>
      <c r="M2104" s="127"/>
      <c r="N2104" s="270"/>
      <c r="O2104" s="111"/>
      <c r="P2104" s="111"/>
      <c r="Q2104" s="127"/>
      <c r="R2104" s="124"/>
      <c r="S2104" s="125"/>
      <c r="T2104" s="125"/>
      <c r="U2104" s="125"/>
      <c r="V2104" s="125"/>
      <c r="W2104" s="125"/>
      <c r="X2104" s="125"/>
      <c r="Y2104" s="125"/>
      <c r="Z2104" s="127"/>
      <c r="AA2104" s="127"/>
      <c r="AB2104" s="127"/>
      <c r="AC2104" s="127"/>
      <c r="AD2104" s="261"/>
      <c r="AE2104" s="261"/>
      <c r="AF2104" s="261"/>
      <c r="AG2104" s="261"/>
    </row>
    <row r="2105" ht="34.5" hidden="1" customHeight="1">
      <c r="A2105" s="111"/>
      <c r="B2105" s="127"/>
      <c r="C2105" s="111"/>
      <c r="D2105" s="111"/>
      <c r="E2105" s="111"/>
      <c r="F2105" s="111"/>
      <c r="G2105" s="111"/>
      <c r="H2105" s="111"/>
      <c r="I2105" s="127"/>
      <c r="J2105" s="111"/>
      <c r="K2105" s="111"/>
      <c r="L2105" s="111"/>
      <c r="M2105" s="127"/>
      <c r="N2105" s="270"/>
      <c r="O2105" s="111"/>
      <c r="P2105" s="111"/>
      <c r="Q2105" s="127"/>
      <c r="R2105" s="124"/>
      <c r="S2105" s="125"/>
      <c r="T2105" s="125"/>
      <c r="U2105" s="125"/>
      <c r="V2105" s="125"/>
      <c r="W2105" s="125"/>
      <c r="X2105" s="125"/>
      <c r="Y2105" s="125"/>
      <c r="Z2105" s="127"/>
      <c r="AA2105" s="127"/>
      <c r="AB2105" s="127"/>
      <c r="AC2105" s="127"/>
      <c r="AD2105" s="261"/>
      <c r="AE2105" s="261"/>
      <c r="AF2105" s="261"/>
      <c r="AG2105" s="261"/>
    </row>
    <row r="2106" ht="34.5" hidden="1" customHeight="1">
      <c r="A2106" s="111"/>
      <c r="B2106" s="127"/>
      <c r="C2106" s="111"/>
      <c r="D2106" s="111"/>
      <c r="E2106" s="111"/>
      <c r="F2106" s="111"/>
      <c r="G2106" s="111"/>
      <c r="H2106" s="111"/>
      <c r="I2106" s="127"/>
      <c r="J2106" s="111"/>
      <c r="K2106" s="111"/>
      <c r="L2106" s="111"/>
      <c r="M2106" s="127"/>
      <c r="N2106" s="270"/>
      <c r="O2106" s="111"/>
      <c r="P2106" s="111"/>
      <c r="Q2106" s="127"/>
      <c r="R2106" s="124"/>
      <c r="S2106" s="125"/>
      <c r="T2106" s="125"/>
      <c r="U2106" s="125"/>
      <c r="V2106" s="125"/>
      <c r="W2106" s="125"/>
      <c r="X2106" s="125"/>
      <c r="Y2106" s="125"/>
      <c r="Z2106" s="127"/>
      <c r="AA2106" s="127"/>
      <c r="AB2106" s="127"/>
      <c r="AC2106" s="127"/>
      <c r="AD2106" s="261"/>
      <c r="AE2106" s="261"/>
      <c r="AF2106" s="261"/>
      <c r="AG2106" s="261"/>
    </row>
    <row r="2107" ht="34.5" hidden="1" customHeight="1">
      <c r="A2107" s="111"/>
      <c r="B2107" s="127"/>
      <c r="C2107" s="111"/>
      <c r="D2107" s="111"/>
      <c r="E2107" s="111"/>
      <c r="F2107" s="111"/>
      <c r="G2107" s="111"/>
      <c r="H2107" s="111"/>
      <c r="I2107" s="127"/>
      <c r="J2107" s="111"/>
      <c r="K2107" s="111"/>
      <c r="L2107" s="111"/>
      <c r="M2107" s="127"/>
      <c r="N2107" s="270"/>
      <c r="O2107" s="111"/>
      <c r="P2107" s="111"/>
      <c r="Q2107" s="127"/>
      <c r="R2107" s="124"/>
      <c r="S2107" s="125"/>
      <c r="T2107" s="125"/>
      <c r="U2107" s="125"/>
      <c r="V2107" s="125"/>
      <c r="W2107" s="125"/>
      <c r="X2107" s="125"/>
      <c r="Y2107" s="125"/>
      <c r="Z2107" s="127"/>
      <c r="AA2107" s="127"/>
      <c r="AB2107" s="127"/>
      <c r="AC2107" s="127"/>
      <c r="AD2107" s="261"/>
      <c r="AE2107" s="261"/>
      <c r="AF2107" s="261"/>
      <c r="AG2107" s="261"/>
    </row>
    <row r="2108" ht="34.5" hidden="1" customHeight="1">
      <c r="A2108" s="111"/>
      <c r="B2108" s="127"/>
      <c r="C2108" s="111"/>
      <c r="D2108" s="111"/>
      <c r="E2108" s="111"/>
      <c r="F2108" s="111"/>
      <c r="G2108" s="111"/>
      <c r="H2108" s="111"/>
      <c r="I2108" s="127"/>
      <c r="J2108" s="111"/>
      <c r="K2108" s="111"/>
      <c r="L2108" s="111"/>
      <c r="M2108" s="127"/>
      <c r="N2108" s="270"/>
      <c r="O2108" s="111"/>
      <c r="P2108" s="111"/>
      <c r="Q2108" s="127"/>
      <c r="R2108" s="124"/>
      <c r="S2108" s="125"/>
      <c r="T2108" s="125"/>
      <c r="U2108" s="125"/>
      <c r="V2108" s="125"/>
      <c r="W2108" s="125"/>
      <c r="X2108" s="125"/>
      <c r="Y2108" s="125"/>
      <c r="Z2108" s="127"/>
      <c r="AA2108" s="127"/>
      <c r="AB2108" s="127"/>
      <c r="AC2108" s="127"/>
      <c r="AD2108" s="261"/>
      <c r="AE2108" s="261"/>
      <c r="AF2108" s="261"/>
      <c r="AG2108" s="261"/>
    </row>
    <row r="2109" ht="34.5" hidden="1" customHeight="1">
      <c r="A2109" s="111"/>
      <c r="B2109" s="127"/>
      <c r="C2109" s="111"/>
      <c r="D2109" s="111"/>
      <c r="E2109" s="111"/>
      <c r="F2109" s="111"/>
      <c r="G2109" s="111"/>
      <c r="H2109" s="111"/>
      <c r="I2109" s="127"/>
      <c r="J2109" s="111"/>
      <c r="K2109" s="111"/>
      <c r="L2109" s="111"/>
      <c r="M2109" s="127"/>
      <c r="N2109" s="270"/>
      <c r="O2109" s="111"/>
      <c r="P2109" s="111"/>
      <c r="Q2109" s="127"/>
      <c r="R2109" s="124"/>
      <c r="S2109" s="125"/>
      <c r="T2109" s="125"/>
      <c r="U2109" s="125"/>
      <c r="V2109" s="125"/>
      <c r="W2109" s="125"/>
      <c r="X2109" s="125"/>
      <c r="Y2109" s="125"/>
      <c r="Z2109" s="127"/>
      <c r="AA2109" s="127"/>
      <c r="AB2109" s="127"/>
      <c r="AC2109" s="127"/>
      <c r="AD2109" s="261"/>
      <c r="AE2109" s="261"/>
      <c r="AF2109" s="261"/>
      <c r="AG2109" s="261"/>
    </row>
    <row r="2110" ht="34.5" hidden="1" customHeight="1">
      <c r="A2110" s="111"/>
      <c r="B2110" s="127"/>
      <c r="C2110" s="111"/>
      <c r="D2110" s="111"/>
      <c r="E2110" s="111"/>
      <c r="F2110" s="111"/>
      <c r="G2110" s="111"/>
      <c r="H2110" s="111"/>
      <c r="I2110" s="127"/>
      <c r="J2110" s="111"/>
      <c r="K2110" s="111"/>
      <c r="L2110" s="111"/>
      <c r="M2110" s="127"/>
      <c r="N2110" s="270"/>
      <c r="O2110" s="111"/>
      <c r="P2110" s="111"/>
      <c r="Q2110" s="127"/>
      <c r="R2110" s="124"/>
      <c r="S2110" s="125"/>
      <c r="T2110" s="125"/>
      <c r="U2110" s="125"/>
      <c r="V2110" s="125"/>
      <c r="W2110" s="125"/>
      <c r="X2110" s="125"/>
      <c r="Y2110" s="125"/>
      <c r="Z2110" s="127"/>
      <c r="AA2110" s="127"/>
      <c r="AB2110" s="127"/>
      <c r="AC2110" s="127"/>
      <c r="AD2110" s="261"/>
      <c r="AE2110" s="261"/>
      <c r="AF2110" s="261"/>
      <c r="AG2110" s="261"/>
    </row>
    <row r="2111" ht="34.5" hidden="1" customHeight="1">
      <c r="A2111" s="111"/>
      <c r="B2111" s="127"/>
      <c r="C2111" s="111"/>
      <c r="D2111" s="111"/>
      <c r="E2111" s="111"/>
      <c r="F2111" s="111"/>
      <c r="G2111" s="111"/>
      <c r="H2111" s="111"/>
      <c r="I2111" s="127"/>
      <c r="J2111" s="111"/>
      <c r="K2111" s="111"/>
      <c r="L2111" s="111"/>
      <c r="M2111" s="127"/>
      <c r="N2111" s="270"/>
      <c r="O2111" s="111"/>
      <c r="P2111" s="111"/>
      <c r="Q2111" s="127"/>
      <c r="R2111" s="124"/>
      <c r="S2111" s="125"/>
      <c r="T2111" s="125"/>
      <c r="U2111" s="125"/>
      <c r="V2111" s="125"/>
      <c r="W2111" s="125"/>
      <c r="X2111" s="125"/>
      <c r="Y2111" s="125"/>
      <c r="Z2111" s="127"/>
      <c r="AA2111" s="127"/>
      <c r="AB2111" s="127"/>
      <c r="AC2111" s="127"/>
      <c r="AD2111" s="261"/>
      <c r="AE2111" s="261"/>
      <c r="AF2111" s="261"/>
      <c r="AG2111" s="261"/>
    </row>
    <row r="2112" ht="34.5" hidden="1" customHeight="1">
      <c r="A2112" s="111"/>
      <c r="B2112" s="127"/>
      <c r="C2112" s="111"/>
      <c r="D2112" s="111"/>
      <c r="E2112" s="111"/>
      <c r="F2112" s="111"/>
      <c r="G2112" s="111"/>
      <c r="H2112" s="111"/>
      <c r="I2112" s="127"/>
      <c r="J2112" s="111"/>
      <c r="K2112" s="111"/>
      <c r="L2112" s="111"/>
      <c r="M2112" s="127"/>
      <c r="N2112" s="270"/>
      <c r="O2112" s="111"/>
      <c r="P2112" s="111"/>
      <c r="Q2112" s="127"/>
      <c r="R2112" s="124"/>
      <c r="S2112" s="125"/>
      <c r="T2112" s="125"/>
      <c r="U2112" s="125"/>
      <c r="V2112" s="125"/>
      <c r="W2112" s="125"/>
      <c r="X2112" s="125"/>
      <c r="Y2112" s="125"/>
      <c r="Z2112" s="127"/>
      <c r="AA2112" s="127"/>
      <c r="AB2112" s="127"/>
      <c r="AC2112" s="127"/>
      <c r="AD2112" s="261"/>
      <c r="AE2112" s="261"/>
      <c r="AF2112" s="261"/>
      <c r="AG2112" s="261"/>
    </row>
    <row r="2113" ht="34.5" hidden="1" customHeight="1">
      <c r="A2113" s="111"/>
      <c r="B2113" s="127"/>
      <c r="C2113" s="111"/>
      <c r="D2113" s="111"/>
      <c r="E2113" s="111"/>
      <c r="F2113" s="111"/>
      <c r="G2113" s="111"/>
      <c r="H2113" s="111"/>
      <c r="I2113" s="127"/>
      <c r="J2113" s="111"/>
      <c r="K2113" s="111"/>
      <c r="L2113" s="111"/>
      <c r="M2113" s="127"/>
      <c r="N2113" s="270"/>
      <c r="O2113" s="111"/>
      <c r="P2113" s="111"/>
      <c r="Q2113" s="127"/>
      <c r="R2113" s="124"/>
      <c r="S2113" s="125"/>
      <c r="T2113" s="125"/>
      <c r="U2113" s="125"/>
      <c r="V2113" s="125"/>
      <c r="W2113" s="125"/>
      <c r="X2113" s="125"/>
      <c r="Y2113" s="125"/>
      <c r="Z2113" s="127"/>
      <c r="AA2113" s="127"/>
      <c r="AB2113" s="127"/>
      <c r="AC2113" s="127"/>
      <c r="AD2113" s="261"/>
      <c r="AE2113" s="261"/>
      <c r="AF2113" s="261"/>
      <c r="AG2113" s="261"/>
    </row>
    <row r="2114" ht="34.5" hidden="1" customHeight="1">
      <c r="A2114" s="111"/>
      <c r="B2114" s="127"/>
      <c r="C2114" s="111"/>
      <c r="D2114" s="111"/>
      <c r="E2114" s="111"/>
      <c r="F2114" s="111"/>
      <c r="G2114" s="111"/>
      <c r="H2114" s="111"/>
      <c r="I2114" s="127"/>
      <c r="J2114" s="111"/>
      <c r="K2114" s="111"/>
      <c r="L2114" s="111"/>
      <c r="M2114" s="127"/>
      <c r="N2114" s="270"/>
      <c r="O2114" s="111"/>
      <c r="P2114" s="111"/>
      <c r="Q2114" s="127"/>
      <c r="R2114" s="124"/>
      <c r="S2114" s="125"/>
      <c r="T2114" s="125"/>
      <c r="U2114" s="125"/>
      <c r="V2114" s="125"/>
      <c r="W2114" s="125"/>
      <c r="X2114" s="125"/>
      <c r="Y2114" s="125"/>
      <c r="Z2114" s="127"/>
      <c r="AA2114" s="127"/>
      <c r="AB2114" s="127"/>
      <c r="AC2114" s="127"/>
      <c r="AD2114" s="261"/>
      <c r="AE2114" s="261"/>
      <c r="AF2114" s="261"/>
      <c r="AG2114" s="261"/>
    </row>
    <row r="2115" ht="34.5" hidden="1" customHeight="1">
      <c r="A2115" s="111"/>
      <c r="B2115" s="127"/>
      <c r="C2115" s="111"/>
      <c r="D2115" s="111"/>
      <c r="E2115" s="111"/>
      <c r="F2115" s="111"/>
      <c r="G2115" s="111"/>
      <c r="H2115" s="111"/>
      <c r="I2115" s="127"/>
      <c r="J2115" s="111"/>
      <c r="K2115" s="111"/>
      <c r="L2115" s="111"/>
      <c r="M2115" s="127"/>
      <c r="N2115" s="270"/>
      <c r="O2115" s="111"/>
      <c r="P2115" s="111"/>
      <c r="Q2115" s="127"/>
      <c r="R2115" s="124"/>
      <c r="S2115" s="125"/>
      <c r="T2115" s="125"/>
      <c r="U2115" s="125"/>
      <c r="V2115" s="125"/>
      <c r="W2115" s="125"/>
      <c r="X2115" s="125"/>
      <c r="Y2115" s="125"/>
      <c r="Z2115" s="127"/>
      <c r="AA2115" s="127"/>
      <c r="AB2115" s="127"/>
      <c r="AC2115" s="127"/>
      <c r="AD2115" s="261"/>
      <c r="AE2115" s="261"/>
      <c r="AF2115" s="261"/>
      <c r="AG2115" s="261"/>
    </row>
    <row r="2116" ht="34.5" hidden="1" customHeight="1">
      <c r="A2116" s="111"/>
      <c r="B2116" s="127"/>
      <c r="C2116" s="111"/>
      <c r="D2116" s="111"/>
      <c r="E2116" s="111"/>
      <c r="F2116" s="111"/>
      <c r="G2116" s="111"/>
      <c r="H2116" s="111"/>
      <c r="I2116" s="127"/>
      <c r="J2116" s="111"/>
      <c r="K2116" s="111"/>
      <c r="L2116" s="111"/>
      <c r="M2116" s="127"/>
      <c r="N2116" s="270"/>
      <c r="O2116" s="111"/>
      <c r="P2116" s="111"/>
      <c r="Q2116" s="127"/>
      <c r="R2116" s="124"/>
      <c r="S2116" s="125"/>
      <c r="T2116" s="125"/>
      <c r="U2116" s="125"/>
      <c r="V2116" s="125"/>
      <c r="W2116" s="125"/>
      <c r="X2116" s="125"/>
      <c r="Y2116" s="125"/>
      <c r="Z2116" s="127"/>
      <c r="AA2116" s="127"/>
      <c r="AB2116" s="127"/>
      <c r="AC2116" s="127"/>
      <c r="AD2116" s="261"/>
      <c r="AE2116" s="261"/>
      <c r="AF2116" s="261"/>
      <c r="AG2116" s="261"/>
    </row>
    <row r="2117" ht="34.5" hidden="1" customHeight="1">
      <c r="A2117" s="111"/>
      <c r="B2117" s="127"/>
      <c r="C2117" s="111"/>
      <c r="D2117" s="111"/>
      <c r="E2117" s="111"/>
      <c r="F2117" s="111"/>
      <c r="G2117" s="111"/>
      <c r="H2117" s="111"/>
      <c r="I2117" s="127"/>
      <c r="J2117" s="111"/>
      <c r="K2117" s="111"/>
      <c r="L2117" s="111"/>
      <c r="M2117" s="127"/>
      <c r="N2117" s="270"/>
      <c r="O2117" s="111"/>
      <c r="P2117" s="111"/>
      <c r="Q2117" s="127"/>
      <c r="R2117" s="124"/>
      <c r="S2117" s="125"/>
      <c r="T2117" s="125"/>
      <c r="U2117" s="125"/>
      <c r="V2117" s="125"/>
      <c r="W2117" s="125"/>
      <c r="X2117" s="125"/>
      <c r="Y2117" s="125"/>
      <c r="Z2117" s="127"/>
      <c r="AA2117" s="127"/>
      <c r="AB2117" s="127"/>
      <c r="AC2117" s="127"/>
      <c r="AD2117" s="261"/>
      <c r="AE2117" s="261"/>
      <c r="AF2117" s="261"/>
      <c r="AG2117" s="261"/>
    </row>
    <row r="2118" ht="34.5" hidden="1" customHeight="1">
      <c r="A2118" s="111"/>
      <c r="B2118" s="127"/>
      <c r="C2118" s="111"/>
      <c r="D2118" s="111"/>
      <c r="E2118" s="111"/>
      <c r="F2118" s="111"/>
      <c r="G2118" s="111"/>
      <c r="H2118" s="111"/>
      <c r="I2118" s="127"/>
      <c r="J2118" s="111"/>
      <c r="K2118" s="111"/>
      <c r="L2118" s="111"/>
      <c r="M2118" s="127"/>
      <c r="N2118" s="270"/>
      <c r="O2118" s="111"/>
      <c r="P2118" s="111"/>
      <c r="Q2118" s="127"/>
      <c r="R2118" s="124"/>
      <c r="S2118" s="125"/>
      <c r="T2118" s="125"/>
      <c r="U2118" s="125"/>
      <c r="V2118" s="125"/>
      <c r="W2118" s="125"/>
      <c r="X2118" s="125"/>
      <c r="Y2118" s="125"/>
      <c r="Z2118" s="127"/>
      <c r="AA2118" s="127"/>
      <c r="AB2118" s="127"/>
      <c r="AC2118" s="127"/>
      <c r="AD2118" s="261"/>
      <c r="AE2118" s="261"/>
      <c r="AF2118" s="261"/>
      <c r="AG2118" s="261"/>
    </row>
    <row r="2119" ht="34.5" hidden="1" customHeight="1">
      <c r="A2119" s="111"/>
      <c r="B2119" s="127"/>
      <c r="C2119" s="111"/>
      <c r="D2119" s="111"/>
      <c r="E2119" s="111"/>
      <c r="F2119" s="111"/>
      <c r="G2119" s="111"/>
      <c r="H2119" s="111"/>
      <c r="I2119" s="127"/>
      <c r="J2119" s="111"/>
      <c r="K2119" s="111"/>
      <c r="L2119" s="111"/>
      <c r="M2119" s="127"/>
      <c r="N2119" s="270"/>
      <c r="O2119" s="111"/>
      <c r="P2119" s="111"/>
      <c r="Q2119" s="127"/>
      <c r="R2119" s="124"/>
      <c r="S2119" s="125"/>
      <c r="T2119" s="125"/>
      <c r="U2119" s="125"/>
      <c r="V2119" s="125"/>
      <c r="W2119" s="125"/>
      <c r="X2119" s="125"/>
      <c r="Y2119" s="125"/>
      <c r="Z2119" s="127"/>
      <c r="AA2119" s="127"/>
      <c r="AB2119" s="127"/>
      <c r="AC2119" s="127"/>
      <c r="AD2119" s="261"/>
      <c r="AE2119" s="261"/>
      <c r="AF2119" s="261"/>
      <c r="AG2119" s="261"/>
    </row>
    <row r="2120" ht="34.5" hidden="1" customHeight="1">
      <c r="A2120" s="111"/>
      <c r="B2120" s="127"/>
      <c r="C2120" s="111"/>
      <c r="D2120" s="111"/>
      <c r="E2120" s="111"/>
      <c r="F2120" s="111"/>
      <c r="G2120" s="111"/>
      <c r="H2120" s="111"/>
      <c r="I2120" s="127"/>
      <c r="J2120" s="111"/>
      <c r="K2120" s="111"/>
      <c r="L2120" s="111"/>
      <c r="M2120" s="127"/>
      <c r="N2120" s="270"/>
      <c r="O2120" s="111"/>
      <c r="P2120" s="111"/>
      <c r="Q2120" s="127"/>
      <c r="R2120" s="124"/>
      <c r="S2120" s="125"/>
      <c r="T2120" s="125"/>
      <c r="U2120" s="125"/>
      <c r="V2120" s="125"/>
      <c r="W2120" s="125"/>
      <c r="X2120" s="125"/>
      <c r="Y2120" s="125"/>
      <c r="Z2120" s="127"/>
      <c r="AA2120" s="127"/>
      <c r="AB2120" s="127"/>
      <c r="AC2120" s="127"/>
      <c r="AD2120" s="261"/>
      <c r="AE2120" s="261"/>
      <c r="AF2120" s="261"/>
      <c r="AG2120" s="261"/>
    </row>
    <row r="2121" ht="34.5" hidden="1" customHeight="1">
      <c r="A2121" s="111"/>
      <c r="B2121" s="127"/>
      <c r="C2121" s="111"/>
      <c r="D2121" s="111"/>
      <c r="E2121" s="111"/>
      <c r="F2121" s="111"/>
      <c r="G2121" s="111"/>
      <c r="H2121" s="111"/>
      <c r="I2121" s="127"/>
      <c r="J2121" s="111"/>
      <c r="K2121" s="111"/>
      <c r="L2121" s="111"/>
      <c r="M2121" s="127"/>
      <c r="N2121" s="270"/>
      <c r="O2121" s="111"/>
      <c r="P2121" s="111"/>
      <c r="Q2121" s="127"/>
      <c r="R2121" s="124"/>
      <c r="S2121" s="125"/>
      <c r="T2121" s="125"/>
      <c r="U2121" s="125"/>
      <c r="V2121" s="125"/>
      <c r="W2121" s="125"/>
      <c r="X2121" s="125"/>
      <c r="Y2121" s="125"/>
      <c r="Z2121" s="127"/>
      <c r="AA2121" s="127"/>
      <c r="AB2121" s="127"/>
      <c r="AC2121" s="127"/>
      <c r="AD2121" s="261"/>
      <c r="AE2121" s="261"/>
      <c r="AF2121" s="261"/>
      <c r="AG2121" s="261"/>
    </row>
    <row r="2122" ht="34.5" hidden="1" customHeight="1">
      <c r="A2122" s="111"/>
      <c r="B2122" s="127"/>
      <c r="C2122" s="111"/>
      <c r="D2122" s="111"/>
      <c r="E2122" s="111"/>
      <c r="F2122" s="111"/>
      <c r="G2122" s="111"/>
      <c r="H2122" s="111"/>
      <c r="I2122" s="127"/>
      <c r="J2122" s="111"/>
      <c r="K2122" s="111"/>
      <c r="L2122" s="111"/>
      <c r="M2122" s="127"/>
      <c r="N2122" s="270"/>
      <c r="O2122" s="111"/>
      <c r="P2122" s="111"/>
      <c r="Q2122" s="127"/>
      <c r="R2122" s="124"/>
      <c r="S2122" s="125"/>
      <c r="T2122" s="125"/>
      <c r="U2122" s="125"/>
      <c r="V2122" s="125"/>
      <c r="W2122" s="125"/>
      <c r="X2122" s="125"/>
      <c r="Y2122" s="125"/>
      <c r="Z2122" s="127"/>
      <c r="AA2122" s="127"/>
      <c r="AB2122" s="127"/>
      <c r="AC2122" s="127"/>
      <c r="AD2122" s="261"/>
      <c r="AE2122" s="261"/>
      <c r="AF2122" s="261"/>
      <c r="AG2122" s="261"/>
    </row>
    <row r="2123" ht="34.5" hidden="1" customHeight="1">
      <c r="A2123" s="111"/>
      <c r="B2123" s="127"/>
      <c r="C2123" s="111"/>
      <c r="D2123" s="111"/>
      <c r="E2123" s="111"/>
      <c r="F2123" s="111"/>
      <c r="G2123" s="111"/>
      <c r="H2123" s="111"/>
      <c r="I2123" s="127"/>
      <c r="J2123" s="111"/>
      <c r="K2123" s="111"/>
      <c r="L2123" s="111"/>
      <c r="M2123" s="127"/>
      <c r="N2123" s="270"/>
      <c r="O2123" s="111"/>
      <c r="P2123" s="111"/>
      <c r="Q2123" s="127"/>
      <c r="R2123" s="124"/>
      <c r="S2123" s="125"/>
      <c r="T2123" s="125"/>
      <c r="U2123" s="125"/>
      <c r="V2123" s="125"/>
      <c r="W2123" s="125"/>
      <c r="X2123" s="125"/>
      <c r="Y2123" s="125"/>
      <c r="Z2123" s="127"/>
      <c r="AA2123" s="127"/>
      <c r="AB2123" s="127"/>
      <c r="AC2123" s="127"/>
      <c r="AD2123" s="261"/>
      <c r="AE2123" s="261"/>
      <c r="AF2123" s="261"/>
      <c r="AG2123" s="261"/>
    </row>
    <row r="2124" ht="34.5" hidden="1" customHeight="1">
      <c r="A2124" s="111"/>
      <c r="B2124" s="127"/>
      <c r="C2124" s="111"/>
      <c r="D2124" s="111"/>
      <c r="E2124" s="111"/>
      <c r="F2124" s="111"/>
      <c r="G2124" s="111"/>
      <c r="H2124" s="111"/>
      <c r="I2124" s="127"/>
      <c r="J2124" s="111"/>
      <c r="K2124" s="111"/>
      <c r="L2124" s="111"/>
      <c r="M2124" s="127"/>
      <c r="N2124" s="270"/>
      <c r="O2124" s="111"/>
      <c r="P2124" s="111"/>
      <c r="Q2124" s="127"/>
      <c r="R2124" s="124"/>
      <c r="S2124" s="125"/>
      <c r="T2124" s="125"/>
      <c r="U2124" s="125"/>
      <c r="V2124" s="125"/>
      <c r="W2124" s="125"/>
      <c r="X2124" s="125"/>
      <c r="Y2124" s="125"/>
      <c r="Z2124" s="127"/>
      <c r="AA2124" s="127"/>
      <c r="AB2124" s="127"/>
      <c r="AC2124" s="127"/>
      <c r="AD2124" s="261"/>
      <c r="AE2124" s="261"/>
      <c r="AF2124" s="261"/>
      <c r="AG2124" s="261"/>
    </row>
    <row r="2125" ht="34.5" hidden="1" customHeight="1">
      <c r="A2125" s="111"/>
      <c r="B2125" s="127"/>
      <c r="C2125" s="111"/>
      <c r="D2125" s="111"/>
      <c r="E2125" s="111"/>
      <c r="F2125" s="111"/>
      <c r="G2125" s="111"/>
      <c r="H2125" s="111"/>
      <c r="I2125" s="127"/>
      <c r="J2125" s="111"/>
      <c r="K2125" s="111"/>
      <c r="L2125" s="111"/>
      <c r="M2125" s="127"/>
      <c r="N2125" s="270"/>
      <c r="O2125" s="111"/>
      <c r="P2125" s="111"/>
      <c r="Q2125" s="127"/>
      <c r="R2125" s="124"/>
      <c r="S2125" s="125"/>
      <c r="T2125" s="125"/>
      <c r="U2125" s="125"/>
      <c r="V2125" s="125"/>
      <c r="W2125" s="125"/>
      <c r="X2125" s="125"/>
      <c r="Y2125" s="125"/>
      <c r="Z2125" s="127"/>
      <c r="AA2125" s="127"/>
      <c r="AB2125" s="127"/>
      <c r="AC2125" s="127"/>
      <c r="AD2125" s="261"/>
      <c r="AE2125" s="261"/>
      <c r="AF2125" s="261"/>
      <c r="AG2125" s="261"/>
    </row>
    <row r="2126" ht="34.5" hidden="1" customHeight="1">
      <c r="A2126" s="111"/>
      <c r="B2126" s="127"/>
      <c r="C2126" s="111"/>
      <c r="D2126" s="111"/>
      <c r="E2126" s="111"/>
      <c r="F2126" s="111"/>
      <c r="G2126" s="111"/>
      <c r="H2126" s="111"/>
      <c r="I2126" s="127"/>
      <c r="J2126" s="111"/>
      <c r="K2126" s="111"/>
      <c r="L2126" s="111"/>
      <c r="M2126" s="127"/>
      <c r="N2126" s="270"/>
      <c r="O2126" s="111"/>
      <c r="P2126" s="111"/>
      <c r="Q2126" s="127"/>
      <c r="R2126" s="124"/>
      <c r="S2126" s="125"/>
      <c r="T2126" s="125"/>
      <c r="U2126" s="125"/>
      <c r="V2126" s="125"/>
      <c r="W2126" s="125"/>
      <c r="X2126" s="125"/>
      <c r="Y2126" s="125"/>
      <c r="Z2126" s="127"/>
      <c r="AA2126" s="127"/>
      <c r="AB2126" s="127"/>
      <c r="AC2126" s="127"/>
      <c r="AD2126" s="261"/>
      <c r="AE2126" s="261"/>
      <c r="AF2126" s="261"/>
      <c r="AG2126" s="261"/>
    </row>
    <row r="2127" ht="34.5" hidden="1" customHeight="1">
      <c r="A2127" s="111"/>
      <c r="B2127" s="127"/>
      <c r="C2127" s="111"/>
      <c r="D2127" s="111"/>
      <c r="E2127" s="111"/>
      <c r="F2127" s="111"/>
      <c r="G2127" s="111"/>
      <c r="H2127" s="111"/>
      <c r="I2127" s="127"/>
      <c r="J2127" s="111"/>
      <c r="K2127" s="111"/>
      <c r="L2127" s="111"/>
      <c r="M2127" s="127"/>
      <c r="N2127" s="270"/>
      <c r="O2127" s="111"/>
      <c r="P2127" s="111"/>
      <c r="Q2127" s="127"/>
      <c r="R2127" s="124"/>
      <c r="S2127" s="125"/>
      <c r="T2127" s="125"/>
      <c r="U2127" s="125"/>
      <c r="V2127" s="125"/>
      <c r="W2127" s="125"/>
      <c r="X2127" s="125"/>
      <c r="Y2127" s="125"/>
      <c r="Z2127" s="127"/>
      <c r="AA2127" s="127"/>
      <c r="AB2127" s="127"/>
      <c r="AC2127" s="127"/>
      <c r="AD2127" s="261"/>
      <c r="AE2127" s="261"/>
      <c r="AF2127" s="261"/>
      <c r="AG2127" s="261"/>
    </row>
    <row r="2128" ht="34.5" hidden="1" customHeight="1">
      <c r="A2128" s="111"/>
      <c r="B2128" s="127"/>
      <c r="C2128" s="111"/>
      <c r="D2128" s="111"/>
      <c r="E2128" s="111"/>
      <c r="F2128" s="111"/>
      <c r="G2128" s="111"/>
      <c r="H2128" s="111"/>
      <c r="I2128" s="127"/>
      <c r="J2128" s="111"/>
      <c r="K2128" s="111"/>
      <c r="L2128" s="111"/>
      <c r="M2128" s="127"/>
      <c r="N2128" s="270"/>
      <c r="O2128" s="111"/>
      <c r="P2128" s="111"/>
      <c r="Q2128" s="127"/>
      <c r="R2128" s="124"/>
      <c r="S2128" s="125"/>
      <c r="T2128" s="125"/>
      <c r="U2128" s="125"/>
      <c r="V2128" s="125"/>
      <c r="W2128" s="125"/>
      <c r="X2128" s="125"/>
      <c r="Y2128" s="125"/>
      <c r="Z2128" s="127"/>
      <c r="AA2128" s="127"/>
      <c r="AB2128" s="127"/>
      <c r="AC2128" s="127"/>
      <c r="AD2128" s="261"/>
      <c r="AE2128" s="261"/>
      <c r="AF2128" s="261"/>
      <c r="AG2128" s="261"/>
    </row>
    <row r="2129" ht="34.5" hidden="1" customHeight="1">
      <c r="A2129" s="111"/>
      <c r="B2129" s="127"/>
      <c r="C2129" s="111"/>
      <c r="D2129" s="111"/>
      <c r="E2129" s="111"/>
      <c r="F2129" s="111"/>
      <c r="G2129" s="111"/>
      <c r="H2129" s="111"/>
      <c r="I2129" s="127"/>
      <c r="J2129" s="111"/>
      <c r="K2129" s="111"/>
      <c r="L2129" s="111"/>
      <c r="M2129" s="127"/>
      <c r="N2129" s="270"/>
      <c r="O2129" s="111"/>
      <c r="P2129" s="111"/>
      <c r="Q2129" s="127"/>
      <c r="R2129" s="124"/>
      <c r="S2129" s="125"/>
      <c r="T2129" s="125"/>
      <c r="U2129" s="125"/>
      <c r="V2129" s="125"/>
      <c r="W2129" s="125"/>
      <c r="X2129" s="125"/>
      <c r="Y2129" s="125"/>
      <c r="Z2129" s="127"/>
      <c r="AA2129" s="127"/>
      <c r="AB2129" s="127"/>
      <c r="AC2129" s="127"/>
      <c r="AD2129" s="261"/>
      <c r="AE2129" s="261"/>
      <c r="AF2129" s="261"/>
      <c r="AG2129" s="261"/>
    </row>
    <row r="2130" ht="34.5" hidden="1" customHeight="1">
      <c r="A2130" s="111"/>
      <c r="B2130" s="127"/>
      <c r="C2130" s="111"/>
      <c r="D2130" s="111"/>
      <c r="E2130" s="111"/>
      <c r="F2130" s="111"/>
      <c r="G2130" s="111"/>
      <c r="H2130" s="111"/>
      <c r="I2130" s="127"/>
      <c r="J2130" s="111"/>
      <c r="K2130" s="111"/>
      <c r="L2130" s="111"/>
      <c r="M2130" s="127"/>
      <c r="N2130" s="270"/>
      <c r="O2130" s="111"/>
      <c r="P2130" s="111"/>
      <c r="Q2130" s="127"/>
      <c r="R2130" s="124"/>
      <c r="S2130" s="125"/>
      <c r="T2130" s="125"/>
      <c r="U2130" s="125"/>
      <c r="V2130" s="125"/>
      <c r="W2130" s="125"/>
      <c r="X2130" s="125"/>
      <c r="Y2130" s="125"/>
      <c r="Z2130" s="127"/>
      <c r="AA2130" s="127"/>
      <c r="AB2130" s="127"/>
      <c r="AC2130" s="127"/>
      <c r="AD2130" s="261"/>
      <c r="AE2130" s="261"/>
      <c r="AF2130" s="261"/>
      <c r="AG2130" s="261"/>
    </row>
    <row r="2131" ht="34.5" hidden="1" customHeight="1">
      <c r="A2131" s="111"/>
      <c r="B2131" s="127"/>
      <c r="C2131" s="111"/>
      <c r="D2131" s="111"/>
      <c r="E2131" s="111"/>
      <c r="F2131" s="111"/>
      <c r="G2131" s="111"/>
      <c r="H2131" s="111"/>
      <c r="I2131" s="127"/>
      <c r="J2131" s="111"/>
      <c r="K2131" s="111"/>
      <c r="L2131" s="111"/>
      <c r="M2131" s="127"/>
      <c r="N2131" s="270"/>
      <c r="O2131" s="111"/>
      <c r="P2131" s="111"/>
      <c r="Q2131" s="127"/>
      <c r="R2131" s="124"/>
      <c r="S2131" s="125"/>
      <c r="T2131" s="125"/>
      <c r="U2131" s="125"/>
      <c r="V2131" s="125"/>
      <c r="W2131" s="125"/>
      <c r="X2131" s="125"/>
      <c r="Y2131" s="125"/>
      <c r="Z2131" s="127"/>
      <c r="AA2131" s="127"/>
      <c r="AB2131" s="127"/>
      <c r="AC2131" s="127"/>
      <c r="AD2131" s="261"/>
      <c r="AE2131" s="261"/>
      <c r="AF2131" s="261"/>
      <c r="AG2131" s="261"/>
    </row>
    <row r="2132" ht="34.5" hidden="1" customHeight="1">
      <c r="A2132" s="111"/>
      <c r="B2132" s="127"/>
      <c r="C2132" s="111"/>
      <c r="D2132" s="111"/>
      <c r="E2132" s="111"/>
      <c r="F2132" s="111"/>
      <c r="G2132" s="111"/>
      <c r="H2132" s="111"/>
      <c r="I2132" s="127"/>
      <c r="J2132" s="111"/>
      <c r="K2132" s="111"/>
      <c r="L2132" s="111"/>
      <c r="M2132" s="127"/>
      <c r="N2132" s="270"/>
      <c r="O2132" s="111"/>
      <c r="P2132" s="111"/>
      <c r="Q2132" s="127"/>
      <c r="R2132" s="124"/>
      <c r="S2132" s="125"/>
      <c r="T2132" s="125"/>
      <c r="U2132" s="125"/>
      <c r="V2132" s="125"/>
      <c r="W2132" s="125"/>
      <c r="X2132" s="125"/>
      <c r="Y2132" s="125"/>
      <c r="Z2132" s="127"/>
      <c r="AA2132" s="127"/>
      <c r="AB2132" s="127"/>
      <c r="AC2132" s="127"/>
      <c r="AD2132" s="261"/>
      <c r="AE2132" s="261"/>
      <c r="AF2132" s="261"/>
      <c r="AG2132" s="261"/>
    </row>
    <row r="2133" ht="34.5" hidden="1" customHeight="1">
      <c r="A2133" s="111"/>
      <c r="B2133" s="127"/>
      <c r="C2133" s="111"/>
      <c r="D2133" s="111"/>
      <c r="E2133" s="111"/>
      <c r="F2133" s="111"/>
      <c r="G2133" s="111"/>
      <c r="H2133" s="111"/>
      <c r="I2133" s="127"/>
      <c r="J2133" s="111"/>
      <c r="K2133" s="111"/>
      <c r="L2133" s="111"/>
      <c r="M2133" s="127"/>
      <c r="N2133" s="270"/>
      <c r="O2133" s="111"/>
      <c r="P2133" s="111"/>
      <c r="Q2133" s="127"/>
      <c r="R2133" s="124"/>
      <c r="S2133" s="125"/>
      <c r="T2133" s="125"/>
      <c r="U2133" s="125"/>
      <c r="V2133" s="125"/>
      <c r="W2133" s="125"/>
      <c r="X2133" s="125"/>
      <c r="Y2133" s="125"/>
      <c r="Z2133" s="127"/>
      <c r="AA2133" s="127"/>
      <c r="AB2133" s="127"/>
      <c r="AC2133" s="127"/>
      <c r="AD2133" s="261"/>
      <c r="AE2133" s="261"/>
      <c r="AF2133" s="261"/>
      <c r="AG2133" s="261"/>
    </row>
    <row r="2134" ht="34.5" hidden="1" customHeight="1">
      <c r="A2134" s="111"/>
      <c r="B2134" s="127"/>
      <c r="C2134" s="111"/>
      <c r="D2134" s="111"/>
      <c r="E2134" s="111"/>
      <c r="F2134" s="111"/>
      <c r="G2134" s="111"/>
      <c r="H2134" s="111"/>
      <c r="I2134" s="127"/>
      <c r="J2134" s="111"/>
      <c r="K2134" s="111"/>
      <c r="L2134" s="111"/>
      <c r="M2134" s="127"/>
      <c r="N2134" s="270"/>
      <c r="O2134" s="111"/>
      <c r="P2134" s="111"/>
      <c r="Q2134" s="127"/>
      <c r="R2134" s="124"/>
      <c r="S2134" s="125"/>
      <c r="T2134" s="125"/>
      <c r="U2134" s="125"/>
      <c r="V2134" s="125"/>
      <c r="W2134" s="125"/>
      <c r="X2134" s="125"/>
      <c r="Y2134" s="125"/>
      <c r="Z2134" s="127"/>
      <c r="AA2134" s="127"/>
      <c r="AB2134" s="127"/>
      <c r="AC2134" s="127"/>
      <c r="AD2134" s="261"/>
      <c r="AE2134" s="261"/>
      <c r="AF2134" s="261"/>
      <c r="AG2134" s="261"/>
    </row>
    <row r="2135" ht="34.5" hidden="1" customHeight="1">
      <c r="A2135" s="111"/>
      <c r="B2135" s="127"/>
      <c r="C2135" s="111"/>
      <c r="D2135" s="111"/>
      <c r="E2135" s="111"/>
      <c r="F2135" s="111"/>
      <c r="G2135" s="111"/>
      <c r="H2135" s="111"/>
      <c r="I2135" s="127"/>
      <c r="J2135" s="111"/>
      <c r="K2135" s="111"/>
      <c r="L2135" s="111"/>
      <c r="M2135" s="127"/>
      <c r="N2135" s="270"/>
      <c r="O2135" s="111"/>
      <c r="P2135" s="111"/>
      <c r="Q2135" s="127"/>
      <c r="R2135" s="124"/>
      <c r="S2135" s="125"/>
      <c r="T2135" s="125"/>
      <c r="U2135" s="125"/>
      <c r="V2135" s="125"/>
      <c r="W2135" s="125"/>
      <c r="X2135" s="125"/>
      <c r="Y2135" s="125"/>
      <c r="Z2135" s="127"/>
      <c r="AA2135" s="127"/>
      <c r="AB2135" s="127"/>
      <c r="AC2135" s="127"/>
      <c r="AD2135" s="261"/>
      <c r="AE2135" s="261"/>
      <c r="AF2135" s="261"/>
      <c r="AG2135" s="261"/>
    </row>
    <row r="2136" ht="34.5" hidden="1" customHeight="1">
      <c r="A2136" s="111"/>
      <c r="B2136" s="127"/>
      <c r="C2136" s="111"/>
      <c r="D2136" s="111"/>
      <c r="E2136" s="111"/>
      <c r="F2136" s="111"/>
      <c r="G2136" s="111"/>
      <c r="H2136" s="111"/>
      <c r="I2136" s="127"/>
      <c r="J2136" s="111"/>
      <c r="K2136" s="111"/>
      <c r="L2136" s="111"/>
      <c r="M2136" s="127"/>
      <c r="N2136" s="270"/>
      <c r="O2136" s="111"/>
      <c r="P2136" s="111"/>
      <c r="Q2136" s="127"/>
      <c r="R2136" s="124"/>
      <c r="S2136" s="125"/>
      <c r="T2136" s="125"/>
      <c r="U2136" s="125"/>
      <c r="V2136" s="125"/>
      <c r="W2136" s="125"/>
      <c r="X2136" s="125"/>
      <c r="Y2136" s="125"/>
      <c r="Z2136" s="127"/>
      <c r="AA2136" s="127"/>
      <c r="AB2136" s="127"/>
      <c r="AC2136" s="127"/>
      <c r="AD2136" s="261"/>
      <c r="AE2136" s="261"/>
      <c r="AF2136" s="261"/>
      <c r="AG2136" s="261"/>
    </row>
    <row r="2137" ht="34.5" hidden="1" customHeight="1">
      <c r="A2137" s="111"/>
      <c r="B2137" s="127"/>
      <c r="C2137" s="111"/>
      <c r="D2137" s="111"/>
      <c r="E2137" s="111"/>
      <c r="F2137" s="111"/>
      <c r="G2137" s="111"/>
      <c r="H2137" s="111"/>
      <c r="I2137" s="127"/>
      <c r="J2137" s="111"/>
      <c r="K2137" s="111"/>
      <c r="L2137" s="111"/>
      <c r="M2137" s="127"/>
      <c r="N2137" s="270"/>
      <c r="O2137" s="111"/>
      <c r="P2137" s="111"/>
      <c r="Q2137" s="127"/>
      <c r="R2137" s="124"/>
      <c r="S2137" s="125"/>
      <c r="T2137" s="125"/>
      <c r="U2137" s="125"/>
      <c r="V2137" s="125"/>
      <c r="W2137" s="125"/>
      <c r="X2137" s="125"/>
      <c r="Y2137" s="125"/>
      <c r="Z2137" s="127"/>
      <c r="AA2137" s="127"/>
      <c r="AB2137" s="127"/>
      <c r="AC2137" s="127"/>
      <c r="AD2137" s="261"/>
      <c r="AE2137" s="261"/>
      <c r="AF2137" s="261"/>
      <c r="AG2137" s="261"/>
    </row>
    <row r="2138" ht="34.5" hidden="1" customHeight="1">
      <c r="A2138" s="111"/>
      <c r="B2138" s="127"/>
      <c r="C2138" s="111"/>
      <c r="D2138" s="111"/>
      <c r="E2138" s="111"/>
      <c r="F2138" s="111"/>
      <c r="G2138" s="111"/>
      <c r="H2138" s="111"/>
      <c r="I2138" s="127"/>
      <c r="J2138" s="111"/>
      <c r="K2138" s="111"/>
      <c r="L2138" s="111"/>
      <c r="M2138" s="127"/>
      <c r="N2138" s="270"/>
      <c r="O2138" s="111"/>
      <c r="P2138" s="111"/>
      <c r="Q2138" s="127"/>
      <c r="R2138" s="124"/>
      <c r="S2138" s="125"/>
      <c r="T2138" s="125"/>
      <c r="U2138" s="125"/>
      <c r="V2138" s="125"/>
      <c r="W2138" s="125"/>
      <c r="X2138" s="125"/>
      <c r="Y2138" s="125"/>
      <c r="Z2138" s="127"/>
      <c r="AA2138" s="127"/>
      <c r="AB2138" s="127"/>
      <c r="AC2138" s="127"/>
      <c r="AD2138" s="261"/>
      <c r="AE2138" s="261"/>
      <c r="AF2138" s="261"/>
      <c r="AG2138" s="261"/>
    </row>
    <row r="2139" ht="34.5" hidden="1" customHeight="1">
      <c r="A2139" s="111"/>
      <c r="B2139" s="127"/>
      <c r="C2139" s="111"/>
      <c r="D2139" s="111"/>
      <c r="E2139" s="111"/>
      <c r="F2139" s="111"/>
      <c r="G2139" s="111"/>
      <c r="H2139" s="111"/>
      <c r="I2139" s="127"/>
      <c r="J2139" s="111"/>
      <c r="K2139" s="111"/>
      <c r="L2139" s="111"/>
      <c r="M2139" s="127"/>
      <c r="N2139" s="270"/>
      <c r="O2139" s="111"/>
      <c r="P2139" s="111"/>
      <c r="Q2139" s="127"/>
      <c r="R2139" s="124"/>
      <c r="S2139" s="125"/>
      <c r="T2139" s="125"/>
      <c r="U2139" s="125"/>
      <c r="V2139" s="125"/>
      <c r="W2139" s="125"/>
      <c r="X2139" s="125"/>
      <c r="Y2139" s="125"/>
      <c r="Z2139" s="127"/>
      <c r="AA2139" s="127"/>
      <c r="AB2139" s="127"/>
      <c r="AC2139" s="127"/>
      <c r="AD2139" s="261"/>
      <c r="AE2139" s="261"/>
      <c r="AF2139" s="261"/>
      <c r="AG2139" s="261"/>
    </row>
    <row r="2140" ht="34.5" hidden="1" customHeight="1">
      <c r="A2140" s="111"/>
      <c r="B2140" s="127"/>
      <c r="C2140" s="111"/>
      <c r="D2140" s="111"/>
      <c r="E2140" s="111"/>
      <c r="F2140" s="111"/>
      <c r="G2140" s="111"/>
      <c r="H2140" s="111"/>
      <c r="I2140" s="127"/>
      <c r="J2140" s="111"/>
      <c r="K2140" s="111"/>
      <c r="L2140" s="111"/>
      <c r="M2140" s="127"/>
      <c r="N2140" s="270"/>
      <c r="O2140" s="111"/>
      <c r="P2140" s="111"/>
      <c r="Q2140" s="127"/>
      <c r="R2140" s="124"/>
      <c r="S2140" s="125"/>
      <c r="T2140" s="125"/>
      <c r="U2140" s="125"/>
      <c r="V2140" s="125"/>
      <c r="W2140" s="125"/>
      <c r="X2140" s="125"/>
      <c r="Y2140" s="125"/>
      <c r="Z2140" s="127"/>
      <c r="AA2140" s="127"/>
      <c r="AB2140" s="127"/>
      <c r="AC2140" s="127"/>
      <c r="AD2140" s="261"/>
      <c r="AE2140" s="261"/>
      <c r="AF2140" s="261"/>
      <c r="AG2140" s="261"/>
    </row>
    <row r="2141" ht="34.5" hidden="1" customHeight="1">
      <c r="A2141" s="111"/>
      <c r="B2141" s="127"/>
      <c r="C2141" s="111"/>
      <c r="D2141" s="111"/>
      <c r="E2141" s="111"/>
      <c r="F2141" s="111"/>
      <c r="G2141" s="111"/>
      <c r="H2141" s="111"/>
      <c r="I2141" s="127"/>
      <c r="J2141" s="111"/>
      <c r="K2141" s="111"/>
      <c r="L2141" s="111"/>
      <c r="M2141" s="127"/>
      <c r="N2141" s="270"/>
      <c r="O2141" s="111"/>
      <c r="P2141" s="111"/>
      <c r="Q2141" s="127"/>
      <c r="R2141" s="124"/>
      <c r="S2141" s="125"/>
      <c r="T2141" s="125"/>
      <c r="U2141" s="125"/>
      <c r="V2141" s="125"/>
      <c r="W2141" s="125"/>
      <c r="X2141" s="125"/>
      <c r="Y2141" s="125"/>
      <c r="Z2141" s="127"/>
      <c r="AA2141" s="127"/>
      <c r="AB2141" s="127"/>
      <c r="AC2141" s="127"/>
      <c r="AD2141" s="261"/>
      <c r="AE2141" s="261"/>
      <c r="AF2141" s="261"/>
      <c r="AG2141" s="261"/>
    </row>
    <row r="2142" ht="34.5" hidden="1" customHeight="1">
      <c r="A2142" s="111"/>
      <c r="B2142" s="127"/>
      <c r="C2142" s="111"/>
      <c r="D2142" s="111"/>
      <c r="E2142" s="111"/>
      <c r="F2142" s="111"/>
      <c r="G2142" s="111"/>
      <c r="H2142" s="111"/>
      <c r="I2142" s="127"/>
      <c r="J2142" s="111"/>
      <c r="K2142" s="111"/>
      <c r="L2142" s="111"/>
      <c r="M2142" s="127"/>
      <c r="N2142" s="270"/>
      <c r="O2142" s="111"/>
      <c r="P2142" s="111"/>
      <c r="Q2142" s="127"/>
      <c r="R2142" s="124"/>
      <c r="S2142" s="125"/>
      <c r="T2142" s="125"/>
      <c r="U2142" s="125"/>
      <c r="V2142" s="125"/>
      <c r="W2142" s="125"/>
      <c r="X2142" s="125"/>
      <c r="Y2142" s="125"/>
      <c r="Z2142" s="127"/>
      <c r="AA2142" s="127"/>
      <c r="AB2142" s="127"/>
      <c r="AC2142" s="127"/>
      <c r="AD2142" s="261"/>
      <c r="AE2142" s="261"/>
      <c r="AF2142" s="261"/>
      <c r="AG2142" s="261"/>
    </row>
    <row r="2143" ht="34.5" hidden="1" customHeight="1">
      <c r="A2143" s="111"/>
      <c r="B2143" s="127"/>
      <c r="C2143" s="111"/>
      <c r="D2143" s="111"/>
      <c r="E2143" s="111"/>
      <c r="F2143" s="111"/>
      <c r="G2143" s="111"/>
      <c r="H2143" s="111"/>
      <c r="I2143" s="127"/>
      <c r="J2143" s="111"/>
      <c r="K2143" s="111"/>
      <c r="L2143" s="111"/>
      <c r="M2143" s="127"/>
      <c r="N2143" s="270"/>
      <c r="O2143" s="111"/>
      <c r="P2143" s="111"/>
      <c r="Q2143" s="127"/>
      <c r="R2143" s="124"/>
      <c r="S2143" s="125"/>
      <c r="T2143" s="125"/>
      <c r="U2143" s="125"/>
      <c r="V2143" s="125"/>
      <c r="W2143" s="125"/>
      <c r="X2143" s="125"/>
      <c r="Y2143" s="125"/>
      <c r="Z2143" s="127"/>
      <c r="AA2143" s="127"/>
      <c r="AB2143" s="127"/>
      <c r="AC2143" s="127"/>
      <c r="AD2143" s="261"/>
      <c r="AE2143" s="261"/>
      <c r="AF2143" s="261"/>
      <c r="AG2143" s="261"/>
    </row>
    <row r="2144" ht="34.5" hidden="1" customHeight="1">
      <c r="A2144" s="111"/>
      <c r="B2144" s="127"/>
      <c r="C2144" s="111"/>
      <c r="D2144" s="111"/>
      <c r="E2144" s="111"/>
      <c r="F2144" s="111"/>
      <c r="G2144" s="111"/>
      <c r="H2144" s="111"/>
      <c r="I2144" s="127"/>
      <c r="J2144" s="111"/>
      <c r="K2144" s="111"/>
      <c r="L2144" s="111"/>
      <c r="M2144" s="127"/>
      <c r="N2144" s="270"/>
      <c r="O2144" s="111"/>
      <c r="P2144" s="111"/>
      <c r="Q2144" s="127"/>
      <c r="R2144" s="124"/>
      <c r="S2144" s="125"/>
      <c r="T2144" s="125"/>
      <c r="U2144" s="125"/>
      <c r="V2144" s="125"/>
      <c r="W2144" s="125"/>
      <c r="X2144" s="125"/>
      <c r="Y2144" s="125"/>
      <c r="Z2144" s="127"/>
      <c r="AA2144" s="127"/>
      <c r="AB2144" s="127"/>
      <c r="AC2144" s="127"/>
      <c r="AD2144" s="261"/>
      <c r="AE2144" s="261"/>
      <c r="AF2144" s="261"/>
      <c r="AG2144" s="261"/>
    </row>
    <row r="2145" ht="34.5" hidden="1" customHeight="1">
      <c r="A2145" s="111"/>
      <c r="B2145" s="127"/>
      <c r="C2145" s="111"/>
      <c r="D2145" s="111"/>
      <c r="E2145" s="111"/>
      <c r="F2145" s="111"/>
      <c r="G2145" s="111"/>
      <c r="H2145" s="111"/>
      <c r="I2145" s="127"/>
      <c r="J2145" s="111"/>
      <c r="K2145" s="111"/>
      <c r="L2145" s="111"/>
      <c r="M2145" s="127"/>
      <c r="N2145" s="270"/>
      <c r="O2145" s="111"/>
      <c r="P2145" s="111"/>
      <c r="Q2145" s="127"/>
      <c r="R2145" s="124"/>
      <c r="S2145" s="125"/>
      <c r="T2145" s="125"/>
      <c r="U2145" s="125"/>
      <c r="V2145" s="125"/>
      <c r="W2145" s="125"/>
      <c r="X2145" s="125"/>
      <c r="Y2145" s="125"/>
      <c r="Z2145" s="127"/>
      <c r="AA2145" s="127"/>
      <c r="AB2145" s="127"/>
      <c r="AC2145" s="127"/>
      <c r="AD2145" s="261"/>
      <c r="AE2145" s="261"/>
      <c r="AF2145" s="261"/>
      <c r="AG2145" s="261"/>
    </row>
    <row r="2146" ht="34.5" hidden="1" customHeight="1">
      <c r="A2146" s="111"/>
      <c r="B2146" s="127"/>
      <c r="C2146" s="111"/>
      <c r="D2146" s="111"/>
      <c r="E2146" s="111"/>
      <c r="F2146" s="111"/>
      <c r="G2146" s="111"/>
      <c r="H2146" s="111"/>
      <c r="I2146" s="127"/>
      <c r="J2146" s="111"/>
      <c r="K2146" s="111"/>
      <c r="L2146" s="111"/>
      <c r="M2146" s="127"/>
      <c r="N2146" s="270"/>
      <c r="O2146" s="111"/>
      <c r="P2146" s="111"/>
      <c r="Q2146" s="127"/>
      <c r="R2146" s="124"/>
      <c r="S2146" s="125"/>
      <c r="T2146" s="125"/>
      <c r="U2146" s="125"/>
      <c r="V2146" s="125"/>
      <c r="W2146" s="125"/>
      <c r="X2146" s="125"/>
      <c r="Y2146" s="125"/>
      <c r="Z2146" s="127"/>
      <c r="AA2146" s="127"/>
      <c r="AB2146" s="127"/>
      <c r="AC2146" s="127"/>
      <c r="AD2146" s="261"/>
      <c r="AE2146" s="261"/>
      <c r="AF2146" s="261"/>
      <c r="AG2146" s="261"/>
    </row>
    <row r="2147" ht="34.5" hidden="1" customHeight="1">
      <c r="A2147" s="111"/>
      <c r="B2147" s="127"/>
      <c r="C2147" s="111"/>
      <c r="D2147" s="111"/>
      <c r="E2147" s="111"/>
      <c r="F2147" s="111"/>
      <c r="G2147" s="111"/>
      <c r="H2147" s="111"/>
      <c r="I2147" s="127"/>
      <c r="J2147" s="111"/>
      <c r="K2147" s="111"/>
      <c r="L2147" s="111"/>
      <c r="M2147" s="127"/>
      <c r="N2147" s="270"/>
      <c r="O2147" s="111"/>
      <c r="P2147" s="111"/>
      <c r="Q2147" s="127"/>
      <c r="R2147" s="124"/>
      <c r="S2147" s="125"/>
      <c r="T2147" s="125"/>
      <c r="U2147" s="125"/>
      <c r="V2147" s="125"/>
      <c r="W2147" s="125"/>
      <c r="X2147" s="125"/>
      <c r="Y2147" s="125"/>
      <c r="Z2147" s="127"/>
      <c r="AA2147" s="127"/>
      <c r="AB2147" s="127"/>
      <c r="AC2147" s="127"/>
      <c r="AD2147" s="261"/>
      <c r="AE2147" s="261"/>
      <c r="AF2147" s="261"/>
      <c r="AG2147" s="261"/>
    </row>
    <row r="2148" ht="34.5" hidden="1" customHeight="1">
      <c r="A2148" s="111"/>
      <c r="B2148" s="127"/>
      <c r="C2148" s="111"/>
      <c r="D2148" s="111"/>
      <c r="E2148" s="111"/>
      <c r="F2148" s="111"/>
      <c r="G2148" s="111"/>
      <c r="H2148" s="111"/>
      <c r="I2148" s="127"/>
      <c r="J2148" s="111"/>
      <c r="K2148" s="111"/>
      <c r="L2148" s="111"/>
      <c r="M2148" s="127"/>
      <c r="N2148" s="270"/>
      <c r="O2148" s="111"/>
      <c r="P2148" s="111"/>
      <c r="Q2148" s="127"/>
      <c r="R2148" s="124"/>
      <c r="S2148" s="125"/>
      <c r="T2148" s="125"/>
      <c r="U2148" s="125"/>
      <c r="V2148" s="125"/>
      <c r="W2148" s="125"/>
      <c r="X2148" s="125"/>
      <c r="Y2148" s="125"/>
      <c r="Z2148" s="127"/>
      <c r="AA2148" s="127"/>
      <c r="AB2148" s="127"/>
      <c r="AC2148" s="127"/>
      <c r="AD2148" s="261"/>
      <c r="AE2148" s="261"/>
      <c r="AF2148" s="261"/>
      <c r="AG2148" s="261"/>
    </row>
    <row r="2149" ht="34.5" hidden="1" customHeight="1">
      <c r="A2149" s="111"/>
      <c r="B2149" s="127"/>
      <c r="C2149" s="111"/>
      <c r="D2149" s="111"/>
      <c r="E2149" s="111"/>
      <c r="F2149" s="111"/>
      <c r="G2149" s="111"/>
      <c r="H2149" s="111"/>
      <c r="I2149" s="127"/>
      <c r="J2149" s="111"/>
      <c r="K2149" s="111"/>
      <c r="L2149" s="111"/>
      <c r="M2149" s="127"/>
      <c r="N2149" s="270"/>
      <c r="O2149" s="111"/>
      <c r="P2149" s="111"/>
      <c r="Q2149" s="127"/>
      <c r="R2149" s="124"/>
      <c r="S2149" s="125"/>
      <c r="T2149" s="125"/>
      <c r="U2149" s="125"/>
      <c r="V2149" s="125"/>
      <c r="W2149" s="125"/>
      <c r="X2149" s="125"/>
      <c r="Y2149" s="125"/>
      <c r="Z2149" s="127"/>
      <c r="AA2149" s="127"/>
      <c r="AB2149" s="127"/>
      <c r="AC2149" s="127"/>
      <c r="AD2149" s="261"/>
      <c r="AE2149" s="261"/>
      <c r="AF2149" s="261"/>
      <c r="AG2149" s="261"/>
    </row>
    <row r="2150" ht="34.5" hidden="1" customHeight="1">
      <c r="A2150" s="111"/>
      <c r="B2150" s="127"/>
      <c r="C2150" s="111"/>
      <c r="D2150" s="111"/>
      <c r="E2150" s="111"/>
      <c r="F2150" s="111"/>
      <c r="G2150" s="111"/>
      <c r="H2150" s="111"/>
      <c r="I2150" s="127"/>
      <c r="J2150" s="111"/>
      <c r="K2150" s="111"/>
      <c r="L2150" s="111"/>
      <c r="M2150" s="127"/>
      <c r="N2150" s="270"/>
      <c r="O2150" s="111"/>
      <c r="P2150" s="111"/>
      <c r="Q2150" s="127"/>
      <c r="R2150" s="124"/>
      <c r="S2150" s="125"/>
      <c r="T2150" s="125"/>
      <c r="U2150" s="125"/>
      <c r="V2150" s="125"/>
      <c r="W2150" s="125"/>
      <c r="X2150" s="125"/>
      <c r="Y2150" s="125"/>
      <c r="Z2150" s="127"/>
      <c r="AA2150" s="127"/>
      <c r="AB2150" s="127"/>
      <c r="AC2150" s="127"/>
      <c r="AD2150" s="261"/>
      <c r="AE2150" s="261"/>
      <c r="AF2150" s="261"/>
      <c r="AG2150" s="261"/>
    </row>
    <row r="2151" ht="34.5" hidden="1" customHeight="1">
      <c r="A2151" s="111"/>
      <c r="B2151" s="127"/>
      <c r="C2151" s="111"/>
      <c r="D2151" s="111"/>
      <c r="E2151" s="111"/>
      <c r="F2151" s="111"/>
      <c r="G2151" s="111"/>
      <c r="H2151" s="111"/>
      <c r="I2151" s="127"/>
      <c r="J2151" s="111"/>
      <c r="K2151" s="111"/>
      <c r="L2151" s="111"/>
      <c r="M2151" s="127"/>
      <c r="N2151" s="270"/>
      <c r="O2151" s="111"/>
      <c r="P2151" s="111"/>
      <c r="Q2151" s="127"/>
      <c r="R2151" s="124"/>
      <c r="S2151" s="125"/>
      <c r="T2151" s="125"/>
      <c r="U2151" s="125"/>
      <c r="V2151" s="125"/>
      <c r="W2151" s="125"/>
      <c r="X2151" s="125"/>
      <c r="Y2151" s="125"/>
      <c r="Z2151" s="127"/>
      <c r="AA2151" s="127"/>
      <c r="AB2151" s="127"/>
      <c r="AC2151" s="127"/>
      <c r="AD2151" s="261"/>
      <c r="AE2151" s="261"/>
      <c r="AF2151" s="261"/>
      <c r="AG2151" s="261"/>
    </row>
    <row r="2152" ht="34.5" hidden="1" customHeight="1">
      <c r="A2152" s="111"/>
      <c r="B2152" s="127"/>
      <c r="C2152" s="111"/>
      <c r="D2152" s="111"/>
      <c r="E2152" s="111"/>
      <c r="F2152" s="111"/>
      <c r="G2152" s="111"/>
      <c r="H2152" s="111"/>
      <c r="I2152" s="127"/>
      <c r="J2152" s="111"/>
      <c r="K2152" s="111"/>
      <c r="L2152" s="111"/>
      <c r="M2152" s="127"/>
      <c r="N2152" s="270"/>
      <c r="O2152" s="111"/>
      <c r="P2152" s="111"/>
      <c r="Q2152" s="127"/>
      <c r="R2152" s="124"/>
      <c r="S2152" s="125"/>
      <c r="T2152" s="125"/>
      <c r="U2152" s="125"/>
      <c r="V2152" s="125"/>
      <c r="W2152" s="125"/>
      <c r="X2152" s="125"/>
      <c r="Y2152" s="125"/>
      <c r="Z2152" s="127"/>
      <c r="AA2152" s="127"/>
      <c r="AB2152" s="127"/>
      <c r="AC2152" s="127"/>
      <c r="AD2152" s="261"/>
      <c r="AE2152" s="261"/>
      <c r="AF2152" s="261"/>
      <c r="AG2152" s="261"/>
    </row>
    <row r="2153" ht="34.5" hidden="1" customHeight="1">
      <c r="A2153" s="111"/>
      <c r="B2153" s="127"/>
      <c r="C2153" s="111"/>
      <c r="D2153" s="111"/>
      <c r="E2153" s="111"/>
      <c r="F2153" s="111"/>
      <c r="G2153" s="111"/>
      <c r="H2153" s="111"/>
      <c r="I2153" s="127"/>
      <c r="J2153" s="111"/>
      <c r="K2153" s="111"/>
      <c r="L2153" s="111"/>
      <c r="M2153" s="127"/>
      <c r="N2153" s="270"/>
      <c r="O2153" s="111"/>
      <c r="P2153" s="111"/>
      <c r="Q2153" s="127"/>
      <c r="R2153" s="124"/>
      <c r="S2153" s="125"/>
      <c r="T2153" s="125"/>
      <c r="U2153" s="125"/>
      <c r="V2153" s="125"/>
      <c r="W2153" s="125"/>
      <c r="X2153" s="125"/>
      <c r="Y2153" s="125"/>
      <c r="Z2153" s="127"/>
      <c r="AA2153" s="127"/>
      <c r="AB2153" s="127"/>
      <c r="AC2153" s="127"/>
      <c r="AD2153" s="261"/>
      <c r="AE2153" s="261"/>
      <c r="AF2153" s="261"/>
      <c r="AG2153" s="261"/>
    </row>
    <row r="2154" ht="34.5" hidden="1" customHeight="1">
      <c r="A2154" s="111"/>
      <c r="B2154" s="127"/>
      <c r="C2154" s="111"/>
      <c r="D2154" s="111"/>
      <c r="E2154" s="111"/>
      <c r="F2154" s="111"/>
      <c r="G2154" s="111"/>
      <c r="H2154" s="111"/>
      <c r="I2154" s="127"/>
      <c r="J2154" s="111"/>
      <c r="K2154" s="111"/>
      <c r="L2154" s="111"/>
      <c r="M2154" s="127"/>
      <c r="N2154" s="270"/>
      <c r="O2154" s="111"/>
      <c r="P2154" s="111"/>
      <c r="Q2154" s="127"/>
      <c r="R2154" s="124"/>
      <c r="S2154" s="125"/>
      <c r="T2154" s="125"/>
      <c r="U2154" s="125"/>
      <c r="V2154" s="125"/>
      <c r="W2154" s="125"/>
      <c r="X2154" s="125"/>
      <c r="Y2154" s="125"/>
      <c r="Z2154" s="127"/>
      <c r="AA2154" s="127"/>
      <c r="AB2154" s="127"/>
      <c r="AC2154" s="127"/>
      <c r="AD2154" s="261"/>
      <c r="AE2154" s="261"/>
      <c r="AF2154" s="261"/>
      <c r="AG2154" s="261"/>
    </row>
    <row r="2155" ht="34.5" hidden="1" customHeight="1">
      <c r="A2155" s="111"/>
      <c r="B2155" s="127"/>
      <c r="C2155" s="111"/>
      <c r="D2155" s="111"/>
      <c r="E2155" s="111"/>
      <c r="F2155" s="111"/>
      <c r="G2155" s="111"/>
      <c r="H2155" s="111"/>
      <c r="I2155" s="127"/>
      <c r="J2155" s="111"/>
      <c r="K2155" s="111"/>
      <c r="L2155" s="111"/>
      <c r="M2155" s="127"/>
      <c r="N2155" s="270"/>
      <c r="O2155" s="111"/>
      <c r="P2155" s="111"/>
      <c r="Q2155" s="127"/>
      <c r="R2155" s="124"/>
      <c r="S2155" s="125"/>
      <c r="T2155" s="125"/>
      <c r="U2155" s="125"/>
      <c r="V2155" s="125"/>
      <c r="W2155" s="125"/>
      <c r="X2155" s="125"/>
      <c r="Y2155" s="125"/>
      <c r="Z2155" s="127"/>
      <c r="AA2155" s="127"/>
      <c r="AB2155" s="127"/>
      <c r="AC2155" s="127"/>
      <c r="AD2155" s="261"/>
      <c r="AE2155" s="261"/>
      <c r="AF2155" s="261"/>
      <c r="AG2155" s="261"/>
    </row>
    <row r="2156" ht="34.5" hidden="1" customHeight="1">
      <c r="A2156" s="111"/>
      <c r="B2156" s="127"/>
      <c r="C2156" s="111"/>
      <c r="D2156" s="111"/>
      <c r="E2156" s="111"/>
      <c r="F2156" s="111"/>
      <c r="G2156" s="111"/>
      <c r="H2156" s="111"/>
      <c r="I2156" s="127"/>
      <c r="J2156" s="111"/>
      <c r="K2156" s="111"/>
      <c r="L2156" s="111"/>
      <c r="M2156" s="127"/>
      <c r="N2156" s="270"/>
      <c r="O2156" s="111"/>
      <c r="P2156" s="111"/>
      <c r="Q2156" s="127"/>
      <c r="R2156" s="124"/>
      <c r="S2156" s="125"/>
      <c r="T2156" s="125"/>
      <c r="U2156" s="125"/>
      <c r="V2156" s="125"/>
      <c r="W2156" s="125"/>
      <c r="X2156" s="125"/>
      <c r="Y2156" s="125"/>
      <c r="Z2156" s="127"/>
      <c r="AA2156" s="127"/>
      <c r="AB2156" s="127"/>
      <c r="AC2156" s="127"/>
      <c r="AD2156" s="261"/>
      <c r="AE2156" s="261"/>
      <c r="AF2156" s="261"/>
      <c r="AG2156" s="261"/>
    </row>
    <row r="2157" ht="34.5" hidden="1" customHeight="1">
      <c r="A2157" s="111"/>
      <c r="B2157" s="127"/>
      <c r="C2157" s="111"/>
      <c r="D2157" s="111"/>
      <c r="E2157" s="111"/>
      <c r="F2157" s="111"/>
      <c r="G2157" s="111"/>
      <c r="H2157" s="111"/>
      <c r="I2157" s="127"/>
      <c r="J2157" s="111"/>
      <c r="K2157" s="111"/>
      <c r="L2157" s="111"/>
      <c r="M2157" s="127"/>
      <c r="N2157" s="270"/>
      <c r="O2157" s="111"/>
      <c r="P2157" s="111"/>
      <c r="Q2157" s="127"/>
      <c r="R2157" s="124"/>
      <c r="S2157" s="125"/>
      <c r="T2157" s="125"/>
      <c r="U2157" s="125"/>
      <c r="V2157" s="125"/>
      <c r="W2157" s="125"/>
      <c r="X2157" s="125"/>
      <c r="Y2157" s="125"/>
      <c r="Z2157" s="127"/>
      <c r="AA2157" s="127"/>
      <c r="AB2157" s="127"/>
      <c r="AC2157" s="127"/>
      <c r="AD2157" s="261"/>
      <c r="AE2157" s="261"/>
      <c r="AF2157" s="261"/>
      <c r="AG2157" s="261"/>
    </row>
    <row r="2158" ht="34.5" hidden="1" customHeight="1">
      <c r="A2158" s="111"/>
      <c r="B2158" s="127"/>
      <c r="C2158" s="111"/>
      <c r="D2158" s="111"/>
      <c r="E2158" s="111"/>
      <c r="F2158" s="111"/>
      <c r="G2158" s="111"/>
      <c r="H2158" s="111"/>
      <c r="I2158" s="127"/>
      <c r="J2158" s="111"/>
      <c r="K2158" s="111"/>
      <c r="L2158" s="111"/>
      <c r="M2158" s="127"/>
      <c r="N2158" s="270"/>
      <c r="O2158" s="111"/>
      <c r="P2158" s="111"/>
      <c r="Q2158" s="127"/>
      <c r="R2158" s="124"/>
      <c r="S2158" s="125"/>
      <c r="T2158" s="125"/>
      <c r="U2158" s="125"/>
      <c r="V2158" s="125"/>
      <c r="W2158" s="125"/>
      <c r="X2158" s="125"/>
      <c r="Y2158" s="125"/>
      <c r="Z2158" s="127"/>
      <c r="AA2158" s="127"/>
      <c r="AB2158" s="127"/>
      <c r="AC2158" s="127"/>
      <c r="AD2158" s="261"/>
      <c r="AE2158" s="261"/>
      <c r="AF2158" s="261"/>
      <c r="AG2158" s="261"/>
    </row>
    <row r="2159" ht="34.5" hidden="1" customHeight="1">
      <c r="A2159" s="111"/>
      <c r="B2159" s="127"/>
      <c r="C2159" s="111"/>
      <c r="D2159" s="111"/>
      <c r="E2159" s="111"/>
      <c r="F2159" s="111"/>
      <c r="G2159" s="111"/>
      <c r="H2159" s="111"/>
      <c r="I2159" s="127"/>
      <c r="J2159" s="111"/>
      <c r="K2159" s="111"/>
      <c r="L2159" s="111"/>
      <c r="M2159" s="127"/>
      <c r="N2159" s="270"/>
      <c r="O2159" s="111"/>
      <c r="P2159" s="111"/>
      <c r="Q2159" s="127"/>
      <c r="R2159" s="124"/>
      <c r="S2159" s="125"/>
      <c r="T2159" s="125"/>
      <c r="U2159" s="125"/>
      <c r="V2159" s="125"/>
      <c r="W2159" s="125"/>
      <c r="X2159" s="125"/>
      <c r="Y2159" s="125"/>
      <c r="Z2159" s="127"/>
      <c r="AA2159" s="127"/>
      <c r="AB2159" s="127"/>
      <c r="AC2159" s="127"/>
      <c r="AD2159" s="261"/>
      <c r="AE2159" s="261"/>
      <c r="AF2159" s="261"/>
      <c r="AG2159" s="261"/>
    </row>
    <row r="2160" ht="34.5" hidden="1" customHeight="1">
      <c r="A2160" s="111"/>
      <c r="B2160" s="127"/>
      <c r="C2160" s="111"/>
      <c r="D2160" s="111"/>
      <c r="E2160" s="111"/>
      <c r="F2160" s="111"/>
      <c r="G2160" s="111"/>
      <c r="H2160" s="111"/>
      <c r="I2160" s="127"/>
      <c r="J2160" s="111"/>
      <c r="K2160" s="111"/>
      <c r="L2160" s="111"/>
      <c r="M2160" s="127"/>
      <c r="N2160" s="270"/>
      <c r="O2160" s="111"/>
      <c r="P2160" s="111"/>
      <c r="Q2160" s="127"/>
      <c r="R2160" s="124"/>
      <c r="S2160" s="125"/>
      <c r="T2160" s="125"/>
      <c r="U2160" s="125"/>
      <c r="V2160" s="125"/>
      <c r="W2160" s="125"/>
      <c r="X2160" s="125"/>
      <c r="Y2160" s="125"/>
      <c r="Z2160" s="127"/>
      <c r="AA2160" s="127"/>
      <c r="AB2160" s="127"/>
      <c r="AC2160" s="127"/>
      <c r="AD2160" s="261"/>
      <c r="AE2160" s="261"/>
      <c r="AF2160" s="261"/>
      <c r="AG2160" s="261"/>
    </row>
    <row r="2161" ht="34.5" hidden="1" customHeight="1">
      <c r="A2161" s="111"/>
      <c r="B2161" s="127"/>
      <c r="C2161" s="111"/>
      <c r="D2161" s="111"/>
      <c r="E2161" s="111"/>
      <c r="F2161" s="111"/>
      <c r="G2161" s="111"/>
      <c r="H2161" s="111"/>
      <c r="I2161" s="127"/>
      <c r="J2161" s="111"/>
      <c r="K2161" s="111"/>
      <c r="L2161" s="111"/>
      <c r="M2161" s="127"/>
      <c r="N2161" s="270"/>
      <c r="O2161" s="111"/>
      <c r="P2161" s="111"/>
      <c r="Q2161" s="127"/>
      <c r="R2161" s="124"/>
      <c r="S2161" s="125"/>
      <c r="T2161" s="125"/>
      <c r="U2161" s="125"/>
      <c r="V2161" s="125"/>
      <c r="W2161" s="125"/>
      <c r="X2161" s="125"/>
      <c r="Y2161" s="125"/>
      <c r="Z2161" s="127"/>
      <c r="AA2161" s="127"/>
      <c r="AB2161" s="127"/>
      <c r="AC2161" s="127"/>
      <c r="AD2161" s="261"/>
      <c r="AE2161" s="261"/>
      <c r="AF2161" s="261"/>
      <c r="AG2161" s="261"/>
    </row>
    <row r="2162" ht="34.5" hidden="1" customHeight="1">
      <c r="A2162" s="111"/>
      <c r="B2162" s="127"/>
      <c r="C2162" s="111"/>
      <c r="D2162" s="111"/>
      <c r="E2162" s="111"/>
      <c r="F2162" s="111"/>
      <c r="G2162" s="111"/>
      <c r="H2162" s="111"/>
      <c r="I2162" s="127"/>
      <c r="J2162" s="111"/>
      <c r="K2162" s="111"/>
      <c r="L2162" s="111"/>
      <c r="M2162" s="127"/>
      <c r="N2162" s="270"/>
      <c r="O2162" s="111"/>
      <c r="P2162" s="111"/>
      <c r="Q2162" s="127"/>
      <c r="R2162" s="124"/>
      <c r="S2162" s="125"/>
      <c r="T2162" s="125"/>
      <c r="U2162" s="125"/>
      <c r="V2162" s="125"/>
      <c r="W2162" s="125"/>
      <c r="X2162" s="125"/>
      <c r="Y2162" s="125"/>
      <c r="Z2162" s="127"/>
      <c r="AA2162" s="127"/>
      <c r="AB2162" s="127"/>
      <c r="AC2162" s="127"/>
      <c r="AD2162" s="261"/>
      <c r="AE2162" s="261"/>
      <c r="AF2162" s="261"/>
      <c r="AG2162" s="261"/>
    </row>
    <row r="2163" ht="34.5" hidden="1" customHeight="1">
      <c r="A2163" s="111"/>
      <c r="B2163" s="127"/>
      <c r="C2163" s="111"/>
      <c r="D2163" s="111"/>
      <c r="E2163" s="111"/>
      <c r="F2163" s="111"/>
      <c r="G2163" s="111"/>
      <c r="H2163" s="111"/>
      <c r="I2163" s="127"/>
      <c r="J2163" s="111"/>
      <c r="K2163" s="111"/>
      <c r="L2163" s="111"/>
      <c r="M2163" s="127"/>
      <c r="N2163" s="270"/>
      <c r="O2163" s="111"/>
      <c r="P2163" s="111"/>
      <c r="Q2163" s="127"/>
      <c r="R2163" s="124"/>
      <c r="S2163" s="125"/>
      <c r="T2163" s="125"/>
      <c r="U2163" s="125"/>
      <c r="V2163" s="125"/>
      <c r="W2163" s="125"/>
      <c r="X2163" s="125"/>
      <c r="Y2163" s="125"/>
      <c r="Z2163" s="127"/>
      <c r="AA2163" s="127"/>
      <c r="AB2163" s="127"/>
      <c r="AC2163" s="127"/>
      <c r="AD2163" s="261"/>
      <c r="AE2163" s="261"/>
      <c r="AF2163" s="261"/>
      <c r="AG2163" s="261"/>
    </row>
    <row r="2164" ht="34.5" hidden="1" customHeight="1">
      <c r="A2164" s="111"/>
      <c r="B2164" s="127"/>
      <c r="C2164" s="111"/>
      <c r="D2164" s="111"/>
      <c r="E2164" s="111"/>
      <c r="F2164" s="111"/>
      <c r="G2164" s="111"/>
      <c r="H2164" s="111"/>
      <c r="I2164" s="127"/>
      <c r="J2164" s="111"/>
      <c r="K2164" s="111"/>
      <c r="L2164" s="111"/>
      <c r="M2164" s="127"/>
      <c r="N2164" s="270"/>
      <c r="O2164" s="111"/>
      <c r="P2164" s="111"/>
      <c r="Q2164" s="127"/>
      <c r="R2164" s="124"/>
      <c r="S2164" s="125"/>
      <c r="T2164" s="125"/>
      <c r="U2164" s="125"/>
      <c r="V2164" s="125"/>
      <c r="W2164" s="125"/>
      <c r="X2164" s="125"/>
      <c r="Y2164" s="125"/>
      <c r="Z2164" s="127"/>
      <c r="AA2164" s="127"/>
      <c r="AB2164" s="127"/>
      <c r="AC2164" s="127"/>
      <c r="AD2164" s="261"/>
      <c r="AE2164" s="261"/>
      <c r="AF2164" s="261"/>
      <c r="AG2164" s="261"/>
    </row>
    <row r="2165" ht="34.5" hidden="1" customHeight="1">
      <c r="A2165" s="111"/>
      <c r="B2165" s="127"/>
      <c r="C2165" s="111"/>
      <c r="D2165" s="111"/>
      <c r="E2165" s="111"/>
      <c r="F2165" s="111"/>
      <c r="G2165" s="111"/>
      <c r="H2165" s="111"/>
      <c r="I2165" s="127"/>
      <c r="J2165" s="111"/>
      <c r="K2165" s="111"/>
      <c r="L2165" s="111"/>
      <c r="M2165" s="127"/>
      <c r="N2165" s="270"/>
      <c r="O2165" s="111"/>
      <c r="P2165" s="111"/>
      <c r="Q2165" s="127"/>
      <c r="R2165" s="124"/>
      <c r="S2165" s="125"/>
      <c r="T2165" s="125"/>
      <c r="U2165" s="125"/>
      <c r="V2165" s="125"/>
      <c r="W2165" s="125"/>
      <c r="X2165" s="125"/>
      <c r="Y2165" s="125"/>
      <c r="Z2165" s="127"/>
      <c r="AA2165" s="127"/>
      <c r="AB2165" s="127"/>
      <c r="AC2165" s="127"/>
      <c r="AD2165" s="261"/>
      <c r="AE2165" s="261"/>
      <c r="AF2165" s="261"/>
      <c r="AG2165" s="261"/>
    </row>
    <row r="2166" ht="34.5" hidden="1" customHeight="1">
      <c r="A2166" s="111"/>
      <c r="B2166" s="127"/>
      <c r="C2166" s="111"/>
      <c r="D2166" s="111"/>
      <c r="E2166" s="111"/>
      <c r="F2166" s="111"/>
      <c r="G2166" s="111"/>
      <c r="H2166" s="111"/>
      <c r="I2166" s="127"/>
      <c r="J2166" s="111"/>
      <c r="K2166" s="111"/>
      <c r="L2166" s="111"/>
      <c r="M2166" s="127"/>
      <c r="N2166" s="270"/>
      <c r="O2166" s="111"/>
      <c r="P2166" s="111"/>
      <c r="Q2166" s="127"/>
      <c r="R2166" s="124"/>
      <c r="S2166" s="125"/>
      <c r="T2166" s="125"/>
      <c r="U2166" s="125"/>
      <c r="V2166" s="125"/>
      <c r="W2166" s="125"/>
      <c r="X2166" s="125"/>
      <c r="Y2166" s="125"/>
      <c r="Z2166" s="127"/>
      <c r="AA2166" s="127"/>
      <c r="AB2166" s="127"/>
      <c r="AC2166" s="127"/>
      <c r="AD2166" s="261"/>
      <c r="AE2166" s="261"/>
      <c r="AF2166" s="261"/>
      <c r="AG2166" s="261"/>
    </row>
    <row r="2167" ht="34.5" hidden="1" customHeight="1">
      <c r="A2167" s="111"/>
      <c r="B2167" s="127"/>
      <c r="C2167" s="111"/>
      <c r="D2167" s="111"/>
      <c r="E2167" s="111"/>
      <c r="F2167" s="111"/>
      <c r="G2167" s="111"/>
      <c r="H2167" s="111"/>
      <c r="I2167" s="127"/>
      <c r="J2167" s="111"/>
      <c r="K2167" s="111"/>
      <c r="L2167" s="111"/>
      <c r="M2167" s="127"/>
      <c r="N2167" s="270"/>
      <c r="O2167" s="111"/>
      <c r="P2167" s="111"/>
      <c r="Q2167" s="127"/>
      <c r="R2167" s="124"/>
      <c r="S2167" s="125"/>
      <c r="T2167" s="125"/>
      <c r="U2167" s="125"/>
      <c r="V2167" s="125"/>
      <c r="W2167" s="125"/>
      <c r="X2167" s="125"/>
      <c r="Y2167" s="125"/>
      <c r="Z2167" s="127"/>
      <c r="AA2167" s="127"/>
      <c r="AB2167" s="127"/>
      <c r="AC2167" s="127"/>
      <c r="AD2167" s="261"/>
      <c r="AE2167" s="261"/>
      <c r="AF2167" s="261"/>
      <c r="AG2167" s="261"/>
    </row>
    <row r="2168" ht="34.5" hidden="1" customHeight="1">
      <c r="A2168" s="111"/>
      <c r="B2168" s="127"/>
      <c r="C2168" s="111"/>
      <c r="D2168" s="111"/>
      <c r="E2168" s="111"/>
      <c r="F2168" s="111"/>
      <c r="G2168" s="111"/>
      <c r="H2168" s="111"/>
      <c r="I2168" s="127"/>
      <c r="J2168" s="111"/>
      <c r="K2168" s="111"/>
      <c r="L2168" s="111"/>
      <c r="M2168" s="127"/>
      <c r="N2168" s="270"/>
      <c r="O2168" s="111"/>
      <c r="P2168" s="111"/>
      <c r="Q2168" s="127"/>
      <c r="R2168" s="124"/>
      <c r="S2168" s="125"/>
      <c r="T2168" s="125"/>
      <c r="U2168" s="125"/>
      <c r="V2168" s="125"/>
      <c r="W2168" s="125"/>
      <c r="X2168" s="125"/>
      <c r="Y2168" s="125"/>
      <c r="Z2168" s="127"/>
      <c r="AA2168" s="127"/>
      <c r="AB2168" s="127"/>
      <c r="AC2168" s="127"/>
      <c r="AD2168" s="261"/>
      <c r="AE2168" s="261"/>
      <c r="AF2168" s="261"/>
      <c r="AG2168" s="261"/>
    </row>
    <row r="2169" ht="34.5" hidden="1" customHeight="1">
      <c r="A2169" s="111"/>
      <c r="B2169" s="127"/>
      <c r="C2169" s="111"/>
      <c r="D2169" s="111"/>
      <c r="E2169" s="111"/>
      <c r="F2169" s="111"/>
      <c r="G2169" s="111"/>
      <c r="H2169" s="111"/>
      <c r="I2169" s="127"/>
      <c r="J2169" s="111"/>
      <c r="K2169" s="111"/>
      <c r="L2169" s="111"/>
      <c r="M2169" s="127"/>
      <c r="N2169" s="270"/>
      <c r="O2169" s="111"/>
      <c r="P2169" s="111"/>
      <c r="Q2169" s="127"/>
      <c r="R2169" s="124"/>
      <c r="S2169" s="125"/>
      <c r="T2169" s="125"/>
      <c r="U2169" s="125"/>
      <c r="V2169" s="125"/>
      <c r="W2169" s="125"/>
      <c r="X2169" s="125"/>
      <c r="Y2169" s="125"/>
      <c r="Z2169" s="127"/>
      <c r="AA2169" s="127"/>
      <c r="AB2169" s="127"/>
      <c r="AC2169" s="127"/>
      <c r="AD2169" s="261"/>
      <c r="AE2169" s="261"/>
      <c r="AF2169" s="261"/>
      <c r="AG2169" s="261"/>
    </row>
    <row r="2170" ht="34.5" hidden="1" customHeight="1">
      <c r="A2170" s="111"/>
      <c r="B2170" s="127"/>
      <c r="C2170" s="111"/>
      <c r="D2170" s="111"/>
      <c r="E2170" s="111"/>
      <c r="F2170" s="111"/>
      <c r="G2170" s="111"/>
      <c r="H2170" s="111"/>
      <c r="I2170" s="127"/>
      <c r="J2170" s="111"/>
      <c r="K2170" s="111"/>
      <c r="L2170" s="111"/>
      <c r="M2170" s="127"/>
      <c r="N2170" s="270"/>
      <c r="O2170" s="111"/>
      <c r="P2170" s="111"/>
      <c r="Q2170" s="127"/>
      <c r="R2170" s="124"/>
      <c r="S2170" s="125"/>
      <c r="T2170" s="125"/>
      <c r="U2170" s="125"/>
      <c r="V2170" s="125"/>
      <c r="W2170" s="125"/>
      <c r="X2170" s="125"/>
      <c r="Y2170" s="125"/>
      <c r="Z2170" s="127"/>
      <c r="AA2170" s="127"/>
      <c r="AB2170" s="127"/>
      <c r="AC2170" s="127"/>
      <c r="AD2170" s="261"/>
      <c r="AE2170" s="261"/>
      <c r="AF2170" s="261"/>
      <c r="AG2170" s="261"/>
    </row>
    <row r="2171" ht="34.5" hidden="1" customHeight="1">
      <c r="A2171" s="111"/>
      <c r="B2171" s="127"/>
      <c r="C2171" s="111"/>
      <c r="D2171" s="111"/>
      <c r="E2171" s="111"/>
      <c r="F2171" s="111"/>
      <c r="G2171" s="111"/>
      <c r="H2171" s="111"/>
      <c r="I2171" s="127"/>
      <c r="J2171" s="111"/>
      <c r="K2171" s="111"/>
      <c r="L2171" s="111"/>
      <c r="M2171" s="127"/>
      <c r="N2171" s="270"/>
      <c r="O2171" s="111"/>
      <c r="P2171" s="111"/>
      <c r="Q2171" s="127"/>
      <c r="R2171" s="124"/>
      <c r="S2171" s="125"/>
      <c r="T2171" s="125"/>
      <c r="U2171" s="125"/>
      <c r="V2171" s="125"/>
      <c r="W2171" s="125"/>
      <c r="X2171" s="125"/>
      <c r="Y2171" s="125"/>
      <c r="Z2171" s="127"/>
      <c r="AA2171" s="127"/>
      <c r="AB2171" s="127"/>
      <c r="AC2171" s="127"/>
      <c r="AD2171" s="261"/>
      <c r="AE2171" s="261"/>
      <c r="AF2171" s="261"/>
      <c r="AG2171" s="261"/>
    </row>
    <row r="2172" ht="34.5" hidden="1" customHeight="1">
      <c r="A2172" s="111"/>
      <c r="B2172" s="127"/>
      <c r="C2172" s="111"/>
      <c r="D2172" s="111"/>
      <c r="E2172" s="111"/>
      <c r="F2172" s="111"/>
      <c r="G2172" s="111"/>
      <c r="H2172" s="111"/>
      <c r="I2172" s="127"/>
      <c r="J2172" s="111"/>
      <c r="K2172" s="111"/>
      <c r="L2172" s="111"/>
      <c r="M2172" s="127"/>
      <c r="N2172" s="270"/>
      <c r="O2172" s="111"/>
      <c r="P2172" s="111"/>
      <c r="Q2172" s="127"/>
      <c r="R2172" s="124"/>
      <c r="S2172" s="125"/>
      <c r="T2172" s="125"/>
      <c r="U2172" s="125"/>
      <c r="V2172" s="125"/>
      <c r="W2172" s="125"/>
      <c r="X2172" s="125"/>
      <c r="Y2172" s="125"/>
      <c r="Z2172" s="127"/>
      <c r="AA2172" s="127"/>
      <c r="AB2172" s="127"/>
      <c r="AC2172" s="127"/>
      <c r="AD2172" s="261"/>
      <c r="AE2172" s="261"/>
      <c r="AF2172" s="261"/>
      <c r="AG2172" s="261"/>
    </row>
    <row r="2173" ht="34.5" hidden="1" customHeight="1">
      <c r="A2173" s="111"/>
      <c r="B2173" s="127"/>
      <c r="C2173" s="111"/>
      <c r="D2173" s="111"/>
      <c r="E2173" s="111"/>
      <c r="F2173" s="111"/>
      <c r="G2173" s="111"/>
      <c r="H2173" s="111"/>
      <c r="I2173" s="127"/>
      <c r="J2173" s="111"/>
      <c r="K2173" s="111"/>
      <c r="L2173" s="111"/>
      <c r="M2173" s="127"/>
      <c r="N2173" s="270"/>
      <c r="O2173" s="111"/>
      <c r="P2173" s="111"/>
      <c r="Q2173" s="127"/>
      <c r="R2173" s="124"/>
      <c r="S2173" s="125"/>
      <c r="T2173" s="125"/>
      <c r="U2173" s="125"/>
      <c r="V2173" s="125"/>
      <c r="W2173" s="125"/>
      <c r="X2173" s="125"/>
      <c r="Y2173" s="125"/>
      <c r="Z2173" s="127"/>
      <c r="AA2173" s="127"/>
      <c r="AB2173" s="127"/>
      <c r="AC2173" s="127"/>
      <c r="AD2173" s="261"/>
      <c r="AE2173" s="261"/>
      <c r="AF2173" s="261"/>
      <c r="AG2173" s="261"/>
    </row>
    <row r="2174" ht="34.5" hidden="1" customHeight="1">
      <c r="A2174" s="111"/>
      <c r="B2174" s="127"/>
      <c r="C2174" s="111"/>
      <c r="D2174" s="111"/>
      <c r="E2174" s="111"/>
      <c r="F2174" s="111"/>
      <c r="G2174" s="111"/>
      <c r="H2174" s="111"/>
      <c r="I2174" s="127"/>
      <c r="J2174" s="111"/>
      <c r="K2174" s="111"/>
      <c r="L2174" s="111"/>
      <c r="M2174" s="127"/>
      <c r="N2174" s="270"/>
      <c r="O2174" s="111"/>
      <c r="P2174" s="111"/>
      <c r="Q2174" s="127"/>
      <c r="R2174" s="124"/>
      <c r="S2174" s="125"/>
      <c r="T2174" s="125"/>
      <c r="U2174" s="125"/>
      <c r="V2174" s="125"/>
      <c r="W2174" s="125"/>
      <c r="X2174" s="125"/>
      <c r="Y2174" s="125"/>
      <c r="Z2174" s="127"/>
      <c r="AA2174" s="127"/>
      <c r="AB2174" s="127"/>
      <c r="AC2174" s="127"/>
      <c r="AD2174" s="261"/>
      <c r="AE2174" s="261"/>
      <c r="AF2174" s="261"/>
      <c r="AG2174" s="261"/>
    </row>
    <row r="2175" ht="34.5" hidden="1" customHeight="1">
      <c r="A2175" s="111"/>
      <c r="B2175" s="127"/>
      <c r="C2175" s="111"/>
      <c r="D2175" s="111"/>
      <c r="E2175" s="111"/>
      <c r="F2175" s="111"/>
      <c r="G2175" s="111"/>
      <c r="H2175" s="111"/>
      <c r="I2175" s="127"/>
      <c r="J2175" s="111"/>
      <c r="K2175" s="111"/>
      <c r="L2175" s="111"/>
      <c r="M2175" s="127"/>
      <c r="N2175" s="270"/>
      <c r="O2175" s="111"/>
      <c r="P2175" s="111"/>
      <c r="Q2175" s="127"/>
      <c r="R2175" s="124"/>
      <c r="S2175" s="125"/>
      <c r="T2175" s="125"/>
      <c r="U2175" s="125"/>
      <c r="V2175" s="125"/>
      <c r="W2175" s="125"/>
      <c r="X2175" s="125"/>
      <c r="Y2175" s="125"/>
      <c r="Z2175" s="127"/>
      <c r="AA2175" s="127"/>
      <c r="AB2175" s="127"/>
      <c r="AC2175" s="127"/>
      <c r="AD2175" s="261"/>
      <c r="AE2175" s="261"/>
      <c r="AF2175" s="261"/>
      <c r="AG2175" s="261"/>
    </row>
    <row r="2176" ht="34.5" hidden="1" customHeight="1">
      <c r="A2176" s="111"/>
      <c r="B2176" s="127"/>
      <c r="C2176" s="111"/>
      <c r="D2176" s="111"/>
      <c r="E2176" s="111"/>
      <c r="F2176" s="111"/>
      <c r="G2176" s="111"/>
      <c r="H2176" s="111"/>
      <c r="I2176" s="127"/>
      <c r="J2176" s="111"/>
      <c r="K2176" s="111"/>
      <c r="L2176" s="111"/>
      <c r="M2176" s="127"/>
      <c r="N2176" s="270"/>
      <c r="O2176" s="111"/>
      <c r="P2176" s="111"/>
      <c r="Q2176" s="127"/>
      <c r="R2176" s="124"/>
      <c r="S2176" s="125"/>
      <c r="T2176" s="125"/>
      <c r="U2176" s="125"/>
      <c r="V2176" s="125"/>
      <c r="W2176" s="125"/>
      <c r="X2176" s="125"/>
      <c r="Y2176" s="125"/>
      <c r="Z2176" s="127"/>
      <c r="AA2176" s="127"/>
      <c r="AB2176" s="127"/>
      <c r="AC2176" s="127"/>
      <c r="AD2176" s="261"/>
      <c r="AE2176" s="261"/>
      <c r="AF2176" s="261"/>
      <c r="AG2176" s="261"/>
    </row>
    <row r="2177" ht="34.5" hidden="1" customHeight="1">
      <c r="A2177" s="111"/>
      <c r="B2177" s="127"/>
      <c r="C2177" s="111"/>
      <c r="D2177" s="111"/>
      <c r="E2177" s="111"/>
      <c r="F2177" s="111"/>
      <c r="G2177" s="111"/>
      <c r="H2177" s="111"/>
      <c r="I2177" s="127"/>
      <c r="J2177" s="111"/>
      <c r="K2177" s="111"/>
      <c r="L2177" s="111"/>
      <c r="M2177" s="127"/>
      <c r="N2177" s="270"/>
      <c r="O2177" s="111"/>
      <c r="P2177" s="111"/>
      <c r="Q2177" s="127"/>
      <c r="R2177" s="124"/>
      <c r="S2177" s="125"/>
      <c r="T2177" s="125"/>
      <c r="U2177" s="125"/>
      <c r="V2177" s="125"/>
      <c r="W2177" s="125"/>
      <c r="X2177" s="125"/>
      <c r="Y2177" s="125"/>
      <c r="Z2177" s="127"/>
      <c r="AA2177" s="127"/>
      <c r="AB2177" s="127"/>
      <c r="AC2177" s="127"/>
      <c r="AD2177" s="261"/>
      <c r="AE2177" s="261"/>
      <c r="AF2177" s="261"/>
      <c r="AG2177" s="261"/>
    </row>
    <row r="2178" ht="34.5" hidden="1" customHeight="1">
      <c r="A2178" s="111"/>
      <c r="B2178" s="127"/>
      <c r="C2178" s="111"/>
      <c r="D2178" s="111"/>
      <c r="E2178" s="111"/>
      <c r="F2178" s="111"/>
      <c r="G2178" s="111"/>
      <c r="H2178" s="111"/>
      <c r="I2178" s="127"/>
      <c r="J2178" s="111"/>
      <c r="K2178" s="111"/>
      <c r="L2178" s="111"/>
      <c r="M2178" s="127"/>
      <c r="N2178" s="270"/>
      <c r="O2178" s="111"/>
      <c r="P2178" s="111"/>
      <c r="Q2178" s="127"/>
      <c r="R2178" s="124"/>
      <c r="S2178" s="125"/>
      <c r="T2178" s="125"/>
      <c r="U2178" s="125"/>
      <c r="V2178" s="125"/>
      <c r="W2178" s="125"/>
      <c r="X2178" s="125"/>
      <c r="Y2178" s="125"/>
      <c r="Z2178" s="127"/>
      <c r="AA2178" s="127"/>
      <c r="AB2178" s="127"/>
      <c r="AC2178" s="127"/>
      <c r="AD2178" s="261"/>
      <c r="AE2178" s="261"/>
      <c r="AF2178" s="261"/>
      <c r="AG2178" s="261"/>
    </row>
    <row r="2179" ht="34.5" hidden="1" customHeight="1">
      <c r="A2179" s="111"/>
      <c r="B2179" s="127"/>
      <c r="C2179" s="111"/>
      <c r="D2179" s="111"/>
      <c r="E2179" s="111"/>
      <c r="F2179" s="111"/>
      <c r="G2179" s="111"/>
      <c r="H2179" s="111"/>
      <c r="I2179" s="127"/>
      <c r="J2179" s="111"/>
      <c r="K2179" s="111"/>
      <c r="L2179" s="111"/>
      <c r="M2179" s="127"/>
      <c r="N2179" s="270"/>
      <c r="O2179" s="111"/>
      <c r="P2179" s="111"/>
      <c r="Q2179" s="127"/>
      <c r="R2179" s="124"/>
      <c r="S2179" s="125"/>
      <c r="T2179" s="125"/>
      <c r="U2179" s="125"/>
      <c r="V2179" s="125"/>
      <c r="W2179" s="125"/>
      <c r="X2179" s="125"/>
      <c r="Y2179" s="125"/>
      <c r="Z2179" s="127"/>
      <c r="AA2179" s="127"/>
      <c r="AB2179" s="127"/>
      <c r="AC2179" s="127"/>
      <c r="AD2179" s="261"/>
      <c r="AE2179" s="261"/>
      <c r="AF2179" s="261"/>
      <c r="AG2179" s="261"/>
    </row>
    <row r="2180" ht="34.5" hidden="1" customHeight="1">
      <c r="A2180" s="111"/>
      <c r="B2180" s="127"/>
      <c r="C2180" s="111"/>
      <c r="D2180" s="111"/>
      <c r="E2180" s="111"/>
      <c r="F2180" s="111"/>
      <c r="G2180" s="111"/>
      <c r="H2180" s="111"/>
      <c r="I2180" s="127"/>
      <c r="J2180" s="111"/>
      <c r="K2180" s="111"/>
      <c r="L2180" s="111"/>
      <c r="M2180" s="127"/>
      <c r="N2180" s="270"/>
      <c r="O2180" s="111"/>
      <c r="P2180" s="111"/>
      <c r="Q2180" s="127"/>
      <c r="R2180" s="124"/>
      <c r="S2180" s="125"/>
      <c r="T2180" s="125"/>
      <c r="U2180" s="125"/>
      <c r="V2180" s="125"/>
      <c r="W2180" s="125"/>
      <c r="X2180" s="125"/>
      <c r="Y2180" s="125"/>
      <c r="Z2180" s="127"/>
      <c r="AA2180" s="127"/>
      <c r="AB2180" s="127"/>
      <c r="AC2180" s="127"/>
      <c r="AD2180" s="261"/>
      <c r="AE2180" s="261"/>
      <c r="AF2180" s="261"/>
      <c r="AG2180" s="261"/>
    </row>
    <row r="2181" ht="34.5" hidden="1" customHeight="1">
      <c r="A2181" s="111"/>
      <c r="B2181" s="127"/>
      <c r="C2181" s="111"/>
      <c r="D2181" s="111"/>
      <c r="E2181" s="111"/>
      <c r="F2181" s="111"/>
      <c r="G2181" s="111"/>
      <c r="H2181" s="111"/>
      <c r="I2181" s="127"/>
      <c r="J2181" s="111"/>
      <c r="K2181" s="111"/>
      <c r="L2181" s="111"/>
      <c r="M2181" s="127"/>
      <c r="N2181" s="270"/>
      <c r="O2181" s="111"/>
      <c r="P2181" s="111"/>
      <c r="Q2181" s="127"/>
      <c r="R2181" s="124"/>
      <c r="S2181" s="125"/>
      <c r="T2181" s="125"/>
      <c r="U2181" s="125"/>
      <c r="V2181" s="125"/>
      <c r="W2181" s="125"/>
      <c r="X2181" s="125"/>
      <c r="Y2181" s="125"/>
      <c r="Z2181" s="127"/>
      <c r="AA2181" s="127"/>
      <c r="AB2181" s="127"/>
      <c r="AC2181" s="127"/>
      <c r="AD2181" s="261"/>
      <c r="AE2181" s="261"/>
      <c r="AF2181" s="261"/>
      <c r="AG2181" s="261"/>
    </row>
    <row r="2182" ht="34.5" hidden="1" customHeight="1">
      <c r="A2182" s="111"/>
      <c r="B2182" s="127"/>
      <c r="C2182" s="111"/>
      <c r="D2182" s="111"/>
      <c r="E2182" s="111"/>
      <c r="F2182" s="111"/>
      <c r="G2182" s="111"/>
      <c r="H2182" s="111"/>
      <c r="I2182" s="127"/>
      <c r="J2182" s="111"/>
      <c r="K2182" s="111"/>
      <c r="L2182" s="111"/>
      <c r="M2182" s="127"/>
      <c r="N2182" s="270"/>
      <c r="O2182" s="111"/>
      <c r="P2182" s="111"/>
      <c r="Q2182" s="127"/>
      <c r="R2182" s="124"/>
      <c r="S2182" s="125"/>
      <c r="T2182" s="125"/>
      <c r="U2182" s="125"/>
      <c r="V2182" s="125"/>
      <c r="W2182" s="125"/>
      <c r="X2182" s="125"/>
      <c r="Y2182" s="125"/>
      <c r="Z2182" s="127"/>
      <c r="AA2182" s="127"/>
      <c r="AB2182" s="127"/>
      <c r="AC2182" s="127"/>
      <c r="AD2182" s="261"/>
      <c r="AE2182" s="261"/>
      <c r="AF2182" s="261"/>
      <c r="AG2182" s="261"/>
    </row>
    <row r="2183" ht="34.5" hidden="1" customHeight="1">
      <c r="A2183" s="111"/>
      <c r="B2183" s="127"/>
      <c r="C2183" s="111"/>
      <c r="D2183" s="111"/>
      <c r="E2183" s="111"/>
      <c r="F2183" s="111"/>
      <c r="G2183" s="111"/>
      <c r="H2183" s="111"/>
      <c r="I2183" s="127"/>
      <c r="J2183" s="111"/>
      <c r="K2183" s="111"/>
      <c r="L2183" s="111"/>
      <c r="M2183" s="127"/>
      <c r="N2183" s="270"/>
      <c r="O2183" s="111"/>
      <c r="P2183" s="111"/>
      <c r="Q2183" s="127"/>
      <c r="R2183" s="124"/>
      <c r="S2183" s="125"/>
      <c r="T2183" s="125"/>
      <c r="U2183" s="125"/>
      <c r="V2183" s="125"/>
      <c r="W2183" s="125"/>
      <c r="X2183" s="125"/>
      <c r="Y2183" s="125"/>
      <c r="Z2183" s="127"/>
      <c r="AA2183" s="127"/>
      <c r="AB2183" s="127"/>
      <c r="AC2183" s="127"/>
      <c r="AD2183" s="261"/>
      <c r="AE2183" s="261"/>
      <c r="AF2183" s="261"/>
      <c r="AG2183" s="261"/>
    </row>
    <row r="2184" ht="34.5" hidden="1" customHeight="1">
      <c r="A2184" s="111"/>
      <c r="B2184" s="127"/>
      <c r="C2184" s="111"/>
      <c r="D2184" s="111"/>
      <c r="E2184" s="111"/>
      <c r="F2184" s="111"/>
      <c r="G2184" s="111"/>
      <c r="H2184" s="111"/>
      <c r="I2184" s="127"/>
      <c r="J2184" s="111"/>
      <c r="K2184" s="111"/>
      <c r="L2184" s="111"/>
      <c r="M2184" s="127"/>
      <c r="N2184" s="270"/>
      <c r="O2184" s="111"/>
      <c r="P2184" s="111"/>
      <c r="Q2184" s="127"/>
      <c r="R2184" s="124"/>
      <c r="S2184" s="125"/>
      <c r="T2184" s="125"/>
      <c r="U2184" s="125"/>
      <c r="V2184" s="125"/>
      <c r="W2184" s="125"/>
      <c r="X2184" s="125"/>
      <c r="Y2184" s="125"/>
      <c r="Z2184" s="127"/>
      <c r="AA2184" s="127"/>
      <c r="AB2184" s="127"/>
      <c r="AC2184" s="127"/>
      <c r="AD2184" s="261"/>
      <c r="AE2184" s="261"/>
      <c r="AF2184" s="261"/>
      <c r="AG2184" s="261"/>
    </row>
    <row r="2185" ht="34.5" hidden="1" customHeight="1">
      <c r="A2185" s="111"/>
      <c r="B2185" s="127"/>
      <c r="C2185" s="111"/>
      <c r="D2185" s="111"/>
      <c r="E2185" s="111"/>
      <c r="F2185" s="111"/>
      <c r="G2185" s="111"/>
      <c r="H2185" s="111"/>
      <c r="I2185" s="127"/>
      <c r="J2185" s="111"/>
      <c r="K2185" s="111"/>
      <c r="L2185" s="111"/>
      <c r="M2185" s="127"/>
      <c r="N2185" s="270"/>
      <c r="O2185" s="111"/>
      <c r="P2185" s="111"/>
      <c r="Q2185" s="127"/>
      <c r="R2185" s="124"/>
      <c r="S2185" s="125"/>
      <c r="T2185" s="125"/>
      <c r="U2185" s="125"/>
      <c r="V2185" s="125"/>
      <c r="W2185" s="125"/>
      <c r="X2185" s="125"/>
      <c r="Y2185" s="125"/>
      <c r="Z2185" s="127"/>
      <c r="AA2185" s="127"/>
      <c r="AB2185" s="127"/>
      <c r="AC2185" s="127"/>
      <c r="AD2185" s="261"/>
      <c r="AE2185" s="261"/>
      <c r="AF2185" s="261"/>
      <c r="AG2185" s="261"/>
    </row>
    <row r="2186" ht="34.5" hidden="1" customHeight="1">
      <c r="A2186" s="111"/>
      <c r="B2186" s="127"/>
      <c r="C2186" s="111"/>
      <c r="D2186" s="111"/>
      <c r="E2186" s="111"/>
      <c r="F2186" s="111"/>
      <c r="G2186" s="111"/>
      <c r="H2186" s="111"/>
      <c r="I2186" s="127"/>
      <c r="J2186" s="111"/>
      <c r="K2186" s="111"/>
      <c r="L2186" s="111"/>
      <c r="M2186" s="127"/>
      <c r="N2186" s="270"/>
      <c r="O2186" s="111"/>
      <c r="P2186" s="111"/>
      <c r="Q2186" s="127"/>
      <c r="R2186" s="124"/>
      <c r="S2186" s="125"/>
      <c r="T2186" s="125"/>
      <c r="U2186" s="125"/>
      <c r="V2186" s="125"/>
      <c r="W2186" s="125"/>
      <c r="X2186" s="125"/>
      <c r="Y2186" s="125"/>
      <c r="Z2186" s="127"/>
      <c r="AA2186" s="127"/>
      <c r="AB2186" s="127"/>
      <c r="AC2186" s="127"/>
      <c r="AD2186" s="261"/>
      <c r="AE2186" s="261"/>
      <c r="AF2186" s="261"/>
      <c r="AG2186" s="261"/>
    </row>
    <row r="2187" ht="34.5" hidden="1" customHeight="1">
      <c r="A2187" s="111"/>
      <c r="B2187" s="127"/>
      <c r="C2187" s="111"/>
      <c r="D2187" s="111"/>
      <c r="E2187" s="111"/>
      <c r="F2187" s="111"/>
      <c r="G2187" s="111"/>
      <c r="H2187" s="111"/>
      <c r="I2187" s="127"/>
      <c r="J2187" s="111"/>
      <c r="K2187" s="111"/>
      <c r="L2187" s="111"/>
      <c r="M2187" s="127"/>
      <c r="N2187" s="270"/>
      <c r="O2187" s="111"/>
      <c r="P2187" s="111"/>
      <c r="Q2187" s="127"/>
      <c r="R2187" s="124"/>
      <c r="S2187" s="125"/>
      <c r="T2187" s="125"/>
      <c r="U2187" s="125"/>
      <c r="V2187" s="125"/>
      <c r="W2187" s="125"/>
      <c r="X2187" s="125"/>
      <c r="Y2187" s="125"/>
      <c r="Z2187" s="127"/>
      <c r="AA2187" s="127"/>
      <c r="AB2187" s="127"/>
      <c r="AC2187" s="127"/>
      <c r="AD2187" s="261"/>
      <c r="AE2187" s="261"/>
      <c r="AF2187" s="261"/>
      <c r="AG2187" s="261"/>
    </row>
    <row r="2188" ht="34.5" hidden="1" customHeight="1">
      <c r="A2188" s="111"/>
      <c r="B2188" s="127"/>
      <c r="C2188" s="111"/>
      <c r="D2188" s="111"/>
      <c r="E2188" s="111"/>
      <c r="F2188" s="111"/>
      <c r="G2188" s="111"/>
      <c r="H2188" s="111"/>
      <c r="I2188" s="127"/>
      <c r="J2188" s="111"/>
      <c r="K2188" s="111"/>
      <c r="L2188" s="111"/>
      <c r="M2188" s="127"/>
      <c r="N2188" s="270"/>
      <c r="O2188" s="111"/>
      <c r="P2188" s="111"/>
      <c r="Q2188" s="127"/>
      <c r="R2188" s="124"/>
      <c r="S2188" s="125"/>
      <c r="T2188" s="125"/>
      <c r="U2188" s="125"/>
      <c r="V2188" s="125"/>
      <c r="W2188" s="125"/>
      <c r="X2188" s="125"/>
      <c r="Y2188" s="125"/>
      <c r="Z2188" s="127"/>
      <c r="AA2188" s="127"/>
      <c r="AB2188" s="127"/>
      <c r="AC2188" s="127"/>
      <c r="AD2188" s="261"/>
      <c r="AE2188" s="261"/>
      <c r="AF2188" s="261"/>
      <c r="AG2188" s="261"/>
    </row>
    <row r="2189" ht="34.5" hidden="1" customHeight="1">
      <c r="A2189" s="111"/>
      <c r="B2189" s="127"/>
      <c r="C2189" s="111"/>
      <c r="D2189" s="111"/>
      <c r="E2189" s="111"/>
      <c r="F2189" s="111"/>
      <c r="G2189" s="111"/>
      <c r="H2189" s="111"/>
      <c r="I2189" s="127"/>
      <c r="J2189" s="111"/>
      <c r="K2189" s="111"/>
      <c r="L2189" s="111"/>
      <c r="M2189" s="127"/>
      <c r="N2189" s="270"/>
      <c r="O2189" s="111"/>
      <c r="P2189" s="111"/>
      <c r="Q2189" s="127"/>
      <c r="R2189" s="124"/>
      <c r="S2189" s="125"/>
      <c r="T2189" s="125"/>
      <c r="U2189" s="125"/>
      <c r="V2189" s="125"/>
      <c r="W2189" s="125"/>
      <c r="X2189" s="125"/>
      <c r="Y2189" s="125"/>
      <c r="Z2189" s="127"/>
      <c r="AA2189" s="127"/>
      <c r="AB2189" s="127"/>
      <c r="AC2189" s="127"/>
      <c r="AD2189" s="261"/>
      <c r="AE2189" s="261"/>
      <c r="AF2189" s="261"/>
      <c r="AG2189" s="261"/>
    </row>
    <row r="2190" ht="34.5" hidden="1" customHeight="1">
      <c r="A2190" s="111"/>
      <c r="B2190" s="127"/>
      <c r="C2190" s="111"/>
      <c r="D2190" s="111"/>
      <c r="E2190" s="111"/>
      <c r="F2190" s="111"/>
      <c r="G2190" s="111"/>
      <c r="H2190" s="111"/>
      <c r="I2190" s="127"/>
      <c r="J2190" s="111"/>
      <c r="K2190" s="111"/>
      <c r="L2190" s="111"/>
      <c r="M2190" s="127"/>
      <c r="N2190" s="270"/>
      <c r="O2190" s="111"/>
      <c r="P2190" s="111"/>
      <c r="Q2190" s="127"/>
      <c r="R2190" s="124"/>
      <c r="S2190" s="125"/>
      <c r="T2190" s="125"/>
      <c r="U2190" s="125"/>
      <c r="V2190" s="125"/>
      <c r="W2190" s="125"/>
      <c r="X2190" s="125"/>
      <c r="Y2190" s="125"/>
      <c r="Z2190" s="127"/>
      <c r="AA2190" s="127"/>
      <c r="AB2190" s="127"/>
      <c r="AC2190" s="127"/>
      <c r="AD2190" s="261"/>
      <c r="AE2190" s="261"/>
      <c r="AF2190" s="261"/>
      <c r="AG2190" s="261"/>
    </row>
    <row r="2191" ht="34.5" hidden="1" customHeight="1">
      <c r="A2191" s="111"/>
      <c r="B2191" s="127"/>
      <c r="C2191" s="111"/>
      <c r="D2191" s="111"/>
      <c r="E2191" s="111"/>
      <c r="F2191" s="111"/>
      <c r="G2191" s="111"/>
      <c r="H2191" s="111"/>
      <c r="I2191" s="127"/>
      <c r="J2191" s="111"/>
      <c r="K2191" s="111"/>
      <c r="L2191" s="111"/>
      <c r="M2191" s="127"/>
      <c r="N2191" s="270"/>
      <c r="O2191" s="111"/>
      <c r="P2191" s="111"/>
      <c r="Q2191" s="127"/>
      <c r="R2191" s="124"/>
      <c r="S2191" s="125"/>
      <c r="T2191" s="125"/>
      <c r="U2191" s="125"/>
      <c r="V2191" s="125"/>
      <c r="W2191" s="125"/>
      <c r="X2191" s="125"/>
      <c r="Y2191" s="125"/>
      <c r="Z2191" s="127"/>
      <c r="AA2191" s="127"/>
      <c r="AB2191" s="127"/>
      <c r="AC2191" s="127"/>
      <c r="AD2191" s="261"/>
      <c r="AE2191" s="261"/>
      <c r="AF2191" s="261"/>
      <c r="AG2191" s="261"/>
    </row>
    <row r="2192" ht="34.5" hidden="1" customHeight="1">
      <c r="A2192" s="111"/>
      <c r="B2192" s="127"/>
      <c r="C2192" s="111"/>
      <c r="D2192" s="111"/>
      <c r="E2192" s="111"/>
      <c r="F2192" s="111"/>
      <c r="G2192" s="111"/>
      <c r="H2192" s="111"/>
      <c r="I2192" s="127"/>
      <c r="J2192" s="111"/>
      <c r="K2192" s="111"/>
      <c r="L2192" s="111"/>
      <c r="M2192" s="127"/>
      <c r="N2192" s="270"/>
      <c r="O2192" s="111"/>
      <c r="P2192" s="111"/>
      <c r="Q2192" s="127"/>
      <c r="R2192" s="124"/>
      <c r="S2192" s="125"/>
      <c r="T2192" s="125"/>
      <c r="U2192" s="125"/>
      <c r="V2192" s="125"/>
      <c r="W2192" s="125"/>
      <c r="X2192" s="125"/>
      <c r="Y2192" s="125"/>
      <c r="Z2192" s="127"/>
      <c r="AA2192" s="127"/>
      <c r="AB2192" s="127"/>
      <c r="AC2192" s="127"/>
      <c r="AD2192" s="261"/>
      <c r="AE2192" s="261"/>
      <c r="AF2192" s="261"/>
      <c r="AG2192" s="261"/>
    </row>
    <row r="2193" ht="34.5" hidden="1" customHeight="1">
      <c r="A2193" s="111"/>
      <c r="B2193" s="127"/>
      <c r="C2193" s="111"/>
      <c r="D2193" s="111"/>
      <c r="E2193" s="111"/>
      <c r="F2193" s="111"/>
      <c r="G2193" s="111"/>
      <c r="H2193" s="111"/>
      <c r="I2193" s="127"/>
      <c r="J2193" s="111"/>
      <c r="K2193" s="111"/>
      <c r="L2193" s="111"/>
      <c r="M2193" s="127"/>
      <c r="N2193" s="270"/>
      <c r="O2193" s="111"/>
      <c r="P2193" s="111"/>
      <c r="Q2193" s="127"/>
      <c r="R2193" s="124"/>
      <c r="S2193" s="125"/>
      <c r="T2193" s="125"/>
      <c r="U2193" s="125"/>
      <c r="V2193" s="125"/>
      <c r="W2193" s="125"/>
      <c r="X2193" s="125"/>
      <c r="Y2193" s="125"/>
      <c r="Z2193" s="127"/>
      <c r="AA2193" s="127"/>
      <c r="AB2193" s="127"/>
      <c r="AC2193" s="127"/>
      <c r="AD2193" s="261"/>
      <c r="AE2193" s="261"/>
      <c r="AF2193" s="261"/>
      <c r="AG2193" s="261"/>
    </row>
    <row r="2194" ht="34.5" hidden="1" customHeight="1">
      <c r="A2194" s="111"/>
      <c r="B2194" s="127"/>
      <c r="C2194" s="111"/>
      <c r="D2194" s="111"/>
      <c r="E2194" s="111"/>
      <c r="F2194" s="111"/>
      <c r="G2194" s="111"/>
      <c r="H2194" s="111"/>
      <c r="I2194" s="127"/>
      <c r="J2194" s="111"/>
      <c r="K2194" s="111"/>
      <c r="L2194" s="111"/>
      <c r="M2194" s="127"/>
      <c r="N2194" s="270"/>
      <c r="O2194" s="111"/>
      <c r="P2194" s="111"/>
      <c r="Q2194" s="127"/>
      <c r="R2194" s="124"/>
      <c r="S2194" s="125"/>
      <c r="T2194" s="125"/>
      <c r="U2194" s="125"/>
      <c r="V2194" s="125"/>
      <c r="W2194" s="125"/>
      <c r="X2194" s="125"/>
      <c r="Y2194" s="125"/>
      <c r="Z2194" s="127"/>
      <c r="AA2194" s="127"/>
      <c r="AB2194" s="127"/>
      <c r="AC2194" s="127"/>
      <c r="AD2194" s="261"/>
      <c r="AE2194" s="261"/>
      <c r="AF2194" s="261"/>
      <c r="AG2194" s="261"/>
    </row>
    <row r="2195" ht="34.5" hidden="1" customHeight="1">
      <c r="A2195" s="111"/>
      <c r="B2195" s="127"/>
      <c r="C2195" s="111"/>
      <c r="D2195" s="111"/>
      <c r="E2195" s="111"/>
      <c r="F2195" s="111"/>
      <c r="G2195" s="111"/>
      <c r="H2195" s="111"/>
      <c r="I2195" s="127"/>
      <c r="J2195" s="111"/>
      <c r="K2195" s="111"/>
      <c r="L2195" s="111"/>
      <c r="M2195" s="127"/>
      <c r="N2195" s="270"/>
      <c r="O2195" s="111"/>
      <c r="P2195" s="111"/>
      <c r="Q2195" s="127"/>
      <c r="R2195" s="124"/>
      <c r="S2195" s="125"/>
      <c r="T2195" s="125"/>
      <c r="U2195" s="125"/>
      <c r="V2195" s="125"/>
      <c r="W2195" s="125"/>
      <c r="X2195" s="125"/>
      <c r="Y2195" s="125"/>
      <c r="Z2195" s="127"/>
      <c r="AA2195" s="127"/>
      <c r="AB2195" s="127"/>
      <c r="AC2195" s="127"/>
      <c r="AD2195" s="261"/>
      <c r="AE2195" s="261"/>
      <c r="AF2195" s="261"/>
      <c r="AG2195" s="261"/>
    </row>
    <row r="2196" ht="34.5" hidden="1" customHeight="1">
      <c r="A2196" s="111"/>
      <c r="B2196" s="127"/>
      <c r="C2196" s="111"/>
      <c r="D2196" s="111"/>
      <c r="E2196" s="111"/>
      <c r="F2196" s="111"/>
      <c r="G2196" s="111"/>
      <c r="H2196" s="111"/>
      <c r="I2196" s="127"/>
      <c r="J2196" s="111"/>
      <c r="K2196" s="111"/>
      <c r="L2196" s="111"/>
      <c r="M2196" s="127"/>
      <c r="N2196" s="270"/>
      <c r="O2196" s="111"/>
      <c r="P2196" s="111"/>
      <c r="Q2196" s="127"/>
      <c r="R2196" s="124"/>
      <c r="S2196" s="125"/>
      <c r="T2196" s="125"/>
      <c r="U2196" s="125"/>
      <c r="V2196" s="125"/>
      <c r="W2196" s="125"/>
      <c r="X2196" s="125"/>
      <c r="Y2196" s="125"/>
      <c r="Z2196" s="127"/>
      <c r="AA2196" s="127"/>
      <c r="AB2196" s="127"/>
      <c r="AC2196" s="127"/>
      <c r="AD2196" s="261"/>
      <c r="AE2196" s="261"/>
      <c r="AF2196" s="261"/>
      <c r="AG2196" s="261"/>
    </row>
    <row r="2197" ht="34.5" hidden="1" customHeight="1">
      <c r="A2197" s="111"/>
      <c r="B2197" s="127"/>
      <c r="C2197" s="111"/>
      <c r="D2197" s="111"/>
      <c r="E2197" s="111"/>
      <c r="F2197" s="111"/>
      <c r="G2197" s="111"/>
      <c r="H2197" s="111"/>
      <c r="I2197" s="127"/>
      <c r="J2197" s="111"/>
      <c r="K2197" s="111"/>
      <c r="L2197" s="111"/>
      <c r="M2197" s="127"/>
      <c r="N2197" s="270"/>
      <c r="O2197" s="111"/>
      <c r="P2197" s="111"/>
      <c r="Q2197" s="127"/>
      <c r="R2197" s="124"/>
      <c r="S2197" s="125"/>
      <c r="T2197" s="125"/>
      <c r="U2197" s="125"/>
      <c r="V2197" s="125"/>
      <c r="W2197" s="125"/>
      <c r="X2197" s="125"/>
      <c r="Y2197" s="125"/>
      <c r="Z2197" s="127"/>
      <c r="AA2197" s="127"/>
      <c r="AB2197" s="127"/>
      <c r="AC2197" s="127"/>
      <c r="AD2197" s="261"/>
      <c r="AE2197" s="261"/>
      <c r="AF2197" s="261"/>
      <c r="AG2197" s="261"/>
    </row>
    <row r="2198" ht="34.5" hidden="1" customHeight="1">
      <c r="A2198" s="111"/>
      <c r="B2198" s="127"/>
      <c r="C2198" s="111"/>
      <c r="D2198" s="111"/>
      <c r="E2198" s="111"/>
      <c r="F2198" s="111"/>
      <c r="G2198" s="111"/>
      <c r="H2198" s="111"/>
      <c r="I2198" s="127"/>
      <c r="J2198" s="111"/>
      <c r="K2198" s="111"/>
      <c r="L2198" s="111"/>
      <c r="M2198" s="127"/>
      <c r="N2198" s="270"/>
      <c r="O2198" s="111"/>
      <c r="P2198" s="111"/>
      <c r="Q2198" s="127"/>
      <c r="R2198" s="124"/>
      <c r="S2198" s="125"/>
      <c r="T2198" s="125"/>
      <c r="U2198" s="125"/>
      <c r="V2198" s="125"/>
      <c r="W2198" s="125"/>
      <c r="X2198" s="125"/>
      <c r="Y2198" s="125"/>
      <c r="Z2198" s="127"/>
      <c r="AA2198" s="127"/>
      <c r="AB2198" s="127"/>
      <c r="AC2198" s="127"/>
      <c r="AD2198" s="261"/>
      <c r="AE2198" s="261"/>
      <c r="AF2198" s="261"/>
      <c r="AG2198" s="261"/>
    </row>
    <row r="2199" ht="34.5" hidden="1" customHeight="1">
      <c r="A2199" s="111"/>
      <c r="B2199" s="127"/>
      <c r="C2199" s="111"/>
      <c r="D2199" s="111"/>
      <c r="E2199" s="111"/>
      <c r="F2199" s="111"/>
      <c r="G2199" s="111"/>
      <c r="H2199" s="111"/>
      <c r="I2199" s="127"/>
      <c r="J2199" s="111"/>
      <c r="K2199" s="111"/>
      <c r="L2199" s="111"/>
      <c r="M2199" s="127"/>
      <c r="N2199" s="270"/>
      <c r="O2199" s="111"/>
      <c r="P2199" s="111"/>
      <c r="Q2199" s="127"/>
      <c r="R2199" s="124"/>
      <c r="S2199" s="125"/>
      <c r="T2199" s="125"/>
      <c r="U2199" s="125"/>
      <c r="V2199" s="125"/>
      <c r="W2199" s="125"/>
      <c r="X2199" s="125"/>
      <c r="Y2199" s="125"/>
      <c r="Z2199" s="127"/>
      <c r="AA2199" s="127"/>
      <c r="AB2199" s="127"/>
      <c r="AC2199" s="127"/>
      <c r="AD2199" s="261"/>
      <c r="AE2199" s="261"/>
      <c r="AF2199" s="261"/>
      <c r="AG2199" s="261"/>
    </row>
    <row r="2200" ht="34.5" hidden="1" customHeight="1">
      <c r="A2200" s="111"/>
      <c r="B2200" s="127"/>
      <c r="C2200" s="111"/>
      <c r="D2200" s="111"/>
      <c r="E2200" s="111"/>
      <c r="F2200" s="111"/>
      <c r="G2200" s="111"/>
      <c r="H2200" s="111"/>
      <c r="I2200" s="127"/>
      <c r="J2200" s="111"/>
      <c r="K2200" s="111"/>
      <c r="L2200" s="111"/>
      <c r="M2200" s="127"/>
      <c r="N2200" s="270"/>
      <c r="O2200" s="111"/>
      <c r="P2200" s="111"/>
      <c r="Q2200" s="127"/>
      <c r="R2200" s="124"/>
      <c r="S2200" s="125"/>
      <c r="T2200" s="125"/>
      <c r="U2200" s="125"/>
      <c r="V2200" s="125"/>
      <c r="W2200" s="125"/>
      <c r="X2200" s="125"/>
      <c r="Y2200" s="125"/>
      <c r="Z2200" s="127"/>
      <c r="AA2200" s="127"/>
      <c r="AB2200" s="127"/>
      <c r="AC2200" s="127"/>
      <c r="AD2200" s="261"/>
      <c r="AE2200" s="261"/>
      <c r="AF2200" s="261"/>
      <c r="AG2200" s="261"/>
    </row>
    <row r="2201" ht="34.5" hidden="1" customHeight="1">
      <c r="A2201" s="111"/>
      <c r="B2201" s="127"/>
      <c r="C2201" s="111"/>
      <c r="D2201" s="111"/>
      <c r="E2201" s="111"/>
      <c r="F2201" s="111"/>
      <c r="G2201" s="111"/>
      <c r="H2201" s="111"/>
      <c r="I2201" s="127"/>
      <c r="J2201" s="111"/>
      <c r="K2201" s="111"/>
      <c r="L2201" s="111"/>
      <c r="M2201" s="127"/>
      <c r="N2201" s="270"/>
      <c r="O2201" s="111"/>
      <c r="P2201" s="111"/>
      <c r="Q2201" s="127"/>
      <c r="R2201" s="124"/>
      <c r="S2201" s="125"/>
      <c r="T2201" s="125"/>
      <c r="U2201" s="125"/>
      <c r="V2201" s="125"/>
      <c r="W2201" s="125"/>
      <c r="X2201" s="125"/>
      <c r="Y2201" s="125"/>
      <c r="Z2201" s="127"/>
      <c r="AA2201" s="127"/>
      <c r="AB2201" s="127"/>
      <c r="AC2201" s="127"/>
      <c r="AD2201" s="261"/>
      <c r="AE2201" s="261"/>
      <c r="AF2201" s="261"/>
      <c r="AG2201" s="261"/>
    </row>
    <row r="2202" ht="34.5" hidden="1" customHeight="1">
      <c r="A2202" s="111"/>
      <c r="B2202" s="127"/>
      <c r="C2202" s="111"/>
      <c r="D2202" s="111"/>
      <c r="E2202" s="111"/>
      <c r="F2202" s="111"/>
      <c r="G2202" s="111"/>
      <c r="H2202" s="111"/>
      <c r="I2202" s="127"/>
      <c r="J2202" s="111"/>
      <c r="K2202" s="111"/>
      <c r="L2202" s="111"/>
      <c r="M2202" s="127"/>
      <c r="N2202" s="270"/>
      <c r="O2202" s="111"/>
      <c r="P2202" s="111"/>
      <c r="Q2202" s="127"/>
      <c r="R2202" s="124"/>
      <c r="S2202" s="125"/>
      <c r="T2202" s="125"/>
      <c r="U2202" s="125"/>
      <c r="V2202" s="125"/>
      <c r="W2202" s="125"/>
      <c r="X2202" s="125"/>
      <c r="Y2202" s="125"/>
      <c r="Z2202" s="127"/>
      <c r="AA2202" s="127"/>
      <c r="AB2202" s="127"/>
      <c r="AC2202" s="127"/>
      <c r="AD2202" s="261"/>
      <c r="AE2202" s="261"/>
      <c r="AF2202" s="261"/>
      <c r="AG2202" s="261"/>
    </row>
    <row r="2203" ht="34.5" hidden="1" customHeight="1">
      <c r="A2203" s="111"/>
      <c r="B2203" s="127"/>
      <c r="C2203" s="111"/>
      <c r="D2203" s="111"/>
      <c r="E2203" s="111"/>
      <c r="F2203" s="111"/>
      <c r="G2203" s="111"/>
      <c r="H2203" s="111"/>
      <c r="I2203" s="127"/>
      <c r="J2203" s="111"/>
      <c r="K2203" s="111"/>
      <c r="L2203" s="111"/>
      <c r="M2203" s="127"/>
      <c r="N2203" s="270"/>
      <c r="O2203" s="111"/>
      <c r="P2203" s="111"/>
      <c r="Q2203" s="127"/>
      <c r="R2203" s="124"/>
      <c r="S2203" s="125"/>
      <c r="T2203" s="125"/>
      <c r="U2203" s="125"/>
      <c r="V2203" s="125"/>
      <c r="W2203" s="125"/>
      <c r="X2203" s="125"/>
      <c r="Y2203" s="125"/>
      <c r="Z2203" s="127"/>
      <c r="AA2203" s="127"/>
      <c r="AB2203" s="127"/>
      <c r="AC2203" s="127"/>
      <c r="AD2203" s="261"/>
      <c r="AE2203" s="261"/>
      <c r="AF2203" s="261"/>
      <c r="AG2203" s="261"/>
    </row>
    <row r="2204" ht="34.5" hidden="1" customHeight="1">
      <c r="A2204" s="111"/>
      <c r="B2204" s="127"/>
      <c r="C2204" s="111"/>
      <c r="D2204" s="111"/>
      <c r="E2204" s="111"/>
      <c r="F2204" s="111"/>
      <c r="G2204" s="111"/>
      <c r="H2204" s="111"/>
      <c r="I2204" s="127"/>
      <c r="J2204" s="111"/>
      <c r="K2204" s="111"/>
      <c r="L2204" s="111"/>
      <c r="M2204" s="127"/>
      <c r="N2204" s="270"/>
      <c r="O2204" s="111"/>
      <c r="P2204" s="111"/>
      <c r="Q2204" s="127"/>
      <c r="R2204" s="124"/>
      <c r="S2204" s="125"/>
      <c r="T2204" s="125"/>
      <c r="U2204" s="125"/>
      <c r="V2204" s="125"/>
      <c r="W2204" s="125"/>
      <c r="X2204" s="125"/>
      <c r="Y2204" s="125"/>
      <c r="Z2204" s="127"/>
      <c r="AA2204" s="127"/>
      <c r="AB2204" s="127"/>
      <c r="AC2204" s="127"/>
      <c r="AD2204" s="261"/>
      <c r="AE2204" s="261"/>
      <c r="AF2204" s="261"/>
      <c r="AG2204" s="261"/>
    </row>
    <row r="2205" ht="34.5" hidden="1" customHeight="1">
      <c r="A2205" s="111"/>
      <c r="B2205" s="127"/>
      <c r="C2205" s="111"/>
      <c r="D2205" s="111"/>
      <c r="E2205" s="111"/>
      <c r="F2205" s="111"/>
      <c r="G2205" s="111"/>
      <c r="H2205" s="111"/>
      <c r="I2205" s="127"/>
      <c r="J2205" s="111"/>
      <c r="K2205" s="111"/>
      <c r="L2205" s="111"/>
      <c r="M2205" s="127"/>
      <c r="N2205" s="270"/>
      <c r="O2205" s="111"/>
      <c r="P2205" s="111"/>
      <c r="Q2205" s="127"/>
      <c r="R2205" s="124"/>
      <c r="S2205" s="125"/>
      <c r="T2205" s="125"/>
      <c r="U2205" s="125"/>
      <c r="V2205" s="125"/>
      <c r="W2205" s="125"/>
      <c r="X2205" s="125"/>
      <c r="Y2205" s="125"/>
      <c r="Z2205" s="127"/>
      <c r="AA2205" s="127"/>
      <c r="AB2205" s="127"/>
      <c r="AC2205" s="127"/>
      <c r="AD2205" s="261"/>
      <c r="AE2205" s="261"/>
      <c r="AF2205" s="261"/>
      <c r="AG2205" s="261"/>
    </row>
    <row r="2206" ht="34.5" hidden="1" customHeight="1">
      <c r="A2206" s="111"/>
      <c r="B2206" s="127"/>
      <c r="C2206" s="111"/>
      <c r="D2206" s="111"/>
      <c r="E2206" s="111"/>
      <c r="F2206" s="111"/>
      <c r="G2206" s="111"/>
      <c r="H2206" s="111"/>
      <c r="I2206" s="127"/>
      <c r="J2206" s="111"/>
      <c r="K2206" s="111"/>
      <c r="L2206" s="111"/>
      <c r="M2206" s="127"/>
      <c r="N2206" s="270"/>
      <c r="O2206" s="111"/>
      <c r="P2206" s="111"/>
      <c r="Q2206" s="127"/>
      <c r="R2206" s="124"/>
      <c r="S2206" s="125"/>
      <c r="T2206" s="125"/>
      <c r="U2206" s="125"/>
      <c r="V2206" s="125"/>
      <c r="W2206" s="125"/>
      <c r="X2206" s="125"/>
      <c r="Y2206" s="125"/>
      <c r="Z2206" s="127"/>
      <c r="AA2206" s="127"/>
      <c r="AB2206" s="127"/>
      <c r="AC2206" s="127"/>
      <c r="AD2206" s="261"/>
      <c r="AE2206" s="261"/>
      <c r="AF2206" s="261"/>
      <c r="AG2206" s="261"/>
    </row>
    <row r="2207" ht="34.5" hidden="1" customHeight="1">
      <c r="A2207" s="111"/>
      <c r="B2207" s="127"/>
      <c r="C2207" s="111"/>
      <c r="D2207" s="111"/>
      <c r="E2207" s="111"/>
      <c r="F2207" s="111"/>
      <c r="G2207" s="111"/>
      <c r="H2207" s="111"/>
      <c r="I2207" s="127"/>
      <c r="J2207" s="111"/>
      <c r="K2207" s="111"/>
      <c r="L2207" s="111"/>
      <c r="M2207" s="127"/>
      <c r="N2207" s="270"/>
      <c r="O2207" s="111"/>
      <c r="P2207" s="111"/>
      <c r="Q2207" s="127"/>
      <c r="R2207" s="124"/>
      <c r="S2207" s="125"/>
      <c r="T2207" s="125"/>
      <c r="U2207" s="125"/>
      <c r="V2207" s="125"/>
      <c r="W2207" s="125"/>
      <c r="X2207" s="125"/>
      <c r="Y2207" s="125"/>
      <c r="Z2207" s="127"/>
      <c r="AA2207" s="127"/>
      <c r="AB2207" s="127"/>
      <c r="AC2207" s="127"/>
      <c r="AD2207" s="261"/>
      <c r="AE2207" s="261"/>
      <c r="AF2207" s="261"/>
      <c r="AG2207" s="261"/>
    </row>
    <row r="2208" ht="34.5" hidden="1" customHeight="1">
      <c r="A2208" s="111"/>
      <c r="B2208" s="127"/>
      <c r="C2208" s="111"/>
      <c r="D2208" s="111"/>
      <c r="E2208" s="111"/>
      <c r="F2208" s="111"/>
      <c r="G2208" s="111"/>
      <c r="H2208" s="111"/>
      <c r="I2208" s="127"/>
      <c r="J2208" s="111"/>
      <c r="K2208" s="111"/>
      <c r="L2208" s="111"/>
      <c r="M2208" s="127"/>
      <c r="N2208" s="270"/>
      <c r="O2208" s="111"/>
      <c r="P2208" s="111"/>
      <c r="Q2208" s="127"/>
      <c r="R2208" s="124"/>
      <c r="S2208" s="125"/>
      <c r="T2208" s="125"/>
      <c r="U2208" s="125"/>
      <c r="V2208" s="125"/>
      <c r="W2208" s="125"/>
      <c r="X2208" s="125"/>
      <c r="Y2208" s="125"/>
      <c r="Z2208" s="127"/>
      <c r="AA2208" s="127"/>
      <c r="AB2208" s="127"/>
      <c r="AC2208" s="127"/>
      <c r="AD2208" s="261"/>
      <c r="AE2208" s="261"/>
      <c r="AF2208" s="261"/>
      <c r="AG2208" s="261"/>
    </row>
    <row r="2209" ht="34.5" hidden="1" customHeight="1">
      <c r="A2209" s="111"/>
      <c r="B2209" s="127"/>
      <c r="C2209" s="111"/>
      <c r="D2209" s="111"/>
      <c r="E2209" s="111"/>
      <c r="F2209" s="111"/>
      <c r="G2209" s="111"/>
      <c r="H2209" s="111"/>
      <c r="I2209" s="127"/>
      <c r="J2209" s="111"/>
      <c r="K2209" s="111"/>
      <c r="L2209" s="111"/>
      <c r="M2209" s="127"/>
      <c r="N2209" s="270"/>
      <c r="O2209" s="111"/>
      <c r="P2209" s="111"/>
      <c r="Q2209" s="127"/>
      <c r="R2209" s="124"/>
      <c r="S2209" s="125"/>
      <c r="T2209" s="125"/>
      <c r="U2209" s="125"/>
      <c r="V2209" s="125"/>
      <c r="W2209" s="125"/>
      <c r="X2209" s="125"/>
      <c r="Y2209" s="125"/>
      <c r="Z2209" s="127"/>
      <c r="AA2209" s="127"/>
      <c r="AB2209" s="127"/>
      <c r="AC2209" s="127"/>
      <c r="AD2209" s="261"/>
      <c r="AE2209" s="261"/>
      <c r="AF2209" s="261"/>
      <c r="AG2209" s="261"/>
    </row>
    <row r="2210" ht="34.5" hidden="1" customHeight="1">
      <c r="A2210" s="111"/>
      <c r="B2210" s="127"/>
      <c r="C2210" s="111"/>
      <c r="D2210" s="111"/>
      <c r="E2210" s="111"/>
      <c r="F2210" s="111"/>
      <c r="G2210" s="111"/>
      <c r="H2210" s="111"/>
      <c r="I2210" s="127"/>
      <c r="J2210" s="111"/>
      <c r="K2210" s="111"/>
      <c r="L2210" s="111"/>
      <c r="M2210" s="127"/>
      <c r="N2210" s="270"/>
      <c r="O2210" s="111"/>
      <c r="P2210" s="111"/>
      <c r="Q2210" s="127"/>
      <c r="R2210" s="124"/>
      <c r="S2210" s="125"/>
      <c r="T2210" s="125"/>
      <c r="U2210" s="125"/>
      <c r="V2210" s="125"/>
      <c r="W2210" s="125"/>
      <c r="X2210" s="125"/>
      <c r="Y2210" s="125"/>
      <c r="Z2210" s="127"/>
      <c r="AA2210" s="127"/>
      <c r="AB2210" s="127"/>
      <c r="AC2210" s="127"/>
      <c r="AD2210" s="261"/>
      <c r="AE2210" s="261"/>
      <c r="AF2210" s="261"/>
      <c r="AG2210" s="261"/>
    </row>
    <row r="2211" ht="34.5" hidden="1" customHeight="1">
      <c r="A2211" s="111"/>
      <c r="B2211" s="127"/>
      <c r="C2211" s="111"/>
      <c r="D2211" s="111"/>
      <c r="E2211" s="111"/>
      <c r="F2211" s="111"/>
      <c r="G2211" s="111"/>
      <c r="H2211" s="111"/>
      <c r="I2211" s="127"/>
      <c r="J2211" s="111"/>
      <c r="K2211" s="111"/>
      <c r="L2211" s="111"/>
      <c r="M2211" s="127"/>
      <c r="N2211" s="270"/>
      <c r="O2211" s="111"/>
      <c r="P2211" s="111"/>
      <c r="Q2211" s="127"/>
      <c r="R2211" s="124"/>
      <c r="S2211" s="125"/>
      <c r="T2211" s="125"/>
      <c r="U2211" s="125"/>
      <c r="V2211" s="125"/>
      <c r="W2211" s="125"/>
      <c r="X2211" s="125"/>
      <c r="Y2211" s="125"/>
      <c r="Z2211" s="127"/>
      <c r="AA2211" s="127"/>
      <c r="AB2211" s="127"/>
      <c r="AC2211" s="127"/>
      <c r="AD2211" s="261"/>
      <c r="AE2211" s="261"/>
      <c r="AF2211" s="261"/>
      <c r="AG2211" s="261"/>
    </row>
    <row r="2212" ht="34.5" hidden="1" customHeight="1">
      <c r="A2212" s="111"/>
      <c r="B2212" s="127"/>
      <c r="C2212" s="111"/>
      <c r="D2212" s="111"/>
      <c r="E2212" s="111"/>
      <c r="F2212" s="111"/>
      <c r="G2212" s="111"/>
      <c r="H2212" s="111"/>
      <c r="I2212" s="127"/>
      <c r="J2212" s="111"/>
      <c r="K2212" s="111"/>
      <c r="L2212" s="111"/>
      <c r="M2212" s="127"/>
      <c r="N2212" s="270"/>
      <c r="O2212" s="111"/>
      <c r="P2212" s="111"/>
      <c r="Q2212" s="127"/>
      <c r="R2212" s="124"/>
      <c r="S2212" s="125"/>
      <c r="T2212" s="125"/>
      <c r="U2212" s="125"/>
      <c r="V2212" s="125"/>
      <c r="W2212" s="125"/>
      <c r="X2212" s="125"/>
      <c r="Y2212" s="125"/>
      <c r="Z2212" s="127"/>
      <c r="AA2212" s="127"/>
      <c r="AB2212" s="127"/>
      <c r="AC2212" s="127"/>
      <c r="AD2212" s="261"/>
      <c r="AE2212" s="261"/>
      <c r="AF2212" s="261"/>
      <c r="AG2212" s="261"/>
    </row>
    <row r="2213" ht="34.5" hidden="1" customHeight="1">
      <c r="A2213" s="111"/>
      <c r="B2213" s="127"/>
      <c r="C2213" s="111"/>
      <c r="D2213" s="111"/>
      <c r="E2213" s="111"/>
      <c r="F2213" s="111"/>
      <c r="G2213" s="111"/>
      <c r="H2213" s="111"/>
      <c r="I2213" s="127"/>
      <c r="J2213" s="111"/>
      <c r="K2213" s="111"/>
      <c r="L2213" s="111"/>
      <c r="M2213" s="127"/>
      <c r="N2213" s="270"/>
      <c r="O2213" s="111"/>
      <c r="P2213" s="111"/>
      <c r="Q2213" s="127"/>
      <c r="R2213" s="124"/>
      <c r="S2213" s="125"/>
      <c r="T2213" s="125"/>
      <c r="U2213" s="125"/>
      <c r="V2213" s="125"/>
      <c r="W2213" s="125"/>
      <c r="X2213" s="125"/>
      <c r="Y2213" s="125"/>
      <c r="Z2213" s="127"/>
      <c r="AA2213" s="127"/>
      <c r="AB2213" s="127"/>
      <c r="AC2213" s="127"/>
      <c r="AD2213" s="261"/>
      <c r="AE2213" s="261"/>
      <c r="AF2213" s="261"/>
      <c r="AG2213" s="261"/>
    </row>
    <row r="2214" ht="34.5" hidden="1" customHeight="1">
      <c r="A2214" s="111"/>
      <c r="B2214" s="127"/>
      <c r="C2214" s="111"/>
      <c r="D2214" s="111"/>
      <c r="E2214" s="111"/>
      <c r="F2214" s="111"/>
      <c r="G2214" s="111"/>
      <c r="H2214" s="111"/>
      <c r="I2214" s="127"/>
      <c r="J2214" s="111"/>
      <c r="K2214" s="111"/>
      <c r="L2214" s="111"/>
      <c r="M2214" s="127"/>
      <c r="N2214" s="270"/>
      <c r="O2214" s="111"/>
      <c r="P2214" s="111"/>
      <c r="Q2214" s="127"/>
      <c r="R2214" s="124"/>
      <c r="S2214" s="125"/>
      <c r="T2214" s="125"/>
      <c r="U2214" s="125"/>
      <c r="V2214" s="125"/>
      <c r="W2214" s="125"/>
      <c r="X2214" s="125"/>
      <c r="Y2214" s="125"/>
      <c r="Z2214" s="127"/>
      <c r="AA2214" s="127"/>
      <c r="AB2214" s="127"/>
      <c r="AC2214" s="127"/>
      <c r="AD2214" s="261"/>
      <c r="AE2214" s="261"/>
      <c r="AF2214" s="261"/>
      <c r="AG2214" s="261"/>
    </row>
    <row r="2215" ht="34.5" hidden="1" customHeight="1">
      <c r="A2215" s="111"/>
      <c r="B2215" s="127"/>
      <c r="C2215" s="111"/>
      <c r="D2215" s="111"/>
      <c r="E2215" s="111"/>
      <c r="F2215" s="111"/>
      <c r="G2215" s="111"/>
      <c r="H2215" s="111"/>
      <c r="I2215" s="127"/>
      <c r="J2215" s="111"/>
      <c r="K2215" s="111"/>
      <c r="L2215" s="111"/>
      <c r="M2215" s="127"/>
      <c r="N2215" s="270"/>
      <c r="O2215" s="111"/>
      <c r="P2215" s="111"/>
      <c r="Q2215" s="127"/>
      <c r="R2215" s="124"/>
      <c r="S2215" s="125"/>
      <c r="T2215" s="125"/>
      <c r="U2215" s="125"/>
      <c r="V2215" s="125"/>
      <c r="W2215" s="125"/>
      <c r="X2215" s="125"/>
      <c r="Y2215" s="125"/>
      <c r="Z2215" s="127"/>
      <c r="AA2215" s="127"/>
      <c r="AB2215" s="127"/>
      <c r="AC2215" s="127"/>
      <c r="AD2215" s="261"/>
      <c r="AE2215" s="261"/>
      <c r="AF2215" s="261"/>
      <c r="AG2215" s="261"/>
    </row>
    <row r="2216" ht="34.5" hidden="1" customHeight="1">
      <c r="A2216" s="111"/>
      <c r="B2216" s="127"/>
      <c r="C2216" s="111"/>
      <c r="D2216" s="111"/>
      <c r="E2216" s="111"/>
      <c r="F2216" s="111"/>
      <c r="G2216" s="111"/>
      <c r="H2216" s="111"/>
      <c r="I2216" s="127"/>
      <c r="J2216" s="111"/>
      <c r="K2216" s="111"/>
      <c r="L2216" s="111"/>
      <c r="M2216" s="127"/>
      <c r="N2216" s="270"/>
      <c r="O2216" s="111"/>
      <c r="P2216" s="111"/>
      <c r="Q2216" s="127"/>
      <c r="R2216" s="124"/>
      <c r="S2216" s="125"/>
      <c r="T2216" s="125"/>
      <c r="U2216" s="125"/>
      <c r="V2216" s="125"/>
      <c r="W2216" s="125"/>
      <c r="X2216" s="125"/>
      <c r="Y2216" s="125"/>
      <c r="Z2216" s="127"/>
      <c r="AA2216" s="127"/>
      <c r="AB2216" s="127"/>
      <c r="AC2216" s="127"/>
      <c r="AD2216" s="261"/>
      <c r="AE2216" s="261"/>
      <c r="AF2216" s="261"/>
      <c r="AG2216" s="261"/>
    </row>
    <row r="2217" ht="34.5" hidden="1" customHeight="1">
      <c r="A2217" s="111"/>
      <c r="B2217" s="127"/>
      <c r="C2217" s="111"/>
      <c r="D2217" s="111"/>
      <c r="E2217" s="111"/>
      <c r="F2217" s="111"/>
      <c r="G2217" s="111"/>
      <c r="H2217" s="111"/>
      <c r="I2217" s="127"/>
      <c r="J2217" s="111"/>
      <c r="K2217" s="111"/>
      <c r="L2217" s="111"/>
      <c r="M2217" s="127"/>
      <c r="N2217" s="270"/>
      <c r="O2217" s="111"/>
      <c r="P2217" s="111"/>
      <c r="Q2217" s="127"/>
      <c r="R2217" s="124"/>
      <c r="S2217" s="125"/>
      <c r="T2217" s="125"/>
      <c r="U2217" s="125"/>
      <c r="V2217" s="125"/>
      <c r="W2217" s="125"/>
      <c r="X2217" s="125"/>
      <c r="Y2217" s="125"/>
      <c r="Z2217" s="127"/>
      <c r="AA2217" s="127"/>
      <c r="AB2217" s="127"/>
      <c r="AC2217" s="127"/>
      <c r="AD2217" s="261"/>
      <c r="AE2217" s="261"/>
      <c r="AF2217" s="261"/>
      <c r="AG2217" s="261"/>
    </row>
    <row r="2218" ht="34.5" hidden="1" customHeight="1">
      <c r="A2218" s="111"/>
      <c r="B2218" s="127"/>
      <c r="C2218" s="111"/>
      <c r="D2218" s="111"/>
      <c r="E2218" s="111"/>
      <c r="F2218" s="111"/>
      <c r="G2218" s="111"/>
      <c r="H2218" s="111"/>
      <c r="I2218" s="127"/>
      <c r="J2218" s="111"/>
      <c r="K2218" s="111"/>
      <c r="L2218" s="111"/>
      <c r="M2218" s="127"/>
      <c r="N2218" s="270"/>
      <c r="O2218" s="111"/>
      <c r="P2218" s="111"/>
      <c r="Q2218" s="127"/>
      <c r="R2218" s="124"/>
      <c r="S2218" s="125"/>
      <c r="T2218" s="125"/>
      <c r="U2218" s="125"/>
      <c r="V2218" s="125"/>
      <c r="W2218" s="125"/>
      <c r="X2218" s="125"/>
      <c r="Y2218" s="125"/>
      <c r="Z2218" s="127"/>
      <c r="AA2218" s="127"/>
      <c r="AB2218" s="127"/>
      <c r="AC2218" s="127"/>
      <c r="AD2218" s="261"/>
      <c r="AE2218" s="261"/>
      <c r="AF2218" s="261"/>
      <c r="AG2218" s="261"/>
    </row>
    <row r="2219" ht="34.5" hidden="1" customHeight="1">
      <c r="A2219" s="111"/>
      <c r="B2219" s="127"/>
      <c r="C2219" s="111"/>
      <c r="D2219" s="111"/>
      <c r="E2219" s="111"/>
      <c r="F2219" s="111"/>
      <c r="G2219" s="111"/>
      <c r="H2219" s="111"/>
      <c r="I2219" s="127"/>
      <c r="J2219" s="111"/>
      <c r="K2219" s="111"/>
      <c r="L2219" s="111"/>
      <c r="M2219" s="127"/>
      <c r="N2219" s="270"/>
      <c r="O2219" s="111"/>
      <c r="P2219" s="111"/>
      <c r="Q2219" s="127"/>
      <c r="R2219" s="124"/>
      <c r="S2219" s="125"/>
      <c r="T2219" s="125"/>
      <c r="U2219" s="125"/>
      <c r="V2219" s="125"/>
      <c r="W2219" s="125"/>
      <c r="X2219" s="125"/>
      <c r="Y2219" s="125"/>
      <c r="Z2219" s="127"/>
      <c r="AA2219" s="127"/>
      <c r="AB2219" s="127"/>
      <c r="AC2219" s="127"/>
      <c r="AD2219" s="261"/>
      <c r="AE2219" s="261"/>
      <c r="AF2219" s="261"/>
      <c r="AG2219" s="261"/>
    </row>
    <row r="2220" ht="34.5" hidden="1" customHeight="1">
      <c r="A2220" s="111"/>
      <c r="B2220" s="127"/>
      <c r="C2220" s="111"/>
      <c r="D2220" s="111"/>
      <c r="E2220" s="111"/>
      <c r="F2220" s="111"/>
      <c r="G2220" s="111"/>
      <c r="H2220" s="111"/>
      <c r="I2220" s="127"/>
      <c r="J2220" s="111"/>
      <c r="K2220" s="111"/>
      <c r="L2220" s="111"/>
      <c r="M2220" s="127"/>
      <c r="N2220" s="270"/>
      <c r="O2220" s="111"/>
      <c r="P2220" s="111"/>
      <c r="Q2220" s="127"/>
      <c r="R2220" s="124"/>
      <c r="S2220" s="125"/>
      <c r="T2220" s="125"/>
      <c r="U2220" s="125"/>
      <c r="V2220" s="125"/>
      <c r="W2220" s="125"/>
      <c r="X2220" s="125"/>
      <c r="Y2220" s="125"/>
      <c r="Z2220" s="127"/>
      <c r="AA2220" s="127"/>
      <c r="AB2220" s="127"/>
      <c r="AC2220" s="127"/>
      <c r="AD2220" s="261"/>
      <c r="AE2220" s="261"/>
      <c r="AF2220" s="261"/>
      <c r="AG2220" s="261"/>
    </row>
    <row r="2221" ht="34.5" hidden="1" customHeight="1">
      <c r="A2221" s="111"/>
      <c r="B2221" s="127"/>
      <c r="C2221" s="111"/>
      <c r="D2221" s="111"/>
      <c r="E2221" s="111"/>
      <c r="F2221" s="111"/>
      <c r="G2221" s="111"/>
      <c r="H2221" s="111"/>
      <c r="I2221" s="127"/>
      <c r="J2221" s="111"/>
      <c r="K2221" s="111"/>
      <c r="L2221" s="111"/>
      <c r="M2221" s="127"/>
      <c r="N2221" s="270"/>
      <c r="O2221" s="111"/>
      <c r="P2221" s="111"/>
      <c r="Q2221" s="127"/>
      <c r="R2221" s="124"/>
      <c r="S2221" s="125"/>
      <c r="T2221" s="125"/>
      <c r="U2221" s="125"/>
      <c r="V2221" s="125"/>
      <c r="W2221" s="125"/>
      <c r="X2221" s="125"/>
      <c r="Y2221" s="125"/>
      <c r="Z2221" s="127"/>
      <c r="AA2221" s="127"/>
      <c r="AB2221" s="127"/>
      <c r="AC2221" s="127"/>
      <c r="AD2221" s="261"/>
      <c r="AE2221" s="261"/>
      <c r="AF2221" s="261"/>
      <c r="AG2221" s="261"/>
    </row>
    <row r="2222" ht="34.5" hidden="1" customHeight="1">
      <c r="A2222" s="111"/>
      <c r="B2222" s="127"/>
      <c r="C2222" s="111"/>
      <c r="D2222" s="111"/>
      <c r="E2222" s="111"/>
      <c r="F2222" s="111"/>
      <c r="G2222" s="111"/>
      <c r="H2222" s="111"/>
      <c r="I2222" s="127"/>
      <c r="J2222" s="111"/>
      <c r="K2222" s="111"/>
      <c r="L2222" s="111"/>
      <c r="M2222" s="127"/>
      <c r="N2222" s="270"/>
      <c r="O2222" s="111"/>
      <c r="P2222" s="111"/>
      <c r="Q2222" s="127"/>
      <c r="R2222" s="124"/>
      <c r="S2222" s="125"/>
      <c r="T2222" s="125"/>
      <c r="U2222" s="125"/>
      <c r="V2222" s="125"/>
      <c r="W2222" s="125"/>
      <c r="X2222" s="125"/>
      <c r="Y2222" s="125"/>
      <c r="Z2222" s="127"/>
      <c r="AA2222" s="127"/>
      <c r="AB2222" s="127"/>
      <c r="AC2222" s="127"/>
      <c r="AD2222" s="261"/>
      <c r="AE2222" s="261"/>
      <c r="AF2222" s="261"/>
      <c r="AG2222" s="261"/>
    </row>
    <row r="2223" ht="34.5" hidden="1" customHeight="1">
      <c r="A2223" s="111"/>
      <c r="B2223" s="127"/>
      <c r="C2223" s="111"/>
      <c r="D2223" s="111"/>
      <c r="E2223" s="111"/>
      <c r="F2223" s="111"/>
      <c r="G2223" s="111"/>
      <c r="H2223" s="111"/>
      <c r="I2223" s="127"/>
      <c r="J2223" s="111"/>
      <c r="K2223" s="111"/>
      <c r="L2223" s="111"/>
      <c r="M2223" s="127"/>
      <c r="N2223" s="270"/>
      <c r="O2223" s="111"/>
      <c r="P2223" s="111"/>
      <c r="Q2223" s="127"/>
      <c r="R2223" s="124"/>
      <c r="S2223" s="125"/>
      <c r="T2223" s="125"/>
      <c r="U2223" s="125"/>
      <c r="V2223" s="125"/>
      <c r="W2223" s="125"/>
      <c r="X2223" s="125"/>
      <c r="Y2223" s="125"/>
      <c r="Z2223" s="127"/>
      <c r="AA2223" s="127"/>
      <c r="AB2223" s="127"/>
      <c r="AC2223" s="127"/>
      <c r="AD2223" s="261"/>
      <c r="AE2223" s="261"/>
      <c r="AF2223" s="261"/>
      <c r="AG2223" s="261"/>
    </row>
    <row r="2224" ht="34.5" hidden="1" customHeight="1">
      <c r="A2224" s="111"/>
      <c r="B2224" s="127"/>
      <c r="C2224" s="111"/>
      <c r="D2224" s="111"/>
      <c r="E2224" s="111"/>
      <c r="F2224" s="111"/>
      <c r="G2224" s="111"/>
      <c r="H2224" s="111"/>
      <c r="I2224" s="127"/>
      <c r="J2224" s="111"/>
      <c r="K2224" s="111"/>
      <c r="L2224" s="111"/>
      <c r="M2224" s="127"/>
      <c r="N2224" s="270"/>
      <c r="O2224" s="111"/>
      <c r="P2224" s="111"/>
      <c r="Q2224" s="127"/>
      <c r="R2224" s="124"/>
      <c r="S2224" s="125"/>
      <c r="T2224" s="125"/>
      <c r="U2224" s="125"/>
      <c r="V2224" s="125"/>
      <c r="W2224" s="125"/>
      <c r="X2224" s="125"/>
      <c r="Y2224" s="125"/>
      <c r="Z2224" s="127"/>
      <c r="AA2224" s="127"/>
      <c r="AB2224" s="127"/>
      <c r="AC2224" s="127"/>
      <c r="AD2224" s="261"/>
      <c r="AE2224" s="261"/>
      <c r="AF2224" s="261"/>
      <c r="AG2224" s="261"/>
    </row>
    <row r="2225" ht="34.5" hidden="1" customHeight="1">
      <c r="A2225" s="111"/>
      <c r="B2225" s="127"/>
      <c r="C2225" s="111"/>
      <c r="D2225" s="111"/>
      <c r="E2225" s="111"/>
      <c r="F2225" s="111"/>
      <c r="G2225" s="111"/>
      <c r="H2225" s="111"/>
      <c r="I2225" s="127"/>
      <c r="J2225" s="111"/>
      <c r="K2225" s="111"/>
      <c r="L2225" s="111"/>
      <c r="M2225" s="127"/>
      <c r="N2225" s="270"/>
      <c r="O2225" s="111"/>
      <c r="P2225" s="111"/>
      <c r="Q2225" s="127"/>
      <c r="R2225" s="124"/>
      <c r="S2225" s="125"/>
      <c r="T2225" s="125"/>
      <c r="U2225" s="125"/>
      <c r="V2225" s="125"/>
      <c r="W2225" s="125"/>
      <c r="X2225" s="125"/>
      <c r="Y2225" s="125"/>
      <c r="Z2225" s="127"/>
      <c r="AA2225" s="127"/>
      <c r="AB2225" s="127"/>
      <c r="AC2225" s="127"/>
      <c r="AD2225" s="261"/>
      <c r="AE2225" s="261"/>
      <c r="AF2225" s="261"/>
      <c r="AG2225" s="261"/>
    </row>
    <row r="2226" ht="34.5" hidden="1" customHeight="1">
      <c r="A2226" s="111"/>
      <c r="B2226" s="127"/>
      <c r="C2226" s="111"/>
      <c r="D2226" s="111"/>
      <c r="E2226" s="111"/>
      <c r="F2226" s="111"/>
      <c r="G2226" s="111"/>
      <c r="H2226" s="111"/>
      <c r="I2226" s="127"/>
      <c r="J2226" s="111"/>
      <c r="K2226" s="111"/>
      <c r="L2226" s="111"/>
      <c r="M2226" s="127"/>
      <c r="N2226" s="270"/>
      <c r="O2226" s="111"/>
      <c r="P2226" s="111"/>
      <c r="Q2226" s="127"/>
      <c r="R2226" s="124"/>
      <c r="S2226" s="125"/>
      <c r="T2226" s="125"/>
      <c r="U2226" s="125"/>
      <c r="V2226" s="125"/>
      <c r="W2226" s="125"/>
      <c r="X2226" s="125"/>
      <c r="Y2226" s="125"/>
      <c r="Z2226" s="127"/>
      <c r="AA2226" s="127"/>
      <c r="AB2226" s="127"/>
      <c r="AC2226" s="127"/>
      <c r="AD2226" s="261"/>
      <c r="AE2226" s="261"/>
      <c r="AF2226" s="261"/>
      <c r="AG2226" s="261"/>
    </row>
    <row r="2227" ht="34.5" hidden="1" customHeight="1">
      <c r="A2227" s="111"/>
      <c r="B2227" s="127"/>
      <c r="C2227" s="111"/>
      <c r="D2227" s="111"/>
      <c r="E2227" s="111"/>
      <c r="F2227" s="111"/>
      <c r="G2227" s="111"/>
      <c r="H2227" s="111"/>
      <c r="I2227" s="127"/>
      <c r="J2227" s="111"/>
      <c r="K2227" s="111"/>
      <c r="L2227" s="111"/>
      <c r="M2227" s="127"/>
      <c r="N2227" s="270"/>
      <c r="O2227" s="111"/>
      <c r="P2227" s="111"/>
      <c r="Q2227" s="127"/>
      <c r="R2227" s="124"/>
      <c r="S2227" s="125"/>
      <c r="T2227" s="125"/>
      <c r="U2227" s="125"/>
      <c r="V2227" s="125"/>
      <c r="W2227" s="125"/>
      <c r="X2227" s="125"/>
      <c r="Y2227" s="125"/>
      <c r="Z2227" s="127"/>
      <c r="AA2227" s="127"/>
      <c r="AB2227" s="127"/>
      <c r="AC2227" s="127"/>
      <c r="AD2227" s="261"/>
      <c r="AE2227" s="261"/>
      <c r="AF2227" s="261"/>
      <c r="AG2227" s="261"/>
    </row>
    <row r="2228" ht="34.5" hidden="1" customHeight="1">
      <c r="A2228" s="111"/>
      <c r="B2228" s="127"/>
      <c r="C2228" s="111"/>
      <c r="D2228" s="111"/>
      <c r="E2228" s="111"/>
      <c r="F2228" s="111"/>
      <c r="G2228" s="111"/>
      <c r="H2228" s="111"/>
      <c r="I2228" s="127"/>
      <c r="J2228" s="111"/>
      <c r="K2228" s="111"/>
      <c r="L2228" s="111"/>
      <c r="M2228" s="127"/>
      <c r="N2228" s="270"/>
      <c r="O2228" s="111"/>
      <c r="P2228" s="111"/>
      <c r="Q2228" s="127"/>
      <c r="R2228" s="124"/>
      <c r="S2228" s="125"/>
      <c r="T2228" s="125"/>
      <c r="U2228" s="125"/>
      <c r="V2228" s="125"/>
      <c r="W2228" s="125"/>
      <c r="X2228" s="125"/>
      <c r="Y2228" s="125"/>
      <c r="Z2228" s="127"/>
      <c r="AA2228" s="127"/>
      <c r="AB2228" s="127"/>
      <c r="AC2228" s="127"/>
      <c r="AD2228" s="261"/>
      <c r="AE2228" s="261"/>
      <c r="AF2228" s="261"/>
      <c r="AG2228" s="261"/>
    </row>
    <row r="2229" ht="34.5" hidden="1" customHeight="1">
      <c r="A2229" s="111"/>
      <c r="B2229" s="127"/>
      <c r="C2229" s="111"/>
      <c r="D2229" s="111"/>
      <c r="E2229" s="111"/>
      <c r="F2229" s="111"/>
      <c r="G2229" s="111"/>
      <c r="H2229" s="111"/>
      <c r="I2229" s="127"/>
      <c r="J2229" s="111"/>
      <c r="K2229" s="111"/>
      <c r="L2229" s="111"/>
      <c r="M2229" s="127"/>
      <c r="N2229" s="270"/>
      <c r="O2229" s="111"/>
      <c r="P2229" s="111"/>
      <c r="Q2229" s="127"/>
      <c r="R2229" s="124"/>
      <c r="S2229" s="125"/>
      <c r="T2229" s="125"/>
      <c r="U2229" s="125"/>
      <c r="V2229" s="125"/>
      <c r="W2229" s="125"/>
      <c r="X2229" s="125"/>
      <c r="Y2229" s="125"/>
      <c r="Z2229" s="127"/>
      <c r="AA2229" s="127"/>
      <c r="AB2229" s="127"/>
      <c r="AC2229" s="127"/>
      <c r="AD2229" s="261"/>
      <c r="AE2229" s="261"/>
      <c r="AF2229" s="261"/>
      <c r="AG2229" s="261"/>
    </row>
    <row r="2230" ht="34.5" hidden="1" customHeight="1">
      <c r="A2230" s="111"/>
      <c r="B2230" s="127"/>
      <c r="C2230" s="111"/>
      <c r="D2230" s="111"/>
      <c r="E2230" s="111"/>
      <c r="F2230" s="111"/>
      <c r="G2230" s="111"/>
      <c r="H2230" s="111"/>
      <c r="I2230" s="127"/>
      <c r="J2230" s="111"/>
      <c r="K2230" s="111"/>
      <c r="L2230" s="111"/>
      <c r="M2230" s="127"/>
      <c r="N2230" s="270"/>
      <c r="O2230" s="111"/>
      <c r="P2230" s="111"/>
      <c r="Q2230" s="127"/>
      <c r="R2230" s="124"/>
      <c r="S2230" s="125"/>
      <c r="T2230" s="125"/>
      <c r="U2230" s="125"/>
      <c r="V2230" s="125"/>
      <c r="W2230" s="125"/>
      <c r="X2230" s="125"/>
      <c r="Y2230" s="125"/>
      <c r="Z2230" s="127"/>
      <c r="AA2230" s="127"/>
      <c r="AB2230" s="127"/>
      <c r="AC2230" s="127"/>
      <c r="AD2230" s="261"/>
      <c r="AE2230" s="261"/>
      <c r="AF2230" s="261"/>
      <c r="AG2230" s="261"/>
    </row>
    <row r="2231" ht="34.5" hidden="1" customHeight="1">
      <c r="A2231" s="111"/>
      <c r="B2231" s="127"/>
      <c r="C2231" s="111"/>
      <c r="D2231" s="111"/>
      <c r="E2231" s="111"/>
      <c r="F2231" s="111"/>
      <c r="G2231" s="111"/>
      <c r="H2231" s="111"/>
      <c r="I2231" s="127"/>
      <c r="J2231" s="111"/>
      <c r="K2231" s="111"/>
      <c r="L2231" s="111"/>
      <c r="M2231" s="127"/>
      <c r="N2231" s="270"/>
      <c r="O2231" s="111"/>
      <c r="P2231" s="111"/>
      <c r="Q2231" s="127"/>
      <c r="R2231" s="124"/>
      <c r="S2231" s="125"/>
      <c r="T2231" s="125"/>
      <c r="U2231" s="125"/>
      <c r="V2231" s="125"/>
      <c r="W2231" s="125"/>
      <c r="X2231" s="125"/>
      <c r="Y2231" s="125"/>
      <c r="Z2231" s="127"/>
      <c r="AA2231" s="127"/>
      <c r="AB2231" s="127"/>
      <c r="AC2231" s="127"/>
      <c r="AD2231" s="261"/>
      <c r="AE2231" s="261"/>
      <c r="AF2231" s="261"/>
      <c r="AG2231" s="261"/>
    </row>
    <row r="2232" ht="34.5" hidden="1" customHeight="1">
      <c r="A2232" s="111"/>
      <c r="B2232" s="127"/>
      <c r="C2232" s="111"/>
      <c r="D2232" s="111"/>
      <c r="E2232" s="111"/>
      <c r="F2232" s="111"/>
      <c r="G2232" s="111"/>
      <c r="H2232" s="111"/>
      <c r="I2232" s="127"/>
      <c r="J2232" s="111"/>
      <c r="K2232" s="111"/>
      <c r="L2232" s="111"/>
      <c r="M2232" s="127"/>
      <c r="N2232" s="270"/>
      <c r="O2232" s="111"/>
      <c r="P2232" s="111"/>
      <c r="Q2232" s="127"/>
      <c r="R2232" s="124"/>
      <c r="S2232" s="125"/>
      <c r="T2232" s="125"/>
      <c r="U2232" s="125"/>
      <c r="V2232" s="125"/>
      <c r="W2232" s="125"/>
      <c r="X2232" s="125"/>
      <c r="Y2232" s="125"/>
      <c r="Z2232" s="127"/>
      <c r="AA2232" s="127"/>
      <c r="AB2232" s="127"/>
      <c r="AC2232" s="127"/>
      <c r="AD2232" s="261"/>
      <c r="AE2232" s="261"/>
      <c r="AF2232" s="261"/>
      <c r="AG2232" s="261"/>
    </row>
    <row r="2233" ht="34.5" hidden="1" customHeight="1">
      <c r="A2233" s="111"/>
      <c r="B2233" s="127"/>
      <c r="C2233" s="111"/>
      <c r="D2233" s="111"/>
      <c r="E2233" s="111"/>
      <c r="F2233" s="111"/>
      <c r="G2233" s="111"/>
      <c r="H2233" s="111"/>
      <c r="I2233" s="127"/>
      <c r="J2233" s="111"/>
      <c r="K2233" s="111"/>
      <c r="L2233" s="111"/>
      <c r="M2233" s="127"/>
      <c r="N2233" s="270"/>
      <c r="O2233" s="111"/>
      <c r="P2233" s="111"/>
      <c r="Q2233" s="127"/>
      <c r="R2233" s="124"/>
      <c r="S2233" s="125"/>
      <c r="T2233" s="125"/>
      <c r="U2233" s="125"/>
      <c r="V2233" s="125"/>
      <c r="W2233" s="125"/>
      <c r="X2233" s="125"/>
      <c r="Y2233" s="125"/>
      <c r="Z2233" s="127"/>
      <c r="AA2233" s="127"/>
      <c r="AB2233" s="127"/>
      <c r="AC2233" s="127"/>
      <c r="AD2233" s="261"/>
      <c r="AE2233" s="261"/>
      <c r="AF2233" s="261"/>
      <c r="AG2233" s="261"/>
    </row>
    <row r="2234" ht="34.5" hidden="1" customHeight="1">
      <c r="A2234" s="111"/>
      <c r="B2234" s="127"/>
      <c r="C2234" s="111"/>
      <c r="D2234" s="111"/>
      <c r="E2234" s="111"/>
      <c r="F2234" s="111"/>
      <c r="G2234" s="111"/>
      <c r="H2234" s="111"/>
      <c r="I2234" s="127"/>
      <c r="J2234" s="111"/>
      <c r="K2234" s="111"/>
      <c r="L2234" s="111"/>
      <c r="M2234" s="127"/>
      <c r="N2234" s="270"/>
      <c r="O2234" s="111"/>
      <c r="P2234" s="111"/>
      <c r="Q2234" s="127"/>
      <c r="R2234" s="124"/>
      <c r="S2234" s="125"/>
      <c r="T2234" s="125"/>
      <c r="U2234" s="125"/>
      <c r="V2234" s="125"/>
      <c r="W2234" s="125"/>
      <c r="X2234" s="125"/>
      <c r="Y2234" s="125"/>
      <c r="Z2234" s="127"/>
      <c r="AA2234" s="127"/>
      <c r="AB2234" s="127"/>
      <c r="AC2234" s="127"/>
      <c r="AD2234" s="261"/>
      <c r="AE2234" s="261"/>
      <c r="AF2234" s="261"/>
      <c r="AG2234" s="261"/>
    </row>
    <row r="2235" ht="34.5" hidden="1" customHeight="1">
      <c r="A2235" s="111"/>
      <c r="B2235" s="127"/>
      <c r="C2235" s="111"/>
      <c r="D2235" s="111"/>
      <c r="E2235" s="111"/>
      <c r="F2235" s="111"/>
      <c r="G2235" s="111"/>
      <c r="H2235" s="111"/>
      <c r="I2235" s="127"/>
      <c r="J2235" s="111"/>
      <c r="K2235" s="111"/>
      <c r="L2235" s="111"/>
      <c r="M2235" s="127"/>
      <c r="N2235" s="270"/>
      <c r="O2235" s="111"/>
      <c r="P2235" s="111"/>
      <c r="Q2235" s="127"/>
      <c r="R2235" s="124"/>
      <c r="S2235" s="125"/>
      <c r="T2235" s="125"/>
      <c r="U2235" s="125"/>
      <c r="V2235" s="125"/>
      <c r="W2235" s="125"/>
      <c r="X2235" s="125"/>
      <c r="Y2235" s="125"/>
      <c r="Z2235" s="127"/>
      <c r="AA2235" s="127"/>
      <c r="AB2235" s="127"/>
      <c r="AC2235" s="127"/>
      <c r="AD2235" s="261"/>
      <c r="AE2235" s="261"/>
      <c r="AF2235" s="261"/>
      <c r="AG2235" s="261"/>
    </row>
    <row r="2236" ht="34.5" hidden="1" customHeight="1">
      <c r="A2236" s="111"/>
      <c r="B2236" s="127"/>
      <c r="C2236" s="111"/>
      <c r="D2236" s="111"/>
      <c r="E2236" s="111"/>
      <c r="F2236" s="111"/>
      <c r="G2236" s="111"/>
      <c r="H2236" s="111"/>
      <c r="I2236" s="127"/>
      <c r="J2236" s="111"/>
      <c r="K2236" s="111"/>
      <c r="L2236" s="111"/>
      <c r="M2236" s="127"/>
      <c r="N2236" s="270"/>
      <c r="O2236" s="111"/>
      <c r="P2236" s="111"/>
      <c r="Q2236" s="127"/>
      <c r="R2236" s="124"/>
      <c r="S2236" s="125"/>
      <c r="T2236" s="125"/>
      <c r="U2236" s="125"/>
      <c r="V2236" s="125"/>
      <c r="W2236" s="125"/>
      <c r="X2236" s="125"/>
      <c r="Y2236" s="125"/>
      <c r="Z2236" s="127"/>
      <c r="AA2236" s="127"/>
      <c r="AB2236" s="127"/>
      <c r="AC2236" s="127"/>
      <c r="AD2236" s="261"/>
      <c r="AE2236" s="261"/>
      <c r="AF2236" s="261"/>
      <c r="AG2236" s="261"/>
    </row>
    <row r="2237" ht="34.5" hidden="1" customHeight="1">
      <c r="A2237" s="111"/>
      <c r="B2237" s="127"/>
      <c r="C2237" s="111"/>
      <c r="D2237" s="111"/>
      <c r="E2237" s="111"/>
      <c r="F2237" s="111"/>
      <c r="G2237" s="111"/>
      <c r="H2237" s="111"/>
      <c r="I2237" s="127"/>
      <c r="J2237" s="111"/>
      <c r="K2237" s="111"/>
      <c r="L2237" s="111"/>
      <c r="M2237" s="127"/>
      <c r="N2237" s="270"/>
      <c r="O2237" s="111"/>
      <c r="P2237" s="111"/>
      <c r="Q2237" s="127"/>
      <c r="R2237" s="124"/>
      <c r="S2237" s="125"/>
      <c r="T2237" s="125"/>
      <c r="U2237" s="125"/>
      <c r="V2237" s="125"/>
      <c r="W2237" s="125"/>
      <c r="X2237" s="125"/>
      <c r="Y2237" s="125"/>
      <c r="Z2237" s="127"/>
      <c r="AA2237" s="127"/>
      <c r="AB2237" s="127"/>
      <c r="AC2237" s="127"/>
      <c r="AD2237" s="261"/>
      <c r="AE2237" s="261"/>
      <c r="AF2237" s="261"/>
      <c r="AG2237" s="261"/>
    </row>
    <row r="2238" ht="34.5" hidden="1" customHeight="1">
      <c r="A2238" s="111"/>
      <c r="B2238" s="127"/>
      <c r="C2238" s="111"/>
      <c r="D2238" s="111"/>
      <c r="E2238" s="111"/>
      <c r="F2238" s="111"/>
      <c r="G2238" s="111"/>
      <c r="H2238" s="111"/>
      <c r="I2238" s="127"/>
      <c r="J2238" s="111"/>
      <c r="K2238" s="111"/>
      <c r="L2238" s="111"/>
      <c r="M2238" s="127"/>
      <c r="N2238" s="270"/>
      <c r="O2238" s="111"/>
      <c r="P2238" s="111"/>
      <c r="Q2238" s="127"/>
      <c r="R2238" s="124"/>
      <c r="S2238" s="125"/>
      <c r="T2238" s="125"/>
      <c r="U2238" s="125"/>
      <c r="V2238" s="125"/>
      <c r="W2238" s="125"/>
      <c r="X2238" s="125"/>
      <c r="Y2238" s="125"/>
      <c r="Z2238" s="127"/>
      <c r="AA2238" s="127"/>
      <c r="AB2238" s="127"/>
      <c r="AC2238" s="127"/>
      <c r="AD2238" s="261"/>
      <c r="AE2238" s="261"/>
      <c r="AF2238" s="261"/>
      <c r="AG2238" s="261"/>
    </row>
    <row r="2239" ht="34.5" hidden="1" customHeight="1">
      <c r="A2239" s="111"/>
      <c r="B2239" s="127"/>
      <c r="C2239" s="111"/>
      <c r="D2239" s="111"/>
      <c r="E2239" s="111"/>
      <c r="F2239" s="111"/>
      <c r="G2239" s="111"/>
      <c r="H2239" s="111"/>
      <c r="I2239" s="127"/>
      <c r="J2239" s="111"/>
      <c r="K2239" s="111"/>
      <c r="L2239" s="111"/>
      <c r="M2239" s="127"/>
      <c r="N2239" s="270"/>
      <c r="O2239" s="111"/>
      <c r="P2239" s="111"/>
      <c r="Q2239" s="127"/>
      <c r="R2239" s="124"/>
      <c r="S2239" s="125"/>
      <c r="T2239" s="125"/>
      <c r="U2239" s="125"/>
      <c r="V2239" s="125"/>
      <c r="W2239" s="125"/>
      <c r="X2239" s="125"/>
      <c r="Y2239" s="125"/>
      <c r="Z2239" s="127"/>
      <c r="AA2239" s="127"/>
      <c r="AB2239" s="127"/>
      <c r="AC2239" s="127"/>
      <c r="AD2239" s="261"/>
      <c r="AE2239" s="261"/>
      <c r="AF2239" s="261"/>
      <c r="AG2239" s="261"/>
    </row>
    <row r="2240" ht="34.5" hidden="1" customHeight="1">
      <c r="A2240" s="111"/>
      <c r="B2240" s="127"/>
      <c r="C2240" s="111"/>
      <c r="D2240" s="111"/>
      <c r="E2240" s="111"/>
      <c r="F2240" s="111"/>
      <c r="G2240" s="111"/>
      <c r="H2240" s="111"/>
      <c r="I2240" s="127"/>
      <c r="J2240" s="111"/>
      <c r="K2240" s="111"/>
      <c r="L2240" s="111"/>
      <c r="M2240" s="127"/>
      <c r="N2240" s="270"/>
      <c r="O2240" s="111"/>
      <c r="P2240" s="111"/>
      <c r="Q2240" s="127"/>
      <c r="R2240" s="124"/>
      <c r="S2240" s="125"/>
      <c r="T2240" s="125"/>
      <c r="U2240" s="125"/>
      <c r="V2240" s="125"/>
      <c r="W2240" s="125"/>
      <c r="X2240" s="125"/>
      <c r="Y2240" s="125"/>
      <c r="Z2240" s="127"/>
      <c r="AA2240" s="127"/>
      <c r="AB2240" s="127"/>
      <c r="AC2240" s="127"/>
      <c r="AD2240" s="261"/>
      <c r="AE2240" s="261"/>
      <c r="AF2240" s="261"/>
      <c r="AG2240" s="261"/>
    </row>
    <row r="2241" ht="34.5" hidden="1" customHeight="1">
      <c r="A2241" s="111"/>
      <c r="B2241" s="127"/>
      <c r="C2241" s="111"/>
      <c r="D2241" s="111"/>
      <c r="E2241" s="111"/>
      <c r="F2241" s="111"/>
      <c r="G2241" s="111"/>
      <c r="H2241" s="111"/>
      <c r="I2241" s="127"/>
      <c r="J2241" s="111"/>
      <c r="K2241" s="111"/>
      <c r="L2241" s="111"/>
      <c r="M2241" s="127"/>
      <c r="N2241" s="270"/>
      <c r="O2241" s="111"/>
      <c r="P2241" s="111"/>
      <c r="Q2241" s="127"/>
      <c r="R2241" s="124"/>
      <c r="S2241" s="125"/>
      <c r="T2241" s="125"/>
      <c r="U2241" s="125"/>
      <c r="V2241" s="125"/>
      <c r="W2241" s="125"/>
      <c r="X2241" s="125"/>
      <c r="Y2241" s="125"/>
      <c r="Z2241" s="127"/>
      <c r="AA2241" s="127"/>
      <c r="AB2241" s="127"/>
      <c r="AC2241" s="127"/>
      <c r="AD2241" s="261"/>
      <c r="AE2241" s="261"/>
      <c r="AF2241" s="261"/>
      <c r="AG2241" s="261"/>
    </row>
    <row r="2242" ht="34.5" hidden="1" customHeight="1">
      <c r="A2242" s="111"/>
      <c r="B2242" s="127"/>
      <c r="C2242" s="111"/>
      <c r="D2242" s="111"/>
      <c r="E2242" s="111"/>
      <c r="F2242" s="111"/>
      <c r="G2242" s="111"/>
      <c r="H2242" s="111"/>
      <c r="I2242" s="127"/>
      <c r="J2242" s="111"/>
      <c r="K2242" s="111"/>
      <c r="L2242" s="111"/>
      <c r="M2242" s="127"/>
      <c r="N2242" s="270"/>
      <c r="O2242" s="111"/>
      <c r="P2242" s="111"/>
      <c r="Q2242" s="127"/>
      <c r="R2242" s="124"/>
      <c r="S2242" s="125"/>
      <c r="T2242" s="125"/>
      <c r="U2242" s="125"/>
      <c r="V2242" s="125"/>
      <c r="W2242" s="125"/>
      <c r="X2242" s="125"/>
      <c r="Y2242" s="125"/>
      <c r="Z2242" s="127"/>
      <c r="AA2242" s="127"/>
      <c r="AB2242" s="127"/>
      <c r="AC2242" s="127"/>
      <c r="AD2242" s="261"/>
      <c r="AE2242" s="261"/>
      <c r="AF2242" s="261"/>
      <c r="AG2242" s="261"/>
    </row>
    <row r="2243" ht="34.5" hidden="1" customHeight="1">
      <c r="A2243" s="111"/>
      <c r="B2243" s="127"/>
      <c r="C2243" s="111"/>
      <c r="D2243" s="111"/>
      <c r="E2243" s="111"/>
      <c r="F2243" s="111"/>
      <c r="G2243" s="111"/>
      <c r="H2243" s="111"/>
      <c r="I2243" s="127"/>
      <c r="J2243" s="111"/>
      <c r="K2243" s="111"/>
      <c r="L2243" s="111"/>
      <c r="M2243" s="127"/>
      <c r="N2243" s="270"/>
      <c r="O2243" s="111"/>
      <c r="P2243" s="111"/>
      <c r="Q2243" s="127"/>
      <c r="R2243" s="124"/>
      <c r="S2243" s="125"/>
      <c r="T2243" s="125"/>
      <c r="U2243" s="125"/>
      <c r="V2243" s="125"/>
      <c r="W2243" s="125"/>
      <c r="X2243" s="125"/>
      <c r="Y2243" s="125"/>
      <c r="Z2243" s="127"/>
      <c r="AA2243" s="127"/>
      <c r="AB2243" s="127"/>
      <c r="AC2243" s="127"/>
      <c r="AD2243" s="261"/>
      <c r="AE2243" s="261"/>
      <c r="AF2243" s="261"/>
      <c r="AG2243" s="261"/>
    </row>
    <row r="2244" ht="34.5" hidden="1" customHeight="1">
      <c r="A2244" s="111"/>
      <c r="B2244" s="127"/>
      <c r="C2244" s="111"/>
      <c r="D2244" s="111"/>
      <c r="E2244" s="111"/>
      <c r="F2244" s="111"/>
      <c r="G2244" s="111"/>
      <c r="H2244" s="111"/>
      <c r="I2244" s="127"/>
      <c r="J2244" s="111"/>
      <c r="K2244" s="111"/>
      <c r="L2244" s="111"/>
      <c r="M2244" s="127"/>
      <c r="N2244" s="270"/>
      <c r="O2244" s="111"/>
      <c r="P2244" s="111"/>
      <c r="Q2244" s="127"/>
      <c r="R2244" s="124"/>
      <c r="S2244" s="125"/>
      <c r="T2244" s="125"/>
      <c r="U2244" s="125"/>
      <c r="V2244" s="125"/>
      <c r="W2244" s="125"/>
      <c r="X2244" s="125"/>
      <c r="Y2244" s="125"/>
      <c r="Z2244" s="127"/>
      <c r="AA2244" s="127"/>
      <c r="AB2244" s="127"/>
      <c r="AC2244" s="127"/>
      <c r="AD2244" s="261"/>
      <c r="AE2244" s="261"/>
      <c r="AF2244" s="261"/>
      <c r="AG2244" s="261"/>
    </row>
    <row r="2245" ht="34.5" hidden="1" customHeight="1">
      <c r="A2245" s="111"/>
      <c r="B2245" s="127"/>
      <c r="C2245" s="111"/>
      <c r="D2245" s="111"/>
      <c r="E2245" s="111"/>
      <c r="F2245" s="111"/>
      <c r="G2245" s="111"/>
      <c r="H2245" s="111"/>
      <c r="I2245" s="127"/>
      <c r="J2245" s="111"/>
      <c r="K2245" s="111"/>
      <c r="L2245" s="111"/>
      <c r="M2245" s="127"/>
      <c r="N2245" s="270"/>
      <c r="O2245" s="111"/>
      <c r="P2245" s="111"/>
      <c r="Q2245" s="127"/>
      <c r="R2245" s="124"/>
      <c r="S2245" s="125"/>
      <c r="T2245" s="125"/>
      <c r="U2245" s="125"/>
      <c r="V2245" s="125"/>
      <c r="W2245" s="125"/>
      <c r="X2245" s="125"/>
      <c r="Y2245" s="125"/>
      <c r="Z2245" s="127"/>
      <c r="AA2245" s="127"/>
      <c r="AB2245" s="127"/>
      <c r="AC2245" s="127"/>
      <c r="AD2245" s="261"/>
      <c r="AE2245" s="261"/>
      <c r="AF2245" s="261"/>
      <c r="AG2245" s="261"/>
    </row>
    <row r="2246" ht="34.5" hidden="1" customHeight="1">
      <c r="A2246" s="111"/>
      <c r="B2246" s="127"/>
      <c r="C2246" s="111"/>
      <c r="D2246" s="111"/>
      <c r="E2246" s="111"/>
      <c r="F2246" s="111"/>
      <c r="G2246" s="111"/>
      <c r="H2246" s="111"/>
      <c r="I2246" s="127"/>
      <c r="J2246" s="111"/>
      <c r="K2246" s="111"/>
      <c r="L2246" s="111"/>
      <c r="M2246" s="127"/>
      <c r="N2246" s="270"/>
      <c r="O2246" s="111"/>
      <c r="P2246" s="111"/>
      <c r="Q2246" s="127"/>
      <c r="R2246" s="124"/>
      <c r="S2246" s="125"/>
      <c r="T2246" s="125"/>
      <c r="U2246" s="125"/>
      <c r="V2246" s="125"/>
      <c r="W2246" s="125"/>
      <c r="X2246" s="125"/>
      <c r="Y2246" s="125"/>
      <c r="Z2246" s="127"/>
      <c r="AA2246" s="127"/>
      <c r="AB2246" s="127"/>
      <c r="AC2246" s="127"/>
      <c r="AD2246" s="261"/>
      <c r="AE2246" s="261"/>
      <c r="AF2246" s="261"/>
      <c r="AG2246" s="261"/>
    </row>
    <row r="2247" ht="34.5" hidden="1" customHeight="1">
      <c r="A2247" s="111"/>
      <c r="B2247" s="127"/>
      <c r="C2247" s="111"/>
      <c r="D2247" s="111"/>
      <c r="E2247" s="111"/>
      <c r="F2247" s="111"/>
      <c r="G2247" s="111"/>
      <c r="H2247" s="111"/>
      <c r="I2247" s="127"/>
      <c r="J2247" s="111"/>
      <c r="K2247" s="111"/>
      <c r="L2247" s="111"/>
      <c r="M2247" s="127"/>
      <c r="N2247" s="270"/>
      <c r="O2247" s="111"/>
      <c r="P2247" s="111"/>
      <c r="Q2247" s="127"/>
      <c r="R2247" s="124"/>
      <c r="S2247" s="125"/>
      <c r="T2247" s="125"/>
      <c r="U2247" s="125"/>
      <c r="V2247" s="125"/>
      <c r="W2247" s="125"/>
      <c r="X2247" s="125"/>
      <c r="Y2247" s="125"/>
      <c r="Z2247" s="127"/>
      <c r="AA2247" s="127"/>
      <c r="AB2247" s="127"/>
      <c r="AC2247" s="127"/>
      <c r="AD2247" s="261"/>
      <c r="AE2247" s="261"/>
      <c r="AF2247" s="261"/>
      <c r="AG2247" s="261"/>
    </row>
    <row r="2248" ht="34.5" hidden="1" customHeight="1">
      <c r="A2248" s="111"/>
      <c r="B2248" s="127"/>
      <c r="C2248" s="111"/>
      <c r="D2248" s="111"/>
      <c r="E2248" s="111"/>
      <c r="F2248" s="111"/>
      <c r="G2248" s="111"/>
      <c r="H2248" s="111"/>
      <c r="I2248" s="127"/>
      <c r="J2248" s="111"/>
      <c r="K2248" s="111"/>
      <c r="L2248" s="111"/>
      <c r="M2248" s="127"/>
      <c r="N2248" s="270"/>
      <c r="O2248" s="111"/>
      <c r="P2248" s="111"/>
      <c r="Q2248" s="127"/>
      <c r="R2248" s="124"/>
      <c r="S2248" s="125"/>
      <c r="T2248" s="125"/>
      <c r="U2248" s="125"/>
      <c r="V2248" s="125"/>
      <c r="W2248" s="125"/>
      <c r="X2248" s="125"/>
      <c r="Y2248" s="125"/>
      <c r="Z2248" s="127"/>
      <c r="AA2248" s="127"/>
      <c r="AB2248" s="127"/>
      <c r="AC2248" s="127"/>
      <c r="AD2248" s="261"/>
      <c r="AE2248" s="261"/>
      <c r="AF2248" s="261"/>
      <c r="AG2248" s="261"/>
    </row>
    <row r="2249" ht="34.5" hidden="1" customHeight="1">
      <c r="A2249" s="111"/>
      <c r="B2249" s="127"/>
      <c r="C2249" s="111"/>
      <c r="D2249" s="111"/>
      <c r="E2249" s="111"/>
      <c r="F2249" s="111"/>
      <c r="G2249" s="111"/>
      <c r="H2249" s="111"/>
      <c r="I2249" s="127"/>
      <c r="J2249" s="111"/>
      <c r="K2249" s="111"/>
      <c r="L2249" s="111"/>
      <c r="M2249" s="127"/>
      <c r="N2249" s="270"/>
      <c r="O2249" s="111"/>
      <c r="P2249" s="111"/>
      <c r="Q2249" s="127"/>
      <c r="R2249" s="124"/>
      <c r="S2249" s="125"/>
      <c r="T2249" s="125"/>
      <c r="U2249" s="125"/>
      <c r="V2249" s="125"/>
      <c r="W2249" s="125"/>
      <c r="X2249" s="125"/>
      <c r="Y2249" s="125"/>
      <c r="Z2249" s="127"/>
      <c r="AA2249" s="127"/>
      <c r="AB2249" s="127"/>
      <c r="AC2249" s="127"/>
      <c r="AD2249" s="261"/>
      <c r="AE2249" s="261"/>
      <c r="AF2249" s="261"/>
      <c r="AG2249" s="261"/>
    </row>
    <row r="2250" ht="34.5" hidden="1" customHeight="1">
      <c r="A2250" s="111"/>
      <c r="B2250" s="127"/>
      <c r="C2250" s="111"/>
      <c r="D2250" s="111"/>
      <c r="E2250" s="111"/>
      <c r="F2250" s="111"/>
      <c r="G2250" s="111"/>
      <c r="H2250" s="111"/>
      <c r="I2250" s="127"/>
      <c r="J2250" s="111"/>
      <c r="K2250" s="111"/>
      <c r="L2250" s="111"/>
      <c r="M2250" s="127"/>
      <c r="N2250" s="270"/>
      <c r="O2250" s="111"/>
      <c r="P2250" s="111"/>
      <c r="Q2250" s="127"/>
      <c r="R2250" s="124"/>
      <c r="S2250" s="125"/>
      <c r="T2250" s="125"/>
      <c r="U2250" s="125"/>
      <c r="V2250" s="125"/>
      <c r="W2250" s="125"/>
      <c r="X2250" s="125"/>
      <c r="Y2250" s="125"/>
      <c r="Z2250" s="127"/>
      <c r="AA2250" s="127"/>
      <c r="AB2250" s="127"/>
      <c r="AC2250" s="127"/>
      <c r="AD2250" s="261"/>
      <c r="AE2250" s="261"/>
      <c r="AF2250" s="261"/>
      <c r="AG2250" s="261"/>
    </row>
    <row r="2251" ht="34.5" hidden="1" customHeight="1">
      <c r="A2251" s="111"/>
      <c r="B2251" s="127"/>
      <c r="C2251" s="111"/>
      <c r="D2251" s="111"/>
      <c r="E2251" s="111"/>
      <c r="F2251" s="111"/>
      <c r="G2251" s="111"/>
      <c r="H2251" s="111"/>
      <c r="I2251" s="127"/>
      <c r="J2251" s="111"/>
      <c r="K2251" s="111"/>
      <c r="L2251" s="111"/>
      <c r="M2251" s="127"/>
      <c r="N2251" s="270"/>
      <c r="O2251" s="111"/>
      <c r="P2251" s="111"/>
      <c r="Q2251" s="127"/>
      <c r="R2251" s="124"/>
      <c r="S2251" s="125"/>
      <c r="T2251" s="125"/>
      <c r="U2251" s="125"/>
      <c r="V2251" s="125"/>
      <c r="W2251" s="125"/>
      <c r="X2251" s="125"/>
      <c r="Y2251" s="125"/>
      <c r="Z2251" s="127"/>
      <c r="AA2251" s="127"/>
      <c r="AB2251" s="127"/>
      <c r="AC2251" s="127"/>
      <c r="AD2251" s="261"/>
      <c r="AE2251" s="261"/>
      <c r="AF2251" s="261"/>
      <c r="AG2251" s="261"/>
    </row>
    <row r="2252" ht="34.5" hidden="1" customHeight="1">
      <c r="A2252" s="111"/>
      <c r="B2252" s="127"/>
      <c r="C2252" s="111"/>
      <c r="D2252" s="111"/>
      <c r="E2252" s="111"/>
      <c r="F2252" s="111"/>
      <c r="G2252" s="111"/>
      <c r="H2252" s="111"/>
      <c r="I2252" s="127"/>
      <c r="J2252" s="111"/>
      <c r="K2252" s="111"/>
      <c r="L2252" s="111"/>
      <c r="M2252" s="127"/>
      <c r="N2252" s="270"/>
      <c r="O2252" s="111"/>
      <c r="P2252" s="111"/>
      <c r="Q2252" s="127"/>
      <c r="R2252" s="124"/>
      <c r="S2252" s="125"/>
      <c r="T2252" s="125"/>
      <c r="U2252" s="125"/>
      <c r="V2252" s="125"/>
      <c r="W2252" s="125"/>
      <c r="X2252" s="125"/>
      <c r="Y2252" s="125"/>
      <c r="Z2252" s="127"/>
      <c r="AA2252" s="127"/>
      <c r="AB2252" s="127"/>
      <c r="AC2252" s="127"/>
      <c r="AD2252" s="261"/>
      <c r="AE2252" s="261"/>
      <c r="AF2252" s="261"/>
      <c r="AG2252" s="261"/>
    </row>
    <row r="2253" ht="34.5" hidden="1" customHeight="1">
      <c r="A2253" s="111"/>
      <c r="B2253" s="127"/>
      <c r="C2253" s="111"/>
      <c r="D2253" s="111"/>
      <c r="E2253" s="111"/>
      <c r="F2253" s="111"/>
      <c r="G2253" s="111"/>
      <c r="H2253" s="111"/>
      <c r="I2253" s="127"/>
      <c r="J2253" s="111"/>
      <c r="K2253" s="111"/>
      <c r="L2253" s="111"/>
      <c r="M2253" s="127"/>
      <c r="N2253" s="270"/>
      <c r="O2253" s="111"/>
      <c r="P2253" s="111"/>
      <c r="Q2253" s="127"/>
      <c r="R2253" s="124"/>
      <c r="S2253" s="125"/>
      <c r="T2253" s="125"/>
      <c r="U2253" s="125"/>
      <c r="V2253" s="125"/>
      <c r="W2253" s="125"/>
      <c r="X2253" s="125"/>
      <c r="Y2253" s="125"/>
      <c r="Z2253" s="127"/>
      <c r="AA2253" s="127"/>
      <c r="AB2253" s="127"/>
      <c r="AC2253" s="127"/>
      <c r="AD2253" s="261"/>
      <c r="AE2253" s="261"/>
      <c r="AF2253" s="261"/>
      <c r="AG2253" s="261"/>
    </row>
    <row r="2254" ht="34.5" hidden="1" customHeight="1">
      <c r="A2254" s="111"/>
      <c r="B2254" s="127"/>
      <c r="C2254" s="111"/>
      <c r="D2254" s="111"/>
      <c r="E2254" s="111"/>
      <c r="F2254" s="111"/>
      <c r="G2254" s="111"/>
      <c r="H2254" s="111"/>
      <c r="I2254" s="127"/>
      <c r="J2254" s="111"/>
      <c r="K2254" s="111"/>
      <c r="L2254" s="111"/>
      <c r="M2254" s="127"/>
      <c r="N2254" s="270"/>
      <c r="O2254" s="111"/>
      <c r="P2254" s="111"/>
      <c r="Q2254" s="127"/>
      <c r="R2254" s="124"/>
      <c r="S2254" s="125"/>
      <c r="T2254" s="125"/>
      <c r="U2254" s="125"/>
      <c r="V2254" s="125"/>
      <c r="W2254" s="125"/>
      <c r="X2254" s="125"/>
      <c r="Y2254" s="125"/>
      <c r="Z2254" s="127"/>
      <c r="AA2254" s="127"/>
      <c r="AB2254" s="127"/>
      <c r="AC2254" s="127"/>
      <c r="AD2254" s="261"/>
      <c r="AE2254" s="261"/>
      <c r="AF2254" s="261"/>
      <c r="AG2254" s="261"/>
    </row>
    <row r="2255" ht="34.5" hidden="1" customHeight="1">
      <c r="A2255" s="111"/>
      <c r="B2255" s="127"/>
      <c r="C2255" s="111"/>
      <c r="D2255" s="111"/>
      <c r="E2255" s="111"/>
      <c r="F2255" s="111"/>
      <c r="G2255" s="111"/>
      <c r="H2255" s="111"/>
      <c r="I2255" s="127"/>
      <c r="J2255" s="111"/>
      <c r="K2255" s="111"/>
      <c r="L2255" s="111"/>
      <c r="M2255" s="127"/>
      <c r="N2255" s="270"/>
      <c r="O2255" s="111"/>
      <c r="P2255" s="111"/>
      <c r="Q2255" s="127"/>
      <c r="R2255" s="124"/>
      <c r="S2255" s="125"/>
      <c r="T2255" s="125"/>
      <c r="U2255" s="125"/>
      <c r="V2255" s="125"/>
      <c r="W2255" s="125"/>
      <c r="X2255" s="125"/>
      <c r="Y2255" s="125"/>
      <c r="Z2255" s="127"/>
      <c r="AA2255" s="127"/>
      <c r="AB2255" s="127"/>
      <c r="AC2255" s="127"/>
      <c r="AD2255" s="261"/>
      <c r="AE2255" s="261"/>
      <c r="AF2255" s="261"/>
      <c r="AG2255" s="261"/>
    </row>
    <row r="2256" ht="34.5" hidden="1" customHeight="1">
      <c r="A2256" s="111"/>
      <c r="B2256" s="127"/>
      <c r="C2256" s="111"/>
      <c r="D2256" s="111"/>
      <c r="E2256" s="111"/>
      <c r="F2256" s="111"/>
      <c r="G2256" s="111"/>
      <c r="H2256" s="111"/>
      <c r="I2256" s="127"/>
      <c r="J2256" s="111"/>
      <c r="K2256" s="111"/>
      <c r="L2256" s="111"/>
      <c r="M2256" s="127"/>
      <c r="N2256" s="270"/>
      <c r="O2256" s="111"/>
      <c r="P2256" s="111"/>
      <c r="Q2256" s="127"/>
      <c r="R2256" s="124"/>
      <c r="S2256" s="125"/>
      <c r="T2256" s="125"/>
      <c r="U2256" s="125"/>
      <c r="V2256" s="125"/>
      <c r="W2256" s="125"/>
      <c r="X2256" s="125"/>
      <c r="Y2256" s="125"/>
      <c r="Z2256" s="127"/>
      <c r="AA2256" s="127"/>
      <c r="AB2256" s="127"/>
      <c r="AC2256" s="127"/>
      <c r="AD2256" s="261"/>
      <c r="AE2256" s="261"/>
      <c r="AF2256" s="261"/>
      <c r="AG2256" s="261"/>
    </row>
    <row r="2257" ht="34.5" hidden="1" customHeight="1">
      <c r="A2257" s="111"/>
      <c r="B2257" s="127"/>
      <c r="C2257" s="111"/>
      <c r="D2257" s="111"/>
      <c r="E2257" s="111"/>
      <c r="F2257" s="111"/>
      <c r="G2257" s="111"/>
      <c r="H2257" s="111"/>
      <c r="I2257" s="127"/>
      <c r="J2257" s="111"/>
      <c r="K2257" s="111"/>
      <c r="L2257" s="111"/>
      <c r="M2257" s="127"/>
      <c r="N2257" s="270"/>
      <c r="O2257" s="111"/>
      <c r="P2257" s="111"/>
      <c r="Q2257" s="127"/>
      <c r="R2257" s="124"/>
      <c r="S2257" s="125"/>
      <c r="T2257" s="125"/>
      <c r="U2257" s="125"/>
      <c r="V2257" s="125"/>
      <c r="W2257" s="125"/>
      <c r="X2257" s="125"/>
      <c r="Y2257" s="125"/>
      <c r="Z2257" s="127"/>
      <c r="AA2257" s="127"/>
      <c r="AB2257" s="127"/>
      <c r="AC2257" s="127"/>
      <c r="AD2257" s="261"/>
      <c r="AE2257" s="261"/>
      <c r="AF2257" s="261"/>
      <c r="AG2257" s="261"/>
    </row>
    <row r="2258" ht="34.5" hidden="1" customHeight="1">
      <c r="A2258" s="111"/>
      <c r="B2258" s="127"/>
      <c r="C2258" s="111"/>
      <c r="D2258" s="111"/>
      <c r="E2258" s="111"/>
      <c r="F2258" s="111"/>
      <c r="G2258" s="111"/>
      <c r="H2258" s="111"/>
      <c r="I2258" s="127"/>
      <c r="J2258" s="111"/>
      <c r="K2258" s="111"/>
      <c r="L2258" s="111"/>
      <c r="M2258" s="127"/>
      <c r="N2258" s="270"/>
      <c r="O2258" s="111"/>
      <c r="P2258" s="111"/>
      <c r="Q2258" s="127"/>
      <c r="R2258" s="124"/>
      <c r="S2258" s="125"/>
      <c r="T2258" s="125"/>
      <c r="U2258" s="125"/>
      <c r="V2258" s="125"/>
      <c r="W2258" s="125"/>
      <c r="X2258" s="125"/>
      <c r="Y2258" s="125"/>
      <c r="Z2258" s="127"/>
      <c r="AA2258" s="127"/>
      <c r="AB2258" s="127"/>
      <c r="AC2258" s="127"/>
      <c r="AD2258" s="261"/>
      <c r="AE2258" s="261"/>
      <c r="AF2258" s="261"/>
      <c r="AG2258" s="261"/>
    </row>
    <row r="2259" ht="34.5" hidden="1" customHeight="1">
      <c r="A2259" s="111"/>
      <c r="B2259" s="127"/>
      <c r="C2259" s="111"/>
      <c r="D2259" s="111"/>
      <c r="E2259" s="111"/>
      <c r="F2259" s="111"/>
      <c r="G2259" s="111"/>
      <c r="H2259" s="111"/>
      <c r="I2259" s="127"/>
      <c r="J2259" s="111"/>
      <c r="K2259" s="111"/>
      <c r="L2259" s="111"/>
      <c r="M2259" s="127"/>
      <c r="N2259" s="270"/>
      <c r="O2259" s="111"/>
      <c r="P2259" s="111"/>
      <c r="Q2259" s="127"/>
      <c r="R2259" s="124"/>
      <c r="S2259" s="125"/>
      <c r="T2259" s="125"/>
      <c r="U2259" s="125"/>
      <c r="V2259" s="125"/>
      <c r="W2259" s="125"/>
      <c r="X2259" s="125"/>
      <c r="Y2259" s="125"/>
      <c r="Z2259" s="127"/>
      <c r="AA2259" s="127"/>
      <c r="AB2259" s="127"/>
      <c r="AC2259" s="127"/>
      <c r="AD2259" s="261"/>
      <c r="AE2259" s="261"/>
      <c r="AF2259" s="261"/>
      <c r="AG2259" s="261"/>
    </row>
    <row r="2260" ht="34.5" hidden="1" customHeight="1">
      <c r="A2260" s="111"/>
      <c r="B2260" s="127"/>
      <c r="C2260" s="111"/>
      <c r="D2260" s="111"/>
      <c r="E2260" s="111"/>
      <c r="F2260" s="111"/>
      <c r="G2260" s="111"/>
      <c r="H2260" s="111"/>
      <c r="I2260" s="127"/>
      <c r="J2260" s="111"/>
      <c r="K2260" s="111"/>
      <c r="L2260" s="111"/>
      <c r="M2260" s="127"/>
      <c r="N2260" s="270"/>
      <c r="O2260" s="111"/>
      <c r="P2260" s="111"/>
      <c r="Q2260" s="127"/>
      <c r="R2260" s="124"/>
      <c r="S2260" s="125"/>
      <c r="T2260" s="125"/>
      <c r="U2260" s="125"/>
      <c r="V2260" s="125"/>
      <c r="W2260" s="125"/>
      <c r="X2260" s="125"/>
      <c r="Y2260" s="125"/>
      <c r="Z2260" s="127"/>
      <c r="AA2260" s="127"/>
      <c r="AB2260" s="127"/>
      <c r="AC2260" s="127"/>
      <c r="AD2260" s="261"/>
      <c r="AE2260" s="261"/>
      <c r="AF2260" s="261"/>
      <c r="AG2260" s="261"/>
    </row>
    <row r="2261" ht="34.5" hidden="1" customHeight="1">
      <c r="A2261" s="111"/>
      <c r="B2261" s="127"/>
      <c r="C2261" s="111"/>
      <c r="D2261" s="111"/>
      <c r="E2261" s="111"/>
      <c r="F2261" s="111"/>
      <c r="G2261" s="111"/>
      <c r="H2261" s="111"/>
      <c r="I2261" s="127"/>
      <c r="J2261" s="111"/>
      <c r="K2261" s="111"/>
      <c r="L2261" s="111"/>
      <c r="M2261" s="127"/>
      <c r="N2261" s="270"/>
      <c r="O2261" s="111"/>
      <c r="P2261" s="111"/>
      <c r="Q2261" s="127"/>
      <c r="R2261" s="124"/>
      <c r="S2261" s="125"/>
      <c r="T2261" s="125"/>
      <c r="U2261" s="125"/>
      <c r="V2261" s="125"/>
      <c r="W2261" s="125"/>
      <c r="X2261" s="125"/>
      <c r="Y2261" s="125"/>
      <c r="Z2261" s="127"/>
      <c r="AA2261" s="127"/>
      <c r="AB2261" s="127"/>
      <c r="AC2261" s="127"/>
      <c r="AD2261" s="261"/>
      <c r="AE2261" s="261"/>
      <c r="AF2261" s="261"/>
      <c r="AG2261" s="261"/>
    </row>
    <row r="2262" ht="34.5" hidden="1" customHeight="1">
      <c r="A2262" s="111"/>
      <c r="B2262" s="127"/>
      <c r="C2262" s="111"/>
      <c r="D2262" s="111"/>
      <c r="E2262" s="111"/>
      <c r="F2262" s="111"/>
      <c r="G2262" s="111"/>
      <c r="H2262" s="111"/>
      <c r="I2262" s="127"/>
      <c r="J2262" s="111"/>
      <c r="K2262" s="111"/>
      <c r="L2262" s="111"/>
      <c r="M2262" s="127"/>
      <c r="N2262" s="270"/>
      <c r="O2262" s="111"/>
      <c r="P2262" s="111"/>
      <c r="Q2262" s="127"/>
      <c r="R2262" s="124"/>
      <c r="S2262" s="125"/>
      <c r="T2262" s="125"/>
      <c r="U2262" s="125"/>
      <c r="V2262" s="125"/>
      <c r="W2262" s="125"/>
      <c r="X2262" s="125"/>
      <c r="Y2262" s="125"/>
      <c r="Z2262" s="127"/>
      <c r="AA2262" s="127"/>
      <c r="AB2262" s="127"/>
      <c r="AC2262" s="127"/>
      <c r="AD2262" s="261"/>
      <c r="AE2262" s="261"/>
      <c r="AF2262" s="261"/>
      <c r="AG2262" s="261"/>
    </row>
    <row r="2263" ht="34.5" hidden="1" customHeight="1">
      <c r="A2263" s="111"/>
      <c r="B2263" s="127"/>
      <c r="C2263" s="111"/>
      <c r="D2263" s="111"/>
      <c r="E2263" s="111"/>
      <c r="F2263" s="111"/>
      <c r="G2263" s="111"/>
      <c r="H2263" s="111"/>
      <c r="I2263" s="127"/>
      <c r="J2263" s="111"/>
      <c r="K2263" s="111"/>
      <c r="L2263" s="111"/>
      <c r="M2263" s="127"/>
      <c r="N2263" s="270"/>
      <c r="O2263" s="111"/>
      <c r="P2263" s="111"/>
      <c r="Q2263" s="127"/>
      <c r="R2263" s="124"/>
      <c r="S2263" s="125"/>
      <c r="T2263" s="125"/>
      <c r="U2263" s="125"/>
      <c r="V2263" s="125"/>
      <c r="W2263" s="125"/>
      <c r="X2263" s="125"/>
      <c r="Y2263" s="125"/>
      <c r="Z2263" s="127"/>
      <c r="AA2263" s="127"/>
      <c r="AB2263" s="127"/>
      <c r="AC2263" s="127"/>
      <c r="AD2263" s="261"/>
      <c r="AE2263" s="261"/>
      <c r="AF2263" s="261"/>
      <c r="AG2263" s="261"/>
    </row>
    <row r="2264" ht="34.5" hidden="1" customHeight="1">
      <c r="A2264" s="111"/>
      <c r="B2264" s="127"/>
      <c r="C2264" s="111"/>
      <c r="D2264" s="111"/>
      <c r="E2264" s="111"/>
      <c r="F2264" s="111"/>
      <c r="G2264" s="111"/>
      <c r="H2264" s="111"/>
      <c r="I2264" s="127"/>
      <c r="J2264" s="111"/>
      <c r="K2264" s="111"/>
      <c r="L2264" s="111"/>
      <c r="M2264" s="127"/>
      <c r="N2264" s="270"/>
      <c r="O2264" s="111"/>
      <c r="P2264" s="111"/>
      <c r="Q2264" s="127"/>
      <c r="R2264" s="124"/>
      <c r="S2264" s="125"/>
      <c r="T2264" s="125"/>
      <c r="U2264" s="125"/>
      <c r="V2264" s="125"/>
      <c r="W2264" s="125"/>
      <c r="X2264" s="125"/>
      <c r="Y2264" s="125"/>
      <c r="Z2264" s="127"/>
      <c r="AA2264" s="127"/>
      <c r="AB2264" s="127"/>
      <c r="AC2264" s="127"/>
      <c r="AD2264" s="261"/>
      <c r="AE2264" s="261"/>
      <c r="AF2264" s="261"/>
      <c r="AG2264" s="261"/>
    </row>
    <row r="2265" ht="34.5" hidden="1" customHeight="1">
      <c r="A2265" s="111"/>
      <c r="B2265" s="127"/>
      <c r="C2265" s="111"/>
      <c r="D2265" s="111"/>
      <c r="E2265" s="111"/>
      <c r="F2265" s="111"/>
      <c r="G2265" s="111"/>
      <c r="H2265" s="111"/>
      <c r="I2265" s="127"/>
      <c r="J2265" s="111"/>
      <c r="K2265" s="111"/>
      <c r="L2265" s="111"/>
      <c r="M2265" s="127"/>
      <c r="N2265" s="270"/>
      <c r="O2265" s="111"/>
      <c r="P2265" s="111"/>
      <c r="Q2265" s="127"/>
      <c r="R2265" s="124"/>
      <c r="S2265" s="125"/>
      <c r="T2265" s="125"/>
      <c r="U2265" s="125"/>
      <c r="V2265" s="125"/>
      <c r="W2265" s="125"/>
      <c r="X2265" s="125"/>
      <c r="Y2265" s="125"/>
      <c r="Z2265" s="127"/>
      <c r="AA2265" s="127"/>
      <c r="AB2265" s="127"/>
      <c r="AC2265" s="127"/>
      <c r="AD2265" s="261"/>
      <c r="AE2265" s="261"/>
      <c r="AF2265" s="261"/>
      <c r="AG2265" s="261"/>
    </row>
    <row r="2266" ht="34.5" hidden="1" customHeight="1">
      <c r="A2266" s="111"/>
      <c r="B2266" s="127"/>
      <c r="C2266" s="111"/>
      <c r="D2266" s="111"/>
      <c r="E2266" s="111"/>
      <c r="F2266" s="111"/>
      <c r="G2266" s="111"/>
      <c r="H2266" s="111"/>
      <c r="I2266" s="127"/>
      <c r="J2266" s="111"/>
      <c r="K2266" s="111"/>
      <c r="L2266" s="111"/>
      <c r="M2266" s="127"/>
      <c r="N2266" s="270"/>
      <c r="O2266" s="111"/>
      <c r="P2266" s="111"/>
      <c r="Q2266" s="127"/>
      <c r="R2266" s="124"/>
      <c r="S2266" s="125"/>
      <c r="T2266" s="125"/>
      <c r="U2266" s="125"/>
      <c r="V2266" s="125"/>
      <c r="W2266" s="125"/>
      <c r="X2266" s="125"/>
      <c r="Y2266" s="125"/>
      <c r="Z2266" s="127"/>
      <c r="AA2266" s="127"/>
      <c r="AB2266" s="127"/>
      <c r="AC2266" s="127"/>
      <c r="AD2266" s="261"/>
      <c r="AE2266" s="261"/>
      <c r="AF2266" s="261"/>
      <c r="AG2266" s="261"/>
    </row>
    <row r="2267" ht="34.5" hidden="1" customHeight="1">
      <c r="A2267" s="111"/>
      <c r="B2267" s="127"/>
      <c r="C2267" s="111"/>
      <c r="D2267" s="111"/>
      <c r="E2267" s="111"/>
      <c r="F2267" s="111"/>
      <c r="G2267" s="111"/>
      <c r="H2267" s="111"/>
      <c r="I2267" s="127"/>
      <c r="J2267" s="111"/>
      <c r="K2267" s="111"/>
      <c r="L2267" s="111"/>
      <c r="M2267" s="127"/>
      <c r="N2267" s="270"/>
      <c r="O2267" s="111"/>
      <c r="P2267" s="111"/>
      <c r="Q2267" s="127"/>
      <c r="R2267" s="124"/>
      <c r="S2267" s="125"/>
      <c r="T2267" s="125"/>
      <c r="U2267" s="125"/>
      <c r="V2267" s="125"/>
      <c r="W2267" s="125"/>
      <c r="X2267" s="125"/>
      <c r="Y2267" s="125"/>
      <c r="Z2267" s="127"/>
      <c r="AA2267" s="127"/>
      <c r="AB2267" s="127"/>
      <c r="AC2267" s="127"/>
      <c r="AD2267" s="261"/>
      <c r="AE2267" s="261"/>
      <c r="AF2267" s="261"/>
      <c r="AG2267" s="261"/>
    </row>
    <row r="2268" ht="34.5" hidden="1" customHeight="1">
      <c r="A2268" s="111"/>
      <c r="B2268" s="127"/>
      <c r="C2268" s="111"/>
      <c r="D2268" s="111"/>
      <c r="E2268" s="111"/>
      <c r="F2268" s="111"/>
      <c r="G2268" s="111"/>
      <c r="H2268" s="111"/>
      <c r="I2268" s="127"/>
      <c r="J2268" s="111"/>
      <c r="K2268" s="111"/>
      <c r="L2268" s="111"/>
      <c r="M2268" s="127"/>
      <c r="N2268" s="270"/>
      <c r="O2268" s="111"/>
      <c r="P2268" s="111"/>
      <c r="Q2268" s="127"/>
      <c r="R2268" s="124"/>
      <c r="S2268" s="125"/>
      <c r="T2268" s="125"/>
      <c r="U2268" s="125"/>
      <c r="V2268" s="125"/>
      <c r="W2268" s="125"/>
      <c r="X2268" s="125"/>
      <c r="Y2268" s="125"/>
      <c r="Z2268" s="127"/>
      <c r="AA2268" s="127"/>
      <c r="AB2268" s="127"/>
      <c r="AC2268" s="127"/>
      <c r="AD2268" s="261"/>
      <c r="AE2268" s="261"/>
      <c r="AF2268" s="261"/>
      <c r="AG2268" s="261"/>
    </row>
    <row r="2269" ht="34.5" hidden="1" customHeight="1">
      <c r="A2269" s="111"/>
      <c r="B2269" s="127"/>
      <c r="C2269" s="111"/>
      <c r="D2269" s="111"/>
      <c r="E2269" s="111"/>
      <c r="F2269" s="111"/>
      <c r="G2269" s="111"/>
      <c r="H2269" s="111"/>
      <c r="I2269" s="127"/>
      <c r="J2269" s="111"/>
      <c r="K2269" s="111"/>
      <c r="L2269" s="111"/>
      <c r="M2269" s="127"/>
      <c r="N2269" s="270"/>
      <c r="O2269" s="111"/>
      <c r="P2269" s="111"/>
      <c r="Q2269" s="127"/>
      <c r="R2269" s="124"/>
      <c r="S2269" s="125"/>
      <c r="T2269" s="125"/>
      <c r="U2269" s="125"/>
      <c r="V2269" s="125"/>
      <c r="W2269" s="125"/>
      <c r="X2269" s="125"/>
      <c r="Y2269" s="125"/>
      <c r="Z2269" s="127"/>
      <c r="AA2269" s="127"/>
      <c r="AB2269" s="127"/>
      <c r="AC2269" s="127"/>
      <c r="AD2269" s="261"/>
      <c r="AE2269" s="261"/>
      <c r="AF2269" s="261"/>
      <c r="AG2269" s="261"/>
    </row>
    <row r="2270" ht="34.5" hidden="1" customHeight="1">
      <c r="A2270" s="111"/>
      <c r="B2270" s="127"/>
      <c r="C2270" s="111"/>
      <c r="D2270" s="111"/>
      <c r="E2270" s="111"/>
      <c r="F2270" s="111"/>
      <c r="G2270" s="111"/>
      <c r="H2270" s="111"/>
      <c r="I2270" s="127"/>
      <c r="J2270" s="111"/>
      <c r="K2270" s="111"/>
      <c r="L2270" s="111"/>
      <c r="M2270" s="127"/>
      <c r="N2270" s="270"/>
      <c r="O2270" s="111"/>
      <c r="P2270" s="111"/>
      <c r="Q2270" s="127"/>
      <c r="R2270" s="124"/>
      <c r="S2270" s="125"/>
      <c r="T2270" s="125"/>
      <c r="U2270" s="125"/>
      <c r="V2270" s="125"/>
      <c r="W2270" s="125"/>
      <c r="X2270" s="125"/>
      <c r="Y2270" s="125"/>
      <c r="Z2270" s="127"/>
      <c r="AA2270" s="127"/>
      <c r="AB2270" s="127"/>
      <c r="AC2270" s="127"/>
      <c r="AD2270" s="261"/>
      <c r="AE2270" s="261"/>
      <c r="AF2270" s="261"/>
      <c r="AG2270" s="261"/>
    </row>
    <row r="2271" ht="34.5" hidden="1" customHeight="1">
      <c r="A2271" s="111"/>
      <c r="B2271" s="127"/>
      <c r="C2271" s="111"/>
      <c r="D2271" s="111"/>
      <c r="E2271" s="111"/>
      <c r="F2271" s="111"/>
      <c r="G2271" s="111"/>
      <c r="H2271" s="111"/>
      <c r="I2271" s="127"/>
      <c r="J2271" s="111"/>
      <c r="K2271" s="111"/>
      <c r="L2271" s="111"/>
      <c r="M2271" s="127"/>
      <c r="N2271" s="270"/>
      <c r="O2271" s="111"/>
      <c r="P2271" s="111"/>
      <c r="Q2271" s="127"/>
      <c r="R2271" s="124"/>
      <c r="S2271" s="125"/>
      <c r="T2271" s="125"/>
      <c r="U2271" s="125"/>
      <c r="V2271" s="125"/>
      <c r="W2271" s="125"/>
      <c r="X2271" s="125"/>
      <c r="Y2271" s="125"/>
      <c r="Z2271" s="127"/>
      <c r="AA2271" s="127"/>
      <c r="AB2271" s="127"/>
      <c r="AC2271" s="127"/>
      <c r="AD2271" s="261"/>
      <c r="AE2271" s="261"/>
      <c r="AF2271" s="261"/>
      <c r="AG2271" s="261"/>
    </row>
    <row r="2272" ht="34.5" hidden="1" customHeight="1">
      <c r="A2272" s="111"/>
      <c r="B2272" s="127"/>
      <c r="C2272" s="111"/>
      <c r="D2272" s="111"/>
      <c r="E2272" s="111"/>
      <c r="F2272" s="111"/>
      <c r="G2272" s="111"/>
      <c r="H2272" s="111"/>
      <c r="I2272" s="127"/>
      <c r="J2272" s="111"/>
      <c r="K2272" s="111"/>
      <c r="L2272" s="111"/>
      <c r="M2272" s="127"/>
      <c r="N2272" s="270"/>
      <c r="O2272" s="111"/>
      <c r="P2272" s="111"/>
      <c r="Q2272" s="127"/>
      <c r="R2272" s="124"/>
      <c r="S2272" s="125"/>
      <c r="T2272" s="125"/>
      <c r="U2272" s="125"/>
      <c r="V2272" s="125"/>
      <c r="W2272" s="125"/>
      <c r="X2272" s="125"/>
      <c r="Y2272" s="125"/>
      <c r="Z2272" s="127"/>
      <c r="AA2272" s="127"/>
      <c r="AB2272" s="127"/>
      <c r="AC2272" s="127"/>
      <c r="AD2272" s="261"/>
      <c r="AE2272" s="261"/>
      <c r="AF2272" s="261"/>
      <c r="AG2272" s="261"/>
    </row>
    <row r="2273" ht="34.5" hidden="1" customHeight="1">
      <c r="A2273" s="111"/>
      <c r="B2273" s="127"/>
      <c r="C2273" s="111"/>
      <c r="D2273" s="111"/>
      <c r="E2273" s="111"/>
      <c r="F2273" s="111"/>
      <c r="G2273" s="111"/>
      <c r="H2273" s="111"/>
      <c r="I2273" s="127"/>
      <c r="J2273" s="111"/>
      <c r="K2273" s="111"/>
      <c r="L2273" s="111"/>
      <c r="M2273" s="127"/>
      <c r="N2273" s="270"/>
      <c r="O2273" s="111"/>
      <c r="P2273" s="111"/>
      <c r="Q2273" s="127"/>
      <c r="R2273" s="124"/>
      <c r="S2273" s="125"/>
      <c r="T2273" s="125"/>
      <c r="U2273" s="125"/>
      <c r="V2273" s="125"/>
      <c r="W2273" s="125"/>
      <c r="X2273" s="125"/>
      <c r="Y2273" s="125"/>
      <c r="Z2273" s="127"/>
      <c r="AA2273" s="127"/>
      <c r="AB2273" s="127"/>
      <c r="AC2273" s="127"/>
      <c r="AD2273" s="261"/>
      <c r="AE2273" s="261"/>
      <c r="AF2273" s="261"/>
      <c r="AG2273" s="261"/>
    </row>
    <row r="2274" ht="34.5" hidden="1" customHeight="1">
      <c r="A2274" s="111"/>
      <c r="B2274" s="127"/>
      <c r="C2274" s="111"/>
      <c r="D2274" s="111"/>
      <c r="E2274" s="111"/>
      <c r="F2274" s="111"/>
      <c r="G2274" s="111"/>
      <c r="H2274" s="111"/>
      <c r="I2274" s="127"/>
      <c r="J2274" s="111"/>
      <c r="K2274" s="111"/>
      <c r="L2274" s="111"/>
      <c r="M2274" s="127"/>
      <c r="N2274" s="270"/>
      <c r="O2274" s="111"/>
      <c r="P2274" s="111"/>
      <c r="Q2274" s="127"/>
      <c r="R2274" s="124"/>
      <c r="S2274" s="125"/>
      <c r="T2274" s="125"/>
      <c r="U2274" s="125"/>
      <c r="V2274" s="125"/>
      <c r="W2274" s="125"/>
      <c r="X2274" s="125"/>
      <c r="Y2274" s="125"/>
      <c r="Z2274" s="127"/>
      <c r="AA2274" s="127"/>
      <c r="AB2274" s="127"/>
      <c r="AC2274" s="127"/>
      <c r="AD2274" s="261"/>
      <c r="AE2274" s="261"/>
      <c r="AF2274" s="261"/>
      <c r="AG2274" s="261"/>
    </row>
    <row r="2275" ht="34.5" hidden="1" customHeight="1">
      <c r="A2275" s="111"/>
      <c r="B2275" s="127"/>
      <c r="C2275" s="111"/>
      <c r="D2275" s="111"/>
      <c r="E2275" s="111"/>
      <c r="F2275" s="111"/>
      <c r="G2275" s="111"/>
      <c r="H2275" s="111"/>
      <c r="I2275" s="127"/>
      <c r="J2275" s="111"/>
      <c r="K2275" s="111"/>
      <c r="L2275" s="111"/>
      <c r="M2275" s="127"/>
      <c r="N2275" s="270"/>
      <c r="O2275" s="111"/>
      <c r="P2275" s="111"/>
      <c r="Q2275" s="127"/>
      <c r="R2275" s="124"/>
      <c r="S2275" s="125"/>
      <c r="T2275" s="125"/>
      <c r="U2275" s="125"/>
      <c r="V2275" s="125"/>
      <c r="W2275" s="125"/>
      <c r="X2275" s="125"/>
      <c r="Y2275" s="125"/>
      <c r="Z2275" s="127"/>
      <c r="AA2275" s="127"/>
      <c r="AB2275" s="127"/>
      <c r="AC2275" s="127"/>
      <c r="AD2275" s="261"/>
      <c r="AE2275" s="261"/>
      <c r="AF2275" s="261"/>
      <c r="AG2275" s="261"/>
    </row>
    <row r="2276" ht="34.5" hidden="1" customHeight="1">
      <c r="A2276" s="111"/>
      <c r="B2276" s="127"/>
      <c r="C2276" s="111"/>
      <c r="D2276" s="111"/>
      <c r="E2276" s="111"/>
      <c r="F2276" s="111"/>
      <c r="G2276" s="111"/>
      <c r="H2276" s="111"/>
      <c r="I2276" s="127"/>
      <c r="J2276" s="111"/>
      <c r="K2276" s="111"/>
      <c r="L2276" s="111"/>
      <c r="M2276" s="127"/>
      <c r="N2276" s="270"/>
      <c r="O2276" s="111"/>
      <c r="P2276" s="111"/>
      <c r="Q2276" s="127"/>
      <c r="R2276" s="124"/>
      <c r="S2276" s="125"/>
      <c r="T2276" s="125"/>
      <c r="U2276" s="125"/>
      <c r="V2276" s="125"/>
      <c r="W2276" s="125"/>
      <c r="X2276" s="125"/>
      <c r="Y2276" s="125"/>
      <c r="Z2276" s="127"/>
      <c r="AA2276" s="127"/>
      <c r="AB2276" s="127"/>
      <c r="AC2276" s="127"/>
      <c r="AD2276" s="261"/>
      <c r="AE2276" s="261"/>
      <c r="AF2276" s="261"/>
      <c r="AG2276" s="261"/>
    </row>
    <row r="2277" ht="34.5" hidden="1" customHeight="1">
      <c r="A2277" s="111"/>
      <c r="B2277" s="127"/>
      <c r="C2277" s="111"/>
      <c r="D2277" s="111"/>
      <c r="E2277" s="111"/>
      <c r="F2277" s="111"/>
      <c r="G2277" s="111"/>
      <c r="H2277" s="111"/>
      <c r="I2277" s="127"/>
      <c r="J2277" s="111"/>
      <c r="K2277" s="111"/>
      <c r="L2277" s="111"/>
      <c r="M2277" s="127"/>
      <c r="N2277" s="270"/>
      <c r="O2277" s="111"/>
      <c r="P2277" s="111"/>
      <c r="Q2277" s="127"/>
      <c r="R2277" s="124"/>
      <c r="S2277" s="125"/>
      <c r="T2277" s="125"/>
      <c r="U2277" s="125"/>
      <c r="V2277" s="125"/>
      <c r="W2277" s="125"/>
      <c r="X2277" s="125"/>
      <c r="Y2277" s="125"/>
      <c r="Z2277" s="127"/>
      <c r="AA2277" s="127"/>
      <c r="AB2277" s="127"/>
      <c r="AC2277" s="127"/>
      <c r="AD2277" s="261"/>
      <c r="AE2277" s="261"/>
      <c r="AF2277" s="261"/>
      <c r="AG2277" s="261"/>
    </row>
    <row r="2278" ht="34.5" hidden="1" customHeight="1">
      <c r="A2278" s="111"/>
      <c r="B2278" s="127"/>
      <c r="C2278" s="111"/>
      <c r="D2278" s="111"/>
      <c r="E2278" s="111"/>
      <c r="F2278" s="111"/>
      <c r="G2278" s="111"/>
      <c r="H2278" s="111"/>
      <c r="I2278" s="127"/>
      <c r="J2278" s="111"/>
      <c r="K2278" s="111"/>
      <c r="L2278" s="111"/>
      <c r="M2278" s="127"/>
      <c r="N2278" s="270"/>
      <c r="O2278" s="111"/>
      <c r="P2278" s="111"/>
      <c r="Q2278" s="127"/>
      <c r="R2278" s="124"/>
      <c r="S2278" s="125"/>
      <c r="T2278" s="125"/>
      <c r="U2278" s="125"/>
      <c r="V2278" s="125"/>
      <c r="W2278" s="125"/>
      <c r="X2278" s="125"/>
      <c r="Y2278" s="125"/>
      <c r="Z2278" s="127"/>
      <c r="AA2278" s="127"/>
      <c r="AB2278" s="127"/>
      <c r="AC2278" s="127"/>
      <c r="AD2278" s="261"/>
      <c r="AE2278" s="261"/>
      <c r="AF2278" s="261"/>
      <c r="AG2278" s="261"/>
    </row>
    <row r="2279" ht="34.5" hidden="1" customHeight="1">
      <c r="A2279" s="111"/>
      <c r="B2279" s="127"/>
      <c r="C2279" s="111"/>
      <c r="D2279" s="111"/>
      <c r="E2279" s="111"/>
      <c r="F2279" s="111"/>
      <c r="G2279" s="111"/>
      <c r="H2279" s="111"/>
      <c r="I2279" s="127"/>
      <c r="J2279" s="111"/>
      <c r="K2279" s="111"/>
      <c r="L2279" s="111"/>
      <c r="M2279" s="127"/>
      <c r="N2279" s="270"/>
      <c r="O2279" s="111"/>
      <c r="P2279" s="111"/>
      <c r="Q2279" s="127"/>
      <c r="R2279" s="124"/>
      <c r="S2279" s="125"/>
      <c r="T2279" s="125"/>
      <c r="U2279" s="125"/>
      <c r="V2279" s="125"/>
      <c r="W2279" s="125"/>
      <c r="X2279" s="125"/>
      <c r="Y2279" s="125"/>
      <c r="Z2279" s="127"/>
      <c r="AA2279" s="127"/>
      <c r="AB2279" s="127"/>
      <c r="AC2279" s="127"/>
      <c r="AD2279" s="261"/>
      <c r="AE2279" s="261"/>
      <c r="AF2279" s="261"/>
      <c r="AG2279" s="261"/>
    </row>
    <row r="2280" ht="34.5" hidden="1" customHeight="1">
      <c r="A2280" s="111"/>
      <c r="B2280" s="127"/>
      <c r="C2280" s="111"/>
      <c r="D2280" s="111"/>
      <c r="E2280" s="111"/>
      <c r="F2280" s="111"/>
      <c r="G2280" s="111"/>
      <c r="H2280" s="111"/>
      <c r="I2280" s="127"/>
      <c r="J2280" s="111"/>
      <c r="K2280" s="111"/>
      <c r="L2280" s="111"/>
      <c r="M2280" s="127"/>
      <c r="N2280" s="270"/>
      <c r="O2280" s="111"/>
      <c r="P2280" s="111"/>
      <c r="Q2280" s="127"/>
      <c r="R2280" s="124"/>
      <c r="S2280" s="125"/>
      <c r="T2280" s="125"/>
      <c r="U2280" s="125"/>
      <c r="V2280" s="125"/>
      <c r="W2280" s="125"/>
      <c r="X2280" s="125"/>
      <c r="Y2280" s="125"/>
      <c r="Z2280" s="127"/>
      <c r="AA2280" s="127"/>
      <c r="AB2280" s="127"/>
      <c r="AC2280" s="127"/>
      <c r="AD2280" s="261"/>
      <c r="AE2280" s="261"/>
      <c r="AF2280" s="261"/>
      <c r="AG2280" s="261"/>
    </row>
    <row r="2281" ht="34.5" hidden="1" customHeight="1">
      <c r="A2281" s="111"/>
      <c r="B2281" s="127"/>
      <c r="C2281" s="111"/>
      <c r="D2281" s="111"/>
      <c r="E2281" s="111"/>
      <c r="F2281" s="111"/>
      <c r="G2281" s="111"/>
      <c r="H2281" s="111"/>
      <c r="I2281" s="127"/>
      <c r="J2281" s="111"/>
      <c r="K2281" s="111"/>
      <c r="L2281" s="111"/>
      <c r="M2281" s="127"/>
      <c r="N2281" s="270"/>
      <c r="O2281" s="111"/>
      <c r="P2281" s="111"/>
      <c r="Q2281" s="127"/>
      <c r="R2281" s="124"/>
      <c r="S2281" s="125"/>
      <c r="T2281" s="125"/>
      <c r="U2281" s="125"/>
      <c r="V2281" s="125"/>
      <c r="W2281" s="125"/>
      <c r="X2281" s="125"/>
      <c r="Y2281" s="125"/>
      <c r="Z2281" s="127"/>
      <c r="AA2281" s="127"/>
      <c r="AB2281" s="127"/>
      <c r="AC2281" s="127"/>
      <c r="AD2281" s="261"/>
      <c r="AE2281" s="261"/>
      <c r="AF2281" s="261"/>
      <c r="AG2281" s="261"/>
    </row>
    <row r="2282" ht="34.5" hidden="1" customHeight="1">
      <c r="A2282" s="111"/>
      <c r="B2282" s="127"/>
      <c r="C2282" s="111"/>
      <c r="D2282" s="111"/>
      <c r="E2282" s="111"/>
      <c r="F2282" s="111"/>
      <c r="G2282" s="111"/>
      <c r="H2282" s="111"/>
      <c r="I2282" s="127"/>
      <c r="J2282" s="111"/>
      <c r="K2282" s="111"/>
      <c r="L2282" s="111"/>
      <c r="M2282" s="127"/>
      <c r="N2282" s="270"/>
      <c r="O2282" s="111"/>
      <c r="P2282" s="111"/>
      <c r="Q2282" s="127"/>
      <c r="R2282" s="124"/>
      <c r="S2282" s="125"/>
      <c r="T2282" s="125"/>
      <c r="U2282" s="125"/>
      <c r="V2282" s="125"/>
      <c r="W2282" s="125"/>
      <c r="X2282" s="125"/>
      <c r="Y2282" s="125"/>
      <c r="Z2282" s="127"/>
      <c r="AA2282" s="127"/>
      <c r="AB2282" s="127"/>
      <c r="AC2282" s="127"/>
      <c r="AD2282" s="261"/>
      <c r="AE2282" s="261"/>
      <c r="AF2282" s="261"/>
      <c r="AG2282" s="261"/>
    </row>
    <row r="2283" ht="34.5" hidden="1" customHeight="1">
      <c r="A2283" s="111"/>
      <c r="B2283" s="127"/>
      <c r="C2283" s="111"/>
      <c r="D2283" s="111"/>
      <c r="E2283" s="111"/>
      <c r="F2283" s="111"/>
      <c r="G2283" s="111"/>
      <c r="H2283" s="111"/>
      <c r="I2283" s="127"/>
      <c r="J2283" s="111"/>
      <c r="K2283" s="111"/>
      <c r="L2283" s="111"/>
      <c r="M2283" s="127"/>
      <c r="N2283" s="270"/>
      <c r="O2283" s="111"/>
      <c r="P2283" s="111"/>
      <c r="Q2283" s="127"/>
      <c r="R2283" s="124"/>
      <c r="S2283" s="125"/>
      <c r="T2283" s="125"/>
      <c r="U2283" s="125"/>
      <c r="V2283" s="125"/>
      <c r="W2283" s="125"/>
      <c r="X2283" s="125"/>
      <c r="Y2283" s="125"/>
      <c r="Z2283" s="127"/>
      <c r="AA2283" s="127"/>
      <c r="AB2283" s="127"/>
      <c r="AC2283" s="127"/>
      <c r="AD2283" s="261"/>
      <c r="AE2283" s="261"/>
      <c r="AF2283" s="261"/>
      <c r="AG2283" s="261"/>
    </row>
    <row r="2284" ht="34.5" hidden="1" customHeight="1">
      <c r="A2284" s="111"/>
      <c r="B2284" s="127"/>
      <c r="C2284" s="111"/>
      <c r="D2284" s="111"/>
      <c r="E2284" s="111"/>
      <c r="F2284" s="111"/>
      <c r="G2284" s="111"/>
      <c r="H2284" s="111"/>
      <c r="I2284" s="127"/>
      <c r="J2284" s="111"/>
      <c r="K2284" s="111"/>
      <c r="L2284" s="111"/>
      <c r="M2284" s="127"/>
      <c r="N2284" s="270"/>
      <c r="O2284" s="111"/>
      <c r="P2284" s="111"/>
      <c r="Q2284" s="127"/>
      <c r="R2284" s="124"/>
      <c r="S2284" s="125"/>
      <c r="T2284" s="125"/>
      <c r="U2284" s="125"/>
      <c r="V2284" s="125"/>
      <c r="W2284" s="125"/>
      <c r="X2284" s="125"/>
      <c r="Y2284" s="125"/>
      <c r="Z2284" s="127"/>
      <c r="AA2284" s="127"/>
      <c r="AB2284" s="127"/>
      <c r="AC2284" s="127"/>
      <c r="AD2284" s="261"/>
      <c r="AE2284" s="261"/>
      <c r="AF2284" s="261"/>
      <c r="AG2284" s="261"/>
    </row>
    <row r="2285" ht="34.5" hidden="1" customHeight="1">
      <c r="A2285" s="111"/>
      <c r="B2285" s="127"/>
      <c r="C2285" s="111"/>
      <c r="D2285" s="111"/>
      <c r="E2285" s="111"/>
      <c r="F2285" s="111"/>
      <c r="G2285" s="111"/>
      <c r="H2285" s="111"/>
      <c r="I2285" s="127"/>
      <c r="J2285" s="111"/>
      <c r="K2285" s="111"/>
      <c r="L2285" s="111"/>
      <c r="M2285" s="127"/>
      <c r="N2285" s="270"/>
      <c r="O2285" s="111"/>
      <c r="P2285" s="111"/>
      <c r="Q2285" s="127"/>
      <c r="R2285" s="124"/>
      <c r="S2285" s="125"/>
      <c r="T2285" s="125"/>
      <c r="U2285" s="125"/>
      <c r="V2285" s="125"/>
      <c r="W2285" s="125"/>
      <c r="X2285" s="125"/>
      <c r="Y2285" s="125"/>
      <c r="Z2285" s="127"/>
      <c r="AA2285" s="127"/>
      <c r="AB2285" s="127"/>
      <c r="AC2285" s="127"/>
      <c r="AD2285" s="261"/>
      <c r="AE2285" s="261"/>
      <c r="AF2285" s="261"/>
      <c r="AG2285" s="261"/>
    </row>
    <row r="2286" ht="34.5" hidden="1" customHeight="1">
      <c r="A2286" s="111"/>
      <c r="B2286" s="127"/>
      <c r="C2286" s="111"/>
      <c r="D2286" s="111"/>
      <c r="E2286" s="111"/>
      <c r="F2286" s="111"/>
      <c r="G2286" s="111"/>
      <c r="H2286" s="111"/>
      <c r="I2286" s="127"/>
      <c r="J2286" s="111"/>
      <c r="K2286" s="111"/>
      <c r="L2286" s="111"/>
      <c r="M2286" s="127"/>
      <c r="N2286" s="270"/>
      <c r="O2286" s="111"/>
      <c r="P2286" s="111"/>
      <c r="Q2286" s="127"/>
      <c r="R2286" s="124"/>
      <c r="S2286" s="125"/>
      <c r="T2286" s="125"/>
      <c r="U2286" s="125"/>
      <c r="V2286" s="125"/>
      <c r="W2286" s="125"/>
      <c r="X2286" s="125"/>
      <c r="Y2286" s="125"/>
      <c r="Z2286" s="127"/>
      <c r="AA2286" s="127"/>
      <c r="AB2286" s="127"/>
      <c r="AC2286" s="127"/>
      <c r="AD2286" s="261"/>
      <c r="AE2286" s="261"/>
      <c r="AF2286" s="261"/>
      <c r="AG2286" s="261"/>
    </row>
    <row r="2287" ht="34.5" hidden="1" customHeight="1">
      <c r="A2287" s="111"/>
      <c r="B2287" s="127"/>
      <c r="C2287" s="111"/>
      <c r="D2287" s="111"/>
      <c r="E2287" s="111"/>
      <c r="F2287" s="111"/>
      <c r="G2287" s="111"/>
      <c r="H2287" s="111"/>
      <c r="I2287" s="127"/>
      <c r="J2287" s="111"/>
      <c r="K2287" s="111"/>
      <c r="L2287" s="111"/>
      <c r="M2287" s="127"/>
      <c r="N2287" s="270"/>
      <c r="O2287" s="111"/>
      <c r="P2287" s="111"/>
      <c r="Q2287" s="127"/>
      <c r="R2287" s="124"/>
      <c r="S2287" s="125"/>
      <c r="T2287" s="125"/>
      <c r="U2287" s="125"/>
      <c r="V2287" s="125"/>
      <c r="W2287" s="125"/>
      <c r="X2287" s="125"/>
      <c r="Y2287" s="125"/>
      <c r="Z2287" s="127"/>
      <c r="AA2287" s="127"/>
      <c r="AB2287" s="127"/>
      <c r="AC2287" s="127"/>
      <c r="AD2287" s="261"/>
      <c r="AE2287" s="261"/>
      <c r="AF2287" s="261"/>
      <c r="AG2287" s="261"/>
    </row>
    <row r="2288" ht="34.5" hidden="1" customHeight="1">
      <c r="A2288" s="111"/>
      <c r="B2288" s="127"/>
      <c r="C2288" s="111"/>
      <c r="D2288" s="111"/>
      <c r="E2288" s="111"/>
      <c r="F2288" s="111"/>
      <c r="G2288" s="111"/>
      <c r="H2288" s="111"/>
      <c r="I2288" s="127"/>
      <c r="J2288" s="111"/>
      <c r="K2288" s="111"/>
      <c r="L2288" s="111"/>
      <c r="M2288" s="127"/>
      <c r="N2288" s="270"/>
      <c r="O2288" s="111"/>
      <c r="P2288" s="111"/>
      <c r="Q2288" s="127"/>
      <c r="R2288" s="124"/>
      <c r="S2288" s="125"/>
      <c r="T2288" s="125"/>
      <c r="U2288" s="125"/>
      <c r="V2288" s="125"/>
      <c r="W2288" s="125"/>
      <c r="X2288" s="125"/>
      <c r="Y2288" s="125"/>
      <c r="Z2288" s="127"/>
      <c r="AA2288" s="127"/>
      <c r="AB2288" s="127"/>
      <c r="AC2288" s="127"/>
      <c r="AD2288" s="261"/>
      <c r="AE2288" s="261"/>
      <c r="AF2288" s="261"/>
      <c r="AG2288" s="261"/>
    </row>
    <row r="2289" ht="34.5" hidden="1" customHeight="1">
      <c r="A2289" s="111"/>
      <c r="B2289" s="127"/>
      <c r="C2289" s="111"/>
      <c r="D2289" s="111"/>
      <c r="E2289" s="111"/>
      <c r="F2289" s="111"/>
      <c r="G2289" s="111"/>
      <c r="H2289" s="111"/>
      <c r="I2289" s="127"/>
      <c r="J2289" s="111"/>
      <c r="K2289" s="111"/>
      <c r="L2289" s="111"/>
      <c r="M2289" s="127"/>
      <c r="N2289" s="270"/>
      <c r="O2289" s="111"/>
      <c r="P2289" s="111"/>
      <c r="Q2289" s="127"/>
      <c r="R2289" s="124"/>
      <c r="S2289" s="125"/>
      <c r="T2289" s="125"/>
      <c r="U2289" s="125"/>
      <c r="V2289" s="125"/>
      <c r="W2289" s="125"/>
      <c r="X2289" s="125"/>
      <c r="Y2289" s="125"/>
      <c r="Z2289" s="127"/>
      <c r="AA2289" s="127"/>
      <c r="AB2289" s="127"/>
      <c r="AC2289" s="127"/>
      <c r="AD2289" s="261"/>
      <c r="AE2289" s="261"/>
      <c r="AF2289" s="261"/>
      <c r="AG2289" s="261"/>
    </row>
    <row r="2290" ht="34.5" hidden="1" customHeight="1">
      <c r="A2290" s="111"/>
      <c r="B2290" s="127"/>
      <c r="C2290" s="111"/>
      <c r="D2290" s="111"/>
      <c r="E2290" s="111"/>
      <c r="F2290" s="111"/>
      <c r="G2290" s="111"/>
      <c r="H2290" s="111"/>
      <c r="I2290" s="127"/>
      <c r="J2290" s="111"/>
      <c r="K2290" s="111"/>
      <c r="L2290" s="111"/>
      <c r="M2290" s="127"/>
      <c r="N2290" s="270"/>
      <c r="O2290" s="111"/>
      <c r="P2290" s="111"/>
      <c r="Q2290" s="127"/>
      <c r="R2290" s="124"/>
      <c r="S2290" s="125"/>
      <c r="T2290" s="125"/>
      <c r="U2290" s="125"/>
      <c r="V2290" s="125"/>
      <c r="W2290" s="125"/>
      <c r="X2290" s="125"/>
      <c r="Y2290" s="125"/>
      <c r="Z2290" s="127"/>
      <c r="AA2290" s="127"/>
      <c r="AB2290" s="127"/>
      <c r="AC2290" s="127"/>
      <c r="AD2290" s="261"/>
      <c r="AE2290" s="261"/>
      <c r="AF2290" s="261"/>
      <c r="AG2290" s="261"/>
    </row>
    <row r="2291" ht="34.5" hidden="1" customHeight="1">
      <c r="A2291" s="111"/>
      <c r="B2291" s="127"/>
      <c r="C2291" s="111"/>
      <c r="D2291" s="111"/>
      <c r="E2291" s="111"/>
      <c r="F2291" s="111"/>
      <c r="G2291" s="111"/>
      <c r="H2291" s="111"/>
      <c r="I2291" s="127"/>
      <c r="J2291" s="111"/>
      <c r="K2291" s="111"/>
      <c r="L2291" s="111"/>
      <c r="M2291" s="127"/>
      <c r="N2291" s="270"/>
      <c r="O2291" s="111"/>
      <c r="P2291" s="111"/>
      <c r="Q2291" s="127"/>
      <c r="R2291" s="124"/>
      <c r="S2291" s="125"/>
      <c r="T2291" s="125"/>
      <c r="U2291" s="125"/>
      <c r="V2291" s="125"/>
      <c r="W2291" s="125"/>
      <c r="X2291" s="125"/>
      <c r="Y2291" s="125"/>
      <c r="Z2291" s="127"/>
      <c r="AA2291" s="127"/>
      <c r="AB2291" s="127"/>
      <c r="AC2291" s="127"/>
      <c r="AD2291" s="261"/>
      <c r="AE2291" s="261"/>
      <c r="AF2291" s="261"/>
      <c r="AG2291" s="261"/>
    </row>
    <row r="2292" ht="34.5" hidden="1" customHeight="1">
      <c r="A2292" s="111"/>
      <c r="B2292" s="127"/>
      <c r="C2292" s="111"/>
      <c r="D2292" s="111"/>
      <c r="E2292" s="111"/>
      <c r="F2292" s="111"/>
      <c r="G2292" s="111"/>
      <c r="H2292" s="111"/>
      <c r="I2292" s="127"/>
      <c r="J2292" s="111"/>
      <c r="K2292" s="111"/>
      <c r="L2292" s="111"/>
      <c r="M2292" s="127"/>
      <c r="N2292" s="270"/>
      <c r="O2292" s="111"/>
      <c r="P2292" s="111"/>
      <c r="Q2292" s="127"/>
      <c r="R2292" s="124"/>
      <c r="S2292" s="125"/>
      <c r="T2292" s="125"/>
      <c r="U2292" s="125"/>
      <c r="V2292" s="125"/>
      <c r="W2292" s="125"/>
      <c r="X2292" s="125"/>
      <c r="Y2292" s="125"/>
      <c r="Z2292" s="127"/>
      <c r="AA2292" s="127"/>
      <c r="AB2292" s="127"/>
      <c r="AC2292" s="127"/>
      <c r="AD2292" s="261"/>
      <c r="AE2292" s="261"/>
      <c r="AF2292" s="261"/>
      <c r="AG2292" s="261"/>
    </row>
    <row r="2293" ht="34.5" hidden="1" customHeight="1">
      <c r="A2293" s="111"/>
      <c r="B2293" s="127"/>
      <c r="C2293" s="111"/>
      <c r="D2293" s="111"/>
      <c r="E2293" s="111"/>
      <c r="F2293" s="111"/>
      <c r="G2293" s="111"/>
      <c r="H2293" s="111"/>
      <c r="I2293" s="127"/>
      <c r="J2293" s="111"/>
      <c r="K2293" s="111"/>
      <c r="L2293" s="111"/>
      <c r="M2293" s="127"/>
      <c r="N2293" s="270"/>
      <c r="O2293" s="111"/>
      <c r="P2293" s="111"/>
      <c r="Q2293" s="127"/>
      <c r="R2293" s="124"/>
      <c r="S2293" s="125"/>
      <c r="T2293" s="125"/>
      <c r="U2293" s="125"/>
      <c r="V2293" s="125"/>
      <c r="W2293" s="125"/>
      <c r="X2293" s="125"/>
      <c r="Y2293" s="125"/>
      <c r="Z2293" s="127"/>
      <c r="AA2293" s="127"/>
      <c r="AB2293" s="127"/>
      <c r="AC2293" s="127"/>
      <c r="AD2293" s="261"/>
      <c r="AE2293" s="261"/>
      <c r="AF2293" s="261"/>
      <c r="AG2293" s="261"/>
    </row>
    <row r="2294" ht="34.5" hidden="1" customHeight="1">
      <c r="A2294" s="111"/>
      <c r="B2294" s="127"/>
      <c r="C2294" s="111"/>
      <c r="D2294" s="111"/>
      <c r="E2294" s="111"/>
      <c r="F2294" s="111"/>
      <c r="G2294" s="111"/>
      <c r="H2294" s="111"/>
      <c r="I2294" s="127"/>
      <c r="J2294" s="111"/>
      <c r="K2294" s="111"/>
      <c r="L2294" s="111"/>
      <c r="M2294" s="127"/>
      <c r="N2294" s="270"/>
      <c r="O2294" s="111"/>
      <c r="P2294" s="111"/>
      <c r="Q2294" s="127"/>
      <c r="R2294" s="124"/>
      <c r="S2294" s="125"/>
      <c r="T2294" s="125"/>
      <c r="U2294" s="125"/>
      <c r="V2294" s="125"/>
      <c r="W2294" s="125"/>
      <c r="X2294" s="125"/>
      <c r="Y2294" s="125"/>
      <c r="Z2294" s="127"/>
      <c r="AA2294" s="127"/>
      <c r="AB2294" s="127"/>
      <c r="AC2294" s="127"/>
      <c r="AD2294" s="261"/>
      <c r="AE2294" s="261"/>
      <c r="AF2294" s="261"/>
      <c r="AG2294" s="261"/>
    </row>
    <row r="2295" ht="34.5" hidden="1" customHeight="1">
      <c r="A2295" s="111"/>
      <c r="B2295" s="127"/>
      <c r="C2295" s="111"/>
      <c r="D2295" s="111"/>
      <c r="E2295" s="111"/>
      <c r="F2295" s="111"/>
      <c r="G2295" s="111"/>
      <c r="H2295" s="111"/>
      <c r="I2295" s="127"/>
      <c r="J2295" s="111"/>
      <c r="K2295" s="111"/>
      <c r="L2295" s="111"/>
      <c r="M2295" s="127"/>
      <c r="N2295" s="270"/>
      <c r="O2295" s="111"/>
      <c r="P2295" s="111"/>
      <c r="Q2295" s="127"/>
      <c r="R2295" s="124"/>
      <c r="S2295" s="125"/>
      <c r="T2295" s="125"/>
      <c r="U2295" s="125"/>
      <c r="V2295" s="125"/>
      <c r="W2295" s="125"/>
      <c r="X2295" s="125"/>
      <c r="Y2295" s="125"/>
      <c r="Z2295" s="127"/>
      <c r="AA2295" s="127"/>
      <c r="AB2295" s="127"/>
      <c r="AC2295" s="127"/>
      <c r="AD2295" s="261"/>
      <c r="AE2295" s="261"/>
      <c r="AF2295" s="261"/>
      <c r="AG2295" s="261"/>
    </row>
    <row r="2296" ht="34.5" hidden="1" customHeight="1">
      <c r="A2296" s="111"/>
      <c r="B2296" s="127"/>
      <c r="C2296" s="111"/>
      <c r="D2296" s="111"/>
      <c r="E2296" s="111"/>
      <c r="F2296" s="111"/>
      <c r="G2296" s="111"/>
      <c r="H2296" s="111"/>
      <c r="I2296" s="127"/>
      <c r="J2296" s="111"/>
      <c r="K2296" s="111"/>
      <c r="L2296" s="111"/>
      <c r="M2296" s="127"/>
      <c r="N2296" s="270"/>
      <c r="O2296" s="111"/>
      <c r="P2296" s="111"/>
      <c r="Q2296" s="127"/>
      <c r="R2296" s="124"/>
      <c r="S2296" s="125"/>
      <c r="T2296" s="125"/>
      <c r="U2296" s="125"/>
      <c r="V2296" s="125"/>
      <c r="W2296" s="125"/>
      <c r="X2296" s="125"/>
      <c r="Y2296" s="125"/>
      <c r="Z2296" s="127"/>
      <c r="AA2296" s="127"/>
      <c r="AB2296" s="127"/>
      <c r="AC2296" s="127"/>
      <c r="AD2296" s="261"/>
      <c r="AE2296" s="261"/>
      <c r="AF2296" s="261"/>
      <c r="AG2296" s="261"/>
    </row>
    <row r="2297" ht="34.5" hidden="1" customHeight="1">
      <c r="A2297" s="111"/>
      <c r="B2297" s="127"/>
      <c r="C2297" s="111"/>
      <c r="D2297" s="111"/>
      <c r="E2297" s="111"/>
      <c r="F2297" s="111"/>
      <c r="G2297" s="111"/>
      <c r="H2297" s="111"/>
      <c r="I2297" s="127"/>
      <c r="J2297" s="111"/>
      <c r="K2297" s="111"/>
      <c r="L2297" s="111"/>
      <c r="M2297" s="127"/>
      <c r="N2297" s="270"/>
      <c r="O2297" s="111"/>
      <c r="P2297" s="111"/>
      <c r="Q2297" s="127"/>
      <c r="R2297" s="124"/>
      <c r="S2297" s="125"/>
      <c r="T2297" s="125"/>
      <c r="U2297" s="125"/>
      <c r="V2297" s="125"/>
      <c r="W2297" s="125"/>
      <c r="X2297" s="125"/>
      <c r="Y2297" s="125"/>
      <c r="Z2297" s="127"/>
      <c r="AA2297" s="127"/>
      <c r="AB2297" s="127"/>
      <c r="AC2297" s="127"/>
      <c r="AD2297" s="261"/>
      <c r="AE2297" s="261"/>
      <c r="AF2297" s="261"/>
      <c r="AG2297" s="261"/>
    </row>
    <row r="2298" ht="34.5" hidden="1" customHeight="1">
      <c r="A2298" s="111"/>
      <c r="B2298" s="127"/>
      <c r="C2298" s="111"/>
      <c r="D2298" s="111"/>
      <c r="E2298" s="111"/>
      <c r="F2298" s="111"/>
      <c r="G2298" s="111"/>
      <c r="H2298" s="111"/>
      <c r="I2298" s="127"/>
      <c r="J2298" s="111"/>
      <c r="K2298" s="111"/>
      <c r="L2298" s="111"/>
      <c r="M2298" s="127"/>
      <c r="N2298" s="270"/>
      <c r="O2298" s="111"/>
      <c r="P2298" s="111"/>
      <c r="Q2298" s="127"/>
      <c r="R2298" s="124"/>
      <c r="S2298" s="125"/>
      <c r="T2298" s="125"/>
      <c r="U2298" s="125"/>
      <c r="V2298" s="125"/>
      <c r="W2298" s="125"/>
      <c r="X2298" s="125"/>
      <c r="Y2298" s="125"/>
      <c r="Z2298" s="127"/>
      <c r="AA2298" s="127"/>
      <c r="AB2298" s="127"/>
      <c r="AC2298" s="127"/>
      <c r="AD2298" s="261"/>
      <c r="AE2298" s="261"/>
      <c r="AF2298" s="261"/>
      <c r="AG2298" s="261"/>
    </row>
    <row r="2299" ht="34.5" hidden="1" customHeight="1">
      <c r="A2299" s="111"/>
      <c r="B2299" s="127"/>
      <c r="C2299" s="111"/>
      <c r="D2299" s="111"/>
      <c r="E2299" s="111"/>
      <c r="F2299" s="111"/>
      <c r="G2299" s="111"/>
      <c r="H2299" s="111"/>
      <c r="I2299" s="127"/>
      <c r="J2299" s="111"/>
      <c r="K2299" s="111"/>
      <c r="L2299" s="111"/>
      <c r="M2299" s="127"/>
      <c r="N2299" s="270"/>
      <c r="O2299" s="111"/>
      <c r="P2299" s="111"/>
      <c r="Q2299" s="127"/>
      <c r="R2299" s="124"/>
      <c r="S2299" s="125"/>
      <c r="T2299" s="125"/>
      <c r="U2299" s="125"/>
      <c r="V2299" s="125"/>
      <c r="W2299" s="125"/>
      <c r="X2299" s="125"/>
      <c r="Y2299" s="125"/>
      <c r="Z2299" s="127"/>
      <c r="AA2299" s="127"/>
      <c r="AB2299" s="127"/>
      <c r="AC2299" s="127"/>
      <c r="AD2299" s="261"/>
      <c r="AE2299" s="261"/>
      <c r="AF2299" s="261"/>
      <c r="AG2299" s="261"/>
    </row>
    <row r="2300" ht="34.5" hidden="1" customHeight="1">
      <c r="A2300" s="111"/>
      <c r="B2300" s="127"/>
      <c r="C2300" s="111"/>
      <c r="D2300" s="111"/>
      <c r="E2300" s="111"/>
      <c r="F2300" s="111"/>
      <c r="G2300" s="111"/>
      <c r="H2300" s="111"/>
      <c r="I2300" s="127"/>
      <c r="J2300" s="111"/>
      <c r="K2300" s="111"/>
      <c r="L2300" s="111"/>
      <c r="M2300" s="127"/>
      <c r="N2300" s="270"/>
      <c r="O2300" s="111"/>
      <c r="P2300" s="111"/>
      <c r="Q2300" s="127"/>
      <c r="R2300" s="124"/>
      <c r="S2300" s="125"/>
      <c r="T2300" s="125"/>
      <c r="U2300" s="125"/>
      <c r="V2300" s="125"/>
      <c r="W2300" s="125"/>
      <c r="X2300" s="125"/>
      <c r="Y2300" s="125"/>
      <c r="Z2300" s="127"/>
      <c r="AA2300" s="127"/>
      <c r="AB2300" s="127"/>
      <c r="AC2300" s="127"/>
      <c r="AD2300" s="261"/>
      <c r="AE2300" s="261"/>
      <c r="AF2300" s="261"/>
      <c r="AG2300" s="261"/>
    </row>
    <row r="2301" ht="34.5" hidden="1" customHeight="1">
      <c r="A2301" s="111"/>
      <c r="B2301" s="127"/>
      <c r="C2301" s="111"/>
      <c r="D2301" s="111"/>
      <c r="E2301" s="111"/>
      <c r="F2301" s="111"/>
      <c r="G2301" s="111"/>
      <c r="H2301" s="111"/>
      <c r="I2301" s="127"/>
      <c r="J2301" s="111"/>
      <c r="K2301" s="111"/>
      <c r="L2301" s="111"/>
      <c r="M2301" s="127"/>
      <c r="N2301" s="270"/>
      <c r="O2301" s="111"/>
      <c r="P2301" s="111"/>
      <c r="Q2301" s="127"/>
      <c r="R2301" s="124"/>
      <c r="S2301" s="125"/>
      <c r="T2301" s="125"/>
      <c r="U2301" s="125"/>
      <c r="V2301" s="125"/>
      <c r="W2301" s="125"/>
      <c r="X2301" s="125"/>
      <c r="Y2301" s="125"/>
      <c r="Z2301" s="127"/>
      <c r="AA2301" s="127"/>
      <c r="AB2301" s="127"/>
      <c r="AC2301" s="127"/>
      <c r="AD2301" s="261"/>
      <c r="AE2301" s="261"/>
      <c r="AF2301" s="261"/>
      <c r="AG2301" s="261"/>
    </row>
    <row r="2302" ht="34.5" hidden="1" customHeight="1">
      <c r="A2302" s="111"/>
      <c r="B2302" s="127"/>
      <c r="C2302" s="111"/>
      <c r="D2302" s="111"/>
      <c r="E2302" s="111"/>
      <c r="F2302" s="111"/>
      <c r="G2302" s="111"/>
      <c r="H2302" s="111"/>
      <c r="I2302" s="127"/>
      <c r="J2302" s="111"/>
      <c r="K2302" s="111"/>
      <c r="L2302" s="111"/>
      <c r="M2302" s="127"/>
      <c r="N2302" s="270"/>
      <c r="O2302" s="111"/>
      <c r="P2302" s="111"/>
      <c r="Q2302" s="127"/>
      <c r="R2302" s="124"/>
      <c r="S2302" s="125"/>
      <c r="T2302" s="125"/>
      <c r="U2302" s="125"/>
      <c r="V2302" s="125"/>
      <c r="W2302" s="125"/>
      <c r="X2302" s="125"/>
      <c r="Y2302" s="125"/>
      <c r="Z2302" s="127"/>
      <c r="AA2302" s="127"/>
      <c r="AB2302" s="127"/>
      <c r="AC2302" s="127"/>
      <c r="AD2302" s="261"/>
      <c r="AE2302" s="261"/>
      <c r="AF2302" s="261"/>
      <c r="AG2302" s="261"/>
    </row>
    <row r="2303" ht="34.5" hidden="1" customHeight="1">
      <c r="A2303" s="111"/>
      <c r="B2303" s="127"/>
      <c r="C2303" s="111"/>
      <c r="D2303" s="111"/>
      <c r="E2303" s="111"/>
      <c r="F2303" s="111"/>
      <c r="G2303" s="111"/>
      <c r="H2303" s="111"/>
      <c r="I2303" s="127"/>
      <c r="J2303" s="111"/>
      <c r="K2303" s="111"/>
      <c r="L2303" s="111"/>
      <c r="M2303" s="127"/>
      <c r="N2303" s="270"/>
      <c r="O2303" s="111"/>
      <c r="P2303" s="111"/>
      <c r="Q2303" s="127"/>
      <c r="R2303" s="124"/>
      <c r="S2303" s="125"/>
      <c r="T2303" s="125"/>
      <c r="U2303" s="125"/>
      <c r="V2303" s="125"/>
      <c r="W2303" s="125"/>
      <c r="X2303" s="125"/>
      <c r="Y2303" s="125"/>
      <c r="Z2303" s="127"/>
      <c r="AA2303" s="127"/>
      <c r="AB2303" s="127"/>
      <c r="AC2303" s="127"/>
      <c r="AD2303" s="261"/>
      <c r="AE2303" s="261"/>
      <c r="AF2303" s="261"/>
      <c r="AG2303" s="261"/>
    </row>
    <row r="2304" ht="34.5" hidden="1" customHeight="1">
      <c r="A2304" s="111"/>
      <c r="B2304" s="127"/>
      <c r="C2304" s="111"/>
      <c r="D2304" s="111"/>
      <c r="E2304" s="111"/>
      <c r="F2304" s="111"/>
      <c r="G2304" s="111"/>
      <c r="H2304" s="111"/>
      <c r="I2304" s="127"/>
      <c r="J2304" s="111"/>
      <c r="K2304" s="111"/>
      <c r="L2304" s="111"/>
      <c r="M2304" s="127"/>
      <c r="N2304" s="270"/>
      <c r="O2304" s="111"/>
      <c r="P2304" s="111"/>
      <c r="Q2304" s="127"/>
      <c r="R2304" s="124"/>
      <c r="S2304" s="125"/>
      <c r="T2304" s="125"/>
      <c r="U2304" s="125"/>
      <c r="V2304" s="125"/>
      <c r="W2304" s="125"/>
      <c r="X2304" s="125"/>
      <c r="Y2304" s="125"/>
      <c r="Z2304" s="127"/>
      <c r="AA2304" s="127"/>
      <c r="AB2304" s="127"/>
      <c r="AC2304" s="127"/>
      <c r="AD2304" s="261"/>
      <c r="AE2304" s="261"/>
      <c r="AF2304" s="261"/>
      <c r="AG2304" s="261"/>
    </row>
    <row r="2305" ht="34.5" hidden="1" customHeight="1">
      <c r="A2305" s="111"/>
      <c r="B2305" s="127"/>
      <c r="C2305" s="111"/>
      <c r="D2305" s="111"/>
      <c r="E2305" s="111"/>
      <c r="F2305" s="111"/>
      <c r="G2305" s="111"/>
      <c r="H2305" s="111"/>
      <c r="I2305" s="127"/>
      <c r="J2305" s="111"/>
      <c r="K2305" s="111"/>
      <c r="L2305" s="111"/>
      <c r="M2305" s="127"/>
      <c r="N2305" s="270"/>
      <c r="O2305" s="111"/>
      <c r="P2305" s="111"/>
      <c r="Q2305" s="127"/>
      <c r="R2305" s="124"/>
      <c r="S2305" s="125"/>
      <c r="T2305" s="125"/>
      <c r="U2305" s="125"/>
      <c r="V2305" s="125"/>
      <c r="W2305" s="125"/>
      <c r="X2305" s="125"/>
      <c r="Y2305" s="125"/>
      <c r="Z2305" s="127"/>
      <c r="AA2305" s="127"/>
      <c r="AB2305" s="127"/>
      <c r="AC2305" s="127"/>
      <c r="AD2305" s="261"/>
      <c r="AE2305" s="261"/>
      <c r="AF2305" s="261"/>
      <c r="AG2305" s="261"/>
    </row>
    <row r="2306" ht="34.5" hidden="1" customHeight="1">
      <c r="A2306" s="111"/>
      <c r="B2306" s="127"/>
      <c r="C2306" s="111"/>
      <c r="D2306" s="111"/>
      <c r="E2306" s="111"/>
      <c r="F2306" s="111"/>
      <c r="G2306" s="111"/>
      <c r="H2306" s="111"/>
      <c r="I2306" s="127"/>
      <c r="J2306" s="111"/>
      <c r="K2306" s="111"/>
      <c r="L2306" s="111"/>
      <c r="M2306" s="127"/>
      <c r="N2306" s="270"/>
      <c r="O2306" s="111"/>
      <c r="P2306" s="111"/>
      <c r="Q2306" s="127"/>
      <c r="R2306" s="124"/>
      <c r="S2306" s="125"/>
      <c r="T2306" s="125"/>
      <c r="U2306" s="125"/>
      <c r="V2306" s="125"/>
      <c r="W2306" s="125"/>
      <c r="X2306" s="125"/>
      <c r="Y2306" s="125"/>
      <c r="Z2306" s="127"/>
      <c r="AA2306" s="127"/>
      <c r="AB2306" s="127"/>
      <c r="AC2306" s="127"/>
      <c r="AD2306" s="261"/>
      <c r="AE2306" s="261"/>
      <c r="AF2306" s="261"/>
      <c r="AG2306" s="261"/>
    </row>
    <row r="2307" ht="34.5" hidden="1" customHeight="1">
      <c r="A2307" s="111"/>
      <c r="B2307" s="127"/>
      <c r="C2307" s="111"/>
      <c r="D2307" s="111"/>
      <c r="E2307" s="111"/>
      <c r="F2307" s="111"/>
      <c r="G2307" s="111"/>
      <c r="H2307" s="111"/>
      <c r="I2307" s="127"/>
      <c r="J2307" s="111"/>
      <c r="K2307" s="111"/>
      <c r="L2307" s="111"/>
      <c r="M2307" s="127"/>
      <c r="N2307" s="270"/>
      <c r="O2307" s="111"/>
      <c r="P2307" s="111"/>
      <c r="Q2307" s="127"/>
      <c r="R2307" s="124"/>
      <c r="S2307" s="125"/>
      <c r="T2307" s="125"/>
      <c r="U2307" s="125"/>
      <c r="V2307" s="125"/>
      <c r="W2307" s="125"/>
      <c r="X2307" s="125"/>
      <c r="Y2307" s="125"/>
      <c r="Z2307" s="127"/>
      <c r="AA2307" s="127"/>
      <c r="AB2307" s="127"/>
      <c r="AC2307" s="127"/>
      <c r="AD2307" s="261"/>
      <c r="AE2307" s="261"/>
      <c r="AF2307" s="261"/>
      <c r="AG2307" s="261"/>
    </row>
    <row r="2308" ht="34.5" hidden="1" customHeight="1">
      <c r="A2308" s="111"/>
      <c r="B2308" s="127"/>
      <c r="C2308" s="111"/>
      <c r="D2308" s="111"/>
      <c r="E2308" s="111"/>
      <c r="F2308" s="111"/>
      <c r="G2308" s="111"/>
      <c r="H2308" s="111"/>
      <c r="I2308" s="127"/>
      <c r="J2308" s="111"/>
      <c r="K2308" s="111"/>
      <c r="L2308" s="111"/>
      <c r="M2308" s="127"/>
      <c r="N2308" s="270"/>
      <c r="O2308" s="111"/>
      <c r="P2308" s="111"/>
      <c r="Q2308" s="127"/>
      <c r="R2308" s="124"/>
      <c r="S2308" s="125"/>
      <c r="T2308" s="125"/>
      <c r="U2308" s="125"/>
      <c r="V2308" s="125"/>
      <c r="W2308" s="125"/>
      <c r="X2308" s="125"/>
      <c r="Y2308" s="125"/>
      <c r="Z2308" s="127"/>
      <c r="AA2308" s="127"/>
      <c r="AB2308" s="127"/>
      <c r="AC2308" s="127"/>
      <c r="AD2308" s="261"/>
      <c r="AE2308" s="261"/>
      <c r="AF2308" s="261"/>
      <c r="AG2308" s="261"/>
    </row>
    <row r="2309" ht="34.5" hidden="1" customHeight="1">
      <c r="A2309" s="111"/>
      <c r="B2309" s="127"/>
      <c r="C2309" s="111"/>
      <c r="D2309" s="111"/>
      <c r="E2309" s="111"/>
      <c r="F2309" s="111"/>
      <c r="G2309" s="111"/>
      <c r="H2309" s="111"/>
      <c r="I2309" s="127"/>
      <c r="J2309" s="111"/>
      <c r="K2309" s="111"/>
      <c r="L2309" s="111"/>
      <c r="M2309" s="127"/>
      <c r="N2309" s="270"/>
      <c r="O2309" s="111"/>
      <c r="P2309" s="111"/>
      <c r="Q2309" s="127"/>
      <c r="R2309" s="124"/>
      <c r="S2309" s="125"/>
      <c r="T2309" s="125"/>
      <c r="U2309" s="125"/>
      <c r="V2309" s="125"/>
      <c r="W2309" s="125"/>
      <c r="X2309" s="125"/>
      <c r="Y2309" s="125"/>
      <c r="Z2309" s="127"/>
      <c r="AA2309" s="127"/>
      <c r="AB2309" s="127"/>
      <c r="AC2309" s="127"/>
      <c r="AD2309" s="261"/>
      <c r="AE2309" s="261"/>
      <c r="AF2309" s="261"/>
      <c r="AG2309" s="261"/>
    </row>
    <row r="2310" ht="34.5" hidden="1" customHeight="1">
      <c r="A2310" s="111"/>
      <c r="B2310" s="127"/>
      <c r="C2310" s="111"/>
      <c r="D2310" s="111"/>
      <c r="E2310" s="111"/>
      <c r="F2310" s="111"/>
      <c r="G2310" s="111"/>
      <c r="H2310" s="111"/>
      <c r="I2310" s="127"/>
      <c r="J2310" s="111"/>
      <c r="K2310" s="111"/>
      <c r="L2310" s="111"/>
      <c r="M2310" s="127"/>
      <c r="N2310" s="270"/>
      <c r="O2310" s="111"/>
      <c r="P2310" s="111"/>
      <c r="Q2310" s="127"/>
      <c r="R2310" s="124"/>
      <c r="S2310" s="125"/>
      <c r="T2310" s="125"/>
      <c r="U2310" s="125"/>
      <c r="V2310" s="125"/>
      <c r="W2310" s="125"/>
      <c r="X2310" s="125"/>
      <c r="Y2310" s="125"/>
      <c r="Z2310" s="127"/>
      <c r="AA2310" s="127"/>
      <c r="AB2310" s="127"/>
      <c r="AC2310" s="127"/>
      <c r="AD2310" s="261"/>
      <c r="AE2310" s="261"/>
      <c r="AF2310" s="261"/>
      <c r="AG2310" s="261"/>
    </row>
    <row r="2311" ht="34.5" hidden="1" customHeight="1">
      <c r="A2311" s="111"/>
      <c r="B2311" s="127"/>
      <c r="C2311" s="111"/>
      <c r="D2311" s="111"/>
      <c r="E2311" s="111"/>
      <c r="F2311" s="111"/>
      <c r="G2311" s="111"/>
      <c r="H2311" s="111"/>
      <c r="I2311" s="127"/>
      <c r="J2311" s="111"/>
      <c r="K2311" s="111"/>
      <c r="L2311" s="111"/>
      <c r="M2311" s="127"/>
      <c r="N2311" s="270"/>
      <c r="O2311" s="111"/>
      <c r="P2311" s="111"/>
      <c r="Q2311" s="127"/>
      <c r="R2311" s="124"/>
      <c r="S2311" s="125"/>
      <c r="T2311" s="125"/>
      <c r="U2311" s="125"/>
      <c r="V2311" s="125"/>
      <c r="W2311" s="125"/>
      <c r="X2311" s="125"/>
      <c r="Y2311" s="125"/>
      <c r="Z2311" s="127"/>
      <c r="AA2311" s="127"/>
      <c r="AB2311" s="127"/>
      <c r="AC2311" s="127"/>
      <c r="AD2311" s="261"/>
      <c r="AE2311" s="261"/>
      <c r="AF2311" s="261"/>
      <c r="AG2311" s="261"/>
    </row>
    <row r="2312" ht="34.5" hidden="1" customHeight="1">
      <c r="A2312" s="111"/>
      <c r="B2312" s="127"/>
      <c r="C2312" s="111"/>
      <c r="D2312" s="111"/>
      <c r="E2312" s="111"/>
      <c r="F2312" s="111"/>
      <c r="G2312" s="111"/>
      <c r="H2312" s="111"/>
      <c r="I2312" s="127"/>
      <c r="J2312" s="111"/>
      <c r="K2312" s="111"/>
      <c r="L2312" s="111"/>
      <c r="M2312" s="127"/>
      <c r="N2312" s="270"/>
      <c r="O2312" s="111"/>
      <c r="P2312" s="111"/>
      <c r="Q2312" s="127"/>
      <c r="R2312" s="124"/>
      <c r="S2312" s="125"/>
      <c r="T2312" s="125"/>
      <c r="U2312" s="125"/>
      <c r="V2312" s="125"/>
      <c r="W2312" s="125"/>
      <c r="X2312" s="125"/>
      <c r="Y2312" s="125"/>
      <c r="Z2312" s="127"/>
      <c r="AA2312" s="127"/>
      <c r="AB2312" s="127"/>
      <c r="AC2312" s="127"/>
      <c r="AD2312" s="261"/>
      <c r="AE2312" s="261"/>
      <c r="AF2312" s="261"/>
      <c r="AG2312" s="261"/>
    </row>
    <row r="2313" ht="34.5" hidden="1" customHeight="1">
      <c r="A2313" s="111"/>
      <c r="B2313" s="127"/>
      <c r="C2313" s="111"/>
      <c r="D2313" s="111"/>
      <c r="E2313" s="111"/>
      <c r="F2313" s="111"/>
      <c r="G2313" s="111"/>
      <c r="H2313" s="111"/>
      <c r="I2313" s="127"/>
      <c r="J2313" s="111"/>
      <c r="K2313" s="111"/>
      <c r="L2313" s="111"/>
      <c r="M2313" s="127"/>
      <c r="N2313" s="270"/>
      <c r="O2313" s="111"/>
      <c r="P2313" s="111"/>
      <c r="Q2313" s="127"/>
      <c r="R2313" s="124"/>
      <c r="S2313" s="125"/>
      <c r="T2313" s="125"/>
      <c r="U2313" s="125"/>
      <c r="V2313" s="125"/>
      <c r="W2313" s="125"/>
      <c r="X2313" s="125"/>
      <c r="Y2313" s="125"/>
      <c r="Z2313" s="127"/>
      <c r="AA2313" s="127"/>
      <c r="AB2313" s="127"/>
      <c r="AC2313" s="127"/>
      <c r="AD2313" s="261"/>
      <c r="AE2313" s="261"/>
      <c r="AF2313" s="261"/>
      <c r="AG2313" s="261"/>
    </row>
    <row r="2314" ht="34.5" hidden="1" customHeight="1">
      <c r="A2314" s="111"/>
      <c r="B2314" s="127"/>
      <c r="C2314" s="111"/>
      <c r="D2314" s="111"/>
      <c r="E2314" s="111"/>
      <c r="F2314" s="111"/>
      <c r="G2314" s="111"/>
      <c r="H2314" s="111"/>
      <c r="I2314" s="127"/>
      <c r="J2314" s="111"/>
      <c r="K2314" s="111"/>
      <c r="L2314" s="111"/>
      <c r="M2314" s="127"/>
      <c r="N2314" s="270"/>
      <c r="O2314" s="111"/>
      <c r="P2314" s="111"/>
      <c r="Q2314" s="127"/>
      <c r="R2314" s="124"/>
      <c r="S2314" s="125"/>
      <c r="T2314" s="125"/>
      <c r="U2314" s="125"/>
      <c r="V2314" s="125"/>
      <c r="W2314" s="125"/>
      <c r="X2314" s="125"/>
      <c r="Y2314" s="125"/>
      <c r="Z2314" s="127"/>
      <c r="AA2314" s="127"/>
      <c r="AB2314" s="127"/>
      <c r="AC2314" s="127"/>
      <c r="AD2314" s="261"/>
      <c r="AE2314" s="261"/>
      <c r="AF2314" s="261"/>
      <c r="AG2314" s="261"/>
    </row>
    <row r="2315" ht="34.5" hidden="1" customHeight="1">
      <c r="A2315" s="111"/>
      <c r="B2315" s="127"/>
      <c r="C2315" s="111"/>
      <c r="D2315" s="111"/>
      <c r="E2315" s="111"/>
      <c r="F2315" s="111"/>
      <c r="G2315" s="111"/>
      <c r="H2315" s="111"/>
      <c r="I2315" s="127"/>
      <c r="J2315" s="111"/>
      <c r="K2315" s="111"/>
      <c r="L2315" s="111"/>
      <c r="M2315" s="127"/>
      <c r="N2315" s="270"/>
      <c r="O2315" s="111"/>
      <c r="P2315" s="111"/>
      <c r="Q2315" s="127"/>
      <c r="R2315" s="124"/>
      <c r="S2315" s="125"/>
      <c r="T2315" s="125"/>
      <c r="U2315" s="125"/>
      <c r="V2315" s="125"/>
      <c r="W2315" s="125"/>
      <c r="X2315" s="125"/>
      <c r="Y2315" s="125"/>
      <c r="Z2315" s="127"/>
      <c r="AA2315" s="127"/>
      <c r="AB2315" s="127"/>
      <c r="AC2315" s="127"/>
      <c r="AD2315" s="261"/>
      <c r="AE2315" s="261"/>
      <c r="AF2315" s="261"/>
      <c r="AG2315" s="261"/>
    </row>
    <row r="2316" ht="34.5" hidden="1" customHeight="1">
      <c r="A2316" s="111"/>
      <c r="B2316" s="127"/>
      <c r="C2316" s="111"/>
      <c r="D2316" s="111"/>
      <c r="E2316" s="111"/>
      <c r="F2316" s="111"/>
      <c r="G2316" s="111"/>
      <c r="H2316" s="111"/>
      <c r="I2316" s="127"/>
      <c r="J2316" s="111"/>
      <c r="K2316" s="111"/>
      <c r="L2316" s="111"/>
      <c r="M2316" s="127"/>
      <c r="N2316" s="270"/>
      <c r="O2316" s="111"/>
      <c r="P2316" s="111"/>
      <c r="Q2316" s="127"/>
      <c r="R2316" s="124"/>
      <c r="S2316" s="125"/>
      <c r="T2316" s="125"/>
      <c r="U2316" s="125"/>
      <c r="V2316" s="125"/>
      <c r="W2316" s="125"/>
      <c r="X2316" s="125"/>
      <c r="Y2316" s="125"/>
      <c r="Z2316" s="127"/>
      <c r="AA2316" s="127"/>
      <c r="AB2316" s="127"/>
      <c r="AC2316" s="127"/>
      <c r="AD2316" s="261"/>
      <c r="AE2316" s="261"/>
      <c r="AF2316" s="261"/>
      <c r="AG2316" s="261"/>
    </row>
    <row r="2317" ht="34.5" hidden="1" customHeight="1">
      <c r="A2317" s="111"/>
      <c r="B2317" s="127"/>
      <c r="C2317" s="111"/>
      <c r="D2317" s="111"/>
      <c r="E2317" s="111"/>
      <c r="F2317" s="111"/>
      <c r="G2317" s="111"/>
      <c r="H2317" s="111"/>
      <c r="I2317" s="127"/>
      <c r="J2317" s="111"/>
      <c r="K2317" s="111"/>
      <c r="L2317" s="111"/>
      <c r="M2317" s="127"/>
      <c r="N2317" s="270"/>
      <c r="O2317" s="111"/>
      <c r="P2317" s="111"/>
      <c r="Q2317" s="127"/>
      <c r="R2317" s="124"/>
      <c r="S2317" s="125"/>
      <c r="T2317" s="125"/>
      <c r="U2317" s="125"/>
      <c r="V2317" s="125"/>
      <c r="W2317" s="125"/>
      <c r="X2317" s="125"/>
      <c r="Y2317" s="125"/>
      <c r="Z2317" s="127"/>
      <c r="AA2317" s="127"/>
      <c r="AB2317" s="127"/>
      <c r="AC2317" s="127"/>
      <c r="AD2317" s="261"/>
      <c r="AE2317" s="261"/>
      <c r="AF2317" s="261"/>
      <c r="AG2317" s="261"/>
    </row>
    <row r="2318" ht="34.5" hidden="1" customHeight="1">
      <c r="A2318" s="111"/>
      <c r="B2318" s="127"/>
      <c r="C2318" s="111"/>
      <c r="D2318" s="111"/>
      <c r="E2318" s="111"/>
      <c r="F2318" s="111"/>
      <c r="G2318" s="111"/>
      <c r="H2318" s="111"/>
      <c r="I2318" s="127"/>
      <c r="J2318" s="111"/>
      <c r="K2318" s="111"/>
      <c r="L2318" s="111"/>
      <c r="M2318" s="127"/>
      <c r="N2318" s="270"/>
      <c r="O2318" s="111"/>
      <c r="P2318" s="111"/>
      <c r="Q2318" s="127"/>
      <c r="R2318" s="124"/>
      <c r="S2318" s="125"/>
      <c r="T2318" s="125"/>
      <c r="U2318" s="125"/>
      <c r="V2318" s="125"/>
      <c r="W2318" s="125"/>
      <c r="X2318" s="125"/>
      <c r="Y2318" s="125"/>
      <c r="Z2318" s="127"/>
      <c r="AA2318" s="127"/>
      <c r="AB2318" s="127"/>
      <c r="AC2318" s="127"/>
      <c r="AD2318" s="261"/>
      <c r="AE2318" s="261"/>
      <c r="AF2318" s="261"/>
      <c r="AG2318" s="261"/>
    </row>
    <row r="2319" ht="34.5" hidden="1" customHeight="1">
      <c r="A2319" s="111"/>
      <c r="B2319" s="127"/>
      <c r="C2319" s="111"/>
      <c r="D2319" s="111"/>
      <c r="E2319" s="111"/>
      <c r="F2319" s="111"/>
      <c r="G2319" s="111"/>
      <c r="H2319" s="111"/>
      <c r="I2319" s="127"/>
      <c r="J2319" s="111"/>
      <c r="K2319" s="111"/>
      <c r="L2319" s="111"/>
      <c r="M2319" s="127"/>
      <c r="N2319" s="270"/>
      <c r="O2319" s="111"/>
      <c r="P2319" s="111"/>
      <c r="Q2319" s="127"/>
      <c r="R2319" s="124"/>
      <c r="S2319" s="125"/>
      <c r="T2319" s="125"/>
      <c r="U2319" s="125"/>
      <c r="V2319" s="125"/>
      <c r="W2319" s="125"/>
      <c r="X2319" s="125"/>
      <c r="Y2319" s="125"/>
      <c r="Z2319" s="127"/>
      <c r="AA2319" s="127"/>
      <c r="AB2319" s="127"/>
      <c r="AC2319" s="127"/>
      <c r="AD2319" s="261"/>
      <c r="AE2319" s="261"/>
      <c r="AF2319" s="261"/>
      <c r="AG2319" s="261"/>
    </row>
    <row r="2320" ht="34.5" hidden="1" customHeight="1">
      <c r="A2320" s="111"/>
      <c r="B2320" s="127"/>
      <c r="C2320" s="111"/>
      <c r="D2320" s="111"/>
      <c r="E2320" s="111"/>
      <c r="F2320" s="111"/>
      <c r="G2320" s="111"/>
      <c r="H2320" s="111"/>
      <c r="I2320" s="127"/>
      <c r="J2320" s="111"/>
      <c r="K2320" s="111"/>
      <c r="L2320" s="111"/>
      <c r="M2320" s="127"/>
      <c r="N2320" s="270"/>
      <c r="O2320" s="111"/>
      <c r="P2320" s="111"/>
      <c r="Q2320" s="127"/>
      <c r="R2320" s="124"/>
      <c r="S2320" s="125"/>
      <c r="T2320" s="125"/>
      <c r="U2320" s="125"/>
      <c r="V2320" s="125"/>
      <c r="W2320" s="125"/>
      <c r="X2320" s="125"/>
      <c r="Y2320" s="125"/>
      <c r="Z2320" s="127"/>
      <c r="AA2320" s="127"/>
      <c r="AB2320" s="127"/>
      <c r="AC2320" s="127"/>
      <c r="AD2320" s="261"/>
      <c r="AE2320" s="261"/>
      <c r="AF2320" s="261"/>
      <c r="AG2320" s="261"/>
    </row>
    <row r="2321" ht="34.5" hidden="1" customHeight="1">
      <c r="A2321" s="111"/>
      <c r="B2321" s="127"/>
      <c r="C2321" s="111"/>
      <c r="D2321" s="111"/>
      <c r="E2321" s="111"/>
      <c r="F2321" s="111"/>
      <c r="G2321" s="111"/>
      <c r="H2321" s="111"/>
      <c r="I2321" s="127"/>
      <c r="J2321" s="111"/>
      <c r="K2321" s="111"/>
      <c r="L2321" s="111"/>
      <c r="M2321" s="127"/>
      <c r="N2321" s="270"/>
      <c r="O2321" s="111"/>
      <c r="P2321" s="111"/>
      <c r="Q2321" s="127"/>
      <c r="R2321" s="124"/>
      <c r="S2321" s="125"/>
      <c r="T2321" s="125"/>
      <c r="U2321" s="125"/>
      <c r="V2321" s="125"/>
      <c r="W2321" s="125"/>
      <c r="X2321" s="125"/>
      <c r="Y2321" s="125"/>
      <c r="Z2321" s="127"/>
      <c r="AA2321" s="127"/>
      <c r="AB2321" s="127"/>
      <c r="AC2321" s="127"/>
      <c r="AD2321" s="261"/>
      <c r="AE2321" s="261"/>
      <c r="AF2321" s="261"/>
      <c r="AG2321" s="261"/>
    </row>
    <row r="2322" ht="34.5" hidden="1" customHeight="1">
      <c r="A2322" s="111"/>
      <c r="B2322" s="127"/>
      <c r="C2322" s="111"/>
      <c r="D2322" s="111"/>
      <c r="E2322" s="111"/>
      <c r="F2322" s="111"/>
      <c r="G2322" s="111"/>
      <c r="H2322" s="111"/>
      <c r="I2322" s="127"/>
      <c r="J2322" s="111"/>
      <c r="K2322" s="111"/>
      <c r="L2322" s="111"/>
      <c r="M2322" s="127"/>
      <c r="N2322" s="270"/>
      <c r="O2322" s="111"/>
      <c r="P2322" s="111"/>
      <c r="Q2322" s="127"/>
      <c r="R2322" s="124"/>
      <c r="S2322" s="125"/>
      <c r="T2322" s="125"/>
      <c r="U2322" s="125"/>
      <c r="V2322" s="125"/>
      <c r="W2322" s="125"/>
      <c r="X2322" s="125"/>
      <c r="Y2322" s="125"/>
      <c r="Z2322" s="127"/>
      <c r="AA2322" s="127"/>
      <c r="AB2322" s="127"/>
      <c r="AC2322" s="127"/>
      <c r="AD2322" s="261"/>
      <c r="AE2322" s="261"/>
      <c r="AF2322" s="261"/>
      <c r="AG2322" s="261"/>
    </row>
    <row r="2323" ht="34.5" hidden="1" customHeight="1">
      <c r="A2323" s="111"/>
      <c r="B2323" s="127"/>
      <c r="C2323" s="111"/>
      <c r="D2323" s="111"/>
      <c r="E2323" s="111"/>
      <c r="F2323" s="111"/>
      <c r="G2323" s="111"/>
      <c r="H2323" s="111"/>
      <c r="I2323" s="127"/>
      <c r="J2323" s="111"/>
      <c r="K2323" s="111"/>
      <c r="L2323" s="111"/>
      <c r="M2323" s="127"/>
      <c r="N2323" s="270"/>
      <c r="O2323" s="111"/>
      <c r="P2323" s="111"/>
      <c r="Q2323" s="127"/>
      <c r="R2323" s="124"/>
      <c r="S2323" s="125"/>
      <c r="T2323" s="125"/>
      <c r="U2323" s="125"/>
      <c r="V2323" s="125"/>
      <c r="W2323" s="125"/>
      <c r="X2323" s="125"/>
      <c r="Y2323" s="125"/>
      <c r="Z2323" s="127"/>
      <c r="AA2323" s="127"/>
      <c r="AB2323" s="127"/>
      <c r="AC2323" s="127"/>
      <c r="AD2323" s="261"/>
      <c r="AE2323" s="261"/>
      <c r="AF2323" s="261"/>
      <c r="AG2323" s="261"/>
    </row>
    <row r="2324" ht="34.5" hidden="1" customHeight="1">
      <c r="A2324" s="111"/>
      <c r="B2324" s="127"/>
      <c r="C2324" s="111"/>
      <c r="D2324" s="111"/>
      <c r="E2324" s="111"/>
      <c r="F2324" s="111"/>
      <c r="G2324" s="111"/>
      <c r="H2324" s="111"/>
      <c r="I2324" s="127"/>
      <c r="J2324" s="111"/>
      <c r="K2324" s="111"/>
      <c r="L2324" s="111"/>
      <c r="M2324" s="127"/>
      <c r="N2324" s="270"/>
      <c r="O2324" s="111"/>
      <c r="P2324" s="111"/>
      <c r="Q2324" s="127"/>
      <c r="R2324" s="124"/>
      <c r="S2324" s="125"/>
      <c r="T2324" s="125"/>
      <c r="U2324" s="125"/>
      <c r="V2324" s="125"/>
      <c r="W2324" s="125"/>
      <c r="X2324" s="125"/>
      <c r="Y2324" s="125"/>
      <c r="Z2324" s="127"/>
      <c r="AA2324" s="127"/>
      <c r="AB2324" s="127"/>
      <c r="AC2324" s="127"/>
      <c r="AD2324" s="261"/>
      <c r="AE2324" s="261"/>
      <c r="AF2324" s="261"/>
      <c r="AG2324" s="261"/>
    </row>
    <row r="2325" ht="34.5" hidden="1" customHeight="1">
      <c r="A2325" s="111"/>
      <c r="B2325" s="127"/>
      <c r="C2325" s="111"/>
      <c r="D2325" s="111"/>
      <c r="E2325" s="111"/>
      <c r="F2325" s="111"/>
      <c r="G2325" s="111"/>
      <c r="H2325" s="111"/>
      <c r="I2325" s="127"/>
      <c r="J2325" s="111"/>
      <c r="K2325" s="111"/>
      <c r="L2325" s="111"/>
      <c r="M2325" s="127"/>
      <c r="N2325" s="270"/>
      <c r="O2325" s="111"/>
      <c r="P2325" s="111"/>
      <c r="Q2325" s="127"/>
      <c r="R2325" s="124"/>
      <c r="S2325" s="125"/>
      <c r="T2325" s="125"/>
      <c r="U2325" s="125"/>
      <c r="V2325" s="125"/>
      <c r="W2325" s="125"/>
      <c r="X2325" s="125"/>
      <c r="Y2325" s="125"/>
      <c r="Z2325" s="127"/>
      <c r="AA2325" s="127"/>
      <c r="AB2325" s="127"/>
      <c r="AC2325" s="127"/>
      <c r="AD2325" s="261"/>
      <c r="AE2325" s="261"/>
      <c r="AF2325" s="261"/>
      <c r="AG2325" s="261"/>
    </row>
    <row r="2326" ht="34.5" hidden="1" customHeight="1">
      <c r="A2326" s="111"/>
      <c r="B2326" s="127"/>
      <c r="C2326" s="111"/>
      <c r="D2326" s="111"/>
      <c r="E2326" s="111"/>
      <c r="F2326" s="111"/>
      <c r="G2326" s="111"/>
      <c r="H2326" s="111"/>
      <c r="I2326" s="127"/>
      <c r="J2326" s="111"/>
      <c r="K2326" s="111"/>
      <c r="L2326" s="111"/>
      <c r="M2326" s="127"/>
      <c r="N2326" s="270"/>
      <c r="O2326" s="111"/>
      <c r="P2326" s="111"/>
      <c r="Q2326" s="127"/>
      <c r="R2326" s="124"/>
      <c r="S2326" s="125"/>
      <c r="T2326" s="125"/>
      <c r="U2326" s="125"/>
      <c r="V2326" s="125"/>
      <c r="W2326" s="125"/>
      <c r="X2326" s="125"/>
      <c r="Y2326" s="125"/>
      <c r="Z2326" s="127"/>
      <c r="AA2326" s="127"/>
      <c r="AB2326" s="127"/>
      <c r="AC2326" s="127"/>
      <c r="AD2326" s="261"/>
      <c r="AE2326" s="261"/>
      <c r="AF2326" s="261"/>
      <c r="AG2326" s="261"/>
    </row>
    <row r="2327" ht="34.5" hidden="1" customHeight="1">
      <c r="A2327" s="111"/>
      <c r="B2327" s="127"/>
      <c r="C2327" s="111"/>
      <c r="D2327" s="111"/>
      <c r="E2327" s="111"/>
      <c r="F2327" s="111"/>
      <c r="G2327" s="111"/>
      <c r="H2327" s="111"/>
      <c r="I2327" s="127"/>
      <c r="J2327" s="111"/>
      <c r="K2327" s="111"/>
      <c r="L2327" s="111"/>
      <c r="M2327" s="127"/>
      <c r="N2327" s="270"/>
      <c r="O2327" s="111"/>
      <c r="P2327" s="111"/>
      <c r="Q2327" s="127"/>
      <c r="R2327" s="124"/>
      <c r="S2327" s="125"/>
      <c r="T2327" s="125"/>
      <c r="U2327" s="125"/>
      <c r="V2327" s="125"/>
      <c r="W2327" s="125"/>
      <c r="X2327" s="125"/>
      <c r="Y2327" s="125"/>
      <c r="Z2327" s="127"/>
      <c r="AA2327" s="127"/>
      <c r="AB2327" s="127"/>
      <c r="AC2327" s="127"/>
      <c r="AD2327" s="261"/>
      <c r="AE2327" s="261"/>
      <c r="AF2327" s="261"/>
      <c r="AG2327" s="261"/>
    </row>
    <row r="2328" ht="34.5" hidden="1" customHeight="1">
      <c r="A2328" s="111"/>
      <c r="B2328" s="127"/>
      <c r="C2328" s="111"/>
      <c r="D2328" s="111"/>
      <c r="E2328" s="111"/>
      <c r="F2328" s="111"/>
      <c r="G2328" s="111"/>
      <c r="H2328" s="111"/>
      <c r="I2328" s="127"/>
      <c r="J2328" s="111"/>
      <c r="K2328" s="111"/>
      <c r="L2328" s="111"/>
      <c r="M2328" s="127"/>
      <c r="N2328" s="270"/>
      <c r="O2328" s="111"/>
      <c r="P2328" s="111"/>
      <c r="Q2328" s="127"/>
      <c r="R2328" s="124"/>
      <c r="S2328" s="125"/>
      <c r="T2328" s="125"/>
      <c r="U2328" s="125"/>
      <c r="V2328" s="125"/>
      <c r="W2328" s="125"/>
      <c r="X2328" s="125"/>
      <c r="Y2328" s="125"/>
      <c r="Z2328" s="127"/>
      <c r="AA2328" s="127"/>
      <c r="AB2328" s="127"/>
      <c r="AC2328" s="127"/>
      <c r="AD2328" s="261"/>
      <c r="AE2328" s="261"/>
      <c r="AF2328" s="261"/>
      <c r="AG2328" s="261"/>
    </row>
    <row r="2329" ht="34.5" hidden="1" customHeight="1">
      <c r="A2329" s="111"/>
      <c r="B2329" s="127"/>
      <c r="C2329" s="111"/>
      <c r="D2329" s="111"/>
      <c r="E2329" s="111"/>
      <c r="F2329" s="111"/>
      <c r="G2329" s="111"/>
      <c r="H2329" s="111"/>
      <c r="I2329" s="127"/>
      <c r="J2329" s="111"/>
      <c r="K2329" s="111"/>
      <c r="L2329" s="111"/>
      <c r="M2329" s="127"/>
      <c r="N2329" s="270"/>
      <c r="O2329" s="111"/>
      <c r="P2329" s="111"/>
      <c r="Q2329" s="127"/>
      <c r="R2329" s="124"/>
      <c r="S2329" s="125"/>
      <c r="T2329" s="125"/>
      <c r="U2329" s="125"/>
      <c r="V2329" s="125"/>
      <c r="W2329" s="125"/>
      <c r="X2329" s="125"/>
      <c r="Y2329" s="125"/>
      <c r="Z2329" s="127"/>
      <c r="AA2329" s="127"/>
      <c r="AB2329" s="127"/>
      <c r="AC2329" s="127"/>
      <c r="AD2329" s="261"/>
      <c r="AE2329" s="261"/>
      <c r="AF2329" s="261"/>
      <c r="AG2329" s="261"/>
    </row>
    <row r="2330" ht="34.5" hidden="1" customHeight="1">
      <c r="A2330" s="111"/>
      <c r="B2330" s="127"/>
      <c r="C2330" s="111"/>
      <c r="D2330" s="111"/>
      <c r="E2330" s="111"/>
      <c r="F2330" s="111"/>
      <c r="G2330" s="111"/>
      <c r="H2330" s="111"/>
      <c r="I2330" s="127"/>
      <c r="J2330" s="111"/>
      <c r="K2330" s="111"/>
      <c r="L2330" s="111"/>
      <c r="M2330" s="127"/>
      <c r="N2330" s="270"/>
      <c r="O2330" s="111"/>
      <c r="P2330" s="111"/>
      <c r="Q2330" s="127"/>
      <c r="R2330" s="124"/>
      <c r="S2330" s="125"/>
      <c r="T2330" s="125"/>
      <c r="U2330" s="125"/>
      <c r="V2330" s="125"/>
      <c r="W2330" s="125"/>
      <c r="X2330" s="125"/>
      <c r="Y2330" s="125"/>
      <c r="Z2330" s="127"/>
      <c r="AA2330" s="127"/>
      <c r="AB2330" s="127"/>
      <c r="AC2330" s="127"/>
      <c r="AD2330" s="261"/>
      <c r="AE2330" s="261"/>
      <c r="AF2330" s="261"/>
      <c r="AG2330" s="261"/>
    </row>
    <row r="2331" ht="34.5" hidden="1" customHeight="1">
      <c r="A2331" s="111"/>
      <c r="B2331" s="127"/>
      <c r="C2331" s="111"/>
      <c r="D2331" s="111"/>
      <c r="E2331" s="111"/>
      <c r="F2331" s="111"/>
      <c r="G2331" s="111"/>
      <c r="H2331" s="111"/>
      <c r="I2331" s="127"/>
      <c r="J2331" s="111"/>
      <c r="K2331" s="111"/>
      <c r="L2331" s="111"/>
      <c r="M2331" s="127"/>
      <c r="N2331" s="270"/>
      <c r="O2331" s="111"/>
      <c r="P2331" s="111"/>
      <c r="Q2331" s="127"/>
      <c r="R2331" s="124"/>
      <c r="S2331" s="125"/>
      <c r="T2331" s="125"/>
      <c r="U2331" s="125"/>
      <c r="V2331" s="125"/>
      <c r="W2331" s="125"/>
      <c r="X2331" s="125"/>
      <c r="Y2331" s="125"/>
      <c r="Z2331" s="127"/>
      <c r="AA2331" s="127"/>
      <c r="AB2331" s="127"/>
      <c r="AC2331" s="127"/>
      <c r="AD2331" s="261"/>
      <c r="AE2331" s="261"/>
      <c r="AF2331" s="261"/>
      <c r="AG2331" s="261"/>
    </row>
    <row r="2332" ht="34.5" hidden="1" customHeight="1">
      <c r="A2332" s="111"/>
      <c r="B2332" s="127"/>
      <c r="C2332" s="111"/>
      <c r="D2332" s="111"/>
      <c r="E2332" s="111"/>
      <c r="F2332" s="111"/>
      <c r="G2332" s="111"/>
      <c r="H2332" s="111"/>
      <c r="I2332" s="127"/>
      <c r="J2332" s="111"/>
      <c r="K2332" s="111"/>
      <c r="L2332" s="111"/>
      <c r="M2332" s="127"/>
      <c r="N2332" s="270"/>
      <c r="O2332" s="111"/>
      <c r="P2332" s="111"/>
      <c r="Q2332" s="127"/>
      <c r="R2332" s="124"/>
      <c r="S2332" s="125"/>
      <c r="T2332" s="125"/>
      <c r="U2332" s="125"/>
      <c r="V2332" s="125"/>
      <c r="W2332" s="125"/>
      <c r="X2332" s="125"/>
      <c r="Y2332" s="125"/>
      <c r="Z2332" s="127"/>
      <c r="AA2332" s="127"/>
      <c r="AB2332" s="127"/>
      <c r="AC2332" s="127"/>
      <c r="AD2332" s="261"/>
      <c r="AE2332" s="261"/>
      <c r="AF2332" s="261"/>
      <c r="AG2332" s="261"/>
    </row>
    <row r="2333" ht="34.5" hidden="1" customHeight="1">
      <c r="A2333" s="111"/>
      <c r="B2333" s="127"/>
      <c r="C2333" s="111"/>
      <c r="D2333" s="111"/>
      <c r="E2333" s="111"/>
      <c r="F2333" s="111"/>
      <c r="G2333" s="111"/>
      <c r="H2333" s="111"/>
      <c r="I2333" s="127"/>
      <c r="J2333" s="111"/>
      <c r="K2333" s="111"/>
      <c r="L2333" s="111"/>
      <c r="M2333" s="127"/>
      <c r="N2333" s="270"/>
      <c r="O2333" s="111"/>
      <c r="P2333" s="111"/>
      <c r="Q2333" s="127"/>
      <c r="R2333" s="124"/>
      <c r="S2333" s="125"/>
      <c r="T2333" s="125"/>
      <c r="U2333" s="125"/>
      <c r="V2333" s="125"/>
      <c r="W2333" s="125"/>
      <c r="X2333" s="125"/>
      <c r="Y2333" s="125"/>
      <c r="Z2333" s="127"/>
      <c r="AA2333" s="127"/>
      <c r="AB2333" s="127"/>
      <c r="AC2333" s="127"/>
      <c r="AD2333" s="261"/>
      <c r="AE2333" s="261"/>
      <c r="AF2333" s="261"/>
      <c r="AG2333" s="261"/>
    </row>
    <row r="2334" ht="34.5" hidden="1" customHeight="1">
      <c r="A2334" s="111"/>
      <c r="B2334" s="127"/>
      <c r="C2334" s="111"/>
      <c r="D2334" s="111"/>
      <c r="E2334" s="111"/>
      <c r="F2334" s="111"/>
      <c r="G2334" s="111"/>
      <c r="H2334" s="111"/>
      <c r="I2334" s="127"/>
      <c r="J2334" s="111"/>
      <c r="K2334" s="111"/>
      <c r="L2334" s="111"/>
      <c r="M2334" s="127"/>
      <c r="N2334" s="270"/>
      <c r="O2334" s="111"/>
      <c r="P2334" s="111"/>
      <c r="Q2334" s="127"/>
      <c r="R2334" s="124"/>
      <c r="S2334" s="125"/>
      <c r="T2334" s="125"/>
      <c r="U2334" s="125"/>
      <c r="V2334" s="125"/>
      <c r="W2334" s="125"/>
      <c r="X2334" s="125"/>
      <c r="Y2334" s="125"/>
      <c r="Z2334" s="127"/>
      <c r="AA2334" s="127"/>
      <c r="AB2334" s="127"/>
      <c r="AC2334" s="127"/>
      <c r="AD2334" s="261"/>
      <c r="AE2334" s="261"/>
      <c r="AF2334" s="261"/>
      <c r="AG2334" s="261"/>
    </row>
    <row r="2335" ht="34.5" hidden="1" customHeight="1">
      <c r="A2335" s="111"/>
      <c r="B2335" s="127"/>
      <c r="C2335" s="111"/>
      <c r="D2335" s="111"/>
      <c r="E2335" s="111"/>
      <c r="F2335" s="111"/>
      <c r="G2335" s="111"/>
      <c r="H2335" s="111"/>
      <c r="I2335" s="127"/>
      <c r="J2335" s="111"/>
      <c r="K2335" s="111"/>
      <c r="L2335" s="111"/>
      <c r="M2335" s="127"/>
      <c r="N2335" s="270"/>
      <c r="O2335" s="111"/>
      <c r="P2335" s="111"/>
      <c r="Q2335" s="127"/>
      <c r="R2335" s="124"/>
      <c r="S2335" s="125"/>
      <c r="T2335" s="125"/>
      <c r="U2335" s="125"/>
      <c r="V2335" s="125"/>
      <c r="W2335" s="125"/>
      <c r="X2335" s="125"/>
      <c r="Y2335" s="125"/>
      <c r="Z2335" s="127"/>
      <c r="AA2335" s="127"/>
      <c r="AB2335" s="127"/>
      <c r="AC2335" s="127"/>
      <c r="AD2335" s="261"/>
      <c r="AE2335" s="261"/>
      <c r="AF2335" s="261"/>
      <c r="AG2335" s="261"/>
    </row>
    <row r="2336" ht="34.5" hidden="1" customHeight="1">
      <c r="A2336" s="111"/>
      <c r="B2336" s="127"/>
      <c r="C2336" s="111"/>
      <c r="D2336" s="111"/>
      <c r="E2336" s="111"/>
      <c r="F2336" s="111"/>
      <c r="G2336" s="111"/>
      <c r="H2336" s="111"/>
      <c r="I2336" s="127"/>
      <c r="J2336" s="111"/>
      <c r="K2336" s="111"/>
      <c r="L2336" s="111"/>
      <c r="M2336" s="127"/>
      <c r="N2336" s="270"/>
      <c r="O2336" s="111"/>
      <c r="P2336" s="111"/>
      <c r="Q2336" s="127"/>
      <c r="R2336" s="124"/>
      <c r="S2336" s="125"/>
      <c r="T2336" s="125"/>
      <c r="U2336" s="125"/>
      <c r="V2336" s="125"/>
      <c r="W2336" s="125"/>
      <c r="X2336" s="125"/>
      <c r="Y2336" s="125"/>
      <c r="Z2336" s="127"/>
      <c r="AA2336" s="127"/>
      <c r="AB2336" s="127"/>
      <c r="AC2336" s="127"/>
      <c r="AD2336" s="261"/>
      <c r="AE2336" s="261"/>
      <c r="AF2336" s="261"/>
      <c r="AG2336" s="261"/>
    </row>
    <row r="2337" ht="34.5" hidden="1" customHeight="1">
      <c r="A2337" s="111"/>
      <c r="B2337" s="127"/>
      <c r="C2337" s="111"/>
      <c r="D2337" s="111"/>
      <c r="E2337" s="111"/>
      <c r="F2337" s="111"/>
      <c r="G2337" s="111"/>
      <c r="H2337" s="111"/>
      <c r="I2337" s="127"/>
      <c r="J2337" s="111"/>
      <c r="K2337" s="111"/>
      <c r="L2337" s="111"/>
      <c r="M2337" s="127"/>
      <c r="N2337" s="270"/>
      <c r="O2337" s="111"/>
      <c r="P2337" s="111"/>
      <c r="Q2337" s="127"/>
      <c r="R2337" s="124"/>
      <c r="S2337" s="125"/>
      <c r="T2337" s="125"/>
      <c r="U2337" s="125"/>
      <c r="V2337" s="125"/>
      <c r="W2337" s="125"/>
      <c r="X2337" s="125"/>
      <c r="Y2337" s="125"/>
      <c r="Z2337" s="127"/>
      <c r="AA2337" s="127"/>
      <c r="AB2337" s="127"/>
      <c r="AC2337" s="127"/>
      <c r="AD2337" s="261"/>
      <c r="AE2337" s="261"/>
      <c r="AF2337" s="261"/>
      <c r="AG2337" s="261"/>
    </row>
    <row r="2338" ht="34.5" hidden="1" customHeight="1">
      <c r="A2338" s="111"/>
      <c r="B2338" s="127"/>
      <c r="C2338" s="111"/>
      <c r="D2338" s="111"/>
      <c r="E2338" s="111"/>
      <c r="F2338" s="111"/>
      <c r="G2338" s="111"/>
      <c r="H2338" s="111"/>
      <c r="I2338" s="127"/>
      <c r="J2338" s="111"/>
      <c r="K2338" s="111"/>
      <c r="L2338" s="111"/>
      <c r="M2338" s="127"/>
      <c r="N2338" s="270"/>
      <c r="O2338" s="111"/>
      <c r="P2338" s="111"/>
      <c r="Q2338" s="127"/>
      <c r="R2338" s="124"/>
      <c r="S2338" s="125"/>
      <c r="T2338" s="125"/>
      <c r="U2338" s="125"/>
      <c r="V2338" s="125"/>
      <c r="W2338" s="125"/>
      <c r="X2338" s="125"/>
      <c r="Y2338" s="125"/>
      <c r="Z2338" s="127"/>
      <c r="AA2338" s="127"/>
      <c r="AB2338" s="127"/>
      <c r="AC2338" s="127"/>
      <c r="AD2338" s="261"/>
      <c r="AE2338" s="261"/>
      <c r="AF2338" s="261"/>
      <c r="AG2338" s="261"/>
    </row>
    <row r="2339" ht="34.5" hidden="1" customHeight="1">
      <c r="A2339" s="111"/>
      <c r="B2339" s="127"/>
      <c r="C2339" s="111"/>
      <c r="D2339" s="111"/>
      <c r="E2339" s="111"/>
      <c r="F2339" s="111"/>
      <c r="G2339" s="111"/>
      <c r="H2339" s="111"/>
      <c r="I2339" s="127"/>
      <c r="J2339" s="111"/>
      <c r="K2339" s="111"/>
      <c r="L2339" s="111"/>
      <c r="M2339" s="127"/>
      <c r="N2339" s="270"/>
      <c r="O2339" s="111"/>
      <c r="P2339" s="111"/>
      <c r="Q2339" s="127"/>
      <c r="R2339" s="124"/>
      <c r="S2339" s="125"/>
      <c r="T2339" s="125"/>
      <c r="U2339" s="125"/>
      <c r="V2339" s="125"/>
      <c r="W2339" s="125"/>
      <c r="X2339" s="125"/>
      <c r="Y2339" s="125"/>
      <c r="Z2339" s="127"/>
      <c r="AA2339" s="127"/>
      <c r="AB2339" s="127"/>
      <c r="AC2339" s="127"/>
      <c r="AD2339" s="261"/>
      <c r="AE2339" s="261"/>
      <c r="AF2339" s="261"/>
      <c r="AG2339" s="261"/>
    </row>
    <row r="2340" ht="34.5" hidden="1" customHeight="1">
      <c r="A2340" s="111"/>
      <c r="B2340" s="127"/>
      <c r="C2340" s="111"/>
      <c r="D2340" s="111"/>
      <c r="E2340" s="111"/>
      <c r="F2340" s="111"/>
      <c r="G2340" s="111"/>
      <c r="H2340" s="111"/>
      <c r="I2340" s="127"/>
      <c r="J2340" s="111"/>
      <c r="K2340" s="111"/>
      <c r="L2340" s="111"/>
      <c r="M2340" s="127"/>
      <c r="N2340" s="270"/>
      <c r="O2340" s="111"/>
      <c r="P2340" s="111"/>
      <c r="Q2340" s="127"/>
      <c r="R2340" s="124"/>
      <c r="S2340" s="125"/>
      <c r="T2340" s="125"/>
      <c r="U2340" s="125"/>
      <c r="V2340" s="125"/>
      <c r="W2340" s="125"/>
      <c r="X2340" s="125"/>
      <c r="Y2340" s="125"/>
      <c r="Z2340" s="127"/>
      <c r="AA2340" s="127"/>
      <c r="AB2340" s="127"/>
      <c r="AC2340" s="127"/>
      <c r="AD2340" s="261"/>
      <c r="AE2340" s="261"/>
      <c r="AF2340" s="261"/>
      <c r="AG2340" s="261"/>
    </row>
    <row r="2341" ht="34.5" hidden="1" customHeight="1">
      <c r="A2341" s="111"/>
      <c r="B2341" s="127"/>
      <c r="C2341" s="111"/>
      <c r="D2341" s="111"/>
      <c r="E2341" s="111"/>
      <c r="F2341" s="111"/>
      <c r="G2341" s="111"/>
      <c r="H2341" s="111"/>
      <c r="I2341" s="127"/>
      <c r="J2341" s="111"/>
      <c r="K2341" s="111"/>
      <c r="L2341" s="111"/>
      <c r="M2341" s="127"/>
      <c r="N2341" s="270"/>
      <c r="O2341" s="111"/>
      <c r="P2341" s="111"/>
      <c r="Q2341" s="127"/>
      <c r="R2341" s="124"/>
      <c r="S2341" s="125"/>
      <c r="T2341" s="125"/>
      <c r="U2341" s="125"/>
      <c r="V2341" s="125"/>
      <c r="W2341" s="125"/>
      <c r="X2341" s="125"/>
      <c r="Y2341" s="125"/>
      <c r="Z2341" s="127"/>
      <c r="AA2341" s="127"/>
      <c r="AB2341" s="127"/>
      <c r="AC2341" s="127"/>
      <c r="AD2341" s="261"/>
      <c r="AE2341" s="261"/>
      <c r="AF2341" s="261"/>
      <c r="AG2341" s="261"/>
    </row>
    <row r="2342" ht="34.5" hidden="1" customHeight="1">
      <c r="A2342" s="111"/>
      <c r="B2342" s="127"/>
      <c r="C2342" s="111"/>
      <c r="D2342" s="111"/>
      <c r="E2342" s="111"/>
      <c r="F2342" s="111"/>
      <c r="G2342" s="111"/>
      <c r="H2342" s="111"/>
      <c r="I2342" s="127"/>
      <c r="J2342" s="111"/>
      <c r="K2342" s="111"/>
      <c r="L2342" s="111"/>
      <c r="M2342" s="127"/>
      <c r="N2342" s="270"/>
      <c r="O2342" s="111"/>
      <c r="P2342" s="111"/>
      <c r="Q2342" s="127"/>
      <c r="R2342" s="124"/>
      <c r="S2342" s="125"/>
      <c r="T2342" s="125"/>
      <c r="U2342" s="125"/>
      <c r="V2342" s="125"/>
      <c r="W2342" s="125"/>
      <c r="X2342" s="125"/>
      <c r="Y2342" s="125"/>
      <c r="Z2342" s="127"/>
      <c r="AA2342" s="127"/>
      <c r="AB2342" s="127"/>
      <c r="AC2342" s="127"/>
      <c r="AD2342" s="261"/>
      <c r="AE2342" s="261"/>
      <c r="AF2342" s="261"/>
      <c r="AG2342" s="261"/>
    </row>
    <row r="2343" ht="34.5" hidden="1" customHeight="1">
      <c r="A2343" s="111"/>
      <c r="B2343" s="127"/>
      <c r="C2343" s="111"/>
      <c r="D2343" s="111"/>
      <c r="E2343" s="111"/>
      <c r="F2343" s="111"/>
      <c r="G2343" s="111"/>
      <c r="H2343" s="111"/>
      <c r="I2343" s="127"/>
      <c r="J2343" s="111"/>
      <c r="K2343" s="111"/>
      <c r="L2343" s="111"/>
      <c r="M2343" s="127"/>
      <c r="N2343" s="270"/>
      <c r="O2343" s="111"/>
      <c r="P2343" s="111"/>
      <c r="Q2343" s="127"/>
      <c r="R2343" s="124"/>
      <c r="S2343" s="125"/>
      <c r="T2343" s="125"/>
      <c r="U2343" s="125"/>
      <c r="V2343" s="125"/>
      <c r="W2343" s="125"/>
      <c r="X2343" s="125"/>
      <c r="Y2343" s="125"/>
      <c r="Z2343" s="127"/>
      <c r="AA2343" s="127"/>
      <c r="AB2343" s="127"/>
      <c r="AC2343" s="127"/>
      <c r="AD2343" s="261"/>
      <c r="AE2343" s="261"/>
      <c r="AF2343" s="261"/>
      <c r="AG2343" s="261"/>
    </row>
    <row r="2344" ht="34.5" hidden="1" customHeight="1">
      <c r="A2344" s="111"/>
      <c r="B2344" s="127"/>
      <c r="C2344" s="111"/>
      <c r="D2344" s="111"/>
      <c r="E2344" s="111"/>
      <c r="F2344" s="111"/>
      <c r="G2344" s="111"/>
      <c r="H2344" s="111"/>
      <c r="I2344" s="127"/>
      <c r="J2344" s="111"/>
      <c r="K2344" s="111"/>
      <c r="L2344" s="111"/>
      <c r="M2344" s="127"/>
      <c r="N2344" s="270"/>
      <c r="O2344" s="111"/>
      <c r="P2344" s="111"/>
      <c r="Q2344" s="127"/>
      <c r="R2344" s="124"/>
      <c r="S2344" s="125"/>
      <c r="T2344" s="125"/>
      <c r="U2344" s="125"/>
      <c r="V2344" s="125"/>
      <c r="W2344" s="125"/>
      <c r="X2344" s="125"/>
      <c r="Y2344" s="125"/>
      <c r="Z2344" s="127"/>
      <c r="AA2344" s="127"/>
      <c r="AB2344" s="127"/>
      <c r="AC2344" s="127"/>
      <c r="AD2344" s="261"/>
      <c r="AE2344" s="261"/>
      <c r="AF2344" s="261"/>
      <c r="AG2344" s="261"/>
    </row>
    <row r="2345" ht="34.5" hidden="1" customHeight="1">
      <c r="A2345" s="111"/>
      <c r="B2345" s="127"/>
      <c r="C2345" s="111"/>
      <c r="D2345" s="111"/>
      <c r="E2345" s="111"/>
      <c r="F2345" s="111"/>
      <c r="G2345" s="111"/>
      <c r="H2345" s="111"/>
      <c r="I2345" s="127"/>
      <c r="J2345" s="111"/>
      <c r="K2345" s="111"/>
      <c r="L2345" s="111"/>
      <c r="M2345" s="127"/>
      <c r="N2345" s="270"/>
      <c r="O2345" s="111"/>
      <c r="P2345" s="111"/>
      <c r="Q2345" s="127"/>
      <c r="R2345" s="124"/>
      <c r="S2345" s="125"/>
      <c r="T2345" s="125"/>
      <c r="U2345" s="125"/>
      <c r="V2345" s="125"/>
      <c r="W2345" s="125"/>
      <c r="X2345" s="125"/>
      <c r="Y2345" s="125"/>
      <c r="Z2345" s="127"/>
      <c r="AA2345" s="127"/>
      <c r="AB2345" s="127"/>
      <c r="AC2345" s="127"/>
      <c r="AD2345" s="261"/>
      <c r="AE2345" s="261"/>
      <c r="AF2345" s="261"/>
      <c r="AG2345" s="261"/>
    </row>
    <row r="2346" ht="34.5" hidden="1" customHeight="1">
      <c r="A2346" s="111"/>
      <c r="B2346" s="127"/>
      <c r="C2346" s="111"/>
      <c r="D2346" s="111"/>
      <c r="E2346" s="111"/>
      <c r="F2346" s="111"/>
      <c r="G2346" s="111"/>
      <c r="H2346" s="111"/>
      <c r="I2346" s="127"/>
      <c r="J2346" s="111"/>
      <c r="K2346" s="111"/>
      <c r="L2346" s="111"/>
      <c r="M2346" s="127"/>
      <c r="N2346" s="270"/>
      <c r="O2346" s="111"/>
      <c r="P2346" s="111"/>
      <c r="Q2346" s="127"/>
      <c r="R2346" s="124"/>
      <c r="S2346" s="125"/>
      <c r="T2346" s="125"/>
      <c r="U2346" s="125"/>
      <c r="V2346" s="125"/>
      <c r="W2346" s="125"/>
      <c r="X2346" s="125"/>
      <c r="Y2346" s="125"/>
      <c r="Z2346" s="127"/>
      <c r="AA2346" s="127"/>
      <c r="AB2346" s="127"/>
      <c r="AC2346" s="127"/>
      <c r="AD2346" s="261"/>
      <c r="AE2346" s="261"/>
      <c r="AF2346" s="261"/>
      <c r="AG2346" s="261"/>
    </row>
    <row r="2347" ht="34.5" hidden="1" customHeight="1">
      <c r="A2347" s="111"/>
      <c r="B2347" s="127"/>
      <c r="C2347" s="111"/>
      <c r="D2347" s="111"/>
      <c r="E2347" s="111"/>
      <c r="F2347" s="111"/>
      <c r="G2347" s="111"/>
      <c r="H2347" s="111"/>
      <c r="I2347" s="127"/>
      <c r="J2347" s="111"/>
      <c r="K2347" s="111"/>
      <c r="L2347" s="111"/>
      <c r="M2347" s="127"/>
      <c r="N2347" s="270"/>
      <c r="O2347" s="111"/>
      <c r="P2347" s="111"/>
      <c r="Q2347" s="127"/>
      <c r="R2347" s="124"/>
      <c r="S2347" s="125"/>
      <c r="T2347" s="125"/>
      <c r="U2347" s="125"/>
      <c r="V2347" s="125"/>
      <c r="W2347" s="125"/>
      <c r="X2347" s="125"/>
      <c r="Y2347" s="125"/>
      <c r="Z2347" s="127"/>
      <c r="AA2347" s="127"/>
      <c r="AB2347" s="127"/>
      <c r="AC2347" s="127"/>
      <c r="AD2347" s="261"/>
      <c r="AE2347" s="261"/>
      <c r="AF2347" s="261"/>
      <c r="AG2347" s="261"/>
    </row>
    <row r="2348" ht="34.5" hidden="1" customHeight="1">
      <c r="A2348" s="111"/>
      <c r="B2348" s="127"/>
      <c r="C2348" s="111"/>
      <c r="D2348" s="111"/>
      <c r="E2348" s="111"/>
      <c r="F2348" s="111"/>
      <c r="G2348" s="111"/>
      <c r="H2348" s="111"/>
      <c r="I2348" s="127"/>
      <c r="J2348" s="111"/>
      <c r="K2348" s="111"/>
      <c r="L2348" s="111"/>
      <c r="M2348" s="127"/>
      <c r="N2348" s="270"/>
      <c r="O2348" s="111"/>
      <c r="P2348" s="111"/>
      <c r="Q2348" s="127"/>
      <c r="R2348" s="124"/>
      <c r="S2348" s="125"/>
      <c r="T2348" s="125"/>
      <c r="U2348" s="125"/>
      <c r="V2348" s="125"/>
      <c r="W2348" s="125"/>
      <c r="X2348" s="125"/>
      <c r="Y2348" s="125"/>
      <c r="Z2348" s="127"/>
      <c r="AA2348" s="127"/>
      <c r="AB2348" s="127"/>
      <c r="AC2348" s="127"/>
      <c r="AD2348" s="261"/>
      <c r="AE2348" s="261"/>
      <c r="AF2348" s="261"/>
      <c r="AG2348" s="261"/>
    </row>
    <row r="2349" ht="34.5" hidden="1" customHeight="1">
      <c r="A2349" s="111"/>
      <c r="B2349" s="127"/>
      <c r="C2349" s="111"/>
      <c r="D2349" s="111"/>
      <c r="E2349" s="111"/>
      <c r="F2349" s="111"/>
      <c r="G2349" s="111"/>
      <c r="H2349" s="111"/>
      <c r="I2349" s="127"/>
      <c r="J2349" s="111"/>
      <c r="K2349" s="111"/>
      <c r="L2349" s="111"/>
      <c r="M2349" s="127"/>
      <c r="N2349" s="270"/>
      <c r="O2349" s="111"/>
      <c r="P2349" s="111"/>
      <c r="Q2349" s="127"/>
      <c r="R2349" s="124"/>
      <c r="S2349" s="125"/>
      <c r="T2349" s="125"/>
      <c r="U2349" s="125"/>
      <c r="V2349" s="125"/>
      <c r="W2349" s="125"/>
      <c r="X2349" s="125"/>
      <c r="Y2349" s="125"/>
      <c r="Z2349" s="127"/>
      <c r="AA2349" s="127"/>
      <c r="AB2349" s="127"/>
      <c r="AC2349" s="127"/>
      <c r="AD2349" s="261"/>
      <c r="AE2349" s="261"/>
      <c r="AF2349" s="261"/>
      <c r="AG2349" s="261"/>
    </row>
    <row r="2350" ht="34.5" hidden="1" customHeight="1">
      <c r="A2350" s="111"/>
      <c r="B2350" s="127"/>
      <c r="C2350" s="111"/>
      <c r="D2350" s="111"/>
      <c r="E2350" s="111"/>
      <c r="F2350" s="111"/>
      <c r="G2350" s="111"/>
      <c r="H2350" s="111"/>
      <c r="I2350" s="127"/>
      <c r="J2350" s="111"/>
      <c r="K2350" s="111"/>
      <c r="L2350" s="111"/>
      <c r="M2350" s="127"/>
      <c r="N2350" s="270"/>
      <c r="O2350" s="111"/>
      <c r="P2350" s="111"/>
      <c r="Q2350" s="127"/>
      <c r="R2350" s="124"/>
      <c r="S2350" s="125"/>
      <c r="T2350" s="125"/>
      <c r="U2350" s="125"/>
      <c r="V2350" s="125"/>
      <c r="W2350" s="125"/>
      <c r="X2350" s="125"/>
      <c r="Y2350" s="125"/>
      <c r="Z2350" s="127"/>
      <c r="AA2350" s="127"/>
      <c r="AB2350" s="127"/>
      <c r="AC2350" s="127"/>
      <c r="AD2350" s="261"/>
      <c r="AE2350" s="261"/>
      <c r="AF2350" s="261"/>
      <c r="AG2350" s="261"/>
    </row>
    <row r="2351" ht="34.5" hidden="1" customHeight="1">
      <c r="A2351" s="111"/>
      <c r="B2351" s="127"/>
      <c r="C2351" s="111"/>
      <c r="D2351" s="111"/>
      <c r="E2351" s="111"/>
      <c r="F2351" s="111"/>
      <c r="G2351" s="111"/>
      <c r="H2351" s="111"/>
      <c r="I2351" s="127"/>
      <c r="J2351" s="111"/>
      <c r="K2351" s="111"/>
      <c r="L2351" s="111"/>
      <c r="M2351" s="127"/>
      <c r="N2351" s="270"/>
      <c r="O2351" s="111"/>
      <c r="P2351" s="111"/>
      <c r="Q2351" s="127"/>
      <c r="R2351" s="124"/>
      <c r="S2351" s="125"/>
      <c r="T2351" s="125"/>
      <c r="U2351" s="125"/>
      <c r="V2351" s="125"/>
      <c r="W2351" s="125"/>
      <c r="X2351" s="125"/>
      <c r="Y2351" s="125"/>
      <c r="Z2351" s="127"/>
      <c r="AA2351" s="127"/>
      <c r="AB2351" s="127"/>
      <c r="AC2351" s="127"/>
      <c r="AD2351" s="261"/>
      <c r="AE2351" s="261"/>
      <c r="AF2351" s="261"/>
      <c r="AG2351" s="261"/>
    </row>
    <row r="2352" ht="34.5" hidden="1" customHeight="1">
      <c r="A2352" s="111"/>
      <c r="B2352" s="127"/>
      <c r="C2352" s="111"/>
      <c r="D2352" s="111"/>
      <c r="E2352" s="111"/>
      <c r="F2352" s="111"/>
      <c r="G2352" s="111"/>
      <c r="H2352" s="111"/>
      <c r="I2352" s="127"/>
      <c r="J2352" s="111"/>
      <c r="K2352" s="111"/>
      <c r="L2352" s="111"/>
      <c r="M2352" s="127"/>
      <c r="N2352" s="270"/>
      <c r="O2352" s="111"/>
      <c r="P2352" s="111"/>
      <c r="Q2352" s="127"/>
      <c r="R2352" s="124"/>
      <c r="S2352" s="125"/>
      <c r="T2352" s="125"/>
      <c r="U2352" s="125"/>
      <c r="V2352" s="125"/>
      <c r="W2352" s="125"/>
      <c r="X2352" s="125"/>
      <c r="Y2352" s="125"/>
      <c r="Z2352" s="127"/>
      <c r="AA2352" s="127"/>
      <c r="AB2352" s="127"/>
      <c r="AC2352" s="127"/>
      <c r="AD2352" s="261"/>
      <c r="AE2352" s="261"/>
      <c r="AF2352" s="261"/>
      <c r="AG2352" s="261"/>
    </row>
    <row r="2353" ht="34.5" hidden="1" customHeight="1">
      <c r="A2353" s="111"/>
      <c r="B2353" s="127"/>
      <c r="C2353" s="111"/>
      <c r="D2353" s="111"/>
      <c r="E2353" s="111"/>
      <c r="F2353" s="111"/>
      <c r="G2353" s="111"/>
      <c r="H2353" s="111"/>
      <c r="I2353" s="127"/>
      <c r="J2353" s="111"/>
      <c r="K2353" s="111"/>
      <c r="L2353" s="111"/>
      <c r="M2353" s="127"/>
      <c r="N2353" s="270"/>
      <c r="O2353" s="111"/>
      <c r="P2353" s="111"/>
      <c r="Q2353" s="127"/>
      <c r="R2353" s="124"/>
      <c r="S2353" s="125"/>
      <c r="T2353" s="125"/>
      <c r="U2353" s="125"/>
      <c r="V2353" s="125"/>
      <c r="W2353" s="125"/>
      <c r="X2353" s="125"/>
      <c r="Y2353" s="125"/>
      <c r="Z2353" s="127"/>
      <c r="AA2353" s="127"/>
      <c r="AB2353" s="127"/>
      <c r="AC2353" s="127"/>
      <c r="AD2353" s="261"/>
      <c r="AE2353" s="261"/>
      <c r="AF2353" s="261"/>
      <c r="AG2353" s="261"/>
    </row>
    <row r="2354" ht="34.5" hidden="1" customHeight="1">
      <c r="A2354" s="111"/>
      <c r="B2354" s="127"/>
      <c r="C2354" s="111"/>
      <c r="D2354" s="111"/>
      <c r="E2354" s="111"/>
      <c r="F2354" s="111"/>
      <c r="G2354" s="111"/>
      <c r="H2354" s="111"/>
      <c r="I2354" s="127"/>
      <c r="J2354" s="111"/>
      <c r="K2354" s="111"/>
      <c r="L2354" s="111"/>
      <c r="M2354" s="127"/>
      <c r="N2354" s="270"/>
      <c r="O2354" s="111"/>
      <c r="P2354" s="111"/>
      <c r="Q2354" s="127"/>
      <c r="R2354" s="124"/>
      <c r="S2354" s="125"/>
      <c r="T2354" s="125"/>
      <c r="U2354" s="125"/>
      <c r="V2354" s="125"/>
      <c r="W2354" s="125"/>
      <c r="X2354" s="125"/>
      <c r="Y2354" s="125"/>
      <c r="Z2354" s="127"/>
      <c r="AA2354" s="127"/>
      <c r="AB2354" s="127"/>
      <c r="AC2354" s="127"/>
      <c r="AD2354" s="261"/>
      <c r="AE2354" s="261"/>
      <c r="AF2354" s="261"/>
      <c r="AG2354" s="261"/>
    </row>
    <row r="2355" ht="34.5" hidden="1" customHeight="1">
      <c r="A2355" s="111"/>
      <c r="B2355" s="127"/>
      <c r="C2355" s="111"/>
      <c r="D2355" s="111"/>
      <c r="E2355" s="111"/>
      <c r="F2355" s="111"/>
      <c r="G2355" s="111"/>
      <c r="H2355" s="111"/>
      <c r="I2355" s="127"/>
      <c r="J2355" s="111"/>
      <c r="K2355" s="111"/>
      <c r="L2355" s="111"/>
      <c r="M2355" s="127"/>
      <c r="N2355" s="270"/>
      <c r="O2355" s="111"/>
      <c r="P2355" s="111"/>
      <c r="Q2355" s="127"/>
      <c r="R2355" s="124"/>
      <c r="S2355" s="125"/>
      <c r="T2355" s="125"/>
      <c r="U2355" s="125"/>
      <c r="V2355" s="125"/>
      <c r="W2355" s="125"/>
      <c r="X2355" s="125"/>
      <c r="Y2355" s="125"/>
      <c r="Z2355" s="127"/>
      <c r="AA2355" s="127"/>
      <c r="AB2355" s="127"/>
      <c r="AC2355" s="127"/>
      <c r="AD2355" s="261"/>
      <c r="AE2355" s="261"/>
      <c r="AF2355" s="261"/>
      <c r="AG2355" s="261"/>
    </row>
    <row r="2356" ht="34.5" hidden="1" customHeight="1">
      <c r="A2356" s="111"/>
      <c r="B2356" s="127"/>
      <c r="C2356" s="111"/>
      <c r="D2356" s="111"/>
      <c r="E2356" s="111"/>
      <c r="F2356" s="111"/>
      <c r="G2356" s="111"/>
      <c r="H2356" s="111"/>
      <c r="I2356" s="127"/>
      <c r="J2356" s="111"/>
      <c r="K2356" s="111"/>
      <c r="L2356" s="111"/>
      <c r="M2356" s="127"/>
      <c r="N2356" s="270"/>
      <c r="O2356" s="111"/>
      <c r="P2356" s="111"/>
      <c r="Q2356" s="127"/>
      <c r="R2356" s="124"/>
      <c r="S2356" s="125"/>
      <c r="T2356" s="125"/>
      <c r="U2356" s="125"/>
      <c r="V2356" s="125"/>
      <c r="W2356" s="125"/>
      <c r="X2356" s="125"/>
      <c r="Y2356" s="125"/>
      <c r="Z2356" s="127"/>
      <c r="AA2356" s="127"/>
      <c r="AB2356" s="127"/>
      <c r="AC2356" s="127"/>
      <c r="AD2356" s="261"/>
      <c r="AE2356" s="261"/>
      <c r="AF2356" s="261"/>
      <c r="AG2356" s="261"/>
    </row>
    <row r="2357" ht="34.5" hidden="1" customHeight="1">
      <c r="A2357" s="111"/>
      <c r="B2357" s="127"/>
      <c r="C2357" s="111"/>
      <c r="D2357" s="111"/>
      <c r="E2357" s="111"/>
      <c r="F2357" s="111"/>
      <c r="G2357" s="111"/>
      <c r="H2357" s="111"/>
      <c r="I2357" s="127"/>
      <c r="J2357" s="111"/>
      <c r="K2357" s="111"/>
      <c r="L2357" s="111"/>
      <c r="M2357" s="127"/>
      <c r="N2357" s="270"/>
      <c r="O2357" s="111"/>
      <c r="P2357" s="111"/>
      <c r="Q2357" s="127"/>
      <c r="R2357" s="124"/>
      <c r="S2357" s="125"/>
      <c r="T2357" s="125"/>
      <c r="U2357" s="125"/>
      <c r="V2357" s="125"/>
      <c r="W2357" s="125"/>
      <c r="X2357" s="125"/>
      <c r="Y2357" s="125"/>
      <c r="Z2357" s="127"/>
      <c r="AA2357" s="127"/>
      <c r="AB2357" s="127"/>
      <c r="AC2357" s="127"/>
      <c r="AD2357" s="261"/>
      <c r="AE2357" s="261"/>
      <c r="AF2357" s="261"/>
      <c r="AG2357" s="261"/>
    </row>
    <row r="2358" ht="34.5" hidden="1" customHeight="1">
      <c r="A2358" s="111"/>
      <c r="B2358" s="127"/>
      <c r="C2358" s="111"/>
      <c r="D2358" s="111"/>
      <c r="E2358" s="111"/>
      <c r="F2358" s="111"/>
      <c r="G2358" s="111"/>
      <c r="H2358" s="111"/>
      <c r="I2358" s="127"/>
      <c r="J2358" s="111"/>
      <c r="K2358" s="111"/>
      <c r="L2358" s="111"/>
      <c r="M2358" s="127"/>
      <c r="N2358" s="270"/>
      <c r="O2358" s="111"/>
      <c r="P2358" s="111"/>
      <c r="Q2358" s="127"/>
      <c r="R2358" s="124"/>
      <c r="S2358" s="125"/>
      <c r="T2358" s="125"/>
      <c r="U2358" s="125"/>
      <c r="V2358" s="125"/>
      <c r="W2358" s="125"/>
      <c r="X2358" s="125"/>
      <c r="Y2358" s="125"/>
      <c r="Z2358" s="127"/>
      <c r="AA2358" s="127"/>
      <c r="AB2358" s="127"/>
      <c r="AC2358" s="127"/>
      <c r="AD2358" s="261"/>
      <c r="AE2358" s="261"/>
      <c r="AF2358" s="261"/>
      <c r="AG2358" s="261"/>
    </row>
    <row r="2359" ht="34.5" hidden="1" customHeight="1">
      <c r="A2359" s="111"/>
      <c r="B2359" s="127"/>
      <c r="C2359" s="111"/>
      <c r="D2359" s="111"/>
      <c r="E2359" s="111"/>
      <c r="F2359" s="111"/>
      <c r="G2359" s="111"/>
      <c r="H2359" s="111"/>
      <c r="I2359" s="127"/>
      <c r="J2359" s="111"/>
      <c r="K2359" s="111"/>
      <c r="L2359" s="111"/>
      <c r="M2359" s="127"/>
      <c r="N2359" s="270"/>
      <c r="O2359" s="111"/>
      <c r="P2359" s="111"/>
      <c r="Q2359" s="127"/>
      <c r="R2359" s="124"/>
      <c r="S2359" s="125"/>
      <c r="T2359" s="125"/>
      <c r="U2359" s="125"/>
      <c r="V2359" s="125"/>
      <c r="W2359" s="125"/>
      <c r="X2359" s="125"/>
      <c r="Y2359" s="125"/>
      <c r="Z2359" s="127"/>
      <c r="AA2359" s="127"/>
      <c r="AB2359" s="127"/>
      <c r="AC2359" s="127"/>
      <c r="AD2359" s="261"/>
      <c r="AE2359" s="261"/>
      <c r="AF2359" s="261"/>
      <c r="AG2359" s="261"/>
    </row>
    <row r="2360" ht="34.5" hidden="1" customHeight="1">
      <c r="A2360" s="111"/>
      <c r="B2360" s="127"/>
      <c r="C2360" s="111"/>
      <c r="D2360" s="111"/>
      <c r="E2360" s="111"/>
      <c r="F2360" s="111"/>
      <c r="G2360" s="111"/>
      <c r="H2360" s="111"/>
      <c r="I2360" s="127"/>
      <c r="J2360" s="111"/>
      <c r="K2360" s="111"/>
      <c r="L2360" s="111"/>
      <c r="M2360" s="127"/>
      <c r="N2360" s="270"/>
      <c r="O2360" s="111"/>
      <c r="P2360" s="111"/>
      <c r="Q2360" s="127"/>
      <c r="R2360" s="124"/>
      <c r="S2360" s="125"/>
      <c r="T2360" s="125"/>
      <c r="U2360" s="125"/>
      <c r="V2360" s="125"/>
      <c r="W2360" s="125"/>
      <c r="X2360" s="125"/>
      <c r="Y2360" s="125"/>
      <c r="Z2360" s="127"/>
      <c r="AA2360" s="127"/>
      <c r="AB2360" s="127"/>
      <c r="AC2360" s="127"/>
      <c r="AD2360" s="261"/>
      <c r="AE2360" s="261"/>
      <c r="AF2360" s="261"/>
      <c r="AG2360" s="261"/>
    </row>
    <row r="2361" ht="34.5" hidden="1" customHeight="1">
      <c r="A2361" s="111"/>
      <c r="B2361" s="127"/>
      <c r="C2361" s="111"/>
      <c r="D2361" s="111"/>
      <c r="E2361" s="111"/>
      <c r="F2361" s="111"/>
      <c r="G2361" s="111"/>
      <c r="H2361" s="111"/>
      <c r="I2361" s="127"/>
      <c r="J2361" s="111"/>
      <c r="K2361" s="111"/>
      <c r="L2361" s="111"/>
      <c r="M2361" s="127"/>
      <c r="N2361" s="270"/>
      <c r="O2361" s="111"/>
      <c r="P2361" s="111"/>
      <c r="Q2361" s="127"/>
      <c r="R2361" s="124"/>
      <c r="S2361" s="125"/>
      <c r="T2361" s="125"/>
      <c r="U2361" s="125"/>
      <c r="V2361" s="125"/>
      <c r="W2361" s="125"/>
      <c r="X2361" s="125"/>
      <c r="Y2361" s="125"/>
      <c r="Z2361" s="127"/>
      <c r="AA2361" s="127"/>
      <c r="AB2361" s="127"/>
      <c r="AC2361" s="127"/>
      <c r="AD2361" s="261"/>
      <c r="AE2361" s="261"/>
      <c r="AF2361" s="261"/>
      <c r="AG2361" s="261"/>
    </row>
    <row r="2362" ht="34.5" hidden="1" customHeight="1">
      <c r="A2362" s="111"/>
      <c r="B2362" s="127"/>
      <c r="C2362" s="111"/>
      <c r="D2362" s="111"/>
      <c r="E2362" s="111"/>
      <c r="F2362" s="111"/>
      <c r="G2362" s="111"/>
      <c r="H2362" s="111"/>
      <c r="I2362" s="127"/>
      <c r="J2362" s="111"/>
      <c r="K2362" s="111"/>
      <c r="L2362" s="111"/>
      <c r="M2362" s="127"/>
      <c r="N2362" s="270"/>
      <c r="O2362" s="111"/>
      <c r="P2362" s="111"/>
      <c r="Q2362" s="127"/>
      <c r="R2362" s="124"/>
      <c r="S2362" s="125"/>
      <c r="T2362" s="125"/>
      <c r="U2362" s="125"/>
      <c r="V2362" s="125"/>
      <c r="W2362" s="125"/>
      <c r="X2362" s="125"/>
      <c r="Y2362" s="125"/>
      <c r="Z2362" s="127"/>
      <c r="AA2362" s="127"/>
      <c r="AB2362" s="127"/>
      <c r="AC2362" s="127"/>
      <c r="AD2362" s="261"/>
      <c r="AE2362" s="261"/>
      <c r="AF2362" s="261"/>
      <c r="AG2362" s="261"/>
    </row>
    <row r="2363" ht="34.5" hidden="1" customHeight="1">
      <c r="A2363" s="111"/>
      <c r="B2363" s="127"/>
      <c r="C2363" s="111"/>
      <c r="D2363" s="111"/>
      <c r="E2363" s="111"/>
      <c r="F2363" s="111"/>
      <c r="G2363" s="111"/>
      <c r="H2363" s="111"/>
      <c r="I2363" s="127"/>
      <c r="J2363" s="111"/>
      <c r="K2363" s="111"/>
      <c r="L2363" s="111"/>
      <c r="M2363" s="127"/>
      <c r="N2363" s="270"/>
      <c r="O2363" s="111"/>
      <c r="P2363" s="111"/>
      <c r="Q2363" s="127"/>
      <c r="R2363" s="124"/>
      <c r="S2363" s="125"/>
      <c r="T2363" s="125"/>
      <c r="U2363" s="125"/>
      <c r="V2363" s="125"/>
      <c r="W2363" s="125"/>
      <c r="X2363" s="125"/>
      <c r="Y2363" s="125"/>
      <c r="Z2363" s="127"/>
      <c r="AA2363" s="127"/>
      <c r="AB2363" s="127"/>
      <c r="AC2363" s="127"/>
      <c r="AD2363" s="261"/>
      <c r="AE2363" s="261"/>
      <c r="AF2363" s="261"/>
      <c r="AG2363" s="261"/>
    </row>
    <row r="2364" ht="34.5" hidden="1" customHeight="1">
      <c r="A2364" s="111"/>
      <c r="B2364" s="127"/>
      <c r="C2364" s="111"/>
      <c r="D2364" s="111"/>
      <c r="E2364" s="111"/>
      <c r="F2364" s="111"/>
      <c r="G2364" s="111"/>
      <c r="H2364" s="111"/>
      <c r="I2364" s="127"/>
      <c r="J2364" s="111"/>
      <c r="K2364" s="111"/>
      <c r="L2364" s="111"/>
      <c r="M2364" s="127"/>
      <c r="N2364" s="270"/>
      <c r="O2364" s="111"/>
      <c r="P2364" s="111"/>
      <c r="Q2364" s="127"/>
      <c r="R2364" s="124"/>
      <c r="S2364" s="125"/>
      <c r="T2364" s="125"/>
      <c r="U2364" s="125"/>
      <c r="V2364" s="125"/>
      <c r="W2364" s="125"/>
      <c r="X2364" s="125"/>
      <c r="Y2364" s="125"/>
      <c r="Z2364" s="127"/>
      <c r="AA2364" s="127"/>
      <c r="AB2364" s="127"/>
      <c r="AC2364" s="127"/>
      <c r="AD2364" s="261"/>
      <c r="AE2364" s="261"/>
      <c r="AF2364" s="261"/>
      <c r="AG2364" s="261"/>
    </row>
    <row r="2365" ht="34.5" hidden="1" customHeight="1">
      <c r="A2365" s="111"/>
      <c r="B2365" s="127"/>
      <c r="C2365" s="111"/>
      <c r="D2365" s="111"/>
      <c r="E2365" s="111"/>
      <c r="F2365" s="111"/>
      <c r="G2365" s="111"/>
      <c r="H2365" s="111"/>
      <c r="I2365" s="127"/>
      <c r="J2365" s="111"/>
      <c r="K2365" s="111"/>
      <c r="L2365" s="111"/>
      <c r="M2365" s="127"/>
      <c r="N2365" s="270"/>
      <c r="O2365" s="111"/>
      <c r="P2365" s="111"/>
      <c r="Q2365" s="127"/>
      <c r="R2365" s="124"/>
      <c r="S2365" s="125"/>
      <c r="T2365" s="125"/>
      <c r="U2365" s="125"/>
      <c r="V2365" s="125"/>
      <c r="W2365" s="125"/>
      <c r="X2365" s="125"/>
      <c r="Y2365" s="125"/>
      <c r="Z2365" s="127"/>
      <c r="AA2365" s="127"/>
      <c r="AB2365" s="127"/>
      <c r="AC2365" s="127"/>
      <c r="AD2365" s="261"/>
      <c r="AE2365" s="261"/>
      <c r="AF2365" s="261"/>
      <c r="AG2365" s="261"/>
    </row>
    <row r="2366" ht="34.5" hidden="1" customHeight="1">
      <c r="A2366" s="111"/>
      <c r="B2366" s="127"/>
      <c r="C2366" s="111"/>
      <c r="D2366" s="111"/>
      <c r="E2366" s="111"/>
      <c r="F2366" s="111"/>
      <c r="G2366" s="111"/>
      <c r="H2366" s="111"/>
      <c r="I2366" s="127"/>
      <c r="J2366" s="111"/>
      <c r="K2366" s="111"/>
      <c r="L2366" s="111"/>
      <c r="M2366" s="127"/>
      <c r="N2366" s="270"/>
      <c r="O2366" s="111"/>
      <c r="P2366" s="111"/>
      <c r="Q2366" s="127"/>
      <c r="R2366" s="124"/>
      <c r="S2366" s="125"/>
      <c r="T2366" s="125"/>
      <c r="U2366" s="125"/>
      <c r="V2366" s="125"/>
      <c r="W2366" s="125"/>
      <c r="X2366" s="125"/>
      <c r="Y2366" s="125"/>
      <c r="Z2366" s="127"/>
      <c r="AA2366" s="127"/>
      <c r="AB2366" s="127"/>
      <c r="AC2366" s="127"/>
      <c r="AD2366" s="261"/>
      <c r="AE2366" s="261"/>
      <c r="AF2366" s="261"/>
      <c r="AG2366" s="261"/>
    </row>
    <row r="2367" ht="34.5" hidden="1" customHeight="1">
      <c r="A2367" s="111"/>
      <c r="B2367" s="127"/>
      <c r="C2367" s="111"/>
      <c r="D2367" s="111"/>
      <c r="E2367" s="111"/>
      <c r="F2367" s="111"/>
      <c r="G2367" s="111"/>
      <c r="H2367" s="111"/>
      <c r="I2367" s="127"/>
      <c r="J2367" s="111"/>
      <c r="K2367" s="111"/>
      <c r="L2367" s="111"/>
      <c r="M2367" s="127"/>
      <c r="N2367" s="270"/>
      <c r="O2367" s="111"/>
      <c r="P2367" s="111"/>
      <c r="Q2367" s="127"/>
      <c r="R2367" s="124"/>
      <c r="S2367" s="125"/>
      <c r="T2367" s="125"/>
      <c r="U2367" s="125"/>
      <c r="V2367" s="125"/>
      <c r="W2367" s="125"/>
      <c r="X2367" s="125"/>
      <c r="Y2367" s="125"/>
      <c r="Z2367" s="127"/>
      <c r="AA2367" s="127"/>
      <c r="AB2367" s="127"/>
      <c r="AC2367" s="127"/>
      <c r="AD2367" s="261"/>
      <c r="AE2367" s="261"/>
      <c r="AF2367" s="261"/>
      <c r="AG2367" s="261"/>
    </row>
    <row r="2368" ht="34.5" hidden="1" customHeight="1">
      <c r="A2368" s="111"/>
      <c r="B2368" s="127"/>
      <c r="C2368" s="111"/>
      <c r="D2368" s="111"/>
      <c r="E2368" s="111"/>
      <c r="F2368" s="111"/>
      <c r="G2368" s="111"/>
      <c r="H2368" s="111"/>
      <c r="I2368" s="127"/>
      <c r="J2368" s="111"/>
      <c r="K2368" s="111"/>
      <c r="L2368" s="111"/>
      <c r="M2368" s="127"/>
      <c r="N2368" s="270"/>
      <c r="O2368" s="111"/>
      <c r="P2368" s="111"/>
      <c r="Q2368" s="127"/>
      <c r="R2368" s="124"/>
      <c r="S2368" s="125"/>
      <c r="T2368" s="125"/>
      <c r="U2368" s="125"/>
      <c r="V2368" s="125"/>
      <c r="W2368" s="125"/>
      <c r="X2368" s="125"/>
      <c r="Y2368" s="125"/>
      <c r="Z2368" s="127"/>
      <c r="AA2368" s="127"/>
      <c r="AB2368" s="127"/>
      <c r="AC2368" s="127"/>
      <c r="AD2368" s="261"/>
      <c r="AE2368" s="261"/>
      <c r="AF2368" s="261"/>
      <c r="AG2368" s="261"/>
    </row>
    <row r="2369" ht="34.5" hidden="1" customHeight="1">
      <c r="A2369" s="111"/>
      <c r="B2369" s="127"/>
      <c r="C2369" s="111"/>
      <c r="D2369" s="111"/>
      <c r="E2369" s="111"/>
      <c r="F2369" s="111"/>
      <c r="G2369" s="111"/>
      <c r="H2369" s="111"/>
      <c r="I2369" s="127"/>
      <c r="J2369" s="111"/>
      <c r="K2369" s="111"/>
      <c r="L2369" s="111"/>
      <c r="M2369" s="127"/>
      <c r="N2369" s="270"/>
      <c r="O2369" s="111"/>
      <c r="P2369" s="111"/>
      <c r="Q2369" s="127"/>
      <c r="R2369" s="124"/>
      <c r="S2369" s="125"/>
      <c r="T2369" s="125"/>
      <c r="U2369" s="125"/>
      <c r="V2369" s="125"/>
      <c r="W2369" s="125"/>
      <c r="X2369" s="125"/>
      <c r="Y2369" s="125"/>
      <c r="Z2369" s="127"/>
      <c r="AA2369" s="127"/>
      <c r="AB2369" s="127"/>
      <c r="AC2369" s="127"/>
      <c r="AD2369" s="261"/>
      <c r="AE2369" s="261"/>
      <c r="AF2369" s="261"/>
      <c r="AG2369" s="261"/>
    </row>
    <row r="2370" ht="34.5" hidden="1" customHeight="1">
      <c r="A2370" s="111"/>
      <c r="B2370" s="127"/>
      <c r="C2370" s="111"/>
      <c r="D2370" s="111"/>
      <c r="E2370" s="111"/>
      <c r="F2370" s="111"/>
      <c r="G2370" s="111"/>
      <c r="H2370" s="111"/>
      <c r="I2370" s="127"/>
      <c r="J2370" s="111"/>
      <c r="K2370" s="111"/>
      <c r="L2370" s="111"/>
      <c r="M2370" s="127"/>
      <c r="N2370" s="270"/>
      <c r="O2370" s="111"/>
      <c r="P2370" s="111"/>
      <c r="Q2370" s="127"/>
      <c r="R2370" s="124"/>
      <c r="S2370" s="125"/>
      <c r="T2370" s="125"/>
      <c r="U2370" s="125"/>
      <c r="V2370" s="125"/>
      <c r="W2370" s="125"/>
      <c r="X2370" s="125"/>
      <c r="Y2370" s="125"/>
      <c r="Z2370" s="127"/>
      <c r="AA2370" s="127"/>
      <c r="AB2370" s="127"/>
      <c r="AC2370" s="127"/>
      <c r="AD2370" s="261"/>
      <c r="AE2370" s="261"/>
      <c r="AF2370" s="261"/>
      <c r="AG2370" s="261"/>
    </row>
    <row r="2371" ht="34.5" hidden="1" customHeight="1">
      <c r="A2371" s="111"/>
      <c r="B2371" s="127"/>
      <c r="C2371" s="111"/>
      <c r="D2371" s="111"/>
      <c r="E2371" s="111"/>
      <c r="F2371" s="111"/>
      <c r="G2371" s="111"/>
      <c r="H2371" s="111"/>
      <c r="I2371" s="127"/>
      <c r="J2371" s="111"/>
      <c r="K2371" s="111"/>
      <c r="L2371" s="111"/>
      <c r="M2371" s="127"/>
      <c r="N2371" s="270"/>
      <c r="O2371" s="111"/>
      <c r="P2371" s="111"/>
      <c r="Q2371" s="127"/>
      <c r="R2371" s="124"/>
      <c r="S2371" s="125"/>
      <c r="T2371" s="125"/>
      <c r="U2371" s="125"/>
      <c r="V2371" s="125"/>
      <c r="W2371" s="125"/>
      <c r="X2371" s="125"/>
      <c r="Y2371" s="125"/>
      <c r="Z2371" s="127"/>
      <c r="AA2371" s="127"/>
      <c r="AB2371" s="127"/>
      <c r="AC2371" s="127"/>
      <c r="AD2371" s="261"/>
      <c r="AE2371" s="261"/>
      <c r="AF2371" s="261"/>
      <c r="AG2371" s="261"/>
    </row>
    <row r="2372" ht="34.5" hidden="1" customHeight="1">
      <c r="A2372" s="111"/>
      <c r="B2372" s="127"/>
      <c r="C2372" s="111"/>
      <c r="D2372" s="111"/>
      <c r="E2372" s="111"/>
      <c r="F2372" s="111"/>
      <c r="G2372" s="111"/>
      <c r="H2372" s="111"/>
      <c r="I2372" s="127"/>
      <c r="J2372" s="111"/>
      <c r="K2372" s="111"/>
      <c r="L2372" s="111"/>
      <c r="M2372" s="127"/>
      <c r="N2372" s="270"/>
      <c r="O2372" s="111"/>
      <c r="P2372" s="111"/>
      <c r="Q2372" s="127"/>
      <c r="R2372" s="124"/>
      <c r="S2372" s="125"/>
      <c r="T2372" s="125"/>
      <c r="U2372" s="125"/>
      <c r="V2372" s="125"/>
      <c r="W2372" s="125"/>
      <c r="X2372" s="125"/>
      <c r="Y2372" s="125"/>
      <c r="Z2372" s="127"/>
      <c r="AA2372" s="127"/>
      <c r="AB2372" s="127"/>
      <c r="AC2372" s="127"/>
      <c r="AD2372" s="261"/>
      <c r="AE2372" s="261"/>
      <c r="AF2372" s="261"/>
      <c r="AG2372" s="261"/>
    </row>
    <row r="2373" ht="34.5" hidden="1" customHeight="1">
      <c r="A2373" s="111"/>
      <c r="B2373" s="127"/>
      <c r="C2373" s="111"/>
      <c r="D2373" s="111"/>
      <c r="E2373" s="111"/>
      <c r="F2373" s="111"/>
      <c r="G2373" s="111"/>
      <c r="H2373" s="111"/>
      <c r="I2373" s="127"/>
      <c r="J2373" s="111"/>
      <c r="K2373" s="111"/>
      <c r="L2373" s="111"/>
      <c r="M2373" s="127"/>
      <c r="N2373" s="270"/>
      <c r="O2373" s="111"/>
      <c r="P2373" s="111"/>
      <c r="Q2373" s="127"/>
      <c r="R2373" s="124"/>
      <c r="S2373" s="125"/>
      <c r="T2373" s="125"/>
      <c r="U2373" s="125"/>
      <c r="V2373" s="125"/>
      <c r="W2373" s="125"/>
      <c r="X2373" s="125"/>
      <c r="Y2373" s="125"/>
      <c r="Z2373" s="127"/>
      <c r="AA2373" s="127"/>
      <c r="AB2373" s="127"/>
      <c r="AC2373" s="127"/>
      <c r="AD2373" s="261"/>
      <c r="AE2373" s="261"/>
      <c r="AF2373" s="261"/>
      <c r="AG2373" s="261"/>
    </row>
    <row r="2374" ht="34.5" hidden="1" customHeight="1">
      <c r="A2374" s="111"/>
      <c r="B2374" s="127"/>
      <c r="C2374" s="111"/>
      <c r="D2374" s="111"/>
      <c r="E2374" s="111"/>
      <c r="F2374" s="111"/>
      <c r="G2374" s="111"/>
      <c r="H2374" s="111"/>
      <c r="I2374" s="127"/>
      <c r="J2374" s="111"/>
      <c r="K2374" s="111"/>
      <c r="L2374" s="111"/>
      <c r="M2374" s="127"/>
      <c r="N2374" s="270"/>
      <c r="O2374" s="111"/>
      <c r="P2374" s="111"/>
      <c r="Q2374" s="127"/>
      <c r="R2374" s="124"/>
      <c r="S2374" s="125"/>
      <c r="T2374" s="125"/>
      <c r="U2374" s="125"/>
      <c r="V2374" s="125"/>
      <c r="W2374" s="125"/>
      <c r="X2374" s="125"/>
      <c r="Y2374" s="125"/>
      <c r="Z2374" s="127"/>
      <c r="AA2374" s="127"/>
      <c r="AB2374" s="127"/>
      <c r="AC2374" s="127"/>
      <c r="AD2374" s="261"/>
      <c r="AE2374" s="261"/>
      <c r="AF2374" s="261"/>
      <c r="AG2374" s="261"/>
    </row>
    <row r="2375" ht="34.5" hidden="1" customHeight="1">
      <c r="A2375" s="111"/>
      <c r="B2375" s="127"/>
      <c r="C2375" s="111"/>
      <c r="D2375" s="111"/>
      <c r="E2375" s="111"/>
      <c r="F2375" s="111"/>
      <c r="G2375" s="111"/>
      <c r="H2375" s="111"/>
      <c r="I2375" s="127"/>
      <c r="J2375" s="111"/>
      <c r="K2375" s="111"/>
      <c r="L2375" s="111"/>
      <c r="M2375" s="127"/>
      <c r="N2375" s="270"/>
      <c r="O2375" s="111"/>
      <c r="P2375" s="111"/>
      <c r="Q2375" s="127"/>
      <c r="R2375" s="124"/>
      <c r="S2375" s="125"/>
      <c r="T2375" s="125"/>
      <c r="U2375" s="125"/>
      <c r="V2375" s="125"/>
      <c r="W2375" s="125"/>
      <c r="X2375" s="125"/>
      <c r="Y2375" s="125"/>
      <c r="Z2375" s="127"/>
      <c r="AA2375" s="127"/>
      <c r="AB2375" s="127"/>
      <c r="AC2375" s="127"/>
      <c r="AD2375" s="261"/>
      <c r="AE2375" s="261"/>
      <c r="AF2375" s="261"/>
      <c r="AG2375" s="261"/>
    </row>
    <row r="2376" ht="34.5" hidden="1" customHeight="1">
      <c r="A2376" s="111"/>
      <c r="B2376" s="127"/>
      <c r="C2376" s="111"/>
      <c r="D2376" s="111"/>
      <c r="E2376" s="111"/>
      <c r="F2376" s="111"/>
      <c r="G2376" s="111"/>
      <c r="H2376" s="111"/>
      <c r="I2376" s="127"/>
      <c r="J2376" s="111"/>
      <c r="K2376" s="111"/>
      <c r="L2376" s="111"/>
      <c r="M2376" s="127"/>
      <c r="N2376" s="270"/>
      <c r="O2376" s="111"/>
      <c r="P2376" s="111"/>
      <c r="Q2376" s="127"/>
      <c r="R2376" s="124"/>
      <c r="S2376" s="125"/>
      <c r="T2376" s="125"/>
      <c r="U2376" s="125"/>
      <c r="V2376" s="125"/>
      <c r="W2376" s="125"/>
      <c r="X2376" s="125"/>
      <c r="Y2376" s="125"/>
      <c r="Z2376" s="127"/>
      <c r="AA2376" s="127"/>
      <c r="AB2376" s="127"/>
      <c r="AC2376" s="127"/>
      <c r="AD2376" s="261"/>
      <c r="AE2376" s="261"/>
      <c r="AF2376" s="261"/>
      <c r="AG2376" s="261"/>
    </row>
    <row r="2377" ht="34.5" hidden="1" customHeight="1">
      <c r="A2377" s="111"/>
      <c r="B2377" s="127"/>
      <c r="C2377" s="111"/>
      <c r="D2377" s="111"/>
      <c r="E2377" s="111"/>
      <c r="F2377" s="111"/>
      <c r="G2377" s="111"/>
      <c r="H2377" s="111"/>
      <c r="I2377" s="127"/>
      <c r="J2377" s="111"/>
      <c r="K2377" s="111"/>
      <c r="L2377" s="111"/>
      <c r="M2377" s="127"/>
      <c r="N2377" s="270"/>
      <c r="O2377" s="111"/>
      <c r="P2377" s="111"/>
      <c r="Q2377" s="127"/>
      <c r="R2377" s="124"/>
      <c r="S2377" s="125"/>
      <c r="T2377" s="125"/>
      <c r="U2377" s="125"/>
      <c r="V2377" s="125"/>
      <c r="W2377" s="125"/>
      <c r="X2377" s="125"/>
      <c r="Y2377" s="125"/>
      <c r="Z2377" s="127"/>
      <c r="AA2377" s="127"/>
      <c r="AB2377" s="127"/>
      <c r="AC2377" s="127"/>
      <c r="AD2377" s="261"/>
      <c r="AE2377" s="261"/>
      <c r="AF2377" s="261"/>
      <c r="AG2377" s="261"/>
    </row>
    <row r="2378" ht="34.5" hidden="1" customHeight="1">
      <c r="A2378" s="111"/>
      <c r="B2378" s="127"/>
      <c r="C2378" s="111"/>
      <c r="D2378" s="111"/>
      <c r="E2378" s="111"/>
      <c r="F2378" s="111"/>
      <c r="G2378" s="111"/>
      <c r="H2378" s="111"/>
      <c r="I2378" s="127"/>
      <c r="J2378" s="111"/>
      <c r="K2378" s="111"/>
      <c r="L2378" s="111"/>
      <c r="M2378" s="127"/>
      <c r="N2378" s="270"/>
      <c r="O2378" s="111"/>
      <c r="P2378" s="111"/>
      <c r="Q2378" s="127"/>
      <c r="R2378" s="124"/>
      <c r="S2378" s="125"/>
      <c r="T2378" s="125"/>
      <c r="U2378" s="125"/>
      <c r="V2378" s="125"/>
      <c r="W2378" s="125"/>
      <c r="X2378" s="125"/>
      <c r="Y2378" s="125"/>
      <c r="Z2378" s="127"/>
      <c r="AA2378" s="127"/>
      <c r="AB2378" s="127"/>
      <c r="AC2378" s="127"/>
      <c r="AD2378" s="261"/>
      <c r="AE2378" s="261"/>
      <c r="AF2378" s="261"/>
      <c r="AG2378" s="261"/>
    </row>
    <row r="2379" ht="34.5" hidden="1" customHeight="1">
      <c r="A2379" s="111"/>
      <c r="B2379" s="127"/>
      <c r="C2379" s="111"/>
      <c r="D2379" s="111"/>
      <c r="E2379" s="111"/>
      <c r="F2379" s="111"/>
      <c r="G2379" s="111"/>
      <c r="H2379" s="111"/>
      <c r="I2379" s="127"/>
      <c r="J2379" s="111"/>
      <c r="K2379" s="111"/>
      <c r="L2379" s="111"/>
      <c r="M2379" s="127"/>
      <c r="N2379" s="270"/>
      <c r="O2379" s="111"/>
      <c r="P2379" s="111"/>
      <c r="Q2379" s="127"/>
      <c r="R2379" s="124"/>
      <c r="S2379" s="125"/>
      <c r="T2379" s="125"/>
      <c r="U2379" s="125"/>
      <c r="V2379" s="125"/>
      <c r="W2379" s="125"/>
      <c r="X2379" s="125"/>
      <c r="Y2379" s="125"/>
      <c r="Z2379" s="127"/>
      <c r="AA2379" s="127"/>
      <c r="AB2379" s="127"/>
      <c r="AC2379" s="127"/>
      <c r="AD2379" s="261"/>
      <c r="AE2379" s="261"/>
      <c r="AF2379" s="261"/>
      <c r="AG2379" s="261"/>
    </row>
    <row r="2380" ht="34.5" hidden="1" customHeight="1">
      <c r="A2380" s="111"/>
      <c r="B2380" s="127"/>
      <c r="C2380" s="111"/>
      <c r="D2380" s="111"/>
      <c r="E2380" s="111"/>
      <c r="F2380" s="111"/>
      <c r="G2380" s="111"/>
      <c r="H2380" s="111"/>
      <c r="I2380" s="127"/>
      <c r="J2380" s="111"/>
      <c r="K2380" s="111"/>
      <c r="L2380" s="111"/>
      <c r="M2380" s="127"/>
      <c r="N2380" s="270"/>
      <c r="O2380" s="111"/>
      <c r="P2380" s="111"/>
      <c r="Q2380" s="127"/>
      <c r="R2380" s="124"/>
      <c r="S2380" s="125"/>
      <c r="T2380" s="125"/>
      <c r="U2380" s="125"/>
      <c r="V2380" s="125"/>
      <c r="W2380" s="125"/>
      <c r="X2380" s="125"/>
      <c r="Y2380" s="125"/>
      <c r="Z2380" s="127"/>
      <c r="AA2380" s="127"/>
      <c r="AB2380" s="127"/>
      <c r="AC2380" s="127"/>
      <c r="AD2380" s="261"/>
      <c r="AE2380" s="261"/>
      <c r="AF2380" s="261"/>
      <c r="AG2380" s="261"/>
    </row>
    <row r="2381" ht="34.5" hidden="1" customHeight="1">
      <c r="A2381" s="111"/>
      <c r="B2381" s="127"/>
      <c r="C2381" s="111"/>
      <c r="D2381" s="111"/>
      <c r="E2381" s="111"/>
      <c r="F2381" s="111"/>
      <c r="G2381" s="111"/>
      <c r="H2381" s="111"/>
      <c r="I2381" s="127"/>
      <c r="J2381" s="111"/>
      <c r="K2381" s="111"/>
      <c r="L2381" s="111"/>
      <c r="M2381" s="127"/>
      <c r="N2381" s="270"/>
      <c r="O2381" s="111"/>
      <c r="P2381" s="111"/>
      <c r="Q2381" s="127"/>
      <c r="R2381" s="124"/>
      <c r="S2381" s="125"/>
      <c r="T2381" s="125"/>
      <c r="U2381" s="125"/>
      <c r="V2381" s="125"/>
      <c r="W2381" s="125"/>
      <c r="X2381" s="125"/>
      <c r="Y2381" s="125"/>
      <c r="Z2381" s="127"/>
      <c r="AA2381" s="127"/>
      <c r="AB2381" s="127"/>
      <c r="AC2381" s="127"/>
      <c r="AD2381" s="261"/>
      <c r="AE2381" s="261"/>
      <c r="AF2381" s="261"/>
      <c r="AG2381" s="261"/>
    </row>
    <row r="2382" ht="34.5" hidden="1" customHeight="1">
      <c r="A2382" s="111"/>
      <c r="B2382" s="127"/>
      <c r="C2382" s="111"/>
      <c r="D2382" s="111"/>
      <c r="E2382" s="111"/>
      <c r="F2382" s="111"/>
      <c r="G2382" s="111"/>
      <c r="H2382" s="111"/>
      <c r="I2382" s="127"/>
      <c r="J2382" s="111"/>
      <c r="K2382" s="111"/>
      <c r="L2382" s="111"/>
      <c r="M2382" s="127"/>
      <c r="N2382" s="270"/>
      <c r="O2382" s="111"/>
      <c r="P2382" s="111"/>
      <c r="Q2382" s="127"/>
      <c r="R2382" s="124"/>
      <c r="S2382" s="125"/>
      <c r="T2382" s="125"/>
      <c r="U2382" s="125"/>
      <c r="V2382" s="125"/>
      <c r="W2382" s="125"/>
      <c r="X2382" s="125"/>
      <c r="Y2382" s="125"/>
      <c r="Z2382" s="127"/>
      <c r="AA2382" s="127"/>
      <c r="AB2382" s="127"/>
      <c r="AC2382" s="127"/>
      <c r="AD2382" s="261"/>
      <c r="AE2382" s="261"/>
      <c r="AF2382" s="261"/>
      <c r="AG2382" s="261"/>
    </row>
    <row r="2383" ht="34.5" hidden="1" customHeight="1">
      <c r="A2383" s="111"/>
      <c r="B2383" s="127"/>
      <c r="C2383" s="111"/>
      <c r="D2383" s="111"/>
      <c r="E2383" s="111"/>
      <c r="F2383" s="111"/>
      <c r="G2383" s="111"/>
      <c r="H2383" s="111"/>
      <c r="I2383" s="127"/>
      <c r="J2383" s="111"/>
      <c r="K2383" s="111"/>
      <c r="L2383" s="111"/>
      <c r="M2383" s="127"/>
      <c r="N2383" s="270"/>
      <c r="O2383" s="111"/>
      <c r="P2383" s="111"/>
      <c r="Q2383" s="127"/>
      <c r="R2383" s="124"/>
      <c r="S2383" s="125"/>
      <c r="T2383" s="125"/>
      <c r="U2383" s="125"/>
      <c r="V2383" s="125"/>
      <c r="W2383" s="125"/>
      <c r="X2383" s="125"/>
      <c r="Y2383" s="125"/>
      <c r="Z2383" s="127"/>
      <c r="AA2383" s="127"/>
      <c r="AB2383" s="127"/>
      <c r="AC2383" s="127"/>
      <c r="AD2383" s="261"/>
      <c r="AE2383" s="261"/>
      <c r="AF2383" s="261"/>
      <c r="AG2383" s="261"/>
    </row>
    <row r="2384" ht="34.5" hidden="1" customHeight="1">
      <c r="A2384" s="111"/>
      <c r="B2384" s="127"/>
      <c r="C2384" s="111"/>
      <c r="D2384" s="111"/>
      <c r="E2384" s="111"/>
      <c r="F2384" s="111"/>
      <c r="G2384" s="111"/>
      <c r="H2384" s="111"/>
      <c r="I2384" s="127"/>
      <c r="J2384" s="111"/>
      <c r="K2384" s="111"/>
      <c r="L2384" s="111"/>
      <c r="M2384" s="127"/>
      <c r="N2384" s="270"/>
      <c r="O2384" s="111"/>
      <c r="P2384" s="111"/>
      <c r="Q2384" s="127"/>
      <c r="R2384" s="124"/>
      <c r="S2384" s="125"/>
      <c r="T2384" s="125"/>
      <c r="U2384" s="125"/>
      <c r="V2384" s="125"/>
      <c r="W2384" s="125"/>
      <c r="X2384" s="125"/>
      <c r="Y2384" s="125"/>
      <c r="Z2384" s="127"/>
      <c r="AA2384" s="127"/>
      <c r="AB2384" s="127"/>
      <c r="AC2384" s="127"/>
      <c r="AD2384" s="261"/>
      <c r="AE2384" s="261"/>
      <c r="AF2384" s="261"/>
      <c r="AG2384" s="261"/>
    </row>
    <row r="2385" ht="34.5" hidden="1" customHeight="1">
      <c r="A2385" s="111"/>
      <c r="B2385" s="127"/>
      <c r="C2385" s="111"/>
      <c r="D2385" s="111"/>
      <c r="E2385" s="111"/>
      <c r="F2385" s="111"/>
      <c r="G2385" s="111"/>
      <c r="H2385" s="111"/>
      <c r="I2385" s="127"/>
      <c r="J2385" s="111"/>
      <c r="K2385" s="111"/>
      <c r="L2385" s="111"/>
      <c r="M2385" s="127"/>
      <c r="N2385" s="270"/>
      <c r="O2385" s="111"/>
      <c r="P2385" s="111"/>
      <c r="Q2385" s="127"/>
      <c r="R2385" s="124"/>
      <c r="S2385" s="125"/>
      <c r="T2385" s="125"/>
      <c r="U2385" s="125"/>
      <c r="V2385" s="125"/>
      <c r="W2385" s="125"/>
      <c r="X2385" s="125"/>
      <c r="Y2385" s="125"/>
      <c r="Z2385" s="127"/>
      <c r="AA2385" s="127"/>
      <c r="AB2385" s="127"/>
      <c r="AC2385" s="127"/>
      <c r="AD2385" s="261"/>
      <c r="AE2385" s="261"/>
      <c r="AF2385" s="261"/>
      <c r="AG2385" s="261"/>
    </row>
    <row r="2386" ht="34.5" hidden="1" customHeight="1">
      <c r="A2386" s="111"/>
      <c r="B2386" s="127"/>
      <c r="C2386" s="111"/>
      <c r="D2386" s="111"/>
      <c r="E2386" s="111"/>
      <c r="F2386" s="111"/>
      <c r="G2386" s="111"/>
      <c r="H2386" s="111"/>
      <c r="I2386" s="127"/>
      <c r="J2386" s="111"/>
      <c r="K2386" s="111"/>
      <c r="L2386" s="111"/>
      <c r="M2386" s="127"/>
      <c r="N2386" s="270"/>
      <c r="O2386" s="111"/>
      <c r="P2386" s="111"/>
      <c r="Q2386" s="127"/>
      <c r="R2386" s="124"/>
      <c r="S2386" s="125"/>
      <c r="T2386" s="125"/>
      <c r="U2386" s="125"/>
      <c r="V2386" s="125"/>
      <c r="W2386" s="125"/>
      <c r="X2386" s="125"/>
      <c r="Y2386" s="125"/>
      <c r="Z2386" s="127"/>
      <c r="AA2386" s="127"/>
      <c r="AB2386" s="127"/>
      <c r="AC2386" s="127"/>
      <c r="AD2386" s="261"/>
      <c r="AE2386" s="261"/>
      <c r="AF2386" s="261"/>
      <c r="AG2386" s="261"/>
    </row>
    <row r="2387" ht="34.5" hidden="1" customHeight="1">
      <c r="A2387" s="111"/>
      <c r="B2387" s="127"/>
      <c r="C2387" s="111"/>
      <c r="D2387" s="111"/>
      <c r="E2387" s="111"/>
      <c r="F2387" s="111"/>
      <c r="G2387" s="111"/>
      <c r="H2387" s="111"/>
      <c r="I2387" s="127"/>
      <c r="J2387" s="111"/>
      <c r="K2387" s="111"/>
      <c r="L2387" s="111"/>
      <c r="M2387" s="127"/>
      <c r="N2387" s="270"/>
      <c r="O2387" s="111"/>
      <c r="P2387" s="111"/>
      <c r="Q2387" s="127"/>
      <c r="R2387" s="124"/>
      <c r="S2387" s="125"/>
      <c r="T2387" s="125"/>
      <c r="U2387" s="125"/>
      <c r="V2387" s="125"/>
      <c r="W2387" s="125"/>
      <c r="X2387" s="125"/>
      <c r="Y2387" s="125"/>
      <c r="Z2387" s="127"/>
      <c r="AA2387" s="127"/>
      <c r="AB2387" s="127"/>
      <c r="AC2387" s="127"/>
      <c r="AD2387" s="261"/>
      <c r="AE2387" s="261"/>
      <c r="AF2387" s="261"/>
      <c r="AG2387" s="261"/>
    </row>
    <row r="2388" ht="34.5" hidden="1" customHeight="1">
      <c r="A2388" s="111"/>
      <c r="B2388" s="127"/>
      <c r="C2388" s="111"/>
      <c r="D2388" s="111"/>
      <c r="E2388" s="111"/>
      <c r="F2388" s="111"/>
      <c r="G2388" s="111"/>
      <c r="H2388" s="111"/>
      <c r="I2388" s="127"/>
      <c r="J2388" s="111"/>
      <c r="K2388" s="111"/>
      <c r="L2388" s="111"/>
      <c r="M2388" s="127"/>
      <c r="N2388" s="270"/>
      <c r="O2388" s="111"/>
      <c r="P2388" s="111"/>
      <c r="Q2388" s="127"/>
      <c r="R2388" s="124"/>
      <c r="S2388" s="125"/>
      <c r="T2388" s="125"/>
      <c r="U2388" s="125"/>
      <c r="V2388" s="125"/>
      <c r="W2388" s="125"/>
      <c r="X2388" s="125"/>
      <c r="Y2388" s="125"/>
      <c r="Z2388" s="127"/>
      <c r="AA2388" s="127"/>
      <c r="AB2388" s="127"/>
      <c r="AC2388" s="127"/>
      <c r="AD2388" s="261"/>
      <c r="AE2388" s="261"/>
      <c r="AF2388" s="261"/>
      <c r="AG2388" s="261"/>
    </row>
    <row r="2389" ht="34.5" hidden="1" customHeight="1">
      <c r="A2389" s="111"/>
      <c r="B2389" s="127"/>
      <c r="C2389" s="111"/>
      <c r="D2389" s="111"/>
      <c r="E2389" s="111"/>
      <c r="F2389" s="111"/>
      <c r="G2389" s="111"/>
      <c r="H2389" s="111"/>
      <c r="I2389" s="127"/>
      <c r="J2389" s="111"/>
      <c r="K2389" s="111"/>
      <c r="L2389" s="111"/>
      <c r="M2389" s="127"/>
      <c r="N2389" s="270"/>
      <c r="O2389" s="111"/>
      <c r="P2389" s="111"/>
      <c r="Q2389" s="127"/>
      <c r="R2389" s="124"/>
      <c r="S2389" s="125"/>
      <c r="T2389" s="125"/>
      <c r="U2389" s="125"/>
      <c r="V2389" s="125"/>
      <c r="W2389" s="125"/>
      <c r="X2389" s="125"/>
      <c r="Y2389" s="125"/>
      <c r="Z2389" s="127"/>
      <c r="AA2389" s="127"/>
      <c r="AB2389" s="127"/>
      <c r="AC2389" s="127"/>
      <c r="AD2389" s="261"/>
      <c r="AE2389" s="261"/>
      <c r="AF2389" s="261"/>
      <c r="AG2389" s="261"/>
    </row>
    <row r="2390" ht="34.5" hidden="1" customHeight="1">
      <c r="A2390" s="111"/>
      <c r="B2390" s="127"/>
      <c r="C2390" s="111"/>
      <c r="D2390" s="111"/>
      <c r="E2390" s="111"/>
      <c r="F2390" s="111"/>
      <c r="G2390" s="111"/>
      <c r="H2390" s="111"/>
      <c r="I2390" s="127"/>
      <c r="J2390" s="111"/>
      <c r="K2390" s="111"/>
      <c r="L2390" s="111"/>
      <c r="M2390" s="127"/>
      <c r="N2390" s="270"/>
      <c r="O2390" s="111"/>
      <c r="P2390" s="111"/>
      <c r="Q2390" s="127"/>
      <c r="R2390" s="124"/>
      <c r="S2390" s="125"/>
      <c r="T2390" s="125"/>
      <c r="U2390" s="125"/>
      <c r="V2390" s="125"/>
      <c r="W2390" s="125"/>
      <c r="X2390" s="125"/>
      <c r="Y2390" s="125"/>
      <c r="Z2390" s="127"/>
      <c r="AA2390" s="127"/>
      <c r="AB2390" s="127"/>
      <c r="AC2390" s="127"/>
      <c r="AD2390" s="261"/>
      <c r="AE2390" s="261"/>
      <c r="AF2390" s="261"/>
      <c r="AG2390" s="261"/>
    </row>
    <row r="2391" ht="34.5" hidden="1" customHeight="1">
      <c r="A2391" s="111"/>
      <c r="B2391" s="127"/>
      <c r="C2391" s="111"/>
      <c r="D2391" s="111"/>
      <c r="E2391" s="111"/>
      <c r="F2391" s="111"/>
      <c r="G2391" s="111"/>
      <c r="H2391" s="111"/>
      <c r="I2391" s="127"/>
      <c r="J2391" s="111"/>
      <c r="K2391" s="111"/>
      <c r="L2391" s="111"/>
      <c r="M2391" s="127"/>
      <c r="N2391" s="270"/>
      <c r="O2391" s="111"/>
      <c r="P2391" s="111"/>
      <c r="Q2391" s="127"/>
      <c r="R2391" s="124"/>
      <c r="S2391" s="125"/>
      <c r="T2391" s="125"/>
      <c r="U2391" s="125"/>
      <c r="V2391" s="125"/>
      <c r="W2391" s="125"/>
      <c r="X2391" s="125"/>
      <c r="Y2391" s="125"/>
      <c r="Z2391" s="127"/>
      <c r="AA2391" s="127"/>
      <c r="AB2391" s="127"/>
      <c r="AC2391" s="127"/>
      <c r="AD2391" s="261"/>
      <c r="AE2391" s="261"/>
      <c r="AF2391" s="261"/>
      <c r="AG2391" s="261"/>
    </row>
    <row r="2392" ht="34.5" hidden="1" customHeight="1">
      <c r="A2392" s="111"/>
      <c r="B2392" s="127"/>
      <c r="C2392" s="111"/>
      <c r="D2392" s="111"/>
      <c r="E2392" s="111"/>
      <c r="F2392" s="111"/>
      <c r="G2392" s="111"/>
      <c r="H2392" s="111"/>
      <c r="I2392" s="127"/>
      <c r="J2392" s="111"/>
      <c r="K2392" s="111"/>
      <c r="L2392" s="111"/>
      <c r="M2392" s="127"/>
      <c r="N2392" s="270"/>
      <c r="O2392" s="111"/>
      <c r="P2392" s="111"/>
      <c r="Q2392" s="127"/>
      <c r="R2392" s="124"/>
      <c r="S2392" s="125"/>
      <c r="T2392" s="125"/>
      <c r="U2392" s="125"/>
      <c r="V2392" s="125"/>
      <c r="W2392" s="125"/>
      <c r="X2392" s="125"/>
      <c r="Y2392" s="125"/>
      <c r="Z2392" s="127"/>
      <c r="AA2392" s="127"/>
      <c r="AB2392" s="127"/>
      <c r="AC2392" s="127"/>
      <c r="AD2392" s="261"/>
      <c r="AE2392" s="261"/>
      <c r="AF2392" s="261"/>
      <c r="AG2392" s="261"/>
    </row>
    <row r="2393" ht="34.5" hidden="1" customHeight="1">
      <c r="A2393" s="111"/>
      <c r="B2393" s="127"/>
      <c r="C2393" s="111"/>
      <c r="D2393" s="111"/>
      <c r="E2393" s="111"/>
      <c r="F2393" s="111"/>
      <c r="G2393" s="111"/>
      <c r="H2393" s="111"/>
      <c r="I2393" s="127"/>
      <c r="J2393" s="111"/>
      <c r="K2393" s="111"/>
      <c r="L2393" s="111"/>
      <c r="M2393" s="127"/>
      <c r="N2393" s="270"/>
      <c r="O2393" s="111"/>
      <c r="P2393" s="111"/>
      <c r="Q2393" s="127"/>
      <c r="R2393" s="124"/>
      <c r="S2393" s="125"/>
      <c r="T2393" s="125"/>
      <c r="U2393" s="125"/>
      <c r="V2393" s="125"/>
      <c r="W2393" s="125"/>
      <c r="X2393" s="125"/>
      <c r="Y2393" s="125"/>
      <c r="Z2393" s="127"/>
      <c r="AA2393" s="127"/>
      <c r="AB2393" s="127"/>
      <c r="AC2393" s="127"/>
      <c r="AD2393" s="261"/>
      <c r="AE2393" s="261"/>
      <c r="AF2393" s="261"/>
      <c r="AG2393" s="261"/>
    </row>
    <row r="2394" ht="34.5" hidden="1" customHeight="1">
      <c r="A2394" s="111"/>
      <c r="B2394" s="127"/>
      <c r="C2394" s="111"/>
      <c r="D2394" s="111"/>
      <c r="E2394" s="111"/>
      <c r="F2394" s="111"/>
      <c r="G2394" s="111"/>
      <c r="H2394" s="111"/>
      <c r="I2394" s="127"/>
      <c r="J2394" s="111"/>
      <c r="K2394" s="111"/>
      <c r="L2394" s="111"/>
      <c r="M2394" s="127"/>
      <c r="N2394" s="270"/>
      <c r="O2394" s="111"/>
      <c r="P2394" s="111"/>
      <c r="Q2394" s="127"/>
      <c r="R2394" s="124"/>
      <c r="S2394" s="125"/>
      <c r="T2394" s="125"/>
      <c r="U2394" s="125"/>
      <c r="V2394" s="125"/>
      <c r="W2394" s="125"/>
      <c r="X2394" s="125"/>
      <c r="Y2394" s="125"/>
      <c r="Z2394" s="127"/>
      <c r="AA2394" s="127"/>
      <c r="AB2394" s="127"/>
      <c r="AC2394" s="127"/>
      <c r="AD2394" s="261"/>
      <c r="AE2394" s="261"/>
      <c r="AF2394" s="261"/>
      <c r="AG2394" s="261"/>
    </row>
    <row r="2395" ht="34.5" hidden="1" customHeight="1">
      <c r="A2395" s="111"/>
      <c r="B2395" s="127"/>
      <c r="C2395" s="111"/>
      <c r="D2395" s="111"/>
      <c r="E2395" s="111"/>
      <c r="F2395" s="111"/>
      <c r="G2395" s="111"/>
      <c r="H2395" s="111"/>
      <c r="I2395" s="127"/>
      <c r="J2395" s="111"/>
      <c r="K2395" s="111"/>
      <c r="L2395" s="111"/>
      <c r="M2395" s="127"/>
      <c r="N2395" s="270"/>
      <c r="O2395" s="111"/>
      <c r="P2395" s="111"/>
      <c r="Q2395" s="127"/>
      <c r="R2395" s="124"/>
      <c r="S2395" s="125"/>
      <c r="T2395" s="125"/>
      <c r="U2395" s="125"/>
      <c r="V2395" s="125"/>
      <c r="W2395" s="125"/>
      <c r="X2395" s="125"/>
      <c r="Y2395" s="125"/>
      <c r="Z2395" s="127"/>
      <c r="AA2395" s="127"/>
      <c r="AB2395" s="127"/>
      <c r="AC2395" s="127"/>
      <c r="AD2395" s="261"/>
      <c r="AE2395" s="261"/>
      <c r="AF2395" s="261"/>
      <c r="AG2395" s="261"/>
    </row>
    <row r="2396" ht="34.5" hidden="1" customHeight="1">
      <c r="A2396" s="111"/>
      <c r="B2396" s="127"/>
      <c r="C2396" s="111"/>
      <c r="D2396" s="111"/>
      <c r="E2396" s="111"/>
      <c r="F2396" s="111"/>
      <c r="G2396" s="111"/>
      <c r="H2396" s="111"/>
      <c r="I2396" s="127"/>
      <c r="J2396" s="111"/>
      <c r="K2396" s="111"/>
      <c r="L2396" s="111"/>
      <c r="M2396" s="127"/>
      <c r="N2396" s="270"/>
      <c r="O2396" s="111"/>
      <c r="P2396" s="111"/>
      <c r="Q2396" s="127"/>
      <c r="R2396" s="124"/>
      <c r="S2396" s="125"/>
      <c r="T2396" s="125"/>
      <c r="U2396" s="125"/>
      <c r="V2396" s="125"/>
      <c r="W2396" s="125"/>
      <c r="X2396" s="125"/>
      <c r="Y2396" s="125"/>
      <c r="Z2396" s="127"/>
      <c r="AA2396" s="127"/>
      <c r="AB2396" s="127"/>
      <c r="AC2396" s="127"/>
      <c r="AD2396" s="261"/>
      <c r="AE2396" s="261"/>
      <c r="AF2396" s="261"/>
      <c r="AG2396" s="261"/>
    </row>
    <row r="2397" ht="34.5" hidden="1" customHeight="1">
      <c r="A2397" s="111"/>
      <c r="B2397" s="127"/>
      <c r="C2397" s="111"/>
      <c r="D2397" s="111"/>
      <c r="E2397" s="111"/>
      <c r="F2397" s="111"/>
      <c r="G2397" s="111"/>
      <c r="H2397" s="111"/>
      <c r="I2397" s="127"/>
      <c r="J2397" s="111"/>
      <c r="K2397" s="111"/>
      <c r="L2397" s="111"/>
      <c r="M2397" s="127"/>
      <c r="N2397" s="270"/>
      <c r="O2397" s="111"/>
      <c r="P2397" s="111"/>
      <c r="Q2397" s="127"/>
      <c r="R2397" s="124"/>
      <c r="S2397" s="125"/>
      <c r="T2397" s="125"/>
      <c r="U2397" s="125"/>
      <c r="V2397" s="125"/>
      <c r="W2397" s="125"/>
      <c r="X2397" s="125"/>
      <c r="Y2397" s="125"/>
      <c r="Z2397" s="127"/>
      <c r="AA2397" s="127"/>
      <c r="AB2397" s="127"/>
      <c r="AC2397" s="127"/>
      <c r="AD2397" s="261"/>
      <c r="AE2397" s="261"/>
      <c r="AF2397" s="261"/>
      <c r="AG2397" s="261"/>
    </row>
    <row r="2398" ht="34.5" hidden="1" customHeight="1">
      <c r="A2398" s="111"/>
      <c r="B2398" s="127"/>
      <c r="C2398" s="111"/>
      <c r="D2398" s="111"/>
      <c r="E2398" s="111"/>
      <c r="F2398" s="111"/>
      <c r="G2398" s="111"/>
      <c r="H2398" s="111"/>
      <c r="I2398" s="127"/>
      <c r="J2398" s="111"/>
      <c r="K2398" s="111"/>
      <c r="L2398" s="111"/>
      <c r="M2398" s="127"/>
      <c r="N2398" s="270"/>
      <c r="O2398" s="111"/>
      <c r="P2398" s="111"/>
      <c r="Q2398" s="127"/>
      <c r="R2398" s="124"/>
      <c r="S2398" s="125"/>
      <c r="T2398" s="125"/>
      <c r="U2398" s="125"/>
      <c r="V2398" s="125"/>
      <c r="W2398" s="125"/>
      <c r="X2398" s="125"/>
      <c r="Y2398" s="125"/>
      <c r="Z2398" s="127"/>
      <c r="AA2398" s="127"/>
      <c r="AB2398" s="127"/>
      <c r="AC2398" s="127"/>
      <c r="AD2398" s="261"/>
      <c r="AE2398" s="261"/>
      <c r="AF2398" s="261"/>
      <c r="AG2398" s="261"/>
    </row>
    <row r="2399" ht="34.5" hidden="1" customHeight="1">
      <c r="A2399" s="111"/>
      <c r="B2399" s="127"/>
      <c r="C2399" s="111"/>
      <c r="D2399" s="111"/>
      <c r="E2399" s="111"/>
      <c r="F2399" s="111"/>
      <c r="G2399" s="111"/>
      <c r="H2399" s="111"/>
      <c r="I2399" s="127"/>
      <c r="J2399" s="111"/>
      <c r="K2399" s="111"/>
      <c r="L2399" s="111"/>
      <c r="M2399" s="127"/>
      <c r="N2399" s="270"/>
      <c r="O2399" s="111"/>
      <c r="P2399" s="111"/>
      <c r="Q2399" s="127"/>
      <c r="R2399" s="124"/>
      <c r="S2399" s="125"/>
      <c r="T2399" s="125"/>
      <c r="U2399" s="125"/>
      <c r="V2399" s="125"/>
      <c r="W2399" s="125"/>
      <c r="X2399" s="125"/>
      <c r="Y2399" s="125"/>
      <c r="Z2399" s="127"/>
      <c r="AA2399" s="127"/>
      <c r="AB2399" s="127"/>
      <c r="AC2399" s="127"/>
      <c r="AD2399" s="261"/>
      <c r="AE2399" s="261"/>
      <c r="AF2399" s="261"/>
      <c r="AG2399" s="261"/>
    </row>
    <row r="2400" ht="34.5" hidden="1" customHeight="1">
      <c r="A2400" s="111"/>
      <c r="B2400" s="127"/>
      <c r="C2400" s="111"/>
      <c r="D2400" s="111"/>
      <c r="E2400" s="111"/>
      <c r="F2400" s="111"/>
      <c r="G2400" s="111"/>
      <c r="H2400" s="111"/>
      <c r="I2400" s="127"/>
      <c r="J2400" s="111"/>
      <c r="K2400" s="111"/>
      <c r="L2400" s="111"/>
      <c r="M2400" s="127"/>
      <c r="N2400" s="270"/>
      <c r="O2400" s="111"/>
      <c r="P2400" s="111"/>
      <c r="Q2400" s="127"/>
      <c r="R2400" s="124"/>
      <c r="S2400" s="125"/>
      <c r="T2400" s="125"/>
      <c r="U2400" s="125"/>
      <c r="V2400" s="125"/>
      <c r="W2400" s="125"/>
      <c r="X2400" s="125"/>
      <c r="Y2400" s="125"/>
      <c r="Z2400" s="127"/>
      <c r="AA2400" s="127"/>
      <c r="AB2400" s="127"/>
      <c r="AC2400" s="127"/>
      <c r="AD2400" s="261"/>
      <c r="AE2400" s="261"/>
      <c r="AF2400" s="261"/>
      <c r="AG2400" s="261"/>
    </row>
    <row r="2401" ht="34.5" hidden="1" customHeight="1">
      <c r="A2401" s="111"/>
      <c r="B2401" s="127"/>
      <c r="C2401" s="111"/>
      <c r="D2401" s="111"/>
      <c r="E2401" s="111"/>
      <c r="F2401" s="111"/>
      <c r="G2401" s="111"/>
      <c r="H2401" s="111"/>
      <c r="I2401" s="127"/>
      <c r="J2401" s="111"/>
      <c r="K2401" s="111"/>
      <c r="L2401" s="111"/>
      <c r="M2401" s="127"/>
      <c r="N2401" s="270"/>
      <c r="O2401" s="111"/>
      <c r="P2401" s="111"/>
      <c r="Q2401" s="127"/>
      <c r="R2401" s="124"/>
      <c r="S2401" s="125"/>
      <c r="T2401" s="125"/>
      <c r="U2401" s="125"/>
      <c r="V2401" s="125"/>
      <c r="W2401" s="125"/>
      <c r="X2401" s="125"/>
      <c r="Y2401" s="125"/>
      <c r="Z2401" s="127"/>
      <c r="AA2401" s="127"/>
      <c r="AB2401" s="127"/>
      <c r="AC2401" s="127"/>
      <c r="AD2401" s="261"/>
      <c r="AE2401" s="261"/>
      <c r="AF2401" s="261"/>
      <c r="AG2401" s="261"/>
    </row>
    <row r="2402" ht="34.5" hidden="1" customHeight="1">
      <c r="A2402" s="111"/>
      <c r="B2402" s="127"/>
      <c r="C2402" s="111"/>
      <c r="D2402" s="111"/>
      <c r="E2402" s="111"/>
      <c r="F2402" s="111"/>
      <c r="G2402" s="111"/>
      <c r="H2402" s="111"/>
      <c r="I2402" s="127"/>
      <c r="J2402" s="111"/>
      <c r="K2402" s="111"/>
      <c r="L2402" s="111"/>
      <c r="M2402" s="127"/>
      <c r="N2402" s="270"/>
      <c r="O2402" s="111"/>
      <c r="P2402" s="111"/>
      <c r="Q2402" s="127"/>
      <c r="R2402" s="124"/>
      <c r="S2402" s="125"/>
      <c r="T2402" s="125"/>
      <c r="U2402" s="125"/>
      <c r="V2402" s="125"/>
      <c r="W2402" s="125"/>
      <c r="X2402" s="125"/>
      <c r="Y2402" s="125"/>
      <c r="Z2402" s="127"/>
      <c r="AA2402" s="127"/>
      <c r="AB2402" s="127"/>
      <c r="AC2402" s="127"/>
      <c r="AD2402" s="261"/>
      <c r="AE2402" s="261"/>
      <c r="AF2402" s="261"/>
      <c r="AG2402" s="261"/>
    </row>
    <row r="2403" ht="34.5" hidden="1" customHeight="1">
      <c r="A2403" s="111"/>
      <c r="B2403" s="127"/>
      <c r="C2403" s="111"/>
      <c r="D2403" s="111"/>
      <c r="E2403" s="111"/>
      <c r="F2403" s="111"/>
      <c r="G2403" s="111"/>
      <c r="H2403" s="111"/>
      <c r="I2403" s="127"/>
      <c r="J2403" s="111"/>
      <c r="K2403" s="111"/>
      <c r="L2403" s="111"/>
      <c r="M2403" s="127"/>
      <c r="N2403" s="270"/>
      <c r="O2403" s="111"/>
      <c r="P2403" s="111"/>
      <c r="Q2403" s="127"/>
      <c r="R2403" s="124"/>
      <c r="S2403" s="125"/>
      <c r="T2403" s="125"/>
      <c r="U2403" s="125"/>
      <c r="V2403" s="125"/>
      <c r="W2403" s="125"/>
      <c r="X2403" s="125"/>
      <c r="Y2403" s="125"/>
      <c r="Z2403" s="127"/>
      <c r="AA2403" s="127"/>
      <c r="AB2403" s="127"/>
      <c r="AC2403" s="127"/>
      <c r="AD2403" s="261"/>
      <c r="AE2403" s="261"/>
      <c r="AF2403" s="261"/>
      <c r="AG2403" s="261"/>
    </row>
    <row r="2404" ht="34.5" hidden="1" customHeight="1">
      <c r="A2404" s="111"/>
      <c r="B2404" s="127"/>
      <c r="C2404" s="111"/>
      <c r="D2404" s="111"/>
      <c r="E2404" s="111"/>
      <c r="F2404" s="111"/>
      <c r="G2404" s="111"/>
      <c r="H2404" s="111"/>
      <c r="I2404" s="127"/>
      <c r="J2404" s="111"/>
      <c r="K2404" s="111"/>
      <c r="L2404" s="111"/>
      <c r="M2404" s="127"/>
      <c r="N2404" s="270"/>
      <c r="O2404" s="111"/>
      <c r="P2404" s="111"/>
      <c r="Q2404" s="127"/>
      <c r="R2404" s="124"/>
      <c r="S2404" s="125"/>
      <c r="T2404" s="125"/>
      <c r="U2404" s="125"/>
      <c r="V2404" s="125"/>
      <c r="W2404" s="125"/>
      <c r="X2404" s="125"/>
      <c r="Y2404" s="125"/>
      <c r="Z2404" s="127"/>
      <c r="AA2404" s="127"/>
      <c r="AB2404" s="127"/>
      <c r="AC2404" s="127"/>
      <c r="AD2404" s="261"/>
      <c r="AE2404" s="261"/>
      <c r="AF2404" s="261"/>
      <c r="AG2404" s="261"/>
    </row>
    <row r="2405" ht="34.5" hidden="1" customHeight="1">
      <c r="A2405" s="111"/>
      <c r="B2405" s="127"/>
      <c r="C2405" s="111"/>
      <c r="D2405" s="111"/>
      <c r="E2405" s="111"/>
      <c r="F2405" s="111"/>
      <c r="G2405" s="111"/>
      <c r="H2405" s="111"/>
      <c r="I2405" s="127"/>
      <c r="J2405" s="111"/>
      <c r="K2405" s="111"/>
      <c r="L2405" s="111"/>
      <c r="M2405" s="127"/>
      <c r="N2405" s="270"/>
      <c r="O2405" s="111"/>
      <c r="P2405" s="111"/>
      <c r="Q2405" s="127"/>
      <c r="R2405" s="124"/>
      <c r="S2405" s="125"/>
      <c r="T2405" s="125"/>
      <c r="U2405" s="125"/>
      <c r="V2405" s="125"/>
      <c r="W2405" s="125"/>
      <c r="X2405" s="125"/>
      <c r="Y2405" s="125"/>
      <c r="Z2405" s="127"/>
      <c r="AA2405" s="127"/>
      <c r="AB2405" s="127"/>
      <c r="AC2405" s="127"/>
      <c r="AD2405" s="261"/>
      <c r="AE2405" s="261"/>
      <c r="AF2405" s="261"/>
      <c r="AG2405" s="261"/>
    </row>
    <row r="2406" ht="34.5" hidden="1" customHeight="1">
      <c r="A2406" s="111"/>
      <c r="B2406" s="127"/>
      <c r="C2406" s="111"/>
      <c r="D2406" s="111"/>
      <c r="E2406" s="111"/>
      <c r="F2406" s="111"/>
      <c r="G2406" s="111"/>
      <c r="H2406" s="111"/>
      <c r="I2406" s="127"/>
      <c r="J2406" s="111"/>
      <c r="K2406" s="111"/>
      <c r="L2406" s="111"/>
      <c r="M2406" s="127"/>
      <c r="N2406" s="270"/>
      <c r="O2406" s="111"/>
      <c r="P2406" s="111"/>
      <c r="Q2406" s="127"/>
      <c r="R2406" s="124"/>
      <c r="S2406" s="125"/>
      <c r="T2406" s="125"/>
      <c r="U2406" s="125"/>
      <c r="V2406" s="125"/>
      <c r="W2406" s="125"/>
      <c r="X2406" s="125"/>
      <c r="Y2406" s="125"/>
      <c r="Z2406" s="127"/>
      <c r="AA2406" s="127"/>
      <c r="AB2406" s="127"/>
      <c r="AC2406" s="127"/>
      <c r="AD2406" s="261"/>
      <c r="AE2406" s="261"/>
      <c r="AF2406" s="261"/>
      <c r="AG2406" s="261"/>
    </row>
    <row r="2407" ht="34.5" hidden="1" customHeight="1">
      <c r="A2407" s="111"/>
      <c r="B2407" s="127"/>
      <c r="C2407" s="111"/>
      <c r="D2407" s="111"/>
      <c r="E2407" s="111"/>
      <c r="F2407" s="111"/>
      <c r="G2407" s="111"/>
      <c r="H2407" s="111"/>
      <c r="I2407" s="127"/>
      <c r="J2407" s="111"/>
      <c r="K2407" s="111"/>
      <c r="L2407" s="111"/>
      <c r="M2407" s="127"/>
      <c r="N2407" s="270"/>
      <c r="O2407" s="111"/>
      <c r="P2407" s="111"/>
      <c r="Q2407" s="127"/>
      <c r="R2407" s="124"/>
      <c r="S2407" s="125"/>
      <c r="T2407" s="125"/>
      <c r="U2407" s="125"/>
      <c r="V2407" s="125"/>
      <c r="W2407" s="125"/>
      <c r="X2407" s="125"/>
      <c r="Y2407" s="125"/>
      <c r="Z2407" s="127"/>
      <c r="AA2407" s="127"/>
      <c r="AB2407" s="127"/>
      <c r="AC2407" s="127"/>
      <c r="AD2407" s="261"/>
      <c r="AE2407" s="261"/>
      <c r="AF2407" s="261"/>
      <c r="AG2407" s="261"/>
    </row>
    <row r="2408" ht="34.5" hidden="1" customHeight="1">
      <c r="A2408" s="111"/>
      <c r="B2408" s="127"/>
      <c r="C2408" s="111"/>
      <c r="D2408" s="111"/>
      <c r="E2408" s="111"/>
      <c r="F2408" s="111"/>
      <c r="G2408" s="111"/>
      <c r="H2408" s="111"/>
      <c r="I2408" s="127"/>
      <c r="J2408" s="111"/>
      <c r="K2408" s="111"/>
      <c r="L2408" s="111"/>
      <c r="M2408" s="127"/>
      <c r="N2408" s="270"/>
      <c r="O2408" s="111"/>
      <c r="P2408" s="111"/>
      <c r="Q2408" s="127"/>
      <c r="R2408" s="124"/>
      <c r="S2408" s="125"/>
      <c r="T2408" s="125"/>
      <c r="U2408" s="125"/>
      <c r="V2408" s="125"/>
      <c r="W2408" s="125"/>
      <c r="X2408" s="125"/>
      <c r="Y2408" s="125"/>
      <c r="Z2408" s="127"/>
      <c r="AA2408" s="127"/>
      <c r="AB2408" s="127"/>
      <c r="AC2408" s="127"/>
      <c r="AD2408" s="261"/>
      <c r="AE2408" s="261"/>
      <c r="AF2408" s="261"/>
      <c r="AG2408" s="261"/>
    </row>
    <row r="2409" ht="34.5" hidden="1" customHeight="1">
      <c r="A2409" s="111"/>
      <c r="B2409" s="127"/>
      <c r="C2409" s="111"/>
      <c r="D2409" s="111"/>
      <c r="E2409" s="111"/>
      <c r="F2409" s="111"/>
      <c r="G2409" s="111"/>
      <c r="H2409" s="111"/>
      <c r="I2409" s="127"/>
      <c r="J2409" s="111"/>
      <c r="K2409" s="111"/>
      <c r="L2409" s="111"/>
      <c r="M2409" s="127"/>
      <c r="N2409" s="270"/>
      <c r="O2409" s="111"/>
      <c r="P2409" s="111"/>
      <c r="Q2409" s="127"/>
      <c r="R2409" s="124"/>
      <c r="S2409" s="125"/>
      <c r="T2409" s="125"/>
      <c r="U2409" s="125"/>
      <c r="V2409" s="125"/>
      <c r="W2409" s="125"/>
      <c r="X2409" s="125"/>
      <c r="Y2409" s="125"/>
      <c r="Z2409" s="127"/>
      <c r="AA2409" s="127"/>
      <c r="AB2409" s="127"/>
      <c r="AC2409" s="127"/>
      <c r="AD2409" s="261"/>
      <c r="AE2409" s="261"/>
      <c r="AF2409" s="261"/>
      <c r="AG2409" s="261"/>
    </row>
    <row r="2410" ht="34.5" hidden="1" customHeight="1">
      <c r="A2410" s="111"/>
      <c r="B2410" s="127"/>
      <c r="C2410" s="111"/>
      <c r="D2410" s="111"/>
      <c r="E2410" s="111"/>
      <c r="F2410" s="111"/>
      <c r="G2410" s="111"/>
      <c r="H2410" s="111"/>
      <c r="I2410" s="127"/>
      <c r="J2410" s="111"/>
      <c r="K2410" s="111"/>
      <c r="L2410" s="111"/>
      <c r="M2410" s="127"/>
      <c r="N2410" s="270"/>
      <c r="O2410" s="111"/>
      <c r="P2410" s="111"/>
      <c r="Q2410" s="127"/>
      <c r="R2410" s="124"/>
      <c r="S2410" s="125"/>
      <c r="T2410" s="125"/>
      <c r="U2410" s="125"/>
      <c r="V2410" s="125"/>
      <c r="W2410" s="125"/>
      <c r="X2410" s="125"/>
      <c r="Y2410" s="125"/>
      <c r="Z2410" s="127"/>
      <c r="AA2410" s="127"/>
      <c r="AB2410" s="127"/>
      <c r="AC2410" s="127"/>
      <c r="AD2410" s="261"/>
      <c r="AE2410" s="261"/>
      <c r="AF2410" s="261"/>
      <c r="AG2410" s="261"/>
    </row>
    <row r="2411" ht="34.5" hidden="1" customHeight="1">
      <c r="A2411" s="111"/>
      <c r="B2411" s="127"/>
      <c r="C2411" s="111"/>
      <c r="D2411" s="111"/>
      <c r="E2411" s="111"/>
      <c r="F2411" s="111"/>
      <c r="G2411" s="111"/>
      <c r="H2411" s="111"/>
      <c r="I2411" s="127"/>
      <c r="J2411" s="111"/>
      <c r="K2411" s="111"/>
      <c r="L2411" s="111"/>
      <c r="M2411" s="127"/>
      <c r="N2411" s="270"/>
      <c r="O2411" s="111"/>
      <c r="P2411" s="111"/>
      <c r="Q2411" s="127"/>
      <c r="R2411" s="124"/>
      <c r="S2411" s="125"/>
      <c r="T2411" s="125"/>
      <c r="U2411" s="125"/>
      <c r="V2411" s="125"/>
      <c r="W2411" s="125"/>
      <c r="X2411" s="125"/>
      <c r="Y2411" s="125"/>
      <c r="Z2411" s="127"/>
      <c r="AA2411" s="127"/>
      <c r="AB2411" s="127"/>
      <c r="AC2411" s="127"/>
      <c r="AD2411" s="261"/>
      <c r="AE2411" s="261"/>
      <c r="AF2411" s="261"/>
      <c r="AG2411" s="261"/>
    </row>
    <row r="2412" ht="34.5" hidden="1" customHeight="1">
      <c r="A2412" s="111"/>
      <c r="B2412" s="127"/>
      <c r="C2412" s="111"/>
      <c r="D2412" s="111"/>
      <c r="E2412" s="111"/>
      <c r="F2412" s="111"/>
      <c r="G2412" s="111"/>
      <c r="H2412" s="111"/>
      <c r="I2412" s="127"/>
      <c r="J2412" s="111"/>
      <c r="K2412" s="111"/>
      <c r="L2412" s="111"/>
      <c r="M2412" s="127"/>
      <c r="N2412" s="270"/>
      <c r="O2412" s="111"/>
      <c r="P2412" s="111"/>
      <c r="Q2412" s="127"/>
      <c r="R2412" s="124"/>
      <c r="S2412" s="125"/>
      <c r="T2412" s="125"/>
      <c r="U2412" s="125"/>
      <c r="V2412" s="125"/>
      <c r="W2412" s="125"/>
      <c r="X2412" s="125"/>
      <c r="Y2412" s="125"/>
      <c r="Z2412" s="127"/>
      <c r="AA2412" s="127"/>
      <c r="AB2412" s="127"/>
      <c r="AC2412" s="127"/>
      <c r="AD2412" s="261"/>
      <c r="AE2412" s="261"/>
      <c r="AF2412" s="261"/>
      <c r="AG2412" s="261"/>
    </row>
    <row r="2413" ht="34.5" hidden="1" customHeight="1">
      <c r="A2413" s="111"/>
      <c r="B2413" s="127"/>
      <c r="C2413" s="111"/>
      <c r="D2413" s="111"/>
      <c r="E2413" s="111"/>
      <c r="F2413" s="111"/>
      <c r="G2413" s="111"/>
      <c r="H2413" s="111"/>
      <c r="I2413" s="127"/>
      <c r="J2413" s="111"/>
      <c r="K2413" s="111"/>
      <c r="L2413" s="111"/>
      <c r="M2413" s="127"/>
      <c r="N2413" s="270"/>
      <c r="O2413" s="111"/>
      <c r="P2413" s="111"/>
      <c r="Q2413" s="127"/>
      <c r="R2413" s="124"/>
      <c r="S2413" s="125"/>
      <c r="T2413" s="125"/>
      <c r="U2413" s="125"/>
      <c r="V2413" s="125"/>
      <c r="W2413" s="125"/>
      <c r="X2413" s="125"/>
      <c r="Y2413" s="125"/>
      <c r="Z2413" s="127"/>
      <c r="AA2413" s="127"/>
      <c r="AB2413" s="127"/>
      <c r="AC2413" s="127"/>
      <c r="AD2413" s="261"/>
      <c r="AE2413" s="261"/>
      <c r="AF2413" s="261"/>
      <c r="AG2413" s="261"/>
    </row>
    <row r="2414" ht="34.5" hidden="1" customHeight="1">
      <c r="A2414" s="111"/>
      <c r="B2414" s="127"/>
      <c r="C2414" s="111"/>
      <c r="D2414" s="111"/>
      <c r="E2414" s="111"/>
      <c r="F2414" s="111"/>
      <c r="G2414" s="111"/>
      <c r="H2414" s="111"/>
      <c r="I2414" s="127"/>
      <c r="J2414" s="111"/>
      <c r="K2414" s="111"/>
      <c r="L2414" s="111"/>
      <c r="M2414" s="127"/>
      <c r="N2414" s="270"/>
      <c r="O2414" s="111"/>
      <c r="P2414" s="111"/>
      <c r="Q2414" s="127"/>
      <c r="R2414" s="124"/>
      <c r="S2414" s="125"/>
      <c r="T2414" s="125"/>
      <c r="U2414" s="125"/>
      <c r="V2414" s="125"/>
      <c r="W2414" s="125"/>
      <c r="X2414" s="125"/>
      <c r="Y2414" s="125"/>
      <c r="Z2414" s="127"/>
      <c r="AA2414" s="127"/>
      <c r="AB2414" s="127"/>
      <c r="AC2414" s="127"/>
      <c r="AD2414" s="261"/>
      <c r="AE2414" s="261"/>
      <c r="AF2414" s="261"/>
      <c r="AG2414" s="261"/>
    </row>
    <row r="2415" ht="34.5" hidden="1" customHeight="1">
      <c r="A2415" s="111"/>
      <c r="B2415" s="127"/>
      <c r="C2415" s="111"/>
      <c r="D2415" s="111"/>
      <c r="E2415" s="111"/>
      <c r="F2415" s="111"/>
      <c r="G2415" s="111"/>
      <c r="H2415" s="111"/>
      <c r="I2415" s="127"/>
      <c r="J2415" s="111"/>
      <c r="K2415" s="111"/>
      <c r="L2415" s="111"/>
      <c r="M2415" s="127"/>
      <c r="N2415" s="270"/>
      <c r="O2415" s="111"/>
      <c r="P2415" s="111"/>
      <c r="Q2415" s="127"/>
      <c r="R2415" s="124"/>
      <c r="S2415" s="125"/>
      <c r="T2415" s="125"/>
      <c r="U2415" s="125"/>
      <c r="V2415" s="125"/>
      <c r="W2415" s="125"/>
      <c r="X2415" s="125"/>
      <c r="Y2415" s="125"/>
      <c r="Z2415" s="127"/>
      <c r="AA2415" s="127"/>
      <c r="AB2415" s="127"/>
      <c r="AC2415" s="127"/>
      <c r="AD2415" s="261"/>
      <c r="AE2415" s="261"/>
      <c r="AF2415" s="261"/>
      <c r="AG2415" s="261"/>
    </row>
    <row r="2416" ht="34.5" hidden="1" customHeight="1">
      <c r="A2416" s="111"/>
      <c r="B2416" s="127"/>
      <c r="C2416" s="111"/>
      <c r="D2416" s="111"/>
      <c r="E2416" s="111"/>
      <c r="F2416" s="111"/>
      <c r="G2416" s="111"/>
      <c r="H2416" s="111"/>
      <c r="I2416" s="127"/>
      <c r="J2416" s="111"/>
      <c r="K2416" s="111"/>
      <c r="L2416" s="111"/>
      <c r="M2416" s="127"/>
      <c r="N2416" s="270"/>
      <c r="O2416" s="111"/>
      <c r="P2416" s="111"/>
      <c r="Q2416" s="127"/>
      <c r="R2416" s="124"/>
      <c r="S2416" s="125"/>
      <c r="T2416" s="125"/>
      <c r="U2416" s="125"/>
      <c r="V2416" s="125"/>
      <c r="W2416" s="125"/>
      <c r="X2416" s="125"/>
      <c r="Y2416" s="125"/>
      <c r="Z2416" s="127"/>
      <c r="AA2416" s="127"/>
      <c r="AB2416" s="127"/>
      <c r="AC2416" s="127"/>
      <c r="AD2416" s="261"/>
      <c r="AE2416" s="261"/>
      <c r="AF2416" s="261"/>
      <c r="AG2416" s="261"/>
    </row>
    <row r="2417" ht="34.5" hidden="1" customHeight="1">
      <c r="A2417" s="111"/>
      <c r="B2417" s="127"/>
      <c r="C2417" s="111"/>
      <c r="D2417" s="111"/>
      <c r="E2417" s="111"/>
      <c r="F2417" s="111"/>
      <c r="G2417" s="111"/>
      <c r="H2417" s="111"/>
      <c r="I2417" s="127"/>
      <c r="J2417" s="111"/>
      <c r="K2417" s="111"/>
      <c r="L2417" s="111"/>
      <c r="M2417" s="127"/>
      <c r="N2417" s="270"/>
      <c r="O2417" s="111"/>
      <c r="P2417" s="111"/>
      <c r="Q2417" s="127"/>
      <c r="R2417" s="124"/>
      <c r="S2417" s="125"/>
      <c r="T2417" s="125"/>
      <c r="U2417" s="125"/>
      <c r="V2417" s="125"/>
      <c r="W2417" s="125"/>
      <c r="X2417" s="125"/>
      <c r="Y2417" s="125"/>
      <c r="Z2417" s="127"/>
      <c r="AA2417" s="127"/>
      <c r="AB2417" s="127"/>
      <c r="AC2417" s="127"/>
      <c r="AD2417" s="261"/>
      <c r="AE2417" s="261"/>
      <c r="AF2417" s="261"/>
      <c r="AG2417" s="261"/>
    </row>
    <row r="2418" ht="34.5" hidden="1" customHeight="1">
      <c r="A2418" s="111"/>
      <c r="B2418" s="127"/>
      <c r="C2418" s="111"/>
      <c r="D2418" s="111"/>
      <c r="E2418" s="111"/>
      <c r="F2418" s="111"/>
      <c r="G2418" s="111"/>
      <c r="H2418" s="111"/>
      <c r="I2418" s="127"/>
      <c r="J2418" s="111"/>
      <c r="K2418" s="111"/>
      <c r="L2418" s="111"/>
      <c r="M2418" s="127"/>
      <c r="N2418" s="270"/>
      <c r="O2418" s="111"/>
      <c r="P2418" s="111"/>
      <c r="Q2418" s="127"/>
      <c r="R2418" s="124"/>
      <c r="S2418" s="125"/>
      <c r="T2418" s="125"/>
      <c r="U2418" s="125"/>
      <c r="V2418" s="125"/>
      <c r="W2418" s="125"/>
      <c r="X2418" s="125"/>
      <c r="Y2418" s="125"/>
      <c r="Z2418" s="127"/>
      <c r="AA2418" s="127"/>
      <c r="AB2418" s="127"/>
      <c r="AC2418" s="127"/>
      <c r="AD2418" s="261"/>
      <c r="AE2418" s="261"/>
      <c r="AF2418" s="261"/>
      <c r="AG2418" s="261"/>
    </row>
    <row r="2419" ht="34.5" hidden="1" customHeight="1">
      <c r="A2419" s="111"/>
      <c r="B2419" s="127"/>
      <c r="C2419" s="111"/>
      <c r="D2419" s="111"/>
      <c r="E2419" s="111"/>
      <c r="F2419" s="111"/>
      <c r="G2419" s="111"/>
      <c r="H2419" s="111"/>
      <c r="I2419" s="127"/>
      <c r="J2419" s="111"/>
      <c r="K2419" s="111"/>
      <c r="L2419" s="111"/>
      <c r="M2419" s="127"/>
      <c r="N2419" s="270"/>
      <c r="O2419" s="111"/>
      <c r="P2419" s="111"/>
      <c r="Q2419" s="127"/>
      <c r="R2419" s="124"/>
      <c r="S2419" s="125"/>
      <c r="T2419" s="125"/>
      <c r="U2419" s="125"/>
      <c r="V2419" s="125"/>
      <c r="W2419" s="125"/>
      <c r="X2419" s="125"/>
      <c r="Y2419" s="125"/>
      <c r="Z2419" s="127"/>
      <c r="AA2419" s="127"/>
      <c r="AB2419" s="127"/>
      <c r="AC2419" s="127"/>
      <c r="AD2419" s="261"/>
      <c r="AE2419" s="261"/>
      <c r="AF2419" s="261"/>
      <c r="AG2419" s="261"/>
    </row>
    <row r="2420" ht="34.5" hidden="1" customHeight="1">
      <c r="A2420" s="111"/>
      <c r="B2420" s="127"/>
      <c r="C2420" s="111"/>
      <c r="D2420" s="111"/>
      <c r="E2420" s="111"/>
      <c r="F2420" s="111"/>
      <c r="G2420" s="111"/>
      <c r="H2420" s="111"/>
      <c r="I2420" s="127"/>
      <c r="J2420" s="111"/>
      <c r="K2420" s="111"/>
      <c r="L2420" s="111"/>
      <c r="M2420" s="127"/>
      <c r="N2420" s="270"/>
      <c r="O2420" s="111"/>
      <c r="P2420" s="111"/>
      <c r="Q2420" s="127"/>
      <c r="R2420" s="124"/>
      <c r="S2420" s="125"/>
      <c r="T2420" s="125"/>
      <c r="U2420" s="125"/>
      <c r="V2420" s="125"/>
      <c r="W2420" s="125"/>
      <c r="X2420" s="125"/>
      <c r="Y2420" s="125"/>
      <c r="Z2420" s="127"/>
      <c r="AA2420" s="127"/>
      <c r="AB2420" s="127"/>
      <c r="AC2420" s="127"/>
      <c r="AD2420" s="261"/>
      <c r="AE2420" s="261"/>
      <c r="AF2420" s="261"/>
      <c r="AG2420" s="261"/>
    </row>
    <row r="2421" ht="34.5" hidden="1" customHeight="1">
      <c r="A2421" s="111"/>
      <c r="B2421" s="127"/>
      <c r="C2421" s="111"/>
      <c r="D2421" s="111"/>
      <c r="E2421" s="111"/>
      <c r="F2421" s="111"/>
      <c r="G2421" s="111"/>
      <c r="H2421" s="111"/>
      <c r="I2421" s="127"/>
      <c r="J2421" s="111"/>
      <c r="K2421" s="111"/>
      <c r="L2421" s="111"/>
      <c r="M2421" s="127"/>
      <c r="N2421" s="270"/>
      <c r="O2421" s="111"/>
      <c r="P2421" s="111"/>
      <c r="Q2421" s="127"/>
      <c r="R2421" s="124"/>
      <c r="S2421" s="125"/>
      <c r="T2421" s="125"/>
      <c r="U2421" s="125"/>
      <c r="V2421" s="125"/>
      <c r="W2421" s="125"/>
      <c r="X2421" s="125"/>
      <c r="Y2421" s="125"/>
      <c r="Z2421" s="127"/>
      <c r="AA2421" s="127"/>
      <c r="AB2421" s="127"/>
      <c r="AC2421" s="127"/>
      <c r="AD2421" s="261"/>
      <c r="AE2421" s="261"/>
      <c r="AF2421" s="261"/>
      <c r="AG2421" s="261"/>
    </row>
    <row r="2422" ht="34.5" hidden="1" customHeight="1">
      <c r="A2422" s="111"/>
      <c r="B2422" s="127"/>
      <c r="C2422" s="111"/>
      <c r="D2422" s="111"/>
      <c r="E2422" s="111"/>
      <c r="F2422" s="111"/>
      <c r="G2422" s="111"/>
      <c r="H2422" s="111"/>
      <c r="I2422" s="127"/>
      <c r="J2422" s="111"/>
      <c r="K2422" s="111"/>
      <c r="L2422" s="111"/>
      <c r="M2422" s="127"/>
      <c r="N2422" s="270"/>
      <c r="O2422" s="111"/>
      <c r="P2422" s="111"/>
      <c r="Q2422" s="127"/>
      <c r="R2422" s="124"/>
      <c r="S2422" s="125"/>
      <c r="T2422" s="125"/>
      <c r="U2422" s="125"/>
      <c r="V2422" s="125"/>
      <c r="W2422" s="125"/>
      <c r="X2422" s="125"/>
      <c r="Y2422" s="125"/>
      <c r="Z2422" s="127"/>
      <c r="AA2422" s="127"/>
      <c r="AB2422" s="127"/>
      <c r="AC2422" s="127"/>
      <c r="AD2422" s="261"/>
      <c r="AE2422" s="261"/>
      <c r="AF2422" s="261"/>
      <c r="AG2422" s="261"/>
    </row>
    <row r="2423" ht="34.5" hidden="1" customHeight="1">
      <c r="A2423" s="111"/>
      <c r="B2423" s="127"/>
      <c r="C2423" s="111"/>
      <c r="D2423" s="111"/>
      <c r="E2423" s="111"/>
      <c r="F2423" s="111"/>
      <c r="G2423" s="111"/>
      <c r="H2423" s="111"/>
      <c r="I2423" s="127"/>
      <c r="J2423" s="111"/>
      <c r="K2423" s="111"/>
      <c r="L2423" s="111"/>
      <c r="M2423" s="127"/>
      <c r="N2423" s="270"/>
      <c r="O2423" s="111"/>
      <c r="P2423" s="111"/>
      <c r="Q2423" s="127"/>
      <c r="R2423" s="124"/>
      <c r="S2423" s="125"/>
      <c r="T2423" s="125"/>
      <c r="U2423" s="125"/>
      <c r="V2423" s="125"/>
      <c r="W2423" s="125"/>
      <c r="X2423" s="125"/>
      <c r="Y2423" s="125"/>
      <c r="Z2423" s="127"/>
      <c r="AA2423" s="127"/>
      <c r="AB2423" s="127"/>
      <c r="AC2423" s="127"/>
      <c r="AD2423" s="261"/>
      <c r="AE2423" s="261"/>
      <c r="AF2423" s="261"/>
      <c r="AG2423" s="261"/>
    </row>
    <row r="2424" ht="34.5" hidden="1" customHeight="1">
      <c r="A2424" s="111"/>
      <c r="B2424" s="127"/>
      <c r="C2424" s="111"/>
      <c r="D2424" s="111"/>
      <c r="E2424" s="111"/>
      <c r="F2424" s="111"/>
      <c r="G2424" s="111"/>
      <c r="H2424" s="111"/>
      <c r="I2424" s="127"/>
      <c r="J2424" s="111"/>
      <c r="K2424" s="111"/>
      <c r="L2424" s="111"/>
      <c r="M2424" s="127"/>
      <c r="N2424" s="270"/>
      <c r="O2424" s="111"/>
      <c r="P2424" s="111"/>
      <c r="Q2424" s="127"/>
      <c r="R2424" s="124"/>
      <c r="S2424" s="125"/>
      <c r="T2424" s="125"/>
      <c r="U2424" s="125"/>
      <c r="V2424" s="125"/>
      <c r="W2424" s="125"/>
      <c r="X2424" s="125"/>
      <c r="Y2424" s="125"/>
      <c r="Z2424" s="127"/>
      <c r="AA2424" s="127"/>
      <c r="AB2424" s="127"/>
      <c r="AC2424" s="127"/>
      <c r="AD2424" s="261"/>
      <c r="AE2424" s="261"/>
      <c r="AF2424" s="261"/>
      <c r="AG2424" s="261"/>
    </row>
    <row r="2425" ht="34.5" hidden="1" customHeight="1">
      <c r="A2425" s="111"/>
      <c r="B2425" s="127"/>
      <c r="C2425" s="111"/>
      <c r="D2425" s="111"/>
      <c r="E2425" s="111"/>
      <c r="F2425" s="111"/>
      <c r="G2425" s="111"/>
      <c r="H2425" s="111"/>
      <c r="I2425" s="127"/>
      <c r="J2425" s="111"/>
      <c r="K2425" s="111"/>
      <c r="L2425" s="111"/>
      <c r="M2425" s="127"/>
      <c r="N2425" s="270"/>
      <c r="O2425" s="111"/>
      <c r="P2425" s="111"/>
      <c r="Q2425" s="127"/>
      <c r="R2425" s="124"/>
      <c r="S2425" s="125"/>
      <c r="T2425" s="125"/>
      <c r="U2425" s="125"/>
      <c r="V2425" s="125"/>
      <c r="W2425" s="125"/>
      <c r="X2425" s="125"/>
      <c r="Y2425" s="125"/>
      <c r="Z2425" s="127"/>
      <c r="AA2425" s="127"/>
      <c r="AB2425" s="127"/>
      <c r="AC2425" s="127"/>
      <c r="AD2425" s="261"/>
      <c r="AE2425" s="261"/>
      <c r="AF2425" s="261"/>
      <c r="AG2425" s="261"/>
    </row>
    <row r="2426" ht="34.5" hidden="1" customHeight="1">
      <c r="A2426" s="111"/>
      <c r="B2426" s="127"/>
      <c r="C2426" s="111"/>
      <c r="D2426" s="111"/>
      <c r="E2426" s="111"/>
      <c r="F2426" s="111"/>
      <c r="G2426" s="111"/>
      <c r="H2426" s="111"/>
      <c r="I2426" s="127"/>
      <c r="J2426" s="111"/>
      <c r="K2426" s="111"/>
      <c r="L2426" s="111"/>
      <c r="M2426" s="127"/>
      <c r="N2426" s="270"/>
      <c r="O2426" s="111"/>
      <c r="P2426" s="111"/>
      <c r="Q2426" s="127"/>
      <c r="R2426" s="124"/>
      <c r="S2426" s="125"/>
      <c r="T2426" s="125"/>
      <c r="U2426" s="125"/>
      <c r="V2426" s="125"/>
      <c r="W2426" s="125"/>
      <c r="X2426" s="125"/>
      <c r="Y2426" s="125"/>
      <c r="Z2426" s="127"/>
      <c r="AA2426" s="127"/>
      <c r="AB2426" s="127"/>
      <c r="AC2426" s="127"/>
      <c r="AD2426" s="261"/>
      <c r="AE2426" s="261"/>
      <c r="AF2426" s="261"/>
      <c r="AG2426" s="261"/>
    </row>
    <row r="2427" ht="34.5" hidden="1" customHeight="1">
      <c r="A2427" s="111"/>
      <c r="B2427" s="127"/>
      <c r="C2427" s="111"/>
      <c r="D2427" s="111"/>
      <c r="E2427" s="111"/>
      <c r="F2427" s="111"/>
      <c r="G2427" s="111"/>
      <c r="H2427" s="111"/>
      <c r="I2427" s="127"/>
      <c r="J2427" s="111"/>
      <c r="K2427" s="111"/>
      <c r="L2427" s="111"/>
      <c r="M2427" s="127"/>
      <c r="N2427" s="270"/>
      <c r="O2427" s="111"/>
      <c r="P2427" s="111"/>
      <c r="Q2427" s="127"/>
      <c r="R2427" s="124"/>
      <c r="S2427" s="125"/>
      <c r="T2427" s="125"/>
      <c r="U2427" s="125"/>
      <c r="V2427" s="125"/>
      <c r="W2427" s="125"/>
      <c r="X2427" s="125"/>
      <c r="Y2427" s="125"/>
      <c r="Z2427" s="127"/>
      <c r="AA2427" s="127"/>
      <c r="AB2427" s="127"/>
      <c r="AC2427" s="127"/>
      <c r="AD2427" s="261"/>
      <c r="AE2427" s="261"/>
      <c r="AF2427" s="261"/>
      <c r="AG2427" s="261"/>
    </row>
    <row r="2428" ht="34.5" hidden="1" customHeight="1">
      <c r="A2428" s="111"/>
      <c r="B2428" s="127"/>
      <c r="C2428" s="111"/>
      <c r="D2428" s="111"/>
      <c r="E2428" s="111"/>
      <c r="F2428" s="111"/>
      <c r="G2428" s="111"/>
      <c r="H2428" s="111"/>
      <c r="I2428" s="127"/>
      <c r="J2428" s="111"/>
      <c r="K2428" s="111"/>
      <c r="L2428" s="111"/>
      <c r="M2428" s="127"/>
      <c r="N2428" s="270"/>
      <c r="O2428" s="111"/>
      <c r="P2428" s="111"/>
      <c r="Q2428" s="127"/>
      <c r="R2428" s="124"/>
      <c r="S2428" s="125"/>
      <c r="T2428" s="125"/>
      <c r="U2428" s="125"/>
      <c r="V2428" s="125"/>
      <c r="W2428" s="125"/>
      <c r="X2428" s="125"/>
      <c r="Y2428" s="125"/>
      <c r="Z2428" s="127"/>
      <c r="AA2428" s="127"/>
      <c r="AB2428" s="127"/>
      <c r="AC2428" s="127"/>
      <c r="AD2428" s="261"/>
      <c r="AE2428" s="261"/>
      <c r="AF2428" s="261"/>
      <c r="AG2428" s="261"/>
    </row>
    <row r="2429" ht="34.5" hidden="1" customHeight="1">
      <c r="A2429" s="111"/>
      <c r="B2429" s="127"/>
      <c r="C2429" s="111"/>
      <c r="D2429" s="111"/>
      <c r="E2429" s="111"/>
      <c r="F2429" s="111"/>
      <c r="G2429" s="111"/>
      <c r="H2429" s="111"/>
      <c r="I2429" s="127"/>
      <c r="J2429" s="111"/>
      <c r="K2429" s="111"/>
      <c r="L2429" s="111"/>
      <c r="M2429" s="127"/>
      <c r="N2429" s="270"/>
      <c r="O2429" s="111"/>
      <c r="P2429" s="111"/>
      <c r="Q2429" s="127"/>
      <c r="R2429" s="124"/>
      <c r="S2429" s="125"/>
      <c r="T2429" s="125"/>
      <c r="U2429" s="125"/>
      <c r="V2429" s="125"/>
      <c r="W2429" s="125"/>
      <c r="X2429" s="125"/>
      <c r="Y2429" s="125"/>
      <c r="Z2429" s="127"/>
      <c r="AA2429" s="127"/>
      <c r="AB2429" s="127"/>
      <c r="AC2429" s="127"/>
      <c r="AD2429" s="261"/>
      <c r="AE2429" s="261"/>
      <c r="AF2429" s="261"/>
      <c r="AG2429" s="261"/>
    </row>
    <row r="2430" ht="34.5" hidden="1" customHeight="1">
      <c r="A2430" s="111"/>
      <c r="B2430" s="127"/>
      <c r="C2430" s="111"/>
      <c r="D2430" s="111"/>
      <c r="E2430" s="111"/>
      <c r="F2430" s="111"/>
      <c r="G2430" s="111"/>
      <c r="H2430" s="111"/>
      <c r="I2430" s="127"/>
      <c r="J2430" s="111"/>
      <c r="K2430" s="111"/>
      <c r="L2430" s="111"/>
      <c r="M2430" s="127"/>
      <c r="N2430" s="270"/>
      <c r="O2430" s="111"/>
      <c r="P2430" s="111"/>
      <c r="Q2430" s="127"/>
      <c r="R2430" s="124"/>
      <c r="S2430" s="125"/>
      <c r="T2430" s="125"/>
      <c r="U2430" s="125"/>
      <c r="V2430" s="125"/>
      <c r="W2430" s="125"/>
      <c r="X2430" s="125"/>
      <c r="Y2430" s="125"/>
      <c r="Z2430" s="127"/>
      <c r="AA2430" s="127"/>
      <c r="AB2430" s="127"/>
      <c r="AC2430" s="127"/>
      <c r="AD2430" s="261"/>
      <c r="AE2430" s="261"/>
      <c r="AF2430" s="261"/>
      <c r="AG2430" s="261"/>
    </row>
    <row r="2431" ht="34.5" hidden="1" customHeight="1">
      <c r="A2431" s="111"/>
      <c r="B2431" s="127"/>
      <c r="C2431" s="111"/>
      <c r="D2431" s="111"/>
      <c r="E2431" s="111"/>
      <c r="F2431" s="111"/>
      <c r="G2431" s="111"/>
      <c r="H2431" s="111"/>
      <c r="I2431" s="127"/>
      <c r="J2431" s="111"/>
      <c r="K2431" s="111"/>
      <c r="L2431" s="111"/>
      <c r="M2431" s="127"/>
      <c r="N2431" s="270"/>
      <c r="O2431" s="111"/>
      <c r="P2431" s="111"/>
      <c r="Q2431" s="127"/>
      <c r="R2431" s="124"/>
      <c r="S2431" s="125"/>
      <c r="T2431" s="125"/>
      <c r="U2431" s="125"/>
      <c r="V2431" s="125"/>
      <c r="W2431" s="125"/>
      <c r="X2431" s="125"/>
      <c r="Y2431" s="125"/>
      <c r="Z2431" s="127"/>
      <c r="AA2431" s="127"/>
      <c r="AB2431" s="127"/>
      <c r="AC2431" s="127"/>
      <c r="AD2431" s="261"/>
      <c r="AE2431" s="261"/>
      <c r="AF2431" s="261"/>
      <c r="AG2431" s="261"/>
    </row>
    <row r="2432" ht="34.5" hidden="1" customHeight="1">
      <c r="A2432" s="111"/>
      <c r="B2432" s="127"/>
      <c r="C2432" s="111"/>
      <c r="D2432" s="111"/>
      <c r="E2432" s="111"/>
      <c r="F2432" s="111"/>
      <c r="G2432" s="111"/>
      <c r="H2432" s="111"/>
      <c r="I2432" s="127"/>
      <c r="J2432" s="111"/>
      <c r="K2432" s="111"/>
      <c r="L2432" s="111"/>
      <c r="M2432" s="127"/>
      <c r="N2432" s="270"/>
      <c r="O2432" s="111"/>
      <c r="P2432" s="111"/>
      <c r="Q2432" s="127"/>
      <c r="R2432" s="124"/>
      <c r="S2432" s="125"/>
      <c r="T2432" s="125"/>
      <c r="U2432" s="125"/>
      <c r="V2432" s="125"/>
      <c r="W2432" s="125"/>
      <c r="X2432" s="125"/>
      <c r="Y2432" s="125"/>
      <c r="Z2432" s="127"/>
      <c r="AA2432" s="127"/>
      <c r="AB2432" s="127"/>
      <c r="AC2432" s="127"/>
      <c r="AD2432" s="261"/>
      <c r="AE2432" s="261"/>
      <c r="AF2432" s="261"/>
      <c r="AG2432" s="261"/>
    </row>
    <row r="2433" ht="34.5" hidden="1" customHeight="1">
      <c r="A2433" s="111"/>
      <c r="B2433" s="127"/>
      <c r="C2433" s="111"/>
      <c r="D2433" s="111"/>
      <c r="E2433" s="111"/>
      <c r="F2433" s="111"/>
      <c r="G2433" s="111"/>
      <c r="H2433" s="111"/>
      <c r="I2433" s="127"/>
      <c r="J2433" s="111"/>
      <c r="K2433" s="111"/>
      <c r="L2433" s="111"/>
      <c r="M2433" s="127"/>
      <c r="N2433" s="270"/>
      <c r="O2433" s="111"/>
      <c r="P2433" s="111"/>
      <c r="Q2433" s="127"/>
      <c r="R2433" s="124"/>
      <c r="S2433" s="125"/>
      <c r="T2433" s="125"/>
      <c r="U2433" s="125"/>
      <c r="V2433" s="125"/>
      <c r="W2433" s="125"/>
      <c r="X2433" s="125"/>
      <c r="Y2433" s="125"/>
      <c r="Z2433" s="127"/>
      <c r="AA2433" s="127"/>
      <c r="AB2433" s="127"/>
      <c r="AC2433" s="127"/>
      <c r="AD2433" s="261"/>
      <c r="AE2433" s="261"/>
      <c r="AF2433" s="261"/>
      <c r="AG2433" s="261"/>
    </row>
    <row r="2434" ht="34.5" hidden="1" customHeight="1">
      <c r="A2434" s="111"/>
      <c r="B2434" s="127"/>
      <c r="C2434" s="111"/>
      <c r="D2434" s="111"/>
      <c r="E2434" s="111"/>
      <c r="F2434" s="111"/>
      <c r="G2434" s="111"/>
      <c r="H2434" s="111"/>
      <c r="I2434" s="127"/>
      <c r="J2434" s="111"/>
      <c r="K2434" s="111"/>
      <c r="L2434" s="111"/>
      <c r="M2434" s="127"/>
      <c r="N2434" s="270"/>
      <c r="O2434" s="111"/>
      <c r="P2434" s="111"/>
      <c r="Q2434" s="127"/>
      <c r="R2434" s="124"/>
      <c r="S2434" s="125"/>
      <c r="T2434" s="125"/>
      <c r="U2434" s="125"/>
      <c r="V2434" s="125"/>
      <c r="W2434" s="125"/>
      <c r="X2434" s="125"/>
      <c r="Y2434" s="125"/>
      <c r="Z2434" s="127"/>
      <c r="AA2434" s="127"/>
      <c r="AB2434" s="127"/>
      <c r="AC2434" s="127"/>
      <c r="AD2434" s="261"/>
      <c r="AE2434" s="261"/>
      <c r="AF2434" s="261"/>
      <c r="AG2434" s="261"/>
    </row>
    <row r="2435" ht="34.5" hidden="1" customHeight="1">
      <c r="A2435" s="111"/>
      <c r="B2435" s="127"/>
      <c r="C2435" s="111"/>
      <c r="D2435" s="111"/>
      <c r="E2435" s="111"/>
      <c r="F2435" s="111"/>
      <c r="G2435" s="111"/>
      <c r="H2435" s="111"/>
      <c r="I2435" s="127"/>
      <c r="J2435" s="111"/>
      <c r="K2435" s="111"/>
      <c r="L2435" s="111"/>
      <c r="M2435" s="127"/>
      <c r="N2435" s="270"/>
      <c r="O2435" s="111"/>
      <c r="P2435" s="111"/>
      <c r="Q2435" s="127"/>
      <c r="R2435" s="124"/>
      <c r="S2435" s="125"/>
      <c r="T2435" s="125"/>
      <c r="U2435" s="125"/>
      <c r="V2435" s="125"/>
      <c r="W2435" s="125"/>
      <c r="X2435" s="125"/>
      <c r="Y2435" s="125"/>
      <c r="Z2435" s="127"/>
      <c r="AA2435" s="127"/>
      <c r="AB2435" s="127"/>
      <c r="AC2435" s="127"/>
      <c r="AD2435" s="261"/>
      <c r="AE2435" s="261"/>
      <c r="AF2435" s="261"/>
      <c r="AG2435" s="261"/>
    </row>
    <row r="2436" ht="34.5" hidden="1" customHeight="1">
      <c r="A2436" s="111"/>
      <c r="B2436" s="127"/>
      <c r="C2436" s="111"/>
      <c r="D2436" s="111"/>
      <c r="E2436" s="111"/>
      <c r="F2436" s="111"/>
      <c r="G2436" s="111"/>
      <c r="H2436" s="111"/>
      <c r="I2436" s="127"/>
      <c r="J2436" s="111"/>
      <c r="K2436" s="111"/>
      <c r="L2436" s="111"/>
      <c r="M2436" s="127"/>
      <c r="N2436" s="270"/>
      <c r="O2436" s="111"/>
      <c r="P2436" s="111"/>
      <c r="Q2436" s="127"/>
      <c r="R2436" s="124"/>
      <c r="S2436" s="125"/>
      <c r="T2436" s="125"/>
      <c r="U2436" s="125"/>
      <c r="V2436" s="125"/>
      <c r="W2436" s="125"/>
      <c r="X2436" s="125"/>
      <c r="Y2436" s="125"/>
      <c r="Z2436" s="127"/>
      <c r="AA2436" s="127"/>
      <c r="AB2436" s="127"/>
      <c r="AC2436" s="127"/>
      <c r="AD2436" s="261"/>
      <c r="AE2436" s="261"/>
      <c r="AF2436" s="261"/>
      <c r="AG2436" s="261"/>
    </row>
    <row r="2437" ht="34.5" hidden="1" customHeight="1">
      <c r="A2437" s="111"/>
      <c r="B2437" s="127"/>
      <c r="C2437" s="111"/>
      <c r="D2437" s="111"/>
      <c r="E2437" s="111"/>
      <c r="F2437" s="111"/>
      <c r="G2437" s="111"/>
      <c r="H2437" s="111"/>
      <c r="I2437" s="127"/>
      <c r="J2437" s="111"/>
      <c r="K2437" s="111"/>
      <c r="L2437" s="111"/>
      <c r="M2437" s="127"/>
      <c r="N2437" s="270"/>
      <c r="O2437" s="111"/>
      <c r="P2437" s="111"/>
      <c r="Q2437" s="127"/>
      <c r="R2437" s="124"/>
      <c r="S2437" s="125"/>
      <c r="T2437" s="125"/>
      <c r="U2437" s="125"/>
      <c r="V2437" s="125"/>
      <c r="W2437" s="125"/>
      <c r="X2437" s="125"/>
      <c r="Y2437" s="125"/>
      <c r="Z2437" s="127"/>
      <c r="AA2437" s="127"/>
      <c r="AB2437" s="127"/>
      <c r="AC2437" s="127"/>
      <c r="AD2437" s="261"/>
      <c r="AE2437" s="261"/>
      <c r="AF2437" s="261"/>
      <c r="AG2437" s="261"/>
    </row>
    <row r="2438" ht="34.5" hidden="1" customHeight="1">
      <c r="A2438" s="111"/>
      <c r="B2438" s="127"/>
      <c r="C2438" s="111"/>
      <c r="D2438" s="111"/>
      <c r="E2438" s="111"/>
      <c r="F2438" s="111"/>
      <c r="G2438" s="111"/>
      <c r="H2438" s="111"/>
      <c r="I2438" s="127"/>
      <c r="J2438" s="111"/>
      <c r="K2438" s="111"/>
      <c r="L2438" s="111"/>
      <c r="M2438" s="127"/>
      <c r="N2438" s="270"/>
      <c r="O2438" s="111"/>
      <c r="P2438" s="111"/>
      <c r="Q2438" s="127"/>
      <c r="R2438" s="124"/>
      <c r="S2438" s="125"/>
      <c r="T2438" s="125"/>
      <c r="U2438" s="125"/>
      <c r="V2438" s="125"/>
      <c r="W2438" s="125"/>
      <c r="X2438" s="125"/>
      <c r="Y2438" s="125"/>
      <c r="Z2438" s="127"/>
      <c r="AA2438" s="127"/>
      <c r="AB2438" s="127"/>
      <c r="AC2438" s="127"/>
      <c r="AD2438" s="261"/>
      <c r="AE2438" s="261"/>
      <c r="AF2438" s="261"/>
      <c r="AG2438" s="261"/>
    </row>
    <row r="2439" ht="34.5" hidden="1" customHeight="1">
      <c r="A2439" s="111"/>
      <c r="B2439" s="127"/>
      <c r="C2439" s="111"/>
      <c r="D2439" s="111"/>
      <c r="E2439" s="111"/>
      <c r="F2439" s="111"/>
      <c r="G2439" s="111"/>
      <c r="H2439" s="111"/>
      <c r="I2439" s="127"/>
      <c r="J2439" s="111"/>
      <c r="K2439" s="111"/>
      <c r="L2439" s="111"/>
      <c r="M2439" s="127"/>
      <c r="N2439" s="270"/>
      <c r="O2439" s="111"/>
      <c r="P2439" s="111"/>
      <c r="Q2439" s="127"/>
      <c r="R2439" s="124"/>
      <c r="S2439" s="125"/>
      <c r="T2439" s="125"/>
      <c r="U2439" s="125"/>
      <c r="V2439" s="125"/>
      <c r="W2439" s="125"/>
      <c r="X2439" s="125"/>
      <c r="Y2439" s="125"/>
      <c r="Z2439" s="127"/>
      <c r="AA2439" s="127"/>
      <c r="AB2439" s="127"/>
      <c r="AC2439" s="127"/>
      <c r="AD2439" s="261"/>
      <c r="AE2439" s="261"/>
      <c r="AF2439" s="261"/>
      <c r="AG2439" s="261"/>
    </row>
    <row r="2440" ht="34.5" hidden="1" customHeight="1">
      <c r="A2440" s="111"/>
      <c r="B2440" s="127"/>
      <c r="C2440" s="111"/>
      <c r="D2440" s="111"/>
      <c r="E2440" s="111"/>
      <c r="F2440" s="111"/>
      <c r="G2440" s="111"/>
      <c r="H2440" s="111"/>
      <c r="I2440" s="127"/>
      <c r="J2440" s="111"/>
      <c r="K2440" s="111"/>
      <c r="L2440" s="111"/>
      <c r="M2440" s="127"/>
      <c r="N2440" s="270"/>
      <c r="O2440" s="111"/>
      <c r="P2440" s="111"/>
      <c r="Q2440" s="127"/>
      <c r="R2440" s="124"/>
      <c r="S2440" s="125"/>
      <c r="T2440" s="125"/>
      <c r="U2440" s="125"/>
      <c r="V2440" s="125"/>
      <c r="W2440" s="125"/>
      <c r="X2440" s="125"/>
      <c r="Y2440" s="125"/>
      <c r="Z2440" s="127"/>
      <c r="AA2440" s="127"/>
      <c r="AB2440" s="127"/>
      <c r="AC2440" s="127"/>
      <c r="AD2440" s="261"/>
      <c r="AE2440" s="261"/>
      <c r="AF2440" s="261"/>
      <c r="AG2440" s="261"/>
    </row>
    <row r="2441" ht="34.5" hidden="1" customHeight="1">
      <c r="A2441" s="111"/>
      <c r="B2441" s="127"/>
      <c r="C2441" s="111"/>
      <c r="D2441" s="111"/>
      <c r="E2441" s="111"/>
      <c r="F2441" s="111"/>
      <c r="G2441" s="111"/>
      <c r="H2441" s="111"/>
      <c r="I2441" s="127"/>
      <c r="J2441" s="111"/>
      <c r="K2441" s="111"/>
      <c r="L2441" s="111"/>
      <c r="M2441" s="127"/>
      <c r="N2441" s="270"/>
      <c r="O2441" s="111"/>
      <c r="P2441" s="111"/>
      <c r="Q2441" s="127"/>
      <c r="R2441" s="124"/>
      <c r="S2441" s="125"/>
      <c r="T2441" s="125"/>
      <c r="U2441" s="125"/>
      <c r="V2441" s="125"/>
      <c r="W2441" s="125"/>
      <c r="X2441" s="125"/>
      <c r="Y2441" s="125"/>
      <c r="Z2441" s="127"/>
      <c r="AA2441" s="127"/>
      <c r="AB2441" s="127"/>
      <c r="AC2441" s="127"/>
      <c r="AD2441" s="261"/>
      <c r="AE2441" s="261"/>
      <c r="AF2441" s="261"/>
      <c r="AG2441" s="261"/>
    </row>
    <row r="2442" ht="34.5" hidden="1" customHeight="1">
      <c r="A2442" s="111"/>
      <c r="B2442" s="127"/>
      <c r="C2442" s="111"/>
      <c r="D2442" s="111"/>
      <c r="E2442" s="111"/>
      <c r="F2442" s="111"/>
      <c r="G2442" s="111"/>
      <c r="H2442" s="111"/>
      <c r="I2442" s="127"/>
      <c r="J2442" s="111"/>
      <c r="K2442" s="111"/>
      <c r="L2442" s="111"/>
      <c r="M2442" s="127"/>
      <c r="N2442" s="270"/>
      <c r="O2442" s="111"/>
      <c r="P2442" s="111"/>
      <c r="Q2442" s="127"/>
      <c r="R2442" s="124"/>
      <c r="S2442" s="125"/>
      <c r="T2442" s="125"/>
      <c r="U2442" s="125"/>
      <c r="V2442" s="125"/>
      <c r="W2442" s="125"/>
      <c r="X2442" s="125"/>
      <c r="Y2442" s="125"/>
      <c r="Z2442" s="127"/>
      <c r="AA2442" s="127"/>
      <c r="AB2442" s="127"/>
      <c r="AC2442" s="127"/>
      <c r="AD2442" s="261"/>
      <c r="AE2442" s="261"/>
      <c r="AF2442" s="261"/>
      <c r="AG2442" s="261"/>
    </row>
    <row r="2443" ht="34.5" hidden="1" customHeight="1">
      <c r="A2443" s="111"/>
      <c r="B2443" s="127"/>
      <c r="C2443" s="111"/>
      <c r="D2443" s="111"/>
      <c r="E2443" s="111"/>
      <c r="F2443" s="111"/>
      <c r="G2443" s="111"/>
      <c r="H2443" s="111"/>
      <c r="I2443" s="127"/>
      <c r="J2443" s="111"/>
      <c r="K2443" s="111"/>
      <c r="L2443" s="111"/>
      <c r="M2443" s="127"/>
      <c r="N2443" s="270"/>
      <c r="O2443" s="111"/>
      <c r="P2443" s="111"/>
      <c r="Q2443" s="127"/>
      <c r="R2443" s="124"/>
      <c r="S2443" s="125"/>
      <c r="T2443" s="125"/>
      <c r="U2443" s="125"/>
      <c r="V2443" s="125"/>
      <c r="W2443" s="125"/>
      <c r="X2443" s="125"/>
      <c r="Y2443" s="125"/>
      <c r="Z2443" s="127"/>
      <c r="AA2443" s="127"/>
      <c r="AB2443" s="127"/>
      <c r="AC2443" s="127"/>
      <c r="AD2443" s="261"/>
      <c r="AE2443" s="261"/>
      <c r="AF2443" s="261"/>
      <c r="AG2443" s="261"/>
    </row>
    <row r="2444" ht="34.5" hidden="1" customHeight="1">
      <c r="A2444" s="111"/>
      <c r="B2444" s="127"/>
      <c r="C2444" s="111"/>
      <c r="D2444" s="111"/>
      <c r="E2444" s="111"/>
      <c r="F2444" s="111"/>
      <c r="G2444" s="111"/>
      <c r="H2444" s="111"/>
      <c r="I2444" s="127"/>
      <c r="J2444" s="111"/>
      <c r="K2444" s="111"/>
      <c r="L2444" s="111"/>
      <c r="M2444" s="127"/>
      <c r="N2444" s="270"/>
      <c r="O2444" s="111"/>
      <c r="P2444" s="111"/>
      <c r="Q2444" s="127"/>
      <c r="R2444" s="124"/>
      <c r="S2444" s="125"/>
      <c r="T2444" s="125"/>
      <c r="U2444" s="125"/>
      <c r="V2444" s="125"/>
      <c r="W2444" s="125"/>
      <c r="X2444" s="125"/>
      <c r="Y2444" s="125"/>
      <c r="Z2444" s="127"/>
      <c r="AA2444" s="127"/>
      <c r="AB2444" s="127"/>
      <c r="AC2444" s="127"/>
      <c r="AD2444" s="261"/>
      <c r="AE2444" s="261"/>
      <c r="AF2444" s="261"/>
      <c r="AG2444" s="261"/>
    </row>
    <row r="2445" ht="34.5" hidden="1" customHeight="1">
      <c r="A2445" s="111"/>
      <c r="B2445" s="127"/>
      <c r="C2445" s="111"/>
      <c r="D2445" s="111"/>
      <c r="E2445" s="111"/>
      <c r="F2445" s="111"/>
      <c r="G2445" s="111"/>
      <c r="H2445" s="111"/>
      <c r="I2445" s="127"/>
      <c r="J2445" s="111"/>
      <c r="K2445" s="111"/>
      <c r="L2445" s="111"/>
      <c r="M2445" s="127"/>
      <c r="N2445" s="270"/>
      <c r="O2445" s="111"/>
      <c r="P2445" s="111"/>
      <c r="Q2445" s="127"/>
      <c r="R2445" s="124"/>
      <c r="S2445" s="125"/>
      <c r="T2445" s="125"/>
      <c r="U2445" s="125"/>
      <c r="V2445" s="125"/>
      <c r="W2445" s="125"/>
      <c r="X2445" s="125"/>
      <c r="Y2445" s="125"/>
      <c r="Z2445" s="127"/>
      <c r="AA2445" s="127"/>
      <c r="AB2445" s="127"/>
      <c r="AC2445" s="127"/>
      <c r="AD2445" s="261"/>
      <c r="AE2445" s="261"/>
      <c r="AF2445" s="261"/>
      <c r="AG2445" s="261"/>
    </row>
    <row r="2446" ht="34.5" hidden="1" customHeight="1">
      <c r="A2446" s="111"/>
      <c r="B2446" s="127"/>
      <c r="C2446" s="111"/>
      <c r="D2446" s="111"/>
      <c r="E2446" s="111"/>
      <c r="F2446" s="111"/>
      <c r="G2446" s="111"/>
      <c r="H2446" s="111"/>
      <c r="I2446" s="127"/>
      <c r="J2446" s="111"/>
      <c r="K2446" s="111"/>
      <c r="L2446" s="111"/>
      <c r="M2446" s="127"/>
      <c r="N2446" s="270"/>
      <c r="O2446" s="111"/>
      <c r="P2446" s="111"/>
      <c r="Q2446" s="127"/>
      <c r="R2446" s="124"/>
      <c r="S2446" s="125"/>
      <c r="T2446" s="125"/>
      <c r="U2446" s="125"/>
      <c r="V2446" s="125"/>
      <c r="W2446" s="125"/>
      <c r="X2446" s="125"/>
      <c r="Y2446" s="125"/>
      <c r="Z2446" s="127"/>
      <c r="AA2446" s="127"/>
      <c r="AB2446" s="127"/>
      <c r="AC2446" s="127"/>
      <c r="AD2446" s="261"/>
      <c r="AE2446" s="261"/>
      <c r="AF2446" s="261"/>
      <c r="AG2446" s="261"/>
    </row>
    <row r="2447" ht="34.5" hidden="1" customHeight="1">
      <c r="A2447" s="111"/>
      <c r="B2447" s="127"/>
      <c r="C2447" s="111"/>
      <c r="D2447" s="111"/>
      <c r="E2447" s="111"/>
      <c r="F2447" s="111"/>
      <c r="G2447" s="111"/>
      <c r="H2447" s="111"/>
      <c r="I2447" s="127"/>
      <c r="J2447" s="111"/>
      <c r="K2447" s="111"/>
      <c r="L2447" s="111"/>
      <c r="M2447" s="127"/>
      <c r="N2447" s="270"/>
      <c r="O2447" s="111"/>
      <c r="P2447" s="111"/>
      <c r="Q2447" s="127"/>
      <c r="R2447" s="124"/>
      <c r="S2447" s="125"/>
      <c r="T2447" s="125"/>
      <c r="U2447" s="125"/>
      <c r="V2447" s="125"/>
      <c r="W2447" s="125"/>
      <c r="X2447" s="125"/>
      <c r="Y2447" s="125"/>
      <c r="Z2447" s="127"/>
      <c r="AA2447" s="127"/>
      <c r="AB2447" s="127"/>
      <c r="AC2447" s="127"/>
      <c r="AD2447" s="261"/>
      <c r="AE2447" s="261"/>
      <c r="AF2447" s="261"/>
      <c r="AG2447" s="261"/>
    </row>
    <row r="2448" ht="34.5" hidden="1" customHeight="1">
      <c r="A2448" s="111"/>
      <c r="B2448" s="127"/>
      <c r="C2448" s="111"/>
      <c r="D2448" s="111"/>
      <c r="E2448" s="111"/>
      <c r="F2448" s="111"/>
      <c r="G2448" s="111"/>
      <c r="H2448" s="111"/>
      <c r="I2448" s="127"/>
      <c r="J2448" s="111"/>
      <c r="K2448" s="111"/>
      <c r="L2448" s="111"/>
      <c r="M2448" s="127"/>
      <c r="N2448" s="270"/>
      <c r="O2448" s="111"/>
      <c r="P2448" s="111"/>
      <c r="Q2448" s="127"/>
      <c r="R2448" s="124"/>
      <c r="S2448" s="125"/>
      <c r="T2448" s="125"/>
      <c r="U2448" s="125"/>
      <c r="V2448" s="125"/>
      <c r="W2448" s="125"/>
      <c r="X2448" s="125"/>
      <c r="Y2448" s="125"/>
      <c r="Z2448" s="127"/>
      <c r="AA2448" s="127"/>
      <c r="AB2448" s="127"/>
      <c r="AC2448" s="127"/>
      <c r="AD2448" s="261"/>
      <c r="AE2448" s="261"/>
      <c r="AF2448" s="261"/>
      <c r="AG2448" s="261"/>
    </row>
    <row r="2449" ht="34.5" hidden="1" customHeight="1">
      <c r="A2449" s="111"/>
      <c r="B2449" s="127"/>
      <c r="C2449" s="111"/>
      <c r="D2449" s="111"/>
      <c r="E2449" s="111"/>
      <c r="F2449" s="111"/>
      <c r="G2449" s="111"/>
      <c r="H2449" s="111"/>
      <c r="I2449" s="127"/>
      <c r="J2449" s="111"/>
      <c r="K2449" s="111"/>
      <c r="L2449" s="111"/>
      <c r="M2449" s="127"/>
      <c r="N2449" s="270"/>
      <c r="O2449" s="111"/>
      <c r="P2449" s="111"/>
      <c r="Q2449" s="127"/>
      <c r="R2449" s="124"/>
      <c r="S2449" s="125"/>
      <c r="T2449" s="125"/>
      <c r="U2449" s="125"/>
      <c r="V2449" s="125"/>
      <c r="W2449" s="125"/>
      <c r="X2449" s="125"/>
      <c r="Y2449" s="125"/>
      <c r="Z2449" s="127"/>
      <c r="AA2449" s="127"/>
      <c r="AB2449" s="127"/>
      <c r="AC2449" s="127"/>
      <c r="AD2449" s="261"/>
      <c r="AE2449" s="261"/>
      <c r="AF2449" s="261"/>
      <c r="AG2449" s="261"/>
    </row>
    <row r="2450" ht="34.5" hidden="1" customHeight="1">
      <c r="A2450" s="111"/>
      <c r="B2450" s="127"/>
      <c r="C2450" s="111"/>
      <c r="D2450" s="111"/>
      <c r="E2450" s="111"/>
      <c r="F2450" s="111"/>
      <c r="G2450" s="111"/>
      <c r="H2450" s="111"/>
      <c r="I2450" s="127"/>
      <c r="J2450" s="111"/>
      <c r="K2450" s="111"/>
      <c r="L2450" s="111"/>
      <c r="M2450" s="127"/>
      <c r="N2450" s="270"/>
      <c r="O2450" s="111"/>
      <c r="P2450" s="111"/>
      <c r="Q2450" s="127"/>
      <c r="R2450" s="124"/>
      <c r="S2450" s="125"/>
      <c r="T2450" s="125"/>
      <c r="U2450" s="125"/>
      <c r="V2450" s="125"/>
      <c r="W2450" s="125"/>
      <c r="X2450" s="125"/>
      <c r="Y2450" s="125"/>
      <c r="Z2450" s="127"/>
      <c r="AA2450" s="127"/>
      <c r="AB2450" s="127"/>
      <c r="AC2450" s="127"/>
      <c r="AD2450" s="261"/>
      <c r="AE2450" s="261"/>
      <c r="AF2450" s="261"/>
      <c r="AG2450" s="261"/>
    </row>
    <row r="2451" ht="34.5" hidden="1" customHeight="1">
      <c r="A2451" s="111"/>
      <c r="B2451" s="127"/>
      <c r="C2451" s="111"/>
      <c r="D2451" s="111"/>
      <c r="E2451" s="111"/>
      <c r="F2451" s="111"/>
      <c r="G2451" s="111"/>
      <c r="H2451" s="111"/>
      <c r="I2451" s="127"/>
      <c r="J2451" s="111"/>
      <c r="K2451" s="111"/>
      <c r="L2451" s="111"/>
      <c r="M2451" s="127"/>
      <c r="N2451" s="270"/>
      <c r="O2451" s="111"/>
      <c r="P2451" s="111"/>
      <c r="Q2451" s="127"/>
      <c r="R2451" s="124"/>
      <c r="S2451" s="125"/>
      <c r="T2451" s="125"/>
      <c r="U2451" s="125"/>
      <c r="V2451" s="125"/>
      <c r="W2451" s="125"/>
      <c r="X2451" s="125"/>
      <c r="Y2451" s="125"/>
      <c r="Z2451" s="127"/>
      <c r="AA2451" s="127"/>
      <c r="AB2451" s="127"/>
      <c r="AC2451" s="127"/>
      <c r="AD2451" s="261"/>
      <c r="AE2451" s="261"/>
      <c r="AF2451" s="261"/>
      <c r="AG2451" s="261"/>
    </row>
    <row r="2452" ht="34.5" hidden="1" customHeight="1">
      <c r="A2452" s="111"/>
      <c r="B2452" s="127"/>
      <c r="C2452" s="111"/>
      <c r="D2452" s="111"/>
      <c r="E2452" s="111"/>
      <c r="F2452" s="111"/>
      <c r="G2452" s="111"/>
      <c r="H2452" s="111"/>
      <c r="I2452" s="127"/>
      <c r="J2452" s="111"/>
      <c r="K2452" s="111"/>
      <c r="L2452" s="111"/>
      <c r="M2452" s="127"/>
      <c r="N2452" s="270"/>
      <c r="O2452" s="111"/>
      <c r="P2452" s="111"/>
      <c r="Q2452" s="127"/>
      <c r="R2452" s="124"/>
      <c r="S2452" s="125"/>
      <c r="T2452" s="125"/>
      <c r="U2452" s="125"/>
      <c r="V2452" s="125"/>
      <c r="W2452" s="125"/>
      <c r="X2452" s="125"/>
      <c r="Y2452" s="125"/>
      <c r="Z2452" s="127"/>
      <c r="AA2452" s="127"/>
      <c r="AB2452" s="127"/>
      <c r="AC2452" s="127"/>
      <c r="AD2452" s="261"/>
      <c r="AE2452" s="261"/>
      <c r="AF2452" s="261"/>
      <c r="AG2452" s="261"/>
    </row>
    <row r="2453" ht="34.5" hidden="1" customHeight="1">
      <c r="A2453" s="111"/>
      <c r="B2453" s="127"/>
      <c r="C2453" s="111"/>
      <c r="D2453" s="111"/>
      <c r="E2453" s="111"/>
      <c r="F2453" s="111"/>
      <c r="G2453" s="111"/>
      <c r="H2453" s="111"/>
      <c r="I2453" s="127"/>
      <c r="J2453" s="111"/>
      <c r="K2453" s="111"/>
      <c r="L2453" s="111"/>
      <c r="M2453" s="127"/>
      <c r="N2453" s="270"/>
      <c r="O2453" s="111"/>
      <c r="P2453" s="111"/>
      <c r="Q2453" s="127"/>
      <c r="R2453" s="124"/>
      <c r="S2453" s="125"/>
      <c r="T2453" s="125"/>
      <c r="U2453" s="125"/>
      <c r="V2453" s="125"/>
      <c r="W2453" s="125"/>
      <c r="X2453" s="125"/>
      <c r="Y2453" s="125"/>
      <c r="Z2453" s="127"/>
      <c r="AA2453" s="127"/>
      <c r="AB2453" s="127"/>
      <c r="AC2453" s="127"/>
      <c r="AD2453" s="261"/>
      <c r="AE2453" s="261"/>
      <c r="AF2453" s="261"/>
      <c r="AG2453" s="261"/>
    </row>
    <row r="2454" ht="34.5" hidden="1" customHeight="1">
      <c r="A2454" s="111"/>
      <c r="B2454" s="127"/>
      <c r="C2454" s="111"/>
      <c r="D2454" s="111"/>
      <c r="E2454" s="111"/>
      <c r="F2454" s="111"/>
      <c r="G2454" s="111"/>
      <c r="H2454" s="111"/>
      <c r="I2454" s="127"/>
      <c r="J2454" s="111"/>
      <c r="K2454" s="111"/>
      <c r="L2454" s="111"/>
      <c r="M2454" s="127"/>
      <c r="N2454" s="270"/>
      <c r="O2454" s="111"/>
      <c r="P2454" s="111"/>
      <c r="Q2454" s="127"/>
      <c r="R2454" s="124"/>
      <c r="S2454" s="125"/>
      <c r="T2454" s="125"/>
      <c r="U2454" s="125"/>
      <c r="V2454" s="125"/>
      <c r="W2454" s="125"/>
      <c r="X2454" s="125"/>
      <c r="Y2454" s="125"/>
      <c r="Z2454" s="127"/>
      <c r="AA2454" s="127"/>
      <c r="AB2454" s="127"/>
      <c r="AC2454" s="127"/>
      <c r="AD2454" s="261"/>
      <c r="AE2454" s="261"/>
      <c r="AF2454" s="261"/>
      <c r="AG2454" s="261"/>
    </row>
    <row r="2455" ht="34.5" hidden="1" customHeight="1">
      <c r="A2455" s="111"/>
      <c r="B2455" s="127"/>
      <c r="C2455" s="111"/>
      <c r="D2455" s="111"/>
      <c r="E2455" s="111"/>
      <c r="F2455" s="111"/>
      <c r="G2455" s="111"/>
      <c r="H2455" s="111"/>
      <c r="I2455" s="127"/>
      <c r="J2455" s="111"/>
      <c r="K2455" s="111"/>
      <c r="L2455" s="111"/>
      <c r="M2455" s="127"/>
      <c r="N2455" s="270"/>
      <c r="O2455" s="111"/>
      <c r="P2455" s="111"/>
      <c r="Q2455" s="127"/>
      <c r="R2455" s="124"/>
      <c r="S2455" s="125"/>
      <c r="T2455" s="125"/>
      <c r="U2455" s="125"/>
      <c r="V2455" s="125"/>
      <c r="W2455" s="125"/>
      <c r="X2455" s="125"/>
      <c r="Y2455" s="125"/>
      <c r="Z2455" s="127"/>
      <c r="AA2455" s="127"/>
      <c r="AB2455" s="127"/>
      <c r="AC2455" s="127"/>
      <c r="AD2455" s="261"/>
      <c r="AE2455" s="261"/>
      <c r="AF2455" s="261"/>
      <c r="AG2455" s="261"/>
    </row>
    <row r="2456" ht="34.5" hidden="1" customHeight="1">
      <c r="A2456" s="111"/>
      <c r="B2456" s="127"/>
      <c r="C2456" s="111"/>
      <c r="D2456" s="111"/>
      <c r="E2456" s="111"/>
      <c r="F2456" s="111"/>
      <c r="G2456" s="111"/>
      <c r="H2456" s="111"/>
      <c r="I2456" s="127"/>
      <c r="J2456" s="111"/>
      <c r="K2456" s="111"/>
      <c r="L2456" s="111"/>
      <c r="M2456" s="127"/>
      <c r="N2456" s="270"/>
      <c r="O2456" s="111"/>
      <c r="P2456" s="111"/>
      <c r="Q2456" s="127"/>
      <c r="R2456" s="124"/>
      <c r="S2456" s="125"/>
      <c r="T2456" s="125"/>
      <c r="U2456" s="125"/>
      <c r="V2456" s="125"/>
      <c r="W2456" s="125"/>
      <c r="X2456" s="125"/>
      <c r="Y2456" s="125"/>
      <c r="Z2456" s="127"/>
      <c r="AA2456" s="127"/>
      <c r="AB2456" s="127"/>
      <c r="AC2456" s="127"/>
      <c r="AD2456" s="261"/>
      <c r="AE2456" s="261"/>
      <c r="AF2456" s="261"/>
      <c r="AG2456" s="261"/>
    </row>
    <row r="2457" ht="34.5" hidden="1" customHeight="1">
      <c r="A2457" s="111"/>
      <c r="B2457" s="127"/>
      <c r="C2457" s="111"/>
      <c r="D2457" s="111"/>
      <c r="E2457" s="111"/>
      <c r="F2457" s="111"/>
      <c r="G2457" s="111"/>
      <c r="H2457" s="111"/>
      <c r="I2457" s="127"/>
      <c r="J2457" s="111"/>
      <c r="K2457" s="111"/>
      <c r="L2457" s="111"/>
      <c r="M2457" s="127"/>
      <c r="N2457" s="270"/>
      <c r="O2457" s="111"/>
      <c r="P2457" s="111"/>
      <c r="Q2457" s="127"/>
      <c r="R2457" s="124"/>
      <c r="S2457" s="125"/>
      <c r="T2457" s="125"/>
      <c r="U2457" s="125"/>
      <c r="V2457" s="125"/>
      <c r="W2457" s="125"/>
      <c r="X2457" s="125"/>
      <c r="Y2457" s="125"/>
      <c r="Z2457" s="127"/>
      <c r="AA2457" s="127"/>
      <c r="AB2457" s="127"/>
      <c r="AC2457" s="127"/>
      <c r="AD2457" s="261"/>
      <c r="AE2457" s="261"/>
      <c r="AF2457" s="261"/>
      <c r="AG2457" s="261"/>
    </row>
    <row r="2458" ht="34.5" hidden="1" customHeight="1">
      <c r="A2458" s="111"/>
      <c r="B2458" s="127"/>
      <c r="C2458" s="111"/>
      <c r="D2458" s="111"/>
      <c r="E2458" s="111"/>
      <c r="F2458" s="111"/>
      <c r="G2458" s="111"/>
      <c r="H2458" s="111"/>
      <c r="I2458" s="127"/>
      <c r="J2458" s="111"/>
      <c r="K2458" s="111"/>
      <c r="L2458" s="111"/>
      <c r="M2458" s="127"/>
      <c r="N2458" s="270"/>
      <c r="O2458" s="111"/>
      <c r="P2458" s="111"/>
      <c r="Q2458" s="127"/>
      <c r="R2458" s="124"/>
      <c r="S2458" s="125"/>
      <c r="T2458" s="125"/>
      <c r="U2458" s="125"/>
      <c r="V2458" s="125"/>
      <c r="W2458" s="125"/>
      <c r="X2458" s="125"/>
      <c r="Y2458" s="125"/>
      <c r="Z2458" s="127"/>
      <c r="AA2458" s="127"/>
      <c r="AB2458" s="127"/>
      <c r="AC2458" s="127"/>
      <c r="AD2458" s="261"/>
      <c r="AE2458" s="261"/>
      <c r="AF2458" s="261"/>
      <c r="AG2458" s="261"/>
    </row>
    <row r="2459" ht="34.5" hidden="1" customHeight="1">
      <c r="A2459" s="111"/>
      <c r="B2459" s="127"/>
      <c r="C2459" s="111"/>
      <c r="D2459" s="111"/>
      <c r="E2459" s="111"/>
      <c r="F2459" s="111"/>
      <c r="G2459" s="111"/>
      <c r="H2459" s="111"/>
      <c r="I2459" s="127"/>
      <c r="J2459" s="111"/>
      <c r="K2459" s="111"/>
      <c r="L2459" s="111"/>
      <c r="M2459" s="127"/>
      <c r="N2459" s="270"/>
      <c r="O2459" s="111"/>
      <c r="P2459" s="111"/>
      <c r="Q2459" s="127"/>
      <c r="R2459" s="124"/>
      <c r="S2459" s="125"/>
      <c r="T2459" s="125"/>
      <c r="U2459" s="125"/>
      <c r="V2459" s="125"/>
      <c r="W2459" s="125"/>
      <c r="X2459" s="125"/>
      <c r="Y2459" s="125"/>
      <c r="Z2459" s="127"/>
      <c r="AA2459" s="127"/>
      <c r="AB2459" s="127"/>
      <c r="AC2459" s="127"/>
      <c r="AD2459" s="261"/>
      <c r="AE2459" s="261"/>
      <c r="AF2459" s="261"/>
      <c r="AG2459" s="261"/>
    </row>
    <row r="2460" ht="34.5" hidden="1" customHeight="1">
      <c r="A2460" s="111"/>
      <c r="B2460" s="127"/>
      <c r="C2460" s="111"/>
      <c r="D2460" s="111"/>
      <c r="E2460" s="111"/>
      <c r="F2460" s="111"/>
      <c r="G2460" s="111"/>
      <c r="H2460" s="111"/>
      <c r="I2460" s="127"/>
      <c r="J2460" s="111"/>
      <c r="K2460" s="111"/>
      <c r="L2460" s="111"/>
      <c r="M2460" s="127"/>
      <c r="N2460" s="270"/>
      <c r="O2460" s="111"/>
      <c r="P2460" s="111"/>
      <c r="Q2460" s="127"/>
      <c r="R2460" s="124"/>
      <c r="S2460" s="125"/>
      <c r="T2460" s="125"/>
      <c r="U2460" s="125"/>
      <c r="V2460" s="125"/>
      <c r="W2460" s="125"/>
      <c r="X2460" s="125"/>
      <c r="Y2460" s="125"/>
      <c r="Z2460" s="127"/>
      <c r="AA2460" s="127"/>
      <c r="AB2460" s="127"/>
      <c r="AC2460" s="127"/>
      <c r="AD2460" s="261"/>
      <c r="AE2460" s="261"/>
      <c r="AF2460" s="261"/>
      <c r="AG2460" s="261"/>
    </row>
    <row r="2461" ht="34.5" hidden="1" customHeight="1">
      <c r="A2461" s="111"/>
      <c r="B2461" s="127"/>
      <c r="C2461" s="111"/>
      <c r="D2461" s="111"/>
      <c r="E2461" s="111"/>
      <c r="F2461" s="111"/>
      <c r="G2461" s="111"/>
      <c r="H2461" s="111"/>
      <c r="I2461" s="127"/>
      <c r="J2461" s="111"/>
      <c r="K2461" s="111"/>
      <c r="L2461" s="111"/>
      <c r="M2461" s="127"/>
      <c r="N2461" s="270"/>
      <c r="O2461" s="111"/>
      <c r="P2461" s="111"/>
      <c r="Q2461" s="127"/>
      <c r="R2461" s="124"/>
      <c r="S2461" s="125"/>
      <c r="T2461" s="125"/>
      <c r="U2461" s="125"/>
      <c r="V2461" s="125"/>
      <c r="W2461" s="125"/>
      <c r="X2461" s="125"/>
      <c r="Y2461" s="125"/>
      <c r="Z2461" s="127"/>
      <c r="AA2461" s="127"/>
      <c r="AB2461" s="127"/>
      <c r="AC2461" s="127"/>
      <c r="AD2461" s="261"/>
      <c r="AE2461" s="261"/>
      <c r="AF2461" s="261"/>
      <c r="AG2461" s="261"/>
    </row>
    <row r="2462" ht="34.5" hidden="1" customHeight="1">
      <c r="A2462" s="111"/>
      <c r="B2462" s="127"/>
      <c r="C2462" s="111"/>
      <c r="D2462" s="111"/>
      <c r="E2462" s="111"/>
      <c r="F2462" s="111"/>
      <c r="G2462" s="111"/>
      <c r="H2462" s="111"/>
      <c r="I2462" s="127"/>
      <c r="J2462" s="111"/>
      <c r="K2462" s="111"/>
      <c r="L2462" s="111"/>
      <c r="M2462" s="127"/>
      <c r="N2462" s="270"/>
      <c r="O2462" s="111"/>
      <c r="P2462" s="111"/>
      <c r="Q2462" s="127"/>
      <c r="R2462" s="124"/>
      <c r="S2462" s="125"/>
      <c r="T2462" s="125"/>
      <c r="U2462" s="125"/>
      <c r="V2462" s="125"/>
      <c r="W2462" s="125"/>
      <c r="X2462" s="125"/>
      <c r="Y2462" s="125"/>
      <c r="Z2462" s="127"/>
      <c r="AA2462" s="127"/>
      <c r="AB2462" s="127"/>
      <c r="AC2462" s="127"/>
      <c r="AD2462" s="261"/>
      <c r="AE2462" s="261"/>
      <c r="AF2462" s="261"/>
      <c r="AG2462" s="261"/>
    </row>
    <row r="2463" ht="34.5" hidden="1" customHeight="1">
      <c r="A2463" s="111"/>
      <c r="B2463" s="127"/>
      <c r="C2463" s="111"/>
      <c r="D2463" s="111"/>
      <c r="E2463" s="111"/>
      <c r="F2463" s="111"/>
      <c r="G2463" s="111"/>
      <c r="H2463" s="111"/>
      <c r="I2463" s="127"/>
      <c r="J2463" s="111"/>
      <c r="K2463" s="111"/>
      <c r="L2463" s="111"/>
      <c r="M2463" s="127"/>
      <c r="N2463" s="270"/>
      <c r="O2463" s="111"/>
      <c r="P2463" s="111"/>
      <c r="Q2463" s="127"/>
      <c r="R2463" s="124"/>
      <c r="S2463" s="125"/>
      <c r="T2463" s="125"/>
      <c r="U2463" s="125"/>
      <c r="V2463" s="125"/>
      <c r="W2463" s="125"/>
      <c r="X2463" s="125"/>
      <c r="Y2463" s="125"/>
      <c r="Z2463" s="127"/>
      <c r="AA2463" s="127"/>
      <c r="AB2463" s="127"/>
      <c r="AC2463" s="127"/>
      <c r="AD2463" s="261"/>
      <c r="AE2463" s="261"/>
      <c r="AF2463" s="261"/>
      <c r="AG2463" s="261"/>
    </row>
    <row r="2464" ht="34.5" hidden="1" customHeight="1">
      <c r="A2464" s="111"/>
      <c r="B2464" s="127"/>
      <c r="C2464" s="111"/>
      <c r="D2464" s="111"/>
      <c r="E2464" s="111"/>
      <c r="F2464" s="111"/>
      <c r="G2464" s="111"/>
      <c r="H2464" s="111"/>
      <c r="I2464" s="127"/>
      <c r="J2464" s="111"/>
      <c r="K2464" s="111"/>
      <c r="L2464" s="111"/>
      <c r="M2464" s="127"/>
      <c r="N2464" s="270"/>
      <c r="O2464" s="111"/>
      <c r="P2464" s="111"/>
      <c r="Q2464" s="127"/>
      <c r="R2464" s="124"/>
      <c r="S2464" s="125"/>
      <c r="T2464" s="125"/>
      <c r="U2464" s="125"/>
      <c r="V2464" s="125"/>
      <c r="W2464" s="125"/>
      <c r="X2464" s="125"/>
      <c r="Y2464" s="125"/>
      <c r="Z2464" s="127"/>
      <c r="AA2464" s="127"/>
      <c r="AB2464" s="127"/>
      <c r="AC2464" s="127"/>
      <c r="AD2464" s="261"/>
      <c r="AE2464" s="261"/>
      <c r="AF2464" s="261"/>
      <c r="AG2464" s="261"/>
    </row>
    <row r="2465" ht="34.5" hidden="1" customHeight="1">
      <c r="A2465" s="111"/>
      <c r="B2465" s="127"/>
      <c r="C2465" s="111"/>
      <c r="D2465" s="111"/>
      <c r="E2465" s="111"/>
      <c r="F2465" s="111"/>
      <c r="G2465" s="111"/>
      <c r="H2465" s="111"/>
      <c r="I2465" s="127"/>
      <c r="J2465" s="111"/>
      <c r="K2465" s="111"/>
      <c r="L2465" s="111"/>
      <c r="M2465" s="127"/>
      <c r="N2465" s="270"/>
      <c r="O2465" s="111"/>
      <c r="P2465" s="111"/>
      <c r="Q2465" s="127"/>
      <c r="R2465" s="124"/>
      <c r="S2465" s="125"/>
      <c r="T2465" s="125"/>
      <c r="U2465" s="125"/>
      <c r="V2465" s="125"/>
      <c r="W2465" s="125"/>
      <c r="X2465" s="125"/>
      <c r="Y2465" s="125"/>
      <c r="Z2465" s="127"/>
      <c r="AA2465" s="127"/>
      <c r="AB2465" s="127"/>
      <c r="AC2465" s="127"/>
      <c r="AD2465" s="261"/>
      <c r="AE2465" s="261"/>
      <c r="AF2465" s="261"/>
      <c r="AG2465" s="261"/>
    </row>
    <row r="2466" ht="34.5" hidden="1" customHeight="1">
      <c r="A2466" s="111"/>
      <c r="B2466" s="127"/>
      <c r="C2466" s="111"/>
      <c r="D2466" s="111"/>
      <c r="E2466" s="111"/>
      <c r="F2466" s="111"/>
      <c r="G2466" s="111"/>
      <c r="H2466" s="111"/>
      <c r="I2466" s="127"/>
      <c r="J2466" s="111"/>
      <c r="K2466" s="111"/>
      <c r="L2466" s="111"/>
      <c r="M2466" s="127"/>
      <c r="N2466" s="270"/>
      <c r="O2466" s="111"/>
      <c r="P2466" s="111"/>
      <c r="Q2466" s="127"/>
      <c r="R2466" s="124"/>
      <c r="S2466" s="125"/>
      <c r="T2466" s="125"/>
      <c r="U2466" s="125"/>
      <c r="V2466" s="125"/>
      <c r="W2466" s="125"/>
      <c r="X2466" s="125"/>
      <c r="Y2466" s="125"/>
      <c r="Z2466" s="127"/>
      <c r="AA2466" s="127"/>
      <c r="AB2466" s="127"/>
      <c r="AC2466" s="127"/>
      <c r="AD2466" s="261"/>
      <c r="AE2466" s="261"/>
      <c r="AF2466" s="261"/>
      <c r="AG2466" s="261"/>
    </row>
    <row r="2467" ht="34.5" hidden="1" customHeight="1">
      <c r="A2467" s="111"/>
      <c r="B2467" s="127"/>
      <c r="C2467" s="111"/>
      <c r="D2467" s="111"/>
      <c r="E2467" s="111"/>
      <c r="F2467" s="111"/>
      <c r="G2467" s="111"/>
      <c r="H2467" s="111"/>
      <c r="I2467" s="127"/>
      <c r="J2467" s="111"/>
      <c r="K2467" s="111"/>
      <c r="L2467" s="111"/>
      <c r="M2467" s="127"/>
      <c r="N2467" s="270"/>
      <c r="O2467" s="111"/>
      <c r="P2467" s="111"/>
      <c r="Q2467" s="127"/>
      <c r="R2467" s="124"/>
      <c r="S2467" s="125"/>
      <c r="T2467" s="125"/>
      <c r="U2467" s="125"/>
      <c r="V2467" s="125"/>
      <c r="W2467" s="125"/>
      <c r="X2467" s="125"/>
      <c r="Y2467" s="125"/>
      <c r="Z2467" s="127"/>
      <c r="AA2467" s="127"/>
      <c r="AB2467" s="127"/>
      <c r="AC2467" s="127"/>
      <c r="AD2467" s="261"/>
      <c r="AE2467" s="261"/>
      <c r="AF2467" s="261"/>
      <c r="AG2467" s="261"/>
    </row>
    <row r="2468" ht="34.5" hidden="1" customHeight="1">
      <c r="A2468" s="111"/>
      <c r="B2468" s="127"/>
      <c r="C2468" s="111"/>
      <c r="D2468" s="111"/>
      <c r="E2468" s="111"/>
      <c r="F2468" s="111"/>
      <c r="G2468" s="111"/>
      <c r="H2468" s="111"/>
      <c r="I2468" s="127"/>
      <c r="J2468" s="111"/>
      <c r="K2468" s="111"/>
      <c r="L2468" s="111"/>
      <c r="M2468" s="127"/>
      <c r="N2468" s="270"/>
      <c r="O2468" s="111"/>
      <c r="P2468" s="111"/>
      <c r="Q2468" s="127"/>
      <c r="R2468" s="124"/>
      <c r="S2468" s="125"/>
      <c r="T2468" s="125"/>
      <c r="U2468" s="125"/>
      <c r="V2468" s="125"/>
      <c r="W2468" s="125"/>
      <c r="X2468" s="125"/>
      <c r="Y2468" s="125"/>
      <c r="Z2468" s="127"/>
      <c r="AA2468" s="127"/>
      <c r="AB2468" s="127"/>
      <c r="AC2468" s="127"/>
      <c r="AD2468" s="261"/>
      <c r="AE2468" s="261"/>
      <c r="AF2468" s="261"/>
      <c r="AG2468" s="261"/>
    </row>
    <row r="2469" ht="34.5" hidden="1" customHeight="1">
      <c r="A2469" s="111"/>
      <c r="B2469" s="127"/>
      <c r="C2469" s="111"/>
      <c r="D2469" s="111"/>
      <c r="E2469" s="111"/>
      <c r="F2469" s="111"/>
      <c r="G2469" s="111"/>
      <c r="H2469" s="111"/>
      <c r="I2469" s="127"/>
      <c r="J2469" s="111"/>
      <c r="K2469" s="111"/>
      <c r="L2469" s="111"/>
      <c r="M2469" s="127"/>
      <c r="N2469" s="270"/>
      <c r="O2469" s="111"/>
      <c r="P2469" s="111"/>
      <c r="Q2469" s="127"/>
      <c r="R2469" s="124"/>
      <c r="S2469" s="125"/>
      <c r="T2469" s="125"/>
      <c r="U2469" s="125"/>
      <c r="V2469" s="125"/>
      <c r="W2469" s="125"/>
      <c r="X2469" s="125"/>
      <c r="Y2469" s="125"/>
      <c r="Z2469" s="127"/>
      <c r="AA2469" s="127"/>
      <c r="AB2469" s="127"/>
      <c r="AC2469" s="127"/>
      <c r="AD2469" s="261"/>
      <c r="AE2469" s="261"/>
      <c r="AF2469" s="261"/>
      <c r="AG2469" s="261"/>
    </row>
    <row r="2470" ht="34.5" hidden="1" customHeight="1">
      <c r="A2470" s="111"/>
      <c r="B2470" s="127"/>
      <c r="C2470" s="111"/>
      <c r="D2470" s="111"/>
      <c r="E2470" s="111"/>
      <c r="F2470" s="111"/>
      <c r="G2470" s="111"/>
      <c r="H2470" s="111"/>
      <c r="I2470" s="127"/>
      <c r="J2470" s="111"/>
      <c r="K2470" s="111"/>
      <c r="L2470" s="111"/>
      <c r="M2470" s="127"/>
      <c r="N2470" s="270"/>
      <c r="O2470" s="111"/>
      <c r="P2470" s="111"/>
      <c r="Q2470" s="127"/>
      <c r="R2470" s="124"/>
      <c r="S2470" s="125"/>
      <c r="T2470" s="125"/>
      <c r="U2470" s="125"/>
      <c r="V2470" s="125"/>
      <c r="W2470" s="125"/>
      <c r="X2470" s="125"/>
      <c r="Y2470" s="125"/>
      <c r="Z2470" s="127"/>
      <c r="AA2470" s="127"/>
      <c r="AB2470" s="127"/>
      <c r="AC2470" s="127"/>
      <c r="AD2470" s="261"/>
      <c r="AE2470" s="261"/>
      <c r="AF2470" s="261"/>
      <c r="AG2470" s="261"/>
    </row>
    <row r="2471" ht="34.5" hidden="1" customHeight="1">
      <c r="A2471" s="111"/>
      <c r="B2471" s="127"/>
      <c r="C2471" s="111"/>
      <c r="D2471" s="111"/>
      <c r="E2471" s="111"/>
      <c r="F2471" s="111"/>
      <c r="G2471" s="111"/>
      <c r="H2471" s="111"/>
      <c r="I2471" s="127"/>
      <c r="J2471" s="111"/>
      <c r="K2471" s="111"/>
      <c r="L2471" s="111"/>
      <c r="M2471" s="127"/>
      <c r="N2471" s="270"/>
      <c r="O2471" s="111"/>
      <c r="P2471" s="111"/>
      <c r="Q2471" s="127"/>
      <c r="R2471" s="124"/>
      <c r="S2471" s="125"/>
      <c r="T2471" s="125"/>
      <c r="U2471" s="125"/>
      <c r="V2471" s="125"/>
      <c r="W2471" s="125"/>
      <c r="X2471" s="125"/>
      <c r="Y2471" s="125"/>
      <c r="Z2471" s="127"/>
      <c r="AA2471" s="127"/>
      <c r="AB2471" s="127"/>
      <c r="AC2471" s="127"/>
      <c r="AD2471" s="261"/>
      <c r="AE2471" s="261"/>
      <c r="AF2471" s="261"/>
      <c r="AG2471" s="261"/>
    </row>
    <row r="2472" ht="34.5" hidden="1" customHeight="1">
      <c r="A2472" s="111"/>
      <c r="B2472" s="127"/>
      <c r="C2472" s="111"/>
      <c r="D2472" s="111"/>
      <c r="E2472" s="111"/>
      <c r="F2472" s="111"/>
      <c r="G2472" s="111"/>
      <c r="H2472" s="111"/>
      <c r="I2472" s="127"/>
      <c r="J2472" s="111"/>
      <c r="K2472" s="111"/>
      <c r="L2472" s="111"/>
      <c r="M2472" s="127"/>
      <c r="N2472" s="270"/>
      <c r="O2472" s="111"/>
      <c r="P2472" s="111"/>
      <c r="Q2472" s="127"/>
      <c r="R2472" s="124"/>
      <c r="S2472" s="125"/>
      <c r="T2472" s="125"/>
      <c r="U2472" s="125"/>
      <c r="V2472" s="125"/>
      <c r="W2472" s="125"/>
      <c r="X2472" s="125"/>
      <c r="Y2472" s="125"/>
      <c r="Z2472" s="127"/>
      <c r="AA2472" s="127"/>
      <c r="AB2472" s="127"/>
      <c r="AC2472" s="127"/>
      <c r="AD2472" s="261"/>
      <c r="AE2472" s="261"/>
      <c r="AF2472" s="261"/>
      <c r="AG2472" s="261"/>
    </row>
    <row r="2473" ht="34.5" hidden="1" customHeight="1">
      <c r="A2473" s="111"/>
      <c r="B2473" s="127"/>
      <c r="C2473" s="111"/>
      <c r="D2473" s="111"/>
      <c r="E2473" s="111"/>
      <c r="F2473" s="111"/>
      <c r="G2473" s="111"/>
      <c r="H2473" s="111"/>
      <c r="I2473" s="127"/>
      <c r="J2473" s="111"/>
      <c r="K2473" s="111"/>
      <c r="L2473" s="111"/>
      <c r="M2473" s="127"/>
      <c r="N2473" s="270"/>
      <c r="O2473" s="111"/>
      <c r="P2473" s="111"/>
      <c r="Q2473" s="127"/>
      <c r="R2473" s="124"/>
      <c r="S2473" s="125"/>
      <c r="T2473" s="125"/>
      <c r="U2473" s="125"/>
      <c r="V2473" s="125"/>
      <c r="W2473" s="125"/>
      <c r="X2473" s="125"/>
      <c r="Y2473" s="125"/>
      <c r="Z2473" s="127"/>
      <c r="AA2473" s="127"/>
      <c r="AB2473" s="127"/>
      <c r="AC2473" s="127"/>
      <c r="AD2473" s="261"/>
      <c r="AE2473" s="261"/>
      <c r="AF2473" s="261"/>
      <c r="AG2473" s="261"/>
    </row>
    <row r="2474" ht="34.5" hidden="1" customHeight="1">
      <c r="A2474" s="111"/>
      <c r="B2474" s="127"/>
      <c r="C2474" s="111"/>
      <c r="D2474" s="111"/>
      <c r="E2474" s="111"/>
      <c r="F2474" s="111"/>
      <c r="G2474" s="111"/>
      <c r="H2474" s="111"/>
      <c r="I2474" s="127"/>
      <c r="J2474" s="111"/>
      <c r="K2474" s="111"/>
      <c r="L2474" s="111"/>
      <c r="M2474" s="127"/>
      <c r="N2474" s="270"/>
      <c r="O2474" s="111"/>
      <c r="P2474" s="111"/>
      <c r="Q2474" s="127"/>
      <c r="R2474" s="124"/>
      <c r="S2474" s="125"/>
      <c r="T2474" s="125"/>
      <c r="U2474" s="125"/>
      <c r="V2474" s="125"/>
      <c r="W2474" s="125"/>
      <c r="X2474" s="125"/>
      <c r="Y2474" s="125"/>
      <c r="Z2474" s="127"/>
      <c r="AA2474" s="127"/>
      <c r="AB2474" s="127"/>
      <c r="AC2474" s="127"/>
      <c r="AD2474" s="261"/>
      <c r="AE2474" s="261"/>
      <c r="AF2474" s="261"/>
      <c r="AG2474" s="261"/>
    </row>
    <row r="2475" ht="34.5" hidden="1" customHeight="1">
      <c r="A2475" s="111"/>
      <c r="B2475" s="127"/>
      <c r="C2475" s="111"/>
      <c r="D2475" s="111"/>
      <c r="E2475" s="111"/>
      <c r="F2475" s="111"/>
      <c r="G2475" s="111"/>
      <c r="H2475" s="111"/>
      <c r="I2475" s="127"/>
      <c r="J2475" s="111"/>
      <c r="K2475" s="111"/>
      <c r="L2475" s="111"/>
      <c r="M2475" s="127"/>
      <c r="N2475" s="270"/>
      <c r="O2475" s="111"/>
      <c r="P2475" s="111"/>
      <c r="Q2475" s="127"/>
      <c r="R2475" s="124"/>
      <c r="S2475" s="125"/>
      <c r="T2475" s="125"/>
      <c r="U2475" s="125"/>
      <c r="V2475" s="125"/>
      <c r="W2475" s="125"/>
      <c r="X2475" s="125"/>
      <c r="Y2475" s="125"/>
      <c r="Z2475" s="127"/>
      <c r="AA2475" s="127"/>
      <c r="AB2475" s="127"/>
      <c r="AC2475" s="127"/>
      <c r="AD2475" s="261"/>
      <c r="AE2475" s="261"/>
      <c r="AF2475" s="261"/>
      <c r="AG2475" s="261"/>
    </row>
    <row r="2476" ht="34.5" hidden="1" customHeight="1">
      <c r="A2476" s="111"/>
      <c r="B2476" s="127"/>
      <c r="C2476" s="111"/>
      <c r="D2476" s="111"/>
      <c r="E2476" s="111"/>
      <c r="F2476" s="111"/>
      <c r="G2476" s="111"/>
      <c r="H2476" s="111"/>
      <c r="I2476" s="127"/>
      <c r="J2476" s="111"/>
      <c r="K2476" s="111"/>
      <c r="L2476" s="111"/>
      <c r="M2476" s="127"/>
      <c r="N2476" s="270"/>
      <c r="O2476" s="111"/>
      <c r="P2476" s="111"/>
      <c r="Q2476" s="127"/>
      <c r="R2476" s="124"/>
      <c r="S2476" s="125"/>
      <c r="T2476" s="125"/>
      <c r="U2476" s="125"/>
      <c r="V2476" s="125"/>
      <c r="W2476" s="125"/>
      <c r="X2476" s="125"/>
      <c r="Y2476" s="125"/>
      <c r="Z2476" s="127"/>
      <c r="AA2476" s="127"/>
      <c r="AB2476" s="127"/>
      <c r="AC2476" s="127"/>
      <c r="AD2476" s="261"/>
      <c r="AE2476" s="261"/>
      <c r="AF2476" s="261"/>
      <c r="AG2476" s="261"/>
    </row>
    <row r="2477" ht="34.5" hidden="1" customHeight="1">
      <c r="A2477" s="111"/>
      <c r="B2477" s="127"/>
      <c r="C2477" s="111"/>
      <c r="D2477" s="111"/>
      <c r="E2477" s="111"/>
      <c r="F2477" s="111"/>
      <c r="G2477" s="111"/>
      <c r="H2477" s="111"/>
      <c r="I2477" s="127"/>
      <c r="J2477" s="111"/>
      <c r="K2477" s="111"/>
      <c r="L2477" s="111"/>
      <c r="M2477" s="127"/>
      <c r="N2477" s="270"/>
      <c r="O2477" s="111"/>
      <c r="P2477" s="111"/>
      <c r="Q2477" s="127"/>
      <c r="R2477" s="124"/>
      <c r="S2477" s="125"/>
      <c r="T2477" s="125"/>
      <c r="U2477" s="125"/>
      <c r="V2477" s="125"/>
      <c r="W2477" s="125"/>
      <c r="X2477" s="125"/>
      <c r="Y2477" s="125"/>
      <c r="Z2477" s="127"/>
      <c r="AA2477" s="127"/>
      <c r="AB2477" s="127"/>
      <c r="AC2477" s="127"/>
      <c r="AD2477" s="261"/>
      <c r="AE2477" s="261"/>
      <c r="AF2477" s="261"/>
      <c r="AG2477" s="261"/>
    </row>
    <row r="2478" ht="34.5" hidden="1" customHeight="1">
      <c r="A2478" s="111"/>
      <c r="B2478" s="127"/>
      <c r="C2478" s="111"/>
      <c r="D2478" s="111"/>
      <c r="E2478" s="111"/>
      <c r="F2478" s="111"/>
      <c r="G2478" s="111"/>
      <c r="H2478" s="111"/>
      <c r="I2478" s="127"/>
      <c r="J2478" s="111"/>
      <c r="K2478" s="111"/>
      <c r="L2478" s="111"/>
      <c r="M2478" s="127"/>
      <c r="N2478" s="270"/>
      <c r="O2478" s="111"/>
      <c r="P2478" s="111"/>
      <c r="Q2478" s="127"/>
      <c r="R2478" s="124"/>
      <c r="S2478" s="125"/>
      <c r="T2478" s="125"/>
      <c r="U2478" s="125"/>
      <c r="V2478" s="125"/>
      <c r="W2478" s="125"/>
      <c r="X2478" s="125"/>
      <c r="Y2478" s="125"/>
      <c r="Z2478" s="127"/>
      <c r="AA2478" s="127"/>
      <c r="AB2478" s="127"/>
      <c r="AC2478" s="127"/>
      <c r="AD2478" s="261"/>
      <c r="AE2478" s="261"/>
      <c r="AF2478" s="261"/>
      <c r="AG2478" s="261"/>
    </row>
    <row r="2479" ht="34.5" hidden="1" customHeight="1">
      <c r="A2479" s="111"/>
      <c r="B2479" s="127"/>
      <c r="C2479" s="111"/>
      <c r="D2479" s="111"/>
      <c r="E2479" s="111"/>
      <c r="F2479" s="111"/>
      <c r="G2479" s="111"/>
      <c r="H2479" s="111"/>
      <c r="I2479" s="127"/>
      <c r="J2479" s="111"/>
      <c r="K2479" s="111"/>
      <c r="L2479" s="111"/>
      <c r="M2479" s="127"/>
      <c r="N2479" s="270"/>
      <c r="O2479" s="111"/>
      <c r="P2479" s="111"/>
      <c r="Q2479" s="127"/>
      <c r="R2479" s="124"/>
      <c r="S2479" s="125"/>
      <c r="T2479" s="125"/>
      <c r="U2479" s="125"/>
      <c r="V2479" s="125"/>
      <c r="W2479" s="125"/>
      <c r="X2479" s="125"/>
      <c r="Y2479" s="125"/>
      <c r="Z2479" s="127"/>
      <c r="AA2479" s="127"/>
      <c r="AB2479" s="127"/>
      <c r="AC2479" s="127"/>
      <c r="AD2479" s="261"/>
      <c r="AE2479" s="261"/>
      <c r="AF2479" s="261"/>
      <c r="AG2479" s="261"/>
    </row>
    <row r="2480" ht="34.5" hidden="1" customHeight="1">
      <c r="A2480" s="111"/>
      <c r="B2480" s="127"/>
      <c r="C2480" s="111"/>
      <c r="D2480" s="111"/>
      <c r="E2480" s="111"/>
      <c r="F2480" s="111"/>
      <c r="G2480" s="111"/>
      <c r="H2480" s="111"/>
      <c r="I2480" s="127"/>
      <c r="J2480" s="111"/>
      <c r="K2480" s="111"/>
      <c r="L2480" s="111"/>
      <c r="M2480" s="127"/>
      <c r="N2480" s="270"/>
      <c r="O2480" s="111"/>
      <c r="P2480" s="111"/>
      <c r="Q2480" s="127"/>
      <c r="R2480" s="124"/>
      <c r="S2480" s="125"/>
      <c r="T2480" s="125"/>
      <c r="U2480" s="125"/>
      <c r="V2480" s="125"/>
      <c r="W2480" s="125"/>
      <c r="X2480" s="125"/>
      <c r="Y2480" s="125"/>
      <c r="Z2480" s="127"/>
      <c r="AA2480" s="127"/>
      <c r="AB2480" s="127"/>
      <c r="AC2480" s="127"/>
      <c r="AD2480" s="261"/>
      <c r="AE2480" s="261"/>
      <c r="AF2480" s="261"/>
      <c r="AG2480" s="261"/>
    </row>
    <row r="2481" ht="34.5" hidden="1" customHeight="1">
      <c r="A2481" s="111"/>
      <c r="B2481" s="127"/>
      <c r="C2481" s="111"/>
      <c r="D2481" s="111"/>
      <c r="E2481" s="111"/>
      <c r="F2481" s="111"/>
      <c r="G2481" s="111"/>
      <c r="H2481" s="111"/>
      <c r="I2481" s="127"/>
      <c r="J2481" s="111"/>
      <c r="K2481" s="111"/>
      <c r="L2481" s="111"/>
      <c r="M2481" s="127"/>
      <c r="N2481" s="270"/>
      <c r="O2481" s="111"/>
      <c r="P2481" s="111"/>
      <c r="Q2481" s="127"/>
      <c r="R2481" s="124"/>
      <c r="S2481" s="125"/>
      <c r="T2481" s="125"/>
      <c r="U2481" s="125"/>
      <c r="V2481" s="125"/>
      <c r="W2481" s="125"/>
      <c r="X2481" s="125"/>
      <c r="Y2481" s="125"/>
      <c r="Z2481" s="127"/>
      <c r="AA2481" s="127"/>
      <c r="AB2481" s="127"/>
      <c r="AC2481" s="127"/>
      <c r="AD2481" s="261"/>
      <c r="AE2481" s="261"/>
      <c r="AF2481" s="261"/>
      <c r="AG2481" s="261"/>
    </row>
    <row r="2482" ht="34.5" hidden="1" customHeight="1">
      <c r="A2482" s="111"/>
      <c r="B2482" s="127"/>
      <c r="C2482" s="111"/>
      <c r="D2482" s="111"/>
      <c r="E2482" s="111"/>
      <c r="F2482" s="111"/>
      <c r="G2482" s="111"/>
      <c r="H2482" s="111"/>
      <c r="I2482" s="127"/>
      <c r="J2482" s="111"/>
      <c r="K2482" s="111"/>
      <c r="L2482" s="111"/>
      <c r="M2482" s="127"/>
      <c r="N2482" s="270"/>
      <c r="O2482" s="111"/>
      <c r="P2482" s="111"/>
      <c r="Q2482" s="127"/>
      <c r="R2482" s="124"/>
      <c r="S2482" s="125"/>
      <c r="T2482" s="125"/>
      <c r="U2482" s="125"/>
      <c r="V2482" s="125"/>
      <c r="W2482" s="125"/>
      <c r="X2482" s="125"/>
      <c r="Y2482" s="125"/>
      <c r="Z2482" s="127"/>
      <c r="AA2482" s="127"/>
      <c r="AB2482" s="127"/>
      <c r="AC2482" s="127"/>
      <c r="AD2482" s="261"/>
      <c r="AE2482" s="261"/>
      <c r="AF2482" s="261"/>
      <c r="AG2482" s="261"/>
    </row>
    <row r="2483" ht="34.5" hidden="1" customHeight="1">
      <c r="A2483" s="111"/>
      <c r="B2483" s="127"/>
      <c r="C2483" s="111"/>
      <c r="D2483" s="111"/>
      <c r="E2483" s="111"/>
      <c r="F2483" s="111"/>
      <c r="G2483" s="111"/>
      <c r="H2483" s="111"/>
      <c r="I2483" s="127"/>
      <c r="J2483" s="111"/>
      <c r="K2483" s="111"/>
      <c r="L2483" s="111"/>
      <c r="M2483" s="127"/>
      <c r="N2483" s="270"/>
      <c r="O2483" s="111"/>
      <c r="P2483" s="111"/>
      <c r="Q2483" s="127"/>
      <c r="R2483" s="124"/>
      <c r="S2483" s="125"/>
      <c r="T2483" s="125"/>
      <c r="U2483" s="125"/>
      <c r="V2483" s="125"/>
      <c r="W2483" s="125"/>
      <c r="X2483" s="125"/>
      <c r="Y2483" s="125"/>
      <c r="Z2483" s="127"/>
      <c r="AA2483" s="127"/>
      <c r="AB2483" s="127"/>
      <c r="AC2483" s="127"/>
      <c r="AD2483" s="261"/>
      <c r="AE2483" s="261"/>
      <c r="AF2483" s="261"/>
      <c r="AG2483" s="261"/>
    </row>
    <row r="2484" ht="34.5" hidden="1" customHeight="1">
      <c r="A2484" s="111"/>
      <c r="B2484" s="127"/>
      <c r="C2484" s="111"/>
      <c r="D2484" s="111"/>
      <c r="E2484" s="111"/>
      <c r="F2484" s="111"/>
      <c r="G2484" s="111"/>
      <c r="H2484" s="111"/>
      <c r="I2484" s="127"/>
      <c r="J2484" s="111"/>
      <c r="K2484" s="111"/>
      <c r="L2484" s="111"/>
      <c r="M2484" s="127"/>
      <c r="N2484" s="270"/>
      <c r="O2484" s="111"/>
      <c r="P2484" s="111"/>
      <c r="Q2484" s="127"/>
      <c r="R2484" s="124"/>
      <c r="S2484" s="125"/>
      <c r="T2484" s="125"/>
      <c r="U2484" s="125"/>
      <c r="V2484" s="125"/>
      <c r="W2484" s="125"/>
      <c r="X2484" s="125"/>
      <c r="Y2484" s="125"/>
      <c r="Z2484" s="127"/>
      <c r="AA2484" s="127"/>
      <c r="AB2484" s="127"/>
      <c r="AC2484" s="127"/>
      <c r="AD2484" s="261"/>
      <c r="AE2484" s="261"/>
      <c r="AF2484" s="261"/>
      <c r="AG2484" s="261"/>
    </row>
    <row r="2485" ht="34.5" hidden="1" customHeight="1">
      <c r="A2485" s="111"/>
      <c r="B2485" s="127"/>
      <c r="C2485" s="111"/>
      <c r="D2485" s="111"/>
      <c r="E2485" s="111"/>
      <c r="F2485" s="111"/>
      <c r="G2485" s="111"/>
      <c r="H2485" s="111"/>
      <c r="I2485" s="127"/>
      <c r="J2485" s="111"/>
      <c r="K2485" s="111"/>
      <c r="L2485" s="111"/>
      <c r="M2485" s="127"/>
      <c r="N2485" s="270"/>
      <c r="O2485" s="111"/>
      <c r="P2485" s="111"/>
      <c r="Q2485" s="127"/>
      <c r="R2485" s="124"/>
      <c r="S2485" s="125"/>
      <c r="T2485" s="125"/>
      <c r="U2485" s="125"/>
      <c r="V2485" s="125"/>
      <c r="W2485" s="125"/>
      <c r="X2485" s="125"/>
      <c r="Y2485" s="125"/>
      <c r="Z2485" s="127"/>
      <c r="AA2485" s="127"/>
      <c r="AB2485" s="127"/>
      <c r="AC2485" s="127"/>
      <c r="AD2485" s="261"/>
      <c r="AE2485" s="261"/>
      <c r="AF2485" s="261"/>
      <c r="AG2485" s="261"/>
    </row>
    <row r="2486" ht="34.5" hidden="1" customHeight="1">
      <c r="A2486" s="111"/>
      <c r="B2486" s="127"/>
      <c r="C2486" s="111"/>
      <c r="D2486" s="111"/>
      <c r="E2486" s="111"/>
      <c r="F2486" s="111"/>
      <c r="G2486" s="111"/>
      <c r="H2486" s="111"/>
      <c r="I2486" s="127"/>
      <c r="J2486" s="111"/>
      <c r="K2486" s="111"/>
      <c r="L2486" s="111"/>
      <c r="M2486" s="127"/>
      <c r="N2486" s="270"/>
      <c r="O2486" s="111"/>
      <c r="P2486" s="111"/>
      <c r="Q2486" s="127"/>
      <c r="R2486" s="124"/>
      <c r="S2486" s="125"/>
      <c r="T2486" s="125"/>
      <c r="U2486" s="125"/>
      <c r="V2486" s="125"/>
      <c r="W2486" s="125"/>
      <c r="X2486" s="125"/>
      <c r="Y2486" s="125"/>
      <c r="Z2486" s="127"/>
      <c r="AA2486" s="127"/>
      <c r="AB2486" s="127"/>
      <c r="AC2486" s="127"/>
      <c r="AD2486" s="261"/>
      <c r="AE2486" s="261"/>
      <c r="AF2486" s="261"/>
      <c r="AG2486" s="261"/>
    </row>
    <row r="2487" ht="34.5" hidden="1" customHeight="1">
      <c r="A2487" s="111"/>
      <c r="B2487" s="127"/>
      <c r="C2487" s="111"/>
      <c r="D2487" s="111"/>
      <c r="E2487" s="111"/>
      <c r="F2487" s="111"/>
      <c r="G2487" s="111"/>
      <c r="H2487" s="111"/>
      <c r="I2487" s="127"/>
      <c r="J2487" s="111"/>
      <c r="K2487" s="111"/>
      <c r="L2487" s="111"/>
      <c r="M2487" s="127"/>
      <c r="N2487" s="270"/>
      <c r="O2487" s="111"/>
      <c r="P2487" s="111"/>
      <c r="Q2487" s="127"/>
      <c r="R2487" s="124"/>
      <c r="S2487" s="125"/>
      <c r="T2487" s="125"/>
      <c r="U2487" s="125"/>
      <c r="V2487" s="125"/>
      <c r="W2487" s="125"/>
      <c r="X2487" s="125"/>
      <c r="Y2487" s="125"/>
      <c r="Z2487" s="127"/>
      <c r="AA2487" s="127"/>
      <c r="AB2487" s="127"/>
      <c r="AC2487" s="127"/>
      <c r="AD2487" s="261"/>
      <c r="AE2487" s="261"/>
      <c r="AF2487" s="261"/>
      <c r="AG2487" s="261"/>
    </row>
    <row r="2488" ht="34.5" hidden="1" customHeight="1">
      <c r="A2488" s="111"/>
      <c r="B2488" s="127"/>
      <c r="C2488" s="111"/>
      <c r="D2488" s="111"/>
      <c r="E2488" s="111"/>
      <c r="F2488" s="111"/>
      <c r="G2488" s="111"/>
      <c r="H2488" s="111"/>
      <c r="I2488" s="127"/>
      <c r="J2488" s="111"/>
      <c r="K2488" s="111"/>
      <c r="L2488" s="111"/>
      <c r="M2488" s="127"/>
      <c r="N2488" s="270"/>
      <c r="O2488" s="111"/>
      <c r="P2488" s="111"/>
      <c r="Q2488" s="127"/>
      <c r="R2488" s="124"/>
      <c r="S2488" s="125"/>
      <c r="T2488" s="125"/>
      <c r="U2488" s="125"/>
      <c r="V2488" s="125"/>
      <c r="W2488" s="125"/>
      <c r="X2488" s="125"/>
      <c r="Y2488" s="125"/>
      <c r="Z2488" s="127"/>
      <c r="AA2488" s="127"/>
      <c r="AB2488" s="127"/>
      <c r="AC2488" s="127"/>
      <c r="AD2488" s="261"/>
      <c r="AE2488" s="261"/>
      <c r="AF2488" s="261"/>
      <c r="AG2488" s="261"/>
    </row>
    <row r="2489" ht="34.5" hidden="1" customHeight="1">
      <c r="A2489" s="111"/>
      <c r="B2489" s="127"/>
      <c r="C2489" s="111"/>
      <c r="D2489" s="111"/>
      <c r="E2489" s="111"/>
      <c r="F2489" s="111"/>
      <c r="G2489" s="111"/>
      <c r="H2489" s="111"/>
      <c r="I2489" s="127"/>
      <c r="J2489" s="111"/>
      <c r="K2489" s="111"/>
      <c r="L2489" s="111"/>
      <c r="M2489" s="127"/>
      <c r="N2489" s="270"/>
      <c r="O2489" s="111"/>
      <c r="P2489" s="111"/>
      <c r="Q2489" s="127"/>
      <c r="R2489" s="124"/>
      <c r="S2489" s="125"/>
      <c r="T2489" s="125"/>
      <c r="U2489" s="125"/>
      <c r="V2489" s="125"/>
      <c r="W2489" s="125"/>
      <c r="X2489" s="125"/>
      <c r="Y2489" s="125"/>
      <c r="Z2489" s="127"/>
      <c r="AA2489" s="127"/>
      <c r="AB2489" s="127"/>
      <c r="AC2489" s="127"/>
      <c r="AD2489" s="261"/>
      <c r="AE2489" s="261"/>
      <c r="AF2489" s="261"/>
      <c r="AG2489" s="261"/>
    </row>
    <row r="2490" ht="34.5" hidden="1" customHeight="1">
      <c r="A2490" s="111"/>
      <c r="B2490" s="127"/>
      <c r="C2490" s="111"/>
      <c r="D2490" s="111"/>
      <c r="E2490" s="111"/>
      <c r="F2490" s="111"/>
      <c r="G2490" s="111"/>
      <c r="H2490" s="111"/>
      <c r="I2490" s="127"/>
      <c r="J2490" s="111"/>
      <c r="K2490" s="111"/>
      <c r="L2490" s="111"/>
      <c r="M2490" s="127"/>
      <c r="N2490" s="270"/>
      <c r="O2490" s="111"/>
      <c r="P2490" s="111"/>
      <c r="Q2490" s="127"/>
      <c r="R2490" s="124"/>
      <c r="S2490" s="125"/>
      <c r="T2490" s="125"/>
      <c r="U2490" s="125"/>
      <c r="V2490" s="125"/>
      <c r="W2490" s="125"/>
      <c r="X2490" s="125"/>
      <c r="Y2490" s="125"/>
      <c r="Z2490" s="127"/>
      <c r="AA2490" s="127"/>
      <c r="AB2490" s="127"/>
      <c r="AC2490" s="127"/>
      <c r="AD2490" s="261"/>
      <c r="AE2490" s="261"/>
      <c r="AF2490" s="261"/>
      <c r="AG2490" s="261"/>
    </row>
    <row r="2491" ht="34.5" hidden="1" customHeight="1">
      <c r="A2491" s="111"/>
      <c r="B2491" s="127"/>
      <c r="C2491" s="111"/>
      <c r="D2491" s="111"/>
      <c r="E2491" s="111"/>
      <c r="F2491" s="111"/>
      <c r="G2491" s="111"/>
      <c r="H2491" s="111"/>
      <c r="I2491" s="127"/>
      <c r="J2491" s="111"/>
      <c r="K2491" s="111"/>
      <c r="L2491" s="111"/>
      <c r="M2491" s="127"/>
      <c r="N2491" s="270"/>
      <c r="O2491" s="111"/>
      <c r="P2491" s="111"/>
      <c r="Q2491" s="127"/>
      <c r="R2491" s="124"/>
      <c r="S2491" s="125"/>
      <c r="T2491" s="125"/>
      <c r="U2491" s="125"/>
      <c r="V2491" s="125"/>
      <c r="W2491" s="125"/>
      <c r="X2491" s="125"/>
      <c r="Y2491" s="125"/>
      <c r="Z2491" s="127"/>
      <c r="AA2491" s="127"/>
      <c r="AB2491" s="127"/>
      <c r="AC2491" s="127"/>
      <c r="AD2491" s="261"/>
      <c r="AE2491" s="261"/>
      <c r="AF2491" s="261"/>
      <c r="AG2491" s="261"/>
    </row>
    <row r="2492" ht="34.5" hidden="1" customHeight="1">
      <c r="A2492" s="111"/>
      <c r="B2492" s="127"/>
      <c r="C2492" s="111"/>
      <c r="D2492" s="111"/>
      <c r="E2492" s="111"/>
      <c r="F2492" s="111"/>
      <c r="G2492" s="111"/>
      <c r="H2492" s="111"/>
      <c r="I2492" s="127"/>
      <c r="J2492" s="111"/>
      <c r="K2492" s="111"/>
      <c r="L2492" s="111"/>
      <c r="M2492" s="127"/>
      <c r="N2492" s="270"/>
      <c r="O2492" s="111"/>
      <c r="P2492" s="111"/>
      <c r="Q2492" s="127"/>
      <c r="R2492" s="124"/>
      <c r="S2492" s="125"/>
      <c r="T2492" s="125"/>
      <c r="U2492" s="125"/>
      <c r="V2492" s="125"/>
      <c r="W2492" s="125"/>
      <c r="X2492" s="125"/>
      <c r="Y2492" s="125"/>
      <c r="Z2492" s="127"/>
      <c r="AA2492" s="127"/>
      <c r="AB2492" s="127"/>
      <c r="AC2492" s="127"/>
      <c r="AD2492" s="261"/>
      <c r="AE2492" s="261"/>
      <c r="AF2492" s="261"/>
      <c r="AG2492" s="261"/>
    </row>
    <row r="2493" ht="34.5" hidden="1" customHeight="1">
      <c r="A2493" s="111"/>
      <c r="B2493" s="127"/>
      <c r="C2493" s="111"/>
      <c r="D2493" s="111"/>
      <c r="E2493" s="111"/>
      <c r="F2493" s="111"/>
      <c r="G2493" s="111"/>
      <c r="H2493" s="111"/>
      <c r="I2493" s="127"/>
      <c r="J2493" s="111"/>
      <c r="K2493" s="111"/>
      <c r="L2493" s="111"/>
      <c r="M2493" s="127"/>
      <c r="N2493" s="270"/>
      <c r="O2493" s="111"/>
      <c r="P2493" s="111"/>
      <c r="Q2493" s="127"/>
      <c r="R2493" s="124"/>
      <c r="S2493" s="125"/>
      <c r="T2493" s="125"/>
      <c r="U2493" s="125"/>
      <c r="V2493" s="125"/>
      <c r="W2493" s="125"/>
      <c r="X2493" s="125"/>
      <c r="Y2493" s="125"/>
      <c r="Z2493" s="127"/>
      <c r="AA2493" s="127"/>
      <c r="AB2493" s="127"/>
      <c r="AC2493" s="127"/>
      <c r="AD2493" s="261"/>
      <c r="AE2493" s="261"/>
      <c r="AF2493" s="261"/>
      <c r="AG2493" s="261"/>
    </row>
    <row r="2494" ht="34.5" hidden="1" customHeight="1">
      <c r="A2494" s="111"/>
      <c r="B2494" s="127"/>
      <c r="C2494" s="111"/>
      <c r="D2494" s="111"/>
      <c r="E2494" s="111"/>
      <c r="F2494" s="111"/>
      <c r="G2494" s="111"/>
      <c r="H2494" s="111"/>
      <c r="I2494" s="127"/>
      <c r="J2494" s="111"/>
      <c r="K2494" s="111"/>
      <c r="L2494" s="111"/>
      <c r="M2494" s="127"/>
      <c r="N2494" s="270"/>
      <c r="O2494" s="111"/>
      <c r="P2494" s="111"/>
      <c r="Q2494" s="127"/>
      <c r="R2494" s="124"/>
      <c r="S2494" s="125"/>
      <c r="T2494" s="125"/>
      <c r="U2494" s="125"/>
      <c r="V2494" s="125"/>
      <c r="W2494" s="125"/>
      <c r="X2494" s="125"/>
      <c r="Y2494" s="125"/>
      <c r="Z2494" s="127"/>
      <c r="AA2494" s="127"/>
      <c r="AB2494" s="127"/>
      <c r="AC2494" s="127"/>
      <c r="AD2494" s="261"/>
      <c r="AE2494" s="261"/>
      <c r="AF2494" s="261"/>
      <c r="AG2494" s="261"/>
    </row>
    <row r="2495" ht="34.5" hidden="1" customHeight="1">
      <c r="A2495" s="111"/>
      <c r="B2495" s="127"/>
      <c r="C2495" s="111"/>
      <c r="D2495" s="111"/>
      <c r="E2495" s="111"/>
      <c r="F2495" s="111"/>
      <c r="G2495" s="111"/>
      <c r="H2495" s="111"/>
      <c r="I2495" s="127"/>
      <c r="J2495" s="111"/>
      <c r="K2495" s="111"/>
      <c r="L2495" s="111"/>
      <c r="M2495" s="127"/>
      <c r="N2495" s="270"/>
      <c r="O2495" s="111"/>
      <c r="P2495" s="111"/>
      <c r="Q2495" s="127"/>
      <c r="R2495" s="124"/>
      <c r="S2495" s="125"/>
      <c r="T2495" s="125"/>
      <c r="U2495" s="125"/>
      <c r="V2495" s="125"/>
      <c r="W2495" s="125"/>
      <c r="X2495" s="125"/>
      <c r="Y2495" s="125"/>
      <c r="Z2495" s="127"/>
      <c r="AA2495" s="127"/>
      <c r="AB2495" s="127"/>
      <c r="AC2495" s="127"/>
      <c r="AD2495" s="261"/>
      <c r="AE2495" s="261"/>
      <c r="AF2495" s="261"/>
      <c r="AG2495" s="261"/>
    </row>
    <row r="2496" ht="34.5" hidden="1" customHeight="1">
      <c r="A2496" s="111"/>
      <c r="B2496" s="127"/>
      <c r="C2496" s="111"/>
      <c r="D2496" s="111"/>
      <c r="E2496" s="111"/>
      <c r="F2496" s="111"/>
      <c r="G2496" s="111"/>
      <c r="H2496" s="111"/>
      <c r="I2496" s="127"/>
      <c r="J2496" s="111"/>
      <c r="K2496" s="111"/>
      <c r="L2496" s="111"/>
      <c r="M2496" s="127"/>
      <c r="N2496" s="270"/>
      <c r="O2496" s="111"/>
      <c r="P2496" s="111"/>
      <c r="Q2496" s="127"/>
      <c r="R2496" s="124"/>
      <c r="S2496" s="125"/>
      <c r="T2496" s="125"/>
      <c r="U2496" s="125"/>
      <c r="V2496" s="125"/>
      <c r="W2496" s="125"/>
      <c r="X2496" s="125"/>
      <c r="Y2496" s="125"/>
      <c r="Z2496" s="127"/>
      <c r="AA2496" s="127"/>
      <c r="AB2496" s="127"/>
      <c r="AC2496" s="127"/>
      <c r="AD2496" s="261"/>
      <c r="AE2496" s="261"/>
      <c r="AF2496" s="261"/>
      <c r="AG2496" s="261"/>
    </row>
    <row r="2497" ht="34.5" hidden="1" customHeight="1">
      <c r="A2497" s="111"/>
      <c r="B2497" s="127"/>
      <c r="C2497" s="111"/>
      <c r="D2497" s="111"/>
      <c r="E2497" s="111"/>
      <c r="F2497" s="111"/>
      <c r="G2497" s="111"/>
      <c r="H2497" s="111"/>
      <c r="I2497" s="127"/>
      <c r="J2497" s="111"/>
      <c r="K2497" s="111"/>
      <c r="L2497" s="111"/>
      <c r="M2497" s="127"/>
      <c r="N2497" s="270"/>
      <c r="O2497" s="111"/>
      <c r="P2497" s="111"/>
      <c r="Q2497" s="127"/>
      <c r="R2497" s="124"/>
      <c r="S2497" s="125"/>
      <c r="T2497" s="125"/>
      <c r="U2497" s="125"/>
      <c r="V2497" s="125"/>
      <c r="W2497" s="125"/>
      <c r="X2497" s="125"/>
      <c r="Y2497" s="125"/>
      <c r="Z2497" s="127"/>
      <c r="AA2497" s="127"/>
      <c r="AB2497" s="127"/>
      <c r="AC2497" s="127"/>
      <c r="AD2497" s="261"/>
      <c r="AE2497" s="261"/>
      <c r="AF2497" s="261"/>
      <c r="AG2497" s="261"/>
    </row>
    <row r="2498" ht="34.5" hidden="1" customHeight="1">
      <c r="A2498" s="111"/>
      <c r="B2498" s="127"/>
      <c r="C2498" s="111"/>
      <c r="D2498" s="111"/>
      <c r="E2498" s="111"/>
      <c r="F2498" s="111"/>
      <c r="G2498" s="111"/>
      <c r="H2498" s="111"/>
      <c r="I2498" s="127"/>
      <c r="J2498" s="111"/>
      <c r="K2498" s="111"/>
      <c r="L2498" s="111"/>
      <c r="M2498" s="127"/>
      <c r="N2498" s="270"/>
      <c r="O2498" s="111"/>
      <c r="P2498" s="111"/>
      <c r="Q2498" s="127"/>
      <c r="R2498" s="124"/>
      <c r="S2498" s="125"/>
      <c r="T2498" s="125"/>
      <c r="U2498" s="125"/>
      <c r="V2498" s="125"/>
      <c r="W2498" s="125"/>
      <c r="X2498" s="125"/>
      <c r="Y2498" s="125"/>
      <c r="Z2498" s="127"/>
      <c r="AA2498" s="127"/>
      <c r="AB2498" s="127"/>
      <c r="AC2498" s="127"/>
      <c r="AD2498" s="261"/>
      <c r="AE2498" s="261"/>
      <c r="AF2498" s="261"/>
      <c r="AG2498" s="261"/>
    </row>
    <row r="2499" ht="34.5" hidden="1" customHeight="1">
      <c r="A2499" s="111"/>
      <c r="B2499" s="127"/>
      <c r="C2499" s="111"/>
      <c r="D2499" s="111"/>
      <c r="E2499" s="111"/>
      <c r="F2499" s="111"/>
      <c r="G2499" s="111"/>
      <c r="H2499" s="111"/>
      <c r="I2499" s="127"/>
      <c r="J2499" s="111"/>
      <c r="K2499" s="111"/>
      <c r="L2499" s="111"/>
      <c r="M2499" s="127"/>
      <c r="N2499" s="270"/>
      <c r="O2499" s="111"/>
      <c r="P2499" s="111"/>
      <c r="Q2499" s="127"/>
      <c r="R2499" s="124"/>
      <c r="S2499" s="125"/>
      <c r="T2499" s="125"/>
      <c r="U2499" s="125"/>
      <c r="V2499" s="125"/>
      <c r="W2499" s="125"/>
      <c r="X2499" s="125"/>
      <c r="Y2499" s="125"/>
      <c r="Z2499" s="127"/>
      <c r="AA2499" s="127"/>
      <c r="AB2499" s="127"/>
      <c r="AC2499" s="127"/>
      <c r="AD2499" s="261"/>
      <c r="AE2499" s="261"/>
      <c r="AF2499" s="261"/>
      <c r="AG2499" s="261"/>
    </row>
    <row r="2500" ht="34.5" hidden="1" customHeight="1">
      <c r="A2500" s="111"/>
      <c r="B2500" s="127"/>
      <c r="C2500" s="111"/>
      <c r="D2500" s="111"/>
      <c r="E2500" s="111"/>
      <c r="F2500" s="111"/>
      <c r="G2500" s="111"/>
      <c r="H2500" s="111"/>
      <c r="I2500" s="127"/>
      <c r="J2500" s="111"/>
      <c r="K2500" s="111"/>
      <c r="L2500" s="111"/>
      <c r="M2500" s="127"/>
      <c r="N2500" s="270"/>
      <c r="O2500" s="111"/>
      <c r="P2500" s="111"/>
      <c r="Q2500" s="127"/>
      <c r="R2500" s="124"/>
      <c r="S2500" s="125"/>
      <c r="T2500" s="125"/>
      <c r="U2500" s="125"/>
      <c r="V2500" s="125"/>
      <c r="W2500" s="125"/>
      <c r="X2500" s="125"/>
      <c r="Y2500" s="125"/>
      <c r="Z2500" s="127"/>
      <c r="AA2500" s="127"/>
      <c r="AB2500" s="127"/>
      <c r="AC2500" s="127"/>
      <c r="AD2500" s="261"/>
      <c r="AE2500" s="261"/>
      <c r="AF2500" s="261"/>
      <c r="AG2500" s="261"/>
    </row>
    <row r="2501" ht="34.5" hidden="1" customHeight="1">
      <c r="A2501" s="111"/>
      <c r="B2501" s="127"/>
      <c r="C2501" s="111"/>
      <c r="D2501" s="111"/>
      <c r="E2501" s="111"/>
      <c r="F2501" s="111"/>
      <c r="G2501" s="111"/>
      <c r="H2501" s="111"/>
      <c r="I2501" s="127"/>
      <c r="J2501" s="111"/>
      <c r="K2501" s="111"/>
      <c r="L2501" s="111"/>
      <c r="M2501" s="127"/>
      <c r="N2501" s="270"/>
      <c r="O2501" s="111"/>
      <c r="P2501" s="111"/>
      <c r="Q2501" s="127"/>
      <c r="R2501" s="124"/>
      <c r="S2501" s="125"/>
      <c r="T2501" s="125"/>
      <c r="U2501" s="125"/>
      <c r="V2501" s="125"/>
      <c r="W2501" s="125"/>
      <c r="X2501" s="125"/>
      <c r="Y2501" s="125"/>
      <c r="Z2501" s="127"/>
      <c r="AA2501" s="127"/>
      <c r="AB2501" s="127"/>
      <c r="AC2501" s="127"/>
      <c r="AD2501" s="261"/>
      <c r="AE2501" s="261"/>
      <c r="AF2501" s="261"/>
      <c r="AG2501" s="261"/>
    </row>
    <row r="2502" ht="34.5" hidden="1" customHeight="1">
      <c r="A2502" s="111"/>
      <c r="B2502" s="127"/>
      <c r="C2502" s="111"/>
      <c r="D2502" s="111"/>
      <c r="E2502" s="111"/>
      <c r="F2502" s="111"/>
      <c r="G2502" s="111"/>
      <c r="H2502" s="111"/>
      <c r="I2502" s="127"/>
      <c r="J2502" s="111"/>
      <c r="K2502" s="111"/>
      <c r="L2502" s="111"/>
      <c r="M2502" s="127"/>
      <c r="N2502" s="270"/>
      <c r="O2502" s="111"/>
      <c r="P2502" s="111"/>
      <c r="Q2502" s="127"/>
      <c r="R2502" s="124"/>
      <c r="S2502" s="125"/>
      <c r="T2502" s="125"/>
      <c r="U2502" s="125"/>
      <c r="V2502" s="125"/>
      <c r="W2502" s="125"/>
      <c r="X2502" s="125"/>
      <c r="Y2502" s="125"/>
      <c r="Z2502" s="127"/>
      <c r="AA2502" s="127"/>
      <c r="AB2502" s="127"/>
      <c r="AC2502" s="127"/>
      <c r="AD2502" s="261"/>
      <c r="AE2502" s="261"/>
      <c r="AF2502" s="261"/>
      <c r="AG2502" s="261"/>
    </row>
    <row r="2503" ht="34.5" hidden="1" customHeight="1">
      <c r="A2503" s="111"/>
      <c r="B2503" s="127"/>
      <c r="C2503" s="111"/>
      <c r="D2503" s="111"/>
      <c r="E2503" s="111"/>
      <c r="F2503" s="111"/>
      <c r="G2503" s="111"/>
      <c r="H2503" s="111"/>
      <c r="I2503" s="127"/>
      <c r="J2503" s="111"/>
      <c r="K2503" s="111"/>
      <c r="L2503" s="111"/>
      <c r="M2503" s="127"/>
      <c r="N2503" s="270"/>
      <c r="O2503" s="111"/>
      <c r="P2503" s="111"/>
      <c r="Q2503" s="127"/>
      <c r="R2503" s="124"/>
      <c r="S2503" s="125"/>
      <c r="T2503" s="125"/>
      <c r="U2503" s="125"/>
      <c r="V2503" s="125"/>
      <c r="W2503" s="125"/>
      <c r="X2503" s="125"/>
      <c r="Y2503" s="125"/>
      <c r="Z2503" s="127"/>
      <c r="AA2503" s="127"/>
      <c r="AB2503" s="127"/>
      <c r="AC2503" s="127"/>
      <c r="AD2503" s="261"/>
      <c r="AE2503" s="261"/>
      <c r="AF2503" s="261"/>
      <c r="AG2503" s="261"/>
    </row>
    <row r="2504" ht="34.5" hidden="1" customHeight="1">
      <c r="A2504" s="111"/>
      <c r="B2504" s="127"/>
      <c r="C2504" s="111"/>
      <c r="D2504" s="111"/>
      <c r="E2504" s="111"/>
      <c r="F2504" s="111"/>
      <c r="G2504" s="111"/>
      <c r="H2504" s="111"/>
      <c r="I2504" s="127"/>
      <c r="J2504" s="111"/>
      <c r="K2504" s="111"/>
      <c r="L2504" s="111"/>
      <c r="M2504" s="127"/>
      <c r="N2504" s="270"/>
      <c r="O2504" s="111"/>
      <c r="P2504" s="111"/>
      <c r="Q2504" s="127"/>
      <c r="R2504" s="124"/>
      <c r="S2504" s="125"/>
      <c r="T2504" s="125"/>
      <c r="U2504" s="125"/>
      <c r="V2504" s="125"/>
      <c r="W2504" s="125"/>
      <c r="X2504" s="125"/>
      <c r="Y2504" s="125"/>
      <c r="Z2504" s="127"/>
      <c r="AA2504" s="127"/>
      <c r="AB2504" s="127"/>
      <c r="AC2504" s="127"/>
      <c r="AD2504" s="261"/>
      <c r="AE2504" s="261"/>
      <c r="AF2504" s="261"/>
      <c r="AG2504" s="261"/>
    </row>
    <row r="2505" ht="34.5" hidden="1" customHeight="1">
      <c r="A2505" s="111"/>
      <c r="B2505" s="127"/>
      <c r="C2505" s="111"/>
      <c r="D2505" s="111"/>
      <c r="E2505" s="111"/>
      <c r="F2505" s="111"/>
      <c r="G2505" s="111"/>
      <c r="H2505" s="111"/>
      <c r="I2505" s="127"/>
      <c r="J2505" s="111"/>
      <c r="K2505" s="111"/>
      <c r="L2505" s="111"/>
      <c r="M2505" s="127"/>
      <c r="N2505" s="270"/>
      <c r="O2505" s="111"/>
      <c r="P2505" s="111"/>
      <c r="Q2505" s="127"/>
      <c r="R2505" s="124"/>
      <c r="S2505" s="125"/>
      <c r="T2505" s="125"/>
      <c r="U2505" s="125"/>
      <c r="V2505" s="125"/>
      <c r="W2505" s="125"/>
      <c r="X2505" s="125"/>
      <c r="Y2505" s="125"/>
      <c r="Z2505" s="127"/>
      <c r="AA2505" s="127"/>
      <c r="AB2505" s="127"/>
      <c r="AC2505" s="127"/>
      <c r="AD2505" s="261"/>
      <c r="AE2505" s="261"/>
      <c r="AF2505" s="261"/>
      <c r="AG2505" s="261"/>
    </row>
    <row r="2506" ht="34.5" hidden="1" customHeight="1">
      <c r="A2506" s="111"/>
      <c r="B2506" s="127"/>
      <c r="C2506" s="111"/>
      <c r="D2506" s="111"/>
      <c r="E2506" s="111"/>
      <c r="F2506" s="111"/>
      <c r="G2506" s="111"/>
      <c r="H2506" s="111"/>
      <c r="I2506" s="127"/>
      <c r="J2506" s="111"/>
      <c r="K2506" s="111"/>
      <c r="L2506" s="111"/>
      <c r="M2506" s="127"/>
      <c r="N2506" s="270"/>
      <c r="O2506" s="111"/>
      <c r="P2506" s="111"/>
      <c r="Q2506" s="127"/>
      <c r="R2506" s="124"/>
      <c r="S2506" s="125"/>
      <c r="T2506" s="125"/>
      <c r="U2506" s="125"/>
      <c r="V2506" s="125"/>
      <c r="W2506" s="125"/>
      <c r="X2506" s="125"/>
      <c r="Y2506" s="125"/>
      <c r="Z2506" s="127"/>
      <c r="AA2506" s="127"/>
      <c r="AB2506" s="127"/>
      <c r="AC2506" s="127"/>
      <c r="AD2506" s="261"/>
      <c r="AE2506" s="261"/>
      <c r="AF2506" s="261"/>
      <c r="AG2506" s="261"/>
    </row>
    <row r="2507" ht="34.5" hidden="1" customHeight="1">
      <c r="A2507" s="111"/>
      <c r="B2507" s="127"/>
      <c r="C2507" s="111"/>
      <c r="D2507" s="111"/>
      <c r="E2507" s="111"/>
      <c r="F2507" s="111"/>
      <c r="G2507" s="111"/>
      <c r="H2507" s="111"/>
      <c r="I2507" s="127"/>
      <c r="J2507" s="111"/>
      <c r="K2507" s="111"/>
      <c r="L2507" s="111"/>
      <c r="M2507" s="127"/>
      <c r="N2507" s="270"/>
      <c r="O2507" s="111"/>
      <c r="P2507" s="111"/>
      <c r="Q2507" s="127"/>
      <c r="R2507" s="124"/>
      <c r="S2507" s="125"/>
      <c r="T2507" s="125"/>
      <c r="U2507" s="125"/>
      <c r="V2507" s="125"/>
      <c r="W2507" s="125"/>
      <c r="X2507" s="125"/>
      <c r="Y2507" s="125"/>
      <c r="Z2507" s="127"/>
      <c r="AA2507" s="127"/>
      <c r="AB2507" s="127"/>
      <c r="AC2507" s="127"/>
      <c r="AD2507" s="261"/>
      <c r="AE2507" s="261"/>
      <c r="AF2507" s="261"/>
      <c r="AG2507" s="261"/>
    </row>
    <row r="2508" ht="34.5" hidden="1" customHeight="1">
      <c r="A2508" s="111"/>
      <c r="B2508" s="127"/>
      <c r="C2508" s="111"/>
      <c r="D2508" s="111"/>
      <c r="E2508" s="111"/>
      <c r="F2508" s="111"/>
      <c r="G2508" s="111"/>
      <c r="H2508" s="111"/>
      <c r="I2508" s="127"/>
      <c r="J2508" s="111"/>
      <c r="K2508" s="111"/>
      <c r="L2508" s="111"/>
      <c r="M2508" s="127"/>
      <c r="N2508" s="270"/>
      <c r="O2508" s="111"/>
      <c r="P2508" s="111"/>
      <c r="Q2508" s="127"/>
      <c r="R2508" s="124"/>
      <c r="S2508" s="125"/>
      <c r="T2508" s="125"/>
      <c r="U2508" s="125"/>
      <c r="V2508" s="125"/>
      <c r="W2508" s="125"/>
      <c r="X2508" s="125"/>
      <c r="Y2508" s="125"/>
      <c r="Z2508" s="127"/>
      <c r="AA2508" s="127"/>
      <c r="AB2508" s="127"/>
      <c r="AC2508" s="127"/>
      <c r="AD2508" s="261"/>
      <c r="AE2508" s="261"/>
      <c r="AF2508" s="261"/>
      <c r="AG2508" s="261"/>
    </row>
    <row r="2509" ht="34.5" hidden="1" customHeight="1">
      <c r="A2509" s="111"/>
      <c r="B2509" s="127"/>
      <c r="C2509" s="111"/>
      <c r="D2509" s="111"/>
      <c r="E2509" s="111"/>
      <c r="F2509" s="111"/>
      <c r="G2509" s="111"/>
      <c r="H2509" s="111"/>
      <c r="I2509" s="127"/>
      <c r="J2509" s="111"/>
      <c r="K2509" s="111"/>
      <c r="L2509" s="111"/>
      <c r="M2509" s="127"/>
      <c r="N2509" s="270"/>
      <c r="O2509" s="111"/>
      <c r="P2509" s="111"/>
      <c r="Q2509" s="127"/>
      <c r="R2509" s="124"/>
      <c r="S2509" s="125"/>
      <c r="T2509" s="125"/>
      <c r="U2509" s="125"/>
      <c r="V2509" s="125"/>
      <c r="W2509" s="125"/>
      <c r="X2509" s="125"/>
      <c r="Y2509" s="125"/>
      <c r="Z2509" s="127"/>
      <c r="AA2509" s="127"/>
      <c r="AB2509" s="127"/>
      <c r="AC2509" s="127"/>
      <c r="AD2509" s="261"/>
      <c r="AE2509" s="261"/>
      <c r="AF2509" s="261"/>
      <c r="AG2509" s="261"/>
    </row>
    <row r="2510" ht="34.5" hidden="1" customHeight="1">
      <c r="A2510" s="111"/>
      <c r="B2510" s="127"/>
      <c r="C2510" s="111"/>
      <c r="D2510" s="111"/>
      <c r="E2510" s="111"/>
      <c r="F2510" s="111"/>
      <c r="G2510" s="111"/>
      <c r="H2510" s="111"/>
      <c r="I2510" s="127"/>
      <c r="J2510" s="111"/>
      <c r="K2510" s="111"/>
      <c r="L2510" s="111"/>
      <c r="M2510" s="127"/>
      <c r="N2510" s="270"/>
      <c r="O2510" s="111"/>
      <c r="P2510" s="111"/>
      <c r="Q2510" s="127"/>
      <c r="R2510" s="124"/>
      <c r="S2510" s="125"/>
      <c r="T2510" s="125"/>
      <c r="U2510" s="125"/>
      <c r="V2510" s="125"/>
      <c r="W2510" s="125"/>
      <c r="X2510" s="125"/>
      <c r="Y2510" s="125"/>
      <c r="Z2510" s="127"/>
      <c r="AA2510" s="127"/>
      <c r="AB2510" s="127"/>
      <c r="AC2510" s="127"/>
      <c r="AD2510" s="261"/>
      <c r="AE2510" s="261"/>
      <c r="AF2510" s="261"/>
      <c r="AG2510" s="261"/>
    </row>
    <row r="2511" ht="34.5" hidden="1" customHeight="1">
      <c r="A2511" s="111"/>
      <c r="B2511" s="127"/>
      <c r="C2511" s="111"/>
      <c r="D2511" s="111"/>
      <c r="E2511" s="111"/>
      <c r="F2511" s="111"/>
      <c r="G2511" s="111"/>
      <c r="H2511" s="111"/>
      <c r="I2511" s="127"/>
      <c r="J2511" s="111"/>
      <c r="K2511" s="111"/>
      <c r="L2511" s="111"/>
      <c r="M2511" s="127"/>
      <c r="N2511" s="270"/>
      <c r="O2511" s="111"/>
      <c r="P2511" s="111"/>
      <c r="Q2511" s="127"/>
      <c r="R2511" s="124"/>
      <c r="S2511" s="125"/>
      <c r="T2511" s="125"/>
      <c r="U2511" s="125"/>
      <c r="V2511" s="125"/>
      <c r="W2511" s="125"/>
      <c r="X2511" s="125"/>
      <c r="Y2511" s="125"/>
      <c r="Z2511" s="127"/>
      <c r="AA2511" s="127"/>
      <c r="AB2511" s="127"/>
      <c r="AC2511" s="127"/>
      <c r="AD2511" s="261"/>
      <c r="AE2511" s="261"/>
      <c r="AF2511" s="261"/>
      <c r="AG2511" s="261"/>
    </row>
    <row r="2512" ht="34.5" hidden="1" customHeight="1">
      <c r="A2512" s="111"/>
      <c r="B2512" s="127"/>
      <c r="C2512" s="111"/>
      <c r="D2512" s="111"/>
      <c r="E2512" s="111"/>
      <c r="F2512" s="111"/>
      <c r="G2512" s="111"/>
      <c r="H2512" s="111"/>
      <c r="I2512" s="127"/>
      <c r="J2512" s="111"/>
      <c r="K2512" s="111"/>
      <c r="L2512" s="111"/>
      <c r="M2512" s="127"/>
      <c r="N2512" s="270"/>
      <c r="O2512" s="111"/>
      <c r="P2512" s="111"/>
      <c r="Q2512" s="127"/>
      <c r="R2512" s="124"/>
      <c r="S2512" s="125"/>
      <c r="T2512" s="125"/>
      <c r="U2512" s="125"/>
      <c r="V2512" s="125"/>
      <c r="W2512" s="125"/>
      <c r="X2512" s="125"/>
      <c r="Y2512" s="125"/>
      <c r="Z2512" s="127"/>
      <c r="AA2512" s="127"/>
      <c r="AB2512" s="127"/>
      <c r="AC2512" s="127"/>
      <c r="AD2512" s="261"/>
      <c r="AE2512" s="261"/>
      <c r="AF2512" s="261"/>
      <c r="AG2512" s="261"/>
    </row>
    <row r="2513" ht="34.5" hidden="1" customHeight="1">
      <c r="A2513" s="111"/>
      <c r="B2513" s="127"/>
      <c r="C2513" s="111"/>
      <c r="D2513" s="111"/>
      <c r="E2513" s="111"/>
      <c r="F2513" s="111"/>
      <c r="G2513" s="111"/>
      <c r="H2513" s="111"/>
      <c r="I2513" s="127"/>
      <c r="J2513" s="111"/>
      <c r="K2513" s="111"/>
      <c r="L2513" s="111"/>
      <c r="M2513" s="127"/>
      <c r="N2513" s="270"/>
      <c r="O2513" s="111"/>
      <c r="P2513" s="111"/>
      <c r="Q2513" s="127"/>
      <c r="R2513" s="124"/>
      <c r="S2513" s="125"/>
      <c r="T2513" s="125"/>
      <c r="U2513" s="125"/>
      <c r="V2513" s="125"/>
      <c r="W2513" s="125"/>
      <c r="X2513" s="125"/>
      <c r="Y2513" s="125"/>
      <c r="Z2513" s="127"/>
      <c r="AA2513" s="127"/>
      <c r="AB2513" s="127"/>
      <c r="AC2513" s="127"/>
      <c r="AD2513" s="261"/>
      <c r="AE2513" s="261"/>
      <c r="AF2513" s="261"/>
      <c r="AG2513" s="261"/>
    </row>
    <row r="2514" ht="34.5" hidden="1" customHeight="1">
      <c r="A2514" s="111"/>
      <c r="B2514" s="127"/>
      <c r="C2514" s="111"/>
      <c r="D2514" s="111"/>
      <c r="E2514" s="111"/>
      <c r="F2514" s="111"/>
      <c r="G2514" s="111"/>
      <c r="H2514" s="111"/>
      <c r="I2514" s="127"/>
      <c r="J2514" s="111"/>
      <c r="K2514" s="111"/>
      <c r="L2514" s="111"/>
      <c r="M2514" s="127"/>
      <c r="N2514" s="270"/>
      <c r="O2514" s="111"/>
      <c r="P2514" s="111"/>
      <c r="Q2514" s="127"/>
      <c r="R2514" s="124"/>
      <c r="S2514" s="125"/>
      <c r="T2514" s="125"/>
      <c r="U2514" s="125"/>
      <c r="V2514" s="125"/>
      <c r="W2514" s="125"/>
      <c r="X2514" s="125"/>
      <c r="Y2514" s="125"/>
      <c r="Z2514" s="127"/>
      <c r="AA2514" s="127"/>
      <c r="AB2514" s="127"/>
      <c r="AC2514" s="127"/>
      <c r="AD2514" s="261"/>
      <c r="AE2514" s="261"/>
      <c r="AF2514" s="261"/>
      <c r="AG2514" s="261"/>
    </row>
    <row r="2515" ht="34.5" hidden="1" customHeight="1">
      <c r="A2515" s="111"/>
      <c r="B2515" s="127"/>
      <c r="C2515" s="111"/>
      <c r="D2515" s="111"/>
      <c r="E2515" s="111"/>
      <c r="F2515" s="111"/>
      <c r="G2515" s="111"/>
      <c r="H2515" s="111"/>
      <c r="I2515" s="127"/>
      <c r="J2515" s="111"/>
      <c r="K2515" s="111"/>
      <c r="L2515" s="111"/>
      <c r="M2515" s="127"/>
      <c r="N2515" s="270"/>
      <c r="O2515" s="111"/>
      <c r="P2515" s="111"/>
      <c r="Q2515" s="127"/>
      <c r="R2515" s="124"/>
      <c r="S2515" s="125"/>
      <c r="T2515" s="125"/>
      <c r="U2515" s="125"/>
      <c r="V2515" s="125"/>
      <c r="W2515" s="125"/>
      <c r="X2515" s="125"/>
      <c r="Y2515" s="125"/>
      <c r="Z2515" s="127"/>
      <c r="AA2515" s="127"/>
      <c r="AB2515" s="127"/>
      <c r="AC2515" s="127"/>
      <c r="AD2515" s="261"/>
      <c r="AE2515" s="261"/>
      <c r="AF2515" s="261"/>
      <c r="AG2515" s="261"/>
    </row>
    <row r="2516" ht="34.5" hidden="1" customHeight="1">
      <c r="A2516" s="111"/>
      <c r="B2516" s="127"/>
      <c r="C2516" s="111"/>
      <c r="D2516" s="111"/>
      <c r="E2516" s="111"/>
      <c r="F2516" s="111"/>
      <c r="G2516" s="111"/>
      <c r="H2516" s="111"/>
      <c r="I2516" s="127"/>
      <c r="J2516" s="111"/>
      <c r="K2516" s="111"/>
      <c r="L2516" s="111"/>
      <c r="M2516" s="127"/>
      <c r="N2516" s="270"/>
      <c r="O2516" s="111"/>
      <c r="P2516" s="111"/>
      <c r="Q2516" s="127"/>
      <c r="R2516" s="124"/>
      <c r="S2516" s="125"/>
      <c r="T2516" s="125"/>
      <c r="U2516" s="125"/>
      <c r="V2516" s="125"/>
      <c r="W2516" s="125"/>
      <c r="X2516" s="125"/>
      <c r="Y2516" s="125"/>
      <c r="Z2516" s="127"/>
      <c r="AA2516" s="127"/>
      <c r="AB2516" s="127"/>
      <c r="AC2516" s="127"/>
      <c r="AD2516" s="261"/>
      <c r="AE2516" s="261"/>
      <c r="AF2516" s="261"/>
      <c r="AG2516" s="261"/>
    </row>
    <row r="2517" ht="34.5" hidden="1" customHeight="1">
      <c r="A2517" s="111"/>
      <c r="B2517" s="127"/>
      <c r="C2517" s="111"/>
      <c r="D2517" s="111"/>
      <c r="E2517" s="111"/>
      <c r="F2517" s="111"/>
      <c r="G2517" s="111"/>
      <c r="H2517" s="111"/>
      <c r="I2517" s="127"/>
      <c r="J2517" s="111"/>
      <c r="K2517" s="111"/>
      <c r="L2517" s="111"/>
      <c r="M2517" s="127"/>
      <c r="N2517" s="270"/>
      <c r="O2517" s="111"/>
      <c r="P2517" s="111"/>
      <c r="Q2517" s="127"/>
      <c r="R2517" s="124"/>
      <c r="S2517" s="125"/>
      <c r="T2517" s="125"/>
      <c r="U2517" s="125"/>
      <c r="V2517" s="125"/>
      <c r="W2517" s="125"/>
      <c r="X2517" s="125"/>
      <c r="Y2517" s="125"/>
      <c r="Z2517" s="127"/>
      <c r="AA2517" s="127"/>
      <c r="AB2517" s="127"/>
      <c r="AC2517" s="127"/>
      <c r="AD2517" s="261"/>
      <c r="AE2517" s="261"/>
      <c r="AF2517" s="261"/>
      <c r="AG2517" s="261"/>
    </row>
    <row r="2518" ht="34.5" hidden="1" customHeight="1">
      <c r="A2518" s="111"/>
      <c r="B2518" s="127"/>
      <c r="C2518" s="111"/>
      <c r="D2518" s="111"/>
      <c r="E2518" s="111"/>
      <c r="F2518" s="111"/>
      <c r="G2518" s="111"/>
      <c r="H2518" s="111"/>
      <c r="I2518" s="127"/>
      <c r="J2518" s="111"/>
      <c r="K2518" s="111"/>
      <c r="L2518" s="111"/>
      <c r="M2518" s="127"/>
      <c r="N2518" s="270"/>
      <c r="O2518" s="111"/>
      <c r="P2518" s="111"/>
      <c r="Q2518" s="127"/>
      <c r="R2518" s="124"/>
      <c r="S2518" s="125"/>
      <c r="T2518" s="125"/>
      <c r="U2518" s="125"/>
      <c r="V2518" s="125"/>
      <c r="W2518" s="125"/>
      <c r="X2518" s="125"/>
      <c r="Y2518" s="125"/>
      <c r="Z2518" s="127"/>
      <c r="AA2518" s="127"/>
      <c r="AB2518" s="127"/>
      <c r="AC2518" s="127"/>
      <c r="AD2518" s="261"/>
      <c r="AE2518" s="261"/>
      <c r="AF2518" s="261"/>
      <c r="AG2518" s="261"/>
    </row>
    <row r="2519" ht="34.5" hidden="1" customHeight="1">
      <c r="A2519" s="111"/>
      <c r="B2519" s="127"/>
      <c r="C2519" s="111"/>
      <c r="D2519" s="111"/>
      <c r="E2519" s="111"/>
      <c r="F2519" s="111"/>
      <c r="G2519" s="111"/>
      <c r="H2519" s="111"/>
      <c r="I2519" s="127"/>
      <c r="J2519" s="111"/>
      <c r="K2519" s="111"/>
      <c r="L2519" s="111"/>
      <c r="M2519" s="127"/>
      <c r="N2519" s="270"/>
      <c r="O2519" s="111"/>
      <c r="P2519" s="111"/>
      <c r="Q2519" s="127"/>
      <c r="R2519" s="124"/>
      <c r="S2519" s="125"/>
      <c r="T2519" s="125"/>
      <c r="U2519" s="125"/>
      <c r="V2519" s="125"/>
      <c r="W2519" s="125"/>
      <c r="X2519" s="125"/>
      <c r="Y2519" s="125"/>
      <c r="Z2519" s="127"/>
      <c r="AA2519" s="127"/>
      <c r="AB2519" s="127"/>
      <c r="AC2519" s="127"/>
      <c r="AD2519" s="261"/>
      <c r="AE2519" s="261"/>
      <c r="AF2519" s="261"/>
      <c r="AG2519" s="261"/>
    </row>
    <row r="2520" ht="34.5" hidden="1" customHeight="1">
      <c r="A2520" s="111"/>
      <c r="B2520" s="127"/>
      <c r="C2520" s="111"/>
      <c r="D2520" s="111"/>
      <c r="E2520" s="111"/>
      <c r="F2520" s="111"/>
      <c r="G2520" s="111"/>
      <c r="H2520" s="111"/>
      <c r="I2520" s="127"/>
      <c r="J2520" s="111"/>
      <c r="K2520" s="111"/>
      <c r="L2520" s="111"/>
      <c r="M2520" s="127"/>
      <c r="N2520" s="270"/>
      <c r="O2520" s="111"/>
      <c r="P2520" s="111"/>
      <c r="Q2520" s="127"/>
      <c r="R2520" s="124"/>
      <c r="S2520" s="125"/>
      <c r="T2520" s="125"/>
      <c r="U2520" s="125"/>
      <c r="V2520" s="125"/>
      <c r="W2520" s="125"/>
      <c r="X2520" s="125"/>
      <c r="Y2520" s="125"/>
      <c r="Z2520" s="127"/>
      <c r="AA2520" s="127"/>
      <c r="AB2520" s="127"/>
      <c r="AC2520" s="127"/>
      <c r="AD2520" s="261"/>
      <c r="AE2520" s="261"/>
      <c r="AF2520" s="261"/>
      <c r="AG2520" s="261"/>
    </row>
    <row r="2521" ht="34.5" hidden="1" customHeight="1">
      <c r="A2521" s="111"/>
      <c r="B2521" s="127"/>
      <c r="C2521" s="111"/>
      <c r="D2521" s="111"/>
      <c r="E2521" s="111"/>
      <c r="F2521" s="111"/>
      <c r="G2521" s="111"/>
      <c r="H2521" s="111"/>
      <c r="I2521" s="127"/>
      <c r="J2521" s="111"/>
      <c r="K2521" s="111"/>
      <c r="L2521" s="111"/>
      <c r="M2521" s="127"/>
      <c r="N2521" s="270"/>
      <c r="O2521" s="111"/>
      <c r="P2521" s="111"/>
      <c r="Q2521" s="127"/>
      <c r="R2521" s="124"/>
      <c r="S2521" s="125"/>
      <c r="T2521" s="125"/>
      <c r="U2521" s="125"/>
      <c r="V2521" s="125"/>
      <c r="W2521" s="125"/>
      <c r="X2521" s="125"/>
      <c r="Y2521" s="125"/>
      <c r="Z2521" s="127"/>
      <c r="AA2521" s="127"/>
      <c r="AB2521" s="127"/>
      <c r="AC2521" s="127"/>
      <c r="AD2521" s="261"/>
      <c r="AE2521" s="261"/>
      <c r="AF2521" s="261"/>
      <c r="AG2521" s="261"/>
    </row>
    <row r="2522" ht="34.5" hidden="1" customHeight="1">
      <c r="A2522" s="111"/>
      <c r="B2522" s="127"/>
      <c r="C2522" s="111"/>
      <c r="D2522" s="111"/>
      <c r="E2522" s="111"/>
      <c r="F2522" s="111"/>
      <c r="G2522" s="111"/>
      <c r="H2522" s="111"/>
      <c r="I2522" s="127"/>
      <c r="J2522" s="111"/>
      <c r="K2522" s="111"/>
      <c r="L2522" s="111"/>
      <c r="M2522" s="127"/>
      <c r="N2522" s="270"/>
      <c r="O2522" s="111"/>
      <c r="P2522" s="111"/>
      <c r="Q2522" s="127"/>
      <c r="R2522" s="124"/>
      <c r="S2522" s="125"/>
      <c r="T2522" s="125"/>
      <c r="U2522" s="125"/>
      <c r="V2522" s="125"/>
      <c r="W2522" s="125"/>
      <c r="X2522" s="125"/>
      <c r="Y2522" s="125"/>
      <c r="Z2522" s="127"/>
      <c r="AA2522" s="127"/>
      <c r="AB2522" s="127"/>
      <c r="AC2522" s="127"/>
      <c r="AD2522" s="261"/>
      <c r="AE2522" s="261"/>
      <c r="AF2522" s="261"/>
      <c r="AG2522" s="261"/>
    </row>
    <row r="2523" ht="34.5" hidden="1" customHeight="1">
      <c r="A2523" s="111"/>
      <c r="B2523" s="127"/>
      <c r="C2523" s="111"/>
      <c r="D2523" s="111"/>
      <c r="E2523" s="111"/>
      <c r="F2523" s="111"/>
      <c r="G2523" s="111"/>
      <c r="H2523" s="111"/>
      <c r="I2523" s="127"/>
      <c r="J2523" s="111"/>
      <c r="K2523" s="111"/>
      <c r="L2523" s="111"/>
      <c r="M2523" s="127"/>
      <c r="N2523" s="270"/>
      <c r="O2523" s="111"/>
      <c r="P2523" s="111"/>
      <c r="Q2523" s="127"/>
      <c r="R2523" s="124"/>
      <c r="S2523" s="125"/>
      <c r="T2523" s="125"/>
      <c r="U2523" s="125"/>
      <c r="V2523" s="125"/>
      <c r="W2523" s="125"/>
      <c r="X2523" s="125"/>
      <c r="Y2523" s="125"/>
      <c r="Z2523" s="127"/>
      <c r="AA2523" s="127"/>
      <c r="AB2523" s="127"/>
      <c r="AC2523" s="127"/>
      <c r="AD2523" s="261"/>
      <c r="AE2523" s="261"/>
      <c r="AF2523" s="261"/>
      <c r="AG2523" s="261"/>
    </row>
    <row r="2524" ht="34.5" hidden="1" customHeight="1">
      <c r="A2524" s="111"/>
      <c r="B2524" s="127"/>
      <c r="C2524" s="111"/>
      <c r="D2524" s="111"/>
      <c r="E2524" s="111"/>
      <c r="F2524" s="111"/>
      <c r="G2524" s="111"/>
      <c r="H2524" s="111"/>
      <c r="I2524" s="127"/>
      <c r="J2524" s="111"/>
      <c r="K2524" s="111"/>
      <c r="L2524" s="111"/>
      <c r="M2524" s="127"/>
      <c r="N2524" s="270"/>
      <c r="O2524" s="111"/>
      <c r="P2524" s="111"/>
      <c r="Q2524" s="127"/>
      <c r="R2524" s="124"/>
      <c r="S2524" s="125"/>
      <c r="T2524" s="125"/>
      <c r="U2524" s="125"/>
      <c r="V2524" s="125"/>
      <c r="W2524" s="125"/>
      <c r="X2524" s="125"/>
      <c r="Y2524" s="125"/>
      <c r="Z2524" s="127"/>
      <c r="AA2524" s="127"/>
      <c r="AB2524" s="127"/>
      <c r="AC2524" s="127"/>
      <c r="AD2524" s="261"/>
      <c r="AE2524" s="261"/>
      <c r="AF2524" s="261"/>
      <c r="AG2524" s="261"/>
    </row>
    <row r="2525" ht="34.5" hidden="1" customHeight="1">
      <c r="A2525" s="111"/>
      <c r="B2525" s="127"/>
      <c r="C2525" s="111"/>
      <c r="D2525" s="111"/>
      <c r="E2525" s="111"/>
      <c r="F2525" s="111"/>
      <c r="G2525" s="111"/>
      <c r="H2525" s="111"/>
      <c r="I2525" s="127"/>
      <c r="J2525" s="111"/>
      <c r="K2525" s="111"/>
      <c r="L2525" s="111"/>
      <c r="M2525" s="127"/>
      <c r="N2525" s="270"/>
      <c r="O2525" s="111"/>
      <c r="P2525" s="111"/>
      <c r="Q2525" s="127"/>
      <c r="R2525" s="124"/>
      <c r="S2525" s="125"/>
      <c r="T2525" s="125"/>
      <c r="U2525" s="125"/>
      <c r="V2525" s="125"/>
      <c r="W2525" s="125"/>
      <c r="X2525" s="125"/>
      <c r="Y2525" s="125"/>
      <c r="Z2525" s="127"/>
      <c r="AA2525" s="127"/>
      <c r="AB2525" s="127"/>
      <c r="AC2525" s="127"/>
      <c r="AD2525" s="261"/>
      <c r="AE2525" s="261"/>
      <c r="AF2525" s="261"/>
      <c r="AG2525" s="261"/>
    </row>
    <row r="2526" ht="34.5" hidden="1" customHeight="1">
      <c r="A2526" s="111"/>
      <c r="B2526" s="127"/>
      <c r="C2526" s="111"/>
      <c r="D2526" s="111"/>
      <c r="E2526" s="111"/>
      <c r="F2526" s="111"/>
      <c r="G2526" s="111"/>
      <c r="H2526" s="111"/>
      <c r="I2526" s="127"/>
      <c r="J2526" s="111"/>
      <c r="K2526" s="111"/>
      <c r="L2526" s="111"/>
      <c r="M2526" s="127"/>
      <c r="N2526" s="270"/>
      <c r="O2526" s="111"/>
      <c r="P2526" s="111"/>
      <c r="Q2526" s="127"/>
      <c r="R2526" s="124"/>
      <c r="S2526" s="125"/>
      <c r="T2526" s="125"/>
      <c r="U2526" s="125"/>
      <c r="V2526" s="125"/>
      <c r="W2526" s="125"/>
      <c r="X2526" s="125"/>
      <c r="Y2526" s="125"/>
      <c r="Z2526" s="127"/>
      <c r="AA2526" s="127"/>
      <c r="AB2526" s="127"/>
      <c r="AC2526" s="127"/>
      <c r="AD2526" s="261"/>
      <c r="AE2526" s="261"/>
      <c r="AF2526" s="261"/>
      <c r="AG2526" s="261"/>
    </row>
    <row r="2527" ht="34.5" hidden="1" customHeight="1">
      <c r="A2527" s="111"/>
      <c r="B2527" s="127"/>
      <c r="C2527" s="111"/>
      <c r="D2527" s="111"/>
      <c r="E2527" s="111"/>
      <c r="F2527" s="111"/>
      <c r="G2527" s="111"/>
      <c r="H2527" s="111"/>
      <c r="I2527" s="127"/>
      <c r="J2527" s="111"/>
      <c r="K2527" s="111"/>
      <c r="L2527" s="111"/>
      <c r="M2527" s="127"/>
      <c r="N2527" s="270"/>
      <c r="O2527" s="111"/>
      <c r="P2527" s="111"/>
      <c r="Q2527" s="127"/>
      <c r="R2527" s="124"/>
      <c r="S2527" s="125"/>
      <c r="T2527" s="125"/>
      <c r="U2527" s="125"/>
      <c r="V2527" s="125"/>
      <c r="W2527" s="125"/>
      <c r="X2527" s="125"/>
      <c r="Y2527" s="125"/>
      <c r="Z2527" s="127"/>
      <c r="AA2527" s="127"/>
      <c r="AB2527" s="127"/>
      <c r="AC2527" s="127"/>
      <c r="AD2527" s="261"/>
      <c r="AE2527" s="261"/>
      <c r="AF2527" s="261"/>
      <c r="AG2527" s="261"/>
    </row>
    <row r="2528" ht="8.25" hidden="1" customHeight="1">
      <c r="A2528" s="111"/>
      <c r="B2528" s="127"/>
      <c r="C2528" s="111"/>
      <c r="D2528" s="111"/>
      <c r="E2528" s="111"/>
      <c r="F2528" s="111"/>
      <c r="G2528" s="111"/>
      <c r="H2528" s="111"/>
      <c r="I2528" s="127"/>
      <c r="J2528" s="111"/>
      <c r="K2528" s="111"/>
      <c r="L2528" s="111"/>
      <c r="M2528" s="127"/>
      <c r="N2528" s="270"/>
      <c r="O2528" s="111"/>
      <c r="P2528" s="111"/>
      <c r="Q2528" s="127"/>
      <c r="R2528" s="124"/>
      <c r="S2528" s="125"/>
      <c r="T2528" s="125"/>
      <c r="U2528" s="125"/>
      <c r="V2528" s="125"/>
      <c r="W2528" s="125"/>
      <c r="X2528" s="125"/>
      <c r="Y2528" s="125"/>
      <c r="Z2528" s="127"/>
      <c r="AA2528" s="127"/>
      <c r="AB2528" s="127"/>
      <c r="AC2528" s="127"/>
      <c r="AD2528" s="261"/>
      <c r="AE2528" s="261"/>
      <c r="AF2528" s="261"/>
      <c r="AG2528" s="261"/>
    </row>
    <row r="2529" ht="15.75" customHeight="1">
      <c r="A2529" s="261"/>
      <c r="B2529" s="261"/>
      <c r="C2529" s="261"/>
      <c r="D2529" s="261"/>
      <c r="E2529" s="261"/>
      <c r="F2529" s="261"/>
      <c r="G2529" s="261"/>
      <c r="H2529" s="261"/>
      <c r="I2529" s="272"/>
      <c r="J2529" s="261"/>
      <c r="K2529" s="261"/>
      <c r="L2529" s="261"/>
      <c r="M2529" s="261"/>
      <c r="N2529" s="261"/>
      <c r="O2529" s="261"/>
      <c r="P2529" s="261"/>
      <c r="Q2529" s="261"/>
      <c r="R2529" s="261"/>
      <c r="S2529" s="261"/>
      <c r="T2529" s="261"/>
      <c r="U2529" s="261"/>
      <c r="V2529" s="261"/>
      <c r="W2529" s="261"/>
      <c r="X2529" s="261"/>
      <c r="Y2529" s="261"/>
      <c r="Z2529" s="273"/>
      <c r="AA2529" s="273"/>
      <c r="AB2529" s="273"/>
      <c r="AC2529" s="273"/>
      <c r="AD2529" s="35"/>
      <c r="AE2529" s="35"/>
      <c r="AF2529" s="35"/>
      <c r="AG2529" s="35"/>
    </row>
    <row r="2530" ht="15.75" customHeight="1">
      <c r="A2530" s="261"/>
      <c r="B2530" s="261"/>
      <c r="C2530" s="261"/>
      <c r="D2530" s="261"/>
      <c r="E2530" s="261"/>
      <c r="F2530" s="261"/>
      <c r="G2530" s="261"/>
      <c r="H2530" s="261"/>
      <c r="I2530" s="272"/>
      <c r="J2530" s="261"/>
      <c r="K2530" s="261"/>
      <c r="L2530" s="261"/>
      <c r="M2530" s="261"/>
      <c r="N2530" s="261"/>
      <c r="O2530" s="261"/>
      <c r="P2530" s="261"/>
      <c r="Q2530" s="261"/>
      <c r="R2530" s="261"/>
      <c r="S2530" s="261"/>
      <c r="T2530" s="261"/>
      <c r="U2530" s="261"/>
      <c r="V2530" s="261"/>
      <c r="W2530" s="261"/>
      <c r="X2530" s="261"/>
      <c r="Y2530" s="261"/>
      <c r="Z2530" s="273"/>
      <c r="AA2530" s="273"/>
      <c r="AB2530" s="273"/>
      <c r="AC2530" s="273"/>
      <c r="AD2530" s="35"/>
      <c r="AE2530" s="35"/>
      <c r="AF2530" s="35"/>
      <c r="AG2530" s="35"/>
    </row>
    <row r="2531" ht="15.75" customHeight="1">
      <c r="A2531" s="261"/>
      <c r="B2531" s="261"/>
      <c r="C2531" s="261"/>
      <c r="D2531" s="261"/>
      <c r="E2531" s="261"/>
      <c r="F2531" s="261"/>
      <c r="G2531" s="261"/>
      <c r="H2531" s="261"/>
      <c r="I2531" s="272"/>
      <c r="J2531" s="261"/>
      <c r="K2531" s="261"/>
      <c r="L2531" s="261"/>
      <c r="M2531" s="261"/>
      <c r="N2531" s="261"/>
      <c r="O2531" s="261"/>
      <c r="P2531" s="261"/>
      <c r="Q2531" s="261"/>
      <c r="R2531" s="261"/>
      <c r="S2531" s="261"/>
      <c r="T2531" s="261"/>
      <c r="U2531" s="261"/>
      <c r="V2531" s="261"/>
      <c r="W2531" s="261"/>
      <c r="X2531" s="261"/>
      <c r="Y2531" s="261"/>
      <c r="Z2531" s="273"/>
      <c r="AA2531" s="273"/>
      <c r="AB2531" s="273"/>
      <c r="AC2531" s="273"/>
      <c r="AD2531" s="35"/>
      <c r="AE2531" s="35"/>
      <c r="AF2531" s="35"/>
      <c r="AG2531" s="35"/>
    </row>
    <row r="2532" ht="15.75" hidden="1" customHeight="1">
      <c r="A2532" s="261"/>
      <c r="B2532" s="261"/>
      <c r="C2532" s="261"/>
      <c r="D2532" s="261"/>
      <c r="E2532" s="261" t="s">
        <v>22854</v>
      </c>
      <c r="F2532" s="261"/>
      <c r="G2532" s="261"/>
      <c r="H2532" s="261"/>
      <c r="I2532" s="272"/>
      <c r="J2532" s="261"/>
      <c r="K2532" s="261"/>
      <c r="L2532" s="261"/>
      <c r="M2532" s="261"/>
      <c r="N2532" s="261"/>
      <c r="O2532" s="261"/>
      <c r="P2532" s="261"/>
      <c r="Q2532" s="261"/>
      <c r="R2532" s="261"/>
      <c r="S2532" s="261"/>
      <c r="T2532" s="261"/>
      <c r="U2532" s="261"/>
      <c r="V2532" s="261"/>
      <c r="W2532" s="261"/>
      <c r="X2532" s="261"/>
      <c r="Y2532" s="261"/>
      <c r="Z2532" s="273"/>
      <c r="AA2532" s="273"/>
      <c r="AB2532" s="273"/>
      <c r="AC2532" s="273"/>
      <c r="AD2532" s="35"/>
      <c r="AE2532" s="35"/>
      <c r="AF2532" s="35"/>
      <c r="AG2532" s="35"/>
    </row>
  </sheetData>
  <mergeCells count="15">
    <mergeCell ref="G2:G3"/>
    <mergeCell ref="H2:H3"/>
    <mergeCell ref="I2:I3"/>
    <mergeCell ref="J2:J3"/>
    <mergeCell ref="K2:K3"/>
    <mergeCell ref="L2:L3"/>
    <mergeCell ref="N2:N3"/>
    <mergeCell ref="R2:T2"/>
    <mergeCell ref="A1:AC1"/>
    <mergeCell ref="A2:A3"/>
    <mergeCell ref="B2:B3"/>
    <mergeCell ref="C2:C3"/>
    <mergeCell ref="D2:D3"/>
    <mergeCell ref="E2:E3"/>
    <mergeCell ref="F2:F3"/>
  </mergeCells>
  <hyperlinks>
    <hyperlink r:id="rId2" ref="Z5"/>
    <hyperlink r:id="rId3" ref="AA5"/>
    <hyperlink r:id="rId4" ref="Z6"/>
    <hyperlink r:id="rId5" ref="Z7"/>
    <hyperlink r:id="rId6" ref="Z8"/>
    <hyperlink r:id="rId7" ref="AA8"/>
    <hyperlink r:id="rId8" ref="Z9"/>
    <hyperlink r:id="rId9" ref="AA9"/>
    <hyperlink r:id="rId10" ref="Z10"/>
    <hyperlink r:id="rId11" ref="AA10"/>
    <hyperlink r:id="rId12" ref="Z11"/>
    <hyperlink r:id="rId13" ref="AA11"/>
    <hyperlink r:id="rId14" ref="Z12"/>
    <hyperlink r:id="rId15" ref="AA12"/>
    <hyperlink r:id="rId16" ref="Z13"/>
    <hyperlink r:id="rId17" ref="AA13"/>
    <hyperlink r:id="rId18" ref="Z14"/>
    <hyperlink r:id="rId19" ref="AA14"/>
    <hyperlink r:id="rId20" ref="Z15"/>
    <hyperlink r:id="rId21" ref="AA15"/>
    <hyperlink r:id="rId22" ref="Z16"/>
    <hyperlink r:id="rId23" ref="AA16"/>
    <hyperlink r:id="rId24" ref="Z17"/>
    <hyperlink r:id="rId25" ref="AA17"/>
    <hyperlink r:id="rId26" ref="Z18"/>
    <hyperlink r:id="rId27" ref="AA18"/>
    <hyperlink r:id="rId28" ref="Z19"/>
    <hyperlink r:id="rId29" ref="AA19"/>
    <hyperlink r:id="rId30" ref="AB19"/>
    <hyperlink r:id="rId31" ref="Z20"/>
    <hyperlink r:id="rId32" ref="AA20"/>
    <hyperlink r:id="rId33" ref="Z21"/>
    <hyperlink r:id="rId34" ref="AA21"/>
    <hyperlink r:id="rId35" ref="Z22"/>
    <hyperlink r:id="rId36" ref="Z23"/>
    <hyperlink r:id="rId37" ref="AA23"/>
    <hyperlink r:id="rId38" ref="AB23"/>
    <hyperlink r:id="rId39" ref="Z24"/>
    <hyperlink r:id="rId40" ref="AA24"/>
    <hyperlink r:id="rId41" ref="AB24"/>
    <hyperlink r:id="rId42" ref="Z25"/>
    <hyperlink r:id="rId43" ref="AA25"/>
    <hyperlink r:id="rId44" ref="AB25"/>
    <hyperlink r:id="rId45" ref="Z26"/>
    <hyperlink r:id="rId46" ref="AA26"/>
    <hyperlink r:id="rId47" ref="AB26"/>
    <hyperlink r:id="rId48" ref="Z27"/>
    <hyperlink r:id="rId49" ref="AA27"/>
    <hyperlink r:id="rId50" ref="Z28"/>
    <hyperlink r:id="rId51" ref="Z29"/>
    <hyperlink r:id="rId52" ref="AA29"/>
    <hyperlink r:id="rId53" ref="Z30"/>
    <hyperlink r:id="rId54" ref="AA30"/>
    <hyperlink r:id="rId55" ref="AB30"/>
    <hyperlink r:id="rId56" ref="Z31"/>
    <hyperlink r:id="rId57" ref="AA31"/>
    <hyperlink r:id="rId58" ref="Z32"/>
    <hyperlink r:id="rId59" ref="AA32"/>
    <hyperlink r:id="rId60" ref="Z33"/>
    <hyperlink r:id="rId61" ref="AA33"/>
    <hyperlink r:id="rId62" ref="Z34"/>
    <hyperlink r:id="rId63" ref="Z35"/>
    <hyperlink r:id="rId64" ref="Z36"/>
    <hyperlink r:id="rId65" ref="AA36"/>
    <hyperlink r:id="rId66" ref="AB36"/>
    <hyperlink r:id="rId67" ref="AC36"/>
    <hyperlink r:id="rId68" ref="AB37"/>
    <hyperlink r:id="rId69" ref="Z42"/>
    <hyperlink r:id="rId70" ref="AA42"/>
    <hyperlink r:id="rId71" ref="Z45"/>
    <hyperlink r:id="rId72" ref="AA45"/>
    <hyperlink r:id="rId73" ref="Z46"/>
    <hyperlink r:id="rId74" ref="AA46"/>
    <hyperlink r:id="rId75" ref="Z47"/>
    <hyperlink r:id="rId76" ref="Z48"/>
    <hyperlink r:id="rId77" ref="Z49"/>
    <hyperlink r:id="rId78" location="page=[138]" ref="AA49"/>
    <hyperlink r:id="rId79" ref="AB49"/>
    <hyperlink r:id="rId80" ref="AC49"/>
    <hyperlink r:id="rId81" ref="Z50"/>
    <hyperlink r:id="rId82" ref="AA50"/>
    <hyperlink r:id="rId83" ref="Z51"/>
    <hyperlink r:id="rId84" ref="AA51"/>
    <hyperlink r:id="rId85" ref="Z54"/>
    <hyperlink r:id="rId86" ref="AA54"/>
    <hyperlink r:id="rId87" ref="AB54"/>
    <hyperlink r:id="rId88" ref="AC54"/>
    <hyperlink r:id="rId89" ref="AA55"/>
    <hyperlink r:id="rId90" ref="AA56"/>
    <hyperlink r:id="rId91" ref="Z57"/>
    <hyperlink r:id="rId92" ref="AA57"/>
    <hyperlink r:id="rId93" ref="Z58"/>
    <hyperlink r:id="rId94" ref="AA58"/>
    <hyperlink r:id="rId95" ref="Z59"/>
    <hyperlink r:id="rId96" ref="AB59"/>
    <hyperlink r:id="rId97" ref="Z60"/>
    <hyperlink r:id="rId98" ref="Z61"/>
    <hyperlink r:id="rId99" ref="Z62"/>
    <hyperlink r:id="rId100" ref="Z63"/>
    <hyperlink r:id="rId101" ref="Z64"/>
    <hyperlink r:id="rId102" ref="Z65"/>
    <hyperlink r:id="rId103" ref="Z66"/>
    <hyperlink r:id="rId104" ref="AA66"/>
    <hyperlink r:id="rId105" ref="Z69"/>
    <hyperlink r:id="rId106" ref="AA70"/>
    <hyperlink r:id="rId107" ref="Z71"/>
    <hyperlink r:id="rId108" ref="AA71"/>
    <hyperlink r:id="rId109" ref="Z72"/>
    <hyperlink r:id="rId110" ref="Z73"/>
    <hyperlink r:id="rId111" ref="AA73"/>
    <hyperlink r:id="rId112" ref="AB73"/>
    <hyperlink r:id="rId113" ref="Z74"/>
    <hyperlink r:id="rId114" ref="AA74"/>
    <hyperlink r:id="rId115" ref="Z75"/>
    <hyperlink r:id="rId116" ref="AA75"/>
    <hyperlink r:id="rId117" ref="Z76"/>
    <hyperlink r:id="rId118" ref="Z77"/>
    <hyperlink r:id="rId119" ref="Z78"/>
    <hyperlink r:id="rId120" ref="AA78"/>
    <hyperlink r:id="rId121" ref="Z79"/>
    <hyperlink r:id="rId122" ref="AA79"/>
    <hyperlink r:id="rId123" ref="Z80"/>
    <hyperlink r:id="rId124" ref="AA80"/>
    <hyperlink r:id="rId125" ref="AB80"/>
    <hyperlink r:id="rId126" ref="Z81"/>
    <hyperlink r:id="rId127" ref="AA81"/>
    <hyperlink r:id="rId128" ref="Z82"/>
    <hyperlink r:id="rId129" ref="AA82"/>
    <hyperlink r:id="rId130" ref="Z83"/>
    <hyperlink r:id="rId131" ref="Z84"/>
    <hyperlink r:id="rId132" ref="AA84"/>
    <hyperlink r:id="rId133" ref="Z85"/>
    <hyperlink r:id="rId134" ref="AA85"/>
    <hyperlink r:id="rId135" ref="Z86"/>
    <hyperlink r:id="rId136" ref="AA86"/>
    <hyperlink r:id="rId137" ref="Z87"/>
    <hyperlink r:id="rId138" ref="AA87"/>
    <hyperlink r:id="rId139" ref="Z88"/>
    <hyperlink r:id="rId140" location=":~:text=The%20venture%20is%20proposing%20a,via%20subsea%20pipeline%20to%20Singapore" ref="AA88"/>
    <hyperlink r:id="rId141" ref="Z89"/>
    <hyperlink r:id="rId142" ref="AA89"/>
    <hyperlink r:id="rId143" ref="Z90"/>
    <hyperlink r:id="rId144" ref="AA90"/>
    <hyperlink r:id="rId145" ref="Z91"/>
    <hyperlink r:id="rId146" ref="AA91"/>
    <hyperlink r:id="rId147" ref="Z93"/>
    <hyperlink r:id="rId148" ref="AA93"/>
    <hyperlink r:id="rId149" ref="Z94"/>
    <hyperlink r:id="rId150" ref="AA94"/>
    <hyperlink r:id="rId151" ref="Z95"/>
    <hyperlink r:id="rId152" ref="Z96"/>
    <hyperlink r:id="rId153" ref="Z97"/>
    <hyperlink r:id="rId154" ref="Z98"/>
    <hyperlink r:id="rId155" ref="Z99"/>
    <hyperlink r:id="rId156" ref="Z100"/>
    <hyperlink r:id="rId157" ref="Z101"/>
    <hyperlink r:id="rId158" ref="Z102"/>
    <hyperlink r:id="rId159" ref="Z103"/>
    <hyperlink r:id="rId160" ref="Z104"/>
    <hyperlink r:id="rId161" ref="Z105"/>
    <hyperlink r:id="rId162" ref="AA105"/>
    <hyperlink r:id="rId163" ref="AB105"/>
    <hyperlink r:id="rId164" ref="Z106"/>
    <hyperlink r:id="rId165" ref="AA106"/>
    <hyperlink r:id="rId166" ref="Z107"/>
    <hyperlink r:id="rId167" ref="Z108"/>
    <hyperlink r:id="rId168" ref="Z109"/>
    <hyperlink r:id="rId169" ref="AA109"/>
    <hyperlink r:id="rId170" ref="Z110"/>
    <hyperlink r:id="rId171" ref="AA110"/>
    <hyperlink r:id="rId172" ref="AA111"/>
    <hyperlink r:id="rId173" ref="AB112"/>
    <hyperlink r:id="rId174" ref="Z113"/>
    <hyperlink r:id="rId175" ref="AB113"/>
    <hyperlink r:id="rId176" ref="Z114"/>
    <hyperlink r:id="rId177" ref="AA114"/>
    <hyperlink r:id="rId178" location=":~:text=Netherlands%20%E2%80%93%20The%20Delta%20Rhine%20Corridor,2028%20but%20only%20in%202032." ref="AB114"/>
    <hyperlink r:id="rId179" ref="Z117"/>
    <hyperlink r:id="rId180" ref="AA117"/>
    <hyperlink r:id="rId181" ref="Z118"/>
    <hyperlink r:id="rId182" ref="AA118"/>
    <hyperlink r:id="rId183" ref="Z119"/>
    <hyperlink r:id="rId184" ref="AA119"/>
    <hyperlink r:id="rId185" ref="Z120"/>
    <hyperlink r:id="rId186" ref="AA120"/>
    <hyperlink r:id="rId187" ref="AB120"/>
    <hyperlink r:id="rId188" ref="AC120"/>
    <hyperlink r:id="rId189" ref="Z121"/>
    <hyperlink r:id="rId190" ref="AA121"/>
    <hyperlink r:id="rId191" ref="AB121"/>
    <hyperlink r:id="rId192" ref="Z128"/>
    <hyperlink r:id="rId193" ref="Z131"/>
    <hyperlink r:id="rId194" ref="AA131"/>
    <hyperlink r:id="rId195" ref="AA132"/>
    <hyperlink r:id="rId196" ref="Z135"/>
    <hyperlink r:id="rId197" ref="AA135"/>
    <hyperlink r:id="rId198" ref="Z136"/>
    <hyperlink r:id="rId199" ref="Z137"/>
    <hyperlink r:id="rId200" ref="Z138"/>
    <hyperlink r:id="rId201" ref="AA138"/>
    <hyperlink r:id="rId202" location=":~:text=The%20venture%20is%20proposing%20a,via%20subsea%20pipeline%20to%20Singapore" ref="Z139"/>
    <hyperlink r:id="rId203" ref="AA139"/>
    <hyperlink r:id="rId204" ref="Z140"/>
    <hyperlink r:id="rId205" ref="Z146"/>
    <hyperlink r:id="rId206" ref="AA146"/>
    <hyperlink r:id="rId207" ref="Z147"/>
    <hyperlink r:id="rId208" ref="AA147"/>
    <hyperlink r:id="rId209" ref="Z148"/>
    <hyperlink r:id="rId210" ref="Z149"/>
    <hyperlink r:id="rId211" ref="Z150"/>
    <hyperlink r:id="rId212" ref="AA150"/>
    <hyperlink r:id="rId213" ref="Z154"/>
  </hyperlinks>
  <printOptions/>
  <pageMargins bottom="0.75" footer="0.0" header="0.0" left="0.7" right="0.7" top="0.75"/>
  <pageSetup paperSize="9" orientation="portrait"/>
  <drawing r:id="rId214"/>
  <legacyDrawing r:id="rId215"/>
  <tableParts count="1">
    <tablePart r:id="rId217"/>
  </tableParts>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workbookViewId="0">
      <pane xSplit="4.0" ySplit="4.0" topLeftCell="E5" activePane="bottomRight" state="frozen"/>
      <selection activeCell="E1" sqref="E1" pane="topRight"/>
      <selection activeCell="A5" sqref="A5" pane="bottomLeft"/>
      <selection activeCell="E5" sqref="E5" pane="bottomRight"/>
    </sheetView>
  </sheetViews>
  <sheetFormatPr customHeight="1" defaultColWidth="14.43" defaultRowHeight="15.75"/>
  <cols>
    <col customWidth="1" min="1" max="1" width="10.29"/>
    <col customWidth="1" min="2" max="2" width="40.43"/>
    <col customWidth="1" min="3" max="3" width="10.14"/>
    <col customWidth="1" min="4" max="4" width="44.14"/>
    <col customWidth="1" min="5" max="7" width="5.71"/>
    <col customWidth="1" min="8" max="8" width="15.29"/>
    <col customWidth="1" min="9" max="9" width="15.14"/>
    <col customWidth="1" min="10" max="10" width="29.29"/>
    <col customWidth="1" min="11" max="12" width="14.86"/>
    <col customWidth="1" min="13" max="13" width="16.43"/>
    <col customWidth="1" min="14" max="14" width="24.86"/>
    <col customWidth="1" min="15" max="16" width="21.14"/>
    <col customWidth="1" min="17" max="18" width="15.0"/>
    <col customWidth="1" min="19" max="19" width="24.86"/>
    <col customWidth="1" min="20" max="26" width="8.86"/>
  </cols>
  <sheetData>
    <row r="1" ht="25.5" customHeight="1">
      <c r="A1" s="274" t="s">
        <v>22855</v>
      </c>
      <c r="B1" s="274"/>
      <c r="C1" s="274"/>
      <c r="D1" s="274"/>
      <c r="E1" s="274"/>
      <c r="F1" s="274"/>
      <c r="G1" s="274"/>
      <c r="H1" s="274"/>
      <c r="I1" s="274"/>
      <c r="J1" s="274"/>
      <c r="K1" s="274"/>
      <c r="L1" s="274"/>
      <c r="M1" s="274"/>
      <c r="N1" s="274"/>
      <c r="O1" s="274"/>
      <c r="P1" s="274"/>
      <c r="Q1" s="274"/>
      <c r="R1" s="275"/>
      <c r="S1" s="274"/>
      <c r="T1" s="253"/>
      <c r="U1" s="253"/>
      <c r="V1" s="253"/>
      <c r="W1" s="253"/>
      <c r="X1" s="253"/>
      <c r="Y1" s="253"/>
      <c r="Z1" s="253"/>
    </row>
    <row r="2" ht="21.0" customHeight="1">
      <c r="A2" s="76" t="s">
        <v>12329</v>
      </c>
      <c r="B2" s="76" t="s">
        <v>687</v>
      </c>
      <c r="C2" s="76" t="s">
        <v>40</v>
      </c>
      <c r="D2" s="76" t="s">
        <v>18702</v>
      </c>
      <c r="E2" s="77" t="s">
        <v>22157</v>
      </c>
      <c r="F2" s="77" t="s">
        <v>12330</v>
      </c>
      <c r="G2" s="77" t="s">
        <v>12331</v>
      </c>
      <c r="H2" s="276" t="s">
        <v>36</v>
      </c>
      <c r="I2" s="276" t="s">
        <v>22856</v>
      </c>
      <c r="J2" s="81" t="s">
        <v>12334</v>
      </c>
      <c r="K2" s="85" t="s">
        <v>12335</v>
      </c>
      <c r="L2" s="86"/>
      <c r="M2" s="87"/>
      <c r="N2" s="81" t="s">
        <v>666</v>
      </c>
      <c r="O2" s="81" t="s">
        <v>22161</v>
      </c>
      <c r="P2" s="78" t="s">
        <v>22162</v>
      </c>
      <c r="Q2" s="84" t="s">
        <v>18716</v>
      </c>
      <c r="R2" s="84" t="s">
        <v>18717</v>
      </c>
      <c r="S2" s="76" t="s">
        <v>22857</v>
      </c>
      <c r="T2" s="255"/>
      <c r="U2" s="255"/>
      <c r="V2" s="255"/>
      <c r="W2" s="255"/>
      <c r="X2" s="255"/>
      <c r="Y2" s="255"/>
      <c r="Z2" s="255"/>
    </row>
    <row r="3" ht="46.5" customHeight="1">
      <c r="A3" s="93"/>
      <c r="B3" s="93"/>
      <c r="C3" s="93"/>
      <c r="D3" s="93"/>
      <c r="E3" s="93"/>
      <c r="F3" s="93"/>
      <c r="G3" s="93"/>
      <c r="H3" s="93"/>
      <c r="I3" s="93"/>
      <c r="J3" s="96"/>
      <c r="K3" s="94" t="s">
        <v>12344</v>
      </c>
      <c r="L3" s="94" t="s">
        <v>22164</v>
      </c>
      <c r="M3" s="94" t="s">
        <v>22858</v>
      </c>
      <c r="N3" s="96" t="s">
        <v>670</v>
      </c>
      <c r="O3" s="96" t="s">
        <v>673</v>
      </c>
      <c r="P3" s="96" t="s">
        <v>22166</v>
      </c>
      <c r="Q3" s="98"/>
      <c r="R3" s="98"/>
      <c r="S3" s="277"/>
      <c r="T3" s="255"/>
      <c r="U3" s="255"/>
      <c r="V3" s="255"/>
      <c r="W3" s="255"/>
      <c r="X3" s="255"/>
      <c r="Y3" s="255"/>
      <c r="Z3" s="255"/>
    </row>
    <row r="4" ht="56.25" customHeight="1">
      <c r="A4" s="103" t="s">
        <v>12329</v>
      </c>
      <c r="B4" s="103" t="s">
        <v>687</v>
      </c>
      <c r="C4" s="103" t="s">
        <v>40</v>
      </c>
      <c r="D4" s="103" t="s">
        <v>18702</v>
      </c>
      <c r="E4" s="104" t="s">
        <v>22157</v>
      </c>
      <c r="F4" s="104" t="s">
        <v>12330</v>
      </c>
      <c r="G4" s="104" t="s">
        <v>12331</v>
      </c>
      <c r="H4" s="105" t="s">
        <v>36</v>
      </c>
      <c r="I4" s="105" t="s">
        <v>22859</v>
      </c>
      <c r="J4" s="105" t="s">
        <v>12334</v>
      </c>
      <c r="K4" s="105" t="s">
        <v>12368</v>
      </c>
      <c r="L4" s="105" t="s">
        <v>22175</v>
      </c>
      <c r="M4" s="105" t="s">
        <v>12370</v>
      </c>
      <c r="N4" s="105" t="s">
        <v>22176</v>
      </c>
      <c r="O4" s="105" t="s">
        <v>22179</v>
      </c>
      <c r="P4" s="105" t="s">
        <v>22180</v>
      </c>
      <c r="Q4" s="108" t="s">
        <v>18716</v>
      </c>
      <c r="R4" s="108" t="s">
        <v>18717</v>
      </c>
      <c r="S4" s="108" t="s">
        <v>689</v>
      </c>
      <c r="T4" s="255"/>
      <c r="U4" s="255"/>
      <c r="V4" s="255"/>
      <c r="W4" s="255"/>
      <c r="X4" s="255"/>
      <c r="Y4" s="255"/>
      <c r="Z4" s="255"/>
    </row>
    <row r="5" ht="34.5" customHeight="1">
      <c r="A5" s="111" t="s">
        <v>22860</v>
      </c>
      <c r="B5" s="127" t="s">
        <v>22861</v>
      </c>
      <c r="C5" s="111" t="s">
        <v>8021</v>
      </c>
      <c r="D5" s="111" t="s">
        <v>22862</v>
      </c>
      <c r="E5" s="111">
        <v>2021.0</v>
      </c>
      <c r="F5" s="111">
        <v>2021.0</v>
      </c>
      <c r="G5" s="111"/>
      <c r="H5" s="278" t="s">
        <v>12385</v>
      </c>
      <c r="I5" s="278">
        <v>0.05</v>
      </c>
      <c r="J5" s="127" t="s">
        <v>22863</v>
      </c>
      <c r="K5" s="146">
        <v>1.25</v>
      </c>
      <c r="L5" s="125"/>
      <c r="M5" s="125"/>
      <c r="N5" s="125"/>
      <c r="O5" s="125"/>
      <c r="P5" s="125"/>
      <c r="Q5" s="259" t="s">
        <v>22189</v>
      </c>
      <c r="R5" s="260"/>
      <c r="S5" s="260" t="s">
        <v>22864</v>
      </c>
      <c r="T5" s="261"/>
      <c r="U5" s="261"/>
      <c r="V5" s="261"/>
      <c r="W5" s="261"/>
      <c r="X5" s="261"/>
      <c r="Y5" s="261"/>
      <c r="Z5" s="261"/>
    </row>
    <row r="6" ht="34.5" customHeight="1">
      <c r="A6" s="111" t="s">
        <v>22865</v>
      </c>
      <c r="B6" s="127" t="s">
        <v>22866</v>
      </c>
      <c r="C6" s="111" t="s">
        <v>8021</v>
      </c>
      <c r="D6" s="111" t="s">
        <v>22867</v>
      </c>
      <c r="E6" s="111">
        <v>2021.0</v>
      </c>
      <c r="F6" s="111">
        <v>2021.0</v>
      </c>
      <c r="G6" s="111"/>
      <c r="H6" s="278" t="s">
        <v>12385</v>
      </c>
      <c r="I6" s="278">
        <v>0.02</v>
      </c>
      <c r="J6" s="127" t="s">
        <v>22868</v>
      </c>
      <c r="K6" s="124"/>
      <c r="L6" s="125"/>
      <c r="M6" s="125"/>
      <c r="N6" s="125"/>
      <c r="O6" s="125"/>
      <c r="P6" s="125"/>
      <c r="Q6" s="259" t="s">
        <v>22189</v>
      </c>
      <c r="R6" s="260"/>
      <c r="S6" s="260" t="s">
        <v>22869</v>
      </c>
      <c r="T6" s="261"/>
      <c r="U6" s="261"/>
      <c r="V6" s="261"/>
      <c r="W6" s="261"/>
      <c r="X6" s="261"/>
      <c r="Y6" s="261"/>
      <c r="Z6" s="261"/>
    </row>
    <row r="7" ht="34.5" customHeight="1">
      <c r="A7" s="111" t="s">
        <v>22870</v>
      </c>
      <c r="B7" s="127" t="s">
        <v>22871</v>
      </c>
      <c r="C7" s="111" t="s">
        <v>8021</v>
      </c>
      <c r="D7" s="111" t="s">
        <v>22862</v>
      </c>
      <c r="E7" s="111">
        <v>2022.0</v>
      </c>
      <c r="F7" s="257">
        <v>2022.0</v>
      </c>
      <c r="G7" s="111"/>
      <c r="H7" s="278" t="s">
        <v>12399</v>
      </c>
      <c r="I7" s="278">
        <v>0.1</v>
      </c>
      <c r="J7" s="111" t="s">
        <v>22872</v>
      </c>
      <c r="K7" s="124"/>
      <c r="L7" s="125"/>
      <c r="M7" s="125"/>
      <c r="N7" s="125"/>
      <c r="O7" s="125"/>
      <c r="P7" s="125"/>
      <c r="Q7" s="259" t="s">
        <v>22189</v>
      </c>
      <c r="R7" s="259" t="s">
        <v>22189</v>
      </c>
      <c r="S7" s="260" t="s">
        <v>22873</v>
      </c>
      <c r="T7" s="261"/>
      <c r="U7" s="261"/>
      <c r="V7" s="261"/>
      <c r="W7" s="261"/>
      <c r="X7" s="261"/>
      <c r="Y7" s="261"/>
      <c r="Z7" s="261"/>
    </row>
    <row r="8" ht="81.75" customHeight="1">
      <c r="A8" s="111" t="s">
        <v>22874</v>
      </c>
      <c r="B8" s="127" t="s">
        <v>22875</v>
      </c>
      <c r="C8" s="111" t="s">
        <v>8021</v>
      </c>
      <c r="D8" s="111" t="s">
        <v>22876</v>
      </c>
      <c r="E8" s="111">
        <v>2022.0</v>
      </c>
      <c r="F8" s="111">
        <v>2022.0</v>
      </c>
      <c r="G8" s="111"/>
      <c r="H8" s="111" t="s">
        <v>12385</v>
      </c>
      <c r="I8" s="111" t="s">
        <v>22877</v>
      </c>
      <c r="J8" s="111" t="s">
        <v>22878</v>
      </c>
      <c r="K8" s="124">
        <v>0.175</v>
      </c>
      <c r="L8" s="125"/>
      <c r="M8" s="125"/>
      <c r="N8" s="125"/>
      <c r="O8" s="125"/>
      <c r="P8" s="125"/>
      <c r="Q8" s="259" t="s">
        <v>22189</v>
      </c>
      <c r="R8" s="260"/>
      <c r="S8" s="260" t="s">
        <v>22879</v>
      </c>
      <c r="T8" s="261"/>
      <c r="U8" s="261"/>
      <c r="V8" s="261"/>
      <c r="W8" s="261"/>
      <c r="X8" s="261"/>
      <c r="Y8" s="261"/>
      <c r="Z8" s="261"/>
    </row>
    <row r="9" ht="81.75" customHeight="1">
      <c r="A9" s="111" t="s">
        <v>22880</v>
      </c>
      <c r="B9" s="127" t="s">
        <v>22881</v>
      </c>
      <c r="C9" s="111" t="s">
        <v>8021</v>
      </c>
      <c r="D9" s="111" t="s">
        <v>22882</v>
      </c>
      <c r="E9" s="111">
        <v>2023.0</v>
      </c>
      <c r="F9" s="257">
        <v>2023.0</v>
      </c>
      <c r="G9" s="111"/>
      <c r="H9" s="278" t="s">
        <v>18192</v>
      </c>
      <c r="I9" s="111" t="s">
        <v>19</v>
      </c>
      <c r="J9" s="111" t="s">
        <v>22883</v>
      </c>
      <c r="K9" s="124"/>
      <c r="L9" s="125"/>
      <c r="M9" s="125"/>
      <c r="N9" s="125"/>
      <c r="O9" s="125"/>
      <c r="P9" s="125"/>
      <c r="Q9" s="259" t="s">
        <v>22189</v>
      </c>
      <c r="R9" s="259" t="s">
        <v>22189</v>
      </c>
      <c r="S9" s="260" t="s">
        <v>22884</v>
      </c>
      <c r="T9" s="261"/>
      <c r="U9" s="261"/>
      <c r="V9" s="261"/>
      <c r="W9" s="261"/>
      <c r="X9" s="261"/>
      <c r="Y9" s="261"/>
      <c r="Z9" s="261"/>
    </row>
    <row r="10" ht="49.5" customHeight="1">
      <c r="A10" s="111" t="s">
        <v>22885</v>
      </c>
      <c r="B10" s="127" t="s">
        <v>22886</v>
      </c>
      <c r="C10" s="111" t="s">
        <v>8021</v>
      </c>
      <c r="D10" s="111" t="s">
        <v>22887</v>
      </c>
      <c r="E10" s="111">
        <v>2023.0</v>
      </c>
      <c r="F10" s="257">
        <v>2030.0</v>
      </c>
      <c r="G10" s="111"/>
      <c r="H10" s="278" t="s">
        <v>18638</v>
      </c>
      <c r="I10" s="111" t="s">
        <v>19</v>
      </c>
      <c r="J10" s="127" t="s">
        <v>22888</v>
      </c>
      <c r="K10" s="124"/>
      <c r="L10" s="125"/>
      <c r="M10" s="125"/>
      <c r="N10" s="125"/>
      <c r="O10" s="125"/>
      <c r="P10" s="125" t="s">
        <v>22889</v>
      </c>
      <c r="Q10" s="259" t="s">
        <v>22189</v>
      </c>
      <c r="R10" s="259" t="s">
        <v>22189</v>
      </c>
      <c r="S10" s="260" t="s">
        <v>22890</v>
      </c>
      <c r="T10" s="261"/>
      <c r="U10" s="261"/>
      <c r="V10" s="261"/>
      <c r="W10" s="261"/>
      <c r="X10" s="261"/>
      <c r="Y10" s="261"/>
      <c r="Z10" s="261"/>
    </row>
    <row r="11" ht="34.5" customHeight="1">
      <c r="A11" s="111" t="s">
        <v>22891</v>
      </c>
      <c r="B11" s="127" t="s">
        <v>22892</v>
      </c>
      <c r="C11" s="111" t="s">
        <v>8003</v>
      </c>
      <c r="D11" s="111" t="s">
        <v>22876</v>
      </c>
      <c r="E11" s="111">
        <v>2022.0</v>
      </c>
      <c r="F11" s="111">
        <v>2022.0</v>
      </c>
      <c r="G11" s="111"/>
      <c r="H11" s="278" t="s">
        <v>12385</v>
      </c>
      <c r="I11" s="111" t="s">
        <v>19</v>
      </c>
      <c r="J11" s="111" t="s">
        <v>22893</v>
      </c>
      <c r="K11" s="124">
        <v>10.0</v>
      </c>
      <c r="L11" s="125"/>
      <c r="M11" s="125"/>
      <c r="N11" s="125"/>
      <c r="O11" s="125"/>
      <c r="P11" s="125"/>
      <c r="Q11" s="259" t="s">
        <v>22189</v>
      </c>
      <c r="R11" s="260"/>
      <c r="S11" s="260" t="s">
        <v>22894</v>
      </c>
      <c r="T11" s="261"/>
      <c r="U11" s="261"/>
      <c r="V11" s="261"/>
      <c r="W11" s="261"/>
      <c r="X11" s="261"/>
      <c r="Y11" s="261"/>
      <c r="Z11" s="261"/>
    </row>
    <row r="12" ht="34.5" customHeight="1">
      <c r="A12" s="111" t="s">
        <v>22895</v>
      </c>
      <c r="B12" s="127" t="s">
        <v>22896</v>
      </c>
      <c r="C12" s="111" t="s">
        <v>8003</v>
      </c>
      <c r="D12" s="111" t="s">
        <v>22897</v>
      </c>
      <c r="E12" s="111">
        <v>2022.0</v>
      </c>
      <c r="F12" s="111">
        <v>2022.0</v>
      </c>
      <c r="G12" s="111"/>
      <c r="H12" s="111" t="s">
        <v>12385</v>
      </c>
      <c r="I12" s="111" t="s">
        <v>19</v>
      </c>
      <c r="J12" s="111" t="s">
        <v>22898</v>
      </c>
      <c r="K12" s="124"/>
      <c r="L12" s="125"/>
      <c r="M12" s="125"/>
      <c r="N12" s="125"/>
      <c r="O12" s="125"/>
      <c r="P12" s="125" t="s">
        <v>22899</v>
      </c>
      <c r="Q12" s="259" t="s">
        <v>22189</v>
      </c>
      <c r="R12" s="259" t="s">
        <v>22189</v>
      </c>
      <c r="S12" s="260" t="s">
        <v>22900</v>
      </c>
      <c r="T12" s="261"/>
      <c r="U12" s="261"/>
      <c r="V12" s="261"/>
      <c r="W12" s="261"/>
      <c r="X12" s="261"/>
      <c r="Y12" s="261"/>
      <c r="Z12" s="261"/>
    </row>
    <row r="13" ht="34.5" customHeight="1">
      <c r="A13" s="111" t="s">
        <v>22901</v>
      </c>
      <c r="B13" s="127" t="s">
        <v>22902</v>
      </c>
      <c r="C13" s="111" t="s">
        <v>8071</v>
      </c>
      <c r="D13" s="111" t="s">
        <v>22903</v>
      </c>
      <c r="E13" s="111">
        <v>2022.0</v>
      </c>
      <c r="F13" s="111">
        <v>2022.0</v>
      </c>
      <c r="G13" s="111"/>
      <c r="H13" s="278" t="s">
        <v>12385</v>
      </c>
      <c r="I13" s="111" t="s">
        <v>22904</v>
      </c>
      <c r="J13" s="128" t="s">
        <v>22905</v>
      </c>
      <c r="K13" s="124"/>
      <c r="L13" s="125"/>
      <c r="M13" s="126"/>
      <c r="N13" s="126"/>
      <c r="O13" s="126"/>
      <c r="P13" s="126"/>
      <c r="Q13" s="262" t="s">
        <v>22189</v>
      </c>
      <c r="R13" s="127"/>
      <c r="S13" s="260" t="s">
        <v>22906</v>
      </c>
      <c r="T13" s="261"/>
      <c r="U13" s="261"/>
      <c r="V13" s="261"/>
      <c r="W13" s="261"/>
      <c r="X13" s="261"/>
      <c r="Y13" s="261"/>
      <c r="Z13" s="261"/>
    </row>
    <row r="14" ht="34.5" customHeight="1">
      <c r="A14" s="111" t="s">
        <v>22907</v>
      </c>
      <c r="B14" s="127" t="s">
        <v>22908</v>
      </c>
      <c r="C14" s="111" t="s">
        <v>8737</v>
      </c>
      <c r="D14" s="111" t="s">
        <v>22909</v>
      </c>
      <c r="E14" s="111">
        <v>2022.0</v>
      </c>
      <c r="F14" s="111">
        <v>2022.0</v>
      </c>
      <c r="G14" s="111"/>
      <c r="H14" s="278" t="s">
        <v>12385</v>
      </c>
      <c r="I14" s="111" t="s">
        <v>19</v>
      </c>
      <c r="J14" s="128" t="s">
        <v>22910</v>
      </c>
      <c r="K14" s="124"/>
      <c r="L14" s="125"/>
      <c r="M14" s="138">
        <v>0.0016</v>
      </c>
      <c r="N14" s="126"/>
      <c r="O14" s="126"/>
      <c r="P14" s="126"/>
      <c r="Q14" s="262" t="s">
        <v>22189</v>
      </c>
      <c r="R14" s="127"/>
      <c r="S14" s="260" t="s">
        <v>22911</v>
      </c>
      <c r="T14" s="261"/>
      <c r="U14" s="261"/>
      <c r="V14" s="261"/>
      <c r="W14" s="261"/>
      <c r="X14" s="261"/>
      <c r="Y14" s="261"/>
      <c r="Z14" s="261"/>
    </row>
    <row r="15" ht="34.5" customHeight="1">
      <c r="A15" s="111" t="s">
        <v>22912</v>
      </c>
      <c r="B15" s="127" t="s">
        <v>22913</v>
      </c>
      <c r="C15" s="111" t="s">
        <v>7987</v>
      </c>
      <c r="D15" s="111" t="s">
        <v>22914</v>
      </c>
      <c r="E15" s="111">
        <v>2013.0</v>
      </c>
      <c r="F15" s="111">
        <v>2013.0</v>
      </c>
      <c r="G15" s="111">
        <v>2017.0</v>
      </c>
      <c r="H15" s="278" t="s">
        <v>12437</v>
      </c>
      <c r="I15" s="111" t="s">
        <v>19</v>
      </c>
      <c r="J15" s="128" t="s">
        <v>22915</v>
      </c>
      <c r="K15" s="124">
        <v>0.325</v>
      </c>
      <c r="L15" s="125"/>
      <c r="M15" s="126"/>
      <c r="N15" s="126"/>
      <c r="O15" s="126"/>
      <c r="P15" s="126"/>
      <c r="Q15" s="262" t="s">
        <v>22189</v>
      </c>
      <c r="R15" s="127"/>
      <c r="S15" s="260" t="s">
        <v>287</v>
      </c>
      <c r="T15" s="261"/>
      <c r="U15" s="261"/>
      <c r="V15" s="261"/>
      <c r="W15" s="261"/>
      <c r="X15" s="261"/>
      <c r="Y15" s="261"/>
      <c r="Z15" s="261"/>
    </row>
    <row r="16" ht="34.5" customHeight="1">
      <c r="A16" s="111" t="s">
        <v>22916</v>
      </c>
      <c r="B16" s="127" t="s">
        <v>22917</v>
      </c>
      <c r="C16" s="111" t="s">
        <v>7987</v>
      </c>
      <c r="D16" s="111" t="s">
        <v>22917</v>
      </c>
      <c r="E16" s="111">
        <v>2016.0</v>
      </c>
      <c r="F16" s="111">
        <v>2016.0</v>
      </c>
      <c r="G16" s="111"/>
      <c r="H16" s="111" t="s">
        <v>12385</v>
      </c>
      <c r="I16" s="111" t="s">
        <v>22918</v>
      </c>
      <c r="J16" s="128" t="s">
        <v>22919</v>
      </c>
      <c r="K16" s="124"/>
      <c r="L16" s="125"/>
      <c r="M16" s="126"/>
      <c r="N16" s="126"/>
      <c r="O16" s="126"/>
      <c r="P16" s="126"/>
      <c r="Q16" s="262" t="s">
        <v>22189</v>
      </c>
      <c r="R16" s="127"/>
      <c r="S16" s="260" t="s">
        <v>88</v>
      </c>
      <c r="T16" s="261"/>
      <c r="U16" s="261"/>
      <c r="V16" s="261"/>
      <c r="W16" s="261"/>
      <c r="X16" s="261"/>
      <c r="Y16" s="261"/>
      <c r="Z16" s="261"/>
    </row>
    <row r="17" ht="34.5" customHeight="1">
      <c r="A17" s="111" t="s">
        <v>22920</v>
      </c>
      <c r="B17" s="127" t="s">
        <v>22921</v>
      </c>
      <c r="C17" s="111" t="s">
        <v>7987</v>
      </c>
      <c r="D17" s="111" t="s">
        <v>22921</v>
      </c>
      <c r="E17" s="111">
        <v>2017.0</v>
      </c>
      <c r="F17" s="111">
        <v>2017.0</v>
      </c>
      <c r="G17" s="111"/>
      <c r="H17" s="278" t="s">
        <v>12385</v>
      </c>
      <c r="I17" s="278">
        <v>0.02</v>
      </c>
      <c r="J17" s="128" t="s">
        <v>22922</v>
      </c>
      <c r="K17" s="124">
        <v>0.2</v>
      </c>
      <c r="L17" s="125"/>
      <c r="M17" s="126"/>
      <c r="N17" s="126"/>
      <c r="O17" s="126"/>
      <c r="P17" s="126"/>
      <c r="Q17" s="262" t="s">
        <v>22189</v>
      </c>
      <c r="R17" s="127"/>
      <c r="S17" s="260" t="s">
        <v>22923</v>
      </c>
      <c r="T17" s="261"/>
      <c r="U17" s="261"/>
      <c r="V17" s="261"/>
      <c r="W17" s="261"/>
      <c r="X17" s="261"/>
      <c r="Y17" s="261"/>
      <c r="Z17" s="261"/>
    </row>
    <row r="18" ht="34.5" customHeight="1">
      <c r="A18" s="111" t="s">
        <v>22924</v>
      </c>
      <c r="B18" s="127" t="s">
        <v>22925</v>
      </c>
      <c r="C18" s="111" t="s">
        <v>7987</v>
      </c>
      <c r="D18" s="111" t="s">
        <v>22925</v>
      </c>
      <c r="E18" s="111">
        <v>2019.0</v>
      </c>
      <c r="F18" s="111">
        <v>2019.0</v>
      </c>
      <c r="G18" s="111"/>
      <c r="H18" s="278" t="s">
        <v>12385</v>
      </c>
      <c r="I18" s="278">
        <v>0.02</v>
      </c>
      <c r="J18" s="128" t="s">
        <v>22926</v>
      </c>
      <c r="K18" s="124">
        <v>2.4</v>
      </c>
      <c r="L18" s="125"/>
      <c r="M18" s="126"/>
      <c r="N18" s="126"/>
      <c r="O18" s="126"/>
      <c r="P18" s="126"/>
      <c r="Q18" s="262" t="s">
        <v>22189</v>
      </c>
      <c r="R18" s="127"/>
      <c r="S18" s="260" t="s">
        <v>22927</v>
      </c>
      <c r="T18" s="261"/>
      <c r="U18" s="261"/>
      <c r="V18" s="261"/>
      <c r="W18" s="261"/>
      <c r="X18" s="261"/>
      <c r="Y18" s="261"/>
      <c r="Z18" s="261"/>
    </row>
    <row r="19" ht="34.5" customHeight="1">
      <c r="A19" s="111" t="s">
        <v>22928</v>
      </c>
      <c r="B19" s="127" t="s">
        <v>22929</v>
      </c>
      <c r="C19" s="111" t="s">
        <v>7977</v>
      </c>
      <c r="D19" s="111" t="s">
        <v>22930</v>
      </c>
      <c r="E19" s="111">
        <v>2024.0</v>
      </c>
      <c r="F19" s="111">
        <v>2024.0</v>
      </c>
      <c r="G19" s="111"/>
      <c r="H19" s="278" t="s">
        <v>12385</v>
      </c>
      <c r="I19" s="278">
        <v>0.02</v>
      </c>
      <c r="J19" s="128" t="s">
        <v>22931</v>
      </c>
      <c r="K19" s="124">
        <v>2.5</v>
      </c>
      <c r="L19" s="125"/>
      <c r="M19" s="126"/>
      <c r="N19" s="126" t="s">
        <v>22932</v>
      </c>
      <c r="O19" s="126"/>
      <c r="P19" s="126"/>
      <c r="Q19" s="262" t="s">
        <v>22189</v>
      </c>
      <c r="R19" s="262" t="s">
        <v>22189</v>
      </c>
      <c r="S19" s="260" t="s">
        <v>22933</v>
      </c>
      <c r="T19" s="261"/>
      <c r="U19" s="261"/>
      <c r="V19" s="261"/>
      <c r="W19" s="261"/>
      <c r="X19" s="261"/>
      <c r="Y19" s="261"/>
      <c r="Z19" s="261"/>
    </row>
    <row r="20" ht="34.5" customHeight="1">
      <c r="A20" s="111" t="s">
        <v>22934</v>
      </c>
      <c r="B20" s="127" t="s">
        <v>22935</v>
      </c>
      <c r="C20" s="111" t="s">
        <v>8011</v>
      </c>
      <c r="D20" s="111" t="s">
        <v>22936</v>
      </c>
      <c r="E20" s="111"/>
      <c r="F20" s="257"/>
      <c r="G20" s="111"/>
      <c r="H20" s="111" t="s">
        <v>18638</v>
      </c>
      <c r="I20" s="111" t="s">
        <v>22937</v>
      </c>
      <c r="J20" s="128" t="s">
        <v>22938</v>
      </c>
      <c r="K20" s="124"/>
      <c r="L20" s="125"/>
      <c r="M20" s="126"/>
      <c r="N20" s="126"/>
      <c r="O20" s="126"/>
      <c r="P20" s="126"/>
      <c r="Q20" s="262" t="s">
        <v>22189</v>
      </c>
      <c r="R20" s="262" t="s">
        <v>22189</v>
      </c>
      <c r="S20" s="260"/>
      <c r="T20" s="261"/>
      <c r="U20" s="261"/>
      <c r="V20" s="261"/>
      <c r="W20" s="261"/>
      <c r="X20" s="261"/>
      <c r="Y20" s="261"/>
      <c r="Z20" s="261"/>
    </row>
    <row r="21" ht="34.5" customHeight="1">
      <c r="A21" s="111" t="s">
        <v>22939</v>
      </c>
      <c r="B21" s="127" t="s">
        <v>140</v>
      </c>
      <c r="C21" s="111" t="s">
        <v>7991</v>
      </c>
      <c r="D21" s="111" t="s">
        <v>22940</v>
      </c>
      <c r="E21" s="111">
        <v>2019.0</v>
      </c>
      <c r="F21" s="111">
        <v>2019.0</v>
      </c>
      <c r="G21" s="111">
        <v>2021.0</v>
      </c>
      <c r="H21" s="278" t="s">
        <v>12437</v>
      </c>
      <c r="I21" s="278">
        <v>0.2</v>
      </c>
      <c r="J21" s="124" t="s">
        <v>22941</v>
      </c>
      <c r="K21" s="124"/>
      <c r="L21" s="125"/>
      <c r="M21" s="126"/>
      <c r="N21" s="126"/>
      <c r="O21" s="126"/>
      <c r="P21" s="126"/>
      <c r="Q21" s="262" t="s">
        <v>22189</v>
      </c>
      <c r="R21" s="127"/>
      <c r="S21" s="260" t="s">
        <v>22942</v>
      </c>
      <c r="T21" s="261"/>
      <c r="U21" s="261"/>
      <c r="V21" s="261"/>
      <c r="W21" s="261"/>
      <c r="X21" s="261"/>
      <c r="Y21" s="261"/>
      <c r="Z21" s="261"/>
    </row>
    <row r="22" ht="34.5" customHeight="1">
      <c r="A22" s="111" t="s">
        <v>22943</v>
      </c>
      <c r="B22" s="127" t="s">
        <v>22944</v>
      </c>
      <c r="C22" s="111" t="s">
        <v>7991</v>
      </c>
      <c r="D22" s="111" t="s">
        <v>22940</v>
      </c>
      <c r="E22" s="111">
        <v>2021.0</v>
      </c>
      <c r="F22" s="111">
        <v>2021.0</v>
      </c>
      <c r="G22" s="111">
        <v>2022.0</v>
      </c>
      <c r="H22" s="278" t="s">
        <v>12437</v>
      </c>
      <c r="I22" s="278">
        <v>0.2</v>
      </c>
      <c r="J22" s="279" t="s">
        <v>22945</v>
      </c>
      <c r="K22" s="124"/>
      <c r="L22" s="125"/>
      <c r="M22" s="126"/>
      <c r="N22" s="126"/>
      <c r="O22" s="126"/>
      <c r="P22" s="126" t="s">
        <v>22946</v>
      </c>
      <c r="Q22" s="262" t="s">
        <v>22189</v>
      </c>
      <c r="R22" s="127"/>
      <c r="S22" s="260" t="s">
        <v>22947</v>
      </c>
      <c r="T22" s="261"/>
      <c r="U22" s="261"/>
      <c r="V22" s="261"/>
      <c r="W22" s="261"/>
      <c r="X22" s="261"/>
      <c r="Y22" s="261"/>
      <c r="Z22" s="261"/>
    </row>
    <row r="23" ht="34.5" customHeight="1">
      <c r="A23" s="111" t="s">
        <v>22948</v>
      </c>
      <c r="B23" s="127" t="s">
        <v>22949</v>
      </c>
      <c r="C23" s="266" t="s">
        <v>7991</v>
      </c>
      <c r="D23" s="111" t="s">
        <v>22950</v>
      </c>
      <c r="E23" s="111">
        <v>2025.0</v>
      </c>
      <c r="F23" s="257">
        <v>2025.0</v>
      </c>
      <c r="G23" s="111"/>
      <c r="H23" s="278" t="s">
        <v>18192</v>
      </c>
      <c r="I23" s="278">
        <v>0.2</v>
      </c>
      <c r="J23" s="124" t="s">
        <v>22951</v>
      </c>
      <c r="K23" s="124"/>
      <c r="L23" s="125"/>
      <c r="M23" s="126"/>
      <c r="N23" s="126"/>
      <c r="O23" s="126"/>
      <c r="P23" s="126"/>
      <c r="Q23" s="262" t="s">
        <v>22189</v>
      </c>
      <c r="R23" s="262" t="s">
        <v>22189</v>
      </c>
      <c r="S23" s="260" t="s">
        <v>22952</v>
      </c>
      <c r="T23" s="261"/>
      <c r="U23" s="261"/>
      <c r="V23" s="261"/>
      <c r="W23" s="261"/>
      <c r="X23" s="261"/>
      <c r="Y23" s="261"/>
      <c r="Z23" s="261"/>
    </row>
    <row r="24" ht="34.5" customHeight="1">
      <c r="A24" s="111" t="s">
        <v>22953</v>
      </c>
      <c r="B24" s="127" t="s">
        <v>22954</v>
      </c>
      <c r="C24" s="111" t="s">
        <v>8117</v>
      </c>
      <c r="D24" s="111" t="s">
        <v>22955</v>
      </c>
      <c r="E24" s="111">
        <v>2030.0</v>
      </c>
      <c r="F24" s="257">
        <v>2030.0</v>
      </c>
      <c r="G24" s="111"/>
      <c r="H24" s="111" t="s">
        <v>12397</v>
      </c>
      <c r="I24" s="111"/>
      <c r="J24" s="127" t="s">
        <v>22956</v>
      </c>
      <c r="K24" s="124"/>
      <c r="L24" s="125"/>
      <c r="M24" s="125"/>
      <c r="N24" s="125" t="s">
        <v>19</v>
      </c>
      <c r="O24" s="125"/>
      <c r="P24" s="125"/>
      <c r="Q24" s="259" t="s">
        <v>22189</v>
      </c>
      <c r="R24" s="259" t="s">
        <v>22189</v>
      </c>
      <c r="S24" s="260" t="s">
        <v>22957</v>
      </c>
      <c r="T24" s="261"/>
      <c r="U24" s="261"/>
      <c r="V24" s="261"/>
      <c r="W24" s="261"/>
      <c r="X24" s="261"/>
      <c r="Y24" s="261"/>
      <c r="Z24" s="261"/>
    </row>
    <row r="25" ht="34.5" customHeight="1">
      <c r="A25" s="111" t="s">
        <v>22958</v>
      </c>
      <c r="B25" s="127" t="s">
        <v>22959</v>
      </c>
      <c r="C25" s="111" t="s">
        <v>8108</v>
      </c>
      <c r="D25" s="111" t="s">
        <v>22960</v>
      </c>
      <c r="E25" s="111">
        <v>2022.0</v>
      </c>
      <c r="F25" s="111">
        <v>2022.0</v>
      </c>
      <c r="G25" s="111"/>
      <c r="H25" s="278" t="s">
        <v>12385</v>
      </c>
      <c r="I25" s="278">
        <v>0.02</v>
      </c>
      <c r="J25" s="128" t="s">
        <v>19</v>
      </c>
      <c r="K25" s="124"/>
      <c r="L25" s="125"/>
      <c r="M25" s="126"/>
      <c r="N25" s="126"/>
      <c r="O25" s="126"/>
      <c r="P25" s="126"/>
      <c r="Q25" s="262" t="s">
        <v>22189</v>
      </c>
      <c r="R25" s="262" t="s">
        <v>22189</v>
      </c>
      <c r="S25" s="260" t="s">
        <v>22961</v>
      </c>
      <c r="T25" s="261"/>
      <c r="U25" s="261"/>
      <c r="V25" s="261"/>
      <c r="W25" s="261"/>
      <c r="X25" s="261"/>
      <c r="Y25" s="261"/>
      <c r="Z25" s="261"/>
    </row>
    <row r="26" ht="34.5" customHeight="1">
      <c r="A26" s="111" t="s">
        <v>22962</v>
      </c>
      <c r="B26" s="127" t="s">
        <v>22963</v>
      </c>
      <c r="C26" s="111" t="s">
        <v>8108</v>
      </c>
      <c r="D26" s="111" t="s">
        <v>22964</v>
      </c>
      <c r="E26" s="111">
        <v>2023.0</v>
      </c>
      <c r="F26" s="111">
        <v>2023.0</v>
      </c>
      <c r="G26" s="111"/>
      <c r="H26" s="278" t="s">
        <v>12385</v>
      </c>
      <c r="I26" s="280" t="s">
        <v>22965</v>
      </c>
      <c r="J26" s="111" t="s">
        <v>22966</v>
      </c>
      <c r="K26" s="124"/>
      <c r="L26" s="125"/>
      <c r="M26" s="125"/>
      <c r="N26" s="125"/>
      <c r="O26" s="125"/>
      <c r="P26" s="125"/>
      <c r="Q26" s="259" t="s">
        <v>22189</v>
      </c>
      <c r="R26" s="260"/>
      <c r="S26" s="260" t="s">
        <v>22967</v>
      </c>
      <c r="T26" s="261"/>
      <c r="U26" s="261"/>
      <c r="V26" s="261"/>
      <c r="W26" s="261"/>
      <c r="X26" s="261"/>
      <c r="Y26" s="261"/>
      <c r="Z26" s="261"/>
    </row>
    <row r="27" ht="34.5" customHeight="1">
      <c r="A27" s="111" t="s">
        <v>22968</v>
      </c>
      <c r="B27" s="127" t="s">
        <v>22969</v>
      </c>
      <c r="C27" s="111" t="s">
        <v>8161</v>
      </c>
      <c r="D27" s="111" t="s">
        <v>22970</v>
      </c>
      <c r="E27" s="111">
        <v>2023.0</v>
      </c>
      <c r="F27" s="111">
        <v>2023.0</v>
      </c>
      <c r="G27" s="111"/>
      <c r="H27" s="278" t="s">
        <v>12385</v>
      </c>
      <c r="I27" s="278">
        <v>0.2</v>
      </c>
      <c r="J27" s="128" t="s">
        <v>22971</v>
      </c>
      <c r="K27" s="124"/>
      <c r="L27" s="125"/>
      <c r="M27" s="126"/>
      <c r="N27" s="126"/>
      <c r="O27" s="126"/>
      <c r="P27" s="126"/>
      <c r="Q27" s="262" t="s">
        <v>22189</v>
      </c>
      <c r="R27" s="127"/>
      <c r="S27" s="260" t="s">
        <v>22972</v>
      </c>
      <c r="T27" s="261"/>
      <c r="U27" s="261"/>
      <c r="V27" s="261"/>
      <c r="W27" s="261"/>
      <c r="X27" s="261"/>
      <c r="Y27" s="261"/>
      <c r="Z27" s="261"/>
    </row>
    <row r="28" ht="34.5" customHeight="1">
      <c r="A28" s="111" t="s">
        <v>22973</v>
      </c>
      <c r="B28" s="127" t="s">
        <v>22974</v>
      </c>
      <c r="C28" s="111" t="s">
        <v>9176</v>
      </c>
      <c r="D28" s="111" t="s">
        <v>22975</v>
      </c>
      <c r="E28" s="111">
        <v>2023.0</v>
      </c>
      <c r="F28" s="111">
        <v>2023.0</v>
      </c>
      <c r="G28" s="111"/>
      <c r="H28" s="111" t="s">
        <v>12385</v>
      </c>
      <c r="I28" s="278">
        <v>0.2</v>
      </c>
      <c r="J28" s="128" t="s">
        <v>22976</v>
      </c>
      <c r="K28" s="124"/>
      <c r="L28" s="125"/>
      <c r="M28" s="126"/>
      <c r="N28" s="126"/>
      <c r="O28" s="126"/>
      <c r="P28" s="126"/>
      <c r="Q28" s="262" t="s">
        <v>22189</v>
      </c>
      <c r="R28" s="127"/>
      <c r="S28" s="260" t="s">
        <v>22977</v>
      </c>
      <c r="T28" s="261"/>
      <c r="U28" s="261"/>
      <c r="V28" s="261"/>
      <c r="W28" s="261"/>
      <c r="X28" s="261"/>
      <c r="Y28" s="261"/>
      <c r="Z28" s="261"/>
    </row>
    <row r="29" ht="34.5" customHeight="1">
      <c r="A29" s="111" t="s">
        <v>22978</v>
      </c>
      <c r="B29" s="127" t="s">
        <v>22979</v>
      </c>
      <c r="C29" s="111" t="s">
        <v>7981</v>
      </c>
      <c r="D29" s="111" t="s">
        <v>22979</v>
      </c>
      <c r="E29" s="111">
        <v>2021.0</v>
      </c>
      <c r="F29" s="111">
        <v>2021.0</v>
      </c>
      <c r="G29" s="111"/>
      <c r="H29" s="278" t="s">
        <v>12385</v>
      </c>
      <c r="I29" s="278">
        <v>0.05</v>
      </c>
      <c r="J29" s="124" t="s">
        <v>22980</v>
      </c>
      <c r="K29" s="124"/>
      <c r="L29" s="125"/>
      <c r="M29" s="126"/>
      <c r="N29" s="126"/>
      <c r="O29" s="126"/>
      <c r="P29" s="126"/>
      <c r="Q29" s="262" t="s">
        <v>22189</v>
      </c>
      <c r="R29" s="127"/>
      <c r="S29" s="260" t="s">
        <v>22981</v>
      </c>
      <c r="T29" s="261"/>
      <c r="U29" s="261"/>
      <c r="V29" s="261"/>
      <c r="W29" s="261"/>
      <c r="X29" s="261"/>
      <c r="Y29" s="261"/>
      <c r="Z29" s="261"/>
    </row>
    <row r="30" ht="34.5" customHeight="1">
      <c r="A30" s="111" t="s">
        <v>22982</v>
      </c>
      <c r="B30" s="127" t="s">
        <v>22983</v>
      </c>
      <c r="C30" s="111" t="s">
        <v>7981</v>
      </c>
      <c r="D30" s="111" t="s">
        <v>22984</v>
      </c>
      <c r="E30" s="111">
        <v>2021.0</v>
      </c>
      <c r="F30" s="111">
        <v>2021.0</v>
      </c>
      <c r="G30" s="111"/>
      <c r="H30" s="278" t="s">
        <v>12385</v>
      </c>
      <c r="I30" s="278">
        <v>0.05</v>
      </c>
      <c r="J30" s="124"/>
      <c r="K30" s="124"/>
      <c r="L30" s="125"/>
      <c r="M30" s="126"/>
      <c r="N30" s="126"/>
      <c r="O30" s="126"/>
      <c r="P30" s="126"/>
      <c r="Q30" s="262" t="s">
        <v>22189</v>
      </c>
      <c r="R30" s="127"/>
      <c r="S30" s="260" t="s">
        <v>22985</v>
      </c>
      <c r="T30" s="261"/>
      <c r="U30" s="261"/>
      <c r="V30" s="261"/>
      <c r="W30" s="261"/>
      <c r="X30" s="261"/>
      <c r="Y30" s="261"/>
      <c r="Z30" s="261"/>
    </row>
    <row r="31" ht="34.5" customHeight="1">
      <c r="A31" s="111" t="s">
        <v>22986</v>
      </c>
      <c r="B31" s="127" t="s">
        <v>22987</v>
      </c>
      <c r="C31" s="111" t="s">
        <v>7981</v>
      </c>
      <c r="D31" s="111" t="s">
        <v>22988</v>
      </c>
      <c r="E31" s="111">
        <v>2021.0</v>
      </c>
      <c r="F31" s="111">
        <v>2021.0</v>
      </c>
      <c r="G31" s="111"/>
      <c r="H31" s="278" t="s">
        <v>12385</v>
      </c>
      <c r="I31" s="278">
        <v>0.01</v>
      </c>
      <c r="J31" s="124" t="s">
        <v>22989</v>
      </c>
      <c r="K31" s="124"/>
      <c r="L31" s="125"/>
      <c r="M31" s="126"/>
      <c r="N31" s="126"/>
      <c r="O31" s="126"/>
      <c r="P31" s="126"/>
      <c r="Q31" s="262" t="s">
        <v>22189</v>
      </c>
      <c r="R31" s="127"/>
      <c r="S31" s="260" t="s">
        <v>22990</v>
      </c>
      <c r="T31" s="261"/>
      <c r="U31" s="261"/>
      <c r="V31" s="261"/>
      <c r="W31" s="261"/>
      <c r="X31" s="261"/>
      <c r="Y31" s="261"/>
      <c r="Z31" s="261"/>
    </row>
    <row r="32" ht="34.5" customHeight="1">
      <c r="A32" s="111" t="s">
        <v>22991</v>
      </c>
      <c r="B32" s="127" t="s">
        <v>22992</v>
      </c>
      <c r="C32" s="111" t="s">
        <v>7981</v>
      </c>
      <c r="D32" s="111" t="s">
        <v>22993</v>
      </c>
      <c r="E32" s="111">
        <v>2022.0</v>
      </c>
      <c r="F32" s="111">
        <v>2022.0</v>
      </c>
      <c r="G32" s="111"/>
      <c r="H32" s="111" t="s">
        <v>12385</v>
      </c>
      <c r="I32" s="278" t="s">
        <v>22904</v>
      </c>
      <c r="J32" s="111" t="s">
        <v>22994</v>
      </c>
      <c r="K32" s="124"/>
      <c r="L32" s="125"/>
      <c r="M32" s="125"/>
      <c r="N32" s="125"/>
      <c r="O32" s="125"/>
      <c r="P32" s="125"/>
      <c r="Q32" s="262" t="s">
        <v>22189</v>
      </c>
      <c r="R32" s="127"/>
      <c r="S32" s="260" t="s">
        <v>22995</v>
      </c>
      <c r="T32" s="261"/>
      <c r="U32" s="261"/>
      <c r="V32" s="261"/>
      <c r="W32" s="261"/>
      <c r="X32" s="261"/>
      <c r="Y32" s="261"/>
      <c r="Z32" s="261"/>
    </row>
    <row r="33" ht="34.5" customHeight="1">
      <c r="A33" s="111" t="s">
        <v>22996</v>
      </c>
      <c r="B33" s="127" t="s">
        <v>22997</v>
      </c>
      <c r="C33" s="111" t="s">
        <v>7981</v>
      </c>
      <c r="D33" s="111" t="s">
        <v>22984</v>
      </c>
      <c r="E33" s="111">
        <v>2023.0</v>
      </c>
      <c r="F33" s="111">
        <v>2023.0</v>
      </c>
      <c r="G33" s="111"/>
      <c r="H33" s="278" t="s">
        <v>12385</v>
      </c>
      <c r="I33" s="278">
        <v>0.05</v>
      </c>
      <c r="J33" s="128" t="s">
        <v>22998</v>
      </c>
      <c r="K33" s="124"/>
      <c r="L33" s="125"/>
      <c r="M33" s="126"/>
      <c r="N33" s="126"/>
      <c r="O33" s="126"/>
      <c r="P33" s="126" t="s">
        <v>22999</v>
      </c>
      <c r="Q33" s="262" t="s">
        <v>22189</v>
      </c>
      <c r="R33" s="127"/>
      <c r="S33" s="260" t="s">
        <v>23000</v>
      </c>
      <c r="T33" s="261"/>
      <c r="U33" s="261"/>
      <c r="V33" s="261"/>
      <c r="W33" s="261"/>
      <c r="X33" s="261"/>
      <c r="Y33" s="261"/>
      <c r="Z33" s="261"/>
    </row>
    <row r="34" ht="34.5" customHeight="1">
      <c r="A34" s="111" t="s">
        <v>23001</v>
      </c>
      <c r="B34" s="127" t="s">
        <v>23002</v>
      </c>
      <c r="C34" s="111" t="s">
        <v>7981</v>
      </c>
      <c r="D34" s="111" t="s">
        <v>22984</v>
      </c>
      <c r="E34" s="111">
        <v>2024.0</v>
      </c>
      <c r="F34" s="257">
        <v>2024.0</v>
      </c>
      <c r="G34" s="111"/>
      <c r="H34" s="278" t="s">
        <v>18638</v>
      </c>
      <c r="I34" s="278">
        <v>0.05</v>
      </c>
      <c r="J34" s="281"/>
      <c r="K34" s="124"/>
      <c r="L34" s="125"/>
      <c r="M34" s="126"/>
      <c r="N34" s="126"/>
      <c r="O34" s="126"/>
      <c r="P34" s="126"/>
      <c r="Q34" s="262" t="s">
        <v>22189</v>
      </c>
      <c r="R34" s="262"/>
      <c r="S34" s="260" t="s">
        <v>23003</v>
      </c>
      <c r="T34" s="261"/>
      <c r="U34" s="261"/>
      <c r="V34" s="261"/>
      <c r="W34" s="261"/>
      <c r="X34" s="261"/>
      <c r="Y34" s="261"/>
      <c r="Z34" s="261"/>
    </row>
    <row r="35" ht="34.5" customHeight="1">
      <c r="A35" s="111" t="s">
        <v>23004</v>
      </c>
      <c r="B35" s="127" t="s">
        <v>23005</v>
      </c>
      <c r="C35" s="111" t="s">
        <v>7981</v>
      </c>
      <c r="D35" s="111" t="s">
        <v>23006</v>
      </c>
      <c r="E35" s="111">
        <v>2024.0</v>
      </c>
      <c r="F35" s="257">
        <v>2024.0</v>
      </c>
      <c r="G35" s="111"/>
      <c r="H35" s="278" t="s">
        <v>18192</v>
      </c>
      <c r="I35" s="111" t="s">
        <v>23007</v>
      </c>
      <c r="J35" s="128" t="s">
        <v>23008</v>
      </c>
      <c r="K35" s="124"/>
      <c r="L35" s="125"/>
      <c r="M35" s="126"/>
      <c r="N35" s="126"/>
      <c r="O35" s="126"/>
      <c r="P35" s="126"/>
      <c r="Q35" s="262" t="s">
        <v>22189</v>
      </c>
      <c r="R35" s="262" t="s">
        <v>22189</v>
      </c>
      <c r="S35" s="260" t="s">
        <v>23009</v>
      </c>
      <c r="T35" s="261"/>
      <c r="U35" s="261"/>
      <c r="V35" s="261"/>
      <c r="W35" s="261"/>
      <c r="X35" s="261"/>
      <c r="Y35" s="261"/>
      <c r="Z35" s="261"/>
    </row>
    <row r="36" ht="34.5" customHeight="1">
      <c r="A36" s="111" t="s">
        <v>23010</v>
      </c>
      <c r="B36" s="127" t="s">
        <v>23011</v>
      </c>
      <c r="C36" s="111" t="s">
        <v>8108</v>
      </c>
      <c r="D36" s="111" t="s">
        <v>23012</v>
      </c>
      <c r="E36" s="111">
        <v>2024.0</v>
      </c>
      <c r="F36" s="257">
        <v>2024.0</v>
      </c>
      <c r="G36" s="111"/>
      <c r="H36" s="111" t="s">
        <v>12399</v>
      </c>
      <c r="I36" s="278">
        <v>0.08</v>
      </c>
      <c r="J36" s="128" t="s">
        <v>23013</v>
      </c>
      <c r="K36" s="124"/>
      <c r="L36" s="125"/>
      <c r="M36" s="126"/>
      <c r="N36" s="126"/>
      <c r="O36" s="126"/>
      <c r="P36" s="126"/>
      <c r="Q36" s="262" t="s">
        <v>22189</v>
      </c>
      <c r="R36" s="127"/>
      <c r="S36" s="260" t="s">
        <v>23014</v>
      </c>
      <c r="T36" s="261"/>
      <c r="U36" s="261"/>
      <c r="V36" s="261"/>
      <c r="W36" s="261"/>
      <c r="X36" s="261"/>
      <c r="Y36" s="261"/>
      <c r="Z36" s="261"/>
    </row>
    <row r="37" ht="34.5" customHeight="1">
      <c r="A37" s="111" t="s">
        <v>23015</v>
      </c>
      <c r="B37" s="127" t="s">
        <v>23016</v>
      </c>
      <c r="C37" s="111" t="s">
        <v>7981</v>
      </c>
      <c r="D37" s="111" t="s">
        <v>23017</v>
      </c>
      <c r="E37" s="111">
        <v>2025.0</v>
      </c>
      <c r="F37" s="257">
        <v>2025.0</v>
      </c>
      <c r="G37" s="111"/>
      <c r="H37" s="278" t="s">
        <v>12397</v>
      </c>
      <c r="I37" s="278" t="s">
        <v>23018</v>
      </c>
      <c r="J37" s="111" t="s">
        <v>19</v>
      </c>
      <c r="K37" s="124"/>
      <c r="L37" s="125"/>
      <c r="M37" s="125"/>
      <c r="N37" s="125"/>
      <c r="O37" s="125"/>
      <c r="P37" s="125"/>
      <c r="Q37" s="262" t="s">
        <v>22618</v>
      </c>
      <c r="R37" s="127"/>
      <c r="S37" s="260" t="s">
        <v>23019</v>
      </c>
      <c r="T37" s="261"/>
      <c r="U37" s="261"/>
      <c r="V37" s="261"/>
      <c r="W37" s="261"/>
      <c r="X37" s="261"/>
      <c r="Y37" s="261"/>
      <c r="Z37" s="261"/>
    </row>
    <row r="38" ht="34.5" customHeight="1">
      <c r="A38" s="111" t="s">
        <v>23020</v>
      </c>
      <c r="B38" s="127" t="s">
        <v>23021</v>
      </c>
      <c r="C38" s="111" t="s">
        <v>7981</v>
      </c>
      <c r="D38" s="111" t="s">
        <v>23017</v>
      </c>
      <c r="E38" s="111">
        <v>2025.0</v>
      </c>
      <c r="F38" s="257">
        <v>2025.0</v>
      </c>
      <c r="G38" s="111"/>
      <c r="H38" s="278" t="s">
        <v>12397</v>
      </c>
      <c r="I38" s="278" t="s">
        <v>23022</v>
      </c>
      <c r="J38" s="111" t="s">
        <v>23023</v>
      </c>
      <c r="K38" s="124"/>
      <c r="L38" s="125"/>
      <c r="M38" s="125"/>
      <c r="N38" s="125"/>
      <c r="O38" s="125"/>
      <c r="P38" s="125"/>
      <c r="Q38" s="262" t="s">
        <v>22189</v>
      </c>
      <c r="R38" s="127"/>
      <c r="S38" s="260" t="s">
        <v>23019</v>
      </c>
      <c r="T38" s="261"/>
      <c r="U38" s="261"/>
      <c r="V38" s="261"/>
      <c r="W38" s="261"/>
      <c r="X38" s="261"/>
      <c r="Y38" s="261"/>
      <c r="Z38" s="261"/>
    </row>
    <row r="39" ht="34.5" customHeight="1">
      <c r="A39" s="111" t="s">
        <v>23024</v>
      </c>
      <c r="B39" s="127" t="s">
        <v>23025</v>
      </c>
      <c r="C39" s="111" t="s">
        <v>7987</v>
      </c>
      <c r="D39" s="111" t="s">
        <v>23026</v>
      </c>
      <c r="E39" s="111">
        <v>2022.0</v>
      </c>
      <c r="F39" s="111">
        <v>2022.0</v>
      </c>
      <c r="G39" s="111">
        <v>2024.0</v>
      </c>
      <c r="H39" s="278" t="s">
        <v>12418</v>
      </c>
      <c r="I39" s="278">
        <v>0.3</v>
      </c>
      <c r="J39" s="128" t="s">
        <v>23027</v>
      </c>
      <c r="K39" s="124"/>
      <c r="L39" s="125"/>
      <c r="M39" s="126"/>
      <c r="N39" s="126"/>
      <c r="O39" s="126"/>
      <c r="P39" s="126"/>
      <c r="Q39" s="262" t="s">
        <v>22189</v>
      </c>
      <c r="R39" s="262" t="s">
        <v>22189</v>
      </c>
      <c r="S39" s="260" t="s">
        <v>23028</v>
      </c>
      <c r="T39" s="261"/>
      <c r="U39" s="261"/>
      <c r="V39" s="261"/>
      <c r="W39" s="261"/>
      <c r="X39" s="261"/>
      <c r="Y39" s="261"/>
      <c r="Z39" s="261"/>
    </row>
    <row r="40" ht="34.5" customHeight="1">
      <c r="A40" s="111" t="s">
        <v>23029</v>
      </c>
      <c r="B40" s="127" t="s">
        <v>23030</v>
      </c>
      <c r="C40" s="111" t="s">
        <v>7977</v>
      </c>
      <c r="D40" s="111" t="s">
        <v>23031</v>
      </c>
      <c r="E40" s="111">
        <v>2030.0</v>
      </c>
      <c r="F40" s="257">
        <v>2030.0</v>
      </c>
      <c r="G40" s="111"/>
      <c r="H40" s="111" t="s">
        <v>12399</v>
      </c>
      <c r="I40" s="278">
        <v>0.05</v>
      </c>
      <c r="J40" s="128" t="s">
        <v>23032</v>
      </c>
      <c r="K40" s="124"/>
      <c r="L40" s="125"/>
      <c r="M40" s="126"/>
      <c r="N40" s="126">
        <v>2.5</v>
      </c>
      <c r="O40" s="126">
        <v>90.0</v>
      </c>
      <c r="P40" s="126"/>
      <c r="Q40" s="127"/>
      <c r="R40" s="127"/>
      <c r="S40" s="260" t="s">
        <v>23033</v>
      </c>
      <c r="T40" s="261"/>
      <c r="U40" s="261"/>
      <c r="V40" s="261"/>
      <c r="W40" s="261"/>
      <c r="X40" s="261"/>
      <c r="Y40" s="261"/>
      <c r="Z40" s="261"/>
    </row>
    <row r="41" ht="34.5" customHeight="1">
      <c r="A41" s="111" t="s">
        <v>23034</v>
      </c>
      <c r="B41" s="127" t="s">
        <v>23035</v>
      </c>
      <c r="C41" s="111" t="s">
        <v>8702</v>
      </c>
      <c r="D41" s="111" t="s">
        <v>22845</v>
      </c>
      <c r="E41" s="111">
        <v>2028.0</v>
      </c>
      <c r="F41" s="257">
        <v>2028.0</v>
      </c>
      <c r="G41" s="111"/>
      <c r="H41" s="278" t="s">
        <v>18638</v>
      </c>
      <c r="I41" s="278">
        <v>0.02</v>
      </c>
      <c r="J41" s="128" t="s">
        <v>23036</v>
      </c>
      <c r="K41" s="124" t="s">
        <v>23037</v>
      </c>
      <c r="L41" s="125"/>
      <c r="M41" s="126"/>
      <c r="N41" s="126"/>
      <c r="O41" s="126"/>
      <c r="P41" s="126"/>
      <c r="Q41" s="127"/>
      <c r="R41" s="127"/>
      <c r="S41" s="260"/>
      <c r="T41" s="261"/>
      <c r="U41" s="261"/>
      <c r="V41" s="261"/>
      <c r="W41" s="261"/>
      <c r="X41" s="261"/>
      <c r="Y41" s="261"/>
      <c r="Z41" s="261"/>
    </row>
    <row r="42" ht="34.5" customHeight="1">
      <c r="A42" s="111" t="s">
        <v>23038</v>
      </c>
      <c r="B42" s="127" t="s">
        <v>23039</v>
      </c>
      <c r="C42" s="111" t="s">
        <v>8047</v>
      </c>
      <c r="D42" s="111" t="s">
        <v>22397</v>
      </c>
      <c r="E42" s="111">
        <v>2026.0</v>
      </c>
      <c r="F42" s="257">
        <v>2026.0</v>
      </c>
      <c r="G42" s="111"/>
      <c r="H42" s="278" t="s">
        <v>12397</v>
      </c>
      <c r="I42" s="278">
        <v>0.02</v>
      </c>
      <c r="J42" s="128" t="s">
        <v>23040</v>
      </c>
      <c r="K42" s="124">
        <v>90.0</v>
      </c>
      <c r="L42" s="125"/>
      <c r="M42" s="126"/>
      <c r="N42" s="126">
        <v>3.0</v>
      </c>
      <c r="O42" s="126">
        <v>75.0</v>
      </c>
      <c r="P42" s="126"/>
      <c r="Q42" s="262" t="s">
        <v>22189</v>
      </c>
      <c r="R42" s="127"/>
      <c r="S42" s="260" t="s">
        <v>23041</v>
      </c>
      <c r="T42" s="261"/>
      <c r="U42" s="261"/>
      <c r="V42" s="261"/>
      <c r="W42" s="261"/>
      <c r="X42" s="261"/>
      <c r="Y42" s="261"/>
      <c r="Z42" s="261"/>
    </row>
    <row r="43" ht="34.5" customHeight="1">
      <c r="A43" s="111" t="s">
        <v>23042</v>
      </c>
      <c r="B43" s="127" t="s">
        <v>23043</v>
      </c>
      <c r="C43" s="111" t="s">
        <v>8047</v>
      </c>
      <c r="D43" s="111" t="s">
        <v>22397</v>
      </c>
      <c r="E43" s="111">
        <v>2026.0</v>
      </c>
      <c r="F43" s="257">
        <v>2026.0</v>
      </c>
      <c r="G43" s="111"/>
      <c r="H43" s="278" t="s">
        <v>12397</v>
      </c>
      <c r="I43" s="278">
        <v>0.02</v>
      </c>
      <c r="J43" s="128" t="s">
        <v>23040</v>
      </c>
      <c r="K43" s="124">
        <v>90.0</v>
      </c>
      <c r="L43" s="125"/>
      <c r="M43" s="126"/>
      <c r="N43" s="126">
        <v>3.0</v>
      </c>
      <c r="O43" s="126">
        <v>75.0</v>
      </c>
      <c r="P43" s="126"/>
      <c r="Q43" s="262" t="s">
        <v>22189</v>
      </c>
      <c r="R43" s="127"/>
      <c r="S43" s="260" t="s">
        <v>23044</v>
      </c>
      <c r="T43" s="261"/>
      <c r="U43" s="261"/>
      <c r="V43" s="261"/>
      <c r="W43" s="261"/>
      <c r="X43" s="261"/>
      <c r="Y43" s="261"/>
      <c r="Z43" s="261"/>
    </row>
    <row r="44" ht="34.5" customHeight="1">
      <c r="A44" s="111" t="s">
        <v>23045</v>
      </c>
      <c r="B44" s="127" t="s">
        <v>23046</v>
      </c>
      <c r="C44" s="111" t="s">
        <v>8047</v>
      </c>
      <c r="D44" s="111" t="s">
        <v>22397</v>
      </c>
      <c r="E44" s="111">
        <v>2019.0</v>
      </c>
      <c r="F44" s="111">
        <v>2019.0</v>
      </c>
      <c r="G44" s="111"/>
      <c r="H44" s="111" t="s">
        <v>12418</v>
      </c>
      <c r="I44" s="278" t="s">
        <v>23007</v>
      </c>
      <c r="J44" s="128" t="s">
        <v>23047</v>
      </c>
      <c r="K44" s="124"/>
      <c r="L44" s="125"/>
      <c r="M44" s="126"/>
      <c r="N44" s="126"/>
      <c r="O44" s="126"/>
      <c r="P44" s="126"/>
      <c r="Q44" s="262" t="s">
        <v>22189</v>
      </c>
      <c r="R44" s="127"/>
      <c r="S44" s="260" t="s">
        <v>23046</v>
      </c>
      <c r="T44" s="261"/>
      <c r="U44" s="261"/>
      <c r="V44" s="261"/>
      <c r="W44" s="261"/>
      <c r="X44" s="261"/>
      <c r="Y44" s="261"/>
      <c r="Z44" s="261"/>
    </row>
    <row r="45" ht="34.5" customHeight="1">
      <c r="A45" s="111" t="s">
        <v>23048</v>
      </c>
      <c r="B45" s="127" t="s">
        <v>23049</v>
      </c>
      <c r="C45" s="111" t="s">
        <v>8047</v>
      </c>
      <c r="D45" s="111" t="s">
        <v>23050</v>
      </c>
      <c r="E45" s="111">
        <v>2020.0</v>
      </c>
      <c r="F45" s="111">
        <v>2020.0</v>
      </c>
      <c r="G45" s="111"/>
      <c r="H45" s="278" t="s">
        <v>12418</v>
      </c>
      <c r="I45" s="278">
        <v>0.1</v>
      </c>
      <c r="J45" s="128"/>
      <c r="K45" s="124"/>
      <c r="L45" s="125"/>
      <c r="M45" s="126"/>
      <c r="N45" s="126"/>
      <c r="O45" s="126"/>
      <c r="P45" s="126"/>
      <c r="Q45" s="262" t="s">
        <v>22189</v>
      </c>
      <c r="R45" s="127"/>
      <c r="S45" s="260" t="s">
        <v>23051</v>
      </c>
      <c r="T45" s="261"/>
      <c r="U45" s="261"/>
      <c r="V45" s="261"/>
      <c r="W45" s="261"/>
      <c r="X45" s="261"/>
      <c r="Y45" s="261"/>
      <c r="Z45" s="261"/>
    </row>
    <row r="46" ht="34.5" customHeight="1">
      <c r="A46" s="111"/>
      <c r="B46" s="127"/>
      <c r="C46" s="111"/>
      <c r="D46" s="111"/>
      <c r="E46" s="111"/>
      <c r="F46" s="257"/>
      <c r="G46" s="111"/>
      <c r="H46" s="278"/>
      <c r="I46" s="111"/>
      <c r="J46" s="128"/>
      <c r="K46" s="124"/>
      <c r="L46" s="125"/>
      <c r="M46" s="126"/>
      <c r="N46" s="126"/>
      <c r="O46" s="126"/>
      <c r="P46" s="126"/>
      <c r="Q46" s="127"/>
      <c r="R46" s="127"/>
      <c r="S46" s="260"/>
      <c r="T46" s="261"/>
      <c r="U46" s="261"/>
      <c r="V46" s="261"/>
      <c r="W46" s="261"/>
      <c r="X46" s="261"/>
      <c r="Y46" s="261"/>
      <c r="Z46" s="261"/>
    </row>
    <row r="47" ht="34.5" customHeight="1">
      <c r="A47" s="111"/>
      <c r="B47" s="127"/>
      <c r="C47" s="111"/>
      <c r="D47" s="111"/>
      <c r="E47" s="111"/>
      <c r="F47" s="257"/>
      <c r="G47" s="111"/>
      <c r="H47" s="278"/>
      <c r="I47" s="111"/>
      <c r="J47" s="128"/>
      <c r="K47" s="124"/>
      <c r="L47" s="125"/>
      <c r="M47" s="126"/>
      <c r="N47" s="126"/>
      <c r="O47" s="126"/>
      <c r="P47" s="126"/>
      <c r="Q47" s="127"/>
      <c r="R47" s="127"/>
      <c r="S47" s="260"/>
      <c r="T47" s="261"/>
      <c r="U47" s="261"/>
      <c r="V47" s="261"/>
      <c r="W47" s="261"/>
      <c r="X47" s="261"/>
      <c r="Y47" s="261"/>
      <c r="Z47" s="261"/>
    </row>
    <row r="48" ht="34.5" customHeight="1">
      <c r="A48" s="111"/>
      <c r="B48" s="127"/>
      <c r="C48" s="111"/>
      <c r="D48" s="111"/>
      <c r="E48" s="111"/>
      <c r="F48" s="257"/>
      <c r="G48" s="111"/>
      <c r="H48" s="111"/>
      <c r="I48" s="111"/>
      <c r="J48" s="128"/>
      <c r="K48" s="124"/>
      <c r="L48" s="125"/>
      <c r="M48" s="126"/>
      <c r="N48" s="126"/>
      <c r="O48" s="126"/>
      <c r="P48" s="126"/>
      <c r="Q48" s="127"/>
      <c r="R48" s="127"/>
      <c r="S48" s="260"/>
      <c r="T48" s="261"/>
      <c r="U48" s="261"/>
      <c r="V48" s="261"/>
      <c r="W48" s="261"/>
      <c r="X48" s="261"/>
      <c r="Y48" s="261"/>
      <c r="Z48" s="261"/>
    </row>
    <row r="49" ht="34.5" customHeight="1">
      <c r="A49" s="111"/>
      <c r="B49" s="127"/>
      <c r="C49" s="111"/>
      <c r="D49" s="111"/>
      <c r="E49" s="111"/>
      <c r="F49" s="257"/>
      <c r="G49" s="111"/>
      <c r="H49" s="278"/>
      <c r="I49" s="111"/>
      <c r="J49" s="128"/>
      <c r="K49" s="124"/>
      <c r="L49" s="125"/>
      <c r="M49" s="126"/>
      <c r="N49" s="126"/>
      <c r="O49" s="126"/>
      <c r="P49" s="126"/>
      <c r="Q49" s="127"/>
      <c r="R49" s="127"/>
      <c r="S49" s="260"/>
      <c r="T49" s="261"/>
      <c r="U49" s="261"/>
      <c r="V49" s="261"/>
      <c r="W49" s="261"/>
      <c r="X49" s="261"/>
      <c r="Y49" s="261"/>
      <c r="Z49" s="261"/>
    </row>
    <row r="50" ht="34.5" customHeight="1">
      <c r="A50" s="111"/>
      <c r="B50" s="127"/>
      <c r="C50" s="111"/>
      <c r="D50" s="111"/>
      <c r="E50" s="111"/>
      <c r="F50" s="257"/>
      <c r="G50" s="111"/>
      <c r="H50" s="278"/>
      <c r="I50" s="111"/>
      <c r="J50" s="128"/>
      <c r="K50" s="124"/>
      <c r="L50" s="125"/>
      <c r="M50" s="126"/>
      <c r="N50" s="126"/>
      <c r="O50" s="126"/>
      <c r="P50" s="126"/>
      <c r="Q50" s="127"/>
      <c r="R50" s="127"/>
      <c r="S50" s="260"/>
      <c r="T50" s="261"/>
      <c r="U50" s="261"/>
      <c r="V50" s="261"/>
      <c r="W50" s="261"/>
      <c r="X50" s="261"/>
      <c r="Y50" s="261"/>
      <c r="Z50" s="261"/>
    </row>
    <row r="51" ht="34.5" customHeight="1">
      <c r="A51" s="111"/>
      <c r="B51" s="127"/>
      <c r="C51" s="111"/>
      <c r="D51" s="111"/>
      <c r="E51" s="111"/>
      <c r="F51" s="257"/>
      <c r="G51" s="111"/>
      <c r="H51" s="278"/>
      <c r="I51" s="111"/>
      <c r="J51" s="128"/>
      <c r="K51" s="124"/>
      <c r="L51" s="125"/>
      <c r="M51" s="126"/>
      <c r="N51" s="126"/>
      <c r="O51" s="126"/>
      <c r="P51" s="126"/>
      <c r="Q51" s="127"/>
      <c r="R51" s="127"/>
      <c r="S51" s="260"/>
      <c r="T51" s="261"/>
      <c r="U51" s="261"/>
      <c r="V51" s="261"/>
      <c r="W51" s="261"/>
      <c r="X51" s="261"/>
      <c r="Y51" s="261"/>
      <c r="Z51" s="261"/>
    </row>
    <row r="52" ht="34.5" customHeight="1">
      <c r="A52" s="111"/>
      <c r="B52" s="127"/>
      <c r="C52" s="111"/>
      <c r="D52" s="111"/>
      <c r="E52" s="111"/>
      <c r="F52" s="257"/>
      <c r="G52" s="111"/>
      <c r="H52" s="111"/>
      <c r="I52" s="111"/>
      <c r="J52" s="128"/>
      <c r="K52" s="124"/>
      <c r="L52" s="125"/>
      <c r="M52" s="126"/>
      <c r="N52" s="126"/>
      <c r="O52" s="126"/>
      <c r="P52" s="126"/>
      <c r="Q52" s="127"/>
      <c r="R52" s="127"/>
      <c r="S52" s="260"/>
      <c r="T52" s="261"/>
      <c r="U52" s="261"/>
      <c r="V52" s="261"/>
      <c r="W52" s="261"/>
      <c r="X52" s="261"/>
      <c r="Y52" s="261"/>
      <c r="Z52" s="261"/>
    </row>
    <row r="53" ht="34.5" customHeight="1">
      <c r="A53" s="111"/>
      <c r="B53" s="127"/>
      <c r="C53" s="111"/>
      <c r="D53" s="111"/>
      <c r="E53" s="111"/>
      <c r="F53" s="257"/>
      <c r="G53" s="111"/>
      <c r="H53" s="278"/>
      <c r="I53" s="111"/>
      <c r="J53" s="128"/>
      <c r="K53" s="124"/>
      <c r="L53" s="125"/>
      <c r="M53" s="126"/>
      <c r="N53" s="126"/>
      <c r="O53" s="126"/>
      <c r="P53" s="126"/>
      <c r="Q53" s="127"/>
      <c r="R53" s="127"/>
      <c r="S53" s="260"/>
      <c r="T53" s="261"/>
      <c r="U53" s="261"/>
      <c r="V53" s="261"/>
      <c r="W53" s="261"/>
      <c r="X53" s="261"/>
      <c r="Y53" s="261"/>
      <c r="Z53" s="261"/>
    </row>
    <row r="54" ht="34.5" customHeight="1">
      <c r="A54" s="111"/>
      <c r="B54" s="127"/>
      <c r="C54" s="111"/>
      <c r="D54" s="111"/>
      <c r="E54" s="111"/>
      <c r="F54" s="257"/>
      <c r="G54" s="111"/>
      <c r="H54" s="278"/>
      <c r="I54" s="111"/>
      <c r="J54" s="128"/>
      <c r="K54" s="124"/>
      <c r="L54" s="125"/>
      <c r="M54" s="126"/>
      <c r="N54" s="126"/>
      <c r="O54" s="126"/>
      <c r="P54" s="126"/>
      <c r="Q54" s="127"/>
      <c r="R54" s="127"/>
      <c r="S54" s="260"/>
      <c r="T54" s="261"/>
      <c r="U54" s="261"/>
      <c r="V54" s="261"/>
      <c r="W54" s="261"/>
      <c r="X54" s="261"/>
      <c r="Y54" s="261"/>
      <c r="Z54" s="261"/>
    </row>
    <row r="55" ht="34.5" customHeight="1">
      <c r="A55" s="111"/>
      <c r="B55" s="127"/>
      <c r="C55" s="111"/>
      <c r="D55" s="111"/>
      <c r="E55" s="111"/>
      <c r="F55" s="257"/>
      <c r="G55" s="111"/>
      <c r="H55" s="278"/>
      <c r="I55" s="111"/>
      <c r="J55" s="128"/>
      <c r="K55" s="124"/>
      <c r="L55" s="125"/>
      <c r="M55" s="126"/>
      <c r="N55" s="126"/>
      <c r="O55" s="126"/>
      <c r="P55" s="126"/>
      <c r="Q55" s="127"/>
      <c r="R55" s="127"/>
      <c r="S55" s="260"/>
      <c r="T55" s="261"/>
      <c r="U55" s="261"/>
      <c r="V55" s="261"/>
      <c r="W55" s="261"/>
      <c r="X55" s="261"/>
      <c r="Y55" s="261"/>
      <c r="Z55" s="261"/>
    </row>
    <row r="56" ht="34.5" customHeight="1">
      <c r="A56" s="111"/>
      <c r="B56" s="127"/>
      <c r="C56" s="111"/>
      <c r="D56" s="111"/>
      <c r="E56" s="111"/>
      <c r="F56" s="257"/>
      <c r="G56" s="111"/>
      <c r="H56" s="111"/>
      <c r="I56" s="111"/>
      <c r="J56" s="128"/>
      <c r="K56" s="124"/>
      <c r="L56" s="125"/>
      <c r="M56" s="126"/>
      <c r="N56" s="126"/>
      <c r="O56" s="126"/>
      <c r="P56" s="126"/>
      <c r="Q56" s="127"/>
      <c r="R56" s="127"/>
      <c r="S56" s="260"/>
      <c r="T56" s="261"/>
      <c r="U56" s="261"/>
      <c r="V56" s="261"/>
      <c r="W56" s="261"/>
      <c r="X56" s="261"/>
      <c r="Y56" s="261"/>
      <c r="Z56" s="261"/>
    </row>
    <row r="57" ht="34.5" customHeight="1">
      <c r="A57" s="111"/>
      <c r="B57" s="127"/>
      <c r="C57" s="111"/>
      <c r="D57" s="111"/>
      <c r="E57" s="111"/>
      <c r="F57" s="257"/>
      <c r="G57" s="111"/>
      <c r="H57" s="278"/>
      <c r="I57" s="111"/>
      <c r="J57" s="128"/>
      <c r="K57" s="124"/>
      <c r="L57" s="125"/>
      <c r="M57" s="126"/>
      <c r="N57" s="126"/>
      <c r="O57" s="126"/>
      <c r="P57" s="126"/>
      <c r="Q57" s="127"/>
      <c r="R57" s="127"/>
      <c r="S57" s="260"/>
      <c r="T57" s="261"/>
      <c r="U57" s="261"/>
      <c r="V57" s="261"/>
      <c r="W57" s="261"/>
      <c r="X57" s="261"/>
      <c r="Y57" s="261"/>
      <c r="Z57" s="261"/>
    </row>
    <row r="58" ht="34.5" customHeight="1">
      <c r="A58" s="111"/>
      <c r="B58" s="127"/>
      <c r="C58" s="111"/>
      <c r="D58" s="111"/>
      <c r="E58" s="111"/>
      <c r="F58" s="257"/>
      <c r="G58" s="111"/>
      <c r="H58" s="278"/>
      <c r="I58" s="111"/>
      <c r="J58" s="128"/>
      <c r="K58" s="124"/>
      <c r="L58" s="125"/>
      <c r="M58" s="126"/>
      <c r="N58" s="126"/>
      <c r="O58" s="126"/>
      <c r="P58" s="126"/>
      <c r="Q58" s="127"/>
      <c r="R58" s="127"/>
      <c r="S58" s="260"/>
      <c r="T58" s="261"/>
      <c r="U58" s="261"/>
      <c r="V58" s="261"/>
      <c r="W58" s="261"/>
      <c r="X58" s="261"/>
      <c r="Y58" s="261"/>
      <c r="Z58" s="261"/>
    </row>
    <row r="59" ht="34.5" customHeight="1">
      <c r="A59" s="111"/>
      <c r="B59" s="127"/>
      <c r="C59" s="111"/>
      <c r="D59" s="111"/>
      <c r="E59" s="111"/>
      <c r="F59" s="257"/>
      <c r="G59" s="111"/>
      <c r="H59" s="278"/>
      <c r="I59" s="111"/>
      <c r="J59" s="128"/>
      <c r="K59" s="124"/>
      <c r="L59" s="125"/>
      <c r="M59" s="126"/>
      <c r="N59" s="126"/>
      <c r="O59" s="126"/>
      <c r="P59" s="126"/>
      <c r="Q59" s="127"/>
      <c r="R59" s="127"/>
      <c r="S59" s="260"/>
      <c r="T59" s="261"/>
      <c r="U59" s="261"/>
      <c r="V59" s="261"/>
      <c r="W59" s="261"/>
      <c r="X59" s="261"/>
      <c r="Y59" s="261"/>
      <c r="Z59" s="261"/>
    </row>
    <row r="60" ht="34.5" customHeight="1">
      <c r="A60" s="111"/>
      <c r="B60" s="127"/>
      <c r="C60" s="111"/>
      <c r="D60" s="111"/>
      <c r="E60" s="111"/>
      <c r="F60" s="257"/>
      <c r="G60" s="111"/>
      <c r="H60" s="111"/>
      <c r="I60" s="111"/>
      <c r="J60" s="128"/>
      <c r="K60" s="124"/>
      <c r="L60" s="125"/>
      <c r="M60" s="126"/>
      <c r="N60" s="126"/>
      <c r="O60" s="126"/>
      <c r="P60" s="126"/>
      <c r="Q60" s="127"/>
      <c r="R60" s="127"/>
      <c r="S60" s="260"/>
      <c r="T60" s="261"/>
      <c r="U60" s="261"/>
      <c r="V60" s="261"/>
      <c r="W60" s="261"/>
      <c r="X60" s="261"/>
      <c r="Y60" s="261"/>
      <c r="Z60" s="261"/>
    </row>
    <row r="61" ht="34.5" customHeight="1">
      <c r="A61" s="111"/>
      <c r="B61" s="127"/>
      <c r="C61" s="111"/>
      <c r="D61" s="111"/>
      <c r="E61" s="111"/>
      <c r="F61" s="257"/>
      <c r="G61" s="111"/>
      <c r="H61" s="278"/>
      <c r="I61" s="111"/>
      <c r="J61" s="128"/>
      <c r="K61" s="124"/>
      <c r="L61" s="125"/>
      <c r="M61" s="126"/>
      <c r="N61" s="126"/>
      <c r="O61" s="126"/>
      <c r="P61" s="126"/>
      <c r="Q61" s="127"/>
      <c r="R61" s="127"/>
      <c r="S61" s="260"/>
      <c r="T61" s="261"/>
      <c r="U61" s="261"/>
      <c r="V61" s="261"/>
      <c r="W61" s="261"/>
      <c r="X61" s="261"/>
      <c r="Y61" s="261"/>
      <c r="Z61" s="261"/>
    </row>
    <row r="62" ht="34.5" customHeight="1">
      <c r="A62" s="111"/>
      <c r="B62" s="127"/>
      <c r="C62" s="111"/>
      <c r="D62" s="111"/>
      <c r="E62" s="111"/>
      <c r="F62" s="257"/>
      <c r="G62" s="111"/>
      <c r="H62" s="278"/>
      <c r="I62" s="111"/>
      <c r="J62" s="128"/>
      <c r="K62" s="124"/>
      <c r="L62" s="125"/>
      <c r="M62" s="126"/>
      <c r="N62" s="126"/>
      <c r="O62" s="126"/>
      <c r="P62" s="126"/>
      <c r="Q62" s="127"/>
      <c r="R62" s="127"/>
      <c r="S62" s="260"/>
      <c r="T62" s="261"/>
      <c r="U62" s="261"/>
      <c r="V62" s="261"/>
      <c r="W62" s="261"/>
      <c r="X62" s="261"/>
      <c r="Y62" s="261"/>
      <c r="Z62" s="261"/>
    </row>
    <row r="63" ht="34.5" customHeight="1">
      <c r="A63" s="111"/>
      <c r="B63" s="127"/>
      <c r="C63" s="111"/>
      <c r="D63" s="111"/>
      <c r="E63" s="111"/>
      <c r="F63" s="257"/>
      <c r="G63" s="111"/>
      <c r="H63" s="278"/>
      <c r="I63" s="111"/>
      <c r="J63" s="128"/>
      <c r="K63" s="124"/>
      <c r="L63" s="125"/>
      <c r="M63" s="126"/>
      <c r="N63" s="126"/>
      <c r="O63" s="126"/>
      <c r="P63" s="126"/>
      <c r="Q63" s="127"/>
      <c r="R63" s="127"/>
      <c r="S63" s="260"/>
      <c r="T63" s="261"/>
      <c r="U63" s="261"/>
      <c r="V63" s="261"/>
      <c r="W63" s="261"/>
      <c r="X63" s="261"/>
      <c r="Y63" s="261"/>
      <c r="Z63" s="261"/>
    </row>
    <row r="64" ht="34.5" customHeight="1">
      <c r="A64" s="111"/>
      <c r="B64" s="127"/>
      <c r="C64" s="111"/>
      <c r="D64" s="111"/>
      <c r="E64" s="111"/>
      <c r="F64" s="257"/>
      <c r="G64" s="111"/>
      <c r="H64" s="111"/>
      <c r="I64" s="111"/>
      <c r="J64" s="128"/>
      <c r="K64" s="124"/>
      <c r="L64" s="125"/>
      <c r="M64" s="126"/>
      <c r="N64" s="126"/>
      <c r="O64" s="126"/>
      <c r="P64" s="126"/>
      <c r="Q64" s="127"/>
      <c r="R64" s="127"/>
      <c r="S64" s="260"/>
      <c r="T64" s="261"/>
      <c r="U64" s="261"/>
      <c r="V64" s="261"/>
      <c r="W64" s="261"/>
      <c r="X64" s="261"/>
      <c r="Y64" s="261"/>
      <c r="Z64" s="261"/>
    </row>
    <row r="65" ht="34.5" customHeight="1">
      <c r="A65" s="111"/>
      <c r="B65" s="127"/>
      <c r="C65" s="111"/>
      <c r="D65" s="111"/>
      <c r="E65" s="111"/>
      <c r="F65" s="257"/>
      <c r="G65" s="111"/>
      <c r="H65" s="278"/>
      <c r="I65" s="111"/>
      <c r="J65" s="128"/>
      <c r="K65" s="124"/>
      <c r="L65" s="125"/>
      <c r="M65" s="126"/>
      <c r="N65" s="126"/>
      <c r="O65" s="126"/>
      <c r="P65" s="126"/>
      <c r="Q65" s="127"/>
      <c r="R65" s="127"/>
      <c r="S65" s="260"/>
      <c r="T65" s="261"/>
      <c r="U65" s="261"/>
      <c r="V65" s="261"/>
      <c r="W65" s="261"/>
      <c r="X65" s="261"/>
      <c r="Y65" s="261"/>
      <c r="Z65" s="261"/>
    </row>
    <row r="66" ht="34.5" customHeight="1">
      <c r="A66" s="111"/>
      <c r="B66" s="127"/>
      <c r="C66" s="111"/>
      <c r="D66" s="111"/>
      <c r="E66" s="111"/>
      <c r="F66" s="257"/>
      <c r="G66" s="111"/>
      <c r="H66" s="278"/>
      <c r="I66" s="111"/>
      <c r="J66" s="128"/>
      <c r="K66" s="124"/>
      <c r="L66" s="125"/>
      <c r="M66" s="126"/>
      <c r="N66" s="126"/>
      <c r="O66" s="126"/>
      <c r="P66" s="126"/>
      <c r="Q66" s="127"/>
      <c r="R66" s="127"/>
      <c r="S66" s="260"/>
      <c r="T66" s="261"/>
      <c r="U66" s="261"/>
      <c r="V66" s="261"/>
      <c r="W66" s="261"/>
      <c r="X66" s="261"/>
      <c r="Y66" s="261"/>
      <c r="Z66" s="261"/>
    </row>
    <row r="67" ht="34.5" customHeight="1">
      <c r="A67" s="111"/>
      <c r="B67" s="127"/>
      <c r="C67" s="111"/>
      <c r="D67" s="111"/>
      <c r="E67" s="111"/>
      <c r="F67" s="257"/>
      <c r="G67" s="111"/>
      <c r="H67" s="278"/>
      <c r="I67" s="111"/>
      <c r="J67" s="128"/>
      <c r="K67" s="124"/>
      <c r="L67" s="125"/>
      <c r="M67" s="126"/>
      <c r="N67" s="126"/>
      <c r="O67" s="126"/>
      <c r="P67" s="126"/>
      <c r="Q67" s="127"/>
      <c r="R67" s="127"/>
      <c r="S67" s="260"/>
      <c r="T67" s="261"/>
      <c r="U67" s="261"/>
      <c r="V67" s="261"/>
      <c r="W67" s="261"/>
      <c r="X67" s="261"/>
      <c r="Y67" s="261"/>
      <c r="Z67" s="261"/>
    </row>
    <row r="68" ht="34.5" customHeight="1">
      <c r="A68" s="111"/>
      <c r="B68" s="127"/>
      <c r="C68" s="111"/>
      <c r="D68" s="111"/>
      <c r="E68" s="111"/>
      <c r="F68" s="257"/>
      <c r="G68" s="111"/>
      <c r="H68" s="111"/>
      <c r="I68" s="111"/>
      <c r="J68" s="128"/>
      <c r="K68" s="124"/>
      <c r="L68" s="125"/>
      <c r="M68" s="126"/>
      <c r="N68" s="126"/>
      <c r="O68" s="126"/>
      <c r="P68" s="126"/>
      <c r="Q68" s="127"/>
      <c r="R68" s="127"/>
      <c r="S68" s="260"/>
      <c r="T68" s="261"/>
      <c r="U68" s="261"/>
      <c r="V68" s="261"/>
      <c r="W68" s="261"/>
      <c r="X68" s="261"/>
      <c r="Y68" s="261"/>
      <c r="Z68" s="261"/>
    </row>
    <row r="69" ht="34.5" customHeight="1">
      <c r="A69" s="111"/>
      <c r="B69" s="127"/>
      <c r="C69" s="111"/>
      <c r="D69" s="111"/>
      <c r="E69" s="111"/>
      <c r="F69" s="257"/>
      <c r="G69" s="111"/>
      <c r="H69" s="278"/>
      <c r="I69" s="111"/>
      <c r="J69" s="128"/>
      <c r="K69" s="124"/>
      <c r="L69" s="125"/>
      <c r="M69" s="126"/>
      <c r="N69" s="126"/>
      <c r="O69" s="126"/>
      <c r="P69" s="126"/>
      <c r="Q69" s="127"/>
      <c r="R69" s="127"/>
      <c r="S69" s="260"/>
      <c r="T69" s="261"/>
      <c r="U69" s="261"/>
      <c r="V69" s="261"/>
      <c r="W69" s="261"/>
      <c r="X69" s="261"/>
      <c r="Y69" s="261"/>
      <c r="Z69" s="261"/>
    </row>
    <row r="70" ht="34.5" customHeight="1">
      <c r="A70" s="111"/>
      <c r="B70" s="127"/>
      <c r="C70" s="111"/>
      <c r="D70" s="111"/>
      <c r="E70" s="111"/>
      <c r="F70" s="257"/>
      <c r="G70" s="111"/>
      <c r="H70" s="278"/>
      <c r="I70" s="111"/>
      <c r="J70" s="128"/>
      <c r="K70" s="124"/>
      <c r="L70" s="125"/>
      <c r="M70" s="126"/>
      <c r="N70" s="126"/>
      <c r="O70" s="126"/>
      <c r="P70" s="126"/>
      <c r="Q70" s="127"/>
      <c r="R70" s="127"/>
      <c r="S70" s="260"/>
      <c r="T70" s="261"/>
      <c r="U70" s="261"/>
      <c r="V70" s="261"/>
      <c r="W70" s="261"/>
      <c r="X70" s="261"/>
      <c r="Y70" s="261"/>
      <c r="Z70" s="261"/>
    </row>
    <row r="71" ht="34.5" customHeight="1">
      <c r="A71" s="111"/>
      <c r="B71" s="127"/>
      <c r="C71" s="111"/>
      <c r="D71" s="111"/>
      <c r="E71" s="111"/>
      <c r="F71" s="257"/>
      <c r="G71" s="111"/>
      <c r="H71" s="278"/>
      <c r="I71" s="111"/>
      <c r="J71" s="128"/>
      <c r="K71" s="124"/>
      <c r="L71" s="125"/>
      <c r="M71" s="126"/>
      <c r="N71" s="126"/>
      <c r="O71" s="126"/>
      <c r="P71" s="126"/>
      <c r="Q71" s="127"/>
      <c r="R71" s="127"/>
      <c r="S71" s="260"/>
      <c r="T71" s="261"/>
      <c r="U71" s="261"/>
      <c r="V71" s="261"/>
      <c r="W71" s="261"/>
      <c r="X71" s="261"/>
      <c r="Y71" s="261"/>
      <c r="Z71" s="261"/>
    </row>
    <row r="72" ht="34.5" customHeight="1">
      <c r="A72" s="111"/>
      <c r="B72" s="127"/>
      <c r="C72" s="111"/>
      <c r="D72" s="111"/>
      <c r="E72" s="111"/>
      <c r="F72" s="257"/>
      <c r="G72" s="111"/>
      <c r="H72" s="111"/>
      <c r="I72" s="111"/>
      <c r="J72" s="128"/>
      <c r="K72" s="124"/>
      <c r="L72" s="125"/>
      <c r="M72" s="126"/>
      <c r="N72" s="126"/>
      <c r="O72" s="126"/>
      <c r="P72" s="126"/>
      <c r="Q72" s="127"/>
      <c r="R72" s="127"/>
      <c r="S72" s="260"/>
      <c r="T72" s="261"/>
      <c r="U72" s="261"/>
      <c r="V72" s="261"/>
      <c r="W72" s="261"/>
      <c r="X72" s="261"/>
      <c r="Y72" s="261"/>
      <c r="Z72" s="261"/>
    </row>
    <row r="73" ht="34.5" customHeight="1">
      <c r="A73" s="111"/>
      <c r="B73" s="127"/>
      <c r="C73" s="111"/>
      <c r="D73" s="111"/>
      <c r="E73" s="111"/>
      <c r="F73" s="257"/>
      <c r="G73" s="111"/>
      <c r="H73" s="278"/>
      <c r="I73" s="111"/>
      <c r="J73" s="128"/>
      <c r="K73" s="124"/>
      <c r="L73" s="125"/>
      <c r="M73" s="126"/>
      <c r="N73" s="126"/>
      <c r="O73" s="126"/>
      <c r="P73" s="126"/>
      <c r="Q73" s="127"/>
      <c r="R73" s="127"/>
      <c r="S73" s="260"/>
      <c r="T73" s="261"/>
      <c r="U73" s="261"/>
      <c r="V73" s="261"/>
      <c r="W73" s="261"/>
      <c r="X73" s="261"/>
      <c r="Y73" s="261"/>
      <c r="Z73" s="261"/>
    </row>
    <row r="74" ht="34.5" customHeight="1">
      <c r="A74" s="111"/>
      <c r="B74" s="127"/>
      <c r="C74" s="111"/>
      <c r="D74" s="111"/>
      <c r="E74" s="111"/>
      <c r="F74" s="257"/>
      <c r="G74" s="111"/>
      <c r="H74" s="278"/>
      <c r="I74" s="111"/>
      <c r="J74" s="128"/>
      <c r="K74" s="124"/>
      <c r="L74" s="125"/>
      <c r="M74" s="126"/>
      <c r="N74" s="126"/>
      <c r="O74" s="126"/>
      <c r="P74" s="126"/>
      <c r="Q74" s="127"/>
      <c r="R74" s="127"/>
      <c r="S74" s="260"/>
      <c r="T74" s="261"/>
      <c r="U74" s="261"/>
      <c r="V74" s="261"/>
      <c r="W74" s="261"/>
      <c r="X74" s="261"/>
      <c r="Y74" s="261"/>
      <c r="Z74" s="261"/>
    </row>
    <row r="75" ht="34.5" customHeight="1">
      <c r="A75" s="111"/>
      <c r="B75" s="127"/>
      <c r="C75" s="111"/>
      <c r="D75" s="111"/>
      <c r="E75" s="111"/>
      <c r="F75" s="257"/>
      <c r="G75" s="111"/>
      <c r="H75" s="278"/>
      <c r="I75" s="111"/>
      <c r="J75" s="128"/>
      <c r="K75" s="124"/>
      <c r="L75" s="125"/>
      <c r="M75" s="126"/>
      <c r="N75" s="126"/>
      <c r="O75" s="126"/>
      <c r="P75" s="126"/>
      <c r="Q75" s="127"/>
      <c r="R75" s="127"/>
      <c r="S75" s="260"/>
      <c r="T75" s="261"/>
      <c r="U75" s="261"/>
      <c r="V75" s="261"/>
      <c r="W75" s="261"/>
      <c r="X75" s="261"/>
      <c r="Y75" s="261"/>
      <c r="Z75" s="261"/>
    </row>
    <row r="76" ht="34.5" customHeight="1">
      <c r="A76" s="111"/>
      <c r="B76" s="127"/>
      <c r="C76" s="111"/>
      <c r="D76" s="111"/>
      <c r="E76" s="111"/>
      <c r="F76" s="257"/>
      <c r="G76" s="111"/>
      <c r="H76" s="111"/>
      <c r="I76" s="111"/>
      <c r="J76" s="128"/>
      <c r="K76" s="124"/>
      <c r="L76" s="125"/>
      <c r="M76" s="126"/>
      <c r="N76" s="126"/>
      <c r="O76" s="126"/>
      <c r="P76" s="126"/>
      <c r="Q76" s="127"/>
      <c r="R76" s="127"/>
      <c r="S76" s="260"/>
      <c r="T76" s="261"/>
      <c r="U76" s="261"/>
      <c r="V76" s="261"/>
      <c r="W76" s="261"/>
      <c r="X76" s="261"/>
      <c r="Y76" s="261"/>
      <c r="Z76" s="261"/>
    </row>
    <row r="77" ht="34.5" customHeight="1">
      <c r="A77" s="111"/>
      <c r="B77" s="127"/>
      <c r="C77" s="111"/>
      <c r="D77" s="111"/>
      <c r="E77" s="111"/>
      <c r="F77" s="257"/>
      <c r="G77" s="111"/>
      <c r="H77" s="278"/>
      <c r="I77" s="111"/>
      <c r="J77" s="128"/>
      <c r="K77" s="124"/>
      <c r="L77" s="125"/>
      <c r="M77" s="126"/>
      <c r="N77" s="126"/>
      <c r="O77" s="126"/>
      <c r="P77" s="126"/>
      <c r="Q77" s="127"/>
      <c r="R77" s="127"/>
      <c r="S77" s="260"/>
      <c r="T77" s="261"/>
      <c r="U77" s="261"/>
      <c r="V77" s="261"/>
      <c r="W77" s="261"/>
      <c r="X77" s="261"/>
      <c r="Y77" s="261"/>
      <c r="Z77" s="261"/>
    </row>
    <row r="78" ht="34.5" customHeight="1">
      <c r="A78" s="111"/>
      <c r="B78" s="127"/>
      <c r="C78" s="111"/>
      <c r="D78" s="111"/>
      <c r="E78" s="111"/>
      <c r="F78" s="257"/>
      <c r="G78" s="111"/>
      <c r="H78" s="278"/>
      <c r="I78" s="111"/>
      <c r="J78" s="128"/>
      <c r="K78" s="124"/>
      <c r="L78" s="125"/>
      <c r="M78" s="126"/>
      <c r="N78" s="126"/>
      <c r="O78" s="126"/>
      <c r="P78" s="126"/>
      <c r="Q78" s="127"/>
      <c r="R78" s="127"/>
      <c r="S78" s="260"/>
      <c r="T78" s="261"/>
      <c r="U78" s="261"/>
      <c r="V78" s="261"/>
      <c r="W78" s="261"/>
      <c r="X78" s="261"/>
      <c r="Y78" s="261"/>
      <c r="Z78" s="261"/>
    </row>
    <row r="79" ht="34.5" customHeight="1">
      <c r="A79" s="111"/>
      <c r="B79" s="127"/>
      <c r="C79" s="111"/>
      <c r="D79" s="111"/>
      <c r="E79" s="111"/>
      <c r="F79" s="257"/>
      <c r="G79" s="111"/>
      <c r="H79" s="278"/>
      <c r="I79" s="111"/>
      <c r="J79" s="128"/>
      <c r="K79" s="124"/>
      <c r="L79" s="125"/>
      <c r="M79" s="126"/>
      <c r="N79" s="126"/>
      <c r="O79" s="126"/>
      <c r="P79" s="126"/>
      <c r="Q79" s="127"/>
      <c r="R79" s="127"/>
      <c r="S79" s="260"/>
      <c r="T79" s="261"/>
      <c r="U79" s="261"/>
      <c r="V79" s="261"/>
      <c r="W79" s="261"/>
      <c r="X79" s="261"/>
      <c r="Y79" s="261"/>
      <c r="Z79" s="261"/>
    </row>
    <row r="80" ht="34.5" customHeight="1">
      <c r="A80" s="111"/>
      <c r="B80" s="127"/>
      <c r="C80" s="111"/>
      <c r="D80" s="111"/>
      <c r="E80" s="111"/>
      <c r="F80" s="257"/>
      <c r="G80" s="111"/>
      <c r="H80" s="111"/>
      <c r="I80" s="111"/>
      <c r="J80" s="128"/>
      <c r="K80" s="124"/>
      <c r="L80" s="125"/>
      <c r="M80" s="126"/>
      <c r="N80" s="126"/>
      <c r="O80" s="126"/>
      <c r="P80" s="126"/>
      <c r="Q80" s="127"/>
      <c r="R80" s="127"/>
      <c r="S80" s="260"/>
      <c r="T80" s="261"/>
      <c r="U80" s="261"/>
      <c r="V80" s="261"/>
      <c r="W80" s="261"/>
      <c r="X80" s="261"/>
      <c r="Y80" s="261"/>
      <c r="Z80" s="261"/>
    </row>
    <row r="81" ht="34.5" customHeight="1">
      <c r="A81" s="111"/>
      <c r="B81" s="127"/>
      <c r="C81" s="111"/>
      <c r="D81" s="111"/>
      <c r="E81" s="111"/>
      <c r="F81" s="257"/>
      <c r="G81" s="111"/>
      <c r="H81" s="278"/>
      <c r="I81" s="111"/>
      <c r="J81" s="128"/>
      <c r="K81" s="124"/>
      <c r="L81" s="125"/>
      <c r="M81" s="126"/>
      <c r="N81" s="126"/>
      <c r="O81" s="126"/>
      <c r="P81" s="126"/>
      <c r="Q81" s="127"/>
      <c r="R81" s="127"/>
      <c r="S81" s="260"/>
      <c r="T81" s="261"/>
      <c r="U81" s="261"/>
      <c r="V81" s="261"/>
      <c r="W81" s="261"/>
      <c r="X81" s="261"/>
      <c r="Y81" s="261"/>
      <c r="Z81" s="261"/>
    </row>
    <row r="82" ht="34.5" customHeight="1">
      <c r="A82" s="111"/>
      <c r="B82" s="127"/>
      <c r="C82" s="111"/>
      <c r="D82" s="111"/>
      <c r="E82" s="111"/>
      <c r="F82" s="257"/>
      <c r="G82" s="111"/>
      <c r="H82" s="278"/>
      <c r="I82" s="111"/>
      <c r="J82" s="128"/>
      <c r="K82" s="124"/>
      <c r="L82" s="125"/>
      <c r="M82" s="126"/>
      <c r="N82" s="126"/>
      <c r="O82" s="126"/>
      <c r="P82" s="126"/>
      <c r="Q82" s="127"/>
      <c r="R82" s="127"/>
      <c r="S82" s="260"/>
      <c r="T82" s="261"/>
      <c r="U82" s="261"/>
      <c r="V82" s="261"/>
      <c r="W82" s="261"/>
      <c r="X82" s="261"/>
      <c r="Y82" s="261"/>
      <c r="Z82" s="261"/>
    </row>
    <row r="83" ht="34.5" customHeight="1">
      <c r="A83" s="111"/>
      <c r="B83" s="127"/>
      <c r="C83" s="111"/>
      <c r="D83" s="111"/>
      <c r="E83" s="111"/>
      <c r="F83" s="257"/>
      <c r="G83" s="111"/>
      <c r="H83" s="278"/>
      <c r="I83" s="111"/>
      <c r="J83" s="128"/>
      <c r="K83" s="124"/>
      <c r="L83" s="125"/>
      <c r="M83" s="126"/>
      <c r="N83" s="126"/>
      <c r="O83" s="126"/>
      <c r="P83" s="126"/>
      <c r="Q83" s="127"/>
      <c r="R83" s="127"/>
      <c r="S83" s="260"/>
      <c r="T83" s="261"/>
      <c r="U83" s="261"/>
      <c r="V83" s="261"/>
      <c r="W83" s="261"/>
      <c r="X83" s="261"/>
      <c r="Y83" s="261"/>
      <c r="Z83" s="261"/>
    </row>
    <row r="84" ht="34.5" customHeight="1">
      <c r="A84" s="111"/>
      <c r="B84" s="127"/>
      <c r="C84" s="111"/>
      <c r="D84" s="111"/>
      <c r="E84" s="111"/>
      <c r="F84" s="257"/>
      <c r="G84" s="111"/>
      <c r="H84" s="111"/>
      <c r="I84" s="111"/>
      <c r="J84" s="128"/>
      <c r="K84" s="124"/>
      <c r="L84" s="125"/>
      <c r="M84" s="126"/>
      <c r="N84" s="126"/>
      <c r="O84" s="126"/>
      <c r="P84" s="126"/>
      <c r="Q84" s="127"/>
      <c r="R84" s="127"/>
      <c r="S84" s="260"/>
      <c r="T84" s="261"/>
      <c r="U84" s="261"/>
      <c r="V84" s="261"/>
      <c r="W84" s="261"/>
      <c r="X84" s="261"/>
      <c r="Y84" s="261"/>
      <c r="Z84" s="261"/>
    </row>
    <row r="85" ht="34.5" customHeight="1">
      <c r="A85" s="111"/>
      <c r="B85" s="127"/>
      <c r="C85" s="111"/>
      <c r="D85" s="111"/>
      <c r="E85" s="111"/>
      <c r="F85" s="257"/>
      <c r="G85" s="111"/>
      <c r="H85" s="278"/>
      <c r="I85" s="111"/>
      <c r="J85" s="128"/>
      <c r="K85" s="124"/>
      <c r="L85" s="125"/>
      <c r="M85" s="126"/>
      <c r="N85" s="126"/>
      <c r="O85" s="126"/>
      <c r="P85" s="126"/>
      <c r="Q85" s="127"/>
      <c r="R85" s="127"/>
      <c r="S85" s="260"/>
      <c r="T85" s="261"/>
      <c r="U85" s="261"/>
      <c r="V85" s="261"/>
      <c r="W85" s="261"/>
      <c r="X85" s="261"/>
      <c r="Y85" s="261"/>
      <c r="Z85" s="261"/>
    </row>
    <row r="86" ht="34.5" customHeight="1">
      <c r="A86" s="111"/>
      <c r="B86" s="127"/>
      <c r="C86" s="111"/>
      <c r="D86" s="111"/>
      <c r="E86" s="111"/>
      <c r="F86" s="257"/>
      <c r="G86" s="111"/>
      <c r="H86" s="278"/>
      <c r="I86" s="111"/>
      <c r="J86" s="128"/>
      <c r="K86" s="124"/>
      <c r="L86" s="125"/>
      <c r="M86" s="126"/>
      <c r="N86" s="126"/>
      <c r="O86" s="126"/>
      <c r="P86" s="126"/>
      <c r="Q86" s="127"/>
      <c r="R86" s="127"/>
      <c r="S86" s="260"/>
      <c r="T86" s="261"/>
      <c r="U86" s="261"/>
      <c r="V86" s="261"/>
      <c r="W86" s="261"/>
      <c r="X86" s="261"/>
      <c r="Y86" s="261"/>
      <c r="Z86" s="261"/>
    </row>
    <row r="87" ht="34.5" customHeight="1">
      <c r="A87" s="111"/>
      <c r="B87" s="127"/>
      <c r="C87" s="111"/>
      <c r="D87" s="111"/>
      <c r="E87" s="111"/>
      <c r="F87" s="257"/>
      <c r="G87" s="111"/>
      <c r="H87" s="278"/>
      <c r="I87" s="111"/>
      <c r="J87" s="128"/>
      <c r="K87" s="124"/>
      <c r="L87" s="125"/>
      <c r="M87" s="126"/>
      <c r="N87" s="126"/>
      <c r="O87" s="126"/>
      <c r="P87" s="126"/>
      <c r="Q87" s="127"/>
      <c r="R87" s="127"/>
      <c r="S87" s="260"/>
      <c r="T87" s="261"/>
      <c r="U87" s="261"/>
      <c r="V87" s="261"/>
      <c r="W87" s="261"/>
      <c r="X87" s="261"/>
      <c r="Y87" s="261"/>
      <c r="Z87" s="261"/>
    </row>
    <row r="88" ht="34.5" customHeight="1">
      <c r="A88" s="111"/>
      <c r="B88" s="127"/>
      <c r="C88" s="111"/>
      <c r="D88" s="111"/>
      <c r="E88" s="111"/>
      <c r="F88" s="257"/>
      <c r="G88" s="111"/>
      <c r="H88" s="111"/>
      <c r="I88" s="111"/>
      <c r="J88" s="128"/>
      <c r="K88" s="124"/>
      <c r="L88" s="125"/>
      <c r="M88" s="126"/>
      <c r="N88" s="126"/>
      <c r="O88" s="126"/>
      <c r="P88" s="126"/>
      <c r="Q88" s="127"/>
      <c r="R88" s="127"/>
      <c r="S88" s="260"/>
      <c r="T88" s="261"/>
      <c r="U88" s="261"/>
      <c r="V88" s="261"/>
      <c r="W88" s="261"/>
      <c r="X88" s="261"/>
      <c r="Y88" s="261"/>
      <c r="Z88" s="261"/>
    </row>
    <row r="89" ht="34.5" customHeight="1">
      <c r="A89" s="111"/>
      <c r="B89" s="127"/>
      <c r="C89" s="111"/>
      <c r="D89" s="111"/>
      <c r="E89" s="111"/>
      <c r="F89" s="257"/>
      <c r="G89" s="111"/>
      <c r="H89" s="278"/>
      <c r="I89" s="111"/>
      <c r="J89" s="128"/>
      <c r="K89" s="124"/>
      <c r="L89" s="125"/>
      <c r="M89" s="126"/>
      <c r="N89" s="126"/>
      <c r="O89" s="126"/>
      <c r="P89" s="126"/>
      <c r="Q89" s="127"/>
      <c r="R89" s="127"/>
      <c r="S89" s="260"/>
      <c r="T89" s="261"/>
      <c r="U89" s="261"/>
      <c r="V89" s="261"/>
      <c r="W89" s="261"/>
      <c r="X89" s="261"/>
      <c r="Y89" s="261"/>
      <c r="Z89" s="261"/>
    </row>
    <row r="90" ht="34.5" customHeight="1">
      <c r="A90" s="111"/>
      <c r="B90" s="127"/>
      <c r="C90" s="111"/>
      <c r="D90" s="111"/>
      <c r="E90" s="111"/>
      <c r="F90" s="257"/>
      <c r="G90" s="111"/>
      <c r="H90" s="278"/>
      <c r="I90" s="111"/>
      <c r="J90" s="128"/>
      <c r="K90" s="124"/>
      <c r="L90" s="125"/>
      <c r="M90" s="126"/>
      <c r="N90" s="126"/>
      <c r="O90" s="126"/>
      <c r="P90" s="126"/>
      <c r="Q90" s="127"/>
      <c r="R90" s="127"/>
      <c r="S90" s="260"/>
      <c r="T90" s="261"/>
      <c r="U90" s="261"/>
      <c r="V90" s="261"/>
      <c r="W90" s="261"/>
      <c r="X90" s="261"/>
      <c r="Y90" s="261"/>
      <c r="Z90" s="261"/>
    </row>
    <row r="91" ht="34.5" customHeight="1">
      <c r="A91" s="111"/>
      <c r="B91" s="127"/>
      <c r="C91" s="111"/>
      <c r="D91" s="111"/>
      <c r="E91" s="111"/>
      <c r="F91" s="257"/>
      <c r="G91" s="111"/>
      <c r="H91" s="278"/>
      <c r="I91" s="111"/>
      <c r="J91" s="128"/>
      <c r="K91" s="124"/>
      <c r="L91" s="125"/>
      <c r="M91" s="126"/>
      <c r="N91" s="126"/>
      <c r="O91" s="126"/>
      <c r="P91" s="126"/>
      <c r="Q91" s="127"/>
      <c r="R91" s="127"/>
      <c r="S91" s="260"/>
      <c r="T91" s="261"/>
      <c r="U91" s="261"/>
      <c r="V91" s="261"/>
      <c r="W91" s="261"/>
      <c r="X91" s="261"/>
      <c r="Y91" s="261"/>
      <c r="Z91" s="261"/>
    </row>
    <row r="92" ht="34.5" customHeight="1">
      <c r="A92" s="111"/>
      <c r="B92" s="127"/>
      <c r="C92" s="111"/>
      <c r="D92" s="111"/>
      <c r="E92" s="111"/>
      <c r="F92" s="257"/>
      <c r="G92" s="111"/>
      <c r="H92" s="111"/>
      <c r="I92" s="111"/>
      <c r="J92" s="128"/>
      <c r="K92" s="124"/>
      <c r="L92" s="125"/>
      <c r="M92" s="126"/>
      <c r="N92" s="126"/>
      <c r="O92" s="126"/>
      <c r="P92" s="126"/>
      <c r="Q92" s="127"/>
      <c r="R92" s="127"/>
      <c r="S92" s="260"/>
      <c r="T92" s="261"/>
      <c r="U92" s="261"/>
      <c r="V92" s="261"/>
      <c r="W92" s="261"/>
      <c r="X92" s="261"/>
      <c r="Y92" s="261"/>
      <c r="Z92" s="261"/>
    </row>
    <row r="93" ht="34.5" customHeight="1">
      <c r="A93" s="111"/>
      <c r="B93" s="127"/>
      <c r="C93" s="111"/>
      <c r="D93" s="111"/>
      <c r="E93" s="111"/>
      <c r="F93" s="257"/>
      <c r="G93" s="111"/>
      <c r="H93" s="278"/>
      <c r="I93" s="111"/>
      <c r="J93" s="128"/>
      <c r="K93" s="124"/>
      <c r="L93" s="125"/>
      <c r="M93" s="126"/>
      <c r="N93" s="126"/>
      <c r="O93" s="126"/>
      <c r="P93" s="126"/>
      <c r="Q93" s="127"/>
      <c r="R93" s="127"/>
      <c r="S93" s="260"/>
      <c r="T93" s="261"/>
      <c r="U93" s="261"/>
      <c r="V93" s="261"/>
      <c r="W93" s="261"/>
      <c r="X93" s="261"/>
      <c r="Y93" s="261"/>
      <c r="Z93" s="261"/>
    </row>
    <row r="94" ht="34.5" customHeight="1">
      <c r="A94" s="111"/>
      <c r="B94" s="127"/>
      <c r="C94" s="111"/>
      <c r="D94" s="111"/>
      <c r="E94" s="111"/>
      <c r="F94" s="257"/>
      <c r="G94" s="111"/>
      <c r="H94" s="278"/>
      <c r="I94" s="111"/>
      <c r="J94" s="128"/>
      <c r="K94" s="124"/>
      <c r="L94" s="125"/>
      <c r="M94" s="126"/>
      <c r="N94" s="126"/>
      <c r="O94" s="126"/>
      <c r="P94" s="126"/>
      <c r="Q94" s="127"/>
      <c r="R94" s="127"/>
      <c r="S94" s="260"/>
      <c r="T94" s="261"/>
      <c r="U94" s="261"/>
      <c r="V94" s="261"/>
      <c r="W94" s="261"/>
      <c r="X94" s="261"/>
      <c r="Y94" s="261"/>
      <c r="Z94" s="261"/>
    </row>
    <row r="95" ht="34.5" customHeight="1">
      <c r="A95" s="111"/>
      <c r="B95" s="127"/>
      <c r="C95" s="111"/>
      <c r="D95" s="111"/>
      <c r="E95" s="111"/>
      <c r="F95" s="257"/>
      <c r="G95" s="111"/>
      <c r="H95" s="278"/>
      <c r="I95" s="111"/>
      <c r="J95" s="128"/>
      <c r="K95" s="124"/>
      <c r="L95" s="125"/>
      <c r="M95" s="126"/>
      <c r="N95" s="126"/>
      <c r="O95" s="126"/>
      <c r="P95" s="126"/>
      <c r="Q95" s="127"/>
      <c r="R95" s="127"/>
      <c r="S95" s="260"/>
      <c r="T95" s="261"/>
      <c r="U95" s="261"/>
      <c r="V95" s="261"/>
      <c r="W95" s="261"/>
      <c r="X95" s="261"/>
      <c r="Y95" s="261"/>
      <c r="Z95" s="261"/>
    </row>
    <row r="96" ht="34.5" customHeight="1">
      <c r="A96" s="111"/>
      <c r="B96" s="127"/>
      <c r="C96" s="111"/>
      <c r="D96" s="111"/>
      <c r="E96" s="111"/>
      <c r="F96" s="257"/>
      <c r="G96" s="111"/>
      <c r="H96" s="111"/>
      <c r="I96" s="111"/>
      <c r="J96" s="128"/>
      <c r="K96" s="124"/>
      <c r="L96" s="125"/>
      <c r="M96" s="126"/>
      <c r="N96" s="126"/>
      <c r="O96" s="126"/>
      <c r="P96" s="126"/>
      <c r="Q96" s="127"/>
      <c r="R96" s="127"/>
      <c r="S96" s="260"/>
      <c r="T96" s="261"/>
      <c r="U96" s="261"/>
      <c r="V96" s="261"/>
      <c r="W96" s="261"/>
      <c r="X96" s="261"/>
      <c r="Y96" s="261"/>
      <c r="Z96" s="261"/>
    </row>
    <row r="97" ht="34.5" customHeight="1">
      <c r="A97" s="111"/>
      <c r="B97" s="127"/>
      <c r="C97" s="111"/>
      <c r="D97" s="111"/>
      <c r="E97" s="111"/>
      <c r="F97" s="257"/>
      <c r="G97" s="111"/>
      <c r="H97" s="278"/>
      <c r="I97" s="111"/>
      <c r="J97" s="128"/>
      <c r="K97" s="124"/>
      <c r="L97" s="125"/>
      <c r="M97" s="126"/>
      <c r="N97" s="126"/>
      <c r="O97" s="126"/>
      <c r="P97" s="126"/>
      <c r="Q97" s="127"/>
      <c r="R97" s="127"/>
      <c r="S97" s="260"/>
      <c r="T97" s="261"/>
      <c r="U97" s="261"/>
      <c r="V97" s="261"/>
      <c r="W97" s="261"/>
      <c r="X97" s="261"/>
      <c r="Y97" s="261"/>
      <c r="Z97" s="261"/>
    </row>
    <row r="98" ht="34.5" customHeight="1">
      <c r="A98" s="111"/>
      <c r="B98" s="127"/>
      <c r="C98" s="111"/>
      <c r="D98" s="111"/>
      <c r="E98" s="111"/>
      <c r="F98" s="257"/>
      <c r="G98" s="111"/>
      <c r="H98" s="278"/>
      <c r="I98" s="111"/>
      <c r="J98" s="128"/>
      <c r="K98" s="124"/>
      <c r="L98" s="125"/>
      <c r="M98" s="126"/>
      <c r="N98" s="126"/>
      <c r="O98" s="126"/>
      <c r="P98" s="126"/>
      <c r="Q98" s="127"/>
      <c r="R98" s="127"/>
      <c r="S98" s="260"/>
      <c r="T98" s="261"/>
      <c r="U98" s="261"/>
      <c r="V98" s="261"/>
      <c r="W98" s="261"/>
      <c r="X98" s="261"/>
      <c r="Y98" s="261"/>
      <c r="Z98" s="261"/>
    </row>
    <row r="99" ht="34.5" customHeight="1">
      <c r="A99" s="111"/>
      <c r="B99" s="127"/>
      <c r="C99" s="111"/>
      <c r="D99" s="111"/>
      <c r="E99" s="111"/>
      <c r="F99" s="257"/>
      <c r="G99" s="111"/>
      <c r="H99" s="278"/>
      <c r="I99" s="111"/>
      <c r="J99" s="128"/>
      <c r="K99" s="124"/>
      <c r="L99" s="125"/>
      <c r="M99" s="126"/>
      <c r="N99" s="126"/>
      <c r="O99" s="126"/>
      <c r="P99" s="126"/>
      <c r="Q99" s="127"/>
      <c r="R99" s="127"/>
      <c r="S99" s="260"/>
      <c r="T99" s="261"/>
      <c r="U99" s="261"/>
      <c r="V99" s="261"/>
      <c r="W99" s="261"/>
      <c r="X99" s="261"/>
      <c r="Y99" s="261"/>
      <c r="Z99" s="261"/>
    </row>
    <row r="100" ht="34.5" customHeight="1">
      <c r="A100" s="111"/>
      <c r="B100" s="127"/>
      <c r="C100" s="111"/>
      <c r="D100" s="111"/>
      <c r="E100" s="111"/>
      <c r="F100" s="257"/>
      <c r="G100" s="111"/>
      <c r="H100" s="111"/>
      <c r="I100" s="111"/>
      <c r="J100" s="128"/>
      <c r="K100" s="124"/>
      <c r="L100" s="125"/>
      <c r="M100" s="126"/>
      <c r="N100" s="126"/>
      <c r="O100" s="126"/>
      <c r="P100" s="126"/>
      <c r="Q100" s="127"/>
      <c r="R100" s="127"/>
      <c r="S100" s="260"/>
      <c r="T100" s="261"/>
      <c r="U100" s="261"/>
      <c r="V100" s="261"/>
      <c r="W100" s="261"/>
      <c r="X100" s="261"/>
      <c r="Y100" s="261"/>
      <c r="Z100" s="261"/>
    </row>
    <row r="101" ht="34.5" customHeight="1">
      <c r="A101" s="111"/>
      <c r="B101" s="127"/>
      <c r="C101" s="111"/>
      <c r="D101" s="111"/>
      <c r="E101" s="111"/>
      <c r="F101" s="257"/>
      <c r="G101" s="111"/>
      <c r="H101" s="278"/>
      <c r="I101" s="111"/>
      <c r="J101" s="128"/>
      <c r="K101" s="124"/>
      <c r="L101" s="125"/>
      <c r="M101" s="126"/>
      <c r="N101" s="126"/>
      <c r="O101" s="126"/>
      <c r="P101" s="126"/>
      <c r="Q101" s="127"/>
      <c r="R101" s="127"/>
      <c r="S101" s="260"/>
      <c r="T101" s="261"/>
      <c r="U101" s="261"/>
      <c r="V101" s="261"/>
      <c r="W101" s="261"/>
      <c r="X101" s="261"/>
      <c r="Y101" s="261"/>
      <c r="Z101" s="261"/>
    </row>
    <row r="102" ht="34.5" customHeight="1">
      <c r="A102" s="111"/>
      <c r="B102" s="127"/>
      <c r="C102" s="111"/>
      <c r="D102" s="111"/>
      <c r="E102" s="111"/>
      <c r="F102" s="257"/>
      <c r="G102" s="111"/>
      <c r="H102" s="278"/>
      <c r="I102" s="111"/>
      <c r="J102" s="128"/>
      <c r="K102" s="124"/>
      <c r="L102" s="125"/>
      <c r="M102" s="126"/>
      <c r="N102" s="126"/>
      <c r="O102" s="126"/>
      <c r="P102" s="126"/>
      <c r="Q102" s="127"/>
      <c r="R102" s="127"/>
      <c r="S102" s="260"/>
      <c r="T102" s="261"/>
      <c r="U102" s="261"/>
      <c r="V102" s="261"/>
      <c r="W102" s="261"/>
      <c r="X102" s="261"/>
      <c r="Y102" s="261"/>
      <c r="Z102" s="261"/>
    </row>
    <row r="103" ht="34.5" customHeight="1">
      <c r="A103" s="111"/>
      <c r="B103" s="127"/>
      <c r="C103" s="111"/>
      <c r="D103" s="111"/>
      <c r="E103" s="111"/>
      <c r="F103" s="257"/>
      <c r="G103" s="111"/>
      <c r="H103" s="278"/>
      <c r="I103" s="111"/>
      <c r="J103" s="128"/>
      <c r="K103" s="124"/>
      <c r="L103" s="125"/>
      <c r="M103" s="126"/>
      <c r="N103" s="126"/>
      <c r="O103" s="126"/>
      <c r="P103" s="126"/>
      <c r="Q103" s="127"/>
      <c r="R103" s="127"/>
      <c r="S103" s="260"/>
      <c r="T103" s="261"/>
      <c r="U103" s="261"/>
      <c r="V103" s="261"/>
      <c r="W103" s="261"/>
      <c r="X103" s="261"/>
      <c r="Y103" s="261"/>
      <c r="Z103" s="261"/>
    </row>
    <row r="104" ht="34.5" customHeight="1">
      <c r="A104" s="111"/>
      <c r="B104" s="127"/>
      <c r="C104" s="111"/>
      <c r="D104" s="111"/>
      <c r="E104" s="111"/>
      <c r="F104" s="257"/>
      <c r="G104" s="111"/>
      <c r="H104" s="111"/>
      <c r="I104" s="111"/>
      <c r="J104" s="128"/>
      <c r="K104" s="124"/>
      <c r="L104" s="125"/>
      <c r="M104" s="126"/>
      <c r="N104" s="126"/>
      <c r="O104" s="126"/>
      <c r="P104" s="126"/>
      <c r="Q104" s="127"/>
      <c r="R104" s="127"/>
      <c r="S104" s="260"/>
      <c r="T104" s="261"/>
      <c r="U104" s="261"/>
      <c r="V104" s="261"/>
      <c r="W104" s="261"/>
      <c r="X104" s="261"/>
      <c r="Y104" s="261"/>
      <c r="Z104" s="261"/>
    </row>
    <row r="105" ht="34.5" customHeight="1">
      <c r="A105" s="111"/>
      <c r="B105" s="127"/>
      <c r="C105" s="111"/>
      <c r="D105" s="111"/>
      <c r="E105" s="111"/>
      <c r="F105" s="257"/>
      <c r="G105" s="111"/>
      <c r="H105" s="278"/>
      <c r="I105" s="111"/>
      <c r="J105" s="128"/>
      <c r="K105" s="124"/>
      <c r="L105" s="125"/>
      <c r="M105" s="126"/>
      <c r="N105" s="126"/>
      <c r="O105" s="126"/>
      <c r="P105" s="126"/>
      <c r="Q105" s="127"/>
      <c r="R105" s="127"/>
      <c r="S105" s="260"/>
      <c r="T105" s="261"/>
      <c r="U105" s="261"/>
      <c r="V105" s="261"/>
      <c r="W105" s="261"/>
      <c r="X105" s="261"/>
      <c r="Y105" s="261"/>
      <c r="Z105" s="261"/>
    </row>
    <row r="106" ht="34.5" customHeight="1">
      <c r="A106" s="111"/>
      <c r="B106" s="127"/>
      <c r="C106" s="111"/>
      <c r="D106" s="111"/>
      <c r="E106" s="111"/>
      <c r="F106" s="257"/>
      <c r="G106" s="111"/>
      <c r="H106" s="278"/>
      <c r="I106" s="111"/>
      <c r="J106" s="128"/>
      <c r="K106" s="124"/>
      <c r="L106" s="125"/>
      <c r="M106" s="126"/>
      <c r="N106" s="126"/>
      <c r="O106" s="126"/>
      <c r="P106" s="126"/>
      <c r="Q106" s="127"/>
      <c r="R106" s="127"/>
      <c r="S106" s="260"/>
      <c r="T106" s="261"/>
      <c r="U106" s="261"/>
      <c r="V106" s="261"/>
      <c r="W106" s="261"/>
      <c r="X106" s="261"/>
      <c r="Y106" s="261"/>
      <c r="Z106" s="261"/>
    </row>
    <row r="107" ht="34.5" customHeight="1">
      <c r="A107" s="111"/>
      <c r="B107" s="127"/>
      <c r="C107" s="111"/>
      <c r="D107" s="111"/>
      <c r="E107" s="111"/>
      <c r="F107" s="257"/>
      <c r="G107" s="111"/>
      <c r="H107" s="278"/>
      <c r="I107" s="111"/>
      <c r="J107" s="128"/>
      <c r="K107" s="124"/>
      <c r="L107" s="125"/>
      <c r="M107" s="126"/>
      <c r="N107" s="126"/>
      <c r="O107" s="126"/>
      <c r="P107" s="126"/>
      <c r="Q107" s="127"/>
      <c r="R107" s="127"/>
      <c r="S107" s="260"/>
      <c r="T107" s="261"/>
      <c r="U107" s="261"/>
      <c r="V107" s="261"/>
      <c r="W107" s="261"/>
      <c r="X107" s="261"/>
      <c r="Y107" s="261"/>
      <c r="Z107" s="261"/>
    </row>
    <row r="108" ht="34.5" customHeight="1">
      <c r="A108" s="111"/>
      <c r="B108" s="127"/>
      <c r="C108" s="111"/>
      <c r="D108" s="111"/>
      <c r="E108" s="111"/>
      <c r="F108" s="257"/>
      <c r="G108" s="111"/>
      <c r="H108" s="111"/>
      <c r="I108" s="111"/>
      <c r="J108" s="128"/>
      <c r="K108" s="124"/>
      <c r="L108" s="125"/>
      <c r="M108" s="126"/>
      <c r="N108" s="126"/>
      <c r="O108" s="126"/>
      <c r="P108" s="126"/>
      <c r="Q108" s="127"/>
      <c r="R108" s="127"/>
      <c r="S108" s="260"/>
      <c r="T108" s="261"/>
      <c r="U108" s="261"/>
      <c r="V108" s="261"/>
      <c r="W108" s="261"/>
      <c r="X108" s="261"/>
      <c r="Y108" s="261"/>
      <c r="Z108" s="261"/>
    </row>
    <row r="109" ht="34.5" customHeight="1">
      <c r="A109" s="111"/>
      <c r="B109" s="127"/>
      <c r="C109" s="111"/>
      <c r="D109" s="111"/>
      <c r="E109" s="111"/>
      <c r="F109" s="257"/>
      <c r="G109" s="111"/>
      <c r="H109" s="278"/>
      <c r="I109" s="111"/>
      <c r="J109" s="128"/>
      <c r="K109" s="124"/>
      <c r="L109" s="125"/>
      <c r="M109" s="126"/>
      <c r="N109" s="126"/>
      <c r="O109" s="126"/>
      <c r="P109" s="126"/>
      <c r="Q109" s="127"/>
      <c r="R109" s="127"/>
      <c r="S109" s="260"/>
      <c r="T109" s="261"/>
      <c r="U109" s="261"/>
      <c r="V109" s="261"/>
      <c r="W109" s="261"/>
      <c r="X109" s="261"/>
      <c r="Y109" s="261"/>
      <c r="Z109" s="261"/>
    </row>
    <row r="110" ht="34.5" customHeight="1">
      <c r="A110" s="111"/>
      <c r="B110" s="127"/>
      <c r="C110" s="111"/>
      <c r="D110" s="111"/>
      <c r="E110" s="111"/>
      <c r="F110" s="257"/>
      <c r="G110" s="111"/>
      <c r="H110" s="278"/>
      <c r="I110" s="111"/>
      <c r="J110" s="128"/>
      <c r="K110" s="124"/>
      <c r="L110" s="125"/>
      <c r="M110" s="126"/>
      <c r="N110" s="126"/>
      <c r="O110" s="126"/>
      <c r="P110" s="126"/>
      <c r="Q110" s="127"/>
      <c r="R110" s="127"/>
      <c r="S110" s="260"/>
      <c r="T110" s="261"/>
      <c r="U110" s="261"/>
      <c r="V110" s="261"/>
      <c r="W110" s="261"/>
      <c r="X110" s="261"/>
      <c r="Y110" s="261"/>
      <c r="Z110" s="261"/>
    </row>
    <row r="111" ht="34.5" customHeight="1">
      <c r="A111" s="111"/>
      <c r="B111" s="127"/>
      <c r="C111" s="111"/>
      <c r="D111" s="111"/>
      <c r="E111" s="111"/>
      <c r="F111" s="257"/>
      <c r="G111" s="111"/>
      <c r="H111" s="278"/>
      <c r="I111" s="111"/>
      <c r="J111" s="128"/>
      <c r="K111" s="124"/>
      <c r="L111" s="125"/>
      <c r="M111" s="126"/>
      <c r="N111" s="126"/>
      <c r="O111" s="126"/>
      <c r="P111" s="126"/>
      <c r="Q111" s="127"/>
      <c r="R111" s="127"/>
      <c r="S111" s="260"/>
      <c r="T111" s="261"/>
      <c r="U111" s="261"/>
      <c r="V111" s="261"/>
      <c r="W111" s="261"/>
      <c r="X111" s="261"/>
      <c r="Y111" s="261"/>
      <c r="Z111" s="261"/>
    </row>
    <row r="112" ht="34.5" customHeight="1">
      <c r="A112" s="111"/>
      <c r="B112" s="127"/>
      <c r="C112" s="111"/>
      <c r="D112" s="111"/>
      <c r="E112" s="111"/>
      <c r="F112" s="257"/>
      <c r="G112" s="111"/>
      <c r="H112" s="111"/>
      <c r="I112" s="111"/>
      <c r="J112" s="128"/>
      <c r="K112" s="124"/>
      <c r="L112" s="125"/>
      <c r="M112" s="126"/>
      <c r="N112" s="126"/>
      <c r="O112" s="126"/>
      <c r="P112" s="126"/>
      <c r="Q112" s="127"/>
      <c r="R112" s="127"/>
      <c r="S112" s="260"/>
      <c r="T112" s="261"/>
      <c r="U112" s="261"/>
      <c r="V112" s="261"/>
      <c r="W112" s="261"/>
      <c r="X112" s="261"/>
      <c r="Y112" s="261"/>
      <c r="Z112" s="261"/>
    </row>
    <row r="113" ht="34.5" customHeight="1">
      <c r="A113" s="111"/>
      <c r="B113" s="127"/>
      <c r="C113" s="111"/>
      <c r="D113" s="111"/>
      <c r="E113" s="111"/>
      <c r="F113" s="257"/>
      <c r="G113" s="111"/>
      <c r="H113" s="278"/>
      <c r="I113" s="111"/>
      <c r="J113" s="128"/>
      <c r="K113" s="124"/>
      <c r="L113" s="125"/>
      <c r="M113" s="126"/>
      <c r="N113" s="126"/>
      <c r="O113" s="126"/>
      <c r="P113" s="126"/>
      <c r="Q113" s="127"/>
      <c r="R113" s="127"/>
      <c r="S113" s="260"/>
      <c r="T113" s="261"/>
      <c r="U113" s="261"/>
      <c r="V113" s="261"/>
      <c r="W113" s="261"/>
      <c r="X113" s="261"/>
      <c r="Y113" s="261"/>
      <c r="Z113" s="261"/>
    </row>
    <row r="114" ht="34.5" customHeight="1">
      <c r="A114" s="111"/>
      <c r="B114" s="127"/>
      <c r="C114" s="111"/>
      <c r="D114" s="111"/>
      <c r="E114" s="111"/>
      <c r="F114" s="257"/>
      <c r="G114" s="111"/>
      <c r="H114" s="278"/>
      <c r="I114" s="111"/>
      <c r="J114" s="128"/>
      <c r="K114" s="124"/>
      <c r="L114" s="125"/>
      <c r="M114" s="126"/>
      <c r="N114" s="126"/>
      <c r="O114" s="126"/>
      <c r="P114" s="126"/>
      <c r="Q114" s="127"/>
      <c r="R114" s="127"/>
      <c r="S114" s="260"/>
      <c r="T114" s="261"/>
      <c r="U114" s="261"/>
      <c r="V114" s="261"/>
      <c r="W114" s="261"/>
      <c r="X114" s="261"/>
      <c r="Y114" s="261"/>
      <c r="Z114" s="261"/>
    </row>
    <row r="115" ht="34.5" customHeight="1">
      <c r="A115" s="111"/>
      <c r="B115" s="127"/>
      <c r="C115" s="111"/>
      <c r="D115" s="111"/>
      <c r="E115" s="111"/>
      <c r="F115" s="257"/>
      <c r="G115" s="111"/>
      <c r="H115" s="278"/>
      <c r="I115" s="111"/>
      <c r="J115" s="128"/>
      <c r="K115" s="124"/>
      <c r="L115" s="125"/>
      <c r="M115" s="126"/>
      <c r="N115" s="126"/>
      <c r="O115" s="126"/>
      <c r="P115" s="126"/>
      <c r="Q115" s="127"/>
      <c r="R115" s="127"/>
      <c r="S115" s="260"/>
      <c r="T115" s="261"/>
      <c r="U115" s="261"/>
      <c r="V115" s="261"/>
      <c r="W115" s="261"/>
      <c r="X115" s="261"/>
      <c r="Y115" s="261"/>
      <c r="Z115" s="261"/>
    </row>
    <row r="116" ht="34.5" customHeight="1">
      <c r="A116" s="111"/>
      <c r="B116" s="127"/>
      <c r="C116" s="111"/>
      <c r="D116" s="111"/>
      <c r="E116" s="111"/>
      <c r="F116" s="257"/>
      <c r="G116" s="111"/>
      <c r="H116" s="111"/>
      <c r="I116" s="111"/>
      <c r="J116" s="128"/>
      <c r="K116" s="124"/>
      <c r="L116" s="125"/>
      <c r="M116" s="126"/>
      <c r="N116" s="126"/>
      <c r="O116" s="126"/>
      <c r="P116" s="126"/>
      <c r="Q116" s="127"/>
      <c r="R116" s="127"/>
      <c r="S116" s="260"/>
      <c r="T116" s="261"/>
      <c r="U116" s="261"/>
      <c r="V116" s="261"/>
      <c r="W116" s="261"/>
      <c r="X116" s="261"/>
      <c r="Y116" s="261"/>
      <c r="Z116" s="261"/>
    </row>
    <row r="117" ht="34.5" customHeight="1">
      <c r="A117" s="111"/>
      <c r="B117" s="127"/>
      <c r="C117" s="111"/>
      <c r="D117" s="111"/>
      <c r="E117" s="111"/>
      <c r="F117" s="257"/>
      <c r="G117" s="111"/>
      <c r="H117" s="278"/>
      <c r="I117" s="111"/>
      <c r="J117" s="128"/>
      <c r="K117" s="124"/>
      <c r="L117" s="125"/>
      <c r="M117" s="126"/>
      <c r="N117" s="126"/>
      <c r="O117" s="126"/>
      <c r="P117" s="126"/>
      <c r="Q117" s="127"/>
      <c r="R117" s="127"/>
      <c r="S117" s="260"/>
      <c r="T117" s="261"/>
      <c r="U117" s="261"/>
      <c r="V117" s="261"/>
      <c r="W117" s="261"/>
      <c r="X117" s="261"/>
      <c r="Y117" s="261"/>
      <c r="Z117" s="261"/>
    </row>
    <row r="118" ht="34.5" customHeight="1">
      <c r="A118" s="111"/>
      <c r="B118" s="127"/>
      <c r="C118" s="111"/>
      <c r="D118" s="111"/>
      <c r="E118" s="111"/>
      <c r="F118" s="257"/>
      <c r="G118" s="111"/>
      <c r="H118" s="278"/>
      <c r="I118" s="111"/>
      <c r="J118" s="128"/>
      <c r="K118" s="124"/>
      <c r="L118" s="125"/>
      <c r="M118" s="126"/>
      <c r="N118" s="126"/>
      <c r="O118" s="126"/>
      <c r="P118" s="126"/>
      <c r="Q118" s="127"/>
      <c r="R118" s="127"/>
      <c r="S118" s="260"/>
      <c r="T118" s="261"/>
      <c r="U118" s="261"/>
      <c r="V118" s="261"/>
      <c r="W118" s="261"/>
      <c r="X118" s="261"/>
      <c r="Y118" s="261"/>
      <c r="Z118" s="261"/>
    </row>
    <row r="119" ht="34.5" customHeight="1">
      <c r="A119" s="111"/>
      <c r="B119" s="127"/>
      <c r="C119" s="111"/>
      <c r="D119" s="111"/>
      <c r="E119" s="111"/>
      <c r="F119" s="257"/>
      <c r="G119" s="111"/>
      <c r="H119" s="278"/>
      <c r="I119" s="111"/>
      <c r="J119" s="128"/>
      <c r="K119" s="124"/>
      <c r="L119" s="125"/>
      <c r="M119" s="126"/>
      <c r="N119" s="126"/>
      <c r="O119" s="126"/>
      <c r="P119" s="126"/>
      <c r="Q119" s="127"/>
      <c r="R119" s="127"/>
      <c r="S119" s="260"/>
      <c r="T119" s="261"/>
      <c r="U119" s="261"/>
      <c r="V119" s="261"/>
      <c r="W119" s="261"/>
      <c r="X119" s="261"/>
      <c r="Y119" s="261"/>
      <c r="Z119" s="261"/>
    </row>
    <row r="120" ht="34.5" customHeight="1">
      <c r="A120" s="111"/>
      <c r="B120" s="127"/>
      <c r="C120" s="111"/>
      <c r="D120" s="111"/>
      <c r="E120" s="111"/>
      <c r="F120" s="257"/>
      <c r="G120" s="111"/>
      <c r="H120" s="111"/>
      <c r="I120" s="111"/>
      <c r="J120" s="128"/>
      <c r="K120" s="124"/>
      <c r="L120" s="125"/>
      <c r="M120" s="126"/>
      <c r="N120" s="126"/>
      <c r="O120" s="126"/>
      <c r="P120" s="126"/>
      <c r="Q120" s="127"/>
      <c r="R120" s="127"/>
      <c r="S120" s="260"/>
      <c r="T120" s="261"/>
      <c r="U120" s="261"/>
      <c r="V120" s="261"/>
      <c r="W120" s="261"/>
      <c r="X120" s="261"/>
      <c r="Y120" s="261"/>
      <c r="Z120" s="261"/>
    </row>
    <row r="121" ht="34.5" customHeight="1">
      <c r="A121" s="111"/>
      <c r="B121" s="127"/>
      <c r="C121" s="111"/>
      <c r="D121" s="111"/>
      <c r="E121" s="111"/>
      <c r="F121" s="257"/>
      <c r="G121" s="111"/>
      <c r="H121" s="278"/>
      <c r="I121" s="111"/>
      <c r="J121" s="128"/>
      <c r="K121" s="124"/>
      <c r="L121" s="125"/>
      <c r="M121" s="126"/>
      <c r="N121" s="126"/>
      <c r="O121" s="126"/>
      <c r="P121" s="126"/>
      <c r="Q121" s="127"/>
      <c r="R121" s="127"/>
      <c r="S121" s="260"/>
      <c r="T121" s="261"/>
      <c r="U121" s="261"/>
      <c r="V121" s="261"/>
      <c r="W121" s="261"/>
      <c r="X121" s="261"/>
      <c r="Y121" s="261"/>
      <c r="Z121" s="261"/>
    </row>
    <row r="122" ht="34.5" customHeight="1">
      <c r="A122" s="111"/>
      <c r="B122" s="127"/>
      <c r="C122" s="111"/>
      <c r="D122" s="111"/>
      <c r="E122" s="111"/>
      <c r="F122" s="257"/>
      <c r="G122" s="111"/>
      <c r="H122" s="278"/>
      <c r="I122" s="111"/>
      <c r="J122" s="128"/>
      <c r="K122" s="124"/>
      <c r="L122" s="125"/>
      <c r="M122" s="126"/>
      <c r="N122" s="126"/>
      <c r="O122" s="126"/>
      <c r="P122" s="126"/>
      <c r="Q122" s="127"/>
      <c r="R122" s="127"/>
      <c r="S122" s="260"/>
      <c r="T122" s="261"/>
      <c r="U122" s="261"/>
      <c r="V122" s="261"/>
      <c r="W122" s="261"/>
      <c r="X122" s="261"/>
      <c r="Y122" s="261"/>
      <c r="Z122" s="261"/>
    </row>
    <row r="123" ht="34.5" customHeight="1">
      <c r="A123" s="111"/>
      <c r="B123" s="127"/>
      <c r="C123" s="111"/>
      <c r="D123" s="111"/>
      <c r="E123" s="111"/>
      <c r="F123" s="257"/>
      <c r="G123" s="111"/>
      <c r="H123" s="278"/>
      <c r="I123" s="111"/>
      <c r="J123" s="128"/>
      <c r="K123" s="124"/>
      <c r="L123" s="125"/>
      <c r="M123" s="126"/>
      <c r="N123" s="126"/>
      <c r="O123" s="126"/>
      <c r="P123" s="126"/>
      <c r="Q123" s="127"/>
      <c r="R123" s="127"/>
      <c r="S123" s="260"/>
      <c r="T123" s="261"/>
      <c r="U123" s="261"/>
      <c r="V123" s="261"/>
      <c r="W123" s="261"/>
      <c r="X123" s="261"/>
      <c r="Y123" s="261"/>
      <c r="Z123" s="261"/>
    </row>
    <row r="124" ht="34.5" customHeight="1">
      <c r="A124" s="111"/>
      <c r="B124" s="127"/>
      <c r="C124" s="111"/>
      <c r="D124" s="111"/>
      <c r="E124" s="111"/>
      <c r="F124" s="257"/>
      <c r="G124" s="111"/>
      <c r="H124" s="111"/>
      <c r="I124" s="111"/>
      <c r="J124" s="128"/>
      <c r="K124" s="124"/>
      <c r="L124" s="125"/>
      <c r="M124" s="126"/>
      <c r="N124" s="126"/>
      <c r="O124" s="126"/>
      <c r="P124" s="126"/>
      <c r="Q124" s="127"/>
      <c r="R124" s="127"/>
      <c r="S124" s="260"/>
      <c r="T124" s="261"/>
      <c r="U124" s="261"/>
      <c r="V124" s="261"/>
      <c r="W124" s="261"/>
      <c r="X124" s="261"/>
      <c r="Y124" s="261"/>
      <c r="Z124" s="261"/>
    </row>
    <row r="125" ht="34.5" customHeight="1">
      <c r="A125" s="111"/>
      <c r="B125" s="127"/>
      <c r="C125" s="111"/>
      <c r="D125" s="111"/>
      <c r="E125" s="111"/>
      <c r="F125" s="257"/>
      <c r="G125" s="111"/>
      <c r="H125" s="278"/>
      <c r="I125" s="111"/>
      <c r="J125" s="128"/>
      <c r="K125" s="124"/>
      <c r="L125" s="125"/>
      <c r="M125" s="126"/>
      <c r="N125" s="126"/>
      <c r="O125" s="126"/>
      <c r="P125" s="126"/>
      <c r="Q125" s="127"/>
      <c r="R125" s="127"/>
      <c r="S125" s="260"/>
      <c r="T125" s="261"/>
      <c r="U125" s="261"/>
      <c r="V125" s="261"/>
      <c r="W125" s="261"/>
      <c r="X125" s="261"/>
      <c r="Y125" s="261"/>
      <c r="Z125" s="261"/>
    </row>
    <row r="126" ht="34.5" customHeight="1">
      <c r="A126" s="111"/>
      <c r="B126" s="127"/>
      <c r="C126" s="111"/>
      <c r="D126" s="111"/>
      <c r="E126" s="111"/>
      <c r="F126" s="257"/>
      <c r="G126" s="111"/>
      <c r="H126" s="278"/>
      <c r="I126" s="111"/>
      <c r="J126" s="128"/>
      <c r="K126" s="124"/>
      <c r="L126" s="125"/>
      <c r="M126" s="126"/>
      <c r="N126" s="126"/>
      <c r="O126" s="126"/>
      <c r="P126" s="126"/>
      <c r="Q126" s="127"/>
      <c r="R126" s="127"/>
      <c r="S126" s="260"/>
      <c r="T126" s="261"/>
      <c r="U126" s="261"/>
      <c r="V126" s="261"/>
      <c r="W126" s="261"/>
      <c r="X126" s="261"/>
      <c r="Y126" s="261"/>
      <c r="Z126" s="261"/>
    </row>
    <row r="127" ht="34.5" customHeight="1">
      <c r="A127" s="111"/>
      <c r="B127" s="127"/>
      <c r="C127" s="111"/>
      <c r="D127" s="111"/>
      <c r="E127" s="111"/>
      <c r="F127" s="257"/>
      <c r="G127" s="111"/>
      <c r="H127" s="278"/>
      <c r="I127" s="111"/>
      <c r="J127" s="128"/>
      <c r="K127" s="124"/>
      <c r="L127" s="125"/>
      <c r="M127" s="126"/>
      <c r="N127" s="126"/>
      <c r="O127" s="126"/>
      <c r="P127" s="126"/>
      <c r="Q127" s="127"/>
      <c r="R127" s="127"/>
      <c r="S127" s="260"/>
      <c r="T127" s="261"/>
      <c r="U127" s="261"/>
      <c r="V127" s="261"/>
      <c r="W127" s="261"/>
      <c r="X127" s="261"/>
      <c r="Y127" s="261"/>
      <c r="Z127" s="261"/>
    </row>
    <row r="128" ht="34.5" customHeight="1">
      <c r="A128" s="111"/>
      <c r="B128" s="127"/>
      <c r="C128" s="111"/>
      <c r="D128" s="111"/>
      <c r="E128" s="111"/>
      <c r="F128" s="257"/>
      <c r="G128" s="111"/>
      <c r="H128" s="111"/>
      <c r="I128" s="111"/>
      <c r="J128" s="128"/>
      <c r="K128" s="124"/>
      <c r="L128" s="125"/>
      <c r="M128" s="126"/>
      <c r="N128" s="126"/>
      <c r="O128" s="126"/>
      <c r="P128" s="126"/>
      <c r="Q128" s="127"/>
      <c r="R128" s="127"/>
      <c r="S128" s="260"/>
      <c r="T128" s="261"/>
      <c r="U128" s="261"/>
      <c r="V128" s="261"/>
      <c r="W128" s="261"/>
      <c r="X128" s="261"/>
      <c r="Y128" s="261"/>
      <c r="Z128" s="261"/>
    </row>
    <row r="129" ht="34.5" customHeight="1">
      <c r="A129" s="111"/>
      <c r="B129" s="127"/>
      <c r="C129" s="111"/>
      <c r="D129" s="111"/>
      <c r="E129" s="111"/>
      <c r="F129" s="257"/>
      <c r="G129" s="111"/>
      <c r="H129" s="278"/>
      <c r="I129" s="111"/>
      <c r="J129" s="128"/>
      <c r="K129" s="124"/>
      <c r="L129" s="125"/>
      <c r="M129" s="126"/>
      <c r="N129" s="126"/>
      <c r="O129" s="126"/>
      <c r="P129" s="126"/>
      <c r="Q129" s="127"/>
      <c r="R129" s="127"/>
      <c r="S129" s="260"/>
      <c r="T129" s="261"/>
      <c r="U129" s="261"/>
      <c r="V129" s="261"/>
      <c r="W129" s="261"/>
      <c r="X129" s="261"/>
      <c r="Y129" s="261"/>
      <c r="Z129" s="261"/>
    </row>
    <row r="130" ht="34.5" customHeight="1">
      <c r="A130" s="111"/>
      <c r="B130" s="127"/>
      <c r="C130" s="111"/>
      <c r="D130" s="111"/>
      <c r="E130" s="111"/>
      <c r="F130" s="257"/>
      <c r="G130" s="111"/>
      <c r="H130" s="278"/>
      <c r="I130" s="111"/>
      <c r="J130" s="128"/>
      <c r="K130" s="124"/>
      <c r="L130" s="125"/>
      <c r="M130" s="126"/>
      <c r="N130" s="126"/>
      <c r="O130" s="126"/>
      <c r="P130" s="126"/>
      <c r="Q130" s="127"/>
      <c r="R130" s="127"/>
      <c r="S130" s="260"/>
      <c r="T130" s="261"/>
      <c r="U130" s="261"/>
      <c r="V130" s="261"/>
      <c r="W130" s="261"/>
      <c r="X130" s="261"/>
      <c r="Y130" s="261"/>
      <c r="Z130" s="261"/>
    </row>
    <row r="131" ht="34.5" customHeight="1">
      <c r="A131" s="111"/>
      <c r="B131" s="127"/>
      <c r="C131" s="111"/>
      <c r="D131" s="111"/>
      <c r="E131" s="111"/>
      <c r="F131" s="257"/>
      <c r="G131" s="111"/>
      <c r="H131" s="278"/>
      <c r="I131" s="111"/>
      <c r="J131" s="128"/>
      <c r="K131" s="124"/>
      <c r="L131" s="125"/>
      <c r="M131" s="126"/>
      <c r="N131" s="126"/>
      <c r="O131" s="126"/>
      <c r="P131" s="126"/>
      <c r="Q131" s="127"/>
      <c r="R131" s="127"/>
      <c r="S131" s="260"/>
      <c r="T131" s="261"/>
      <c r="U131" s="261"/>
      <c r="V131" s="261"/>
      <c r="W131" s="261"/>
      <c r="X131" s="261"/>
      <c r="Y131" s="261"/>
      <c r="Z131" s="261"/>
    </row>
    <row r="132" ht="34.5" customHeight="1">
      <c r="A132" s="111"/>
      <c r="B132" s="127"/>
      <c r="C132" s="111"/>
      <c r="D132" s="111"/>
      <c r="E132" s="111"/>
      <c r="F132" s="257"/>
      <c r="G132" s="111"/>
      <c r="H132" s="111"/>
      <c r="I132" s="111"/>
      <c r="J132" s="128"/>
      <c r="K132" s="124"/>
      <c r="L132" s="125"/>
      <c r="M132" s="126"/>
      <c r="N132" s="126"/>
      <c r="O132" s="126"/>
      <c r="P132" s="126"/>
      <c r="Q132" s="127"/>
      <c r="R132" s="127"/>
      <c r="S132" s="260"/>
      <c r="T132" s="261"/>
      <c r="U132" s="261"/>
      <c r="V132" s="261"/>
      <c r="W132" s="261"/>
      <c r="X132" s="261"/>
      <c r="Y132" s="261"/>
      <c r="Z132" s="261"/>
    </row>
    <row r="133" ht="34.5" customHeight="1">
      <c r="A133" s="111"/>
      <c r="B133" s="127"/>
      <c r="C133" s="111"/>
      <c r="D133" s="111"/>
      <c r="E133" s="111"/>
      <c r="F133" s="257"/>
      <c r="G133" s="111"/>
      <c r="H133" s="278"/>
      <c r="I133" s="111"/>
      <c r="J133" s="128"/>
      <c r="K133" s="124"/>
      <c r="L133" s="125"/>
      <c r="M133" s="126"/>
      <c r="N133" s="126"/>
      <c r="O133" s="126"/>
      <c r="P133" s="126"/>
      <c r="Q133" s="127"/>
      <c r="R133" s="127"/>
      <c r="S133" s="260"/>
      <c r="T133" s="261"/>
      <c r="U133" s="261"/>
      <c r="V133" s="261"/>
      <c r="W133" s="261"/>
      <c r="X133" s="261"/>
      <c r="Y133" s="261"/>
      <c r="Z133" s="261"/>
    </row>
    <row r="134" ht="34.5" customHeight="1">
      <c r="A134" s="111"/>
      <c r="B134" s="127"/>
      <c r="C134" s="111"/>
      <c r="D134" s="111"/>
      <c r="E134" s="111"/>
      <c r="F134" s="257"/>
      <c r="G134" s="111"/>
      <c r="H134" s="278"/>
      <c r="I134" s="111"/>
      <c r="J134" s="128"/>
      <c r="K134" s="124"/>
      <c r="L134" s="125"/>
      <c r="M134" s="126"/>
      <c r="N134" s="126"/>
      <c r="O134" s="126"/>
      <c r="P134" s="126"/>
      <c r="Q134" s="127"/>
      <c r="R134" s="127"/>
      <c r="S134" s="260"/>
      <c r="T134" s="261"/>
      <c r="U134" s="261"/>
      <c r="V134" s="261"/>
      <c r="W134" s="261"/>
      <c r="X134" s="261"/>
      <c r="Y134" s="261"/>
      <c r="Z134" s="261"/>
    </row>
    <row r="135" ht="34.5" customHeight="1">
      <c r="A135" s="111"/>
      <c r="B135" s="127"/>
      <c r="C135" s="111"/>
      <c r="D135" s="111"/>
      <c r="E135" s="111"/>
      <c r="F135" s="257"/>
      <c r="G135" s="111"/>
      <c r="H135" s="278"/>
      <c r="I135" s="111"/>
      <c r="J135" s="128"/>
      <c r="K135" s="124"/>
      <c r="L135" s="125"/>
      <c r="M135" s="126"/>
      <c r="N135" s="126"/>
      <c r="O135" s="126"/>
      <c r="P135" s="126"/>
      <c r="Q135" s="127"/>
      <c r="R135" s="127"/>
      <c r="S135" s="260"/>
      <c r="T135" s="261"/>
      <c r="U135" s="261"/>
      <c r="V135" s="261"/>
      <c r="W135" s="261"/>
      <c r="X135" s="261"/>
      <c r="Y135" s="261"/>
      <c r="Z135" s="261"/>
    </row>
    <row r="136" ht="34.5" customHeight="1">
      <c r="A136" s="111"/>
      <c r="B136" s="127"/>
      <c r="C136" s="111"/>
      <c r="D136" s="111"/>
      <c r="E136" s="111"/>
      <c r="F136" s="257"/>
      <c r="G136" s="111"/>
      <c r="H136" s="111"/>
      <c r="I136" s="111"/>
      <c r="J136" s="128"/>
      <c r="K136" s="124"/>
      <c r="L136" s="125"/>
      <c r="M136" s="126"/>
      <c r="N136" s="126"/>
      <c r="O136" s="126"/>
      <c r="P136" s="126"/>
      <c r="Q136" s="127"/>
      <c r="R136" s="127"/>
      <c r="S136" s="260"/>
      <c r="T136" s="261"/>
      <c r="U136" s="261"/>
      <c r="V136" s="261"/>
      <c r="W136" s="261"/>
      <c r="X136" s="261"/>
      <c r="Y136" s="261"/>
      <c r="Z136" s="261"/>
    </row>
    <row r="137" ht="34.5" customHeight="1">
      <c r="A137" s="111"/>
      <c r="B137" s="127"/>
      <c r="C137" s="111"/>
      <c r="D137" s="111"/>
      <c r="E137" s="111"/>
      <c r="F137" s="257"/>
      <c r="G137" s="111"/>
      <c r="H137" s="278"/>
      <c r="I137" s="111"/>
      <c r="J137" s="128"/>
      <c r="K137" s="124"/>
      <c r="L137" s="125"/>
      <c r="M137" s="126"/>
      <c r="N137" s="126"/>
      <c r="O137" s="126"/>
      <c r="P137" s="126"/>
      <c r="Q137" s="127"/>
      <c r="R137" s="127"/>
      <c r="S137" s="260"/>
      <c r="T137" s="261"/>
      <c r="U137" s="261"/>
      <c r="V137" s="261"/>
      <c r="W137" s="261"/>
      <c r="X137" s="261"/>
      <c r="Y137" s="261"/>
      <c r="Z137" s="261"/>
    </row>
    <row r="138" ht="34.5" customHeight="1">
      <c r="A138" s="111"/>
      <c r="B138" s="127"/>
      <c r="C138" s="111"/>
      <c r="D138" s="111"/>
      <c r="E138" s="111"/>
      <c r="F138" s="257"/>
      <c r="G138" s="111"/>
      <c r="H138" s="278"/>
      <c r="I138" s="111"/>
      <c r="J138" s="128"/>
      <c r="K138" s="124"/>
      <c r="L138" s="125"/>
      <c r="M138" s="126"/>
      <c r="N138" s="126"/>
      <c r="O138" s="126"/>
      <c r="P138" s="126"/>
      <c r="Q138" s="127"/>
      <c r="R138" s="127"/>
      <c r="S138" s="260"/>
      <c r="T138" s="261"/>
      <c r="U138" s="261"/>
      <c r="V138" s="261"/>
      <c r="W138" s="261"/>
      <c r="X138" s="261"/>
      <c r="Y138" s="261"/>
      <c r="Z138" s="261"/>
    </row>
    <row r="139" ht="34.5" customHeight="1">
      <c r="A139" s="111"/>
      <c r="B139" s="127"/>
      <c r="C139" s="111"/>
      <c r="D139" s="111"/>
      <c r="E139" s="111"/>
      <c r="F139" s="257"/>
      <c r="G139" s="111"/>
      <c r="H139" s="278"/>
      <c r="I139" s="111"/>
      <c r="J139" s="128"/>
      <c r="K139" s="124"/>
      <c r="L139" s="125"/>
      <c r="M139" s="126"/>
      <c r="N139" s="126"/>
      <c r="O139" s="126"/>
      <c r="P139" s="126"/>
      <c r="Q139" s="127"/>
      <c r="R139" s="127"/>
      <c r="S139" s="260"/>
      <c r="T139" s="261"/>
      <c r="U139" s="261"/>
      <c r="V139" s="261"/>
      <c r="W139" s="261"/>
      <c r="X139" s="261"/>
      <c r="Y139" s="261"/>
      <c r="Z139" s="261"/>
    </row>
    <row r="140" ht="34.5" customHeight="1">
      <c r="A140" s="111"/>
      <c r="B140" s="127"/>
      <c r="C140" s="111"/>
      <c r="D140" s="111"/>
      <c r="E140" s="111"/>
      <c r="F140" s="257"/>
      <c r="G140" s="111"/>
      <c r="H140" s="111"/>
      <c r="I140" s="111"/>
      <c r="J140" s="128"/>
      <c r="K140" s="124"/>
      <c r="L140" s="125"/>
      <c r="M140" s="126"/>
      <c r="N140" s="126"/>
      <c r="O140" s="126"/>
      <c r="P140" s="126"/>
      <c r="Q140" s="127"/>
      <c r="R140" s="127"/>
      <c r="S140" s="260"/>
      <c r="T140" s="261"/>
      <c r="U140" s="261"/>
      <c r="V140" s="261"/>
      <c r="W140" s="261"/>
      <c r="X140" s="261"/>
      <c r="Y140" s="261"/>
      <c r="Z140" s="261"/>
    </row>
    <row r="141" ht="34.5" customHeight="1">
      <c r="A141" s="111"/>
      <c r="B141" s="127"/>
      <c r="C141" s="111"/>
      <c r="D141" s="111"/>
      <c r="E141" s="111"/>
      <c r="F141" s="257"/>
      <c r="G141" s="111"/>
      <c r="H141" s="278"/>
      <c r="I141" s="111"/>
      <c r="J141" s="128"/>
      <c r="K141" s="124"/>
      <c r="L141" s="125"/>
      <c r="M141" s="126"/>
      <c r="N141" s="126"/>
      <c r="O141" s="126"/>
      <c r="P141" s="126"/>
      <c r="Q141" s="127"/>
      <c r="R141" s="127"/>
      <c r="S141" s="260"/>
      <c r="T141" s="261"/>
      <c r="U141" s="261"/>
      <c r="V141" s="261"/>
      <c r="W141" s="261"/>
      <c r="X141" s="261"/>
      <c r="Y141" s="261"/>
      <c r="Z141" s="261"/>
    </row>
    <row r="142" ht="34.5" customHeight="1">
      <c r="A142" s="111"/>
      <c r="B142" s="127"/>
      <c r="C142" s="111"/>
      <c r="D142" s="111"/>
      <c r="E142" s="111"/>
      <c r="F142" s="257"/>
      <c r="G142" s="111"/>
      <c r="H142" s="278"/>
      <c r="I142" s="111"/>
      <c r="J142" s="128"/>
      <c r="K142" s="124"/>
      <c r="L142" s="125"/>
      <c r="M142" s="126"/>
      <c r="N142" s="126"/>
      <c r="O142" s="126"/>
      <c r="P142" s="126"/>
      <c r="Q142" s="127"/>
      <c r="R142" s="127"/>
      <c r="S142" s="260"/>
      <c r="T142" s="261"/>
      <c r="U142" s="261"/>
      <c r="V142" s="261"/>
      <c r="W142" s="261"/>
      <c r="X142" s="261"/>
      <c r="Y142" s="261"/>
      <c r="Z142" s="261"/>
    </row>
    <row r="143" ht="34.5" customHeight="1">
      <c r="A143" s="111"/>
      <c r="B143" s="127"/>
      <c r="C143" s="111"/>
      <c r="D143" s="111"/>
      <c r="E143" s="111"/>
      <c r="F143" s="257"/>
      <c r="G143" s="111"/>
      <c r="H143" s="278"/>
      <c r="I143" s="111"/>
      <c r="J143" s="128"/>
      <c r="K143" s="124"/>
      <c r="L143" s="125"/>
      <c r="M143" s="126"/>
      <c r="N143" s="126"/>
      <c r="O143" s="126"/>
      <c r="P143" s="126"/>
      <c r="Q143" s="127"/>
      <c r="R143" s="127"/>
      <c r="S143" s="260"/>
      <c r="T143" s="261"/>
      <c r="U143" s="261"/>
      <c r="V143" s="261"/>
      <c r="W143" s="261"/>
      <c r="X143" s="261"/>
      <c r="Y143" s="261"/>
      <c r="Z143" s="261"/>
    </row>
    <row r="144" ht="34.5" customHeight="1">
      <c r="A144" s="111"/>
      <c r="B144" s="127"/>
      <c r="C144" s="111"/>
      <c r="D144" s="111"/>
      <c r="E144" s="111"/>
      <c r="F144" s="257"/>
      <c r="G144" s="111"/>
      <c r="H144" s="111"/>
      <c r="I144" s="111"/>
      <c r="J144" s="128"/>
      <c r="K144" s="124"/>
      <c r="L144" s="125"/>
      <c r="M144" s="126"/>
      <c r="N144" s="126"/>
      <c r="O144" s="126"/>
      <c r="P144" s="126"/>
      <c r="Q144" s="127"/>
      <c r="R144" s="127"/>
      <c r="S144" s="260"/>
      <c r="T144" s="261"/>
      <c r="U144" s="261"/>
      <c r="V144" s="261"/>
      <c r="W144" s="261"/>
      <c r="X144" s="261"/>
      <c r="Y144" s="261"/>
      <c r="Z144" s="261"/>
    </row>
    <row r="145" ht="34.5" customHeight="1">
      <c r="A145" s="111"/>
      <c r="B145" s="127"/>
      <c r="C145" s="111"/>
      <c r="D145" s="111"/>
      <c r="E145" s="111"/>
      <c r="F145" s="257"/>
      <c r="G145" s="111"/>
      <c r="H145" s="278"/>
      <c r="I145" s="111"/>
      <c r="J145" s="128"/>
      <c r="K145" s="124"/>
      <c r="L145" s="125"/>
      <c r="M145" s="126"/>
      <c r="N145" s="126"/>
      <c r="O145" s="126"/>
      <c r="P145" s="126"/>
      <c r="Q145" s="127"/>
      <c r="R145" s="127"/>
      <c r="S145" s="260"/>
      <c r="T145" s="261"/>
      <c r="U145" s="261"/>
      <c r="V145" s="261"/>
      <c r="W145" s="261"/>
      <c r="X145" s="261"/>
      <c r="Y145" s="261"/>
      <c r="Z145" s="261"/>
    </row>
    <row r="146" ht="34.5" customHeight="1">
      <c r="A146" s="111"/>
      <c r="B146" s="127"/>
      <c r="C146" s="111"/>
      <c r="D146" s="111"/>
      <c r="E146" s="111"/>
      <c r="F146" s="257"/>
      <c r="G146" s="111"/>
      <c r="H146" s="278"/>
      <c r="I146" s="111"/>
      <c r="J146" s="128"/>
      <c r="K146" s="124"/>
      <c r="L146" s="125"/>
      <c r="M146" s="126"/>
      <c r="N146" s="126"/>
      <c r="O146" s="126"/>
      <c r="P146" s="126"/>
      <c r="Q146" s="127"/>
      <c r="R146" s="127"/>
      <c r="S146" s="260"/>
      <c r="T146" s="261"/>
      <c r="U146" s="261"/>
      <c r="V146" s="261"/>
      <c r="W146" s="261"/>
      <c r="X146" s="261"/>
      <c r="Y146" s="261"/>
      <c r="Z146" s="261"/>
    </row>
    <row r="147" ht="34.5" customHeight="1">
      <c r="A147" s="111"/>
      <c r="B147" s="127"/>
      <c r="C147" s="111"/>
      <c r="D147" s="111"/>
      <c r="E147" s="111"/>
      <c r="F147" s="257"/>
      <c r="G147" s="111"/>
      <c r="H147" s="278"/>
      <c r="I147" s="111"/>
      <c r="J147" s="128"/>
      <c r="K147" s="124"/>
      <c r="L147" s="125"/>
      <c r="M147" s="126"/>
      <c r="N147" s="126"/>
      <c r="O147" s="126"/>
      <c r="P147" s="126"/>
      <c r="Q147" s="127"/>
      <c r="R147" s="127"/>
      <c r="S147" s="260"/>
      <c r="T147" s="261"/>
      <c r="U147" s="261"/>
      <c r="V147" s="261"/>
      <c r="W147" s="261"/>
      <c r="X147" s="261"/>
      <c r="Y147" s="261"/>
      <c r="Z147" s="261"/>
    </row>
    <row r="148" ht="34.5" customHeight="1">
      <c r="A148" s="111"/>
      <c r="B148" s="127"/>
      <c r="C148" s="111"/>
      <c r="D148" s="111"/>
      <c r="E148" s="111"/>
      <c r="F148" s="257"/>
      <c r="G148" s="111"/>
      <c r="H148" s="111"/>
      <c r="I148" s="111"/>
      <c r="J148" s="128"/>
      <c r="K148" s="124"/>
      <c r="L148" s="125"/>
      <c r="M148" s="126"/>
      <c r="N148" s="126"/>
      <c r="O148" s="126"/>
      <c r="P148" s="126"/>
      <c r="Q148" s="127"/>
      <c r="R148" s="127"/>
      <c r="S148" s="260"/>
      <c r="T148" s="261"/>
      <c r="U148" s="261"/>
      <c r="V148" s="261"/>
      <c r="W148" s="261"/>
      <c r="X148" s="261"/>
      <c r="Y148" s="261"/>
      <c r="Z148" s="261"/>
    </row>
    <row r="149" ht="34.5" customHeight="1">
      <c r="A149" s="111"/>
      <c r="B149" s="127"/>
      <c r="C149" s="111"/>
      <c r="D149" s="111"/>
      <c r="E149" s="111"/>
      <c r="F149" s="257"/>
      <c r="G149" s="111"/>
      <c r="H149" s="278"/>
      <c r="I149" s="111"/>
      <c r="J149" s="128"/>
      <c r="K149" s="124"/>
      <c r="L149" s="125"/>
      <c r="M149" s="126"/>
      <c r="N149" s="126"/>
      <c r="O149" s="126"/>
      <c r="P149" s="126"/>
      <c r="Q149" s="127"/>
      <c r="R149" s="127"/>
      <c r="S149" s="260"/>
      <c r="T149" s="261"/>
      <c r="U149" s="261"/>
      <c r="V149" s="261"/>
      <c r="W149" s="261"/>
      <c r="X149" s="261"/>
      <c r="Y149" s="261"/>
      <c r="Z149" s="261"/>
    </row>
    <row r="150" ht="34.5" customHeight="1">
      <c r="A150" s="111"/>
      <c r="B150" s="127"/>
      <c r="C150" s="111"/>
      <c r="D150" s="111"/>
      <c r="E150" s="111"/>
      <c r="F150" s="257"/>
      <c r="G150" s="111"/>
      <c r="H150" s="278"/>
      <c r="I150" s="111"/>
      <c r="J150" s="128"/>
      <c r="K150" s="124"/>
      <c r="L150" s="125"/>
      <c r="M150" s="126"/>
      <c r="N150" s="126"/>
      <c r="O150" s="126"/>
      <c r="P150" s="126"/>
      <c r="Q150" s="127"/>
      <c r="R150" s="127"/>
      <c r="S150" s="260"/>
      <c r="T150" s="261"/>
      <c r="U150" s="261"/>
      <c r="V150" s="261"/>
      <c r="W150" s="261"/>
      <c r="X150" s="261"/>
      <c r="Y150" s="261"/>
      <c r="Z150" s="261"/>
    </row>
    <row r="151" ht="34.5" customHeight="1">
      <c r="A151" s="111"/>
      <c r="B151" s="127"/>
      <c r="C151" s="111"/>
      <c r="D151" s="111"/>
      <c r="E151" s="111"/>
      <c r="F151" s="257"/>
      <c r="G151" s="111"/>
      <c r="H151" s="278"/>
      <c r="I151" s="111"/>
      <c r="J151" s="128"/>
      <c r="K151" s="124"/>
      <c r="L151" s="125"/>
      <c r="M151" s="126"/>
      <c r="N151" s="126"/>
      <c r="O151" s="126"/>
      <c r="P151" s="126"/>
      <c r="Q151" s="127"/>
      <c r="R151" s="127"/>
      <c r="S151" s="260"/>
      <c r="T151" s="261"/>
      <c r="U151" s="261"/>
      <c r="V151" s="261"/>
      <c r="W151" s="261"/>
      <c r="X151" s="261"/>
      <c r="Y151" s="261"/>
      <c r="Z151" s="261"/>
    </row>
    <row r="152" ht="34.5" customHeight="1">
      <c r="A152" s="111"/>
      <c r="B152" s="127"/>
      <c r="C152" s="111"/>
      <c r="D152" s="111"/>
      <c r="E152" s="111"/>
      <c r="F152" s="257"/>
      <c r="G152" s="111"/>
      <c r="H152" s="111"/>
      <c r="I152" s="111"/>
      <c r="J152" s="128"/>
      <c r="K152" s="124"/>
      <c r="L152" s="125"/>
      <c r="M152" s="126"/>
      <c r="N152" s="126"/>
      <c r="O152" s="126"/>
      <c r="P152" s="126"/>
      <c r="Q152" s="127"/>
      <c r="R152" s="127"/>
      <c r="S152" s="260"/>
      <c r="T152" s="261"/>
      <c r="U152" s="261"/>
      <c r="V152" s="261"/>
      <c r="W152" s="261"/>
      <c r="X152" s="261"/>
      <c r="Y152" s="261"/>
      <c r="Z152" s="261"/>
    </row>
    <row r="153" ht="34.5" customHeight="1">
      <c r="A153" s="111"/>
      <c r="B153" s="127"/>
      <c r="C153" s="111"/>
      <c r="D153" s="111"/>
      <c r="E153" s="111"/>
      <c r="F153" s="257"/>
      <c r="G153" s="111"/>
      <c r="H153" s="278"/>
      <c r="I153" s="111"/>
      <c r="J153" s="128"/>
      <c r="K153" s="124"/>
      <c r="L153" s="125"/>
      <c r="M153" s="126"/>
      <c r="N153" s="126"/>
      <c r="O153" s="126"/>
      <c r="P153" s="126"/>
      <c r="Q153" s="127"/>
      <c r="R153" s="127"/>
      <c r="S153" s="260"/>
      <c r="T153" s="261"/>
      <c r="U153" s="261"/>
      <c r="V153" s="261"/>
      <c r="W153" s="261"/>
      <c r="X153" s="261"/>
      <c r="Y153" s="261"/>
      <c r="Z153" s="261"/>
    </row>
    <row r="154" ht="34.5" customHeight="1">
      <c r="A154" s="111"/>
      <c r="B154" s="127"/>
      <c r="C154" s="111"/>
      <c r="D154" s="111"/>
      <c r="E154" s="111"/>
      <c r="F154" s="257"/>
      <c r="G154" s="111"/>
      <c r="H154" s="278"/>
      <c r="I154" s="111"/>
      <c r="J154" s="128"/>
      <c r="K154" s="124"/>
      <c r="L154" s="125"/>
      <c r="M154" s="126"/>
      <c r="N154" s="126"/>
      <c r="O154" s="126"/>
      <c r="P154" s="126"/>
      <c r="Q154" s="127"/>
      <c r="R154" s="127"/>
      <c r="S154" s="260"/>
      <c r="T154" s="261"/>
      <c r="U154" s="261"/>
      <c r="V154" s="261"/>
      <c r="W154" s="261"/>
      <c r="X154" s="261"/>
      <c r="Y154" s="261"/>
      <c r="Z154" s="261"/>
    </row>
    <row r="155" ht="34.5" customHeight="1">
      <c r="A155" s="111"/>
      <c r="B155" s="127"/>
      <c r="C155" s="111"/>
      <c r="D155" s="111"/>
      <c r="E155" s="111"/>
      <c r="F155" s="257"/>
      <c r="G155" s="111"/>
      <c r="H155" s="278"/>
      <c r="I155" s="111"/>
      <c r="J155" s="128"/>
      <c r="K155" s="124"/>
      <c r="L155" s="125"/>
      <c r="M155" s="126"/>
      <c r="N155" s="126"/>
      <c r="O155" s="126"/>
      <c r="P155" s="126"/>
      <c r="Q155" s="127"/>
      <c r="R155" s="127"/>
      <c r="S155" s="260"/>
      <c r="T155" s="261"/>
      <c r="U155" s="261"/>
      <c r="V155" s="261"/>
      <c r="W155" s="261"/>
      <c r="X155" s="261"/>
      <c r="Y155" s="261"/>
      <c r="Z155" s="261"/>
    </row>
    <row r="156" ht="34.5" customHeight="1">
      <c r="A156" s="111"/>
      <c r="B156" s="127"/>
      <c r="C156" s="111"/>
      <c r="D156" s="111"/>
      <c r="E156" s="111"/>
      <c r="F156" s="257"/>
      <c r="G156" s="111"/>
      <c r="H156" s="111"/>
      <c r="I156" s="111"/>
      <c r="J156" s="128"/>
      <c r="K156" s="124"/>
      <c r="L156" s="125"/>
      <c r="M156" s="126"/>
      <c r="N156" s="126"/>
      <c r="O156" s="126"/>
      <c r="P156" s="126"/>
      <c r="Q156" s="127"/>
      <c r="R156" s="127"/>
      <c r="S156" s="260"/>
      <c r="T156" s="261"/>
      <c r="U156" s="261"/>
      <c r="V156" s="261"/>
      <c r="W156" s="261"/>
      <c r="X156" s="261"/>
      <c r="Y156" s="261"/>
      <c r="Z156" s="261"/>
    </row>
    <row r="157" ht="34.5" customHeight="1">
      <c r="A157" s="111"/>
      <c r="B157" s="127"/>
      <c r="C157" s="111"/>
      <c r="D157" s="111"/>
      <c r="E157" s="111"/>
      <c r="F157" s="257"/>
      <c r="G157" s="111"/>
      <c r="H157" s="278"/>
      <c r="I157" s="111"/>
      <c r="J157" s="128"/>
      <c r="K157" s="124"/>
      <c r="L157" s="125"/>
      <c r="M157" s="126"/>
      <c r="N157" s="126"/>
      <c r="O157" s="126"/>
      <c r="P157" s="126"/>
      <c r="Q157" s="127"/>
      <c r="R157" s="127"/>
      <c r="S157" s="260"/>
      <c r="T157" s="261"/>
      <c r="U157" s="261"/>
      <c r="V157" s="261"/>
      <c r="W157" s="261"/>
      <c r="X157" s="261"/>
      <c r="Y157" s="261"/>
      <c r="Z157" s="261"/>
    </row>
    <row r="158" ht="34.5" customHeight="1">
      <c r="A158" s="111"/>
      <c r="B158" s="127"/>
      <c r="C158" s="111"/>
      <c r="D158" s="111"/>
      <c r="E158" s="111"/>
      <c r="F158" s="257"/>
      <c r="G158" s="111"/>
      <c r="H158" s="278"/>
      <c r="I158" s="111"/>
      <c r="J158" s="128"/>
      <c r="K158" s="124"/>
      <c r="L158" s="125"/>
      <c r="M158" s="126"/>
      <c r="N158" s="126"/>
      <c r="O158" s="126"/>
      <c r="P158" s="126"/>
      <c r="Q158" s="127"/>
      <c r="R158" s="127"/>
      <c r="S158" s="260"/>
      <c r="T158" s="261"/>
      <c r="U158" s="261"/>
      <c r="V158" s="261"/>
      <c r="W158" s="261"/>
      <c r="X158" s="261"/>
      <c r="Y158" s="261"/>
      <c r="Z158" s="261"/>
    </row>
    <row r="159" ht="34.5" customHeight="1">
      <c r="A159" s="111"/>
      <c r="B159" s="127"/>
      <c r="C159" s="111"/>
      <c r="D159" s="111"/>
      <c r="E159" s="111"/>
      <c r="F159" s="257"/>
      <c r="G159" s="111"/>
      <c r="H159" s="278"/>
      <c r="I159" s="111"/>
      <c r="J159" s="128"/>
      <c r="K159" s="124"/>
      <c r="L159" s="125"/>
      <c r="M159" s="126"/>
      <c r="N159" s="126"/>
      <c r="O159" s="126"/>
      <c r="P159" s="126"/>
      <c r="Q159" s="127"/>
      <c r="R159" s="127"/>
      <c r="S159" s="260"/>
      <c r="T159" s="261"/>
      <c r="U159" s="261"/>
      <c r="V159" s="261"/>
      <c r="W159" s="261"/>
      <c r="X159" s="261"/>
      <c r="Y159" s="261"/>
      <c r="Z159" s="261"/>
    </row>
    <row r="160" ht="34.5" customHeight="1">
      <c r="A160" s="111"/>
      <c r="B160" s="127"/>
      <c r="C160" s="111"/>
      <c r="D160" s="111"/>
      <c r="E160" s="111"/>
      <c r="F160" s="257"/>
      <c r="G160" s="111"/>
      <c r="H160" s="111"/>
      <c r="I160" s="111"/>
      <c r="J160" s="128"/>
      <c r="K160" s="124"/>
      <c r="L160" s="125"/>
      <c r="M160" s="126"/>
      <c r="N160" s="126"/>
      <c r="O160" s="126"/>
      <c r="P160" s="126"/>
      <c r="Q160" s="127"/>
      <c r="R160" s="127"/>
      <c r="S160" s="260"/>
      <c r="T160" s="261"/>
      <c r="U160" s="261"/>
      <c r="V160" s="261"/>
      <c r="W160" s="261"/>
      <c r="X160" s="261"/>
      <c r="Y160" s="261"/>
      <c r="Z160" s="261"/>
    </row>
    <row r="161" ht="34.5" customHeight="1">
      <c r="A161" s="111"/>
      <c r="B161" s="127"/>
      <c r="C161" s="111"/>
      <c r="D161" s="111"/>
      <c r="E161" s="111"/>
      <c r="F161" s="257"/>
      <c r="G161" s="111"/>
      <c r="H161" s="278"/>
      <c r="I161" s="111"/>
      <c r="J161" s="128"/>
      <c r="K161" s="124"/>
      <c r="L161" s="125"/>
      <c r="M161" s="126"/>
      <c r="N161" s="126"/>
      <c r="O161" s="126"/>
      <c r="P161" s="126"/>
      <c r="Q161" s="127"/>
      <c r="R161" s="127"/>
      <c r="S161" s="260"/>
      <c r="T161" s="261"/>
      <c r="U161" s="261"/>
      <c r="V161" s="261"/>
      <c r="W161" s="261"/>
      <c r="X161" s="261"/>
      <c r="Y161" s="261"/>
      <c r="Z161" s="261"/>
    </row>
    <row r="162" ht="34.5" customHeight="1">
      <c r="A162" s="111"/>
      <c r="B162" s="127"/>
      <c r="C162" s="111"/>
      <c r="D162" s="111"/>
      <c r="E162" s="111"/>
      <c r="F162" s="257"/>
      <c r="G162" s="111"/>
      <c r="H162" s="278"/>
      <c r="I162" s="111"/>
      <c r="J162" s="128"/>
      <c r="K162" s="124"/>
      <c r="L162" s="125"/>
      <c r="M162" s="126"/>
      <c r="N162" s="126"/>
      <c r="O162" s="126"/>
      <c r="P162" s="126"/>
      <c r="Q162" s="127"/>
      <c r="R162" s="127"/>
      <c r="S162" s="260"/>
      <c r="T162" s="261"/>
      <c r="U162" s="261"/>
      <c r="V162" s="261"/>
      <c r="W162" s="261"/>
      <c r="X162" s="261"/>
      <c r="Y162" s="261"/>
      <c r="Z162" s="261"/>
    </row>
    <row r="163" ht="34.5" customHeight="1">
      <c r="A163" s="111"/>
      <c r="B163" s="127"/>
      <c r="C163" s="111"/>
      <c r="D163" s="111"/>
      <c r="E163" s="111"/>
      <c r="F163" s="257"/>
      <c r="G163" s="111"/>
      <c r="H163" s="278"/>
      <c r="I163" s="111"/>
      <c r="J163" s="128"/>
      <c r="K163" s="124"/>
      <c r="L163" s="125"/>
      <c r="M163" s="126"/>
      <c r="N163" s="126"/>
      <c r="O163" s="126"/>
      <c r="P163" s="126"/>
      <c r="Q163" s="127"/>
      <c r="R163" s="127"/>
      <c r="S163" s="260"/>
      <c r="T163" s="261"/>
      <c r="U163" s="261"/>
      <c r="V163" s="261"/>
      <c r="W163" s="261"/>
      <c r="X163" s="261"/>
      <c r="Y163" s="261"/>
      <c r="Z163" s="261"/>
    </row>
    <row r="164" ht="34.5" customHeight="1">
      <c r="A164" s="111"/>
      <c r="B164" s="127"/>
      <c r="C164" s="111"/>
      <c r="D164" s="111"/>
      <c r="E164" s="111"/>
      <c r="F164" s="257"/>
      <c r="G164" s="111"/>
      <c r="H164" s="111"/>
      <c r="I164" s="111"/>
      <c r="J164" s="128"/>
      <c r="K164" s="124"/>
      <c r="L164" s="125"/>
      <c r="M164" s="126"/>
      <c r="N164" s="126"/>
      <c r="O164" s="126"/>
      <c r="P164" s="126"/>
      <c r="Q164" s="127"/>
      <c r="R164" s="127"/>
      <c r="S164" s="260"/>
      <c r="T164" s="261"/>
      <c r="U164" s="261"/>
      <c r="V164" s="261"/>
      <c r="W164" s="261"/>
      <c r="X164" s="261"/>
      <c r="Y164" s="261"/>
      <c r="Z164" s="261"/>
    </row>
    <row r="165" ht="34.5" customHeight="1">
      <c r="A165" s="111"/>
      <c r="B165" s="127"/>
      <c r="C165" s="111"/>
      <c r="D165" s="111"/>
      <c r="E165" s="111"/>
      <c r="F165" s="257"/>
      <c r="G165" s="111"/>
      <c r="H165" s="278"/>
      <c r="I165" s="111"/>
      <c r="J165" s="128"/>
      <c r="K165" s="124"/>
      <c r="L165" s="125"/>
      <c r="M165" s="126"/>
      <c r="N165" s="126"/>
      <c r="O165" s="126"/>
      <c r="P165" s="126"/>
      <c r="Q165" s="127"/>
      <c r="R165" s="127"/>
      <c r="S165" s="260"/>
      <c r="T165" s="261"/>
      <c r="U165" s="261"/>
      <c r="V165" s="261"/>
      <c r="W165" s="261"/>
      <c r="X165" s="261"/>
      <c r="Y165" s="261"/>
      <c r="Z165" s="261"/>
    </row>
    <row r="166" ht="34.5" customHeight="1">
      <c r="A166" s="111"/>
      <c r="B166" s="127"/>
      <c r="C166" s="111"/>
      <c r="D166" s="111"/>
      <c r="E166" s="111"/>
      <c r="F166" s="257"/>
      <c r="G166" s="111"/>
      <c r="H166" s="278"/>
      <c r="I166" s="111"/>
      <c r="J166" s="128"/>
      <c r="K166" s="124"/>
      <c r="L166" s="125"/>
      <c r="M166" s="126"/>
      <c r="N166" s="126"/>
      <c r="O166" s="126"/>
      <c r="P166" s="126"/>
      <c r="Q166" s="127"/>
      <c r="R166" s="127"/>
      <c r="S166" s="260"/>
      <c r="T166" s="261"/>
      <c r="U166" s="261"/>
      <c r="V166" s="261"/>
      <c r="W166" s="261"/>
      <c r="X166" s="261"/>
      <c r="Y166" s="261"/>
      <c r="Z166" s="261"/>
    </row>
    <row r="167" ht="34.5" customHeight="1">
      <c r="A167" s="111"/>
      <c r="B167" s="127"/>
      <c r="C167" s="111"/>
      <c r="D167" s="111"/>
      <c r="E167" s="111"/>
      <c r="F167" s="257"/>
      <c r="G167" s="111"/>
      <c r="H167" s="278"/>
      <c r="I167" s="111"/>
      <c r="J167" s="128"/>
      <c r="K167" s="124"/>
      <c r="L167" s="125"/>
      <c r="M167" s="126"/>
      <c r="N167" s="126"/>
      <c r="O167" s="126"/>
      <c r="P167" s="126"/>
      <c r="Q167" s="127"/>
      <c r="R167" s="127"/>
      <c r="S167" s="260"/>
      <c r="T167" s="261"/>
      <c r="U167" s="261"/>
      <c r="V167" s="261"/>
      <c r="W167" s="261"/>
      <c r="X167" s="261"/>
      <c r="Y167" s="261"/>
      <c r="Z167" s="261"/>
    </row>
    <row r="168" ht="34.5" customHeight="1">
      <c r="A168" s="111"/>
      <c r="B168" s="127"/>
      <c r="C168" s="111"/>
      <c r="D168" s="111"/>
      <c r="E168" s="111"/>
      <c r="F168" s="257"/>
      <c r="G168" s="111"/>
      <c r="H168" s="111"/>
      <c r="I168" s="111"/>
      <c r="J168" s="128"/>
      <c r="K168" s="124"/>
      <c r="L168" s="125"/>
      <c r="M168" s="126"/>
      <c r="N168" s="126"/>
      <c r="O168" s="126"/>
      <c r="P168" s="126"/>
      <c r="Q168" s="127"/>
      <c r="R168" s="127"/>
      <c r="S168" s="260"/>
      <c r="T168" s="261"/>
      <c r="U168" s="261"/>
      <c r="V168" s="261"/>
      <c r="W168" s="261"/>
      <c r="X168" s="261"/>
      <c r="Y168" s="261"/>
      <c r="Z168" s="261"/>
    </row>
    <row r="169" ht="34.5" customHeight="1">
      <c r="A169" s="111"/>
      <c r="B169" s="127"/>
      <c r="C169" s="111"/>
      <c r="D169" s="111"/>
      <c r="E169" s="111"/>
      <c r="F169" s="257"/>
      <c r="G169" s="111"/>
      <c r="H169" s="278"/>
      <c r="I169" s="111"/>
      <c r="J169" s="128"/>
      <c r="K169" s="124"/>
      <c r="L169" s="125"/>
      <c r="M169" s="126"/>
      <c r="N169" s="126"/>
      <c r="O169" s="126"/>
      <c r="P169" s="126"/>
      <c r="Q169" s="127"/>
      <c r="R169" s="127"/>
      <c r="S169" s="260"/>
      <c r="T169" s="261"/>
      <c r="U169" s="261"/>
      <c r="V169" s="261"/>
      <c r="W169" s="261"/>
      <c r="X169" s="261"/>
      <c r="Y169" s="261"/>
      <c r="Z169" s="261"/>
    </row>
    <row r="170" ht="34.5" customHeight="1">
      <c r="A170" s="111"/>
      <c r="B170" s="127"/>
      <c r="C170" s="111"/>
      <c r="D170" s="111"/>
      <c r="E170" s="111"/>
      <c r="F170" s="257"/>
      <c r="G170" s="111"/>
      <c r="H170" s="278"/>
      <c r="I170" s="111"/>
      <c r="J170" s="128"/>
      <c r="K170" s="124"/>
      <c r="L170" s="125"/>
      <c r="M170" s="126"/>
      <c r="N170" s="126"/>
      <c r="O170" s="126"/>
      <c r="P170" s="126"/>
      <c r="Q170" s="127"/>
      <c r="R170" s="127"/>
      <c r="S170" s="260"/>
      <c r="T170" s="261"/>
      <c r="U170" s="261"/>
      <c r="V170" s="261"/>
      <c r="W170" s="261"/>
      <c r="X170" s="261"/>
      <c r="Y170" s="261"/>
      <c r="Z170" s="261"/>
    </row>
    <row r="171" ht="34.5" customHeight="1">
      <c r="A171" s="111"/>
      <c r="B171" s="127"/>
      <c r="C171" s="111"/>
      <c r="D171" s="111"/>
      <c r="E171" s="111"/>
      <c r="F171" s="257"/>
      <c r="G171" s="111"/>
      <c r="H171" s="278"/>
      <c r="I171" s="111"/>
      <c r="J171" s="128"/>
      <c r="K171" s="124"/>
      <c r="L171" s="125"/>
      <c r="M171" s="126"/>
      <c r="N171" s="126"/>
      <c r="O171" s="126"/>
      <c r="P171" s="126"/>
      <c r="Q171" s="127"/>
      <c r="R171" s="127"/>
      <c r="S171" s="260"/>
      <c r="T171" s="261"/>
      <c r="U171" s="261"/>
      <c r="V171" s="261"/>
      <c r="W171" s="261"/>
      <c r="X171" s="261"/>
      <c r="Y171" s="261"/>
      <c r="Z171" s="261"/>
    </row>
    <row r="172" ht="34.5" customHeight="1">
      <c r="A172" s="111"/>
      <c r="B172" s="127"/>
      <c r="C172" s="111"/>
      <c r="D172" s="111"/>
      <c r="E172" s="111"/>
      <c r="F172" s="257"/>
      <c r="G172" s="111"/>
      <c r="H172" s="111"/>
      <c r="I172" s="111"/>
      <c r="J172" s="128"/>
      <c r="K172" s="124"/>
      <c r="L172" s="125"/>
      <c r="M172" s="126"/>
      <c r="N172" s="126"/>
      <c r="O172" s="126"/>
      <c r="P172" s="126"/>
      <c r="Q172" s="127"/>
      <c r="R172" s="127"/>
      <c r="S172" s="260"/>
      <c r="T172" s="261"/>
      <c r="U172" s="261"/>
      <c r="V172" s="261"/>
      <c r="W172" s="261"/>
      <c r="X172" s="261"/>
      <c r="Y172" s="261"/>
      <c r="Z172" s="261"/>
    </row>
    <row r="173" ht="34.5" customHeight="1">
      <c r="A173" s="111"/>
      <c r="B173" s="127"/>
      <c r="C173" s="111"/>
      <c r="D173" s="111"/>
      <c r="E173" s="111"/>
      <c r="F173" s="257"/>
      <c r="G173" s="111"/>
      <c r="H173" s="278"/>
      <c r="I173" s="111"/>
      <c r="J173" s="128"/>
      <c r="K173" s="124"/>
      <c r="L173" s="125"/>
      <c r="M173" s="126"/>
      <c r="N173" s="126"/>
      <c r="O173" s="126"/>
      <c r="P173" s="126"/>
      <c r="Q173" s="127"/>
      <c r="R173" s="127"/>
      <c r="S173" s="260"/>
      <c r="T173" s="261"/>
      <c r="U173" s="261"/>
      <c r="V173" s="261"/>
      <c r="W173" s="261"/>
      <c r="X173" s="261"/>
      <c r="Y173" s="261"/>
      <c r="Z173" s="261"/>
    </row>
    <row r="174" ht="34.5" customHeight="1">
      <c r="A174" s="111"/>
      <c r="B174" s="127"/>
      <c r="C174" s="111"/>
      <c r="D174" s="111"/>
      <c r="E174" s="111"/>
      <c r="F174" s="257"/>
      <c r="G174" s="111"/>
      <c r="H174" s="278"/>
      <c r="I174" s="111"/>
      <c r="J174" s="128"/>
      <c r="K174" s="124"/>
      <c r="L174" s="125"/>
      <c r="M174" s="126"/>
      <c r="N174" s="126"/>
      <c r="O174" s="126"/>
      <c r="P174" s="126"/>
      <c r="Q174" s="127"/>
      <c r="R174" s="127"/>
      <c r="S174" s="260"/>
      <c r="T174" s="261"/>
      <c r="U174" s="261"/>
      <c r="V174" s="261"/>
      <c r="W174" s="261"/>
      <c r="X174" s="261"/>
      <c r="Y174" s="261"/>
      <c r="Z174" s="261"/>
    </row>
    <row r="175" ht="34.5" customHeight="1">
      <c r="A175" s="111"/>
      <c r="B175" s="127"/>
      <c r="C175" s="111"/>
      <c r="D175" s="111"/>
      <c r="E175" s="111"/>
      <c r="F175" s="257"/>
      <c r="G175" s="111"/>
      <c r="H175" s="278"/>
      <c r="I175" s="111"/>
      <c r="J175" s="128"/>
      <c r="K175" s="124"/>
      <c r="L175" s="125"/>
      <c r="M175" s="126"/>
      <c r="N175" s="126"/>
      <c r="O175" s="126"/>
      <c r="P175" s="126"/>
      <c r="Q175" s="127"/>
      <c r="R175" s="127"/>
      <c r="S175" s="260"/>
      <c r="T175" s="261"/>
      <c r="U175" s="261"/>
      <c r="V175" s="261"/>
      <c r="W175" s="261"/>
      <c r="X175" s="261"/>
      <c r="Y175" s="261"/>
      <c r="Z175" s="261"/>
    </row>
    <row r="176" ht="34.5" customHeight="1">
      <c r="A176" s="111"/>
      <c r="B176" s="127"/>
      <c r="C176" s="111"/>
      <c r="D176" s="111"/>
      <c r="E176" s="111"/>
      <c r="F176" s="257"/>
      <c r="G176" s="111"/>
      <c r="H176" s="111"/>
      <c r="I176" s="111"/>
      <c r="J176" s="128"/>
      <c r="K176" s="124"/>
      <c r="L176" s="125"/>
      <c r="M176" s="126"/>
      <c r="N176" s="126"/>
      <c r="O176" s="126"/>
      <c r="P176" s="126"/>
      <c r="Q176" s="127"/>
      <c r="R176" s="127"/>
      <c r="S176" s="260"/>
      <c r="T176" s="261"/>
      <c r="U176" s="261"/>
      <c r="V176" s="261"/>
      <c r="W176" s="261"/>
      <c r="X176" s="261"/>
      <c r="Y176" s="261"/>
      <c r="Z176" s="261"/>
    </row>
    <row r="177" ht="34.5" customHeight="1">
      <c r="A177" s="111"/>
      <c r="B177" s="127"/>
      <c r="C177" s="111"/>
      <c r="D177" s="111"/>
      <c r="E177" s="111"/>
      <c r="F177" s="257"/>
      <c r="G177" s="111"/>
      <c r="H177" s="278"/>
      <c r="I177" s="111"/>
      <c r="J177" s="128"/>
      <c r="K177" s="124"/>
      <c r="L177" s="125"/>
      <c r="M177" s="126"/>
      <c r="N177" s="126"/>
      <c r="O177" s="126"/>
      <c r="P177" s="126"/>
      <c r="Q177" s="127"/>
      <c r="R177" s="127"/>
      <c r="S177" s="260"/>
      <c r="T177" s="261"/>
      <c r="U177" s="261"/>
      <c r="V177" s="261"/>
      <c r="W177" s="261"/>
      <c r="X177" s="261"/>
      <c r="Y177" s="261"/>
      <c r="Z177" s="261"/>
    </row>
    <row r="178" ht="34.5" customHeight="1">
      <c r="A178" s="111"/>
      <c r="B178" s="127"/>
      <c r="C178" s="111"/>
      <c r="D178" s="111"/>
      <c r="E178" s="111"/>
      <c r="F178" s="257"/>
      <c r="G178" s="111"/>
      <c r="H178" s="278"/>
      <c r="I178" s="111"/>
      <c r="J178" s="128"/>
      <c r="K178" s="124"/>
      <c r="L178" s="125"/>
      <c r="M178" s="126"/>
      <c r="N178" s="126"/>
      <c r="O178" s="126"/>
      <c r="P178" s="126"/>
      <c r="Q178" s="127"/>
      <c r="R178" s="127"/>
      <c r="S178" s="260"/>
      <c r="T178" s="261"/>
      <c r="U178" s="261"/>
      <c r="V178" s="261"/>
      <c r="W178" s="261"/>
      <c r="X178" s="261"/>
      <c r="Y178" s="261"/>
      <c r="Z178" s="261"/>
    </row>
    <row r="179" ht="34.5" customHeight="1">
      <c r="A179" s="111"/>
      <c r="B179" s="127"/>
      <c r="C179" s="111"/>
      <c r="D179" s="111"/>
      <c r="E179" s="111"/>
      <c r="F179" s="257"/>
      <c r="G179" s="111"/>
      <c r="H179" s="278"/>
      <c r="I179" s="111"/>
      <c r="J179" s="128"/>
      <c r="K179" s="124"/>
      <c r="L179" s="125"/>
      <c r="M179" s="126"/>
      <c r="N179" s="126"/>
      <c r="O179" s="126"/>
      <c r="P179" s="126"/>
      <c r="Q179" s="127"/>
      <c r="R179" s="127"/>
      <c r="S179" s="260"/>
      <c r="T179" s="261"/>
      <c r="U179" s="261"/>
      <c r="V179" s="261"/>
      <c r="W179" s="261"/>
      <c r="X179" s="261"/>
      <c r="Y179" s="261"/>
      <c r="Z179" s="261"/>
    </row>
    <row r="180" ht="34.5" customHeight="1">
      <c r="A180" s="111"/>
      <c r="B180" s="127"/>
      <c r="C180" s="111"/>
      <c r="D180" s="111"/>
      <c r="E180" s="111"/>
      <c r="F180" s="257"/>
      <c r="G180" s="111"/>
      <c r="H180" s="111"/>
      <c r="I180" s="111"/>
      <c r="J180" s="128"/>
      <c r="K180" s="124"/>
      <c r="L180" s="125"/>
      <c r="M180" s="126"/>
      <c r="N180" s="126"/>
      <c r="O180" s="126"/>
      <c r="P180" s="126"/>
      <c r="Q180" s="127"/>
      <c r="R180" s="127"/>
      <c r="S180" s="260"/>
      <c r="T180" s="261"/>
      <c r="U180" s="261"/>
      <c r="V180" s="261"/>
      <c r="W180" s="261"/>
      <c r="X180" s="261"/>
      <c r="Y180" s="261"/>
      <c r="Z180" s="261"/>
    </row>
    <row r="181" ht="34.5" customHeight="1">
      <c r="A181" s="111"/>
      <c r="B181" s="127"/>
      <c r="C181" s="111"/>
      <c r="D181" s="111"/>
      <c r="E181" s="111"/>
      <c r="F181" s="257"/>
      <c r="G181" s="111"/>
      <c r="H181" s="278"/>
      <c r="I181" s="111"/>
      <c r="J181" s="128"/>
      <c r="K181" s="124"/>
      <c r="L181" s="125"/>
      <c r="M181" s="126"/>
      <c r="N181" s="126"/>
      <c r="O181" s="126"/>
      <c r="P181" s="126"/>
      <c r="Q181" s="127"/>
      <c r="R181" s="127"/>
      <c r="S181" s="260"/>
      <c r="T181" s="261"/>
      <c r="U181" s="261"/>
      <c r="V181" s="261"/>
      <c r="W181" s="261"/>
      <c r="X181" s="261"/>
      <c r="Y181" s="261"/>
      <c r="Z181" s="261"/>
    </row>
    <row r="182" ht="34.5" customHeight="1">
      <c r="A182" s="111"/>
      <c r="B182" s="127"/>
      <c r="C182" s="111"/>
      <c r="D182" s="111"/>
      <c r="E182" s="111"/>
      <c r="F182" s="257"/>
      <c r="G182" s="111"/>
      <c r="H182" s="278"/>
      <c r="I182" s="111"/>
      <c r="J182" s="128"/>
      <c r="K182" s="124"/>
      <c r="L182" s="125"/>
      <c r="M182" s="126"/>
      <c r="N182" s="126"/>
      <c r="O182" s="126"/>
      <c r="P182" s="126"/>
      <c r="Q182" s="127"/>
      <c r="R182" s="127"/>
      <c r="S182" s="260"/>
      <c r="T182" s="261"/>
      <c r="U182" s="261"/>
      <c r="V182" s="261"/>
      <c r="W182" s="261"/>
      <c r="X182" s="261"/>
      <c r="Y182" s="261"/>
      <c r="Z182" s="261"/>
    </row>
    <row r="183" ht="34.5" customHeight="1">
      <c r="A183" s="111"/>
      <c r="B183" s="127"/>
      <c r="C183" s="111"/>
      <c r="D183" s="111"/>
      <c r="E183" s="111"/>
      <c r="F183" s="257"/>
      <c r="G183" s="111"/>
      <c r="H183" s="278"/>
      <c r="I183" s="111"/>
      <c r="J183" s="128"/>
      <c r="K183" s="124"/>
      <c r="L183" s="125"/>
      <c r="M183" s="126"/>
      <c r="N183" s="126"/>
      <c r="O183" s="126"/>
      <c r="P183" s="126"/>
      <c r="Q183" s="127"/>
      <c r="R183" s="127"/>
      <c r="S183" s="260"/>
      <c r="T183" s="261"/>
      <c r="U183" s="261"/>
      <c r="V183" s="261"/>
      <c r="W183" s="261"/>
      <c r="X183" s="261"/>
      <c r="Y183" s="261"/>
      <c r="Z183" s="261"/>
    </row>
    <row r="184" ht="34.5" customHeight="1">
      <c r="A184" s="111"/>
      <c r="B184" s="127"/>
      <c r="C184" s="111"/>
      <c r="D184" s="111"/>
      <c r="E184" s="111"/>
      <c r="F184" s="257"/>
      <c r="G184" s="111"/>
      <c r="H184" s="111"/>
      <c r="I184" s="111"/>
      <c r="J184" s="128"/>
      <c r="K184" s="124"/>
      <c r="L184" s="125"/>
      <c r="M184" s="126"/>
      <c r="N184" s="126"/>
      <c r="O184" s="126"/>
      <c r="P184" s="126"/>
      <c r="Q184" s="127"/>
      <c r="R184" s="127"/>
      <c r="S184" s="260"/>
      <c r="T184" s="261"/>
      <c r="U184" s="261"/>
      <c r="V184" s="261"/>
      <c r="W184" s="261"/>
      <c r="X184" s="261"/>
      <c r="Y184" s="261"/>
      <c r="Z184" s="261"/>
    </row>
    <row r="185" ht="34.5" customHeight="1">
      <c r="A185" s="111"/>
      <c r="B185" s="127"/>
      <c r="C185" s="111"/>
      <c r="D185" s="111"/>
      <c r="E185" s="111"/>
      <c r="F185" s="257"/>
      <c r="G185" s="111"/>
      <c r="H185" s="278"/>
      <c r="I185" s="111"/>
      <c r="J185" s="128"/>
      <c r="K185" s="124"/>
      <c r="L185" s="125"/>
      <c r="M185" s="126"/>
      <c r="N185" s="126"/>
      <c r="O185" s="126"/>
      <c r="P185" s="126"/>
      <c r="Q185" s="127"/>
      <c r="R185" s="127"/>
      <c r="S185" s="260"/>
      <c r="T185" s="261"/>
      <c r="U185" s="261"/>
      <c r="V185" s="261"/>
      <c r="W185" s="261"/>
      <c r="X185" s="261"/>
      <c r="Y185" s="261"/>
      <c r="Z185" s="261"/>
    </row>
    <row r="186" ht="34.5" customHeight="1">
      <c r="A186" s="111"/>
      <c r="B186" s="127"/>
      <c r="C186" s="111"/>
      <c r="D186" s="111"/>
      <c r="E186" s="111"/>
      <c r="F186" s="257"/>
      <c r="G186" s="111"/>
      <c r="H186" s="278"/>
      <c r="I186" s="111"/>
      <c r="J186" s="128"/>
      <c r="K186" s="124"/>
      <c r="L186" s="125"/>
      <c r="M186" s="126"/>
      <c r="N186" s="126"/>
      <c r="O186" s="126"/>
      <c r="P186" s="126"/>
      <c r="Q186" s="127"/>
      <c r="R186" s="127"/>
      <c r="S186" s="260"/>
      <c r="T186" s="261"/>
      <c r="U186" s="261"/>
      <c r="V186" s="261"/>
      <c r="W186" s="261"/>
      <c r="X186" s="261"/>
      <c r="Y186" s="261"/>
      <c r="Z186" s="261"/>
    </row>
    <row r="187" ht="34.5" customHeight="1">
      <c r="A187" s="111"/>
      <c r="B187" s="127"/>
      <c r="C187" s="111"/>
      <c r="D187" s="111"/>
      <c r="E187" s="111"/>
      <c r="F187" s="257"/>
      <c r="G187" s="111"/>
      <c r="H187" s="278"/>
      <c r="I187" s="111"/>
      <c r="J187" s="128"/>
      <c r="K187" s="124"/>
      <c r="L187" s="125"/>
      <c r="M187" s="126"/>
      <c r="N187" s="126"/>
      <c r="O187" s="126"/>
      <c r="P187" s="126"/>
      <c r="Q187" s="127"/>
      <c r="R187" s="127"/>
      <c r="S187" s="260"/>
      <c r="T187" s="261"/>
      <c r="U187" s="261"/>
      <c r="V187" s="261"/>
      <c r="W187" s="261"/>
      <c r="X187" s="261"/>
      <c r="Y187" s="261"/>
      <c r="Z187" s="261"/>
    </row>
    <row r="188" ht="34.5" customHeight="1">
      <c r="A188" s="111"/>
      <c r="B188" s="127"/>
      <c r="C188" s="111"/>
      <c r="D188" s="111"/>
      <c r="E188" s="111"/>
      <c r="F188" s="257"/>
      <c r="G188" s="111"/>
      <c r="H188" s="111"/>
      <c r="I188" s="111"/>
      <c r="J188" s="128"/>
      <c r="K188" s="124"/>
      <c r="L188" s="125"/>
      <c r="M188" s="126"/>
      <c r="N188" s="126"/>
      <c r="O188" s="126"/>
      <c r="P188" s="126"/>
      <c r="Q188" s="127"/>
      <c r="R188" s="127"/>
      <c r="S188" s="260"/>
      <c r="T188" s="261"/>
      <c r="U188" s="261"/>
      <c r="V188" s="261"/>
      <c r="W188" s="261"/>
      <c r="X188" s="261"/>
      <c r="Y188" s="261"/>
      <c r="Z188" s="261"/>
    </row>
    <row r="189" ht="34.5" customHeight="1">
      <c r="A189" s="111"/>
      <c r="B189" s="127"/>
      <c r="C189" s="111"/>
      <c r="D189" s="111"/>
      <c r="E189" s="111"/>
      <c r="F189" s="257"/>
      <c r="G189" s="111"/>
      <c r="H189" s="278"/>
      <c r="I189" s="111"/>
      <c r="J189" s="128"/>
      <c r="K189" s="124"/>
      <c r="L189" s="125"/>
      <c r="M189" s="126"/>
      <c r="N189" s="126"/>
      <c r="O189" s="126"/>
      <c r="P189" s="126"/>
      <c r="Q189" s="127"/>
      <c r="R189" s="127"/>
      <c r="S189" s="260"/>
      <c r="T189" s="261"/>
      <c r="U189" s="261"/>
      <c r="V189" s="261"/>
      <c r="W189" s="261"/>
      <c r="X189" s="261"/>
      <c r="Y189" s="261"/>
      <c r="Z189" s="261"/>
    </row>
    <row r="190" ht="34.5" customHeight="1">
      <c r="A190" s="111"/>
      <c r="B190" s="127"/>
      <c r="C190" s="111"/>
      <c r="D190" s="111"/>
      <c r="E190" s="111"/>
      <c r="F190" s="257"/>
      <c r="G190" s="111"/>
      <c r="H190" s="278"/>
      <c r="I190" s="111"/>
      <c r="J190" s="128"/>
      <c r="K190" s="124"/>
      <c r="L190" s="125"/>
      <c r="M190" s="126"/>
      <c r="N190" s="126"/>
      <c r="O190" s="126"/>
      <c r="P190" s="126"/>
      <c r="Q190" s="127"/>
      <c r="R190" s="127"/>
      <c r="S190" s="260"/>
      <c r="T190" s="261"/>
      <c r="U190" s="261"/>
      <c r="V190" s="261"/>
      <c r="W190" s="261"/>
      <c r="X190" s="261"/>
      <c r="Y190" s="261"/>
      <c r="Z190" s="261"/>
    </row>
    <row r="191" ht="34.5" customHeight="1">
      <c r="A191" s="111"/>
      <c r="B191" s="127"/>
      <c r="C191" s="111"/>
      <c r="D191" s="111"/>
      <c r="E191" s="111"/>
      <c r="F191" s="257"/>
      <c r="G191" s="111"/>
      <c r="H191" s="278"/>
      <c r="I191" s="111"/>
      <c r="J191" s="128"/>
      <c r="K191" s="124"/>
      <c r="L191" s="125"/>
      <c r="M191" s="126"/>
      <c r="N191" s="126"/>
      <c r="O191" s="126"/>
      <c r="P191" s="126"/>
      <c r="Q191" s="127"/>
      <c r="R191" s="127"/>
      <c r="S191" s="260"/>
      <c r="T191" s="261"/>
      <c r="U191" s="261"/>
      <c r="V191" s="261"/>
      <c r="W191" s="261"/>
      <c r="X191" s="261"/>
      <c r="Y191" s="261"/>
      <c r="Z191" s="261"/>
    </row>
    <row r="192" ht="34.5" customHeight="1">
      <c r="A192" s="111"/>
      <c r="B192" s="127"/>
      <c r="C192" s="111"/>
      <c r="D192" s="111"/>
      <c r="E192" s="111"/>
      <c r="F192" s="257"/>
      <c r="G192" s="111"/>
      <c r="H192" s="111"/>
      <c r="I192" s="111"/>
      <c r="J192" s="128"/>
      <c r="K192" s="124"/>
      <c r="L192" s="125"/>
      <c r="M192" s="126"/>
      <c r="N192" s="126"/>
      <c r="O192" s="126"/>
      <c r="P192" s="126"/>
      <c r="Q192" s="127"/>
      <c r="R192" s="127"/>
      <c r="S192" s="260"/>
      <c r="T192" s="261"/>
      <c r="U192" s="261"/>
      <c r="V192" s="261"/>
      <c r="W192" s="261"/>
      <c r="X192" s="261"/>
      <c r="Y192" s="261"/>
      <c r="Z192" s="261"/>
    </row>
    <row r="193" ht="34.5" customHeight="1">
      <c r="A193" s="111"/>
      <c r="B193" s="127"/>
      <c r="C193" s="111"/>
      <c r="D193" s="111"/>
      <c r="E193" s="111"/>
      <c r="F193" s="257"/>
      <c r="G193" s="111"/>
      <c r="H193" s="278"/>
      <c r="I193" s="111"/>
      <c r="J193" s="128"/>
      <c r="K193" s="124"/>
      <c r="L193" s="125"/>
      <c r="M193" s="126"/>
      <c r="N193" s="126"/>
      <c r="O193" s="126"/>
      <c r="P193" s="126"/>
      <c r="Q193" s="127"/>
      <c r="R193" s="127"/>
      <c r="S193" s="260"/>
      <c r="T193" s="261"/>
      <c r="U193" s="261"/>
      <c r="V193" s="261"/>
      <c r="W193" s="261"/>
      <c r="X193" s="261"/>
      <c r="Y193" s="261"/>
      <c r="Z193" s="261"/>
    </row>
    <row r="194" ht="34.5" customHeight="1">
      <c r="A194" s="111"/>
      <c r="B194" s="127"/>
      <c r="C194" s="111"/>
      <c r="D194" s="111"/>
      <c r="E194" s="111"/>
      <c r="F194" s="257"/>
      <c r="G194" s="111"/>
      <c r="H194" s="278"/>
      <c r="I194" s="111"/>
      <c r="J194" s="128"/>
      <c r="K194" s="124"/>
      <c r="L194" s="125"/>
      <c r="M194" s="126"/>
      <c r="N194" s="126"/>
      <c r="O194" s="126"/>
      <c r="P194" s="126"/>
      <c r="Q194" s="127"/>
      <c r="R194" s="127"/>
      <c r="S194" s="260"/>
      <c r="T194" s="261"/>
      <c r="U194" s="261"/>
      <c r="V194" s="261"/>
      <c r="W194" s="261"/>
      <c r="X194" s="261"/>
      <c r="Y194" s="261"/>
      <c r="Z194" s="261"/>
    </row>
    <row r="195" ht="34.5" customHeight="1">
      <c r="A195" s="111"/>
      <c r="B195" s="127"/>
      <c r="C195" s="111"/>
      <c r="D195" s="111"/>
      <c r="E195" s="111"/>
      <c r="F195" s="257"/>
      <c r="G195" s="111"/>
      <c r="H195" s="278"/>
      <c r="I195" s="111"/>
      <c r="J195" s="128"/>
      <c r="K195" s="124"/>
      <c r="L195" s="125"/>
      <c r="M195" s="126"/>
      <c r="N195" s="126"/>
      <c r="O195" s="126"/>
      <c r="P195" s="126"/>
      <c r="Q195" s="127"/>
      <c r="R195" s="127"/>
      <c r="S195" s="260"/>
      <c r="T195" s="261"/>
      <c r="U195" s="261"/>
      <c r="V195" s="261"/>
      <c r="W195" s="261"/>
      <c r="X195" s="261"/>
      <c r="Y195" s="261"/>
      <c r="Z195" s="261"/>
    </row>
    <row r="196" ht="34.5" customHeight="1">
      <c r="A196" s="111"/>
      <c r="B196" s="127"/>
      <c r="C196" s="111"/>
      <c r="D196" s="111"/>
      <c r="E196" s="111"/>
      <c r="F196" s="257"/>
      <c r="G196" s="111"/>
      <c r="H196" s="111"/>
      <c r="I196" s="111"/>
      <c r="J196" s="128"/>
      <c r="K196" s="124"/>
      <c r="L196" s="125"/>
      <c r="M196" s="126"/>
      <c r="N196" s="126"/>
      <c r="O196" s="126"/>
      <c r="P196" s="126"/>
      <c r="Q196" s="127"/>
      <c r="R196" s="127"/>
      <c r="S196" s="260"/>
      <c r="T196" s="261"/>
      <c r="U196" s="261"/>
      <c r="V196" s="261"/>
      <c r="W196" s="261"/>
      <c r="X196" s="261"/>
      <c r="Y196" s="261"/>
      <c r="Z196" s="261"/>
    </row>
    <row r="197" ht="34.5" customHeight="1">
      <c r="A197" s="111"/>
      <c r="B197" s="127"/>
      <c r="C197" s="111"/>
      <c r="D197" s="111"/>
      <c r="E197" s="111"/>
      <c r="F197" s="257"/>
      <c r="G197" s="111"/>
      <c r="H197" s="278"/>
      <c r="I197" s="111"/>
      <c r="J197" s="128"/>
      <c r="K197" s="124"/>
      <c r="L197" s="125"/>
      <c r="M197" s="126"/>
      <c r="N197" s="126"/>
      <c r="O197" s="126"/>
      <c r="P197" s="126"/>
      <c r="Q197" s="127"/>
      <c r="R197" s="127"/>
      <c r="S197" s="260"/>
      <c r="T197" s="261"/>
      <c r="U197" s="261"/>
      <c r="V197" s="261"/>
      <c r="W197" s="261"/>
      <c r="X197" s="261"/>
      <c r="Y197" s="261"/>
      <c r="Z197" s="261"/>
    </row>
    <row r="198" ht="34.5" customHeight="1">
      <c r="A198" s="111"/>
      <c r="B198" s="127"/>
      <c r="C198" s="111"/>
      <c r="D198" s="111"/>
      <c r="E198" s="111"/>
      <c r="F198" s="257"/>
      <c r="G198" s="111"/>
      <c r="H198" s="278"/>
      <c r="I198" s="111"/>
      <c r="J198" s="128"/>
      <c r="K198" s="124"/>
      <c r="L198" s="125"/>
      <c r="M198" s="126"/>
      <c r="N198" s="126"/>
      <c r="O198" s="126"/>
      <c r="P198" s="126"/>
      <c r="Q198" s="127"/>
      <c r="R198" s="127"/>
      <c r="S198" s="260"/>
      <c r="T198" s="261"/>
      <c r="U198" s="261"/>
      <c r="V198" s="261"/>
      <c r="W198" s="261"/>
      <c r="X198" s="261"/>
      <c r="Y198" s="261"/>
      <c r="Z198" s="261"/>
    </row>
    <row r="199" ht="34.5" customHeight="1">
      <c r="A199" s="111"/>
      <c r="B199" s="127"/>
      <c r="C199" s="111"/>
      <c r="D199" s="111"/>
      <c r="E199" s="111"/>
      <c r="F199" s="257"/>
      <c r="G199" s="111"/>
      <c r="H199" s="278"/>
      <c r="I199" s="111"/>
      <c r="J199" s="128"/>
      <c r="K199" s="124"/>
      <c r="L199" s="125"/>
      <c r="M199" s="126"/>
      <c r="N199" s="126"/>
      <c r="O199" s="126"/>
      <c r="P199" s="126"/>
      <c r="Q199" s="127"/>
      <c r="R199" s="127"/>
      <c r="S199" s="260"/>
      <c r="T199" s="261"/>
      <c r="U199" s="261"/>
      <c r="V199" s="261"/>
      <c r="W199" s="261"/>
      <c r="X199" s="261"/>
      <c r="Y199" s="261"/>
      <c r="Z199" s="261"/>
    </row>
    <row r="200" ht="34.5" customHeight="1">
      <c r="A200" s="111"/>
      <c r="B200" s="127"/>
      <c r="C200" s="111"/>
      <c r="D200" s="111"/>
      <c r="E200" s="111"/>
      <c r="F200" s="257"/>
      <c r="G200" s="111"/>
      <c r="H200" s="111"/>
      <c r="I200" s="111"/>
      <c r="J200" s="128"/>
      <c r="K200" s="124"/>
      <c r="L200" s="125"/>
      <c r="M200" s="126"/>
      <c r="N200" s="126"/>
      <c r="O200" s="126"/>
      <c r="P200" s="126"/>
      <c r="Q200" s="127"/>
      <c r="R200" s="127"/>
      <c r="S200" s="260"/>
      <c r="T200" s="261"/>
      <c r="U200" s="261"/>
      <c r="V200" s="261"/>
      <c r="W200" s="261"/>
      <c r="X200" s="261"/>
      <c r="Y200" s="261"/>
      <c r="Z200" s="261"/>
    </row>
    <row r="201" ht="34.5" customHeight="1">
      <c r="A201" s="111"/>
      <c r="B201" s="127"/>
      <c r="C201" s="111"/>
      <c r="D201" s="111"/>
      <c r="E201" s="111"/>
      <c r="F201" s="257"/>
      <c r="G201" s="111"/>
      <c r="H201" s="278"/>
      <c r="I201" s="111"/>
      <c r="J201" s="128"/>
      <c r="K201" s="124"/>
      <c r="L201" s="125"/>
      <c r="M201" s="126"/>
      <c r="N201" s="126"/>
      <c r="O201" s="126"/>
      <c r="P201" s="126"/>
      <c r="Q201" s="127"/>
      <c r="R201" s="127"/>
      <c r="S201" s="260"/>
      <c r="T201" s="261"/>
      <c r="U201" s="261"/>
      <c r="V201" s="261"/>
      <c r="W201" s="261"/>
      <c r="X201" s="261"/>
      <c r="Y201" s="261"/>
      <c r="Z201" s="261"/>
    </row>
    <row r="202" ht="34.5" customHeight="1">
      <c r="A202" s="111"/>
      <c r="B202" s="127"/>
      <c r="C202" s="111"/>
      <c r="D202" s="111"/>
      <c r="E202" s="111"/>
      <c r="F202" s="257"/>
      <c r="G202" s="111"/>
      <c r="H202" s="278"/>
      <c r="I202" s="111"/>
      <c r="J202" s="128"/>
      <c r="K202" s="124"/>
      <c r="L202" s="125"/>
      <c r="M202" s="126"/>
      <c r="N202" s="126"/>
      <c r="O202" s="126"/>
      <c r="P202" s="126"/>
      <c r="Q202" s="127"/>
      <c r="R202" s="127"/>
      <c r="S202" s="260"/>
      <c r="T202" s="261"/>
      <c r="U202" s="261"/>
      <c r="V202" s="261"/>
      <c r="W202" s="261"/>
      <c r="X202" s="261"/>
      <c r="Y202" s="261"/>
      <c r="Z202" s="261"/>
    </row>
    <row r="203" ht="34.5" customHeight="1">
      <c r="A203" s="111"/>
      <c r="B203" s="127"/>
      <c r="C203" s="111"/>
      <c r="D203" s="111"/>
      <c r="E203" s="111"/>
      <c r="F203" s="257"/>
      <c r="G203" s="111"/>
      <c r="H203" s="278"/>
      <c r="I203" s="111"/>
      <c r="J203" s="128"/>
      <c r="K203" s="124"/>
      <c r="L203" s="125"/>
      <c r="M203" s="126"/>
      <c r="N203" s="126"/>
      <c r="O203" s="126"/>
      <c r="P203" s="126"/>
      <c r="Q203" s="127"/>
      <c r="R203" s="127"/>
      <c r="S203" s="260"/>
      <c r="T203" s="261"/>
      <c r="U203" s="261"/>
      <c r="V203" s="261"/>
      <c r="W203" s="261"/>
      <c r="X203" s="261"/>
      <c r="Y203" s="261"/>
      <c r="Z203" s="261"/>
    </row>
    <row r="204" ht="34.5" customHeight="1">
      <c r="A204" s="111"/>
      <c r="B204" s="127"/>
      <c r="C204" s="111"/>
      <c r="D204" s="111"/>
      <c r="E204" s="111"/>
      <c r="F204" s="257"/>
      <c r="G204" s="111"/>
      <c r="H204" s="111"/>
      <c r="I204" s="111"/>
      <c r="J204" s="128"/>
      <c r="K204" s="124"/>
      <c r="L204" s="125"/>
      <c r="M204" s="126"/>
      <c r="N204" s="126"/>
      <c r="O204" s="126"/>
      <c r="P204" s="126"/>
      <c r="Q204" s="127"/>
      <c r="R204" s="127"/>
      <c r="S204" s="260"/>
      <c r="T204" s="261"/>
      <c r="U204" s="261"/>
      <c r="V204" s="261"/>
      <c r="W204" s="261"/>
      <c r="X204" s="261"/>
      <c r="Y204" s="261"/>
      <c r="Z204" s="261"/>
    </row>
    <row r="205" ht="34.5" customHeight="1">
      <c r="A205" s="111"/>
      <c r="B205" s="127"/>
      <c r="C205" s="111"/>
      <c r="D205" s="111"/>
      <c r="E205" s="111"/>
      <c r="F205" s="257"/>
      <c r="G205" s="111"/>
      <c r="H205" s="278"/>
      <c r="I205" s="111"/>
      <c r="J205" s="128"/>
      <c r="K205" s="124"/>
      <c r="L205" s="125"/>
      <c r="M205" s="126"/>
      <c r="N205" s="126"/>
      <c r="O205" s="126"/>
      <c r="P205" s="126"/>
      <c r="Q205" s="127"/>
      <c r="R205" s="127"/>
      <c r="S205" s="260"/>
      <c r="T205" s="261"/>
      <c r="U205" s="261"/>
      <c r="V205" s="261"/>
      <c r="W205" s="261"/>
      <c r="X205" s="261"/>
      <c r="Y205" s="261"/>
      <c r="Z205" s="261"/>
    </row>
    <row r="206" ht="34.5" customHeight="1">
      <c r="A206" s="111"/>
      <c r="B206" s="127"/>
      <c r="C206" s="111"/>
      <c r="D206" s="111"/>
      <c r="E206" s="111"/>
      <c r="F206" s="257"/>
      <c r="G206" s="111"/>
      <c r="H206" s="278"/>
      <c r="I206" s="111"/>
      <c r="J206" s="128"/>
      <c r="K206" s="124"/>
      <c r="L206" s="125"/>
      <c r="M206" s="126"/>
      <c r="N206" s="126"/>
      <c r="O206" s="126"/>
      <c r="P206" s="126"/>
      <c r="Q206" s="127"/>
      <c r="R206" s="127"/>
      <c r="S206" s="260"/>
      <c r="T206" s="261"/>
      <c r="U206" s="261"/>
      <c r="V206" s="261"/>
      <c r="W206" s="261"/>
      <c r="X206" s="261"/>
      <c r="Y206" s="261"/>
      <c r="Z206" s="261"/>
    </row>
    <row r="207" ht="34.5" customHeight="1">
      <c r="A207" s="111"/>
      <c r="B207" s="127"/>
      <c r="C207" s="111"/>
      <c r="D207" s="111"/>
      <c r="E207" s="111"/>
      <c r="F207" s="257"/>
      <c r="G207" s="111"/>
      <c r="H207" s="278"/>
      <c r="I207" s="111"/>
      <c r="J207" s="128"/>
      <c r="K207" s="124"/>
      <c r="L207" s="125"/>
      <c r="M207" s="126"/>
      <c r="N207" s="126"/>
      <c r="O207" s="126"/>
      <c r="P207" s="126"/>
      <c r="Q207" s="127"/>
      <c r="R207" s="127"/>
      <c r="S207" s="260"/>
      <c r="T207" s="261"/>
      <c r="U207" s="261"/>
      <c r="V207" s="261"/>
      <c r="W207" s="261"/>
      <c r="X207" s="261"/>
      <c r="Y207" s="261"/>
      <c r="Z207" s="261"/>
    </row>
    <row r="208" ht="34.5" customHeight="1">
      <c r="A208" s="111"/>
      <c r="B208" s="127"/>
      <c r="C208" s="111"/>
      <c r="D208" s="111"/>
      <c r="E208" s="111"/>
      <c r="F208" s="257"/>
      <c r="G208" s="111"/>
      <c r="H208" s="111"/>
      <c r="I208" s="111"/>
      <c r="J208" s="128"/>
      <c r="K208" s="124"/>
      <c r="L208" s="125"/>
      <c r="M208" s="126"/>
      <c r="N208" s="126"/>
      <c r="O208" s="126"/>
      <c r="P208" s="126"/>
      <c r="Q208" s="127"/>
      <c r="R208" s="127"/>
      <c r="S208" s="260"/>
      <c r="T208" s="261"/>
      <c r="U208" s="261"/>
      <c r="V208" s="261"/>
      <c r="W208" s="261"/>
      <c r="X208" s="261"/>
      <c r="Y208" s="261"/>
      <c r="Z208" s="261"/>
    </row>
    <row r="209" ht="34.5" customHeight="1">
      <c r="A209" s="111"/>
      <c r="B209" s="127"/>
      <c r="C209" s="111"/>
      <c r="D209" s="111"/>
      <c r="E209" s="111"/>
      <c r="F209" s="257"/>
      <c r="G209" s="111"/>
      <c r="H209" s="278"/>
      <c r="I209" s="111"/>
      <c r="J209" s="128"/>
      <c r="K209" s="124"/>
      <c r="L209" s="125"/>
      <c r="M209" s="126"/>
      <c r="N209" s="126"/>
      <c r="O209" s="126"/>
      <c r="P209" s="126"/>
      <c r="Q209" s="127"/>
      <c r="R209" s="127"/>
      <c r="S209" s="260"/>
      <c r="T209" s="261"/>
      <c r="U209" s="261"/>
      <c r="V209" s="261"/>
      <c r="W209" s="261"/>
      <c r="X209" s="261"/>
      <c r="Y209" s="261"/>
      <c r="Z209" s="261"/>
    </row>
    <row r="210" ht="34.5" customHeight="1">
      <c r="A210" s="111"/>
      <c r="B210" s="127"/>
      <c r="C210" s="111"/>
      <c r="D210" s="111"/>
      <c r="E210" s="111"/>
      <c r="F210" s="257"/>
      <c r="G210" s="111"/>
      <c r="H210" s="278"/>
      <c r="I210" s="111"/>
      <c r="J210" s="128"/>
      <c r="K210" s="124"/>
      <c r="L210" s="125"/>
      <c r="M210" s="126"/>
      <c r="N210" s="126"/>
      <c r="O210" s="126"/>
      <c r="P210" s="126"/>
      <c r="Q210" s="127"/>
      <c r="R210" s="127"/>
      <c r="S210" s="260"/>
      <c r="T210" s="261"/>
      <c r="U210" s="261"/>
      <c r="V210" s="261"/>
      <c r="W210" s="261"/>
      <c r="X210" s="261"/>
      <c r="Y210" s="261"/>
      <c r="Z210" s="261"/>
    </row>
    <row r="211" ht="34.5" customHeight="1">
      <c r="A211" s="111"/>
      <c r="B211" s="127"/>
      <c r="C211" s="111"/>
      <c r="D211" s="111"/>
      <c r="E211" s="111"/>
      <c r="F211" s="257"/>
      <c r="G211" s="111"/>
      <c r="H211" s="278"/>
      <c r="I211" s="111"/>
      <c r="J211" s="128"/>
      <c r="K211" s="124"/>
      <c r="L211" s="125"/>
      <c r="M211" s="126"/>
      <c r="N211" s="126"/>
      <c r="O211" s="126"/>
      <c r="P211" s="126"/>
      <c r="Q211" s="127"/>
      <c r="R211" s="127"/>
      <c r="S211" s="260"/>
      <c r="T211" s="261"/>
      <c r="U211" s="261"/>
      <c r="V211" s="261"/>
      <c r="W211" s="261"/>
      <c r="X211" s="261"/>
      <c r="Y211" s="261"/>
      <c r="Z211" s="261"/>
    </row>
    <row r="212" ht="34.5" customHeight="1">
      <c r="A212" s="111"/>
      <c r="B212" s="127"/>
      <c r="C212" s="111"/>
      <c r="D212" s="111"/>
      <c r="E212" s="111"/>
      <c r="F212" s="257"/>
      <c r="G212" s="111"/>
      <c r="H212" s="111"/>
      <c r="I212" s="111"/>
      <c r="J212" s="128"/>
      <c r="K212" s="124"/>
      <c r="L212" s="125"/>
      <c r="M212" s="126"/>
      <c r="N212" s="126"/>
      <c r="O212" s="126"/>
      <c r="P212" s="126"/>
      <c r="Q212" s="127"/>
      <c r="R212" s="127"/>
      <c r="S212" s="260"/>
      <c r="T212" s="261"/>
      <c r="U212" s="261"/>
      <c r="V212" s="261"/>
      <c r="W212" s="261"/>
      <c r="X212" s="261"/>
      <c r="Y212" s="261"/>
      <c r="Z212" s="261"/>
    </row>
    <row r="213" ht="34.5" customHeight="1">
      <c r="A213" s="111"/>
      <c r="B213" s="127"/>
      <c r="C213" s="111"/>
      <c r="D213" s="111"/>
      <c r="E213" s="111"/>
      <c r="F213" s="257"/>
      <c r="G213" s="111"/>
      <c r="H213" s="278"/>
      <c r="I213" s="111"/>
      <c r="J213" s="128"/>
      <c r="K213" s="124"/>
      <c r="L213" s="125"/>
      <c r="M213" s="126"/>
      <c r="N213" s="126"/>
      <c r="O213" s="126"/>
      <c r="P213" s="126"/>
      <c r="Q213" s="127"/>
      <c r="R213" s="127"/>
      <c r="S213" s="260"/>
      <c r="T213" s="261"/>
      <c r="U213" s="261"/>
      <c r="V213" s="261"/>
      <c r="W213" s="261"/>
      <c r="X213" s="261"/>
      <c r="Y213" s="261"/>
      <c r="Z213" s="261"/>
    </row>
    <row r="214" ht="34.5" customHeight="1">
      <c r="A214" s="111"/>
      <c r="B214" s="127"/>
      <c r="C214" s="111"/>
      <c r="D214" s="111"/>
      <c r="E214" s="111"/>
      <c r="F214" s="257"/>
      <c r="G214" s="111"/>
      <c r="H214" s="278"/>
      <c r="I214" s="111"/>
      <c r="J214" s="128"/>
      <c r="K214" s="124"/>
      <c r="L214" s="125"/>
      <c r="M214" s="126"/>
      <c r="N214" s="126"/>
      <c r="O214" s="126"/>
      <c r="P214" s="126"/>
      <c r="Q214" s="127"/>
      <c r="R214" s="127"/>
      <c r="S214" s="260"/>
      <c r="T214" s="261"/>
      <c r="U214" s="261"/>
      <c r="V214" s="261"/>
      <c r="W214" s="261"/>
      <c r="X214" s="261"/>
      <c r="Y214" s="261"/>
      <c r="Z214" s="261"/>
    </row>
    <row r="215" ht="34.5" customHeight="1">
      <c r="A215" s="111"/>
      <c r="B215" s="127"/>
      <c r="C215" s="111"/>
      <c r="D215" s="111"/>
      <c r="E215" s="111"/>
      <c r="F215" s="257"/>
      <c r="G215" s="111"/>
      <c r="H215" s="278"/>
      <c r="I215" s="111"/>
      <c r="J215" s="128"/>
      <c r="K215" s="124"/>
      <c r="L215" s="125"/>
      <c r="M215" s="126"/>
      <c r="N215" s="126"/>
      <c r="O215" s="126"/>
      <c r="P215" s="126"/>
      <c r="Q215" s="127"/>
      <c r="R215" s="127"/>
      <c r="S215" s="260"/>
      <c r="T215" s="261"/>
      <c r="U215" s="261"/>
      <c r="V215" s="261"/>
      <c r="W215" s="261"/>
      <c r="X215" s="261"/>
      <c r="Y215" s="261"/>
      <c r="Z215" s="261"/>
    </row>
    <row r="216" ht="34.5" customHeight="1">
      <c r="A216" s="111"/>
      <c r="B216" s="127"/>
      <c r="C216" s="111"/>
      <c r="D216" s="111"/>
      <c r="E216" s="111"/>
      <c r="F216" s="257"/>
      <c r="G216" s="111"/>
      <c r="H216" s="111"/>
      <c r="I216" s="111"/>
      <c r="J216" s="128"/>
      <c r="K216" s="124"/>
      <c r="L216" s="125"/>
      <c r="M216" s="126"/>
      <c r="N216" s="126"/>
      <c r="O216" s="126"/>
      <c r="P216" s="126"/>
      <c r="Q216" s="127"/>
      <c r="R216" s="127"/>
      <c r="S216" s="260"/>
      <c r="T216" s="261"/>
      <c r="U216" s="261"/>
      <c r="V216" s="261"/>
      <c r="W216" s="261"/>
      <c r="X216" s="261"/>
      <c r="Y216" s="261"/>
      <c r="Z216" s="261"/>
    </row>
    <row r="217" ht="34.5" customHeight="1">
      <c r="A217" s="111"/>
      <c r="B217" s="127"/>
      <c r="C217" s="111"/>
      <c r="D217" s="111"/>
      <c r="E217" s="111"/>
      <c r="F217" s="257"/>
      <c r="G217" s="111"/>
      <c r="H217" s="278"/>
      <c r="I217" s="111"/>
      <c r="J217" s="128"/>
      <c r="K217" s="124"/>
      <c r="L217" s="125"/>
      <c r="M217" s="126"/>
      <c r="N217" s="126"/>
      <c r="O217" s="126"/>
      <c r="P217" s="126"/>
      <c r="Q217" s="127"/>
      <c r="R217" s="127"/>
      <c r="S217" s="260"/>
      <c r="T217" s="261"/>
      <c r="U217" s="261"/>
      <c r="V217" s="261"/>
      <c r="W217" s="261"/>
      <c r="X217" s="261"/>
      <c r="Y217" s="261"/>
      <c r="Z217" s="261"/>
    </row>
    <row r="218" ht="34.5" customHeight="1">
      <c r="A218" s="111"/>
      <c r="B218" s="127"/>
      <c r="C218" s="111"/>
      <c r="D218" s="111"/>
      <c r="E218" s="111"/>
      <c r="F218" s="257"/>
      <c r="G218" s="111"/>
      <c r="H218" s="278"/>
      <c r="I218" s="111"/>
      <c r="J218" s="128"/>
      <c r="K218" s="124"/>
      <c r="L218" s="125"/>
      <c r="M218" s="126"/>
      <c r="N218" s="126"/>
      <c r="O218" s="126"/>
      <c r="P218" s="126"/>
      <c r="Q218" s="127"/>
      <c r="R218" s="127"/>
      <c r="S218" s="260"/>
      <c r="T218" s="261"/>
      <c r="U218" s="261"/>
      <c r="V218" s="261"/>
      <c r="W218" s="261"/>
      <c r="X218" s="261"/>
      <c r="Y218" s="261"/>
      <c r="Z218" s="261"/>
    </row>
    <row r="219" ht="34.5" customHeight="1">
      <c r="A219" s="111"/>
      <c r="B219" s="127"/>
      <c r="C219" s="111"/>
      <c r="D219" s="111"/>
      <c r="E219" s="111"/>
      <c r="F219" s="257"/>
      <c r="G219" s="111"/>
      <c r="H219" s="278"/>
      <c r="I219" s="111"/>
      <c r="J219" s="128"/>
      <c r="K219" s="124"/>
      <c r="L219" s="125"/>
      <c r="M219" s="126"/>
      <c r="N219" s="126"/>
      <c r="O219" s="126"/>
      <c r="P219" s="126"/>
      <c r="Q219" s="127"/>
      <c r="R219" s="127"/>
      <c r="S219" s="260"/>
      <c r="T219" s="261"/>
      <c r="U219" s="261"/>
      <c r="V219" s="261"/>
      <c r="W219" s="261"/>
      <c r="X219" s="261"/>
      <c r="Y219" s="261"/>
      <c r="Z219" s="261"/>
    </row>
    <row r="220" ht="34.5" customHeight="1">
      <c r="A220" s="111"/>
      <c r="B220" s="127"/>
      <c r="C220" s="111"/>
      <c r="D220" s="111"/>
      <c r="E220" s="111"/>
      <c r="F220" s="257"/>
      <c r="G220" s="111"/>
      <c r="H220" s="111"/>
      <c r="I220" s="111"/>
      <c r="J220" s="128"/>
      <c r="K220" s="124"/>
      <c r="L220" s="125"/>
      <c r="M220" s="126"/>
      <c r="N220" s="126"/>
      <c r="O220" s="126"/>
      <c r="P220" s="126"/>
      <c r="Q220" s="127"/>
      <c r="R220" s="127"/>
      <c r="S220" s="260"/>
      <c r="T220" s="261"/>
      <c r="U220" s="261"/>
      <c r="V220" s="261"/>
      <c r="W220" s="261"/>
      <c r="X220" s="261"/>
      <c r="Y220" s="261"/>
      <c r="Z220" s="261"/>
    </row>
    <row r="221" ht="34.5" customHeight="1">
      <c r="A221" s="111"/>
      <c r="B221" s="127"/>
      <c r="C221" s="111"/>
      <c r="D221" s="111"/>
      <c r="E221" s="111"/>
      <c r="F221" s="257"/>
      <c r="G221" s="111"/>
      <c r="H221" s="278"/>
      <c r="I221" s="111"/>
      <c r="J221" s="128"/>
      <c r="K221" s="124"/>
      <c r="L221" s="125"/>
      <c r="M221" s="126"/>
      <c r="N221" s="126"/>
      <c r="O221" s="126"/>
      <c r="P221" s="126"/>
      <c r="Q221" s="127"/>
      <c r="R221" s="127"/>
      <c r="S221" s="260"/>
      <c r="T221" s="261"/>
      <c r="U221" s="261"/>
      <c r="V221" s="261"/>
      <c r="W221" s="261"/>
      <c r="X221" s="261"/>
      <c r="Y221" s="261"/>
      <c r="Z221" s="261"/>
    </row>
    <row r="222" ht="34.5" customHeight="1">
      <c r="A222" s="111"/>
      <c r="B222" s="127"/>
      <c r="C222" s="111"/>
      <c r="D222" s="111"/>
      <c r="E222" s="111"/>
      <c r="F222" s="257"/>
      <c r="G222" s="111"/>
      <c r="H222" s="278"/>
      <c r="I222" s="111"/>
      <c r="J222" s="128"/>
      <c r="K222" s="124"/>
      <c r="L222" s="125"/>
      <c r="M222" s="126"/>
      <c r="N222" s="126"/>
      <c r="O222" s="126"/>
      <c r="P222" s="126"/>
      <c r="Q222" s="127"/>
      <c r="R222" s="127"/>
      <c r="S222" s="260"/>
      <c r="T222" s="261"/>
      <c r="U222" s="261"/>
      <c r="V222" s="261"/>
      <c r="W222" s="261"/>
      <c r="X222" s="261"/>
      <c r="Y222" s="261"/>
      <c r="Z222" s="261"/>
    </row>
    <row r="223" ht="34.5" customHeight="1">
      <c r="A223" s="111"/>
      <c r="B223" s="127"/>
      <c r="C223" s="111"/>
      <c r="D223" s="111"/>
      <c r="E223" s="111"/>
      <c r="F223" s="257"/>
      <c r="G223" s="111"/>
      <c r="H223" s="278"/>
      <c r="I223" s="111"/>
      <c r="J223" s="128"/>
      <c r="K223" s="124"/>
      <c r="L223" s="125"/>
      <c r="M223" s="126"/>
      <c r="N223" s="126"/>
      <c r="O223" s="126"/>
      <c r="P223" s="126"/>
      <c r="Q223" s="127"/>
      <c r="R223" s="127"/>
      <c r="S223" s="260"/>
      <c r="T223" s="261"/>
      <c r="U223" s="261"/>
      <c r="V223" s="261"/>
      <c r="W223" s="261"/>
      <c r="X223" s="261"/>
      <c r="Y223" s="261"/>
      <c r="Z223" s="261"/>
    </row>
    <row r="224" ht="34.5" customHeight="1">
      <c r="A224" s="111"/>
      <c r="B224" s="127"/>
      <c r="C224" s="111"/>
      <c r="D224" s="111"/>
      <c r="E224" s="111"/>
      <c r="F224" s="257"/>
      <c r="G224" s="111"/>
      <c r="H224" s="111"/>
      <c r="I224" s="111"/>
      <c r="J224" s="128"/>
      <c r="K224" s="124"/>
      <c r="L224" s="125"/>
      <c r="M224" s="126"/>
      <c r="N224" s="126"/>
      <c r="O224" s="126"/>
      <c r="P224" s="126"/>
      <c r="Q224" s="127"/>
      <c r="R224" s="127"/>
      <c r="S224" s="260"/>
      <c r="T224" s="261"/>
      <c r="U224" s="261"/>
      <c r="V224" s="261"/>
      <c r="W224" s="261"/>
      <c r="X224" s="261"/>
      <c r="Y224" s="261"/>
      <c r="Z224" s="261"/>
    </row>
    <row r="225" ht="34.5" customHeight="1">
      <c r="A225" s="111"/>
      <c r="B225" s="127"/>
      <c r="C225" s="111"/>
      <c r="D225" s="111"/>
      <c r="E225" s="111"/>
      <c r="F225" s="257"/>
      <c r="G225" s="111"/>
      <c r="H225" s="278"/>
      <c r="I225" s="111"/>
      <c r="J225" s="128"/>
      <c r="K225" s="124"/>
      <c r="L225" s="125"/>
      <c r="M225" s="126"/>
      <c r="N225" s="126"/>
      <c r="O225" s="126"/>
      <c r="P225" s="126"/>
      <c r="Q225" s="127"/>
      <c r="R225" s="127"/>
      <c r="S225" s="260"/>
      <c r="T225" s="261"/>
      <c r="U225" s="261"/>
      <c r="V225" s="261"/>
      <c r="W225" s="261"/>
      <c r="X225" s="261"/>
      <c r="Y225" s="261"/>
      <c r="Z225" s="261"/>
    </row>
    <row r="226" ht="34.5" customHeight="1">
      <c r="A226" s="111"/>
      <c r="B226" s="127"/>
      <c r="C226" s="111"/>
      <c r="D226" s="111"/>
      <c r="E226" s="111"/>
      <c r="F226" s="257"/>
      <c r="G226" s="111"/>
      <c r="H226" s="278"/>
      <c r="I226" s="111"/>
      <c r="J226" s="128"/>
      <c r="K226" s="124"/>
      <c r="L226" s="125"/>
      <c r="M226" s="126"/>
      <c r="N226" s="126"/>
      <c r="O226" s="126"/>
      <c r="P226" s="126"/>
      <c r="Q226" s="127"/>
      <c r="R226" s="127"/>
      <c r="S226" s="260"/>
      <c r="T226" s="261"/>
      <c r="U226" s="261"/>
      <c r="V226" s="261"/>
      <c r="W226" s="261"/>
      <c r="X226" s="261"/>
      <c r="Y226" s="261"/>
      <c r="Z226" s="261"/>
    </row>
    <row r="227" ht="34.5" customHeight="1">
      <c r="A227" s="111"/>
      <c r="B227" s="127"/>
      <c r="C227" s="111"/>
      <c r="D227" s="111"/>
      <c r="E227" s="111"/>
      <c r="F227" s="257"/>
      <c r="G227" s="111"/>
      <c r="H227" s="278"/>
      <c r="I227" s="111"/>
      <c r="J227" s="128"/>
      <c r="K227" s="124"/>
      <c r="L227" s="125"/>
      <c r="M227" s="126"/>
      <c r="N227" s="126"/>
      <c r="O227" s="126"/>
      <c r="P227" s="126"/>
      <c r="Q227" s="127"/>
      <c r="R227" s="127"/>
      <c r="S227" s="260"/>
      <c r="T227" s="261"/>
      <c r="U227" s="261"/>
      <c r="V227" s="261"/>
      <c r="W227" s="261"/>
      <c r="X227" s="261"/>
      <c r="Y227" s="261"/>
      <c r="Z227" s="261"/>
    </row>
    <row r="228" ht="34.5" customHeight="1">
      <c r="A228" s="111"/>
      <c r="B228" s="127"/>
      <c r="C228" s="111"/>
      <c r="D228" s="111"/>
      <c r="E228" s="111"/>
      <c r="F228" s="257"/>
      <c r="G228" s="111"/>
      <c r="H228" s="111"/>
      <c r="I228" s="111"/>
      <c r="J228" s="128"/>
      <c r="K228" s="124"/>
      <c r="L228" s="125"/>
      <c r="M228" s="126"/>
      <c r="N228" s="126"/>
      <c r="O228" s="126"/>
      <c r="P228" s="126"/>
      <c r="Q228" s="127"/>
      <c r="R228" s="127"/>
      <c r="S228" s="260"/>
      <c r="T228" s="261"/>
      <c r="U228" s="261"/>
      <c r="V228" s="261"/>
      <c r="W228" s="261"/>
      <c r="X228" s="261"/>
      <c r="Y228" s="261"/>
      <c r="Z228" s="261"/>
    </row>
    <row r="229" ht="34.5" customHeight="1">
      <c r="A229" s="111"/>
      <c r="B229" s="127"/>
      <c r="C229" s="111"/>
      <c r="D229" s="111"/>
      <c r="E229" s="111"/>
      <c r="F229" s="257"/>
      <c r="G229" s="111"/>
      <c r="H229" s="278"/>
      <c r="I229" s="111"/>
      <c r="J229" s="128"/>
      <c r="K229" s="124"/>
      <c r="L229" s="125"/>
      <c r="M229" s="126"/>
      <c r="N229" s="126"/>
      <c r="O229" s="126"/>
      <c r="P229" s="126"/>
      <c r="Q229" s="127"/>
      <c r="R229" s="127"/>
      <c r="S229" s="260"/>
      <c r="T229" s="261"/>
      <c r="U229" s="261"/>
      <c r="V229" s="261"/>
      <c r="W229" s="261"/>
      <c r="X229" s="261"/>
      <c r="Y229" s="261"/>
      <c r="Z229" s="261"/>
    </row>
    <row r="230" ht="34.5" customHeight="1">
      <c r="A230" s="111"/>
      <c r="B230" s="127"/>
      <c r="C230" s="111"/>
      <c r="D230" s="111"/>
      <c r="E230" s="111"/>
      <c r="F230" s="257"/>
      <c r="G230" s="111"/>
      <c r="H230" s="278"/>
      <c r="I230" s="111"/>
      <c r="J230" s="128"/>
      <c r="K230" s="124"/>
      <c r="L230" s="125"/>
      <c r="M230" s="126"/>
      <c r="N230" s="126"/>
      <c r="O230" s="126"/>
      <c r="P230" s="126"/>
      <c r="Q230" s="127"/>
      <c r="R230" s="127"/>
      <c r="S230" s="260"/>
      <c r="T230" s="261"/>
      <c r="U230" s="261"/>
      <c r="V230" s="261"/>
      <c r="W230" s="261"/>
      <c r="X230" s="261"/>
      <c r="Y230" s="261"/>
      <c r="Z230" s="261"/>
    </row>
    <row r="231" ht="34.5" customHeight="1">
      <c r="A231" s="111"/>
      <c r="B231" s="127"/>
      <c r="C231" s="111"/>
      <c r="D231" s="111"/>
      <c r="E231" s="111"/>
      <c r="F231" s="257"/>
      <c r="G231" s="111"/>
      <c r="H231" s="278"/>
      <c r="I231" s="111"/>
      <c r="J231" s="128"/>
      <c r="K231" s="124"/>
      <c r="L231" s="125"/>
      <c r="M231" s="126"/>
      <c r="N231" s="126"/>
      <c r="O231" s="126"/>
      <c r="P231" s="126"/>
      <c r="Q231" s="127"/>
      <c r="R231" s="127"/>
      <c r="S231" s="260"/>
      <c r="T231" s="261"/>
      <c r="U231" s="261"/>
      <c r="V231" s="261"/>
      <c r="W231" s="261"/>
      <c r="X231" s="261"/>
      <c r="Y231" s="261"/>
      <c r="Z231" s="261"/>
    </row>
    <row r="232" ht="34.5" customHeight="1">
      <c r="A232" s="111"/>
      <c r="B232" s="127"/>
      <c r="C232" s="111"/>
      <c r="D232" s="111"/>
      <c r="E232" s="111"/>
      <c r="F232" s="257"/>
      <c r="G232" s="111"/>
      <c r="H232" s="111"/>
      <c r="I232" s="111"/>
      <c r="J232" s="128"/>
      <c r="K232" s="124"/>
      <c r="L232" s="125"/>
      <c r="M232" s="126"/>
      <c r="N232" s="126"/>
      <c r="O232" s="126"/>
      <c r="P232" s="126"/>
      <c r="Q232" s="127"/>
      <c r="R232" s="127"/>
      <c r="S232" s="260"/>
      <c r="T232" s="261"/>
      <c r="U232" s="261"/>
      <c r="V232" s="261"/>
      <c r="W232" s="261"/>
      <c r="X232" s="261"/>
      <c r="Y232" s="261"/>
      <c r="Z232" s="261"/>
    </row>
    <row r="233" ht="34.5" customHeight="1">
      <c r="A233" s="111"/>
      <c r="B233" s="127"/>
      <c r="C233" s="111"/>
      <c r="D233" s="111"/>
      <c r="E233" s="111"/>
      <c r="F233" s="257"/>
      <c r="G233" s="111"/>
      <c r="H233" s="278"/>
      <c r="I233" s="111"/>
      <c r="J233" s="128"/>
      <c r="K233" s="124"/>
      <c r="L233" s="125"/>
      <c r="M233" s="126"/>
      <c r="N233" s="126"/>
      <c r="O233" s="126"/>
      <c r="P233" s="126"/>
      <c r="Q233" s="127"/>
      <c r="R233" s="127"/>
      <c r="S233" s="260"/>
      <c r="T233" s="261"/>
      <c r="U233" s="261"/>
      <c r="V233" s="261"/>
      <c r="W233" s="261"/>
      <c r="X233" s="261"/>
      <c r="Y233" s="261"/>
      <c r="Z233" s="261"/>
    </row>
    <row r="234" ht="34.5" customHeight="1">
      <c r="A234" s="111"/>
      <c r="B234" s="127"/>
      <c r="C234" s="111"/>
      <c r="D234" s="111"/>
      <c r="E234" s="111"/>
      <c r="F234" s="257"/>
      <c r="G234" s="111"/>
      <c r="H234" s="278"/>
      <c r="I234" s="111"/>
      <c r="J234" s="128"/>
      <c r="K234" s="124"/>
      <c r="L234" s="125"/>
      <c r="M234" s="126"/>
      <c r="N234" s="126"/>
      <c r="O234" s="126"/>
      <c r="P234" s="126"/>
      <c r="Q234" s="127"/>
      <c r="R234" s="127"/>
      <c r="S234" s="260"/>
      <c r="T234" s="261"/>
      <c r="U234" s="261"/>
      <c r="V234" s="261"/>
      <c r="W234" s="261"/>
      <c r="X234" s="261"/>
      <c r="Y234" s="261"/>
      <c r="Z234" s="261"/>
    </row>
    <row r="235" ht="34.5" customHeight="1">
      <c r="A235" s="111"/>
      <c r="B235" s="127"/>
      <c r="C235" s="111"/>
      <c r="D235" s="111"/>
      <c r="E235" s="111"/>
      <c r="F235" s="257"/>
      <c r="G235" s="111"/>
      <c r="H235" s="278"/>
      <c r="I235" s="111"/>
      <c r="J235" s="128"/>
      <c r="K235" s="124"/>
      <c r="L235" s="125"/>
      <c r="M235" s="126"/>
      <c r="N235" s="126"/>
      <c r="O235" s="126"/>
      <c r="P235" s="126"/>
      <c r="Q235" s="127"/>
      <c r="R235" s="127"/>
      <c r="S235" s="260"/>
      <c r="T235" s="261"/>
      <c r="U235" s="261"/>
      <c r="V235" s="261"/>
      <c r="W235" s="261"/>
      <c r="X235" s="261"/>
      <c r="Y235" s="261"/>
      <c r="Z235" s="261"/>
    </row>
    <row r="236" ht="34.5" customHeight="1">
      <c r="A236" s="111"/>
      <c r="B236" s="127"/>
      <c r="C236" s="111"/>
      <c r="D236" s="111"/>
      <c r="E236" s="111"/>
      <c r="F236" s="257"/>
      <c r="G236" s="111"/>
      <c r="H236" s="111"/>
      <c r="I236" s="111"/>
      <c r="J236" s="128"/>
      <c r="K236" s="124"/>
      <c r="L236" s="125"/>
      <c r="M236" s="126"/>
      <c r="N236" s="126"/>
      <c r="O236" s="126"/>
      <c r="P236" s="126"/>
      <c r="Q236" s="127"/>
      <c r="R236" s="127"/>
      <c r="S236" s="260"/>
      <c r="T236" s="261"/>
      <c r="U236" s="261"/>
      <c r="V236" s="261"/>
      <c r="W236" s="261"/>
      <c r="X236" s="261"/>
      <c r="Y236" s="261"/>
      <c r="Z236" s="261"/>
    </row>
    <row r="237" ht="34.5" customHeight="1">
      <c r="A237" s="111"/>
      <c r="B237" s="127"/>
      <c r="C237" s="111"/>
      <c r="D237" s="111"/>
      <c r="E237" s="111"/>
      <c r="F237" s="257"/>
      <c r="G237" s="111"/>
      <c r="H237" s="278"/>
      <c r="I237" s="111"/>
      <c r="J237" s="128"/>
      <c r="K237" s="124"/>
      <c r="L237" s="125"/>
      <c r="M237" s="126"/>
      <c r="N237" s="126"/>
      <c r="O237" s="126"/>
      <c r="P237" s="126"/>
      <c r="Q237" s="127"/>
      <c r="R237" s="127"/>
      <c r="S237" s="260"/>
      <c r="T237" s="261"/>
      <c r="U237" s="261"/>
      <c r="V237" s="261"/>
      <c r="W237" s="261"/>
      <c r="X237" s="261"/>
      <c r="Y237" s="261"/>
      <c r="Z237" s="261"/>
    </row>
    <row r="238" ht="34.5" customHeight="1">
      <c r="A238" s="111"/>
      <c r="B238" s="127"/>
      <c r="C238" s="111"/>
      <c r="D238" s="111"/>
      <c r="E238" s="111"/>
      <c r="F238" s="257"/>
      <c r="G238" s="111"/>
      <c r="H238" s="278"/>
      <c r="I238" s="111"/>
      <c r="J238" s="128"/>
      <c r="K238" s="124"/>
      <c r="L238" s="125"/>
      <c r="M238" s="126"/>
      <c r="N238" s="126"/>
      <c r="O238" s="126"/>
      <c r="P238" s="126"/>
      <c r="Q238" s="127"/>
      <c r="R238" s="127"/>
      <c r="S238" s="260"/>
      <c r="T238" s="261"/>
      <c r="U238" s="261"/>
      <c r="V238" s="261"/>
      <c r="W238" s="261"/>
      <c r="X238" s="261"/>
      <c r="Y238" s="261"/>
      <c r="Z238" s="261"/>
    </row>
    <row r="239" ht="34.5" customHeight="1">
      <c r="A239" s="111"/>
      <c r="B239" s="127"/>
      <c r="C239" s="111"/>
      <c r="D239" s="111"/>
      <c r="E239" s="111"/>
      <c r="F239" s="257"/>
      <c r="G239" s="111"/>
      <c r="H239" s="278"/>
      <c r="I239" s="111"/>
      <c r="J239" s="128"/>
      <c r="K239" s="124"/>
      <c r="L239" s="125"/>
      <c r="M239" s="126"/>
      <c r="N239" s="126"/>
      <c r="O239" s="126"/>
      <c r="P239" s="126"/>
      <c r="Q239" s="127"/>
      <c r="R239" s="127"/>
      <c r="S239" s="260"/>
      <c r="T239" s="261"/>
      <c r="U239" s="261"/>
      <c r="V239" s="261"/>
      <c r="W239" s="261"/>
      <c r="X239" s="261"/>
      <c r="Y239" s="261"/>
      <c r="Z239" s="261"/>
    </row>
    <row r="240" ht="34.5" customHeight="1">
      <c r="A240" s="111"/>
      <c r="B240" s="127"/>
      <c r="C240" s="111"/>
      <c r="D240" s="111"/>
      <c r="E240" s="111"/>
      <c r="F240" s="257"/>
      <c r="G240" s="111"/>
      <c r="H240" s="111"/>
      <c r="I240" s="111"/>
      <c r="J240" s="128"/>
      <c r="K240" s="124"/>
      <c r="L240" s="125"/>
      <c r="M240" s="126"/>
      <c r="N240" s="126"/>
      <c r="O240" s="126"/>
      <c r="P240" s="126"/>
      <c r="Q240" s="127"/>
      <c r="R240" s="127"/>
      <c r="S240" s="260"/>
      <c r="T240" s="261"/>
      <c r="U240" s="261"/>
      <c r="V240" s="261"/>
      <c r="W240" s="261"/>
      <c r="X240" s="261"/>
      <c r="Y240" s="261"/>
      <c r="Z240" s="261"/>
    </row>
    <row r="241" ht="34.5" customHeight="1">
      <c r="A241" s="111"/>
      <c r="B241" s="127"/>
      <c r="C241" s="111"/>
      <c r="D241" s="111"/>
      <c r="E241" s="111"/>
      <c r="F241" s="257"/>
      <c r="G241" s="111"/>
      <c r="H241" s="278"/>
      <c r="I241" s="111"/>
      <c r="J241" s="128"/>
      <c r="K241" s="124"/>
      <c r="L241" s="125"/>
      <c r="M241" s="126"/>
      <c r="N241" s="126"/>
      <c r="O241" s="126"/>
      <c r="P241" s="126"/>
      <c r="Q241" s="127"/>
      <c r="R241" s="127"/>
      <c r="S241" s="260"/>
      <c r="T241" s="261"/>
      <c r="U241" s="261"/>
      <c r="V241" s="261"/>
      <c r="W241" s="261"/>
      <c r="X241" s="261"/>
      <c r="Y241" s="261"/>
      <c r="Z241" s="261"/>
    </row>
    <row r="242" ht="34.5" customHeight="1">
      <c r="A242" s="111"/>
      <c r="B242" s="127"/>
      <c r="C242" s="111"/>
      <c r="D242" s="111"/>
      <c r="E242" s="111"/>
      <c r="F242" s="257"/>
      <c r="G242" s="111"/>
      <c r="H242" s="278"/>
      <c r="I242" s="111"/>
      <c r="J242" s="128"/>
      <c r="K242" s="124"/>
      <c r="L242" s="125"/>
      <c r="M242" s="126"/>
      <c r="N242" s="126"/>
      <c r="O242" s="126"/>
      <c r="P242" s="126"/>
      <c r="Q242" s="127"/>
      <c r="R242" s="127"/>
      <c r="S242" s="260"/>
      <c r="T242" s="261"/>
      <c r="U242" s="261"/>
      <c r="V242" s="261"/>
      <c r="W242" s="261"/>
      <c r="X242" s="261"/>
      <c r="Y242" s="261"/>
      <c r="Z242" s="261"/>
    </row>
    <row r="243" ht="34.5" customHeight="1">
      <c r="A243" s="111"/>
      <c r="B243" s="127"/>
      <c r="C243" s="111"/>
      <c r="D243" s="111"/>
      <c r="E243" s="111"/>
      <c r="F243" s="257"/>
      <c r="G243" s="111"/>
      <c r="H243" s="278"/>
      <c r="I243" s="111"/>
      <c r="J243" s="128"/>
      <c r="K243" s="124"/>
      <c r="L243" s="125"/>
      <c r="M243" s="126"/>
      <c r="N243" s="126"/>
      <c r="O243" s="126"/>
      <c r="P243" s="126"/>
      <c r="Q243" s="127"/>
      <c r="R243" s="127"/>
      <c r="S243" s="260"/>
      <c r="T243" s="261"/>
      <c r="U243" s="261"/>
      <c r="V243" s="261"/>
      <c r="W243" s="261"/>
      <c r="X243" s="261"/>
      <c r="Y243" s="261"/>
      <c r="Z243" s="261"/>
    </row>
    <row r="244" ht="34.5" customHeight="1">
      <c r="A244" s="111"/>
      <c r="B244" s="127"/>
      <c r="C244" s="111"/>
      <c r="D244" s="111"/>
      <c r="E244" s="111"/>
      <c r="F244" s="257"/>
      <c r="G244" s="111"/>
      <c r="H244" s="111"/>
      <c r="I244" s="111"/>
      <c r="J244" s="128"/>
      <c r="K244" s="124"/>
      <c r="L244" s="125"/>
      <c r="M244" s="126"/>
      <c r="N244" s="126"/>
      <c r="O244" s="126"/>
      <c r="P244" s="126"/>
      <c r="Q244" s="127"/>
      <c r="R244" s="127"/>
      <c r="S244" s="260"/>
      <c r="T244" s="261"/>
      <c r="U244" s="261"/>
      <c r="V244" s="261"/>
      <c r="W244" s="261"/>
      <c r="X244" s="261"/>
      <c r="Y244" s="261"/>
      <c r="Z244" s="261"/>
    </row>
    <row r="245" ht="34.5" customHeight="1">
      <c r="A245" s="111"/>
      <c r="B245" s="127"/>
      <c r="C245" s="111"/>
      <c r="D245" s="111"/>
      <c r="E245" s="111"/>
      <c r="F245" s="257"/>
      <c r="G245" s="111"/>
      <c r="H245" s="278"/>
      <c r="I245" s="111"/>
      <c r="J245" s="128"/>
      <c r="K245" s="124"/>
      <c r="L245" s="125"/>
      <c r="M245" s="126"/>
      <c r="N245" s="126"/>
      <c r="O245" s="126"/>
      <c r="P245" s="126"/>
      <c r="Q245" s="127"/>
      <c r="R245" s="127"/>
      <c r="S245" s="260"/>
      <c r="T245" s="261"/>
      <c r="U245" s="261"/>
      <c r="V245" s="261"/>
      <c r="W245" s="261"/>
      <c r="X245" s="261"/>
      <c r="Y245" s="261"/>
      <c r="Z245" s="261"/>
    </row>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1">
    <mergeCell ref="H2:H3"/>
    <mergeCell ref="I2:I3"/>
    <mergeCell ref="K2:M2"/>
    <mergeCell ref="S2:S3"/>
    <mergeCell ref="A2:A3"/>
    <mergeCell ref="B2:B3"/>
    <mergeCell ref="C2:C3"/>
    <mergeCell ref="D2:D3"/>
    <mergeCell ref="E2:E3"/>
    <mergeCell ref="F2:F3"/>
    <mergeCell ref="G2:G3"/>
  </mergeCells>
  <hyperlinks>
    <hyperlink r:id="rId1" ref="Q5"/>
    <hyperlink r:id="rId2" ref="Q6"/>
    <hyperlink r:id="rId3" ref="Q7"/>
    <hyperlink r:id="rId4" ref="R7"/>
    <hyperlink r:id="rId5" ref="Q8"/>
    <hyperlink r:id="rId6" ref="Q9"/>
    <hyperlink r:id="rId7" ref="R9"/>
    <hyperlink r:id="rId8" ref="Q10"/>
    <hyperlink r:id="rId9" ref="R10"/>
    <hyperlink r:id="rId10" ref="Q11"/>
    <hyperlink r:id="rId11" ref="Q12"/>
    <hyperlink r:id="rId12" ref="R12"/>
    <hyperlink r:id="rId13" ref="Q13"/>
    <hyperlink r:id="rId14" ref="Q14"/>
    <hyperlink r:id="rId15" ref="Q15"/>
    <hyperlink r:id="rId16" ref="Q16"/>
    <hyperlink r:id="rId17" ref="Q17"/>
    <hyperlink r:id="rId18" ref="Q18"/>
    <hyperlink r:id="rId19" ref="Q19"/>
    <hyperlink r:id="rId20" location="google_vignette" ref="R19"/>
    <hyperlink r:id="rId21" ref="Q20"/>
    <hyperlink r:id="rId22" ref="R20"/>
    <hyperlink r:id="rId23" location="phase-1-keele" ref="Q21"/>
    <hyperlink r:id="rId24" location="phase-2-winlaton" ref="Q22"/>
    <hyperlink r:id="rId25" ref="Q23"/>
    <hyperlink r:id="rId26" ref="R23"/>
    <hyperlink r:id="rId27" ref="Q24"/>
    <hyperlink r:id="rId28" ref="R24"/>
    <hyperlink r:id="rId29" ref="Q25"/>
    <hyperlink r:id="rId30" ref="R25"/>
    <hyperlink r:id="rId31" ref="Q26"/>
    <hyperlink r:id="rId32" ref="Q27"/>
    <hyperlink r:id="rId33" ref="Q28"/>
    <hyperlink r:id="rId34" ref="Q29"/>
    <hyperlink r:id="rId35" ref="Q30"/>
    <hyperlink r:id="rId36" ref="Q31"/>
    <hyperlink r:id="rId37" ref="Q32"/>
    <hyperlink r:id="rId38" ref="Q33"/>
    <hyperlink r:id="rId39" ref="Q34"/>
    <hyperlink r:id="rId40" ref="Q35"/>
    <hyperlink r:id="rId41" ref="R35"/>
    <hyperlink r:id="rId42" ref="Q36"/>
    <hyperlink r:id="rId43" ref="Q37"/>
    <hyperlink r:id="rId44" ref="Q38"/>
    <hyperlink r:id="rId45" ref="Q39"/>
    <hyperlink r:id="rId46" ref="R39"/>
    <hyperlink r:id="rId47" ref="Q42"/>
    <hyperlink r:id="rId48" ref="Q43"/>
    <hyperlink r:id="rId49" ref="Q44"/>
    <hyperlink r:id="rId50" ref="Q45"/>
  </hyperlinks>
  <printOptions/>
  <pageMargins bottom="0.75" footer="0.0" header="0.0" left="0.7" right="0.7" top="0.75"/>
  <pageSetup paperSize="9" orientation="portrait"/>
  <drawing r:id="rId51"/>
  <tableParts count="1">
    <tablePart r:id="rId53"/>
  </tableParts>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workbookViewId="0"/>
  </sheetViews>
  <sheetFormatPr customHeight="1" defaultColWidth="14.43" defaultRowHeight="15.75"/>
  <cols>
    <col customWidth="1" min="1" max="1" width="10.57"/>
    <col customWidth="1" min="2" max="2" width="34.57"/>
    <col customWidth="1" min="3" max="3" width="10.14"/>
    <col customWidth="1" min="4" max="4" width="35.86"/>
    <col customWidth="1" min="5" max="8" width="5.71"/>
    <col customWidth="1" min="9" max="9" width="13.57"/>
    <col customWidth="1" min="10" max="10" width="16.0"/>
    <col customWidth="1" min="11" max="11" width="14.86"/>
    <col customWidth="1" min="12" max="12" width="11.29"/>
    <col customWidth="1" min="13" max="13" width="19.57"/>
    <col customWidth="1" min="14" max="14" width="22.86"/>
    <col customWidth="1" min="15" max="15" width="24.29"/>
    <col customWidth="1" min="16" max="16" width="17.57"/>
    <col customWidth="1" min="17" max="17" width="11.71"/>
    <col customWidth="1" min="18" max="18" width="22.71"/>
    <col customWidth="1" min="19" max="21" width="17.57"/>
    <col customWidth="1" min="22" max="23" width="14.86"/>
    <col customWidth="1" min="24" max="24" width="16.43"/>
    <col customWidth="1" min="25" max="25" width="16.29"/>
    <col customWidth="1" min="26" max="26" width="70.86"/>
    <col customWidth="1" min="27" max="27" width="11.71"/>
    <col customWidth="1" min="28" max="30" width="15.0"/>
    <col customWidth="1" min="31" max="34" width="8.86"/>
  </cols>
  <sheetData>
    <row r="1" ht="48.0" customHeight="1">
      <c r="A1" s="282" t="s">
        <v>23052</v>
      </c>
      <c r="B1" s="71"/>
      <c r="C1" s="71"/>
      <c r="D1" s="71"/>
      <c r="E1" s="71"/>
      <c r="F1" s="71"/>
      <c r="G1" s="71"/>
      <c r="H1" s="71"/>
      <c r="I1" s="71"/>
      <c r="J1" s="71"/>
      <c r="K1" s="71"/>
      <c r="L1" s="71"/>
      <c r="M1" s="71"/>
      <c r="N1" s="71"/>
      <c r="O1" s="71"/>
      <c r="P1" s="71"/>
      <c r="Q1" s="71"/>
      <c r="R1" s="71"/>
      <c r="S1" s="71"/>
      <c r="T1" s="71"/>
      <c r="U1" s="71"/>
      <c r="V1" s="71"/>
      <c r="W1" s="71"/>
      <c r="X1" s="71"/>
      <c r="Y1" s="71"/>
      <c r="Z1" s="71"/>
      <c r="AA1" s="71"/>
      <c r="AB1" s="71"/>
      <c r="AC1" s="71"/>
      <c r="AD1" s="71"/>
      <c r="AE1" s="253"/>
      <c r="AF1" s="253"/>
      <c r="AG1" s="253"/>
      <c r="AH1" s="253"/>
    </row>
    <row r="2" ht="21.0" customHeight="1">
      <c r="A2" s="76" t="s">
        <v>12329</v>
      </c>
      <c r="B2" s="76" t="s">
        <v>687</v>
      </c>
      <c r="C2" s="76" t="s">
        <v>40</v>
      </c>
      <c r="D2" s="76" t="s">
        <v>23053</v>
      </c>
      <c r="E2" s="77" t="s">
        <v>23054</v>
      </c>
      <c r="F2" s="254" t="s">
        <v>23055</v>
      </c>
      <c r="G2" s="77" t="s">
        <v>22157</v>
      </c>
      <c r="H2" s="77" t="s">
        <v>12330</v>
      </c>
      <c r="I2" s="77" t="s">
        <v>12331</v>
      </c>
      <c r="J2" s="81" t="s">
        <v>23056</v>
      </c>
      <c r="K2" s="76" t="s">
        <v>23057</v>
      </c>
      <c r="L2" s="76" t="s">
        <v>23058</v>
      </c>
      <c r="M2" s="81" t="s">
        <v>12334</v>
      </c>
      <c r="N2" s="85" t="s">
        <v>23059</v>
      </c>
      <c r="O2" s="86"/>
      <c r="P2" s="87"/>
      <c r="Q2" s="85" t="s">
        <v>23060</v>
      </c>
      <c r="R2" s="86"/>
      <c r="S2" s="87"/>
      <c r="T2" s="85" t="s">
        <v>23061</v>
      </c>
      <c r="U2" s="86"/>
      <c r="V2" s="86"/>
      <c r="W2" s="87"/>
      <c r="X2" s="81" t="s">
        <v>23062</v>
      </c>
      <c r="Y2" s="78" t="s">
        <v>23063</v>
      </c>
      <c r="Z2" s="84" t="s">
        <v>18716</v>
      </c>
      <c r="AA2" s="84" t="s">
        <v>18717</v>
      </c>
      <c r="AB2" s="84" t="s">
        <v>18718</v>
      </c>
      <c r="AC2" s="84" t="s">
        <v>18719</v>
      </c>
      <c r="AD2" s="84"/>
      <c r="AE2" s="255"/>
      <c r="AF2" s="255"/>
      <c r="AG2" s="255"/>
      <c r="AH2" s="255"/>
    </row>
    <row r="3" ht="48.75" customHeight="1">
      <c r="A3" s="93"/>
      <c r="B3" s="93"/>
      <c r="C3" s="93"/>
      <c r="D3" s="93"/>
      <c r="E3" s="93"/>
      <c r="F3" s="256"/>
      <c r="G3" s="93"/>
      <c r="H3" s="93"/>
      <c r="I3" s="93"/>
      <c r="J3" s="96"/>
      <c r="K3" s="93"/>
      <c r="L3" s="93"/>
      <c r="M3" s="96"/>
      <c r="N3" s="94" t="s">
        <v>12344</v>
      </c>
      <c r="O3" s="94" t="s">
        <v>23064</v>
      </c>
      <c r="P3" s="94" t="s">
        <v>23065</v>
      </c>
      <c r="Q3" s="94" t="s">
        <v>12344</v>
      </c>
      <c r="R3" s="94" t="s">
        <v>23066</v>
      </c>
      <c r="S3" s="94" t="s">
        <v>23067</v>
      </c>
      <c r="T3" s="94" t="s">
        <v>23068</v>
      </c>
      <c r="U3" s="94" t="s">
        <v>23069</v>
      </c>
      <c r="V3" s="94" t="s">
        <v>23070</v>
      </c>
      <c r="W3" s="94" t="s">
        <v>23071</v>
      </c>
      <c r="X3" s="96" t="s">
        <v>673</v>
      </c>
      <c r="Y3" s="96" t="s">
        <v>22166</v>
      </c>
      <c r="Z3" s="98"/>
      <c r="AA3" s="98"/>
      <c r="AB3" s="98"/>
      <c r="AC3" s="98"/>
      <c r="AD3" s="98"/>
      <c r="AE3" s="255"/>
      <c r="AF3" s="255"/>
      <c r="AG3" s="255"/>
      <c r="AH3" s="255"/>
    </row>
    <row r="4" ht="102.0" customHeight="1">
      <c r="A4" s="103" t="s">
        <v>12329</v>
      </c>
      <c r="B4" s="103" t="s">
        <v>687</v>
      </c>
      <c r="C4" s="103" t="s">
        <v>40</v>
      </c>
      <c r="D4" s="103" t="s">
        <v>23053</v>
      </c>
      <c r="E4" s="104" t="s">
        <v>23055</v>
      </c>
      <c r="F4" s="104" t="s">
        <v>23072</v>
      </c>
      <c r="G4" s="104" t="s">
        <v>12330</v>
      </c>
      <c r="H4" s="104" t="s">
        <v>12331</v>
      </c>
      <c r="I4" s="105" t="s">
        <v>22173</v>
      </c>
      <c r="J4" s="103" t="s">
        <v>36</v>
      </c>
      <c r="K4" s="103" t="s">
        <v>23073</v>
      </c>
      <c r="L4" s="105" t="s">
        <v>23074</v>
      </c>
      <c r="M4" s="105" t="s">
        <v>12334</v>
      </c>
      <c r="N4" s="105" t="s">
        <v>23075</v>
      </c>
      <c r="O4" s="105" t="s">
        <v>23076</v>
      </c>
      <c r="P4" s="105" t="s">
        <v>23077</v>
      </c>
      <c r="Q4" s="105" t="s">
        <v>23078</v>
      </c>
      <c r="R4" s="105" t="s">
        <v>23079</v>
      </c>
      <c r="S4" s="105" t="s">
        <v>23080</v>
      </c>
      <c r="T4" s="105" t="s">
        <v>23081</v>
      </c>
      <c r="U4" s="105" t="s">
        <v>23082</v>
      </c>
      <c r="V4" s="105" t="s">
        <v>23083</v>
      </c>
      <c r="W4" s="105" t="s">
        <v>12370</v>
      </c>
      <c r="X4" s="105" t="s">
        <v>22179</v>
      </c>
      <c r="Y4" s="105" t="s">
        <v>22180</v>
      </c>
      <c r="Z4" s="108" t="s">
        <v>22181</v>
      </c>
      <c r="AA4" s="108" t="s">
        <v>23084</v>
      </c>
      <c r="AB4" s="108" t="s">
        <v>23085</v>
      </c>
      <c r="AC4" s="108" t="s">
        <v>23086</v>
      </c>
      <c r="AD4" s="108" t="s">
        <v>689</v>
      </c>
      <c r="AE4" s="255"/>
      <c r="AF4" s="255"/>
      <c r="AG4" s="255"/>
      <c r="AH4" s="255"/>
    </row>
    <row r="5">
      <c r="A5" s="283" t="s">
        <v>23087</v>
      </c>
      <c r="B5" s="111" t="s">
        <v>23088</v>
      </c>
      <c r="C5" s="111" t="s">
        <v>8023</v>
      </c>
      <c r="D5" s="111" t="s">
        <v>22471</v>
      </c>
      <c r="E5" s="111"/>
      <c r="F5" s="111">
        <v>2035.0</v>
      </c>
      <c r="G5" s="257">
        <v>2035.0</v>
      </c>
      <c r="H5" s="111"/>
      <c r="I5" s="111" t="s">
        <v>22552</v>
      </c>
      <c r="J5" s="111" t="s">
        <v>12399</v>
      </c>
      <c r="K5" s="111"/>
      <c r="L5" s="111" t="s">
        <v>690</v>
      </c>
      <c r="M5" s="128" t="s">
        <v>23089</v>
      </c>
      <c r="N5" s="125">
        <v>1003.7083333333334</v>
      </c>
      <c r="O5" s="146">
        <v>24.089</v>
      </c>
      <c r="P5" s="146">
        <v>0.72267</v>
      </c>
      <c r="Q5" s="125">
        <v>2007.4166666666667</v>
      </c>
      <c r="R5" s="146">
        <v>48.178</v>
      </c>
      <c r="S5" s="146">
        <v>1.44534</v>
      </c>
      <c r="T5" s="125">
        <v>730.7865168539327</v>
      </c>
      <c r="U5" s="146">
        <v>7.8048</v>
      </c>
      <c r="V5" s="125">
        <v>2168.0</v>
      </c>
      <c r="W5" s="126">
        <v>65.04</v>
      </c>
      <c r="X5" s="126"/>
      <c r="Y5" s="126"/>
      <c r="Z5" s="284" t="s">
        <v>22189</v>
      </c>
      <c r="AA5" s="284" t="s">
        <v>23090</v>
      </c>
      <c r="AB5" s="285"/>
      <c r="AC5" s="285"/>
      <c r="AD5" s="285" t="s">
        <v>23091</v>
      </c>
      <c r="AE5" s="261"/>
      <c r="AF5" s="261"/>
      <c r="AG5" s="261"/>
      <c r="AH5" s="261"/>
    </row>
    <row r="6">
      <c r="A6" s="283" t="s">
        <v>23092</v>
      </c>
      <c r="B6" s="111" t="s">
        <v>23093</v>
      </c>
      <c r="C6" s="111" t="s">
        <v>7994</v>
      </c>
      <c r="D6" s="111" t="s">
        <v>23094</v>
      </c>
      <c r="E6" s="111"/>
      <c r="F6" s="111">
        <v>2027.0</v>
      </c>
      <c r="G6" s="257">
        <v>2027.0</v>
      </c>
      <c r="H6" s="111"/>
      <c r="I6" s="111" t="s">
        <v>22198</v>
      </c>
      <c r="J6" s="111" t="s">
        <v>22564</v>
      </c>
      <c r="K6" s="111"/>
      <c r="L6" s="111" t="s">
        <v>690</v>
      </c>
      <c r="M6" s="128" t="s">
        <v>23095</v>
      </c>
      <c r="N6" s="125">
        <v>132.08333333333334</v>
      </c>
      <c r="O6" s="146">
        <v>3.17</v>
      </c>
      <c r="P6" s="146">
        <v>0.0951</v>
      </c>
      <c r="Q6" s="125">
        <v>480.0</v>
      </c>
      <c r="R6" s="124">
        <v>11.52</v>
      </c>
      <c r="S6" s="146">
        <v>0.3456</v>
      </c>
      <c r="T6" s="125">
        <v>40.449438202247194</v>
      </c>
      <c r="U6" s="146">
        <v>0.432</v>
      </c>
      <c r="V6" s="125">
        <v>120.0</v>
      </c>
      <c r="W6" s="126">
        <v>3.6</v>
      </c>
      <c r="X6" s="126"/>
      <c r="Y6" s="126"/>
      <c r="Z6" s="284" t="s">
        <v>22189</v>
      </c>
      <c r="AA6" s="284" t="s">
        <v>22189</v>
      </c>
      <c r="AB6" s="285"/>
      <c r="AC6" s="285"/>
      <c r="AD6" s="285" t="s">
        <v>23096</v>
      </c>
      <c r="AE6" s="261"/>
      <c r="AF6" s="261"/>
      <c r="AG6" s="261"/>
      <c r="AH6" s="261"/>
    </row>
    <row r="7">
      <c r="A7" s="283" t="s">
        <v>23097</v>
      </c>
      <c r="B7" s="111" t="s">
        <v>23098</v>
      </c>
      <c r="C7" s="111" t="s">
        <v>7994</v>
      </c>
      <c r="D7" s="111" t="s">
        <v>23094</v>
      </c>
      <c r="E7" s="111"/>
      <c r="F7" s="111">
        <v>2028.0</v>
      </c>
      <c r="G7" s="257">
        <v>2028.0</v>
      </c>
      <c r="H7" s="111"/>
      <c r="I7" s="111" t="s">
        <v>22198</v>
      </c>
      <c r="J7" s="111" t="s">
        <v>22564</v>
      </c>
      <c r="K7" s="111"/>
      <c r="L7" s="111" t="s">
        <v>690</v>
      </c>
      <c r="M7" s="128" t="s">
        <v>23095</v>
      </c>
      <c r="N7" s="125">
        <v>132.08333333333334</v>
      </c>
      <c r="O7" s="146">
        <v>3.17</v>
      </c>
      <c r="P7" s="146">
        <v>0.0951</v>
      </c>
      <c r="Q7" s="125">
        <v>480.0</v>
      </c>
      <c r="R7" s="124">
        <v>11.52</v>
      </c>
      <c r="S7" s="146">
        <v>0.3456</v>
      </c>
      <c r="T7" s="125">
        <v>40.449438202247194</v>
      </c>
      <c r="U7" s="146">
        <v>0.432</v>
      </c>
      <c r="V7" s="125">
        <v>120.0</v>
      </c>
      <c r="W7" s="126">
        <v>3.6</v>
      </c>
      <c r="X7" s="138"/>
      <c r="Y7" s="126"/>
      <c r="Z7" s="284" t="s">
        <v>22189</v>
      </c>
      <c r="AA7" s="285"/>
      <c r="AB7" s="285"/>
      <c r="AC7" s="285"/>
      <c r="AD7" s="285" t="s">
        <v>23096</v>
      </c>
      <c r="AE7" s="261"/>
      <c r="AF7" s="261"/>
      <c r="AG7" s="261"/>
      <c r="AH7" s="261"/>
    </row>
    <row r="8" ht="73.5" customHeight="1">
      <c r="A8" s="283" t="s">
        <v>23099</v>
      </c>
      <c r="B8" s="111" t="s">
        <v>23100</v>
      </c>
      <c r="C8" s="111" t="s">
        <v>7967</v>
      </c>
      <c r="D8" s="111" t="s">
        <v>686</v>
      </c>
      <c r="E8" s="111"/>
      <c r="F8" s="111">
        <v>2021.0</v>
      </c>
      <c r="G8" s="111">
        <v>2021.0</v>
      </c>
      <c r="H8" s="111">
        <v>2022.0</v>
      </c>
      <c r="I8" s="111" t="s">
        <v>22185</v>
      </c>
      <c r="J8" s="111" t="s">
        <v>12437</v>
      </c>
      <c r="K8" s="111" t="s">
        <v>12418</v>
      </c>
      <c r="L8" s="111" t="s">
        <v>690</v>
      </c>
      <c r="M8" s="128" t="s">
        <v>23101</v>
      </c>
      <c r="N8" s="124"/>
      <c r="O8" s="146"/>
      <c r="P8" s="124"/>
      <c r="Q8" s="124"/>
      <c r="R8" s="124"/>
      <c r="S8" s="124"/>
      <c r="T8" s="124"/>
      <c r="U8" s="124"/>
      <c r="V8" s="125"/>
      <c r="W8" s="126"/>
      <c r="X8" s="126"/>
      <c r="Y8" s="126"/>
      <c r="Z8" s="284" t="s">
        <v>22189</v>
      </c>
      <c r="AA8" s="285"/>
      <c r="AB8" s="285"/>
      <c r="AC8" s="285"/>
      <c r="AD8" s="285" t="s">
        <v>23102</v>
      </c>
      <c r="AE8" s="261"/>
      <c r="AF8" s="261"/>
      <c r="AG8" s="261"/>
      <c r="AH8" s="261"/>
    </row>
    <row r="9" ht="123.75" customHeight="1">
      <c r="A9" s="283" t="s">
        <v>23103</v>
      </c>
      <c r="B9" s="111" t="s">
        <v>23104</v>
      </c>
      <c r="C9" s="111" t="s">
        <v>7967</v>
      </c>
      <c r="D9" s="111" t="s">
        <v>686</v>
      </c>
      <c r="E9" s="111"/>
      <c r="F9" s="111">
        <v>2028.0</v>
      </c>
      <c r="G9" s="257">
        <v>2028.0</v>
      </c>
      <c r="H9" s="111"/>
      <c r="I9" s="111" t="s">
        <v>22185</v>
      </c>
      <c r="J9" s="111" t="s">
        <v>18638</v>
      </c>
      <c r="K9" s="111"/>
      <c r="L9" s="111" t="s">
        <v>690</v>
      </c>
      <c r="M9" s="128" t="s">
        <v>23105</v>
      </c>
      <c r="N9" s="125">
        <v>786.4583333333334</v>
      </c>
      <c r="O9" s="146">
        <v>18.875</v>
      </c>
      <c r="P9" s="146">
        <v>0.56625</v>
      </c>
      <c r="Q9" s="125">
        <v>786.4583333333334</v>
      </c>
      <c r="R9" s="146">
        <v>18.875</v>
      </c>
      <c r="S9" s="146">
        <v>0.56625</v>
      </c>
      <c r="T9" s="125">
        <v>72.80898876404495</v>
      </c>
      <c r="U9" s="124">
        <v>0.7776000000000001</v>
      </c>
      <c r="V9" s="125">
        <v>216.0</v>
      </c>
      <c r="W9" s="126">
        <v>6.48</v>
      </c>
      <c r="X9" s="126">
        <v>200.0</v>
      </c>
      <c r="Y9" s="126"/>
      <c r="Z9" s="284" t="s">
        <v>22189</v>
      </c>
      <c r="AA9" s="284" t="s">
        <v>22189</v>
      </c>
      <c r="AB9" s="285"/>
      <c r="AC9" s="285"/>
      <c r="AD9" s="285" t="s">
        <v>23102</v>
      </c>
      <c r="AE9" s="261"/>
      <c r="AF9" s="261"/>
      <c r="AG9" s="261"/>
      <c r="AH9" s="261"/>
    </row>
    <row r="10" hidden="1">
      <c r="A10" s="283" t="s">
        <v>23106</v>
      </c>
      <c r="B10" s="111" t="s">
        <v>23107</v>
      </c>
      <c r="C10" s="111" t="s">
        <v>7967</v>
      </c>
      <c r="D10" s="111" t="s">
        <v>686</v>
      </c>
      <c r="E10" s="111"/>
      <c r="F10" s="111">
        <v>2031.0</v>
      </c>
      <c r="G10" s="257">
        <v>2031.0</v>
      </c>
      <c r="H10" s="111"/>
      <c r="I10" s="111" t="s">
        <v>22185</v>
      </c>
      <c r="J10" s="111" t="s">
        <v>12399</v>
      </c>
      <c r="K10" s="111"/>
      <c r="L10" s="111" t="s">
        <v>690</v>
      </c>
      <c r="M10" s="128" t="s">
        <v>23108</v>
      </c>
      <c r="N10" s="125">
        <v>2359.375</v>
      </c>
      <c r="O10" s="146">
        <v>56.625</v>
      </c>
      <c r="P10" s="146">
        <v>1.69875</v>
      </c>
      <c r="Q10" s="125">
        <v>2359.375</v>
      </c>
      <c r="R10" s="146">
        <v>56.625</v>
      </c>
      <c r="S10" s="146">
        <v>1.69875</v>
      </c>
      <c r="T10" s="125">
        <v>202.24719101123597</v>
      </c>
      <c r="U10" s="124">
        <v>2.16</v>
      </c>
      <c r="V10" s="125">
        <v>600.0</v>
      </c>
      <c r="W10" s="126">
        <v>18.0</v>
      </c>
      <c r="X10" s="126">
        <v>200.0</v>
      </c>
      <c r="Y10" s="126"/>
      <c r="Z10" s="284" t="s">
        <v>22189</v>
      </c>
      <c r="AA10" s="284" t="s">
        <v>22189</v>
      </c>
      <c r="AB10" s="284" t="s">
        <v>23090</v>
      </c>
      <c r="AC10" s="285"/>
      <c r="AD10" s="285" t="s">
        <v>23102</v>
      </c>
      <c r="AE10" s="261"/>
      <c r="AF10" s="261"/>
      <c r="AG10" s="261"/>
      <c r="AH10" s="261"/>
    </row>
    <row r="11" ht="57.75" customHeight="1">
      <c r="A11" s="283" t="s">
        <v>23109</v>
      </c>
      <c r="B11" s="111" t="s">
        <v>23110</v>
      </c>
      <c r="C11" s="111" t="s">
        <v>7987</v>
      </c>
      <c r="D11" s="111" t="s">
        <v>23111</v>
      </c>
      <c r="E11" s="111"/>
      <c r="F11" s="111">
        <v>2027.0</v>
      </c>
      <c r="G11" s="257">
        <v>2027.0</v>
      </c>
      <c r="H11" s="111"/>
      <c r="I11" s="111" t="s">
        <v>22185</v>
      </c>
      <c r="J11" s="111" t="s">
        <v>22564</v>
      </c>
      <c r="K11" s="111"/>
      <c r="L11" s="111" t="s">
        <v>690</v>
      </c>
      <c r="M11" s="128" t="s">
        <v>23112</v>
      </c>
      <c r="N11" s="125">
        <v>177.0</v>
      </c>
      <c r="O11" s="146">
        <v>4.248</v>
      </c>
      <c r="P11" s="146">
        <v>0.12744000000000003</v>
      </c>
      <c r="Q11" s="125">
        <v>177.0</v>
      </c>
      <c r="R11" s="124">
        <v>4.248</v>
      </c>
      <c r="S11" s="146">
        <v>0.12744000000000003</v>
      </c>
      <c r="T11" s="124">
        <v>28.0</v>
      </c>
      <c r="U11" s="126">
        <v>0.29904</v>
      </c>
      <c r="V11" s="125">
        <v>83.06666666666665</v>
      </c>
      <c r="W11" s="126">
        <v>2.492</v>
      </c>
      <c r="X11" s="126"/>
      <c r="Y11" s="126"/>
      <c r="Z11" s="284" t="s">
        <v>22189</v>
      </c>
      <c r="AA11" s="284" t="s">
        <v>22189</v>
      </c>
      <c r="AB11" s="285"/>
      <c r="AC11" s="285"/>
      <c r="AD11" s="285" t="s">
        <v>23113</v>
      </c>
      <c r="AE11" s="261"/>
      <c r="AF11" s="261"/>
      <c r="AG11" s="261"/>
      <c r="AH11" s="261"/>
    </row>
    <row r="12" hidden="1">
      <c r="A12" s="283" t="s">
        <v>23114</v>
      </c>
      <c r="B12" s="111" t="s">
        <v>23115</v>
      </c>
      <c r="C12" s="111" t="s">
        <v>7991</v>
      </c>
      <c r="D12" s="111" t="s">
        <v>21037</v>
      </c>
      <c r="E12" s="111"/>
      <c r="F12" s="111">
        <v>2028.0</v>
      </c>
      <c r="G12" s="257">
        <v>2028.0</v>
      </c>
      <c r="H12" s="111"/>
      <c r="I12" s="111" t="s">
        <v>22203</v>
      </c>
      <c r="J12" s="111" t="s">
        <v>22564</v>
      </c>
      <c r="K12" s="111"/>
      <c r="L12" s="111" t="s">
        <v>690</v>
      </c>
      <c r="M12" s="128" t="s">
        <v>23116</v>
      </c>
      <c r="N12" s="125">
        <v>3121.5416666666665</v>
      </c>
      <c r="O12" s="146">
        <v>74.917</v>
      </c>
      <c r="P12" s="146">
        <v>2.24751</v>
      </c>
      <c r="Q12" s="125">
        <v>3432.6666666666665</v>
      </c>
      <c r="R12" s="124">
        <v>82.384</v>
      </c>
      <c r="S12" s="146">
        <v>2.47152</v>
      </c>
      <c r="T12" s="125">
        <v>107.86516853932585</v>
      </c>
      <c r="U12" s="126">
        <v>1.152</v>
      </c>
      <c r="V12" s="125">
        <v>320.0</v>
      </c>
      <c r="W12" s="126">
        <v>9.6</v>
      </c>
      <c r="X12" s="126"/>
      <c r="Y12" s="126"/>
      <c r="Z12" s="284" t="s">
        <v>22189</v>
      </c>
      <c r="AA12" s="284" t="s">
        <v>22189</v>
      </c>
      <c r="AB12" s="285"/>
      <c r="AC12" s="285"/>
      <c r="AD12" s="285" t="s">
        <v>23117</v>
      </c>
      <c r="AE12" s="261"/>
      <c r="AF12" s="261"/>
      <c r="AG12" s="261"/>
      <c r="AH12" s="261"/>
    </row>
    <row r="13" hidden="1">
      <c r="A13" s="283" t="s">
        <v>23118</v>
      </c>
      <c r="B13" s="111" t="s">
        <v>23119</v>
      </c>
      <c r="C13" s="111" t="s">
        <v>7991</v>
      </c>
      <c r="D13" s="111" t="s">
        <v>23120</v>
      </c>
      <c r="E13" s="111"/>
      <c r="F13" s="111">
        <v>2027.0</v>
      </c>
      <c r="G13" s="257">
        <v>2027.0</v>
      </c>
      <c r="H13" s="111"/>
      <c r="I13" s="111" t="s">
        <v>22198</v>
      </c>
      <c r="J13" s="111" t="s">
        <v>12397</v>
      </c>
      <c r="K13" s="111"/>
      <c r="L13" s="111" t="s">
        <v>698</v>
      </c>
      <c r="M13" s="128" t="s">
        <v>23121</v>
      </c>
      <c r="N13" s="111"/>
      <c r="O13" s="286"/>
      <c r="P13" s="111"/>
      <c r="Q13" s="111"/>
      <c r="R13" s="111"/>
      <c r="S13" s="111"/>
      <c r="T13" s="125">
        <v>337.07865168539325</v>
      </c>
      <c r="U13" s="126">
        <v>3.5999999999999996</v>
      </c>
      <c r="V13" s="131">
        <v>1000.0</v>
      </c>
      <c r="W13" s="126">
        <v>30.0</v>
      </c>
      <c r="X13" s="125"/>
      <c r="Y13" s="125" t="s">
        <v>23122</v>
      </c>
      <c r="Z13" s="284" t="s">
        <v>22189</v>
      </c>
      <c r="AA13" s="285"/>
      <c r="AB13" s="285"/>
      <c r="AC13" s="285"/>
      <c r="AD13" s="285" t="s">
        <v>23123</v>
      </c>
      <c r="AE13" s="261"/>
      <c r="AF13" s="261"/>
      <c r="AG13" s="261"/>
      <c r="AH13" s="261"/>
    </row>
    <row r="14" hidden="1">
      <c r="A14" s="283" t="s">
        <v>23124</v>
      </c>
      <c r="B14" s="111" t="s">
        <v>23125</v>
      </c>
      <c r="C14" s="111" t="s">
        <v>7991</v>
      </c>
      <c r="D14" s="111" t="s">
        <v>23120</v>
      </c>
      <c r="E14" s="111"/>
      <c r="F14" s="111">
        <v>2035.0</v>
      </c>
      <c r="G14" s="257">
        <v>2035.0</v>
      </c>
      <c r="H14" s="111"/>
      <c r="I14" s="111" t="s">
        <v>22198</v>
      </c>
      <c r="J14" s="111" t="s">
        <v>12397</v>
      </c>
      <c r="K14" s="111"/>
      <c r="L14" s="111" t="s">
        <v>698</v>
      </c>
      <c r="M14" s="128" t="s">
        <v>23121</v>
      </c>
      <c r="N14" s="111"/>
      <c r="O14" s="286"/>
      <c r="P14" s="111"/>
      <c r="Q14" s="111"/>
      <c r="R14" s="111"/>
      <c r="S14" s="111"/>
      <c r="T14" s="125">
        <v>1011.2359550561798</v>
      </c>
      <c r="U14" s="126">
        <v>10.799999999999999</v>
      </c>
      <c r="V14" s="131">
        <v>3000.0</v>
      </c>
      <c r="W14" s="126">
        <v>90.0</v>
      </c>
      <c r="X14" s="125"/>
      <c r="Y14" s="125" t="s">
        <v>23122</v>
      </c>
      <c r="Z14" s="284" t="s">
        <v>22189</v>
      </c>
      <c r="AA14" s="285"/>
      <c r="AB14" s="285"/>
      <c r="AC14" s="285"/>
      <c r="AD14" s="285" t="s">
        <v>23123</v>
      </c>
      <c r="AE14" s="261"/>
      <c r="AF14" s="261"/>
      <c r="AG14" s="261"/>
      <c r="AH14" s="261"/>
    </row>
    <row r="15" hidden="1">
      <c r="A15" s="283" t="s">
        <v>23126</v>
      </c>
      <c r="B15" s="111" t="s">
        <v>23127</v>
      </c>
      <c r="C15" s="111" t="s">
        <v>7991</v>
      </c>
      <c r="D15" s="111" t="s">
        <v>23120</v>
      </c>
      <c r="E15" s="111"/>
      <c r="F15" s="111">
        <v>2040.0</v>
      </c>
      <c r="G15" s="257">
        <v>2040.0</v>
      </c>
      <c r="H15" s="111"/>
      <c r="I15" s="111" t="s">
        <v>22198</v>
      </c>
      <c r="J15" s="111" t="s">
        <v>12397</v>
      </c>
      <c r="K15" s="111"/>
      <c r="L15" s="111" t="s">
        <v>698</v>
      </c>
      <c r="M15" s="128" t="s">
        <v>23121</v>
      </c>
      <c r="N15" s="111"/>
      <c r="O15" s="286"/>
      <c r="P15" s="111"/>
      <c r="Q15" s="111"/>
      <c r="R15" s="111"/>
      <c r="S15" s="111"/>
      <c r="T15" s="125">
        <v>1011.2359550561798</v>
      </c>
      <c r="U15" s="126">
        <v>10.799999999999999</v>
      </c>
      <c r="V15" s="131">
        <v>3000.0</v>
      </c>
      <c r="W15" s="126">
        <v>90.0</v>
      </c>
      <c r="X15" s="125"/>
      <c r="Y15" s="125" t="s">
        <v>23122</v>
      </c>
      <c r="Z15" s="284" t="s">
        <v>22189</v>
      </c>
      <c r="AA15" s="285"/>
      <c r="AB15" s="285"/>
      <c r="AC15" s="285"/>
      <c r="AD15" s="285" t="s">
        <v>23123</v>
      </c>
      <c r="AE15" s="261"/>
      <c r="AF15" s="261"/>
      <c r="AG15" s="261"/>
      <c r="AH15" s="261"/>
    </row>
    <row r="16" hidden="1">
      <c r="A16" s="283" t="s">
        <v>23128</v>
      </c>
      <c r="B16" s="111" t="s">
        <v>23129</v>
      </c>
      <c r="C16" s="111" t="s">
        <v>7991</v>
      </c>
      <c r="D16" s="111" t="s">
        <v>23120</v>
      </c>
      <c r="E16" s="111"/>
      <c r="F16" s="111">
        <v>2045.0</v>
      </c>
      <c r="G16" s="257">
        <v>2045.0</v>
      </c>
      <c r="H16" s="111"/>
      <c r="I16" s="111" t="s">
        <v>22198</v>
      </c>
      <c r="J16" s="111" t="s">
        <v>12397</v>
      </c>
      <c r="K16" s="111"/>
      <c r="L16" s="111" t="s">
        <v>698</v>
      </c>
      <c r="M16" s="128" t="s">
        <v>23121</v>
      </c>
      <c r="N16" s="111"/>
      <c r="O16" s="286"/>
      <c r="P16" s="111"/>
      <c r="Q16" s="111"/>
      <c r="R16" s="111"/>
      <c r="S16" s="111"/>
      <c r="T16" s="125">
        <v>1011.2359550561798</v>
      </c>
      <c r="U16" s="126">
        <v>10.799999999999999</v>
      </c>
      <c r="V16" s="131">
        <v>3000.0</v>
      </c>
      <c r="W16" s="126">
        <v>90.0</v>
      </c>
      <c r="X16" s="125"/>
      <c r="Y16" s="125" t="s">
        <v>23122</v>
      </c>
      <c r="Z16" s="284" t="s">
        <v>22189</v>
      </c>
      <c r="AA16" s="285"/>
      <c r="AB16" s="285"/>
      <c r="AC16" s="285"/>
      <c r="AD16" s="285" t="s">
        <v>23123</v>
      </c>
      <c r="AE16" s="261"/>
      <c r="AF16" s="261"/>
      <c r="AG16" s="261"/>
      <c r="AH16" s="261"/>
    </row>
    <row r="17" hidden="1">
      <c r="A17" s="283" t="s">
        <v>23130</v>
      </c>
      <c r="B17" s="111" t="s">
        <v>23131</v>
      </c>
      <c r="C17" s="111" t="s">
        <v>8011</v>
      </c>
      <c r="D17" s="111" t="s">
        <v>23132</v>
      </c>
      <c r="E17" s="111">
        <v>2021.0</v>
      </c>
      <c r="F17" s="111">
        <v>2023.0</v>
      </c>
      <c r="G17" s="257">
        <v>2023.0</v>
      </c>
      <c r="H17" s="111"/>
      <c r="I17" s="111" t="s">
        <v>22185</v>
      </c>
      <c r="J17" s="111" t="s">
        <v>12385</v>
      </c>
      <c r="K17" s="111" t="s">
        <v>12418</v>
      </c>
      <c r="L17" s="111" t="s">
        <v>690</v>
      </c>
      <c r="M17" s="128" t="s">
        <v>23133</v>
      </c>
      <c r="N17" s="124"/>
      <c r="O17" s="146"/>
      <c r="P17" s="124"/>
      <c r="Q17" s="124"/>
      <c r="R17" s="124"/>
      <c r="S17" s="124"/>
      <c r="T17" s="125">
        <v>0.033707865168539325</v>
      </c>
      <c r="U17" s="138">
        <v>3.5999999999999997E-4</v>
      </c>
      <c r="V17" s="146">
        <v>0.09999999999999999</v>
      </c>
      <c r="W17" s="129">
        <v>0.003</v>
      </c>
      <c r="X17" s="126"/>
      <c r="Y17" s="263" t="s">
        <v>23134</v>
      </c>
      <c r="Z17" s="284" t="s">
        <v>22189</v>
      </c>
      <c r="AA17" s="284" t="s">
        <v>22189</v>
      </c>
      <c r="AB17" s="285"/>
      <c r="AC17" s="285"/>
      <c r="AD17" s="285" t="s">
        <v>691</v>
      </c>
      <c r="AE17" s="261"/>
      <c r="AF17" s="261"/>
      <c r="AG17" s="261"/>
      <c r="AH17" s="261"/>
    </row>
    <row r="18" hidden="1">
      <c r="A18" s="283" t="s">
        <v>23135</v>
      </c>
      <c r="B18" s="111" t="s">
        <v>23136</v>
      </c>
      <c r="C18" s="111" t="s">
        <v>8011</v>
      </c>
      <c r="D18" s="111" t="s">
        <v>23132</v>
      </c>
      <c r="E18" s="111"/>
      <c r="F18" s="111">
        <v>2026.0</v>
      </c>
      <c r="G18" s="257">
        <v>2026.0</v>
      </c>
      <c r="H18" s="111"/>
      <c r="I18" s="111" t="s">
        <v>22185</v>
      </c>
      <c r="J18" s="111" t="s">
        <v>18638</v>
      </c>
      <c r="K18" s="111" t="s">
        <v>12418</v>
      </c>
      <c r="L18" s="111" t="s">
        <v>690</v>
      </c>
      <c r="M18" s="128" t="s">
        <v>23137</v>
      </c>
      <c r="N18" s="124"/>
      <c r="O18" s="146"/>
      <c r="P18" s="124"/>
      <c r="Q18" s="124"/>
      <c r="R18" s="124"/>
      <c r="S18" s="124"/>
      <c r="T18" s="125">
        <v>0.4943820224719101</v>
      </c>
      <c r="U18" s="129">
        <v>0.005279999999999999</v>
      </c>
      <c r="V18" s="146">
        <v>1.4666666666666666</v>
      </c>
      <c r="W18" s="146">
        <v>0.044</v>
      </c>
      <c r="X18" s="126"/>
      <c r="Y18" s="126" t="s">
        <v>23138</v>
      </c>
      <c r="Z18" s="284" t="s">
        <v>22189</v>
      </c>
      <c r="AA18" s="285"/>
      <c r="AB18" s="285"/>
      <c r="AC18" s="285"/>
      <c r="AD18" s="285" t="s">
        <v>691</v>
      </c>
      <c r="AE18" s="261"/>
      <c r="AF18" s="261"/>
      <c r="AG18" s="261"/>
      <c r="AH18" s="261"/>
    </row>
    <row r="19" ht="70.5" customHeight="1">
      <c r="A19" s="283" t="s">
        <v>23139</v>
      </c>
      <c r="B19" s="111" t="s">
        <v>23140</v>
      </c>
      <c r="C19" s="111" t="s">
        <v>8702</v>
      </c>
      <c r="D19" s="111" t="s">
        <v>23141</v>
      </c>
      <c r="E19" s="111"/>
      <c r="F19" s="111" t="s">
        <v>19</v>
      </c>
      <c r="G19" s="257" t="s">
        <v>19</v>
      </c>
      <c r="H19" s="111"/>
      <c r="I19" s="111" t="s">
        <v>22198</v>
      </c>
      <c r="J19" s="111" t="s">
        <v>12399</v>
      </c>
      <c r="K19" s="111"/>
      <c r="L19" s="111" t="s">
        <v>698</v>
      </c>
      <c r="M19" s="128" t="s">
        <v>23142</v>
      </c>
      <c r="N19" s="124"/>
      <c r="O19" s="146"/>
      <c r="P19" s="124"/>
      <c r="Q19" s="124"/>
      <c r="R19" s="124"/>
      <c r="S19" s="124"/>
      <c r="T19" s="125">
        <v>1011.2359550561798</v>
      </c>
      <c r="U19" s="126">
        <v>10.799999999999999</v>
      </c>
      <c r="V19" s="125">
        <v>3000.0</v>
      </c>
      <c r="W19" s="126">
        <v>90.0</v>
      </c>
      <c r="X19" s="126"/>
      <c r="Y19" s="126"/>
      <c r="Z19" s="284" t="s">
        <v>22189</v>
      </c>
      <c r="AA19" s="284" t="s">
        <v>22189</v>
      </c>
      <c r="AB19" s="284" t="s">
        <v>23090</v>
      </c>
      <c r="AC19" s="285"/>
      <c r="AD19" s="285" t="s">
        <v>23143</v>
      </c>
      <c r="AE19" s="261"/>
      <c r="AF19" s="261"/>
      <c r="AG19" s="261"/>
      <c r="AH19" s="261"/>
    </row>
    <row r="20" hidden="1">
      <c r="A20" s="283" t="s">
        <v>23144</v>
      </c>
      <c r="B20" s="111" t="s">
        <v>692</v>
      </c>
      <c r="C20" s="111" t="s">
        <v>7974</v>
      </c>
      <c r="D20" s="111" t="s">
        <v>23145</v>
      </c>
      <c r="E20" s="111"/>
      <c r="F20" s="111">
        <v>2022.0</v>
      </c>
      <c r="G20" s="257">
        <v>2022.0</v>
      </c>
      <c r="H20" s="257">
        <v>2024.0</v>
      </c>
      <c r="I20" s="111" t="s">
        <v>22185</v>
      </c>
      <c r="J20" s="111" t="s">
        <v>12385</v>
      </c>
      <c r="K20" s="111" t="s">
        <v>12418</v>
      </c>
      <c r="L20" s="111" t="s">
        <v>693</v>
      </c>
      <c r="M20" s="128" t="s">
        <v>23146</v>
      </c>
      <c r="N20" s="124"/>
      <c r="O20" s="146"/>
      <c r="P20" s="124"/>
      <c r="Q20" s="124"/>
      <c r="R20" s="124"/>
      <c r="S20" s="124"/>
      <c r="T20" s="124"/>
      <c r="U20" s="124"/>
      <c r="V20" s="125"/>
      <c r="W20" s="126"/>
      <c r="X20" s="126">
        <v>250.0</v>
      </c>
      <c r="Y20" s="126" t="s">
        <v>23147</v>
      </c>
      <c r="Z20" s="284" t="s">
        <v>22189</v>
      </c>
      <c r="AA20" s="284" t="s">
        <v>22189</v>
      </c>
      <c r="AB20" s="285"/>
      <c r="AC20" s="285"/>
      <c r="AD20" s="285" t="s">
        <v>694</v>
      </c>
      <c r="AE20" s="261"/>
      <c r="AF20" s="261"/>
      <c r="AG20" s="261"/>
      <c r="AH20" s="261"/>
    </row>
    <row r="21" ht="15.75" hidden="1" customHeight="1">
      <c r="A21" s="283" t="s">
        <v>23148</v>
      </c>
      <c r="B21" s="111" t="s">
        <v>23149</v>
      </c>
      <c r="C21" s="111" t="s">
        <v>7987</v>
      </c>
      <c r="D21" s="111" t="s">
        <v>23150</v>
      </c>
      <c r="E21" s="111"/>
      <c r="F21" s="111">
        <v>2026.0</v>
      </c>
      <c r="G21" s="257">
        <v>2026.0</v>
      </c>
      <c r="H21" s="111"/>
      <c r="I21" s="111" t="s">
        <v>22185</v>
      </c>
      <c r="J21" s="111" t="s">
        <v>18638</v>
      </c>
      <c r="K21" s="111" t="s">
        <v>12418</v>
      </c>
      <c r="L21" s="111" t="s">
        <v>690</v>
      </c>
      <c r="M21" s="124" t="s">
        <v>23151</v>
      </c>
      <c r="N21" s="111"/>
      <c r="O21" s="286"/>
      <c r="P21" s="111"/>
      <c r="Q21" s="111"/>
      <c r="R21" s="111"/>
      <c r="S21" s="111"/>
      <c r="T21" s="111">
        <v>7.266526390437578</v>
      </c>
      <c r="U21" s="124">
        <v>0.07476</v>
      </c>
      <c r="V21" s="125">
        <v>20.766666666666662</v>
      </c>
      <c r="W21" s="125">
        <v>0.623</v>
      </c>
      <c r="X21" s="125"/>
      <c r="Y21" s="125"/>
      <c r="Z21" s="284" t="s">
        <v>22189</v>
      </c>
      <c r="AA21" s="284" t="s">
        <v>22189</v>
      </c>
      <c r="AB21" s="284" t="s">
        <v>23090</v>
      </c>
      <c r="AC21" s="285"/>
      <c r="AD21" s="285" t="s">
        <v>23152</v>
      </c>
      <c r="AE21" s="261"/>
      <c r="AF21" s="261"/>
      <c r="AG21" s="261"/>
      <c r="AH21" s="261"/>
    </row>
    <row r="22" ht="15.75" hidden="1" customHeight="1">
      <c r="A22" s="283" t="s">
        <v>23153</v>
      </c>
      <c r="B22" s="111" t="s">
        <v>23154</v>
      </c>
      <c r="C22" s="111" t="s">
        <v>8011</v>
      </c>
      <c r="D22" s="111" t="s">
        <v>23155</v>
      </c>
      <c r="E22" s="111"/>
      <c r="F22" s="111">
        <v>2025.0</v>
      </c>
      <c r="G22" s="257">
        <v>2025.0</v>
      </c>
      <c r="H22" s="257">
        <v>2026.0</v>
      </c>
      <c r="I22" s="111" t="s">
        <v>22198</v>
      </c>
      <c r="J22" s="111" t="s">
        <v>18192</v>
      </c>
      <c r="K22" s="111" t="s">
        <v>12418</v>
      </c>
      <c r="L22" s="111" t="s">
        <v>690</v>
      </c>
      <c r="M22" s="124" t="s">
        <v>23156</v>
      </c>
      <c r="N22" s="111"/>
      <c r="O22" s="286"/>
      <c r="P22" s="111"/>
      <c r="Q22" s="111"/>
      <c r="R22" s="111"/>
      <c r="S22" s="111"/>
      <c r="T22" s="126">
        <v>0.5248694824553629</v>
      </c>
      <c r="U22" s="129">
        <v>0.0054</v>
      </c>
      <c r="V22" s="126">
        <v>1.5</v>
      </c>
      <c r="W22" s="146">
        <v>0.045000000000000005</v>
      </c>
      <c r="X22" s="125"/>
      <c r="Y22" s="125" t="s">
        <v>23157</v>
      </c>
      <c r="Z22" s="284" t="s">
        <v>22189</v>
      </c>
      <c r="AA22" s="284" t="s">
        <v>22189</v>
      </c>
      <c r="AB22" s="285"/>
      <c r="AC22" s="285"/>
      <c r="AD22" s="285" t="s">
        <v>23158</v>
      </c>
      <c r="AE22" s="261"/>
      <c r="AF22" s="261"/>
      <c r="AG22" s="261"/>
      <c r="AH22" s="261"/>
    </row>
    <row r="23" ht="15.75" hidden="1" customHeight="1">
      <c r="A23" s="283" t="s">
        <v>23159</v>
      </c>
      <c r="B23" s="111" t="s">
        <v>23160</v>
      </c>
      <c r="C23" s="111" t="s">
        <v>7987</v>
      </c>
      <c r="D23" s="111" t="s">
        <v>23161</v>
      </c>
      <c r="E23" s="111"/>
      <c r="F23" s="111">
        <v>2023.0</v>
      </c>
      <c r="G23" s="257">
        <v>2023.0</v>
      </c>
      <c r="H23" s="111"/>
      <c r="I23" s="111" t="s">
        <v>22198</v>
      </c>
      <c r="J23" s="111" t="s">
        <v>18630</v>
      </c>
      <c r="K23" s="111" t="s">
        <v>12418</v>
      </c>
      <c r="L23" s="111" t="s">
        <v>690</v>
      </c>
      <c r="M23" s="124" t="s">
        <v>23162</v>
      </c>
      <c r="N23" s="111"/>
      <c r="O23" s="286"/>
      <c r="P23" s="111"/>
      <c r="Q23" s="111"/>
      <c r="R23" s="111"/>
      <c r="S23" s="111"/>
      <c r="T23" s="111">
        <v>0.25</v>
      </c>
      <c r="U23" s="138">
        <v>0.002572068</v>
      </c>
      <c r="V23" s="138">
        <v>0.7144633333333332</v>
      </c>
      <c r="W23" s="146">
        <v>0.0214339</v>
      </c>
      <c r="X23" s="125"/>
      <c r="Y23" s="125" t="s">
        <v>23163</v>
      </c>
      <c r="Z23" s="284" t="s">
        <v>22189</v>
      </c>
      <c r="AA23" s="284" t="s">
        <v>22189</v>
      </c>
      <c r="AB23" s="285"/>
      <c r="AC23" s="285"/>
      <c r="AD23" s="285" t="s">
        <v>23164</v>
      </c>
      <c r="AE23" s="261"/>
      <c r="AF23" s="261"/>
      <c r="AG23" s="261"/>
      <c r="AH23" s="261"/>
    </row>
    <row r="24" ht="15.75" hidden="1" customHeight="1">
      <c r="A24" s="283" t="s">
        <v>23165</v>
      </c>
      <c r="B24" s="111" t="s">
        <v>23166</v>
      </c>
      <c r="C24" s="111" t="s">
        <v>7987</v>
      </c>
      <c r="D24" s="111"/>
      <c r="E24" s="111"/>
      <c r="F24" s="111">
        <v>205.0</v>
      </c>
      <c r="G24" s="111">
        <v>2029.0</v>
      </c>
      <c r="H24" s="111"/>
      <c r="I24" s="111"/>
      <c r="J24" s="111" t="s">
        <v>18630</v>
      </c>
      <c r="K24" s="111" t="s">
        <v>22564</v>
      </c>
      <c r="L24" s="111" t="s">
        <v>690</v>
      </c>
      <c r="M24" s="111" t="s">
        <v>23167</v>
      </c>
      <c r="N24" s="111"/>
      <c r="O24" s="286"/>
      <c r="P24" s="111"/>
      <c r="Q24" s="111"/>
      <c r="R24" s="111"/>
      <c r="S24" s="111"/>
      <c r="T24" s="111">
        <v>0.003</v>
      </c>
      <c r="U24" s="146">
        <v>3.204E-5</v>
      </c>
      <c r="V24" s="146">
        <v>0.0089</v>
      </c>
      <c r="W24" s="146">
        <v>2.67E-4</v>
      </c>
      <c r="X24" s="125"/>
      <c r="Y24" s="287" t="s">
        <v>23168</v>
      </c>
      <c r="Z24" s="284" t="s">
        <v>22189</v>
      </c>
      <c r="AA24" s="284" t="s">
        <v>22189</v>
      </c>
      <c r="AB24" s="285"/>
      <c r="AC24" s="285"/>
      <c r="AD24" s="285" t="s">
        <v>23164</v>
      </c>
      <c r="AE24" s="261"/>
      <c r="AF24" s="261"/>
      <c r="AG24" s="261"/>
      <c r="AH24" s="261"/>
    </row>
    <row r="25" ht="15.75" hidden="1" customHeight="1">
      <c r="A25" s="283" t="s">
        <v>23169</v>
      </c>
      <c r="B25" s="111" t="s">
        <v>695</v>
      </c>
      <c r="C25" s="111" t="s">
        <v>7987</v>
      </c>
      <c r="D25" s="111" t="s">
        <v>23170</v>
      </c>
      <c r="E25" s="111"/>
      <c r="F25" s="111">
        <v>2023.0</v>
      </c>
      <c r="G25" s="257">
        <v>2023.0</v>
      </c>
      <c r="H25" s="111"/>
      <c r="I25" s="111" t="s">
        <v>22185</v>
      </c>
      <c r="J25" s="111" t="s">
        <v>12385</v>
      </c>
      <c r="K25" s="111" t="s">
        <v>12418</v>
      </c>
      <c r="L25" s="111" t="s">
        <v>690</v>
      </c>
      <c r="M25" s="124" t="s">
        <v>23171</v>
      </c>
      <c r="N25" s="111"/>
      <c r="O25" s="286"/>
      <c r="P25" s="111"/>
      <c r="Q25" s="111"/>
      <c r="R25" s="111"/>
      <c r="S25" s="111"/>
      <c r="T25" s="129">
        <v>0.06741573033707865</v>
      </c>
      <c r="U25" s="129">
        <v>7.199999999999999E-4</v>
      </c>
      <c r="V25" s="146">
        <v>0.19999999999999998</v>
      </c>
      <c r="W25" s="126">
        <v>0.006</v>
      </c>
      <c r="X25" s="125"/>
      <c r="Y25" s="125" t="s">
        <v>23163</v>
      </c>
      <c r="Z25" s="284" t="s">
        <v>22189</v>
      </c>
      <c r="AA25" s="284" t="s">
        <v>22189</v>
      </c>
      <c r="AB25" s="285"/>
      <c r="AC25" s="285"/>
      <c r="AD25" s="285" t="s">
        <v>23172</v>
      </c>
      <c r="AE25" s="261"/>
      <c r="AF25" s="261"/>
      <c r="AG25" s="261"/>
      <c r="AH25" s="261"/>
    </row>
    <row r="26" ht="54.0" customHeight="1">
      <c r="A26" s="283" t="s">
        <v>23173</v>
      </c>
      <c r="B26" s="111" t="s">
        <v>23174</v>
      </c>
      <c r="C26" s="111" t="s">
        <v>7981</v>
      </c>
      <c r="D26" s="111" t="s">
        <v>23175</v>
      </c>
      <c r="E26" s="111"/>
      <c r="F26" s="111">
        <v>2025.0</v>
      </c>
      <c r="G26" s="257">
        <v>2025.0</v>
      </c>
      <c r="H26" s="111"/>
      <c r="I26" s="111" t="s">
        <v>22185</v>
      </c>
      <c r="J26" s="111" t="s">
        <v>12399</v>
      </c>
      <c r="K26" s="111"/>
      <c r="L26" s="111" t="s">
        <v>690</v>
      </c>
      <c r="M26" s="128" t="s">
        <v>23176</v>
      </c>
      <c r="N26" s="111"/>
      <c r="O26" s="286"/>
      <c r="P26" s="111"/>
      <c r="Q26" s="111"/>
      <c r="R26" s="111">
        <v>300.0</v>
      </c>
      <c r="S26" s="111"/>
      <c r="T26" s="125">
        <v>61.79775280898877</v>
      </c>
      <c r="U26" s="129">
        <v>0.6599999999999999</v>
      </c>
      <c r="V26" s="146">
        <v>183.33333333333334</v>
      </c>
      <c r="W26" s="126">
        <v>5.5</v>
      </c>
      <c r="X26" s="125"/>
      <c r="Y26" s="125"/>
      <c r="Z26" s="284" t="s">
        <v>22189</v>
      </c>
      <c r="AA26" s="284" t="s">
        <v>22189</v>
      </c>
      <c r="AB26" s="285"/>
      <c r="AC26" s="285"/>
      <c r="AD26" s="285" t="s">
        <v>23177</v>
      </c>
      <c r="AE26" s="261"/>
      <c r="AF26" s="261"/>
      <c r="AG26" s="261"/>
      <c r="AH26" s="261"/>
    </row>
    <row r="27" ht="90.75" customHeight="1">
      <c r="A27" s="283" t="s">
        <v>23178</v>
      </c>
      <c r="B27" s="127" t="s">
        <v>106</v>
      </c>
      <c r="C27" s="111" t="s">
        <v>7999</v>
      </c>
      <c r="D27" s="111" t="s">
        <v>23179</v>
      </c>
      <c r="E27" s="111"/>
      <c r="F27" s="111">
        <v>2013.0</v>
      </c>
      <c r="G27" s="111">
        <v>2013.0</v>
      </c>
      <c r="H27" s="111">
        <v>2017.0</v>
      </c>
      <c r="I27" s="111" t="s">
        <v>23180</v>
      </c>
      <c r="J27" s="111" t="s">
        <v>12437</v>
      </c>
      <c r="K27" s="111" t="s">
        <v>12418</v>
      </c>
      <c r="L27" s="111" t="s">
        <v>698</v>
      </c>
      <c r="M27" s="128" t="s">
        <v>19</v>
      </c>
      <c r="N27" s="124"/>
      <c r="O27" s="146"/>
      <c r="P27" s="124"/>
      <c r="Q27" s="124"/>
      <c r="R27" s="124"/>
      <c r="S27" s="124"/>
      <c r="T27" s="124"/>
      <c r="U27" s="124"/>
      <c r="V27" s="125"/>
      <c r="W27" s="126"/>
      <c r="X27" s="126"/>
      <c r="Y27" s="126"/>
      <c r="Z27" s="284" t="s">
        <v>22189</v>
      </c>
      <c r="AA27" s="285"/>
      <c r="AB27" s="285"/>
      <c r="AC27" s="285"/>
      <c r="AD27" s="285" t="s">
        <v>699</v>
      </c>
      <c r="AE27" s="261"/>
      <c r="AF27" s="261"/>
      <c r="AG27" s="261"/>
      <c r="AH27" s="261"/>
    </row>
    <row r="28" ht="96.0" customHeight="1">
      <c r="A28" s="283" t="s">
        <v>23181</v>
      </c>
      <c r="B28" s="127" t="s">
        <v>23182</v>
      </c>
      <c r="C28" s="111" t="s">
        <v>7999</v>
      </c>
      <c r="D28" s="111" t="s">
        <v>23183</v>
      </c>
      <c r="E28" s="111"/>
      <c r="F28" s="111">
        <v>2023.0</v>
      </c>
      <c r="G28" s="111">
        <v>2023.0</v>
      </c>
      <c r="H28" s="257">
        <v>2025.0</v>
      </c>
      <c r="I28" s="111" t="s">
        <v>23180</v>
      </c>
      <c r="J28" s="111" t="s">
        <v>12385</v>
      </c>
      <c r="K28" s="111" t="s">
        <v>12418</v>
      </c>
      <c r="L28" s="111" t="s">
        <v>698</v>
      </c>
      <c r="M28" s="128" t="s">
        <v>23184</v>
      </c>
      <c r="N28" s="126">
        <v>1.2916666666666667</v>
      </c>
      <c r="O28" s="146">
        <v>0.031</v>
      </c>
      <c r="P28" s="124">
        <v>9.3E-4</v>
      </c>
      <c r="Q28" s="126">
        <v>2.0</v>
      </c>
      <c r="R28" s="124">
        <v>0.048</v>
      </c>
      <c r="S28" s="124">
        <v>0.00144</v>
      </c>
      <c r="T28" s="124"/>
      <c r="U28" s="146">
        <v>0.010432799999999999</v>
      </c>
      <c r="V28" s="146">
        <v>2.8979999999999997</v>
      </c>
      <c r="W28" s="146">
        <v>0.08693999999999999</v>
      </c>
      <c r="X28" s="126"/>
      <c r="Y28" s="126"/>
      <c r="Z28" s="284" t="s">
        <v>22189</v>
      </c>
      <c r="AA28" s="284" t="s">
        <v>22189</v>
      </c>
      <c r="AB28" s="285"/>
      <c r="AC28" s="285"/>
      <c r="AD28" s="285" t="s">
        <v>699</v>
      </c>
      <c r="AE28" s="261"/>
      <c r="AF28" s="261"/>
      <c r="AG28" s="261"/>
      <c r="AH28" s="261"/>
    </row>
    <row r="29" ht="34.5" customHeight="1">
      <c r="A29" s="283" t="s">
        <v>23185</v>
      </c>
      <c r="B29" s="127" t="s">
        <v>235</v>
      </c>
      <c r="C29" s="111" t="s">
        <v>7999</v>
      </c>
      <c r="D29" s="111" t="s">
        <v>23183</v>
      </c>
      <c r="E29" s="111"/>
      <c r="F29" s="111">
        <v>2030.0</v>
      </c>
      <c r="G29" s="257">
        <v>2030.0</v>
      </c>
      <c r="H29" s="111"/>
      <c r="I29" s="111" t="s">
        <v>22198</v>
      </c>
      <c r="J29" s="111" t="s">
        <v>12399</v>
      </c>
      <c r="K29" s="111"/>
      <c r="L29" s="111" t="s">
        <v>698</v>
      </c>
      <c r="M29" s="128" t="s">
        <v>23186</v>
      </c>
      <c r="N29" s="124"/>
      <c r="O29" s="146"/>
      <c r="P29" s="124"/>
      <c r="Q29" s="124"/>
      <c r="R29" s="124"/>
      <c r="S29" s="124"/>
      <c r="T29" s="125">
        <v>50.56179775280899</v>
      </c>
      <c r="U29" s="129">
        <v>0.54</v>
      </c>
      <c r="V29" s="125">
        <v>150.0</v>
      </c>
      <c r="W29" s="125">
        <v>4.5</v>
      </c>
      <c r="X29" s="126"/>
      <c r="Y29" s="126"/>
      <c r="Z29" s="284" t="s">
        <v>22189</v>
      </c>
      <c r="AA29" s="284" t="s">
        <v>22189</v>
      </c>
      <c r="AB29" s="285"/>
      <c r="AC29" s="285"/>
      <c r="AD29" s="285" t="s">
        <v>23187</v>
      </c>
      <c r="AE29" s="261"/>
      <c r="AF29" s="261"/>
      <c r="AG29" s="261"/>
      <c r="AH29" s="261"/>
    </row>
    <row r="30" ht="15.75" hidden="1" customHeight="1">
      <c r="A30" s="283" t="s">
        <v>23188</v>
      </c>
      <c r="B30" s="111" t="s">
        <v>23189</v>
      </c>
      <c r="C30" s="111" t="s">
        <v>8138</v>
      </c>
      <c r="D30" s="111" t="s">
        <v>23190</v>
      </c>
      <c r="E30" s="111"/>
      <c r="F30" s="111">
        <v>2016.0</v>
      </c>
      <c r="G30" s="111">
        <v>2016.0</v>
      </c>
      <c r="H30" s="111"/>
      <c r="I30" s="111" t="s">
        <v>23180</v>
      </c>
      <c r="J30" s="111" t="s">
        <v>12385</v>
      </c>
      <c r="K30" s="111" t="s">
        <v>12418</v>
      </c>
      <c r="L30" s="111" t="s">
        <v>698</v>
      </c>
      <c r="M30" s="128" t="s">
        <v>23191</v>
      </c>
      <c r="N30" s="124"/>
      <c r="O30" s="146"/>
      <c r="P30" s="124"/>
      <c r="Q30" s="124"/>
      <c r="R30" s="124"/>
      <c r="S30" s="124"/>
      <c r="T30" s="124"/>
      <c r="U30" s="124"/>
      <c r="V30" s="125"/>
      <c r="W30" s="126"/>
      <c r="X30" s="126">
        <v>25.0</v>
      </c>
      <c r="Y30" s="126"/>
      <c r="Z30" s="284" t="s">
        <v>22189</v>
      </c>
      <c r="AA30" s="284" t="s">
        <v>22189</v>
      </c>
      <c r="AB30" s="285"/>
      <c r="AC30" s="285"/>
      <c r="AD30" s="285" t="s">
        <v>23192</v>
      </c>
      <c r="AE30" s="261"/>
      <c r="AF30" s="261"/>
      <c r="AG30" s="261"/>
      <c r="AH30" s="261"/>
    </row>
    <row r="31" ht="34.5" customHeight="1">
      <c r="A31" s="283" t="s">
        <v>23193</v>
      </c>
      <c r="B31" s="111" t="s">
        <v>23194</v>
      </c>
      <c r="C31" s="111" t="s">
        <v>8011</v>
      </c>
      <c r="D31" s="111" t="s">
        <v>23195</v>
      </c>
      <c r="E31" s="111"/>
      <c r="F31" s="111">
        <v>2028.0</v>
      </c>
      <c r="G31" s="257">
        <v>2028.0</v>
      </c>
      <c r="H31" s="111"/>
      <c r="I31" s="111" t="s">
        <v>22185</v>
      </c>
      <c r="J31" s="111" t="s">
        <v>12399</v>
      </c>
      <c r="K31" s="111"/>
      <c r="L31" s="111" t="s">
        <v>690</v>
      </c>
      <c r="M31" s="128" t="s">
        <v>23196</v>
      </c>
      <c r="N31" s="124"/>
      <c r="O31" s="146"/>
      <c r="P31" s="124"/>
      <c r="Q31" s="124"/>
      <c r="R31" s="124"/>
      <c r="S31" s="124"/>
      <c r="T31" s="126">
        <v>69.98259766071504</v>
      </c>
      <c r="U31" s="124">
        <v>0.72</v>
      </c>
      <c r="V31" s="125">
        <v>200.0</v>
      </c>
      <c r="W31" s="126">
        <v>6.0</v>
      </c>
      <c r="X31" s="126"/>
      <c r="Y31" s="126"/>
      <c r="Z31" s="284" t="s">
        <v>22189</v>
      </c>
      <c r="AA31" s="284" t="s">
        <v>23197</v>
      </c>
      <c r="AB31" s="285"/>
      <c r="AC31" s="285"/>
      <c r="AD31" s="285" t="s">
        <v>23198</v>
      </c>
      <c r="AE31" s="261"/>
      <c r="AF31" s="261"/>
      <c r="AG31" s="261"/>
      <c r="AH31" s="261"/>
    </row>
    <row r="32" ht="15.75" hidden="1" customHeight="1">
      <c r="A32" s="283" t="s">
        <v>23199</v>
      </c>
      <c r="B32" s="111" t="s">
        <v>23200</v>
      </c>
      <c r="C32" s="111" t="s">
        <v>8021</v>
      </c>
      <c r="D32" s="111" t="s">
        <v>23201</v>
      </c>
      <c r="E32" s="111"/>
      <c r="F32" s="111" t="s">
        <v>19</v>
      </c>
      <c r="G32" s="257" t="s">
        <v>19</v>
      </c>
      <c r="H32" s="111"/>
      <c r="I32" s="111" t="s">
        <v>22185</v>
      </c>
      <c r="J32" s="111" t="s">
        <v>12399</v>
      </c>
      <c r="K32" s="111" t="s">
        <v>12418</v>
      </c>
      <c r="L32" s="111" t="s">
        <v>698</v>
      </c>
      <c r="M32" s="128" t="s">
        <v>23202</v>
      </c>
      <c r="N32" s="124"/>
      <c r="O32" s="146"/>
      <c r="P32" s="124"/>
      <c r="Q32" s="124"/>
      <c r="R32" s="124"/>
      <c r="S32" s="124"/>
      <c r="T32" s="124"/>
      <c r="U32" s="124"/>
      <c r="V32" s="125"/>
      <c r="W32" s="126"/>
      <c r="X32" s="126"/>
      <c r="Y32" s="126"/>
      <c r="Z32" s="284" t="s">
        <v>22189</v>
      </c>
      <c r="AA32" s="284"/>
      <c r="AB32" s="285"/>
      <c r="AC32" s="285"/>
      <c r="AD32" s="285" t="s">
        <v>23203</v>
      </c>
      <c r="AE32" s="261"/>
      <c r="AF32" s="261"/>
      <c r="AG32" s="261"/>
      <c r="AH32" s="261"/>
    </row>
    <row r="33" ht="53.25" customHeight="1">
      <c r="A33" s="283" t="s">
        <v>23204</v>
      </c>
      <c r="B33" s="111" t="s">
        <v>23205</v>
      </c>
      <c r="C33" s="111" t="s">
        <v>8161</v>
      </c>
      <c r="D33" s="111" t="s">
        <v>23206</v>
      </c>
      <c r="E33" s="111"/>
      <c r="F33" s="111">
        <v>2025.0</v>
      </c>
      <c r="G33" s="257">
        <v>2025.0</v>
      </c>
      <c r="H33" s="111"/>
      <c r="I33" s="111" t="s">
        <v>23180</v>
      </c>
      <c r="J33" s="111" t="s">
        <v>12399</v>
      </c>
      <c r="K33" s="111"/>
      <c r="L33" s="111" t="s">
        <v>690</v>
      </c>
      <c r="M33" s="128" t="s">
        <v>23207</v>
      </c>
      <c r="N33" s="124"/>
      <c r="O33" s="146"/>
      <c r="P33" s="124"/>
      <c r="Q33" s="124"/>
      <c r="R33" s="124"/>
      <c r="S33" s="124"/>
      <c r="T33" s="124"/>
      <c r="U33" s="124"/>
      <c r="V33" s="125"/>
      <c r="W33" s="126"/>
      <c r="X33" s="126"/>
      <c r="Y33" s="126"/>
      <c r="Z33" s="284" t="s">
        <v>22189</v>
      </c>
      <c r="AA33" s="284" t="s">
        <v>22189</v>
      </c>
      <c r="AB33" s="285"/>
      <c r="AC33" s="285"/>
      <c r="AD33" s="285" t="s">
        <v>23205</v>
      </c>
      <c r="AE33" s="261"/>
      <c r="AF33" s="261"/>
      <c r="AG33" s="261"/>
      <c r="AH33" s="261"/>
    </row>
    <row r="34" ht="34.5" customHeight="1">
      <c r="A34" s="283" t="s">
        <v>23208</v>
      </c>
      <c r="B34" s="111" t="s">
        <v>23209</v>
      </c>
      <c r="C34" s="111" t="s">
        <v>7977</v>
      </c>
      <c r="D34" s="111" t="s">
        <v>22273</v>
      </c>
      <c r="E34" s="111"/>
      <c r="F34" s="111">
        <v>2040.0</v>
      </c>
      <c r="G34" s="257">
        <v>2040.0</v>
      </c>
      <c r="H34" s="111"/>
      <c r="I34" s="111" t="s">
        <v>22198</v>
      </c>
      <c r="J34" s="111" t="s">
        <v>12397</v>
      </c>
      <c r="K34" s="111"/>
      <c r="L34" s="111" t="s">
        <v>23210</v>
      </c>
      <c r="M34" s="128" t="s">
        <v>23211</v>
      </c>
      <c r="N34" s="124"/>
      <c r="O34" s="146"/>
      <c r="P34" s="124"/>
      <c r="Q34" s="124"/>
      <c r="R34" s="124"/>
      <c r="S34" s="124"/>
      <c r="T34" s="125">
        <v>573.0337078651686</v>
      </c>
      <c r="U34" s="129">
        <v>6.12</v>
      </c>
      <c r="V34" s="125">
        <v>1700.0</v>
      </c>
      <c r="W34" s="125">
        <v>51.0</v>
      </c>
      <c r="X34" s="126"/>
      <c r="Y34" s="126"/>
      <c r="Z34" s="284" t="s">
        <v>22189</v>
      </c>
      <c r="AA34" s="285"/>
      <c r="AB34" s="285"/>
      <c r="AC34" s="285"/>
      <c r="AD34" s="285" t="s">
        <v>23212</v>
      </c>
      <c r="AE34" s="261"/>
      <c r="AF34" s="261"/>
      <c r="AG34" s="261"/>
      <c r="AH34" s="261"/>
    </row>
    <row r="35" ht="34.5" customHeight="1">
      <c r="A35" s="283" t="s">
        <v>23213</v>
      </c>
      <c r="B35" s="111" t="s">
        <v>23214</v>
      </c>
      <c r="C35" s="111" t="s">
        <v>7977</v>
      </c>
      <c r="D35" s="111" t="s">
        <v>23215</v>
      </c>
      <c r="E35" s="111"/>
      <c r="F35" s="111" t="s">
        <v>19</v>
      </c>
      <c r="G35" s="257" t="s">
        <v>19</v>
      </c>
      <c r="H35" s="111"/>
      <c r="I35" s="111" t="s">
        <v>22185</v>
      </c>
      <c r="J35" s="111" t="s">
        <v>12397</v>
      </c>
      <c r="K35" s="111"/>
      <c r="L35" s="111" t="s">
        <v>690</v>
      </c>
      <c r="M35" s="128" t="s">
        <v>19</v>
      </c>
      <c r="N35" s="124"/>
      <c r="O35" s="146"/>
      <c r="P35" s="124"/>
      <c r="Q35" s="124"/>
      <c r="R35" s="124"/>
      <c r="S35" s="124"/>
      <c r="T35" s="124"/>
      <c r="U35" s="124"/>
      <c r="V35" s="125"/>
      <c r="W35" s="126"/>
      <c r="X35" s="126"/>
      <c r="Y35" s="126"/>
      <c r="Z35" s="284" t="s">
        <v>22189</v>
      </c>
      <c r="AA35" s="285"/>
      <c r="AB35" s="285"/>
      <c r="AC35" s="285"/>
      <c r="AD35" s="285" t="s">
        <v>23216</v>
      </c>
      <c r="AE35" s="261"/>
      <c r="AF35" s="261"/>
      <c r="AG35" s="261"/>
      <c r="AH35" s="261"/>
    </row>
    <row r="36" ht="34.5" customHeight="1">
      <c r="A36" s="283" t="s">
        <v>23217</v>
      </c>
      <c r="B36" s="111" t="s">
        <v>23218</v>
      </c>
      <c r="C36" s="111" t="s">
        <v>8011</v>
      </c>
      <c r="D36" s="111" t="s">
        <v>22298</v>
      </c>
      <c r="E36" s="111"/>
      <c r="F36" s="111">
        <v>2030.0</v>
      </c>
      <c r="G36" s="257">
        <v>2030.0</v>
      </c>
      <c r="H36" s="111"/>
      <c r="I36" s="111" t="s">
        <v>22185</v>
      </c>
      <c r="J36" s="111" t="s">
        <v>12397</v>
      </c>
      <c r="K36" s="111"/>
      <c r="L36" s="111" t="s">
        <v>690</v>
      </c>
      <c r="M36" s="124" t="s">
        <v>23219</v>
      </c>
      <c r="N36" s="126">
        <v>250.0</v>
      </c>
      <c r="O36" s="286">
        <v>6.0</v>
      </c>
      <c r="P36" s="124">
        <v>0.18000000000000002</v>
      </c>
      <c r="Q36" s="126">
        <v>250.0</v>
      </c>
      <c r="R36" s="111">
        <v>6.0</v>
      </c>
      <c r="S36" s="124">
        <v>0.18000000000000002</v>
      </c>
      <c r="T36" s="125">
        <v>168.53932584269663</v>
      </c>
      <c r="U36" s="129">
        <v>1.7999999999999998</v>
      </c>
      <c r="V36" s="125">
        <v>500.0</v>
      </c>
      <c r="W36" s="125">
        <v>15.0</v>
      </c>
      <c r="X36" s="125"/>
      <c r="Y36" s="125"/>
      <c r="Z36" s="284" t="s">
        <v>22189</v>
      </c>
      <c r="AA36" s="284" t="s">
        <v>22189</v>
      </c>
      <c r="AB36" s="285"/>
      <c r="AC36" s="285"/>
      <c r="AD36" s="285" t="s">
        <v>23220</v>
      </c>
      <c r="AE36" s="261"/>
      <c r="AF36" s="261"/>
      <c r="AG36" s="261"/>
      <c r="AH36" s="261"/>
    </row>
    <row r="37" ht="34.5" customHeight="1">
      <c r="A37" s="283" t="s">
        <v>23221</v>
      </c>
      <c r="B37" s="111" t="s">
        <v>23222</v>
      </c>
      <c r="C37" s="111" t="s">
        <v>8011</v>
      </c>
      <c r="D37" s="111" t="s">
        <v>23223</v>
      </c>
      <c r="E37" s="111"/>
      <c r="F37" s="111">
        <v>2026.0</v>
      </c>
      <c r="G37" s="257">
        <v>2026.0</v>
      </c>
      <c r="H37" s="111"/>
      <c r="I37" s="111" t="s">
        <v>22185</v>
      </c>
      <c r="J37" s="111" t="s">
        <v>12397</v>
      </c>
      <c r="K37" s="111" t="s">
        <v>12418</v>
      </c>
      <c r="L37" s="111" t="s">
        <v>690</v>
      </c>
      <c r="M37" s="128" t="s">
        <v>23224</v>
      </c>
      <c r="N37" s="124"/>
      <c r="O37" s="146"/>
      <c r="P37" s="124"/>
      <c r="Q37" s="124"/>
      <c r="R37" s="124"/>
      <c r="S37" s="124"/>
      <c r="T37" s="124"/>
      <c r="U37" s="124"/>
      <c r="V37" s="125"/>
      <c r="W37" s="126"/>
      <c r="X37" s="126"/>
      <c r="Y37" s="126"/>
      <c r="Z37" s="284" t="s">
        <v>22189</v>
      </c>
      <c r="AA37" s="284" t="s">
        <v>22189</v>
      </c>
      <c r="AB37" s="285"/>
      <c r="AC37" s="285"/>
      <c r="AD37" s="285" t="s">
        <v>23225</v>
      </c>
      <c r="AE37" s="261"/>
      <c r="AF37" s="261"/>
      <c r="AG37" s="261"/>
      <c r="AH37" s="261"/>
    </row>
    <row r="38" ht="34.5" customHeight="1">
      <c r="A38" s="283" t="s">
        <v>23226</v>
      </c>
      <c r="B38" s="111" t="s">
        <v>9051</v>
      </c>
      <c r="C38" s="111" t="s">
        <v>8011</v>
      </c>
      <c r="D38" s="111" t="s">
        <v>23227</v>
      </c>
      <c r="E38" s="111"/>
      <c r="F38" s="111" t="s">
        <v>23228</v>
      </c>
      <c r="G38" s="257" t="s">
        <v>23228</v>
      </c>
      <c r="H38" s="111"/>
      <c r="I38" s="111" t="s">
        <v>22185</v>
      </c>
      <c r="J38" s="111" t="s">
        <v>18192</v>
      </c>
      <c r="K38" s="111"/>
      <c r="L38" s="111" t="s">
        <v>23210</v>
      </c>
      <c r="M38" s="128" t="s">
        <v>19</v>
      </c>
      <c r="N38" s="124"/>
      <c r="O38" s="146"/>
      <c r="P38" s="124"/>
      <c r="Q38" s="124"/>
      <c r="R38" s="124"/>
      <c r="S38" s="124"/>
      <c r="T38" s="124"/>
      <c r="U38" s="124"/>
      <c r="V38" s="125"/>
      <c r="W38" s="126"/>
      <c r="X38" s="126"/>
      <c r="Y38" s="126"/>
      <c r="Z38" s="284" t="s">
        <v>23090</v>
      </c>
      <c r="AA38" s="284" t="s">
        <v>22189</v>
      </c>
      <c r="AB38" s="285"/>
      <c r="AC38" s="285"/>
      <c r="AD38" s="285" t="s">
        <v>23229</v>
      </c>
      <c r="AE38" s="261"/>
      <c r="AF38" s="261"/>
      <c r="AG38" s="261"/>
      <c r="AH38" s="261"/>
    </row>
    <row r="39" ht="34.5" customHeight="1">
      <c r="A39" s="283" t="s">
        <v>23230</v>
      </c>
      <c r="B39" s="111" t="s">
        <v>23231</v>
      </c>
      <c r="C39" s="111" t="s">
        <v>8047</v>
      </c>
      <c r="D39" s="111" t="s">
        <v>23232</v>
      </c>
      <c r="E39" s="111"/>
      <c r="F39" s="111" t="s">
        <v>19</v>
      </c>
      <c r="G39" s="257" t="s">
        <v>19</v>
      </c>
      <c r="H39" s="111"/>
      <c r="I39" s="111" t="s">
        <v>23180</v>
      </c>
      <c r="J39" s="111" t="s">
        <v>12397</v>
      </c>
      <c r="K39" s="111"/>
      <c r="L39" s="111" t="s">
        <v>698</v>
      </c>
      <c r="M39" s="128" t="s">
        <v>19</v>
      </c>
      <c r="N39" s="124"/>
      <c r="O39" s="146"/>
      <c r="P39" s="124"/>
      <c r="Q39" s="124"/>
      <c r="R39" s="124"/>
      <c r="S39" s="124"/>
      <c r="T39" s="124"/>
      <c r="U39" s="124"/>
      <c r="V39" s="125"/>
      <c r="W39" s="126"/>
      <c r="X39" s="126"/>
      <c r="Y39" s="126"/>
      <c r="Z39" s="288" t="s">
        <v>22189</v>
      </c>
      <c r="AA39" s="262" t="s">
        <v>23090</v>
      </c>
      <c r="AB39" s="127"/>
      <c r="AC39" s="285"/>
      <c r="AD39" s="285"/>
      <c r="AE39" s="261"/>
      <c r="AF39" s="261"/>
      <c r="AG39" s="261"/>
      <c r="AH39" s="261"/>
    </row>
    <row r="40" ht="15.75" hidden="1" customHeight="1">
      <c r="A40" s="283" t="s">
        <v>23233</v>
      </c>
      <c r="B40" s="111" t="s">
        <v>23234</v>
      </c>
      <c r="C40" s="111" t="s">
        <v>7991</v>
      </c>
      <c r="D40" s="111" t="s">
        <v>23235</v>
      </c>
      <c r="E40" s="111"/>
      <c r="F40" s="111">
        <v>2030.0</v>
      </c>
      <c r="G40" s="257">
        <v>2030.0</v>
      </c>
      <c r="H40" s="111"/>
      <c r="I40" s="111" t="s">
        <v>22185</v>
      </c>
      <c r="J40" s="111" t="s">
        <v>12399</v>
      </c>
      <c r="K40" s="111"/>
      <c r="L40" s="111" t="s">
        <v>690</v>
      </c>
      <c r="M40" s="128" t="s">
        <v>23236</v>
      </c>
      <c r="N40" s="124">
        <v>2100.0</v>
      </c>
      <c r="O40" s="125">
        <v>50.4</v>
      </c>
      <c r="P40" s="126">
        <v>1.512</v>
      </c>
      <c r="Q40" s="124">
        <v>6300.0</v>
      </c>
      <c r="R40" s="125">
        <v>151.2</v>
      </c>
      <c r="S40" s="126">
        <v>4.536</v>
      </c>
      <c r="T40" s="125">
        <v>92.25310467179185</v>
      </c>
      <c r="U40" s="129">
        <v>0.9852631578947368</v>
      </c>
      <c r="V40" s="125">
        <v>273.6842105263158</v>
      </c>
      <c r="W40" s="125">
        <v>8.210526315789474</v>
      </c>
      <c r="X40" s="126"/>
      <c r="Y40" s="126" t="s">
        <v>23237</v>
      </c>
      <c r="Z40" s="284" t="s">
        <v>22189</v>
      </c>
      <c r="AA40" s="284" t="s">
        <v>22189</v>
      </c>
      <c r="AB40" s="284"/>
      <c r="AC40" s="285"/>
      <c r="AD40" s="285"/>
      <c r="AE40" s="261"/>
      <c r="AF40" s="261"/>
      <c r="AG40" s="261"/>
      <c r="AH40" s="261"/>
    </row>
    <row r="41" ht="34.5" customHeight="1">
      <c r="A41" s="283" t="s">
        <v>23238</v>
      </c>
      <c r="B41" s="111" t="s">
        <v>23239</v>
      </c>
      <c r="C41" s="111" t="s">
        <v>7991</v>
      </c>
      <c r="D41" s="111" t="s">
        <v>23235</v>
      </c>
      <c r="E41" s="111"/>
      <c r="F41" s="111">
        <v>2050.0</v>
      </c>
      <c r="G41" s="257">
        <v>2050.0</v>
      </c>
      <c r="H41" s="111"/>
      <c r="I41" s="111" t="s">
        <v>22185</v>
      </c>
      <c r="J41" s="111" t="s">
        <v>12399</v>
      </c>
      <c r="K41" s="111"/>
      <c r="L41" s="111" t="s">
        <v>690</v>
      </c>
      <c r="M41" s="128" t="s">
        <v>23236</v>
      </c>
      <c r="N41" s="124">
        <v>2100.0</v>
      </c>
      <c r="O41" s="125">
        <v>50.4</v>
      </c>
      <c r="P41" s="126">
        <v>1.512</v>
      </c>
      <c r="Q41" s="124">
        <v>6300.0</v>
      </c>
      <c r="R41" s="125">
        <v>151.2</v>
      </c>
      <c r="S41" s="126">
        <v>4.536</v>
      </c>
      <c r="T41" s="125">
        <v>345.9491425192194</v>
      </c>
      <c r="U41" s="129">
        <v>3.6947368421052627</v>
      </c>
      <c r="V41" s="125">
        <v>1026.3157894736842</v>
      </c>
      <c r="W41" s="125">
        <v>30.789473684210524</v>
      </c>
      <c r="X41" s="126"/>
      <c r="Y41" s="126" t="s">
        <v>23237</v>
      </c>
      <c r="Z41" s="284" t="s">
        <v>22189</v>
      </c>
      <c r="AA41" s="284" t="s">
        <v>22189</v>
      </c>
      <c r="AB41" s="284"/>
      <c r="AC41" s="285"/>
      <c r="AD41" s="285" t="s">
        <v>23240</v>
      </c>
      <c r="AE41" s="261"/>
      <c r="AF41" s="261"/>
      <c r="AG41" s="261"/>
      <c r="AH41" s="261"/>
    </row>
    <row r="42" ht="34.5" customHeight="1">
      <c r="A42" s="283" t="s">
        <v>23241</v>
      </c>
      <c r="B42" s="111" t="s">
        <v>23242</v>
      </c>
      <c r="C42" s="111" t="s">
        <v>7991</v>
      </c>
      <c r="D42" s="111" t="s">
        <v>23243</v>
      </c>
      <c r="E42" s="111"/>
      <c r="F42" s="111">
        <v>2030.0</v>
      </c>
      <c r="G42" s="257">
        <v>2030.0</v>
      </c>
      <c r="H42" s="111"/>
      <c r="I42" s="111" t="s">
        <v>22185</v>
      </c>
      <c r="J42" s="111" t="s">
        <v>12399</v>
      </c>
      <c r="K42" s="111"/>
      <c r="L42" s="111" t="s">
        <v>690</v>
      </c>
      <c r="M42" s="128" t="s">
        <v>23244</v>
      </c>
      <c r="N42" s="125">
        <v>55.55555555555555</v>
      </c>
      <c r="O42" s="126">
        <v>1.3333333333333333</v>
      </c>
      <c r="P42" s="124">
        <v>0.04</v>
      </c>
      <c r="Q42" s="125">
        <v>55.55555555555555</v>
      </c>
      <c r="R42" s="126">
        <v>1.3333333333333333</v>
      </c>
      <c r="S42" s="124">
        <v>0.04</v>
      </c>
      <c r="T42" s="125">
        <v>12.359550561797754</v>
      </c>
      <c r="U42" s="129">
        <v>0.132</v>
      </c>
      <c r="V42" s="146">
        <v>36.666666666666664</v>
      </c>
      <c r="W42" s="126">
        <v>1.1</v>
      </c>
      <c r="X42" s="126"/>
      <c r="Y42" s="126"/>
      <c r="Z42" s="284" t="s">
        <v>22189</v>
      </c>
      <c r="AA42" s="285"/>
      <c r="AB42" s="285"/>
      <c r="AC42" s="285"/>
      <c r="AD42" s="285" t="s">
        <v>23245</v>
      </c>
      <c r="AE42" s="261"/>
      <c r="AF42" s="261"/>
      <c r="AG42" s="261"/>
      <c r="AH42" s="261"/>
    </row>
    <row r="43" ht="34.5" customHeight="1">
      <c r="A43" s="283" t="s">
        <v>23246</v>
      </c>
      <c r="B43" s="111" t="s">
        <v>23247</v>
      </c>
      <c r="C43" s="111" t="s">
        <v>7987</v>
      </c>
      <c r="D43" s="111" t="s">
        <v>23248</v>
      </c>
      <c r="E43" s="111"/>
      <c r="F43" s="111">
        <v>2024.0</v>
      </c>
      <c r="G43" s="257">
        <v>2024.0</v>
      </c>
      <c r="H43" s="111"/>
      <c r="I43" s="111" t="s">
        <v>22198</v>
      </c>
      <c r="J43" s="111" t="s">
        <v>12399</v>
      </c>
      <c r="K43" s="111"/>
      <c r="L43" s="111" t="s">
        <v>690</v>
      </c>
      <c r="M43" s="111" t="s">
        <v>23249</v>
      </c>
      <c r="N43" s="111"/>
      <c r="O43" s="286"/>
      <c r="P43" s="111"/>
      <c r="Q43" s="111"/>
      <c r="R43" s="111"/>
      <c r="S43" s="111"/>
      <c r="T43" s="125">
        <v>76.60878447395302</v>
      </c>
      <c r="U43" s="129">
        <v>0.8181818181818181</v>
      </c>
      <c r="V43" s="125">
        <v>227.27272727272728</v>
      </c>
      <c r="W43" s="125">
        <v>6.818181818181818</v>
      </c>
      <c r="X43" s="125"/>
      <c r="Y43" s="125"/>
      <c r="Z43" s="284" t="s">
        <v>22189</v>
      </c>
      <c r="AA43" s="284" t="s">
        <v>22189</v>
      </c>
      <c r="AB43" s="284" t="s">
        <v>23090</v>
      </c>
      <c r="AC43" s="285"/>
      <c r="AD43" s="285" t="s">
        <v>23250</v>
      </c>
      <c r="AE43" s="261"/>
      <c r="AF43" s="261"/>
      <c r="AG43" s="261"/>
      <c r="AH43" s="261"/>
    </row>
    <row r="44" ht="34.5" customHeight="1">
      <c r="A44" s="283" t="s">
        <v>23251</v>
      </c>
      <c r="B44" s="111" t="s">
        <v>23252</v>
      </c>
      <c r="C44" s="111" t="s">
        <v>7987</v>
      </c>
      <c r="D44" s="111" t="s">
        <v>23253</v>
      </c>
      <c r="E44" s="111"/>
      <c r="F44" s="111">
        <v>2025.0</v>
      </c>
      <c r="G44" s="257">
        <v>2027.0</v>
      </c>
      <c r="H44" s="111"/>
      <c r="I44" s="111" t="s">
        <v>22185</v>
      </c>
      <c r="J44" s="111" t="s">
        <v>18630</v>
      </c>
      <c r="K44" s="111"/>
      <c r="L44" s="111" t="s">
        <v>690</v>
      </c>
      <c r="M44" s="128" t="s">
        <v>23254</v>
      </c>
      <c r="N44" s="124"/>
      <c r="O44" s="146"/>
      <c r="P44" s="124"/>
      <c r="Q44" s="124"/>
      <c r="R44" s="124"/>
      <c r="S44" s="124"/>
      <c r="T44" s="124">
        <v>50.0</v>
      </c>
      <c r="U44" s="126">
        <v>0.534</v>
      </c>
      <c r="V44" s="125">
        <v>148.33333333333334</v>
      </c>
      <c r="W44" s="126">
        <v>4.45</v>
      </c>
      <c r="X44" s="126"/>
      <c r="Y44" s="126" t="s">
        <v>23255</v>
      </c>
      <c r="Z44" s="284" t="s">
        <v>22189</v>
      </c>
      <c r="AA44" s="284" t="s">
        <v>22189</v>
      </c>
      <c r="AB44" s="285"/>
      <c r="AC44" s="285"/>
      <c r="AD44" s="285" t="s">
        <v>23256</v>
      </c>
      <c r="AE44" s="261"/>
      <c r="AF44" s="261"/>
      <c r="AG44" s="261"/>
      <c r="AH44" s="261"/>
    </row>
    <row r="45" ht="34.5" customHeight="1">
      <c r="A45" s="283" t="s">
        <v>23257</v>
      </c>
      <c r="B45" s="111" t="s">
        <v>23258</v>
      </c>
      <c r="C45" s="111" t="s">
        <v>7987</v>
      </c>
      <c r="D45" s="111" t="s">
        <v>23259</v>
      </c>
      <c r="E45" s="111"/>
      <c r="F45" s="111">
        <v>2024.0</v>
      </c>
      <c r="G45" s="257">
        <v>2024.0</v>
      </c>
      <c r="H45" s="111"/>
      <c r="I45" s="111" t="s">
        <v>22203</v>
      </c>
      <c r="J45" s="111" t="s">
        <v>18638</v>
      </c>
      <c r="K45" s="111" t="s">
        <v>12418</v>
      </c>
      <c r="L45" s="111" t="s">
        <v>690</v>
      </c>
      <c r="M45" s="128" t="s">
        <v>19</v>
      </c>
      <c r="N45" s="124"/>
      <c r="O45" s="146"/>
      <c r="P45" s="124"/>
      <c r="Q45" s="124"/>
      <c r="R45" s="124"/>
      <c r="S45" s="124"/>
      <c r="T45" s="124"/>
      <c r="U45" s="124"/>
      <c r="V45" s="125"/>
      <c r="W45" s="126"/>
      <c r="X45" s="126"/>
      <c r="Y45" s="125" t="s">
        <v>23260</v>
      </c>
      <c r="Z45" s="284" t="s">
        <v>22189</v>
      </c>
      <c r="AA45" s="284" t="s">
        <v>22189</v>
      </c>
      <c r="AB45" s="284" t="s">
        <v>23090</v>
      </c>
      <c r="AC45" s="284" t="s">
        <v>22189</v>
      </c>
      <c r="AD45" s="285"/>
      <c r="AE45" s="261"/>
      <c r="AF45" s="261"/>
      <c r="AG45" s="261"/>
      <c r="AH45" s="261"/>
    </row>
    <row r="46" ht="34.5" customHeight="1">
      <c r="A46" s="283" t="s">
        <v>23261</v>
      </c>
      <c r="B46" s="111" t="s">
        <v>23262</v>
      </c>
      <c r="C46" s="111" t="s">
        <v>7987</v>
      </c>
      <c r="D46" s="111" t="s">
        <v>23263</v>
      </c>
      <c r="E46" s="111"/>
      <c r="F46" s="111" t="s">
        <v>19</v>
      </c>
      <c r="G46" s="257" t="s">
        <v>19</v>
      </c>
      <c r="H46" s="111"/>
      <c r="I46" s="111" t="s">
        <v>22198</v>
      </c>
      <c r="J46" s="111" t="s">
        <v>12397</v>
      </c>
      <c r="K46" s="111"/>
      <c r="L46" s="111" t="s">
        <v>690</v>
      </c>
      <c r="M46" s="128" t="s">
        <v>23264</v>
      </c>
      <c r="N46" s="124"/>
      <c r="O46" s="146"/>
      <c r="P46" s="124"/>
      <c r="Q46" s="124"/>
      <c r="R46" s="124"/>
      <c r="S46" s="124"/>
      <c r="T46" s="125">
        <v>573.9626948902877</v>
      </c>
      <c r="U46" s="146">
        <v>6.129921581428272</v>
      </c>
      <c r="V46" s="146">
        <v>1702.7559948411867</v>
      </c>
      <c r="W46" s="146">
        <v>51.0826798452356</v>
      </c>
      <c r="X46" s="126"/>
      <c r="Y46" s="125"/>
      <c r="Z46" s="284" t="s">
        <v>22189</v>
      </c>
      <c r="AA46" s="284" t="s">
        <v>22189</v>
      </c>
      <c r="AB46" s="285"/>
      <c r="AC46" s="285"/>
      <c r="AD46" s="285"/>
      <c r="AE46" s="261"/>
      <c r="AF46" s="261"/>
      <c r="AG46" s="261"/>
      <c r="AH46" s="261"/>
    </row>
    <row r="47" ht="34.5" customHeight="1">
      <c r="A47" s="283" t="s">
        <v>23265</v>
      </c>
      <c r="B47" s="111" t="s">
        <v>23266</v>
      </c>
      <c r="C47" s="111" t="s">
        <v>8620</v>
      </c>
      <c r="D47" s="111"/>
      <c r="E47" s="111"/>
      <c r="F47" s="111" t="s">
        <v>19</v>
      </c>
      <c r="G47" s="257" t="s">
        <v>19</v>
      </c>
      <c r="H47" s="111"/>
      <c r="I47" s="111" t="s">
        <v>23180</v>
      </c>
      <c r="J47" s="111" t="s">
        <v>12397</v>
      </c>
      <c r="K47" s="111"/>
      <c r="L47" s="111" t="s">
        <v>698</v>
      </c>
      <c r="M47" s="128" t="s">
        <v>19</v>
      </c>
      <c r="N47" s="124"/>
      <c r="O47" s="146"/>
      <c r="P47" s="124"/>
      <c r="Q47" s="124"/>
      <c r="R47" s="124"/>
      <c r="S47" s="124"/>
      <c r="T47" s="124"/>
      <c r="U47" s="124"/>
      <c r="V47" s="125"/>
      <c r="W47" s="126"/>
      <c r="X47" s="126"/>
      <c r="Y47" s="126"/>
      <c r="Z47" s="285"/>
      <c r="AA47" s="285"/>
      <c r="AB47" s="285"/>
      <c r="AC47" s="285"/>
      <c r="AD47" s="285"/>
      <c r="AE47" s="261"/>
      <c r="AF47" s="261"/>
      <c r="AG47" s="261"/>
      <c r="AH47" s="261"/>
    </row>
    <row r="48" ht="34.5" customHeight="1">
      <c r="A48" s="283" t="s">
        <v>23267</v>
      </c>
      <c r="B48" s="111" t="s">
        <v>232</v>
      </c>
      <c r="C48" s="111" t="s">
        <v>8591</v>
      </c>
      <c r="D48" s="111" t="s">
        <v>23268</v>
      </c>
      <c r="E48" s="111"/>
      <c r="F48" s="111">
        <v>2025.0</v>
      </c>
      <c r="G48" s="257">
        <v>2025.0</v>
      </c>
      <c r="H48" s="111"/>
      <c r="I48" s="111" t="s">
        <v>23180</v>
      </c>
      <c r="J48" s="111" t="s">
        <v>18638</v>
      </c>
      <c r="K48" s="111"/>
      <c r="L48" s="111" t="s">
        <v>698</v>
      </c>
      <c r="M48" s="128" t="s">
        <v>19</v>
      </c>
      <c r="N48" s="124"/>
      <c r="O48" s="146"/>
      <c r="P48" s="124"/>
      <c r="Q48" s="124"/>
      <c r="R48" s="124"/>
      <c r="S48" s="124"/>
      <c r="T48" s="124"/>
      <c r="U48" s="124"/>
      <c r="V48" s="125"/>
      <c r="W48" s="126"/>
      <c r="X48" s="126"/>
      <c r="Y48" s="126"/>
      <c r="Z48" s="262" t="s">
        <v>22189</v>
      </c>
      <c r="AA48" s="127"/>
      <c r="AB48" s="127"/>
      <c r="AC48" s="127"/>
      <c r="AD48" s="285"/>
      <c r="AE48" s="261"/>
      <c r="AF48" s="261"/>
      <c r="AG48" s="261"/>
      <c r="AH48" s="261"/>
    </row>
    <row r="49" ht="34.5" customHeight="1">
      <c r="A49" s="283" t="s">
        <v>23269</v>
      </c>
      <c r="B49" s="111" t="s">
        <v>8927</v>
      </c>
      <c r="C49" s="111" t="s">
        <v>7981</v>
      </c>
      <c r="D49" s="111" t="s">
        <v>23270</v>
      </c>
      <c r="E49" s="111"/>
      <c r="F49" s="111" t="s">
        <v>19</v>
      </c>
      <c r="G49" s="257" t="s">
        <v>19</v>
      </c>
      <c r="H49" s="111"/>
      <c r="I49" s="111" t="s">
        <v>22185</v>
      </c>
      <c r="J49" s="111" t="s">
        <v>12397</v>
      </c>
      <c r="K49" s="111"/>
      <c r="L49" s="111" t="s">
        <v>690</v>
      </c>
      <c r="M49" s="111" t="s">
        <v>23271</v>
      </c>
      <c r="N49" s="111"/>
      <c r="O49" s="286"/>
      <c r="P49" s="111"/>
      <c r="Q49" s="111"/>
      <c r="R49" s="111"/>
      <c r="S49" s="111"/>
      <c r="T49" s="125">
        <v>337.07865168539325</v>
      </c>
      <c r="U49" s="129">
        <v>3.5999999999999996</v>
      </c>
      <c r="V49" s="146">
        <v>1000.0</v>
      </c>
      <c r="W49" s="125">
        <v>30.0</v>
      </c>
      <c r="X49" s="125"/>
      <c r="Y49" s="125"/>
      <c r="Z49" s="262" t="s">
        <v>22189</v>
      </c>
      <c r="AA49" s="127"/>
      <c r="AB49" s="127"/>
      <c r="AC49" s="127"/>
      <c r="AD49" s="285" t="s">
        <v>23272</v>
      </c>
      <c r="AE49" s="261"/>
      <c r="AF49" s="261"/>
      <c r="AG49" s="261"/>
      <c r="AH49" s="261"/>
    </row>
    <row r="50" ht="34.5" customHeight="1">
      <c r="A50" s="283" t="s">
        <v>23273</v>
      </c>
      <c r="B50" s="111" t="s">
        <v>23274</v>
      </c>
      <c r="C50" s="111" t="s">
        <v>7981</v>
      </c>
      <c r="D50" s="111" t="s">
        <v>22515</v>
      </c>
      <c r="E50" s="111"/>
      <c r="F50" s="111">
        <v>2026.0</v>
      </c>
      <c r="G50" s="257">
        <v>2026.0</v>
      </c>
      <c r="H50" s="111"/>
      <c r="I50" s="111" t="s">
        <v>22185</v>
      </c>
      <c r="J50" s="111" t="s">
        <v>12397</v>
      </c>
      <c r="K50" s="111"/>
      <c r="L50" s="111" t="s">
        <v>690</v>
      </c>
      <c r="M50" s="128" t="s">
        <v>23275</v>
      </c>
      <c r="N50" s="124"/>
      <c r="O50" s="146"/>
      <c r="P50" s="124"/>
      <c r="Q50" s="124"/>
      <c r="R50" s="124"/>
      <c r="S50" s="124"/>
      <c r="T50" s="124"/>
      <c r="U50" s="124"/>
      <c r="V50" s="125"/>
      <c r="W50" s="126"/>
      <c r="X50" s="126"/>
      <c r="Y50" s="126"/>
      <c r="Z50" s="262" t="s">
        <v>22189</v>
      </c>
      <c r="AA50" s="262" t="s">
        <v>22189</v>
      </c>
      <c r="AB50" s="127"/>
      <c r="AC50" s="127"/>
      <c r="AD50" s="285" t="s">
        <v>23276</v>
      </c>
      <c r="AE50" s="261"/>
      <c r="AF50" s="261"/>
      <c r="AG50" s="261"/>
      <c r="AH50" s="261"/>
    </row>
    <row r="51" ht="34.5" customHeight="1">
      <c r="A51" s="283" t="s">
        <v>23277</v>
      </c>
      <c r="B51" s="111" t="s">
        <v>23278</v>
      </c>
      <c r="C51" s="111" t="s">
        <v>7981</v>
      </c>
      <c r="D51" s="111" t="s">
        <v>22515</v>
      </c>
      <c r="E51" s="111"/>
      <c r="F51" s="111" t="s">
        <v>19</v>
      </c>
      <c r="G51" s="257" t="s">
        <v>19</v>
      </c>
      <c r="H51" s="111"/>
      <c r="I51" s="111" t="s">
        <v>22185</v>
      </c>
      <c r="J51" s="111" t="s">
        <v>12397</v>
      </c>
      <c r="K51" s="111"/>
      <c r="L51" s="111" t="s">
        <v>690</v>
      </c>
      <c r="M51" s="128" t="s">
        <v>23279</v>
      </c>
      <c r="N51" s="124"/>
      <c r="O51" s="146"/>
      <c r="P51" s="124"/>
      <c r="Q51" s="124"/>
      <c r="R51" s="124"/>
      <c r="S51" s="124"/>
      <c r="T51" s="124"/>
      <c r="U51" s="124"/>
      <c r="V51" s="125"/>
      <c r="W51" s="126"/>
      <c r="X51" s="126"/>
      <c r="Y51" s="126"/>
      <c r="Z51" s="262" t="s">
        <v>22189</v>
      </c>
      <c r="AA51" s="262" t="s">
        <v>22189</v>
      </c>
      <c r="AB51" s="127"/>
      <c r="AC51" s="127"/>
      <c r="AD51" s="285" t="s">
        <v>23276</v>
      </c>
      <c r="AE51" s="261"/>
      <c r="AF51" s="261"/>
      <c r="AG51" s="261"/>
      <c r="AH51" s="261"/>
    </row>
    <row r="52" ht="34.5" customHeight="1">
      <c r="A52" s="283" t="s">
        <v>23280</v>
      </c>
      <c r="B52" s="111" t="s">
        <v>22550</v>
      </c>
      <c r="C52" s="111" t="s">
        <v>7991</v>
      </c>
      <c r="D52" s="111" t="s">
        <v>22551</v>
      </c>
      <c r="E52" s="111"/>
      <c r="F52" s="111" t="s">
        <v>19</v>
      </c>
      <c r="G52" s="257" t="s">
        <v>19</v>
      </c>
      <c r="H52" s="111"/>
      <c r="I52" s="111" t="s">
        <v>22552</v>
      </c>
      <c r="J52" s="111" t="s">
        <v>12397</v>
      </c>
      <c r="K52" s="111"/>
      <c r="L52" s="111" t="s">
        <v>690</v>
      </c>
      <c r="M52" s="128" t="s">
        <v>23281</v>
      </c>
      <c r="N52" s="124"/>
      <c r="O52" s="146"/>
      <c r="P52" s="124"/>
      <c r="Q52" s="124"/>
      <c r="R52" s="124"/>
      <c r="S52" s="124"/>
      <c r="T52" s="124">
        <v>1200.0</v>
      </c>
      <c r="U52" s="146">
        <v>12.815999999999999</v>
      </c>
      <c r="V52" s="146">
        <v>3559.9999999999995</v>
      </c>
      <c r="W52" s="146">
        <v>106.8</v>
      </c>
      <c r="X52" s="126"/>
      <c r="Y52" s="126"/>
      <c r="Z52" s="262" t="s">
        <v>22189</v>
      </c>
      <c r="AA52" s="127"/>
      <c r="AB52" s="127"/>
      <c r="AC52" s="127"/>
      <c r="AD52" s="285" t="s">
        <v>23282</v>
      </c>
      <c r="AE52" s="261"/>
      <c r="AF52" s="261"/>
      <c r="AG52" s="261"/>
      <c r="AH52" s="261"/>
    </row>
    <row r="53" ht="34.5" customHeight="1">
      <c r="A53" s="283" t="s">
        <v>23283</v>
      </c>
      <c r="B53" s="111" t="s">
        <v>23284</v>
      </c>
      <c r="C53" s="111" t="s">
        <v>7987</v>
      </c>
      <c r="D53" s="111" t="s">
        <v>23263</v>
      </c>
      <c r="E53" s="111"/>
      <c r="F53" s="111" t="s">
        <v>19</v>
      </c>
      <c r="G53" s="257" t="s">
        <v>19</v>
      </c>
      <c r="H53" s="111"/>
      <c r="I53" s="111" t="s">
        <v>22198</v>
      </c>
      <c r="J53" s="111" t="s">
        <v>12397</v>
      </c>
      <c r="K53" s="111"/>
      <c r="L53" s="111" t="s">
        <v>698</v>
      </c>
      <c r="M53" s="128" t="s">
        <v>23285</v>
      </c>
      <c r="N53" s="124"/>
      <c r="O53" s="146"/>
      <c r="P53" s="124"/>
      <c r="Q53" s="124"/>
      <c r="R53" s="124"/>
      <c r="S53" s="124"/>
      <c r="T53" s="125">
        <v>3614.494382022472</v>
      </c>
      <c r="U53" s="124">
        <v>38.602799999999995</v>
      </c>
      <c r="V53" s="125">
        <v>10723.0</v>
      </c>
      <c r="W53" s="126">
        <v>321.69</v>
      </c>
      <c r="X53" s="126"/>
      <c r="Y53" s="126"/>
      <c r="Z53" s="262" t="s">
        <v>22189</v>
      </c>
      <c r="AA53" s="127"/>
      <c r="AB53" s="127"/>
      <c r="AC53" s="127"/>
      <c r="AD53" s="285" t="s">
        <v>23284</v>
      </c>
      <c r="AE53" s="261"/>
      <c r="AF53" s="261"/>
      <c r="AG53" s="261"/>
      <c r="AH53" s="261"/>
    </row>
    <row r="54" ht="34.5" customHeight="1">
      <c r="A54" s="283" t="s">
        <v>23286</v>
      </c>
      <c r="B54" s="111" t="s">
        <v>23287</v>
      </c>
      <c r="C54" s="111" t="s">
        <v>8003</v>
      </c>
      <c r="D54" s="111" t="s">
        <v>23288</v>
      </c>
      <c r="E54" s="111"/>
      <c r="F54" s="111" t="s">
        <v>19</v>
      </c>
      <c r="G54" s="257" t="s">
        <v>19</v>
      </c>
      <c r="H54" s="111"/>
      <c r="I54" s="111" t="s">
        <v>22203</v>
      </c>
      <c r="J54" s="111" t="s">
        <v>12399</v>
      </c>
      <c r="K54" s="111"/>
      <c r="L54" s="111" t="s">
        <v>690</v>
      </c>
      <c r="M54" s="128" t="s">
        <v>19</v>
      </c>
      <c r="N54" s="124"/>
      <c r="O54" s="146"/>
      <c r="P54" s="124"/>
      <c r="Q54" s="124"/>
      <c r="R54" s="124"/>
      <c r="S54" s="124"/>
      <c r="T54" s="124"/>
      <c r="U54" s="124"/>
      <c r="V54" s="125"/>
      <c r="W54" s="126"/>
      <c r="X54" s="126"/>
      <c r="Y54" s="126"/>
      <c r="Z54" s="262" t="s">
        <v>22189</v>
      </c>
      <c r="AA54" s="127"/>
      <c r="AB54" s="127"/>
      <c r="AC54" s="127"/>
      <c r="AD54" s="285" t="s">
        <v>23289</v>
      </c>
      <c r="AE54" s="261"/>
      <c r="AF54" s="261"/>
      <c r="AG54" s="261"/>
      <c r="AH54" s="261"/>
    </row>
    <row r="55" ht="34.5" customHeight="1">
      <c r="A55" s="283" t="s">
        <v>23290</v>
      </c>
      <c r="B55" s="127" t="s">
        <v>23291</v>
      </c>
      <c r="C55" s="111" t="s">
        <v>8702</v>
      </c>
      <c r="D55" s="111" t="s">
        <v>23141</v>
      </c>
      <c r="E55" s="111"/>
      <c r="F55" s="111">
        <v>2030.0</v>
      </c>
      <c r="G55" s="257">
        <v>2030.0</v>
      </c>
      <c r="H55" s="111"/>
      <c r="I55" s="111"/>
      <c r="J55" s="111" t="s">
        <v>12397</v>
      </c>
      <c r="K55" s="111"/>
      <c r="L55" s="111"/>
      <c r="M55" s="128" t="s">
        <v>19</v>
      </c>
      <c r="N55" s="124"/>
      <c r="O55" s="146"/>
      <c r="P55" s="124"/>
      <c r="Q55" s="124"/>
      <c r="R55" s="124"/>
      <c r="S55" s="124"/>
      <c r="T55" s="124"/>
      <c r="U55" s="124"/>
      <c r="V55" s="125"/>
      <c r="W55" s="126"/>
      <c r="X55" s="126"/>
      <c r="Y55" s="126"/>
      <c r="Z55" s="262" t="s">
        <v>22189</v>
      </c>
      <c r="AA55" s="127"/>
      <c r="AB55" s="127"/>
      <c r="AC55" s="127"/>
      <c r="AD55" s="285" t="s">
        <v>23292</v>
      </c>
      <c r="AE55" s="261"/>
      <c r="AF55" s="261"/>
      <c r="AG55" s="261"/>
      <c r="AH55" s="261"/>
    </row>
    <row r="56" ht="45.0" customHeight="1">
      <c r="A56" s="283" t="s">
        <v>23293</v>
      </c>
      <c r="B56" s="127" t="s">
        <v>23294</v>
      </c>
      <c r="C56" s="111" t="s">
        <v>8702</v>
      </c>
      <c r="D56" s="111" t="s">
        <v>23141</v>
      </c>
      <c r="E56" s="111"/>
      <c r="F56" s="111" t="s">
        <v>19</v>
      </c>
      <c r="G56" s="257" t="s">
        <v>19</v>
      </c>
      <c r="H56" s="111"/>
      <c r="I56" s="111" t="s">
        <v>22185</v>
      </c>
      <c r="J56" s="111" t="s">
        <v>12397</v>
      </c>
      <c r="K56" s="111"/>
      <c r="L56" s="111" t="s">
        <v>690</v>
      </c>
      <c r="M56" s="128" t="s">
        <v>19</v>
      </c>
      <c r="N56" s="124"/>
      <c r="O56" s="146"/>
      <c r="P56" s="124"/>
      <c r="Q56" s="124"/>
      <c r="R56" s="124"/>
      <c r="S56" s="124"/>
      <c r="T56" s="124"/>
      <c r="U56" s="124"/>
      <c r="V56" s="125"/>
      <c r="W56" s="126"/>
      <c r="X56" s="126"/>
      <c r="Y56" s="126"/>
      <c r="Z56" s="262" t="s">
        <v>22189</v>
      </c>
      <c r="AA56" s="262" t="s">
        <v>22189</v>
      </c>
      <c r="AB56" s="127"/>
      <c r="AC56" s="127"/>
      <c r="AD56" s="285"/>
      <c r="AE56" s="261"/>
      <c r="AF56" s="261"/>
      <c r="AG56" s="261"/>
      <c r="AH56" s="261"/>
    </row>
    <row r="57" ht="34.5" customHeight="1">
      <c r="A57" s="283" t="s">
        <v>23295</v>
      </c>
      <c r="B57" s="111" t="s">
        <v>23296</v>
      </c>
      <c r="C57" s="111" t="s">
        <v>7977</v>
      </c>
      <c r="D57" s="111" t="s">
        <v>22273</v>
      </c>
      <c r="E57" s="111"/>
      <c r="F57" s="111">
        <v>2030.0</v>
      </c>
      <c r="G57" s="257">
        <v>2030.0</v>
      </c>
      <c r="H57" s="111"/>
      <c r="I57" s="111" t="s">
        <v>22185</v>
      </c>
      <c r="J57" s="111" t="s">
        <v>12399</v>
      </c>
      <c r="K57" s="111"/>
      <c r="L57" s="111" t="s">
        <v>690</v>
      </c>
      <c r="M57" s="128" t="s">
        <v>23297</v>
      </c>
      <c r="N57" s="124"/>
      <c r="O57" s="146"/>
      <c r="P57" s="124"/>
      <c r="Q57" s="124"/>
      <c r="R57" s="124"/>
      <c r="S57" s="124"/>
      <c r="T57" s="124">
        <v>1200.0</v>
      </c>
      <c r="U57" s="146">
        <v>1.206</v>
      </c>
      <c r="V57" s="125">
        <v>335.0</v>
      </c>
      <c r="W57" s="126">
        <v>10.05</v>
      </c>
      <c r="X57" s="126"/>
      <c r="Y57" s="263"/>
      <c r="Z57" s="262" t="s">
        <v>22189</v>
      </c>
      <c r="AA57" s="262" t="s">
        <v>22189</v>
      </c>
      <c r="AB57" s="127"/>
      <c r="AC57" s="127"/>
      <c r="AD57" s="285" t="s">
        <v>23298</v>
      </c>
      <c r="AE57" s="261"/>
      <c r="AF57" s="261"/>
      <c r="AG57" s="261"/>
      <c r="AH57" s="261"/>
    </row>
    <row r="58" ht="41.25" customHeight="1">
      <c r="A58" s="283" t="s">
        <v>23299</v>
      </c>
      <c r="B58" s="111" t="s">
        <v>23300</v>
      </c>
      <c r="C58" s="111" t="s">
        <v>7977</v>
      </c>
      <c r="D58" s="111" t="s">
        <v>22273</v>
      </c>
      <c r="E58" s="111"/>
      <c r="F58" s="111">
        <v>2040.0</v>
      </c>
      <c r="G58" s="257">
        <v>2040.0</v>
      </c>
      <c r="H58" s="111"/>
      <c r="I58" s="111" t="s">
        <v>22185</v>
      </c>
      <c r="J58" s="111" t="s">
        <v>12397</v>
      </c>
      <c r="K58" s="111"/>
      <c r="L58" s="111" t="s">
        <v>690</v>
      </c>
      <c r="M58" s="128" t="s">
        <v>23301</v>
      </c>
      <c r="N58" s="111"/>
      <c r="O58" s="286"/>
      <c r="P58" s="111"/>
      <c r="Q58" s="111"/>
      <c r="R58" s="111"/>
      <c r="S58" s="111"/>
      <c r="T58" s="125">
        <v>261.23595505617976</v>
      </c>
      <c r="U58" s="124">
        <v>2.79</v>
      </c>
      <c r="V58" s="125">
        <v>775.0</v>
      </c>
      <c r="W58" s="126">
        <v>23.25</v>
      </c>
      <c r="X58" s="125"/>
      <c r="Y58" s="258"/>
      <c r="Z58" s="262" t="s">
        <v>22189</v>
      </c>
      <c r="AA58" s="262" t="s">
        <v>22189</v>
      </c>
      <c r="AB58" s="127"/>
      <c r="AC58" s="127"/>
      <c r="AD58" s="285" t="s">
        <v>23298</v>
      </c>
      <c r="AE58" s="261"/>
      <c r="AF58" s="261"/>
      <c r="AG58" s="261"/>
      <c r="AH58" s="261"/>
    </row>
    <row r="59" ht="34.5" customHeight="1">
      <c r="A59" s="283" t="s">
        <v>23302</v>
      </c>
      <c r="B59" s="111" t="s">
        <v>23303</v>
      </c>
      <c r="C59" s="111" t="s">
        <v>7977</v>
      </c>
      <c r="D59" s="111" t="s">
        <v>22273</v>
      </c>
      <c r="E59" s="111"/>
      <c r="F59" s="111">
        <v>2030.0</v>
      </c>
      <c r="G59" s="257">
        <v>2030.0</v>
      </c>
      <c r="H59" s="111"/>
      <c r="I59" s="111" t="s">
        <v>22185</v>
      </c>
      <c r="J59" s="111" t="s">
        <v>12399</v>
      </c>
      <c r="K59" s="111"/>
      <c r="L59" s="111" t="s">
        <v>690</v>
      </c>
      <c r="M59" s="128" t="s">
        <v>23304</v>
      </c>
      <c r="N59" s="124"/>
      <c r="O59" s="146"/>
      <c r="P59" s="124"/>
      <c r="Q59" s="124"/>
      <c r="R59" s="124"/>
      <c r="S59" s="124"/>
      <c r="T59" s="124">
        <v>1200.0</v>
      </c>
      <c r="U59" s="146">
        <v>0.864</v>
      </c>
      <c r="V59" s="125">
        <v>240.0</v>
      </c>
      <c r="W59" s="126">
        <v>7.2</v>
      </c>
      <c r="X59" s="126"/>
      <c r="Y59" s="263"/>
      <c r="Z59" s="262" t="s">
        <v>22189</v>
      </c>
      <c r="AA59" s="262" t="s">
        <v>22189</v>
      </c>
      <c r="AB59" s="127"/>
      <c r="AC59" s="127"/>
      <c r="AD59" s="285" t="s">
        <v>23305</v>
      </c>
      <c r="AE59" s="261"/>
      <c r="AF59" s="261"/>
      <c r="AG59" s="261"/>
      <c r="AH59" s="261"/>
    </row>
    <row r="60" ht="34.5" customHeight="1">
      <c r="A60" s="283" t="s">
        <v>23306</v>
      </c>
      <c r="B60" s="111" t="s">
        <v>23307</v>
      </c>
      <c r="C60" s="111" t="s">
        <v>7977</v>
      </c>
      <c r="D60" s="111" t="s">
        <v>22273</v>
      </c>
      <c r="E60" s="111"/>
      <c r="F60" s="111">
        <v>2040.0</v>
      </c>
      <c r="G60" s="257">
        <v>2040.0</v>
      </c>
      <c r="H60" s="111"/>
      <c r="I60" s="111" t="s">
        <v>22185</v>
      </c>
      <c r="J60" s="111" t="s">
        <v>12397</v>
      </c>
      <c r="K60" s="111"/>
      <c r="L60" s="111" t="s">
        <v>690</v>
      </c>
      <c r="M60" s="128" t="s">
        <v>23308</v>
      </c>
      <c r="N60" s="124"/>
      <c r="O60" s="146"/>
      <c r="P60" s="124"/>
      <c r="Q60" s="124"/>
      <c r="R60" s="124"/>
      <c r="S60" s="124"/>
      <c r="T60" s="125">
        <v>192.80898876404498</v>
      </c>
      <c r="U60" s="124">
        <v>2.0592000000000006</v>
      </c>
      <c r="V60" s="125">
        <v>572.0</v>
      </c>
      <c r="W60" s="126">
        <v>17.160000000000004</v>
      </c>
      <c r="X60" s="126"/>
      <c r="Y60" s="126"/>
      <c r="Z60" s="262" t="s">
        <v>22189</v>
      </c>
      <c r="AA60" s="262" t="s">
        <v>22189</v>
      </c>
      <c r="AB60" s="127"/>
      <c r="AC60" s="127"/>
      <c r="AD60" s="285" t="s">
        <v>23305</v>
      </c>
      <c r="AE60" s="261"/>
      <c r="AF60" s="261"/>
      <c r="AG60" s="261"/>
      <c r="AH60" s="261"/>
    </row>
    <row r="61" ht="100.5" customHeight="1">
      <c r="A61" s="283" t="s">
        <v>23309</v>
      </c>
      <c r="B61" s="111" t="s">
        <v>23310</v>
      </c>
      <c r="C61" s="111" t="s">
        <v>8632</v>
      </c>
      <c r="D61" s="111" t="s">
        <v>23311</v>
      </c>
      <c r="E61" s="111"/>
      <c r="F61" s="111" t="s">
        <v>19</v>
      </c>
      <c r="G61" s="257" t="s">
        <v>19</v>
      </c>
      <c r="H61" s="111"/>
      <c r="I61" s="111" t="s">
        <v>22552</v>
      </c>
      <c r="J61" s="111" t="s">
        <v>12397</v>
      </c>
      <c r="K61" s="111"/>
      <c r="L61" s="111" t="s">
        <v>698</v>
      </c>
      <c r="M61" s="128" t="s">
        <v>23312</v>
      </c>
      <c r="N61" s="124"/>
      <c r="O61" s="146"/>
      <c r="P61" s="124"/>
      <c r="Q61" s="124"/>
      <c r="R61" s="124"/>
      <c r="S61" s="124"/>
      <c r="T61" s="125">
        <v>1052.6966292134832</v>
      </c>
      <c r="U61" s="124">
        <v>11.2428</v>
      </c>
      <c r="V61" s="125">
        <v>3123.0</v>
      </c>
      <c r="W61" s="126">
        <v>93.69000000000001</v>
      </c>
      <c r="X61" s="126"/>
      <c r="Y61" s="126"/>
      <c r="Z61" s="262" t="s">
        <v>22189</v>
      </c>
      <c r="AA61" s="127"/>
      <c r="AB61" s="127"/>
      <c r="AC61" s="127"/>
      <c r="AD61" s="285"/>
      <c r="AE61" s="261"/>
      <c r="AF61" s="261"/>
      <c r="AG61" s="261"/>
      <c r="AH61" s="261"/>
    </row>
    <row r="62" ht="34.5" customHeight="1">
      <c r="A62" s="283" t="s">
        <v>23313</v>
      </c>
      <c r="B62" s="111" t="s">
        <v>23314</v>
      </c>
      <c r="C62" s="111" t="s">
        <v>8117</v>
      </c>
      <c r="D62" s="111" t="s">
        <v>23315</v>
      </c>
      <c r="E62" s="111"/>
      <c r="F62" s="111" t="s">
        <v>19</v>
      </c>
      <c r="G62" s="257" t="s">
        <v>19</v>
      </c>
      <c r="H62" s="111"/>
      <c r="I62" s="111" t="s">
        <v>22552</v>
      </c>
      <c r="J62" s="111" t="s">
        <v>12397</v>
      </c>
      <c r="K62" s="111"/>
      <c r="L62" s="111" t="s">
        <v>698</v>
      </c>
      <c r="M62" s="128" t="s">
        <v>23316</v>
      </c>
      <c r="N62" s="124"/>
      <c r="O62" s="146"/>
      <c r="P62" s="124"/>
      <c r="Q62" s="124"/>
      <c r="R62" s="124"/>
      <c r="S62" s="124"/>
      <c r="T62" s="125"/>
      <c r="U62" s="126"/>
      <c r="V62" s="125"/>
      <c r="W62" s="126"/>
      <c r="X62" s="126"/>
      <c r="Y62" s="126"/>
      <c r="Z62" s="262" t="s">
        <v>22189</v>
      </c>
      <c r="AA62" s="262" t="s">
        <v>22189</v>
      </c>
      <c r="AB62" s="127"/>
      <c r="AC62" s="127"/>
      <c r="AD62" s="285" t="s">
        <v>23317</v>
      </c>
      <c r="AE62" s="261"/>
      <c r="AF62" s="261"/>
      <c r="AG62" s="261"/>
      <c r="AH62" s="261"/>
    </row>
    <row r="63" ht="34.5" customHeight="1">
      <c r="A63" s="283" t="s">
        <v>23318</v>
      </c>
      <c r="B63" s="111" t="s">
        <v>23319</v>
      </c>
      <c r="C63" s="111" t="s">
        <v>8649</v>
      </c>
      <c r="D63" s="111" t="s">
        <v>22462</v>
      </c>
      <c r="E63" s="111"/>
      <c r="F63" s="111">
        <v>2040.0</v>
      </c>
      <c r="G63" s="257">
        <v>2040.0</v>
      </c>
      <c r="H63" s="111"/>
      <c r="I63" s="111" t="s">
        <v>22185</v>
      </c>
      <c r="J63" s="111" t="s">
        <v>12397</v>
      </c>
      <c r="K63" s="111"/>
      <c r="L63" s="111" t="s">
        <v>23210</v>
      </c>
      <c r="M63" s="128" t="s">
        <v>19</v>
      </c>
      <c r="N63" s="124"/>
      <c r="O63" s="146"/>
      <c r="P63" s="124"/>
      <c r="Q63" s="124"/>
      <c r="R63" s="124"/>
      <c r="S63" s="124"/>
      <c r="T63" s="124"/>
      <c r="U63" s="124"/>
      <c r="V63" s="125"/>
      <c r="W63" s="126"/>
      <c r="X63" s="126"/>
      <c r="Y63" s="126"/>
      <c r="Z63" s="262" t="s">
        <v>23090</v>
      </c>
      <c r="AA63" s="127"/>
      <c r="AB63" s="127"/>
      <c r="AC63" s="127"/>
      <c r="AD63" s="285" t="s">
        <v>18461</v>
      </c>
      <c r="AE63" s="261"/>
      <c r="AF63" s="261"/>
      <c r="AG63" s="261"/>
      <c r="AH63" s="261"/>
    </row>
    <row r="64" ht="34.5" customHeight="1">
      <c r="A64" s="283" t="s">
        <v>23320</v>
      </c>
      <c r="B64" s="111" t="s">
        <v>23321</v>
      </c>
      <c r="C64" s="111" t="s">
        <v>8087</v>
      </c>
      <c r="D64" s="111" t="s">
        <v>22563</v>
      </c>
      <c r="E64" s="111"/>
      <c r="F64" s="111" t="s">
        <v>19</v>
      </c>
      <c r="G64" s="257" t="s">
        <v>19</v>
      </c>
      <c r="H64" s="111"/>
      <c r="I64" s="111" t="s">
        <v>23322</v>
      </c>
      <c r="J64" s="111" t="s">
        <v>12399</v>
      </c>
      <c r="K64" s="111"/>
      <c r="L64" s="111" t="s">
        <v>23210</v>
      </c>
      <c r="M64" s="128" t="s">
        <v>23323</v>
      </c>
      <c r="N64" s="124"/>
      <c r="O64" s="146"/>
      <c r="P64" s="124"/>
      <c r="Q64" s="124"/>
      <c r="R64" s="124"/>
      <c r="S64" s="124"/>
      <c r="T64" s="125">
        <v>808.9887640449439</v>
      </c>
      <c r="U64" s="124">
        <v>8.64</v>
      </c>
      <c r="V64" s="125">
        <v>2400.0</v>
      </c>
      <c r="W64" s="126">
        <v>72.0</v>
      </c>
      <c r="X64" s="126"/>
      <c r="Y64" s="126"/>
      <c r="Z64" s="262" t="s">
        <v>22189</v>
      </c>
      <c r="AA64" s="262" t="s">
        <v>22189</v>
      </c>
      <c r="AB64" s="127"/>
      <c r="AC64" s="127"/>
      <c r="AD64" s="285" t="s">
        <v>23324</v>
      </c>
      <c r="AE64" s="261"/>
      <c r="AF64" s="261"/>
      <c r="AG64" s="261"/>
      <c r="AH64" s="261"/>
    </row>
    <row r="65" ht="34.5" customHeight="1">
      <c r="A65" s="283"/>
      <c r="B65" s="111"/>
      <c r="C65" s="111"/>
      <c r="D65" s="111"/>
      <c r="E65" s="111"/>
      <c r="F65" s="111"/>
      <c r="G65" s="257"/>
      <c r="H65" s="111"/>
      <c r="I65" s="111"/>
      <c r="J65" s="111"/>
      <c r="K65" s="111"/>
      <c r="L65" s="111"/>
      <c r="M65" s="128"/>
      <c r="N65" s="124"/>
      <c r="O65" s="146"/>
      <c r="P65" s="124"/>
      <c r="Q65" s="124"/>
      <c r="R65" s="124"/>
      <c r="S65" s="124"/>
      <c r="T65" s="124"/>
      <c r="U65" s="124"/>
      <c r="V65" s="125"/>
      <c r="W65" s="126"/>
      <c r="X65" s="126"/>
      <c r="Y65" s="126"/>
      <c r="Z65" s="262"/>
      <c r="AA65" s="262"/>
      <c r="AB65" s="127"/>
      <c r="AC65" s="127"/>
      <c r="AD65" s="285"/>
      <c r="AE65" s="261"/>
      <c r="AF65" s="261"/>
      <c r="AG65" s="261"/>
      <c r="AH65" s="261"/>
    </row>
    <row r="66" ht="34.5" customHeight="1">
      <c r="A66" s="111"/>
      <c r="B66" s="111"/>
      <c r="C66" s="111"/>
      <c r="D66" s="111"/>
      <c r="E66" s="111"/>
      <c r="F66" s="111"/>
      <c r="G66" s="257"/>
      <c r="H66" s="111"/>
      <c r="I66" s="111"/>
      <c r="J66" s="111"/>
      <c r="K66" s="111"/>
      <c r="L66" s="111"/>
      <c r="M66" s="128"/>
      <c r="N66" s="124"/>
      <c r="O66" s="146"/>
      <c r="P66" s="124"/>
      <c r="Q66" s="124"/>
      <c r="R66" s="124"/>
      <c r="S66" s="124"/>
      <c r="T66" s="124"/>
      <c r="U66" s="124"/>
      <c r="V66" s="125"/>
      <c r="W66" s="126"/>
      <c r="X66" s="126"/>
      <c r="Y66" s="126"/>
      <c r="Z66" s="127"/>
      <c r="AA66" s="127"/>
      <c r="AB66" s="127"/>
      <c r="AC66" s="127"/>
      <c r="AD66" s="285"/>
      <c r="AE66" s="261"/>
      <c r="AF66" s="261"/>
      <c r="AG66" s="261"/>
      <c r="AH66" s="261"/>
    </row>
    <row r="67" ht="34.5" customHeight="1">
      <c r="A67" s="111"/>
      <c r="B67" s="111"/>
      <c r="C67" s="111"/>
      <c r="D67" s="111"/>
      <c r="E67" s="111"/>
      <c r="F67" s="111"/>
      <c r="G67" s="257"/>
      <c r="H67" s="111"/>
      <c r="I67" s="111"/>
      <c r="J67" s="111"/>
      <c r="K67" s="111"/>
      <c r="L67" s="111"/>
      <c r="M67" s="128"/>
      <c r="N67" s="124"/>
      <c r="O67" s="146"/>
      <c r="P67" s="124"/>
      <c r="Q67" s="124"/>
      <c r="R67" s="124"/>
      <c r="S67" s="124"/>
      <c r="T67" s="124"/>
      <c r="U67" s="124"/>
      <c r="V67" s="125"/>
      <c r="W67" s="126"/>
      <c r="X67" s="126"/>
      <c r="Y67" s="126"/>
      <c r="Z67" s="127"/>
      <c r="AA67" s="127"/>
      <c r="AB67" s="127"/>
      <c r="AC67" s="127"/>
      <c r="AD67" s="285"/>
      <c r="AE67" s="261"/>
      <c r="AF67" s="261"/>
      <c r="AG67" s="261"/>
      <c r="AH67" s="261"/>
    </row>
    <row r="68" ht="34.5" customHeight="1">
      <c r="A68" s="111"/>
      <c r="B68" s="111"/>
      <c r="C68" s="111"/>
      <c r="D68" s="111"/>
      <c r="E68" s="111"/>
      <c r="F68" s="111"/>
      <c r="G68" s="257"/>
      <c r="H68" s="111"/>
      <c r="I68" s="111"/>
      <c r="J68" s="111"/>
      <c r="K68" s="111"/>
      <c r="L68" s="111"/>
      <c r="M68" s="128"/>
      <c r="N68" s="124"/>
      <c r="O68" s="146"/>
      <c r="P68" s="124"/>
      <c r="Q68" s="124"/>
      <c r="R68" s="124"/>
      <c r="S68" s="124"/>
      <c r="T68" s="124"/>
      <c r="U68" s="124"/>
      <c r="V68" s="125"/>
      <c r="W68" s="126"/>
      <c r="X68" s="126"/>
      <c r="Y68" s="126"/>
      <c r="Z68" s="127"/>
      <c r="AA68" s="127"/>
      <c r="AB68" s="127"/>
      <c r="AC68" s="127"/>
      <c r="AD68" s="285"/>
      <c r="AE68" s="261"/>
      <c r="AF68" s="261"/>
      <c r="AG68" s="261"/>
      <c r="AH68" s="261"/>
    </row>
    <row r="69" ht="34.5" customHeight="1">
      <c r="A69" s="111"/>
      <c r="B69" s="111"/>
      <c r="C69" s="111"/>
      <c r="D69" s="111"/>
      <c r="E69" s="111"/>
      <c r="F69" s="111"/>
      <c r="G69" s="257"/>
      <c r="H69" s="111"/>
      <c r="I69" s="111"/>
      <c r="J69" s="111"/>
      <c r="K69" s="111"/>
      <c r="L69" s="111"/>
      <c r="M69" s="128"/>
      <c r="N69" s="124"/>
      <c r="O69" s="146"/>
      <c r="P69" s="124"/>
      <c r="Q69" s="124"/>
      <c r="R69" s="124"/>
      <c r="S69" s="124"/>
      <c r="T69" s="124"/>
      <c r="U69" s="124"/>
      <c r="V69" s="125"/>
      <c r="W69" s="126"/>
      <c r="X69" s="126"/>
      <c r="Y69" s="126"/>
      <c r="Z69" s="127"/>
      <c r="AA69" s="127"/>
      <c r="AB69" s="127"/>
      <c r="AC69" s="127"/>
      <c r="AD69" s="285"/>
      <c r="AE69" s="261"/>
      <c r="AF69" s="261"/>
      <c r="AG69" s="261"/>
      <c r="AH69" s="261"/>
    </row>
    <row r="70" ht="34.5" customHeight="1">
      <c r="A70" s="111"/>
      <c r="B70" s="111"/>
      <c r="C70" s="111"/>
      <c r="D70" s="111"/>
      <c r="E70" s="111"/>
      <c r="F70" s="111"/>
      <c r="G70" s="257"/>
      <c r="H70" s="111"/>
      <c r="I70" s="111"/>
      <c r="J70" s="111"/>
      <c r="K70" s="111"/>
      <c r="L70" s="111"/>
      <c r="M70" s="128"/>
      <c r="N70" s="124"/>
      <c r="O70" s="146"/>
      <c r="P70" s="124"/>
      <c r="Q70" s="124"/>
      <c r="R70" s="124"/>
      <c r="S70" s="124"/>
      <c r="T70" s="124"/>
      <c r="U70" s="124"/>
      <c r="V70" s="125"/>
      <c r="W70" s="126"/>
      <c r="X70" s="126"/>
      <c r="Y70" s="126"/>
      <c r="Z70" s="127"/>
      <c r="AA70" s="127"/>
      <c r="AB70" s="127"/>
      <c r="AC70" s="127"/>
      <c r="AD70" s="285"/>
      <c r="AE70" s="261"/>
      <c r="AF70" s="261"/>
      <c r="AG70" s="261"/>
      <c r="AH70" s="261"/>
    </row>
    <row r="71" ht="34.5" customHeight="1">
      <c r="A71" s="111"/>
      <c r="B71" s="111"/>
      <c r="C71" s="111"/>
      <c r="D71" s="111"/>
      <c r="E71" s="111"/>
      <c r="F71" s="111"/>
      <c r="G71" s="257"/>
      <c r="H71" s="111"/>
      <c r="I71" s="111"/>
      <c r="J71" s="111"/>
      <c r="K71" s="111"/>
      <c r="L71" s="111"/>
      <c r="M71" s="128"/>
      <c r="N71" s="124"/>
      <c r="O71" s="146"/>
      <c r="P71" s="124"/>
      <c r="Q71" s="124"/>
      <c r="R71" s="124"/>
      <c r="S71" s="124"/>
      <c r="T71" s="124"/>
      <c r="U71" s="124"/>
      <c r="V71" s="125"/>
      <c r="W71" s="126"/>
      <c r="X71" s="126"/>
      <c r="Y71" s="126"/>
      <c r="Z71" s="127"/>
      <c r="AA71" s="127"/>
      <c r="AB71" s="127"/>
      <c r="AC71" s="127"/>
      <c r="AD71" s="285"/>
      <c r="AE71" s="261"/>
      <c r="AF71" s="261"/>
      <c r="AG71" s="261"/>
      <c r="AH71" s="261"/>
    </row>
    <row r="72" ht="34.5" customHeight="1">
      <c r="A72" s="111"/>
      <c r="B72" s="111"/>
      <c r="C72" s="111"/>
      <c r="D72" s="111"/>
      <c r="E72" s="111"/>
      <c r="F72" s="111"/>
      <c r="G72" s="257"/>
      <c r="H72" s="111"/>
      <c r="I72" s="111"/>
      <c r="J72" s="111"/>
      <c r="K72" s="111"/>
      <c r="L72" s="111"/>
      <c r="M72" s="128"/>
      <c r="N72" s="124"/>
      <c r="O72" s="146"/>
      <c r="P72" s="124"/>
      <c r="Q72" s="124"/>
      <c r="R72" s="124"/>
      <c r="S72" s="124"/>
      <c r="T72" s="124"/>
      <c r="U72" s="124"/>
      <c r="V72" s="125"/>
      <c r="W72" s="126"/>
      <c r="X72" s="126"/>
      <c r="Y72" s="126"/>
      <c r="Z72" s="127"/>
      <c r="AA72" s="127"/>
      <c r="AB72" s="127"/>
      <c r="AC72" s="127"/>
      <c r="AD72" s="285"/>
      <c r="AE72" s="261"/>
      <c r="AF72" s="261"/>
      <c r="AG72" s="261"/>
      <c r="AH72" s="261"/>
    </row>
    <row r="73" ht="34.5" customHeight="1">
      <c r="A73" s="111"/>
      <c r="B73" s="111"/>
      <c r="C73" s="111"/>
      <c r="D73" s="111"/>
      <c r="E73" s="111"/>
      <c r="F73" s="111"/>
      <c r="G73" s="257"/>
      <c r="H73" s="111"/>
      <c r="I73" s="111"/>
      <c r="J73" s="111"/>
      <c r="K73" s="111"/>
      <c r="L73" s="111"/>
      <c r="M73" s="128"/>
      <c r="N73" s="124"/>
      <c r="O73" s="146"/>
      <c r="P73" s="124"/>
      <c r="Q73" s="124"/>
      <c r="R73" s="124"/>
      <c r="S73" s="124"/>
      <c r="T73" s="124"/>
      <c r="U73" s="124"/>
      <c r="V73" s="125"/>
      <c r="W73" s="126"/>
      <c r="X73" s="126"/>
      <c r="Y73" s="126"/>
      <c r="Z73" s="127"/>
      <c r="AA73" s="127"/>
      <c r="AB73" s="127"/>
      <c r="AC73" s="127"/>
      <c r="AD73" s="285"/>
      <c r="AE73" s="261"/>
      <c r="AF73" s="261"/>
      <c r="AG73" s="261"/>
      <c r="AH73" s="261"/>
    </row>
    <row r="74" ht="34.5" customHeight="1">
      <c r="A74" s="111"/>
      <c r="B74" s="111"/>
      <c r="C74" s="111"/>
      <c r="D74" s="111"/>
      <c r="E74" s="111"/>
      <c r="F74" s="111"/>
      <c r="G74" s="257"/>
      <c r="H74" s="111"/>
      <c r="I74" s="111"/>
      <c r="J74" s="111"/>
      <c r="K74" s="111"/>
      <c r="L74" s="111"/>
      <c r="M74" s="128"/>
      <c r="N74" s="124"/>
      <c r="O74" s="146"/>
      <c r="P74" s="124"/>
      <c r="Q74" s="124"/>
      <c r="R74" s="124"/>
      <c r="S74" s="124"/>
      <c r="T74" s="124"/>
      <c r="U74" s="124"/>
      <c r="V74" s="125"/>
      <c r="W74" s="126"/>
      <c r="X74" s="126"/>
      <c r="Y74" s="126"/>
      <c r="Z74" s="289"/>
      <c r="AA74" s="289"/>
      <c r="AB74" s="289"/>
      <c r="AC74" s="289"/>
      <c r="AD74" s="285"/>
      <c r="AE74" s="261"/>
      <c r="AF74" s="261"/>
      <c r="AG74" s="261"/>
      <c r="AH74" s="261"/>
    </row>
    <row r="75" ht="34.5" customHeight="1">
      <c r="A75" s="111"/>
      <c r="B75" s="111"/>
      <c r="C75" s="111"/>
      <c r="D75" s="111"/>
      <c r="E75" s="111"/>
      <c r="F75" s="111"/>
      <c r="G75" s="257"/>
      <c r="H75" s="111"/>
      <c r="I75" s="111"/>
      <c r="J75" s="111"/>
      <c r="K75" s="111"/>
      <c r="L75" s="111"/>
      <c r="M75" s="128"/>
      <c r="N75" s="124"/>
      <c r="O75" s="146"/>
      <c r="P75" s="124"/>
      <c r="Q75" s="124"/>
      <c r="R75" s="124"/>
      <c r="S75" s="124"/>
      <c r="T75" s="124"/>
      <c r="U75" s="124"/>
      <c r="V75" s="125"/>
      <c r="W75" s="126"/>
      <c r="X75" s="126"/>
      <c r="Y75" s="126"/>
      <c r="Z75" s="289"/>
      <c r="AA75" s="289"/>
      <c r="AB75" s="289"/>
      <c r="AC75" s="289"/>
      <c r="AD75" s="285"/>
      <c r="AE75" s="261"/>
      <c r="AF75" s="261"/>
      <c r="AG75" s="261"/>
      <c r="AH75" s="261"/>
    </row>
    <row r="76" ht="34.5" customHeight="1">
      <c r="A76" s="111"/>
      <c r="B76" s="111"/>
      <c r="C76" s="111"/>
      <c r="D76" s="111"/>
      <c r="E76" s="111"/>
      <c r="F76" s="111"/>
      <c r="G76" s="257"/>
      <c r="H76" s="111"/>
      <c r="I76" s="111"/>
      <c r="J76" s="111"/>
      <c r="K76" s="111"/>
      <c r="L76" s="111"/>
      <c r="M76" s="128"/>
      <c r="N76" s="124"/>
      <c r="O76" s="146"/>
      <c r="P76" s="124"/>
      <c r="Q76" s="124"/>
      <c r="R76" s="124"/>
      <c r="S76" s="124"/>
      <c r="T76" s="124"/>
      <c r="U76" s="124"/>
      <c r="V76" s="125"/>
      <c r="W76" s="126"/>
      <c r="X76" s="126"/>
      <c r="Y76" s="126"/>
      <c r="Z76" s="289"/>
      <c r="AA76" s="289"/>
      <c r="AB76" s="289"/>
      <c r="AC76" s="289"/>
      <c r="AD76" s="285"/>
      <c r="AE76" s="261"/>
      <c r="AF76" s="261"/>
      <c r="AG76" s="261"/>
      <c r="AH76" s="261"/>
    </row>
    <row r="77" ht="34.5" customHeight="1">
      <c r="A77" s="111"/>
      <c r="B77" s="111"/>
      <c r="C77" s="111"/>
      <c r="D77" s="111"/>
      <c r="E77" s="111"/>
      <c r="F77" s="111"/>
      <c r="G77" s="257"/>
      <c r="H77" s="111"/>
      <c r="I77" s="111"/>
      <c r="J77" s="111"/>
      <c r="K77" s="111"/>
      <c r="L77" s="111"/>
      <c r="M77" s="128"/>
      <c r="N77" s="124"/>
      <c r="O77" s="146"/>
      <c r="P77" s="124"/>
      <c r="Q77" s="124"/>
      <c r="R77" s="124"/>
      <c r="S77" s="124"/>
      <c r="T77" s="124"/>
      <c r="U77" s="124"/>
      <c r="V77" s="125"/>
      <c r="W77" s="126"/>
      <c r="X77" s="126"/>
      <c r="Y77" s="126"/>
      <c r="Z77" s="289"/>
      <c r="AA77" s="289"/>
      <c r="AB77" s="289"/>
      <c r="AC77" s="289"/>
      <c r="AD77" s="285"/>
      <c r="AE77" s="261"/>
      <c r="AF77" s="261"/>
      <c r="AG77" s="261"/>
      <c r="AH77" s="261"/>
    </row>
    <row r="78" ht="34.5" customHeight="1">
      <c r="A78" s="111"/>
      <c r="B78" s="111"/>
      <c r="C78" s="111"/>
      <c r="D78" s="111"/>
      <c r="E78" s="111"/>
      <c r="F78" s="111"/>
      <c r="G78" s="257"/>
      <c r="H78" s="111"/>
      <c r="I78" s="111"/>
      <c r="J78" s="111"/>
      <c r="K78" s="111"/>
      <c r="L78" s="111"/>
      <c r="M78" s="128"/>
      <c r="N78" s="124"/>
      <c r="O78" s="146"/>
      <c r="P78" s="124"/>
      <c r="Q78" s="124"/>
      <c r="R78" s="124"/>
      <c r="S78" s="124"/>
      <c r="T78" s="124"/>
      <c r="U78" s="124"/>
      <c r="V78" s="125"/>
      <c r="W78" s="126"/>
      <c r="X78" s="126"/>
      <c r="Y78" s="126"/>
      <c r="Z78" s="289"/>
      <c r="AA78" s="289"/>
      <c r="AB78" s="289"/>
      <c r="AC78" s="289"/>
      <c r="AD78" s="285"/>
      <c r="AE78" s="261"/>
      <c r="AF78" s="261"/>
      <c r="AG78" s="261"/>
      <c r="AH78" s="261"/>
    </row>
    <row r="79" ht="34.5" customHeight="1">
      <c r="A79" s="111"/>
      <c r="B79" s="111"/>
      <c r="C79" s="111"/>
      <c r="D79" s="111"/>
      <c r="E79" s="111"/>
      <c r="F79" s="111"/>
      <c r="G79" s="257"/>
      <c r="H79" s="111"/>
      <c r="I79" s="111"/>
      <c r="J79" s="111"/>
      <c r="K79" s="111"/>
      <c r="L79" s="111"/>
      <c r="M79" s="128"/>
      <c r="N79" s="124"/>
      <c r="O79" s="146"/>
      <c r="P79" s="124"/>
      <c r="Q79" s="124"/>
      <c r="R79" s="124"/>
      <c r="S79" s="124"/>
      <c r="T79" s="124"/>
      <c r="U79" s="124"/>
      <c r="V79" s="125"/>
      <c r="W79" s="126"/>
      <c r="X79" s="126"/>
      <c r="Y79" s="126"/>
      <c r="Z79" s="289"/>
      <c r="AA79" s="289"/>
      <c r="AB79" s="289"/>
      <c r="AC79" s="289"/>
      <c r="AD79" s="285"/>
      <c r="AE79" s="261"/>
      <c r="AF79" s="261"/>
      <c r="AG79" s="261"/>
      <c r="AH79" s="261"/>
    </row>
    <row r="80" ht="34.5" customHeight="1">
      <c r="A80" s="111"/>
      <c r="B80" s="111"/>
      <c r="C80" s="111"/>
      <c r="D80" s="111"/>
      <c r="E80" s="111"/>
      <c r="F80" s="111"/>
      <c r="G80" s="257"/>
      <c r="H80" s="111"/>
      <c r="I80" s="111"/>
      <c r="J80" s="111"/>
      <c r="K80" s="111"/>
      <c r="L80" s="111"/>
      <c r="M80" s="128"/>
      <c r="N80" s="124"/>
      <c r="O80" s="146"/>
      <c r="P80" s="124"/>
      <c r="Q80" s="124"/>
      <c r="R80" s="124"/>
      <c r="S80" s="124"/>
      <c r="T80" s="124"/>
      <c r="U80" s="124"/>
      <c r="V80" s="125"/>
      <c r="W80" s="126"/>
      <c r="X80" s="126"/>
      <c r="Y80" s="126"/>
      <c r="Z80" s="289"/>
      <c r="AA80" s="289"/>
      <c r="AB80" s="289"/>
      <c r="AC80" s="289"/>
      <c r="AD80" s="285"/>
      <c r="AE80" s="261"/>
      <c r="AF80" s="261"/>
      <c r="AG80" s="261"/>
      <c r="AH80" s="261"/>
    </row>
    <row r="81" ht="34.5" customHeight="1">
      <c r="A81" s="111"/>
      <c r="B81" s="111"/>
      <c r="C81" s="111"/>
      <c r="D81" s="111"/>
      <c r="E81" s="111"/>
      <c r="F81" s="111"/>
      <c r="G81" s="257"/>
      <c r="H81" s="111"/>
      <c r="I81" s="111"/>
      <c r="J81" s="111"/>
      <c r="K81" s="111"/>
      <c r="L81" s="111"/>
      <c r="M81" s="128"/>
      <c r="N81" s="124"/>
      <c r="O81" s="146"/>
      <c r="P81" s="124"/>
      <c r="Q81" s="124"/>
      <c r="R81" s="124"/>
      <c r="S81" s="124"/>
      <c r="T81" s="124"/>
      <c r="U81" s="124"/>
      <c r="V81" s="125"/>
      <c r="W81" s="126"/>
      <c r="X81" s="126"/>
      <c r="Y81" s="126"/>
      <c r="Z81" s="289"/>
      <c r="AA81" s="289"/>
      <c r="AB81" s="289"/>
      <c r="AC81" s="289"/>
      <c r="AD81" s="285"/>
      <c r="AE81" s="261"/>
      <c r="AF81" s="261"/>
      <c r="AG81" s="261"/>
      <c r="AH81" s="261"/>
    </row>
    <row r="82" ht="34.5" customHeight="1">
      <c r="A82" s="111"/>
      <c r="B82" s="111"/>
      <c r="C82" s="111"/>
      <c r="D82" s="111"/>
      <c r="E82" s="111"/>
      <c r="F82" s="111"/>
      <c r="G82" s="257"/>
      <c r="H82" s="111"/>
      <c r="I82" s="111"/>
      <c r="J82" s="111"/>
      <c r="K82" s="111"/>
      <c r="L82" s="111"/>
      <c r="M82" s="128"/>
      <c r="N82" s="124"/>
      <c r="O82" s="146"/>
      <c r="P82" s="124"/>
      <c r="Q82" s="124"/>
      <c r="R82" s="124"/>
      <c r="S82" s="124"/>
      <c r="T82" s="124"/>
      <c r="U82" s="124"/>
      <c r="V82" s="125"/>
      <c r="W82" s="126"/>
      <c r="X82" s="126"/>
      <c r="Y82" s="126"/>
      <c r="Z82" s="289"/>
      <c r="AA82" s="289"/>
      <c r="AB82" s="289"/>
      <c r="AC82" s="289"/>
      <c r="AD82" s="285"/>
      <c r="AE82" s="261"/>
      <c r="AF82" s="261"/>
      <c r="AG82" s="261"/>
      <c r="AH82" s="261"/>
    </row>
    <row r="83" ht="34.5" customHeight="1">
      <c r="A83" s="111"/>
      <c r="B83" s="111"/>
      <c r="C83" s="111"/>
      <c r="D83" s="111"/>
      <c r="E83" s="111"/>
      <c r="F83" s="111"/>
      <c r="G83" s="257"/>
      <c r="H83" s="111"/>
      <c r="I83" s="111"/>
      <c r="J83" s="111"/>
      <c r="K83" s="111"/>
      <c r="L83" s="111"/>
      <c r="M83" s="128"/>
      <c r="N83" s="124"/>
      <c r="O83" s="146"/>
      <c r="P83" s="124"/>
      <c r="Q83" s="124"/>
      <c r="R83" s="124"/>
      <c r="S83" s="124"/>
      <c r="T83" s="124"/>
      <c r="U83" s="124"/>
      <c r="V83" s="125"/>
      <c r="W83" s="126"/>
      <c r="X83" s="126"/>
      <c r="Y83" s="126"/>
      <c r="Z83" s="289"/>
      <c r="AA83" s="289"/>
      <c r="AB83" s="289"/>
      <c r="AC83" s="289"/>
      <c r="AD83" s="285"/>
      <c r="AE83" s="261"/>
      <c r="AF83" s="261"/>
      <c r="AG83" s="261"/>
      <c r="AH83" s="261"/>
    </row>
    <row r="84" ht="34.5" customHeight="1">
      <c r="A84" s="111"/>
      <c r="B84" s="111"/>
      <c r="C84" s="111"/>
      <c r="D84" s="111"/>
      <c r="E84" s="111"/>
      <c r="F84" s="111"/>
      <c r="G84" s="257"/>
      <c r="H84" s="111"/>
      <c r="I84" s="111"/>
      <c r="J84" s="111"/>
      <c r="K84" s="111"/>
      <c r="L84" s="111"/>
      <c r="M84" s="128"/>
      <c r="N84" s="124"/>
      <c r="O84" s="146"/>
      <c r="P84" s="124"/>
      <c r="Q84" s="124"/>
      <c r="R84" s="124"/>
      <c r="S84" s="124"/>
      <c r="T84" s="124"/>
      <c r="U84" s="124"/>
      <c r="V84" s="125"/>
      <c r="W84" s="126"/>
      <c r="X84" s="126"/>
      <c r="Y84" s="126"/>
      <c r="Z84" s="289"/>
      <c r="AA84" s="289"/>
      <c r="AB84" s="289"/>
      <c r="AC84" s="289"/>
      <c r="AD84" s="285"/>
      <c r="AE84" s="261"/>
      <c r="AF84" s="261"/>
      <c r="AG84" s="261"/>
      <c r="AH84" s="261"/>
    </row>
    <row r="85" ht="34.5" customHeight="1">
      <c r="A85" s="111"/>
      <c r="B85" s="111"/>
      <c r="C85" s="111"/>
      <c r="D85" s="111"/>
      <c r="E85" s="111"/>
      <c r="F85" s="111"/>
      <c r="G85" s="257"/>
      <c r="H85" s="111"/>
      <c r="I85" s="111"/>
      <c r="J85" s="111"/>
      <c r="K85" s="111"/>
      <c r="L85" s="111"/>
      <c r="M85" s="128"/>
      <c r="N85" s="124"/>
      <c r="O85" s="146"/>
      <c r="P85" s="124"/>
      <c r="Q85" s="124"/>
      <c r="R85" s="124"/>
      <c r="S85" s="124"/>
      <c r="T85" s="124"/>
      <c r="U85" s="124"/>
      <c r="V85" s="125"/>
      <c r="W85" s="126"/>
      <c r="X85" s="126"/>
      <c r="Y85" s="126"/>
      <c r="Z85" s="289"/>
      <c r="AA85" s="289"/>
      <c r="AB85" s="289"/>
      <c r="AC85" s="289"/>
      <c r="AD85" s="285"/>
      <c r="AE85" s="261"/>
      <c r="AF85" s="261"/>
      <c r="AG85" s="261"/>
      <c r="AH85" s="261"/>
    </row>
    <row r="86" ht="34.5" customHeight="1">
      <c r="A86" s="111"/>
      <c r="B86" s="111"/>
      <c r="C86" s="111"/>
      <c r="D86" s="111"/>
      <c r="E86" s="111"/>
      <c r="F86" s="111"/>
      <c r="G86" s="257"/>
      <c r="H86" s="111"/>
      <c r="I86" s="111"/>
      <c r="J86" s="111"/>
      <c r="K86" s="111"/>
      <c r="L86" s="111"/>
      <c r="M86" s="128"/>
      <c r="N86" s="124"/>
      <c r="O86" s="146"/>
      <c r="P86" s="124"/>
      <c r="Q86" s="124"/>
      <c r="R86" s="124"/>
      <c r="S86" s="124"/>
      <c r="T86" s="124"/>
      <c r="U86" s="124"/>
      <c r="V86" s="125"/>
      <c r="W86" s="126"/>
      <c r="X86" s="126"/>
      <c r="Y86" s="126"/>
      <c r="Z86" s="289"/>
      <c r="AA86" s="289"/>
      <c r="AB86" s="289"/>
      <c r="AC86" s="289"/>
      <c r="AD86" s="285"/>
      <c r="AE86" s="261"/>
      <c r="AF86" s="261"/>
      <c r="AG86" s="261"/>
      <c r="AH86" s="261"/>
    </row>
    <row r="87" ht="34.5" customHeight="1">
      <c r="A87" s="111"/>
      <c r="B87" s="111"/>
      <c r="C87" s="111"/>
      <c r="D87" s="111"/>
      <c r="E87" s="111"/>
      <c r="F87" s="111"/>
      <c r="G87" s="257"/>
      <c r="H87" s="111"/>
      <c r="I87" s="111"/>
      <c r="J87" s="111"/>
      <c r="K87" s="111"/>
      <c r="L87" s="111"/>
      <c r="M87" s="128"/>
      <c r="N87" s="124"/>
      <c r="O87" s="146"/>
      <c r="P87" s="124"/>
      <c r="Q87" s="124"/>
      <c r="R87" s="124"/>
      <c r="S87" s="124"/>
      <c r="T87" s="124"/>
      <c r="U87" s="124"/>
      <c r="V87" s="125"/>
      <c r="W87" s="126"/>
      <c r="X87" s="126"/>
      <c r="Y87" s="126"/>
      <c r="Z87" s="289"/>
      <c r="AA87" s="289"/>
      <c r="AB87" s="289"/>
      <c r="AC87" s="289"/>
      <c r="AD87" s="285"/>
      <c r="AE87" s="261"/>
      <c r="AF87" s="261"/>
      <c r="AG87" s="261"/>
      <c r="AH87" s="261"/>
    </row>
    <row r="88" ht="34.5" customHeight="1">
      <c r="A88" s="111"/>
      <c r="B88" s="111"/>
      <c r="C88" s="111"/>
      <c r="D88" s="111"/>
      <c r="E88" s="111"/>
      <c r="F88" s="111"/>
      <c r="G88" s="257"/>
      <c r="H88" s="111"/>
      <c r="I88" s="111"/>
      <c r="J88" s="111"/>
      <c r="K88" s="111"/>
      <c r="L88" s="111"/>
      <c r="M88" s="128"/>
      <c r="N88" s="124"/>
      <c r="O88" s="146"/>
      <c r="P88" s="124"/>
      <c r="Q88" s="124"/>
      <c r="R88" s="124"/>
      <c r="S88" s="124"/>
      <c r="T88" s="124"/>
      <c r="U88" s="124"/>
      <c r="V88" s="125"/>
      <c r="W88" s="126"/>
      <c r="X88" s="126"/>
      <c r="Y88" s="126"/>
      <c r="Z88" s="289"/>
      <c r="AA88" s="289"/>
      <c r="AB88" s="289"/>
      <c r="AC88" s="289"/>
      <c r="AD88" s="285"/>
      <c r="AE88" s="261"/>
      <c r="AF88" s="261"/>
      <c r="AG88" s="261"/>
      <c r="AH88" s="261"/>
    </row>
    <row r="89" ht="34.5" customHeight="1">
      <c r="A89" s="111"/>
      <c r="B89" s="111"/>
      <c r="C89" s="111"/>
      <c r="D89" s="111"/>
      <c r="E89" s="111"/>
      <c r="F89" s="111"/>
      <c r="G89" s="257"/>
      <c r="H89" s="111"/>
      <c r="I89" s="111"/>
      <c r="J89" s="111"/>
      <c r="K89" s="111"/>
      <c r="L89" s="111"/>
      <c r="M89" s="128"/>
      <c r="N89" s="124"/>
      <c r="O89" s="146"/>
      <c r="P89" s="124"/>
      <c r="Q89" s="124"/>
      <c r="R89" s="124"/>
      <c r="S89" s="124"/>
      <c r="T89" s="124"/>
      <c r="U89" s="124"/>
      <c r="V89" s="125"/>
      <c r="W89" s="126"/>
      <c r="X89" s="126"/>
      <c r="Y89" s="126"/>
      <c r="Z89" s="289"/>
      <c r="AA89" s="289"/>
      <c r="AB89" s="289"/>
      <c r="AC89" s="289"/>
      <c r="AD89" s="285"/>
      <c r="AE89" s="261"/>
      <c r="AF89" s="261"/>
      <c r="AG89" s="261"/>
      <c r="AH89" s="261"/>
    </row>
    <row r="90" ht="34.5" customHeight="1">
      <c r="A90" s="111"/>
      <c r="B90" s="111"/>
      <c r="C90" s="111"/>
      <c r="D90" s="111"/>
      <c r="E90" s="111"/>
      <c r="F90" s="111"/>
      <c r="G90" s="257"/>
      <c r="H90" s="111"/>
      <c r="I90" s="111"/>
      <c r="J90" s="111"/>
      <c r="K90" s="111"/>
      <c r="L90" s="111"/>
      <c r="M90" s="128"/>
      <c r="N90" s="124"/>
      <c r="O90" s="146"/>
      <c r="P90" s="124"/>
      <c r="Q90" s="124"/>
      <c r="R90" s="124"/>
      <c r="S90" s="124"/>
      <c r="T90" s="124"/>
      <c r="U90" s="124"/>
      <c r="V90" s="125"/>
      <c r="W90" s="126"/>
      <c r="X90" s="126"/>
      <c r="Y90" s="126"/>
      <c r="Z90" s="289"/>
      <c r="AA90" s="289"/>
      <c r="AB90" s="289"/>
      <c r="AC90" s="289"/>
      <c r="AD90" s="285"/>
      <c r="AE90" s="261"/>
      <c r="AF90" s="261"/>
      <c r="AG90" s="261"/>
      <c r="AH90" s="261"/>
    </row>
    <row r="91" ht="34.5" customHeight="1">
      <c r="A91" s="111"/>
      <c r="B91" s="111"/>
      <c r="C91" s="111"/>
      <c r="D91" s="111"/>
      <c r="E91" s="111"/>
      <c r="F91" s="111"/>
      <c r="G91" s="257"/>
      <c r="H91" s="111"/>
      <c r="I91" s="111"/>
      <c r="J91" s="111"/>
      <c r="K91" s="111"/>
      <c r="L91" s="111"/>
      <c r="M91" s="128"/>
      <c r="N91" s="124"/>
      <c r="O91" s="146"/>
      <c r="P91" s="124"/>
      <c r="Q91" s="124"/>
      <c r="R91" s="124"/>
      <c r="S91" s="124"/>
      <c r="T91" s="124"/>
      <c r="U91" s="124"/>
      <c r="V91" s="125"/>
      <c r="W91" s="126"/>
      <c r="X91" s="126"/>
      <c r="Y91" s="126"/>
      <c r="Z91" s="289"/>
      <c r="AA91" s="289"/>
      <c r="AB91" s="289"/>
      <c r="AC91" s="289"/>
      <c r="AD91" s="285"/>
      <c r="AE91" s="261"/>
      <c r="AF91" s="261"/>
      <c r="AG91" s="261"/>
      <c r="AH91" s="261"/>
    </row>
    <row r="92" ht="34.5" customHeight="1">
      <c r="A92" s="111"/>
      <c r="B92" s="111"/>
      <c r="C92" s="111"/>
      <c r="D92" s="111"/>
      <c r="E92" s="111"/>
      <c r="F92" s="111"/>
      <c r="G92" s="257"/>
      <c r="H92" s="111"/>
      <c r="I92" s="111"/>
      <c r="J92" s="111"/>
      <c r="K92" s="111"/>
      <c r="L92" s="111"/>
      <c r="M92" s="128"/>
      <c r="N92" s="124"/>
      <c r="O92" s="146"/>
      <c r="P92" s="124"/>
      <c r="Q92" s="124"/>
      <c r="R92" s="124"/>
      <c r="S92" s="124"/>
      <c r="T92" s="124"/>
      <c r="U92" s="124"/>
      <c r="V92" s="125"/>
      <c r="W92" s="126"/>
      <c r="X92" s="126"/>
      <c r="Y92" s="126"/>
      <c r="Z92" s="289"/>
      <c r="AA92" s="289"/>
      <c r="AB92" s="289"/>
      <c r="AC92" s="289"/>
      <c r="AD92" s="285"/>
      <c r="AE92" s="261"/>
      <c r="AF92" s="261"/>
      <c r="AG92" s="261"/>
      <c r="AH92" s="261"/>
    </row>
    <row r="93" ht="34.5" customHeight="1">
      <c r="A93" s="111"/>
      <c r="B93" s="111"/>
      <c r="C93" s="111"/>
      <c r="D93" s="111"/>
      <c r="E93" s="111"/>
      <c r="F93" s="111"/>
      <c r="G93" s="257"/>
      <c r="H93" s="111"/>
      <c r="I93" s="111"/>
      <c r="J93" s="111"/>
      <c r="K93" s="111"/>
      <c r="L93" s="111"/>
      <c r="M93" s="128"/>
      <c r="N93" s="124"/>
      <c r="O93" s="146"/>
      <c r="P93" s="124"/>
      <c r="Q93" s="124"/>
      <c r="R93" s="124"/>
      <c r="S93" s="124"/>
      <c r="T93" s="124"/>
      <c r="U93" s="124"/>
      <c r="V93" s="125"/>
      <c r="W93" s="126"/>
      <c r="X93" s="126"/>
      <c r="Y93" s="126"/>
      <c r="Z93" s="289"/>
      <c r="AA93" s="289"/>
      <c r="AB93" s="289"/>
      <c r="AC93" s="289"/>
      <c r="AD93" s="285"/>
      <c r="AE93" s="261"/>
      <c r="AF93" s="261"/>
      <c r="AG93" s="261"/>
      <c r="AH93" s="261"/>
    </row>
    <row r="94" ht="34.5" customHeight="1">
      <c r="A94" s="111"/>
      <c r="B94" s="111"/>
      <c r="C94" s="111"/>
      <c r="D94" s="111"/>
      <c r="E94" s="111"/>
      <c r="F94" s="111"/>
      <c r="G94" s="257"/>
      <c r="H94" s="111"/>
      <c r="I94" s="111"/>
      <c r="J94" s="111"/>
      <c r="K94" s="111"/>
      <c r="L94" s="111"/>
      <c r="M94" s="128"/>
      <c r="N94" s="124"/>
      <c r="O94" s="146"/>
      <c r="P94" s="124"/>
      <c r="Q94" s="124"/>
      <c r="R94" s="124"/>
      <c r="S94" s="124"/>
      <c r="T94" s="124"/>
      <c r="U94" s="124"/>
      <c r="V94" s="125"/>
      <c r="W94" s="126"/>
      <c r="X94" s="126"/>
      <c r="Y94" s="126"/>
      <c r="Z94" s="289"/>
      <c r="AA94" s="289"/>
      <c r="AB94" s="289"/>
      <c r="AC94" s="289"/>
      <c r="AD94" s="285"/>
      <c r="AE94" s="261"/>
      <c r="AF94" s="261"/>
      <c r="AG94" s="261"/>
      <c r="AH94" s="261"/>
    </row>
    <row r="95" ht="34.5" customHeight="1">
      <c r="A95" s="111"/>
      <c r="B95" s="111"/>
      <c r="C95" s="111"/>
      <c r="D95" s="111"/>
      <c r="E95" s="111"/>
      <c r="F95" s="111"/>
      <c r="G95" s="257"/>
      <c r="H95" s="111"/>
      <c r="I95" s="111"/>
      <c r="J95" s="111"/>
      <c r="K95" s="111"/>
      <c r="L95" s="111"/>
      <c r="M95" s="128"/>
      <c r="N95" s="124"/>
      <c r="O95" s="146"/>
      <c r="P95" s="124"/>
      <c r="Q95" s="124"/>
      <c r="R95" s="124"/>
      <c r="S95" s="124"/>
      <c r="T95" s="124"/>
      <c r="U95" s="124"/>
      <c r="V95" s="125"/>
      <c r="W95" s="126"/>
      <c r="X95" s="126"/>
      <c r="Y95" s="126"/>
      <c r="Z95" s="289"/>
      <c r="AA95" s="289"/>
      <c r="AB95" s="289"/>
      <c r="AC95" s="289"/>
      <c r="AD95" s="285"/>
      <c r="AE95" s="261"/>
      <c r="AF95" s="261"/>
      <c r="AG95" s="261"/>
      <c r="AH95" s="261"/>
    </row>
    <row r="96" ht="34.5" customHeight="1">
      <c r="A96" s="111"/>
      <c r="B96" s="111"/>
      <c r="C96" s="111"/>
      <c r="D96" s="111"/>
      <c r="E96" s="111"/>
      <c r="F96" s="111"/>
      <c r="G96" s="257"/>
      <c r="H96" s="111"/>
      <c r="I96" s="111"/>
      <c r="J96" s="111"/>
      <c r="K96" s="111"/>
      <c r="L96" s="111"/>
      <c r="M96" s="128"/>
      <c r="N96" s="124"/>
      <c r="O96" s="146"/>
      <c r="P96" s="124"/>
      <c r="Q96" s="124"/>
      <c r="R96" s="124"/>
      <c r="S96" s="124"/>
      <c r="T96" s="124"/>
      <c r="U96" s="124"/>
      <c r="V96" s="125"/>
      <c r="W96" s="126"/>
      <c r="X96" s="126"/>
      <c r="Y96" s="126"/>
      <c r="Z96" s="289"/>
      <c r="AA96" s="289"/>
      <c r="AB96" s="289"/>
      <c r="AC96" s="289"/>
      <c r="AD96" s="285"/>
      <c r="AE96" s="261"/>
      <c r="AF96" s="261"/>
      <c r="AG96" s="261"/>
      <c r="AH96" s="261"/>
    </row>
    <row r="97" ht="34.5" customHeight="1">
      <c r="A97" s="111"/>
      <c r="B97" s="111"/>
      <c r="C97" s="111"/>
      <c r="D97" s="111"/>
      <c r="E97" s="111"/>
      <c r="F97" s="111"/>
      <c r="G97" s="257"/>
      <c r="H97" s="111"/>
      <c r="I97" s="111"/>
      <c r="J97" s="111"/>
      <c r="K97" s="111"/>
      <c r="L97" s="111"/>
      <c r="M97" s="128"/>
      <c r="N97" s="124"/>
      <c r="O97" s="146"/>
      <c r="P97" s="124"/>
      <c r="Q97" s="124"/>
      <c r="R97" s="124"/>
      <c r="S97" s="124"/>
      <c r="T97" s="124"/>
      <c r="U97" s="124"/>
      <c r="V97" s="125"/>
      <c r="W97" s="126"/>
      <c r="X97" s="126"/>
      <c r="Y97" s="126"/>
      <c r="Z97" s="289"/>
      <c r="AA97" s="289"/>
      <c r="AB97" s="289"/>
      <c r="AC97" s="289"/>
      <c r="AD97" s="285"/>
      <c r="AE97" s="261"/>
      <c r="AF97" s="261"/>
      <c r="AG97" s="261"/>
      <c r="AH97" s="261"/>
    </row>
    <row r="98" ht="34.5" customHeight="1">
      <c r="A98" s="111"/>
      <c r="B98" s="111"/>
      <c r="C98" s="111"/>
      <c r="D98" s="111"/>
      <c r="E98" s="111"/>
      <c r="F98" s="111"/>
      <c r="G98" s="257"/>
      <c r="H98" s="111"/>
      <c r="I98" s="111"/>
      <c r="J98" s="111"/>
      <c r="K98" s="111"/>
      <c r="L98" s="111"/>
      <c r="M98" s="128"/>
      <c r="N98" s="124"/>
      <c r="O98" s="146"/>
      <c r="P98" s="124"/>
      <c r="Q98" s="124"/>
      <c r="R98" s="124"/>
      <c r="S98" s="124"/>
      <c r="T98" s="124"/>
      <c r="U98" s="124"/>
      <c r="V98" s="125"/>
      <c r="W98" s="126"/>
      <c r="X98" s="126"/>
      <c r="Y98" s="126"/>
      <c r="Z98" s="289"/>
      <c r="AA98" s="289"/>
      <c r="AB98" s="289"/>
      <c r="AC98" s="289"/>
      <c r="AD98" s="285"/>
      <c r="AE98" s="261"/>
      <c r="AF98" s="261"/>
      <c r="AG98" s="261"/>
      <c r="AH98" s="261"/>
    </row>
    <row r="99" ht="34.5" customHeight="1">
      <c r="A99" s="111"/>
      <c r="B99" s="111"/>
      <c r="C99" s="111"/>
      <c r="D99" s="111"/>
      <c r="E99" s="111"/>
      <c r="F99" s="111"/>
      <c r="G99" s="257"/>
      <c r="H99" s="111"/>
      <c r="I99" s="111"/>
      <c r="J99" s="111"/>
      <c r="K99" s="111"/>
      <c r="L99" s="111"/>
      <c r="M99" s="128"/>
      <c r="N99" s="124"/>
      <c r="O99" s="146"/>
      <c r="P99" s="124"/>
      <c r="Q99" s="124"/>
      <c r="R99" s="124"/>
      <c r="S99" s="124"/>
      <c r="T99" s="124"/>
      <c r="U99" s="124"/>
      <c r="V99" s="125"/>
      <c r="W99" s="126"/>
      <c r="X99" s="126"/>
      <c r="Y99" s="126"/>
      <c r="Z99" s="289"/>
      <c r="AA99" s="289"/>
      <c r="AB99" s="289"/>
      <c r="AC99" s="289"/>
      <c r="AD99" s="285"/>
      <c r="AE99" s="261"/>
      <c r="AF99" s="261"/>
      <c r="AG99" s="261"/>
      <c r="AH99" s="261"/>
    </row>
    <row r="100" ht="34.5" customHeight="1">
      <c r="A100" s="111"/>
      <c r="B100" s="111"/>
      <c r="C100" s="111"/>
      <c r="D100" s="111"/>
      <c r="E100" s="111"/>
      <c r="F100" s="111"/>
      <c r="G100" s="257"/>
      <c r="H100" s="111"/>
      <c r="I100" s="111"/>
      <c r="J100" s="111"/>
      <c r="K100" s="111"/>
      <c r="L100" s="111"/>
      <c r="M100" s="128"/>
      <c r="N100" s="124"/>
      <c r="O100" s="146"/>
      <c r="P100" s="124"/>
      <c r="Q100" s="124"/>
      <c r="R100" s="124"/>
      <c r="S100" s="124"/>
      <c r="T100" s="124"/>
      <c r="U100" s="124"/>
      <c r="V100" s="125"/>
      <c r="W100" s="126"/>
      <c r="X100" s="126"/>
      <c r="Y100" s="126"/>
      <c r="Z100" s="289"/>
      <c r="AA100" s="289"/>
      <c r="AB100" s="289"/>
      <c r="AC100" s="289"/>
      <c r="AD100" s="285"/>
      <c r="AE100" s="261"/>
      <c r="AF100" s="261"/>
      <c r="AG100" s="261"/>
      <c r="AH100" s="261"/>
    </row>
    <row r="101" ht="34.5" customHeight="1">
      <c r="A101" s="111"/>
      <c r="B101" s="111"/>
      <c r="C101" s="111"/>
      <c r="D101" s="111"/>
      <c r="E101" s="111"/>
      <c r="F101" s="111"/>
      <c r="G101" s="257"/>
      <c r="H101" s="111"/>
      <c r="I101" s="111"/>
      <c r="J101" s="111"/>
      <c r="K101" s="111"/>
      <c r="L101" s="111"/>
      <c r="M101" s="128"/>
      <c r="N101" s="124"/>
      <c r="O101" s="146"/>
      <c r="P101" s="124"/>
      <c r="Q101" s="124"/>
      <c r="R101" s="124"/>
      <c r="S101" s="124"/>
      <c r="T101" s="124"/>
      <c r="U101" s="124"/>
      <c r="V101" s="125"/>
      <c r="W101" s="126"/>
      <c r="X101" s="126"/>
      <c r="Y101" s="126"/>
      <c r="Z101" s="289"/>
      <c r="AA101" s="289"/>
      <c r="AB101" s="289"/>
      <c r="AC101" s="289"/>
      <c r="AD101" s="285"/>
      <c r="AE101" s="261"/>
      <c r="AF101" s="261"/>
      <c r="AG101" s="261"/>
      <c r="AH101" s="261"/>
    </row>
    <row r="102" ht="34.5" customHeight="1">
      <c r="A102" s="111"/>
      <c r="B102" s="111"/>
      <c r="C102" s="111"/>
      <c r="D102" s="111"/>
      <c r="E102" s="111"/>
      <c r="F102" s="111"/>
      <c r="G102" s="257"/>
      <c r="H102" s="111"/>
      <c r="I102" s="111"/>
      <c r="J102" s="111"/>
      <c r="K102" s="111"/>
      <c r="L102" s="111"/>
      <c r="M102" s="128"/>
      <c r="N102" s="124"/>
      <c r="O102" s="146"/>
      <c r="P102" s="124"/>
      <c r="Q102" s="124"/>
      <c r="R102" s="124"/>
      <c r="S102" s="124"/>
      <c r="T102" s="124"/>
      <c r="U102" s="124"/>
      <c r="V102" s="125"/>
      <c r="W102" s="126"/>
      <c r="X102" s="126"/>
      <c r="Y102" s="126"/>
      <c r="Z102" s="289"/>
      <c r="AA102" s="289"/>
      <c r="AB102" s="289"/>
      <c r="AC102" s="289"/>
      <c r="AD102" s="285"/>
      <c r="AE102" s="261"/>
      <c r="AF102" s="261"/>
      <c r="AG102" s="261"/>
      <c r="AH102" s="261"/>
    </row>
    <row r="103" ht="34.5" customHeight="1">
      <c r="A103" s="111"/>
      <c r="B103" s="111"/>
      <c r="C103" s="111"/>
      <c r="D103" s="111"/>
      <c r="E103" s="111"/>
      <c r="F103" s="111"/>
      <c r="G103" s="257"/>
      <c r="H103" s="111"/>
      <c r="I103" s="111"/>
      <c r="J103" s="111"/>
      <c r="K103" s="111"/>
      <c r="L103" s="111"/>
      <c r="M103" s="128"/>
      <c r="N103" s="124"/>
      <c r="O103" s="146"/>
      <c r="P103" s="124"/>
      <c r="Q103" s="124"/>
      <c r="R103" s="124"/>
      <c r="S103" s="124"/>
      <c r="T103" s="124"/>
      <c r="U103" s="124"/>
      <c r="V103" s="125"/>
      <c r="W103" s="126"/>
      <c r="X103" s="126"/>
      <c r="Y103" s="126"/>
      <c r="Z103" s="289"/>
      <c r="AA103" s="289"/>
      <c r="AB103" s="289"/>
      <c r="AC103" s="289"/>
      <c r="AD103" s="285"/>
      <c r="AE103" s="261"/>
      <c r="AF103" s="261"/>
      <c r="AG103" s="261"/>
      <c r="AH103" s="261"/>
    </row>
    <row r="104" ht="34.5" customHeight="1">
      <c r="A104" s="111"/>
      <c r="B104" s="111"/>
      <c r="C104" s="111"/>
      <c r="D104" s="111"/>
      <c r="E104" s="111"/>
      <c r="F104" s="111"/>
      <c r="G104" s="257"/>
      <c r="H104" s="111"/>
      <c r="I104" s="111"/>
      <c r="J104" s="111"/>
      <c r="K104" s="111"/>
      <c r="L104" s="111"/>
      <c r="M104" s="128"/>
      <c r="N104" s="124"/>
      <c r="O104" s="146"/>
      <c r="P104" s="124"/>
      <c r="Q104" s="124"/>
      <c r="R104" s="124"/>
      <c r="S104" s="124"/>
      <c r="T104" s="124"/>
      <c r="U104" s="124"/>
      <c r="V104" s="125"/>
      <c r="W104" s="126"/>
      <c r="X104" s="126"/>
      <c r="Y104" s="126"/>
      <c r="Z104" s="289"/>
      <c r="AA104" s="289"/>
      <c r="AB104" s="289"/>
      <c r="AC104" s="289"/>
      <c r="AD104" s="285"/>
      <c r="AE104" s="261"/>
      <c r="AF104" s="261"/>
      <c r="AG104" s="261"/>
      <c r="AH104" s="261"/>
    </row>
    <row r="105" ht="34.5" customHeight="1">
      <c r="A105" s="111"/>
      <c r="B105" s="111"/>
      <c r="C105" s="111"/>
      <c r="D105" s="111"/>
      <c r="E105" s="111"/>
      <c r="F105" s="111"/>
      <c r="G105" s="257"/>
      <c r="H105" s="111"/>
      <c r="I105" s="111"/>
      <c r="J105" s="111"/>
      <c r="K105" s="111"/>
      <c r="L105" s="111"/>
      <c r="M105" s="128"/>
      <c r="N105" s="124"/>
      <c r="O105" s="146"/>
      <c r="P105" s="124"/>
      <c r="Q105" s="124"/>
      <c r="R105" s="124"/>
      <c r="S105" s="124"/>
      <c r="T105" s="124"/>
      <c r="U105" s="124"/>
      <c r="V105" s="125"/>
      <c r="W105" s="126"/>
      <c r="X105" s="126"/>
      <c r="Y105" s="126"/>
      <c r="Z105" s="289"/>
      <c r="AA105" s="289"/>
      <c r="AB105" s="289"/>
      <c r="AC105" s="289"/>
      <c r="AD105" s="285"/>
      <c r="AE105" s="261"/>
      <c r="AF105" s="261"/>
      <c r="AG105" s="261"/>
      <c r="AH105" s="261"/>
    </row>
    <row r="106" ht="34.5" customHeight="1">
      <c r="A106" s="111"/>
      <c r="B106" s="111"/>
      <c r="C106" s="111"/>
      <c r="D106" s="111"/>
      <c r="E106" s="111"/>
      <c r="F106" s="111"/>
      <c r="G106" s="257"/>
      <c r="H106" s="111"/>
      <c r="I106" s="111"/>
      <c r="J106" s="111"/>
      <c r="K106" s="111"/>
      <c r="L106" s="111"/>
      <c r="M106" s="128"/>
      <c r="N106" s="124"/>
      <c r="O106" s="146"/>
      <c r="P106" s="124"/>
      <c r="Q106" s="124"/>
      <c r="R106" s="124"/>
      <c r="S106" s="124"/>
      <c r="T106" s="124"/>
      <c r="U106" s="124"/>
      <c r="V106" s="125"/>
      <c r="W106" s="126"/>
      <c r="X106" s="126"/>
      <c r="Y106" s="126"/>
      <c r="Z106" s="290"/>
      <c r="AA106" s="290"/>
      <c r="AB106" s="290"/>
      <c r="AC106" s="290"/>
      <c r="AD106" s="285"/>
      <c r="AE106" s="261"/>
      <c r="AF106" s="261"/>
      <c r="AG106" s="261"/>
      <c r="AH106" s="261"/>
    </row>
    <row r="107" ht="34.5" customHeight="1">
      <c r="A107" s="111"/>
      <c r="B107" s="111"/>
      <c r="C107" s="111"/>
      <c r="D107" s="111"/>
      <c r="E107" s="111"/>
      <c r="F107" s="111"/>
      <c r="G107" s="257"/>
      <c r="H107" s="111"/>
      <c r="I107" s="111"/>
      <c r="J107" s="111"/>
      <c r="K107" s="111"/>
      <c r="L107" s="111"/>
      <c r="M107" s="128"/>
      <c r="N107" s="124"/>
      <c r="O107" s="146"/>
      <c r="P107" s="124"/>
      <c r="Q107" s="124"/>
      <c r="R107" s="124"/>
      <c r="S107" s="124"/>
      <c r="T107" s="124"/>
      <c r="U107" s="124"/>
      <c r="V107" s="125"/>
      <c r="W107" s="126"/>
      <c r="X107" s="126"/>
      <c r="Y107" s="126"/>
      <c r="Z107" s="290"/>
      <c r="AA107" s="290"/>
      <c r="AB107" s="290"/>
      <c r="AC107" s="290"/>
      <c r="AD107" s="285"/>
      <c r="AE107" s="261"/>
      <c r="AF107" s="261"/>
      <c r="AG107" s="261"/>
      <c r="AH107" s="261"/>
    </row>
    <row r="108" ht="34.5" customHeight="1">
      <c r="A108" s="111"/>
      <c r="B108" s="111"/>
      <c r="C108" s="111"/>
      <c r="D108" s="111"/>
      <c r="E108" s="111"/>
      <c r="F108" s="111"/>
      <c r="G108" s="257"/>
      <c r="H108" s="111"/>
      <c r="I108" s="111"/>
      <c r="J108" s="111"/>
      <c r="K108" s="111"/>
      <c r="L108" s="111"/>
      <c r="M108" s="128"/>
      <c r="N108" s="124"/>
      <c r="O108" s="146"/>
      <c r="P108" s="124"/>
      <c r="Q108" s="124"/>
      <c r="R108" s="124"/>
      <c r="S108" s="124"/>
      <c r="T108" s="124"/>
      <c r="U108" s="124"/>
      <c r="V108" s="125"/>
      <c r="W108" s="126"/>
      <c r="X108" s="126"/>
      <c r="Y108" s="126"/>
      <c r="Z108" s="290"/>
      <c r="AA108" s="290"/>
      <c r="AB108" s="290"/>
      <c r="AC108" s="290"/>
      <c r="AD108" s="285"/>
      <c r="AE108" s="261"/>
      <c r="AF108" s="261"/>
      <c r="AG108" s="261"/>
      <c r="AH108" s="261"/>
    </row>
    <row r="109" ht="34.5" customHeight="1">
      <c r="A109" s="111"/>
      <c r="B109" s="111"/>
      <c r="C109" s="111"/>
      <c r="D109" s="111"/>
      <c r="E109" s="111"/>
      <c r="F109" s="111"/>
      <c r="G109" s="257"/>
      <c r="H109" s="111"/>
      <c r="I109" s="111"/>
      <c r="J109" s="111"/>
      <c r="K109" s="111"/>
      <c r="L109" s="111"/>
      <c r="M109" s="128"/>
      <c r="N109" s="124"/>
      <c r="O109" s="146"/>
      <c r="P109" s="124"/>
      <c r="Q109" s="124"/>
      <c r="R109" s="124"/>
      <c r="S109" s="124"/>
      <c r="T109" s="124"/>
      <c r="U109" s="124"/>
      <c r="V109" s="125"/>
      <c r="W109" s="126"/>
      <c r="X109" s="126"/>
      <c r="Y109" s="126"/>
      <c r="Z109" s="290"/>
      <c r="AA109" s="290"/>
      <c r="AB109" s="290"/>
      <c r="AC109" s="290"/>
      <c r="AD109" s="285"/>
      <c r="AE109" s="261"/>
      <c r="AF109" s="261"/>
      <c r="AG109" s="261"/>
      <c r="AH109" s="261"/>
    </row>
    <row r="110" ht="34.5" customHeight="1">
      <c r="A110" s="111"/>
      <c r="B110" s="111"/>
      <c r="C110" s="111"/>
      <c r="D110" s="111"/>
      <c r="E110" s="111"/>
      <c r="F110" s="111"/>
      <c r="G110" s="257"/>
      <c r="H110" s="111"/>
      <c r="I110" s="111"/>
      <c r="J110" s="111"/>
      <c r="K110" s="111"/>
      <c r="L110" s="111"/>
      <c r="M110" s="128"/>
      <c r="N110" s="124"/>
      <c r="O110" s="146"/>
      <c r="P110" s="124"/>
      <c r="Q110" s="124"/>
      <c r="R110" s="124"/>
      <c r="S110" s="124"/>
      <c r="T110" s="124"/>
      <c r="U110" s="124"/>
      <c r="V110" s="125"/>
      <c r="W110" s="126"/>
      <c r="X110" s="126"/>
      <c r="Y110" s="126"/>
      <c r="Z110" s="290"/>
      <c r="AA110" s="290"/>
      <c r="AB110" s="290"/>
      <c r="AC110" s="290"/>
      <c r="AD110" s="285"/>
      <c r="AE110" s="261"/>
      <c r="AF110" s="261"/>
      <c r="AG110" s="261"/>
      <c r="AH110" s="261"/>
    </row>
    <row r="111" ht="34.5" customHeight="1">
      <c r="A111" s="111"/>
      <c r="B111" s="111"/>
      <c r="C111" s="111"/>
      <c r="D111" s="111"/>
      <c r="E111" s="111"/>
      <c r="F111" s="111"/>
      <c r="G111" s="257"/>
      <c r="H111" s="111"/>
      <c r="I111" s="111"/>
      <c r="J111" s="111"/>
      <c r="K111" s="111"/>
      <c r="L111" s="111"/>
      <c r="M111" s="128"/>
      <c r="N111" s="124"/>
      <c r="O111" s="146"/>
      <c r="P111" s="124"/>
      <c r="Q111" s="124"/>
      <c r="R111" s="124"/>
      <c r="S111" s="124"/>
      <c r="T111" s="124"/>
      <c r="U111" s="124"/>
      <c r="V111" s="125"/>
      <c r="W111" s="126"/>
      <c r="X111" s="126"/>
      <c r="Y111" s="126"/>
      <c r="Z111" s="290"/>
      <c r="AA111" s="290"/>
      <c r="AB111" s="290"/>
      <c r="AC111" s="290"/>
      <c r="AD111" s="285"/>
      <c r="AE111" s="261"/>
      <c r="AF111" s="261"/>
      <c r="AG111" s="261"/>
      <c r="AH111" s="261"/>
    </row>
    <row r="112" ht="34.5" customHeight="1">
      <c r="A112" s="111"/>
      <c r="B112" s="111"/>
      <c r="C112" s="111"/>
      <c r="D112" s="111"/>
      <c r="E112" s="111"/>
      <c r="F112" s="111"/>
      <c r="G112" s="257"/>
      <c r="H112" s="111"/>
      <c r="I112" s="111"/>
      <c r="J112" s="111"/>
      <c r="K112" s="111"/>
      <c r="L112" s="111"/>
      <c r="M112" s="128"/>
      <c r="N112" s="124"/>
      <c r="O112" s="146"/>
      <c r="P112" s="124"/>
      <c r="Q112" s="124"/>
      <c r="R112" s="124"/>
      <c r="S112" s="124"/>
      <c r="T112" s="124"/>
      <c r="U112" s="124"/>
      <c r="V112" s="125"/>
      <c r="W112" s="126"/>
      <c r="X112" s="126"/>
      <c r="Y112" s="126"/>
      <c r="Z112" s="290"/>
      <c r="AA112" s="290"/>
      <c r="AB112" s="290"/>
      <c r="AC112" s="290"/>
      <c r="AD112" s="285"/>
      <c r="AE112" s="261"/>
      <c r="AF112" s="261"/>
      <c r="AG112" s="261"/>
      <c r="AH112" s="261"/>
    </row>
    <row r="113" ht="34.5" customHeight="1">
      <c r="A113" s="111"/>
      <c r="B113" s="111"/>
      <c r="C113" s="111"/>
      <c r="D113" s="111"/>
      <c r="E113" s="111"/>
      <c r="F113" s="111"/>
      <c r="G113" s="257"/>
      <c r="H113" s="111"/>
      <c r="I113" s="111"/>
      <c r="J113" s="111"/>
      <c r="K113" s="111"/>
      <c r="L113" s="111"/>
      <c r="M113" s="128"/>
      <c r="N113" s="124"/>
      <c r="O113" s="146"/>
      <c r="P113" s="124"/>
      <c r="Q113" s="124"/>
      <c r="R113" s="124"/>
      <c r="S113" s="124"/>
      <c r="T113" s="124"/>
      <c r="U113" s="124"/>
      <c r="V113" s="125"/>
      <c r="W113" s="126"/>
      <c r="X113" s="126"/>
      <c r="Y113" s="126"/>
      <c r="Z113" s="290"/>
      <c r="AA113" s="290"/>
      <c r="AB113" s="290"/>
      <c r="AC113" s="290"/>
      <c r="AD113" s="285"/>
      <c r="AE113" s="261"/>
      <c r="AF113" s="261"/>
      <c r="AG113" s="261"/>
      <c r="AH113" s="261"/>
    </row>
    <row r="114" ht="34.5" customHeight="1">
      <c r="A114" s="111"/>
      <c r="B114" s="111"/>
      <c r="C114" s="111"/>
      <c r="D114" s="111"/>
      <c r="E114" s="111"/>
      <c r="F114" s="111"/>
      <c r="G114" s="257"/>
      <c r="H114" s="111"/>
      <c r="I114" s="111"/>
      <c r="J114" s="111"/>
      <c r="K114" s="111"/>
      <c r="L114" s="111"/>
      <c r="M114" s="128"/>
      <c r="N114" s="124"/>
      <c r="O114" s="146"/>
      <c r="P114" s="124"/>
      <c r="Q114" s="124"/>
      <c r="R114" s="124"/>
      <c r="S114" s="124"/>
      <c r="T114" s="124"/>
      <c r="U114" s="124"/>
      <c r="V114" s="125"/>
      <c r="W114" s="126"/>
      <c r="X114" s="126"/>
      <c r="Y114" s="126"/>
      <c r="Z114" s="290"/>
      <c r="AA114" s="290"/>
      <c r="AB114" s="290"/>
      <c r="AC114" s="290"/>
      <c r="AD114" s="285"/>
      <c r="AE114" s="261"/>
      <c r="AF114" s="261"/>
      <c r="AG114" s="261"/>
      <c r="AH114" s="261"/>
    </row>
    <row r="115" ht="34.5" customHeight="1">
      <c r="A115" s="111"/>
      <c r="B115" s="111"/>
      <c r="C115" s="111"/>
      <c r="D115" s="111"/>
      <c r="E115" s="111"/>
      <c r="F115" s="111"/>
      <c r="G115" s="257"/>
      <c r="H115" s="111"/>
      <c r="I115" s="111"/>
      <c r="J115" s="111"/>
      <c r="K115" s="111"/>
      <c r="L115" s="111"/>
      <c r="M115" s="128"/>
      <c r="N115" s="124"/>
      <c r="O115" s="146"/>
      <c r="P115" s="124"/>
      <c r="Q115" s="124"/>
      <c r="R115" s="124"/>
      <c r="S115" s="124"/>
      <c r="T115" s="124"/>
      <c r="U115" s="124"/>
      <c r="V115" s="125"/>
      <c r="W115" s="126"/>
      <c r="X115" s="126"/>
      <c r="Y115" s="126"/>
      <c r="Z115" s="290"/>
      <c r="AA115" s="290"/>
      <c r="AB115" s="290"/>
      <c r="AC115" s="290"/>
      <c r="AD115" s="285"/>
      <c r="AE115" s="261"/>
      <c r="AF115" s="261"/>
      <c r="AG115" s="261"/>
      <c r="AH115" s="261"/>
    </row>
    <row r="116" ht="34.5" customHeight="1">
      <c r="A116" s="111"/>
      <c r="B116" s="111"/>
      <c r="C116" s="111"/>
      <c r="D116" s="111"/>
      <c r="E116" s="111"/>
      <c r="F116" s="111"/>
      <c r="G116" s="257"/>
      <c r="H116" s="111"/>
      <c r="I116" s="111"/>
      <c r="J116" s="111"/>
      <c r="K116" s="111"/>
      <c r="L116" s="111"/>
      <c r="M116" s="128"/>
      <c r="N116" s="124"/>
      <c r="O116" s="146"/>
      <c r="P116" s="124"/>
      <c r="Q116" s="124"/>
      <c r="R116" s="124"/>
      <c r="S116" s="124"/>
      <c r="T116" s="124"/>
      <c r="U116" s="124"/>
      <c r="V116" s="125"/>
      <c r="W116" s="126"/>
      <c r="X116" s="126"/>
      <c r="Y116" s="126"/>
      <c r="Z116" s="290"/>
      <c r="AA116" s="290"/>
      <c r="AB116" s="290"/>
      <c r="AC116" s="290"/>
      <c r="AD116" s="285"/>
      <c r="AE116" s="261"/>
      <c r="AF116" s="261"/>
      <c r="AG116" s="261"/>
      <c r="AH116" s="261"/>
    </row>
    <row r="117" ht="34.5" customHeight="1">
      <c r="A117" s="111"/>
      <c r="B117" s="111"/>
      <c r="C117" s="111"/>
      <c r="D117" s="111"/>
      <c r="E117" s="111"/>
      <c r="F117" s="111"/>
      <c r="G117" s="257"/>
      <c r="H117" s="111"/>
      <c r="I117" s="111"/>
      <c r="J117" s="111"/>
      <c r="K117" s="111"/>
      <c r="L117" s="111"/>
      <c r="M117" s="128"/>
      <c r="N117" s="124"/>
      <c r="O117" s="146"/>
      <c r="P117" s="124"/>
      <c r="Q117" s="124"/>
      <c r="R117" s="124"/>
      <c r="S117" s="124"/>
      <c r="T117" s="124"/>
      <c r="U117" s="124"/>
      <c r="V117" s="125"/>
      <c r="W117" s="126"/>
      <c r="X117" s="126"/>
      <c r="Y117" s="126"/>
      <c r="Z117" s="290"/>
      <c r="AA117" s="290"/>
      <c r="AB117" s="290"/>
      <c r="AC117" s="290"/>
      <c r="AD117" s="285"/>
      <c r="AE117" s="261"/>
      <c r="AF117" s="261"/>
      <c r="AG117" s="261"/>
      <c r="AH117" s="261"/>
    </row>
    <row r="118" ht="34.5" customHeight="1">
      <c r="A118" s="111"/>
      <c r="B118" s="111"/>
      <c r="C118" s="111"/>
      <c r="D118" s="111"/>
      <c r="E118" s="111"/>
      <c r="F118" s="111"/>
      <c r="G118" s="257"/>
      <c r="H118" s="111"/>
      <c r="I118" s="111"/>
      <c r="J118" s="111"/>
      <c r="K118" s="111"/>
      <c r="L118" s="111"/>
      <c r="M118" s="128"/>
      <c r="N118" s="124"/>
      <c r="O118" s="146"/>
      <c r="P118" s="124"/>
      <c r="Q118" s="124"/>
      <c r="R118" s="124"/>
      <c r="S118" s="124"/>
      <c r="T118" s="124"/>
      <c r="U118" s="124"/>
      <c r="V118" s="125"/>
      <c r="W118" s="126"/>
      <c r="X118" s="126"/>
      <c r="Y118" s="126"/>
      <c r="Z118" s="290"/>
      <c r="AA118" s="290"/>
      <c r="AB118" s="290"/>
      <c r="AC118" s="290"/>
      <c r="AD118" s="285"/>
      <c r="AE118" s="261"/>
      <c r="AF118" s="261"/>
      <c r="AG118" s="261"/>
      <c r="AH118" s="261"/>
    </row>
    <row r="119" ht="34.5" customHeight="1">
      <c r="A119" s="111"/>
      <c r="B119" s="111"/>
      <c r="C119" s="111"/>
      <c r="D119" s="111"/>
      <c r="E119" s="111"/>
      <c r="F119" s="111"/>
      <c r="G119" s="257"/>
      <c r="H119" s="111"/>
      <c r="I119" s="111"/>
      <c r="J119" s="111"/>
      <c r="K119" s="111"/>
      <c r="L119" s="111"/>
      <c r="M119" s="128"/>
      <c r="N119" s="124"/>
      <c r="O119" s="146"/>
      <c r="P119" s="124"/>
      <c r="Q119" s="124"/>
      <c r="R119" s="124"/>
      <c r="S119" s="124"/>
      <c r="T119" s="124"/>
      <c r="U119" s="124"/>
      <c r="V119" s="125"/>
      <c r="W119" s="126"/>
      <c r="X119" s="126"/>
      <c r="Y119" s="126"/>
      <c r="Z119" s="290"/>
      <c r="AA119" s="290"/>
      <c r="AB119" s="290"/>
      <c r="AC119" s="290"/>
      <c r="AD119" s="285"/>
      <c r="AE119" s="261"/>
      <c r="AF119" s="261"/>
      <c r="AG119" s="261"/>
      <c r="AH119" s="261"/>
    </row>
    <row r="120" ht="34.5" customHeight="1">
      <c r="A120" s="111"/>
      <c r="B120" s="111"/>
      <c r="C120" s="111"/>
      <c r="D120" s="111"/>
      <c r="E120" s="111"/>
      <c r="F120" s="111"/>
      <c r="G120" s="257"/>
      <c r="H120" s="111"/>
      <c r="I120" s="111"/>
      <c r="J120" s="111"/>
      <c r="K120" s="111"/>
      <c r="L120" s="111"/>
      <c r="M120" s="128"/>
      <c r="N120" s="124"/>
      <c r="O120" s="146"/>
      <c r="P120" s="124"/>
      <c r="Q120" s="124"/>
      <c r="R120" s="124"/>
      <c r="S120" s="124"/>
      <c r="T120" s="124"/>
      <c r="U120" s="124"/>
      <c r="V120" s="125"/>
      <c r="W120" s="126"/>
      <c r="X120" s="126"/>
      <c r="Y120" s="126"/>
      <c r="Z120" s="127"/>
      <c r="AA120" s="127"/>
      <c r="AB120" s="127"/>
      <c r="AC120" s="127"/>
      <c r="AD120" s="285"/>
      <c r="AE120" s="261"/>
      <c r="AF120" s="261"/>
      <c r="AG120" s="261"/>
      <c r="AH120" s="261"/>
    </row>
    <row r="121" ht="34.5" customHeight="1">
      <c r="A121" s="111"/>
      <c r="B121" s="111"/>
      <c r="C121" s="111"/>
      <c r="D121" s="111"/>
      <c r="E121" s="111"/>
      <c r="F121" s="111"/>
      <c r="G121" s="257"/>
      <c r="H121" s="111"/>
      <c r="I121" s="111"/>
      <c r="J121" s="111"/>
      <c r="K121" s="111"/>
      <c r="L121" s="111"/>
      <c r="M121" s="128"/>
      <c r="N121" s="124"/>
      <c r="O121" s="146"/>
      <c r="P121" s="124"/>
      <c r="Q121" s="124"/>
      <c r="R121" s="124"/>
      <c r="S121" s="124"/>
      <c r="T121" s="124"/>
      <c r="U121" s="124"/>
      <c r="V121" s="125"/>
      <c r="W121" s="126"/>
      <c r="X121" s="126"/>
      <c r="Y121" s="126"/>
      <c r="Z121" s="127"/>
      <c r="AA121" s="127"/>
      <c r="AB121" s="127"/>
      <c r="AC121" s="127"/>
      <c r="AD121" s="285"/>
      <c r="AE121" s="261"/>
      <c r="AF121" s="261"/>
      <c r="AG121" s="261"/>
      <c r="AH121" s="261"/>
    </row>
    <row r="122" ht="34.5" customHeight="1">
      <c r="A122" s="111"/>
      <c r="B122" s="111"/>
      <c r="C122" s="111"/>
      <c r="D122" s="111"/>
      <c r="E122" s="111"/>
      <c r="F122" s="111"/>
      <c r="G122" s="257"/>
      <c r="H122" s="111"/>
      <c r="I122" s="111"/>
      <c r="J122" s="111"/>
      <c r="K122" s="111"/>
      <c r="L122" s="111"/>
      <c r="M122" s="128"/>
      <c r="N122" s="124"/>
      <c r="O122" s="146"/>
      <c r="P122" s="124"/>
      <c r="Q122" s="124"/>
      <c r="R122" s="124"/>
      <c r="S122" s="124"/>
      <c r="T122" s="124"/>
      <c r="U122" s="124"/>
      <c r="V122" s="125"/>
      <c r="W122" s="126"/>
      <c r="X122" s="126"/>
      <c r="Y122" s="126"/>
      <c r="Z122" s="127"/>
      <c r="AA122" s="127"/>
      <c r="AB122" s="127"/>
      <c r="AC122" s="127"/>
      <c r="AD122" s="285"/>
      <c r="AE122" s="261"/>
      <c r="AF122" s="261"/>
      <c r="AG122" s="261"/>
      <c r="AH122" s="261"/>
    </row>
    <row r="123" ht="34.5" customHeight="1">
      <c r="A123" s="111"/>
      <c r="B123" s="111"/>
      <c r="C123" s="111"/>
      <c r="D123" s="111"/>
      <c r="E123" s="111"/>
      <c r="F123" s="111"/>
      <c r="G123" s="257"/>
      <c r="H123" s="111"/>
      <c r="I123" s="111"/>
      <c r="J123" s="111"/>
      <c r="K123" s="111"/>
      <c r="L123" s="111"/>
      <c r="M123" s="128"/>
      <c r="N123" s="124"/>
      <c r="O123" s="146"/>
      <c r="P123" s="124"/>
      <c r="Q123" s="124"/>
      <c r="R123" s="124"/>
      <c r="S123" s="124"/>
      <c r="T123" s="124"/>
      <c r="U123" s="124"/>
      <c r="V123" s="125"/>
      <c r="W123" s="126"/>
      <c r="X123" s="126"/>
      <c r="Y123" s="126"/>
      <c r="Z123" s="127"/>
      <c r="AA123" s="127"/>
      <c r="AB123" s="127"/>
      <c r="AC123" s="127"/>
      <c r="AD123" s="285"/>
      <c r="AE123" s="261"/>
      <c r="AF123" s="261"/>
      <c r="AG123" s="261"/>
      <c r="AH123" s="261"/>
    </row>
    <row r="124" ht="34.5" customHeight="1">
      <c r="A124" s="111"/>
      <c r="B124" s="111"/>
      <c r="C124" s="111"/>
      <c r="D124" s="111"/>
      <c r="E124" s="111"/>
      <c r="F124" s="111"/>
      <c r="G124" s="257"/>
      <c r="H124" s="111"/>
      <c r="I124" s="111"/>
      <c r="J124" s="111"/>
      <c r="K124" s="111"/>
      <c r="L124" s="111"/>
      <c r="M124" s="128"/>
      <c r="N124" s="124"/>
      <c r="O124" s="146"/>
      <c r="P124" s="124"/>
      <c r="Q124" s="124"/>
      <c r="R124" s="124"/>
      <c r="S124" s="124"/>
      <c r="T124" s="124"/>
      <c r="U124" s="124"/>
      <c r="V124" s="125"/>
      <c r="W124" s="126"/>
      <c r="X124" s="126"/>
      <c r="Y124" s="126"/>
      <c r="Z124" s="127"/>
      <c r="AA124" s="127"/>
      <c r="AB124" s="127"/>
      <c r="AC124" s="127"/>
      <c r="AD124" s="285"/>
      <c r="AE124" s="261"/>
      <c r="AF124" s="261"/>
      <c r="AG124" s="261"/>
      <c r="AH124" s="261"/>
    </row>
    <row r="125" ht="34.5" customHeight="1">
      <c r="A125" s="111"/>
      <c r="B125" s="111"/>
      <c r="C125" s="111"/>
      <c r="D125" s="111"/>
      <c r="E125" s="111"/>
      <c r="F125" s="111"/>
      <c r="G125" s="257"/>
      <c r="H125" s="111"/>
      <c r="I125" s="111"/>
      <c r="J125" s="111"/>
      <c r="K125" s="111"/>
      <c r="L125" s="111"/>
      <c r="M125" s="128"/>
      <c r="N125" s="124"/>
      <c r="O125" s="146"/>
      <c r="P125" s="124"/>
      <c r="Q125" s="124"/>
      <c r="R125" s="124"/>
      <c r="S125" s="124"/>
      <c r="T125" s="124"/>
      <c r="U125" s="124"/>
      <c r="V125" s="125"/>
      <c r="W125" s="126"/>
      <c r="X125" s="126"/>
      <c r="Y125" s="126"/>
      <c r="Z125" s="127"/>
      <c r="AA125" s="127"/>
      <c r="AB125" s="127"/>
      <c r="AC125" s="127"/>
      <c r="AD125" s="285"/>
      <c r="AE125" s="261"/>
      <c r="AF125" s="261"/>
      <c r="AG125" s="261"/>
      <c r="AH125" s="261"/>
    </row>
    <row r="126" ht="34.5" customHeight="1">
      <c r="A126" s="111"/>
      <c r="B126" s="111"/>
      <c r="C126" s="111"/>
      <c r="D126" s="111"/>
      <c r="E126" s="111"/>
      <c r="F126" s="111"/>
      <c r="G126" s="257"/>
      <c r="H126" s="111"/>
      <c r="I126" s="111"/>
      <c r="J126" s="111"/>
      <c r="K126" s="111"/>
      <c r="L126" s="111"/>
      <c r="M126" s="128"/>
      <c r="N126" s="124"/>
      <c r="O126" s="146"/>
      <c r="P126" s="124"/>
      <c r="Q126" s="124"/>
      <c r="R126" s="124"/>
      <c r="S126" s="124"/>
      <c r="T126" s="124"/>
      <c r="U126" s="124"/>
      <c r="V126" s="125"/>
      <c r="W126" s="126"/>
      <c r="X126" s="126"/>
      <c r="Y126" s="126"/>
      <c r="Z126" s="127"/>
      <c r="AA126" s="127"/>
      <c r="AB126" s="127"/>
      <c r="AC126" s="127"/>
      <c r="AD126" s="285"/>
      <c r="AE126" s="261"/>
      <c r="AF126" s="261"/>
      <c r="AG126" s="261"/>
      <c r="AH126" s="261"/>
    </row>
    <row r="127" ht="34.5" customHeight="1">
      <c r="A127" s="111"/>
      <c r="B127" s="111"/>
      <c r="C127" s="111"/>
      <c r="D127" s="111"/>
      <c r="E127" s="111"/>
      <c r="F127" s="111"/>
      <c r="G127" s="257"/>
      <c r="H127" s="111"/>
      <c r="I127" s="111"/>
      <c r="J127" s="111"/>
      <c r="K127" s="111"/>
      <c r="L127" s="111"/>
      <c r="M127" s="128"/>
      <c r="N127" s="124"/>
      <c r="O127" s="146"/>
      <c r="P127" s="124"/>
      <c r="Q127" s="124"/>
      <c r="R127" s="124"/>
      <c r="S127" s="124"/>
      <c r="T127" s="124"/>
      <c r="U127" s="124"/>
      <c r="V127" s="125"/>
      <c r="W127" s="126"/>
      <c r="X127" s="126"/>
      <c r="Y127" s="126"/>
      <c r="Z127" s="127"/>
      <c r="AA127" s="127"/>
      <c r="AB127" s="127"/>
      <c r="AC127" s="127"/>
      <c r="AD127" s="285"/>
      <c r="AE127" s="261"/>
      <c r="AF127" s="261"/>
      <c r="AG127" s="261"/>
      <c r="AH127" s="261"/>
    </row>
    <row r="128" ht="34.5" customHeight="1">
      <c r="A128" s="111"/>
      <c r="B128" s="111"/>
      <c r="C128" s="111"/>
      <c r="D128" s="111"/>
      <c r="E128" s="111"/>
      <c r="F128" s="111"/>
      <c r="G128" s="257"/>
      <c r="H128" s="111"/>
      <c r="I128" s="111"/>
      <c r="J128" s="111"/>
      <c r="K128" s="111"/>
      <c r="L128" s="111"/>
      <c r="M128" s="128"/>
      <c r="N128" s="124"/>
      <c r="O128" s="146"/>
      <c r="P128" s="124"/>
      <c r="Q128" s="124"/>
      <c r="R128" s="124"/>
      <c r="S128" s="124"/>
      <c r="T128" s="124"/>
      <c r="U128" s="124"/>
      <c r="V128" s="125"/>
      <c r="W128" s="126"/>
      <c r="X128" s="126"/>
      <c r="Y128" s="126"/>
      <c r="Z128" s="127"/>
      <c r="AA128" s="127"/>
      <c r="AB128" s="127"/>
      <c r="AC128" s="127"/>
      <c r="AD128" s="285"/>
      <c r="AE128" s="261"/>
      <c r="AF128" s="261"/>
      <c r="AG128" s="261"/>
      <c r="AH128" s="261"/>
    </row>
    <row r="129" ht="34.5" customHeight="1">
      <c r="A129" s="111"/>
      <c r="B129" s="111"/>
      <c r="C129" s="111"/>
      <c r="D129" s="111"/>
      <c r="E129" s="111"/>
      <c r="F129" s="111"/>
      <c r="G129" s="257"/>
      <c r="H129" s="111"/>
      <c r="I129" s="111"/>
      <c r="J129" s="111"/>
      <c r="K129" s="111"/>
      <c r="L129" s="111"/>
      <c r="M129" s="128"/>
      <c r="N129" s="124"/>
      <c r="O129" s="146"/>
      <c r="P129" s="124"/>
      <c r="Q129" s="124"/>
      <c r="R129" s="124"/>
      <c r="S129" s="124"/>
      <c r="T129" s="124"/>
      <c r="U129" s="124"/>
      <c r="V129" s="125"/>
      <c r="W129" s="126"/>
      <c r="X129" s="126"/>
      <c r="Y129" s="126"/>
      <c r="Z129" s="127"/>
      <c r="AA129" s="127"/>
      <c r="AB129" s="127"/>
      <c r="AC129" s="127"/>
      <c r="AD129" s="285"/>
      <c r="AE129" s="261"/>
      <c r="AF129" s="261"/>
      <c r="AG129" s="261"/>
      <c r="AH129" s="261"/>
    </row>
    <row r="130" ht="34.5" customHeight="1">
      <c r="A130" s="111"/>
      <c r="B130" s="111"/>
      <c r="C130" s="111"/>
      <c r="D130" s="111"/>
      <c r="E130" s="111"/>
      <c r="F130" s="111"/>
      <c r="G130" s="257"/>
      <c r="H130" s="111"/>
      <c r="I130" s="111"/>
      <c r="J130" s="111"/>
      <c r="K130" s="111"/>
      <c r="L130" s="111"/>
      <c r="M130" s="128"/>
      <c r="N130" s="124"/>
      <c r="O130" s="146"/>
      <c r="P130" s="124"/>
      <c r="Q130" s="124"/>
      <c r="R130" s="124"/>
      <c r="S130" s="124"/>
      <c r="T130" s="124"/>
      <c r="U130" s="124"/>
      <c r="V130" s="125"/>
      <c r="W130" s="126"/>
      <c r="X130" s="126"/>
      <c r="Y130" s="126"/>
      <c r="Z130" s="127"/>
      <c r="AA130" s="127"/>
      <c r="AB130" s="127"/>
      <c r="AC130" s="127"/>
      <c r="AD130" s="285"/>
      <c r="AE130" s="261"/>
      <c r="AF130" s="261"/>
      <c r="AG130" s="261"/>
      <c r="AH130" s="261"/>
    </row>
    <row r="131" ht="34.5" customHeight="1">
      <c r="A131" s="111"/>
      <c r="B131" s="111"/>
      <c r="C131" s="111"/>
      <c r="D131" s="111"/>
      <c r="E131" s="111"/>
      <c r="F131" s="111"/>
      <c r="G131" s="257"/>
      <c r="H131" s="111"/>
      <c r="I131" s="111"/>
      <c r="J131" s="111"/>
      <c r="K131" s="111"/>
      <c r="L131" s="111"/>
      <c r="M131" s="128"/>
      <c r="N131" s="124"/>
      <c r="O131" s="146"/>
      <c r="P131" s="124"/>
      <c r="Q131" s="124"/>
      <c r="R131" s="124"/>
      <c r="S131" s="124"/>
      <c r="T131" s="124"/>
      <c r="U131" s="124"/>
      <c r="V131" s="125"/>
      <c r="W131" s="126"/>
      <c r="X131" s="126"/>
      <c r="Y131" s="126"/>
      <c r="Z131" s="127"/>
      <c r="AA131" s="127"/>
      <c r="AB131" s="127"/>
      <c r="AC131" s="127"/>
      <c r="AD131" s="285"/>
      <c r="AE131" s="261"/>
      <c r="AF131" s="261"/>
      <c r="AG131" s="261"/>
      <c r="AH131" s="261"/>
    </row>
    <row r="132" ht="34.5" customHeight="1">
      <c r="A132" s="111"/>
      <c r="B132" s="111"/>
      <c r="C132" s="111"/>
      <c r="D132" s="111"/>
      <c r="E132" s="111"/>
      <c r="F132" s="111"/>
      <c r="G132" s="257"/>
      <c r="H132" s="111"/>
      <c r="I132" s="111"/>
      <c r="J132" s="111"/>
      <c r="K132" s="111"/>
      <c r="L132" s="111"/>
      <c r="M132" s="128"/>
      <c r="N132" s="124"/>
      <c r="O132" s="146"/>
      <c r="P132" s="124"/>
      <c r="Q132" s="124"/>
      <c r="R132" s="124"/>
      <c r="S132" s="124"/>
      <c r="T132" s="124"/>
      <c r="U132" s="124"/>
      <c r="V132" s="125"/>
      <c r="W132" s="126"/>
      <c r="X132" s="126"/>
      <c r="Y132" s="126"/>
      <c r="Z132" s="127"/>
      <c r="AA132" s="127"/>
      <c r="AB132" s="127"/>
      <c r="AC132" s="127"/>
      <c r="AD132" s="285"/>
      <c r="AE132" s="261"/>
      <c r="AF132" s="261"/>
      <c r="AG132" s="261"/>
      <c r="AH132" s="261"/>
    </row>
    <row r="133" ht="34.5" customHeight="1">
      <c r="A133" s="111"/>
      <c r="B133" s="111"/>
      <c r="C133" s="111"/>
      <c r="D133" s="111"/>
      <c r="E133" s="111"/>
      <c r="F133" s="111"/>
      <c r="G133" s="257"/>
      <c r="H133" s="111"/>
      <c r="I133" s="111"/>
      <c r="J133" s="111"/>
      <c r="K133" s="111"/>
      <c r="L133" s="111"/>
      <c r="M133" s="128"/>
      <c r="N133" s="124"/>
      <c r="O133" s="146"/>
      <c r="P133" s="124"/>
      <c r="Q133" s="124"/>
      <c r="R133" s="124"/>
      <c r="S133" s="124"/>
      <c r="T133" s="124"/>
      <c r="U133" s="124"/>
      <c r="V133" s="125"/>
      <c r="W133" s="126"/>
      <c r="X133" s="126"/>
      <c r="Y133" s="126"/>
      <c r="Z133" s="127"/>
      <c r="AA133" s="127"/>
      <c r="AB133" s="127"/>
      <c r="AC133" s="127"/>
      <c r="AD133" s="285"/>
      <c r="AE133" s="261"/>
      <c r="AF133" s="261"/>
      <c r="AG133" s="261"/>
      <c r="AH133" s="261"/>
    </row>
    <row r="134" ht="34.5" customHeight="1">
      <c r="A134" s="111"/>
      <c r="B134" s="111"/>
      <c r="C134" s="111"/>
      <c r="D134" s="111"/>
      <c r="E134" s="111"/>
      <c r="F134" s="111"/>
      <c r="G134" s="257"/>
      <c r="H134" s="111"/>
      <c r="I134" s="111"/>
      <c r="J134" s="111"/>
      <c r="K134" s="111"/>
      <c r="L134" s="111"/>
      <c r="M134" s="128"/>
      <c r="N134" s="124"/>
      <c r="O134" s="146"/>
      <c r="P134" s="124"/>
      <c r="Q134" s="124"/>
      <c r="R134" s="124"/>
      <c r="S134" s="124"/>
      <c r="T134" s="124"/>
      <c r="U134" s="124"/>
      <c r="V134" s="125"/>
      <c r="W134" s="126"/>
      <c r="X134" s="126"/>
      <c r="Y134" s="126"/>
      <c r="Z134" s="127"/>
      <c r="AA134" s="127"/>
      <c r="AB134" s="127"/>
      <c r="AC134" s="127"/>
      <c r="AD134" s="285"/>
      <c r="AE134" s="261"/>
      <c r="AF134" s="261"/>
      <c r="AG134" s="261"/>
      <c r="AH134" s="261"/>
    </row>
    <row r="135" ht="34.5" customHeight="1">
      <c r="A135" s="111"/>
      <c r="B135" s="111"/>
      <c r="C135" s="111"/>
      <c r="D135" s="111"/>
      <c r="E135" s="111"/>
      <c r="F135" s="111"/>
      <c r="G135" s="257"/>
      <c r="H135" s="111"/>
      <c r="I135" s="111"/>
      <c r="J135" s="111"/>
      <c r="K135" s="111"/>
      <c r="L135" s="111"/>
      <c r="M135" s="128"/>
      <c r="N135" s="124"/>
      <c r="O135" s="146"/>
      <c r="P135" s="124"/>
      <c r="Q135" s="124"/>
      <c r="R135" s="124"/>
      <c r="S135" s="124"/>
      <c r="T135" s="124"/>
      <c r="U135" s="124"/>
      <c r="V135" s="125"/>
      <c r="W135" s="126"/>
      <c r="X135" s="126"/>
      <c r="Y135" s="126"/>
      <c r="Z135" s="127"/>
      <c r="AA135" s="127"/>
      <c r="AB135" s="127"/>
      <c r="AC135" s="127"/>
      <c r="AD135" s="285"/>
      <c r="AE135" s="261"/>
      <c r="AF135" s="261"/>
      <c r="AG135" s="261"/>
      <c r="AH135" s="261"/>
    </row>
    <row r="136" ht="34.5" customHeight="1">
      <c r="A136" s="111"/>
      <c r="B136" s="111"/>
      <c r="C136" s="111"/>
      <c r="D136" s="111"/>
      <c r="E136" s="111"/>
      <c r="F136" s="111"/>
      <c r="G136" s="257"/>
      <c r="H136" s="111"/>
      <c r="I136" s="111"/>
      <c r="J136" s="111"/>
      <c r="K136" s="111"/>
      <c r="L136" s="111"/>
      <c r="M136" s="128"/>
      <c r="N136" s="124"/>
      <c r="O136" s="146"/>
      <c r="P136" s="124"/>
      <c r="Q136" s="124"/>
      <c r="R136" s="124"/>
      <c r="S136" s="124"/>
      <c r="T136" s="124"/>
      <c r="U136" s="124"/>
      <c r="V136" s="125"/>
      <c r="W136" s="126"/>
      <c r="X136" s="126"/>
      <c r="Y136" s="126"/>
      <c r="Z136" s="127"/>
      <c r="AA136" s="127"/>
      <c r="AB136" s="127"/>
      <c r="AC136" s="127"/>
      <c r="AD136" s="285"/>
      <c r="AE136" s="261"/>
      <c r="AF136" s="261"/>
      <c r="AG136" s="261"/>
      <c r="AH136" s="261"/>
    </row>
    <row r="137" ht="34.5" customHeight="1">
      <c r="A137" s="111"/>
      <c r="B137" s="111"/>
      <c r="C137" s="111"/>
      <c r="D137" s="111"/>
      <c r="E137" s="111"/>
      <c r="F137" s="111"/>
      <c r="G137" s="257"/>
      <c r="H137" s="111"/>
      <c r="I137" s="111"/>
      <c r="J137" s="111"/>
      <c r="K137" s="111"/>
      <c r="L137" s="111"/>
      <c r="M137" s="128"/>
      <c r="N137" s="124"/>
      <c r="O137" s="146"/>
      <c r="P137" s="124"/>
      <c r="Q137" s="124"/>
      <c r="R137" s="124"/>
      <c r="S137" s="124"/>
      <c r="T137" s="124"/>
      <c r="U137" s="124"/>
      <c r="V137" s="125"/>
      <c r="W137" s="126"/>
      <c r="X137" s="126"/>
      <c r="Y137" s="126"/>
      <c r="Z137" s="127"/>
      <c r="AA137" s="127"/>
      <c r="AB137" s="127"/>
      <c r="AC137" s="127"/>
      <c r="AD137" s="285"/>
      <c r="AE137" s="261"/>
      <c r="AF137" s="261"/>
      <c r="AG137" s="261"/>
      <c r="AH137" s="261"/>
    </row>
    <row r="138" ht="34.5" customHeight="1">
      <c r="A138" s="111"/>
      <c r="B138" s="111"/>
      <c r="C138" s="111"/>
      <c r="D138" s="111"/>
      <c r="E138" s="111"/>
      <c r="F138" s="111"/>
      <c r="G138" s="257"/>
      <c r="H138" s="111"/>
      <c r="I138" s="111"/>
      <c r="J138" s="111"/>
      <c r="K138" s="111"/>
      <c r="L138" s="111"/>
      <c r="M138" s="128"/>
      <c r="N138" s="124"/>
      <c r="O138" s="146"/>
      <c r="P138" s="124"/>
      <c r="Q138" s="124"/>
      <c r="R138" s="124"/>
      <c r="S138" s="124"/>
      <c r="T138" s="124"/>
      <c r="U138" s="124"/>
      <c r="V138" s="125"/>
      <c r="W138" s="126"/>
      <c r="X138" s="126"/>
      <c r="Y138" s="126"/>
      <c r="Z138" s="127"/>
      <c r="AA138" s="127"/>
      <c r="AB138" s="127"/>
      <c r="AC138" s="127"/>
      <c r="AD138" s="285"/>
      <c r="AE138" s="261"/>
      <c r="AF138" s="261"/>
      <c r="AG138" s="261"/>
      <c r="AH138" s="261"/>
    </row>
    <row r="139" ht="34.5" customHeight="1">
      <c r="A139" s="111"/>
      <c r="B139" s="111"/>
      <c r="C139" s="111"/>
      <c r="D139" s="111"/>
      <c r="E139" s="111"/>
      <c r="F139" s="111"/>
      <c r="G139" s="257"/>
      <c r="H139" s="111"/>
      <c r="I139" s="111"/>
      <c r="J139" s="111"/>
      <c r="K139" s="111"/>
      <c r="L139" s="111"/>
      <c r="M139" s="128"/>
      <c r="N139" s="124"/>
      <c r="O139" s="146"/>
      <c r="P139" s="124"/>
      <c r="Q139" s="124"/>
      <c r="R139" s="124"/>
      <c r="S139" s="124"/>
      <c r="T139" s="124"/>
      <c r="U139" s="124"/>
      <c r="V139" s="125"/>
      <c r="W139" s="126"/>
      <c r="X139" s="126"/>
      <c r="Y139" s="126"/>
      <c r="Z139" s="127"/>
      <c r="AA139" s="127"/>
      <c r="AB139" s="127"/>
      <c r="AC139" s="127"/>
      <c r="AD139" s="285"/>
      <c r="AE139" s="261"/>
      <c r="AF139" s="261"/>
      <c r="AG139" s="261"/>
      <c r="AH139" s="261"/>
    </row>
    <row r="140" ht="34.5" customHeight="1">
      <c r="A140" s="111"/>
      <c r="B140" s="111"/>
      <c r="C140" s="111"/>
      <c r="D140" s="111"/>
      <c r="E140" s="111"/>
      <c r="F140" s="111"/>
      <c r="G140" s="257"/>
      <c r="H140" s="111"/>
      <c r="I140" s="111"/>
      <c r="J140" s="111"/>
      <c r="K140" s="111"/>
      <c r="L140" s="111"/>
      <c r="M140" s="128"/>
      <c r="N140" s="124"/>
      <c r="O140" s="146"/>
      <c r="P140" s="124"/>
      <c r="Q140" s="124"/>
      <c r="R140" s="124"/>
      <c r="S140" s="124"/>
      <c r="T140" s="124"/>
      <c r="U140" s="124"/>
      <c r="V140" s="125"/>
      <c r="W140" s="126"/>
      <c r="X140" s="126"/>
      <c r="Y140" s="126"/>
      <c r="Z140" s="127"/>
      <c r="AA140" s="127"/>
      <c r="AB140" s="127"/>
      <c r="AC140" s="127"/>
      <c r="AD140" s="285"/>
      <c r="AE140" s="261"/>
      <c r="AF140" s="261"/>
      <c r="AG140" s="261"/>
      <c r="AH140" s="261"/>
    </row>
    <row r="141" ht="34.5" customHeight="1">
      <c r="A141" s="111"/>
      <c r="B141" s="111"/>
      <c r="C141" s="111"/>
      <c r="D141" s="111"/>
      <c r="E141" s="111"/>
      <c r="F141" s="111"/>
      <c r="G141" s="257"/>
      <c r="H141" s="111"/>
      <c r="I141" s="111"/>
      <c r="J141" s="111"/>
      <c r="K141" s="111"/>
      <c r="L141" s="111"/>
      <c r="M141" s="128"/>
      <c r="N141" s="124"/>
      <c r="O141" s="146"/>
      <c r="P141" s="124"/>
      <c r="Q141" s="124"/>
      <c r="R141" s="124"/>
      <c r="S141" s="124"/>
      <c r="T141" s="124"/>
      <c r="U141" s="124"/>
      <c r="V141" s="125"/>
      <c r="W141" s="126"/>
      <c r="X141" s="126"/>
      <c r="Y141" s="126"/>
      <c r="Z141" s="127"/>
      <c r="AA141" s="127"/>
      <c r="AB141" s="127"/>
      <c r="AC141" s="127"/>
      <c r="AD141" s="285"/>
      <c r="AE141" s="261"/>
      <c r="AF141" s="261"/>
      <c r="AG141" s="261"/>
      <c r="AH141" s="261"/>
    </row>
    <row r="142" ht="34.5" customHeight="1">
      <c r="A142" s="111"/>
      <c r="B142" s="111"/>
      <c r="C142" s="111"/>
      <c r="D142" s="111"/>
      <c r="E142" s="111"/>
      <c r="F142" s="111"/>
      <c r="G142" s="257"/>
      <c r="H142" s="111"/>
      <c r="I142" s="111"/>
      <c r="J142" s="111"/>
      <c r="K142" s="111"/>
      <c r="L142" s="111"/>
      <c r="M142" s="128"/>
      <c r="N142" s="124"/>
      <c r="O142" s="146"/>
      <c r="P142" s="124"/>
      <c r="Q142" s="124"/>
      <c r="R142" s="124"/>
      <c r="S142" s="124"/>
      <c r="T142" s="124"/>
      <c r="U142" s="124"/>
      <c r="V142" s="125"/>
      <c r="W142" s="126"/>
      <c r="X142" s="126"/>
      <c r="Y142" s="126"/>
      <c r="Z142" s="127"/>
      <c r="AA142" s="127"/>
      <c r="AB142" s="127"/>
      <c r="AC142" s="127"/>
      <c r="AD142" s="285"/>
      <c r="AE142" s="261"/>
      <c r="AF142" s="261"/>
      <c r="AG142" s="261"/>
      <c r="AH142" s="261"/>
    </row>
    <row r="143" ht="34.5" customHeight="1">
      <c r="A143" s="111"/>
      <c r="B143" s="111"/>
      <c r="C143" s="111"/>
      <c r="D143" s="111"/>
      <c r="E143" s="111"/>
      <c r="F143" s="111"/>
      <c r="G143" s="257"/>
      <c r="H143" s="111"/>
      <c r="I143" s="111"/>
      <c r="J143" s="111"/>
      <c r="K143" s="111"/>
      <c r="L143" s="111"/>
      <c r="M143" s="128"/>
      <c r="N143" s="124"/>
      <c r="O143" s="146"/>
      <c r="P143" s="124"/>
      <c r="Q143" s="124"/>
      <c r="R143" s="124"/>
      <c r="S143" s="124"/>
      <c r="T143" s="124"/>
      <c r="U143" s="124"/>
      <c r="V143" s="125"/>
      <c r="W143" s="126"/>
      <c r="X143" s="126"/>
      <c r="Y143" s="126"/>
      <c r="Z143" s="127"/>
      <c r="AA143" s="127"/>
      <c r="AB143" s="127"/>
      <c r="AC143" s="127"/>
      <c r="AD143" s="285"/>
      <c r="AE143" s="261"/>
      <c r="AF143" s="261"/>
      <c r="AG143" s="261"/>
      <c r="AH143" s="261"/>
    </row>
    <row r="144" ht="34.5" customHeight="1">
      <c r="A144" s="111"/>
      <c r="B144" s="111"/>
      <c r="C144" s="111"/>
      <c r="D144" s="111"/>
      <c r="E144" s="111"/>
      <c r="F144" s="111"/>
      <c r="G144" s="257"/>
      <c r="H144" s="111"/>
      <c r="I144" s="111"/>
      <c r="J144" s="111"/>
      <c r="K144" s="111"/>
      <c r="L144" s="111"/>
      <c r="M144" s="128"/>
      <c r="N144" s="124"/>
      <c r="O144" s="146"/>
      <c r="P144" s="124"/>
      <c r="Q144" s="124"/>
      <c r="R144" s="124"/>
      <c r="S144" s="124"/>
      <c r="T144" s="124"/>
      <c r="U144" s="124"/>
      <c r="V144" s="125"/>
      <c r="W144" s="126"/>
      <c r="X144" s="126"/>
      <c r="Y144" s="126"/>
      <c r="Z144" s="127"/>
      <c r="AA144" s="127"/>
      <c r="AB144" s="127"/>
      <c r="AC144" s="127"/>
      <c r="AD144" s="285"/>
      <c r="AE144" s="261"/>
      <c r="AF144" s="261"/>
      <c r="AG144" s="261"/>
      <c r="AH144" s="261"/>
    </row>
    <row r="145" ht="34.5" customHeight="1">
      <c r="A145" s="111"/>
      <c r="B145" s="111"/>
      <c r="C145" s="111"/>
      <c r="D145" s="111"/>
      <c r="E145" s="111"/>
      <c r="F145" s="111"/>
      <c r="G145" s="257"/>
      <c r="H145" s="111"/>
      <c r="I145" s="111"/>
      <c r="J145" s="111"/>
      <c r="K145" s="111"/>
      <c r="L145" s="111"/>
      <c r="M145" s="128"/>
      <c r="N145" s="124"/>
      <c r="O145" s="146"/>
      <c r="P145" s="124"/>
      <c r="Q145" s="124"/>
      <c r="R145" s="124"/>
      <c r="S145" s="124"/>
      <c r="T145" s="124"/>
      <c r="U145" s="124"/>
      <c r="V145" s="125"/>
      <c r="W145" s="126"/>
      <c r="X145" s="126"/>
      <c r="Y145" s="126"/>
      <c r="Z145" s="127"/>
      <c r="AA145" s="127"/>
      <c r="AB145" s="127"/>
      <c r="AC145" s="127"/>
      <c r="AD145" s="285"/>
      <c r="AE145" s="261"/>
      <c r="AF145" s="261"/>
      <c r="AG145" s="261"/>
      <c r="AH145" s="261"/>
    </row>
    <row r="146" ht="34.5" customHeight="1">
      <c r="A146" s="111"/>
      <c r="B146" s="111"/>
      <c r="C146" s="111"/>
      <c r="D146" s="111"/>
      <c r="E146" s="111"/>
      <c r="F146" s="111"/>
      <c r="G146" s="257"/>
      <c r="H146" s="111"/>
      <c r="I146" s="111"/>
      <c r="J146" s="111"/>
      <c r="K146" s="111"/>
      <c r="L146" s="111"/>
      <c r="M146" s="128"/>
      <c r="N146" s="124"/>
      <c r="O146" s="146"/>
      <c r="P146" s="124"/>
      <c r="Q146" s="124"/>
      <c r="R146" s="124"/>
      <c r="S146" s="124"/>
      <c r="T146" s="124"/>
      <c r="U146" s="124"/>
      <c r="V146" s="125"/>
      <c r="W146" s="126"/>
      <c r="X146" s="126"/>
      <c r="Y146" s="126"/>
      <c r="Z146" s="127"/>
      <c r="AA146" s="127"/>
      <c r="AB146" s="127"/>
      <c r="AC146" s="127"/>
      <c r="AD146" s="285"/>
      <c r="AE146" s="261"/>
      <c r="AF146" s="261"/>
      <c r="AG146" s="261"/>
      <c r="AH146" s="261"/>
    </row>
    <row r="147" ht="34.5" customHeight="1">
      <c r="A147" s="111"/>
      <c r="B147" s="111"/>
      <c r="C147" s="111"/>
      <c r="D147" s="111"/>
      <c r="E147" s="111"/>
      <c r="F147" s="111"/>
      <c r="G147" s="257"/>
      <c r="H147" s="111"/>
      <c r="I147" s="111"/>
      <c r="J147" s="111"/>
      <c r="K147" s="111"/>
      <c r="L147" s="111"/>
      <c r="M147" s="128"/>
      <c r="N147" s="124"/>
      <c r="O147" s="146"/>
      <c r="P147" s="124"/>
      <c r="Q147" s="124"/>
      <c r="R147" s="124"/>
      <c r="S147" s="124"/>
      <c r="T147" s="124"/>
      <c r="U147" s="124"/>
      <c r="V147" s="125"/>
      <c r="W147" s="126"/>
      <c r="X147" s="126"/>
      <c r="Y147" s="126"/>
      <c r="Z147" s="127"/>
      <c r="AA147" s="127"/>
      <c r="AB147" s="127"/>
      <c r="AC147" s="127"/>
      <c r="AD147" s="285"/>
      <c r="AE147" s="261"/>
      <c r="AF147" s="261"/>
      <c r="AG147" s="261"/>
      <c r="AH147" s="261"/>
    </row>
    <row r="148" ht="34.5" customHeight="1">
      <c r="A148" s="111"/>
      <c r="B148" s="111"/>
      <c r="C148" s="111"/>
      <c r="D148" s="111"/>
      <c r="E148" s="111"/>
      <c r="F148" s="111"/>
      <c r="G148" s="257"/>
      <c r="H148" s="111"/>
      <c r="I148" s="111"/>
      <c r="J148" s="111"/>
      <c r="K148" s="111"/>
      <c r="L148" s="111"/>
      <c r="M148" s="128"/>
      <c r="N148" s="124"/>
      <c r="O148" s="146"/>
      <c r="P148" s="124"/>
      <c r="Q148" s="124"/>
      <c r="R148" s="124"/>
      <c r="S148" s="124"/>
      <c r="T148" s="124"/>
      <c r="U148" s="124"/>
      <c r="V148" s="125"/>
      <c r="W148" s="126"/>
      <c r="X148" s="126"/>
      <c r="Y148" s="126"/>
      <c r="Z148" s="127"/>
      <c r="AA148" s="127"/>
      <c r="AB148" s="127"/>
      <c r="AC148" s="127"/>
      <c r="AD148" s="285"/>
      <c r="AE148" s="261"/>
      <c r="AF148" s="261"/>
      <c r="AG148" s="261"/>
      <c r="AH148" s="261"/>
    </row>
    <row r="149" ht="34.5" customHeight="1">
      <c r="A149" s="111"/>
      <c r="B149" s="111"/>
      <c r="C149" s="111"/>
      <c r="D149" s="111"/>
      <c r="E149" s="111"/>
      <c r="F149" s="111"/>
      <c r="G149" s="257"/>
      <c r="H149" s="111"/>
      <c r="I149" s="111"/>
      <c r="J149" s="111"/>
      <c r="K149" s="111"/>
      <c r="L149" s="111"/>
      <c r="M149" s="128"/>
      <c r="N149" s="124"/>
      <c r="O149" s="146"/>
      <c r="P149" s="124"/>
      <c r="Q149" s="124"/>
      <c r="R149" s="124"/>
      <c r="S149" s="124"/>
      <c r="T149" s="124"/>
      <c r="U149" s="124"/>
      <c r="V149" s="125"/>
      <c r="W149" s="126"/>
      <c r="X149" s="126"/>
      <c r="Y149" s="126"/>
      <c r="Z149" s="127"/>
      <c r="AA149" s="127"/>
      <c r="AB149" s="127"/>
      <c r="AC149" s="127"/>
      <c r="AD149" s="285"/>
      <c r="AE149" s="261"/>
      <c r="AF149" s="261"/>
      <c r="AG149" s="261"/>
      <c r="AH149" s="261"/>
    </row>
    <row r="150" ht="34.5" customHeight="1">
      <c r="A150" s="111"/>
      <c r="B150" s="111"/>
      <c r="C150" s="111"/>
      <c r="D150" s="111"/>
      <c r="E150" s="111"/>
      <c r="F150" s="111"/>
      <c r="G150" s="257"/>
      <c r="H150" s="111"/>
      <c r="I150" s="111"/>
      <c r="J150" s="111"/>
      <c r="K150" s="111"/>
      <c r="L150" s="111"/>
      <c r="M150" s="128"/>
      <c r="N150" s="124"/>
      <c r="O150" s="146"/>
      <c r="P150" s="124"/>
      <c r="Q150" s="124"/>
      <c r="R150" s="124"/>
      <c r="S150" s="124"/>
      <c r="T150" s="124"/>
      <c r="U150" s="124"/>
      <c r="V150" s="125"/>
      <c r="W150" s="126"/>
      <c r="X150" s="126"/>
      <c r="Y150" s="126"/>
      <c r="Z150" s="127"/>
      <c r="AA150" s="127"/>
      <c r="AB150" s="127"/>
      <c r="AC150" s="127"/>
      <c r="AD150" s="285"/>
      <c r="AE150" s="261"/>
      <c r="AF150" s="261"/>
      <c r="AG150" s="261"/>
      <c r="AH150" s="261"/>
    </row>
    <row r="151" ht="34.5" customHeight="1">
      <c r="A151" s="111"/>
      <c r="B151" s="111"/>
      <c r="C151" s="111"/>
      <c r="D151" s="111"/>
      <c r="E151" s="111"/>
      <c r="F151" s="111"/>
      <c r="G151" s="257"/>
      <c r="H151" s="111"/>
      <c r="I151" s="111"/>
      <c r="J151" s="111"/>
      <c r="K151" s="111"/>
      <c r="L151" s="111"/>
      <c r="M151" s="128"/>
      <c r="N151" s="124"/>
      <c r="O151" s="146"/>
      <c r="P151" s="124"/>
      <c r="Q151" s="124"/>
      <c r="R151" s="124"/>
      <c r="S151" s="124"/>
      <c r="T151" s="124"/>
      <c r="U151" s="124"/>
      <c r="V151" s="125"/>
      <c r="W151" s="126"/>
      <c r="X151" s="126"/>
      <c r="Y151" s="126"/>
      <c r="Z151" s="127"/>
      <c r="AA151" s="127"/>
      <c r="AB151" s="127"/>
      <c r="AC151" s="127"/>
      <c r="AD151" s="285"/>
      <c r="AE151" s="261"/>
      <c r="AF151" s="261"/>
      <c r="AG151" s="261"/>
      <c r="AH151" s="261"/>
    </row>
    <row r="152" ht="34.5" customHeight="1">
      <c r="A152" s="111"/>
      <c r="B152" s="111"/>
      <c r="C152" s="111"/>
      <c r="D152" s="111"/>
      <c r="E152" s="111"/>
      <c r="F152" s="111"/>
      <c r="G152" s="257"/>
      <c r="H152" s="111"/>
      <c r="I152" s="111"/>
      <c r="J152" s="111"/>
      <c r="K152" s="111"/>
      <c r="L152" s="111"/>
      <c r="M152" s="128"/>
      <c r="N152" s="124"/>
      <c r="O152" s="146"/>
      <c r="P152" s="124"/>
      <c r="Q152" s="124"/>
      <c r="R152" s="124"/>
      <c r="S152" s="124"/>
      <c r="T152" s="124"/>
      <c r="U152" s="124"/>
      <c r="V152" s="125"/>
      <c r="W152" s="126"/>
      <c r="X152" s="126"/>
      <c r="Y152" s="126"/>
      <c r="Z152" s="127"/>
      <c r="AA152" s="127"/>
      <c r="AB152" s="127"/>
      <c r="AC152" s="127"/>
      <c r="AD152" s="285"/>
      <c r="AE152" s="261"/>
      <c r="AF152" s="261"/>
      <c r="AG152" s="261"/>
      <c r="AH152" s="261"/>
    </row>
    <row r="153" ht="34.5" customHeight="1">
      <c r="A153" s="111"/>
      <c r="B153" s="111"/>
      <c r="C153" s="111"/>
      <c r="D153" s="111"/>
      <c r="E153" s="111"/>
      <c r="F153" s="111"/>
      <c r="G153" s="257"/>
      <c r="H153" s="111"/>
      <c r="I153" s="111"/>
      <c r="J153" s="111"/>
      <c r="K153" s="111"/>
      <c r="L153" s="111"/>
      <c r="M153" s="128"/>
      <c r="N153" s="124"/>
      <c r="O153" s="146"/>
      <c r="P153" s="124"/>
      <c r="Q153" s="124"/>
      <c r="R153" s="124"/>
      <c r="S153" s="124"/>
      <c r="T153" s="124"/>
      <c r="U153" s="124"/>
      <c r="V153" s="125"/>
      <c r="W153" s="126"/>
      <c r="X153" s="126"/>
      <c r="Y153" s="126"/>
      <c r="Z153" s="127"/>
      <c r="AA153" s="127"/>
      <c r="AB153" s="127"/>
      <c r="AC153" s="127"/>
      <c r="AD153" s="285"/>
      <c r="AE153" s="261"/>
      <c r="AF153" s="261"/>
      <c r="AG153" s="261"/>
      <c r="AH153" s="261"/>
    </row>
    <row r="154" ht="34.5" customHeight="1">
      <c r="A154" s="111"/>
      <c r="B154" s="111"/>
      <c r="C154" s="111"/>
      <c r="D154" s="111"/>
      <c r="E154" s="111"/>
      <c r="F154" s="111"/>
      <c r="G154" s="257"/>
      <c r="H154" s="111"/>
      <c r="I154" s="111"/>
      <c r="J154" s="111"/>
      <c r="K154" s="111"/>
      <c r="L154" s="111"/>
      <c r="M154" s="128"/>
      <c r="N154" s="124"/>
      <c r="O154" s="146"/>
      <c r="P154" s="124"/>
      <c r="Q154" s="124"/>
      <c r="R154" s="124"/>
      <c r="S154" s="124"/>
      <c r="T154" s="124"/>
      <c r="U154" s="124"/>
      <c r="V154" s="125"/>
      <c r="W154" s="126"/>
      <c r="X154" s="126"/>
      <c r="Y154" s="126"/>
      <c r="Z154" s="127"/>
      <c r="AA154" s="127"/>
      <c r="AB154" s="127"/>
      <c r="AC154" s="127"/>
      <c r="AD154" s="285"/>
      <c r="AE154" s="261"/>
      <c r="AF154" s="261"/>
      <c r="AG154" s="261"/>
      <c r="AH154" s="261"/>
    </row>
    <row r="155" ht="34.5" customHeight="1">
      <c r="A155" s="111"/>
      <c r="B155" s="111"/>
      <c r="C155" s="111"/>
      <c r="D155" s="111"/>
      <c r="E155" s="111"/>
      <c r="F155" s="111"/>
      <c r="G155" s="257"/>
      <c r="H155" s="111"/>
      <c r="I155" s="111"/>
      <c r="J155" s="111"/>
      <c r="K155" s="111"/>
      <c r="L155" s="111"/>
      <c r="M155" s="128"/>
      <c r="N155" s="124"/>
      <c r="O155" s="146"/>
      <c r="P155" s="124"/>
      <c r="Q155" s="124"/>
      <c r="R155" s="124"/>
      <c r="S155" s="124"/>
      <c r="T155" s="124"/>
      <c r="U155" s="124"/>
      <c r="V155" s="125"/>
      <c r="W155" s="126"/>
      <c r="X155" s="126"/>
      <c r="Y155" s="126"/>
      <c r="Z155" s="127"/>
      <c r="AA155" s="127"/>
      <c r="AB155" s="127"/>
      <c r="AC155" s="127"/>
      <c r="AD155" s="285"/>
      <c r="AE155" s="261"/>
      <c r="AF155" s="261"/>
      <c r="AG155" s="261"/>
      <c r="AH155" s="261"/>
    </row>
    <row r="156" ht="34.5" customHeight="1">
      <c r="A156" s="111"/>
      <c r="B156" s="111"/>
      <c r="C156" s="111"/>
      <c r="D156" s="111"/>
      <c r="E156" s="111"/>
      <c r="F156" s="111"/>
      <c r="G156" s="257"/>
      <c r="H156" s="111"/>
      <c r="I156" s="111"/>
      <c r="J156" s="111"/>
      <c r="K156" s="111"/>
      <c r="L156" s="111"/>
      <c r="M156" s="128"/>
      <c r="N156" s="124"/>
      <c r="O156" s="146"/>
      <c r="P156" s="124"/>
      <c r="Q156" s="124"/>
      <c r="R156" s="124"/>
      <c r="S156" s="124"/>
      <c r="T156" s="124"/>
      <c r="U156" s="124"/>
      <c r="V156" s="125"/>
      <c r="W156" s="126"/>
      <c r="X156" s="126"/>
      <c r="Y156" s="126"/>
      <c r="Z156" s="127"/>
      <c r="AA156" s="127"/>
      <c r="AB156" s="127"/>
      <c r="AC156" s="127"/>
      <c r="AD156" s="285"/>
      <c r="AE156" s="261"/>
      <c r="AF156" s="261"/>
      <c r="AG156" s="261"/>
      <c r="AH156" s="261"/>
    </row>
    <row r="157" ht="34.5" customHeight="1">
      <c r="A157" s="111"/>
      <c r="B157" s="111"/>
      <c r="C157" s="111"/>
      <c r="D157" s="111"/>
      <c r="E157" s="111"/>
      <c r="F157" s="111"/>
      <c r="G157" s="257"/>
      <c r="H157" s="111"/>
      <c r="I157" s="111"/>
      <c r="J157" s="111"/>
      <c r="K157" s="111"/>
      <c r="L157" s="111"/>
      <c r="M157" s="128"/>
      <c r="N157" s="124"/>
      <c r="O157" s="146"/>
      <c r="P157" s="124"/>
      <c r="Q157" s="124"/>
      <c r="R157" s="124"/>
      <c r="S157" s="124"/>
      <c r="T157" s="124"/>
      <c r="U157" s="124"/>
      <c r="V157" s="125"/>
      <c r="W157" s="126"/>
      <c r="X157" s="126"/>
      <c r="Y157" s="126"/>
      <c r="Z157" s="127"/>
      <c r="AA157" s="127"/>
      <c r="AB157" s="127"/>
      <c r="AC157" s="127"/>
      <c r="AD157" s="285"/>
      <c r="AE157" s="261"/>
      <c r="AF157" s="261"/>
      <c r="AG157" s="261"/>
      <c r="AH157" s="261"/>
    </row>
    <row r="158" ht="34.5" customHeight="1">
      <c r="A158" s="111"/>
      <c r="B158" s="111"/>
      <c r="C158" s="111"/>
      <c r="D158" s="111"/>
      <c r="E158" s="111"/>
      <c r="F158" s="111"/>
      <c r="G158" s="257"/>
      <c r="H158" s="111"/>
      <c r="I158" s="111"/>
      <c r="J158" s="111"/>
      <c r="K158" s="111"/>
      <c r="L158" s="111"/>
      <c r="M158" s="128"/>
      <c r="N158" s="124"/>
      <c r="O158" s="146"/>
      <c r="P158" s="124"/>
      <c r="Q158" s="124"/>
      <c r="R158" s="124"/>
      <c r="S158" s="124"/>
      <c r="T158" s="124"/>
      <c r="U158" s="124"/>
      <c r="V158" s="125"/>
      <c r="W158" s="126"/>
      <c r="X158" s="126"/>
      <c r="Y158" s="126"/>
      <c r="Z158" s="127"/>
      <c r="AA158" s="127"/>
      <c r="AB158" s="127"/>
      <c r="AC158" s="127"/>
      <c r="AD158" s="285"/>
      <c r="AE158" s="261"/>
      <c r="AF158" s="261"/>
      <c r="AG158" s="261"/>
      <c r="AH158" s="261"/>
    </row>
    <row r="159" ht="34.5" customHeight="1">
      <c r="A159" s="111"/>
      <c r="B159" s="111"/>
      <c r="C159" s="111"/>
      <c r="D159" s="111"/>
      <c r="E159" s="111"/>
      <c r="F159" s="111"/>
      <c r="G159" s="257"/>
      <c r="H159" s="111"/>
      <c r="I159" s="111"/>
      <c r="J159" s="111"/>
      <c r="K159" s="111"/>
      <c r="L159" s="111"/>
      <c r="M159" s="128"/>
      <c r="N159" s="124"/>
      <c r="O159" s="146"/>
      <c r="P159" s="124"/>
      <c r="Q159" s="124"/>
      <c r="R159" s="124"/>
      <c r="S159" s="124"/>
      <c r="T159" s="124"/>
      <c r="U159" s="124"/>
      <c r="V159" s="125"/>
      <c r="W159" s="126"/>
      <c r="X159" s="126"/>
      <c r="Y159" s="126"/>
      <c r="Z159" s="127"/>
      <c r="AA159" s="127"/>
      <c r="AB159" s="127"/>
      <c r="AC159" s="127"/>
      <c r="AD159" s="285"/>
      <c r="AE159" s="261"/>
      <c r="AF159" s="261"/>
      <c r="AG159" s="261"/>
      <c r="AH159" s="261"/>
    </row>
    <row r="160" ht="34.5" customHeight="1">
      <c r="A160" s="111"/>
      <c r="B160" s="111"/>
      <c r="C160" s="111"/>
      <c r="D160" s="111"/>
      <c r="E160" s="111"/>
      <c r="F160" s="111"/>
      <c r="G160" s="257"/>
      <c r="H160" s="111"/>
      <c r="I160" s="111"/>
      <c r="J160" s="111"/>
      <c r="K160" s="111"/>
      <c r="L160" s="111"/>
      <c r="M160" s="128"/>
      <c r="N160" s="124"/>
      <c r="O160" s="146"/>
      <c r="P160" s="124"/>
      <c r="Q160" s="124"/>
      <c r="R160" s="124"/>
      <c r="S160" s="124"/>
      <c r="T160" s="124"/>
      <c r="U160" s="124"/>
      <c r="V160" s="125"/>
      <c r="W160" s="126"/>
      <c r="X160" s="126"/>
      <c r="Y160" s="126"/>
      <c r="Z160" s="127"/>
      <c r="AA160" s="127"/>
      <c r="AB160" s="127"/>
      <c r="AC160" s="127"/>
      <c r="AD160" s="285"/>
      <c r="AE160" s="261"/>
      <c r="AF160" s="261"/>
      <c r="AG160" s="261"/>
      <c r="AH160" s="261"/>
    </row>
    <row r="161" ht="34.5" customHeight="1">
      <c r="A161" s="111"/>
      <c r="B161" s="111"/>
      <c r="C161" s="111"/>
      <c r="D161" s="111"/>
      <c r="E161" s="111"/>
      <c r="F161" s="111"/>
      <c r="G161" s="257"/>
      <c r="H161" s="111"/>
      <c r="I161" s="111"/>
      <c r="J161" s="111"/>
      <c r="K161" s="111"/>
      <c r="L161" s="111"/>
      <c r="M161" s="128"/>
      <c r="N161" s="124"/>
      <c r="O161" s="146"/>
      <c r="P161" s="124"/>
      <c r="Q161" s="124"/>
      <c r="R161" s="124"/>
      <c r="S161" s="124"/>
      <c r="T161" s="124"/>
      <c r="U161" s="124"/>
      <c r="V161" s="125"/>
      <c r="W161" s="126"/>
      <c r="X161" s="126"/>
      <c r="Y161" s="126"/>
      <c r="Z161" s="127"/>
      <c r="AA161" s="127"/>
      <c r="AB161" s="127"/>
      <c r="AC161" s="127"/>
      <c r="AD161" s="285"/>
      <c r="AE161" s="261"/>
      <c r="AF161" s="261"/>
      <c r="AG161" s="261"/>
      <c r="AH161" s="261"/>
    </row>
    <row r="162" ht="34.5" customHeight="1">
      <c r="A162" s="111"/>
      <c r="B162" s="111"/>
      <c r="C162" s="111"/>
      <c r="D162" s="111"/>
      <c r="E162" s="111"/>
      <c r="F162" s="111"/>
      <c r="G162" s="257"/>
      <c r="H162" s="111"/>
      <c r="I162" s="111"/>
      <c r="J162" s="111"/>
      <c r="K162" s="111"/>
      <c r="L162" s="111"/>
      <c r="M162" s="128"/>
      <c r="N162" s="124"/>
      <c r="O162" s="146"/>
      <c r="P162" s="124"/>
      <c r="Q162" s="124"/>
      <c r="R162" s="124"/>
      <c r="S162" s="124"/>
      <c r="T162" s="124"/>
      <c r="U162" s="124"/>
      <c r="V162" s="125"/>
      <c r="W162" s="126"/>
      <c r="X162" s="126"/>
      <c r="Y162" s="126"/>
      <c r="Z162" s="127"/>
      <c r="AA162" s="127"/>
      <c r="AB162" s="127"/>
      <c r="AC162" s="127"/>
      <c r="AD162" s="285"/>
      <c r="AE162" s="261"/>
      <c r="AF162" s="261"/>
      <c r="AG162" s="261"/>
      <c r="AH162" s="261"/>
    </row>
    <row r="163" ht="34.5" customHeight="1">
      <c r="A163" s="111"/>
      <c r="B163" s="111"/>
      <c r="C163" s="111"/>
      <c r="D163" s="111"/>
      <c r="E163" s="111"/>
      <c r="F163" s="111"/>
      <c r="G163" s="257"/>
      <c r="H163" s="111"/>
      <c r="I163" s="111"/>
      <c r="J163" s="111"/>
      <c r="K163" s="111"/>
      <c r="L163" s="111"/>
      <c r="M163" s="128"/>
      <c r="N163" s="124"/>
      <c r="O163" s="146"/>
      <c r="P163" s="124"/>
      <c r="Q163" s="124"/>
      <c r="R163" s="124"/>
      <c r="S163" s="124"/>
      <c r="T163" s="124"/>
      <c r="U163" s="124"/>
      <c r="V163" s="125"/>
      <c r="W163" s="126"/>
      <c r="X163" s="126"/>
      <c r="Y163" s="126"/>
      <c r="Z163" s="127"/>
      <c r="AA163" s="127"/>
      <c r="AB163" s="127"/>
      <c r="AC163" s="127"/>
      <c r="AD163" s="285"/>
      <c r="AE163" s="261"/>
      <c r="AF163" s="261"/>
      <c r="AG163" s="261"/>
      <c r="AH163" s="261"/>
    </row>
    <row r="164" ht="34.5" customHeight="1">
      <c r="A164" s="111"/>
      <c r="B164" s="111"/>
      <c r="C164" s="111"/>
      <c r="D164" s="111"/>
      <c r="E164" s="111"/>
      <c r="F164" s="111"/>
      <c r="G164" s="257"/>
      <c r="H164" s="111"/>
      <c r="I164" s="111"/>
      <c r="J164" s="111"/>
      <c r="K164" s="111"/>
      <c r="L164" s="111"/>
      <c r="M164" s="128"/>
      <c r="N164" s="124"/>
      <c r="O164" s="146"/>
      <c r="P164" s="124"/>
      <c r="Q164" s="124"/>
      <c r="R164" s="124"/>
      <c r="S164" s="124"/>
      <c r="T164" s="124"/>
      <c r="U164" s="124"/>
      <c r="V164" s="125"/>
      <c r="W164" s="126"/>
      <c r="X164" s="126"/>
      <c r="Y164" s="126"/>
      <c r="Z164" s="127"/>
      <c r="AA164" s="127"/>
      <c r="AB164" s="127"/>
      <c r="AC164" s="127"/>
      <c r="AD164" s="285"/>
      <c r="AE164" s="261"/>
      <c r="AF164" s="261"/>
      <c r="AG164" s="261"/>
      <c r="AH164" s="261"/>
    </row>
    <row r="165" ht="34.5" customHeight="1">
      <c r="A165" s="111"/>
      <c r="B165" s="111"/>
      <c r="C165" s="111"/>
      <c r="D165" s="111"/>
      <c r="E165" s="111"/>
      <c r="F165" s="111"/>
      <c r="G165" s="257"/>
      <c r="H165" s="111"/>
      <c r="I165" s="111"/>
      <c r="J165" s="111"/>
      <c r="K165" s="111"/>
      <c r="L165" s="111"/>
      <c r="M165" s="128"/>
      <c r="N165" s="124"/>
      <c r="O165" s="146"/>
      <c r="P165" s="124"/>
      <c r="Q165" s="124"/>
      <c r="R165" s="124"/>
      <c r="S165" s="124"/>
      <c r="T165" s="124"/>
      <c r="U165" s="124"/>
      <c r="V165" s="125"/>
      <c r="W165" s="126"/>
      <c r="X165" s="126"/>
      <c r="Y165" s="126"/>
      <c r="Z165" s="127"/>
      <c r="AA165" s="127"/>
      <c r="AB165" s="127"/>
      <c r="AC165" s="127"/>
      <c r="AD165" s="285"/>
      <c r="AE165" s="261"/>
      <c r="AF165" s="261"/>
      <c r="AG165" s="261"/>
      <c r="AH165" s="261"/>
    </row>
    <row r="166" ht="34.5" customHeight="1">
      <c r="A166" s="111"/>
      <c r="B166" s="111"/>
      <c r="C166" s="111"/>
      <c r="D166" s="111"/>
      <c r="E166" s="111"/>
      <c r="F166" s="111"/>
      <c r="G166" s="257"/>
      <c r="H166" s="111"/>
      <c r="I166" s="111"/>
      <c r="J166" s="111"/>
      <c r="K166" s="111"/>
      <c r="L166" s="111"/>
      <c r="M166" s="128"/>
      <c r="N166" s="124"/>
      <c r="O166" s="146"/>
      <c r="P166" s="124"/>
      <c r="Q166" s="124"/>
      <c r="R166" s="124"/>
      <c r="S166" s="124"/>
      <c r="T166" s="124"/>
      <c r="U166" s="124"/>
      <c r="V166" s="125"/>
      <c r="W166" s="126"/>
      <c r="X166" s="126"/>
      <c r="Y166" s="126"/>
      <c r="Z166" s="127"/>
      <c r="AA166" s="127"/>
      <c r="AB166" s="127"/>
      <c r="AC166" s="127"/>
      <c r="AD166" s="285"/>
      <c r="AE166" s="261"/>
      <c r="AF166" s="261"/>
      <c r="AG166" s="261"/>
      <c r="AH166" s="261"/>
    </row>
    <row r="167" ht="34.5" customHeight="1">
      <c r="A167" s="111"/>
      <c r="B167" s="111"/>
      <c r="C167" s="111"/>
      <c r="D167" s="111"/>
      <c r="E167" s="111"/>
      <c r="F167" s="111"/>
      <c r="G167" s="257"/>
      <c r="H167" s="111"/>
      <c r="I167" s="111"/>
      <c r="J167" s="111"/>
      <c r="K167" s="111"/>
      <c r="L167" s="111"/>
      <c r="M167" s="128"/>
      <c r="N167" s="124"/>
      <c r="O167" s="146"/>
      <c r="P167" s="124"/>
      <c r="Q167" s="124"/>
      <c r="R167" s="124"/>
      <c r="S167" s="124"/>
      <c r="T167" s="124"/>
      <c r="U167" s="124"/>
      <c r="V167" s="125"/>
      <c r="W167" s="126"/>
      <c r="X167" s="126"/>
      <c r="Y167" s="126"/>
      <c r="Z167" s="127"/>
      <c r="AA167" s="127"/>
      <c r="AB167" s="127"/>
      <c r="AC167" s="127"/>
      <c r="AD167" s="285"/>
      <c r="AE167" s="261"/>
      <c r="AF167" s="261"/>
      <c r="AG167" s="261"/>
      <c r="AH167" s="261"/>
    </row>
    <row r="168" ht="34.5" customHeight="1">
      <c r="A168" s="111"/>
      <c r="B168" s="111"/>
      <c r="C168" s="111"/>
      <c r="D168" s="111"/>
      <c r="E168" s="111"/>
      <c r="F168" s="111"/>
      <c r="G168" s="257"/>
      <c r="H168" s="111"/>
      <c r="I168" s="111"/>
      <c r="J168" s="111"/>
      <c r="K168" s="111"/>
      <c r="L168" s="111"/>
      <c r="M168" s="128"/>
      <c r="N168" s="124"/>
      <c r="O168" s="146"/>
      <c r="P168" s="124"/>
      <c r="Q168" s="124"/>
      <c r="R168" s="124"/>
      <c r="S168" s="124"/>
      <c r="T168" s="124"/>
      <c r="U168" s="124"/>
      <c r="V168" s="125"/>
      <c r="W168" s="126"/>
      <c r="X168" s="126"/>
      <c r="Y168" s="126"/>
      <c r="Z168" s="127"/>
      <c r="AA168" s="127"/>
      <c r="AB168" s="127"/>
      <c r="AC168" s="127"/>
      <c r="AD168" s="285"/>
      <c r="AE168" s="261"/>
      <c r="AF168" s="261"/>
      <c r="AG168" s="261"/>
      <c r="AH168" s="261"/>
    </row>
    <row r="169" ht="34.5" customHeight="1">
      <c r="A169" s="111"/>
      <c r="B169" s="111"/>
      <c r="C169" s="111"/>
      <c r="D169" s="111"/>
      <c r="E169" s="111"/>
      <c r="F169" s="111"/>
      <c r="G169" s="257"/>
      <c r="H169" s="111"/>
      <c r="I169" s="111"/>
      <c r="J169" s="111"/>
      <c r="K169" s="111"/>
      <c r="L169" s="111"/>
      <c r="M169" s="128"/>
      <c r="N169" s="124"/>
      <c r="O169" s="146"/>
      <c r="P169" s="124"/>
      <c r="Q169" s="124"/>
      <c r="R169" s="124"/>
      <c r="S169" s="124"/>
      <c r="T169" s="124"/>
      <c r="U169" s="124"/>
      <c r="V169" s="125"/>
      <c r="W169" s="126"/>
      <c r="X169" s="126"/>
      <c r="Y169" s="126"/>
      <c r="Z169" s="127"/>
      <c r="AA169" s="127"/>
      <c r="AB169" s="127"/>
      <c r="AC169" s="127"/>
      <c r="AD169" s="285"/>
      <c r="AE169" s="261"/>
      <c r="AF169" s="261"/>
      <c r="AG169" s="261"/>
      <c r="AH169" s="261"/>
    </row>
    <row r="170" ht="34.5" customHeight="1">
      <c r="A170" s="111"/>
      <c r="B170" s="111"/>
      <c r="C170" s="111"/>
      <c r="D170" s="111"/>
      <c r="E170" s="111"/>
      <c r="F170" s="111"/>
      <c r="G170" s="257"/>
      <c r="H170" s="111"/>
      <c r="I170" s="111"/>
      <c r="J170" s="111"/>
      <c r="K170" s="111"/>
      <c r="L170" s="111"/>
      <c r="M170" s="128"/>
      <c r="N170" s="124"/>
      <c r="O170" s="146"/>
      <c r="P170" s="124"/>
      <c r="Q170" s="124"/>
      <c r="R170" s="124"/>
      <c r="S170" s="124"/>
      <c r="T170" s="124"/>
      <c r="U170" s="124"/>
      <c r="V170" s="125"/>
      <c r="W170" s="126"/>
      <c r="X170" s="126"/>
      <c r="Y170" s="126"/>
      <c r="Z170" s="127"/>
      <c r="AA170" s="127"/>
      <c r="AB170" s="127"/>
      <c r="AC170" s="127"/>
      <c r="AD170" s="285"/>
      <c r="AE170" s="261"/>
      <c r="AF170" s="261"/>
      <c r="AG170" s="261"/>
      <c r="AH170" s="261"/>
    </row>
    <row r="171" ht="34.5" customHeight="1">
      <c r="A171" s="111"/>
      <c r="B171" s="111"/>
      <c r="C171" s="111"/>
      <c r="D171" s="111"/>
      <c r="E171" s="111"/>
      <c r="F171" s="111"/>
      <c r="G171" s="257"/>
      <c r="H171" s="111"/>
      <c r="I171" s="111"/>
      <c r="J171" s="111"/>
      <c r="K171" s="111"/>
      <c r="L171" s="111"/>
      <c r="M171" s="128"/>
      <c r="N171" s="124"/>
      <c r="O171" s="146"/>
      <c r="P171" s="124"/>
      <c r="Q171" s="124"/>
      <c r="R171" s="124"/>
      <c r="S171" s="124"/>
      <c r="T171" s="124"/>
      <c r="U171" s="124"/>
      <c r="V171" s="125"/>
      <c r="W171" s="126"/>
      <c r="X171" s="126"/>
      <c r="Y171" s="126"/>
      <c r="Z171" s="127"/>
      <c r="AA171" s="127"/>
      <c r="AB171" s="127"/>
      <c r="AC171" s="127"/>
      <c r="AD171" s="285"/>
      <c r="AE171" s="261"/>
      <c r="AF171" s="261"/>
      <c r="AG171" s="261"/>
      <c r="AH171" s="261"/>
    </row>
    <row r="172" ht="34.5" customHeight="1">
      <c r="A172" s="111"/>
      <c r="B172" s="111"/>
      <c r="C172" s="111"/>
      <c r="D172" s="111"/>
      <c r="E172" s="111"/>
      <c r="F172" s="111"/>
      <c r="G172" s="257"/>
      <c r="H172" s="111"/>
      <c r="I172" s="111"/>
      <c r="J172" s="111"/>
      <c r="K172" s="111"/>
      <c r="L172" s="111"/>
      <c r="M172" s="128"/>
      <c r="N172" s="124"/>
      <c r="O172" s="146"/>
      <c r="P172" s="124"/>
      <c r="Q172" s="124"/>
      <c r="R172" s="124"/>
      <c r="S172" s="124"/>
      <c r="T172" s="124"/>
      <c r="U172" s="124"/>
      <c r="V172" s="125"/>
      <c r="W172" s="126"/>
      <c r="X172" s="126"/>
      <c r="Y172" s="126"/>
      <c r="Z172" s="127"/>
      <c r="AA172" s="127"/>
      <c r="AB172" s="127"/>
      <c r="AC172" s="127"/>
      <c r="AD172" s="285"/>
      <c r="AE172" s="261"/>
      <c r="AF172" s="261"/>
      <c r="AG172" s="261"/>
      <c r="AH172" s="261"/>
    </row>
    <row r="173" ht="34.5" customHeight="1">
      <c r="A173" s="111"/>
      <c r="B173" s="111"/>
      <c r="C173" s="111"/>
      <c r="D173" s="111"/>
      <c r="E173" s="111"/>
      <c r="F173" s="111"/>
      <c r="G173" s="257"/>
      <c r="H173" s="111"/>
      <c r="I173" s="111"/>
      <c r="J173" s="111"/>
      <c r="K173" s="111"/>
      <c r="L173" s="111"/>
      <c r="M173" s="128"/>
      <c r="N173" s="124"/>
      <c r="O173" s="146"/>
      <c r="P173" s="124"/>
      <c r="Q173" s="124"/>
      <c r="R173" s="124"/>
      <c r="S173" s="124"/>
      <c r="T173" s="124"/>
      <c r="U173" s="124"/>
      <c r="V173" s="125"/>
      <c r="W173" s="126"/>
      <c r="X173" s="126"/>
      <c r="Y173" s="126"/>
      <c r="Z173" s="127"/>
      <c r="AA173" s="127"/>
      <c r="AB173" s="127"/>
      <c r="AC173" s="127"/>
      <c r="AD173" s="285"/>
      <c r="AE173" s="261"/>
      <c r="AF173" s="261"/>
      <c r="AG173" s="261"/>
      <c r="AH173" s="261"/>
    </row>
    <row r="174" ht="34.5" customHeight="1">
      <c r="A174" s="111"/>
      <c r="B174" s="111"/>
      <c r="C174" s="111"/>
      <c r="D174" s="111"/>
      <c r="E174" s="111"/>
      <c r="F174" s="111"/>
      <c r="G174" s="257"/>
      <c r="H174" s="111"/>
      <c r="I174" s="111"/>
      <c r="J174" s="111"/>
      <c r="K174" s="111"/>
      <c r="L174" s="111"/>
      <c r="M174" s="128"/>
      <c r="N174" s="124"/>
      <c r="O174" s="146"/>
      <c r="P174" s="124"/>
      <c r="Q174" s="124"/>
      <c r="R174" s="124"/>
      <c r="S174" s="124"/>
      <c r="T174" s="124"/>
      <c r="U174" s="124"/>
      <c r="V174" s="125"/>
      <c r="W174" s="126"/>
      <c r="X174" s="126"/>
      <c r="Y174" s="126"/>
      <c r="Z174" s="127"/>
      <c r="AA174" s="127"/>
      <c r="AB174" s="127"/>
      <c r="AC174" s="127"/>
      <c r="AD174" s="285"/>
      <c r="AE174" s="261"/>
      <c r="AF174" s="261"/>
      <c r="AG174" s="261"/>
      <c r="AH174" s="261"/>
    </row>
    <row r="175" ht="34.5" customHeight="1">
      <c r="A175" s="111"/>
      <c r="B175" s="111"/>
      <c r="C175" s="111"/>
      <c r="D175" s="111"/>
      <c r="E175" s="111"/>
      <c r="F175" s="111"/>
      <c r="G175" s="257"/>
      <c r="H175" s="111"/>
      <c r="I175" s="111"/>
      <c r="J175" s="111"/>
      <c r="K175" s="111"/>
      <c r="L175" s="111"/>
      <c r="M175" s="128"/>
      <c r="N175" s="124"/>
      <c r="O175" s="146"/>
      <c r="P175" s="124"/>
      <c r="Q175" s="124"/>
      <c r="R175" s="124"/>
      <c r="S175" s="124"/>
      <c r="T175" s="124"/>
      <c r="U175" s="124"/>
      <c r="V175" s="125"/>
      <c r="W175" s="126"/>
      <c r="X175" s="126"/>
      <c r="Y175" s="126"/>
      <c r="Z175" s="127"/>
      <c r="AA175" s="127"/>
      <c r="AB175" s="127"/>
      <c r="AC175" s="127"/>
      <c r="AD175" s="285"/>
      <c r="AE175" s="261"/>
      <c r="AF175" s="261"/>
      <c r="AG175" s="261"/>
      <c r="AH175" s="261"/>
    </row>
    <row r="176" ht="34.5" customHeight="1">
      <c r="A176" s="111"/>
      <c r="B176" s="111"/>
      <c r="C176" s="111"/>
      <c r="D176" s="111"/>
      <c r="E176" s="111"/>
      <c r="F176" s="111"/>
      <c r="G176" s="257"/>
      <c r="H176" s="111"/>
      <c r="I176" s="111"/>
      <c r="J176" s="111"/>
      <c r="K176" s="111"/>
      <c r="L176" s="111"/>
      <c r="M176" s="128"/>
      <c r="N176" s="124"/>
      <c r="O176" s="146"/>
      <c r="P176" s="124"/>
      <c r="Q176" s="124"/>
      <c r="R176" s="124"/>
      <c r="S176" s="124"/>
      <c r="T176" s="124"/>
      <c r="U176" s="124"/>
      <c r="V176" s="125"/>
      <c r="W176" s="126"/>
      <c r="X176" s="126"/>
      <c r="Y176" s="126"/>
      <c r="Z176" s="127"/>
      <c r="AA176" s="127"/>
      <c r="AB176" s="127"/>
      <c r="AC176" s="127"/>
      <c r="AD176" s="285"/>
      <c r="AE176" s="261"/>
      <c r="AF176" s="261"/>
      <c r="AG176" s="261"/>
      <c r="AH176" s="261"/>
    </row>
    <row r="177" ht="34.5" customHeight="1">
      <c r="A177" s="111"/>
      <c r="B177" s="111"/>
      <c r="C177" s="111"/>
      <c r="D177" s="111"/>
      <c r="E177" s="111"/>
      <c r="F177" s="111"/>
      <c r="G177" s="257"/>
      <c r="H177" s="111"/>
      <c r="I177" s="111"/>
      <c r="J177" s="111"/>
      <c r="K177" s="111"/>
      <c r="L177" s="111"/>
      <c r="M177" s="128"/>
      <c r="N177" s="124"/>
      <c r="O177" s="146"/>
      <c r="P177" s="124"/>
      <c r="Q177" s="124"/>
      <c r="R177" s="124"/>
      <c r="S177" s="124"/>
      <c r="T177" s="124"/>
      <c r="U177" s="124"/>
      <c r="V177" s="125"/>
      <c r="W177" s="126"/>
      <c r="X177" s="126"/>
      <c r="Y177" s="126"/>
      <c r="Z177" s="127"/>
      <c r="AA177" s="127"/>
      <c r="AB177" s="127"/>
      <c r="AC177" s="127"/>
      <c r="AD177" s="285"/>
      <c r="AE177" s="261"/>
      <c r="AF177" s="261"/>
      <c r="AG177" s="261"/>
      <c r="AH177" s="261"/>
    </row>
    <row r="178" ht="34.5" customHeight="1">
      <c r="A178" s="111"/>
      <c r="B178" s="111"/>
      <c r="C178" s="111"/>
      <c r="D178" s="111"/>
      <c r="E178" s="111"/>
      <c r="F178" s="111"/>
      <c r="G178" s="257"/>
      <c r="H178" s="111"/>
      <c r="I178" s="111"/>
      <c r="J178" s="111"/>
      <c r="K178" s="111"/>
      <c r="L178" s="111"/>
      <c r="M178" s="128"/>
      <c r="N178" s="124"/>
      <c r="O178" s="146"/>
      <c r="P178" s="124"/>
      <c r="Q178" s="124"/>
      <c r="R178" s="124"/>
      <c r="S178" s="124"/>
      <c r="T178" s="124"/>
      <c r="U178" s="124"/>
      <c r="V178" s="125"/>
      <c r="W178" s="126"/>
      <c r="X178" s="126"/>
      <c r="Y178" s="126"/>
      <c r="Z178" s="127"/>
      <c r="AA178" s="127"/>
      <c r="AB178" s="127"/>
      <c r="AC178" s="127"/>
      <c r="AD178" s="285"/>
      <c r="AE178" s="261"/>
      <c r="AF178" s="261"/>
      <c r="AG178" s="261"/>
      <c r="AH178" s="261"/>
    </row>
    <row r="179" ht="34.5" customHeight="1">
      <c r="A179" s="111"/>
      <c r="B179" s="111"/>
      <c r="C179" s="111"/>
      <c r="D179" s="111"/>
      <c r="E179" s="111"/>
      <c r="F179" s="111"/>
      <c r="G179" s="257"/>
      <c r="H179" s="111"/>
      <c r="I179" s="111"/>
      <c r="J179" s="111"/>
      <c r="K179" s="111"/>
      <c r="L179" s="111"/>
      <c r="M179" s="128"/>
      <c r="N179" s="124"/>
      <c r="O179" s="146"/>
      <c r="P179" s="124"/>
      <c r="Q179" s="124"/>
      <c r="R179" s="124"/>
      <c r="S179" s="124"/>
      <c r="T179" s="124"/>
      <c r="U179" s="124"/>
      <c r="V179" s="125"/>
      <c r="W179" s="126"/>
      <c r="X179" s="126"/>
      <c r="Y179" s="126"/>
      <c r="Z179" s="127"/>
      <c r="AA179" s="127"/>
      <c r="AB179" s="127"/>
      <c r="AC179" s="127"/>
      <c r="AD179" s="285"/>
      <c r="AE179" s="261"/>
      <c r="AF179" s="261"/>
      <c r="AG179" s="261"/>
      <c r="AH179" s="261"/>
    </row>
    <row r="180" ht="34.5" customHeight="1">
      <c r="A180" s="111"/>
      <c r="B180" s="111"/>
      <c r="C180" s="111"/>
      <c r="D180" s="111"/>
      <c r="E180" s="111"/>
      <c r="F180" s="111"/>
      <c r="G180" s="257"/>
      <c r="H180" s="111"/>
      <c r="I180" s="111"/>
      <c r="J180" s="111"/>
      <c r="K180" s="111"/>
      <c r="L180" s="111"/>
      <c r="M180" s="128"/>
      <c r="N180" s="124"/>
      <c r="O180" s="146"/>
      <c r="P180" s="124"/>
      <c r="Q180" s="124"/>
      <c r="R180" s="124"/>
      <c r="S180" s="124"/>
      <c r="T180" s="124"/>
      <c r="U180" s="124"/>
      <c r="V180" s="125"/>
      <c r="W180" s="126"/>
      <c r="X180" s="126"/>
      <c r="Y180" s="126"/>
      <c r="Z180" s="127"/>
      <c r="AA180" s="127"/>
      <c r="AB180" s="127"/>
      <c r="AC180" s="127"/>
      <c r="AD180" s="285"/>
      <c r="AE180" s="261"/>
      <c r="AF180" s="261"/>
      <c r="AG180" s="261"/>
      <c r="AH180" s="261"/>
    </row>
    <row r="181" ht="34.5" customHeight="1">
      <c r="A181" s="111"/>
      <c r="B181" s="111"/>
      <c r="C181" s="111"/>
      <c r="D181" s="111"/>
      <c r="E181" s="111"/>
      <c r="F181" s="111"/>
      <c r="G181" s="257"/>
      <c r="H181" s="111"/>
      <c r="I181" s="111"/>
      <c r="J181" s="111"/>
      <c r="K181" s="111"/>
      <c r="L181" s="111"/>
      <c r="M181" s="128"/>
      <c r="N181" s="124"/>
      <c r="O181" s="146"/>
      <c r="P181" s="124"/>
      <c r="Q181" s="124"/>
      <c r="R181" s="124"/>
      <c r="S181" s="124"/>
      <c r="T181" s="124"/>
      <c r="U181" s="124"/>
      <c r="V181" s="125"/>
      <c r="W181" s="126"/>
      <c r="X181" s="126"/>
      <c r="Y181" s="126"/>
      <c r="Z181" s="127"/>
      <c r="AA181" s="127"/>
      <c r="AB181" s="127"/>
      <c r="AC181" s="127"/>
      <c r="AD181" s="285"/>
      <c r="AE181" s="261"/>
      <c r="AF181" s="261"/>
      <c r="AG181" s="261"/>
      <c r="AH181" s="261"/>
    </row>
    <row r="182" ht="34.5" customHeight="1">
      <c r="A182" s="111"/>
      <c r="B182" s="111"/>
      <c r="C182" s="111"/>
      <c r="D182" s="111"/>
      <c r="E182" s="111"/>
      <c r="F182" s="111"/>
      <c r="G182" s="257"/>
      <c r="H182" s="111"/>
      <c r="I182" s="111"/>
      <c r="J182" s="111"/>
      <c r="K182" s="111"/>
      <c r="L182" s="111"/>
      <c r="M182" s="128"/>
      <c r="N182" s="124"/>
      <c r="O182" s="146"/>
      <c r="P182" s="124"/>
      <c r="Q182" s="124"/>
      <c r="R182" s="124"/>
      <c r="S182" s="124"/>
      <c r="T182" s="124"/>
      <c r="U182" s="124"/>
      <c r="V182" s="125"/>
      <c r="W182" s="126"/>
      <c r="X182" s="126"/>
      <c r="Y182" s="126"/>
      <c r="Z182" s="127"/>
      <c r="AA182" s="127"/>
      <c r="AB182" s="127"/>
      <c r="AC182" s="127"/>
      <c r="AD182" s="285"/>
      <c r="AE182" s="261"/>
      <c r="AF182" s="261"/>
      <c r="AG182" s="261"/>
      <c r="AH182" s="261"/>
    </row>
    <row r="183" ht="34.5" customHeight="1">
      <c r="A183" s="111"/>
      <c r="B183" s="111"/>
      <c r="C183" s="111"/>
      <c r="D183" s="111"/>
      <c r="E183" s="111"/>
      <c r="F183" s="111"/>
      <c r="G183" s="257"/>
      <c r="H183" s="111"/>
      <c r="I183" s="111"/>
      <c r="J183" s="111"/>
      <c r="K183" s="111"/>
      <c r="L183" s="111"/>
      <c r="M183" s="128"/>
      <c r="N183" s="124"/>
      <c r="O183" s="146"/>
      <c r="P183" s="124"/>
      <c r="Q183" s="124"/>
      <c r="R183" s="124"/>
      <c r="S183" s="124"/>
      <c r="T183" s="124"/>
      <c r="U183" s="124"/>
      <c r="V183" s="125"/>
      <c r="W183" s="126"/>
      <c r="X183" s="126"/>
      <c r="Y183" s="126"/>
      <c r="Z183" s="127"/>
      <c r="AA183" s="127"/>
      <c r="AB183" s="127"/>
      <c r="AC183" s="127"/>
      <c r="AD183" s="285"/>
      <c r="AE183" s="261"/>
      <c r="AF183" s="261"/>
      <c r="AG183" s="261"/>
      <c r="AH183" s="261"/>
    </row>
    <row r="184" ht="34.5" customHeight="1">
      <c r="A184" s="111"/>
      <c r="B184" s="111"/>
      <c r="C184" s="111"/>
      <c r="D184" s="111"/>
      <c r="E184" s="111"/>
      <c r="F184" s="111"/>
      <c r="G184" s="257"/>
      <c r="H184" s="111"/>
      <c r="I184" s="111"/>
      <c r="J184" s="111"/>
      <c r="K184" s="111"/>
      <c r="L184" s="111"/>
      <c r="M184" s="128"/>
      <c r="N184" s="124"/>
      <c r="O184" s="146"/>
      <c r="P184" s="124"/>
      <c r="Q184" s="124"/>
      <c r="R184" s="124"/>
      <c r="S184" s="124"/>
      <c r="T184" s="124"/>
      <c r="U184" s="124"/>
      <c r="V184" s="125"/>
      <c r="W184" s="126"/>
      <c r="X184" s="126"/>
      <c r="Y184" s="126"/>
      <c r="Z184" s="127"/>
      <c r="AA184" s="127"/>
      <c r="AB184" s="127"/>
      <c r="AC184" s="127"/>
      <c r="AD184" s="285"/>
      <c r="AE184" s="261"/>
      <c r="AF184" s="261"/>
      <c r="AG184" s="261"/>
      <c r="AH184" s="261"/>
    </row>
    <row r="185" ht="34.5" customHeight="1">
      <c r="A185" s="111"/>
      <c r="B185" s="111"/>
      <c r="C185" s="111"/>
      <c r="D185" s="111"/>
      <c r="E185" s="111"/>
      <c r="F185" s="111"/>
      <c r="G185" s="257"/>
      <c r="H185" s="111"/>
      <c r="I185" s="111"/>
      <c r="J185" s="111"/>
      <c r="K185" s="111"/>
      <c r="L185" s="111"/>
      <c r="M185" s="128"/>
      <c r="N185" s="124"/>
      <c r="O185" s="146"/>
      <c r="P185" s="124"/>
      <c r="Q185" s="124"/>
      <c r="R185" s="124"/>
      <c r="S185" s="124"/>
      <c r="T185" s="124"/>
      <c r="U185" s="124"/>
      <c r="V185" s="125"/>
      <c r="W185" s="126"/>
      <c r="X185" s="126"/>
      <c r="Y185" s="126"/>
      <c r="Z185" s="127"/>
      <c r="AA185" s="127"/>
      <c r="AB185" s="127"/>
      <c r="AC185" s="127"/>
      <c r="AD185" s="285"/>
      <c r="AE185" s="261"/>
      <c r="AF185" s="261"/>
      <c r="AG185" s="261"/>
      <c r="AH185" s="261"/>
    </row>
    <row r="186" ht="34.5" customHeight="1">
      <c r="A186" s="111"/>
      <c r="B186" s="111"/>
      <c r="C186" s="111"/>
      <c r="D186" s="111"/>
      <c r="E186" s="111"/>
      <c r="F186" s="111"/>
      <c r="G186" s="257"/>
      <c r="H186" s="111"/>
      <c r="I186" s="111"/>
      <c r="J186" s="111"/>
      <c r="K186" s="111"/>
      <c r="L186" s="111"/>
      <c r="M186" s="128"/>
      <c r="N186" s="124"/>
      <c r="O186" s="146"/>
      <c r="P186" s="124"/>
      <c r="Q186" s="124"/>
      <c r="R186" s="124"/>
      <c r="S186" s="124"/>
      <c r="T186" s="124"/>
      <c r="U186" s="124"/>
      <c r="V186" s="125"/>
      <c r="W186" s="126"/>
      <c r="X186" s="126"/>
      <c r="Y186" s="126"/>
      <c r="Z186" s="127"/>
      <c r="AA186" s="127"/>
      <c r="AB186" s="127"/>
      <c r="AC186" s="127"/>
      <c r="AD186" s="285"/>
      <c r="AE186" s="261"/>
      <c r="AF186" s="261"/>
      <c r="AG186" s="261"/>
      <c r="AH186" s="261"/>
    </row>
    <row r="187" ht="34.5" customHeight="1">
      <c r="A187" s="111"/>
      <c r="B187" s="111"/>
      <c r="C187" s="111"/>
      <c r="D187" s="111"/>
      <c r="E187" s="111"/>
      <c r="F187" s="111"/>
      <c r="G187" s="257"/>
      <c r="H187" s="111"/>
      <c r="I187" s="111"/>
      <c r="J187" s="111"/>
      <c r="K187" s="111"/>
      <c r="L187" s="111"/>
      <c r="M187" s="128"/>
      <c r="N187" s="124"/>
      <c r="O187" s="146"/>
      <c r="P187" s="124"/>
      <c r="Q187" s="124"/>
      <c r="R187" s="124"/>
      <c r="S187" s="124"/>
      <c r="T187" s="124"/>
      <c r="U187" s="124"/>
      <c r="V187" s="125"/>
      <c r="W187" s="126"/>
      <c r="X187" s="126"/>
      <c r="Y187" s="126"/>
      <c r="Z187" s="127"/>
      <c r="AA187" s="127"/>
      <c r="AB187" s="127"/>
      <c r="AC187" s="127"/>
      <c r="AD187" s="285"/>
      <c r="AE187" s="261"/>
      <c r="AF187" s="261"/>
      <c r="AG187" s="261"/>
      <c r="AH187" s="261"/>
    </row>
    <row r="188" ht="34.5" customHeight="1">
      <c r="A188" s="111"/>
      <c r="B188" s="111"/>
      <c r="C188" s="111"/>
      <c r="D188" s="111"/>
      <c r="E188" s="111"/>
      <c r="F188" s="111"/>
      <c r="G188" s="257"/>
      <c r="H188" s="111"/>
      <c r="I188" s="111"/>
      <c r="J188" s="111"/>
      <c r="K188" s="111"/>
      <c r="L188" s="111"/>
      <c r="M188" s="128"/>
      <c r="N188" s="124"/>
      <c r="O188" s="146"/>
      <c r="P188" s="124"/>
      <c r="Q188" s="124"/>
      <c r="R188" s="124"/>
      <c r="S188" s="124"/>
      <c r="T188" s="124"/>
      <c r="U188" s="124"/>
      <c r="V188" s="125"/>
      <c r="W188" s="126"/>
      <c r="X188" s="126"/>
      <c r="Y188" s="126"/>
      <c r="Z188" s="127"/>
      <c r="AA188" s="127"/>
      <c r="AB188" s="127"/>
      <c r="AC188" s="127"/>
      <c r="AD188" s="285"/>
      <c r="AE188" s="261"/>
      <c r="AF188" s="261"/>
      <c r="AG188" s="261"/>
      <c r="AH188" s="261"/>
    </row>
    <row r="189" ht="34.5" customHeight="1">
      <c r="A189" s="111"/>
      <c r="B189" s="111"/>
      <c r="C189" s="111"/>
      <c r="D189" s="111"/>
      <c r="E189" s="111"/>
      <c r="F189" s="111"/>
      <c r="G189" s="257"/>
      <c r="H189" s="111"/>
      <c r="I189" s="111"/>
      <c r="J189" s="111"/>
      <c r="K189" s="111"/>
      <c r="L189" s="111"/>
      <c r="M189" s="128"/>
      <c r="N189" s="124"/>
      <c r="O189" s="146"/>
      <c r="P189" s="124"/>
      <c r="Q189" s="124"/>
      <c r="R189" s="124"/>
      <c r="S189" s="124"/>
      <c r="T189" s="124"/>
      <c r="U189" s="124"/>
      <c r="V189" s="125"/>
      <c r="W189" s="126"/>
      <c r="X189" s="126"/>
      <c r="Y189" s="126"/>
      <c r="Z189" s="127"/>
      <c r="AA189" s="127"/>
      <c r="AB189" s="127"/>
      <c r="AC189" s="127"/>
      <c r="AD189" s="285"/>
      <c r="AE189" s="261"/>
      <c r="AF189" s="261"/>
      <c r="AG189" s="261"/>
      <c r="AH189" s="261"/>
    </row>
    <row r="190" ht="34.5" customHeight="1">
      <c r="A190" s="111"/>
      <c r="B190" s="111"/>
      <c r="C190" s="111"/>
      <c r="D190" s="111"/>
      <c r="E190" s="111"/>
      <c r="F190" s="111"/>
      <c r="G190" s="257"/>
      <c r="H190" s="111"/>
      <c r="I190" s="111"/>
      <c r="J190" s="111"/>
      <c r="K190" s="111"/>
      <c r="L190" s="111"/>
      <c r="M190" s="128"/>
      <c r="N190" s="124"/>
      <c r="O190" s="146"/>
      <c r="P190" s="124"/>
      <c r="Q190" s="124"/>
      <c r="R190" s="124"/>
      <c r="S190" s="124"/>
      <c r="T190" s="124"/>
      <c r="U190" s="124"/>
      <c r="V190" s="125"/>
      <c r="W190" s="126"/>
      <c r="X190" s="126"/>
      <c r="Y190" s="126"/>
      <c r="Z190" s="127"/>
      <c r="AA190" s="127"/>
      <c r="AB190" s="127"/>
      <c r="AC190" s="127"/>
      <c r="AD190" s="285"/>
      <c r="AE190" s="261"/>
      <c r="AF190" s="261"/>
      <c r="AG190" s="261"/>
      <c r="AH190" s="261"/>
    </row>
    <row r="191" ht="34.5" customHeight="1">
      <c r="A191" s="111"/>
      <c r="B191" s="111"/>
      <c r="C191" s="111"/>
      <c r="D191" s="111"/>
      <c r="E191" s="111"/>
      <c r="F191" s="111"/>
      <c r="G191" s="257"/>
      <c r="H191" s="111"/>
      <c r="I191" s="111"/>
      <c r="J191" s="111"/>
      <c r="K191" s="111"/>
      <c r="L191" s="111"/>
      <c r="M191" s="128"/>
      <c r="N191" s="124"/>
      <c r="O191" s="146"/>
      <c r="P191" s="124"/>
      <c r="Q191" s="124"/>
      <c r="R191" s="124"/>
      <c r="S191" s="124"/>
      <c r="T191" s="124"/>
      <c r="U191" s="124"/>
      <c r="V191" s="125"/>
      <c r="W191" s="126"/>
      <c r="X191" s="126"/>
      <c r="Y191" s="126"/>
      <c r="Z191" s="127"/>
      <c r="AA191" s="127"/>
      <c r="AB191" s="127"/>
      <c r="AC191" s="127"/>
      <c r="AD191" s="285"/>
      <c r="AE191" s="261"/>
      <c r="AF191" s="261"/>
      <c r="AG191" s="261"/>
      <c r="AH191" s="261"/>
    </row>
    <row r="192" ht="34.5" customHeight="1">
      <c r="A192" s="111"/>
      <c r="B192" s="111"/>
      <c r="C192" s="111"/>
      <c r="D192" s="111"/>
      <c r="E192" s="111"/>
      <c r="F192" s="111"/>
      <c r="G192" s="257"/>
      <c r="H192" s="111"/>
      <c r="I192" s="111"/>
      <c r="J192" s="111"/>
      <c r="K192" s="111"/>
      <c r="L192" s="111"/>
      <c r="M192" s="128"/>
      <c r="N192" s="124"/>
      <c r="O192" s="146"/>
      <c r="P192" s="124"/>
      <c r="Q192" s="124"/>
      <c r="R192" s="124"/>
      <c r="S192" s="124"/>
      <c r="T192" s="124"/>
      <c r="U192" s="124"/>
      <c r="V192" s="125"/>
      <c r="W192" s="126"/>
      <c r="X192" s="126"/>
      <c r="Y192" s="126"/>
      <c r="Z192" s="127"/>
      <c r="AA192" s="127"/>
      <c r="AB192" s="127"/>
      <c r="AC192" s="127"/>
      <c r="AD192" s="285"/>
      <c r="AE192" s="261"/>
      <c r="AF192" s="261"/>
      <c r="AG192" s="261"/>
      <c r="AH192" s="261"/>
    </row>
    <row r="193" ht="34.5" customHeight="1">
      <c r="A193" s="111"/>
      <c r="B193" s="111"/>
      <c r="C193" s="111"/>
      <c r="D193" s="111"/>
      <c r="E193" s="111"/>
      <c r="F193" s="111"/>
      <c r="G193" s="257"/>
      <c r="H193" s="111"/>
      <c r="I193" s="111"/>
      <c r="J193" s="111"/>
      <c r="K193" s="111"/>
      <c r="L193" s="111"/>
      <c r="M193" s="128"/>
      <c r="N193" s="124"/>
      <c r="O193" s="146"/>
      <c r="P193" s="124"/>
      <c r="Q193" s="124"/>
      <c r="R193" s="124"/>
      <c r="S193" s="124"/>
      <c r="T193" s="124"/>
      <c r="U193" s="124"/>
      <c r="V193" s="125"/>
      <c r="W193" s="126"/>
      <c r="X193" s="126"/>
      <c r="Y193" s="126"/>
      <c r="Z193" s="127"/>
      <c r="AA193" s="127"/>
      <c r="AB193" s="127"/>
      <c r="AC193" s="127"/>
      <c r="AD193" s="285"/>
      <c r="AE193" s="261"/>
      <c r="AF193" s="261"/>
      <c r="AG193" s="261"/>
      <c r="AH193" s="261"/>
    </row>
    <row r="194" ht="34.5" customHeight="1">
      <c r="A194" s="111"/>
      <c r="B194" s="111"/>
      <c r="C194" s="111"/>
      <c r="D194" s="111"/>
      <c r="E194" s="111"/>
      <c r="F194" s="111"/>
      <c r="G194" s="257"/>
      <c r="H194" s="111"/>
      <c r="I194" s="111"/>
      <c r="J194" s="111"/>
      <c r="K194" s="111"/>
      <c r="L194" s="111"/>
      <c r="M194" s="128"/>
      <c r="N194" s="124"/>
      <c r="O194" s="146"/>
      <c r="P194" s="124"/>
      <c r="Q194" s="124"/>
      <c r="R194" s="124"/>
      <c r="S194" s="124"/>
      <c r="T194" s="124"/>
      <c r="U194" s="124"/>
      <c r="V194" s="125"/>
      <c r="W194" s="126"/>
      <c r="X194" s="126"/>
      <c r="Y194" s="126"/>
      <c r="Z194" s="127"/>
      <c r="AA194" s="127"/>
      <c r="AB194" s="127"/>
      <c r="AC194" s="127"/>
      <c r="AD194" s="285"/>
      <c r="AE194" s="261"/>
      <c r="AF194" s="261"/>
      <c r="AG194" s="261"/>
      <c r="AH194" s="261"/>
    </row>
    <row r="195" ht="34.5" customHeight="1">
      <c r="A195" s="111"/>
      <c r="B195" s="111"/>
      <c r="C195" s="111"/>
      <c r="D195" s="111"/>
      <c r="E195" s="111"/>
      <c r="F195" s="111"/>
      <c r="G195" s="257"/>
      <c r="H195" s="111"/>
      <c r="I195" s="111"/>
      <c r="J195" s="111"/>
      <c r="K195" s="111"/>
      <c r="L195" s="111"/>
      <c r="M195" s="128"/>
      <c r="N195" s="124"/>
      <c r="O195" s="146"/>
      <c r="P195" s="124"/>
      <c r="Q195" s="124"/>
      <c r="R195" s="124"/>
      <c r="S195" s="124"/>
      <c r="T195" s="124"/>
      <c r="U195" s="124"/>
      <c r="V195" s="125"/>
      <c r="W195" s="126"/>
      <c r="X195" s="126"/>
      <c r="Y195" s="126"/>
      <c r="Z195" s="127"/>
      <c r="AA195" s="127"/>
      <c r="AB195" s="127"/>
      <c r="AC195" s="127"/>
      <c r="AD195" s="285"/>
      <c r="AE195" s="261"/>
      <c r="AF195" s="261"/>
      <c r="AG195" s="261"/>
      <c r="AH195" s="261"/>
    </row>
    <row r="196" ht="34.5" customHeight="1">
      <c r="A196" s="111"/>
      <c r="B196" s="111"/>
      <c r="C196" s="111"/>
      <c r="D196" s="111"/>
      <c r="E196" s="111"/>
      <c r="F196" s="111"/>
      <c r="G196" s="257"/>
      <c r="H196" s="111"/>
      <c r="I196" s="111"/>
      <c r="J196" s="111"/>
      <c r="K196" s="111"/>
      <c r="L196" s="111"/>
      <c r="M196" s="128"/>
      <c r="N196" s="124"/>
      <c r="O196" s="146"/>
      <c r="P196" s="124"/>
      <c r="Q196" s="124"/>
      <c r="R196" s="124"/>
      <c r="S196" s="124"/>
      <c r="T196" s="124"/>
      <c r="U196" s="124"/>
      <c r="V196" s="125"/>
      <c r="W196" s="126"/>
      <c r="X196" s="126"/>
      <c r="Y196" s="126"/>
      <c r="Z196" s="127"/>
      <c r="AA196" s="127"/>
      <c r="AB196" s="127"/>
      <c r="AC196" s="127"/>
      <c r="AD196" s="285"/>
      <c r="AE196" s="261"/>
      <c r="AF196" s="261"/>
      <c r="AG196" s="261"/>
      <c r="AH196" s="261"/>
    </row>
    <row r="197" ht="34.5" customHeight="1">
      <c r="A197" s="111"/>
      <c r="B197" s="111"/>
      <c r="C197" s="111"/>
      <c r="D197" s="111"/>
      <c r="E197" s="111"/>
      <c r="F197" s="111"/>
      <c r="G197" s="257"/>
      <c r="H197" s="111"/>
      <c r="I197" s="111"/>
      <c r="J197" s="111"/>
      <c r="K197" s="111"/>
      <c r="L197" s="111"/>
      <c r="M197" s="128"/>
      <c r="N197" s="124"/>
      <c r="O197" s="146"/>
      <c r="P197" s="124"/>
      <c r="Q197" s="124"/>
      <c r="R197" s="124"/>
      <c r="S197" s="124"/>
      <c r="T197" s="124"/>
      <c r="U197" s="124"/>
      <c r="V197" s="125"/>
      <c r="W197" s="126"/>
      <c r="X197" s="126"/>
      <c r="Y197" s="126"/>
      <c r="Z197" s="127"/>
      <c r="AA197" s="127"/>
      <c r="AB197" s="127"/>
      <c r="AC197" s="127"/>
      <c r="AD197" s="285"/>
      <c r="AE197" s="261"/>
      <c r="AF197" s="261"/>
      <c r="AG197" s="261"/>
      <c r="AH197" s="261"/>
    </row>
    <row r="198" ht="34.5" customHeight="1">
      <c r="A198" s="111"/>
      <c r="B198" s="111"/>
      <c r="C198" s="111"/>
      <c r="D198" s="111"/>
      <c r="E198" s="111"/>
      <c r="F198" s="111"/>
      <c r="G198" s="257"/>
      <c r="H198" s="111"/>
      <c r="I198" s="111"/>
      <c r="J198" s="111"/>
      <c r="K198" s="111"/>
      <c r="L198" s="111"/>
      <c r="M198" s="128"/>
      <c r="N198" s="124"/>
      <c r="O198" s="146"/>
      <c r="P198" s="124"/>
      <c r="Q198" s="124"/>
      <c r="R198" s="124"/>
      <c r="S198" s="124"/>
      <c r="T198" s="124"/>
      <c r="U198" s="124"/>
      <c r="V198" s="125"/>
      <c r="W198" s="126"/>
      <c r="X198" s="126"/>
      <c r="Y198" s="126"/>
      <c r="Z198" s="127"/>
      <c r="AA198" s="127"/>
      <c r="AB198" s="127"/>
      <c r="AC198" s="127"/>
      <c r="AD198" s="285"/>
      <c r="AE198" s="261"/>
      <c r="AF198" s="261"/>
      <c r="AG198" s="261"/>
      <c r="AH198" s="261"/>
    </row>
    <row r="199" ht="34.5" customHeight="1">
      <c r="A199" s="111"/>
      <c r="B199" s="111"/>
      <c r="C199" s="111"/>
      <c r="D199" s="111"/>
      <c r="E199" s="111"/>
      <c r="F199" s="111"/>
      <c r="G199" s="257"/>
      <c r="H199" s="111"/>
      <c r="I199" s="111"/>
      <c r="J199" s="111"/>
      <c r="K199" s="111"/>
      <c r="L199" s="111"/>
      <c r="M199" s="128"/>
      <c r="N199" s="124"/>
      <c r="O199" s="146"/>
      <c r="P199" s="124"/>
      <c r="Q199" s="124"/>
      <c r="R199" s="124"/>
      <c r="S199" s="124"/>
      <c r="T199" s="124"/>
      <c r="U199" s="124"/>
      <c r="V199" s="125"/>
      <c r="W199" s="126"/>
      <c r="X199" s="126"/>
      <c r="Y199" s="126"/>
      <c r="Z199" s="127"/>
      <c r="AA199" s="127"/>
      <c r="AB199" s="127"/>
      <c r="AC199" s="127"/>
      <c r="AD199" s="285"/>
      <c r="AE199" s="261"/>
      <c r="AF199" s="261"/>
      <c r="AG199" s="261"/>
      <c r="AH199" s="261"/>
    </row>
    <row r="200" ht="15.75" customHeight="1">
      <c r="A200" s="261"/>
      <c r="B200" s="261"/>
      <c r="C200" s="261"/>
      <c r="D200" s="291"/>
      <c r="E200" s="261"/>
      <c r="F200" s="261"/>
      <c r="G200" s="261"/>
      <c r="H200" s="261"/>
      <c r="I200" s="261"/>
      <c r="J200" s="261"/>
      <c r="K200" s="261"/>
      <c r="L200" s="261"/>
      <c r="M200" s="261"/>
      <c r="N200" s="261"/>
      <c r="O200" s="261"/>
      <c r="P200" s="261"/>
      <c r="Q200" s="261"/>
      <c r="R200" s="261"/>
      <c r="S200" s="261"/>
      <c r="T200" s="261"/>
      <c r="U200" s="261"/>
      <c r="V200" s="261"/>
      <c r="W200" s="261"/>
      <c r="X200" s="261"/>
      <c r="Y200" s="261"/>
      <c r="Z200" s="261"/>
      <c r="AA200" s="273"/>
      <c r="AB200" s="273"/>
      <c r="AC200" s="273"/>
      <c r="AD200" s="273"/>
    </row>
    <row r="201" ht="15.75" customHeight="1">
      <c r="A201" s="261"/>
      <c r="B201" s="261"/>
      <c r="C201" s="261"/>
      <c r="D201" s="291"/>
      <c r="E201" s="261"/>
      <c r="F201" s="261"/>
      <c r="G201" s="261"/>
      <c r="H201" s="261"/>
      <c r="I201" s="261"/>
      <c r="J201" s="261"/>
      <c r="K201" s="261"/>
      <c r="L201" s="261"/>
      <c r="M201" s="261"/>
      <c r="N201" s="261"/>
      <c r="O201" s="261"/>
      <c r="P201" s="261"/>
      <c r="Q201" s="261"/>
      <c r="R201" s="261"/>
      <c r="S201" s="261"/>
      <c r="T201" s="261"/>
      <c r="U201" s="261"/>
      <c r="V201" s="261"/>
      <c r="W201" s="261"/>
      <c r="X201" s="261"/>
      <c r="Y201" s="261"/>
      <c r="Z201" s="261"/>
      <c r="AA201" s="273"/>
      <c r="AB201" s="273"/>
      <c r="AC201" s="273"/>
      <c r="AD201" s="273"/>
    </row>
    <row r="202" ht="15.75" customHeight="1">
      <c r="A202" s="261"/>
      <c r="B202" s="261"/>
      <c r="C202" s="261"/>
      <c r="D202" s="291"/>
      <c r="E202" s="261"/>
      <c r="F202" s="261"/>
      <c r="G202" s="261"/>
      <c r="H202" s="261"/>
      <c r="I202" s="261"/>
      <c r="J202" s="261"/>
      <c r="K202" s="261"/>
      <c r="L202" s="261"/>
      <c r="M202" s="261"/>
      <c r="N202" s="261"/>
      <c r="O202" s="261"/>
      <c r="P202" s="261"/>
      <c r="Q202" s="261"/>
      <c r="R202" s="261"/>
      <c r="S202" s="261"/>
      <c r="T202" s="261"/>
      <c r="U202" s="261"/>
      <c r="V202" s="261"/>
      <c r="W202" s="261"/>
      <c r="X202" s="261"/>
      <c r="Y202" s="261"/>
      <c r="Z202" s="261"/>
      <c r="AA202" s="273"/>
      <c r="AB202" s="273"/>
      <c r="AC202" s="273"/>
      <c r="AD202" s="273"/>
    </row>
    <row r="203" ht="15.75" customHeight="1">
      <c r="A203" s="261"/>
      <c r="B203" s="261"/>
      <c r="C203" s="261"/>
      <c r="D203" s="291"/>
      <c r="E203" s="261"/>
      <c r="F203" s="261"/>
      <c r="G203" s="261"/>
      <c r="H203" s="261"/>
      <c r="I203" s="261"/>
      <c r="J203" s="261"/>
      <c r="K203" s="261"/>
      <c r="L203" s="261"/>
      <c r="M203" s="261"/>
      <c r="N203" s="261"/>
      <c r="O203" s="261"/>
      <c r="P203" s="261"/>
      <c r="Q203" s="261"/>
      <c r="R203" s="261"/>
      <c r="S203" s="261"/>
      <c r="T203" s="261"/>
      <c r="U203" s="261"/>
      <c r="V203" s="261"/>
      <c r="W203" s="261"/>
      <c r="X203" s="261"/>
      <c r="Y203" s="261"/>
      <c r="Z203" s="261"/>
      <c r="AA203" s="273"/>
      <c r="AB203" s="273"/>
      <c r="AC203" s="273"/>
      <c r="AD203" s="273"/>
    </row>
    <row r="204" ht="15.75" customHeight="1">
      <c r="A204" s="261"/>
      <c r="B204" s="261"/>
      <c r="C204" s="261"/>
      <c r="D204" s="291"/>
      <c r="E204" s="261"/>
      <c r="F204" s="261"/>
      <c r="G204" s="261"/>
      <c r="H204" s="261"/>
      <c r="I204" s="261"/>
      <c r="J204" s="261"/>
      <c r="K204" s="261"/>
      <c r="L204" s="261"/>
      <c r="M204" s="261"/>
      <c r="N204" s="261"/>
      <c r="O204" s="261"/>
      <c r="P204" s="261"/>
      <c r="Q204" s="261"/>
      <c r="R204" s="261"/>
      <c r="S204" s="261"/>
      <c r="T204" s="261"/>
      <c r="U204" s="261"/>
      <c r="V204" s="261"/>
      <c r="W204" s="261"/>
      <c r="X204" s="261"/>
      <c r="Y204" s="261"/>
      <c r="Z204" s="261"/>
      <c r="AA204" s="273"/>
      <c r="AB204" s="273"/>
      <c r="AC204" s="273"/>
      <c r="AD204" s="273"/>
    </row>
    <row r="205" ht="15.75" customHeight="1">
      <c r="A205" s="261"/>
      <c r="B205" s="261"/>
      <c r="C205" s="261"/>
      <c r="D205" s="291"/>
      <c r="E205" s="261"/>
      <c r="F205" s="261"/>
      <c r="G205" s="261"/>
      <c r="H205" s="261"/>
      <c r="I205" s="261"/>
      <c r="J205" s="261"/>
      <c r="K205" s="261"/>
      <c r="L205" s="261"/>
      <c r="M205" s="261"/>
      <c r="N205" s="261"/>
      <c r="O205" s="261"/>
      <c r="P205" s="261"/>
      <c r="Q205" s="261"/>
      <c r="R205" s="261"/>
      <c r="S205" s="261"/>
      <c r="T205" s="261"/>
      <c r="U205" s="261"/>
      <c r="V205" s="261"/>
      <c r="W205" s="261"/>
      <c r="X205" s="261"/>
      <c r="Y205" s="261"/>
      <c r="Z205" s="261"/>
      <c r="AA205" s="273"/>
      <c r="AB205" s="273"/>
      <c r="AC205" s="273"/>
      <c r="AD205" s="273"/>
    </row>
    <row r="206" ht="15.75" customHeight="1">
      <c r="A206" s="261"/>
      <c r="B206" s="261"/>
      <c r="C206" s="261"/>
      <c r="D206" s="291"/>
      <c r="E206" s="261"/>
      <c r="F206" s="261"/>
      <c r="G206" s="261"/>
      <c r="H206" s="261"/>
      <c r="I206" s="261"/>
      <c r="J206" s="261"/>
      <c r="K206" s="261"/>
      <c r="L206" s="261"/>
      <c r="M206" s="261"/>
      <c r="N206" s="261"/>
      <c r="O206" s="261"/>
      <c r="P206" s="261"/>
      <c r="Q206" s="261"/>
      <c r="R206" s="261"/>
      <c r="S206" s="261"/>
      <c r="T206" s="261"/>
      <c r="U206" s="261"/>
      <c r="V206" s="261"/>
      <c r="W206" s="261"/>
      <c r="X206" s="261"/>
      <c r="Y206" s="261"/>
      <c r="Z206" s="261"/>
      <c r="AA206" s="273"/>
      <c r="AB206" s="273"/>
      <c r="AC206" s="273"/>
      <c r="AD206" s="273"/>
    </row>
    <row r="207" ht="15.75" customHeight="1">
      <c r="A207" s="261"/>
      <c r="B207" s="261"/>
      <c r="C207" s="261"/>
      <c r="D207" s="291"/>
      <c r="E207" s="261"/>
      <c r="F207" s="261"/>
      <c r="G207" s="261"/>
      <c r="H207" s="261"/>
      <c r="I207" s="261"/>
      <c r="J207" s="261"/>
      <c r="K207" s="261"/>
      <c r="L207" s="261"/>
      <c r="M207" s="261"/>
      <c r="N207" s="261"/>
      <c r="O207" s="261"/>
      <c r="P207" s="261"/>
      <c r="Q207" s="261"/>
      <c r="R207" s="261"/>
      <c r="S207" s="261"/>
      <c r="T207" s="261"/>
      <c r="U207" s="261"/>
      <c r="V207" s="261"/>
      <c r="W207" s="261"/>
      <c r="X207" s="261"/>
      <c r="Y207" s="261"/>
      <c r="Z207" s="261"/>
      <c r="AA207" s="273"/>
      <c r="AB207" s="273"/>
      <c r="AC207" s="273"/>
      <c r="AD207" s="273"/>
    </row>
    <row r="208" ht="15.75" customHeight="1">
      <c r="A208" s="261"/>
      <c r="B208" s="261"/>
      <c r="C208" s="261"/>
      <c r="D208" s="291"/>
      <c r="E208" s="261"/>
      <c r="F208" s="261"/>
      <c r="G208" s="261"/>
      <c r="H208" s="261"/>
      <c r="I208" s="261"/>
      <c r="J208" s="261"/>
      <c r="K208" s="261"/>
      <c r="L208" s="261"/>
      <c r="M208" s="261"/>
      <c r="N208" s="261"/>
      <c r="O208" s="261"/>
      <c r="P208" s="261"/>
      <c r="Q208" s="261"/>
      <c r="R208" s="261"/>
      <c r="S208" s="261"/>
      <c r="T208" s="261"/>
      <c r="U208" s="261"/>
      <c r="V208" s="261"/>
      <c r="W208" s="261"/>
      <c r="X208" s="261"/>
      <c r="Y208" s="261"/>
      <c r="Z208" s="261"/>
      <c r="AA208" s="273"/>
      <c r="AB208" s="273"/>
      <c r="AC208" s="273"/>
      <c r="AD208" s="273"/>
    </row>
    <row r="209" ht="15.75" customHeight="1">
      <c r="A209" s="261"/>
      <c r="B209" s="261"/>
      <c r="C209" s="261"/>
      <c r="D209" s="291"/>
      <c r="E209" s="261"/>
      <c r="F209" s="261"/>
      <c r="G209" s="261"/>
      <c r="H209" s="261"/>
      <c r="I209" s="261"/>
      <c r="J209" s="261"/>
      <c r="K209" s="261"/>
      <c r="L209" s="261"/>
      <c r="M209" s="261"/>
      <c r="N209" s="261"/>
      <c r="O209" s="261"/>
      <c r="P209" s="261"/>
      <c r="Q209" s="261"/>
      <c r="R209" s="261"/>
      <c r="S209" s="261"/>
      <c r="T209" s="261"/>
      <c r="U209" s="261"/>
      <c r="V209" s="261"/>
      <c r="W209" s="261"/>
      <c r="X209" s="261"/>
      <c r="Y209" s="261"/>
      <c r="Z209" s="261"/>
      <c r="AA209" s="273"/>
      <c r="AB209" s="273"/>
      <c r="AC209" s="273"/>
      <c r="AD209" s="273"/>
    </row>
    <row r="210" ht="15.75" customHeight="1">
      <c r="A210" s="261"/>
      <c r="B210" s="261"/>
      <c r="C210" s="261"/>
      <c r="D210" s="291"/>
      <c r="E210" s="261"/>
      <c r="F210" s="261"/>
      <c r="G210" s="261"/>
      <c r="H210" s="261"/>
      <c r="I210" s="261"/>
      <c r="J210" s="261"/>
      <c r="K210" s="261"/>
      <c r="L210" s="261"/>
      <c r="M210" s="261"/>
      <c r="N210" s="261"/>
      <c r="O210" s="261"/>
      <c r="P210" s="261"/>
      <c r="Q210" s="261"/>
      <c r="R210" s="261"/>
      <c r="S210" s="261"/>
      <c r="T210" s="261"/>
      <c r="U210" s="261"/>
      <c r="V210" s="261"/>
      <c r="W210" s="261"/>
      <c r="X210" s="261"/>
      <c r="Y210" s="261"/>
      <c r="Z210" s="261"/>
      <c r="AA210" s="273"/>
      <c r="AB210" s="273"/>
      <c r="AC210" s="273"/>
      <c r="AD210" s="273"/>
    </row>
    <row r="211" ht="15.75" customHeight="1">
      <c r="A211" s="261"/>
      <c r="B211" s="261"/>
      <c r="C211" s="261"/>
      <c r="D211" s="291"/>
      <c r="E211" s="261"/>
      <c r="F211" s="261"/>
      <c r="G211" s="261"/>
      <c r="H211" s="261"/>
      <c r="I211" s="261"/>
      <c r="J211" s="261"/>
      <c r="K211" s="261"/>
      <c r="L211" s="261"/>
      <c r="M211" s="261"/>
      <c r="N211" s="261"/>
      <c r="O211" s="261"/>
      <c r="P211" s="261"/>
      <c r="Q211" s="261"/>
      <c r="R211" s="261"/>
      <c r="S211" s="261"/>
      <c r="T211" s="261"/>
      <c r="U211" s="261"/>
      <c r="V211" s="261"/>
      <c r="W211" s="261"/>
      <c r="X211" s="261"/>
      <c r="Y211" s="261"/>
      <c r="Z211" s="261"/>
      <c r="AA211" s="273"/>
      <c r="AB211" s="273"/>
      <c r="AC211" s="273"/>
      <c r="AD211" s="273"/>
    </row>
    <row r="212" ht="15.75" customHeight="1">
      <c r="A212" s="261"/>
      <c r="B212" s="261"/>
      <c r="C212" s="261"/>
      <c r="D212" s="291"/>
      <c r="E212" s="261"/>
      <c r="F212" s="261"/>
      <c r="G212" s="261"/>
      <c r="H212" s="261"/>
      <c r="I212" s="261"/>
      <c r="J212" s="261"/>
      <c r="K212" s="261"/>
      <c r="L212" s="261"/>
      <c r="M212" s="261"/>
      <c r="N212" s="261"/>
      <c r="O212" s="261"/>
      <c r="P212" s="261"/>
      <c r="Q212" s="261"/>
      <c r="R212" s="261"/>
      <c r="S212" s="261"/>
      <c r="T212" s="261"/>
      <c r="U212" s="261"/>
      <c r="V212" s="261"/>
      <c r="W212" s="261"/>
      <c r="X212" s="261"/>
      <c r="Y212" s="261"/>
      <c r="Z212" s="261"/>
      <c r="AA212" s="273"/>
      <c r="AB212" s="273"/>
      <c r="AC212" s="273"/>
      <c r="AD212" s="273"/>
    </row>
    <row r="213" ht="15.75" customHeight="1">
      <c r="A213" s="261"/>
      <c r="B213" s="261"/>
      <c r="C213" s="261"/>
      <c r="D213" s="291"/>
      <c r="E213" s="261"/>
      <c r="F213" s="261"/>
      <c r="G213" s="261"/>
      <c r="H213" s="261"/>
      <c r="I213" s="261"/>
      <c r="J213" s="261"/>
      <c r="K213" s="261"/>
      <c r="L213" s="261"/>
      <c r="M213" s="261"/>
      <c r="N213" s="261"/>
      <c r="O213" s="261"/>
      <c r="P213" s="261"/>
      <c r="Q213" s="261"/>
      <c r="R213" s="261"/>
      <c r="S213" s="261"/>
      <c r="T213" s="261"/>
      <c r="U213" s="261"/>
      <c r="V213" s="261"/>
      <c r="W213" s="261"/>
      <c r="X213" s="261"/>
      <c r="Y213" s="261"/>
      <c r="Z213" s="261"/>
      <c r="AA213" s="273"/>
      <c r="AB213" s="273"/>
      <c r="AC213" s="273"/>
      <c r="AD213" s="273"/>
    </row>
    <row r="214" ht="15.75" customHeight="1">
      <c r="A214" s="261"/>
      <c r="B214" s="261"/>
      <c r="C214" s="261"/>
      <c r="D214" s="291"/>
      <c r="E214" s="261"/>
      <c r="F214" s="261"/>
      <c r="G214" s="261"/>
      <c r="H214" s="261"/>
      <c r="I214" s="261"/>
      <c r="J214" s="261"/>
      <c r="K214" s="261"/>
      <c r="L214" s="261"/>
      <c r="M214" s="261"/>
      <c r="N214" s="261"/>
      <c r="O214" s="261"/>
      <c r="P214" s="261"/>
      <c r="Q214" s="261"/>
      <c r="R214" s="261"/>
      <c r="S214" s="261"/>
      <c r="T214" s="261"/>
      <c r="U214" s="261"/>
      <c r="V214" s="261"/>
      <c r="W214" s="261"/>
      <c r="X214" s="261"/>
      <c r="Y214" s="261"/>
      <c r="Z214" s="261"/>
      <c r="AA214" s="273"/>
      <c r="AB214" s="273"/>
      <c r="AC214" s="273"/>
      <c r="AD214" s="273"/>
    </row>
    <row r="215" ht="15.75" customHeight="1">
      <c r="A215" s="261"/>
      <c r="B215" s="261"/>
      <c r="C215" s="261"/>
      <c r="D215" s="291"/>
      <c r="E215" s="261"/>
      <c r="F215" s="261"/>
      <c r="G215" s="261"/>
      <c r="H215" s="261"/>
      <c r="I215" s="261"/>
      <c r="J215" s="261"/>
      <c r="K215" s="261"/>
      <c r="L215" s="261"/>
      <c r="M215" s="261"/>
      <c r="N215" s="261"/>
      <c r="O215" s="261"/>
      <c r="P215" s="261"/>
      <c r="Q215" s="261"/>
      <c r="R215" s="261"/>
      <c r="S215" s="261"/>
      <c r="T215" s="261"/>
      <c r="U215" s="261"/>
      <c r="V215" s="261"/>
      <c r="W215" s="261"/>
      <c r="X215" s="261"/>
      <c r="Y215" s="261"/>
      <c r="Z215" s="261"/>
      <c r="AA215" s="273"/>
      <c r="AB215" s="273"/>
      <c r="AC215" s="273"/>
      <c r="AD215" s="273"/>
    </row>
    <row r="216" ht="15.75" customHeight="1">
      <c r="A216" s="261"/>
      <c r="B216" s="261"/>
      <c r="C216" s="261"/>
      <c r="D216" s="291"/>
      <c r="E216" s="261"/>
      <c r="F216" s="261"/>
      <c r="G216" s="261"/>
      <c r="H216" s="261"/>
      <c r="I216" s="261"/>
      <c r="J216" s="261"/>
      <c r="K216" s="261"/>
      <c r="L216" s="261"/>
      <c r="M216" s="261"/>
      <c r="N216" s="261"/>
      <c r="O216" s="261"/>
      <c r="P216" s="261"/>
      <c r="Q216" s="261"/>
      <c r="R216" s="261"/>
      <c r="S216" s="261"/>
      <c r="T216" s="261"/>
      <c r="U216" s="261"/>
      <c r="V216" s="261"/>
      <c r="W216" s="261"/>
      <c r="X216" s="261"/>
      <c r="Y216" s="261"/>
      <c r="Z216" s="261"/>
      <c r="AA216" s="273"/>
      <c r="AB216" s="273"/>
      <c r="AC216" s="273"/>
      <c r="AD216" s="273"/>
    </row>
    <row r="217" ht="15.75" customHeight="1">
      <c r="A217" s="261"/>
      <c r="B217" s="261"/>
      <c r="C217" s="261"/>
      <c r="D217" s="291"/>
      <c r="E217" s="261"/>
      <c r="F217" s="261"/>
      <c r="G217" s="261"/>
      <c r="H217" s="261"/>
      <c r="I217" s="261"/>
      <c r="J217" s="261"/>
      <c r="K217" s="261"/>
      <c r="L217" s="261"/>
      <c r="M217" s="261"/>
      <c r="N217" s="261"/>
      <c r="O217" s="261"/>
      <c r="P217" s="261"/>
      <c r="Q217" s="261"/>
      <c r="R217" s="261"/>
      <c r="S217" s="261"/>
      <c r="T217" s="261"/>
      <c r="U217" s="261"/>
      <c r="V217" s="261"/>
      <c r="W217" s="261"/>
      <c r="X217" s="261"/>
      <c r="Y217" s="261"/>
      <c r="Z217" s="261"/>
      <c r="AA217" s="273"/>
      <c r="AB217" s="273"/>
      <c r="AC217" s="273"/>
      <c r="AD217" s="273"/>
    </row>
    <row r="218" ht="15.75" customHeight="1">
      <c r="A218" s="261"/>
      <c r="B218" s="261"/>
      <c r="C218" s="261"/>
      <c r="D218" s="291"/>
      <c r="E218" s="261"/>
      <c r="F218" s="261"/>
      <c r="G218" s="261"/>
      <c r="H218" s="261"/>
      <c r="I218" s="261"/>
      <c r="J218" s="261"/>
      <c r="K218" s="261"/>
      <c r="L218" s="261"/>
      <c r="M218" s="261"/>
      <c r="N218" s="261"/>
      <c r="O218" s="261"/>
      <c r="P218" s="261"/>
      <c r="Q218" s="261"/>
      <c r="R218" s="261"/>
      <c r="S218" s="261"/>
      <c r="T218" s="261"/>
      <c r="U218" s="261"/>
      <c r="V218" s="261"/>
      <c r="W218" s="261"/>
      <c r="X218" s="261"/>
      <c r="Y218" s="261"/>
      <c r="Z218" s="261"/>
      <c r="AA218" s="273"/>
      <c r="AB218" s="273"/>
      <c r="AC218" s="273"/>
      <c r="AD218" s="273"/>
    </row>
    <row r="219" ht="15.75" customHeight="1">
      <c r="A219" s="261"/>
      <c r="B219" s="261"/>
      <c r="C219" s="261"/>
      <c r="D219" s="291"/>
      <c r="E219" s="261"/>
      <c r="F219" s="261"/>
      <c r="G219" s="261"/>
      <c r="H219" s="261"/>
      <c r="I219" s="261"/>
      <c r="J219" s="261"/>
      <c r="K219" s="261"/>
      <c r="L219" s="261"/>
      <c r="M219" s="261"/>
      <c r="N219" s="261"/>
      <c r="O219" s="261"/>
      <c r="P219" s="261"/>
      <c r="Q219" s="261"/>
      <c r="R219" s="261"/>
      <c r="S219" s="261"/>
      <c r="T219" s="261"/>
      <c r="U219" s="261"/>
      <c r="V219" s="261"/>
      <c r="W219" s="261"/>
      <c r="X219" s="261"/>
      <c r="Y219" s="261"/>
      <c r="Z219" s="261"/>
      <c r="AA219" s="273"/>
      <c r="AB219" s="273"/>
      <c r="AC219" s="273"/>
      <c r="AD219" s="273"/>
    </row>
    <row r="220" ht="15.75" customHeight="1">
      <c r="A220" s="261"/>
      <c r="B220" s="261"/>
      <c r="C220" s="261"/>
      <c r="D220" s="291"/>
      <c r="E220" s="261"/>
      <c r="F220" s="261"/>
      <c r="G220" s="261"/>
      <c r="H220" s="261"/>
      <c r="I220" s="261"/>
      <c r="J220" s="261"/>
      <c r="K220" s="261"/>
      <c r="L220" s="261"/>
      <c r="M220" s="261"/>
      <c r="N220" s="261"/>
      <c r="O220" s="261"/>
      <c r="P220" s="261"/>
      <c r="Q220" s="261"/>
      <c r="R220" s="261"/>
      <c r="S220" s="261"/>
      <c r="T220" s="261"/>
      <c r="U220" s="261"/>
      <c r="V220" s="261"/>
      <c r="W220" s="261"/>
      <c r="X220" s="261"/>
      <c r="Y220" s="261"/>
      <c r="Z220" s="261"/>
      <c r="AA220" s="273"/>
      <c r="AB220" s="273"/>
      <c r="AC220" s="273"/>
      <c r="AD220" s="273"/>
    </row>
    <row r="221" ht="15.75" customHeight="1">
      <c r="A221" s="261"/>
      <c r="B221" s="261"/>
      <c r="C221" s="261"/>
      <c r="D221" s="291"/>
      <c r="E221" s="261"/>
      <c r="F221" s="261"/>
      <c r="G221" s="261"/>
      <c r="H221" s="261"/>
      <c r="I221" s="261"/>
      <c r="J221" s="261"/>
      <c r="K221" s="261"/>
      <c r="L221" s="261"/>
      <c r="M221" s="261"/>
      <c r="N221" s="261"/>
      <c r="O221" s="261"/>
      <c r="P221" s="261"/>
      <c r="Q221" s="261"/>
      <c r="R221" s="261"/>
      <c r="S221" s="261"/>
      <c r="T221" s="261"/>
      <c r="U221" s="261"/>
      <c r="V221" s="261"/>
      <c r="W221" s="261"/>
      <c r="X221" s="261"/>
      <c r="Y221" s="261"/>
      <c r="Z221" s="261"/>
      <c r="AA221" s="273"/>
      <c r="AB221" s="273"/>
      <c r="AC221" s="273"/>
      <c r="AD221" s="273"/>
    </row>
    <row r="222" ht="15.75" customHeight="1">
      <c r="A222" s="261"/>
      <c r="B222" s="261"/>
      <c r="C222" s="261"/>
      <c r="D222" s="291"/>
      <c r="E222" s="261"/>
      <c r="F222" s="261"/>
      <c r="G222" s="261"/>
      <c r="H222" s="261"/>
      <c r="I222" s="261"/>
      <c r="J222" s="261"/>
      <c r="K222" s="261"/>
      <c r="L222" s="261"/>
      <c r="M222" s="261"/>
      <c r="N222" s="261"/>
      <c r="O222" s="261"/>
      <c r="P222" s="261"/>
      <c r="Q222" s="261"/>
      <c r="R222" s="261"/>
      <c r="S222" s="261"/>
      <c r="T222" s="261"/>
      <c r="U222" s="261"/>
      <c r="V222" s="261"/>
      <c r="W222" s="261"/>
      <c r="X222" s="261"/>
      <c r="Y222" s="261"/>
      <c r="Z222" s="261"/>
      <c r="AA222" s="273"/>
      <c r="AB222" s="273"/>
      <c r="AC222" s="273"/>
      <c r="AD222" s="273"/>
    </row>
    <row r="223" ht="15.75" customHeight="1">
      <c r="A223" s="261"/>
      <c r="B223" s="261"/>
      <c r="C223" s="261"/>
      <c r="D223" s="291"/>
      <c r="E223" s="261"/>
      <c r="F223" s="261"/>
      <c r="G223" s="261"/>
      <c r="H223" s="261"/>
      <c r="I223" s="261"/>
      <c r="J223" s="261"/>
      <c r="K223" s="261"/>
      <c r="L223" s="261"/>
      <c r="M223" s="261"/>
      <c r="N223" s="261"/>
      <c r="O223" s="261"/>
      <c r="P223" s="261"/>
      <c r="Q223" s="261"/>
      <c r="R223" s="261"/>
      <c r="S223" s="261"/>
      <c r="T223" s="261"/>
      <c r="U223" s="261"/>
      <c r="V223" s="261"/>
      <c r="W223" s="261"/>
      <c r="X223" s="261"/>
      <c r="Y223" s="261"/>
      <c r="Z223" s="261"/>
      <c r="AA223" s="273"/>
      <c r="AB223" s="273"/>
      <c r="AC223" s="273"/>
      <c r="AD223" s="273"/>
    </row>
    <row r="224" ht="15.75" customHeight="1">
      <c r="A224" s="261"/>
      <c r="B224" s="261"/>
      <c r="C224" s="261"/>
      <c r="D224" s="291"/>
      <c r="E224" s="261"/>
      <c r="F224" s="261"/>
      <c r="G224" s="261"/>
      <c r="H224" s="261"/>
      <c r="I224" s="261"/>
      <c r="J224" s="261"/>
      <c r="K224" s="261"/>
      <c r="L224" s="261"/>
      <c r="M224" s="261"/>
      <c r="N224" s="261"/>
      <c r="O224" s="261"/>
      <c r="P224" s="261"/>
      <c r="Q224" s="261"/>
      <c r="R224" s="261"/>
      <c r="S224" s="261"/>
      <c r="T224" s="261"/>
      <c r="U224" s="261"/>
      <c r="V224" s="261"/>
      <c r="W224" s="261"/>
      <c r="X224" s="261"/>
      <c r="Y224" s="261"/>
      <c r="Z224" s="261"/>
      <c r="AA224" s="273"/>
      <c r="AB224" s="273"/>
      <c r="AC224" s="273"/>
      <c r="AD224" s="273"/>
    </row>
    <row r="225" ht="15.75" customHeight="1">
      <c r="A225" s="261"/>
      <c r="B225" s="261"/>
      <c r="C225" s="261"/>
      <c r="D225" s="291"/>
      <c r="E225" s="261"/>
      <c r="F225" s="261"/>
      <c r="G225" s="261"/>
      <c r="H225" s="261"/>
      <c r="I225" s="261"/>
      <c r="J225" s="261"/>
      <c r="K225" s="261"/>
      <c r="L225" s="261"/>
      <c r="M225" s="261"/>
      <c r="N225" s="261"/>
      <c r="O225" s="261"/>
      <c r="P225" s="261"/>
      <c r="Q225" s="261"/>
      <c r="R225" s="261"/>
      <c r="S225" s="261"/>
      <c r="T225" s="261"/>
      <c r="U225" s="261"/>
      <c r="V225" s="261"/>
      <c r="W225" s="261"/>
      <c r="X225" s="261"/>
      <c r="Y225" s="261"/>
      <c r="Z225" s="261"/>
      <c r="AA225" s="273"/>
      <c r="AB225" s="273"/>
      <c r="AC225" s="273"/>
      <c r="AD225" s="273"/>
    </row>
    <row r="226" ht="15.75" customHeight="1">
      <c r="A226" s="261"/>
      <c r="B226" s="261"/>
      <c r="C226" s="261"/>
      <c r="D226" s="291"/>
      <c r="E226" s="261"/>
      <c r="F226" s="261"/>
      <c r="G226" s="261"/>
      <c r="H226" s="261"/>
      <c r="I226" s="261"/>
      <c r="J226" s="261"/>
      <c r="K226" s="261"/>
      <c r="L226" s="261"/>
      <c r="M226" s="261"/>
      <c r="N226" s="261"/>
      <c r="O226" s="261"/>
      <c r="P226" s="261"/>
      <c r="Q226" s="261"/>
      <c r="R226" s="261"/>
      <c r="S226" s="261"/>
      <c r="T226" s="261"/>
      <c r="U226" s="261"/>
      <c r="V226" s="261"/>
      <c r="W226" s="261"/>
      <c r="X226" s="261"/>
      <c r="Y226" s="261"/>
      <c r="Z226" s="261"/>
      <c r="AA226" s="273"/>
      <c r="AB226" s="273"/>
      <c r="AC226" s="273"/>
      <c r="AD226" s="273"/>
    </row>
    <row r="227" ht="15.75" customHeight="1">
      <c r="A227" s="261"/>
      <c r="B227" s="261"/>
      <c r="C227" s="261"/>
      <c r="D227" s="291"/>
      <c r="E227" s="261"/>
      <c r="F227" s="261"/>
      <c r="G227" s="261"/>
      <c r="H227" s="261"/>
      <c r="I227" s="261"/>
      <c r="J227" s="261"/>
      <c r="K227" s="261"/>
      <c r="L227" s="261"/>
      <c r="M227" s="261"/>
      <c r="N227" s="261"/>
      <c r="O227" s="261"/>
      <c r="P227" s="261"/>
      <c r="Q227" s="261"/>
      <c r="R227" s="261"/>
      <c r="S227" s="261"/>
      <c r="T227" s="261"/>
      <c r="U227" s="261"/>
      <c r="V227" s="261"/>
      <c r="W227" s="261"/>
      <c r="X227" s="261"/>
      <c r="Y227" s="261"/>
      <c r="Z227" s="261"/>
      <c r="AA227" s="273"/>
      <c r="AB227" s="273"/>
      <c r="AC227" s="273"/>
      <c r="AD227" s="273"/>
    </row>
    <row r="228" ht="15.75" customHeight="1">
      <c r="A228" s="261"/>
      <c r="B228" s="261"/>
      <c r="C228" s="261"/>
      <c r="D228" s="291"/>
      <c r="E228" s="261"/>
      <c r="F228" s="261"/>
      <c r="G228" s="261"/>
      <c r="H228" s="261"/>
      <c r="I228" s="261"/>
      <c r="J228" s="261"/>
      <c r="K228" s="261"/>
      <c r="L228" s="261"/>
      <c r="M228" s="261"/>
      <c r="N228" s="261"/>
      <c r="O228" s="261"/>
      <c r="P228" s="261"/>
      <c r="Q228" s="261"/>
      <c r="R228" s="261"/>
      <c r="S228" s="261"/>
      <c r="T228" s="261"/>
      <c r="U228" s="261"/>
      <c r="V228" s="261"/>
      <c r="W228" s="261"/>
      <c r="X228" s="261"/>
      <c r="Y228" s="261"/>
      <c r="Z228" s="261"/>
      <c r="AA228" s="273"/>
      <c r="AB228" s="273"/>
      <c r="AC228" s="273"/>
      <c r="AD228" s="273"/>
    </row>
    <row r="229" ht="15.75" customHeight="1">
      <c r="A229" s="261"/>
      <c r="B229" s="261"/>
      <c r="C229" s="261"/>
      <c r="D229" s="291"/>
      <c r="E229" s="261"/>
      <c r="F229" s="261"/>
      <c r="G229" s="261"/>
      <c r="H229" s="261"/>
      <c r="I229" s="261"/>
      <c r="J229" s="261"/>
      <c r="K229" s="261"/>
      <c r="L229" s="261"/>
      <c r="M229" s="261"/>
      <c r="N229" s="261"/>
      <c r="O229" s="261"/>
      <c r="P229" s="261"/>
      <c r="Q229" s="261"/>
      <c r="R229" s="261"/>
      <c r="S229" s="261"/>
      <c r="T229" s="261"/>
      <c r="U229" s="261"/>
      <c r="V229" s="261"/>
      <c r="W229" s="261"/>
      <c r="X229" s="261"/>
      <c r="Y229" s="261"/>
      <c r="Z229" s="261"/>
      <c r="AA229" s="273"/>
      <c r="AB229" s="273"/>
      <c r="AC229" s="273"/>
      <c r="AD229" s="273"/>
    </row>
    <row r="230" ht="15.75" customHeight="1">
      <c r="A230" s="261"/>
      <c r="B230" s="261"/>
      <c r="C230" s="261"/>
      <c r="D230" s="291"/>
      <c r="E230" s="261"/>
      <c r="F230" s="261"/>
      <c r="G230" s="261"/>
      <c r="H230" s="261"/>
      <c r="I230" s="261"/>
      <c r="J230" s="261"/>
      <c r="K230" s="261"/>
      <c r="L230" s="261"/>
      <c r="M230" s="261"/>
      <c r="N230" s="261"/>
      <c r="O230" s="261"/>
      <c r="P230" s="261"/>
      <c r="Q230" s="261"/>
      <c r="R230" s="261"/>
      <c r="S230" s="261"/>
      <c r="T230" s="261"/>
      <c r="U230" s="261"/>
      <c r="V230" s="261"/>
      <c r="W230" s="261"/>
      <c r="X230" s="261"/>
      <c r="Y230" s="261"/>
      <c r="Z230" s="261"/>
      <c r="AA230" s="273"/>
      <c r="AB230" s="273"/>
      <c r="AC230" s="273"/>
      <c r="AD230" s="273"/>
    </row>
    <row r="231" ht="15.75" customHeight="1">
      <c r="A231" s="261"/>
      <c r="B231" s="261"/>
      <c r="C231" s="261"/>
      <c r="D231" s="291"/>
      <c r="E231" s="261"/>
      <c r="F231" s="261"/>
      <c r="G231" s="261"/>
      <c r="H231" s="261"/>
      <c r="I231" s="261"/>
      <c r="J231" s="261"/>
      <c r="K231" s="261"/>
      <c r="L231" s="261"/>
      <c r="M231" s="261"/>
      <c r="N231" s="261"/>
      <c r="O231" s="261"/>
      <c r="P231" s="261"/>
      <c r="Q231" s="261"/>
      <c r="R231" s="261"/>
      <c r="S231" s="261"/>
      <c r="T231" s="261"/>
      <c r="U231" s="261"/>
      <c r="V231" s="261"/>
      <c r="W231" s="261"/>
      <c r="X231" s="261"/>
      <c r="Y231" s="261"/>
      <c r="Z231" s="261"/>
      <c r="AA231" s="273"/>
      <c r="AB231" s="273"/>
      <c r="AC231" s="273"/>
      <c r="AD231" s="273"/>
    </row>
    <row r="232" ht="15.75" customHeight="1">
      <c r="A232" s="261"/>
      <c r="B232" s="261"/>
      <c r="C232" s="261"/>
      <c r="D232" s="291"/>
      <c r="E232" s="261"/>
      <c r="F232" s="261"/>
      <c r="G232" s="261"/>
      <c r="H232" s="261"/>
      <c r="I232" s="261"/>
      <c r="J232" s="261"/>
      <c r="K232" s="261"/>
      <c r="L232" s="261"/>
      <c r="M232" s="261"/>
      <c r="N232" s="261"/>
      <c r="O232" s="261"/>
      <c r="P232" s="261"/>
      <c r="Q232" s="261"/>
      <c r="R232" s="261"/>
      <c r="S232" s="261"/>
      <c r="T232" s="261"/>
      <c r="U232" s="261"/>
      <c r="V232" s="261"/>
      <c r="W232" s="261"/>
      <c r="X232" s="261"/>
      <c r="Y232" s="261"/>
      <c r="Z232" s="261"/>
      <c r="AA232" s="273"/>
      <c r="AB232" s="273"/>
      <c r="AC232" s="273"/>
      <c r="AD232" s="273"/>
    </row>
    <row r="233" ht="15.75" customHeight="1">
      <c r="A233" s="261"/>
      <c r="B233" s="261"/>
      <c r="C233" s="261"/>
      <c r="D233" s="291"/>
      <c r="E233" s="261"/>
      <c r="F233" s="261"/>
      <c r="G233" s="261"/>
      <c r="H233" s="261"/>
      <c r="I233" s="261"/>
      <c r="J233" s="261"/>
      <c r="K233" s="261"/>
      <c r="L233" s="261"/>
      <c r="M233" s="261"/>
      <c r="N233" s="261"/>
      <c r="O233" s="261"/>
      <c r="P233" s="261"/>
      <c r="Q233" s="261"/>
      <c r="R233" s="261"/>
      <c r="S233" s="261"/>
      <c r="T233" s="261"/>
      <c r="U233" s="261"/>
      <c r="V233" s="261"/>
      <c r="W233" s="261"/>
      <c r="X233" s="261"/>
      <c r="Y233" s="261"/>
      <c r="Z233" s="261"/>
      <c r="AA233" s="273"/>
      <c r="AB233" s="273"/>
      <c r="AC233" s="273"/>
      <c r="AD233" s="273"/>
    </row>
    <row r="234" ht="15.75" customHeight="1">
      <c r="A234" s="261"/>
      <c r="B234" s="261"/>
      <c r="C234" s="261"/>
      <c r="D234" s="291"/>
      <c r="E234" s="261"/>
      <c r="F234" s="261"/>
      <c r="G234" s="261"/>
      <c r="H234" s="261"/>
      <c r="I234" s="261"/>
      <c r="J234" s="261"/>
      <c r="K234" s="261"/>
      <c r="L234" s="261"/>
      <c r="M234" s="261"/>
      <c r="N234" s="261"/>
      <c r="O234" s="261"/>
      <c r="P234" s="261"/>
      <c r="Q234" s="261"/>
      <c r="R234" s="261"/>
      <c r="S234" s="261"/>
      <c r="T234" s="261"/>
      <c r="U234" s="261"/>
      <c r="V234" s="261"/>
      <c r="W234" s="261"/>
      <c r="X234" s="261"/>
      <c r="Y234" s="261"/>
      <c r="Z234" s="261"/>
      <c r="AA234" s="273"/>
      <c r="AB234" s="273"/>
      <c r="AC234" s="273"/>
      <c r="AD234" s="273"/>
    </row>
    <row r="235" ht="15.75" customHeight="1">
      <c r="A235" s="261"/>
      <c r="B235" s="261"/>
      <c r="C235" s="261"/>
      <c r="D235" s="291"/>
      <c r="E235" s="261"/>
      <c r="F235" s="261"/>
      <c r="G235" s="261"/>
      <c r="H235" s="261"/>
      <c r="I235" s="261"/>
      <c r="J235" s="261"/>
      <c r="K235" s="261"/>
      <c r="L235" s="261"/>
      <c r="M235" s="261"/>
      <c r="N235" s="261"/>
      <c r="O235" s="261"/>
      <c r="P235" s="261"/>
      <c r="Q235" s="261"/>
      <c r="R235" s="261"/>
      <c r="S235" s="261"/>
      <c r="T235" s="261"/>
      <c r="U235" s="261"/>
      <c r="V235" s="261"/>
      <c r="W235" s="261"/>
      <c r="X235" s="261"/>
      <c r="Y235" s="261"/>
      <c r="Z235" s="261"/>
      <c r="AA235" s="273"/>
      <c r="AB235" s="273"/>
      <c r="AC235" s="273"/>
      <c r="AD235" s="273"/>
    </row>
    <row r="236" ht="15.75" customHeight="1">
      <c r="A236" s="261"/>
      <c r="B236" s="261"/>
      <c r="C236" s="261"/>
      <c r="D236" s="291"/>
      <c r="E236" s="261"/>
      <c r="F236" s="261"/>
      <c r="G236" s="261"/>
      <c r="H236" s="261"/>
      <c r="I236" s="261"/>
      <c r="J236" s="261"/>
      <c r="K236" s="261"/>
      <c r="L236" s="261"/>
      <c r="M236" s="261"/>
      <c r="N236" s="261"/>
      <c r="O236" s="261"/>
      <c r="P236" s="261"/>
      <c r="Q236" s="261"/>
      <c r="R236" s="261"/>
      <c r="S236" s="261"/>
      <c r="T236" s="261"/>
      <c r="U236" s="261"/>
      <c r="V236" s="261"/>
      <c r="W236" s="261"/>
      <c r="X236" s="261"/>
      <c r="Y236" s="261"/>
      <c r="Z236" s="261"/>
      <c r="AA236" s="273"/>
      <c r="AB236" s="273"/>
      <c r="AC236" s="273"/>
      <c r="AD236" s="273"/>
    </row>
    <row r="237" ht="15.75" customHeight="1">
      <c r="A237" s="261"/>
      <c r="B237" s="261"/>
      <c r="C237" s="261"/>
      <c r="D237" s="291"/>
      <c r="E237" s="261"/>
      <c r="F237" s="261"/>
      <c r="G237" s="261"/>
      <c r="H237" s="261"/>
      <c r="I237" s="261"/>
      <c r="J237" s="261"/>
      <c r="K237" s="261"/>
      <c r="L237" s="261"/>
      <c r="M237" s="261"/>
      <c r="N237" s="261"/>
      <c r="O237" s="261"/>
      <c r="P237" s="261"/>
      <c r="Q237" s="261"/>
      <c r="R237" s="261"/>
      <c r="S237" s="261"/>
      <c r="T237" s="261"/>
      <c r="U237" s="261"/>
      <c r="V237" s="261"/>
      <c r="W237" s="261"/>
      <c r="X237" s="261"/>
      <c r="Y237" s="261"/>
      <c r="Z237" s="261"/>
      <c r="AA237" s="273"/>
      <c r="AB237" s="273"/>
      <c r="AC237" s="273"/>
      <c r="AD237" s="273"/>
    </row>
    <row r="238" ht="15.75" customHeight="1">
      <c r="A238" s="261"/>
      <c r="B238" s="261"/>
      <c r="C238" s="261"/>
      <c r="D238" s="291"/>
      <c r="E238" s="261"/>
      <c r="F238" s="261"/>
      <c r="G238" s="261"/>
      <c r="H238" s="261"/>
      <c r="I238" s="261"/>
      <c r="J238" s="261"/>
      <c r="K238" s="261"/>
      <c r="L238" s="261"/>
      <c r="M238" s="261"/>
      <c r="N238" s="261"/>
      <c r="O238" s="261"/>
      <c r="P238" s="261"/>
      <c r="Q238" s="261"/>
      <c r="R238" s="261"/>
      <c r="S238" s="261"/>
      <c r="T238" s="261"/>
      <c r="U238" s="261"/>
      <c r="V238" s="261"/>
      <c r="W238" s="261"/>
      <c r="X238" s="261"/>
      <c r="Y238" s="261"/>
      <c r="Z238" s="261"/>
      <c r="AA238" s="273"/>
      <c r="AB238" s="273"/>
      <c r="AC238" s="273"/>
      <c r="AD238" s="273"/>
    </row>
    <row r="239" ht="15.75" customHeight="1">
      <c r="A239" s="261"/>
      <c r="B239" s="261"/>
      <c r="C239" s="261"/>
      <c r="D239" s="291"/>
      <c r="E239" s="261"/>
      <c r="F239" s="261"/>
      <c r="G239" s="261"/>
      <c r="H239" s="261"/>
      <c r="I239" s="261"/>
      <c r="J239" s="261"/>
      <c r="K239" s="261"/>
      <c r="L239" s="261"/>
      <c r="M239" s="261"/>
      <c r="N239" s="261"/>
      <c r="O239" s="261"/>
      <c r="P239" s="261"/>
      <c r="Q239" s="261"/>
      <c r="R239" s="261"/>
      <c r="S239" s="261"/>
      <c r="T239" s="261"/>
      <c r="U239" s="261"/>
      <c r="V239" s="261"/>
      <c r="W239" s="261"/>
      <c r="X239" s="261"/>
      <c r="Y239" s="261"/>
      <c r="Z239" s="261"/>
      <c r="AA239" s="273"/>
      <c r="AB239" s="273"/>
      <c r="AC239" s="273"/>
      <c r="AD239" s="273"/>
    </row>
    <row r="240" ht="15.75" customHeight="1">
      <c r="A240" s="261"/>
      <c r="B240" s="261"/>
      <c r="C240" s="261"/>
      <c r="D240" s="291"/>
      <c r="E240" s="261"/>
      <c r="F240" s="261"/>
      <c r="G240" s="261"/>
      <c r="H240" s="261"/>
      <c r="I240" s="261"/>
      <c r="J240" s="261"/>
      <c r="K240" s="261"/>
      <c r="L240" s="261"/>
      <c r="M240" s="261"/>
      <c r="N240" s="261"/>
      <c r="O240" s="261"/>
      <c r="P240" s="261"/>
      <c r="Q240" s="261"/>
      <c r="R240" s="261"/>
      <c r="S240" s="261"/>
      <c r="T240" s="261"/>
      <c r="U240" s="261"/>
      <c r="V240" s="261"/>
      <c r="W240" s="261"/>
      <c r="X240" s="261"/>
      <c r="Y240" s="261"/>
      <c r="Z240" s="261"/>
      <c r="AA240" s="273"/>
      <c r="AB240" s="273"/>
      <c r="AC240" s="273"/>
      <c r="AD240" s="273"/>
    </row>
    <row r="241" ht="15.75" customHeight="1">
      <c r="A241" s="261"/>
      <c r="B241" s="261"/>
      <c r="C241" s="261"/>
      <c r="D241" s="291"/>
      <c r="E241" s="261"/>
      <c r="F241" s="261"/>
      <c r="G241" s="261"/>
      <c r="H241" s="261"/>
      <c r="I241" s="261"/>
      <c r="J241" s="261"/>
      <c r="K241" s="261"/>
      <c r="L241" s="261"/>
      <c r="M241" s="261"/>
      <c r="N241" s="261"/>
      <c r="O241" s="261"/>
      <c r="P241" s="261"/>
      <c r="Q241" s="261"/>
      <c r="R241" s="261"/>
      <c r="S241" s="261"/>
      <c r="T241" s="261"/>
      <c r="U241" s="261"/>
      <c r="V241" s="261"/>
      <c r="W241" s="261"/>
      <c r="X241" s="261"/>
      <c r="Y241" s="261"/>
      <c r="Z241" s="261"/>
      <c r="AA241" s="273"/>
      <c r="AB241" s="273"/>
      <c r="AC241" s="273"/>
      <c r="AD241" s="273"/>
    </row>
    <row r="242" ht="15.75" customHeight="1">
      <c r="A242" s="261"/>
      <c r="B242" s="261"/>
      <c r="C242" s="261"/>
      <c r="D242" s="291"/>
      <c r="E242" s="261"/>
      <c r="F242" s="261"/>
      <c r="G242" s="261"/>
      <c r="H242" s="261"/>
      <c r="I242" s="261"/>
      <c r="J242" s="261"/>
      <c r="K242" s="261"/>
      <c r="L242" s="261"/>
      <c r="M242" s="261"/>
      <c r="N242" s="261"/>
      <c r="O242" s="261"/>
      <c r="P242" s="261"/>
      <c r="Q242" s="261"/>
      <c r="R242" s="261"/>
      <c r="S242" s="261"/>
      <c r="T242" s="261"/>
      <c r="U242" s="261"/>
      <c r="V242" s="261"/>
      <c r="W242" s="261"/>
      <c r="X242" s="261"/>
      <c r="Y242" s="261"/>
      <c r="Z242" s="261"/>
      <c r="AA242" s="273"/>
      <c r="AB242" s="273"/>
      <c r="AC242" s="273"/>
      <c r="AD242" s="273"/>
    </row>
    <row r="243" ht="15.75" customHeight="1">
      <c r="A243" s="261"/>
      <c r="B243" s="261"/>
      <c r="C243" s="261"/>
      <c r="D243" s="291"/>
      <c r="E243" s="261"/>
      <c r="F243" s="261"/>
      <c r="G243" s="261"/>
      <c r="H243" s="261"/>
      <c r="I243" s="261"/>
      <c r="J243" s="261"/>
      <c r="K243" s="261"/>
      <c r="L243" s="261"/>
      <c r="M243" s="261"/>
      <c r="N243" s="261"/>
      <c r="O243" s="261"/>
      <c r="P243" s="261"/>
      <c r="Q243" s="261"/>
      <c r="R243" s="261"/>
      <c r="S243" s="261"/>
      <c r="T243" s="261"/>
      <c r="U243" s="261"/>
      <c r="V243" s="261"/>
      <c r="W243" s="261"/>
      <c r="X243" s="261"/>
      <c r="Y243" s="261"/>
      <c r="Z243" s="261"/>
      <c r="AA243" s="273"/>
      <c r="AB243" s="273"/>
      <c r="AC243" s="273"/>
      <c r="AD243" s="273"/>
    </row>
    <row r="244" ht="15.75" customHeight="1">
      <c r="A244" s="261"/>
      <c r="B244" s="261"/>
      <c r="C244" s="261"/>
      <c r="D244" s="291"/>
      <c r="E244" s="261"/>
      <c r="F244" s="261"/>
      <c r="G244" s="261"/>
      <c r="H244" s="261"/>
      <c r="I244" s="261"/>
      <c r="J244" s="261"/>
      <c r="K244" s="261"/>
      <c r="L244" s="261"/>
      <c r="M244" s="261"/>
      <c r="N244" s="261"/>
      <c r="O244" s="261"/>
      <c r="P244" s="261"/>
      <c r="Q244" s="261"/>
      <c r="R244" s="261"/>
      <c r="S244" s="261"/>
      <c r="T244" s="261"/>
      <c r="U244" s="261"/>
      <c r="V244" s="261"/>
      <c r="W244" s="261"/>
      <c r="X244" s="261"/>
      <c r="Y244" s="261"/>
      <c r="Z244" s="261"/>
      <c r="AA244" s="273"/>
      <c r="AB244" s="273"/>
      <c r="AC244" s="273"/>
      <c r="AD244" s="273"/>
    </row>
    <row r="245" ht="15.75" customHeight="1">
      <c r="A245" s="261"/>
      <c r="B245" s="261"/>
      <c r="C245" s="261"/>
      <c r="D245" s="291"/>
      <c r="E245" s="261"/>
      <c r="F245" s="261"/>
      <c r="G245" s="261"/>
      <c r="H245" s="261"/>
      <c r="I245" s="261"/>
      <c r="J245" s="261"/>
      <c r="K245" s="261"/>
      <c r="L245" s="261"/>
      <c r="M245" s="261"/>
      <c r="N245" s="261"/>
      <c r="O245" s="261"/>
      <c r="P245" s="261"/>
      <c r="Q245" s="261"/>
      <c r="R245" s="261"/>
      <c r="S245" s="261"/>
      <c r="T245" s="261"/>
      <c r="U245" s="261"/>
      <c r="V245" s="261"/>
      <c r="W245" s="261"/>
      <c r="X245" s="261"/>
      <c r="Y245" s="261"/>
      <c r="Z245" s="261"/>
      <c r="AA245" s="273"/>
      <c r="AB245" s="273"/>
      <c r="AC245" s="273"/>
      <c r="AD245" s="273"/>
    </row>
    <row r="246" ht="15.75" customHeight="1">
      <c r="A246" s="261"/>
      <c r="B246" s="261"/>
      <c r="C246" s="261"/>
      <c r="D246" s="291"/>
      <c r="E246" s="261"/>
      <c r="F246" s="261"/>
      <c r="G246" s="261"/>
      <c r="H246" s="261"/>
      <c r="I246" s="261"/>
      <c r="J246" s="261"/>
      <c r="K246" s="261"/>
      <c r="L246" s="261"/>
      <c r="M246" s="261"/>
      <c r="N246" s="261"/>
      <c r="O246" s="261"/>
      <c r="P246" s="261"/>
      <c r="Q246" s="261"/>
      <c r="R246" s="261"/>
      <c r="S246" s="261"/>
      <c r="T246" s="261"/>
      <c r="U246" s="261"/>
      <c r="V246" s="261"/>
      <c r="W246" s="261"/>
      <c r="X246" s="261"/>
      <c r="Y246" s="261"/>
      <c r="Z246" s="261"/>
      <c r="AA246" s="273"/>
      <c r="AB246" s="273"/>
      <c r="AC246" s="273"/>
      <c r="AD246" s="273"/>
    </row>
    <row r="247" ht="15.75" customHeight="1">
      <c r="A247" s="261"/>
      <c r="B247" s="261"/>
      <c r="C247" s="261"/>
      <c r="D247" s="291"/>
      <c r="E247" s="261"/>
      <c r="F247" s="261"/>
      <c r="G247" s="261"/>
      <c r="H247" s="261"/>
      <c r="I247" s="261"/>
      <c r="J247" s="261"/>
      <c r="K247" s="261"/>
      <c r="L247" s="261"/>
      <c r="M247" s="261"/>
      <c r="N247" s="261"/>
      <c r="O247" s="261"/>
      <c r="P247" s="261"/>
      <c r="Q247" s="261"/>
      <c r="R247" s="261"/>
      <c r="S247" s="261"/>
      <c r="T247" s="261"/>
      <c r="U247" s="261"/>
      <c r="V247" s="261"/>
      <c r="W247" s="261"/>
      <c r="X247" s="261"/>
      <c r="Y247" s="261"/>
      <c r="Z247" s="261"/>
      <c r="AA247" s="273"/>
      <c r="AB247" s="273"/>
      <c r="AC247" s="273"/>
      <c r="AD247" s="273"/>
    </row>
    <row r="248" ht="15.75" customHeight="1">
      <c r="A248" s="261"/>
      <c r="B248" s="261"/>
      <c r="C248" s="261"/>
      <c r="D248" s="291"/>
      <c r="E248" s="261"/>
      <c r="F248" s="261"/>
      <c r="G248" s="261"/>
      <c r="H248" s="261"/>
      <c r="I248" s="261"/>
      <c r="J248" s="261"/>
      <c r="K248" s="261"/>
      <c r="L248" s="261"/>
      <c r="M248" s="261"/>
      <c r="N248" s="261"/>
      <c r="O248" s="261"/>
      <c r="P248" s="261"/>
      <c r="Q248" s="261"/>
      <c r="R248" s="261"/>
      <c r="S248" s="261"/>
      <c r="T248" s="261"/>
      <c r="U248" s="261"/>
      <c r="V248" s="261"/>
      <c r="W248" s="261"/>
      <c r="X248" s="261"/>
      <c r="Y248" s="261"/>
      <c r="Z248" s="261"/>
      <c r="AA248" s="273"/>
      <c r="AB248" s="273"/>
      <c r="AC248" s="273"/>
      <c r="AD248" s="273"/>
    </row>
    <row r="249" ht="15.75" customHeight="1">
      <c r="A249" s="261"/>
      <c r="B249" s="261"/>
      <c r="C249" s="261"/>
      <c r="D249" s="291"/>
      <c r="E249" s="261"/>
      <c r="F249" s="261"/>
      <c r="G249" s="261"/>
      <c r="H249" s="261"/>
      <c r="I249" s="261"/>
      <c r="J249" s="261"/>
      <c r="K249" s="261"/>
      <c r="L249" s="261"/>
      <c r="M249" s="261"/>
      <c r="N249" s="261"/>
      <c r="O249" s="261"/>
      <c r="P249" s="261"/>
      <c r="Q249" s="261"/>
      <c r="R249" s="261"/>
      <c r="S249" s="261"/>
      <c r="T249" s="261"/>
      <c r="U249" s="261"/>
      <c r="V249" s="261"/>
      <c r="W249" s="261"/>
      <c r="X249" s="261"/>
      <c r="Y249" s="261"/>
      <c r="Z249" s="261"/>
      <c r="AA249" s="273"/>
      <c r="AB249" s="273"/>
      <c r="AC249" s="273"/>
      <c r="AD249" s="273"/>
    </row>
    <row r="250" ht="15.75" customHeight="1">
      <c r="A250" s="261"/>
      <c r="B250" s="261"/>
      <c r="C250" s="261"/>
      <c r="D250" s="291"/>
      <c r="E250" s="261"/>
      <c r="F250" s="261"/>
      <c r="G250" s="261"/>
      <c r="H250" s="261"/>
      <c r="I250" s="261"/>
      <c r="J250" s="261"/>
      <c r="K250" s="261"/>
      <c r="L250" s="261"/>
      <c r="M250" s="261"/>
      <c r="N250" s="261"/>
      <c r="O250" s="261"/>
      <c r="P250" s="261"/>
      <c r="Q250" s="261"/>
      <c r="R250" s="261"/>
      <c r="S250" s="261"/>
      <c r="T250" s="261"/>
      <c r="U250" s="261"/>
      <c r="V250" s="261"/>
      <c r="W250" s="261"/>
      <c r="X250" s="261"/>
      <c r="Y250" s="261"/>
      <c r="Z250" s="261"/>
      <c r="AA250" s="273"/>
      <c r="AB250" s="273"/>
      <c r="AC250" s="273"/>
      <c r="AD250" s="273"/>
    </row>
    <row r="251" ht="15.75" customHeight="1">
      <c r="A251" s="261"/>
      <c r="B251" s="261"/>
      <c r="C251" s="261"/>
      <c r="D251" s="291"/>
      <c r="E251" s="261"/>
      <c r="F251" s="261"/>
      <c r="G251" s="261"/>
      <c r="H251" s="261"/>
      <c r="I251" s="261"/>
      <c r="J251" s="261"/>
      <c r="K251" s="261"/>
      <c r="L251" s="261"/>
      <c r="M251" s="261"/>
      <c r="N251" s="261"/>
      <c r="O251" s="261"/>
      <c r="P251" s="261"/>
      <c r="Q251" s="261"/>
      <c r="R251" s="261"/>
      <c r="S251" s="261"/>
      <c r="T251" s="261"/>
      <c r="U251" s="261"/>
      <c r="V251" s="261"/>
      <c r="W251" s="261"/>
      <c r="X251" s="261"/>
      <c r="Y251" s="261"/>
      <c r="Z251" s="261"/>
      <c r="AA251" s="273"/>
      <c r="AB251" s="273"/>
      <c r="AC251" s="273"/>
      <c r="AD251" s="273"/>
    </row>
    <row r="252" ht="15.75" customHeight="1">
      <c r="A252" s="261"/>
      <c r="B252" s="261"/>
      <c r="C252" s="261"/>
      <c r="D252" s="291"/>
      <c r="E252" s="261"/>
      <c r="F252" s="261"/>
      <c r="G252" s="261"/>
      <c r="H252" s="261"/>
      <c r="I252" s="261"/>
      <c r="J252" s="261"/>
      <c r="K252" s="261"/>
      <c r="L252" s="261"/>
      <c r="M252" s="261"/>
      <c r="N252" s="261"/>
      <c r="O252" s="261"/>
      <c r="P252" s="261"/>
      <c r="Q252" s="261"/>
      <c r="R252" s="261"/>
      <c r="S252" s="261"/>
      <c r="T252" s="261"/>
      <c r="U252" s="261"/>
      <c r="V252" s="261"/>
      <c r="W252" s="261"/>
      <c r="X252" s="261"/>
      <c r="Y252" s="261"/>
      <c r="Z252" s="261"/>
      <c r="AA252" s="273"/>
      <c r="AB252" s="273"/>
      <c r="AC252" s="273"/>
      <c r="AD252" s="273"/>
    </row>
    <row r="253" ht="15.75" customHeight="1">
      <c r="A253" s="261"/>
      <c r="B253" s="261"/>
      <c r="C253" s="261"/>
      <c r="D253" s="291"/>
      <c r="E253" s="261"/>
      <c r="F253" s="261"/>
      <c r="G253" s="261"/>
      <c r="H253" s="261"/>
      <c r="I253" s="261"/>
      <c r="J253" s="261"/>
      <c r="K253" s="261"/>
      <c r="L253" s="261"/>
      <c r="M253" s="261"/>
      <c r="N253" s="261"/>
      <c r="O253" s="261"/>
      <c r="P253" s="261"/>
      <c r="Q253" s="261"/>
      <c r="R253" s="261"/>
      <c r="S253" s="261"/>
      <c r="T253" s="261"/>
      <c r="U253" s="261"/>
      <c r="V253" s="261"/>
      <c r="W253" s="261"/>
      <c r="X253" s="261"/>
      <c r="Y253" s="261"/>
      <c r="Z253" s="261"/>
      <c r="AA253" s="273"/>
      <c r="AB253" s="273"/>
      <c r="AC253" s="273"/>
      <c r="AD253" s="273"/>
    </row>
    <row r="254" ht="15.75" customHeight="1">
      <c r="A254" s="261"/>
      <c r="B254" s="261"/>
      <c r="C254" s="261"/>
      <c r="D254" s="291"/>
      <c r="E254" s="261"/>
      <c r="F254" s="261"/>
      <c r="G254" s="261"/>
      <c r="H254" s="261"/>
      <c r="I254" s="261"/>
      <c r="J254" s="261"/>
      <c r="K254" s="261"/>
      <c r="L254" s="261"/>
      <c r="M254" s="261"/>
      <c r="N254" s="261"/>
      <c r="O254" s="261"/>
      <c r="P254" s="261"/>
      <c r="Q254" s="261"/>
      <c r="R254" s="261"/>
      <c r="S254" s="261"/>
      <c r="T254" s="261"/>
      <c r="U254" s="261"/>
      <c r="V254" s="261"/>
      <c r="W254" s="261"/>
      <c r="X254" s="261"/>
      <c r="Y254" s="261"/>
      <c r="Z254" s="261"/>
      <c r="AA254" s="273"/>
      <c r="AB254" s="273"/>
      <c r="AC254" s="273"/>
      <c r="AD254" s="273"/>
    </row>
    <row r="255" ht="15.75" customHeight="1">
      <c r="A255" s="261"/>
      <c r="B255" s="261"/>
      <c r="C255" s="261"/>
      <c r="D255" s="291"/>
      <c r="E255" s="261"/>
      <c r="F255" s="261"/>
      <c r="G255" s="261"/>
      <c r="H255" s="261"/>
      <c r="I255" s="261"/>
      <c r="J255" s="261"/>
      <c r="K255" s="261"/>
      <c r="L255" s="261"/>
      <c r="M255" s="261"/>
      <c r="N255" s="261"/>
      <c r="O255" s="261"/>
      <c r="P255" s="261"/>
      <c r="Q255" s="261"/>
      <c r="R255" s="261"/>
      <c r="S255" s="261"/>
      <c r="T255" s="261"/>
      <c r="U255" s="261"/>
      <c r="V255" s="261"/>
      <c r="W255" s="261"/>
      <c r="X255" s="261"/>
      <c r="Y255" s="261"/>
      <c r="Z255" s="261"/>
      <c r="AA255" s="273"/>
      <c r="AB255" s="273"/>
      <c r="AC255" s="273"/>
      <c r="AD255" s="273"/>
    </row>
    <row r="256" ht="15.75" customHeight="1">
      <c r="A256" s="261"/>
      <c r="B256" s="261"/>
      <c r="C256" s="261"/>
      <c r="D256" s="291"/>
      <c r="E256" s="261"/>
      <c r="F256" s="261"/>
      <c r="G256" s="261"/>
      <c r="H256" s="261"/>
      <c r="I256" s="261"/>
      <c r="J256" s="261"/>
      <c r="K256" s="261"/>
      <c r="L256" s="261"/>
      <c r="M256" s="261"/>
      <c r="N256" s="261"/>
      <c r="O256" s="261"/>
      <c r="P256" s="261"/>
      <c r="Q256" s="261"/>
      <c r="R256" s="261"/>
      <c r="S256" s="261"/>
      <c r="T256" s="261"/>
      <c r="U256" s="261"/>
      <c r="V256" s="261"/>
      <c r="W256" s="261"/>
      <c r="X256" s="261"/>
      <c r="Y256" s="261"/>
      <c r="Z256" s="261"/>
      <c r="AA256" s="273"/>
      <c r="AB256" s="273"/>
      <c r="AC256" s="273"/>
      <c r="AD256" s="273"/>
    </row>
    <row r="257" ht="15.75" customHeight="1">
      <c r="A257" s="261"/>
      <c r="B257" s="261"/>
      <c r="C257" s="261"/>
      <c r="D257" s="291"/>
      <c r="E257" s="261"/>
      <c r="F257" s="261"/>
      <c r="G257" s="261"/>
      <c r="H257" s="261"/>
      <c r="I257" s="261"/>
      <c r="J257" s="261"/>
      <c r="K257" s="261"/>
      <c r="L257" s="261"/>
      <c r="M257" s="261"/>
      <c r="N257" s="261"/>
      <c r="O257" s="261"/>
      <c r="P257" s="261"/>
      <c r="Q257" s="261"/>
      <c r="R257" s="261"/>
      <c r="S257" s="261"/>
      <c r="T257" s="261"/>
      <c r="U257" s="261"/>
      <c r="V257" s="261"/>
      <c r="W257" s="261"/>
      <c r="X257" s="261"/>
      <c r="Y257" s="261"/>
      <c r="Z257" s="261"/>
      <c r="AA257" s="273"/>
      <c r="AB257" s="273"/>
      <c r="AC257" s="273"/>
      <c r="AD257" s="273"/>
    </row>
    <row r="258" ht="15.75" customHeight="1">
      <c r="A258" s="261"/>
      <c r="B258" s="261"/>
      <c r="C258" s="261"/>
      <c r="D258" s="291"/>
      <c r="E258" s="261"/>
      <c r="F258" s="261"/>
      <c r="G258" s="261"/>
      <c r="H258" s="261"/>
      <c r="I258" s="261"/>
      <c r="J258" s="261"/>
      <c r="K258" s="261"/>
      <c r="L258" s="261"/>
      <c r="M258" s="261"/>
      <c r="N258" s="261"/>
      <c r="O258" s="261"/>
      <c r="P258" s="261"/>
      <c r="Q258" s="261"/>
      <c r="R258" s="261"/>
      <c r="S258" s="261"/>
      <c r="T258" s="261"/>
      <c r="U258" s="261"/>
      <c r="V258" s="261"/>
      <c r="W258" s="261"/>
      <c r="X258" s="261"/>
      <c r="Y258" s="261"/>
      <c r="Z258" s="261"/>
      <c r="AA258" s="273"/>
      <c r="AB258" s="273"/>
      <c r="AC258" s="273"/>
      <c r="AD258" s="273"/>
    </row>
    <row r="259" ht="15.75" customHeight="1">
      <c r="A259" s="261"/>
      <c r="B259" s="261"/>
      <c r="C259" s="261"/>
      <c r="D259" s="291"/>
      <c r="E259" s="261"/>
      <c r="F259" s="261"/>
      <c r="G259" s="261"/>
      <c r="H259" s="261"/>
      <c r="I259" s="261"/>
      <c r="J259" s="261"/>
      <c r="K259" s="261"/>
      <c r="L259" s="261"/>
      <c r="M259" s="261"/>
      <c r="N259" s="261"/>
      <c r="O259" s="261"/>
      <c r="P259" s="261"/>
      <c r="Q259" s="261"/>
      <c r="R259" s="261"/>
      <c r="S259" s="261"/>
      <c r="T259" s="261"/>
      <c r="U259" s="261"/>
      <c r="V259" s="261"/>
      <c r="W259" s="261"/>
      <c r="X259" s="261"/>
      <c r="Y259" s="261"/>
      <c r="Z259" s="261"/>
      <c r="AA259" s="273"/>
      <c r="AB259" s="273"/>
      <c r="AC259" s="273"/>
      <c r="AD259" s="273"/>
    </row>
    <row r="260" ht="15.75" customHeight="1">
      <c r="A260" s="261"/>
      <c r="B260" s="261"/>
      <c r="C260" s="261"/>
      <c r="D260" s="291"/>
      <c r="E260" s="261"/>
      <c r="F260" s="261"/>
      <c r="G260" s="261"/>
      <c r="H260" s="261"/>
      <c r="I260" s="261"/>
      <c r="J260" s="261"/>
      <c r="K260" s="261"/>
      <c r="L260" s="261"/>
      <c r="M260" s="261"/>
      <c r="N260" s="261"/>
      <c r="O260" s="261"/>
      <c r="P260" s="261"/>
      <c r="Q260" s="261"/>
      <c r="R260" s="261"/>
      <c r="S260" s="261"/>
      <c r="T260" s="261"/>
      <c r="U260" s="261"/>
      <c r="V260" s="261"/>
      <c r="W260" s="261"/>
      <c r="X260" s="261"/>
      <c r="Y260" s="261"/>
      <c r="Z260" s="261"/>
      <c r="AA260" s="273"/>
      <c r="AB260" s="273"/>
      <c r="AC260" s="273"/>
      <c r="AD260" s="273"/>
    </row>
    <row r="261" ht="15.75" customHeight="1">
      <c r="A261" s="261"/>
      <c r="B261" s="261"/>
      <c r="C261" s="261"/>
      <c r="D261" s="291"/>
      <c r="E261" s="261"/>
      <c r="F261" s="261"/>
      <c r="G261" s="261"/>
      <c r="H261" s="261"/>
      <c r="I261" s="261"/>
      <c r="J261" s="261"/>
      <c r="K261" s="261"/>
      <c r="L261" s="261"/>
      <c r="M261" s="261"/>
      <c r="N261" s="261"/>
      <c r="O261" s="261"/>
      <c r="P261" s="261"/>
      <c r="Q261" s="261"/>
      <c r="R261" s="261"/>
      <c r="S261" s="261"/>
      <c r="T261" s="261"/>
      <c r="U261" s="261"/>
      <c r="V261" s="261"/>
      <c r="W261" s="261"/>
      <c r="X261" s="261"/>
      <c r="Y261" s="261"/>
      <c r="Z261" s="261"/>
      <c r="AA261" s="273"/>
      <c r="AB261" s="273"/>
      <c r="AC261" s="273"/>
      <c r="AD261" s="273"/>
    </row>
    <row r="262" ht="15.75" customHeight="1">
      <c r="A262" s="261"/>
      <c r="B262" s="261"/>
      <c r="C262" s="261"/>
      <c r="D262" s="291"/>
      <c r="E262" s="261"/>
      <c r="F262" s="261"/>
      <c r="G262" s="261"/>
      <c r="H262" s="261"/>
      <c r="I262" s="261"/>
      <c r="J262" s="261"/>
      <c r="K262" s="261"/>
      <c r="L262" s="261"/>
      <c r="M262" s="261"/>
      <c r="N262" s="261"/>
      <c r="O262" s="261"/>
      <c r="P262" s="261"/>
      <c r="Q262" s="261"/>
      <c r="R262" s="261"/>
      <c r="S262" s="261"/>
      <c r="T262" s="261"/>
      <c r="U262" s="261"/>
      <c r="V262" s="261"/>
      <c r="W262" s="261"/>
      <c r="X262" s="261"/>
      <c r="Y262" s="261"/>
      <c r="Z262" s="261"/>
      <c r="AA262" s="273"/>
      <c r="AB262" s="273"/>
      <c r="AC262" s="273"/>
      <c r="AD262" s="273"/>
    </row>
    <row r="263" ht="15.75" customHeight="1">
      <c r="A263" s="261"/>
      <c r="B263" s="261"/>
      <c r="C263" s="261"/>
      <c r="D263" s="291"/>
      <c r="E263" s="261"/>
      <c r="F263" s="261"/>
      <c r="G263" s="261"/>
      <c r="H263" s="261"/>
      <c r="I263" s="261"/>
      <c r="J263" s="261"/>
      <c r="K263" s="261"/>
      <c r="L263" s="261"/>
      <c r="M263" s="261"/>
      <c r="N263" s="261"/>
      <c r="O263" s="261"/>
      <c r="P263" s="261"/>
      <c r="Q263" s="261"/>
      <c r="R263" s="261"/>
      <c r="S263" s="261"/>
      <c r="T263" s="261"/>
      <c r="U263" s="261"/>
      <c r="V263" s="261"/>
      <c r="W263" s="261"/>
      <c r="X263" s="261"/>
      <c r="Y263" s="261"/>
      <c r="Z263" s="261"/>
      <c r="AA263" s="273"/>
      <c r="AB263" s="273"/>
      <c r="AC263" s="273"/>
      <c r="AD263" s="273"/>
    </row>
    <row r="264" ht="15.75" customHeight="1">
      <c r="A264" s="261"/>
      <c r="B264" s="261"/>
      <c r="C264" s="261"/>
      <c r="D264" s="291"/>
      <c r="E264" s="261"/>
      <c r="F264" s="261"/>
      <c r="G264" s="261"/>
      <c r="H264" s="261"/>
      <c r="I264" s="261"/>
      <c r="J264" s="261"/>
      <c r="K264" s="261"/>
      <c r="L264" s="261"/>
      <c r="M264" s="261"/>
      <c r="N264" s="261"/>
      <c r="O264" s="261"/>
      <c r="P264" s="261"/>
      <c r="Q264" s="261"/>
      <c r="R264" s="261"/>
      <c r="S264" s="261"/>
      <c r="T264" s="261"/>
      <c r="U264" s="261"/>
      <c r="V264" s="261"/>
      <c r="W264" s="261"/>
      <c r="X264" s="261"/>
      <c r="Y264" s="261"/>
      <c r="Z264" s="261"/>
      <c r="AA264" s="273"/>
      <c r="AB264" s="273"/>
      <c r="AC264" s="273"/>
      <c r="AD264" s="273"/>
    </row>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4">
    <mergeCell ref="H2:H3"/>
    <mergeCell ref="I2:I3"/>
    <mergeCell ref="K2:K3"/>
    <mergeCell ref="L2:L3"/>
    <mergeCell ref="N2:P2"/>
    <mergeCell ref="Q2:S2"/>
    <mergeCell ref="A1:AD1"/>
    <mergeCell ref="A2:A3"/>
    <mergeCell ref="B2:B3"/>
    <mergeCell ref="C2:C3"/>
    <mergeCell ref="D2:D3"/>
    <mergeCell ref="E2:E3"/>
    <mergeCell ref="G2:G3"/>
    <mergeCell ref="T2:W2"/>
  </mergeCells>
  <hyperlinks>
    <hyperlink r:id="rId2" ref="Z5"/>
    <hyperlink r:id="rId3" ref="AA5"/>
    <hyperlink r:id="rId4" ref="Z6"/>
    <hyperlink r:id="rId5" ref="AA6"/>
    <hyperlink r:id="rId6" ref="Z7"/>
    <hyperlink r:id="rId7" ref="Z8"/>
    <hyperlink r:id="rId8" ref="Z9"/>
    <hyperlink r:id="rId9" ref="AA9"/>
    <hyperlink r:id="rId10" ref="Z10"/>
    <hyperlink r:id="rId11" ref="AA10"/>
    <hyperlink r:id="rId12" ref="AB10"/>
    <hyperlink r:id="rId13" ref="Z11"/>
    <hyperlink r:id="rId14" location=":~:text=In%20Gronau%2DEpe%20the%20site,as%20well%20as%20hydrogen%20storages." ref="AA11"/>
    <hyperlink r:id="rId15" location=":~:text=The%20Aldbrough%20Hydrogen%20Storage%20project,320%20Gigawatt%20hours%20(GWh)." ref="Z12"/>
    <hyperlink r:id="rId16" ref="AA12"/>
    <hyperlink r:id="rId17" ref="Z13"/>
    <hyperlink r:id="rId18" ref="Z17"/>
    <hyperlink r:id="rId19" ref="AA17"/>
    <hyperlink r:id="rId20" ref="Z18"/>
    <hyperlink r:id="rId21" ref="Z19"/>
    <hyperlink r:id="rId22" ref="AA19"/>
    <hyperlink r:id="rId23" ref="AB19"/>
    <hyperlink r:id="rId24" ref="Z20"/>
    <hyperlink r:id="rId25" ref="AA20"/>
    <hyperlink r:id="rId26" ref="Z21"/>
    <hyperlink r:id="rId27" ref="AA21"/>
    <hyperlink r:id="rId28" ref="AB21"/>
    <hyperlink r:id="rId29" ref="Z22"/>
    <hyperlink r:id="rId30" ref="AA22"/>
    <hyperlink r:id="rId31" ref="Z23"/>
    <hyperlink r:id="rId32" ref="AA23"/>
    <hyperlink r:id="rId33" ref="Z24"/>
    <hyperlink r:id="rId34" ref="AA24"/>
    <hyperlink r:id="rId35" ref="Z25"/>
    <hyperlink r:id="rId36" ref="AA25"/>
    <hyperlink r:id="rId37" ref="Z26"/>
    <hyperlink r:id="rId38" ref="AA26"/>
    <hyperlink r:id="rId39" ref="Z27"/>
    <hyperlink r:id="rId40" ref="Z28"/>
    <hyperlink r:id="rId41" ref="AA28"/>
    <hyperlink r:id="rId42" ref="Z29"/>
    <hyperlink r:id="rId43" ref="AA29"/>
    <hyperlink r:id="rId44" ref="Z30"/>
    <hyperlink r:id="rId45" ref="AA30"/>
    <hyperlink r:id="rId46" ref="Z31"/>
    <hyperlink r:id="rId47" ref="AA31"/>
    <hyperlink r:id="rId48" ref="Z32"/>
    <hyperlink r:id="rId49" ref="Z33"/>
    <hyperlink r:id="rId50" ref="AA33"/>
    <hyperlink r:id="rId51" ref="Z34"/>
    <hyperlink r:id="rId52" ref="Z35"/>
    <hyperlink r:id="rId53" ref="Z36"/>
    <hyperlink r:id="rId54" ref="AA36"/>
    <hyperlink r:id="rId55" ref="Z37"/>
    <hyperlink r:id="rId56" ref="AA37"/>
    <hyperlink r:id="rId57" ref="Z38"/>
    <hyperlink r:id="rId58" ref="AA38"/>
    <hyperlink r:id="rId59" ref="Z39"/>
    <hyperlink r:id="rId60" ref="AA39"/>
    <hyperlink r:id="rId61" ref="Z40"/>
    <hyperlink r:id="rId62" ref="AA40"/>
    <hyperlink r:id="rId63" ref="Z41"/>
    <hyperlink r:id="rId64" ref="AA41"/>
    <hyperlink r:id="rId65" ref="Z42"/>
    <hyperlink r:id="rId66" ref="Z43"/>
    <hyperlink r:id="rId67" ref="AA43"/>
    <hyperlink r:id="rId68" ref="AB43"/>
    <hyperlink r:id="rId69" ref="Z44"/>
    <hyperlink r:id="rId70" ref="AA44"/>
    <hyperlink r:id="rId71" ref="Z45"/>
    <hyperlink r:id="rId72" ref="AA45"/>
    <hyperlink r:id="rId73" ref="AB45"/>
    <hyperlink r:id="rId74" ref="AC45"/>
    <hyperlink r:id="rId75" ref="Z46"/>
    <hyperlink r:id="rId76" ref="AA46"/>
    <hyperlink r:id="rId77" ref="Z48"/>
    <hyperlink r:id="rId78" ref="Z49"/>
    <hyperlink r:id="rId79" ref="Z50"/>
    <hyperlink r:id="rId80" ref="AA50"/>
    <hyperlink r:id="rId81" ref="Z51"/>
    <hyperlink r:id="rId82" ref="AA51"/>
    <hyperlink r:id="rId83" ref="Z52"/>
    <hyperlink r:id="rId84" ref="Z53"/>
    <hyperlink r:id="rId85" ref="Z54"/>
    <hyperlink r:id="rId86" ref="Z55"/>
    <hyperlink r:id="rId87" ref="Z56"/>
    <hyperlink r:id="rId88" ref="AA56"/>
    <hyperlink r:id="rId89" ref="Z57"/>
    <hyperlink r:id="rId90" ref="AA57"/>
    <hyperlink r:id="rId91" ref="Z61"/>
    <hyperlink r:id="rId92" ref="Z62"/>
    <hyperlink r:id="rId93" ref="AA62"/>
    <hyperlink r:id="rId94" ref="Z63"/>
    <hyperlink r:id="rId95" ref="Z64"/>
    <hyperlink r:id="rId96" ref="AA64"/>
  </hyperlinks>
  <printOptions/>
  <pageMargins bottom="0.75" footer="0.0" header="0.0" left="0.7" right="0.7" top="0.75"/>
  <pageSetup paperSize="9" orientation="portrait"/>
  <drawing r:id="rId97"/>
  <legacyDrawing r:id="rId98"/>
  <tableParts count="1">
    <tablePart r:id="rId100"/>
  </tableParts>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workbookViewId="0">
      <pane xSplit="5.0" ySplit="4.0" topLeftCell="F5" activePane="bottomRight" state="frozen"/>
      <selection activeCell="F1" sqref="F1" pane="topRight"/>
      <selection activeCell="A5" sqref="A5" pane="bottomLeft"/>
      <selection activeCell="F5" sqref="F5" pane="bottomRight"/>
    </sheetView>
  </sheetViews>
  <sheetFormatPr customHeight="1" defaultColWidth="14.43" defaultRowHeight="15.75"/>
  <cols>
    <col customWidth="1" min="1" max="1" width="7.29"/>
    <col customWidth="1" min="2" max="2" width="40.43"/>
    <col customWidth="1" min="3" max="3" width="5.57"/>
    <col customWidth="1" min="4" max="4" width="7.57"/>
    <col customWidth="1" min="5" max="5" width="44.14"/>
    <col customWidth="1" min="6" max="8" width="5.71"/>
    <col customWidth="1" min="9" max="9" width="11.57"/>
    <col customWidth="1" min="10" max="10" width="15.29"/>
    <col customWidth="1" min="11" max="11" width="20.86"/>
    <col customWidth="1" min="12" max="12" width="12.71"/>
    <col customWidth="1" min="13" max="13" width="20.86"/>
    <col customWidth="1" min="14" max="15" width="14.86"/>
    <col customWidth="1" min="16" max="16" width="16.43"/>
    <col customWidth="1" min="17" max="17" width="21.14"/>
    <col customWidth="1" min="18" max="20" width="15.0"/>
    <col customWidth="1" min="21" max="21" width="24.86"/>
    <col customWidth="1" min="22" max="26" width="8.86"/>
  </cols>
  <sheetData>
    <row r="1" ht="49.5" customHeight="1">
      <c r="A1" s="282" t="s">
        <v>23325</v>
      </c>
      <c r="B1" s="71"/>
      <c r="C1" s="71"/>
      <c r="D1" s="71"/>
      <c r="E1" s="71"/>
      <c r="F1" s="71"/>
      <c r="G1" s="71"/>
      <c r="H1" s="71"/>
      <c r="I1" s="71"/>
      <c r="J1" s="71"/>
      <c r="K1" s="71"/>
      <c r="L1" s="71"/>
      <c r="M1" s="71"/>
      <c r="N1" s="71"/>
      <c r="O1" s="71"/>
      <c r="P1" s="71"/>
      <c r="Q1" s="71"/>
      <c r="R1" s="71"/>
      <c r="S1" s="71"/>
      <c r="T1" s="71"/>
      <c r="U1" s="71"/>
      <c r="V1" s="253"/>
      <c r="W1" s="253"/>
      <c r="X1" s="253"/>
      <c r="Y1" s="253"/>
      <c r="Z1" s="253"/>
    </row>
    <row r="2" ht="21.0" customHeight="1">
      <c r="A2" s="76" t="s">
        <v>12329</v>
      </c>
      <c r="B2" s="76" t="s">
        <v>687</v>
      </c>
      <c r="C2" s="76" t="s">
        <v>40</v>
      </c>
      <c r="D2" s="76" t="s">
        <v>23326</v>
      </c>
      <c r="E2" s="76" t="s">
        <v>18702</v>
      </c>
      <c r="F2" s="77" t="s">
        <v>22157</v>
      </c>
      <c r="G2" s="77" t="s">
        <v>12330</v>
      </c>
      <c r="H2" s="77" t="s">
        <v>12331</v>
      </c>
      <c r="I2" s="254"/>
      <c r="J2" s="76" t="s">
        <v>36</v>
      </c>
      <c r="K2" s="81" t="s">
        <v>688</v>
      </c>
      <c r="L2" s="81" t="s">
        <v>12332</v>
      </c>
      <c r="M2" s="81" t="s">
        <v>12334</v>
      </c>
      <c r="N2" s="85" t="s">
        <v>12335</v>
      </c>
      <c r="O2" s="86"/>
      <c r="P2" s="87"/>
      <c r="Q2" s="78" t="s">
        <v>22162</v>
      </c>
      <c r="R2" s="76" t="s">
        <v>18716</v>
      </c>
      <c r="S2" s="76" t="s">
        <v>18717</v>
      </c>
      <c r="T2" s="76" t="s">
        <v>18718</v>
      </c>
      <c r="U2" s="292" t="s">
        <v>23327</v>
      </c>
      <c r="V2" s="255"/>
      <c r="W2" s="255"/>
      <c r="X2" s="255"/>
      <c r="Y2" s="255"/>
      <c r="Z2" s="255"/>
    </row>
    <row r="3" ht="56.25" customHeight="1">
      <c r="A3" s="93"/>
      <c r="B3" s="93"/>
      <c r="C3" s="93"/>
      <c r="D3" s="93"/>
      <c r="E3" s="93"/>
      <c r="F3" s="93"/>
      <c r="G3" s="93"/>
      <c r="H3" s="93"/>
      <c r="I3" s="256" t="s">
        <v>22163</v>
      </c>
      <c r="J3" s="93"/>
      <c r="K3" s="96"/>
      <c r="L3" s="96"/>
      <c r="M3" s="96"/>
      <c r="N3" s="94" t="s">
        <v>12344</v>
      </c>
      <c r="O3" s="94" t="s">
        <v>22164</v>
      </c>
      <c r="P3" s="94" t="s">
        <v>23328</v>
      </c>
      <c r="Q3" s="96" t="s">
        <v>22166</v>
      </c>
      <c r="R3" s="93"/>
      <c r="S3" s="93"/>
      <c r="T3" s="93"/>
      <c r="U3" s="293"/>
      <c r="V3" s="255"/>
      <c r="W3" s="255"/>
      <c r="X3" s="255"/>
      <c r="Y3" s="255"/>
      <c r="Z3" s="255"/>
    </row>
    <row r="4" ht="82.5" customHeight="1">
      <c r="A4" s="103" t="s">
        <v>12329</v>
      </c>
      <c r="B4" s="103" t="s">
        <v>687</v>
      </c>
      <c r="C4" s="103" t="s">
        <v>40</v>
      </c>
      <c r="D4" s="103" t="s">
        <v>23326</v>
      </c>
      <c r="E4" s="103" t="s">
        <v>18702</v>
      </c>
      <c r="F4" s="104" t="s">
        <v>22157</v>
      </c>
      <c r="G4" s="104" t="s">
        <v>12330</v>
      </c>
      <c r="H4" s="104" t="s">
        <v>12331</v>
      </c>
      <c r="I4" s="104" t="s">
        <v>22173</v>
      </c>
      <c r="J4" s="103" t="s">
        <v>36</v>
      </c>
      <c r="K4" s="105" t="s">
        <v>23329</v>
      </c>
      <c r="L4" s="105" t="s">
        <v>23330</v>
      </c>
      <c r="M4" s="105" t="s">
        <v>12334</v>
      </c>
      <c r="N4" s="105" t="s">
        <v>12368</v>
      </c>
      <c r="O4" s="105" t="s">
        <v>22175</v>
      </c>
      <c r="P4" s="105" t="s">
        <v>12370</v>
      </c>
      <c r="Q4" s="105" t="s">
        <v>22180</v>
      </c>
      <c r="R4" s="108" t="s">
        <v>22181</v>
      </c>
      <c r="S4" s="294" t="s">
        <v>23084</v>
      </c>
      <c r="T4" s="108" t="s">
        <v>23085</v>
      </c>
      <c r="U4" s="103" t="s">
        <v>689</v>
      </c>
      <c r="V4" s="255"/>
      <c r="W4" s="255"/>
      <c r="X4" s="255"/>
      <c r="Y4" s="255"/>
      <c r="Z4" s="255"/>
    </row>
    <row r="5" ht="30.0" customHeight="1">
      <c r="A5" s="111" t="s">
        <v>23331</v>
      </c>
      <c r="B5" s="127" t="s">
        <v>23332</v>
      </c>
      <c r="C5" s="111" t="s">
        <v>8021</v>
      </c>
      <c r="D5" s="111" t="s">
        <v>23333</v>
      </c>
      <c r="E5" s="111" t="s">
        <v>23334</v>
      </c>
      <c r="F5" s="111" t="s">
        <v>19</v>
      </c>
      <c r="G5" s="111" t="s">
        <v>19</v>
      </c>
      <c r="H5" s="111"/>
      <c r="I5" s="127" t="s">
        <v>22185</v>
      </c>
      <c r="J5" s="111" t="s">
        <v>12399</v>
      </c>
      <c r="K5" s="111" t="s">
        <v>23335</v>
      </c>
      <c r="L5" s="111" t="s">
        <v>30</v>
      </c>
      <c r="M5" s="128" t="s">
        <v>23336</v>
      </c>
      <c r="N5" s="124"/>
      <c r="O5" s="125"/>
      <c r="P5" s="125"/>
      <c r="Q5" s="125" t="s">
        <v>23337</v>
      </c>
      <c r="R5" s="262" t="s">
        <v>22189</v>
      </c>
      <c r="S5" s="262" t="s">
        <v>22189</v>
      </c>
      <c r="T5" s="259" t="s">
        <v>22189</v>
      </c>
      <c r="U5" s="111" t="s">
        <v>23338</v>
      </c>
      <c r="V5" s="261"/>
      <c r="W5" s="261"/>
      <c r="X5" s="261"/>
      <c r="Y5" s="261"/>
      <c r="Z5" s="261"/>
    </row>
    <row r="6" ht="30.0" customHeight="1">
      <c r="A6" s="111" t="s">
        <v>23339</v>
      </c>
      <c r="B6" s="127" t="s">
        <v>8670</v>
      </c>
      <c r="C6" s="111" t="s">
        <v>8021</v>
      </c>
      <c r="D6" s="111" t="s">
        <v>23333</v>
      </c>
      <c r="E6" s="111" t="s">
        <v>23340</v>
      </c>
      <c r="F6" s="111" t="s">
        <v>19</v>
      </c>
      <c r="G6" s="257" t="s">
        <v>19</v>
      </c>
      <c r="H6" s="111"/>
      <c r="I6" s="127" t="s">
        <v>22185</v>
      </c>
      <c r="J6" s="111" t="s">
        <v>12399</v>
      </c>
      <c r="K6" s="111" t="s">
        <v>23341</v>
      </c>
      <c r="L6" s="111" t="s">
        <v>23342</v>
      </c>
      <c r="M6" s="127" t="s">
        <v>23343</v>
      </c>
      <c r="N6" s="124"/>
      <c r="O6" s="125"/>
      <c r="P6" s="125"/>
      <c r="Q6" s="125"/>
      <c r="R6" s="262" t="s">
        <v>22189</v>
      </c>
      <c r="S6" s="127"/>
      <c r="T6" s="260"/>
      <c r="U6" s="111" t="s">
        <v>23344</v>
      </c>
      <c r="V6" s="261"/>
      <c r="W6" s="261"/>
      <c r="X6" s="261"/>
      <c r="Y6" s="261"/>
      <c r="Z6" s="261"/>
    </row>
    <row r="7" ht="30.0" customHeight="1">
      <c r="A7" s="111" t="s">
        <v>23345</v>
      </c>
      <c r="B7" s="127" t="s">
        <v>23346</v>
      </c>
      <c r="C7" s="111" t="s">
        <v>8021</v>
      </c>
      <c r="D7" s="111" t="s">
        <v>23333</v>
      </c>
      <c r="E7" s="111" t="s">
        <v>23347</v>
      </c>
      <c r="F7" s="111">
        <v>2026.0</v>
      </c>
      <c r="G7" s="111">
        <v>2026.0</v>
      </c>
      <c r="H7" s="111"/>
      <c r="I7" s="127" t="s">
        <v>22185</v>
      </c>
      <c r="J7" s="111" t="s">
        <v>12399</v>
      </c>
      <c r="K7" s="111" t="s">
        <v>23341</v>
      </c>
      <c r="L7" s="111" t="s">
        <v>23342</v>
      </c>
      <c r="M7" s="127" t="s">
        <v>23348</v>
      </c>
      <c r="N7" s="124"/>
      <c r="O7" s="125"/>
      <c r="P7" s="125"/>
      <c r="Q7" s="125"/>
      <c r="R7" s="262" t="s">
        <v>22189</v>
      </c>
      <c r="S7" s="262" t="s">
        <v>22189</v>
      </c>
      <c r="T7" s="260"/>
      <c r="U7" s="111" t="s">
        <v>23349</v>
      </c>
      <c r="V7" s="261"/>
      <c r="W7" s="261"/>
      <c r="X7" s="261"/>
      <c r="Y7" s="261"/>
      <c r="Z7" s="261"/>
    </row>
    <row r="8" ht="30.0" customHeight="1">
      <c r="A8" s="111" t="s">
        <v>23350</v>
      </c>
      <c r="B8" s="127" t="s">
        <v>23351</v>
      </c>
      <c r="C8" s="111" t="s">
        <v>8021</v>
      </c>
      <c r="D8" s="111" t="s">
        <v>23333</v>
      </c>
      <c r="E8" s="111" t="s">
        <v>23352</v>
      </c>
      <c r="F8" s="111">
        <v>2028.0</v>
      </c>
      <c r="G8" s="257">
        <v>2028.0</v>
      </c>
      <c r="H8" s="111"/>
      <c r="I8" s="127" t="s">
        <v>22185</v>
      </c>
      <c r="J8" s="111" t="s">
        <v>12399</v>
      </c>
      <c r="K8" s="111" t="s">
        <v>23353</v>
      </c>
      <c r="L8" s="111" t="s">
        <v>30</v>
      </c>
      <c r="M8" s="127" t="s">
        <v>23354</v>
      </c>
      <c r="N8" s="124"/>
      <c r="O8" s="125"/>
      <c r="P8" s="125"/>
      <c r="Q8" s="125"/>
      <c r="R8" s="262" t="s">
        <v>22189</v>
      </c>
      <c r="S8" s="262" t="s">
        <v>22189</v>
      </c>
      <c r="T8" s="262" t="s">
        <v>22189</v>
      </c>
      <c r="U8" s="111" t="s">
        <v>23355</v>
      </c>
      <c r="V8" s="261"/>
      <c r="W8" s="261"/>
      <c r="X8" s="261"/>
      <c r="Y8" s="261"/>
      <c r="Z8" s="261"/>
    </row>
    <row r="9" hidden="1">
      <c r="A9" s="111" t="s">
        <v>23356</v>
      </c>
      <c r="B9" s="127" t="s">
        <v>23357</v>
      </c>
      <c r="C9" s="111" t="s">
        <v>8021</v>
      </c>
      <c r="D9" s="111" t="s">
        <v>23333</v>
      </c>
      <c r="E9" s="111" t="s">
        <v>23358</v>
      </c>
      <c r="F9" s="111">
        <v>2026.0</v>
      </c>
      <c r="G9" s="257">
        <v>2026.0</v>
      </c>
      <c r="H9" s="111"/>
      <c r="I9" s="127" t="s">
        <v>22185</v>
      </c>
      <c r="J9" s="111" t="s">
        <v>12399</v>
      </c>
      <c r="K9" s="111" t="s">
        <v>23353</v>
      </c>
      <c r="L9" s="111" t="s">
        <v>23359</v>
      </c>
      <c r="M9" s="127" t="s">
        <v>23360</v>
      </c>
      <c r="N9" s="124"/>
      <c r="O9" s="125"/>
      <c r="P9" s="125"/>
      <c r="Q9" s="125"/>
      <c r="R9" s="262" t="s">
        <v>22189</v>
      </c>
      <c r="S9" s="262" t="s">
        <v>22189</v>
      </c>
      <c r="T9" s="260"/>
      <c r="U9" s="111" t="s">
        <v>23361</v>
      </c>
      <c r="V9" s="261"/>
      <c r="W9" s="261"/>
      <c r="X9" s="261"/>
      <c r="Y9" s="261"/>
      <c r="Z9" s="261"/>
    </row>
    <row r="10" hidden="1">
      <c r="A10" s="111" t="s">
        <v>23362</v>
      </c>
      <c r="B10" s="127" t="s">
        <v>23363</v>
      </c>
      <c r="C10" s="111" t="s">
        <v>8021</v>
      </c>
      <c r="D10" s="111" t="s">
        <v>23333</v>
      </c>
      <c r="E10" s="111" t="s">
        <v>23364</v>
      </c>
      <c r="F10" s="111">
        <v>2021.0</v>
      </c>
      <c r="G10" s="111">
        <v>2021.0</v>
      </c>
      <c r="H10" s="111"/>
      <c r="I10" s="127" t="s">
        <v>22185</v>
      </c>
      <c r="J10" s="111" t="s">
        <v>12418</v>
      </c>
      <c r="K10" s="111" t="s">
        <v>23353</v>
      </c>
      <c r="L10" s="111" t="s">
        <v>23359</v>
      </c>
      <c r="M10" s="127" t="s">
        <v>23365</v>
      </c>
      <c r="N10" s="124"/>
      <c r="O10" s="125"/>
      <c r="P10" s="125"/>
      <c r="Q10" s="125"/>
      <c r="R10" s="262" t="s">
        <v>22189</v>
      </c>
      <c r="S10" s="127"/>
      <c r="T10" s="260"/>
      <c r="U10" s="111" t="s">
        <v>23366</v>
      </c>
      <c r="V10" s="261"/>
      <c r="W10" s="261"/>
      <c r="X10" s="261"/>
      <c r="Y10" s="261"/>
      <c r="Z10" s="261"/>
    </row>
    <row r="11" ht="30.0" customHeight="1">
      <c r="A11" s="111" t="s">
        <v>23367</v>
      </c>
      <c r="B11" s="127" t="s">
        <v>23363</v>
      </c>
      <c r="C11" s="111" t="s">
        <v>8021</v>
      </c>
      <c r="D11" s="111" t="s">
        <v>23333</v>
      </c>
      <c r="E11" s="111" t="s">
        <v>23364</v>
      </c>
      <c r="F11" s="111">
        <v>2021.0</v>
      </c>
      <c r="G11" s="111">
        <v>2021.0</v>
      </c>
      <c r="H11" s="111"/>
      <c r="I11" s="127" t="s">
        <v>22185</v>
      </c>
      <c r="J11" s="111" t="s">
        <v>12418</v>
      </c>
      <c r="K11" s="111" t="s">
        <v>23368</v>
      </c>
      <c r="L11" s="111" t="s">
        <v>23359</v>
      </c>
      <c r="M11" s="127" t="s">
        <v>23369</v>
      </c>
      <c r="N11" s="124"/>
      <c r="O11" s="125"/>
      <c r="P11" s="125"/>
      <c r="Q11" s="125"/>
      <c r="R11" s="262" t="s">
        <v>22189</v>
      </c>
      <c r="S11" s="127"/>
      <c r="T11" s="260"/>
      <c r="U11" s="111" t="s">
        <v>23366</v>
      </c>
      <c r="V11" s="261"/>
      <c r="W11" s="261"/>
      <c r="X11" s="261"/>
      <c r="Y11" s="261"/>
      <c r="Z11" s="261"/>
    </row>
    <row r="12" ht="43.5" customHeight="1">
      <c r="A12" s="111" t="s">
        <v>23370</v>
      </c>
      <c r="B12" s="127" t="s">
        <v>23371</v>
      </c>
      <c r="C12" s="111" t="s">
        <v>8021</v>
      </c>
      <c r="D12" s="111" t="s">
        <v>23333</v>
      </c>
      <c r="E12" s="111" t="s">
        <v>23372</v>
      </c>
      <c r="F12" s="111" t="s">
        <v>19</v>
      </c>
      <c r="G12" s="257" t="s">
        <v>19</v>
      </c>
      <c r="H12" s="111"/>
      <c r="I12" s="127" t="s">
        <v>22185</v>
      </c>
      <c r="J12" s="111" t="s">
        <v>12397</v>
      </c>
      <c r="K12" s="111" t="s">
        <v>23373</v>
      </c>
      <c r="L12" s="111" t="s">
        <v>12249</v>
      </c>
      <c r="M12" s="128" t="s">
        <v>19</v>
      </c>
      <c r="N12" s="124"/>
      <c r="O12" s="125"/>
      <c r="P12" s="126"/>
      <c r="Q12" s="126"/>
      <c r="R12" s="262" t="s">
        <v>22189</v>
      </c>
      <c r="S12" s="127"/>
      <c r="T12" s="127"/>
      <c r="U12" s="111" t="s">
        <v>23374</v>
      </c>
      <c r="V12" s="261"/>
      <c r="W12" s="261"/>
      <c r="X12" s="261"/>
      <c r="Y12" s="261"/>
      <c r="Z12" s="261"/>
    </row>
    <row r="13" ht="30.0" customHeight="1">
      <c r="A13" s="111" t="s">
        <v>23375</v>
      </c>
      <c r="B13" s="127" t="s">
        <v>23376</v>
      </c>
      <c r="C13" s="111" t="s">
        <v>8021</v>
      </c>
      <c r="D13" s="111" t="s">
        <v>23333</v>
      </c>
      <c r="E13" s="111" t="s">
        <v>23377</v>
      </c>
      <c r="F13" s="111" t="s">
        <v>19</v>
      </c>
      <c r="G13" s="257" t="s">
        <v>19</v>
      </c>
      <c r="H13" s="111"/>
      <c r="I13" s="127" t="s">
        <v>22203</v>
      </c>
      <c r="J13" s="111" t="s">
        <v>12399</v>
      </c>
      <c r="K13" s="111" t="s">
        <v>23378</v>
      </c>
      <c r="L13" s="111" t="s">
        <v>12481</v>
      </c>
      <c r="M13" s="128" t="s">
        <v>19</v>
      </c>
      <c r="N13" s="124"/>
      <c r="O13" s="125"/>
      <c r="P13" s="126"/>
      <c r="Q13" s="126"/>
      <c r="R13" s="262" t="s">
        <v>22189</v>
      </c>
      <c r="S13" s="127"/>
      <c r="T13" s="127"/>
      <c r="U13" s="111" t="s">
        <v>23379</v>
      </c>
      <c r="V13" s="261"/>
      <c r="W13" s="261"/>
      <c r="X13" s="261"/>
      <c r="Y13" s="261"/>
      <c r="Z13" s="261"/>
    </row>
    <row r="14" ht="30.0" customHeight="1">
      <c r="A14" s="111" t="s">
        <v>23380</v>
      </c>
      <c r="B14" s="127" t="s">
        <v>23381</v>
      </c>
      <c r="C14" s="111" t="s">
        <v>8021</v>
      </c>
      <c r="D14" s="111" t="s">
        <v>23333</v>
      </c>
      <c r="E14" s="111" t="s">
        <v>23382</v>
      </c>
      <c r="F14" s="111" t="s">
        <v>19</v>
      </c>
      <c r="G14" s="257" t="s">
        <v>19</v>
      </c>
      <c r="H14" s="111"/>
      <c r="I14" s="127" t="s">
        <v>22185</v>
      </c>
      <c r="J14" s="111" t="s">
        <v>12397</v>
      </c>
      <c r="K14" s="111" t="s">
        <v>23378</v>
      </c>
      <c r="L14" s="111" t="s">
        <v>12481</v>
      </c>
      <c r="M14" s="128" t="s">
        <v>19</v>
      </c>
      <c r="N14" s="124"/>
      <c r="O14" s="125"/>
      <c r="P14" s="126"/>
      <c r="Q14" s="126"/>
      <c r="R14" s="262" t="s">
        <v>22189</v>
      </c>
      <c r="S14" s="127"/>
      <c r="T14" s="127"/>
      <c r="U14" s="111" t="s">
        <v>8901</v>
      </c>
      <c r="V14" s="261"/>
      <c r="W14" s="261"/>
      <c r="X14" s="261"/>
      <c r="Y14" s="261"/>
      <c r="Z14" s="261"/>
    </row>
    <row r="15" ht="30.0" customHeight="1">
      <c r="A15" s="111" t="s">
        <v>23383</v>
      </c>
      <c r="B15" s="127" t="s">
        <v>23384</v>
      </c>
      <c r="C15" s="111" t="s">
        <v>8021</v>
      </c>
      <c r="D15" s="111" t="s">
        <v>23333</v>
      </c>
      <c r="E15" s="111" t="s">
        <v>23385</v>
      </c>
      <c r="F15" s="111" t="s">
        <v>19</v>
      </c>
      <c r="G15" s="257" t="s">
        <v>19</v>
      </c>
      <c r="H15" s="111"/>
      <c r="I15" s="127" t="s">
        <v>22185</v>
      </c>
      <c r="J15" s="111" t="s">
        <v>12397</v>
      </c>
      <c r="K15" s="111" t="s">
        <v>23378</v>
      </c>
      <c r="L15" s="111" t="s">
        <v>12481</v>
      </c>
      <c r="M15" s="128" t="s">
        <v>19</v>
      </c>
      <c r="N15" s="124"/>
      <c r="O15" s="125"/>
      <c r="P15" s="126"/>
      <c r="Q15" s="126"/>
      <c r="R15" s="262" t="s">
        <v>22189</v>
      </c>
      <c r="S15" s="127"/>
      <c r="T15" s="127"/>
      <c r="U15" s="111" t="s">
        <v>23386</v>
      </c>
      <c r="V15" s="261"/>
      <c r="W15" s="261"/>
      <c r="X15" s="261"/>
      <c r="Y15" s="261"/>
      <c r="Z15" s="261"/>
    </row>
    <row r="16" ht="30.0" customHeight="1">
      <c r="A16" s="111" t="s">
        <v>23387</v>
      </c>
      <c r="B16" s="127" t="s">
        <v>23388</v>
      </c>
      <c r="C16" s="111" t="s">
        <v>18353</v>
      </c>
      <c r="D16" s="111" t="s">
        <v>23333</v>
      </c>
      <c r="E16" s="111" t="s">
        <v>23389</v>
      </c>
      <c r="F16" s="111">
        <v>2020.0</v>
      </c>
      <c r="G16" s="111">
        <v>2020.0</v>
      </c>
      <c r="H16" s="111">
        <v>2020.0</v>
      </c>
      <c r="I16" s="127" t="s">
        <v>22185</v>
      </c>
      <c r="J16" s="111" t="s">
        <v>12418</v>
      </c>
      <c r="K16" s="111" t="s">
        <v>23373</v>
      </c>
      <c r="L16" s="111" t="s">
        <v>12249</v>
      </c>
      <c r="M16" s="128" t="s">
        <v>23390</v>
      </c>
      <c r="N16" s="124"/>
      <c r="O16" s="125"/>
      <c r="P16" s="126"/>
      <c r="Q16" s="126"/>
      <c r="R16" s="262" t="s">
        <v>22189</v>
      </c>
      <c r="S16" s="127"/>
      <c r="T16" s="127"/>
      <c r="U16" s="111" t="s">
        <v>23391</v>
      </c>
      <c r="V16" s="261"/>
      <c r="W16" s="261"/>
      <c r="X16" s="261"/>
      <c r="Y16" s="261"/>
      <c r="Z16" s="261"/>
    </row>
    <row r="17" hidden="1">
      <c r="A17" s="111" t="s">
        <v>23392</v>
      </c>
      <c r="B17" s="127" t="s">
        <v>23393</v>
      </c>
      <c r="C17" s="111" t="s">
        <v>8071</v>
      </c>
      <c r="D17" s="111" t="s">
        <v>23333</v>
      </c>
      <c r="E17" s="111" t="s">
        <v>23394</v>
      </c>
      <c r="F17" s="111" t="s">
        <v>19</v>
      </c>
      <c r="G17" s="257" t="s">
        <v>19</v>
      </c>
      <c r="H17" s="111"/>
      <c r="I17" s="127" t="s">
        <v>22185</v>
      </c>
      <c r="J17" s="111" t="s">
        <v>12399</v>
      </c>
      <c r="K17" s="111" t="s">
        <v>23378</v>
      </c>
      <c r="L17" s="111" t="s">
        <v>12481</v>
      </c>
      <c r="M17" s="128" t="s">
        <v>19</v>
      </c>
      <c r="N17" s="124"/>
      <c r="O17" s="125"/>
      <c r="P17" s="126"/>
      <c r="Q17" s="126"/>
      <c r="R17" s="262" t="s">
        <v>22189</v>
      </c>
      <c r="S17" s="127"/>
      <c r="T17" s="127"/>
      <c r="U17" s="111"/>
      <c r="V17" s="261"/>
      <c r="W17" s="261"/>
      <c r="X17" s="261"/>
      <c r="Y17" s="261"/>
      <c r="Z17" s="261"/>
    </row>
    <row r="18" hidden="1">
      <c r="A18" s="111" t="s">
        <v>23395</v>
      </c>
      <c r="B18" s="127" t="s">
        <v>23396</v>
      </c>
      <c r="C18" s="266" t="s">
        <v>7987</v>
      </c>
      <c r="D18" s="266" t="s">
        <v>23397</v>
      </c>
      <c r="E18" s="111" t="s">
        <v>23398</v>
      </c>
      <c r="F18" s="111">
        <v>2026.0</v>
      </c>
      <c r="G18" s="257">
        <v>2026.0</v>
      </c>
      <c r="H18" s="111"/>
      <c r="I18" s="127" t="s">
        <v>22185</v>
      </c>
      <c r="J18" s="111" t="s">
        <v>12397</v>
      </c>
      <c r="K18" s="111" t="s">
        <v>23399</v>
      </c>
      <c r="L18" s="111" t="s">
        <v>12251</v>
      </c>
      <c r="M18" s="128" t="s">
        <v>23400</v>
      </c>
      <c r="N18" s="124"/>
      <c r="O18" s="125"/>
      <c r="P18" s="126"/>
      <c r="Q18" s="126"/>
      <c r="R18" s="262" t="s">
        <v>22189</v>
      </c>
      <c r="S18" s="262" t="s">
        <v>22189</v>
      </c>
      <c r="T18" s="127"/>
      <c r="U18" s="111" t="s">
        <v>22927</v>
      </c>
      <c r="V18" s="261"/>
      <c r="W18" s="261"/>
      <c r="X18" s="261"/>
      <c r="Y18" s="261"/>
      <c r="Z18" s="261"/>
    </row>
    <row r="19" ht="30.0" customHeight="1">
      <c r="A19" s="111" t="s">
        <v>23401</v>
      </c>
      <c r="B19" s="127" t="s">
        <v>23402</v>
      </c>
      <c r="C19" s="266" t="s">
        <v>7987</v>
      </c>
      <c r="D19" s="266" t="s">
        <v>23397</v>
      </c>
      <c r="E19" s="111" t="s">
        <v>23398</v>
      </c>
      <c r="F19" s="111" t="s">
        <v>19</v>
      </c>
      <c r="G19" s="257" t="s">
        <v>19</v>
      </c>
      <c r="H19" s="111"/>
      <c r="I19" s="127" t="s">
        <v>22185</v>
      </c>
      <c r="J19" s="111" t="s">
        <v>12397</v>
      </c>
      <c r="K19" s="111" t="s">
        <v>23403</v>
      </c>
      <c r="L19" s="111" t="s">
        <v>30</v>
      </c>
      <c r="M19" s="128" t="s">
        <v>23400</v>
      </c>
      <c r="N19" s="124"/>
      <c r="O19" s="125"/>
      <c r="P19" s="126"/>
      <c r="Q19" s="126"/>
      <c r="R19" s="262" t="s">
        <v>22189</v>
      </c>
      <c r="S19" s="127"/>
      <c r="T19" s="127"/>
      <c r="U19" s="111" t="s">
        <v>22927</v>
      </c>
      <c r="V19" s="261"/>
      <c r="W19" s="261"/>
      <c r="X19" s="261"/>
      <c r="Y19" s="261"/>
      <c r="Z19" s="261"/>
    </row>
    <row r="20" hidden="1">
      <c r="A20" s="111" t="s">
        <v>23404</v>
      </c>
      <c r="B20" s="127" t="s">
        <v>23405</v>
      </c>
      <c r="C20" s="111" t="s">
        <v>7987</v>
      </c>
      <c r="D20" s="111" t="s">
        <v>23397</v>
      </c>
      <c r="E20" s="111" t="s">
        <v>23406</v>
      </c>
      <c r="F20" s="111">
        <v>2025.0</v>
      </c>
      <c r="G20" s="257">
        <v>2025.0</v>
      </c>
      <c r="H20" s="111"/>
      <c r="I20" s="127" t="s">
        <v>23180</v>
      </c>
      <c r="J20" s="111" t="s">
        <v>12397</v>
      </c>
      <c r="K20" s="111" t="s">
        <v>23399</v>
      </c>
      <c r="L20" s="111" t="s">
        <v>23407</v>
      </c>
      <c r="M20" s="128" t="s">
        <v>23408</v>
      </c>
      <c r="N20" s="124"/>
      <c r="O20" s="125"/>
      <c r="P20" s="126"/>
      <c r="Q20" s="126"/>
      <c r="R20" s="262" t="s">
        <v>22189</v>
      </c>
      <c r="S20" s="127"/>
      <c r="T20" s="127"/>
      <c r="U20" s="111" t="s">
        <v>23409</v>
      </c>
      <c r="V20" s="261"/>
      <c r="W20" s="261"/>
      <c r="X20" s="261"/>
      <c r="Y20" s="261"/>
      <c r="Z20" s="261"/>
    </row>
    <row r="21" ht="15.75" hidden="1" customHeight="1">
      <c r="A21" s="111" t="s">
        <v>23410</v>
      </c>
      <c r="B21" s="127" t="s">
        <v>23411</v>
      </c>
      <c r="C21" s="111" t="s">
        <v>7987</v>
      </c>
      <c r="D21" s="111" t="s">
        <v>23397</v>
      </c>
      <c r="E21" s="111" t="s">
        <v>23412</v>
      </c>
      <c r="F21" s="111">
        <v>2026.0</v>
      </c>
      <c r="G21" s="257">
        <v>2026.0</v>
      </c>
      <c r="H21" s="111"/>
      <c r="I21" s="127" t="s">
        <v>23180</v>
      </c>
      <c r="J21" s="111" t="s">
        <v>18630</v>
      </c>
      <c r="K21" s="111" t="s">
        <v>23399</v>
      </c>
      <c r="L21" s="111" t="s">
        <v>23407</v>
      </c>
      <c r="M21" s="128" t="s">
        <v>23413</v>
      </c>
      <c r="N21" s="124"/>
      <c r="O21" s="125"/>
      <c r="P21" s="126"/>
      <c r="Q21" s="126"/>
      <c r="R21" s="262" t="s">
        <v>22189</v>
      </c>
      <c r="S21" s="262" t="s">
        <v>22189</v>
      </c>
      <c r="T21" s="127"/>
      <c r="U21" s="111" t="s">
        <v>23414</v>
      </c>
      <c r="V21" s="261"/>
      <c r="W21" s="261"/>
      <c r="X21" s="261"/>
      <c r="Y21" s="261"/>
      <c r="Z21" s="261"/>
    </row>
    <row r="22" ht="30.0" customHeight="1">
      <c r="A22" s="111" t="s">
        <v>23415</v>
      </c>
      <c r="B22" s="127" t="s">
        <v>23416</v>
      </c>
      <c r="C22" s="111" t="s">
        <v>7983</v>
      </c>
      <c r="D22" s="111" t="s">
        <v>23397</v>
      </c>
      <c r="E22" s="111" t="s">
        <v>23417</v>
      </c>
      <c r="F22" s="111">
        <v>2021.0</v>
      </c>
      <c r="G22" s="111">
        <v>2021.0</v>
      </c>
      <c r="H22" s="111"/>
      <c r="I22" s="127" t="s">
        <v>22185</v>
      </c>
      <c r="J22" s="111" t="s">
        <v>12418</v>
      </c>
      <c r="K22" s="111" t="s">
        <v>23403</v>
      </c>
      <c r="L22" s="111" t="s">
        <v>23359</v>
      </c>
      <c r="M22" s="127" t="s">
        <v>23418</v>
      </c>
      <c r="N22" s="124"/>
      <c r="O22" s="125"/>
      <c r="P22" s="125"/>
      <c r="Q22" s="125"/>
      <c r="R22" s="262" t="s">
        <v>22189</v>
      </c>
      <c r="S22" s="127"/>
      <c r="T22" s="260"/>
      <c r="U22" s="111" t="s">
        <v>23419</v>
      </c>
      <c r="V22" s="261"/>
      <c r="W22" s="261"/>
      <c r="X22" s="261"/>
      <c r="Y22" s="261"/>
      <c r="Z22" s="261"/>
    </row>
    <row r="23" ht="30.0" customHeight="1">
      <c r="A23" s="111" t="s">
        <v>23420</v>
      </c>
      <c r="B23" s="127" t="s">
        <v>23371</v>
      </c>
      <c r="C23" s="111" t="s">
        <v>7983</v>
      </c>
      <c r="D23" s="111" t="s">
        <v>23397</v>
      </c>
      <c r="E23" s="111" t="s">
        <v>23372</v>
      </c>
      <c r="F23" s="111" t="s">
        <v>19</v>
      </c>
      <c r="G23" s="257" t="s">
        <v>19</v>
      </c>
      <c r="H23" s="111"/>
      <c r="I23" s="127" t="s">
        <v>22185</v>
      </c>
      <c r="J23" s="111" t="s">
        <v>12397</v>
      </c>
      <c r="K23" s="111" t="s">
        <v>23421</v>
      </c>
      <c r="L23" s="111" t="s">
        <v>12249</v>
      </c>
      <c r="M23" s="128" t="s">
        <v>19</v>
      </c>
      <c r="N23" s="124"/>
      <c r="O23" s="125"/>
      <c r="P23" s="126"/>
      <c r="Q23" s="126"/>
      <c r="R23" s="262" t="s">
        <v>22189</v>
      </c>
      <c r="S23" s="127"/>
      <c r="T23" s="127"/>
      <c r="U23" s="111"/>
      <c r="V23" s="261"/>
      <c r="W23" s="261"/>
      <c r="X23" s="261"/>
      <c r="Y23" s="261"/>
      <c r="Z23" s="261"/>
    </row>
    <row r="24" ht="30.0" customHeight="1">
      <c r="A24" s="111" t="s">
        <v>23422</v>
      </c>
      <c r="B24" s="127" t="s">
        <v>23423</v>
      </c>
      <c r="C24" s="111" t="s">
        <v>8016</v>
      </c>
      <c r="D24" s="111" t="s">
        <v>23333</v>
      </c>
      <c r="E24" s="111" t="s">
        <v>23424</v>
      </c>
      <c r="F24" s="111">
        <v>2027.0</v>
      </c>
      <c r="G24" s="257">
        <v>2027.0</v>
      </c>
      <c r="H24" s="257"/>
      <c r="I24" s="127" t="s">
        <v>22185</v>
      </c>
      <c r="J24" s="111" t="s">
        <v>12399</v>
      </c>
      <c r="K24" s="111" t="s">
        <v>23373</v>
      </c>
      <c r="L24" s="111" t="s">
        <v>12249</v>
      </c>
      <c r="M24" s="128" t="s">
        <v>23425</v>
      </c>
      <c r="N24" s="124"/>
      <c r="O24" s="125"/>
      <c r="P24" s="126"/>
      <c r="Q24" s="126"/>
      <c r="R24" s="262" t="s">
        <v>22189</v>
      </c>
      <c r="S24" s="127"/>
      <c r="T24" s="127"/>
      <c r="U24" s="111" t="s">
        <v>23426</v>
      </c>
      <c r="V24" s="261"/>
      <c r="W24" s="261"/>
      <c r="X24" s="261"/>
      <c r="Y24" s="261"/>
      <c r="Z24" s="261"/>
    </row>
    <row r="25" ht="30.0" customHeight="1">
      <c r="A25" s="111" t="s">
        <v>23427</v>
      </c>
      <c r="B25" s="127" t="s">
        <v>23428</v>
      </c>
      <c r="C25" s="111" t="s">
        <v>8016</v>
      </c>
      <c r="D25" s="111" t="s">
        <v>23333</v>
      </c>
      <c r="E25" s="111" t="s">
        <v>23429</v>
      </c>
      <c r="F25" s="111">
        <v>2023.0</v>
      </c>
      <c r="G25" s="257">
        <v>2023.0</v>
      </c>
      <c r="H25" s="111"/>
      <c r="I25" s="127" t="s">
        <v>22185</v>
      </c>
      <c r="J25" s="111" t="s">
        <v>12399</v>
      </c>
      <c r="K25" s="111" t="s">
        <v>23373</v>
      </c>
      <c r="L25" s="111" t="s">
        <v>12249</v>
      </c>
      <c r="M25" s="128" t="s">
        <v>23430</v>
      </c>
      <c r="N25" s="124"/>
      <c r="O25" s="125"/>
      <c r="P25" s="126"/>
      <c r="Q25" s="126"/>
      <c r="R25" s="262" t="s">
        <v>22189</v>
      </c>
      <c r="S25" s="262" t="s">
        <v>22189</v>
      </c>
      <c r="T25" s="127"/>
      <c r="U25" s="111" t="s">
        <v>23431</v>
      </c>
      <c r="V25" s="261"/>
      <c r="W25" s="261"/>
      <c r="X25" s="261"/>
      <c r="Y25" s="261"/>
      <c r="Z25" s="261"/>
    </row>
    <row r="26" ht="30.0" customHeight="1">
      <c r="A26" s="111" t="s">
        <v>23432</v>
      </c>
      <c r="B26" s="127" t="s">
        <v>23433</v>
      </c>
      <c r="C26" s="111" t="s">
        <v>7967</v>
      </c>
      <c r="D26" s="111" t="s">
        <v>23397</v>
      </c>
      <c r="E26" s="111" t="s">
        <v>23434</v>
      </c>
      <c r="F26" s="111">
        <v>2028.0</v>
      </c>
      <c r="G26" s="257">
        <v>2028.0</v>
      </c>
      <c r="H26" s="111"/>
      <c r="I26" s="127" t="s">
        <v>22185</v>
      </c>
      <c r="J26" s="111" t="s">
        <v>12399</v>
      </c>
      <c r="K26" s="111" t="s">
        <v>23403</v>
      </c>
      <c r="L26" s="111" t="s">
        <v>23359</v>
      </c>
      <c r="M26" s="128" t="s">
        <v>23435</v>
      </c>
      <c r="N26" s="124"/>
      <c r="O26" s="125"/>
      <c r="P26" s="126"/>
      <c r="Q26" s="126"/>
      <c r="R26" s="262" t="s">
        <v>22189</v>
      </c>
      <c r="S26" s="262" t="s">
        <v>22189</v>
      </c>
      <c r="T26" s="127"/>
      <c r="U26" s="111" t="s">
        <v>444</v>
      </c>
      <c r="V26" s="261"/>
      <c r="W26" s="261"/>
      <c r="X26" s="261"/>
      <c r="Y26" s="261"/>
      <c r="Z26" s="261"/>
    </row>
    <row r="27" ht="30.0" customHeight="1">
      <c r="A27" s="111" t="s">
        <v>23436</v>
      </c>
      <c r="B27" s="127" t="s">
        <v>23433</v>
      </c>
      <c r="C27" s="111" t="s">
        <v>8161</v>
      </c>
      <c r="D27" s="111" t="s">
        <v>23333</v>
      </c>
      <c r="E27" s="111" t="s">
        <v>23437</v>
      </c>
      <c r="F27" s="111">
        <v>2028.0</v>
      </c>
      <c r="G27" s="257">
        <v>2028.0</v>
      </c>
      <c r="H27" s="111"/>
      <c r="I27" s="127" t="s">
        <v>22185</v>
      </c>
      <c r="J27" s="111" t="s">
        <v>12399</v>
      </c>
      <c r="K27" s="111" t="s">
        <v>23353</v>
      </c>
      <c r="L27" s="111" t="s">
        <v>23359</v>
      </c>
      <c r="M27" s="128" t="s">
        <v>23435</v>
      </c>
      <c r="N27" s="124"/>
      <c r="O27" s="125"/>
      <c r="P27" s="126"/>
      <c r="Q27" s="126"/>
      <c r="R27" s="262" t="s">
        <v>22189</v>
      </c>
      <c r="S27" s="262" t="s">
        <v>22189</v>
      </c>
      <c r="T27" s="127"/>
      <c r="U27" s="111" t="s">
        <v>376</v>
      </c>
      <c r="V27" s="261"/>
      <c r="W27" s="261"/>
      <c r="X27" s="261"/>
      <c r="Y27" s="261"/>
      <c r="Z27" s="261"/>
    </row>
    <row r="28" ht="30.0" customHeight="1">
      <c r="A28" s="111" t="s">
        <v>23438</v>
      </c>
      <c r="B28" s="127" t="s">
        <v>23439</v>
      </c>
      <c r="C28" s="111" t="s">
        <v>7967</v>
      </c>
      <c r="D28" s="111" t="s">
        <v>23397</v>
      </c>
      <c r="E28" s="111" t="s">
        <v>23440</v>
      </c>
      <c r="F28" s="111" t="s">
        <v>19</v>
      </c>
      <c r="G28" s="257" t="s">
        <v>19</v>
      </c>
      <c r="H28" s="111"/>
      <c r="I28" s="127" t="s">
        <v>22185</v>
      </c>
      <c r="J28" s="111" t="s">
        <v>12399</v>
      </c>
      <c r="K28" s="111" t="s">
        <v>23403</v>
      </c>
      <c r="L28" s="111" t="s">
        <v>23359</v>
      </c>
      <c r="M28" s="128"/>
      <c r="N28" s="124"/>
      <c r="O28" s="125"/>
      <c r="P28" s="126"/>
      <c r="Q28" s="126"/>
      <c r="R28" s="262" t="s">
        <v>22189</v>
      </c>
      <c r="S28" s="127"/>
      <c r="T28" s="127"/>
      <c r="U28" s="111" t="s">
        <v>23441</v>
      </c>
      <c r="V28" s="261"/>
      <c r="W28" s="261"/>
      <c r="X28" s="261"/>
      <c r="Y28" s="261"/>
      <c r="Z28" s="261"/>
    </row>
    <row r="29" ht="30.0" customHeight="1">
      <c r="A29" s="111" t="s">
        <v>23442</v>
      </c>
      <c r="B29" s="127" t="s">
        <v>23439</v>
      </c>
      <c r="C29" s="111" t="s">
        <v>8388</v>
      </c>
      <c r="D29" s="111" t="s">
        <v>23333</v>
      </c>
      <c r="E29" s="111" t="s">
        <v>23440</v>
      </c>
      <c r="F29" s="111" t="s">
        <v>19</v>
      </c>
      <c r="G29" s="257" t="s">
        <v>19</v>
      </c>
      <c r="H29" s="111"/>
      <c r="I29" s="127" t="s">
        <v>22185</v>
      </c>
      <c r="J29" s="111" t="s">
        <v>12399</v>
      </c>
      <c r="K29" s="111" t="s">
        <v>23353</v>
      </c>
      <c r="L29" s="111" t="s">
        <v>23359</v>
      </c>
      <c r="M29" s="128"/>
      <c r="N29" s="124"/>
      <c r="O29" s="125"/>
      <c r="P29" s="126"/>
      <c r="Q29" s="126"/>
      <c r="R29" s="262" t="s">
        <v>22189</v>
      </c>
      <c r="S29" s="127"/>
      <c r="T29" s="127"/>
      <c r="U29" s="111" t="s">
        <v>23443</v>
      </c>
      <c r="V29" s="261"/>
      <c r="W29" s="261"/>
      <c r="X29" s="261"/>
      <c r="Y29" s="261"/>
      <c r="Z29" s="261"/>
    </row>
    <row r="30" ht="30.0" customHeight="1">
      <c r="A30" s="111"/>
      <c r="B30" s="127"/>
      <c r="C30" s="111"/>
      <c r="D30" s="111"/>
      <c r="E30" s="111"/>
      <c r="F30" s="111"/>
      <c r="G30" s="257"/>
      <c r="H30" s="111"/>
      <c r="I30" s="127"/>
      <c r="J30" s="111"/>
      <c r="K30" s="111"/>
      <c r="L30" s="111"/>
      <c r="M30" s="128"/>
      <c r="N30" s="124"/>
      <c r="O30" s="125"/>
      <c r="P30" s="126"/>
      <c r="Q30" s="126"/>
      <c r="R30" s="127"/>
      <c r="S30" s="127"/>
      <c r="T30" s="127"/>
      <c r="U30" s="111"/>
      <c r="V30" s="261"/>
      <c r="W30" s="261"/>
      <c r="X30" s="261"/>
      <c r="Y30" s="261"/>
      <c r="Z30" s="261"/>
    </row>
    <row r="31" ht="30.0" customHeight="1">
      <c r="A31" s="111"/>
      <c r="B31" s="127"/>
      <c r="C31" s="111"/>
      <c r="D31" s="111"/>
      <c r="E31" s="111"/>
      <c r="F31" s="111"/>
      <c r="G31" s="257"/>
      <c r="H31" s="111"/>
      <c r="I31" s="127"/>
      <c r="J31" s="111"/>
      <c r="K31" s="111"/>
      <c r="L31" s="111"/>
      <c r="M31" s="128"/>
      <c r="N31" s="124"/>
      <c r="O31" s="125"/>
      <c r="P31" s="126"/>
      <c r="Q31" s="126"/>
      <c r="R31" s="127"/>
      <c r="S31" s="127"/>
      <c r="T31" s="127"/>
      <c r="U31" s="111"/>
      <c r="V31" s="261"/>
      <c r="W31" s="261"/>
      <c r="X31" s="261"/>
      <c r="Y31" s="261"/>
      <c r="Z31" s="261"/>
    </row>
    <row r="32" ht="30.0" customHeight="1">
      <c r="A32" s="111"/>
      <c r="B32" s="127"/>
      <c r="C32" s="111"/>
      <c r="D32" s="111"/>
      <c r="E32" s="111"/>
      <c r="F32" s="111"/>
      <c r="G32" s="257"/>
      <c r="H32" s="111"/>
      <c r="I32" s="127"/>
      <c r="J32" s="111"/>
      <c r="K32" s="111"/>
      <c r="L32" s="111"/>
      <c r="M32" s="128"/>
      <c r="N32" s="124"/>
      <c r="O32" s="125"/>
      <c r="P32" s="126"/>
      <c r="Q32" s="126"/>
      <c r="R32" s="127"/>
      <c r="S32" s="127"/>
      <c r="T32" s="127"/>
      <c r="U32" s="111"/>
      <c r="V32" s="261"/>
      <c r="W32" s="261"/>
      <c r="X32" s="261"/>
      <c r="Y32" s="261"/>
      <c r="Z32" s="261"/>
    </row>
    <row r="33" ht="30.0" customHeight="1">
      <c r="A33" s="111"/>
      <c r="B33" s="127"/>
      <c r="C33" s="111"/>
      <c r="D33" s="111"/>
      <c r="E33" s="111"/>
      <c r="F33" s="111"/>
      <c r="G33" s="257"/>
      <c r="H33" s="111"/>
      <c r="I33" s="127"/>
      <c r="J33" s="111"/>
      <c r="K33" s="111"/>
      <c r="L33" s="111"/>
      <c r="M33" s="128"/>
      <c r="N33" s="124"/>
      <c r="O33" s="125"/>
      <c r="P33" s="126"/>
      <c r="Q33" s="126"/>
      <c r="R33" s="127"/>
      <c r="S33" s="127"/>
      <c r="T33" s="127"/>
      <c r="U33" s="111"/>
      <c r="V33" s="261"/>
      <c r="W33" s="261"/>
      <c r="X33" s="261"/>
      <c r="Y33" s="261"/>
      <c r="Z33" s="261"/>
    </row>
    <row r="34" ht="30.0" customHeight="1">
      <c r="A34" s="111"/>
      <c r="B34" s="127"/>
      <c r="C34" s="111"/>
      <c r="D34" s="111"/>
      <c r="E34" s="111"/>
      <c r="F34" s="111"/>
      <c r="G34" s="257"/>
      <c r="H34" s="111"/>
      <c r="I34" s="127"/>
      <c r="J34" s="111"/>
      <c r="K34" s="111"/>
      <c r="L34" s="111"/>
      <c r="M34" s="128"/>
      <c r="N34" s="124"/>
      <c r="O34" s="125"/>
      <c r="P34" s="126"/>
      <c r="Q34" s="126"/>
      <c r="R34" s="127"/>
      <c r="S34" s="127"/>
      <c r="T34" s="127"/>
      <c r="U34" s="111"/>
      <c r="V34" s="261"/>
      <c r="W34" s="261"/>
      <c r="X34" s="261"/>
      <c r="Y34" s="261"/>
      <c r="Z34" s="261"/>
    </row>
    <row r="35" ht="30.0" customHeight="1">
      <c r="A35" s="111"/>
      <c r="B35" s="127"/>
      <c r="C35" s="111"/>
      <c r="D35" s="111"/>
      <c r="E35" s="111"/>
      <c r="F35" s="111"/>
      <c r="G35" s="257"/>
      <c r="H35" s="111"/>
      <c r="I35" s="127"/>
      <c r="J35" s="111"/>
      <c r="K35" s="111"/>
      <c r="L35" s="111"/>
      <c r="M35" s="128"/>
      <c r="N35" s="124"/>
      <c r="O35" s="125"/>
      <c r="P35" s="126"/>
      <c r="Q35" s="126"/>
      <c r="R35" s="127"/>
      <c r="S35" s="127"/>
      <c r="T35" s="127"/>
      <c r="U35" s="111"/>
      <c r="V35" s="261"/>
      <c r="W35" s="261"/>
      <c r="X35" s="261"/>
      <c r="Y35" s="261"/>
      <c r="Z35" s="261"/>
    </row>
    <row r="36" ht="30.0" customHeight="1">
      <c r="A36" s="111"/>
      <c r="B36" s="127"/>
      <c r="C36" s="111"/>
      <c r="D36" s="111"/>
      <c r="E36" s="111"/>
      <c r="F36" s="111"/>
      <c r="G36" s="257"/>
      <c r="H36" s="111"/>
      <c r="I36" s="127"/>
      <c r="J36" s="111"/>
      <c r="K36" s="111"/>
      <c r="L36" s="111"/>
      <c r="M36" s="128"/>
      <c r="N36" s="124"/>
      <c r="O36" s="125"/>
      <c r="P36" s="126"/>
      <c r="Q36" s="126"/>
      <c r="R36" s="127"/>
      <c r="S36" s="127"/>
      <c r="T36" s="127"/>
      <c r="U36" s="111"/>
      <c r="V36" s="261"/>
      <c r="W36" s="261"/>
      <c r="X36" s="261"/>
      <c r="Y36" s="261"/>
      <c r="Z36" s="261"/>
    </row>
    <row r="37" ht="30.0" customHeight="1">
      <c r="A37" s="111"/>
      <c r="B37" s="127"/>
      <c r="C37" s="111"/>
      <c r="D37" s="111"/>
      <c r="E37" s="111"/>
      <c r="F37" s="111"/>
      <c r="G37" s="257"/>
      <c r="H37" s="111"/>
      <c r="I37" s="127"/>
      <c r="J37" s="111"/>
      <c r="K37" s="111"/>
      <c r="L37" s="111"/>
      <c r="M37" s="128"/>
      <c r="N37" s="124"/>
      <c r="O37" s="125"/>
      <c r="P37" s="126"/>
      <c r="Q37" s="126"/>
      <c r="R37" s="127"/>
      <c r="S37" s="127"/>
      <c r="T37" s="127"/>
      <c r="U37" s="111"/>
      <c r="V37" s="261"/>
      <c r="W37" s="261"/>
      <c r="X37" s="261"/>
      <c r="Y37" s="261"/>
      <c r="Z37" s="261"/>
    </row>
    <row r="38" ht="30.0" customHeight="1">
      <c r="A38" s="111"/>
      <c r="B38" s="127"/>
      <c r="C38" s="111"/>
      <c r="D38" s="111"/>
      <c r="E38" s="111"/>
      <c r="F38" s="111"/>
      <c r="G38" s="257"/>
      <c r="H38" s="111"/>
      <c r="I38" s="127"/>
      <c r="J38" s="111"/>
      <c r="K38" s="111"/>
      <c r="L38" s="111"/>
      <c r="M38" s="128"/>
      <c r="N38" s="124"/>
      <c r="O38" s="125"/>
      <c r="P38" s="126"/>
      <c r="Q38" s="126"/>
      <c r="R38" s="127"/>
      <c r="S38" s="127"/>
      <c r="T38" s="127"/>
      <c r="U38" s="111"/>
      <c r="V38" s="261"/>
      <c r="W38" s="261"/>
      <c r="X38" s="261"/>
      <c r="Y38" s="261"/>
      <c r="Z38" s="261"/>
    </row>
    <row r="39" ht="30.0" customHeight="1">
      <c r="A39" s="111"/>
      <c r="B39" s="127"/>
      <c r="C39" s="111"/>
      <c r="D39" s="111"/>
      <c r="E39" s="111"/>
      <c r="F39" s="111"/>
      <c r="G39" s="257"/>
      <c r="H39" s="111"/>
      <c r="I39" s="127"/>
      <c r="J39" s="111"/>
      <c r="K39" s="111"/>
      <c r="L39" s="111"/>
      <c r="M39" s="128"/>
      <c r="N39" s="124"/>
      <c r="O39" s="125"/>
      <c r="P39" s="126"/>
      <c r="Q39" s="126"/>
      <c r="R39" s="127"/>
      <c r="S39" s="127"/>
      <c r="T39" s="127"/>
      <c r="U39" s="111"/>
      <c r="V39" s="261"/>
      <c r="W39" s="261"/>
      <c r="X39" s="261"/>
      <c r="Y39" s="261"/>
      <c r="Z39" s="261"/>
    </row>
    <row r="40" ht="30.0" customHeight="1">
      <c r="A40" s="111"/>
      <c r="B40" s="127"/>
      <c r="C40" s="111"/>
      <c r="D40" s="111"/>
      <c r="E40" s="111"/>
      <c r="F40" s="111"/>
      <c r="G40" s="257"/>
      <c r="H40" s="111"/>
      <c r="I40" s="127"/>
      <c r="J40" s="111"/>
      <c r="K40" s="111"/>
      <c r="L40" s="111"/>
      <c r="M40" s="128"/>
      <c r="N40" s="124"/>
      <c r="O40" s="125"/>
      <c r="P40" s="126"/>
      <c r="Q40" s="126"/>
      <c r="R40" s="127"/>
      <c r="S40" s="127"/>
      <c r="T40" s="127"/>
      <c r="U40" s="111"/>
      <c r="V40" s="261"/>
      <c r="W40" s="261"/>
      <c r="X40" s="261"/>
      <c r="Y40" s="261"/>
      <c r="Z40" s="261"/>
    </row>
    <row r="41" ht="30.0" customHeight="1">
      <c r="A41" s="111"/>
      <c r="B41" s="127"/>
      <c r="C41" s="111"/>
      <c r="D41" s="111"/>
      <c r="E41" s="111"/>
      <c r="F41" s="111"/>
      <c r="G41" s="257"/>
      <c r="H41" s="111"/>
      <c r="I41" s="127"/>
      <c r="J41" s="111"/>
      <c r="K41" s="111"/>
      <c r="L41" s="111"/>
      <c r="M41" s="128"/>
      <c r="N41" s="124"/>
      <c r="O41" s="125"/>
      <c r="P41" s="126"/>
      <c r="Q41" s="126"/>
      <c r="R41" s="127"/>
      <c r="S41" s="127"/>
      <c r="T41" s="127"/>
      <c r="U41" s="111"/>
      <c r="V41" s="261"/>
      <c r="W41" s="261"/>
      <c r="X41" s="261"/>
      <c r="Y41" s="261"/>
      <c r="Z41" s="261"/>
    </row>
    <row r="42" ht="30.0" customHeight="1">
      <c r="A42" s="111"/>
      <c r="B42" s="127"/>
      <c r="C42" s="111"/>
      <c r="D42" s="111"/>
      <c r="E42" s="111"/>
      <c r="F42" s="111"/>
      <c r="G42" s="257"/>
      <c r="H42" s="111"/>
      <c r="I42" s="127"/>
      <c r="J42" s="111"/>
      <c r="K42" s="111"/>
      <c r="L42" s="111"/>
      <c r="M42" s="128"/>
      <c r="N42" s="124"/>
      <c r="O42" s="125"/>
      <c r="P42" s="126"/>
      <c r="Q42" s="126"/>
      <c r="R42" s="127"/>
      <c r="S42" s="127"/>
      <c r="T42" s="127"/>
      <c r="U42" s="111"/>
      <c r="V42" s="261"/>
      <c r="W42" s="261"/>
      <c r="X42" s="261"/>
      <c r="Y42" s="261"/>
      <c r="Z42" s="261"/>
    </row>
    <row r="43" ht="30.0" customHeight="1">
      <c r="A43" s="111"/>
      <c r="B43" s="127"/>
      <c r="C43" s="111"/>
      <c r="D43" s="111"/>
      <c r="E43" s="111"/>
      <c r="F43" s="111"/>
      <c r="G43" s="257"/>
      <c r="H43" s="111"/>
      <c r="I43" s="127"/>
      <c r="J43" s="111"/>
      <c r="K43" s="111"/>
      <c r="L43" s="111"/>
      <c r="M43" s="128"/>
      <c r="N43" s="124"/>
      <c r="O43" s="125"/>
      <c r="P43" s="126"/>
      <c r="Q43" s="126"/>
      <c r="R43" s="127"/>
      <c r="S43" s="127"/>
      <c r="T43" s="127"/>
      <c r="U43" s="111"/>
      <c r="V43" s="261"/>
      <c r="W43" s="261"/>
      <c r="X43" s="261"/>
      <c r="Y43" s="261"/>
      <c r="Z43" s="261"/>
    </row>
    <row r="44" ht="30.0" customHeight="1">
      <c r="A44" s="111"/>
      <c r="B44" s="127"/>
      <c r="C44" s="111"/>
      <c r="D44" s="111"/>
      <c r="E44" s="111"/>
      <c r="F44" s="111"/>
      <c r="G44" s="257"/>
      <c r="H44" s="111"/>
      <c r="I44" s="127"/>
      <c r="J44" s="111"/>
      <c r="K44" s="111"/>
      <c r="L44" s="111"/>
      <c r="M44" s="128"/>
      <c r="N44" s="124"/>
      <c r="O44" s="125"/>
      <c r="P44" s="126"/>
      <c r="Q44" s="126"/>
      <c r="R44" s="127"/>
      <c r="S44" s="127"/>
      <c r="T44" s="127"/>
      <c r="U44" s="111"/>
      <c r="V44" s="261"/>
      <c r="W44" s="261"/>
      <c r="X44" s="261"/>
      <c r="Y44" s="261"/>
      <c r="Z44" s="261"/>
    </row>
    <row r="45" ht="30.0" customHeight="1">
      <c r="A45" s="111"/>
      <c r="B45" s="127"/>
      <c r="C45" s="111"/>
      <c r="D45" s="111"/>
      <c r="E45" s="111"/>
      <c r="F45" s="111"/>
      <c r="G45" s="257"/>
      <c r="H45" s="111"/>
      <c r="I45" s="127"/>
      <c r="J45" s="111"/>
      <c r="K45" s="111"/>
      <c r="L45" s="111"/>
      <c r="M45" s="128"/>
      <c r="N45" s="124"/>
      <c r="O45" s="125"/>
      <c r="P45" s="126"/>
      <c r="Q45" s="126"/>
      <c r="R45" s="127"/>
      <c r="S45" s="127"/>
      <c r="T45" s="127"/>
      <c r="U45" s="111"/>
      <c r="V45" s="261"/>
      <c r="W45" s="261"/>
      <c r="X45" s="261"/>
      <c r="Y45" s="261"/>
      <c r="Z45" s="261"/>
    </row>
    <row r="46" ht="30.0" customHeight="1">
      <c r="A46" s="111"/>
      <c r="B46" s="127"/>
      <c r="C46" s="111"/>
      <c r="D46" s="111"/>
      <c r="E46" s="111"/>
      <c r="F46" s="111"/>
      <c r="G46" s="257"/>
      <c r="H46" s="111"/>
      <c r="I46" s="127"/>
      <c r="J46" s="111"/>
      <c r="K46" s="111"/>
      <c r="L46" s="111"/>
      <c r="M46" s="128"/>
      <c r="N46" s="124"/>
      <c r="O46" s="125"/>
      <c r="P46" s="126"/>
      <c r="Q46" s="126"/>
      <c r="R46" s="127"/>
      <c r="S46" s="127"/>
      <c r="T46" s="127"/>
      <c r="U46" s="111"/>
      <c r="V46" s="261"/>
      <c r="W46" s="261"/>
      <c r="X46" s="261"/>
      <c r="Y46" s="261"/>
      <c r="Z46" s="261"/>
    </row>
    <row r="47" ht="30.0" customHeight="1">
      <c r="A47" s="111"/>
      <c r="B47" s="127"/>
      <c r="C47" s="111"/>
      <c r="D47" s="111"/>
      <c r="E47" s="111"/>
      <c r="F47" s="111"/>
      <c r="G47" s="257"/>
      <c r="H47" s="111"/>
      <c r="I47" s="127"/>
      <c r="J47" s="111"/>
      <c r="K47" s="111"/>
      <c r="L47" s="111"/>
      <c r="M47" s="128"/>
      <c r="N47" s="124"/>
      <c r="O47" s="125"/>
      <c r="P47" s="126"/>
      <c r="Q47" s="126"/>
      <c r="R47" s="127"/>
      <c r="S47" s="127"/>
      <c r="T47" s="127"/>
      <c r="U47" s="111"/>
      <c r="V47" s="261"/>
      <c r="W47" s="261"/>
      <c r="X47" s="261"/>
      <c r="Y47" s="261"/>
      <c r="Z47" s="261"/>
    </row>
    <row r="48" ht="30.0" customHeight="1">
      <c r="A48" s="111"/>
      <c r="B48" s="127"/>
      <c r="C48" s="111"/>
      <c r="D48" s="111"/>
      <c r="E48" s="111"/>
      <c r="F48" s="111"/>
      <c r="G48" s="257"/>
      <c r="H48" s="111"/>
      <c r="I48" s="127"/>
      <c r="J48" s="111"/>
      <c r="K48" s="111"/>
      <c r="L48" s="111"/>
      <c r="M48" s="128"/>
      <c r="N48" s="124"/>
      <c r="O48" s="125"/>
      <c r="P48" s="126"/>
      <c r="Q48" s="126"/>
      <c r="R48" s="127"/>
      <c r="S48" s="127"/>
      <c r="T48" s="127"/>
      <c r="U48" s="111"/>
      <c r="V48" s="261"/>
      <c r="W48" s="261"/>
      <c r="X48" s="261"/>
      <c r="Y48" s="261"/>
      <c r="Z48" s="261"/>
    </row>
    <row r="49" ht="30.0" customHeight="1">
      <c r="A49" s="111"/>
      <c r="B49" s="127"/>
      <c r="C49" s="111"/>
      <c r="D49" s="111"/>
      <c r="E49" s="111"/>
      <c r="F49" s="111"/>
      <c r="G49" s="257"/>
      <c r="H49" s="111"/>
      <c r="I49" s="127"/>
      <c r="J49" s="111"/>
      <c r="K49" s="111"/>
      <c r="L49" s="111"/>
      <c r="M49" s="128"/>
      <c r="N49" s="124"/>
      <c r="O49" s="125"/>
      <c r="P49" s="126"/>
      <c r="Q49" s="126"/>
      <c r="R49" s="127"/>
      <c r="S49" s="127"/>
      <c r="T49" s="127"/>
      <c r="U49" s="111"/>
      <c r="V49" s="261"/>
      <c r="W49" s="261"/>
      <c r="X49" s="261"/>
      <c r="Y49" s="261"/>
      <c r="Z49" s="261"/>
    </row>
    <row r="50" ht="30.0" customHeight="1">
      <c r="A50" s="111"/>
      <c r="B50" s="127"/>
      <c r="C50" s="111"/>
      <c r="D50" s="111"/>
      <c r="E50" s="111"/>
      <c r="F50" s="111"/>
      <c r="G50" s="257"/>
      <c r="H50" s="111"/>
      <c r="I50" s="127"/>
      <c r="J50" s="111"/>
      <c r="K50" s="111"/>
      <c r="L50" s="111"/>
      <c r="M50" s="128"/>
      <c r="N50" s="124"/>
      <c r="O50" s="125"/>
      <c r="P50" s="126"/>
      <c r="Q50" s="126"/>
      <c r="R50" s="127"/>
      <c r="S50" s="127"/>
      <c r="T50" s="127"/>
      <c r="U50" s="111"/>
      <c r="V50" s="261"/>
      <c r="W50" s="261"/>
      <c r="X50" s="261"/>
      <c r="Y50" s="261"/>
      <c r="Z50" s="261"/>
    </row>
    <row r="51" ht="30.0" customHeight="1">
      <c r="A51" s="111"/>
      <c r="B51" s="127"/>
      <c r="C51" s="111"/>
      <c r="D51" s="111"/>
      <c r="E51" s="111"/>
      <c r="F51" s="111"/>
      <c r="G51" s="257"/>
      <c r="H51" s="111"/>
      <c r="I51" s="127"/>
      <c r="J51" s="111"/>
      <c r="K51" s="111"/>
      <c r="L51" s="111"/>
      <c r="M51" s="128"/>
      <c r="N51" s="124"/>
      <c r="O51" s="125"/>
      <c r="P51" s="126"/>
      <c r="Q51" s="126"/>
      <c r="R51" s="127"/>
      <c r="S51" s="127"/>
      <c r="T51" s="127"/>
      <c r="U51" s="111"/>
      <c r="V51" s="261"/>
      <c r="W51" s="261"/>
      <c r="X51" s="261"/>
      <c r="Y51" s="261"/>
      <c r="Z51" s="261"/>
    </row>
    <row r="52" ht="30.0" customHeight="1">
      <c r="A52" s="111"/>
      <c r="B52" s="127"/>
      <c r="C52" s="111"/>
      <c r="D52" s="111"/>
      <c r="E52" s="111"/>
      <c r="F52" s="111"/>
      <c r="G52" s="257"/>
      <c r="H52" s="111"/>
      <c r="I52" s="127"/>
      <c r="J52" s="111"/>
      <c r="K52" s="111"/>
      <c r="L52" s="111"/>
      <c r="M52" s="128"/>
      <c r="N52" s="124"/>
      <c r="O52" s="125"/>
      <c r="P52" s="126"/>
      <c r="Q52" s="126"/>
      <c r="R52" s="127"/>
      <c r="S52" s="127"/>
      <c r="T52" s="127"/>
      <c r="U52" s="111"/>
      <c r="V52" s="261"/>
      <c r="W52" s="261"/>
      <c r="X52" s="261"/>
      <c r="Y52" s="261"/>
      <c r="Z52" s="261"/>
    </row>
    <row r="53" ht="30.0" customHeight="1">
      <c r="A53" s="111"/>
      <c r="B53" s="127"/>
      <c r="C53" s="111"/>
      <c r="D53" s="111"/>
      <c r="E53" s="111"/>
      <c r="F53" s="111"/>
      <c r="G53" s="257"/>
      <c r="H53" s="111"/>
      <c r="I53" s="127"/>
      <c r="J53" s="111"/>
      <c r="K53" s="111"/>
      <c r="L53" s="111"/>
      <c r="M53" s="128"/>
      <c r="N53" s="124"/>
      <c r="O53" s="125"/>
      <c r="P53" s="126"/>
      <c r="Q53" s="126"/>
      <c r="R53" s="127"/>
      <c r="S53" s="127"/>
      <c r="T53" s="127"/>
      <c r="U53" s="111"/>
      <c r="V53" s="261"/>
      <c r="W53" s="261"/>
      <c r="X53" s="261"/>
      <c r="Y53" s="261"/>
      <c r="Z53" s="261"/>
    </row>
    <row r="54" ht="30.0" customHeight="1">
      <c r="A54" s="111"/>
      <c r="B54" s="127"/>
      <c r="C54" s="111"/>
      <c r="D54" s="111"/>
      <c r="E54" s="111"/>
      <c r="F54" s="111"/>
      <c r="G54" s="257"/>
      <c r="H54" s="111"/>
      <c r="I54" s="127"/>
      <c r="J54" s="111"/>
      <c r="K54" s="111"/>
      <c r="L54" s="111"/>
      <c r="M54" s="128"/>
      <c r="N54" s="124"/>
      <c r="O54" s="125"/>
      <c r="P54" s="126"/>
      <c r="Q54" s="126"/>
      <c r="R54" s="127"/>
      <c r="S54" s="127"/>
      <c r="T54" s="127"/>
      <c r="U54" s="111"/>
      <c r="V54" s="261"/>
      <c r="W54" s="261"/>
      <c r="X54" s="261"/>
      <c r="Y54" s="261"/>
      <c r="Z54" s="261"/>
    </row>
    <row r="55" ht="30.0" customHeight="1">
      <c r="A55" s="111"/>
      <c r="B55" s="127"/>
      <c r="C55" s="111"/>
      <c r="D55" s="111"/>
      <c r="E55" s="111"/>
      <c r="F55" s="111"/>
      <c r="G55" s="257"/>
      <c r="H55" s="111"/>
      <c r="I55" s="127"/>
      <c r="J55" s="111"/>
      <c r="K55" s="111"/>
      <c r="L55" s="111"/>
      <c r="M55" s="128"/>
      <c r="N55" s="124"/>
      <c r="O55" s="125"/>
      <c r="P55" s="126"/>
      <c r="Q55" s="126"/>
      <c r="R55" s="127"/>
      <c r="S55" s="127"/>
      <c r="T55" s="127"/>
      <c r="U55" s="111"/>
      <c r="V55" s="261"/>
      <c r="W55" s="261"/>
      <c r="X55" s="261"/>
      <c r="Y55" s="261"/>
      <c r="Z55" s="261"/>
    </row>
    <row r="56" ht="30.0" customHeight="1">
      <c r="A56" s="111"/>
      <c r="B56" s="127"/>
      <c r="C56" s="111"/>
      <c r="D56" s="111"/>
      <c r="E56" s="111"/>
      <c r="F56" s="111"/>
      <c r="G56" s="257"/>
      <c r="H56" s="111"/>
      <c r="I56" s="127"/>
      <c r="J56" s="111"/>
      <c r="K56" s="111"/>
      <c r="L56" s="111"/>
      <c r="M56" s="128"/>
      <c r="N56" s="124"/>
      <c r="O56" s="125"/>
      <c r="P56" s="126"/>
      <c r="Q56" s="126"/>
      <c r="R56" s="127"/>
      <c r="S56" s="127"/>
      <c r="T56" s="127"/>
      <c r="U56" s="111"/>
      <c r="V56" s="261"/>
      <c r="W56" s="261"/>
      <c r="X56" s="261"/>
      <c r="Y56" s="261"/>
      <c r="Z56" s="261"/>
    </row>
    <row r="57" ht="30.0" customHeight="1">
      <c r="A57" s="111"/>
      <c r="B57" s="127"/>
      <c r="C57" s="111"/>
      <c r="D57" s="111"/>
      <c r="E57" s="111"/>
      <c r="F57" s="111"/>
      <c r="G57" s="257"/>
      <c r="H57" s="111"/>
      <c r="I57" s="127"/>
      <c r="J57" s="111"/>
      <c r="K57" s="111"/>
      <c r="L57" s="111"/>
      <c r="M57" s="128"/>
      <c r="N57" s="124"/>
      <c r="O57" s="125"/>
      <c r="P57" s="126"/>
      <c r="Q57" s="126"/>
      <c r="R57" s="127"/>
      <c r="S57" s="127"/>
      <c r="T57" s="127"/>
      <c r="U57" s="111"/>
      <c r="V57" s="261"/>
      <c r="W57" s="261"/>
      <c r="X57" s="261"/>
      <c r="Y57" s="261"/>
      <c r="Z57" s="261"/>
    </row>
    <row r="58" ht="30.0" customHeight="1">
      <c r="A58" s="111"/>
      <c r="B58" s="127"/>
      <c r="C58" s="111"/>
      <c r="D58" s="111"/>
      <c r="E58" s="111"/>
      <c r="F58" s="111"/>
      <c r="G58" s="257"/>
      <c r="H58" s="111"/>
      <c r="I58" s="127"/>
      <c r="J58" s="111"/>
      <c r="K58" s="111"/>
      <c r="L58" s="111"/>
      <c r="M58" s="128"/>
      <c r="N58" s="124"/>
      <c r="O58" s="125"/>
      <c r="P58" s="126"/>
      <c r="Q58" s="126"/>
      <c r="R58" s="127"/>
      <c r="S58" s="127"/>
      <c r="T58" s="127"/>
      <c r="U58" s="111"/>
      <c r="V58" s="261"/>
      <c r="W58" s="261"/>
      <c r="X58" s="261"/>
      <c r="Y58" s="261"/>
      <c r="Z58" s="261"/>
    </row>
    <row r="59" ht="30.0" customHeight="1">
      <c r="A59" s="111"/>
      <c r="B59" s="127"/>
      <c r="C59" s="111"/>
      <c r="D59" s="111"/>
      <c r="E59" s="111"/>
      <c r="F59" s="111"/>
      <c r="G59" s="257"/>
      <c r="H59" s="111"/>
      <c r="I59" s="127"/>
      <c r="J59" s="111"/>
      <c r="K59" s="111"/>
      <c r="L59" s="111"/>
      <c r="M59" s="128"/>
      <c r="N59" s="124"/>
      <c r="O59" s="125"/>
      <c r="P59" s="126"/>
      <c r="Q59" s="126"/>
      <c r="R59" s="127"/>
      <c r="S59" s="127"/>
      <c r="T59" s="127"/>
      <c r="U59" s="111"/>
      <c r="V59" s="261"/>
      <c r="W59" s="261"/>
      <c r="X59" s="261"/>
      <c r="Y59" s="261"/>
      <c r="Z59" s="261"/>
    </row>
    <row r="60" ht="30.0" customHeight="1">
      <c r="A60" s="111"/>
      <c r="B60" s="127"/>
      <c r="C60" s="111"/>
      <c r="D60" s="111"/>
      <c r="E60" s="111"/>
      <c r="F60" s="111"/>
      <c r="G60" s="257"/>
      <c r="H60" s="111"/>
      <c r="I60" s="127"/>
      <c r="J60" s="111"/>
      <c r="K60" s="111"/>
      <c r="L60" s="111"/>
      <c r="M60" s="128"/>
      <c r="N60" s="124"/>
      <c r="O60" s="125"/>
      <c r="P60" s="126"/>
      <c r="Q60" s="126"/>
      <c r="R60" s="127"/>
      <c r="S60" s="127"/>
      <c r="T60" s="127"/>
      <c r="U60" s="111"/>
      <c r="V60" s="261"/>
      <c r="W60" s="261"/>
      <c r="X60" s="261"/>
      <c r="Y60" s="261"/>
      <c r="Z60" s="261"/>
    </row>
    <row r="61" ht="30.0" customHeight="1">
      <c r="A61" s="111"/>
      <c r="B61" s="127"/>
      <c r="C61" s="111"/>
      <c r="D61" s="111"/>
      <c r="E61" s="111"/>
      <c r="F61" s="111"/>
      <c r="G61" s="257"/>
      <c r="H61" s="111"/>
      <c r="I61" s="127"/>
      <c r="J61" s="111"/>
      <c r="K61" s="111"/>
      <c r="L61" s="111"/>
      <c r="M61" s="128"/>
      <c r="N61" s="124"/>
      <c r="O61" s="125"/>
      <c r="P61" s="126"/>
      <c r="Q61" s="126"/>
      <c r="R61" s="127"/>
      <c r="S61" s="127"/>
      <c r="T61" s="127"/>
      <c r="U61" s="111"/>
      <c r="V61" s="261"/>
      <c r="W61" s="261"/>
      <c r="X61" s="261"/>
      <c r="Y61" s="261"/>
      <c r="Z61" s="261"/>
    </row>
    <row r="62" ht="30.0" customHeight="1">
      <c r="A62" s="111"/>
      <c r="B62" s="127"/>
      <c r="C62" s="111"/>
      <c r="D62" s="111"/>
      <c r="E62" s="111"/>
      <c r="F62" s="111"/>
      <c r="G62" s="257"/>
      <c r="H62" s="111"/>
      <c r="I62" s="127"/>
      <c r="J62" s="111"/>
      <c r="K62" s="111"/>
      <c r="L62" s="111"/>
      <c r="M62" s="128"/>
      <c r="N62" s="124"/>
      <c r="O62" s="125"/>
      <c r="P62" s="126"/>
      <c r="Q62" s="126"/>
      <c r="R62" s="127"/>
      <c r="S62" s="127"/>
      <c r="T62" s="127"/>
      <c r="U62" s="111"/>
      <c r="V62" s="261"/>
      <c r="W62" s="261"/>
      <c r="X62" s="261"/>
      <c r="Y62" s="261"/>
      <c r="Z62" s="261"/>
    </row>
    <row r="63" ht="30.0" customHeight="1">
      <c r="A63" s="111"/>
      <c r="B63" s="127"/>
      <c r="C63" s="111"/>
      <c r="D63" s="111"/>
      <c r="E63" s="111"/>
      <c r="F63" s="111"/>
      <c r="G63" s="257"/>
      <c r="H63" s="111"/>
      <c r="I63" s="127"/>
      <c r="J63" s="111"/>
      <c r="K63" s="111"/>
      <c r="L63" s="111"/>
      <c r="M63" s="128"/>
      <c r="N63" s="124"/>
      <c r="O63" s="125"/>
      <c r="P63" s="126"/>
      <c r="Q63" s="126"/>
      <c r="R63" s="127"/>
      <c r="S63" s="127"/>
      <c r="T63" s="127"/>
      <c r="U63" s="111"/>
      <c r="V63" s="261"/>
      <c r="W63" s="261"/>
      <c r="X63" s="261"/>
      <c r="Y63" s="261"/>
      <c r="Z63" s="261"/>
    </row>
    <row r="64" ht="30.0" customHeight="1">
      <c r="A64" s="111"/>
      <c r="B64" s="127"/>
      <c r="C64" s="111"/>
      <c r="D64" s="111"/>
      <c r="E64" s="111"/>
      <c r="F64" s="111"/>
      <c r="G64" s="257"/>
      <c r="H64" s="111"/>
      <c r="I64" s="127"/>
      <c r="J64" s="111"/>
      <c r="K64" s="111"/>
      <c r="L64" s="111"/>
      <c r="M64" s="128"/>
      <c r="N64" s="124"/>
      <c r="O64" s="125"/>
      <c r="P64" s="126"/>
      <c r="Q64" s="126"/>
      <c r="R64" s="127"/>
      <c r="S64" s="127"/>
      <c r="T64" s="127"/>
      <c r="U64" s="111"/>
      <c r="V64" s="261"/>
      <c r="W64" s="261"/>
      <c r="X64" s="261"/>
      <c r="Y64" s="261"/>
      <c r="Z64" s="261"/>
    </row>
    <row r="65" ht="30.0" customHeight="1">
      <c r="A65" s="111"/>
      <c r="B65" s="127"/>
      <c r="C65" s="111"/>
      <c r="D65" s="111"/>
      <c r="E65" s="111"/>
      <c r="F65" s="111"/>
      <c r="G65" s="257"/>
      <c r="H65" s="111"/>
      <c r="I65" s="127"/>
      <c r="J65" s="111"/>
      <c r="K65" s="111"/>
      <c r="L65" s="111"/>
      <c r="M65" s="128"/>
      <c r="N65" s="124"/>
      <c r="O65" s="125"/>
      <c r="P65" s="126"/>
      <c r="Q65" s="126"/>
      <c r="R65" s="127"/>
      <c r="S65" s="127"/>
      <c r="T65" s="127"/>
      <c r="U65" s="111"/>
      <c r="V65" s="261"/>
      <c r="W65" s="261"/>
      <c r="X65" s="261"/>
      <c r="Y65" s="261"/>
      <c r="Z65" s="261"/>
    </row>
    <row r="66" ht="30.0" customHeight="1">
      <c r="A66" s="111"/>
      <c r="B66" s="127"/>
      <c r="C66" s="111"/>
      <c r="D66" s="111"/>
      <c r="E66" s="111"/>
      <c r="F66" s="111"/>
      <c r="G66" s="257"/>
      <c r="H66" s="111"/>
      <c r="I66" s="127"/>
      <c r="J66" s="111"/>
      <c r="K66" s="111"/>
      <c r="L66" s="111"/>
      <c r="M66" s="128"/>
      <c r="N66" s="124"/>
      <c r="O66" s="125"/>
      <c r="P66" s="126"/>
      <c r="Q66" s="126"/>
      <c r="R66" s="127"/>
      <c r="S66" s="127"/>
      <c r="T66" s="127"/>
      <c r="U66" s="111"/>
      <c r="V66" s="261"/>
      <c r="W66" s="261"/>
      <c r="X66" s="261"/>
      <c r="Y66" s="261"/>
      <c r="Z66" s="261"/>
    </row>
    <row r="67" ht="30.0" customHeight="1">
      <c r="A67" s="111"/>
      <c r="B67" s="127"/>
      <c r="C67" s="111"/>
      <c r="D67" s="111"/>
      <c r="E67" s="111"/>
      <c r="F67" s="111"/>
      <c r="G67" s="257"/>
      <c r="H67" s="111"/>
      <c r="I67" s="127"/>
      <c r="J67" s="111"/>
      <c r="K67" s="111"/>
      <c r="L67" s="111"/>
      <c r="M67" s="128"/>
      <c r="N67" s="124"/>
      <c r="O67" s="125"/>
      <c r="P67" s="126"/>
      <c r="Q67" s="126"/>
      <c r="R67" s="127"/>
      <c r="S67" s="127"/>
      <c r="T67" s="127"/>
      <c r="U67" s="111"/>
      <c r="V67" s="261"/>
      <c r="W67" s="261"/>
      <c r="X67" s="261"/>
      <c r="Y67" s="261"/>
      <c r="Z67" s="261"/>
    </row>
    <row r="68" ht="30.0" customHeight="1">
      <c r="A68" s="111"/>
      <c r="B68" s="127"/>
      <c r="C68" s="111"/>
      <c r="D68" s="111"/>
      <c r="E68" s="111"/>
      <c r="F68" s="111"/>
      <c r="G68" s="257"/>
      <c r="H68" s="111"/>
      <c r="I68" s="127"/>
      <c r="J68" s="111"/>
      <c r="K68" s="111"/>
      <c r="L68" s="111"/>
      <c r="M68" s="128"/>
      <c r="N68" s="124"/>
      <c r="O68" s="125"/>
      <c r="P68" s="126"/>
      <c r="Q68" s="126"/>
      <c r="R68" s="127"/>
      <c r="S68" s="127"/>
      <c r="T68" s="127"/>
      <c r="U68" s="111"/>
      <c r="V68" s="261"/>
      <c r="W68" s="261"/>
      <c r="X68" s="261"/>
      <c r="Y68" s="261"/>
      <c r="Z68" s="261"/>
    </row>
    <row r="69" ht="30.0" customHeight="1">
      <c r="A69" s="111"/>
      <c r="B69" s="127"/>
      <c r="C69" s="111"/>
      <c r="D69" s="111"/>
      <c r="E69" s="111"/>
      <c r="F69" s="111"/>
      <c r="G69" s="257"/>
      <c r="H69" s="111"/>
      <c r="I69" s="127"/>
      <c r="J69" s="111"/>
      <c r="K69" s="111"/>
      <c r="L69" s="111"/>
      <c r="M69" s="128"/>
      <c r="N69" s="124"/>
      <c r="O69" s="125"/>
      <c r="P69" s="126"/>
      <c r="Q69" s="126"/>
      <c r="R69" s="127"/>
      <c r="S69" s="127"/>
      <c r="T69" s="127"/>
      <c r="U69" s="111"/>
      <c r="V69" s="261"/>
      <c r="W69" s="261"/>
      <c r="X69" s="261"/>
      <c r="Y69" s="261"/>
      <c r="Z69" s="261"/>
    </row>
    <row r="70" ht="30.0" customHeight="1">
      <c r="A70" s="111"/>
      <c r="B70" s="127"/>
      <c r="C70" s="111"/>
      <c r="D70" s="111"/>
      <c r="E70" s="111"/>
      <c r="F70" s="111"/>
      <c r="G70" s="257"/>
      <c r="H70" s="111"/>
      <c r="I70" s="127"/>
      <c r="J70" s="111"/>
      <c r="K70" s="111"/>
      <c r="L70" s="111"/>
      <c r="M70" s="128"/>
      <c r="N70" s="124"/>
      <c r="O70" s="125"/>
      <c r="P70" s="126"/>
      <c r="Q70" s="126"/>
      <c r="R70" s="127"/>
      <c r="S70" s="127"/>
      <c r="T70" s="127"/>
      <c r="U70" s="111"/>
      <c r="V70" s="261"/>
      <c r="W70" s="261"/>
      <c r="X70" s="261"/>
      <c r="Y70" s="261"/>
      <c r="Z70" s="261"/>
    </row>
    <row r="71" ht="30.0" customHeight="1">
      <c r="A71" s="111"/>
      <c r="B71" s="127"/>
      <c r="C71" s="111"/>
      <c r="D71" s="111"/>
      <c r="E71" s="111"/>
      <c r="F71" s="111"/>
      <c r="G71" s="257"/>
      <c r="H71" s="111"/>
      <c r="I71" s="127"/>
      <c r="J71" s="111"/>
      <c r="K71" s="111"/>
      <c r="L71" s="111"/>
      <c r="M71" s="128"/>
      <c r="N71" s="124"/>
      <c r="O71" s="125"/>
      <c r="P71" s="126"/>
      <c r="Q71" s="126"/>
      <c r="R71" s="127"/>
      <c r="S71" s="127"/>
      <c r="T71" s="127"/>
      <c r="U71" s="111"/>
      <c r="V71" s="261"/>
      <c r="W71" s="261"/>
      <c r="X71" s="261"/>
      <c r="Y71" s="261"/>
      <c r="Z71" s="261"/>
    </row>
    <row r="72" ht="30.0" customHeight="1">
      <c r="A72" s="111"/>
      <c r="B72" s="127"/>
      <c r="C72" s="111"/>
      <c r="D72" s="111"/>
      <c r="E72" s="111"/>
      <c r="F72" s="111"/>
      <c r="G72" s="257"/>
      <c r="H72" s="111"/>
      <c r="I72" s="127"/>
      <c r="J72" s="111"/>
      <c r="K72" s="111"/>
      <c r="L72" s="111"/>
      <c r="M72" s="128"/>
      <c r="N72" s="124"/>
      <c r="O72" s="125"/>
      <c r="P72" s="126"/>
      <c r="Q72" s="126"/>
      <c r="R72" s="127"/>
      <c r="S72" s="127"/>
      <c r="T72" s="127"/>
      <c r="U72" s="111"/>
      <c r="V72" s="261"/>
      <c r="W72" s="261"/>
      <c r="X72" s="261"/>
      <c r="Y72" s="261"/>
      <c r="Z72" s="261"/>
    </row>
    <row r="73" ht="34.5" customHeight="1">
      <c r="A73" s="111"/>
      <c r="B73" s="127"/>
      <c r="C73" s="111"/>
      <c r="D73" s="111"/>
      <c r="E73" s="111"/>
      <c r="F73" s="111"/>
      <c r="G73" s="257"/>
      <c r="H73" s="111"/>
      <c r="I73" s="127"/>
      <c r="J73" s="111"/>
      <c r="K73" s="111"/>
      <c r="L73" s="111"/>
      <c r="M73" s="128"/>
      <c r="N73" s="124"/>
      <c r="O73" s="125"/>
      <c r="P73" s="126"/>
      <c r="Q73" s="126"/>
      <c r="R73" s="127"/>
      <c r="S73" s="127"/>
      <c r="T73" s="127"/>
      <c r="U73" s="111"/>
      <c r="V73" s="261"/>
      <c r="W73" s="261"/>
      <c r="X73" s="261"/>
      <c r="Y73" s="261"/>
      <c r="Z73" s="261"/>
    </row>
    <row r="74" ht="34.5" customHeight="1">
      <c r="A74" s="111"/>
      <c r="B74" s="127"/>
      <c r="C74" s="111"/>
      <c r="D74" s="111"/>
      <c r="E74" s="111"/>
      <c r="F74" s="111"/>
      <c r="G74" s="257"/>
      <c r="H74" s="111"/>
      <c r="I74" s="127"/>
      <c r="J74" s="111"/>
      <c r="K74" s="111"/>
      <c r="L74" s="111"/>
      <c r="M74" s="128"/>
      <c r="N74" s="124"/>
      <c r="O74" s="125"/>
      <c r="P74" s="126"/>
      <c r="Q74" s="126"/>
      <c r="R74" s="127"/>
      <c r="S74" s="127"/>
      <c r="T74" s="127"/>
      <c r="U74" s="111"/>
      <c r="V74" s="261"/>
      <c r="W74" s="261"/>
      <c r="X74" s="261"/>
      <c r="Y74" s="261"/>
      <c r="Z74" s="261"/>
    </row>
    <row r="75" ht="34.5" customHeight="1">
      <c r="A75" s="111"/>
      <c r="B75" s="127"/>
      <c r="C75" s="111"/>
      <c r="D75" s="111"/>
      <c r="E75" s="111"/>
      <c r="F75" s="111"/>
      <c r="G75" s="257"/>
      <c r="H75" s="111"/>
      <c r="I75" s="127"/>
      <c r="J75" s="111"/>
      <c r="K75" s="111"/>
      <c r="L75" s="111"/>
      <c r="M75" s="128"/>
      <c r="N75" s="124"/>
      <c r="O75" s="125"/>
      <c r="P75" s="126"/>
      <c r="Q75" s="126"/>
      <c r="R75" s="127"/>
      <c r="S75" s="127"/>
      <c r="T75" s="127"/>
      <c r="U75" s="111"/>
      <c r="V75" s="261"/>
      <c r="W75" s="261"/>
      <c r="X75" s="261"/>
      <c r="Y75" s="261"/>
      <c r="Z75" s="261"/>
    </row>
    <row r="76" ht="34.5" customHeight="1">
      <c r="A76" s="111"/>
      <c r="B76" s="127"/>
      <c r="C76" s="111"/>
      <c r="D76" s="111"/>
      <c r="E76" s="111"/>
      <c r="F76" s="111"/>
      <c r="G76" s="257"/>
      <c r="H76" s="111"/>
      <c r="I76" s="127"/>
      <c r="J76" s="111"/>
      <c r="K76" s="111"/>
      <c r="L76" s="111"/>
      <c r="M76" s="128"/>
      <c r="N76" s="124"/>
      <c r="O76" s="125"/>
      <c r="P76" s="126"/>
      <c r="Q76" s="126"/>
      <c r="R76" s="127"/>
      <c r="S76" s="127"/>
      <c r="T76" s="127"/>
      <c r="U76" s="111"/>
      <c r="V76" s="261"/>
      <c r="W76" s="261"/>
      <c r="X76" s="261"/>
      <c r="Y76" s="261"/>
      <c r="Z76" s="261"/>
    </row>
    <row r="77" ht="34.5" customHeight="1">
      <c r="A77" s="111"/>
      <c r="B77" s="127"/>
      <c r="C77" s="111"/>
      <c r="D77" s="111"/>
      <c r="E77" s="111"/>
      <c r="F77" s="111"/>
      <c r="G77" s="257"/>
      <c r="H77" s="111"/>
      <c r="I77" s="127"/>
      <c r="J77" s="111"/>
      <c r="K77" s="111"/>
      <c r="L77" s="111"/>
      <c r="M77" s="128"/>
      <c r="N77" s="124"/>
      <c r="O77" s="125"/>
      <c r="P77" s="126"/>
      <c r="Q77" s="126"/>
      <c r="R77" s="127"/>
      <c r="S77" s="127"/>
      <c r="T77" s="127"/>
      <c r="U77" s="111"/>
      <c r="V77" s="261"/>
      <c r="W77" s="261"/>
      <c r="X77" s="261"/>
      <c r="Y77" s="261"/>
      <c r="Z77" s="261"/>
    </row>
    <row r="78" ht="34.5" customHeight="1">
      <c r="A78" s="111"/>
      <c r="B78" s="127"/>
      <c r="C78" s="111"/>
      <c r="D78" s="111"/>
      <c r="E78" s="111"/>
      <c r="F78" s="111"/>
      <c r="G78" s="257"/>
      <c r="H78" s="111"/>
      <c r="I78" s="127"/>
      <c r="J78" s="111"/>
      <c r="K78" s="111"/>
      <c r="L78" s="111"/>
      <c r="M78" s="128"/>
      <c r="N78" s="124"/>
      <c r="O78" s="125"/>
      <c r="P78" s="126"/>
      <c r="Q78" s="126"/>
      <c r="R78" s="127"/>
      <c r="S78" s="127"/>
      <c r="T78" s="127"/>
      <c r="U78" s="111"/>
      <c r="V78" s="261"/>
      <c r="W78" s="261"/>
      <c r="X78" s="261"/>
      <c r="Y78" s="261"/>
      <c r="Z78" s="261"/>
    </row>
    <row r="79" ht="34.5" customHeight="1">
      <c r="A79" s="111"/>
      <c r="B79" s="127"/>
      <c r="C79" s="111"/>
      <c r="D79" s="111"/>
      <c r="E79" s="111"/>
      <c r="F79" s="111"/>
      <c r="G79" s="257"/>
      <c r="H79" s="111"/>
      <c r="I79" s="127"/>
      <c r="J79" s="111"/>
      <c r="K79" s="111"/>
      <c r="L79" s="111"/>
      <c r="M79" s="128"/>
      <c r="N79" s="124"/>
      <c r="O79" s="125"/>
      <c r="P79" s="126"/>
      <c r="Q79" s="126"/>
      <c r="R79" s="127"/>
      <c r="S79" s="127"/>
      <c r="T79" s="127"/>
      <c r="U79" s="111"/>
      <c r="V79" s="261"/>
      <c r="W79" s="261"/>
      <c r="X79" s="261"/>
      <c r="Y79" s="261"/>
      <c r="Z79" s="261"/>
    </row>
    <row r="80" ht="34.5" customHeight="1">
      <c r="A80" s="111"/>
      <c r="B80" s="127"/>
      <c r="C80" s="111"/>
      <c r="D80" s="111"/>
      <c r="E80" s="111"/>
      <c r="F80" s="111"/>
      <c r="G80" s="257"/>
      <c r="H80" s="111"/>
      <c r="I80" s="127"/>
      <c r="J80" s="111"/>
      <c r="K80" s="111"/>
      <c r="L80" s="111"/>
      <c r="M80" s="128"/>
      <c r="N80" s="124"/>
      <c r="O80" s="125"/>
      <c r="P80" s="126"/>
      <c r="Q80" s="126"/>
      <c r="R80" s="127"/>
      <c r="S80" s="127"/>
      <c r="T80" s="127"/>
      <c r="U80" s="111"/>
      <c r="V80" s="261"/>
      <c r="W80" s="261"/>
      <c r="X80" s="261"/>
      <c r="Y80" s="261"/>
      <c r="Z80" s="261"/>
    </row>
    <row r="81" ht="34.5" customHeight="1">
      <c r="A81" s="111"/>
      <c r="B81" s="127"/>
      <c r="C81" s="111"/>
      <c r="D81" s="111"/>
      <c r="E81" s="111"/>
      <c r="F81" s="111"/>
      <c r="G81" s="257"/>
      <c r="H81" s="111"/>
      <c r="I81" s="127"/>
      <c r="J81" s="111"/>
      <c r="K81" s="111"/>
      <c r="L81" s="111"/>
      <c r="M81" s="128"/>
      <c r="N81" s="124"/>
      <c r="O81" s="125"/>
      <c r="P81" s="126"/>
      <c r="Q81" s="126"/>
      <c r="R81" s="127"/>
      <c r="S81" s="127"/>
      <c r="T81" s="127"/>
      <c r="U81" s="111"/>
      <c r="V81" s="261"/>
      <c r="W81" s="261"/>
      <c r="X81" s="261"/>
      <c r="Y81" s="261"/>
      <c r="Z81" s="261"/>
    </row>
    <row r="82" ht="34.5" customHeight="1">
      <c r="A82" s="111"/>
      <c r="B82" s="127"/>
      <c r="C82" s="111"/>
      <c r="D82" s="111"/>
      <c r="E82" s="111"/>
      <c r="F82" s="111"/>
      <c r="G82" s="257"/>
      <c r="H82" s="111"/>
      <c r="I82" s="127"/>
      <c r="J82" s="111"/>
      <c r="K82" s="111"/>
      <c r="L82" s="111"/>
      <c r="M82" s="128"/>
      <c r="N82" s="124"/>
      <c r="O82" s="125"/>
      <c r="P82" s="126"/>
      <c r="Q82" s="126"/>
      <c r="R82" s="127"/>
      <c r="S82" s="127"/>
      <c r="T82" s="127"/>
      <c r="U82" s="111"/>
      <c r="V82" s="261"/>
      <c r="W82" s="261"/>
      <c r="X82" s="261"/>
      <c r="Y82" s="261"/>
      <c r="Z82" s="261"/>
    </row>
    <row r="83" ht="34.5" customHeight="1">
      <c r="A83" s="111"/>
      <c r="B83" s="127"/>
      <c r="C83" s="111"/>
      <c r="D83" s="111"/>
      <c r="E83" s="111"/>
      <c r="F83" s="111"/>
      <c r="G83" s="257"/>
      <c r="H83" s="111"/>
      <c r="I83" s="127"/>
      <c r="J83" s="111"/>
      <c r="K83" s="111"/>
      <c r="L83" s="111"/>
      <c r="M83" s="128"/>
      <c r="N83" s="124"/>
      <c r="O83" s="125"/>
      <c r="P83" s="126"/>
      <c r="Q83" s="126"/>
      <c r="R83" s="127"/>
      <c r="S83" s="127"/>
      <c r="T83" s="127"/>
      <c r="U83" s="111"/>
      <c r="V83" s="261"/>
      <c r="W83" s="261"/>
      <c r="X83" s="261"/>
      <c r="Y83" s="261"/>
      <c r="Z83" s="261"/>
    </row>
    <row r="84" ht="34.5" customHeight="1">
      <c r="A84" s="111"/>
      <c r="B84" s="127"/>
      <c r="C84" s="111"/>
      <c r="D84" s="111"/>
      <c r="E84" s="111"/>
      <c r="F84" s="111"/>
      <c r="G84" s="257"/>
      <c r="H84" s="111"/>
      <c r="I84" s="127"/>
      <c r="J84" s="111"/>
      <c r="K84" s="111"/>
      <c r="L84" s="111"/>
      <c r="M84" s="128"/>
      <c r="N84" s="124"/>
      <c r="O84" s="125"/>
      <c r="P84" s="126"/>
      <c r="Q84" s="126"/>
      <c r="R84" s="127"/>
      <c r="S84" s="127"/>
      <c r="T84" s="127"/>
      <c r="U84" s="111"/>
      <c r="V84" s="261"/>
      <c r="W84" s="261"/>
      <c r="X84" s="261"/>
      <c r="Y84" s="261"/>
      <c r="Z84" s="261"/>
    </row>
    <row r="85" ht="34.5" customHeight="1">
      <c r="A85" s="111"/>
      <c r="B85" s="127"/>
      <c r="C85" s="111"/>
      <c r="D85" s="111"/>
      <c r="E85" s="111"/>
      <c r="F85" s="111"/>
      <c r="G85" s="257"/>
      <c r="H85" s="111"/>
      <c r="I85" s="127"/>
      <c r="J85" s="111"/>
      <c r="K85" s="111"/>
      <c r="L85" s="111"/>
      <c r="M85" s="128"/>
      <c r="N85" s="124"/>
      <c r="O85" s="125"/>
      <c r="P85" s="126"/>
      <c r="Q85" s="126"/>
      <c r="R85" s="127"/>
      <c r="S85" s="127"/>
      <c r="T85" s="127"/>
      <c r="U85" s="111"/>
      <c r="V85" s="261"/>
      <c r="W85" s="261"/>
      <c r="X85" s="261"/>
      <c r="Y85" s="261"/>
      <c r="Z85" s="261"/>
    </row>
    <row r="86" ht="34.5" customHeight="1">
      <c r="A86" s="111"/>
      <c r="B86" s="127"/>
      <c r="C86" s="111"/>
      <c r="D86" s="111"/>
      <c r="E86" s="111"/>
      <c r="F86" s="111"/>
      <c r="G86" s="257"/>
      <c r="H86" s="111"/>
      <c r="I86" s="127"/>
      <c r="J86" s="111"/>
      <c r="K86" s="111"/>
      <c r="L86" s="111"/>
      <c r="M86" s="128"/>
      <c r="N86" s="124"/>
      <c r="O86" s="125"/>
      <c r="P86" s="126"/>
      <c r="Q86" s="126"/>
      <c r="R86" s="127"/>
      <c r="S86" s="127"/>
      <c r="T86" s="127"/>
      <c r="U86" s="111"/>
      <c r="V86" s="261"/>
      <c r="W86" s="261"/>
      <c r="X86" s="261"/>
      <c r="Y86" s="261"/>
      <c r="Z86" s="261"/>
    </row>
    <row r="87" ht="34.5" customHeight="1">
      <c r="A87" s="111"/>
      <c r="B87" s="127"/>
      <c r="C87" s="111"/>
      <c r="D87" s="111"/>
      <c r="E87" s="111"/>
      <c r="F87" s="111"/>
      <c r="G87" s="257"/>
      <c r="H87" s="111"/>
      <c r="I87" s="127"/>
      <c r="J87" s="111"/>
      <c r="K87" s="111"/>
      <c r="L87" s="111"/>
      <c r="M87" s="128"/>
      <c r="N87" s="124"/>
      <c r="O87" s="125"/>
      <c r="P87" s="126"/>
      <c r="Q87" s="126"/>
      <c r="R87" s="127"/>
      <c r="S87" s="127"/>
      <c r="T87" s="127"/>
      <c r="U87" s="111"/>
      <c r="V87" s="261"/>
      <c r="W87" s="261"/>
      <c r="X87" s="261"/>
      <c r="Y87" s="261"/>
      <c r="Z87" s="261"/>
    </row>
    <row r="88" ht="34.5" customHeight="1">
      <c r="A88" s="111"/>
      <c r="B88" s="127"/>
      <c r="C88" s="111"/>
      <c r="D88" s="111"/>
      <c r="E88" s="111"/>
      <c r="F88" s="111"/>
      <c r="G88" s="257"/>
      <c r="H88" s="111"/>
      <c r="I88" s="127"/>
      <c r="J88" s="111"/>
      <c r="K88" s="111"/>
      <c r="L88" s="111"/>
      <c r="M88" s="128"/>
      <c r="N88" s="124"/>
      <c r="O88" s="125"/>
      <c r="P88" s="126"/>
      <c r="Q88" s="126"/>
      <c r="R88" s="127"/>
      <c r="S88" s="127"/>
      <c r="T88" s="127"/>
      <c r="U88" s="111"/>
      <c r="V88" s="261"/>
      <c r="W88" s="261"/>
      <c r="X88" s="261"/>
      <c r="Y88" s="261"/>
      <c r="Z88" s="261"/>
    </row>
    <row r="89" ht="34.5" customHeight="1">
      <c r="A89" s="111"/>
      <c r="B89" s="127"/>
      <c r="C89" s="111"/>
      <c r="D89" s="111"/>
      <c r="E89" s="111"/>
      <c r="F89" s="111"/>
      <c r="G89" s="257"/>
      <c r="H89" s="111"/>
      <c r="I89" s="127"/>
      <c r="J89" s="111"/>
      <c r="K89" s="111"/>
      <c r="L89" s="111"/>
      <c r="M89" s="128"/>
      <c r="N89" s="124"/>
      <c r="O89" s="125"/>
      <c r="P89" s="126"/>
      <c r="Q89" s="126"/>
      <c r="R89" s="127"/>
      <c r="S89" s="127"/>
      <c r="T89" s="127"/>
      <c r="U89" s="111"/>
      <c r="V89" s="261"/>
      <c r="W89" s="261"/>
      <c r="X89" s="261"/>
      <c r="Y89" s="261"/>
      <c r="Z89" s="261"/>
    </row>
    <row r="90" ht="34.5" customHeight="1">
      <c r="A90" s="111"/>
      <c r="B90" s="127"/>
      <c r="C90" s="111"/>
      <c r="D90" s="111"/>
      <c r="E90" s="111"/>
      <c r="F90" s="111"/>
      <c r="G90" s="257"/>
      <c r="H90" s="111"/>
      <c r="I90" s="127"/>
      <c r="J90" s="111"/>
      <c r="K90" s="111"/>
      <c r="L90" s="111"/>
      <c r="M90" s="128"/>
      <c r="N90" s="124"/>
      <c r="O90" s="125"/>
      <c r="P90" s="126"/>
      <c r="Q90" s="126"/>
      <c r="R90" s="127"/>
      <c r="S90" s="127"/>
      <c r="T90" s="127"/>
      <c r="U90" s="111"/>
      <c r="V90" s="261"/>
      <c r="W90" s="261"/>
      <c r="X90" s="261"/>
      <c r="Y90" s="261"/>
      <c r="Z90" s="261"/>
    </row>
    <row r="91" ht="34.5" customHeight="1">
      <c r="A91" s="111"/>
      <c r="B91" s="127"/>
      <c r="C91" s="111"/>
      <c r="D91" s="111"/>
      <c r="E91" s="111"/>
      <c r="F91" s="111"/>
      <c r="G91" s="257"/>
      <c r="H91" s="111"/>
      <c r="I91" s="127"/>
      <c r="J91" s="111"/>
      <c r="K91" s="111"/>
      <c r="L91" s="111"/>
      <c r="M91" s="128"/>
      <c r="N91" s="124"/>
      <c r="O91" s="125"/>
      <c r="P91" s="126"/>
      <c r="Q91" s="126"/>
      <c r="R91" s="127"/>
      <c r="S91" s="127"/>
      <c r="T91" s="127"/>
      <c r="U91" s="111"/>
      <c r="V91" s="261"/>
      <c r="W91" s="261"/>
      <c r="X91" s="261"/>
      <c r="Y91" s="261"/>
      <c r="Z91" s="261"/>
    </row>
    <row r="92" ht="34.5" customHeight="1">
      <c r="A92" s="111"/>
      <c r="B92" s="127"/>
      <c r="C92" s="111"/>
      <c r="D92" s="111"/>
      <c r="E92" s="111"/>
      <c r="F92" s="111"/>
      <c r="G92" s="257"/>
      <c r="H92" s="111"/>
      <c r="I92" s="127"/>
      <c r="J92" s="111"/>
      <c r="K92" s="111"/>
      <c r="L92" s="111"/>
      <c r="M92" s="128"/>
      <c r="N92" s="124"/>
      <c r="O92" s="125"/>
      <c r="P92" s="126"/>
      <c r="Q92" s="126"/>
      <c r="R92" s="127"/>
      <c r="S92" s="127"/>
      <c r="T92" s="127"/>
      <c r="U92" s="111"/>
      <c r="V92" s="261"/>
      <c r="W92" s="261"/>
      <c r="X92" s="261"/>
      <c r="Y92" s="261"/>
      <c r="Z92" s="261"/>
    </row>
    <row r="93" ht="34.5" customHeight="1">
      <c r="A93" s="111"/>
      <c r="B93" s="127"/>
      <c r="C93" s="111"/>
      <c r="D93" s="111"/>
      <c r="E93" s="111"/>
      <c r="F93" s="111"/>
      <c r="G93" s="257"/>
      <c r="H93" s="111"/>
      <c r="I93" s="127"/>
      <c r="J93" s="111"/>
      <c r="K93" s="111"/>
      <c r="L93" s="111"/>
      <c r="M93" s="128"/>
      <c r="N93" s="124"/>
      <c r="O93" s="125"/>
      <c r="P93" s="126"/>
      <c r="Q93" s="126"/>
      <c r="R93" s="127"/>
      <c r="S93" s="127"/>
      <c r="T93" s="127"/>
      <c r="U93" s="111"/>
      <c r="V93" s="261"/>
      <c r="W93" s="261"/>
      <c r="X93" s="261"/>
      <c r="Y93" s="261"/>
      <c r="Z93" s="261"/>
    </row>
    <row r="94" ht="34.5" customHeight="1">
      <c r="A94" s="111"/>
      <c r="B94" s="127"/>
      <c r="C94" s="111"/>
      <c r="D94" s="111"/>
      <c r="E94" s="111"/>
      <c r="F94" s="111"/>
      <c r="G94" s="257"/>
      <c r="H94" s="111"/>
      <c r="I94" s="127"/>
      <c r="J94" s="111"/>
      <c r="K94" s="111"/>
      <c r="L94" s="111"/>
      <c r="M94" s="128"/>
      <c r="N94" s="124"/>
      <c r="O94" s="125"/>
      <c r="P94" s="126"/>
      <c r="Q94" s="126"/>
      <c r="R94" s="127"/>
      <c r="S94" s="127"/>
      <c r="T94" s="127"/>
      <c r="U94" s="111"/>
      <c r="V94" s="261"/>
      <c r="W94" s="261"/>
      <c r="X94" s="261"/>
      <c r="Y94" s="261"/>
      <c r="Z94" s="261"/>
    </row>
    <row r="95" ht="34.5" customHeight="1">
      <c r="A95" s="111"/>
      <c r="B95" s="127"/>
      <c r="C95" s="111"/>
      <c r="D95" s="111"/>
      <c r="E95" s="111"/>
      <c r="F95" s="111"/>
      <c r="G95" s="257"/>
      <c r="H95" s="111"/>
      <c r="I95" s="127"/>
      <c r="J95" s="111"/>
      <c r="K95" s="111"/>
      <c r="L95" s="111"/>
      <c r="M95" s="128"/>
      <c r="N95" s="124"/>
      <c r="O95" s="125"/>
      <c r="P95" s="126"/>
      <c r="Q95" s="126"/>
      <c r="R95" s="127"/>
      <c r="S95" s="127"/>
      <c r="T95" s="127"/>
      <c r="U95" s="111"/>
      <c r="V95" s="261"/>
      <c r="W95" s="261"/>
      <c r="X95" s="261"/>
      <c r="Y95" s="261"/>
      <c r="Z95" s="261"/>
    </row>
    <row r="96" ht="34.5" customHeight="1">
      <c r="A96" s="111"/>
      <c r="B96" s="127"/>
      <c r="C96" s="111"/>
      <c r="D96" s="111"/>
      <c r="E96" s="111"/>
      <c r="F96" s="111"/>
      <c r="G96" s="257"/>
      <c r="H96" s="111"/>
      <c r="I96" s="127"/>
      <c r="J96" s="111"/>
      <c r="K96" s="111"/>
      <c r="L96" s="111"/>
      <c r="M96" s="128"/>
      <c r="N96" s="124"/>
      <c r="O96" s="125"/>
      <c r="P96" s="126"/>
      <c r="Q96" s="126"/>
      <c r="R96" s="127"/>
      <c r="S96" s="127"/>
      <c r="T96" s="127"/>
      <c r="U96" s="111"/>
      <c r="V96" s="261"/>
      <c r="W96" s="261"/>
      <c r="X96" s="261"/>
      <c r="Y96" s="261"/>
      <c r="Z96" s="261"/>
    </row>
    <row r="97" ht="34.5" customHeight="1">
      <c r="A97" s="111"/>
      <c r="B97" s="127"/>
      <c r="C97" s="111"/>
      <c r="D97" s="111"/>
      <c r="E97" s="111"/>
      <c r="F97" s="111"/>
      <c r="G97" s="257"/>
      <c r="H97" s="111"/>
      <c r="I97" s="127"/>
      <c r="J97" s="111"/>
      <c r="K97" s="111"/>
      <c r="L97" s="111"/>
      <c r="M97" s="128"/>
      <c r="N97" s="124"/>
      <c r="O97" s="125"/>
      <c r="P97" s="126"/>
      <c r="Q97" s="126"/>
      <c r="R97" s="127"/>
      <c r="S97" s="127"/>
      <c r="T97" s="127"/>
      <c r="U97" s="111"/>
      <c r="V97" s="261"/>
      <c r="W97" s="261"/>
      <c r="X97" s="261"/>
      <c r="Y97" s="261"/>
      <c r="Z97" s="261"/>
    </row>
    <row r="98" ht="34.5" customHeight="1">
      <c r="A98" s="111"/>
      <c r="B98" s="127"/>
      <c r="C98" s="111"/>
      <c r="D98" s="111"/>
      <c r="E98" s="111"/>
      <c r="F98" s="111"/>
      <c r="G98" s="257"/>
      <c r="H98" s="111"/>
      <c r="I98" s="127"/>
      <c r="J98" s="111"/>
      <c r="K98" s="111"/>
      <c r="L98" s="111"/>
      <c r="M98" s="128"/>
      <c r="N98" s="124"/>
      <c r="O98" s="125"/>
      <c r="P98" s="126"/>
      <c r="Q98" s="126"/>
      <c r="R98" s="127"/>
      <c r="S98" s="127"/>
      <c r="T98" s="127"/>
      <c r="U98" s="111"/>
      <c r="V98" s="261"/>
      <c r="W98" s="261"/>
      <c r="X98" s="261"/>
      <c r="Y98" s="261"/>
      <c r="Z98" s="261"/>
    </row>
    <row r="99" ht="34.5" customHeight="1">
      <c r="A99" s="111"/>
      <c r="B99" s="127"/>
      <c r="C99" s="111"/>
      <c r="D99" s="111"/>
      <c r="E99" s="111"/>
      <c r="F99" s="111"/>
      <c r="G99" s="257"/>
      <c r="H99" s="111"/>
      <c r="I99" s="127"/>
      <c r="J99" s="111"/>
      <c r="K99" s="111"/>
      <c r="L99" s="111"/>
      <c r="M99" s="128"/>
      <c r="N99" s="124"/>
      <c r="O99" s="125"/>
      <c r="P99" s="126"/>
      <c r="Q99" s="126"/>
      <c r="R99" s="127"/>
      <c r="S99" s="127"/>
      <c r="T99" s="127"/>
      <c r="U99" s="111"/>
      <c r="V99" s="261"/>
      <c r="W99" s="261"/>
      <c r="X99" s="261"/>
      <c r="Y99" s="261"/>
      <c r="Z99" s="261"/>
    </row>
    <row r="100" ht="34.5" customHeight="1">
      <c r="A100" s="111"/>
      <c r="B100" s="127"/>
      <c r="C100" s="111"/>
      <c r="D100" s="111"/>
      <c r="E100" s="111"/>
      <c r="F100" s="111"/>
      <c r="G100" s="257"/>
      <c r="H100" s="111"/>
      <c r="I100" s="127"/>
      <c r="J100" s="111"/>
      <c r="K100" s="111"/>
      <c r="L100" s="111"/>
      <c r="M100" s="128"/>
      <c r="N100" s="124"/>
      <c r="O100" s="125"/>
      <c r="P100" s="126"/>
      <c r="Q100" s="126"/>
      <c r="R100" s="127"/>
      <c r="S100" s="127"/>
      <c r="T100" s="127"/>
      <c r="U100" s="111"/>
      <c r="V100" s="261"/>
      <c r="W100" s="261"/>
      <c r="X100" s="261"/>
      <c r="Y100" s="261"/>
      <c r="Z100" s="261"/>
    </row>
    <row r="101" ht="34.5" customHeight="1">
      <c r="A101" s="111"/>
      <c r="B101" s="127"/>
      <c r="C101" s="111"/>
      <c r="D101" s="111"/>
      <c r="E101" s="111"/>
      <c r="F101" s="111"/>
      <c r="G101" s="257"/>
      <c r="H101" s="111"/>
      <c r="I101" s="127"/>
      <c r="J101" s="111"/>
      <c r="K101" s="111"/>
      <c r="L101" s="111"/>
      <c r="M101" s="128"/>
      <c r="N101" s="124"/>
      <c r="O101" s="125"/>
      <c r="P101" s="126"/>
      <c r="Q101" s="126"/>
      <c r="R101" s="127"/>
      <c r="S101" s="127"/>
      <c r="T101" s="127"/>
      <c r="U101" s="111"/>
      <c r="V101" s="261"/>
      <c r="W101" s="261"/>
      <c r="X101" s="261"/>
      <c r="Y101" s="261"/>
      <c r="Z101" s="261"/>
    </row>
    <row r="102" ht="34.5" customHeight="1">
      <c r="A102" s="111"/>
      <c r="B102" s="127"/>
      <c r="C102" s="111"/>
      <c r="D102" s="111"/>
      <c r="E102" s="111"/>
      <c r="F102" s="111"/>
      <c r="G102" s="257"/>
      <c r="H102" s="111"/>
      <c r="I102" s="127"/>
      <c r="J102" s="111"/>
      <c r="K102" s="111"/>
      <c r="L102" s="111"/>
      <c r="M102" s="128"/>
      <c r="N102" s="124"/>
      <c r="O102" s="125"/>
      <c r="P102" s="126"/>
      <c r="Q102" s="126"/>
      <c r="R102" s="127"/>
      <c r="S102" s="127"/>
      <c r="T102" s="127"/>
      <c r="U102" s="111"/>
      <c r="V102" s="261"/>
      <c r="W102" s="261"/>
      <c r="X102" s="261"/>
      <c r="Y102" s="261"/>
      <c r="Z102" s="261"/>
    </row>
    <row r="103" ht="34.5" customHeight="1">
      <c r="A103" s="111"/>
      <c r="B103" s="127"/>
      <c r="C103" s="111"/>
      <c r="D103" s="111"/>
      <c r="E103" s="111"/>
      <c r="F103" s="111"/>
      <c r="G103" s="257"/>
      <c r="H103" s="111"/>
      <c r="I103" s="127"/>
      <c r="J103" s="111"/>
      <c r="K103" s="111"/>
      <c r="L103" s="111"/>
      <c r="M103" s="128"/>
      <c r="N103" s="124"/>
      <c r="O103" s="125"/>
      <c r="P103" s="126"/>
      <c r="Q103" s="126"/>
      <c r="R103" s="127"/>
      <c r="S103" s="127"/>
      <c r="T103" s="127"/>
      <c r="U103" s="111"/>
      <c r="V103" s="261"/>
      <c r="W103" s="261"/>
      <c r="X103" s="261"/>
      <c r="Y103" s="261"/>
      <c r="Z103" s="261"/>
    </row>
    <row r="104" ht="34.5" customHeight="1">
      <c r="A104" s="111"/>
      <c r="B104" s="127"/>
      <c r="C104" s="111"/>
      <c r="D104" s="111"/>
      <c r="E104" s="111"/>
      <c r="F104" s="111"/>
      <c r="G104" s="257"/>
      <c r="H104" s="111"/>
      <c r="I104" s="127"/>
      <c r="J104" s="111"/>
      <c r="K104" s="111"/>
      <c r="L104" s="111"/>
      <c r="M104" s="128"/>
      <c r="N104" s="124"/>
      <c r="O104" s="125"/>
      <c r="P104" s="126"/>
      <c r="Q104" s="126"/>
      <c r="R104" s="127"/>
      <c r="S104" s="127"/>
      <c r="T104" s="127"/>
      <c r="U104" s="111"/>
      <c r="V104" s="261"/>
      <c r="W104" s="261"/>
      <c r="X104" s="261"/>
      <c r="Y104" s="261"/>
      <c r="Z104" s="261"/>
    </row>
    <row r="105" ht="34.5" customHeight="1">
      <c r="A105" s="111"/>
      <c r="B105" s="127"/>
      <c r="C105" s="111"/>
      <c r="D105" s="111"/>
      <c r="E105" s="111"/>
      <c r="F105" s="111"/>
      <c r="G105" s="257"/>
      <c r="H105" s="111"/>
      <c r="I105" s="127"/>
      <c r="J105" s="111"/>
      <c r="K105" s="111"/>
      <c r="L105" s="111"/>
      <c r="M105" s="128"/>
      <c r="N105" s="124"/>
      <c r="O105" s="125"/>
      <c r="P105" s="126"/>
      <c r="Q105" s="126"/>
      <c r="R105" s="127"/>
      <c r="S105" s="127"/>
      <c r="T105" s="127"/>
      <c r="U105" s="111"/>
      <c r="V105" s="261"/>
      <c r="W105" s="261"/>
      <c r="X105" s="261"/>
      <c r="Y105" s="261"/>
      <c r="Z105" s="261"/>
    </row>
    <row r="106" ht="34.5" customHeight="1">
      <c r="A106" s="111"/>
      <c r="B106" s="127"/>
      <c r="C106" s="111"/>
      <c r="D106" s="111"/>
      <c r="E106" s="111"/>
      <c r="F106" s="111"/>
      <c r="G106" s="257"/>
      <c r="H106" s="111"/>
      <c r="I106" s="127"/>
      <c r="J106" s="111"/>
      <c r="K106" s="111"/>
      <c r="L106" s="111"/>
      <c r="M106" s="128"/>
      <c r="N106" s="124"/>
      <c r="O106" s="125"/>
      <c r="P106" s="126"/>
      <c r="Q106" s="126"/>
      <c r="R106" s="127"/>
      <c r="S106" s="127"/>
      <c r="T106" s="127"/>
      <c r="U106" s="111"/>
      <c r="V106" s="261"/>
      <c r="W106" s="261"/>
      <c r="X106" s="261"/>
      <c r="Y106" s="261"/>
      <c r="Z106" s="261"/>
    </row>
    <row r="107" ht="34.5" customHeight="1">
      <c r="A107" s="111"/>
      <c r="B107" s="127"/>
      <c r="C107" s="111"/>
      <c r="D107" s="111"/>
      <c r="E107" s="111"/>
      <c r="F107" s="111"/>
      <c r="G107" s="257"/>
      <c r="H107" s="111"/>
      <c r="I107" s="127"/>
      <c r="J107" s="111"/>
      <c r="K107" s="111"/>
      <c r="L107" s="111"/>
      <c r="M107" s="128"/>
      <c r="N107" s="124"/>
      <c r="O107" s="125"/>
      <c r="P107" s="126"/>
      <c r="Q107" s="126"/>
      <c r="R107" s="127"/>
      <c r="S107" s="127"/>
      <c r="T107" s="127"/>
      <c r="U107" s="111"/>
      <c r="V107" s="261"/>
      <c r="W107" s="261"/>
      <c r="X107" s="261"/>
      <c r="Y107" s="261"/>
      <c r="Z107" s="261"/>
    </row>
    <row r="108" ht="34.5" customHeight="1">
      <c r="A108" s="111"/>
      <c r="B108" s="127"/>
      <c r="C108" s="111"/>
      <c r="D108" s="111"/>
      <c r="E108" s="111"/>
      <c r="F108" s="111"/>
      <c r="G108" s="257"/>
      <c r="H108" s="111"/>
      <c r="I108" s="127"/>
      <c r="J108" s="111"/>
      <c r="K108" s="111"/>
      <c r="L108" s="111"/>
      <c r="M108" s="128"/>
      <c r="N108" s="124"/>
      <c r="O108" s="125"/>
      <c r="P108" s="126"/>
      <c r="Q108" s="126"/>
      <c r="R108" s="127"/>
      <c r="S108" s="127"/>
      <c r="T108" s="127"/>
      <c r="U108" s="111"/>
      <c r="V108" s="261"/>
      <c r="W108" s="261"/>
      <c r="X108" s="261"/>
      <c r="Y108" s="261"/>
      <c r="Z108" s="261"/>
    </row>
    <row r="109" ht="34.5" customHeight="1">
      <c r="A109" s="111"/>
      <c r="B109" s="127"/>
      <c r="C109" s="111"/>
      <c r="D109" s="111"/>
      <c r="E109" s="111"/>
      <c r="F109" s="111"/>
      <c r="G109" s="257"/>
      <c r="H109" s="111"/>
      <c r="I109" s="127"/>
      <c r="J109" s="111"/>
      <c r="K109" s="111"/>
      <c r="L109" s="111"/>
      <c r="M109" s="128"/>
      <c r="N109" s="124"/>
      <c r="O109" s="125"/>
      <c r="P109" s="126"/>
      <c r="Q109" s="126"/>
      <c r="R109" s="127"/>
      <c r="S109" s="127"/>
      <c r="T109" s="127"/>
      <c r="U109" s="111"/>
      <c r="V109" s="261"/>
      <c r="W109" s="261"/>
      <c r="X109" s="261"/>
      <c r="Y109" s="261"/>
      <c r="Z109" s="261"/>
    </row>
    <row r="110" ht="34.5" customHeight="1">
      <c r="A110" s="111"/>
      <c r="B110" s="127"/>
      <c r="C110" s="111"/>
      <c r="D110" s="111"/>
      <c r="E110" s="111"/>
      <c r="F110" s="111"/>
      <c r="G110" s="257"/>
      <c r="H110" s="111"/>
      <c r="I110" s="127"/>
      <c r="J110" s="111"/>
      <c r="K110" s="111"/>
      <c r="L110" s="111"/>
      <c r="M110" s="128"/>
      <c r="N110" s="124"/>
      <c r="O110" s="125"/>
      <c r="P110" s="126"/>
      <c r="Q110" s="126"/>
      <c r="R110" s="127"/>
      <c r="S110" s="127"/>
      <c r="T110" s="127"/>
      <c r="U110" s="111"/>
      <c r="V110" s="261"/>
      <c r="W110" s="261"/>
      <c r="X110" s="261"/>
      <c r="Y110" s="261"/>
      <c r="Z110" s="261"/>
    </row>
    <row r="111" ht="34.5" customHeight="1">
      <c r="A111" s="111"/>
      <c r="B111" s="127"/>
      <c r="C111" s="111"/>
      <c r="D111" s="111"/>
      <c r="E111" s="111"/>
      <c r="F111" s="111"/>
      <c r="G111" s="257"/>
      <c r="H111" s="111"/>
      <c r="I111" s="127"/>
      <c r="J111" s="111"/>
      <c r="K111" s="111"/>
      <c r="L111" s="111"/>
      <c r="M111" s="128"/>
      <c r="N111" s="124"/>
      <c r="O111" s="125"/>
      <c r="P111" s="126"/>
      <c r="Q111" s="126"/>
      <c r="R111" s="127"/>
      <c r="S111" s="127"/>
      <c r="T111" s="127"/>
      <c r="U111" s="111"/>
      <c r="V111" s="261"/>
      <c r="W111" s="261"/>
      <c r="X111" s="261"/>
      <c r="Y111" s="261"/>
      <c r="Z111" s="261"/>
    </row>
    <row r="112" ht="34.5" customHeight="1">
      <c r="A112" s="111"/>
      <c r="B112" s="127"/>
      <c r="C112" s="111"/>
      <c r="D112" s="111"/>
      <c r="E112" s="111"/>
      <c r="F112" s="111"/>
      <c r="G112" s="257"/>
      <c r="H112" s="111"/>
      <c r="I112" s="127"/>
      <c r="J112" s="111"/>
      <c r="K112" s="111"/>
      <c r="L112" s="111"/>
      <c r="M112" s="128"/>
      <c r="N112" s="124"/>
      <c r="O112" s="125"/>
      <c r="P112" s="126"/>
      <c r="Q112" s="126"/>
      <c r="R112" s="127"/>
      <c r="S112" s="127"/>
      <c r="T112" s="127"/>
      <c r="U112" s="111"/>
      <c r="V112" s="261"/>
      <c r="W112" s="261"/>
      <c r="X112" s="261"/>
      <c r="Y112" s="261"/>
      <c r="Z112" s="261"/>
    </row>
    <row r="113" ht="34.5" customHeight="1">
      <c r="A113" s="111"/>
      <c r="B113" s="127"/>
      <c r="C113" s="111"/>
      <c r="D113" s="111"/>
      <c r="E113" s="111"/>
      <c r="F113" s="111"/>
      <c r="G113" s="257"/>
      <c r="H113" s="111"/>
      <c r="I113" s="127"/>
      <c r="J113" s="111"/>
      <c r="K113" s="111"/>
      <c r="L113" s="111"/>
      <c r="M113" s="128"/>
      <c r="N113" s="124"/>
      <c r="O113" s="125"/>
      <c r="P113" s="126"/>
      <c r="Q113" s="126"/>
      <c r="R113" s="127"/>
      <c r="S113" s="127"/>
      <c r="T113" s="127"/>
      <c r="U113" s="111"/>
      <c r="V113" s="261"/>
      <c r="W113" s="261"/>
      <c r="X113" s="261"/>
      <c r="Y113" s="261"/>
      <c r="Z113" s="261"/>
    </row>
    <row r="114" ht="34.5" customHeight="1">
      <c r="A114" s="111"/>
      <c r="B114" s="127"/>
      <c r="C114" s="111"/>
      <c r="D114" s="111"/>
      <c r="E114" s="111"/>
      <c r="F114" s="111"/>
      <c r="G114" s="257"/>
      <c r="H114" s="111"/>
      <c r="I114" s="127"/>
      <c r="J114" s="111"/>
      <c r="K114" s="111"/>
      <c r="L114" s="111"/>
      <c r="M114" s="128"/>
      <c r="N114" s="124"/>
      <c r="O114" s="125"/>
      <c r="P114" s="126"/>
      <c r="Q114" s="126"/>
      <c r="R114" s="127"/>
      <c r="S114" s="127"/>
      <c r="T114" s="127"/>
      <c r="U114" s="111"/>
      <c r="V114" s="261"/>
      <c r="W114" s="261"/>
      <c r="X114" s="261"/>
      <c r="Y114" s="261"/>
      <c r="Z114" s="261"/>
    </row>
    <row r="115" ht="34.5" customHeight="1">
      <c r="A115" s="111"/>
      <c r="B115" s="127"/>
      <c r="C115" s="111"/>
      <c r="D115" s="111"/>
      <c r="E115" s="111"/>
      <c r="F115" s="111"/>
      <c r="G115" s="257"/>
      <c r="H115" s="111"/>
      <c r="I115" s="127"/>
      <c r="J115" s="111"/>
      <c r="K115" s="111"/>
      <c r="L115" s="111"/>
      <c r="M115" s="128"/>
      <c r="N115" s="124"/>
      <c r="O115" s="125"/>
      <c r="P115" s="126"/>
      <c r="Q115" s="126"/>
      <c r="R115" s="127"/>
      <c r="S115" s="127"/>
      <c r="T115" s="127"/>
      <c r="U115" s="111"/>
      <c r="V115" s="261"/>
      <c r="W115" s="261"/>
      <c r="X115" s="261"/>
      <c r="Y115" s="261"/>
      <c r="Z115" s="261"/>
    </row>
    <row r="116" ht="34.5" customHeight="1">
      <c r="A116" s="111"/>
      <c r="B116" s="127"/>
      <c r="C116" s="111"/>
      <c r="D116" s="111"/>
      <c r="E116" s="111"/>
      <c r="F116" s="111"/>
      <c r="G116" s="257"/>
      <c r="H116" s="111"/>
      <c r="I116" s="127"/>
      <c r="J116" s="111"/>
      <c r="K116" s="111"/>
      <c r="L116" s="111"/>
      <c r="M116" s="128"/>
      <c r="N116" s="124"/>
      <c r="O116" s="125"/>
      <c r="P116" s="126"/>
      <c r="Q116" s="126"/>
      <c r="R116" s="127"/>
      <c r="S116" s="127"/>
      <c r="T116" s="127"/>
      <c r="U116" s="111"/>
      <c r="V116" s="261"/>
      <c r="W116" s="261"/>
      <c r="X116" s="261"/>
      <c r="Y116" s="261"/>
      <c r="Z116" s="261"/>
    </row>
    <row r="117" ht="34.5" customHeight="1">
      <c r="A117" s="111"/>
      <c r="B117" s="127"/>
      <c r="C117" s="111"/>
      <c r="D117" s="111"/>
      <c r="E117" s="111"/>
      <c r="F117" s="111"/>
      <c r="G117" s="257"/>
      <c r="H117" s="111"/>
      <c r="I117" s="127"/>
      <c r="J117" s="111"/>
      <c r="K117" s="111"/>
      <c r="L117" s="111"/>
      <c r="M117" s="128"/>
      <c r="N117" s="124"/>
      <c r="O117" s="125"/>
      <c r="P117" s="126"/>
      <c r="Q117" s="126"/>
      <c r="R117" s="127"/>
      <c r="S117" s="127"/>
      <c r="T117" s="127"/>
      <c r="U117" s="111"/>
      <c r="V117" s="261"/>
      <c r="W117" s="261"/>
      <c r="X117" s="261"/>
      <c r="Y117" s="261"/>
      <c r="Z117" s="261"/>
    </row>
    <row r="118" ht="34.5" customHeight="1">
      <c r="A118" s="111"/>
      <c r="B118" s="127"/>
      <c r="C118" s="111"/>
      <c r="D118" s="111"/>
      <c r="E118" s="111"/>
      <c r="F118" s="111"/>
      <c r="G118" s="257"/>
      <c r="H118" s="111"/>
      <c r="I118" s="127"/>
      <c r="J118" s="111"/>
      <c r="K118" s="111"/>
      <c r="L118" s="111"/>
      <c r="M118" s="128"/>
      <c r="N118" s="124"/>
      <c r="O118" s="125"/>
      <c r="P118" s="126"/>
      <c r="Q118" s="126"/>
      <c r="R118" s="127"/>
      <c r="S118" s="127"/>
      <c r="T118" s="127"/>
      <c r="U118" s="111"/>
      <c r="V118" s="261"/>
      <c r="W118" s="261"/>
      <c r="X118" s="261"/>
      <c r="Y118" s="261"/>
      <c r="Z118" s="261"/>
    </row>
    <row r="119" ht="34.5" customHeight="1">
      <c r="A119" s="111"/>
      <c r="B119" s="127"/>
      <c r="C119" s="111"/>
      <c r="D119" s="111"/>
      <c r="E119" s="111"/>
      <c r="F119" s="111"/>
      <c r="G119" s="257"/>
      <c r="H119" s="111"/>
      <c r="I119" s="127"/>
      <c r="J119" s="111"/>
      <c r="K119" s="111"/>
      <c r="L119" s="111"/>
      <c r="M119" s="128"/>
      <c r="N119" s="124"/>
      <c r="O119" s="125"/>
      <c r="P119" s="126"/>
      <c r="Q119" s="126"/>
      <c r="R119" s="127"/>
      <c r="S119" s="127"/>
      <c r="T119" s="127"/>
      <c r="U119" s="111"/>
      <c r="V119" s="261"/>
      <c r="W119" s="261"/>
      <c r="X119" s="261"/>
      <c r="Y119" s="261"/>
      <c r="Z119" s="261"/>
    </row>
    <row r="120" ht="34.5" customHeight="1">
      <c r="A120" s="111"/>
      <c r="B120" s="127"/>
      <c r="C120" s="111"/>
      <c r="D120" s="111"/>
      <c r="E120" s="111"/>
      <c r="F120" s="111"/>
      <c r="G120" s="257"/>
      <c r="H120" s="111"/>
      <c r="I120" s="127"/>
      <c r="J120" s="111"/>
      <c r="K120" s="111"/>
      <c r="L120" s="111"/>
      <c r="M120" s="128"/>
      <c r="N120" s="124"/>
      <c r="O120" s="125"/>
      <c r="P120" s="126"/>
      <c r="Q120" s="126"/>
      <c r="R120" s="127"/>
      <c r="S120" s="127"/>
      <c r="T120" s="127"/>
      <c r="U120" s="111"/>
      <c r="V120" s="261"/>
      <c r="W120" s="261"/>
      <c r="X120" s="261"/>
      <c r="Y120" s="261"/>
      <c r="Z120" s="261"/>
    </row>
    <row r="121" ht="34.5" customHeight="1">
      <c r="A121" s="111"/>
      <c r="B121" s="127"/>
      <c r="C121" s="111"/>
      <c r="D121" s="111"/>
      <c r="E121" s="111"/>
      <c r="F121" s="111"/>
      <c r="G121" s="257"/>
      <c r="H121" s="111"/>
      <c r="I121" s="127"/>
      <c r="J121" s="111"/>
      <c r="K121" s="111"/>
      <c r="L121" s="111"/>
      <c r="M121" s="128"/>
      <c r="N121" s="124"/>
      <c r="O121" s="125"/>
      <c r="P121" s="126"/>
      <c r="Q121" s="126"/>
      <c r="R121" s="127"/>
      <c r="S121" s="127"/>
      <c r="T121" s="127"/>
      <c r="U121" s="111"/>
      <c r="V121" s="261"/>
      <c r="W121" s="261"/>
      <c r="X121" s="261"/>
      <c r="Y121" s="261"/>
      <c r="Z121" s="261"/>
    </row>
    <row r="122" ht="34.5" customHeight="1">
      <c r="A122" s="111"/>
      <c r="B122" s="127"/>
      <c r="C122" s="111"/>
      <c r="D122" s="111"/>
      <c r="E122" s="111"/>
      <c r="F122" s="111"/>
      <c r="G122" s="257"/>
      <c r="H122" s="111"/>
      <c r="I122" s="127"/>
      <c r="J122" s="111"/>
      <c r="K122" s="111"/>
      <c r="L122" s="111"/>
      <c r="M122" s="128"/>
      <c r="N122" s="124"/>
      <c r="O122" s="125"/>
      <c r="P122" s="126"/>
      <c r="Q122" s="126"/>
      <c r="R122" s="127"/>
      <c r="S122" s="127"/>
      <c r="T122" s="127"/>
      <c r="U122" s="111"/>
      <c r="V122" s="261"/>
      <c r="W122" s="261"/>
      <c r="X122" s="261"/>
      <c r="Y122" s="261"/>
      <c r="Z122" s="261"/>
    </row>
    <row r="123" ht="34.5" customHeight="1">
      <c r="A123" s="111"/>
      <c r="B123" s="127"/>
      <c r="C123" s="111"/>
      <c r="D123" s="111"/>
      <c r="E123" s="111"/>
      <c r="F123" s="111"/>
      <c r="G123" s="257"/>
      <c r="H123" s="111"/>
      <c r="I123" s="127"/>
      <c r="J123" s="111"/>
      <c r="K123" s="111"/>
      <c r="L123" s="111"/>
      <c r="M123" s="128"/>
      <c r="N123" s="124"/>
      <c r="O123" s="125"/>
      <c r="P123" s="126"/>
      <c r="Q123" s="126"/>
      <c r="R123" s="127"/>
      <c r="S123" s="127"/>
      <c r="T123" s="127"/>
      <c r="U123" s="111"/>
      <c r="V123" s="261"/>
      <c r="W123" s="261"/>
      <c r="X123" s="261"/>
      <c r="Y123" s="261"/>
      <c r="Z123" s="261"/>
    </row>
    <row r="124" ht="34.5" customHeight="1">
      <c r="A124" s="111"/>
      <c r="B124" s="127"/>
      <c r="C124" s="111"/>
      <c r="D124" s="111"/>
      <c r="E124" s="111"/>
      <c r="F124" s="111"/>
      <c r="G124" s="257"/>
      <c r="H124" s="111"/>
      <c r="I124" s="127"/>
      <c r="J124" s="111"/>
      <c r="K124" s="111"/>
      <c r="L124" s="111"/>
      <c r="M124" s="128"/>
      <c r="N124" s="124"/>
      <c r="O124" s="125"/>
      <c r="P124" s="126"/>
      <c r="Q124" s="126"/>
      <c r="R124" s="127"/>
      <c r="S124" s="127"/>
      <c r="T124" s="127"/>
      <c r="U124" s="111"/>
      <c r="V124" s="261"/>
      <c r="W124" s="261"/>
      <c r="X124" s="261"/>
      <c r="Y124" s="261"/>
      <c r="Z124" s="261"/>
    </row>
    <row r="125" ht="34.5" customHeight="1">
      <c r="A125" s="111"/>
      <c r="B125" s="127"/>
      <c r="C125" s="111"/>
      <c r="D125" s="111"/>
      <c r="E125" s="111"/>
      <c r="F125" s="111"/>
      <c r="G125" s="257"/>
      <c r="H125" s="111"/>
      <c r="I125" s="127"/>
      <c r="J125" s="111"/>
      <c r="K125" s="111"/>
      <c r="L125" s="111"/>
      <c r="M125" s="128"/>
      <c r="N125" s="124"/>
      <c r="O125" s="125"/>
      <c r="P125" s="126"/>
      <c r="Q125" s="126"/>
      <c r="R125" s="127"/>
      <c r="S125" s="127"/>
      <c r="T125" s="127"/>
      <c r="U125" s="111"/>
      <c r="V125" s="261"/>
      <c r="W125" s="261"/>
      <c r="X125" s="261"/>
      <c r="Y125" s="261"/>
      <c r="Z125" s="261"/>
    </row>
    <row r="126" ht="34.5" customHeight="1">
      <c r="A126" s="111"/>
      <c r="B126" s="127"/>
      <c r="C126" s="111"/>
      <c r="D126" s="111"/>
      <c r="E126" s="111"/>
      <c r="F126" s="111"/>
      <c r="G126" s="257"/>
      <c r="H126" s="111"/>
      <c r="I126" s="127"/>
      <c r="J126" s="111"/>
      <c r="K126" s="111"/>
      <c r="L126" s="111"/>
      <c r="M126" s="128"/>
      <c r="N126" s="124"/>
      <c r="O126" s="125"/>
      <c r="P126" s="126"/>
      <c r="Q126" s="126"/>
      <c r="R126" s="127"/>
      <c r="S126" s="127"/>
      <c r="T126" s="127"/>
      <c r="U126" s="111"/>
      <c r="V126" s="261"/>
      <c r="W126" s="261"/>
      <c r="X126" s="261"/>
      <c r="Y126" s="261"/>
      <c r="Z126" s="261"/>
    </row>
    <row r="127" ht="34.5" customHeight="1">
      <c r="A127" s="111"/>
      <c r="B127" s="127"/>
      <c r="C127" s="111"/>
      <c r="D127" s="111"/>
      <c r="E127" s="111"/>
      <c r="F127" s="111"/>
      <c r="G127" s="257"/>
      <c r="H127" s="111"/>
      <c r="I127" s="127"/>
      <c r="J127" s="111"/>
      <c r="K127" s="111"/>
      <c r="L127" s="111"/>
      <c r="M127" s="128"/>
      <c r="N127" s="124"/>
      <c r="O127" s="125"/>
      <c r="P127" s="126"/>
      <c r="Q127" s="126"/>
      <c r="R127" s="127"/>
      <c r="S127" s="127"/>
      <c r="T127" s="127"/>
      <c r="U127" s="111"/>
      <c r="V127" s="261"/>
      <c r="W127" s="261"/>
      <c r="X127" s="261"/>
      <c r="Y127" s="261"/>
      <c r="Z127" s="261"/>
    </row>
    <row r="128" ht="34.5" customHeight="1">
      <c r="A128" s="111"/>
      <c r="B128" s="127"/>
      <c r="C128" s="111"/>
      <c r="D128" s="111"/>
      <c r="E128" s="111"/>
      <c r="F128" s="111"/>
      <c r="G128" s="257"/>
      <c r="H128" s="111"/>
      <c r="I128" s="127"/>
      <c r="J128" s="111"/>
      <c r="K128" s="111"/>
      <c r="L128" s="111"/>
      <c r="M128" s="128"/>
      <c r="N128" s="124"/>
      <c r="O128" s="125"/>
      <c r="P128" s="126"/>
      <c r="Q128" s="126"/>
      <c r="R128" s="127"/>
      <c r="S128" s="127"/>
      <c r="T128" s="127"/>
      <c r="U128" s="111"/>
      <c r="V128" s="261"/>
      <c r="W128" s="261"/>
      <c r="X128" s="261"/>
      <c r="Y128" s="261"/>
      <c r="Z128" s="261"/>
    </row>
    <row r="129" ht="34.5" customHeight="1">
      <c r="A129" s="111"/>
      <c r="B129" s="127"/>
      <c r="C129" s="111"/>
      <c r="D129" s="111"/>
      <c r="E129" s="111"/>
      <c r="F129" s="111"/>
      <c r="G129" s="257"/>
      <c r="H129" s="111"/>
      <c r="I129" s="127"/>
      <c r="J129" s="111"/>
      <c r="K129" s="111"/>
      <c r="L129" s="111"/>
      <c r="M129" s="128"/>
      <c r="N129" s="124"/>
      <c r="O129" s="125"/>
      <c r="P129" s="126"/>
      <c r="Q129" s="126"/>
      <c r="R129" s="127"/>
      <c r="S129" s="127"/>
      <c r="T129" s="127"/>
      <c r="U129" s="111"/>
      <c r="V129" s="261"/>
      <c r="W129" s="261"/>
      <c r="X129" s="261"/>
      <c r="Y129" s="261"/>
      <c r="Z129" s="261"/>
    </row>
    <row r="130" ht="34.5" customHeight="1">
      <c r="A130" s="111"/>
      <c r="B130" s="127"/>
      <c r="C130" s="111"/>
      <c r="D130" s="111"/>
      <c r="E130" s="111"/>
      <c r="F130" s="111"/>
      <c r="G130" s="257"/>
      <c r="H130" s="111"/>
      <c r="I130" s="127"/>
      <c r="J130" s="111"/>
      <c r="K130" s="111"/>
      <c r="L130" s="111"/>
      <c r="M130" s="128"/>
      <c r="N130" s="124"/>
      <c r="O130" s="125"/>
      <c r="P130" s="126"/>
      <c r="Q130" s="126"/>
      <c r="R130" s="127"/>
      <c r="S130" s="127"/>
      <c r="T130" s="127"/>
      <c r="U130" s="111"/>
      <c r="V130" s="261"/>
      <c r="W130" s="261"/>
      <c r="X130" s="261"/>
      <c r="Y130" s="261"/>
      <c r="Z130" s="261"/>
    </row>
    <row r="131" ht="34.5" customHeight="1">
      <c r="A131" s="111"/>
      <c r="B131" s="127"/>
      <c r="C131" s="111"/>
      <c r="D131" s="111"/>
      <c r="E131" s="111"/>
      <c r="F131" s="111"/>
      <c r="G131" s="257"/>
      <c r="H131" s="111"/>
      <c r="I131" s="127"/>
      <c r="J131" s="111"/>
      <c r="K131" s="111"/>
      <c r="L131" s="111"/>
      <c r="M131" s="128"/>
      <c r="N131" s="124"/>
      <c r="O131" s="125"/>
      <c r="P131" s="126"/>
      <c r="Q131" s="126"/>
      <c r="R131" s="127"/>
      <c r="S131" s="127"/>
      <c r="T131" s="127"/>
      <c r="U131" s="111"/>
      <c r="V131" s="261"/>
      <c r="W131" s="261"/>
      <c r="X131" s="261"/>
      <c r="Y131" s="261"/>
      <c r="Z131" s="261"/>
    </row>
    <row r="132" ht="34.5" customHeight="1">
      <c r="A132" s="111"/>
      <c r="B132" s="127"/>
      <c r="C132" s="111"/>
      <c r="D132" s="111"/>
      <c r="E132" s="111"/>
      <c r="F132" s="111"/>
      <c r="G132" s="257"/>
      <c r="H132" s="111"/>
      <c r="I132" s="127"/>
      <c r="J132" s="111"/>
      <c r="K132" s="111"/>
      <c r="L132" s="111"/>
      <c r="M132" s="128"/>
      <c r="N132" s="124"/>
      <c r="O132" s="125"/>
      <c r="P132" s="126"/>
      <c r="Q132" s="126"/>
      <c r="R132" s="127"/>
      <c r="S132" s="127"/>
      <c r="T132" s="127"/>
      <c r="U132" s="111"/>
      <c r="V132" s="261"/>
      <c r="W132" s="261"/>
      <c r="X132" s="261"/>
      <c r="Y132" s="261"/>
      <c r="Z132" s="261"/>
    </row>
    <row r="133" ht="34.5" customHeight="1">
      <c r="A133" s="111"/>
      <c r="B133" s="127"/>
      <c r="C133" s="111"/>
      <c r="D133" s="111"/>
      <c r="E133" s="111"/>
      <c r="F133" s="111"/>
      <c r="G133" s="257"/>
      <c r="H133" s="111"/>
      <c r="I133" s="127"/>
      <c r="J133" s="111"/>
      <c r="K133" s="111"/>
      <c r="L133" s="111"/>
      <c r="M133" s="128"/>
      <c r="N133" s="124"/>
      <c r="O133" s="125"/>
      <c r="P133" s="126"/>
      <c r="Q133" s="126"/>
      <c r="R133" s="127"/>
      <c r="S133" s="127"/>
      <c r="T133" s="127"/>
      <c r="U133" s="111"/>
      <c r="V133" s="261"/>
      <c r="W133" s="261"/>
      <c r="X133" s="261"/>
      <c r="Y133" s="261"/>
      <c r="Z133" s="261"/>
    </row>
    <row r="134" ht="34.5" customHeight="1">
      <c r="A134" s="111"/>
      <c r="B134" s="127"/>
      <c r="C134" s="111"/>
      <c r="D134" s="111"/>
      <c r="E134" s="111"/>
      <c r="F134" s="111"/>
      <c r="G134" s="257"/>
      <c r="H134" s="111"/>
      <c r="I134" s="127"/>
      <c r="J134" s="111"/>
      <c r="K134" s="111"/>
      <c r="L134" s="111"/>
      <c r="M134" s="128"/>
      <c r="N134" s="124"/>
      <c r="O134" s="125"/>
      <c r="P134" s="126"/>
      <c r="Q134" s="126"/>
      <c r="R134" s="127"/>
      <c r="S134" s="127"/>
      <c r="T134" s="127"/>
      <c r="U134" s="111"/>
      <c r="V134" s="261"/>
      <c r="W134" s="261"/>
      <c r="X134" s="261"/>
      <c r="Y134" s="261"/>
      <c r="Z134" s="261"/>
    </row>
    <row r="135" ht="34.5" customHeight="1">
      <c r="A135" s="111"/>
      <c r="B135" s="127"/>
      <c r="C135" s="111"/>
      <c r="D135" s="111"/>
      <c r="E135" s="111"/>
      <c r="F135" s="111"/>
      <c r="G135" s="257"/>
      <c r="H135" s="111"/>
      <c r="I135" s="127"/>
      <c r="J135" s="111"/>
      <c r="K135" s="111"/>
      <c r="L135" s="111"/>
      <c r="M135" s="128"/>
      <c r="N135" s="124"/>
      <c r="O135" s="125"/>
      <c r="P135" s="126"/>
      <c r="Q135" s="126"/>
      <c r="R135" s="127"/>
      <c r="S135" s="127"/>
      <c r="T135" s="127"/>
      <c r="U135" s="111"/>
      <c r="V135" s="261"/>
      <c r="W135" s="261"/>
      <c r="X135" s="261"/>
      <c r="Y135" s="261"/>
      <c r="Z135" s="261"/>
    </row>
    <row r="136" ht="34.5" customHeight="1">
      <c r="A136" s="111"/>
      <c r="B136" s="127"/>
      <c r="C136" s="111"/>
      <c r="D136" s="111"/>
      <c r="E136" s="111"/>
      <c r="F136" s="111"/>
      <c r="G136" s="257"/>
      <c r="H136" s="111"/>
      <c r="I136" s="127"/>
      <c r="J136" s="111"/>
      <c r="K136" s="111"/>
      <c r="L136" s="111"/>
      <c r="M136" s="128"/>
      <c r="N136" s="124"/>
      <c r="O136" s="125"/>
      <c r="P136" s="126"/>
      <c r="Q136" s="126"/>
      <c r="R136" s="127"/>
      <c r="S136" s="127"/>
      <c r="T136" s="127"/>
      <c r="U136" s="111"/>
      <c r="V136" s="261"/>
      <c r="W136" s="261"/>
      <c r="X136" s="261"/>
      <c r="Y136" s="261"/>
      <c r="Z136" s="261"/>
    </row>
    <row r="137" ht="34.5" customHeight="1">
      <c r="A137" s="111"/>
      <c r="B137" s="127"/>
      <c r="C137" s="111"/>
      <c r="D137" s="111"/>
      <c r="E137" s="111"/>
      <c r="F137" s="111"/>
      <c r="G137" s="257"/>
      <c r="H137" s="111"/>
      <c r="I137" s="127"/>
      <c r="J137" s="111"/>
      <c r="K137" s="111"/>
      <c r="L137" s="111"/>
      <c r="M137" s="128"/>
      <c r="N137" s="124"/>
      <c r="O137" s="125"/>
      <c r="P137" s="126"/>
      <c r="Q137" s="126"/>
      <c r="R137" s="127"/>
      <c r="S137" s="127"/>
      <c r="T137" s="127"/>
      <c r="U137" s="111"/>
      <c r="V137" s="261"/>
      <c r="W137" s="261"/>
      <c r="X137" s="261"/>
      <c r="Y137" s="261"/>
      <c r="Z137" s="261"/>
    </row>
    <row r="138" ht="34.5" customHeight="1">
      <c r="A138" s="111"/>
      <c r="B138" s="127"/>
      <c r="C138" s="111"/>
      <c r="D138" s="111"/>
      <c r="E138" s="111"/>
      <c r="F138" s="111"/>
      <c r="G138" s="257"/>
      <c r="H138" s="111"/>
      <c r="I138" s="127"/>
      <c r="J138" s="111"/>
      <c r="K138" s="111"/>
      <c r="L138" s="111"/>
      <c r="M138" s="128"/>
      <c r="N138" s="124"/>
      <c r="O138" s="125"/>
      <c r="P138" s="126"/>
      <c r="Q138" s="126"/>
      <c r="R138" s="127"/>
      <c r="S138" s="127"/>
      <c r="T138" s="127"/>
      <c r="U138" s="111"/>
      <c r="V138" s="261"/>
      <c r="W138" s="261"/>
      <c r="X138" s="261"/>
      <c r="Y138" s="261"/>
      <c r="Z138" s="261"/>
    </row>
    <row r="139" ht="34.5" customHeight="1">
      <c r="A139" s="111"/>
      <c r="B139" s="127"/>
      <c r="C139" s="111"/>
      <c r="D139" s="111"/>
      <c r="E139" s="111"/>
      <c r="F139" s="111"/>
      <c r="G139" s="257"/>
      <c r="H139" s="111"/>
      <c r="I139" s="127"/>
      <c r="J139" s="111"/>
      <c r="K139" s="111"/>
      <c r="L139" s="111"/>
      <c r="M139" s="128"/>
      <c r="N139" s="124"/>
      <c r="O139" s="125"/>
      <c r="P139" s="126"/>
      <c r="Q139" s="126"/>
      <c r="R139" s="127"/>
      <c r="S139" s="127"/>
      <c r="T139" s="127"/>
      <c r="U139" s="111"/>
      <c r="V139" s="261"/>
      <c r="W139" s="261"/>
      <c r="X139" s="261"/>
      <c r="Y139" s="261"/>
      <c r="Z139" s="261"/>
    </row>
    <row r="140" ht="34.5" customHeight="1">
      <c r="A140" s="111"/>
      <c r="B140" s="127"/>
      <c r="C140" s="111"/>
      <c r="D140" s="111"/>
      <c r="E140" s="111"/>
      <c r="F140" s="111"/>
      <c r="G140" s="257"/>
      <c r="H140" s="111"/>
      <c r="I140" s="127"/>
      <c r="J140" s="111"/>
      <c r="K140" s="111"/>
      <c r="L140" s="111"/>
      <c r="M140" s="128"/>
      <c r="N140" s="124"/>
      <c r="O140" s="125"/>
      <c r="P140" s="126"/>
      <c r="Q140" s="126"/>
      <c r="R140" s="127"/>
      <c r="S140" s="127"/>
      <c r="T140" s="127"/>
      <c r="U140" s="111"/>
      <c r="V140" s="261"/>
      <c r="W140" s="261"/>
      <c r="X140" s="261"/>
      <c r="Y140" s="261"/>
      <c r="Z140" s="261"/>
    </row>
    <row r="141" ht="34.5" customHeight="1">
      <c r="A141" s="111"/>
      <c r="B141" s="127"/>
      <c r="C141" s="111"/>
      <c r="D141" s="111"/>
      <c r="E141" s="111"/>
      <c r="F141" s="111"/>
      <c r="G141" s="257"/>
      <c r="H141" s="111"/>
      <c r="I141" s="127"/>
      <c r="J141" s="111"/>
      <c r="K141" s="111"/>
      <c r="L141" s="111"/>
      <c r="M141" s="128"/>
      <c r="N141" s="124"/>
      <c r="O141" s="125"/>
      <c r="P141" s="126"/>
      <c r="Q141" s="126"/>
      <c r="R141" s="127"/>
      <c r="S141" s="127"/>
      <c r="T141" s="127"/>
      <c r="U141" s="111"/>
      <c r="V141" s="261"/>
      <c r="W141" s="261"/>
      <c r="X141" s="261"/>
      <c r="Y141" s="261"/>
      <c r="Z141" s="261"/>
    </row>
    <row r="142" ht="34.5" customHeight="1">
      <c r="A142" s="111"/>
      <c r="B142" s="127"/>
      <c r="C142" s="111"/>
      <c r="D142" s="111"/>
      <c r="E142" s="111"/>
      <c r="F142" s="111"/>
      <c r="G142" s="257"/>
      <c r="H142" s="111"/>
      <c r="I142" s="127"/>
      <c r="J142" s="111"/>
      <c r="K142" s="111"/>
      <c r="L142" s="111"/>
      <c r="M142" s="128"/>
      <c r="N142" s="124"/>
      <c r="O142" s="125"/>
      <c r="P142" s="126"/>
      <c r="Q142" s="126"/>
      <c r="R142" s="127"/>
      <c r="S142" s="127"/>
      <c r="T142" s="127"/>
      <c r="U142" s="111"/>
      <c r="V142" s="261"/>
      <c r="W142" s="261"/>
      <c r="X142" s="261"/>
      <c r="Y142" s="261"/>
      <c r="Z142" s="261"/>
    </row>
    <row r="143" ht="34.5" customHeight="1">
      <c r="A143" s="111"/>
      <c r="B143" s="127"/>
      <c r="C143" s="111"/>
      <c r="D143" s="111"/>
      <c r="E143" s="111"/>
      <c r="F143" s="111"/>
      <c r="G143" s="257"/>
      <c r="H143" s="111"/>
      <c r="I143" s="127"/>
      <c r="J143" s="111"/>
      <c r="K143" s="111"/>
      <c r="L143" s="111"/>
      <c r="M143" s="128"/>
      <c r="N143" s="124"/>
      <c r="O143" s="125"/>
      <c r="P143" s="126"/>
      <c r="Q143" s="126"/>
      <c r="R143" s="127"/>
      <c r="S143" s="127"/>
      <c r="T143" s="127"/>
      <c r="U143" s="111"/>
      <c r="V143" s="261"/>
      <c r="W143" s="261"/>
      <c r="X143" s="261"/>
      <c r="Y143" s="261"/>
      <c r="Z143" s="261"/>
    </row>
    <row r="144" ht="34.5" customHeight="1">
      <c r="A144" s="111"/>
      <c r="B144" s="127"/>
      <c r="C144" s="111"/>
      <c r="D144" s="111"/>
      <c r="E144" s="111"/>
      <c r="F144" s="111"/>
      <c r="G144" s="257"/>
      <c r="H144" s="111"/>
      <c r="I144" s="127"/>
      <c r="J144" s="111"/>
      <c r="K144" s="111"/>
      <c r="L144" s="111"/>
      <c r="M144" s="128"/>
      <c r="N144" s="124"/>
      <c r="O144" s="125"/>
      <c r="P144" s="126"/>
      <c r="Q144" s="126"/>
      <c r="R144" s="127"/>
      <c r="S144" s="127"/>
      <c r="T144" s="127"/>
      <c r="U144" s="111"/>
      <c r="V144" s="261"/>
      <c r="W144" s="261"/>
      <c r="X144" s="261"/>
      <c r="Y144" s="261"/>
      <c r="Z144" s="261"/>
    </row>
    <row r="145" ht="34.5" customHeight="1">
      <c r="A145" s="111"/>
      <c r="B145" s="127"/>
      <c r="C145" s="111"/>
      <c r="D145" s="111"/>
      <c r="E145" s="111"/>
      <c r="F145" s="111"/>
      <c r="G145" s="257"/>
      <c r="H145" s="111"/>
      <c r="I145" s="127"/>
      <c r="J145" s="111"/>
      <c r="K145" s="111"/>
      <c r="L145" s="111"/>
      <c r="M145" s="128"/>
      <c r="N145" s="124"/>
      <c r="O145" s="125"/>
      <c r="P145" s="126"/>
      <c r="Q145" s="126"/>
      <c r="R145" s="127"/>
      <c r="S145" s="127"/>
      <c r="T145" s="127"/>
      <c r="U145" s="111"/>
      <c r="V145" s="261"/>
      <c r="W145" s="261"/>
      <c r="X145" s="261"/>
      <c r="Y145" s="261"/>
      <c r="Z145" s="261"/>
    </row>
    <row r="146" ht="34.5" customHeight="1">
      <c r="A146" s="111"/>
      <c r="B146" s="127"/>
      <c r="C146" s="111"/>
      <c r="D146" s="111"/>
      <c r="E146" s="111"/>
      <c r="F146" s="111"/>
      <c r="G146" s="257"/>
      <c r="H146" s="111"/>
      <c r="I146" s="127"/>
      <c r="J146" s="111"/>
      <c r="K146" s="111"/>
      <c r="L146" s="111"/>
      <c r="M146" s="128"/>
      <c r="N146" s="124"/>
      <c r="O146" s="125"/>
      <c r="P146" s="126"/>
      <c r="Q146" s="126"/>
      <c r="R146" s="127"/>
      <c r="S146" s="127"/>
      <c r="T146" s="127"/>
      <c r="U146" s="111"/>
      <c r="V146" s="261"/>
      <c r="W146" s="261"/>
      <c r="X146" s="261"/>
      <c r="Y146" s="261"/>
      <c r="Z146" s="261"/>
    </row>
    <row r="147" ht="34.5" customHeight="1">
      <c r="A147" s="111"/>
      <c r="B147" s="127"/>
      <c r="C147" s="111"/>
      <c r="D147" s="111"/>
      <c r="E147" s="111"/>
      <c r="F147" s="111"/>
      <c r="G147" s="257"/>
      <c r="H147" s="111"/>
      <c r="I147" s="127"/>
      <c r="J147" s="111"/>
      <c r="K147" s="111"/>
      <c r="L147" s="111"/>
      <c r="M147" s="128"/>
      <c r="N147" s="124"/>
      <c r="O147" s="125"/>
      <c r="P147" s="126"/>
      <c r="Q147" s="126"/>
      <c r="R147" s="127"/>
      <c r="S147" s="127"/>
      <c r="T147" s="127"/>
      <c r="U147" s="111"/>
      <c r="V147" s="261"/>
      <c r="W147" s="261"/>
      <c r="X147" s="261"/>
      <c r="Y147" s="261"/>
      <c r="Z147" s="261"/>
    </row>
    <row r="148" ht="34.5" customHeight="1">
      <c r="A148" s="111"/>
      <c r="B148" s="127"/>
      <c r="C148" s="111"/>
      <c r="D148" s="111"/>
      <c r="E148" s="111"/>
      <c r="F148" s="111"/>
      <c r="G148" s="257"/>
      <c r="H148" s="111"/>
      <c r="I148" s="127"/>
      <c r="J148" s="111"/>
      <c r="K148" s="111"/>
      <c r="L148" s="111"/>
      <c r="M148" s="128"/>
      <c r="N148" s="124"/>
      <c r="O148" s="125"/>
      <c r="P148" s="126"/>
      <c r="Q148" s="126"/>
      <c r="R148" s="127"/>
      <c r="S148" s="127"/>
      <c r="T148" s="127"/>
      <c r="U148" s="111"/>
      <c r="V148" s="261"/>
      <c r="W148" s="261"/>
      <c r="X148" s="261"/>
      <c r="Y148" s="261"/>
      <c r="Z148" s="261"/>
    </row>
    <row r="149" ht="34.5" customHeight="1">
      <c r="A149" s="111"/>
      <c r="B149" s="127"/>
      <c r="C149" s="111"/>
      <c r="D149" s="111"/>
      <c r="E149" s="111"/>
      <c r="F149" s="111"/>
      <c r="G149" s="257"/>
      <c r="H149" s="111"/>
      <c r="I149" s="127"/>
      <c r="J149" s="111"/>
      <c r="K149" s="111"/>
      <c r="L149" s="111"/>
      <c r="M149" s="128"/>
      <c r="N149" s="124"/>
      <c r="O149" s="125"/>
      <c r="P149" s="126"/>
      <c r="Q149" s="126"/>
      <c r="R149" s="127"/>
      <c r="S149" s="127"/>
      <c r="T149" s="127"/>
      <c r="U149" s="111"/>
      <c r="V149" s="261"/>
      <c r="W149" s="261"/>
      <c r="X149" s="261"/>
      <c r="Y149" s="261"/>
      <c r="Z149" s="261"/>
    </row>
    <row r="150" ht="34.5" customHeight="1">
      <c r="A150" s="111"/>
      <c r="B150" s="127"/>
      <c r="C150" s="111"/>
      <c r="D150" s="111"/>
      <c r="E150" s="111"/>
      <c r="F150" s="111"/>
      <c r="G150" s="257"/>
      <c r="H150" s="111"/>
      <c r="I150" s="127"/>
      <c r="J150" s="111"/>
      <c r="K150" s="111"/>
      <c r="L150" s="111"/>
      <c r="M150" s="128"/>
      <c r="N150" s="124"/>
      <c r="O150" s="125"/>
      <c r="P150" s="126"/>
      <c r="Q150" s="126"/>
      <c r="R150" s="127"/>
      <c r="S150" s="127"/>
      <c r="T150" s="127"/>
      <c r="U150" s="111"/>
      <c r="V150" s="261"/>
      <c r="W150" s="261"/>
      <c r="X150" s="261"/>
      <c r="Y150" s="261"/>
      <c r="Z150" s="261"/>
    </row>
    <row r="151" ht="34.5" customHeight="1">
      <c r="A151" s="111"/>
      <c r="B151" s="127"/>
      <c r="C151" s="111"/>
      <c r="D151" s="111"/>
      <c r="E151" s="111"/>
      <c r="F151" s="111"/>
      <c r="G151" s="257"/>
      <c r="H151" s="111"/>
      <c r="I151" s="127"/>
      <c r="J151" s="111"/>
      <c r="K151" s="111"/>
      <c r="L151" s="111"/>
      <c r="M151" s="128"/>
      <c r="N151" s="124"/>
      <c r="O151" s="125"/>
      <c r="P151" s="126"/>
      <c r="Q151" s="126"/>
      <c r="R151" s="127"/>
      <c r="S151" s="127"/>
      <c r="T151" s="127"/>
      <c r="U151" s="111"/>
      <c r="V151" s="261"/>
      <c r="W151" s="261"/>
      <c r="X151" s="261"/>
      <c r="Y151" s="261"/>
      <c r="Z151" s="261"/>
    </row>
    <row r="152" ht="34.5" customHeight="1">
      <c r="A152" s="111"/>
      <c r="B152" s="127"/>
      <c r="C152" s="111"/>
      <c r="D152" s="111"/>
      <c r="E152" s="111"/>
      <c r="F152" s="111"/>
      <c r="G152" s="257"/>
      <c r="H152" s="111"/>
      <c r="I152" s="127"/>
      <c r="J152" s="111"/>
      <c r="K152" s="111"/>
      <c r="L152" s="111"/>
      <c r="M152" s="128"/>
      <c r="N152" s="124"/>
      <c r="O152" s="125"/>
      <c r="P152" s="126"/>
      <c r="Q152" s="126"/>
      <c r="R152" s="127"/>
      <c r="S152" s="127"/>
      <c r="T152" s="127"/>
      <c r="U152" s="111"/>
      <c r="V152" s="261"/>
      <c r="W152" s="261"/>
      <c r="X152" s="261"/>
      <c r="Y152" s="261"/>
      <c r="Z152" s="261"/>
    </row>
    <row r="153" ht="34.5" customHeight="1">
      <c r="A153" s="111"/>
      <c r="B153" s="127"/>
      <c r="C153" s="111"/>
      <c r="D153" s="111"/>
      <c r="E153" s="111"/>
      <c r="F153" s="111"/>
      <c r="G153" s="257"/>
      <c r="H153" s="111"/>
      <c r="I153" s="127"/>
      <c r="J153" s="111"/>
      <c r="K153" s="111"/>
      <c r="L153" s="111"/>
      <c r="M153" s="128"/>
      <c r="N153" s="124"/>
      <c r="O153" s="125"/>
      <c r="P153" s="126"/>
      <c r="Q153" s="126"/>
      <c r="R153" s="127"/>
      <c r="S153" s="127"/>
      <c r="T153" s="127"/>
      <c r="U153" s="111"/>
      <c r="V153" s="261"/>
      <c r="W153" s="261"/>
      <c r="X153" s="261"/>
      <c r="Y153" s="261"/>
      <c r="Z153" s="261"/>
    </row>
    <row r="154" ht="34.5" customHeight="1">
      <c r="A154" s="111"/>
      <c r="B154" s="127"/>
      <c r="C154" s="111"/>
      <c r="D154" s="111"/>
      <c r="E154" s="111"/>
      <c r="F154" s="111"/>
      <c r="G154" s="257"/>
      <c r="H154" s="111"/>
      <c r="I154" s="127"/>
      <c r="J154" s="111"/>
      <c r="K154" s="111"/>
      <c r="L154" s="111"/>
      <c r="M154" s="128"/>
      <c r="N154" s="124"/>
      <c r="O154" s="125"/>
      <c r="P154" s="126"/>
      <c r="Q154" s="126"/>
      <c r="R154" s="127"/>
      <c r="S154" s="127"/>
      <c r="T154" s="127"/>
      <c r="U154" s="111"/>
      <c r="V154" s="261"/>
      <c r="W154" s="261"/>
      <c r="X154" s="261"/>
      <c r="Y154" s="261"/>
      <c r="Z154" s="261"/>
    </row>
    <row r="155" ht="34.5" customHeight="1">
      <c r="A155" s="111"/>
      <c r="B155" s="127"/>
      <c r="C155" s="111"/>
      <c r="D155" s="111"/>
      <c r="E155" s="111"/>
      <c r="F155" s="111"/>
      <c r="G155" s="257"/>
      <c r="H155" s="111"/>
      <c r="I155" s="127"/>
      <c r="J155" s="111"/>
      <c r="K155" s="111"/>
      <c r="L155" s="111"/>
      <c r="M155" s="128"/>
      <c r="N155" s="124"/>
      <c r="O155" s="125"/>
      <c r="P155" s="126"/>
      <c r="Q155" s="126"/>
      <c r="R155" s="127"/>
      <c r="S155" s="127"/>
      <c r="T155" s="127"/>
      <c r="U155" s="111"/>
      <c r="V155" s="261"/>
      <c r="W155" s="261"/>
      <c r="X155" s="261"/>
      <c r="Y155" s="261"/>
      <c r="Z155" s="261"/>
    </row>
    <row r="156" ht="34.5" customHeight="1">
      <c r="A156" s="111"/>
      <c r="B156" s="127"/>
      <c r="C156" s="111"/>
      <c r="D156" s="111"/>
      <c r="E156" s="111"/>
      <c r="F156" s="111"/>
      <c r="G156" s="257"/>
      <c r="H156" s="111"/>
      <c r="I156" s="127"/>
      <c r="J156" s="111"/>
      <c r="K156" s="111"/>
      <c r="L156" s="111"/>
      <c r="M156" s="128"/>
      <c r="N156" s="124"/>
      <c r="O156" s="125"/>
      <c r="P156" s="126"/>
      <c r="Q156" s="126"/>
      <c r="R156" s="127"/>
      <c r="S156" s="127"/>
      <c r="T156" s="127"/>
      <c r="U156" s="111"/>
      <c r="V156" s="261"/>
      <c r="W156" s="261"/>
      <c r="X156" s="261"/>
      <c r="Y156" s="261"/>
      <c r="Z156" s="261"/>
    </row>
    <row r="157" ht="34.5" customHeight="1">
      <c r="A157" s="111"/>
      <c r="B157" s="127"/>
      <c r="C157" s="111"/>
      <c r="D157" s="111"/>
      <c r="E157" s="111"/>
      <c r="F157" s="111"/>
      <c r="G157" s="257"/>
      <c r="H157" s="111"/>
      <c r="I157" s="127"/>
      <c r="J157" s="111"/>
      <c r="K157" s="111"/>
      <c r="L157" s="111"/>
      <c r="M157" s="128"/>
      <c r="N157" s="124"/>
      <c r="O157" s="125"/>
      <c r="P157" s="126"/>
      <c r="Q157" s="126"/>
      <c r="R157" s="127"/>
      <c r="S157" s="127"/>
      <c r="T157" s="127"/>
      <c r="U157" s="111"/>
      <c r="V157" s="261"/>
      <c r="W157" s="261"/>
      <c r="X157" s="261"/>
      <c r="Y157" s="261"/>
      <c r="Z157" s="261"/>
    </row>
    <row r="158" ht="34.5" customHeight="1">
      <c r="A158" s="111"/>
      <c r="B158" s="127"/>
      <c r="C158" s="111"/>
      <c r="D158" s="111"/>
      <c r="E158" s="111"/>
      <c r="F158" s="111"/>
      <c r="G158" s="257"/>
      <c r="H158" s="111"/>
      <c r="I158" s="127"/>
      <c r="J158" s="111"/>
      <c r="K158" s="111"/>
      <c r="L158" s="111"/>
      <c r="M158" s="128"/>
      <c r="N158" s="124"/>
      <c r="O158" s="125"/>
      <c r="P158" s="126"/>
      <c r="Q158" s="126"/>
      <c r="R158" s="127"/>
      <c r="S158" s="127"/>
      <c r="T158" s="127"/>
      <c r="U158" s="111"/>
      <c r="V158" s="261"/>
      <c r="W158" s="261"/>
      <c r="X158" s="261"/>
      <c r="Y158" s="261"/>
      <c r="Z158" s="261"/>
    </row>
    <row r="159" ht="34.5" customHeight="1">
      <c r="A159" s="111"/>
      <c r="B159" s="127"/>
      <c r="C159" s="111"/>
      <c r="D159" s="111"/>
      <c r="E159" s="111"/>
      <c r="F159" s="111"/>
      <c r="G159" s="257"/>
      <c r="H159" s="111"/>
      <c r="I159" s="127"/>
      <c r="J159" s="111"/>
      <c r="K159" s="111"/>
      <c r="L159" s="111"/>
      <c r="M159" s="128"/>
      <c r="N159" s="124"/>
      <c r="O159" s="125"/>
      <c r="P159" s="126"/>
      <c r="Q159" s="126"/>
      <c r="R159" s="127"/>
      <c r="S159" s="127"/>
      <c r="T159" s="127"/>
      <c r="U159" s="111"/>
      <c r="V159" s="261"/>
      <c r="W159" s="261"/>
      <c r="X159" s="261"/>
      <c r="Y159" s="261"/>
      <c r="Z159" s="261"/>
    </row>
    <row r="160" ht="34.5" customHeight="1">
      <c r="A160" s="111"/>
      <c r="B160" s="127"/>
      <c r="C160" s="111"/>
      <c r="D160" s="111"/>
      <c r="E160" s="111"/>
      <c r="F160" s="111"/>
      <c r="G160" s="257"/>
      <c r="H160" s="111"/>
      <c r="I160" s="127"/>
      <c r="J160" s="111"/>
      <c r="K160" s="111"/>
      <c r="L160" s="111"/>
      <c r="M160" s="128"/>
      <c r="N160" s="124"/>
      <c r="O160" s="125"/>
      <c r="P160" s="126"/>
      <c r="Q160" s="126"/>
      <c r="R160" s="127"/>
      <c r="S160" s="127"/>
      <c r="T160" s="127"/>
      <c r="U160" s="111"/>
      <c r="V160" s="261"/>
      <c r="W160" s="261"/>
      <c r="X160" s="261"/>
      <c r="Y160" s="261"/>
      <c r="Z160" s="261"/>
    </row>
    <row r="161" ht="34.5" customHeight="1">
      <c r="A161" s="111"/>
      <c r="B161" s="127"/>
      <c r="C161" s="111"/>
      <c r="D161" s="111"/>
      <c r="E161" s="111"/>
      <c r="F161" s="111"/>
      <c r="G161" s="257"/>
      <c r="H161" s="111"/>
      <c r="I161" s="127"/>
      <c r="J161" s="111"/>
      <c r="K161" s="111"/>
      <c r="L161" s="111"/>
      <c r="M161" s="128"/>
      <c r="N161" s="124"/>
      <c r="O161" s="125"/>
      <c r="P161" s="126"/>
      <c r="Q161" s="126"/>
      <c r="R161" s="127"/>
      <c r="S161" s="127"/>
      <c r="T161" s="127"/>
      <c r="U161" s="111"/>
      <c r="V161" s="261"/>
      <c r="W161" s="261"/>
      <c r="X161" s="261"/>
      <c r="Y161" s="261"/>
      <c r="Z161" s="261"/>
    </row>
    <row r="162" ht="34.5" customHeight="1">
      <c r="A162" s="111"/>
      <c r="B162" s="127"/>
      <c r="C162" s="111"/>
      <c r="D162" s="111"/>
      <c r="E162" s="111"/>
      <c r="F162" s="111"/>
      <c r="G162" s="257"/>
      <c r="H162" s="111"/>
      <c r="I162" s="127"/>
      <c r="J162" s="111"/>
      <c r="K162" s="111"/>
      <c r="L162" s="111"/>
      <c r="M162" s="128"/>
      <c r="N162" s="124"/>
      <c r="O162" s="125"/>
      <c r="P162" s="126"/>
      <c r="Q162" s="126"/>
      <c r="R162" s="127"/>
      <c r="S162" s="127"/>
      <c r="T162" s="127"/>
      <c r="U162" s="111"/>
      <c r="V162" s="261"/>
      <c r="W162" s="261"/>
      <c r="X162" s="261"/>
      <c r="Y162" s="261"/>
      <c r="Z162" s="261"/>
    </row>
    <row r="163" ht="34.5" customHeight="1">
      <c r="A163" s="111"/>
      <c r="B163" s="127"/>
      <c r="C163" s="111"/>
      <c r="D163" s="111"/>
      <c r="E163" s="111"/>
      <c r="F163" s="111"/>
      <c r="G163" s="257"/>
      <c r="H163" s="111"/>
      <c r="I163" s="127"/>
      <c r="J163" s="111"/>
      <c r="K163" s="111"/>
      <c r="L163" s="111"/>
      <c r="M163" s="128"/>
      <c r="N163" s="124"/>
      <c r="O163" s="125"/>
      <c r="P163" s="126"/>
      <c r="Q163" s="126"/>
      <c r="R163" s="127"/>
      <c r="S163" s="127"/>
      <c r="T163" s="127"/>
      <c r="U163" s="111"/>
      <c r="V163" s="261"/>
      <c r="W163" s="261"/>
      <c r="X163" s="261"/>
      <c r="Y163" s="261"/>
      <c r="Z163" s="261"/>
    </row>
    <row r="164" ht="34.5" customHeight="1">
      <c r="A164" s="111"/>
      <c r="B164" s="127"/>
      <c r="C164" s="111"/>
      <c r="D164" s="111"/>
      <c r="E164" s="111"/>
      <c r="F164" s="111"/>
      <c r="G164" s="257"/>
      <c r="H164" s="111"/>
      <c r="I164" s="127"/>
      <c r="J164" s="111"/>
      <c r="K164" s="111"/>
      <c r="L164" s="111"/>
      <c r="M164" s="128"/>
      <c r="N164" s="124"/>
      <c r="O164" s="125"/>
      <c r="P164" s="126"/>
      <c r="Q164" s="126"/>
      <c r="R164" s="127"/>
      <c r="S164" s="127"/>
      <c r="T164" s="127"/>
      <c r="U164" s="111"/>
      <c r="V164" s="261"/>
      <c r="W164" s="261"/>
      <c r="X164" s="261"/>
      <c r="Y164" s="261"/>
      <c r="Z164" s="261"/>
    </row>
    <row r="165" ht="34.5" customHeight="1">
      <c r="A165" s="111"/>
      <c r="B165" s="127"/>
      <c r="C165" s="111"/>
      <c r="D165" s="111"/>
      <c r="E165" s="111"/>
      <c r="F165" s="111"/>
      <c r="G165" s="257"/>
      <c r="H165" s="111"/>
      <c r="I165" s="127"/>
      <c r="J165" s="111"/>
      <c r="K165" s="111"/>
      <c r="L165" s="111"/>
      <c r="M165" s="128"/>
      <c r="N165" s="124"/>
      <c r="O165" s="125"/>
      <c r="P165" s="126"/>
      <c r="Q165" s="126"/>
      <c r="R165" s="127"/>
      <c r="S165" s="127"/>
      <c r="T165" s="127"/>
      <c r="U165" s="111"/>
      <c r="V165" s="261"/>
      <c r="W165" s="261"/>
      <c r="X165" s="261"/>
      <c r="Y165" s="261"/>
      <c r="Z165" s="261"/>
    </row>
    <row r="166" ht="34.5" customHeight="1">
      <c r="A166" s="111"/>
      <c r="B166" s="127"/>
      <c r="C166" s="111"/>
      <c r="D166" s="111"/>
      <c r="E166" s="111"/>
      <c r="F166" s="111"/>
      <c r="G166" s="257"/>
      <c r="H166" s="111"/>
      <c r="I166" s="127"/>
      <c r="J166" s="111"/>
      <c r="K166" s="111"/>
      <c r="L166" s="111"/>
      <c r="M166" s="128"/>
      <c r="N166" s="124"/>
      <c r="O166" s="125"/>
      <c r="P166" s="126"/>
      <c r="Q166" s="126"/>
      <c r="R166" s="127"/>
      <c r="S166" s="127"/>
      <c r="T166" s="127"/>
      <c r="U166" s="111"/>
      <c r="V166" s="261"/>
      <c r="W166" s="261"/>
      <c r="X166" s="261"/>
      <c r="Y166" s="261"/>
      <c r="Z166" s="261"/>
    </row>
    <row r="167" ht="34.5" customHeight="1">
      <c r="A167" s="111"/>
      <c r="B167" s="127"/>
      <c r="C167" s="111"/>
      <c r="D167" s="111"/>
      <c r="E167" s="111"/>
      <c r="F167" s="111"/>
      <c r="G167" s="257"/>
      <c r="H167" s="111"/>
      <c r="I167" s="127"/>
      <c r="J167" s="111"/>
      <c r="K167" s="111"/>
      <c r="L167" s="111"/>
      <c r="M167" s="128"/>
      <c r="N167" s="124"/>
      <c r="O167" s="125"/>
      <c r="P167" s="126"/>
      <c r="Q167" s="126"/>
      <c r="R167" s="127"/>
      <c r="S167" s="127"/>
      <c r="T167" s="127"/>
      <c r="U167" s="111"/>
      <c r="V167" s="261"/>
      <c r="W167" s="261"/>
      <c r="X167" s="261"/>
      <c r="Y167" s="261"/>
      <c r="Z167" s="261"/>
    </row>
    <row r="168" ht="34.5" customHeight="1">
      <c r="A168" s="111"/>
      <c r="B168" s="127"/>
      <c r="C168" s="111"/>
      <c r="D168" s="111"/>
      <c r="E168" s="111"/>
      <c r="F168" s="111"/>
      <c r="G168" s="257"/>
      <c r="H168" s="111"/>
      <c r="I168" s="127"/>
      <c r="J168" s="111"/>
      <c r="K168" s="111"/>
      <c r="L168" s="111"/>
      <c r="M168" s="128"/>
      <c r="N168" s="124"/>
      <c r="O168" s="125"/>
      <c r="P168" s="126"/>
      <c r="Q168" s="126"/>
      <c r="R168" s="127"/>
      <c r="S168" s="127"/>
      <c r="T168" s="127"/>
      <c r="U168" s="111"/>
      <c r="V168" s="261"/>
      <c r="W168" s="261"/>
      <c r="X168" s="261"/>
      <c r="Y168" s="261"/>
      <c r="Z168" s="261"/>
    </row>
    <row r="169" ht="34.5" customHeight="1">
      <c r="A169" s="111"/>
      <c r="B169" s="127"/>
      <c r="C169" s="111"/>
      <c r="D169" s="111"/>
      <c r="E169" s="111"/>
      <c r="F169" s="111"/>
      <c r="G169" s="257"/>
      <c r="H169" s="111"/>
      <c r="I169" s="127"/>
      <c r="J169" s="111"/>
      <c r="K169" s="111"/>
      <c r="L169" s="111"/>
      <c r="M169" s="128"/>
      <c r="N169" s="124"/>
      <c r="O169" s="125"/>
      <c r="P169" s="126"/>
      <c r="Q169" s="126"/>
      <c r="R169" s="127"/>
      <c r="S169" s="127"/>
      <c r="T169" s="127"/>
      <c r="U169" s="111"/>
      <c r="V169" s="261"/>
      <c r="W169" s="261"/>
      <c r="X169" s="261"/>
      <c r="Y169" s="261"/>
      <c r="Z169" s="261"/>
    </row>
    <row r="170" ht="34.5" customHeight="1">
      <c r="A170" s="111"/>
      <c r="B170" s="127"/>
      <c r="C170" s="111"/>
      <c r="D170" s="111"/>
      <c r="E170" s="111"/>
      <c r="F170" s="111"/>
      <c r="G170" s="257"/>
      <c r="H170" s="111"/>
      <c r="I170" s="127"/>
      <c r="J170" s="111"/>
      <c r="K170" s="111"/>
      <c r="L170" s="111"/>
      <c r="M170" s="128"/>
      <c r="N170" s="124"/>
      <c r="O170" s="125"/>
      <c r="P170" s="126"/>
      <c r="Q170" s="126"/>
      <c r="R170" s="127"/>
      <c r="S170" s="127"/>
      <c r="T170" s="127"/>
      <c r="U170" s="111"/>
      <c r="V170" s="261"/>
      <c r="W170" s="261"/>
      <c r="X170" s="261"/>
      <c r="Y170" s="261"/>
      <c r="Z170" s="261"/>
    </row>
    <row r="171" ht="34.5" customHeight="1">
      <c r="A171" s="111"/>
      <c r="B171" s="127"/>
      <c r="C171" s="111"/>
      <c r="D171" s="111"/>
      <c r="E171" s="111"/>
      <c r="F171" s="111"/>
      <c r="G171" s="257"/>
      <c r="H171" s="111"/>
      <c r="I171" s="127"/>
      <c r="J171" s="111"/>
      <c r="K171" s="111"/>
      <c r="L171" s="111"/>
      <c r="M171" s="128"/>
      <c r="N171" s="124"/>
      <c r="O171" s="125"/>
      <c r="P171" s="126"/>
      <c r="Q171" s="126"/>
      <c r="R171" s="127"/>
      <c r="S171" s="127"/>
      <c r="T171" s="127"/>
      <c r="U171" s="111"/>
      <c r="V171" s="261"/>
      <c r="W171" s="261"/>
      <c r="X171" s="261"/>
      <c r="Y171" s="261"/>
      <c r="Z171" s="261"/>
    </row>
    <row r="172" ht="34.5" customHeight="1">
      <c r="A172" s="111"/>
      <c r="B172" s="127"/>
      <c r="C172" s="111"/>
      <c r="D172" s="111"/>
      <c r="E172" s="111"/>
      <c r="F172" s="111"/>
      <c r="G172" s="257"/>
      <c r="H172" s="111"/>
      <c r="I172" s="127"/>
      <c r="J172" s="111"/>
      <c r="K172" s="111"/>
      <c r="L172" s="111"/>
      <c r="M172" s="128"/>
      <c r="N172" s="124"/>
      <c r="O172" s="125"/>
      <c r="P172" s="126"/>
      <c r="Q172" s="126"/>
      <c r="R172" s="127"/>
      <c r="S172" s="127"/>
      <c r="T172" s="127"/>
      <c r="U172" s="111"/>
      <c r="V172" s="261"/>
      <c r="W172" s="261"/>
      <c r="X172" s="261"/>
      <c r="Y172" s="261"/>
      <c r="Z172" s="261"/>
    </row>
    <row r="173" ht="34.5" customHeight="1">
      <c r="A173" s="111"/>
      <c r="B173" s="127"/>
      <c r="C173" s="111"/>
      <c r="D173" s="111"/>
      <c r="E173" s="111"/>
      <c r="F173" s="111"/>
      <c r="G173" s="257"/>
      <c r="H173" s="111"/>
      <c r="I173" s="127"/>
      <c r="J173" s="111"/>
      <c r="K173" s="111"/>
      <c r="L173" s="111"/>
      <c r="M173" s="128"/>
      <c r="N173" s="124"/>
      <c r="O173" s="125"/>
      <c r="P173" s="126"/>
      <c r="Q173" s="126"/>
      <c r="R173" s="127"/>
      <c r="S173" s="127"/>
      <c r="T173" s="127"/>
      <c r="U173" s="111"/>
      <c r="V173" s="261"/>
      <c r="W173" s="261"/>
      <c r="X173" s="261"/>
      <c r="Y173" s="261"/>
      <c r="Z173" s="261"/>
    </row>
    <row r="174" ht="34.5" customHeight="1">
      <c r="A174" s="111"/>
      <c r="B174" s="127"/>
      <c r="C174" s="111"/>
      <c r="D174" s="111"/>
      <c r="E174" s="111"/>
      <c r="F174" s="111"/>
      <c r="G174" s="257"/>
      <c r="H174" s="111"/>
      <c r="I174" s="127"/>
      <c r="J174" s="111"/>
      <c r="K174" s="111"/>
      <c r="L174" s="111"/>
      <c r="M174" s="128"/>
      <c r="N174" s="124"/>
      <c r="O174" s="125"/>
      <c r="P174" s="126"/>
      <c r="Q174" s="126"/>
      <c r="R174" s="127"/>
      <c r="S174" s="127"/>
      <c r="T174" s="127"/>
      <c r="U174" s="111"/>
      <c r="V174" s="261"/>
      <c r="W174" s="261"/>
      <c r="X174" s="261"/>
      <c r="Y174" s="261"/>
      <c r="Z174" s="261"/>
    </row>
    <row r="175" ht="34.5" customHeight="1">
      <c r="A175" s="111"/>
      <c r="B175" s="127"/>
      <c r="C175" s="111"/>
      <c r="D175" s="111"/>
      <c r="E175" s="111"/>
      <c r="F175" s="111"/>
      <c r="G175" s="257"/>
      <c r="H175" s="111"/>
      <c r="I175" s="127"/>
      <c r="J175" s="111"/>
      <c r="K175" s="111"/>
      <c r="L175" s="111"/>
      <c r="M175" s="128"/>
      <c r="N175" s="124"/>
      <c r="O175" s="125"/>
      <c r="P175" s="126"/>
      <c r="Q175" s="126"/>
      <c r="R175" s="127"/>
      <c r="S175" s="127"/>
      <c r="T175" s="127"/>
      <c r="U175" s="111"/>
      <c r="V175" s="261"/>
      <c r="W175" s="261"/>
      <c r="X175" s="261"/>
      <c r="Y175" s="261"/>
      <c r="Z175" s="261"/>
    </row>
    <row r="176" ht="34.5" customHeight="1">
      <c r="A176" s="111"/>
      <c r="B176" s="127"/>
      <c r="C176" s="111"/>
      <c r="D176" s="111"/>
      <c r="E176" s="111"/>
      <c r="F176" s="111"/>
      <c r="G176" s="257"/>
      <c r="H176" s="111"/>
      <c r="I176" s="127"/>
      <c r="J176" s="111"/>
      <c r="K176" s="111"/>
      <c r="L176" s="111"/>
      <c r="M176" s="128"/>
      <c r="N176" s="124"/>
      <c r="O176" s="125"/>
      <c r="P176" s="126"/>
      <c r="Q176" s="126"/>
      <c r="R176" s="127"/>
      <c r="S176" s="127"/>
      <c r="T176" s="127"/>
      <c r="U176" s="111"/>
      <c r="V176" s="261"/>
      <c r="W176" s="261"/>
      <c r="X176" s="261"/>
      <c r="Y176" s="261"/>
      <c r="Z176" s="261"/>
    </row>
    <row r="177" ht="34.5" customHeight="1">
      <c r="A177" s="111"/>
      <c r="B177" s="127"/>
      <c r="C177" s="111"/>
      <c r="D177" s="111"/>
      <c r="E177" s="111"/>
      <c r="F177" s="111"/>
      <c r="G177" s="257"/>
      <c r="H177" s="111"/>
      <c r="I177" s="127"/>
      <c r="J177" s="111"/>
      <c r="K177" s="111"/>
      <c r="L177" s="111"/>
      <c r="M177" s="128"/>
      <c r="N177" s="124"/>
      <c r="O177" s="125"/>
      <c r="P177" s="126"/>
      <c r="Q177" s="126"/>
      <c r="R177" s="127"/>
      <c r="S177" s="127"/>
      <c r="T177" s="127"/>
      <c r="U177" s="111"/>
      <c r="V177" s="261"/>
      <c r="W177" s="261"/>
      <c r="X177" s="261"/>
      <c r="Y177" s="261"/>
      <c r="Z177" s="261"/>
    </row>
    <row r="178" ht="34.5" customHeight="1">
      <c r="A178" s="111"/>
      <c r="B178" s="127"/>
      <c r="C178" s="111"/>
      <c r="D178" s="111"/>
      <c r="E178" s="111"/>
      <c r="F178" s="111"/>
      <c r="G178" s="257"/>
      <c r="H178" s="111"/>
      <c r="I178" s="127"/>
      <c r="J178" s="111"/>
      <c r="K178" s="111"/>
      <c r="L178" s="111"/>
      <c r="M178" s="128"/>
      <c r="N178" s="124"/>
      <c r="O178" s="125"/>
      <c r="P178" s="126"/>
      <c r="Q178" s="126"/>
      <c r="R178" s="127"/>
      <c r="S178" s="127"/>
      <c r="T178" s="127"/>
      <c r="U178" s="111"/>
      <c r="V178" s="261"/>
      <c r="W178" s="261"/>
      <c r="X178" s="261"/>
      <c r="Y178" s="261"/>
      <c r="Z178" s="261"/>
    </row>
    <row r="179" ht="34.5" customHeight="1">
      <c r="A179" s="111"/>
      <c r="B179" s="127"/>
      <c r="C179" s="111"/>
      <c r="D179" s="111"/>
      <c r="E179" s="111"/>
      <c r="F179" s="111"/>
      <c r="G179" s="257"/>
      <c r="H179" s="111"/>
      <c r="I179" s="127"/>
      <c r="J179" s="111"/>
      <c r="K179" s="111"/>
      <c r="L179" s="111"/>
      <c r="M179" s="128"/>
      <c r="N179" s="124"/>
      <c r="O179" s="125"/>
      <c r="P179" s="126"/>
      <c r="Q179" s="126"/>
      <c r="R179" s="127"/>
      <c r="S179" s="127"/>
      <c r="T179" s="127"/>
      <c r="U179" s="111"/>
      <c r="V179" s="261"/>
      <c r="W179" s="261"/>
      <c r="X179" s="261"/>
      <c r="Y179" s="261"/>
      <c r="Z179" s="261"/>
    </row>
    <row r="180" ht="34.5" customHeight="1">
      <c r="A180" s="111"/>
      <c r="B180" s="127"/>
      <c r="C180" s="111"/>
      <c r="D180" s="111"/>
      <c r="E180" s="111"/>
      <c r="F180" s="111"/>
      <c r="G180" s="257"/>
      <c r="H180" s="111"/>
      <c r="I180" s="127"/>
      <c r="J180" s="111"/>
      <c r="K180" s="111"/>
      <c r="L180" s="111"/>
      <c r="M180" s="128"/>
      <c r="N180" s="124"/>
      <c r="O180" s="125"/>
      <c r="P180" s="126"/>
      <c r="Q180" s="126"/>
      <c r="R180" s="127"/>
      <c r="S180" s="127"/>
      <c r="T180" s="127"/>
      <c r="U180" s="111"/>
      <c r="V180" s="261"/>
      <c r="W180" s="261"/>
      <c r="X180" s="261"/>
      <c r="Y180" s="261"/>
      <c r="Z180" s="261"/>
    </row>
    <row r="181" ht="34.5" customHeight="1">
      <c r="A181" s="111"/>
      <c r="B181" s="127"/>
      <c r="C181" s="111"/>
      <c r="D181" s="111"/>
      <c r="E181" s="111"/>
      <c r="F181" s="111"/>
      <c r="G181" s="257"/>
      <c r="H181" s="111"/>
      <c r="I181" s="127"/>
      <c r="J181" s="111"/>
      <c r="K181" s="111"/>
      <c r="L181" s="111"/>
      <c r="M181" s="128"/>
      <c r="N181" s="124"/>
      <c r="O181" s="125"/>
      <c r="P181" s="126"/>
      <c r="Q181" s="126"/>
      <c r="R181" s="127"/>
      <c r="S181" s="127"/>
      <c r="T181" s="127"/>
      <c r="U181" s="111"/>
      <c r="V181" s="261"/>
      <c r="W181" s="261"/>
      <c r="X181" s="261"/>
      <c r="Y181" s="261"/>
      <c r="Z181" s="261"/>
    </row>
    <row r="182" ht="34.5" customHeight="1">
      <c r="A182" s="111"/>
      <c r="B182" s="127"/>
      <c r="C182" s="111"/>
      <c r="D182" s="111"/>
      <c r="E182" s="111"/>
      <c r="F182" s="111"/>
      <c r="G182" s="257"/>
      <c r="H182" s="111"/>
      <c r="I182" s="127"/>
      <c r="J182" s="111"/>
      <c r="K182" s="111"/>
      <c r="L182" s="111"/>
      <c r="M182" s="128"/>
      <c r="N182" s="124"/>
      <c r="O182" s="125"/>
      <c r="P182" s="126"/>
      <c r="Q182" s="126"/>
      <c r="R182" s="127"/>
      <c r="S182" s="127"/>
      <c r="T182" s="127"/>
      <c r="U182" s="111"/>
      <c r="V182" s="261"/>
      <c r="W182" s="261"/>
      <c r="X182" s="261"/>
      <c r="Y182" s="261"/>
      <c r="Z182" s="261"/>
    </row>
    <row r="183" ht="34.5" customHeight="1">
      <c r="A183" s="111"/>
      <c r="B183" s="127"/>
      <c r="C183" s="111"/>
      <c r="D183" s="111"/>
      <c r="E183" s="111"/>
      <c r="F183" s="111"/>
      <c r="G183" s="257"/>
      <c r="H183" s="111"/>
      <c r="I183" s="127"/>
      <c r="J183" s="111"/>
      <c r="K183" s="111"/>
      <c r="L183" s="111"/>
      <c r="M183" s="128"/>
      <c r="N183" s="124"/>
      <c r="O183" s="125"/>
      <c r="P183" s="126"/>
      <c r="Q183" s="126"/>
      <c r="R183" s="127"/>
      <c r="S183" s="127"/>
      <c r="T183" s="127"/>
      <c r="U183" s="111"/>
      <c r="V183" s="261"/>
      <c r="W183" s="261"/>
      <c r="X183" s="261"/>
      <c r="Y183" s="261"/>
      <c r="Z183" s="261"/>
    </row>
    <row r="184" ht="34.5" customHeight="1">
      <c r="A184" s="111"/>
      <c r="B184" s="127"/>
      <c r="C184" s="111"/>
      <c r="D184" s="111"/>
      <c r="E184" s="111"/>
      <c r="F184" s="111"/>
      <c r="G184" s="257"/>
      <c r="H184" s="111"/>
      <c r="I184" s="127"/>
      <c r="J184" s="111"/>
      <c r="K184" s="111"/>
      <c r="L184" s="111"/>
      <c r="M184" s="128"/>
      <c r="N184" s="124"/>
      <c r="O184" s="125"/>
      <c r="P184" s="126"/>
      <c r="Q184" s="126"/>
      <c r="R184" s="127"/>
      <c r="S184" s="127"/>
      <c r="T184" s="127"/>
      <c r="U184" s="111"/>
      <c r="V184" s="261"/>
      <c r="W184" s="261"/>
      <c r="X184" s="261"/>
      <c r="Y184" s="261"/>
      <c r="Z184" s="261"/>
    </row>
    <row r="185" ht="34.5" customHeight="1">
      <c r="A185" s="111"/>
      <c r="B185" s="127"/>
      <c r="C185" s="111"/>
      <c r="D185" s="111"/>
      <c r="E185" s="111"/>
      <c r="F185" s="111"/>
      <c r="G185" s="257"/>
      <c r="H185" s="111"/>
      <c r="I185" s="127"/>
      <c r="J185" s="111"/>
      <c r="K185" s="111"/>
      <c r="L185" s="111"/>
      <c r="M185" s="128"/>
      <c r="N185" s="124"/>
      <c r="O185" s="125"/>
      <c r="P185" s="126"/>
      <c r="Q185" s="126"/>
      <c r="R185" s="127"/>
      <c r="S185" s="127"/>
      <c r="T185" s="127"/>
      <c r="U185" s="111"/>
      <c r="V185" s="261"/>
      <c r="W185" s="261"/>
      <c r="X185" s="261"/>
      <c r="Y185" s="261"/>
      <c r="Z185" s="261"/>
    </row>
    <row r="186" ht="34.5" customHeight="1">
      <c r="A186" s="111"/>
      <c r="B186" s="127"/>
      <c r="C186" s="111"/>
      <c r="D186" s="111"/>
      <c r="E186" s="111"/>
      <c r="F186" s="111"/>
      <c r="G186" s="257"/>
      <c r="H186" s="111"/>
      <c r="I186" s="127"/>
      <c r="J186" s="111"/>
      <c r="K186" s="111"/>
      <c r="L186" s="111"/>
      <c r="M186" s="128"/>
      <c r="N186" s="124"/>
      <c r="O186" s="125"/>
      <c r="P186" s="126"/>
      <c r="Q186" s="126"/>
      <c r="R186" s="127"/>
      <c r="S186" s="127"/>
      <c r="T186" s="127"/>
      <c r="U186" s="111"/>
      <c r="V186" s="261"/>
      <c r="W186" s="261"/>
      <c r="X186" s="261"/>
      <c r="Y186" s="261"/>
      <c r="Z186" s="261"/>
    </row>
    <row r="187" ht="34.5" customHeight="1">
      <c r="A187" s="111"/>
      <c r="B187" s="127"/>
      <c r="C187" s="111"/>
      <c r="D187" s="111"/>
      <c r="E187" s="111"/>
      <c r="F187" s="111"/>
      <c r="G187" s="257"/>
      <c r="H187" s="111"/>
      <c r="I187" s="127"/>
      <c r="J187" s="111"/>
      <c r="K187" s="111"/>
      <c r="L187" s="111"/>
      <c r="M187" s="128"/>
      <c r="N187" s="124"/>
      <c r="O187" s="125"/>
      <c r="P187" s="126"/>
      <c r="Q187" s="126"/>
      <c r="R187" s="127"/>
      <c r="S187" s="127"/>
      <c r="T187" s="127"/>
      <c r="U187" s="111"/>
      <c r="V187" s="261"/>
      <c r="W187" s="261"/>
      <c r="X187" s="261"/>
      <c r="Y187" s="261"/>
      <c r="Z187" s="261"/>
    </row>
    <row r="188" ht="34.5" customHeight="1">
      <c r="A188" s="111"/>
      <c r="B188" s="127"/>
      <c r="C188" s="111"/>
      <c r="D188" s="111"/>
      <c r="E188" s="111"/>
      <c r="F188" s="111"/>
      <c r="G188" s="257"/>
      <c r="H188" s="111"/>
      <c r="I188" s="127"/>
      <c r="J188" s="111"/>
      <c r="K188" s="111"/>
      <c r="L188" s="111"/>
      <c r="M188" s="128"/>
      <c r="N188" s="124"/>
      <c r="O188" s="125"/>
      <c r="P188" s="126"/>
      <c r="Q188" s="126"/>
      <c r="R188" s="127"/>
      <c r="S188" s="127"/>
      <c r="T188" s="127"/>
      <c r="U188" s="111"/>
      <c r="V188" s="261"/>
      <c r="W188" s="261"/>
      <c r="X188" s="261"/>
      <c r="Y188" s="261"/>
      <c r="Z188" s="261"/>
    </row>
    <row r="189" ht="34.5" customHeight="1">
      <c r="A189" s="111"/>
      <c r="B189" s="127"/>
      <c r="C189" s="111"/>
      <c r="D189" s="111"/>
      <c r="E189" s="111"/>
      <c r="F189" s="111"/>
      <c r="G189" s="257"/>
      <c r="H189" s="111"/>
      <c r="I189" s="127"/>
      <c r="J189" s="111"/>
      <c r="K189" s="111"/>
      <c r="L189" s="111"/>
      <c r="M189" s="128"/>
      <c r="N189" s="124"/>
      <c r="O189" s="125"/>
      <c r="P189" s="126"/>
      <c r="Q189" s="126"/>
      <c r="R189" s="127"/>
      <c r="S189" s="127"/>
      <c r="T189" s="127"/>
      <c r="U189" s="111"/>
      <c r="V189" s="261"/>
      <c r="W189" s="261"/>
      <c r="X189" s="261"/>
      <c r="Y189" s="261"/>
      <c r="Z189" s="261"/>
    </row>
    <row r="190" ht="34.5" customHeight="1">
      <c r="A190" s="111"/>
      <c r="B190" s="127"/>
      <c r="C190" s="111"/>
      <c r="D190" s="111"/>
      <c r="E190" s="111"/>
      <c r="F190" s="111"/>
      <c r="G190" s="257"/>
      <c r="H190" s="111"/>
      <c r="I190" s="127"/>
      <c r="J190" s="111"/>
      <c r="K190" s="111"/>
      <c r="L190" s="111"/>
      <c r="M190" s="128"/>
      <c r="N190" s="124"/>
      <c r="O190" s="125"/>
      <c r="P190" s="126"/>
      <c r="Q190" s="126"/>
      <c r="R190" s="127"/>
      <c r="S190" s="127"/>
      <c r="T190" s="127"/>
      <c r="U190" s="111"/>
      <c r="V190" s="261"/>
      <c r="W190" s="261"/>
      <c r="X190" s="261"/>
      <c r="Y190" s="261"/>
      <c r="Z190" s="261"/>
    </row>
    <row r="191" ht="34.5" customHeight="1">
      <c r="A191" s="111"/>
      <c r="B191" s="127"/>
      <c r="C191" s="111"/>
      <c r="D191" s="111"/>
      <c r="E191" s="111"/>
      <c r="F191" s="111"/>
      <c r="G191" s="257"/>
      <c r="H191" s="111"/>
      <c r="I191" s="127"/>
      <c r="J191" s="111"/>
      <c r="K191" s="111"/>
      <c r="L191" s="111"/>
      <c r="M191" s="128"/>
      <c r="N191" s="124"/>
      <c r="O191" s="125"/>
      <c r="P191" s="126"/>
      <c r="Q191" s="126"/>
      <c r="R191" s="127"/>
      <c r="S191" s="127"/>
      <c r="T191" s="127"/>
      <c r="U191" s="111"/>
      <c r="V191" s="261"/>
      <c r="W191" s="261"/>
      <c r="X191" s="261"/>
      <c r="Y191" s="261"/>
      <c r="Z191" s="261"/>
    </row>
    <row r="192" ht="34.5" customHeight="1">
      <c r="A192" s="111"/>
      <c r="B192" s="127"/>
      <c r="C192" s="111"/>
      <c r="D192" s="111"/>
      <c r="E192" s="111"/>
      <c r="F192" s="111"/>
      <c r="G192" s="257"/>
      <c r="H192" s="111"/>
      <c r="I192" s="127"/>
      <c r="J192" s="111"/>
      <c r="K192" s="111"/>
      <c r="L192" s="111"/>
      <c r="M192" s="128"/>
      <c r="N192" s="124"/>
      <c r="O192" s="125"/>
      <c r="P192" s="126"/>
      <c r="Q192" s="126"/>
      <c r="R192" s="127"/>
      <c r="S192" s="127"/>
      <c r="T192" s="127"/>
      <c r="U192" s="111"/>
      <c r="V192" s="261"/>
      <c r="W192" s="261"/>
      <c r="X192" s="261"/>
      <c r="Y192" s="261"/>
      <c r="Z192" s="261"/>
    </row>
    <row r="193" ht="34.5" customHeight="1">
      <c r="A193" s="111"/>
      <c r="B193" s="127"/>
      <c r="C193" s="111"/>
      <c r="D193" s="111"/>
      <c r="E193" s="111"/>
      <c r="F193" s="111"/>
      <c r="G193" s="257"/>
      <c r="H193" s="111"/>
      <c r="I193" s="127"/>
      <c r="J193" s="111"/>
      <c r="K193" s="111"/>
      <c r="L193" s="111"/>
      <c r="M193" s="128"/>
      <c r="N193" s="124"/>
      <c r="O193" s="125"/>
      <c r="P193" s="126"/>
      <c r="Q193" s="126"/>
      <c r="R193" s="127"/>
      <c r="S193" s="127"/>
      <c r="T193" s="127"/>
      <c r="U193" s="111"/>
      <c r="V193" s="261"/>
      <c r="W193" s="261"/>
      <c r="X193" s="261"/>
      <c r="Y193" s="261"/>
      <c r="Z193" s="261"/>
    </row>
    <row r="194" ht="34.5" customHeight="1">
      <c r="A194" s="111"/>
      <c r="B194" s="127"/>
      <c r="C194" s="111"/>
      <c r="D194" s="111"/>
      <c r="E194" s="111"/>
      <c r="F194" s="111"/>
      <c r="G194" s="257"/>
      <c r="H194" s="111"/>
      <c r="I194" s="127"/>
      <c r="J194" s="111"/>
      <c r="K194" s="111"/>
      <c r="L194" s="111"/>
      <c r="M194" s="128"/>
      <c r="N194" s="124"/>
      <c r="O194" s="125"/>
      <c r="P194" s="126"/>
      <c r="Q194" s="126"/>
      <c r="R194" s="127"/>
      <c r="S194" s="127"/>
      <c r="T194" s="127"/>
      <c r="U194" s="111"/>
      <c r="V194" s="261"/>
      <c r="W194" s="261"/>
      <c r="X194" s="261"/>
      <c r="Y194" s="261"/>
      <c r="Z194" s="261"/>
    </row>
    <row r="195" ht="34.5" customHeight="1">
      <c r="A195" s="111"/>
      <c r="B195" s="127"/>
      <c r="C195" s="111"/>
      <c r="D195" s="111"/>
      <c r="E195" s="111"/>
      <c r="F195" s="111"/>
      <c r="G195" s="257"/>
      <c r="H195" s="111"/>
      <c r="I195" s="127"/>
      <c r="J195" s="111"/>
      <c r="K195" s="111"/>
      <c r="L195" s="111"/>
      <c r="M195" s="128"/>
      <c r="N195" s="124"/>
      <c r="O195" s="125"/>
      <c r="P195" s="126"/>
      <c r="Q195" s="126"/>
      <c r="R195" s="127"/>
      <c r="S195" s="127"/>
      <c r="T195" s="127"/>
      <c r="U195" s="111"/>
      <c r="V195" s="261"/>
      <c r="W195" s="261"/>
      <c r="X195" s="261"/>
      <c r="Y195" s="261"/>
      <c r="Z195" s="261"/>
    </row>
    <row r="196" ht="34.5" customHeight="1">
      <c r="A196" s="111"/>
      <c r="B196" s="127"/>
      <c r="C196" s="111"/>
      <c r="D196" s="111"/>
      <c r="E196" s="111"/>
      <c r="F196" s="111"/>
      <c r="G196" s="257"/>
      <c r="H196" s="111"/>
      <c r="I196" s="127"/>
      <c r="J196" s="111"/>
      <c r="K196" s="111"/>
      <c r="L196" s="111"/>
      <c r="M196" s="128"/>
      <c r="N196" s="124"/>
      <c r="O196" s="125"/>
      <c r="P196" s="126"/>
      <c r="Q196" s="126"/>
      <c r="R196" s="127"/>
      <c r="S196" s="127"/>
      <c r="T196" s="127"/>
      <c r="U196" s="111"/>
      <c r="V196" s="261"/>
      <c r="W196" s="261"/>
      <c r="X196" s="261"/>
      <c r="Y196" s="261"/>
      <c r="Z196" s="261"/>
    </row>
    <row r="197" ht="34.5" customHeight="1">
      <c r="A197" s="111"/>
      <c r="B197" s="127"/>
      <c r="C197" s="111"/>
      <c r="D197" s="111"/>
      <c r="E197" s="111"/>
      <c r="F197" s="111"/>
      <c r="G197" s="257"/>
      <c r="H197" s="111"/>
      <c r="I197" s="127"/>
      <c r="J197" s="111"/>
      <c r="K197" s="111"/>
      <c r="L197" s="111"/>
      <c r="M197" s="128"/>
      <c r="N197" s="124"/>
      <c r="O197" s="125"/>
      <c r="P197" s="126"/>
      <c r="Q197" s="126"/>
      <c r="R197" s="127"/>
      <c r="S197" s="127"/>
      <c r="T197" s="127"/>
      <c r="U197" s="111"/>
      <c r="V197" s="261"/>
      <c r="W197" s="261"/>
      <c r="X197" s="261"/>
      <c r="Y197" s="261"/>
      <c r="Z197" s="261"/>
    </row>
    <row r="198" ht="34.5" customHeight="1">
      <c r="A198" s="111"/>
      <c r="B198" s="127"/>
      <c r="C198" s="111"/>
      <c r="D198" s="111"/>
      <c r="E198" s="111"/>
      <c r="F198" s="111"/>
      <c r="G198" s="257"/>
      <c r="H198" s="111"/>
      <c r="I198" s="127"/>
      <c r="J198" s="111"/>
      <c r="K198" s="111"/>
      <c r="L198" s="111"/>
      <c r="M198" s="128"/>
      <c r="N198" s="124"/>
      <c r="O198" s="125"/>
      <c r="P198" s="126"/>
      <c r="Q198" s="126"/>
      <c r="R198" s="127"/>
      <c r="S198" s="127"/>
      <c r="T198" s="127"/>
      <c r="U198" s="111"/>
      <c r="V198" s="261"/>
      <c r="W198" s="261"/>
      <c r="X198" s="261"/>
      <c r="Y198" s="261"/>
      <c r="Z198" s="261"/>
    </row>
    <row r="199" ht="12.75" customHeight="1">
      <c r="A199" s="261"/>
      <c r="B199" s="261"/>
      <c r="C199" s="261"/>
      <c r="D199" s="261"/>
      <c r="E199" s="291"/>
      <c r="F199" s="261"/>
      <c r="G199" s="261"/>
      <c r="H199" s="261"/>
      <c r="I199" s="261"/>
      <c r="J199" s="261"/>
      <c r="K199" s="261"/>
      <c r="L199" s="261"/>
      <c r="M199" s="261"/>
      <c r="N199" s="261"/>
      <c r="O199" s="261"/>
      <c r="P199" s="261"/>
      <c r="Q199" s="261"/>
      <c r="R199" s="273"/>
      <c r="S199" s="273"/>
      <c r="T199" s="273"/>
      <c r="U199" s="291"/>
      <c r="V199" s="261"/>
      <c r="W199" s="261"/>
      <c r="X199" s="261"/>
      <c r="Y199" s="261"/>
      <c r="Z199" s="261"/>
    </row>
    <row r="200" ht="15.0" customHeight="1">
      <c r="A200" s="261"/>
      <c r="B200" s="261"/>
      <c r="C200" s="261"/>
      <c r="D200" s="261"/>
      <c r="E200" s="291"/>
      <c r="F200" s="261"/>
      <c r="G200" s="261"/>
      <c r="H200" s="261"/>
      <c r="I200" s="261"/>
      <c r="J200" s="261"/>
      <c r="K200" s="261"/>
      <c r="L200" s="261"/>
      <c r="M200" s="261"/>
      <c r="N200" s="261"/>
      <c r="O200" s="261"/>
      <c r="P200" s="261"/>
      <c r="Q200" s="261"/>
      <c r="R200" s="273"/>
      <c r="S200" s="273"/>
      <c r="T200" s="273"/>
      <c r="U200" s="291"/>
      <c r="V200" s="35"/>
      <c r="W200" s="35"/>
      <c r="X200" s="35"/>
      <c r="Y200" s="35"/>
      <c r="Z200" s="261"/>
    </row>
    <row r="201" ht="15.75" customHeight="1">
      <c r="A201" s="261"/>
      <c r="B201" s="261"/>
      <c r="C201" s="261"/>
      <c r="D201" s="261"/>
      <c r="E201" s="291"/>
      <c r="F201" s="261"/>
      <c r="G201" s="261"/>
      <c r="H201" s="261"/>
      <c r="I201" s="261"/>
      <c r="J201" s="261"/>
      <c r="K201" s="261"/>
      <c r="L201" s="261"/>
      <c r="M201" s="261"/>
      <c r="N201" s="261"/>
      <c r="O201" s="261"/>
      <c r="P201" s="261"/>
      <c r="Q201" s="261"/>
      <c r="R201" s="273"/>
      <c r="S201" s="273"/>
      <c r="T201" s="273"/>
      <c r="U201" s="291"/>
      <c r="Z201" s="261"/>
    </row>
    <row r="202" ht="15.75" customHeight="1">
      <c r="A202" s="261"/>
      <c r="B202" s="261"/>
      <c r="C202" s="261"/>
      <c r="D202" s="261"/>
      <c r="E202" s="291"/>
      <c r="F202" s="261"/>
      <c r="G202" s="261"/>
      <c r="H202" s="261"/>
      <c r="I202" s="261"/>
      <c r="J202" s="261"/>
      <c r="K202" s="261"/>
      <c r="L202" s="261"/>
      <c r="M202" s="261"/>
      <c r="N202" s="261"/>
      <c r="O202" s="261"/>
      <c r="P202" s="261"/>
      <c r="Q202" s="261"/>
      <c r="R202" s="273"/>
      <c r="S202" s="273"/>
      <c r="T202" s="273"/>
      <c r="U202" s="291"/>
      <c r="Z202" s="261"/>
    </row>
    <row r="203" ht="15.75" customHeight="1">
      <c r="A203" s="261"/>
      <c r="B203" s="261"/>
      <c r="C203" s="261"/>
      <c r="D203" s="261"/>
      <c r="E203" s="291"/>
      <c r="F203" s="261"/>
      <c r="G203" s="261"/>
      <c r="H203" s="261"/>
      <c r="I203" s="261"/>
      <c r="J203" s="261"/>
      <c r="K203" s="261"/>
      <c r="L203" s="261"/>
      <c r="M203" s="261"/>
      <c r="N203" s="261"/>
      <c r="O203" s="261"/>
      <c r="P203" s="261"/>
      <c r="Q203" s="261"/>
      <c r="R203" s="273"/>
      <c r="S203" s="273"/>
      <c r="T203" s="273"/>
      <c r="U203" s="291"/>
      <c r="Z203" s="261"/>
    </row>
    <row r="204" ht="15.75" customHeight="1">
      <c r="A204" s="261"/>
      <c r="B204" s="261"/>
      <c r="C204" s="261"/>
      <c r="D204" s="261"/>
      <c r="E204" s="291"/>
      <c r="F204" s="261"/>
      <c r="G204" s="261"/>
      <c r="H204" s="261"/>
      <c r="I204" s="261"/>
      <c r="J204" s="261"/>
      <c r="K204" s="261"/>
      <c r="L204" s="261"/>
      <c r="M204" s="261"/>
      <c r="N204" s="261"/>
      <c r="O204" s="261"/>
      <c r="P204" s="261"/>
      <c r="Q204" s="261"/>
      <c r="R204" s="273"/>
      <c r="S204" s="273"/>
      <c r="T204" s="273"/>
      <c r="U204" s="291"/>
      <c r="Z204" s="261"/>
    </row>
    <row r="205" ht="15.75" customHeight="1">
      <c r="A205" s="261"/>
      <c r="B205" s="261"/>
      <c r="C205" s="261"/>
      <c r="D205" s="261"/>
      <c r="E205" s="291"/>
      <c r="F205" s="261"/>
      <c r="G205" s="261"/>
      <c r="H205" s="261"/>
      <c r="I205" s="261"/>
      <c r="J205" s="261"/>
      <c r="K205" s="261"/>
      <c r="L205" s="261"/>
      <c r="M205" s="261"/>
      <c r="N205" s="261"/>
      <c r="O205" s="261"/>
      <c r="P205" s="261"/>
      <c r="Q205" s="261"/>
      <c r="R205" s="273"/>
      <c r="S205" s="273"/>
      <c r="T205" s="273"/>
      <c r="U205" s="291"/>
      <c r="Z205" s="261"/>
    </row>
    <row r="206" ht="15.75" customHeight="1">
      <c r="A206" s="261"/>
      <c r="B206" s="261"/>
      <c r="C206" s="261"/>
      <c r="D206" s="261"/>
      <c r="E206" s="291"/>
      <c r="F206" s="261"/>
      <c r="G206" s="261"/>
      <c r="H206" s="261"/>
      <c r="I206" s="261"/>
      <c r="J206" s="261"/>
      <c r="K206" s="261"/>
      <c r="L206" s="261"/>
      <c r="M206" s="261"/>
      <c r="N206" s="261"/>
      <c r="O206" s="261"/>
      <c r="P206" s="261"/>
      <c r="Q206" s="261"/>
      <c r="R206" s="273"/>
      <c r="S206" s="273"/>
      <c r="T206" s="273"/>
      <c r="U206" s="291"/>
      <c r="Z206" s="261"/>
    </row>
    <row r="207" ht="15.75" customHeight="1">
      <c r="A207" s="261"/>
      <c r="B207" s="261"/>
      <c r="C207" s="261"/>
      <c r="D207" s="261"/>
      <c r="E207" s="291"/>
      <c r="F207" s="261"/>
      <c r="G207" s="261"/>
      <c r="H207" s="261"/>
      <c r="I207" s="261"/>
      <c r="J207" s="261"/>
      <c r="K207" s="261"/>
      <c r="L207" s="261"/>
      <c r="M207" s="261"/>
      <c r="N207" s="261"/>
      <c r="O207" s="261"/>
      <c r="P207" s="261"/>
      <c r="Q207" s="261"/>
      <c r="R207" s="273"/>
      <c r="S207" s="273"/>
      <c r="T207" s="273"/>
      <c r="U207" s="291"/>
      <c r="Z207" s="261"/>
    </row>
    <row r="208" ht="15.75" customHeight="1">
      <c r="A208" s="261"/>
      <c r="B208" s="261"/>
      <c r="C208" s="261"/>
      <c r="D208" s="261"/>
      <c r="E208" s="291"/>
      <c r="F208" s="261"/>
      <c r="G208" s="261"/>
      <c r="H208" s="261"/>
      <c r="I208" s="261"/>
      <c r="J208" s="261"/>
      <c r="K208" s="261"/>
      <c r="L208" s="261"/>
      <c r="M208" s="261"/>
      <c r="N208" s="261"/>
      <c r="O208" s="261"/>
      <c r="P208" s="261"/>
      <c r="Q208" s="261"/>
      <c r="R208" s="273"/>
      <c r="S208" s="273"/>
      <c r="T208" s="273"/>
      <c r="U208" s="291"/>
      <c r="Z208" s="261"/>
    </row>
    <row r="209" ht="15.75" customHeight="1">
      <c r="A209" s="261"/>
      <c r="B209" s="261"/>
      <c r="C209" s="261"/>
      <c r="D209" s="261"/>
      <c r="E209" s="291"/>
      <c r="F209" s="261"/>
      <c r="G209" s="261"/>
      <c r="H209" s="261"/>
      <c r="I209" s="261"/>
      <c r="J209" s="261"/>
      <c r="K209" s="261"/>
      <c r="L209" s="261"/>
      <c r="M209" s="261"/>
      <c r="N209" s="261"/>
      <c r="O209" s="261"/>
      <c r="P209" s="261"/>
      <c r="Q209" s="261"/>
      <c r="R209" s="273"/>
      <c r="S209" s="273"/>
      <c r="T209" s="273"/>
      <c r="U209" s="291"/>
      <c r="Z209" s="261"/>
    </row>
    <row r="210" ht="15.75" customHeight="1">
      <c r="A210" s="261"/>
      <c r="B210" s="261"/>
      <c r="C210" s="261"/>
      <c r="D210" s="261"/>
      <c r="E210" s="291"/>
      <c r="F210" s="261"/>
      <c r="G210" s="261"/>
      <c r="H210" s="261"/>
      <c r="I210" s="261"/>
      <c r="J210" s="261"/>
      <c r="K210" s="261"/>
      <c r="L210" s="261"/>
      <c r="M210" s="261"/>
      <c r="N210" s="261"/>
      <c r="O210" s="261"/>
      <c r="P210" s="261"/>
      <c r="Q210" s="261"/>
      <c r="R210" s="273"/>
      <c r="S210" s="273"/>
      <c r="T210" s="273"/>
      <c r="U210" s="291"/>
      <c r="Z210" s="261"/>
    </row>
    <row r="211" ht="15.75" customHeight="1">
      <c r="A211" s="261"/>
      <c r="B211" s="261"/>
      <c r="C211" s="261"/>
      <c r="D211" s="261"/>
      <c r="E211" s="291"/>
      <c r="F211" s="261"/>
      <c r="G211" s="261"/>
      <c r="H211" s="261"/>
      <c r="I211" s="261"/>
      <c r="J211" s="261"/>
      <c r="K211" s="261"/>
      <c r="L211" s="261"/>
      <c r="M211" s="261"/>
      <c r="N211" s="261"/>
      <c r="O211" s="261"/>
      <c r="P211" s="261"/>
      <c r="Q211" s="261"/>
      <c r="R211" s="273"/>
      <c r="S211" s="273"/>
      <c r="T211" s="273"/>
      <c r="U211" s="291"/>
      <c r="Z211" s="261"/>
    </row>
    <row r="212" ht="15.75" customHeight="1">
      <c r="A212" s="261"/>
      <c r="B212" s="261"/>
      <c r="C212" s="261"/>
      <c r="D212" s="261"/>
      <c r="E212" s="291"/>
      <c r="F212" s="261"/>
      <c r="G212" s="261"/>
      <c r="H212" s="261"/>
      <c r="I212" s="261"/>
      <c r="J212" s="261"/>
      <c r="K212" s="261"/>
      <c r="L212" s="261"/>
      <c r="M212" s="261"/>
      <c r="N212" s="261"/>
      <c r="O212" s="261"/>
      <c r="P212" s="261"/>
      <c r="Q212" s="261"/>
      <c r="R212" s="273"/>
      <c r="S212" s="273"/>
      <c r="T212" s="273"/>
      <c r="U212" s="291"/>
      <c r="Z212" s="261"/>
    </row>
    <row r="213" ht="15.75" customHeight="1">
      <c r="A213" s="261"/>
      <c r="B213" s="261"/>
      <c r="C213" s="261"/>
      <c r="D213" s="261"/>
      <c r="E213" s="291"/>
      <c r="F213" s="261"/>
      <c r="G213" s="261"/>
      <c r="H213" s="261"/>
      <c r="I213" s="261"/>
      <c r="J213" s="261"/>
      <c r="K213" s="261"/>
      <c r="L213" s="261"/>
      <c r="M213" s="261"/>
      <c r="N213" s="261"/>
      <c r="O213" s="261"/>
      <c r="P213" s="261"/>
      <c r="Q213" s="261"/>
      <c r="R213" s="273"/>
      <c r="S213" s="273"/>
      <c r="T213" s="273"/>
      <c r="U213" s="291"/>
      <c r="Z213" s="261"/>
    </row>
    <row r="214" ht="15.75" customHeight="1">
      <c r="A214" s="261"/>
      <c r="B214" s="261"/>
      <c r="C214" s="261"/>
      <c r="D214" s="261"/>
      <c r="E214" s="291"/>
      <c r="F214" s="261"/>
      <c r="G214" s="261"/>
      <c r="H214" s="261"/>
      <c r="I214" s="261"/>
      <c r="J214" s="261"/>
      <c r="K214" s="261"/>
      <c r="L214" s="261"/>
      <c r="M214" s="261"/>
      <c r="N214" s="261"/>
      <c r="O214" s="261"/>
      <c r="P214" s="261"/>
      <c r="Q214" s="261"/>
      <c r="R214" s="273"/>
      <c r="S214" s="273"/>
      <c r="T214" s="273"/>
      <c r="U214" s="291"/>
      <c r="Z214" s="261"/>
    </row>
    <row r="215" ht="15.75" customHeight="1">
      <c r="A215" s="261"/>
      <c r="B215" s="261"/>
      <c r="C215" s="261"/>
      <c r="D215" s="261"/>
      <c r="E215" s="291"/>
      <c r="F215" s="261"/>
      <c r="G215" s="261"/>
      <c r="H215" s="261"/>
      <c r="I215" s="261"/>
      <c r="J215" s="261"/>
      <c r="K215" s="261"/>
      <c r="L215" s="261"/>
      <c r="M215" s="261"/>
      <c r="N215" s="261"/>
      <c r="O215" s="261"/>
      <c r="P215" s="261"/>
      <c r="Q215" s="261"/>
      <c r="R215" s="273"/>
      <c r="S215" s="273"/>
      <c r="T215" s="273"/>
      <c r="U215" s="291"/>
      <c r="Z215" s="261"/>
    </row>
    <row r="216" ht="15.75" customHeight="1">
      <c r="A216" s="261"/>
      <c r="B216" s="261"/>
      <c r="C216" s="261"/>
      <c r="D216" s="261"/>
      <c r="E216" s="291"/>
      <c r="F216" s="261"/>
      <c r="G216" s="261"/>
      <c r="H216" s="261"/>
      <c r="I216" s="261"/>
      <c r="J216" s="261"/>
      <c r="K216" s="261"/>
      <c r="L216" s="261"/>
      <c r="M216" s="261"/>
      <c r="N216" s="261"/>
      <c r="O216" s="261"/>
      <c r="P216" s="261"/>
      <c r="Q216" s="261"/>
      <c r="R216" s="273"/>
      <c r="S216" s="273"/>
      <c r="T216" s="273"/>
      <c r="U216" s="291"/>
      <c r="Z216" s="261"/>
    </row>
    <row r="217" ht="15.75" customHeight="1">
      <c r="A217" s="261"/>
      <c r="B217" s="261"/>
      <c r="C217" s="261"/>
      <c r="D217" s="261"/>
      <c r="E217" s="291"/>
      <c r="F217" s="261"/>
      <c r="G217" s="261"/>
      <c r="H217" s="261"/>
      <c r="I217" s="261"/>
      <c r="J217" s="261"/>
      <c r="K217" s="261"/>
      <c r="L217" s="261"/>
      <c r="M217" s="261"/>
      <c r="N217" s="261"/>
      <c r="O217" s="261"/>
      <c r="P217" s="261"/>
      <c r="Q217" s="261"/>
      <c r="R217" s="273"/>
      <c r="S217" s="273"/>
      <c r="T217" s="273"/>
      <c r="U217" s="291"/>
      <c r="Z217" s="261"/>
    </row>
    <row r="218" ht="15.75" customHeight="1">
      <c r="A218" s="261"/>
      <c r="B218" s="261"/>
      <c r="C218" s="261"/>
      <c r="D218" s="261"/>
      <c r="E218" s="291"/>
      <c r="F218" s="261"/>
      <c r="G218" s="261"/>
      <c r="H218" s="261"/>
      <c r="I218" s="261"/>
      <c r="J218" s="261"/>
      <c r="K218" s="261"/>
      <c r="L218" s="261"/>
      <c r="M218" s="261"/>
      <c r="N218" s="261"/>
      <c r="O218" s="261"/>
      <c r="P218" s="261"/>
      <c r="Q218" s="261"/>
      <c r="R218" s="273"/>
      <c r="S218" s="273"/>
      <c r="T218" s="273"/>
      <c r="U218" s="291"/>
      <c r="Z218" s="261"/>
    </row>
    <row r="219" ht="15.75" customHeight="1">
      <c r="A219" s="261"/>
      <c r="B219" s="261"/>
      <c r="C219" s="261"/>
      <c r="D219" s="261"/>
      <c r="E219" s="291"/>
      <c r="F219" s="261"/>
      <c r="G219" s="261"/>
      <c r="H219" s="261"/>
      <c r="I219" s="261"/>
      <c r="J219" s="261"/>
      <c r="K219" s="261"/>
      <c r="L219" s="261"/>
      <c r="M219" s="261"/>
      <c r="N219" s="261"/>
      <c r="O219" s="261"/>
      <c r="P219" s="261"/>
      <c r="Q219" s="261"/>
      <c r="R219" s="273"/>
      <c r="S219" s="273"/>
      <c r="T219" s="273"/>
      <c r="U219" s="291"/>
      <c r="Z219" s="261"/>
    </row>
    <row r="220" ht="15.75" customHeight="1">
      <c r="A220" s="261"/>
      <c r="B220" s="261"/>
      <c r="C220" s="261"/>
      <c r="D220" s="261"/>
      <c r="E220" s="291"/>
      <c r="F220" s="261"/>
      <c r="G220" s="261"/>
      <c r="H220" s="261"/>
      <c r="I220" s="261"/>
      <c r="J220" s="261"/>
      <c r="K220" s="261"/>
      <c r="L220" s="261"/>
      <c r="M220" s="261"/>
      <c r="N220" s="261"/>
      <c r="O220" s="261"/>
      <c r="P220" s="261"/>
      <c r="Q220" s="261"/>
      <c r="R220" s="273"/>
      <c r="S220" s="273"/>
      <c r="T220" s="273"/>
      <c r="U220" s="291"/>
      <c r="Z220" s="261"/>
    </row>
    <row r="221" ht="15.75" customHeight="1">
      <c r="A221" s="261"/>
      <c r="B221" s="261"/>
      <c r="C221" s="261"/>
      <c r="D221" s="261"/>
      <c r="E221" s="291"/>
      <c r="F221" s="261"/>
      <c r="G221" s="261"/>
      <c r="H221" s="261"/>
      <c r="I221" s="261"/>
      <c r="J221" s="261"/>
      <c r="K221" s="261"/>
      <c r="L221" s="261"/>
      <c r="M221" s="261"/>
      <c r="N221" s="261"/>
      <c r="O221" s="261"/>
      <c r="P221" s="261"/>
      <c r="Q221" s="261"/>
      <c r="R221" s="273"/>
      <c r="S221" s="273"/>
      <c r="T221" s="273"/>
      <c r="U221" s="291"/>
      <c r="Z221" s="261"/>
    </row>
    <row r="222" ht="15.75" customHeight="1">
      <c r="A222" s="261"/>
      <c r="B222" s="261"/>
      <c r="C222" s="261"/>
      <c r="D222" s="261"/>
      <c r="E222" s="291"/>
      <c r="F222" s="261"/>
      <c r="G222" s="261"/>
      <c r="H222" s="261"/>
      <c r="I222" s="261"/>
      <c r="J222" s="261"/>
      <c r="K222" s="261"/>
      <c r="L222" s="261"/>
      <c r="M222" s="261"/>
      <c r="N222" s="261"/>
      <c r="O222" s="261"/>
      <c r="P222" s="261"/>
      <c r="Q222" s="261"/>
      <c r="R222" s="273"/>
      <c r="S222" s="273"/>
      <c r="T222" s="273"/>
      <c r="U222" s="291"/>
      <c r="Z222" s="261"/>
    </row>
    <row r="223" ht="15.75" customHeight="1">
      <c r="A223" s="261"/>
      <c r="B223" s="261"/>
      <c r="C223" s="261"/>
      <c r="D223" s="261"/>
      <c r="E223" s="291"/>
      <c r="F223" s="261"/>
      <c r="G223" s="261"/>
      <c r="H223" s="261"/>
      <c r="I223" s="261"/>
      <c r="J223" s="261"/>
      <c r="K223" s="261"/>
      <c r="L223" s="261"/>
      <c r="M223" s="261"/>
      <c r="N223" s="261"/>
      <c r="O223" s="261"/>
      <c r="P223" s="261"/>
      <c r="Q223" s="261"/>
      <c r="R223" s="273"/>
      <c r="S223" s="273"/>
      <c r="T223" s="273"/>
      <c r="U223" s="291"/>
      <c r="Z223" s="261"/>
    </row>
    <row r="224" ht="15.75" customHeight="1">
      <c r="A224" s="261"/>
      <c r="B224" s="261"/>
      <c r="C224" s="261"/>
      <c r="D224" s="261"/>
      <c r="E224" s="291"/>
      <c r="F224" s="261"/>
      <c r="G224" s="261"/>
      <c r="H224" s="261"/>
      <c r="I224" s="261"/>
      <c r="J224" s="261"/>
      <c r="K224" s="261"/>
      <c r="L224" s="261"/>
      <c r="M224" s="261"/>
      <c r="N224" s="261"/>
      <c r="O224" s="261"/>
      <c r="P224" s="261"/>
      <c r="Q224" s="261"/>
      <c r="R224" s="273"/>
      <c r="S224" s="273"/>
      <c r="T224" s="273"/>
      <c r="U224" s="291"/>
      <c r="Z224" s="261"/>
    </row>
    <row r="225" ht="15.75" customHeight="1">
      <c r="A225" s="261"/>
      <c r="B225" s="261"/>
      <c r="C225" s="261"/>
      <c r="D225" s="261"/>
      <c r="E225" s="291"/>
      <c r="F225" s="261"/>
      <c r="G225" s="261"/>
      <c r="H225" s="261"/>
      <c r="I225" s="261"/>
      <c r="J225" s="261"/>
      <c r="K225" s="261"/>
      <c r="L225" s="261"/>
      <c r="M225" s="261"/>
      <c r="N225" s="261"/>
      <c r="O225" s="261"/>
      <c r="P225" s="261"/>
      <c r="Q225" s="261"/>
      <c r="R225" s="273"/>
      <c r="S225" s="273"/>
      <c r="T225" s="273"/>
      <c r="U225" s="291"/>
      <c r="Z225" s="261"/>
    </row>
    <row r="226" ht="15.75" customHeight="1">
      <c r="A226" s="261"/>
      <c r="B226" s="261"/>
      <c r="C226" s="261"/>
      <c r="D226" s="261"/>
      <c r="E226" s="291"/>
      <c r="F226" s="261"/>
      <c r="G226" s="261"/>
      <c r="H226" s="261"/>
      <c r="I226" s="261"/>
      <c r="J226" s="261"/>
      <c r="K226" s="261"/>
      <c r="L226" s="261"/>
      <c r="M226" s="261"/>
      <c r="N226" s="261"/>
      <c r="O226" s="261"/>
      <c r="P226" s="261"/>
      <c r="Q226" s="261"/>
      <c r="R226" s="273"/>
      <c r="S226" s="273"/>
      <c r="T226" s="273"/>
      <c r="U226" s="291"/>
      <c r="Z226" s="261"/>
    </row>
    <row r="227" ht="15.75" customHeight="1">
      <c r="A227" s="261"/>
      <c r="B227" s="261"/>
      <c r="C227" s="261"/>
      <c r="D227" s="261"/>
      <c r="E227" s="291"/>
      <c r="F227" s="261"/>
      <c r="G227" s="261"/>
      <c r="H227" s="261"/>
      <c r="I227" s="261"/>
      <c r="J227" s="261"/>
      <c r="K227" s="261"/>
      <c r="L227" s="261"/>
      <c r="M227" s="261"/>
      <c r="N227" s="261"/>
      <c r="O227" s="261"/>
      <c r="P227" s="261"/>
      <c r="Q227" s="261"/>
      <c r="R227" s="273"/>
      <c r="S227" s="273"/>
      <c r="T227" s="273"/>
      <c r="U227" s="291"/>
      <c r="Z227" s="261"/>
    </row>
    <row r="228" ht="15.75" customHeight="1">
      <c r="A228" s="261"/>
      <c r="B228" s="261"/>
      <c r="C228" s="261"/>
      <c r="D228" s="261"/>
      <c r="E228" s="291"/>
      <c r="F228" s="261"/>
      <c r="G228" s="261"/>
      <c r="H228" s="261"/>
      <c r="I228" s="261"/>
      <c r="J228" s="261"/>
      <c r="K228" s="261"/>
      <c r="L228" s="261"/>
      <c r="M228" s="261"/>
      <c r="N228" s="261"/>
      <c r="O228" s="261"/>
      <c r="P228" s="261"/>
      <c r="Q228" s="261"/>
      <c r="R228" s="273"/>
      <c r="S228" s="273"/>
      <c r="T228" s="273"/>
      <c r="U228" s="291"/>
      <c r="Z228" s="261"/>
    </row>
    <row r="229" ht="15.75" customHeight="1">
      <c r="A229" s="261"/>
      <c r="B229" s="261"/>
      <c r="C229" s="261"/>
      <c r="D229" s="261"/>
      <c r="E229" s="291"/>
      <c r="F229" s="261"/>
      <c r="G229" s="261"/>
      <c r="H229" s="261"/>
      <c r="I229" s="261"/>
      <c r="J229" s="261"/>
      <c r="K229" s="261"/>
      <c r="L229" s="261"/>
      <c r="M229" s="261"/>
      <c r="N229" s="261"/>
      <c r="O229" s="261"/>
      <c r="P229" s="261"/>
      <c r="Q229" s="261"/>
      <c r="R229" s="273"/>
      <c r="S229" s="273"/>
      <c r="T229" s="273"/>
      <c r="U229" s="291"/>
      <c r="Z229" s="261"/>
    </row>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5">
    <mergeCell ref="G2:G3"/>
    <mergeCell ref="H2:H3"/>
    <mergeCell ref="J2:J3"/>
    <mergeCell ref="N2:P2"/>
    <mergeCell ref="R2:R3"/>
    <mergeCell ref="S2:S3"/>
    <mergeCell ref="T2:T3"/>
    <mergeCell ref="U2:U3"/>
    <mergeCell ref="A1:U1"/>
    <mergeCell ref="A2:A3"/>
    <mergeCell ref="B2:B3"/>
    <mergeCell ref="C2:C3"/>
    <mergeCell ref="D2:D3"/>
    <mergeCell ref="E2:E3"/>
    <mergeCell ref="F2:F3"/>
  </mergeCells>
  <conditionalFormatting sqref="K2:K1000">
    <cfRule type="containsText" dxfId="13" priority="1" operator="containsText" text="Ammonia">
      <formula>NOT(ISERROR(SEARCH(("Ammonia"),(K2))))</formula>
    </cfRule>
  </conditionalFormatting>
  <hyperlinks>
    <hyperlink r:id="rId1" ref="R5"/>
    <hyperlink r:id="rId2" ref="S5"/>
    <hyperlink r:id="rId3" ref="T5"/>
    <hyperlink r:id="rId4" ref="R6"/>
    <hyperlink r:id="rId5" ref="R7"/>
    <hyperlink r:id="rId6" ref="S7"/>
    <hyperlink r:id="rId7" ref="R8"/>
    <hyperlink r:id="rId8" ref="S8"/>
    <hyperlink r:id="rId9" ref="T8"/>
    <hyperlink r:id="rId10" ref="R9"/>
    <hyperlink r:id="rId11" ref="S9"/>
    <hyperlink r:id="rId12" ref="R10"/>
    <hyperlink r:id="rId13" ref="R11"/>
    <hyperlink r:id="rId14" ref="R12"/>
    <hyperlink r:id="rId15" ref="R13"/>
    <hyperlink r:id="rId16" ref="R14"/>
    <hyperlink r:id="rId17" ref="R15"/>
    <hyperlink r:id="rId18" ref="R16"/>
    <hyperlink r:id="rId19" ref="R17"/>
    <hyperlink r:id="rId20" ref="R18"/>
    <hyperlink r:id="rId21" ref="S18"/>
    <hyperlink r:id="rId22" ref="R19"/>
    <hyperlink r:id="rId23" ref="R20"/>
    <hyperlink r:id="rId24" ref="R21"/>
    <hyperlink r:id="rId25" ref="S21"/>
    <hyperlink r:id="rId26" ref="R22"/>
    <hyperlink r:id="rId27" ref="R23"/>
    <hyperlink r:id="rId28" ref="R24"/>
    <hyperlink r:id="rId29" ref="R25"/>
    <hyperlink r:id="rId30" ref="S25"/>
    <hyperlink r:id="rId31" ref="R26"/>
    <hyperlink r:id="rId32" ref="S26"/>
    <hyperlink r:id="rId33" ref="R27"/>
    <hyperlink r:id="rId34" ref="S27"/>
    <hyperlink r:id="rId35" ref="R28"/>
    <hyperlink r:id="rId36" ref="R29"/>
  </hyperlinks>
  <printOptions/>
  <pageMargins bottom="0.75" footer="0.0" header="0.0" left="0.7" right="0.7" top="0.75"/>
  <pageSetup paperSize="9" orientation="portrait"/>
  <drawing r:id="rId37"/>
  <tableParts count="1">
    <tablePart r:id="rId39"/>
  </tableParts>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workbookViewId="0"/>
  </sheetViews>
  <sheetFormatPr customHeight="1" defaultColWidth="14.43" defaultRowHeight="15.75"/>
  <cols>
    <col customWidth="1" min="1" max="1" width="14.71"/>
    <col customWidth="1" min="2" max="2" width="20.86"/>
    <col customWidth="1" min="3" max="3" width="18.57"/>
    <col customWidth="1" min="4" max="5" width="10.71"/>
    <col customWidth="1" min="6" max="6" width="39.86"/>
    <col customWidth="1" min="7" max="7" width="8.71"/>
    <col customWidth="1" min="8" max="8" width="8.43"/>
    <col customWidth="1" min="9" max="9" width="8.86"/>
    <col customWidth="1" min="10" max="10" width="13.29"/>
    <col customWidth="1" min="11" max="11" width="16.43"/>
    <col customWidth="1" min="12" max="13" width="27.43"/>
    <col customWidth="1" min="14" max="14" width="13.86"/>
    <col customWidth="1" min="15" max="15" width="16.71"/>
    <col customWidth="1" min="16" max="26" width="8.86"/>
  </cols>
  <sheetData>
    <row r="1" ht="51.75" customHeight="1">
      <c r="A1" s="282" t="s">
        <v>23444</v>
      </c>
      <c r="B1" s="71"/>
      <c r="C1" s="71"/>
      <c r="D1" s="71"/>
      <c r="E1" s="71"/>
      <c r="F1" s="71"/>
      <c r="G1" s="71"/>
      <c r="H1" s="71"/>
      <c r="I1" s="71"/>
      <c r="J1" s="71"/>
      <c r="K1" s="274"/>
      <c r="L1" s="274"/>
      <c r="M1" s="274"/>
      <c r="N1" s="274"/>
      <c r="O1" s="274"/>
      <c r="P1" s="274"/>
      <c r="Q1" s="274"/>
      <c r="R1" s="253"/>
      <c r="S1" s="253"/>
      <c r="T1" s="253"/>
      <c r="U1" s="253"/>
      <c r="V1" s="253"/>
      <c r="W1" s="253"/>
      <c r="X1" s="253"/>
      <c r="Y1" s="253"/>
      <c r="Z1" s="253"/>
    </row>
    <row r="2" ht="21.0" customHeight="1">
      <c r="A2" s="76" t="s">
        <v>12329</v>
      </c>
      <c r="B2" s="76" t="s">
        <v>687</v>
      </c>
      <c r="C2" s="95"/>
      <c r="D2" s="76" t="s">
        <v>40</v>
      </c>
      <c r="E2" s="76" t="s">
        <v>18679</v>
      </c>
      <c r="F2" s="76" t="s">
        <v>18702</v>
      </c>
      <c r="G2" s="77" t="s">
        <v>22157</v>
      </c>
      <c r="H2" s="77" t="s">
        <v>12330</v>
      </c>
      <c r="I2" s="77" t="s">
        <v>12331</v>
      </c>
      <c r="J2" s="77" t="s">
        <v>23445</v>
      </c>
      <c r="K2" s="254"/>
      <c r="L2" s="76" t="s">
        <v>23446</v>
      </c>
      <c r="M2" s="76"/>
      <c r="N2" s="78" t="s">
        <v>22162</v>
      </c>
      <c r="O2" s="295" t="s">
        <v>23447</v>
      </c>
      <c r="P2" s="296"/>
      <c r="Q2" s="297"/>
      <c r="R2" s="255"/>
      <c r="S2" s="255"/>
      <c r="T2" s="255"/>
      <c r="U2" s="255"/>
      <c r="V2" s="255"/>
      <c r="W2" s="255"/>
      <c r="X2" s="255"/>
      <c r="Y2" s="255"/>
      <c r="Z2" s="255"/>
    </row>
    <row r="3" ht="62.25" customHeight="1">
      <c r="A3" s="93"/>
      <c r="B3" s="93"/>
      <c r="C3" s="298" t="s">
        <v>23448</v>
      </c>
      <c r="D3" s="93"/>
      <c r="E3" s="93"/>
      <c r="F3" s="93"/>
      <c r="G3" s="93"/>
      <c r="H3" s="93"/>
      <c r="I3" s="93"/>
      <c r="J3" s="93"/>
      <c r="K3" s="256" t="s">
        <v>23449</v>
      </c>
      <c r="L3" s="93"/>
      <c r="M3" s="93"/>
      <c r="N3" s="96" t="s">
        <v>23450</v>
      </c>
      <c r="O3" s="299"/>
      <c r="Q3" s="300"/>
      <c r="R3" s="255"/>
      <c r="S3" s="255"/>
      <c r="T3" s="255"/>
      <c r="U3" s="255"/>
      <c r="V3" s="255"/>
      <c r="W3" s="255"/>
      <c r="X3" s="255"/>
      <c r="Y3" s="255"/>
      <c r="Z3" s="255"/>
    </row>
    <row r="4" ht="83.25" customHeight="1">
      <c r="A4" s="301" t="s">
        <v>12329</v>
      </c>
      <c r="B4" s="103" t="s">
        <v>23451</v>
      </c>
      <c r="C4" s="103" t="s">
        <v>23452</v>
      </c>
      <c r="D4" s="103" t="s">
        <v>40</v>
      </c>
      <c r="E4" s="103" t="s">
        <v>23453</v>
      </c>
      <c r="F4" s="103" t="s">
        <v>18702</v>
      </c>
      <c r="G4" s="104" t="s">
        <v>22157</v>
      </c>
      <c r="H4" s="104" t="s">
        <v>12330</v>
      </c>
      <c r="I4" s="104" t="s">
        <v>12331</v>
      </c>
      <c r="J4" s="104" t="s">
        <v>23454</v>
      </c>
      <c r="K4" s="103" t="s">
        <v>23455</v>
      </c>
      <c r="L4" s="103" t="s">
        <v>23456</v>
      </c>
      <c r="M4" s="103" t="s">
        <v>23457</v>
      </c>
      <c r="N4" s="105" t="s">
        <v>23458</v>
      </c>
      <c r="O4" s="108" t="s">
        <v>22181</v>
      </c>
      <c r="P4" s="294" t="s">
        <v>23084</v>
      </c>
      <c r="Q4" s="294" t="s">
        <v>23085</v>
      </c>
      <c r="R4" s="255"/>
      <c r="S4" s="255"/>
      <c r="T4" s="255"/>
      <c r="U4" s="255"/>
      <c r="V4" s="255"/>
      <c r="W4" s="255"/>
      <c r="X4" s="255"/>
      <c r="Y4" s="255"/>
      <c r="Z4" s="255"/>
    </row>
    <row r="5" ht="30.0" customHeight="1">
      <c r="A5" s="111" t="s">
        <v>23459</v>
      </c>
      <c r="B5" s="127" t="e">
        <v>#VALUE!</v>
      </c>
      <c r="C5" s="127" t="s">
        <v>23460</v>
      </c>
      <c r="D5" s="111" t="s">
        <v>7987</v>
      </c>
      <c r="E5" s="111" t="s">
        <v>23397</v>
      </c>
      <c r="F5" s="111" t="s">
        <v>20242</v>
      </c>
      <c r="G5" s="111">
        <v>2026.0</v>
      </c>
      <c r="H5" s="257">
        <v>2026.0</v>
      </c>
      <c r="I5" s="111"/>
      <c r="J5" s="111" t="s">
        <v>18638</v>
      </c>
      <c r="K5" s="127"/>
      <c r="L5" s="128">
        <v>1800.0</v>
      </c>
      <c r="M5" s="263">
        <v>0.0</v>
      </c>
      <c r="N5" s="125"/>
      <c r="O5" s="262" t="s">
        <v>22189</v>
      </c>
      <c r="P5" s="262"/>
      <c r="Q5" s="262"/>
      <c r="R5" s="261"/>
      <c r="S5" s="261"/>
      <c r="T5" s="261"/>
      <c r="U5" s="261"/>
      <c r="V5" s="261"/>
      <c r="W5" s="261"/>
      <c r="X5" s="261"/>
      <c r="Y5" s="261"/>
      <c r="Z5" s="261"/>
    </row>
    <row r="6" ht="30.0" customHeight="1">
      <c r="A6" s="111" t="s">
        <v>23461</v>
      </c>
      <c r="B6" s="127" t="e">
        <v>#VALUE!</v>
      </c>
      <c r="C6" s="127" t="s">
        <v>23462</v>
      </c>
      <c r="D6" s="111" t="s">
        <v>8371</v>
      </c>
      <c r="E6" s="111" t="s">
        <v>23333</v>
      </c>
      <c r="F6" s="111" t="s">
        <v>23463</v>
      </c>
      <c r="G6" s="111">
        <v>2027.0</v>
      </c>
      <c r="H6" s="257">
        <v>2027.0</v>
      </c>
      <c r="I6" s="111"/>
      <c r="J6" s="111" t="s">
        <v>18638</v>
      </c>
      <c r="K6" s="127"/>
      <c r="L6" s="128">
        <v>40000.0</v>
      </c>
      <c r="M6" s="263">
        <v>59383.30438397244</v>
      </c>
      <c r="N6" s="126"/>
      <c r="O6" s="262" t="s">
        <v>22189</v>
      </c>
      <c r="P6" s="127"/>
      <c r="Q6" s="127"/>
      <c r="R6" s="261"/>
      <c r="S6" s="261"/>
      <c r="T6" s="261"/>
      <c r="U6" s="261"/>
      <c r="V6" s="261"/>
      <c r="W6" s="261"/>
      <c r="X6" s="261"/>
      <c r="Y6" s="261"/>
      <c r="Z6" s="261"/>
    </row>
    <row r="7" ht="30.0" customHeight="1">
      <c r="A7" s="111" t="s">
        <v>23464</v>
      </c>
      <c r="B7" s="127" t="e">
        <v>#VALUE!</v>
      </c>
      <c r="C7" s="127" t="s">
        <v>23465</v>
      </c>
      <c r="D7" s="111" t="s">
        <v>7981</v>
      </c>
      <c r="E7" s="111" t="s">
        <v>23397</v>
      </c>
      <c r="F7" s="111"/>
      <c r="G7" s="111">
        <v>2028.0</v>
      </c>
      <c r="H7" s="257">
        <v>2028.0</v>
      </c>
      <c r="I7" s="111"/>
      <c r="J7" s="111" t="s">
        <v>18638</v>
      </c>
      <c r="K7" s="127"/>
      <c r="L7" s="128">
        <v>35000.0</v>
      </c>
      <c r="M7" s="263">
        <v>51960.39133597589</v>
      </c>
      <c r="N7" s="126"/>
      <c r="O7" s="262" t="s">
        <v>22189</v>
      </c>
      <c r="P7" s="262"/>
      <c r="Q7" s="262"/>
      <c r="R7" s="261"/>
      <c r="S7" s="261"/>
      <c r="T7" s="261"/>
      <c r="U7" s="261"/>
      <c r="V7" s="261"/>
      <c r="W7" s="261"/>
      <c r="X7" s="261"/>
      <c r="Y7" s="261"/>
      <c r="Z7" s="261"/>
    </row>
    <row r="8" ht="30.0" customHeight="1">
      <c r="A8" s="111" t="s">
        <v>23466</v>
      </c>
      <c r="B8" s="127" t="s">
        <v>23467</v>
      </c>
      <c r="C8" s="127" t="s">
        <v>23468</v>
      </c>
      <c r="D8" s="111" t="s">
        <v>8021</v>
      </c>
      <c r="E8" s="111" t="s">
        <v>23333</v>
      </c>
      <c r="F8" s="111" t="s">
        <v>23469</v>
      </c>
      <c r="G8" s="111">
        <v>2028.0</v>
      </c>
      <c r="H8" s="257">
        <v>2030.0</v>
      </c>
      <c r="I8" s="111"/>
      <c r="J8" s="111" t="s">
        <v>18638</v>
      </c>
      <c r="K8" s="127"/>
      <c r="L8" s="127" t="s">
        <v>23470</v>
      </c>
      <c r="M8" s="128"/>
      <c r="N8" s="125"/>
      <c r="O8" s="262" t="s">
        <v>22189</v>
      </c>
      <c r="P8" s="262" t="s">
        <v>22189</v>
      </c>
      <c r="Q8" s="262"/>
      <c r="R8" s="261"/>
      <c r="S8" s="261"/>
      <c r="T8" s="261"/>
      <c r="U8" s="261"/>
      <c r="V8" s="261"/>
      <c r="W8" s="261"/>
      <c r="X8" s="261"/>
      <c r="Y8" s="261"/>
      <c r="Z8" s="261"/>
    </row>
    <row r="9" ht="34.5" customHeight="1">
      <c r="A9" s="111" t="s">
        <v>23471</v>
      </c>
      <c r="B9" s="127" t="e">
        <v>#VALUE!</v>
      </c>
      <c r="C9" s="127" t="s">
        <v>23472</v>
      </c>
      <c r="D9" s="111" t="s">
        <v>10237</v>
      </c>
      <c r="E9" s="111" t="s">
        <v>23333</v>
      </c>
      <c r="F9" s="111"/>
      <c r="G9" s="111">
        <v>2028.0</v>
      </c>
      <c r="H9" s="257">
        <v>2028.0</v>
      </c>
      <c r="I9" s="111"/>
      <c r="J9" s="111" t="s">
        <v>18630</v>
      </c>
      <c r="K9" s="127"/>
      <c r="L9" s="128">
        <v>40000.0</v>
      </c>
      <c r="M9" s="263">
        <v>59383.30438397244</v>
      </c>
      <c r="N9" s="126"/>
      <c r="O9" s="262" t="s">
        <v>22189</v>
      </c>
      <c r="P9" s="262"/>
      <c r="Q9" s="127"/>
      <c r="R9" s="261"/>
      <c r="S9" s="261"/>
      <c r="T9" s="261"/>
      <c r="U9" s="261"/>
      <c r="V9" s="261"/>
      <c r="W9" s="261"/>
      <c r="X9" s="261"/>
      <c r="Y9" s="261"/>
      <c r="Z9" s="261"/>
    </row>
    <row r="10" ht="34.5" customHeight="1">
      <c r="A10" s="111" t="s">
        <v>23473</v>
      </c>
      <c r="B10" s="127" t="s">
        <v>23474</v>
      </c>
      <c r="C10" s="127"/>
      <c r="D10" s="111" t="s">
        <v>8240</v>
      </c>
      <c r="E10" s="111" t="s">
        <v>23333</v>
      </c>
      <c r="F10" s="111" t="s">
        <v>23475</v>
      </c>
      <c r="G10" s="111">
        <v>2030.0</v>
      </c>
      <c r="H10" s="257">
        <v>2030.0</v>
      </c>
      <c r="I10" s="111"/>
      <c r="J10" s="111" t="s">
        <v>18630</v>
      </c>
      <c r="K10" s="127"/>
      <c r="L10" s="127" t="s">
        <v>23476</v>
      </c>
      <c r="M10" s="128"/>
      <c r="N10" s="258" t="s">
        <v>23477</v>
      </c>
      <c r="O10" s="262" t="s">
        <v>22189</v>
      </c>
      <c r="P10" s="262" t="s">
        <v>23090</v>
      </c>
      <c r="Q10" s="262"/>
      <c r="R10" s="261"/>
      <c r="S10" s="261"/>
      <c r="T10" s="261"/>
      <c r="U10" s="261"/>
      <c r="V10" s="261"/>
      <c r="W10" s="261"/>
      <c r="X10" s="261"/>
      <c r="Y10" s="261"/>
      <c r="Z10" s="261"/>
    </row>
    <row r="11" ht="34.5" customHeight="1">
      <c r="A11" s="111" t="s">
        <v>23478</v>
      </c>
      <c r="B11" s="127" t="s">
        <v>23479</v>
      </c>
      <c r="C11" s="127" t="s">
        <v>23480</v>
      </c>
      <c r="D11" s="111" t="s">
        <v>7967</v>
      </c>
      <c r="E11" s="111" t="s">
        <v>23397</v>
      </c>
      <c r="F11" s="111" t="s">
        <v>23481</v>
      </c>
      <c r="G11" s="111">
        <v>2023.0</v>
      </c>
      <c r="H11" s="257">
        <v>2024.0</v>
      </c>
      <c r="I11" s="111"/>
      <c r="J11" s="111" t="s">
        <v>18630</v>
      </c>
      <c r="K11" s="127"/>
      <c r="L11" s="128" t="s">
        <v>23482</v>
      </c>
      <c r="M11" s="128"/>
      <c r="N11" s="126"/>
      <c r="O11" s="262" t="s">
        <v>22189</v>
      </c>
      <c r="P11" s="127"/>
      <c r="Q11" s="127"/>
      <c r="R11" s="261"/>
      <c r="S11" s="261"/>
      <c r="T11" s="261"/>
      <c r="U11" s="261"/>
      <c r="V11" s="261"/>
      <c r="W11" s="261"/>
      <c r="X11" s="261"/>
      <c r="Y11" s="261"/>
      <c r="Z11" s="261"/>
    </row>
    <row r="12" ht="34.5" customHeight="1">
      <c r="A12" s="111" t="s">
        <v>23483</v>
      </c>
      <c r="B12" s="127" t="s">
        <v>23484</v>
      </c>
      <c r="C12" s="127" t="s">
        <v>23485</v>
      </c>
      <c r="D12" s="111" t="s">
        <v>8003</v>
      </c>
      <c r="E12" s="111" t="s">
        <v>23333</v>
      </c>
      <c r="F12" s="111" t="s">
        <v>23486</v>
      </c>
      <c r="G12" s="111">
        <v>2025.0</v>
      </c>
      <c r="H12" s="257">
        <v>2026.0</v>
      </c>
      <c r="I12" s="111"/>
      <c r="J12" s="111" t="s">
        <v>22564</v>
      </c>
      <c r="K12" s="127"/>
      <c r="L12" s="127" t="s">
        <v>23487</v>
      </c>
      <c r="M12" s="128"/>
      <c r="N12" s="126" t="s">
        <v>23488</v>
      </c>
      <c r="O12" s="262" t="s">
        <v>23489</v>
      </c>
      <c r="P12" s="262" t="s">
        <v>22189</v>
      </c>
      <c r="Q12" s="127"/>
      <c r="R12" s="261"/>
      <c r="S12" s="261"/>
      <c r="T12" s="261"/>
      <c r="U12" s="261"/>
      <c r="V12" s="261"/>
      <c r="W12" s="261"/>
      <c r="X12" s="261"/>
      <c r="Y12" s="261"/>
      <c r="Z12" s="261"/>
    </row>
    <row r="13" ht="34.5" customHeight="1">
      <c r="A13" s="111" t="s">
        <v>23490</v>
      </c>
      <c r="B13" s="127" t="s">
        <v>23491</v>
      </c>
      <c r="C13" s="127" t="s">
        <v>23492</v>
      </c>
      <c r="D13" s="111" t="s">
        <v>7977</v>
      </c>
      <c r="E13" s="111" t="s">
        <v>23333</v>
      </c>
      <c r="F13" s="111" t="s">
        <v>23493</v>
      </c>
      <c r="G13" s="111">
        <v>2030.0</v>
      </c>
      <c r="H13" s="257">
        <v>2030.0</v>
      </c>
      <c r="I13" s="111"/>
      <c r="J13" s="111" t="s">
        <v>22564</v>
      </c>
      <c r="K13" s="127"/>
      <c r="L13" s="127" t="s">
        <v>23494</v>
      </c>
      <c r="M13" s="128"/>
      <c r="N13" s="126"/>
      <c r="O13" s="262" t="s">
        <v>22189</v>
      </c>
      <c r="P13" s="262" t="s">
        <v>22189</v>
      </c>
      <c r="Q13" s="262"/>
      <c r="R13" s="261"/>
      <c r="S13" s="261"/>
      <c r="T13" s="261"/>
      <c r="U13" s="261"/>
      <c r="V13" s="261"/>
      <c r="W13" s="261"/>
      <c r="X13" s="261"/>
      <c r="Y13" s="261"/>
      <c r="Z13" s="261"/>
    </row>
    <row r="14" ht="34.5" customHeight="1">
      <c r="A14" s="111" t="s">
        <v>23495</v>
      </c>
      <c r="B14" s="127" t="s">
        <v>23496</v>
      </c>
      <c r="C14" s="127" t="s">
        <v>23497</v>
      </c>
      <c r="D14" s="111" t="s">
        <v>8016</v>
      </c>
      <c r="E14" s="111" t="s">
        <v>23333</v>
      </c>
      <c r="F14" s="111" t="s">
        <v>23498</v>
      </c>
      <c r="G14" s="111">
        <v>2027.0</v>
      </c>
      <c r="H14" s="111">
        <v>2027.0</v>
      </c>
      <c r="I14" s="111"/>
      <c r="J14" s="111" t="s">
        <v>22564</v>
      </c>
      <c r="K14" s="127"/>
      <c r="L14" s="128" t="s">
        <v>23499</v>
      </c>
      <c r="M14" s="128"/>
      <c r="N14" s="126"/>
      <c r="O14" s="262" t="s">
        <v>22189</v>
      </c>
      <c r="P14" s="127"/>
      <c r="Q14" s="127"/>
      <c r="R14" s="261"/>
      <c r="S14" s="261"/>
      <c r="T14" s="261"/>
      <c r="U14" s="261"/>
      <c r="V14" s="261"/>
      <c r="W14" s="261"/>
      <c r="X14" s="261"/>
      <c r="Y14" s="261"/>
      <c r="Z14" s="261"/>
    </row>
    <row r="15" ht="34.5" customHeight="1">
      <c r="A15" s="111" t="s">
        <v>23500</v>
      </c>
      <c r="B15" s="127" t="s">
        <v>23501</v>
      </c>
      <c r="C15" s="127" t="s">
        <v>23502</v>
      </c>
      <c r="D15" s="111" t="s">
        <v>8087</v>
      </c>
      <c r="E15" s="111" t="s">
        <v>23397</v>
      </c>
      <c r="F15" s="111" t="s">
        <v>23503</v>
      </c>
      <c r="G15" s="111" t="s">
        <v>19</v>
      </c>
      <c r="H15" s="257" t="s">
        <v>19</v>
      </c>
      <c r="I15" s="111"/>
      <c r="J15" s="111" t="s">
        <v>22564</v>
      </c>
      <c r="K15" s="127"/>
      <c r="L15" s="128"/>
      <c r="M15" s="128"/>
      <c r="N15" s="126"/>
      <c r="O15" s="262" t="s">
        <v>22189</v>
      </c>
      <c r="P15" s="262" t="s">
        <v>22189</v>
      </c>
      <c r="Q15" s="262"/>
      <c r="R15" s="261"/>
      <c r="S15" s="261"/>
      <c r="T15" s="261"/>
      <c r="U15" s="261"/>
      <c r="V15" s="261"/>
      <c r="W15" s="261"/>
      <c r="X15" s="261"/>
      <c r="Y15" s="261"/>
      <c r="Z15" s="261"/>
    </row>
    <row r="16" ht="34.5" customHeight="1">
      <c r="A16" s="111" t="s">
        <v>23504</v>
      </c>
      <c r="B16" s="127" t="s">
        <v>23479</v>
      </c>
      <c r="C16" s="127" t="s">
        <v>23480</v>
      </c>
      <c r="D16" s="111" t="s">
        <v>7967</v>
      </c>
      <c r="E16" s="111" t="s">
        <v>23397</v>
      </c>
      <c r="F16" s="111" t="s">
        <v>23481</v>
      </c>
      <c r="G16" s="111">
        <v>2023.0</v>
      </c>
      <c r="H16" s="257">
        <v>2024.0</v>
      </c>
      <c r="I16" s="111"/>
      <c r="J16" s="111" t="s">
        <v>22564</v>
      </c>
      <c r="K16" s="127"/>
      <c r="L16" s="128" t="s">
        <v>23505</v>
      </c>
      <c r="M16" s="128"/>
      <c r="N16" s="126"/>
      <c r="O16" s="262" t="s">
        <v>22189</v>
      </c>
      <c r="P16" s="127"/>
      <c r="Q16" s="127"/>
      <c r="R16" s="261"/>
      <c r="S16" s="261"/>
      <c r="T16" s="261"/>
      <c r="U16" s="261"/>
      <c r="V16" s="261"/>
      <c r="W16" s="261"/>
      <c r="X16" s="261"/>
      <c r="Y16" s="261"/>
      <c r="Z16" s="261"/>
    </row>
    <row r="17" ht="34.5" customHeight="1">
      <c r="A17" s="111" t="s">
        <v>23506</v>
      </c>
      <c r="B17" s="127" t="s">
        <v>23507</v>
      </c>
      <c r="C17" s="127" t="s">
        <v>23508</v>
      </c>
      <c r="D17" s="111" t="s">
        <v>7991</v>
      </c>
      <c r="E17" s="111" t="s">
        <v>23509</v>
      </c>
      <c r="F17" s="111" t="s">
        <v>20225</v>
      </c>
      <c r="G17" s="111">
        <v>2027.0</v>
      </c>
      <c r="H17" s="257">
        <v>2027.0</v>
      </c>
      <c r="I17" s="111"/>
      <c r="J17" s="111" t="s">
        <v>22564</v>
      </c>
      <c r="K17" s="127"/>
      <c r="L17" s="128" t="s">
        <v>23510</v>
      </c>
      <c r="M17" s="302"/>
      <c r="N17" s="126"/>
      <c r="O17" s="262" t="s">
        <v>22189</v>
      </c>
      <c r="P17" s="127"/>
      <c r="Q17" s="127"/>
      <c r="R17" s="261"/>
      <c r="S17" s="261"/>
      <c r="T17" s="261"/>
      <c r="U17" s="261"/>
      <c r="V17" s="261"/>
      <c r="W17" s="261"/>
      <c r="X17" s="261"/>
      <c r="Y17" s="261"/>
      <c r="Z17" s="261"/>
    </row>
    <row r="18" ht="34.5" customHeight="1">
      <c r="A18" s="111" t="s">
        <v>23511</v>
      </c>
      <c r="B18" s="127" t="s">
        <v>23512</v>
      </c>
      <c r="C18" s="127"/>
      <c r="D18" s="111" t="s">
        <v>8539</v>
      </c>
      <c r="E18" s="111" t="s">
        <v>23397</v>
      </c>
      <c r="F18" s="111" t="s">
        <v>23513</v>
      </c>
      <c r="G18" s="111">
        <v>2027.0</v>
      </c>
      <c r="H18" s="257">
        <v>2027.0</v>
      </c>
      <c r="I18" s="111"/>
      <c r="J18" s="111" t="s">
        <v>22564</v>
      </c>
      <c r="K18" s="127"/>
      <c r="L18" s="128">
        <v>30000.0</v>
      </c>
      <c r="M18" s="128"/>
      <c r="N18" s="126"/>
      <c r="O18" s="262" t="s">
        <v>22189</v>
      </c>
      <c r="P18" s="127"/>
      <c r="Q18" s="127"/>
      <c r="R18" s="261"/>
      <c r="S18" s="261"/>
      <c r="T18" s="261"/>
      <c r="U18" s="261"/>
      <c r="V18" s="261"/>
      <c r="W18" s="261"/>
      <c r="X18" s="261"/>
      <c r="Y18" s="261"/>
      <c r="Z18" s="261"/>
    </row>
    <row r="19" ht="34.5" customHeight="1">
      <c r="A19" s="111" t="s">
        <v>23514</v>
      </c>
      <c r="B19" s="127" t="e">
        <v>#VALUE!</v>
      </c>
      <c r="C19" s="127" t="s">
        <v>23515</v>
      </c>
      <c r="D19" s="111" t="s">
        <v>8041</v>
      </c>
      <c r="E19" s="111" t="s">
        <v>23397</v>
      </c>
      <c r="F19" s="111" t="s">
        <v>23516</v>
      </c>
      <c r="G19" s="111" t="s">
        <v>19</v>
      </c>
      <c r="H19" s="257" t="s">
        <v>19</v>
      </c>
      <c r="I19" s="111"/>
      <c r="J19" s="111" t="s">
        <v>12399</v>
      </c>
      <c r="K19" s="127"/>
      <c r="L19" s="128">
        <v>31900.0</v>
      </c>
      <c r="M19" s="263">
        <v>47358.185246218025</v>
      </c>
      <c r="N19" s="126"/>
      <c r="O19" s="262" t="s">
        <v>22189</v>
      </c>
      <c r="P19" s="127"/>
      <c r="Q19" s="127"/>
      <c r="R19" s="261"/>
      <c r="S19" s="261"/>
      <c r="T19" s="261"/>
      <c r="U19" s="261"/>
      <c r="V19" s="261"/>
      <c r="W19" s="261"/>
      <c r="X19" s="261"/>
      <c r="Y19" s="261"/>
      <c r="Z19" s="261"/>
    </row>
    <row r="20" ht="34.5" customHeight="1">
      <c r="A20" s="111" t="s">
        <v>23517</v>
      </c>
      <c r="B20" s="127" t="e">
        <v>#VALUE!</v>
      </c>
      <c r="C20" s="127" t="s">
        <v>23518</v>
      </c>
      <c r="D20" s="111" t="s">
        <v>10023</v>
      </c>
      <c r="E20" s="111"/>
      <c r="F20" s="111"/>
      <c r="G20" s="111">
        <v>2030.0</v>
      </c>
      <c r="H20" s="257">
        <v>2030.0</v>
      </c>
      <c r="I20" s="111"/>
      <c r="J20" s="111" t="s">
        <v>12399</v>
      </c>
      <c r="K20" s="127"/>
      <c r="L20" s="128">
        <v>6200.0</v>
      </c>
      <c r="M20" s="263">
        <v>9204.412179515728</v>
      </c>
      <c r="N20" s="126"/>
      <c r="O20" s="262" t="s">
        <v>22189</v>
      </c>
      <c r="P20" s="127"/>
      <c r="Q20" s="127"/>
      <c r="R20" s="261"/>
      <c r="S20" s="261"/>
      <c r="T20" s="261"/>
      <c r="U20" s="261"/>
      <c r="V20" s="261"/>
      <c r="W20" s="261"/>
      <c r="X20" s="261"/>
      <c r="Y20" s="261"/>
      <c r="Z20" s="261"/>
    </row>
    <row r="21" ht="34.5" customHeight="1">
      <c r="A21" s="111" t="s">
        <v>23519</v>
      </c>
      <c r="B21" s="127" t="e">
        <v>#VALUE!</v>
      </c>
      <c r="C21" s="127" t="s">
        <v>23520</v>
      </c>
      <c r="D21" s="111" t="s">
        <v>7971</v>
      </c>
      <c r="E21" s="111" t="s">
        <v>23333</v>
      </c>
      <c r="F21" s="111"/>
      <c r="G21" s="111">
        <v>2024.0</v>
      </c>
      <c r="H21" s="257">
        <v>2035.0</v>
      </c>
      <c r="I21" s="111"/>
      <c r="J21" s="111" t="s">
        <v>12399</v>
      </c>
      <c r="K21" s="127"/>
      <c r="L21" s="128" t="s">
        <v>19</v>
      </c>
      <c r="M21" s="263">
        <v>0.0</v>
      </c>
      <c r="N21" s="126"/>
      <c r="O21" s="262" t="s">
        <v>22189</v>
      </c>
      <c r="P21" s="127"/>
      <c r="Q21" s="127"/>
      <c r="R21" s="261"/>
      <c r="S21" s="261"/>
      <c r="T21" s="261"/>
      <c r="U21" s="261"/>
      <c r="V21" s="261"/>
      <c r="W21" s="261"/>
      <c r="X21" s="261"/>
      <c r="Y21" s="261"/>
      <c r="Z21" s="261"/>
    </row>
    <row r="22" ht="34.5" customHeight="1">
      <c r="A22" s="111" t="s">
        <v>23521</v>
      </c>
      <c r="B22" s="127" t="s">
        <v>23393</v>
      </c>
      <c r="C22" s="127" t="s">
        <v>23522</v>
      </c>
      <c r="D22" s="111" t="s">
        <v>8071</v>
      </c>
      <c r="E22" s="111" t="s">
        <v>23333</v>
      </c>
      <c r="F22" s="111" t="s">
        <v>23394</v>
      </c>
      <c r="G22" s="111">
        <v>2025.0</v>
      </c>
      <c r="H22" s="257">
        <v>20240.0</v>
      </c>
      <c r="I22" s="111"/>
      <c r="J22" s="111" t="s">
        <v>12399</v>
      </c>
      <c r="K22" s="128"/>
      <c r="L22" s="128" t="s">
        <v>19</v>
      </c>
      <c r="M22" s="128"/>
      <c r="N22" s="126"/>
      <c r="O22" s="262" t="s">
        <v>22189</v>
      </c>
      <c r="P22" s="262" t="s">
        <v>22261</v>
      </c>
      <c r="Q22" s="262"/>
      <c r="R22" s="261"/>
      <c r="S22" s="261"/>
      <c r="T22" s="261"/>
      <c r="U22" s="261"/>
      <c r="V22" s="261"/>
      <c r="W22" s="261"/>
      <c r="X22" s="261"/>
      <c r="Y22" s="261"/>
      <c r="Z22" s="261"/>
    </row>
    <row r="23" ht="34.5" customHeight="1">
      <c r="A23" s="111" t="s">
        <v>23523</v>
      </c>
      <c r="B23" s="127" t="s">
        <v>23524</v>
      </c>
      <c r="C23" s="127" t="s">
        <v>23525</v>
      </c>
      <c r="D23" s="111" t="s">
        <v>8785</v>
      </c>
      <c r="E23" s="111" t="s">
        <v>23333</v>
      </c>
      <c r="F23" s="111" t="s">
        <v>23526</v>
      </c>
      <c r="G23" s="111" t="s">
        <v>19</v>
      </c>
      <c r="H23" s="257" t="s">
        <v>19</v>
      </c>
      <c r="I23" s="111"/>
      <c r="J23" s="111" t="s">
        <v>12399</v>
      </c>
      <c r="K23" s="128"/>
      <c r="L23" s="128" t="s">
        <v>19</v>
      </c>
      <c r="M23" s="128"/>
      <c r="N23" s="126" t="s">
        <v>23527</v>
      </c>
      <c r="O23" s="262" t="s">
        <v>22189</v>
      </c>
      <c r="P23" s="127"/>
      <c r="Q23" s="127"/>
      <c r="R23" s="261"/>
      <c r="S23" s="261"/>
      <c r="T23" s="261"/>
      <c r="U23" s="261"/>
      <c r="V23" s="261"/>
      <c r="W23" s="261"/>
      <c r="X23" s="261"/>
      <c r="Y23" s="261"/>
      <c r="Z23" s="261"/>
    </row>
    <row r="24" ht="34.5" customHeight="1">
      <c r="A24" s="111" t="s">
        <v>23528</v>
      </c>
      <c r="B24" s="127" t="s">
        <v>23529</v>
      </c>
      <c r="C24" s="127" t="s">
        <v>23530</v>
      </c>
      <c r="D24" s="111" t="s">
        <v>8122</v>
      </c>
      <c r="E24" s="111" t="s">
        <v>23333</v>
      </c>
      <c r="F24" s="111" t="s">
        <v>23531</v>
      </c>
      <c r="G24" s="111">
        <v>2023.0</v>
      </c>
      <c r="H24" s="257">
        <v>2026.0</v>
      </c>
      <c r="I24" s="111"/>
      <c r="J24" s="111" t="s">
        <v>12399</v>
      </c>
      <c r="K24" s="127"/>
      <c r="L24" s="127" t="s">
        <v>23532</v>
      </c>
      <c r="M24" s="128"/>
      <c r="N24" s="126"/>
      <c r="O24" s="262" t="s">
        <v>22189</v>
      </c>
      <c r="P24" s="262" t="s">
        <v>22189</v>
      </c>
      <c r="Q24" s="262"/>
      <c r="R24" s="261"/>
      <c r="S24" s="261"/>
      <c r="T24" s="261"/>
      <c r="U24" s="261"/>
      <c r="V24" s="261"/>
      <c r="W24" s="261"/>
      <c r="X24" s="261"/>
      <c r="Y24" s="261"/>
      <c r="Z24" s="261"/>
    </row>
    <row r="25" ht="34.5" customHeight="1">
      <c r="A25" s="111" t="s">
        <v>23533</v>
      </c>
      <c r="B25" s="127" t="s">
        <v>23534</v>
      </c>
      <c r="C25" s="127" t="s">
        <v>23530</v>
      </c>
      <c r="D25" s="111" t="s">
        <v>8122</v>
      </c>
      <c r="E25" s="111" t="s">
        <v>23333</v>
      </c>
      <c r="F25" s="111" t="s">
        <v>23531</v>
      </c>
      <c r="G25" s="111">
        <v>2023.0</v>
      </c>
      <c r="H25" s="257">
        <v>2026.0</v>
      </c>
      <c r="I25" s="111"/>
      <c r="J25" s="111" t="s">
        <v>12399</v>
      </c>
      <c r="K25" s="127"/>
      <c r="L25" s="127" t="s">
        <v>23532</v>
      </c>
      <c r="M25" s="128"/>
      <c r="N25" s="126"/>
      <c r="O25" s="262" t="s">
        <v>22189</v>
      </c>
      <c r="P25" s="262" t="s">
        <v>22189</v>
      </c>
      <c r="Q25" s="262"/>
      <c r="R25" s="261"/>
      <c r="S25" s="261"/>
      <c r="T25" s="261"/>
      <c r="U25" s="261"/>
      <c r="V25" s="261"/>
      <c r="W25" s="261"/>
      <c r="X25" s="261"/>
      <c r="Y25" s="261"/>
      <c r="Z25" s="261"/>
    </row>
    <row r="26" ht="34.5" customHeight="1">
      <c r="A26" s="111" t="s">
        <v>23535</v>
      </c>
      <c r="B26" s="127" t="s">
        <v>23536</v>
      </c>
      <c r="C26" s="127"/>
      <c r="D26" s="111" t="s">
        <v>7983</v>
      </c>
      <c r="E26" s="111" t="s">
        <v>23397</v>
      </c>
      <c r="F26" s="111" t="s">
        <v>23537</v>
      </c>
      <c r="G26" s="111">
        <v>2030.0</v>
      </c>
      <c r="H26" s="257">
        <v>2030.0</v>
      </c>
      <c r="I26" s="111"/>
      <c r="J26" s="111" t="s">
        <v>12399</v>
      </c>
      <c r="K26" s="127"/>
      <c r="L26" s="127" t="s">
        <v>19</v>
      </c>
      <c r="M26" s="128"/>
      <c r="N26" s="125"/>
      <c r="O26" s="127"/>
      <c r="P26" s="127"/>
      <c r="Q26" s="127"/>
      <c r="R26" s="261"/>
      <c r="S26" s="261"/>
      <c r="T26" s="261"/>
      <c r="U26" s="261"/>
      <c r="V26" s="261"/>
      <c r="W26" s="261"/>
      <c r="X26" s="261"/>
      <c r="Y26" s="261"/>
      <c r="Z26" s="261"/>
    </row>
    <row r="27" ht="34.5" customHeight="1">
      <c r="A27" s="111" t="s">
        <v>23538</v>
      </c>
      <c r="B27" s="127" t="s">
        <v>23539</v>
      </c>
      <c r="C27" s="127" t="s">
        <v>23540</v>
      </c>
      <c r="D27" s="111" t="s">
        <v>7983</v>
      </c>
      <c r="E27" s="111" t="s">
        <v>23397</v>
      </c>
      <c r="F27" s="111" t="s">
        <v>23541</v>
      </c>
      <c r="G27" s="111">
        <v>2030.0</v>
      </c>
      <c r="H27" s="257">
        <v>2030.0</v>
      </c>
      <c r="I27" s="111"/>
      <c r="J27" s="111" t="s">
        <v>12399</v>
      </c>
      <c r="K27" s="127"/>
      <c r="L27" s="128" t="s">
        <v>19</v>
      </c>
      <c r="M27" s="128"/>
      <c r="N27" s="126"/>
      <c r="O27" s="262" t="s">
        <v>22189</v>
      </c>
      <c r="P27" s="127"/>
      <c r="Q27" s="127"/>
      <c r="R27" s="261"/>
      <c r="S27" s="261"/>
      <c r="T27" s="261"/>
      <c r="U27" s="261"/>
      <c r="V27" s="261"/>
      <c r="W27" s="261"/>
      <c r="X27" s="261"/>
      <c r="Y27" s="261"/>
      <c r="Z27" s="261"/>
    </row>
    <row r="28" ht="34.5" customHeight="1">
      <c r="A28" s="111" t="s">
        <v>23542</v>
      </c>
      <c r="B28" s="127" t="s">
        <v>23543</v>
      </c>
      <c r="C28" s="127" t="s">
        <v>23544</v>
      </c>
      <c r="D28" s="111" t="s">
        <v>8177</v>
      </c>
      <c r="E28" s="111" t="s">
        <v>23333</v>
      </c>
      <c r="F28" s="111" t="s">
        <v>23545</v>
      </c>
      <c r="G28" s="111">
        <v>2022.0</v>
      </c>
      <c r="H28" s="257" t="s">
        <v>19</v>
      </c>
      <c r="I28" s="111"/>
      <c r="J28" s="111" t="s">
        <v>12399</v>
      </c>
      <c r="K28" s="127"/>
      <c r="L28" s="128" t="s">
        <v>23546</v>
      </c>
      <c r="M28" s="128"/>
      <c r="N28" s="126"/>
      <c r="O28" s="262" t="s">
        <v>22189</v>
      </c>
      <c r="P28" s="262" t="s">
        <v>22189</v>
      </c>
      <c r="Q28" s="262"/>
      <c r="R28" s="261"/>
      <c r="S28" s="261"/>
      <c r="T28" s="261"/>
      <c r="U28" s="261"/>
      <c r="V28" s="261"/>
      <c r="W28" s="261"/>
      <c r="X28" s="261"/>
      <c r="Y28" s="261"/>
      <c r="Z28" s="261"/>
    </row>
    <row r="29" ht="34.5" customHeight="1">
      <c r="A29" s="111" t="s">
        <v>23547</v>
      </c>
      <c r="B29" s="127" t="s">
        <v>23548</v>
      </c>
      <c r="C29" s="127" t="s">
        <v>23549</v>
      </c>
      <c r="D29" s="111" t="s">
        <v>8177</v>
      </c>
      <c r="E29" s="111" t="s">
        <v>23333</v>
      </c>
      <c r="F29" s="111" t="s">
        <v>23550</v>
      </c>
      <c r="G29" s="111">
        <v>2021.0</v>
      </c>
      <c r="H29" s="257">
        <v>2030.0</v>
      </c>
      <c r="I29" s="111"/>
      <c r="J29" s="111" t="s">
        <v>12399</v>
      </c>
      <c r="K29" s="127"/>
      <c r="L29" s="128" t="s">
        <v>23551</v>
      </c>
      <c r="M29" s="128"/>
      <c r="N29" s="126"/>
      <c r="O29" s="303" t="s">
        <v>22189</v>
      </c>
      <c r="P29" s="127"/>
      <c r="Q29" s="127"/>
      <c r="R29" s="261"/>
      <c r="S29" s="261"/>
      <c r="T29" s="261"/>
      <c r="U29" s="261"/>
      <c r="V29" s="261"/>
      <c r="W29" s="261"/>
      <c r="X29" s="261"/>
      <c r="Y29" s="261"/>
      <c r="Z29" s="261"/>
    </row>
    <row r="30" ht="34.5" customHeight="1">
      <c r="A30" s="111" t="s">
        <v>23552</v>
      </c>
      <c r="B30" s="127" t="s">
        <v>23553</v>
      </c>
      <c r="C30" s="127" t="s">
        <v>23554</v>
      </c>
      <c r="D30" s="111" t="s">
        <v>8016</v>
      </c>
      <c r="E30" s="111" t="s">
        <v>23333</v>
      </c>
      <c r="F30" s="111" t="s">
        <v>23555</v>
      </c>
      <c r="G30" s="111">
        <v>2030.0</v>
      </c>
      <c r="H30" s="257">
        <v>2030.0</v>
      </c>
      <c r="I30" s="111"/>
      <c r="J30" s="111" t="s">
        <v>12399</v>
      </c>
      <c r="K30" s="127"/>
      <c r="L30" s="128" t="s">
        <v>23556</v>
      </c>
      <c r="M30" s="128"/>
      <c r="N30" s="126"/>
      <c r="O30" s="262" t="s">
        <v>22189</v>
      </c>
      <c r="P30" s="262" t="s">
        <v>22189</v>
      </c>
      <c r="Q30" s="262"/>
      <c r="R30" s="261"/>
      <c r="S30" s="261"/>
      <c r="T30" s="261"/>
      <c r="U30" s="261"/>
      <c r="V30" s="261"/>
      <c r="W30" s="261"/>
      <c r="X30" s="261"/>
      <c r="Y30" s="261"/>
      <c r="Z30" s="261"/>
    </row>
    <row r="31" ht="34.5" customHeight="1">
      <c r="A31" s="111" t="s">
        <v>23557</v>
      </c>
      <c r="B31" s="127" t="s">
        <v>23558</v>
      </c>
      <c r="C31" s="127" t="s">
        <v>23559</v>
      </c>
      <c r="D31" s="111" t="s">
        <v>8873</v>
      </c>
      <c r="E31" s="111" t="s">
        <v>23333</v>
      </c>
      <c r="F31" s="111" t="s">
        <v>23560</v>
      </c>
      <c r="G31" s="111">
        <v>2027.0</v>
      </c>
      <c r="H31" s="257">
        <v>2027.0</v>
      </c>
      <c r="I31" s="111"/>
      <c r="J31" s="111" t="s">
        <v>12399</v>
      </c>
      <c r="K31" s="127"/>
      <c r="L31" s="127" t="s">
        <v>23561</v>
      </c>
      <c r="M31" s="128"/>
      <c r="N31" s="126" t="s">
        <v>23562</v>
      </c>
      <c r="O31" s="262" t="s">
        <v>22189</v>
      </c>
      <c r="P31" s="127"/>
      <c r="Q31" s="127"/>
      <c r="R31" s="261"/>
      <c r="S31" s="261"/>
      <c r="T31" s="261"/>
      <c r="U31" s="261"/>
      <c r="V31" s="261"/>
      <c r="W31" s="261"/>
      <c r="X31" s="261"/>
      <c r="Y31" s="261"/>
      <c r="Z31" s="261"/>
    </row>
    <row r="32" ht="34.5" customHeight="1">
      <c r="A32" s="111" t="s">
        <v>23563</v>
      </c>
      <c r="B32" s="127" t="s">
        <v>23564</v>
      </c>
      <c r="C32" s="127" t="s">
        <v>23565</v>
      </c>
      <c r="D32" s="111" t="s">
        <v>8147</v>
      </c>
      <c r="E32" s="111" t="s">
        <v>23333</v>
      </c>
      <c r="F32" s="111" t="s">
        <v>23566</v>
      </c>
      <c r="G32" s="111" t="s">
        <v>19</v>
      </c>
      <c r="H32" s="257" t="s">
        <v>19</v>
      </c>
      <c r="I32" s="111"/>
      <c r="J32" s="111" t="s">
        <v>12399</v>
      </c>
      <c r="K32" s="127"/>
      <c r="L32" s="127" t="s">
        <v>23567</v>
      </c>
      <c r="M32" s="128"/>
      <c r="N32" s="126" t="s">
        <v>23568</v>
      </c>
      <c r="O32" s="262" t="s">
        <v>22189</v>
      </c>
      <c r="P32" s="262" t="s">
        <v>22189</v>
      </c>
      <c r="Q32" s="262"/>
      <c r="R32" s="261"/>
      <c r="S32" s="261"/>
      <c r="T32" s="261"/>
      <c r="U32" s="261"/>
      <c r="V32" s="261"/>
      <c r="W32" s="261"/>
      <c r="X32" s="261"/>
      <c r="Y32" s="261"/>
      <c r="Z32" s="261"/>
    </row>
    <row r="33" ht="34.5" customHeight="1">
      <c r="A33" s="111" t="s">
        <v>23569</v>
      </c>
      <c r="B33" s="127" t="s">
        <v>23570</v>
      </c>
      <c r="C33" s="127" t="s">
        <v>23571</v>
      </c>
      <c r="D33" s="111" t="s">
        <v>8388</v>
      </c>
      <c r="E33" s="111" t="s">
        <v>23333</v>
      </c>
      <c r="F33" s="111" t="s">
        <v>23572</v>
      </c>
      <c r="G33" s="111" t="s">
        <v>19</v>
      </c>
      <c r="H33" s="257" t="s">
        <v>19</v>
      </c>
      <c r="I33" s="111"/>
      <c r="J33" s="111" t="s">
        <v>12399</v>
      </c>
      <c r="K33" s="127"/>
      <c r="L33" s="127" t="s">
        <v>23573</v>
      </c>
      <c r="M33" s="128"/>
      <c r="N33" s="263"/>
      <c r="O33" s="262" t="s">
        <v>22189</v>
      </c>
      <c r="P33" s="127"/>
      <c r="Q33" s="127"/>
      <c r="R33" s="261"/>
      <c r="S33" s="261"/>
      <c r="T33" s="261"/>
      <c r="U33" s="261"/>
      <c r="V33" s="261"/>
      <c r="W33" s="261"/>
      <c r="X33" s="261"/>
      <c r="Y33" s="261"/>
      <c r="Z33" s="261"/>
    </row>
    <row r="34" ht="34.5" customHeight="1">
      <c r="A34" s="111" t="s">
        <v>23574</v>
      </c>
      <c r="B34" s="127" t="s">
        <v>23570</v>
      </c>
      <c r="C34" s="127" t="s">
        <v>23571</v>
      </c>
      <c r="D34" s="111" t="s">
        <v>8388</v>
      </c>
      <c r="E34" s="111" t="s">
        <v>23333</v>
      </c>
      <c r="F34" s="111" t="s">
        <v>23572</v>
      </c>
      <c r="G34" s="111" t="s">
        <v>23575</v>
      </c>
      <c r="H34" s="257" t="s">
        <v>19</v>
      </c>
      <c r="I34" s="111"/>
      <c r="J34" s="111" t="s">
        <v>12399</v>
      </c>
      <c r="K34" s="127"/>
      <c r="L34" s="127" t="s">
        <v>23476</v>
      </c>
      <c r="M34" s="128"/>
      <c r="N34" s="126" t="s">
        <v>23576</v>
      </c>
      <c r="O34" s="262" t="s">
        <v>22189</v>
      </c>
      <c r="P34" s="127"/>
      <c r="Q34" s="127"/>
      <c r="R34" s="261"/>
      <c r="S34" s="261"/>
      <c r="T34" s="261"/>
      <c r="U34" s="261"/>
      <c r="V34" s="261"/>
      <c r="W34" s="261"/>
      <c r="X34" s="261"/>
      <c r="Y34" s="261"/>
      <c r="Z34" s="261"/>
    </row>
    <row r="35" ht="34.5" customHeight="1">
      <c r="A35" s="111" t="s">
        <v>23577</v>
      </c>
      <c r="B35" s="127" t="s">
        <v>23578</v>
      </c>
      <c r="C35" s="127" t="s">
        <v>23571</v>
      </c>
      <c r="D35" s="111" t="s">
        <v>8388</v>
      </c>
      <c r="E35" s="111" t="s">
        <v>23333</v>
      </c>
      <c r="F35" s="111" t="s">
        <v>23579</v>
      </c>
      <c r="G35" s="111">
        <v>2030.0</v>
      </c>
      <c r="H35" s="257">
        <v>2030.0</v>
      </c>
      <c r="I35" s="111"/>
      <c r="J35" s="111" t="s">
        <v>12399</v>
      </c>
      <c r="K35" s="127"/>
      <c r="L35" s="127" t="s">
        <v>23580</v>
      </c>
      <c r="M35" s="128"/>
      <c r="N35" s="125" t="s">
        <v>23581</v>
      </c>
      <c r="O35" s="262" t="s">
        <v>22189</v>
      </c>
      <c r="P35" s="127"/>
      <c r="Q35" s="127"/>
      <c r="R35" s="261"/>
      <c r="S35" s="261"/>
      <c r="T35" s="261"/>
      <c r="U35" s="261"/>
      <c r="V35" s="261"/>
      <c r="W35" s="261"/>
      <c r="X35" s="261"/>
      <c r="Y35" s="261"/>
      <c r="Z35" s="261"/>
    </row>
    <row r="36" ht="34.5" customHeight="1">
      <c r="A36" s="111" t="s">
        <v>23582</v>
      </c>
      <c r="B36" s="127" t="s">
        <v>23583</v>
      </c>
      <c r="C36" s="127" t="s">
        <v>23584</v>
      </c>
      <c r="D36" s="111" t="s">
        <v>8437</v>
      </c>
      <c r="E36" s="111" t="s">
        <v>23333</v>
      </c>
      <c r="F36" s="111" t="s">
        <v>23585</v>
      </c>
      <c r="G36" s="111" t="s">
        <v>19</v>
      </c>
      <c r="H36" s="111" t="s">
        <v>19</v>
      </c>
      <c r="I36" s="111"/>
      <c r="J36" s="111" t="s">
        <v>12399</v>
      </c>
      <c r="K36" s="127"/>
      <c r="L36" s="127" t="s">
        <v>23586</v>
      </c>
      <c r="M36" s="128"/>
      <c r="N36" s="126"/>
      <c r="O36" s="262" t="s">
        <v>22189</v>
      </c>
      <c r="P36" s="262" t="s">
        <v>22189</v>
      </c>
      <c r="Q36" s="262"/>
      <c r="R36" s="261"/>
      <c r="S36" s="261"/>
      <c r="T36" s="261"/>
      <c r="U36" s="261"/>
      <c r="V36" s="261"/>
      <c r="W36" s="261"/>
      <c r="X36" s="261"/>
      <c r="Y36" s="261"/>
      <c r="Z36" s="261"/>
    </row>
    <row r="37" ht="34.5" customHeight="1">
      <c r="A37" s="111" t="s">
        <v>23587</v>
      </c>
      <c r="B37" s="127" t="s">
        <v>23588</v>
      </c>
      <c r="C37" s="127" t="s">
        <v>23584</v>
      </c>
      <c r="D37" s="111" t="s">
        <v>8437</v>
      </c>
      <c r="E37" s="111" t="s">
        <v>23333</v>
      </c>
      <c r="F37" s="111" t="s">
        <v>23585</v>
      </c>
      <c r="G37" s="111" t="s">
        <v>19</v>
      </c>
      <c r="H37" s="111" t="s">
        <v>19</v>
      </c>
      <c r="I37" s="111"/>
      <c r="J37" s="111" t="s">
        <v>12399</v>
      </c>
      <c r="K37" s="127"/>
      <c r="L37" s="127" t="s">
        <v>23589</v>
      </c>
      <c r="M37" s="128"/>
      <c r="N37" s="126"/>
      <c r="O37" s="262" t="s">
        <v>22189</v>
      </c>
      <c r="P37" s="262" t="s">
        <v>22189</v>
      </c>
      <c r="Q37" s="262"/>
      <c r="R37" s="261"/>
      <c r="S37" s="261"/>
      <c r="T37" s="261"/>
      <c r="U37" s="261"/>
      <c r="V37" s="261"/>
      <c r="W37" s="261"/>
      <c r="X37" s="261"/>
      <c r="Y37" s="261"/>
      <c r="Z37" s="261"/>
    </row>
    <row r="38" ht="34.5" customHeight="1">
      <c r="A38" s="111" t="s">
        <v>23590</v>
      </c>
      <c r="B38" s="111" t="s">
        <v>22514</v>
      </c>
      <c r="C38" s="127" t="s">
        <v>23591</v>
      </c>
      <c r="D38" s="111" t="s">
        <v>7981</v>
      </c>
      <c r="E38" s="111" t="s">
        <v>23333</v>
      </c>
      <c r="F38" s="111" t="s">
        <v>23592</v>
      </c>
      <c r="G38" s="111">
        <v>2026.0</v>
      </c>
      <c r="H38" s="257">
        <v>2030.0</v>
      </c>
      <c r="I38" s="111"/>
      <c r="J38" s="111" t="s">
        <v>12399</v>
      </c>
      <c r="K38" s="127"/>
      <c r="L38" s="127" t="s">
        <v>23593</v>
      </c>
      <c r="M38" s="128"/>
      <c r="N38" s="126"/>
      <c r="O38" s="262" t="s">
        <v>22189</v>
      </c>
      <c r="P38" s="127"/>
      <c r="Q38" s="127"/>
      <c r="R38" s="261"/>
      <c r="S38" s="261"/>
      <c r="T38" s="261"/>
      <c r="U38" s="261"/>
      <c r="V38" s="261"/>
      <c r="W38" s="261"/>
      <c r="X38" s="261"/>
      <c r="Y38" s="261"/>
      <c r="Z38" s="261"/>
    </row>
    <row r="39" ht="34.5" customHeight="1">
      <c r="A39" s="111" t="s">
        <v>23594</v>
      </c>
      <c r="B39" s="127" t="s">
        <v>23595</v>
      </c>
      <c r="C39" s="127" t="s">
        <v>23596</v>
      </c>
      <c r="D39" s="111" t="s">
        <v>8365</v>
      </c>
      <c r="E39" s="111" t="s">
        <v>23333</v>
      </c>
      <c r="F39" s="111" t="s">
        <v>23597</v>
      </c>
      <c r="G39" s="111">
        <v>2029.0</v>
      </c>
      <c r="H39" s="257">
        <v>2029.0</v>
      </c>
      <c r="I39" s="111"/>
      <c r="J39" s="111" t="s">
        <v>12399</v>
      </c>
      <c r="K39" s="127"/>
      <c r="L39" s="127" t="s">
        <v>23561</v>
      </c>
      <c r="M39" s="128"/>
      <c r="N39" s="126"/>
      <c r="O39" s="262" t="s">
        <v>22189</v>
      </c>
      <c r="P39" s="262" t="s">
        <v>22189</v>
      </c>
      <c r="Q39" s="262" t="s">
        <v>22189</v>
      </c>
      <c r="R39" s="261"/>
      <c r="S39" s="261"/>
      <c r="T39" s="261"/>
      <c r="U39" s="261"/>
      <c r="V39" s="261"/>
      <c r="W39" s="261"/>
      <c r="X39" s="261"/>
      <c r="Y39" s="261"/>
      <c r="Z39" s="261"/>
    </row>
    <row r="40" ht="34.5" customHeight="1">
      <c r="A40" s="111" t="s">
        <v>23598</v>
      </c>
      <c r="B40" s="127" t="s">
        <v>23599</v>
      </c>
      <c r="C40" s="127" t="s">
        <v>23600</v>
      </c>
      <c r="D40" s="111" t="s">
        <v>7987</v>
      </c>
      <c r="E40" s="111" t="s">
        <v>23397</v>
      </c>
      <c r="F40" s="111" t="s">
        <v>23601</v>
      </c>
      <c r="G40" s="111">
        <v>2026.0</v>
      </c>
      <c r="H40" s="257">
        <v>2026.0</v>
      </c>
      <c r="I40" s="111"/>
      <c r="J40" s="111" t="s">
        <v>12399</v>
      </c>
      <c r="K40" s="127"/>
      <c r="L40" s="128" t="s">
        <v>23602</v>
      </c>
      <c r="M40" s="128"/>
      <c r="N40" s="126" t="s">
        <v>23603</v>
      </c>
      <c r="O40" s="262" t="s">
        <v>22189</v>
      </c>
      <c r="P40" s="127"/>
      <c r="Q40" s="127"/>
      <c r="R40" s="261"/>
      <c r="S40" s="261"/>
      <c r="T40" s="261"/>
      <c r="U40" s="261"/>
      <c r="V40" s="261"/>
      <c r="W40" s="261"/>
      <c r="X40" s="261"/>
      <c r="Y40" s="261"/>
      <c r="Z40" s="261"/>
    </row>
    <row r="41" ht="34.5" customHeight="1">
      <c r="A41" s="111" t="s">
        <v>23604</v>
      </c>
      <c r="B41" s="127" t="s">
        <v>23605</v>
      </c>
      <c r="C41" s="127" t="s">
        <v>23600</v>
      </c>
      <c r="D41" s="111" t="s">
        <v>7987</v>
      </c>
      <c r="E41" s="111" t="s">
        <v>23397</v>
      </c>
      <c r="F41" s="111" t="s">
        <v>23601</v>
      </c>
      <c r="G41" s="111">
        <v>2026.0</v>
      </c>
      <c r="H41" s="257">
        <v>2026.0</v>
      </c>
      <c r="I41" s="111"/>
      <c r="J41" s="111" t="s">
        <v>12399</v>
      </c>
      <c r="K41" s="127"/>
      <c r="L41" s="128" t="s">
        <v>23606</v>
      </c>
      <c r="M41" s="128"/>
      <c r="N41" s="126"/>
      <c r="O41" s="262" t="s">
        <v>22189</v>
      </c>
      <c r="P41" s="127"/>
      <c r="Q41" s="127"/>
      <c r="R41" s="261"/>
      <c r="S41" s="261"/>
      <c r="T41" s="261"/>
      <c r="U41" s="261"/>
      <c r="V41" s="261"/>
      <c r="W41" s="261"/>
      <c r="X41" s="261"/>
      <c r="Y41" s="261"/>
      <c r="Z41" s="261"/>
    </row>
    <row r="42" ht="34.5" customHeight="1">
      <c r="A42" s="111" t="s">
        <v>23607</v>
      </c>
      <c r="B42" s="127" t="s">
        <v>23608</v>
      </c>
      <c r="C42" s="127" t="s">
        <v>23480</v>
      </c>
      <c r="D42" s="111" t="s">
        <v>7967</v>
      </c>
      <c r="E42" s="111" t="s">
        <v>23397</v>
      </c>
      <c r="F42" s="111" t="s">
        <v>23609</v>
      </c>
      <c r="G42" s="111" t="s">
        <v>19</v>
      </c>
      <c r="H42" s="257" t="s">
        <v>19</v>
      </c>
      <c r="I42" s="111"/>
      <c r="J42" s="111" t="s">
        <v>12399</v>
      </c>
      <c r="K42" s="127"/>
      <c r="L42" s="128"/>
      <c r="M42" s="128"/>
      <c r="N42" s="126"/>
      <c r="O42" s="262" t="s">
        <v>22189</v>
      </c>
      <c r="P42" s="127"/>
      <c r="Q42" s="127"/>
      <c r="R42" s="261"/>
      <c r="S42" s="261"/>
      <c r="T42" s="261"/>
      <c r="U42" s="261"/>
      <c r="V42" s="261"/>
      <c r="W42" s="261"/>
      <c r="X42" s="261"/>
      <c r="Y42" s="261"/>
      <c r="Z42" s="261"/>
    </row>
    <row r="43" ht="34.5" customHeight="1">
      <c r="A43" s="111" t="s">
        <v>23610</v>
      </c>
      <c r="B43" s="127" t="s">
        <v>23611</v>
      </c>
      <c r="C43" s="127" t="s">
        <v>23612</v>
      </c>
      <c r="D43" s="111" t="s">
        <v>7971</v>
      </c>
      <c r="E43" s="111" t="s">
        <v>23397</v>
      </c>
      <c r="F43" s="111" t="s">
        <v>23613</v>
      </c>
      <c r="G43" s="111">
        <v>2026.0</v>
      </c>
      <c r="H43" s="257">
        <v>2026.0</v>
      </c>
      <c r="I43" s="111"/>
      <c r="J43" s="111" t="s">
        <v>12399</v>
      </c>
      <c r="K43" s="127"/>
      <c r="L43" s="128" t="s">
        <v>23573</v>
      </c>
      <c r="M43" s="128"/>
      <c r="N43" s="126"/>
      <c r="O43" s="262" t="s">
        <v>22189</v>
      </c>
      <c r="P43" s="262" t="s">
        <v>22189</v>
      </c>
      <c r="Q43" s="262"/>
      <c r="R43" s="261"/>
      <c r="S43" s="261"/>
      <c r="T43" s="261"/>
      <c r="U43" s="261"/>
      <c r="V43" s="261"/>
      <c r="W43" s="261"/>
      <c r="X43" s="261"/>
      <c r="Y43" s="261"/>
      <c r="Z43" s="261"/>
    </row>
    <row r="44" ht="34.5" customHeight="1">
      <c r="A44" s="111" t="s">
        <v>23614</v>
      </c>
      <c r="B44" s="127" t="s">
        <v>23615</v>
      </c>
      <c r="C44" s="127" t="s">
        <v>23616</v>
      </c>
      <c r="D44" s="111" t="s">
        <v>7971</v>
      </c>
      <c r="E44" s="111" t="s">
        <v>23397</v>
      </c>
      <c r="F44" s="111" t="s">
        <v>23617</v>
      </c>
      <c r="G44" s="111">
        <v>2025.0</v>
      </c>
      <c r="H44" s="257">
        <v>2030.0</v>
      </c>
      <c r="I44" s="111"/>
      <c r="J44" s="111" t="s">
        <v>12399</v>
      </c>
      <c r="K44" s="127"/>
      <c r="L44" s="128" t="s">
        <v>23618</v>
      </c>
      <c r="M44" s="128"/>
      <c r="N44" s="126"/>
      <c r="O44" s="262" t="s">
        <v>22189</v>
      </c>
      <c r="P44" s="262" t="s">
        <v>22189</v>
      </c>
      <c r="Q44" s="262"/>
      <c r="R44" s="261"/>
      <c r="S44" s="261"/>
      <c r="T44" s="261"/>
      <c r="U44" s="261"/>
      <c r="V44" s="261"/>
      <c r="W44" s="261"/>
      <c r="X44" s="261"/>
      <c r="Y44" s="261"/>
      <c r="Z44" s="261"/>
    </row>
    <row r="45" ht="34.5" customHeight="1">
      <c r="A45" s="111" t="s">
        <v>23619</v>
      </c>
      <c r="B45" s="127" t="s">
        <v>23620</v>
      </c>
      <c r="C45" s="127" t="s">
        <v>23621</v>
      </c>
      <c r="D45" s="111" t="s">
        <v>8021</v>
      </c>
      <c r="E45" s="111" t="s">
        <v>23333</v>
      </c>
      <c r="F45" s="111" t="s">
        <v>23622</v>
      </c>
      <c r="G45" s="111" t="s">
        <v>19</v>
      </c>
      <c r="H45" s="257" t="s">
        <v>19</v>
      </c>
      <c r="I45" s="111"/>
      <c r="J45" s="111" t="s">
        <v>12399</v>
      </c>
      <c r="K45" s="127"/>
      <c r="L45" s="128" t="s">
        <v>23623</v>
      </c>
      <c r="M45" s="128"/>
      <c r="N45" s="126"/>
      <c r="O45" s="262" t="s">
        <v>22189</v>
      </c>
      <c r="P45" s="127"/>
      <c r="Q45" s="127"/>
      <c r="R45" s="261"/>
      <c r="S45" s="261"/>
      <c r="T45" s="261"/>
      <c r="U45" s="261"/>
      <c r="V45" s="261"/>
      <c r="W45" s="261"/>
      <c r="X45" s="261"/>
      <c r="Y45" s="261"/>
      <c r="Z45" s="261"/>
    </row>
    <row r="46" ht="34.5" customHeight="1">
      <c r="A46" s="111" t="s">
        <v>23624</v>
      </c>
      <c r="B46" s="127" t="s">
        <v>23625</v>
      </c>
      <c r="C46" s="127" t="s">
        <v>23626</v>
      </c>
      <c r="D46" s="111" t="s">
        <v>8021</v>
      </c>
      <c r="E46" s="111" t="s">
        <v>23333</v>
      </c>
      <c r="F46" s="111" t="s">
        <v>23627</v>
      </c>
      <c r="G46" s="111" t="s">
        <v>19</v>
      </c>
      <c r="H46" s="257" t="s">
        <v>19</v>
      </c>
      <c r="I46" s="111"/>
      <c r="J46" s="111" t="s">
        <v>12399</v>
      </c>
      <c r="K46" s="127"/>
      <c r="L46" s="128" t="s">
        <v>23628</v>
      </c>
      <c r="M46" s="128"/>
      <c r="N46" s="125" t="s">
        <v>23337</v>
      </c>
      <c r="O46" s="262" t="s">
        <v>22189</v>
      </c>
      <c r="P46" s="259" t="s">
        <v>22189</v>
      </c>
      <c r="Q46" s="259"/>
      <c r="R46" s="261"/>
      <c r="S46" s="261"/>
      <c r="T46" s="261"/>
      <c r="U46" s="261"/>
      <c r="V46" s="261"/>
      <c r="W46" s="261"/>
      <c r="X46" s="261"/>
      <c r="Y46" s="261"/>
      <c r="Z46" s="261"/>
    </row>
    <row r="47" ht="34.5" customHeight="1">
      <c r="A47" s="111" t="s">
        <v>23629</v>
      </c>
      <c r="B47" s="127" t="s">
        <v>23630</v>
      </c>
      <c r="C47" s="127" t="s">
        <v>23631</v>
      </c>
      <c r="D47" s="111" t="s">
        <v>8021</v>
      </c>
      <c r="E47" s="111" t="s">
        <v>23333</v>
      </c>
      <c r="F47" s="111" t="s">
        <v>23632</v>
      </c>
      <c r="G47" s="111">
        <v>2030.0</v>
      </c>
      <c r="H47" s="257">
        <v>2030.0</v>
      </c>
      <c r="I47" s="111"/>
      <c r="J47" s="111" t="s">
        <v>12399</v>
      </c>
      <c r="K47" s="127"/>
      <c r="L47" s="127" t="s">
        <v>23633</v>
      </c>
      <c r="M47" s="128"/>
      <c r="N47" s="125" t="s">
        <v>23634</v>
      </c>
      <c r="O47" s="262" t="s">
        <v>22189</v>
      </c>
      <c r="P47" s="259" t="s">
        <v>22189</v>
      </c>
      <c r="Q47" s="259"/>
      <c r="R47" s="261"/>
      <c r="S47" s="261"/>
      <c r="T47" s="261"/>
      <c r="U47" s="261"/>
      <c r="V47" s="261"/>
      <c r="W47" s="261"/>
      <c r="X47" s="261"/>
      <c r="Y47" s="261"/>
      <c r="Z47" s="261"/>
    </row>
    <row r="48" ht="34.5" customHeight="1">
      <c r="A48" s="111" t="s">
        <v>23635</v>
      </c>
      <c r="B48" s="127" t="s">
        <v>23636</v>
      </c>
      <c r="C48" s="127" t="s">
        <v>23631</v>
      </c>
      <c r="D48" s="111" t="s">
        <v>8021</v>
      </c>
      <c r="E48" s="111" t="s">
        <v>23333</v>
      </c>
      <c r="F48" s="111" t="s">
        <v>23637</v>
      </c>
      <c r="G48" s="111">
        <v>2022.0</v>
      </c>
      <c r="H48" s="257">
        <v>2031.0</v>
      </c>
      <c r="I48" s="111"/>
      <c r="J48" s="111" t="s">
        <v>12399</v>
      </c>
      <c r="K48" s="127"/>
      <c r="L48" s="127" t="s">
        <v>23638</v>
      </c>
      <c r="M48" s="128"/>
      <c r="N48" s="125"/>
      <c r="O48" s="262" t="s">
        <v>22189</v>
      </c>
      <c r="P48" s="127"/>
      <c r="Q48" s="127"/>
      <c r="R48" s="261"/>
      <c r="S48" s="261"/>
      <c r="T48" s="261"/>
      <c r="U48" s="261"/>
      <c r="V48" s="261"/>
      <c r="W48" s="261"/>
      <c r="X48" s="261"/>
      <c r="Y48" s="261"/>
      <c r="Z48" s="261"/>
    </row>
    <row r="49" ht="34.5" customHeight="1">
      <c r="A49" s="111" t="s">
        <v>23639</v>
      </c>
      <c r="B49" s="127" t="s">
        <v>23640</v>
      </c>
      <c r="C49" s="127" t="s">
        <v>23641</v>
      </c>
      <c r="D49" s="111" t="s">
        <v>8021</v>
      </c>
      <c r="E49" s="111" t="s">
        <v>23333</v>
      </c>
      <c r="F49" s="111" t="s">
        <v>23642</v>
      </c>
      <c r="G49" s="111" t="s">
        <v>19</v>
      </c>
      <c r="H49" s="257" t="s">
        <v>19</v>
      </c>
      <c r="I49" s="111"/>
      <c r="J49" s="111" t="s">
        <v>12399</v>
      </c>
      <c r="K49" s="127"/>
      <c r="L49" s="128" t="s">
        <v>23643</v>
      </c>
      <c r="M49" s="128"/>
      <c r="N49" s="126"/>
      <c r="O49" s="262" t="s">
        <v>22189</v>
      </c>
      <c r="P49" s="262" t="s">
        <v>22189</v>
      </c>
      <c r="Q49" s="262"/>
      <c r="R49" s="261"/>
      <c r="S49" s="261"/>
      <c r="T49" s="261"/>
      <c r="U49" s="261"/>
      <c r="V49" s="261"/>
      <c r="W49" s="261"/>
      <c r="X49" s="261"/>
      <c r="Y49" s="261"/>
      <c r="Z49" s="261"/>
    </row>
    <row r="50" ht="34.5" customHeight="1">
      <c r="A50" s="111" t="s">
        <v>23644</v>
      </c>
      <c r="B50" s="127" t="s">
        <v>23645</v>
      </c>
      <c r="C50" s="127" t="s">
        <v>23641</v>
      </c>
      <c r="D50" s="111" t="s">
        <v>8021</v>
      </c>
      <c r="E50" s="111" t="s">
        <v>23333</v>
      </c>
      <c r="F50" s="111" t="s">
        <v>23646</v>
      </c>
      <c r="G50" s="111">
        <v>2021.0</v>
      </c>
      <c r="H50" s="257">
        <v>2025.0</v>
      </c>
      <c r="I50" s="111"/>
      <c r="J50" s="111" t="s">
        <v>12399</v>
      </c>
      <c r="K50" s="127"/>
      <c r="L50" s="128" t="s">
        <v>23647</v>
      </c>
      <c r="M50" s="128"/>
      <c r="N50" s="126"/>
      <c r="O50" s="262" t="s">
        <v>22189</v>
      </c>
      <c r="P50" s="127"/>
      <c r="Q50" s="127"/>
      <c r="R50" s="261"/>
      <c r="S50" s="261"/>
      <c r="T50" s="261"/>
      <c r="U50" s="261"/>
      <c r="V50" s="261"/>
      <c r="W50" s="261"/>
      <c r="X50" s="261"/>
      <c r="Y50" s="261"/>
      <c r="Z50" s="261"/>
    </row>
    <row r="51" ht="34.5" customHeight="1">
      <c r="A51" s="111" t="s">
        <v>23648</v>
      </c>
      <c r="B51" s="127" t="s">
        <v>23649</v>
      </c>
      <c r="C51" s="127" t="s">
        <v>23650</v>
      </c>
      <c r="D51" s="111" t="s">
        <v>8021</v>
      </c>
      <c r="E51" s="111" t="s">
        <v>23333</v>
      </c>
      <c r="F51" s="111" t="s">
        <v>23651</v>
      </c>
      <c r="G51" s="111">
        <v>2024.0</v>
      </c>
      <c r="H51" s="257">
        <v>2030.0</v>
      </c>
      <c r="I51" s="111"/>
      <c r="J51" s="111" t="s">
        <v>12399</v>
      </c>
      <c r="K51" s="127"/>
      <c r="L51" s="128" t="s">
        <v>23561</v>
      </c>
      <c r="M51" s="128"/>
      <c r="N51" s="126"/>
      <c r="O51" s="262" t="s">
        <v>22189</v>
      </c>
      <c r="P51" s="127"/>
      <c r="Q51" s="127"/>
      <c r="R51" s="261"/>
      <c r="S51" s="261"/>
      <c r="T51" s="261"/>
      <c r="U51" s="261"/>
      <c r="V51" s="261"/>
      <c r="W51" s="261"/>
      <c r="X51" s="261"/>
      <c r="Y51" s="261"/>
      <c r="Z51" s="261"/>
    </row>
    <row r="52" ht="34.5" customHeight="1">
      <c r="A52" s="111" t="s">
        <v>23652</v>
      </c>
      <c r="B52" s="127" t="s">
        <v>23653</v>
      </c>
      <c r="C52" s="127"/>
      <c r="D52" s="111" t="s">
        <v>8590</v>
      </c>
      <c r="E52" s="111" t="s">
        <v>23333</v>
      </c>
      <c r="F52" s="111"/>
      <c r="G52" s="111" t="s">
        <v>19</v>
      </c>
      <c r="H52" s="257" t="s">
        <v>19</v>
      </c>
      <c r="I52" s="111"/>
      <c r="J52" s="111" t="s">
        <v>12399</v>
      </c>
      <c r="K52" s="127"/>
      <c r="L52" s="128"/>
      <c r="M52" s="128"/>
      <c r="N52" s="126"/>
      <c r="O52" s="127"/>
      <c r="P52" s="127"/>
      <c r="Q52" s="127"/>
      <c r="R52" s="261"/>
      <c r="S52" s="261"/>
      <c r="T52" s="261"/>
      <c r="U52" s="261"/>
      <c r="V52" s="261"/>
      <c r="W52" s="261"/>
      <c r="X52" s="261"/>
      <c r="Y52" s="261"/>
      <c r="Z52" s="261"/>
    </row>
    <row r="53" ht="34.5" customHeight="1">
      <c r="A53" s="111" t="s">
        <v>23654</v>
      </c>
      <c r="B53" s="127" t="s">
        <v>23655</v>
      </c>
      <c r="C53" s="127"/>
      <c r="D53" s="111" t="s">
        <v>8590</v>
      </c>
      <c r="E53" s="111" t="s">
        <v>23333</v>
      </c>
      <c r="F53" s="111"/>
      <c r="G53" s="111" t="s">
        <v>19</v>
      </c>
      <c r="H53" s="257" t="s">
        <v>19</v>
      </c>
      <c r="I53" s="111"/>
      <c r="J53" s="111" t="s">
        <v>12399</v>
      </c>
      <c r="K53" s="127"/>
      <c r="L53" s="128"/>
      <c r="M53" s="128"/>
      <c r="N53" s="126"/>
      <c r="O53" s="127"/>
      <c r="P53" s="127"/>
      <c r="Q53" s="127"/>
      <c r="R53" s="261"/>
      <c r="S53" s="261"/>
      <c r="T53" s="261"/>
      <c r="U53" s="261"/>
      <c r="V53" s="261"/>
      <c r="W53" s="261"/>
      <c r="X53" s="261"/>
      <c r="Y53" s="261"/>
      <c r="Z53" s="261"/>
    </row>
    <row r="54" ht="34.5" customHeight="1">
      <c r="A54" s="111" t="s">
        <v>23656</v>
      </c>
      <c r="B54" s="127" t="s">
        <v>23657</v>
      </c>
      <c r="C54" s="127"/>
      <c r="D54" s="111" t="s">
        <v>8590</v>
      </c>
      <c r="E54" s="111" t="s">
        <v>23333</v>
      </c>
      <c r="F54" s="111"/>
      <c r="G54" s="111" t="s">
        <v>19</v>
      </c>
      <c r="H54" s="257" t="s">
        <v>19</v>
      </c>
      <c r="I54" s="111"/>
      <c r="J54" s="111" t="s">
        <v>12399</v>
      </c>
      <c r="K54" s="127"/>
      <c r="L54" s="128"/>
      <c r="M54" s="128"/>
      <c r="N54" s="126"/>
      <c r="O54" s="127"/>
      <c r="P54" s="127"/>
      <c r="Q54" s="127"/>
      <c r="R54" s="261"/>
      <c r="S54" s="261"/>
      <c r="T54" s="261"/>
      <c r="U54" s="261"/>
      <c r="V54" s="261"/>
      <c r="W54" s="261"/>
      <c r="X54" s="261"/>
      <c r="Y54" s="261"/>
      <c r="Z54" s="261"/>
    </row>
    <row r="55" ht="34.5" customHeight="1">
      <c r="A55" s="111" t="s">
        <v>23658</v>
      </c>
      <c r="B55" s="127" t="s">
        <v>23659</v>
      </c>
      <c r="C55" s="127"/>
      <c r="D55" s="111" t="s">
        <v>8600</v>
      </c>
      <c r="E55" s="111" t="s">
        <v>23333</v>
      </c>
      <c r="F55" s="111"/>
      <c r="G55" s="111" t="s">
        <v>19</v>
      </c>
      <c r="H55" s="257" t="s">
        <v>19</v>
      </c>
      <c r="I55" s="111"/>
      <c r="J55" s="111" t="s">
        <v>12399</v>
      </c>
      <c r="K55" s="127"/>
      <c r="L55" s="128"/>
      <c r="M55" s="128"/>
      <c r="N55" s="126"/>
      <c r="O55" s="127"/>
      <c r="P55" s="127"/>
      <c r="Q55" s="127"/>
      <c r="R55" s="261"/>
      <c r="S55" s="261"/>
      <c r="T55" s="261"/>
      <c r="U55" s="261"/>
      <c r="V55" s="261"/>
      <c r="W55" s="261"/>
      <c r="X55" s="261"/>
      <c r="Y55" s="261"/>
      <c r="Z55" s="261"/>
    </row>
    <row r="56" ht="34.5" customHeight="1">
      <c r="A56" s="111" t="s">
        <v>23660</v>
      </c>
      <c r="B56" s="127" t="s">
        <v>23661</v>
      </c>
      <c r="C56" s="127"/>
      <c r="D56" s="111" t="s">
        <v>8600</v>
      </c>
      <c r="E56" s="111" t="s">
        <v>23333</v>
      </c>
      <c r="F56" s="111"/>
      <c r="G56" s="111" t="s">
        <v>19</v>
      </c>
      <c r="H56" s="257" t="s">
        <v>19</v>
      </c>
      <c r="I56" s="111"/>
      <c r="J56" s="111" t="s">
        <v>12399</v>
      </c>
      <c r="K56" s="127"/>
      <c r="L56" s="128"/>
      <c r="M56" s="128"/>
      <c r="N56" s="126"/>
      <c r="O56" s="127"/>
      <c r="P56" s="127"/>
      <c r="Q56" s="127"/>
      <c r="R56" s="261"/>
      <c r="S56" s="261"/>
      <c r="T56" s="261"/>
      <c r="U56" s="261"/>
      <c r="V56" s="261"/>
      <c r="W56" s="261"/>
      <c r="X56" s="261"/>
      <c r="Y56" s="261"/>
      <c r="Z56" s="261"/>
    </row>
    <row r="57" ht="34.5" customHeight="1">
      <c r="A57" s="111" t="s">
        <v>23662</v>
      </c>
      <c r="B57" s="127" t="s">
        <v>23663</v>
      </c>
      <c r="C57" s="127"/>
      <c r="D57" s="111" t="s">
        <v>10072</v>
      </c>
      <c r="E57" s="111" t="s">
        <v>23397</v>
      </c>
      <c r="F57" s="111"/>
      <c r="G57" s="111" t="s">
        <v>19</v>
      </c>
      <c r="H57" s="257" t="s">
        <v>19</v>
      </c>
      <c r="I57" s="111"/>
      <c r="J57" s="111" t="s">
        <v>12399</v>
      </c>
      <c r="K57" s="127"/>
      <c r="L57" s="128"/>
      <c r="M57" s="128"/>
      <c r="N57" s="126"/>
      <c r="O57" s="127"/>
      <c r="P57" s="127"/>
      <c r="Q57" s="127"/>
      <c r="R57" s="261"/>
      <c r="S57" s="261"/>
      <c r="T57" s="261"/>
      <c r="U57" s="261"/>
      <c r="V57" s="261"/>
      <c r="W57" s="261"/>
      <c r="X57" s="261"/>
      <c r="Y57" s="261"/>
      <c r="Z57" s="261"/>
    </row>
    <row r="58" ht="34.5" customHeight="1">
      <c r="A58" s="111" t="s">
        <v>23664</v>
      </c>
      <c r="B58" s="127" t="s">
        <v>23416</v>
      </c>
      <c r="C58" s="127" t="s">
        <v>23665</v>
      </c>
      <c r="D58" s="111" t="s">
        <v>7983</v>
      </c>
      <c r="E58" s="111" t="s">
        <v>23397</v>
      </c>
      <c r="F58" s="111" t="s">
        <v>23417</v>
      </c>
      <c r="G58" s="111">
        <v>2023.0</v>
      </c>
      <c r="H58" s="257">
        <v>2023.0</v>
      </c>
      <c r="I58" s="111"/>
      <c r="J58" s="111" t="s">
        <v>12418</v>
      </c>
      <c r="K58" s="127"/>
      <c r="L58" s="127" t="s">
        <v>23418</v>
      </c>
      <c r="M58" s="128"/>
      <c r="N58" s="126"/>
      <c r="O58" s="262" t="s">
        <v>22189</v>
      </c>
      <c r="P58" s="262" t="s">
        <v>22189</v>
      </c>
      <c r="Q58" s="262"/>
      <c r="R58" s="261"/>
      <c r="S58" s="261"/>
      <c r="T58" s="261"/>
      <c r="U58" s="261"/>
      <c r="V58" s="261"/>
      <c r="W58" s="261"/>
      <c r="X58" s="261"/>
      <c r="Y58" s="261"/>
      <c r="Z58" s="261"/>
    </row>
    <row r="59" ht="34.5" customHeight="1">
      <c r="A59" s="111" t="s">
        <v>23666</v>
      </c>
      <c r="B59" s="127" t="s">
        <v>23667</v>
      </c>
      <c r="C59" s="127" t="s">
        <v>23668</v>
      </c>
      <c r="D59" s="111" t="s">
        <v>7991</v>
      </c>
      <c r="E59" s="111" t="s">
        <v>23669</v>
      </c>
      <c r="F59" s="111" t="s">
        <v>18984</v>
      </c>
      <c r="G59" s="111" t="s">
        <v>19</v>
      </c>
      <c r="H59" s="257" t="s">
        <v>19</v>
      </c>
      <c r="I59" s="111"/>
      <c r="J59" s="111" t="s">
        <v>12437</v>
      </c>
      <c r="K59" s="127" t="s">
        <v>23670</v>
      </c>
      <c r="L59" s="128"/>
      <c r="M59" s="302"/>
      <c r="N59" s="126"/>
      <c r="O59" s="127"/>
      <c r="P59" s="127"/>
      <c r="Q59" s="127"/>
      <c r="R59" s="261"/>
      <c r="S59" s="261"/>
      <c r="T59" s="261"/>
      <c r="U59" s="261"/>
      <c r="V59" s="261"/>
      <c r="W59" s="261"/>
      <c r="X59" s="261"/>
      <c r="Y59" s="261"/>
      <c r="Z59" s="261"/>
    </row>
    <row r="60" ht="34.5" customHeight="1">
      <c r="A60" s="111" t="s">
        <v>23671</v>
      </c>
      <c r="B60" s="127" t="e">
        <v>#VALUE!</v>
      </c>
      <c r="C60" s="127" t="s">
        <v>23672</v>
      </c>
      <c r="D60" s="111" t="s">
        <v>8047</v>
      </c>
      <c r="E60" s="111" t="s">
        <v>23673</v>
      </c>
      <c r="F60" s="111" t="s">
        <v>23674</v>
      </c>
      <c r="G60" s="111" t="s">
        <v>19</v>
      </c>
      <c r="H60" s="257" t="s">
        <v>19</v>
      </c>
      <c r="I60" s="111"/>
      <c r="J60" s="111" t="s">
        <v>12397</v>
      </c>
      <c r="K60" s="127"/>
      <c r="L60" s="128">
        <v>9000.0</v>
      </c>
      <c r="M60" s="263">
        <v>13361.2434863938</v>
      </c>
      <c r="N60" s="126"/>
      <c r="O60" s="262" t="s">
        <v>22189</v>
      </c>
      <c r="P60" s="127"/>
      <c r="Q60" s="127"/>
      <c r="R60" s="261"/>
      <c r="S60" s="261"/>
      <c r="T60" s="261"/>
      <c r="U60" s="261"/>
      <c r="V60" s="261"/>
      <c r="W60" s="261"/>
      <c r="X60" s="261"/>
      <c r="Y60" s="261"/>
      <c r="Z60" s="261"/>
    </row>
    <row r="61" ht="34.5" customHeight="1">
      <c r="A61" s="111" t="s">
        <v>23675</v>
      </c>
      <c r="B61" s="127" t="e">
        <v>#VALUE!</v>
      </c>
      <c r="C61" s="127" t="s">
        <v>23676</v>
      </c>
      <c r="D61" s="111" t="s">
        <v>8021</v>
      </c>
      <c r="E61" s="111" t="s">
        <v>23333</v>
      </c>
      <c r="F61" s="111"/>
      <c r="G61" s="111">
        <v>2030.0</v>
      </c>
      <c r="H61" s="257">
        <v>2030.0</v>
      </c>
      <c r="I61" s="111"/>
      <c r="J61" s="111" t="s">
        <v>12397</v>
      </c>
      <c r="K61" s="127"/>
      <c r="L61" s="128">
        <v>80000.0</v>
      </c>
      <c r="M61" s="263">
        <v>118766.60876794488</v>
      </c>
      <c r="N61" s="126"/>
      <c r="O61" s="262" t="s">
        <v>22189</v>
      </c>
      <c r="P61" s="127"/>
      <c r="Q61" s="127"/>
      <c r="R61" s="261"/>
      <c r="S61" s="261"/>
      <c r="T61" s="261"/>
      <c r="U61" s="261"/>
      <c r="V61" s="261"/>
      <c r="W61" s="261"/>
      <c r="X61" s="261"/>
      <c r="Y61" s="261"/>
      <c r="Z61" s="261"/>
    </row>
    <row r="62" ht="34.5" customHeight="1">
      <c r="A62" s="111" t="s">
        <v>23677</v>
      </c>
      <c r="B62" s="127" t="s">
        <v>23678</v>
      </c>
      <c r="C62" s="127" t="s">
        <v>23679</v>
      </c>
      <c r="D62" s="111" t="s">
        <v>8071</v>
      </c>
      <c r="E62" s="111" t="s">
        <v>23333</v>
      </c>
      <c r="F62" s="111" t="s">
        <v>23680</v>
      </c>
      <c r="G62" s="111">
        <v>2028.0</v>
      </c>
      <c r="H62" s="257">
        <v>2028.0</v>
      </c>
      <c r="I62" s="111"/>
      <c r="J62" s="111" t="s">
        <v>12397</v>
      </c>
      <c r="K62" s="127"/>
      <c r="L62" s="127" t="s">
        <v>23681</v>
      </c>
      <c r="M62" s="128"/>
      <c r="N62" s="126" t="s">
        <v>23682</v>
      </c>
      <c r="O62" s="262" t="s">
        <v>23683</v>
      </c>
      <c r="P62" s="262" t="s">
        <v>22189</v>
      </c>
      <c r="Q62" s="127"/>
      <c r="R62" s="261"/>
      <c r="S62" s="261"/>
      <c r="T62" s="261"/>
      <c r="U62" s="261"/>
      <c r="V62" s="261"/>
      <c r="W62" s="261"/>
      <c r="X62" s="261"/>
      <c r="Y62" s="261"/>
      <c r="Z62" s="261"/>
    </row>
    <row r="63" ht="34.5" customHeight="1">
      <c r="A63" s="111" t="s">
        <v>23684</v>
      </c>
      <c r="B63" s="127" t="s">
        <v>22527</v>
      </c>
      <c r="C63" s="127" t="s">
        <v>23685</v>
      </c>
      <c r="D63" s="111" t="s">
        <v>8071</v>
      </c>
      <c r="E63" s="111" t="s">
        <v>23333</v>
      </c>
      <c r="F63" s="111" t="s">
        <v>22528</v>
      </c>
      <c r="G63" s="111">
        <v>2030.0</v>
      </c>
      <c r="H63" s="257">
        <v>2030.0</v>
      </c>
      <c r="I63" s="111"/>
      <c r="J63" s="111" t="s">
        <v>12397</v>
      </c>
      <c r="K63" s="127"/>
      <c r="L63" s="128" t="s">
        <v>23686</v>
      </c>
      <c r="M63" s="128"/>
      <c r="N63" s="126"/>
      <c r="O63" s="262" t="s">
        <v>22189</v>
      </c>
      <c r="P63" s="262" t="s">
        <v>22189</v>
      </c>
      <c r="Q63" s="127"/>
      <c r="R63" s="261"/>
      <c r="S63" s="261"/>
      <c r="T63" s="261"/>
      <c r="U63" s="261"/>
      <c r="V63" s="261"/>
      <c r="W63" s="261"/>
      <c r="X63" s="261"/>
      <c r="Y63" s="261"/>
      <c r="Z63" s="261"/>
    </row>
    <row r="64" ht="34.5" customHeight="1">
      <c r="A64" s="111" t="s">
        <v>23687</v>
      </c>
      <c r="B64" s="127" t="s">
        <v>23688</v>
      </c>
      <c r="C64" s="127" t="s">
        <v>23525</v>
      </c>
      <c r="D64" s="111" t="s">
        <v>8785</v>
      </c>
      <c r="E64" s="111" t="s">
        <v>23333</v>
      </c>
      <c r="F64" s="111"/>
      <c r="G64" s="111">
        <v>2024.0</v>
      </c>
      <c r="H64" s="257" t="s">
        <v>19</v>
      </c>
      <c r="I64" s="111"/>
      <c r="J64" s="111" t="s">
        <v>12397</v>
      </c>
      <c r="K64" s="127"/>
      <c r="L64" s="128" t="s">
        <v>19</v>
      </c>
      <c r="M64" s="128"/>
      <c r="N64" s="125"/>
      <c r="O64" s="262" t="s">
        <v>22189</v>
      </c>
      <c r="P64" s="262" t="s">
        <v>22189</v>
      </c>
      <c r="Q64" s="262"/>
      <c r="R64" s="261"/>
      <c r="S64" s="261"/>
      <c r="T64" s="261"/>
      <c r="U64" s="261"/>
      <c r="V64" s="261"/>
      <c r="W64" s="261"/>
      <c r="X64" s="261"/>
      <c r="Y64" s="261"/>
      <c r="Z64" s="261"/>
    </row>
    <row r="65" ht="34.5" customHeight="1">
      <c r="A65" s="111" t="s">
        <v>23689</v>
      </c>
      <c r="B65" s="127" t="s">
        <v>23690</v>
      </c>
      <c r="C65" s="127" t="s">
        <v>23525</v>
      </c>
      <c r="D65" s="111" t="s">
        <v>8785</v>
      </c>
      <c r="E65" s="111" t="s">
        <v>23333</v>
      </c>
      <c r="F65" s="111" t="s">
        <v>23691</v>
      </c>
      <c r="G65" s="111">
        <v>2033.0</v>
      </c>
      <c r="H65" s="257">
        <v>2033.0</v>
      </c>
      <c r="I65" s="111"/>
      <c r="J65" s="111" t="s">
        <v>12397</v>
      </c>
      <c r="K65" s="127"/>
      <c r="L65" s="128" t="s">
        <v>23692</v>
      </c>
      <c r="M65" s="128"/>
      <c r="N65" s="125"/>
      <c r="O65" s="262" t="s">
        <v>22189</v>
      </c>
      <c r="P65" s="262" t="s">
        <v>22189</v>
      </c>
      <c r="Q65" s="262"/>
      <c r="R65" s="261"/>
      <c r="S65" s="261"/>
      <c r="T65" s="261"/>
      <c r="U65" s="261"/>
      <c r="V65" s="261"/>
      <c r="W65" s="261"/>
      <c r="X65" s="261"/>
      <c r="Y65" s="261"/>
      <c r="Z65" s="261"/>
    </row>
    <row r="66" ht="34.5" customHeight="1">
      <c r="A66" s="111" t="s">
        <v>23693</v>
      </c>
      <c r="B66" s="127" t="s">
        <v>23694</v>
      </c>
      <c r="C66" s="127" t="s">
        <v>23525</v>
      </c>
      <c r="D66" s="111" t="s">
        <v>8785</v>
      </c>
      <c r="E66" s="111" t="s">
        <v>23333</v>
      </c>
      <c r="F66" s="111"/>
      <c r="G66" s="111">
        <v>2033.0</v>
      </c>
      <c r="H66" s="257">
        <v>2033.0</v>
      </c>
      <c r="I66" s="111"/>
      <c r="J66" s="111" t="s">
        <v>12397</v>
      </c>
      <c r="K66" s="127"/>
      <c r="L66" s="128" t="s">
        <v>19</v>
      </c>
      <c r="M66" s="128"/>
      <c r="N66" s="125"/>
      <c r="O66" s="262" t="s">
        <v>22189</v>
      </c>
      <c r="P66" s="262" t="s">
        <v>22189</v>
      </c>
      <c r="Q66" s="262"/>
      <c r="R66" s="261"/>
      <c r="S66" s="261"/>
      <c r="T66" s="261"/>
      <c r="U66" s="261"/>
      <c r="V66" s="261"/>
      <c r="W66" s="261"/>
      <c r="X66" s="261"/>
      <c r="Y66" s="261"/>
      <c r="Z66" s="261"/>
    </row>
    <row r="67" ht="34.5" customHeight="1">
      <c r="A67" s="111" t="s">
        <v>23695</v>
      </c>
      <c r="B67" s="127" t="s">
        <v>23696</v>
      </c>
      <c r="C67" s="127" t="s">
        <v>23525</v>
      </c>
      <c r="D67" s="111" t="s">
        <v>8785</v>
      </c>
      <c r="E67" s="111" t="s">
        <v>23333</v>
      </c>
      <c r="F67" s="111"/>
      <c r="G67" s="111">
        <v>2033.0</v>
      </c>
      <c r="H67" s="257">
        <v>2033.0</v>
      </c>
      <c r="I67" s="111"/>
      <c r="J67" s="111" t="s">
        <v>12397</v>
      </c>
      <c r="K67" s="127"/>
      <c r="L67" s="128" t="s">
        <v>19</v>
      </c>
      <c r="M67" s="128" t="s">
        <v>18672</v>
      </c>
      <c r="N67" s="125"/>
      <c r="O67" s="262" t="s">
        <v>22189</v>
      </c>
      <c r="P67" s="262" t="s">
        <v>22189</v>
      </c>
      <c r="Q67" s="262"/>
      <c r="R67" s="261"/>
      <c r="S67" s="261"/>
      <c r="T67" s="261"/>
      <c r="U67" s="261"/>
      <c r="V67" s="261"/>
      <c r="W67" s="261"/>
      <c r="X67" s="261"/>
      <c r="Y67" s="261"/>
      <c r="Z67" s="261"/>
    </row>
    <row r="68" ht="34.5" customHeight="1">
      <c r="A68" s="111" t="s">
        <v>23697</v>
      </c>
      <c r="B68" s="127" t="s">
        <v>23698</v>
      </c>
      <c r="C68" s="127" t="s">
        <v>23525</v>
      </c>
      <c r="D68" s="111" t="s">
        <v>8785</v>
      </c>
      <c r="E68" s="111" t="s">
        <v>23333</v>
      </c>
      <c r="F68" s="111"/>
      <c r="G68" s="111">
        <v>2033.0</v>
      </c>
      <c r="H68" s="257">
        <v>2033.0</v>
      </c>
      <c r="I68" s="111"/>
      <c r="J68" s="111" t="s">
        <v>12397</v>
      </c>
      <c r="K68" s="127"/>
      <c r="L68" s="128" t="s">
        <v>19</v>
      </c>
      <c r="M68" s="128"/>
      <c r="N68" s="125"/>
      <c r="O68" s="262" t="s">
        <v>22189</v>
      </c>
      <c r="P68" s="262" t="s">
        <v>22189</v>
      </c>
      <c r="Q68" s="262"/>
      <c r="R68" s="261"/>
      <c r="S68" s="261"/>
      <c r="T68" s="261"/>
      <c r="U68" s="261"/>
      <c r="V68" s="261"/>
      <c r="W68" s="261"/>
      <c r="X68" s="261"/>
      <c r="Y68" s="261"/>
      <c r="Z68" s="261"/>
    </row>
    <row r="69" ht="34.5" customHeight="1">
      <c r="A69" s="111" t="s">
        <v>23699</v>
      </c>
      <c r="B69" s="127" t="s">
        <v>23700</v>
      </c>
      <c r="C69" s="127" t="s">
        <v>23525</v>
      </c>
      <c r="D69" s="111" t="s">
        <v>8785</v>
      </c>
      <c r="E69" s="111" t="s">
        <v>23333</v>
      </c>
      <c r="F69" s="111"/>
      <c r="G69" s="111">
        <v>2033.0</v>
      </c>
      <c r="H69" s="257">
        <v>2033.0</v>
      </c>
      <c r="I69" s="111"/>
      <c r="J69" s="111" t="s">
        <v>12397</v>
      </c>
      <c r="K69" s="127"/>
      <c r="L69" s="128" t="s">
        <v>19</v>
      </c>
      <c r="M69" s="128"/>
      <c r="N69" s="125"/>
      <c r="O69" s="262" t="s">
        <v>22189</v>
      </c>
      <c r="P69" s="262" t="s">
        <v>22189</v>
      </c>
      <c r="Q69" s="262"/>
      <c r="R69" s="261"/>
      <c r="S69" s="261"/>
      <c r="T69" s="261"/>
      <c r="U69" s="261"/>
      <c r="V69" s="261"/>
      <c r="W69" s="261"/>
      <c r="X69" s="261"/>
      <c r="Y69" s="261"/>
      <c r="Z69" s="261"/>
    </row>
    <row r="70" ht="34.5" customHeight="1">
      <c r="A70" s="111" t="s">
        <v>23701</v>
      </c>
      <c r="B70" s="127" t="s">
        <v>23702</v>
      </c>
      <c r="C70" s="127" t="s">
        <v>23525</v>
      </c>
      <c r="D70" s="111" t="s">
        <v>8785</v>
      </c>
      <c r="E70" s="111" t="s">
        <v>23333</v>
      </c>
      <c r="F70" s="111"/>
      <c r="G70" s="111">
        <v>2033.0</v>
      </c>
      <c r="H70" s="257">
        <v>2033.0</v>
      </c>
      <c r="I70" s="111"/>
      <c r="J70" s="111" t="s">
        <v>12397</v>
      </c>
      <c r="K70" s="127"/>
      <c r="L70" s="128" t="s">
        <v>19</v>
      </c>
      <c r="M70" s="128"/>
      <c r="N70" s="125"/>
      <c r="O70" s="262" t="s">
        <v>22189</v>
      </c>
      <c r="P70" s="262" t="s">
        <v>22189</v>
      </c>
      <c r="Q70" s="262"/>
      <c r="R70" s="261"/>
      <c r="S70" s="261"/>
      <c r="T70" s="261"/>
      <c r="U70" s="261"/>
      <c r="V70" s="261"/>
      <c r="W70" s="261"/>
      <c r="X70" s="261"/>
      <c r="Y70" s="261"/>
      <c r="Z70" s="261"/>
    </row>
    <row r="71" ht="34.5" customHeight="1">
      <c r="A71" s="111" t="s">
        <v>23703</v>
      </c>
      <c r="B71" s="127" t="s">
        <v>23704</v>
      </c>
      <c r="C71" s="127" t="s">
        <v>23525</v>
      </c>
      <c r="D71" s="111" t="s">
        <v>8785</v>
      </c>
      <c r="E71" s="111" t="s">
        <v>23333</v>
      </c>
      <c r="F71" s="111"/>
      <c r="G71" s="111">
        <v>2033.0</v>
      </c>
      <c r="H71" s="257">
        <v>2033.0</v>
      </c>
      <c r="I71" s="111"/>
      <c r="J71" s="111" t="s">
        <v>12397</v>
      </c>
      <c r="K71" s="127"/>
      <c r="L71" s="128" t="s">
        <v>23705</v>
      </c>
      <c r="M71" s="128"/>
      <c r="N71" s="126"/>
      <c r="O71" s="262" t="s">
        <v>23090</v>
      </c>
      <c r="P71" s="262" t="s">
        <v>22189</v>
      </c>
      <c r="Q71" s="262"/>
      <c r="R71" s="261"/>
      <c r="S71" s="261"/>
      <c r="T71" s="261"/>
      <c r="U71" s="261"/>
      <c r="V71" s="261"/>
      <c r="W71" s="261"/>
      <c r="X71" s="261"/>
      <c r="Y71" s="261"/>
      <c r="Z71" s="261"/>
    </row>
    <row r="72" ht="34.5" customHeight="1">
      <c r="A72" s="111" t="s">
        <v>23706</v>
      </c>
      <c r="B72" s="127" t="s">
        <v>23707</v>
      </c>
      <c r="C72" s="127" t="s">
        <v>23525</v>
      </c>
      <c r="D72" s="111" t="s">
        <v>8785</v>
      </c>
      <c r="E72" s="111" t="s">
        <v>23333</v>
      </c>
      <c r="F72" s="111" t="s">
        <v>23708</v>
      </c>
      <c r="G72" s="111">
        <v>2033.0</v>
      </c>
      <c r="H72" s="257">
        <v>2033.0</v>
      </c>
      <c r="I72" s="111"/>
      <c r="J72" s="111" t="s">
        <v>12397</v>
      </c>
      <c r="K72" s="127"/>
      <c r="L72" s="128" t="s">
        <v>23709</v>
      </c>
      <c r="M72" s="128"/>
      <c r="N72" s="126"/>
      <c r="O72" s="262" t="s">
        <v>23090</v>
      </c>
      <c r="P72" s="262" t="s">
        <v>22189</v>
      </c>
      <c r="Q72" s="262"/>
      <c r="R72" s="261"/>
      <c r="S72" s="261"/>
      <c r="T72" s="261"/>
      <c r="U72" s="261"/>
      <c r="V72" s="261"/>
      <c r="W72" s="261"/>
      <c r="X72" s="261"/>
      <c r="Y72" s="261"/>
      <c r="Z72" s="261"/>
    </row>
    <row r="73" ht="34.5" customHeight="1">
      <c r="A73" s="111" t="s">
        <v>23710</v>
      </c>
      <c r="B73" s="127" t="s">
        <v>23711</v>
      </c>
      <c r="C73" s="127" t="s">
        <v>23525</v>
      </c>
      <c r="D73" s="111" t="s">
        <v>8785</v>
      </c>
      <c r="E73" s="111" t="s">
        <v>23333</v>
      </c>
      <c r="F73" s="111" t="s">
        <v>23712</v>
      </c>
      <c r="G73" s="111">
        <v>2033.0</v>
      </c>
      <c r="H73" s="257">
        <v>2033.0</v>
      </c>
      <c r="I73" s="111"/>
      <c r="J73" s="111" t="s">
        <v>12397</v>
      </c>
      <c r="K73" s="127"/>
      <c r="L73" s="128" t="s">
        <v>23713</v>
      </c>
      <c r="M73" s="128"/>
      <c r="N73" s="126" t="s">
        <v>23714</v>
      </c>
      <c r="O73" s="262" t="s">
        <v>22189</v>
      </c>
      <c r="P73" s="262" t="s">
        <v>23090</v>
      </c>
      <c r="Q73" s="262"/>
      <c r="R73" s="261"/>
      <c r="S73" s="261"/>
      <c r="T73" s="261"/>
      <c r="U73" s="261"/>
      <c r="V73" s="261"/>
      <c r="W73" s="261"/>
      <c r="X73" s="261"/>
      <c r="Y73" s="261"/>
      <c r="Z73" s="261"/>
    </row>
    <row r="74" ht="34.5" customHeight="1">
      <c r="A74" s="111" t="s">
        <v>23715</v>
      </c>
      <c r="B74" s="127" t="s">
        <v>23716</v>
      </c>
      <c r="C74" s="127" t="s">
        <v>23525</v>
      </c>
      <c r="D74" s="111" t="s">
        <v>8785</v>
      </c>
      <c r="E74" s="111" t="s">
        <v>23333</v>
      </c>
      <c r="F74" s="111" t="s">
        <v>23717</v>
      </c>
      <c r="G74" s="111">
        <v>2030.0</v>
      </c>
      <c r="H74" s="257">
        <v>2030.0</v>
      </c>
      <c r="I74" s="111"/>
      <c r="J74" s="111" t="s">
        <v>12397</v>
      </c>
      <c r="K74" s="127"/>
      <c r="L74" s="128" t="s">
        <v>23718</v>
      </c>
      <c r="M74" s="128"/>
      <c r="N74" s="126"/>
      <c r="O74" s="262" t="s">
        <v>23719</v>
      </c>
      <c r="P74" s="127"/>
      <c r="Q74" s="127"/>
      <c r="R74" s="261"/>
      <c r="S74" s="261"/>
      <c r="T74" s="261"/>
      <c r="U74" s="261"/>
      <c r="V74" s="261"/>
      <c r="W74" s="261"/>
      <c r="X74" s="261"/>
      <c r="Y74" s="261"/>
      <c r="Z74" s="261"/>
    </row>
    <row r="75" ht="34.5" customHeight="1">
      <c r="A75" s="111" t="s">
        <v>23720</v>
      </c>
      <c r="B75" s="127" t="s">
        <v>23721</v>
      </c>
      <c r="C75" s="127" t="s">
        <v>23525</v>
      </c>
      <c r="D75" s="111" t="s">
        <v>8785</v>
      </c>
      <c r="E75" s="111" t="s">
        <v>23333</v>
      </c>
      <c r="F75" s="111" t="s">
        <v>23717</v>
      </c>
      <c r="G75" s="111">
        <v>2030.0</v>
      </c>
      <c r="H75" s="257">
        <v>2030.0</v>
      </c>
      <c r="I75" s="111"/>
      <c r="J75" s="111" t="s">
        <v>12397</v>
      </c>
      <c r="K75" s="128"/>
      <c r="L75" s="128" t="s">
        <v>19</v>
      </c>
      <c r="M75" s="128"/>
      <c r="N75" s="126"/>
      <c r="O75" s="262" t="s">
        <v>23719</v>
      </c>
      <c r="P75" s="127"/>
      <c r="Q75" s="127"/>
      <c r="R75" s="261"/>
      <c r="S75" s="261"/>
      <c r="T75" s="261"/>
      <c r="U75" s="261"/>
      <c r="V75" s="261"/>
      <c r="W75" s="261"/>
      <c r="X75" s="261"/>
      <c r="Y75" s="261"/>
      <c r="Z75" s="261"/>
    </row>
    <row r="76" ht="34.5" customHeight="1">
      <c r="A76" s="111" t="s">
        <v>23722</v>
      </c>
      <c r="B76" s="127" t="s">
        <v>23723</v>
      </c>
      <c r="C76" s="127" t="s">
        <v>23559</v>
      </c>
      <c r="D76" s="111" t="s">
        <v>8873</v>
      </c>
      <c r="E76" s="111" t="s">
        <v>23333</v>
      </c>
      <c r="F76" s="111" t="s">
        <v>23560</v>
      </c>
      <c r="G76" s="111">
        <v>2027.0</v>
      </c>
      <c r="H76" s="257">
        <v>2027.0</v>
      </c>
      <c r="I76" s="111"/>
      <c r="J76" s="111" t="s">
        <v>12397</v>
      </c>
      <c r="K76" s="127"/>
      <c r="L76" s="128" t="s">
        <v>23724</v>
      </c>
      <c r="M76" s="128"/>
      <c r="N76" s="126" t="s">
        <v>23562</v>
      </c>
      <c r="O76" s="262" t="s">
        <v>22189</v>
      </c>
      <c r="P76" s="127"/>
      <c r="Q76" s="127"/>
      <c r="R76" s="261"/>
      <c r="S76" s="261"/>
      <c r="T76" s="261"/>
      <c r="U76" s="261"/>
      <c r="V76" s="261"/>
      <c r="W76" s="261"/>
      <c r="X76" s="261"/>
      <c r="Y76" s="261"/>
      <c r="Z76" s="261"/>
    </row>
    <row r="77" ht="34.5" customHeight="1">
      <c r="A77" s="111" t="s">
        <v>23725</v>
      </c>
      <c r="B77" s="127" t="s">
        <v>23726</v>
      </c>
      <c r="C77" s="127" t="s">
        <v>23571</v>
      </c>
      <c r="D77" s="111" t="s">
        <v>8388</v>
      </c>
      <c r="E77" s="111" t="s">
        <v>23333</v>
      </c>
      <c r="F77" s="111" t="s">
        <v>23727</v>
      </c>
      <c r="G77" s="111" t="s">
        <v>23575</v>
      </c>
      <c r="H77" s="257" t="s">
        <v>19</v>
      </c>
      <c r="I77" s="111"/>
      <c r="J77" s="111" t="s">
        <v>12397</v>
      </c>
      <c r="K77" s="127"/>
      <c r="L77" s="127" t="s">
        <v>23728</v>
      </c>
      <c r="M77" s="128"/>
      <c r="N77" s="126"/>
      <c r="O77" s="262" t="s">
        <v>22189</v>
      </c>
      <c r="P77" s="262" t="s">
        <v>22189</v>
      </c>
      <c r="Q77" s="262"/>
      <c r="R77" s="261"/>
      <c r="S77" s="261"/>
      <c r="T77" s="261"/>
      <c r="U77" s="261"/>
      <c r="V77" s="261"/>
      <c r="W77" s="261"/>
      <c r="X77" s="261"/>
      <c r="Y77" s="261"/>
      <c r="Z77" s="261"/>
    </row>
    <row r="78" ht="34.5" customHeight="1">
      <c r="A78" s="111" t="s">
        <v>23729</v>
      </c>
      <c r="B78" s="127" t="s">
        <v>8936</v>
      </c>
      <c r="C78" s="127" t="s">
        <v>23571</v>
      </c>
      <c r="D78" s="111" t="s">
        <v>8388</v>
      </c>
      <c r="E78" s="111" t="s">
        <v>23333</v>
      </c>
      <c r="F78" s="111" t="s">
        <v>23730</v>
      </c>
      <c r="G78" s="111">
        <v>2030.0</v>
      </c>
      <c r="H78" s="257">
        <v>2030.0</v>
      </c>
      <c r="I78" s="111"/>
      <c r="J78" s="111" t="s">
        <v>12397</v>
      </c>
      <c r="K78" s="127"/>
      <c r="L78" s="127" t="s">
        <v>23731</v>
      </c>
      <c r="M78" s="128"/>
      <c r="N78" s="126" t="s">
        <v>23732</v>
      </c>
      <c r="O78" s="262" t="s">
        <v>22189</v>
      </c>
      <c r="P78" s="262" t="s">
        <v>22189</v>
      </c>
      <c r="Q78" s="262"/>
      <c r="R78" s="261"/>
      <c r="S78" s="261"/>
      <c r="T78" s="261"/>
      <c r="U78" s="261"/>
      <c r="V78" s="261"/>
      <c r="W78" s="261"/>
      <c r="X78" s="261"/>
      <c r="Y78" s="261"/>
      <c r="Z78" s="261"/>
    </row>
    <row r="79" ht="34.5" customHeight="1">
      <c r="A79" s="111" t="s">
        <v>23733</v>
      </c>
      <c r="B79" s="127" t="s">
        <v>23734</v>
      </c>
      <c r="C79" s="127" t="s">
        <v>23571</v>
      </c>
      <c r="D79" s="111" t="s">
        <v>8388</v>
      </c>
      <c r="E79" s="111" t="s">
        <v>23333</v>
      </c>
      <c r="F79" s="111" t="s">
        <v>23735</v>
      </c>
      <c r="G79" s="111">
        <v>2027.0</v>
      </c>
      <c r="H79" s="257">
        <v>2027.0</v>
      </c>
      <c r="I79" s="111"/>
      <c r="J79" s="111" t="s">
        <v>12397</v>
      </c>
      <c r="K79" s="127"/>
      <c r="L79" s="127" t="s">
        <v>23736</v>
      </c>
      <c r="M79" s="128"/>
      <c r="N79" s="126"/>
      <c r="O79" s="262" t="s">
        <v>22189</v>
      </c>
      <c r="P79" s="127"/>
      <c r="Q79" s="127"/>
      <c r="R79" s="261"/>
      <c r="S79" s="261"/>
      <c r="T79" s="261"/>
      <c r="U79" s="261"/>
      <c r="V79" s="261"/>
      <c r="W79" s="261"/>
      <c r="X79" s="261"/>
      <c r="Y79" s="261"/>
      <c r="Z79" s="261"/>
    </row>
    <row r="80" ht="34.5" customHeight="1">
      <c r="A80" s="111" t="s">
        <v>23737</v>
      </c>
      <c r="B80" s="127" t="s">
        <v>23738</v>
      </c>
      <c r="C80" s="127" t="s">
        <v>23739</v>
      </c>
      <c r="D80" s="111" t="s">
        <v>8161</v>
      </c>
      <c r="E80" s="111" t="s">
        <v>23333</v>
      </c>
      <c r="F80" s="111" t="s">
        <v>23740</v>
      </c>
      <c r="G80" s="111">
        <v>2023.0</v>
      </c>
      <c r="H80" s="257">
        <v>2030.0</v>
      </c>
      <c r="I80" s="111"/>
      <c r="J80" s="111" t="s">
        <v>12397</v>
      </c>
      <c r="K80" s="127"/>
      <c r="L80" s="127" t="s">
        <v>23741</v>
      </c>
      <c r="M80" s="128"/>
      <c r="N80" s="126" t="s">
        <v>23742</v>
      </c>
      <c r="O80" s="262" t="s">
        <v>22189</v>
      </c>
      <c r="P80" s="127"/>
      <c r="Q80" s="127"/>
      <c r="R80" s="261"/>
      <c r="S80" s="261"/>
      <c r="T80" s="261"/>
      <c r="U80" s="261"/>
      <c r="V80" s="261"/>
      <c r="W80" s="261"/>
      <c r="X80" s="261"/>
      <c r="Y80" s="261"/>
      <c r="Z80" s="261"/>
    </row>
    <row r="81" ht="34.5" customHeight="1">
      <c r="A81" s="111" t="s">
        <v>23743</v>
      </c>
      <c r="B81" s="127" t="s">
        <v>23744</v>
      </c>
      <c r="C81" s="127" t="s">
        <v>23559</v>
      </c>
      <c r="D81" s="111" t="s">
        <v>8365</v>
      </c>
      <c r="E81" s="111" t="s">
        <v>23333</v>
      </c>
      <c r="F81" s="111" t="s">
        <v>23745</v>
      </c>
      <c r="G81" s="111">
        <v>2021.0</v>
      </c>
      <c r="H81" s="257">
        <v>2026.0</v>
      </c>
      <c r="I81" s="111"/>
      <c r="J81" s="111" t="s">
        <v>12397</v>
      </c>
      <c r="K81" s="127"/>
      <c r="L81" s="127" t="s">
        <v>19</v>
      </c>
      <c r="M81" s="128"/>
      <c r="N81" s="125" t="s">
        <v>23746</v>
      </c>
      <c r="O81" s="262" t="s">
        <v>22189</v>
      </c>
      <c r="P81" s="127"/>
      <c r="Q81" s="262"/>
      <c r="R81" s="261"/>
      <c r="S81" s="261"/>
      <c r="T81" s="261"/>
      <c r="U81" s="261"/>
      <c r="V81" s="261"/>
      <c r="W81" s="261"/>
      <c r="X81" s="261"/>
      <c r="Y81" s="261"/>
      <c r="Z81" s="261"/>
    </row>
    <row r="82" ht="34.5" customHeight="1">
      <c r="A82" s="111" t="s">
        <v>23747</v>
      </c>
      <c r="B82" s="127" t="s">
        <v>23748</v>
      </c>
      <c r="C82" s="127"/>
      <c r="D82" s="111" t="s">
        <v>8578</v>
      </c>
      <c r="E82" s="111" t="s">
        <v>23333</v>
      </c>
      <c r="F82" s="111" t="s">
        <v>23749</v>
      </c>
      <c r="G82" s="111">
        <v>2030.0</v>
      </c>
      <c r="H82" s="257">
        <v>2030.0</v>
      </c>
      <c r="I82" s="111"/>
      <c r="J82" s="111" t="s">
        <v>12397</v>
      </c>
      <c r="K82" s="127"/>
      <c r="L82" s="127" t="s">
        <v>22778</v>
      </c>
      <c r="M82" s="128"/>
      <c r="N82" s="126"/>
      <c r="O82" s="262" t="s">
        <v>22189</v>
      </c>
      <c r="P82" s="127"/>
      <c r="Q82" s="127"/>
      <c r="R82" s="261"/>
      <c r="S82" s="261"/>
      <c r="T82" s="261"/>
      <c r="U82" s="261"/>
      <c r="V82" s="261"/>
      <c r="W82" s="261"/>
      <c r="X82" s="261"/>
      <c r="Y82" s="261"/>
      <c r="Z82" s="261"/>
    </row>
    <row r="83" ht="34.5" customHeight="1">
      <c r="A83" s="111" t="s">
        <v>23750</v>
      </c>
      <c r="B83" s="127" t="s">
        <v>23751</v>
      </c>
      <c r="C83" s="127" t="s">
        <v>23752</v>
      </c>
      <c r="D83" s="111" t="s">
        <v>8087</v>
      </c>
      <c r="E83" s="111" t="s">
        <v>23397</v>
      </c>
      <c r="F83" s="111" t="s">
        <v>22563</v>
      </c>
      <c r="G83" s="111"/>
      <c r="H83" s="257" t="s">
        <v>19</v>
      </c>
      <c r="I83" s="111"/>
      <c r="J83" s="111" t="s">
        <v>12397</v>
      </c>
      <c r="K83" s="127"/>
      <c r="L83" s="128" t="s">
        <v>19</v>
      </c>
      <c r="M83" s="128"/>
      <c r="N83" s="126"/>
      <c r="O83" s="262" t="s">
        <v>22189</v>
      </c>
      <c r="P83" s="262"/>
      <c r="Q83" s="262"/>
      <c r="R83" s="261"/>
      <c r="S83" s="261"/>
      <c r="T83" s="261"/>
      <c r="U83" s="261"/>
      <c r="V83" s="261"/>
      <c r="W83" s="261"/>
      <c r="X83" s="261"/>
      <c r="Y83" s="261"/>
      <c r="Z83" s="261"/>
    </row>
    <row r="84" ht="34.5" customHeight="1">
      <c r="A84" s="111" t="s">
        <v>23753</v>
      </c>
      <c r="B84" s="127" t="s">
        <v>23754</v>
      </c>
      <c r="C84" s="127" t="s">
        <v>23755</v>
      </c>
      <c r="D84" s="111" t="s">
        <v>7987</v>
      </c>
      <c r="E84" s="111" t="s">
        <v>23397</v>
      </c>
      <c r="F84" s="111" t="s">
        <v>22124</v>
      </c>
      <c r="G84" s="111">
        <v>2028.0</v>
      </c>
      <c r="H84" s="257">
        <v>2028.0</v>
      </c>
      <c r="I84" s="111"/>
      <c r="J84" s="111" t="s">
        <v>12397</v>
      </c>
      <c r="K84" s="127"/>
      <c r="L84" s="128" t="s">
        <v>23756</v>
      </c>
      <c r="M84" s="128"/>
      <c r="N84" s="126"/>
      <c r="O84" s="262" t="s">
        <v>22189</v>
      </c>
      <c r="P84" s="127"/>
      <c r="Q84" s="127"/>
      <c r="R84" s="261"/>
      <c r="S84" s="261"/>
      <c r="T84" s="261"/>
      <c r="U84" s="261"/>
      <c r="V84" s="261"/>
      <c r="W84" s="261"/>
      <c r="X84" s="261"/>
      <c r="Y84" s="261"/>
      <c r="Z84" s="261"/>
    </row>
    <row r="85" ht="34.5" customHeight="1">
      <c r="A85" s="111" t="s">
        <v>23757</v>
      </c>
      <c r="B85" s="127" t="s">
        <v>23758</v>
      </c>
      <c r="C85" s="127" t="s">
        <v>23759</v>
      </c>
      <c r="D85" s="111" t="s">
        <v>7987</v>
      </c>
      <c r="E85" s="111" t="s">
        <v>23397</v>
      </c>
      <c r="F85" s="111" t="s">
        <v>23760</v>
      </c>
      <c r="G85" s="111">
        <v>2022.0</v>
      </c>
      <c r="H85" s="257" t="s">
        <v>19</v>
      </c>
      <c r="I85" s="111"/>
      <c r="J85" s="111" t="s">
        <v>12397</v>
      </c>
      <c r="K85" s="127"/>
      <c r="L85" s="127"/>
      <c r="M85" s="128"/>
      <c r="N85" s="126"/>
      <c r="O85" s="262" t="s">
        <v>22189</v>
      </c>
      <c r="P85" s="127"/>
      <c r="Q85" s="127"/>
      <c r="R85" s="261"/>
      <c r="S85" s="261"/>
      <c r="T85" s="261"/>
      <c r="U85" s="261"/>
      <c r="V85" s="261"/>
      <c r="W85" s="261"/>
      <c r="X85" s="261"/>
      <c r="Y85" s="261"/>
      <c r="Z85" s="261"/>
    </row>
    <row r="86" ht="34.5" customHeight="1">
      <c r="A86" s="111" t="s">
        <v>23761</v>
      </c>
      <c r="B86" s="127" t="s">
        <v>23758</v>
      </c>
      <c r="C86" s="127" t="s">
        <v>23759</v>
      </c>
      <c r="D86" s="111" t="s">
        <v>7987</v>
      </c>
      <c r="E86" s="111" t="s">
        <v>23397</v>
      </c>
      <c r="F86" s="111" t="s">
        <v>23760</v>
      </c>
      <c r="G86" s="111">
        <v>2022.0</v>
      </c>
      <c r="H86" s="257" t="s">
        <v>19</v>
      </c>
      <c r="I86" s="111"/>
      <c r="J86" s="111" t="s">
        <v>12397</v>
      </c>
      <c r="K86" s="127"/>
      <c r="L86" s="127"/>
      <c r="M86" s="128"/>
      <c r="N86" s="126"/>
      <c r="O86" s="262" t="s">
        <v>22189</v>
      </c>
      <c r="P86" s="127"/>
      <c r="Q86" s="127"/>
      <c r="R86" s="261"/>
      <c r="S86" s="261"/>
      <c r="T86" s="261"/>
      <c r="U86" s="261"/>
      <c r="V86" s="261"/>
      <c r="W86" s="261"/>
      <c r="X86" s="261"/>
      <c r="Y86" s="261"/>
      <c r="Z86" s="261"/>
    </row>
    <row r="87" ht="34.5" customHeight="1">
      <c r="A87" s="111" t="s">
        <v>23762</v>
      </c>
      <c r="B87" s="127" t="s">
        <v>23763</v>
      </c>
      <c r="C87" s="127" t="s">
        <v>23764</v>
      </c>
      <c r="D87" s="111" t="s">
        <v>8011</v>
      </c>
      <c r="E87" s="111" t="s">
        <v>23397</v>
      </c>
      <c r="F87" s="111" t="s">
        <v>22563</v>
      </c>
      <c r="G87" s="111" t="s">
        <v>19</v>
      </c>
      <c r="H87" s="257" t="s">
        <v>19</v>
      </c>
      <c r="I87" s="111"/>
      <c r="J87" s="111" t="s">
        <v>12397</v>
      </c>
      <c r="K87" s="127"/>
      <c r="L87" s="127"/>
      <c r="M87" s="128"/>
      <c r="N87" s="126"/>
      <c r="O87" s="262" t="s">
        <v>22189</v>
      </c>
      <c r="P87" s="262" t="s">
        <v>22189</v>
      </c>
      <c r="Q87" s="262"/>
      <c r="R87" s="261"/>
      <c r="S87" s="261"/>
      <c r="T87" s="261"/>
      <c r="U87" s="261"/>
      <c r="V87" s="261"/>
      <c r="W87" s="261"/>
      <c r="X87" s="261"/>
      <c r="Y87" s="261"/>
      <c r="Z87" s="261"/>
    </row>
    <row r="88" ht="34.5" customHeight="1">
      <c r="A88" s="111" t="s">
        <v>23765</v>
      </c>
      <c r="B88" s="127" t="s">
        <v>23766</v>
      </c>
      <c r="C88" s="127" t="s">
        <v>23767</v>
      </c>
      <c r="D88" s="111" t="s">
        <v>7991</v>
      </c>
      <c r="E88" s="111" t="s">
        <v>23397</v>
      </c>
      <c r="F88" s="111" t="s">
        <v>23768</v>
      </c>
      <c r="G88" s="111">
        <v>2026.0</v>
      </c>
      <c r="H88" s="257">
        <v>2026.0</v>
      </c>
      <c r="I88" s="111"/>
      <c r="J88" s="111" t="s">
        <v>12397</v>
      </c>
      <c r="K88" s="127"/>
      <c r="L88" s="127" t="s">
        <v>23769</v>
      </c>
      <c r="M88" s="128"/>
      <c r="N88" s="126" t="s">
        <v>23770</v>
      </c>
      <c r="O88" s="262" t="s">
        <v>22189</v>
      </c>
      <c r="P88" s="262" t="s">
        <v>22189</v>
      </c>
      <c r="Q88" s="262" t="s">
        <v>22189</v>
      </c>
      <c r="R88" s="261"/>
      <c r="S88" s="261"/>
      <c r="T88" s="261"/>
      <c r="U88" s="261"/>
      <c r="V88" s="261"/>
      <c r="W88" s="261"/>
      <c r="X88" s="261"/>
      <c r="Y88" s="261"/>
      <c r="Z88" s="261"/>
    </row>
    <row r="89" ht="34.5" customHeight="1">
      <c r="A89" s="111" t="s">
        <v>23771</v>
      </c>
      <c r="B89" s="127" t="s">
        <v>23772</v>
      </c>
      <c r="C89" s="127" t="s">
        <v>23480</v>
      </c>
      <c r="D89" s="111" t="s">
        <v>7967</v>
      </c>
      <c r="E89" s="111" t="s">
        <v>23397</v>
      </c>
      <c r="F89" s="111" t="s">
        <v>23773</v>
      </c>
      <c r="G89" s="111">
        <v>2030.0</v>
      </c>
      <c r="H89" s="257">
        <v>2030.0</v>
      </c>
      <c r="I89" s="111"/>
      <c r="J89" s="111" t="s">
        <v>12397</v>
      </c>
      <c r="K89" s="127"/>
      <c r="L89" s="127" t="s">
        <v>23774</v>
      </c>
      <c r="M89" s="128"/>
      <c r="N89" s="126"/>
      <c r="O89" s="262" t="s">
        <v>22189</v>
      </c>
      <c r="P89" s="262" t="s">
        <v>22189</v>
      </c>
      <c r="Q89" s="262"/>
      <c r="R89" s="261"/>
      <c r="S89" s="261"/>
      <c r="T89" s="261"/>
      <c r="U89" s="261"/>
      <c r="V89" s="261"/>
      <c r="W89" s="261"/>
      <c r="X89" s="261"/>
      <c r="Y89" s="261"/>
      <c r="Z89" s="261"/>
    </row>
    <row r="90" ht="34.5" customHeight="1">
      <c r="A90" s="111" t="s">
        <v>23775</v>
      </c>
      <c r="B90" s="127" t="s">
        <v>23776</v>
      </c>
      <c r="C90" s="127" t="s">
        <v>23777</v>
      </c>
      <c r="D90" s="111" t="s">
        <v>7967</v>
      </c>
      <c r="E90" s="111" t="s">
        <v>23397</v>
      </c>
      <c r="F90" s="111" t="s">
        <v>23778</v>
      </c>
      <c r="G90" s="111">
        <v>2026.0</v>
      </c>
      <c r="H90" s="257">
        <v>2026.0</v>
      </c>
      <c r="I90" s="111"/>
      <c r="J90" s="111" t="s">
        <v>12397</v>
      </c>
      <c r="K90" s="127"/>
      <c r="L90" s="128" t="s">
        <v>23779</v>
      </c>
      <c r="M90" s="128"/>
      <c r="N90" s="126"/>
      <c r="O90" s="262" t="s">
        <v>22189</v>
      </c>
      <c r="P90" s="127"/>
      <c r="Q90" s="127"/>
      <c r="R90" s="261"/>
      <c r="S90" s="261"/>
      <c r="T90" s="261"/>
      <c r="U90" s="261"/>
      <c r="V90" s="261"/>
      <c r="W90" s="261"/>
      <c r="X90" s="261"/>
      <c r="Y90" s="261"/>
      <c r="Z90" s="261"/>
    </row>
    <row r="91" ht="34.5" customHeight="1">
      <c r="A91" s="111" t="s">
        <v>23780</v>
      </c>
      <c r="B91" s="127" t="s">
        <v>23781</v>
      </c>
      <c r="C91" s="127" t="s">
        <v>23480</v>
      </c>
      <c r="D91" s="111" t="s">
        <v>7967</v>
      </c>
      <c r="E91" s="111" t="s">
        <v>23397</v>
      </c>
      <c r="F91" s="111" t="s">
        <v>23782</v>
      </c>
      <c r="G91" s="111">
        <v>2030.0</v>
      </c>
      <c r="H91" s="257">
        <v>2030.0</v>
      </c>
      <c r="I91" s="111"/>
      <c r="J91" s="111" t="s">
        <v>12397</v>
      </c>
      <c r="K91" s="127"/>
      <c r="L91" s="128" t="s">
        <v>23482</v>
      </c>
      <c r="M91" s="128"/>
      <c r="N91" s="126"/>
      <c r="O91" s="262" t="s">
        <v>22189</v>
      </c>
      <c r="P91" s="127"/>
      <c r="Q91" s="127"/>
      <c r="R91" s="261"/>
      <c r="S91" s="261"/>
      <c r="T91" s="261"/>
      <c r="U91" s="261"/>
      <c r="V91" s="261"/>
      <c r="W91" s="261"/>
      <c r="X91" s="261"/>
      <c r="Y91" s="261"/>
      <c r="Z91" s="261"/>
    </row>
    <row r="92" ht="34.5" customHeight="1">
      <c r="A92" s="111" t="s">
        <v>23783</v>
      </c>
      <c r="B92" s="127" t="s">
        <v>23784</v>
      </c>
      <c r="C92" s="127" t="s">
        <v>23785</v>
      </c>
      <c r="D92" s="111" t="s">
        <v>8021</v>
      </c>
      <c r="E92" s="111" t="s">
        <v>23333</v>
      </c>
      <c r="F92" s="111" t="s">
        <v>23786</v>
      </c>
      <c r="G92" s="111">
        <v>2030.0</v>
      </c>
      <c r="H92" s="304">
        <v>2030.0</v>
      </c>
      <c r="I92" s="127"/>
      <c r="J92" s="111" t="s">
        <v>12397</v>
      </c>
      <c r="K92" s="127"/>
      <c r="L92" s="128" t="s">
        <v>23787</v>
      </c>
      <c r="M92" s="128"/>
      <c r="N92" s="125" t="s">
        <v>23788</v>
      </c>
      <c r="O92" s="127"/>
      <c r="P92" s="127"/>
      <c r="Q92" s="127"/>
      <c r="R92" s="261"/>
      <c r="S92" s="261"/>
      <c r="T92" s="261"/>
      <c r="U92" s="261"/>
      <c r="V92" s="261"/>
      <c r="W92" s="261"/>
      <c r="X92" s="261"/>
      <c r="Y92" s="261"/>
      <c r="Z92" s="261"/>
    </row>
    <row r="93" ht="34.5" customHeight="1">
      <c r="A93" s="111" t="s">
        <v>23789</v>
      </c>
      <c r="B93" s="127" t="s">
        <v>23790</v>
      </c>
      <c r="C93" s="127" t="s">
        <v>23626</v>
      </c>
      <c r="D93" s="111" t="s">
        <v>8021</v>
      </c>
      <c r="E93" s="111" t="s">
        <v>23333</v>
      </c>
      <c r="F93" s="111" t="s">
        <v>23791</v>
      </c>
      <c r="G93" s="111">
        <v>2028.0</v>
      </c>
      <c r="H93" s="257">
        <v>2028.0</v>
      </c>
      <c r="I93" s="111"/>
      <c r="J93" s="111" t="s">
        <v>12397</v>
      </c>
      <c r="K93" s="127"/>
      <c r="L93" s="127" t="s">
        <v>23792</v>
      </c>
      <c r="M93" s="128"/>
      <c r="N93" s="125"/>
      <c r="O93" s="262" t="s">
        <v>22189</v>
      </c>
      <c r="P93" s="260"/>
      <c r="Q93" s="260"/>
      <c r="R93" s="261"/>
      <c r="S93" s="261"/>
      <c r="T93" s="261"/>
      <c r="U93" s="261"/>
      <c r="V93" s="261"/>
      <c r="W93" s="261"/>
      <c r="X93" s="261"/>
      <c r="Y93" s="261"/>
      <c r="Z93" s="261"/>
    </row>
    <row r="94" ht="34.5" customHeight="1">
      <c r="A94" s="111" t="s">
        <v>23793</v>
      </c>
      <c r="B94" s="127" t="s">
        <v>23794</v>
      </c>
      <c r="C94" s="127" t="s">
        <v>23468</v>
      </c>
      <c r="D94" s="111" t="s">
        <v>8021</v>
      </c>
      <c r="E94" s="111" t="s">
        <v>23333</v>
      </c>
      <c r="F94" s="111" t="s">
        <v>23469</v>
      </c>
      <c r="G94" s="111">
        <v>2028.0</v>
      </c>
      <c r="H94" s="257">
        <v>2030.0</v>
      </c>
      <c r="I94" s="111"/>
      <c r="J94" s="111" t="s">
        <v>12397</v>
      </c>
      <c r="K94" s="127"/>
      <c r="L94" s="127" t="s">
        <v>23795</v>
      </c>
      <c r="M94" s="128"/>
      <c r="N94" s="125"/>
      <c r="O94" s="262" t="s">
        <v>22189</v>
      </c>
      <c r="P94" s="262" t="s">
        <v>22189</v>
      </c>
      <c r="Q94" s="262"/>
      <c r="R94" s="261"/>
      <c r="S94" s="261"/>
      <c r="T94" s="261"/>
      <c r="U94" s="261"/>
      <c r="V94" s="261"/>
      <c r="W94" s="261"/>
      <c r="X94" s="261"/>
      <c r="Y94" s="261"/>
      <c r="Z94" s="261"/>
    </row>
    <row r="95" ht="34.5" customHeight="1">
      <c r="A95" s="111" t="s">
        <v>23796</v>
      </c>
      <c r="B95" s="127" t="s">
        <v>23797</v>
      </c>
      <c r="C95" s="127" t="s">
        <v>23798</v>
      </c>
      <c r="D95" s="111" t="s">
        <v>8021</v>
      </c>
      <c r="E95" s="111" t="s">
        <v>23333</v>
      </c>
      <c r="F95" s="111" t="s">
        <v>23799</v>
      </c>
      <c r="G95" s="111">
        <v>2025.0</v>
      </c>
      <c r="H95" s="257">
        <v>2028.0</v>
      </c>
      <c r="I95" s="111"/>
      <c r="J95" s="111" t="s">
        <v>12397</v>
      </c>
      <c r="K95" s="127"/>
      <c r="L95" s="127" t="s">
        <v>23800</v>
      </c>
      <c r="M95" s="128"/>
      <c r="N95" s="125"/>
      <c r="O95" s="262" t="s">
        <v>22189</v>
      </c>
      <c r="P95" s="127"/>
      <c r="Q95" s="127"/>
      <c r="R95" s="261"/>
      <c r="S95" s="261"/>
      <c r="T95" s="261"/>
      <c r="U95" s="261"/>
      <c r="V95" s="261"/>
      <c r="W95" s="261"/>
      <c r="X95" s="261"/>
      <c r="Y95" s="261"/>
      <c r="Z95" s="261"/>
    </row>
    <row r="96" ht="34.5" customHeight="1">
      <c r="A96" s="111" t="s">
        <v>23801</v>
      </c>
      <c r="B96" s="127" t="s">
        <v>23802</v>
      </c>
      <c r="C96" s="127"/>
      <c r="D96" s="111" t="s">
        <v>7983</v>
      </c>
      <c r="E96" s="111" t="s">
        <v>23397</v>
      </c>
      <c r="F96" s="111" t="s">
        <v>23803</v>
      </c>
      <c r="G96" s="111">
        <v>2030.0</v>
      </c>
      <c r="H96" s="257">
        <v>2030.0</v>
      </c>
      <c r="I96" s="111"/>
      <c r="J96" s="111" t="s">
        <v>12397</v>
      </c>
      <c r="K96" s="127"/>
      <c r="L96" s="128" t="s">
        <v>19</v>
      </c>
      <c r="M96" s="128"/>
      <c r="N96" s="126"/>
      <c r="O96" s="262" t="s">
        <v>22189</v>
      </c>
      <c r="P96" s="127"/>
      <c r="Q96" s="127"/>
      <c r="R96" s="261"/>
      <c r="S96" s="261"/>
      <c r="T96" s="261"/>
      <c r="U96" s="261"/>
      <c r="V96" s="261"/>
      <c r="W96" s="261"/>
      <c r="X96" s="261"/>
      <c r="Y96" s="261"/>
      <c r="Z96" s="261"/>
    </row>
    <row r="97" ht="34.5" customHeight="1">
      <c r="A97" s="111" t="s">
        <v>23804</v>
      </c>
      <c r="B97" s="127" t="s">
        <v>23805</v>
      </c>
      <c r="C97" s="127"/>
      <c r="D97" s="111" t="s">
        <v>7983</v>
      </c>
      <c r="E97" s="111" t="s">
        <v>23397</v>
      </c>
      <c r="F97" s="111" t="s">
        <v>23806</v>
      </c>
      <c r="G97" s="111">
        <v>2030.0</v>
      </c>
      <c r="H97" s="257">
        <v>2030.0</v>
      </c>
      <c r="I97" s="111"/>
      <c r="J97" s="111" t="s">
        <v>12397</v>
      </c>
      <c r="K97" s="127"/>
      <c r="L97" s="128" t="s">
        <v>19</v>
      </c>
      <c r="M97" s="128"/>
      <c r="N97" s="126"/>
      <c r="O97" s="262" t="s">
        <v>22189</v>
      </c>
      <c r="P97" s="127"/>
      <c r="Q97" s="127"/>
      <c r="R97" s="261"/>
      <c r="S97" s="261"/>
      <c r="T97" s="261"/>
      <c r="U97" s="261"/>
      <c r="V97" s="261"/>
      <c r="W97" s="261"/>
      <c r="X97" s="261"/>
      <c r="Y97" s="261"/>
      <c r="Z97" s="261"/>
    </row>
    <row r="98" ht="34.5" customHeight="1">
      <c r="A98" s="111" t="s">
        <v>23807</v>
      </c>
      <c r="B98" s="127" t="s">
        <v>23808</v>
      </c>
      <c r="C98" s="127"/>
      <c r="D98" s="111" t="s">
        <v>8539</v>
      </c>
      <c r="E98" s="111" t="s">
        <v>23397</v>
      </c>
      <c r="F98" s="111" t="s">
        <v>23809</v>
      </c>
      <c r="G98" s="111">
        <v>2030.0</v>
      </c>
      <c r="H98" s="257">
        <v>2030.0</v>
      </c>
      <c r="I98" s="111"/>
      <c r="J98" s="111" t="s">
        <v>12397</v>
      </c>
      <c r="K98" s="127"/>
      <c r="L98" s="128">
        <v>160000.0</v>
      </c>
      <c r="M98" s="128"/>
      <c r="N98" s="126"/>
      <c r="O98" s="262" t="s">
        <v>22189</v>
      </c>
      <c r="P98" s="262" t="s">
        <v>22189</v>
      </c>
      <c r="Q98" s="127"/>
      <c r="R98" s="261"/>
      <c r="S98" s="261"/>
      <c r="T98" s="261"/>
      <c r="U98" s="261"/>
      <c r="V98" s="261"/>
      <c r="W98" s="261"/>
      <c r="X98" s="261"/>
      <c r="Y98" s="261"/>
      <c r="Z98" s="261"/>
    </row>
    <row r="99" ht="34.5" customHeight="1">
      <c r="A99" s="111" t="s">
        <v>23810</v>
      </c>
      <c r="B99" s="127" t="s">
        <v>23811</v>
      </c>
      <c r="C99" s="127"/>
      <c r="D99" s="111" t="s">
        <v>8539</v>
      </c>
      <c r="E99" s="111" t="s">
        <v>23397</v>
      </c>
      <c r="F99" s="111" t="s">
        <v>23812</v>
      </c>
      <c r="G99" s="111">
        <v>2030.0</v>
      </c>
      <c r="H99" s="257">
        <v>2030.0</v>
      </c>
      <c r="I99" s="111"/>
      <c r="J99" s="111" t="s">
        <v>12397</v>
      </c>
      <c r="K99" s="127"/>
      <c r="L99" s="128" t="s">
        <v>19</v>
      </c>
      <c r="M99" s="128"/>
      <c r="N99" s="126"/>
      <c r="O99" s="262" t="s">
        <v>22189</v>
      </c>
      <c r="P99" s="127"/>
      <c r="Q99" s="127"/>
      <c r="R99" s="261"/>
      <c r="S99" s="261"/>
      <c r="T99" s="261"/>
      <c r="U99" s="261"/>
      <c r="V99" s="261"/>
      <c r="W99" s="261"/>
      <c r="X99" s="261"/>
      <c r="Y99" s="261"/>
      <c r="Z99" s="261"/>
    </row>
    <row r="100" ht="34.5" customHeight="1">
      <c r="A100" s="111" t="s">
        <v>23813</v>
      </c>
      <c r="B100" s="127" t="s">
        <v>23814</v>
      </c>
      <c r="C100" s="127" t="s">
        <v>23815</v>
      </c>
      <c r="D100" s="111" t="s">
        <v>8021</v>
      </c>
      <c r="E100" s="111" t="s">
        <v>23333</v>
      </c>
      <c r="F100" s="111" t="s">
        <v>22510</v>
      </c>
      <c r="G100" s="111" t="s">
        <v>19</v>
      </c>
      <c r="H100" s="257" t="s">
        <v>19</v>
      </c>
      <c r="I100" s="111"/>
      <c r="J100" s="111" t="s">
        <v>18192</v>
      </c>
      <c r="K100" s="127"/>
      <c r="L100" s="128" t="s">
        <v>22511</v>
      </c>
      <c r="M100" s="128"/>
      <c r="N100" s="125"/>
      <c r="O100" s="262" t="s">
        <v>22189</v>
      </c>
      <c r="P100" s="127"/>
      <c r="Q100" s="127"/>
      <c r="R100" s="261"/>
      <c r="S100" s="261"/>
      <c r="T100" s="261"/>
      <c r="U100" s="261"/>
      <c r="V100" s="261"/>
      <c r="W100" s="261"/>
      <c r="X100" s="261"/>
      <c r="Y100" s="261"/>
      <c r="Z100" s="261"/>
    </row>
    <row r="101" ht="34.5" customHeight="1">
      <c r="A101" s="111"/>
      <c r="B101" s="127"/>
      <c r="C101" s="127"/>
      <c r="D101" s="111"/>
      <c r="E101" s="111"/>
      <c r="F101" s="111"/>
      <c r="G101" s="111"/>
      <c r="H101" s="257"/>
      <c r="I101" s="111"/>
      <c r="J101" s="111"/>
      <c r="K101" s="127"/>
      <c r="L101" s="128"/>
      <c r="M101" s="128"/>
      <c r="N101" s="126"/>
      <c r="O101" s="127"/>
      <c r="P101" s="127"/>
      <c r="Q101" s="127"/>
      <c r="R101" s="261"/>
      <c r="S101" s="261"/>
      <c r="T101" s="261"/>
      <c r="U101" s="261"/>
      <c r="V101" s="261"/>
      <c r="W101" s="261"/>
      <c r="X101" s="261"/>
      <c r="Y101" s="261"/>
      <c r="Z101" s="261"/>
    </row>
    <row r="102" ht="34.5" customHeight="1">
      <c r="A102" s="111"/>
      <c r="B102" s="127"/>
      <c r="C102" s="127"/>
      <c r="D102" s="111"/>
      <c r="E102" s="111"/>
      <c r="F102" s="111"/>
      <c r="G102" s="111"/>
      <c r="H102" s="257"/>
      <c r="I102" s="111"/>
      <c r="J102" s="111"/>
      <c r="K102" s="127"/>
      <c r="L102" s="128"/>
      <c r="M102" s="128"/>
      <c r="N102" s="126"/>
      <c r="O102" s="127"/>
      <c r="P102" s="127"/>
      <c r="Q102" s="127"/>
      <c r="R102" s="261"/>
      <c r="S102" s="261"/>
      <c r="T102" s="261"/>
      <c r="U102" s="261"/>
      <c r="V102" s="261"/>
      <c r="W102" s="261"/>
      <c r="X102" s="261"/>
      <c r="Y102" s="261"/>
      <c r="Z102" s="261"/>
    </row>
    <row r="103" ht="34.5" customHeight="1">
      <c r="A103" s="111"/>
      <c r="B103" s="127"/>
      <c r="C103" s="127"/>
      <c r="D103" s="111"/>
      <c r="E103" s="111"/>
      <c r="F103" s="111"/>
      <c r="G103" s="111"/>
      <c r="H103" s="257"/>
      <c r="I103" s="111"/>
      <c r="J103" s="111"/>
      <c r="K103" s="127"/>
      <c r="L103" s="128"/>
      <c r="M103" s="128"/>
      <c r="N103" s="126"/>
      <c r="O103" s="127"/>
      <c r="P103" s="127"/>
      <c r="Q103" s="127"/>
      <c r="R103" s="261"/>
      <c r="S103" s="261"/>
      <c r="T103" s="261"/>
      <c r="U103" s="261"/>
      <c r="V103" s="261"/>
      <c r="W103" s="261"/>
      <c r="X103" s="261"/>
      <c r="Y103" s="261"/>
      <c r="Z103" s="261"/>
    </row>
    <row r="104" ht="34.5" customHeight="1">
      <c r="A104" s="111"/>
      <c r="B104" s="127"/>
      <c r="C104" s="127"/>
      <c r="D104" s="111"/>
      <c r="E104" s="111"/>
      <c r="F104" s="111"/>
      <c r="G104" s="111"/>
      <c r="H104" s="257"/>
      <c r="I104" s="111"/>
      <c r="J104" s="111"/>
      <c r="K104" s="127"/>
      <c r="L104" s="128"/>
      <c r="M104" s="128"/>
      <c r="N104" s="126"/>
      <c r="O104" s="127"/>
      <c r="P104" s="127"/>
      <c r="Q104" s="127"/>
      <c r="R104" s="261"/>
      <c r="S104" s="261"/>
      <c r="T104" s="261"/>
      <c r="U104" s="261"/>
      <c r="V104" s="261"/>
      <c r="W104" s="261"/>
      <c r="X104" s="261"/>
      <c r="Y104" s="261"/>
      <c r="Z104" s="261"/>
    </row>
    <row r="105" ht="34.5" customHeight="1">
      <c r="A105" s="111"/>
      <c r="B105" s="127"/>
      <c r="C105" s="127"/>
      <c r="D105" s="111"/>
      <c r="E105" s="111"/>
      <c r="F105" s="111"/>
      <c r="G105" s="111"/>
      <c r="H105" s="257"/>
      <c r="I105" s="111"/>
      <c r="J105" s="111"/>
      <c r="K105" s="127"/>
      <c r="L105" s="128"/>
      <c r="M105" s="128"/>
      <c r="N105" s="126"/>
      <c r="O105" s="127"/>
      <c r="P105" s="127"/>
      <c r="Q105" s="127"/>
      <c r="R105" s="261"/>
      <c r="S105" s="261"/>
      <c r="T105" s="261"/>
      <c r="U105" s="261"/>
      <c r="V105" s="261"/>
      <c r="W105" s="261"/>
      <c r="X105" s="261"/>
      <c r="Y105" s="261"/>
      <c r="Z105" s="261"/>
    </row>
    <row r="106" ht="34.5" customHeight="1">
      <c r="A106" s="111"/>
      <c r="B106" s="127"/>
      <c r="C106" s="127"/>
      <c r="D106" s="111"/>
      <c r="E106" s="111"/>
      <c r="F106" s="111"/>
      <c r="G106" s="111"/>
      <c r="H106" s="257"/>
      <c r="I106" s="111"/>
      <c r="J106" s="111"/>
      <c r="K106" s="127"/>
      <c r="L106" s="128"/>
      <c r="M106" s="128"/>
      <c r="N106" s="126"/>
      <c r="O106" s="127"/>
      <c r="P106" s="127"/>
      <c r="Q106" s="127"/>
      <c r="R106" s="261"/>
      <c r="S106" s="261"/>
      <c r="T106" s="261"/>
      <c r="U106" s="261"/>
      <c r="V106" s="261"/>
      <c r="W106" s="261"/>
      <c r="X106" s="261"/>
      <c r="Y106" s="261"/>
      <c r="Z106" s="261"/>
    </row>
    <row r="107" ht="34.5" customHeight="1">
      <c r="A107" s="111"/>
      <c r="B107" s="127"/>
      <c r="C107" s="127"/>
      <c r="D107" s="111"/>
      <c r="E107" s="111"/>
      <c r="F107" s="111"/>
      <c r="G107" s="111"/>
      <c r="H107" s="257"/>
      <c r="I107" s="111"/>
      <c r="J107" s="111"/>
      <c r="K107" s="127"/>
      <c r="L107" s="128"/>
      <c r="M107" s="128"/>
      <c r="N107" s="126"/>
      <c r="O107" s="127"/>
      <c r="P107" s="127"/>
      <c r="Q107" s="127"/>
      <c r="R107" s="261"/>
      <c r="S107" s="261"/>
      <c r="T107" s="261"/>
      <c r="U107" s="261"/>
      <c r="V107" s="261"/>
      <c r="W107" s="261"/>
      <c r="X107" s="261"/>
      <c r="Y107" s="261"/>
      <c r="Z107" s="261"/>
    </row>
    <row r="108" ht="34.5" customHeight="1">
      <c r="A108" s="111"/>
      <c r="B108" s="127"/>
      <c r="C108" s="127"/>
      <c r="D108" s="111"/>
      <c r="E108" s="111"/>
      <c r="F108" s="111"/>
      <c r="G108" s="111"/>
      <c r="H108" s="257"/>
      <c r="I108" s="111"/>
      <c r="J108" s="111"/>
      <c r="K108" s="127"/>
      <c r="L108" s="128"/>
      <c r="M108" s="128"/>
      <c r="N108" s="126"/>
      <c r="O108" s="127"/>
      <c r="P108" s="127"/>
      <c r="Q108" s="127"/>
      <c r="R108" s="261"/>
      <c r="S108" s="261"/>
      <c r="T108" s="261"/>
      <c r="U108" s="261"/>
      <c r="V108" s="261"/>
      <c r="W108" s="261"/>
      <c r="X108" s="261"/>
      <c r="Y108" s="261"/>
      <c r="Z108" s="261"/>
    </row>
    <row r="109" ht="34.5" customHeight="1">
      <c r="A109" s="111"/>
      <c r="B109" s="127"/>
      <c r="C109" s="127"/>
      <c r="D109" s="111"/>
      <c r="E109" s="111"/>
      <c r="F109" s="111"/>
      <c r="G109" s="111"/>
      <c r="H109" s="257"/>
      <c r="I109" s="111"/>
      <c r="J109" s="111"/>
      <c r="K109" s="127"/>
      <c r="L109" s="128"/>
      <c r="M109" s="128"/>
      <c r="N109" s="126"/>
      <c r="O109" s="127"/>
      <c r="P109" s="127"/>
      <c r="Q109" s="127"/>
      <c r="R109" s="261"/>
      <c r="S109" s="261"/>
      <c r="T109" s="261"/>
      <c r="U109" s="261"/>
      <c r="V109" s="261"/>
      <c r="W109" s="261"/>
      <c r="X109" s="261"/>
      <c r="Y109" s="261"/>
      <c r="Z109" s="261"/>
    </row>
    <row r="110" ht="34.5" customHeight="1">
      <c r="A110" s="111"/>
      <c r="B110" s="127"/>
      <c r="C110" s="127"/>
      <c r="D110" s="111"/>
      <c r="E110" s="111"/>
      <c r="F110" s="111"/>
      <c r="G110" s="111"/>
      <c r="H110" s="257"/>
      <c r="I110" s="111"/>
      <c r="J110" s="111"/>
      <c r="K110" s="127"/>
      <c r="L110" s="128"/>
      <c r="M110" s="128"/>
      <c r="N110" s="126"/>
      <c r="O110" s="127"/>
      <c r="P110" s="127"/>
      <c r="Q110" s="127"/>
      <c r="R110" s="261"/>
      <c r="S110" s="261"/>
      <c r="T110" s="261"/>
      <c r="U110" s="261"/>
      <c r="V110" s="261"/>
      <c r="W110" s="261"/>
      <c r="X110" s="261"/>
      <c r="Y110" s="261"/>
      <c r="Z110" s="261"/>
    </row>
    <row r="111" ht="34.5" customHeight="1">
      <c r="A111" s="111"/>
      <c r="B111" s="127"/>
      <c r="C111" s="127"/>
      <c r="D111" s="111"/>
      <c r="E111" s="111"/>
      <c r="F111" s="111"/>
      <c r="G111" s="111"/>
      <c r="H111" s="257"/>
      <c r="I111" s="111"/>
      <c r="J111" s="111"/>
      <c r="K111" s="127"/>
      <c r="L111" s="128"/>
      <c r="M111" s="128"/>
      <c r="N111" s="126"/>
      <c r="O111" s="127"/>
      <c r="P111" s="127"/>
      <c r="Q111" s="127"/>
      <c r="R111" s="261"/>
      <c r="S111" s="261"/>
      <c r="T111" s="261"/>
      <c r="U111" s="261"/>
      <c r="V111" s="261"/>
      <c r="W111" s="261"/>
      <c r="X111" s="261"/>
      <c r="Y111" s="261"/>
      <c r="Z111" s="261"/>
    </row>
    <row r="112" ht="34.5" customHeight="1">
      <c r="A112" s="111"/>
      <c r="B112" s="127"/>
      <c r="C112" s="127"/>
      <c r="D112" s="111"/>
      <c r="E112" s="111"/>
      <c r="F112" s="111"/>
      <c r="G112" s="111"/>
      <c r="H112" s="257"/>
      <c r="I112" s="111"/>
      <c r="J112" s="111"/>
      <c r="K112" s="127"/>
      <c r="L112" s="128"/>
      <c r="M112" s="128"/>
      <c r="N112" s="126"/>
      <c r="O112" s="127"/>
      <c r="P112" s="127"/>
      <c r="Q112" s="127"/>
      <c r="R112" s="261"/>
      <c r="S112" s="261"/>
      <c r="T112" s="261"/>
      <c r="U112" s="261"/>
      <c r="V112" s="261"/>
      <c r="W112" s="261"/>
      <c r="X112" s="261"/>
      <c r="Y112" s="261"/>
      <c r="Z112" s="261"/>
    </row>
    <row r="113" ht="34.5" customHeight="1">
      <c r="A113" s="111"/>
      <c r="B113" s="127"/>
      <c r="C113" s="127"/>
      <c r="D113" s="111"/>
      <c r="E113" s="111"/>
      <c r="F113" s="111"/>
      <c r="G113" s="111"/>
      <c r="H113" s="257"/>
      <c r="I113" s="111"/>
      <c r="J113" s="111"/>
      <c r="K113" s="127"/>
      <c r="L113" s="128"/>
      <c r="M113" s="128"/>
      <c r="N113" s="126"/>
      <c r="O113" s="127"/>
      <c r="P113" s="127"/>
      <c r="Q113" s="127"/>
      <c r="R113" s="261"/>
      <c r="S113" s="261"/>
      <c r="T113" s="261"/>
      <c r="U113" s="261"/>
      <c r="V113" s="261"/>
      <c r="W113" s="261"/>
      <c r="X113" s="261"/>
      <c r="Y113" s="261"/>
      <c r="Z113" s="261"/>
    </row>
    <row r="114" ht="34.5" customHeight="1">
      <c r="A114" s="111"/>
      <c r="B114" s="127"/>
      <c r="C114" s="127"/>
      <c r="D114" s="111"/>
      <c r="E114" s="111"/>
      <c r="F114" s="111"/>
      <c r="G114" s="111"/>
      <c r="H114" s="257"/>
      <c r="I114" s="111"/>
      <c r="J114" s="111"/>
      <c r="K114" s="127"/>
      <c r="L114" s="128"/>
      <c r="M114" s="128"/>
      <c r="N114" s="126"/>
      <c r="O114" s="127"/>
      <c r="P114" s="127"/>
      <c r="Q114" s="127"/>
      <c r="R114" s="261"/>
      <c r="S114" s="261"/>
      <c r="T114" s="261"/>
      <c r="U114" s="261"/>
      <c r="V114" s="261"/>
      <c r="W114" s="261"/>
      <c r="X114" s="261"/>
      <c r="Y114" s="261"/>
      <c r="Z114" s="261"/>
    </row>
    <row r="115" ht="34.5" customHeight="1">
      <c r="A115" s="111"/>
      <c r="B115" s="127"/>
      <c r="C115" s="127"/>
      <c r="D115" s="111"/>
      <c r="E115" s="111"/>
      <c r="F115" s="111"/>
      <c r="G115" s="111"/>
      <c r="H115" s="257"/>
      <c r="I115" s="111"/>
      <c r="J115" s="111"/>
      <c r="K115" s="127"/>
      <c r="L115" s="128"/>
      <c r="M115" s="128"/>
      <c r="N115" s="126"/>
      <c r="O115" s="127"/>
      <c r="P115" s="127"/>
      <c r="Q115" s="127"/>
      <c r="R115" s="261"/>
      <c r="S115" s="261"/>
      <c r="T115" s="261"/>
      <c r="U115" s="261"/>
      <c r="V115" s="261"/>
      <c r="W115" s="261"/>
      <c r="X115" s="261"/>
      <c r="Y115" s="261"/>
      <c r="Z115" s="261"/>
    </row>
    <row r="116" ht="34.5" customHeight="1">
      <c r="A116" s="111"/>
      <c r="B116" s="127"/>
      <c r="C116" s="127"/>
      <c r="D116" s="111"/>
      <c r="E116" s="111"/>
      <c r="F116" s="111"/>
      <c r="G116" s="111"/>
      <c r="H116" s="257"/>
      <c r="I116" s="111"/>
      <c r="J116" s="111"/>
      <c r="K116" s="127"/>
      <c r="L116" s="128"/>
      <c r="M116" s="128"/>
      <c r="N116" s="126"/>
      <c r="O116" s="127"/>
      <c r="P116" s="127"/>
      <c r="Q116" s="127"/>
      <c r="R116" s="261"/>
      <c r="S116" s="261"/>
      <c r="T116" s="261"/>
      <c r="U116" s="261"/>
      <c r="V116" s="261"/>
      <c r="W116" s="261"/>
      <c r="X116" s="261"/>
      <c r="Y116" s="261"/>
      <c r="Z116" s="261"/>
    </row>
    <row r="117" ht="34.5" customHeight="1">
      <c r="A117" s="111"/>
      <c r="B117" s="127"/>
      <c r="C117" s="127"/>
      <c r="D117" s="111"/>
      <c r="E117" s="111"/>
      <c r="F117" s="111"/>
      <c r="G117" s="111"/>
      <c r="H117" s="257"/>
      <c r="I117" s="111"/>
      <c r="J117" s="111"/>
      <c r="K117" s="127"/>
      <c r="L117" s="128"/>
      <c r="M117" s="128"/>
      <c r="N117" s="126"/>
      <c r="O117" s="127"/>
      <c r="P117" s="127"/>
      <c r="Q117" s="127"/>
      <c r="R117" s="261"/>
      <c r="S117" s="261"/>
      <c r="T117" s="261"/>
      <c r="U117" s="261"/>
      <c r="V117" s="261"/>
      <c r="W117" s="261"/>
      <c r="X117" s="261"/>
      <c r="Y117" s="261"/>
      <c r="Z117" s="261"/>
    </row>
    <row r="118" ht="34.5" customHeight="1">
      <c r="A118" s="111"/>
      <c r="B118" s="127"/>
      <c r="C118" s="127"/>
      <c r="D118" s="111"/>
      <c r="E118" s="111"/>
      <c r="F118" s="111"/>
      <c r="G118" s="111"/>
      <c r="H118" s="257"/>
      <c r="I118" s="111"/>
      <c r="J118" s="111"/>
      <c r="K118" s="127"/>
      <c r="L118" s="128"/>
      <c r="M118" s="128"/>
      <c r="N118" s="126"/>
      <c r="O118" s="127"/>
      <c r="P118" s="127"/>
      <c r="Q118" s="127"/>
      <c r="R118" s="261"/>
      <c r="S118" s="261"/>
      <c r="T118" s="261"/>
      <c r="U118" s="261"/>
      <c r="V118" s="261"/>
      <c r="W118" s="261"/>
      <c r="X118" s="261"/>
      <c r="Y118" s="261"/>
      <c r="Z118" s="261"/>
    </row>
    <row r="119" ht="34.5" customHeight="1">
      <c r="A119" s="111"/>
      <c r="B119" s="127"/>
      <c r="C119" s="127"/>
      <c r="D119" s="111"/>
      <c r="E119" s="111"/>
      <c r="F119" s="111"/>
      <c r="G119" s="111"/>
      <c r="H119" s="257"/>
      <c r="I119" s="111"/>
      <c r="J119" s="111"/>
      <c r="K119" s="127"/>
      <c r="L119" s="128"/>
      <c r="M119" s="128"/>
      <c r="N119" s="126"/>
      <c r="O119" s="127"/>
      <c r="P119" s="127"/>
      <c r="Q119" s="127"/>
      <c r="R119" s="261"/>
      <c r="S119" s="261"/>
      <c r="T119" s="261"/>
      <c r="U119" s="261"/>
      <c r="V119" s="261"/>
      <c r="W119" s="261"/>
      <c r="X119" s="261"/>
      <c r="Y119" s="261"/>
      <c r="Z119" s="261"/>
    </row>
    <row r="120" ht="34.5" customHeight="1">
      <c r="A120" s="111"/>
      <c r="B120" s="127"/>
      <c r="C120" s="127"/>
      <c r="D120" s="111"/>
      <c r="E120" s="111"/>
      <c r="F120" s="111"/>
      <c r="G120" s="111"/>
      <c r="H120" s="257"/>
      <c r="I120" s="111"/>
      <c r="J120" s="111"/>
      <c r="K120" s="127"/>
      <c r="L120" s="128"/>
      <c r="M120" s="128"/>
      <c r="N120" s="126"/>
      <c r="O120" s="127"/>
      <c r="P120" s="127"/>
      <c r="Q120" s="127"/>
      <c r="R120" s="261"/>
      <c r="S120" s="261"/>
      <c r="T120" s="261"/>
      <c r="U120" s="261"/>
      <c r="V120" s="261"/>
      <c r="W120" s="261"/>
      <c r="X120" s="261"/>
      <c r="Y120" s="261"/>
      <c r="Z120" s="261"/>
    </row>
    <row r="121" ht="34.5" customHeight="1">
      <c r="A121" s="111"/>
      <c r="B121" s="127"/>
      <c r="C121" s="127"/>
      <c r="D121" s="111"/>
      <c r="E121" s="111"/>
      <c r="F121" s="111"/>
      <c r="G121" s="111"/>
      <c r="H121" s="257"/>
      <c r="I121" s="111"/>
      <c r="J121" s="111"/>
      <c r="K121" s="127"/>
      <c r="L121" s="128"/>
      <c r="M121" s="128"/>
      <c r="N121" s="126"/>
      <c r="O121" s="127"/>
      <c r="P121" s="127"/>
      <c r="Q121" s="127"/>
      <c r="R121" s="261"/>
      <c r="S121" s="261"/>
      <c r="T121" s="261"/>
      <c r="U121" s="261"/>
      <c r="V121" s="261"/>
      <c r="W121" s="261"/>
      <c r="X121" s="261"/>
      <c r="Y121" s="261"/>
      <c r="Z121" s="261"/>
    </row>
    <row r="122" ht="34.5" customHeight="1">
      <c r="A122" s="111"/>
      <c r="B122" s="127"/>
      <c r="C122" s="127"/>
      <c r="D122" s="111"/>
      <c r="E122" s="111"/>
      <c r="F122" s="111"/>
      <c r="G122" s="111"/>
      <c r="H122" s="257"/>
      <c r="I122" s="111"/>
      <c r="J122" s="111"/>
      <c r="K122" s="127"/>
      <c r="L122" s="128"/>
      <c r="M122" s="128"/>
      <c r="N122" s="126"/>
      <c r="O122" s="127"/>
      <c r="P122" s="127"/>
      <c r="Q122" s="127"/>
      <c r="R122" s="261"/>
      <c r="S122" s="261"/>
      <c r="T122" s="261"/>
      <c r="U122" s="261"/>
      <c r="V122" s="261"/>
      <c r="W122" s="261"/>
      <c r="X122" s="261"/>
      <c r="Y122" s="261"/>
      <c r="Z122" s="261"/>
    </row>
    <row r="123" ht="34.5" customHeight="1">
      <c r="A123" s="111"/>
      <c r="B123" s="127"/>
      <c r="C123" s="127"/>
      <c r="D123" s="111"/>
      <c r="E123" s="111"/>
      <c r="F123" s="111"/>
      <c r="G123" s="111"/>
      <c r="H123" s="257"/>
      <c r="I123" s="111"/>
      <c r="J123" s="111"/>
      <c r="K123" s="127"/>
      <c r="L123" s="128"/>
      <c r="M123" s="128"/>
      <c r="N123" s="126"/>
      <c r="O123" s="127"/>
      <c r="P123" s="127"/>
      <c r="Q123" s="127"/>
      <c r="R123" s="261"/>
      <c r="S123" s="261"/>
      <c r="T123" s="261"/>
      <c r="U123" s="261"/>
      <c r="V123" s="261"/>
      <c r="W123" s="261"/>
      <c r="X123" s="261"/>
      <c r="Y123" s="261"/>
      <c r="Z123" s="261"/>
    </row>
    <row r="124" ht="34.5" customHeight="1">
      <c r="A124" s="111"/>
      <c r="B124" s="127"/>
      <c r="C124" s="127"/>
      <c r="D124" s="111"/>
      <c r="E124" s="111"/>
      <c r="F124" s="111"/>
      <c r="G124" s="111"/>
      <c r="H124" s="257"/>
      <c r="I124" s="111"/>
      <c r="J124" s="111"/>
      <c r="K124" s="127"/>
      <c r="L124" s="128"/>
      <c r="M124" s="128"/>
      <c r="N124" s="126"/>
      <c r="O124" s="127"/>
      <c r="P124" s="127"/>
      <c r="Q124" s="127"/>
      <c r="R124" s="261"/>
      <c r="S124" s="261"/>
      <c r="T124" s="261"/>
      <c r="U124" s="261"/>
      <c r="V124" s="261"/>
      <c r="W124" s="261"/>
      <c r="X124" s="261"/>
      <c r="Y124" s="261"/>
      <c r="Z124" s="261"/>
    </row>
    <row r="125" ht="34.5" customHeight="1">
      <c r="A125" s="111"/>
      <c r="B125" s="127"/>
      <c r="C125" s="127"/>
      <c r="D125" s="111"/>
      <c r="E125" s="111"/>
      <c r="F125" s="111"/>
      <c r="G125" s="111"/>
      <c r="H125" s="257"/>
      <c r="I125" s="111"/>
      <c r="J125" s="111"/>
      <c r="K125" s="127"/>
      <c r="L125" s="128"/>
      <c r="M125" s="128"/>
      <c r="N125" s="126"/>
      <c r="O125" s="127"/>
      <c r="P125" s="127"/>
      <c r="Q125" s="127"/>
      <c r="R125" s="261"/>
      <c r="S125" s="261"/>
      <c r="T125" s="261"/>
      <c r="U125" s="261"/>
      <c r="V125" s="261"/>
      <c r="W125" s="261"/>
      <c r="X125" s="261"/>
      <c r="Y125" s="261"/>
      <c r="Z125" s="261"/>
    </row>
    <row r="126" ht="34.5" customHeight="1">
      <c r="A126" s="111"/>
      <c r="B126" s="127"/>
      <c r="C126" s="127"/>
      <c r="D126" s="111"/>
      <c r="E126" s="111"/>
      <c r="F126" s="111"/>
      <c r="G126" s="111"/>
      <c r="H126" s="257"/>
      <c r="I126" s="111"/>
      <c r="J126" s="111"/>
      <c r="K126" s="127"/>
      <c r="L126" s="128"/>
      <c r="M126" s="128"/>
      <c r="N126" s="126"/>
      <c r="O126" s="127"/>
      <c r="P126" s="127"/>
      <c r="Q126" s="127"/>
      <c r="R126" s="261"/>
      <c r="S126" s="261"/>
      <c r="T126" s="261"/>
      <c r="U126" s="261"/>
      <c r="V126" s="261"/>
      <c r="W126" s="261"/>
      <c r="X126" s="261"/>
      <c r="Y126" s="261"/>
      <c r="Z126" s="261"/>
    </row>
    <row r="127" ht="34.5" customHeight="1">
      <c r="A127" s="111"/>
      <c r="B127" s="127"/>
      <c r="C127" s="127"/>
      <c r="D127" s="111"/>
      <c r="E127" s="111"/>
      <c r="F127" s="111"/>
      <c r="G127" s="111"/>
      <c r="H127" s="257"/>
      <c r="I127" s="111"/>
      <c r="J127" s="111"/>
      <c r="K127" s="127"/>
      <c r="L127" s="128"/>
      <c r="M127" s="128"/>
      <c r="N127" s="126"/>
      <c r="O127" s="127"/>
      <c r="P127" s="127"/>
      <c r="Q127" s="127"/>
      <c r="R127" s="261"/>
      <c r="S127" s="261"/>
      <c r="T127" s="261"/>
      <c r="U127" s="261"/>
      <c r="V127" s="261"/>
      <c r="W127" s="261"/>
      <c r="X127" s="261"/>
      <c r="Y127" s="261"/>
      <c r="Z127" s="261"/>
    </row>
    <row r="128" ht="34.5" customHeight="1">
      <c r="A128" s="111"/>
      <c r="B128" s="127"/>
      <c r="C128" s="127"/>
      <c r="D128" s="111"/>
      <c r="E128" s="111"/>
      <c r="F128" s="111"/>
      <c r="G128" s="111"/>
      <c r="H128" s="257"/>
      <c r="I128" s="111"/>
      <c r="J128" s="111"/>
      <c r="K128" s="127"/>
      <c r="L128" s="128"/>
      <c r="M128" s="128"/>
      <c r="N128" s="126"/>
      <c r="O128" s="127"/>
      <c r="P128" s="127"/>
      <c r="Q128" s="127"/>
      <c r="R128" s="261"/>
      <c r="S128" s="261"/>
      <c r="T128" s="261"/>
      <c r="U128" s="261"/>
      <c r="V128" s="261"/>
      <c r="W128" s="261"/>
      <c r="X128" s="261"/>
      <c r="Y128" s="261"/>
      <c r="Z128" s="261"/>
    </row>
    <row r="129" ht="34.5" customHeight="1">
      <c r="A129" s="111"/>
      <c r="B129" s="127"/>
      <c r="C129" s="127"/>
      <c r="D129" s="111"/>
      <c r="E129" s="111"/>
      <c r="F129" s="111"/>
      <c r="G129" s="111"/>
      <c r="H129" s="257"/>
      <c r="I129" s="111"/>
      <c r="J129" s="111"/>
      <c r="K129" s="127"/>
      <c r="L129" s="128"/>
      <c r="M129" s="128"/>
      <c r="N129" s="126"/>
      <c r="O129" s="127"/>
      <c r="P129" s="127"/>
      <c r="Q129" s="127"/>
      <c r="R129" s="261"/>
      <c r="S129" s="261"/>
      <c r="T129" s="261"/>
      <c r="U129" s="261"/>
      <c r="V129" s="261"/>
      <c r="W129" s="261"/>
      <c r="X129" s="261"/>
      <c r="Y129" s="261"/>
      <c r="Z129" s="261"/>
    </row>
    <row r="130" ht="34.5" customHeight="1">
      <c r="A130" s="111"/>
      <c r="B130" s="127"/>
      <c r="C130" s="127"/>
      <c r="D130" s="111"/>
      <c r="E130" s="111"/>
      <c r="F130" s="111"/>
      <c r="G130" s="111"/>
      <c r="H130" s="257"/>
      <c r="I130" s="111"/>
      <c r="J130" s="111"/>
      <c r="K130" s="127"/>
      <c r="L130" s="128"/>
      <c r="M130" s="128"/>
      <c r="N130" s="126"/>
      <c r="O130" s="127"/>
      <c r="P130" s="127"/>
      <c r="Q130" s="127"/>
      <c r="R130" s="261"/>
      <c r="S130" s="261"/>
      <c r="T130" s="261"/>
      <c r="U130" s="261"/>
      <c r="V130" s="261"/>
      <c r="W130" s="261"/>
      <c r="X130" s="261"/>
      <c r="Y130" s="261"/>
      <c r="Z130" s="261"/>
    </row>
    <row r="131" ht="34.5" customHeight="1">
      <c r="A131" s="111"/>
      <c r="B131" s="127"/>
      <c r="C131" s="127"/>
      <c r="D131" s="111"/>
      <c r="E131" s="111"/>
      <c r="F131" s="111"/>
      <c r="G131" s="111"/>
      <c r="H131" s="257"/>
      <c r="I131" s="111"/>
      <c r="J131" s="111"/>
      <c r="K131" s="127"/>
      <c r="L131" s="128"/>
      <c r="M131" s="128"/>
      <c r="N131" s="126"/>
      <c r="O131" s="127"/>
      <c r="P131" s="127"/>
      <c r="Q131" s="127"/>
      <c r="R131" s="261"/>
      <c r="S131" s="261"/>
      <c r="T131" s="261"/>
      <c r="U131" s="261"/>
      <c r="V131" s="261"/>
      <c r="W131" s="261"/>
      <c r="X131" s="261"/>
      <c r="Y131" s="261"/>
      <c r="Z131" s="261"/>
    </row>
    <row r="132" ht="34.5" customHeight="1">
      <c r="A132" s="111"/>
      <c r="B132" s="127"/>
      <c r="C132" s="127"/>
      <c r="D132" s="111"/>
      <c r="E132" s="111"/>
      <c r="F132" s="111"/>
      <c r="G132" s="111"/>
      <c r="H132" s="257"/>
      <c r="I132" s="111"/>
      <c r="J132" s="111"/>
      <c r="K132" s="127"/>
      <c r="L132" s="128"/>
      <c r="M132" s="128"/>
      <c r="N132" s="126"/>
      <c r="O132" s="127"/>
      <c r="P132" s="127"/>
      <c r="Q132" s="127"/>
      <c r="R132" s="261"/>
      <c r="S132" s="261"/>
      <c r="T132" s="261"/>
      <c r="U132" s="261"/>
      <c r="V132" s="261"/>
      <c r="W132" s="261"/>
      <c r="X132" s="261"/>
      <c r="Y132" s="261"/>
      <c r="Z132" s="261"/>
    </row>
    <row r="133" ht="34.5" customHeight="1">
      <c r="A133" s="111"/>
      <c r="B133" s="127"/>
      <c r="C133" s="127"/>
      <c r="D133" s="111"/>
      <c r="E133" s="111"/>
      <c r="F133" s="111"/>
      <c r="G133" s="111"/>
      <c r="H133" s="257"/>
      <c r="I133" s="111"/>
      <c r="J133" s="111"/>
      <c r="K133" s="127"/>
      <c r="L133" s="128"/>
      <c r="M133" s="128"/>
      <c r="N133" s="126"/>
      <c r="O133" s="127"/>
      <c r="P133" s="127"/>
      <c r="Q133" s="127"/>
      <c r="R133" s="261"/>
      <c r="S133" s="261"/>
      <c r="T133" s="261"/>
      <c r="U133" s="261"/>
      <c r="V133" s="261"/>
      <c r="W133" s="261"/>
      <c r="X133" s="261"/>
      <c r="Y133" s="261"/>
      <c r="Z133" s="261"/>
    </row>
    <row r="134" ht="34.5" customHeight="1">
      <c r="A134" s="111"/>
      <c r="B134" s="127"/>
      <c r="C134" s="127"/>
      <c r="D134" s="111"/>
      <c r="E134" s="111"/>
      <c r="F134" s="111"/>
      <c r="G134" s="111"/>
      <c r="H134" s="257"/>
      <c r="I134" s="111"/>
      <c r="J134" s="111"/>
      <c r="K134" s="127"/>
      <c r="L134" s="128"/>
      <c r="M134" s="128"/>
      <c r="N134" s="126"/>
      <c r="O134" s="127"/>
      <c r="P134" s="127"/>
      <c r="Q134" s="127"/>
      <c r="R134" s="261"/>
      <c r="S134" s="261"/>
      <c r="T134" s="261"/>
      <c r="U134" s="261"/>
      <c r="V134" s="261"/>
      <c r="W134" s="261"/>
      <c r="X134" s="261"/>
      <c r="Y134" s="261"/>
      <c r="Z134" s="261"/>
    </row>
    <row r="135" ht="34.5" customHeight="1">
      <c r="A135" s="111"/>
      <c r="B135" s="127"/>
      <c r="C135" s="127"/>
      <c r="D135" s="111"/>
      <c r="E135" s="111"/>
      <c r="F135" s="111"/>
      <c r="G135" s="111"/>
      <c r="H135" s="257"/>
      <c r="I135" s="111"/>
      <c r="J135" s="111"/>
      <c r="K135" s="127"/>
      <c r="L135" s="128"/>
      <c r="M135" s="128"/>
      <c r="N135" s="126"/>
      <c r="O135" s="127"/>
      <c r="P135" s="127"/>
      <c r="Q135" s="127"/>
      <c r="R135" s="261"/>
      <c r="S135" s="261"/>
      <c r="T135" s="261"/>
      <c r="U135" s="261"/>
      <c r="V135" s="261"/>
      <c r="W135" s="261"/>
      <c r="X135" s="261"/>
      <c r="Y135" s="261"/>
      <c r="Z135" s="261"/>
    </row>
    <row r="136" ht="34.5" customHeight="1">
      <c r="A136" s="111"/>
      <c r="B136" s="127"/>
      <c r="C136" s="127"/>
      <c r="D136" s="111"/>
      <c r="E136" s="111"/>
      <c r="F136" s="111"/>
      <c r="G136" s="111"/>
      <c r="H136" s="257"/>
      <c r="I136" s="111"/>
      <c r="J136" s="111"/>
      <c r="K136" s="127"/>
      <c r="L136" s="128"/>
      <c r="M136" s="128"/>
      <c r="N136" s="126"/>
      <c r="O136" s="127"/>
      <c r="P136" s="127"/>
      <c r="Q136" s="127"/>
      <c r="R136" s="261"/>
      <c r="S136" s="261"/>
      <c r="T136" s="261"/>
      <c r="U136" s="261"/>
      <c r="V136" s="261"/>
      <c r="W136" s="261"/>
      <c r="X136" s="261"/>
      <c r="Y136" s="261"/>
      <c r="Z136" s="261"/>
    </row>
    <row r="137" ht="34.5" customHeight="1">
      <c r="A137" s="111"/>
      <c r="B137" s="127"/>
      <c r="C137" s="127"/>
      <c r="D137" s="111"/>
      <c r="E137" s="111"/>
      <c r="F137" s="111"/>
      <c r="G137" s="111"/>
      <c r="H137" s="257"/>
      <c r="I137" s="111"/>
      <c r="J137" s="111"/>
      <c r="K137" s="127"/>
      <c r="L137" s="128"/>
      <c r="M137" s="128"/>
      <c r="N137" s="126"/>
      <c r="O137" s="127"/>
      <c r="P137" s="127"/>
      <c r="Q137" s="127"/>
      <c r="R137" s="261"/>
      <c r="S137" s="261"/>
      <c r="T137" s="261"/>
      <c r="U137" s="261"/>
      <c r="V137" s="261"/>
      <c r="W137" s="261"/>
      <c r="X137" s="261"/>
      <c r="Y137" s="261"/>
      <c r="Z137" s="261"/>
    </row>
    <row r="138" ht="34.5" customHeight="1">
      <c r="A138" s="111"/>
      <c r="B138" s="127"/>
      <c r="C138" s="127"/>
      <c r="D138" s="111"/>
      <c r="E138" s="111"/>
      <c r="F138" s="111"/>
      <c r="G138" s="111"/>
      <c r="H138" s="257"/>
      <c r="I138" s="111"/>
      <c r="J138" s="111"/>
      <c r="K138" s="127"/>
      <c r="L138" s="128"/>
      <c r="M138" s="128"/>
      <c r="N138" s="126"/>
      <c r="O138" s="127"/>
      <c r="P138" s="127"/>
      <c r="Q138" s="127"/>
      <c r="R138" s="261"/>
      <c r="S138" s="261"/>
      <c r="T138" s="261"/>
      <c r="U138" s="261"/>
      <c r="V138" s="261"/>
      <c r="W138" s="261"/>
      <c r="X138" s="261"/>
      <c r="Y138" s="261"/>
      <c r="Z138" s="261"/>
    </row>
    <row r="139" ht="34.5" customHeight="1">
      <c r="A139" s="111"/>
      <c r="B139" s="127"/>
      <c r="C139" s="127"/>
      <c r="D139" s="111"/>
      <c r="E139" s="111"/>
      <c r="F139" s="111"/>
      <c r="G139" s="111"/>
      <c r="H139" s="257"/>
      <c r="I139" s="111"/>
      <c r="J139" s="111"/>
      <c r="K139" s="127"/>
      <c r="L139" s="128"/>
      <c r="M139" s="128"/>
      <c r="N139" s="126"/>
      <c r="O139" s="127"/>
      <c r="P139" s="127"/>
      <c r="Q139" s="127"/>
      <c r="R139" s="261"/>
      <c r="S139" s="261"/>
      <c r="T139" s="261"/>
      <c r="U139" s="261"/>
      <c r="V139" s="261"/>
      <c r="W139" s="261"/>
      <c r="X139" s="261"/>
      <c r="Y139" s="261"/>
      <c r="Z139" s="261"/>
    </row>
    <row r="140" ht="34.5" customHeight="1">
      <c r="A140" s="111"/>
      <c r="B140" s="127"/>
      <c r="C140" s="127"/>
      <c r="D140" s="111"/>
      <c r="E140" s="111"/>
      <c r="F140" s="111"/>
      <c r="G140" s="111"/>
      <c r="H140" s="257"/>
      <c r="I140" s="111"/>
      <c r="J140" s="111"/>
      <c r="K140" s="127"/>
      <c r="L140" s="128"/>
      <c r="M140" s="128"/>
      <c r="N140" s="126"/>
      <c r="O140" s="127"/>
      <c r="P140" s="127"/>
      <c r="Q140" s="127"/>
      <c r="R140" s="261"/>
      <c r="S140" s="261"/>
      <c r="T140" s="261"/>
      <c r="U140" s="261"/>
      <c r="V140" s="261"/>
      <c r="W140" s="261"/>
      <c r="X140" s="261"/>
      <c r="Y140" s="261"/>
      <c r="Z140" s="261"/>
    </row>
    <row r="141" ht="34.5" customHeight="1">
      <c r="A141" s="111"/>
      <c r="B141" s="127"/>
      <c r="C141" s="127"/>
      <c r="D141" s="111"/>
      <c r="E141" s="111"/>
      <c r="F141" s="111"/>
      <c r="G141" s="111"/>
      <c r="H141" s="257"/>
      <c r="I141" s="111"/>
      <c r="J141" s="111"/>
      <c r="K141" s="127"/>
      <c r="L141" s="128"/>
      <c r="M141" s="128"/>
      <c r="N141" s="126"/>
      <c r="O141" s="127"/>
      <c r="P141" s="127"/>
      <c r="Q141" s="127"/>
      <c r="R141" s="261"/>
      <c r="S141" s="261"/>
      <c r="T141" s="261"/>
      <c r="U141" s="261"/>
      <c r="V141" s="261"/>
      <c r="W141" s="261"/>
      <c r="X141" s="261"/>
      <c r="Y141" s="261"/>
      <c r="Z141" s="261"/>
    </row>
    <row r="142" ht="34.5" customHeight="1">
      <c r="A142" s="111"/>
      <c r="B142" s="127"/>
      <c r="C142" s="127"/>
      <c r="D142" s="111"/>
      <c r="E142" s="111"/>
      <c r="F142" s="111"/>
      <c r="G142" s="111"/>
      <c r="H142" s="257"/>
      <c r="I142" s="111"/>
      <c r="J142" s="111"/>
      <c r="K142" s="127"/>
      <c r="L142" s="128"/>
      <c r="M142" s="128"/>
      <c r="N142" s="126"/>
      <c r="O142" s="127"/>
      <c r="P142" s="127"/>
      <c r="Q142" s="127"/>
      <c r="R142" s="261"/>
      <c r="S142" s="261"/>
      <c r="T142" s="261"/>
      <c r="U142" s="261"/>
      <c r="V142" s="261"/>
      <c r="W142" s="261"/>
      <c r="X142" s="261"/>
      <c r="Y142" s="261"/>
      <c r="Z142" s="261"/>
    </row>
    <row r="143" ht="34.5" customHeight="1">
      <c r="A143" s="111"/>
      <c r="B143" s="127"/>
      <c r="C143" s="127"/>
      <c r="D143" s="111"/>
      <c r="E143" s="111"/>
      <c r="F143" s="111"/>
      <c r="G143" s="111"/>
      <c r="H143" s="257"/>
      <c r="I143" s="111"/>
      <c r="J143" s="111"/>
      <c r="K143" s="127"/>
      <c r="L143" s="128"/>
      <c r="M143" s="128"/>
      <c r="N143" s="126"/>
      <c r="O143" s="127"/>
      <c r="P143" s="127"/>
      <c r="Q143" s="127"/>
      <c r="R143" s="261"/>
      <c r="S143" s="261"/>
      <c r="T143" s="261"/>
      <c r="U143" s="261"/>
      <c r="V143" s="261"/>
      <c r="W143" s="261"/>
      <c r="X143" s="261"/>
      <c r="Y143" s="261"/>
      <c r="Z143" s="261"/>
    </row>
    <row r="144" ht="34.5" customHeight="1">
      <c r="A144" s="111"/>
      <c r="B144" s="127"/>
      <c r="C144" s="127"/>
      <c r="D144" s="111"/>
      <c r="E144" s="111"/>
      <c r="F144" s="111"/>
      <c r="G144" s="111"/>
      <c r="H144" s="257"/>
      <c r="I144" s="111"/>
      <c r="J144" s="111"/>
      <c r="K144" s="127"/>
      <c r="L144" s="128"/>
      <c r="M144" s="128"/>
      <c r="N144" s="126"/>
      <c r="O144" s="127"/>
      <c r="P144" s="127"/>
      <c r="Q144" s="127"/>
      <c r="R144" s="261"/>
      <c r="S144" s="261"/>
      <c r="T144" s="261"/>
      <c r="U144" s="261"/>
      <c r="V144" s="261"/>
      <c r="W144" s="261"/>
      <c r="X144" s="261"/>
      <c r="Y144" s="261"/>
      <c r="Z144" s="261"/>
    </row>
    <row r="145" ht="34.5" customHeight="1">
      <c r="A145" s="111"/>
      <c r="B145" s="127"/>
      <c r="C145" s="127"/>
      <c r="D145" s="111"/>
      <c r="E145" s="111"/>
      <c r="F145" s="111"/>
      <c r="G145" s="111"/>
      <c r="H145" s="257"/>
      <c r="I145" s="111"/>
      <c r="J145" s="111"/>
      <c r="K145" s="127"/>
      <c r="L145" s="128"/>
      <c r="M145" s="128"/>
      <c r="N145" s="126"/>
      <c r="O145" s="127"/>
      <c r="P145" s="127"/>
      <c r="Q145" s="127"/>
      <c r="R145" s="261"/>
      <c r="S145" s="261"/>
      <c r="T145" s="261"/>
      <c r="U145" s="261"/>
      <c r="V145" s="261"/>
      <c r="W145" s="261"/>
      <c r="X145" s="261"/>
      <c r="Y145" s="261"/>
      <c r="Z145" s="261"/>
    </row>
    <row r="146" ht="34.5" customHeight="1">
      <c r="A146" s="111"/>
      <c r="B146" s="127"/>
      <c r="C146" s="127"/>
      <c r="D146" s="111"/>
      <c r="E146" s="111"/>
      <c r="F146" s="111"/>
      <c r="G146" s="111"/>
      <c r="H146" s="257"/>
      <c r="I146" s="111"/>
      <c r="J146" s="111"/>
      <c r="K146" s="127"/>
      <c r="L146" s="128"/>
      <c r="M146" s="128"/>
      <c r="N146" s="126"/>
      <c r="O146" s="127"/>
      <c r="P146" s="127"/>
      <c r="Q146" s="127"/>
      <c r="R146" s="261"/>
      <c r="S146" s="261"/>
      <c r="T146" s="261"/>
      <c r="U146" s="261"/>
      <c r="V146" s="261"/>
      <c r="W146" s="261"/>
      <c r="X146" s="261"/>
      <c r="Y146" s="261"/>
      <c r="Z146" s="261"/>
    </row>
    <row r="147" ht="34.5" customHeight="1">
      <c r="A147" s="111"/>
      <c r="B147" s="127"/>
      <c r="C147" s="127"/>
      <c r="D147" s="111"/>
      <c r="E147" s="111"/>
      <c r="F147" s="111"/>
      <c r="G147" s="111"/>
      <c r="H147" s="257"/>
      <c r="I147" s="111"/>
      <c r="J147" s="111"/>
      <c r="K147" s="127"/>
      <c r="L147" s="128"/>
      <c r="M147" s="128"/>
      <c r="N147" s="126"/>
      <c r="O147" s="127"/>
      <c r="P147" s="127"/>
      <c r="Q147" s="127"/>
      <c r="R147" s="261"/>
      <c r="S147" s="261"/>
      <c r="T147" s="261"/>
      <c r="U147" s="261"/>
      <c r="V147" s="261"/>
      <c r="W147" s="261"/>
      <c r="X147" s="261"/>
      <c r="Y147" s="261"/>
      <c r="Z147" s="261"/>
    </row>
    <row r="148" ht="34.5" customHeight="1">
      <c r="A148" s="111"/>
      <c r="B148" s="127"/>
      <c r="C148" s="127"/>
      <c r="D148" s="111"/>
      <c r="E148" s="111"/>
      <c r="F148" s="111"/>
      <c r="G148" s="111"/>
      <c r="H148" s="257"/>
      <c r="I148" s="111"/>
      <c r="J148" s="111"/>
      <c r="K148" s="127"/>
      <c r="L148" s="128"/>
      <c r="M148" s="128"/>
      <c r="N148" s="126"/>
      <c r="O148" s="127"/>
      <c r="P148" s="127"/>
      <c r="Q148" s="127"/>
      <c r="R148" s="261"/>
      <c r="S148" s="261"/>
      <c r="T148" s="261"/>
      <c r="U148" s="261"/>
      <c r="V148" s="261"/>
      <c r="W148" s="261"/>
      <c r="X148" s="261"/>
      <c r="Y148" s="261"/>
      <c r="Z148" s="261"/>
    </row>
    <row r="149" ht="34.5" customHeight="1">
      <c r="A149" s="111"/>
      <c r="B149" s="127"/>
      <c r="C149" s="127"/>
      <c r="D149" s="111"/>
      <c r="E149" s="111"/>
      <c r="F149" s="111"/>
      <c r="G149" s="111"/>
      <c r="H149" s="257"/>
      <c r="I149" s="111"/>
      <c r="J149" s="111"/>
      <c r="K149" s="127"/>
      <c r="L149" s="128"/>
      <c r="M149" s="128"/>
      <c r="N149" s="126"/>
      <c r="O149" s="127"/>
      <c r="P149" s="127"/>
      <c r="Q149" s="127"/>
      <c r="R149" s="261"/>
      <c r="S149" s="261"/>
      <c r="T149" s="261"/>
      <c r="U149" s="261"/>
      <c r="V149" s="261"/>
      <c r="W149" s="261"/>
      <c r="X149" s="261"/>
      <c r="Y149" s="261"/>
      <c r="Z149" s="261"/>
    </row>
    <row r="150" ht="34.5" customHeight="1">
      <c r="A150" s="111"/>
      <c r="B150" s="127"/>
      <c r="C150" s="127"/>
      <c r="D150" s="111"/>
      <c r="E150" s="111"/>
      <c r="F150" s="111"/>
      <c r="G150" s="111"/>
      <c r="H150" s="257"/>
      <c r="I150" s="111"/>
      <c r="J150" s="111"/>
      <c r="K150" s="127"/>
      <c r="L150" s="128"/>
      <c r="M150" s="128"/>
      <c r="N150" s="126"/>
      <c r="O150" s="127"/>
      <c r="P150" s="127"/>
      <c r="Q150" s="127"/>
      <c r="R150" s="261"/>
      <c r="S150" s="261"/>
      <c r="T150" s="261"/>
      <c r="U150" s="261"/>
      <c r="V150" s="261"/>
      <c r="W150" s="261"/>
      <c r="X150" s="261"/>
      <c r="Y150" s="261"/>
      <c r="Z150" s="261"/>
    </row>
    <row r="151" ht="34.5" customHeight="1">
      <c r="A151" s="111"/>
      <c r="B151" s="127"/>
      <c r="C151" s="127"/>
      <c r="D151" s="111"/>
      <c r="E151" s="111"/>
      <c r="F151" s="111"/>
      <c r="G151" s="111"/>
      <c r="H151" s="257"/>
      <c r="I151" s="111"/>
      <c r="J151" s="111"/>
      <c r="K151" s="127"/>
      <c r="L151" s="128"/>
      <c r="M151" s="128"/>
      <c r="N151" s="126"/>
      <c r="O151" s="127"/>
      <c r="P151" s="127"/>
      <c r="Q151" s="127"/>
      <c r="R151" s="261"/>
      <c r="S151" s="261"/>
      <c r="T151" s="261"/>
      <c r="U151" s="261"/>
      <c r="V151" s="261"/>
      <c r="W151" s="261"/>
      <c r="X151" s="261"/>
      <c r="Y151" s="261"/>
      <c r="Z151" s="261"/>
    </row>
    <row r="152" ht="34.5" customHeight="1">
      <c r="A152" s="111"/>
      <c r="B152" s="127"/>
      <c r="C152" s="127"/>
      <c r="D152" s="111"/>
      <c r="E152" s="111"/>
      <c r="F152" s="111"/>
      <c r="G152" s="111"/>
      <c r="H152" s="257"/>
      <c r="I152" s="111"/>
      <c r="J152" s="111"/>
      <c r="K152" s="127"/>
      <c r="L152" s="128"/>
      <c r="M152" s="128"/>
      <c r="N152" s="126"/>
      <c r="O152" s="127"/>
      <c r="P152" s="127"/>
      <c r="Q152" s="127"/>
      <c r="R152" s="261"/>
      <c r="S152" s="261"/>
      <c r="T152" s="261"/>
      <c r="U152" s="261"/>
      <c r="V152" s="261"/>
      <c r="W152" s="261"/>
      <c r="X152" s="261"/>
      <c r="Y152" s="261"/>
      <c r="Z152" s="261"/>
    </row>
    <row r="153" ht="34.5" customHeight="1">
      <c r="A153" s="111"/>
      <c r="B153" s="127"/>
      <c r="C153" s="127"/>
      <c r="D153" s="111"/>
      <c r="E153" s="111"/>
      <c r="F153" s="111"/>
      <c r="G153" s="111"/>
      <c r="H153" s="257"/>
      <c r="I153" s="111"/>
      <c r="J153" s="111"/>
      <c r="K153" s="127"/>
      <c r="L153" s="128"/>
      <c r="M153" s="128"/>
      <c r="N153" s="126"/>
      <c r="O153" s="127"/>
      <c r="P153" s="127"/>
      <c r="Q153" s="127"/>
      <c r="R153" s="261"/>
      <c r="S153" s="261"/>
      <c r="T153" s="261"/>
      <c r="U153" s="261"/>
      <c r="V153" s="261"/>
      <c r="W153" s="261"/>
      <c r="X153" s="261"/>
      <c r="Y153" s="261"/>
      <c r="Z153" s="261"/>
    </row>
    <row r="154" ht="34.5" customHeight="1">
      <c r="A154" s="111"/>
      <c r="B154" s="127"/>
      <c r="C154" s="127"/>
      <c r="D154" s="111"/>
      <c r="E154" s="111"/>
      <c r="F154" s="111"/>
      <c r="G154" s="111"/>
      <c r="H154" s="257"/>
      <c r="I154" s="111"/>
      <c r="J154" s="111"/>
      <c r="K154" s="127"/>
      <c r="L154" s="128"/>
      <c r="M154" s="128"/>
      <c r="N154" s="126"/>
      <c r="O154" s="127"/>
      <c r="P154" s="127"/>
      <c r="Q154" s="127"/>
      <c r="R154" s="261"/>
      <c r="S154" s="261"/>
      <c r="T154" s="261"/>
      <c r="U154" s="261"/>
      <c r="V154" s="261"/>
      <c r="W154" s="261"/>
      <c r="X154" s="261"/>
      <c r="Y154" s="261"/>
      <c r="Z154" s="261"/>
    </row>
    <row r="155" ht="34.5" customHeight="1">
      <c r="A155" s="111"/>
      <c r="B155" s="127"/>
      <c r="C155" s="127"/>
      <c r="D155" s="111"/>
      <c r="E155" s="111"/>
      <c r="F155" s="111"/>
      <c r="G155" s="111"/>
      <c r="H155" s="257"/>
      <c r="I155" s="111"/>
      <c r="J155" s="111"/>
      <c r="K155" s="127"/>
      <c r="L155" s="128"/>
      <c r="M155" s="128"/>
      <c r="N155" s="126"/>
      <c r="O155" s="127"/>
      <c r="P155" s="127"/>
      <c r="Q155" s="127"/>
      <c r="R155" s="261"/>
      <c r="S155" s="261"/>
      <c r="T155" s="261"/>
      <c r="U155" s="261"/>
      <c r="V155" s="261"/>
      <c r="W155" s="261"/>
      <c r="X155" s="261"/>
      <c r="Y155" s="261"/>
      <c r="Z155" s="261"/>
    </row>
    <row r="156" ht="34.5" customHeight="1">
      <c r="A156" s="111"/>
      <c r="B156" s="127"/>
      <c r="C156" s="127"/>
      <c r="D156" s="111"/>
      <c r="E156" s="111"/>
      <c r="F156" s="270"/>
      <c r="G156" s="111"/>
      <c r="H156" s="257"/>
      <c r="I156" s="111"/>
      <c r="J156" s="111"/>
      <c r="K156" s="127"/>
      <c r="L156" s="128"/>
      <c r="M156" s="128"/>
      <c r="N156" s="126"/>
      <c r="O156" s="127"/>
      <c r="P156" s="127"/>
      <c r="Q156" s="127"/>
      <c r="R156" s="261"/>
      <c r="S156" s="261"/>
      <c r="T156" s="261"/>
      <c r="U156" s="261"/>
      <c r="V156" s="261"/>
      <c r="W156" s="261"/>
      <c r="X156" s="261"/>
      <c r="Y156" s="261"/>
      <c r="Z156" s="261"/>
    </row>
    <row r="157" ht="34.5" customHeight="1">
      <c r="A157" s="111"/>
      <c r="B157" s="127"/>
      <c r="C157" s="127"/>
      <c r="D157" s="111"/>
      <c r="E157" s="111"/>
      <c r="F157" s="270"/>
      <c r="G157" s="111"/>
      <c r="H157" s="257"/>
      <c r="I157" s="111"/>
      <c r="J157" s="111"/>
      <c r="K157" s="127"/>
      <c r="L157" s="128"/>
      <c r="M157" s="128"/>
      <c r="N157" s="126"/>
      <c r="O157" s="127"/>
      <c r="P157" s="127"/>
      <c r="Q157" s="127"/>
      <c r="R157" s="261"/>
      <c r="S157" s="261"/>
      <c r="T157" s="261"/>
      <c r="U157" s="261"/>
      <c r="V157" s="261"/>
      <c r="W157" s="261"/>
      <c r="X157" s="261"/>
      <c r="Y157" s="261"/>
      <c r="Z157" s="261"/>
    </row>
    <row r="158" ht="34.5" customHeight="1">
      <c r="A158" s="111"/>
      <c r="B158" s="127"/>
      <c r="C158" s="127"/>
      <c r="D158" s="111"/>
      <c r="E158" s="111"/>
      <c r="F158" s="270"/>
      <c r="G158" s="111"/>
      <c r="H158" s="257"/>
      <c r="I158" s="111"/>
      <c r="J158" s="111"/>
      <c r="K158" s="127"/>
      <c r="L158" s="128"/>
      <c r="M158" s="128"/>
      <c r="N158" s="126"/>
      <c r="O158" s="127"/>
      <c r="P158" s="127"/>
      <c r="Q158" s="127"/>
      <c r="R158" s="261"/>
      <c r="S158" s="261"/>
      <c r="T158" s="261"/>
      <c r="U158" s="261"/>
      <c r="V158" s="261"/>
      <c r="W158" s="261"/>
      <c r="X158" s="261"/>
      <c r="Y158" s="261"/>
      <c r="Z158" s="261"/>
    </row>
    <row r="159" ht="34.5" customHeight="1">
      <c r="A159" s="111"/>
      <c r="B159" s="127"/>
      <c r="C159" s="127"/>
      <c r="D159" s="111"/>
      <c r="E159" s="111"/>
      <c r="F159" s="270"/>
      <c r="G159" s="111"/>
      <c r="H159" s="257"/>
      <c r="I159" s="111"/>
      <c r="J159" s="111"/>
      <c r="K159" s="127"/>
      <c r="L159" s="128"/>
      <c r="M159" s="128"/>
      <c r="N159" s="126"/>
      <c r="O159" s="127"/>
      <c r="P159" s="127"/>
      <c r="Q159" s="127"/>
      <c r="R159" s="261"/>
      <c r="S159" s="261"/>
      <c r="T159" s="261"/>
      <c r="U159" s="261"/>
      <c r="V159" s="261"/>
      <c r="W159" s="261"/>
      <c r="X159" s="261"/>
      <c r="Y159" s="261"/>
      <c r="Z159" s="261"/>
    </row>
    <row r="160" ht="34.5" customHeight="1">
      <c r="A160" s="111"/>
      <c r="B160" s="127"/>
      <c r="C160" s="127"/>
      <c r="D160" s="111"/>
      <c r="E160" s="111"/>
      <c r="F160" s="270"/>
      <c r="G160" s="111"/>
      <c r="H160" s="257"/>
      <c r="I160" s="111"/>
      <c r="J160" s="111"/>
      <c r="K160" s="127"/>
      <c r="L160" s="128"/>
      <c r="M160" s="128"/>
      <c r="N160" s="126"/>
      <c r="O160" s="127"/>
      <c r="P160" s="127"/>
      <c r="Q160" s="127"/>
      <c r="R160" s="261"/>
      <c r="S160" s="261"/>
      <c r="T160" s="261"/>
      <c r="U160" s="261"/>
      <c r="V160" s="261"/>
      <c r="W160" s="261"/>
      <c r="X160" s="261"/>
      <c r="Y160" s="261"/>
      <c r="Z160" s="261"/>
    </row>
    <row r="161" ht="34.5" customHeight="1">
      <c r="A161" s="111"/>
      <c r="B161" s="127"/>
      <c r="C161" s="127"/>
      <c r="D161" s="111"/>
      <c r="E161" s="111"/>
      <c r="F161" s="270"/>
      <c r="G161" s="111"/>
      <c r="H161" s="257"/>
      <c r="I161" s="111"/>
      <c r="J161" s="111"/>
      <c r="K161" s="127"/>
      <c r="L161" s="128"/>
      <c r="M161" s="128"/>
      <c r="N161" s="126"/>
      <c r="O161" s="127"/>
      <c r="P161" s="127"/>
      <c r="Q161" s="127"/>
      <c r="R161" s="261"/>
      <c r="S161" s="261"/>
      <c r="T161" s="261"/>
      <c r="U161" s="261"/>
      <c r="V161" s="261"/>
      <c r="W161" s="261"/>
      <c r="X161" s="261"/>
      <c r="Y161" s="261"/>
      <c r="Z161" s="261"/>
    </row>
    <row r="162" ht="34.5" customHeight="1">
      <c r="A162" s="111"/>
      <c r="B162" s="127"/>
      <c r="C162" s="127"/>
      <c r="D162" s="111"/>
      <c r="E162" s="111"/>
      <c r="F162" s="270"/>
      <c r="G162" s="111"/>
      <c r="H162" s="257"/>
      <c r="I162" s="111"/>
      <c r="J162" s="111"/>
      <c r="K162" s="127"/>
      <c r="L162" s="128"/>
      <c r="M162" s="128"/>
      <c r="N162" s="126"/>
      <c r="O162" s="127"/>
      <c r="P162" s="127"/>
      <c r="Q162" s="127"/>
      <c r="R162" s="261"/>
      <c r="S162" s="261"/>
      <c r="T162" s="261"/>
      <c r="U162" s="261"/>
      <c r="V162" s="261"/>
      <c r="W162" s="261"/>
      <c r="X162" s="261"/>
      <c r="Y162" s="261"/>
      <c r="Z162" s="261"/>
    </row>
    <row r="163" ht="34.5" customHeight="1">
      <c r="A163" s="111"/>
      <c r="B163" s="127"/>
      <c r="C163" s="127"/>
      <c r="D163" s="111"/>
      <c r="E163" s="111"/>
      <c r="F163" s="270"/>
      <c r="G163" s="111"/>
      <c r="H163" s="257"/>
      <c r="I163" s="111"/>
      <c r="J163" s="111"/>
      <c r="K163" s="127"/>
      <c r="L163" s="128"/>
      <c r="M163" s="128"/>
      <c r="N163" s="126"/>
      <c r="O163" s="127"/>
      <c r="P163" s="127"/>
      <c r="Q163" s="127"/>
      <c r="R163" s="261"/>
      <c r="S163" s="261"/>
      <c r="T163" s="261"/>
      <c r="U163" s="261"/>
      <c r="V163" s="261"/>
      <c r="W163" s="261"/>
      <c r="X163" s="261"/>
      <c r="Y163" s="261"/>
      <c r="Z163" s="261"/>
    </row>
    <row r="164" ht="34.5" customHeight="1">
      <c r="A164" s="111"/>
      <c r="B164" s="127"/>
      <c r="C164" s="127"/>
      <c r="D164" s="111"/>
      <c r="E164" s="111"/>
      <c r="F164" s="270"/>
      <c r="G164" s="111"/>
      <c r="H164" s="257"/>
      <c r="I164" s="111"/>
      <c r="J164" s="111"/>
      <c r="K164" s="127"/>
      <c r="L164" s="128"/>
      <c r="M164" s="128"/>
      <c r="N164" s="126"/>
      <c r="O164" s="127"/>
      <c r="P164" s="127"/>
      <c r="Q164" s="127"/>
      <c r="R164" s="261"/>
      <c r="S164" s="261"/>
      <c r="T164" s="261"/>
      <c r="U164" s="261"/>
      <c r="V164" s="261"/>
      <c r="W164" s="261"/>
      <c r="X164" s="261"/>
      <c r="Y164" s="261"/>
      <c r="Z164" s="261"/>
    </row>
    <row r="165" ht="34.5" customHeight="1">
      <c r="A165" s="111"/>
      <c r="B165" s="127"/>
      <c r="C165" s="127"/>
      <c r="D165" s="111"/>
      <c r="E165" s="111"/>
      <c r="F165" s="270"/>
      <c r="G165" s="111"/>
      <c r="H165" s="257"/>
      <c r="I165" s="111"/>
      <c r="J165" s="111"/>
      <c r="K165" s="127"/>
      <c r="L165" s="128"/>
      <c r="M165" s="128"/>
      <c r="N165" s="126"/>
      <c r="O165" s="127"/>
      <c r="P165" s="127"/>
      <c r="Q165" s="127"/>
      <c r="R165" s="261"/>
      <c r="S165" s="261"/>
      <c r="T165" s="261"/>
      <c r="U165" s="261"/>
      <c r="V165" s="261"/>
      <c r="W165" s="261"/>
      <c r="X165" s="261"/>
      <c r="Y165" s="261"/>
      <c r="Z165" s="261"/>
    </row>
    <row r="166" ht="34.5" customHeight="1">
      <c r="A166" s="111"/>
      <c r="B166" s="127"/>
      <c r="C166" s="127"/>
      <c r="D166" s="111"/>
      <c r="E166" s="111"/>
      <c r="F166" s="270"/>
      <c r="G166" s="111"/>
      <c r="H166" s="257"/>
      <c r="I166" s="111"/>
      <c r="J166" s="111"/>
      <c r="K166" s="127"/>
      <c r="L166" s="128"/>
      <c r="M166" s="128"/>
      <c r="N166" s="126"/>
      <c r="O166" s="127"/>
      <c r="P166" s="127"/>
      <c r="Q166" s="127"/>
      <c r="R166" s="261"/>
      <c r="S166" s="261"/>
      <c r="T166" s="261"/>
      <c r="U166" s="261"/>
      <c r="V166" s="261"/>
      <c r="W166" s="261"/>
      <c r="X166" s="261"/>
      <c r="Y166" s="261"/>
      <c r="Z166" s="261"/>
    </row>
    <row r="167" ht="34.5" customHeight="1">
      <c r="A167" s="111"/>
      <c r="B167" s="127"/>
      <c r="C167" s="127"/>
      <c r="D167" s="111"/>
      <c r="E167" s="111"/>
      <c r="F167" s="270"/>
      <c r="G167" s="111"/>
      <c r="H167" s="257"/>
      <c r="I167" s="111"/>
      <c r="J167" s="111"/>
      <c r="K167" s="127"/>
      <c r="L167" s="128"/>
      <c r="M167" s="128"/>
      <c r="N167" s="126"/>
      <c r="O167" s="127"/>
      <c r="P167" s="127"/>
      <c r="Q167" s="127"/>
      <c r="R167" s="261"/>
      <c r="S167" s="261"/>
      <c r="T167" s="261"/>
      <c r="U167" s="261"/>
      <c r="V167" s="261"/>
      <c r="W167" s="261"/>
      <c r="X167" s="261"/>
      <c r="Y167" s="261"/>
      <c r="Z167" s="261"/>
    </row>
    <row r="168" ht="34.5" customHeight="1">
      <c r="A168" s="111"/>
      <c r="B168" s="127"/>
      <c r="C168" s="127"/>
      <c r="D168" s="111"/>
      <c r="E168" s="111"/>
      <c r="F168" s="270"/>
      <c r="G168" s="111"/>
      <c r="H168" s="257"/>
      <c r="I168" s="111"/>
      <c r="J168" s="111"/>
      <c r="K168" s="127"/>
      <c r="L168" s="128"/>
      <c r="M168" s="128"/>
      <c r="N168" s="126"/>
      <c r="O168" s="127"/>
      <c r="P168" s="127"/>
      <c r="Q168" s="127"/>
      <c r="R168" s="261"/>
      <c r="S168" s="261"/>
      <c r="T168" s="261"/>
      <c r="U168" s="261"/>
      <c r="V168" s="261"/>
      <c r="W168" s="261"/>
      <c r="X168" s="261"/>
      <c r="Y168" s="261"/>
      <c r="Z168" s="261"/>
    </row>
    <row r="169" ht="34.5" customHeight="1">
      <c r="A169" s="111"/>
      <c r="B169" s="127"/>
      <c r="C169" s="127"/>
      <c r="D169" s="111"/>
      <c r="E169" s="111"/>
      <c r="F169" s="270"/>
      <c r="G169" s="111"/>
      <c r="H169" s="257"/>
      <c r="I169" s="111"/>
      <c r="J169" s="111"/>
      <c r="K169" s="127"/>
      <c r="L169" s="128"/>
      <c r="M169" s="128"/>
      <c r="N169" s="126"/>
      <c r="O169" s="127"/>
      <c r="P169" s="127"/>
      <c r="Q169" s="127"/>
      <c r="R169" s="261"/>
      <c r="S169" s="261"/>
      <c r="T169" s="261"/>
      <c r="U169" s="261"/>
      <c r="V169" s="261"/>
      <c r="W169" s="261"/>
      <c r="X169" s="261"/>
      <c r="Y169" s="261"/>
      <c r="Z169" s="261"/>
    </row>
    <row r="170" ht="34.5" customHeight="1">
      <c r="A170" s="111"/>
      <c r="B170" s="127"/>
      <c r="C170" s="127"/>
      <c r="D170" s="111"/>
      <c r="E170" s="111"/>
      <c r="F170" s="270"/>
      <c r="G170" s="111"/>
      <c r="H170" s="257"/>
      <c r="I170" s="111"/>
      <c r="J170" s="111"/>
      <c r="K170" s="127"/>
      <c r="L170" s="128"/>
      <c r="M170" s="128"/>
      <c r="N170" s="126"/>
      <c r="O170" s="127"/>
      <c r="P170" s="127"/>
      <c r="Q170" s="127"/>
      <c r="R170" s="261"/>
      <c r="S170" s="261"/>
      <c r="T170" s="261"/>
      <c r="U170" s="261"/>
      <c r="V170" s="261"/>
      <c r="W170" s="261"/>
      <c r="X170" s="261"/>
      <c r="Y170" s="261"/>
      <c r="Z170" s="261"/>
    </row>
    <row r="171" ht="34.5" customHeight="1">
      <c r="A171" s="111"/>
      <c r="B171" s="127"/>
      <c r="C171" s="127"/>
      <c r="D171" s="111"/>
      <c r="E171" s="111"/>
      <c r="F171" s="270"/>
      <c r="G171" s="111"/>
      <c r="H171" s="257"/>
      <c r="I171" s="111"/>
      <c r="J171" s="111"/>
      <c r="K171" s="127"/>
      <c r="L171" s="128"/>
      <c r="M171" s="128"/>
      <c r="N171" s="126"/>
      <c r="O171" s="127"/>
      <c r="P171" s="127"/>
      <c r="Q171" s="127"/>
      <c r="R171" s="261"/>
      <c r="S171" s="261"/>
      <c r="T171" s="261"/>
      <c r="U171" s="261"/>
      <c r="V171" s="261"/>
      <c r="W171" s="261"/>
      <c r="X171" s="261"/>
      <c r="Y171" s="261"/>
      <c r="Z171" s="261"/>
    </row>
    <row r="172" ht="34.5" customHeight="1">
      <c r="A172" s="111"/>
      <c r="B172" s="127"/>
      <c r="C172" s="127"/>
      <c r="D172" s="111"/>
      <c r="E172" s="111"/>
      <c r="F172" s="270"/>
      <c r="G172" s="111"/>
      <c r="H172" s="257"/>
      <c r="I172" s="111"/>
      <c r="J172" s="111"/>
      <c r="K172" s="127"/>
      <c r="L172" s="128"/>
      <c r="M172" s="128"/>
      <c r="N172" s="126"/>
      <c r="O172" s="127"/>
      <c r="P172" s="127"/>
      <c r="Q172" s="127"/>
      <c r="R172" s="261"/>
      <c r="S172" s="261"/>
      <c r="T172" s="261"/>
      <c r="U172" s="261"/>
      <c r="V172" s="261"/>
      <c r="W172" s="261"/>
      <c r="X172" s="261"/>
      <c r="Y172" s="261"/>
      <c r="Z172" s="261"/>
    </row>
    <row r="173" ht="34.5" customHeight="1">
      <c r="A173" s="111"/>
      <c r="B173" s="127"/>
      <c r="C173" s="127"/>
      <c r="D173" s="111"/>
      <c r="E173" s="111"/>
      <c r="F173" s="270"/>
      <c r="G173" s="111"/>
      <c r="H173" s="257"/>
      <c r="I173" s="111"/>
      <c r="J173" s="111"/>
      <c r="K173" s="127"/>
      <c r="L173" s="128"/>
      <c r="M173" s="128"/>
      <c r="N173" s="126"/>
      <c r="O173" s="127"/>
      <c r="P173" s="127"/>
      <c r="Q173" s="127"/>
      <c r="R173" s="261"/>
      <c r="S173" s="261"/>
      <c r="T173" s="261"/>
      <c r="U173" s="261"/>
      <c r="V173" s="261"/>
      <c r="W173" s="261"/>
      <c r="X173" s="261"/>
      <c r="Y173" s="261"/>
      <c r="Z173" s="261"/>
    </row>
    <row r="174" ht="34.5" customHeight="1">
      <c r="A174" s="111"/>
      <c r="B174" s="127"/>
      <c r="C174" s="127"/>
      <c r="D174" s="111"/>
      <c r="E174" s="111"/>
      <c r="F174" s="270"/>
      <c r="G174" s="111"/>
      <c r="H174" s="257"/>
      <c r="I174" s="111"/>
      <c r="J174" s="111"/>
      <c r="K174" s="127"/>
      <c r="L174" s="128"/>
      <c r="M174" s="128"/>
      <c r="N174" s="126"/>
      <c r="O174" s="127"/>
      <c r="P174" s="127"/>
      <c r="Q174" s="127"/>
      <c r="R174" s="261"/>
      <c r="S174" s="261"/>
      <c r="T174" s="261"/>
      <c r="U174" s="261"/>
      <c r="V174" s="261"/>
      <c r="W174" s="261"/>
      <c r="X174" s="261"/>
      <c r="Y174" s="261"/>
      <c r="Z174" s="261"/>
    </row>
    <row r="175" ht="34.5" customHeight="1">
      <c r="A175" s="111"/>
      <c r="B175" s="127"/>
      <c r="C175" s="127"/>
      <c r="D175" s="111"/>
      <c r="E175" s="111"/>
      <c r="F175" s="270"/>
      <c r="G175" s="111"/>
      <c r="H175" s="257"/>
      <c r="I175" s="111"/>
      <c r="J175" s="111"/>
      <c r="K175" s="127"/>
      <c r="L175" s="128"/>
      <c r="M175" s="128"/>
      <c r="N175" s="126"/>
      <c r="O175" s="127"/>
      <c r="P175" s="127"/>
      <c r="Q175" s="127"/>
      <c r="R175" s="261"/>
      <c r="S175" s="261"/>
      <c r="T175" s="261"/>
      <c r="U175" s="261"/>
      <c r="V175" s="261"/>
      <c r="W175" s="261"/>
      <c r="X175" s="261"/>
      <c r="Y175" s="261"/>
      <c r="Z175" s="261"/>
    </row>
    <row r="176" ht="34.5" customHeight="1">
      <c r="A176" s="111"/>
      <c r="B176" s="127"/>
      <c r="C176" s="127"/>
      <c r="D176" s="111"/>
      <c r="E176" s="111"/>
      <c r="F176" s="270"/>
      <c r="G176" s="111"/>
      <c r="H176" s="257"/>
      <c r="I176" s="111"/>
      <c r="J176" s="111"/>
      <c r="K176" s="127"/>
      <c r="L176" s="128"/>
      <c r="M176" s="128"/>
      <c r="N176" s="126"/>
      <c r="O176" s="127"/>
      <c r="P176" s="127"/>
      <c r="Q176" s="127"/>
      <c r="R176" s="261"/>
      <c r="S176" s="261"/>
      <c r="T176" s="261"/>
      <c r="U176" s="261"/>
      <c r="V176" s="261"/>
      <c r="W176" s="261"/>
      <c r="X176" s="261"/>
      <c r="Y176" s="261"/>
      <c r="Z176" s="261"/>
    </row>
    <row r="177" ht="34.5" customHeight="1">
      <c r="A177" s="111"/>
      <c r="B177" s="127"/>
      <c r="C177" s="127"/>
      <c r="D177" s="111"/>
      <c r="E177" s="111"/>
      <c r="F177" s="270"/>
      <c r="G177" s="111"/>
      <c r="H177" s="257"/>
      <c r="I177" s="111"/>
      <c r="J177" s="111"/>
      <c r="K177" s="127"/>
      <c r="L177" s="128"/>
      <c r="M177" s="128"/>
      <c r="N177" s="126"/>
      <c r="O177" s="127"/>
      <c r="P177" s="127"/>
      <c r="Q177" s="127"/>
      <c r="R177" s="261"/>
      <c r="S177" s="261"/>
      <c r="T177" s="261"/>
      <c r="U177" s="261"/>
      <c r="V177" s="261"/>
      <c r="W177" s="261"/>
      <c r="X177" s="261"/>
      <c r="Y177" s="261"/>
      <c r="Z177" s="261"/>
    </row>
    <row r="178" ht="34.5" customHeight="1">
      <c r="A178" s="111"/>
      <c r="B178" s="127"/>
      <c r="C178" s="127"/>
      <c r="D178" s="111"/>
      <c r="E178" s="111"/>
      <c r="F178" s="270"/>
      <c r="G178" s="111"/>
      <c r="H178" s="257"/>
      <c r="I178" s="111"/>
      <c r="J178" s="111"/>
      <c r="K178" s="127"/>
      <c r="L178" s="128"/>
      <c r="M178" s="128"/>
      <c r="N178" s="126"/>
      <c r="O178" s="127"/>
      <c r="P178" s="127"/>
      <c r="Q178" s="127"/>
      <c r="R178" s="261"/>
      <c r="S178" s="261"/>
      <c r="T178" s="261"/>
      <c r="U178" s="261"/>
      <c r="V178" s="261"/>
      <c r="W178" s="261"/>
      <c r="X178" s="261"/>
      <c r="Y178" s="261"/>
      <c r="Z178" s="261"/>
    </row>
    <row r="179" ht="34.5" customHeight="1">
      <c r="A179" s="111"/>
      <c r="B179" s="127"/>
      <c r="C179" s="127"/>
      <c r="D179" s="111"/>
      <c r="E179" s="111"/>
      <c r="F179" s="270"/>
      <c r="G179" s="111"/>
      <c r="H179" s="257"/>
      <c r="I179" s="111"/>
      <c r="J179" s="111"/>
      <c r="K179" s="127"/>
      <c r="L179" s="128"/>
      <c r="M179" s="128"/>
      <c r="N179" s="126"/>
      <c r="O179" s="127"/>
      <c r="P179" s="127"/>
      <c r="Q179" s="127"/>
      <c r="R179" s="261"/>
      <c r="S179" s="261"/>
      <c r="T179" s="261"/>
      <c r="U179" s="261"/>
      <c r="V179" s="261"/>
      <c r="W179" s="261"/>
      <c r="X179" s="261"/>
      <c r="Y179" s="261"/>
      <c r="Z179" s="261"/>
    </row>
    <row r="180" ht="34.5" customHeight="1">
      <c r="A180" s="111"/>
      <c r="B180" s="127"/>
      <c r="C180" s="127"/>
      <c r="D180" s="111"/>
      <c r="E180" s="111"/>
      <c r="F180" s="270"/>
      <c r="G180" s="111"/>
      <c r="H180" s="257"/>
      <c r="I180" s="111"/>
      <c r="J180" s="111"/>
      <c r="K180" s="127"/>
      <c r="L180" s="128"/>
      <c r="M180" s="128"/>
      <c r="N180" s="126"/>
      <c r="O180" s="127"/>
      <c r="P180" s="127"/>
      <c r="Q180" s="127"/>
      <c r="R180" s="261"/>
      <c r="S180" s="261"/>
      <c r="T180" s="261"/>
      <c r="U180" s="261"/>
      <c r="V180" s="261"/>
      <c r="W180" s="261"/>
      <c r="X180" s="261"/>
      <c r="Y180" s="261"/>
      <c r="Z180" s="261"/>
    </row>
    <row r="181" ht="34.5" customHeight="1">
      <c r="A181" s="111"/>
      <c r="B181" s="127"/>
      <c r="C181" s="127"/>
      <c r="D181" s="111"/>
      <c r="E181" s="111"/>
      <c r="F181" s="270"/>
      <c r="G181" s="111"/>
      <c r="H181" s="257"/>
      <c r="I181" s="111"/>
      <c r="J181" s="111"/>
      <c r="K181" s="127"/>
      <c r="L181" s="128"/>
      <c r="M181" s="128"/>
      <c r="N181" s="126"/>
      <c r="O181" s="127"/>
      <c r="P181" s="127"/>
      <c r="Q181" s="127"/>
      <c r="R181" s="261"/>
      <c r="S181" s="261"/>
      <c r="T181" s="261"/>
      <c r="U181" s="261"/>
      <c r="V181" s="261"/>
      <c r="W181" s="261"/>
      <c r="X181" s="261"/>
      <c r="Y181" s="261"/>
      <c r="Z181" s="261"/>
    </row>
    <row r="182" ht="34.5" customHeight="1">
      <c r="A182" s="111"/>
      <c r="B182" s="127"/>
      <c r="C182" s="127"/>
      <c r="D182" s="111"/>
      <c r="E182" s="111"/>
      <c r="F182" s="270"/>
      <c r="G182" s="111"/>
      <c r="H182" s="257"/>
      <c r="I182" s="111"/>
      <c r="J182" s="111"/>
      <c r="K182" s="127"/>
      <c r="L182" s="128"/>
      <c r="M182" s="128"/>
      <c r="N182" s="126"/>
      <c r="O182" s="127"/>
      <c r="P182" s="127"/>
      <c r="Q182" s="127"/>
      <c r="R182" s="261"/>
      <c r="S182" s="261"/>
      <c r="T182" s="261"/>
      <c r="U182" s="261"/>
      <c r="V182" s="261"/>
      <c r="W182" s="261"/>
      <c r="X182" s="261"/>
      <c r="Y182" s="261"/>
      <c r="Z182" s="261"/>
    </row>
    <row r="183" ht="34.5" customHeight="1">
      <c r="A183" s="111"/>
      <c r="B183" s="127"/>
      <c r="C183" s="127"/>
      <c r="D183" s="111"/>
      <c r="E183" s="111"/>
      <c r="F183" s="270"/>
      <c r="G183" s="111"/>
      <c r="H183" s="257"/>
      <c r="I183" s="111"/>
      <c r="J183" s="111"/>
      <c r="K183" s="127"/>
      <c r="L183" s="128"/>
      <c r="M183" s="128"/>
      <c r="N183" s="126"/>
      <c r="O183" s="127"/>
      <c r="P183" s="127"/>
      <c r="Q183" s="127"/>
      <c r="R183" s="261"/>
      <c r="S183" s="261"/>
      <c r="T183" s="261"/>
      <c r="U183" s="261"/>
      <c r="V183" s="261"/>
      <c r="W183" s="261"/>
      <c r="X183" s="261"/>
      <c r="Y183" s="261"/>
      <c r="Z183" s="261"/>
    </row>
    <row r="184" ht="34.5" customHeight="1">
      <c r="A184" s="111"/>
      <c r="B184" s="127"/>
      <c r="C184" s="127"/>
      <c r="D184" s="111"/>
      <c r="E184" s="111"/>
      <c r="F184" s="270"/>
      <c r="G184" s="111"/>
      <c r="H184" s="257"/>
      <c r="I184" s="111"/>
      <c r="J184" s="111"/>
      <c r="K184" s="127"/>
      <c r="L184" s="128"/>
      <c r="M184" s="128"/>
      <c r="N184" s="126"/>
      <c r="O184" s="127"/>
      <c r="P184" s="127"/>
      <c r="Q184" s="127"/>
      <c r="R184" s="261"/>
      <c r="S184" s="261"/>
      <c r="T184" s="261"/>
      <c r="U184" s="261"/>
      <c r="V184" s="261"/>
      <c r="W184" s="261"/>
      <c r="X184" s="261"/>
      <c r="Y184" s="261"/>
      <c r="Z184" s="261"/>
    </row>
    <row r="185" ht="34.5" customHeight="1">
      <c r="A185" s="111"/>
      <c r="B185" s="127"/>
      <c r="C185" s="127"/>
      <c r="D185" s="111"/>
      <c r="E185" s="111"/>
      <c r="F185" s="270"/>
      <c r="G185" s="111"/>
      <c r="H185" s="257"/>
      <c r="I185" s="111"/>
      <c r="J185" s="111"/>
      <c r="K185" s="127"/>
      <c r="L185" s="128"/>
      <c r="M185" s="128"/>
      <c r="N185" s="126"/>
      <c r="O185" s="127"/>
      <c r="P185" s="127"/>
      <c r="Q185" s="127"/>
      <c r="R185" s="261"/>
      <c r="S185" s="261"/>
      <c r="T185" s="261"/>
      <c r="U185" s="261"/>
      <c r="V185" s="261"/>
      <c r="W185" s="261"/>
      <c r="X185" s="261"/>
      <c r="Y185" s="261"/>
      <c r="Z185" s="261"/>
    </row>
    <row r="186" ht="34.5" customHeight="1">
      <c r="A186" s="111"/>
      <c r="B186" s="127"/>
      <c r="C186" s="127"/>
      <c r="D186" s="111"/>
      <c r="E186" s="111"/>
      <c r="F186" s="270"/>
      <c r="G186" s="111"/>
      <c r="H186" s="257"/>
      <c r="I186" s="111"/>
      <c r="J186" s="111"/>
      <c r="K186" s="127"/>
      <c r="L186" s="128"/>
      <c r="M186" s="128"/>
      <c r="N186" s="126"/>
      <c r="O186" s="127"/>
      <c r="P186" s="127"/>
      <c r="Q186" s="127"/>
      <c r="R186" s="261"/>
      <c r="S186" s="261"/>
      <c r="T186" s="261"/>
      <c r="U186" s="261"/>
      <c r="V186" s="261"/>
      <c r="W186" s="261"/>
      <c r="X186" s="261"/>
      <c r="Y186" s="261"/>
      <c r="Z186" s="261"/>
    </row>
    <row r="187" ht="34.5" customHeight="1">
      <c r="A187" s="111"/>
      <c r="B187" s="127"/>
      <c r="C187" s="127"/>
      <c r="D187" s="111"/>
      <c r="E187" s="111"/>
      <c r="F187" s="270"/>
      <c r="G187" s="111"/>
      <c r="H187" s="257"/>
      <c r="I187" s="111"/>
      <c r="J187" s="111"/>
      <c r="K187" s="127"/>
      <c r="L187" s="128"/>
      <c r="M187" s="128"/>
      <c r="N187" s="126"/>
      <c r="O187" s="127"/>
      <c r="P187" s="127"/>
      <c r="Q187" s="127"/>
      <c r="R187" s="261"/>
      <c r="S187" s="261"/>
      <c r="T187" s="261"/>
      <c r="U187" s="261"/>
      <c r="V187" s="261"/>
      <c r="W187" s="261"/>
      <c r="X187" s="261"/>
      <c r="Y187" s="261"/>
      <c r="Z187" s="261"/>
    </row>
    <row r="188" ht="34.5" customHeight="1">
      <c r="A188" s="111"/>
      <c r="B188" s="127"/>
      <c r="C188" s="127"/>
      <c r="D188" s="111"/>
      <c r="E188" s="111"/>
      <c r="F188" s="270"/>
      <c r="G188" s="111"/>
      <c r="H188" s="257"/>
      <c r="I188" s="111"/>
      <c r="J188" s="111"/>
      <c r="K188" s="127"/>
      <c r="L188" s="128"/>
      <c r="M188" s="128"/>
      <c r="N188" s="126"/>
      <c r="O188" s="127"/>
      <c r="P188" s="127"/>
      <c r="Q188" s="127"/>
      <c r="R188" s="261"/>
      <c r="S188" s="261"/>
      <c r="T188" s="261"/>
      <c r="U188" s="261"/>
      <c r="V188" s="261"/>
      <c r="W188" s="261"/>
      <c r="X188" s="261"/>
      <c r="Y188" s="261"/>
      <c r="Z188" s="261"/>
    </row>
    <row r="189" ht="34.5" customHeight="1">
      <c r="A189" s="111"/>
      <c r="B189" s="127"/>
      <c r="C189" s="127"/>
      <c r="D189" s="111"/>
      <c r="E189" s="111"/>
      <c r="F189" s="270"/>
      <c r="G189" s="111"/>
      <c r="H189" s="257"/>
      <c r="I189" s="111"/>
      <c r="J189" s="111"/>
      <c r="K189" s="127"/>
      <c r="L189" s="128"/>
      <c r="M189" s="128"/>
      <c r="N189" s="126"/>
      <c r="O189" s="127"/>
      <c r="P189" s="127"/>
      <c r="Q189" s="127"/>
      <c r="R189" s="261"/>
      <c r="S189" s="261"/>
      <c r="T189" s="261"/>
      <c r="U189" s="261"/>
      <c r="V189" s="261"/>
      <c r="W189" s="261"/>
      <c r="X189" s="261"/>
      <c r="Y189" s="261"/>
      <c r="Z189" s="261"/>
    </row>
    <row r="190" ht="34.5" customHeight="1">
      <c r="A190" s="111"/>
      <c r="B190" s="127"/>
      <c r="C190" s="127"/>
      <c r="D190" s="111"/>
      <c r="E190" s="111"/>
      <c r="F190" s="270"/>
      <c r="G190" s="111"/>
      <c r="H190" s="257"/>
      <c r="I190" s="111"/>
      <c r="J190" s="111"/>
      <c r="K190" s="127"/>
      <c r="L190" s="128"/>
      <c r="M190" s="128"/>
      <c r="N190" s="126"/>
      <c r="O190" s="127"/>
      <c r="P190" s="127"/>
      <c r="Q190" s="127"/>
      <c r="R190" s="261"/>
      <c r="S190" s="261"/>
      <c r="T190" s="261"/>
      <c r="U190" s="261"/>
      <c r="V190" s="261"/>
      <c r="W190" s="261"/>
      <c r="X190" s="261"/>
      <c r="Y190" s="261"/>
      <c r="Z190" s="261"/>
    </row>
    <row r="191" ht="34.5" customHeight="1">
      <c r="A191" s="111"/>
      <c r="B191" s="127"/>
      <c r="C191" s="127"/>
      <c r="D191" s="111"/>
      <c r="E191" s="111"/>
      <c r="F191" s="270"/>
      <c r="G191" s="111"/>
      <c r="H191" s="257"/>
      <c r="I191" s="111"/>
      <c r="J191" s="111"/>
      <c r="K191" s="127"/>
      <c r="L191" s="128"/>
      <c r="M191" s="128"/>
      <c r="N191" s="126"/>
      <c r="O191" s="127"/>
      <c r="P191" s="127"/>
      <c r="Q191" s="127"/>
      <c r="R191" s="261"/>
      <c r="S191" s="261"/>
      <c r="T191" s="261"/>
      <c r="U191" s="261"/>
      <c r="V191" s="261"/>
      <c r="W191" s="261"/>
      <c r="X191" s="261"/>
      <c r="Y191" s="261"/>
      <c r="Z191" s="261"/>
    </row>
    <row r="192" ht="34.5" customHeight="1">
      <c r="A192" s="111"/>
      <c r="B192" s="127"/>
      <c r="C192" s="127"/>
      <c r="D192" s="111"/>
      <c r="E192" s="111"/>
      <c r="F192" s="270"/>
      <c r="G192" s="111"/>
      <c r="H192" s="257"/>
      <c r="I192" s="111"/>
      <c r="J192" s="111"/>
      <c r="K192" s="127"/>
      <c r="L192" s="128"/>
      <c r="M192" s="128"/>
      <c r="N192" s="126"/>
      <c r="O192" s="127"/>
      <c r="P192" s="127"/>
      <c r="Q192" s="127"/>
      <c r="R192" s="261"/>
      <c r="S192" s="261"/>
      <c r="T192" s="261"/>
      <c r="U192" s="261"/>
      <c r="V192" s="261"/>
      <c r="W192" s="261"/>
      <c r="X192" s="261"/>
      <c r="Y192" s="261"/>
      <c r="Z192" s="261"/>
    </row>
    <row r="193" ht="34.5" customHeight="1">
      <c r="A193" s="111"/>
      <c r="B193" s="127"/>
      <c r="C193" s="127"/>
      <c r="D193" s="111"/>
      <c r="E193" s="111"/>
      <c r="F193" s="270"/>
      <c r="G193" s="111"/>
      <c r="H193" s="257"/>
      <c r="I193" s="111"/>
      <c r="J193" s="111"/>
      <c r="K193" s="127"/>
      <c r="L193" s="128"/>
      <c r="M193" s="128"/>
      <c r="N193" s="126"/>
      <c r="O193" s="127"/>
      <c r="P193" s="127"/>
      <c r="Q193" s="127"/>
      <c r="R193" s="261"/>
      <c r="S193" s="261"/>
      <c r="T193" s="261"/>
      <c r="U193" s="261"/>
      <c r="V193" s="261"/>
      <c r="W193" s="261"/>
      <c r="X193" s="261"/>
      <c r="Y193" s="261"/>
      <c r="Z193" s="261"/>
    </row>
    <row r="194" ht="34.5" customHeight="1">
      <c r="A194" s="111"/>
      <c r="B194" s="127"/>
      <c r="C194" s="127"/>
      <c r="D194" s="111"/>
      <c r="E194" s="111"/>
      <c r="F194" s="270"/>
      <c r="G194" s="111"/>
      <c r="H194" s="257"/>
      <c r="I194" s="111"/>
      <c r="J194" s="111"/>
      <c r="K194" s="127"/>
      <c r="L194" s="128"/>
      <c r="M194" s="128"/>
      <c r="N194" s="126"/>
      <c r="O194" s="127"/>
      <c r="P194" s="127"/>
      <c r="Q194" s="127"/>
      <c r="R194" s="261"/>
      <c r="S194" s="261"/>
      <c r="T194" s="261"/>
      <c r="U194" s="261"/>
      <c r="V194" s="261"/>
      <c r="W194" s="261"/>
      <c r="X194" s="261"/>
      <c r="Y194" s="261"/>
      <c r="Z194" s="261"/>
    </row>
    <row r="195" ht="34.5" customHeight="1">
      <c r="A195" s="111"/>
      <c r="B195" s="127"/>
      <c r="C195" s="127"/>
      <c r="D195" s="111"/>
      <c r="E195" s="111"/>
      <c r="F195" s="270"/>
      <c r="G195" s="111"/>
      <c r="H195" s="257"/>
      <c r="I195" s="111"/>
      <c r="J195" s="111"/>
      <c r="K195" s="127"/>
      <c r="L195" s="128"/>
      <c r="M195" s="128"/>
      <c r="N195" s="126"/>
      <c r="O195" s="127"/>
      <c r="P195" s="127"/>
      <c r="Q195" s="127"/>
      <c r="R195" s="261"/>
      <c r="S195" s="261"/>
      <c r="T195" s="261"/>
      <c r="U195" s="261"/>
      <c r="V195" s="261"/>
      <c r="W195" s="261"/>
      <c r="X195" s="261"/>
      <c r="Y195" s="261"/>
      <c r="Z195" s="261"/>
    </row>
    <row r="196" ht="34.5" customHeight="1">
      <c r="A196" s="111"/>
      <c r="B196" s="127"/>
      <c r="C196" s="127"/>
      <c r="D196" s="111"/>
      <c r="E196" s="111"/>
      <c r="F196" s="270"/>
      <c r="G196" s="111"/>
      <c r="H196" s="257"/>
      <c r="I196" s="111"/>
      <c r="J196" s="111"/>
      <c r="K196" s="127"/>
      <c r="L196" s="128"/>
      <c r="M196" s="128"/>
      <c r="N196" s="126"/>
      <c r="O196" s="127"/>
      <c r="P196" s="127"/>
      <c r="Q196" s="127"/>
      <c r="R196" s="261"/>
      <c r="S196" s="261"/>
      <c r="T196" s="261"/>
      <c r="U196" s="261"/>
      <c r="V196" s="261"/>
      <c r="W196" s="261"/>
      <c r="X196" s="261"/>
      <c r="Y196" s="261"/>
      <c r="Z196" s="261"/>
    </row>
    <row r="197" ht="34.5" customHeight="1">
      <c r="A197" s="111"/>
      <c r="B197" s="127"/>
      <c r="C197" s="127"/>
      <c r="D197" s="111"/>
      <c r="E197" s="111"/>
      <c r="F197" s="270"/>
      <c r="G197" s="111"/>
      <c r="H197" s="257"/>
      <c r="I197" s="111"/>
      <c r="J197" s="111"/>
      <c r="K197" s="127"/>
      <c r="L197" s="128"/>
      <c r="M197" s="128"/>
      <c r="N197" s="126"/>
      <c r="O197" s="127"/>
      <c r="P197" s="127"/>
      <c r="Q197" s="127"/>
      <c r="R197" s="261"/>
      <c r="S197" s="261"/>
      <c r="T197" s="261"/>
      <c r="U197" s="261"/>
      <c r="V197" s="261"/>
      <c r="W197" s="261"/>
      <c r="X197" s="261"/>
      <c r="Y197" s="261"/>
      <c r="Z197" s="261"/>
    </row>
    <row r="198" ht="34.5" customHeight="1">
      <c r="A198" s="111"/>
      <c r="B198" s="127"/>
      <c r="C198" s="127"/>
      <c r="D198" s="111"/>
      <c r="E198" s="111"/>
      <c r="F198" s="270"/>
      <c r="G198" s="111"/>
      <c r="H198" s="257"/>
      <c r="I198" s="111"/>
      <c r="J198" s="111"/>
      <c r="K198" s="127"/>
      <c r="L198" s="128"/>
      <c r="M198" s="128"/>
      <c r="N198" s="126"/>
      <c r="O198" s="127"/>
      <c r="P198" s="127"/>
      <c r="Q198" s="127"/>
      <c r="R198" s="261"/>
      <c r="S198" s="261"/>
      <c r="T198" s="261"/>
      <c r="U198" s="261"/>
      <c r="V198" s="261"/>
      <c r="W198" s="261"/>
      <c r="X198" s="261"/>
      <c r="Y198" s="261"/>
      <c r="Z198" s="261"/>
    </row>
    <row r="199" ht="34.5" customHeight="1">
      <c r="A199" s="111"/>
      <c r="B199" s="127"/>
      <c r="C199" s="127"/>
      <c r="D199" s="111"/>
      <c r="E199" s="111"/>
      <c r="F199" s="270"/>
      <c r="G199" s="111"/>
      <c r="H199" s="257"/>
      <c r="I199" s="111"/>
      <c r="J199" s="111"/>
      <c r="K199" s="127"/>
      <c r="L199" s="128"/>
      <c r="M199" s="128"/>
      <c r="N199" s="126"/>
      <c r="O199" s="127"/>
      <c r="P199" s="127"/>
      <c r="Q199" s="127"/>
      <c r="R199" s="261"/>
      <c r="S199" s="261"/>
      <c r="T199" s="261"/>
      <c r="U199" s="261"/>
      <c r="V199" s="261"/>
      <c r="W199" s="261"/>
      <c r="X199" s="261"/>
      <c r="Y199" s="261"/>
      <c r="Z199" s="261"/>
    </row>
    <row r="200" ht="34.5" customHeight="1">
      <c r="A200" s="111"/>
      <c r="B200" s="127"/>
      <c r="C200" s="127"/>
      <c r="D200" s="111"/>
      <c r="E200" s="111"/>
      <c r="F200" s="270"/>
      <c r="G200" s="111"/>
      <c r="H200" s="257"/>
      <c r="I200" s="111"/>
      <c r="J200" s="111"/>
      <c r="K200" s="127"/>
      <c r="L200" s="128"/>
      <c r="M200" s="128"/>
      <c r="N200" s="126"/>
      <c r="O200" s="127"/>
      <c r="P200" s="127"/>
      <c r="Q200" s="127"/>
      <c r="R200" s="261"/>
      <c r="S200" s="261"/>
      <c r="T200" s="261"/>
      <c r="U200" s="261"/>
      <c r="V200" s="261"/>
      <c r="W200" s="261"/>
      <c r="X200" s="261"/>
      <c r="Y200" s="261"/>
      <c r="Z200" s="261"/>
    </row>
    <row r="201" ht="34.5" customHeight="1">
      <c r="A201" s="111"/>
      <c r="B201" s="127"/>
      <c r="C201" s="127"/>
      <c r="D201" s="111"/>
      <c r="E201" s="111"/>
      <c r="F201" s="270"/>
      <c r="G201" s="111"/>
      <c r="H201" s="257"/>
      <c r="I201" s="111"/>
      <c r="J201" s="111"/>
      <c r="K201" s="127"/>
      <c r="L201" s="128"/>
      <c r="M201" s="128"/>
      <c r="N201" s="126"/>
      <c r="O201" s="127"/>
      <c r="P201" s="127"/>
      <c r="Q201" s="127"/>
      <c r="R201" s="261"/>
      <c r="S201" s="261"/>
      <c r="T201" s="261"/>
      <c r="U201" s="261"/>
      <c r="V201" s="261"/>
      <c r="W201" s="261"/>
      <c r="X201" s="261"/>
      <c r="Y201" s="261"/>
      <c r="Z201" s="261"/>
    </row>
    <row r="202" ht="34.5" customHeight="1">
      <c r="A202" s="111"/>
      <c r="B202" s="127"/>
      <c r="C202" s="127"/>
      <c r="D202" s="111"/>
      <c r="E202" s="111"/>
      <c r="F202" s="270"/>
      <c r="G202" s="111"/>
      <c r="H202" s="257"/>
      <c r="I202" s="111"/>
      <c r="J202" s="111"/>
      <c r="K202" s="127"/>
      <c r="L202" s="128"/>
      <c r="M202" s="128"/>
      <c r="N202" s="126"/>
      <c r="O202" s="127"/>
      <c r="P202" s="127"/>
      <c r="Q202" s="127"/>
      <c r="R202" s="261"/>
      <c r="S202" s="261"/>
      <c r="T202" s="261"/>
      <c r="U202" s="261"/>
      <c r="V202" s="261"/>
      <c r="W202" s="261"/>
      <c r="X202" s="261"/>
      <c r="Y202" s="261"/>
      <c r="Z202" s="261"/>
    </row>
    <row r="203" ht="34.5" customHeight="1">
      <c r="A203" s="111"/>
      <c r="B203" s="127"/>
      <c r="C203" s="127"/>
      <c r="D203" s="111"/>
      <c r="E203" s="111"/>
      <c r="F203" s="270"/>
      <c r="G203" s="111"/>
      <c r="H203" s="257"/>
      <c r="I203" s="111"/>
      <c r="J203" s="111"/>
      <c r="K203" s="127"/>
      <c r="L203" s="128"/>
      <c r="M203" s="128"/>
      <c r="N203" s="126"/>
      <c r="O203" s="127"/>
      <c r="P203" s="127"/>
      <c r="Q203" s="127"/>
      <c r="R203" s="261"/>
      <c r="S203" s="261"/>
      <c r="T203" s="261"/>
      <c r="U203" s="261"/>
      <c r="V203" s="261"/>
      <c r="W203" s="261"/>
      <c r="X203" s="261"/>
      <c r="Y203" s="261"/>
      <c r="Z203" s="261"/>
    </row>
    <row r="204" ht="34.5" customHeight="1">
      <c r="A204" s="111"/>
      <c r="B204" s="127"/>
      <c r="C204" s="127"/>
      <c r="D204" s="111"/>
      <c r="E204" s="111"/>
      <c r="F204" s="270"/>
      <c r="G204" s="111"/>
      <c r="H204" s="257"/>
      <c r="I204" s="111"/>
      <c r="J204" s="111"/>
      <c r="K204" s="127"/>
      <c r="L204" s="128"/>
      <c r="M204" s="128"/>
      <c r="N204" s="126"/>
      <c r="O204" s="127"/>
      <c r="P204" s="127"/>
      <c r="Q204" s="127"/>
      <c r="R204" s="261"/>
      <c r="S204" s="261"/>
      <c r="T204" s="261"/>
      <c r="U204" s="261"/>
      <c r="V204" s="261"/>
      <c r="W204" s="261"/>
      <c r="X204" s="261"/>
      <c r="Y204" s="261"/>
      <c r="Z204" s="261"/>
    </row>
    <row r="205" ht="34.5" customHeight="1">
      <c r="A205" s="111"/>
      <c r="B205" s="127"/>
      <c r="C205" s="127"/>
      <c r="D205" s="111"/>
      <c r="E205" s="111"/>
      <c r="F205" s="270"/>
      <c r="G205" s="111"/>
      <c r="H205" s="257"/>
      <c r="I205" s="111"/>
      <c r="J205" s="111"/>
      <c r="K205" s="127"/>
      <c r="L205" s="128"/>
      <c r="M205" s="128"/>
      <c r="N205" s="126"/>
      <c r="O205" s="127"/>
      <c r="P205" s="127"/>
      <c r="Q205" s="127"/>
      <c r="R205" s="261"/>
      <c r="S205" s="261"/>
      <c r="T205" s="261"/>
      <c r="U205" s="261"/>
      <c r="V205" s="261"/>
      <c r="W205" s="261"/>
      <c r="X205" s="261"/>
      <c r="Y205" s="261"/>
      <c r="Z205" s="261"/>
    </row>
    <row r="206" ht="34.5" customHeight="1">
      <c r="A206" s="111"/>
      <c r="B206" s="127"/>
      <c r="C206" s="127"/>
      <c r="D206" s="111"/>
      <c r="E206" s="111"/>
      <c r="F206" s="270"/>
      <c r="G206" s="111"/>
      <c r="H206" s="257"/>
      <c r="I206" s="111"/>
      <c r="J206" s="111"/>
      <c r="K206" s="127"/>
      <c r="L206" s="128"/>
      <c r="M206" s="128"/>
      <c r="N206" s="126"/>
      <c r="O206" s="127"/>
      <c r="P206" s="127"/>
      <c r="Q206" s="127"/>
      <c r="R206" s="261"/>
      <c r="S206" s="261"/>
      <c r="T206" s="261"/>
      <c r="U206" s="261"/>
      <c r="V206" s="261"/>
      <c r="W206" s="261"/>
      <c r="X206" s="261"/>
      <c r="Y206" s="261"/>
      <c r="Z206" s="261"/>
    </row>
    <row r="207" ht="34.5" customHeight="1">
      <c r="A207" s="111"/>
      <c r="B207" s="127"/>
      <c r="C207" s="127"/>
      <c r="D207" s="111"/>
      <c r="E207" s="111"/>
      <c r="F207" s="270"/>
      <c r="G207" s="111"/>
      <c r="H207" s="257"/>
      <c r="I207" s="111"/>
      <c r="J207" s="111"/>
      <c r="K207" s="127"/>
      <c r="L207" s="128"/>
      <c r="M207" s="128"/>
      <c r="N207" s="126"/>
      <c r="O207" s="127"/>
      <c r="P207" s="127"/>
      <c r="Q207" s="127"/>
      <c r="R207" s="261"/>
      <c r="S207" s="261"/>
      <c r="T207" s="261"/>
      <c r="U207" s="261"/>
      <c r="V207" s="261"/>
      <c r="W207" s="261"/>
      <c r="X207" s="261"/>
      <c r="Y207" s="261"/>
      <c r="Z207" s="261"/>
    </row>
    <row r="208" ht="34.5" customHeight="1">
      <c r="A208" s="111"/>
      <c r="B208" s="127"/>
      <c r="C208" s="127"/>
      <c r="D208" s="111"/>
      <c r="E208" s="111"/>
      <c r="F208" s="270"/>
      <c r="G208" s="111"/>
      <c r="H208" s="257"/>
      <c r="I208" s="111"/>
      <c r="J208" s="111"/>
      <c r="K208" s="127"/>
      <c r="L208" s="128"/>
      <c r="M208" s="128"/>
      <c r="N208" s="126"/>
      <c r="O208" s="127"/>
      <c r="P208" s="127"/>
      <c r="Q208" s="127"/>
      <c r="R208" s="261"/>
      <c r="S208" s="261"/>
      <c r="T208" s="261"/>
      <c r="U208" s="261"/>
      <c r="V208" s="261"/>
      <c r="W208" s="261"/>
      <c r="X208" s="261"/>
      <c r="Y208" s="261"/>
      <c r="Z208" s="261"/>
    </row>
    <row r="209" ht="34.5" customHeight="1">
      <c r="A209" s="111"/>
      <c r="B209" s="127"/>
      <c r="C209" s="127"/>
      <c r="D209" s="111"/>
      <c r="E209" s="111"/>
      <c r="F209" s="270"/>
      <c r="G209" s="111"/>
      <c r="H209" s="257"/>
      <c r="I209" s="111"/>
      <c r="J209" s="111"/>
      <c r="K209" s="127"/>
      <c r="L209" s="128"/>
      <c r="M209" s="128"/>
      <c r="N209" s="126"/>
      <c r="O209" s="127"/>
      <c r="P209" s="127"/>
      <c r="Q209" s="127"/>
      <c r="R209" s="261"/>
      <c r="S209" s="261"/>
      <c r="T209" s="261"/>
      <c r="U209" s="261"/>
      <c r="V209" s="261"/>
      <c r="W209" s="261"/>
      <c r="X209" s="261"/>
      <c r="Y209" s="261"/>
      <c r="Z209" s="261"/>
    </row>
    <row r="210" ht="34.5" customHeight="1">
      <c r="A210" s="111"/>
      <c r="B210" s="127"/>
      <c r="C210" s="127"/>
      <c r="D210" s="111"/>
      <c r="E210" s="111"/>
      <c r="F210" s="270"/>
      <c r="G210" s="111"/>
      <c r="H210" s="257"/>
      <c r="I210" s="111"/>
      <c r="J210" s="111"/>
      <c r="K210" s="127"/>
      <c r="L210" s="128"/>
      <c r="M210" s="128"/>
      <c r="N210" s="126"/>
      <c r="O210" s="127"/>
      <c r="P210" s="127"/>
      <c r="Q210" s="127"/>
      <c r="R210" s="261"/>
      <c r="S210" s="261"/>
      <c r="T210" s="261"/>
      <c r="U210" s="261"/>
      <c r="V210" s="261"/>
      <c r="W210" s="261"/>
      <c r="X210" s="261"/>
      <c r="Y210" s="261"/>
      <c r="Z210" s="261"/>
    </row>
    <row r="211" ht="34.5" customHeight="1">
      <c r="A211" s="111"/>
      <c r="B211" s="127"/>
      <c r="C211" s="127"/>
      <c r="D211" s="111"/>
      <c r="E211" s="111"/>
      <c r="F211" s="270"/>
      <c r="G211" s="111"/>
      <c r="H211" s="257"/>
      <c r="I211" s="111"/>
      <c r="J211" s="111"/>
      <c r="K211" s="127"/>
      <c r="L211" s="128"/>
      <c r="M211" s="128"/>
      <c r="N211" s="126"/>
      <c r="O211" s="127"/>
      <c r="P211" s="127"/>
      <c r="Q211" s="127"/>
      <c r="R211" s="261"/>
      <c r="S211" s="261"/>
      <c r="T211" s="261"/>
      <c r="U211" s="261"/>
      <c r="V211" s="261"/>
      <c r="W211" s="261"/>
      <c r="X211" s="261"/>
      <c r="Y211" s="261"/>
      <c r="Z211" s="261"/>
    </row>
    <row r="212" ht="34.5" customHeight="1">
      <c r="A212" s="111"/>
      <c r="B212" s="127"/>
      <c r="C212" s="127"/>
      <c r="D212" s="111"/>
      <c r="E212" s="111"/>
      <c r="F212" s="270"/>
      <c r="G212" s="111"/>
      <c r="H212" s="257"/>
      <c r="I212" s="111"/>
      <c r="J212" s="111"/>
      <c r="K212" s="127"/>
      <c r="L212" s="128"/>
      <c r="M212" s="128"/>
      <c r="N212" s="126"/>
      <c r="O212" s="127"/>
      <c r="P212" s="127"/>
      <c r="Q212" s="127"/>
      <c r="R212" s="261"/>
      <c r="S212" s="261"/>
      <c r="T212" s="261"/>
      <c r="U212" s="261"/>
      <c r="V212" s="261"/>
      <c r="W212" s="261"/>
      <c r="X212" s="261"/>
      <c r="Y212" s="261"/>
      <c r="Z212" s="261"/>
    </row>
    <row r="213" ht="34.5" customHeight="1">
      <c r="A213" s="111"/>
      <c r="B213" s="127"/>
      <c r="C213" s="127"/>
      <c r="D213" s="111"/>
      <c r="E213" s="111"/>
      <c r="F213" s="270"/>
      <c r="G213" s="111"/>
      <c r="H213" s="257"/>
      <c r="I213" s="111"/>
      <c r="J213" s="111"/>
      <c r="K213" s="127"/>
      <c r="L213" s="128"/>
      <c r="M213" s="128"/>
      <c r="N213" s="126"/>
      <c r="O213" s="127"/>
      <c r="P213" s="127"/>
      <c r="Q213" s="127"/>
      <c r="R213" s="261"/>
      <c r="S213" s="261"/>
      <c r="T213" s="261"/>
      <c r="U213" s="261"/>
      <c r="V213" s="261"/>
      <c r="W213" s="261"/>
      <c r="X213" s="261"/>
      <c r="Y213" s="261"/>
      <c r="Z213" s="261"/>
    </row>
    <row r="214" ht="34.5" customHeight="1">
      <c r="A214" s="111"/>
      <c r="B214" s="127"/>
      <c r="C214" s="127"/>
      <c r="D214" s="111"/>
      <c r="E214" s="111"/>
      <c r="F214" s="270"/>
      <c r="G214" s="111"/>
      <c r="H214" s="257"/>
      <c r="I214" s="111"/>
      <c r="J214" s="111"/>
      <c r="K214" s="127"/>
      <c r="L214" s="128"/>
      <c r="M214" s="128"/>
      <c r="N214" s="126"/>
      <c r="O214" s="127"/>
      <c r="P214" s="127"/>
      <c r="Q214" s="127"/>
      <c r="R214" s="261"/>
      <c r="S214" s="261"/>
      <c r="T214" s="261"/>
      <c r="U214" s="261"/>
      <c r="V214" s="261"/>
      <c r="W214" s="261"/>
      <c r="X214" s="261"/>
      <c r="Y214" s="261"/>
      <c r="Z214" s="261"/>
    </row>
    <row r="215" ht="34.5" customHeight="1">
      <c r="A215" s="111"/>
      <c r="B215" s="127"/>
      <c r="C215" s="127"/>
      <c r="D215" s="111"/>
      <c r="E215" s="111"/>
      <c r="F215" s="270"/>
      <c r="G215" s="111"/>
      <c r="H215" s="257"/>
      <c r="I215" s="111"/>
      <c r="J215" s="111"/>
      <c r="K215" s="127"/>
      <c r="L215" s="128"/>
      <c r="M215" s="128"/>
      <c r="N215" s="126"/>
      <c r="O215" s="127"/>
      <c r="P215" s="127"/>
      <c r="Q215" s="127"/>
      <c r="R215" s="261"/>
      <c r="S215" s="261"/>
      <c r="T215" s="261"/>
      <c r="U215" s="261"/>
      <c r="V215" s="261"/>
      <c r="W215" s="261"/>
      <c r="X215" s="261"/>
      <c r="Y215" s="261"/>
      <c r="Z215" s="261"/>
    </row>
    <row r="216" ht="34.5" customHeight="1">
      <c r="A216" s="111"/>
      <c r="B216" s="127"/>
      <c r="C216" s="127"/>
      <c r="D216" s="111"/>
      <c r="E216" s="111"/>
      <c r="F216" s="270"/>
      <c r="G216" s="111"/>
      <c r="H216" s="257"/>
      <c r="I216" s="111"/>
      <c r="J216" s="111"/>
      <c r="K216" s="127"/>
      <c r="L216" s="128"/>
      <c r="M216" s="128"/>
      <c r="N216" s="126"/>
      <c r="O216" s="127"/>
      <c r="P216" s="127"/>
      <c r="Q216" s="127"/>
      <c r="R216" s="261"/>
      <c r="S216" s="261"/>
      <c r="T216" s="261"/>
      <c r="U216" s="261"/>
      <c r="V216" s="261"/>
      <c r="W216" s="261"/>
      <c r="X216" s="261"/>
      <c r="Y216" s="261"/>
      <c r="Z216" s="261"/>
    </row>
    <row r="217" ht="34.5" customHeight="1">
      <c r="A217" s="111"/>
      <c r="B217" s="127"/>
      <c r="C217" s="127"/>
      <c r="D217" s="111"/>
      <c r="E217" s="111"/>
      <c r="F217" s="270"/>
      <c r="G217" s="111"/>
      <c r="H217" s="257"/>
      <c r="I217" s="111"/>
      <c r="J217" s="111"/>
      <c r="K217" s="127"/>
      <c r="L217" s="128"/>
      <c r="M217" s="128"/>
      <c r="N217" s="126"/>
      <c r="O217" s="127"/>
      <c r="P217" s="127"/>
      <c r="Q217" s="127"/>
      <c r="R217" s="261"/>
      <c r="S217" s="261"/>
      <c r="T217" s="261"/>
      <c r="U217" s="261"/>
      <c r="V217" s="261"/>
      <c r="W217" s="261"/>
      <c r="X217" s="261"/>
      <c r="Y217" s="261"/>
      <c r="Z217" s="261"/>
    </row>
    <row r="218" ht="34.5" customHeight="1">
      <c r="A218" s="111"/>
      <c r="B218" s="127"/>
      <c r="C218" s="127"/>
      <c r="D218" s="111"/>
      <c r="E218" s="111"/>
      <c r="F218" s="270"/>
      <c r="G218" s="111"/>
      <c r="H218" s="257"/>
      <c r="I218" s="111"/>
      <c r="J218" s="111"/>
      <c r="K218" s="127"/>
      <c r="L218" s="128"/>
      <c r="M218" s="128"/>
      <c r="N218" s="126"/>
      <c r="O218" s="127"/>
      <c r="P218" s="127"/>
      <c r="Q218" s="127"/>
      <c r="R218" s="261"/>
      <c r="S218" s="261"/>
      <c r="T218" s="261"/>
      <c r="U218" s="261"/>
      <c r="V218" s="261"/>
      <c r="W218" s="261"/>
      <c r="X218" s="261"/>
      <c r="Y218" s="261"/>
      <c r="Z218" s="261"/>
    </row>
    <row r="219" ht="34.5" customHeight="1">
      <c r="A219" s="111"/>
      <c r="B219" s="127"/>
      <c r="C219" s="127"/>
      <c r="D219" s="111"/>
      <c r="E219" s="111"/>
      <c r="F219" s="270"/>
      <c r="G219" s="111"/>
      <c r="H219" s="257"/>
      <c r="I219" s="111"/>
      <c r="J219" s="111"/>
      <c r="K219" s="127"/>
      <c r="L219" s="128"/>
      <c r="M219" s="128"/>
      <c r="N219" s="126"/>
      <c r="O219" s="127"/>
      <c r="P219" s="127"/>
      <c r="Q219" s="127"/>
      <c r="R219" s="261"/>
      <c r="S219" s="261"/>
      <c r="T219" s="261"/>
      <c r="U219" s="261"/>
      <c r="V219" s="261"/>
      <c r="W219" s="261"/>
      <c r="X219" s="261"/>
      <c r="Y219" s="261"/>
      <c r="Z219" s="261"/>
    </row>
    <row r="220" ht="34.5" customHeight="1">
      <c r="A220" s="111"/>
      <c r="B220" s="127"/>
      <c r="C220" s="127"/>
      <c r="D220" s="111"/>
      <c r="E220" s="111"/>
      <c r="F220" s="270"/>
      <c r="G220" s="111"/>
      <c r="H220" s="257"/>
      <c r="I220" s="111"/>
      <c r="J220" s="111"/>
      <c r="K220" s="127"/>
      <c r="L220" s="128"/>
      <c r="M220" s="128"/>
      <c r="N220" s="126"/>
      <c r="O220" s="127"/>
      <c r="P220" s="127"/>
      <c r="Q220" s="127"/>
      <c r="R220" s="261"/>
      <c r="S220" s="261"/>
      <c r="T220" s="261"/>
      <c r="U220" s="261"/>
      <c r="V220" s="261"/>
      <c r="W220" s="261"/>
      <c r="X220" s="261"/>
      <c r="Y220" s="261"/>
      <c r="Z220" s="261"/>
    </row>
    <row r="221" ht="34.5" customHeight="1">
      <c r="A221" s="111"/>
      <c r="B221" s="127"/>
      <c r="C221" s="127"/>
      <c r="D221" s="111"/>
      <c r="E221" s="111"/>
      <c r="F221" s="270"/>
      <c r="G221" s="111"/>
      <c r="H221" s="257"/>
      <c r="I221" s="111"/>
      <c r="J221" s="111"/>
      <c r="K221" s="127"/>
      <c r="L221" s="128"/>
      <c r="M221" s="128"/>
      <c r="N221" s="126"/>
      <c r="O221" s="127"/>
      <c r="P221" s="127"/>
      <c r="Q221" s="127"/>
      <c r="R221" s="261"/>
      <c r="S221" s="261"/>
      <c r="T221" s="261"/>
      <c r="U221" s="261"/>
      <c r="V221" s="261"/>
      <c r="W221" s="261"/>
      <c r="X221" s="261"/>
      <c r="Y221" s="261"/>
      <c r="Z221" s="261"/>
    </row>
    <row r="222" ht="34.5" customHeight="1">
      <c r="A222" s="111"/>
      <c r="B222" s="127"/>
      <c r="C222" s="127"/>
      <c r="D222" s="111"/>
      <c r="E222" s="111"/>
      <c r="F222" s="270"/>
      <c r="G222" s="111"/>
      <c r="H222" s="257"/>
      <c r="I222" s="111"/>
      <c r="J222" s="111"/>
      <c r="K222" s="127"/>
      <c r="L222" s="128"/>
      <c r="M222" s="128"/>
      <c r="N222" s="126"/>
      <c r="O222" s="127"/>
      <c r="P222" s="127"/>
      <c r="Q222" s="127"/>
      <c r="R222" s="261"/>
      <c r="S222" s="261"/>
      <c r="T222" s="261"/>
      <c r="U222" s="261"/>
      <c r="V222" s="261"/>
      <c r="W222" s="261"/>
      <c r="X222" s="261"/>
      <c r="Y222" s="261"/>
      <c r="Z222" s="261"/>
    </row>
    <row r="223" ht="34.5" customHeight="1">
      <c r="A223" s="111"/>
      <c r="B223" s="127"/>
      <c r="C223" s="127"/>
      <c r="D223" s="111"/>
      <c r="E223" s="111"/>
      <c r="F223" s="270"/>
      <c r="G223" s="111"/>
      <c r="H223" s="257"/>
      <c r="I223" s="111"/>
      <c r="J223" s="111"/>
      <c r="K223" s="127"/>
      <c r="L223" s="128"/>
      <c r="M223" s="128"/>
      <c r="N223" s="126"/>
      <c r="O223" s="127"/>
      <c r="P223" s="127"/>
      <c r="Q223" s="127"/>
      <c r="R223" s="261"/>
      <c r="S223" s="261"/>
      <c r="T223" s="261"/>
      <c r="U223" s="261"/>
      <c r="V223" s="261"/>
      <c r="W223" s="261"/>
      <c r="X223" s="261"/>
      <c r="Y223" s="261"/>
      <c r="Z223" s="261"/>
    </row>
    <row r="224" ht="34.5" customHeight="1">
      <c r="A224" s="111"/>
      <c r="B224" s="127"/>
      <c r="C224" s="127"/>
      <c r="D224" s="111"/>
      <c r="E224" s="111"/>
      <c r="F224" s="270"/>
      <c r="G224" s="111"/>
      <c r="H224" s="257"/>
      <c r="I224" s="111"/>
      <c r="J224" s="111"/>
      <c r="K224" s="127"/>
      <c r="L224" s="128"/>
      <c r="M224" s="128"/>
      <c r="N224" s="126"/>
      <c r="O224" s="127"/>
      <c r="P224" s="127"/>
      <c r="Q224" s="127"/>
      <c r="R224" s="261"/>
      <c r="S224" s="261"/>
      <c r="T224" s="261"/>
      <c r="U224" s="261"/>
      <c r="V224" s="261"/>
      <c r="W224" s="261"/>
      <c r="X224" s="261"/>
      <c r="Y224" s="261"/>
      <c r="Z224" s="261"/>
    </row>
    <row r="225" ht="34.5" customHeight="1">
      <c r="A225" s="111"/>
      <c r="B225" s="127"/>
      <c r="C225" s="127"/>
      <c r="D225" s="111"/>
      <c r="E225" s="111"/>
      <c r="F225" s="270"/>
      <c r="G225" s="111"/>
      <c r="H225" s="257"/>
      <c r="I225" s="111"/>
      <c r="J225" s="111"/>
      <c r="K225" s="127"/>
      <c r="L225" s="128"/>
      <c r="M225" s="128"/>
      <c r="N225" s="126"/>
      <c r="O225" s="127"/>
      <c r="P225" s="127"/>
      <c r="Q225" s="127"/>
      <c r="R225" s="261"/>
      <c r="S225" s="261"/>
      <c r="T225" s="261"/>
      <c r="U225" s="261"/>
      <c r="V225" s="261"/>
      <c r="W225" s="261"/>
      <c r="X225" s="261"/>
      <c r="Y225" s="261"/>
      <c r="Z225" s="261"/>
    </row>
    <row r="226" ht="34.5" customHeight="1">
      <c r="A226" s="111"/>
      <c r="B226" s="127"/>
      <c r="C226" s="127"/>
      <c r="D226" s="111"/>
      <c r="E226" s="111"/>
      <c r="F226" s="270"/>
      <c r="G226" s="111"/>
      <c r="H226" s="257"/>
      <c r="I226" s="111"/>
      <c r="J226" s="111"/>
      <c r="K226" s="127"/>
      <c r="L226" s="128"/>
      <c r="M226" s="128"/>
      <c r="N226" s="126"/>
      <c r="O226" s="127"/>
      <c r="P226" s="127"/>
      <c r="Q226" s="127"/>
      <c r="R226" s="261"/>
      <c r="S226" s="261"/>
      <c r="T226" s="261"/>
      <c r="U226" s="261"/>
      <c r="V226" s="261"/>
      <c r="W226" s="261"/>
      <c r="X226" s="261"/>
      <c r="Y226" s="261"/>
      <c r="Z226" s="261"/>
    </row>
    <row r="227" ht="34.5" customHeight="1">
      <c r="A227" s="111"/>
      <c r="B227" s="127"/>
      <c r="C227" s="127"/>
      <c r="D227" s="111"/>
      <c r="E227" s="111"/>
      <c r="F227" s="270"/>
      <c r="G227" s="111"/>
      <c r="H227" s="257"/>
      <c r="I227" s="111"/>
      <c r="J227" s="111"/>
      <c r="K227" s="127"/>
      <c r="L227" s="128"/>
      <c r="M227" s="128"/>
      <c r="N227" s="126"/>
      <c r="O227" s="127"/>
      <c r="P227" s="127"/>
      <c r="Q227" s="127"/>
      <c r="R227" s="261"/>
      <c r="S227" s="261"/>
      <c r="T227" s="261"/>
      <c r="U227" s="261"/>
      <c r="V227" s="261"/>
      <c r="W227" s="261"/>
      <c r="X227" s="261"/>
      <c r="Y227" s="261"/>
      <c r="Z227" s="261"/>
    </row>
    <row r="228" ht="34.5" customHeight="1">
      <c r="A228" s="111"/>
      <c r="B228" s="127"/>
      <c r="C228" s="127"/>
      <c r="D228" s="111"/>
      <c r="E228" s="111"/>
      <c r="F228" s="270"/>
      <c r="G228" s="111"/>
      <c r="H228" s="257"/>
      <c r="I228" s="111"/>
      <c r="J228" s="111"/>
      <c r="K228" s="127"/>
      <c r="L228" s="128"/>
      <c r="M228" s="128"/>
      <c r="N228" s="126"/>
      <c r="O228" s="127"/>
      <c r="P228" s="127"/>
      <c r="Q228" s="127"/>
      <c r="R228" s="261"/>
      <c r="S228" s="261"/>
      <c r="T228" s="261"/>
      <c r="U228" s="261"/>
      <c r="V228" s="261"/>
      <c r="W228" s="261"/>
      <c r="X228" s="261"/>
      <c r="Y228" s="261"/>
      <c r="Z228" s="261"/>
    </row>
    <row r="229" ht="34.5" customHeight="1">
      <c r="A229" s="111"/>
      <c r="B229" s="127"/>
      <c r="C229" s="127"/>
      <c r="D229" s="111"/>
      <c r="E229" s="111"/>
      <c r="F229" s="270"/>
      <c r="G229" s="111"/>
      <c r="H229" s="257"/>
      <c r="I229" s="111"/>
      <c r="J229" s="111"/>
      <c r="K229" s="127"/>
      <c r="L229" s="128"/>
      <c r="M229" s="128"/>
      <c r="N229" s="126"/>
      <c r="O229" s="127"/>
      <c r="P229" s="127"/>
      <c r="Q229" s="127"/>
      <c r="R229" s="261"/>
      <c r="S229" s="261"/>
      <c r="T229" s="261"/>
      <c r="U229" s="261"/>
      <c r="V229" s="261"/>
      <c r="W229" s="261"/>
      <c r="X229" s="261"/>
      <c r="Y229" s="261"/>
      <c r="Z229" s="261"/>
    </row>
    <row r="230" ht="34.5" customHeight="1">
      <c r="A230" s="111"/>
      <c r="B230" s="127"/>
      <c r="C230" s="127"/>
      <c r="D230" s="111"/>
      <c r="E230" s="111"/>
      <c r="F230" s="270"/>
      <c r="G230" s="111"/>
      <c r="H230" s="257"/>
      <c r="I230" s="111"/>
      <c r="J230" s="111"/>
      <c r="K230" s="127"/>
      <c r="L230" s="128"/>
      <c r="M230" s="128"/>
      <c r="N230" s="126"/>
      <c r="O230" s="127"/>
      <c r="P230" s="127"/>
      <c r="Q230" s="127"/>
      <c r="R230" s="261"/>
      <c r="S230" s="261"/>
      <c r="T230" s="261"/>
      <c r="U230" s="261"/>
      <c r="V230" s="261"/>
      <c r="W230" s="261"/>
      <c r="X230" s="261"/>
      <c r="Y230" s="261"/>
      <c r="Z230" s="261"/>
    </row>
    <row r="231" ht="34.5" customHeight="1">
      <c r="A231" s="111"/>
      <c r="B231" s="127"/>
      <c r="C231" s="127"/>
      <c r="D231" s="111"/>
      <c r="E231" s="111"/>
      <c r="F231" s="270"/>
      <c r="G231" s="111"/>
      <c r="H231" s="257"/>
      <c r="I231" s="111"/>
      <c r="J231" s="111"/>
      <c r="K231" s="127"/>
      <c r="L231" s="128"/>
      <c r="M231" s="128"/>
      <c r="N231" s="126"/>
      <c r="O231" s="127"/>
      <c r="P231" s="127"/>
      <c r="Q231" s="127"/>
      <c r="R231" s="261"/>
      <c r="S231" s="261"/>
      <c r="T231" s="261"/>
      <c r="U231" s="261"/>
      <c r="V231" s="261"/>
      <c r="W231" s="261"/>
      <c r="X231" s="261"/>
      <c r="Y231" s="261"/>
      <c r="Z231" s="261"/>
    </row>
    <row r="232" ht="34.5" customHeight="1">
      <c r="A232" s="111"/>
      <c r="B232" s="127"/>
      <c r="C232" s="127"/>
      <c r="D232" s="111"/>
      <c r="E232" s="111"/>
      <c r="F232" s="270"/>
      <c r="G232" s="111"/>
      <c r="H232" s="257"/>
      <c r="I232" s="111"/>
      <c r="J232" s="111"/>
      <c r="K232" s="127"/>
      <c r="L232" s="128"/>
      <c r="M232" s="128"/>
      <c r="N232" s="126"/>
      <c r="O232" s="127"/>
      <c r="P232" s="127"/>
      <c r="Q232" s="127"/>
      <c r="R232" s="261"/>
      <c r="S232" s="261"/>
      <c r="T232" s="261"/>
      <c r="U232" s="261"/>
      <c r="V232" s="261"/>
      <c r="W232" s="261"/>
      <c r="X232" s="261"/>
      <c r="Y232" s="261"/>
      <c r="Z232" s="261"/>
    </row>
    <row r="233" ht="34.5" customHeight="1">
      <c r="A233" s="111"/>
      <c r="B233" s="127"/>
      <c r="C233" s="127"/>
      <c r="D233" s="111"/>
      <c r="E233" s="111"/>
      <c r="F233" s="270"/>
      <c r="G233" s="111"/>
      <c r="H233" s="257"/>
      <c r="I233" s="111"/>
      <c r="J233" s="111"/>
      <c r="K233" s="127"/>
      <c r="L233" s="128"/>
      <c r="M233" s="128"/>
      <c r="N233" s="126"/>
      <c r="O233" s="127"/>
      <c r="P233" s="127"/>
      <c r="Q233" s="127"/>
      <c r="R233" s="261"/>
      <c r="S233" s="261"/>
      <c r="T233" s="261"/>
      <c r="U233" s="261"/>
      <c r="V233" s="261"/>
      <c r="W233" s="261"/>
      <c r="X233" s="261"/>
      <c r="Y233" s="261"/>
      <c r="Z233" s="261"/>
    </row>
    <row r="234" ht="34.5" customHeight="1">
      <c r="A234" s="111"/>
      <c r="B234" s="127"/>
      <c r="C234" s="127"/>
      <c r="D234" s="111"/>
      <c r="E234" s="111"/>
      <c r="F234" s="270"/>
      <c r="G234" s="111"/>
      <c r="H234" s="257"/>
      <c r="I234" s="111"/>
      <c r="J234" s="111"/>
      <c r="K234" s="127"/>
      <c r="L234" s="128"/>
      <c r="M234" s="128"/>
      <c r="N234" s="126"/>
      <c r="O234" s="127"/>
      <c r="P234" s="127"/>
      <c r="Q234" s="127"/>
      <c r="R234" s="261"/>
      <c r="S234" s="261"/>
      <c r="T234" s="261"/>
      <c r="U234" s="261"/>
      <c r="V234" s="261"/>
      <c r="W234" s="261"/>
      <c r="X234" s="261"/>
      <c r="Y234" s="261"/>
      <c r="Z234" s="261"/>
    </row>
    <row r="235" ht="34.5" customHeight="1">
      <c r="A235" s="111"/>
      <c r="B235" s="127"/>
      <c r="C235" s="127"/>
      <c r="D235" s="111"/>
      <c r="E235" s="111"/>
      <c r="F235" s="270"/>
      <c r="G235" s="111"/>
      <c r="H235" s="257"/>
      <c r="I235" s="111"/>
      <c r="J235" s="111"/>
      <c r="K235" s="127"/>
      <c r="L235" s="128"/>
      <c r="M235" s="128"/>
      <c r="N235" s="126"/>
      <c r="O235" s="127"/>
      <c r="P235" s="127"/>
      <c r="Q235" s="127"/>
      <c r="R235" s="261"/>
      <c r="S235" s="261"/>
      <c r="T235" s="261"/>
      <c r="U235" s="261"/>
      <c r="V235" s="261"/>
      <c r="W235" s="261"/>
      <c r="X235" s="261"/>
      <c r="Y235" s="261"/>
      <c r="Z235" s="261"/>
    </row>
    <row r="236" ht="34.5" customHeight="1">
      <c r="A236" s="111"/>
      <c r="B236" s="127"/>
      <c r="C236" s="127"/>
      <c r="D236" s="111"/>
      <c r="E236" s="111"/>
      <c r="F236" s="270"/>
      <c r="G236" s="111"/>
      <c r="H236" s="257"/>
      <c r="I236" s="111"/>
      <c r="J236" s="111"/>
      <c r="K236" s="127"/>
      <c r="L236" s="128"/>
      <c r="M236" s="128"/>
      <c r="N236" s="126"/>
      <c r="O236" s="127"/>
      <c r="P236" s="127"/>
      <c r="Q236" s="127"/>
      <c r="R236" s="261"/>
      <c r="S236" s="261"/>
      <c r="T236" s="261"/>
      <c r="U236" s="261"/>
      <c r="V236" s="261"/>
      <c r="W236" s="261"/>
      <c r="X236" s="261"/>
      <c r="Y236" s="261"/>
      <c r="Z236" s="261"/>
    </row>
    <row r="237" ht="34.5" customHeight="1">
      <c r="A237" s="111"/>
      <c r="B237" s="127"/>
      <c r="C237" s="127"/>
      <c r="D237" s="111"/>
      <c r="E237" s="111"/>
      <c r="F237" s="270"/>
      <c r="G237" s="111"/>
      <c r="H237" s="257"/>
      <c r="I237" s="111"/>
      <c r="J237" s="111"/>
      <c r="K237" s="127"/>
      <c r="L237" s="128"/>
      <c r="M237" s="128"/>
      <c r="N237" s="126"/>
      <c r="O237" s="127"/>
      <c r="P237" s="127"/>
      <c r="Q237" s="127"/>
      <c r="R237" s="261"/>
      <c r="S237" s="261"/>
      <c r="T237" s="261"/>
      <c r="U237" s="261"/>
      <c r="V237" s="261"/>
      <c r="W237" s="261"/>
      <c r="X237" s="261"/>
      <c r="Y237" s="261"/>
      <c r="Z237" s="261"/>
    </row>
    <row r="238" ht="34.5" customHeight="1">
      <c r="A238" s="111"/>
      <c r="B238" s="127"/>
      <c r="C238" s="127"/>
      <c r="D238" s="111"/>
      <c r="E238" s="111"/>
      <c r="F238" s="270"/>
      <c r="G238" s="111"/>
      <c r="H238" s="257"/>
      <c r="I238" s="111"/>
      <c r="J238" s="111"/>
      <c r="K238" s="127"/>
      <c r="L238" s="128"/>
      <c r="M238" s="128"/>
      <c r="N238" s="126"/>
      <c r="O238" s="127"/>
      <c r="P238" s="127"/>
      <c r="Q238" s="127"/>
      <c r="R238" s="261"/>
      <c r="S238" s="261"/>
      <c r="T238" s="261"/>
      <c r="U238" s="261"/>
      <c r="V238" s="261"/>
      <c r="W238" s="261"/>
      <c r="X238" s="261"/>
      <c r="Y238" s="261"/>
      <c r="Z238" s="261"/>
    </row>
    <row r="239" ht="34.5" customHeight="1">
      <c r="A239" s="111"/>
      <c r="B239" s="127"/>
      <c r="C239" s="127"/>
      <c r="D239" s="111"/>
      <c r="E239" s="111"/>
      <c r="F239" s="270"/>
      <c r="G239" s="111"/>
      <c r="H239" s="257"/>
      <c r="I239" s="111"/>
      <c r="J239" s="111"/>
      <c r="K239" s="127"/>
      <c r="L239" s="128"/>
      <c r="M239" s="128"/>
      <c r="N239" s="126"/>
      <c r="O239" s="127"/>
      <c r="P239" s="127"/>
      <c r="Q239" s="127"/>
      <c r="R239" s="261"/>
      <c r="S239" s="261"/>
      <c r="T239" s="261"/>
      <c r="U239" s="261"/>
      <c r="V239" s="261"/>
      <c r="W239" s="261"/>
      <c r="X239" s="261"/>
      <c r="Y239" s="261"/>
      <c r="Z239" s="261"/>
    </row>
    <row r="240" ht="34.5" customHeight="1">
      <c r="A240" s="111"/>
      <c r="B240" s="127"/>
      <c r="C240" s="127"/>
      <c r="D240" s="111"/>
      <c r="E240" s="111"/>
      <c r="F240" s="270"/>
      <c r="G240" s="111"/>
      <c r="H240" s="257"/>
      <c r="I240" s="111"/>
      <c r="J240" s="111"/>
      <c r="K240" s="127"/>
      <c r="L240" s="128"/>
      <c r="M240" s="128"/>
      <c r="N240" s="126"/>
      <c r="O240" s="127"/>
      <c r="P240" s="127"/>
      <c r="Q240" s="127"/>
      <c r="R240" s="261"/>
      <c r="S240" s="261"/>
      <c r="T240" s="261"/>
      <c r="U240" s="261"/>
      <c r="V240" s="261"/>
      <c r="W240" s="261"/>
      <c r="X240" s="261"/>
      <c r="Y240" s="261"/>
      <c r="Z240" s="261"/>
    </row>
    <row r="241" ht="34.5" customHeight="1">
      <c r="A241" s="111"/>
      <c r="B241" s="127"/>
      <c r="C241" s="127"/>
      <c r="D241" s="111"/>
      <c r="E241" s="111"/>
      <c r="F241" s="270"/>
      <c r="G241" s="111"/>
      <c r="H241" s="257"/>
      <c r="I241" s="111"/>
      <c r="J241" s="111"/>
      <c r="K241" s="127"/>
      <c r="L241" s="128"/>
      <c r="M241" s="128"/>
      <c r="N241" s="126"/>
      <c r="O241" s="127"/>
      <c r="P241" s="127"/>
      <c r="Q241" s="127"/>
      <c r="R241" s="261"/>
      <c r="S241" s="261"/>
      <c r="T241" s="261"/>
      <c r="U241" s="261"/>
      <c r="V241" s="261"/>
      <c r="W241" s="261"/>
      <c r="X241" s="261"/>
      <c r="Y241" s="261"/>
      <c r="Z241" s="261"/>
    </row>
    <row r="242" ht="34.5" customHeight="1">
      <c r="A242" s="111"/>
      <c r="B242" s="127"/>
      <c r="C242" s="127"/>
      <c r="D242" s="111"/>
      <c r="E242" s="111"/>
      <c r="F242" s="270"/>
      <c r="G242" s="111"/>
      <c r="H242" s="257"/>
      <c r="I242" s="111"/>
      <c r="J242" s="111"/>
      <c r="K242" s="127"/>
      <c r="L242" s="128"/>
      <c r="M242" s="128"/>
      <c r="N242" s="126"/>
      <c r="O242" s="127"/>
      <c r="P242" s="127"/>
      <c r="Q242" s="127"/>
      <c r="R242" s="261"/>
      <c r="S242" s="261"/>
      <c r="T242" s="261"/>
      <c r="U242" s="261"/>
      <c r="V242" s="261"/>
      <c r="W242" s="261"/>
      <c r="X242" s="261"/>
      <c r="Y242" s="261"/>
      <c r="Z242" s="261"/>
    </row>
    <row r="243" ht="34.5" customHeight="1">
      <c r="A243" s="111"/>
      <c r="B243" s="127"/>
      <c r="C243" s="127"/>
      <c r="D243" s="111"/>
      <c r="E243" s="111"/>
      <c r="F243" s="270"/>
      <c r="G243" s="111"/>
      <c r="H243" s="257"/>
      <c r="I243" s="111"/>
      <c r="J243" s="111"/>
      <c r="K243" s="127"/>
      <c r="L243" s="128"/>
      <c r="M243" s="128"/>
      <c r="N243" s="126"/>
      <c r="O243" s="127"/>
      <c r="P243" s="127"/>
      <c r="Q243" s="127"/>
      <c r="R243" s="261"/>
      <c r="S243" s="261"/>
      <c r="T243" s="261"/>
      <c r="U243" s="261"/>
      <c r="V243" s="261"/>
      <c r="W243" s="261"/>
      <c r="X243" s="261"/>
      <c r="Y243" s="261"/>
      <c r="Z243" s="261"/>
    </row>
    <row r="244" ht="34.5" customHeight="1">
      <c r="A244" s="111"/>
      <c r="B244" s="127"/>
      <c r="C244" s="127"/>
      <c r="D244" s="111"/>
      <c r="E244" s="111"/>
      <c r="F244" s="270"/>
      <c r="G244" s="111"/>
      <c r="H244" s="257"/>
      <c r="I244" s="111"/>
      <c r="J244" s="111"/>
      <c r="K244" s="127"/>
      <c r="L244" s="128"/>
      <c r="M244" s="128"/>
      <c r="N244" s="126"/>
      <c r="O244" s="127"/>
      <c r="P244" s="127"/>
      <c r="Q244" s="127"/>
      <c r="R244" s="261"/>
      <c r="S244" s="261"/>
      <c r="T244" s="261"/>
      <c r="U244" s="261"/>
      <c r="V244" s="261"/>
      <c r="W244" s="261"/>
      <c r="X244" s="261"/>
      <c r="Y244" s="261"/>
      <c r="Z244" s="261"/>
    </row>
    <row r="245" ht="34.5" customHeight="1">
      <c r="A245" s="111"/>
      <c r="B245" s="127"/>
      <c r="C245" s="127"/>
      <c r="D245" s="111"/>
      <c r="E245" s="111"/>
      <c r="F245" s="270"/>
      <c r="G245" s="111"/>
      <c r="H245" s="257"/>
      <c r="I245" s="111"/>
      <c r="J245" s="111"/>
      <c r="K245" s="127"/>
      <c r="L245" s="128"/>
      <c r="M245" s="128"/>
      <c r="N245" s="126"/>
      <c r="O245" s="127"/>
      <c r="P245" s="127"/>
      <c r="Q245" s="127"/>
      <c r="R245" s="261"/>
      <c r="S245" s="261"/>
      <c r="T245" s="261"/>
      <c r="U245" s="261"/>
      <c r="V245" s="261"/>
      <c r="W245" s="261"/>
      <c r="X245" s="261"/>
      <c r="Y245" s="261"/>
      <c r="Z245" s="261"/>
    </row>
    <row r="246" ht="34.5" customHeight="1">
      <c r="A246" s="111"/>
      <c r="B246" s="127"/>
      <c r="C246" s="127"/>
      <c r="D246" s="111"/>
      <c r="E246" s="111"/>
      <c r="F246" s="270"/>
      <c r="G246" s="111"/>
      <c r="H246" s="257"/>
      <c r="I246" s="111"/>
      <c r="J246" s="111"/>
      <c r="K246" s="127"/>
      <c r="L246" s="128"/>
      <c r="M246" s="128"/>
      <c r="N246" s="126"/>
      <c r="O246" s="127"/>
      <c r="P246" s="127"/>
      <c r="Q246" s="127"/>
      <c r="R246" s="261"/>
      <c r="S246" s="261"/>
      <c r="T246" s="261"/>
      <c r="U246" s="261"/>
      <c r="V246" s="261"/>
      <c r="W246" s="261"/>
      <c r="X246" s="261"/>
      <c r="Y246" s="261"/>
      <c r="Z246" s="261"/>
    </row>
    <row r="247" ht="34.5" customHeight="1">
      <c r="A247" s="111"/>
      <c r="B247" s="127"/>
      <c r="C247" s="127"/>
      <c r="D247" s="111"/>
      <c r="E247" s="111"/>
      <c r="F247" s="270"/>
      <c r="G247" s="111"/>
      <c r="H247" s="257"/>
      <c r="I247" s="111"/>
      <c r="J247" s="111"/>
      <c r="K247" s="127"/>
      <c r="L247" s="128"/>
      <c r="M247" s="128"/>
      <c r="N247" s="126"/>
      <c r="O247" s="127"/>
      <c r="P247" s="127"/>
      <c r="Q247" s="127"/>
      <c r="R247" s="261"/>
      <c r="S247" s="261"/>
      <c r="T247" s="261"/>
      <c r="U247" s="261"/>
      <c r="V247" s="261"/>
      <c r="W247" s="261"/>
      <c r="X247" s="261"/>
      <c r="Y247" s="261"/>
      <c r="Z247" s="261"/>
    </row>
    <row r="248" ht="34.5" customHeight="1">
      <c r="A248" s="111"/>
      <c r="B248" s="127"/>
      <c r="C248" s="127"/>
      <c r="D248" s="111"/>
      <c r="E248" s="111"/>
      <c r="F248" s="270"/>
      <c r="G248" s="111"/>
      <c r="H248" s="257"/>
      <c r="I248" s="111"/>
      <c r="J248" s="111"/>
      <c r="K248" s="127"/>
      <c r="L248" s="128"/>
      <c r="M248" s="128"/>
      <c r="N248" s="126"/>
      <c r="O248" s="127"/>
      <c r="P248" s="127"/>
      <c r="Q248" s="127"/>
      <c r="R248" s="261"/>
      <c r="S248" s="261"/>
      <c r="T248" s="261"/>
      <c r="U248" s="261"/>
      <c r="V248" s="261"/>
      <c r="W248" s="261"/>
      <c r="X248" s="261"/>
      <c r="Y248" s="261"/>
      <c r="Z248" s="261"/>
    </row>
    <row r="249" ht="34.5" customHeight="1">
      <c r="A249" s="111"/>
      <c r="B249" s="127"/>
      <c r="C249" s="127"/>
      <c r="D249" s="111"/>
      <c r="E249" s="111"/>
      <c r="F249" s="270"/>
      <c r="G249" s="111"/>
      <c r="H249" s="257"/>
      <c r="I249" s="111"/>
      <c r="J249" s="111"/>
      <c r="K249" s="127"/>
      <c r="L249" s="128"/>
      <c r="M249" s="128"/>
      <c r="N249" s="126"/>
      <c r="O249" s="127"/>
      <c r="P249" s="127"/>
      <c r="Q249" s="127"/>
      <c r="R249" s="261"/>
      <c r="S249" s="261"/>
      <c r="T249" s="261"/>
      <c r="U249" s="261"/>
      <c r="V249" s="261"/>
      <c r="W249" s="261"/>
      <c r="X249" s="261"/>
      <c r="Y249" s="261"/>
      <c r="Z249" s="261"/>
    </row>
    <row r="250" ht="34.5" customHeight="1">
      <c r="A250" s="111"/>
      <c r="B250" s="127"/>
      <c r="C250" s="127"/>
      <c r="D250" s="111"/>
      <c r="E250" s="111"/>
      <c r="F250" s="270"/>
      <c r="G250" s="111"/>
      <c r="H250" s="257"/>
      <c r="I250" s="111"/>
      <c r="J250" s="111"/>
      <c r="K250" s="127"/>
      <c r="L250" s="128"/>
      <c r="M250" s="128"/>
      <c r="N250" s="126"/>
      <c r="O250" s="127"/>
      <c r="P250" s="127"/>
      <c r="Q250" s="127"/>
      <c r="R250" s="261"/>
      <c r="S250" s="261"/>
      <c r="T250" s="261"/>
      <c r="U250" s="261"/>
      <c r="V250" s="261"/>
      <c r="W250" s="261"/>
      <c r="X250" s="261"/>
      <c r="Y250" s="261"/>
      <c r="Z250" s="261"/>
    </row>
    <row r="251" ht="34.5" customHeight="1">
      <c r="A251" s="111"/>
      <c r="B251" s="127"/>
      <c r="C251" s="127"/>
      <c r="D251" s="111"/>
      <c r="E251" s="111"/>
      <c r="F251" s="270"/>
      <c r="G251" s="111"/>
      <c r="H251" s="257"/>
      <c r="I251" s="111"/>
      <c r="J251" s="111"/>
      <c r="K251" s="127"/>
      <c r="L251" s="128"/>
      <c r="M251" s="128"/>
      <c r="N251" s="126"/>
      <c r="O251" s="127"/>
      <c r="P251" s="127"/>
      <c r="Q251" s="127"/>
      <c r="R251" s="261"/>
      <c r="S251" s="261"/>
      <c r="T251" s="261"/>
      <c r="U251" s="261"/>
      <c r="V251" s="261"/>
      <c r="W251" s="261"/>
      <c r="X251" s="261"/>
      <c r="Y251" s="261"/>
      <c r="Z251" s="261"/>
    </row>
    <row r="252" ht="34.5" customHeight="1">
      <c r="A252" s="111"/>
      <c r="B252" s="127"/>
      <c r="C252" s="127"/>
      <c r="D252" s="111"/>
      <c r="E252" s="111"/>
      <c r="F252" s="270"/>
      <c r="G252" s="111"/>
      <c r="H252" s="257"/>
      <c r="I252" s="111"/>
      <c r="J252" s="111"/>
      <c r="K252" s="127"/>
      <c r="L252" s="128"/>
      <c r="M252" s="128"/>
      <c r="N252" s="126"/>
      <c r="O252" s="127"/>
      <c r="P252" s="127"/>
      <c r="Q252" s="127"/>
      <c r="R252" s="261"/>
      <c r="S252" s="261"/>
      <c r="T252" s="261"/>
      <c r="U252" s="261"/>
      <c r="V252" s="261"/>
      <c r="W252" s="261"/>
      <c r="X252" s="261"/>
      <c r="Y252" s="261"/>
      <c r="Z252" s="261"/>
    </row>
    <row r="253" ht="34.5" customHeight="1">
      <c r="A253" s="111"/>
      <c r="B253" s="127"/>
      <c r="C253" s="127"/>
      <c r="D253" s="111"/>
      <c r="E253" s="111"/>
      <c r="F253" s="270"/>
      <c r="G253" s="111"/>
      <c r="H253" s="257"/>
      <c r="I253" s="111"/>
      <c r="J253" s="111"/>
      <c r="K253" s="127"/>
      <c r="L253" s="128"/>
      <c r="M253" s="128"/>
      <c r="N253" s="126"/>
      <c r="O253" s="127"/>
      <c r="P253" s="127"/>
      <c r="Q253" s="127"/>
      <c r="R253" s="261"/>
      <c r="S253" s="261"/>
      <c r="T253" s="261"/>
      <c r="U253" s="261"/>
      <c r="V253" s="261"/>
      <c r="W253" s="261"/>
      <c r="X253" s="261"/>
      <c r="Y253" s="261"/>
      <c r="Z253" s="261"/>
    </row>
    <row r="254" ht="34.5" customHeight="1">
      <c r="A254" s="111"/>
      <c r="B254" s="127"/>
      <c r="C254" s="127"/>
      <c r="D254" s="111"/>
      <c r="E254" s="111"/>
      <c r="F254" s="270"/>
      <c r="G254" s="111"/>
      <c r="H254" s="257"/>
      <c r="I254" s="111"/>
      <c r="J254" s="111"/>
      <c r="K254" s="127"/>
      <c r="L254" s="128"/>
      <c r="M254" s="128"/>
      <c r="N254" s="126"/>
      <c r="O254" s="127"/>
      <c r="P254" s="127"/>
      <c r="Q254" s="127"/>
      <c r="R254" s="261"/>
      <c r="S254" s="261"/>
      <c r="T254" s="261"/>
      <c r="U254" s="261"/>
      <c r="V254" s="261"/>
      <c r="W254" s="261"/>
      <c r="X254" s="261"/>
      <c r="Y254" s="261"/>
      <c r="Z254" s="261"/>
    </row>
    <row r="255" ht="34.5" customHeight="1">
      <c r="A255" s="111"/>
      <c r="B255" s="127"/>
      <c r="C255" s="127"/>
      <c r="D255" s="111"/>
      <c r="E255" s="111"/>
      <c r="F255" s="270"/>
      <c r="G255" s="111"/>
      <c r="H255" s="257"/>
      <c r="I255" s="111"/>
      <c r="J255" s="111"/>
      <c r="K255" s="127"/>
      <c r="L255" s="128"/>
      <c r="M255" s="128"/>
      <c r="N255" s="126"/>
      <c r="O255" s="127"/>
      <c r="P255" s="127"/>
      <c r="Q255" s="127"/>
      <c r="R255" s="261"/>
      <c r="S255" s="261"/>
      <c r="T255" s="261"/>
      <c r="U255" s="261"/>
      <c r="V255" s="261"/>
      <c r="W255" s="261"/>
      <c r="X255" s="261"/>
      <c r="Y255" s="261"/>
      <c r="Z255" s="261"/>
    </row>
    <row r="256" ht="34.5" customHeight="1">
      <c r="A256" s="111"/>
      <c r="B256" s="127"/>
      <c r="C256" s="127"/>
      <c r="D256" s="111"/>
      <c r="E256" s="111"/>
      <c r="F256" s="270"/>
      <c r="G256" s="111"/>
      <c r="H256" s="257"/>
      <c r="I256" s="111"/>
      <c r="J256" s="111"/>
      <c r="K256" s="127"/>
      <c r="L256" s="128"/>
      <c r="M256" s="128"/>
      <c r="N256" s="126"/>
      <c r="O256" s="127"/>
      <c r="P256" s="127"/>
      <c r="Q256" s="127"/>
      <c r="R256" s="261"/>
      <c r="S256" s="261"/>
      <c r="T256" s="261"/>
      <c r="U256" s="261"/>
      <c r="V256" s="261"/>
      <c r="W256" s="261"/>
      <c r="X256" s="261"/>
      <c r="Y256" s="261"/>
      <c r="Z256" s="261"/>
    </row>
    <row r="257" ht="34.5" customHeight="1">
      <c r="A257" s="111"/>
      <c r="B257" s="127"/>
      <c r="C257" s="127"/>
      <c r="D257" s="111"/>
      <c r="E257" s="111"/>
      <c r="F257" s="270"/>
      <c r="G257" s="111"/>
      <c r="H257" s="257"/>
      <c r="I257" s="111"/>
      <c r="J257" s="111"/>
      <c r="K257" s="127"/>
      <c r="L257" s="128"/>
      <c r="M257" s="128"/>
      <c r="N257" s="126"/>
      <c r="O257" s="127"/>
      <c r="P257" s="127"/>
      <c r="Q257" s="127"/>
      <c r="R257" s="261"/>
      <c r="S257" s="261"/>
      <c r="T257" s="261"/>
      <c r="U257" s="261"/>
      <c r="V257" s="261"/>
      <c r="W257" s="261"/>
      <c r="X257" s="261"/>
      <c r="Y257" s="261"/>
      <c r="Z257" s="261"/>
    </row>
    <row r="258" ht="34.5" customHeight="1">
      <c r="A258" s="111"/>
      <c r="B258" s="127"/>
      <c r="C258" s="127"/>
      <c r="D258" s="111"/>
      <c r="E258" s="111"/>
      <c r="F258" s="270"/>
      <c r="G258" s="111"/>
      <c r="H258" s="257"/>
      <c r="I258" s="111"/>
      <c r="J258" s="111"/>
      <c r="K258" s="127"/>
      <c r="L258" s="128"/>
      <c r="M258" s="128"/>
      <c r="N258" s="126"/>
      <c r="O258" s="127"/>
      <c r="P258" s="127"/>
      <c r="Q258" s="127"/>
      <c r="R258" s="261"/>
      <c r="S258" s="261"/>
      <c r="T258" s="261"/>
      <c r="U258" s="261"/>
      <c r="V258" s="261"/>
      <c r="W258" s="261"/>
      <c r="X258" s="261"/>
      <c r="Y258" s="261"/>
      <c r="Z258" s="261"/>
    </row>
    <row r="259" ht="34.5" customHeight="1">
      <c r="A259" s="111"/>
      <c r="B259" s="127"/>
      <c r="C259" s="127"/>
      <c r="D259" s="111"/>
      <c r="E259" s="111"/>
      <c r="F259" s="270"/>
      <c r="G259" s="111"/>
      <c r="H259" s="257"/>
      <c r="I259" s="111"/>
      <c r="J259" s="111"/>
      <c r="K259" s="127"/>
      <c r="L259" s="128"/>
      <c r="M259" s="128"/>
      <c r="N259" s="126"/>
      <c r="O259" s="127"/>
      <c r="P259" s="127"/>
      <c r="Q259" s="127"/>
      <c r="R259" s="261"/>
      <c r="S259" s="261"/>
      <c r="T259" s="261"/>
      <c r="U259" s="261"/>
      <c r="V259" s="261"/>
      <c r="W259" s="261"/>
      <c r="X259" s="261"/>
      <c r="Y259" s="261"/>
      <c r="Z259" s="261"/>
    </row>
    <row r="260" ht="34.5" customHeight="1">
      <c r="A260" s="111"/>
      <c r="B260" s="127"/>
      <c r="C260" s="127"/>
      <c r="D260" s="111"/>
      <c r="E260" s="111"/>
      <c r="F260" s="270"/>
      <c r="G260" s="111"/>
      <c r="H260" s="257"/>
      <c r="I260" s="111"/>
      <c r="J260" s="111"/>
      <c r="K260" s="127"/>
      <c r="L260" s="128"/>
      <c r="M260" s="128"/>
      <c r="N260" s="126"/>
      <c r="O260" s="127"/>
      <c r="P260" s="127"/>
      <c r="Q260" s="127"/>
      <c r="R260" s="261"/>
      <c r="S260" s="261"/>
      <c r="T260" s="261"/>
      <c r="U260" s="261"/>
      <c r="V260" s="261"/>
      <c r="W260" s="261"/>
      <c r="X260" s="261"/>
      <c r="Y260" s="261"/>
      <c r="Z260" s="261"/>
    </row>
    <row r="261" ht="34.5" customHeight="1">
      <c r="A261" s="111"/>
      <c r="B261" s="127"/>
      <c r="C261" s="127"/>
      <c r="D261" s="111"/>
      <c r="E261" s="111"/>
      <c r="F261" s="270"/>
      <c r="G261" s="111"/>
      <c r="H261" s="257"/>
      <c r="I261" s="111"/>
      <c r="J261" s="111"/>
      <c r="K261" s="127"/>
      <c r="L261" s="128"/>
      <c r="M261" s="128"/>
      <c r="N261" s="126"/>
      <c r="O261" s="127"/>
      <c r="P261" s="127"/>
      <c r="Q261" s="127"/>
      <c r="R261" s="261"/>
      <c r="S261" s="261"/>
      <c r="T261" s="261"/>
      <c r="U261" s="261"/>
      <c r="V261" s="261"/>
      <c r="W261" s="261"/>
      <c r="X261" s="261"/>
      <c r="Y261" s="261"/>
      <c r="Z261" s="261"/>
    </row>
    <row r="262" ht="34.5" customHeight="1">
      <c r="A262" s="111"/>
      <c r="B262" s="127"/>
      <c r="C262" s="127"/>
      <c r="D262" s="111"/>
      <c r="E262" s="111"/>
      <c r="F262" s="270"/>
      <c r="G262" s="111"/>
      <c r="H262" s="257"/>
      <c r="I262" s="111"/>
      <c r="J262" s="111"/>
      <c r="K262" s="127"/>
      <c r="L262" s="128"/>
      <c r="M262" s="128"/>
      <c r="N262" s="126"/>
      <c r="O262" s="127"/>
      <c r="P262" s="127"/>
      <c r="Q262" s="127"/>
      <c r="R262" s="261"/>
      <c r="S262" s="261"/>
      <c r="T262" s="261"/>
      <c r="U262" s="261"/>
      <c r="V262" s="261"/>
      <c r="W262" s="261"/>
      <c r="X262" s="261"/>
      <c r="Y262" s="261"/>
      <c r="Z262" s="261"/>
    </row>
    <row r="263" ht="34.5" customHeight="1">
      <c r="A263" s="111"/>
      <c r="B263" s="127"/>
      <c r="C263" s="127"/>
      <c r="D263" s="111"/>
      <c r="E263" s="111"/>
      <c r="F263" s="270"/>
      <c r="G263" s="111"/>
      <c r="H263" s="257"/>
      <c r="I263" s="111"/>
      <c r="J263" s="111"/>
      <c r="K263" s="127"/>
      <c r="L263" s="128"/>
      <c r="M263" s="128"/>
      <c r="N263" s="126"/>
      <c r="O263" s="127"/>
      <c r="P263" s="127"/>
      <c r="Q263" s="127"/>
      <c r="R263" s="261"/>
      <c r="S263" s="261"/>
      <c r="T263" s="261"/>
      <c r="U263" s="261"/>
      <c r="V263" s="261"/>
      <c r="W263" s="261"/>
      <c r="X263" s="261"/>
      <c r="Y263" s="261"/>
      <c r="Z263" s="261"/>
    </row>
    <row r="264" ht="34.5" customHeight="1">
      <c r="A264" s="111"/>
      <c r="B264" s="127"/>
      <c r="C264" s="127"/>
      <c r="D264" s="111"/>
      <c r="E264" s="111"/>
      <c r="F264" s="270"/>
      <c r="G264" s="111"/>
      <c r="H264" s="257"/>
      <c r="I264" s="111"/>
      <c r="J264" s="111"/>
      <c r="K264" s="127"/>
      <c r="L264" s="128"/>
      <c r="M264" s="128"/>
      <c r="N264" s="126"/>
      <c r="O264" s="127"/>
      <c r="P264" s="127"/>
      <c r="Q264" s="127"/>
      <c r="R264" s="261"/>
      <c r="S264" s="261"/>
      <c r="T264" s="261"/>
      <c r="U264" s="261"/>
      <c r="V264" s="261"/>
      <c r="W264" s="261"/>
      <c r="X264" s="261"/>
      <c r="Y264" s="261"/>
      <c r="Z264" s="261"/>
    </row>
    <row r="265" ht="34.5" customHeight="1">
      <c r="A265" s="111"/>
      <c r="B265" s="127"/>
      <c r="C265" s="127"/>
      <c r="D265" s="111"/>
      <c r="E265" s="111"/>
      <c r="F265" s="270"/>
      <c r="G265" s="111"/>
      <c r="H265" s="257"/>
      <c r="I265" s="111"/>
      <c r="J265" s="111"/>
      <c r="K265" s="127"/>
      <c r="L265" s="128"/>
      <c r="M265" s="128"/>
      <c r="N265" s="126"/>
      <c r="O265" s="127"/>
      <c r="P265" s="127"/>
      <c r="Q265" s="127"/>
      <c r="R265" s="261"/>
      <c r="S265" s="261"/>
      <c r="T265" s="261"/>
      <c r="U265" s="261"/>
      <c r="V265" s="261"/>
      <c r="W265" s="261"/>
      <c r="X265" s="261"/>
      <c r="Y265" s="261"/>
      <c r="Z265" s="261"/>
    </row>
    <row r="266" ht="34.5" customHeight="1">
      <c r="A266" s="111"/>
      <c r="B266" s="127"/>
      <c r="C266" s="127"/>
      <c r="D266" s="111"/>
      <c r="E266" s="111"/>
      <c r="F266" s="270"/>
      <c r="G266" s="111"/>
      <c r="H266" s="257"/>
      <c r="I266" s="111"/>
      <c r="J266" s="111"/>
      <c r="K266" s="127"/>
      <c r="L266" s="128"/>
      <c r="M266" s="128"/>
      <c r="N266" s="126"/>
      <c r="O266" s="127"/>
      <c r="P266" s="127"/>
      <c r="Q266" s="127"/>
      <c r="R266" s="261"/>
      <c r="S266" s="261"/>
      <c r="T266" s="261"/>
      <c r="U266" s="261"/>
      <c r="V266" s="261"/>
      <c r="W266" s="261"/>
      <c r="X266" s="261"/>
      <c r="Y266" s="261"/>
      <c r="Z266" s="261"/>
    </row>
    <row r="267" ht="34.5" customHeight="1">
      <c r="A267" s="111"/>
      <c r="B267" s="127"/>
      <c r="C267" s="127"/>
      <c r="D267" s="111"/>
      <c r="E267" s="111"/>
      <c r="F267" s="270"/>
      <c r="G267" s="111"/>
      <c r="H267" s="257"/>
      <c r="I267" s="111"/>
      <c r="J267" s="111"/>
      <c r="K267" s="127"/>
      <c r="L267" s="128"/>
      <c r="M267" s="128"/>
      <c r="N267" s="126"/>
      <c r="O267" s="127"/>
      <c r="P267" s="127"/>
      <c r="Q267" s="127"/>
      <c r="R267" s="261"/>
      <c r="S267" s="261"/>
      <c r="T267" s="261"/>
      <c r="U267" s="261"/>
      <c r="V267" s="261"/>
      <c r="W267" s="261"/>
      <c r="X267" s="261"/>
      <c r="Y267" s="261"/>
      <c r="Z267" s="261"/>
    </row>
    <row r="268" ht="34.5" customHeight="1">
      <c r="A268" s="111"/>
      <c r="B268" s="127"/>
      <c r="C268" s="127"/>
      <c r="D268" s="111"/>
      <c r="E268" s="111"/>
      <c r="F268" s="270"/>
      <c r="G268" s="111"/>
      <c r="H268" s="257"/>
      <c r="I268" s="111"/>
      <c r="J268" s="111"/>
      <c r="K268" s="127"/>
      <c r="L268" s="128"/>
      <c r="M268" s="128"/>
      <c r="N268" s="126"/>
      <c r="O268" s="127"/>
      <c r="P268" s="127"/>
      <c r="Q268" s="127"/>
      <c r="R268" s="261"/>
      <c r="S268" s="261"/>
      <c r="T268" s="261"/>
      <c r="U268" s="261"/>
      <c r="V268" s="261"/>
      <c r="W268" s="261"/>
      <c r="X268" s="261"/>
      <c r="Y268" s="261"/>
      <c r="Z268" s="261"/>
    </row>
    <row r="269" ht="34.5" customHeight="1">
      <c r="A269" s="111"/>
      <c r="B269" s="127"/>
      <c r="C269" s="127"/>
      <c r="D269" s="111"/>
      <c r="E269" s="111"/>
      <c r="F269" s="270"/>
      <c r="G269" s="111"/>
      <c r="H269" s="257"/>
      <c r="I269" s="111"/>
      <c r="J269" s="111"/>
      <c r="K269" s="127"/>
      <c r="L269" s="128"/>
      <c r="M269" s="128"/>
      <c r="N269" s="126"/>
      <c r="O269" s="127"/>
      <c r="P269" s="127"/>
      <c r="Q269" s="127"/>
      <c r="R269" s="261"/>
      <c r="S269" s="261"/>
      <c r="T269" s="261"/>
      <c r="U269" s="261"/>
      <c r="V269" s="261"/>
      <c r="W269" s="261"/>
      <c r="X269" s="261"/>
      <c r="Y269" s="261"/>
      <c r="Z269" s="261"/>
    </row>
    <row r="270" ht="34.5" customHeight="1">
      <c r="A270" s="111"/>
      <c r="B270" s="127"/>
      <c r="C270" s="127"/>
      <c r="D270" s="111"/>
      <c r="E270" s="111"/>
      <c r="F270" s="270"/>
      <c r="G270" s="111"/>
      <c r="H270" s="257"/>
      <c r="I270" s="111"/>
      <c r="J270" s="111"/>
      <c r="K270" s="127"/>
      <c r="L270" s="128"/>
      <c r="M270" s="128"/>
      <c r="N270" s="126"/>
      <c r="O270" s="127"/>
      <c r="P270" s="127"/>
      <c r="Q270" s="127"/>
      <c r="R270" s="261"/>
      <c r="S270" s="261"/>
      <c r="T270" s="261"/>
      <c r="U270" s="261"/>
      <c r="V270" s="261"/>
      <c r="W270" s="261"/>
      <c r="X270" s="261"/>
      <c r="Y270" s="261"/>
      <c r="Z270" s="261"/>
    </row>
    <row r="271" ht="34.5" customHeight="1">
      <c r="A271" s="111"/>
      <c r="B271" s="127"/>
      <c r="C271" s="127"/>
      <c r="D271" s="111"/>
      <c r="E271" s="111"/>
      <c r="F271" s="270"/>
      <c r="G271" s="111"/>
      <c r="H271" s="257"/>
      <c r="I271" s="111"/>
      <c r="J271" s="111"/>
      <c r="K271" s="127"/>
      <c r="L271" s="128"/>
      <c r="M271" s="128"/>
      <c r="N271" s="126"/>
      <c r="O271" s="127"/>
      <c r="P271" s="127"/>
      <c r="Q271" s="127"/>
      <c r="R271" s="261"/>
      <c r="S271" s="261"/>
      <c r="T271" s="261"/>
      <c r="U271" s="261"/>
      <c r="V271" s="261"/>
      <c r="W271" s="261"/>
      <c r="X271" s="261"/>
      <c r="Y271" s="261"/>
      <c r="Z271" s="261"/>
    </row>
    <row r="272" ht="34.5" customHeight="1">
      <c r="A272" s="111"/>
      <c r="B272" s="127"/>
      <c r="C272" s="127"/>
      <c r="D272" s="111"/>
      <c r="E272" s="111"/>
      <c r="F272" s="270"/>
      <c r="G272" s="111"/>
      <c r="H272" s="257"/>
      <c r="I272" s="111"/>
      <c r="J272" s="111"/>
      <c r="K272" s="127"/>
      <c r="L272" s="128"/>
      <c r="M272" s="128"/>
      <c r="N272" s="126"/>
      <c r="O272" s="127"/>
      <c r="P272" s="127"/>
      <c r="Q272" s="127"/>
      <c r="R272" s="261"/>
      <c r="S272" s="261"/>
      <c r="T272" s="261"/>
      <c r="U272" s="261"/>
      <c r="V272" s="261"/>
      <c r="W272" s="261"/>
      <c r="X272" s="261"/>
      <c r="Y272" s="261"/>
      <c r="Z272" s="261"/>
    </row>
    <row r="273" ht="34.5" customHeight="1">
      <c r="A273" s="111"/>
      <c r="B273" s="127"/>
      <c r="C273" s="127"/>
      <c r="D273" s="111"/>
      <c r="E273" s="111"/>
      <c r="F273" s="270"/>
      <c r="G273" s="111"/>
      <c r="H273" s="257"/>
      <c r="I273" s="111"/>
      <c r="J273" s="111"/>
      <c r="K273" s="127"/>
      <c r="L273" s="128"/>
      <c r="M273" s="128"/>
      <c r="N273" s="126"/>
      <c r="O273" s="127"/>
      <c r="P273" s="127"/>
      <c r="Q273" s="127"/>
      <c r="R273" s="261"/>
      <c r="S273" s="261"/>
      <c r="T273" s="261"/>
      <c r="U273" s="261"/>
      <c r="V273" s="261"/>
      <c r="W273" s="261"/>
      <c r="X273" s="261"/>
      <c r="Y273" s="261"/>
      <c r="Z273" s="261"/>
    </row>
    <row r="274" ht="34.5" customHeight="1">
      <c r="A274" s="111"/>
      <c r="B274" s="127"/>
      <c r="C274" s="127"/>
      <c r="D274" s="111"/>
      <c r="E274" s="111"/>
      <c r="F274" s="270"/>
      <c r="G274" s="111"/>
      <c r="H274" s="257"/>
      <c r="I274" s="111"/>
      <c r="J274" s="111"/>
      <c r="K274" s="127"/>
      <c r="L274" s="128"/>
      <c r="M274" s="128"/>
      <c r="N274" s="126"/>
      <c r="O274" s="127"/>
      <c r="P274" s="127"/>
      <c r="Q274" s="127"/>
      <c r="R274" s="261"/>
      <c r="S274" s="261"/>
      <c r="T274" s="261"/>
      <c r="U274" s="261"/>
      <c r="V274" s="261"/>
      <c r="W274" s="261"/>
      <c r="X274" s="261"/>
      <c r="Y274" s="261"/>
      <c r="Z274" s="261"/>
    </row>
    <row r="275" ht="34.5" customHeight="1">
      <c r="A275" s="111"/>
      <c r="B275" s="127"/>
      <c r="C275" s="127"/>
      <c r="D275" s="111"/>
      <c r="E275" s="111"/>
      <c r="F275" s="270"/>
      <c r="G275" s="111"/>
      <c r="H275" s="257"/>
      <c r="I275" s="111"/>
      <c r="J275" s="111"/>
      <c r="K275" s="127"/>
      <c r="L275" s="128"/>
      <c r="M275" s="128"/>
      <c r="N275" s="126"/>
      <c r="O275" s="127"/>
      <c r="P275" s="127"/>
      <c r="Q275" s="127"/>
      <c r="R275" s="261"/>
      <c r="S275" s="261"/>
      <c r="T275" s="261"/>
      <c r="U275" s="261"/>
      <c r="V275" s="261"/>
      <c r="W275" s="261"/>
      <c r="X275" s="261"/>
      <c r="Y275" s="261"/>
      <c r="Z275" s="261"/>
    </row>
    <row r="276" ht="34.5" customHeight="1">
      <c r="A276" s="111"/>
      <c r="B276" s="127"/>
      <c r="C276" s="127"/>
      <c r="D276" s="111"/>
      <c r="E276" s="111"/>
      <c r="F276" s="270"/>
      <c r="G276" s="111"/>
      <c r="H276" s="257"/>
      <c r="I276" s="111"/>
      <c r="J276" s="111"/>
      <c r="K276" s="127"/>
      <c r="L276" s="128"/>
      <c r="M276" s="128"/>
      <c r="N276" s="126"/>
      <c r="O276" s="127"/>
      <c r="P276" s="127"/>
      <c r="Q276" s="127"/>
      <c r="R276" s="261"/>
      <c r="S276" s="261"/>
      <c r="T276" s="261"/>
      <c r="U276" s="261"/>
      <c r="V276" s="261"/>
      <c r="W276" s="261"/>
      <c r="X276" s="261"/>
      <c r="Y276" s="261"/>
      <c r="Z276" s="261"/>
    </row>
    <row r="277" ht="34.5" customHeight="1">
      <c r="A277" s="111"/>
      <c r="B277" s="127"/>
      <c r="C277" s="127"/>
      <c r="D277" s="111"/>
      <c r="E277" s="111"/>
      <c r="F277" s="270"/>
      <c r="G277" s="111"/>
      <c r="H277" s="257"/>
      <c r="I277" s="111"/>
      <c r="J277" s="111"/>
      <c r="K277" s="127"/>
      <c r="L277" s="128"/>
      <c r="M277" s="128"/>
      <c r="N277" s="126"/>
      <c r="O277" s="127"/>
      <c r="P277" s="127"/>
      <c r="Q277" s="127"/>
      <c r="R277" s="261"/>
      <c r="S277" s="261"/>
      <c r="T277" s="261"/>
      <c r="U277" s="261"/>
      <c r="V277" s="261"/>
      <c r="W277" s="261"/>
      <c r="X277" s="261"/>
      <c r="Y277" s="261"/>
      <c r="Z277" s="261"/>
    </row>
    <row r="278" ht="34.5" customHeight="1">
      <c r="A278" s="111"/>
      <c r="B278" s="127"/>
      <c r="C278" s="127"/>
      <c r="D278" s="111"/>
      <c r="E278" s="111"/>
      <c r="F278" s="270"/>
      <c r="G278" s="111"/>
      <c r="H278" s="257"/>
      <c r="I278" s="111"/>
      <c r="J278" s="111"/>
      <c r="K278" s="127"/>
      <c r="L278" s="128"/>
      <c r="M278" s="128"/>
      <c r="N278" s="126"/>
      <c r="O278" s="127"/>
      <c r="P278" s="127"/>
      <c r="Q278" s="127"/>
      <c r="R278" s="261"/>
      <c r="S278" s="261"/>
      <c r="T278" s="261"/>
      <c r="U278" s="261"/>
      <c r="V278" s="261"/>
      <c r="W278" s="261"/>
      <c r="X278" s="261"/>
      <c r="Y278" s="261"/>
      <c r="Z278" s="261"/>
    </row>
    <row r="279" ht="34.5" customHeight="1">
      <c r="A279" s="111"/>
      <c r="B279" s="127"/>
      <c r="C279" s="127"/>
      <c r="D279" s="111"/>
      <c r="E279" s="111"/>
      <c r="F279" s="270"/>
      <c r="G279" s="111"/>
      <c r="H279" s="257"/>
      <c r="I279" s="111"/>
      <c r="J279" s="111"/>
      <c r="K279" s="127"/>
      <c r="L279" s="128"/>
      <c r="M279" s="128"/>
      <c r="N279" s="126"/>
      <c r="O279" s="127"/>
      <c r="P279" s="127"/>
      <c r="Q279" s="127"/>
      <c r="R279" s="261"/>
      <c r="S279" s="261"/>
      <c r="T279" s="261"/>
      <c r="U279" s="261"/>
      <c r="V279" s="261"/>
      <c r="W279" s="261"/>
      <c r="X279" s="261"/>
      <c r="Y279" s="261"/>
      <c r="Z279" s="261"/>
    </row>
    <row r="280" ht="34.5" customHeight="1">
      <c r="A280" s="111"/>
      <c r="B280" s="127"/>
      <c r="C280" s="127"/>
      <c r="D280" s="111"/>
      <c r="E280" s="111"/>
      <c r="F280" s="270"/>
      <c r="G280" s="111"/>
      <c r="H280" s="257"/>
      <c r="I280" s="111"/>
      <c r="J280" s="111"/>
      <c r="K280" s="127"/>
      <c r="L280" s="128"/>
      <c r="M280" s="128"/>
      <c r="N280" s="126"/>
      <c r="O280" s="127"/>
      <c r="P280" s="127"/>
      <c r="Q280" s="127"/>
      <c r="R280" s="261"/>
      <c r="S280" s="261"/>
      <c r="T280" s="261"/>
      <c r="U280" s="261"/>
      <c r="V280" s="261"/>
      <c r="W280" s="261"/>
      <c r="X280" s="261"/>
      <c r="Y280" s="261"/>
      <c r="Z280" s="261"/>
    </row>
    <row r="281" ht="34.5" customHeight="1">
      <c r="A281" s="111"/>
      <c r="B281" s="127"/>
      <c r="C281" s="127"/>
      <c r="D281" s="111"/>
      <c r="E281" s="111"/>
      <c r="F281" s="270"/>
      <c r="G281" s="111"/>
      <c r="H281" s="257"/>
      <c r="I281" s="111"/>
      <c r="J281" s="111"/>
      <c r="K281" s="127"/>
      <c r="L281" s="128"/>
      <c r="M281" s="128"/>
      <c r="N281" s="126"/>
      <c r="O281" s="127"/>
      <c r="P281" s="127"/>
      <c r="Q281" s="127"/>
      <c r="R281" s="261"/>
      <c r="S281" s="261"/>
      <c r="T281" s="261"/>
      <c r="U281" s="261"/>
      <c r="V281" s="261"/>
      <c r="W281" s="261"/>
      <c r="X281" s="261"/>
      <c r="Y281" s="261"/>
      <c r="Z281" s="261"/>
    </row>
    <row r="282" ht="34.5" customHeight="1">
      <c r="A282" s="111"/>
      <c r="B282" s="127"/>
      <c r="C282" s="127"/>
      <c r="D282" s="111"/>
      <c r="E282" s="111"/>
      <c r="F282" s="270"/>
      <c r="G282" s="111"/>
      <c r="H282" s="257"/>
      <c r="I282" s="111"/>
      <c r="J282" s="111"/>
      <c r="K282" s="127"/>
      <c r="L282" s="128"/>
      <c r="M282" s="128"/>
      <c r="N282" s="126"/>
      <c r="O282" s="127"/>
      <c r="P282" s="127"/>
      <c r="Q282" s="127"/>
      <c r="R282" s="261"/>
      <c r="S282" s="261"/>
      <c r="T282" s="261"/>
      <c r="U282" s="261"/>
      <c r="V282" s="261"/>
      <c r="W282" s="261"/>
      <c r="X282" s="261"/>
      <c r="Y282" s="261"/>
      <c r="Z282" s="261"/>
    </row>
    <row r="283" ht="34.5" customHeight="1">
      <c r="A283" s="111"/>
      <c r="B283" s="127"/>
      <c r="C283" s="127"/>
      <c r="D283" s="111"/>
      <c r="E283" s="111"/>
      <c r="F283" s="270"/>
      <c r="G283" s="111"/>
      <c r="H283" s="257"/>
      <c r="I283" s="111"/>
      <c r="J283" s="111"/>
      <c r="K283" s="127"/>
      <c r="L283" s="128"/>
      <c r="M283" s="128"/>
      <c r="N283" s="126"/>
      <c r="O283" s="127"/>
      <c r="P283" s="127"/>
      <c r="Q283" s="127"/>
      <c r="R283" s="261"/>
      <c r="S283" s="261"/>
      <c r="T283" s="261"/>
      <c r="U283" s="261"/>
      <c r="V283" s="261"/>
      <c r="W283" s="261"/>
      <c r="X283" s="261"/>
      <c r="Y283" s="261"/>
      <c r="Z283" s="261"/>
    </row>
    <row r="284" ht="34.5" customHeight="1">
      <c r="A284" s="111"/>
      <c r="B284" s="127"/>
      <c r="C284" s="127"/>
      <c r="D284" s="111"/>
      <c r="E284" s="111"/>
      <c r="F284" s="270"/>
      <c r="G284" s="111"/>
      <c r="H284" s="257"/>
      <c r="I284" s="111"/>
      <c r="J284" s="111"/>
      <c r="K284" s="127"/>
      <c r="L284" s="128"/>
      <c r="M284" s="128"/>
      <c r="N284" s="126"/>
      <c r="O284" s="127"/>
      <c r="P284" s="127"/>
      <c r="Q284" s="127"/>
      <c r="R284" s="261"/>
      <c r="S284" s="261"/>
      <c r="T284" s="261"/>
      <c r="U284" s="261"/>
      <c r="V284" s="261"/>
      <c r="W284" s="261"/>
      <c r="X284" s="261"/>
      <c r="Y284" s="261"/>
      <c r="Z284" s="261"/>
    </row>
    <row r="285" ht="34.5" customHeight="1">
      <c r="A285" s="111"/>
      <c r="B285" s="127"/>
      <c r="C285" s="127"/>
      <c r="D285" s="111"/>
      <c r="E285" s="111"/>
      <c r="F285" s="270"/>
      <c r="G285" s="111"/>
      <c r="H285" s="257"/>
      <c r="I285" s="111"/>
      <c r="J285" s="111"/>
      <c r="K285" s="127"/>
      <c r="L285" s="128"/>
      <c r="M285" s="128"/>
      <c r="N285" s="126"/>
      <c r="O285" s="127"/>
      <c r="P285" s="127"/>
      <c r="Q285" s="127"/>
      <c r="R285" s="261"/>
      <c r="S285" s="261"/>
      <c r="T285" s="261"/>
      <c r="U285" s="261"/>
      <c r="V285" s="261"/>
      <c r="W285" s="261"/>
      <c r="X285" s="261"/>
      <c r="Y285" s="261"/>
      <c r="Z285" s="261"/>
    </row>
    <row r="286" ht="34.5" customHeight="1">
      <c r="A286" s="111"/>
      <c r="B286" s="127"/>
      <c r="C286" s="127"/>
      <c r="D286" s="111"/>
      <c r="E286" s="111"/>
      <c r="F286" s="270"/>
      <c r="G286" s="111"/>
      <c r="H286" s="257"/>
      <c r="I286" s="111"/>
      <c r="J286" s="111"/>
      <c r="K286" s="127"/>
      <c r="L286" s="128"/>
      <c r="M286" s="128"/>
      <c r="N286" s="126"/>
      <c r="O286" s="127"/>
      <c r="P286" s="127"/>
      <c r="Q286" s="127"/>
      <c r="R286" s="261"/>
      <c r="S286" s="261"/>
      <c r="T286" s="261"/>
      <c r="U286" s="261"/>
      <c r="V286" s="261"/>
      <c r="W286" s="261"/>
      <c r="X286" s="261"/>
      <c r="Y286" s="261"/>
      <c r="Z286" s="261"/>
    </row>
    <row r="287" ht="34.5" customHeight="1">
      <c r="A287" s="111"/>
      <c r="B287" s="127"/>
      <c r="C287" s="127"/>
      <c r="D287" s="111"/>
      <c r="E287" s="111"/>
      <c r="F287" s="270"/>
      <c r="G287" s="111"/>
      <c r="H287" s="257"/>
      <c r="I287" s="111"/>
      <c r="J287" s="111"/>
      <c r="K287" s="127"/>
      <c r="L287" s="128"/>
      <c r="M287" s="128"/>
      <c r="N287" s="126"/>
      <c r="O287" s="127"/>
      <c r="P287" s="127"/>
      <c r="Q287" s="127"/>
      <c r="R287" s="261"/>
      <c r="S287" s="261"/>
      <c r="T287" s="261"/>
      <c r="U287" s="261"/>
      <c r="V287" s="261"/>
      <c r="W287" s="261"/>
      <c r="X287" s="261"/>
      <c r="Y287" s="261"/>
      <c r="Z287" s="261"/>
    </row>
    <row r="288" ht="34.5" customHeight="1">
      <c r="A288" s="111"/>
      <c r="B288" s="127"/>
      <c r="C288" s="127"/>
      <c r="D288" s="111"/>
      <c r="E288" s="111"/>
      <c r="F288" s="270"/>
      <c r="G288" s="111"/>
      <c r="H288" s="257"/>
      <c r="I288" s="111"/>
      <c r="J288" s="111"/>
      <c r="K288" s="127"/>
      <c r="L288" s="128"/>
      <c r="M288" s="128"/>
      <c r="N288" s="126"/>
      <c r="O288" s="127"/>
      <c r="P288" s="127"/>
      <c r="Q288" s="127"/>
      <c r="R288" s="261"/>
      <c r="S288" s="261"/>
      <c r="T288" s="261"/>
      <c r="U288" s="261"/>
      <c r="V288" s="261"/>
      <c r="W288" s="261"/>
      <c r="X288" s="261"/>
      <c r="Y288" s="261"/>
      <c r="Z288" s="261"/>
    </row>
    <row r="289" ht="34.5" customHeight="1">
      <c r="A289" s="111"/>
      <c r="B289" s="127"/>
      <c r="C289" s="127"/>
      <c r="D289" s="111"/>
      <c r="E289" s="111"/>
      <c r="F289" s="270"/>
      <c r="G289" s="111"/>
      <c r="H289" s="257"/>
      <c r="I289" s="111"/>
      <c r="J289" s="111"/>
      <c r="K289" s="127"/>
      <c r="L289" s="128"/>
      <c r="M289" s="128"/>
      <c r="N289" s="126"/>
      <c r="O289" s="127"/>
      <c r="P289" s="127"/>
      <c r="Q289" s="127"/>
      <c r="R289" s="261"/>
      <c r="S289" s="261"/>
      <c r="T289" s="261"/>
      <c r="U289" s="261"/>
      <c r="V289" s="261"/>
      <c r="W289" s="261"/>
      <c r="X289" s="261"/>
      <c r="Y289" s="261"/>
      <c r="Z289" s="261"/>
    </row>
    <row r="290" ht="34.5" customHeight="1">
      <c r="A290" s="111"/>
      <c r="B290" s="127"/>
      <c r="C290" s="127"/>
      <c r="D290" s="111"/>
      <c r="E290" s="111"/>
      <c r="F290" s="270"/>
      <c r="G290" s="111"/>
      <c r="H290" s="257"/>
      <c r="I290" s="111"/>
      <c r="J290" s="111"/>
      <c r="K290" s="127"/>
      <c r="L290" s="128"/>
      <c r="M290" s="128"/>
      <c r="N290" s="126"/>
      <c r="O290" s="127"/>
      <c r="P290" s="127"/>
      <c r="Q290" s="127"/>
      <c r="R290" s="261"/>
      <c r="S290" s="261"/>
      <c r="T290" s="261"/>
      <c r="U290" s="261"/>
      <c r="V290" s="261"/>
      <c r="W290" s="261"/>
      <c r="X290" s="261"/>
      <c r="Y290" s="261"/>
      <c r="Z290" s="261"/>
    </row>
    <row r="291" ht="34.5" customHeight="1">
      <c r="A291" s="111"/>
      <c r="B291" s="127"/>
      <c r="C291" s="127"/>
      <c r="D291" s="111"/>
      <c r="E291" s="111"/>
      <c r="F291" s="270"/>
      <c r="G291" s="111"/>
      <c r="H291" s="257"/>
      <c r="I291" s="111"/>
      <c r="J291" s="111"/>
      <c r="K291" s="127"/>
      <c r="L291" s="128"/>
      <c r="M291" s="128"/>
      <c r="N291" s="126"/>
      <c r="O291" s="127"/>
      <c r="P291" s="127"/>
      <c r="Q291" s="127"/>
      <c r="R291" s="261"/>
      <c r="S291" s="261"/>
      <c r="T291" s="261"/>
      <c r="U291" s="261"/>
      <c r="V291" s="261"/>
      <c r="W291" s="261"/>
      <c r="X291" s="261"/>
      <c r="Y291" s="261"/>
      <c r="Z291" s="261"/>
    </row>
    <row r="292" ht="34.5" customHeight="1">
      <c r="A292" s="111"/>
      <c r="B292" s="127"/>
      <c r="C292" s="127"/>
      <c r="D292" s="111"/>
      <c r="E292" s="111"/>
      <c r="F292" s="270"/>
      <c r="G292" s="111"/>
      <c r="H292" s="257"/>
      <c r="I292" s="111"/>
      <c r="J292" s="111"/>
      <c r="K292" s="127"/>
      <c r="L292" s="128"/>
      <c r="M292" s="128"/>
      <c r="N292" s="126"/>
      <c r="O292" s="127"/>
      <c r="P292" s="127"/>
      <c r="Q292" s="127"/>
      <c r="R292" s="261"/>
      <c r="S292" s="261"/>
      <c r="T292" s="261"/>
      <c r="U292" s="261"/>
      <c r="V292" s="261"/>
      <c r="W292" s="261"/>
      <c r="X292" s="261"/>
      <c r="Y292" s="261"/>
      <c r="Z292" s="261"/>
    </row>
    <row r="293" ht="34.5" customHeight="1">
      <c r="A293" s="111"/>
      <c r="B293" s="127"/>
      <c r="C293" s="127"/>
      <c r="D293" s="111"/>
      <c r="E293" s="111"/>
      <c r="F293" s="270"/>
      <c r="G293" s="111"/>
      <c r="H293" s="257"/>
      <c r="I293" s="111"/>
      <c r="J293" s="111"/>
      <c r="K293" s="127"/>
      <c r="L293" s="128"/>
      <c r="M293" s="128"/>
      <c r="N293" s="126"/>
      <c r="O293" s="127"/>
      <c r="P293" s="127"/>
      <c r="Q293" s="127"/>
      <c r="R293" s="261"/>
      <c r="S293" s="261"/>
      <c r="T293" s="261"/>
      <c r="U293" s="261"/>
      <c r="V293" s="261"/>
      <c r="W293" s="261"/>
      <c r="X293" s="261"/>
      <c r="Y293" s="261"/>
      <c r="Z293" s="261"/>
    </row>
    <row r="294" ht="34.5" customHeight="1">
      <c r="A294" s="111"/>
      <c r="B294" s="127"/>
      <c r="C294" s="127"/>
      <c r="D294" s="111"/>
      <c r="E294" s="111"/>
      <c r="F294" s="270"/>
      <c r="G294" s="111"/>
      <c r="H294" s="257"/>
      <c r="I294" s="111"/>
      <c r="J294" s="111"/>
      <c r="K294" s="127"/>
      <c r="L294" s="128"/>
      <c r="M294" s="128"/>
      <c r="N294" s="126"/>
      <c r="O294" s="127"/>
      <c r="P294" s="127"/>
      <c r="Q294" s="127"/>
      <c r="R294" s="261"/>
      <c r="S294" s="261"/>
      <c r="T294" s="261"/>
      <c r="U294" s="261"/>
      <c r="V294" s="261"/>
      <c r="W294" s="261"/>
      <c r="X294" s="261"/>
      <c r="Y294" s="261"/>
      <c r="Z294" s="261"/>
    </row>
    <row r="295" ht="34.5" customHeight="1">
      <c r="A295" s="111"/>
      <c r="B295" s="127"/>
      <c r="C295" s="127"/>
      <c r="D295" s="111"/>
      <c r="E295" s="111"/>
      <c r="F295" s="270"/>
      <c r="G295" s="111"/>
      <c r="H295" s="257"/>
      <c r="I295" s="111"/>
      <c r="J295" s="111"/>
      <c r="K295" s="127"/>
      <c r="L295" s="128"/>
      <c r="M295" s="128"/>
      <c r="N295" s="126"/>
      <c r="O295" s="127"/>
      <c r="P295" s="127"/>
      <c r="Q295" s="127"/>
      <c r="R295" s="261"/>
      <c r="S295" s="261"/>
      <c r="T295" s="261"/>
      <c r="U295" s="261"/>
      <c r="V295" s="261"/>
      <c r="W295" s="261"/>
      <c r="X295" s="261"/>
      <c r="Y295" s="261"/>
      <c r="Z295" s="261"/>
    </row>
    <row r="296" ht="34.5" customHeight="1">
      <c r="A296" s="111"/>
      <c r="B296" s="127"/>
      <c r="C296" s="127"/>
      <c r="D296" s="111"/>
      <c r="E296" s="111"/>
      <c r="F296" s="270"/>
      <c r="G296" s="111"/>
      <c r="H296" s="257"/>
      <c r="I296" s="111"/>
      <c r="J296" s="111"/>
      <c r="K296" s="127"/>
      <c r="L296" s="128"/>
      <c r="M296" s="128"/>
      <c r="N296" s="126"/>
      <c r="O296" s="127"/>
      <c r="P296" s="127"/>
      <c r="Q296" s="127"/>
      <c r="R296" s="261"/>
      <c r="S296" s="261"/>
      <c r="T296" s="261"/>
      <c r="U296" s="261"/>
      <c r="V296" s="261"/>
      <c r="W296" s="261"/>
      <c r="X296" s="261"/>
      <c r="Y296" s="261"/>
      <c r="Z296" s="261"/>
    </row>
    <row r="297" ht="34.5" customHeight="1">
      <c r="A297" s="111"/>
      <c r="B297" s="127"/>
      <c r="C297" s="127"/>
      <c r="D297" s="111"/>
      <c r="E297" s="111"/>
      <c r="F297" s="270"/>
      <c r="G297" s="111"/>
      <c r="H297" s="257"/>
      <c r="I297" s="111"/>
      <c r="J297" s="111"/>
      <c r="K297" s="127"/>
      <c r="L297" s="128"/>
      <c r="M297" s="128"/>
      <c r="N297" s="126"/>
      <c r="O297" s="127"/>
      <c r="P297" s="127"/>
      <c r="Q297" s="127"/>
      <c r="R297" s="261"/>
      <c r="S297" s="261"/>
      <c r="T297" s="261"/>
      <c r="U297" s="261"/>
      <c r="V297" s="261"/>
      <c r="W297" s="261"/>
      <c r="X297" s="261"/>
      <c r="Y297" s="261"/>
      <c r="Z297" s="261"/>
    </row>
    <row r="298" ht="34.5" customHeight="1">
      <c r="A298" s="111"/>
      <c r="B298" s="127"/>
      <c r="C298" s="127"/>
      <c r="D298" s="111"/>
      <c r="E298" s="111"/>
      <c r="F298" s="270"/>
      <c r="G298" s="111"/>
      <c r="H298" s="257"/>
      <c r="I298" s="111"/>
      <c r="J298" s="111"/>
      <c r="K298" s="127"/>
      <c r="L298" s="128"/>
      <c r="M298" s="128"/>
      <c r="N298" s="126"/>
      <c r="O298" s="127"/>
      <c r="P298" s="127"/>
      <c r="Q298" s="127"/>
      <c r="R298" s="261"/>
      <c r="S298" s="261"/>
      <c r="T298" s="261"/>
      <c r="U298" s="261"/>
      <c r="V298" s="261"/>
      <c r="W298" s="261"/>
      <c r="X298" s="261"/>
      <c r="Y298" s="261"/>
      <c r="Z298" s="261"/>
    </row>
    <row r="299" ht="34.5" customHeight="1">
      <c r="A299" s="111"/>
      <c r="B299" s="127"/>
      <c r="C299" s="127"/>
      <c r="D299" s="111"/>
      <c r="E299" s="111"/>
      <c r="F299" s="270"/>
      <c r="G299" s="111"/>
      <c r="H299" s="257"/>
      <c r="I299" s="111"/>
      <c r="J299" s="111"/>
      <c r="K299" s="127"/>
      <c r="L299" s="128"/>
      <c r="M299" s="128"/>
      <c r="N299" s="126"/>
      <c r="O299" s="127"/>
      <c r="P299" s="127"/>
      <c r="Q299" s="127"/>
      <c r="R299" s="261"/>
      <c r="S299" s="261"/>
      <c r="T299" s="261"/>
      <c r="U299" s="261"/>
      <c r="V299" s="261"/>
      <c r="W299" s="261"/>
      <c r="X299" s="261"/>
      <c r="Y299" s="261"/>
      <c r="Z299" s="261"/>
    </row>
    <row r="300" ht="34.5" customHeight="1">
      <c r="A300" s="111"/>
      <c r="B300" s="127"/>
      <c r="C300" s="127"/>
      <c r="D300" s="111"/>
      <c r="E300" s="111"/>
      <c r="F300" s="270"/>
      <c r="G300" s="111"/>
      <c r="H300" s="257"/>
      <c r="I300" s="111"/>
      <c r="J300" s="111"/>
      <c r="K300" s="127"/>
      <c r="L300" s="128"/>
      <c r="M300" s="128"/>
      <c r="N300" s="126"/>
      <c r="O300" s="127"/>
      <c r="P300" s="127"/>
      <c r="Q300" s="127"/>
      <c r="R300" s="261"/>
      <c r="S300" s="261"/>
      <c r="T300" s="261"/>
      <c r="U300" s="261"/>
      <c r="V300" s="261"/>
      <c r="W300" s="261"/>
      <c r="X300" s="261"/>
      <c r="Y300" s="261"/>
      <c r="Z300" s="261"/>
    </row>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3">
    <mergeCell ref="H2:H3"/>
    <mergeCell ref="I2:I3"/>
    <mergeCell ref="J2:J3"/>
    <mergeCell ref="L2:L3"/>
    <mergeCell ref="M2:M3"/>
    <mergeCell ref="O2:Q3"/>
    <mergeCell ref="A1:J1"/>
    <mergeCell ref="A2:A3"/>
    <mergeCell ref="B2:B3"/>
    <mergeCell ref="D2:D3"/>
    <mergeCell ref="E2:E3"/>
    <mergeCell ref="F2:F3"/>
    <mergeCell ref="G2:G3"/>
  </mergeCells>
  <hyperlinks>
    <hyperlink r:id="rId1" ref="O5"/>
    <hyperlink r:id="rId2" ref="O6"/>
    <hyperlink r:id="rId3" ref="O7"/>
    <hyperlink r:id="rId4" ref="O8"/>
    <hyperlink r:id="rId5" ref="P8"/>
    <hyperlink r:id="rId6" ref="O9"/>
    <hyperlink r:id="rId7" ref="O10"/>
    <hyperlink r:id="rId8" ref="P10"/>
    <hyperlink r:id="rId9" ref="O11"/>
    <hyperlink r:id="rId10" ref="O12"/>
    <hyperlink r:id="rId11" ref="O13"/>
    <hyperlink r:id="rId12" ref="P13"/>
    <hyperlink r:id="rId13" ref="O14"/>
    <hyperlink r:id="rId14" ref="O15"/>
    <hyperlink r:id="rId15" ref="P15"/>
    <hyperlink r:id="rId16" ref="O16"/>
    <hyperlink r:id="rId17" ref="O17"/>
    <hyperlink r:id="rId18" ref="O19"/>
    <hyperlink r:id="rId19" ref="O20"/>
    <hyperlink r:id="rId20" ref="O21"/>
    <hyperlink r:id="rId21" ref="O22"/>
    <hyperlink r:id="rId22" ref="P22"/>
    <hyperlink r:id="rId23" ref="O23"/>
    <hyperlink r:id="rId24" ref="O24"/>
    <hyperlink r:id="rId25" ref="P24"/>
    <hyperlink r:id="rId26" ref="O25"/>
    <hyperlink r:id="rId27" ref="P25"/>
    <hyperlink r:id="rId28" ref="O27"/>
    <hyperlink r:id="rId29" ref="O28"/>
    <hyperlink r:id="rId30" ref="P28"/>
    <hyperlink r:id="rId31" ref="O29"/>
    <hyperlink r:id="rId32" location=":~:text=The%20proposed%20hydrogen%20facility%20will,year%20of%20ammonia%20for%20export.&amp;text=The%20facility%20is%20proposed%20to,Samalaju%20Industrial%20Park%20and%20Port." ref="O30"/>
    <hyperlink r:id="rId33" ref="P30"/>
    <hyperlink r:id="rId34" ref="O31"/>
    <hyperlink r:id="rId35" ref="O32"/>
    <hyperlink r:id="rId36" ref="P32"/>
    <hyperlink r:id="rId37" ref="O33"/>
    <hyperlink r:id="rId38" ref="O34"/>
    <hyperlink r:id="rId39" ref="O35"/>
    <hyperlink r:id="rId40" ref="O36"/>
    <hyperlink r:id="rId41" ref="P36"/>
    <hyperlink r:id="rId42" ref="O37"/>
    <hyperlink r:id="rId43" ref="P37"/>
    <hyperlink r:id="rId44" ref="O38"/>
    <hyperlink r:id="rId45" ref="O39"/>
    <hyperlink r:id="rId46" ref="P39"/>
    <hyperlink r:id="rId47" ref="Q39"/>
    <hyperlink r:id="rId48" ref="O40"/>
    <hyperlink r:id="rId49" ref="O41"/>
    <hyperlink r:id="rId50" ref="O42"/>
    <hyperlink r:id="rId51" ref="O43"/>
    <hyperlink r:id="rId52" ref="P43"/>
    <hyperlink r:id="rId53" ref="O44"/>
    <hyperlink r:id="rId54" ref="P44"/>
    <hyperlink r:id="rId55" ref="O45"/>
    <hyperlink r:id="rId56" ref="O46"/>
    <hyperlink r:id="rId57" ref="P46"/>
    <hyperlink r:id="rId58" ref="O47"/>
    <hyperlink r:id="rId59" ref="P47"/>
    <hyperlink r:id="rId60" location=".YnUtqdpByUm" ref="O48"/>
    <hyperlink r:id="rId61" ref="O49"/>
    <hyperlink r:id="rId62" ref="P49"/>
    <hyperlink r:id="rId63" ref="O50"/>
    <hyperlink r:id="rId64" ref="O51"/>
    <hyperlink r:id="rId65" ref="O58"/>
    <hyperlink r:id="rId66" ref="P58"/>
    <hyperlink r:id="rId67" ref="O60"/>
    <hyperlink r:id="rId68" ref="O61"/>
    <hyperlink r:id="rId69" ref="O62"/>
    <hyperlink r:id="rId70" ref="O63"/>
    <hyperlink r:id="rId71" ref="P64"/>
    <hyperlink r:id="rId72" ref="O67"/>
    <hyperlink r:id="rId73" ref="O70"/>
    <hyperlink r:id="rId74" ref="O71"/>
    <hyperlink r:id="rId75" ref="O72"/>
    <hyperlink r:id="rId76" ref="O73"/>
    <hyperlink r:id="rId77" ref="P73"/>
    <hyperlink r:id="rId78" location=":~:text=EDF%20and%20ZeroWaste%20cooperate%20to,to%20produce%20hydrogen%20by%202030." ref="O74"/>
    <hyperlink r:id="rId79" location=":~:text=EDF%20and%20ZeroWaste%20cooperate%20to,to%20produce%20hydrogen%20by%202030." ref="O75"/>
    <hyperlink r:id="rId80" ref="O76"/>
    <hyperlink r:id="rId81" ref="O77"/>
    <hyperlink r:id="rId82" ref="P77"/>
    <hyperlink r:id="rId83" ref="O78"/>
    <hyperlink r:id="rId84" ref="P78"/>
    <hyperlink r:id="rId85" ref="O79"/>
    <hyperlink r:id="rId86" ref="O80"/>
    <hyperlink r:id="rId87" ref="O81"/>
    <hyperlink r:id="rId88" ref="O82"/>
    <hyperlink r:id="rId89" ref="O83"/>
    <hyperlink r:id="rId90" ref="O84"/>
    <hyperlink r:id="rId91" ref="O85"/>
    <hyperlink r:id="rId92" ref="O86"/>
    <hyperlink r:id="rId93" ref="O87"/>
    <hyperlink r:id="rId94" ref="P87"/>
    <hyperlink r:id="rId95" ref="O88"/>
    <hyperlink r:id="rId96" ref="P88"/>
    <hyperlink r:id="rId97" ref="Q88"/>
    <hyperlink r:id="rId98" ref="O89"/>
    <hyperlink r:id="rId99" ref="P89"/>
    <hyperlink r:id="rId100" ref="O90"/>
    <hyperlink r:id="rId101" ref="O91"/>
    <hyperlink r:id="rId102" location=":~:text=The%20Oakajee%20SIA%20is%20a,Mid%20West%20regional%20city%2C%20Geraldton." ref="O93"/>
    <hyperlink r:id="rId103" ref="O94"/>
    <hyperlink r:id="rId104" ref="P94"/>
    <hyperlink r:id="rId105" ref="O95"/>
    <hyperlink r:id="rId106" ref="O96"/>
    <hyperlink r:id="rId107" ref="O97"/>
    <hyperlink r:id="rId108" ref="P98"/>
    <hyperlink r:id="rId109" ref="O99"/>
    <hyperlink r:id="rId110" ref="O100"/>
  </hyperlinks>
  <printOptions/>
  <pageMargins bottom="0.75" footer="0.0" header="0.0" left="0.7" right="0.7" top="0.75"/>
  <pageSetup paperSize="9" orientation="portrait"/>
  <drawing r:id="rId111"/>
  <tableParts count="1">
    <tablePart r:id="rId113"/>
  </tableParts>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workbookViewId="0"/>
  </sheetViews>
  <sheetFormatPr customHeight="1" defaultColWidth="14.43" defaultRowHeight="15.75"/>
  <cols>
    <col customWidth="1" min="1" max="1" width="11.0"/>
    <col customWidth="1" min="2" max="2" width="30.0"/>
    <col customWidth="1" min="3" max="3" width="15.0"/>
    <col customWidth="1" min="4" max="4" width="9.43"/>
    <col customWidth="1" min="5" max="5" width="7.57"/>
    <col customWidth="1" min="6" max="6" width="44.14"/>
    <col customWidth="1" min="7" max="9" width="5.71"/>
    <col customWidth="1" min="10" max="10" width="15.29"/>
    <col customWidth="1" min="11" max="11" width="20.86"/>
    <col customWidth="1" min="12" max="12" width="16.43"/>
    <col customWidth="1" min="13" max="13" width="14.43"/>
    <col customWidth="1" min="14" max="15" width="15.0"/>
    <col customWidth="1" min="16" max="26" width="8.86"/>
  </cols>
  <sheetData>
    <row r="1" ht="38.25" customHeight="1">
      <c r="A1" s="282" t="s">
        <v>23816</v>
      </c>
      <c r="B1" s="71"/>
      <c r="C1" s="71"/>
      <c r="D1" s="71"/>
      <c r="E1" s="71"/>
      <c r="F1" s="71"/>
      <c r="G1" s="71"/>
      <c r="H1" s="71"/>
      <c r="I1" s="71"/>
      <c r="J1" s="71"/>
      <c r="K1" s="71"/>
      <c r="L1" s="71"/>
      <c r="M1" s="71"/>
      <c r="N1" s="71"/>
      <c r="O1" s="71"/>
      <c r="P1" s="253"/>
      <c r="Q1" s="253"/>
      <c r="R1" s="253"/>
      <c r="S1" s="253"/>
      <c r="T1" s="253"/>
      <c r="U1" s="253"/>
      <c r="V1" s="253"/>
      <c r="W1" s="253"/>
      <c r="X1" s="253"/>
      <c r="Y1" s="253"/>
      <c r="Z1" s="253"/>
    </row>
    <row r="2" ht="21.0" customHeight="1">
      <c r="A2" s="305" t="s">
        <v>12329</v>
      </c>
      <c r="B2" s="305" t="s">
        <v>687</v>
      </c>
      <c r="C2" s="305" t="s">
        <v>689</v>
      </c>
      <c r="D2" s="305" t="s">
        <v>40</v>
      </c>
      <c r="E2" s="305" t="s">
        <v>23326</v>
      </c>
      <c r="F2" s="305" t="s">
        <v>18702</v>
      </c>
      <c r="G2" s="306" t="s">
        <v>22157</v>
      </c>
      <c r="H2" s="306" t="s">
        <v>12330</v>
      </c>
      <c r="I2" s="306" t="s">
        <v>12331</v>
      </c>
      <c r="J2" s="305" t="s">
        <v>36</v>
      </c>
      <c r="K2" s="307" t="s">
        <v>12334</v>
      </c>
      <c r="L2" s="308" t="s">
        <v>22162</v>
      </c>
      <c r="M2" s="305" t="s">
        <v>18716</v>
      </c>
      <c r="N2" s="305" t="s">
        <v>18717</v>
      </c>
      <c r="O2" s="305" t="s">
        <v>18718</v>
      </c>
      <c r="P2" s="309"/>
      <c r="Q2" s="309"/>
      <c r="R2" s="309"/>
      <c r="S2" s="309"/>
      <c r="T2" s="309"/>
      <c r="U2" s="309"/>
      <c r="V2" s="309"/>
      <c r="W2" s="309"/>
      <c r="X2" s="309"/>
      <c r="Y2" s="309"/>
      <c r="Z2" s="309"/>
    </row>
    <row r="3" ht="62.25" customHeight="1">
      <c r="A3" s="93"/>
      <c r="B3" s="93"/>
      <c r="C3" s="93"/>
      <c r="D3" s="93"/>
      <c r="E3" s="93"/>
      <c r="F3" s="93"/>
      <c r="G3" s="93"/>
      <c r="H3" s="93"/>
      <c r="I3" s="93"/>
      <c r="J3" s="93"/>
      <c r="K3" s="310"/>
      <c r="L3" s="310" t="s">
        <v>22166</v>
      </c>
      <c r="M3" s="93"/>
      <c r="N3" s="93"/>
      <c r="O3" s="93"/>
      <c r="P3" s="309"/>
      <c r="Q3" s="309"/>
      <c r="R3" s="309"/>
      <c r="S3" s="309"/>
      <c r="T3" s="309"/>
      <c r="U3" s="309"/>
      <c r="V3" s="309"/>
      <c r="W3" s="309"/>
      <c r="X3" s="309"/>
      <c r="Y3" s="309"/>
      <c r="Z3" s="309"/>
    </row>
    <row r="4" ht="72.0" customHeight="1">
      <c r="A4" s="103" t="s">
        <v>12329</v>
      </c>
      <c r="B4" s="103" t="s">
        <v>687</v>
      </c>
      <c r="C4" s="103" t="s">
        <v>689</v>
      </c>
      <c r="D4" s="103" t="s">
        <v>40</v>
      </c>
      <c r="E4" s="103" t="s">
        <v>23326</v>
      </c>
      <c r="F4" s="103" t="s">
        <v>18702</v>
      </c>
      <c r="G4" s="104" t="s">
        <v>22157</v>
      </c>
      <c r="H4" s="104" t="s">
        <v>12330</v>
      </c>
      <c r="I4" s="104" t="s">
        <v>12331</v>
      </c>
      <c r="J4" s="103" t="s">
        <v>36</v>
      </c>
      <c r="K4" s="105" t="s">
        <v>12334</v>
      </c>
      <c r="L4" s="105" t="s">
        <v>22180</v>
      </c>
      <c r="M4" s="108" t="s">
        <v>22181</v>
      </c>
      <c r="N4" s="294" t="s">
        <v>23084</v>
      </c>
      <c r="O4" s="108" t="s">
        <v>23085</v>
      </c>
      <c r="P4" s="255"/>
      <c r="Q4" s="255"/>
      <c r="R4" s="255"/>
      <c r="S4" s="255"/>
      <c r="T4" s="255"/>
      <c r="U4" s="255"/>
      <c r="V4" s="255"/>
      <c r="W4" s="255"/>
      <c r="X4" s="255"/>
      <c r="Y4" s="255"/>
      <c r="Z4" s="255"/>
    </row>
    <row r="5" ht="30.0" customHeight="1">
      <c r="A5" s="311" t="s">
        <v>23817</v>
      </c>
      <c r="B5" s="153" t="s">
        <v>23763</v>
      </c>
      <c r="C5" s="153" t="e">
        <v>#VALUE!</v>
      </c>
      <c r="D5" s="145" t="s">
        <v>8011</v>
      </c>
      <c r="E5" s="145" t="s">
        <v>23397</v>
      </c>
      <c r="F5" s="145" t="s">
        <v>22563</v>
      </c>
      <c r="G5" s="145">
        <v>2035.0</v>
      </c>
      <c r="H5" s="312">
        <v>2035.0</v>
      </c>
      <c r="I5" s="145"/>
      <c r="J5" s="145" t="s">
        <v>12397</v>
      </c>
      <c r="K5" s="313" t="s">
        <v>19</v>
      </c>
      <c r="L5" s="151"/>
      <c r="M5" s="314" t="s">
        <v>22189</v>
      </c>
      <c r="N5" s="314" t="s">
        <v>22189</v>
      </c>
      <c r="O5" s="153"/>
      <c r="P5" s="261"/>
      <c r="Q5" s="261"/>
      <c r="R5" s="261"/>
      <c r="S5" s="261"/>
      <c r="T5" s="261"/>
      <c r="U5" s="261"/>
      <c r="V5" s="261"/>
      <c r="W5" s="261"/>
      <c r="X5" s="261"/>
      <c r="Y5" s="261"/>
      <c r="Z5" s="261"/>
    </row>
    <row r="6" ht="45.75" customHeight="1">
      <c r="A6" s="311" t="s">
        <v>23818</v>
      </c>
      <c r="B6" s="153" t="s">
        <v>23766</v>
      </c>
      <c r="C6" s="153" t="e">
        <v>#VALUE!</v>
      </c>
      <c r="D6" s="145" t="s">
        <v>7991</v>
      </c>
      <c r="E6" s="145" t="s">
        <v>23397</v>
      </c>
      <c r="F6" s="145" t="s">
        <v>23768</v>
      </c>
      <c r="G6" s="145" t="s">
        <v>19</v>
      </c>
      <c r="H6" s="312" t="s">
        <v>19</v>
      </c>
      <c r="I6" s="145"/>
      <c r="J6" s="145" t="s">
        <v>12397</v>
      </c>
      <c r="K6" s="313" t="s">
        <v>19</v>
      </c>
      <c r="L6" s="151" t="s">
        <v>23819</v>
      </c>
      <c r="M6" s="314" t="s">
        <v>22189</v>
      </c>
      <c r="N6" s="153"/>
      <c r="O6" s="153"/>
      <c r="P6" s="261"/>
      <c r="Q6" s="261"/>
      <c r="R6" s="261"/>
      <c r="S6" s="261"/>
      <c r="T6" s="261"/>
      <c r="U6" s="261"/>
      <c r="V6" s="261"/>
      <c r="W6" s="261"/>
      <c r="X6" s="261"/>
      <c r="Y6" s="261"/>
      <c r="Z6" s="261"/>
    </row>
    <row r="7" ht="30.0" customHeight="1">
      <c r="A7" s="311" t="s">
        <v>23820</v>
      </c>
      <c r="B7" s="153" t="s">
        <v>23772</v>
      </c>
      <c r="C7" s="153" t="s">
        <v>23821</v>
      </c>
      <c r="D7" s="145" t="s">
        <v>7967</v>
      </c>
      <c r="E7" s="145" t="s">
        <v>23397</v>
      </c>
      <c r="F7" s="145" t="s">
        <v>23773</v>
      </c>
      <c r="G7" s="145">
        <v>2026.0</v>
      </c>
      <c r="H7" s="312">
        <v>2026.0</v>
      </c>
      <c r="I7" s="312"/>
      <c r="J7" s="145" t="s">
        <v>12397</v>
      </c>
      <c r="K7" s="313" t="s">
        <v>19</v>
      </c>
      <c r="L7" s="151"/>
      <c r="M7" s="314" t="s">
        <v>22189</v>
      </c>
      <c r="N7" s="314" t="s">
        <v>22189</v>
      </c>
      <c r="O7" s="314" t="s">
        <v>22189</v>
      </c>
      <c r="P7" s="261"/>
      <c r="Q7" s="261"/>
      <c r="R7" s="261"/>
      <c r="S7" s="261"/>
      <c r="T7" s="261"/>
      <c r="U7" s="261"/>
      <c r="V7" s="261"/>
      <c r="W7" s="261"/>
      <c r="X7" s="261"/>
      <c r="Y7" s="261"/>
      <c r="Z7" s="261"/>
    </row>
    <row r="8" ht="30.0" customHeight="1">
      <c r="A8" s="311" t="s">
        <v>23822</v>
      </c>
      <c r="B8" s="127" t="s">
        <v>19</v>
      </c>
      <c r="C8" s="153" t="e">
        <v>#VALUE!</v>
      </c>
      <c r="D8" s="111" t="s">
        <v>8087</v>
      </c>
      <c r="E8" s="111"/>
      <c r="F8" s="145" t="s">
        <v>23823</v>
      </c>
      <c r="G8" s="145" t="s">
        <v>19</v>
      </c>
      <c r="H8" s="312" t="s">
        <v>19</v>
      </c>
      <c r="I8" s="111"/>
      <c r="J8" s="145" t="s">
        <v>12399</v>
      </c>
      <c r="K8" s="313" t="s">
        <v>19</v>
      </c>
      <c r="L8" s="125"/>
      <c r="M8" s="262"/>
      <c r="N8" s="127"/>
      <c r="O8" s="260"/>
      <c r="P8" s="261"/>
      <c r="Q8" s="261"/>
      <c r="R8" s="261"/>
      <c r="S8" s="261"/>
      <c r="T8" s="261"/>
      <c r="U8" s="261"/>
      <c r="V8" s="261"/>
      <c r="W8" s="261"/>
      <c r="X8" s="261"/>
      <c r="Y8" s="261"/>
      <c r="Z8" s="261"/>
    </row>
    <row r="9" ht="30.0" customHeight="1">
      <c r="A9" s="311" t="s">
        <v>23824</v>
      </c>
      <c r="B9" s="127" t="s">
        <v>19</v>
      </c>
      <c r="C9" s="153" t="e">
        <v>#VALUE!</v>
      </c>
      <c r="D9" s="111" t="s">
        <v>8087</v>
      </c>
      <c r="E9" s="111"/>
      <c r="F9" s="145" t="s">
        <v>674</v>
      </c>
      <c r="G9" s="111">
        <v>2025.0</v>
      </c>
      <c r="H9" s="257">
        <v>2025.0</v>
      </c>
      <c r="I9" s="111"/>
      <c r="J9" s="145" t="s">
        <v>12399</v>
      </c>
      <c r="K9" s="313" t="s">
        <v>19</v>
      </c>
      <c r="L9" s="125"/>
      <c r="M9" s="262" t="s">
        <v>22189</v>
      </c>
      <c r="N9" s="262"/>
      <c r="O9" s="260"/>
      <c r="P9" s="261"/>
      <c r="Q9" s="261"/>
      <c r="R9" s="261"/>
      <c r="S9" s="261"/>
      <c r="T9" s="261"/>
      <c r="U9" s="261"/>
      <c r="V9" s="261"/>
      <c r="W9" s="261"/>
      <c r="X9" s="261"/>
      <c r="Y9" s="261"/>
      <c r="Z9" s="261"/>
    </row>
    <row r="10" ht="30.0" customHeight="1">
      <c r="A10" s="311" t="s">
        <v>23825</v>
      </c>
      <c r="B10" s="127" t="s">
        <v>19</v>
      </c>
      <c r="C10" s="153" t="e">
        <v>#VALUE!</v>
      </c>
      <c r="D10" s="111" t="s">
        <v>8087</v>
      </c>
      <c r="E10" s="111"/>
      <c r="F10" s="145" t="s">
        <v>23503</v>
      </c>
      <c r="G10" s="111">
        <v>2027.0</v>
      </c>
      <c r="H10" s="257">
        <v>2027.0</v>
      </c>
      <c r="I10" s="111"/>
      <c r="J10" s="145" t="s">
        <v>12399</v>
      </c>
      <c r="K10" s="313" t="s">
        <v>19</v>
      </c>
      <c r="L10" s="125"/>
      <c r="M10" s="262" t="s">
        <v>22189</v>
      </c>
      <c r="N10" s="127"/>
      <c r="O10" s="260"/>
      <c r="P10" s="261"/>
      <c r="Q10" s="261"/>
      <c r="R10" s="261"/>
      <c r="S10" s="261"/>
      <c r="T10" s="261"/>
      <c r="U10" s="261"/>
      <c r="V10" s="261"/>
      <c r="W10" s="261"/>
      <c r="X10" s="261"/>
      <c r="Y10" s="261"/>
      <c r="Z10" s="261"/>
    </row>
    <row r="11" ht="30.0" customHeight="1">
      <c r="A11" s="311" t="s">
        <v>23826</v>
      </c>
      <c r="B11" s="127" t="s">
        <v>19</v>
      </c>
      <c r="C11" s="153" t="e">
        <v>#VALUE!</v>
      </c>
      <c r="D11" s="111" t="s">
        <v>10072</v>
      </c>
      <c r="E11" s="111"/>
      <c r="F11" s="145" t="s">
        <v>23827</v>
      </c>
      <c r="G11" s="111">
        <v>2027.0</v>
      </c>
      <c r="H11" s="257">
        <v>2027.0</v>
      </c>
      <c r="I11" s="111"/>
      <c r="J11" s="145" t="s">
        <v>12399</v>
      </c>
      <c r="K11" s="127" t="s">
        <v>23828</v>
      </c>
      <c r="L11" s="125"/>
      <c r="M11" s="262" t="s">
        <v>22189</v>
      </c>
      <c r="N11" s="262"/>
      <c r="O11" s="260"/>
      <c r="P11" s="261"/>
      <c r="Q11" s="261"/>
      <c r="R11" s="261"/>
      <c r="S11" s="261"/>
      <c r="T11" s="261"/>
      <c r="U11" s="261"/>
      <c r="V11" s="261"/>
      <c r="W11" s="261"/>
      <c r="X11" s="261"/>
      <c r="Y11" s="261"/>
      <c r="Z11" s="261"/>
    </row>
    <row r="12" ht="30.0" customHeight="1">
      <c r="A12" s="311" t="s">
        <v>23829</v>
      </c>
      <c r="B12" s="127" t="s">
        <v>19</v>
      </c>
      <c r="C12" s="153" t="e">
        <v>#VALUE!</v>
      </c>
      <c r="D12" s="111" t="s">
        <v>7987</v>
      </c>
      <c r="E12" s="111"/>
      <c r="F12" s="145" t="s">
        <v>20347</v>
      </c>
      <c r="G12" s="111">
        <v>2026.0</v>
      </c>
      <c r="H12" s="257">
        <v>2026.0</v>
      </c>
      <c r="I12" s="111"/>
      <c r="J12" s="145" t="s">
        <v>12399</v>
      </c>
      <c r="K12" s="127" t="s">
        <v>23830</v>
      </c>
      <c r="L12" s="125"/>
      <c r="M12" s="262" t="s">
        <v>22189</v>
      </c>
      <c r="N12" s="262"/>
      <c r="O12" s="260"/>
      <c r="P12" s="261"/>
      <c r="Q12" s="261"/>
      <c r="R12" s="261"/>
      <c r="S12" s="261"/>
      <c r="T12" s="261"/>
      <c r="U12" s="261"/>
      <c r="V12" s="261"/>
      <c r="W12" s="261"/>
      <c r="X12" s="261"/>
      <c r="Y12" s="261"/>
      <c r="Z12" s="261"/>
    </row>
    <row r="13" ht="30.0" customHeight="1">
      <c r="A13" s="311" t="s">
        <v>23831</v>
      </c>
      <c r="B13" s="127" t="s">
        <v>19</v>
      </c>
      <c r="C13" s="153" t="e">
        <v>#VALUE!</v>
      </c>
      <c r="D13" s="111" t="s">
        <v>7987</v>
      </c>
      <c r="E13" s="111"/>
      <c r="F13" s="145" t="s">
        <v>23832</v>
      </c>
      <c r="G13" s="111">
        <v>2026.0</v>
      </c>
      <c r="H13" s="257">
        <v>2026.0</v>
      </c>
      <c r="I13" s="111"/>
      <c r="J13" s="145" t="s">
        <v>12399</v>
      </c>
      <c r="K13" s="127" t="s">
        <v>23833</v>
      </c>
      <c r="L13" s="125"/>
      <c r="M13" s="262" t="s">
        <v>22189</v>
      </c>
      <c r="N13" s="262"/>
      <c r="O13" s="262"/>
      <c r="P13" s="261"/>
      <c r="Q13" s="261"/>
      <c r="R13" s="261"/>
      <c r="S13" s="261"/>
      <c r="T13" s="261"/>
      <c r="U13" s="261"/>
      <c r="V13" s="261"/>
      <c r="W13" s="261"/>
      <c r="X13" s="261"/>
      <c r="Y13" s="261"/>
      <c r="Z13" s="261"/>
    </row>
    <row r="14" ht="30.0" customHeight="1">
      <c r="A14" s="311" t="s">
        <v>23834</v>
      </c>
      <c r="B14" s="127" t="s">
        <v>19</v>
      </c>
      <c r="C14" s="153" t="e">
        <v>#VALUE!</v>
      </c>
      <c r="D14" s="111" t="s">
        <v>7987</v>
      </c>
      <c r="E14" s="111"/>
      <c r="F14" s="145" t="s">
        <v>23835</v>
      </c>
      <c r="G14" s="145" t="s">
        <v>19</v>
      </c>
      <c r="H14" s="312" t="s">
        <v>19</v>
      </c>
      <c r="I14" s="111"/>
      <c r="J14" s="145" t="s">
        <v>12399</v>
      </c>
      <c r="K14" s="127" t="s">
        <v>19</v>
      </c>
      <c r="L14" s="125"/>
      <c r="M14" s="262" t="s">
        <v>22189</v>
      </c>
      <c r="N14" s="262" t="s">
        <v>22189</v>
      </c>
      <c r="O14" s="262"/>
      <c r="P14" s="261"/>
      <c r="Q14" s="261"/>
      <c r="R14" s="261"/>
      <c r="S14" s="261"/>
      <c r="T14" s="261"/>
      <c r="U14" s="261"/>
      <c r="V14" s="261"/>
      <c r="W14" s="261"/>
      <c r="X14" s="261"/>
      <c r="Y14" s="261"/>
      <c r="Z14" s="261"/>
    </row>
    <row r="15" ht="30.0" customHeight="1">
      <c r="A15" s="311" t="s">
        <v>23836</v>
      </c>
      <c r="B15" s="127" t="s">
        <v>19</v>
      </c>
      <c r="C15" s="153" t="s">
        <v>22218</v>
      </c>
      <c r="D15" s="111" t="s">
        <v>7987</v>
      </c>
      <c r="E15" s="111"/>
      <c r="F15" s="145" t="s">
        <v>23837</v>
      </c>
      <c r="G15" s="145" t="s">
        <v>19</v>
      </c>
      <c r="H15" s="312" t="s">
        <v>19</v>
      </c>
      <c r="I15" s="111"/>
      <c r="J15" s="145" t="s">
        <v>12399</v>
      </c>
      <c r="K15" s="127" t="s">
        <v>19</v>
      </c>
      <c r="L15" s="125"/>
      <c r="M15" s="262" t="s">
        <v>22189</v>
      </c>
      <c r="N15" s="262"/>
      <c r="O15" s="262"/>
      <c r="P15" s="261"/>
      <c r="Q15" s="261"/>
      <c r="R15" s="261"/>
      <c r="S15" s="261"/>
      <c r="T15" s="261"/>
      <c r="U15" s="261"/>
      <c r="V15" s="261"/>
      <c r="W15" s="261"/>
      <c r="X15" s="261"/>
      <c r="Y15" s="261"/>
      <c r="Z15" s="261"/>
    </row>
    <row r="16" ht="30.0" customHeight="1">
      <c r="A16" s="311" t="s">
        <v>23838</v>
      </c>
      <c r="B16" s="127" t="s">
        <v>19</v>
      </c>
      <c r="C16" s="153" t="e">
        <v>#VALUE!</v>
      </c>
      <c r="D16" s="111" t="s">
        <v>7987</v>
      </c>
      <c r="E16" s="111"/>
      <c r="F16" s="145" t="s">
        <v>19594</v>
      </c>
      <c r="G16" s="111">
        <v>2028.0</v>
      </c>
      <c r="H16" s="257">
        <v>2028.0</v>
      </c>
      <c r="I16" s="111"/>
      <c r="J16" s="145" t="s">
        <v>12399</v>
      </c>
      <c r="K16" s="127" t="s">
        <v>23839</v>
      </c>
      <c r="L16" s="125"/>
      <c r="M16" s="262" t="s">
        <v>22189</v>
      </c>
      <c r="N16" s="262"/>
      <c r="O16" s="259"/>
      <c r="P16" s="261"/>
      <c r="Q16" s="261"/>
      <c r="R16" s="261"/>
      <c r="S16" s="261"/>
      <c r="T16" s="261"/>
      <c r="U16" s="261"/>
      <c r="V16" s="261"/>
      <c r="W16" s="261"/>
      <c r="X16" s="261"/>
      <c r="Y16" s="261"/>
      <c r="Z16" s="261"/>
    </row>
    <row r="17" ht="30.0" customHeight="1">
      <c r="A17" s="311" t="s">
        <v>23840</v>
      </c>
      <c r="B17" s="127" t="s">
        <v>19</v>
      </c>
      <c r="C17" s="153" t="e">
        <v>#VALUE!</v>
      </c>
      <c r="D17" s="111" t="s">
        <v>7987</v>
      </c>
      <c r="E17" s="111"/>
      <c r="F17" s="145" t="s">
        <v>22124</v>
      </c>
      <c r="G17" s="111">
        <v>2028.0</v>
      </c>
      <c r="H17" s="257">
        <v>2028.0</v>
      </c>
      <c r="I17" s="111"/>
      <c r="J17" s="145" t="s">
        <v>12399</v>
      </c>
      <c r="K17" s="127" t="s">
        <v>19</v>
      </c>
      <c r="L17" s="125"/>
      <c r="M17" s="262" t="s">
        <v>22189</v>
      </c>
      <c r="N17" s="127"/>
      <c r="O17" s="260"/>
      <c r="P17" s="261"/>
      <c r="Q17" s="261"/>
      <c r="R17" s="261"/>
      <c r="S17" s="261"/>
      <c r="T17" s="261"/>
      <c r="U17" s="261"/>
      <c r="V17" s="261"/>
      <c r="W17" s="261"/>
      <c r="X17" s="261"/>
      <c r="Y17" s="261"/>
      <c r="Z17" s="261"/>
    </row>
    <row r="18" ht="31.5" hidden="1" customHeight="1">
      <c r="A18" s="311" t="s">
        <v>23841</v>
      </c>
      <c r="B18" s="127"/>
      <c r="C18" s="153" t="e">
        <v>#VALUE!</v>
      </c>
      <c r="D18" s="111" t="s">
        <v>7967</v>
      </c>
      <c r="E18" s="111"/>
      <c r="F18" s="145" t="s">
        <v>23842</v>
      </c>
      <c r="G18" s="111"/>
      <c r="H18" s="257"/>
      <c r="I18" s="111"/>
      <c r="J18" s="145" t="s">
        <v>12399</v>
      </c>
      <c r="K18" s="127" t="s">
        <v>23843</v>
      </c>
      <c r="L18" s="125"/>
      <c r="M18" s="262" t="s">
        <v>22189</v>
      </c>
      <c r="N18" s="262"/>
      <c r="O18" s="260"/>
      <c r="P18" s="261"/>
      <c r="Q18" s="261"/>
      <c r="R18" s="261"/>
      <c r="S18" s="261"/>
      <c r="T18" s="261"/>
      <c r="U18" s="261"/>
      <c r="V18" s="261"/>
      <c r="W18" s="261"/>
      <c r="X18" s="261"/>
      <c r="Y18" s="261"/>
      <c r="Z18" s="261"/>
    </row>
    <row r="19" ht="73.5" hidden="1" customHeight="1">
      <c r="A19" s="311" t="s">
        <v>23844</v>
      </c>
      <c r="B19" s="127"/>
      <c r="C19" s="153" t="e">
        <v>#VALUE!</v>
      </c>
      <c r="D19" s="111" t="s">
        <v>7967</v>
      </c>
      <c r="E19" s="111"/>
      <c r="F19" s="145" t="s">
        <v>23823</v>
      </c>
      <c r="G19" s="111">
        <v>2026.0</v>
      </c>
      <c r="H19" s="111"/>
      <c r="I19" s="111"/>
      <c r="J19" s="145" t="s">
        <v>12399</v>
      </c>
      <c r="K19" s="127" t="s">
        <v>19</v>
      </c>
      <c r="L19" s="125"/>
      <c r="M19" s="262" t="s">
        <v>22189</v>
      </c>
      <c r="N19" s="127"/>
      <c r="O19" s="260"/>
      <c r="P19" s="261"/>
      <c r="Q19" s="261"/>
      <c r="R19" s="261"/>
      <c r="S19" s="261"/>
      <c r="T19" s="261"/>
      <c r="U19" s="261"/>
      <c r="V19" s="261"/>
      <c r="W19" s="261"/>
      <c r="X19" s="261"/>
      <c r="Y19" s="261"/>
      <c r="Z19" s="261"/>
    </row>
    <row r="20" ht="30.0" customHeight="1">
      <c r="A20" s="311" t="s">
        <v>23845</v>
      </c>
      <c r="B20" s="127" t="s">
        <v>19</v>
      </c>
      <c r="C20" s="153" t="e">
        <v>#VALUE!</v>
      </c>
      <c r="D20" s="111" t="s">
        <v>7967</v>
      </c>
      <c r="E20" s="111"/>
      <c r="F20" s="145" t="s">
        <v>23846</v>
      </c>
      <c r="G20" s="145" t="s">
        <v>19</v>
      </c>
      <c r="H20" s="312" t="s">
        <v>19</v>
      </c>
      <c r="I20" s="111"/>
      <c r="J20" s="145" t="s">
        <v>12399</v>
      </c>
      <c r="K20" s="127" t="s">
        <v>19</v>
      </c>
      <c r="L20" s="125"/>
      <c r="M20" s="262" t="s">
        <v>22189</v>
      </c>
      <c r="N20" s="127"/>
      <c r="O20" s="260"/>
      <c r="P20" s="261"/>
      <c r="Q20" s="261"/>
      <c r="R20" s="261"/>
      <c r="S20" s="261"/>
      <c r="T20" s="261"/>
      <c r="U20" s="261"/>
      <c r="V20" s="261"/>
      <c r="W20" s="261"/>
      <c r="X20" s="261"/>
      <c r="Y20" s="261"/>
      <c r="Z20" s="261"/>
    </row>
    <row r="21" ht="43.5" customHeight="1">
      <c r="A21" s="311" t="s">
        <v>23847</v>
      </c>
      <c r="B21" s="127" t="s">
        <v>23848</v>
      </c>
      <c r="C21" s="153" t="e">
        <v>#VALUE!</v>
      </c>
      <c r="D21" s="111" t="s">
        <v>8031</v>
      </c>
      <c r="E21" s="111"/>
      <c r="F21" s="145" t="s">
        <v>23849</v>
      </c>
      <c r="G21" s="111" t="s">
        <v>19</v>
      </c>
      <c r="H21" s="257" t="s">
        <v>19</v>
      </c>
      <c r="I21" s="111"/>
      <c r="J21" s="145" t="s">
        <v>12399</v>
      </c>
      <c r="K21" s="128" t="s">
        <v>19</v>
      </c>
      <c r="L21" s="126"/>
      <c r="M21" s="262" t="s">
        <v>22189</v>
      </c>
      <c r="N21" s="127"/>
      <c r="O21" s="127"/>
      <c r="P21" s="261"/>
      <c r="Q21" s="261"/>
      <c r="R21" s="261"/>
      <c r="S21" s="261"/>
      <c r="T21" s="261"/>
      <c r="U21" s="261"/>
      <c r="V21" s="261"/>
      <c r="W21" s="261"/>
      <c r="X21" s="261"/>
      <c r="Y21" s="261"/>
      <c r="Z21" s="261"/>
    </row>
    <row r="22" ht="30.0" customHeight="1">
      <c r="A22" s="311" t="s">
        <v>23850</v>
      </c>
      <c r="B22" s="127" t="s">
        <v>19</v>
      </c>
      <c r="C22" s="153" t="e">
        <v>#VALUE!</v>
      </c>
      <c r="D22" s="111" t="s">
        <v>8539</v>
      </c>
      <c r="E22" s="111"/>
      <c r="F22" s="145" t="s">
        <v>23851</v>
      </c>
      <c r="G22" s="111">
        <v>2027.0</v>
      </c>
      <c r="H22" s="257">
        <v>2027.0</v>
      </c>
      <c r="I22" s="111"/>
      <c r="J22" s="145" t="s">
        <v>12399</v>
      </c>
      <c r="K22" s="128" t="s">
        <v>23852</v>
      </c>
      <c r="L22" s="126"/>
      <c r="M22" s="262" t="s">
        <v>22189</v>
      </c>
      <c r="N22" s="262"/>
      <c r="O22" s="127"/>
      <c r="P22" s="261"/>
      <c r="Q22" s="261"/>
      <c r="R22" s="261"/>
      <c r="S22" s="261"/>
      <c r="T22" s="261"/>
      <c r="U22" s="261"/>
      <c r="V22" s="261"/>
      <c r="W22" s="261"/>
      <c r="X22" s="261"/>
      <c r="Y22" s="261"/>
      <c r="Z22" s="261"/>
    </row>
    <row r="23" ht="30.0" customHeight="1">
      <c r="A23" s="311" t="s">
        <v>23853</v>
      </c>
      <c r="B23" s="127" t="s">
        <v>19</v>
      </c>
      <c r="C23" s="153" t="s">
        <v>22218</v>
      </c>
      <c r="D23" s="111" t="s">
        <v>8539</v>
      </c>
      <c r="E23" s="111"/>
      <c r="F23" s="145" t="s">
        <v>23854</v>
      </c>
      <c r="G23" s="111">
        <v>2027.0</v>
      </c>
      <c r="H23" s="257">
        <v>2027.0</v>
      </c>
      <c r="I23" s="111"/>
      <c r="J23" s="145" t="s">
        <v>12399</v>
      </c>
      <c r="K23" s="128" t="s">
        <v>23855</v>
      </c>
      <c r="L23" s="126"/>
      <c r="M23" s="262" t="s">
        <v>22189</v>
      </c>
      <c r="N23" s="127"/>
      <c r="O23" s="127"/>
      <c r="P23" s="261"/>
      <c r="Q23" s="261"/>
      <c r="R23" s="261"/>
      <c r="S23" s="261"/>
      <c r="T23" s="261"/>
      <c r="U23" s="261"/>
      <c r="V23" s="261"/>
      <c r="W23" s="261"/>
      <c r="X23" s="261"/>
      <c r="Y23" s="261"/>
      <c r="Z23" s="261"/>
    </row>
    <row r="24" ht="30.0" customHeight="1">
      <c r="A24" s="311" t="s">
        <v>23856</v>
      </c>
      <c r="B24" s="127" t="s">
        <v>19</v>
      </c>
      <c r="C24" s="153" t="e">
        <v>#VALUE!</v>
      </c>
      <c r="D24" s="111" t="s">
        <v>8539</v>
      </c>
      <c r="E24" s="111"/>
      <c r="F24" s="145" t="s">
        <v>23857</v>
      </c>
      <c r="G24" s="111">
        <v>2027.0</v>
      </c>
      <c r="H24" s="257">
        <v>2027.0</v>
      </c>
      <c r="I24" s="111"/>
      <c r="J24" s="145" t="s">
        <v>12399</v>
      </c>
      <c r="K24" s="128" t="s">
        <v>23858</v>
      </c>
      <c r="L24" s="126"/>
      <c r="M24" s="262" t="s">
        <v>22189</v>
      </c>
      <c r="N24" s="262" t="s">
        <v>22189</v>
      </c>
      <c r="O24" s="127"/>
      <c r="P24" s="261"/>
      <c r="Q24" s="261"/>
      <c r="R24" s="261"/>
      <c r="S24" s="261"/>
      <c r="T24" s="261"/>
      <c r="U24" s="261"/>
      <c r="V24" s="261"/>
      <c r="W24" s="261"/>
      <c r="X24" s="261"/>
      <c r="Y24" s="261"/>
      <c r="Z24" s="261"/>
    </row>
    <row r="25" ht="30.0" customHeight="1">
      <c r="A25" s="311" t="s">
        <v>23859</v>
      </c>
      <c r="B25" s="127" t="s">
        <v>19</v>
      </c>
      <c r="C25" s="153" t="e">
        <v>#VALUE!</v>
      </c>
      <c r="D25" s="111" t="s">
        <v>7991</v>
      </c>
      <c r="E25" s="111"/>
      <c r="F25" s="145" t="s">
        <v>21209</v>
      </c>
      <c r="G25" s="111">
        <v>2027.0</v>
      </c>
      <c r="H25" s="257">
        <v>2027.0</v>
      </c>
      <c r="I25" s="111"/>
      <c r="J25" s="145" t="s">
        <v>12399</v>
      </c>
      <c r="K25" s="127" t="s">
        <v>19</v>
      </c>
      <c r="L25" s="125"/>
      <c r="M25" s="262" t="s">
        <v>22189</v>
      </c>
      <c r="N25" s="127"/>
      <c r="O25" s="127"/>
      <c r="P25" s="261"/>
      <c r="Q25" s="261"/>
      <c r="R25" s="261"/>
      <c r="S25" s="261"/>
      <c r="T25" s="261"/>
      <c r="U25" s="261"/>
      <c r="V25" s="261"/>
      <c r="W25" s="261"/>
      <c r="X25" s="261"/>
      <c r="Y25" s="261"/>
      <c r="Z25" s="261"/>
    </row>
    <row r="26" ht="30.0" customHeight="1">
      <c r="A26" s="311" t="s">
        <v>23860</v>
      </c>
      <c r="B26" s="127" t="s">
        <v>19</v>
      </c>
      <c r="C26" s="153" t="e">
        <v>#VALUE!</v>
      </c>
      <c r="D26" s="111" t="s">
        <v>7991</v>
      </c>
      <c r="E26" s="111"/>
      <c r="F26" s="145" t="s">
        <v>23861</v>
      </c>
      <c r="G26" s="145" t="s">
        <v>19</v>
      </c>
      <c r="H26" s="312" t="s">
        <v>19</v>
      </c>
      <c r="I26" s="111"/>
      <c r="J26" s="145" t="s">
        <v>18638</v>
      </c>
      <c r="K26" s="128" t="s">
        <v>23862</v>
      </c>
      <c r="L26" s="126" t="s">
        <v>23863</v>
      </c>
      <c r="M26" s="262" t="s">
        <v>22189</v>
      </c>
      <c r="N26" s="127"/>
      <c r="O26" s="127"/>
      <c r="P26" s="261"/>
      <c r="Q26" s="261"/>
      <c r="R26" s="261"/>
      <c r="S26" s="261"/>
      <c r="T26" s="261"/>
      <c r="U26" s="261"/>
      <c r="V26" s="261"/>
      <c r="W26" s="261"/>
      <c r="X26" s="261"/>
      <c r="Y26" s="261"/>
      <c r="Z26" s="261"/>
    </row>
    <row r="27" ht="30.0" customHeight="1">
      <c r="A27" s="311"/>
      <c r="B27" s="127"/>
      <c r="C27" s="153"/>
      <c r="D27" s="111"/>
      <c r="E27" s="111"/>
      <c r="F27" s="145"/>
      <c r="G27" s="111"/>
      <c r="H27" s="257"/>
      <c r="I27" s="111"/>
      <c r="J27" s="145"/>
      <c r="K27" s="128"/>
      <c r="L27" s="126"/>
      <c r="M27" s="262"/>
      <c r="N27" s="127"/>
      <c r="O27" s="127"/>
      <c r="P27" s="261"/>
      <c r="Q27" s="261"/>
      <c r="R27" s="261"/>
      <c r="S27" s="261"/>
      <c r="T27" s="261"/>
      <c r="U27" s="261"/>
      <c r="V27" s="261"/>
      <c r="W27" s="261"/>
      <c r="X27" s="261"/>
      <c r="Y27" s="261"/>
      <c r="Z27" s="261"/>
    </row>
    <row r="28" ht="12.75" customHeight="1">
      <c r="A28" s="261"/>
      <c r="B28" s="261"/>
      <c r="C28" s="273"/>
      <c r="D28" s="261"/>
      <c r="E28" s="261"/>
      <c r="F28" s="291"/>
      <c r="G28" s="261"/>
      <c r="H28" s="261"/>
      <c r="I28" s="261"/>
      <c r="J28" s="261"/>
      <c r="K28" s="261"/>
      <c r="L28" s="261"/>
      <c r="M28" s="261"/>
      <c r="N28" s="273"/>
      <c r="O28" s="273"/>
      <c r="P28" s="261"/>
      <c r="Q28" s="261"/>
      <c r="R28" s="261"/>
      <c r="S28" s="261"/>
      <c r="T28" s="261"/>
      <c r="U28" s="261"/>
      <c r="V28" s="261"/>
      <c r="W28" s="261"/>
      <c r="X28" s="261"/>
      <c r="Y28" s="261"/>
      <c r="Z28" s="261"/>
    </row>
    <row r="29" ht="15.0" customHeight="1">
      <c r="A29" s="261"/>
      <c r="B29" s="261"/>
      <c r="C29" s="273"/>
      <c r="D29" s="261"/>
      <c r="E29" s="261"/>
      <c r="F29" s="291"/>
      <c r="G29" s="261"/>
      <c r="H29" s="261"/>
      <c r="I29" s="261"/>
      <c r="J29" s="261"/>
      <c r="K29" s="261"/>
      <c r="L29" s="261"/>
      <c r="M29" s="261"/>
      <c r="N29" s="273"/>
      <c r="O29" s="273"/>
      <c r="P29" s="35"/>
      <c r="Q29" s="261"/>
      <c r="R29" s="261"/>
      <c r="S29" s="261"/>
      <c r="T29" s="261"/>
      <c r="U29" s="261"/>
      <c r="V29" s="261"/>
      <c r="W29" s="261"/>
      <c r="X29" s="261"/>
      <c r="Y29" s="261"/>
      <c r="Z29" s="261"/>
    </row>
    <row r="30" ht="15.75" customHeight="1">
      <c r="A30" s="261"/>
      <c r="B30" s="261"/>
      <c r="C30" s="273"/>
      <c r="D30" s="261"/>
      <c r="E30" s="261"/>
      <c r="F30" s="291"/>
      <c r="G30" s="261"/>
      <c r="H30" s="261"/>
      <c r="I30" s="261"/>
      <c r="J30" s="261"/>
      <c r="K30" s="261"/>
      <c r="L30" s="261"/>
      <c r="M30" s="261"/>
      <c r="N30" s="273"/>
      <c r="O30" s="273"/>
      <c r="Q30" s="261"/>
      <c r="R30" s="261"/>
      <c r="S30" s="261"/>
      <c r="T30" s="261"/>
      <c r="U30" s="261"/>
      <c r="V30" s="261"/>
      <c r="W30" s="261"/>
      <c r="X30" s="261"/>
      <c r="Y30" s="261"/>
      <c r="Z30" s="261"/>
    </row>
    <row r="31" ht="15.75" customHeight="1">
      <c r="A31" s="261"/>
      <c r="B31" s="261"/>
      <c r="C31" s="273"/>
      <c r="D31" s="261"/>
      <c r="E31" s="261"/>
      <c r="F31" s="291"/>
      <c r="G31" s="261"/>
      <c r="H31" s="261"/>
      <c r="I31" s="261"/>
      <c r="J31" s="261"/>
      <c r="K31" s="261"/>
      <c r="L31" s="261"/>
      <c r="M31" s="261"/>
      <c r="N31" s="273"/>
      <c r="O31" s="273"/>
      <c r="Q31" s="261"/>
      <c r="R31" s="261"/>
      <c r="S31" s="261"/>
      <c r="T31" s="261"/>
      <c r="U31" s="261"/>
      <c r="V31" s="261"/>
      <c r="W31" s="261"/>
      <c r="X31" s="261"/>
      <c r="Y31" s="261"/>
      <c r="Z31" s="261"/>
    </row>
    <row r="32" ht="15.75" customHeight="1">
      <c r="A32" s="261"/>
      <c r="B32" s="261"/>
      <c r="C32" s="273"/>
      <c r="D32" s="261"/>
      <c r="E32" s="261"/>
      <c r="F32" s="291"/>
      <c r="G32" s="261"/>
      <c r="H32" s="261"/>
      <c r="I32" s="261"/>
      <c r="J32" s="261"/>
      <c r="K32" s="261"/>
      <c r="L32" s="261"/>
      <c r="M32" s="261"/>
      <c r="N32" s="273"/>
      <c r="O32" s="273"/>
      <c r="Q32" s="261"/>
      <c r="R32" s="261"/>
      <c r="S32" s="261"/>
      <c r="T32" s="261"/>
      <c r="U32" s="261"/>
      <c r="V32" s="261"/>
      <c r="W32" s="261"/>
      <c r="X32" s="261"/>
      <c r="Y32" s="261"/>
      <c r="Z32" s="261"/>
    </row>
    <row r="33" ht="15.75" customHeight="1">
      <c r="A33" s="261"/>
      <c r="B33" s="261"/>
      <c r="C33" s="273"/>
      <c r="D33" s="261"/>
      <c r="E33" s="261"/>
      <c r="F33" s="291"/>
      <c r="G33" s="261"/>
      <c r="H33" s="261"/>
      <c r="I33" s="261"/>
      <c r="J33" s="261"/>
      <c r="K33" s="261"/>
      <c r="L33" s="261"/>
      <c r="M33" s="261"/>
      <c r="N33" s="273"/>
      <c r="O33" s="273"/>
      <c r="Q33" s="261"/>
      <c r="R33" s="261"/>
      <c r="S33" s="261"/>
      <c r="T33" s="261"/>
      <c r="U33" s="261"/>
      <c r="V33" s="261"/>
      <c r="W33" s="261"/>
      <c r="X33" s="261"/>
      <c r="Y33" s="261"/>
      <c r="Z33" s="261"/>
    </row>
    <row r="34" ht="15.75" customHeight="1">
      <c r="A34" s="261"/>
      <c r="B34" s="261"/>
      <c r="C34" s="273"/>
      <c r="D34" s="261"/>
      <c r="E34" s="261"/>
      <c r="F34" s="291"/>
      <c r="G34" s="261"/>
      <c r="H34" s="261"/>
      <c r="I34" s="261"/>
      <c r="J34" s="261"/>
      <c r="K34" s="261"/>
      <c r="L34" s="261"/>
      <c r="M34" s="261"/>
      <c r="N34" s="273"/>
      <c r="O34" s="273"/>
      <c r="Q34" s="261"/>
      <c r="R34" s="261"/>
      <c r="S34" s="261"/>
      <c r="T34" s="261"/>
      <c r="U34" s="261"/>
      <c r="V34" s="261"/>
      <c r="W34" s="261"/>
      <c r="X34" s="261"/>
      <c r="Y34" s="261"/>
      <c r="Z34" s="261"/>
    </row>
    <row r="35" ht="15.75" customHeight="1">
      <c r="A35" s="261"/>
      <c r="B35" s="261"/>
      <c r="C35" s="273"/>
      <c r="D35" s="261"/>
      <c r="E35" s="261"/>
      <c r="F35" s="291"/>
      <c r="G35" s="261"/>
      <c r="H35" s="261"/>
      <c r="I35" s="261"/>
      <c r="J35" s="261"/>
      <c r="K35" s="261"/>
      <c r="L35" s="261"/>
      <c r="M35" s="261"/>
      <c r="N35" s="273"/>
      <c r="O35" s="273"/>
      <c r="Q35" s="261"/>
      <c r="R35" s="261"/>
      <c r="S35" s="261"/>
      <c r="T35" s="261"/>
      <c r="U35" s="261"/>
      <c r="V35" s="261"/>
      <c r="W35" s="261"/>
      <c r="X35" s="261"/>
      <c r="Y35" s="261"/>
      <c r="Z35" s="261"/>
    </row>
    <row r="36" ht="15.75" customHeight="1">
      <c r="A36" s="261"/>
      <c r="B36" s="261"/>
      <c r="C36" s="273"/>
      <c r="D36" s="261"/>
      <c r="E36" s="261"/>
      <c r="F36" s="291"/>
      <c r="G36" s="261"/>
      <c r="H36" s="261"/>
      <c r="I36" s="261"/>
      <c r="J36" s="261"/>
      <c r="K36" s="261"/>
      <c r="L36" s="261"/>
      <c r="M36" s="261"/>
      <c r="N36" s="273"/>
      <c r="O36" s="273"/>
      <c r="Q36" s="261"/>
      <c r="R36" s="261"/>
      <c r="S36" s="261"/>
      <c r="T36" s="261"/>
      <c r="U36" s="261"/>
      <c r="V36" s="261"/>
      <c r="W36" s="261"/>
      <c r="X36" s="261"/>
      <c r="Y36" s="261"/>
      <c r="Z36" s="261"/>
    </row>
    <row r="37" ht="15.75" customHeight="1">
      <c r="A37" s="261"/>
      <c r="B37" s="261"/>
      <c r="C37" s="273"/>
      <c r="D37" s="261"/>
      <c r="E37" s="261"/>
      <c r="F37" s="291"/>
      <c r="G37" s="261"/>
      <c r="H37" s="261"/>
      <c r="I37" s="261"/>
      <c r="J37" s="261"/>
      <c r="K37" s="261"/>
      <c r="L37" s="261"/>
      <c r="M37" s="261"/>
      <c r="N37" s="273"/>
      <c r="O37" s="273"/>
      <c r="Q37" s="261"/>
      <c r="R37" s="261"/>
      <c r="S37" s="261"/>
      <c r="T37" s="261"/>
      <c r="U37" s="261"/>
      <c r="V37" s="261"/>
      <c r="W37" s="261"/>
      <c r="X37" s="261"/>
      <c r="Y37" s="261"/>
      <c r="Z37" s="261"/>
    </row>
    <row r="38" ht="15.75" customHeight="1">
      <c r="A38" s="261"/>
      <c r="B38" s="261"/>
      <c r="C38" s="273"/>
      <c r="D38" s="261"/>
      <c r="E38" s="261"/>
      <c r="F38" s="291"/>
      <c r="G38" s="261"/>
      <c r="H38" s="261"/>
      <c r="I38" s="261"/>
      <c r="J38" s="261"/>
      <c r="K38" s="261"/>
      <c r="L38" s="261"/>
      <c r="M38" s="261"/>
      <c r="N38" s="273"/>
      <c r="O38" s="273"/>
      <c r="Q38" s="261"/>
      <c r="R38" s="261"/>
      <c r="S38" s="261"/>
      <c r="T38" s="261"/>
      <c r="U38" s="261"/>
      <c r="V38" s="261"/>
      <c r="W38" s="261"/>
      <c r="X38" s="261"/>
      <c r="Y38" s="261"/>
      <c r="Z38" s="261"/>
    </row>
    <row r="39" ht="15.75" customHeight="1">
      <c r="A39" s="261"/>
      <c r="B39" s="261"/>
      <c r="C39" s="273"/>
      <c r="D39" s="261"/>
      <c r="E39" s="261"/>
      <c r="F39" s="291"/>
      <c r="G39" s="261"/>
      <c r="H39" s="261"/>
      <c r="I39" s="261"/>
      <c r="J39" s="261"/>
      <c r="K39" s="261"/>
      <c r="L39" s="261"/>
      <c r="M39" s="261"/>
      <c r="N39" s="273"/>
      <c r="O39" s="273"/>
      <c r="Q39" s="261"/>
      <c r="R39" s="261"/>
      <c r="S39" s="261"/>
      <c r="T39" s="261"/>
      <c r="U39" s="261"/>
      <c r="V39" s="261"/>
      <c r="W39" s="261"/>
      <c r="X39" s="261"/>
      <c r="Y39" s="261"/>
      <c r="Z39" s="261"/>
    </row>
    <row r="40" ht="15.75" customHeight="1">
      <c r="A40" s="261"/>
      <c r="B40" s="261"/>
      <c r="C40" s="273"/>
      <c r="D40" s="261"/>
      <c r="E40" s="261"/>
      <c r="F40" s="291"/>
      <c r="G40" s="261"/>
      <c r="H40" s="261"/>
      <c r="I40" s="261"/>
      <c r="J40" s="261"/>
      <c r="K40" s="261"/>
      <c r="L40" s="261"/>
      <c r="M40" s="261"/>
      <c r="N40" s="273"/>
      <c r="O40" s="273"/>
      <c r="Q40" s="261"/>
      <c r="R40" s="261"/>
      <c r="S40" s="261"/>
      <c r="T40" s="261"/>
      <c r="U40" s="261"/>
      <c r="V40" s="261"/>
      <c r="W40" s="261"/>
      <c r="X40" s="261"/>
      <c r="Y40" s="261"/>
      <c r="Z40" s="261"/>
    </row>
    <row r="41" ht="15.75" customHeight="1">
      <c r="A41" s="261"/>
      <c r="B41" s="261"/>
      <c r="C41" s="273"/>
      <c r="D41" s="261"/>
      <c r="E41" s="261"/>
      <c r="F41" s="291"/>
      <c r="G41" s="261"/>
      <c r="H41" s="261"/>
      <c r="I41" s="261"/>
      <c r="J41" s="261"/>
      <c r="K41" s="261"/>
      <c r="L41" s="261"/>
      <c r="M41" s="261"/>
      <c r="N41" s="273"/>
      <c r="O41" s="273"/>
      <c r="Q41" s="261"/>
      <c r="R41" s="261"/>
      <c r="S41" s="261"/>
      <c r="T41" s="261"/>
      <c r="U41" s="261"/>
      <c r="V41" s="261"/>
      <c r="W41" s="261"/>
      <c r="X41" s="261"/>
      <c r="Y41" s="261"/>
      <c r="Z41" s="261"/>
    </row>
    <row r="42" ht="15.75" customHeight="1">
      <c r="A42" s="261"/>
      <c r="B42" s="261"/>
      <c r="C42" s="273"/>
      <c r="D42" s="261"/>
      <c r="E42" s="261"/>
      <c r="F42" s="291"/>
      <c r="G42" s="261"/>
      <c r="H42" s="261"/>
      <c r="I42" s="261"/>
      <c r="J42" s="261"/>
      <c r="K42" s="261"/>
      <c r="L42" s="261"/>
      <c r="M42" s="261"/>
      <c r="N42" s="273"/>
      <c r="O42" s="273"/>
      <c r="Q42" s="261"/>
      <c r="R42" s="261"/>
      <c r="S42" s="261"/>
      <c r="T42" s="261"/>
      <c r="U42" s="261"/>
      <c r="V42" s="261"/>
      <c r="W42" s="261"/>
      <c r="X42" s="261"/>
      <c r="Y42" s="261"/>
      <c r="Z42" s="261"/>
    </row>
    <row r="43" ht="15.75" customHeight="1">
      <c r="A43" s="261"/>
      <c r="B43" s="261"/>
      <c r="C43" s="273"/>
      <c r="D43" s="261"/>
      <c r="E43" s="261"/>
      <c r="F43" s="291"/>
      <c r="G43" s="261"/>
      <c r="H43" s="261"/>
      <c r="I43" s="261"/>
      <c r="J43" s="261"/>
      <c r="K43" s="261"/>
      <c r="L43" s="261"/>
      <c r="M43" s="261"/>
      <c r="N43" s="273"/>
      <c r="O43" s="273"/>
      <c r="Q43" s="261"/>
      <c r="R43" s="261"/>
      <c r="S43" s="261"/>
      <c r="T43" s="261"/>
      <c r="U43" s="261"/>
      <c r="V43" s="261"/>
      <c r="W43" s="261"/>
      <c r="X43" s="261"/>
      <c r="Y43" s="261"/>
      <c r="Z43" s="261"/>
    </row>
    <row r="44" ht="15.75" customHeight="1">
      <c r="A44" s="261"/>
      <c r="B44" s="261"/>
      <c r="C44" s="273"/>
      <c r="D44" s="261"/>
      <c r="E44" s="261"/>
      <c r="F44" s="291"/>
      <c r="G44" s="261"/>
      <c r="H44" s="261"/>
      <c r="I44" s="261"/>
      <c r="J44" s="261"/>
      <c r="K44" s="261"/>
      <c r="L44" s="261"/>
      <c r="M44" s="261"/>
      <c r="N44" s="273"/>
      <c r="O44" s="273"/>
      <c r="Q44" s="261"/>
      <c r="R44" s="261"/>
      <c r="S44" s="261"/>
      <c r="T44" s="261"/>
      <c r="U44" s="261"/>
      <c r="V44" s="261"/>
      <c r="W44" s="261"/>
      <c r="X44" s="261"/>
      <c r="Y44" s="261"/>
      <c r="Z44" s="261"/>
    </row>
    <row r="45" ht="15.75" customHeight="1">
      <c r="A45" s="261"/>
      <c r="B45" s="261"/>
      <c r="C45" s="273"/>
      <c r="D45" s="261"/>
      <c r="E45" s="261"/>
      <c r="F45" s="291"/>
      <c r="G45" s="261"/>
      <c r="H45" s="261"/>
      <c r="I45" s="261"/>
      <c r="J45" s="261"/>
      <c r="K45" s="261"/>
      <c r="L45" s="261"/>
      <c r="M45" s="261"/>
      <c r="N45" s="273"/>
      <c r="O45" s="273"/>
      <c r="Q45" s="261"/>
      <c r="R45" s="261"/>
      <c r="S45" s="261"/>
      <c r="T45" s="261"/>
      <c r="U45" s="261"/>
      <c r="V45" s="261"/>
      <c r="W45" s="261"/>
      <c r="X45" s="261"/>
      <c r="Y45" s="261"/>
      <c r="Z45" s="261"/>
    </row>
    <row r="46" ht="15.75" customHeight="1">
      <c r="A46" s="261"/>
      <c r="B46" s="261"/>
      <c r="C46" s="273"/>
      <c r="D46" s="261"/>
      <c r="E46" s="261"/>
      <c r="F46" s="291"/>
      <c r="G46" s="261"/>
      <c r="H46" s="261"/>
      <c r="I46" s="261"/>
      <c r="J46" s="261"/>
      <c r="K46" s="261"/>
      <c r="L46" s="261"/>
      <c r="M46" s="261"/>
      <c r="N46" s="273"/>
      <c r="O46" s="273"/>
      <c r="Q46" s="261"/>
      <c r="R46" s="261"/>
      <c r="S46" s="261"/>
      <c r="T46" s="261"/>
      <c r="U46" s="261"/>
      <c r="V46" s="261"/>
      <c r="W46" s="261"/>
      <c r="X46" s="261"/>
      <c r="Y46" s="261"/>
      <c r="Z46" s="261"/>
    </row>
    <row r="47" ht="15.75" customHeight="1">
      <c r="A47" s="261"/>
      <c r="B47" s="261"/>
      <c r="C47" s="273"/>
      <c r="D47" s="261"/>
      <c r="E47" s="261"/>
      <c r="F47" s="291"/>
      <c r="G47" s="261"/>
      <c r="H47" s="261"/>
      <c r="I47" s="261"/>
      <c r="J47" s="261"/>
      <c r="K47" s="261"/>
      <c r="L47" s="261"/>
      <c r="M47" s="261"/>
      <c r="N47" s="273"/>
      <c r="O47" s="273"/>
      <c r="Q47" s="261"/>
      <c r="R47" s="261"/>
      <c r="S47" s="261"/>
      <c r="T47" s="261"/>
      <c r="U47" s="261"/>
      <c r="V47" s="261"/>
      <c r="W47" s="261"/>
      <c r="X47" s="261"/>
      <c r="Y47" s="261"/>
      <c r="Z47" s="261"/>
    </row>
    <row r="48" ht="15.75" customHeight="1">
      <c r="A48" s="261"/>
      <c r="B48" s="261"/>
      <c r="C48" s="273"/>
      <c r="D48" s="261"/>
      <c r="E48" s="261"/>
      <c r="F48" s="291"/>
      <c r="G48" s="261"/>
      <c r="H48" s="261"/>
      <c r="I48" s="261"/>
      <c r="J48" s="261"/>
      <c r="K48" s="261"/>
      <c r="L48" s="261"/>
      <c r="M48" s="261"/>
      <c r="N48" s="273"/>
      <c r="O48" s="273"/>
      <c r="Q48" s="261"/>
      <c r="R48" s="261"/>
      <c r="S48" s="261"/>
      <c r="T48" s="261"/>
      <c r="U48" s="261"/>
      <c r="V48" s="261"/>
      <c r="W48" s="261"/>
      <c r="X48" s="261"/>
      <c r="Y48" s="261"/>
      <c r="Z48" s="261"/>
    </row>
    <row r="49" ht="15.75" customHeight="1">
      <c r="A49" s="261"/>
      <c r="B49" s="261"/>
      <c r="C49" s="273"/>
      <c r="D49" s="261"/>
      <c r="E49" s="261"/>
      <c r="F49" s="291"/>
      <c r="G49" s="261"/>
      <c r="H49" s="261"/>
      <c r="I49" s="261"/>
      <c r="J49" s="261"/>
      <c r="K49" s="261"/>
      <c r="L49" s="261"/>
      <c r="M49" s="261"/>
      <c r="N49" s="273"/>
      <c r="O49" s="273"/>
      <c r="Q49" s="261"/>
      <c r="R49" s="261"/>
      <c r="S49" s="261"/>
      <c r="T49" s="261"/>
      <c r="U49" s="261"/>
      <c r="V49" s="261"/>
      <c r="W49" s="261"/>
      <c r="X49" s="261"/>
      <c r="Y49" s="261"/>
      <c r="Z49" s="261"/>
    </row>
    <row r="50" ht="15.75" customHeight="1">
      <c r="A50" s="261"/>
      <c r="B50" s="261"/>
      <c r="C50" s="273"/>
      <c r="D50" s="261"/>
      <c r="E50" s="261"/>
      <c r="F50" s="291"/>
      <c r="G50" s="261"/>
      <c r="H50" s="261"/>
      <c r="I50" s="261"/>
      <c r="J50" s="261"/>
      <c r="K50" s="261"/>
      <c r="L50" s="261"/>
      <c r="M50" s="261"/>
      <c r="N50" s="273"/>
      <c r="O50" s="273"/>
      <c r="Q50" s="261"/>
      <c r="R50" s="261"/>
      <c r="S50" s="261"/>
      <c r="T50" s="261"/>
      <c r="U50" s="261"/>
      <c r="V50" s="261"/>
      <c r="W50" s="261"/>
      <c r="X50" s="261"/>
      <c r="Y50" s="261"/>
      <c r="Z50" s="261"/>
    </row>
    <row r="51" ht="15.75" customHeight="1">
      <c r="A51" s="261"/>
      <c r="B51" s="261"/>
      <c r="C51" s="273"/>
      <c r="D51" s="261"/>
      <c r="E51" s="261"/>
      <c r="F51" s="291"/>
      <c r="G51" s="261"/>
      <c r="H51" s="261"/>
      <c r="I51" s="261"/>
      <c r="J51" s="261"/>
      <c r="K51" s="261"/>
      <c r="L51" s="261"/>
      <c r="M51" s="261"/>
      <c r="N51" s="273"/>
      <c r="O51" s="273"/>
      <c r="Q51" s="261"/>
      <c r="R51" s="261"/>
      <c r="S51" s="261"/>
      <c r="T51" s="261"/>
      <c r="U51" s="261"/>
      <c r="V51" s="261"/>
      <c r="W51" s="261"/>
      <c r="X51" s="261"/>
      <c r="Y51" s="261"/>
      <c r="Z51" s="261"/>
    </row>
    <row r="52" ht="15.75" customHeight="1">
      <c r="A52" s="261"/>
      <c r="B52" s="261"/>
      <c r="C52" s="273"/>
      <c r="D52" s="261"/>
      <c r="E52" s="261"/>
      <c r="F52" s="291"/>
      <c r="G52" s="261"/>
      <c r="H52" s="261"/>
      <c r="I52" s="261"/>
      <c r="J52" s="261"/>
      <c r="K52" s="261"/>
      <c r="L52" s="261"/>
      <c r="M52" s="261"/>
      <c r="N52" s="273"/>
      <c r="O52" s="273"/>
      <c r="Q52" s="261"/>
      <c r="R52" s="261"/>
      <c r="S52" s="261"/>
      <c r="T52" s="261"/>
      <c r="U52" s="261"/>
      <c r="V52" s="261"/>
      <c r="W52" s="261"/>
      <c r="X52" s="261"/>
      <c r="Y52" s="261"/>
      <c r="Z52" s="261"/>
    </row>
    <row r="53" ht="15.75" customHeight="1">
      <c r="A53" s="261"/>
      <c r="B53" s="261"/>
      <c r="C53" s="273"/>
      <c r="D53" s="261"/>
      <c r="E53" s="261"/>
      <c r="F53" s="291"/>
      <c r="G53" s="261"/>
      <c r="H53" s="261"/>
      <c r="I53" s="261"/>
      <c r="J53" s="261"/>
      <c r="K53" s="261"/>
      <c r="L53" s="261"/>
      <c r="M53" s="261"/>
      <c r="N53" s="273"/>
      <c r="O53" s="273"/>
      <c r="Q53" s="261"/>
      <c r="R53" s="261"/>
      <c r="S53" s="261"/>
      <c r="T53" s="261"/>
      <c r="U53" s="261"/>
      <c r="V53" s="261"/>
      <c r="W53" s="261"/>
      <c r="X53" s="261"/>
      <c r="Y53" s="261"/>
      <c r="Z53" s="261"/>
    </row>
    <row r="54" ht="15.75" customHeight="1">
      <c r="A54" s="261"/>
      <c r="B54" s="261"/>
      <c r="C54" s="273"/>
      <c r="D54" s="261"/>
      <c r="E54" s="261"/>
      <c r="F54" s="291"/>
      <c r="G54" s="261"/>
      <c r="H54" s="261"/>
      <c r="I54" s="261"/>
      <c r="J54" s="261"/>
      <c r="K54" s="261"/>
      <c r="L54" s="261"/>
      <c r="M54" s="261"/>
      <c r="N54" s="273"/>
      <c r="O54" s="273"/>
      <c r="Q54" s="261"/>
      <c r="R54" s="261"/>
      <c r="S54" s="261"/>
      <c r="T54" s="261"/>
      <c r="U54" s="261"/>
      <c r="V54" s="261"/>
      <c r="W54" s="261"/>
      <c r="X54" s="261"/>
      <c r="Y54" s="261"/>
      <c r="Z54" s="261"/>
    </row>
    <row r="55" ht="15.75" customHeight="1">
      <c r="A55" s="261"/>
      <c r="B55" s="261"/>
      <c r="C55" s="273"/>
      <c r="D55" s="261"/>
      <c r="E55" s="261"/>
      <c r="F55" s="291"/>
      <c r="G55" s="261"/>
      <c r="H55" s="261"/>
      <c r="I55" s="261"/>
      <c r="J55" s="261"/>
      <c r="K55" s="261"/>
      <c r="L55" s="261"/>
      <c r="M55" s="261"/>
      <c r="N55" s="273"/>
      <c r="O55" s="273"/>
      <c r="Q55" s="261"/>
      <c r="R55" s="261"/>
      <c r="S55" s="261"/>
      <c r="T55" s="261"/>
      <c r="U55" s="261"/>
      <c r="V55" s="261"/>
      <c r="W55" s="261"/>
      <c r="X55" s="261"/>
      <c r="Y55" s="261"/>
      <c r="Z55" s="261"/>
    </row>
    <row r="56" ht="15.75" customHeight="1">
      <c r="A56" s="261"/>
      <c r="B56" s="261"/>
      <c r="C56" s="273"/>
      <c r="D56" s="261"/>
      <c r="E56" s="261"/>
      <c r="F56" s="291"/>
      <c r="G56" s="261"/>
      <c r="H56" s="261"/>
      <c r="I56" s="261"/>
      <c r="J56" s="261"/>
      <c r="K56" s="261"/>
      <c r="L56" s="261"/>
      <c r="M56" s="261"/>
      <c r="N56" s="273"/>
      <c r="O56" s="273"/>
      <c r="Q56" s="261"/>
      <c r="R56" s="261"/>
      <c r="S56" s="261"/>
      <c r="T56" s="261"/>
      <c r="U56" s="261"/>
      <c r="V56" s="261"/>
      <c r="W56" s="261"/>
      <c r="X56" s="261"/>
      <c r="Y56" s="261"/>
      <c r="Z56" s="261"/>
    </row>
    <row r="57" ht="15.75" customHeight="1">
      <c r="A57" s="261"/>
      <c r="B57" s="261"/>
      <c r="C57" s="273"/>
      <c r="D57" s="261"/>
      <c r="E57" s="261"/>
      <c r="F57" s="291"/>
      <c r="G57" s="261"/>
      <c r="H57" s="261"/>
      <c r="I57" s="261"/>
      <c r="J57" s="261"/>
      <c r="K57" s="261"/>
      <c r="L57" s="261"/>
      <c r="M57" s="261"/>
      <c r="N57" s="273"/>
      <c r="O57" s="273"/>
      <c r="Q57" s="261"/>
      <c r="R57" s="261"/>
      <c r="S57" s="261"/>
      <c r="T57" s="261"/>
      <c r="U57" s="261"/>
      <c r="V57" s="261"/>
      <c r="W57" s="261"/>
      <c r="X57" s="261"/>
      <c r="Y57" s="261"/>
      <c r="Z57" s="261"/>
    </row>
    <row r="58" ht="15.75" customHeight="1">
      <c r="A58" s="261"/>
      <c r="B58" s="261"/>
      <c r="C58" s="273"/>
      <c r="D58" s="261"/>
      <c r="E58" s="261"/>
      <c r="F58" s="291"/>
      <c r="G58" s="261"/>
      <c r="H58" s="261"/>
      <c r="I58" s="261"/>
      <c r="J58" s="261"/>
      <c r="K58" s="261"/>
      <c r="L58" s="261"/>
      <c r="M58" s="261"/>
      <c r="N58" s="273"/>
      <c r="O58" s="273"/>
      <c r="Q58" s="261"/>
      <c r="R58" s="261"/>
      <c r="S58" s="261"/>
      <c r="T58" s="261"/>
      <c r="U58" s="261"/>
      <c r="V58" s="261"/>
      <c r="W58" s="261"/>
      <c r="X58" s="261"/>
      <c r="Y58" s="261"/>
      <c r="Z58" s="261"/>
    </row>
    <row r="59" ht="15.75" customHeight="1">
      <c r="A59" s="261"/>
      <c r="B59" s="261"/>
      <c r="C59" s="273"/>
      <c r="D59" s="261"/>
      <c r="E59" s="261"/>
      <c r="F59" s="291"/>
      <c r="G59" s="261"/>
      <c r="H59" s="261"/>
      <c r="I59" s="261"/>
      <c r="J59" s="261"/>
      <c r="K59" s="261"/>
      <c r="L59" s="261"/>
      <c r="M59" s="261"/>
      <c r="N59" s="273"/>
      <c r="O59" s="273"/>
      <c r="Q59" s="261"/>
      <c r="R59" s="261"/>
      <c r="S59" s="261"/>
      <c r="T59" s="261"/>
      <c r="U59" s="261"/>
      <c r="V59" s="261"/>
      <c r="W59" s="261"/>
      <c r="X59" s="261"/>
      <c r="Y59" s="261"/>
      <c r="Z59" s="261"/>
    </row>
    <row r="60" ht="15.75" customHeight="1">
      <c r="A60" s="261"/>
      <c r="B60" s="261"/>
      <c r="C60" s="273"/>
      <c r="D60" s="261"/>
      <c r="E60" s="261"/>
      <c r="F60" s="291"/>
      <c r="G60" s="261"/>
      <c r="H60" s="261"/>
      <c r="I60" s="261"/>
      <c r="J60" s="261"/>
      <c r="K60" s="261"/>
      <c r="L60" s="261"/>
      <c r="M60" s="261"/>
      <c r="N60" s="273"/>
      <c r="O60" s="273"/>
      <c r="Q60" s="261"/>
      <c r="R60" s="261"/>
      <c r="S60" s="261"/>
      <c r="T60" s="261"/>
      <c r="U60" s="261"/>
      <c r="V60" s="261"/>
      <c r="W60" s="261"/>
      <c r="X60" s="261"/>
      <c r="Y60" s="261"/>
      <c r="Z60" s="261"/>
    </row>
    <row r="61" ht="15.75" customHeight="1">
      <c r="A61" s="261"/>
      <c r="B61" s="261"/>
      <c r="C61" s="273"/>
      <c r="D61" s="261"/>
      <c r="E61" s="261"/>
      <c r="F61" s="291"/>
      <c r="G61" s="261"/>
      <c r="H61" s="261"/>
      <c r="I61" s="261"/>
      <c r="J61" s="261"/>
      <c r="K61" s="261"/>
      <c r="L61" s="261"/>
      <c r="M61" s="261"/>
      <c r="N61" s="273"/>
      <c r="O61" s="273"/>
      <c r="Q61" s="261"/>
      <c r="R61" s="261"/>
      <c r="S61" s="261"/>
      <c r="T61" s="261"/>
      <c r="U61" s="261"/>
      <c r="V61" s="261"/>
      <c r="W61" s="261"/>
      <c r="X61" s="261"/>
      <c r="Y61" s="261"/>
      <c r="Z61" s="261"/>
    </row>
    <row r="62" ht="15.75" customHeight="1">
      <c r="A62" s="261"/>
      <c r="B62" s="261"/>
      <c r="C62" s="273"/>
      <c r="D62" s="261"/>
      <c r="E62" s="261"/>
      <c r="F62" s="291"/>
      <c r="G62" s="261"/>
      <c r="H62" s="261"/>
      <c r="I62" s="261"/>
      <c r="J62" s="261"/>
      <c r="K62" s="261"/>
      <c r="L62" s="261"/>
      <c r="M62" s="261"/>
      <c r="N62" s="273"/>
      <c r="O62" s="273"/>
      <c r="Q62" s="261"/>
      <c r="R62" s="261"/>
      <c r="S62" s="261"/>
      <c r="T62" s="261"/>
      <c r="U62" s="261"/>
      <c r="V62" s="261"/>
      <c r="W62" s="261"/>
      <c r="X62" s="261"/>
      <c r="Y62" s="261"/>
      <c r="Z62" s="261"/>
    </row>
    <row r="63" ht="15.75" customHeight="1">
      <c r="A63" s="261"/>
      <c r="B63" s="261"/>
      <c r="C63" s="273"/>
      <c r="D63" s="261"/>
      <c r="E63" s="261"/>
      <c r="F63" s="291"/>
      <c r="G63" s="261"/>
      <c r="H63" s="261"/>
      <c r="I63" s="261"/>
      <c r="J63" s="261"/>
      <c r="K63" s="261"/>
      <c r="L63" s="261"/>
      <c r="M63" s="261"/>
      <c r="N63" s="273"/>
      <c r="O63" s="273"/>
      <c r="Q63" s="261"/>
      <c r="R63" s="261"/>
      <c r="S63" s="261"/>
      <c r="T63" s="261"/>
      <c r="U63" s="261"/>
      <c r="V63" s="261"/>
      <c r="W63" s="261"/>
      <c r="X63" s="261"/>
      <c r="Y63" s="261"/>
      <c r="Z63" s="261"/>
    </row>
    <row r="64" ht="15.75" customHeight="1">
      <c r="A64" s="261"/>
      <c r="B64" s="261"/>
      <c r="C64" s="273"/>
      <c r="D64" s="261"/>
      <c r="E64" s="261"/>
      <c r="F64" s="291"/>
      <c r="G64" s="261"/>
      <c r="H64" s="261"/>
      <c r="I64" s="261"/>
      <c r="J64" s="261"/>
      <c r="K64" s="261"/>
      <c r="L64" s="261"/>
      <c r="M64" s="261"/>
      <c r="N64" s="273"/>
      <c r="O64" s="273"/>
      <c r="Q64" s="261"/>
      <c r="R64" s="261"/>
      <c r="S64" s="261"/>
      <c r="T64" s="261"/>
      <c r="U64" s="261"/>
      <c r="V64" s="261"/>
      <c r="W64" s="261"/>
      <c r="X64" s="261"/>
      <c r="Y64" s="261"/>
      <c r="Z64" s="261"/>
    </row>
    <row r="65" ht="15.75" customHeight="1">
      <c r="A65" s="261"/>
      <c r="B65" s="261"/>
      <c r="C65" s="273"/>
      <c r="D65" s="261"/>
      <c r="E65" s="261"/>
      <c r="F65" s="291"/>
      <c r="G65" s="261"/>
      <c r="H65" s="261"/>
      <c r="I65" s="261"/>
      <c r="J65" s="261"/>
      <c r="K65" s="261"/>
      <c r="L65" s="261"/>
      <c r="M65" s="261"/>
      <c r="N65" s="273"/>
      <c r="O65" s="273"/>
      <c r="Q65" s="261"/>
      <c r="R65" s="261"/>
      <c r="S65" s="261"/>
      <c r="T65" s="261"/>
      <c r="U65" s="261"/>
      <c r="V65" s="261"/>
      <c r="W65" s="261"/>
      <c r="X65" s="261"/>
      <c r="Y65" s="261"/>
      <c r="Z65" s="261"/>
    </row>
    <row r="66" ht="15.75" customHeight="1">
      <c r="A66" s="261"/>
      <c r="B66" s="261"/>
      <c r="C66" s="273"/>
      <c r="D66" s="261"/>
      <c r="E66" s="261"/>
      <c r="F66" s="291"/>
      <c r="G66" s="261"/>
      <c r="H66" s="261"/>
      <c r="I66" s="261"/>
      <c r="J66" s="261"/>
      <c r="K66" s="261"/>
      <c r="L66" s="261"/>
      <c r="M66" s="261"/>
      <c r="N66" s="273"/>
      <c r="O66" s="273"/>
      <c r="Q66" s="261"/>
      <c r="R66" s="261"/>
      <c r="S66" s="261"/>
      <c r="T66" s="261"/>
      <c r="U66" s="261"/>
      <c r="V66" s="261"/>
      <c r="W66" s="261"/>
      <c r="X66" s="261"/>
      <c r="Y66" s="261"/>
      <c r="Z66" s="261"/>
    </row>
    <row r="67" ht="15.75" customHeight="1">
      <c r="A67" s="261"/>
      <c r="B67" s="261"/>
      <c r="C67" s="273"/>
      <c r="D67" s="261"/>
      <c r="E67" s="261"/>
      <c r="F67" s="291"/>
      <c r="G67" s="261"/>
      <c r="H67" s="261"/>
      <c r="I67" s="261"/>
      <c r="J67" s="261"/>
      <c r="K67" s="261"/>
      <c r="L67" s="261"/>
      <c r="M67" s="261"/>
      <c r="N67" s="273"/>
      <c r="O67" s="273"/>
      <c r="Q67" s="261"/>
      <c r="R67" s="261"/>
      <c r="S67" s="261"/>
      <c r="T67" s="261"/>
      <c r="U67" s="261"/>
      <c r="V67" s="261"/>
      <c r="W67" s="261"/>
      <c r="X67" s="261"/>
      <c r="Y67" s="261"/>
      <c r="Z67" s="261"/>
    </row>
    <row r="68" ht="15.75" customHeight="1">
      <c r="A68" s="261"/>
      <c r="B68" s="261"/>
      <c r="C68" s="273"/>
      <c r="D68" s="261"/>
      <c r="E68" s="261"/>
      <c r="F68" s="291"/>
      <c r="G68" s="261"/>
      <c r="H68" s="261"/>
      <c r="I68" s="261"/>
      <c r="J68" s="261"/>
      <c r="K68" s="261"/>
      <c r="L68" s="261"/>
      <c r="M68" s="261"/>
      <c r="N68" s="273"/>
      <c r="O68" s="273"/>
      <c r="Q68" s="261"/>
      <c r="R68" s="261"/>
      <c r="S68" s="261"/>
      <c r="T68" s="261"/>
      <c r="U68" s="261"/>
      <c r="V68" s="261"/>
      <c r="W68" s="261"/>
      <c r="X68" s="261"/>
      <c r="Y68" s="261"/>
      <c r="Z68" s="261"/>
    </row>
    <row r="69" ht="15.75" customHeight="1">
      <c r="A69" s="261"/>
      <c r="B69" s="261"/>
      <c r="C69" s="273"/>
      <c r="D69" s="261"/>
      <c r="E69" s="261"/>
      <c r="F69" s="291"/>
      <c r="G69" s="261"/>
      <c r="H69" s="261"/>
      <c r="I69" s="261"/>
      <c r="J69" s="261"/>
      <c r="K69" s="261"/>
      <c r="L69" s="261"/>
      <c r="M69" s="261"/>
      <c r="N69" s="273"/>
      <c r="O69" s="273"/>
      <c r="Q69" s="261"/>
      <c r="R69" s="261"/>
      <c r="S69" s="261"/>
      <c r="T69" s="261"/>
      <c r="U69" s="261"/>
      <c r="V69" s="261"/>
      <c r="W69" s="261"/>
      <c r="X69" s="261"/>
      <c r="Y69" s="261"/>
      <c r="Z69" s="261"/>
    </row>
    <row r="70" ht="15.75" customHeight="1">
      <c r="A70" s="261"/>
      <c r="B70" s="261"/>
      <c r="C70" s="273"/>
      <c r="D70" s="261"/>
      <c r="E70" s="261"/>
      <c r="F70" s="291"/>
      <c r="G70" s="261"/>
      <c r="H70" s="261"/>
      <c r="I70" s="261"/>
      <c r="J70" s="261"/>
      <c r="K70" s="261"/>
      <c r="L70" s="261"/>
      <c r="M70" s="261"/>
      <c r="N70" s="273"/>
      <c r="O70" s="273"/>
      <c r="Q70" s="261"/>
      <c r="R70" s="261"/>
      <c r="S70" s="261"/>
      <c r="T70" s="261"/>
      <c r="U70" s="261"/>
      <c r="V70" s="261"/>
      <c r="W70" s="261"/>
      <c r="X70" s="261"/>
      <c r="Y70" s="261"/>
      <c r="Z70" s="261"/>
    </row>
    <row r="71" ht="15.75" customHeight="1">
      <c r="A71" s="261"/>
      <c r="B71" s="261"/>
      <c r="C71" s="273"/>
      <c r="D71" s="261"/>
      <c r="E71" s="261"/>
      <c r="F71" s="291"/>
      <c r="G71" s="261"/>
      <c r="H71" s="261"/>
      <c r="I71" s="261"/>
      <c r="J71" s="261"/>
      <c r="K71" s="261"/>
      <c r="L71" s="261"/>
      <c r="M71" s="261"/>
      <c r="N71" s="273"/>
      <c r="O71" s="273"/>
      <c r="Q71" s="261"/>
      <c r="R71" s="261"/>
      <c r="S71" s="261"/>
      <c r="T71" s="261"/>
      <c r="U71" s="261"/>
      <c r="V71" s="261"/>
      <c r="W71" s="261"/>
      <c r="X71" s="261"/>
      <c r="Y71" s="261"/>
      <c r="Z71" s="261"/>
    </row>
    <row r="72" ht="15.75" customHeight="1">
      <c r="A72" s="261"/>
      <c r="B72" s="261"/>
      <c r="C72" s="273"/>
      <c r="D72" s="261"/>
      <c r="E72" s="261"/>
      <c r="F72" s="291"/>
      <c r="G72" s="261"/>
      <c r="H72" s="261"/>
      <c r="I72" s="261"/>
      <c r="J72" s="261"/>
      <c r="K72" s="261"/>
      <c r="L72" s="261"/>
      <c r="M72" s="261"/>
      <c r="N72" s="273"/>
      <c r="O72" s="273"/>
      <c r="Q72" s="261"/>
      <c r="R72" s="261"/>
      <c r="S72" s="261"/>
      <c r="T72" s="261"/>
      <c r="U72" s="261"/>
      <c r="V72" s="261"/>
      <c r="W72" s="261"/>
      <c r="X72" s="261"/>
      <c r="Y72" s="261"/>
      <c r="Z72" s="261"/>
    </row>
    <row r="73" ht="15.75" customHeight="1">
      <c r="A73" s="261"/>
      <c r="B73" s="261"/>
      <c r="C73" s="273"/>
      <c r="D73" s="261"/>
      <c r="E73" s="261"/>
      <c r="F73" s="291"/>
      <c r="G73" s="261"/>
      <c r="H73" s="261"/>
      <c r="I73" s="261"/>
      <c r="J73" s="261"/>
      <c r="K73" s="261"/>
      <c r="L73" s="261"/>
      <c r="M73" s="261"/>
      <c r="N73" s="273"/>
      <c r="O73" s="273"/>
      <c r="Q73" s="261"/>
      <c r="R73" s="261"/>
      <c r="S73" s="261"/>
      <c r="T73" s="261"/>
      <c r="U73" s="261"/>
      <c r="V73" s="261"/>
      <c r="W73" s="261"/>
      <c r="X73" s="261"/>
      <c r="Y73" s="261"/>
      <c r="Z73" s="261"/>
    </row>
    <row r="74" ht="15.75" customHeight="1">
      <c r="A74" s="261"/>
      <c r="B74" s="261"/>
      <c r="C74" s="273"/>
      <c r="D74" s="261"/>
      <c r="E74" s="261"/>
      <c r="F74" s="291"/>
      <c r="G74" s="261"/>
      <c r="H74" s="261"/>
      <c r="I74" s="261"/>
      <c r="J74" s="261"/>
      <c r="K74" s="261"/>
      <c r="L74" s="261"/>
      <c r="M74" s="261"/>
      <c r="N74" s="273"/>
      <c r="O74" s="273"/>
      <c r="Q74" s="261"/>
      <c r="R74" s="261"/>
      <c r="S74" s="261"/>
      <c r="T74" s="261"/>
      <c r="U74" s="261"/>
      <c r="V74" s="261"/>
      <c r="W74" s="261"/>
      <c r="X74" s="261"/>
      <c r="Y74" s="261"/>
      <c r="Z74" s="261"/>
    </row>
    <row r="75" ht="15.75" customHeight="1">
      <c r="A75" s="261"/>
      <c r="B75" s="261"/>
      <c r="C75" s="273"/>
      <c r="D75" s="261"/>
      <c r="E75" s="261"/>
      <c r="F75" s="291"/>
      <c r="G75" s="261"/>
      <c r="H75" s="261"/>
      <c r="I75" s="261"/>
      <c r="J75" s="261"/>
      <c r="K75" s="261"/>
      <c r="L75" s="261"/>
      <c r="M75" s="261"/>
      <c r="N75" s="273"/>
      <c r="O75" s="273"/>
      <c r="Q75" s="261"/>
      <c r="R75" s="261"/>
      <c r="S75" s="261"/>
      <c r="T75" s="261"/>
      <c r="U75" s="261"/>
      <c r="V75" s="261"/>
      <c r="W75" s="261"/>
      <c r="X75" s="261"/>
      <c r="Y75" s="261"/>
      <c r="Z75" s="261"/>
    </row>
    <row r="76" ht="15.75" customHeight="1">
      <c r="A76" s="261"/>
      <c r="B76" s="261"/>
      <c r="C76" s="273"/>
      <c r="D76" s="261"/>
      <c r="E76" s="261"/>
      <c r="F76" s="291"/>
      <c r="G76" s="261"/>
      <c r="H76" s="261"/>
      <c r="I76" s="261"/>
      <c r="J76" s="261"/>
      <c r="K76" s="261"/>
      <c r="L76" s="261"/>
      <c r="M76" s="261"/>
      <c r="N76" s="273"/>
      <c r="O76" s="273"/>
      <c r="Q76" s="261"/>
      <c r="R76" s="261"/>
      <c r="S76" s="261"/>
      <c r="T76" s="261"/>
      <c r="U76" s="261"/>
      <c r="V76" s="261"/>
      <c r="W76" s="261"/>
      <c r="X76" s="261"/>
      <c r="Y76" s="261"/>
      <c r="Z76" s="261"/>
    </row>
    <row r="77" ht="15.75" customHeight="1">
      <c r="A77" s="261"/>
      <c r="B77" s="261"/>
      <c r="C77" s="273"/>
      <c r="D77" s="261"/>
      <c r="E77" s="261"/>
      <c r="F77" s="291"/>
      <c r="G77" s="261"/>
      <c r="H77" s="261"/>
      <c r="I77" s="261"/>
      <c r="J77" s="261"/>
      <c r="K77" s="261"/>
      <c r="L77" s="261"/>
      <c r="M77" s="261"/>
      <c r="N77" s="273"/>
      <c r="O77" s="273"/>
      <c r="Q77" s="261"/>
      <c r="R77" s="261"/>
      <c r="S77" s="261"/>
      <c r="T77" s="261"/>
      <c r="U77" s="261"/>
      <c r="V77" s="261"/>
      <c r="W77" s="261"/>
      <c r="X77" s="261"/>
      <c r="Y77" s="261"/>
      <c r="Z77" s="261"/>
    </row>
    <row r="78" ht="15.75" customHeight="1">
      <c r="A78" s="261"/>
      <c r="B78" s="261"/>
      <c r="C78" s="273"/>
      <c r="D78" s="261"/>
      <c r="E78" s="261"/>
      <c r="F78" s="291"/>
      <c r="G78" s="261"/>
      <c r="H78" s="261"/>
      <c r="I78" s="261"/>
      <c r="J78" s="261"/>
      <c r="K78" s="261"/>
      <c r="L78" s="261"/>
      <c r="M78" s="261"/>
      <c r="N78" s="273"/>
      <c r="O78" s="273"/>
      <c r="Q78" s="261"/>
      <c r="R78" s="261"/>
      <c r="S78" s="261"/>
      <c r="T78" s="261"/>
      <c r="U78" s="261"/>
      <c r="V78" s="261"/>
      <c r="W78" s="261"/>
      <c r="X78" s="261"/>
      <c r="Y78" s="261"/>
      <c r="Z78" s="261"/>
    </row>
    <row r="79" ht="15.75" customHeight="1">
      <c r="A79" s="261"/>
      <c r="B79" s="261"/>
      <c r="C79" s="273"/>
      <c r="D79" s="261"/>
      <c r="E79" s="261"/>
      <c r="F79" s="291"/>
      <c r="G79" s="261"/>
      <c r="H79" s="261"/>
      <c r="I79" s="261"/>
      <c r="J79" s="261"/>
      <c r="K79" s="261"/>
      <c r="L79" s="261"/>
      <c r="M79" s="261"/>
      <c r="N79" s="273"/>
      <c r="O79" s="273"/>
      <c r="Q79" s="261"/>
      <c r="R79" s="261"/>
      <c r="S79" s="261"/>
      <c r="T79" s="261"/>
      <c r="U79" s="261"/>
      <c r="V79" s="261"/>
      <c r="W79" s="261"/>
      <c r="X79" s="261"/>
      <c r="Y79" s="261"/>
      <c r="Z79" s="261"/>
    </row>
    <row r="80" ht="15.75" customHeight="1">
      <c r="A80" s="261"/>
      <c r="B80" s="261"/>
      <c r="C80" s="273"/>
      <c r="D80" s="261"/>
      <c r="E80" s="261"/>
      <c r="F80" s="291"/>
      <c r="G80" s="261"/>
      <c r="H80" s="261"/>
      <c r="I80" s="261"/>
      <c r="J80" s="261"/>
      <c r="K80" s="261"/>
      <c r="L80" s="261"/>
      <c r="M80" s="261"/>
      <c r="N80" s="273"/>
      <c r="O80" s="273"/>
      <c r="Q80" s="261"/>
      <c r="R80" s="261"/>
      <c r="S80" s="261"/>
      <c r="T80" s="261"/>
      <c r="U80" s="261"/>
      <c r="V80" s="261"/>
      <c r="W80" s="261"/>
      <c r="X80" s="261"/>
      <c r="Y80" s="261"/>
      <c r="Z80" s="261"/>
    </row>
    <row r="81" ht="15.75" customHeight="1">
      <c r="A81" s="261"/>
      <c r="B81" s="261"/>
      <c r="C81" s="273"/>
      <c r="D81" s="261"/>
      <c r="E81" s="261"/>
      <c r="F81" s="291"/>
      <c r="G81" s="261"/>
      <c r="H81" s="261"/>
      <c r="I81" s="261"/>
      <c r="J81" s="261"/>
      <c r="K81" s="261"/>
      <c r="L81" s="261"/>
      <c r="M81" s="261"/>
      <c r="N81" s="273"/>
      <c r="O81" s="273"/>
      <c r="Q81" s="261"/>
      <c r="R81" s="261"/>
      <c r="S81" s="261"/>
      <c r="T81" s="261"/>
      <c r="U81" s="261"/>
      <c r="V81" s="261"/>
      <c r="W81" s="261"/>
      <c r="X81" s="261"/>
      <c r="Y81" s="261"/>
      <c r="Z81" s="261"/>
    </row>
    <row r="82" ht="15.75" customHeight="1">
      <c r="A82" s="261"/>
      <c r="B82" s="261"/>
      <c r="C82" s="273"/>
      <c r="D82" s="261"/>
      <c r="E82" s="261"/>
      <c r="F82" s="291"/>
      <c r="G82" s="261"/>
      <c r="H82" s="261"/>
      <c r="I82" s="261"/>
      <c r="J82" s="261"/>
      <c r="K82" s="261"/>
      <c r="L82" s="261"/>
      <c r="M82" s="261"/>
      <c r="N82" s="273"/>
      <c r="O82" s="273"/>
      <c r="Q82" s="261"/>
      <c r="R82" s="261"/>
      <c r="S82" s="261"/>
      <c r="T82" s="261"/>
      <c r="U82" s="261"/>
      <c r="V82" s="261"/>
      <c r="W82" s="261"/>
      <c r="X82" s="261"/>
      <c r="Y82" s="261"/>
      <c r="Z82" s="261"/>
    </row>
    <row r="83" ht="15.75" customHeight="1">
      <c r="A83" s="261"/>
      <c r="B83" s="261"/>
      <c r="C83" s="273"/>
      <c r="D83" s="261"/>
      <c r="E83" s="261"/>
      <c r="F83" s="291"/>
      <c r="G83" s="261"/>
      <c r="H83" s="261"/>
      <c r="I83" s="261"/>
      <c r="J83" s="261"/>
      <c r="K83" s="261"/>
      <c r="L83" s="261"/>
      <c r="M83" s="261"/>
      <c r="N83" s="273"/>
      <c r="O83" s="273"/>
      <c r="Q83" s="261"/>
      <c r="R83" s="261"/>
      <c r="S83" s="261"/>
      <c r="T83" s="261"/>
      <c r="U83" s="261"/>
      <c r="V83" s="261"/>
      <c r="W83" s="261"/>
      <c r="X83" s="261"/>
      <c r="Y83" s="261"/>
      <c r="Z83" s="261"/>
    </row>
    <row r="84" ht="15.75" customHeight="1">
      <c r="A84" s="261"/>
      <c r="B84" s="261"/>
      <c r="C84" s="273"/>
      <c r="D84" s="261"/>
      <c r="E84" s="261"/>
      <c r="F84" s="291"/>
      <c r="G84" s="261"/>
      <c r="H84" s="261"/>
      <c r="I84" s="261"/>
      <c r="J84" s="261"/>
      <c r="K84" s="261"/>
      <c r="L84" s="261"/>
      <c r="M84" s="261"/>
      <c r="N84" s="273"/>
      <c r="O84" s="273"/>
      <c r="Q84" s="261"/>
      <c r="R84" s="261"/>
      <c r="S84" s="261"/>
      <c r="T84" s="261"/>
      <c r="U84" s="261"/>
      <c r="V84" s="261"/>
      <c r="W84" s="261"/>
      <c r="X84" s="261"/>
      <c r="Y84" s="261"/>
      <c r="Z84" s="261"/>
    </row>
    <row r="85" ht="15.75" customHeight="1">
      <c r="A85" s="261"/>
      <c r="B85" s="261"/>
      <c r="C85" s="273"/>
      <c r="D85" s="261"/>
      <c r="E85" s="261"/>
      <c r="F85" s="291"/>
      <c r="G85" s="261"/>
      <c r="H85" s="261"/>
      <c r="I85" s="261"/>
      <c r="J85" s="261"/>
      <c r="K85" s="261"/>
      <c r="L85" s="261"/>
      <c r="M85" s="261"/>
      <c r="N85" s="273"/>
      <c r="O85" s="273"/>
      <c r="Q85" s="261"/>
      <c r="R85" s="261"/>
      <c r="S85" s="261"/>
      <c r="T85" s="261"/>
      <c r="U85" s="261"/>
      <c r="V85" s="261"/>
      <c r="W85" s="261"/>
      <c r="X85" s="261"/>
      <c r="Y85" s="261"/>
      <c r="Z85" s="261"/>
    </row>
    <row r="86" ht="15.75" customHeight="1">
      <c r="A86" s="261"/>
      <c r="B86" s="261"/>
      <c r="C86" s="273"/>
      <c r="D86" s="261"/>
      <c r="E86" s="261"/>
      <c r="F86" s="291"/>
      <c r="G86" s="261"/>
      <c r="H86" s="261"/>
      <c r="I86" s="261"/>
      <c r="J86" s="261"/>
      <c r="K86" s="261"/>
      <c r="L86" s="261"/>
      <c r="M86" s="261"/>
      <c r="N86" s="273"/>
      <c r="O86" s="273"/>
      <c r="Q86" s="261"/>
      <c r="R86" s="261"/>
      <c r="S86" s="261"/>
      <c r="T86" s="261"/>
      <c r="U86" s="261"/>
      <c r="V86" s="261"/>
      <c r="W86" s="261"/>
      <c r="X86" s="261"/>
      <c r="Y86" s="261"/>
      <c r="Z86" s="261"/>
    </row>
    <row r="87" ht="15.75" customHeight="1">
      <c r="A87" s="261"/>
      <c r="B87" s="261"/>
      <c r="C87" s="273"/>
      <c r="D87" s="261"/>
      <c r="E87" s="261"/>
      <c r="F87" s="291"/>
      <c r="G87" s="261"/>
      <c r="H87" s="261"/>
      <c r="I87" s="261"/>
      <c r="J87" s="261"/>
      <c r="K87" s="261"/>
      <c r="L87" s="261"/>
      <c r="M87" s="261"/>
      <c r="N87" s="273"/>
      <c r="O87" s="273"/>
      <c r="Q87" s="261"/>
      <c r="R87" s="261"/>
      <c r="S87" s="261"/>
      <c r="T87" s="261"/>
      <c r="U87" s="261"/>
      <c r="V87" s="261"/>
      <c r="W87" s="261"/>
      <c r="X87" s="261"/>
      <c r="Y87" s="261"/>
      <c r="Z87" s="261"/>
    </row>
    <row r="88" ht="15.75" customHeight="1">
      <c r="A88" s="261"/>
      <c r="B88" s="261"/>
      <c r="C88" s="273"/>
      <c r="D88" s="261"/>
      <c r="E88" s="261"/>
      <c r="F88" s="291"/>
      <c r="G88" s="261"/>
      <c r="H88" s="261"/>
      <c r="I88" s="261"/>
      <c r="J88" s="261"/>
      <c r="K88" s="261"/>
      <c r="L88" s="261"/>
      <c r="M88" s="261"/>
      <c r="N88" s="273"/>
      <c r="O88" s="273"/>
      <c r="Q88" s="261"/>
      <c r="R88" s="261"/>
      <c r="S88" s="261"/>
      <c r="T88" s="261"/>
      <c r="U88" s="261"/>
      <c r="V88" s="261"/>
      <c r="W88" s="261"/>
      <c r="X88" s="261"/>
      <c r="Y88" s="261"/>
      <c r="Z88" s="261"/>
    </row>
    <row r="89" ht="15.75" customHeight="1">
      <c r="A89" s="261"/>
      <c r="B89" s="261"/>
      <c r="C89" s="273"/>
      <c r="D89" s="261"/>
      <c r="E89" s="261"/>
      <c r="F89" s="291"/>
      <c r="G89" s="261"/>
      <c r="H89" s="261"/>
      <c r="I89" s="261"/>
      <c r="J89" s="261"/>
      <c r="K89" s="261"/>
      <c r="L89" s="261"/>
      <c r="M89" s="261"/>
      <c r="N89" s="273"/>
      <c r="O89" s="273"/>
      <c r="Q89" s="261"/>
      <c r="R89" s="261"/>
      <c r="S89" s="261"/>
      <c r="T89" s="261"/>
      <c r="U89" s="261"/>
      <c r="V89" s="261"/>
      <c r="W89" s="261"/>
      <c r="X89" s="261"/>
      <c r="Y89" s="261"/>
      <c r="Z89" s="261"/>
    </row>
    <row r="90" ht="15.75" customHeight="1">
      <c r="A90" s="261"/>
      <c r="B90" s="261"/>
      <c r="C90" s="273"/>
      <c r="D90" s="261"/>
      <c r="E90" s="261"/>
      <c r="F90" s="291"/>
      <c r="G90" s="261"/>
      <c r="H90" s="261"/>
      <c r="I90" s="261"/>
      <c r="J90" s="261"/>
      <c r="K90" s="261"/>
      <c r="L90" s="261"/>
      <c r="M90" s="261"/>
      <c r="N90" s="273"/>
      <c r="O90" s="273"/>
      <c r="Q90" s="261"/>
      <c r="R90" s="261"/>
      <c r="S90" s="261"/>
      <c r="T90" s="261"/>
      <c r="U90" s="261"/>
      <c r="V90" s="261"/>
      <c r="W90" s="261"/>
      <c r="X90" s="261"/>
      <c r="Y90" s="261"/>
      <c r="Z90" s="261"/>
    </row>
    <row r="91" ht="15.75" customHeight="1">
      <c r="A91" s="261"/>
      <c r="B91" s="261"/>
      <c r="C91" s="273"/>
      <c r="D91" s="261"/>
      <c r="E91" s="261"/>
      <c r="F91" s="291"/>
      <c r="G91" s="261"/>
      <c r="H91" s="261"/>
      <c r="I91" s="261"/>
      <c r="J91" s="261"/>
      <c r="K91" s="261"/>
      <c r="L91" s="261"/>
      <c r="M91" s="261"/>
      <c r="N91" s="273"/>
      <c r="O91" s="273"/>
      <c r="Q91" s="261"/>
      <c r="R91" s="261"/>
      <c r="S91" s="261"/>
      <c r="T91" s="261"/>
      <c r="U91" s="261"/>
      <c r="V91" s="261"/>
      <c r="W91" s="261"/>
      <c r="X91" s="261"/>
      <c r="Y91" s="261"/>
      <c r="Z91" s="261"/>
    </row>
    <row r="92" ht="15.75" customHeight="1">
      <c r="A92" s="261"/>
      <c r="B92" s="261"/>
      <c r="C92" s="273"/>
      <c r="D92" s="261"/>
      <c r="E92" s="261"/>
      <c r="F92" s="291"/>
      <c r="G92" s="261"/>
      <c r="H92" s="261"/>
      <c r="I92" s="261"/>
      <c r="J92" s="261"/>
      <c r="K92" s="261"/>
      <c r="L92" s="261"/>
      <c r="M92" s="261"/>
      <c r="N92" s="273"/>
      <c r="O92" s="273"/>
      <c r="Q92" s="261"/>
      <c r="R92" s="261"/>
      <c r="S92" s="261"/>
      <c r="T92" s="261"/>
      <c r="U92" s="261"/>
      <c r="V92" s="261"/>
      <c r="W92" s="261"/>
      <c r="X92" s="261"/>
      <c r="Y92" s="261"/>
      <c r="Z92" s="261"/>
    </row>
    <row r="93" ht="15.75" customHeight="1">
      <c r="A93" s="261"/>
      <c r="B93" s="261"/>
      <c r="C93" s="273"/>
      <c r="D93" s="261"/>
      <c r="E93" s="261"/>
      <c r="F93" s="291"/>
      <c r="G93" s="261"/>
      <c r="H93" s="261"/>
      <c r="I93" s="261"/>
      <c r="J93" s="261"/>
      <c r="K93" s="261"/>
      <c r="L93" s="261"/>
      <c r="M93" s="261"/>
      <c r="N93" s="273"/>
      <c r="O93" s="273"/>
      <c r="Q93" s="261"/>
      <c r="R93" s="261"/>
      <c r="S93" s="261"/>
      <c r="T93" s="261"/>
      <c r="U93" s="261"/>
      <c r="V93" s="261"/>
      <c r="W93" s="261"/>
      <c r="X93" s="261"/>
      <c r="Y93" s="261"/>
      <c r="Z93" s="261"/>
    </row>
    <row r="94" ht="15.75" customHeight="1">
      <c r="A94" s="261"/>
      <c r="B94" s="261"/>
      <c r="C94" s="273"/>
      <c r="D94" s="261"/>
      <c r="E94" s="261"/>
      <c r="F94" s="291"/>
      <c r="G94" s="261"/>
      <c r="H94" s="261"/>
      <c r="I94" s="261"/>
      <c r="J94" s="261"/>
      <c r="K94" s="261"/>
      <c r="L94" s="261"/>
      <c r="M94" s="261"/>
      <c r="N94" s="273"/>
      <c r="O94" s="273"/>
      <c r="Q94" s="261"/>
      <c r="R94" s="261"/>
      <c r="S94" s="261"/>
      <c r="T94" s="261"/>
      <c r="U94" s="261"/>
      <c r="V94" s="261"/>
      <c r="W94" s="261"/>
      <c r="X94" s="261"/>
      <c r="Y94" s="261"/>
      <c r="Z94" s="261"/>
    </row>
    <row r="95" ht="15.75" customHeight="1">
      <c r="A95" s="261"/>
      <c r="B95" s="261"/>
      <c r="C95" s="273"/>
      <c r="D95" s="261"/>
      <c r="E95" s="261"/>
      <c r="F95" s="291"/>
      <c r="G95" s="261"/>
      <c r="H95" s="261"/>
      <c r="I95" s="261"/>
      <c r="J95" s="261"/>
      <c r="K95" s="261"/>
      <c r="L95" s="261"/>
      <c r="M95" s="261"/>
      <c r="N95" s="273"/>
      <c r="O95" s="273"/>
      <c r="Q95" s="261"/>
      <c r="R95" s="261"/>
      <c r="S95" s="261"/>
      <c r="T95" s="261"/>
      <c r="U95" s="261"/>
      <c r="V95" s="261"/>
      <c r="W95" s="261"/>
      <c r="X95" s="261"/>
      <c r="Y95" s="261"/>
      <c r="Z95" s="261"/>
    </row>
    <row r="96" ht="15.75" customHeight="1">
      <c r="A96" s="261"/>
      <c r="B96" s="261"/>
      <c r="C96" s="273"/>
      <c r="D96" s="261"/>
      <c r="E96" s="261"/>
      <c r="F96" s="291"/>
      <c r="G96" s="261"/>
      <c r="H96" s="261"/>
      <c r="I96" s="261"/>
      <c r="J96" s="261"/>
      <c r="K96" s="261"/>
      <c r="L96" s="261"/>
      <c r="M96" s="261"/>
      <c r="N96" s="273"/>
      <c r="O96" s="273"/>
      <c r="Q96" s="261"/>
      <c r="R96" s="261"/>
      <c r="S96" s="261"/>
      <c r="T96" s="261"/>
      <c r="U96" s="261"/>
      <c r="V96" s="261"/>
      <c r="W96" s="261"/>
      <c r="X96" s="261"/>
      <c r="Y96" s="261"/>
      <c r="Z96" s="261"/>
    </row>
    <row r="97" ht="15.75" customHeight="1">
      <c r="A97" s="261"/>
      <c r="B97" s="261"/>
      <c r="C97" s="273"/>
      <c r="D97" s="261"/>
      <c r="E97" s="261"/>
      <c r="F97" s="291"/>
      <c r="G97" s="261"/>
      <c r="H97" s="261"/>
      <c r="I97" s="261"/>
      <c r="J97" s="261"/>
      <c r="K97" s="261"/>
      <c r="L97" s="261"/>
      <c r="M97" s="261"/>
      <c r="N97" s="273"/>
      <c r="O97" s="273"/>
      <c r="Q97" s="261"/>
      <c r="R97" s="261"/>
      <c r="S97" s="261"/>
      <c r="T97" s="261"/>
      <c r="U97" s="261"/>
      <c r="V97" s="261"/>
      <c r="W97" s="261"/>
      <c r="X97" s="261"/>
      <c r="Y97" s="261"/>
      <c r="Z97" s="261"/>
    </row>
    <row r="98" ht="15.75" customHeight="1">
      <c r="A98" s="261"/>
      <c r="B98" s="261"/>
      <c r="C98" s="273"/>
      <c r="D98" s="261"/>
      <c r="E98" s="261"/>
      <c r="F98" s="291"/>
      <c r="G98" s="261"/>
      <c r="H98" s="261"/>
      <c r="I98" s="261"/>
      <c r="J98" s="261"/>
      <c r="K98" s="261"/>
      <c r="L98" s="261"/>
      <c r="M98" s="261"/>
      <c r="N98" s="273"/>
      <c r="O98" s="273"/>
      <c r="Q98" s="261"/>
      <c r="R98" s="261"/>
      <c r="S98" s="261"/>
      <c r="T98" s="261"/>
      <c r="U98" s="261"/>
      <c r="V98" s="261"/>
      <c r="W98" s="261"/>
      <c r="X98" s="261"/>
      <c r="Y98" s="261"/>
      <c r="Z98" s="261"/>
    </row>
    <row r="99" ht="15.75" customHeight="1">
      <c r="A99" s="261"/>
      <c r="B99" s="261"/>
      <c r="C99" s="273"/>
      <c r="D99" s="261"/>
      <c r="E99" s="261"/>
      <c r="F99" s="291"/>
      <c r="G99" s="261"/>
      <c r="H99" s="261"/>
      <c r="I99" s="261"/>
      <c r="J99" s="261"/>
      <c r="K99" s="261"/>
      <c r="L99" s="261"/>
      <c r="M99" s="261"/>
      <c r="N99" s="273"/>
      <c r="O99" s="273"/>
      <c r="Q99" s="261"/>
      <c r="R99" s="261"/>
      <c r="S99" s="261"/>
      <c r="T99" s="261"/>
      <c r="U99" s="261"/>
      <c r="V99" s="261"/>
      <c r="W99" s="261"/>
      <c r="X99" s="261"/>
      <c r="Y99" s="261"/>
      <c r="Z99" s="261"/>
    </row>
    <row r="100" ht="15.75" customHeight="1">
      <c r="A100" s="261"/>
      <c r="B100" s="261"/>
      <c r="C100" s="273"/>
      <c r="D100" s="261"/>
      <c r="E100" s="261"/>
      <c r="F100" s="291"/>
      <c r="G100" s="261"/>
      <c r="H100" s="261"/>
      <c r="I100" s="261"/>
      <c r="J100" s="261"/>
      <c r="K100" s="261"/>
      <c r="L100" s="261"/>
      <c r="M100" s="261"/>
      <c r="N100" s="273"/>
      <c r="O100" s="273"/>
      <c r="Q100" s="261"/>
      <c r="R100" s="261"/>
      <c r="S100" s="261"/>
      <c r="T100" s="261"/>
      <c r="U100" s="261"/>
      <c r="V100" s="261"/>
      <c r="W100" s="261"/>
      <c r="X100" s="261"/>
      <c r="Y100" s="261"/>
      <c r="Z100" s="261"/>
    </row>
    <row r="101" ht="15.75" customHeight="1">
      <c r="A101" s="261"/>
      <c r="B101" s="261"/>
      <c r="C101" s="273"/>
      <c r="D101" s="261"/>
      <c r="E101" s="261"/>
      <c r="F101" s="291"/>
      <c r="G101" s="261"/>
      <c r="H101" s="261"/>
      <c r="I101" s="261"/>
      <c r="J101" s="261"/>
      <c r="K101" s="261"/>
      <c r="L101" s="261"/>
      <c r="M101" s="261"/>
      <c r="N101" s="273"/>
      <c r="O101" s="273"/>
      <c r="Q101" s="261"/>
      <c r="R101" s="261"/>
      <c r="S101" s="261"/>
      <c r="T101" s="261"/>
      <c r="U101" s="261"/>
      <c r="V101" s="261"/>
      <c r="W101" s="261"/>
      <c r="X101" s="261"/>
      <c r="Y101" s="261"/>
      <c r="Z101" s="261"/>
    </row>
    <row r="102" ht="15.75" customHeight="1">
      <c r="A102" s="261"/>
      <c r="B102" s="261"/>
      <c r="C102" s="273"/>
      <c r="D102" s="261"/>
      <c r="E102" s="261"/>
      <c r="F102" s="291"/>
      <c r="G102" s="261"/>
      <c r="H102" s="261"/>
      <c r="I102" s="261"/>
      <c r="J102" s="261"/>
      <c r="K102" s="261"/>
      <c r="L102" s="261"/>
      <c r="M102" s="261"/>
      <c r="N102" s="273"/>
      <c r="O102" s="273"/>
      <c r="Q102" s="261"/>
      <c r="R102" s="261"/>
      <c r="S102" s="261"/>
      <c r="T102" s="261"/>
      <c r="U102" s="261"/>
      <c r="V102" s="261"/>
      <c r="W102" s="261"/>
      <c r="X102" s="261"/>
      <c r="Y102" s="261"/>
      <c r="Z102" s="261"/>
    </row>
    <row r="103" ht="15.75" customHeight="1">
      <c r="A103" s="261"/>
      <c r="B103" s="261"/>
      <c r="C103" s="273"/>
      <c r="D103" s="261"/>
      <c r="E103" s="261"/>
      <c r="F103" s="291"/>
      <c r="G103" s="261"/>
      <c r="H103" s="261"/>
      <c r="I103" s="261"/>
      <c r="J103" s="261"/>
      <c r="K103" s="261"/>
      <c r="L103" s="261"/>
      <c r="M103" s="261"/>
      <c r="N103" s="273"/>
      <c r="O103" s="273"/>
      <c r="Q103" s="261"/>
      <c r="R103" s="261"/>
      <c r="S103" s="261"/>
      <c r="T103" s="261"/>
      <c r="U103" s="261"/>
      <c r="V103" s="261"/>
      <c r="W103" s="261"/>
      <c r="X103" s="261"/>
      <c r="Y103" s="261"/>
      <c r="Z103" s="261"/>
    </row>
    <row r="104" ht="15.75" customHeight="1">
      <c r="A104" s="261"/>
      <c r="B104" s="261"/>
      <c r="C104" s="273"/>
      <c r="D104" s="261"/>
      <c r="E104" s="261"/>
      <c r="F104" s="291"/>
      <c r="G104" s="261"/>
      <c r="H104" s="261"/>
      <c r="I104" s="261"/>
      <c r="J104" s="261"/>
      <c r="K104" s="261"/>
      <c r="L104" s="261"/>
      <c r="M104" s="261"/>
      <c r="N104" s="273"/>
      <c r="O104" s="273"/>
      <c r="Q104" s="261"/>
      <c r="R104" s="261"/>
      <c r="S104" s="261"/>
      <c r="T104" s="261"/>
      <c r="U104" s="261"/>
      <c r="V104" s="261"/>
      <c r="W104" s="261"/>
      <c r="X104" s="261"/>
      <c r="Y104" s="261"/>
      <c r="Z104" s="261"/>
    </row>
    <row r="105" ht="15.75" customHeight="1">
      <c r="A105" s="261"/>
      <c r="B105" s="261"/>
      <c r="C105" s="273"/>
      <c r="D105" s="261"/>
      <c r="E105" s="261"/>
      <c r="F105" s="291"/>
      <c r="G105" s="261"/>
      <c r="H105" s="261"/>
      <c r="I105" s="261"/>
      <c r="J105" s="261"/>
      <c r="K105" s="261"/>
      <c r="L105" s="261"/>
      <c r="M105" s="261"/>
      <c r="N105" s="273"/>
      <c r="O105" s="273"/>
      <c r="Q105" s="261"/>
      <c r="R105" s="261"/>
      <c r="S105" s="261"/>
      <c r="T105" s="261"/>
      <c r="U105" s="261"/>
      <c r="V105" s="261"/>
      <c r="W105" s="261"/>
      <c r="X105" s="261"/>
      <c r="Y105" s="261"/>
      <c r="Z105" s="261"/>
    </row>
    <row r="106" ht="15.75" customHeight="1">
      <c r="A106" s="261"/>
      <c r="B106" s="261"/>
      <c r="C106" s="273"/>
      <c r="D106" s="261"/>
      <c r="E106" s="261"/>
      <c r="F106" s="291"/>
      <c r="G106" s="261"/>
      <c r="H106" s="261"/>
      <c r="I106" s="261"/>
      <c r="J106" s="261"/>
      <c r="K106" s="261"/>
      <c r="L106" s="261"/>
      <c r="M106" s="261"/>
      <c r="N106" s="273"/>
      <c r="O106" s="273"/>
      <c r="Q106" s="261"/>
      <c r="R106" s="261"/>
      <c r="S106" s="261"/>
      <c r="T106" s="261"/>
      <c r="U106" s="261"/>
      <c r="V106" s="261"/>
      <c r="W106" s="261"/>
      <c r="X106" s="261"/>
      <c r="Y106" s="261"/>
      <c r="Z106" s="261"/>
    </row>
    <row r="107" ht="15.75" customHeight="1">
      <c r="A107" s="261"/>
      <c r="B107" s="261"/>
      <c r="C107" s="273"/>
      <c r="D107" s="261"/>
      <c r="E107" s="261"/>
      <c r="F107" s="291"/>
      <c r="G107" s="261"/>
      <c r="H107" s="261"/>
      <c r="I107" s="261"/>
      <c r="J107" s="261"/>
      <c r="K107" s="261"/>
      <c r="L107" s="261"/>
      <c r="M107" s="261"/>
      <c r="N107" s="273"/>
      <c r="O107" s="273"/>
      <c r="Q107" s="261"/>
      <c r="R107" s="261"/>
      <c r="S107" s="261"/>
      <c r="T107" s="261"/>
      <c r="U107" s="261"/>
      <c r="V107" s="261"/>
      <c r="W107" s="261"/>
      <c r="X107" s="261"/>
      <c r="Y107" s="261"/>
      <c r="Z107" s="261"/>
    </row>
    <row r="108" ht="15.75" customHeight="1">
      <c r="A108" s="261"/>
      <c r="B108" s="261"/>
      <c r="C108" s="273"/>
      <c r="D108" s="261"/>
      <c r="E108" s="261"/>
      <c r="F108" s="291"/>
      <c r="G108" s="261"/>
      <c r="H108" s="261"/>
      <c r="I108" s="261"/>
      <c r="J108" s="261"/>
      <c r="K108" s="261"/>
      <c r="L108" s="261"/>
      <c r="M108" s="261"/>
      <c r="N108" s="273"/>
      <c r="O108" s="273"/>
      <c r="Q108" s="261"/>
      <c r="R108" s="261"/>
      <c r="S108" s="261"/>
      <c r="T108" s="261"/>
      <c r="U108" s="261"/>
      <c r="V108" s="261"/>
      <c r="W108" s="261"/>
      <c r="X108" s="261"/>
      <c r="Y108" s="261"/>
      <c r="Z108" s="261"/>
    </row>
    <row r="109" ht="15.75" customHeight="1">
      <c r="A109" s="261"/>
      <c r="B109" s="261"/>
      <c r="C109" s="273"/>
      <c r="D109" s="261"/>
      <c r="E109" s="261"/>
      <c r="F109" s="291"/>
      <c r="G109" s="261"/>
      <c r="H109" s="261"/>
      <c r="I109" s="261"/>
      <c r="J109" s="261"/>
      <c r="K109" s="261"/>
      <c r="L109" s="261"/>
      <c r="M109" s="261"/>
      <c r="N109" s="273"/>
      <c r="O109" s="273"/>
      <c r="Q109" s="261"/>
      <c r="R109" s="261"/>
      <c r="S109" s="261"/>
      <c r="T109" s="261"/>
      <c r="U109" s="261"/>
      <c r="V109" s="261"/>
      <c r="W109" s="261"/>
      <c r="X109" s="261"/>
      <c r="Y109" s="261"/>
      <c r="Z109" s="261"/>
    </row>
    <row r="110" ht="15.75" customHeight="1">
      <c r="A110" s="261"/>
      <c r="B110" s="261"/>
      <c r="C110" s="273"/>
      <c r="D110" s="261"/>
      <c r="E110" s="261"/>
      <c r="F110" s="291"/>
      <c r="G110" s="261"/>
      <c r="H110" s="261"/>
      <c r="I110" s="261"/>
      <c r="J110" s="261"/>
      <c r="K110" s="261"/>
      <c r="L110" s="261"/>
      <c r="M110" s="261"/>
      <c r="N110" s="273"/>
      <c r="O110" s="273"/>
      <c r="Q110" s="261"/>
      <c r="R110" s="261"/>
      <c r="S110" s="261"/>
      <c r="T110" s="261"/>
      <c r="U110" s="261"/>
      <c r="V110" s="261"/>
      <c r="W110" s="261"/>
      <c r="X110" s="261"/>
      <c r="Y110" s="261"/>
      <c r="Z110" s="261"/>
    </row>
    <row r="111" ht="15.75" customHeight="1">
      <c r="A111" s="261"/>
      <c r="B111" s="261"/>
      <c r="C111" s="273"/>
      <c r="D111" s="261"/>
      <c r="E111" s="261"/>
      <c r="F111" s="291"/>
      <c r="G111" s="261"/>
      <c r="H111" s="261"/>
      <c r="I111" s="261"/>
      <c r="J111" s="261"/>
      <c r="K111" s="261"/>
      <c r="L111" s="261"/>
      <c r="M111" s="261"/>
      <c r="N111" s="273"/>
      <c r="O111" s="273"/>
      <c r="Q111" s="261"/>
      <c r="R111" s="261"/>
      <c r="S111" s="261"/>
      <c r="T111" s="261"/>
      <c r="U111" s="261"/>
      <c r="V111" s="261"/>
      <c r="W111" s="261"/>
      <c r="X111" s="261"/>
      <c r="Y111" s="261"/>
      <c r="Z111" s="261"/>
    </row>
    <row r="112" ht="15.75" customHeight="1">
      <c r="A112" s="261"/>
      <c r="B112" s="261"/>
      <c r="C112" s="273"/>
      <c r="D112" s="261"/>
      <c r="E112" s="261"/>
      <c r="F112" s="291"/>
      <c r="G112" s="261"/>
      <c r="H112" s="261"/>
      <c r="I112" s="261"/>
      <c r="J112" s="261"/>
      <c r="K112" s="261"/>
      <c r="L112" s="261"/>
      <c r="M112" s="261"/>
      <c r="N112" s="273"/>
      <c r="O112" s="273"/>
      <c r="Q112" s="261"/>
      <c r="R112" s="261"/>
      <c r="S112" s="261"/>
      <c r="T112" s="261"/>
      <c r="U112" s="261"/>
      <c r="V112" s="261"/>
      <c r="W112" s="261"/>
      <c r="X112" s="261"/>
      <c r="Y112" s="261"/>
      <c r="Z112" s="261"/>
    </row>
    <row r="113" ht="15.75" customHeight="1">
      <c r="A113" s="261"/>
      <c r="B113" s="261"/>
      <c r="C113" s="273"/>
      <c r="D113" s="261"/>
      <c r="E113" s="261"/>
      <c r="F113" s="291"/>
      <c r="G113" s="261"/>
      <c r="H113" s="261"/>
      <c r="I113" s="261"/>
      <c r="J113" s="261"/>
      <c r="K113" s="261"/>
      <c r="L113" s="261"/>
      <c r="M113" s="261"/>
      <c r="N113" s="273"/>
      <c r="O113" s="273"/>
      <c r="Q113" s="261"/>
      <c r="R113" s="261"/>
      <c r="S113" s="261"/>
      <c r="T113" s="261"/>
      <c r="U113" s="261"/>
      <c r="V113" s="261"/>
      <c r="W113" s="261"/>
      <c r="X113" s="261"/>
      <c r="Y113" s="261"/>
      <c r="Z113" s="261"/>
    </row>
    <row r="114" ht="15.75" customHeight="1">
      <c r="A114" s="261"/>
      <c r="B114" s="261"/>
      <c r="C114" s="273"/>
      <c r="D114" s="261"/>
      <c r="E114" s="261"/>
      <c r="F114" s="291"/>
      <c r="G114" s="261"/>
      <c r="H114" s="261"/>
      <c r="I114" s="261"/>
      <c r="J114" s="261"/>
      <c r="K114" s="261"/>
      <c r="L114" s="261"/>
      <c r="M114" s="261"/>
      <c r="N114" s="273"/>
      <c r="O114" s="273"/>
      <c r="Q114" s="261"/>
      <c r="R114" s="261"/>
      <c r="S114" s="261"/>
      <c r="T114" s="261"/>
      <c r="U114" s="261"/>
      <c r="V114" s="261"/>
      <c r="W114" s="261"/>
      <c r="X114" s="261"/>
      <c r="Y114" s="261"/>
      <c r="Z114" s="261"/>
    </row>
    <row r="115" ht="15.75" customHeight="1">
      <c r="A115" s="261"/>
      <c r="B115" s="261"/>
      <c r="C115" s="273"/>
      <c r="D115" s="261"/>
      <c r="E115" s="261"/>
      <c r="F115" s="291"/>
      <c r="G115" s="261"/>
      <c r="H115" s="261"/>
      <c r="I115" s="261"/>
      <c r="J115" s="261"/>
      <c r="K115" s="261"/>
      <c r="L115" s="261"/>
      <c r="M115" s="261"/>
      <c r="N115" s="273"/>
      <c r="O115" s="273"/>
      <c r="Q115" s="261"/>
      <c r="R115" s="261"/>
      <c r="S115" s="261"/>
      <c r="T115" s="261"/>
      <c r="U115" s="261"/>
      <c r="V115" s="261"/>
      <c r="W115" s="261"/>
      <c r="X115" s="261"/>
      <c r="Y115" s="261"/>
      <c r="Z115" s="261"/>
    </row>
    <row r="116" ht="15.75" customHeight="1">
      <c r="A116" s="261"/>
      <c r="B116" s="261"/>
      <c r="C116" s="273"/>
      <c r="D116" s="261"/>
      <c r="E116" s="261"/>
      <c r="F116" s="291"/>
      <c r="G116" s="261"/>
      <c r="H116" s="261"/>
      <c r="I116" s="261"/>
      <c r="J116" s="261"/>
      <c r="K116" s="261"/>
      <c r="L116" s="261"/>
      <c r="M116" s="261"/>
      <c r="N116" s="273"/>
      <c r="O116" s="273"/>
      <c r="Q116" s="261"/>
      <c r="R116" s="261"/>
      <c r="S116" s="261"/>
      <c r="T116" s="261"/>
      <c r="U116" s="261"/>
      <c r="V116" s="261"/>
      <c r="W116" s="261"/>
      <c r="X116" s="261"/>
      <c r="Y116" s="261"/>
      <c r="Z116" s="261"/>
    </row>
    <row r="117" ht="15.75" customHeight="1">
      <c r="A117" s="261"/>
      <c r="B117" s="261"/>
      <c r="C117" s="273"/>
      <c r="D117" s="261"/>
      <c r="E117" s="261"/>
      <c r="F117" s="291"/>
      <c r="G117" s="261"/>
      <c r="H117" s="261"/>
      <c r="I117" s="261"/>
      <c r="J117" s="261"/>
      <c r="K117" s="261"/>
      <c r="L117" s="261"/>
      <c r="M117" s="261"/>
      <c r="N117" s="273"/>
      <c r="O117" s="273"/>
      <c r="Q117" s="261"/>
      <c r="R117" s="261"/>
      <c r="S117" s="261"/>
      <c r="T117" s="261"/>
      <c r="U117" s="261"/>
      <c r="V117" s="261"/>
      <c r="W117" s="261"/>
      <c r="X117" s="261"/>
      <c r="Y117" s="261"/>
      <c r="Z117" s="261"/>
    </row>
    <row r="118" ht="15.75" customHeight="1">
      <c r="A118" s="261"/>
      <c r="B118" s="261"/>
      <c r="C118" s="273"/>
      <c r="D118" s="261"/>
      <c r="E118" s="261"/>
      <c r="F118" s="291"/>
      <c r="G118" s="261"/>
      <c r="H118" s="261"/>
      <c r="I118" s="261"/>
      <c r="J118" s="261"/>
      <c r="K118" s="261"/>
      <c r="L118" s="261"/>
      <c r="M118" s="261"/>
      <c r="N118" s="273"/>
      <c r="O118" s="273"/>
      <c r="Q118" s="261"/>
      <c r="R118" s="261"/>
      <c r="S118" s="261"/>
      <c r="T118" s="261"/>
      <c r="U118" s="261"/>
      <c r="V118" s="261"/>
      <c r="W118" s="261"/>
      <c r="X118" s="261"/>
      <c r="Y118" s="261"/>
      <c r="Z118" s="261"/>
    </row>
    <row r="119" ht="15.75" customHeight="1">
      <c r="A119" s="261"/>
      <c r="B119" s="261"/>
      <c r="C119" s="273"/>
      <c r="D119" s="261"/>
      <c r="E119" s="261"/>
      <c r="F119" s="291"/>
      <c r="G119" s="261"/>
      <c r="H119" s="261"/>
      <c r="I119" s="261"/>
      <c r="J119" s="261"/>
      <c r="K119" s="261"/>
      <c r="L119" s="261"/>
      <c r="M119" s="261"/>
      <c r="N119" s="273"/>
      <c r="O119" s="273"/>
      <c r="Q119" s="261"/>
      <c r="R119" s="261"/>
      <c r="S119" s="261"/>
      <c r="T119" s="261"/>
      <c r="U119" s="261"/>
      <c r="V119" s="261"/>
      <c r="W119" s="261"/>
      <c r="X119" s="261"/>
      <c r="Y119" s="261"/>
      <c r="Z119" s="261"/>
    </row>
    <row r="120" ht="15.75" customHeight="1">
      <c r="A120" s="261"/>
      <c r="B120" s="261"/>
      <c r="C120" s="273"/>
      <c r="D120" s="261"/>
      <c r="E120" s="261"/>
      <c r="F120" s="291"/>
      <c r="G120" s="261"/>
      <c r="H120" s="261"/>
      <c r="I120" s="261"/>
      <c r="J120" s="261"/>
      <c r="K120" s="261"/>
      <c r="L120" s="261"/>
      <c r="M120" s="261"/>
      <c r="N120" s="273"/>
      <c r="O120" s="273"/>
      <c r="Q120" s="261"/>
      <c r="R120" s="261"/>
      <c r="S120" s="261"/>
      <c r="T120" s="261"/>
      <c r="U120" s="261"/>
      <c r="V120" s="261"/>
      <c r="W120" s="261"/>
      <c r="X120" s="261"/>
      <c r="Y120" s="261"/>
      <c r="Z120" s="261"/>
    </row>
    <row r="121" ht="15.75" customHeight="1">
      <c r="A121" s="261"/>
      <c r="B121" s="261"/>
      <c r="C121" s="273"/>
      <c r="D121" s="261"/>
      <c r="E121" s="261"/>
      <c r="F121" s="291"/>
      <c r="G121" s="261"/>
      <c r="H121" s="261"/>
      <c r="I121" s="261"/>
      <c r="J121" s="261"/>
      <c r="K121" s="261"/>
      <c r="L121" s="261"/>
      <c r="M121" s="261"/>
      <c r="N121" s="273"/>
      <c r="O121" s="273"/>
      <c r="Q121" s="261"/>
      <c r="R121" s="261"/>
      <c r="S121" s="261"/>
      <c r="T121" s="261"/>
      <c r="U121" s="261"/>
      <c r="V121" s="261"/>
      <c r="W121" s="261"/>
      <c r="X121" s="261"/>
      <c r="Y121" s="261"/>
      <c r="Z121" s="261"/>
    </row>
    <row r="122" ht="15.75" customHeight="1">
      <c r="A122" s="261"/>
      <c r="B122" s="261"/>
      <c r="C122" s="273"/>
      <c r="D122" s="261"/>
      <c r="E122" s="261"/>
      <c r="F122" s="291"/>
      <c r="G122" s="261"/>
      <c r="H122" s="261"/>
      <c r="I122" s="261"/>
      <c r="J122" s="261"/>
      <c r="K122" s="261"/>
      <c r="L122" s="261"/>
      <c r="M122" s="261"/>
      <c r="N122" s="273"/>
      <c r="O122" s="273"/>
      <c r="Q122" s="261"/>
      <c r="R122" s="261"/>
      <c r="S122" s="261"/>
      <c r="T122" s="261"/>
      <c r="U122" s="261"/>
      <c r="V122" s="261"/>
      <c r="W122" s="261"/>
      <c r="X122" s="261"/>
      <c r="Y122" s="261"/>
      <c r="Z122" s="261"/>
    </row>
    <row r="123" ht="15.75" customHeight="1">
      <c r="A123" s="261"/>
      <c r="B123" s="261"/>
      <c r="C123" s="273"/>
      <c r="D123" s="261"/>
      <c r="E123" s="261"/>
      <c r="F123" s="291"/>
      <c r="G123" s="261"/>
      <c r="H123" s="261"/>
      <c r="I123" s="261"/>
      <c r="J123" s="261"/>
      <c r="K123" s="261"/>
      <c r="L123" s="261"/>
      <c r="M123" s="261"/>
      <c r="N123" s="273"/>
      <c r="O123" s="273"/>
      <c r="Q123" s="261"/>
      <c r="R123" s="261"/>
      <c r="S123" s="261"/>
      <c r="T123" s="261"/>
      <c r="U123" s="261"/>
      <c r="V123" s="261"/>
      <c r="W123" s="261"/>
      <c r="X123" s="261"/>
      <c r="Y123" s="261"/>
      <c r="Z123" s="261"/>
    </row>
    <row r="124" ht="15.75" customHeight="1">
      <c r="A124" s="261"/>
      <c r="B124" s="261"/>
      <c r="C124" s="273"/>
      <c r="D124" s="261"/>
      <c r="E124" s="261"/>
      <c r="F124" s="291"/>
      <c r="G124" s="261"/>
      <c r="H124" s="261"/>
      <c r="I124" s="261"/>
      <c r="J124" s="261"/>
      <c r="K124" s="261"/>
      <c r="L124" s="261"/>
      <c r="M124" s="261"/>
      <c r="N124" s="273"/>
      <c r="O124" s="273"/>
      <c r="Q124" s="261"/>
      <c r="R124" s="261"/>
      <c r="S124" s="261"/>
      <c r="T124" s="261"/>
      <c r="U124" s="261"/>
      <c r="V124" s="261"/>
      <c r="W124" s="261"/>
      <c r="X124" s="261"/>
      <c r="Y124" s="261"/>
      <c r="Z124" s="261"/>
    </row>
    <row r="125" ht="15.75" customHeight="1">
      <c r="A125" s="261"/>
      <c r="B125" s="261"/>
      <c r="C125" s="273"/>
      <c r="D125" s="261"/>
      <c r="E125" s="261"/>
      <c r="F125" s="291"/>
      <c r="G125" s="261"/>
      <c r="H125" s="261"/>
      <c r="I125" s="261"/>
      <c r="J125" s="261"/>
      <c r="K125" s="261"/>
      <c r="L125" s="261"/>
      <c r="M125" s="261"/>
      <c r="N125" s="273"/>
      <c r="O125" s="273"/>
      <c r="Q125" s="261"/>
      <c r="R125" s="261"/>
      <c r="S125" s="261"/>
      <c r="T125" s="261"/>
      <c r="U125" s="261"/>
      <c r="V125" s="261"/>
      <c r="W125" s="261"/>
      <c r="X125" s="261"/>
      <c r="Y125" s="261"/>
      <c r="Z125" s="261"/>
    </row>
    <row r="126" ht="15.75" customHeight="1">
      <c r="A126" s="261"/>
      <c r="B126" s="261"/>
      <c r="C126" s="273"/>
      <c r="D126" s="261"/>
      <c r="E126" s="261"/>
      <c r="F126" s="291"/>
      <c r="G126" s="261"/>
      <c r="H126" s="261"/>
      <c r="I126" s="261"/>
      <c r="J126" s="261"/>
      <c r="K126" s="261"/>
      <c r="L126" s="261"/>
      <c r="M126" s="261"/>
      <c r="N126" s="273"/>
      <c r="O126" s="273"/>
      <c r="Q126" s="261"/>
      <c r="R126" s="261"/>
      <c r="S126" s="261"/>
      <c r="T126" s="261"/>
      <c r="U126" s="261"/>
      <c r="V126" s="261"/>
      <c r="W126" s="261"/>
      <c r="X126" s="261"/>
      <c r="Y126" s="261"/>
      <c r="Z126" s="261"/>
    </row>
    <row r="127" ht="15.75" customHeight="1">
      <c r="A127" s="261"/>
      <c r="B127" s="261"/>
      <c r="C127" s="273"/>
      <c r="D127" s="261"/>
      <c r="E127" s="261"/>
      <c r="F127" s="291"/>
      <c r="G127" s="261"/>
      <c r="H127" s="261"/>
      <c r="I127" s="261"/>
      <c r="J127" s="261"/>
      <c r="K127" s="261"/>
      <c r="L127" s="261"/>
      <c r="M127" s="261"/>
      <c r="N127" s="273"/>
      <c r="O127" s="273"/>
      <c r="Q127" s="261"/>
      <c r="R127" s="261"/>
      <c r="S127" s="261"/>
      <c r="T127" s="261"/>
      <c r="U127" s="261"/>
      <c r="V127" s="261"/>
      <c r="W127" s="261"/>
      <c r="X127" s="261"/>
      <c r="Y127" s="261"/>
      <c r="Z127" s="261"/>
    </row>
    <row r="128" ht="15.75" customHeight="1">
      <c r="A128" s="261"/>
      <c r="B128" s="261"/>
      <c r="C128" s="273"/>
      <c r="D128" s="261"/>
      <c r="E128" s="261"/>
      <c r="F128" s="291"/>
      <c r="G128" s="261"/>
      <c r="H128" s="261"/>
      <c r="I128" s="261"/>
      <c r="J128" s="261"/>
      <c r="K128" s="261"/>
      <c r="L128" s="261"/>
      <c r="M128" s="261"/>
      <c r="N128" s="273"/>
      <c r="O128" s="273"/>
      <c r="Q128" s="261"/>
      <c r="R128" s="261"/>
      <c r="S128" s="261"/>
      <c r="T128" s="261"/>
      <c r="U128" s="261"/>
      <c r="V128" s="261"/>
      <c r="W128" s="261"/>
      <c r="X128" s="261"/>
      <c r="Y128" s="261"/>
      <c r="Z128" s="261"/>
    </row>
    <row r="129" ht="15.75" customHeight="1">
      <c r="A129" s="261"/>
      <c r="B129" s="261"/>
      <c r="C129" s="273"/>
      <c r="D129" s="261"/>
      <c r="E129" s="261"/>
      <c r="F129" s="291"/>
      <c r="G129" s="261"/>
      <c r="H129" s="261"/>
      <c r="I129" s="261"/>
      <c r="J129" s="261"/>
      <c r="K129" s="261"/>
      <c r="L129" s="261"/>
      <c r="M129" s="261"/>
      <c r="N129" s="273"/>
      <c r="O129" s="273"/>
      <c r="Q129" s="261"/>
      <c r="R129" s="261"/>
      <c r="S129" s="261"/>
      <c r="T129" s="261"/>
      <c r="U129" s="261"/>
      <c r="V129" s="261"/>
      <c r="W129" s="261"/>
      <c r="X129" s="261"/>
      <c r="Y129" s="261"/>
      <c r="Z129" s="261"/>
    </row>
    <row r="130" ht="15.75" customHeight="1">
      <c r="A130" s="261"/>
      <c r="B130" s="261"/>
      <c r="C130" s="273"/>
      <c r="D130" s="261"/>
      <c r="E130" s="261"/>
      <c r="F130" s="291"/>
      <c r="G130" s="261"/>
      <c r="H130" s="261"/>
      <c r="I130" s="261"/>
      <c r="J130" s="261"/>
      <c r="K130" s="261"/>
      <c r="L130" s="261"/>
      <c r="M130" s="261"/>
      <c r="N130" s="273"/>
      <c r="O130" s="273"/>
      <c r="Q130" s="261"/>
      <c r="R130" s="261"/>
      <c r="S130" s="261"/>
      <c r="T130" s="261"/>
      <c r="U130" s="261"/>
      <c r="V130" s="261"/>
      <c r="W130" s="261"/>
      <c r="X130" s="261"/>
      <c r="Y130" s="261"/>
      <c r="Z130" s="261"/>
    </row>
    <row r="131" ht="15.75" customHeight="1">
      <c r="A131" s="261"/>
      <c r="B131" s="261"/>
      <c r="C131" s="273"/>
      <c r="D131" s="261"/>
      <c r="E131" s="261"/>
      <c r="F131" s="291"/>
      <c r="G131" s="261"/>
      <c r="H131" s="261"/>
      <c r="I131" s="261"/>
      <c r="J131" s="261"/>
      <c r="K131" s="261"/>
      <c r="L131" s="261"/>
      <c r="M131" s="261"/>
      <c r="N131" s="273"/>
      <c r="O131" s="273"/>
      <c r="Q131" s="261"/>
      <c r="R131" s="261"/>
      <c r="S131" s="261"/>
      <c r="T131" s="261"/>
      <c r="U131" s="261"/>
      <c r="V131" s="261"/>
      <c r="W131" s="261"/>
      <c r="X131" s="261"/>
      <c r="Y131" s="261"/>
      <c r="Z131" s="261"/>
    </row>
    <row r="132" ht="15.75" customHeight="1">
      <c r="A132" s="261"/>
      <c r="B132" s="261"/>
      <c r="C132" s="273"/>
      <c r="D132" s="261"/>
      <c r="E132" s="261"/>
      <c r="F132" s="291"/>
      <c r="G132" s="261"/>
      <c r="H132" s="261"/>
      <c r="I132" s="261"/>
      <c r="J132" s="261"/>
      <c r="K132" s="261"/>
      <c r="L132" s="261"/>
      <c r="M132" s="261"/>
      <c r="N132" s="273"/>
      <c r="O132" s="273"/>
      <c r="Q132" s="261"/>
      <c r="R132" s="261"/>
      <c r="S132" s="261"/>
      <c r="T132" s="261"/>
      <c r="U132" s="261"/>
      <c r="V132" s="261"/>
      <c r="W132" s="261"/>
      <c r="X132" s="261"/>
      <c r="Y132" s="261"/>
      <c r="Z132" s="261"/>
    </row>
    <row r="133" ht="15.75" customHeight="1">
      <c r="A133" s="261"/>
      <c r="B133" s="261"/>
      <c r="C133" s="273"/>
      <c r="D133" s="261"/>
      <c r="E133" s="261"/>
      <c r="F133" s="291"/>
      <c r="G133" s="261"/>
      <c r="H133" s="261"/>
      <c r="I133" s="261"/>
      <c r="J133" s="261"/>
      <c r="K133" s="261"/>
      <c r="L133" s="261"/>
      <c r="M133" s="261"/>
      <c r="N133" s="273"/>
      <c r="O133" s="273"/>
      <c r="Q133" s="261"/>
      <c r="R133" s="261"/>
      <c r="S133" s="261"/>
      <c r="T133" s="261"/>
      <c r="U133" s="261"/>
      <c r="V133" s="261"/>
      <c r="W133" s="261"/>
      <c r="X133" s="261"/>
      <c r="Y133" s="261"/>
      <c r="Z133" s="261"/>
    </row>
    <row r="134" ht="15.75" customHeight="1">
      <c r="A134" s="261"/>
      <c r="B134" s="261"/>
      <c r="C134" s="273"/>
      <c r="D134" s="261"/>
      <c r="E134" s="261"/>
      <c r="F134" s="291"/>
      <c r="G134" s="261"/>
      <c r="H134" s="261"/>
      <c r="I134" s="261"/>
      <c r="J134" s="261"/>
      <c r="K134" s="261"/>
      <c r="L134" s="261"/>
      <c r="M134" s="261"/>
      <c r="N134" s="273"/>
      <c r="O134" s="273"/>
      <c r="Q134" s="261"/>
      <c r="R134" s="261"/>
      <c r="S134" s="261"/>
      <c r="T134" s="261"/>
      <c r="U134" s="261"/>
      <c r="V134" s="261"/>
      <c r="W134" s="261"/>
      <c r="X134" s="261"/>
      <c r="Y134" s="261"/>
      <c r="Z134" s="261"/>
    </row>
    <row r="135" ht="15.75" customHeight="1">
      <c r="A135" s="261"/>
      <c r="B135" s="261"/>
      <c r="C135" s="273"/>
      <c r="D135" s="261"/>
      <c r="E135" s="261"/>
      <c r="F135" s="291"/>
      <c r="G135" s="261"/>
      <c r="H135" s="261"/>
      <c r="I135" s="261"/>
      <c r="J135" s="261"/>
      <c r="K135" s="261"/>
      <c r="L135" s="261"/>
      <c r="M135" s="261"/>
      <c r="N135" s="273"/>
      <c r="O135" s="273"/>
      <c r="Q135" s="261"/>
      <c r="R135" s="261"/>
      <c r="S135" s="261"/>
      <c r="T135" s="261"/>
      <c r="U135" s="261"/>
      <c r="V135" s="261"/>
      <c r="W135" s="261"/>
      <c r="X135" s="261"/>
      <c r="Y135" s="261"/>
      <c r="Z135" s="261"/>
    </row>
    <row r="136" ht="15.75" customHeight="1">
      <c r="A136" s="261"/>
      <c r="B136" s="261"/>
      <c r="C136" s="273"/>
      <c r="D136" s="261"/>
      <c r="E136" s="261"/>
      <c r="F136" s="291"/>
      <c r="G136" s="261"/>
      <c r="H136" s="261"/>
      <c r="I136" s="261"/>
      <c r="J136" s="261"/>
      <c r="K136" s="261"/>
      <c r="L136" s="261"/>
      <c r="M136" s="261"/>
      <c r="N136" s="273"/>
      <c r="O136" s="273"/>
      <c r="Q136" s="261"/>
      <c r="R136" s="261"/>
      <c r="S136" s="261"/>
      <c r="T136" s="261"/>
      <c r="U136" s="261"/>
      <c r="V136" s="261"/>
      <c r="W136" s="261"/>
      <c r="X136" s="261"/>
      <c r="Y136" s="261"/>
      <c r="Z136" s="261"/>
    </row>
    <row r="137" ht="15.75" customHeight="1">
      <c r="A137" s="261"/>
      <c r="B137" s="261"/>
      <c r="C137" s="273"/>
      <c r="D137" s="261"/>
      <c r="E137" s="261"/>
      <c r="F137" s="291"/>
      <c r="G137" s="261"/>
      <c r="H137" s="261"/>
      <c r="I137" s="261"/>
      <c r="J137" s="261"/>
      <c r="K137" s="261"/>
      <c r="L137" s="261"/>
      <c r="M137" s="261"/>
      <c r="N137" s="273"/>
      <c r="O137" s="273"/>
      <c r="Q137" s="261"/>
      <c r="R137" s="261"/>
      <c r="S137" s="261"/>
      <c r="T137" s="261"/>
      <c r="U137" s="261"/>
      <c r="V137" s="261"/>
      <c r="W137" s="261"/>
      <c r="X137" s="261"/>
      <c r="Y137" s="261"/>
      <c r="Z137" s="261"/>
    </row>
    <row r="138" ht="15.75" customHeight="1">
      <c r="A138" s="261"/>
      <c r="B138" s="261"/>
      <c r="C138" s="273"/>
      <c r="D138" s="261"/>
      <c r="E138" s="261"/>
      <c r="F138" s="291"/>
      <c r="G138" s="261"/>
      <c r="H138" s="261"/>
      <c r="I138" s="261"/>
      <c r="J138" s="261"/>
      <c r="K138" s="261"/>
      <c r="L138" s="261"/>
      <c r="M138" s="261"/>
      <c r="N138" s="273"/>
      <c r="O138" s="273"/>
      <c r="Q138" s="261"/>
      <c r="R138" s="261"/>
      <c r="S138" s="261"/>
      <c r="T138" s="261"/>
      <c r="U138" s="261"/>
      <c r="V138" s="261"/>
      <c r="W138" s="261"/>
      <c r="X138" s="261"/>
      <c r="Y138" s="261"/>
      <c r="Z138" s="261"/>
    </row>
    <row r="139" ht="15.75" customHeight="1">
      <c r="A139" s="261"/>
      <c r="B139" s="261"/>
      <c r="C139" s="273"/>
      <c r="D139" s="261"/>
      <c r="E139" s="261"/>
      <c r="F139" s="291"/>
      <c r="G139" s="261"/>
      <c r="H139" s="261"/>
      <c r="I139" s="261"/>
      <c r="J139" s="261"/>
      <c r="K139" s="261"/>
      <c r="L139" s="261"/>
      <c r="M139" s="261"/>
      <c r="N139" s="273"/>
      <c r="O139" s="273"/>
      <c r="Q139" s="261"/>
      <c r="R139" s="261"/>
      <c r="S139" s="261"/>
      <c r="T139" s="261"/>
      <c r="U139" s="261"/>
      <c r="V139" s="261"/>
      <c r="W139" s="261"/>
      <c r="X139" s="261"/>
      <c r="Y139" s="261"/>
      <c r="Z139" s="261"/>
    </row>
    <row r="140" ht="15.75" customHeight="1">
      <c r="A140" s="261"/>
      <c r="B140" s="261"/>
      <c r="C140" s="273"/>
      <c r="D140" s="261"/>
      <c r="E140" s="261"/>
      <c r="F140" s="291"/>
      <c r="G140" s="261"/>
      <c r="H140" s="261"/>
      <c r="I140" s="261"/>
      <c r="J140" s="261"/>
      <c r="K140" s="261"/>
      <c r="L140" s="261"/>
      <c r="M140" s="261"/>
      <c r="N140" s="273"/>
      <c r="O140" s="273"/>
      <c r="Q140" s="261"/>
      <c r="R140" s="261"/>
      <c r="S140" s="261"/>
      <c r="T140" s="261"/>
      <c r="U140" s="261"/>
      <c r="V140" s="261"/>
      <c r="W140" s="261"/>
      <c r="X140" s="261"/>
      <c r="Y140" s="261"/>
      <c r="Z140" s="261"/>
    </row>
    <row r="141" ht="15.75" customHeight="1">
      <c r="A141" s="261"/>
      <c r="B141" s="261"/>
      <c r="C141" s="273"/>
      <c r="D141" s="261"/>
      <c r="E141" s="261"/>
      <c r="F141" s="291"/>
      <c r="G141" s="261"/>
      <c r="H141" s="261"/>
      <c r="I141" s="261"/>
      <c r="J141" s="261"/>
      <c r="K141" s="261"/>
      <c r="L141" s="261"/>
      <c r="M141" s="261"/>
      <c r="N141" s="273"/>
      <c r="O141" s="273"/>
      <c r="Q141" s="261"/>
      <c r="R141" s="261"/>
      <c r="S141" s="261"/>
      <c r="T141" s="261"/>
      <c r="U141" s="261"/>
      <c r="V141" s="261"/>
      <c r="W141" s="261"/>
      <c r="X141" s="261"/>
      <c r="Y141" s="261"/>
      <c r="Z141" s="261"/>
    </row>
    <row r="142" ht="15.75" customHeight="1">
      <c r="A142" s="261"/>
      <c r="B142" s="261"/>
      <c r="C142" s="273"/>
      <c r="D142" s="261"/>
      <c r="E142" s="261"/>
      <c r="F142" s="291"/>
      <c r="G142" s="261"/>
      <c r="H142" s="261"/>
      <c r="I142" s="261"/>
      <c r="J142" s="261"/>
      <c r="K142" s="261"/>
      <c r="L142" s="261"/>
      <c r="M142" s="261"/>
      <c r="N142" s="273"/>
      <c r="O142" s="273"/>
      <c r="Q142" s="261"/>
      <c r="R142" s="261"/>
      <c r="S142" s="261"/>
      <c r="T142" s="261"/>
      <c r="U142" s="261"/>
      <c r="V142" s="261"/>
      <c r="W142" s="261"/>
      <c r="X142" s="261"/>
      <c r="Y142" s="261"/>
      <c r="Z142" s="261"/>
    </row>
    <row r="143" ht="15.75" customHeight="1">
      <c r="A143" s="261"/>
      <c r="B143" s="261"/>
      <c r="C143" s="273"/>
      <c r="D143" s="261"/>
      <c r="E143" s="261"/>
      <c r="F143" s="291"/>
      <c r="G143" s="261"/>
      <c r="H143" s="261"/>
      <c r="I143" s="261"/>
      <c r="J143" s="261"/>
      <c r="K143" s="261"/>
      <c r="L143" s="261"/>
      <c r="M143" s="261"/>
      <c r="N143" s="273"/>
      <c r="O143" s="273"/>
      <c r="Q143" s="261"/>
      <c r="R143" s="261"/>
      <c r="S143" s="261"/>
      <c r="T143" s="261"/>
      <c r="U143" s="261"/>
      <c r="V143" s="261"/>
      <c r="W143" s="261"/>
      <c r="X143" s="261"/>
      <c r="Y143" s="261"/>
      <c r="Z143" s="261"/>
    </row>
    <row r="144" ht="15.75" customHeight="1">
      <c r="A144" s="261"/>
      <c r="B144" s="261"/>
      <c r="C144" s="273"/>
      <c r="D144" s="261"/>
      <c r="E144" s="261"/>
      <c r="F144" s="291"/>
      <c r="G144" s="261"/>
      <c r="H144" s="261"/>
      <c r="I144" s="261"/>
      <c r="J144" s="261"/>
      <c r="K144" s="261"/>
      <c r="L144" s="261"/>
      <c r="M144" s="261"/>
      <c r="N144" s="273"/>
      <c r="O144" s="273"/>
      <c r="Q144" s="261"/>
      <c r="R144" s="261"/>
      <c r="S144" s="261"/>
      <c r="T144" s="261"/>
      <c r="U144" s="261"/>
      <c r="V144" s="261"/>
      <c r="W144" s="261"/>
      <c r="X144" s="261"/>
      <c r="Y144" s="261"/>
      <c r="Z144" s="261"/>
    </row>
    <row r="145" ht="15.75" customHeight="1">
      <c r="A145" s="261"/>
      <c r="B145" s="261"/>
      <c r="C145" s="273"/>
      <c r="D145" s="261"/>
      <c r="E145" s="261"/>
      <c r="F145" s="291"/>
      <c r="G145" s="261"/>
      <c r="H145" s="261"/>
      <c r="I145" s="261"/>
      <c r="J145" s="261"/>
      <c r="K145" s="261"/>
      <c r="L145" s="261"/>
      <c r="M145" s="261"/>
      <c r="N145" s="273"/>
      <c r="O145" s="273"/>
      <c r="Q145" s="261"/>
      <c r="R145" s="261"/>
      <c r="S145" s="261"/>
      <c r="T145" s="261"/>
      <c r="U145" s="261"/>
      <c r="V145" s="261"/>
      <c r="W145" s="261"/>
      <c r="X145" s="261"/>
      <c r="Y145" s="261"/>
      <c r="Z145" s="261"/>
    </row>
    <row r="146" ht="15.75" customHeight="1">
      <c r="A146" s="261"/>
      <c r="B146" s="261"/>
      <c r="C146" s="273"/>
      <c r="D146" s="261"/>
      <c r="E146" s="261"/>
      <c r="F146" s="291"/>
      <c r="G146" s="261"/>
      <c r="H146" s="261"/>
      <c r="I146" s="261"/>
      <c r="J146" s="261"/>
      <c r="K146" s="261"/>
      <c r="L146" s="261"/>
      <c r="M146" s="261"/>
      <c r="N146" s="273"/>
      <c r="O146" s="273"/>
      <c r="Q146" s="261"/>
      <c r="R146" s="261"/>
      <c r="S146" s="261"/>
      <c r="T146" s="261"/>
      <c r="U146" s="261"/>
      <c r="V146" s="261"/>
      <c r="W146" s="261"/>
      <c r="X146" s="261"/>
      <c r="Y146" s="261"/>
      <c r="Z146" s="261"/>
    </row>
    <row r="147" ht="15.75" customHeight="1">
      <c r="A147" s="261"/>
      <c r="B147" s="261"/>
      <c r="C147" s="273"/>
      <c r="D147" s="261"/>
      <c r="E147" s="261"/>
      <c r="F147" s="291"/>
      <c r="G147" s="261"/>
      <c r="H147" s="261"/>
      <c r="I147" s="261"/>
      <c r="J147" s="261"/>
      <c r="K147" s="261"/>
      <c r="L147" s="261"/>
      <c r="M147" s="261"/>
      <c r="N147" s="273"/>
      <c r="O147" s="273"/>
      <c r="Q147" s="261"/>
      <c r="R147" s="261"/>
      <c r="S147" s="261"/>
      <c r="T147" s="261"/>
      <c r="U147" s="261"/>
      <c r="V147" s="261"/>
      <c r="W147" s="261"/>
      <c r="X147" s="261"/>
      <c r="Y147" s="261"/>
      <c r="Z147" s="261"/>
    </row>
    <row r="148" ht="15.75" customHeight="1">
      <c r="A148" s="261"/>
      <c r="B148" s="261"/>
      <c r="C148" s="273"/>
      <c r="D148" s="261"/>
      <c r="E148" s="261"/>
      <c r="F148" s="291"/>
      <c r="G148" s="261"/>
      <c r="H148" s="261"/>
      <c r="I148" s="261"/>
      <c r="J148" s="261"/>
      <c r="K148" s="261"/>
      <c r="L148" s="261"/>
      <c r="M148" s="261"/>
      <c r="N148" s="273"/>
      <c r="O148" s="273"/>
      <c r="Q148" s="261"/>
      <c r="R148" s="261"/>
      <c r="S148" s="261"/>
      <c r="T148" s="261"/>
      <c r="U148" s="261"/>
      <c r="V148" s="261"/>
      <c r="W148" s="261"/>
      <c r="X148" s="261"/>
      <c r="Y148" s="261"/>
      <c r="Z148" s="261"/>
    </row>
    <row r="149" ht="15.75" customHeight="1">
      <c r="A149" s="261"/>
      <c r="B149" s="261"/>
      <c r="C149" s="273"/>
      <c r="D149" s="261"/>
      <c r="E149" s="261"/>
      <c r="F149" s="291"/>
      <c r="G149" s="261"/>
      <c r="H149" s="261"/>
      <c r="I149" s="261"/>
      <c r="J149" s="261"/>
      <c r="K149" s="261"/>
      <c r="L149" s="261"/>
      <c r="M149" s="261"/>
      <c r="N149" s="273"/>
      <c r="O149" s="273"/>
      <c r="Q149" s="261"/>
      <c r="R149" s="261"/>
      <c r="S149" s="261"/>
      <c r="T149" s="261"/>
      <c r="U149" s="261"/>
      <c r="V149" s="261"/>
      <c r="W149" s="261"/>
      <c r="X149" s="261"/>
      <c r="Y149" s="261"/>
      <c r="Z149" s="261"/>
    </row>
    <row r="150" ht="15.75" customHeight="1">
      <c r="A150" s="261"/>
      <c r="B150" s="261"/>
      <c r="C150" s="273"/>
      <c r="D150" s="261"/>
      <c r="E150" s="261"/>
      <c r="F150" s="291"/>
      <c r="G150" s="261"/>
      <c r="H150" s="261"/>
      <c r="I150" s="261"/>
      <c r="J150" s="261"/>
      <c r="K150" s="261"/>
      <c r="L150" s="261"/>
      <c r="M150" s="261"/>
      <c r="N150" s="273"/>
      <c r="O150" s="273"/>
      <c r="Q150" s="261"/>
      <c r="R150" s="261"/>
      <c r="S150" s="261"/>
      <c r="T150" s="261"/>
      <c r="U150" s="261"/>
      <c r="V150" s="261"/>
      <c r="W150" s="261"/>
      <c r="X150" s="261"/>
      <c r="Y150" s="261"/>
      <c r="Z150" s="261"/>
    </row>
    <row r="151" ht="15.75" customHeight="1">
      <c r="A151" s="261"/>
      <c r="B151" s="261"/>
      <c r="C151" s="273"/>
      <c r="D151" s="261"/>
      <c r="E151" s="261"/>
      <c r="F151" s="291"/>
      <c r="G151" s="261"/>
      <c r="H151" s="261"/>
      <c r="I151" s="261"/>
      <c r="J151" s="261"/>
      <c r="K151" s="261"/>
      <c r="L151" s="261"/>
      <c r="M151" s="261"/>
      <c r="N151" s="273"/>
      <c r="O151" s="273"/>
      <c r="Q151" s="261"/>
      <c r="R151" s="261"/>
      <c r="S151" s="261"/>
      <c r="T151" s="261"/>
      <c r="U151" s="261"/>
      <c r="V151" s="261"/>
      <c r="W151" s="261"/>
      <c r="X151" s="261"/>
      <c r="Y151" s="261"/>
      <c r="Z151" s="261"/>
    </row>
    <row r="152" ht="15.75" customHeight="1">
      <c r="A152" s="261"/>
      <c r="B152" s="261"/>
      <c r="C152" s="273"/>
      <c r="D152" s="261"/>
      <c r="E152" s="261"/>
      <c r="F152" s="291"/>
      <c r="G152" s="261"/>
      <c r="H152" s="261"/>
      <c r="I152" s="261"/>
      <c r="J152" s="261"/>
      <c r="K152" s="261"/>
      <c r="L152" s="261"/>
      <c r="M152" s="261"/>
      <c r="N152" s="273"/>
      <c r="O152" s="273"/>
      <c r="Q152" s="261"/>
      <c r="R152" s="261"/>
      <c r="S152" s="261"/>
      <c r="T152" s="261"/>
      <c r="U152" s="261"/>
      <c r="V152" s="261"/>
      <c r="W152" s="261"/>
      <c r="X152" s="261"/>
      <c r="Y152" s="261"/>
      <c r="Z152" s="261"/>
    </row>
    <row r="153" ht="15.75" customHeight="1">
      <c r="A153" s="261"/>
      <c r="B153" s="261"/>
      <c r="C153" s="273"/>
      <c r="D153" s="261"/>
      <c r="E153" s="261"/>
      <c r="F153" s="291"/>
      <c r="G153" s="261"/>
      <c r="H153" s="261"/>
      <c r="I153" s="261"/>
      <c r="J153" s="261"/>
      <c r="K153" s="261"/>
      <c r="L153" s="261"/>
      <c r="M153" s="261"/>
      <c r="N153" s="273"/>
      <c r="O153" s="273"/>
      <c r="Q153" s="261"/>
      <c r="R153" s="261"/>
      <c r="S153" s="261"/>
      <c r="T153" s="261"/>
      <c r="U153" s="261"/>
      <c r="V153" s="261"/>
      <c r="W153" s="261"/>
      <c r="X153" s="261"/>
      <c r="Y153" s="261"/>
      <c r="Z153" s="261"/>
    </row>
    <row r="154" ht="15.75" customHeight="1">
      <c r="A154" s="261"/>
      <c r="B154" s="261"/>
      <c r="C154" s="273"/>
      <c r="D154" s="261"/>
      <c r="E154" s="261"/>
      <c r="F154" s="291"/>
      <c r="G154" s="261"/>
      <c r="H154" s="261"/>
      <c r="I154" s="261"/>
      <c r="J154" s="261"/>
      <c r="K154" s="261"/>
      <c r="L154" s="261"/>
      <c r="M154" s="261"/>
      <c r="N154" s="273"/>
      <c r="O154" s="273"/>
      <c r="Q154" s="261"/>
      <c r="R154" s="261"/>
      <c r="S154" s="261"/>
      <c r="T154" s="261"/>
      <c r="U154" s="261"/>
      <c r="V154" s="261"/>
      <c r="W154" s="261"/>
      <c r="X154" s="261"/>
      <c r="Y154" s="261"/>
      <c r="Z154" s="261"/>
    </row>
    <row r="155" ht="15.75" customHeight="1">
      <c r="A155" s="261"/>
      <c r="B155" s="261"/>
      <c r="C155" s="273"/>
      <c r="D155" s="261"/>
      <c r="E155" s="261"/>
      <c r="F155" s="291"/>
      <c r="G155" s="261"/>
      <c r="H155" s="261"/>
      <c r="I155" s="261"/>
      <c r="J155" s="261"/>
      <c r="K155" s="261"/>
      <c r="L155" s="261"/>
      <c r="M155" s="261"/>
      <c r="N155" s="273"/>
      <c r="O155" s="273"/>
      <c r="Q155" s="261"/>
      <c r="R155" s="261"/>
      <c r="S155" s="261"/>
      <c r="T155" s="261"/>
      <c r="U155" s="261"/>
      <c r="V155" s="261"/>
      <c r="W155" s="261"/>
      <c r="X155" s="261"/>
      <c r="Y155" s="261"/>
      <c r="Z155" s="261"/>
    </row>
    <row r="156" ht="15.75" customHeight="1">
      <c r="A156" s="261"/>
      <c r="B156" s="261"/>
      <c r="C156" s="273"/>
      <c r="D156" s="261"/>
      <c r="E156" s="261"/>
      <c r="F156" s="291"/>
      <c r="G156" s="261"/>
      <c r="H156" s="261"/>
      <c r="I156" s="261"/>
      <c r="J156" s="261"/>
      <c r="K156" s="261"/>
      <c r="L156" s="261"/>
      <c r="M156" s="261"/>
      <c r="N156" s="273"/>
      <c r="O156" s="273"/>
      <c r="Q156" s="261"/>
      <c r="R156" s="261"/>
      <c r="S156" s="261"/>
      <c r="T156" s="261"/>
      <c r="U156" s="261"/>
      <c r="V156" s="261"/>
      <c r="W156" s="261"/>
      <c r="X156" s="261"/>
      <c r="Y156" s="261"/>
      <c r="Z156" s="261"/>
    </row>
    <row r="157" ht="15.75" customHeight="1">
      <c r="A157" s="261"/>
      <c r="B157" s="261"/>
      <c r="C157" s="273"/>
      <c r="D157" s="261"/>
      <c r="E157" s="261"/>
      <c r="F157" s="291"/>
      <c r="G157" s="261"/>
      <c r="H157" s="261"/>
      <c r="I157" s="261"/>
      <c r="J157" s="261"/>
      <c r="K157" s="261"/>
      <c r="L157" s="261"/>
      <c r="M157" s="261"/>
      <c r="N157" s="273"/>
      <c r="O157" s="273"/>
      <c r="Q157" s="261"/>
      <c r="R157" s="261"/>
      <c r="S157" s="261"/>
      <c r="T157" s="261"/>
      <c r="U157" s="261"/>
      <c r="V157" s="261"/>
      <c r="W157" s="261"/>
      <c r="X157" s="261"/>
      <c r="Y157" s="261"/>
      <c r="Z157" s="261"/>
    </row>
    <row r="158" ht="15.75" customHeight="1">
      <c r="A158" s="261"/>
      <c r="B158" s="261"/>
      <c r="C158" s="273"/>
      <c r="D158" s="261"/>
      <c r="E158" s="261"/>
      <c r="F158" s="291"/>
      <c r="G158" s="261"/>
      <c r="H158" s="261"/>
      <c r="I158" s="261"/>
      <c r="J158" s="261"/>
      <c r="K158" s="261"/>
      <c r="L158" s="261"/>
      <c r="M158" s="261"/>
      <c r="N158" s="273"/>
      <c r="O158" s="273"/>
      <c r="Q158" s="261"/>
      <c r="R158" s="261"/>
      <c r="S158" s="261"/>
      <c r="T158" s="261"/>
      <c r="U158" s="261"/>
      <c r="V158" s="261"/>
      <c r="W158" s="261"/>
      <c r="X158" s="261"/>
      <c r="Y158" s="261"/>
      <c r="Z158" s="261"/>
    </row>
    <row r="159" ht="15.75" customHeight="1">
      <c r="A159" s="261"/>
      <c r="B159" s="261"/>
      <c r="C159" s="273"/>
      <c r="D159" s="261"/>
      <c r="E159" s="261"/>
      <c r="F159" s="291"/>
      <c r="G159" s="261"/>
      <c r="H159" s="261"/>
      <c r="I159" s="261"/>
      <c r="J159" s="261"/>
      <c r="K159" s="261"/>
      <c r="L159" s="261"/>
      <c r="M159" s="261"/>
      <c r="N159" s="273"/>
      <c r="O159" s="273"/>
      <c r="Q159" s="261"/>
      <c r="R159" s="261"/>
      <c r="S159" s="261"/>
      <c r="T159" s="261"/>
      <c r="U159" s="261"/>
      <c r="V159" s="261"/>
      <c r="W159" s="261"/>
      <c r="X159" s="261"/>
      <c r="Y159" s="261"/>
      <c r="Z159" s="261"/>
    </row>
    <row r="160" ht="15.75" customHeight="1">
      <c r="A160" s="261"/>
      <c r="B160" s="261"/>
      <c r="C160" s="273"/>
      <c r="D160" s="261"/>
      <c r="E160" s="261"/>
      <c r="F160" s="291"/>
      <c r="G160" s="261"/>
      <c r="H160" s="261"/>
      <c r="I160" s="261"/>
      <c r="J160" s="261"/>
      <c r="K160" s="261"/>
      <c r="L160" s="261"/>
      <c r="M160" s="261"/>
      <c r="N160" s="273"/>
      <c r="O160" s="273"/>
      <c r="Q160" s="261"/>
      <c r="R160" s="261"/>
      <c r="S160" s="261"/>
      <c r="T160" s="261"/>
      <c r="U160" s="261"/>
      <c r="V160" s="261"/>
      <c r="W160" s="261"/>
      <c r="X160" s="261"/>
      <c r="Y160" s="261"/>
      <c r="Z160" s="261"/>
    </row>
    <row r="161" ht="15.75" customHeight="1">
      <c r="A161" s="261"/>
      <c r="B161" s="261"/>
      <c r="C161" s="273"/>
      <c r="D161" s="261"/>
      <c r="E161" s="261"/>
      <c r="F161" s="291"/>
      <c r="G161" s="261"/>
      <c r="H161" s="261"/>
      <c r="I161" s="261"/>
      <c r="J161" s="261"/>
      <c r="K161" s="261"/>
      <c r="L161" s="261"/>
      <c r="M161" s="261"/>
      <c r="N161" s="273"/>
      <c r="O161" s="273"/>
      <c r="Q161" s="261"/>
      <c r="R161" s="261"/>
      <c r="S161" s="261"/>
      <c r="T161" s="261"/>
      <c r="U161" s="261"/>
      <c r="V161" s="261"/>
      <c r="W161" s="261"/>
      <c r="X161" s="261"/>
      <c r="Y161" s="261"/>
      <c r="Z161" s="261"/>
    </row>
    <row r="162" ht="15.75" customHeight="1">
      <c r="A162" s="261"/>
      <c r="B162" s="261"/>
      <c r="C162" s="273"/>
      <c r="D162" s="261"/>
      <c r="E162" s="261"/>
      <c r="F162" s="291"/>
      <c r="G162" s="261"/>
      <c r="H162" s="261"/>
      <c r="I162" s="261"/>
      <c r="J162" s="261"/>
      <c r="K162" s="261"/>
      <c r="L162" s="261"/>
      <c r="M162" s="261"/>
      <c r="N162" s="273"/>
      <c r="O162" s="273"/>
      <c r="Q162" s="261"/>
      <c r="R162" s="261"/>
      <c r="S162" s="261"/>
      <c r="T162" s="261"/>
      <c r="U162" s="261"/>
      <c r="V162" s="261"/>
      <c r="W162" s="261"/>
      <c r="X162" s="261"/>
      <c r="Y162" s="261"/>
      <c r="Z162" s="261"/>
    </row>
    <row r="163" ht="15.75" customHeight="1">
      <c r="A163" s="261"/>
      <c r="B163" s="261"/>
      <c r="C163" s="273"/>
      <c r="D163" s="261"/>
      <c r="E163" s="261"/>
      <c r="F163" s="291"/>
      <c r="G163" s="261"/>
      <c r="H163" s="261"/>
      <c r="I163" s="261"/>
      <c r="J163" s="261"/>
      <c r="K163" s="261"/>
      <c r="L163" s="261"/>
      <c r="M163" s="261"/>
      <c r="N163" s="273"/>
      <c r="O163" s="273"/>
      <c r="Q163" s="261"/>
      <c r="R163" s="261"/>
      <c r="S163" s="261"/>
      <c r="T163" s="261"/>
      <c r="U163" s="261"/>
      <c r="V163" s="261"/>
      <c r="W163" s="261"/>
      <c r="X163" s="261"/>
      <c r="Y163" s="261"/>
      <c r="Z163" s="261"/>
    </row>
    <row r="164" ht="15.75" customHeight="1">
      <c r="A164" s="261"/>
      <c r="B164" s="261"/>
      <c r="C164" s="273"/>
      <c r="D164" s="261"/>
      <c r="E164" s="261"/>
      <c r="F164" s="291"/>
      <c r="G164" s="261"/>
      <c r="H164" s="261"/>
      <c r="I164" s="261"/>
      <c r="J164" s="261"/>
      <c r="K164" s="261"/>
      <c r="L164" s="261"/>
      <c r="M164" s="261"/>
      <c r="N164" s="273"/>
      <c r="O164" s="273"/>
      <c r="Q164" s="261"/>
      <c r="R164" s="261"/>
      <c r="S164" s="261"/>
      <c r="T164" s="261"/>
      <c r="U164" s="261"/>
      <c r="V164" s="261"/>
      <c r="W164" s="261"/>
      <c r="X164" s="261"/>
      <c r="Y164" s="261"/>
      <c r="Z164" s="261"/>
    </row>
    <row r="165" ht="15.75" customHeight="1">
      <c r="A165" s="261"/>
      <c r="B165" s="261"/>
      <c r="C165" s="273"/>
      <c r="D165" s="261"/>
      <c r="E165" s="261"/>
      <c r="F165" s="291"/>
      <c r="G165" s="261"/>
      <c r="H165" s="261"/>
      <c r="I165" s="261"/>
      <c r="J165" s="261"/>
      <c r="K165" s="261"/>
      <c r="L165" s="261"/>
      <c r="M165" s="261"/>
      <c r="N165" s="273"/>
      <c r="O165" s="273"/>
      <c r="Q165" s="261"/>
      <c r="R165" s="261"/>
      <c r="S165" s="261"/>
      <c r="T165" s="261"/>
      <c r="U165" s="261"/>
      <c r="V165" s="261"/>
      <c r="W165" s="261"/>
      <c r="X165" s="261"/>
      <c r="Y165" s="261"/>
      <c r="Z165" s="261"/>
    </row>
    <row r="166" ht="15.75" customHeight="1">
      <c r="A166" s="261"/>
      <c r="B166" s="261"/>
      <c r="C166" s="273"/>
      <c r="D166" s="261"/>
      <c r="E166" s="261"/>
      <c r="F166" s="291"/>
      <c r="G166" s="261"/>
      <c r="H166" s="261"/>
      <c r="I166" s="261"/>
      <c r="J166" s="261"/>
      <c r="K166" s="261"/>
      <c r="L166" s="261"/>
      <c r="M166" s="261"/>
      <c r="N166" s="273"/>
      <c r="O166" s="273"/>
      <c r="Q166" s="261"/>
      <c r="R166" s="261"/>
      <c r="S166" s="261"/>
      <c r="T166" s="261"/>
      <c r="U166" s="261"/>
      <c r="V166" s="261"/>
      <c r="W166" s="261"/>
      <c r="X166" s="261"/>
      <c r="Y166" s="261"/>
      <c r="Z166" s="261"/>
    </row>
    <row r="167" ht="15.75" customHeight="1">
      <c r="A167" s="261"/>
      <c r="B167" s="261"/>
      <c r="C167" s="273"/>
      <c r="D167" s="261"/>
      <c r="E167" s="261"/>
      <c r="F167" s="291"/>
      <c r="G167" s="261"/>
      <c r="H167" s="261"/>
      <c r="I167" s="261"/>
      <c r="J167" s="261"/>
      <c r="K167" s="261"/>
      <c r="L167" s="261"/>
      <c r="M167" s="261"/>
      <c r="N167" s="273"/>
      <c r="O167" s="273"/>
      <c r="Q167" s="261"/>
      <c r="R167" s="261"/>
      <c r="S167" s="261"/>
      <c r="T167" s="261"/>
      <c r="U167" s="261"/>
      <c r="V167" s="261"/>
      <c r="W167" s="261"/>
      <c r="X167" s="261"/>
      <c r="Y167" s="261"/>
      <c r="Z167" s="261"/>
    </row>
    <row r="168" ht="15.75" customHeight="1">
      <c r="A168" s="261"/>
      <c r="B168" s="261"/>
      <c r="C168" s="273"/>
      <c r="D168" s="261"/>
      <c r="E168" s="261"/>
      <c r="F168" s="291"/>
      <c r="G168" s="261"/>
      <c r="H168" s="261"/>
      <c r="I168" s="261"/>
      <c r="J168" s="261"/>
      <c r="K168" s="261"/>
      <c r="L168" s="261"/>
      <c r="M168" s="261"/>
      <c r="N168" s="273"/>
      <c r="O168" s="273"/>
      <c r="Q168" s="261"/>
      <c r="R168" s="261"/>
      <c r="S168" s="261"/>
      <c r="T168" s="261"/>
      <c r="U168" s="261"/>
      <c r="V168" s="261"/>
      <c r="W168" s="261"/>
      <c r="X168" s="261"/>
      <c r="Y168" s="261"/>
      <c r="Z168" s="261"/>
    </row>
    <row r="169" ht="15.75" customHeight="1">
      <c r="A169" s="261"/>
      <c r="B169" s="261"/>
      <c r="C169" s="273"/>
      <c r="D169" s="261"/>
      <c r="E169" s="261"/>
      <c r="F169" s="291"/>
      <c r="G169" s="261"/>
      <c r="H169" s="261"/>
      <c r="I169" s="261"/>
      <c r="J169" s="261"/>
      <c r="K169" s="261"/>
      <c r="L169" s="261"/>
      <c r="M169" s="261"/>
      <c r="N169" s="273"/>
      <c r="O169" s="273"/>
      <c r="Q169" s="261"/>
      <c r="R169" s="261"/>
      <c r="S169" s="261"/>
      <c r="T169" s="261"/>
      <c r="U169" s="261"/>
      <c r="V169" s="261"/>
      <c r="W169" s="261"/>
      <c r="X169" s="261"/>
      <c r="Y169" s="261"/>
      <c r="Z169" s="261"/>
    </row>
    <row r="170" ht="15.75" customHeight="1">
      <c r="A170" s="261"/>
      <c r="B170" s="261"/>
      <c r="C170" s="273"/>
      <c r="D170" s="261"/>
      <c r="E170" s="261"/>
      <c r="F170" s="291"/>
      <c r="G170" s="261"/>
      <c r="H170" s="261"/>
      <c r="I170" s="261"/>
      <c r="J170" s="261"/>
      <c r="K170" s="261"/>
      <c r="L170" s="261"/>
      <c r="M170" s="261"/>
      <c r="N170" s="273"/>
      <c r="O170" s="273"/>
      <c r="Q170" s="261"/>
      <c r="R170" s="261"/>
      <c r="S170" s="261"/>
      <c r="T170" s="261"/>
      <c r="U170" s="261"/>
      <c r="V170" s="261"/>
      <c r="W170" s="261"/>
      <c r="X170" s="261"/>
      <c r="Y170" s="261"/>
      <c r="Z170" s="261"/>
    </row>
    <row r="171" ht="15.75" customHeight="1">
      <c r="A171" s="261"/>
      <c r="B171" s="261"/>
      <c r="C171" s="273"/>
      <c r="D171" s="261"/>
      <c r="E171" s="261"/>
      <c r="F171" s="291"/>
      <c r="G171" s="261"/>
      <c r="H171" s="261"/>
      <c r="I171" s="261"/>
      <c r="J171" s="261"/>
      <c r="K171" s="261"/>
      <c r="L171" s="261"/>
      <c r="M171" s="261"/>
      <c r="N171" s="273"/>
      <c r="O171" s="273"/>
      <c r="Q171" s="261"/>
      <c r="R171" s="261"/>
      <c r="S171" s="261"/>
      <c r="T171" s="261"/>
      <c r="U171" s="261"/>
      <c r="V171" s="261"/>
      <c r="W171" s="261"/>
      <c r="X171" s="261"/>
      <c r="Y171" s="261"/>
      <c r="Z171" s="261"/>
    </row>
    <row r="172" ht="15.75" customHeight="1">
      <c r="A172" s="261"/>
      <c r="B172" s="261"/>
      <c r="C172" s="273"/>
      <c r="D172" s="261"/>
      <c r="E172" s="261"/>
      <c r="F172" s="291"/>
      <c r="G172" s="261"/>
      <c r="H172" s="261"/>
      <c r="I172" s="261"/>
      <c r="J172" s="261"/>
      <c r="K172" s="261"/>
      <c r="L172" s="261"/>
      <c r="M172" s="261"/>
      <c r="N172" s="273"/>
      <c r="O172" s="273"/>
      <c r="Q172" s="261"/>
      <c r="R172" s="261"/>
      <c r="S172" s="261"/>
      <c r="T172" s="261"/>
      <c r="U172" s="261"/>
      <c r="V172" s="261"/>
      <c r="W172" s="261"/>
      <c r="X172" s="261"/>
      <c r="Y172" s="261"/>
      <c r="Z172" s="261"/>
    </row>
    <row r="173" ht="15.75" customHeight="1">
      <c r="A173" s="261"/>
      <c r="B173" s="261"/>
      <c r="C173" s="273"/>
      <c r="D173" s="261"/>
      <c r="E173" s="261"/>
      <c r="F173" s="291"/>
      <c r="G173" s="261"/>
      <c r="H173" s="261"/>
      <c r="I173" s="261"/>
      <c r="J173" s="261"/>
      <c r="K173" s="261"/>
      <c r="L173" s="261"/>
      <c r="M173" s="261"/>
      <c r="N173" s="273"/>
      <c r="O173" s="273"/>
      <c r="Q173" s="261"/>
      <c r="R173" s="261"/>
      <c r="S173" s="261"/>
      <c r="T173" s="261"/>
      <c r="U173" s="261"/>
      <c r="V173" s="261"/>
      <c r="W173" s="261"/>
      <c r="X173" s="261"/>
      <c r="Y173" s="261"/>
      <c r="Z173" s="261"/>
    </row>
    <row r="174" ht="15.75" customHeight="1">
      <c r="A174" s="261"/>
      <c r="B174" s="261"/>
      <c r="C174" s="273"/>
      <c r="D174" s="261"/>
      <c r="E174" s="261"/>
      <c r="F174" s="291"/>
      <c r="G174" s="261"/>
      <c r="H174" s="261"/>
      <c r="I174" s="261"/>
      <c r="J174" s="261"/>
      <c r="K174" s="261"/>
      <c r="L174" s="261"/>
      <c r="M174" s="261"/>
      <c r="N174" s="273"/>
      <c r="O174" s="273"/>
      <c r="Q174" s="261"/>
      <c r="R174" s="261"/>
      <c r="S174" s="261"/>
      <c r="T174" s="261"/>
      <c r="U174" s="261"/>
      <c r="V174" s="261"/>
      <c r="W174" s="261"/>
      <c r="X174" s="261"/>
      <c r="Y174" s="261"/>
      <c r="Z174" s="261"/>
    </row>
    <row r="175" ht="15.75" customHeight="1">
      <c r="A175" s="261"/>
      <c r="B175" s="261"/>
      <c r="C175" s="273"/>
      <c r="D175" s="261"/>
      <c r="E175" s="261"/>
      <c r="F175" s="291"/>
      <c r="G175" s="261"/>
      <c r="H175" s="261"/>
      <c r="I175" s="261"/>
      <c r="J175" s="261"/>
      <c r="K175" s="261"/>
      <c r="L175" s="261"/>
      <c r="M175" s="261"/>
      <c r="N175" s="273"/>
      <c r="O175" s="273"/>
      <c r="Q175" s="261"/>
      <c r="R175" s="261"/>
      <c r="S175" s="261"/>
      <c r="T175" s="261"/>
      <c r="U175" s="261"/>
      <c r="V175" s="261"/>
      <c r="W175" s="261"/>
      <c r="X175" s="261"/>
      <c r="Y175" s="261"/>
      <c r="Z175" s="261"/>
    </row>
    <row r="176" ht="15.75" customHeight="1">
      <c r="A176" s="261"/>
      <c r="B176" s="261"/>
      <c r="C176" s="273"/>
      <c r="D176" s="261"/>
      <c r="E176" s="261"/>
      <c r="F176" s="291"/>
      <c r="G176" s="261"/>
      <c r="H176" s="261"/>
      <c r="I176" s="261"/>
      <c r="J176" s="261"/>
      <c r="K176" s="261"/>
      <c r="L176" s="261"/>
      <c r="M176" s="261"/>
      <c r="N176" s="273"/>
      <c r="O176" s="273"/>
      <c r="Q176" s="261"/>
      <c r="R176" s="261"/>
      <c r="S176" s="261"/>
      <c r="T176" s="261"/>
      <c r="U176" s="261"/>
      <c r="V176" s="261"/>
      <c r="W176" s="261"/>
      <c r="X176" s="261"/>
      <c r="Y176" s="261"/>
      <c r="Z176" s="261"/>
    </row>
    <row r="177" ht="15.75" customHeight="1">
      <c r="A177" s="261"/>
      <c r="B177" s="261"/>
      <c r="C177" s="273"/>
      <c r="D177" s="261"/>
      <c r="E177" s="261"/>
      <c r="F177" s="291"/>
      <c r="G177" s="261"/>
      <c r="H177" s="261"/>
      <c r="I177" s="261"/>
      <c r="J177" s="261"/>
      <c r="K177" s="261"/>
      <c r="L177" s="261"/>
      <c r="M177" s="261"/>
      <c r="N177" s="273"/>
      <c r="O177" s="273"/>
      <c r="Q177" s="261"/>
      <c r="R177" s="261"/>
      <c r="S177" s="261"/>
      <c r="T177" s="261"/>
      <c r="U177" s="261"/>
      <c r="V177" s="261"/>
      <c r="W177" s="261"/>
      <c r="X177" s="261"/>
      <c r="Y177" s="261"/>
      <c r="Z177" s="261"/>
    </row>
    <row r="178" ht="15.75" customHeight="1">
      <c r="A178" s="261"/>
      <c r="B178" s="261"/>
      <c r="C178" s="273"/>
      <c r="D178" s="261"/>
      <c r="E178" s="261"/>
      <c r="F178" s="291"/>
      <c r="G178" s="261"/>
      <c r="H178" s="261"/>
      <c r="I178" s="261"/>
      <c r="J178" s="261"/>
      <c r="K178" s="261"/>
      <c r="L178" s="261"/>
      <c r="M178" s="261"/>
      <c r="N178" s="273"/>
      <c r="O178" s="273"/>
      <c r="Q178" s="261"/>
      <c r="R178" s="261"/>
      <c r="S178" s="261"/>
      <c r="T178" s="261"/>
      <c r="U178" s="261"/>
      <c r="V178" s="261"/>
      <c r="W178" s="261"/>
      <c r="X178" s="261"/>
      <c r="Y178" s="261"/>
      <c r="Z178" s="261"/>
    </row>
    <row r="179" ht="15.75" customHeight="1">
      <c r="A179" s="261"/>
      <c r="B179" s="261"/>
      <c r="C179" s="273"/>
      <c r="D179" s="261"/>
      <c r="E179" s="261"/>
      <c r="F179" s="291"/>
      <c r="G179" s="261"/>
      <c r="H179" s="261"/>
      <c r="I179" s="261"/>
      <c r="J179" s="261"/>
      <c r="K179" s="261"/>
      <c r="L179" s="261"/>
      <c r="M179" s="261"/>
      <c r="N179" s="273"/>
      <c r="O179" s="273"/>
      <c r="Q179" s="261"/>
      <c r="R179" s="261"/>
      <c r="S179" s="261"/>
      <c r="T179" s="261"/>
      <c r="U179" s="261"/>
      <c r="V179" s="261"/>
      <c r="W179" s="261"/>
      <c r="X179" s="261"/>
      <c r="Y179" s="261"/>
      <c r="Z179" s="261"/>
    </row>
    <row r="180" ht="15.75" customHeight="1">
      <c r="A180" s="261"/>
      <c r="B180" s="261"/>
      <c r="C180" s="273"/>
      <c r="D180" s="261"/>
      <c r="E180" s="261"/>
      <c r="F180" s="291"/>
      <c r="G180" s="261"/>
      <c r="H180" s="261"/>
      <c r="I180" s="261"/>
      <c r="J180" s="261"/>
      <c r="K180" s="261"/>
      <c r="L180" s="261"/>
      <c r="M180" s="261"/>
      <c r="N180" s="273"/>
      <c r="O180" s="273"/>
      <c r="Q180" s="261"/>
      <c r="R180" s="261"/>
      <c r="S180" s="261"/>
      <c r="T180" s="261"/>
      <c r="U180" s="261"/>
      <c r="V180" s="261"/>
      <c r="W180" s="261"/>
      <c r="X180" s="261"/>
      <c r="Y180" s="261"/>
      <c r="Z180" s="261"/>
    </row>
    <row r="181" ht="15.75" customHeight="1">
      <c r="A181" s="261"/>
      <c r="B181" s="261"/>
      <c r="C181" s="273"/>
      <c r="D181" s="261"/>
      <c r="E181" s="261"/>
      <c r="F181" s="291"/>
      <c r="G181" s="261"/>
      <c r="H181" s="261"/>
      <c r="I181" s="261"/>
      <c r="J181" s="261"/>
      <c r="K181" s="261"/>
      <c r="L181" s="261"/>
      <c r="M181" s="261"/>
      <c r="N181" s="273"/>
      <c r="O181" s="273"/>
      <c r="Q181" s="261"/>
      <c r="R181" s="261"/>
      <c r="S181" s="261"/>
      <c r="T181" s="261"/>
      <c r="U181" s="261"/>
      <c r="V181" s="261"/>
      <c r="W181" s="261"/>
      <c r="X181" s="261"/>
      <c r="Y181" s="261"/>
      <c r="Z181" s="261"/>
    </row>
    <row r="182" ht="15.75" customHeight="1">
      <c r="A182" s="261"/>
      <c r="B182" s="261"/>
      <c r="C182" s="273"/>
      <c r="D182" s="261"/>
      <c r="E182" s="261"/>
      <c r="F182" s="291"/>
      <c r="G182" s="261"/>
      <c r="H182" s="261"/>
      <c r="I182" s="261"/>
      <c r="J182" s="261"/>
      <c r="K182" s="261"/>
      <c r="L182" s="261"/>
      <c r="M182" s="261"/>
      <c r="N182" s="273"/>
      <c r="O182" s="273"/>
      <c r="Q182" s="261"/>
      <c r="R182" s="261"/>
      <c r="S182" s="261"/>
      <c r="T182" s="261"/>
      <c r="U182" s="261"/>
      <c r="V182" s="261"/>
      <c r="W182" s="261"/>
      <c r="X182" s="261"/>
      <c r="Y182" s="261"/>
      <c r="Z182" s="261"/>
    </row>
    <row r="183" ht="15.75" customHeight="1">
      <c r="A183" s="261"/>
      <c r="B183" s="261"/>
      <c r="C183" s="273"/>
      <c r="D183" s="261"/>
      <c r="E183" s="261"/>
      <c r="F183" s="291"/>
      <c r="G183" s="261"/>
      <c r="H183" s="261"/>
      <c r="I183" s="261"/>
      <c r="J183" s="261"/>
      <c r="K183" s="261"/>
      <c r="L183" s="261"/>
      <c r="M183" s="261"/>
      <c r="N183" s="273"/>
      <c r="O183" s="273"/>
      <c r="Q183" s="261"/>
      <c r="R183" s="261"/>
      <c r="S183" s="261"/>
      <c r="T183" s="261"/>
      <c r="U183" s="261"/>
      <c r="V183" s="261"/>
      <c r="W183" s="261"/>
      <c r="X183" s="261"/>
      <c r="Y183" s="261"/>
      <c r="Z183" s="261"/>
    </row>
    <row r="184" ht="15.75" customHeight="1">
      <c r="A184" s="261"/>
      <c r="B184" s="261"/>
      <c r="C184" s="273"/>
      <c r="D184" s="261"/>
      <c r="E184" s="261"/>
      <c r="F184" s="291"/>
      <c r="G184" s="261"/>
      <c r="H184" s="261"/>
      <c r="I184" s="261"/>
      <c r="J184" s="261"/>
      <c r="K184" s="261"/>
      <c r="L184" s="261"/>
      <c r="M184" s="261"/>
      <c r="N184" s="273"/>
      <c r="O184" s="273"/>
      <c r="Q184" s="261"/>
      <c r="R184" s="261"/>
      <c r="S184" s="261"/>
      <c r="T184" s="261"/>
      <c r="U184" s="261"/>
      <c r="V184" s="261"/>
      <c r="W184" s="261"/>
      <c r="X184" s="261"/>
      <c r="Y184" s="261"/>
      <c r="Z184" s="261"/>
    </row>
    <row r="185" ht="15.75" customHeight="1">
      <c r="A185" s="261"/>
      <c r="B185" s="261"/>
      <c r="C185" s="273"/>
      <c r="D185" s="261"/>
      <c r="E185" s="261"/>
      <c r="F185" s="291"/>
      <c r="G185" s="261"/>
      <c r="H185" s="261"/>
      <c r="I185" s="261"/>
      <c r="J185" s="261"/>
      <c r="K185" s="261"/>
      <c r="L185" s="261"/>
      <c r="M185" s="261"/>
      <c r="N185" s="273"/>
      <c r="O185" s="273"/>
      <c r="Q185" s="261"/>
      <c r="R185" s="261"/>
      <c r="S185" s="261"/>
      <c r="T185" s="261"/>
      <c r="U185" s="261"/>
      <c r="V185" s="261"/>
      <c r="W185" s="261"/>
      <c r="X185" s="261"/>
      <c r="Y185" s="261"/>
      <c r="Z185" s="261"/>
    </row>
    <row r="186" ht="15.75" customHeight="1">
      <c r="A186" s="261"/>
      <c r="B186" s="261"/>
      <c r="C186" s="273"/>
      <c r="D186" s="261"/>
      <c r="E186" s="261"/>
      <c r="F186" s="291"/>
      <c r="G186" s="261"/>
      <c r="H186" s="261"/>
      <c r="I186" s="261"/>
      <c r="J186" s="261"/>
      <c r="K186" s="261"/>
      <c r="L186" s="261"/>
      <c r="M186" s="261"/>
      <c r="N186" s="273"/>
      <c r="O186" s="273"/>
      <c r="Q186" s="261"/>
      <c r="R186" s="261"/>
      <c r="S186" s="261"/>
      <c r="T186" s="261"/>
      <c r="U186" s="261"/>
      <c r="V186" s="261"/>
      <c r="W186" s="261"/>
      <c r="X186" s="261"/>
      <c r="Y186" s="261"/>
      <c r="Z186" s="261"/>
    </row>
    <row r="187" ht="15.75" customHeight="1">
      <c r="A187" s="261"/>
      <c r="B187" s="261"/>
      <c r="C187" s="273"/>
      <c r="D187" s="261"/>
      <c r="E187" s="261"/>
      <c r="F187" s="291"/>
      <c r="G187" s="261"/>
      <c r="H187" s="261"/>
      <c r="I187" s="261"/>
      <c r="J187" s="261"/>
      <c r="K187" s="261"/>
      <c r="L187" s="261"/>
      <c r="M187" s="261"/>
      <c r="N187" s="273"/>
      <c r="O187" s="273"/>
      <c r="Q187" s="261"/>
      <c r="R187" s="261"/>
      <c r="S187" s="261"/>
      <c r="T187" s="261"/>
      <c r="U187" s="261"/>
      <c r="V187" s="261"/>
      <c r="W187" s="261"/>
      <c r="X187" s="261"/>
      <c r="Y187" s="261"/>
      <c r="Z187" s="261"/>
    </row>
    <row r="188" ht="15.75" customHeight="1">
      <c r="A188" s="261"/>
      <c r="B188" s="261"/>
      <c r="C188" s="273"/>
      <c r="D188" s="261"/>
      <c r="E188" s="261"/>
      <c r="F188" s="291"/>
      <c r="G188" s="261"/>
      <c r="H188" s="261"/>
      <c r="I188" s="261"/>
      <c r="J188" s="261"/>
      <c r="K188" s="261"/>
      <c r="L188" s="261"/>
      <c r="M188" s="261"/>
      <c r="N188" s="273"/>
      <c r="O188" s="273"/>
      <c r="Q188" s="261"/>
      <c r="R188" s="261"/>
      <c r="S188" s="261"/>
      <c r="T188" s="261"/>
      <c r="U188" s="261"/>
      <c r="V188" s="261"/>
      <c r="W188" s="261"/>
      <c r="X188" s="261"/>
      <c r="Y188" s="261"/>
      <c r="Z188" s="261"/>
    </row>
    <row r="189" ht="15.75" customHeight="1">
      <c r="A189" s="261"/>
      <c r="B189" s="261"/>
      <c r="C189" s="273"/>
      <c r="D189" s="261"/>
      <c r="E189" s="261"/>
      <c r="F189" s="291"/>
      <c r="G189" s="261"/>
      <c r="H189" s="261"/>
      <c r="I189" s="261"/>
      <c r="J189" s="261"/>
      <c r="K189" s="261"/>
      <c r="L189" s="261"/>
      <c r="M189" s="261"/>
      <c r="N189" s="273"/>
      <c r="O189" s="273"/>
      <c r="Q189" s="261"/>
      <c r="R189" s="261"/>
      <c r="S189" s="261"/>
      <c r="T189" s="261"/>
      <c r="U189" s="261"/>
      <c r="V189" s="261"/>
      <c r="W189" s="261"/>
      <c r="X189" s="261"/>
      <c r="Y189" s="261"/>
      <c r="Z189" s="261"/>
    </row>
    <row r="190" ht="15.75" customHeight="1">
      <c r="A190" s="261"/>
      <c r="B190" s="261"/>
      <c r="C190" s="273"/>
      <c r="D190" s="261"/>
      <c r="E190" s="261"/>
      <c r="F190" s="291"/>
      <c r="G190" s="261"/>
      <c r="H190" s="261"/>
      <c r="I190" s="261"/>
      <c r="J190" s="261"/>
      <c r="K190" s="261"/>
      <c r="L190" s="261"/>
      <c r="M190" s="261"/>
      <c r="N190" s="273"/>
      <c r="O190" s="273"/>
      <c r="Q190" s="261"/>
      <c r="R190" s="261"/>
      <c r="S190" s="261"/>
      <c r="T190" s="261"/>
      <c r="U190" s="261"/>
      <c r="V190" s="261"/>
      <c r="W190" s="261"/>
      <c r="X190" s="261"/>
      <c r="Y190" s="261"/>
      <c r="Z190" s="261"/>
    </row>
    <row r="191" ht="15.75" customHeight="1">
      <c r="A191" s="261"/>
      <c r="B191" s="261"/>
      <c r="C191" s="273"/>
      <c r="D191" s="261"/>
      <c r="E191" s="261"/>
      <c r="F191" s="291"/>
      <c r="G191" s="261"/>
      <c r="H191" s="261"/>
      <c r="I191" s="261"/>
      <c r="J191" s="261"/>
      <c r="K191" s="261"/>
      <c r="L191" s="261"/>
      <c r="M191" s="261"/>
      <c r="N191" s="273"/>
      <c r="O191" s="273"/>
      <c r="Q191" s="261"/>
      <c r="R191" s="261"/>
      <c r="S191" s="261"/>
      <c r="T191" s="261"/>
      <c r="U191" s="261"/>
      <c r="V191" s="261"/>
      <c r="W191" s="261"/>
      <c r="X191" s="261"/>
      <c r="Y191" s="261"/>
      <c r="Z191" s="261"/>
    </row>
    <row r="192" ht="15.75" customHeight="1">
      <c r="A192" s="261"/>
      <c r="B192" s="261"/>
      <c r="C192" s="273"/>
      <c r="D192" s="261"/>
      <c r="E192" s="261"/>
      <c r="F192" s="291"/>
      <c r="G192" s="261"/>
      <c r="H192" s="261"/>
      <c r="I192" s="261"/>
      <c r="J192" s="261"/>
      <c r="K192" s="261"/>
      <c r="L192" s="261"/>
      <c r="M192" s="261"/>
      <c r="N192" s="273"/>
      <c r="O192" s="273"/>
      <c r="Q192" s="261"/>
      <c r="R192" s="261"/>
      <c r="S192" s="261"/>
      <c r="T192" s="261"/>
      <c r="U192" s="261"/>
      <c r="V192" s="261"/>
      <c r="W192" s="261"/>
      <c r="X192" s="261"/>
      <c r="Y192" s="261"/>
      <c r="Z192" s="261"/>
    </row>
    <row r="193" ht="15.75" customHeight="1">
      <c r="A193" s="261"/>
      <c r="B193" s="261"/>
      <c r="C193" s="273"/>
      <c r="D193" s="261"/>
      <c r="E193" s="261"/>
      <c r="F193" s="291"/>
      <c r="G193" s="261"/>
      <c r="H193" s="261"/>
      <c r="I193" s="261"/>
      <c r="J193" s="261"/>
      <c r="K193" s="261"/>
      <c r="L193" s="261"/>
      <c r="M193" s="261"/>
      <c r="N193" s="273"/>
      <c r="O193" s="273"/>
      <c r="Q193" s="261"/>
      <c r="R193" s="261"/>
      <c r="S193" s="261"/>
      <c r="T193" s="261"/>
      <c r="U193" s="261"/>
      <c r="V193" s="261"/>
      <c r="W193" s="261"/>
      <c r="X193" s="261"/>
      <c r="Y193" s="261"/>
      <c r="Z193" s="261"/>
    </row>
    <row r="194" ht="15.75" customHeight="1">
      <c r="A194" s="261"/>
      <c r="B194" s="261"/>
      <c r="C194" s="273"/>
      <c r="D194" s="261"/>
      <c r="E194" s="261"/>
      <c r="F194" s="291"/>
      <c r="G194" s="261"/>
      <c r="H194" s="261"/>
      <c r="I194" s="261"/>
      <c r="J194" s="261"/>
      <c r="K194" s="261"/>
      <c r="L194" s="261"/>
      <c r="M194" s="261"/>
      <c r="N194" s="273"/>
      <c r="O194" s="273"/>
      <c r="Q194" s="261"/>
      <c r="R194" s="261"/>
      <c r="S194" s="261"/>
      <c r="T194" s="261"/>
      <c r="U194" s="261"/>
      <c r="V194" s="261"/>
      <c r="W194" s="261"/>
      <c r="X194" s="261"/>
      <c r="Y194" s="261"/>
      <c r="Z194" s="261"/>
    </row>
    <row r="195" ht="15.75" customHeight="1">
      <c r="A195" s="261"/>
      <c r="B195" s="261"/>
      <c r="C195" s="273"/>
      <c r="D195" s="261"/>
      <c r="E195" s="261"/>
      <c r="F195" s="291"/>
      <c r="G195" s="261"/>
      <c r="H195" s="261"/>
      <c r="I195" s="261"/>
      <c r="J195" s="261"/>
      <c r="K195" s="261"/>
      <c r="L195" s="261"/>
      <c r="M195" s="261"/>
      <c r="N195" s="273"/>
      <c r="O195" s="273"/>
      <c r="Q195" s="261"/>
      <c r="R195" s="261"/>
      <c r="S195" s="261"/>
      <c r="T195" s="261"/>
      <c r="U195" s="261"/>
      <c r="V195" s="261"/>
      <c r="W195" s="261"/>
      <c r="X195" s="261"/>
      <c r="Y195" s="261"/>
      <c r="Z195" s="261"/>
    </row>
    <row r="196" ht="15.75" customHeight="1">
      <c r="A196" s="261"/>
      <c r="B196" s="261"/>
      <c r="C196" s="273"/>
      <c r="D196" s="261"/>
      <c r="E196" s="261"/>
      <c r="F196" s="291"/>
      <c r="G196" s="261"/>
      <c r="H196" s="261"/>
      <c r="I196" s="261"/>
      <c r="J196" s="261"/>
      <c r="K196" s="261"/>
      <c r="L196" s="261"/>
      <c r="M196" s="261"/>
      <c r="N196" s="273"/>
      <c r="O196" s="273"/>
      <c r="Q196" s="261"/>
      <c r="R196" s="261"/>
      <c r="S196" s="261"/>
      <c r="T196" s="261"/>
      <c r="U196" s="261"/>
      <c r="V196" s="261"/>
      <c r="W196" s="261"/>
      <c r="X196" s="261"/>
      <c r="Y196" s="261"/>
      <c r="Z196" s="261"/>
    </row>
    <row r="197" ht="15.75" customHeight="1">
      <c r="A197" s="261"/>
      <c r="B197" s="261"/>
      <c r="C197" s="273"/>
      <c r="D197" s="261"/>
      <c r="E197" s="261"/>
      <c r="F197" s="291"/>
      <c r="G197" s="261"/>
      <c r="H197" s="261"/>
      <c r="I197" s="261"/>
      <c r="J197" s="261"/>
      <c r="K197" s="261"/>
      <c r="L197" s="261"/>
      <c r="M197" s="261"/>
      <c r="N197" s="273"/>
      <c r="O197" s="273"/>
      <c r="Q197" s="261"/>
      <c r="R197" s="261"/>
      <c r="S197" s="261"/>
      <c r="T197" s="261"/>
      <c r="U197" s="261"/>
      <c r="V197" s="261"/>
      <c r="W197" s="261"/>
      <c r="X197" s="261"/>
      <c r="Y197" s="261"/>
      <c r="Z197" s="261"/>
    </row>
    <row r="198" ht="15.75" customHeight="1">
      <c r="A198" s="261"/>
      <c r="B198" s="261"/>
      <c r="C198" s="273"/>
      <c r="D198" s="261"/>
      <c r="E198" s="261"/>
      <c r="F198" s="291"/>
      <c r="G198" s="261"/>
      <c r="H198" s="261"/>
      <c r="I198" s="261"/>
      <c r="J198" s="261"/>
      <c r="K198" s="261"/>
      <c r="L198" s="261"/>
      <c r="M198" s="261"/>
      <c r="N198" s="273"/>
      <c r="O198" s="273"/>
      <c r="Q198" s="261"/>
      <c r="R198" s="261"/>
      <c r="S198" s="261"/>
      <c r="T198" s="261"/>
      <c r="U198" s="261"/>
      <c r="V198" s="261"/>
      <c r="W198" s="261"/>
      <c r="X198" s="261"/>
      <c r="Y198" s="261"/>
      <c r="Z198" s="261"/>
    </row>
    <row r="199" ht="15.75" customHeight="1">
      <c r="A199" s="261"/>
      <c r="B199" s="261"/>
      <c r="C199" s="273"/>
      <c r="D199" s="261"/>
      <c r="E199" s="261"/>
      <c r="F199" s="291"/>
      <c r="G199" s="261"/>
      <c r="H199" s="261"/>
      <c r="I199" s="261"/>
      <c r="J199" s="261"/>
      <c r="K199" s="261"/>
      <c r="L199" s="261"/>
      <c r="M199" s="261"/>
      <c r="N199" s="273"/>
      <c r="O199" s="273"/>
      <c r="Q199" s="261"/>
      <c r="R199" s="261"/>
      <c r="S199" s="261"/>
      <c r="T199" s="261"/>
      <c r="U199" s="261"/>
      <c r="V199" s="261"/>
      <c r="W199" s="261"/>
      <c r="X199" s="261"/>
      <c r="Y199" s="261"/>
      <c r="Z199" s="261"/>
    </row>
    <row r="200" ht="15.75" customHeight="1">
      <c r="A200" s="261"/>
      <c r="B200" s="261"/>
      <c r="C200" s="273"/>
      <c r="D200" s="261"/>
      <c r="E200" s="261"/>
      <c r="F200" s="291"/>
      <c r="G200" s="261"/>
      <c r="H200" s="261"/>
      <c r="I200" s="261"/>
      <c r="J200" s="261"/>
      <c r="K200" s="261"/>
      <c r="L200" s="261"/>
      <c r="M200" s="261"/>
      <c r="N200" s="273"/>
      <c r="O200" s="273"/>
      <c r="Q200" s="261"/>
      <c r="R200" s="261"/>
      <c r="S200" s="261"/>
      <c r="T200" s="261"/>
      <c r="U200" s="261"/>
      <c r="V200" s="261"/>
      <c r="W200" s="261"/>
      <c r="X200" s="261"/>
      <c r="Y200" s="261"/>
      <c r="Z200" s="261"/>
    </row>
    <row r="201" ht="15.75" customHeight="1">
      <c r="A201" s="261"/>
      <c r="B201" s="261"/>
      <c r="C201" s="273"/>
      <c r="D201" s="261"/>
      <c r="E201" s="261"/>
      <c r="F201" s="291"/>
      <c r="G201" s="261"/>
      <c r="H201" s="261"/>
      <c r="I201" s="261"/>
      <c r="J201" s="261"/>
      <c r="K201" s="261"/>
      <c r="L201" s="261"/>
      <c r="M201" s="261"/>
      <c r="N201" s="273"/>
      <c r="O201" s="273"/>
      <c r="Q201" s="261"/>
      <c r="R201" s="261"/>
      <c r="S201" s="261"/>
      <c r="T201" s="261"/>
      <c r="U201" s="261"/>
      <c r="V201" s="261"/>
      <c r="W201" s="261"/>
      <c r="X201" s="261"/>
      <c r="Y201" s="261"/>
      <c r="Z201" s="261"/>
    </row>
    <row r="202" ht="15.75" customHeight="1">
      <c r="A202" s="261"/>
      <c r="B202" s="261"/>
      <c r="C202" s="273"/>
      <c r="D202" s="261"/>
      <c r="E202" s="261"/>
      <c r="F202" s="291"/>
      <c r="G202" s="261"/>
      <c r="H202" s="261"/>
      <c r="I202" s="261"/>
      <c r="J202" s="261"/>
      <c r="K202" s="261"/>
      <c r="L202" s="261"/>
      <c r="M202" s="261"/>
      <c r="N202" s="273"/>
      <c r="O202" s="273"/>
      <c r="Q202" s="261"/>
      <c r="R202" s="261"/>
      <c r="S202" s="261"/>
      <c r="T202" s="261"/>
      <c r="U202" s="261"/>
      <c r="V202" s="261"/>
      <c r="W202" s="261"/>
      <c r="X202" s="261"/>
      <c r="Y202" s="261"/>
      <c r="Z202" s="261"/>
    </row>
    <row r="203" ht="15.75" customHeight="1">
      <c r="A203" s="261"/>
      <c r="B203" s="261"/>
      <c r="C203" s="273"/>
      <c r="D203" s="261"/>
      <c r="E203" s="261"/>
      <c r="F203" s="291"/>
      <c r="G203" s="261"/>
      <c r="H203" s="261"/>
      <c r="I203" s="261"/>
      <c r="J203" s="261"/>
      <c r="K203" s="261"/>
      <c r="L203" s="261"/>
      <c r="M203" s="261"/>
      <c r="N203" s="273"/>
      <c r="O203" s="273"/>
      <c r="Q203" s="261"/>
      <c r="R203" s="261"/>
      <c r="S203" s="261"/>
      <c r="T203" s="261"/>
      <c r="U203" s="261"/>
      <c r="V203" s="261"/>
      <c r="W203" s="261"/>
      <c r="X203" s="261"/>
      <c r="Y203" s="261"/>
      <c r="Z203" s="261"/>
    </row>
    <row r="204" ht="15.75" customHeight="1">
      <c r="A204" s="261"/>
      <c r="B204" s="261"/>
      <c r="C204" s="273"/>
      <c r="D204" s="261"/>
      <c r="E204" s="261"/>
      <c r="F204" s="291"/>
      <c r="G204" s="261"/>
      <c r="H204" s="261"/>
      <c r="I204" s="261"/>
      <c r="J204" s="261"/>
      <c r="K204" s="261"/>
      <c r="L204" s="261"/>
      <c r="M204" s="261"/>
      <c r="N204" s="273"/>
      <c r="O204" s="273"/>
      <c r="Q204" s="261"/>
      <c r="R204" s="261"/>
      <c r="S204" s="261"/>
      <c r="T204" s="261"/>
      <c r="U204" s="261"/>
      <c r="V204" s="261"/>
      <c r="W204" s="261"/>
      <c r="X204" s="261"/>
      <c r="Y204" s="261"/>
      <c r="Z204" s="261"/>
    </row>
    <row r="205" ht="15.75" customHeight="1">
      <c r="A205" s="261"/>
      <c r="B205" s="261"/>
      <c r="C205" s="273"/>
      <c r="D205" s="261"/>
      <c r="E205" s="261"/>
      <c r="F205" s="291"/>
      <c r="G205" s="261"/>
      <c r="H205" s="261"/>
      <c r="I205" s="261"/>
      <c r="J205" s="261"/>
      <c r="K205" s="261"/>
      <c r="L205" s="261"/>
      <c r="M205" s="261"/>
      <c r="N205" s="273"/>
      <c r="O205" s="273"/>
      <c r="Q205" s="261"/>
      <c r="R205" s="261"/>
      <c r="S205" s="261"/>
      <c r="T205" s="261"/>
      <c r="U205" s="261"/>
      <c r="V205" s="261"/>
      <c r="W205" s="261"/>
      <c r="X205" s="261"/>
      <c r="Y205" s="261"/>
      <c r="Z205" s="261"/>
    </row>
    <row r="206" ht="15.75" customHeight="1">
      <c r="A206" s="261"/>
      <c r="B206" s="261"/>
      <c r="C206" s="273"/>
      <c r="D206" s="261"/>
      <c r="E206" s="261"/>
      <c r="F206" s="291"/>
      <c r="G206" s="261"/>
      <c r="H206" s="261"/>
      <c r="I206" s="261"/>
      <c r="J206" s="261"/>
      <c r="K206" s="261"/>
      <c r="L206" s="261"/>
      <c r="M206" s="261"/>
      <c r="N206" s="273"/>
      <c r="O206" s="273"/>
      <c r="Q206" s="261"/>
      <c r="R206" s="261"/>
      <c r="S206" s="261"/>
      <c r="T206" s="261"/>
      <c r="U206" s="261"/>
      <c r="V206" s="261"/>
      <c r="W206" s="261"/>
      <c r="X206" s="261"/>
      <c r="Y206" s="261"/>
      <c r="Z206" s="261"/>
    </row>
    <row r="207" ht="15.75" customHeight="1">
      <c r="A207" s="261"/>
      <c r="B207" s="261"/>
      <c r="C207" s="273"/>
      <c r="D207" s="261"/>
      <c r="E207" s="261"/>
      <c r="F207" s="291"/>
      <c r="G207" s="261"/>
      <c r="H207" s="261"/>
      <c r="I207" s="261"/>
      <c r="J207" s="261"/>
      <c r="K207" s="261"/>
      <c r="L207" s="261"/>
      <c r="M207" s="261"/>
      <c r="N207" s="273"/>
      <c r="O207" s="273"/>
      <c r="Q207" s="261"/>
      <c r="R207" s="261"/>
      <c r="S207" s="261"/>
      <c r="T207" s="261"/>
      <c r="U207" s="261"/>
      <c r="V207" s="261"/>
      <c r="W207" s="261"/>
      <c r="X207" s="261"/>
      <c r="Y207" s="261"/>
      <c r="Z207" s="261"/>
    </row>
    <row r="208" ht="15.75" customHeight="1">
      <c r="A208" s="261"/>
      <c r="B208" s="261"/>
      <c r="C208" s="273"/>
      <c r="D208" s="261"/>
      <c r="E208" s="261"/>
      <c r="F208" s="291"/>
      <c r="G208" s="261"/>
      <c r="H208" s="261"/>
      <c r="I208" s="261"/>
      <c r="J208" s="261"/>
      <c r="K208" s="261"/>
      <c r="L208" s="261"/>
      <c r="M208" s="261"/>
      <c r="N208" s="273"/>
      <c r="O208" s="273"/>
      <c r="Q208" s="261"/>
      <c r="R208" s="261"/>
      <c r="S208" s="261"/>
      <c r="T208" s="261"/>
      <c r="U208" s="261"/>
      <c r="V208" s="261"/>
      <c r="W208" s="261"/>
      <c r="X208" s="261"/>
      <c r="Y208" s="261"/>
      <c r="Z208" s="261"/>
    </row>
    <row r="209" ht="15.75" customHeight="1">
      <c r="A209" s="261"/>
      <c r="B209" s="261"/>
      <c r="C209" s="273"/>
      <c r="D209" s="261"/>
      <c r="E209" s="261"/>
      <c r="F209" s="291"/>
      <c r="G209" s="261"/>
      <c r="H209" s="261"/>
      <c r="I209" s="261"/>
      <c r="J209" s="261"/>
      <c r="K209" s="261"/>
      <c r="L209" s="261"/>
      <c r="M209" s="261"/>
      <c r="N209" s="273"/>
      <c r="O209" s="273"/>
      <c r="Q209" s="261"/>
      <c r="R209" s="261"/>
      <c r="S209" s="261"/>
      <c r="T209" s="261"/>
      <c r="U209" s="261"/>
      <c r="V209" s="261"/>
      <c r="W209" s="261"/>
      <c r="X209" s="261"/>
      <c r="Y209" s="261"/>
      <c r="Z209" s="261"/>
    </row>
    <row r="210" ht="15.75" customHeight="1">
      <c r="A210" s="261"/>
      <c r="B210" s="261"/>
      <c r="C210" s="273"/>
      <c r="D210" s="261"/>
      <c r="E210" s="261"/>
      <c r="F210" s="291"/>
      <c r="G210" s="261"/>
      <c r="H210" s="261"/>
      <c r="I210" s="261"/>
      <c r="J210" s="261"/>
      <c r="K210" s="261"/>
      <c r="L210" s="261"/>
      <c r="M210" s="261"/>
      <c r="N210" s="273"/>
      <c r="O210" s="273"/>
      <c r="Q210" s="261"/>
      <c r="R210" s="261"/>
      <c r="S210" s="261"/>
      <c r="T210" s="261"/>
      <c r="U210" s="261"/>
      <c r="V210" s="261"/>
      <c r="W210" s="261"/>
      <c r="X210" s="261"/>
      <c r="Y210" s="261"/>
      <c r="Z210" s="261"/>
    </row>
    <row r="211" ht="15.75" customHeight="1">
      <c r="A211" s="261"/>
      <c r="B211" s="261"/>
      <c r="C211" s="273"/>
      <c r="D211" s="261"/>
      <c r="E211" s="261"/>
      <c r="F211" s="291"/>
      <c r="G211" s="261"/>
      <c r="H211" s="261"/>
      <c r="I211" s="261"/>
      <c r="J211" s="261"/>
      <c r="K211" s="261"/>
      <c r="L211" s="261"/>
      <c r="M211" s="261"/>
      <c r="N211" s="273"/>
      <c r="O211" s="273"/>
      <c r="Q211" s="261"/>
      <c r="R211" s="261"/>
      <c r="S211" s="261"/>
      <c r="T211" s="261"/>
      <c r="U211" s="261"/>
      <c r="V211" s="261"/>
      <c r="W211" s="261"/>
      <c r="X211" s="261"/>
      <c r="Y211" s="261"/>
      <c r="Z211" s="261"/>
    </row>
    <row r="212" ht="15.75" customHeight="1">
      <c r="A212" s="261"/>
      <c r="B212" s="261"/>
      <c r="C212" s="273"/>
      <c r="D212" s="261"/>
      <c r="E212" s="261"/>
      <c r="F212" s="291"/>
      <c r="G212" s="261"/>
      <c r="H212" s="261"/>
      <c r="I212" s="261"/>
      <c r="J212" s="261"/>
      <c r="K212" s="261"/>
      <c r="L212" s="261"/>
      <c r="M212" s="261"/>
      <c r="N212" s="273"/>
      <c r="O212" s="273"/>
      <c r="Q212" s="261"/>
      <c r="R212" s="261"/>
      <c r="S212" s="261"/>
      <c r="T212" s="261"/>
      <c r="U212" s="261"/>
      <c r="V212" s="261"/>
      <c r="W212" s="261"/>
      <c r="X212" s="261"/>
      <c r="Y212" s="261"/>
      <c r="Z212" s="261"/>
    </row>
    <row r="213" ht="15.75" customHeight="1">
      <c r="A213" s="261"/>
      <c r="B213" s="261"/>
      <c r="C213" s="273"/>
      <c r="D213" s="261"/>
      <c r="E213" s="261"/>
      <c r="F213" s="291"/>
      <c r="G213" s="261"/>
      <c r="H213" s="261"/>
      <c r="I213" s="261"/>
      <c r="J213" s="261"/>
      <c r="K213" s="261"/>
      <c r="L213" s="261"/>
      <c r="M213" s="261"/>
      <c r="N213" s="273"/>
      <c r="O213" s="273"/>
      <c r="Q213" s="261"/>
      <c r="R213" s="261"/>
      <c r="S213" s="261"/>
      <c r="T213" s="261"/>
      <c r="U213" s="261"/>
      <c r="V213" s="261"/>
      <c r="W213" s="261"/>
      <c r="X213" s="261"/>
      <c r="Y213" s="261"/>
      <c r="Z213" s="261"/>
    </row>
    <row r="214" ht="15.75" customHeight="1">
      <c r="A214" s="261"/>
      <c r="B214" s="261"/>
      <c r="C214" s="273"/>
      <c r="D214" s="261"/>
      <c r="E214" s="261"/>
      <c r="F214" s="291"/>
      <c r="G214" s="261"/>
      <c r="H214" s="261"/>
      <c r="I214" s="261"/>
      <c r="J214" s="261"/>
      <c r="K214" s="261"/>
      <c r="L214" s="261"/>
      <c r="M214" s="261"/>
      <c r="N214" s="273"/>
      <c r="O214" s="273"/>
      <c r="Q214" s="261"/>
      <c r="R214" s="261"/>
      <c r="S214" s="261"/>
      <c r="T214" s="261"/>
      <c r="U214" s="261"/>
      <c r="V214" s="261"/>
      <c r="W214" s="261"/>
      <c r="X214" s="261"/>
      <c r="Y214" s="261"/>
      <c r="Z214" s="261"/>
    </row>
    <row r="215" ht="15.75" customHeight="1">
      <c r="A215" s="261"/>
      <c r="B215" s="261"/>
      <c r="C215" s="273"/>
      <c r="D215" s="261"/>
      <c r="E215" s="261"/>
      <c r="F215" s="291"/>
      <c r="G215" s="261"/>
      <c r="H215" s="261"/>
      <c r="I215" s="261"/>
      <c r="J215" s="261"/>
      <c r="K215" s="261"/>
      <c r="L215" s="261"/>
      <c r="M215" s="261"/>
      <c r="N215" s="273"/>
      <c r="O215" s="273"/>
      <c r="Q215" s="261"/>
      <c r="R215" s="261"/>
      <c r="S215" s="261"/>
      <c r="T215" s="261"/>
      <c r="U215" s="261"/>
      <c r="V215" s="261"/>
      <c r="W215" s="261"/>
      <c r="X215" s="261"/>
      <c r="Y215" s="261"/>
      <c r="Z215" s="261"/>
    </row>
    <row r="216" ht="15.75" customHeight="1">
      <c r="A216" s="261"/>
      <c r="B216" s="261"/>
      <c r="C216" s="273"/>
      <c r="D216" s="261"/>
      <c r="E216" s="261"/>
      <c r="F216" s="291"/>
      <c r="G216" s="261"/>
      <c r="H216" s="261"/>
      <c r="I216" s="261"/>
      <c r="J216" s="261"/>
      <c r="K216" s="261"/>
      <c r="L216" s="261"/>
      <c r="M216" s="261"/>
      <c r="N216" s="273"/>
      <c r="O216" s="273"/>
      <c r="Q216" s="261"/>
      <c r="R216" s="261"/>
      <c r="S216" s="261"/>
      <c r="T216" s="261"/>
      <c r="U216" s="261"/>
      <c r="V216" s="261"/>
      <c r="W216" s="261"/>
      <c r="X216" s="261"/>
      <c r="Y216" s="261"/>
      <c r="Z216" s="261"/>
    </row>
    <row r="217" ht="15.75" customHeight="1">
      <c r="A217" s="261"/>
      <c r="B217" s="261"/>
      <c r="C217" s="273"/>
      <c r="D217" s="261"/>
      <c r="E217" s="261"/>
      <c r="F217" s="291"/>
      <c r="G217" s="261"/>
      <c r="H217" s="261"/>
      <c r="I217" s="261"/>
      <c r="J217" s="261"/>
      <c r="K217" s="261"/>
      <c r="L217" s="261"/>
      <c r="M217" s="261"/>
      <c r="N217" s="273"/>
      <c r="O217" s="273"/>
      <c r="Q217" s="261"/>
      <c r="R217" s="261"/>
      <c r="S217" s="261"/>
      <c r="T217" s="261"/>
      <c r="U217" s="261"/>
      <c r="V217" s="261"/>
      <c r="W217" s="261"/>
      <c r="X217" s="261"/>
      <c r="Y217" s="261"/>
      <c r="Z217" s="261"/>
    </row>
    <row r="218" ht="15.75" customHeight="1">
      <c r="A218" s="261"/>
      <c r="B218" s="261"/>
      <c r="C218" s="273"/>
      <c r="D218" s="261"/>
      <c r="E218" s="261"/>
      <c r="F218" s="291"/>
      <c r="G218" s="261"/>
      <c r="H218" s="261"/>
      <c r="I218" s="261"/>
      <c r="J218" s="261"/>
      <c r="K218" s="261"/>
      <c r="L218" s="261"/>
      <c r="M218" s="261"/>
      <c r="N218" s="273"/>
      <c r="O218" s="273"/>
      <c r="Q218" s="261"/>
      <c r="R218" s="261"/>
      <c r="S218" s="261"/>
      <c r="T218" s="261"/>
      <c r="U218" s="261"/>
      <c r="V218" s="261"/>
      <c r="W218" s="261"/>
      <c r="X218" s="261"/>
      <c r="Y218" s="261"/>
      <c r="Z218" s="261"/>
    </row>
    <row r="219" ht="15.75" customHeight="1">
      <c r="A219" s="261"/>
      <c r="B219" s="261"/>
      <c r="C219" s="273"/>
      <c r="D219" s="261"/>
      <c r="E219" s="261"/>
      <c r="F219" s="291"/>
      <c r="G219" s="261"/>
      <c r="H219" s="261"/>
      <c r="I219" s="261"/>
      <c r="J219" s="261"/>
      <c r="K219" s="261"/>
      <c r="L219" s="261"/>
      <c r="M219" s="261"/>
      <c r="N219" s="273"/>
      <c r="O219" s="273"/>
      <c r="Q219" s="261"/>
      <c r="R219" s="261"/>
      <c r="S219" s="261"/>
      <c r="T219" s="261"/>
      <c r="U219" s="261"/>
      <c r="V219" s="261"/>
      <c r="W219" s="261"/>
      <c r="X219" s="261"/>
      <c r="Y219" s="261"/>
      <c r="Z219" s="261"/>
    </row>
    <row r="220" ht="15.75" customHeight="1">
      <c r="A220" s="261"/>
      <c r="B220" s="261"/>
      <c r="C220" s="273"/>
      <c r="D220" s="261"/>
      <c r="E220" s="261"/>
      <c r="F220" s="291"/>
      <c r="G220" s="261"/>
      <c r="H220" s="261"/>
      <c r="I220" s="261"/>
      <c r="J220" s="261"/>
      <c r="K220" s="261"/>
      <c r="L220" s="261"/>
      <c r="M220" s="261"/>
      <c r="N220" s="273"/>
      <c r="O220" s="273"/>
      <c r="Q220" s="261"/>
      <c r="R220" s="261"/>
      <c r="S220" s="261"/>
      <c r="T220" s="261"/>
      <c r="U220" s="261"/>
      <c r="V220" s="261"/>
      <c r="W220" s="261"/>
      <c r="X220" s="261"/>
      <c r="Y220" s="261"/>
      <c r="Z220" s="261"/>
    </row>
    <row r="221" ht="15.75" customHeight="1">
      <c r="A221" s="261"/>
      <c r="B221" s="261"/>
      <c r="C221" s="273"/>
      <c r="D221" s="261"/>
      <c r="E221" s="261"/>
      <c r="F221" s="291"/>
      <c r="G221" s="261"/>
      <c r="H221" s="261"/>
      <c r="I221" s="261"/>
      <c r="J221" s="261"/>
      <c r="K221" s="261"/>
      <c r="L221" s="261"/>
      <c r="M221" s="261"/>
      <c r="N221" s="273"/>
      <c r="O221" s="273"/>
      <c r="Q221" s="261"/>
      <c r="R221" s="261"/>
      <c r="S221" s="261"/>
      <c r="T221" s="261"/>
      <c r="U221" s="261"/>
      <c r="V221" s="261"/>
      <c r="W221" s="261"/>
      <c r="X221" s="261"/>
      <c r="Y221" s="261"/>
      <c r="Z221" s="261"/>
    </row>
    <row r="222" ht="15.75" customHeight="1">
      <c r="A222" s="261"/>
      <c r="B222" s="261"/>
      <c r="C222" s="273"/>
      <c r="D222" s="261"/>
      <c r="E222" s="261"/>
      <c r="F222" s="291"/>
      <c r="G222" s="261"/>
      <c r="H222" s="261"/>
      <c r="I222" s="261"/>
      <c r="J222" s="261"/>
      <c r="K222" s="261"/>
      <c r="L222" s="261"/>
      <c r="M222" s="261"/>
      <c r="N222" s="273"/>
      <c r="O222" s="273"/>
      <c r="Q222" s="261"/>
      <c r="R222" s="261"/>
      <c r="S222" s="261"/>
      <c r="T222" s="261"/>
      <c r="U222" s="261"/>
      <c r="V222" s="261"/>
      <c r="W222" s="261"/>
      <c r="X222" s="261"/>
      <c r="Y222" s="261"/>
      <c r="Z222" s="261"/>
    </row>
    <row r="223" ht="15.75" customHeight="1">
      <c r="A223" s="261"/>
      <c r="B223" s="261"/>
      <c r="C223" s="273"/>
      <c r="D223" s="261"/>
      <c r="E223" s="261"/>
      <c r="F223" s="291"/>
      <c r="G223" s="261"/>
      <c r="H223" s="261"/>
      <c r="I223" s="261"/>
      <c r="J223" s="261"/>
      <c r="K223" s="261"/>
      <c r="L223" s="261"/>
      <c r="M223" s="261"/>
      <c r="N223" s="273"/>
      <c r="O223" s="273"/>
      <c r="Q223" s="261"/>
      <c r="R223" s="261"/>
      <c r="S223" s="261"/>
      <c r="T223" s="261"/>
      <c r="U223" s="261"/>
      <c r="V223" s="261"/>
      <c r="W223" s="261"/>
      <c r="X223" s="261"/>
      <c r="Y223" s="261"/>
      <c r="Z223" s="261"/>
    </row>
    <row r="224" ht="15.75" customHeight="1">
      <c r="A224" s="261"/>
      <c r="B224" s="261"/>
      <c r="C224" s="273"/>
      <c r="D224" s="261"/>
      <c r="E224" s="261"/>
      <c r="F224" s="291"/>
      <c r="G224" s="261"/>
      <c r="H224" s="261"/>
      <c r="I224" s="261"/>
      <c r="J224" s="261"/>
      <c r="K224" s="261"/>
      <c r="L224" s="261"/>
      <c r="M224" s="261"/>
      <c r="N224" s="273"/>
      <c r="O224" s="273"/>
      <c r="Q224" s="261"/>
      <c r="R224" s="261"/>
      <c r="S224" s="261"/>
      <c r="T224" s="261"/>
      <c r="U224" s="261"/>
      <c r="V224" s="261"/>
      <c r="W224" s="261"/>
      <c r="X224" s="261"/>
      <c r="Y224" s="261"/>
      <c r="Z224" s="261"/>
    </row>
    <row r="225" ht="15.75" customHeight="1">
      <c r="A225" s="261"/>
      <c r="B225" s="261"/>
      <c r="C225" s="273"/>
      <c r="D225" s="261"/>
      <c r="E225" s="261"/>
      <c r="F225" s="291"/>
      <c r="G225" s="261"/>
      <c r="H225" s="261"/>
      <c r="I225" s="261"/>
      <c r="J225" s="261"/>
      <c r="K225" s="261"/>
      <c r="L225" s="261"/>
      <c r="M225" s="261"/>
      <c r="N225" s="273"/>
      <c r="O225" s="273"/>
      <c r="Q225" s="261"/>
      <c r="R225" s="261"/>
      <c r="S225" s="261"/>
      <c r="T225" s="261"/>
      <c r="U225" s="261"/>
      <c r="V225" s="261"/>
      <c r="W225" s="261"/>
      <c r="X225" s="261"/>
      <c r="Y225" s="261"/>
      <c r="Z225" s="261"/>
    </row>
    <row r="226" ht="15.75" customHeight="1">
      <c r="A226" s="261"/>
      <c r="B226" s="261"/>
      <c r="C226" s="273"/>
      <c r="D226" s="261"/>
      <c r="E226" s="261"/>
      <c r="F226" s="291"/>
      <c r="G226" s="261"/>
      <c r="H226" s="261"/>
      <c r="I226" s="261"/>
      <c r="J226" s="261"/>
      <c r="K226" s="261"/>
      <c r="L226" s="261"/>
      <c r="M226" s="261"/>
      <c r="N226" s="273"/>
      <c r="O226" s="273"/>
      <c r="Q226" s="261"/>
      <c r="R226" s="261"/>
      <c r="S226" s="261"/>
      <c r="T226" s="261"/>
      <c r="U226" s="261"/>
      <c r="V226" s="261"/>
      <c r="W226" s="261"/>
      <c r="X226" s="261"/>
      <c r="Y226" s="261"/>
      <c r="Z226" s="261"/>
    </row>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4">
    <mergeCell ref="G2:G3"/>
    <mergeCell ref="H2:H3"/>
    <mergeCell ref="I2:I3"/>
    <mergeCell ref="J2:J3"/>
    <mergeCell ref="M2:M3"/>
    <mergeCell ref="N2:N3"/>
    <mergeCell ref="A1:O1"/>
    <mergeCell ref="A2:A3"/>
    <mergeCell ref="B2:B3"/>
    <mergeCell ref="C2:C3"/>
    <mergeCell ref="D2:D3"/>
    <mergeCell ref="E2:E3"/>
    <mergeCell ref="F2:F3"/>
    <mergeCell ref="O2:O3"/>
  </mergeCells>
  <conditionalFormatting sqref="K2:K3 K28:K1000">
    <cfRule type="containsText" dxfId="13" priority="1" operator="containsText" text="Ammonia">
      <formula>NOT(ISERROR(SEARCH(("Ammonia"),(K2))))</formula>
    </cfRule>
  </conditionalFormatting>
  <hyperlinks>
    <hyperlink r:id="rId1" ref="M5"/>
    <hyperlink r:id="rId2" ref="N5"/>
    <hyperlink r:id="rId3" ref="M6"/>
    <hyperlink r:id="rId4" ref="M7"/>
    <hyperlink r:id="rId5" ref="N7"/>
    <hyperlink r:id="rId6" ref="O7"/>
    <hyperlink r:id="rId7" ref="M9"/>
    <hyperlink r:id="rId8" ref="M10"/>
    <hyperlink r:id="rId9" ref="M11"/>
    <hyperlink r:id="rId10" ref="M12"/>
    <hyperlink r:id="rId11" ref="M13"/>
    <hyperlink r:id="rId12" ref="M14"/>
    <hyperlink r:id="rId13" ref="N14"/>
    <hyperlink r:id="rId14" ref="M15"/>
    <hyperlink r:id="rId15" ref="M16"/>
    <hyperlink r:id="rId16" ref="M17"/>
    <hyperlink r:id="rId17" ref="M18"/>
    <hyperlink r:id="rId18" ref="M19"/>
    <hyperlink r:id="rId19" ref="M20"/>
    <hyperlink r:id="rId20" ref="M21"/>
    <hyperlink r:id="rId21" ref="M22"/>
    <hyperlink r:id="rId22" ref="M23"/>
    <hyperlink r:id="rId23" ref="M24"/>
    <hyperlink r:id="rId24" ref="N24"/>
    <hyperlink r:id="rId25" ref="M25"/>
    <hyperlink r:id="rId26" ref="M26"/>
  </hyperlinks>
  <printOptions/>
  <pageMargins bottom="0.75" footer="0.0" header="0.0" left="0.7" right="0.7" top="0.75"/>
  <pageSetup orientation="landscape"/>
  <drawing r:id="rId27"/>
  <tableParts count="1">
    <tablePart r:id="rId29"/>
  </tableParts>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workbookViewId="0">
      <pane xSplit="4.0" topLeftCell="E1" activePane="topRight" state="frozen"/>
      <selection activeCell="F2" sqref="F2" pane="topRight"/>
    </sheetView>
  </sheetViews>
  <sheetFormatPr customHeight="1" defaultColWidth="14.43" defaultRowHeight="15.75"/>
  <cols>
    <col customWidth="1" min="1" max="1" width="14.71"/>
    <col customWidth="1" min="2" max="2" width="20.86"/>
    <col customWidth="1" min="3" max="3" width="12.14"/>
    <col customWidth="1" min="4" max="4" width="10.14"/>
    <col customWidth="1" min="5" max="5" width="17.43"/>
    <col customWidth="1" min="6" max="6" width="10.43"/>
    <col customWidth="1" min="7" max="7" width="14.43"/>
    <col customWidth="1" min="8" max="10" width="11.57"/>
    <col customWidth="1" min="11" max="11" width="20.14"/>
    <col customWidth="1" min="12" max="12" width="13.57"/>
    <col customWidth="1" min="13" max="13" width="10.43"/>
    <col customWidth="1" min="14" max="14" width="9.57"/>
    <col customWidth="1" min="15" max="26" width="8.86"/>
  </cols>
  <sheetData>
    <row r="1" ht="51.75" customHeight="1">
      <c r="A1" s="282" t="s">
        <v>23864</v>
      </c>
      <c r="B1" s="71"/>
      <c r="C1" s="71"/>
      <c r="D1" s="71"/>
      <c r="E1" s="71"/>
      <c r="F1" s="71"/>
      <c r="G1" s="71"/>
      <c r="H1" s="71"/>
      <c r="I1" s="71"/>
      <c r="J1" s="71"/>
      <c r="K1" s="71"/>
      <c r="L1" s="71"/>
      <c r="M1" s="71"/>
      <c r="N1" s="71"/>
      <c r="O1" s="71"/>
      <c r="P1" s="253"/>
      <c r="Q1" s="253"/>
      <c r="R1" s="253"/>
      <c r="S1" s="253"/>
      <c r="T1" s="253"/>
      <c r="U1" s="253"/>
      <c r="V1" s="253"/>
      <c r="W1" s="253"/>
      <c r="X1" s="253"/>
      <c r="Y1" s="253"/>
      <c r="Z1" s="253"/>
    </row>
    <row r="2" ht="21.0" customHeight="1">
      <c r="A2" s="76" t="s">
        <v>12329</v>
      </c>
      <c r="B2" s="76" t="s">
        <v>687</v>
      </c>
      <c r="C2" s="76" t="s">
        <v>23448</v>
      </c>
      <c r="D2" s="76" t="s">
        <v>40</v>
      </c>
      <c r="E2" s="76" t="s">
        <v>23865</v>
      </c>
      <c r="F2" s="76" t="s">
        <v>18702</v>
      </c>
      <c r="G2" s="77" t="s">
        <v>23445</v>
      </c>
      <c r="H2" s="77" t="s">
        <v>22157</v>
      </c>
      <c r="I2" s="77" t="s">
        <v>12330</v>
      </c>
      <c r="J2" s="77" t="s">
        <v>12331</v>
      </c>
      <c r="K2" s="315" t="s">
        <v>23866</v>
      </c>
      <c r="L2" s="78" t="s">
        <v>22162</v>
      </c>
      <c r="M2" s="76" t="s">
        <v>18716</v>
      </c>
      <c r="N2" s="76" t="s">
        <v>18717</v>
      </c>
      <c r="O2" s="76" t="s">
        <v>18718</v>
      </c>
      <c r="P2" s="255"/>
      <c r="Q2" s="255"/>
      <c r="R2" s="255"/>
      <c r="S2" s="255"/>
      <c r="T2" s="255"/>
      <c r="U2" s="255"/>
      <c r="V2" s="255"/>
      <c r="W2" s="255"/>
      <c r="X2" s="255"/>
      <c r="Y2" s="255"/>
      <c r="Z2" s="255"/>
    </row>
    <row r="3" ht="62.25" customHeight="1">
      <c r="A3" s="93"/>
      <c r="B3" s="93"/>
      <c r="C3" s="93"/>
      <c r="D3" s="93"/>
      <c r="E3" s="93"/>
      <c r="F3" s="93"/>
      <c r="G3" s="93"/>
      <c r="H3" s="93"/>
      <c r="I3" s="93"/>
      <c r="J3" s="93"/>
      <c r="K3" s="94" t="s">
        <v>23867</v>
      </c>
      <c r="L3" s="96" t="s">
        <v>23450</v>
      </c>
      <c r="M3" s="93"/>
      <c r="N3" s="93"/>
      <c r="O3" s="93"/>
      <c r="P3" s="255"/>
      <c r="Q3" s="255"/>
      <c r="R3" s="255"/>
      <c r="S3" s="255"/>
      <c r="T3" s="255"/>
      <c r="U3" s="255"/>
      <c r="V3" s="255"/>
      <c r="W3" s="255"/>
      <c r="X3" s="255"/>
      <c r="Y3" s="255"/>
      <c r="Z3" s="255"/>
    </row>
    <row r="4" ht="83.25" customHeight="1">
      <c r="A4" s="301" t="s">
        <v>12329</v>
      </c>
      <c r="B4" s="103" t="s">
        <v>687</v>
      </c>
      <c r="C4" s="103" t="s">
        <v>23452</v>
      </c>
      <c r="D4" s="103" t="s">
        <v>40</v>
      </c>
      <c r="E4" s="103" t="s">
        <v>23868</v>
      </c>
      <c r="F4" s="103" t="s">
        <v>18702</v>
      </c>
      <c r="G4" s="104" t="s">
        <v>23445</v>
      </c>
      <c r="H4" s="104" t="s">
        <v>22157</v>
      </c>
      <c r="I4" s="104" t="s">
        <v>12330</v>
      </c>
      <c r="J4" s="104" t="s">
        <v>12331</v>
      </c>
      <c r="K4" s="105" t="s">
        <v>667</v>
      </c>
      <c r="L4" s="105" t="s">
        <v>23458</v>
      </c>
      <c r="M4" s="108" t="s">
        <v>22181</v>
      </c>
      <c r="N4" s="294" t="s">
        <v>23084</v>
      </c>
      <c r="O4" s="294" t="s">
        <v>23085</v>
      </c>
      <c r="P4" s="255"/>
      <c r="Q4" s="255"/>
      <c r="R4" s="255"/>
      <c r="S4" s="255"/>
      <c r="T4" s="255"/>
      <c r="U4" s="255"/>
      <c r="V4" s="255"/>
      <c r="W4" s="255"/>
      <c r="X4" s="255"/>
      <c r="Y4" s="255"/>
      <c r="Z4" s="255"/>
    </row>
    <row r="5" ht="30.0" customHeight="1">
      <c r="A5" s="111" t="s">
        <v>23869</v>
      </c>
      <c r="B5" s="316" t="e">
        <v>#VALUE!</v>
      </c>
      <c r="C5" s="127" t="s">
        <v>23870</v>
      </c>
      <c r="D5" s="111" t="s">
        <v>8021</v>
      </c>
      <c r="E5" s="111" t="s">
        <v>23871</v>
      </c>
      <c r="F5" s="111"/>
      <c r="G5" s="111" t="s">
        <v>12397</v>
      </c>
      <c r="H5" s="127">
        <v>2029.0</v>
      </c>
      <c r="I5" s="304">
        <v>2029.0</v>
      </c>
      <c r="J5" s="127"/>
      <c r="K5" s="317">
        <v>70000.0</v>
      </c>
      <c r="L5" s="125" t="s">
        <v>19</v>
      </c>
      <c r="M5" s="262" t="s">
        <v>22189</v>
      </c>
      <c r="N5" s="262" t="s">
        <v>23090</v>
      </c>
      <c r="O5" s="127"/>
      <c r="P5" s="261"/>
      <c r="Q5" s="261"/>
      <c r="R5" s="261"/>
      <c r="S5" s="261"/>
      <c r="T5" s="261"/>
      <c r="U5" s="261"/>
      <c r="V5" s="261"/>
      <c r="W5" s="261"/>
      <c r="X5" s="261"/>
      <c r="Y5" s="261"/>
      <c r="Z5" s="261"/>
    </row>
    <row r="6" ht="30.0" customHeight="1">
      <c r="A6" s="111" t="s">
        <v>23872</v>
      </c>
      <c r="B6" s="316" t="e">
        <v>#VALUE!</v>
      </c>
      <c r="C6" s="127" t="s">
        <v>23873</v>
      </c>
      <c r="D6" s="111" t="s">
        <v>7983</v>
      </c>
      <c r="E6" s="111" t="s">
        <v>23874</v>
      </c>
      <c r="F6" s="111" t="s">
        <v>23875</v>
      </c>
      <c r="G6" s="111" t="s">
        <v>12397</v>
      </c>
      <c r="H6" s="127">
        <v>2024.0</v>
      </c>
      <c r="I6" s="304">
        <v>2024.0</v>
      </c>
      <c r="J6" s="127"/>
      <c r="K6" s="124"/>
      <c r="L6" s="125" t="s">
        <v>19</v>
      </c>
      <c r="M6" s="262" t="s">
        <v>22189</v>
      </c>
      <c r="N6" s="262"/>
      <c r="O6" s="262"/>
      <c r="P6" s="261"/>
      <c r="Q6" s="261"/>
      <c r="R6" s="261"/>
      <c r="S6" s="261"/>
      <c r="T6" s="261"/>
      <c r="U6" s="261"/>
      <c r="V6" s="261"/>
      <c r="W6" s="261"/>
      <c r="X6" s="261"/>
      <c r="Y6" s="261"/>
      <c r="Z6" s="261"/>
    </row>
    <row r="7" ht="30.0" customHeight="1">
      <c r="A7" s="111" t="s">
        <v>23876</v>
      </c>
      <c r="B7" s="127" t="e">
        <v>#VALUE!</v>
      </c>
      <c r="C7" s="127" t="s">
        <v>23877</v>
      </c>
      <c r="D7" s="111" t="s">
        <v>23878</v>
      </c>
      <c r="E7" s="111" t="s">
        <v>23871</v>
      </c>
      <c r="F7" s="111"/>
      <c r="G7" s="111" t="s">
        <v>12397</v>
      </c>
      <c r="H7" s="127" t="s">
        <v>19</v>
      </c>
      <c r="I7" s="304" t="s">
        <v>19</v>
      </c>
      <c r="J7" s="127"/>
      <c r="K7" s="124"/>
      <c r="L7" s="125" t="s">
        <v>19</v>
      </c>
      <c r="M7" s="262" t="s">
        <v>22189</v>
      </c>
      <c r="N7" s="262" t="s">
        <v>22189</v>
      </c>
      <c r="O7" s="127"/>
      <c r="P7" s="261"/>
      <c r="Q7" s="261"/>
      <c r="R7" s="261"/>
      <c r="S7" s="261"/>
      <c r="T7" s="261"/>
      <c r="U7" s="261"/>
      <c r="V7" s="261"/>
      <c r="W7" s="261"/>
      <c r="X7" s="261"/>
      <c r="Y7" s="261"/>
      <c r="Z7" s="261"/>
    </row>
    <row r="8" ht="30.0" customHeight="1">
      <c r="A8" s="111" t="s">
        <v>23879</v>
      </c>
      <c r="B8" s="127" t="e">
        <v>#VALUE!</v>
      </c>
      <c r="C8" s="127" t="s">
        <v>23880</v>
      </c>
      <c r="D8" s="111" t="s">
        <v>8001</v>
      </c>
      <c r="E8" s="111" t="s">
        <v>19</v>
      </c>
      <c r="F8" s="111"/>
      <c r="G8" s="111" t="s">
        <v>12397</v>
      </c>
      <c r="H8" s="127" t="s">
        <v>19</v>
      </c>
      <c r="I8" s="304" t="s">
        <v>19</v>
      </c>
      <c r="J8" s="127"/>
      <c r="K8" s="124"/>
      <c r="L8" s="126" t="s">
        <v>19</v>
      </c>
      <c r="M8" s="318" t="s">
        <v>23881</v>
      </c>
      <c r="N8" s="262" t="s">
        <v>23882</v>
      </c>
      <c r="O8" s="127"/>
      <c r="P8" s="261"/>
      <c r="Q8" s="261"/>
      <c r="R8" s="261"/>
      <c r="S8" s="261"/>
      <c r="T8" s="261"/>
      <c r="U8" s="261"/>
      <c r="V8" s="261"/>
      <c r="W8" s="261"/>
      <c r="X8" s="261"/>
      <c r="Y8" s="261"/>
      <c r="Z8" s="261"/>
    </row>
    <row r="9" ht="30.0" customHeight="1">
      <c r="A9" s="111" t="s">
        <v>23883</v>
      </c>
      <c r="B9" s="127" t="e">
        <v>#VALUE!</v>
      </c>
      <c r="C9" s="127" t="s">
        <v>23884</v>
      </c>
      <c r="D9" s="111" t="s">
        <v>8003</v>
      </c>
      <c r="E9" s="111" t="s">
        <v>23871</v>
      </c>
      <c r="F9" s="111"/>
      <c r="G9" s="111" t="s">
        <v>12397</v>
      </c>
      <c r="H9" s="127" t="s">
        <v>19</v>
      </c>
      <c r="I9" s="304" t="s">
        <v>19</v>
      </c>
      <c r="J9" s="127"/>
      <c r="K9" s="124">
        <v>200000.0</v>
      </c>
      <c r="L9" s="125" t="s">
        <v>19</v>
      </c>
      <c r="M9" s="262" t="s">
        <v>22189</v>
      </c>
      <c r="N9" s="262" t="s">
        <v>22189</v>
      </c>
      <c r="O9" s="127"/>
      <c r="P9" s="261"/>
      <c r="Q9" s="261"/>
      <c r="R9" s="261"/>
      <c r="S9" s="261"/>
      <c r="T9" s="261"/>
      <c r="U9" s="261"/>
      <c r="V9" s="261"/>
      <c r="W9" s="261"/>
      <c r="X9" s="261"/>
      <c r="Y9" s="261"/>
      <c r="Z9" s="261"/>
    </row>
    <row r="10" ht="30.0" customHeight="1">
      <c r="A10" s="111" t="s">
        <v>23885</v>
      </c>
      <c r="B10" s="127" t="e">
        <v>#VALUE!</v>
      </c>
      <c r="C10" s="127" t="s">
        <v>23886</v>
      </c>
      <c r="D10" s="111" t="s">
        <v>7981</v>
      </c>
      <c r="E10" s="111" t="s">
        <v>23887</v>
      </c>
      <c r="F10" s="111"/>
      <c r="G10" s="111" t="s">
        <v>12399</v>
      </c>
      <c r="H10" s="127" t="s">
        <v>19</v>
      </c>
      <c r="I10" s="304" t="s">
        <v>19</v>
      </c>
      <c r="J10" s="127"/>
      <c r="K10" s="124"/>
      <c r="L10" s="126" t="s">
        <v>19</v>
      </c>
      <c r="M10" s="262" t="s">
        <v>23881</v>
      </c>
      <c r="N10" s="262" t="s">
        <v>22189</v>
      </c>
      <c r="O10" s="127"/>
      <c r="P10" s="261"/>
      <c r="Q10" s="261"/>
      <c r="R10" s="261"/>
      <c r="S10" s="261"/>
      <c r="T10" s="261"/>
      <c r="U10" s="261"/>
      <c r="V10" s="261"/>
      <c r="W10" s="261"/>
      <c r="X10" s="261"/>
      <c r="Y10" s="261"/>
      <c r="Z10" s="261"/>
    </row>
    <row r="11" ht="30.0" customHeight="1">
      <c r="A11" s="111" t="s">
        <v>23888</v>
      </c>
      <c r="B11" s="127" t="e">
        <v>#VALUE!</v>
      </c>
      <c r="C11" s="127" t="s">
        <v>23889</v>
      </c>
      <c r="D11" s="111" t="s">
        <v>8003</v>
      </c>
      <c r="E11" s="111" t="s">
        <v>23871</v>
      </c>
      <c r="F11" s="111"/>
      <c r="G11" s="111" t="s">
        <v>18630</v>
      </c>
      <c r="H11" s="127" t="s">
        <v>19</v>
      </c>
      <c r="I11" s="304" t="s">
        <v>19</v>
      </c>
      <c r="J11" s="127"/>
      <c r="K11" s="124"/>
      <c r="L11" s="125" t="s">
        <v>19</v>
      </c>
      <c r="M11" s="262" t="s">
        <v>22189</v>
      </c>
      <c r="N11" s="262" t="s">
        <v>22189</v>
      </c>
      <c r="O11" s="127"/>
      <c r="P11" s="261"/>
      <c r="Q11" s="261"/>
      <c r="R11" s="261"/>
      <c r="S11" s="261"/>
      <c r="T11" s="261"/>
      <c r="U11" s="261"/>
      <c r="V11" s="261"/>
      <c r="W11" s="261"/>
      <c r="X11" s="261"/>
      <c r="Y11" s="261"/>
      <c r="Z11" s="261"/>
    </row>
    <row r="12" ht="30.0" customHeight="1">
      <c r="A12" s="111" t="s">
        <v>23890</v>
      </c>
      <c r="B12" s="316" t="e">
        <v>#VALUE!</v>
      </c>
      <c r="C12" s="127" t="s">
        <v>23480</v>
      </c>
      <c r="D12" s="111" t="s">
        <v>7967</v>
      </c>
      <c r="E12" s="111" t="s">
        <v>23871</v>
      </c>
      <c r="F12" s="111"/>
      <c r="G12" s="111" t="s">
        <v>18638</v>
      </c>
      <c r="H12" s="127" t="s">
        <v>19</v>
      </c>
      <c r="I12" s="304" t="s">
        <v>19</v>
      </c>
      <c r="J12" s="127"/>
      <c r="K12" s="124">
        <v>2480447.0</v>
      </c>
      <c r="L12" s="125" t="s">
        <v>19</v>
      </c>
      <c r="M12" s="262" t="s">
        <v>22189</v>
      </c>
      <c r="N12" s="262"/>
      <c r="O12" s="262"/>
      <c r="P12" s="261"/>
      <c r="Q12" s="261"/>
      <c r="R12" s="261"/>
      <c r="S12" s="261"/>
      <c r="T12" s="261"/>
      <c r="U12" s="261"/>
      <c r="V12" s="261"/>
      <c r="W12" s="261"/>
      <c r="X12" s="261"/>
      <c r="Y12" s="261"/>
      <c r="Z12" s="261"/>
    </row>
    <row r="13" ht="12.75" hidden="1" customHeight="1">
      <c r="A13" s="111" t="s">
        <v>23891</v>
      </c>
      <c r="B13" s="127" t="e">
        <v>#VALUE!</v>
      </c>
      <c r="C13" s="127" t="s">
        <v>23492</v>
      </c>
      <c r="D13" s="111" t="s">
        <v>7977</v>
      </c>
      <c r="E13" s="111" t="s">
        <v>23871</v>
      </c>
      <c r="F13" s="111"/>
      <c r="G13" s="111" t="s">
        <v>12385</v>
      </c>
      <c r="H13" s="127"/>
      <c r="I13" s="127"/>
      <c r="J13" s="127"/>
      <c r="K13" s="124">
        <v>10000.0</v>
      </c>
      <c r="L13" s="125" t="s">
        <v>19</v>
      </c>
      <c r="M13" s="127" t="s">
        <v>23892</v>
      </c>
      <c r="N13" s="127"/>
      <c r="O13" s="127"/>
      <c r="P13" s="261"/>
      <c r="Q13" s="261"/>
      <c r="R13" s="261"/>
      <c r="S13" s="261"/>
      <c r="T13" s="261"/>
      <c r="U13" s="261"/>
      <c r="V13" s="261"/>
      <c r="W13" s="261"/>
      <c r="X13" s="261"/>
      <c r="Y13" s="261"/>
      <c r="Z13" s="261"/>
    </row>
    <row r="14" ht="12.75" hidden="1" customHeight="1">
      <c r="A14" s="319"/>
      <c r="B14" s="272"/>
      <c r="C14" s="272"/>
      <c r="D14" s="319"/>
      <c r="E14" s="319"/>
      <c r="F14" s="319"/>
      <c r="G14" s="319"/>
      <c r="H14" s="272"/>
      <c r="I14" s="272"/>
      <c r="J14" s="272"/>
      <c r="K14" s="320"/>
      <c r="L14" s="321"/>
      <c r="M14" s="272"/>
      <c r="N14" s="272"/>
      <c r="O14" s="272"/>
      <c r="P14" s="261"/>
      <c r="Q14" s="261"/>
      <c r="R14" s="261"/>
      <c r="S14" s="261"/>
      <c r="T14" s="261"/>
      <c r="U14" s="261"/>
      <c r="V14" s="261"/>
      <c r="W14" s="261"/>
      <c r="X14" s="261"/>
      <c r="Y14" s="261"/>
      <c r="Z14" s="261"/>
    </row>
    <row r="15" ht="12.75" hidden="1" customHeight="1">
      <c r="A15" s="319"/>
      <c r="B15" s="272"/>
      <c r="C15" s="272"/>
      <c r="D15" s="319"/>
      <c r="E15" s="319"/>
      <c r="F15" s="319"/>
      <c r="G15" s="319"/>
      <c r="H15" s="272"/>
      <c r="I15" s="272"/>
      <c r="J15" s="272"/>
      <c r="K15" s="320"/>
      <c r="L15" s="321"/>
      <c r="M15" s="272"/>
      <c r="N15" s="272"/>
      <c r="O15" s="272"/>
      <c r="P15" s="261"/>
      <c r="Q15" s="261"/>
      <c r="R15" s="261"/>
      <c r="S15" s="261"/>
      <c r="T15" s="261"/>
      <c r="U15" s="261"/>
      <c r="V15" s="261"/>
      <c r="W15" s="261"/>
      <c r="X15" s="261"/>
      <c r="Y15" s="261"/>
      <c r="Z15" s="261"/>
    </row>
    <row r="16" ht="12.75" hidden="1" customHeight="1">
      <c r="A16" s="319"/>
      <c r="B16" s="272"/>
      <c r="C16" s="272"/>
      <c r="D16" s="319"/>
      <c r="E16" s="319"/>
      <c r="F16" s="319"/>
      <c r="G16" s="319"/>
      <c r="H16" s="272"/>
      <c r="I16" s="272"/>
      <c r="J16" s="272"/>
      <c r="K16" s="320"/>
      <c r="L16" s="321"/>
      <c r="M16" s="272"/>
      <c r="N16" s="272"/>
      <c r="O16" s="272"/>
      <c r="P16" s="261"/>
      <c r="Q16" s="261"/>
      <c r="R16" s="261"/>
      <c r="S16" s="261"/>
      <c r="T16" s="261"/>
      <c r="U16" s="261"/>
      <c r="V16" s="261"/>
      <c r="W16" s="261"/>
      <c r="X16" s="261"/>
      <c r="Y16" s="261"/>
      <c r="Z16" s="261"/>
    </row>
    <row r="17" ht="12.75" hidden="1" customHeight="1">
      <c r="A17" s="319"/>
      <c r="B17" s="272"/>
      <c r="C17" s="272"/>
      <c r="D17" s="319"/>
      <c r="E17" s="319"/>
      <c r="F17" s="319"/>
      <c r="G17" s="319"/>
      <c r="H17" s="272"/>
      <c r="I17" s="272"/>
      <c r="J17" s="272"/>
      <c r="K17" s="320"/>
      <c r="L17" s="321"/>
      <c r="M17" s="272"/>
      <c r="N17" s="272"/>
      <c r="O17" s="272"/>
      <c r="P17" s="261"/>
      <c r="Q17" s="261"/>
      <c r="R17" s="261"/>
      <c r="S17" s="261"/>
      <c r="T17" s="261"/>
      <c r="U17" s="261"/>
      <c r="V17" s="261"/>
      <c r="W17" s="261"/>
      <c r="X17" s="261"/>
      <c r="Y17" s="261"/>
      <c r="Z17" s="261"/>
    </row>
    <row r="18" ht="12.75" hidden="1" customHeight="1">
      <c r="A18" s="319"/>
      <c r="B18" s="272"/>
      <c r="C18" s="272"/>
      <c r="D18" s="319"/>
      <c r="E18" s="319"/>
      <c r="F18" s="319"/>
      <c r="G18" s="319"/>
      <c r="H18" s="272"/>
      <c r="I18" s="272"/>
      <c r="J18" s="272"/>
      <c r="K18" s="320"/>
      <c r="L18" s="321"/>
      <c r="M18" s="272"/>
      <c r="N18" s="272"/>
      <c r="O18" s="272"/>
      <c r="P18" s="261"/>
      <c r="Q18" s="261"/>
      <c r="R18" s="261"/>
      <c r="S18" s="261"/>
      <c r="T18" s="261"/>
      <c r="U18" s="261"/>
      <c r="V18" s="261"/>
      <c r="W18" s="261"/>
      <c r="X18" s="261"/>
      <c r="Y18" s="261"/>
      <c r="Z18" s="261"/>
    </row>
    <row r="19" ht="12.75" hidden="1" customHeight="1">
      <c r="A19" s="319"/>
      <c r="B19" s="272"/>
      <c r="C19" s="272"/>
      <c r="D19" s="319"/>
      <c r="E19" s="319"/>
      <c r="F19" s="319"/>
      <c r="G19" s="319"/>
      <c r="H19" s="272"/>
      <c r="I19" s="272"/>
      <c r="J19" s="272"/>
      <c r="K19" s="320"/>
      <c r="L19" s="321"/>
      <c r="M19" s="272"/>
      <c r="N19" s="272"/>
      <c r="O19" s="272"/>
      <c r="P19" s="261"/>
      <c r="Q19" s="261"/>
      <c r="R19" s="261"/>
      <c r="S19" s="261"/>
      <c r="T19" s="261"/>
      <c r="U19" s="261"/>
      <c r="V19" s="261"/>
      <c r="W19" s="261"/>
      <c r="X19" s="261"/>
      <c r="Y19" s="261"/>
      <c r="Z19" s="261"/>
    </row>
    <row r="20" ht="12.75" hidden="1" customHeight="1">
      <c r="A20" s="319"/>
      <c r="B20" s="272"/>
      <c r="C20" s="272"/>
      <c r="D20" s="319"/>
      <c r="E20" s="319"/>
      <c r="F20" s="319"/>
      <c r="G20" s="319"/>
      <c r="H20" s="272"/>
      <c r="I20" s="272"/>
      <c r="J20" s="272"/>
      <c r="K20" s="320"/>
      <c r="L20" s="321"/>
      <c r="M20" s="272"/>
      <c r="N20" s="272"/>
      <c r="O20" s="272"/>
      <c r="P20" s="261"/>
      <c r="Q20" s="261"/>
      <c r="R20" s="261"/>
      <c r="S20" s="261"/>
      <c r="T20" s="261"/>
      <c r="U20" s="261"/>
      <c r="V20" s="261"/>
      <c r="W20" s="261"/>
      <c r="X20" s="261"/>
      <c r="Y20" s="261"/>
      <c r="Z20" s="261"/>
    </row>
    <row r="21" ht="12.75" hidden="1" customHeight="1">
      <c r="A21" s="319"/>
      <c r="B21" s="272"/>
      <c r="C21" s="272"/>
      <c r="D21" s="319"/>
      <c r="E21" s="319"/>
      <c r="F21" s="319"/>
      <c r="G21" s="319"/>
      <c r="H21" s="272"/>
      <c r="I21" s="272"/>
      <c r="J21" s="272"/>
      <c r="K21" s="320"/>
      <c r="L21" s="321"/>
      <c r="M21" s="272"/>
      <c r="N21" s="272"/>
      <c r="O21" s="272"/>
      <c r="P21" s="261"/>
      <c r="Q21" s="261"/>
      <c r="R21" s="261"/>
      <c r="S21" s="261"/>
      <c r="T21" s="261"/>
      <c r="U21" s="261"/>
      <c r="V21" s="261"/>
      <c r="W21" s="261"/>
      <c r="X21" s="261"/>
      <c r="Y21" s="261"/>
      <c r="Z21" s="261"/>
    </row>
    <row r="22" ht="12.75" hidden="1" customHeight="1">
      <c r="A22" s="319"/>
      <c r="B22" s="272"/>
      <c r="C22" s="272"/>
      <c r="D22" s="319"/>
      <c r="E22" s="319"/>
      <c r="F22" s="319"/>
      <c r="G22" s="319"/>
      <c r="H22" s="272"/>
      <c r="I22" s="272"/>
      <c r="J22" s="272"/>
      <c r="K22" s="320"/>
      <c r="L22" s="321"/>
      <c r="M22" s="272"/>
      <c r="N22" s="272"/>
      <c r="O22" s="272"/>
      <c r="P22" s="261"/>
      <c r="Q22" s="261"/>
      <c r="R22" s="261"/>
      <c r="S22" s="261"/>
      <c r="T22" s="261"/>
      <c r="U22" s="261"/>
      <c r="V22" s="261"/>
      <c r="W22" s="261"/>
      <c r="X22" s="261"/>
      <c r="Y22" s="261"/>
      <c r="Z22" s="261"/>
    </row>
    <row r="23" ht="12.75" hidden="1" customHeight="1">
      <c r="A23" s="319"/>
      <c r="B23" s="272"/>
      <c r="C23" s="272"/>
      <c r="D23" s="319"/>
      <c r="E23" s="319"/>
      <c r="F23" s="319"/>
      <c r="G23" s="319"/>
      <c r="H23" s="272"/>
      <c r="I23" s="272"/>
      <c r="J23" s="272"/>
      <c r="K23" s="320"/>
      <c r="L23" s="321"/>
      <c r="M23" s="272"/>
      <c r="N23" s="272"/>
      <c r="O23" s="272"/>
      <c r="P23" s="261"/>
      <c r="Q23" s="261"/>
      <c r="R23" s="261"/>
      <c r="S23" s="261"/>
      <c r="T23" s="261"/>
      <c r="U23" s="261"/>
      <c r="V23" s="261"/>
      <c r="W23" s="261"/>
      <c r="X23" s="261"/>
      <c r="Y23" s="261"/>
      <c r="Z23" s="261"/>
    </row>
    <row r="24" ht="12.75" hidden="1" customHeight="1">
      <c r="A24" s="319"/>
      <c r="B24" s="272"/>
      <c r="C24" s="272"/>
      <c r="D24" s="319"/>
      <c r="E24" s="319"/>
      <c r="F24" s="319"/>
      <c r="G24" s="319"/>
      <c r="H24" s="272"/>
      <c r="I24" s="272"/>
      <c r="J24" s="272"/>
      <c r="K24" s="320"/>
      <c r="L24" s="321"/>
      <c r="M24" s="272"/>
      <c r="N24" s="272"/>
      <c r="O24" s="272"/>
      <c r="P24" s="261"/>
      <c r="Q24" s="261"/>
      <c r="R24" s="261"/>
      <c r="S24" s="261"/>
      <c r="T24" s="261"/>
      <c r="U24" s="261"/>
      <c r="V24" s="261"/>
      <c r="W24" s="261"/>
      <c r="X24" s="261"/>
      <c r="Y24" s="261"/>
      <c r="Z24" s="261"/>
    </row>
    <row r="25" ht="12.75" hidden="1" customHeight="1">
      <c r="A25" s="319"/>
      <c r="B25" s="272"/>
      <c r="C25" s="272"/>
      <c r="D25" s="319"/>
      <c r="E25" s="319"/>
      <c r="F25" s="319"/>
      <c r="G25" s="319"/>
      <c r="H25" s="272"/>
      <c r="I25" s="272"/>
      <c r="J25" s="272"/>
      <c r="K25" s="320"/>
      <c r="L25" s="321"/>
      <c r="M25" s="272"/>
      <c r="N25" s="272"/>
      <c r="O25" s="272"/>
      <c r="P25" s="261"/>
      <c r="Q25" s="261"/>
      <c r="R25" s="261"/>
      <c r="S25" s="261"/>
      <c r="T25" s="261"/>
      <c r="U25" s="261"/>
      <c r="V25" s="261"/>
      <c r="W25" s="261"/>
      <c r="X25" s="261"/>
      <c r="Y25" s="261"/>
      <c r="Z25" s="261"/>
    </row>
    <row r="26" ht="12.75" hidden="1" customHeight="1">
      <c r="A26" s="319"/>
      <c r="B26" s="272"/>
      <c r="C26" s="272"/>
      <c r="D26" s="319"/>
      <c r="E26" s="319"/>
      <c r="F26" s="319"/>
      <c r="G26" s="319"/>
      <c r="H26" s="272"/>
      <c r="I26" s="272"/>
      <c r="J26" s="272"/>
      <c r="K26" s="320"/>
      <c r="L26" s="321"/>
      <c r="M26" s="272"/>
      <c r="N26" s="272"/>
      <c r="O26" s="272"/>
      <c r="P26" s="261"/>
      <c r="Q26" s="261"/>
      <c r="R26" s="261"/>
      <c r="S26" s="261"/>
      <c r="T26" s="261"/>
      <c r="U26" s="261"/>
      <c r="V26" s="261"/>
      <c r="W26" s="261"/>
      <c r="X26" s="261"/>
      <c r="Y26" s="261"/>
      <c r="Z26" s="261"/>
    </row>
    <row r="27" ht="12.75" hidden="1" customHeight="1">
      <c r="A27" s="319"/>
      <c r="B27" s="272"/>
      <c r="C27" s="272"/>
      <c r="D27" s="319"/>
      <c r="E27" s="319"/>
      <c r="F27" s="319"/>
      <c r="G27" s="319"/>
      <c r="H27" s="272"/>
      <c r="I27" s="272"/>
      <c r="J27" s="272"/>
      <c r="K27" s="320"/>
      <c r="L27" s="321"/>
      <c r="M27" s="272"/>
      <c r="N27" s="272"/>
      <c r="O27" s="272"/>
      <c r="P27" s="261"/>
      <c r="Q27" s="261"/>
      <c r="R27" s="261"/>
      <c r="S27" s="261"/>
      <c r="T27" s="261"/>
      <c r="U27" s="261"/>
      <c r="V27" s="261"/>
      <c r="W27" s="261"/>
      <c r="X27" s="261"/>
      <c r="Y27" s="261"/>
      <c r="Z27" s="261"/>
    </row>
    <row r="28" ht="12.75" hidden="1" customHeight="1">
      <c r="A28" s="319"/>
      <c r="B28" s="272"/>
      <c r="C28" s="272"/>
      <c r="D28" s="319"/>
      <c r="E28" s="319"/>
      <c r="F28" s="319"/>
      <c r="G28" s="319"/>
      <c r="H28" s="272"/>
      <c r="I28" s="272"/>
      <c r="J28" s="272"/>
      <c r="K28" s="320"/>
      <c r="L28" s="321"/>
      <c r="M28" s="272"/>
      <c r="N28" s="272"/>
      <c r="O28" s="272"/>
      <c r="P28" s="261"/>
      <c r="Q28" s="261"/>
      <c r="R28" s="261"/>
      <c r="S28" s="261"/>
      <c r="T28" s="261"/>
      <c r="U28" s="261"/>
      <c r="V28" s="261"/>
      <c r="W28" s="261"/>
      <c r="X28" s="261"/>
      <c r="Y28" s="261"/>
      <c r="Z28" s="261"/>
    </row>
    <row r="29" ht="12.75" hidden="1" customHeight="1">
      <c r="A29" s="319"/>
      <c r="B29" s="272"/>
      <c r="C29" s="272"/>
      <c r="D29" s="319"/>
      <c r="E29" s="319"/>
      <c r="F29" s="319"/>
      <c r="G29" s="319"/>
      <c r="H29" s="272"/>
      <c r="I29" s="272"/>
      <c r="J29" s="272"/>
      <c r="K29" s="320"/>
      <c r="L29" s="321"/>
      <c r="M29" s="272"/>
      <c r="N29" s="272"/>
      <c r="O29" s="272"/>
      <c r="P29" s="261"/>
      <c r="Q29" s="261"/>
      <c r="R29" s="261"/>
      <c r="S29" s="261"/>
      <c r="T29" s="261"/>
      <c r="U29" s="261"/>
      <c r="V29" s="261"/>
      <c r="W29" s="261"/>
      <c r="X29" s="261"/>
      <c r="Y29" s="261"/>
      <c r="Z29" s="261"/>
    </row>
    <row r="30" ht="12.75" hidden="1" customHeight="1">
      <c r="A30" s="319"/>
      <c r="B30" s="272"/>
      <c r="C30" s="272"/>
      <c r="D30" s="319"/>
      <c r="E30" s="319"/>
      <c r="F30" s="319"/>
      <c r="G30" s="319"/>
      <c r="H30" s="272"/>
      <c r="I30" s="272"/>
      <c r="J30" s="272"/>
      <c r="K30" s="320"/>
      <c r="L30" s="321"/>
      <c r="M30" s="272"/>
      <c r="N30" s="272"/>
      <c r="O30" s="272"/>
      <c r="P30" s="261"/>
      <c r="Q30" s="261"/>
      <c r="R30" s="261"/>
      <c r="S30" s="261"/>
      <c r="T30" s="261"/>
      <c r="U30" s="261"/>
      <c r="V30" s="261"/>
      <c r="W30" s="261"/>
      <c r="X30" s="261"/>
      <c r="Y30" s="261"/>
      <c r="Z30" s="261"/>
    </row>
    <row r="31" ht="12.75" hidden="1" customHeight="1">
      <c r="A31" s="319"/>
      <c r="B31" s="272"/>
      <c r="C31" s="272"/>
      <c r="D31" s="319"/>
      <c r="E31" s="319"/>
      <c r="F31" s="319"/>
      <c r="G31" s="319"/>
      <c r="H31" s="272"/>
      <c r="I31" s="272"/>
      <c r="J31" s="272"/>
      <c r="K31" s="320"/>
      <c r="L31" s="321"/>
      <c r="M31" s="272"/>
      <c r="N31" s="272"/>
      <c r="O31" s="272"/>
      <c r="P31" s="261"/>
      <c r="Q31" s="261"/>
      <c r="R31" s="261"/>
      <c r="S31" s="261"/>
      <c r="T31" s="261"/>
      <c r="U31" s="261"/>
      <c r="V31" s="261"/>
      <c r="W31" s="261"/>
      <c r="X31" s="261"/>
      <c r="Y31" s="261"/>
      <c r="Z31" s="261"/>
    </row>
    <row r="32" ht="12.75" hidden="1" customHeight="1">
      <c r="A32" s="319"/>
      <c r="B32" s="272"/>
      <c r="C32" s="272"/>
      <c r="D32" s="319"/>
      <c r="E32" s="319"/>
      <c r="F32" s="319"/>
      <c r="G32" s="319"/>
      <c r="H32" s="272"/>
      <c r="I32" s="272"/>
      <c r="J32" s="272"/>
      <c r="K32" s="320"/>
      <c r="L32" s="321"/>
      <c r="M32" s="272"/>
      <c r="N32" s="272"/>
      <c r="O32" s="272"/>
      <c r="P32" s="261"/>
      <c r="Q32" s="261"/>
      <c r="R32" s="261"/>
      <c r="S32" s="261"/>
      <c r="T32" s="261"/>
      <c r="U32" s="261"/>
      <c r="V32" s="261"/>
      <c r="W32" s="261"/>
      <c r="X32" s="261"/>
      <c r="Y32" s="261"/>
      <c r="Z32" s="261"/>
    </row>
    <row r="33" ht="12.75" hidden="1" customHeight="1">
      <c r="A33" s="319"/>
      <c r="B33" s="272"/>
      <c r="C33" s="272"/>
      <c r="D33" s="319"/>
      <c r="E33" s="319"/>
      <c r="F33" s="319"/>
      <c r="G33" s="319"/>
      <c r="H33" s="272"/>
      <c r="I33" s="272"/>
      <c r="J33" s="272"/>
      <c r="K33" s="320"/>
      <c r="L33" s="321"/>
      <c r="M33" s="272"/>
      <c r="N33" s="272"/>
      <c r="O33" s="272"/>
      <c r="P33" s="261"/>
      <c r="Q33" s="261"/>
      <c r="R33" s="261"/>
      <c r="S33" s="261"/>
      <c r="T33" s="261"/>
      <c r="U33" s="261"/>
      <c r="V33" s="261"/>
      <c r="W33" s="261"/>
      <c r="X33" s="261"/>
      <c r="Y33" s="261"/>
      <c r="Z33" s="261"/>
    </row>
    <row r="34" ht="12.75" hidden="1" customHeight="1">
      <c r="A34" s="319"/>
      <c r="B34" s="272"/>
      <c r="C34" s="272"/>
      <c r="D34" s="319"/>
      <c r="E34" s="319"/>
      <c r="F34" s="319"/>
      <c r="G34" s="319"/>
      <c r="H34" s="272"/>
      <c r="I34" s="272"/>
      <c r="J34" s="272"/>
      <c r="K34" s="320"/>
      <c r="L34" s="321"/>
      <c r="M34" s="272"/>
      <c r="N34" s="272"/>
      <c r="O34" s="272"/>
      <c r="P34" s="261"/>
      <c r="Q34" s="261"/>
      <c r="R34" s="261"/>
      <c r="S34" s="261"/>
      <c r="T34" s="261"/>
      <c r="U34" s="261"/>
      <c r="V34" s="261"/>
      <c r="W34" s="261"/>
      <c r="X34" s="261"/>
      <c r="Y34" s="261"/>
      <c r="Z34" s="261"/>
    </row>
    <row r="35" ht="12.75" hidden="1" customHeight="1">
      <c r="A35" s="319"/>
      <c r="B35" s="272"/>
      <c r="C35" s="272"/>
      <c r="D35" s="319"/>
      <c r="E35" s="319"/>
      <c r="F35" s="319"/>
      <c r="G35" s="319"/>
      <c r="H35" s="272"/>
      <c r="I35" s="272"/>
      <c r="J35" s="272"/>
      <c r="K35" s="320"/>
      <c r="L35" s="321"/>
      <c r="M35" s="272"/>
      <c r="N35" s="272"/>
      <c r="O35" s="272"/>
      <c r="P35" s="261"/>
      <c r="Q35" s="261"/>
      <c r="R35" s="261"/>
      <c r="S35" s="261"/>
      <c r="T35" s="261"/>
      <c r="U35" s="261"/>
      <c r="V35" s="261"/>
      <c r="W35" s="261"/>
      <c r="X35" s="261"/>
      <c r="Y35" s="261"/>
      <c r="Z35" s="261"/>
    </row>
    <row r="36" ht="12.75" hidden="1" customHeight="1">
      <c r="A36" s="319"/>
      <c r="B36" s="272"/>
      <c r="C36" s="272"/>
      <c r="D36" s="319"/>
      <c r="E36" s="319"/>
      <c r="F36" s="319"/>
      <c r="G36" s="319"/>
      <c r="H36" s="272"/>
      <c r="I36" s="272"/>
      <c r="J36" s="272"/>
      <c r="K36" s="320"/>
      <c r="L36" s="321"/>
      <c r="M36" s="272"/>
      <c r="N36" s="272"/>
      <c r="O36" s="272"/>
      <c r="P36" s="261"/>
      <c r="Q36" s="261"/>
      <c r="R36" s="261"/>
      <c r="S36" s="261"/>
      <c r="T36" s="261"/>
      <c r="U36" s="261"/>
      <c r="V36" s="261"/>
      <c r="W36" s="261"/>
      <c r="X36" s="261"/>
      <c r="Y36" s="261"/>
      <c r="Z36" s="261"/>
    </row>
    <row r="37" ht="12.75" hidden="1" customHeight="1">
      <c r="A37" s="319"/>
      <c r="B37" s="272"/>
      <c r="C37" s="272"/>
      <c r="D37" s="319"/>
      <c r="E37" s="319"/>
      <c r="F37" s="319"/>
      <c r="G37" s="319"/>
      <c r="H37" s="272"/>
      <c r="I37" s="272"/>
      <c r="J37" s="272"/>
      <c r="K37" s="320"/>
      <c r="L37" s="321"/>
      <c r="M37" s="272"/>
      <c r="N37" s="272"/>
      <c r="O37" s="272"/>
      <c r="P37" s="261"/>
      <c r="Q37" s="261"/>
      <c r="R37" s="261"/>
      <c r="S37" s="261"/>
      <c r="T37" s="261"/>
      <c r="U37" s="261"/>
      <c r="V37" s="261"/>
      <c r="W37" s="261"/>
      <c r="X37" s="261"/>
      <c r="Y37" s="261"/>
      <c r="Z37" s="261"/>
    </row>
    <row r="38" ht="12.75" hidden="1" customHeight="1">
      <c r="A38" s="319"/>
      <c r="B38" s="272"/>
      <c r="C38" s="272"/>
      <c r="D38" s="319"/>
      <c r="E38" s="319"/>
      <c r="F38" s="319"/>
      <c r="G38" s="319"/>
      <c r="H38" s="272"/>
      <c r="I38" s="272"/>
      <c r="J38" s="272"/>
      <c r="K38" s="320"/>
      <c r="L38" s="321"/>
      <c r="M38" s="272"/>
      <c r="N38" s="272"/>
      <c r="O38" s="272"/>
      <c r="P38" s="261"/>
      <c r="Q38" s="261"/>
      <c r="R38" s="261"/>
      <c r="S38" s="261"/>
      <c r="T38" s="261"/>
      <c r="U38" s="261"/>
      <c r="V38" s="261"/>
      <c r="W38" s="261"/>
      <c r="X38" s="261"/>
      <c r="Y38" s="261"/>
      <c r="Z38" s="261"/>
    </row>
    <row r="39" ht="12.75" hidden="1" customHeight="1">
      <c r="A39" s="319"/>
      <c r="B39" s="272"/>
      <c r="C39" s="272"/>
      <c r="D39" s="319"/>
      <c r="E39" s="319"/>
      <c r="F39" s="319"/>
      <c r="G39" s="319"/>
      <c r="H39" s="272"/>
      <c r="I39" s="272"/>
      <c r="J39" s="272"/>
      <c r="K39" s="320"/>
      <c r="L39" s="321"/>
      <c r="M39" s="272"/>
      <c r="N39" s="272"/>
      <c r="O39" s="272"/>
      <c r="P39" s="261"/>
      <c r="Q39" s="261"/>
      <c r="R39" s="261"/>
      <c r="S39" s="261"/>
      <c r="T39" s="261"/>
      <c r="U39" s="261"/>
      <c r="V39" s="261"/>
      <c r="W39" s="261"/>
      <c r="X39" s="261"/>
      <c r="Y39" s="261"/>
      <c r="Z39" s="261"/>
    </row>
    <row r="40" ht="12.75" hidden="1" customHeight="1">
      <c r="A40" s="319"/>
      <c r="B40" s="272"/>
      <c r="C40" s="272"/>
      <c r="D40" s="319"/>
      <c r="E40" s="319"/>
      <c r="F40" s="319"/>
      <c r="G40" s="319"/>
      <c r="H40" s="272"/>
      <c r="I40" s="272"/>
      <c r="J40" s="272"/>
      <c r="K40" s="320"/>
      <c r="L40" s="321"/>
      <c r="M40" s="272"/>
      <c r="N40" s="272"/>
      <c r="O40" s="272"/>
      <c r="P40" s="261"/>
      <c r="Q40" s="261"/>
      <c r="R40" s="261"/>
      <c r="S40" s="261"/>
      <c r="T40" s="261"/>
      <c r="U40" s="261"/>
      <c r="V40" s="261"/>
      <c r="W40" s="261"/>
      <c r="X40" s="261"/>
      <c r="Y40" s="261"/>
      <c r="Z40" s="261"/>
    </row>
    <row r="41" ht="12.75" hidden="1" customHeight="1">
      <c r="A41" s="319"/>
      <c r="B41" s="272"/>
      <c r="C41" s="272"/>
      <c r="D41" s="319"/>
      <c r="E41" s="319"/>
      <c r="F41" s="319"/>
      <c r="G41" s="319"/>
      <c r="H41" s="272"/>
      <c r="I41" s="272"/>
      <c r="J41" s="272"/>
      <c r="K41" s="320"/>
      <c r="L41" s="321"/>
      <c r="M41" s="272"/>
      <c r="N41" s="272"/>
      <c r="O41" s="272"/>
      <c r="P41" s="261"/>
      <c r="Q41" s="261"/>
      <c r="R41" s="261"/>
      <c r="S41" s="261"/>
      <c r="T41" s="261"/>
      <c r="U41" s="261"/>
      <c r="V41" s="261"/>
      <c r="W41" s="261"/>
      <c r="X41" s="261"/>
      <c r="Y41" s="261"/>
      <c r="Z41" s="261"/>
    </row>
    <row r="42" ht="12.75" hidden="1" customHeight="1">
      <c r="A42" s="319"/>
      <c r="B42" s="272"/>
      <c r="C42" s="272"/>
      <c r="D42" s="319"/>
      <c r="E42" s="319"/>
      <c r="F42" s="319"/>
      <c r="G42" s="319"/>
      <c r="H42" s="272"/>
      <c r="I42" s="272"/>
      <c r="J42" s="272"/>
      <c r="K42" s="320"/>
      <c r="L42" s="321"/>
      <c r="M42" s="272"/>
      <c r="N42" s="272"/>
      <c r="O42" s="272"/>
      <c r="P42" s="261"/>
      <c r="Q42" s="261"/>
      <c r="R42" s="261"/>
      <c r="S42" s="261"/>
      <c r="T42" s="261"/>
      <c r="U42" s="261"/>
      <c r="V42" s="261"/>
      <c r="W42" s="261"/>
      <c r="X42" s="261"/>
      <c r="Y42" s="261"/>
      <c r="Z42" s="261"/>
    </row>
    <row r="43" ht="12.75" hidden="1" customHeight="1">
      <c r="A43" s="319"/>
      <c r="B43" s="272"/>
      <c r="C43" s="272"/>
      <c r="D43" s="319"/>
      <c r="E43" s="319"/>
      <c r="F43" s="319"/>
      <c r="G43" s="319"/>
      <c r="H43" s="272"/>
      <c r="I43" s="272"/>
      <c r="J43" s="272"/>
      <c r="K43" s="320"/>
      <c r="L43" s="321"/>
      <c r="M43" s="272"/>
      <c r="N43" s="272"/>
      <c r="O43" s="272"/>
      <c r="P43" s="261"/>
      <c r="Q43" s="261"/>
      <c r="R43" s="261"/>
      <c r="S43" s="261"/>
      <c r="T43" s="261"/>
      <c r="U43" s="261"/>
      <c r="V43" s="261"/>
      <c r="W43" s="261"/>
      <c r="X43" s="261"/>
      <c r="Y43" s="261"/>
      <c r="Z43" s="261"/>
    </row>
    <row r="44" ht="12.75" hidden="1" customHeight="1">
      <c r="A44" s="319"/>
      <c r="B44" s="272"/>
      <c r="C44" s="272"/>
      <c r="D44" s="319"/>
      <c r="E44" s="319"/>
      <c r="F44" s="319"/>
      <c r="G44" s="319"/>
      <c r="H44" s="272"/>
      <c r="I44" s="272"/>
      <c r="J44" s="272"/>
      <c r="K44" s="320"/>
      <c r="L44" s="321"/>
      <c r="M44" s="272"/>
      <c r="N44" s="272"/>
      <c r="O44" s="272"/>
      <c r="P44" s="261"/>
      <c r="Q44" s="261"/>
      <c r="R44" s="261"/>
      <c r="S44" s="261"/>
      <c r="T44" s="261"/>
      <c r="U44" s="261"/>
      <c r="V44" s="261"/>
      <c r="W44" s="261"/>
      <c r="X44" s="261"/>
      <c r="Y44" s="261"/>
      <c r="Z44" s="261"/>
    </row>
    <row r="45" ht="12.75" hidden="1" customHeight="1">
      <c r="A45" s="319"/>
      <c r="B45" s="272"/>
      <c r="C45" s="272"/>
      <c r="D45" s="319"/>
      <c r="E45" s="319"/>
      <c r="F45" s="319"/>
      <c r="G45" s="319"/>
      <c r="H45" s="272"/>
      <c r="I45" s="272"/>
      <c r="J45" s="272"/>
      <c r="K45" s="320"/>
      <c r="L45" s="321"/>
      <c r="M45" s="272"/>
      <c r="N45" s="272"/>
      <c r="O45" s="272"/>
      <c r="P45" s="261"/>
      <c r="Q45" s="261"/>
      <c r="R45" s="261"/>
      <c r="S45" s="261"/>
      <c r="T45" s="261"/>
      <c r="U45" s="261"/>
      <c r="V45" s="261"/>
      <c r="W45" s="261"/>
      <c r="X45" s="261"/>
      <c r="Y45" s="261"/>
      <c r="Z45" s="261"/>
    </row>
    <row r="46" ht="12.75" hidden="1" customHeight="1">
      <c r="A46" s="319"/>
      <c r="B46" s="272"/>
      <c r="C46" s="272"/>
      <c r="D46" s="319"/>
      <c r="E46" s="319"/>
      <c r="F46" s="319"/>
      <c r="G46" s="319"/>
      <c r="H46" s="272"/>
      <c r="I46" s="272"/>
      <c r="J46" s="272"/>
      <c r="K46" s="320"/>
      <c r="L46" s="321"/>
      <c r="M46" s="272"/>
      <c r="N46" s="272"/>
      <c r="O46" s="272"/>
      <c r="P46" s="261"/>
      <c r="Q46" s="261"/>
      <c r="R46" s="261"/>
      <c r="S46" s="261"/>
      <c r="T46" s="261"/>
      <c r="U46" s="261"/>
      <c r="V46" s="261"/>
      <c r="W46" s="261"/>
      <c r="X46" s="261"/>
      <c r="Y46" s="261"/>
      <c r="Z46" s="261"/>
    </row>
    <row r="47" ht="12.75" hidden="1" customHeight="1">
      <c r="A47" s="319"/>
      <c r="B47" s="272"/>
      <c r="C47" s="272"/>
      <c r="D47" s="319"/>
      <c r="E47" s="319"/>
      <c r="F47" s="319"/>
      <c r="G47" s="319"/>
      <c r="H47" s="272"/>
      <c r="I47" s="272"/>
      <c r="J47" s="272"/>
      <c r="K47" s="320"/>
      <c r="L47" s="321"/>
      <c r="M47" s="272"/>
      <c r="N47" s="272"/>
      <c r="O47" s="272"/>
      <c r="P47" s="261"/>
      <c r="Q47" s="261"/>
      <c r="R47" s="261"/>
      <c r="S47" s="261"/>
      <c r="T47" s="261"/>
      <c r="U47" s="261"/>
      <c r="V47" s="261"/>
      <c r="W47" s="261"/>
      <c r="X47" s="261"/>
      <c r="Y47" s="261"/>
      <c r="Z47" s="261"/>
    </row>
    <row r="48" ht="12.75" hidden="1" customHeight="1">
      <c r="A48" s="319"/>
      <c r="B48" s="272"/>
      <c r="C48" s="272"/>
      <c r="D48" s="319"/>
      <c r="E48" s="319"/>
      <c r="F48" s="319"/>
      <c r="G48" s="319"/>
      <c r="H48" s="272"/>
      <c r="I48" s="272"/>
      <c r="J48" s="272"/>
      <c r="K48" s="320"/>
      <c r="L48" s="321"/>
      <c r="M48" s="272"/>
      <c r="N48" s="272"/>
      <c r="O48" s="272"/>
      <c r="P48" s="261"/>
      <c r="Q48" s="261"/>
      <c r="R48" s="261"/>
      <c r="S48" s="261"/>
      <c r="T48" s="261"/>
      <c r="U48" s="261"/>
      <c r="V48" s="261"/>
      <c r="W48" s="261"/>
      <c r="X48" s="261"/>
      <c r="Y48" s="261"/>
      <c r="Z48" s="261"/>
    </row>
    <row r="49" ht="12.75" hidden="1" customHeight="1">
      <c r="A49" s="319"/>
      <c r="B49" s="272"/>
      <c r="C49" s="272"/>
      <c r="D49" s="319"/>
      <c r="E49" s="319"/>
      <c r="F49" s="319"/>
      <c r="G49" s="319"/>
      <c r="H49" s="272"/>
      <c r="I49" s="272"/>
      <c r="J49" s="272"/>
      <c r="K49" s="320"/>
      <c r="L49" s="321"/>
      <c r="M49" s="272"/>
      <c r="N49" s="272"/>
      <c r="O49" s="272"/>
      <c r="P49" s="261"/>
      <c r="Q49" s="261"/>
      <c r="R49" s="261"/>
      <c r="S49" s="261"/>
      <c r="T49" s="261"/>
      <c r="U49" s="261"/>
      <c r="V49" s="261"/>
      <c r="W49" s="261"/>
      <c r="X49" s="261"/>
      <c r="Y49" s="261"/>
      <c r="Z49" s="261"/>
    </row>
    <row r="50" ht="12.75" hidden="1" customHeight="1">
      <c r="A50" s="319"/>
      <c r="B50" s="272"/>
      <c r="C50" s="272"/>
      <c r="D50" s="319"/>
      <c r="E50" s="319"/>
      <c r="F50" s="319"/>
      <c r="G50" s="319"/>
      <c r="H50" s="272"/>
      <c r="I50" s="272"/>
      <c r="J50" s="272"/>
      <c r="K50" s="320"/>
      <c r="L50" s="321"/>
      <c r="M50" s="272"/>
      <c r="N50" s="272"/>
      <c r="O50" s="272"/>
      <c r="P50" s="261"/>
      <c r="Q50" s="261"/>
      <c r="R50" s="261"/>
      <c r="S50" s="261"/>
      <c r="T50" s="261"/>
      <c r="U50" s="261"/>
      <c r="V50" s="261"/>
      <c r="W50" s="261"/>
      <c r="X50" s="261"/>
      <c r="Y50" s="261"/>
      <c r="Z50" s="261"/>
    </row>
    <row r="51" ht="12.75" hidden="1" customHeight="1">
      <c r="A51" s="319"/>
      <c r="B51" s="272"/>
      <c r="C51" s="272"/>
      <c r="D51" s="319"/>
      <c r="E51" s="319"/>
      <c r="F51" s="319"/>
      <c r="G51" s="319"/>
      <c r="H51" s="272"/>
      <c r="I51" s="272"/>
      <c r="J51" s="272"/>
      <c r="K51" s="320"/>
      <c r="L51" s="321"/>
      <c r="M51" s="272"/>
      <c r="N51" s="272"/>
      <c r="O51" s="272"/>
      <c r="P51" s="261"/>
      <c r="Q51" s="261"/>
      <c r="R51" s="261"/>
      <c r="S51" s="261"/>
      <c r="T51" s="261"/>
      <c r="U51" s="261"/>
      <c r="V51" s="261"/>
      <c r="W51" s="261"/>
      <c r="X51" s="261"/>
      <c r="Y51" s="261"/>
      <c r="Z51" s="261"/>
    </row>
    <row r="52" ht="12.75" hidden="1" customHeight="1">
      <c r="A52" s="319"/>
      <c r="B52" s="272"/>
      <c r="C52" s="272"/>
      <c r="D52" s="319"/>
      <c r="E52" s="319"/>
      <c r="F52" s="319"/>
      <c r="G52" s="319"/>
      <c r="H52" s="272"/>
      <c r="I52" s="272"/>
      <c r="J52" s="272"/>
      <c r="K52" s="320"/>
      <c r="L52" s="321"/>
      <c r="M52" s="272"/>
      <c r="N52" s="272"/>
      <c r="O52" s="272"/>
      <c r="P52" s="261"/>
      <c r="Q52" s="261"/>
      <c r="R52" s="261"/>
      <c r="S52" s="261"/>
      <c r="T52" s="261"/>
      <c r="U52" s="261"/>
      <c r="V52" s="261"/>
      <c r="W52" s="261"/>
      <c r="X52" s="261"/>
      <c r="Y52" s="261"/>
      <c r="Z52" s="261"/>
    </row>
    <row r="53" ht="12.75" hidden="1" customHeight="1">
      <c r="A53" s="319"/>
      <c r="B53" s="272"/>
      <c r="C53" s="272"/>
      <c r="D53" s="319"/>
      <c r="E53" s="319"/>
      <c r="F53" s="319"/>
      <c r="G53" s="319"/>
      <c r="H53" s="272"/>
      <c r="I53" s="272"/>
      <c r="J53" s="272"/>
      <c r="K53" s="320"/>
      <c r="L53" s="321"/>
      <c r="M53" s="272"/>
      <c r="N53" s="272"/>
      <c r="O53" s="272"/>
      <c r="P53" s="261"/>
      <c r="Q53" s="261"/>
      <c r="R53" s="261"/>
      <c r="S53" s="261"/>
      <c r="T53" s="261"/>
      <c r="U53" s="261"/>
      <c r="V53" s="261"/>
      <c r="W53" s="261"/>
      <c r="X53" s="261"/>
      <c r="Y53" s="261"/>
      <c r="Z53" s="261"/>
    </row>
    <row r="54" ht="12.75" hidden="1" customHeight="1">
      <c r="A54" s="319"/>
      <c r="B54" s="272"/>
      <c r="C54" s="272"/>
      <c r="D54" s="319"/>
      <c r="E54" s="319"/>
      <c r="F54" s="319"/>
      <c r="G54" s="319"/>
      <c r="H54" s="272"/>
      <c r="I54" s="272"/>
      <c r="J54" s="272"/>
      <c r="K54" s="320"/>
      <c r="L54" s="321"/>
      <c r="M54" s="272"/>
      <c r="N54" s="272"/>
      <c r="O54" s="272"/>
      <c r="P54" s="261"/>
      <c r="Q54" s="261"/>
      <c r="R54" s="261"/>
      <c r="S54" s="261"/>
      <c r="T54" s="261"/>
      <c r="U54" s="261"/>
      <c r="V54" s="261"/>
      <c r="W54" s="261"/>
      <c r="X54" s="261"/>
      <c r="Y54" s="261"/>
      <c r="Z54" s="261"/>
    </row>
    <row r="55" ht="12.75" hidden="1" customHeight="1">
      <c r="A55" s="319"/>
      <c r="B55" s="272"/>
      <c r="C55" s="272"/>
      <c r="D55" s="319"/>
      <c r="E55" s="319"/>
      <c r="F55" s="319"/>
      <c r="G55" s="319"/>
      <c r="H55" s="272"/>
      <c r="I55" s="272"/>
      <c r="J55" s="272"/>
      <c r="K55" s="320"/>
      <c r="L55" s="321"/>
      <c r="M55" s="272"/>
      <c r="N55" s="272"/>
      <c r="O55" s="272"/>
      <c r="P55" s="261"/>
      <c r="Q55" s="261"/>
      <c r="R55" s="261"/>
      <c r="S55" s="261"/>
      <c r="T55" s="261"/>
      <c r="U55" s="261"/>
      <c r="V55" s="261"/>
      <c r="W55" s="261"/>
      <c r="X55" s="261"/>
      <c r="Y55" s="261"/>
      <c r="Z55" s="261"/>
    </row>
    <row r="56" ht="12.75" hidden="1" customHeight="1">
      <c r="A56" s="319"/>
      <c r="B56" s="272"/>
      <c r="C56" s="272"/>
      <c r="D56" s="319"/>
      <c r="E56" s="319"/>
      <c r="F56" s="319"/>
      <c r="G56" s="319"/>
      <c r="H56" s="272"/>
      <c r="I56" s="272"/>
      <c r="J56" s="272"/>
      <c r="K56" s="320"/>
      <c r="L56" s="321"/>
      <c r="M56" s="272"/>
      <c r="N56" s="272"/>
      <c r="O56" s="272"/>
      <c r="P56" s="261"/>
      <c r="Q56" s="261"/>
      <c r="R56" s="261"/>
      <c r="S56" s="261"/>
      <c r="T56" s="261"/>
      <c r="U56" s="261"/>
      <c r="V56" s="261"/>
      <c r="W56" s="261"/>
      <c r="X56" s="261"/>
      <c r="Y56" s="261"/>
      <c r="Z56" s="261"/>
    </row>
    <row r="57" ht="12.75" hidden="1" customHeight="1">
      <c r="A57" s="319"/>
      <c r="B57" s="272"/>
      <c r="C57" s="272"/>
      <c r="D57" s="319"/>
      <c r="E57" s="319"/>
      <c r="F57" s="319"/>
      <c r="G57" s="319"/>
      <c r="H57" s="272"/>
      <c r="I57" s="272"/>
      <c r="J57" s="272"/>
      <c r="K57" s="320"/>
      <c r="L57" s="321"/>
      <c r="M57" s="272"/>
      <c r="N57" s="272"/>
      <c r="O57" s="272"/>
      <c r="P57" s="261"/>
      <c r="Q57" s="261"/>
      <c r="R57" s="261"/>
      <c r="S57" s="261"/>
      <c r="T57" s="261"/>
      <c r="U57" s="261"/>
      <c r="V57" s="261"/>
      <c r="W57" s="261"/>
      <c r="X57" s="261"/>
      <c r="Y57" s="261"/>
      <c r="Z57" s="261"/>
    </row>
    <row r="58" ht="12.75" hidden="1" customHeight="1">
      <c r="A58" s="319"/>
      <c r="B58" s="272"/>
      <c r="C58" s="272"/>
      <c r="D58" s="319"/>
      <c r="E58" s="319"/>
      <c r="F58" s="319"/>
      <c r="G58" s="319"/>
      <c r="H58" s="272"/>
      <c r="I58" s="272"/>
      <c r="J58" s="272"/>
      <c r="K58" s="320"/>
      <c r="L58" s="321"/>
      <c r="M58" s="272"/>
      <c r="N58" s="272"/>
      <c r="O58" s="272"/>
      <c r="P58" s="261"/>
      <c r="Q58" s="261"/>
      <c r="R58" s="261"/>
      <c r="S58" s="261"/>
      <c r="T58" s="261"/>
      <c r="U58" s="261"/>
      <c r="V58" s="261"/>
      <c r="W58" s="261"/>
      <c r="X58" s="261"/>
      <c r="Y58" s="261"/>
      <c r="Z58" s="261"/>
    </row>
    <row r="59" ht="12.75" hidden="1" customHeight="1">
      <c r="A59" s="319"/>
      <c r="B59" s="272"/>
      <c r="C59" s="272"/>
      <c r="D59" s="319"/>
      <c r="E59" s="319"/>
      <c r="F59" s="319"/>
      <c r="G59" s="319"/>
      <c r="H59" s="272"/>
      <c r="I59" s="272"/>
      <c r="J59" s="272"/>
      <c r="K59" s="320"/>
      <c r="L59" s="321"/>
      <c r="M59" s="272"/>
      <c r="N59" s="272"/>
      <c r="O59" s="272"/>
      <c r="P59" s="261"/>
      <c r="Q59" s="261"/>
      <c r="R59" s="261"/>
      <c r="S59" s="261"/>
      <c r="T59" s="261"/>
      <c r="U59" s="261"/>
      <c r="V59" s="261"/>
      <c r="W59" s="261"/>
      <c r="X59" s="261"/>
      <c r="Y59" s="261"/>
      <c r="Z59" s="261"/>
    </row>
    <row r="60" ht="12.75" hidden="1" customHeight="1">
      <c r="A60" s="319"/>
      <c r="B60" s="272"/>
      <c r="C60" s="272"/>
      <c r="D60" s="319"/>
      <c r="E60" s="319"/>
      <c r="F60" s="319"/>
      <c r="G60" s="319"/>
      <c r="H60" s="272"/>
      <c r="I60" s="272"/>
      <c r="J60" s="272"/>
      <c r="K60" s="320"/>
      <c r="L60" s="321"/>
      <c r="M60" s="272"/>
      <c r="N60" s="272"/>
      <c r="O60" s="272"/>
      <c r="P60" s="261"/>
      <c r="Q60" s="261"/>
      <c r="R60" s="261"/>
      <c r="S60" s="261"/>
      <c r="T60" s="261"/>
      <c r="U60" s="261"/>
      <c r="V60" s="261"/>
      <c r="W60" s="261"/>
      <c r="X60" s="261"/>
      <c r="Y60" s="261"/>
      <c r="Z60" s="261"/>
    </row>
    <row r="61" ht="12.75" hidden="1" customHeight="1">
      <c r="A61" s="319"/>
      <c r="B61" s="272"/>
      <c r="C61" s="272"/>
      <c r="D61" s="319"/>
      <c r="E61" s="319"/>
      <c r="F61" s="319"/>
      <c r="G61" s="319"/>
      <c r="H61" s="272"/>
      <c r="I61" s="272"/>
      <c r="J61" s="272"/>
      <c r="K61" s="320"/>
      <c r="L61" s="321"/>
      <c r="M61" s="272"/>
      <c r="N61" s="272"/>
      <c r="O61" s="272"/>
      <c r="P61" s="261"/>
      <c r="Q61" s="261"/>
      <c r="R61" s="261"/>
      <c r="S61" s="261"/>
      <c r="T61" s="261"/>
      <c r="U61" s="261"/>
      <c r="V61" s="261"/>
      <c r="W61" s="261"/>
      <c r="X61" s="261"/>
      <c r="Y61" s="261"/>
      <c r="Z61" s="261"/>
    </row>
    <row r="62" ht="12.75" hidden="1" customHeight="1">
      <c r="A62" s="319"/>
      <c r="B62" s="272"/>
      <c r="C62" s="272"/>
      <c r="D62" s="319"/>
      <c r="E62" s="319"/>
      <c r="F62" s="319"/>
      <c r="G62" s="319"/>
      <c r="H62" s="272"/>
      <c r="I62" s="272"/>
      <c r="J62" s="272"/>
      <c r="K62" s="320"/>
      <c r="L62" s="321"/>
      <c r="M62" s="272"/>
      <c r="N62" s="272"/>
      <c r="O62" s="272"/>
      <c r="P62" s="261"/>
      <c r="Q62" s="261"/>
      <c r="R62" s="261"/>
      <c r="S62" s="261"/>
      <c r="T62" s="261"/>
      <c r="U62" s="261"/>
      <c r="V62" s="261"/>
      <c r="W62" s="261"/>
      <c r="X62" s="261"/>
      <c r="Y62" s="261"/>
      <c r="Z62" s="261"/>
    </row>
    <row r="63" ht="12.75" hidden="1" customHeight="1">
      <c r="A63" s="261"/>
      <c r="B63" s="261"/>
      <c r="C63" s="261"/>
      <c r="D63" s="261"/>
      <c r="E63" s="261"/>
      <c r="F63" s="291"/>
      <c r="G63" s="261"/>
      <c r="H63" s="261"/>
      <c r="I63" s="261"/>
      <c r="J63" s="261"/>
      <c r="K63" s="261"/>
      <c r="L63" s="261"/>
      <c r="M63" s="273"/>
      <c r="N63" s="273"/>
      <c r="O63" s="273"/>
      <c r="P63" s="261"/>
      <c r="Q63" s="261"/>
      <c r="R63" s="261"/>
      <c r="S63" s="261"/>
      <c r="T63" s="261"/>
      <c r="U63" s="261"/>
      <c r="V63" s="261"/>
      <c r="W63" s="261"/>
      <c r="X63" s="261"/>
      <c r="Y63" s="261"/>
      <c r="Z63" s="261"/>
    </row>
    <row r="64" ht="15.0" hidden="1" customHeight="1">
      <c r="A64" s="261"/>
      <c r="B64" s="261"/>
      <c r="C64" s="261"/>
      <c r="D64" s="261"/>
      <c r="E64" s="261"/>
      <c r="F64" s="291"/>
      <c r="G64" s="261"/>
      <c r="H64" s="261"/>
      <c r="I64" s="261"/>
      <c r="J64" s="261"/>
      <c r="K64" s="261"/>
      <c r="L64" s="261"/>
      <c r="M64" s="273"/>
      <c r="N64" s="273"/>
      <c r="O64" s="273"/>
      <c r="P64" s="261"/>
      <c r="Q64" s="261"/>
      <c r="R64" s="261"/>
      <c r="S64" s="261"/>
      <c r="T64" s="261"/>
      <c r="U64" s="261"/>
      <c r="V64" s="261"/>
      <c r="W64" s="261"/>
      <c r="X64" s="261"/>
      <c r="Y64" s="261"/>
      <c r="Z64" s="261"/>
    </row>
    <row r="65" ht="12.75" customHeight="1">
      <c r="A65" s="261"/>
      <c r="B65" s="261"/>
      <c r="C65" s="261"/>
      <c r="D65" s="261"/>
      <c r="E65" s="261"/>
      <c r="F65" s="291"/>
      <c r="G65" s="261"/>
      <c r="H65" s="261"/>
      <c r="I65" s="261"/>
      <c r="J65" s="261"/>
      <c r="K65" s="261"/>
      <c r="L65" s="261"/>
      <c r="M65" s="273"/>
      <c r="N65" s="273"/>
      <c r="O65" s="273"/>
      <c r="P65" s="261"/>
      <c r="Q65" s="261"/>
      <c r="R65" s="261"/>
      <c r="S65" s="261"/>
      <c r="T65" s="261"/>
      <c r="U65" s="261"/>
      <c r="V65" s="261"/>
      <c r="W65" s="261"/>
      <c r="X65" s="261"/>
      <c r="Y65" s="261"/>
      <c r="Z65" s="261"/>
    </row>
    <row r="66" ht="12.75" customHeight="1">
      <c r="A66" s="261"/>
      <c r="B66" s="261"/>
      <c r="C66" s="261"/>
      <c r="D66" s="261"/>
      <c r="E66" s="261"/>
      <c r="F66" s="291"/>
      <c r="G66" s="261"/>
      <c r="H66" s="261"/>
      <c r="I66" s="261"/>
      <c r="J66" s="261"/>
      <c r="K66" s="261"/>
      <c r="L66" s="261"/>
      <c r="M66" s="273"/>
      <c r="N66" s="273"/>
      <c r="O66" s="273"/>
      <c r="P66" s="261"/>
      <c r="Q66" s="261"/>
      <c r="R66" s="261"/>
      <c r="S66" s="261"/>
      <c r="T66" s="261"/>
      <c r="U66" s="261"/>
      <c r="V66" s="261"/>
      <c r="W66" s="261"/>
      <c r="X66" s="261"/>
      <c r="Y66" s="261"/>
      <c r="Z66" s="261"/>
    </row>
    <row r="67" ht="12.75" customHeight="1">
      <c r="A67" s="261"/>
      <c r="B67" s="261"/>
      <c r="C67" s="261"/>
      <c r="D67" s="261"/>
      <c r="E67" s="261"/>
      <c r="F67" s="291"/>
      <c r="G67" s="261"/>
      <c r="H67" s="261"/>
      <c r="I67" s="261"/>
      <c r="J67" s="261"/>
      <c r="K67" s="261"/>
      <c r="L67" s="261"/>
      <c r="M67" s="273"/>
      <c r="N67" s="273"/>
      <c r="O67" s="273"/>
      <c r="P67" s="261"/>
      <c r="Q67" s="261"/>
      <c r="R67" s="261"/>
      <c r="S67" s="261"/>
      <c r="T67" s="261"/>
      <c r="U67" s="261"/>
      <c r="V67" s="261"/>
      <c r="W67" s="261"/>
      <c r="X67" s="261"/>
      <c r="Y67" s="261"/>
      <c r="Z67" s="261"/>
    </row>
    <row r="68" ht="12.75" customHeight="1">
      <c r="A68" s="261"/>
      <c r="B68" s="261"/>
      <c r="C68" s="261"/>
      <c r="D68" s="261"/>
      <c r="E68" s="261"/>
      <c r="F68" s="291"/>
      <c r="G68" s="261"/>
      <c r="H68" s="261"/>
      <c r="I68" s="261"/>
      <c r="J68" s="261"/>
      <c r="K68" s="261"/>
      <c r="L68" s="261"/>
      <c r="M68" s="273"/>
      <c r="N68" s="273"/>
      <c r="O68" s="273"/>
      <c r="P68" s="261"/>
      <c r="Q68" s="261"/>
      <c r="R68" s="261"/>
      <c r="S68" s="261"/>
      <c r="T68" s="261"/>
      <c r="U68" s="261"/>
      <c r="V68" s="261"/>
      <c r="W68" s="261"/>
      <c r="X68" s="261"/>
      <c r="Y68" s="261"/>
      <c r="Z68" s="261"/>
    </row>
    <row r="69" ht="12.75" customHeight="1">
      <c r="A69" s="261"/>
      <c r="B69" s="261"/>
      <c r="C69" s="261"/>
      <c r="D69" s="261"/>
      <c r="E69" s="261"/>
      <c r="F69" s="291"/>
      <c r="G69" s="261"/>
      <c r="H69" s="261"/>
      <c r="I69" s="261"/>
      <c r="J69" s="261"/>
      <c r="K69" s="261"/>
      <c r="L69" s="261"/>
      <c r="M69" s="273"/>
      <c r="N69" s="273"/>
      <c r="O69" s="273"/>
      <c r="P69" s="261"/>
      <c r="Q69" s="261"/>
      <c r="R69" s="261"/>
      <c r="S69" s="261"/>
      <c r="T69" s="261"/>
      <c r="U69" s="261"/>
      <c r="V69" s="261"/>
      <c r="W69" s="261"/>
      <c r="X69" s="261"/>
      <c r="Y69" s="261"/>
      <c r="Z69" s="261"/>
    </row>
    <row r="70" ht="12.75" customHeight="1">
      <c r="A70" s="261"/>
      <c r="B70" s="261"/>
      <c r="C70" s="261"/>
      <c r="D70" s="261"/>
      <c r="E70" s="261"/>
      <c r="F70" s="291"/>
      <c r="G70" s="261"/>
      <c r="H70" s="261"/>
      <c r="I70" s="261"/>
      <c r="J70" s="261"/>
      <c r="K70" s="261"/>
      <c r="L70" s="261"/>
      <c r="M70" s="273"/>
      <c r="N70" s="273"/>
      <c r="O70" s="273"/>
      <c r="P70" s="261"/>
      <c r="Q70" s="261"/>
      <c r="R70" s="261"/>
      <c r="S70" s="261"/>
      <c r="T70" s="261"/>
      <c r="U70" s="261"/>
      <c r="V70" s="261"/>
      <c r="W70" s="261"/>
      <c r="X70" s="261"/>
      <c r="Y70" s="261"/>
      <c r="Z70" s="261"/>
    </row>
    <row r="71" ht="12.75" customHeight="1">
      <c r="A71" s="261"/>
      <c r="B71" s="261"/>
      <c r="C71" s="261"/>
      <c r="D71" s="261"/>
      <c r="E71" s="261"/>
      <c r="F71" s="291"/>
      <c r="G71" s="261"/>
      <c r="H71" s="261"/>
      <c r="I71" s="261"/>
      <c r="J71" s="261"/>
      <c r="K71" s="261"/>
      <c r="L71" s="261"/>
      <c r="M71" s="273"/>
      <c r="N71" s="273"/>
      <c r="O71" s="273"/>
      <c r="P71" s="261"/>
      <c r="Q71" s="261"/>
      <c r="R71" s="261"/>
      <c r="S71" s="261"/>
      <c r="T71" s="261"/>
      <c r="U71" s="261"/>
      <c r="V71" s="261"/>
      <c r="W71" s="261"/>
      <c r="X71" s="261"/>
      <c r="Y71" s="261"/>
      <c r="Z71" s="261"/>
    </row>
    <row r="72" ht="12.75" customHeight="1">
      <c r="A72" s="261"/>
      <c r="B72" s="261"/>
      <c r="C72" s="261"/>
      <c r="D72" s="261"/>
      <c r="E72" s="261"/>
      <c r="F72" s="291"/>
      <c r="G72" s="261"/>
      <c r="H72" s="261"/>
      <c r="I72" s="261"/>
      <c r="J72" s="261"/>
      <c r="K72" s="261"/>
      <c r="L72" s="261"/>
      <c r="M72" s="273"/>
      <c r="N72" s="273"/>
      <c r="O72" s="273"/>
      <c r="P72" s="261"/>
      <c r="Q72" s="261"/>
      <c r="R72" s="261"/>
      <c r="S72" s="261"/>
      <c r="T72" s="261"/>
      <c r="U72" s="261"/>
      <c r="V72" s="261"/>
      <c r="W72" s="261"/>
      <c r="X72" s="261"/>
      <c r="Y72" s="261"/>
      <c r="Z72" s="261"/>
    </row>
    <row r="73" ht="12.75" customHeight="1">
      <c r="A73" s="261"/>
      <c r="B73" s="261"/>
      <c r="C73" s="261"/>
      <c r="D73" s="261"/>
      <c r="E73" s="261"/>
      <c r="F73" s="291"/>
      <c r="G73" s="261"/>
      <c r="H73" s="261"/>
      <c r="I73" s="261"/>
      <c r="J73" s="261"/>
      <c r="K73" s="261"/>
      <c r="L73" s="261"/>
      <c r="M73" s="273"/>
      <c r="N73" s="273"/>
      <c r="O73" s="273"/>
      <c r="P73" s="261"/>
      <c r="Q73" s="261"/>
      <c r="R73" s="261"/>
      <c r="S73" s="261"/>
      <c r="T73" s="261"/>
      <c r="U73" s="261"/>
      <c r="V73" s="261"/>
      <c r="W73" s="261"/>
      <c r="X73" s="261"/>
      <c r="Y73" s="261"/>
      <c r="Z73" s="261"/>
    </row>
    <row r="74" ht="12.75" customHeight="1">
      <c r="A74" s="261"/>
      <c r="B74" s="261"/>
      <c r="C74" s="261"/>
      <c r="D74" s="261"/>
      <c r="E74" s="261"/>
      <c r="F74" s="291"/>
      <c r="G74" s="261"/>
      <c r="H74" s="261"/>
      <c r="I74" s="261"/>
      <c r="J74" s="261"/>
      <c r="K74" s="261"/>
      <c r="L74" s="261"/>
      <c r="M74" s="273"/>
      <c r="N74" s="273"/>
      <c r="O74" s="273"/>
      <c r="P74" s="261"/>
      <c r="Q74" s="261"/>
      <c r="R74" s="261"/>
      <c r="S74" s="261"/>
      <c r="T74" s="261"/>
      <c r="U74" s="261"/>
      <c r="V74" s="261"/>
      <c r="W74" s="261"/>
      <c r="X74" s="261"/>
      <c r="Y74" s="261"/>
      <c r="Z74" s="261"/>
    </row>
    <row r="75" ht="12.75" customHeight="1">
      <c r="A75" s="261"/>
      <c r="B75" s="261"/>
      <c r="C75" s="261"/>
      <c r="D75" s="261"/>
      <c r="E75" s="261"/>
      <c r="F75" s="291"/>
      <c r="G75" s="261"/>
      <c r="H75" s="261"/>
      <c r="I75" s="261"/>
      <c r="J75" s="261"/>
      <c r="K75" s="261"/>
      <c r="L75" s="261"/>
      <c r="M75" s="273"/>
      <c r="N75" s="273"/>
      <c r="O75" s="273"/>
      <c r="P75" s="261"/>
      <c r="Q75" s="261"/>
      <c r="R75" s="261"/>
      <c r="S75" s="261"/>
      <c r="T75" s="261"/>
      <c r="U75" s="261"/>
      <c r="V75" s="261"/>
      <c r="W75" s="261"/>
      <c r="X75" s="261"/>
      <c r="Y75" s="261"/>
      <c r="Z75" s="261"/>
    </row>
    <row r="76" ht="12.75" customHeight="1">
      <c r="A76" s="261"/>
      <c r="B76" s="261"/>
      <c r="C76" s="261"/>
      <c r="D76" s="261"/>
      <c r="E76" s="261"/>
      <c r="F76" s="291"/>
      <c r="G76" s="261"/>
      <c r="H76" s="261"/>
      <c r="I76" s="261"/>
      <c r="J76" s="261"/>
      <c r="K76" s="261"/>
      <c r="L76" s="261"/>
      <c r="M76" s="273"/>
      <c r="N76" s="273"/>
      <c r="O76" s="273"/>
      <c r="P76" s="261"/>
      <c r="Q76" s="261"/>
      <c r="R76" s="261"/>
      <c r="S76" s="261"/>
      <c r="T76" s="261"/>
      <c r="U76" s="261"/>
      <c r="V76" s="261"/>
      <c r="W76" s="261"/>
      <c r="X76" s="261"/>
      <c r="Y76" s="261"/>
      <c r="Z76" s="261"/>
    </row>
    <row r="77" ht="12.75" customHeight="1">
      <c r="A77" s="261"/>
      <c r="B77" s="261"/>
      <c r="C77" s="261"/>
      <c r="D77" s="261"/>
      <c r="E77" s="261"/>
      <c r="F77" s="291"/>
      <c r="G77" s="261"/>
      <c r="H77" s="261"/>
      <c r="I77" s="261"/>
      <c r="J77" s="261"/>
      <c r="K77" s="261"/>
      <c r="L77" s="261"/>
      <c r="M77" s="273"/>
      <c r="N77" s="273"/>
      <c r="O77" s="273"/>
      <c r="P77" s="261"/>
      <c r="Q77" s="261"/>
      <c r="R77" s="261"/>
      <c r="S77" s="261"/>
      <c r="T77" s="261"/>
      <c r="U77" s="261"/>
      <c r="V77" s="261"/>
      <c r="W77" s="261"/>
      <c r="X77" s="261"/>
      <c r="Y77" s="261"/>
      <c r="Z77" s="261"/>
    </row>
    <row r="78" ht="12.75" customHeight="1">
      <c r="A78" s="261"/>
      <c r="B78" s="261"/>
      <c r="C78" s="261"/>
      <c r="D78" s="261"/>
      <c r="E78" s="261"/>
      <c r="F78" s="291"/>
      <c r="G78" s="261"/>
      <c r="H78" s="261"/>
      <c r="I78" s="261"/>
      <c r="J78" s="261"/>
      <c r="K78" s="261"/>
      <c r="L78" s="261"/>
      <c r="M78" s="273"/>
      <c r="N78" s="273"/>
      <c r="O78" s="273"/>
      <c r="P78" s="261"/>
      <c r="Q78" s="261"/>
      <c r="R78" s="261"/>
      <c r="S78" s="261"/>
      <c r="T78" s="261"/>
      <c r="U78" s="261"/>
      <c r="V78" s="261"/>
      <c r="W78" s="261"/>
      <c r="X78" s="261"/>
      <c r="Y78" s="261"/>
      <c r="Z78" s="261"/>
    </row>
    <row r="79" ht="12.75" customHeight="1">
      <c r="A79" s="261"/>
      <c r="B79" s="261"/>
      <c r="C79" s="261"/>
      <c r="D79" s="261"/>
      <c r="E79" s="261"/>
      <c r="F79" s="291"/>
      <c r="G79" s="261"/>
      <c r="H79" s="261"/>
      <c r="I79" s="261"/>
      <c r="J79" s="261"/>
      <c r="K79" s="261"/>
      <c r="L79" s="261"/>
      <c r="M79" s="273"/>
      <c r="N79" s="273"/>
      <c r="O79" s="273"/>
      <c r="P79" s="261"/>
      <c r="Q79" s="261"/>
      <c r="R79" s="261"/>
      <c r="S79" s="261"/>
      <c r="T79" s="261"/>
      <c r="U79" s="261"/>
      <c r="V79" s="261"/>
      <c r="W79" s="261"/>
      <c r="X79" s="261"/>
      <c r="Y79" s="261"/>
      <c r="Z79" s="261"/>
    </row>
    <row r="80" ht="12.75" customHeight="1">
      <c r="A80" s="261"/>
      <c r="B80" s="261"/>
      <c r="C80" s="261"/>
      <c r="D80" s="261"/>
      <c r="E80" s="261"/>
      <c r="F80" s="291"/>
      <c r="G80" s="261"/>
      <c r="H80" s="261"/>
      <c r="I80" s="261"/>
      <c r="J80" s="261"/>
      <c r="K80" s="261"/>
      <c r="L80" s="261"/>
      <c r="M80" s="273"/>
      <c r="N80" s="273"/>
      <c r="O80" s="273"/>
      <c r="P80" s="261"/>
      <c r="Q80" s="261"/>
      <c r="R80" s="261"/>
      <c r="S80" s="261"/>
      <c r="T80" s="261"/>
      <c r="U80" s="261"/>
      <c r="V80" s="261"/>
      <c r="W80" s="261"/>
      <c r="X80" s="261"/>
      <c r="Y80" s="261"/>
      <c r="Z80" s="261"/>
    </row>
    <row r="81" ht="12.75" customHeight="1">
      <c r="A81" s="261"/>
      <c r="B81" s="261"/>
      <c r="C81" s="261"/>
      <c r="D81" s="261"/>
      <c r="E81" s="261"/>
      <c r="F81" s="291"/>
      <c r="G81" s="261"/>
      <c r="H81" s="261"/>
      <c r="I81" s="261"/>
      <c r="J81" s="261"/>
      <c r="K81" s="261"/>
      <c r="L81" s="261"/>
      <c r="M81" s="273"/>
      <c r="N81" s="273"/>
      <c r="O81" s="273"/>
      <c r="P81" s="261"/>
      <c r="Q81" s="261"/>
      <c r="R81" s="261"/>
      <c r="S81" s="261"/>
      <c r="T81" s="261"/>
      <c r="U81" s="261"/>
      <c r="V81" s="261"/>
      <c r="W81" s="261"/>
      <c r="X81" s="261"/>
      <c r="Y81" s="261"/>
      <c r="Z81" s="261"/>
    </row>
    <row r="82" ht="12.75" customHeight="1">
      <c r="A82" s="261"/>
      <c r="B82" s="261"/>
      <c r="C82" s="261"/>
      <c r="D82" s="261"/>
      <c r="E82" s="261"/>
      <c r="F82" s="291"/>
      <c r="G82" s="261"/>
      <c r="H82" s="261"/>
      <c r="I82" s="261"/>
      <c r="J82" s="261"/>
      <c r="K82" s="261"/>
      <c r="L82" s="261"/>
      <c r="M82" s="273"/>
      <c r="N82" s="273"/>
      <c r="O82" s="273"/>
      <c r="P82" s="261"/>
      <c r="Q82" s="261"/>
      <c r="R82" s="261"/>
      <c r="S82" s="261"/>
      <c r="T82" s="261"/>
      <c r="U82" s="261"/>
      <c r="V82" s="261"/>
      <c r="W82" s="261"/>
      <c r="X82" s="261"/>
      <c r="Y82" s="261"/>
      <c r="Z82" s="261"/>
    </row>
    <row r="83" ht="12.75" customHeight="1">
      <c r="A83" s="261"/>
      <c r="B83" s="261"/>
      <c r="C83" s="261"/>
      <c r="D83" s="261"/>
      <c r="E83" s="261"/>
      <c r="F83" s="291"/>
      <c r="G83" s="261"/>
      <c r="H83" s="261"/>
      <c r="I83" s="261"/>
      <c r="J83" s="261"/>
      <c r="K83" s="261"/>
      <c r="L83" s="261"/>
      <c r="M83" s="273"/>
      <c r="N83" s="273"/>
      <c r="O83" s="273"/>
      <c r="P83" s="261"/>
      <c r="Q83" s="261"/>
      <c r="R83" s="261"/>
      <c r="S83" s="261"/>
      <c r="T83" s="261"/>
      <c r="U83" s="261"/>
      <c r="V83" s="261"/>
      <c r="W83" s="261"/>
      <c r="X83" s="261"/>
      <c r="Y83" s="261"/>
      <c r="Z83" s="261"/>
    </row>
    <row r="84" ht="12.75" customHeight="1">
      <c r="A84" s="261"/>
      <c r="B84" s="261"/>
      <c r="C84" s="261"/>
      <c r="D84" s="261"/>
      <c r="E84" s="261"/>
      <c r="F84" s="291"/>
      <c r="G84" s="261"/>
      <c r="H84" s="261"/>
      <c r="I84" s="261"/>
      <c r="J84" s="261"/>
      <c r="K84" s="261"/>
      <c r="L84" s="261"/>
      <c r="M84" s="273"/>
      <c r="N84" s="273"/>
      <c r="O84" s="273"/>
      <c r="P84" s="261"/>
      <c r="Q84" s="261"/>
      <c r="R84" s="261"/>
      <c r="S84" s="261"/>
      <c r="T84" s="261"/>
      <c r="U84" s="261"/>
      <c r="V84" s="261"/>
      <c r="W84" s="261"/>
      <c r="X84" s="261"/>
      <c r="Y84" s="261"/>
      <c r="Z84" s="261"/>
    </row>
    <row r="85" ht="12.75" customHeight="1">
      <c r="A85" s="261"/>
      <c r="B85" s="261"/>
      <c r="C85" s="261"/>
      <c r="D85" s="261"/>
      <c r="E85" s="261"/>
      <c r="F85" s="291"/>
      <c r="G85" s="261"/>
      <c r="H85" s="261"/>
      <c r="I85" s="261"/>
      <c r="J85" s="261"/>
      <c r="K85" s="261"/>
      <c r="L85" s="261"/>
      <c r="M85" s="273"/>
      <c r="N85" s="273"/>
      <c r="O85" s="273"/>
      <c r="P85" s="261"/>
      <c r="Q85" s="261"/>
      <c r="R85" s="261"/>
      <c r="S85" s="261"/>
      <c r="T85" s="261"/>
      <c r="U85" s="261"/>
      <c r="V85" s="261"/>
      <c r="W85" s="261"/>
      <c r="X85" s="261"/>
      <c r="Y85" s="261"/>
      <c r="Z85" s="261"/>
    </row>
    <row r="86" ht="12.75" customHeight="1">
      <c r="A86" s="261"/>
      <c r="B86" s="261"/>
      <c r="C86" s="261"/>
      <c r="D86" s="261"/>
      <c r="E86" s="261"/>
      <c r="F86" s="291"/>
      <c r="G86" s="261"/>
      <c r="H86" s="261"/>
      <c r="I86" s="261"/>
      <c r="J86" s="261"/>
      <c r="K86" s="261"/>
      <c r="L86" s="261"/>
      <c r="M86" s="273"/>
      <c r="N86" s="273"/>
      <c r="O86" s="273"/>
      <c r="P86" s="261"/>
      <c r="Q86" s="261"/>
      <c r="R86" s="261"/>
      <c r="S86" s="261"/>
      <c r="T86" s="261"/>
      <c r="U86" s="261"/>
      <c r="V86" s="261"/>
      <c r="W86" s="261"/>
      <c r="X86" s="261"/>
      <c r="Y86" s="261"/>
      <c r="Z86" s="261"/>
    </row>
    <row r="87" ht="12.75" customHeight="1">
      <c r="A87" s="261"/>
      <c r="B87" s="261"/>
      <c r="C87" s="261"/>
      <c r="D87" s="261"/>
      <c r="E87" s="261"/>
      <c r="F87" s="291"/>
      <c r="G87" s="261"/>
      <c r="H87" s="261"/>
      <c r="I87" s="261"/>
      <c r="J87" s="261"/>
      <c r="K87" s="261"/>
      <c r="L87" s="261"/>
      <c r="M87" s="273"/>
      <c r="N87" s="273"/>
      <c r="O87" s="273"/>
      <c r="P87" s="261"/>
      <c r="Q87" s="261"/>
      <c r="R87" s="261"/>
      <c r="S87" s="261"/>
      <c r="T87" s="261"/>
      <c r="U87" s="261"/>
      <c r="V87" s="261"/>
      <c r="W87" s="261"/>
      <c r="X87" s="261"/>
      <c r="Y87" s="261"/>
      <c r="Z87" s="261"/>
    </row>
    <row r="88" ht="12.75" customHeight="1">
      <c r="A88" s="261"/>
      <c r="B88" s="261"/>
      <c r="C88" s="261"/>
      <c r="D88" s="261"/>
      <c r="E88" s="261"/>
      <c r="F88" s="291"/>
      <c r="G88" s="261"/>
      <c r="H88" s="261"/>
      <c r="I88" s="261"/>
      <c r="J88" s="261"/>
      <c r="K88" s="261"/>
      <c r="L88" s="261"/>
      <c r="M88" s="273"/>
      <c r="N88" s="273"/>
      <c r="O88" s="273"/>
      <c r="P88" s="261"/>
      <c r="Q88" s="261"/>
      <c r="R88" s="261"/>
      <c r="S88" s="261"/>
      <c r="T88" s="261"/>
      <c r="U88" s="261"/>
      <c r="V88" s="261"/>
      <c r="W88" s="261"/>
      <c r="X88" s="261"/>
      <c r="Y88" s="261"/>
      <c r="Z88" s="261"/>
    </row>
    <row r="89" ht="12.75" customHeight="1">
      <c r="A89" s="261"/>
      <c r="B89" s="261"/>
      <c r="C89" s="261"/>
      <c r="D89" s="261"/>
      <c r="E89" s="261"/>
      <c r="F89" s="291"/>
      <c r="G89" s="261"/>
      <c r="H89" s="261"/>
      <c r="I89" s="261"/>
      <c r="J89" s="261"/>
      <c r="K89" s="261"/>
      <c r="L89" s="261"/>
      <c r="M89" s="273"/>
      <c r="N89" s="273"/>
      <c r="O89" s="273"/>
      <c r="P89" s="261"/>
      <c r="Q89" s="261"/>
      <c r="R89" s="261"/>
      <c r="S89" s="261"/>
      <c r="T89" s="261"/>
      <c r="U89" s="261"/>
      <c r="V89" s="261"/>
      <c r="W89" s="261"/>
      <c r="X89" s="261"/>
      <c r="Y89" s="261"/>
      <c r="Z89" s="261"/>
    </row>
    <row r="90" ht="12.75" customHeight="1">
      <c r="A90" s="261"/>
      <c r="B90" s="261"/>
      <c r="C90" s="261"/>
      <c r="D90" s="261"/>
      <c r="E90" s="261"/>
      <c r="F90" s="291"/>
      <c r="G90" s="261"/>
      <c r="H90" s="261"/>
      <c r="I90" s="261"/>
      <c r="J90" s="261"/>
      <c r="K90" s="261"/>
      <c r="L90" s="261"/>
      <c r="M90" s="273"/>
      <c r="N90" s="273"/>
      <c r="O90" s="273"/>
      <c r="P90" s="261"/>
      <c r="Q90" s="261"/>
      <c r="R90" s="261"/>
      <c r="S90" s="261"/>
      <c r="T90" s="261"/>
      <c r="U90" s="261"/>
      <c r="V90" s="261"/>
      <c r="W90" s="261"/>
      <c r="X90" s="261"/>
      <c r="Y90" s="261"/>
      <c r="Z90" s="261"/>
    </row>
    <row r="91" ht="12.75" customHeight="1">
      <c r="A91" s="261"/>
      <c r="B91" s="261"/>
      <c r="C91" s="261"/>
      <c r="D91" s="261"/>
      <c r="E91" s="261"/>
      <c r="F91" s="291"/>
      <c r="G91" s="261"/>
      <c r="H91" s="261"/>
      <c r="I91" s="261"/>
      <c r="J91" s="261"/>
      <c r="K91" s="261"/>
      <c r="L91" s="261"/>
      <c r="M91" s="273"/>
      <c r="N91" s="273"/>
      <c r="O91" s="273"/>
      <c r="P91" s="261"/>
      <c r="Q91" s="261"/>
      <c r="R91" s="261"/>
      <c r="S91" s="261"/>
      <c r="T91" s="261"/>
      <c r="U91" s="261"/>
      <c r="V91" s="261"/>
      <c r="W91" s="261"/>
      <c r="X91" s="261"/>
      <c r="Y91" s="261"/>
      <c r="Z91" s="261"/>
    </row>
    <row r="92" ht="12.75" customHeight="1">
      <c r="A92" s="261"/>
      <c r="B92" s="261"/>
      <c r="C92" s="261"/>
      <c r="D92" s="261"/>
      <c r="E92" s="261"/>
      <c r="F92" s="291"/>
      <c r="G92" s="261"/>
      <c r="H92" s="261"/>
      <c r="I92" s="261"/>
      <c r="J92" s="261"/>
      <c r="K92" s="261"/>
      <c r="L92" s="261"/>
      <c r="M92" s="273"/>
      <c r="N92" s="273"/>
      <c r="O92" s="273"/>
      <c r="P92" s="261"/>
      <c r="Q92" s="261"/>
      <c r="R92" s="261"/>
      <c r="S92" s="261"/>
      <c r="T92" s="261"/>
      <c r="U92" s="261"/>
      <c r="V92" s="261"/>
      <c r="W92" s="261"/>
      <c r="X92" s="261"/>
      <c r="Y92" s="261"/>
      <c r="Z92" s="261"/>
    </row>
    <row r="93" ht="12.75" customHeight="1">
      <c r="A93" s="261"/>
      <c r="B93" s="261"/>
      <c r="C93" s="261"/>
      <c r="D93" s="261"/>
      <c r="E93" s="261"/>
      <c r="F93" s="291"/>
      <c r="G93" s="261"/>
      <c r="H93" s="261"/>
      <c r="I93" s="261"/>
      <c r="J93" s="261"/>
      <c r="K93" s="261"/>
      <c r="L93" s="261"/>
      <c r="M93" s="273"/>
      <c r="N93" s="273"/>
      <c r="O93" s="273"/>
      <c r="P93" s="261"/>
      <c r="Q93" s="261"/>
      <c r="R93" s="261"/>
      <c r="S93" s="261"/>
      <c r="T93" s="261"/>
      <c r="U93" s="261"/>
      <c r="V93" s="261"/>
      <c r="W93" s="261"/>
      <c r="X93" s="261"/>
      <c r="Y93" s="261"/>
      <c r="Z93" s="261"/>
    </row>
    <row r="94" ht="12.75" customHeight="1">
      <c r="A94" s="261"/>
      <c r="B94" s="261"/>
      <c r="C94" s="261"/>
      <c r="D94" s="261"/>
      <c r="E94" s="261"/>
      <c r="F94" s="291"/>
      <c r="G94" s="261"/>
      <c r="H94" s="261"/>
      <c r="I94" s="261"/>
      <c r="J94" s="261"/>
      <c r="K94" s="261"/>
      <c r="L94" s="261"/>
      <c r="M94" s="273"/>
      <c r="N94" s="273"/>
      <c r="O94" s="273"/>
      <c r="P94" s="261"/>
      <c r="Q94" s="261"/>
      <c r="R94" s="261"/>
      <c r="S94" s="261"/>
      <c r="T94" s="261"/>
      <c r="U94" s="261"/>
      <c r="V94" s="261"/>
      <c r="W94" s="261"/>
      <c r="X94" s="261"/>
      <c r="Y94" s="261"/>
      <c r="Z94" s="261"/>
    </row>
    <row r="95" ht="12.75" customHeight="1">
      <c r="A95" s="261"/>
      <c r="B95" s="261"/>
      <c r="C95" s="261"/>
      <c r="D95" s="261"/>
      <c r="E95" s="261"/>
      <c r="F95" s="291"/>
      <c r="G95" s="261"/>
      <c r="H95" s="261"/>
      <c r="I95" s="261"/>
      <c r="J95" s="261"/>
      <c r="K95" s="261"/>
      <c r="L95" s="261"/>
      <c r="M95" s="273"/>
      <c r="N95" s="273"/>
      <c r="O95" s="273"/>
      <c r="P95" s="261"/>
      <c r="Q95" s="261"/>
      <c r="R95" s="261"/>
      <c r="S95" s="261"/>
      <c r="T95" s="261"/>
      <c r="U95" s="261"/>
      <c r="V95" s="261"/>
      <c r="W95" s="261"/>
      <c r="X95" s="261"/>
      <c r="Y95" s="261"/>
      <c r="Z95" s="261"/>
    </row>
    <row r="96" ht="12.75" customHeight="1">
      <c r="A96" s="261"/>
      <c r="B96" s="261"/>
      <c r="C96" s="261"/>
      <c r="D96" s="261"/>
      <c r="E96" s="261"/>
      <c r="F96" s="291"/>
      <c r="G96" s="261"/>
      <c r="H96" s="261"/>
      <c r="I96" s="261"/>
      <c r="J96" s="261"/>
      <c r="K96" s="261"/>
      <c r="L96" s="261"/>
      <c r="M96" s="273"/>
      <c r="N96" s="273"/>
      <c r="O96" s="273"/>
      <c r="P96" s="261"/>
      <c r="Q96" s="261"/>
      <c r="R96" s="261"/>
      <c r="S96" s="261"/>
      <c r="T96" s="261"/>
      <c r="U96" s="261"/>
      <c r="V96" s="261"/>
      <c r="W96" s="261"/>
      <c r="X96" s="261"/>
      <c r="Y96" s="261"/>
      <c r="Z96" s="261"/>
    </row>
    <row r="97" ht="12.75" customHeight="1">
      <c r="A97" s="261"/>
      <c r="B97" s="261"/>
      <c r="C97" s="261"/>
      <c r="D97" s="261"/>
      <c r="E97" s="261"/>
      <c r="F97" s="291"/>
      <c r="G97" s="261"/>
      <c r="H97" s="261"/>
      <c r="I97" s="261"/>
      <c r="J97" s="261"/>
      <c r="K97" s="261"/>
      <c r="L97" s="261"/>
      <c r="M97" s="273"/>
      <c r="N97" s="273"/>
      <c r="O97" s="273"/>
      <c r="P97" s="261"/>
      <c r="Q97" s="261"/>
      <c r="R97" s="261"/>
      <c r="S97" s="261"/>
      <c r="T97" s="261"/>
      <c r="U97" s="261"/>
      <c r="V97" s="261"/>
      <c r="W97" s="261"/>
      <c r="X97" s="261"/>
      <c r="Y97" s="261"/>
      <c r="Z97" s="261"/>
    </row>
    <row r="98" ht="12.75" customHeight="1">
      <c r="A98" s="261"/>
      <c r="B98" s="261"/>
      <c r="C98" s="261"/>
      <c r="D98" s="261"/>
      <c r="E98" s="261"/>
      <c r="F98" s="291"/>
      <c r="G98" s="261"/>
      <c r="H98" s="261"/>
      <c r="I98" s="261"/>
      <c r="J98" s="261"/>
      <c r="K98" s="261"/>
      <c r="L98" s="261"/>
      <c r="M98" s="273"/>
      <c r="N98" s="273"/>
      <c r="O98" s="273"/>
      <c r="P98" s="261"/>
      <c r="Q98" s="261"/>
      <c r="R98" s="261"/>
      <c r="S98" s="261"/>
      <c r="T98" s="261"/>
      <c r="U98" s="261"/>
      <c r="V98" s="261"/>
      <c r="W98" s="261"/>
      <c r="X98" s="261"/>
      <c r="Y98" s="261"/>
      <c r="Z98" s="261"/>
    </row>
    <row r="99" ht="12.75" customHeight="1">
      <c r="A99" s="261"/>
      <c r="B99" s="261"/>
      <c r="C99" s="261"/>
      <c r="D99" s="261"/>
      <c r="E99" s="261"/>
      <c r="F99" s="291"/>
      <c r="G99" s="261"/>
      <c r="H99" s="261"/>
      <c r="I99" s="261"/>
      <c r="J99" s="261"/>
      <c r="K99" s="261"/>
      <c r="L99" s="261"/>
      <c r="M99" s="273"/>
      <c r="N99" s="273"/>
      <c r="O99" s="273"/>
      <c r="P99" s="261"/>
      <c r="Q99" s="261"/>
      <c r="R99" s="261"/>
      <c r="S99" s="261"/>
      <c r="T99" s="261"/>
      <c r="U99" s="261"/>
      <c r="V99" s="261"/>
      <c r="W99" s="261"/>
      <c r="X99" s="261"/>
      <c r="Y99" s="261"/>
      <c r="Z99" s="261"/>
    </row>
    <row r="100" ht="12.75" customHeight="1">
      <c r="A100" s="261"/>
      <c r="B100" s="261"/>
      <c r="C100" s="261"/>
      <c r="D100" s="261"/>
      <c r="E100" s="261"/>
      <c r="F100" s="291"/>
      <c r="G100" s="261"/>
      <c r="H100" s="261"/>
      <c r="I100" s="261"/>
      <c r="J100" s="261"/>
      <c r="K100" s="261"/>
      <c r="L100" s="261"/>
      <c r="M100" s="273"/>
      <c r="N100" s="273"/>
      <c r="O100" s="273"/>
      <c r="P100" s="261"/>
      <c r="Q100" s="261"/>
      <c r="R100" s="261"/>
      <c r="S100" s="261"/>
      <c r="T100" s="261"/>
      <c r="U100" s="261"/>
      <c r="V100" s="261"/>
      <c r="W100" s="261"/>
      <c r="X100" s="261"/>
      <c r="Y100" s="261"/>
      <c r="Z100" s="261"/>
    </row>
    <row r="101" ht="12.75" customHeight="1">
      <c r="A101" s="261"/>
      <c r="B101" s="261"/>
      <c r="C101" s="261"/>
      <c r="D101" s="261"/>
      <c r="E101" s="261"/>
      <c r="F101" s="291"/>
      <c r="G101" s="261"/>
      <c r="H101" s="261"/>
      <c r="I101" s="261"/>
      <c r="J101" s="261"/>
      <c r="K101" s="261"/>
      <c r="L101" s="261"/>
      <c r="M101" s="273"/>
      <c r="N101" s="273"/>
      <c r="O101" s="273"/>
      <c r="P101" s="261"/>
      <c r="Q101" s="261"/>
      <c r="R101" s="261"/>
      <c r="S101" s="261"/>
      <c r="T101" s="261"/>
      <c r="U101" s="261"/>
      <c r="V101" s="261"/>
      <c r="W101" s="261"/>
      <c r="X101" s="261"/>
      <c r="Y101" s="261"/>
      <c r="Z101" s="261"/>
    </row>
    <row r="102" ht="12.75" customHeight="1">
      <c r="A102" s="261"/>
      <c r="B102" s="261"/>
      <c r="C102" s="261"/>
      <c r="D102" s="261"/>
      <c r="E102" s="261"/>
      <c r="F102" s="291"/>
      <c r="G102" s="261"/>
      <c r="H102" s="261"/>
      <c r="I102" s="261"/>
      <c r="J102" s="261"/>
      <c r="K102" s="261"/>
      <c r="L102" s="261"/>
      <c r="M102" s="273"/>
      <c r="N102" s="273"/>
      <c r="O102" s="273"/>
      <c r="P102" s="261"/>
      <c r="Q102" s="261"/>
      <c r="R102" s="261"/>
      <c r="S102" s="261"/>
      <c r="T102" s="261"/>
      <c r="U102" s="261"/>
      <c r="V102" s="261"/>
      <c r="W102" s="261"/>
      <c r="X102" s="261"/>
      <c r="Y102" s="261"/>
      <c r="Z102" s="261"/>
    </row>
    <row r="103" ht="12.75" customHeight="1">
      <c r="A103" s="261"/>
      <c r="B103" s="261"/>
      <c r="C103" s="261"/>
      <c r="D103" s="261"/>
      <c r="E103" s="261"/>
      <c r="F103" s="291"/>
      <c r="G103" s="261"/>
      <c r="H103" s="261"/>
      <c r="I103" s="261"/>
      <c r="J103" s="261"/>
      <c r="K103" s="261"/>
      <c r="L103" s="261"/>
      <c r="M103" s="273"/>
      <c r="N103" s="273"/>
      <c r="O103" s="273"/>
      <c r="P103" s="261"/>
      <c r="Q103" s="261"/>
      <c r="R103" s="261"/>
      <c r="S103" s="261"/>
      <c r="T103" s="261"/>
      <c r="U103" s="261"/>
      <c r="V103" s="261"/>
      <c r="W103" s="261"/>
      <c r="X103" s="261"/>
      <c r="Y103" s="261"/>
      <c r="Z103" s="261"/>
    </row>
    <row r="104" ht="12.75" customHeight="1">
      <c r="A104" s="261"/>
      <c r="B104" s="261"/>
      <c r="C104" s="261"/>
      <c r="D104" s="261"/>
      <c r="E104" s="261"/>
      <c r="F104" s="291"/>
      <c r="G104" s="261"/>
      <c r="H104" s="261"/>
      <c r="I104" s="261"/>
      <c r="J104" s="261"/>
      <c r="K104" s="261"/>
      <c r="L104" s="261"/>
      <c r="M104" s="273"/>
      <c r="N104" s="273"/>
      <c r="O104" s="273"/>
      <c r="P104" s="261"/>
      <c r="Q104" s="261"/>
      <c r="R104" s="261"/>
      <c r="S104" s="261"/>
      <c r="T104" s="261"/>
      <c r="U104" s="261"/>
      <c r="V104" s="261"/>
      <c r="W104" s="261"/>
      <c r="X104" s="261"/>
      <c r="Y104" s="261"/>
      <c r="Z104" s="261"/>
    </row>
    <row r="105" ht="12.75" customHeight="1">
      <c r="A105" s="261"/>
      <c r="B105" s="261"/>
      <c r="C105" s="261"/>
      <c r="D105" s="261"/>
      <c r="E105" s="261"/>
      <c r="F105" s="291"/>
      <c r="G105" s="261"/>
      <c r="H105" s="261"/>
      <c r="I105" s="261"/>
      <c r="J105" s="261"/>
      <c r="K105" s="261"/>
      <c r="L105" s="261"/>
      <c r="M105" s="273"/>
      <c r="N105" s="273"/>
      <c r="O105" s="273"/>
      <c r="P105" s="261"/>
      <c r="Q105" s="261"/>
      <c r="R105" s="261"/>
      <c r="S105" s="261"/>
      <c r="T105" s="261"/>
      <c r="U105" s="261"/>
      <c r="V105" s="261"/>
      <c r="W105" s="261"/>
      <c r="X105" s="261"/>
      <c r="Y105" s="261"/>
      <c r="Z105" s="261"/>
    </row>
    <row r="106" ht="12.75" customHeight="1">
      <c r="A106" s="261"/>
      <c r="B106" s="261"/>
      <c r="C106" s="261"/>
      <c r="D106" s="261"/>
      <c r="E106" s="261"/>
      <c r="F106" s="291"/>
      <c r="G106" s="261"/>
      <c r="H106" s="261"/>
      <c r="I106" s="261"/>
      <c r="J106" s="261"/>
      <c r="K106" s="261"/>
      <c r="L106" s="261"/>
      <c r="M106" s="273"/>
      <c r="N106" s="273"/>
      <c r="O106" s="273"/>
      <c r="P106" s="261"/>
      <c r="Q106" s="261"/>
      <c r="R106" s="261"/>
      <c r="S106" s="261"/>
      <c r="T106" s="261"/>
      <c r="U106" s="261"/>
      <c r="V106" s="261"/>
      <c r="W106" s="261"/>
      <c r="X106" s="261"/>
      <c r="Y106" s="261"/>
      <c r="Z106" s="261"/>
    </row>
    <row r="107" ht="12.75" customHeight="1">
      <c r="A107" s="261"/>
      <c r="B107" s="261"/>
      <c r="C107" s="261"/>
      <c r="D107" s="261"/>
      <c r="E107" s="261"/>
      <c r="F107" s="291"/>
      <c r="G107" s="261"/>
      <c r="H107" s="261"/>
      <c r="I107" s="261"/>
      <c r="J107" s="261"/>
      <c r="K107" s="261"/>
      <c r="L107" s="261"/>
      <c r="M107" s="273"/>
      <c r="N107" s="273"/>
      <c r="O107" s="273"/>
      <c r="P107" s="261"/>
      <c r="Q107" s="261"/>
      <c r="R107" s="261"/>
      <c r="S107" s="261"/>
      <c r="T107" s="261"/>
      <c r="U107" s="261"/>
      <c r="V107" s="261"/>
      <c r="W107" s="261"/>
      <c r="X107" s="261"/>
      <c r="Y107" s="261"/>
      <c r="Z107" s="261"/>
    </row>
    <row r="108" ht="12.75" customHeight="1">
      <c r="A108" s="261"/>
      <c r="B108" s="261"/>
      <c r="C108" s="261"/>
      <c r="D108" s="261"/>
      <c r="E108" s="261"/>
      <c r="F108" s="291"/>
      <c r="G108" s="261"/>
      <c r="H108" s="261"/>
      <c r="I108" s="261"/>
      <c r="J108" s="261"/>
      <c r="K108" s="261"/>
      <c r="L108" s="261"/>
      <c r="M108" s="273"/>
      <c r="N108" s="273"/>
      <c r="O108" s="273"/>
      <c r="P108" s="261"/>
      <c r="Q108" s="261"/>
      <c r="R108" s="261"/>
      <c r="S108" s="261"/>
      <c r="T108" s="261"/>
      <c r="U108" s="261"/>
      <c r="V108" s="261"/>
      <c r="W108" s="261"/>
      <c r="X108" s="261"/>
      <c r="Y108" s="261"/>
      <c r="Z108" s="261"/>
    </row>
    <row r="109" ht="12.75" customHeight="1">
      <c r="A109" s="261"/>
      <c r="B109" s="261"/>
      <c r="C109" s="261"/>
      <c r="D109" s="261"/>
      <c r="E109" s="261"/>
      <c r="F109" s="291"/>
      <c r="G109" s="261"/>
      <c r="H109" s="261"/>
      <c r="I109" s="261"/>
      <c r="J109" s="261"/>
      <c r="K109" s="261"/>
      <c r="L109" s="261"/>
      <c r="M109" s="273"/>
      <c r="N109" s="273"/>
      <c r="O109" s="273"/>
      <c r="P109" s="261"/>
      <c r="Q109" s="261"/>
      <c r="R109" s="261"/>
      <c r="S109" s="261"/>
      <c r="T109" s="261"/>
      <c r="U109" s="261"/>
      <c r="V109" s="261"/>
      <c r="W109" s="261"/>
      <c r="X109" s="261"/>
      <c r="Y109" s="261"/>
      <c r="Z109" s="261"/>
    </row>
    <row r="110" ht="12.75" customHeight="1">
      <c r="A110" s="261"/>
      <c r="B110" s="261"/>
      <c r="C110" s="261"/>
      <c r="D110" s="261"/>
      <c r="E110" s="261"/>
      <c r="F110" s="291"/>
      <c r="G110" s="261"/>
      <c r="H110" s="261"/>
      <c r="I110" s="261"/>
      <c r="J110" s="261"/>
      <c r="K110" s="261"/>
      <c r="L110" s="261"/>
      <c r="M110" s="273"/>
      <c r="N110" s="273"/>
      <c r="O110" s="273"/>
      <c r="P110" s="261"/>
      <c r="Q110" s="261"/>
      <c r="R110" s="261"/>
      <c r="S110" s="261"/>
      <c r="T110" s="261"/>
      <c r="U110" s="261"/>
      <c r="V110" s="261"/>
      <c r="W110" s="261"/>
      <c r="X110" s="261"/>
      <c r="Y110" s="261"/>
      <c r="Z110" s="261"/>
    </row>
    <row r="111" ht="12.75" customHeight="1">
      <c r="A111" s="261"/>
      <c r="B111" s="261"/>
      <c r="C111" s="261"/>
      <c r="D111" s="261"/>
      <c r="E111" s="261"/>
      <c r="F111" s="291"/>
      <c r="G111" s="261"/>
      <c r="H111" s="261"/>
      <c r="I111" s="261"/>
      <c r="J111" s="261"/>
      <c r="K111" s="261"/>
      <c r="L111" s="261"/>
      <c r="M111" s="273"/>
      <c r="N111" s="273"/>
      <c r="O111" s="273"/>
      <c r="P111" s="261"/>
      <c r="Q111" s="261"/>
      <c r="R111" s="261"/>
      <c r="S111" s="261"/>
      <c r="T111" s="261"/>
      <c r="U111" s="261"/>
      <c r="V111" s="261"/>
      <c r="W111" s="261"/>
      <c r="X111" s="261"/>
      <c r="Y111" s="261"/>
      <c r="Z111" s="261"/>
    </row>
    <row r="112" ht="12.75" customHeight="1">
      <c r="A112" s="261"/>
      <c r="B112" s="261"/>
      <c r="C112" s="261"/>
      <c r="D112" s="261"/>
      <c r="E112" s="261"/>
      <c r="F112" s="291"/>
      <c r="G112" s="261"/>
      <c r="H112" s="261"/>
      <c r="I112" s="261"/>
      <c r="J112" s="261"/>
      <c r="K112" s="261"/>
      <c r="L112" s="261"/>
      <c r="M112" s="273"/>
      <c r="N112" s="273"/>
      <c r="O112" s="273"/>
      <c r="P112" s="261"/>
      <c r="Q112" s="261"/>
      <c r="R112" s="261"/>
      <c r="S112" s="261"/>
      <c r="T112" s="261"/>
      <c r="U112" s="261"/>
      <c r="V112" s="261"/>
      <c r="W112" s="261"/>
      <c r="X112" s="261"/>
      <c r="Y112" s="261"/>
      <c r="Z112" s="261"/>
    </row>
    <row r="113" ht="12.75" customHeight="1">
      <c r="A113" s="261"/>
      <c r="B113" s="261"/>
      <c r="C113" s="261"/>
      <c r="D113" s="261"/>
      <c r="E113" s="261"/>
      <c r="F113" s="291"/>
      <c r="G113" s="261"/>
      <c r="H113" s="261"/>
      <c r="I113" s="261"/>
      <c r="J113" s="261"/>
      <c r="K113" s="261"/>
      <c r="L113" s="261"/>
      <c r="M113" s="273"/>
      <c r="N113" s="273"/>
      <c r="O113" s="273"/>
      <c r="P113" s="261"/>
      <c r="Q113" s="261"/>
      <c r="R113" s="261"/>
      <c r="S113" s="261"/>
      <c r="T113" s="261"/>
      <c r="U113" s="261"/>
      <c r="V113" s="261"/>
      <c r="W113" s="261"/>
      <c r="X113" s="261"/>
      <c r="Y113" s="261"/>
      <c r="Z113" s="261"/>
    </row>
    <row r="114" ht="12.75" customHeight="1">
      <c r="A114" s="261"/>
      <c r="B114" s="261"/>
      <c r="C114" s="261"/>
      <c r="D114" s="261"/>
      <c r="E114" s="261"/>
      <c r="F114" s="291"/>
      <c r="G114" s="261"/>
      <c r="H114" s="261"/>
      <c r="I114" s="261"/>
      <c r="J114" s="261"/>
      <c r="K114" s="261"/>
      <c r="L114" s="261"/>
      <c r="M114" s="273"/>
      <c r="N114" s="273"/>
      <c r="O114" s="273"/>
      <c r="P114" s="261"/>
      <c r="Q114" s="261"/>
      <c r="R114" s="261"/>
      <c r="S114" s="261"/>
      <c r="T114" s="261"/>
      <c r="U114" s="261"/>
      <c r="V114" s="261"/>
      <c r="W114" s="261"/>
      <c r="X114" s="261"/>
      <c r="Y114" s="261"/>
      <c r="Z114" s="261"/>
    </row>
    <row r="115" ht="12.75" customHeight="1">
      <c r="A115" s="261"/>
      <c r="B115" s="261"/>
      <c r="C115" s="261"/>
      <c r="D115" s="261"/>
      <c r="E115" s="261"/>
      <c r="F115" s="291"/>
      <c r="G115" s="261"/>
      <c r="H115" s="261"/>
      <c r="I115" s="261"/>
      <c r="J115" s="261"/>
      <c r="K115" s="261"/>
      <c r="L115" s="261"/>
      <c r="M115" s="273"/>
      <c r="N115" s="273"/>
      <c r="O115" s="273"/>
      <c r="P115" s="261"/>
      <c r="Q115" s="261"/>
      <c r="R115" s="261"/>
      <c r="S115" s="261"/>
      <c r="T115" s="261"/>
      <c r="U115" s="261"/>
      <c r="V115" s="261"/>
      <c r="W115" s="261"/>
      <c r="X115" s="261"/>
      <c r="Y115" s="261"/>
      <c r="Z115" s="261"/>
    </row>
    <row r="116" ht="12.75" customHeight="1">
      <c r="A116" s="261"/>
      <c r="B116" s="261"/>
      <c r="C116" s="261"/>
      <c r="D116" s="261"/>
      <c r="E116" s="261"/>
      <c r="F116" s="291"/>
      <c r="G116" s="261"/>
      <c r="H116" s="261"/>
      <c r="I116" s="261"/>
      <c r="J116" s="261"/>
      <c r="K116" s="261"/>
      <c r="L116" s="261"/>
      <c r="M116" s="273"/>
      <c r="N116" s="273"/>
      <c r="O116" s="273"/>
      <c r="P116" s="261"/>
      <c r="Q116" s="261"/>
      <c r="R116" s="261"/>
      <c r="S116" s="261"/>
      <c r="T116" s="261"/>
      <c r="U116" s="261"/>
      <c r="V116" s="261"/>
      <c r="W116" s="261"/>
      <c r="X116" s="261"/>
      <c r="Y116" s="261"/>
      <c r="Z116" s="261"/>
    </row>
    <row r="117" ht="12.75" customHeight="1">
      <c r="A117" s="261"/>
      <c r="B117" s="261"/>
      <c r="C117" s="261"/>
      <c r="D117" s="261"/>
      <c r="E117" s="261"/>
      <c r="F117" s="291"/>
      <c r="G117" s="261"/>
      <c r="H117" s="261"/>
      <c r="I117" s="261"/>
      <c r="J117" s="261"/>
      <c r="K117" s="261"/>
      <c r="L117" s="261"/>
      <c r="M117" s="273"/>
      <c r="N117" s="273"/>
      <c r="O117" s="273"/>
      <c r="P117" s="261"/>
      <c r="Q117" s="261"/>
      <c r="R117" s="261"/>
      <c r="S117" s="261"/>
      <c r="T117" s="261"/>
      <c r="U117" s="261"/>
      <c r="V117" s="261"/>
      <c r="W117" s="261"/>
      <c r="X117" s="261"/>
      <c r="Y117" s="261"/>
      <c r="Z117" s="261"/>
    </row>
    <row r="118" ht="12.75" customHeight="1">
      <c r="A118" s="261"/>
      <c r="B118" s="261"/>
      <c r="C118" s="261"/>
      <c r="D118" s="261"/>
      <c r="E118" s="261"/>
      <c r="F118" s="291"/>
      <c r="G118" s="261"/>
      <c r="H118" s="261"/>
      <c r="I118" s="261"/>
      <c r="J118" s="261"/>
      <c r="K118" s="261"/>
      <c r="L118" s="261"/>
      <c r="M118" s="273"/>
      <c r="N118" s="273"/>
      <c r="O118" s="273"/>
      <c r="P118" s="261"/>
      <c r="Q118" s="261"/>
      <c r="R118" s="261"/>
      <c r="S118" s="261"/>
      <c r="T118" s="261"/>
      <c r="U118" s="261"/>
      <c r="V118" s="261"/>
      <c r="W118" s="261"/>
      <c r="X118" s="261"/>
      <c r="Y118" s="261"/>
      <c r="Z118" s="261"/>
    </row>
    <row r="119" ht="12.75" customHeight="1">
      <c r="A119" s="261"/>
      <c r="B119" s="261"/>
      <c r="C119" s="261"/>
      <c r="D119" s="261"/>
      <c r="E119" s="261"/>
      <c r="F119" s="291"/>
      <c r="G119" s="261"/>
      <c r="H119" s="261"/>
      <c r="I119" s="261"/>
      <c r="J119" s="261"/>
      <c r="K119" s="261"/>
      <c r="L119" s="261"/>
      <c r="M119" s="273"/>
      <c r="N119" s="273"/>
      <c r="O119" s="273"/>
      <c r="P119" s="261"/>
      <c r="Q119" s="261"/>
      <c r="R119" s="261"/>
      <c r="S119" s="261"/>
      <c r="T119" s="261"/>
      <c r="U119" s="261"/>
      <c r="V119" s="261"/>
      <c r="W119" s="261"/>
      <c r="X119" s="261"/>
      <c r="Y119" s="261"/>
      <c r="Z119" s="261"/>
    </row>
    <row r="120" ht="12.75" customHeight="1">
      <c r="A120" s="261"/>
      <c r="B120" s="261"/>
      <c r="C120" s="261"/>
      <c r="D120" s="261"/>
      <c r="E120" s="261"/>
      <c r="F120" s="291"/>
      <c r="G120" s="261"/>
      <c r="H120" s="261"/>
      <c r="I120" s="261"/>
      <c r="J120" s="261"/>
      <c r="K120" s="261"/>
      <c r="L120" s="261"/>
      <c r="M120" s="273"/>
      <c r="N120" s="273"/>
      <c r="O120" s="273"/>
      <c r="P120" s="261"/>
      <c r="Q120" s="261"/>
      <c r="R120" s="261"/>
      <c r="S120" s="261"/>
      <c r="T120" s="261"/>
      <c r="U120" s="261"/>
      <c r="V120" s="261"/>
      <c r="W120" s="261"/>
      <c r="X120" s="261"/>
      <c r="Y120" s="261"/>
      <c r="Z120" s="261"/>
    </row>
    <row r="121" ht="12.75" customHeight="1">
      <c r="A121" s="261"/>
      <c r="B121" s="261"/>
      <c r="C121" s="261"/>
      <c r="D121" s="261"/>
      <c r="E121" s="261"/>
      <c r="F121" s="291"/>
      <c r="G121" s="261"/>
      <c r="H121" s="261"/>
      <c r="I121" s="261"/>
      <c r="J121" s="261"/>
      <c r="K121" s="261"/>
      <c r="L121" s="261"/>
      <c r="M121" s="273"/>
      <c r="N121" s="273"/>
      <c r="O121" s="273"/>
      <c r="P121" s="261"/>
      <c r="Q121" s="261"/>
      <c r="R121" s="261"/>
      <c r="S121" s="261"/>
      <c r="T121" s="261"/>
      <c r="U121" s="261"/>
      <c r="V121" s="261"/>
      <c r="W121" s="261"/>
      <c r="X121" s="261"/>
      <c r="Y121" s="261"/>
      <c r="Z121" s="261"/>
    </row>
    <row r="122" ht="12.75" customHeight="1">
      <c r="A122" s="261"/>
      <c r="B122" s="261"/>
      <c r="C122" s="261"/>
      <c r="D122" s="261"/>
      <c r="E122" s="261"/>
      <c r="F122" s="291"/>
      <c r="G122" s="261"/>
      <c r="H122" s="261"/>
      <c r="I122" s="261"/>
      <c r="J122" s="261"/>
      <c r="K122" s="261"/>
      <c r="L122" s="261"/>
      <c r="M122" s="273"/>
      <c r="N122" s="273"/>
      <c r="O122" s="273"/>
      <c r="P122" s="261"/>
      <c r="Q122" s="261"/>
      <c r="R122" s="261"/>
      <c r="S122" s="261"/>
      <c r="T122" s="261"/>
      <c r="U122" s="261"/>
      <c r="V122" s="261"/>
      <c r="W122" s="261"/>
      <c r="X122" s="261"/>
      <c r="Y122" s="261"/>
      <c r="Z122" s="261"/>
    </row>
    <row r="123" ht="12.75" customHeight="1">
      <c r="A123" s="261"/>
      <c r="B123" s="261"/>
      <c r="C123" s="261"/>
      <c r="D123" s="261"/>
      <c r="E123" s="261"/>
      <c r="F123" s="291"/>
      <c r="G123" s="261"/>
      <c r="H123" s="261"/>
      <c r="I123" s="261"/>
      <c r="J123" s="261"/>
      <c r="K123" s="261"/>
      <c r="L123" s="261"/>
      <c r="M123" s="273"/>
      <c r="N123" s="273"/>
      <c r="O123" s="273"/>
      <c r="P123" s="261"/>
      <c r="Q123" s="261"/>
      <c r="R123" s="261"/>
      <c r="S123" s="261"/>
      <c r="T123" s="261"/>
      <c r="U123" s="261"/>
      <c r="V123" s="261"/>
      <c r="W123" s="261"/>
      <c r="X123" s="261"/>
      <c r="Y123" s="261"/>
      <c r="Z123" s="261"/>
    </row>
    <row r="124" ht="12.75" customHeight="1">
      <c r="A124" s="261"/>
      <c r="B124" s="261"/>
      <c r="C124" s="261"/>
      <c r="D124" s="261"/>
      <c r="E124" s="261"/>
      <c r="F124" s="291"/>
      <c r="G124" s="261"/>
      <c r="H124" s="261"/>
      <c r="I124" s="261"/>
      <c r="J124" s="261"/>
      <c r="K124" s="261"/>
      <c r="L124" s="261"/>
      <c r="M124" s="273"/>
      <c r="N124" s="273"/>
      <c r="O124" s="273"/>
      <c r="P124" s="261"/>
      <c r="Q124" s="261"/>
      <c r="R124" s="261"/>
      <c r="S124" s="261"/>
      <c r="T124" s="261"/>
      <c r="U124" s="261"/>
      <c r="V124" s="261"/>
      <c r="W124" s="261"/>
      <c r="X124" s="261"/>
      <c r="Y124" s="261"/>
      <c r="Z124" s="261"/>
    </row>
    <row r="125" ht="12.75" customHeight="1">
      <c r="A125" s="261"/>
      <c r="B125" s="261"/>
      <c r="C125" s="261"/>
      <c r="D125" s="261"/>
      <c r="E125" s="261"/>
      <c r="F125" s="291"/>
      <c r="G125" s="261"/>
      <c r="H125" s="261"/>
      <c r="I125" s="261"/>
      <c r="J125" s="261"/>
      <c r="K125" s="261"/>
      <c r="L125" s="261"/>
      <c r="M125" s="273"/>
      <c r="N125" s="273"/>
      <c r="O125" s="273"/>
      <c r="P125" s="261"/>
      <c r="Q125" s="261"/>
      <c r="R125" s="261"/>
      <c r="S125" s="261"/>
      <c r="T125" s="261"/>
      <c r="U125" s="261"/>
      <c r="V125" s="261"/>
      <c r="W125" s="261"/>
      <c r="X125" s="261"/>
      <c r="Y125" s="261"/>
      <c r="Z125" s="261"/>
    </row>
    <row r="126" ht="12.75" customHeight="1">
      <c r="A126" s="261"/>
      <c r="B126" s="261"/>
      <c r="C126" s="261"/>
      <c r="D126" s="261"/>
      <c r="E126" s="261"/>
      <c r="F126" s="291"/>
      <c r="G126" s="261"/>
      <c r="H126" s="261"/>
      <c r="I126" s="261"/>
      <c r="J126" s="261"/>
      <c r="K126" s="261"/>
      <c r="L126" s="261"/>
      <c r="M126" s="273"/>
      <c r="N126" s="273"/>
      <c r="O126" s="273"/>
      <c r="P126" s="261"/>
      <c r="Q126" s="261"/>
      <c r="R126" s="261"/>
      <c r="S126" s="261"/>
      <c r="T126" s="261"/>
      <c r="U126" s="261"/>
      <c r="V126" s="261"/>
      <c r="W126" s="261"/>
      <c r="X126" s="261"/>
      <c r="Y126" s="261"/>
      <c r="Z126" s="261"/>
    </row>
    <row r="127" ht="12.75" customHeight="1">
      <c r="A127" s="261"/>
      <c r="B127" s="261"/>
      <c r="C127" s="261"/>
      <c r="D127" s="261"/>
      <c r="E127" s="261"/>
      <c r="F127" s="291"/>
      <c r="G127" s="261"/>
      <c r="H127" s="261"/>
      <c r="I127" s="261"/>
      <c r="J127" s="261"/>
      <c r="K127" s="261"/>
      <c r="L127" s="261"/>
      <c r="M127" s="273"/>
      <c r="N127" s="273"/>
      <c r="O127" s="273"/>
      <c r="P127" s="261"/>
      <c r="Q127" s="261"/>
      <c r="R127" s="261"/>
      <c r="S127" s="261"/>
      <c r="T127" s="261"/>
      <c r="U127" s="261"/>
      <c r="V127" s="261"/>
      <c r="W127" s="261"/>
      <c r="X127" s="261"/>
      <c r="Y127" s="261"/>
      <c r="Z127" s="261"/>
    </row>
    <row r="128" ht="12.75" customHeight="1">
      <c r="A128" s="261"/>
      <c r="B128" s="261"/>
      <c r="C128" s="261"/>
      <c r="D128" s="261"/>
      <c r="E128" s="261"/>
      <c r="F128" s="291"/>
      <c r="G128" s="261"/>
      <c r="H128" s="261"/>
      <c r="I128" s="261"/>
      <c r="J128" s="261"/>
      <c r="K128" s="261"/>
      <c r="L128" s="261"/>
      <c r="M128" s="273"/>
      <c r="N128" s="273"/>
      <c r="O128" s="273"/>
      <c r="P128" s="261"/>
      <c r="Q128" s="261"/>
      <c r="R128" s="261"/>
      <c r="S128" s="261"/>
      <c r="T128" s="261"/>
      <c r="U128" s="261"/>
      <c r="V128" s="261"/>
      <c r="W128" s="261"/>
      <c r="X128" s="261"/>
      <c r="Y128" s="261"/>
      <c r="Z128" s="261"/>
    </row>
    <row r="129" ht="12.75" customHeight="1">
      <c r="A129" s="261"/>
      <c r="B129" s="261"/>
      <c r="C129" s="261"/>
      <c r="D129" s="261"/>
      <c r="E129" s="261"/>
      <c r="F129" s="291"/>
      <c r="G129" s="261"/>
      <c r="H129" s="261"/>
      <c r="I129" s="261"/>
      <c r="J129" s="261"/>
      <c r="K129" s="261"/>
      <c r="L129" s="261"/>
      <c r="M129" s="273"/>
      <c r="N129" s="273"/>
      <c r="O129" s="273"/>
      <c r="P129" s="261"/>
      <c r="Q129" s="261"/>
      <c r="R129" s="261"/>
      <c r="S129" s="261"/>
      <c r="T129" s="261"/>
      <c r="U129" s="261"/>
      <c r="V129" s="261"/>
      <c r="W129" s="261"/>
      <c r="X129" s="261"/>
      <c r="Y129" s="261"/>
      <c r="Z129" s="261"/>
    </row>
    <row r="130" ht="12.75" customHeight="1">
      <c r="A130" s="261"/>
      <c r="B130" s="261"/>
      <c r="C130" s="261"/>
      <c r="D130" s="261"/>
      <c r="E130" s="261"/>
      <c r="F130" s="291"/>
      <c r="G130" s="261"/>
      <c r="H130" s="261"/>
      <c r="I130" s="261"/>
      <c r="J130" s="261"/>
      <c r="K130" s="261"/>
      <c r="L130" s="261"/>
      <c r="M130" s="273"/>
      <c r="N130" s="273"/>
      <c r="O130" s="273"/>
      <c r="P130" s="261"/>
      <c r="Q130" s="261"/>
      <c r="R130" s="261"/>
      <c r="S130" s="261"/>
      <c r="T130" s="261"/>
      <c r="U130" s="261"/>
      <c r="V130" s="261"/>
      <c r="W130" s="261"/>
      <c r="X130" s="261"/>
      <c r="Y130" s="261"/>
      <c r="Z130" s="261"/>
    </row>
    <row r="131" ht="12.75" customHeight="1">
      <c r="A131" s="261"/>
      <c r="B131" s="261"/>
      <c r="C131" s="261"/>
      <c r="D131" s="261"/>
      <c r="E131" s="261"/>
      <c r="F131" s="291"/>
      <c r="G131" s="261"/>
      <c r="H131" s="261"/>
      <c r="I131" s="261"/>
      <c r="J131" s="261"/>
      <c r="K131" s="261"/>
      <c r="L131" s="261"/>
      <c r="M131" s="273"/>
      <c r="N131" s="273"/>
      <c r="O131" s="273"/>
      <c r="P131" s="261"/>
      <c r="Q131" s="261"/>
      <c r="R131" s="261"/>
      <c r="S131" s="261"/>
      <c r="T131" s="261"/>
      <c r="U131" s="261"/>
      <c r="V131" s="261"/>
      <c r="W131" s="261"/>
      <c r="X131" s="261"/>
      <c r="Y131" s="261"/>
      <c r="Z131" s="261"/>
    </row>
    <row r="132" ht="12.75" customHeight="1">
      <c r="A132" s="261"/>
      <c r="B132" s="261"/>
      <c r="C132" s="261"/>
      <c r="D132" s="261"/>
      <c r="E132" s="261"/>
      <c r="F132" s="291"/>
      <c r="G132" s="261"/>
      <c r="H132" s="261"/>
      <c r="I132" s="261"/>
      <c r="J132" s="261"/>
      <c r="K132" s="261"/>
      <c r="L132" s="261"/>
      <c r="M132" s="273"/>
      <c r="N132" s="273"/>
      <c r="O132" s="273"/>
      <c r="P132" s="261"/>
      <c r="Q132" s="261"/>
      <c r="R132" s="261"/>
      <c r="S132" s="261"/>
      <c r="T132" s="261"/>
      <c r="U132" s="261"/>
      <c r="V132" s="261"/>
      <c r="W132" s="261"/>
      <c r="X132" s="261"/>
      <c r="Y132" s="261"/>
      <c r="Z132" s="261"/>
    </row>
    <row r="133" ht="12.75" customHeight="1">
      <c r="A133" s="261"/>
      <c r="B133" s="261"/>
      <c r="C133" s="261"/>
      <c r="D133" s="261"/>
      <c r="E133" s="261"/>
      <c r="F133" s="291"/>
      <c r="G133" s="261"/>
      <c r="H133" s="261"/>
      <c r="I133" s="261"/>
      <c r="J133" s="261"/>
      <c r="K133" s="261"/>
      <c r="L133" s="261"/>
      <c r="M133" s="273"/>
      <c r="N133" s="273"/>
      <c r="O133" s="273"/>
      <c r="P133" s="261"/>
      <c r="Q133" s="261"/>
      <c r="R133" s="261"/>
      <c r="S133" s="261"/>
      <c r="T133" s="261"/>
      <c r="U133" s="261"/>
      <c r="V133" s="261"/>
      <c r="W133" s="261"/>
      <c r="X133" s="261"/>
      <c r="Y133" s="261"/>
      <c r="Z133" s="261"/>
    </row>
    <row r="134" ht="12.75" customHeight="1">
      <c r="A134" s="261"/>
      <c r="B134" s="261"/>
      <c r="C134" s="261"/>
      <c r="D134" s="261"/>
      <c r="E134" s="261"/>
      <c r="F134" s="291"/>
      <c r="G134" s="261"/>
      <c r="H134" s="261"/>
      <c r="I134" s="261"/>
      <c r="J134" s="261"/>
      <c r="K134" s="261"/>
      <c r="L134" s="261"/>
      <c r="M134" s="273"/>
      <c r="N134" s="273"/>
      <c r="O134" s="273"/>
      <c r="P134" s="261"/>
      <c r="Q134" s="261"/>
      <c r="R134" s="261"/>
      <c r="S134" s="261"/>
      <c r="T134" s="261"/>
      <c r="U134" s="261"/>
      <c r="V134" s="261"/>
      <c r="W134" s="261"/>
      <c r="X134" s="261"/>
      <c r="Y134" s="261"/>
      <c r="Z134" s="261"/>
    </row>
    <row r="135" ht="12.75" customHeight="1">
      <c r="A135" s="261"/>
      <c r="B135" s="261"/>
      <c r="C135" s="261"/>
      <c r="D135" s="261"/>
      <c r="E135" s="261"/>
      <c r="F135" s="291"/>
      <c r="G135" s="261"/>
      <c r="H135" s="261"/>
      <c r="I135" s="261"/>
      <c r="J135" s="261"/>
      <c r="K135" s="261"/>
      <c r="L135" s="261"/>
      <c r="M135" s="273"/>
      <c r="N135" s="273"/>
      <c r="O135" s="273"/>
      <c r="P135" s="261"/>
      <c r="Q135" s="261"/>
      <c r="R135" s="261"/>
      <c r="S135" s="261"/>
      <c r="T135" s="261"/>
      <c r="U135" s="261"/>
      <c r="V135" s="261"/>
      <c r="W135" s="261"/>
      <c r="X135" s="261"/>
      <c r="Y135" s="261"/>
      <c r="Z135" s="261"/>
    </row>
    <row r="136" ht="12.75" customHeight="1">
      <c r="A136" s="261"/>
      <c r="B136" s="261"/>
      <c r="C136" s="261"/>
      <c r="D136" s="261"/>
      <c r="E136" s="261"/>
      <c r="F136" s="291"/>
      <c r="G136" s="261"/>
      <c r="H136" s="261"/>
      <c r="I136" s="261"/>
      <c r="J136" s="261"/>
      <c r="K136" s="261"/>
      <c r="L136" s="261"/>
      <c r="M136" s="273"/>
      <c r="N136" s="273"/>
      <c r="O136" s="273"/>
      <c r="P136" s="261"/>
      <c r="Q136" s="261"/>
      <c r="R136" s="261"/>
      <c r="S136" s="261"/>
      <c r="T136" s="261"/>
      <c r="U136" s="261"/>
      <c r="V136" s="261"/>
      <c r="W136" s="261"/>
      <c r="X136" s="261"/>
      <c r="Y136" s="261"/>
      <c r="Z136" s="261"/>
    </row>
    <row r="137" ht="12.75" customHeight="1">
      <c r="A137" s="261"/>
      <c r="B137" s="261"/>
      <c r="C137" s="261"/>
      <c r="D137" s="261"/>
      <c r="E137" s="261"/>
      <c r="F137" s="291"/>
      <c r="G137" s="261"/>
      <c r="H137" s="261"/>
      <c r="I137" s="261"/>
      <c r="J137" s="261"/>
      <c r="K137" s="261"/>
      <c r="L137" s="261"/>
      <c r="M137" s="273"/>
      <c r="N137" s="273"/>
      <c r="O137" s="273"/>
      <c r="P137" s="261"/>
      <c r="Q137" s="261"/>
      <c r="R137" s="261"/>
      <c r="S137" s="261"/>
      <c r="T137" s="261"/>
      <c r="U137" s="261"/>
      <c r="V137" s="261"/>
      <c r="W137" s="261"/>
      <c r="X137" s="261"/>
      <c r="Y137" s="261"/>
      <c r="Z137" s="261"/>
    </row>
    <row r="138" ht="12.75" customHeight="1">
      <c r="A138" s="261"/>
      <c r="B138" s="261"/>
      <c r="C138" s="261"/>
      <c r="D138" s="261"/>
      <c r="E138" s="261"/>
      <c r="F138" s="291"/>
      <c r="G138" s="261"/>
      <c r="H138" s="261"/>
      <c r="I138" s="261"/>
      <c r="J138" s="261"/>
      <c r="K138" s="261"/>
      <c r="L138" s="261"/>
      <c r="M138" s="273"/>
      <c r="N138" s="273"/>
      <c r="O138" s="273"/>
      <c r="P138" s="261"/>
      <c r="Q138" s="261"/>
      <c r="R138" s="261"/>
      <c r="S138" s="261"/>
      <c r="T138" s="261"/>
      <c r="U138" s="261"/>
      <c r="V138" s="261"/>
      <c r="W138" s="261"/>
      <c r="X138" s="261"/>
      <c r="Y138" s="261"/>
      <c r="Z138" s="261"/>
    </row>
    <row r="139" ht="12.75" customHeight="1">
      <c r="A139" s="261"/>
      <c r="B139" s="261"/>
      <c r="C139" s="261"/>
      <c r="D139" s="261"/>
      <c r="E139" s="261"/>
      <c r="F139" s="291"/>
      <c r="G139" s="261"/>
      <c r="H139" s="261"/>
      <c r="I139" s="261"/>
      <c r="J139" s="261"/>
      <c r="K139" s="261"/>
      <c r="L139" s="261"/>
      <c r="M139" s="273"/>
      <c r="N139" s="273"/>
      <c r="O139" s="273"/>
      <c r="P139" s="261"/>
      <c r="Q139" s="261"/>
      <c r="R139" s="261"/>
      <c r="S139" s="261"/>
      <c r="T139" s="261"/>
      <c r="U139" s="261"/>
      <c r="V139" s="261"/>
      <c r="W139" s="261"/>
      <c r="X139" s="261"/>
      <c r="Y139" s="261"/>
      <c r="Z139" s="261"/>
    </row>
    <row r="140" ht="12.75" customHeight="1">
      <c r="A140" s="261"/>
      <c r="B140" s="261"/>
      <c r="C140" s="261"/>
      <c r="D140" s="261"/>
      <c r="E140" s="261"/>
      <c r="F140" s="291"/>
      <c r="G140" s="261"/>
      <c r="H140" s="261"/>
      <c r="I140" s="261"/>
      <c r="J140" s="261"/>
      <c r="K140" s="261"/>
      <c r="L140" s="261"/>
      <c r="M140" s="273"/>
      <c r="N140" s="273"/>
      <c r="O140" s="273"/>
      <c r="P140" s="261"/>
      <c r="Q140" s="261"/>
      <c r="R140" s="261"/>
      <c r="S140" s="261"/>
      <c r="T140" s="261"/>
      <c r="U140" s="261"/>
      <c r="V140" s="261"/>
      <c r="W140" s="261"/>
      <c r="X140" s="261"/>
      <c r="Y140" s="261"/>
      <c r="Z140" s="261"/>
    </row>
    <row r="141" ht="12.75" customHeight="1">
      <c r="A141" s="261"/>
      <c r="B141" s="261"/>
      <c r="C141" s="261"/>
      <c r="D141" s="261"/>
      <c r="E141" s="261"/>
      <c r="F141" s="291"/>
      <c r="G141" s="261"/>
      <c r="H141" s="261"/>
      <c r="I141" s="261"/>
      <c r="J141" s="261"/>
      <c r="K141" s="261"/>
      <c r="L141" s="261"/>
      <c r="M141" s="273"/>
      <c r="N141" s="273"/>
      <c r="O141" s="273"/>
      <c r="P141" s="261"/>
      <c r="Q141" s="261"/>
      <c r="R141" s="261"/>
      <c r="S141" s="261"/>
      <c r="T141" s="261"/>
      <c r="U141" s="261"/>
      <c r="V141" s="261"/>
      <c r="W141" s="261"/>
      <c r="X141" s="261"/>
      <c r="Y141" s="261"/>
      <c r="Z141" s="261"/>
    </row>
    <row r="142" ht="12.75" customHeight="1">
      <c r="A142" s="261"/>
      <c r="B142" s="261"/>
      <c r="C142" s="261"/>
      <c r="D142" s="261"/>
      <c r="E142" s="261"/>
      <c r="F142" s="291"/>
      <c r="G142" s="261"/>
      <c r="H142" s="261"/>
      <c r="I142" s="261"/>
      <c r="J142" s="261"/>
      <c r="K142" s="261"/>
      <c r="L142" s="261"/>
      <c r="M142" s="273"/>
      <c r="N142" s="273"/>
      <c r="O142" s="273"/>
      <c r="P142" s="261"/>
      <c r="Q142" s="261"/>
      <c r="R142" s="261"/>
      <c r="S142" s="261"/>
      <c r="T142" s="261"/>
      <c r="U142" s="261"/>
      <c r="V142" s="261"/>
      <c r="W142" s="261"/>
      <c r="X142" s="261"/>
      <c r="Y142" s="261"/>
      <c r="Z142" s="261"/>
    </row>
    <row r="143" ht="12.75" customHeight="1">
      <c r="A143" s="261"/>
      <c r="B143" s="261"/>
      <c r="C143" s="261"/>
      <c r="D143" s="261"/>
      <c r="E143" s="261"/>
      <c r="F143" s="291"/>
      <c r="G143" s="261"/>
      <c r="H143" s="261"/>
      <c r="I143" s="261"/>
      <c r="J143" s="261"/>
      <c r="K143" s="261"/>
      <c r="L143" s="261"/>
      <c r="M143" s="273"/>
      <c r="N143" s="273"/>
      <c r="O143" s="273"/>
      <c r="P143" s="261"/>
      <c r="Q143" s="261"/>
      <c r="R143" s="261"/>
      <c r="S143" s="261"/>
      <c r="T143" s="261"/>
      <c r="U143" s="261"/>
      <c r="V143" s="261"/>
      <c r="W143" s="261"/>
      <c r="X143" s="261"/>
      <c r="Y143" s="261"/>
      <c r="Z143" s="261"/>
    </row>
    <row r="144" ht="12.75" customHeight="1">
      <c r="A144" s="261"/>
      <c r="B144" s="261"/>
      <c r="C144" s="261"/>
      <c r="D144" s="261"/>
      <c r="E144" s="261"/>
      <c r="F144" s="291"/>
      <c r="G144" s="261"/>
      <c r="H144" s="261"/>
      <c r="I144" s="261"/>
      <c r="J144" s="261"/>
      <c r="K144" s="261"/>
      <c r="L144" s="261"/>
      <c r="M144" s="273"/>
      <c r="N144" s="273"/>
      <c r="O144" s="273"/>
      <c r="P144" s="261"/>
      <c r="Q144" s="261"/>
      <c r="R144" s="261"/>
      <c r="S144" s="261"/>
      <c r="T144" s="261"/>
      <c r="U144" s="261"/>
      <c r="V144" s="261"/>
      <c r="W144" s="261"/>
      <c r="X144" s="261"/>
      <c r="Y144" s="261"/>
      <c r="Z144" s="261"/>
    </row>
    <row r="145" ht="12.75" customHeight="1">
      <c r="A145" s="261"/>
      <c r="B145" s="261"/>
      <c r="C145" s="261"/>
      <c r="D145" s="261"/>
      <c r="E145" s="261"/>
      <c r="F145" s="291"/>
      <c r="G145" s="261"/>
      <c r="H145" s="261"/>
      <c r="I145" s="261"/>
      <c r="J145" s="261"/>
      <c r="K145" s="261"/>
      <c r="L145" s="261"/>
      <c r="M145" s="273"/>
      <c r="N145" s="273"/>
      <c r="O145" s="273"/>
      <c r="P145" s="261"/>
      <c r="Q145" s="261"/>
      <c r="R145" s="261"/>
      <c r="S145" s="261"/>
      <c r="T145" s="261"/>
      <c r="U145" s="261"/>
      <c r="V145" s="261"/>
      <c r="W145" s="261"/>
      <c r="X145" s="261"/>
      <c r="Y145" s="261"/>
      <c r="Z145" s="261"/>
    </row>
    <row r="146" ht="12.75" customHeight="1">
      <c r="A146" s="261"/>
      <c r="B146" s="261"/>
      <c r="C146" s="261"/>
      <c r="D146" s="261"/>
      <c r="E146" s="261"/>
      <c r="F146" s="291"/>
      <c r="G146" s="261"/>
      <c r="H146" s="261"/>
      <c r="I146" s="261"/>
      <c r="J146" s="261"/>
      <c r="K146" s="261"/>
      <c r="L146" s="261"/>
      <c r="M146" s="273"/>
      <c r="N146" s="273"/>
      <c r="O146" s="273"/>
      <c r="P146" s="261"/>
      <c r="Q146" s="261"/>
      <c r="R146" s="261"/>
      <c r="S146" s="261"/>
      <c r="T146" s="261"/>
      <c r="U146" s="261"/>
      <c r="V146" s="261"/>
      <c r="W146" s="261"/>
      <c r="X146" s="261"/>
      <c r="Y146" s="261"/>
      <c r="Z146" s="261"/>
    </row>
    <row r="147" ht="12.75" customHeight="1">
      <c r="A147" s="261"/>
      <c r="B147" s="261"/>
      <c r="C147" s="261"/>
      <c r="D147" s="261"/>
      <c r="E147" s="261"/>
      <c r="F147" s="291"/>
      <c r="G147" s="261"/>
      <c r="H147" s="261"/>
      <c r="I147" s="261"/>
      <c r="J147" s="261"/>
      <c r="K147" s="261"/>
      <c r="L147" s="261"/>
      <c r="M147" s="273"/>
      <c r="N147" s="273"/>
      <c r="O147" s="273"/>
      <c r="P147" s="261"/>
      <c r="Q147" s="261"/>
      <c r="R147" s="261"/>
      <c r="S147" s="261"/>
      <c r="T147" s="261"/>
      <c r="U147" s="261"/>
      <c r="V147" s="261"/>
      <c r="W147" s="261"/>
      <c r="X147" s="261"/>
      <c r="Y147" s="261"/>
      <c r="Z147" s="261"/>
    </row>
    <row r="148" ht="12.75" customHeight="1">
      <c r="A148" s="261"/>
      <c r="B148" s="261"/>
      <c r="C148" s="261"/>
      <c r="D148" s="261"/>
      <c r="E148" s="261"/>
      <c r="F148" s="291"/>
      <c r="G148" s="261"/>
      <c r="H148" s="261"/>
      <c r="I148" s="261"/>
      <c r="J148" s="261"/>
      <c r="K148" s="261"/>
      <c r="L148" s="261"/>
      <c r="M148" s="273"/>
      <c r="N148" s="273"/>
      <c r="O148" s="273"/>
      <c r="P148" s="261"/>
      <c r="Q148" s="261"/>
      <c r="R148" s="261"/>
      <c r="S148" s="261"/>
      <c r="T148" s="261"/>
      <c r="U148" s="261"/>
      <c r="V148" s="261"/>
      <c r="W148" s="261"/>
      <c r="X148" s="261"/>
      <c r="Y148" s="261"/>
      <c r="Z148" s="261"/>
    </row>
    <row r="149" ht="12.75" customHeight="1">
      <c r="A149" s="261"/>
      <c r="B149" s="261"/>
      <c r="C149" s="261"/>
      <c r="D149" s="261"/>
      <c r="E149" s="261"/>
      <c r="F149" s="291"/>
      <c r="G149" s="261"/>
      <c r="H149" s="261"/>
      <c r="I149" s="261"/>
      <c r="J149" s="261"/>
      <c r="K149" s="261"/>
      <c r="L149" s="261"/>
      <c r="M149" s="273"/>
      <c r="N149" s="273"/>
      <c r="O149" s="273"/>
      <c r="P149" s="261"/>
      <c r="Q149" s="261"/>
      <c r="R149" s="261"/>
      <c r="S149" s="261"/>
      <c r="T149" s="261"/>
      <c r="U149" s="261"/>
      <c r="V149" s="261"/>
      <c r="W149" s="261"/>
      <c r="X149" s="261"/>
      <c r="Y149" s="261"/>
      <c r="Z149" s="261"/>
    </row>
    <row r="150" ht="12.75" customHeight="1">
      <c r="A150" s="261"/>
      <c r="B150" s="261"/>
      <c r="C150" s="261"/>
      <c r="D150" s="261"/>
      <c r="E150" s="261"/>
      <c r="F150" s="291"/>
      <c r="G150" s="261"/>
      <c r="H150" s="261"/>
      <c r="I150" s="261"/>
      <c r="J150" s="261"/>
      <c r="K150" s="261"/>
      <c r="L150" s="261"/>
      <c r="M150" s="273"/>
      <c r="N150" s="273"/>
      <c r="O150" s="273"/>
      <c r="P150" s="261"/>
      <c r="Q150" s="261"/>
      <c r="R150" s="261"/>
      <c r="S150" s="261"/>
      <c r="T150" s="261"/>
      <c r="U150" s="261"/>
      <c r="V150" s="261"/>
      <c r="W150" s="261"/>
      <c r="X150" s="261"/>
      <c r="Y150" s="261"/>
      <c r="Z150" s="261"/>
    </row>
    <row r="151" ht="12.75" customHeight="1">
      <c r="A151" s="261"/>
      <c r="B151" s="261"/>
      <c r="C151" s="261"/>
      <c r="D151" s="261"/>
      <c r="E151" s="261"/>
      <c r="F151" s="291"/>
      <c r="G151" s="261"/>
      <c r="H151" s="261"/>
      <c r="I151" s="261"/>
      <c r="J151" s="261"/>
      <c r="K151" s="261"/>
      <c r="L151" s="261"/>
      <c r="M151" s="273"/>
      <c r="N151" s="273"/>
      <c r="O151" s="273"/>
      <c r="P151" s="261"/>
      <c r="Q151" s="261"/>
      <c r="R151" s="261"/>
      <c r="S151" s="261"/>
      <c r="T151" s="261"/>
      <c r="U151" s="261"/>
      <c r="V151" s="261"/>
      <c r="W151" s="261"/>
      <c r="X151" s="261"/>
      <c r="Y151" s="261"/>
      <c r="Z151" s="261"/>
    </row>
    <row r="152" ht="12.75" customHeight="1">
      <c r="A152" s="261"/>
      <c r="B152" s="261"/>
      <c r="C152" s="261"/>
      <c r="D152" s="261"/>
      <c r="E152" s="261"/>
      <c r="F152" s="291"/>
      <c r="G152" s="261"/>
      <c r="H152" s="261"/>
      <c r="I152" s="261"/>
      <c r="J152" s="261"/>
      <c r="K152" s="261"/>
      <c r="L152" s="261"/>
      <c r="M152" s="273"/>
      <c r="N152" s="273"/>
      <c r="O152" s="273"/>
      <c r="P152" s="261"/>
      <c r="Q152" s="261"/>
      <c r="R152" s="261"/>
      <c r="S152" s="261"/>
      <c r="T152" s="261"/>
      <c r="U152" s="261"/>
      <c r="V152" s="261"/>
      <c r="W152" s="261"/>
      <c r="X152" s="261"/>
      <c r="Y152" s="261"/>
      <c r="Z152" s="261"/>
    </row>
    <row r="153" ht="12.75" customHeight="1">
      <c r="A153" s="261"/>
      <c r="B153" s="261"/>
      <c r="C153" s="261"/>
      <c r="D153" s="261"/>
      <c r="E153" s="261"/>
      <c r="F153" s="291"/>
      <c r="G153" s="261"/>
      <c r="H153" s="261"/>
      <c r="I153" s="261"/>
      <c r="J153" s="261"/>
      <c r="K153" s="261"/>
      <c r="L153" s="261"/>
      <c r="M153" s="273"/>
      <c r="N153" s="273"/>
      <c r="O153" s="273"/>
      <c r="P153" s="261"/>
      <c r="Q153" s="261"/>
      <c r="R153" s="261"/>
      <c r="S153" s="261"/>
      <c r="T153" s="261"/>
      <c r="U153" s="261"/>
      <c r="V153" s="261"/>
      <c r="W153" s="261"/>
      <c r="X153" s="261"/>
      <c r="Y153" s="261"/>
      <c r="Z153" s="261"/>
    </row>
    <row r="154" ht="12.75" customHeight="1">
      <c r="A154" s="261"/>
      <c r="B154" s="261"/>
      <c r="C154" s="261"/>
      <c r="D154" s="261"/>
      <c r="E154" s="261"/>
      <c r="F154" s="291"/>
      <c r="G154" s="261"/>
      <c r="H154" s="261"/>
      <c r="I154" s="261"/>
      <c r="J154" s="261"/>
      <c r="K154" s="261"/>
      <c r="L154" s="261"/>
      <c r="M154" s="273"/>
      <c r="N154" s="273"/>
      <c r="O154" s="273"/>
      <c r="P154" s="261"/>
      <c r="Q154" s="261"/>
      <c r="R154" s="261"/>
      <c r="S154" s="261"/>
      <c r="T154" s="261"/>
      <c r="U154" s="261"/>
      <c r="V154" s="261"/>
      <c r="W154" s="261"/>
      <c r="X154" s="261"/>
      <c r="Y154" s="261"/>
      <c r="Z154" s="261"/>
    </row>
    <row r="155" ht="12.75" customHeight="1">
      <c r="A155" s="261"/>
      <c r="B155" s="261"/>
      <c r="C155" s="261"/>
      <c r="D155" s="261"/>
      <c r="E155" s="261"/>
      <c r="F155" s="291"/>
      <c r="G155" s="261"/>
      <c r="H155" s="261"/>
      <c r="I155" s="261"/>
      <c r="J155" s="261"/>
      <c r="K155" s="261"/>
      <c r="L155" s="261"/>
      <c r="M155" s="273"/>
      <c r="N155" s="273"/>
      <c r="O155" s="273"/>
      <c r="P155" s="261"/>
      <c r="Q155" s="261"/>
      <c r="R155" s="261"/>
      <c r="S155" s="261"/>
      <c r="T155" s="261"/>
      <c r="U155" s="261"/>
      <c r="V155" s="261"/>
      <c r="W155" s="261"/>
      <c r="X155" s="261"/>
      <c r="Y155" s="261"/>
      <c r="Z155" s="261"/>
    </row>
    <row r="156" ht="12.75" customHeight="1">
      <c r="A156" s="261"/>
      <c r="B156" s="261"/>
      <c r="C156" s="261"/>
      <c r="D156" s="261"/>
      <c r="E156" s="261"/>
      <c r="F156" s="291"/>
      <c r="G156" s="261"/>
      <c r="H156" s="261"/>
      <c r="I156" s="261"/>
      <c r="J156" s="261"/>
      <c r="K156" s="261"/>
      <c r="L156" s="261"/>
      <c r="M156" s="273"/>
      <c r="N156" s="273"/>
      <c r="O156" s="273"/>
      <c r="P156" s="261"/>
      <c r="Q156" s="261"/>
      <c r="R156" s="261"/>
      <c r="S156" s="261"/>
      <c r="T156" s="261"/>
      <c r="U156" s="261"/>
      <c r="V156" s="261"/>
      <c r="W156" s="261"/>
      <c r="X156" s="261"/>
      <c r="Y156" s="261"/>
      <c r="Z156" s="261"/>
    </row>
    <row r="157" ht="12.75" customHeight="1">
      <c r="A157" s="261"/>
      <c r="B157" s="261"/>
      <c r="C157" s="261"/>
      <c r="D157" s="261"/>
      <c r="E157" s="261"/>
      <c r="F157" s="291"/>
      <c r="G157" s="261"/>
      <c r="H157" s="261"/>
      <c r="I157" s="261"/>
      <c r="J157" s="261"/>
      <c r="K157" s="261"/>
      <c r="L157" s="261"/>
      <c r="M157" s="273"/>
      <c r="N157" s="273"/>
      <c r="O157" s="273"/>
      <c r="P157" s="261"/>
      <c r="Q157" s="261"/>
      <c r="R157" s="261"/>
      <c r="S157" s="261"/>
      <c r="T157" s="261"/>
      <c r="U157" s="261"/>
      <c r="V157" s="261"/>
      <c r="W157" s="261"/>
      <c r="X157" s="261"/>
      <c r="Y157" s="261"/>
      <c r="Z157" s="261"/>
    </row>
    <row r="158" ht="12.75" customHeight="1">
      <c r="A158" s="261"/>
      <c r="B158" s="261"/>
      <c r="C158" s="261"/>
      <c r="D158" s="261"/>
      <c r="E158" s="261"/>
      <c r="F158" s="291"/>
      <c r="G158" s="261"/>
      <c r="H158" s="261"/>
      <c r="I158" s="261"/>
      <c r="J158" s="261"/>
      <c r="K158" s="261"/>
      <c r="L158" s="261"/>
      <c r="M158" s="273"/>
      <c r="N158" s="273"/>
      <c r="O158" s="273"/>
      <c r="P158" s="261"/>
      <c r="Q158" s="261"/>
      <c r="R158" s="261"/>
      <c r="S158" s="261"/>
      <c r="T158" s="261"/>
      <c r="U158" s="261"/>
      <c r="V158" s="261"/>
      <c r="W158" s="261"/>
      <c r="X158" s="261"/>
      <c r="Y158" s="261"/>
      <c r="Z158" s="261"/>
    </row>
    <row r="159" ht="12.75" customHeight="1">
      <c r="A159" s="261"/>
      <c r="B159" s="261"/>
      <c r="C159" s="261"/>
      <c r="D159" s="261"/>
      <c r="E159" s="261"/>
      <c r="F159" s="291"/>
      <c r="G159" s="261"/>
      <c r="H159" s="261"/>
      <c r="I159" s="261"/>
      <c r="J159" s="261"/>
      <c r="K159" s="261"/>
      <c r="L159" s="261"/>
      <c r="M159" s="273"/>
      <c r="N159" s="273"/>
      <c r="O159" s="273"/>
      <c r="P159" s="261"/>
      <c r="Q159" s="261"/>
      <c r="R159" s="261"/>
      <c r="S159" s="261"/>
      <c r="T159" s="261"/>
      <c r="U159" s="261"/>
      <c r="V159" s="261"/>
      <c r="W159" s="261"/>
      <c r="X159" s="261"/>
      <c r="Y159" s="261"/>
      <c r="Z159" s="261"/>
    </row>
    <row r="160" ht="12.75" customHeight="1">
      <c r="A160" s="261"/>
      <c r="B160" s="261"/>
      <c r="C160" s="261"/>
      <c r="D160" s="261"/>
      <c r="E160" s="261"/>
      <c r="F160" s="291"/>
      <c r="G160" s="261"/>
      <c r="H160" s="261"/>
      <c r="I160" s="261"/>
      <c r="J160" s="261"/>
      <c r="K160" s="261"/>
      <c r="L160" s="261"/>
      <c r="M160" s="273"/>
      <c r="N160" s="273"/>
      <c r="O160" s="273"/>
      <c r="P160" s="261"/>
      <c r="Q160" s="261"/>
      <c r="R160" s="261"/>
      <c r="S160" s="261"/>
      <c r="T160" s="261"/>
      <c r="U160" s="261"/>
      <c r="V160" s="261"/>
      <c r="W160" s="261"/>
      <c r="X160" s="261"/>
      <c r="Y160" s="261"/>
      <c r="Z160" s="261"/>
    </row>
    <row r="161" ht="12.75" customHeight="1">
      <c r="A161" s="261"/>
      <c r="B161" s="261"/>
      <c r="C161" s="261"/>
      <c r="D161" s="261"/>
      <c r="E161" s="261"/>
      <c r="F161" s="291"/>
      <c r="G161" s="261"/>
      <c r="H161" s="261"/>
      <c r="I161" s="261"/>
      <c r="J161" s="261"/>
      <c r="K161" s="261"/>
      <c r="L161" s="261"/>
      <c r="M161" s="273"/>
      <c r="N161" s="273"/>
      <c r="O161" s="273"/>
      <c r="P161" s="261"/>
      <c r="Q161" s="261"/>
      <c r="R161" s="261"/>
      <c r="S161" s="261"/>
      <c r="T161" s="261"/>
      <c r="U161" s="261"/>
      <c r="V161" s="261"/>
      <c r="W161" s="261"/>
      <c r="X161" s="261"/>
      <c r="Y161" s="261"/>
      <c r="Z161" s="261"/>
    </row>
    <row r="162" ht="12.75" customHeight="1">
      <c r="A162" s="261"/>
      <c r="B162" s="261"/>
      <c r="C162" s="261"/>
      <c r="D162" s="261"/>
      <c r="E162" s="261"/>
      <c r="F162" s="291"/>
      <c r="G162" s="261"/>
      <c r="H162" s="261"/>
      <c r="I162" s="261"/>
      <c r="J162" s="261"/>
      <c r="K162" s="261"/>
      <c r="L162" s="261"/>
      <c r="M162" s="273"/>
      <c r="N162" s="273"/>
      <c r="O162" s="273"/>
      <c r="P162" s="261"/>
      <c r="Q162" s="261"/>
      <c r="R162" s="261"/>
      <c r="S162" s="261"/>
      <c r="T162" s="261"/>
      <c r="U162" s="261"/>
      <c r="V162" s="261"/>
      <c r="W162" s="261"/>
      <c r="X162" s="261"/>
      <c r="Y162" s="261"/>
      <c r="Z162" s="261"/>
    </row>
    <row r="163" ht="12.75" customHeight="1">
      <c r="A163" s="261"/>
      <c r="B163" s="261"/>
      <c r="C163" s="261"/>
      <c r="D163" s="261"/>
      <c r="E163" s="261"/>
      <c r="F163" s="291"/>
      <c r="G163" s="261"/>
      <c r="H163" s="261"/>
      <c r="I163" s="261"/>
      <c r="J163" s="261"/>
      <c r="K163" s="261"/>
      <c r="L163" s="261"/>
      <c r="M163" s="273"/>
      <c r="N163" s="273"/>
      <c r="O163" s="273"/>
      <c r="P163" s="261"/>
      <c r="Q163" s="261"/>
      <c r="R163" s="261"/>
      <c r="S163" s="261"/>
      <c r="T163" s="261"/>
      <c r="U163" s="261"/>
      <c r="V163" s="261"/>
      <c r="W163" s="261"/>
      <c r="X163" s="261"/>
      <c r="Y163" s="261"/>
      <c r="Z163" s="261"/>
    </row>
    <row r="164" ht="12.75" customHeight="1">
      <c r="A164" s="261"/>
      <c r="B164" s="261"/>
      <c r="C164" s="261"/>
      <c r="D164" s="261"/>
      <c r="E164" s="261"/>
      <c r="F164" s="291"/>
      <c r="G164" s="261"/>
      <c r="H164" s="261"/>
      <c r="I164" s="261"/>
      <c r="J164" s="261"/>
      <c r="K164" s="261"/>
      <c r="L164" s="261"/>
      <c r="M164" s="273"/>
      <c r="N164" s="273"/>
      <c r="O164" s="273"/>
      <c r="P164" s="261"/>
      <c r="Q164" s="261"/>
      <c r="R164" s="261"/>
      <c r="S164" s="261"/>
      <c r="T164" s="261"/>
      <c r="U164" s="261"/>
      <c r="V164" s="261"/>
      <c r="W164" s="261"/>
      <c r="X164" s="261"/>
      <c r="Y164" s="261"/>
      <c r="Z164" s="261"/>
    </row>
    <row r="165" ht="12.75" customHeight="1">
      <c r="A165" s="261"/>
      <c r="B165" s="261"/>
      <c r="C165" s="261"/>
      <c r="D165" s="261"/>
      <c r="E165" s="261"/>
      <c r="F165" s="291"/>
      <c r="G165" s="261"/>
      <c r="H165" s="261"/>
      <c r="I165" s="261"/>
      <c r="J165" s="261"/>
      <c r="K165" s="261"/>
      <c r="L165" s="261"/>
      <c r="M165" s="273"/>
      <c r="N165" s="273"/>
      <c r="O165" s="273"/>
      <c r="P165" s="261"/>
      <c r="Q165" s="261"/>
      <c r="R165" s="261"/>
      <c r="S165" s="261"/>
      <c r="T165" s="261"/>
      <c r="U165" s="261"/>
      <c r="V165" s="261"/>
      <c r="W165" s="261"/>
      <c r="X165" s="261"/>
      <c r="Y165" s="261"/>
      <c r="Z165" s="261"/>
    </row>
    <row r="166" ht="12.75" customHeight="1">
      <c r="A166" s="261"/>
      <c r="B166" s="261"/>
      <c r="C166" s="261"/>
      <c r="D166" s="261"/>
      <c r="E166" s="261"/>
      <c r="F166" s="291"/>
      <c r="G166" s="261"/>
      <c r="H166" s="261"/>
      <c r="I166" s="261"/>
      <c r="J166" s="261"/>
      <c r="K166" s="261"/>
      <c r="L166" s="261"/>
      <c r="M166" s="273"/>
      <c r="N166" s="273"/>
      <c r="O166" s="273"/>
      <c r="P166" s="261"/>
      <c r="Q166" s="261"/>
      <c r="R166" s="261"/>
      <c r="S166" s="261"/>
      <c r="T166" s="261"/>
      <c r="U166" s="261"/>
      <c r="V166" s="261"/>
      <c r="W166" s="261"/>
      <c r="X166" s="261"/>
      <c r="Y166" s="261"/>
      <c r="Z166" s="261"/>
    </row>
    <row r="167" ht="12.75" customHeight="1">
      <c r="A167" s="261"/>
      <c r="B167" s="261"/>
      <c r="C167" s="261"/>
      <c r="D167" s="261"/>
      <c r="E167" s="261"/>
      <c r="F167" s="291"/>
      <c r="G167" s="261"/>
      <c r="H167" s="261"/>
      <c r="I167" s="261"/>
      <c r="J167" s="261"/>
      <c r="K167" s="261"/>
      <c r="L167" s="261"/>
      <c r="M167" s="273"/>
      <c r="N167" s="273"/>
      <c r="O167" s="273"/>
      <c r="P167" s="261"/>
      <c r="Q167" s="261"/>
      <c r="R167" s="261"/>
      <c r="S167" s="261"/>
      <c r="T167" s="261"/>
      <c r="U167" s="261"/>
      <c r="V167" s="261"/>
      <c r="W167" s="261"/>
      <c r="X167" s="261"/>
      <c r="Y167" s="261"/>
      <c r="Z167" s="261"/>
    </row>
    <row r="168" ht="12.75" customHeight="1">
      <c r="A168" s="261"/>
      <c r="B168" s="261"/>
      <c r="C168" s="261"/>
      <c r="D168" s="261"/>
      <c r="E168" s="261"/>
      <c r="F168" s="291"/>
      <c r="G168" s="261"/>
      <c r="H168" s="261"/>
      <c r="I168" s="261"/>
      <c r="J168" s="261"/>
      <c r="K168" s="261"/>
      <c r="L168" s="261"/>
      <c r="M168" s="273"/>
      <c r="N168" s="273"/>
      <c r="O168" s="273"/>
      <c r="P168" s="261"/>
      <c r="Q168" s="261"/>
      <c r="R168" s="261"/>
      <c r="S168" s="261"/>
      <c r="T168" s="261"/>
      <c r="U168" s="261"/>
      <c r="V168" s="261"/>
      <c r="W168" s="261"/>
      <c r="X168" s="261"/>
      <c r="Y168" s="261"/>
      <c r="Z168" s="261"/>
    </row>
    <row r="169" ht="12.75" customHeight="1">
      <c r="A169" s="261"/>
      <c r="B169" s="261"/>
      <c r="C169" s="261"/>
      <c r="D169" s="261"/>
      <c r="E169" s="261"/>
      <c r="F169" s="291"/>
      <c r="G169" s="261"/>
      <c r="H169" s="261"/>
      <c r="I169" s="261"/>
      <c r="J169" s="261"/>
      <c r="K169" s="261"/>
      <c r="L169" s="261"/>
      <c r="M169" s="273"/>
      <c r="N169" s="273"/>
      <c r="O169" s="273"/>
      <c r="P169" s="261"/>
      <c r="Q169" s="261"/>
      <c r="R169" s="261"/>
      <c r="S169" s="261"/>
      <c r="T169" s="261"/>
      <c r="U169" s="261"/>
      <c r="V169" s="261"/>
      <c r="W169" s="261"/>
      <c r="X169" s="261"/>
      <c r="Y169" s="261"/>
      <c r="Z169" s="261"/>
    </row>
    <row r="170" ht="12.75" customHeight="1">
      <c r="A170" s="261"/>
      <c r="B170" s="261"/>
      <c r="C170" s="261"/>
      <c r="D170" s="261"/>
      <c r="E170" s="261"/>
      <c r="F170" s="291"/>
      <c r="G170" s="261"/>
      <c r="H170" s="261"/>
      <c r="I170" s="261"/>
      <c r="J170" s="261"/>
      <c r="K170" s="261"/>
      <c r="L170" s="261"/>
      <c r="M170" s="273"/>
      <c r="N170" s="273"/>
      <c r="O170" s="273"/>
      <c r="P170" s="261"/>
      <c r="Q170" s="261"/>
      <c r="R170" s="261"/>
      <c r="S170" s="261"/>
      <c r="T170" s="261"/>
      <c r="U170" s="261"/>
      <c r="V170" s="261"/>
      <c r="W170" s="261"/>
      <c r="X170" s="261"/>
      <c r="Y170" s="261"/>
      <c r="Z170" s="261"/>
    </row>
    <row r="171" ht="12.75" customHeight="1">
      <c r="A171" s="261"/>
      <c r="B171" s="261"/>
      <c r="C171" s="261"/>
      <c r="D171" s="261"/>
      <c r="E171" s="261"/>
      <c r="F171" s="291"/>
      <c r="G171" s="261"/>
      <c r="H171" s="261"/>
      <c r="I171" s="261"/>
      <c r="J171" s="261"/>
      <c r="K171" s="261"/>
      <c r="L171" s="261"/>
      <c r="M171" s="273"/>
      <c r="N171" s="273"/>
      <c r="O171" s="273"/>
      <c r="P171" s="261"/>
      <c r="Q171" s="261"/>
      <c r="R171" s="261"/>
      <c r="S171" s="261"/>
      <c r="T171" s="261"/>
      <c r="U171" s="261"/>
      <c r="V171" s="261"/>
      <c r="W171" s="261"/>
      <c r="X171" s="261"/>
      <c r="Y171" s="261"/>
      <c r="Z171" s="261"/>
    </row>
    <row r="172" ht="12.75" customHeight="1">
      <c r="A172" s="261"/>
      <c r="B172" s="261"/>
      <c r="C172" s="261"/>
      <c r="D172" s="261"/>
      <c r="E172" s="261"/>
      <c r="F172" s="291"/>
      <c r="G172" s="261"/>
      <c r="H172" s="261"/>
      <c r="I172" s="261"/>
      <c r="J172" s="261"/>
      <c r="K172" s="261"/>
      <c r="L172" s="261"/>
      <c r="M172" s="273"/>
      <c r="N172" s="273"/>
      <c r="O172" s="273"/>
      <c r="P172" s="261"/>
      <c r="Q172" s="261"/>
      <c r="R172" s="261"/>
      <c r="S172" s="261"/>
      <c r="T172" s="261"/>
      <c r="U172" s="261"/>
      <c r="V172" s="261"/>
      <c r="W172" s="261"/>
      <c r="X172" s="261"/>
      <c r="Y172" s="261"/>
      <c r="Z172" s="261"/>
    </row>
    <row r="173" ht="12.75" customHeight="1">
      <c r="A173" s="261"/>
      <c r="B173" s="261"/>
      <c r="C173" s="261"/>
      <c r="D173" s="261"/>
      <c r="E173" s="261"/>
      <c r="F173" s="291"/>
      <c r="G173" s="261"/>
      <c r="H173" s="261"/>
      <c r="I173" s="261"/>
      <c r="J173" s="261"/>
      <c r="K173" s="261"/>
      <c r="L173" s="261"/>
      <c r="M173" s="273"/>
      <c r="N173" s="273"/>
      <c r="O173" s="273"/>
      <c r="P173" s="261"/>
      <c r="Q173" s="261"/>
      <c r="R173" s="261"/>
      <c r="S173" s="261"/>
      <c r="T173" s="261"/>
      <c r="U173" s="261"/>
      <c r="V173" s="261"/>
      <c r="W173" s="261"/>
      <c r="X173" s="261"/>
      <c r="Y173" s="261"/>
      <c r="Z173" s="261"/>
    </row>
    <row r="174" ht="12.75" customHeight="1">
      <c r="A174" s="261"/>
      <c r="B174" s="261"/>
      <c r="C174" s="261"/>
      <c r="D174" s="261"/>
      <c r="E174" s="261"/>
      <c r="F174" s="291"/>
      <c r="G174" s="261"/>
      <c r="H174" s="261"/>
      <c r="I174" s="261"/>
      <c r="J174" s="261"/>
      <c r="K174" s="261"/>
      <c r="L174" s="261"/>
      <c r="M174" s="273"/>
      <c r="N174" s="273"/>
      <c r="O174" s="273"/>
      <c r="P174" s="261"/>
      <c r="Q174" s="261"/>
      <c r="R174" s="261"/>
      <c r="S174" s="261"/>
      <c r="T174" s="261"/>
      <c r="U174" s="261"/>
      <c r="V174" s="261"/>
      <c r="W174" s="261"/>
      <c r="X174" s="261"/>
      <c r="Y174" s="261"/>
      <c r="Z174" s="261"/>
    </row>
    <row r="175" ht="12.75" customHeight="1">
      <c r="A175" s="261"/>
      <c r="B175" s="261"/>
      <c r="C175" s="261"/>
      <c r="D175" s="261"/>
      <c r="E175" s="261"/>
      <c r="F175" s="291"/>
      <c r="G175" s="261"/>
      <c r="H175" s="261"/>
      <c r="I175" s="261"/>
      <c r="J175" s="261"/>
      <c r="K175" s="261"/>
      <c r="L175" s="261"/>
      <c r="M175" s="273"/>
      <c r="N175" s="273"/>
      <c r="O175" s="273"/>
      <c r="P175" s="261"/>
      <c r="Q175" s="261"/>
      <c r="R175" s="261"/>
      <c r="S175" s="261"/>
      <c r="T175" s="261"/>
      <c r="U175" s="261"/>
      <c r="V175" s="261"/>
      <c r="W175" s="261"/>
      <c r="X175" s="261"/>
      <c r="Y175" s="261"/>
      <c r="Z175" s="261"/>
    </row>
    <row r="176" ht="12.75" customHeight="1">
      <c r="A176" s="261"/>
      <c r="B176" s="261"/>
      <c r="C176" s="261"/>
      <c r="D176" s="261"/>
      <c r="E176" s="261"/>
      <c r="F176" s="291"/>
      <c r="G176" s="261"/>
      <c r="H176" s="261"/>
      <c r="I176" s="261"/>
      <c r="J176" s="261"/>
      <c r="K176" s="261"/>
      <c r="L176" s="261"/>
      <c r="M176" s="273"/>
      <c r="N176" s="273"/>
      <c r="O176" s="273"/>
      <c r="P176" s="261"/>
      <c r="Q176" s="261"/>
      <c r="R176" s="261"/>
      <c r="S176" s="261"/>
      <c r="T176" s="261"/>
      <c r="U176" s="261"/>
      <c r="V176" s="261"/>
      <c r="W176" s="261"/>
      <c r="X176" s="261"/>
      <c r="Y176" s="261"/>
      <c r="Z176" s="261"/>
    </row>
    <row r="177" ht="12.75" customHeight="1">
      <c r="A177" s="261"/>
      <c r="B177" s="261"/>
      <c r="C177" s="261"/>
      <c r="D177" s="261"/>
      <c r="E177" s="261"/>
      <c r="F177" s="291"/>
      <c r="G177" s="261"/>
      <c r="H177" s="261"/>
      <c r="I177" s="261"/>
      <c r="J177" s="261"/>
      <c r="K177" s="261"/>
      <c r="L177" s="261"/>
      <c r="M177" s="273"/>
      <c r="N177" s="273"/>
      <c r="O177" s="273"/>
      <c r="P177" s="261"/>
      <c r="Q177" s="261"/>
      <c r="R177" s="261"/>
      <c r="S177" s="261"/>
      <c r="T177" s="261"/>
      <c r="U177" s="261"/>
      <c r="V177" s="261"/>
      <c r="W177" s="261"/>
      <c r="X177" s="261"/>
      <c r="Y177" s="261"/>
      <c r="Z177" s="261"/>
    </row>
    <row r="178" ht="12.75" customHeight="1">
      <c r="A178" s="261"/>
      <c r="B178" s="261"/>
      <c r="C178" s="261"/>
      <c r="D178" s="261"/>
      <c r="E178" s="261"/>
      <c r="F178" s="291"/>
      <c r="G178" s="261"/>
      <c r="H178" s="261"/>
      <c r="I178" s="261"/>
      <c r="J178" s="261"/>
      <c r="K178" s="261"/>
      <c r="L178" s="261"/>
      <c r="M178" s="273"/>
      <c r="N178" s="273"/>
      <c r="O178" s="273"/>
      <c r="P178" s="261"/>
      <c r="Q178" s="261"/>
      <c r="R178" s="261"/>
      <c r="S178" s="261"/>
      <c r="T178" s="261"/>
      <c r="U178" s="261"/>
      <c r="V178" s="261"/>
      <c r="W178" s="261"/>
      <c r="X178" s="261"/>
      <c r="Y178" s="261"/>
      <c r="Z178" s="261"/>
    </row>
    <row r="179" ht="12.75" customHeight="1">
      <c r="A179" s="261"/>
      <c r="B179" s="261"/>
      <c r="C179" s="261"/>
      <c r="D179" s="261"/>
      <c r="E179" s="261"/>
      <c r="F179" s="291"/>
      <c r="G179" s="261"/>
      <c r="H179" s="261"/>
      <c r="I179" s="261"/>
      <c r="J179" s="261"/>
      <c r="K179" s="261"/>
      <c r="L179" s="261"/>
      <c r="M179" s="273"/>
      <c r="N179" s="273"/>
      <c r="O179" s="273"/>
      <c r="P179" s="261"/>
      <c r="Q179" s="261"/>
      <c r="R179" s="261"/>
      <c r="S179" s="261"/>
      <c r="T179" s="261"/>
      <c r="U179" s="261"/>
      <c r="V179" s="261"/>
      <c r="W179" s="261"/>
      <c r="X179" s="261"/>
      <c r="Y179" s="261"/>
      <c r="Z179" s="261"/>
    </row>
    <row r="180" ht="12.75" customHeight="1">
      <c r="A180" s="261"/>
      <c r="B180" s="261"/>
      <c r="C180" s="261"/>
      <c r="D180" s="261"/>
      <c r="E180" s="261"/>
      <c r="F180" s="291"/>
      <c r="G180" s="261"/>
      <c r="H180" s="261"/>
      <c r="I180" s="261"/>
      <c r="J180" s="261"/>
      <c r="K180" s="261"/>
      <c r="L180" s="261"/>
      <c r="M180" s="273"/>
      <c r="N180" s="273"/>
      <c r="O180" s="273"/>
      <c r="P180" s="261"/>
      <c r="Q180" s="261"/>
      <c r="R180" s="261"/>
      <c r="S180" s="261"/>
      <c r="T180" s="261"/>
      <c r="U180" s="261"/>
      <c r="V180" s="261"/>
      <c r="W180" s="261"/>
      <c r="X180" s="261"/>
      <c r="Y180" s="261"/>
      <c r="Z180" s="261"/>
    </row>
    <row r="181" ht="12.75" customHeight="1">
      <c r="A181" s="261"/>
      <c r="B181" s="261"/>
      <c r="C181" s="261"/>
      <c r="D181" s="261"/>
      <c r="E181" s="261"/>
      <c r="F181" s="291"/>
      <c r="G181" s="261"/>
      <c r="H181" s="261"/>
      <c r="I181" s="261"/>
      <c r="J181" s="261"/>
      <c r="K181" s="261"/>
      <c r="L181" s="261"/>
      <c r="M181" s="273"/>
      <c r="N181" s="273"/>
      <c r="O181" s="273"/>
      <c r="P181" s="261"/>
      <c r="Q181" s="261"/>
      <c r="R181" s="261"/>
      <c r="S181" s="261"/>
      <c r="T181" s="261"/>
      <c r="U181" s="261"/>
      <c r="V181" s="261"/>
      <c r="W181" s="261"/>
      <c r="X181" s="261"/>
      <c r="Y181" s="261"/>
      <c r="Z181" s="261"/>
    </row>
    <row r="182" ht="12.75" customHeight="1">
      <c r="A182" s="261"/>
      <c r="B182" s="261"/>
      <c r="C182" s="261"/>
      <c r="D182" s="261"/>
      <c r="E182" s="261"/>
      <c r="F182" s="291"/>
      <c r="G182" s="261"/>
      <c r="H182" s="261"/>
      <c r="I182" s="261"/>
      <c r="J182" s="261"/>
      <c r="K182" s="261"/>
      <c r="L182" s="261"/>
      <c r="M182" s="273"/>
      <c r="N182" s="273"/>
      <c r="O182" s="273"/>
      <c r="P182" s="261"/>
      <c r="Q182" s="261"/>
      <c r="R182" s="261"/>
      <c r="S182" s="261"/>
      <c r="T182" s="261"/>
      <c r="U182" s="261"/>
      <c r="V182" s="261"/>
      <c r="W182" s="261"/>
      <c r="X182" s="261"/>
      <c r="Y182" s="261"/>
      <c r="Z182" s="261"/>
    </row>
    <row r="183" ht="12.75" customHeight="1">
      <c r="A183" s="261"/>
      <c r="B183" s="261"/>
      <c r="C183" s="261"/>
      <c r="D183" s="261"/>
      <c r="E183" s="261"/>
      <c r="F183" s="291"/>
      <c r="G183" s="261"/>
      <c r="H183" s="261"/>
      <c r="I183" s="261"/>
      <c r="J183" s="261"/>
      <c r="K183" s="261"/>
      <c r="L183" s="261"/>
      <c r="M183" s="273"/>
      <c r="N183" s="273"/>
      <c r="O183" s="273"/>
      <c r="P183" s="261"/>
      <c r="Q183" s="261"/>
      <c r="R183" s="261"/>
      <c r="S183" s="261"/>
      <c r="T183" s="261"/>
      <c r="U183" s="261"/>
      <c r="V183" s="261"/>
      <c r="W183" s="261"/>
      <c r="X183" s="261"/>
      <c r="Y183" s="261"/>
      <c r="Z183" s="261"/>
    </row>
    <row r="184" ht="12.75" customHeight="1">
      <c r="A184" s="261"/>
      <c r="B184" s="261"/>
      <c r="C184" s="261"/>
      <c r="D184" s="261"/>
      <c r="E184" s="261"/>
      <c r="F184" s="291"/>
      <c r="G184" s="261"/>
      <c r="H184" s="261"/>
      <c r="I184" s="261"/>
      <c r="J184" s="261"/>
      <c r="K184" s="261"/>
      <c r="L184" s="261"/>
      <c r="M184" s="273"/>
      <c r="N184" s="273"/>
      <c r="O184" s="273"/>
      <c r="P184" s="261"/>
      <c r="Q184" s="261"/>
      <c r="R184" s="261"/>
      <c r="S184" s="261"/>
      <c r="T184" s="261"/>
      <c r="U184" s="261"/>
      <c r="V184" s="261"/>
      <c r="W184" s="261"/>
      <c r="X184" s="261"/>
      <c r="Y184" s="261"/>
      <c r="Z184" s="261"/>
    </row>
    <row r="185" ht="12.75" customHeight="1">
      <c r="A185" s="261"/>
      <c r="B185" s="261"/>
      <c r="C185" s="261"/>
      <c r="D185" s="261"/>
      <c r="E185" s="261"/>
      <c r="F185" s="291"/>
      <c r="G185" s="261"/>
      <c r="H185" s="261"/>
      <c r="I185" s="261"/>
      <c r="J185" s="261"/>
      <c r="K185" s="261"/>
      <c r="L185" s="261"/>
      <c r="M185" s="273"/>
      <c r="N185" s="273"/>
      <c r="O185" s="273"/>
      <c r="P185" s="261"/>
      <c r="Q185" s="261"/>
      <c r="R185" s="261"/>
      <c r="S185" s="261"/>
      <c r="T185" s="261"/>
      <c r="U185" s="261"/>
      <c r="V185" s="261"/>
      <c r="W185" s="261"/>
      <c r="X185" s="261"/>
      <c r="Y185" s="261"/>
      <c r="Z185" s="261"/>
    </row>
    <row r="186" ht="12.75" customHeight="1">
      <c r="A186" s="261"/>
      <c r="B186" s="261"/>
      <c r="C186" s="261"/>
      <c r="D186" s="261"/>
      <c r="E186" s="261"/>
      <c r="F186" s="291"/>
      <c r="G186" s="261"/>
      <c r="H186" s="261"/>
      <c r="I186" s="261"/>
      <c r="J186" s="261"/>
      <c r="K186" s="261"/>
      <c r="L186" s="261"/>
      <c r="M186" s="273"/>
      <c r="N186" s="273"/>
      <c r="O186" s="273"/>
      <c r="P186" s="261"/>
      <c r="Q186" s="261"/>
      <c r="R186" s="261"/>
      <c r="S186" s="261"/>
      <c r="T186" s="261"/>
      <c r="U186" s="261"/>
      <c r="V186" s="261"/>
      <c r="W186" s="261"/>
      <c r="X186" s="261"/>
      <c r="Y186" s="261"/>
      <c r="Z186" s="261"/>
    </row>
    <row r="187" ht="12.75" customHeight="1">
      <c r="A187" s="261"/>
      <c r="B187" s="261"/>
      <c r="C187" s="261"/>
      <c r="D187" s="261"/>
      <c r="E187" s="261"/>
      <c r="F187" s="291"/>
      <c r="G187" s="261"/>
      <c r="H187" s="261"/>
      <c r="I187" s="261"/>
      <c r="J187" s="261"/>
      <c r="K187" s="261"/>
      <c r="L187" s="261"/>
      <c r="M187" s="273"/>
      <c r="N187" s="273"/>
      <c r="O187" s="273"/>
      <c r="P187" s="261"/>
      <c r="Q187" s="261"/>
      <c r="R187" s="261"/>
      <c r="S187" s="261"/>
      <c r="T187" s="261"/>
      <c r="U187" s="261"/>
      <c r="V187" s="261"/>
      <c r="W187" s="261"/>
      <c r="X187" s="261"/>
      <c r="Y187" s="261"/>
      <c r="Z187" s="261"/>
    </row>
    <row r="188" ht="12.75" customHeight="1">
      <c r="A188" s="261"/>
      <c r="B188" s="261"/>
      <c r="C188" s="261"/>
      <c r="D188" s="261"/>
      <c r="E188" s="261"/>
      <c r="F188" s="291"/>
      <c r="G188" s="261"/>
      <c r="H188" s="261"/>
      <c r="I188" s="261"/>
      <c r="J188" s="261"/>
      <c r="K188" s="261"/>
      <c r="L188" s="261"/>
      <c r="M188" s="273"/>
      <c r="N188" s="273"/>
      <c r="O188" s="273"/>
      <c r="P188" s="261"/>
      <c r="Q188" s="261"/>
      <c r="R188" s="261"/>
      <c r="S188" s="261"/>
      <c r="T188" s="261"/>
      <c r="U188" s="261"/>
      <c r="V188" s="261"/>
      <c r="W188" s="261"/>
      <c r="X188" s="261"/>
      <c r="Y188" s="261"/>
      <c r="Z188" s="261"/>
    </row>
    <row r="189" ht="12.75" customHeight="1">
      <c r="A189" s="261"/>
      <c r="B189" s="261"/>
      <c r="C189" s="261"/>
      <c r="D189" s="261"/>
      <c r="E189" s="261"/>
      <c r="F189" s="291"/>
      <c r="G189" s="261"/>
      <c r="H189" s="261"/>
      <c r="I189" s="261"/>
      <c r="J189" s="261"/>
      <c r="K189" s="261"/>
      <c r="L189" s="261"/>
      <c r="M189" s="273"/>
      <c r="N189" s="273"/>
      <c r="O189" s="273"/>
      <c r="P189" s="261"/>
      <c r="Q189" s="261"/>
      <c r="R189" s="261"/>
      <c r="S189" s="261"/>
      <c r="T189" s="261"/>
      <c r="U189" s="261"/>
      <c r="V189" s="261"/>
      <c r="W189" s="261"/>
      <c r="X189" s="261"/>
      <c r="Y189" s="261"/>
      <c r="Z189" s="261"/>
    </row>
    <row r="190" ht="12.75" customHeight="1">
      <c r="A190" s="261"/>
      <c r="B190" s="261"/>
      <c r="C190" s="261"/>
      <c r="D190" s="261"/>
      <c r="E190" s="261"/>
      <c r="F190" s="291"/>
      <c r="G190" s="261"/>
      <c r="H190" s="261"/>
      <c r="I190" s="261"/>
      <c r="J190" s="261"/>
      <c r="K190" s="261"/>
      <c r="L190" s="261"/>
      <c r="M190" s="273"/>
      <c r="N190" s="273"/>
      <c r="O190" s="273"/>
      <c r="P190" s="261"/>
      <c r="Q190" s="261"/>
      <c r="R190" s="261"/>
      <c r="S190" s="261"/>
      <c r="T190" s="261"/>
      <c r="U190" s="261"/>
      <c r="V190" s="261"/>
      <c r="W190" s="261"/>
      <c r="X190" s="261"/>
      <c r="Y190" s="261"/>
      <c r="Z190" s="261"/>
    </row>
    <row r="191" ht="12.75" customHeight="1">
      <c r="A191" s="261"/>
      <c r="B191" s="261"/>
      <c r="C191" s="261"/>
      <c r="D191" s="261"/>
      <c r="E191" s="261"/>
      <c r="F191" s="291"/>
      <c r="G191" s="261"/>
      <c r="H191" s="261"/>
      <c r="I191" s="261"/>
      <c r="J191" s="261"/>
      <c r="K191" s="261"/>
      <c r="L191" s="261"/>
      <c r="M191" s="273"/>
      <c r="N191" s="273"/>
      <c r="O191" s="273"/>
      <c r="P191" s="261"/>
      <c r="Q191" s="261"/>
      <c r="R191" s="261"/>
      <c r="S191" s="261"/>
      <c r="T191" s="261"/>
      <c r="U191" s="261"/>
      <c r="V191" s="261"/>
      <c r="W191" s="261"/>
      <c r="X191" s="261"/>
      <c r="Y191" s="261"/>
      <c r="Z191" s="261"/>
    </row>
    <row r="192" ht="12.75" customHeight="1">
      <c r="A192" s="261"/>
      <c r="B192" s="261"/>
      <c r="C192" s="261"/>
      <c r="D192" s="261"/>
      <c r="E192" s="261"/>
      <c r="F192" s="291"/>
      <c r="G192" s="261"/>
      <c r="H192" s="261"/>
      <c r="I192" s="261"/>
      <c r="J192" s="261"/>
      <c r="K192" s="261"/>
      <c r="L192" s="261"/>
      <c r="M192" s="273"/>
      <c r="N192" s="273"/>
      <c r="O192" s="273"/>
      <c r="P192" s="261"/>
      <c r="Q192" s="261"/>
      <c r="R192" s="261"/>
      <c r="S192" s="261"/>
      <c r="T192" s="261"/>
      <c r="U192" s="261"/>
      <c r="V192" s="261"/>
      <c r="W192" s="261"/>
      <c r="X192" s="261"/>
      <c r="Y192" s="261"/>
      <c r="Z192" s="261"/>
    </row>
    <row r="193" ht="12.75" customHeight="1">
      <c r="A193" s="261"/>
      <c r="B193" s="261"/>
      <c r="C193" s="261"/>
      <c r="D193" s="261"/>
      <c r="E193" s="261"/>
      <c r="F193" s="291"/>
      <c r="G193" s="261"/>
      <c r="H193" s="261"/>
      <c r="I193" s="261"/>
      <c r="J193" s="261"/>
      <c r="K193" s="261"/>
      <c r="L193" s="261"/>
      <c r="M193" s="273"/>
      <c r="N193" s="273"/>
      <c r="O193" s="273"/>
      <c r="P193" s="261"/>
      <c r="Q193" s="261"/>
      <c r="R193" s="261"/>
      <c r="S193" s="261"/>
      <c r="T193" s="261"/>
      <c r="U193" s="261"/>
      <c r="V193" s="261"/>
      <c r="W193" s="261"/>
      <c r="X193" s="261"/>
      <c r="Y193" s="261"/>
      <c r="Z193" s="261"/>
    </row>
    <row r="194" ht="12.75" customHeight="1">
      <c r="A194" s="261"/>
      <c r="B194" s="261"/>
      <c r="C194" s="261"/>
      <c r="D194" s="261"/>
      <c r="E194" s="261"/>
      <c r="F194" s="291"/>
      <c r="G194" s="261"/>
      <c r="H194" s="261"/>
      <c r="I194" s="261"/>
      <c r="J194" s="261"/>
      <c r="K194" s="261"/>
      <c r="L194" s="261"/>
      <c r="M194" s="273"/>
      <c r="N194" s="273"/>
      <c r="O194" s="273"/>
      <c r="P194" s="261"/>
      <c r="Q194" s="261"/>
      <c r="R194" s="261"/>
      <c r="S194" s="261"/>
      <c r="T194" s="261"/>
      <c r="U194" s="261"/>
      <c r="V194" s="261"/>
      <c r="W194" s="261"/>
      <c r="X194" s="261"/>
      <c r="Y194" s="261"/>
      <c r="Z194" s="261"/>
    </row>
    <row r="195" ht="12.75" customHeight="1">
      <c r="A195" s="261"/>
      <c r="B195" s="261"/>
      <c r="C195" s="261"/>
      <c r="D195" s="261"/>
      <c r="E195" s="261"/>
      <c r="F195" s="291"/>
      <c r="G195" s="261"/>
      <c r="H195" s="261"/>
      <c r="I195" s="261"/>
      <c r="J195" s="261"/>
      <c r="K195" s="261"/>
      <c r="L195" s="261"/>
      <c r="M195" s="273"/>
      <c r="N195" s="273"/>
      <c r="O195" s="273"/>
      <c r="P195" s="261"/>
      <c r="Q195" s="261"/>
      <c r="R195" s="261"/>
      <c r="S195" s="261"/>
      <c r="T195" s="261"/>
      <c r="U195" s="261"/>
      <c r="V195" s="261"/>
      <c r="W195" s="261"/>
      <c r="X195" s="261"/>
      <c r="Y195" s="261"/>
      <c r="Z195" s="261"/>
    </row>
    <row r="196" ht="12.75" customHeight="1">
      <c r="A196" s="261"/>
      <c r="B196" s="261"/>
      <c r="C196" s="261"/>
      <c r="D196" s="261"/>
      <c r="E196" s="261"/>
      <c r="F196" s="291"/>
      <c r="G196" s="261"/>
      <c r="H196" s="261"/>
      <c r="I196" s="261"/>
      <c r="J196" s="261"/>
      <c r="K196" s="261"/>
      <c r="L196" s="261"/>
      <c r="M196" s="273"/>
      <c r="N196" s="273"/>
      <c r="O196" s="273"/>
      <c r="P196" s="261"/>
      <c r="Q196" s="261"/>
      <c r="R196" s="261"/>
      <c r="S196" s="261"/>
      <c r="T196" s="261"/>
      <c r="U196" s="261"/>
      <c r="V196" s="261"/>
      <c r="W196" s="261"/>
      <c r="X196" s="261"/>
      <c r="Y196" s="261"/>
      <c r="Z196" s="261"/>
    </row>
    <row r="197" ht="12.75" customHeight="1">
      <c r="A197" s="261"/>
      <c r="B197" s="261"/>
      <c r="C197" s="261"/>
      <c r="D197" s="261"/>
      <c r="E197" s="261"/>
      <c r="F197" s="291"/>
      <c r="G197" s="261"/>
      <c r="H197" s="261"/>
      <c r="I197" s="261"/>
      <c r="J197" s="261"/>
      <c r="K197" s="261"/>
      <c r="L197" s="261"/>
      <c r="M197" s="273"/>
      <c r="N197" s="273"/>
      <c r="O197" s="273"/>
      <c r="P197" s="261"/>
      <c r="Q197" s="261"/>
      <c r="R197" s="261"/>
      <c r="S197" s="261"/>
      <c r="T197" s="261"/>
      <c r="U197" s="261"/>
      <c r="V197" s="261"/>
      <c r="W197" s="261"/>
      <c r="X197" s="261"/>
      <c r="Y197" s="261"/>
      <c r="Z197" s="261"/>
    </row>
    <row r="198" ht="12.75" customHeight="1">
      <c r="A198" s="261"/>
      <c r="B198" s="261"/>
      <c r="C198" s="261"/>
      <c r="D198" s="261"/>
      <c r="E198" s="261"/>
      <c r="F198" s="291"/>
      <c r="G198" s="261"/>
      <c r="H198" s="261"/>
      <c r="I198" s="261"/>
      <c r="J198" s="261"/>
      <c r="K198" s="261"/>
      <c r="L198" s="261"/>
      <c r="M198" s="273"/>
      <c r="N198" s="273"/>
      <c r="O198" s="273"/>
      <c r="P198" s="261"/>
      <c r="Q198" s="261"/>
      <c r="R198" s="261"/>
      <c r="S198" s="261"/>
      <c r="T198" s="261"/>
      <c r="U198" s="261"/>
      <c r="V198" s="261"/>
      <c r="W198" s="261"/>
      <c r="X198" s="261"/>
      <c r="Y198" s="261"/>
      <c r="Z198" s="261"/>
    </row>
    <row r="199" ht="12.75" customHeight="1">
      <c r="A199" s="261"/>
      <c r="B199" s="261"/>
      <c r="C199" s="261"/>
      <c r="D199" s="261"/>
      <c r="E199" s="261"/>
      <c r="F199" s="291"/>
      <c r="G199" s="261"/>
      <c r="H199" s="261"/>
      <c r="I199" s="261"/>
      <c r="J199" s="261"/>
      <c r="K199" s="261"/>
      <c r="L199" s="261"/>
      <c r="M199" s="273"/>
      <c r="N199" s="273"/>
      <c r="O199" s="273"/>
      <c r="P199" s="261"/>
      <c r="Q199" s="261"/>
      <c r="R199" s="261"/>
      <c r="S199" s="261"/>
      <c r="T199" s="261"/>
      <c r="U199" s="261"/>
      <c r="V199" s="261"/>
      <c r="W199" s="261"/>
      <c r="X199" s="261"/>
      <c r="Y199" s="261"/>
      <c r="Z199" s="261"/>
    </row>
    <row r="200" ht="12.75" customHeight="1">
      <c r="A200" s="261"/>
      <c r="B200" s="261"/>
      <c r="C200" s="261"/>
      <c r="D200" s="261"/>
      <c r="E200" s="261"/>
      <c r="F200" s="291"/>
      <c r="G200" s="261"/>
      <c r="H200" s="261"/>
      <c r="I200" s="261"/>
      <c r="J200" s="261"/>
      <c r="K200" s="261"/>
      <c r="L200" s="261"/>
      <c r="M200" s="273"/>
      <c r="N200" s="273"/>
      <c r="O200" s="273"/>
      <c r="P200" s="261"/>
      <c r="Q200" s="261"/>
      <c r="R200" s="261"/>
      <c r="S200" s="261"/>
      <c r="T200" s="261"/>
      <c r="U200" s="261"/>
      <c r="V200" s="261"/>
      <c r="W200" s="261"/>
      <c r="X200" s="261"/>
      <c r="Y200" s="261"/>
      <c r="Z200" s="261"/>
    </row>
    <row r="201" ht="12.75" customHeight="1">
      <c r="A201" s="261"/>
      <c r="B201" s="261"/>
      <c r="C201" s="261"/>
      <c r="D201" s="261"/>
      <c r="E201" s="261"/>
      <c r="F201" s="291"/>
      <c r="G201" s="261"/>
      <c r="H201" s="261"/>
      <c r="I201" s="261"/>
      <c r="J201" s="261"/>
      <c r="K201" s="261"/>
      <c r="L201" s="261"/>
      <c r="M201" s="273"/>
      <c r="N201" s="273"/>
      <c r="O201" s="273"/>
      <c r="P201" s="261"/>
      <c r="Q201" s="261"/>
      <c r="R201" s="261"/>
      <c r="S201" s="261"/>
      <c r="T201" s="261"/>
      <c r="U201" s="261"/>
      <c r="V201" s="261"/>
      <c r="W201" s="261"/>
      <c r="X201" s="261"/>
      <c r="Y201" s="261"/>
      <c r="Z201" s="261"/>
    </row>
    <row r="202" ht="12.75" customHeight="1">
      <c r="A202" s="261"/>
      <c r="B202" s="261"/>
      <c r="C202" s="261"/>
      <c r="D202" s="261"/>
      <c r="E202" s="261"/>
      <c r="F202" s="291"/>
      <c r="G202" s="261"/>
      <c r="H202" s="261"/>
      <c r="I202" s="261"/>
      <c r="J202" s="261"/>
      <c r="K202" s="261"/>
      <c r="L202" s="261"/>
      <c r="M202" s="273"/>
      <c r="N202" s="273"/>
      <c r="O202" s="273"/>
      <c r="P202" s="261"/>
      <c r="Q202" s="261"/>
      <c r="R202" s="261"/>
      <c r="S202" s="261"/>
      <c r="T202" s="261"/>
      <c r="U202" s="261"/>
      <c r="V202" s="261"/>
      <c r="W202" s="261"/>
      <c r="X202" s="261"/>
      <c r="Y202" s="261"/>
      <c r="Z202" s="261"/>
    </row>
    <row r="203" ht="12.75" customHeight="1">
      <c r="A203" s="261"/>
      <c r="B203" s="261"/>
      <c r="C203" s="261"/>
      <c r="D203" s="261"/>
      <c r="E203" s="261"/>
      <c r="F203" s="291"/>
      <c r="G203" s="261"/>
      <c r="H203" s="261"/>
      <c r="I203" s="261"/>
      <c r="J203" s="261"/>
      <c r="K203" s="261"/>
      <c r="L203" s="261"/>
      <c r="M203" s="273"/>
      <c r="N203" s="273"/>
      <c r="O203" s="273"/>
      <c r="P203" s="261"/>
      <c r="Q203" s="261"/>
      <c r="R203" s="261"/>
      <c r="S203" s="261"/>
      <c r="T203" s="261"/>
      <c r="U203" s="261"/>
      <c r="V203" s="261"/>
      <c r="W203" s="261"/>
      <c r="X203" s="261"/>
      <c r="Y203" s="261"/>
      <c r="Z203" s="261"/>
    </row>
    <row r="204" ht="12.75" customHeight="1">
      <c r="A204" s="261"/>
      <c r="B204" s="261"/>
      <c r="C204" s="261"/>
      <c r="D204" s="261"/>
      <c r="E204" s="261"/>
      <c r="F204" s="291"/>
      <c r="G204" s="261"/>
      <c r="H204" s="261"/>
      <c r="I204" s="261"/>
      <c r="J204" s="261"/>
      <c r="K204" s="261"/>
      <c r="L204" s="261"/>
      <c r="M204" s="273"/>
      <c r="N204" s="273"/>
      <c r="O204" s="273"/>
      <c r="P204" s="261"/>
      <c r="Q204" s="261"/>
      <c r="R204" s="261"/>
      <c r="S204" s="261"/>
      <c r="T204" s="261"/>
      <c r="U204" s="261"/>
      <c r="V204" s="261"/>
      <c r="W204" s="261"/>
      <c r="X204" s="261"/>
      <c r="Y204" s="261"/>
      <c r="Z204" s="261"/>
    </row>
    <row r="205" ht="12.75" customHeight="1">
      <c r="A205" s="261"/>
      <c r="B205" s="261"/>
      <c r="C205" s="261"/>
      <c r="D205" s="261"/>
      <c r="E205" s="261"/>
      <c r="F205" s="291"/>
      <c r="G205" s="261"/>
      <c r="H205" s="261"/>
      <c r="I205" s="261"/>
      <c r="J205" s="261"/>
      <c r="K205" s="261"/>
      <c r="L205" s="261"/>
      <c r="M205" s="273"/>
      <c r="N205" s="273"/>
      <c r="O205" s="273"/>
      <c r="P205" s="261"/>
      <c r="Q205" s="261"/>
      <c r="R205" s="261"/>
      <c r="S205" s="261"/>
      <c r="T205" s="261"/>
      <c r="U205" s="261"/>
      <c r="V205" s="261"/>
      <c r="W205" s="261"/>
      <c r="X205" s="261"/>
      <c r="Y205" s="261"/>
      <c r="Z205" s="261"/>
    </row>
    <row r="206" ht="12.75" customHeight="1">
      <c r="A206" s="261"/>
      <c r="B206" s="261"/>
      <c r="C206" s="261"/>
      <c r="D206" s="261"/>
      <c r="E206" s="261"/>
      <c r="F206" s="291"/>
      <c r="G206" s="261"/>
      <c r="H206" s="261"/>
      <c r="I206" s="261"/>
      <c r="J206" s="261"/>
      <c r="K206" s="261"/>
      <c r="L206" s="261"/>
      <c r="M206" s="273"/>
      <c r="N206" s="273"/>
      <c r="O206" s="273"/>
      <c r="P206" s="261"/>
      <c r="Q206" s="261"/>
      <c r="R206" s="261"/>
      <c r="S206" s="261"/>
      <c r="T206" s="261"/>
      <c r="U206" s="261"/>
      <c r="V206" s="261"/>
      <c r="W206" s="261"/>
      <c r="X206" s="261"/>
      <c r="Y206" s="261"/>
      <c r="Z206" s="261"/>
    </row>
    <row r="207" ht="12.75" customHeight="1">
      <c r="A207" s="261"/>
      <c r="B207" s="261"/>
      <c r="C207" s="261"/>
      <c r="D207" s="261"/>
      <c r="E207" s="261"/>
      <c r="F207" s="291"/>
      <c r="G207" s="261"/>
      <c r="H207" s="261"/>
      <c r="I207" s="261"/>
      <c r="J207" s="261"/>
      <c r="K207" s="261"/>
      <c r="L207" s="261"/>
      <c r="M207" s="273"/>
      <c r="N207" s="273"/>
      <c r="O207" s="273"/>
      <c r="P207" s="261"/>
      <c r="Q207" s="261"/>
      <c r="R207" s="261"/>
      <c r="S207" s="261"/>
      <c r="T207" s="261"/>
      <c r="U207" s="261"/>
      <c r="V207" s="261"/>
      <c r="W207" s="261"/>
      <c r="X207" s="261"/>
      <c r="Y207" s="261"/>
      <c r="Z207" s="261"/>
    </row>
    <row r="208" ht="12.75" customHeight="1">
      <c r="A208" s="261"/>
      <c r="B208" s="261"/>
      <c r="C208" s="261"/>
      <c r="D208" s="261"/>
      <c r="E208" s="261"/>
      <c r="F208" s="291"/>
      <c r="G208" s="261"/>
      <c r="H208" s="261"/>
      <c r="I208" s="261"/>
      <c r="J208" s="261"/>
      <c r="K208" s="261"/>
      <c r="L208" s="261"/>
      <c r="M208" s="273"/>
      <c r="N208" s="273"/>
      <c r="O208" s="273"/>
      <c r="P208" s="261"/>
      <c r="Q208" s="261"/>
      <c r="R208" s="261"/>
      <c r="S208" s="261"/>
      <c r="T208" s="261"/>
      <c r="U208" s="261"/>
      <c r="V208" s="261"/>
      <c r="W208" s="261"/>
      <c r="X208" s="261"/>
      <c r="Y208" s="261"/>
      <c r="Z208" s="261"/>
    </row>
    <row r="209" ht="12.75" customHeight="1">
      <c r="A209" s="261"/>
      <c r="B209" s="261"/>
      <c r="C209" s="261"/>
      <c r="D209" s="261"/>
      <c r="E209" s="261"/>
      <c r="F209" s="291"/>
      <c r="G209" s="261"/>
      <c r="H209" s="261"/>
      <c r="I209" s="261"/>
      <c r="J209" s="261"/>
      <c r="K209" s="261"/>
      <c r="L209" s="261"/>
      <c r="M209" s="273"/>
      <c r="N209" s="273"/>
      <c r="O209" s="273"/>
      <c r="P209" s="261"/>
      <c r="Q209" s="261"/>
      <c r="R209" s="261"/>
      <c r="S209" s="261"/>
      <c r="T209" s="261"/>
      <c r="U209" s="261"/>
      <c r="V209" s="261"/>
      <c r="W209" s="261"/>
      <c r="X209" s="261"/>
      <c r="Y209" s="261"/>
      <c r="Z209" s="261"/>
    </row>
    <row r="210" ht="12.75" customHeight="1">
      <c r="A210" s="261"/>
      <c r="B210" s="261"/>
      <c r="C210" s="261"/>
      <c r="D210" s="261"/>
      <c r="E210" s="261"/>
      <c r="F210" s="291"/>
      <c r="G210" s="261"/>
      <c r="H210" s="261"/>
      <c r="I210" s="261"/>
      <c r="J210" s="261"/>
      <c r="K210" s="261"/>
      <c r="L210" s="261"/>
      <c r="M210" s="273"/>
      <c r="N210" s="273"/>
      <c r="O210" s="273"/>
      <c r="P210" s="261"/>
      <c r="Q210" s="261"/>
      <c r="R210" s="261"/>
      <c r="S210" s="261"/>
      <c r="T210" s="261"/>
      <c r="U210" s="261"/>
      <c r="V210" s="261"/>
      <c r="W210" s="261"/>
      <c r="X210" s="261"/>
      <c r="Y210" s="261"/>
      <c r="Z210" s="261"/>
    </row>
    <row r="211" ht="12.75" customHeight="1">
      <c r="A211" s="261"/>
      <c r="B211" s="261"/>
      <c r="C211" s="261"/>
      <c r="D211" s="261"/>
      <c r="E211" s="261"/>
      <c r="F211" s="291"/>
      <c r="G211" s="261"/>
      <c r="H211" s="261"/>
      <c r="I211" s="261"/>
      <c r="J211" s="261"/>
      <c r="K211" s="261"/>
      <c r="L211" s="261"/>
      <c r="M211" s="273"/>
      <c r="N211" s="273"/>
      <c r="O211" s="273"/>
      <c r="P211" s="261"/>
      <c r="Q211" s="261"/>
      <c r="R211" s="261"/>
      <c r="S211" s="261"/>
      <c r="T211" s="261"/>
      <c r="U211" s="261"/>
      <c r="V211" s="261"/>
      <c r="W211" s="261"/>
      <c r="X211" s="261"/>
      <c r="Y211" s="261"/>
      <c r="Z211" s="261"/>
    </row>
    <row r="212" ht="12.75" customHeight="1">
      <c r="A212" s="261"/>
      <c r="B212" s="261"/>
      <c r="C212" s="261"/>
      <c r="D212" s="261"/>
      <c r="E212" s="261"/>
      <c r="F212" s="291"/>
      <c r="G212" s="261"/>
      <c r="H212" s="261"/>
      <c r="I212" s="261"/>
      <c r="J212" s="261"/>
      <c r="K212" s="261"/>
      <c r="L212" s="261"/>
      <c r="M212" s="273"/>
      <c r="N212" s="273"/>
      <c r="O212" s="273"/>
      <c r="P212" s="261"/>
      <c r="Q212" s="261"/>
      <c r="R212" s="261"/>
      <c r="S212" s="261"/>
      <c r="T212" s="261"/>
      <c r="U212" s="261"/>
      <c r="V212" s="261"/>
      <c r="W212" s="261"/>
      <c r="X212" s="261"/>
      <c r="Y212" s="261"/>
      <c r="Z212" s="261"/>
    </row>
    <row r="213" ht="12.75" customHeight="1">
      <c r="A213" s="261"/>
      <c r="B213" s="261"/>
      <c r="C213" s="261"/>
      <c r="D213" s="261"/>
      <c r="E213" s="261"/>
      <c r="F213" s="291"/>
      <c r="G213" s="261"/>
      <c r="H213" s="261"/>
      <c r="I213" s="261"/>
      <c r="J213" s="261"/>
      <c r="K213" s="261"/>
      <c r="L213" s="261"/>
      <c r="M213" s="273"/>
      <c r="N213" s="273"/>
      <c r="O213" s="273"/>
      <c r="P213" s="261"/>
      <c r="Q213" s="261"/>
      <c r="R213" s="261"/>
      <c r="S213" s="261"/>
      <c r="T213" s="261"/>
      <c r="U213" s="261"/>
      <c r="V213" s="261"/>
      <c r="W213" s="261"/>
      <c r="X213" s="261"/>
      <c r="Y213" s="261"/>
      <c r="Z213" s="261"/>
    </row>
    <row r="214" ht="12.75" customHeight="1">
      <c r="A214" s="261"/>
      <c r="B214" s="261"/>
      <c r="C214" s="261"/>
      <c r="D214" s="261"/>
      <c r="E214" s="261"/>
      <c r="F214" s="291"/>
      <c r="G214" s="261"/>
      <c r="H214" s="261"/>
      <c r="I214" s="261"/>
      <c r="J214" s="261"/>
      <c r="K214" s="261"/>
      <c r="L214" s="261"/>
      <c r="M214" s="273"/>
      <c r="N214" s="273"/>
      <c r="O214" s="273"/>
      <c r="P214" s="261"/>
      <c r="Q214" s="261"/>
      <c r="R214" s="261"/>
      <c r="S214" s="261"/>
      <c r="T214" s="261"/>
      <c r="U214" s="261"/>
      <c r="V214" s="261"/>
      <c r="W214" s="261"/>
      <c r="X214" s="261"/>
      <c r="Y214" s="261"/>
      <c r="Z214" s="261"/>
    </row>
    <row r="215" ht="12.75" customHeight="1">
      <c r="A215" s="261"/>
      <c r="B215" s="261"/>
      <c r="C215" s="261"/>
      <c r="D215" s="261"/>
      <c r="E215" s="261"/>
      <c r="F215" s="291"/>
      <c r="G215" s="261"/>
      <c r="H215" s="261"/>
      <c r="I215" s="261"/>
      <c r="J215" s="261"/>
      <c r="K215" s="261"/>
      <c r="L215" s="261"/>
      <c r="M215" s="273"/>
      <c r="N215" s="273"/>
      <c r="O215" s="273"/>
      <c r="P215" s="261"/>
      <c r="Q215" s="261"/>
      <c r="R215" s="261"/>
      <c r="S215" s="261"/>
      <c r="T215" s="261"/>
      <c r="U215" s="261"/>
      <c r="V215" s="261"/>
      <c r="W215" s="261"/>
      <c r="X215" s="261"/>
      <c r="Y215" s="261"/>
      <c r="Z215" s="261"/>
    </row>
    <row r="216" ht="12.75" customHeight="1">
      <c r="A216" s="261"/>
      <c r="B216" s="261"/>
      <c r="C216" s="261"/>
      <c r="D216" s="261"/>
      <c r="E216" s="261"/>
      <c r="F216" s="291"/>
      <c r="G216" s="261"/>
      <c r="H216" s="261"/>
      <c r="I216" s="261"/>
      <c r="J216" s="261"/>
      <c r="K216" s="261"/>
      <c r="L216" s="261"/>
      <c r="M216" s="273"/>
      <c r="N216" s="273"/>
      <c r="O216" s="273"/>
      <c r="P216" s="261"/>
      <c r="Q216" s="261"/>
      <c r="R216" s="261"/>
      <c r="S216" s="261"/>
      <c r="T216" s="261"/>
      <c r="U216" s="261"/>
      <c r="V216" s="261"/>
      <c r="W216" s="261"/>
      <c r="X216" s="261"/>
      <c r="Y216" s="261"/>
      <c r="Z216" s="261"/>
    </row>
    <row r="217" ht="12.75" customHeight="1">
      <c r="A217" s="261"/>
      <c r="B217" s="261"/>
      <c r="C217" s="261"/>
      <c r="D217" s="261"/>
      <c r="E217" s="261"/>
      <c r="F217" s="291"/>
      <c r="G217" s="261"/>
      <c r="H217" s="261"/>
      <c r="I217" s="261"/>
      <c r="J217" s="261"/>
      <c r="K217" s="261"/>
      <c r="L217" s="261"/>
      <c r="M217" s="273"/>
      <c r="N217" s="273"/>
      <c r="O217" s="273"/>
      <c r="P217" s="261"/>
      <c r="Q217" s="261"/>
      <c r="R217" s="261"/>
      <c r="S217" s="261"/>
      <c r="T217" s="261"/>
      <c r="U217" s="261"/>
      <c r="V217" s="261"/>
      <c r="W217" s="261"/>
      <c r="X217" s="261"/>
      <c r="Y217" s="261"/>
      <c r="Z217" s="261"/>
    </row>
    <row r="218" ht="12.75" customHeight="1">
      <c r="A218" s="261"/>
      <c r="B218" s="261"/>
      <c r="C218" s="261"/>
      <c r="D218" s="261"/>
      <c r="E218" s="261"/>
      <c r="F218" s="291"/>
      <c r="G218" s="261"/>
      <c r="H218" s="261"/>
      <c r="I218" s="261"/>
      <c r="J218" s="261"/>
      <c r="K218" s="261"/>
      <c r="L218" s="261"/>
      <c r="M218" s="273"/>
      <c r="N218" s="273"/>
      <c r="O218" s="273"/>
      <c r="P218" s="261"/>
      <c r="Q218" s="261"/>
      <c r="R218" s="261"/>
      <c r="S218" s="261"/>
      <c r="T218" s="261"/>
      <c r="U218" s="261"/>
      <c r="V218" s="261"/>
      <c r="W218" s="261"/>
      <c r="X218" s="261"/>
      <c r="Y218" s="261"/>
      <c r="Z218" s="261"/>
    </row>
    <row r="219" ht="12.75" customHeight="1">
      <c r="A219" s="261"/>
      <c r="B219" s="261"/>
      <c r="C219" s="261"/>
      <c r="D219" s="261"/>
      <c r="E219" s="261"/>
      <c r="F219" s="291"/>
      <c r="G219" s="261"/>
      <c r="H219" s="261"/>
      <c r="I219" s="261"/>
      <c r="J219" s="261"/>
      <c r="K219" s="261"/>
      <c r="L219" s="261"/>
      <c r="M219" s="273"/>
      <c r="N219" s="273"/>
      <c r="O219" s="273"/>
      <c r="P219" s="261"/>
      <c r="Q219" s="261"/>
      <c r="R219" s="261"/>
      <c r="S219" s="261"/>
      <c r="T219" s="261"/>
      <c r="U219" s="261"/>
      <c r="V219" s="261"/>
      <c r="W219" s="261"/>
      <c r="X219" s="261"/>
      <c r="Y219" s="261"/>
      <c r="Z219" s="261"/>
    </row>
    <row r="220" ht="12.75" customHeight="1">
      <c r="A220" s="261"/>
      <c r="B220" s="261"/>
      <c r="C220" s="261"/>
      <c r="D220" s="261"/>
      <c r="E220" s="261"/>
      <c r="F220" s="291"/>
      <c r="G220" s="261"/>
      <c r="H220" s="261"/>
      <c r="I220" s="261"/>
      <c r="J220" s="261"/>
      <c r="K220" s="261"/>
      <c r="L220" s="261"/>
      <c r="M220" s="273"/>
      <c r="N220" s="273"/>
      <c r="O220" s="273"/>
      <c r="P220" s="261"/>
      <c r="Q220" s="261"/>
      <c r="R220" s="261"/>
      <c r="S220" s="261"/>
      <c r="T220" s="261"/>
      <c r="U220" s="261"/>
      <c r="V220" s="261"/>
      <c r="W220" s="261"/>
      <c r="X220" s="261"/>
      <c r="Y220" s="261"/>
      <c r="Z220" s="261"/>
    </row>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mergeCells count="14">
    <mergeCell ref="G2:G3"/>
    <mergeCell ref="H2:H3"/>
    <mergeCell ref="I2:I3"/>
    <mergeCell ref="J2:J3"/>
    <mergeCell ref="M2:M3"/>
    <mergeCell ref="N2:N3"/>
    <mergeCell ref="A1:O1"/>
    <mergeCell ref="A2:A3"/>
    <mergeCell ref="B2:B3"/>
    <mergeCell ref="C2:C3"/>
    <mergeCell ref="D2:D3"/>
    <mergeCell ref="E2:E3"/>
    <mergeCell ref="F2:F3"/>
    <mergeCell ref="O2:O3"/>
  </mergeCells>
  <hyperlinks>
    <hyperlink r:id="rId1" ref="M5"/>
    <hyperlink r:id="rId2" ref="N5"/>
    <hyperlink r:id="rId3" ref="N7"/>
    <hyperlink r:id="rId4" ref="N8"/>
    <hyperlink r:id="rId5" ref="N9"/>
    <hyperlink r:id="rId6" ref="N10"/>
    <hyperlink r:id="rId7" ref="N11"/>
    <hyperlink r:id="rId8" ref="M12"/>
  </hyperlinks>
  <printOptions/>
  <pageMargins bottom="0.75" footer="0.0" header="0.0" left="0.7" right="0.7" top="0.75"/>
  <pageSetup paperSize="9" orientation="portrait"/>
  <drawing r:id="rId9"/>
  <tableParts count="1">
    <tablePart r:id="rId11"/>
  </tableParts>
</worksheet>
</file>